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Abe Hideaki\Desktop\"/>
    </mc:Choice>
  </mc:AlternateContent>
  <xr:revisionPtr revIDLastSave="0" documentId="13_ncr:1_{AD38F1A2-B5C0-4D7E-B14D-E568889A205E}" xr6:coauthVersionLast="47" xr6:coauthVersionMax="47" xr10:uidLastSave="{00000000-0000-0000-0000-000000000000}"/>
  <workbookProtection workbookAlgorithmName="SHA-512" workbookHashValue="fzsy1GaHEQV1rNSsRowzRapPzi1RC6Dr4vRLfytxUTz/c7WkE7MnrXXlqwBkaPQ4O6ewDnEuKXYvoLPYhz1vwQ==" workbookSaltValue="K8YSPIjMxZWRox7XwpCcgg==" workbookSpinCount="100000" lockStructure="1"/>
  <bookViews>
    <workbookView xWindow="3456" yWindow="3708" windowWidth="38376" windowHeight="20856" tabRatio="799" activeTab="10" xr2:uid="{00000000-000D-0000-FFFF-FFFF00000000}"/>
  </bookViews>
  <sheets>
    <sheet name="銘柄管理" sheetId="1" r:id="rId1"/>
    <sheet name="買抽出v13" sheetId="2" r:id="rId2"/>
    <sheet name="ダッシュボード" sheetId="3" r:id="rId3"/>
    <sheet name="分析" sheetId="4" r:id="rId4"/>
    <sheet name="売分析" sheetId="5" r:id="rId5"/>
    <sheet name="売ダッシュボード" sheetId="6" r:id="rId6"/>
    <sheet name="売抽出v13" sheetId="7" r:id="rId7"/>
    <sheet name="Sheet2" sheetId="19" r:id="rId8"/>
    <sheet name="始値" sheetId="8" r:id="rId9"/>
    <sheet name="高値" sheetId="9" r:id="rId10"/>
    <sheet name="安値" sheetId="10" r:id="rId11"/>
    <sheet name="終値" sheetId="11" r:id="rId12"/>
    <sheet name="出来高" sheetId="12" r:id="rId13"/>
    <sheet name="データ取込" sheetId="13" r:id="rId14"/>
    <sheet name="自動注文決済" sheetId="14" r:id="rId15"/>
    <sheet name="取扱説明書" sheetId="15" r:id="rId16"/>
    <sheet name="管理" sheetId="16" r:id="rId17"/>
    <sheet name="海外指標" sheetId="17" r:id="rId18"/>
    <sheet name="Sheet1" sheetId="18" state="hidden" r:id="rId19"/>
    <sheet name="BB使い方" sheetId="20" r:id="rId28"/>
    <sheet name="BB設定" sheetId="21" r:id="rId29"/>
    <sheet name="BBスクリーニング" sheetId="22" r:id="rId30"/>
    <sheet name="BB買い候補TOP" sheetId="23" r:id="rId31"/>
    <sheet name="BBバックテスト" sheetId="24" r:id="rId32"/>
    <sheet name="BB_帯幅" sheetId="25" state="hidden" r:id="rId33"/>
    <sheet name="BB_スイング" sheetId="26" state="hidden" r:id="rId34"/>
  </sheets>
  <functionGroups builtInGroupCount="19"/>
  <externalReferences>
    <externalReference r:id="rId20"/>
  </externalReferences>
  <definedNames>
    <definedName name="_xlnm._FilterDatabase" localSheetId="2" hidden="1">ダッシュボード!$A$2:$Z$502</definedName>
    <definedName name="_xlnm._FilterDatabase" localSheetId="3" hidden="1">分析!$A$2:$AA$204</definedName>
    <definedName name="B93b204">銘柄管理!$B$93</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8" i="2" l="1"/>
  <c r="A7" i="2"/>
  <c r="A4" i="2"/>
  <c r="A11" i="2"/>
  <c r="A10" i="2"/>
  <c r="A5" i="2"/>
  <c r="A6" i="2"/>
  <c r="A9" i="2"/>
  <c r="A5" i="7"/>
  <c r="A18" i="7"/>
  <c r="A4" i="7"/>
  <c r="A13" i="7"/>
  <c r="A12" i="7"/>
  <c r="A11" i="7"/>
  <c r="A17" i="7"/>
  <c r="A10" i="7"/>
  <c r="A9" i="7"/>
  <c r="A8" i="7"/>
  <c r="A7" i="7"/>
  <c r="A6" i="7"/>
  <c r="A16" i="7"/>
  <c r="A15" i="7"/>
  <c r="A14" i="7"/>
  <c r="F2" i="14"/>
  <c r="A3" i="13"/>
  <c r="I4" i="17" a="1"/>
  <c r="I4" i="17" l="1"/>
  <c r="M14" i="16"/>
  <c r="N14" i="16"/>
  <c r="M15" i="16"/>
  <c r="N15" i="16"/>
  <c r="M16" i="16"/>
  <c r="N16" i="16"/>
  <c r="M17" i="16"/>
  <c r="N17" i="16"/>
  <c r="M18" i="16"/>
  <c r="N18" i="16"/>
  <c r="H14" i="16" a="1"/>
  <c r="I17" i="16" a="1"/>
  <c r="J14" i="16" a="1"/>
  <c r="J15" i="16" a="1"/>
  <c r="J18" i="16" a="1"/>
  <c r="H15" i="16" a="1"/>
  <c r="D17" i="16" a="1"/>
  <c r="J17" i="16" a="1"/>
  <c r="H16" i="16" a="1"/>
  <c r="I15" i="16" a="1"/>
  <c r="D18" i="16" a="1"/>
  <c r="J16" i="16" a="1"/>
  <c r="D14" i="16" a="1"/>
  <c r="H18" i="16" a="1"/>
  <c r="I14" i="16" a="1"/>
  <c r="D16" i="16" a="1"/>
  <c r="D15" i="16" a="1"/>
  <c r="I18" i="16" a="1"/>
  <c r="H17" i="16" a="1"/>
  <c r="I16" i="16" a="1"/>
  <c r="I16" i="16" l="1"/>
  <c r="I15" i="16"/>
  <c r="H15" i="16"/>
  <c r="O15" i="16" s="1"/>
  <c r="I17" i="16"/>
  <c r="I18" i="16"/>
  <c r="H16" i="16"/>
  <c r="O16" i="16" s="1"/>
  <c r="J17" i="16"/>
  <c r="J14" i="16"/>
  <c r="I14" i="16"/>
  <c r="J15" i="16"/>
  <c r="H17" i="16"/>
  <c r="O17" i="16" s="1"/>
  <c r="H18" i="16"/>
  <c r="O18" i="16" s="1"/>
  <c r="J16" i="16"/>
  <c r="J18" i="16"/>
  <c r="H14" i="16"/>
  <c r="O14" i="16" s="1"/>
  <c r="D16" i="16"/>
  <c r="D18" i="16"/>
  <c r="D17" i="16"/>
  <c r="D15" i="16"/>
  <c r="D14" i="16"/>
  <c r="K14" i="16" l="1"/>
  <c r="L14" i="16"/>
  <c r="K18" i="16"/>
  <c r="L18" i="16"/>
  <c r="K17" i="16"/>
  <c r="L17" i="16"/>
  <c r="L16" i="16"/>
  <c r="K16" i="16"/>
  <c r="K15" i="16"/>
  <c r="L15" i="16"/>
  <c r="W42" i="16" l="1"/>
  <c r="V42" i="16"/>
  <c r="Q42" i="16" a="1"/>
  <c r="Q42" i="16" s="1"/>
  <c r="P42" i="16" a="1"/>
  <c r="P42" i="16" s="1"/>
  <c r="R42" i="16" s="1"/>
  <c r="N42" i="16"/>
  <c r="M42" i="16"/>
  <c r="A42" i="16"/>
  <c r="W41" i="16"/>
  <c r="V41" i="16"/>
  <c r="Q41" i="16" a="1"/>
  <c r="Q41" i="16" s="1"/>
  <c r="P41" i="16" a="1"/>
  <c r="P41" i="16" s="1"/>
  <c r="R41" i="16" s="1"/>
  <c r="N41" i="16"/>
  <c r="M41" i="16"/>
  <c r="A41" i="16"/>
  <c r="W40" i="16"/>
  <c r="V40" i="16"/>
  <c r="Q40" i="16" a="1"/>
  <c r="Q40" i="16" s="1"/>
  <c r="P40" i="16" a="1"/>
  <c r="P40" i="16" s="1"/>
  <c r="R40" i="16" s="1"/>
  <c r="N40" i="16"/>
  <c r="M40" i="16"/>
  <c r="A40" i="16"/>
  <c r="W39" i="16"/>
  <c r="V39" i="16"/>
  <c r="Q39" i="16" a="1"/>
  <c r="Q39" i="16" s="1"/>
  <c r="P39" i="16" a="1"/>
  <c r="P39" i="16" s="1"/>
  <c r="R39" i="16" s="1"/>
  <c r="N39" i="16"/>
  <c r="M39" i="16"/>
  <c r="A39" i="16"/>
  <c r="W38" i="16"/>
  <c r="V38" i="16"/>
  <c r="Q38" i="16" a="1"/>
  <c r="Q38" i="16" s="1"/>
  <c r="P38" i="16" a="1"/>
  <c r="P38" i="16" s="1"/>
  <c r="R38" i="16" s="1"/>
  <c r="N38" i="16"/>
  <c r="M38" i="16"/>
  <c r="A38" i="16"/>
  <c r="W37" i="16"/>
  <c r="V37" i="16"/>
  <c r="Q37" i="16" a="1"/>
  <c r="Q37" i="16" s="1"/>
  <c r="P37" i="16" a="1"/>
  <c r="P37" i="16" s="1"/>
  <c r="R37" i="16" s="1"/>
  <c r="N37" i="16"/>
  <c r="M37" i="16"/>
  <c r="A37" i="16"/>
  <c r="W36" i="16"/>
  <c r="V36" i="16"/>
  <c r="Q36" i="16" a="1"/>
  <c r="Q36" i="16" s="1"/>
  <c r="P36" i="16" a="1"/>
  <c r="P36" i="16" s="1"/>
  <c r="R36" i="16" s="1"/>
  <c r="N36" i="16"/>
  <c r="M36" i="16"/>
  <c r="A36" i="16"/>
  <c r="W35" i="16"/>
  <c r="V35" i="16"/>
  <c r="Q35" i="16" a="1"/>
  <c r="Q35" i="16" s="1"/>
  <c r="P35" i="16" a="1"/>
  <c r="P35" i="16" s="1"/>
  <c r="R35" i="16" s="1"/>
  <c r="N35" i="16"/>
  <c r="M35" i="16"/>
  <c r="A35" i="16"/>
  <c r="W34" i="16"/>
  <c r="V34" i="16"/>
  <c r="Q34" i="16" a="1"/>
  <c r="Q34" i="16" s="1"/>
  <c r="P34" i="16" a="1"/>
  <c r="P34" i="16" s="1"/>
  <c r="R34" i="16" s="1"/>
  <c r="N34" i="16"/>
  <c r="M34" i="16"/>
  <c r="A34" i="16"/>
  <c r="W33" i="16"/>
  <c r="V33" i="16"/>
  <c r="Q33" i="16" a="1"/>
  <c r="Q33" i="16" s="1"/>
  <c r="P33" i="16" a="1"/>
  <c r="P33" i="16" s="1"/>
  <c r="R33" i="16" s="1"/>
  <c r="N33" i="16"/>
  <c r="M33" i="16"/>
  <c r="A33" i="16"/>
  <c r="W32" i="16"/>
  <c r="V32" i="16"/>
  <c r="Q32" i="16" a="1"/>
  <c r="Q32" i="16" s="1"/>
  <c r="P32" i="16" a="1"/>
  <c r="P32" i="16" s="1"/>
  <c r="R32" i="16" s="1"/>
  <c r="N32" i="16"/>
  <c r="M32" i="16"/>
  <c r="A32" i="16"/>
  <c r="W31" i="16"/>
  <c r="V31" i="16"/>
  <c r="Q31" i="16" a="1"/>
  <c r="Q31" i="16" s="1"/>
  <c r="P31" i="16" a="1"/>
  <c r="P31" i="16" s="1"/>
  <c r="R31" i="16" s="1"/>
  <c r="N31" i="16"/>
  <c r="M31" i="16"/>
  <c r="A31" i="16"/>
  <c r="W30" i="16"/>
  <c r="V30" i="16"/>
  <c r="Q30" i="16" a="1"/>
  <c r="Q30" i="16" s="1"/>
  <c r="P30" i="16" a="1"/>
  <c r="P30" i="16" s="1"/>
  <c r="R30" i="16" s="1"/>
  <c r="N30" i="16"/>
  <c r="M30" i="16"/>
  <c r="A30" i="16"/>
  <c r="W29" i="16"/>
  <c r="V29" i="16"/>
  <c r="Q29" i="16" a="1"/>
  <c r="Q29" i="16" s="1"/>
  <c r="P29" i="16" a="1"/>
  <c r="P29" i="16" s="1"/>
  <c r="R29" i="16" s="1"/>
  <c r="N29" i="16"/>
  <c r="M29" i="16"/>
  <c r="A29" i="16"/>
  <c r="W28" i="16"/>
  <c r="V28" i="16"/>
  <c r="Q28" i="16" a="1"/>
  <c r="Q28" i="16" s="1"/>
  <c r="P28" i="16" a="1"/>
  <c r="P28" i="16" s="1"/>
  <c r="R28" i="16" s="1"/>
  <c r="N28" i="16"/>
  <c r="M28" i="16"/>
  <c r="A28" i="16"/>
  <c r="W27" i="16"/>
  <c r="V27" i="16"/>
  <c r="Q27" i="16" a="1"/>
  <c r="Q27" i="16" s="1"/>
  <c r="P27" i="16" a="1"/>
  <c r="P27" i="16" s="1"/>
  <c r="R27" i="16" s="1"/>
  <c r="N27" i="16"/>
  <c r="M27" i="16"/>
  <c r="A27" i="16"/>
  <c r="W26" i="16"/>
  <c r="V26" i="16"/>
  <c r="Q26" i="16" a="1"/>
  <c r="Q26" i="16" s="1"/>
  <c r="P26" i="16" a="1"/>
  <c r="P26" i="16" s="1"/>
  <c r="R26" i="16" s="1"/>
  <c r="N26" i="16"/>
  <c r="M26" i="16"/>
  <c r="A26" i="16"/>
  <c r="W25" i="16"/>
  <c r="V25" i="16"/>
  <c r="Q25" i="16" a="1"/>
  <c r="Q25" i="16" s="1"/>
  <c r="P25" i="16" a="1"/>
  <c r="P25" i="16" s="1"/>
  <c r="R25" i="16" s="1"/>
  <c r="N25" i="16"/>
  <c r="M25" i="16"/>
  <c r="A25" i="16"/>
  <c r="W24" i="16"/>
  <c r="V24" i="16"/>
  <c r="Q24" i="16" a="1"/>
  <c r="Q24" i="16" s="1"/>
  <c r="P24" i="16" a="1"/>
  <c r="P24" i="16" s="1"/>
  <c r="R24" i="16" s="1"/>
  <c r="N24" i="16"/>
  <c r="M24" i="16"/>
  <c r="A24" i="16"/>
  <c r="W23" i="16"/>
  <c r="V23" i="16"/>
  <c r="Q23" i="16" a="1"/>
  <c r="Q23" i="16" s="1"/>
  <c r="P23" i="16" a="1"/>
  <c r="P23" i="16" s="1"/>
  <c r="R23" i="16" s="1"/>
  <c r="N23" i="16"/>
  <c r="M23" i="16"/>
  <c r="A23" i="16"/>
  <c r="W22" i="16"/>
  <c r="V22" i="16"/>
  <c r="Q22" i="16" a="1"/>
  <c r="Q22" i="16" s="1"/>
  <c r="P22" i="16" a="1"/>
  <c r="P22" i="16" s="1"/>
  <c r="R22" i="16" s="1"/>
  <c r="N22" i="16"/>
  <c r="M22" i="16"/>
  <c r="A22" i="16"/>
  <c r="W21" i="16"/>
  <c r="V21" i="16"/>
  <c r="Q21" i="16" a="1"/>
  <c r="Q21" i="16" s="1"/>
  <c r="P21" i="16" a="1"/>
  <c r="P21" i="16" s="1"/>
  <c r="R21" i="16" s="1"/>
  <c r="N21" i="16"/>
  <c r="M21" i="16"/>
  <c r="A21" i="16"/>
  <c r="W20" i="16"/>
  <c r="V20" i="16"/>
  <c r="Q20" i="16" a="1"/>
  <c r="Q20" i="16" s="1"/>
  <c r="P20" i="16" a="1"/>
  <c r="P20" i="16" s="1"/>
  <c r="R20" i="16" s="1"/>
  <c r="N20" i="16"/>
  <c r="M20" i="16"/>
  <c r="A20" i="16"/>
  <c r="W19" i="16"/>
  <c r="V19" i="16"/>
  <c r="Q19" i="16" a="1"/>
  <c r="Q19" i="16" s="1"/>
  <c r="P19" i="16" a="1"/>
  <c r="P19" i="16" s="1"/>
  <c r="R19" i="16" s="1"/>
  <c r="N19" i="16"/>
  <c r="M19" i="16"/>
  <c r="A19" i="16"/>
  <c r="W18" i="16"/>
  <c r="V18" i="16"/>
  <c r="Q18" i="16" a="1"/>
  <c r="Q18" i="16" s="1"/>
  <c r="P18" i="16" a="1"/>
  <c r="P18" i="16" s="1"/>
  <c r="R18" i="16" s="1"/>
  <c r="A18" i="16"/>
  <c r="W17" i="16"/>
  <c r="V17" i="16"/>
  <c r="Q17" i="16" a="1"/>
  <c r="Q17" i="16" s="1"/>
  <c r="P17" i="16" a="1"/>
  <c r="P17" i="16" s="1"/>
  <c r="R17" i="16" s="1"/>
  <c r="A17" i="16"/>
  <c r="W16" i="16"/>
  <c r="V16" i="16"/>
  <c r="Q16" i="16" a="1"/>
  <c r="Q16" i="16" s="1"/>
  <c r="P16" i="16" a="1"/>
  <c r="P16" i="16" s="1"/>
  <c r="R16" i="16" s="1"/>
  <c r="A16" i="16"/>
  <c r="W15" i="16"/>
  <c r="V15" i="16"/>
  <c r="Q15" i="16" a="1"/>
  <c r="Q15" i="16" s="1"/>
  <c r="P15" i="16" a="1"/>
  <c r="P15" i="16" s="1"/>
  <c r="R15" i="16" s="1"/>
  <c r="A15" i="16"/>
  <c r="W14" i="16"/>
  <c r="V14" i="16"/>
  <c r="Q14" i="16" a="1"/>
  <c r="Q14" i="16" s="1"/>
  <c r="P14" i="16" a="1"/>
  <c r="P14" i="16" s="1"/>
  <c r="R14" i="16" s="1"/>
  <c r="A14" i="16"/>
  <c r="W13" i="16"/>
  <c r="V13" i="16"/>
  <c r="Q13" i="16" a="1"/>
  <c r="Q13" i="16" s="1"/>
  <c r="P13" i="16" a="1"/>
  <c r="P13" i="16" s="1"/>
  <c r="R13" i="16" s="1"/>
  <c r="N13" i="16"/>
  <c r="M13" i="16"/>
  <c r="A13" i="16"/>
  <c r="W12" i="16"/>
  <c r="V12" i="16"/>
  <c r="Q12" i="16" a="1"/>
  <c r="Q12" i="16" s="1"/>
  <c r="P12" i="16" a="1"/>
  <c r="P12" i="16" s="1"/>
  <c r="R12" i="16" s="1"/>
  <c r="N12" i="16"/>
  <c r="M12" i="16"/>
  <c r="A12" i="16"/>
  <c r="W11" i="16"/>
  <c r="V11" i="16"/>
  <c r="Q11" i="16" a="1"/>
  <c r="Q11" i="16" s="1"/>
  <c r="P11" i="16" a="1"/>
  <c r="P11" i="16" s="1"/>
  <c r="R11" i="16" s="1"/>
  <c r="N11" i="16"/>
  <c r="M11" i="16"/>
  <c r="A11" i="16"/>
  <c r="W10" i="16"/>
  <c r="V10" i="16"/>
  <c r="Q10" i="16" a="1"/>
  <c r="Q10" i="16" s="1"/>
  <c r="P10" i="16" a="1"/>
  <c r="P10" i="16" s="1"/>
  <c r="R10" i="16" s="1"/>
  <c r="N10" i="16"/>
  <c r="M10" i="16"/>
  <c r="A10" i="16"/>
  <c r="W9" i="16"/>
  <c r="V9" i="16"/>
  <c r="Q9" i="16" a="1"/>
  <c r="Q9" i="16" s="1"/>
  <c r="P9" i="16" a="1"/>
  <c r="P9" i="16" s="1"/>
  <c r="R9" i="16" s="1"/>
  <c r="N9" i="16"/>
  <c r="M9" i="16"/>
  <c r="A9" i="16"/>
  <c r="W8" i="16"/>
  <c r="V8" i="16"/>
  <c r="Q8" i="16" a="1"/>
  <c r="Q8" i="16" s="1"/>
  <c r="P8" i="16" a="1"/>
  <c r="P8" i="16" s="1"/>
  <c r="R8" i="16" s="1"/>
  <c r="N8" i="16"/>
  <c r="M8" i="16"/>
  <c r="A8" i="16"/>
  <c r="W7" i="16"/>
  <c r="V7" i="16"/>
  <c r="Q7" i="16" a="1"/>
  <c r="Q7" i="16" s="1"/>
  <c r="P7" i="16" a="1"/>
  <c r="P7" i="16" s="1"/>
  <c r="R7" i="16" s="1"/>
  <c r="N7" i="16"/>
  <c r="M7" i="16"/>
  <c r="A7" i="16"/>
  <c r="W4" i="16"/>
  <c r="W5" i="16"/>
  <c r="W6" i="16"/>
  <c r="Q4" i="16" a="1"/>
  <c r="Q4" i="16" s="1"/>
  <c r="Q5" i="16" a="1"/>
  <c r="Q5" i="16" s="1"/>
  <c r="Q6" i="16" a="1"/>
  <c r="Q6" i="16" s="1"/>
  <c r="P4" i="16" a="1"/>
  <c r="P4" i="16" s="1"/>
  <c r="P5" i="16" a="1"/>
  <c r="P5" i="16" s="1"/>
  <c r="P6" i="16" a="1"/>
  <c r="P6" i="16" s="1"/>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6" i="16"/>
  <c r="A5" i="16"/>
  <c r="A4" i="16"/>
  <c r="D6" i="1"/>
  <c r="D7" i="1"/>
  <c r="I37" i="16" a="1"/>
  <c r="J39" i="16" a="1"/>
  <c r="I34" i="16" a="1"/>
  <c r="J35" i="16" a="1"/>
  <c r="J33" i="16" a="1"/>
  <c r="J9" i="16" a="1"/>
  <c r="D4" i="16" a="1"/>
  <c r="I41" i="16" a="1"/>
  <c r="D5" i="16" a="1"/>
  <c r="H12" i="16" a="1"/>
  <c r="H39" i="16" a="1"/>
  <c r="J26" i="16" a="1"/>
  <c r="D8" i="16" a="1"/>
  <c r="C305" i="11"/>
  <c r="H4" i="16" a="1"/>
  <c r="J25" i="16" a="1"/>
  <c r="D22" i="16" a="1"/>
  <c r="D36" i="16" a="1"/>
  <c r="H10" i="16" a="1"/>
  <c r="H41" i="16" a="1"/>
  <c r="J42" i="16" a="1"/>
  <c r="D10" i="16" a="1"/>
  <c r="D37" i="16" a="1"/>
  <c r="I24" i="16" a="1"/>
  <c r="D38" i="16" a="1"/>
  <c r="D12" i="16" a="1"/>
  <c r="H30" i="16" a="1"/>
  <c r="D25" i="16" a="1"/>
  <c r="H38" i="16" a="1"/>
  <c r="I21" i="16" a="1"/>
  <c r="J41" i="16" a="1"/>
  <c r="I10" i="16" a="1"/>
  <c r="D33" i="16" a="1"/>
  <c r="H19" i="16" a="1"/>
  <c r="J28" i="16" a="1"/>
  <c r="J19" i="16" a="1"/>
  <c r="J11" i="16" a="1"/>
  <c r="D24" i="16" a="1"/>
  <c r="J29" i="16" a="1"/>
  <c r="I12" i="16" a="1"/>
  <c r="H11" i="16" a="1"/>
  <c r="I7" i="16" a="1"/>
  <c r="I22" i="16" a="1"/>
  <c r="H32" i="16" a="1"/>
  <c r="I32" i="16" a="1"/>
  <c r="J8" i="16" a="1"/>
  <c r="H20" i="16" a="1"/>
  <c r="H35" i="16" a="1"/>
  <c r="D31" i="16" a="1"/>
  <c r="H26" i="16" a="1"/>
  <c r="H7" i="16" a="1"/>
  <c r="I31" i="16" a="1"/>
  <c r="J5" i="16" a="1"/>
  <c r="I33" i="16" a="1"/>
  <c r="D42" i="16" a="1"/>
  <c r="J13" i="16" a="1"/>
  <c r="J37" i="16" a="1"/>
  <c r="I36" i="16" a="1"/>
  <c r="C305" i="9"/>
  <c r="I26" i="16" a="1"/>
  <c r="H13" i="16" a="1"/>
  <c r="H25" i="16" a="1"/>
  <c r="H29" i="16" a="1"/>
  <c r="J12" i="16" a="1"/>
  <c r="J38" i="16" a="1"/>
  <c r="D29" i="16" a="1"/>
  <c r="I11" i="16" a="1"/>
  <c r="C305" i="1"/>
  <c r="H31" i="16" a="1"/>
  <c r="J23" i="16" a="1"/>
  <c r="J30" i="16" a="1"/>
  <c r="J6" i="16" a="1"/>
  <c r="J31" i="16" a="1"/>
  <c r="I4" i="16" a="1"/>
  <c r="D39" i="16" a="1"/>
  <c r="J20" i="16" a="1"/>
  <c r="C305" i="12"/>
  <c r="D21" i="16" a="1"/>
  <c r="H27" i="16" a="1"/>
  <c r="D35" i="16" a="1"/>
  <c r="I19" i="16" a="1"/>
  <c r="D23" i="16" a="1"/>
  <c r="J36" i="16" a="1"/>
  <c r="I39" i="16" a="1"/>
  <c r="D40" i="16" a="1"/>
  <c r="H9" i="16" a="1"/>
  <c r="C305" i="8"/>
  <c r="H28" i="16" a="1"/>
  <c r="I40" i="16" a="1"/>
  <c r="J21" i="16" a="1"/>
  <c r="J27" i="16" a="1"/>
  <c r="J4" i="16" a="1"/>
  <c r="H42" i="16" a="1"/>
  <c r="J10" i="16" a="1"/>
  <c r="D34" i="16" a="1"/>
  <c r="I13" i="16" a="1"/>
  <c r="D19" i="16" a="1"/>
  <c r="D13" i="16" a="1"/>
  <c r="H37" i="16" a="1"/>
  <c r="H33" i="16" a="1"/>
  <c r="J24" i="16" a="1"/>
  <c r="H40" i="16" a="1"/>
  <c r="I8" i="16" a="1"/>
  <c r="H8" i="16" a="1"/>
  <c r="I29" i="16" a="1"/>
  <c r="H22" i="16" a="1"/>
  <c r="I27" i="16" a="1"/>
  <c r="D6" i="16" a="1"/>
  <c r="J32" i="16" a="1"/>
  <c r="D26" i="16" a="1"/>
  <c r="D9" i="16" a="1"/>
  <c r="J34" i="16" a="1"/>
  <c r="D11" i="16" a="1"/>
  <c r="H23" i="16" a="1"/>
  <c r="I5" i="16" a="1"/>
  <c r="I38" i="16" a="1"/>
  <c r="D20" i="16" a="1"/>
  <c r="D32" i="16" a="1"/>
  <c r="I20" i="16" a="1"/>
  <c r="D28" i="16" a="1"/>
  <c r="I23" i="16" a="1"/>
  <c r="I28" i="16" a="1"/>
  <c r="H6" i="16" a="1"/>
  <c r="J22" i="16" a="1"/>
  <c r="C305" i="10"/>
  <c r="I25" i="16" a="1"/>
  <c r="J7" i="16" a="1"/>
  <c r="D7" i="16" a="1"/>
  <c r="I30" i="16" a="1"/>
  <c r="H21" i="16" a="1"/>
  <c r="I35" i="16" a="1"/>
  <c r="I6" i="16" a="1"/>
  <c r="D27" i="16" a="1"/>
  <c r="H36" i="16" a="1"/>
  <c r="H34" i="16" a="1"/>
  <c r="H5" i="16" a="1"/>
  <c r="I42" i="16" a="1"/>
  <c r="I9" i="16" a="1"/>
  <c r="D41" i="16" a="1"/>
  <c r="H24" i="16" a="1"/>
  <c r="D30" i="16" a="1"/>
  <c r="J40" i="16" a="1"/>
  <c r="D305" i="11" l="1"/>
  <c r="B305" i="12"/>
  <c r="B305" i="10"/>
  <c r="B305" i="9"/>
  <c r="B305" i="8"/>
  <c r="B305" i="11"/>
  <c r="H8" i="16"/>
  <c r="J10" i="16"/>
  <c r="D11" i="16"/>
  <c r="I13" i="16"/>
  <c r="D19" i="16"/>
  <c r="I21" i="16"/>
  <c r="H24" i="16"/>
  <c r="J26" i="16"/>
  <c r="D27" i="16"/>
  <c r="I29" i="16"/>
  <c r="H32" i="16"/>
  <c r="J34" i="16"/>
  <c r="D35" i="16"/>
  <c r="I37" i="16"/>
  <c r="H40" i="16"/>
  <c r="J42" i="16"/>
  <c r="D7" i="16"/>
  <c r="I8" i="16"/>
  <c r="H11" i="16"/>
  <c r="J13" i="16"/>
  <c r="H19" i="16"/>
  <c r="J21" i="16"/>
  <c r="D22" i="16"/>
  <c r="I24" i="16"/>
  <c r="H27" i="16"/>
  <c r="J29" i="16"/>
  <c r="D30" i="16"/>
  <c r="I32" i="16"/>
  <c r="H35" i="16"/>
  <c r="J37" i="16"/>
  <c r="D38" i="16"/>
  <c r="I40" i="16"/>
  <c r="H7" i="16"/>
  <c r="J8" i="16"/>
  <c r="D9" i="16"/>
  <c r="I11" i="16"/>
  <c r="I19" i="16"/>
  <c r="H22" i="16"/>
  <c r="J24" i="16"/>
  <c r="D25" i="16"/>
  <c r="I27" i="16"/>
  <c r="H30" i="16"/>
  <c r="J32" i="16"/>
  <c r="D33" i="16"/>
  <c r="I35" i="16"/>
  <c r="H38" i="16"/>
  <c r="J40" i="16"/>
  <c r="D41" i="16"/>
  <c r="I7" i="16"/>
  <c r="H9" i="16"/>
  <c r="J11" i="16"/>
  <c r="D12" i="16"/>
  <c r="J19" i="16"/>
  <c r="D20" i="16"/>
  <c r="I22" i="16"/>
  <c r="H25" i="16"/>
  <c r="J27" i="16"/>
  <c r="D28" i="16"/>
  <c r="I30" i="16"/>
  <c r="H33" i="16"/>
  <c r="J35" i="16"/>
  <c r="D36" i="16"/>
  <c r="I38" i="16"/>
  <c r="H41" i="16"/>
  <c r="J7" i="16"/>
  <c r="I9" i="16"/>
  <c r="H12" i="16"/>
  <c r="H20" i="16"/>
  <c r="J22" i="16"/>
  <c r="D23" i="16"/>
  <c r="I25" i="16"/>
  <c r="H28" i="16"/>
  <c r="J30" i="16"/>
  <c r="D31" i="16"/>
  <c r="I33" i="16"/>
  <c r="H36" i="16"/>
  <c r="J38" i="16"/>
  <c r="D39" i="16"/>
  <c r="I41" i="16"/>
  <c r="J9" i="16"/>
  <c r="D10" i="16"/>
  <c r="I12" i="16"/>
  <c r="I20" i="16"/>
  <c r="H23" i="16"/>
  <c r="J25" i="16"/>
  <c r="D26" i="16"/>
  <c r="I28" i="16"/>
  <c r="H31" i="16"/>
  <c r="J33" i="16"/>
  <c r="D34" i="16"/>
  <c r="I36" i="16"/>
  <c r="H39" i="16"/>
  <c r="J41" i="16"/>
  <c r="D42" i="16"/>
  <c r="H10" i="16"/>
  <c r="J12" i="16"/>
  <c r="D13" i="16"/>
  <c r="J20" i="16"/>
  <c r="D21" i="16"/>
  <c r="I23" i="16"/>
  <c r="H26" i="16"/>
  <c r="J28" i="16"/>
  <c r="D29" i="16"/>
  <c r="I31" i="16"/>
  <c r="H34" i="16"/>
  <c r="J36" i="16"/>
  <c r="D37" i="16"/>
  <c r="I39" i="16"/>
  <c r="H42" i="16"/>
  <c r="D8" i="16"/>
  <c r="I10" i="16"/>
  <c r="H13" i="16"/>
  <c r="H21" i="16"/>
  <c r="J23" i="16"/>
  <c r="D24" i="16"/>
  <c r="I26" i="16"/>
  <c r="H29" i="16"/>
  <c r="J31" i="16"/>
  <c r="D32" i="16"/>
  <c r="I34" i="16"/>
  <c r="H37" i="16"/>
  <c r="J39" i="16"/>
  <c r="D40" i="16"/>
  <c r="I42" i="16"/>
  <c r="J6" i="16"/>
  <c r="J5" i="16"/>
  <c r="J4" i="16"/>
  <c r="I6" i="16"/>
  <c r="I5" i="16"/>
  <c r="I4" i="16"/>
  <c r="H5" i="16"/>
  <c r="H6" i="16"/>
  <c r="H4" i="16"/>
  <c r="D5" i="16"/>
  <c r="D4" i="16"/>
  <c r="D6" i="16"/>
  <c r="C62" i="12"/>
  <c r="K6" i="16" l="1"/>
  <c r="K4" i="16"/>
  <c r="K5" i="16"/>
  <c r="O27" i="16"/>
  <c r="L27" i="16"/>
  <c r="S27" i="16" s="1"/>
  <c r="K27" i="16"/>
  <c r="K36" i="16"/>
  <c r="O36" i="16"/>
  <c r="L36" i="16"/>
  <c r="S36" i="16" s="1"/>
  <c r="O39" i="16"/>
  <c r="L39" i="16"/>
  <c r="S39" i="16" s="1"/>
  <c r="K39" i="16"/>
  <c r="S17" i="16"/>
  <c r="O26" i="16"/>
  <c r="L26" i="16"/>
  <c r="S26" i="16" s="1"/>
  <c r="K26" i="16"/>
  <c r="S14" i="16"/>
  <c r="O23" i="16"/>
  <c r="L23" i="16"/>
  <c r="S23" i="16" s="1"/>
  <c r="K23" i="16"/>
  <c r="K28" i="16"/>
  <c r="O28" i="16"/>
  <c r="L28" i="16"/>
  <c r="S28" i="16" s="1"/>
  <c r="L33" i="16"/>
  <c r="K33" i="16"/>
  <c r="S33" i="16"/>
  <c r="O33" i="16"/>
  <c r="O38" i="16"/>
  <c r="L38" i="16"/>
  <c r="K38" i="16"/>
  <c r="S38" i="16"/>
  <c r="O7" i="16"/>
  <c r="K7" i="16"/>
  <c r="L7" i="16"/>
  <c r="S7" i="16" s="1"/>
  <c r="O11" i="16"/>
  <c r="L11" i="16"/>
  <c r="S11" i="16" s="1"/>
  <c r="K11" i="16"/>
  <c r="S16" i="16"/>
  <c r="O32" i="16"/>
  <c r="L32" i="16"/>
  <c r="K32" i="16"/>
  <c r="S32" i="16"/>
  <c r="O19" i="16"/>
  <c r="L19" i="16"/>
  <c r="S19" i="16" s="1"/>
  <c r="K19" i="16"/>
  <c r="O13" i="16"/>
  <c r="L13" i="16"/>
  <c r="S13" i="16" s="1"/>
  <c r="K13" i="16"/>
  <c r="O29" i="16"/>
  <c r="L29" i="16"/>
  <c r="S29" i="16" s="1"/>
  <c r="K29" i="16"/>
  <c r="O22" i="16"/>
  <c r="L22" i="16"/>
  <c r="S22" i="16" s="1"/>
  <c r="K22" i="16"/>
  <c r="K9" i="16"/>
  <c r="L9" i="16"/>
  <c r="S9" i="16" s="1"/>
  <c r="O9" i="16"/>
  <c r="O34" i="16"/>
  <c r="L34" i="16"/>
  <c r="S34" i="16" s="1"/>
  <c r="K34" i="16"/>
  <c r="O24" i="16"/>
  <c r="L24" i="16"/>
  <c r="K24" i="16"/>
  <c r="S24" i="16"/>
  <c r="K12" i="16"/>
  <c r="O12" i="16"/>
  <c r="L12" i="16"/>
  <c r="S12" i="16" s="1"/>
  <c r="O21" i="16"/>
  <c r="L21" i="16"/>
  <c r="S21" i="16" s="1"/>
  <c r="K21" i="16"/>
  <c r="O31" i="16"/>
  <c r="L31" i="16"/>
  <c r="S31" i="16" s="1"/>
  <c r="K31" i="16"/>
  <c r="L41" i="16"/>
  <c r="K41" i="16"/>
  <c r="S41" i="16"/>
  <c r="O41" i="16"/>
  <c r="S18" i="16"/>
  <c r="O37" i="16"/>
  <c r="L37" i="16"/>
  <c r="S37" i="16" s="1"/>
  <c r="K37" i="16"/>
  <c r="O42" i="16"/>
  <c r="L42" i="16"/>
  <c r="S42" i="16" s="1"/>
  <c r="K42" i="16"/>
  <c r="O10" i="16"/>
  <c r="L10" i="16"/>
  <c r="S10" i="16" s="1"/>
  <c r="K10" i="16"/>
  <c r="S15" i="16"/>
  <c r="K20" i="16"/>
  <c r="O20" i="16"/>
  <c r="L20" i="16"/>
  <c r="S20" i="16" s="1"/>
  <c r="L25" i="16"/>
  <c r="K25" i="16"/>
  <c r="S25" i="16"/>
  <c r="O25" i="16"/>
  <c r="O30" i="16"/>
  <c r="L30" i="16"/>
  <c r="K30" i="16"/>
  <c r="S30" i="16"/>
  <c r="O35" i="16"/>
  <c r="L35" i="16"/>
  <c r="K35" i="16"/>
  <c r="S35" i="16"/>
  <c r="O40" i="16"/>
  <c r="L40" i="16"/>
  <c r="K40" i="16"/>
  <c r="S40" i="16"/>
  <c r="O8" i="16"/>
  <c r="L8" i="16"/>
  <c r="S8" i="16" s="1"/>
  <c r="K8" i="16"/>
  <c r="S54" i="16"/>
  <c r="S53" i="16"/>
  <c r="S52" i="16"/>
  <c r="S51" i="16"/>
  <c r="S50" i="16"/>
  <c r="S49" i="16"/>
  <c r="S48" i="16"/>
  <c r="S47" i="16"/>
  <c r="S46" i="16"/>
  <c r="S45" i="16"/>
  <c r="S44" i="16"/>
  <c r="S43" i="16"/>
  <c r="Y22" i="16" l="1"/>
  <c r="P476" i="16" a="1"/>
  <c r="P476" i="16" s="1"/>
  <c r="P475" i="16" a="1"/>
  <c r="P475" i="16" s="1"/>
  <c r="P474" i="16" a="1"/>
  <c r="P474" i="16" s="1"/>
  <c r="P473" i="16" a="1"/>
  <c r="P473" i="16" s="1"/>
  <c r="P472" i="16" a="1"/>
  <c r="P472" i="16" s="1"/>
  <c r="P471" i="16" a="1"/>
  <c r="P471" i="16" s="1"/>
  <c r="P470" i="16" a="1"/>
  <c r="P470" i="16" s="1"/>
  <c r="P469" i="16" a="1"/>
  <c r="P469" i="16" s="1"/>
  <c r="P468" i="16" a="1"/>
  <c r="P468" i="16" s="1"/>
  <c r="P467" i="16" a="1"/>
  <c r="P467" i="16" s="1"/>
  <c r="P466" i="16" a="1"/>
  <c r="P466" i="16" s="1"/>
  <c r="P465" i="16" a="1"/>
  <c r="P465" i="16" s="1"/>
  <c r="P464" i="16" a="1"/>
  <c r="P464" i="16" s="1"/>
  <c r="P463" i="16" a="1"/>
  <c r="P463" i="16" s="1"/>
  <c r="P462" i="16" a="1"/>
  <c r="P462" i="16" s="1"/>
  <c r="P461" i="16" a="1"/>
  <c r="P461" i="16" s="1"/>
  <c r="P460" i="16" a="1"/>
  <c r="P460" i="16" s="1"/>
  <c r="P459" i="16" a="1"/>
  <c r="P459" i="16" s="1"/>
  <c r="P458" i="16" a="1"/>
  <c r="P458" i="16" s="1"/>
  <c r="P457" i="16" a="1"/>
  <c r="P457" i="16" s="1"/>
  <c r="P456" i="16" a="1"/>
  <c r="P456" i="16" s="1"/>
  <c r="P455" i="16" a="1"/>
  <c r="P455" i="16" s="1"/>
  <c r="P454" i="16" a="1"/>
  <c r="P454" i="16" s="1"/>
  <c r="P453" i="16" a="1"/>
  <c r="P453" i="16" s="1"/>
  <c r="P452" i="16" a="1"/>
  <c r="P452" i="16" s="1"/>
  <c r="P451" i="16" a="1"/>
  <c r="P451" i="16" s="1"/>
  <c r="P450" i="16" a="1"/>
  <c r="P450" i="16" s="1"/>
  <c r="P449" i="16" a="1"/>
  <c r="P449" i="16" s="1"/>
  <c r="P448" i="16" a="1"/>
  <c r="P448" i="16" s="1"/>
  <c r="P447" i="16" a="1"/>
  <c r="P447" i="16" s="1"/>
  <c r="P446" i="16" a="1"/>
  <c r="P446" i="16" s="1"/>
  <c r="P445" i="16" a="1"/>
  <c r="P445" i="16" s="1"/>
  <c r="P444" i="16" a="1"/>
  <c r="P444" i="16" s="1"/>
  <c r="P443" i="16" a="1"/>
  <c r="P443" i="16" s="1"/>
  <c r="P442" i="16" a="1"/>
  <c r="P442" i="16" s="1"/>
  <c r="P441" i="16" a="1"/>
  <c r="P441" i="16" s="1"/>
  <c r="P440" i="16" a="1"/>
  <c r="P440" i="16" s="1"/>
  <c r="P439" i="16" a="1"/>
  <c r="P439" i="16" s="1"/>
  <c r="P438" i="16" a="1"/>
  <c r="P438" i="16" s="1"/>
  <c r="P437" i="16" a="1"/>
  <c r="P437" i="16" s="1"/>
  <c r="P436" i="16" a="1"/>
  <c r="P436" i="16" s="1"/>
  <c r="P435" i="16" a="1"/>
  <c r="P435" i="16" s="1"/>
  <c r="P434" i="16" a="1"/>
  <c r="P434" i="16" s="1"/>
  <c r="P433" i="16" a="1"/>
  <c r="P433" i="16" s="1"/>
  <c r="P432" i="16" a="1"/>
  <c r="P432" i="16" s="1"/>
  <c r="P431" i="16" a="1"/>
  <c r="P431" i="16" s="1"/>
  <c r="P430" i="16" a="1"/>
  <c r="P430" i="16" s="1"/>
  <c r="P429" i="16" a="1"/>
  <c r="P429" i="16" s="1"/>
  <c r="P428" i="16" a="1"/>
  <c r="P428" i="16" s="1"/>
  <c r="P427" i="16" a="1"/>
  <c r="P427" i="16" s="1"/>
  <c r="P426" i="16" a="1"/>
  <c r="P426" i="16" s="1"/>
  <c r="P425" i="16" a="1"/>
  <c r="P425" i="16" s="1"/>
  <c r="P424" i="16" a="1"/>
  <c r="P424" i="16" s="1"/>
  <c r="P423" i="16" a="1"/>
  <c r="P423" i="16" s="1"/>
  <c r="P422" i="16" a="1"/>
  <c r="P422" i="16" s="1"/>
  <c r="P421" i="16" a="1"/>
  <c r="P421" i="16" s="1"/>
  <c r="P420" i="16" a="1"/>
  <c r="P420" i="16" s="1"/>
  <c r="P419" i="16" a="1"/>
  <c r="P419" i="16" s="1"/>
  <c r="P418" i="16" a="1"/>
  <c r="P418" i="16" s="1"/>
  <c r="P417" i="16" a="1"/>
  <c r="P417" i="16" s="1"/>
  <c r="P416" i="16" a="1"/>
  <c r="P416" i="16" s="1"/>
  <c r="P415" i="16" a="1"/>
  <c r="P415" i="16" s="1"/>
  <c r="P414" i="16" a="1"/>
  <c r="P414" i="16" s="1"/>
  <c r="P413" i="16" a="1"/>
  <c r="P413" i="16" s="1"/>
  <c r="P412" i="16" a="1"/>
  <c r="P412" i="16" s="1"/>
  <c r="P411" i="16" a="1"/>
  <c r="P411" i="16" s="1"/>
  <c r="P410" i="16" a="1"/>
  <c r="P410" i="16" s="1"/>
  <c r="P409" i="16" a="1"/>
  <c r="P409" i="16" s="1"/>
  <c r="P408" i="16" a="1"/>
  <c r="P408" i="16" s="1"/>
  <c r="P407" i="16" a="1"/>
  <c r="P407" i="16" s="1"/>
  <c r="P406" i="16" a="1"/>
  <c r="P406" i="16" s="1"/>
  <c r="P405" i="16" a="1"/>
  <c r="P405" i="16" s="1"/>
  <c r="P404" i="16" a="1"/>
  <c r="P404" i="16" s="1"/>
  <c r="P403" i="16" a="1"/>
  <c r="P403" i="16" s="1"/>
  <c r="P402" i="16" a="1"/>
  <c r="P402" i="16" s="1"/>
  <c r="P401" i="16" a="1"/>
  <c r="P401" i="16" s="1"/>
  <c r="P400" i="16" a="1"/>
  <c r="P400" i="16" s="1"/>
  <c r="P399" i="16" a="1"/>
  <c r="P399" i="16" s="1"/>
  <c r="P398" i="16" a="1"/>
  <c r="P398" i="16" s="1"/>
  <c r="P397" i="16" a="1"/>
  <c r="P397" i="16" s="1"/>
  <c r="P396" i="16" a="1"/>
  <c r="P396" i="16" s="1"/>
  <c r="P395" i="16" a="1"/>
  <c r="P395" i="16" s="1"/>
  <c r="P394" i="16" a="1"/>
  <c r="P394" i="16" s="1"/>
  <c r="P393" i="16" a="1"/>
  <c r="P393" i="16" s="1"/>
  <c r="P392" i="16" a="1"/>
  <c r="P392" i="16" s="1"/>
  <c r="P391" i="16" a="1"/>
  <c r="P391" i="16" s="1"/>
  <c r="P390" i="16" a="1"/>
  <c r="P390" i="16" s="1"/>
  <c r="P389" i="16" a="1"/>
  <c r="P389" i="16" s="1"/>
  <c r="P388" i="16" a="1"/>
  <c r="P388" i="16" s="1"/>
  <c r="P387" i="16" a="1"/>
  <c r="P387" i="16" s="1"/>
  <c r="P386" i="16" a="1"/>
  <c r="P386" i="16" s="1"/>
  <c r="P385" i="16" a="1"/>
  <c r="P385" i="16" s="1"/>
  <c r="P384" i="16" a="1"/>
  <c r="P384" i="16" s="1"/>
  <c r="P383" i="16" a="1"/>
  <c r="P383" i="16" s="1"/>
  <c r="P382" i="16" a="1"/>
  <c r="P382" i="16" s="1"/>
  <c r="P381" i="16" a="1"/>
  <c r="P381" i="16" s="1"/>
  <c r="P380" i="16" a="1"/>
  <c r="P380" i="16" s="1"/>
  <c r="P379" i="16" a="1"/>
  <c r="P379" i="16" s="1"/>
  <c r="P378" i="16" a="1"/>
  <c r="P378" i="16" s="1"/>
  <c r="P377" i="16" a="1"/>
  <c r="P377" i="16" s="1"/>
  <c r="P376" i="16" a="1"/>
  <c r="P376" i="16" s="1"/>
  <c r="P375" i="16" a="1"/>
  <c r="P375" i="16" s="1"/>
  <c r="P374" i="16" a="1"/>
  <c r="P374" i="16" s="1"/>
  <c r="P373" i="16" a="1"/>
  <c r="P373" i="16" s="1"/>
  <c r="P372" i="16" a="1"/>
  <c r="P372" i="16" s="1"/>
  <c r="P371" i="16" a="1"/>
  <c r="P371" i="16" s="1"/>
  <c r="P370" i="16" a="1"/>
  <c r="P370" i="16" s="1"/>
  <c r="P369" i="16" a="1"/>
  <c r="P369" i="16" s="1"/>
  <c r="P368" i="16" a="1"/>
  <c r="P368" i="16" s="1"/>
  <c r="P367" i="16" a="1"/>
  <c r="P367" i="16" s="1"/>
  <c r="P366" i="16" a="1"/>
  <c r="P366" i="16" s="1"/>
  <c r="P365" i="16" a="1"/>
  <c r="P365" i="16" s="1"/>
  <c r="P364" i="16" a="1"/>
  <c r="P364" i="16" s="1"/>
  <c r="P363" i="16" a="1"/>
  <c r="P363" i="16" s="1"/>
  <c r="P362" i="16" a="1"/>
  <c r="P362" i="16" s="1"/>
  <c r="P361" i="16" a="1"/>
  <c r="P361" i="16" s="1"/>
  <c r="P360" i="16" a="1"/>
  <c r="P360" i="16" s="1"/>
  <c r="P359" i="16" a="1"/>
  <c r="P359" i="16" s="1"/>
  <c r="Q358" i="16"/>
  <c r="P358" i="16" a="1"/>
  <c r="P358" i="16" s="1"/>
  <c r="Q357" i="16"/>
  <c r="P357" i="16" a="1"/>
  <c r="P357" i="16" s="1"/>
  <c r="Q356" i="16"/>
  <c r="P356" i="16" a="1"/>
  <c r="P356" i="16" s="1"/>
  <c r="Q355" i="16"/>
  <c r="P355" i="16" a="1"/>
  <c r="P355" i="16" s="1"/>
  <c r="Q354" i="16"/>
  <c r="P354" i="16" a="1"/>
  <c r="P354" i="16" s="1"/>
  <c r="Q353" i="16"/>
  <c r="P353" i="16" a="1"/>
  <c r="P353" i="16" s="1"/>
  <c r="Q352" i="16"/>
  <c r="P352" i="16" a="1"/>
  <c r="P352" i="16" s="1"/>
  <c r="Q351" i="16"/>
  <c r="P351" i="16" a="1"/>
  <c r="P351" i="16" s="1"/>
  <c r="Q350" i="16"/>
  <c r="P350" i="16" a="1"/>
  <c r="P350" i="16" s="1"/>
  <c r="Q349" i="16"/>
  <c r="P349" i="16" a="1"/>
  <c r="P349" i="16" s="1"/>
  <c r="Q348" i="16"/>
  <c r="P348" i="16" a="1"/>
  <c r="P348" i="16" s="1"/>
  <c r="Q347" i="16"/>
  <c r="P347" i="16" a="1"/>
  <c r="P347" i="16" s="1"/>
  <c r="Q346" i="16"/>
  <c r="P346" i="16" a="1"/>
  <c r="P346" i="16" s="1"/>
  <c r="Q345" i="16"/>
  <c r="P345" i="16" a="1"/>
  <c r="P345" i="16" s="1"/>
  <c r="Q344" i="16"/>
  <c r="P344" i="16" a="1"/>
  <c r="P344" i="16" s="1"/>
  <c r="Q343" i="16"/>
  <c r="P343" i="16" a="1"/>
  <c r="P343" i="16" s="1"/>
  <c r="Q342" i="16"/>
  <c r="P342" i="16" a="1"/>
  <c r="P342" i="16" s="1"/>
  <c r="Q341" i="16"/>
  <c r="P341" i="16" a="1"/>
  <c r="P341" i="16" s="1"/>
  <c r="Q340" i="16"/>
  <c r="P340" i="16" a="1"/>
  <c r="P340" i="16" s="1"/>
  <c r="Q339" i="16"/>
  <c r="P339" i="16" a="1"/>
  <c r="P339" i="16" s="1"/>
  <c r="Q338" i="16"/>
  <c r="P338" i="16" a="1"/>
  <c r="P338" i="16" s="1"/>
  <c r="Q337" i="16"/>
  <c r="P337" i="16" a="1"/>
  <c r="P337" i="16" s="1"/>
  <c r="Q336" i="16"/>
  <c r="P336" i="16" a="1"/>
  <c r="P336" i="16" s="1"/>
  <c r="Q335" i="16"/>
  <c r="P335" i="16" a="1"/>
  <c r="P335" i="16" s="1"/>
  <c r="Q334" i="16"/>
  <c r="P334" i="16" a="1"/>
  <c r="P334" i="16" s="1"/>
  <c r="Q333" i="16"/>
  <c r="P333" i="16" a="1"/>
  <c r="P333" i="16" s="1"/>
  <c r="Q332" i="16"/>
  <c r="P332" i="16" a="1"/>
  <c r="P332" i="16" s="1"/>
  <c r="Q331" i="16"/>
  <c r="P331" i="16" a="1"/>
  <c r="P331" i="16" s="1"/>
  <c r="Q330" i="16"/>
  <c r="P330" i="16" a="1"/>
  <c r="P330" i="16" s="1"/>
  <c r="Q329" i="16"/>
  <c r="P329" i="16" a="1"/>
  <c r="P329" i="16" s="1"/>
  <c r="Q328" i="16"/>
  <c r="P328" i="16" a="1"/>
  <c r="P328" i="16" s="1"/>
  <c r="Q327" i="16"/>
  <c r="P327" i="16" a="1"/>
  <c r="P327" i="16" s="1"/>
  <c r="Q326" i="16"/>
  <c r="P326" i="16" a="1"/>
  <c r="P326" i="16" s="1"/>
  <c r="Q325" i="16"/>
  <c r="P325" i="16" a="1"/>
  <c r="P325" i="16" s="1"/>
  <c r="Q324" i="16"/>
  <c r="P324" i="16" a="1"/>
  <c r="P324" i="16" s="1"/>
  <c r="Q323" i="16"/>
  <c r="P323" i="16" a="1"/>
  <c r="P323" i="16" s="1"/>
  <c r="Q322" i="16"/>
  <c r="P322" i="16" a="1"/>
  <c r="P322" i="16" s="1"/>
  <c r="Q321" i="16"/>
  <c r="P321" i="16" a="1"/>
  <c r="P321" i="16" s="1"/>
  <c r="Q320" i="16"/>
  <c r="P320" i="16" a="1"/>
  <c r="P320" i="16" s="1"/>
  <c r="Q319" i="16"/>
  <c r="P319" i="16" a="1"/>
  <c r="P319" i="16" s="1"/>
  <c r="Q318" i="16"/>
  <c r="P318" i="16" a="1"/>
  <c r="P318" i="16" s="1"/>
  <c r="Q317" i="16"/>
  <c r="P317" i="16" a="1"/>
  <c r="P317" i="16" s="1"/>
  <c r="Q316" i="16"/>
  <c r="P316" i="16" a="1"/>
  <c r="P316" i="16" s="1"/>
  <c r="Q315" i="16"/>
  <c r="P315" i="16" a="1"/>
  <c r="P315" i="16" s="1"/>
  <c r="Q314" i="16"/>
  <c r="P314" i="16" a="1"/>
  <c r="P314" i="16" s="1"/>
  <c r="Q313" i="16"/>
  <c r="P313" i="16" a="1"/>
  <c r="P313" i="16" s="1"/>
  <c r="Q312" i="16"/>
  <c r="P312" i="16" a="1"/>
  <c r="P312" i="16" s="1"/>
  <c r="Q311" i="16"/>
  <c r="P311" i="16" a="1"/>
  <c r="P311" i="16" s="1"/>
  <c r="Q310" i="16"/>
  <c r="P310" i="16" a="1"/>
  <c r="P310" i="16" s="1"/>
  <c r="Q309" i="16"/>
  <c r="P309" i="16" a="1"/>
  <c r="P309" i="16" s="1"/>
  <c r="Q308" i="16"/>
  <c r="P308" i="16" a="1"/>
  <c r="P308" i="16" s="1"/>
  <c r="Q307" i="16"/>
  <c r="P307" i="16" a="1"/>
  <c r="P307" i="16" s="1"/>
  <c r="Q306" i="16"/>
  <c r="P306" i="16" a="1"/>
  <c r="P306" i="16" s="1"/>
  <c r="Q305" i="16"/>
  <c r="P305" i="16" a="1"/>
  <c r="P305" i="16" s="1"/>
  <c r="Q304" i="16"/>
  <c r="P304" i="16" a="1"/>
  <c r="P304" i="16" s="1"/>
  <c r="Q303" i="16"/>
  <c r="P303" i="16" a="1"/>
  <c r="P303" i="16" s="1"/>
  <c r="Q302" i="16"/>
  <c r="P302" i="16" a="1"/>
  <c r="P302" i="16" s="1"/>
  <c r="Q301" i="16"/>
  <c r="P301" i="16" a="1"/>
  <c r="P301" i="16" s="1"/>
  <c r="Q300" i="16"/>
  <c r="P300" i="16" a="1"/>
  <c r="P300" i="16" s="1"/>
  <c r="Q299" i="16"/>
  <c r="P299" i="16" a="1"/>
  <c r="P299" i="16" s="1"/>
  <c r="Q298" i="16"/>
  <c r="P298" i="16" a="1"/>
  <c r="P298" i="16" s="1"/>
  <c r="Q297" i="16"/>
  <c r="P297" i="16" a="1"/>
  <c r="P297" i="16" s="1"/>
  <c r="Q296" i="16"/>
  <c r="P296" i="16" a="1"/>
  <c r="P296" i="16" s="1"/>
  <c r="Q295" i="16"/>
  <c r="P295" i="16" a="1"/>
  <c r="P295" i="16" s="1"/>
  <c r="Q294" i="16"/>
  <c r="P294" i="16" a="1"/>
  <c r="P294" i="16" s="1"/>
  <c r="Q293" i="16"/>
  <c r="P293" i="16" a="1"/>
  <c r="P293" i="16" s="1"/>
  <c r="Q292" i="16"/>
  <c r="P292" i="16" a="1"/>
  <c r="P292" i="16" s="1"/>
  <c r="Q291" i="16"/>
  <c r="P291" i="16" a="1"/>
  <c r="P291" i="16" s="1"/>
  <c r="Q290" i="16"/>
  <c r="P290" i="16" a="1"/>
  <c r="P290" i="16" s="1"/>
  <c r="Q289" i="16"/>
  <c r="P289" i="16" a="1"/>
  <c r="P289" i="16" s="1"/>
  <c r="Q288" i="16"/>
  <c r="P288" i="16" a="1"/>
  <c r="P288" i="16" s="1"/>
  <c r="Q287" i="16" a="1"/>
  <c r="Q287" i="16" s="1"/>
  <c r="P287" i="16" a="1"/>
  <c r="P287" i="16" s="1"/>
  <c r="Q286" i="16" a="1"/>
  <c r="Q286" i="16" s="1"/>
  <c r="P286" i="16" a="1"/>
  <c r="P286" i="16" s="1"/>
  <c r="Q285" i="16" a="1"/>
  <c r="Q285" i="16" s="1"/>
  <c r="P285" i="16" a="1"/>
  <c r="P285" i="16" s="1"/>
  <c r="Q284" i="16" a="1"/>
  <c r="Q284" i="16" s="1"/>
  <c r="P284" i="16" a="1"/>
  <c r="P284" i="16" s="1"/>
  <c r="Q283" i="16" a="1"/>
  <c r="Q283" i="16" s="1"/>
  <c r="P283" i="16" a="1"/>
  <c r="P283" i="16" s="1"/>
  <c r="Q282" i="16" a="1"/>
  <c r="Q282" i="16" s="1"/>
  <c r="P282" i="16" a="1"/>
  <c r="P282" i="16" s="1"/>
  <c r="Q281" i="16" a="1"/>
  <c r="Q281" i="16" s="1"/>
  <c r="P281" i="16" a="1"/>
  <c r="P281" i="16" s="1"/>
  <c r="Q280" i="16" a="1"/>
  <c r="Q280" i="16" s="1"/>
  <c r="P280" i="16" a="1"/>
  <c r="P280" i="16" s="1"/>
  <c r="Q279" i="16" a="1"/>
  <c r="Q279" i="16" s="1"/>
  <c r="P279" i="16" a="1"/>
  <c r="P279" i="16" s="1"/>
  <c r="Q278" i="16" a="1"/>
  <c r="Q278" i="16" s="1"/>
  <c r="P278" i="16" a="1"/>
  <c r="P278" i="16" s="1"/>
  <c r="Q277" i="16" a="1"/>
  <c r="Q277" i="16" s="1"/>
  <c r="P277" i="16" a="1"/>
  <c r="P277" i="16" s="1"/>
  <c r="Q276" i="16" a="1"/>
  <c r="Q276" i="16" s="1"/>
  <c r="P276" i="16" a="1"/>
  <c r="P276" i="16" s="1"/>
  <c r="Q275" i="16" a="1"/>
  <c r="Q275" i="16" s="1"/>
  <c r="P275" i="16" a="1"/>
  <c r="P275" i="16" s="1"/>
  <c r="Q274" i="16" a="1"/>
  <c r="Q274" i="16" s="1"/>
  <c r="P274" i="16" a="1"/>
  <c r="P274" i="16" s="1"/>
  <c r="Q273" i="16" a="1"/>
  <c r="Q273" i="16" s="1"/>
  <c r="P273" i="16" a="1"/>
  <c r="P273" i="16" s="1"/>
  <c r="Q272" i="16" a="1"/>
  <c r="Q272" i="16" s="1"/>
  <c r="P272" i="16" a="1"/>
  <c r="P272" i="16" s="1"/>
  <c r="Q271" i="16" a="1"/>
  <c r="Q271" i="16" s="1"/>
  <c r="P271" i="16" a="1"/>
  <c r="P271" i="16" s="1"/>
  <c r="Q270" i="16" a="1"/>
  <c r="Q270" i="16" s="1"/>
  <c r="P270" i="16" a="1"/>
  <c r="P270" i="16" s="1"/>
  <c r="Q269" i="16" a="1"/>
  <c r="Q269" i="16" s="1"/>
  <c r="P269" i="16" a="1"/>
  <c r="P269" i="16" s="1"/>
  <c r="Q268" i="16" a="1"/>
  <c r="Q268" i="16" s="1"/>
  <c r="P268" i="16" a="1"/>
  <c r="P268" i="16" s="1"/>
  <c r="Q267" i="16" a="1"/>
  <c r="Q267" i="16" s="1"/>
  <c r="P267" i="16" a="1"/>
  <c r="P267" i="16" s="1"/>
  <c r="Q266" i="16" a="1"/>
  <c r="Q266" i="16" s="1"/>
  <c r="P266" i="16" a="1"/>
  <c r="P266" i="16" s="1"/>
  <c r="Q265" i="16" a="1"/>
  <c r="Q265" i="16" s="1"/>
  <c r="P265" i="16" a="1"/>
  <c r="P265" i="16" s="1"/>
  <c r="Q264" i="16" a="1"/>
  <c r="Q264" i="16" s="1"/>
  <c r="P264" i="16" a="1"/>
  <c r="P264" i="16" s="1"/>
  <c r="Q263" i="16" a="1"/>
  <c r="Q263" i="16" s="1"/>
  <c r="P263" i="16" a="1"/>
  <c r="P263" i="16" s="1"/>
  <c r="Q262" i="16" a="1"/>
  <c r="Q262" i="16" s="1"/>
  <c r="P262" i="16" a="1"/>
  <c r="P262" i="16" s="1"/>
  <c r="Q261" i="16" a="1"/>
  <c r="Q261" i="16" s="1"/>
  <c r="P261" i="16" a="1"/>
  <c r="P261" i="16" s="1"/>
  <c r="Q260" i="16" a="1"/>
  <c r="Q260" i="16" s="1"/>
  <c r="P260" i="16" a="1"/>
  <c r="P260" i="16" s="1"/>
  <c r="Q259" i="16" a="1"/>
  <c r="Q259" i="16" s="1"/>
  <c r="P259" i="16" a="1"/>
  <c r="P259" i="16" s="1"/>
  <c r="Q258" i="16" a="1"/>
  <c r="Q258" i="16" s="1"/>
  <c r="P258" i="16" a="1"/>
  <c r="P258" i="16" s="1"/>
  <c r="Q257" i="16" a="1"/>
  <c r="Q257" i="16" s="1"/>
  <c r="P257" i="16" a="1"/>
  <c r="P257" i="16" s="1"/>
  <c r="Q256" i="16" a="1"/>
  <c r="Q256" i="16" s="1"/>
  <c r="P256" i="16" a="1"/>
  <c r="P256" i="16" s="1"/>
  <c r="Q255" i="16" a="1"/>
  <c r="Q255" i="16" s="1"/>
  <c r="P255" i="16" a="1"/>
  <c r="P255" i="16" s="1"/>
  <c r="Q254" i="16" a="1"/>
  <c r="Q254" i="16" s="1"/>
  <c r="P254" i="16" a="1"/>
  <c r="P254" i="16" s="1"/>
  <c r="Q253" i="16" a="1"/>
  <c r="Q253" i="16" s="1"/>
  <c r="P253" i="16" a="1"/>
  <c r="P253" i="16" s="1"/>
  <c r="Q252" i="16" a="1"/>
  <c r="Q252" i="16" s="1"/>
  <c r="P252" i="16" a="1"/>
  <c r="P252" i="16" s="1"/>
  <c r="Q251" i="16" a="1"/>
  <c r="Q251" i="16" s="1"/>
  <c r="P251" i="16" a="1"/>
  <c r="P251" i="16" s="1"/>
  <c r="Q250" i="16" a="1"/>
  <c r="Q250" i="16" s="1"/>
  <c r="P250" i="16" a="1"/>
  <c r="P250" i="16" s="1"/>
  <c r="Q249" i="16" a="1"/>
  <c r="Q249" i="16" s="1"/>
  <c r="P249" i="16" a="1"/>
  <c r="P249" i="16" s="1"/>
  <c r="Q248" i="16" a="1"/>
  <c r="Q248" i="16" s="1"/>
  <c r="P248" i="16" a="1"/>
  <c r="P248" i="16" s="1"/>
  <c r="Q247" i="16" a="1"/>
  <c r="Q247" i="16" s="1"/>
  <c r="P247" i="16" a="1"/>
  <c r="P247" i="16" s="1"/>
  <c r="Q246" i="16" a="1"/>
  <c r="Q246" i="16" s="1"/>
  <c r="P246" i="16" a="1"/>
  <c r="P246" i="16" s="1"/>
  <c r="Q245" i="16" a="1"/>
  <c r="Q245" i="16" s="1"/>
  <c r="P245" i="16" a="1"/>
  <c r="P245" i="16" s="1"/>
  <c r="Q244" i="16" a="1"/>
  <c r="Q244" i="16" s="1"/>
  <c r="P244" i="16" a="1"/>
  <c r="P244" i="16" s="1"/>
  <c r="Q243" i="16" a="1"/>
  <c r="Q243" i="16" s="1"/>
  <c r="P243" i="16" a="1"/>
  <c r="P243" i="16" s="1"/>
  <c r="Q242" i="16" a="1"/>
  <c r="Q242" i="16" s="1"/>
  <c r="P242" i="16" a="1"/>
  <c r="P242" i="16" s="1"/>
  <c r="Q241" i="16" a="1"/>
  <c r="Q241" i="16" s="1"/>
  <c r="P241" i="16" a="1"/>
  <c r="P241" i="16" s="1"/>
  <c r="Q240" i="16" a="1"/>
  <c r="Q240" i="16" s="1"/>
  <c r="P240" i="16" a="1"/>
  <c r="P240" i="16" s="1"/>
  <c r="Q239" i="16" a="1"/>
  <c r="Q239" i="16" s="1"/>
  <c r="P239" i="16" a="1"/>
  <c r="P239" i="16" s="1"/>
  <c r="Q238" i="16" a="1"/>
  <c r="Q238" i="16" s="1"/>
  <c r="P238" i="16" a="1"/>
  <c r="P238" i="16" s="1"/>
  <c r="Q237" i="16" a="1"/>
  <c r="Q237" i="16" s="1"/>
  <c r="P237" i="16" a="1"/>
  <c r="P237" i="16" s="1"/>
  <c r="Q236" i="16" a="1"/>
  <c r="Q236" i="16" s="1"/>
  <c r="P236" i="16" a="1"/>
  <c r="P236" i="16" s="1"/>
  <c r="Q235" i="16" a="1"/>
  <c r="Q235" i="16" s="1"/>
  <c r="P235" i="16" a="1"/>
  <c r="P235" i="16" s="1"/>
  <c r="Q234" i="16" a="1"/>
  <c r="Q234" i="16" s="1"/>
  <c r="P234" i="16" a="1"/>
  <c r="P234" i="16" s="1"/>
  <c r="Q233" i="16" a="1"/>
  <c r="Q233" i="16" s="1"/>
  <c r="P233" i="16" a="1"/>
  <c r="P233" i="16" s="1"/>
  <c r="Q232" i="16" a="1"/>
  <c r="Q232" i="16" s="1"/>
  <c r="P232" i="16" a="1"/>
  <c r="P232" i="16" s="1"/>
  <c r="Q231" i="16" a="1"/>
  <c r="Q231" i="16" s="1"/>
  <c r="P231" i="16" a="1"/>
  <c r="P231" i="16" s="1"/>
  <c r="Q230" i="16" a="1"/>
  <c r="Q230" i="16" s="1"/>
  <c r="P230" i="16" a="1"/>
  <c r="P230" i="16" s="1"/>
  <c r="Q229" i="16" a="1"/>
  <c r="Q229" i="16" s="1"/>
  <c r="P229" i="16" a="1"/>
  <c r="P229" i="16" s="1"/>
  <c r="Q228" i="16" a="1"/>
  <c r="Q228" i="16" s="1"/>
  <c r="P228" i="16" a="1"/>
  <c r="P228" i="16" s="1"/>
  <c r="Q227" i="16" a="1"/>
  <c r="Q227" i="16" s="1"/>
  <c r="P227" i="16" a="1"/>
  <c r="P227" i="16" s="1"/>
  <c r="Q226" i="16" a="1"/>
  <c r="Q226" i="16" s="1"/>
  <c r="P226" i="16" a="1"/>
  <c r="P226" i="16" s="1"/>
  <c r="Q225" i="16" a="1"/>
  <c r="Q225" i="16" s="1"/>
  <c r="P225" i="16" a="1"/>
  <c r="P225" i="16" s="1"/>
  <c r="Q224" i="16" a="1"/>
  <c r="Q224" i="16" s="1"/>
  <c r="P224" i="16" a="1"/>
  <c r="P224" i="16" s="1"/>
  <c r="Q223" i="16" a="1"/>
  <c r="Q223" i="16" s="1"/>
  <c r="P223" i="16" a="1"/>
  <c r="P223" i="16" s="1"/>
  <c r="Q222" i="16" a="1"/>
  <c r="Q222" i="16" s="1"/>
  <c r="P222" i="16" a="1"/>
  <c r="P222" i="16" s="1"/>
  <c r="Q221" i="16" a="1"/>
  <c r="Q221" i="16" s="1"/>
  <c r="P221" i="16" a="1"/>
  <c r="P221" i="16" s="1"/>
  <c r="Q220" i="16" a="1"/>
  <c r="Q220" i="16" s="1"/>
  <c r="P220" i="16" a="1"/>
  <c r="P220" i="16" s="1"/>
  <c r="Q219" i="16" a="1"/>
  <c r="Q219" i="16" s="1"/>
  <c r="P219" i="16" a="1"/>
  <c r="P219" i="16" s="1"/>
  <c r="Q218" i="16" a="1"/>
  <c r="Q218" i="16" s="1"/>
  <c r="P218" i="16" a="1"/>
  <c r="P218" i="16" s="1"/>
  <c r="Q217" i="16" a="1"/>
  <c r="Q217" i="16" s="1"/>
  <c r="P217" i="16" a="1"/>
  <c r="P217" i="16" s="1"/>
  <c r="Q216" i="16" a="1"/>
  <c r="Q216" i="16" s="1"/>
  <c r="P216" i="16" a="1"/>
  <c r="P216" i="16" s="1"/>
  <c r="Q215" i="16" a="1"/>
  <c r="Q215" i="16" s="1"/>
  <c r="P215" i="16" a="1"/>
  <c r="P215" i="16" s="1"/>
  <c r="Q214" i="16" a="1"/>
  <c r="Q214" i="16" s="1"/>
  <c r="P214" i="16" a="1"/>
  <c r="P214" i="16" s="1"/>
  <c r="Q213" i="16" a="1"/>
  <c r="Q213" i="16" s="1"/>
  <c r="P213" i="16" a="1"/>
  <c r="P213" i="16" s="1"/>
  <c r="Q212" i="16" a="1"/>
  <c r="Q212" i="16" s="1"/>
  <c r="P212" i="16" a="1"/>
  <c r="P212" i="16" s="1"/>
  <c r="Q211" i="16" a="1"/>
  <c r="Q211" i="16" s="1"/>
  <c r="P211" i="16" a="1"/>
  <c r="P211" i="16" s="1"/>
  <c r="Q210" i="16" a="1"/>
  <c r="Q210" i="16" s="1"/>
  <c r="P210" i="16" a="1"/>
  <c r="P210" i="16" s="1"/>
  <c r="Q209" i="16" a="1"/>
  <c r="Q209" i="16" s="1"/>
  <c r="P209" i="16" a="1"/>
  <c r="P209" i="16" s="1"/>
  <c r="Q208" i="16" a="1"/>
  <c r="Q208" i="16" s="1"/>
  <c r="P208" i="16" a="1"/>
  <c r="P208" i="16" s="1"/>
  <c r="Q207" i="16" a="1"/>
  <c r="Q207" i="16" s="1"/>
  <c r="P207" i="16" a="1"/>
  <c r="P207" i="16" s="1"/>
  <c r="Q206" i="16" a="1"/>
  <c r="Q206" i="16" s="1"/>
  <c r="P206" i="16" a="1"/>
  <c r="P206" i="16" s="1"/>
  <c r="Q205" i="16" a="1"/>
  <c r="Q205" i="16" s="1"/>
  <c r="P205" i="16" a="1"/>
  <c r="P205" i="16" s="1"/>
  <c r="Q204" i="16" a="1"/>
  <c r="Q204" i="16" s="1"/>
  <c r="P204" i="16" a="1"/>
  <c r="P204" i="16" s="1"/>
  <c r="Q203" i="16" a="1"/>
  <c r="Q203" i="16" s="1"/>
  <c r="P203" i="16" a="1"/>
  <c r="P203" i="16" s="1"/>
  <c r="Q202" i="16" a="1"/>
  <c r="Q202" i="16" s="1"/>
  <c r="P202" i="16" a="1"/>
  <c r="P202" i="16" s="1"/>
  <c r="Q201" i="16" a="1"/>
  <c r="Q201" i="16" s="1"/>
  <c r="P201" i="16" a="1"/>
  <c r="P201" i="16" s="1"/>
  <c r="Q200" i="16" a="1"/>
  <c r="Q200" i="16" s="1"/>
  <c r="P200" i="16" a="1"/>
  <c r="P200" i="16" s="1"/>
  <c r="Q199" i="16" a="1"/>
  <c r="Q199" i="16" s="1"/>
  <c r="P199" i="16" a="1"/>
  <c r="P199" i="16" s="1"/>
  <c r="Q198" i="16" a="1"/>
  <c r="Q198" i="16" s="1"/>
  <c r="P198" i="16" a="1"/>
  <c r="P198" i="16" s="1"/>
  <c r="Q197" i="16" a="1"/>
  <c r="Q197" i="16" s="1"/>
  <c r="P197" i="16" a="1"/>
  <c r="P197" i="16" s="1"/>
  <c r="Q196" i="16" a="1"/>
  <c r="Q196" i="16" s="1"/>
  <c r="P196" i="16" a="1"/>
  <c r="P196" i="16" s="1"/>
  <c r="Q195" i="16" a="1"/>
  <c r="Q195" i="16" s="1"/>
  <c r="P195" i="16" a="1"/>
  <c r="P195" i="16" s="1"/>
  <c r="Q194" i="16" a="1"/>
  <c r="Q194" i="16" s="1"/>
  <c r="P194" i="16" a="1"/>
  <c r="P194" i="16" s="1"/>
  <c r="Q193" i="16" a="1"/>
  <c r="Q193" i="16" s="1"/>
  <c r="P193" i="16" a="1"/>
  <c r="P193" i="16" s="1"/>
  <c r="Q192" i="16" a="1"/>
  <c r="Q192" i="16" s="1"/>
  <c r="P192" i="16" a="1"/>
  <c r="P192" i="16" s="1"/>
  <c r="Q191" i="16" a="1"/>
  <c r="Q191" i="16" s="1"/>
  <c r="P191" i="16" a="1"/>
  <c r="P191" i="16" s="1"/>
  <c r="W190" i="16"/>
  <c r="V190" i="16"/>
  <c r="S190" i="16"/>
  <c r="Q190" i="16" a="1"/>
  <c r="Q190" i="16" s="1"/>
  <c r="P190" i="16" a="1"/>
  <c r="P190" i="16" s="1"/>
  <c r="R190" i="16" s="1"/>
  <c r="O190" i="16"/>
  <c r="N190" i="16"/>
  <c r="M190" i="16"/>
  <c r="W189" i="16"/>
  <c r="V189" i="16"/>
  <c r="S189" i="16"/>
  <c r="Q189" i="16" a="1"/>
  <c r="Q189" i="16" s="1"/>
  <c r="P189" i="16" a="1"/>
  <c r="P189" i="16" s="1"/>
  <c r="R189" i="16" s="1"/>
  <c r="O189" i="16"/>
  <c r="N189" i="16"/>
  <c r="M189" i="16"/>
  <c r="W188" i="16"/>
  <c r="V188" i="16"/>
  <c r="S188" i="16"/>
  <c r="Q188" i="16" a="1"/>
  <c r="Q188" i="16" s="1"/>
  <c r="P188" i="16" a="1"/>
  <c r="P188" i="16" s="1"/>
  <c r="R188" i="16" s="1"/>
  <c r="O188" i="16"/>
  <c r="N188" i="16"/>
  <c r="M188" i="16"/>
  <c r="W187" i="16"/>
  <c r="V187" i="16"/>
  <c r="S187" i="16"/>
  <c r="Q187" i="16" a="1"/>
  <c r="Q187" i="16" s="1"/>
  <c r="P187" i="16" a="1"/>
  <c r="P187" i="16" s="1"/>
  <c r="R187" i="16" s="1"/>
  <c r="O187" i="16"/>
  <c r="N187" i="16"/>
  <c r="M187" i="16"/>
  <c r="W186" i="16"/>
  <c r="V186" i="16"/>
  <c r="S186" i="16"/>
  <c r="Q186" i="16" a="1"/>
  <c r="Q186" i="16" s="1"/>
  <c r="P186" i="16" a="1"/>
  <c r="P186" i="16" s="1"/>
  <c r="R186" i="16" s="1"/>
  <c r="O186" i="16"/>
  <c r="N186" i="16"/>
  <c r="M186" i="16"/>
  <c r="W185" i="16"/>
  <c r="V185" i="16"/>
  <c r="S185" i="16"/>
  <c r="Q185" i="16" a="1"/>
  <c r="Q185" i="16" s="1"/>
  <c r="P185" i="16" a="1"/>
  <c r="P185" i="16" s="1"/>
  <c r="R185" i="16" s="1"/>
  <c r="O185" i="16"/>
  <c r="N185" i="16"/>
  <c r="M185" i="16"/>
  <c r="W184" i="16"/>
  <c r="V184" i="16"/>
  <c r="S184" i="16"/>
  <c r="Q184" i="16" a="1"/>
  <c r="Q184" i="16" s="1"/>
  <c r="P184" i="16" a="1"/>
  <c r="P184" i="16" s="1"/>
  <c r="R184" i="16" s="1"/>
  <c r="O184" i="16"/>
  <c r="N184" i="16"/>
  <c r="M184" i="16"/>
  <c r="W183" i="16"/>
  <c r="V183" i="16"/>
  <c r="S183" i="16"/>
  <c r="Q183" i="16" a="1"/>
  <c r="Q183" i="16" s="1"/>
  <c r="P183" i="16" a="1"/>
  <c r="P183" i="16" s="1"/>
  <c r="R183" i="16" s="1"/>
  <c r="O183" i="16"/>
  <c r="N183" i="16"/>
  <c r="M183" i="16"/>
  <c r="W182" i="16"/>
  <c r="V182" i="16"/>
  <c r="S182" i="16"/>
  <c r="Q182" i="16" a="1"/>
  <c r="Q182" i="16" s="1"/>
  <c r="P182" i="16" a="1"/>
  <c r="P182" i="16" s="1"/>
  <c r="R182" i="16" s="1"/>
  <c r="O182" i="16"/>
  <c r="N182" i="16"/>
  <c r="M182" i="16"/>
  <c r="W181" i="16"/>
  <c r="V181" i="16"/>
  <c r="S181" i="16"/>
  <c r="Q181" i="16" a="1"/>
  <c r="Q181" i="16" s="1"/>
  <c r="P181" i="16" a="1"/>
  <c r="P181" i="16" s="1"/>
  <c r="R181" i="16" s="1"/>
  <c r="O181" i="16"/>
  <c r="N181" i="16"/>
  <c r="M181" i="16"/>
  <c r="W180" i="16"/>
  <c r="V180" i="16"/>
  <c r="S180" i="16"/>
  <c r="Q180" i="16" a="1"/>
  <c r="Q180" i="16" s="1"/>
  <c r="P180" i="16" a="1"/>
  <c r="P180" i="16" s="1"/>
  <c r="R180" i="16" s="1"/>
  <c r="O180" i="16"/>
  <c r="N180" i="16"/>
  <c r="M180" i="16"/>
  <c r="W179" i="16"/>
  <c r="V179" i="16"/>
  <c r="S179" i="16"/>
  <c r="Q179" i="16" a="1"/>
  <c r="Q179" i="16" s="1"/>
  <c r="P179" i="16" a="1"/>
  <c r="P179" i="16" s="1"/>
  <c r="R179" i="16" s="1"/>
  <c r="O179" i="16"/>
  <c r="N179" i="16"/>
  <c r="M179" i="16"/>
  <c r="W178" i="16"/>
  <c r="V178" i="16"/>
  <c r="S178" i="16"/>
  <c r="Q178" i="16" a="1"/>
  <c r="Q178" i="16" s="1"/>
  <c r="P178" i="16" a="1"/>
  <c r="P178" i="16" s="1"/>
  <c r="R178" i="16" s="1"/>
  <c r="O178" i="16"/>
  <c r="N178" i="16"/>
  <c r="M178" i="16"/>
  <c r="W177" i="16"/>
  <c r="V177" i="16"/>
  <c r="S177" i="16"/>
  <c r="Q177" i="16" a="1"/>
  <c r="Q177" i="16" s="1"/>
  <c r="P177" i="16" a="1"/>
  <c r="P177" i="16" s="1"/>
  <c r="R177" i="16" s="1"/>
  <c r="O177" i="16"/>
  <c r="N177" i="16"/>
  <c r="M177" i="16"/>
  <c r="W176" i="16"/>
  <c r="V176" i="16"/>
  <c r="S176" i="16"/>
  <c r="Q176" i="16" a="1"/>
  <c r="Q176" i="16" s="1"/>
  <c r="P176" i="16" a="1"/>
  <c r="P176" i="16" s="1"/>
  <c r="R176" i="16" s="1"/>
  <c r="O176" i="16"/>
  <c r="N176" i="16"/>
  <c r="M176" i="16"/>
  <c r="W175" i="16"/>
  <c r="V175" i="16"/>
  <c r="S175" i="16"/>
  <c r="Q175" i="16" a="1"/>
  <c r="Q175" i="16" s="1"/>
  <c r="P175" i="16" a="1"/>
  <c r="P175" i="16" s="1"/>
  <c r="R175" i="16" s="1"/>
  <c r="O175" i="16"/>
  <c r="N175" i="16"/>
  <c r="M175" i="16"/>
  <c r="W174" i="16"/>
  <c r="V174" i="16"/>
  <c r="S174" i="16"/>
  <c r="Q174" i="16" a="1"/>
  <c r="Q174" i="16" s="1"/>
  <c r="P174" i="16" a="1"/>
  <c r="P174" i="16" s="1"/>
  <c r="R174" i="16" s="1"/>
  <c r="O174" i="16"/>
  <c r="N174" i="16"/>
  <c r="M174" i="16"/>
  <c r="W173" i="16"/>
  <c r="V173" i="16"/>
  <c r="S173" i="16"/>
  <c r="Q173" i="16" a="1"/>
  <c r="Q173" i="16" s="1"/>
  <c r="P173" i="16" a="1"/>
  <c r="P173" i="16" s="1"/>
  <c r="R173" i="16" s="1"/>
  <c r="O173" i="16"/>
  <c r="N173" i="16"/>
  <c r="M173" i="16"/>
  <c r="W172" i="16"/>
  <c r="V172" i="16"/>
  <c r="S172" i="16"/>
  <c r="Q172" i="16" a="1"/>
  <c r="Q172" i="16" s="1"/>
  <c r="P172" i="16" a="1"/>
  <c r="P172" i="16" s="1"/>
  <c r="R172" i="16" s="1"/>
  <c r="O172" i="16"/>
  <c r="N172" i="16"/>
  <c r="M172" i="16"/>
  <c r="W171" i="16"/>
  <c r="V171" i="16"/>
  <c r="S171" i="16"/>
  <c r="Q171" i="16" a="1"/>
  <c r="Q171" i="16" s="1"/>
  <c r="P171" i="16" a="1"/>
  <c r="P171" i="16" s="1"/>
  <c r="R171" i="16" s="1"/>
  <c r="O171" i="16"/>
  <c r="N171" i="16"/>
  <c r="M171" i="16"/>
  <c r="W170" i="16"/>
  <c r="V170" i="16"/>
  <c r="S170" i="16"/>
  <c r="Q170" i="16" a="1"/>
  <c r="Q170" i="16" s="1"/>
  <c r="P170" i="16" a="1"/>
  <c r="P170" i="16" s="1"/>
  <c r="R170" i="16" s="1"/>
  <c r="O170" i="16"/>
  <c r="N170" i="16"/>
  <c r="M170" i="16"/>
  <c r="W169" i="16"/>
  <c r="V169" i="16"/>
  <c r="S169" i="16"/>
  <c r="Q169" i="16" a="1"/>
  <c r="Q169" i="16" s="1"/>
  <c r="P169" i="16" a="1"/>
  <c r="P169" i="16" s="1"/>
  <c r="R169" i="16" s="1"/>
  <c r="O169" i="16"/>
  <c r="N169" i="16"/>
  <c r="M169" i="16"/>
  <c r="W168" i="16"/>
  <c r="V168" i="16"/>
  <c r="S168" i="16"/>
  <c r="Q168" i="16" a="1"/>
  <c r="Q168" i="16" s="1"/>
  <c r="P168" i="16" a="1"/>
  <c r="P168" i="16" s="1"/>
  <c r="R168" i="16" s="1"/>
  <c r="O168" i="16"/>
  <c r="N168" i="16"/>
  <c r="M168" i="16"/>
  <c r="W167" i="16"/>
  <c r="V167" i="16"/>
  <c r="S167" i="16"/>
  <c r="Q167" i="16" a="1"/>
  <c r="Q167" i="16" s="1"/>
  <c r="P167" i="16" a="1"/>
  <c r="P167" i="16" s="1"/>
  <c r="R167" i="16" s="1"/>
  <c r="O167" i="16"/>
  <c r="N167" i="16"/>
  <c r="M167" i="16"/>
  <c r="W166" i="16"/>
  <c r="V166" i="16"/>
  <c r="S166" i="16"/>
  <c r="Q166" i="16" a="1"/>
  <c r="Q166" i="16" s="1"/>
  <c r="P166" i="16" a="1"/>
  <c r="P166" i="16" s="1"/>
  <c r="R166" i="16" s="1"/>
  <c r="O166" i="16"/>
  <c r="N166" i="16"/>
  <c r="M166" i="16"/>
  <c r="W165" i="16"/>
  <c r="V165" i="16"/>
  <c r="S165" i="16"/>
  <c r="Q165" i="16" a="1"/>
  <c r="Q165" i="16" s="1"/>
  <c r="P165" i="16" a="1"/>
  <c r="P165" i="16" s="1"/>
  <c r="R165" i="16" s="1"/>
  <c r="O165" i="16"/>
  <c r="N165" i="16"/>
  <c r="M165" i="16"/>
  <c r="W164" i="16"/>
  <c r="V164" i="16"/>
  <c r="S164" i="16"/>
  <c r="Q164" i="16" a="1"/>
  <c r="Q164" i="16" s="1"/>
  <c r="P164" i="16" a="1"/>
  <c r="P164" i="16" s="1"/>
  <c r="R164" i="16" s="1"/>
  <c r="O164" i="16"/>
  <c r="N164" i="16"/>
  <c r="M164" i="16"/>
  <c r="W163" i="16"/>
  <c r="V163" i="16"/>
  <c r="S163" i="16"/>
  <c r="Q163" i="16" a="1"/>
  <c r="Q163" i="16" s="1"/>
  <c r="P163" i="16" a="1"/>
  <c r="P163" i="16" s="1"/>
  <c r="R163" i="16" s="1"/>
  <c r="O163" i="16"/>
  <c r="N163" i="16"/>
  <c r="M163" i="16"/>
  <c r="W162" i="16"/>
  <c r="V162" i="16"/>
  <c r="S162" i="16"/>
  <c r="Q162" i="16" a="1"/>
  <c r="Q162" i="16" s="1"/>
  <c r="P162" i="16" a="1"/>
  <c r="P162" i="16" s="1"/>
  <c r="R162" i="16" s="1"/>
  <c r="O162" i="16"/>
  <c r="N162" i="16"/>
  <c r="M162" i="16"/>
  <c r="W161" i="16"/>
  <c r="V161" i="16"/>
  <c r="S161" i="16"/>
  <c r="Q161" i="16" a="1"/>
  <c r="Q161" i="16" s="1"/>
  <c r="P161" i="16" a="1"/>
  <c r="P161" i="16" s="1"/>
  <c r="R161" i="16" s="1"/>
  <c r="O161" i="16"/>
  <c r="N161" i="16"/>
  <c r="M161" i="16"/>
  <c r="W160" i="16"/>
  <c r="V160" i="16"/>
  <c r="S160" i="16"/>
  <c r="Q160" i="16" a="1"/>
  <c r="Q160" i="16" s="1"/>
  <c r="P160" i="16" a="1"/>
  <c r="P160" i="16" s="1"/>
  <c r="R160" i="16" s="1"/>
  <c r="O160" i="16"/>
  <c r="N160" i="16"/>
  <c r="M160" i="16"/>
  <c r="W159" i="16"/>
  <c r="V159" i="16"/>
  <c r="S159" i="16"/>
  <c r="Q159" i="16" a="1"/>
  <c r="Q159" i="16" s="1"/>
  <c r="P159" i="16" a="1"/>
  <c r="P159" i="16" s="1"/>
  <c r="R159" i="16" s="1"/>
  <c r="O159" i="16"/>
  <c r="N159" i="16"/>
  <c r="M159" i="16"/>
  <c r="W158" i="16"/>
  <c r="V158" i="16"/>
  <c r="S158" i="16"/>
  <c r="Q158" i="16" a="1"/>
  <c r="Q158" i="16" s="1"/>
  <c r="P158" i="16" a="1"/>
  <c r="P158" i="16" s="1"/>
  <c r="R158" i="16" s="1"/>
  <c r="O158" i="16"/>
  <c r="N158" i="16"/>
  <c r="M158" i="16"/>
  <c r="W157" i="16"/>
  <c r="V157" i="16"/>
  <c r="S157" i="16"/>
  <c r="Q157" i="16" a="1"/>
  <c r="Q157" i="16" s="1"/>
  <c r="P157" i="16" a="1"/>
  <c r="P157" i="16" s="1"/>
  <c r="R157" i="16" s="1"/>
  <c r="O157" i="16"/>
  <c r="N157" i="16"/>
  <c r="M157" i="16"/>
  <c r="W156" i="16"/>
  <c r="V156" i="16"/>
  <c r="S156" i="16"/>
  <c r="Q156" i="16" a="1"/>
  <c r="Q156" i="16" s="1"/>
  <c r="P156" i="16" a="1"/>
  <c r="P156" i="16" s="1"/>
  <c r="R156" i="16" s="1"/>
  <c r="O156" i="16"/>
  <c r="N156" i="16"/>
  <c r="M156" i="16"/>
  <c r="W155" i="16"/>
  <c r="V155" i="16"/>
  <c r="S155" i="16"/>
  <c r="Q155" i="16" a="1"/>
  <c r="Q155" i="16" s="1"/>
  <c r="P155" i="16" a="1"/>
  <c r="P155" i="16" s="1"/>
  <c r="R155" i="16" s="1"/>
  <c r="O155" i="16"/>
  <c r="N155" i="16"/>
  <c r="M155" i="16"/>
  <c r="W154" i="16"/>
  <c r="V154" i="16"/>
  <c r="S154" i="16"/>
  <c r="Q154" i="16" a="1"/>
  <c r="Q154" i="16" s="1"/>
  <c r="P154" i="16" a="1"/>
  <c r="P154" i="16" s="1"/>
  <c r="R154" i="16" s="1"/>
  <c r="O154" i="16"/>
  <c r="N154" i="16"/>
  <c r="M154" i="16"/>
  <c r="W153" i="16"/>
  <c r="V153" i="16"/>
  <c r="S153" i="16"/>
  <c r="Q153" i="16" a="1"/>
  <c r="Q153" i="16" s="1"/>
  <c r="P153" i="16" a="1"/>
  <c r="P153" i="16" s="1"/>
  <c r="R153" i="16" s="1"/>
  <c r="O153" i="16"/>
  <c r="N153" i="16"/>
  <c r="M153" i="16"/>
  <c r="W152" i="16"/>
  <c r="V152" i="16"/>
  <c r="S152" i="16"/>
  <c r="Q152" i="16" a="1"/>
  <c r="Q152" i="16" s="1"/>
  <c r="P152" i="16" a="1"/>
  <c r="P152" i="16" s="1"/>
  <c r="R152" i="16" s="1"/>
  <c r="O152" i="16"/>
  <c r="N152" i="16"/>
  <c r="M152" i="16"/>
  <c r="W151" i="16"/>
  <c r="V151" i="16"/>
  <c r="S151" i="16"/>
  <c r="Q151" i="16" a="1"/>
  <c r="Q151" i="16" s="1"/>
  <c r="P151" i="16" a="1"/>
  <c r="P151" i="16" s="1"/>
  <c r="R151" i="16" s="1"/>
  <c r="O151" i="16"/>
  <c r="N151" i="16"/>
  <c r="M151" i="16"/>
  <c r="W150" i="16"/>
  <c r="V150" i="16"/>
  <c r="S150" i="16"/>
  <c r="Q150" i="16" a="1"/>
  <c r="Q150" i="16" s="1"/>
  <c r="P150" i="16" a="1"/>
  <c r="P150" i="16" s="1"/>
  <c r="R150" i="16" s="1"/>
  <c r="O150" i="16"/>
  <c r="N150" i="16"/>
  <c r="M150" i="16"/>
  <c r="W149" i="16"/>
  <c r="V149" i="16"/>
  <c r="S149" i="16"/>
  <c r="Q149" i="16" a="1"/>
  <c r="Q149" i="16" s="1"/>
  <c r="P149" i="16" a="1"/>
  <c r="P149" i="16" s="1"/>
  <c r="R149" i="16" s="1"/>
  <c r="O149" i="16"/>
  <c r="N149" i="16"/>
  <c r="M149" i="16"/>
  <c r="W148" i="16"/>
  <c r="V148" i="16"/>
  <c r="S148" i="16"/>
  <c r="Q148" i="16" a="1"/>
  <c r="Q148" i="16" s="1"/>
  <c r="P148" i="16" a="1"/>
  <c r="P148" i="16" s="1"/>
  <c r="R148" i="16" s="1"/>
  <c r="O148" i="16"/>
  <c r="N148" i="16"/>
  <c r="M148" i="16"/>
  <c r="W147" i="16"/>
  <c r="V147" i="16"/>
  <c r="S147" i="16"/>
  <c r="Q147" i="16" a="1"/>
  <c r="Q147" i="16" s="1"/>
  <c r="P147" i="16" a="1"/>
  <c r="P147" i="16" s="1"/>
  <c r="R147" i="16" s="1"/>
  <c r="O147" i="16"/>
  <c r="N147" i="16"/>
  <c r="M147" i="16"/>
  <c r="W146" i="16"/>
  <c r="V146" i="16"/>
  <c r="S146" i="16"/>
  <c r="Q146" i="16" a="1"/>
  <c r="Q146" i="16" s="1"/>
  <c r="P146" i="16" a="1"/>
  <c r="P146" i="16" s="1"/>
  <c r="R146" i="16" s="1"/>
  <c r="O146" i="16"/>
  <c r="N146" i="16"/>
  <c r="M146" i="16"/>
  <c r="W145" i="16"/>
  <c r="V145" i="16"/>
  <c r="S145" i="16"/>
  <c r="Q145" i="16" a="1"/>
  <c r="Q145" i="16" s="1"/>
  <c r="P145" i="16" a="1"/>
  <c r="P145" i="16" s="1"/>
  <c r="R145" i="16" s="1"/>
  <c r="O145" i="16"/>
  <c r="N145" i="16"/>
  <c r="M145" i="16"/>
  <c r="W144" i="16"/>
  <c r="V144" i="16"/>
  <c r="S144" i="16"/>
  <c r="Q144" i="16" a="1"/>
  <c r="Q144" i="16" s="1"/>
  <c r="P144" i="16" a="1"/>
  <c r="P144" i="16" s="1"/>
  <c r="R144" i="16" s="1"/>
  <c r="O144" i="16"/>
  <c r="N144" i="16"/>
  <c r="M144" i="16"/>
  <c r="W143" i="16"/>
  <c r="V143" i="16"/>
  <c r="S143" i="16"/>
  <c r="Q143" i="16" a="1"/>
  <c r="Q143" i="16" s="1"/>
  <c r="P143" i="16" a="1"/>
  <c r="P143" i="16" s="1"/>
  <c r="R143" i="16" s="1"/>
  <c r="O143" i="16"/>
  <c r="N143" i="16"/>
  <c r="M143" i="16"/>
  <c r="W142" i="16"/>
  <c r="V142" i="16"/>
  <c r="S142" i="16"/>
  <c r="Q142" i="16" a="1"/>
  <c r="Q142" i="16" s="1"/>
  <c r="P142" i="16" a="1"/>
  <c r="P142" i="16" s="1"/>
  <c r="R142" i="16" s="1"/>
  <c r="O142" i="16"/>
  <c r="N142" i="16"/>
  <c r="M142" i="16"/>
  <c r="W141" i="16"/>
  <c r="V141" i="16"/>
  <c r="S141" i="16"/>
  <c r="Q141" i="16" a="1"/>
  <c r="Q141" i="16" s="1"/>
  <c r="P141" i="16" a="1"/>
  <c r="P141" i="16" s="1"/>
  <c r="R141" i="16" s="1"/>
  <c r="O141" i="16"/>
  <c r="N141" i="16"/>
  <c r="M141" i="16"/>
  <c r="W140" i="16"/>
  <c r="V140" i="16"/>
  <c r="S140" i="16"/>
  <c r="Q140" i="16" a="1"/>
  <c r="Q140" i="16" s="1"/>
  <c r="P140" i="16" a="1"/>
  <c r="P140" i="16" s="1"/>
  <c r="R140" i="16" s="1"/>
  <c r="O140" i="16"/>
  <c r="N140" i="16"/>
  <c r="M140" i="16"/>
  <c r="W139" i="16"/>
  <c r="V139" i="16"/>
  <c r="S139" i="16"/>
  <c r="Q139" i="16" a="1"/>
  <c r="Q139" i="16" s="1"/>
  <c r="P139" i="16" a="1"/>
  <c r="P139" i="16" s="1"/>
  <c r="R139" i="16" s="1"/>
  <c r="O139" i="16"/>
  <c r="N139" i="16"/>
  <c r="M139" i="16"/>
  <c r="W138" i="16"/>
  <c r="V138" i="16"/>
  <c r="S138" i="16"/>
  <c r="Q138" i="16" a="1"/>
  <c r="Q138" i="16" s="1"/>
  <c r="P138" i="16" a="1"/>
  <c r="P138" i="16" s="1"/>
  <c r="R138" i="16" s="1"/>
  <c r="O138" i="16"/>
  <c r="N138" i="16"/>
  <c r="M138" i="16"/>
  <c r="W137" i="16"/>
  <c r="V137" i="16"/>
  <c r="S137" i="16"/>
  <c r="Q137" i="16" a="1"/>
  <c r="Q137" i="16" s="1"/>
  <c r="P137" i="16" a="1"/>
  <c r="P137" i="16" s="1"/>
  <c r="R137" i="16" s="1"/>
  <c r="O137" i="16"/>
  <c r="N137" i="16"/>
  <c r="M137" i="16"/>
  <c r="W136" i="16"/>
  <c r="V136" i="16"/>
  <c r="S136" i="16"/>
  <c r="Q136" i="16" a="1"/>
  <c r="Q136" i="16" s="1"/>
  <c r="P136" i="16" a="1"/>
  <c r="P136" i="16" s="1"/>
  <c r="R136" i="16" s="1"/>
  <c r="O136" i="16"/>
  <c r="N136" i="16"/>
  <c r="M136" i="16"/>
  <c r="W135" i="16"/>
  <c r="V135" i="16"/>
  <c r="S135" i="16"/>
  <c r="Q135" i="16" a="1"/>
  <c r="Q135" i="16" s="1"/>
  <c r="P135" i="16" a="1"/>
  <c r="P135" i="16" s="1"/>
  <c r="R135" i="16" s="1"/>
  <c r="O135" i="16"/>
  <c r="N135" i="16"/>
  <c r="M135" i="16"/>
  <c r="W134" i="16"/>
  <c r="V134" i="16"/>
  <c r="S134" i="16"/>
  <c r="Q134" i="16" a="1"/>
  <c r="Q134" i="16" s="1"/>
  <c r="P134" i="16" a="1"/>
  <c r="P134" i="16" s="1"/>
  <c r="R134" i="16" s="1"/>
  <c r="O134" i="16"/>
  <c r="N134" i="16"/>
  <c r="M134" i="16"/>
  <c r="W133" i="16"/>
  <c r="V133" i="16"/>
  <c r="S133" i="16"/>
  <c r="Q133" i="16" a="1"/>
  <c r="Q133" i="16" s="1"/>
  <c r="P133" i="16" a="1"/>
  <c r="P133" i="16" s="1"/>
  <c r="R133" i="16" s="1"/>
  <c r="O133" i="16"/>
  <c r="N133" i="16"/>
  <c r="M133" i="16"/>
  <c r="W132" i="16"/>
  <c r="V132" i="16"/>
  <c r="S132" i="16"/>
  <c r="Q132" i="16" a="1"/>
  <c r="Q132" i="16" s="1"/>
  <c r="P132" i="16" a="1"/>
  <c r="P132" i="16" s="1"/>
  <c r="R132" i="16" s="1"/>
  <c r="O132" i="16"/>
  <c r="N132" i="16"/>
  <c r="M132" i="16"/>
  <c r="W131" i="16"/>
  <c r="V131" i="16"/>
  <c r="S131" i="16"/>
  <c r="Q131" i="16" a="1"/>
  <c r="Q131" i="16" s="1"/>
  <c r="P131" i="16" a="1"/>
  <c r="P131" i="16" s="1"/>
  <c r="R131" i="16" s="1"/>
  <c r="O131" i="16"/>
  <c r="N131" i="16"/>
  <c r="M131" i="16"/>
  <c r="W130" i="16"/>
  <c r="V130" i="16"/>
  <c r="S130" i="16"/>
  <c r="Q130" i="16" a="1"/>
  <c r="Q130" i="16" s="1"/>
  <c r="P130" i="16" a="1"/>
  <c r="P130" i="16" s="1"/>
  <c r="R130" i="16" s="1"/>
  <c r="O130" i="16"/>
  <c r="N130" i="16"/>
  <c r="M130" i="16"/>
  <c r="W129" i="16"/>
  <c r="V129" i="16"/>
  <c r="S129" i="16"/>
  <c r="Q129" i="16" a="1"/>
  <c r="Q129" i="16" s="1"/>
  <c r="P129" i="16" a="1"/>
  <c r="P129" i="16" s="1"/>
  <c r="R129" i="16" s="1"/>
  <c r="O129" i="16"/>
  <c r="N129" i="16"/>
  <c r="M129" i="16"/>
  <c r="W128" i="16"/>
  <c r="V128" i="16"/>
  <c r="S128" i="16"/>
  <c r="Q128" i="16" a="1"/>
  <c r="Q128" i="16" s="1"/>
  <c r="P128" i="16" a="1"/>
  <c r="P128" i="16" s="1"/>
  <c r="R128" i="16" s="1"/>
  <c r="O128" i="16"/>
  <c r="N128" i="16"/>
  <c r="M128" i="16"/>
  <c r="W127" i="16"/>
  <c r="V127" i="16"/>
  <c r="S127" i="16"/>
  <c r="Q127" i="16" a="1"/>
  <c r="Q127" i="16" s="1"/>
  <c r="P127" i="16" a="1"/>
  <c r="P127" i="16" s="1"/>
  <c r="R127" i="16" s="1"/>
  <c r="O127" i="16"/>
  <c r="N127" i="16"/>
  <c r="M127" i="16"/>
  <c r="W126" i="16"/>
  <c r="V126" i="16"/>
  <c r="S126" i="16"/>
  <c r="Q126" i="16" a="1"/>
  <c r="Q126" i="16" s="1"/>
  <c r="P126" i="16" a="1"/>
  <c r="P126" i="16" s="1"/>
  <c r="R126" i="16" s="1"/>
  <c r="O126" i="16"/>
  <c r="N126" i="16"/>
  <c r="M126" i="16"/>
  <c r="W125" i="16"/>
  <c r="V125" i="16"/>
  <c r="S125" i="16"/>
  <c r="Q125" i="16" a="1"/>
  <c r="Q125" i="16" s="1"/>
  <c r="P125" i="16" a="1"/>
  <c r="P125" i="16" s="1"/>
  <c r="R125" i="16" s="1"/>
  <c r="O125" i="16"/>
  <c r="N125" i="16"/>
  <c r="M125" i="16"/>
  <c r="W124" i="16"/>
  <c r="V124" i="16"/>
  <c r="S124" i="16"/>
  <c r="Q124" i="16" a="1"/>
  <c r="Q124" i="16" s="1"/>
  <c r="P124" i="16" a="1"/>
  <c r="P124" i="16" s="1"/>
  <c r="R124" i="16" s="1"/>
  <c r="O124" i="16"/>
  <c r="N124" i="16"/>
  <c r="M124" i="16"/>
  <c r="W123" i="16"/>
  <c r="V123" i="16"/>
  <c r="S123" i="16"/>
  <c r="Q123" i="16" a="1"/>
  <c r="Q123" i="16" s="1"/>
  <c r="P123" i="16" a="1"/>
  <c r="P123" i="16" s="1"/>
  <c r="R123" i="16" s="1"/>
  <c r="O123" i="16"/>
  <c r="N123" i="16"/>
  <c r="M123" i="16"/>
  <c r="W122" i="16"/>
  <c r="V122" i="16"/>
  <c r="S122" i="16"/>
  <c r="Q122" i="16" a="1"/>
  <c r="Q122" i="16" s="1"/>
  <c r="P122" i="16" a="1"/>
  <c r="P122" i="16" s="1"/>
  <c r="R122" i="16" s="1"/>
  <c r="O122" i="16"/>
  <c r="N122" i="16"/>
  <c r="M122" i="16"/>
  <c r="W121" i="16"/>
  <c r="V121" i="16"/>
  <c r="S121" i="16"/>
  <c r="Q121" i="16" a="1"/>
  <c r="Q121" i="16" s="1"/>
  <c r="P121" i="16" a="1"/>
  <c r="P121" i="16" s="1"/>
  <c r="R121" i="16" s="1"/>
  <c r="O121" i="16"/>
  <c r="N121" i="16"/>
  <c r="M121" i="16"/>
  <c r="W120" i="16"/>
  <c r="V120" i="16"/>
  <c r="S120" i="16"/>
  <c r="Q120" i="16" a="1"/>
  <c r="Q120" i="16" s="1"/>
  <c r="P120" i="16" a="1"/>
  <c r="P120" i="16" s="1"/>
  <c r="R120" i="16" s="1"/>
  <c r="O120" i="16"/>
  <c r="N120" i="16"/>
  <c r="M120" i="16"/>
  <c r="W119" i="16"/>
  <c r="V119" i="16"/>
  <c r="S119" i="16"/>
  <c r="Q119" i="16" a="1"/>
  <c r="Q119" i="16" s="1"/>
  <c r="P119" i="16" a="1"/>
  <c r="P119" i="16" s="1"/>
  <c r="R119" i="16" s="1"/>
  <c r="O119" i="16"/>
  <c r="N119" i="16"/>
  <c r="M119" i="16"/>
  <c r="W118" i="16"/>
  <c r="V118" i="16"/>
  <c r="S118" i="16"/>
  <c r="Q118" i="16" a="1"/>
  <c r="Q118" i="16" s="1"/>
  <c r="P118" i="16" a="1"/>
  <c r="P118" i="16" s="1"/>
  <c r="R118" i="16" s="1"/>
  <c r="O118" i="16"/>
  <c r="N118" i="16"/>
  <c r="M118" i="16"/>
  <c r="W117" i="16"/>
  <c r="V117" i="16"/>
  <c r="S117" i="16"/>
  <c r="Q117" i="16" a="1"/>
  <c r="Q117" i="16" s="1"/>
  <c r="P117" i="16" a="1"/>
  <c r="P117" i="16" s="1"/>
  <c r="R117" i="16" s="1"/>
  <c r="O117" i="16"/>
  <c r="N117" i="16"/>
  <c r="M117" i="16"/>
  <c r="W116" i="16"/>
  <c r="V116" i="16"/>
  <c r="S116" i="16"/>
  <c r="Q116" i="16" a="1"/>
  <c r="Q116" i="16" s="1"/>
  <c r="P116" i="16" a="1"/>
  <c r="P116" i="16" s="1"/>
  <c r="R116" i="16" s="1"/>
  <c r="O116" i="16"/>
  <c r="N116" i="16"/>
  <c r="M116" i="16"/>
  <c r="W115" i="16"/>
  <c r="V115" i="16"/>
  <c r="S115" i="16"/>
  <c r="Q115" i="16" a="1"/>
  <c r="Q115" i="16" s="1"/>
  <c r="P115" i="16" a="1"/>
  <c r="P115" i="16" s="1"/>
  <c r="R115" i="16" s="1"/>
  <c r="O115" i="16"/>
  <c r="N115" i="16"/>
  <c r="M115" i="16"/>
  <c r="W114" i="16"/>
  <c r="V114" i="16"/>
  <c r="S114" i="16"/>
  <c r="Q114" i="16" a="1"/>
  <c r="Q114" i="16" s="1"/>
  <c r="P114" i="16" a="1"/>
  <c r="P114" i="16" s="1"/>
  <c r="R114" i="16" s="1"/>
  <c r="O114" i="16"/>
  <c r="N114" i="16"/>
  <c r="M114" i="16"/>
  <c r="W113" i="16"/>
  <c r="V113" i="16"/>
  <c r="S113" i="16"/>
  <c r="Q113" i="16" a="1"/>
  <c r="Q113" i="16" s="1"/>
  <c r="P113" i="16" a="1"/>
  <c r="P113" i="16" s="1"/>
  <c r="R113" i="16" s="1"/>
  <c r="O113" i="16"/>
  <c r="N113" i="16"/>
  <c r="M113" i="16"/>
  <c r="W112" i="16"/>
  <c r="V112" i="16"/>
  <c r="S112" i="16"/>
  <c r="Q112" i="16" a="1"/>
  <c r="Q112" i="16" s="1"/>
  <c r="P112" i="16" a="1"/>
  <c r="P112" i="16" s="1"/>
  <c r="R112" i="16" s="1"/>
  <c r="O112" i="16"/>
  <c r="N112" i="16"/>
  <c r="M112" i="16"/>
  <c r="W111" i="16"/>
  <c r="V111" i="16"/>
  <c r="S111" i="16"/>
  <c r="Q111" i="16" a="1"/>
  <c r="Q111" i="16" s="1"/>
  <c r="P111" i="16" a="1"/>
  <c r="P111" i="16" s="1"/>
  <c r="R111" i="16" s="1"/>
  <c r="O111" i="16"/>
  <c r="N111" i="16"/>
  <c r="M111" i="16"/>
  <c r="W110" i="16"/>
  <c r="V110" i="16"/>
  <c r="S110" i="16"/>
  <c r="Q110" i="16" a="1"/>
  <c r="Q110" i="16" s="1"/>
  <c r="P110" i="16" a="1"/>
  <c r="P110" i="16" s="1"/>
  <c r="R110" i="16" s="1"/>
  <c r="O110" i="16"/>
  <c r="N110" i="16"/>
  <c r="M110" i="16"/>
  <c r="W109" i="16"/>
  <c r="V109" i="16"/>
  <c r="S109" i="16"/>
  <c r="Q109" i="16" a="1"/>
  <c r="Q109" i="16" s="1"/>
  <c r="P109" i="16" a="1"/>
  <c r="P109" i="16" s="1"/>
  <c r="R109" i="16" s="1"/>
  <c r="O109" i="16"/>
  <c r="N109" i="16"/>
  <c r="M109" i="16"/>
  <c r="W108" i="16"/>
  <c r="V108" i="16"/>
  <c r="S108" i="16"/>
  <c r="Q108" i="16" a="1"/>
  <c r="Q108" i="16" s="1"/>
  <c r="P108" i="16" a="1"/>
  <c r="P108" i="16" s="1"/>
  <c r="R108" i="16" s="1"/>
  <c r="O108" i="16"/>
  <c r="N108" i="16"/>
  <c r="M108" i="16"/>
  <c r="W107" i="16"/>
  <c r="V107" i="16"/>
  <c r="S107" i="16"/>
  <c r="Q107" i="16" a="1"/>
  <c r="Q107" i="16" s="1"/>
  <c r="P107" i="16" a="1"/>
  <c r="P107" i="16" s="1"/>
  <c r="R107" i="16" s="1"/>
  <c r="O107" i="16"/>
  <c r="N107" i="16"/>
  <c r="M107" i="16"/>
  <c r="W106" i="16"/>
  <c r="V106" i="16"/>
  <c r="S106" i="16"/>
  <c r="Q106" i="16" a="1"/>
  <c r="Q106" i="16" s="1"/>
  <c r="P106" i="16" a="1"/>
  <c r="P106" i="16" s="1"/>
  <c r="R106" i="16" s="1"/>
  <c r="O106" i="16"/>
  <c r="N106" i="16"/>
  <c r="M106" i="16"/>
  <c r="W105" i="16"/>
  <c r="V105" i="16"/>
  <c r="S105" i="16"/>
  <c r="Q105" i="16" a="1"/>
  <c r="Q105" i="16" s="1"/>
  <c r="P105" i="16" a="1"/>
  <c r="P105" i="16" s="1"/>
  <c r="R105" i="16" s="1"/>
  <c r="O105" i="16"/>
  <c r="N105" i="16"/>
  <c r="M105" i="16"/>
  <c r="W104" i="16"/>
  <c r="V104" i="16"/>
  <c r="S104" i="16"/>
  <c r="Q104" i="16" a="1"/>
  <c r="Q104" i="16" s="1"/>
  <c r="P104" i="16" a="1"/>
  <c r="P104" i="16" s="1"/>
  <c r="R104" i="16" s="1"/>
  <c r="O104" i="16"/>
  <c r="N104" i="16"/>
  <c r="M104" i="16"/>
  <c r="W103" i="16"/>
  <c r="V103" i="16"/>
  <c r="S103" i="16"/>
  <c r="Q103" i="16" a="1"/>
  <c r="Q103" i="16" s="1"/>
  <c r="P103" i="16" a="1"/>
  <c r="P103" i="16" s="1"/>
  <c r="R103" i="16" s="1"/>
  <c r="O103" i="16"/>
  <c r="N103" i="16"/>
  <c r="M103" i="16"/>
  <c r="W102" i="16"/>
  <c r="V102" i="16"/>
  <c r="S102" i="16"/>
  <c r="Q102" i="16" a="1"/>
  <c r="Q102" i="16" s="1"/>
  <c r="P102" i="16" a="1"/>
  <c r="P102" i="16" s="1"/>
  <c r="R102" i="16" s="1"/>
  <c r="O102" i="16"/>
  <c r="N102" i="16"/>
  <c r="M102" i="16"/>
  <c r="W101" i="16"/>
  <c r="V101" i="16"/>
  <c r="S101" i="16"/>
  <c r="Q101" i="16" a="1"/>
  <c r="Q101" i="16" s="1"/>
  <c r="P101" i="16" a="1"/>
  <c r="P101" i="16" s="1"/>
  <c r="R101" i="16" s="1"/>
  <c r="O101" i="16"/>
  <c r="N101" i="16"/>
  <c r="M101" i="16"/>
  <c r="W100" i="16"/>
  <c r="V100" i="16"/>
  <c r="S100" i="16"/>
  <c r="Q100" i="16" a="1"/>
  <c r="Q100" i="16" s="1"/>
  <c r="P100" i="16" a="1"/>
  <c r="P100" i="16" s="1"/>
  <c r="R100" i="16" s="1"/>
  <c r="O100" i="16"/>
  <c r="N100" i="16"/>
  <c r="M100" i="16"/>
  <c r="W99" i="16"/>
  <c r="V99" i="16"/>
  <c r="S99" i="16"/>
  <c r="Q99" i="16" a="1"/>
  <c r="Q99" i="16" s="1"/>
  <c r="P99" i="16" a="1"/>
  <c r="P99" i="16" s="1"/>
  <c r="R99" i="16" s="1"/>
  <c r="O99" i="16"/>
  <c r="N99" i="16"/>
  <c r="M99" i="16"/>
  <c r="W98" i="16"/>
  <c r="V98" i="16"/>
  <c r="S98" i="16"/>
  <c r="Q98" i="16" a="1"/>
  <c r="Q98" i="16" s="1"/>
  <c r="P98" i="16" a="1"/>
  <c r="P98" i="16" s="1"/>
  <c r="R98" i="16" s="1"/>
  <c r="O98" i="16"/>
  <c r="N98" i="16"/>
  <c r="M98" i="16"/>
  <c r="W97" i="16"/>
  <c r="V97" i="16"/>
  <c r="S97" i="16"/>
  <c r="Q97" i="16" a="1"/>
  <c r="Q97" i="16" s="1"/>
  <c r="P97" i="16" a="1"/>
  <c r="P97" i="16" s="1"/>
  <c r="R97" i="16" s="1"/>
  <c r="O97" i="16"/>
  <c r="N97" i="16"/>
  <c r="M97" i="16"/>
  <c r="W96" i="16"/>
  <c r="V96" i="16"/>
  <c r="S96" i="16"/>
  <c r="Q96" i="16" a="1"/>
  <c r="Q96" i="16" s="1"/>
  <c r="P96" i="16" a="1"/>
  <c r="P96" i="16" s="1"/>
  <c r="R96" i="16" s="1"/>
  <c r="O96" i="16"/>
  <c r="N96" i="16"/>
  <c r="M96" i="16"/>
  <c r="W95" i="16"/>
  <c r="V95" i="16"/>
  <c r="S95" i="16"/>
  <c r="Q95" i="16" a="1"/>
  <c r="Q95" i="16" s="1"/>
  <c r="P95" i="16" a="1"/>
  <c r="P95" i="16" s="1"/>
  <c r="R95" i="16" s="1"/>
  <c r="O95" i="16"/>
  <c r="N95" i="16"/>
  <c r="M95" i="16"/>
  <c r="W94" i="16"/>
  <c r="V94" i="16"/>
  <c r="S94" i="16"/>
  <c r="Q94" i="16" a="1"/>
  <c r="Q94" i="16" s="1"/>
  <c r="P94" i="16" a="1"/>
  <c r="P94" i="16" s="1"/>
  <c r="R94" i="16" s="1"/>
  <c r="O94" i="16"/>
  <c r="N94" i="16"/>
  <c r="M94" i="16"/>
  <c r="W93" i="16"/>
  <c r="V93" i="16"/>
  <c r="S93" i="16"/>
  <c r="Q93" i="16" a="1"/>
  <c r="Q93" i="16" s="1"/>
  <c r="P93" i="16" a="1"/>
  <c r="P93" i="16" s="1"/>
  <c r="R93" i="16" s="1"/>
  <c r="O93" i="16"/>
  <c r="N93" i="16"/>
  <c r="M93" i="16"/>
  <c r="W92" i="16"/>
  <c r="V92" i="16"/>
  <c r="S92" i="16"/>
  <c r="Q92" i="16" a="1"/>
  <c r="Q92" i="16" s="1"/>
  <c r="P92" i="16" a="1"/>
  <c r="P92" i="16" s="1"/>
  <c r="R92" i="16" s="1"/>
  <c r="O92" i="16"/>
  <c r="N92" i="16"/>
  <c r="M92" i="16"/>
  <c r="W91" i="16"/>
  <c r="V91" i="16"/>
  <c r="S91" i="16"/>
  <c r="Q91" i="16" a="1"/>
  <c r="Q91" i="16" s="1"/>
  <c r="P91" i="16" a="1"/>
  <c r="P91" i="16" s="1"/>
  <c r="R91" i="16" s="1"/>
  <c r="O91" i="16"/>
  <c r="N91" i="16"/>
  <c r="M91" i="16"/>
  <c r="W90" i="16"/>
  <c r="V90" i="16"/>
  <c r="S90" i="16"/>
  <c r="Q90" i="16" a="1"/>
  <c r="Q90" i="16" s="1"/>
  <c r="P90" i="16" a="1"/>
  <c r="P90" i="16" s="1"/>
  <c r="R90" i="16" s="1"/>
  <c r="O90" i="16"/>
  <c r="N90" i="16"/>
  <c r="M90" i="16"/>
  <c r="W89" i="16"/>
  <c r="V89" i="16"/>
  <c r="S89" i="16"/>
  <c r="Q89" i="16" a="1"/>
  <c r="Q89" i="16" s="1"/>
  <c r="P89" i="16" a="1"/>
  <c r="P89" i="16" s="1"/>
  <c r="R89" i="16" s="1"/>
  <c r="O89" i="16"/>
  <c r="N89" i="16"/>
  <c r="M89" i="16"/>
  <c r="W88" i="16"/>
  <c r="V88" i="16"/>
  <c r="S88" i="16"/>
  <c r="Q88" i="16" a="1"/>
  <c r="Q88" i="16" s="1"/>
  <c r="P88" i="16" a="1"/>
  <c r="P88" i="16" s="1"/>
  <c r="R88" i="16" s="1"/>
  <c r="O88" i="16"/>
  <c r="N88" i="16"/>
  <c r="M88" i="16"/>
  <c r="W87" i="16"/>
  <c r="V87" i="16"/>
  <c r="S87" i="16"/>
  <c r="Q87" i="16" a="1"/>
  <c r="Q87" i="16" s="1"/>
  <c r="P87" i="16" a="1"/>
  <c r="P87" i="16" s="1"/>
  <c r="R87" i="16" s="1"/>
  <c r="O87" i="16"/>
  <c r="N87" i="16"/>
  <c r="M87" i="16"/>
  <c r="W86" i="16"/>
  <c r="V86" i="16"/>
  <c r="S86" i="16"/>
  <c r="Q86" i="16" a="1"/>
  <c r="Q86" i="16" s="1"/>
  <c r="P86" i="16" a="1"/>
  <c r="P86" i="16" s="1"/>
  <c r="R86" i="16" s="1"/>
  <c r="O86" i="16"/>
  <c r="N86" i="16"/>
  <c r="M86" i="16"/>
  <c r="W85" i="16"/>
  <c r="V85" i="16"/>
  <c r="S85" i="16"/>
  <c r="Q85" i="16" a="1"/>
  <c r="Q85" i="16" s="1"/>
  <c r="P85" i="16" a="1"/>
  <c r="P85" i="16" s="1"/>
  <c r="R85" i="16" s="1"/>
  <c r="O85" i="16"/>
  <c r="N85" i="16"/>
  <c r="M85" i="16"/>
  <c r="W84" i="16"/>
  <c r="V84" i="16"/>
  <c r="S84" i="16"/>
  <c r="Q84" i="16" a="1"/>
  <c r="Q84" i="16" s="1"/>
  <c r="P84" i="16" a="1"/>
  <c r="P84" i="16" s="1"/>
  <c r="R84" i="16" s="1"/>
  <c r="O84" i="16"/>
  <c r="N84" i="16"/>
  <c r="M84" i="16"/>
  <c r="W83" i="16"/>
  <c r="V83" i="16"/>
  <c r="S83" i="16"/>
  <c r="Q83" i="16" a="1"/>
  <c r="Q83" i="16" s="1"/>
  <c r="P83" i="16" a="1"/>
  <c r="P83" i="16" s="1"/>
  <c r="R83" i="16" s="1"/>
  <c r="O83" i="16"/>
  <c r="N83" i="16"/>
  <c r="M83" i="16"/>
  <c r="W82" i="16"/>
  <c r="V82" i="16"/>
  <c r="S82" i="16"/>
  <c r="Q82" i="16" a="1"/>
  <c r="Q82" i="16" s="1"/>
  <c r="P82" i="16" a="1"/>
  <c r="P82" i="16" s="1"/>
  <c r="R82" i="16" s="1"/>
  <c r="O82" i="16"/>
  <c r="N82" i="16"/>
  <c r="M82" i="16"/>
  <c r="W81" i="16"/>
  <c r="V81" i="16"/>
  <c r="S81" i="16"/>
  <c r="Q81" i="16" a="1"/>
  <c r="Q81" i="16" s="1"/>
  <c r="P81" i="16" a="1"/>
  <c r="P81" i="16" s="1"/>
  <c r="R81" i="16" s="1"/>
  <c r="O81" i="16"/>
  <c r="N81" i="16"/>
  <c r="M81" i="16"/>
  <c r="W80" i="16"/>
  <c r="V80" i="16"/>
  <c r="S80" i="16"/>
  <c r="Q80" i="16" a="1"/>
  <c r="Q80" i="16" s="1"/>
  <c r="P80" i="16" a="1"/>
  <c r="P80" i="16" s="1"/>
  <c r="R80" i="16" s="1"/>
  <c r="O80" i="16"/>
  <c r="N80" i="16"/>
  <c r="M80" i="16"/>
  <c r="W79" i="16"/>
  <c r="V79" i="16"/>
  <c r="S79" i="16"/>
  <c r="Q79" i="16" a="1"/>
  <c r="Q79" i="16" s="1"/>
  <c r="P79" i="16" a="1"/>
  <c r="P79" i="16" s="1"/>
  <c r="R79" i="16" s="1"/>
  <c r="O79" i="16"/>
  <c r="N79" i="16"/>
  <c r="M79" i="16"/>
  <c r="W78" i="16"/>
  <c r="V78" i="16"/>
  <c r="S78" i="16"/>
  <c r="Q78" i="16" a="1"/>
  <c r="Q78" i="16" s="1"/>
  <c r="P78" i="16" a="1"/>
  <c r="P78" i="16" s="1"/>
  <c r="R78" i="16" s="1"/>
  <c r="O78" i="16"/>
  <c r="N78" i="16"/>
  <c r="M78" i="16"/>
  <c r="W77" i="16"/>
  <c r="V77" i="16"/>
  <c r="S77" i="16"/>
  <c r="Q77" i="16" a="1"/>
  <c r="Q77" i="16" s="1"/>
  <c r="P77" i="16" a="1"/>
  <c r="P77" i="16" s="1"/>
  <c r="R77" i="16" s="1"/>
  <c r="O77" i="16"/>
  <c r="N77" i="16"/>
  <c r="M77" i="16"/>
  <c r="W76" i="16"/>
  <c r="V76" i="16"/>
  <c r="S76" i="16"/>
  <c r="Q76" i="16" a="1"/>
  <c r="Q76" i="16" s="1"/>
  <c r="P76" i="16" a="1"/>
  <c r="P76" i="16" s="1"/>
  <c r="R76" i="16" s="1"/>
  <c r="O76" i="16"/>
  <c r="N76" i="16"/>
  <c r="M76" i="16"/>
  <c r="W75" i="16"/>
  <c r="V75" i="16"/>
  <c r="S75" i="16"/>
  <c r="Q75" i="16" a="1"/>
  <c r="Q75" i="16" s="1"/>
  <c r="P75" i="16" a="1"/>
  <c r="P75" i="16" s="1"/>
  <c r="R75" i="16" s="1"/>
  <c r="O75" i="16"/>
  <c r="N75" i="16"/>
  <c r="M75" i="16"/>
  <c r="W74" i="16"/>
  <c r="V74" i="16"/>
  <c r="S74" i="16"/>
  <c r="Q74" i="16" a="1"/>
  <c r="Q74" i="16" s="1"/>
  <c r="P74" i="16" a="1"/>
  <c r="P74" i="16" s="1"/>
  <c r="R74" i="16" s="1"/>
  <c r="O74" i="16"/>
  <c r="N74" i="16"/>
  <c r="M74" i="16"/>
  <c r="W73" i="16"/>
  <c r="V73" i="16"/>
  <c r="S73" i="16"/>
  <c r="Q73" i="16" a="1"/>
  <c r="Q73" i="16" s="1"/>
  <c r="P73" i="16" a="1"/>
  <c r="P73" i="16" s="1"/>
  <c r="R73" i="16" s="1"/>
  <c r="O73" i="16"/>
  <c r="N73" i="16"/>
  <c r="M73" i="16"/>
  <c r="W72" i="16"/>
  <c r="V72" i="16"/>
  <c r="S72" i="16"/>
  <c r="Q72" i="16" a="1"/>
  <c r="Q72" i="16" s="1"/>
  <c r="P72" i="16" a="1"/>
  <c r="P72" i="16" s="1"/>
  <c r="R72" i="16" s="1"/>
  <c r="O72" i="16"/>
  <c r="N72" i="16"/>
  <c r="M72" i="16"/>
  <c r="W71" i="16"/>
  <c r="V71" i="16"/>
  <c r="S71" i="16"/>
  <c r="Q71" i="16" a="1"/>
  <c r="Q71" i="16" s="1"/>
  <c r="P71" i="16" a="1"/>
  <c r="P71" i="16" s="1"/>
  <c r="R71" i="16" s="1"/>
  <c r="O71" i="16"/>
  <c r="N71" i="16"/>
  <c r="M71" i="16"/>
  <c r="W70" i="16"/>
  <c r="V70" i="16"/>
  <c r="S70" i="16"/>
  <c r="Q70" i="16" a="1"/>
  <c r="Q70" i="16" s="1"/>
  <c r="P70" i="16" a="1"/>
  <c r="P70" i="16" s="1"/>
  <c r="R70" i="16" s="1"/>
  <c r="O70" i="16"/>
  <c r="N70" i="16"/>
  <c r="M70" i="16"/>
  <c r="W69" i="16"/>
  <c r="V69" i="16"/>
  <c r="S69" i="16"/>
  <c r="Q69" i="16" a="1"/>
  <c r="Q69" i="16" s="1"/>
  <c r="P69" i="16" a="1"/>
  <c r="P69" i="16" s="1"/>
  <c r="R69" i="16" s="1"/>
  <c r="O69" i="16"/>
  <c r="N69" i="16"/>
  <c r="M69" i="16"/>
  <c r="W68" i="16"/>
  <c r="V68" i="16"/>
  <c r="S68" i="16"/>
  <c r="Q68" i="16" a="1"/>
  <c r="Q68" i="16" s="1"/>
  <c r="P68" i="16" a="1"/>
  <c r="P68" i="16" s="1"/>
  <c r="R68" i="16" s="1"/>
  <c r="O68" i="16"/>
  <c r="N68" i="16"/>
  <c r="M68" i="16"/>
  <c r="W67" i="16"/>
  <c r="V67" i="16"/>
  <c r="S67" i="16"/>
  <c r="Q67" i="16" a="1"/>
  <c r="Q67" i="16" s="1"/>
  <c r="P67" i="16" a="1"/>
  <c r="P67" i="16" s="1"/>
  <c r="R67" i="16" s="1"/>
  <c r="O67" i="16"/>
  <c r="N67" i="16"/>
  <c r="M67" i="16"/>
  <c r="W66" i="16"/>
  <c r="V66" i="16"/>
  <c r="S66" i="16"/>
  <c r="Q66" i="16" a="1"/>
  <c r="Q66" i="16" s="1"/>
  <c r="P66" i="16" a="1"/>
  <c r="P66" i="16" s="1"/>
  <c r="R66" i="16" s="1"/>
  <c r="O66" i="16"/>
  <c r="N66" i="16"/>
  <c r="M66" i="16"/>
  <c r="W65" i="16"/>
  <c r="V65" i="16"/>
  <c r="S65" i="16"/>
  <c r="Q65" i="16" a="1"/>
  <c r="Q65" i="16" s="1"/>
  <c r="P65" i="16" a="1"/>
  <c r="P65" i="16" s="1"/>
  <c r="R65" i="16" s="1"/>
  <c r="O65" i="16"/>
  <c r="N65" i="16"/>
  <c r="M65" i="16"/>
  <c r="W64" i="16"/>
  <c r="V64" i="16"/>
  <c r="S64" i="16"/>
  <c r="Q64" i="16" a="1"/>
  <c r="Q64" i="16" s="1"/>
  <c r="P64" i="16" a="1"/>
  <c r="P64" i="16" s="1"/>
  <c r="R64" i="16" s="1"/>
  <c r="O64" i="16"/>
  <c r="N64" i="16"/>
  <c r="M64" i="16"/>
  <c r="W63" i="16"/>
  <c r="V63" i="16"/>
  <c r="S63" i="16"/>
  <c r="Q63" i="16" a="1"/>
  <c r="Q63" i="16" s="1"/>
  <c r="P63" i="16" a="1"/>
  <c r="P63" i="16" s="1"/>
  <c r="R63" i="16" s="1"/>
  <c r="O63" i="16"/>
  <c r="N63" i="16"/>
  <c r="M63" i="16"/>
  <c r="W62" i="16"/>
  <c r="V62" i="16"/>
  <c r="S62" i="16"/>
  <c r="Q62" i="16" a="1"/>
  <c r="Q62" i="16" s="1"/>
  <c r="P62" i="16" a="1"/>
  <c r="P62" i="16" s="1"/>
  <c r="R62" i="16" s="1"/>
  <c r="O62" i="16"/>
  <c r="N62" i="16"/>
  <c r="M62" i="16"/>
  <c r="W61" i="16"/>
  <c r="V61" i="16"/>
  <c r="S61" i="16"/>
  <c r="Q61" i="16" a="1"/>
  <c r="Q61" i="16" s="1"/>
  <c r="P61" i="16" a="1"/>
  <c r="P61" i="16" s="1"/>
  <c r="R61" i="16" s="1"/>
  <c r="O61" i="16"/>
  <c r="N61" i="16"/>
  <c r="M61" i="16"/>
  <c r="W60" i="16"/>
  <c r="V60" i="16"/>
  <c r="S60" i="16"/>
  <c r="Q60" i="16" a="1"/>
  <c r="Q60" i="16" s="1"/>
  <c r="P60" i="16" a="1"/>
  <c r="P60" i="16" s="1"/>
  <c r="R60" i="16" s="1"/>
  <c r="O60" i="16"/>
  <c r="N60" i="16"/>
  <c r="M60" i="16"/>
  <c r="W59" i="16"/>
  <c r="V59" i="16"/>
  <c r="S59" i="16"/>
  <c r="Q59" i="16" a="1"/>
  <c r="Q59" i="16" s="1"/>
  <c r="P59" i="16" a="1"/>
  <c r="P59" i="16" s="1"/>
  <c r="R59" i="16" s="1"/>
  <c r="O59" i="16"/>
  <c r="N59" i="16"/>
  <c r="M59" i="16"/>
  <c r="W58" i="16"/>
  <c r="V58" i="16"/>
  <c r="S58" i="16"/>
  <c r="Q58" i="16" a="1"/>
  <c r="Q58" i="16" s="1"/>
  <c r="P58" i="16" a="1"/>
  <c r="P58" i="16" s="1"/>
  <c r="R58" i="16" s="1"/>
  <c r="O58" i="16"/>
  <c r="N58" i="16"/>
  <c r="M58" i="16"/>
  <c r="W57" i="16"/>
  <c r="V57" i="16"/>
  <c r="S57" i="16"/>
  <c r="Q57" i="16" a="1"/>
  <c r="Q57" i="16" s="1"/>
  <c r="P57" i="16" a="1"/>
  <c r="P57" i="16" s="1"/>
  <c r="R57" i="16" s="1"/>
  <c r="O57" i="16"/>
  <c r="N57" i="16"/>
  <c r="M57" i="16"/>
  <c r="W56" i="16"/>
  <c r="V56" i="16"/>
  <c r="S56" i="16"/>
  <c r="Q56" i="16" a="1"/>
  <c r="Q56" i="16" s="1"/>
  <c r="P56" i="16" a="1"/>
  <c r="P56" i="16" s="1"/>
  <c r="R56" i="16" s="1"/>
  <c r="O56" i="16"/>
  <c r="N56" i="16"/>
  <c r="M56" i="16"/>
  <c r="W55" i="16"/>
  <c r="V55" i="16"/>
  <c r="S55" i="16"/>
  <c r="Q55" i="16" a="1"/>
  <c r="Q55" i="16" s="1"/>
  <c r="P55" i="16" a="1"/>
  <c r="P55" i="16" s="1"/>
  <c r="R55" i="16" s="1"/>
  <c r="O55" i="16"/>
  <c r="N55" i="16"/>
  <c r="M55" i="16"/>
  <c r="W54" i="16"/>
  <c r="V54" i="16"/>
  <c r="Q54" i="16" a="1"/>
  <c r="Q54" i="16" s="1"/>
  <c r="P54" i="16" a="1"/>
  <c r="P54" i="16" s="1"/>
  <c r="R54" i="16" s="1"/>
  <c r="O54" i="16"/>
  <c r="N54" i="16"/>
  <c r="M54" i="16"/>
  <c r="H54" i="16" a="1"/>
  <c r="H54" i="16" s="1"/>
  <c r="L54" i="16" s="1"/>
  <c r="D54" i="16" a="1"/>
  <c r="D54" i="16" s="1"/>
  <c r="W53" i="16"/>
  <c r="V53" i="16"/>
  <c r="Q53" i="16" a="1"/>
  <c r="Q53" i="16" s="1"/>
  <c r="P53" i="16" a="1"/>
  <c r="P53" i="16" s="1"/>
  <c r="R53" i="16" s="1"/>
  <c r="O53" i="16"/>
  <c r="N53" i="16"/>
  <c r="M53" i="16"/>
  <c r="H53" i="16" a="1"/>
  <c r="H53" i="16" s="1"/>
  <c r="L53" i="16" s="1"/>
  <c r="D53" i="16" a="1"/>
  <c r="D53" i="16" s="1"/>
  <c r="W52" i="16"/>
  <c r="V52" i="16"/>
  <c r="Q52" i="16" a="1"/>
  <c r="Q52" i="16" s="1"/>
  <c r="P52" i="16" a="1"/>
  <c r="P52" i="16" s="1"/>
  <c r="R52" i="16" s="1"/>
  <c r="O52" i="16"/>
  <c r="N52" i="16"/>
  <c r="M52" i="16"/>
  <c r="H52" i="16" a="1"/>
  <c r="H52" i="16" s="1"/>
  <c r="L52" i="16" s="1"/>
  <c r="D52" i="16" a="1"/>
  <c r="D52" i="16" s="1"/>
  <c r="W51" i="16"/>
  <c r="V51" i="16"/>
  <c r="Q51" i="16" a="1"/>
  <c r="Q51" i="16" s="1"/>
  <c r="P51" i="16" a="1"/>
  <c r="P51" i="16" s="1"/>
  <c r="R51" i="16" s="1"/>
  <c r="O51" i="16"/>
  <c r="N51" i="16"/>
  <c r="M51" i="16"/>
  <c r="H51" i="16" a="1"/>
  <c r="H51" i="16" s="1"/>
  <c r="D51" i="16" a="1"/>
  <c r="D51" i="16" s="1"/>
  <c r="W50" i="16"/>
  <c r="V50" i="16"/>
  <c r="Q50" i="16" a="1"/>
  <c r="Q50" i="16" s="1"/>
  <c r="P50" i="16" a="1"/>
  <c r="P50" i="16" s="1"/>
  <c r="R50" i="16" s="1"/>
  <c r="O50" i="16"/>
  <c r="N50" i="16"/>
  <c r="M50" i="16"/>
  <c r="H50" i="16" a="1"/>
  <c r="H50" i="16" s="1"/>
  <c r="D50" i="16" a="1"/>
  <c r="D50" i="16" s="1"/>
  <c r="W49" i="16"/>
  <c r="V49" i="16"/>
  <c r="Q49" i="16" a="1"/>
  <c r="Q49" i="16" s="1"/>
  <c r="P49" i="16" a="1"/>
  <c r="P49" i="16" s="1"/>
  <c r="R49" i="16" s="1"/>
  <c r="O49" i="16"/>
  <c r="N49" i="16"/>
  <c r="M49" i="16"/>
  <c r="H49" i="16" a="1"/>
  <c r="H49" i="16" s="1"/>
  <c r="D49" i="16" a="1"/>
  <c r="D49" i="16" s="1"/>
  <c r="W48" i="16"/>
  <c r="V48" i="16"/>
  <c r="Q48" i="16" a="1"/>
  <c r="Q48" i="16" s="1"/>
  <c r="P48" i="16" a="1"/>
  <c r="P48" i="16" s="1"/>
  <c r="R48" i="16" s="1"/>
  <c r="O48" i="16"/>
  <c r="N48" i="16"/>
  <c r="M48" i="16"/>
  <c r="H48" i="16" a="1"/>
  <c r="H48" i="16" s="1"/>
  <c r="L48" i="16" s="1"/>
  <c r="D48" i="16" a="1"/>
  <c r="D48" i="16" s="1"/>
  <c r="W47" i="16"/>
  <c r="V47" i="16"/>
  <c r="Q47" i="16" a="1"/>
  <c r="Q47" i="16" s="1"/>
  <c r="P47" i="16" a="1"/>
  <c r="P47" i="16" s="1"/>
  <c r="R47" i="16" s="1"/>
  <c r="O47" i="16"/>
  <c r="N47" i="16"/>
  <c r="M47" i="16"/>
  <c r="H47" i="16" a="1"/>
  <c r="H47" i="16" s="1"/>
  <c r="D47" i="16" a="1"/>
  <c r="D47" i="16" s="1"/>
  <c r="W46" i="16"/>
  <c r="V46" i="16"/>
  <c r="Q46" i="16" a="1"/>
  <c r="Q46" i="16" s="1"/>
  <c r="P46" i="16" a="1"/>
  <c r="P46" i="16" s="1"/>
  <c r="R46" i="16" s="1"/>
  <c r="O46" i="16"/>
  <c r="N46" i="16"/>
  <c r="M46" i="16"/>
  <c r="H46" i="16" a="1"/>
  <c r="H46" i="16" s="1"/>
  <c r="L46" i="16" s="1"/>
  <c r="D46" i="16" a="1"/>
  <c r="D46" i="16" s="1"/>
  <c r="W45" i="16"/>
  <c r="V45" i="16"/>
  <c r="Q45" i="16" a="1"/>
  <c r="Q45" i="16" s="1"/>
  <c r="P45" i="16" a="1"/>
  <c r="P45" i="16" s="1"/>
  <c r="R45" i="16" s="1"/>
  <c r="O45" i="16"/>
  <c r="N45" i="16"/>
  <c r="M45" i="16"/>
  <c r="H45" i="16" a="1"/>
  <c r="H45" i="16" s="1"/>
  <c r="L45" i="16" s="1"/>
  <c r="D45" i="16" a="1"/>
  <c r="D45" i="16" s="1"/>
  <c r="W44" i="16"/>
  <c r="V44" i="16"/>
  <c r="Q44" i="16" a="1"/>
  <c r="Q44" i="16" s="1"/>
  <c r="P44" i="16" a="1"/>
  <c r="P44" i="16" s="1"/>
  <c r="R44" i="16" s="1"/>
  <c r="O44" i="16"/>
  <c r="N44" i="16"/>
  <c r="M44" i="16"/>
  <c r="H44" i="16" a="1"/>
  <c r="H44" i="16" s="1"/>
  <c r="D44" i="16" a="1"/>
  <c r="D44" i="16" s="1"/>
  <c r="W43" i="16"/>
  <c r="V43" i="16"/>
  <c r="Q43" i="16" a="1"/>
  <c r="Q43" i="16" s="1"/>
  <c r="P43" i="16" a="1"/>
  <c r="P43" i="16" s="1"/>
  <c r="R43" i="16" s="1"/>
  <c r="O43" i="16"/>
  <c r="N43" i="16"/>
  <c r="M43" i="16"/>
  <c r="H43" i="16" a="1"/>
  <c r="H43" i="16" s="1"/>
  <c r="D43" i="16" a="1"/>
  <c r="D43" i="16" s="1"/>
  <c r="V6" i="16"/>
  <c r="R6" i="16"/>
  <c r="N6" i="16"/>
  <c r="M6" i="16"/>
  <c r="L6" i="16"/>
  <c r="S6" i="16" s="1"/>
  <c r="V5" i="16"/>
  <c r="R5" i="16"/>
  <c r="N5" i="16"/>
  <c r="M5" i="16"/>
  <c r="V4" i="16"/>
  <c r="R4" i="16"/>
  <c r="N4" i="16"/>
  <c r="M4" i="16"/>
  <c r="E64" i="14"/>
  <c r="C55" i="14"/>
  <c r="C52" i="14"/>
  <c r="C43" i="14"/>
  <c r="C40" i="14"/>
  <c r="C39" i="14"/>
  <c r="C14" i="14"/>
  <c r="C12" i="14"/>
  <c r="C10" i="14"/>
  <c r="C37" i="14" s="1"/>
  <c r="D506" i="12"/>
  <c r="D505" i="12"/>
  <c r="D504" i="12"/>
  <c r="D503" i="12"/>
  <c r="D502" i="12"/>
  <c r="D501" i="12"/>
  <c r="D500" i="12"/>
  <c r="D499" i="12"/>
  <c r="D498" i="12"/>
  <c r="D497" i="12"/>
  <c r="D496" i="12"/>
  <c r="D495" i="12"/>
  <c r="D494" i="12"/>
  <c r="D493" i="12"/>
  <c r="D492" i="12"/>
  <c r="D491" i="12"/>
  <c r="D490" i="12"/>
  <c r="D489" i="12"/>
  <c r="D488" i="12"/>
  <c r="D487" i="12"/>
  <c r="D486" i="12"/>
  <c r="D485" i="12"/>
  <c r="D484" i="12"/>
  <c r="D483" i="12"/>
  <c r="D482" i="12"/>
  <c r="D481" i="12"/>
  <c r="D480" i="12"/>
  <c r="D479" i="12"/>
  <c r="D478" i="12"/>
  <c r="D477" i="12"/>
  <c r="D476" i="12"/>
  <c r="D475" i="12"/>
  <c r="D474" i="12"/>
  <c r="D473" i="12"/>
  <c r="D472" i="12"/>
  <c r="D471" i="12"/>
  <c r="D470" i="12"/>
  <c r="D469" i="12"/>
  <c r="D468" i="12"/>
  <c r="D467" i="12"/>
  <c r="D466" i="12"/>
  <c r="D465" i="12"/>
  <c r="D464" i="12"/>
  <c r="D463" i="12"/>
  <c r="D462" i="12"/>
  <c r="D461" i="12"/>
  <c r="D460" i="12"/>
  <c r="D459" i="12"/>
  <c r="D458" i="12"/>
  <c r="D457" i="12"/>
  <c r="D456" i="12"/>
  <c r="D455" i="12"/>
  <c r="D454" i="12"/>
  <c r="D453" i="12"/>
  <c r="D452" i="12"/>
  <c r="D451" i="12"/>
  <c r="D450" i="12"/>
  <c r="D449" i="12"/>
  <c r="D448" i="12"/>
  <c r="D447" i="12"/>
  <c r="D446" i="12"/>
  <c r="D445" i="12"/>
  <c r="D444" i="12"/>
  <c r="D443" i="12"/>
  <c r="D442" i="12"/>
  <c r="D441" i="12"/>
  <c r="D440" i="12"/>
  <c r="D439" i="12"/>
  <c r="D438" i="12"/>
  <c r="D437" i="12"/>
  <c r="D436" i="12"/>
  <c r="D435" i="12"/>
  <c r="D434" i="12"/>
  <c r="D433" i="12"/>
  <c r="D432" i="12"/>
  <c r="D431" i="12"/>
  <c r="D430" i="12"/>
  <c r="D429" i="12"/>
  <c r="D428" i="12"/>
  <c r="D427" i="12"/>
  <c r="D426" i="12"/>
  <c r="D425" i="12"/>
  <c r="D424" i="12"/>
  <c r="D423" i="12"/>
  <c r="D422" i="12"/>
  <c r="D421" i="12"/>
  <c r="D420" i="12"/>
  <c r="D419" i="12"/>
  <c r="D418" i="12"/>
  <c r="D417" i="12"/>
  <c r="D416" i="12"/>
  <c r="D415" i="12"/>
  <c r="D414" i="12"/>
  <c r="D413" i="12"/>
  <c r="D412" i="12"/>
  <c r="D411" i="12"/>
  <c r="D410" i="12"/>
  <c r="D409" i="12"/>
  <c r="D408" i="12"/>
  <c r="D407" i="12"/>
  <c r="D406" i="12"/>
  <c r="D405" i="12"/>
  <c r="D404" i="12"/>
  <c r="D403" i="12"/>
  <c r="D402" i="12"/>
  <c r="D401" i="12"/>
  <c r="D400" i="12"/>
  <c r="D399" i="12"/>
  <c r="D398" i="12"/>
  <c r="D397" i="12"/>
  <c r="D396" i="12"/>
  <c r="D395" i="12"/>
  <c r="D394" i="12"/>
  <c r="D393" i="12"/>
  <c r="D392" i="12"/>
  <c r="D391" i="12"/>
  <c r="D390" i="12"/>
  <c r="D389" i="12"/>
  <c r="D388" i="12"/>
  <c r="D387" i="12"/>
  <c r="D386" i="12"/>
  <c r="D385" i="12"/>
  <c r="D384" i="12"/>
  <c r="D383" i="12"/>
  <c r="D382" i="12"/>
  <c r="D381" i="12"/>
  <c r="D380" i="12"/>
  <c r="D379" i="12"/>
  <c r="D378" i="12"/>
  <c r="D377" i="12"/>
  <c r="D376" i="12"/>
  <c r="D375" i="12"/>
  <c r="D374" i="12"/>
  <c r="D373" i="12"/>
  <c r="D372" i="12"/>
  <c r="D371" i="12"/>
  <c r="D370" i="12"/>
  <c r="D369" i="12"/>
  <c r="D368" i="12"/>
  <c r="D367" i="12"/>
  <c r="D366" i="12"/>
  <c r="D365" i="12"/>
  <c r="D364" i="12"/>
  <c r="D363" i="12"/>
  <c r="D362" i="12"/>
  <c r="D361" i="12"/>
  <c r="D360" i="12"/>
  <c r="D359" i="12"/>
  <c r="D358" i="12"/>
  <c r="D357" i="12"/>
  <c r="D356" i="12"/>
  <c r="D355" i="12"/>
  <c r="D354" i="12"/>
  <c r="D353" i="12"/>
  <c r="D352" i="12"/>
  <c r="D351" i="12"/>
  <c r="D350" i="12"/>
  <c r="D349" i="12"/>
  <c r="D348" i="12"/>
  <c r="D347" i="12"/>
  <c r="D346" i="12"/>
  <c r="D345" i="12"/>
  <c r="D344" i="12"/>
  <c r="D343" i="12"/>
  <c r="D342" i="12"/>
  <c r="D341" i="12"/>
  <c r="D340" i="12"/>
  <c r="D339" i="12"/>
  <c r="D338" i="12"/>
  <c r="D337" i="12"/>
  <c r="D336" i="12"/>
  <c r="D335" i="12"/>
  <c r="D334" i="12"/>
  <c r="D333" i="12"/>
  <c r="D332" i="12"/>
  <c r="D331" i="12"/>
  <c r="D330" i="12"/>
  <c r="D329" i="12"/>
  <c r="D328" i="12"/>
  <c r="D327" i="12"/>
  <c r="D326" i="12"/>
  <c r="D325" i="12"/>
  <c r="D324" i="12"/>
  <c r="D323" i="12"/>
  <c r="D322" i="12"/>
  <c r="D321" i="12"/>
  <c r="D320" i="12"/>
  <c r="D319" i="12"/>
  <c r="D318" i="12"/>
  <c r="D317" i="12"/>
  <c r="D316" i="12"/>
  <c r="D315" i="12"/>
  <c r="D314" i="12"/>
  <c r="D313" i="12"/>
  <c r="D312" i="12"/>
  <c r="D311" i="12"/>
  <c r="D310" i="12"/>
  <c r="D309" i="12"/>
  <c r="D308" i="12"/>
  <c r="D307" i="12"/>
  <c r="D306" i="12"/>
  <c r="D305" i="12"/>
  <c r="A5" i="12"/>
  <c r="C6" i="11"/>
  <c r="D6" i="11" s="1"/>
  <c r="A5" i="11"/>
  <c r="A5" i="10"/>
  <c r="A5" i="9"/>
  <c r="A5" i="8"/>
  <c r="W206" i="5" a="1"/>
  <c r="W206" i="5" s="1"/>
  <c r="V206" i="6" s="1"/>
  <c r="C206" i="5"/>
  <c r="A206" i="5"/>
  <c r="W205" i="5" a="1"/>
  <c r="W205" i="5" s="1"/>
  <c r="V205" i="6" s="1"/>
  <c r="C205" i="5"/>
  <c r="B205" i="6" s="1"/>
  <c r="A205" i="5"/>
  <c r="W204" i="5" a="1"/>
  <c r="W204" i="5" s="1"/>
  <c r="V204" i="6" s="1"/>
  <c r="C204" i="5"/>
  <c r="AR204" i="5" s="1"/>
  <c r="A204" i="5"/>
  <c r="W203" i="5" a="1"/>
  <c r="W203" i="5" s="1"/>
  <c r="V203" i="6" s="1"/>
  <c r="C203" i="5"/>
  <c r="AC203" i="5" s="1"/>
  <c r="K203" i="6" s="1"/>
  <c r="A203" i="5"/>
  <c r="W202" i="5" a="1"/>
  <c r="W202" i="5" s="1"/>
  <c r="V202" i="6" s="1"/>
  <c r="C202" i="5"/>
  <c r="AQ202" i="5" s="1"/>
  <c r="A202" i="5"/>
  <c r="W201" i="5" a="1"/>
  <c r="W201" i="5" s="1"/>
  <c r="V201" i="6" s="1"/>
  <c r="C201" i="5"/>
  <c r="M201" i="5" s="1"/>
  <c r="A201" i="5"/>
  <c r="W200" i="5" a="1"/>
  <c r="W200" i="5" s="1"/>
  <c r="V200" i="6" s="1"/>
  <c r="C200" i="5"/>
  <c r="C200" i="6" s="1"/>
  <c r="A200" i="5"/>
  <c r="W199" i="5" a="1"/>
  <c r="W199" i="5" s="1"/>
  <c r="V199" i="6" s="1"/>
  <c r="C199" i="5"/>
  <c r="N199" i="5" s="1"/>
  <c r="A199" i="5"/>
  <c r="W198" i="5" a="1"/>
  <c r="W198" i="5" s="1"/>
  <c r="V198" i="6" s="1"/>
  <c r="C198" i="5"/>
  <c r="AB198" i="5" s="1"/>
  <c r="J198" i="6" s="1"/>
  <c r="A198" i="5"/>
  <c r="W197" i="5" a="1"/>
  <c r="W197" i="5" s="1"/>
  <c r="V197" i="6" s="1"/>
  <c r="C197" i="5"/>
  <c r="C197" i="6" s="1"/>
  <c r="A197" i="5"/>
  <c r="W196" i="5" a="1"/>
  <c r="W196" i="5" s="1"/>
  <c r="V196" i="6" s="1"/>
  <c r="C196" i="5"/>
  <c r="AB196" i="5" s="1"/>
  <c r="J196" i="6" s="1"/>
  <c r="A196" i="5"/>
  <c r="W195" i="5" a="1"/>
  <c r="W195" i="5" s="1"/>
  <c r="V195" i="6" s="1"/>
  <c r="C195" i="5"/>
  <c r="AQ195" i="5" s="1"/>
  <c r="A195" i="5"/>
  <c r="W194" i="5" a="1"/>
  <c r="W194" i="5" s="1"/>
  <c r="V194" i="6" s="1"/>
  <c r="C194" i="5"/>
  <c r="A194" i="5"/>
  <c r="W193" i="5" a="1"/>
  <c r="W193" i="5" s="1"/>
  <c r="V193" i="6" s="1"/>
  <c r="C193" i="5"/>
  <c r="M193" i="5" s="1"/>
  <c r="A193" i="5"/>
  <c r="W192" i="5" a="1"/>
  <c r="W192" i="5" s="1"/>
  <c r="V192" i="6" s="1"/>
  <c r="C192" i="5"/>
  <c r="B192" i="6" s="1"/>
  <c r="A192" i="5"/>
  <c r="W191" i="5" a="1"/>
  <c r="W191" i="5" s="1"/>
  <c r="V191" i="6" s="1"/>
  <c r="C191" i="5"/>
  <c r="AS191" i="5" s="1"/>
  <c r="A191" i="5"/>
  <c r="W190" i="5" a="1"/>
  <c r="W190" i="5" s="1"/>
  <c r="V190" i="6" s="1"/>
  <c r="C190" i="5"/>
  <c r="A190" i="6" s="1"/>
  <c r="A190" i="5"/>
  <c r="W189" i="5" a="1"/>
  <c r="W189" i="5" s="1"/>
  <c r="V189" i="6" s="1"/>
  <c r="C189" i="5"/>
  <c r="A189" i="5"/>
  <c r="W188" i="5" a="1"/>
  <c r="W188" i="5" s="1"/>
  <c r="V188" i="6" s="1"/>
  <c r="C188" i="5"/>
  <c r="AQ188" i="5" s="1"/>
  <c r="A188" i="5"/>
  <c r="W187" i="5" a="1"/>
  <c r="W187" i="5" s="1"/>
  <c r="V187" i="6" s="1"/>
  <c r="C187" i="5"/>
  <c r="B187" i="6" s="1"/>
  <c r="A187" i="5"/>
  <c r="W186" i="5" a="1"/>
  <c r="W186" i="5" s="1"/>
  <c r="V186" i="6" s="1"/>
  <c r="C186" i="5"/>
  <c r="C186" i="6" s="1"/>
  <c r="A186" i="5"/>
  <c r="W185" i="5" a="1"/>
  <c r="W185" i="5" s="1"/>
  <c r="V185" i="6" s="1"/>
  <c r="C185" i="5"/>
  <c r="AS185" i="5" s="1"/>
  <c r="A185" i="5"/>
  <c r="W184" i="5" a="1"/>
  <c r="W184" i="5" s="1"/>
  <c r="V184" i="6" s="1"/>
  <c r="C184" i="5"/>
  <c r="A184" i="6" s="1"/>
  <c r="A184" i="5"/>
  <c r="W183" i="5" a="1"/>
  <c r="W183" i="5" s="1"/>
  <c r="V183" i="6" s="1"/>
  <c r="C183" i="5"/>
  <c r="AS183" i="5" s="1"/>
  <c r="A183" i="5"/>
  <c r="W182" i="5" a="1"/>
  <c r="W182" i="5" s="1"/>
  <c r="V182" i="6" s="1"/>
  <c r="C182" i="5"/>
  <c r="AC182" i="5" s="1"/>
  <c r="K182" i="6" s="1"/>
  <c r="A182" i="5"/>
  <c r="W181" i="5" a="1"/>
  <c r="W181" i="5" s="1"/>
  <c r="V181" i="6" s="1"/>
  <c r="C181" i="5"/>
  <c r="M181" i="5" s="1"/>
  <c r="A181" i="5"/>
  <c r="W180" i="5" a="1"/>
  <c r="W180" i="5" s="1"/>
  <c r="V180" i="6" s="1"/>
  <c r="C180" i="5"/>
  <c r="AB180" i="5" s="1"/>
  <c r="J180" i="6" s="1"/>
  <c r="A180" i="5"/>
  <c r="W179" i="5" a="1"/>
  <c r="W179" i="5" s="1"/>
  <c r="V179" i="6" s="1"/>
  <c r="C179" i="5"/>
  <c r="N179" i="5" s="1"/>
  <c r="A179" i="5"/>
  <c r="W178" i="5" a="1"/>
  <c r="W178" i="5" s="1"/>
  <c r="V178" i="6" s="1"/>
  <c r="C178" i="5"/>
  <c r="A178" i="5"/>
  <c r="W177" i="5" a="1"/>
  <c r="W177" i="5" s="1"/>
  <c r="V177" i="6" s="1"/>
  <c r="C177" i="5"/>
  <c r="A177" i="5"/>
  <c r="W176" i="5" a="1"/>
  <c r="W176" i="5" s="1"/>
  <c r="V176" i="6" s="1"/>
  <c r="C176" i="5"/>
  <c r="C176" i="6" s="1"/>
  <c r="A176" i="5"/>
  <c r="W175" i="5" a="1"/>
  <c r="W175" i="5" s="1"/>
  <c r="V175" i="6" s="1"/>
  <c r="C175" i="5"/>
  <c r="C175" i="6" s="1"/>
  <c r="A175" i="5"/>
  <c r="W174" i="5" a="1"/>
  <c r="W174" i="5" s="1"/>
  <c r="V174" i="6" s="1"/>
  <c r="C174" i="5"/>
  <c r="AC174" i="5" s="1"/>
  <c r="K174" i="6" s="1"/>
  <c r="A174" i="5"/>
  <c r="W173" i="5" a="1"/>
  <c r="W173" i="5" s="1"/>
  <c r="V173" i="6" s="1"/>
  <c r="C173" i="5"/>
  <c r="G173" i="5" s="1"/>
  <c r="A173" i="5"/>
  <c r="W172" i="5" a="1"/>
  <c r="W172" i="5" s="1"/>
  <c r="V172" i="6" s="1"/>
  <c r="C172" i="5"/>
  <c r="AR172" i="5" s="1"/>
  <c r="A172" i="5"/>
  <c r="W171" i="5" a="1"/>
  <c r="W171" i="5" s="1"/>
  <c r="V171" i="6" s="1"/>
  <c r="C171" i="5"/>
  <c r="M171" i="5" s="1"/>
  <c r="A171" i="5"/>
  <c r="W170" i="5" a="1"/>
  <c r="W170" i="5" s="1"/>
  <c r="V170" i="6" s="1"/>
  <c r="C170" i="5"/>
  <c r="X170" i="5" s="1"/>
  <c r="O170" i="6" s="1"/>
  <c r="A170" i="5"/>
  <c r="W169" i="5" a="1"/>
  <c r="W169" i="5" s="1"/>
  <c r="V169" i="6" s="1"/>
  <c r="C169" i="5"/>
  <c r="AS169" i="5" s="1"/>
  <c r="A169" i="5"/>
  <c r="W168" i="5" a="1"/>
  <c r="W168" i="5" s="1"/>
  <c r="V168" i="6" s="1"/>
  <c r="C168" i="5"/>
  <c r="C168" i="6" s="1"/>
  <c r="A168" i="5"/>
  <c r="W167" i="5" a="1"/>
  <c r="W167" i="5" s="1"/>
  <c r="V167" i="6" s="1"/>
  <c r="C167" i="5"/>
  <c r="AS167" i="5" s="1"/>
  <c r="A167" i="5"/>
  <c r="W166" i="5" a="1"/>
  <c r="W166" i="5" s="1"/>
  <c r="V166" i="6" s="1"/>
  <c r="C166" i="5"/>
  <c r="AB166" i="5" s="1"/>
  <c r="J166" i="6" s="1"/>
  <c r="A166" i="5"/>
  <c r="W165" i="5" a="1"/>
  <c r="W165" i="5" s="1"/>
  <c r="V165" i="6" s="1"/>
  <c r="C165" i="5"/>
  <c r="B165" i="6" s="1"/>
  <c r="A165" i="5"/>
  <c r="W164" i="5" a="1"/>
  <c r="W164" i="5" s="1"/>
  <c r="V164" i="6" s="1"/>
  <c r="C164" i="5"/>
  <c r="AB164" i="5" s="1"/>
  <c r="J164" i="6" s="1"/>
  <c r="A164" i="5"/>
  <c r="W163" i="5" a="1"/>
  <c r="W163" i="5" s="1"/>
  <c r="V163" i="6" s="1"/>
  <c r="C163" i="5"/>
  <c r="B163" i="6" s="1"/>
  <c r="A163" i="5"/>
  <c r="W162" i="5" a="1"/>
  <c r="W162" i="5" s="1"/>
  <c r="V162" i="6" s="1"/>
  <c r="C162" i="5"/>
  <c r="A162" i="5"/>
  <c r="W161" i="5" a="1"/>
  <c r="W161" i="5" s="1"/>
  <c r="V161" i="6" s="1"/>
  <c r="C161" i="5"/>
  <c r="G161" i="5" s="1"/>
  <c r="A161" i="5"/>
  <c r="W160" i="5" a="1"/>
  <c r="W160" i="5" s="1"/>
  <c r="V160" i="6" s="1"/>
  <c r="C160" i="5"/>
  <c r="A160" i="5"/>
  <c r="W159" i="5" a="1"/>
  <c r="W159" i="5" s="1"/>
  <c r="V159" i="6" s="1"/>
  <c r="C159" i="5"/>
  <c r="AS159" i="5" s="1"/>
  <c r="A159" i="5"/>
  <c r="W158" i="5" a="1"/>
  <c r="W158" i="5" s="1"/>
  <c r="V158" i="6" s="1"/>
  <c r="C158" i="5"/>
  <c r="A158" i="6" s="1"/>
  <c r="A158" i="5"/>
  <c r="W157" i="5" a="1"/>
  <c r="W157" i="5" s="1"/>
  <c r="V157" i="6" s="1"/>
  <c r="C157" i="5"/>
  <c r="AS157" i="5" s="1"/>
  <c r="A157" i="5"/>
  <c r="W156" i="5" a="1"/>
  <c r="W156" i="5" s="1"/>
  <c r="V156" i="6" s="1"/>
  <c r="C156" i="5"/>
  <c r="AR156" i="5" s="1"/>
  <c r="A156" i="5"/>
  <c r="W155" i="5" a="1"/>
  <c r="W155" i="5" s="1"/>
  <c r="V155" i="6" s="1"/>
  <c r="C155" i="5"/>
  <c r="AR155" i="5" s="1"/>
  <c r="A155" i="5"/>
  <c r="W154" i="5" a="1"/>
  <c r="W154" i="5" s="1"/>
  <c r="V154" i="6" s="1"/>
  <c r="C154" i="5"/>
  <c r="C154" i="6" s="1"/>
  <c r="A154" i="5"/>
  <c r="W153" i="5" a="1"/>
  <c r="W153" i="5" s="1"/>
  <c r="V153" i="6" s="1"/>
  <c r="C153" i="5"/>
  <c r="G153" i="5" s="1"/>
  <c r="A153" i="5"/>
  <c r="W152" i="5" a="1"/>
  <c r="W152" i="5" s="1"/>
  <c r="V152" i="6" s="1"/>
  <c r="C152" i="5"/>
  <c r="AR152" i="5" s="1"/>
  <c r="A152" i="5"/>
  <c r="W151" i="5" a="1"/>
  <c r="W151" i="5" s="1"/>
  <c r="V151" i="6" s="1"/>
  <c r="C151" i="5"/>
  <c r="M151" i="5" s="1"/>
  <c r="A151" i="5"/>
  <c r="W150" i="5" a="1"/>
  <c r="W150" i="5" s="1"/>
  <c r="V150" i="6" s="1"/>
  <c r="C150" i="5"/>
  <c r="G150" i="5" s="1"/>
  <c r="A150" i="5"/>
  <c r="W149" i="5" a="1"/>
  <c r="W149" i="5" s="1"/>
  <c r="V149" i="6" s="1"/>
  <c r="C149" i="5"/>
  <c r="AQ149" i="5" s="1"/>
  <c r="A149" i="5"/>
  <c r="W148" i="5" a="1"/>
  <c r="W148" i="5" s="1"/>
  <c r="V148" i="6" s="1"/>
  <c r="C148" i="5"/>
  <c r="AR148" i="5" s="1"/>
  <c r="A148" i="5"/>
  <c r="W147" i="5" a="1"/>
  <c r="W147" i="5" s="1"/>
  <c r="V147" i="6" s="1"/>
  <c r="C147" i="5"/>
  <c r="M147" i="5" s="1"/>
  <c r="A147" i="5"/>
  <c r="W146" i="5" a="1"/>
  <c r="W146" i="5" s="1"/>
  <c r="V146" i="6" s="1"/>
  <c r="C146" i="5"/>
  <c r="A146" i="5"/>
  <c r="W145" i="5" a="1"/>
  <c r="W145" i="5" s="1"/>
  <c r="V145" i="6" s="1"/>
  <c r="C145" i="5"/>
  <c r="G145" i="5" s="1"/>
  <c r="A145" i="5"/>
  <c r="W144" i="5" a="1"/>
  <c r="W144" i="5" s="1"/>
  <c r="V144" i="6" s="1"/>
  <c r="C144" i="5"/>
  <c r="AQ144" i="5" s="1"/>
  <c r="A144" i="5"/>
  <c r="W143" i="5" a="1"/>
  <c r="W143" i="5" s="1"/>
  <c r="V143" i="6" s="1"/>
  <c r="C143" i="5"/>
  <c r="M143" i="5" s="1"/>
  <c r="A143" i="5"/>
  <c r="W142" i="5" a="1"/>
  <c r="W142" i="5" s="1"/>
  <c r="V142" i="6" s="1"/>
  <c r="C142" i="5"/>
  <c r="A142" i="5"/>
  <c r="W141" i="5" a="1"/>
  <c r="W141" i="5" s="1"/>
  <c r="V141" i="6" s="1"/>
  <c r="C141" i="5"/>
  <c r="A141" i="5"/>
  <c r="W140" i="5" a="1"/>
  <c r="W140" i="5" s="1"/>
  <c r="V140" i="6" s="1"/>
  <c r="C140" i="5"/>
  <c r="A140" i="5"/>
  <c r="W139" i="5" a="1"/>
  <c r="W139" i="5" s="1"/>
  <c r="V139" i="6" s="1"/>
  <c r="C139" i="5"/>
  <c r="N139" i="5" s="1"/>
  <c r="A139" i="5"/>
  <c r="W138" i="5" a="1"/>
  <c r="W138" i="5" s="1"/>
  <c r="V138" i="6" s="1"/>
  <c r="C138" i="5"/>
  <c r="A138" i="5"/>
  <c r="W137" i="5" a="1"/>
  <c r="W137" i="5" s="1"/>
  <c r="V137" i="6" s="1"/>
  <c r="C137" i="5"/>
  <c r="A137" i="5"/>
  <c r="W136" i="5" a="1"/>
  <c r="W136" i="5" s="1"/>
  <c r="V136" i="6" s="1"/>
  <c r="C136" i="5"/>
  <c r="B136" i="6" s="1"/>
  <c r="A136" i="5"/>
  <c r="W135" i="5" a="1"/>
  <c r="W135" i="5" s="1"/>
  <c r="V135" i="6" s="1"/>
  <c r="C135" i="5"/>
  <c r="AR135" i="5" s="1"/>
  <c r="A135" i="5"/>
  <c r="W134" i="5" a="1"/>
  <c r="W134" i="5" s="1"/>
  <c r="V134" i="6" s="1"/>
  <c r="C134" i="5"/>
  <c r="AC134" i="5" s="1"/>
  <c r="K134" i="6" s="1"/>
  <c r="A134" i="5"/>
  <c r="W133" i="5" a="1"/>
  <c r="W133" i="5" s="1"/>
  <c r="V133" i="6" s="1"/>
  <c r="C133" i="5"/>
  <c r="AS133" i="5" s="1"/>
  <c r="A133" i="5"/>
  <c r="W132" i="5" a="1"/>
  <c r="W132" i="5" s="1"/>
  <c r="V132" i="6" s="1"/>
  <c r="C132" i="5"/>
  <c r="AB132" i="5" s="1"/>
  <c r="J132" i="6" s="1"/>
  <c r="A132" i="5"/>
  <c r="W131" i="5" a="1"/>
  <c r="W131" i="5" s="1"/>
  <c r="V131" i="6" s="1"/>
  <c r="C131" i="5"/>
  <c r="A131" i="5"/>
  <c r="W130" i="5" a="1"/>
  <c r="W130" i="5" s="1"/>
  <c r="V130" i="6" s="1"/>
  <c r="C130" i="5"/>
  <c r="A130" i="5"/>
  <c r="W129" i="5" a="1"/>
  <c r="W129" i="5" s="1"/>
  <c r="V129" i="6" s="1"/>
  <c r="C129" i="5"/>
  <c r="A129" i="5"/>
  <c r="W128" i="5" a="1"/>
  <c r="W128" i="5" s="1"/>
  <c r="V128" i="6" s="1"/>
  <c r="C128" i="5"/>
  <c r="AB128" i="5" s="1"/>
  <c r="J128" i="6" s="1"/>
  <c r="A128" i="5"/>
  <c r="W127" i="5" a="1"/>
  <c r="W127" i="5" s="1"/>
  <c r="V127" i="6" s="1"/>
  <c r="C127" i="5"/>
  <c r="A127" i="5"/>
  <c r="W126" i="5" a="1"/>
  <c r="W126" i="5" s="1"/>
  <c r="V126" i="6" s="1"/>
  <c r="C126" i="5"/>
  <c r="AC126" i="5" s="1"/>
  <c r="K126" i="6" s="1"/>
  <c r="A126" i="5"/>
  <c r="W125" i="5" a="1"/>
  <c r="W125" i="5" s="1"/>
  <c r="V125" i="6" s="1"/>
  <c r="C125" i="5"/>
  <c r="M125" i="5" s="1"/>
  <c r="A125" i="5"/>
  <c r="W124" i="5" a="1"/>
  <c r="W124" i="5" s="1"/>
  <c r="V124" i="6" s="1"/>
  <c r="C124" i="5"/>
  <c r="AR124" i="5" s="1"/>
  <c r="A124" i="5"/>
  <c r="W123" i="5" a="1"/>
  <c r="W123" i="5" s="1"/>
  <c r="V123" i="6" s="1"/>
  <c r="C123" i="5"/>
  <c r="A123" i="5"/>
  <c r="W122" i="5" a="1"/>
  <c r="W122" i="5" s="1"/>
  <c r="V122" i="6" s="1"/>
  <c r="C122" i="5"/>
  <c r="A122" i="5"/>
  <c r="W121" i="5" a="1"/>
  <c r="W121" i="5" s="1"/>
  <c r="V121" i="6" s="1"/>
  <c r="C121" i="5"/>
  <c r="AS121" i="5" s="1"/>
  <c r="A121" i="5"/>
  <c r="W120" i="5" a="1"/>
  <c r="W120" i="5" s="1"/>
  <c r="V120" i="6" s="1"/>
  <c r="C120" i="5"/>
  <c r="AR120" i="5" s="1"/>
  <c r="A120" i="5"/>
  <c r="W119" i="5" a="1"/>
  <c r="W119" i="5" s="1"/>
  <c r="V119" i="6" s="1"/>
  <c r="C119" i="5"/>
  <c r="N119" i="5" s="1"/>
  <c r="A119" i="5"/>
  <c r="W118" i="5" a="1"/>
  <c r="W118" i="5" s="1"/>
  <c r="V118" i="6" s="1"/>
  <c r="C118" i="5"/>
  <c r="AB118" i="5" s="1"/>
  <c r="J118" i="6" s="1"/>
  <c r="A118" i="5"/>
  <c r="W117" i="5" a="1"/>
  <c r="W117" i="5" s="1"/>
  <c r="V117" i="6" s="1"/>
  <c r="C117" i="5"/>
  <c r="A117" i="5"/>
  <c r="W116" i="5" a="1"/>
  <c r="W116" i="5" s="1"/>
  <c r="V116" i="6" s="1"/>
  <c r="C116" i="5"/>
  <c r="AQ116" i="5" s="1"/>
  <c r="A116" i="5"/>
  <c r="W115" i="5" a="1"/>
  <c r="W115" i="5" s="1"/>
  <c r="V115" i="6" s="1"/>
  <c r="C115" i="5"/>
  <c r="N115" i="5" s="1"/>
  <c r="A115" i="5"/>
  <c r="W114" i="5" a="1"/>
  <c r="W114" i="5" s="1"/>
  <c r="V114" i="6" s="1"/>
  <c r="C114" i="5"/>
  <c r="X114" i="5" s="1"/>
  <c r="O114" i="6" s="1"/>
  <c r="A114" i="5"/>
  <c r="W113" i="5" a="1"/>
  <c r="W113" i="5" s="1"/>
  <c r="V113" i="6" s="1"/>
  <c r="C113" i="5"/>
  <c r="AS113" i="5" s="1"/>
  <c r="A113" i="5"/>
  <c r="W112" i="5" a="1"/>
  <c r="W112" i="5" s="1"/>
  <c r="V112" i="6" s="1"/>
  <c r="C112" i="5"/>
  <c r="AB112" i="5" s="1"/>
  <c r="J112" i="6" s="1"/>
  <c r="A112" i="5"/>
  <c r="W111" i="5" a="1"/>
  <c r="W111" i="5" s="1"/>
  <c r="V111" i="6" s="1"/>
  <c r="C111" i="5"/>
  <c r="AS111" i="5" s="1"/>
  <c r="A111" i="5"/>
  <c r="W110" i="5" a="1"/>
  <c r="W110" i="5" s="1"/>
  <c r="V110" i="6" s="1"/>
  <c r="C110" i="5"/>
  <c r="A110" i="5"/>
  <c r="W109" i="5" a="1"/>
  <c r="W109" i="5" s="1"/>
  <c r="V109" i="6" s="1"/>
  <c r="C109" i="5"/>
  <c r="M109" i="5" s="1"/>
  <c r="A109" i="5"/>
  <c r="W108" i="5" a="1"/>
  <c r="W108" i="5" s="1"/>
  <c r="V108" i="6" s="1"/>
  <c r="C108" i="5"/>
  <c r="AC108" i="5" s="1"/>
  <c r="K108" i="6" s="1"/>
  <c r="A108" i="5"/>
  <c r="W107" i="5" a="1"/>
  <c r="W107" i="5" s="1"/>
  <c r="V107" i="6" s="1"/>
  <c r="C107" i="5"/>
  <c r="AS107" i="5" s="1"/>
  <c r="A107" i="5"/>
  <c r="W106" i="5" a="1"/>
  <c r="W106" i="5" s="1"/>
  <c r="V106" i="6" s="1"/>
  <c r="C106" i="5"/>
  <c r="G106" i="5" s="1"/>
  <c r="A106" i="5"/>
  <c r="W105" i="5" a="1"/>
  <c r="W105" i="5" s="1"/>
  <c r="V105" i="6" s="1"/>
  <c r="C105" i="5"/>
  <c r="AR105" i="5" s="1"/>
  <c r="A105" i="5"/>
  <c r="W104" i="5" a="1"/>
  <c r="W104" i="5" s="1"/>
  <c r="V104" i="6" s="1"/>
  <c r="C104" i="5"/>
  <c r="AS104" i="5" s="1"/>
  <c r="A104" i="5"/>
  <c r="W103" i="5" a="1"/>
  <c r="W103" i="5" s="1"/>
  <c r="V103" i="6" s="1"/>
  <c r="C103" i="5"/>
  <c r="AC103" i="5" s="1"/>
  <c r="K103" i="6" s="1"/>
  <c r="A103" i="5"/>
  <c r="W102" i="5" a="1"/>
  <c r="W102" i="5" s="1"/>
  <c r="V102" i="6" s="1"/>
  <c r="C102" i="5"/>
  <c r="G102" i="5" s="1"/>
  <c r="A102" i="5"/>
  <c r="W101" i="5" a="1"/>
  <c r="W101" i="5" s="1"/>
  <c r="V101" i="6" s="1"/>
  <c r="C101" i="5"/>
  <c r="X101" i="5" s="1"/>
  <c r="O101" i="6" s="1"/>
  <c r="A101" i="5"/>
  <c r="W100" i="5" a="1"/>
  <c r="W100" i="5" s="1"/>
  <c r="V100" i="6" s="1"/>
  <c r="C100" i="5"/>
  <c r="AR100" i="5" s="1"/>
  <c r="A100" i="5"/>
  <c r="W99" i="5" a="1"/>
  <c r="W99" i="5" s="1"/>
  <c r="V99" i="6" s="1"/>
  <c r="C99" i="5"/>
  <c r="AC99" i="5" s="1"/>
  <c r="K99" i="6" s="1"/>
  <c r="A99" i="5"/>
  <c r="W98" i="5" a="1"/>
  <c r="W98" i="5" s="1"/>
  <c r="V98" i="6" s="1"/>
  <c r="C98" i="5"/>
  <c r="X98" i="5" s="1"/>
  <c r="O98" i="6" s="1"/>
  <c r="A98" i="5"/>
  <c r="W97" i="5" a="1"/>
  <c r="W97" i="5" s="1"/>
  <c r="V97" i="6" s="1"/>
  <c r="C97" i="5"/>
  <c r="N97" i="5" s="1"/>
  <c r="A97" i="5"/>
  <c r="W96" i="5" a="1"/>
  <c r="W96" i="5" s="1"/>
  <c r="V96" i="6" s="1"/>
  <c r="C96" i="5"/>
  <c r="AQ96" i="5" s="1"/>
  <c r="A96" i="5"/>
  <c r="W95" i="5" a="1"/>
  <c r="W95" i="5" s="1"/>
  <c r="V95" i="6" s="1"/>
  <c r="C95" i="5"/>
  <c r="G95" i="5" s="1"/>
  <c r="A95" i="5"/>
  <c r="W94" i="5" a="1"/>
  <c r="W94" i="5" s="1"/>
  <c r="V94" i="6" s="1"/>
  <c r="C94" i="5"/>
  <c r="A94" i="5"/>
  <c r="W93" i="5" a="1"/>
  <c r="W93" i="5" s="1"/>
  <c r="V93" i="6" s="1"/>
  <c r="C93" i="5"/>
  <c r="M93" i="5" s="1"/>
  <c r="A93" i="5"/>
  <c r="W92" i="5" a="1"/>
  <c r="W92" i="5" s="1"/>
  <c r="V92" i="6" s="1"/>
  <c r="C92" i="5"/>
  <c r="A92" i="5"/>
  <c r="W91" i="5" a="1"/>
  <c r="W91" i="5" s="1"/>
  <c r="V91" i="6" s="1"/>
  <c r="C91" i="5"/>
  <c r="X91" i="5" s="1"/>
  <c r="O91" i="6" s="1"/>
  <c r="A91" i="5"/>
  <c r="W90" i="5" a="1"/>
  <c r="W90" i="5" s="1"/>
  <c r="V90" i="6" s="1"/>
  <c r="C90" i="5"/>
  <c r="AQ90" i="5" s="1"/>
  <c r="A90" i="5"/>
  <c r="W89" i="5" a="1"/>
  <c r="W89" i="5" s="1"/>
  <c r="V89" i="6" s="1"/>
  <c r="C89" i="5"/>
  <c r="X89" i="5" s="1"/>
  <c r="O89" i="6" s="1"/>
  <c r="A89" i="5"/>
  <c r="W88" i="5" a="1"/>
  <c r="W88" i="5" s="1"/>
  <c r="V88" i="6" s="1"/>
  <c r="C88" i="5"/>
  <c r="AS88" i="5" s="1"/>
  <c r="A88" i="5"/>
  <c r="W87" i="5" a="1"/>
  <c r="W87" i="5" s="1"/>
  <c r="V87" i="6" s="1"/>
  <c r="C87" i="5"/>
  <c r="A87" i="5"/>
  <c r="W86" i="5" a="1"/>
  <c r="W86" i="5" s="1"/>
  <c r="V86" i="6" s="1"/>
  <c r="C86" i="5"/>
  <c r="N86" i="5" s="1"/>
  <c r="A86" i="5"/>
  <c r="W85" i="5" a="1"/>
  <c r="W85" i="5" s="1"/>
  <c r="V85" i="6" s="1"/>
  <c r="C85" i="5"/>
  <c r="AC85" i="5" s="1"/>
  <c r="K85" i="6" s="1"/>
  <c r="A85" i="5"/>
  <c r="W84" i="5" a="1"/>
  <c r="W84" i="5" s="1"/>
  <c r="V84" i="6" s="1"/>
  <c r="C84" i="5"/>
  <c r="N84" i="5" s="1"/>
  <c r="A84" i="5"/>
  <c r="W83" i="5" a="1"/>
  <c r="W83" i="5" s="1"/>
  <c r="V83" i="6" s="1"/>
  <c r="C83" i="5"/>
  <c r="AC83" i="5" s="1"/>
  <c r="K83" i="6" s="1"/>
  <c r="A83" i="5"/>
  <c r="W82" i="5" a="1"/>
  <c r="W82" i="5" s="1"/>
  <c r="V82" i="6" s="1"/>
  <c r="C82" i="5"/>
  <c r="A82" i="5"/>
  <c r="W81" i="5" a="1"/>
  <c r="W81" i="5" s="1"/>
  <c r="V81" i="6" s="1"/>
  <c r="C81" i="5"/>
  <c r="AR81" i="5" s="1"/>
  <c r="A81" i="5"/>
  <c r="W80" i="5" a="1"/>
  <c r="W80" i="5" s="1"/>
  <c r="V80" i="6" s="1"/>
  <c r="C80" i="5"/>
  <c r="A80" i="5"/>
  <c r="W79" i="5" a="1"/>
  <c r="W79" i="5" s="1"/>
  <c r="V79" i="6" s="1"/>
  <c r="C79" i="5"/>
  <c r="X79" i="5" s="1"/>
  <c r="O79" i="6" s="1"/>
  <c r="A79" i="5"/>
  <c r="W78" i="5" a="1"/>
  <c r="W78" i="5" s="1"/>
  <c r="V78" i="6" s="1"/>
  <c r="C78" i="5"/>
  <c r="M78" i="5" s="1"/>
  <c r="A78" i="5"/>
  <c r="W77" i="5" a="1"/>
  <c r="W77" i="5" s="1"/>
  <c r="V77" i="6" s="1"/>
  <c r="C77" i="5"/>
  <c r="A77" i="5"/>
  <c r="W76" i="5" a="1"/>
  <c r="W76" i="5" s="1"/>
  <c r="V76" i="6" s="1"/>
  <c r="C76" i="5"/>
  <c r="AS76" i="5" s="1"/>
  <c r="A76" i="5"/>
  <c r="W75" i="5" a="1"/>
  <c r="W75" i="5" s="1"/>
  <c r="V75" i="6" s="1"/>
  <c r="C75" i="5"/>
  <c r="AS75" i="5" s="1"/>
  <c r="A75" i="5"/>
  <c r="W74" i="5" a="1"/>
  <c r="W74" i="5" s="1"/>
  <c r="V74" i="6" s="1"/>
  <c r="C74" i="5"/>
  <c r="AR74" i="5" s="1"/>
  <c r="A74" i="5"/>
  <c r="W73" i="5" a="1"/>
  <c r="W73" i="5" s="1"/>
  <c r="V73" i="6" s="1"/>
  <c r="C73" i="5"/>
  <c r="AS73" i="5" s="1"/>
  <c r="A73" i="5"/>
  <c r="W72" i="5" a="1"/>
  <c r="W72" i="5" s="1"/>
  <c r="V72" i="6" s="1"/>
  <c r="C72" i="5"/>
  <c r="AB72" i="5" s="1"/>
  <c r="J72" i="6" s="1"/>
  <c r="A72" i="5"/>
  <c r="W71" i="5" a="1"/>
  <c r="W71" i="5" s="1"/>
  <c r="V71" i="6" s="1"/>
  <c r="C71" i="5"/>
  <c r="AQ71" i="5" s="1"/>
  <c r="A71" i="5"/>
  <c r="W70" i="5" a="1"/>
  <c r="W70" i="5" s="1"/>
  <c r="V70" i="6" s="1"/>
  <c r="C70" i="5"/>
  <c r="M70" i="5" s="1"/>
  <c r="A70" i="5"/>
  <c r="W69" i="5" a="1"/>
  <c r="W69" i="5" s="1"/>
  <c r="V69" i="6" s="1"/>
  <c r="C69" i="5"/>
  <c r="AC69" i="5" s="1"/>
  <c r="K69" i="6" s="1"/>
  <c r="A69" i="5"/>
  <c r="W68" i="5" a="1"/>
  <c r="W68" i="5" s="1"/>
  <c r="V68" i="6" s="1"/>
  <c r="C68" i="5"/>
  <c r="A68" i="5"/>
  <c r="W67" i="5" a="1"/>
  <c r="W67" i="5" s="1"/>
  <c r="V67" i="6" s="1"/>
  <c r="C67" i="5"/>
  <c r="M67" i="5" s="1"/>
  <c r="A67" i="5"/>
  <c r="W66" i="5" a="1"/>
  <c r="W66" i="5" s="1"/>
  <c r="V66" i="6" s="1"/>
  <c r="C66" i="5"/>
  <c r="AS66" i="5" s="1"/>
  <c r="A66" i="5"/>
  <c r="W65" i="5" a="1"/>
  <c r="W65" i="5" s="1"/>
  <c r="V65" i="6" s="1"/>
  <c r="C65" i="5"/>
  <c r="AC65" i="5" s="1"/>
  <c r="K65" i="6" s="1"/>
  <c r="A65" i="5"/>
  <c r="W64" i="5" a="1"/>
  <c r="W64" i="5" s="1"/>
  <c r="V64" i="6" s="1"/>
  <c r="C64" i="5"/>
  <c r="AS64" i="5" s="1"/>
  <c r="A64" i="5"/>
  <c r="W63" i="5" a="1"/>
  <c r="W63" i="5" s="1"/>
  <c r="V63" i="6" s="1"/>
  <c r="C63" i="5"/>
  <c r="G63" i="5" s="1"/>
  <c r="A63" i="5"/>
  <c r="W62" i="5" a="1"/>
  <c r="W62" i="5" s="1"/>
  <c r="V62" i="6" s="1"/>
  <c r="C62" i="5"/>
  <c r="AS62" i="5" s="1"/>
  <c r="A62" i="5"/>
  <c r="W61" i="5" a="1"/>
  <c r="W61" i="5" s="1"/>
  <c r="V61" i="6" s="1"/>
  <c r="C61" i="5"/>
  <c r="AS61" i="5" s="1"/>
  <c r="A61" i="5"/>
  <c r="W60" i="5" a="1"/>
  <c r="W60" i="5" s="1"/>
  <c r="V60" i="6" s="1"/>
  <c r="C60" i="5"/>
  <c r="AS60" i="5" s="1"/>
  <c r="A60" i="5"/>
  <c r="W59" i="5" a="1"/>
  <c r="W59" i="5" s="1"/>
  <c r="V59" i="6" s="1"/>
  <c r="C59" i="5"/>
  <c r="AQ59" i="5" s="1"/>
  <c r="A59" i="5"/>
  <c r="W58" i="5" a="1"/>
  <c r="W58" i="5" s="1"/>
  <c r="V58" i="6" s="1"/>
  <c r="C58" i="5"/>
  <c r="AQ58" i="5" s="1"/>
  <c r="A58" i="5"/>
  <c r="W57" i="5" a="1"/>
  <c r="W57" i="5" s="1"/>
  <c r="V57" i="6" s="1"/>
  <c r="C57" i="5"/>
  <c r="A57" i="5"/>
  <c r="W56" i="5" a="1"/>
  <c r="W56" i="5" s="1"/>
  <c r="V56" i="6" s="1"/>
  <c r="C56" i="5"/>
  <c r="N56" i="5" s="1"/>
  <c r="A56" i="5"/>
  <c r="W55" i="5" a="1"/>
  <c r="W55" i="5" s="1"/>
  <c r="V55" i="6" s="1"/>
  <c r="C55" i="5"/>
  <c r="AQ55" i="5" s="1"/>
  <c r="A55" i="5"/>
  <c r="W54" i="5" a="1"/>
  <c r="W54" i="5" s="1"/>
  <c r="V54" i="6" s="1"/>
  <c r="C54" i="5"/>
  <c r="AC54" i="5" s="1"/>
  <c r="K54" i="6" s="1"/>
  <c r="A54" i="5"/>
  <c r="W53" i="5" a="1"/>
  <c r="W53" i="5" s="1"/>
  <c r="V53" i="6" s="1"/>
  <c r="C53" i="5"/>
  <c r="X53" i="5" s="1"/>
  <c r="O53" i="6" s="1"/>
  <c r="A53" i="5"/>
  <c r="W52" i="5" a="1"/>
  <c r="W52" i="5" s="1"/>
  <c r="V52" i="6" s="1"/>
  <c r="C52" i="5"/>
  <c r="AB52" i="5" s="1"/>
  <c r="J52" i="6" s="1"/>
  <c r="A52" i="5"/>
  <c r="W51" i="5" a="1"/>
  <c r="W51" i="5" s="1"/>
  <c r="V51" i="6" s="1"/>
  <c r="C51" i="5"/>
  <c r="M51" i="5" s="1"/>
  <c r="A51" i="5"/>
  <c r="W50" i="5" a="1"/>
  <c r="W50" i="5" s="1"/>
  <c r="V50" i="6" s="1"/>
  <c r="C50" i="5"/>
  <c r="AB50" i="5" s="1"/>
  <c r="J50" i="6" s="1"/>
  <c r="A50" i="5"/>
  <c r="W49" i="5" a="1"/>
  <c r="W49" i="5" s="1"/>
  <c r="V49" i="6" s="1"/>
  <c r="C49" i="5"/>
  <c r="AS49" i="5" s="1"/>
  <c r="A49" i="5"/>
  <c r="W48" i="5" a="1"/>
  <c r="W48" i="5" s="1"/>
  <c r="V48" i="6" s="1"/>
  <c r="C48" i="5"/>
  <c r="N48" i="5" s="1"/>
  <c r="A48" i="5"/>
  <c r="W47" i="5" a="1"/>
  <c r="W47" i="5" s="1"/>
  <c r="V47" i="6" s="1"/>
  <c r="C47" i="5"/>
  <c r="AC47" i="5" s="1"/>
  <c r="K47" i="6" s="1"/>
  <c r="A47" i="5"/>
  <c r="W46" i="5" a="1"/>
  <c r="W46" i="5" s="1"/>
  <c r="V46" i="6" s="1"/>
  <c r="C46" i="5"/>
  <c r="A46" i="5"/>
  <c r="W45" i="5" a="1"/>
  <c r="W45" i="5" s="1"/>
  <c r="V45" i="6" s="1"/>
  <c r="C45" i="5"/>
  <c r="AB45" i="5" s="1"/>
  <c r="J45" i="6" s="1"/>
  <c r="A45" i="5"/>
  <c r="W44" i="5" a="1"/>
  <c r="W44" i="5" s="1"/>
  <c r="V44" i="6" s="1"/>
  <c r="C44" i="5"/>
  <c r="A44" i="5"/>
  <c r="W43" i="5" a="1"/>
  <c r="W43" i="5" s="1"/>
  <c r="V43" i="6" s="1"/>
  <c r="C43" i="5"/>
  <c r="A43" i="5"/>
  <c r="W42" i="5" a="1"/>
  <c r="W42" i="5" s="1"/>
  <c r="V42" i="6" s="1"/>
  <c r="C42" i="5"/>
  <c r="AS42" i="5" s="1"/>
  <c r="A42" i="5"/>
  <c r="W41" i="5" a="1"/>
  <c r="W41" i="5" s="1"/>
  <c r="V41" i="6" s="1"/>
  <c r="C41" i="5"/>
  <c r="M41" i="5" s="1"/>
  <c r="A41" i="5"/>
  <c r="W40" i="5" a="1"/>
  <c r="W40" i="5" s="1"/>
  <c r="V40" i="6" s="1"/>
  <c r="C40" i="5"/>
  <c r="AS40" i="5" s="1"/>
  <c r="A40" i="5"/>
  <c r="W39" i="5" a="1"/>
  <c r="W39" i="5" s="1"/>
  <c r="V39" i="6" s="1"/>
  <c r="C39" i="5"/>
  <c r="AB39" i="5" s="1"/>
  <c r="J39" i="6" s="1"/>
  <c r="A39" i="5"/>
  <c r="W38" i="5" a="1"/>
  <c r="W38" i="5" s="1"/>
  <c r="V38" i="6" s="1"/>
  <c r="C38" i="5"/>
  <c r="M38" i="5" s="1"/>
  <c r="A38" i="5"/>
  <c r="W37" i="5" a="1"/>
  <c r="W37" i="5" s="1"/>
  <c r="V37" i="6" s="1"/>
  <c r="C37" i="5"/>
  <c r="AS37" i="5" s="1"/>
  <c r="A37" i="5"/>
  <c r="W36" i="5" a="1"/>
  <c r="W36" i="5" s="1"/>
  <c r="V36" i="6" s="1"/>
  <c r="C36" i="5"/>
  <c r="AQ36" i="5" s="1"/>
  <c r="A36" i="5"/>
  <c r="W35" i="5" a="1"/>
  <c r="W35" i="5" s="1"/>
  <c r="V35" i="6" s="1"/>
  <c r="C35" i="5"/>
  <c r="AS35" i="5" s="1"/>
  <c r="A35" i="5"/>
  <c r="W34" i="5" a="1"/>
  <c r="W34" i="5" s="1"/>
  <c r="V34" i="6" s="1"/>
  <c r="C34" i="5"/>
  <c r="AQ34" i="5" s="1"/>
  <c r="A34" i="5"/>
  <c r="W33" i="5" a="1"/>
  <c r="W33" i="5" s="1"/>
  <c r="V33" i="6" s="1"/>
  <c r="C33" i="5"/>
  <c r="N33" i="5" s="1"/>
  <c r="A33" i="5"/>
  <c r="W32" i="5" a="1"/>
  <c r="W32" i="5" s="1"/>
  <c r="V32" i="6" s="1"/>
  <c r="C32" i="5"/>
  <c r="AC32" i="5" s="1"/>
  <c r="K32" i="6" s="1"/>
  <c r="A32" i="5"/>
  <c r="W31" i="5" a="1"/>
  <c r="W31" i="5" s="1"/>
  <c r="V31" i="6" s="1"/>
  <c r="C31" i="5"/>
  <c r="A31" i="5"/>
  <c r="W30" i="5" a="1"/>
  <c r="W30" i="5" s="1"/>
  <c r="V30" i="6" s="1"/>
  <c r="C30" i="5"/>
  <c r="AC30" i="5" s="1"/>
  <c r="K30" i="6" s="1"/>
  <c r="A30" i="5"/>
  <c r="W29" i="5" a="1"/>
  <c r="W29" i="5" s="1"/>
  <c r="V29" i="6" s="1"/>
  <c r="C29" i="5"/>
  <c r="AS29" i="5" s="1"/>
  <c r="A29" i="5"/>
  <c r="W28" i="5" a="1"/>
  <c r="W28" i="5" s="1"/>
  <c r="V28" i="6" s="1"/>
  <c r="C28" i="5"/>
  <c r="G28" i="5" s="1"/>
  <c r="A28" i="5"/>
  <c r="W27" i="5" a="1"/>
  <c r="W27" i="5" s="1"/>
  <c r="V27" i="6" s="1"/>
  <c r="C27" i="5"/>
  <c r="A27" i="5"/>
  <c r="W26" i="5" a="1"/>
  <c r="W26" i="5" s="1"/>
  <c r="V26" i="6" s="1"/>
  <c r="C26" i="5"/>
  <c r="G26" i="5" s="1"/>
  <c r="A26" i="5"/>
  <c r="W25" i="5" a="1"/>
  <c r="W25" i="5" s="1"/>
  <c r="V25" i="6" s="1"/>
  <c r="C25" i="5"/>
  <c r="AQ25" i="5" s="1"/>
  <c r="A25" i="5"/>
  <c r="W24" i="5" a="1"/>
  <c r="W24" i="5" s="1"/>
  <c r="V24" i="6" s="1"/>
  <c r="C24" i="5"/>
  <c r="AQ24" i="5" s="1"/>
  <c r="A24" i="5"/>
  <c r="W23" i="5" a="1"/>
  <c r="W23" i="5" s="1"/>
  <c r="V23" i="6" s="1"/>
  <c r="C23" i="5"/>
  <c r="AS23" i="5" s="1"/>
  <c r="A23" i="5"/>
  <c r="W22" i="5" a="1"/>
  <c r="W22" i="5" s="1"/>
  <c r="V22" i="6" s="1"/>
  <c r="C22" i="5"/>
  <c r="A22" i="5"/>
  <c r="W21" i="5" a="1"/>
  <c r="W21" i="5" s="1"/>
  <c r="V21" i="6" s="1"/>
  <c r="C21" i="5"/>
  <c r="N21" i="5" s="1"/>
  <c r="A21" i="5"/>
  <c r="W20" i="5" a="1"/>
  <c r="W20" i="5" s="1"/>
  <c r="V20" i="6" s="1"/>
  <c r="C20" i="5"/>
  <c r="AR20" i="5" s="1"/>
  <c r="A20" i="5"/>
  <c r="W19" i="5" a="1"/>
  <c r="W19" i="5" s="1"/>
  <c r="V19" i="6" s="1"/>
  <c r="C19" i="5"/>
  <c r="AS19" i="5" s="1"/>
  <c r="A19" i="5"/>
  <c r="W18" i="5" a="1"/>
  <c r="W18" i="5" s="1"/>
  <c r="V18" i="6" s="1"/>
  <c r="C18" i="5"/>
  <c r="AB18" i="5" s="1"/>
  <c r="J18" i="6" s="1"/>
  <c r="A18" i="5"/>
  <c r="W17" i="5" a="1"/>
  <c r="W17" i="5" s="1"/>
  <c r="V17" i="6" s="1"/>
  <c r="C17" i="5"/>
  <c r="A17" i="5"/>
  <c r="W16" i="5" a="1"/>
  <c r="W16" i="5" s="1"/>
  <c r="V16" i="6" s="1"/>
  <c r="C16" i="5"/>
  <c r="M16" i="5" s="1"/>
  <c r="A16" i="5"/>
  <c r="W15" i="5" a="1"/>
  <c r="W15" i="5" s="1"/>
  <c r="V15" i="6" s="1"/>
  <c r="C15" i="5"/>
  <c r="A15" i="5"/>
  <c r="W14" i="5" a="1"/>
  <c r="W14" i="5" s="1"/>
  <c r="V14" i="6" s="1"/>
  <c r="C14" i="5"/>
  <c r="M14" i="5" s="1"/>
  <c r="A14" i="5"/>
  <c r="W13" i="5" a="1"/>
  <c r="W13" i="5" s="1"/>
  <c r="V13" i="6" s="1"/>
  <c r="C13" i="5"/>
  <c r="AS13" i="5" s="1"/>
  <c r="A13" i="5"/>
  <c r="W12" i="5" a="1"/>
  <c r="W12" i="5" s="1"/>
  <c r="V12" i="6" s="1"/>
  <c r="C12" i="5"/>
  <c r="AR12" i="5" s="1"/>
  <c r="A12" i="5"/>
  <c r="W11" i="5" a="1"/>
  <c r="W11" i="5" s="1"/>
  <c r="V11" i="6" s="1"/>
  <c r="C11" i="5"/>
  <c r="AB11" i="5" s="1"/>
  <c r="J11" i="6" s="1"/>
  <c r="A11" i="5"/>
  <c r="W10" i="5" a="1"/>
  <c r="W10" i="5" s="1"/>
  <c r="V10" i="6" s="1"/>
  <c r="C10" i="5"/>
  <c r="AR10" i="5" s="1"/>
  <c r="A10" i="5"/>
  <c r="W9" i="5" a="1"/>
  <c r="W9" i="5" s="1"/>
  <c r="V9" i="6" s="1"/>
  <c r="C9" i="5"/>
  <c r="G9" i="5" s="1"/>
  <c r="A9" i="5"/>
  <c r="W8" i="5" a="1"/>
  <c r="W8" i="5" s="1"/>
  <c r="V8" i="6" s="1"/>
  <c r="C8" i="5"/>
  <c r="AQ8" i="5" s="1"/>
  <c r="A8" i="5"/>
  <c r="W7" i="5" a="1"/>
  <c r="W7" i="5" s="1"/>
  <c r="V7" i="6" s="1"/>
  <c r="C7" i="5"/>
  <c r="A7" i="5"/>
  <c r="W6" i="5" a="1"/>
  <c r="W6" i="5" s="1"/>
  <c r="V6" i="6" s="1"/>
  <c r="C6" i="5"/>
  <c r="AS6" i="5" s="1"/>
  <c r="A6" i="5"/>
  <c r="W5" i="5" a="1"/>
  <c r="W5" i="5" s="1"/>
  <c r="V5" i="6" s="1"/>
  <c r="C5" i="5"/>
  <c r="AR5" i="5" s="1"/>
  <c r="A5" i="5"/>
  <c r="W4" i="5" a="1"/>
  <c r="W4" i="5" s="1"/>
  <c r="V4" i="6" s="1"/>
  <c r="C4" i="5"/>
  <c r="N4" i="5" s="1"/>
  <c r="A4" i="5"/>
  <c r="W3" i="5" a="1"/>
  <c r="W3" i="5" s="1"/>
  <c r="V3" i="6" s="1"/>
  <c r="C3" i="5"/>
  <c r="N3" i="5" s="1"/>
  <c r="A3" i="5"/>
  <c r="AM2" i="5"/>
  <c r="AN2" i="5" s="1"/>
  <c r="C206" i="4"/>
  <c r="C86" i="3" s="1"/>
  <c r="A206" i="4"/>
  <c r="C205" i="4"/>
  <c r="AC205" i="4" s="1"/>
  <c r="K164" i="3" s="1"/>
  <c r="A205" i="4"/>
  <c r="C204" i="4"/>
  <c r="C150" i="3" s="1"/>
  <c r="A204" i="4"/>
  <c r="C203" i="4"/>
  <c r="AC203" i="4" s="1"/>
  <c r="K117" i="3" s="1"/>
  <c r="A203" i="4"/>
  <c r="C202" i="4"/>
  <c r="M202" i="4" s="1"/>
  <c r="A202" i="4"/>
  <c r="C201" i="4"/>
  <c r="G201" i="4" s="1"/>
  <c r="A201" i="4"/>
  <c r="C200" i="4"/>
  <c r="C199" i="3" s="1"/>
  <c r="A200" i="4"/>
  <c r="C199" i="4"/>
  <c r="B196" i="3" s="1"/>
  <c r="A199" i="4"/>
  <c r="C198" i="4"/>
  <c r="M198" i="4" s="1"/>
  <c r="A198" i="4"/>
  <c r="C197" i="4"/>
  <c r="AC197" i="4" s="1"/>
  <c r="K61" i="3" s="1"/>
  <c r="A197" i="4"/>
  <c r="C196" i="4"/>
  <c r="G196" i="4" s="1"/>
  <c r="A196" i="4"/>
  <c r="C195" i="4"/>
  <c r="X195" i="4" s="1"/>
  <c r="O26" i="3" s="1"/>
  <c r="A195" i="4"/>
  <c r="C194" i="4"/>
  <c r="C121" i="3" s="1"/>
  <c r="A194" i="4"/>
  <c r="C193" i="4"/>
  <c r="AC193" i="4" s="1"/>
  <c r="K77" i="3" s="1"/>
  <c r="A193" i="4"/>
  <c r="C192" i="4"/>
  <c r="AC192" i="4" s="1"/>
  <c r="K20" i="3" s="1"/>
  <c r="A192" i="4"/>
  <c r="C191" i="4"/>
  <c r="G191" i="4" s="1"/>
  <c r="A191" i="4"/>
  <c r="C190" i="4"/>
  <c r="AC190" i="4" s="1"/>
  <c r="K132" i="3" s="1"/>
  <c r="A190" i="4"/>
  <c r="C189" i="4"/>
  <c r="AC189" i="4" s="1"/>
  <c r="K52" i="3" s="1"/>
  <c r="A189" i="4"/>
  <c r="C188" i="4"/>
  <c r="A21" i="3" s="1"/>
  <c r="A188" i="4"/>
  <c r="C187" i="4"/>
  <c r="AC187" i="4" s="1"/>
  <c r="K8" i="3" s="1"/>
  <c r="A187" i="4"/>
  <c r="C186" i="4"/>
  <c r="W186" i="4" s="1" a="1"/>
  <c r="W186" i="4" s="1"/>
  <c r="V49" i="3" s="1"/>
  <c r="A186" i="4"/>
  <c r="C185" i="4"/>
  <c r="B69" i="3" s="1"/>
  <c r="A185" i="4"/>
  <c r="C184" i="4"/>
  <c r="G184" i="4" s="1"/>
  <c r="A184" i="4"/>
  <c r="C183" i="4"/>
  <c r="C12" i="3" s="1"/>
  <c r="A183" i="4"/>
  <c r="C182" i="4"/>
  <c r="AC182" i="4" s="1"/>
  <c r="K134" i="3" s="1"/>
  <c r="A182" i="4"/>
  <c r="C181" i="4"/>
  <c r="G181" i="4" s="1"/>
  <c r="A181" i="4"/>
  <c r="C180" i="4"/>
  <c r="AB180" i="4" s="1"/>
  <c r="J4" i="3" s="1"/>
  <c r="A180" i="4"/>
  <c r="C179" i="4"/>
  <c r="X179" i="4" s="1"/>
  <c r="O191" i="3" s="1"/>
  <c r="A179" i="4"/>
  <c r="C178" i="4"/>
  <c r="AB178" i="4" s="1"/>
  <c r="J15" i="3" s="1"/>
  <c r="A178" i="4"/>
  <c r="C177" i="4"/>
  <c r="G177" i="4" s="1"/>
  <c r="A177" i="4"/>
  <c r="C176" i="4"/>
  <c r="AC176" i="4" s="1"/>
  <c r="K71" i="3" s="1"/>
  <c r="A176" i="4"/>
  <c r="C175" i="4"/>
  <c r="G175" i="4" s="1"/>
  <c r="A175" i="4"/>
  <c r="C174" i="4"/>
  <c r="AB174" i="4" s="1"/>
  <c r="J110" i="3" s="1"/>
  <c r="A174" i="4"/>
  <c r="C173" i="4"/>
  <c r="X173" i="4" s="1"/>
  <c r="O32" i="3" s="1"/>
  <c r="A173" i="4"/>
  <c r="C172" i="4"/>
  <c r="A172" i="4"/>
  <c r="C171" i="4"/>
  <c r="C70" i="3" s="1"/>
  <c r="A171" i="4"/>
  <c r="C170" i="4"/>
  <c r="B30" i="3" s="1"/>
  <c r="A170" i="4"/>
  <c r="C169" i="4"/>
  <c r="X169" i="4" s="1"/>
  <c r="O87" i="3" s="1"/>
  <c r="A169" i="4"/>
  <c r="C168" i="4"/>
  <c r="X168" i="4" s="1"/>
  <c r="O198" i="3" s="1"/>
  <c r="A168" i="4"/>
  <c r="C167" i="4"/>
  <c r="AB167" i="4" s="1"/>
  <c r="J106" i="3" s="1"/>
  <c r="A167" i="4"/>
  <c r="C166" i="4"/>
  <c r="AB166" i="4" s="1"/>
  <c r="J82" i="3" s="1"/>
  <c r="A166" i="4"/>
  <c r="C165" i="4"/>
  <c r="C95" i="3" s="1"/>
  <c r="A165" i="4"/>
  <c r="C164" i="4"/>
  <c r="C113" i="3" s="1"/>
  <c r="A164" i="4"/>
  <c r="C163" i="4"/>
  <c r="G163" i="4" s="1"/>
  <c r="A163" i="4"/>
  <c r="C162" i="4"/>
  <c r="X162" i="4" s="1"/>
  <c r="O181" i="3" s="1"/>
  <c r="A162" i="4"/>
  <c r="C161" i="4"/>
  <c r="G161" i="4" s="1"/>
  <c r="A161" i="4"/>
  <c r="C160" i="4"/>
  <c r="AB160" i="4" s="1"/>
  <c r="J78" i="3" s="1"/>
  <c r="A160" i="4"/>
  <c r="C159" i="4"/>
  <c r="W159" i="4" s="1" a="1"/>
  <c r="W159" i="4" s="1"/>
  <c r="V74" i="3" s="1"/>
  <c r="A159" i="4"/>
  <c r="C158" i="4"/>
  <c r="AC158" i="4" s="1"/>
  <c r="K107" i="3" s="1"/>
  <c r="A158" i="4"/>
  <c r="C157" i="4"/>
  <c r="M157" i="4" s="1"/>
  <c r="A157" i="4"/>
  <c r="C156" i="4"/>
  <c r="X156" i="4" s="1"/>
  <c r="O34" i="3" s="1"/>
  <c r="A156" i="4"/>
  <c r="C155" i="4"/>
  <c r="W155" i="4" s="1" a="1"/>
  <c r="W155" i="4" s="1"/>
  <c r="V102" i="3" s="1"/>
  <c r="A155" i="4"/>
  <c r="C154" i="4"/>
  <c r="W154" i="4" s="1" a="1"/>
  <c r="W154" i="4" s="1"/>
  <c r="V9" i="3" s="1"/>
  <c r="A154" i="4"/>
  <c r="C153" i="4"/>
  <c r="C79" i="3" s="1"/>
  <c r="A153" i="4"/>
  <c r="C152" i="4"/>
  <c r="AC152" i="4" s="1"/>
  <c r="K129" i="3" s="1"/>
  <c r="A152" i="4"/>
  <c r="C151" i="4"/>
  <c r="G151" i="4" s="1"/>
  <c r="A151" i="4"/>
  <c r="C150" i="4"/>
  <c r="G150" i="4" s="1"/>
  <c r="A150" i="4"/>
  <c r="C149" i="4"/>
  <c r="AC149" i="4" s="1"/>
  <c r="K73" i="3" s="1"/>
  <c r="A149" i="4"/>
  <c r="C148" i="4"/>
  <c r="N148" i="4" s="1"/>
  <c r="A148" i="4"/>
  <c r="C147" i="4"/>
  <c r="AB147" i="4" s="1"/>
  <c r="J174" i="3" s="1"/>
  <c r="A147" i="4"/>
  <c r="C146" i="4"/>
  <c r="C202" i="3" s="1"/>
  <c r="A146" i="4"/>
  <c r="C145" i="4"/>
  <c r="W145" i="4" s="1" a="1"/>
  <c r="W145" i="4" s="1"/>
  <c r="V18" i="3" s="1"/>
  <c r="A145" i="4"/>
  <c r="C144" i="4"/>
  <c r="G144" i="4" s="1"/>
  <c r="A144" i="4"/>
  <c r="C143" i="4"/>
  <c r="X143" i="4" s="1"/>
  <c r="O157" i="3" s="1"/>
  <c r="A143" i="4"/>
  <c r="C142" i="4"/>
  <c r="N142" i="4" s="1"/>
  <c r="A142" i="4"/>
  <c r="C141" i="4"/>
  <c r="M141" i="4" s="1"/>
  <c r="A141" i="4"/>
  <c r="C140" i="4"/>
  <c r="C92" i="3" s="1"/>
  <c r="A140" i="4"/>
  <c r="C139" i="4"/>
  <c r="W139" i="4" s="1" a="1"/>
  <c r="W139" i="4" s="1"/>
  <c r="V103" i="3" s="1"/>
  <c r="A139" i="4"/>
  <c r="C138" i="4"/>
  <c r="C31" i="3" s="1"/>
  <c r="A138" i="4"/>
  <c r="C137" i="4"/>
  <c r="G137" i="4" s="1"/>
  <c r="A137" i="4"/>
  <c r="C136" i="4"/>
  <c r="W136" i="4" s="1" a="1"/>
  <c r="W136" i="4" s="1"/>
  <c r="V190" i="3" s="1"/>
  <c r="A136" i="4"/>
  <c r="C135" i="4"/>
  <c r="X135" i="4" s="1"/>
  <c r="O155" i="3" s="1"/>
  <c r="A135" i="4"/>
  <c r="C134" i="4"/>
  <c r="X134" i="4" s="1"/>
  <c r="O119" i="3" s="1"/>
  <c r="A134" i="4"/>
  <c r="C133" i="4"/>
  <c r="C25" i="3" s="1"/>
  <c r="A133" i="4"/>
  <c r="C132" i="4"/>
  <c r="N132" i="4" s="1"/>
  <c r="A132" i="4"/>
  <c r="C131" i="4"/>
  <c r="AC131" i="4" s="1"/>
  <c r="K27" i="3" s="1"/>
  <c r="A131" i="4"/>
  <c r="C130" i="4"/>
  <c r="C54" i="3" s="1"/>
  <c r="A130" i="4"/>
  <c r="C129" i="4"/>
  <c r="AB129" i="4" s="1"/>
  <c r="J72" i="3" s="1"/>
  <c r="A129" i="4"/>
  <c r="C128" i="4"/>
  <c r="X128" i="4" s="1"/>
  <c r="O80" i="3" s="1"/>
  <c r="A128" i="4"/>
  <c r="C127" i="4"/>
  <c r="G127" i="4" s="1"/>
  <c r="A127" i="4"/>
  <c r="C126" i="4"/>
  <c r="AC126" i="4" s="1"/>
  <c r="K176" i="3" s="1"/>
  <c r="A126" i="4"/>
  <c r="C125" i="4"/>
  <c r="G125" i="4" s="1"/>
  <c r="A125" i="4"/>
  <c r="C124" i="4"/>
  <c r="AC124" i="4" s="1"/>
  <c r="K23" i="3" s="1"/>
  <c r="A124" i="4"/>
  <c r="C123" i="4"/>
  <c r="AC123" i="4" s="1"/>
  <c r="K89" i="3" s="1"/>
  <c r="A123" i="4"/>
  <c r="C122" i="4"/>
  <c r="AC122" i="4" s="1"/>
  <c r="K3" i="3" s="1"/>
  <c r="A122" i="4"/>
  <c r="C121" i="4"/>
  <c r="A83" i="3" s="1"/>
  <c r="A121" i="4"/>
  <c r="C120" i="4"/>
  <c r="AC120" i="4" s="1"/>
  <c r="K44" i="3" s="1"/>
  <c r="A120" i="4"/>
  <c r="C119" i="4"/>
  <c r="AB119" i="4" s="1"/>
  <c r="J81" i="3" s="1"/>
  <c r="A119" i="4"/>
  <c r="C118" i="4"/>
  <c r="C33" i="3" s="1"/>
  <c r="A118" i="4"/>
  <c r="C117" i="4"/>
  <c r="AC117" i="4" s="1"/>
  <c r="K85" i="3" s="1"/>
  <c r="A117" i="4"/>
  <c r="C116" i="4"/>
  <c r="W116" i="4" s="1" a="1"/>
  <c r="W116" i="4" s="1"/>
  <c r="V67" i="3" s="1"/>
  <c r="A116" i="4"/>
  <c r="C115" i="4"/>
  <c r="AB115" i="4" s="1"/>
  <c r="J137" i="3" s="1"/>
  <c r="A115" i="4"/>
  <c r="C114" i="4"/>
  <c r="N114" i="4" s="1"/>
  <c r="A114" i="4"/>
  <c r="C113" i="4"/>
  <c r="AC113" i="4" s="1"/>
  <c r="K57" i="3" s="1"/>
  <c r="A113" i="4"/>
  <c r="C112" i="4"/>
  <c r="AC112" i="4" s="1"/>
  <c r="K163" i="3" s="1"/>
  <c r="A112" i="4"/>
  <c r="C111" i="4"/>
  <c r="AC111" i="4" s="1"/>
  <c r="K51" i="3" s="1"/>
  <c r="A111" i="4"/>
  <c r="C110" i="4"/>
  <c r="AC110" i="4" s="1"/>
  <c r="K120" i="3" s="1"/>
  <c r="A110" i="4"/>
  <c r="C109" i="4"/>
  <c r="AB109" i="4" s="1"/>
  <c r="J159" i="3" s="1"/>
  <c r="A109" i="4"/>
  <c r="C108" i="4"/>
  <c r="G108" i="4" s="1"/>
  <c r="A108" i="4"/>
  <c r="C107" i="4"/>
  <c r="G107" i="4" s="1"/>
  <c r="A107" i="4"/>
  <c r="C106" i="4"/>
  <c r="C180" i="3" s="1"/>
  <c r="A106" i="4"/>
  <c r="C105" i="4"/>
  <c r="AC105" i="4" s="1"/>
  <c r="K116" i="3" s="1"/>
  <c r="A105" i="4"/>
  <c r="C104" i="4"/>
  <c r="AC104" i="4" s="1"/>
  <c r="K112" i="3" s="1"/>
  <c r="A104" i="4"/>
  <c r="C103" i="4"/>
  <c r="AC103" i="4" s="1"/>
  <c r="K24" i="3" s="1"/>
  <c r="A103" i="4"/>
  <c r="C102" i="4"/>
  <c r="B144" i="3" s="1"/>
  <c r="A102" i="4"/>
  <c r="C101" i="4"/>
  <c r="B143" i="3" s="1"/>
  <c r="A101" i="4"/>
  <c r="C100" i="4"/>
  <c r="G100" i="4" s="1"/>
  <c r="A100" i="4"/>
  <c r="C99" i="4"/>
  <c r="C201" i="3" s="1"/>
  <c r="A99" i="4"/>
  <c r="C98" i="4"/>
  <c r="N98" i="4" s="1"/>
  <c r="A98" i="4"/>
  <c r="C97" i="4"/>
  <c r="A35" i="3" s="1"/>
  <c r="A97" i="4"/>
  <c r="C96" i="4"/>
  <c r="X96" i="4" s="1"/>
  <c r="O99" i="3" s="1"/>
  <c r="A96" i="4"/>
  <c r="C95" i="4"/>
  <c r="AC95" i="4" s="1"/>
  <c r="K169" i="3" s="1"/>
  <c r="A95" i="4"/>
  <c r="C94" i="4"/>
  <c r="C108" i="3" s="1"/>
  <c r="A94" i="4"/>
  <c r="C93" i="4"/>
  <c r="M93" i="4" s="1"/>
  <c r="A93" i="4"/>
  <c r="C92" i="4"/>
  <c r="G92" i="4" s="1"/>
  <c r="A92" i="4"/>
  <c r="C91" i="4"/>
  <c r="AB91" i="4" s="1"/>
  <c r="J152" i="3" s="1"/>
  <c r="A91" i="4"/>
  <c r="C90" i="4"/>
  <c r="AC90" i="4" s="1"/>
  <c r="K36" i="3" s="1"/>
  <c r="A90" i="4"/>
  <c r="C89" i="4"/>
  <c r="W89" i="4" s="1" a="1"/>
  <c r="W89" i="4" s="1"/>
  <c r="V189" i="3" s="1"/>
  <c r="A89" i="4"/>
  <c r="C88" i="4"/>
  <c r="AC88" i="4" s="1"/>
  <c r="K29" i="3" s="1"/>
  <c r="A88" i="4"/>
  <c r="C87" i="4"/>
  <c r="AB87" i="4" s="1"/>
  <c r="J96" i="3" s="1"/>
  <c r="A87" i="4"/>
  <c r="C86" i="4"/>
  <c r="C53" i="3" s="1"/>
  <c r="A86" i="4"/>
  <c r="C85" i="4"/>
  <c r="AC85" i="4" s="1"/>
  <c r="K47" i="3" s="1"/>
  <c r="A85" i="4"/>
  <c r="C84" i="4"/>
  <c r="AC84" i="4" s="1"/>
  <c r="K59" i="3" s="1"/>
  <c r="A84" i="4"/>
  <c r="C83" i="4"/>
  <c r="AB83" i="4" s="1"/>
  <c r="J84" i="3" s="1"/>
  <c r="A83" i="4"/>
  <c r="C82" i="4"/>
  <c r="N82" i="4" s="1"/>
  <c r="A82" i="4"/>
  <c r="C81" i="4"/>
  <c r="AC81" i="4" s="1"/>
  <c r="K11" i="3" s="1"/>
  <c r="A81" i="4"/>
  <c r="C80" i="4"/>
  <c r="W80" i="4" s="1" a="1"/>
  <c r="W80" i="4" s="1"/>
  <c r="V66" i="3" s="1"/>
  <c r="A80" i="4"/>
  <c r="C79" i="4"/>
  <c r="C118" i="3" s="1"/>
  <c r="A79" i="4"/>
  <c r="C78" i="4"/>
  <c r="AC78" i="4" s="1"/>
  <c r="K114" i="3" s="1"/>
  <c r="A78" i="4"/>
  <c r="C77" i="4"/>
  <c r="AB77" i="4" s="1"/>
  <c r="J204" i="3" s="1"/>
  <c r="A77" i="4"/>
  <c r="C76" i="4"/>
  <c r="AB76" i="4" s="1"/>
  <c r="J62" i="3" s="1"/>
  <c r="A76" i="4"/>
  <c r="C75" i="4"/>
  <c r="X75" i="4" s="1"/>
  <c r="O17" i="3" s="1"/>
  <c r="A75" i="4"/>
  <c r="C74" i="4"/>
  <c r="C39" i="3" s="1"/>
  <c r="A74" i="4"/>
  <c r="C73" i="4"/>
  <c r="A63" i="3" s="1"/>
  <c r="A73" i="4"/>
  <c r="C72" i="4"/>
  <c r="AC72" i="4" s="1"/>
  <c r="K165" i="3" s="1"/>
  <c r="A72" i="4"/>
  <c r="C71" i="4"/>
  <c r="AB71" i="4" s="1"/>
  <c r="J40" i="3" s="1"/>
  <c r="A71" i="4"/>
  <c r="C70" i="4"/>
  <c r="A149" i="3" s="1"/>
  <c r="A70" i="4"/>
  <c r="C69" i="4"/>
  <c r="AB69" i="4" s="1"/>
  <c r="J98" i="3" s="1"/>
  <c r="A69" i="4"/>
  <c r="C68" i="4"/>
  <c r="G68" i="4" s="1"/>
  <c r="A68" i="4"/>
  <c r="C67" i="4"/>
  <c r="AB67" i="4" s="1"/>
  <c r="J194" i="3" s="1"/>
  <c r="A67" i="4"/>
  <c r="C66" i="4"/>
  <c r="N66" i="4" s="1"/>
  <c r="A66" i="4"/>
  <c r="C65" i="4"/>
  <c r="AC65" i="4" s="1"/>
  <c r="K146" i="3" s="1"/>
  <c r="A65" i="4"/>
  <c r="C64" i="4"/>
  <c r="X64" i="4" s="1"/>
  <c r="O50" i="3" s="1"/>
  <c r="A64" i="4"/>
  <c r="C63" i="4"/>
  <c r="AC63" i="4" s="1"/>
  <c r="K145" i="3" s="1"/>
  <c r="A63" i="4"/>
  <c r="C62" i="4"/>
  <c r="AC62" i="4" s="1"/>
  <c r="K141" i="3" s="1"/>
  <c r="A62" i="4"/>
  <c r="C61" i="4"/>
  <c r="M61" i="4" s="1"/>
  <c r="A61" i="4"/>
  <c r="C60" i="4"/>
  <c r="N60" i="4" s="1"/>
  <c r="A60" i="4"/>
  <c r="C59" i="4"/>
  <c r="M59" i="4" s="1"/>
  <c r="A59" i="4"/>
  <c r="C58" i="4"/>
  <c r="AC58" i="4" s="1"/>
  <c r="K37" i="3" s="1"/>
  <c r="A58" i="4"/>
  <c r="C57" i="4"/>
  <c r="W57" i="4" s="1" a="1"/>
  <c r="W57" i="4" s="1"/>
  <c r="V173" i="3" s="1"/>
  <c r="A57" i="4"/>
  <c r="C56" i="4"/>
  <c r="AC56" i="4" s="1"/>
  <c r="K128" i="3" s="1"/>
  <c r="A56" i="4"/>
  <c r="C55" i="4"/>
  <c r="AB55" i="4" s="1"/>
  <c r="J105" i="3" s="1"/>
  <c r="A55" i="4"/>
  <c r="C54" i="4"/>
  <c r="C125" i="3" s="1"/>
  <c r="A54" i="4"/>
  <c r="C53" i="4"/>
  <c r="AB53" i="4" s="1"/>
  <c r="J133" i="3" s="1"/>
  <c r="A53" i="4"/>
  <c r="C52" i="4"/>
  <c r="G52" i="4" s="1"/>
  <c r="A52" i="4"/>
  <c r="C51" i="4"/>
  <c r="AB51" i="4" s="1"/>
  <c r="J7" i="3" s="1"/>
  <c r="A51" i="4"/>
  <c r="C50" i="4"/>
  <c r="N50" i="4" s="1"/>
  <c r="A50" i="4"/>
  <c r="C49" i="4"/>
  <c r="AC49" i="4" s="1"/>
  <c r="K188" i="3" s="1"/>
  <c r="A49" i="4"/>
  <c r="C48" i="4"/>
  <c r="X48" i="4" s="1"/>
  <c r="O170" i="3" s="1"/>
  <c r="A48" i="4"/>
  <c r="C47" i="4"/>
  <c r="AC47" i="4" s="1"/>
  <c r="K138" i="3" s="1"/>
  <c r="A47" i="4"/>
  <c r="C46" i="4"/>
  <c r="AC46" i="4" s="1"/>
  <c r="K97" i="3" s="1"/>
  <c r="A46" i="4"/>
  <c r="C45" i="4"/>
  <c r="AC45" i="4" s="1"/>
  <c r="K172" i="3" s="1"/>
  <c r="A45" i="4"/>
  <c r="C44" i="4"/>
  <c r="N44" i="4" s="1"/>
  <c r="A44" i="4"/>
  <c r="C43" i="4"/>
  <c r="M43" i="4" s="1"/>
  <c r="A43" i="4"/>
  <c r="C42" i="4"/>
  <c r="AC42" i="4" s="1"/>
  <c r="K60" i="3" s="1"/>
  <c r="A42" i="4"/>
  <c r="C41" i="4"/>
  <c r="W41" i="4" s="1" a="1"/>
  <c r="W41" i="4" s="1"/>
  <c r="V48" i="3" s="1"/>
  <c r="A41" i="4"/>
  <c r="C40" i="4"/>
  <c r="AC40" i="4" s="1"/>
  <c r="K153" i="3" s="1"/>
  <c r="A40" i="4"/>
  <c r="C39" i="4"/>
  <c r="AB39" i="4" s="1"/>
  <c r="J142" i="3" s="1"/>
  <c r="A39" i="4"/>
  <c r="C38" i="4"/>
  <c r="B109" i="3" s="1"/>
  <c r="A38" i="4"/>
  <c r="C37" i="4"/>
  <c r="AB37" i="4" s="1"/>
  <c r="J168" i="3" s="1"/>
  <c r="A37" i="4"/>
  <c r="C36" i="4"/>
  <c r="G36" i="4" s="1"/>
  <c r="A36" i="4"/>
  <c r="C35" i="4"/>
  <c r="AB35" i="4" s="1"/>
  <c r="J187" i="3" s="1"/>
  <c r="A35" i="4"/>
  <c r="C34" i="4"/>
  <c r="N34" i="4" s="1"/>
  <c r="A34" i="4"/>
  <c r="C33" i="4"/>
  <c r="AC33" i="4" s="1"/>
  <c r="K58" i="3" s="1"/>
  <c r="A33" i="4"/>
  <c r="C32" i="4"/>
  <c r="X32" i="4" s="1"/>
  <c r="O6" i="3" s="1"/>
  <c r="A32" i="4"/>
  <c r="C31" i="4"/>
  <c r="AC31" i="4" s="1"/>
  <c r="K182" i="3" s="1"/>
  <c r="A31" i="4"/>
  <c r="C30" i="4"/>
  <c r="AC30" i="4" s="1"/>
  <c r="K131" i="3" s="1"/>
  <c r="A30" i="4"/>
  <c r="C29" i="4"/>
  <c r="AC29" i="4" s="1"/>
  <c r="K178" i="3" s="1"/>
  <c r="A29" i="4"/>
  <c r="C28" i="4"/>
  <c r="N28" i="4" s="1"/>
  <c r="A28" i="4"/>
  <c r="C27" i="4"/>
  <c r="M27" i="4" s="1"/>
  <c r="A27" i="4"/>
  <c r="C26" i="4"/>
  <c r="AC26" i="4" s="1"/>
  <c r="K151" i="3" s="1"/>
  <c r="A26" i="4"/>
  <c r="C25" i="4"/>
  <c r="W25" i="4" s="1" a="1"/>
  <c r="W25" i="4" s="1"/>
  <c r="V43" i="3" s="1"/>
  <c r="A25" i="4"/>
  <c r="C24" i="4"/>
  <c r="AC24" i="4" s="1"/>
  <c r="K175" i="3" s="1"/>
  <c r="A24" i="4"/>
  <c r="C23" i="4"/>
  <c r="AB23" i="4" s="1"/>
  <c r="J10" i="3" s="1"/>
  <c r="A23" i="4"/>
  <c r="C22" i="4"/>
  <c r="C203" i="3" s="1"/>
  <c r="A22" i="4"/>
  <c r="C21" i="4"/>
  <c r="AB21" i="4" s="1"/>
  <c r="J90" i="3" s="1"/>
  <c r="A21" i="4"/>
  <c r="C20" i="4"/>
  <c r="G20" i="4" s="1"/>
  <c r="A20" i="4"/>
  <c r="C19" i="4"/>
  <c r="AB19" i="4" s="1"/>
  <c r="J197" i="3" s="1"/>
  <c r="A19" i="4"/>
  <c r="C18" i="4"/>
  <c r="N18" i="4" s="1"/>
  <c r="A18" i="4"/>
  <c r="C17" i="4"/>
  <c r="AC17" i="4" s="1"/>
  <c r="K135" i="3" s="1"/>
  <c r="A17" i="4"/>
  <c r="C16" i="4"/>
  <c r="X16" i="4" s="1"/>
  <c r="O184" i="3" s="1"/>
  <c r="A16" i="4"/>
  <c r="C15" i="4"/>
  <c r="AC15" i="4" s="1"/>
  <c r="K75" i="3" s="1"/>
  <c r="A15" i="4"/>
  <c r="C14" i="4"/>
  <c r="AC14" i="4" s="1"/>
  <c r="K160" i="3" s="1"/>
  <c r="A14" i="4"/>
  <c r="C13" i="4"/>
  <c r="AC13" i="4" s="1"/>
  <c r="K158" i="3" s="1"/>
  <c r="A13" i="4"/>
  <c r="C12" i="4"/>
  <c r="N12" i="4" s="1"/>
  <c r="A12" i="4"/>
  <c r="C11" i="4"/>
  <c r="N11" i="4" s="1"/>
  <c r="A11" i="4"/>
  <c r="C10" i="4"/>
  <c r="AC10" i="4" s="1"/>
  <c r="K183" i="3" s="1"/>
  <c r="A10" i="4"/>
  <c r="C9" i="4"/>
  <c r="X9" i="4" s="1"/>
  <c r="O16" i="3" s="1"/>
  <c r="A9" i="4"/>
  <c r="C8" i="4"/>
  <c r="AC8" i="4" s="1"/>
  <c r="K124" i="3" s="1"/>
  <c r="A8" i="4"/>
  <c r="C7" i="4"/>
  <c r="AC7" i="4" s="1"/>
  <c r="K94" i="3" s="1"/>
  <c r="A7" i="4"/>
  <c r="C6" i="4"/>
  <c r="AC6" i="4" s="1"/>
  <c r="K55" i="3" s="1"/>
  <c r="A6" i="4"/>
  <c r="C5" i="4"/>
  <c r="N5" i="4" s="1"/>
  <c r="A5" i="4"/>
  <c r="C4" i="4"/>
  <c r="M4" i="4" s="1"/>
  <c r="A4" i="4"/>
  <c r="C3" i="4"/>
  <c r="AC3" i="4" s="1"/>
  <c r="K179" i="3" s="1"/>
  <c r="A3" i="4"/>
  <c r="AK2" i="4"/>
  <c r="AL2" i="4" s="1"/>
  <c r="Z502" i="3"/>
  <c r="Y502" i="3"/>
  <c r="X502" i="3"/>
  <c r="W502" i="3"/>
  <c r="V502" i="3"/>
  <c r="U502" i="3"/>
  <c r="T502" i="3"/>
  <c r="S502" i="3"/>
  <c r="R502" i="3"/>
  <c r="Q502" i="3"/>
  <c r="P502" i="3"/>
  <c r="O502" i="3"/>
  <c r="N502" i="3"/>
  <c r="M502" i="3"/>
  <c r="L502" i="3"/>
  <c r="K502" i="3"/>
  <c r="J502" i="3"/>
  <c r="I502" i="3"/>
  <c r="H502" i="3"/>
  <c r="G502" i="3"/>
  <c r="F502" i="3"/>
  <c r="E502" i="3"/>
  <c r="D502" i="3"/>
  <c r="C502" i="3"/>
  <c r="B502" i="3"/>
  <c r="A502" i="3"/>
  <c r="Z501" i="3"/>
  <c r="Y501" i="3"/>
  <c r="X501" i="3"/>
  <c r="W501" i="3"/>
  <c r="V501" i="3"/>
  <c r="U501" i="3"/>
  <c r="T501" i="3"/>
  <c r="S501" i="3"/>
  <c r="R501" i="3"/>
  <c r="Q501" i="3"/>
  <c r="P501" i="3"/>
  <c r="O501" i="3"/>
  <c r="N501" i="3"/>
  <c r="M501" i="3"/>
  <c r="L501" i="3"/>
  <c r="K501" i="3"/>
  <c r="J501" i="3"/>
  <c r="I501" i="3"/>
  <c r="H501" i="3"/>
  <c r="G501" i="3"/>
  <c r="F501" i="3"/>
  <c r="E501" i="3"/>
  <c r="D501" i="3"/>
  <c r="C501" i="3"/>
  <c r="B501" i="3"/>
  <c r="A501" i="3"/>
  <c r="Z500" i="3"/>
  <c r="Y500" i="3"/>
  <c r="X500" i="3"/>
  <c r="W500" i="3"/>
  <c r="V500" i="3"/>
  <c r="U500" i="3"/>
  <c r="T500" i="3"/>
  <c r="S500" i="3"/>
  <c r="R500" i="3"/>
  <c r="Q500" i="3"/>
  <c r="P500" i="3"/>
  <c r="O500" i="3"/>
  <c r="N500" i="3"/>
  <c r="M500" i="3"/>
  <c r="L500" i="3"/>
  <c r="K500" i="3"/>
  <c r="J500" i="3"/>
  <c r="I500" i="3"/>
  <c r="H500" i="3"/>
  <c r="G500" i="3"/>
  <c r="F500" i="3"/>
  <c r="E500" i="3"/>
  <c r="D500" i="3"/>
  <c r="C500" i="3"/>
  <c r="B500" i="3"/>
  <c r="A500" i="3"/>
  <c r="Z499" i="3"/>
  <c r="Y499" i="3"/>
  <c r="X499" i="3"/>
  <c r="W499" i="3"/>
  <c r="V499" i="3"/>
  <c r="U499" i="3"/>
  <c r="T499" i="3"/>
  <c r="S499" i="3"/>
  <c r="R499" i="3"/>
  <c r="Q499" i="3"/>
  <c r="P499" i="3"/>
  <c r="O499" i="3"/>
  <c r="N499" i="3"/>
  <c r="M499" i="3"/>
  <c r="L499" i="3"/>
  <c r="K499" i="3"/>
  <c r="J499" i="3"/>
  <c r="I499" i="3"/>
  <c r="H499" i="3"/>
  <c r="G499" i="3"/>
  <c r="F499" i="3"/>
  <c r="E499" i="3"/>
  <c r="D499" i="3"/>
  <c r="C499" i="3"/>
  <c r="B499" i="3"/>
  <c r="A499" i="3"/>
  <c r="Z498" i="3"/>
  <c r="Y498" i="3"/>
  <c r="X498" i="3"/>
  <c r="W498" i="3"/>
  <c r="V498" i="3"/>
  <c r="U498" i="3"/>
  <c r="T498" i="3"/>
  <c r="S498" i="3"/>
  <c r="R498" i="3"/>
  <c r="Q498" i="3"/>
  <c r="P498" i="3"/>
  <c r="O498" i="3"/>
  <c r="N498" i="3"/>
  <c r="M498" i="3"/>
  <c r="L498" i="3"/>
  <c r="K498" i="3"/>
  <c r="J498" i="3"/>
  <c r="I498" i="3"/>
  <c r="H498" i="3"/>
  <c r="G498" i="3"/>
  <c r="F498" i="3"/>
  <c r="E498" i="3"/>
  <c r="D498" i="3"/>
  <c r="C498" i="3"/>
  <c r="B498" i="3"/>
  <c r="A498" i="3"/>
  <c r="Z497" i="3"/>
  <c r="Y497" i="3"/>
  <c r="X497" i="3"/>
  <c r="W497" i="3"/>
  <c r="V497" i="3"/>
  <c r="U497" i="3"/>
  <c r="T497" i="3"/>
  <c r="S497" i="3"/>
  <c r="R497" i="3"/>
  <c r="Q497" i="3"/>
  <c r="P497" i="3"/>
  <c r="O497" i="3"/>
  <c r="N497" i="3"/>
  <c r="M497" i="3"/>
  <c r="L497" i="3"/>
  <c r="K497" i="3"/>
  <c r="J497" i="3"/>
  <c r="I497" i="3"/>
  <c r="H497" i="3"/>
  <c r="G497" i="3"/>
  <c r="F497" i="3"/>
  <c r="E497" i="3"/>
  <c r="D497" i="3"/>
  <c r="C497" i="3"/>
  <c r="B497" i="3"/>
  <c r="A497" i="3"/>
  <c r="Z496" i="3"/>
  <c r="Y496" i="3"/>
  <c r="X496" i="3"/>
  <c r="W496" i="3"/>
  <c r="V496" i="3"/>
  <c r="U496" i="3"/>
  <c r="T496" i="3"/>
  <c r="S496" i="3"/>
  <c r="R496" i="3"/>
  <c r="Q496" i="3"/>
  <c r="P496" i="3"/>
  <c r="O496" i="3"/>
  <c r="N496" i="3"/>
  <c r="M496" i="3"/>
  <c r="L496" i="3"/>
  <c r="K496" i="3"/>
  <c r="J496" i="3"/>
  <c r="I496" i="3"/>
  <c r="H496" i="3"/>
  <c r="G496" i="3"/>
  <c r="F496" i="3"/>
  <c r="E496" i="3"/>
  <c r="D496" i="3"/>
  <c r="C496" i="3"/>
  <c r="B496" i="3"/>
  <c r="A496" i="3"/>
  <c r="Z495" i="3"/>
  <c r="Y495" i="3"/>
  <c r="X495" i="3"/>
  <c r="W495" i="3"/>
  <c r="V495" i="3"/>
  <c r="U495" i="3"/>
  <c r="T495" i="3"/>
  <c r="S495" i="3"/>
  <c r="R495" i="3"/>
  <c r="Q495" i="3"/>
  <c r="P495" i="3"/>
  <c r="O495" i="3"/>
  <c r="N495" i="3"/>
  <c r="M495" i="3"/>
  <c r="L495" i="3"/>
  <c r="K495" i="3"/>
  <c r="J495" i="3"/>
  <c r="I495" i="3"/>
  <c r="H495" i="3"/>
  <c r="G495" i="3"/>
  <c r="F495" i="3"/>
  <c r="E495" i="3"/>
  <c r="D495" i="3"/>
  <c r="C495" i="3"/>
  <c r="B495" i="3"/>
  <c r="A495" i="3"/>
  <c r="Z494" i="3"/>
  <c r="Y494" i="3"/>
  <c r="X494" i="3"/>
  <c r="W494" i="3"/>
  <c r="V494" i="3"/>
  <c r="U494" i="3"/>
  <c r="T494" i="3"/>
  <c r="S494" i="3"/>
  <c r="R494" i="3"/>
  <c r="Q494" i="3"/>
  <c r="P494" i="3"/>
  <c r="O494" i="3"/>
  <c r="N494" i="3"/>
  <c r="M494" i="3"/>
  <c r="L494" i="3"/>
  <c r="K494" i="3"/>
  <c r="J494" i="3"/>
  <c r="I494" i="3"/>
  <c r="H494" i="3"/>
  <c r="G494" i="3"/>
  <c r="F494" i="3"/>
  <c r="E494" i="3"/>
  <c r="D494" i="3"/>
  <c r="C494" i="3"/>
  <c r="B494" i="3"/>
  <c r="A494" i="3"/>
  <c r="Z493" i="3"/>
  <c r="Y493" i="3"/>
  <c r="X493" i="3"/>
  <c r="W493" i="3"/>
  <c r="V493" i="3"/>
  <c r="U493" i="3"/>
  <c r="T493" i="3"/>
  <c r="S493" i="3"/>
  <c r="R493" i="3"/>
  <c r="Q493" i="3"/>
  <c r="P493" i="3"/>
  <c r="O493" i="3"/>
  <c r="N493" i="3"/>
  <c r="M493" i="3"/>
  <c r="L493" i="3"/>
  <c r="K493" i="3"/>
  <c r="J493" i="3"/>
  <c r="I493" i="3"/>
  <c r="H493" i="3"/>
  <c r="G493" i="3"/>
  <c r="F493" i="3"/>
  <c r="E493" i="3"/>
  <c r="D493" i="3"/>
  <c r="C493" i="3"/>
  <c r="B493" i="3"/>
  <c r="A493" i="3"/>
  <c r="Z492" i="3"/>
  <c r="Y492" i="3"/>
  <c r="X492" i="3"/>
  <c r="W492" i="3"/>
  <c r="V492" i="3"/>
  <c r="U492" i="3"/>
  <c r="T492" i="3"/>
  <c r="S492" i="3"/>
  <c r="R492" i="3"/>
  <c r="Q492" i="3"/>
  <c r="P492" i="3"/>
  <c r="O492" i="3"/>
  <c r="N492" i="3"/>
  <c r="M492" i="3"/>
  <c r="L492" i="3"/>
  <c r="K492" i="3"/>
  <c r="J492" i="3"/>
  <c r="I492" i="3"/>
  <c r="H492" i="3"/>
  <c r="G492" i="3"/>
  <c r="F492" i="3"/>
  <c r="E492" i="3"/>
  <c r="D492" i="3"/>
  <c r="C492" i="3"/>
  <c r="B492" i="3"/>
  <c r="A492" i="3"/>
  <c r="Z491" i="3"/>
  <c r="Y491" i="3"/>
  <c r="X491" i="3"/>
  <c r="W491" i="3"/>
  <c r="V491" i="3"/>
  <c r="U491" i="3"/>
  <c r="T491" i="3"/>
  <c r="S491" i="3"/>
  <c r="R491" i="3"/>
  <c r="Q491" i="3"/>
  <c r="P491" i="3"/>
  <c r="O491" i="3"/>
  <c r="N491" i="3"/>
  <c r="M491" i="3"/>
  <c r="L491" i="3"/>
  <c r="K491" i="3"/>
  <c r="J491" i="3"/>
  <c r="I491" i="3"/>
  <c r="H491" i="3"/>
  <c r="G491" i="3"/>
  <c r="F491" i="3"/>
  <c r="E491" i="3"/>
  <c r="D491" i="3"/>
  <c r="C491" i="3"/>
  <c r="B491" i="3"/>
  <c r="A491" i="3"/>
  <c r="Z490" i="3"/>
  <c r="Y490" i="3"/>
  <c r="X490" i="3"/>
  <c r="W490" i="3"/>
  <c r="V490" i="3"/>
  <c r="U490" i="3"/>
  <c r="T490" i="3"/>
  <c r="S490" i="3"/>
  <c r="R490" i="3"/>
  <c r="Q490" i="3"/>
  <c r="P490" i="3"/>
  <c r="O490" i="3"/>
  <c r="N490" i="3"/>
  <c r="M490" i="3"/>
  <c r="L490" i="3"/>
  <c r="K490" i="3"/>
  <c r="J490" i="3"/>
  <c r="I490" i="3"/>
  <c r="H490" i="3"/>
  <c r="G490" i="3"/>
  <c r="F490" i="3"/>
  <c r="E490" i="3"/>
  <c r="D490" i="3"/>
  <c r="C490" i="3"/>
  <c r="B490" i="3"/>
  <c r="A490" i="3"/>
  <c r="Z489" i="3"/>
  <c r="Y489" i="3"/>
  <c r="X489" i="3"/>
  <c r="W489" i="3"/>
  <c r="V489" i="3"/>
  <c r="U489" i="3"/>
  <c r="T489" i="3"/>
  <c r="S489" i="3"/>
  <c r="R489" i="3"/>
  <c r="Q489" i="3"/>
  <c r="P489" i="3"/>
  <c r="O489" i="3"/>
  <c r="N489" i="3"/>
  <c r="M489" i="3"/>
  <c r="L489" i="3"/>
  <c r="K489" i="3"/>
  <c r="J489" i="3"/>
  <c r="I489" i="3"/>
  <c r="H489" i="3"/>
  <c r="G489" i="3"/>
  <c r="F489" i="3"/>
  <c r="E489" i="3"/>
  <c r="D489" i="3"/>
  <c r="C489" i="3"/>
  <c r="B489" i="3"/>
  <c r="A489" i="3"/>
  <c r="Z488" i="3"/>
  <c r="Y488" i="3"/>
  <c r="X488" i="3"/>
  <c r="W488" i="3"/>
  <c r="V488" i="3"/>
  <c r="U488" i="3"/>
  <c r="T488" i="3"/>
  <c r="S488" i="3"/>
  <c r="R488" i="3"/>
  <c r="Q488" i="3"/>
  <c r="P488" i="3"/>
  <c r="O488" i="3"/>
  <c r="N488" i="3"/>
  <c r="M488" i="3"/>
  <c r="L488" i="3"/>
  <c r="K488" i="3"/>
  <c r="J488" i="3"/>
  <c r="I488" i="3"/>
  <c r="H488" i="3"/>
  <c r="G488" i="3"/>
  <c r="F488" i="3"/>
  <c r="E488" i="3"/>
  <c r="D488" i="3"/>
  <c r="C488" i="3"/>
  <c r="B488" i="3"/>
  <c r="A488" i="3"/>
  <c r="Z487" i="3"/>
  <c r="Y487" i="3"/>
  <c r="X487" i="3"/>
  <c r="W487" i="3"/>
  <c r="V487" i="3"/>
  <c r="U487" i="3"/>
  <c r="T487" i="3"/>
  <c r="S487" i="3"/>
  <c r="R487" i="3"/>
  <c r="Q487" i="3"/>
  <c r="P487" i="3"/>
  <c r="O487" i="3"/>
  <c r="N487" i="3"/>
  <c r="M487" i="3"/>
  <c r="L487" i="3"/>
  <c r="K487" i="3"/>
  <c r="J487" i="3"/>
  <c r="I487" i="3"/>
  <c r="H487" i="3"/>
  <c r="G487" i="3"/>
  <c r="F487" i="3"/>
  <c r="E487" i="3"/>
  <c r="D487" i="3"/>
  <c r="C487" i="3"/>
  <c r="B487" i="3"/>
  <c r="A487" i="3"/>
  <c r="Z486" i="3"/>
  <c r="Y486" i="3"/>
  <c r="X486" i="3"/>
  <c r="W486" i="3"/>
  <c r="V486" i="3"/>
  <c r="U486" i="3"/>
  <c r="T486" i="3"/>
  <c r="S486" i="3"/>
  <c r="R486" i="3"/>
  <c r="Q486" i="3"/>
  <c r="P486" i="3"/>
  <c r="O486" i="3"/>
  <c r="N486" i="3"/>
  <c r="M486" i="3"/>
  <c r="L486" i="3"/>
  <c r="K486" i="3"/>
  <c r="J486" i="3"/>
  <c r="I486" i="3"/>
  <c r="H486" i="3"/>
  <c r="G486" i="3"/>
  <c r="F486" i="3"/>
  <c r="E486" i="3"/>
  <c r="D486" i="3"/>
  <c r="C486" i="3"/>
  <c r="B486" i="3"/>
  <c r="A486" i="3"/>
  <c r="Z485" i="3"/>
  <c r="Y485" i="3"/>
  <c r="X485" i="3"/>
  <c r="W485" i="3"/>
  <c r="V485" i="3"/>
  <c r="U485" i="3"/>
  <c r="T485" i="3"/>
  <c r="S485" i="3"/>
  <c r="R485" i="3"/>
  <c r="Q485" i="3"/>
  <c r="P485" i="3"/>
  <c r="O485" i="3"/>
  <c r="N485" i="3"/>
  <c r="M485" i="3"/>
  <c r="L485" i="3"/>
  <c r="K485" i="3"/>
  <c r="J485" i="3"/>
  <c r="I485" i="3"/>
  <c r="H485" i="3"/>
  <c r="G485" i="3"/>
  <c r="F485" i="3"/>
  <c r="E485" i="3"/>
  <c r="D485" i="3"/>
  <c r="C485" i="3"/>
  <c r="B485" i="3"/>
  <c r="A485" i="3"/>
  <c r="Z484" i="3"/>
  <c r="Y484" i="3"/>
  <c r="X484" i="3"/>
  <c r="W484" i="3"/>
  <c r="V484" i="3"/>
  <c r="U484" i="3"/>
  <c r="T484" i="3"/>
  <c r="S484" i="3"/>
  <c r="R484" i="3"/>
  <c r="Q484" i="3"/>
  <c r="P484" i="3"/>
  <c r="O484" i="3"/>
  <c r="N484" i="3"/>
  <c r="M484" i="3"/>
  <c r="L484" i="3"/>
  <c r="K484" i="3"/>
  <c r="J484" i="3"/>
  <c r="I484" i="3"/>
  <c r="H484" i="3"/>
  <c r="G484" i="3"/>
  <c r="F484" i="3"/>
  <c r="E484" i="3"/>
  <c r="D484" i="3"/>
  <c r="C484" i="3"/>
  <c r="B484" i="3"/>
  <c r="A484" i="3"/>
  <c r="Z483" i="3"/>
  <c r="Y483" i="3"/>
  <c r="X483" i="3"/>
  <c r="W483" i="3"/>
  <c r="V483" i="3"/>
  <c r="U483" i="3"/>
  <c r="T483" i="3"/>
  <c r="S483" i="3"/>
  <c r="R483" i="3"/>
  <c r="Q483" i="3"/>
  <c r="P483" i="3"/>
  <c r="O483" i="3"/>
  <c r="N483" i="3"/>
  <c r="M483" i="3"/>
  <c r="L483" i="3"/>
  <c r="K483" i="3"/>
  <c r="J483" i="3"/>
  <c r="I483" i="3"/>
  <c r="H483" i="3"/>
  <c r="G483" i="3"/>
  <c r="F483" i="3"/>
  <c r="E483" i="3"/>
  <c r="D483" i="3"/>
  <c r="C483" i="3"/>
  <c r="B483" i="3"/>
  <c r="A483" i="3"/>
  <c r="Z482" i="3"/>
  <c r="Y482" i="3"/>
  <c r="X482" i="3"/>
  <c r="W482" i="3"/>
  <c r="V482" i="3"/>
  <c r="U482" i="3"/>
  <c r="T482" i="3"/>
  <c r="S482" i="3"/>
  <c r="R482" i="3"/>
  <c r="Q482" i="3"/>
  <c r="P482" i="3"/>
  <c r="O482" i="3"/>
  <c r="N482" i="3"/>
  <c r="M482" i="3"/>
  <c r="L482" i="3"/>
  <c r="K482" i="3"/>
  <c r="J482" i="3"/>
  <c r="I482" i="3"/>
  <c r="H482" i="3"/>
  <c r="G482" i="3"/>
  <c r="F482" i="3"/>
  <c r="E482" i="3"/>
  <c r="D482" i="3"/>
  <c r="C482" i="3"/>
  <c r="B482" i="3"/>
  <c r="A482" i="3"/>
  <c r="Z481" i="3"/>
  <c r="Y481" i="3"/>
  <c r="X481" i="3"/>
  <c r="W481" i="3"/>
  <c r="V481" i="3"/>
  <c r="U481" i="3"/>
  <c r="T481" i="3"/>
  <c r="S481" i="3"/>
  <c r="R481" i="3"/>
  <c r="Q481" i="3"/>
  <c r="P481" i="3"/>
  <c r="O481" i="3"/>
  <c r="N481" i="3"/>
  <c r="M481" i="3"/>
  <c r="L481" i="3"/>
  <c r="K481" i="3"/>
  <c r="J481" i="3"/>
  <c r="I481" i="3"/>
  <c r="H481" i="3"/>
  <c r="G481" i="3"/>
  <c r="F481" i="3"/>
  <c r="E481" i="3"/>
  <c r="D481" i="3"/>
  <c r="C481" i="3"/>
  <c r="B481" i="3"/>
  <c r="A481" i="3"/>
  <c r="Z480" i="3"/>
  <c r="Y480" i="3"/>
  <c r="X480" i="3"/>
  <c r="W480" i="3"/>
  <c r="V480" i="3"/>
  <c r="U480" i="3"/>
  <c r="T480" i="3"/>
  <c r="S480" i="3"/>
  <c r="R480" i="3"/>
  <c r="Q480" i="3"/>
  <c r="P480" i="3"/>
  <c r="O480" i="3"/>
  <c r="N480" i="3"/>
  <c r="M480" i="3"/>
  <c r="L480" i="3"/>
  <c r="K480" i="3"/>
  <c r="J480" i="3"/>
  <c r="I480" i="3"/>
  <c r="H480" i="3"/>
  <c r="G480" i="3"/>
  <c r="F480" i="3"/>
  <c r="E480" i="3"/>
  <c r="D480" i="3"/>
  <c r="C480" i="3"/>
  <c r="B480" i="3"/>
  <c r="A480" i="3"/>
  <c r="Z479" i="3"/>
  <c r="Y479" i="3"/>
  <c r="X479" i="3"/>
  <c r="W479" i="3"/>
  <c r="V479" i="3"/>
  <c r="U479" i="3"/>
  <c r="T479" i="3"/>
  <c r="S479" i="3"/>
  <c r="R479" i="3"/>
  <c r="Q479" i="3"/>
  <c r="P479" i="3"/>
  <c r="O479" i="3"/>
  <c r="N479" i="3"/>
  <c r="M479" i="3"/>
  <c r="L479" i="3"/>
  <c r="K479" i="3"/>
  <c r="J479" i="3"/>
  <c r="I479" i="3"/>
  <c r="H479" i="3"/>
  <c r="G479" i="3"/>
  <c r="F479" i="3"/>
  <c r="E479" i="3"/>
  <c r="D479" i="3"/>
  <c r="C479" i="3"/>
  <c r="B479" i="3"/>
  <c r="A479" i="3"/>
  <c r="Z478" i="3"/>
  <c r="Y478" i="3"/>
  <c r="X478" i="3"/>
  <c r="W478" i="3"/>
  <c r="V478" i="3"/>
  <c r="U478" i="3"/>
  <c r="T478" i="3"/>
  <c r="S478" i="3"/>
  <c r="R478" i="3"/>
  <c r="Q478" i="3"/>
  <c r="P478" i="3"/>
  <c r="O478" i="3"/>
  <c r="N478" i="3"/>
  <c r="M478" i="3"/>
  <c r="L478" i="3"/>
  <c r="K478" i="3"/>
  <c r="J478" i="3"/>
  <c r="I478" i="3"/>
  <c r="H478" i="3"/>
  <c r="G478" i="3"/>
  <c r="F478" i="3"/>
  <c r="E478" i="3"/>
  <c r="D478" i="3"/>
  <c r="C478" i="3"/>
  <c r="B478" i="3"/>
  <c r="A478" i="3"/>
  <c r="Z477" i="3"/>
  <c r="Y477" i="3"/>
  <c r="X477" i="3"/>
  <c r="W477" i="3"/>
  <c r="V477" i="3"/>
  <c r="U477" i="3"/>
  <c r="T477" i="3"/>
  <c r="S477" i="3"/>
  <c r="R477" i="3"/>
  <c r="Q477" i="3"/>
  <c r="P477" i="3"/>
  <c r="O477" i="3"/>
  <c r="N477" i="3"/>
  <c r="M477" i="3"/>
  <c r="L477" i="3"/>
  <c r="K477" i="3"/>
  <c r="J477" i="3"/>
  <c r="I477" i="3"/>
  <c r="H477" i="3"/>
  <c r="G477" i="3"/>
  <c r="F477" i="3"/>
  <c r="E477" i="3"/>
  <c r="D477" i="3"/>
  <c r="C477" i="3"/>
  <c r="B477" i="3"/>
  <c r="A477" i="3"/>
  <c r="Z476" i="3"/>
  <c r="Y476" i="3"/>
  <c r="X476" i="3"/>
  <c r="W476" i="3"/>
  <c r="V476" i="3"/>
  <c r="U476" i="3"/>
  <c r="T476" i="3"/>
  <c r="S476" i="3"/>
  <c r="R476" i="3"/>
  <c r="Q476" i="3"/>
  <c r="P476" i="3"/>
  <c r="O476" i="3"/>
  <c r="N476" i="3"/>
  <c r="M476" i="3"/>
  <c r="L476" i="3"/>
  <c r="K476" i="3"/>
  <c r="J476" i="3"/>
  <c r="I476" i="3"/>
  <c r="H476" i="3"/>
  <c r="G476" i="3"/>
  <c r="F476" i="3"/>
  <c r="E476" i="3"/>
  <c r="D476" i="3"/>
  <c r="C476" i="3"/>
  <c r="B476" i="3"/>
  <c r="A476" i="3"/>
  <c r="Z475" i="3"/>
  <c r="Y475" i="3"/>
  <c r="X475" i="3"/>
  <c r="W475" i="3"/>
  <c r="V475" i="3"/>
  <c r="U475" i="3"/>
  <c r="T475" i="3"/>
  <c r="S475" i="3"/>
  <c r="R475" i="3"/>
  <c r="Q475" i="3"/>
  <c r="P475" i="3"/>
  <c r="O475" i="3"/>
  <c r="N475" i="3"/>
  <c r="M475" i="3"/>
  <c r="L475" i="3"/>
  <c r="K475" i="3"/>
  <c r="J475" i="3"/>
  <c r="I475" i="3"/>
  <c r="H475" i="3"/>
  <c r="G475" i="3"/>
  <c r="F475" i="3"/>
  <c r="E475" i="3"/>
  <c r="D475" i="3"/>
  <c r="C475" i="3"/>
  <c r="B475" i="3"/>
  <c r="A475" i="3"/>
  <c r="Z474" i="3"/>
  <c r="Y474" i="3"/>
  <c r="X474" i="3"/>
  <c r="W474" i="3"/>
  <c r="V474" i="3"/>
  <c r="U474" i="3"/>
  <c r="T474" i="3"/>
  <c r="S474" i="3"/>
  <c r="R474" i="3"/>
  <c r="Q474" i="3"/>
  <c r="P474" i="3"/>
  <c r="O474" i="3"/>
  <c r="N474" i="3"/>
  <c r="M474" i="3"/>
  <c r="L474" i="3"/>
  <c r="K474" i="3"/>
  <c r="J474" i="3"/>
  <c r="I474" i="3"/>
  <c r="H474" i="3"/>
  <c r="G474" i="3"/>
  <c r="F474" i="3"/>
  <c r="E474" i="3"/>
  <c r="D474" i="3"/>
  <c r="C474" i="3"/>
  <c r="B474" i="3"/>
  <c r="A474" i="3"/>
  <c r="Z473" i="3"/>
  <c r="Y473" i="3"/>
  <c r="X473" i="3"/>
  <c r="W473" i="3"/>
  <c r="V473" i="3"/>
  <c r="U473" i="3"/>
  <c r="T473" i="3"/>
  <c r="S473" i="3"/>
  <c r="R473" i="3"/>
  <c r="Q473" i="3"/>
  <c r="P473" i="3"/>
  <c r="O473" i="3"/>
  <c r="N473" i="3"/>
  <c r="M473" i="3"/>
  <c r="L473" i="3"/>
  <c r="K473" i="3"/>
  <c r="J473" i="3"/>
  <c r="I473" i="3"/>
  <c r="H473" i="3"/>
  <c r="G473" i="3"/>
  <c r="F473" i="3"/>
  <c r="E473" i="3"/>
  <c r="D473" i="3"/>
  <c r="C473" i="3"/>
  <c r="B473" i="3"/>
  <c r="A473" i="3"/>
  <c r="Z472" i="3"/>
  <c r="Y472" i="3"/>
  <c r="X472" i="3"/>
  <c r="W472" i="3"/>
  <c r="V472" i="3"/>
  <c r="U472" i="3"/>
  <c r="T472" i="3"/>
  <c r="S472" i="3"/>
  <c r="R472" i="3"/>
  <c r="Q472" i="3"/>
  <c r="P472" i="3"/>
  <c r="O472" i="3"/>
  <c r="N472" i="3"/>
  <c r="M472" i="3"/>
  <c r="L472" i="3"/>
  <c r="K472" i="3"/>
  <c r="J472" i="3"/>
  <c r="I472" i="3"/>
  <c r="H472" i="3"/>
  <c r="G472" i="3"/>
  <c r="F472" i="3"/>
  <c r="E472" i="3"/>
  <c r="D472" i="3"/>
  <c r="C472" i="3"/>
  <c r="B472" i="3"/>
  <c r="A472" i="3"/>
  <c r="Z471" i="3"/>
  <c r="Y471" i="3"/>
  <c r="X471" i="3"/>
  <c r="W471" i="3"/>
  <c r="V471" i="3"/>
  <c r="U471" i="3"/>
  <c r="T471" i="3"/>
  <c r="S471" i="3"/>
  <c r="R471" i="3"/>
  <c r="Q471" i="3"/>
  <c r="P471" i="3"/>
  <c r="O471" i="3"/>
  <c r="N471" i="3"/>
  <c r="M471" i="3"/>
  <c r="L471" i="3"/>
  <c r="K471" i="3"/>
  <c r="J471" i="3"/>
  <c r="I471" i="3"/>
  <c r="H471" i="3"/>
  <c r="G471" i="3"/>
  <c r="F471" i="3"/>
  <c r="E471" i="3"/>
  <c r="D471" i="3"/>
  <c r="C471" i="3"/>
  <c r="B471" i="3"/>
  <c r="A471" i="3"/>
  <c r="Z470" i="3"/>
  <c r="Y470" i="3"/>
  <c r="X470" i="3"/>
  <c r="W470" i="3"/>
  <c r="V470" i="3"/>
  <c r="U470" i="3"/>
  <c r="T470" i="3"/>
  <c r="S470" i="3"/>
  <c r="R470" i="3"/>
  <c r="Q470" i="3"/>
  <c r="P470" i="3"/>
  <c r="O470" i="3"/>
  <c r="N470" i="3"/>
  <c r="M470" i="3"/>
  <c r="L470" i="3"/>
  <c r="K470" i="3"/>
  <c r="J470" i="3"/>
  <c r="I470" i="3"/>
  <c r="H470" i="3"/>
  <c r="G470" i="3"/>
  <c r="F470" i="3"/>
  <c r="E470" i="3"/>
  <c r="D470" i="3"/>
  <c r="C470" i="3"/>
  <c r="B470" i="3"/>
  <c r="A470" i="3"/>
  <c r="Z469" i="3"/>
  <c r="Y469" i="3"/>
  <c r="X469" i="3"/>
  <c r="W469" i="3"/>
  <c r="V469" i="3"/>
  <c r="U469" i="3"/>
  <c r="T469" i="3"/>
  <c r="S469" i="3"/>
  <c r="R469" i="3"/>
  <c r="Q469" i="3"/>
  <c r="P469" i="3"/>
  <c r="O469" i="3"/>
  <c r="N469" i="3"/>
  <c r="M469" i="3"/>
  <c r="L469" i="3"/>
  <c r="K469" i="3"/>
  <c r="J469" i="3"/>
  <c r="I469" i="3"/>
  <c r="H469" i="3"/>
  <c r="G469" i="3"/>
  <c r="F469" i="3"/>
  <c r="E469" i="3"/>
  <c r="D469" i="3"/>
  <c r="C469" i="3"/>
  <c r="B469" i="3"/>
  <c r="A469" i="3"/>
  <c r="Z468" i="3"/>
  <c r="Y468" i="3"/>
  <c r="X468" i="3"/>
  <c r="W468" i="3"/>
  <c r="V468" i="3"/>
  <c r="U468" i="3"/>
  <c r="T468" i="3"/>
  <c r="S468" i="3"/>
  <c r="R468" i="3"/>
  <c r="Q468" i="3"/>
  <c r="P468" i="3"/>
  <c r="O468" i="3"/>
  <c r="N468" i="3"/>
  <c r="M468" i="3"/>
  <c r="L468" i="3"/>
  <c r="K468" i="3"/>
  <c r="J468" i="3"/>
  <c r="I468" i="3"/>
  <c r="H468" i="3"/>
  <c r="G468" i="3"/>
  <c r="F468" i="3"/>
  <c r="E468" i="3"/>
  <c r="D468" i="3"/>
  <c r="C468" i="3"/>
  <c r="B468" i="3"/>
  <c r="A468" i="3"/>
  <c r="Z467" i="3"/>
  <c r="Y467" i="3"/>
  <c r="X467" i="3"/>
  <c r="W467" i="3"/>
  <c r="V467" i="3"/>
  <c r="U467" i="3"/>
  <c r="T467" i="3"/>
  <c r="S467" i="3"/>
  <c r="R467" i="3"/>
  <c r="Q467" i="3"/>
  <c r="P467" i="3"/>
  <c r="O467" i="3"/>
  <c r="N467" i="3"/>
  <c r="M467" i="3"/>
  <c r="L467" i="3"/>
  <c r="K467" i="3"/>
  <c r="J467" i="3"/>
  <c r="I467" i="3"/>
  <c r="H467" i="3"/>
  <c r="G467" i="3"/>
  <c r="F467" i="3"/>
  <c r="E467" i="3"/>
  <c r="D467" i="3"/>
  <c r="C467" i="3"/>
  <c r="B467" i="3"/>
  <c r="A467" i="3"/>
  <c r="Z466" i="3"/>
  <c r="Y466" i="3"/>
  <c r="X466" i="3"/>
  <c r="W466" i="3"/>
  <c r="V466" i="3"/>
  <c r="U466" i="3"/>
  <c r="T466" i="3"/>
  <c r="S466" i="3"/>
  <c r="R466" i="3"/>
  <c r="Q466" i="3"/>
  <c r="P466" i="3"/>
  <c r="O466" i="3"/>
  <c r="N466" i="3"/>
  <c r="M466" i="3"/>
  <c r="L466" i="3"/>
  <c r="K466" i="3"/>
  <c r="J466" i="3"/>
  <c r="I466" i="3"/>
  <c r="H466" i="3"/>
  <c r="G466" i="3"/>
  <c r="F466" i="3"/>
  <c r="E466" i="3"/>
  <c r="D466" i="3"/>
  <c r="C466" i="3"/>
  <c r="B466" i="3"/>
  <c r="A466" i="3"/>
  <c r="Z465" i="3"/>
  <c r="Y465" i="3"/>
  <c r="X465" i="3"/>
  <c r="W465" i="3"/>
  <c r="V465" i="3"/>
  <c r="U465" i="3"/>
  <c r="T465" i="3"/>
  <c r="S465" i="3"/>
  <c r="R465" i="3"/>
  <c r="Q465" i="3"/>
  <c r="P465" i="3"/>
  <c r="O465" i="3"/>
  <c r="N465" i="3"/>
  <c r="M465" i="3"/>
  <c r="L465" i="3"/>
  <c r="K465" i="3"/>
  <c r="J465" i="3"/>
  <c r="I465" i="3"/>
  <c r="H465" i="3"/>
  <c r="G465" i="3"/>
  <c r="F465" i="3"/>
  <c r="E465" i="3"/>
  <c r="D465" i="3"/>
  <c r="C465" i="3"/>
  <c r="B465" i="3"/>
  <c r="A465" i="3"/>
  <c r="Z464" i="3"/>
  <c r="Y464" i="3"/>
  <c r="X464" i="3"/>
  <c r="W464" i="3"/>
  <c r="V464" i="3"/>
  <c r="U464" i="3"/>
  <c r="T464" i="3"/>
  <c r="S464" i="3"/>
  <c r="R464" i="3"/>
  <c r="Q464" i="3"/>
  <c r="P464" i="3"/>
  <c r="O464" i="3"/>
  <c r="N464" i="3"/>
  <c r="M464" i="3"/>
  <c r="L464" i="3"/>
  <c r="K464" i="3"/>
  <c r="J464" i="3"/>
  <c r="I464" i="3"/>
  <c r="H464" i="3"/>
  <c r="G464" i="3"/>
  <c r="F464" i="3"/>
  <c r="E464" i="3"/>
  <c r="D464" i="3"/>
  <c r="C464" i="3"/>
  <c r="B464" i="3"/>
  <c r="A464" i="3"/>
  <c r="Z463" i="3"/>
  <c r="Y463" i="3"/>
  <c r="X463" i="3"/>
  <c r="W463" i="3"/>
  <c r="V463" i="3"/>
  <c r="U463" i="3"/>
  <c r="T463" i="3"/>
  <c r="S463" i="3"/>
  <c r="R463" i="3"/>
  <c r="Q463" i="3"/>
  <c r="P463" i="3"/>
  <c r="O463" i="3"/>
  <c r="N463" i="3"/>
  <c r="M463" i="3"/>
  <c r="L463" i="3"/>
  <c r="K463" i="3"/>
  <c r="J463" i="3"/>
  <c r="I463" i="3"/>
  <c r="H463" i="3"/>
  <c r="G463" i="3"/>
  <c r="F463" i="3"/>
  <c r="E463" i="3"/>
  <c r="D463" i="3"/>
  <c r="C463" i="3"/>
  <c r="B463" i="3"/>
  <c r="A463" i="3"/>
  <c r="Z462" i="3"/>
  <c r="Y462" i="3"/>
  <c r="X462" i="3"/>
  <c r="W462" i="3"/>
  <c r="V462" i="3"/>
  <c r="U462" i="3"/>
  <c r="T462" i="3"/>
  <c r="S462" i="3"/>
  <c r="R462" i="3"/>
  <c r="Q462" i="3"/>
  <c r="P462" i="3"/>
  <c r="O462" i="3"/>
  <c r="N462" i="3"/>
  <c r="M462" i="3"/>
  <c r="L462" i="3"/>
  <c r="K462" i="3"/>
  <c r="J462" i="3"/>
  <c r="I462" i="3"/>
  <c r="H462" i="3"/>
  <c r="G462" i="3"/>
  <c r="F462" i="3"/>
  <c r="E462" i="3"/>
  <c r="D462" i="3"/>
  <c r="C462" i="3"/>
  <c r="B462" i="3"/>
  <c r="A462" i="3"/>
  <c r="Z461" i="3"/>
  <c r="Y461" i="3"/>
  <c r="X461" i="3"/>
  <c r="W461" i="3"/>
  <c r="V461" i="3"/>
  <c r="U461" i="3"/>
  <c r="T461" i="3"/>
  <c r="S461" i="3"/>
  <c r="R461" i="3"/>
  <c r="Q461" i="3"/>
  <c r="P461" i="3"/>
  <c r="O461" i="3"/>
  <c r="N461" i="3"/>
  <c r="M461" i="3"/>
  <c r="L461" i="3"/>
  <c r="K461" i="3"/>
  <c r="J461" i="3"/>
  <c r="I461" i="3"/>
  <c r="H461" i="3"/>
  <c r="G461" i="3"/>
  <c r="F461" i="3"/>
  <c r="E461" i="3"/>
  <c r="D461" i="3"/>
  <c r="C461" i="3"/>
  <c r="B461" i="3"/>
  <c r="A461" i="3"/>
  <c r="Z460" i="3"/>
  <c r="Y460" i="3"/>
  <c r="X460" i="3"/>
  <c r="W460" i="3"/>
  <c r="V460" i="3"/>
  <c r="U460" i="3"/>
  <c r="T460" i="3"/>
  <c r="S460" i="3"/>
  <c r="R460" i="3"/>
  <c r="Q460" i="3"/>
  <c r="P460" i="3"/>
  <c r="O460" i="3"/>
  <c r="N460" i="3"/>
  <c r="M460" i="3"/>
  <c r="L460" i="3"/>
  <c r="K460" i="3"/>
  <c r="J460" i="3"/>
  <c r="I460" i="3"/>
  <c r="H460" i="3"/>
  <c r="G460" i="3"/>
  <c r="F460" i="3"/>
  <c r="E460" i="3"/>
  <c r="D460" i="3"/>
  <c r="C460" i="3"/>
  <c r="B460" i="3"/>
  <c r="A460" i="3"/>
  <c r="Z459" i="3"/>
  <c r="Y459" i="3"/>
  <c r="X459" i="3"/>
  <c r="W459" i="3"/>
  <c r="V459" i="3"/>
  <c r="U459" i="3"/>
  <c r="T459" i="3"/>
  <c r="S459" i="3"/>
  <c r="R459" i="3"/>
  <c r="Q459" i="3"/>
  <c r="P459" i="3"/>
  <c r="O459" i="3"/>
  <c r="N459" i="3"/>
  <c r="M459" i="3"/>
  <c r="L459" i="3"/>
  <c r="K459" i="3"/>
  <c r="J459" i="3"/>
  <c r="I459" i="3"/>
  <c r="H459" i="3"/>
  <c r="G459" i="3"/>
  <c r="F459" i="3"/>
  <c r="E459" i="3"/>
  <c r="D459" i="3"/>
  <c r="C459" i="3"/>
  <c r="B459" i="3"/>
  <c r="A459" i="3"/>
  <c r="Z458" i="3"/>
  <c r="Y458" i="3"/>
  <c r="X458" i="3"/>
  <c r="W458" i="3"/>
  <c r="V458" i="3"/>
  <c r="U458" i="3"/>
  <c r="T458" i="3"/>
  <c r="S458" i="3"/>
  <c r="R458" i="3"/>
  <c r="Q458" i="3"/>
  <c r="P458" i="3"/>
  <c r="O458" i="3"/>
  <c r="N458" i="3"/>
  <c r="M458" i="3"/>
  <c r="L458" i="3"/>
  <c r="K458" i="3"/>
  <c r="J458" i="3"/>
  <c r="I458" i="3"/>
  <c r="H458" i="3"/>
  <c r="G458" i="3"/>
  <c r="F458" i="3"/>
  <c r="E458" i="3"/>
  <c r="D458" i="3"/>
  <c r="C458" i="3"/>
  <c r="B458" i="3"/>
  <c r="A458" i="3"/>
  <c r="Z457" i="3"/>
  <c r="Y457" i="3"/>
  <c r="X457" i="3"/>
  <c r="W457" i="3"/>
  <c r="V457" i="3"/>
  <c r="U457" i="3"/>
  <c r="T457" i="3"/>
  <c r="S457" i="3"/>
  <c r="R457" i="3"/>
  <c r="Q457" i="3"/>
  <c r="P457" i="3"/>
  <c r="O457" i="3"/>
  <c r="N457" i="3"/>
  <c r="M457" i="3"/>
  <c r="L457" i="3"/>
  <c r="K457" i="3"/>
  <c r="J457" i="3"/>
  <c r="I457" i="3"/>
  <c r="H457" i="3"/>
  <c r="G457" i="3"/>
  <c r="F457" i="3"/>
  <c r="E457" i="3"/>
  <c r="D457" i="3"/>
  <c r="C457" i="3"/>
  <c r="B457" i="3"/>
  <c r="A457" i="3"/>
  <c r="Z456" i="3"/>
  <c r="Y456" i="3"/>
  <c r="X456" i="3"/>
  <c r="W456" i="3"/>
  <c r="V456" i="3"/>
  <c r="U456" i="3"/>
  <c r="T456" i="3"/>
  <c r="S456" i="3"/>
  <c r="R456" i="3"/>
  <c r="Q456" i="3"/>
  <c r="P456" i="3"/>
  <c r="O456" i="3"/>
  <c r="N456" i="3"/>
  <c r="M456" i="3"/>
  <c r="L456" i="3"/>
  <c r="K456" i="3"/>
  <c r="J456" i="3"/>
  <c r="I456" i="3"/>
  <c r="H456" i="3"/>
  <c r="G456" i="3"/>
  <c r="F456" i="3"/>
  <c r="E456" i="3"/>
  <c r="D456" i="3"/>
  <c r="C456" i="3"/>
  <c r="B456" i="3"/>
  <c r="A456" i="3"/>
  <c r="Z455" i="3"/>
  <c r="Y455" i="3"/>
  <c r="X455" i="3"/>
  <c r="W455" i="3"/>
  <c r="V455" i="3"/>
  <c r="U455" i="3"/>
  <c r="T455" i="3"/>
  <c r="S455" i="3"/>
  <c r="R455" i="3"/>
  <c r="Q455" i="3"/>
  <c r="P455" i="3"/>
  <c r="O455" i="3"/>
  <c r="N455" i="3"/>
  <c r="M455" i="3"/>
  <c r="L455" i="3"/>
  <c r="K455" i="3"/>
  <c r="J455" i="3"/>
  <c r="I455" i="3"/>
  <c r="H455" i="3"/>
  <c r="G455" i="3"/>
  <c r="F455" i="3"/>
  <c r="E455" i="3"/>
  <c r="D455" i="3"/>
  <c r="C455" i="3"/>
  <c r="B455" i="3"/>
  <c r="A455" i="3"/>
  <c r="Z454" i="3"/>
  <c r="Y454" i="3"/>
  <c r="X454" i="3"/>
  <c r="W454" i="3"/>
  <c r="V454" i="3"/>
  <c r="U454" i="3"/>
  <c r="T454" i="3"/>
  <c r="S454" i="3"/>
  <c r="R454" i="3"/>
  <c r="Q454" i="3"/>
  <c r="P454" i="3"/>
  <c r="O454" i="3"/>
  <c r="N454" i="3"/>
  <c r="M454" i="3"/>
  <c r="L454" i="3"/>
  <c r="K454" i="3"/>
  <c r="J454" i="3"/>
  <c r="I454" i="3"/>
  <c r="H454" i="3"/>
  <c r="G454" i="3"/>
  <c r="F454" i="3"/>
  <c r="E454" i="3"/>
  <c r="D454" i="3"/>
  <c r="C454" i="3"/>
  <c r="B454" i="3"/>
  <c r="A454" i="3"/>
  <c r="Z453" i="3"/>
  <c r="Y453" i="3"/>
  <c r="X453" i="3"/>
  <c r="W453" i="3"/>
  <c r="V453" i="3"/>
  <c r="U453" i="3"/>
  <c r="T453" i="3"/>
  <c r="S453" i="3"/>
  <c r="R453" i="3"/>
  <c r="Q453" i="3"/>
  <c r="P453" i="3"/>
  <c r="O453" i="3"/>
  <c r="N453" i="3"/>
  <c r="M453" i="3"/>
  <c r="L453" i="3"/>
  <c r="K453" i="3"/>
  <c r="J453" i="3"/>
  <c r="I453" i="3"/>
  <c r="H453" i="3"/>
  <c r="G453" i="3"/>
  <c r="F453" i="3"/>
  <c r="E453" i="3"/>
  <c r="D453" i="3"/>
  <c r="C453" i="3"/>
  <c r="B453" i="3"/>
  <c r="A453" i="3"/>
  <c r="Z452" i="3"/>
  <c r="Y452" i="3"/>
  <c r="X452" i="3"/>
  <c r="W452" i="3"/>
  <c r="V452" i="3"/>
  <c r="U452" i="3"/>
  <c r="T452" i="3"/>
  <c r="S452" i="3"/>
  <c r="R452" i="3"/>
  <c r="Q452" i="3"/>
  <c r="P452" i="3"/>
  <c r="O452" i="3"/>
  <c r="N452" i="3"/>
  <c r="M452" i="3"/>
  <c r="L452" i="3"/>
  <c r="K452" i="3"/>
  <c r="J452" i="3"/>
  <c r="I452" i="3"/>
  <c r="H452" i="3"/>
  <c r="G452" i="3"/>
  <c r="F452" i="3"/>
  <c r="E452" i="3"/>
  <c r="D452" i="3"/>
  <c r="C452" i="3"/>
  <c r="B452" i="3"/>
  <c r="A452" i="3"/>
  <c r="Z451" i="3"/>
  <c r="Y451" i="3"/>
  <c r="X451" i="3"/>
  <c r="W451" i="3"/>
  <c r="V451" i="3"/>
  <c r="U451" i="3"/>
  <c r="T451" i="3"/>
  <c r="S451" i="3"/>
  <c r="R451" i="3"/>
  <c r="Q451" i="3"/>
  <c r="P451" i="3"/>
  <c r="O451" i="3"/>
  <c r="N451" i="3"/>
  <c r="M451" i="3"/>
  <c r="L451" i="3"/>
  <c r="K451" i="3"/>
  <c r="J451" i="3"/>
  <c r="I451" i="3"/>
  <c r="H451" i="3"/>
  <c r="G451" i="3"/>
  <c r="F451" i="3"/>
  <c r="E451" i="3"/>
  <c r="D451" i="3"/>
  <c r="C451" i="3"/>
  <c r="B451" i="3"/>
  <c r="A451" i="3"/>
  <c r="Z450" i="3"/>
  <c r="Y450" i="3"/>
  <c r="X450" i="3"/>
  <c r="W450" i="3"/>
  <c r="V450" i="3"/>
  <c r="U450" i="3"/>
  <c r="T450" i="3"/>
  <c r="S450" i="3"/>
  <c r="R450" i="3"/>
  <c r="Q450" i="3"/>
  <c r="P450" i="3"/>
  <c r="O450" i="3"/>
  <c r="N450" i="3"/>
  <c r="M450" i="3"/>
  <c r="L450" i="3"/>
  <c r="K450" i="3"/>
  <c r="J450" i="3"/>
  <c r="I450" i="3"/>
  <c r="H450" i="3"/>
  <c r="G450" i="3"/>
  <c r="F450" i="3"/>
  <c r="E450" i="3"/>
  <c r="D450" i="3"/>
  <c r="C450" i="3"/>
  <c r="B450" i="3"/>
  <c r="A450" i="3"/>
  <c r="Z449" i="3"/>
  <c r="Y449" i="3"/>
  <c r="X449" i="3"/>
  <c r="W449" i="3"/>
  <c r="V449" i="3"/>
  <c r="U449" i="3"/>
  <c r="T449" i="3"/>
  <c r="S449" i="3"/>
  <c r="R449" i="3"/>
  <c r="Q449" i="3"/>
  <c r="P449" i="3"/>
  <c r="O449" i="3"/>
  <c r="N449" i="3"/>
  <c r="M449" i="3"/>
  <c r="L449" i="3"/>
  <c r="K449" i="3"/>
  <c r="J449" i="3"/>
  <c r="I449" i="3"/>
  <c r="H449" i="3"/>
  <c r="G449" i="3"/>
  <c r="F449" i="3"/>
  <c r="E449" i="3"/>
  <c r="D449" i="3"/>
  <c r="C449" i="3"/>
  <c r="B449" i="3"/>
  <c r="A449" i="3"/>
  <c r="Z448" i="3"/>
  <c r="Y448" i="3"/>
  <c r="X448" i="3"/>
  <c r="W448" i="3"/>
  <c r="V448" i="3"/>
  <c r="U448" i="3"/>
  <c r="T448" i="3"/>
  <c r="S448" i="3"/>
  <c r="R448" i="3"/>
  <c r="Q448" i="3"/>
  <c r="P448" i="3"/>
  <c r="O448" i="3"/>
  <c r="N448" i="3"/>
  <c r="M448" i="3"/>
  <c r="L448" i="3"/>
  <c r="K448" i="3"/>
  <c r="J448" i="3"/>
  <c r="I448" i="3"/>
  <c r="H448" i="3"/>
  <c r="G448" i="3"/>
  <c r="F448" i="3"/>
  <c r="E448" i="3"/>
  <c r="D448" i="3"/>
  <c r="C448" i="3"/>
  <c r="B448" i="3"/>
  <c r="A448" i="3"/>
  <c r="Z447" i="3"/>
  <c r="Y447" i="3"/>
  <c r="X447" i="3"/>
  <c r="W447" i="3"/>
  <c r="V447" i="3"/>
  <c r="U447" i="3"/>
  <c r="T447" i="3"/>
  <c r="S447" i="3"/>
  <c r="R447" i="3"/>
  <c r="Q447" i="3"/>
  <c r="P447" i="3"/>
  <c r="O447" i="3"/>
  <c r="N447" i="3"/>
  <c r="M447" i="3"/>
  <c r="L447" i="3"/>
  <c r="K447" i="3"/>
  <c r="J447" i="3"/>
  <c r="I447" i="3"/>
  <c r="H447" i="3"/>
  <c r="G447" i="3"/>
  <c r="F447" i="3"/>
  <c r="E447" i="3"/>
  <c r="D447" i="3"/>
  <c r="C447" i="3"/>
  <c r="B447" i="3"/>
  <c r="A447" i="3"/>
  <c r="Z446" i="3"/>
  <c r="Y446" i="3"/>
  <c r="X446" i="3"/>
  <c r="W446" i="3"/>
  <c r="V446" i="3"/>
  <c r="U446" i="3"/>
  <c r="T446" i="3"/>
  <c r="S446" i="3"/>
  <c r="R446" i="3"/>
  <c r="Q446" i="3"/>
  <c r="P446" i="3"/>
  <c r="O446" i="3"/>
  <c r="N446" i="3"/>
  <c r="M446" i="3"/>
  <c r="L446" i="3"/>
  <c r="K446" i="3"/>
  <c r="J446" i="3"/>
  <c r="I446" i="3"/>
  <c r="H446" i="3"/>
  <c r="G446" i="3"/>
  <c r="F446" i="3"/>
  <c r="E446" i="3"/>
  <c r="D446" i="3"/>
  <c r="C446" i="3"/>
  <c r="B446" i="3"/>
  <c r="A446" i="3"/>
  <c r="Z445" i="3"/>
  <c r="Y445" i="3"/>
  <c r="X445" i="3"/>
  <c r="W445" i="3"/>
  <c r="V445" i="3"/>
  <c r="U445" i="3"/>
  <c r="T445" i="3"/>
  <c r="S445" i="3"/>
  <c r="R445" i="3"/>
  <c r="Q445" i="3"/>
  <c r="P445" i="3"/>
  <c r="O445" i="3"/>
  <c r="N445" i="3"/>
  <c r="M445" i="3"/>
  <c r="L445" i="3"/>
  <c r="K445" i="3"/>
  <c r="J445" i="3"/>
  <c r="I445" i="3"/>
  <c r="H445" i="3"/>
  <c r="G445" i="3"/>
  <c r="F445" i="3"/>
  <c r="E445" i="3"/>
  <c r="D445" i="3"/>
  <c r="C445" i="3"/>
  <c r="B445" i="3"/>
  <c r="A445" i="3"/>
  <c r="Z444" i="3"/>
  <c r="Y444" i="3"/>
  <c r="X444" i="3"/>
  <c r="W444" i="3"/>
  <c r="V444" i="3"/>
  <c r="U444" i="3"/>
  <c r="T444" i="3"/>
  <c r="S444" i="3"/>
  <c r="R444" i="3"/>
  <c r="Q444" i="3"/>
  <c r="P444" i="3"/>
  <c r="O444" i="3"/>
  <c r="N444" i="3"/>
  <c r="M444" i="3"/>
  <c r="L444" i="3"/>
  <c r="K444" i="3"/>
  <c r="J444" i="3"/>
  <c r="I444" i="3"/>
  <c r="H444" i="3"/>
  <c r="G444" i="3"/>
  <c r="F444" i="3"/>
  <c r="E444" i="3"/>
  <c r="D444" i="3"/>
  <c r="C444" i="3"/>
  <c r="B444" i="3"/>
  <c r="A444" i="3"/>
  <c r="Z443" i="3"/>
  <c r="Y443" i="3"/>
  <c r="X443" i="3"/>
  <c r="W443" i="3"/>
  <c r="V443" i="3"/>
  <c r="U443" i="3"/>
  <c r="T443" i="3"/>
  <c r="S443" i="3"/>
  <c r="R443" i="3"/>
  <c r="Q443" i="3"/>
  <c r="P443" i="3"/>
  <c r="O443" i="3"/>
  <c r="N443" i="3"/>
  <c r="M443" i="3"/>
  <c r="L443" i="3"/>
  <c r="K443" i="3"/>
  <c r="J443" i="3"/>
  <c r="I443" i="3"/>
  <c r="H443" i="3"/>
  <c r="G443" i="3"/>
  <c r="F443" i="3"/>
  <c r="E443" i="3"/>
  <c r="D443" i="3"/>
  <c r="C443" i="3"/>
  <c r="B443" i="3"/>
  <c r="A443" i="3"/>
  <c r="Z442" i="3"/>
  <c r="Y442" i="3"/>
  <c r="X442" i="3"/>
  <c r="W442" i="3"/>
  <c r="V442" i="3"/>
  <c r="U442" i="3"/>
  <c r="T442" i="3"/>
  <c r="S442" i="3"/>
  <c r="R442" i="3"/>
  <c r="Q442" i="3"/>
  <c r="P442" i="3"/>
  <c r="O442" i="3"/>
  <c r="N442" i="3"/>
  <c r="M442" i="3"/>
  <c r="L442" i="3"/>
  <c r="K442" i="3"/>
  <c r="J442" i="3"/>
  <c r="I442" i="3"/>
  <c r="H442" i="3"/>
  <c r="G442" i="3"/>
  <c r="F442" i="3"/>
  <c r="E442" i="3"/>
  <c r="D442" i="3"/>
  <c r="C442" i="3"/>
  <c r="B442" i="3"/>
  <c r="A442" i="3"/>
  <c r="Z441" i="3"/>
  <c r="Y441" i="3"/>
  <c r="X441" i="3"/>
  <c r="W441" i="3"/>
  <c r="V441" i="3"/>
  <c r="U441" i="3"/>
  <c r="T441" i="3"/>
  <c r="S441" i="3"/>
  <c r="R441" i="3"/>
  <c r="Q441" i="3"/>
  <c r="P441" i="3"/>
  <c r="O441" i="3"/>
  <c r="N441" i="3"/>
  <c r="M441" i="3"/>
  <c r="L441" i="3"/>
  <c r="K441" i="3"/>
  <c r="J441" i="3"/>
  <c r="I441" i="3"/>
  <c r="H441" i="3"/>
  <c r="G441" i="3"/>
  <c r="F441" i="3"/>
  <c r="E441" i="3"/>
  <c r="D441" i="3"/>
  <c r="C441" i="3"/>
  <c r="B441" i="3"/>
  <c r="A441" i="3"/>
  <c r="Z440" i="3"/>
  <c r="Y440" i="3"/>
  <c r="X440" i="3"/>
  <c r="W440" i="3"/>
  <c r="V440" i="3"/>
  <c r="U440" i="3"/>
  <c r="T440" i="3"/>
  <c r="S440" i="3"/>
  <c r="R440" i="3"/>
  <c r="Q440" i="3"/>
  <c r="P440" i="3"/>
  <c r="O440" i="3"/>
  <c r="N440" i="3"/>
  <c r="M440" i="3"/>
  <c r="L440" i="3"/>
  <c r="K440" i="3"/>
  <c r="J440" i="3"/>
  <c r="I440" i="3"/>
  <c r="H440" i="3"/>
  <c r="G440" i="3"/>
  <c r="F440" i="3"/>
  <c r="E440" i="3"/>
  <c r="D440" i="3"/>
  <c r="C440" i="3"/>
  <c r="B440" i="3"/>
  <c r="A440" i="3"/>
  <c r="Z439" i="3"/>
  <c r="Y439" i="3"/>
  <c r="X439" i="3"/>
  <c r="W439" i="3"/>
  <c r="V439" i="3"/>
  <c r="U439" i="3"/>
  <c r="T439" i="3"/>
  <c r="S439" i="3"/>
  <c r="R439" i="3"/>
  <c r="Q439" i="3"/>
  <c r="P439" i="3"/>
  <c r="O439" i="3"/>
  <c r="N439" i="3"/>
  <c r="M439" i="3"/>
  <c r="L439" i="3"/>
  <c r="K439" i="3"/>
  <c r="J439" i="3"/>
  <c r="I439" i="3"/>
  <c r="H439" i="3"/>
  <c r="G439" i="3"/>
  <c r="F439" i="3"/>
  <c r="E439" i="3"/>
  <c r="D439" i="3"/>
  <c r="C439" i="3"/>
  <c r="B439" i="3"/>
  <c r="A439" i="3"/>
  <c r="Z438" i="3"/>
  <c r="Y438" i="3"/>
  <c r="X438" i="3"/>
  <c r="W438" i="3"/>
  <c r="V438" i="3"/>
  <c r="U438" i="3"/>
  <c r="T438" i="3"/>
  <c r="S438" i="3"/>
  <c r="R438" i="3"/>
  <c r="Q438" i="3"/>
  <c r="P438" i="3"/>
  <c r="O438" i="3"/>
  <c r="N438" i="3"/>
  <c r="M438" i="3"/>
  <c r="L438" i="3"/>
  <c r="K438" i="3"/>
  <c r="J438" i="3"/>
  <c r="I438" i="3"/>
  <c r="H438" i="3"/>
  <c r="G438" i="3"/>
  <c r="F438" i="3"/>
  <c r="E438" i="3"/>
  <c r="D438" i="3"/>
  <c r="C438" i="3"/>
  <c r="B438" i="3"/>
  <c r="A438" i="3"/>
  <c r="Z437" i="3"/>
  <c r="Y437" i="3"/>
  <c r="X437" i="3"/>
  <c r="W437" i="3"/>
  <c r="V437" i="3"/>
  <c r="U437" i="3"/>
  <c r="T437" i="3"/>
  <c r="S437" i="3"/>
  <c r="R437" i="3"/>
  <c r="Q437" i="3"/>
  <c r="P437" i="3"/>
  <c r="O437" i="3"/>
  <c r="N437" i="3"/>
  <c r="M437" i="3"/>
  <c r="L437" i="3"/>
  <c r="K437" i="3"/>
  <c r="J437" i="3"/>
  <c r="I437" i="3"/>
  <c r="H437" i="3"/>
  <c r="G437" i="3"/>
  <c r="F437" i="3"/>
  <c r="E437" i="3"/>
  <c r="D437" i="3"/>
  <c r="C437" i="3"/>
  <c r="B437" i="3"/>
  <c r="A437" i="3"/>
  <c r="Z436" i="3"/>
  <c r="Y436" i="3"/>
  <c r="X436" i="3"/>
  <c r="W436" i="3"/>
  <c r="V436" i="3"/>
  <c r="U436" i="3"/>
  <c r="T436" i="3"/>
  <c r="S436" i="3"/>
  <c r="R436" i="3"/>
  <c r="Q436" i="3"/>
  <c r="P436" i="3"/>
  <c r="O436" i="3"/>
  <c r="N436" i="3"/>
  <c r="M436" i="3"/>
  <c r="L436" i="3"/>
  <c r="K436" i="3"/>
  <c r="J436" i="3"/>
  <c r="I436" i="3"/>
  <c r="H436" i="3"/>
  <c r="G436" i="3"/>
  <c r="F436" i="3"/>
  <c r="E436" i="3"/>
  <c r="D436" i="3"/>
  <c r="C436" i="3"/>
  <c r="B436" i="3"/>
  <c r="A436" i="3"/>
  <c r="Z435" i="3"/>
  <c r="Y435" i="3"/>
  <c r="X435" i="3"/>
  <c r="W435" i="3"/>
  <c r="V435" i="3"/>
  <c r="U435" i="3"/>
  <c r="T435" i="3"/>
  <c r="S435" i="3"/>
  <c r="R435" i="3"/>
  <c r="Q435" i="3"/>
  <c r="P435" i="3"/>
  <c r="O435" i="3"/>
  <c r="N435" i="3"/>
  <c r="M435" i="3"/>
  <c r="L435" i="3"/>
  <c r="K435" i="3"/>
  <c r="J435" i="3"/>
  <c r="I435" i="3"/>
  <c r="H435" i="3"/>
  <c r="G435" i="3"/>
  <c r="F435" i="3"/>
  <c r="E435" i="3"/>
  <c r="D435" i="3"/>
  <c r="C435" i="3"/>
  <c r="B435" i="3"/>
  <c r="A435" i="3"/>
  <c r="Z434" i="3"/>
  <c r="Y434" i="3"/>
  <c r="X434" i="3"/>
  <c r="W434" i="3"/>
  <c r="V434" i="3"/>
  <c r="U434" i="3"/>
  <c r="T434" i="3"/>
  <c r="S434" i="3"/>
  <c r="R434" i="3"/>
  <c r="Q434" i="3"/>
  <c r="P434" i="3"/>
  <c r="O434" i="3"/>
  <c r="N434" i="3"/>
  <c r="M434" i="3"/>
  <c r="L434" i="3"/>
  <c r="K434" i="3"/>
  <c r="J434" i="3"/>
  <c r="I434" i="3"/>
  <c r="H434" i="3"/>
  <c r="G434" i="3"/>
  <c r="F434" i="3"/>
  <c r="E434" i="3"/>
  <c r="D434" i="3"/>
  <c r="C434" i="3"/>
  <c r="B434" i="3"/>
  <c r="A434" i="3"/>
  <c r="Z433" i="3"/>
  <c r="Y433" i="3"/>
  <c r="X433" i="3"/>
  <c r="W433" i="3"/>
  <c r="V433" i="3"/>
  <c r="U433" i="3"/>
  <c r="T433" i="3"/>
  <c r="S433" i="3"/>
  <c r="R433" i="3"/>
  <c r="Q433" i="3"/>
  <c r="P433" i="3"/>
  <c r="O433" i="3"/>
  <c r="N433" i="3"/>
  <c r="M433" i="3"/>
  <c r="L433" i="3"/>
  <c r="K433" i="3"/>
  <c r="J433" i="3"/>
  <c r="I433" i="3"/>
  <c r="H433" i="3"/>
  <c r="G433" i="3"/>
  <c r="F433" i="3"/>
  <c r="E433" i="3"/>
  <c r="D433" i="3"/>
  <c r="C433" i="3"/>
  <c r="B433" i="3"/>
  <c r="A433" i="3"/>
  <c r="Z432" i="3"/>
  <c r="Y432" i="3"/>
  <c r="X432" i="3"/>
  <c r="W432" i="3"/>
  <c r="V432" i="3"/>
  <c r="U432" i="3"/>
  <c r="T432" i="3"/>
  <c r="S432" i="3"/>
  <c r="R432" i="3"/>
  <c r="Q432" i="3"/>
  <c r="P432" i="3"/>
  <c r="O432" i="3"/>
  <c r="N432" i="3"/>
  <c r="M432" i="3"/>
  <c r="L432" i="3"/>
  <c r="K432" i="3"/>
  <c r="J432" i="3"/>
  <c r="I432" i="3"/>
  <c r="H432" i="3"/>
  <c r="G432" i="3"/>
  <c r="F432" i="3"/>
  <c r="E432" i="3"/>
  <c r="D432" i="3"/>
  <c r="C432" i="3"/>
  <c r="B432" i="3"/>
  <c r="A432" i="3"/>
  <c r="Z431" i="3"/>
  <c r="Y431" i="3"/>
  <c r="X431" i="3"/>
  <c r="W431" i="3"/>
  <c r="V431" i="3"/>
  <c r="U431" i="3"/>
  <c r="T431" i="3"/>
  <c r="S431" i="3"/>
  <c r="R431" i="3"/>
  <c r="Q431" i="3"/>
  <c r="P431" i="3"/>
  <c r="O431" i="3"/>
  <c r="N431" i="3"/>
  <c r="M431" i="3"/>
  <c r="L431" i="3"/>
  <c r="K431" i="3"/>
  <c r="J431" i="3"/>
  <c r="I431" i="3"/>
  <c r="H431" i="3"/>
  <c r="G431" i="3"/>
  <c r="F431" i="3"/>
  <c r="E431" i="3"/>
  <c r="D431" i="3"/>
  <c r="C431" i="3"/>
  <c r="B431" i="3"/>
  <c r="A431" i="3"/>
  <c r="Z430" i="3"/>
  <c r="Y430" i="3"/>
  <c r="X430" i="3"/>
  <c r="W430" i="3"/>
  <c r="V430" i="3"/>
  <c r="U430" i="3"/>
  <c r="T430" i="3"/>
  <c r="S430" i="3"/>
  <c r="R430" i="3"/>
  <c r="Q430" i="3"/>
  <c r="P430" i="3"/>
  <c r="O430" i="3"/>
  <c r="N430" i="3"/>
  <c r="M430" i="3"/>
  <c r="L430" i="3"/>
  <c r="K430" i="3"/>
  <c r="J430" i="3"/>
  <c r="I430" i="3"/>
  <c r="H430" i="3"/>
  <c r="G430" i="3"/>
  <c r="F430" i="3"/>
  <c r="E430" i="3"/>
  <c r="D430" i="3"/>
  <c r="C430" i="3"/>
  <c r="B430" i="3"/>
  <c r="A430" i="3"/>
  <c r="Z429" i="3"/>
  <c r="Y429" i="3"/>
  <c r="X429" i="3"/>
  <c r="W429" i="3"/>
  <c r="V429" i="3"/>
  <c r="U429" i="3"/>
  <c r="T429" i="3"/>
  <c r="S429" i="3"/>
  <c r="R429" i="3"/>
  <c r="Q429" i="3"/>
  <c r="P429" i="3"/>
  <c r="O429" i="3"/>
  <c r="N429" i="3"/>
  <c r="M429" i="3"/>
  <c r="L429" i="3"/>
  <c r="K429" i="3"/>
  <c r="J429" i="3"/>
  <c r="I429" i="3"/>
  <c r="H429" i="3"/>
  <c r="G429" i="3"/>
  <c r="F429" i="3"/>
  <c r="E429" i="3"/>
  <c r="D429" i="3"/>
  <c r="C429" i="3"/>
  <c r="B429" i="3"/>
  <c r="A429" i="3"/>
  <c r="Z428" i="3"/>
  <c r="Y428" i="3"/>
  <c r="X428" i="3"/>
  <c r="W428" i="3"/>
  <c r="V428" i="3"/>
  <c r="U428" i="3"/>
  <c r="T428" i="3"/>
  <c r="S428" i="3"/>
  <c r="R428" i="3"/>
  <c r="Q428" i="3"/>
  <c r="P428" i="3"/>
  <c r="O428" i="3"/>
  <c r="N428" i="3"/>
  <c r="M428" i="3"/>
  <c r="L428" i="3"/>
  <c r="K428" i="3"/>
  <c r="J428" i="3"/>
  <c r="I428" i="3"/>
  <c r="H428" i="3"/>
  <c r="G428" i="3"/>
  <c r="F428" i="3"/>
  <c r="E428" i="3"/>
  <c r="D428" i="3"/>
  <c r="C428" i="3"/>
  <c r="B428" i="3"/>
  <c r="A428" i="3"/>
  <c r="Z427" i="3"/>
  <c r="Y427" i="3"/>
  <c r="X427" i="3"/>
  <c r="W427" i="3"/>
  <c r="V427" i="3"/>
  <c r="U427" i="3"/>
  <c r="T427" i="3"/>
  <c r="S427" i="3"/>
  <c r="R427" i="3"/>
  <c r="Q427" i="3"/>
  <c r="P427" i="3"/>
  <c r="O427" i="3"/>
  <c r="N427" i="3"/>
  <c r="M427" i="3"/>
  <c r="L427" i="3"/>
  <c r="K427" i="3"/>
  <c r="J427" i="3"/>
  <c r="I427" i="3"/>
  <c r="H427" i="3"/>
  <c r="G427" i="3"/>
  <c r="F427" i="3"/>
  <c r="E427" i="3"/>
  <c r="D427" i="3"/>
  <c r="C427" i="3"/>
  <c r="B427" i="3"/>
  <c r="A427" i="3"/>
  <c r="Z426" i="3"/>
  <c r="Y426" i="3"/>
  <c r="X426" i="3"/>
  <c r="W426" i="3"/>
  <c r="V426" i="3"/>
  <c r="U426" i="3"/>
  <c r="T426" i="3"/>
  <c r="S426" i="3"/>
  <c r="R426" i="3"/>
  <c r="Q426" i="3"/>
  <c r="P426" i="3"/>
  <c r="O426" i="3"/>
  <c r="N426" i="3"/>
  <c r="M426" i="3"/>
  <c r="L426" i="3"/>
  <c r="K426" i="3"/>
  <c r="J426" i="3"/>
  <c r="I426" i="3"/>
  <c r="H426" i="3"/>
  <c r="G426" i="3"/>
  <c r="F426" i="3"/>
  <c r="E426" i="3"/>
  <c r="D426" i="3"/>
  <c r="C426" i="3"/>
  <c r="B426" i="3"/>
  <c r="A426" i="3"/>
  <c r="Z425" i="3"/>
  <c r="Y425" i="3"/>
  <c r="X425" i="3"/>
  <c r="W425" i="3"/>
  <c r="V425" i="3"/>
  <c r="U425" i="3"/>
  <c r="T425" i="3"/>
  <c r="S425" i="3"/>
  <c r="R425" i="3"/>
  <c r="Q425" i="3"/>
  <c r="P425" i="3"/>
  <c r="O425" i="3"/>
  <c r="N425" i="3"/>
  <c r="M425" i="3"/>
  <c r="L425" i="3"/>
  <c r="K425" i="3"/>
  <c r="J425" i="3"/>
  <c r="I425" i="3"/>
  <c r="H425" i="3"/>
  <c r="G425" i="3"/>
  <c r="F425" i="3"/>
  <c r="E425" i="3"/>
  <c r="D425" i="3"/>
  <c r="C425" i="3"/>
  <c r="B425" i="3"/>
  <c r="A425" i="3"/>
  <c r="Z424" i="3"/>
  <c r="Y424" i="3"/>
  <c r="X424" i="3"/>
  <c r="W424" i="3"/>
  <c r="V424" i="3"/>
  <c r="U424" i="3"/>
  <c r="T424" i="3"/>
  <c r="S424" i="3"/>
  <c r="R424" i="3"/>
  <c r="Q424" i="3"/>
  <c r="P424" i="3"/>
  <c r="O424" i="3"/>
  <c r="N424" i="3"/>
  <c r="M424" i="3"/>
  <c r="L424" i="3"/>
  <c r="K424" i="3"/>
  <c r="J424" i="3"/>
  <c r="I424" i="3"/>
  <c r="H424" i="3"/>
  <c r="G424" i="3"/>
  <c r="F424" i="3"/>
  <c r="E424" i="3"/>
  <c r="D424" i="3"/>
  <c r="C424" i="3"/>
  <c r="B424" i="3"/>
  <c r="A424" i="3"/>
  <c r="Z423" i="3"/>
  <c r="Y423" i="3"/>
  <c r="X423" i="3"/>
  <c r="W423" i="3"/>
  <c r="V423" i="3"/>
  <c r="U423" i="3"/>
  <c r="T423" i="3"/>
  <c r="S423" i="3"/>
  <c r="R423" i="3"/>
  <c r="Q423" i="3"/>
  <c r="P423" i="3"/>
  <c r="O423" i="3"/>
  <c r="N423" i="3"/>
  <c r="M423" i="3"/>
  <c r="L423" i="3"/>
  <c r="K423" i="3"/>
  <c r="J423" i="3"/>
  <c r="I423" i="3"/>
  <c r="H423" i="3"/>
  <c r="G423" i="3"/>
  <c r="F423" i="3"/>
  <c r="E423" i="3"/>
  <c r="D423" i="3"/>
  <c r="C423" i="3"/>
  <c r="B423" i="3"/>
  <c r="A423" i="3"/>
  <c r="Z422" i="3"/>
  <c r="Y422" i="3"/>
  <c r="X422" i="3"/>
  <c r="W422" i="3"/>
  <c r="V422" i="3"/>
  <c r="U422" i="3"/>
  <c r="T422" i="3"/>
  <c r="S422" i="3"/>
  <c r="R422" i="3"/>
  <c r="Q422" i="3"/>
  <c r="P422" i="3"/>
  <c r="O422" i="3"/>
  <c r="N422" i="3"/>
  <c r="M422" i="3"/>
  <c r="L422" i="3"/>
  <c r="K422" i="3"/>
  <c r="J422" i="3"/>
  <c r="I422" i="3"/>
  <c r="H422" i="3"/>
  <c r="G422" i="3"/>
  <c r="F422" i="3"/>
  <c r="E422" i="3"/>
  <c r="D422" i="3"/>
  <c r="C422" i="3"/>
  <c r="B422" i="3"/>
  <c r="A422" i="3"/>
  <c r="Z421" i="3"/>
  <c r="Y421" i="3"/>
  <c r="X421" i="3"/>
  <c r="W421" i="3"/>
  <c r="V421" i="3"/>
  <c r="U421" i="3"/>
  <c r="T421" i="3"/>
  <c r="S421" i="3"/>
  <c r="R421" i="3"/>
  <c r="Q421" i="3"/>
  <c r="P421" i="3"/>
  <c r="O421" i="3"/>
  <c r="N421" i="3"/>
  <c r="M421" i="3"/>
  <c r="L421" i="3"/>
  <c r="K421" i="3"/>
  <c r="J421" i="3"/>
  <c r="I421" i="3"/>
  <c r="H421" i="3"/>
  <c r="G421" i="3"/>
  <c r="F421" i="3"/>
  <c r="E421" i="3"/>
  <c r="D421" i="3"/>
  <c r="C421" i="3"/>
  <c r="B421" i="3"/>
  <c r="A421" i="3"/>
  <c r="Z420" i="3"/>
  <c r="Y420" i="3"/>
  <c r="X420" i="3"/>
  <c r="W420" i="3"/>
  <c r="V420" i="3"/>
  <c r="U420" i="3"/>
  <c r="T420" i="3"/>
  <c r="S420" i="3"/>
  <c r="R420" i="3"/>
  <c r="Q420" i="3"/>
  <c r="P420" i="3"/>
  <c r="O420" i="3"/>
  <c r="N420" i="3"/>
  <c r="M420" i="3"/>
  <c r="L420" i="3"/>
  <c r="K420" i="3"/>
  <c r="J420" i="3"/>
  <c r="I420" i="3"/>
  <c r="H420" i="3"/>
  <c r="G420" i="3"/>
  <c r="F420" i="3"/>
  <c r="E420" i="3"/>
  <c r="D420" i="3"/>
  <c r="C420" i="3"/>
  <c r="B420" i="3"/>
  <c r="A420" i="3"/>
  <c r="Z419" i="3"/>
  <c r="Y419" i="3"/>
  <c r="X419" i="3"/>
  <c r="W419" i="3"/>
  <c r="V419" i="3"/>
  <c r="U419" i="3"/>
  <c r="T419" i="3"/>
  <c r="S419" i="3"/>
  <c r="R419" i="3"/>
  <c r="Q419" i="3"/>
  <c r="P419" i="3"/>
  <c r="O419" i="3"/>
  <c r="N419" i="3"/>
  <c r="M419" i="3"/>
  <c r="L419" i="3"/>
  <c r="K419" i="3"/>
  <c r="J419" i="3"/>
  <c r="I419" i="3"/>
  <c r="H419" i="3"/>
  <c r="G419" i="3"/>
  <c r="F419" i="3"/>
  <c r="E419" i="3"/>
  <c r="D419" i="3"/>
  <c r="C419" i="3"/>
  <c r="B419" i="3"/>
  <c r="A419" i="3"/>
  <c r="Z418" i="3"/>
  <c r="Y418" i="3"/>
  <c r="X418" i="3"/>
  <c r="W418" i="3"/>
  <c r="V418" i="3"/>
  <c r="U418" i="3"/>
  <c r="T418" i="3"/>
  <c r="S418" i="3"/>
  <c r="R418" i="3"/>
  <c r="Q418" i="3"/>
  <c r="P418" i="3"/>
  <c r="O418" i="3"/>
  <c r="N418" i="3"/>
  <c r="M418" i="3"/>
  <c r="L418" i="3"/>
  <c r="K418" i="3"/>
  <c r="J418" i="3"/>
  <c r="I418" i="3"/>
  <c r="H418" i="3"/>
  <c r="G418" i="3"/>
  <c r="F418" i="3"/>
  <c r="E418" i="3"/>
  <c r="D418" i="3"/>
  <c r="C418" i="3"/>
  <c r="B418" i="3"/>
  <c r="A418" i="3"/>
  <c r="Z417" i="3"/>
  <c r="Y417" i="3"/>
  <c r="X417" i="3"/>
  <c r="W417" i="3"/>
  <c r="V417" i="3"/>
  <c r="U417" i="3"/>
  <c r="T417" i="3"/>
  <c r="S417" i="3"/>
  <c r="R417" i="3"/>
  <c r="Q417" i="3"/>
  <c r="P417" i="3"/>
  <c r="O417" i="3"/>
  <c r="N417" i="3"/>
  <c r="M417" i="3"/>
  <c r="L417" i="3"/>
  <c r="K417" i="3"/>
  <c r="J417" i="3"/>
  <c r="I417" i="3"/>
  <c r="H417" i="3"/>
  <c r="G417" i="3"/>
  <c r="F417" i="3"/>
  <c r="E417" i="3"/>
  <c r="D417" i="3"/>
  <c r="C417" i="3"/>
  <c r="B417" i="3"/>
  <c r="A417" i="3"/>
  <c r="Z416" i="3"/>
  <c r="Y416" i="3"/>
  <c r="X416" i="3"/>
  <c r="W416" i="3"/>
  <c r="V416" i="3"/>
  <c r="U416" i="3"/>
  <c r="T416" i="3"/>
  <c r="S416" i="3"/>
  <c r="R416" i="3"/>
  <c r="Q416" i="3"/>
  <c r="P416" i="3"/>
  <c r="O416" i="3"/>
  <c r="N416" i="3"/>
  <c r="M416" i="3"/>
  <c r="L416" i="3"/>
  <c r="K416" i="3"/>
  <c r="J416" i="3"/>
  <c r="I416" i="3"/>
  <c r="H416" i="3"/>
  <c r="G416" i="3"/>
  <c r="F416" i="3"/>
  <c r="E416" i="3"/>
  <c r="D416" i="3"/>
  <c r="C416" i="3"/>
  <c r="B416" i="3"/>
  <c r="A416" i="3"/>
  <c r="Z415" i="3"/>
  <c r="Y415" i="3"/>
  <c r="X415" i="3"/>
  <c r="W415" i="3"/>
  <c r="V415" i="3"/>
  <c r="U415" i="3"/>
  <c r="T415" i="3"/>
  <c r="S415" i="3"/>
  <c r="R415" i="3"/>
  <c r="Q415" i="3"/>
  <c r="P415" i="3"/>
  <c r="O415" i="3"/>
  <c r="N415" i="3"/>
  <c r="M415" i="3"/>
  <c r="L415" i="3"/>
  <c r="K415" i="3"/>
  <c r="J415" i="3"/>
  <c r="I415" i="3"/>
  <c r="H415" i="3"/>
  <c r="G415" i="3"/>
  <c r="F415" i="3"/>
  <c r="E415" i="3"/>
  <c r="D415" i="3"/>
  <c r="C415" i="3"/>
  <c r="B415" i="3"/>
  <c r="A415" i="3"/>
  <c r="Z414" i="3"/>
  <c r="Y414" i="3"/>
  <c r="X414" i="3"/>
  <c r="W414" i="3"/>
  <c r="V414" i="3"/>
  <c r="U414" i="3"/>
  <c r="T414" i="3"/>
  <c r="S414" i="3"/>
  <c r="R414" i="3"/>
  <c r="Q414" i="3"/>
  <c r="P414" i="3"/>
  <c r="O414" i="3"/>
  <c r="N414" i="3"/>
  <c r="M414" i="3"/>
  <c r="L414" i="3"/>
  <c r="K414" i="3"/>
  <c r="J414" i="3"/>
  <c r="I414" i="3"/>
  <c r="H414" i="3"/>
  <c r="G414" i="3"/>
  <c r="F414" i="3"/>
  <c r="E414" i="3"/>
  <c r="D414" i="3"/>
  <c r="C414" i="3"/>
  <c r="B414" i="3"/>
  <c r="A414" i="3"/>
  <c r="Z413" i="3"/>
  <c r="Y413" i="3"/>
  <c r="X413" i="3"/>
  <c r="W413" i="3"/>
  <c r="V413" i="3"/>
  <c r="U413" i="3"/>
  <c r="T413" i="3"/>
  <c r="S413" i="3"/>
  <c r="R413" i="3"/>
  <c r="Q413" i="3"/>
  <c r="P413" i="3"/>
  <c r="O413" i="3"/>
  <c r="N413" i="3"/>
  <c r="M413" i="3"/>
  <c r="L413" i="3"/>
  <c r="K413" i="3"/>
  <c r="J413" i="3"/>
  <c r="I413" i="3"/>
  <c r="H413" i="3"/>
  <c r="G413" i="3"/>
  <c r="F413" i="3"/>
  <c r="E413" i="3"/>
  <c r="D413" i="3"/>
  <c r="C413" i="3"/>
  <c r="B413" i="3"/>
  <c r="A413" i="3"/>
  <c r="Z412" i="3"/>
  <c r="Y412" i="3"/>
  <c r="X412" i="3"/>
  <c r="W412" i="3"/>
  <c r="V412" i="3"/>
  <c r="U412" i="3"/>
  <c r="T412" i="3"/>
  <c r="S412" i="3"/>
  <c r="R412" i="3"/>
  <c r="Q412" i="3"/>
  <c r="P412" i="3"/>
  <c r="O412" i="3"/>
  <c r="N412" i="3"/>
  <c r="M412" i="3"/>
  <c r="L412" i="3"/>
  <c r="K412" i="3"/>
  <c r="J412" i="3"/>
  <c r="I412" i="3"/>
  <c r="H412" i="3"/>
  <c r="G412" i="3"/>
  <c r="F412" i="3"/>
  <c r="E412" i="3"/>
  <c r="D412" i="3"/>
  <c r="C412" i="3"/>
  <c r="B412" i="3"/>
  <c r="A412" i="3"/>
  <c r="Z411" i="3"/>
  <c r="Y411" i="3"/>
  <c r="X411" i="3"/>
  <c r="W411" i="3"/>
  <c r="V411" i="3"/>
  <c r="U411" i="3"/>
  <c r="T411" i="3"/>
  <c r="S411" i="3"/>
  <c r="R411" i="3"/>
  <c r="Q411" i="3"/>
  <c r="P411" i="3"/>
  <c r="O411" i="3"/>
  <c r="N411" i="3"/>
  <c r="M411" i="3"/>
  <c r="L411" i="3"/>
  <c r="K411" i="3"/>
  <c r="J411" i="3"/>
  <c r="I411" i="3"/>
  <c r="H411" i="3"/>
  <c r="G411" i="3"/>
  <c r="F411" i="3"/>
  <c r="E411" i="3"/>
  <c r="D411" i="3"/>
  <c r="C411" i="3"/>
  <c r="B411" i="3"/>
  <c r="A411" i="3"/>
  <c r="Z410" i="3"/>
  <c r="Y410" i="3"/>
  <c r="X410" i="3"/>
  <c r="W410" i="3"/>
  <c r="V410" i="3"/>
  <c r="U410" i="3"/>
  <c r="T410" i="3"/>
  <c r="S410" i="3"/>
  <c r="R410" i="3"/>
  <c r="Q410" i="3"/>
  <c r="P410" i="3"/>
  <c r="O410" i="3"/>
  <c r="N410" i="3"/>
  <c r="M410" i="3"/>
  <c r="L410" i="3"/>
  <c r="K410" i="3"/>
  <c r="J410" i="3"/>
  <c r="I410" i="3"/>
  <c r="H410" i="3"/>
  <c r="G410" i="3"/>
  <c r="F410" i="3"/>
  <c r="E410" i="3"/>
  <c r="D410" i="3"/>
  <c r="C410" i="3"/>
  <c r="B410" i="3"/>
  <c r="A410" i="3"/>
  <c r="Z409" i="3"/>
  <c r="Y409" i="3"/>
  <c r="X409" i="3"/>
  <c r="W409" i="3"/>
  <c r="V409" i="3"/>
  <c r="U409" i="3"/>
  <c r="T409" i="3"/>
  <c r="S409" i="3"/>
  <c r="R409" i="3"/>
  <c r="Q409" i="3"/>
  <c r="P409" i="3"/>
  <c r="O409" i="3"/>
  <c r="N409" i="3"/>
  <c r="M409" i="3"/>
  <c r="L409" i="3"/>
  <c r="K409" i="3"/>
  <c r="J409" i="3"/>
  <c r="I409" i="3"/>
  <c r="H409" i="3"/>
  <c r="G409" i="3"/>
  <c r="F409" i="3"/>
  <c r="E409" i="3"/>
  <c r="D409" i="3"/>
  <c r="C409" i="3"/>
  <c r="B409" i="3"/>
  <c r="A409" i="3"/>
  <c r="Z408" i="3"/>
  <c r="Y408" i="3"/>
  <c r="X408" i="3"/>
  <c r="W408" i="3"/>
  <c r="V408" i="3"/>
  <c r="U408" i="3"/>
  <c r="T408" i="3"/>
  <c r="S408" i="3"/>
  <c r="R408" i="3"/>
  <c r="Q408" i="3"/>
  <c r="P408" i="3"/>
  <c r="O408" i="3"/>
  <c r="N408" i="3"/>
  <c r="M408" i="3"/>
  <c r="L408" i="3"/>
  <c r="K408" i="3"/>
  <c r="J408" i="3"/>
  <c r="I408" i="3"/>
  <c r="H408" i="3"/>
  <c r="G408" i="3"/>
  <c r="F408" i="3"/>
  <c r="E408" i="3"/>
  <c r="D408" i="3"/>
  <c r="C408" i="3"/>
  <c r="B408" i="3"/>
  <c r="A408" i="3"/>
  <c r="Z407" i="3"/>
  <c r="Y407" i="3"/>
  <c r="X407" i="3"/>
  <c r="W407" i="3"/>
  <c r="V407" i="3"/>
  <c r="U407" i="3"/>
  <c r="T407" i="3"/>
  <c r="S407" i="3"/>
  <c r="R407" i="3"/>
  <c r="Q407" i="3"/>
  <c r="P407" i="3"/>
  <c r="O407" i="3"/>
  <c r="N407" i="3"/>
  <c r="M407" i="3"/>
  <c r="L407" i="3"/>
  <c r="K407" i="3"/>
  <c r="J407" i="3"/>
  <c r="I407" i="3"/>
  <c r="H407" i="3"/>
  <c r="G407" i="3"/>
  <c r="F407" i="3"/>
  <c r="E407" i="3"/>
  <c r="D407" i="3"/>
  <c r="C407" i="3"/>
  <c r="B407" i="3"/>
  <c r="A407" i="3"/>
  <c r="Z406" i="3"/>
  <c r="Y406" i="3"/>
  <c r="X406" i="3"/>
  <c r="W406" i="3"/>
  <c r="V406" i="3"/>
  <c r="U406" i="3"/>
  <c r="T406" i="3"/>
  <c r="S406" i="3"/>
  <c r="R406" i="3"/>
  <c r="Q406" i="3"/>
  <c r="P406" i="3"/>
  <c r="O406" i="3"/>
  <c r="N406" i="3"/>
  <c r="M406" i="3"/>
  <c r="L406" i="3"/>
  <c r="K406" i="3"/>
  <c r="J406" i="3"/>
  <c r="I406" i="3"/>
  <c r="H406" i="3"/>
  <c r="G406" i="3"/>
  <c r="F406" i="3"/>
  <c r="E406" i="3"/>
  <c r="D406" i="3"/>
  <c r="C406" i="3"/>
  <c r="B406" i="3"/>
  <c r="A406" i="3"/>
  <c r="Z405" i="3"/>
  <c r="Y405" i="3"/>
  <c r="X405" i="3"/>
  <c r="W405" i="3"/>
  <c r="V405" i="3"/>
  <c r="U405" i="3"/>
  <c r="T405" i="3"/>
  <c r="S405" i="3"/>
  <c r="R405" i="3"/>
  <c r="Q405" i="3"/>
  <c r="P405" i="3"/>
  <c r="O405" i="3"/>
  <c r="N405" i="3"/>
  <c r="M405" i="3"/>
  <c r="L405" i="3"/>
  <c r="K405" i="3"/>
  <c r="J405" i="3"/>
  <c r="I405" i="3"/>
  <c r="H405" i="3"/>
  <c r="G405" i="3"/>
  <c r="F405" i="3"/>
  <c r="E405" i="3"/>
  <c r="D405" i="3"/>
  <c r="C405" i="3"/>
  <c r="B405" i="3"/>
  <c r="A405" i="3"/>
  <c r="Z404" i="3"/>
  <c r="Y404" i="3"/>
  <c r="X404" i="3"/>
  <c r="W404" i="3"/>
  <c r="V404" i="3"/>
  <c r="U404" i="3"/>
  <c r="T404" i="3"/>
  <c r="S404" i="3"/>
  <c r="R404" i="3"/>
  <c r="Q404" i="3"/>
  <c r="P404" i="3"/>
  <c r="O404" i="3"/>
  <c r="N404" i="3"/>
  <c r="M404" i="3"/>
  <c r="L404" i="3"/>
  <c r="K404" i="3"/>
  <c r="J404" i="3"/>
  <c r="I404" i="3"/>
  <c r="H404" i="3"/>
  <c r="G404" i="3"/>
  <c r="F404" i="3"/>
  <c r="E404" i="3"/>
  <c r="D404" i="3"/>
  <c r="C404" i="3"/>
  <c r="B404" i="3"/>
  <c r="A404" i="3"/>
  <c r="Z403" i="3"/>
  <c r="Y403" i="3"/>
  <c r="X403" i="3"/>
  <c r="W403" i="3"/>
  <c r="V403" i="3"/>
  <c r="U403" i="3"/>
  <c r="T403" i="3"/>
  <c r="S403" i="3"/>
  <c r="R403" i="3"/>
  <c r="Q403" i="3"/>
  <c r="P403" i="3"/>
  <c r="O403" i="3"/>
  <c r="N403" i="3"/>
  <c r="M403" i="3"/>
  <c r="L403" i="3"/>
  <c r="K403" i="3"/>
  <c r="J403" i="3"/>
  <c r="I403" i="3"/>
  <c r="H403" i="3"/>
  <c r="G403" i="3"/>
  <c r="F403" i="3"/>
  <c r="E403" i="3"/>
  <c r="D403" i="3"/>
  <c r="C403" i="3"/>
  <c r="B403" i="3"/>
  <c r="A403" i="3"/>
  <c r="Z402" i="3"/>
  <c r="Y402" i="3"/>
  <c r="X402" i="3"/>
  <c r="W402" i="3"/>
  <c r="V402" i="3"/>
  <c r="U402" i="3"/>
  <c r="T402" i="3"/>
  <c r="S402" i="3"/>
  <c r="R402" i="3"/>
  <c r="Q402" i="3"/>
  <c r="P402" i="3"/>
  <c r="O402" i="3"/>
  <c r="N402" i="3"/>
  <c r="M402" i="3"/>
  <c r="L402" i="3"/>
  <c r="K402" i="3"/>
  <c r="J402" i="3"/>
  <c r="I402" i="3"/>
  <c r="H402" i="3"/>
  <c r="G402" i="3"/>
  <c r="F402" i="3"/>
  <c r="E402" i="3"/>
  <c r="D402" i="3"/>
  <c r="C402" i="3"/>
  <c r="B402" i="3"/>
  <c r="A402" i="3"/>
  <c r="Z401" i="3"/>
  <c r="Y401" i="3"/>
  <c r="X401" i="3"/>
  <c r="W401" i="3"/>
  <c r="V401" i="3"/>
  <c r="U401" i="3"/>
  <c r="T401" i="3"/>
  <c r="S401" i="3"/>
  <c r="R401" i="3"/>
  <c r="Q401" i="3"/>
  <c r="P401" i="3"/>
  <c r="O401" i="3"/>
  <c r="N401" i="3"/>
  <c r="M401" i="3"/>
  <c r="L401" i="3"/>
  <c r="K401" i="3"/>
  <c r="J401" i="3"/>
  <c r="I401" i="3"/>
  <c r="H401" i="3"/>
  <c r="G401" i="3"/>
  <c r="F401" i="3"/>
  <c r="E401" i="3"/>
  <c r="D401" i="3"/>
  <c r="C401" i="3"/>
  <c r="B401" i="3"/>
  <c r="A401" i="3"/>
  <c r="Z400" i="3"/>
  <c r="Y400" i="3"/>
  <c r="X400" i="3"/>
  <c r="W400" i="3"/>
  <c r="V400" i="3"/>
  <c r="U400" i="3"/>
  <c r="T400" i="3"/>
  <c r="S400" i="3"/>
  <c r="R400" i="3"/>
  <c r="Q400" i="3"/>
  <c r="P400" i="3"/>
  <c r="O400" i="3"/>
  <c r="N400" i="3"/>
  <c r="M400" i="3"/>
  <c r="L400" i="3"/>
  <c r="K400" i="3"/>
  <c r="J400" i="3"/>
  <c r="I400" i="3"/>
  <c r="H400" i="3"/>
  <c r="G400" i="3"/>
  <c r="F400" i="3"/>
  <c r="E400" i="3"/>
  <c r="D400" i="3"/>
  <c r="C400" i="3"/>
  <c r="B400" i="3"/>
  <c r="A400" i="3"/>
  <c r="Z399" i="3"/>
  <c r="Y399" i="3"/>
  <c r="X399" i="3"/>
  <c r="W399" i="3"/>
  <c r="V399" i="3"/>
  <c r="U399" i="3"/>
  <c r="T399" i="3"/>
  <c r="S399" i="3"/>
  <c r="R399" i="3"/>
  <c r="Q399" i="3"/>
  <c r="P399" i="3"/>
  <c r="O399" i="3"/>
  <c r="N399" i="3"/>
  <c r="M399" i="3"/>
  <c r="L399" i="3"/>
  <c r="K399" i="3"/>
  <c r="J399" i="3"/>
  <c r="I399" i="3"/>
  <c r="H399" i="3"/>
  <c r="G399" i="3"/>
  <c r="F399" i="3"/>
  <c r="E399" i="3"/>
  <c r="D399" i="3"/>
  <c r="C399" i="3"/>
  <c r="B399" i="3"/>
  <c r="A399" i="3"/>
  <c r="Z398" i="3"/>
  <c r="Y398" i="3"/>
  <c r="X398" i="3"/>
  <c r="W398" i="3"/>
  <c r="V398" i="3"/>
  <c r="U398" i="3"/>
  <c r="T398" i="3"/>
  <c r="S398" i="3"/>
  <c r="R398" i="3"/>
  <c r="Q398" i="3"/>
  <c r="P398" i="3"/>
  <c r="O398" i="3"/>
  <c r="N398" i="3"/>
  <c r="M398" i="3"/>
  <c r="L398" i="3"/>
  <c r="K398" i="3"/>
  <c r="J398" i="3"/>
  <c r="I398" i="3"/>
  <c r="H398" i="3"/>
  <c r="G398" i="3"/>
  <c r="F398" i="3"/>
  <c r="E398" i="3"/>
  <c r="D398" i="3"/>
  <c r="C398" i="3"/>
  <c r="B398" i="3"/>
  <c r="A398" i="3"/>
  <c r="Z397" i="3"/>
  <c r="Y397" i="3"/>
  <c r="X397" i="3"/>
  <c r="W397" i="3"/>
  <c r="V397" i="3"/>
  <c r="U397" i="3"/>
  <c r="T397" i="3"/>
  <c r="S397" i="3"/>
  <c r="R397" i="3"/>
  <c r="Q397" i="3"/>
  <c r="P397" i="3"/>
  <c r="O397" i="3"/>
  <c r="N397" i="3"/>
  <c r="M397" i="3"/>
  <c r="L397" i="3"/>
  <c r="K397" i="3"/>
  <c r="J397" i="3"/>
  <c r="I397" i="3"/>
  <c r="H397" i="3"/>
  <c r="G397" i="3"/>
  <c r="F397" i="3"/>
  <c r="E397" i="3"/>
  <c r="D397" i="3"/>
  <c r="C397" i="3"/>
  <c r="B397" i="3"/>
  <c r="A397" i="3"/>
  <c r="Z396" i="3"/>
  <c r="Y396" i="3"/>
  <c r="X396" i="3"/>
  <c r="W396" i="3"/>
  <c r="V396" i="3"/>
  <c r="U396" i="3"/>
  <c r="T396" i="3"/>
  <c r="S396" i="3"/>
  <c r="R396" i="3"/>
  <c r="Q396" i="3"/>
  <c r="P396" i="3"/>
  <c r="O396" i="3"/>
  <c r="N396" i="3"/>
  <c r="M396" i="3"/>
  <c r="L396" i="3"/>
  <c r="K396" i="3"/>
  <c r="J396" i="3"/>
  <c r="I396" i="3"/>
  <c r="H396" i="3"/>
  <c r="G396" i="3"/>
  <c r="F396" i="3"/>
  <c r="E396" i="3"/>
  <c r="D396" i="3"/>
  <c r="C396" i="3"/>
  <c r="B396" i="3"/>
  <c r="A396" i="3"/>
  <c r="Z395" i="3"/>
  <c r="Y395" i="3"/>
  <c r="X395" i="3"/>
  <c r="W395" i="3"/>
  <c r="V395" i="3"/>
  <c r="U395" i="3"/>
  <c r="T395" i="3"/>
  <c r="S395" i="3"/>
  <c r="R395" i="3"/>
  <c r="Q395" i="3"/>
  <c r="P395" i="3"/>
  <c r="O395" i="3"/>
  <c r="N395" i="3"/>
  <c r="M395" i="3"/>
  <c r="L395" i="3"/>
  <c r="K395" i="3"/>
  <c r="J395" i="3"/>
  <c r="I395" i="3"/>
  <c r="H395" i="3"/>
  <c r="G395" i="3"/>
  <c r="F395" i="3"/>
  <c r="E395" i="3"/>
  <c r="D395" i="3"/>
  <c r="C395" i="3"/>
  <c r="B395" i="3"/>
  <c r="A395" i="3"/>
  <c r="Z394" i="3"/>
  <c r="Y394" i="3"/>
  <c r="X394" i="3"/>
  <c r="W394" i="3"/>
  <c r="V394" i="3"/>
  <c r="U394" i="3"/>
  <c r="T394" i="3"/>
  <c r="S394" i="3"/>
  <c r="R394" i="3"/>
  <c r="Q394" i="3"/>
  <c r="P394" i="3"/>
  <c r="O394" i="3"/>
  <c r="N394" i="3"/>
  <c r="M394" i="3"/>
  <c r="L394" i="3"/>
  <c r="K394" i="3"/>
  <c r="J394" i="3"/>
  <c r="I394" i="3"/>
  <c r="H394" i="3"/>
  <c r="G394" i="3"/>
  <c r="F394" i="3"/>
  <c r="E394" i="3"/>
  <c r="D394" i="3"/>
  <c r="C394" i="3"/>
  <c r="B394" i="3"/>
  <c r="A394" i="3"/>
  <c r="Z393" i="3"/>
  <c r="Y393" i="3"/>
  <c r="X393" i="3"/>
  <c r="W393" i="3"/>
  <c r="V393" i="3"/>
  <c r="U393" i="3"/>
  <c r="T393" i="3"/>
  <c r="S393" i="3"/>
  <c r="R393" i="3"/>
  <c r="Q393" i="3"/>
  <c r="P393" i="3"/>
  <c r="O393" i="3"/>
  <c r="N393" i="3"/>
  <c r="M393" i="3"/>
  <c r="L393" i="3"/>
  <c r="K393" i="3"/>
  <c r="J393" i="3"/>
  <c r="I393" i="3"/>
  <c r="H393" i="3"/>
  <c r="G393" i="3"/>
  <c r="F393" i="3"/>
  <c r="E393" i="3"/>
  <c r="D393" i="3"/>
  <c r="C393" i="3"/>
  <c r="B393" i="3"/>
  <c r="A393" i="3"/>
  <c r="Z392" i="3"/>
  <c r="Y392" i="3"/>
  <c r="X392" i="3"/>
  <c r="W392" i="3"/>
  <c r="V392" i="3"/>
  <c r="U392" i="3"/>
  <c r="T392" i="3"/>
  <c r="S392" i="3"/>
  <c r="R392" i="3"/>
  <c r="Q392" i="3"/>
  <c r="P392" i="3"/>
  <c r="O392" i="3"/>
  <c r="N392" i="3"/>
  <c r="M392" i="3"/>
  <c r="L392" i="3"/>
  <c r="K392" i="3"/>
  <c r="J392" i="3"/>
  <c r="I392" i="3"/>
  <c r="H392" i="3"/>
  <c r="G392" i="3"/>
  <c r="F392" i="3"/>
  <c r="E392" i="3"/>
  <c r="D392" i="3"/>
  <c r="C392" i="3"/>
  <c r="B392" i="3"/>
  <c r="A392" i="3"/>
  <c r="Z391" i="3"/>
  <c r="Y391" i="3"/>
  <c r="X391" i="3"/>
  <c r="W391" i="3"/>
  <c r="V391" i="3"/>
  <c r="U391" i="3"/>
  <c r="T391" i="3"/>
  <c r="S391" i="3"/>
  <c r="R391" i="3"/>
  <c r="Q391" i="3"/>
  <c r="P391" i="3"/>
  <c r="O391" i="3"/>
  <c r="N391" i="3"/>
  <c r="M391" i="3"/>
  <c r="L391" i="3"/>
  <c r="K391" i="3"/>
  <c r="J391" i="3"/>
  <c r="I391" i="3"/>
  <c r="H391" i="3"/>
  <c r="G391" i="3"/>
  <c r="F391" i="3"/>
  <c r="E391" i="3"/>
  <c r="D391" i="3"/>
  <c r="C391" i="3"/>
  <c r="B391" i="3"/>
  <c r="A391" i="3"/>
  <c r="Z390" i="3"/>
  <c r="Y390" i="3"/>
  <c r="X390" i="3"/>
  <c r="W390" i="3"/>
  <c r="V390" i="3"/>
  <c r="U390" i="3"/>
  <c r="T390" i="3"/>
  <c r="S390" i="3"/>
  <c r="R390" i="3"/>
  <c r="Q390" i="3"/>
  <c r="P390" i="3"/>
  <c r="O390" i="3"/>
  <c r="N390" i="3"/>
  <c r="M390" i="3"/>
  <c r="L390" i="3"/>
  <c r="K390" i="3"/>
  <c r="J390" i="3"/>
  <c r="I390" i="3"/>
  <c r="H390" i="3"/>
  <c r="G390" i="3"/>
  <c r="F390" i="3"/>
  <c r="E390" i="3"/>
  <c r="D390" i="3"/>
  <c r="C390" i="3"/>
  <c r="B390" i="3"/>
  <c r="A390" i="3"/>
  <c r="Z389" i="3"/>
  <c r="Y389" i="3"/>
  <c r="X389" i="3"/>
  <c r="W389" i="3"/>
  <c r="V389" i="3"/>
  <c r="U389" i="3"/>
  <c r="T389" i="3"/>
  <c r="S389" i="3"/>
  <c r="R389" i="3"/>
  <c r="Q389" i="3"/>
  <c r="P389" i="3"/>
  <c r="O389" i="3"/>
  <c r="N389" i="3"/>
  <c r="M389" i="3"/>
  <c r="L389" i="3"/>
  <c r="K389" i="3"/>
  <c r="J389" i="3"/>
  <c r="I389" i="3"/>
  <c r="H389" i="3"/>
  <c r="G389" i="3"/>
  <c r="F389" i="3"/>
  <c r="E389" i="3"/>
  <c r="D389" i="3"/>
  <c r="C389" i="3"/>
  <c r="B389" i="3"/>
  <c r="A389" i="3"/>
  <c r="Z388" i="3"/>
  <c r="Y388" i="3"/>
  <c r="X388" i="3"/>
  <c r="W388" i="3"/>
  <c r="V388" i="3"/>
  <c r="U388" i="3"/>
  <c r="T388" i="3"/>
  <c r="S388" i="3"/>
  <c r="R388" i="3"/>
  <c r="Q388" i="3"/>
  <c r="P388" i="3"/>
  <c r="O388" i="3"/>
  <c r="N388" i="3"/>
  <c r="M388" i="3"/>
  <c r="L388" i="3"/>
  <c r="K388" i="3"/>
  <c r="J388" i="3"/>
  <c r="I388" i="3"/>
  <c r="H388" i="3"/>
  <c r="G388" i="3"/>
  <c r="F388" i="3"/>
  <c r="E388" i="3"/>
  <c r="D388" i="3"/>
  <c r="C388" i="3"/>
  <c r="B388" i="3"/>
  <c r="A388" i="3"/>
  <c r="Z387" i="3"/>
  <c r="Y387" i="3"/>
  <c r="X387" i="3"/>
  <c r="W387" i="3"/>
  <c r="V387" i="3"/>
  <c r="U387" i="3"/>
  <c r="T387" i="3"/>
  <c r="S387" i="3"/>
  <c r="R387" i="3"/>
  <c r="Q387" i="3"/>
  <c r="P387" i="3"/>
  <c r="O387" i="3"/>
  <c r="N387" i="3"/>
  <c r="M387" i="3"/>
  <c r="L387" i="3"/>
  <c r="K387" i="3"/>
  <c r="J387" i="3"/>
  <c r="I387" i="3"/>
  <c r="H387" i="3"/>
  <c r="G387" i="3"/>
  <c r="F387" i="3"/>
  <c r="E387" i="3"/>
  <c r="D387" i="3"/>
  <c r="C387" i="3"/>
  <c r="B387" i="3"/>
  <c r="A387" i="3"/>
  <c r="Z386" i="3"/>
  <c r="Y386" i="3"/>
  <c r="X386" i="3"/>
  <c r="W386" i="3"/>
  <c r="V386" i="3"/>
  <c r="U386" i="3"/>
  <c r="T386" i="3"/>
  <c r="S386" i="3"/>
  <c r="R386" i="3"/>
  <c r="Q386" i="3"/>
  <c r="P386" i="3"/>
  <c r="O386" i="3"/>
  <c r="N386" i="3"/>
  <c r="M386" i="3"/>
  <c r="L386" i="3"/>
  <c r="K386" i="3"/>
  <c r="J386" i="3"/>
  <c r="I386" i="3"/>
  <c r="H386" i="3"/>
  <c r="G386" i="3"/>
  <c r="F386" i="3"/>
  <c r="E386" i="3"/>
  <c r="D386" i="3"/>
  <c r="C386" i="3"/>
  <c r="B386" i="3"/>
  <c r="A386" i="3"/>
  <c r="Z385" i="3"/>
  <c r="Y385" i="3"/>
  <c r="X385" i="3"/>
  <c r="W385" i="3"/>
  <c r="V385" i="3"/>
  <c r="U385" i="3"/>
  <c r="T385" i="3"/>
  <c r="S385" i="3"/>
  <c r="R385" i="3"/>
  <c r="Q385" i="3"/>
  <c r="P385" i="3"/>
  <c r="O385" i="3"/>
  <c r="N385" i="3"/>
  <c r="M385" i="3"/>
  <c r="L385" i="3"/>
  <c r="K385" i="3"/>
  <c r="J385" i="3"/>
  <c r="I385" i="3"/>
  <c r="H385" i="3"/>
  <c r="G385" i="3"/>
  <c r="F385" i="3"/>
  <c r="E385" i="3"/>
  <c r="D385" i="3"/>
  <c r="C385" i="3"/>
  <c r="B385" i="3"/>
  <c r="A385" i="3"/>
  <c r="Z384" i="3"/>
  <c r="Y384" i="3"/>
  <c r="X384" i="3"/>
  <c r="W384" i="3"/>
  <c r="V384" i="3"/>
  <c r="U384" i="3"/>
  <c r="T384" i="3"/>
  <c r="S384" i="3"/>
  <c r="R384" i="3"/>
  <c r="Q384" i="3"/>
  <c r="P384" i="3"/>
  <c r="O384" i="3"/>
  <c r="N384" i="3"/>
  <c r="M384" i="3"/>
  <c r="L384" i="3"/>
  <c r="K384" i="3"/>
  <c r="J384" i="3"/>
  <c r="I384" i="3"/>
  <c r="H384" i="3"/>
  <c r="G384" i="3"/>
  <c r="F384" i="3"/>
  <c r="E384" i="3"/>
  <c r="D384" i="3"/>
  <c r="C384" i="3"/>
  <c r="B384" i="3"/>
  <c r="A384" i="3"/>
  <c r="Z383" i="3"/>
  <c r="Y383" i="3"/>
  <c r="X383" i="3"/>
  <c r="W383" i="3"/>
  <c r="V383" i="3"/>
  <c r="U383" i="3"/>
  <c r="T383" i="3"/>
  <c r="S383" i="3"/>
  <c r="R383" i="3"/>
  <c r="Q383" i="3"/>
  <c r="P383" i="3"/>
  <c r="O383" i="3"/>
  <c r="N383" i="3"/>
  <c r="M383" i="3"/>
  <c r="L383" i="3"/>
  <c r="K383" i="3"/>
  <c r="J383" i="3"/>
  <c r="I383" i="3"/>
  <c r="H383" i="3"/>
  <c r="G383" i="3"/>
  <c r="F383" i="3"/>
  <c r="E383" i="3"/>
  <c r="D383" i="3"/>
  <c r="C383" i="3"/>
  <c r="B383" i="3"/>
  <c r="A383" i="3"/>
  <c r="Z382" i="3"/>
  <c r="Y382" i="3"/>
  <c r="X382" i="3"/>
  <c r="W382" i="3"/>
  <c r="V382" i="3"/>
  <c r="U382" i="3"/>
  <c r="T382" i="3"/>
  <c r="S382" i="3"/>
  <c r="R382" i="3"/>
  <c r="Q382" i="3"/>
  <c r="P382" i="3"/>
  <c r="O382" i="3"/>
  <c r="N382" i="3"/>
  <c r="M382" i="3"/>
  <c r="L382" i="3"/>
  <c r="K382" i="3"/>
  <c r="J382" i="3"/>
  <c r="I382" i="3"/>
  <c r="H382" i="3"/>
  <c r="G382" i="3"/>
  <c r="F382" i="3"/>
  <c r="E382" i="3"/>
  <c r="D382" i="3"/>
  <c r="C382" i="3"/>
  <c r="B382" i="3"/>
  <c r="A382" i="3"/>
  <c r="Z381" i="3"/>
  <c r="Y381" i="3"/>
  <c r="X381" i="3"/>
  <c r="W381" i="3"/>
  <c r="V381" i="3"/>
  <c r="U381" i="3"/>
  <c r="T381" i="3"/>
  <c r="S381" i="3"/>
  <c r="R381" i="3"/>
  <c r="Q381" i="3"/>
  <c r="P381" i="3"/>
  <c r="O381" i="3"/>
  <c r="N381" i="3"/>
  <c r="M381" i="3"/>
  <c r="L381" i="3"/>
  <c r="K381" i="3"/>
  <c r="J381" i="3"/>
  <c r="I381" i="3"/>
  <c r="H381" i="3"/>
  <c r="G381" i="3"/>
  <c r="F381" i="3"/>
  <c r="E381" i="3"/>
  <c r="D381" i="3"/>
  <c r="C381" i="3"/>
  <c r="B381" i="3"/>
  <c r="A381" i="3"/>
  <c r="Z380" i="3"/>
  <c r="Y380" i="3"/>
  <c r="X380" i="3"/>
  <c r="W380" i="3"/>
  <c r="V380" i="3"/>
  <c r="U380" i="3"/>
  <c r="T380" i="3"/>
  <c r="S380" i="3"/>
  <c r="R380" i="3"/>
  <c r="Q380" i="3"/>
  <c r="P380" i="3"/>
  <c r="O380" i="3"/>
  <c r="N380" i="3"/>
  <c r="M380" i="3"/>
  <c r="L380" i="3"/>
  <c r="K380" i="3"/>
  <c r="J380" i="3"/>
  <c r="I380" i="3"/>
  <c r="H380" i="3"/>
  <c r="G380" i="3"/>
  <c r="F380" i="3"/>
  <c r="E380" i="3"/>
  <c r="D380" i="3"/>
  <c r="C380" i="3"/>
  <c r="B380" i="3"/>
  <c r="A380" i="3"/>
  <c r="Z379" i="3"/>
  <c r="Y379" i="3"/>
  <c r="X379" i="3"/>
  <c r="W379" i="3"/>
  <c r="V379" i="3"/>
  <c r="U379" i="3"/>
  <c r="T379" i="3"/>
  <c r="S379" i="3"/>
  <c r="R379" i="3"/>
  <c r="Q379" i="3"/>
  <c r="P379" i="3"/>
  <c r="O379" i="3"/>
  <c r="N379" i="3"/>
  <c r="M379" i="3"/>
  <c r="L379" i="3"/>
  <c r="K379" i="3"/>
  <c r="J379" i="3"/>
  <c r="I379" i="3"/>
  <c r="H379" i="3"/>
  <c r="G379" i="3"/>
  <c r="F379" i="3"/>
  <c r="E379" i="3"/>
  <c r="D379" i="3"/>
  <c r="C379" i="3"/>
  <c r="B379" i="3"/>
  <c r="A379" i="3"/>
  <c r="Z378" i="3"/>
  <c r="Y378" i="3"/>
  <c r="X378" i="3"/>
  <c r="W378" i="3"/>
  <c r="V378" i="3"/>
  <c r="U378" i="3"/>
  <c r="T378" i="3"/>
  <c r="S378" i="3"/>
  <c r="R378" i="3"/>
  <c r="Q378" i="3"/>
  <c r="P378" i="3"/>
  <c r="O378" i="3"/>
  <c r="N378" i="3"/>
  <c r="M378" i="3"/>
  <c r="L378" i="3"/>
  <c r="K378" i="3"/>
  <c r="J378" i="3"/>
  <c r="I378" i="3"/>
  <c r="H378" i="3"/>
  <c r="G378" i="3"/>
  <c r="F378" i="3"/>
  <c r="E378" i="3"/>
  <c r="D378" i="3"/>
  <c r="C378" i="3"/>
  <c r="B378" i="3"/>
  <c r="A378" i="3"/>
  <c r="Z377" i="3"/>
  <c r="Y377" i="3"/>
  <c r="X377" i="3"/>
  <c r="W377" i="3"/>
  <c r="V377" i="3"/>
  <c r="U377" i="3"/>
  <c r="T377" i="3"/>
  <c r="S377" i="3"/>
  <c r="R377" i="3"/>
  <c r="Q377" i="3"/>
  <c r="P377" i="3"/>
  <c r="O377" i="3"/>
  <c r="N377" i="3"/>
  <c r="M377" i="3"/>
  <c r="L377" i="3"/>
  <c r="K377" i="3"/>
  <c r="J377" i="3"/>
  <c r="I377" i="3"/>
  <c r="H377" i="3"/>
  <c r="G377" i="3"/>
  <c r="F377" i="3"/>
  <c r="E377" i="3"/>
  <c r="D377" i="3"/>
  <c r="C377" i="3"/>
  <c r="B377" i="3"/>
  <c r="A377" i="3"/>
  <c r="Z376" i="3"/>
  <c r="Y376" i="3"/>
  <c r="X376" i="3"/>
  <c r="W376" i="3"/>
  <c r="V376" i="3"/>
  <c r="U376" i="3"/>
  <c r="T376" i="3"/>
  <c r="S376" i="3"/>
  <c r="R376" i="3"/>
  <c r="Q376" i="3"/>
  <c r="P376" i="3"/>
  <c r="O376" i="3"/>
  <c r="N376" i="3"/>
  <c r="M376" i="3"/>
  <c r="L376" i="3"/>
  <c r="K376" i="3"/>
  <c r="J376" i="3"/>
  <c r="I376" i="3"/>
  <c r="H376" i="3"/>
  <c r="G376" i="3"/>
  <c r="F376" i="3"/>
  <c r="E376" i="3"/>
  <c r="D376" i="3"/>
  <c r="C376" i="3"/>
  <c r="B376" i="3"/>
  <c r="A376" i="3"/>
  <c r="Z375" i="3"/>
  <c r="Y375" i="3"/>
  <c r="X375" i="3"/>
  <c r="W375" i="3"/>
  <c r="V375" i="3"/>
  <c r="U375" i="3"/>
  <c r="T375" i="3"/>
  <c r="S375" i="3"/>
  <c r="R375" i="3"/>
  <c r="Q375" i="3"/>
  <c r="P375" i="3"/>
  <c r="O375" i="3"/>
  <c r="N375" i="3"/>
  <c r="M375" i="3"/>
  <c r="L375" i="3"/>
  <c r="K375" i="3"/>
  <c r="J375" i="3"/>
  <c r="I375" i="3"/>
  <c r="H375" i="3"/>
  <c r="G375" i="3"/>
  <c r="F375" i="3"/>
  <c r="E375" i="3"/>
  <c r="D375" i="3"/>
  <c r="C375" i="3"/>
  <c r="B375" i="3"/>
  <c r="A375" i="3"/>
  <c r="Z374" i="3"/>
  <c r="Y374" i="3"/>
  <c r="X374" i="3"/>
  <c r="W374" i="3"/>
  <c r="V374" i="3"/>
  <c r="U374" i="3"/>
  <c r="T374" i="3"/>
  <c r="S374" i="3"/>
  <c r="R374" i="3"/>
  <c r="Q374" i="3"/>
  <c r="P374" i="3"/>
  <c r="O374" i="3"/>
  <c r="N374" i="3"/>
  <c r="M374" i="3"/>
  <c r="L374" i="3"/>
  <c r="K374" i="3"/>
  <c r="J374" i="3"/>
  <c r="I374" i="3"/>
  <c r="H374" i="3"/>
  <c r="G374" i="3"/>
  <c r="F374" i="3"/>
  <c r="E374" i="3"/>
  <c r="D374" i="3"/>
  <c r="C374" i="3"/>
  <c r="B374" i="3"/>
  <c r="A374" i="3"/>
  <c r="Z373" i="3"/>
  <c r="Y373" i="3"/>
  <c r="X373" i="3"/>
  <c r="W373" i="3"/>
  <c r="V373" i="3"/>
  <c r="U373" i="3"/>
  <c r="T373" i="3"/>
  <c r="S373" i="3"/>
  <c r="R373" i="3"/>
  <c r="Q373" i="3"/>
  <c r="P373" i="3"/>
  <c r="O373" i="3"/>
  <c r="N373" i="3"/>
  <c r="M373" i="3"/>
  <c r="L373" i="3"/>
  <c r="K373" i="3"/>
  <c r="J373" i="3"/>
  <c r="I373" i="3"/>
  <c r="H373" i="3"/>
  <c r="G373" i="3"/>
  <c r="F373" i="3"/>
  <c r="E373" i="3"/>
  <c r="D373" i="3"/>
  <c r="C373" i="3"/>
  <c r="B373" i="3"/>
  <c r="A373" i="3"/>
  <c r="Z372" i="3"/>
  <c r="Y372" i="3"/>
  <c r="X372" i="3"/>
  <c r="W372" i="3"/>
  <c r="V372" i="3"/>
  <c r="U372" i="3"/>
  <c r="T372" i="3"/>
  <c r="S372" i="3"/>
  <c r="R372" i="3"/>
  <c r="Q372" i="3"/>
  <c r="P372" i="3"/>
  <c r="O372" i="3"/>
  <c r="N372" i="3"/>
  <c r="M372" i="3"/>
  <c r="L372" i="3"/>
  <c r="K372" i="3"/>
  <c r="J372" i="3"/>
  <c r="I372" i="3"/>
  <c r="H372" i="3"/>
  <c r="G372" i="3"/>
  <c r="F372" i="3"/>
  <c r="E372" i="3"/>
  <c r="D372" i="3"/>
  <c r="C372" i="3"/>
  <c r="B372" i="3"/>
  <c r="A372" i="3"/>
  <c r="Z371" i="3"/>
  <c r="Y371" i="3"/>
  <c r="X371" i="3"/>
  <c r="W371" i="3"/>
  <c r="V371" i="3"/>
  <c r="U371" i="3"/>
  <c r="T371" i="3"/>
  <c r="S371" i="3"/>
  <c r="R371" i="3"/>
  <c r="Q371" i="3"/>
  <c r="P371" i="3"/>
  <c r="O371" i="3"/>
  <c r="N371" i="3"/>
  <c r="M371" i="3"/>
  <c r="L371" i="3"/>
  <c r="K371" i="3"/>
  <c r="J371" i="3"/>
  <c r="I371" i="3"/>
  <c r="H371" i="3"/>
  <c r="G371" i="3"/>
  <c r="F371" i="3"/>
  <c r="E371" i="3"/>
  <c r="D371" i="3"/>
  <c r="C371" i="3"/>
  <c r="B371" i="3"/>
  <c r="A371" i="3"/>
  <c r="Z370" i="3"/>
  <c r="Y370" i="3"/>
  <c r="X370" i="3"/>
  <c r="W370" i="3"/>
  <c r="V370" i="3"/>
  <c r="U370" i="3"/>
  <c r="T370" i="3"/>
  <c r="S370" i="3"/>
  <c r="R370" i="3"/>
  <c r="Q370" i="3"/>
  <c r="P370" i="3"/>
  <c r="O370" i="3"/>
  <c r="N370" i="3"/>
  <c r="M370" i="3"/>
  <c r="L370" i="3"/>
  <c r="K370" i="3"/>
  <c r="J370" i="3"/>
  <c r="I370" i="3"/>
  <c r="H370" i="3"/>
  <c r="G370" i="3"/>
  <c r="F370" i="3"/>
  <c r="E370" i="3"/>
  <c r="D370" i="3"/>
  <c r="C370" i="3"/>
  <c r="B370" i="3"/>
  <c r="A370" i="3"/>
  <c r="Z369" i="3"/>
  <c r="Y369" i="3"/>
  <c r="X369" i="3"/>
  <c r="W369" i="3"/>
  <c r="V369" i="3"/>
  <c r="U369" i="3"/>
  <c r="T369" i="3"/>
  <c r="S369" i="3"/>
  <c r="R369" i="3"/>
  <c r="Q369" i="3"/>
  <c r="P369" i="3"/>
  <c r="O369" i="3"/>
  <c r="N369" i="3"/>
  <c r="M369" i="3"/>
  <c r="L369" i="3"/>
  <c r="K369" i="3"/>
  <c r="J369" i="3"/>
  <c r="I369" i="3"/>
  <c r="H369" i="3"/>
  <c r="G369" i="3"/>
  <c r="F369" i="3"/>
  <c r="E369" i="3"/>
  <c r="D369" i="3"/>
  <c r="C369" i="3"/>
  <c r="B369" i="3"/>
  <c r="A369" i="3"/>
  <c r="Z368" i="3"/>
  <c r="Y368" i="3"/>
  <c r="X368" i="3"/>
  <c r="W368" i="3"/>
  <c r="V368" i="3"/>
  <c r="U368" i="3"/>
  <c r="T368" i="3"/>
  <c r="S368" i="3"/>
  <c r="R368" i="3"/>
  <c r="Q368" i="3"/>
  <c r="P368" i="3"/>
  <c r="O368" i="3"/>
  <c r="N368" i="3"/>
  <c r="M368" i="3"/>
  <c r="L368" i="3"/>
  <c r="K368" i="3"/>
  <c r="J368" i="3"/>
  <c r="I368" i="3"/>
  <c r="H368" i="3"/>
  <c r="G368" i="3"/>
  <c r="F368" i="3"/>
  <c r="E368" i="3"/>
  <c r="D368" i="3"/>
  <c r="C368" i="3"/>
  <c r="B368" i="3"/>
  <c r="A368" i="3"/>
  <c r="Z367" i="3"/>
  <c r="Y367" i="3"/>
  <c r="X367" i="3"/>
  <c r="W367" i="3"/>
  <c r="V367" i="3"/>
  <c r="U367" i="3"/>
  <c r="T367" i="3"/>
  <c r="S367" i="3"/>
  <c r="R367" i="3"/>
  <c r="Q367" i="3"/>
  <c r="P367" i="3"/>
  <c r="O367" i="3"/>
  <c r="N367" i="3"/>
  <c r="M367" i="3"/>
  <c r="L367" i="3"/>
  <c r="K367" i="3"/>
  <c r="J367" i="3"/>
  <c r="I367" i="3"/>
  <c r="H367" i="3"/>
  <c r="G367" i="3"/>
  <c r="F367" i="3"/>
  <c r="E367" i="3"/>
  <c r="D367" i="3"/>
  <c r="C367" i="3"/>
  <c r="B367" i="3"/>
  <c r="A367" i="3"/>
  <c r="Z366" i="3"/>
  <c r="Y366" i="3"/>
  <c r="X366" i="3"/>
  <c r="W366" i="3"/>
  <c r="V366" i="3"/>
  <c r="U366" i="3"/>
  <c r="T366" i="3"/>
  <c r="S366" i="3"/>
  <c r="R366" i="3"/>
  <c r="Q366" i="3"/>
  <c r="P366" i="3"/>
  <c r="O366" i="3"/>
  <c r="N366" i="3"/>
  <c r="M366" i="3"/>
  <c r="L366" i="3"/>
  <c r="K366" i="3"/>
  <c r="J366" i="3"/>
  <c r="I366" i="3"/>
  <c r="H366" i="3"/>
  <c r="G366" i="3"/>
  <c r="F366" i="3"/>
  <c r="E366" i="3"/>
  <c r="D366" i="3"/>
  <c r="C366" i="3"/>
  <c r="B366" i="3"/>
  <c r="A366" i="3"/>
  <c r="Z365" i="3"/>
  <c r="Y365" i="3"/>
  <c r="X365" i="3"/>
  <c r="W365" i="3"/>
  <c r="V365" i="3"/>
  <c r="U365" i="3"/>
  <c r="T365" i="3"/>
  <c r="S365" i="3"/>
  <c r="R365" i="3"/>
  <c r="Q365" i="3"/>
  <c r="P365" i="3"/>
  <c r="O365" i="3"/>
  <c r="N365" i="3"/>
  <c r="M365" i="3"/>
  <c r="L365" i="3"/>
  <c r="K365" i="3"/>
  <c r="J365" i="3"/>
  <c r="I365" i="3"/>
  <c r="H365" i="3"/>
  <c r="G365" i="3"/>
  <c r="F365" i="3"/>
  <c r="E365" i="3"/>
  <c r="D365" i="3"/>
  <c r="C365" i="3"/>
  <c r="B365" i="3"/>
  <c r="A365" i="3"/>
  <c r="Z364" i="3"/>
  <c r="Y364" i="3"/>
  <c r="X364" i="3"/>
  <c r="W364" i="3"/>
  <c r="V364" i="3"/>
  <c r="U364" i="3"/>
  <c r="T364" i="3"/>
  <c r="S364" i="3"/>
  <c r="R364" i="3"/>
  <c r="Q364" i="3"/>
  <c r="P364" i="3"/>
  <c r="O364" i="3"/>
  <c r="N364" i="3"/>
  <c r="M364" i="3"/>
  <c r="L364" i="3"/>
  <c r="K364" i="3"/>
  <c r="J364" i="3"/>
  <c r="I364" i="3"/>
  <c r="H364" i="3"/>
  <c r="G364" i="3"/>
  <c r="F364" i="3"/>
  <c r="E364" i="3"/>
  <c r="D364" i="3"/>
  <c r="C364" i="3"/>
  <c r="B364" i="3"/>
  <c r="A364" i="3"/>
  <c r="Z363" i="3"/>
  <c r="Y363" i="3"/>
  <c r="X363" i="3"/>
  <c r="W363" i="3"/>
  <c r="V363" i="3"/>
  <c r="U363" i="3"/>
  <c r="T363" i="3"/>
  <c r="S363" i="3"/>
  <c r="R363" i="3"/>
  <c r="Q363" i="3"/>
  <c r="P363" i="3"/>
  <c r="O363" i="3"/>
  <c r="N363" i="3"/>
  <c r="M363" i="3"/>
  <c r="L363" i="3"/>
  <c r="K363" i="3"/>
  <c r="J363" i="3"/>
  <c r="I363" i="3"/>
  <c r="H363" i="3"/>
  <c r="G363" i="3"/>
  <c r="F363" i="3"/>
  <c r="E363" i="3"/>
  <c r="D363" i="3"/>
  <c r="C363" i="3"/>
  <c r="B363" i="3"/>
  <c r="A363" i="3"/>
  <c r="Z362" i="3"/>
  <c r="Y362" i="3"/>
  <c r="X362" i="3"/>
  <c r="W362" i="3"/>
  <c r="V362" i="3"/>
  <c r="U362" i="3"/>
  <c r="T362" i="3"/>
  <c r="S362" i="3"/>
  <c r="R362" i="3"/>
  <c r="Q362" i="3"/>
  <c r="P362" i="3"/>
  <c r="O362" i="3"/>
  <c r="N362" i="3"/>
  <c r="M362" i="3"/>
  <c r="L362" i="3"/>
  <c r="K362" i="3"/>
  <c r="J362" i="3"/>
  <c r="I362" i="3"/>
  <c r="H362" i="3"/>
  <c r="G362" i="3"/>
  <c r="F362" i="3"/>
  <c r="E362" i="3"/>
  <c r="D362" i="3"/>
  <c r="C362" i="3"/>
  <c r="B362" i="3"/>
  <c r="A362" i="3"/>
  <c r="Z361" i="3"/>
  <c r="Y361" i="3"/>
  <c r="X361" i="3"/>
  <c r="W361" i="3"/>
  <c r="V361" i="3"/>
  <c r="U361" i="3"/>
  <c r="T361" i="3"/>
  <c r="S361" i="3"/>
  <c r="R361" i="3"/>
  <c r="Q361" i="3"/>
  <c r="P361" i="3"/>
  <c r="O361" i="3"/>
  <c r="N361" i="3"/>
  <c r="M361" i="3"/>
  <c r="L361" i="3"/>
  <c r="K361" i="3"/>
  <c r="J361" i="3"/>
  <c r="I361" i="3"/>
  <c r="H361" i="3"/>
  <c r="G361" i="3"/>
  <c r="F361" i="3"/>
  <c r="E361" i="3"/>
  <c r="D361" i="3"/>
  <c r="C361" i="3"/>
  <c r="B361" i="3"/>
  <c r="A361" i="3"/>
  <c r="Z360" i="3"/>
  <c r="Y360" i="3"/>
  <c r="X360" i="3"/>
  <c r="W360" i="3"/>
  <c r="V360" i="3"/>
  <c r="U360" i="3"/>
  <c r="T360" i="3"/>
  <c r="S360" i="3"/>
  <c r="R360" i="3"/>
  <c r="Q360" i="3"/>
  <c r="P360" i="3"/>
  <c r="O360" i="3"/>
  <c r="N360" i="3"/>
  <c r="M360" i="3"/>
  <c r="L360" i="3"/>
  <c r="K360" i="3"/>
  <c r="J360" i="3"/>
  <c r="I360" i="3"/>
  <c r="H360" i="3"/>
  <c r="G360" i="3"/>
  <c r="F360" i="3"/>
  <c r="E360" i="3"/>
  <c r="D360" i="3"/>
  <c r="C360" i="3"/>
  <c r="B360" i="3"/>
  <c r="A360" i="3"/>
  <c r="Z359" i="3"/>
  <c r="Y359" i="3"/>
  <c r="X359" i="3"/>
  <c r="W359" i="3"/>
  <c r="V359" i="3"/>
  <c r="U359" i="3"/>
  <c r="T359" i="3"/>
  <c r="S359" i="3"/>
  <c r="R359" i="3"/>
  <c r="Q359" i="3"/>
  <c r="P359" i="3"/>
  <c r="O359" i="3"/>
  <c r="N359" i="3"/>
  <c r="M359" i="3"/>
  <c r="L359" i="3"/>
  <c r="K359" i="3"/>
  <c r="J359" i="3"/>
  <c r="I359" i="3"/>
  <c r="H359" i="3"/>
  <c r="G359" i="3"/>
  <c r="F359" i="3"/>
  <c r="E359" i="3"/>
  <c r="D359" i="3"/>
  <c r="C359" i="3"/>
  <c r="B359" i="3"/>
  <c r="A359" i="3"/>
  <c r="Z358" i="3"/>
  <c r="Y358" i="3"/>
  <c r="X358" i="3"/>
  <c r="W358" i="3"/>
  <c r="V358" i="3"/>
  <c r="U358" i="3"/>
  <c r="T358" i="3"/>
  <c r="S358" i="3"/>
  <c r="R358" i="3"/>
  <c r="Q358" i="3"/>
  <c r="P358" i="3"/>
  <c r="O358" i="3"/>
  <c r="N358" i="3"/>
  <c r="M358" i="3"/>
  <c r="L358" i="3"/>
  <c r="K358" i="3"/>
  <c r="J358" i="3"/>
  <c r="I358" i="3"/>
  <c r="H358" i="3"/>
  <c r="G358" i="3"/>
  <c r="F358" i="3"/>
  <c r="E358" i="3"/>
  <c r="D358" i="3"/>
  <c r="C358" i="3"/>
  <c r="B358" i="3"/>
  <c r="A358" i="3"/>
  <c r="Z357" i="3"/>
  <c r="Y357" i="3"/>
  <c r="X357" i="3"/>
  <c r="W357" i="3"/>
  <c r="V357" i="3"/>
  <c r="U357" i="3"/>
  <c r="T357" i="3"/>
  <c r="S357" i="3"/>
  <c r="R357" i="3"/>
  <c r="Q357" i="3"/>
  <c r="P357" i="3"/>
  <c r="O357" i="3"/>
  <c r="N357" i="3"/>
  <c r="M357" i="3"/>
  <c r="L357" i="3"/>
  <c r="K357" i="3"/>
  <c r="J357" i="3"/>
  <c r="I357" i="3"/>
  <c r="H357" i="3"/>
  <c r="G357" i="3"/>
  <c r="F357" i="3"/>
  <c r="E357" i="3"/>
  <c r="D357" i="3"/>
  <c r="C357" i="3"/>
  <c r="B357" i="3"/>
  <c r="A357" i="3"/>
  <c r="Z356" i="3"/>
  <c r="Y356" i="3"/>
  <c r="X356" i="3"/>
  <c r="W356" i="3"/>
  <c r="V356" i="3"/>
  <c r="U356" i="3"/>
  <c r="T356" i="3"/>
  <c r="S356" i="3"/>
  <c r="R356" i="3"/>
  <c r="Q356" i="3"/>
  <c r="P356" i="3"/>
  <c r="O356" i="3"/>
  <c r="N356" i="3"/>
  <c r="M356" i="3"/>
  <c r="L356" i="3"/>
  <c r="K356" i="3"/>
  <c r="J356" i="3"/>
  <c r="I356" i="3"/>
  <c r="H356" i="3"/>
  <c r="G356" i="3"/>
  <c r="F356" i="3"/>
  <c r="E356" i="3"/>
  <c r="D356" i="3"/>
  <c r="C356" i="3"/>
  <c r="B356" i="3"/>
  <c r="A356" i="3"/>
  <c r="Z355" i="3"/>
  <c r="Y355" i="3"/>
  <c r="X355" i="3"/>
  <c r="W355" i="3"/>
  <c r="V355" i="3"/>
  <c r="U355" i="3"/>
  <c r="T355" i="3"/>
  <c r="S355" i="3"/>
  <c r="R355" i="3"/>
  <c r="Q355" i="3"/>
  <c r="P355" i="3"/>
  <c r="O355" i="3"/>
  <c r="N355" i="3"/>
  <c r="M355" i="3"/>
  <c r="L355" i="3"/>
  <c r="K355" i="3"/>
  <c r="J355" i="3"/>
  <c r="I355" i="3"/>
  <c r="H355" i="3"/>
  <c r="G355" i="3"/>
  <c r="F355" i="3"/>
  <c r="E355" i="3"/>
  <c r="D355" i="3"/>
  <c r="C355" i="3"/>
  <c r="B355" i="3"/>
  <c r="A355" i="3"/>
  <c r="Z354" i="3"/>
  <c r="Y354" i="3"/>
  <c r="X354" i="3"/>
  <c r="W354" i="3"/>
  <c r="V354" i="3"/>
  <c r="U354" i="3"/>
  <c r="T354" i="3"/>
  <c r="S354" i="3"/>
  <c r="R354" i="3"/>
  <c r="Q354" i="3"/>
  <c r="P354" i="3"/>
  <c r="O354" i="3"/>
  <c r="N354" i="3"/>
  <c r="M354" i="3"/>
  <c r="L354" i="3"/>
  <c r="K354" i="3"/>
  <c r="J354" i="3"/>
  <c r="I354" i="3"/>
  <c r="H354" i="3"/>
  <c r="G354" i="3"/>
  <c r="F354" i="3"/>
  <c r="E354" i="3"/>
  <c r="D354" i="3"/>
  <c r="C354" i="3"/>
  <c r="B354" i="3"/>
  <c r="A354" i="3"/>
  <c r="Z353" i="3"/>
  <c r="Y353" i="3"/>
  <c r="X353" i="3"/>
  <c r="W353" i="3"/>
  <c r="V353" i="3"/>
  <c r="U353" i="3"/>
  <c r="T353" i="3"/>
  <c r="S353" i="3"/>
  <c r="R353" i="3"/>
  <c r="Q353" i="3"/>
  <c r="P353" i="3"/>
  <c r="O353" i="3"/>
  <c r="N353" i="3"/>
  <c r="M353" i="3"/>
  <c r="L353" i="3"/>
  <c r="K353" i="3"/>
  <c r="J353" i="3"/>
  <c r="I353" i="3"/>
  <c r="H353" i="3"/>
  <c r="G353" i="3"/>
  <c r="F353" i="3"/>
  <c r="E353" i="3"/>
  <c r="D353" i="3"/>
  <c r="C353" i="3"/>
  <c r="B353" i="3"/>
  <c r="A353" i="3"/>
  <c r="Z352" i="3"/>
  <c r="Y352" i="3"/>
  <c r="X352" i="3"/>
  <c r="W352" i="3"/>
  <c r="V352" i="3"/>
  <c r="U352" i="3"/>
  <c r="T352" i="3"/>
  <c r="S352" i="3"/>
  <c r="R352" i="3"/>
  <c r="Q352" i="3"/>
  <c r="P352" i="3"/>
  <c r="O352" i="3"/>
  <c r="N352" i="3"/>
  <c r="M352" i="3"/>
  <c r="L352" i="3"/>
  <c r="K352" i="3"/>
  <c r="J352" i="3"/>
  <c r="I352" i="3"/>
  <c r="H352" i="3"/>
  <c r="G352" i="3"/>
  <c r="F352" i="3"/>
  <c r="E352" i="3"/>
  <c r="D352" i="3"/>
  <c r="C352" i="3"/>
  <c r="B352" i="3"/>
  <c r="A352" i="3"/>
  <c r="Z351" i="3"/>
  <c r="Y351" i="3"/>
  <c r="X351" i="3"/>
  <c r="W351" i="3"/>
  <c r="V351" i="3"/>
  <c r="U351" i="3"/>
  <c r="T351" i="3"/>
  <c r="S351" i="3"/>
  <c r="R351" i="3"/>
  <c r="Q351" i="3"/>
  <c r="P351" i="3"/>
  <c r="O351" i="3"/>
  <c r="N351" i="3"/>
  <c r="M351" i="3"/>
  <c r="L351" i="3"/>
  <c r="K351" i="3"/>
  <c r="J351" i="3"/>
  <c r="I351" i="3"/>
  <c r="H351" i="3"/>
  <c r="G351" i="3"/>
  <c r="F351" i="3"/>
  <c r="E351" i="3"/>
  <c r="D351" i="3"/>
  <c r="C351" i="3"/>
  <c r="B351" i="3"/>
  <c r="A351" i="3"/>
  <c r="Z350" i="3"/>
  <c r="Y350" i="3"/>
  <c r="X350" i="3"/>
  <c r="W350" i="3"/>
  <c r="V350" i="3"/>
  <c r="U350" i="3"/>
  <c r="T350" i="3"/>
  <c r="S350" i="3"/>
  <c r="R350" i="3"/>
  <c r="Q350" i="3"/>
  <c r="P350" i="3"/>
  <c r="O350" i="3"/>
  <c r="N350" i="3"/>
  <c r="M350" i="3"/>
  <c r="L350" i="3"/>
  <c r="K350" i="3"/>
  <c r="J350" i="3"/>
  <c r="I350" i="3"/>
  <c r="H350" i="3"/>
  <c r="G350" i="3"/>
  <c r="F350" i="3"/>
  <c r="E350" i="3"/>
  <c r="D350" i="3"/>
  <c r="C350" i="3"/>
  <c r="B350" i="3"/>
  <c r="A350" i="3"/>
  <c r="Z349" i="3"/>
  <c r="Y349" i="3"/>
  <c r="X349" i="3"/>
  <c r="W349" i="3"/>
  <c r="V349" i="3"/>
  <c r="U349" i="3"/>
  <c r="T349" i="3"/>
  <c r="S349" i="3"/>
  <c r="R349" i="3"/>
  <c r="Q349" i="3"/>
  <c r="P349" i="3"/>
  <c r="O349" i="3"/>
  <c r="N349" i="3"/>
  <c r="M349" i="3"/>
  <c r="L349" i="3"/>
  <c r="K349" i="3"/>
  <c r="J349" i="3"/>
  <c r="I349" i="3"/>
  <c r="H349" i="3"/>
  <c r="G349" i="3"/>
  <c r="F349" i="3"/>
  <c r="E349" i="3"/>
  <c r="D349" i="3"/>
  <c r="C349" i="3"/>
  <c r="B349" i="3"/>
  <c r="A349" i="3"/>
  <c r="Z348" i="3"/>
  <c r="Y348" i="3"/>
  <c r="X348" i="3"/>
  <c r="W348" i="3"/>
  <c r="V348" i="3"/>
  <c r="U348" i="3"/>
  <c r="T348" i="3"/>
  <c r="S348" i="3"/>
  <c r="R348" i="3"/>
  <c r="Q348" i="3"/>
  <c r="P348" i="3"/>
  <c r="O348" i="3"/>
  <c r="N348" i="3"/>
  <c r="M348" i="3"/>
  <c r="L348" i="3"/>
  <c r="K348" i="3"/>
  <c r="J348" i="3"/>
  <c r="I348" i="3"/>
  <c r="H348" i="3"/>
  <c r="G348" i="3"/>
  <c r="F348" i="3"/>
  <c r="E348" i="3"/>
  <c r="D348" i="3"/>
  <c r="C348" i="3"/>
  <c r="B348" i="3"/>
  <c r="A348" i="3"/>
  <c r="Z347" i="3"/>
  <c r="Y347" i="3"/>
  <c r="X347" i="3"/>
  <c r="W347" i="3"/>
  <c r="V347" i="3"/>
  <c r="U347" i="3"/>
  <c r="T347" i="3"/>
  <c r="S347" i="3"/>
  <c r="R347" i="3"/>
  <c r="Q347" i="3"/>
  <c r="P347" i="3"/>
  <c r="O347" i="3"/>
  <c r="N347" i="3"/>
  <c r="M347" i="3"/>
  <c r="L347" i="3"/>
  <c r="K347" i="3"/>
  <c r="J347" i="3"/>
  <c r="I347" i="3"/>
  <c r="H347" i="3"/>
  <c r="G347" i="3"/>
  <c r="F347" i="3"/>
  <c r="E347" i="3"/>
  <c r="D347" i="3"/>
  <c r="C347" i="3"/>
  <c r="B347" i="3"/>
  <c r="A347" i="3"/>
  <c r="Z346" i="3"/>
  <c r="Y346" i="3"/>
  <c r="X346" i="3"/>
  <c r="W346" i="3"/>
  <c r="V346" i="3"/>
  <c r="U346" i="3"/>
  <c r="T346" i="3"/>
  <c r="S346" i="3"/>
  <c r="R346" i="3"/>
  <c r="Q346" i="3"/>
  <c r="P346" i="3"/>
  <c r="O346" i="3"/>
  <c r="N346" i="3"/>
  <c r="M346" i="3"/>
  <c r="L346" i="3"/>
  <c r="K346" i="3"/>
  <c r="J346" i="3"/>
  <c r="I346" i="3"/>
  <c r="H346" i="3"/>
  <c r="G346" i="3"/>
  <c r="F346" i="3"/>
  <c r="E346" i="3"/>
  <c r="D346" i="3"/>
  <c r="C346" i="3"/>
  <c r="B346" i="3"/>
  <c r="A346" i="3"/>
  <c r="Z345" i="3"/>
  <c r="Y345" i="3"/>
  <c r="X345" i="3"/>
  <c r="W345" i="3"/>
  <c r="V345" i="3"/>
  <c r="U345" i="3"/>
  <c r="T345" i="3"/>
  <c r="S345" i="3"/>
  <c r="R345" i="3"/>
  <c r="Q345" i="3"/>
  <c r="P345" i="3"/>
  <c r="O345" i="3"/>
  <c r="N345" i="3"/>
  <c r="M345" i="3"/>
  <c r="L345" i="3"/>
  <c r="K345" i="3"/>
  <c r="J345" i="3"/>
  <c r="I345" i="3"/>
  <c r="H345" i="3"/>
  <c r="G345" i="3"/>
  <c r="F345" i="3"/>
  <c r="E345" i="3"/>
  <c r="D345" i="3"/>
  <c r="C345" i="3"/>
  <c r="B345" i="3"/>
  <c r="A345" i="3"/>
  <c r="Z344" i="3"/>
  <c r="Y344" i="3"/>
  <c r="X344" i="3"/>
  <c r="W344" i="3"/>
  <c r="V344" i="3"/>
  <c r="U344" i="3"/>
  <c r="T344" i="3"/>
  <c r="S344" i="3"/>
  <c r="R344" i="3"/>
  <c r="Q344" i="3"/>
  <c r="P344" i="3"/>
  <c r="O344" i="3"/>
  <c r="N344" i="3"/>
  <c r="M344" i="3"/>
  <c r="L344" i="3"/>
  <c r="K344" i="3"/>
  <c r="J344" i="3"/>
  <c r="I344" i="3"/>
  <c r="H344" i="3"/>
  <c r="G344" i="3"/>
  <c r="F344" i="3"/>
  <c r="E344" i="3"/>
  <c r="D344" i="3"/>
  <c r="C344" i="3"/>
  <c r="B344" i="3"/>
  <c r="A344" i="3"/>
  <c r="Z343" i="3"/>
  <c r="Y343" i="3"/>
  <c r="X343" i="3"/>
  <c r="W343" i="3"/>
  <c r="V343" i="3"/>
  <c r="U343" i="3"/>
  <c r="T343" i="3"/>
  <c r="S343" i="3"/>
  <c r="R343" i="3"/>
  <c r="Q343" i="3"/>
  <c r="P343" i="3"/>
  <c r="O343" i="3"/>
  <c r="N343" i="3"/>
  <c r="M343" i="3"/>
  <c r="L343" i="3"/>
  <c r="K343" i="3"/>
  <c r="J343" i="3"/>
  <c r="I343" i="3"/>
  <c r="H343" i="3"/>
  <c r="G343" i="3"/>
  <c r="F343" i="3"/>
  <c r="E343" i="3"/>
  <c r="D343" i="3"/>
  <c r="C343" i="3"/>
  <c r="B343" i="3"/>
  <c r="A343" i="3"/>
  <c r="Z342" i="3"/>
  <c r="Y342" i="3"/>
  <c r="X342" i="3"/>
  <c r="W342" i="3"/>
  <c r="V342" i="3"/>
  <c r="U342" i="3"/>
  <c r="T342" i="3"/>
  <c r="S342" i="3"/>
  <c r="R342" i="3"/>
  <c r="Q342" i="3"/>
  <c r="P342" i="3"/>
  <c r="O342" i="3"/>
  <c r="N342" i="3"/>
  <c r="M342" i="3"/>
  <c r="L342" i="3"/>
  <c r="K342" i="3"/>
  <c r="J342" i="3"/>
  <c r="I342" i="3"/>
  <c r="H342" i="3"/>
  <c r="G342" i="3"/>
  <c r="F342" i="3"/>
  <c r="E342" i="3"/>
  <c r="D342" i="3"/>
  <c r="C342" i="3"/>
  <c r="B342" i="3"/>
  <c r="A342" i="3"/>
  <c r="Z341" i="3"/>
  <c r="Y341" i="3"/>
  <c r="X341" i="3"/>
  <c r="W341" i="3"/>
  <c r="V341" i="3"/>
  <c r="U341" i="3"/>
  <c r="T341" i="3"/>
  <c r="S341" i="3"/>
  <c r="R341" i="3"/>
  <c r="Q341" i="3"/>
  <c r="P341" i="3"/>
  <c r="O341" i="3"/>
  <c r="N341" i="3"/>
  <c r="M341" i="3"/>
  <c r="L341" i="3"/>
  <c r="K341" i="3"/>
  <c r="J341" i="3"/>
  <c r="I341" i="3"/>
  <c r="H341" i="3"/>
  <c r="G341" i="3"/>
  <c r="F341" i="3"/>
  <c r="E341" i="3"/>
  <c r="D341" i="3"/>
  <c r="C341" i="3"/>
  <c r="B341" i="3"/>
  <c r="A341" i="3"/>
  <c r="Z340" i="3"/>
  <c r="Y340" i="3"/>
  <c r="X340" i="3"/>
  <c r="W340" i="3"/>
  <c r="V340" i="3"/>
  <c r="U340" i="3"/>
  <c r="T340" i="3"/>
  <c r="S340" i="3"/>
  <c r="R340" i="3"/>
  <c r="Q340" i="3"/>
  <c r="P340" i="3"/>
  <c r="O340" i="3"/>
  <c r="N340" i="3"/>
  <c r="M340" i="3"/>
  <c r="L340" i="3"/>
  <c r="K340" i="3"/>
  <c r="J340" i="3"/>
  <c r="I340" i="3"/>
  <c r="H340" i="3"/>
  <c r="G340" i="3"/>
  <c r="F340" i="3"/>
  <c r="E340" i="3"/>
  <c r="D340" i="3"/>
  <c r="C340" i="3"/>
  <c r="B340" i="3"/>
  <c r="A340" i="3"/>
  <c r="Z339" i="3"/>
  <c r="Y339" i="3"/>
  <c r="X339" i="3"/>
  <c r="W339" i="3"/>
  <c r="V339" i="3"/>
  <c r="U339" i="3"/>
  <c r="T339" i="3"/>
  <c r="S339" i="3"/>
  <c r="R339" i="3"/>
  <c r="Q339" i="3"/>
  <c r="P339" i="3"/>
  <c r="O339" i="3"/>
  <c r="N339" i="3"/>
  <c r="M339" i="3"/>
  <c r="L339" i="3"/>
  <c r="K339" i="3"/>
  <c r="J339" i="3"/>
  <c r="I339" i="3"/>
  <c r="H339" i="3"/>
  <c r="G339" i="3"/>
  <c r="F339" i="3"/>
  <c r="E339" i="3"/>
  <c r="D339" i="3"/>
  <c r="C339" i="3"/>
  <c r="B339" i="3"/>
  <c r="A339" i="3"/>
  <c r="Z338" i="3"/>
  <c r="Y338" i="3"/>
  <c r="X338" i="3"/>
  <c r="W338" i="3"/>
  <c r="V338" i="3"/>
  <c r="U338" i="3"/>
  <c r="T338" i="3"/>
  <c r="S338" i="3"/>
  <c r="R338" i="3"/>
  <c r="Q338" i="3"/>
  <c r="P338" i="3"/>
  <c r="O338" i="3"/>
  <c r="N338" i="3"/>
  <c r="M338" i="3"/>
  <c r="L338" i="3"/>
  <c r="K338" i="3"/>
  <c r="J338" i="3"/>
  <c r="I338" i="3"/>
  <c r="H338" i="3"/>
  <c r="G338" i="3"/>
  <c r="F338" i="3"/>
  <c r="E338" i="3"/>
  <c r="D338" i="3"/>
  <c r="C338" i="3"/>
  <c r="B338" i="3"/>
  <c r="A338" i="3"/>
  <c r="Z337" i="3"/>
  <c r="Y337" i="3"/>
  <c r="X337" i="3"/>
  <c r="W337" i="3"/>
  <c r="V337" i="3"/>
  <c r="U337" i="3"/>
  <c r="T337" i="3"/>
  <c r="S337" i="3"/>
  <c r="R337" i="3"/>
  <c r="Q337" i="3"/>
  <c r="P337" i="3"/>
  <c r="O337" i="3"/>
  <c r="N337" i="3"/>
  <c r="M337" i="3"/>
  <c r="L337" i="3"/>
  <c r="K337" i="3"/>
  <c r="J337" i="3"/>
  <c r="I337" i="3"/>
  <c r="H337" i="3"/>
  <c r="G337" i="3"/>
  <c r="F337" i="3"/>
  <c r="E337" i="3"/>
  <c r="D337" i="3"/>
  <c r="C337" i="3"/>
  <c r="B337" i="3"/>
  <c r="A337" i="3"/>
  <c r="Z336" i="3"/>
  <c r="Y336" i="3"/>
  <c r="X336" i="3"/>
  <c r="W336" i="3"/>
  <c r="V336" i="3"/>
  <c r="U336" i="3"/>
  <c r="T336" i="3"/>
  <c r="S336" i="3"/>
  <c r="R336" i="3"/>
  <c r="Q336" i="3"/>
  <c r="P336" i="3"/>
  <c r="O336" i="3"/>
  <c r="N336" i="3"/>
  <c r="M336" i="3"/>
  <c r="L336" i="3"/>
  <c r="K336" i="3"/>
  <c r="J336" i="3"/>
  <c r="I336" i="3"/>
  <c r="H336" i="3"/>
  <c r="G336" i="3"/>
  <c r="F336" i="3"/>
  <c r="E336" i="3"/>
  <c r="D336" i="3"/>
  <c r="C336" i="3"/>
  <c r="B336" i="3"/>
  <c r="A336" i="3"/>
  <c r="Z335" i="3"/>
  <c r="Y335" i="3"/>
  <c r="X335" i="3"/>
  <c r="W335" i="3"/>
  <c r="V335" i="3"/>
  <c r="U335" i="3"/>
  <c r="T335" i="3"/>
  <c r="S335" i="3"/>
  <c r="R335" i="3"/>
  <c r="Q335" i="3"/>
  <c r="P335" i="3"/>
  <c r="O335" i="3"/>
  <c r="N335" i="3"/>
  <c r="M335" i="3"/>
  <c r="L335" i="3"/>
  <c r="K335" i="3"/>
  <c r="J335" i="3"/>
  <c r="I335" i="3"/>
  <c r="H335" i="3"/>
  <c r="G335" i="3"/>
  <c r="F335" i="3"/>
  <c r="E335" i="3"/>
  <c r="D335" i="3"/>
  <c r="C335" i="3"/>
  <c r="B335" i="3"/>
  <c r="A335" i="3"/>
  <c r="Z334" i="3"/>
  <c r="Y334" i="3"/>
  <c r="X334" i="3"/>
  <c r="W334" i="3"/>
  <c r="V334" i="3"/>
  <c r="U334" i="3"/>
  <c r="T334" i="3"/>
  <c r="S334" i="3"/>
  <c r="R334" i="3"/>
  <c r="Q334" i="3"/>
  <c r="P334" i="3"/>
  <c r="O334" i="3"/>
  <c r="N334" i="3"/>
  <c r="M334" i="3"/>
  <c r="L334" i="3"/>
  <c r="K334" i="3"/>
  <c r="J334" i="3"/>
  <c r="I334" i="3"/>
  <c r="H334" i="3"/>
  <c r="G334" i="3"/>
  <c r="F334" i="3"/>
  <c r="E334" i="3"/>
  <c r="D334" i="3"/>
  <c r="C334" i="3"/>
  <c r="B334" i="3"/>
  <c r="A334" i="3"/>
  <c r="Z333" i="3"/>
  <c r="Y333" i="3"/>
  <c r="X333" i="3"/>
  <c r="W333" i="3"/>
  <c r="V333" i="3"/>
  <c r="U333" i="3"/>
  <c r="T333" i="3"/>
  <c r="S333" i="3"/>
  <c r="R333" i="3"/>
  <c r="Q333" i="3"/>
  <c r="P333" i="3"/>
  <c r="O333" i="3"/>
  <c r="N333" i="3"/>
  <c r="M333" i="3"/>
  <c r="L333" i="3"/>
  <c r="K333" i="3"/>
  <c r="J333" i="3"/>
  <c r="I333" i="3"/>
  <c r="H333" i="3"/>
  <c r="G333" i="3"/>
  <c r="F333" i="3"/>
  <c r="E333" i="3"/>
  <c r="D333" i="3"/>
  <c r="C333" i="3"/>
  <c r="B333" i="3"/>
  <c r="A333" i="3"/>
  <c r="Z332" i="3"/>
  <c r="Y332" i="3"/>
  <c r="X332" i="3"/>
  <c r="W332" i="3"/>
  <c r="V332" i="3"/>
  <c r="U332" i="3"/>
  <c r="T332" i="3"/>
  <c r="S332" i="3"/>
  <c r="R332" i="3"/>
  <c r="Q332" i="3"/>
  <c r="P332" i="3"/>
  <c r="O332" i="3"/>
  <c r="N332" i="3"/>
  <c r="M332" i="3"/>
  <c r="L332" i="3"/>
  <c r="K332" i="3"/>
  <c r="J332" i="3"/>
  <c r="I332" i="3"/>
  <c r="H332" i="3"/>
  <c r="G332" i="3"/>
  <c r="F332" i="3"/>
  <c r="E332" i="3"/>
  <c r="D332" i="3"/>
  <c r="C332" i="3"/>
  <c r="B332" i="3"/>
  <c r="A332" i="3"/>
  <c r="Z331" i="3"/>
  <c r="Y331" i="3"/>
  <c r="X331" i="3"/>
  <c r="W331" i="3"/>
  <c r="V331" i="3"/>
  <c r="U331" i="3"/>
  <c r="T331" i="3"/>
  <c r="S331" i="3"/>
  <c r="R331" i="3"/>
  <c r="Q331" i="3"/>
  <c r="P331" i="3"/>
  <c r="O331" i="3"/>
  <c r="N331" i="3"/>
  <c r="M331" i="3"/>
  <c r="L331" i="3"/>
  <c r="K331" i="3"/>
  <c r="J331" i="3"/>
  <c r="I331" i="3"/>
  <c r="H331" i="3"/>
  <c r="G331" i="3"/>
  <c r="F331" i="3"/>
  <c r="E331" i="3"/>
  <c r="D331" i="3"/>
  <c r="C331" i="3"/>
  <c r="B331" i="3"/>
  <c r="A331" i="3"/>
  <c r="Z330" i="3"/>
  <c r="Y330" i="3"/>
  <c r="X330" i="3"/>
  <c r="W330" i="3"/>
  <c r="V330" i="3"/>
  <c r="U330" i="3"/>
  <c r="T330" i="3"/>
  <c r="S330" i="3"/>
  <c r="R330" i="3"/>
  <c r="Q330" i="3"/>
  <c r="P330" i="3"/>
  <c r="O330" i="3"/>
  <c r="N330" i="3"/>
  <c r="M330" i="3"/>
  <c r="L330" i="3"/>
  <c r="K330" i="3"/>
  <c r="J330" i="3"/>
  <c r="I330" i="3"/>
  <c r="H330" i="3"/>
  <c r="G330" i="3"/>
  <c r="F330" i="3"/>
  <c r="E330" i="3"/>
  <c r="D330" i="3"/>
  <c r="C330" i="3"/>
  <c r="B330" i="3"/>
  <c r="A330" i="3"/>
  <c r="Z329" i="3"/>
  <c r="Y329" i="3"/>
  <c r="X329" i="3"/>
  <c r="W329" i="3"/>
  <c r="V329" i="3"/>
  <c r="U329" i="3"/>
  <c r="T329" i="3"/>
  <c r="S329" i="3"/>
  <c r="R329" i="3"/>
  <c r="Q329" i="3"/>
  <c r="P329" i="3"/>
  <c r="O329" i="3"/>
  <c r="N329" i="3"/>
  <c r="M329" i="3"/>
  <c r="L329" i="3"/>
  <c r="K329" i="3"/>
  <c r="J329" i="3"/>
  <c r="I329" i="3"/>
  <c r="H329" i="3"/>
  <c r="G329" i="3"/>
  <c r="F329" i="3"/>
  <c r="E329" i="3"/>
  <c r="D329" i="3"/>
  <c r="C329" i="3"/>
  <c r="B329" i="3"/>
  <c r="A329" i="3"/>
  <c r="Z328" i="3"/>
  <c r="Y328" i="3"/>
  <c r="X328" i="3"/>
  <c r="W328" i="3"/>
  <c r="V328" i="3"/>
  <c r="U328" i="3"/>
  <c r="T328" i="3"/>
  <c r="S328" i="3"/>
  <c r="R328" i="3"/>
  <c r="Q328" i="3"/>
  <c r="P328" i="3"/>
  <c r="O328" i="3"/>
  <c r="N328" i="3"/>
  <c r="M328" i="3"/>
  <c r="L328" i="3"/>
  <c r="K328" i="3"/>
  <c r="J328" i="3"/>
  <c r="I328" i="3"/>
  <c r="H328" i="3"/>
  <c r="G328" i="3"/>
  <c r="F328" i="3"/>
  <c r="E328" i="3"/>
  <c r="D328" i="3"/>
  <c r="C328" i="3"/>
  <c r="B328" i="3"/>
  <c r="A328" i="3"/>
  <c r="Z327" i="3"/>
  <c r="Y327" i="3"/>
  <c r="X327" i="3"/>
  <c r="W327" i="3"/>
  <c r="V327" i="3"/>
  <c r="U327" i="3"/>
  <c r="T327" i="3"/>
  <c r="S327" i="3"/>
  <c r="R327" i="3"/>
  <c r="Q327" i="3"/>
  <c r="P327" i="3"/>
  <c r="O327" i="3"/>
  <c r="N327" i="3"/>
  <c r="M327" i="3"/>
  <c r="L327" i="3"/>
  <c r="K327" i="3"/>
  <c r="J327" i="3"/>
  <c r="I327" i="3"/>
  <c r="H327" i="3"/>
  <c r="G327" i="3"/>
  <c r="F327" i="3"/>
  <c r="E327" i="3"/>
  <c r="D327" i="3"/>
  <c r="C327" i="3"/>
  <c r="B327" i="3"/>
  <c r="A327" i="3"/>
  <c r="Z326" i="3"/>
  <c r="Y326" i="3"/>
  <c r="X326" i="3"/>
  <c r="W326" i="3"/>
  <c r="V326" i="3"/>
  <c r="U326" i="3"/>
  <c r="T326" i="3"/>
  <c r="S326" i="3"/>
  <c r="R326" i="3"/>
  <c r="Q326" i="3"/>
  <c r="P326" i="3"/>
  <c r="O326" i="3"/>
  <c r="N326" i="3"/>
  <c r="M326" i="3"/>
  <c r="L326" i="3"/>
  <c r="K326" i="3"/>
  <c r="J326" i="3"/>
  <c r="I326" i="3"/>
  <c r="H326" i="3"/>
  <c r="G326" i="3"/>
  <c r="F326" i="3"/>
  <c r="E326" i="3"/>
  <c r="D326" i="3"/>
  <c r="C326" i="3"/>
  <c r="B326" i="3"/>
  <c r="A326" i="3"/>
  <c r="Z325" i="3"/>
  <c r="Y325" i="3"/>
  <c r="X325" i="3"/>
  <c r="W325" i="3"/>
  <c r="V325" i="3"/>
  <c r="U325" i="3"/>
  <c r="T325" i="3"/>
  <c r="S325" i="3"/>
  <c r="R325" i="3"/>
  <c r="Q325" i="3"/>
  <c r="P325" i="3"/>
  <c r="O325" i="3"/>
  <c r="N325" i="3"/>
  <c r="M325" i="3"/>
  <c r="L325" i="3"/>
  <c r="K325" i="3"/>
  <c r="J325" i="3"/>
  <c r="I325" i="3"/>
  <c r="H325" i="3"/>
  <c r="G325" i="3"/>
  <c r="F325" i="3"/>
  <c r="E325" i="3"/>
  <c r="D325" i="3"/>
  <c r="C325" i="3"/>
  <c r="B325" i="3"/>
  <c r="A325" i="3"/>
  <c r="Z324" i="3"/>
  <c r="Y324" i="3"/>
  <c r="X324" i="3"/>
  <c r="W324" i="3"/>
  <c r="V324" i="3"/>
  <c r="U324" i="3"/>
  <c r="T324" i="3"/>
  <c r="S324" i="3"/>
  <c r="R324" i="3"/>
  <c r="Q324" i="3"/>
  <c r="P324" i="3"/>
  <c r="O324" i="3"/>
  <c r="N324" i="3"/>
  <c r="M324" i="3"/>
  <c r="L324" i="3"/>
  <c r="K324" i="3"/>
  <c r="J324" i="3"/>
  <c r="I324" i="3"/>
  <c r="H324" i="3"/>
  <c r="G324" i="3"/>
  <c r="F324" i="3"/>
  <c r="E324" i="3"/>
  <c r="D324" i="3"/>
  <c r="C324" i="3"/>
  <c r="B324" i="3"/>
  <c r="A324" i="3"/>
  <c r="Z323" i="3"/>
  <c r="Y323" i="3"/>
  <c r="X323" i="3"/>
  <c r="W323" i="3"/>
  <c r="V323" i="3"/>
  <c r="U323" i="3"/>
  <c r="T323" i="3"/>
  <c r="S323" i="3"/>
  <c r="R323" i="3"/>
  <c r="Q323" i="3"/>
  <c r="P323" i="3"/>
  <c r="O323" i="3"/>
  <c r="N323" i="3"/>
  <c r="M323" i="3"/>
  <c r="L323" i="3"/>
  <c r="K323" i="3"/>
  <c r="J323" i="3"/>
  <c r="I323" i="3"/>
  <c r="H323" i="3"/>
  <c r="G323" i="3"/>
  <c r="F323" i="3"/>
  <c r="E323" i="3"/>
  <c r="D323" i="3"/>
  <c r="C323" i="3"/>
  <c r="B323" i="3"/>
  <c r="A323" i="3"/>
  <c r="Z322" i="3"/>
  <c r="Y322" i="3"/>
  <c r="X322" i="3"/>
  <c r="W322" i="3"/>
  <c r="V322" i="3"/>
  <c r="U322" i="3"/>
  <c r="T322" i="3"/>
  <c r="S322" i="3"/>
  <c r="R322" i="3"/>
  <c r="Q322" i="3"/>
  <c r="P322" i="3"/>
  <c r="O322" i="3"/>
  <c r="N322" i="3"/>
  <c r="M322" i="3"/>
  <c r="L322" i="3"/>
  <c r="K322" i="3"/>
  <c r="J322" i="3"/>
  <c r="I322" i="3"/>
  <c r="H322" i="3"/>
  <c r="G322" i="3"/>
  <c r="F322" i="3"/>
  <c r="E322" i="3"/>
  <c r="D322" i="3"/>
  <c r="C322" i="3"/>
  <c r="B322" i="3"/>
  <c r="A322" i="3"/>
  <c r="Z321" i="3"/>
  <c r="Y321" i="3"/>
  <c r="X321" i="3"/>
  <c r="W321" i="3"/>
  <c r="V321" i="3"/>
  <c r="U321" i="3"/>
  <c r="T321" i="3"/>
  <c r="S321" i="3"/>
  <c r="R321" i="3"/>
  <c r="Q321" i="3"/>
  <c r="P321" i="3"/>
  <c r="O321" i="3"/>
  <c r="N321" i="3"/>
  <c r="M321" i="3"/>
  <c r="L321" i="3"/>
  <c r="K321" i="3"/>
  <c r="J321" i="3"/>
  <c r="I321" i="3"/>
  <c r="H321" i="3"/>
  <c r="G321" i="3"/>
  <c r="F321" i="3"/>
  <c r="E321" i="3"/>
  <c r="D321" i="3"/>
  <c r="C321" i="3"/>
  <c r="B321" i="3"/>
  <c r="A321" i="3"/>
  <c r="Z320" i="3"/>
  <c r="Y320" i="3"/>
  <c r="X320" i="3"/>
  <c r="W320" i="3"/>
  <c r="V320" i="3"/>
  <c r="U320" i="3"/>
  <c r="T320" i="3"/>
  <c r="S320" i="3"/>
  <c r="R320" i="3"/>
  <c r="Q320" i="3"/>
  <c r="P320" i="3"/>
  <c r="O320" i="3"/>
  <c r="N320" i="3"/>
  <c r="M320" i="3"/>
  <c r="L320" i="3"/>
  <c r="K320" i="3"/>
  <c r="J320" i="3"/>
  <c r="I320" i="3"/>
  <c r="H320" i="3"/>
  <c r="G320" i="3"/>
  <c r="F320" i="3"/>
  <c r="E320" i="3"/>
  <c r="D320" i="3"/>
  <c r="C320" i="3"/>
  <c r="B320" i="3"/>
  <c r="A320" i="3"/>
  <c r="Z319" i="3"/>
  <c r="Y319" i="3"/>
  <c r="X319" i="3"/>
  <c r="W319" i="3"/>
  <c r="V319" i="3"/>
  <c r="U319" i="3"/>
  <c r="T319" i="3"/>
  <c r="S319" i="3"/>
  <c r="R319" i="3"/>
  <c r="Q319" i="3"/>
  <c r="P319" i="3"/>
  <c r="O319" i="3"/>
  <c r="N319" i="3"/>
  <c r="M319" i="3"/>
  <c r="L319" i="3"/>
  <c r="K319" i="3"/>
  <c r="J319" i="3"/>
  <c r="I319" i="3"/>
  <c r="H319" i="3"/>
  <c r="G319" i="3"/>
  <c r="F319" i="3"/>
  <c r="E319" i="3"/>
  <c r="D319" i="3"/>
  <c r="C319" i="3"/>
  <c r="B319" i="3"/>
  <c r="A319" i="3"/>
  <c r="Z318" i="3"/>
  <c r="Y318" i="3"/>
  <c r="X318" i="3"/>
  <c r="W318" i="3"/>
  <c r="V318" i="3"/>
  <c r="U318" i="3"/>
  <c r="T318" i="3"/>
  <c r="S318" i="3"/>
  <c r="R318" i="3"/>
  <c r="Q318" i="3"/>
  <c r="P318" i="3"/>
  <c r="O318" i="3"/>
  <c r="N318" i="3"/>
  <c r="M318" i="3"/>
  <c r="L318" i="3"/>
  <c r="K318" i="3"/>
  <c r="J318" i="3"/>
  <c r="I318" i="3"/>
  <c r="H318" i="3"/>
  <c r="G318" i="3"/>
  <c r="F318" i="3"/>
  <c r="E318" i="3"/>
  <c r="D318" i="3"/>
  <c r="C318" i="3"/>
  <c r="B318" i="3"/>
  <c r="A318" i="3"/>
  <c r="Z317" i="3"/>
  <c r="Y317" i="3"/>
  <c r="X317" i="3"/>
  <c r="W317" i="3"/>
  <c r="V317" i="3"/>
  <c r="U317" i="3"/>
  <c r="T317" i="3"/>
  <c r="S317" i="3"/>
  <c r="R317" i="3"/>
  <c r="Q317" i="3"/>
  <c r="P317" i="3"/>
  <c r="O317" i="3"/>
  <c r="N317" i="3"/>
  <c r="M317" i="3"/>
  <c r="L317" i="3"/>
  <c r="K317" i="3"/>
  <c r="J317" i="3"/>
  <c r="I317" i="3"/>
  <c r="H317" i="3"/>
  <c r="G317" i="3"/>
  <c r="F317" i="3"/>
  <c r="E317" i="3"/>
  <c r="D317" i="3"/>
  <c r="C317" i="3"/>
  <c r="B317" i="3"/>
  <c r="A317" i="3"/>
  <c r="Z316" i="3"/>
  <c r="Y316" i="3"/>
  <c r="X316" i="3"/>
  <c r="W316" i="3"/>
  <c r="V316" i="3"/>
  <c r="U316" i="3"/>
  <c r="T316" i="3"/>
  <c r="S316" i="3"/>
  <c r="R316" i="3"/>
  <c r="Q316" i="3"/>
  <c r="P316" i="3"/>
  <c r="O316" i="3"/>
  <c r="N316" i="3"/>
  <c r="M316" i="3"/>
  <c r="L316" i="3"/>
  <c r="K316" i="3"/>
  <c r="J316" i="3"/>
  <c r="I316" i="3"/>
  <c r="H316" i="3"/>
  <c r="G316" i="3"/>
  <c r="F316" i="3"/>
  <c r="E316" i="3"/>
  <c r="D316" i="3"/>
  <c r="C316" i="3"/>
  <c r="B316" i="3"/>
  <c r="A316" i="3"/>
  <c r="Z315" i="3"/>
  <c r="Y315" i="3"/>
  <c r="X315" i="3"/>
  <c r="W315" i="3"/>
  <c r="V315" i="3"/>
  <c r="U315" i="3"/>
  <c r="T315" i="3"/>
  <c r="S315" i="3"/>
  <c r="R315" i="3"/>
  <c r="Q315" i="3"/>
  <c r="P315" i="3"/>
  <c r="O315" i="3"/>
  <c r="N315" i="3"/>
  <c r="M315" i="3"/>
  <c r="L315" i="3"/>
  <c r="K315" i="3"/>
  <c r="J315" i="3"/>
  <c r="I315" i="3"/>
  <c r="H315" i="3"/>
  <c r="G315" i="3"/>
  <c r="F315" i="3"/>
  <c r="E315" i="3"/>
  <c r="D315" i="3"/>
  <c r="C315" i="3"/>
  <c r="B315" i="3"/>
  <c r="A315" i="3"/>
  <c r="Z314" i="3"/>
  <c r="Y314" i="3"/>
  <c r="X314" i="3"/>
  <c r="W314" i="3"/>
  <c r="V314" i="3"/>
  <c r="U314" i="3"/>
  <c r="T314" i="3"/>
  <c r="S314" i="3"/>
  <c r="R314" i="3"/>
  <c r="Q314" i="3"/>
  <c r="P314" i="3"/>
  <c r="O314" i="3"/>
  <c r="N314" i="3"/>
  <c r="M314" i="3"/>
  <c r="L314" i="3"/>
  <c r="K314" i="3"/>
  <c r="J314" i="3"/>
  <c r="I314" i="3"/>
  <c r="H314" i="3"/>
  <c r="G314" i="3"/>
  <c r="F314" i="3"/>
  <c r="E314" i="3"/>
  <c r="D314" i="3"/>
  <c r="C314" i="3"/>
  <c r="B314" i="3"/>
  <c r="A314" i="3"/>
  <c r="Z313" i="3"/>
  <c r="Y313" i="3"/>
  <c r="X313" i="3"/>
  <c r="W313" i="3"/>
  <c r="V313" i="3"/>
  <c r="U313" i="3"/>
  <c r="T313" i="3"/>
  <c r="S313" i="3"/>
  <c r="R313" i="3"/>
  <c r="Q313" i="3"/>
  <c r="P313" i="3"/>
  <c r="O313" i="3"/>
  <c r="N313" i="3"/>
  <c r="M313" i="3"/>
  <c r="L313" i="3"/>
  <c r="K313" i="3"/>
  <c r="J313" i="3"/>
  <c r="I313" i="3"/>
  <c r="H313" i="3"/>
  <c r="G313" i="3"/>
  <c r="F313" i="3"/>
  <c r="E313" i="3"/>
  <c r="D313" i="3"/>
  <c r="C313" i="3"/>
  <c r="B313" i="3"/>
  <c r="A313" i="3"/>
  <c r="Z312" i="3"/>
  <c r="Y312" i="3"/>
  <c r="X312" i="3"/>
  <c r="W312" i="3"/>
  <c r="V312" i="3"/>
  <c r="U312" i="3"/>
  <c r="T312" i="3"/>
  <c r="S312" i="3"/>
  <c r="R312" i="3"/>
  <c r="Q312" i="3"/>
  <c r="P312" i="3"/>
  <c r="O312" i="3"/>
  <c r="N312" i="3"/>
  <c r="M312" i="3"/>
  <c r="L312" i="3"/>
  <c r="K312" i="3"/>
  <c r="J312" i="3"/>
  <c r="I312" i="3"/>
  <c r="H312" i="3"/>
  <c r="G312" i="3"/>
  <c r="F312" i="3"/>
  <c r="E312" i="3"/>
  <c r="D312" i="3"/>
  <c r="C312" i="3"/>
  <c r="B312" i="3"/>
  <c r="A312" i="3"/>
  <c r="Z311" i="3"/>
  <c r="Y311" i="3"/>
  <c r="X311" i="3"/>
  <c r="W311" i="3"/>
  <c r="V311" i="3"/>
  <c r="U311" i="3"/>
  <c r="T311" i="3"/>
  <c r="S311" i="3"/>
  <c r="R311" i="3"/>
  <c r="Q311" i="3"/>
  <c r="P311" i="3"/>
  <c r="O311" i="3"/>
  <c r="N311" i="3"/>
  <c r="M311" i="3"/>
  <c r="L311" i="3"/>
  <c r="K311" i="3"/>
  <c r="J311" i="3"/>
  <c r="I311" i="3"/>
  <c r="H311" i="3"/>
  <c r="G311" i="3"/>
  <c r="F311" i="3"/>
  <c r="E311" i="3"/>
  <c r="D311" i="3"/>
  <c r="C311" i="3"/>
  <c r="B311" i="3"/>
  <c r="A311" i="3"/>
  <c r="Z310" i="3"/>
  <c r="Y310" i="3"/>
  <c r="X310" i="3"/>
  <c r="W310" i="3"/>
  <c r="V310" i="3"/>
  <c r="U310" i="3"/>
  <c r="T310" i="3"/>
  <c r="S310" i="3"/>
  <c r="R310" i="3"/>
  <c r="Q310" i="3"/>
  <c r="P310" i="3"/>
  <c r="O310" i="3"/>
  <c r="N310" i="3"/>
  <c r="M310" i="3"/>
  <c r="L310" i="3"/>
  <c r="K310" i="3"/>
  <c r="J310" i="3"/>
  <c r="I310" i="3"/>
  <c r="H310" i="3"/>
  <c r="G310" i="3"/>
  <c r="F310" i="3"/>
  <c r="E310" i="3"/>
  <c r="D310" i="3"/>
  <c r="C310" i="3"/>
  <c r="B310" i="3"/>
  <c r="A310" i="3"/>
  <c r="Z309" i="3"/>
  <c r="Y309" i="3"/>
  <c r="X309" i="3"/>
  <c r="W309" i="3"/>
  <c r="V309" i="3"/>
  <c r="U309" i="3"/>
  <c r="T309" i="3"/>
  <c r="S309" i="3"/>
  <c r="R309" i="3"/>
  <c r="Q309" i="3"/>
  <c r="P309" i="3"/>
  <c r="O309" i="3"/>
  <c r="N309" i="3"/>
  <c r="M309" i="3"/>
  <c r="L309" i="3"/>
  <c r="K309" i="3"/>
  <c r="J309" i="3"/>
  <c r="I309" i="3"/>
  <c r="H309" i="3"/>
  <c r="G309" i="3"/>
  <c r="F309" i="3"/>
  <c r="E309" i="3"/>
  <c r="D309" i="3"/>
  <c r="C309" i="3"/>
  <c r="B309" i="3"/>
  <c r="A309" i="3"/>
  <c r="Z308" i="3"/>
  <c r="Y308" i="3"/>
  <c r="X308" i="3"/>
  <c r="W308" i="3"/>
  <c r="V308" i="3"/>
  <c r="U308" i="3"/>
  <c r="T308" i="3"/>
  <c r="S308" i="3"/>
  <c r="R308" i="3"/>
  <c r="Q308" i="3"/>
  <c r="P308" i="3"/>
  <c r="O308" i="3"/>
  <c r="N308" i="3"/>
  <c r="M308" i="3"/>
  <c r="L308" i="3"/>
  <c r="K308" i="3"/>
  <c r="J308" i="3"/>
  <c r="I308" i="3"/>
  <c r="H308" i="3"/>
  <c r="G308" i="3"/>
  <c r="F308" i="3"/>
  <c r="E308" i="3"/>
  <c r="D308" i="3"/>
  <c r="C308" i="3"/>
  <c r="B308" i="3"/>
  <c r="A308" i="3"/>
  <c r="Z307" i="3"/>
  <c r="Y307" i="3"/>
  <c r="X307" i="3"/>
  <c r="W307" i="3"/>
  <c r="V307" i="3"/>
  <c r="U307" i="3"/>
  <c r="T307" i="3"/>
  <c r="S307" i="3"/>
  <c r="R307" i="3"/>
  <c r="Q307" i="3"/>
  <c r="P307" i="3"/>
  <c r="O307" i="3"/>
  <c r="N307" i="3"/>
  <c r="M307" i="3"/>
  <c r="L307" i="3"/>
  <c r="K307" i="3"/>
  <c r="J307" i="3"/>
  <c r="I307" i="3"/>
  <c r="H307" i="3"/>
  <c r="G307" i="3"/>
  <c r="F307" i="3"/>
  <c r="E307" i="3"/>
  <c r="D307" i="3"/>
  <c r="C307" i="3"/>
  <c r="B307" i="3"/>
  <c r="A307" i="3"/>
  <c r="Z306" i="3"/>
  <c r="Y306" i="3"/>
  <c r="X306" i="3"/>
  <c r="W306" i="3"/>
  <c r="V306" i="3"/>
  <c r="U306" i="3"/>
  <c r="T306" i="3"/>
  <c r="S306" i="3"/>
  <c r="R306" i="3"/>
  <c r="Q306" i="3"/>
  <c r="P306" i="3"/>
  <c r="O306" i="3"/>
  <c r="N306" i="3"/>
  <c r="M306" i="3"/>
  <c r="L306" i="3"/>
  <c r="K306" i="3"/>
  <c r="J306" i="3"/>
  <c r="I306" i="3"/>
  <c r="H306" i="3"/>
  <c r="G306" i="3"/>
  <c r="F306" i="3"/>
  <c r="E306" i="3"/>
  <c r="D306" i="3"/>
  <c r="C306" i="3"/>
  <c r="B306" i="3"/>
  <c r="A306" i="3"/>
  <c r="Z305" i="3"/>
  <c r="Y305" i="3"/>
  <c r="X305" i="3"/>
  <c r="W305" i="3"/>
  <c r="V305" i="3"/>
  <c r="U305" i="3"/>
  <c r="T305" i="3"/>
  <c r="S305" i="3"/>
  <c r="R305" i="3"/>
  <c r="Q305" i="3"/>
  <c r="P305" i="3"/>
  <c r="O305" i="3"/>
  <c r="N305" i="3"/>
  <c r="M305" i="3"/>
  <c r="L305" i="3"/>
  <c r="K305" i="3"/>
  <c r="J305" i="3"/>
  <c r="I305" i="3"/>
  <c r="H305" i="3"/>
  <c r="G305" i="3"/>
  <c r="F305" i="3"/>
  <c r="E305" i="3"/>
  <c r="D305" i="3"/>
  <c r="C305" i="3"/>
  <c r="B305" i="3"/>
  <c r="A305" i="3"/>
  <c r="Z304" i="3"/>
  <c r="Y304" i="3"/>
  <c r="X304" i="3"/>
  <c r="W304" i="3"/>
  <c r="V304" i="3"/>
  <c r="U304" i="3"/>
  <c r="T304" i="3"/>
  <c r="S304" i="3"/>
  <c r="R304" i="3"/>
  <c r="Q304" i="3"/>
  <c r="P304" i="3"/>
  <c r="O304" i="3"/>
  <c r="N304" i="3"/>
  <c r="M304" i="3"/>
  <c r="L304" i="3"/>
  <c r="K304" i="3"/>
  <c r="J304" i="3"/>
  <c r="I304" i="3"/>
  <c r="H304" i="3"/>
  <c r="G304" i="3"/>
  <c r="F304" i="3"/>
  <c r="E304" i="3"/>
  <c r="D304" i="3"/>
  <c r="C304" i="3"/>
  <c r="B304" i="3"/>
  <c r="A304" i="3"/>
  <c r="Z303" i="3"/>
  <c r="Y303" i="3"/>
  <c r="X303" i="3"/>
  <c r="W303" i="3"/>
  <c r="V303" i="3"/>
  <c r="U303" i="3"/>
  <c r="T303" i="3"/>
  <c r="S303" i="3"/>
  <c r="R303" i="3"/>
  <c r="Q303" i="3"/>
  <c r="P303" i="3"/>
  <c r="O303" i="3"/>
  <c r="N303" i="3"/>
  <c r="M303" i="3"/>
  <c r="L303" i="3"/>
  <c r="K303" i="3"/>
  <c r="J303" i="3"/>
  <c r="I303" i="3"/>
  <c r="H303" i="3"/>
  <c r="G303" i="3"/>
  <c r="F303" i="3"/>
  <c r="E303" i="3"/>
  <c r="D303" i="3"/>
  <c r="C303" i="3"/>
  <c r="B303" i="3"/>
  <c r="A303" i="3"/>
  <c r="Z302" i="3"/>
  <c r="Y302" i="3"/>
  <c r="X302" i="3"/>
  <c r="W302" i="3"/>
  <c r="V302" i="3"/>
  <c r="U302" i="3"/>
  <c r="T302" i="3"/>
  <c r="S302" i="3"/>
  <c r="R302" i="3"/>
  <c r="Q302" i="3"/>
  <c r="P302" i="3"/>
  <c r="O302" i="3"/>
  <c r="N302" i="3"/>
  <c r="M302" i="3"/>
  <c r="L302" i="3"/>
  <c r="K302" i="3"/>
  <c r="J302" i="3"/>
  <c r="I302" i="3"/>
  <c r="H302" i="3"/>
  <c r="G302" i="3"/>
  <c r="F302" i="3"/>
  <c r="E302" i="3"/>
  <c r="D302" i="3"/>
  <c r="C302" i="3"/>
  <c r="B302" i="3"/>
  <c r="A302" i="3"/>
  <c r="Z301" i="3"/>
  <c r="Y301" i="3"/>
  <c r="X301" i="3"/>
  <c r="W301" i="3"/>
  <c r="V301" i="3"/>
  <c r="U301" i="3"/>
  <c r="T301" i="3"/>
  <c r="S301" i="3"/>
  <c r="R301" i="3"/>
  <c r="Q301" i="3"/>
  <c r="P301" i="3"/>
  <c r="O301" i="3"/>
  <c r="N301" i="3"/>
  <c r="M301" i="3"/>
  <c r="L301" i="3"/>
  <c r="K301" i="3"/>
  <c r="J301" i="3"/>
  <c r="I301" i="3"/>
  <c r="H301" i="3"/>
  <c r="G301" i="3"/>
  <c r="F301" i="3"/>
  <c r="E301" i="3"/>
  <c r="D301" i="3"/>
  <c r="C301" i="3"/>
  <c r="B301" i="3"/>
  <c r="A301" i="3"/>
  <c r="Z300" i="3"/>
  <c r="Y300" i="3"/>
  <c r="X300" i="3"/>
  <c r="W300" i="3"/>
  <c r="V300" i="3"/>
  <c r="U300" i="3"/>
  <c r="T300" i="3"/>
  <c r="S300" i="3"/>
  <c r="R300" i="3"/>
  <c r="Q300" i="3"/>
  <c r="P300" i="3"/>
  <c r="O300" i="3"/>
  <c r="N300" i="3"/>
  <c r="M300" i="3"/>
  <c r="L300" i="3"/>
  <c r="K300" i="3"/>
  <c r="J300" i="3"/>
  <c r="I300" i="3"/>
  <c r="H300" i="3"/>
  <c r="G300" i="3"/>
  <c r="F300" i="3"/>
  <c r="E300" i="3"/>
  <c r="D300" i="3"/>
  <c r="C300" i="3"/>
  <c r="B300" i="3"/>
  <c r="A300" i="3"/>
  <c r="Z299" i="3"/>
  <c r="Y299" i="3"/>
  <c r="X299" i="3"/>
  <c r="W299" i="3"/>
  <c r="V299" i="3"/>
  <c r="U299" i="3"/>
  <c r="T299" i="3"/>
  <c r="S299" i="3"/>
  <c r="R299" i="3"/>
  <c r="Q299" i="3"/>
  <c r="P299" i="3"/>
  <c r="O299" i="3"/>
  <c r="N299" i="3"/>
  <c r="M299" i="3"/>
  <c r="L299" i="3"/>
  <c r="K299" i="3"/>
  <c r="J299" i="3"/>
  <c r="I299" i="3"/>
  <c r="H299" i="3"/>
  <c r="G299" i="3"/>
  <c r="F299" i="3"/>
  <c r="E299" i="3"/>
  <c r="D299" i="3"/>
  <c r="C299" i="3"/>
  <c r="B299" i="3"/>
  <c r="A299" i="3"/>
  <c r="Z298" i="3"/>
  <c r="Y298" i="3"/>
  <c r="X298" i="3"/>
  <c r="W298" i="3"/>
  <c r="V298" i="3"/>
  <c r="U298" i="3"/>
  <c r="T298" i="3"/>
  <c r="S298" i="3"/>
  <c r="R298" i="3"/>
  <c r="Q298" i="3"/>
  <c r="P298" i="3"/>
  <c r="O298" i="3"/>
  <c r="N298" i="3"/>
  <c r="M298" i="3"/>
  <c r="L298" i="3"/>
  <c r="K298" i="3"/>
  <c r="J298" i="3"/>
  <c r="I298" i="3"/>
  <c r="H298" i="3"/>
  <c r="G298" i="3"/>
  <c r="F298" i="3"/>
  <c r="E298" i="3"/>
  <c r="D298" i="3"/>
  <c r="C298" i="3"/>
  <c r="B298" i="3"/>
  <c r="A298" i="3"/>
  <c r="Z297" i="3"/>
  <c r="Y297" i="3"/>
  <c r="X297" i="3"/>
  <c r="W297" i="3"/>
  <c r="V297" i="3"/>
  <c r="U297" i="3"/>
  <c r="T297" i="3"/>
  <c r="S297" i="3"/>
  <c r="R297" i="3"/>
  <c r="Q297" i="3"/>
  <c r="P297" i="3"/>
  <c r="O297" i="3"/>
  <c r="N297" i="3"/>
  <c r="M297" i="3"/>
  <c r="L297" i="3"/>
  <c r="K297" i="3"/>
  <c r="J297" i="3"/>
  <c r="I297" i="3"/>
  <c r="H297" i="3"/>
  <c r="G297" i="3"/>
  <c r="F297" i="3"/>
  <c r="E297" i="3"/>
  <c r="D297" i="3"/>
  <c r="C297" i="3"/>
  <c r="B297" i="3"/>
  <c r="A297" i="3"/>
  <c r="Z296" i="3"/>
  <c r="Y296" i="3"/>
  <c r="X296" i="3"/>
  <c r="W296" i="3"/>
  <c r="V296" i="3"/>
  <c r="U296" i="3"/>
  <c r="T296" i="3"/>
  <c r="S296" i="3"/>
  <c r="R296" i="3"/>
  <c r="Q296" i="3"/>
  <c r="P296" i="3"/>
  <c r="O296" i="3"/>
  <c r="N296" i="3"/>
  <c r="M296" i="3"/>
  <c r="L296" i="3"/>
  <c r="K296" i="3"/>
  <c r="J296" i="3"/>
  <c r="I296" i="3"/>
  <c r="H296" i="3"/>
  <c r="G296" i="3"/>
  <c r="F296" i="3"/>
  <c r="E296" i="3"/>
  <c r="D296" i="3"/>
  <c r="C296" i="3"/>
  <c r="B296" i="3"/>
  <c r="A296" i="3"/>
  <c r="Z295" i="3"/>
  <c r="Y295" i="3"/>
  <c r="X295" i="3"/>
  <c r="W295" i="3"/>
  <c r="V295" i="3"/>
  <c r="U295" i="3"/>
  <c r="T295" i="3"/>
  <c r="S295" i="3"/>
  <c r="R295" i="3"/>
  <c r="Q295" i="3"/>
  <c r="P295" i="3"/>
  <c r="O295" i="3"/>
  <c r="N295" i="3"/>
  <c r="M295" i="3"/>
  <c r="L295" i="3"/>
  <c r="K295" i="3"/>
  <c r="J295" i="3"/>
  <c r="I295" i="3"/>
  <c r="H295" i="3"/>
  <c r="G295" i="3"/>
  <c r="F295" i="3"/>
  <c r="E295" i="3"/>
  <c r="D295" i="3"/>
  <c r="C295" i="3"/>
  <c r="B295" i="3"/>
  <c r="A295" i="3"/>
  <c r="Z294" i="3"/>
  <c r="Y294" i="3"/>
  <c r="X294" i="3"/>
  <c r="W294" i="3"/>
  <c r="V294" i="3"/>
  <c r="U294" i="3"/>
  <c r="T294" i="3"/>
  <c r="S294" i="3"/>
  <c r="R294" i="3"/>
  <c r="Q294" i="3"/>
  <c r="P294" i="3"/>
  <c r="O294" i="3"/>
  <c r="N294" i="3"/>
  <c r="M294" i="3"/>
  <c r="L294" i="3"/>
  <c r="K294" i="3"/>
  <c r="J294" i="3"/>
  <c r="I294" i="3"/>
  <c r="H294" i="3"/>
  <c r="G294" i="3"/>
  <c r="F294" i="3"/>
  <c r="E294" i="3"/>
  <c r="D294" i="3"/>
  <c r="C294" i="3"/>
  <c r="B294" i="3"/>
  <c r="A294" i="3"/>
  <c r="Z293" i="3"/>
  <c r="Y293" i="3"/>
  <c r="X293" i="3"/>
  <c r="W293" i="3"/>
  <c r="V293" i="3"/>
  <c r="U293" i="3"/>
  <c r="T293" i="3"/>
  <c r="S293" i="3"/>
  <c r="R293" i="3"/>
  <c r="Q293" i="3"/>
  <c r="P293" i="3"/>
  <c r="O293" i="3"/>
  <c r="N293" i="3"/>
  <c r="M293" i="3"/>
  <c r="L293" i="3"/>
  <c r="K293" i="3"/>
  <c r="J293" i="3"/>
  <c r="I293" i="3"/>
  <c r="H293" i="3"/>
  <c r="G293" i="3"/>
  <c r="F293" i="3"/>
  <c r="E293" i="3"/>
  <c r="D293" i="3"/>
  <c r="C293" i="3"/>
  <c r="B293" i="3"/>
  <c r="A293" i="3"/>
  <c r="Z292" i="3"/>
  <c r="Y292" i="3"/>
  <c r="X292" i="3"/>
  <c r="W292" i="3"/>
  <c r="V292" i="3"/>
  <c r="U292" i="3"/>
  <c r="T292" i="3"/>
  <c r="S292" i="3"/>
  <c r="R292" i="3"/>
  <c r="Q292" i="3"/>
  <c r="P292" i="3"/>
  <c r="O292" i="3"/>
  <c r="N292" i="3"/>
  <c r="M292" i="3"/>
  <c r="L292" i="3"/>
  <c r="K292" i="3"/>
  <c r="J292" i="3"/>
  <c r="I292" i="3"/>
  <c r="H292" i="3"/>
  <c r="G292" i="3"/>
  <c r="F292" i="3"/>
  <c r="E292" i="3"/>
  <c r="D292" i="3"/>
  <c r="C292" i="3"/>
  <c r="B292" i="3"/>
  <c r="A292" i="3"/>
  <c r="Z291" i="3"/>
  <c r="Y291" i="3"/>
  <c r="X291" i="3"/>
  <c r="W291" i="3"/>
  <c r="V291" i="3"/>
  <c r="U291" i="3"/>
  <c r="T291" i="3"/>
  <c r="S291" i="3"/>
  <c r="R291" i="3"/>
  <c r="Q291" i="3"/>
  <c r="P291" i="3"/>
  <c r="O291" i="3"/>
  <c r="N291" i="3"/>
  <c r="M291" i="3"/>
  <c r="L291" i="3"/>
  <c r="K291" i="3"/>
  <c r="J291" i="3"/>
  <c r="I291" i="3"/>
  <c r="H291" i="3"/>
  <c r="G291" i="3"/>
  <c r="F291" i="3"/>
  <c r="E291" i="3"/>
  <c r="D291" i="3"/>
  <c r="C291" i="3"/>
  <c r="B291" i="3"/>
  <c r="A291" i="3"/>
  <c r="Z290" i="3"/>
  <c r="Y290" i="3"/>
  <c r="X290" i="3"/>
  <c r="W290" i="3"/>
  <c r="V290" i="3"/>
  <c r="U290" i="3"/>
  <c r="T290" i="3"/>
  <c r="S290" i="3"/>
  <c r="R290" i="3"/>
  <c r="Q290" i="3"/>
  <c r="P290" i="3"/>
  <c r="O290" i="3"/>
  <c r="N290" i="3"/>
  <c r="M290" i="3"/>
  <c r="L290" i="3"/>
  <c r="K290" i="3"/>
  <c r="J290" i="3"/>
  <c r="I290" i="3"/>
  <c r="H290" i="3"/>
  <c r="G290" i="3"/>
  <c r="F290" i="3"/>
  <c r="E290" i="3"/>
  <c r="D290" i="3"/>
  <c r="C290" i="3"/>
  <c r="B290" i="3"/>
  <c r="A290" i="3"/>
  <c r="Z289" i="3"/>
  <c r="Y289" i="3"/>
  <c r="X289" i="3"/>
  <c r="W289" i="3"/>
  <c r="V289" i="3"/>
  <c r="U289" i="3"/>
  <c r="T289" i="3"/>
  <c r="S289" i="3"/>
  <c r="R289" i="3"/>
  <c r="Q289" i="3"/>
  <c r="P289" i="3"/>
  <c r="O289" i="3"/>
  <c r="N289" i="3"/>
  <c r="M289" i="3"/>
  <c r="L289" i="3"/>
  <c r="K289" i="3"/>
  <c r="J289" i="3"/>
  <c r="I289" i="3"/>
  <c r="H289" i="3"/>
  <c r="G289" i="3"/>
  <c r="F289" i="3"/>
  <c r="E289" i="3"/>
  <c r="D289" i="3"/>
  <c r="C289" i="3"/>
  <c r="B289" i="3"/>
  <c r="A289" i="3"/>
  <c r="Z288" i="3"/>
  <c r="Y288" i="3"/>
  <c r="X288" i="3"/>
  <c r="W288" i="3"/>
  <c r="V288" i="3"/>
  <c r="U288" i="3"/>
  <c r="T288" i="3"/>
  <c r="S288" i="3"/>
  <c r="R288" i="3"/>
  <c r="Q288" i="3"/>
  <c r="P288" i="3"/>
  <c r="O288" i="3"/>
  <c r="N288" i="3"/>
  <c r="M288" i="3"/>
  <c r="L288" i="3"/>
  <c r="K288" i="3"/>
  <c r="J288" i="3"/>
  <c r="I288" i="3"/>
  <c r="H288" i="3"/>
  <c r="G288" i="3"/>
  <c r="F288" i="3"/>
  <c r="E288" i="3"/>
  <c r="D288" i="3"/>
  <c r="C288" i="3"/>
  <c r="B288" i="3"/>
  <c r="A288" i="3"/>
  <c r="Z287" i="3"/>
  <c r="Y287" i="3"/>
  <c r="X287" i="3"/>
  <c r="W287" i="3"/>
  <c r="V287" i="3"/>
  <c r="U287" i="3"/>
  <c r="T287" i="3"/>
  <c r="S287" i="3"/>
  <c r="R287" i="3"/>
  <c r="Q287" i="3"/>
  <c r="P287" i="3"/>
  <c r="O287" i="3"/>
  <c r="N287" i="3"/>
  <c r="M287" i="3"/>
  <c r="L287" i="3"/>
  <c r="K287" i="3"/>
  <c r="J287" i="3"/>
  <c r="I287" i="3"/>
  <c r="H287" i="3"/>
  <c r="G287" i="3"/>
  <c r="F287" i="3"/>
  <c r="E287" i="3"/>
  <c r="D287" i="3"/>
  <c r="C287" i="3"/>
  <c r="B287" i="3"/>
  <c r="A287" i="3"/>
  <c r="Z286" i="3"/>
  <c r="Y286" i="3"/>
  <c r="X286" i="3"/>
  <c r="W286" i="3"/>
  <c r="V286" i="3"/>
  <c r="U286" i="3"/>
  <c r="T286" i="3"/>
  <c r="S286" i="3"/>
  <c r="R286" i="3"/>
  <c r="Q286" i="3"/>
  <c r="P286" i="3"/>
  <c r="O286" i="3"/>
  <c r="N286" i="3"/>
  <c r="M286" i="3"/>
  <c r="L286" i="3"/>
  <c r="K286" i="3"/>
  <c r="J286" i="3"/>
  <c r="I286" i="3"/>
  <c r="H286" i="3"/>
  <c r="G286" i="3"/>
  <c r="F286" i="3"/>
  <c r="E286" i="3"/>
  <c r="D286" i="3"/>
  <c r="C286" i="3"/>
  <c r="B286" i="3"/>
  <c r="A286" i="3"/>
  <c r="Z285" i="3"/>
  <c r="Y285" i="3"/>
  <c r="X285" i="3"/>
  <c r="W285" i="3"/>
  <c r="V285" i="3"/>
  <c r="U285" i="3"/>
  <c r="T285" i="3"/>
  <c r="S285" i="3"/>
  <c r="R285" i="3"/>
  <c r="Q285" i="3"/>
  <c r="P285" i="3"/>
  <c r="O285" i="3"/>
  <c r="N285" i="3"/>
  <c r="M285" i="3"/>
  <c r="L285" i="3"/>
  <c r="K285" i="3"/>
  <c r="J285" i="3"/>
  <c r="I285" i="3"/>
  <c r="H285" i="3"/>
  <c r="G285" i="3"/>
  <c r="F285" i="3"/>
  <c r="E285" i="3"/>
  <c r="D285" i="3"/>
  <c r="C285" i="3"/>
  <c r="B285" i="3"/>
  <c r="A285" i="3"/>
  <c r="Z284" i="3"/>
  <c r="Y284" i="3"/>
  <c r="X284" i="3"/>
  <c r="W284" i="3"/>
  <c r="V284" i="3"/>
  <c r="U284" i="3"/>
  <c r="T284" i="3"/>
  <c r="S284" i="3"/>
  <c r="R284" i="3"/>
  <c r="Q284" i="3"/>
  <c r="P284" i="3"/>
  <c r="O284" i="3"/>
  <c r="N284" i="3"/>
  <c r="M284" i="3"/>
  <c r="L284" i="3"/>
  <c r="K284" i="3"/>
  <c r="J284" i="3"/>
  <c r="I284" i="3"/>
  <c r="H284" i="3"/>
  <c r="G284" i="3"/>
  <c r="F284" i="3"/>
  <c r="E284" i="3"/>
  <c r="D284" i="3"/>
  <c r="C284" i="3"/>
  <c r="B284" i="3"/>
  <c r="A284" i="3"/>
  <c r="Z283" i="3"/>
  <c r="Y283" i="3"/>
  <c r="X283" i="3"/>
  <c r="W283" i="3"/>
  <c r="V283" i="3"/>
  <c r="U283" i="3"/>
  <c r="T283" i="3"/>
  <c r="S283" i="3"/>
  <c r="R283" i="3"/>
  <c r="Q283" i="3"/>
  <c r="P283" i="3"/>
  <c r="O283" i="3"/>
  <c r="N283" i="3"/>
  <c r="M283" i="3"/>
  <c r="L283" i="3"/>
  <c r="K283" i="3"/>
  <c r="J283" i="3"/>
  <c r="I283" i="3"/>
  <c r="H283" i="3"/>
  <c r="G283" i="3"/>
  <c r="F283" i="3"/>
  <c r="E283" i="3"/>
  <c r="D283" i="3"/>
  <c r="C283" i="3"/>
  <c r="B283" i="3"/>
  <c r="A283" i="3"/>
  <c r="Z282" i="3"/>
  <c r="Y282" i="3"/>
  <c r="X282" i="3"/>
  <c r="W282" i="3"/>
  <c r="V282" i="3"/>
  <c r="U282" i="3"/>
  <c r="T282" i="3"/>
  <c r="S282" i="3"/>
  <c r="R282" i="3"/>
  <c r="Q282" i="3"/>
  <c r="P282" i="3"/>
  <c r="O282" i="3"/>
  <c r="N282" i="3"/>
  <c r="M282" i="3"/>
  <c r="L282" i="3"/>
  <c r="K282" i="3"/>
  <c r="J282" i="3"/>
  <c r="I282" i="3"/>
  <c r="H282" i="3"/>
  <c r="G282" i="3"/>
  <c r="F282" i="3"/>
  <c r="E282" i="3"/>
  <c r="D282" i="3"/>
  <c r="C282" i="3"/>
  <c r="B282" i="3"/>
  <c r="A282" i="3"/>
  <c r="Z281" i="3"/>
  <c r="Y281" i="3"/>
  <c r="X281" i="3"/>
  <c r="W281" i="3"/>
  <c r="V281" i="3"/>
  <c r="U281" i="3"/>
  <c r="T281" i="3"/>
  <c r="S281" i="3"/>
  <c r="R281" i="3"/>
  <c r="Q281" i="3"/>
  <c r="P281" i="3"/>
  <c r="O281" i="3"/>
  <c r="N281" i="3"/>
  <c r="M281" i="3"/>
  <c r="L281" i="3"/>
  <c r="K281" i="3"/>
  <c r="J281" i="3"/>
  <c r="I281" i="3"/>
  <c r="H281" i="3"/>
  <c r="G281" i="3"/>
  <c r="F281" i="3"/>
  <c r="E281" i="3"/>
  <c r="D281" i="3"/>
  <c r="C281" i="3"/>
  <c r="B281" i="3"/>
  <c r="A281" i="3"/>
  <c r="Z280" i="3"/>
  <c r="Y280" i="3"/>
  <c r="X280" i="3"/>
  <c r="W280" i="3"/>
  <c r="V280" i="3"/>
  <c r="U280" i="3"/>
  <c r="T280" i="3"/>
  <c r="S280" i="3"/>
  <c r="R280" i="3"/>
  <c r="Q280" i="3"/>
  <c r="P280" i="3"/>
  <c r="O280" i="3"/>
  <c r="N280" i="3"/>
  <c r="M280" i="3"/>
  <c r="L280" i="3"/>
  <c r="K280" i="3"/>
  <c r="J280" i="3"/>
  <c r="I280" i="3"/>
  <c r="H280" i="3"/>
  <c r="G280" i="3"/>
  <c r="F280" i="3"/>
  <c r="E280" i="3"/>
  <c r="D280" i="3"/>
  <c r="C280" i="3"/>
  <c r="B280" i="3"/>
  <c r="A280" i="3"/>
  <c r="Z279" i="3"/>
  <c r="Y279" i="3"/>
  <c r="X279" i="3"/>
  <c r="W279" i="3"/>
  <c r="V279" i="3"/>
  <c r="U279" i="3"/>
  <c r="T279" i="3"/>
  <c r="S279" i="3"/>
  <c r="R279" i="3"/>
  <c r="Q279" i="3"/>
  <c r="P279" i="3"/>
  <c r="O279" i="3"/>
  <c r="N279" i="3"/>
  <c r="M279" i="3"/>
  <c r="L279" i="3"/>
  <c r="K279" i="3"/>
  <c r="J279" i="3"/>
  <c r="I279" i="3"/>
  <c r="H279" i="3"/>
  <c r="G279" i="3"/>
  <c r="F279" i="3"/>
  <c r="E279" i="3"/>
  <c r="D279" i="3"/>
  <c r="C279" i="3"/>
  <c r="B279" i="3"/>
  <c r="A279" i="3"/>
  <c r="Z278" i="3"/>
  <c r="Y278" i="3"/>
  <c r="X278" i="3"/>
  <c r="W278" i="3"/>
  <c r="V278" i="3"/>
  <c r="U278" i="3"/>
  <c r="T278" i="3"/>
  <c r="S278" i="3"/>
  <c r="R278" i="3"/>
  <c r="Q278" i="3"/>
  <c r="P278" i="3"/>
  <c r="O278" i="3"/>
  <c r="N278" i="3"/>
  <c r="M278" i="3"/>
  <c r="L278" i="3"/>
  <c r="K278" i="3"/>
  <c r="J278" i="3"/>
  <c r="I278" i="3"/>
  <c r="H278" i="3"/>
  <c r="G278" i="3"/>
  <c r="F278" i="3"/>
  <c r="E278" i="3"/>
  <c r="D278" i="3"/>
  <c r="C278" i="3"/>
  <c r="B278" i="3"/>
  <c r="A278" i="3"/>
  <c r="Z277" i="3"/>
  <c r="Y277" i="3"/>
  <c r="X277" i="3"/>
  <c r="W277" i="3"/>
  <c r="V277" i="3"/>
  <c r="U277" i="3"/>
  <c r="T277" i="3"/>
  <c r="S277" i="3"/>
  <c r="R277" i="3"/>
  <c r="Q277" i="3"/>
  <c r="P277" i="3"/>
  <c r="O277" i="3"/>
  <c r="N277" i="3"/>
  <c r="M277" i="3"/>
  <c r="L277" i="3"/>
  <c r="K277" i="3"/>
  <c r="J277" i="3"/>
  <c r="I277" i="3"/>
  <c r="H277" i="3"/>
  <c r="G277" i="3"/>
  <c r="F277" i="3"/>
  <c r="E277" i="3"/>
  <c r="D277" i="3"/>
  <c r="C277" i="3"/>
  <c r="B277" i="3"/>
  <c r="A277" i="3"/>
  <c r="Z276" i="3"/>
  <c r="Y276" i="3"/>
  <c r="X276" i="3"/>
  <c r="W276" i="3"/>
  <c r="V276" i="3"/>
  <c r="U276" i="3"/>
  <c r="T276" i="3"/>
  <c r="S276" i="3"/>
  <c r="R276" i="3"/>
  <c r="Q276" i="3"/>
  <c r="P276" i="3"/>
  <c r="O276" i="3"/>
  <c r="N276" i="3"/>
  <c r="M276" i="3"/>
  <c r="L276" i="3"/>
  <c r="K276" i="3"/>
  <c r="J276" i="3"/>
  <c r="I276" i="3"/>
  <c r="H276" i="3"/>
  <c r="G276" i="3"/>
  <c r="F276" i="3"/>
  <c r="E276" i="3"/>
  <c r="D276" i="3"/>
  <c r="C276" i="3"/>
  <c r="B276" i="3"/>
  <c r="A276" i="3"/>
  <c r="Z275" i="3"/>
  <c r="Y275" i="3"/>
  <c r="X275" i="3"/>
  <c r="W275" i="3"/>
  <c r="V275" i="3"/>
  <c r="U275" i="3"/>
  <c r="T275" i="3"/>
  <c r="S275" i="3"/>
  <c r="R275" i="3"/>
  <c r="Q275" i="3"/>
  <c r="P275" i="3"/>
  <c r="O275" i="3"/>
  <c r="N275" i="3"/>
  <c r="M275" i="3"/>
  <c r="L275" i="3"/>
  <c r="K275" i="3"/>
  <c r="J275" i="3"/>
  <c r="I275" i="3"/>
  <c r="H275" i="3"/>
  <c r="G275" i="3"/>
  <c r="F275" i="3"/>
  <c r="E275" i="3"/>
  <c r="D275" i="3"/>
  <c r="C275" i="3"/>
  <c r="B275" i="3"/>
  <c r="A275" i="3"/>
  <c r="Z274" i="3"/>
  <c r="Y274" i="3"/>
  <c r="X274" i="3"/>
  <c r="W274" i="3"/>
  <c r="V274" i="3"/>
  <c r="U274" i="3"/>
  <c r="T274" i="3"/>
  <c r="S274" i="3"/>
  <c r="R274" i="3"/>
  <c r="Q274" i="3"/>
  <c r="P274" i="3"/>
  <c r="O274" i="3"/>
  <c r="N274" i="3"/>
  <c r="M274" i="3"/>
  <c r="L274" i="3"/>
  <c r="K274" i="3"/>
  <c r="J274" i="3"/>
  <c r="I274" i="3"/>
  <c r="H274" i="3"/>
  <c r="G274" i="3"/>
  <c r="F274" i="3"/>
  <c r="E274" i="3"/>
  <c r="D274" i="3"/>
  <c r="C274" i="3"/>
  <c r="B274" i="3"/>
  <c r="A274" i="3"/>
  <c r="Z273" i="3"/>
  <c r="Y273" i="3"/>
  <c r="X273" i="3"/>
  <c r="W273" i="3"/>
  <c r="V273" i="3"/>
  <c r="U273" i="3"/>
  <c r="T273" i="3"/>
  <c r="S273" i="3"/>
  <c r="R273" i="3"/>
  <c r="Q273" i="3"/>
  <c r="P273" i="3"/>
  <c r="O273" i="3"/>
  <c r="N273" i="3"/>
  <c r="M273" i="3"/>
  <c r="L273" i="3"/>
  <c r="K273" i="3"/>
  <c r="J273" i="3"/>
  <c r="I273" i="3"/>
  <c r="H273" i="3"/>
  <c r="G273" i="3"/>
  <c r="F273" i="3"/>
  <c r="E273" i="3"/>
  <c r="D273" i="3"/>
  <c r="C273" i="3"/>
  <c r="B273" i="3"/>
  <c r="A273" i="3"/>
  <c r="Z272" i="3"/>
  <c r="Y272" i="3"/>
  <c r="X272" i="3"/>
  <c r="W272" i="3"/>
  <c r="V272" i="3"/>
  <c r="U272" i="3"/>
  <c r="T272" i="3"/>
  <c r="S272" i="3"/>
  <c r="R272" i="3"/>
  <c r="Q272" i="3"/>
  <c r="P272" i="3"/>
  <c r="O272" i="3"/>
  <c r="N272" i="3"/>
  <c r="M272" i="3"/>
  <c r="L272" i="3"/>
  <c r="K272" i="3"/>
  <c r="J272" i="3"/>
  <c r="I272" i="3"/>
  <c r="H272" i="3"/>
  <c r="G272" i="3"/>
  <c r="F272" i="3"/>
  <c r="E272" i="3"/>
  <c r="D272" i="3"/>
  <c r="C272" i="3"/>
  <c r="B272" i="3"/>
  <c r="A272" i="3"/>
  <c r="Z271" i="3"/>
  <c r="Y271" i="3"/>
  <c r="X271" i="3"/>
  <c r="W271" i="3"/>
  <c r="V271" i="3"/>
  <c r="U271" i="3"/>
  <c r="T271" i="3"/>
  <c r="S271" i="3"/>
  <c r="R271" i="3"/>
  <c r="Q271" i="3"/>
  <c r="P271" i="3"/>
  <c r="O271" i="3"/>
  <c r="N271" i="3"/>
  <c r="M271" i="3"/>
  <c r="L271" i="3"/>
  <c r="K271" i="3"/>
  <c r="J271" i="3"/>
  <c r="I271" i="3"/>
  <c r="H271" i="3"/>
  <c r="G271" i="3"/>
  <c r="F271" i="3"/>
  <c r="E271" i="3"/>
  <c r="D271" i="3"/>
  <c r="C271" i="3"/>
  <c r="B271" i="3"/>
  <c r="A271" i="3"/>
  <c r="Z270" i="3"/>
  <c r="Y270" i="3"/>
  <c r="X270" i="3"/>
  <c r="W270" i="3"/>
  <c r="V270" i="3"/>
  <c r="U270" i="3"/>
  <c r="T270" i="3"/>
  <c r="S270" i="3"/>
  <c r="R270" i="3"/>
  <c r="Q270" i="3"/>
  <c r="P270" i="3"/>
  <c r="O270" i="3"/>
  <c r="N270" i="3"/>
  <c r="M270" i="3"/>
  <c r="L270" i="3"/>
  <c r="K270" i="3"/>
  <c r="J270" i="3"/>
  <c r="I270" i="3"/>
  <c r="H270" i="3"/>
  <c r="G270" i="3"/>
  <c r="F270" i="3"/>
  <c r="E270" i="3"/>
  <c r="D270" i="3"/>
  <c r="C270" i="3"/>
  <c r="B270" i="3"/>
  <c r="A270" i="3"/>
  <c r="Z269" i="3"/>
  <c r="Y269" i="3"/>
  <c r="X269" i="3"/>
  <c r="W269" i="3"/>
  <c r="V269" i="3"/>
  <c r="U269" i="3"/>
  <c r="T269" i="3"/>
  <c r="S269" i="3"/>
  <c r="R269" i="3"/>
  <c r="Q269" i="3"/>
  <c r="P269" i="3"/>
  <c r="O269" i="3"/>
  <c r="N269" i="3"/>
  <c r="M269" i="3"/>
  <c r="L269" i="3"/>
  <c r="K269" i="3"/>
  <c r="J269" i="3"/>
  <c r="I269" i="3"/>
  <c r="H269" i="3"/>
  <c r="G269" i="3"/>
  <c r="F269" i="3"/>
  <c r="E269" i="3"/>
  <c r="D269" i="3"/>
  <c r="C269" i="3"/>
  <c r="B269" i="3"/>
  <c r="A269" i="3"/>
  <c r="Z268" i="3"/>
  <c r="Y268" i="3"/>
  <c r="X268" i="3"/>
  <c r="W268" i="3"/>
  <c r="V268" i="3"/>
  <c r="U268" i="3"/>
  <c r="T268" i="3"/>
  <c r="S268" i="3"/>
  <c r="R268" i="3"/>
  <c r="Q268" i="3"/>
  <c r="P268" i="3"/>
  <c r="O268" i="3"/>
  <c r="N268" i="3"/>
  <c r="M268" i="3"/>
  <c r="L268" i="3"/>
  <c r="K268" i="3"/>
  <c r="J268" i="3"/>
  <c r="I268" i="3"/>
  <c r="H268" i="3"/>
  <c r="G268" i="3"/>
  <c r="F268" i="3"/>
  <c r="E268" i="3"/>
  <c r="D268" i="3"/>
  <c r="C268" i="3"/>
  <c r="B268" i="3"/>
  <c r="A268" i="3"/>
  <c r="Z267" i="3"/>
  <c r="Y267" i="3"/>
  <c r="X267" i="3"/>
  <c r="W267" i="3"/>
  <c r="V267" i="3"/>
  <c r="U267" i="3"/>
  <c r="T267" i="3"/>
  <c r="S267" i="3"/>
  <c r="R267" i="3"/>
  <c r="Q267" i="3"/>
  <c r="P267" i="3"/>
  <c r="O267" i="3"/>
  <c r="N267" i="3"/>
  <c r="M267" i="3"/>
  <c r="L267" i="3"/>
  <c r="K267" i="3"/>
  <c r="J267" i="3"/>
  <c r="I267" i="3"/>
  <c r="H267" i="3"/>
  <c r="G267" i="3"/>
  <c r="F267" i="3"/>
  <c r="E267" i="3"/>
  <c r="D267" i="3"/>
  <c r="C267" i="3"/>
  <c r="B267" i="3"/>
  <c r="A267" i="3"/>
  <c r="Z266" i="3"/>
  <c r="Y266" i="3"/>
  <c r="X266" i="3"/>
  <c r="W266" i="3"/>
  <c r="V266" i="3"/>
  <c r="U266" i="3"/>
  <c r="T266" i="3"/>
  <c r="S266" i="3"/>
  <c r="R266" i="3"/>
  <c r="Q266" i="3"/>
  <c r="P266" i="3"/>
  <c r="O266" i="3"/>
  <c r="N266" i="3"/>
  <c r="M266" i="3"/>
  <c r="L266" i="3"/>
  <c r="K266" i="3"/>
  <c r="J266" i="3"/>
  <c r="I266" i="3"/>
  <c r="H266" i="3"/>
  <c r="G266" i="3"/>
  <c r="F266" i="3"/>
  <c r="E266" i="3"/>
  <c r="D266" i="3"/>
  <c r="C266" i="3"/>
  <c r="B266" i="3"/>
  <c r="A266" i="3"/>
  <c r="Z265" i="3"/>
  <c r="Y265" i="3"/>
  <c r="X265" i="3"/>
  <c r="W265" i="3"/>
  <c r="V265" i="3"/>
  <c r="U265" i="3"/>
  <c r="T265" i="3"/>
  <c r="S265" i="3"/>
  <c r="R265" i="3"/>
  <c r="Q265" i="3"/>
  <c r="P265" i="3"/>
  <c r="O265" i="3"/>
  <c r="N265" i="3"/>
  <c r="M265" i="3"/>
  <c r="L265" i="3"/>
  <c r="K265" i="3"/>
  <c r="J265" i="3"/>
  <c r="I265" i="3"/>
  <c r="H265" i="3"/>
  <c r="G265" i="3"/>
  <c r="F265" i="3"/>
  <c r="E265" i="3"/>
  <c r="D265" i="3"/>
  <c r="C265" i="3"/>
  <c r="B265" i="3"/>
  <c r="A265" i="3"/>
  <c r="Z264" i="3"/>
  <c r="Y264" i="3"/>
  <c r="X264" i="3"/>
  <c r="W264" i="3"/>
  <c r="V264" i="3"/>
  <c r="U264" i="3"/>
  <c r="T264" i="3"/>
  <c r="S264" i="3"/>
  <c r="R264" i="3"/>
  <c r="Q264" i="3"/>
  <c r="P264" i="3"/>
  <c r="O264" i="3"/>
  <c r="N264" i="3"/>
  <c r="M264" i="3"/>
  <c r="L264" i="3"/>
  <c r="K264" i="3"/>
  <c r="J264" i="3"/>
  <c r="I264" i="3"/>
  <c r="H264" i="3"/>
  <c r="G264" i="3"/>
  <c r="F264" i="3"/>
  <c r="E264" i="3"/>
  <c r="D264" i="3"/>
  <c r="C264" i="3"/>
  <c r="B264" i="3"/>
  <c r="A264" i="3"/>
  <c r="Z263" i="3"/>
  <c r="Y263" i="3"/>
  <c r="X263" i="3"/>
  <c r="W263" i="3"/>
  <c r="V263" i="3"/>
  <c r="U263" i="3"/>
  <c r="T263" i="3"/>
  <c r="S263" i="3"/>
  <c r="R263" i="3"/>
  <c r="Q263" i="3"/>
  <c r="P263" i="3"/>
  <c r="O263" i="3"/>
  <c r="N263" i="3"/>
  <c r="M263" i="3"/>
  <c r="L263" i="3"/>
  <c r="K263" i="3"/>
  <c r="J263" i="3"/>
  <c r="I263" i="3"/>
  <c r="H263" i="3"/>
  <c r="G263" i="3"/>
  <c r="F263" i="3"/>
  <c r="E263" i="3"/>
  <c r="D263" i="3"/>
  <c r="C263" i="3"/>
  <c r="B263" i="3"/>
  <c r="A263" i="3"/>
  <c r="Z262" i="3"/>
  <c r="Y262" i="3"/>
  <c r="X262" i="3"/>
  <c r="W262" i="3"/>
  <c r="V262" i="3"/>
  <c r="U262" i="3"/>
  <c r="T262" i="3"/>
  <c r="S262" i="3"/>
  <c r="R262" i="3"/>
  <c r="Q262" i="3"/>
  <c r="P262" i="3"/>
  <c r="O262" i="3"/>
  <c r="N262" i="3"/>
  <c r="M262" i="3"/>
  <c r="L262" i="3"/>
  <c r="K262" i="3"/>
  <c r="J262" i="3"/>
  <c r="I262" i="3"/>
  <c r="H262" i="3"/>
  <c r="G262" i="3"/>
  <c r="F262" i="3"/>
  <c r="E262" i="3"/>
  <c r="D262" i="3"/>
  <c r="C262" i="3"/>
  <c r="B262" i="3"/>
  <c r="A262" i="3"/>
  <c r="Z261" i="3"/>
  <c r="Y261" i="3"/>
  <c r="X261" i="3"/>
  <c r="W261" i="3"/>
  <c r="V261" i="3"/>
  <c r="U261" i="3"/>
  <c r="T261" i="3"/>
  <c r="S261" i="3"/>
  <c r="R261" i="3"/>
  <c r="Q261" i="3"/>
  <c r="P261" i="3"/>
  <c r="O261" i="3"/>
  <c r="N261" i="3"/>
  <c r="M261" i="3"/>
  <c r="L261" i="3"/>
  <c r="K261" i="3"/>
  <c r="J261" i="3"/>
  <c r="I261" i="3"/>
  <c r="H261" i="3"/>
  <c r="G261" i="3"/>
  <c r="F261" i="3"/>
  <c r="E261" i="3"/>
  <c r="D261" i="3"/>
  <c r="C261" i="3"/>
  <c r="B261" i="3"/>
  <c r="A261" i="3"/>
  <c r="Z260" i="3"/>
  <c r="Y260" i="3"/>
  <c r="X260" i="3"/>
  <c r="W260" i="3"/>
  <c r="V260" i="3"/>
  <c r="U260" i="3"/>
  <c r="T260" i="3"/>
  <c r="S260" i="3"/>
  <c r="R260" i="3"/>
  <c r="Q260" i="3"/>
  <c r="P260" i="3"/>
  <c r="O260" i="3"/>
  <c r="N260" i="3"/>
  <c r="M260" i="3"/>
  <c r="L260" i="3"/>
  <c r="K260" i="3"/>
  <c r="J260" i="3"/>
  <c r="I260" i="3"/>
  <c r="H260" i="3"/>
  <c r="G260" i="3"/>
  <c r="F260" i="3"/>
  <c r="E260" i="3"/>
  <c r="D260" i="3"/>
  <c r="C260" i="3"/>
  <c r="B260" i="3"/>
  <c r="A260" i="3"/>
  <c r="Z259" i="3"/>
  <c r="Y259" i="3"/>
  <c r="X259" i="3"/>
  <c r="W259" i="3"/>
  <c r="V259" i="3"/>
  <c r="U259" i="3"/>
  <c r="T259" i="3"/>
  <c r="S259" i="3"/>
  <c r="R259" i="3"/>
  <c r="Q259" i="3"/>
  <c r="P259" i="3"/>
  <c r="O259" i="3"/>
  <c r="N259" i="3"/>
  <c r="M259" i="3"/>
  <c r="L259" i="3"/>
  <c r="K259" i="3"/>
  <c r="J259" i="3"/>
  <c r="I259" i="3"/>
  <c r="H259" i="3"/>
  <c r="G259" i="3"/>
  <c r="F259" i="3"/>
  <c r="E259" i="3"/>
  <c r="D259" i="3"/>
  <c r="C259" i="3"/>
  <c r="B259" i="3"/>
  <c r="A259" i="3"/>
  <c r="Z258" i="3"/>
  <c r="Y258" i="3"/>
  <c r="X258" i="3"/>
  <c r="W258" i="3"/>
  <c r="V258" i="3"/>
  <c r="U258" i="3"/>
  <c r="T258" i="3"/>
  <c r="S258" i="3"/>
  <c r="R258" i="3"/>
  <c r="Q258" i="3"/>
  <c r="P258" i="3"/>
  <c r="O258" i="3"/>
  <c r="N258" i="3"/>
  <c r="M258" i="3"/>
  <c r="L258" i="3"/>
  <c r="K258" i="3"/>
  <c r="J258" i="3"/>
  <c r="I258" i="3"/>
  <c r="H258" i="3"/>
  <c r="G258" i="3"/>
  <c r="F258" i="3"/>
  <c r="E258" i="3"/>
  <c r="D258" i="3"/>
  <c r="C258" i="3"/>
  <c r="B258" i="3"/>
  <c r="A258" i="3"/>
  <c r="Z257" i="3"/>
  <c r="Y257" i="3"/>
  <c r="X257" i="3"/>
  <c r="W257" i="3"/>
  <c r="V257" i="3"/>
  <c r="U257" i="3"/>
  <c r="T257" i="3"/>
  <c r="S257" i="3"/>
  <c r="R257" i="3"/>
  <c r="Q257" i="3"/>
  <c r="P257" i="3"/>
  <c r="O257" i="3"/>
  <c r="N257" i="3"/>
  <c r="M257" i="3"/>
  <c r="L257" i="3"/>
  <c r="K257" i="3"/>
  <c r="J257" i="3"/>
  <c r="I257" i="3"/>
  <c r="H257" i="3"/>
  <c r="G257" i="3"/>
  <c r="F257" i="3"/>
  <c r="E257" i="3"/>
  <c r="D257" i="3"/>
  <c r="C257" i="3"/>
  <c r="B257" i="3"/>
  <c r="A257" i="3"/>
  <c r="Z256" i="3"/>
  <c r="Y256" i="3"/>
  <c r="X256" i="3"/>
  <c r="W256" i="3"/>
  <c r="V256" i="3"/>
  <c r="U256" i="3"/>
  <c r="T256" i="3"/>
  <c r="S256" i="3"/>
  <c r="R256" i="3"/>
  <c r="Q256" i="3"/>
  <c r="P256" i="3"/>
  <c r="O256" i="3"/>
  <c r="N256" i="3"/>
  <c r="M256" i="3"/>
  <c r="L256" i="3"/>
  <c r="K256" i="3"/>
  <c r="J256" i="3"/>
  <c r="I256" i="3"/>
  <c r="H256" i="3"/>
  <c r="G256" i="3"/>
  <c r="F256" i="3"/>
  <c r="E256" i="3"/>
  <c r="D256" i="3"/>
  <c r="C256" i="3"/>
  <c r="B256" i="3"/>
  <c r="A256" i="3"/>
  <c r="Z255" i="3"/>
  <c r="Y255" i="3"/>
  <c r="X255" i="3"/>
  <c r="W255" i="3"/>
  <c r="V255" i="3"/>
  <c r="U255" i="3"/>
  <c r="T255" i="3"/>
  <c r="S255" i="3"/>
  <c r="R255" i="3"/>
  <c r="Q255" i="3"/>
  <c r="P255" i="3"/>
  <c r="O255" i="3"/>
  <c r="N255" i="3"/>
  <c r="M255" i="3"/>
  <c r="L255" i="3"/>
  <c r="K255" i="3"/>
  <c r="J255" i="3"/>
  <c r="I255" i="3"/>
  <c r="H255" i="3"/>
  <c r="G255" i="3"/>
  <c r="F255" i="3"/>
  <c r="E255" i="3"/>
  <c r="D255" i="3"/>
  <c r="C255" i="3"/>
  <c r="B255" i="3"/>
  <c r="A255" i="3"/>
  <c r="Z254" i="3"/>
  <c r="Y254" i="3"/>
  <c r="X254" i="3"/>
  <c r="W254" i="3"/>
  <c r="V254" i="3"/>
  <c r="U254" i="3"/>
  <c r="T254" i="3"/>
  <c r="S254" i="3"/>
  <c r="R254" i="3"/>
  <c r="Q254" i="3"/>
  <c r="P254" i="3"/>
  <c r="O254" i="3"/>
  <c r="N254" i="3"/>
  <c r="M254" i="3"/>
  <c r="L254" i="3"/>
  <c r="K254" i="3"/>
  <c r="J254" i="3"/>
  <c r="I254" i="3"/>
  <c r="H254" i="3"/>
  <c r="G254" i="3"/>
  <c r="F254" i="3"/>
  <c r="E254" i="3"/>
  <c r="D254" i="3"/>
  <c r="C254" i="3"/>
  <c r="B254" i="3"/>
  <c r="A254" i="3"/>
  <c r="Z253" i="3"/>
  <c r="Y253" i="3"/>
  <c r="X253" i="3"/>
  <c r="W253" i="3"/>
  <c r="V253" i="3"/>
  <c r="U253" i="3"/>
  <c r="T253" i="3"/>
  <c r="S253" i="3"/>
  <c r="R253" i="3"/>
  <c r="Q253" i="3"/>
  <c r="P253" i="3"/>
  <c r="O253" i="3"/>
  <c r="N253" i="3"/>
  <c r="M253" i="3"/>
  <c r="L253" i="3"/>
  <c r="K253" i="3"/>
  <c r="J253" i="3"/>
  <c r="I253" i="3"/>
  <c r="H253" i="3"/>
  <c r="G253" i="3"/>
  <c r="F253" i="3"/>
  <c r="E253" i="3"/>
  <c r="D253" i="3"/>
  <c r="C253" i="3"/>
  <c r="B253" i="3"/>
  <c r="A253" i="3"/>
  <c r="Z252" i="3"/>
  <c r="Y252" i="3"/>
  <c r="X252" i="3"/>
  <c r="W252" i="3"/>
  <c r="V252" i="3"/>
  <c r="U252" i="3"/>
  <c r="T252" i="3"/>
  <c r="S252" i="3"/>
  <c r="R252" i="3"/>
  <c r="Q252" i="3"/>
  <c r="P252" i="3"/>
  <c r="O252" i="3"/>
  <c r="N252" i="3"/>
  <c r="M252" i="3"/>
  <c r="L252" i="3"/>
  <c r="K252" i="3"/>
  <c r="J252" i="3"/>
  <c r="I252" i="3"/>
  <c r="H252" i="3"/>
  <c r="G252" i="3"/>
  <c r="F252" i="3"/>
  <c r="E252" i="3"/>
  <c r="D252" i="3"/>
  <c r="C252" i="3"/>
  <c r="B252" i="3"/>
  <c r="A252" i="3"/>
  <c r="Z251" i="3"/>
  <c r="Y251" i="3"/>
  <c r="X251" i="3"/>
  <c r="W251" i="3"/>
  <c r="V251" i="3"/>
  <c r="U251" i="3"/>
  <c r="T251" i="3"/>
  <c r="S251" i="3"/>
  <c r="R251" i="3"/>
  <c r="Q251" i="3"/>
  <c r="P251" i="3"/>
  <c r="O251" i="3"/>
  <c r="N251" i="3"/>
  <c r="M251" i="3"/>
  <c r="L251" i="3"/>
  <c r="K251" i="3"/>
  <c r="J251" i="3"/>
  <c r="I251" i="3"/>
  <c r="H251" i="3"/>
  <c r="G251" i="3"/>
  <c r="F251" i="3"/>
  <c r="E251" i="3"/>
  <c r="D251" i="3"/>
  <c r="C251" i="3"/>
  <c r="B251" i="3"/>
  <c r="A251" i="3"/>
  <c r="Z250" i="3"/>
  <c r="Y250" i="3"/>
  <c r="X250" i="3"/>
  <c r="W250" i="3"/>
  <c r="V250" i="3"/>
  <c r="U250" i="3"/>
  <c r="T250" i="3"/>
  <c r="S250" i="3"/>
  <c r="R250" i="3"/>
  <c r="Q250" i="3"/>
  <c r="P250" i="3"/>
  <c r="O250" i="3"/>
  <c r="N250" i="3"/>
  <c r="M250" i="3"/>
  <c r="L250" i="3"/>
  <c r="K250" i="3"/>
  <c r="J250" i="3"/>
  <c r="I250" i="3"/>
  <c r="H250" i="3"/>
  <c r="G250" i="3"/>
  <c r="F250" i="3"/>
  <c r="E250" i="3"/>
  <c r="D250" i="3"/>
  <c r="C250" i="3"/>
  <c r="B250" i="3"/>
  <c r="A250" i="3"/>
  <c r="Z249" i="3"/>
  <c r="Y249" i="3"/>
  <c r="X249" i="3"/>
  <c r="W249" i="3"/>
  <c r="V249" i="3"/>
  <c r="U249" i="3"/>
  <c r="T249" i="3"/>
  <c r="S249" i="3"/>
  <c r="R249" i="3"/>
  <c r="Q249" i="3"/>
  <c r="P249" i="3"/>
  <c r="O249" i="3"/>
  <c r="N249" i="3"/>
  <c r="M249" i="3"/>
  <c r="L249" i="3"/>
  <c r="K249" i="3"/>
  <c r="J249" i="3"/>
  <c r="I249" i="3"/>
  <c r="H249" i="3"/>
  <c r="G249" i="3"/>
  <c r="F249" i="3"/>
  <c r="E249" i="3"/>
  <c r="D249" i="3"/>
  <c r="C249" i="3"/>
  <c r="B249" i="3"/>
  <c r="A249" i="3"/>
  <c r="Z248" i="3"/>
  <c r="Y248" i="3"/>
  <c r="X248" i="3"/>
  <c r="W248" i="3"/>
  <c r="V248" i="3"/>
  <c r="U248" i="3"/>
  <c r="T248" i="3"/>
  <c r="S248" i="3"/>
  <c r="R248" i="3"/>
  <c r="Q248" i="3"/>
  <c r="P248" i="3"/>
  <c r="O248" i="3"/>
  <c r="N248" i="3"/>
  <c r="M248" i="3"/>
  <c r="L248" i="3"/>
  <c r="K248" i="3"/>
  <c r="J248" i="3"/>
  <c r="I248" i="3"/>
  <c r="H248" i="3"/>
  <c r="G248" i="3"/>
  <c r="F248" i="3"/>
  <c r="E248" i="3"/>
  <c r="D248" i="3"/>
  <c r="C248" i="3"/>
  <c r="B248" i="3"/>
  <c r="A248" i="3"/>
  <c r="Z247" i="3"/>
  <c r="Y247" i="3"/>
  <c r="X247" i="3"/>
  <c r="W247" i="3"/>
  <c r="V247" i="3"/>
  <c r="U247" i="3"/>
  <c r="T247" i="3"/>
  <c r="S247" i="3"/>
  <c r="R247" i="3"/>
  <c r="Q247" i="3"/>
  <c r="P247" i="3"/>
  <c r="O247" i="3"/>
  <c r="N247" i="3"/>
  <c r="M247" i="3"/>
  <c r="L247" i="3"/>
  <c r="K247" i="3"/>
  <c r="J247" i="3"/>
  <c r="I247" i="3"/>
  <c r="H247" i="3"/>
  <c r="G247" i="3"/>
  <c r="F247" i="3"/>
  <c r="E247" i="3"/>
  <c r="D247" i="3"/>
  <c r="C247" i="3"/>
  <c r="B247" i="3"/>
  <c r="A247" i="3"/>
  <c r="Z246" i="3"/>
  <c r="Y246" i="3"/>
  <c r="X246" i="3"/>
  <c r="W246" i="3"/>
  <c r="V246" i="3"/>
  <c r="U246" i="3"/>
  <c r="T246" i="3"/>
  <c r="S246" i="3"/>
  <c r="R246" i="3"/>
  <c r="Q246" i="3"/>
  <c r="P246" i="3"/>
  <c r="O246" i="3"/>
  <c r="N246" i="3"/>
  <c r="M246" i="3"/>
  <c r="L246" i="3"/>
  <c r="K246" i="3"/>
  <c r="J246" i="3"/>
  <c r="I246" i="3"/>
  <c r="H246" i="3"/>
  <c r="G246" i="3"/>
  <c r="F246" i="3"/>
  <c r="E246" i="3"/>
  <c r="D246" i="3"/>
  <c r="C246" i="3"/>
  <c r="B246" i="3"/>
  <c r="A246" i="3"/>
  <c r="Z245" i="3"/>
  <c r="Y245" i="3"/>
  <c r="X245" i="3"/>
  <c r="W245" i="3"/>
  <c r="V245" i="3"/>
  <c r="U245" i="3"/>
  <c r="T245" i="3"/>
  <c r="S245" i="3"/>
  <c r="R245" i="3"/>
  <c r="Q245" i="3"/>
  <c r="P245" i="3"/>
  <c r="O245" i="3"/>
  <c r="N245" i="3"/>
  <c r="M245" i="3"/>
  <c r="L245" i="3"/>
  <c r="K245" i="3"/>
  <c r="J245" i="3"/>
  <c r="I245" i="3"/>
  <c r="H245" i="3"/>
  <c r="G245" i="3"/>
  <c r="F245" i="3"/>
  <c r="E245" i="3"/>
  <c r="D245" i="3"/>
  <c r="C245" i="3"/>
  <c r="B245" i="3"/>
  <c r="A245" i="3"/>
  <c r="Z244" i="3"/>
  <c r="Y244" i="3"/>
  <c r="X244" i="3"/>
  <c r="W244" i="3"/>
  <c r="V244" i="3"/>
  <c r="U244" i="3"/>
  <c r="T244" i="3"/>
  <c r="S244" i="3"/>
  <c r="R244" i="3"/>
  <c r="Q244" i="3"/>
  <c r="P244" i="3"/>
  <c r="O244" i="3"/>
  <c r="N244" i="3"/>
  <c r="M244" i="3"/>
  <c r="L244" i="3"/>
  <c r="K244" i="3"/>
  <c r="J244" i="3"/>
  <c r="I244" i="3"/>
  <c r="H244" i="3"/>
  <c r="G244" i="3"/>
  <c r="F244" i="3"/>
  <c r="E244" i="3"/>
  <c r="D244" i="3"/>
  <c r="C244" i="3"/>
  <c r="B244" i="3"/>
  <c r="A244" i="3"/>
  <c r="Z243" i="3"/>
  <c r="Y243" i="3"/>
  <c r="X243" i="3"/>
  <c r="W243" i="3"/>
  <c r="V243" i="3"/>
  <c r="U243" i="3"/>
  <c r="T243" i="3"/>
  <c r="S243" i="3"/>
  <c r="R243" i="3"/>
  <c r="Q243" i="3"/>
  <c r="P243" i="3"/>
  <c r="O243" i="3"/>
  <c r="N243" i="3"/>
  <c r="M243" i="3"/>
  <c r="L243" i="3"/>
  <c r="K243" i="3"/>
  <c r="J243" i="3"/>
  <c r="I243" i="3"/>
  <c r="H243" i="3"/>
  <c r="G243" i="3"/>
  <c r="F243" i="3"/>
  <c r="E243" i="3"/>
  <c r="D243" i="3"/>
  <c r="C243" i="3"/>
  <c r="B243" i="3"/>
  <c r="A243" i="3"/>
  <c r="Z242" i="3"/>
  <c r="Y242" i="3"/>
  <c r="X242" i="3"/>
  <c r="W242" i="3"/>
  <c r="V242" i="3"/>
  <c r="U242" i="3"/>
  <c r="T242" i="3"/>
  <c r="S242" i="3"/>
  <c r="R242" i="3"/>
  <c r="Q242" i="3"/>
  <c r="P242" i="3"/>
  <c r="O242" i="3"/>
  <c r="N242" i="3"/>
  <c r="M242" i="3"/>
  <c r="L242" i="3"/>
  <c r="K242" i="3"/>
  <c r="J242" i="3"/>
  <c r="I242" i="3"/>
  <c r="H242" i="3"/>
  <c r="G242" i="3"/>
  <c r="F242" i="3"/>
  <c r="E242" i="3"/>
  <c r="D242" i="3"/>
  <c r="C242" i="3"/>
  <c r="B242" i="3"/>
  <c r="A242" i="3"/>
  <c r="Z241" i="3"/>
  <c r="Y241" i="3"/>
  <c r="X241" i="3"/>
  <c r="W241" i="3"/>
  <c r="V241" i="3"/>
  <c r="U241" i="3"/>
  <c r="T241" i="3"/>
  <c r="S241" i="3"/>
  <c r="R241" i="3"/>
  <c r="Q241" i="3"/>
  <c r="P241" i="3"/>
  <c r="O241" i="3"/>
  <c r="N241" i="3"/>
  <c r="M241" i="3"/>
  <c r="L241" i="3"/>
  <c r="K241" i="3"/>
  <c r="J241" i="3"/>
  <c r="I241" i="3"/>
  <c r="H241" i="3"/>
  <c r="G241" i="3"/>
  <c r="F241" i="3"/>
  <c r="E241" i="3"/>
  <c r="D241" i="3"/>
  <c r="C241" i="3"/>
  <c r="B241" i="3"/>
  <c r="A241" i="3"/>
  <c r="Z240" i="3"/>
  <c r="Y240" i="3"/>
  <c r="X240" i="3"/>
  <c r="W240" i="3"/>
  <c r="V240" i="3"/>
  <c r="U240" i="3"/>
  <c r="T240" i="3"/>
  <c r="S240" i="3"/>
  <c r="R240" i="3"/>
  <c r="Q240" i="3"/>
  <c r="P240" i="3"/>
  <c r="O240" i="3"/>
  <c r="N240" i="3"/>
  <c r="M240" i="3"/>
  <c r="L240" i="3"/>
  <c r="K240" i="3"/>
  <c r="J240" i="3"/>
  <c r="I240" i="3"/>
  <c r="H240" i="3"/>
  <c r="G240" i="3"/>
  <c r="F240" i="3"/>
  <c r="E240" i="3"/>
  <c r="D240" i="3"/>
  <c r="C240" i="3"/>
  <c r="B240" i="3"/>
  <c r="A240" i="3"/>
  <c r="Z239" i="3"/>
  <c r="Y239" i="3"/>
  <c r="X239" i="3"/>
  <c r="W239" i="3"/>
  <c r="V239" i="3"/>
  <c r="U239" i="3"/>
  <c r="T239" i="3"/>
  <c r="S239" i="3"/>
  <c r="R239" i="3"/>
  <c r="Q239" i="3"/>
  <c r="P239" i="3"/>
  <c r="O239" i="3"/>
  <c r="N239" i="3"/>
  <c r="M239" i="3"/>
  <c r="L239" i="3"/>
  <c r="K239" i="3"/>
  <c r="J239" i="3"/>
  <c r="I239" i="3"/>
  <c r="H239" i="3"/>
  <c r="G239" i="3"/>
  <c r="F239" i="3"/>
  <c r="E239" i="3"/>
  <c r="D239" i="3"/>
  <c r="C239" i="3"/>
  <c r="B239" i="3"/>
  <c r="A239" i="3"/>
  <c r="Z238" i="3"/>
  <c r="Y238" i="3"/>
  <c r="X238" i="3"/>
  <c r="W238" i="3"/>
  <c r="V238" i="3"/>
  <c r="U238" i="3"/>
  <c r="T238" i="3"/>
  <c r="S238" i="3"/>
  <c r="R238" i="3"/>
  <c r="Q238" i="3"/>
  <c r="P238" i="3"/>
  <c r="O238" i="3"/>
  <c r="N238" i="3"/>
  <c r="M238" i="3"/>
  <c r="L238" i="3"/>
  <c r="K238" i="3"/>
  <c r="J238" i="3"/>
  <c r="I238" i="3"/>
  <c r="H238" i="3"/>
  <c r="G238" i="3"/>
  <c r="F238" i="3"/>
  <c r="E238" i="3"/>
  <c r="D238" i="3"/>
  <c r="C238" i="3"/>
  <c r="B238" i="3"/>
  <c r="A238" i="3"/>
  <c r="Z237" i="3"/>
  <c r="Y237" i="3"/>
  <c r="X237" i="3"/>
  <c r="W237" i="3"/>
  <c r="V237" i="3"/>
  <c r="U237" i="3"/>
  <c r="T237" i="3"/>
  <c r="S237" i="3"/>
  <c r="R237" i="3"/>
  <c r="Q237" i="3"/>
  <c r="P237" i="3"/>
  <c r="O237" i="3"/>
  <c r="N237" i="3"/>
  <c r="M237" i="3"/>
  <c r="L237" i="3"/>
  <c r="K237" i="3"/>
  <c r="J237" i="3"/>
  <c r="I237" i="3"/>
  <c r="H237" i="3"/>
  <c r="G237" i="3"/>
  <c r="F237" i="3"/>
  <c r="E237" i="3"/>
  <c r="D237" i="3"/>
  <c r="C237" i="3"/>
  <c r="B237" i="3"/>
  <c r="A237" i="3"/>
  <c r="Z236" i="3"/>
  <c r="Y236" i="3"/>
  <c r="X236" i="3"/>
  <c r="W236" i="3"/>
  <c r="V236" i="3"/>
  <c r="U236" i="3"/>
  <c r="T236" i="3"/>
  <c r="S236" i="3"/>
  <c r="R236" i="3"/>
  <c r="Q236" i="3"/>
  <c r="P236" i="3"/>
  <c r="O236" i="3"/>
  <c r="N236" i="3"/>
  <c r="M236" i="3"/>
  <c r="L236" i="3"/>
  <c r="K236" i="3"/>
  <c r="J236" i="3"/>
  <c r="I236" i="3"/>
  <c r="H236" i="3"/>
  <c r="G236" i="3"/>
  <c r="F236" i="3"/>
  <c r="E236" i="3"/>
  <c r="D236" i="3"/>
  <c r="C236" i="3"/>
  <c r="B236" i="3"/>
  <c r="A236" i="3"/>
  <c r="Z235" i="3"/>
  <c r="Y235" i="3"/>
  <c r="X235" i="3"/>
  <c r="W235" i="3"/>
  <c r="V235" i="3"/>
  <c r="U235" i="3"/>
  <c r="T235" i="3"/>
  <c r="S235" i="3"/>
  <c r="R235" i="3"/>
  <c r="Q235" i="3"/>
  <c r="P235" i="3"/>
  <c r="O235" i="3"/>
  <c r="N235" i="3"/>
  <c r="M235" i="3"/>
  <c r="L235" i="3"/>
  <c r="K235" i="3"/>
  <c r="J235" i="3"/>
  <c r="I235" i="3"/>
  <c r="H235" i="3"/>
  <c r="G235" i="3"/>
  <c r="F235" i="3"/>
  <c r="E235" i="3"/>
  <c r="D235" i="3"/>
  <c r="C235" i="3"/>
  <c r="B235" i="3"/>
  <c r="A235" i="3"/>
  <c r="Z234" i="3"/>
  <c r="Y234" i="3"/>
  <c r="X234" i="3"/>
  <c r="W234" i="3"/>
  <c r="V234" i="3"/>
  <c r="U234" i="3"/>
  <c r="T234" i="3"/>
  <c r="S234" i="3"/>
  <c r="R234" i="3"/>
  <c r="Q234" i="3"/>
  <c r="P234" i="3"/>
  <c r="O234" i="3"/>
  <c r="N234" i="3"/>
  <c r="M234" i="3"/>
  <c r="L234" i="3"/>
  <c r="K234" i="3"/>
  <c r="J234" i="3"/>
  <c r="I234" i="3"/>
  <c r="H234" i="3"/>
  <c r="G234" i="3"/>
  <c r="F234" i="3"/>
  <c r="E234" i="3"/>
  <c r="D234" i="3"/>
  <c r="C234" i="3"/>
  <c r="B234" i="3"/>
  <c r="A234" i="3"/>
  <c r="Z233" i="3"/>
  <c r="Y233" i="3"/>
  <c r="X233" i="3"/>
  <c r="W233" i="3"/>
  <c r="V233" i="3"/>
  <c r="U233" i="3"/>
  <c r="T233" i="3"/>
  <c r="S233" i="3"/>
  <c r="R233" i="3"/>
  <c r="Q233" i="3"/>
  <c r="P233" i="3"/>
  <c r="O233" i="3"/>
  <c r="N233" i="3"/>
  <c r="M233" i="3"/>
  <c r="L233" i="3"/>
  <c r="K233" i="3"/>
  <c r="J233" i="3"/>
  <c r="I233" i="3"/>
  <c r="H233" i="3"/>
  <c r="G233" i="3"/>
  <c r="F233" i="3"/>
  <c r="E233" i="3"/>
  <c r="D233" i="3"/>
  <c r="C233" i="3"/>
  <c r="B233" i="3"/>
  <c r="A233" i="3"/>
  <c r="Z232" i="3"/>
  <c r="Y232" i="3"/>
  <c r="X232" i="3"/>
  <c r="W232" i="3"/>
  <c r="V232" i="3"/>
  <c r="U232" i="3"/>
  <c r="T232" i="3"/>
  <c r="S232" i="3"/>
  <c r="R232" i="3"/>
  <c r="Q232" i="3"/>
  <c r="P232" i="3"/>
  <c r="O232" i="3"/>
  <c r="N232" i="3"/>
  <c r="M232" i="3"/>
  <c r="L232" i="3"/>
  <c r="K232" i="3"/>
  <c r="J232" i="3"/>
  <c r="I232" i="3"/>
  <c r="H232" i="3"/>
  <c r="G232" i="3"/>
  <c r="F232" i="3"/>
  <c r="E232" i="3"/>
  <c r="D232" i="3"/>
  <c r="C232" i="3"/>
  <c r="B232" i="3"/>
  <c r="A232" i="3"/>
  <c r="Z231" i="3"/>
  <c r="Y231" i="3"/>
  <c r="X231" i="3"/>
  <c r="W231" i="3"/>
  <c r="V231" i="3"/>
  <c r="U231" i="3"/>
  <c r="T231" i="3"/>
  <c r="S231" i="3"/>
  <c r="R231" i="3"/>
  <c r="Q231" i="3"/>
  <c r="P231" i="3"/>
  <c r="O231" i="3"/>
  <c r="N231" i="3"/>
  <c r="M231" i="3"/>
  <c r="L231" i="3"/>
  <c r="K231" i="3"/>
  <c r="J231" i="3"/>
  <c r="I231" i="3"/>
  <c r="H231" i="3"/>
  <c r="G231" i="3"/>
  <c r="F231" i="3"/>
  <c r="E231" i="3"/>
  <c r="D231" i="3"/>
  <c r="C231" i="3"/>
  <c r="B231" i="3"/>
  <c r="A231" i="3"/>
  <c r="Z230" i="3"/>
  <c r="Y230" i="3"/>
  <c r="X230" i="3"/>
  <c r="W230" i="3"/>
  <c r="V230" i="3"/>
  <c r="U230" i="3"/>
  <c r="T230" i="3"/>
  <c r="S230" i="3"/>
  <c r="R230" i="3"/>
  <c r="Q230" i="3"/>
  <c r="P230" i="3"/>
  <c r="O230" i="3"/>
  <c r="N230" i="3"/>
  <c r="M230" i="3"/>
  <c r="L230" i="3"/>
  <c r="K230" i="3"/>
  <c r="J230" i="3"/>
  <c r="I230" i="3"/>
  <c r="H230" i="3"/>
  <c r="G230" i="3"/>
  <c r="F230" i="3"/>
  <c r="E230" i="3"/>
  <c r="D230" i="3"/>
  <c r="C230" i="3"/>
  <c r="B230" i="3"/>
  <c r="A230" i="3"/>
  <c r="Z229" i="3"/>
  <c r="Y229" i="3"/>
  <c r="X229" i="3"/>
  <c r="W229" i="3"/>
  <c r="V229" i="3"/>
  <c r="U229" i="3"/>
  <c r="T229" i="3"/>
  <c r="S229" i="3"/>
  <c r="R229" i="3"/>
  <c r="Q229" i="3"/>
  <c r="P229" i="3"/>
  <c r="O229" i="3"/>
  <c r="N229" i="3"/>
  <c r="M229" i="3"/>
  <c r="L229" i="3"/>
  <c r="K229" i="3"/>
  <c r="J229" i="3"/>
  <c r="I229" i="3"/>
  <c r="H229" i="3"/>
  <c r="G229" i="3"/>
  <c r="F229" i="3"/>
  <c r="E229" i="3"/>
  <c r="D229" i="3"/>
  <c r="C229" i="3"/>
  <c r="B229" i="3"/>
  <c r="A229" i="3"/>
  <c r="Z228" i="3"/>
  <c r="Y228" i="3"/>
  <c r="X228" i="3"/>
  <c r="W228" i="3"/>
  <c r="V228" i="3"/>
  <c r="U228" i="3"/>
  <c r="T228" i="3"/>
  <c r="S228" i="3"/>
  <c r="R228" i="3"/>
  <c r="Q228" i="3"/>
  <c r="P228" i="3"/>
  <c r="O228" i="3"/>
  <c r="N228" i="3"/>
  <c r="M228" i="3"/>
  <c r="L228" i="3"/>
  <c r="K228" i="3"/>
  <c r="J228" i="3"/>
  <c r="I228" i="3"/>
  <c r="H228" i="3"/>
  <c r="G228" i="3"/>
  <c r="F228" i="3"/>
  <c r="E228" i="3"/>
  <c r="D228" i="3"/>
  <c r="C228" i="3"/>
  <c r="B228" i="3"/>
  <c r="A228" i="3"/>
  <c r="Z227" i="3"/>
  <c r="Y227" i="3"/>
  <c r="X227" i="3"/>
  <c r="W227" i="3"/>
  <c r="V227" i="3"/>
  <c r="U227" i="3"/>
  <c r="T227" i="3"/>
  <c r="S227" i="3"/>
  <c r="R227" i="3"/>
  <c r="Q227" i="3"/>
  <c r="P227" i="3"/>
  <c r="O227" i="3"/>
  <c r="N227" i="3"/>
  <c r="M227" i="3"/>
  <c r="L227" i="3"/>
  <c r="K227" i="3"/>
  <c r="J227" i="3"/>
  <c r="I227" i="3"/>
  <c r="H227" i="3"/>
  <c r="G227" i="3"/>
  <c r="F227" i="3"/>
  <c r="E227" i="3"/>
  <c r="D227" i="3"/>
  <c r="C227" i="3"/>
  <c r="B227" i="3"/>
  <c r="A227" i="3"/>
  <c r="Z226" i="3"/>
  <c r="Y226" i="3"/>
  <c r="X226" i="3"/>
  <c r="W226" i="3"/>
  <c r="V226" i="3"/>
  <c r="U226" i="3"/>
  <c r="T226" i="3"/>
  <c r="S226" i="3"/>
  <c r="R226" i="3"/>
  <c r="Q226" i="3"/>
  <c r="P226" i="3"/>
  <c r="O226" i="3"/>
  <c r="N226" i="3"/>
  <c r="M226" i="3"/>
  <c r="L226" i="3"/>
  <c r="K226" i="3"/>
  <c r="J226" i="3"/>
  <c r="I226" i="3"/>
  <c r="H226" i="3"/>
  <c r="G226" i="3"/>
  <c r="F226" i="3"/>
  <c r="E226" i="3"/>
  <c r="D226" i="3"/>
  <c r="C226" i="3"/>
  <c r="B226" i="3"/>
  <c r="A226" i="3"/>
  <c r="Z225" i="3"/>
  <c r="Y225" i="3"/>
  <c r="X225" i="3"/>
  <c r="W225" i="3"/>
  <c r="V225" i="3"/>
  <c r="U225" i="3"/>
  <c r="T225" i="3"/>
  <c r="S225" i="3"/>
  <c r="R225" i="3"/>
  <c r="Q225" i="3"/>
  <c r="P225" i="3"/>
  <c r="O225" i="3"/>
  <c r="N225" i="3"/>
  <c r="M225" i="3"/>
  <c r="L225" i="3"/>
  <c r="K225" i="3"/>
  <c r="J225" i="3"/>
  <c r="I225" i="3"/>
  <c r="H225" i="3"/>
  <c r="G225" i="3"/>
  <c r="F225" i="3"/>
  <c r="E225" i="3"/>
  <c r="D225" i="3"/>
  <c r="C225" i="3"/>
  <c r="B225" i="3"/>
  <c r="A225" i="3"/>
  <c r="Z224" i="3"/>
  <c r="Y224" i="3"/>
  <c r="X224" i="3"/>
  <c r="W224" i="3"/>
  <c r="V224" i="3"/>
  <c r="U224" i="3"/>
  <c r="T224" i="3"/>
  <c r="S224" i="3"/>
  <c r="R224" i="3"/>
  <c r="Q224" i="3"/>
  <c r="P224" i="3"/>
  <c r="O224" i="3"/>
  <c r="N224" i="3"/>
  <c r="M224" i="3"/>
  <c r="L224" i="3"/>
  <c r="K224" i="3"/>
  <c r="J224" i="3"/>
  <c r="I224" i="3"/>
  <c r="H224" i="3"/>
  <c r="G224" i="3"/>
  <c r="F224" i="3"/>
  <c r="E224" i="3"/>
  <c r="D224" i="3"/>
  <c r="C224" i="3"/>
  <c r="B224" i="3"/>
  <c r="A224" i="3"/>
  <c r="Z223" i="3"/>
  <c r="Y223" i="3"/>
  <c r="X223" i="3"/>
  <c r="W223" i="3"/>
  <c r="V223" i="3"/>
  <c r="U223" i="3"/>
  <c r="T223" i="3"/>
  <c r="S223" i="3"/>
  <c r="R223" i="3"/>
  <c r="Q223" i="3"/>
  <c r="P223" i="3"/>
  <c r="O223" i="3"/>
  <c r="N223" i="3"/>
  <c r="M223" i="3"/>
  <c r="L223" i="3"/>
  <c r="K223" i="3"/>
  <c r="J223" i="3"/>
  <c r="I223" i="3"/>
  <c r="H223" i="3"/>
  <c r="G223" i="3"/>
  <c r="F223" i="3"/>
  <c r="E223" i="3"/>
  <c r="D223" i="3"/>
  <c r="C223" i="3"/>
  <c r="B223" i="3"/>
  <c r="A223" i="3"/>
  <c r="Z222" i="3"/>
  <c r="Y222" i="3"/>
  <c r="X222" i="3"/>
  <c r="W222" i="3"/>
  <c r="V222" i="3"/>
  <c r="U222" i="3"/>
  <c r="T222" i="3"/>
  <c r="S222" i="3"/>
  <c r="R222" i="3"/>
  <c r="Q222" i="3"/>
  <c r="P222" i="3"/>
  <c r="O222" i="3"/>
  <c r="N222" i="3"/>
  <c r="M222" i="3"/>
  <c r="L222" i="3"/>
  <c r="K222" i="3"/>
  <c r="J222" i="3"/>
  <c r="I222" i="3"/>
  <c r="H222" i="3"/>
  <c r="G222" i="3"/>
  <c r="F222" i="3"/>
  <c r="E222" i="3"/>
  <c r="D222" i="3"/>
  <c r="C222" i="3"/>
  <c r="B222" i="3"/>
  <c r="A222" i="3"/>
  <c r="Z221" i="3"/>
  <c r="Y221" i="3"/>
  <c r="X221" i="3"/>
  <c r="W221" i="3"/>
  <c r="V221" i="3"/>
  <c r="U221" i="3"/>
  <c r="T221" i="3"/>
  <c r="S221" i="3"/>
  <c r="R221" i="3"/>
  <c r="Q221" i="3"/>
  <c r="P221" i="3"/>
  <c r="O221" i="3"/>
  <c r="N221" i="3"/>
  <c r="M221" i="3"/>
  <c r="L221" i="3"/>
  <c r="K221" i="3"/>
  <c r="J221" i="3"/>
  <c r="I221" i="3"/>
  <c r="H221" i="3"/>
  <c r="G221" i="3"/>
  <c r="F221" i="3"/>
  <c r="E221" i="3"/>
  <c r="D221" i="3"/>
  <c r="C221" i="3"/>
  <c r="B221" i="3"/>
  <c r="A221" i="3"/>
  <c r="Z220" i="3"/>
  <c r="Y220" i="3"/>
  <c r="X220" i="3"/>
  <c r="W220" i="3"/>
  <c r="V220" i="3"/>
  <c r="U220" i="3"/>
  <c r="T220" i="3"/>
  <c r="S220" i="3"/>
  <c r="R220" i="3"/>
  <c r="Q220" i="3"/>
  <c r="P220" i="3"/>
  <c r="O220" i="3"/>
  <c r="N220" i="3"/>
  <c r="M220" i="3"/>
  <c r="L220" i="3"/>
  <c r="K220" i="3"/>
  <c r="J220" i="3"/>
  <c r="I220" i="3"/>
  <c r="H220" i="3"/>
  <c r="G220" i="3"/>
  <c r="F220" i="3"/>
  <c r="E220" i="3"/>
  <c r="D220" i="3"/>
  <c r="C220" i="3"/>
  <c r="B220" i="3"/>
  <c r="A220" i="3"/>
  <c r="Z219" i="3"/>
  <c r="Y219" i="3"/>
  <c r="X219" i="3"/>
  <c r="W219" i="3"/>
  <c r="V219" i="3"/>
  <c r="U219" i="3"/>
  <c r="T219" i="3"/>
  <c r="S219" i="3"/>
  <c r="R219" i="3"/>
  <c r="Q219" i="3"/>
  <c r="P219" i="3"/>
  <c r="O219" i="3"/>
  <c r="N219" i="3"/>
  <c r="M219" i="3"/>
  <c r="L219" i="3"/>
  <c r="K219" i="3"/>
  <c r="J219" i="3"/>
  <c r="I219" i="3"/>
  <c r="H219" i="3"/>
  <c r="G219" i="3"/>
  <c r="F219" i="3"/>
  <c r="E219" i="3"/>
  <c r="D219" i="3"/>
  <c r="C219" i="3"/>
  <c r="B219" i="3"/>
  <c r="A219" i="3"/>
  <c r="Z218" i="3"/>
  <c r="Y218" i="3"/>
  <c r="X218" i="3"/>
  <c r="W218" i="3"/>
  <c r="V218" i="3"/>
  <c r="U218" i="3"/>
  <c r="T218" i="3"/>
  <c r="S218" i="3"/>
  <c r="R218" i="3"/>
  <c r="Q218" i="3"/>
  <c r="P218" i="3"/>
  <c r="O218" i="3"/>
  <c r="N218" i="3"/>
  <c r="M218" i="3"/>
  <c r="L218" i="3"/>
  <c r="K218" i="3"/>
  <c r="J218" i="3"/>
  <c r="I218" i="3"/>
  <c r="H218" i="3"/>
  <c r="G218" i="3"/>
  <c r="F218" i="3"/>
  <c r="E218" i="3"/>
  <c r="D218" i="3"/>
  <c r="C218" i="3"/>
  <c r="B218" i="3"/>
  <c r="A218" i="3"/>
  <c r="Z217" i="3"/>
  <c r="Y217" i="3"/>
  <c r="X217" i="3"/>
  <c r="W217" i="3"/>
  <c r="V217" i="3"/>
  <c r="U217" i="3"/>
  <c r="T217" i="3"/>
  <c r="S217" i="3"/>
  <c r="R217" i="3"/>
  <c r="Q217" i="3"/>
  <c r="P217" i="3"/>
  <c r="O217" i="3"/>
  <c r="N217" i="3"/>
  <c r="M217" i="3"/>
  <c r="L217" i="3"/>
  <c r="K217" i="3"/>
  <c r="J217" i="3"/>
  <c r="I217" i="3"/>
  <c r="H217" i="3"/>
  <c r="G217" i="3"/>
  <c r="F217" i="3"/>
  <c r="E217" i="3"/>
  <c r="D217" i="3"/>
  <c r="C217" i="3"/>
  <c r="B217" i="3"/>
  <c r="A217" i="3"/>
  <c r="Z216" i="3"/>
  <c r="Y216" i="3"/>
  <c r="X216" i="3"/>
  <c r="W216" i="3"/>
  <c r="V216" i="3"/>
  <c r="U216" i="3"/>
  <c r="T216" i="3"/>
  <c r="S216" i="3"/>
  <c r="R216" i="3"/>
  <c r="Q216" i="3"/>
  <c r="P216" i="3"/>
  <c r="O216" i="3"/>
  <c r="N216" i="3"/>
  <c r="M216" i="3"/>
  <c r="L216" i="3"/>
  <c r="K216" i="3"/>
  <c r="J216" i="3"/>
  <c r="I216" i="3"/>
  <c r="H216" i="3"/>
  <c r="G216" i="3"/>
  <c r="F216" i="3"/>
  <c r="E216" i="3"/>
  <c r="D216" i="3"/>
  <c r="C216" i="3"/>
  <c r="B216" i="3"/>
  <c r="A216" i="3"/>
  <c r="Z215" i="3"/>
  <c r="Y215" i="3"/>
  <c r="X215" i="3"/>
  <c r="W215" i="3"/>
  <c r="V215" i="3"/>
  <c r="U215" i="3"/>
  <c r="T215" i="3"/>
  <c r="S215" i="3"/>
  <c r="R215" i="3"/>
  <c r="Q215" i="3"/>
  <c r="P215" i="3"/>
  <c r="O215" i="3"/>
  <c r="N215" i="3"/>
  <c r="M215" i="3"/>
  <c r="L215" i="3"/>
  <c r="K215" i="3"/>
  <c r="J215" i="3"/>
  <c r="I215" i="3"/>
  <c r="H215" i="3"/>
  <c r="G215" i="3"/>
  <c r="F215" i="3"/>
  <c r="E215" i="3"/>
  <c r="D215" i="3"/>
  <c r="C215" i="3"/>
  <c r="B215" i="3"/>
  <c r="A215" i="3"/>
  <c r="Z214" i="3"/>
  <c r="Y214" i="3"/>
  <c r="X214" i="3"/>
  <c r="W214" i="3"/>
  <c r="V214" i="3"/>
  <c r="U214" i="3"/>
  <c r="T214" i="3"/>
  <c r="S214" i="3"/>
  <c r="R214" i="3"/>
  <c r="Q214" i="3"/>
  <c r="P214" i="3"/>
  <c r="O214" i="3"/>
  <c r="N214" i="3"/>
  <c r="M214" i="3"/>
  <c r="L214" i="3"/>
  <c r="K214" i="3"/>
  <c r="J214" i="3"/>
  <c r="I214" i="3"/>
  <c r="H214" i="3"/>
  <c r="G214" i="3"/>
  <c r="F214" i="3"/>
  <c r="E214" i="3"/>
  <c r="D214" i="3"/>
  <c r="C214" i="3"/>
  <c r="B214" i="3"/>
  <c r="A214" i="3"/>
  <c r="Z213" i="3"/>
  <c r="Y213" i="3"/>
  <c r="X213" i="3"/>
  <c r="W213" i="3"/>
  <c r="V213" i="3"/>
  <c r="U213" i="3"/>
  <c r="T213" i="3"/>
  <c r="S213" i="3"/>
  <c r="R213" i="3"/>
  <c r="Q213" i="3"/>
  <c r="P213" i="3"/>
  <c r="O213" i="3"/>
  <c r="N213" i="3"/>
  <c r="M213" i="3"/>
  <c r="L213" i="3"/>
  <c r="K213" i="3"/>
  <c r="J213" i="3"/>
  <c r="I213" i="3"/>
  <c r="H213" i="3"/>
  <c r="G213" i="3"/>
  <c r="F213" i="3"/>
  <c r="E213" i="3"/>
  <c r="D213" i="3"/>
  <c r="C213" i="3"/>
  <c r="B213" i="3"/>
  <c r="A213" i="3"/>
  <c r="Z212" i="3"/>
  <c r="Y212" i="3"/>
  <c r="X212" i="3"/>
  <c r="W212" i="3"/>
  <c r="V212" i="3"/>
  <c r="U212" i="3"/>
  <c r="T212" i="3"/>
  <c r="S212" i="3"/>
  <c r="R212" i="3"/>
  <c r="Q212" i="3"/>
  <c r="P212" i="3"/>
  <c r="O212" i="3"/>
  <c r="N212" i="3"/>
  <c r="M212" i="3"/>
  <c r="L212" i="3"/>
  <c r="K212" i="3"/>
  <c r="J212" i="3"/>
  <c r="I212" i="3"/>
  <c r="H212" i="3"/>
  <c r="G212" i="3"/>
  <c r="F212" i="3"/>
  <c r="E212" i="3"/>
  <c r="D212" i="3"/>
  <c r="C212" i="3"/>
  <c r="B212" i="3"/>
  <c r="A212" i="3"/>
  <c r="Z211" i="3"/>
  <c r="Y211" i="3"/>
  <c r="X211" i="3"/>
  <c r="W211" i="3"/>
  <c r="V211" i="3"/>
  <c r="U211" i="3"/>
  <c r="T211" i="3"/>
  <c r="S211" i="3"/>
  <c r="R211" i="3"/>
  <c r="Q211" i="3"/>
  <c r="P211" i="3"/>
  <c r="O211" i="3"/>
  <c r="N211" i="3"/>
  <c r="M211" i="3"/>
  <c r="L211" i="3"/>
  <c r="K211" i="3"/>
  <c r="J211" i="3"/>
  <c r="I211" i="3"/>
  <c r="H211" i="3"/>
  <c r="G211" i="3"/>
  <c r="F211" i="3"/>
  <c r="E211" i="3"/>
  <c r="D211" i="3"/>
  <c r="C211" i="3"/>
  <c r="B211" i="3"/>
  <c r="A211" i="3"/>
  <c r="Z210" i="3"/>
  <c r="Y210" i="3"/>
  <c r="X210" i="3"/>
  <c r="W210" i="3"/>
  <c r="V210" i="3"/>
  <c r="U210" i="3"/>
  <c r="T210" i="3"/>
  <c r="S210" i="3"/>
  <c r="R210" i="3"/>
  <c r="Q210" i="3"/>
  <c r="P210" i="3"/>
  <c r="O210" i="3"/>
  <c r="N210" i="3"/>
  <c r="M210" i="3"/>
  <c r="L210" i="3"/>
  <c r="K210" i="3"/>
  <c r="J210" i="3"/>
  <c r="I210" i="3"/>
  <c r="H210" i="3"/>
  <c r="G210" i="3"/>
  <c r="F210" i="3"/>
  <c r="E210" i="3"/>
  <c r="D210" i="3"/>
  <c r="C210" i="3"/>
  <c r="B210" i="3"/>
  <c r="A210" i="3"/>
  <c r="Z209" i="3"/>
  <c r="Y209" i="3"/>
  <c r="X209" i="3"/>
  <c r="W209" i="3"/>
  <c r="V209" i="3"/>
  <c r="U209" i="3"/>
  <c r="T209" i="3"/>
  <c r="S209" i="3"/>
  <c r="R209" i="3"/>
  <c r="Q209" i="3"/>
  <c r="P209" i="3"/>
  <c r="O209" i="3"/>
  <c r="N209" i="3"/>
  <c r="M209" i="3"/>
  <c r="L209" i="3"/>
  <c r="K209" i="3"/>
  <c r="J209" i="3"/>
  <c r="I209" i="3"/>
  <c r="H209" i="3"/>
  <c r="G209" i="3"/>
  <c r="F209" i="3"/>
  <c r="E209" i="3"/>
  <c r="D209" i="3"/>
  <c r="C209" i="3"/>
  <c r="B209" i="3"/>
  <c r="A209" i="3"/>
  <c r="Z208" i="3"/>
  <c r="Y208" i="3"/>
  <c r="X208" i="3"/>
  <c r="W208" i="3"/>
  <c r="V208" i="3"/>
  <c r="U208" i="3"/>
  <c r="T208" i="3"/>
  <c r="S208" i="3"/>
  <c r="R208" i="3"/>
  <c r="Q208" i="3"/>
  <c r="P208" i="3"/>
  <c r="O208" i="3"/>
  <c r="N208" i="3"/>
  <c r="M208" i="3"/>
  <c r="L208" i="3"/>
  <c r="K208" i="3"/>
  <c r="J208" i="3"/>
  <c r="I208" i="3"/>
  <c r="H208" i="3"/>
  <c r="G208" i="3"/>
  <c r="F208" i="3"/>
  <c r="E208" i="3"/>
  <c r="D208" i="3"/>
  <c r="C208" i="3"/>
  <c r="B208" i="3"/>
  <c r="A208" i="3"/>
  <c r="Z207" i="3"/>
  <c r="Y207" i="3"/>
  <c r="X207" i="3"/>
  <c r="W207" i="3"/>
  <c r="V207" i="3"/>
  <c r="U207" i="3"/>
  <c r="T207" i="3"/>
  <c r="S207" i="3"/>
  <c r="R207" i="3"/>
  <c r="Q207" i="3"/>
  <c r="P207" i="3"/>
  <c r="O207" i="3"/>
  <c r="N207" i="3"/>
  <c r="M207" i="3"/>
  <c r="L207" i="3"/>
  <c r="K207" i="3"/>
  <c r="J207" i="3"/>
  <c r="I207" i="3"/>
  <c r="H207" i="3"/>
  <c r="G207" i="3"/>
  <c r="F207" i="3"/>
  <c r="E207" i="3"/>
  <c r="D207" i="3"/>
  <c r="C207" i="3"/>
  <c r="B207" i="3"/>
  <c r="A207" i="3"/>
  <c r="A200" i="3"/>
  <c r="C198" i="3"/>
  <c r="B180" i="3"/>
  <c r="V179" i="3"/>
  <c r="T179" i="3"/>
  <c r="S179" i="3"/>
  <c r="O179" i="3"/>
  <c r="A179" i="3"/>
  <c r="C162" i="3"/>
  <c r="B103" i="3"/>
  <c r="A102" i="3"/>
  <c r="C84" i="3"/>
  <c r="C68" i="3"/>
  <c r="B63" i="3"/>
  <c r="C37" i="3"/>
  <c r="A15" i="3"/>
  <c r="C8" i="3"/>
  <c r="D505" i="1"/>
  <c r="A505" i="1"/>
  <c r="D504" i="1"/>
  <c r="A504" i="1"/>
  <c r="D503" i="1"/>
  <c r="A503" i="1"/>
  <c r="D502" i="1"/>
  <c r="A502" i="1"/>
  <c r="D501" i="1"/>
  <c r="A501" i="1"/>
  <c r="D500" i="1"/>
  <c r="A500" i="1"/>
  <c r="D499" i="1"/>
  <c r="A499" i="1"/>
  <c r="D498" i="1"/>
  <c r="A498" i="1"/>
  <c r="D497" i="1"/>
  <c r="A497" i="1"/>
  <c r="D496" i="1"/>
  <c r="A496" i="1"/>
  <c r="D495" i="1"/>
  <c r="A495" i="1"/>
  <c r="D494" i="1"/>
  <c r="A494" i="1"/>
  <c r="D493" i="1"/>
  <c r="A493" i="1"/>
  <c r="D492" i="1"/>
  <c r="A492" i="1"/>
  <c r="D491" i="1"/>
  <c r="A491" i="1"/>
  <c r="D490" i="1"/>
  <c r="A490" i="1"/>
  <c r="D489" i="1"/>
  <c r="A489" i="1"/>
  <c r="D488" i="1"/>
  <c r="A488" i="1"/>
  <c r="D487" i="1"/>
  <c r="A487" i="1"/>
  <c r="D486" i="1"/>
  <c r="A486" i="1"/>
  <c r="D485" i="1"/>
  <c r="A485" i="1"/>
  <c r="D484" i="1"/>
  <c r="A484" i="1"/>
  <c r="D483" i="1"/>
  <c r="A483" i="1"/>
  <c r="D482" i="1"/>
  <c r="A482" i="1"/>
  <c r="D481" i="1"/>
  <c r="A481" i="1"/>
  <c r="D480" i="1"/>
  <c r="A480" i="1"/>
  <c r="D479" i="1"/>
  <c r="A479" i="1"/>
  <c r="D478" i="1"/>
  <c r="A478" i="1"/>
  <c r="D477" i="1"/>
  <c r="A477" i="1"/>
  <c r="D476" i="1"/>
  <c r="A476" i="1"/>
  <c r="D475" i="1"/>
  <c r="A475" i="1"/>
  <c r="D474" i="1"/>
  <c r="A474" i="1"/>
  <c r="D473" i="1"/>
  <c r="A473" i="1"/>
  <c r="D472" i="1"/>
  <c r="A472" i="1"/>
  <c r="D471" i="1"/>
  <c r="A471" i="1"/>
  <c r="D470" i="1"/>
  <c r="A470" i="1"/>
  <c r="D469" i="1"/>
  <c r="A469" i="1"/>
  <c r="D468" i="1"/>
  <c r="A468" i="1"/>
  <c r="D467" i="1"/>
  <c r="A467" i="1"/>
  <c r="D466" i="1"/>
  <c r="A466" i="1"/>
  <c r="D465" i="1"/>
  <c r="A465" i="1"/>
  <c r="D464" i="1"/>
  <c r="A464" i="1"/>
  <c r="D463" i="1"/>
  <c r="A463" i="1"/>
  <c r="D462" i="1"/>
  <c r="A462" i="1"/>
  <c r="D461" i="1"/>
  <c r="A461" i="1"/>
  <c r="D460" i="1"/>
  <c r="A460" i="1"/>
  <c r="D459" i="1"/>
  <c r="A459" i="1"/>
  <c r="D458" i="1"/>
  <c r="A458" i="1"/>
  <c r="D457" i="1"/>
  <c r="A457" i="1"/>
  <c r="D456" i="1"/>
  <c r="A456" i="1"/>
  <c r="D455" i="1"/>
  <c r="A455" i="1"/>
  <c r="D454" i="1"/>
  <c r="A454" i="1"/>
  <c r="D453" i="1"/>
  <c r="A453" i="1"/>
  <c r="D452" i="1"/>
  <c r="A452" i="1"/>
  <c r="D451" i="1"/>
  <c r="A451" i="1"/>
  <c r="D450" i="1"/>
  <c r="A450" i="1"/>
  <c r="D449" i="1"/>
  <c r="A449" i="1"/>
  <c r="D448" i="1"/>
  <c r="A448" i="1"/>
  <c r="D447" i="1"/>
  <c r="A447" i="1"/>
  <c r="D446" i="1"/>
  <c r="A446" i="1"/>
  <c r="D445" i="1"/>
  <c r="A445" i="1"/>
  <c r="D444" i="1"/>
  <c r="A444" i="1"/>
  <c r="D443" i="1"/>
  <c r="A443" i="1"/>
  <c r="D442" i="1"/>
  <c r="A442" i="1"/>
  <c r="D441" i="1"/>
  <c r="A441" i="1"/>
  <c r="D440" i="1"/>
  <c r="A440" i="1"/>
  <c r="D439" i="1"/>
  <c r="A439" i="1"/>
  <c r="D438" i="1"/>
  <c r="A438" i="1"/>
  <c r="D437" i="1"/>
  <c r="A437" i="1"/>
  <c r="D436" i="1"/>
  <c r="A436" i="1"/>
  <c r="D435" i="1"/>
  <c r="A435" i="1"/>
  <c r="D434" i="1"/>
  <c r="A434" i="1"/>
  <c r="D433" i="1"/>
  <c r="A433" i="1"/>
  <c r="D432" i="1"/>
  <c r="A432" i="1"/>
  <c r="D431" i="1"/>
  <c r="A431" i="1"/>
  <c r="D430" i="1"/>
  <c r="A430" i="1"/>
  <c r="D429" i="1"/>
  <c r="A429" i="1"/>
  <c r="D428" i="1"/>
  <c r="A428" i="1"/>
  <c r="D427" i="1"/>
  <c r="A427" i="1"/>
  <c r="D426" i="1"/>
  <c r="A426" i="1"/>
  <c r="D425" i="1"/>
  <c r="A425" i="1"/>
  <c r="D424" i="1"/>
  <c r="A424" i="1"/>
  <c r="D423" i="1"/>
  <c r="A423" i="1"/>
  <c r="D422" i="1"/>
  <c r="A422" i="1"/>
  <c r="D421" i="1"/>
  <c r="A421" i="1"/>
  <c r="D420" i="1"/>
  <c r="A420" i="1"/>
  <c r="D419" i="1"/>
  <c r="A419" i="1"/>
  <c r="D418" i="1"/>
  <c r="A418" i="1"/>
  <c r="D417" i="1"/>
  <c r="A417" i="1"/>
  <c r="D416" i="1"/>
  <c r="A416" i="1"/>
  <c r="D415" i="1"/>
  <c r="A415" i="1"/>
  <c r="D414" i="1"/>
  <c r="A414" i="1"/>
  <c r="D413" i="1"/>
  <c r="A413" i="1"/>
  <c r="D412" i="1"/>
  <c r="A412" i="1"/>
  <c r="D411" i="1"/>
  <c r="A411" i="1"/>
  <c r="D410" i="1"/>
  <c r="A410" i="1"/>
  <c r="D409" i="1"/>
  <c r="A409" i="1"/>
  <c r="D408" i="1"/>
  <c r="A408" i="1"/>
  <c r="D407" i="1"/>
  <c r="A407" i="1"/>
  <c r="D406" i="1"/>
  <c r="A406" i="1"/>
  <c r="D405" i="1"/>
  <c r="A405" i="1"/>
  <c r="D404" i="1"/>
  <c r="A404" i="1"/>
  <c r="D403" i="1"/>
  <c r="A403" i="1"/>
  <c r="D402" i="1"/>
  <c r="A402" i="1"/>
  <c r="D401" i="1"/>
  <c r="A401" i="1"/>
  <c r="D400" i="1"/>
  <c r="A400" i="1"/>
  <c r="D399" i="1"/>
  <c r="A399" i="1"/>
  <c r="D398" i="1"/>
  <c r="A398" i="1"/>
  <c r="D397" i="1"/>
  <c r="A397" i="1"/>
  <c r="D396" i="1"/>
  <c r="A396" i="1"/>
  <c r="D395" i="1"/>
  <c r="A395" i="1"/>
  <c r="D394" i="1"/>
  <c r="A394" i="1"/>
  <c r="D393" i="1"/>
  <c r="A393" i="1"/>
  <c r="D392" i="1"/>
  <c r="A392" i="1"/>
  <c r="D391" i="1"/>
  <c r="A391" i="1"/>
  <c r="D390" i="1"/>
  <c r="A390" i="1"/>
  <c r="D389" i="1"/>
  <c r="A389" i="1"/>
  <c r="D388" i="1"/>
  <c r="A388" i="1"/>
  <c r="D387" i="1"/>
  <c r="A387" i="1"/>
  <c r="D386" i="1"/>
  <c r="A386" i="1"/>
  <c r="D385" i="1"/>
  <c r="A385" i="1"/>
  <c r="D384" i="1"/>
  <c r="A384" i="1"/>
  <c r="D383" i="1"/>
  <c r="A383" i="1"/>
  <c r="D382" i="1"/>
  <c r="A382" i="1"/>
  <c r="D381" i="1"/>
  <c r="A381" i="1"/>
  <c r="D380" i="1"/>
  <c r="A380" i="1"/>
  <c r="D379" i="1"/>
  <c r="A379" i="1"/>
  <c r="D378" i="1"/>
  <c r="A378" i="1"/>
  <c r="D377" i="1"/>
  <c r="A377" i="1"/>
  <c r="D376" i="1"/>
  <c r="A376" i="1"/>
  <c r="D375" i="1"/>
  <c r="A375" i="1"/>
  <c r="D374" i="1"/>
  <c r="A374" i="1"/>
  <c r="D373" i="1"/>
  <c r="A373" i="1"/>
  <c r="D372" i="1"/>
  <c r="A372" i="1"/>
  <c r="D371" i="1"/>
  <c r="A371" i="1"/>
  <c r="D370" i="1"/>
  <c r="A370" i="1"/>
  <c r="D369" i="1"/>
  <c r="A369" i="1"/>
  <c r="D368" i="1"/>
  <c r="A368" i="1"/>
  <c r="D367" i="1"/>
  <c r="A367" i="1"/>
  <c r="D366" i="1"/>
  <c r="A366" i="1"/>
  <c r="D365" i="1"/>
  <c r="A365" i="1"/>
  <c r="D364" i="1"/>
  <c r="A364" i="1"/>
  <c r="D363" i="1"/>
  <c r="A363" i="1"/>
  <c r="D362" i="1"/>
  <c r="A362" i="1"/>
  <c r="D361" i="1"/>
  <c r="A361" i="1"/>
  <c r="D360" i="1"/>
  <c r="A360" i="1"/>
  <c r="D359" i="1"/>
  <c r="A359" i="1"/>
  <c r="D358" i="1"/>
  <c r="A358" i="1"/>
  <c r="D357" i="1"/>
  <c r="A357" i="1"/>
  <c r="D356" i="1"/>
  <c r="A356" i="1"/>
  <c r="D355" i="1"/>
  <c r="A355" i="1"/>
  <c r="D354" i="1"/>
  <c r="A354" i="1"/>
  <c r="D353" i="1"/>
  <c r="A353" i="1"/>
  <c r="D352" i="1"/>
  <c r="A352" i="1"/>
  <c r="D351" i="1"/>
  <c r="A351" i="1"/>
  <c r="D350" i="1"/>
  <c r="A350" i="1"/>
  <c r="D349" i="1"/>
  <c r="A349" i="1"/>
  <c r="D348" i="1"/>
  <c r="A348" i="1"/>
  <c r="D347" i="1"/>
  <c r="A347" i="1"/>
  <c r="D346" i="1"/>
  <c r="A346" i="1"/>
  <c r="D345" i="1"/>
  <c r="A345" i="1"/>
  <c r="D344" i="1"/>
  <c r="A344" i="1"/>
  <c r="D343" i="1"/>
  <c r="A343" i="1"/>
  <c r="D342" i="1"/>
  <c r="A342" i="1"/>
  <c r="D341" i="1"/>
  <c r="A341" i="1"/>
  <c r="D340" i="1"/>
  <c r="A340" i="1"/>
  <c r="D339" i="1"/>
  <c r="A339" i="1"/>
  <c r="D338" i="1"/>
  <c r="A338" i="1"/>
  <c r="D337" i="1"/>
  <c r="A337" i="1"/>
  <c r="D336" i="1"/>
  <c r="A336" i="1"/>
  <c r="D335" i="1"/>
  <c r="A335" i="1"/>
  <c r="D334" i="1"/>
  <c r="A334" i="1"/>
  <c r="D333" i="1"/>
  <c r="A333" i="1"/>
  <c r="D332" i="1"/>
  <c r="A332" i="1"/>
  <c r="D331" i="1"/>
  <c r="A331" i="1"/>
  <c r="D330" i="1"/>
  <c r="A330" i="1"/>
  <c r="D329" i="1"/>
  <c r="A329" i="1"/>
  <c r="D328" i="1"/>
  <c r="A328" i="1"/>
  <c r="D327" i="1"/>
  <c r="A327" i="1"/>
  <c r="D326" i="1"/>
  <c r="A326" i="1"/>
  <c r="D325" i="1"/>
  <c r="A325" i="1"/>
  <c r="D324" i="1"/>
  <c r="A324" i="1"/>
  <c r="D323" i="1"/>
  <c r="A323" i="1"/>
  <c r="D322" i="1"/>
  <c r="A322" i="1"/>
  <c r="D321" i="1"/>
  <c r="A321" i="1"/>
  <c r="D320" i="1"/>
  <c r="A320" i="1"/>
  <c r="D319" i="1"/>
  <c r="A319" i="1"/>
  <c r="D318" i="1"/>
  <c r="A318" i="1"/>
  <c r="D317" i="1"/>
  <c r="A317" i="1"/>
  <c r="D316" i="1"/>
  <c r="A316" i="1"/>
  <c r="D315" i="1"/>
  <c r="A315" i="1"/>
  <c r="D314" i="1"/>
  <c r="A314" i="1"/>
  <c r="D313" i="1"/>
  <c r="A313" i="1"/>
  <c r="D312" i="1"/>
  <c r="A312" i="1"/>
  <c r="D311" i="1"/>
  <c r="A311" i="1"/>
  <c r="D310" i="1"/>
  <c r="A310" i="1"/>
  <c r="D309" i="1"/>
  <c r="A309" i="1"/>
  <c r="D308" i="1"/>
  <c r="A308" i="1"/>
  <c r="D307" i="1"/>
  <c r="A307" i="1"/>
  <c r="D306" i="1"/>
  <c r="A306" i="1"/>
  <c r="D305" i="1"/>
  <c r="A305" i="1"/>
  <c r="D304" i="1"/>
  <c r="A304" i="1"/>
  <c r="D303" i="1"/>
  <c r="A303" i="1"/>
  <c r="D302" i="1"/>
  <c r="A302" i="1"/>
  <c r="D301" i="1"/>
  <c r="A301" i="1"/>
  <c r="D300" i="1"/>
  <c r="A300" i="1"/>
  <c r="D299" i="1"/>
  <c r="A299" i="1"/>
  <c r="D298" i="1"/>
  <c r="A298" i="1"/>
  <c r="D297" i="1"/>
  <c r="A297" i="1"/>
  <c r="D296" i="1"/>
  <c r="A296" i="1"/>
  <c r="D295" i="1"/>
  <c r="A295" i="1"/>
  <c r="D294" i="1"/>
  <c r="A294" i="1"/>
  <c r="D293" i="1"/>
  <c r="A293" i="1"/>
  <c r="D292" i="1"/>
  <c r="A292" i="1"/>
  <c r="D291" i="1"/>
  <c r="A291" i="1"/>
  <c r="D290" i="1"/>
  <c r="A290" i="1"/>
  <c r="D289" i="1"/>
  <c r="A289" i="1"/>
  <c r="D288" i="1"/>
  <c r="A288" i="1"/>
  <c r="D287" i="1"/>
  <c r="A287" i="1"/>
  <c r="D286" i="1"/>
  <c r="A286" i="1"/>
  <c r="D285" i="1"/>
  <c r="A285" i="1"/>
  <c r="D284" i="1"/>
  <c r="A284" i="1"/>
  <c r="D283" i="1"/>
  <c r="A283" i="1"/>
  <c r="D282" i="1"/>
  <c r="A282" i="1"/>
  <c r="D281" i="1"/>
  <c r="A281" i="1"/>
  <c r="D280" i="1"/>
  <c r="A280" i="1"/>
  <c r="D279" i="1"/>
  <c r="A279" i="1"/>
  <c r="D278" i="1"/>
  <c r="A278" i="1"/>
  <c r="D277" i="1"/>
  <c r="A277" i="1"/>
  <c r="D276" i="1"/>
  <c r="A276" i="1"/>
  <c r="D275" i="1"/>
  <c r="A275" i="1"/>
  <c r="D274" i="1"/>
  <c r="A274" i="1"/>
  <c r="D273" i="1"/>
  <c r="A273" i="1"/>
  <c r="D272" i="1"/>
  <c r="A272" i="1"/>
  <c r="D271" i="1"/>
  <c r="A271" i="1"/>
  <c r="D270" i="1"/>
  <c r="A270" i="1"/>
  <c r="D269" i="1"/>
  <c r="A269" i="1"/>
  <c r="D268" i="1"/>
  <c r="A268" i="1"/>
  <c r="D267" i="1"/>
  <c r="A267" i="1"/>
  <c r="D266" i="1"/>
  <c r="A266" i="1"/>
  <c r="D265" i="1"/>
  <c r="A265" i="1"/>
  <c r="D264" i="1"/>
  <c r="A264" i="1"/>
  <c r="D263" i="1"/>
  <c r="A263" i="1"/>
  <c r="D262" i="1"/>
  <c r="A262" i="1"/>
  <c r="D261" i="1"/>
  <c r="A261" i="1"/>
  <c r="D260" i="1"/>
  <c r="A260" i="1"/>
  <c r="D259" i="1"/>
  <c r="A259" i="1"/>
  <c r="D258" i="1"/>
  <c r="A258" i="1"/>
  <c r="D257" i="1"/>
  <c r="A257" i="1"/>
  <c r="D256" i="1"/>
  <c r="A256" i="1"/>
  <c r="D255" i="1"/>
  <c r="A255" i="1"/>
  <c r="D254" i="1"/>
  <c r="A254" i="1"/>
  <c r="D253" i="1"/>
  <c r="A253" i="1"/>
  <c r="D252" i="1"/>
  <c r="A252" i="1"/>
  <c r="D251" i="1"/>
  <c r="A251" i="1"/>
  <c r="D250" i="1"/>
  <c r="A250" i="1"/>
  <c r="D249" i="1"/>
  <c r="A249" i="1"/>
  <c r="D248" i="1"/>
  <c r="A248" i="1"/>
  <c r="D247" i="1"/>
  <c r="A247" i="1"/>
  <c r="D246" i="1"/>
  <c r="A246" i="1"/>
  <c r="D245" i="1"/>
  <c r="A245" i="1"/>
  <c r="D244" i="1"/>
  <c r="A244" i="1"/>
  <c r="D243" i="1"/>
  <c r="A243" i="1"/>
  <c r="D242" i="1"/>
  <c r="A242" i="1"/>
  <c r="D241" i="1"/>
  <c r="A241" i="1"/>
  <c r="D240" i="1"/>
  <c r="A240" i="1"/>
  <c r="D239" i="1"/>
  <c r="A239" i="1"/>
  <c r="D238" i="1"/>
  <c r="A238" i="1"/>
  <c r="D237" i="1"/>
  <c r="A237" i="1"/>
  <c r="D236" i="1"/>
  <c r="A236" i="1"/>
  <c r="D235" i="1"/>
  <c r="A235" i="1"/>
  <c r="D234" i="1"/>
  <c r="A234" i="1"/>
  <c r="D233" i="1"/>
  <c r="A233" i="1"/>
  <c r="D232" i="1"/>
  <c r="A232" i="1"/>
  <c r="D231" i="1"/>
  <c r="A231" i="1"/>
  <c r="D230" i="1"/>
  <c r="A230" i="1"/>
  <c r="D229" i="1"/>
  <c r="A229" i="1"/>
  <c r="D228" i="1"/>
  <c r="A228" i="1"/>
  <c r="D227" i="1"/>
  <c r="A227" i="1"/>
  <c r="D226" i="1"/>
  <c r="A226" i="1"/>
  <c r="D225" i="1"/>
  <c r="A225" i="1"/>
  <c r="D224" i="1"/>
  <c r="A224" i="1"/>
  <c r="D223" i="1"/>
  <c r="A223" i="1"/>
  <c r="D222" i="1"/>
  <c r="A222" i="1"/>
  <c r="D221" i="1"/>
  <c r="A221" i="1"/>
  <c r="D220" i="1"/>
  <c r="A220" i="1"/>
  <c r="D219" i="1"/>
  <c r="A219" i="1"/>
  <c r="D218" i="1"/>
  <c r="A218" i="1"/>
  <c r="D217" i="1"/>
  <c r="A217" i="1"/>
  <c r="D216" i="1"/>
  <c r="A216" i="1"/>
  <c r="D215" i="1"/>
  <c r="A215" i="1"/>
  <c r="D214" i="1"/>
  <c r="A214" i="1"/>
  <c r="D213" i="1"/>
  <c r="A213" i="1"/>
  <c r="D212" i="1"/>
  <c r="A212" i="1"/>
  <c r="D211" i="1"/>
  <c r="A211" i="1"/>
  <c r="D210" i="1"/>
  <c r="A210" i="1"/>
  <c r="D209" i="1"/>
  <c r="A209" i="1"/>
  <c r="D208" i="1"/>
  <c r="A208" i="1"/>
  <c r="D207" i="1"/>
  <c r="A207" i="1"/>
  <c r="D206" i="1"/>
  <c r="A206" i="1"/>
  <c r="D205" i="1"/>
  <c r="A205" i="1"/>
  <c r="D204" i="1"/>
  <c r="A204" i="1"/>
  <c r="D203" i="1"/>
  <c r="A203" i="1"/>
  <c r="D202" i="1"/>
  <c r="A202" i="1"/>
  <c r="D201" i="1"/>
  <c r="A201" i="1"/>
  <c r="D200" i="1"/>
  <c r="A200" i="1"/>
  <c r="D199" i="1"/>
  <c r="A199" i="1"/>
  <c r="D198" i="1"/>
  <c r="A198" i="1"/>
  <c r="D197" i="1"/>
  <c r="A197" i="1"/>
  <c r="D196" i="1"/>
  <c r="A196" i="1"/>
  <c r="D195" i="1"/>
  <c r="A195" i="1"/>
  <c r="D194" i="1"/>
  <c r="A194" i="1"/>
  <c r="D193" i="1"/>
  <c r="A193" i="1"/>
  <c r="D192" i="1"/>
  <c r="A192" i="1"/>
  <c r="D191" i="1"/>
  <c r="A191" i="1"/>
  <c r="D190" i="1"/>
  <c r="A190" i="1"/>
  <c r="D189" i="1"/>
  <c r="A189" i="1"/>
  <c r="D188" i="1"/>
  <c r="A188" i="1"/>
  <c r="D187" i="1"/>
  <c r="A187" i="1"/>
  <c r="D186" i="1"/>
  <c r="A186" i="1"/>
  <c r="D185" i="1"/>
  <c r="A185" i="1"/>
  <c r="D184" i="1"/>
  <c r="A184" i="1"/>
  <c r="D183" i="1"/>
  <c r="A183" i="1"/>
  <c r="D182" i="1"/>
  <c r="A182" i="1"/>
  <c r="D181" i="1"/>
  <c r="A181" i="1"/>
  <c r="D180" i="1"/>
  <c r="A180" i="1"/>
  <c r="D179" i="1"/>
  <c r="A179" i="1"/>
  <c r="D178" i="1"/>
  <c r="A178" i="1"/>
  <c r="D177" i="1"/>
  <c r="A177" i="1"/>
  <c r="D176" i="1"/>
  <c r="A176" i="1"/>
  <c r="D175" i="1"/>
  <c r="A175" i="1"/>
  <c r="D174" i="1"/>
  <c r="A174" i="1"/>
  <c r="D173" i="1"/>
  <c r="A173" i="1"/>
  <c r="D172" i="1"/>
  <c r="A172" i="1"/>
  <c r="D171" i="1"/>
  <c r="A171" i="1"/>
  <c r="D170" i="1"/>
  <c r="A170" i="1"/>
  <c r="D169" i="1"/>
  <c r="A169" i="1"/>
  <c r="D168" i="1"/>
  <c r="A168" i="1"/>
  <c r="D167" i="1"/>
  <c r="A167" i="1"/>
  <c r="D166" i="1"/>
  <c r="A166" i="1"/>
  <c r="D165" i="1"/>
  <c r="A165" i="1"/>
  <c r="D164" i="1"/>
  <c r="A164" i="1"/>
  <c r="D163" i="1"/>
  <c r="A163" i="1"/>
  <c r="D162" i="1"/>
  <c r="A162" i="1"/>
  <c r="D161" i="1"/>
  <c r="A161" i="1"/>
  <c r="D160" i="1"/>
  <c r="A160" i="1"/>
  <c r="D159" i="1"/>
  <c r="A159" i="1"/>
  <c r="D158" i="1"/>
  <c r="A158" i="1"/>
  <c r="D157" i="1"/>
  <c r="A157" i="1"/>
  <c r="D156" i="1"/>
  <c r="A156" i="1"/>
  <c r="D155" i="1"/>
  <c r="A155" i="1"/>
  <c r="D154" i="1"/>
  <c r="A154" i="1"/>
  <c r="D153" i="1"/>
  <c r="A153" i="1"/>
  <c r="D152" i="1"/>
  <c r="A152" i="1"/>
  <c r="D151" i="1"/>
  <c r="A151" i="1"/>
  <c r="D150" i="1"/>
  <c r="A150" i="1"/>
  <c r="D149" i="1"/>
  <c r="A149" i="1"/>
  <c r="D148" i="1"/>
  <c r="A148" i="1"/>
  <c r="D147" i="1"/>
  <c r="A147" i="1"/>
  <c r="D146" i="1"/>
  <c r="A146" i="1"/>
  <c r="D145" i="1"/>
  <c r="A145" i="1"/>
  <c r="D144" i="1"/>
  <c r="A144" i="1"/>
  <c r="D143" i="1"/>
  <c r="A143" i="1"/>
  <c r="D142" i="1"/>
  <c r="A142" i="1"/>
  <c r="D141" i="1"/>
  <c r="A141" i="1"/>
  <c r="D140" i="1"/>
  <c r="A140" i="1"/>
  <c r="D139" i="1"/>
  <c r="A139" i="1"/>
  <c r="D138" i="1"/>
  <c r="A138" i="1"/>
  <c r="D137" i="1"/>
  <c r="A137" i="1"/>
  <c r="D136" i="1"/>
  <c r="A136" i="1"/>
  <c r="D135" i="1"/>
  <c r="A135" i="1"/>
  <c r="D134" i="1"/>
  <c r="A134" i="1"/>
  <c r="D133" i="1"/>
  <c r="A133" i="1"/>
  <c r="D132" i="1"/>
  <c r="A132" i="1"/>
  <c r="D131" i="1"/>
  <c r="A131" i="1"/>
  <c r="D130" i="1"/>
  <c r="A130" i="1"/>
  <c r="D129" i="1"/>
  <c r="A129" i="1"/>
  <c r="D128" i="1"/>
  <c r="A128" i="1"/>
  <c r="D127" i="1"/>
  <c r="A127" i="1"/>
  <c r="D126" i="1"/>
  <c r="A126" i="1"/>
  <c r="D125" i="1"/>
  <c r="A125" i="1"/>
  <c r="D124" i="1"/>
  <c r="A124" i="1"/>
  <c r="D123" i="1"/>
  <c r="A123" i="1"/>
  <c r="D122" i="1"/>
  <c r="A122" i="1"/>
  <c r="D121" i="1"/>
  <c r="A121" i="1"/>
  <c r="D120" i="1"/>
  <c r="A120" i="1"/>
  <c r="D119" i="1"/>
  <c r="A119" i="1"/>
  <c r="D118" i="1"/>
  <c r="A118" i="1"/>
  <c r="D117" i="1"/>
  <c r="A117" i="1"/>
  <c r="D116" i="1"/>
  <c r="A116" i="1"/>
  <c r="D115" i="1"/>
  <c r="A115" i="1"/>
  <c r="D114" i="1"/>
  <c r="A114" i="1"/>
  <c r="D113" i="1"/>
  <c r="A113" i="1"/>
  <c r="D112" i="1"/>
  <c r="A112" i="1"/>
  <c r="D111" i="1"/>
  <c r="A111" i="1"/>
  <c r="D110" i="1"/>
  <c r="A110" i="1"/>
  <c r="D109" i="1"/>
  <c r="A109" i="1"/>
  <c r="D108" i="1"/>
  <c r="A108" i="1"/>
  <c r="D107" i="1"/>
  <c r="A107" i="1"/>
  <c r="D106" i="1"/>
  <c r="A106" i="1"/>
  <c r="D105" i="1"/>
  <c r="A105" i="1"/>
  <c r="D104" i="1"/>
  <c r="A104" i="1"/>
  <c r="D103" i="1"/>
  <c r="A103" i="1"/>
  <c r="D102" i="1"/>
  <c r="A102" i="1"/>
  <c r="D101" i="1"/>
  <c r="A101" i="1"/>
  <c r="D100" i="1"/>
  <c r="A100" i="1"/>
  <c r="D99" i="1"/>
  <c r="A99" i="1"/>
  <c r="D98" i="1"/>
  <c r="A98" i="1"/>
  <c r="D97" i="1"/>
  <c r="A97" i="1"/>
  <c r="D96" i="1"/>
  <c r="A96" i="1"/>
  <c r="D95" i="1"/>
  <c r="A95" i="1"/>
  <c r="D94" i="1"/>
  <c r="A94" i="1"/>
  <c r="D93" i="1"/>
  <c r="A93" i="1"/>
  <c r="D92" i="1"/>
  <c r="A92" i="1"/>
  <c r="D91" i="1"/>
  <c r="A91" i="1"/>
  <c r="D90" i="1"/>
  <c r="A90" i="1"/>
  <c r="D89" i="1"/>
  <c r="A89" i="1"/>
  <c r="D88" i="1"/>
  <c r="A88" i="1"/>
  <c r="D87" i="1"/>
  <c r="A87" i="1"/>
  <c r="D86" i="1"/>
  <c r="A86" i="1"/>
  <c r="D85" i="1"/>
  <c r="A85" i="1"/>
  <c r="D84" i="1"/>
  <c r="A84" i="1"/>
  <c r="D83" i="1"/>
  <c r="A83" i="1"/>
  <c r="D82" i="1"/>
  <c r="A82" i="1"/>
  <c r="D81" i="1"/>
  <c r="A81" i="1"/>
  <c r="D80" i="1"/>
  <c r="A80" i="1"/>
  <c r="D79" i="1"/>
  <c r="A79" i="1"/>
  <c r="D78" i="1"/>
  <c r="A78" i="1"/>
  <c r="D77" i="1"/>
  <c r="A77" i="1"/>
  <c r="D76" i="1"/>
  <c r="A76" i="1"/>
  <c r="D75" i="1"/>
  <c r="A75" i="1"/>
  <c r="D74" i="1"/>
  <c r="A74" i="1"/>
  <c r="D73" i="1"/>
  <c r="A73" i="1"/>
  <c r="D72" i="1"/>
  <c r="A72" i="1"/>
  <c r="D71" i="1"/>
  <c r="A71" i="1"/>
  <c r="D70" i="1"/>
  <c r="A70" i="1"/>
  <c r="D69" i="1"/>
  <c r="A69" i="1"/>
  <c r="D68" i="1"/>
  <c r="A68" i="1"/>
  <c r="D67" i="1"/>
  <c r="A67" i="1"/>
  <c r="D66" i="1"/>
  <c r="A66" i="1"/>
  <c r="D65" i="1"/>
  <c r="A65" i="1"/>
  <c r="D64" i="1"/>
  <c r="A64" i="1"/>
  <c r="D63" i="1"/>
  <c r="A63" i="1"/>
  <c r="D62" i="1"/>
  <c r="A62" i="1"/>
  <c r="D61" i="1"/>
  <c r="A61" i="1"/>
  <c r="D60" i="1"/>
  <c r="A60" i="1"/>
  <c r="D59" i="1"/>
  <c r="A59" i="1"/>
  <c r="D58" i="1"/>
  <c r="A58" i="1"/>
  <c r="D57" i="1"/>
  <c r="A57" i="1"/>
  <c r="D56" i="1"/>
  <c r="A56" i="1"/>
  <c r="D55" i="1"/>
  <c r="A55" i="1"/>
  <c r="D54" i="1"/>
  <c r="A54" i="1"/>
  <c r="D53" i="1"/>
  <c r="A53" i="1"/>
  <c r="D52" i="1"/>
  <c r="A52" i="1"/>
  <c r="D51" i="1"/>
  <c r="A51" i="1"/>
  <c r="D50" i="1"/>
  <c r="A50" i="1"/>
  <c r="D49" i="1"/>
  <c r="A49" i="1"/>
  <c r="D48" i="1"/>
  <c r="A48" i="1"/>
  <c r="D47" i="1"/>
  <c r="A47" i="1"/>
  <c r="D46" i="1"/>
  <c r="A46" i="1"/>
  <c r="D45" i="1"/>
  <c r="A45" i="1"/>
  <c r="D44" i="1"/>
  <c r="A44" i="1"/>
  <c r="D43" i="1"/>
  <c r="A43" i="1"/>
  <c r="D42" i="1"/>
  <c r="A42" i="1"/>
  <c r="D41" i="1"/>
  <c r="A41" i="1"/>
  <c r="D40" i="1"/>
  <c r="A40" i="1"/>
  <c r="D39" i="1"/>
  <c r="A39" i="1"/>
  <c r="D38" i="1"/>
  <c r="A38" i="1"/>
  <c r="D37" i="1"/>
  <c r="A37" i="1"/>
  <c r="D36" i="1"/>
  <c r="A36" i="1"/>
  <c r="D35" i="1"/>
  <c r="A35" i="1"/>
  <c r="D34" i="1"/>
  <c r="A34" i="1"/>
  <c r="D33" i="1"/>
  <c r="A33" i="1"/>
  <c r="D32" i="1"/>
  <c r="A32" i="1"/>
  <c r="D31" i="1"/>
  <c r="A31" i="1"/>
  <c r="D30" i="1"/>
  <c r="A30" i="1"/>
  <c r="D29" i="1"/>
  <c r="A29" i="1"/>
  <c r="D28" i="1"/>
  <c r="A28" i="1"/>
  <c r="D27" i="1"/>
  <c r="A27" i="1"/>
  <c r="D26" i="1"/>
  <c r="A26" i="1"/>
  <c r="D25" i="1"/>
  <c r="A25" i="1"/>
  <c r="D24" i="1"/>
  <c r="A24" i="1"/>
  <c r="D23" i="1"/>
  <c r="A23" i="1"/>
  <c r="D22" i="1"/>
  <c r="A22" i="1"/>
  <c r="D21" i="1"/>
  <c r="A21" i="1"/>
  <c r="D20" i="1"/>
  <c r="A20" i="1"/>
  <c r="D19" i="1"/>
  <c r="A19" i="1"/>
  <c r="D18" i="1"/>
  <c r="A18" i="1"/>
  <c r="D17" i="1"/>
  <c r="A17" i="1"/>
  <c r="D16" i="1"/>
  <c r="A16" i="1"/>
  <c r="D15" i="1"/>
  <c r="A15" i="1"/>
  <c r="D14" i="1"/>
  <c r="A14" i="1"/>
  <c r="D13" i="1"/>
  <c r="A13" i="1"/>
  <c r="D12" i="1"/>
  <c r="A12" i="1"/>
  <c r="D11" i="1"/>
  <c r="A11" i="1"/>
  <c r="D10" i="1"/>
  <c r="A10" i="1"/>
  <c r="D9" i="1"/>
  <c r="A9" i="1"/>
  <c r="D8" i="1"/>
  <c r="A8" i="1"/>
  <c r="A7" i="1"/>
  <c r="A6" i="1"/>
  <c r="C56" i="14"/>
  <c r="B68" i="3" l="1"/>
  <c r="C75" i="3"/>
  <c r="A196" i="3"/>
  <c r="AC200" i="5"/>
  <c r="K200" i="6" s="1"/>
  <c r="C196" i="3"/>
  <c r="B106" i="3"/>
  <c r="B127" i="3"/>
  <c r="B155" i="3"/>
  <c r="A166" i="3"/>
  <c r="C166" i="3"/>
  <c r="A124" i="3"/>
  <c r="AQ200" i="5"/>
  <c r="AB200" i="5"/>
  <c r="J200" i="6" s="1"/>
  <c r="O4" i="16"/>
  <c r="O5" i="16"/>
  <c r="O6" i="16"/>
  <c r="A16" i="3"/>
  <c r="B134" i="3"/>
  <c r="B160" i="3"/>
  <c r="B102" i="3"/>
  <c r="B174" i="3"/>
  <c r="C15" i="3"/>
  <c r="A117" i="3"/>
  <c r="C16" i="3"/>
  <c r="C23" i="3"/>
  <c r="A130" i="3"/>
  <c r="A180" i="3"/>
  <c r="B61" i="3"/>
  <c r="A137" i="3"/>
  <c r="C61" i="3"/>
  <c r="B164" i="3"/>
  <c r="C67" i="3"/>
  <c r="A13" i="3"/>
  <c r="C13" i="3"/>
  <c r="A134" i="3"/>
  <c r="G13" i="4"/>
  <c r="B77" i="3"/>
  <c r="A185" i="3"/>
  <c r="B16" i="3"/>
  <c r="B84" i="3"/>
  <c r="C193" i="3"/>
  <c r="A88" i="3"/>
  <c r="N172" i="4"/>
  <c r="M172" i="4"/>
  <c r="B21" i="3"/>
  <c r="B88" i="3"/>
  <c r="C21" i="3"/>
  <c r="B34" i="3"/>
  <c r="B49" i="3"/>
  <c r="C110" i="3"/>
  <c r="C174" i="3"/>
  <c r="C78" i="3"/>
  <c r="B199" i="3"/>
  <c r="A44" i="3"/>
  <c r="B44" i="3"/>
  <c r="C50" i="3"/>
  <c r="B101" i="3"/>
  <c r="A61" i="3"/>
  <c r="C101" i="3"/>
  <c r="C148" i="3"/>
  <c r="C163" i="3"/>
  <c r="B129" i="3"/>
  <c r="A80" i="3"/>
  <c r="A22" i="3"/>
  <c r="B112" i="3"/>
  <c r="B22" i="3"/>
  <c r="C115" i="3"/>
  <c r="C165" i="3"/>
  <c r="A198" i="3"/>
  <c r="B65" i="3"/>
  <c r="B23" i="3"/>
  <c r="B198" i="3"/>
  <c r="A37" i="3"/>
  <c r="B107" i="3"/>
  <c r="A116" i="3"/>
  <c r="C49" i="3"/>
  <c r="C164" i="3"/>
  <c r="B188" i="3"/>
  <c r="C188" i="3"/>
  <c r="A188" i="3"/>
  <c r="C82" i="3"/>
  <c r="A53" i="3"/>
  <c r="A189" i="3"/>
  <c r="C60" i="3"/>
  <c r="B189" i="3"/>
  <c r="C77" i="3"/>
  <c r="A173" i="3"/>
  <c r="B28" i="3"/>
  <c r="A144" i="3"/>
  <c r="C28" i="3"/>
  <c r="W191" i="4" a="1"/>
  <c r="W191" i="4" s="1"/>
  <c r="V68" i="3" s="1"/>
  <c r="G6" i="5"/>
  <c r="A85" i="3"/>
  <c r="C85" i="3"/>
  <c r="AR6" i="5"/>
  <c r="B40" i="3"/>
  <c r="C143" i="3"/>
  <c r="B95" i="3"/>
  <c r="A151" i="3"/>
  <c r="AC191" i="4"/>
  <c r="K68" i="3" s="1"/>
  <c r="A118" i="3"/>
  <c r="B47" i="3"/>
  <c r="C97" i="3"/>
  <c r="A125" i="3"/>
  <c r="A152" i="3"/>
  <c r="A167" i="3"/>
  <c r="C186" i="3"/>
  <c r="A203" i="3"/>
  <c r="A150" i="3"/>
  <c r="C47" i="3"/>
  <c r="B125" i="3"/>
  <c r="B152" i="3"/>
  <c r="C167" i="3"/>
  <c r="C93" i="3"/>
  <c r="A49" i="3"/>
  <c r="A75" i="3"/>
  <c r="C172" i="3"/>
  <c r="C156" i="3"/>
  <c r="N107" i="4"/>
  <c r="AR99" i="5"/>
  <c r="X104" i="5"/>
  <c r="O104" i="6" s="1"/>
  <c r="M173" i="5"/>
  <c r="A8" i="3"/>
  <c r="B27" i="3"/>
  <c r="B52" i="3"/>
  <c r="A131" i="3"/>
  <c r="A159" i="3"/>
  <c r="A178" i="3"/>
  <c r="AC104" i="5"/>
  <c r="K104" i="6" s="1"/>
  <c r="A156" i="3"/>
  <c r="M25" i="5"/>
  <c r="B8" i="3"/>
  <c r="C27" i="3"/>
  <c r="C52" i="3"/>
  <c r="A107" i="3"/>
  <c r="C133" i="3"/>
  <c r="B159" i="3"/>
  <c r="B178" i="3"/>
  <c r="C191" i="3"/>
  <c r="AB176" i="4"/>
  <c r="J71" i="3" s="1"/>
  <c r="B154" i="3"/>
  <c r="N13" i="4"/>
  <c r="X107" i="4"/>
  <c r="O115" i="3" s="1"/>
  <c r="AQ60" i="5"/>
  <c r="AC180" i="5"/>
  <c r="K180" i="6" s="1"/>
  <c r="AB107" i="4"/>
  <c r="J115" i="3" s="1"/>
  <c r="C71" i="3"/>
  <c r="AB13" i="4"/>
  <c r="J158" i="3" s="1"/>
  <c r="B37" i="3"/>
  <c r="B73" i="3"/>
  <c r="B92" i="3"/>
  <c r="C112" i="3"/>
  <c r="B156" i="3"/>
  <c r="B167" i="3"/>
  <c r="C182" i="3"/>
  <c r="A199" i="3"/>
  <c r="W45" i="4" a="1"/>
  <c r="W45" i="4" s="1"/>
  <c r="V172" i="3" s="1"/>
  <c r="B71" i="3"/>
  <c r="B17" i="3"/>
  <c r="A54" i="3"/>
  <c r="A115" i="3"/>
  <c r="B18" i="3"/>
  <c r="A39" i="3"/>
  <c r="B57" i="3"/>
  <c r="B75" i="3"/>
  <c r="A95" i="3"/>
  <c r="B115" i="3"/>
  <c r="C134" i="3"/>
  <c r="A158" i="3"/>
  <c r="B172" i="3"/>
  <c r="C57" i="3"/>
  <c r="B158" i="3"/>
  <c r="C43" i="3"/>
  <c r="C140" i="3"/>
  <c r="C158" i="3"/>
  <c r="B201" i="3"/>
  <c r="X165" i="4"/>
  <c r="O95" i="3" s="1"/>
  <c r="A71" i="3"/>
  <c r="B81" i="3"/>
  <c r="X115" i="5"/>
  <c r="O115" i="6" s="1"/>
  <c r="AR136" i="5"/>
  <c r="B9" i="3"/>
  <c r="A27" i="3"/>
  <c r="B82" i="3"/>
  <c r="A103" i="3"/>
  <c r="X175" i="4"/>
  <c r="O166" i="3" s="1"/>
  <c r="X6" i="5"/>
  <c r="O6" i="6" s="1"/>
  <c r="X105" i="5"/>
  <c r="O105" i="6" s="1"/>
  <c r="W87" i="4" a="1"/>
  <c r="W87" i="4" s="1"/>
  <c r="V96" i="3" s="1"/>
  <c r="N199" i="4"/>
  <c r="AR171" i="5"/>
  <c r="X87" i="4"/>
  <c r="O96" i="3" s="1"/>
  <c r="A169" i="3"/>
  <c r="W12" i="4" a="1"/>
  <c r="W12" i="4" s="1"/>
  <c r="V167" i="3" s="1"/>
  <c r="AC87" i="4"/>
  <c r="K96" i="3" s="1"/>
  <c r="W108" i="4" a="1"/>
  <c r="W108" i="4" s="1"/>
  <c r="V101" i="3" s="1"/>
  <c r="G75" i="5"/>
  <c r="B118" i="3"/>
  <c r="B169" i="3"/>
  <c r="C22" i="3"/>
  <c r="C169" i="3"/>
  <c r="A9" i="3"/>
  <c r="C87" i="3"/>
  <c r="C147" i="3"/>
  <c r="A184" i="3"/>
  <c r="AB12" i="4"/>
  <c r="J167" i="3" s="1"/>
  <c r="X108" i="4"/>
  <c r="O101" i="3" s="1"/>
  <c r="A24" i="3"/>
  <c r="C40" i="3"/>
  <c r="C56" i="3"/>
  <c r="C88" i="3"/>
  <c r="AB43" i="4"/>
  <c r="J126" i="3" s="1"/>
  <c r="AC179" i="4"/>
  <c r="K191" i="3" s="1"/>
  <c r="AQ187" i="5"/>
  <c r="AB89" i="4"/>
  <c r="J189" i="3" s="1"/>
  <c r="M56" i="5"/>
  <c r="M169" i="5"/>
  <c r="N169" i="5"/>
  <c r="C153" i="3"/>
  <c r="A96" i="3"/>
  <c r="B202" i="3"/>
  <c r="N45" i="4"/>
  <c r="AR103" i="5"/>
  <c r="AB184" i="5"/>
  <c r="J184" i="6" s="1"/>
  <c r="A29" i="3"/>
  <c r="B96" i="3"/>
  <c r="C30" i="3"/>
  <c r="C96" i="3"/>
  <c r="A191" i="3"/>
  <c r="AC91" i="4"/>
  <c r="K152" i="3" s="1"/>
  <c r="N6" i="5"/>
  <c r="AQ10" i="5"/>
  <c r="AC184" i="5"/>
  <c r="K184" i="6" s="1"/>
  <c r="A31" i="3"/>
  <c r="B191" i="3"/>
  <c r="AQ99" i="5"/>
  <c r="B91" i="3"/>
  <c r="B151" i="3"/>
  <c r="G26" i="4"/>
  <c r="AB32" i="4"/>
  <c r="J6" i="3" s="1"/>
  <c r="M39" i="4"/>
  <c r="X45" i="4"/>
  <c r="O172" i="3" s="1"/>
  <c r="N150" i="4"/>
  <c r="AB199" i="4"/>
  <c r="J196" i="3" s="1"/>
  <c r="AQ56" i="5"/>
  <c r="G76" i="5"/>
  <c r="M101" i="5"/>
  <c r="AR104" i="5"/>
  <c r="AC144" i="5"/>
  <c r="K144" i="6" s="1"/>
  <c r="N26" i="4"/>
  <c r="AC32" i="4"/>
  <c r="K6" i="3" s="1"/>
  <c r="AC199" i="4"/>
  <c r="K196" i="3" s="1"/>
  <c r="M76" i="5"/>
  <c r="AQ169" i="5"/>
  <c r="AQ183" i="5"/>
  <c r="C151" i="3"/>
  <c r="B13" i="3"/>
  <c r="A66" i="3"/>
  <c r="C103" i="3"/>
  <c r="A119" i="3"/>
  <c r="C136" i="3"/>
  <c r="M13" i="4"/>
  <c r="W26" i="4" a="1"/>
  <c r="W26" i="4" s="1"/>
  <c r="V151" i="3" s="1"/>
  <c r="N109" i="5"/>
  <c r="X187" i="5"/>
  <c r="O187" i="6" s="1"/>
  <c r="A182" i="3"/>
  <c r="A94" i="3"/>
  <c r="A120" i="3"/>
  <c r="B24" i="3"/>
  <c r="A68" i="3"/>
  <c r="B80" i="3"/>
  <c r="C106" i="3"/>
  <c r="C120" i="3"/>
  <c r="B137" i="3"/>
  <c r="A164" i="3"/>
  <c r="A172" i="3"/>
  <c r="B182" i="3"/>
  <c r="A206" i="3"/>
  <c r="W13" i="4" a="1"/>
  <c r="W13" i="4" s="1"/>
  <c r="V158" i="3" s="1"/>
  <c r="AC92" i="4"/>
  <c r="K192" i="3" s="1"/>
  <c r="W107" i="4" a="1"/>
  <c r="W107" i="4" s="1"/>
  <c r="V115" i="3" s="1"/>
  <c r="G187" i="4"/>
  <c r="AB150" i="5"/>
  <c r="J150" i="6" s="1"/>
  <c r="AR187" i="5"/>
  <c r="B6" i="3"/>
  <c r="B142" i="3"/>
  <c r="A165" i="3"/>
  <c r="A197" i="3"/>
  <c r="AB175" i="4"/>
  <c r="J166" i="3" s="1"/>
  <c r="AC8" i="5"/>
  <c r="K8" i="6" s="1"/>
  <c r="AC58" i="5"/>
  <c r="K58" i="6" s="1"/>
  <c r="N171" i="5"/>
  <c r="AQ184" i="5"/>
  <c r="C6" i="3"/>
  <c r="C142" i="3"/>
  <c r="B165" i="3"/>
  <c r="B197" i="3"/>
  <c r="AC175" i="4"/>
  <c r="K166" i="3" s="1"/>
  <c r="AR8" i="5"/>
  <c r="AS54" i="5"/>
  <c r="AQ103" i="5"/>
  <c r="AR188" i="5"/>
  <c r="A6" i="3"/>
  <c r="B42" i="3"/>
  <c r="A142" i="3"/>
  <c r="B7" i="3"/>
  <c r="C46" i="3"/>
  <c r="G12" i="4"/>
  <c r="AC162" i="4"/>
  <c r="K181" i="3" s="1"/>
  <c r="AS103" i="5"/>
  <c r="A60" i="3"/>
  <c r="A128" i="3"/>
  <c r="C7" i="3"/>
  <c r="B60" i="3"/>
  <c r="C72" i="3"/>
  <c r="B85" i="3"/>
  <c r="B99" i="3"/>
  <c r="B147" i="3"/>
  <c r="B166" i="3"/>
  <c r="M12" i="4"/>
  <c r="AB108" i="4"/>
  <c r="J101" i="3" s="1"/>
  <c r="M155" i="4"/>
  <c r="X176" i="4"/>
  <c r="O71" i="3" s="1"/>
  <c r="AQ45" i="5"/>
  <c r="AS50" i="5"/>
  <c r="AB152" i="5"/>
  <c r="J152" i="6" s="1"/>
  <c r="AQ185" i="5"/>
  <c r="AR143" i="5"/>
  <c r="X12" i="4"/>
  <c r="O167" i="3" s="1"/>
  <c r="AB31" i="4"/>
  <c r="J182" i="3" s="1"/>
  <c r="A25" i="3"/>
  <c r="A132" i="3"/>
  <c r="A4" i="3"/>
  <c r="A11" i="3"/>
  <c r="B55" i="3"/>
  <c r="B83" i="3"/>
  <c r="B111" i="3"/>
  <c r="B168" i="3"/>
  <c r="B175" i="3"/>
  <c r="B205" i="3"/>
  <c r="X109" i="4"/>
  <c r="O159" i="3" s="1"/>
  <c r="AR83" i="5"/>
  <c r="AB170" i="5"/>
  <c r="J170" i="6" s="1"/>
  <c r="B11" i="3"/>
  <c r="C175" i="3"/>
  <c r="AC19" i="4"/>
  <c r="K197" i="3" s="1"/>
  <c r="AC109" i="4"/>
  <c r="K159" i="3" s="1"/>
  <c r="M175" i="4"/>
  <c r="AB198" i="4"/>
  <c r="J195" i="3" s="1"/>
  <c r="AC170" i="5"/>
  <c r="K170" i="6" s="1"/>
  <c r="B90" i="3"/>
  <c r="B4" i="3"/>
  <c r="C55" i="3"/>
  <c r="C83" i="3"/>
  <c r="C111" i="3"/>
  <c r="C168" i="3"/>
  <c r="C190" i="3"/>
  <c r="C205" i="3"/>
  <c r="C4" i="3"/>
  <c r="C11" i="3"/>
  <c r="A56" i="3"/>
  <c r="B93" i="3"/>
  <c r="A145" i="3"/>
  <c r="A176" i="3"/>
  <c r="M45" i="4"/>
  <c r="N87" i="4"/>
  <c r="AB162" i="4"/>
  <c r="J181" i="3" s="1"/>
  <c r="N175" i="4"/>
  <c r="G179" i="4"/>
  <c r="AC52" i="5"/>
  <c r="K52" i="6" s="1"/>
  <c r="AC124" i="5"/>
  <c r="K124" i="6" s="1"/>
  <c r="B131" i="3"/>
  <c r="A28" i="3"/>
  <c r="B56" i="3"/>
  <c r="A77" i="3"/>
  <c r="A147" i="3"/>
  <c r="C176" i="3"/>
  <c r="B183" i="3"/>
  <c r="W175" i="4" a="1"/>
  <c r="W175" i="4" s="1"/>
  <c r="V166" i="3" s="1"/>
  <c r="W133" i="4" a="1"/>
  <c r="W133" i="4" s="1"/>
  <c r="V25" i="3" s="1"/>
  <c r="G90" i="5"/>
  <c r="N201" i="5"/>
  <c r="W193" i="4" a="1"/>
  <c r="W193" i="4" s="1"/>
  <c r="V77" i="3" s="1"/>
  <c r="A194" i="3"/>
  <c r="G75" i="4"/>
  <c r="W170" i="4" a="1"/>
  <c r="W170" i="4" s="1"/>
  <c r="V30" i="3" s="1"/>
  <c r="X193" i="4"/>
  <c r="O77" i="3" s="1"/>
  <c r="X206" i="4"/>
  <c r="O86" i="3" s="1"/>
  <c r="M90" i="5"/>
  <c r="AS197" i="5"/>
  <c r="A7" i="3"/>
  <c r="B15" i="3"/>
  <c r="A23" i="3"/>
  <c r="A41" i="3"/>
  <c r="A78" i="3"/>
  <c r="A86" i="3"/>
  <c r="B104" i="3"/>
  <c r="B128" i="3"/>
  <c r="C137" i="3"/>
  <c r="C157" i="3"/>
  <c r="B170" i="3"/>
  <c r="B179" i="3"/>
  <c r="B185" i="3"/>
  <c r="B194" i="3"/>
  <c r="B200" i="3"/>
  <c r="AC60" i="4"/>
  <c r="K200" i="3" s="1"/>
  <c r="AC206" i="4"/>
  <c r="K86" i="3" s="1"/>
  <c r="AQ76" i="5"/>
  <c r="AB136" i="5"/>
  <c r="J136" i="6" s="1"/>
  <c r="X154" i="5"/>
  <c r="O154" i="6" s="1"/>
  <c r="AS171" i="5"/>
  <c r="AB188" i="5"/>
  <c r="J188" i="6" s="1"/>
  <c r="AS201" i="5"/>
  <c r="A169" i="6"/>
  <c r="C184" i="3"/>
  <c r="A170" i="3"/>
  <c r="A30" i="3"/>
  <c r="B41" i="3"/>
  <c r="A51" i="3"/>
  <c r="B78" i="3"/>
  <c r="A105" i="3"/>
  <c r="A140" i="3"/>
  <c r="B149" i="3"/>
  <c r="C170" i="3"/>
  <c r="C179" i="3"/>
  <c r="B186" i="3"/>
  <c r="C194" i="3"/>
  <c r="AR112" i="5"/>
  <c r="AC136" i="5"/>
  <c r="K136" i="6" s="1"/>
  <c r="AB154" i="5"/>
  <c r="J154" i="6" s="1"/>
  <c r="AC188" i="5"/>
  <c r="K188" i="6" s="1"/>
  <c r="A201" i="6"/>
  <c r="C41" i="3"/>
  <c r="B51" i="3"/>
  <c r="B105" i="3"/>
  <c r="B140" i="3"/>
  <c r="AQ136" i="5"/>
  <c r="AC154" i="5"/>
  <c r="K154" i="6" s="1"/>
  <c r="X55" i="4"/>
  <c r="O105" i="3" s="1"/>
  <c r="X201" i="4"/>
  <c r="O147" i="3" s="1"/>
  <c r="G3" i="5"/>
  <c r="M113" i="5"/>
  <c r="N77" i="4"/>
  <c r="A17" i="3"/>
  <c r="C24" i="3"/>
  <c r="A34" i="3"/>
  <c r="A73" i="3"/>
  <c r="A90" i="3"/>
  <c r="C131" i="3"/>
  <c r="A204" i="3"/>
  <c r="G6" i="4"/>
  <c r="G44" i="4"/>
  <c r="AC55" i="4"/>
  <c r="K105" i="3" s="1"/>
  <c r="X77" i="4"/>
  <c r="O204" i="3" s="1"/>
  <c r="M96" i="4"/>
  <c r="W114" i="4" a="1"/>
  <c r="W114" i="4" s="1"/>
  <c r="V111" i="3" s="1"/>
  <c r="AC129" i="4"/>
  <c r="K72" i="3" s="1"/>
  <c r="B204" i="3"/>
  <c r="AC77" i="4"/>
  <c r="K204" i="3" s="1"/>
  <c r="M44" i="4"/>
  <c r="AS21" i="5"/>
  <c r="AR36" i="5"/>
  <c r="AB59" i="5"/>
  <c r="J59" i="6" s="1"/>
  <c r="C17" i="3"/>
  <c r="A46" i="3"/>
  <c r="C73" i="3"/>
  <c r="C99" i="3"/>
  <c r="A133" i="3"/>
  <c r="N109" i="4"/>
  <c r="X191" i="4"/>
  <c r="O68" i="3" s="1"/>
  <c r="AC3" i="5"/>
  <c r="K3" i="6" s="1"/>
  <c r="AS26" i="5"/>
  <c r="AS36" i="5"/>
  <c r="AC64" i="5"/>
  <c r="K64" i="6" s="1"/>
  <c r="X118" i="5"/>
  <c r="O118" i="6" s="1"/>
  <c r="N173" i="5"/>
  <c r="AB3" i="5"/>
  <c r="J3" i="6" s="1"/>
  <c r="B25" i="3"/>
  <c r="C34" i="3"/>
  <c r="C90" i="3"/>
  <c r="A143" i="3"/>
  <c r="C159" i="3"/>
  <c r="C204" i="3"/>
  <c r="W44" i="4" a="1"/>
  <c r="W44" i="4" s="1"/>
  <c r="V205" i="3" s="1"/>
  <c r="X49" i="4"/>
  <c r="O188" i="3" s="1"/>
  <c r="C9" i="3"/>
  <c r="A18" i="3"/>
  <c r="C36" i="3"/>
  <c r="B46" i="3"/>
  <c r="A55" i="3"/>
  <c r="C63" i="3"/>
  <c r="A74" i="3"/>
  <c r="A91" i="3"/>
  <c r="A101" i="3"/>
  <c r="A111" i="3"/>
  <c r="B120" i="3"/>
  <c r="B133" i="3"/>
  <c r="C152" i="3"/>
  <c r="A160" i="3"/>
  <c r="A168" i="3"/>
  <c r="A175" i="3"/>
  <c r="C189" i="3"/>
  <c r="C197" i="3"/>
  <c r="A205" i="3"/>
  <c r="X44" i="4"/>
  <c r="O205" i="3" s="1"/>
  <c r="X91" i="4"/>
  <c r="O152" i="3" s="1"/>
  <c r="W109" i="4" a="1"/>
  <c r="W109" i="4" s="1"/>
  <c r="V159" i="3" s="1"/>
  <c r="AC115" i="4"/>
  <c r="K137" i="3" s="1"/>
  <c r="AC167" i="4"/>
  <c r="K106" i="3" s="1"/>
  <c r="M178" i="4"/>
  <c r="AB191" i="4"/>
  <c r="J68" i="3" s="1"/>
  <c r="AR3" i="5"/>
  <c r="G56" i="5"/>
  <c r="AQ83" i="5"/>
  <c r="AR102" i="5"/>
  <c r="N143" i="5"/>
  <c r="M161" i="5"/>
  <c r="G43" i="4"/>
  <c r="A3" i="3"/>
  <c r="C80" i="3"/>
  <c r="A141" i="3"/>
  <c r="C171" i="3"/>
  <c r="B206" i="3"/>
  <c r="N43" i="4"/>
  <c r="G35" i="5"/>
  <c r="G59" i="5"/>
  <c r="N76" i="5"/>
  <c r="AC132" i="5"/>
  <c r="K132" i="6" s="1"/>
  <c r="G165" i="5"/>
  <c r="AB168" i="5"/>
  <c r="J168" i="6" s="1"/>
  <c r="B3" i="3"/>
  <c r="B35" i="3"/>
  <c r="B53" i="3"/>
  <c r="B59" i="3"/>
  <c r="A67" i="3"/>
  <c r="A72" i="3"/>
  <c r="C76" i="3"/>
  <c r="B86" i="3"/>
  <c r="C91" i="3"/>
  <c r="A97" i="3"/>
  <c r="A110" i="3"/>
  <c r="B116" i="3"/>
  <c r="B121" i="3"/>
  <c r="C128" i="3"/>
  <c r="B135" i="3"/>
  <c r="B141" i="3"/>
  <c r="A162" i="3"/>
  <c r="C195" i="3"/>
  <c r="C206" i="3"/>
  <c r="X17" i="4"/>
  <c r="O135" i="3" s="1"/>
  <c r="W43" i="4" a="1"/>
  <c r="W43" i="4" s="1"/>
  <c r="V126" i="3" s="1"/>
  <c r="AB45" i="4"/>
  <c r="J172" i="3" s="1"/>
  <c r="AB126" i="4"/>
  <c r="J176" i="3" s="1"/>
  <c r="AC156" i="4"/>
  <c r="K34" i="3" s="1"/>
  <c r="N26" i="5"/>
  <c r="M59" i="5"/>
  <c r="AC112" i="5"/>
  <c r="K112" i="6" s="1"/>
  <c r="AS115" i="5"/>
  <c r="X119" i="5"/>
  <c r="O119" i="6" s="1"/>
  <c r="AB156" i="5"/>
  <c r="J156" i="6" s="1"/>
  <c r="M165" i="5"/>
  <c r="AC168" i="5"/>
  <c r="K168" i="6" s="1"/>
  <c r="N197" i="5"/>
  <c r="A76" i="3"/>
  <c r="AC23" i="4"/>
  <c r="K10" i="3" s="1"/>
  <c r="W82" i="4" a="1"/>
  <c r="W82" i="4" s="1"/>
  <c r="V162" i="3" s="1"/>
  <c r="A59" i="3"/>
  <c r="B76" i="3"/>
  <c r="C102" i="3"/>
  <c r="A121" i="3"/>
  <c r="W17" i="4" a="1"/>
  <c r="W17" i="4" s="1"/>
  <c r="V135" i="3" s="1"/>
  <c r="C3" i="3"/>
  <c r="C35" i="3"/>
  <c r="A42" i="3"/>
  <c r="C59" i="3"/>
  <c r="B67" i="3"/>
  <c r="B72" i="3"/>
  <c r="A81" i="3"/>
  <c r="A92" i="3"/>
  <c r="B97" i="3"/>
  <c r="B110" i="3"/>
  <c r="C116" i="3"/>
  <c r="C135" i="3"/>
  <c r="C141" i="3"/>
  <c r="B162" i="3"/>
  <c r="A183" i="3"/>
  <c r="A201" i="3"/>
  <c r="X43" i="4"/>
  <c r="O126" i="3" s="1"/>
  <c r="AB35" i="5"/>
  <c r="J35" i="6" s="1"/>
  <c r="AS39" i="5"/>
  <c r="X52" i="5"/>
  <c r="O52" i="6" s="1"/>
  <c r="X76" i="5"/>
  <c r="O76" i="6" s="1"/>
  <c r="AQ112" i="5"/>
  <c r="AB124" i="5"/>
  <c r="J124" i="6" s="1"/>
  <c r="X150" i="5"/>
  <c r="O150" i="6" s="1"/>
  <c r="N165" i="5"/>
  <c r="AQ168" i="5"/>
  <c r="X183" i="5"/>
  <c r="O183" i="6" s="1"/>
  <c r="AB186" i="5"/>
  <c r="J186" i="6" s="1"/>
  <c r="A36" i="3"/>
  <c r="C42" i="3"/>
  <c r="A50" i="3"/>
  <c r="B54" i="3"/>
  <c r="C81" i="3"/>
  <c r="A87" i="3"/>
  <c r="C98" i="3"/>
  <c r="B117" i="3"/>
  <c r="B124" i="3"/>
  <c r="B130" i="3"/>
  <c r="A136" i="3"/>
  <c r="A157" i="3"/>
  <c r="A163" i="3"/>
  <c r="C183" i="3"/>
  <c r="A190" i="3"/>
  <c r="M10" i="4"/>
  <c r="M64" i="4"/>
  <c r="M84" i="4"/>
  <c r="AB127" i="4"/>
  <c r="J127" i="3" s="1"/>
  <c r="AQ52" i="5"/>
  <c r="G85" i="5"/>
  <c r="AQ124" i="5"/>
  <c r="AC150" i="5"/>
  <c r="K150" i="6" s="1"/>
  <c r="M175" i="5"/>
  <c r="B36" i="3"/>
  <c r="B50" i="3"/>
  <c r="A82" i="3"/>
  <c r="B87" i="3"/>
  <c r="A93" i="3"/>
  <c r="A99" i="3"/>
  <c r="A104" i="3"/>
  <c r="C117" i="3"/>
  <c r="C124" i="3"/>
  <c r="C130" i="3"/>
  <c r="B136" i="3"/>
  <c r="B157" i="3"/>
  <c r="B163" i="3"/>
  <c r="A174" i="3"/>
  <c r="B190" i="3"/>
  <c r="W10" i="4" a="1"/>
  <c r="W10" i="4" s="1"/>
  <c r="V183" i="3" s="1"/>
  <c r="N89" i="4"/>
  <c r="W197" i="4" a="1"/>
  <c r="W197" i="4" s="1"/>
  <c r="V61" i="3" s="1"/>
  <c r="N36" i="5"/>
  <c r="AR69" i="5"/>
  <c r="G99" i="5"/>
  <c r="AR116" i="5"/>
  <c r="AQ150" i="5"/>
  <c r="G169" i="5"/>
  <c r="B168" i="6"/>
  <c r="X10" i="4"/>
  <c r="O183" i="3" s="1"/>
  <c r="AS175" i="5"/>
  <c r="X59" i="4"/>
  <c r="O140" i="3" s="1"/>
  <c r="AB73" i="4"/>
  <c r="J63" i="3" s="1"/>
  <c r="X85" i="4"/>
  <c r="O47" i="3" s="1"/>
  <c r="W122" i="4" a="1"/>
  <c r="W122" i="4" s="1"/>
  <c r="V3" i="3" s="1"/>
  <c r="M153" i="4"/>
  <c r="M203" i="4"/>
  <c r="N65" i="5"/>
  <c r="M121" i="5"/>
  <c r="A195" i="6"/>
  <c r="C104" i="3"/>
  <c r="AC59" i="4"/>
  <c r="K140" i="3" s="1"/>
  <c r="AC73" i="4"/>
  <c r="K63" i="3" s="1"/>
  <c r="W153" i="4" a="1"/>
  <c r="W153" i="4" s="1"/>
  <c r="V79" i="3" s="1"/>
  <c r="N16" i="5"/>
  <c r="AS20" i="5"/>
  <c r="N151" i="5"/>
  <c r="X158" i="5"/>
  <c r="O158" i="6" s="1"/>
  <c r="M191" i="5"/>
  <c r="M195" i="5"/>
  <c r="B195" i="6"/>
  <c r="A69" i="3"/>
  <c r="AC116" i="4"/>
  <c r="K67" i="3" s="1"/>
  <c r="G129" i="4"/>
  <c r="N25" i="5"/>
  <c r="G51" i="5"/>
  <c r="A113" i="3"/>
  <c r="A126" i="3"/>
  <c r="AB14" i="4"/>
  <c r="J160" i="3" s="1"/>
  <c r="W96" i="4" a="1"/>
  <c r="W96" i="4" s="1"/>
  <c r="V99" i="3" s="1"/>
  <c r="G134" i="4"/>
  <c r="N141" i="4"/>
  <c r="M148" i="4"/>
  <c r="X153" i="4"/>
  <c r="O79" i="3" s="1"/>
  <c r="M166" i="4"/>
  <c r="G171" i="4"/>
  <c r="X187" i="4"/>
  <c r="O8" i="3" s="1"/>
  <c r="AR86" i="5"/>
  <c r="AB106" i="5"/>
  <c r="J106" i="6" s="1"/>
  <c r="N111" i="5"/>
  <c r="AS125" i="5"/>
  <c r="AB158" i="5"/>
  <c r="J158" i="6" s="1"/>
  <c r="M167" i="5"/>
  <c r="N191" i="5"/>
  <c r="N195" i="5"/>
  <c r="A12" i="3"/>
  <c r="A33" i="3"/>
  <c r="C51" i="3"/>
  <c r="B62" i="3"/>
  <c r="A70" i="3"/>
  <c r="B74" i="3"/>
  <c r="A79" i="3"/>
  <c r="B89" i="3"/>
  <c r="C105" i="3"/>
  <c r="B113" i="3"/>
  <c r="B119" i="3"/>
  <c r="B126" i="3"/>
  <c r="A139" i="3"/>
  <c r="A181" i="3"/>
  <c r="C185" i="3"/>
  <c r="G49" i="4"/>
  <c r="M55" i="4"/>
  <c r="AB96" i="4"/>
  <c r="J99" i="3" s="1"/>
  <c r="W111" i="4" a="1"/>
  <c r="W111" i="4" s="1"/>
  <c r="V51" i="3" s="1"/>
  <c r="M129" i="4"/>
  <c r="AC148" i="4"/>
  <c r="K185" i="3" s="1"/>
  <c r="N166" i="4"/>
  <c r="M176" i="4"/>
  <c r="AQ16" i="5"/>
  <c r="N51" i="5"/>
  <c r="AB75" i="5"/>
  <c r="J75" i="6" s="1"/>
  <c r="G83" i="5"/>
  <c r="AS139" i="5"/>
  <c r="AB148" i="5"/>
  <c r="J148" i="6" s="1"/>
  <c r="X151" i="5"/>
  <c r="O151" i="6" s="1"/>
  <c r="AC158" i="5"/>
  <c r="K158" i="6" s="1"/>
  <c r="N167" i="5"/>
  <c r="AR184" i="5"/>
  <c r="A203" i="6"/>
  <c r="B12" i="3"/>
  <c r="A38" i="3"/>
  <c r="B70" i="3"/>
  <c r="B79" i="3"/>
  <c r="B181" i="3"/>
  <c r="M49" i="4"/>
  <c r="N55" i="4"/>
  <c r="AC96" i="4"/>
  <c r="K99" i="3" s="1"/>
  <c r="AB111" i="4"/>
  <c r="J51" i="3" s="1"/>
  <c r="W129" i="4" a="1"/>
  <c r="W129" i="4" s="1"/>
  <c r="V72" i="3" s="1"/>
  <c r="X166" i="4"/>
  <c r="O82" i="3" s="1"/>
  <c r="N176" i="4"/>
  <c r="AB4" i="5"/>
  <c r="J4" i="6" s="1"/>
  <c r="X25" i="5"/>
  <c r="O25" i="6" s="1"/>
  <c r="AC75" i="5"/>
  <c r="K75" i="6" s="1"/>
  <c r="X111" i="5"/>
  <c r="O111" i="6" s="1"/>
  <c r="AS151" i="5"/>
  <c r="AR191" i="5"/>
  <c r="X195" i="5"/>
  <c r="O195" i="6" s="1"/>
  <c r="AS203" i="5"/>
  <c r="B20" i="3"/>
  <c r="B33" i="3"/>
  <c r="C62" i="3"/>
  <c r="C74" i="3"/>
  <c r="C89" i="3"/>
  <c r="C119" i="3"/>
  <c r="C126" i="3"/>
  <c r="B139" i="3"/>
  <c r="B146" i="3"/>
  <c r="A153" i="3"/>
  <c r="A193" i="3"/>
  <c r="C26" i="3"/>
  <c r="A47" i="3"/>
  <c r="A52" i="3"/>
  <c r="A57" i="3"/>
  <c r="A106" i="3"/>
  <c r="A127" i="3"/>
  <c r="C139" i="3"/>
  <c r="C146" i="3"/>
  <c r="B153" i="3"/>
  <c r="B176" i="3"/>
  <c r="C181" i="3"/>
  <c r="B193" i="3"/>
  <c r="G45" i="4"/>
  <c r="W49" i="4" a="1"/>
  <c r="W49" i="4" s="1"/>
  <c r="V188" i="3" s="1"/>
  <c r="W55" i="4" a="1"/>
  <c r="W55" i="4" s="1"/>
  <c r="V105" i="3" s="1"/>
  <c r="M87" i="4"/>
  <c r="G103" i="4"/>
  <c r="M108" i="4"/>
  <c r="AB124" i="4"/>
  <c r="J23" i="3" s="1"/>
  <c r="X129" i="4"/>
  <c r="O72" i="3" s="1"/>
  <c r="W176" i="4" a="1"/>
  <c r="W176" i="4" s="1"/>
  <c r="V71" i="3" s="1"/>
  <c r="AS4" i="5"/>
  <c r="N8" i="5"/>
  <c r="AB25" i="5"/>
  <c r="J25" i="6" s="1"/>
  <c r="G34" i="5"/>
  <c r="AB51" i="5"/>
  <c r="J51" i="6" s="1"/>
  <c r="AR111" i="5"/>
  <c r="X167" i="5"/>
  <c r="O167" i="6" s="1"/>
  <c r="AC25" i="5"/>
  <c r="K25" i="6" s="1"/>
  <c r="AC51" i="5"/>
  <c r="K51" i="6" s="1"/>
  <c r="G97" i="4"/>
  <c r="X136" i="4"/>
  <c r="O190" i="3" s="1"/>
  <c r="C127" i="3"/>
  <c r="W97" i="4" a="1"/>
  <c r="W97" i="4" s="1"/>
  <c r="V35" i="3" s="1"/>
  <c r="G55" i="5"/>
  <c r="A135" i="3"/>
  <c r="C160" i="3"/>
  <c r="N119" i="4"/>
  <c r="N144" i="4"/>
  <c r="AC150" i="4"/>
  <c r="K42" i="3" s="1"/>
  <c r="G52" i="5"/>
  <c r="AR115" i="5"/>
  <c r="C29" i="3"/>
  <c r="C38" i="3"/>
  <c r="B43" i="3"/>
  <c r="C69" i="3"/>
  <c r="C144" i="3"/>
  <c r="A155" i="3"/>
  <c r="B171" i="3"/>
  <c r="W5" i="4" a="1"/>
  <c r="W5" i="4" s="1"/>
  <c r="V130" i="3" s="1"/>
  <c r="X23" i="4"/>
  <c r="O10" i="3" s="1"/>
  <c r="G39" i="4"/>
  <c r="AB92" i="4"/>
  <c r="J192" i="3" s="1"/>
  <c r="W126" i="4" a="1"/>
  <c r="W126" i="4" s="1"/>
  <c r="V176" i="3" s="1"/>
  <c r="G141" i="4"/>
  <c r="M144" i="4"/>
  <c r="G148" i="4"/>
  <c r="N161" i="4"/>
  <c r="W198" i="4" a="1"/>
  <c r="W198" i="4" s="1"/>
  <c r="V195" i="3" s="1"/>
  <c r="M8" i="5"/>
  <c r="M36" i="5"/>
  <c r="G39" i="5"/>
  <c r="M153" i="5"/>
  <c r="N203" i="5"/>
  <c r="B39" i="3"/>
  <c r="A48" i="3"/>
  <c r="B66" i="3"/>
  <c r="B145" i="3"/>
  <c r="B150" i="3"/>
  <c r="C155" i="3"/>
  <c r="A177" i="3"/>
  <c r="W11" i="4" a="1"/>
  <c r="W11" i="4" s="1"/>
  <c r="V171" i="3" s="1"/>
  <c r="W39" i="4" a="1"/>
  <c r="W39" i="4" s="1"/>
  <c r="V142" i="3" s="1"/>
  <c r="AC43" i="4"/>
  <c r="K126" i="3" s="1"/>
  <c r="G60" i="4"/>
  <c r="W64" i="4" a="1"/>
  <c r="W64" i="4" s="1"/>
  <c r="V50" i="3" s="1"/>
  <c r="N75" i="4"/>
  <c r="X103" i="4"/>
  <c r="O24" i="3" s="1"/>
  <c r="W134" i="4" a="1"/>
  <c r="W134" i="4" s="1"/>
  <c r="V119" i="3" s="1"/>
  <c r="G138" i="4"/>
  <c r="W141" i="4" a="1"/>
  <c r="W141" i="4" s="1"/>
  <c r="V93" i="3" s="1"/>
  <c r="X144" i="4"/>
  <c r="O65" i="3" s="1"/>
  <c r="W148" i="4" a="1"/>
  <c r="W148" i="4" s="1"/>
  <c r="V185" i="3" s="1"/>
  <c r="M152" i="4"/>
  <c r="M179" i="4"/>
  <c r="G192" i="4"/>
  <c r="G195" i="4"/>
  <c r="AC198" i="4"/>
  <c r="K195" i="3" s="1"/>
  <c r="N203" i="4"/>
  <c r="M3" i="5"/>
  <c r="AQ5" i="5"/>
  <c r="AQ19" i="5"/>
  <c r="AR25" i="5"/>
  <c r="M29" i="5"/>
  <c r="X39" i="5"/>
  <c r="O39" i="6" s="1"/>
  <c r="M47" i="5"/>
  <c r="AS52" i="5"/>
  <c r="AR58" i="5"/>
  <c r="AC61" i="5"/>
  <c r="K61" i="6" s="1"/>
  <c r="X69" i="5"/>
  <c r="O69" i="6" s="1"/>
  <c r="G72" i="5"/>
  <c r="M75" i="5"/>
  <c r="AC106" i="5"/>
  <c r="K106" i="6" s="1"/>
  <c r="AB116" i="5"/>
  <c r="J116" i="6" s="1"/>
  <c r="AR119" i="5"/>
  <c r="AQ153" i="5"/>
  <c r="AC156" i="5"/>
  <c r="K156" i="6" s="1"/>
  <c r="M159" i="5"/>
  <c r="M163" i="5"/>
  <c r="AC186" i="5"/>
  <c r="K186" i="6" s="1"/>
  <c r="AR195" i="5"/>
  <c r="X198" i="5"/>
  <c r="O198" i="6" s="1"/>
  <c r="X203" i="5"/>
  <c r="O203" i="6" s="1"/>
  <c r="B203" i="6"/>
  <c r="A26" i="3"/>
  <c r="B48" i="3"/>
  <c r="C66" i="3"/>
  <c r="A98" i="3"/>
  <c r="C145" i="3"/>
  <c r="B177" i="3"/>
  <c r="A195" i="3"/>
  <c r="X60" i="4"/>
  <c r="O200" i="3" s="1"/>
  <c r="AB64" i="4"/>
  <c r="J50" i="3" s="1"/>
  <c r="W75" i="4" a="1"/>
  <c r="W75" i="4" s="1"/>
  <c r="V17" i="3" s="1"/>
  <c r="AC134" i="4"/>
  <c r="K119" i="3" s="1"/>
  <c r="M138" i="4"/>
  <c r="X141" i="4"/>
  <c r="O93" i="3" s="1"/>
  <c r="AB144" i="4"/>
  <c r="J65" i="3" s="1"/>
  <c r="X148" i="4"/>
  <c r="O185" i="3" s="1"/>
  <c r="N179" i="4"/>
  <c r="M192" i="4"/>
  <c r="M195" i="4"/>
  <c r="X203" i="4"/>
  <c r="O117" i="3" s="1"/>
  <c r="X8" i="5"/>
  <c r="O8" i="6" s="1"/>
  <c r="AB36" i="5"/>
  <c r="J36" i="6" s="1"/>
  <c r="AC39" i="5"/>
  <c r="K39" i="6" s="1"/>
  <c r="AB69" i="5"/>
  <c r="J69" i="6" s="1"/>
  <c r="M72" i="5"/>
  <c r="N75" i="5"/>
  <c r="AB99" i="5"/>
  <c r="J99" i="6" s="1"/>
  <c r="AQ106" i="5"/>
  <c r="AC116" i="5"/>
  <c r="K116" i="6" s="1"/>
  <c r="AS119" i="5"/>
  <c r="AQ156" i="5"/>
  <c r="N159" i="5"/>
  <c r="N163" i="5"/>
  <c r="X171" i="5"/>
  <c r="O171" i="6" s="1"/>
  <c r="AQ173" i="5"/>
  <c r="AS195" i="5"/>
  <c r="G201" i="5"/>
  <c r="AQ203" i="5"/>
  <c r="C165" i="6"/>
  <c r="B26" i="3"/>
  <c r="A40" i="3"/>
  <c r="C48" i="3"/>
  <c r="A62" i="3"/>
  <c r="A84" i="3"/>
  <c r="A89" i="3"/>
  <c r="B98" i="3"/>
  <c r="A112" i="3"/>
  <c r="A146" i="3"/>
  <c r="C177" i="3"/>
  <c r="A186" i="3"/>
  <c r="B195" i="3"/>
  <c r="W14" i="4" a="1"/>
  <c r="W14" i="4" s="1"/>
  <c r="V160" i="3" s="1"/>
  <c r="AB28" i="4"/>
  <c r="J46" i="3" s="1"/>
  <c r="AC51" i="4"/>
  <c r="K7" i="3" s="1"/>
  <c r="AB60" i="4"/>
  <c r="J200" i="3" s="1"/>
  <c r="AC64" i="4"/>
  <c r="K50" i="3" s="1"/>
  <c r="G89" i="4"/>
  <c r="AB93" i="4"/>
  <c r="J41" i="3" s="1"/>
  <c r="W138" i="4" a="1"/>
  <c r="W138" i="4" s="1"/>
  <c r="V31" i="3" s="1"/>
  <c r="AB141" i="4"/>
  <c r="J93" i="3" s="1"/>
  <c r="AB148" i="4"/>
  <c r="J185" i="3" s="1"/>
  <c r="W167" i="4" a="1"/>
  <c r="W167" i="4" s="1"/>
  <c r="V106" i="3" s="1"/>
  <c r="G176" i="4"/>
  <c r="AB179" i="4"/>
  <c r="J191" i="3" s="1"/>
  <c r="N192" i="4"/>
  <c r="N195" i="4"/>
  <c r="X3" i="5"/>
  <c r="O3" i="6" s="1"/>
  <c r="AB8" i="5"/>
  <c r="J8" i="6" s="1"/>
  <c r="G23" i="5"/>
  <c r="AQ29" i="5"/>
  <c r="AC36" i="5"/>
  <c r="K36" i="6" s="1"/>
  <c r="AQ39" i="5"/>
  <c r="X47" i="5"/>
  <c r="O47" i="6" s="1"/>
  <c r="N72" i="5"/>
  <c r="AQ171" i="5"/>
  <c r="AS173" i="5"/>
  <c r="AR203" i="5"/>
  <c r="A168" i="6"/>
  <c r="AC138" i="4"/>
  <c r="K31" i="3" s="1"/>
  <c r="W192" i="4" a="1"/>
  <c r="W192" i="4" s="1"/>
  <c r="V20" i="3" s="1"/>
  <c r="AB195" i="4"/>
  <c r="J26" i="3" s="1"/>
  <c r="AB47" i="5"/>
  <c r="J47" i="6" s="1"/>
  <c r="X163" i="5"/>
  <c r="O163" i="6" s="1"/>
  <c r="X123" i="4"/>
  <c r="O89" i="3" s="1"/>
  <c r="M135" i="4"/>
  <c r="G145" i="4"/>
  <c r="AB158" i="4"/>
  <c r="J107" i="3" s="1"/>
  <c r="AC195" i="4"/>
  <c r="K26" i="3" s="1"/>
  <c r="X72" i="5"/>
  <c r="O72" i="6" s="1"/>
  <c r="N78" i="5"/>
  <c r="G193" i="5"/>
  <c r="M199" i="5"/>
  <c r="M20" i="4"/>
  <c r="G25" i="4"/>
  <c r="X71" i="4"/>
  <c r="O40" i="3" s="1"/>
  <c r="AB80" i="4"/>
  <c r="J66" i="3" s="1"/>
  <c r="C44" i="3"/>
  <c r="C107" i="3"/>
  <c r="A122" i="3"/>
  <c r="B132" i="3"/>
  <c r="C173" i="3"/>
  <c r="C178" i="3"/>
  <c r="A187" i="3"/>
  <c r="C200" i="3"/>
  <c r="N25" i="4"/>
  <c r="AC41" i="4"/>
  <c r="K48" i="3" s="1"/>
  <c r="G47" i="4"/>
  <c r="G65" i="4"/>
  <c r="M76" i="4"/>
  <c r="AB123" i="4"/>
  <c r="J89" i="3" s="1"/>
  <c r="M132" i="4"/>
  <c r="W135" i="4" a="1"/>
  <c r="W135" i="4" s="1"/>
  <c r="V155" i="3" s="1"/>
  <c r="M145" i="4"/>
  <c r="N190" i="4"/>
  <c r="AB192" i="4"/>
  <c r="J20" i="3" s="1"/>
  <c r="AB66" i="5"/>
  <c r="J66" i="6" s="1"/>
  <c r="AS72" i="5"/>
  <c r="AQ75" i="5"/>
  <c r="N85" i="5"/>
  <c r="G97" i="5"/>
  <c r="X190" i="5"/>
  <c r="O190" i="6" s="1"/>
  <c r="B171" i="6"/>
  <c r="X57" i="4"/>
  <c r="O173" i="3" s="1"/>
  <c r="X192" i="4"/>
  <c r="O20" i="3" s="1"/>
  <c r="A5" i="3"/>
  <c r="C18" i="3"/>
  <c r="B31" i="3"/>
  <c r="B5" i="3"/>
  <c r="A14" i="3"/>
  <c r="A45" i="3"/>
  <c r="B58" i="3"/>
  <c r="B122" i="3"/>
  <c r="C132" i="3"/>
  <c r="A161" i="3"/>
  <c r="B187" i="3"/>
  <c r="G8" i="4"/>
  <c r="X25" i="4"/>
  <c r="O43" i="3" s="1"/>
  <c r="W36" i="4" a="1"/>
  <c r="W36" i="4" s="1"/>
  <c r="V206" i="3" s="1"/>
  <c r="W61" i="4" a="1"/>
  <c r="W61" i="4" s="1"/>
  <c r="V139" i="3" s="1"/>
  <c r="X65" i="4"/>
  <c r="O146" i="3" s="1"/>
  <c r="W76" i="4" a="1"/>
  <c r="W76" i="4" s="1"/>
  <c r="V62" i="3" s="1"/>
  <c r="AB105" i="4"/>
  <c r="J116" i="3" s="1"/>
  <c r="W112" i="4" a="1"/>
  <c r="W112" i="4" s="1"/>
  <c r="V163" i="3" s="1"/>
  <c r="M128" i="4"/>
  <c r="W132" i="4" a="1"/>
  <c r="W132" i="4" s="1"/>
  <c r="V161" i="3" s="1"/>
  <c r="AB135" i="4"/>
  <c r="J155" i="3" s="1"/>
  <c r="G139" i="4"/>
  <c r="N145" i="4"/>
  <c r="G168" i="4"/>
  <c r="AC174" i="4"/>
  <c r="K110" i="3" s="1"/>
  <c r="G180" i="4"/>
  <c r="W190" i="4" a="1"/>
  <c r="W190" i="4" s="1"/>
  <c r="V132" i="3" s="1"/>
  <c r="M24" i="5"/>
  <c r="N70" i="5"/>
  <c r="AB78" i="5"/>
  <c r="J78" i="6" s="1"/>
  <c r="N89" i="5"/>
  <c r="G93" i="5"/>
  <c r="M97" i="5"/>
  <c r="M133" i="5"/>
  <c r="AQ157" i="5"/>
  <c r="X182" i="5"/>
  <c r="O182" i="6" s="1"/>
  <c r="AB190" i="5"/>
  <c r="J190" i="6" s="1"/>
  <c r="X199" i="5"/>
  <c r="O199" i="6" s="1"/>
  <c r="C173" i="6"/>
  <c r="A58" i="3"/>
  <c r="C5" i="3"/>
  <c r="B14" i="3"/>
  <c r="A19" i="3"/>
  <c r="A32" i="3"/>
  <c r="B45" i="3"/>
  <c r="C58" i="3"/>
  <c r="C122" i="3"/>
  <c r="B161" i="3"/>
  <c r="C187" i="3"/>
  <c r="A192" i="3"/>
  <c r="X21" i="4"/>
  <c r="O90" i="3" s="1"/>
  <c r="AB25" i="4"/>
  <c r="J43" i="3" s="1"/>
  <c r="AC36" i="4"/>
  <c r="K206" i="3" s="1"/>
  <c r="AC44" i="4"/>
  <c r="K205" i="3" s="1"/>
  <c r="G58" i="4"/>
  <c r="AB61" i="4"/>
  <c r="J139" i="3" s="1"/>
  <c r="X76" i="4"/>
  <c r="O62" i="3" s="1"/>
  <c r="G81" i="4"/>
  <c r="W95" i="4" a="1"/>
  <c r="W95" i="4" s="1"/>
  <c r="V169" i="3" s="1"/>
  <c r="AC128" i="4"/>
  <c r="K80" i="3" s="1"/>
  <c r="X132" i="4"/>
  <c r="O161" i="3" s="1"/>
  <c r="AC135" i="4"/>
  <c r="K155" i="3" s="1"/>
  <c r="M139" i="4"/>
  <c r="G143" i="4"/>
  <c r="X145" i="4"/>
  <c r="O18" i="3" s="1"/>
  <c r="G159" i="4"/>
  <c r="M180" i="4"/>
  <c r="M186" i="4"/>
  <c r="X13" i="5"/>
  <c r="O13" i="6" s="1"/>
  <c r="AB40" i="5"/>
  <c r="J40" i="6" s="1"/>
  <c r="AQ51" i="5"/>
  <c r="M54" i="5"/>
  <c r="AS56" i="5"/>
  <c r="AC59" i="5"/>
  <c r="K59" i="6" s="1"/>
  <c r="AC78" i="5"/>
  <c r="K78" i="6" s="1"/>
  <c r="X85" i="5"/>
  <c r="O85" i="6" s="1"/>
  <c r="G103" i="5"/>
  <c r="G108" i="5"/>
  <c r="AB149" i="5"/>
  <c r="J149" i="6" s="1"/>
  <c r="AQ154" i="5"/>
  <c r="AQ167" i="5"/>
  <c r="M179" i="5"/>
  <c r="AB182" i="5"/>
  <c r="J182" i="6" s="1"/>
  <c r="AS187" i="5"/>
  <c r="AC190" i="5"/>
  <c r="K190" i="6" s="1"/>
  <c r="AQ199" i="5"/>
  <c r="G202" i="5"/>
  <c r="AC204" i="5"/>
  <c r="K204" i="6" s="1"/>
  <c r="A10" i="3"/>
  <c r="C14" i="3"/>
  <c r="B19" i="3"/>
  <c r="B32" i="3"/>
  <c r="C45" i="3"/>
  <c r="A64" i="3"/>
  <c r="A108" i="3"/>
  <c r="A114" i="3"/>
  <c r="A123" i="3"/>
  <c r="A138" i="3"/>
  <c r="C161" i="3"/>
  <c r="B192" i="3"/>
  <c r="AC12" i="4"/>
  <c r="K167" i="3" s="1"/>
  <c r="AB16" i="4"/>
  <c r="J184" i="3" s="1"/>
  <c r="AC21" i="4"/>
  <c r="K90" i="3" s="1"/>
  <c r="AC25" i="4"/>
  <c r="K43" i="3" s="1"/>
  <c r="G42" i="4"/>
  <c r="N58" i="4"/>
  <c r="AC61" i="4"/>
  <c r="K139" i="3" s="1"/>
  <c r="G87" i="4"/>
  <c r="AB95" i="4"/>
  <c r="J169" i="3" s="1"/>
  <c r="AB132" i="4"/>
  <c r="J161" i="3" s="1"/>
  <c r="X139" i="4"/>
  <c r="O103" i="3" s="1"/>
  <c r="N143" i="4"/>
  <c r="M154" i="4"/>
  <c r="AC159" i="4"/>
  <c r="K74" i="3" s="1"/>
  <c r="W180" i="4" a="1"/>
  <c r="W180" i="4" s="1"/>
  <c r="V4" i="3" s="1"/>
  <c r="N186" i="4"/>
  <c r="G193" i="4"/>
  <c r="M4" i="5"/>
  <c r="AB13" i="5"/>
  <c r="J13" i="6" s="1"/>
  <c r="AB21" i="5"/>
  <c r="J21" i="6" s="1"/>
  <c r="AR37" i="5"/>
  <c r="M45" i="5"/>
  <c r="AS51" i="5"/>
  <c r="N54" i="5"/>
  <c r="AS59" i="5"/>
  <c r="AR70" i="5"/>
  <c r="AQ78" i="5"/>
  <c r="AR85" i="5"/>
  <c r="X97" i="5"/>
  <c r="O97" i="6" s="1"/>
  <c r="X100" i="5"/>
  <c r="O100" i="6" s="1"/>
  <c r="M103" i="5"/>
  <c r="AR167" i="5"/>
  <c r="AB172" i="5"/>
  <c r="J172" i="6" s="1"/>
  <c r="M185" i="5"/>
  <c r="G197" i="5"/>
  <c r="AR199" i="5"/>
  <c r="AQ204" i="5"/>
  <c r="B186" i="6"/>
  <c r="B10" i="3"/>
  <c r="C19" i="3"/>
  <c r="C32" i="3"/>
  <c r="B64" i="3"/>
  <c r="A100" i="3"/>
  <c r="B108" i="3"/>
  <c r="B114" i="3"/>
  <c r="B123" i="3"/>
  <c r="B138" i="3"/>
  <c r="C192" i="3"/>
  <c r="W58" i="4" a="1"/>
  <c r="W58" i="4" s="1"/>
  <c r="V37" i="3" s="1"/>
  <c r="AC132" i="4"/>
  <c r="K161" i="3" s="1"/>
  <c r="AC139" i="4"/>
  <c r="K103" i="3" s="1"/>
  <c r="W143" i="4" a="1"/>
  <c r="W143" i="4" s="1"/>
  <c r="V157" i="3" s="1"/>
  <c r="X180" i="4"/>
  <c r="O4" i="3" s="1"/>
  <c r="AC186" i="4"/>
  <c r="K49" i="3" s="1"/>
  <c r="N191" i="4"/>
  <c r="N193" i="4"/>
  <c r="G197" i="4"/>
  <c r="AC21" i="5"/>
  <c r="K21" i="6" s="1"/>
  <c r="AS70" i="5"/>
  <c r="AR73" i="5"/>
  <c r="AR78" i="5"/>
  <c r="AC100" i="5"/>
  <c r="K100" i="6" s="1"/>
  <c r="N103" i="5"/>
  <c r="AC172" i="5"/>
  <c r="K172" i="6" s="1"/>
  <c r="N185" i="5"/>
  <c r="M197" i="5"/>
  <c r="AB202" i="5"/>
  <c r="J202" i="6" s="1"/>
  <c r="A187" i="6"/>
  <c r="C10" i="3"/>
  <c r="C64" i="3"/>
  <c r="B100" i="3"/>
  <c r="C114" i="3"/>
  <c r="C123" i="3"/>
  <c r="C138" i="3"/>
  <c r="A148" i="3"/>
  <c r="AC143" i="4"/>
  <c r="K157" i="3" s="1"/>
  <c r="AQ21" i="5"/>
  <c r="AQ54" i="5"/>
  <c r="AQ100" i="5"/>
  <c r="AQ172" i="5"/>
  <c r="AC202" i="5"/>
  <c r="K202" i="6" s="1"/>
  <c r="B94" i="3"/>
  <c r="B173" i="3"/>
  <c r="A20" i="3"/>
  <c r="A65" i="3"/>
  <c r="C100" i="3"/>
  <c r="A129" i="3"/>
  <c r="B148" i="3"/>
  <c r="A154" i="3"/>
  <c r="AR21" i="5"/>
  <c r="AR54" i="5"/>
  <c r="N183" i="5"/>
  <c r="C20" i="3"/>
  <c r="B29" i="3"/>
  <c r="B38" i="3"/>
  <c r="A43" i="3"/>
  <c r="C65" i="3"/>
  <c r="C129" i="3"/>
  <c r="C154" i="3"/>
  <c r="A171" i="3"/>
  <c r="N23" i="4"/>
  <c r="AC68" i="4"/>
  <c r="K148" i="3" s="1"/>
  <c r="AC151" i="4"/>
  <c r="K19" i="3" s="1"/>
  <c r="M58" i="5"/>
  <c r="M106" i="5"/>
  <c r="M23" i="4"/>
  <c r="X28" i="4"/>
  <c r="O46" i="3" s="1"/>
  <c r="AB41" i="4"/>
  <c r="J48" i="3" s="1"/>
  <c r="W59" i="4" a="1"/>
  <c r="W59" i="4" s="1"/>
  <c r="V140" i="3" s="1"/>
  <c r="N61" i="4"/>
  <c r="W71" i="4" a="1"/>
  <c r="W71" i="4" s="1"/>
  <c r="V40" i="3" s="1"/>
  <c r="M75" i="4"/>
  <c r="AC75" i="4"/>
  <c r="K17" i="3" s="1"/>
  <c r="M77" i="4"/>
  <c r="W91" i="4" a="1"/>
  <c r="W91" i="4" s="1"/>
  <c r="V152" i="3" s="1"/>
  <c r="X93" i="4"/>
  <c r="O41" i="3" s="1"/>
  <c r="X105" i="4"/>
  <c r="O116" i="3" s="1"/>
  <c r="AB110" i="4"/>
  <c r="J120" i="3" s="1"/>
  <c r="X113" i="4"/>
  <c r="O57" i="3" s="1"/>
  <c r="X124" i="4"/>
  <c r="O23" i="3" s="1"/>
  <c r="X127" i="4"/>
  <c r="O127" i="3" s="1"/>
  <c r="AC127" i="4"/>
  <c r="K127" i="3" s="1"/>
  <c r="AB151" i="4"/>
  <c r="J19" i="3" s="1"/>
  <c r="N167" i="4"/>
  <c r="X189" i="4"/>
  <c r="O52" i="3" s="1"/>
  <c r="W201" i="4" a="1"/>
  <c r="W201" i="4" s="1"/>
  <c r="V147" i="3" s="1"/>
  <c r="X35" i="5"/>
  <c r="O35" i="6" s="1"/>
  <c r="N37" i="5"/>
  <c r="M60" i="5"/>
  <c r="AQ62" i="5"/>
  <c r="N67" i="5"/>
  <c r="AQ72" i="5"/>
  <c r="X84" i="5"/>
  <c r="O84" i="6" s="1"/>
  <c r="N105" i="5"/>
  <c r="M105" i="5"/>
  <c r="G105" i="5"/>
  <c r="AC107" i="5"/>
  <c r="K107" i="6" s="1"/>
  <c r="AR132" i="5"/>
  <c r="AQ132" i="5"/>
  <c r="AS135" i="5"/>
  <c r="N157" i="5"/>
  <c r="M157" i="5"/>
  <c r="G157" i="5"/>
  <c r="X166" i="5"/>
  <c r="O166" i="6" s="1"/>
  <c r="AR176" i="5"/>
  <c r="AC101" i="4"/>
  <c r="K143" i="3" s="1"/>
  <c r="X101" i="4"/>
  <c r="O143" i="3" s="1"/>
  <c r="N164" i="4"/>
  <c r="AC164" i="4"/>
  <c r="K113" i="3" s="1"/>
  <c r="AQ15" i="5"/>
  <c r="AC15" i="5"/>
  <c r="K15" i="6" s="1"/>
  <c r="AB15" i="5"/>
  <c r="J15" i="6" s="1"/>
  <c r="AR18" i="5"/>
  <c r="N18" i="5"/>
  <c r="X20" i="5"/>
  <c r="O20" i="6" s="1"/>
  <c r="AB42" i="5"/>
  <c r="J42" i="6" s="1"/>
  <c r="AS48" i="5"/>
  <c r="N60" i="5"/>
  <c r="AQ84" i="5"/>
  <c r="C95" i="6"/>
  <c r="AQ95" i="5"/>
  <c r="AB95" i="5"/>
  <c r="J95" i="6" s="1"/>
  <c r="X95" i="5"/>
  <c r="O95" i="6" s="1"/>
  <c r="AS147" i="5"/>
  <c r="X147" i="5"/>
  <c r="O147" i="6" s="1"/>
  <c r="C191" i="6"/>
  <c r="AQ191" i="5"/>
  <c r="X191" i="5"/>
  <c r="O191" i="6" s="1"/>
  <c r="AC194" i="5"/>
  <c r="K194" i="6" s="1"/>
  <c r="AB194" i="5"/>
  <c r="J194" i="6" s="1"/>
  <c r="X194" i="5"/>
  <c r="O194" i="6" s="1"/>
  <c r="G5" i="4"/>
  <c r="W7" i="4" a="1"/>
  <c r="W7" i="4" s="1"/>
  <c r="V94" i="3" s="1"/>
  <c r="M16" i="4"/>
  <c r="W23" i="4" a="1"/>
  <c r="W23" i="4" s="1"/>
  <c r="V10" i="3" s="1"/>
  <c r="AC28" i="4"/>
  <c r="K46" i="3" s="1"/>
  <c r="G31" i="4"/>
  <c r="W34" i="4" a="1"/>
  <c r="W34" i="4" s="1"/>
  <c r="V28" i="3" s="1"/>
  <c r="W46" i="4" a="1"/>
  <c r="W46" i="4" s="1"/>
  <c r="V97" i="3" s="1"/>
  <c r="X53" i="4"/>
  <c r="O133" i="3" s="1"/>
  <c r="G57" i="4"/>
  <c r="AB59" i="4"/>
  <c r="J140" i="3" s="1"/>
  <c r="X61" i="4"/>
  <c r="O139" i="3" s="1"/>
  <c r="M68" i="4"/>
  <c r="AC71" i="4"/>
  <c r="K40" i="3" s="1"/>
  <c r="W77" i="4" a="1"/>
  <c r="W77" i="4" s="1"/>
  <c r="V204" i="3" s="1"/>
  <c r="AC93" i="4"/>
  <c r="K41" i="3" s="1"/>
  <c r="AC97" i="4"/>
  <c r="K35" i="3" s="1"/>
  <c r="M97" i="4"/>
  <c r="X111" i="4"/>
  <c r="O51" i="3" s="1"/>
  <c r="G111" i="4"/>
  <c r="G119" i="4"/>
  <c r="G122" i="4"/>
  <c r="W127" i="4" a="1"/>
  <c r="W127" i="4" s="1"/>
  <c r="V127" i="3" s="1"/>
  <c r="N130" i="4"/>
  <c r="W130" i="4" a="1"/>
  <c r="W130" i="4" s="1"/>
  <c r="V54" i="3" s="1"/>
  <c r="M143" i="4"/>
  <c r="M164" i="4"/>
  <c r="N174" i="4"/>
  <c r="AB182" i="4"/>
  <c r="J134" i="3" s="1"/>
  <c r="AC201" i="4"/>
  <c r="K147" i="3" s="1"/>
  <c r="M15" i="5"/>
  <c r="G18" i="5"/>
  <c r="AQ20" i="5"/>
  <c r="AS33" i="5"/>
  <c r="AR33" i="5"/>
  <c r="AQ35" i="5"/>
  <c r="X37" i="5"/>
  <c r="O37" i="6" s="1"/>
  <c r="AQ67" i="5"/>
  <c r="AR84" i="5"/>
  <c r="AQ88" i="5"/>
  <c r="AC88" i="5"/>
  <c r="K88" i="6" s="1"/>
  <c r="G88" i="5"/>
  <c r="AQ120" i="5"/>
  <c r="AC120" i="5"/>
  <c r="K120" i="6" s="1"/>
  <c r="AB120" i="5"/>
  <c r="J120" i="6" s="1"/>
  <c r="AR128" i="5"/>
  <c r="AQ128" i="5"/>
  <c r="B155" i="6"/>
  <c r="A155" i="6"/>
  <c r="N155" i="5"/>
  <c r="M155" i="5"/>
  <c r="AR160" i="5"/>
  <c r="AQ160" i="5"/>
  <c r="AC160" i="5"/>
  <c r="K160" i="6" s="1"/>
  <c r="AB160" i="5"/>
  <c r="J160" i="6" s="1"/>
  <c r="C160" i="6"/>
  <c r="AS177" i="5"/>
  <c r="AQ177" i="5"/>
  <c r="N177" i="5"/>
  <c r="M177" i="5"/>
  <c r="M5" i="4"/>
  <c r="AB7" i="4"/>
  <c r="J94" i="3" s="1"/>
  <c r="W16" i="4" a="1"/>
  <c r="W16" i="4" s="1"/>
  <c r="V184" i="3" s="1"/>
  <c r="W31" i="4" a="1"/>
  <c r="W31" i="4" s="1"/>
  <c r="V182" i="3" s="1"/>
  <c r="AB46" i="4"/>
  <c r="J97" i="3" s="1"/>
  <c r="AC53" i="4"/>
  <c r="K133" i="3" s="1"/>
  <c r="N57" i="4"/>
  <c r="W68" i="4" a="1"/>
  <c r="W68" i="4" s="1"/>
  <c r="V148" i="3" s="1"/>
  <c r="M119" i="4"/>
  <c r="N122" i="4"/>
  <c r="AB137" i="4"/>
  <c r="J64" i="3" s="1"/>
  <c r="AC137" i="4"/>
  <c r="K64" i="3" s="1"/>
  <c r="X164" i="4"/>
  <c r="O113" i="3" s="1"/>
  <c r="W171" i="4" a="1"/>
  <c r="W171" i="4" s="1"/>
  <c r="V70" i="3" s="1"/>
  <c r="AB171" i="4"/>
  <c r="J70" i="3" s="1"/>
  <c r="AR9" i="5"/>
  <c r="AS9" i="5"/>
  <c r="N15" i="5"/>
  <c r="AS28" i="5"/>
  <c r="N28" i="5"/>
  <c r="AB37" i="5"/>
  <c r="J37" i="6" s="1"/>
  <c r="AC60" i="5"/>
  <c r="K60" i="6" s="1"/>
  <c r="AC63" i="5"/>
  <c r="K63" i="6" s="1"/>
  <c r="AB63" i="5"/>
  <c r="J63" i="6" s="1"/>
  <c r="N63" i="5"/>
  <c r="AS67" i="5"/>
  <c r="N95" i="5"/>
  <c r="N147" i="5"/>
  <c r="AB153" i="5"/>
  <c r="J153" i="6" s="1"/>
  <c r="N153" i="5"/>
  <c r="G177" i="5"/>
  <c r="AC94" i="4"/>
  <c r="K108" i="3" s="1"/>
  <c r="W94" i="4" a="1"/>
  <c r="W94" i="4" s="1"/>
  <c r="V108" i="3" s="1"/>
  <c r="AC106" i="4"/>
  <c r="K180" i="3" s="1"/>
  <c r="W106" i="4" a="1"/>
  <c r="W106" i="4" s="1"/>
  <c r="V180" i="3" s="1"/>
  <c r="G183" i="4"/>
  <c r="M183" i="4"/>
  <c r="AC31" i="5"/>
  <c r="K31" i="6" s="1"/>
  <c r="AB31" i="5"/>
  <c r="J31" i="6" s="1"/>
  <c r="AS43" i="5"/>
  <c r="AQ43" i="5"/>
  <c r="X155" i="5"/>
  <c r="O155" i="6" s="1"/>
  <c r="AR164" i="5"/>
  <c r="AQ164" i="5"/>
  <c r="AC164" i="5"/>
  <c r="K164" i="6" s="1"/>
  <c r="B181" i="6"/>
  <c r="C181" i="6"/>
  <c r="A181" i="6"/>
  <c r="AS181" i="5"/>
  <c r="AQ181" i="5"/>
  <c r="A205" i="6"/>
  <c r="AS205" i="5"/>
  <c r="N205" i="5"/>
  <c r="M205" i="5"/>
  <c r="G205" i="5"/>
  <c r="C205" i="6"/>
  <c r="X5" i="4"/>
  <c r="O130" i="3" s="1"/>
  <c r="X13" i="4"/>
  <c r="O158" i="3" s="1"/>
  <c r="AC16" i="4"/>
  <c r="K184" i="3" s="1"/>
  <c r="W20" i="4" a="1"/>
  <c r="W20" i="4" s="1"/>
  <c r="V177" i="3" s="1"/>
  <c r="G27" i="4"/>
  <c r="G29" i="4"/>
  <c r="AC35" i="4"/>
  <c r="K187" i="3" s="1"/>
  <c r="N39" i="4"/>
  <c r="N42" i="4"/>
  <c r="AB44" i="4"/>
  <c r="J205" i="3" s="1"/>
  <c r="AB57" i="4"/>
  <c r="J173" i="3" s="1"/>
  <c r="AB75" i="4"/>
  <c r="J17" i="3" s="1"/>
  <c r="M81" i="4"/>
  <c r="X89" i="4"/>
  <c r="O189" i="3" s="1"/>
  <c r="N92" i="4"/>
  <c r="M92" i="4"/>
  <c r="AB94" i="4"/>
  <c r="J108" i="3" s="1"/>
  <c r="X97" i="4"/>
  <c r="O35" i="3" s="1"/>
  <c r="AB103" i="4"/>
  <c r="J24" i="3" s="1"/>
  <c r="W103" i="4" a="1"/>
  <c r="W103" i="4" s="1"/>
  <c r="V24" i="3" s="1"/>
  <c r="G106" i="4"/>
  <c r="W119" i="4" a="1"/>
  <c r="W119" i="4" s="1"/>
  <c r="V81" i="3" s="1"/>
  <c r="M125" i="4"/>
  <c r="AB131" i="4"/>
  <c r="J27" i="3" s="1"/>
  <c r="AB134" i="4"/>
  <c r="J119" i="3" s="1"/>
  <c r="N137" i="4"/>
  <c r="AB143" i="4"/>
  <c r="J157" i="3" s="1"/>
  <c r="N152" i="4"/>
  <c r="M159" i="4"/>
  <c r="AC168" i="4"/>
  <c r="K198" i="3" s="1"/>
  <c r="W168" i="4" a="1"/>
  <c r="W168" i="4" s="1"/>
  <c r="V198" i="3" s="1"/>
  <c r="M171" i="4"/>
  <c r="N183" i="4"/>
  <c r="W187" i="4" a="1"/>
  <c r="W187" i="4" s="1"/>
  <c r="V8" i="3" s="1"/>
  <c r="AB187" i="4"/>
  <c r="J8" i="3" s="1"/>
  <c r="G199" i="4"/>
  <c r="M199" i="4"/>
  <c r="W202" i="4" a="1"/>
  <c r="W202" i="4" s="1"/>
  <c r="V186" i="3" s="1"/>
  <c r="N9" i="5"/>
  <c r="AC12" i="5"/>
  <c r="K12" i="6" s="1"/>
  <c r="X15" i="5"/>
  <c r="O15" i="6" s="1"/>
  <c r="AQ18" i="5"/>
  <c r="N23" i="5"/>
  <c r="G31" i="5"/>
  <c r="X33" i="5"/>
  <c r="O33" i="6" s="1"/>
  <c r="M43" i="5"/>
  <c r="X49" i="5"/>
  <c r="O49" i="6" s="1"/>
  <c r="M63" i="5"/>
  <c r="AC95" i="5"/>
  <c r="K95" i="6" s="1"/>
  <c r="AC128" i="5"/>
  <c r="K128" i="6" s="1"/>
  <c r="AQ155" i="5"/>
  <c r="AQ161" i="5"/>
  <c r="N161" i="5"/>
  <c r="AB174" i="5"/>
  <c r="J174" i="6" s="1"/>
  <c r="X174" i="5"/>
  <c r="O174" i="6" s="1"/>
  <c r="G181" i="5"/>
  <c r="B176" i="6"/>
  <c r="AB5" i="4"/>
  <c r="J130" i="3" s="1"/>
  <c r="AC20" i="4"/>
  <c r="K177" i="3" s="1"/>
  <c r="N27" i="4"/>
  <c r="M29" i="4"/>
  <c r="W42" i="4" a="1"/>
  <c r="W42" i="4" s="1"/>
  <c r="V60" i="3" s="1"/>
  <c r="AC57" i="4"/>
  <c r="K173" i="3" s="1"/>
  <c r="W73" i="4" a="1"/>
  <c r="W73" i="4" s="1"/>
  <c r="V63" i="3" s="1"/>
  <c r="N73" i="4"/>
  <c r="W81" i="4" a="1"/>
  <c r="W81" i="4" s="1"/>
  <c r="V11" i="3" s="1"/>
  <c r="N106" i="4"/>
  <c r="X119" i="4"/>
  <c r="O81" i="3" s="1"/>
  <c r="M123" i="4"/>
  <c r="G123" i="4"/>
  <c r="N125" i="4"/>
  <c r="X137" i="4"/>
  <c r="O64" i="3" s="1"/>
  <c r="W152" i="4" a="1"/>
  <c r="W152" i="4" s="1"/>
  <c r="V129" i="3" s="1"/>
  <c r="N159" i="4"/>
  <c r="N171" i="4"/>
  <c r="W183" i="4" a="1"/>
  <c r="W183" i="4" s="1"/>
  <c r="V12" i="3" s="1"/>
  <c r="AS15" i="5"/>
  <c r="AS18" i="5"/>
  <c r="X28" i="5"/>
  <c r="O28" i="6" s="1"/>
  <c r="M31" i="5"/>
  <c r="AQ33" i="5"/>
  <c r="N43" i="5"/>
  <c r="AS47" i="5"/>
  <c r="AQ47" i="5"/>
  <c r="G47" i="5"/>
  <c r="AC49" i="5"/>
  <c r="K49" i="6" s="1"/>
  <c r="X56" i="5"/>
  <c r="O56" i="6" s="1"/>
  <c r="A83" i="6"/>
  <c r="AS83" i="5"/>
  <c r="X83" i="5"/>
  <c r="O83" i="6" s="1"/>
  <c r="N83" i="5"/>
  <c r="AR95" i="5"/>
  <c r="C99" i="6"/>
  <c r="AS99" i="5"/>
  <c r="X99" i="5"/>
  <c r="O99" i="6" s="1"/>
  <c r="N99" i="5"/>
  <c r="A141" i="6"/>
  <c r="N141" i="5"/>
  <c r="M141" i="5"/>
  <c r="G141" i="5"/>
  <c r="C178" i="6"/>
  <c r="AC178" i="5"/>
  <c r="K178" i="6" s="1"/>
  <c r="AB178" i="5"/>
  <c r="J178" i="6" s="1"/>
  <c r="N189" i="5"/>
  <c r="C189" i="6"/>
  <c r="M189" i="5"/>
  <c r="B189" i="6"/>
  <c r="G189" i="5"/>
  <c r="AC5" i="4"/>
  <c r="K130" i="3" s="1"/>
  <c r="W8" i="4" a="1"/>
  <c r="W8" i="4" s="1"/>
  <c r="V124" i="3" s="1"/>
  <c r="W27" i="4" a="1"/>
  <c r="W27" i="4" s="1"/>
  <c r="V123" i="3" s="1"/>
  <c r="N29" i="4"/>
  <c r="M32" i="4"/>
  <c r="X39" i="4"/>
  <c r="O142" i="3" s="1"/>
  <c r="W47" i="4" a="1"/>
  <c r="W47" i="4" s="1"/>
  <c r="V138" i="3" s="1"/>
  <c r="W50" i="4" a="1"/>
  <c r="W50" i="4" s="1"/>
  <c r="V45" i="3" s="1"/>
  <c r="M60" i="4"/>
  <c r="W62" i="4" a="1"/>
  <c r="W62" i="4" s="1"/>
  <c r="V141" i="3" s="1"/>
  <c r="M65" i="4"/>
  <c r="X69" i="4"/>
  <c r="O98" i="3" s="1"/>
  <c r="G73" i="4"/>
  <c r="N76" i="4"/>
  <c r="AC76" i="4"/>
  <c r="K62" i="3" s="1"/>
  <c r="W78" i="4" a="1"/>
  <c r="W78" i="4" s="1"/>
  <c r="V114" i="3" s="1"/>
  <c r="X81" i="4"/>
  <c r="O11" i="3" s="1"/>
  <c r="AC89" i="4"/>
  <c r="K189" i="3" s="1"/>
  <c r="W92" i="4" a="1"/>
  <c r="W92" i="4" s="1"/>
  <c r="V192" i="3" s="1"/>
  <c r="M103" i="4"/>
  <c r="G109" i="4"/>
  <c r="X112" i="4"/>
  <c r="O163" i="3" s="1"/>
  <c r="AB112" i="4"/>
  <c r="J163" i="3" s="1"/>
  <c r="AC119" i="4"/>
  <c r="K81" i="3" s="1"/>
  <c r="N123" i="4"/>
  <c r="W125" i="4" a="1"/>
  <c r="W125" i="4" s="1"/>
  <c r="V136" i="3" s="1"/>
  <c r="W128" i="4" a="1"/>
  <c r="W128" i="4" s="1"/>
  <c r="V80" i="3" s="1"/>
  <c r="W150" i="4" a="1"/>
  <c r="W150" i="4" s="1"/>
  <c r="V42" i="3" s="1"/>
  <c r="AB152" i="4"/>
  <c r="J129" i="3" s="1"/>
  <c r="G156" i="4"/>
  <c r="X159" i="4"/>
  <c r="O74" i="3" s="1"/>
  <c r="G162" i="4"/>
  <c r="M168" i="4"/>
  <c r="X171" i="4"/>
  <c r="O70" i="3" s="1"/>
  <c r="X183" i="4"/>
  <c r="O12" i="3" s="1"/>
  <c r="M187" i="4"/>
  <c r="W196" i="4" a="1"/>
  <c r="W196" i="4" s="1"/>
  <c r="V156" i="3" s="1"/>
  <c r="W199" i="4" a="1"/>
  <c r="W199" i="4" s="1"/>
  <c r="V196" i="3" s="1"/>
  <c r="W203" i="4" a="1"/>
  <c r="W203" i="4" s="1"/>
  <c r="V117" i="3" s="1"/>
  <c r="AB203" i="4"/>
  <c r="J117" i="3" s="1"/>
  <c r="AC9" i="5"/>
  <c r="K9" i="6" s="1"/>
  <c r="M21" i="5"/>
  <c r="X23" i="5"/>
  <c r="O23" i="6" s="1"/>
  <c r="AC28" i="5"/>
  <c r="K28" i="6" s="1"/>
  <c r="N31" i="5"/>
  <c r="AQ49" i="5"/>
  <c r="AB56" i="5"/>
  <c r="J56" i="6" s="1"/>
  <c r="AQ61" i="5"/>
  <c r="AR61" i="5"/>
  <c r="AQ63" i="5"/>
  <c r="AQ66" i="5"/>
  <c r="AC66" i="5"/>
  <c r="K66" i="6" s="1"/>
  <c r="N66" i="5"/>
  <c r="AS95" i="5"/>
  <c r="AS155" i="5"/>
  <c r="N181" i="5"/>
  <c r="A198" i="6"/>
  <c r="AC198" i="5"/>
  <c r="K198" i="6" s="1"/>
  <c r="AB8" i="4"/>
  <c r="J124" i="3" s="1"/>
  <c r="M17" i="4"/>
  <c r="X27" i="4"/>
  <c r="O123" i="3" s="1"/>
  <c r="W29" i="4" a="1"/>
  <c r="W29" i="4" s="1"/>
  <c r="V178" i="3" s="1"/>
  <c r="W32" i="4" a="1"/>
  <c r="W32" i="4" s="1"/>
  <c r="V6" i="3" s="1"/>
  <c r="M36" i="4"/>
  <c r="AC39" i="4"/>
  <c r="K142" i="3" s="1"/>
  <c r="AB47" i="4"/>
  <c r="J138" i="3" s="1"/>
  <c r="G55" i="4"/>
  <c r="W60" i="4" a="1"/>
  <c r="W60" i="4" s="1"/>
  <c r="V200" i="3" s="1"/>
  <c r="AB62" i="4"/>
  <c r="J141" i="3" s="1"/>
  <c r="W65" i="4" a="1"/>
  <c r="W65" i="4" s="1"/>
  <c r="V146" i="3" s="1"/>
  <c r="AC69" i="4"/>
  <c r="K98" i="3" s="1"/>
  <c r="X73" i="4"/>
  <c r="O63" i="3" s="1"/>
  <c r="G76" i="4"/>
  <c r="AB78" i="4"/>
  <c r="J114" i="3" s="1"/>
  <c r="X92" i="4"/>
  <c r="O192" i="3" s="1"/>
  <c r="G95" i="4"/>
  <c r="W98" i="4" a="1"/>
  <c r="W98" i="4" s="1"/>
  <c r="V100" i="3" s="1"/>
  <c r="N103" i="4"/>
  <c r="M107" i="4"/>
  <c r="AC107" i="4"/>
  <c r="K115" i="3" s="1"/>
  <c r="M109" i="4"/>
  <c r="M112" i="4"/>
  <c r="G116" i="4"/>
  <c r="M116" i="4"/>
  <c r="W123" i="4" a="1"/>
  <c r="W123" i="4" s="1"/>
  <c r="V89" i="3" s="1"/>
  <c r="X125" i="4"/>
  <c r="O136" i="3" s="1"/>
  <c r="AB128" i="4"/>
  <c r="J80" i="3" s="1"/>
  <c r="G132" i="4"/>
  <c r="AC144" i="4"/>
  <c r="K65" i="3" s="1"/>
  <c r="W144" i="4" a="1"/>
  <c r="W144" i="4" s="1"/>
  <c r="V65" i="3" s="1"/>
  <c r="X150" i="4"/>
  <c r="O42" i="3" s="1"/>
  <c r="AB156" i="4"/>
  <c r="J34" i="3" s="1"/>
  <c r="AB159" i="4"/>
  <c r="J74" i="3" s="1"/>
  <c r="N162" i="4"/>
  <c r="G166" i="4"/>
  <c r="W166" i="4" a="1"/>
  <c r="W166" i="4" s="1"/>
  <c r="V82" i="3" s="1"/>
  <c r="N168" i="4"/>
  <c r="AC171" i="4"/>
  <c r="K70" i="3" s="1"/>
  <c r="AB183" i="4"/>
  <c r="J12" i="3" s="1"/>
  <c r="N187" i="4"/>
  <c r="M191" i="4"/>
  <c r="AB196" i="4"/>
  <c r="J156" i="3" s="1"/>
  <c r="X199" i="4"/>
  <c r="O196" i="3" s="1"/>
  <c r="G203" i="4"/>
  <c r="AQ9" i="5"/>
  <c r="AR16" i="5"/>
  <c r="AS16" i="5"/>
  <c r="AQ23" i="5"/>
  <c r="AC43" i="5"/>
  <c r="K43" i="6" s="1"/>
  <c r="N47" i="5"/>
  <c r="AR49" i="5"/>
  <c r="AC56" i="5"/>
  <c r="K56" i="6" s="1"/>
  <c r="N59" i="5"/>
  <c r="AS63" i="5"/>
  <c r="M66" i="5"/>
  <c r="AS69" i="5"/>
  <c r="N69" i="5"/>
  <c r="M99" i="5"/>
  <c r="AQ141" i="5"/>
  <c r="AR153" i="5"/>
  <c r="X178" i="5"/>
  <c r="O178" i="6" s="1"/>
  <c r="N187" i="5"/>
  <c r="M187" i="5"/>
  <c r="AQ189" i="5"/>
  <c r="AR192" i="5"/>
  <c r="AQ192" i="5"/>
  <c r="AC192" i="5"/>
  <c r="K192" i="6" s="1"/>
  <c r="AB192" i="5"/>
  <c r="J192" i="6" s="1"/>
  <c r="AB27" i="4"/>
  <c r="J123" i="3" s="1"/>
  <c r="X29" i="4"/>
  <c r="O178" i="3" s="1"/>
  <c r="AB125" i="4"/>
  <c r="J136" i="3" s="1"/>
  <c r="AB153" i="4"/>
  <c r="J79" i="3" s="1"/>
  <c r="G153" i="4"/>
  <c r="AC183" i="4"/>
  <c r="K12" i="3" s="1"/>
  <c r="AR26" i="5"/>
  <c r="AQ26" i="5"/>
  <c r="AC26" i="5"/>
  <c r="K26" i="6" s="1"/>
  <c r="AC29" i="5"/>
  <c r="K29" i="6" s="1"/>
  <c r="AB29" i="5"/>
  <c r="J29" i="6" s="1"/>
  <c r="X31" i="5"/>
  <c r="O31" i="6" s="1"/>
  <c r="AB83" i="5"/>
  <c r="J83" i="6" s="1"/>
  <c r="AQ89" i="5"/>
  <c r="AS137" i="5"/>
  <c r="M137" i="5"/>
  <c r="AS141" i="5"/>
  <c r="AR145" i="5"/>
  <c r="AS145" i="5"/>
  <c r="AQ145" i="5"/>
  <c r="N145" i="5"/>
  <c r="M145" i="5"/>
  <c r="AS153" i="5"/>
  <c r="AS161" i="5"/>
  <c r="AR175" i="5"/>
  <c r="AQ175" i="5"/>
  <c r="X175" i="5"/>
  <c r="O175" i="6" s="1"/>
  <c r="N175" i="5"/>
  <c r="AS189" i="5"/>
  <c r="G4" i="4"/>
  <c r="AC27" i="4"/>
  <c r="K123" i="3" s="1"/>
  <c r="AB29" i="4"/>
  <c r="J178" i="3" s="1"/>
  <c r="AC79" i="4"/>
  <c r="K118" i="3" s="1"/>
  <c r="G79" i="4"/>
  <c r="G90" i="4"/>
  <c r="AB99" i="4"/>
  <c r="J201" i="3" s="1"/>
  <c r="AC99" i="4"/>
  <c r="K201" i="3" s="1"/>
  <c r="AC125" i="4"/>
  <c r="K136" i="3" s="1"/>
  <c r="AQ31" i="5"/>
  <c r="N50" i="5"/>
  <c r="M50" i="5"/>
  <c r="M64" i="5"/>
  <c r="G64" i="5"/>
  <c r="AS179" i="5"/>
  <c r="C179" i="6"/>
  <c r="AR179" i="5"/>
  <c r="B179" i="6"/>
  <c r="AQ179" i="5"/>
  <c r="A179" i="6"/>
  <c r="X179" i="5"/>
  <c r="O179" i="6" s="1"/>
  <c r="B157" i="6"/>
  <c r="N4" i="4"/>
  <c r="M6" i="4"/>
  <c r="M9" i="4"/>
  <c r="M48" i="4"/>
  <c r="G63" i="4"/>
  <c r="W79" i="4" a="1"/>
  <c r="W79" i="4" s="1"/>
  <c r="V118" i="3" s="1"/>
  <c r="N90" i="4"/>
  <c r="W121" i="4" a="1"/>
  <c r="W121" i="4" s="1"/>
  <c r="V83" i="3" s="1"/>
  <c r="AC121" i="4"/>
  <c r="K83" i="3" s="1"/>
  <c r="AC160" i="4"/>
  <c r="K78" i="3" s="1"/>
  <c r="N160" i="4"/>
  <c r="X5" i="5"/>
  <c r="O5" i="6" s="1"/>
  <c r="G24" i="5"/>
  <c r="M26" i="5"/>
  <c r="AS31" i="5"/>
  <c r="N64" i="5"/>
  <c r="AR66" i="5"/>
  <c r="AR90" i="5"/>
  <c r="AB90" i="5"/>
  <c r="J90" i="6" s="1"/>
  <c r="AC149" i="5"/>
  <c r="K149" i="6" s="1"/>
  <c r="AS149" i="5"/>
  <c r="N149" i="5"/>
  <c r="M149" i="5"/>
  <c r="G149" i="5"/>
  <c r="AQ159" i="5"/>
  <c r="X159" i="5"/>
  <c r="O159" i="6" s="1"/>
  <c r="AC162" i="5"/>
  <c r="K162" i="6" s="1"/>
  <c r="AB162" i="5"/>
  <c r="J162" i="6" s="1"/>
  <c r="X162" i="5"/>
  <c r="O162" i="6" s="1"/>
  <c r="AQ193" i="5"/>
  <c r="N193" i="5"/>
  <c r="C157" i="6"/>
  <c r="W4" i="4" a="1"/>
  <c r="W4" i="4" s="1"/>
  <c r="V13" i="3" s="1"/>
  <c r="N6" i="4"/>
  <c r="W9" i="4" a="1"/>
  <c r="W9" i="4" s="1"/>
  <c r="V16" i="3" s="1"/>
  <c r="W48" i="4" a="1"/>
  <c r="W48" i="4" s="1"/>
  <c r="V170" i="3" s="1"/>
  <c r="W63" i="4" a="1"/>
  <c r="W63" i="4" s="1"/>
  <c r="V145" i="3" s="1"/>
  <c r="W66" i="4" a="1"/>
  <c r="W66" i="4" s="1"/>
  <c r="V193" i="3" s="1"/>
  <c r="AC74" i="4"/>
  <c r="K39" i="3" s="1"/>
  <c r="W74" i="4" a="1"/>
  <c r="W74" i="4" s="1"/>
  <c r="V39" i="3" s="1"/>
  <c r="AB79" i="4"/>
  <c r="J118" i="3" s="1"/>
  <c r="W90" i="4" a="1"/>
  <c r="W90" i="4" s="1"/>
  <c r="V36" i="3" s="1"/>
  <c r="G121" i="4"/>
  <c r="M151" i="4"/>
  <c r="G157" i="4"/>
  <c r="G160" i="4"/>
  <c r="G169" i="4"/>
  <c r="W178" i="4" a="1"/>
  <c r="W178" i="4" s="1"/>
  <c r="V15" i="3" s="1"/>
  <c r="AB184" i="4"/>
  <c r="J22" i="3" s="1"/>
  <c r="AC20" i="5"/>
  <c r="K20" i="6" s="1"/>
  <c r="AB20" i="5"/>
  <c r="J20" i="6" s="1"/>
  <c r="AR42" i="5"/>
  <c r="AQ42" i="5"/>
  <c r="AC42" i="5"/>
  <c r="K42" i="6" s="1"/>
  <c r="AR62" i="5"/>
  <c r="AC62" i="5"/>
  <c r="K62" i="6" s="1"/>
  <c r="AB62" i="5"/>
  <c r="J62" i="6" s="1"/>
  <c r="C107" i="6"/>
  <c r="AR107" i="5"/>
  <c r="AQ107" i="5"/>
  <c r="N107" i="5"/>
  <c r="M107" i="5"/>
  <c r="G107" i="5"/>
  <c r="AR196" i="5"/>
  <c r="AQ196" i="5"/>
  <c r="AC196" i="5"/>
  <c r="K196" i="6" s="1"/>
  <c r="C159" i="6"/>
  <c r="C192" i="6"/>
  <c r="X4" i="4"/>
  <c r="O13" i="3" s="1"/>
  <c r="W6" i="4" a="1"/>
  <c r="W6" i="4" s="1"/>
  <c r="V55" i="3" s="1"/>
  <c r="AB9" i="4"/>
  <c r="J16" i="3" s="1"/>
  <c r="G15" i="4"/>
  <c r="W18" i="4" a="1"/>
  <c r="W18" i="4" s="1"/>
  <c r="V104" i="3" s="1"/>
  <c r="G28" i="4"/>
  <c r="M33" i="4"/>
  <c r="X37" i="4"/>
  <c r="O168" i="3" s="1"/>
  <c r="G41" i="4"/>
  <c r="AB48" i="4"/>
  <c r="J170" i="3" s="1"/>
  <c r="M52" i="4"/>
  <c r="AB63" i="4"/>
  <c r="J145" i="3" s="1"/>
  <c r="G71" i="4"/>
  <c r="G74" i="4"/>
  <c r="AC83" i="4"/>
  <c r="K84" i="3" s="1"/>
  <c r="G93" i="4"/>
  <c r="M100" i="4"/>
  <c r="G113" i="4"/>
  <c r="X117" i="4"/>
  <c r="O85" i="3" s="1"/>
  <c r="N121" i="4"/>
  <c r="N124" i="4"/>
  <c r="G124" i="4"/>
  <c r="N151" i="4"/>
  <c r="AC153" i="4"/>
  <c r="K79" i="3" s="1"/>
  <c r="W157" i="4" a="1"/>
  <c r="W157" i="4" s="1"/>
  <c r="V76" i="3" s="1"/>
  <c r="M160" i="4"/>
  <c r="M163" i="4"/>
  <c r="W169" i="4" a="1"/>
  <c r="W169" i="4" s="1"/>
  <c r="V87" i="3" s="1"/>
  <c r="G173" i="4"/>
  <c r="G20" i="5"/>
  <c r="AR29" i="5"/>
  <c r="AS32" i="5"/>
  <c r="AQ32" i="5"/>
  <c r="AC35" i="5"/>
  <c r="K35" i="6" s="1"/>
  <c r="M35" i="5"/>
  <c r="G42" i="5"/>
  <c r="AS45" i="5"/>
  <c r="X45" i="5"/>
  <c r="O45" i="6" s="1"/>
  <c r="AC50" i="5"/>
  <c r="K50" i="6" s="1"/>
  <c r="AC55" i="5"/>
  <c r="K55" i="6" s="1"/>
  <c r="AS55" i="5"/>
  <c r="AB55" i="5"/>
  <c r="J55" i="6" s="1"/>
  <c r="M62" i="5"/>
  <c r="AB64" i="5"/>
  <c r="J64" i="6" s="1"/>
  <c r="AC110" i="5"/>
  <c r="K110" i="6" s="1"/>
  <c r="AB110" i="5"/>
  <c r="J110" i="6" s="1"/>
  <c r="AQ146" i="5"/>
  <c r="AC146" i="5"/>
  <c r="K146" i="6" s="1"/>
  <c r="AB146" i="5"/>
  <c r="J146" i="6" s="1"/>
  <c r="B160" i="6"/>
  <c r="AB4" i="4"/>
  <c r="J13" i="3" s="1"/>
  <c r="X6" i="4"/>
  <c r="O55" i="3" s="1"/>
  <c r="AC9" i="4"/>
  <c r="K16" i="3" s="1"/>
  <c r="W15" i="4" a="1"/>
  <c r="W15" i="4" s="1"/>
  <c r="V75" i="3" s="1"/>
  <c r="AB18" i="4"/>
  <c r="J104" i="3" s="1"/>
  <c r="M28" i="4"/>
  <c r="W30" i="4" a="1"/>
  <c r="W30" i="4" s="1"/>
  <c r="V131" i="3" s="1"/>
  <c r="W33" i="4" a="1"/>
  <c r="W33" i="4" s="1"/>
  <c r="V58" i="3" s="1"/>
  <c r="AC37" i="4"/>
  <c r="K168" i="3" s="1"/>
  <c r="N41" i="4"/>
  <c r="AC48" i="4"/>
  <c r="K170" i="3" s="1"/>
  <c r="W52" i="4" a="1"/>
  <c r="W52" i="4" s="1"/>
  <c r="V38" i="3" s="1"/>
  <c r="G59" i="4"/>
  <c r="G61" i="4"/>
  <c r="M71" i="4"/>
  <c r="N74" i="4"/>
  <c r="X80" i="4"/>
  <c r="O66" i="3" s="1"/>
  <c r="AC80" i="4"/>
  <c r="K66" i="3" s="1"/>
  <c r="M91" i="4"/>
  <c r="N91" i="4"/>
  <c r="N93" i="4"/>
  <c r="W100" i="4" a="1"/>
  <c r="W100" i="4" s="1"/>
  <c r="V56" i="3" s="1"/>
  <c r="W105" i="4" a="1"/>
  <c r="W105" i="4" s="1"/>
  <c r="V116" i="3" s="1"/>
  <c r="N105" i="4"/>
  <c r="M113" i="4"/>
  <c r="X121" i="4"/>
  <c r="O83" i="3" s="1"/>
  <c r="M124" i="4"/>
  <c r="AC136" i="4"/>
  <c r="K190" i="3" s="1"/>
  <c r="M136" i="4"/>
  <c r="AB142" i="4"/>
  <c r="J14" i="3" s="1"/>
  <c r="W151" i="4" a="1"/>
  <c r="W151" i="4" s="1"/>
  <c r="V19" i="3" s="1"/>
  <c r="X157" i="4"/>
  <c r="O76" i="3" s="1"/>
  <c r="W160" i="4" a="1"/>
  <c r="W160" i="4" s="1"/>
  <c r="V78" i="3" s="1"/>
  <c r="AB163" i="4"/>
  <c r="J122" i="3" s="1"/>
  <c r="G167" i="4"/>
  <c r="X167" i="4"/>
  <c r="O106" i="3" s="1"/>
  <c r="W173" i="4" a="1"/>
  <c r="W173" i="4" s="1"/>
  <c r="V32" i="3" s="1"/>
  <c r="W181" i="4" a="1"/>
  <c r="W181" i="4" s="1"/>
  <c r="V5" i="3" s="1"/>
  <c r="AS11" i="5"/>
  <c r="N11" i="5"/>
  <c r="M20" i="5"/>
  <c r="AQ37" i="5"/>
  <c r="AC37" i="5"/>
  <c r="K37" i="6" s="1"/>
  <c r="M42" i="5"/>
  <c r="AB60" i="5"/>
  <c r="J60" i="6" s="1"/>
  <c r="X60" i="5"/>
  <c r="O60" i="6" s="1"/>
  <c r="N62" i="5"/>
  <c r="X107" i="5"/>
  <c r="O107" i="6" s="1"/>
  <c r="G146" i="5"/>
  <c r="A166" i="6"/>
  <c r="AC166" i="5"/>
  <c r="K166" i="6" s="1"/>
  <c r="A176" i="6"/>
  <c r="AQ176" i="5"/>
  <c r="AC176" i="5"/>
  <c r="K176" i="6" s="1"/>
  <c r="AB176" i="5"/>
  <c r="J176" i="6" s="1"/>
  <c r="C94" i="3"/>
  <c r="B184" i="3"/>
  <c r="AC4" i="4"/>
  <c r="K13" i="3" s="1"/>
  <c r="AB6" i="4"/>
  <c r="J55" i="3" s="1"/>
  <c r="AB15" i="4"/>
  <c r="J75" i="3" s="1"/>
  <c r="G23" i="4"/>
  <c r="W28" i="4" a="1"/>
  <c r="W28" i="4" s="1"/>
  <c r="V46" i="3" s="1"/>
  <c r="AB30" i="4"/>
  <c r="J131" i="3" s="1"/>
  <c r="X33" i="4"/>
  <c r="O58" i="3" s="1"/>
  <c r="X41" i="4"/>
  <c r="O48" i="3" s="1"/>
  <c r="AC52" i="4"/>
  <c r="K38" i="3" s="1"/>
  <c r="N59" i="4"/>
  <c r="AC67" i="4"/>
  <c r="K194" i="3" s="1"/>
  <c r="N71" i="4"/>
  <c r="G77" i="4"/>
  <c r="M80" i="4"/>
  <c r="G84" i="4"/>
  <c r="W84" i="4" a="1"/>
  <c r="W84" i="4" s="1"/>
  <c r="V59" i="3" s="1"/>
  <c r="G91" i="4"/>
  <c r="W93" i="4" a="1"/>
  <c r="W93" i="4" s="1"/>
  <c r="V41" i="3" s="1"/>
  <c r="AC100" i="4"/>
  <c r="K56" i="3" s="1"/>
  <c r="G105" i="4"/>
  <c r="N108" i="4"/>
  <c r="AC108" i="4"/>
  <c r="K101" i="3" s="1"/>
  <c r="W110" i="4" a="1"/>
  <c r="W110" i="4" s="1"/>
  <c r="V120" i="3" s="1"/>
  <c r="W113" i="4" a="1"/>
  <c r="W113" i="4" s="1"/>
  <c r="V57" i="3" s="1"/>
  <c r="AB121" i="4"/>
  <c r="J83" i="3" s="1"/>
  <c r="W124" i="4" a="1"/>
  <c r="W124" i="4" s="1"/>
  <c r="V23" i="3" s="1"/>
  <c r="AC133" i="4"/>
  <c r="K25" i="3" s="1"/>
  <c r="AB133" i="4"/>
  <c r="J25" i="3" s="1"/>
  <c r="G136" i="4"/>
  <c r="X151" i="4"/>
  <c r="O19" i="3" s="1"/>
  <c r="AC154" i="4"/>
  <c r="K9" i="3" s="1"/>
  <c r="N154" i="4"/>
  <c r="X160" i="4"/>
  <c r="O78" i="3" s="1"/>
  <c r="AC163" i="4"/>
  <c r="K122" i="3" s="1"/>
  <c r="M167" i="4"/>
  <c r="AC173" i="4"/>
  <c r="K32" i="3" s="1"/>
  <c r="AC181" i="4"/>
  <c r="K5" i="3" s="1"/>
  <c r="G189" i="4"/>
  <c r="AQ3" i="5"/>
  <c r="G11" i="5"/>
  <c r="N20" i="5"/>
  <c r="AB32" i="5"/>
  <c r="J32" i="6" s="1"/>
  <c r="M37" i="5"/>
  <c r="N42" i="5"/>
  <c r="G60" i="5"/>
  <c r="AQ64" i="5"/>
  <c r="G67" i="5"/>
  <c r="AC72" i="5"/>
  <c r="K72" i="6" s="1"/>
  <c r="X90" i="5"/>
  <c r="O90" i="6" s="1"/>
  <c r="G100" i="5"/>
  <c r="AS100" i="5"/>
  <c r="AB103" i="5"/>
  <c r="J103" i="6" s="1"/>
  <c r="X103" i="5"/>
  <c r="O103" i="6" s="1"/>
  <c r="AB107" i="5"/>
  <c r="J107" i="6" s="1"/>
  <c r="AR149" i="5"/>
  <c r="AR159" i="5"/>
  <c r="AR180" i="5"/>
  <c r="AQ180" i="5"/>
  <c r="AS193" i="5"/>
  <c r="AS8" i="5"/>
  <c r="AS25" i="5"/>
  <c r="AC76" i="5"/>
  <c r="K76" i="6" s="1"/>
  <c r="AQ163" i="5"/>
  <c r="AQ165" i="5"/>
  <c r="AQ197" i="5"/>
  <c r="AS199" i="5"/>
  <c r="B154" i="6"/>
  <c r="A171" i="6"/>
  <c r="AR163" i="5"/>
  <c r="AS165" i="5"/>
  <c r="AS163" i="5"/>
  <c r="M183" i="5"/>
  <c r="G185" i="5"/>
  <c r="B173" i="6"/>
  <c r="AS58" i="5"/>
  <c r="AR97" i="5"/>
  <c r="AR168" i="5"/>
  <c r="AR183" i="5"/>
  <c r="AR200" i="5"/>
  <c r="A197" i="6"/>
  <c r="G36" i="5"/>
  <c r="N73" i="5"/>
  <c r="G154" i="5"/>
  <c r="M203" i="5"/>
  <c r="A163" i="6"/>
  <c r="B197" i="6"/>
  <c r="A165" i="6"/>
  <c r="A200" i="6"/>
  <c r="X186" i="5"/>
  <c r="O186" i="6" s="1"/>
  <c r="B200" i="6"/>
  <c r="K53" i="16"/>
  <c r="C131" i="6"/>
  <c r="B131" i="6"/>
  <c r="A131" i="6"/>
  <c r="AC131" i="5"/>
  <c r="K131" i="6" s="1"/>
  <c r="AB131" i="5"/>
  <c r="J131" i="6" s="1"/>
  <c r="G131" i="5"/>
  <c r="AQ131" i="5"/>
  <c r="M131" i="5"/>
  <c r="AS131" i="5"/>
  <c r="AR131" i="5"/>
  <c r="X131" i="5"/>
  <c r="O131" i="6" s="1"/>
  <c r="N131" i="5"/>
  <c r="AC102" i="4"/>
  <c r="K144" i="3" s="1"/>
  <c r="AB102" i="4"/>
  <c r="J144" i="3" s="1"/>
  <c r="X102" i="4"/>
  <c r="O144" i="3" s="1"/>
  <c r="W102" i="4" a="1"/>
  <c r="W102" i="4" s="1"/>
  <c r="V144" i="3" s="1"/>
  <c r="N102" i="4"/>
  <c r="M102" i="4"/>
  <c r="G102" i="4"/>
  <c r="C17" i="6"/>
  <c r="B17" i="6"/>
  <c r="A17" i="6"/>
  <c r="G17" i="5"/>
  <c r="AS17" i="5"/>
  <c r="AQ17" i="5"/>
  <c r="AB17" i="5"/>
  <c r="J17" i="6" s="1"/>
  <c r="X17" i="5"/>
  <c r="O17" i="6" s="1"/>
  <c r="M17" i="5"/>
  <c r="AR17" i="5"/>
  <c r="AC17" i="5"/>
  <c r="K17" i="6" s="1"/>
  <c r="N17" i="5"/>
  <c r="AC54" i="4"/>
  <c r="K125" i="3" s="1"/>
  <c r="AB54" i="4"/>
  <c r="J125" i="3" s="1"/>
  <c r="X54" i="4"/>
  <c r="O125" i="3" s="1"/>
  <c r="W54" i="4" a="1"/>
  <c r="W54" i="4" s="1"/>
  <c r="V125" i="3" s="1"/>
  <c r="N54" i="4"/>
  <c r="M54" i="4"/>
  <c r="G54" i="4"/>
  <c r="AC194" i="4"/>
  <c r="K121" i="3" s="1"/>
  <c r="X194" i="4"/>
  <c r="O121" i="3" s="1"/>
  <c r="G194" i="4"/>
  <c r="AB194" i="4"/>
  <c r="J121" i="3" s="1"/>
  <c r="W194" i="4" a="1"/>
  <c r="W194" i="4" s="1"/>
  <c r="V121" i="3" s="1"/>
  <c r="N194" i="4"/>
  <c r="M194" i="4"/>
  <c r="AC118" i="4"/>
  <c r="K33" i="3" s="1"/>
  <c r="AB118" i="4"/>
  <c r="J33" i="3" s="1"/>
  <c r="X118" i="4"/>
  <c r="O33" i="3" s="1"/>
  <c r="W118" i="4" a="1"/>
  <c r="W118" i="4" s="1"/>
  <c r="V33" i="3" s="1"/>
  <c r="N118" i="4"/>
  <c r="M118" i="4"/>
  <c r="G118" i="4"/>
  <c r="C94" i="6"/>
  <c r="AS94" i="5"/>
  <c r="B94" i="6"/>
  <c r="A94" i="6"/>
  <c r="AR94" i="5"/>
  <c r="AQ94" i="5"/>
  <c r="AC94" i="5"/>
  <c r="K94" i="6" s="1"/>
  <c r="AB94" i="5"/>
  <c r="J94" i="6" s="1"/>
  <c r="X94" i="5"/>
  <c r="O94" i="6" s="1"/>
  <c r="N94" i="5"/>
  <c r="M94" i="5"/>
  <c r="G94" i="5"/>
  <c r="C149" i="3"/>
  <c r="AC70" i="4"/>
  <c r="K149" i="3" s="1"/>
  <c r="AB70" i="4"/>
  <c r="J149" i="3" s="1"/>
  <c r="X70" i="4"/>
  <c r="O149" i="3" s="1"/>
  <c r="W70" i="4" a="1"/>
  <c r="W70" i="4" s="1"/>
  <c r="V149" i="3" s="1"/>
  <c r="N70" i="4"/>
  <c r="M70" i="4"/>
  <c r="G70" i="4"/>
  <c r="X146" i="4"/>
  <c r="O202" i="3" s="1"/>
  <c r="A202" i="3"/>
  <c r="AC146" i="4"/>
  <c r="K202" i="3" s="1"/>
  <c r="AB146" i="4"/>
  <c r="J202" i="3" s="1"/>
  <c r="W146" i="4" a="1"/>
  <c r="W146" i="4" s="1"/>
  <c r="V202" i="3" s="1"/>
  <c r="N146" i="4"/>
  <c r="M146" i="4"/>
  <c r="G146" i="4"/>
  <c r="AC22" i="4"/>
  <c r="K203" i="3" s="1"/>
  <c r="AB22" i="4"/>
  <c r="J203" i="3" s="1"/>
  <c r="B203" i="3"/>
  <c r="X22" i="4"/>
  <c r="O203" i="3" s="1"/>
  <c r="W22" i="4" a="1"/>
  <c r="W22" i="4" s="1"/>
  <c r="V203" i="3" s="1"/>
  <c r="N22" i="4"/>
  <c r="M22" i="4"/>
  <c r="G22" i="4"/>
  <c r="C109" i="3"/>
  <c r="A109" i="3"/>
  <c r="AC38" i="4"/>
  <c r="K109" i="3" s="1"/>
  <c r="AB38" i="4"/>
  <c r="J109" i="3" s="1"/>
  <c r="X38" i="4"/>
  <c r="O109" i="3" s="1"/>
  <c r="W38" i="4" a="1"/>
  <c r="W38" i="4" s="1"/>
  <c r="V109" i="3" s="1"/>
  <c r="N38" i="4"/>
  <c r="M38" i="4"/>
  <c r="G38" i="4"/>
  <c r="AC86" i="4"/>
  <c r="K53" i="3" s="1"/>
  <c r="AB86" i="4"/>
  <c r="J53" i="3" s="1"/>
  <c r="X86" i="4"/>
  <c r="O53" i="3" s="1"/>
  <c r="W86" i="4" a="1"/>
  <c r="W86" i="4" s="1"/>
  <c r="V53" i="3" s="1"/>
  <c r="N86" i="4"/>
  <c r="M86" i="4"/>
  <c r="G86" i="4"/>
  <c r="X18" i="4"/>
  <c r="O104" i="3" s="1"/>
  <c r="N20" i="4"/>
  <c r="X34" i="4"/>
  <c r="O28" i="3" s="1"/>
  <c r="N36" i="4"/>
  <c r="X50" i="4"/>
  <c r="O45" i="3" s="1"/>
  <c r="N52" i="4"/>
  <c r="X66" i="4"/>
  <c r="O193" i="3" s="1"/>
  <c r="N68" i="4"/>
  <c r="X82" i="4"/>
  <c r="O162" i="3" s="1"/>
  <c r="N84" i="4"/>
  <c r="X98" i="4"/>
  <c r="O100" i="3" s="1"/>
  <c r="N100" i="4"/>
  <c r="X114" i="4"/>
  <c r="O111" i="3" s="1"/>
  <c r="N116" i="4"/>
  <c r="X130" i="4"/>
  <c r="O54" i="3" s="1"/>
  <c r="M142" i="4"/>
  <c r="G142" i="4"/>
  <c r="AB169" i="4"/>
  <c r="J87" i="3" s="1"/>
  <c r="M169" i="4"/>
  <c r="X178" i="4"/>
  <c r="O15" i="3" s="1"/>
  <c r="G178" i="4"/>
  <c r="AC10" i="5"/>
  <c r="K10" i="6" s="1"/>
  <c r="AQ12" i="5"/>
  <c r="AB19" i="5"/>
  <c r="J19" i="6" s="1"/>
  <c r="B34" i="6"/>
  <c r="A34" i="6"/>
  <c r="C34" i="6"/>
  <c r="X34" i="5"/>
  <c r="O34" i="6" s="1"/>
  <c r="AS34" i="5"/>
  <c r="AR34" i="5"/>
  <c r="AC34" i="5"/>
  <c r="K34" i="6" s="1"/>
  <c r="AB34" i="5"/>
  <c r="J34" i="6" s="1"/>
  <c r="N34" i="5"/>
  <c r="M34" i="5"/>
  <c r="X11" i="4"/>
  <c r="O171" i="3" s="1"/>
  <c r="AB34" i="4"/>
  <c r="J28" i="3" s="1"/>
  <c r="AB50" i="4"/>
  <c r="J45" i="3" s="1"/>
  <c r="AB66" i="4"/>
  <c r="J193" i="3" s="1"/>
  <c r="AB82" i="4"/>
  <c r="J162" i="3" s="1"/>
  <c r="AB98" i="4"/>
  <c r="J100" i="3" s="1"/>
  <c r="AB114" i="4"/>
  <c r="J111" i="3" s="1"/>
  <c r="AB130" i="4"/>
  <c r="J54" i="3" s="1"/>
  <c r="W140" i="4" a="1"/>
  <c r="W140" i="4" s="1"/>
  <c r="V92" i="3" s="1"/>
  <c r="N140" i="4"/>
  <c r="N165" i="4"/>
  <c r="M165" i="4"/>
  <c r="AB185" i="4"/>
  <c r="J69" i="3" s="1"/>
  <c r="M185" i="4"/>
  <c r="W204" i="4" a="1"/>
  <c r="W204" i="4" s="1"/>
  <c r="V150" i="3" s="1"/>
  <c r="N204" i="4"/>
  <c r="AC204" i="4"/>
  <c r="K150" i="3" s="1"/>
  <c r="C27" i="6"/>
  <c r="B27" i="6"/>
  <c r="A27" i="6"/>
  <c r="AR27" i="5"/>
  <c r="AS27" i="5"/>
  <c r="AQ27" i="5"/>
  <c r="AC27" i="5"/>
  <c r="K27" i="6" s="1"/>
  <c r="X27" i="5"/>
  <c r="O27" i="6" s="1"/>
  <c r="N27" i="5"/>
  <c r="M27" i="5"/>
  <c r="G27" i="5"/>
  <c r="M8" i="4"/>
  <c r="AB11" i="4"/>
  <c r="J171" i="3" s="1"/>
  <c r="M15" i="4"/>
  <c r="AC18" i="4"/>
  <c r="K104" i="3" s="1"/>
  <c r="X20" i="4"/>
  <c r="O177" i="3" s="1"/>
  <c r="G24" i="4"/>
  <c r="M31" i="4"/>
  <c r="AC34" i="4"/>
  <c r="K28" i="3" s="1"/>
  <c r="X36" i="4"/>
  <c r="O206" i="3" s="1"/>
  <c r="G40" i="4"/>
  <c r="M47" i="4"/>
  <c r="AC50" i="4"/>
  <c r="K45" i="3" s="1"/>
  <c r="X52" i="4"/>
  <c r="O38" i="3" s="1"/>
  <c r="G56" i="4"/>
  <c r="M63" i="4"/>
  <c r="AC66" i="4"/>
  <c r="K193" i="3" s="1"/>
  <c r="X68" i="4"/>
  <c r="O148" i="3" s="1"/>
  <c r="G72" i="4"/>
  <c r="M79" i="4"/>
  <c r="AC82" i="4"/>
  <c r="K162" i="3" s="1"/>
  <c r="X84" i="4"/>
  <c r="O59" i="3" s="1"/>
  <c r="G88" i="4"/>
  <c r="M95" i="4"/>
  <c r="AC98" i="4"/>
  <c r="K100" i="3" s="1"/>
  <c r="X100" i="4"/>
  <c r="O56" i="3" s="1"/>
  <c r="G104" i="4"/>
  <c r="M111" i="4"/>
  <c r="AC114" i="4"/>
  <c r="K111" i="3" s="1"/>
  <c r="X116" i="4"/>
  <c r="O67" i="3" s="1"/>
  <c r="G120" i="4"/>
  <c r="M127" i="4"/>
  <c r="AC130" i="4"/>
  <c r="K54" i="3" s="1"/>
  <c r="M134" i="4"/>
  <c r="AB138" i="4"/>
  <c r="J31" i="3" s="1"/>
  <c r="X138" i="4"/>
  <c r="O31" i="3" s="1"/>
  <c r="G140" i="4"/>
  <c r="W142" i="4" a="1"/>
  <c r="W142" i="4" s="1"/>
  <c r="V14" i="3" s="1"/>
  <c r="AB150" i="4"/>
  <c r="J42" i="3" s="1"/>
  <c r="X152" i="4"/>
  <c r="O129" i="3" s="1"/>
  <c r="X163" i="4"/>
  <c r="O122" i="3" s="1"/>
  <c r="W163" i="4" a="1"/>
  <c r="W163" i="4" s="1"/>
  <c r="V122" i="3" s="1"/>
  <c r="G165" i="4"/>
  <c r="N169" i="4"/>
  <c r="N178" i="4"/>
  <c r="G185" i="4"/>
  <c r="M190" i="4"/>
  <c r="G190" i="4"/>
  <c r="X190" i="4"/>
  <c r="O132" i="3" s="1"/>
  <c r="N197" i="4"/>
  <c r="M197" i="4"/>
  <c r="AB197" i="4"/>
  <c r="J61" i="3" s="1"/>
  <c r="G204" i="4"/>
  <c r="N8" i="4"/>
  <c r="G10" i="4"/>
  <c r="AC11" i="4"/>
  <c r="K171" i="3" s="1"/>
  <c r="N15" i="4"/>
  <c r="G17" i="4"/>
  <c r="AB20" i="4"/>
  <c r="J177" i="3" s="1"/>
  <c r="M24" i="4"/>
  <c r="N31" i="4"/>
  <c r="G33" i="4"/>
  <c r="AB36" i="4"/>
  <c r="J206" i="3" s="1"/>
  <c r="M40" i="4"/>
  <c r="N47" i="4"/>
  <c r="AB52" i="4"/>
  <c r="J38" i="3" s="1"/>
  <c r="M56" i="4"/>
  <c r="N63" i="4"/>
  <c r="AB68" i="4"/>
  <c r="J148" i="3" s="1"/>
  <c r="M72" i="4"/>
  <c r="N79" i="4"/>
  <c r="AB84" i="4"/>
  <c r="J59" i="3" s="1"/>
  <c r="M88" i="4"/>
  <c r="N95" i="4"/>
  <c r="AB100" i="4"/>
  <c r="J56" i="3" s="1"/>
  <c r="M104" i="4"/>
  <c r="N111" i="4"/>
  <c r="AB116" i="4"/>
  <c r="J67" i="3" s="1"/>
  <c r="M120" i="4"/>
  <c r="N127" i="4"/>
  <c r="N134" i="4"/>
  <c r="M140" i="4"/>
  <c r="X142" i="4"/>
  <c r="O14" i="3" s="1"/>
  <c r="AC161" i="4"/>
  <c r="K154" i="3" s="1"/>
  <c r="AB161" i="4"/>
  <c r="J154" i="3" s="1"/>
  <c r="W165" i="4" a="1"/>
  <c r="W165" i="4" s="1"/>
  <c r="V95" i="3" s="1"/>
  <c r="M174" i="4"/>
  <c r="G174" i="4"/>
  <c r="X174" i="4"/>
  <c r="O110" i="3" s="1"/>
  <c r="N185" i="4"/>
  <c r="AB202" i="4"/>
  <c r="J186" i="3" s="1"/>
  <c r="X202" i="4"/>
  <c r="O186" i="3" s="1"/>
  <c r="G202" i="4"/>
  <c r="M204" i="4"/>
  <c r="AB27" i="5"/>
  <c r="J27" i="6" s="1"/>
  <c r="C38" i="6"/>
  <c r="B38" i="6"/>
  <c r="A38" i="6"/>
  <c r="X38" i="5"/>
  <c r="O38" i="6" s="1"/>
  <c r="AS38" i="5"/>
  <c r="AR38" i="5"/>
  <c r="AQ38" i="5"/>
  <c r="AC38" i="5"/>
  <c r="K38" i="6" s="1"/>
  <c r="AB38" i="5"/>
  <c r="J38" i="6" s="1"/>
  <c r="G38" i="5"/>
  <c r="M80" i="5"/>
  <c r="C80" i="6"/>
  <c r="B80" i="6"/>
  <c r="A80" i="6"/>
  <c r="AB80" i="5"/>
  <c r="J80" i="6" s="1"/>
  <c r="AS80" i="5"/>
  <c r="AR80" i="5"/>
  <c r="AQ80" i="5"/>
  <c r="AC80" i="5"/>
  <c r="K80" i="6" s="1"/>
  <c r="X80" i="5"/>
  <c r="O80" i="6" s="1"/>
  <c r="N80" i="5"/>
  <c r="G80" i="5"/>
  <c r="N24" i="4"/>
  <c r="N40" i="4"/>
  <c r="N56" i="4"/>
  <c r="N72" i="4"/>
  <c r="N88" i="4"/>
  <c r="N104" i="4"/>
  <c r="N120" i="4"/>
  <c r="X140" i="4"/>
  <c r="O92" i="3" s="1"/>
  <c r="W185" i="4" a="1"/>
  <c r="W185" i="4" s="1"/>
  <c r="V69" i="3" s="1"/>
  <c r="X204" i="4"/>
  <c r="O150" i="3" s="1"/>
  <c r="C7" i="6"/>
  <c r="B7" i="6"/>
  <c r="A7" i="6"/>
  <c r="AS7" i="5"/>
  <c r="AC7" i="5"/>
  <c r="K7" i="6" s="1"/>
  <c r="AB7" i="5"/>
  <c r="J7" i="6" s="1"/>
  <c r="X7" i="5"/>
  <c r="O7" i="6" s="1"/>
  <c r="N7" i="5"/>
  <c r="X8" i="4"/>
  <c r="O124" i="3" s="1"/>
  <c r="N10" i="4"/>
  <c r="X15" i="4"/>
  <c r="O75" i="3" s="1"/>
  <c r="N17" i="4"/>
  <c r="G19" i="4"/>
  <c r="W24" i="4" a="1"/>
  <c r="W24" i="4" s="1"/>
  <c r="V175" i="3" s="1"/>
  <c r="M26" i="4"/>
  <c r="X31" i="4"/>
  <c r="O182" i="3" s="1"/>
  <c r="N33" i="4"/>
  <c r="G35" i="4"/>
  <c r="W40" i="4" a="1"/>
  <c r="W40" i="4" s="1"/>
  <c r="V153" i="3" s="1"/>
  <c r="M42" i="4"/>
  <c r="X47" i="4"/>
  <c r="O138" i="3" s="1"/>
  <c r="N49" i="4"/>
  <c r="G51" i="4"/>
  <c r="W56" i="4" a="1"/>
  <c r="W56" i="4" s="1"/>
  <c r="V128" i="3" s="1"/>
  <c r="M58" i="4"/>
  <c r="X63" i="4"/>
  <c r="O145" i="3" s="1"/>
  <c r="N65" i="4"/>
  <c r="G67" i="4"/>
  <c r="W72" i="4" a="1"/>
  <c r="W72" i="4" s="1"/>
  <c r="V165" i="3" s="1"/>
  <c r="M74" i="4"/>
  <c r="X79" i="4"/>
  <c r="O118" i="3" s="1"/>
  <c r="N81" i="4"/>
  <c r="G83" i="4"/>
  <c r="W88" i="4" a="1"/>
  <c r="W88" i="4" s="1"/>
  <c r="V29" i="3" s="1"/>
  <c r="M90" i="4"/>
  <c r="X95" i="4"/>
  <c r="O169" i="3" s="1"/>
  <c r="N97" i="4"/>
  <c r="G99" i="4"/>
  <c r="W104" i="4" a="1"/>
  <c r="W104" i="4" s="1"/>
  <c r="V112" i="3" s="1"/>
  <c r="M106" i="4"/>
  <c r="N113" i="4"/>
  <c r="G115" i="4"/>
  <c r="W120" i="4" a="1"/>
  <c r="W120" i="4" s="1"/>
  <c r="V44" i="3" s="1"/>
  <c r="M122" i="4"/>
  <c r="N129" i="4"/>
  <c r="G131" i="4"/>
  <c r="N136" i="4"/>
  <c r="N138" i="4"/>
  <c r="AB140" i="4"/>
  <c r="J92" i="3" s="1"/>
  <c r="AC142" i="4"/>
  <c r="K14" i="3" s="1"/>
  <c r="G155" i="4"/>
  <c r="N157" i="4"/>
  <c r="M161" i="4"/>
  <c r="N163" i="4"/>
  <c r="AB165" i="4"/>
  <c r="J95" i="3" s="1"/>
  <c r="AC169" i="4"/>
  <c r="K87" i="3" s="1"/>
  <c r="W174" i="4" a="1"/>
  <c r="W174" i="4" s="1"/>
  <c r="V110" i="3" s="1"/>
  <c r="AC178" i="4"/>
  <c r="K15" i="3" s="1"/>
  <c r="N181" i="4"/>
  <c r="M181" i="4"/>
  <c r="AB181" i="4"/>
  <c r="J5" i="3" s="1"/>
  <c r="X185" i="4"/>
  <c r="O69" i="3" s="1"/>
  <c r="AB190" i="4"/>
  <c r="J132" i="3" s="1"/>
  <c r="X197" i="4"/>
  <c r="O61" i="3" s="1"/>
  <c r="N202" i="4"/>
  <c r="AB204" i="4"/>
  <c r="J150" i="3" s="1"/>
  <c r="C5" i="6"/>
  <c r="B5" i="6"/>
  <c r="A5" i="6"/>
  <c r="M5" i="5"/>
  <c r="N5" i="5"/>
  <c r="G5" i="5"/>
  <c r="AS5" i="5"/>
  <c r="AB5" i="5"/>
  <c r="J5" i="6" s="1"/>
  <c r="G7" i="5"/>
  <c r="N38" i="5"/>
  <c r="C41" i="6"/>
  <c r="B41" i="6"/>
  <c r="A41" i="6"/>
  <c r="G41" i="5"/>
  <c r="AS41" i="5"/>
  <c r="AQ41" i="5"/>
  <c r="AC41" i="5"/>
  <c r="K41" i="6" s="1"/>
  <c r="AB41" i="5"/>
  <c r="J41" i="6" s="1"/>
  <c r="X41" i="5"/>
  <c r="O41" i="6" s="1"/>
  <c r="N41" i="5"/>
  <c r="M19" i="4"/>
  <c r="X24" i="4"/>
  <c r="O175" i="3" s="1"/>
  <c r="M35" i="4"/>
  <c r="X40" i="4"/>
  <c r="O153" i="3" s="1"/>
  <c r="M51" i="4"/>
  <c r="X56" i="4"/>
  <c r="O128" i="3" s="1"/>
  <c r="M67" i="4"/>
  <c r="X72" i="4"/>
  <c r="O165" i="3" s="1"/>
  <c r="M83" i="4"/>
  <c r="X88" i="4"/>
  <c r="O29" i="3" s="1"/>
  <c r="M99" i="4"/>
  <c r="X104" i="4"/>
  <c r="O112" i="3" s="1"/>
  <c r="M115" i="4"/>
  <c r="X120" i="4"/>
  <c r="O44" i="3" s="1"/>
  <c r="M131" i="4"/>
  <c r="AC140" i="4"/>
  <c r="K92" i="3" s="1"/>
  <c r="N149" i="4"/>
  <c r="M149" i="4"/>
  <c r="AC165" i="4"/>
  <c r="K95" i="3" s="1"/>
  <c r="W172" i="4" a="1"/>
  <c r="W172" i="4" s="1"/>
  <c r="V88" i="3" s="1"/>
  <c r="AC172" i="4"/>
  <c r="K88" i="3" s="1"/>
  <c r="AC185" i="4"/>
  <c r="K69" i="3" s="1"/>
  <c r="W188" i="4" a="1"/>
  <c r="W188" i="4" s="1"/>
  <c r="V21" i="3" s="1"/>
  <c r="N188" i="4"/>
  <c r="AC188" i="4"/>
  <c r="K21" i="3" s="1"/>
  <c r="AC200" i="4"/>
  <c r="K199" i="3" s="1"/>
  <c r="N200" i="4"/>
  <c r="G200" i="4"/>
  <c r="M7" i="5"/>
  <c r="C46" i="6"/>
  <c r="B46" i="6"/>
  <c r="A46" i="6"/>
  <c r="X46" i="5"/>
  <c r="O46" i="6" s="1"/>
  <c r="AB46" i="5"/>
  <c r="J46" i="6" s="1"/>
  <c r="N46" i="5"/>
  <c r="M46" i="5"/>
  <c r="G46" i="5"/>
  <c r="AQ46" i="5"/>
  <c r="M3" i="4"/>
  <c r="N19" i="4"/>
  <c r="G21" i="4"/>
  <c r="AB24" i="4"/>
  <c r="J175" i="3" s="1"/>
  <c r="N35" i="4"/>
  <c r="G37" i="4"/>
  <c r="AB40" i="4"/>
  <c r="J153" i="3" s="1"/>
  <c r="N51" i="4"/>
  <c r="G53" i="4"/>
  <c r="AB56" i="4"/>
  <c r="J128" i="3" s="1"/>
  <c r="N67" i="4"/>
  <c r="G69" i="4"/>
  <c r="AB72" i="4"/>
  <c r="J165" i="3" s="1"/>
  <c r="N83" i="4"/>
  <c r="G85" i="4"/>
  <c r="AB88" i="4"/>
  <c r="J29" i="3" s="1"/>
  <c r="N99" i="4"/>
  <c r="G101" i="4"/>
  <c r="AB104" i="4"/>
  <c r="J112" i="3" s="1"/>
  <c r="N115" i="4"/>
  <c r="G117" i="4"/>
  <c r="AB120" i="4"/>
  <c r="J44" i="3" s="1"/>
  <c r="N131" i="4"/>
  <c r="X147" i="4"/>
  <c r="O174" i="3" s="1"/>
  <c r="W147" i="4" a="1"/>
  <c r="W147" i="4" s="1"/>
  <c r="V174" i="3" s="1"/>
  <c r="G149" i="4"/>
  <c r="N155" i="4"/>
  <c r="W161" i="4" a="1"/>
  <c r="W161" i="4" s="1"/>
  <c r="V154" i="3" s="1"/>
  <c r="AB170" i="4"/>
  <c r="J30" i="3" s="1"/>
  <c r="X170" i="4"/>
  <c r="O30" i="3" s="1"/>
  <c r="G172" i="4"/>
  <c r="G188" i="4"/>
  <c r="M200" i="4"/>
  <c r="AC202" i="4"/>
  <c r="K186" i="3" s="1"/>
  <c r="AB205" i="4"/>
  <c r="J164" i="3" s="1"/>
  <c r="W205" i="4" a="1"/>
  <c r="W205" i="4" s="1"/>
  <c r="V164" i="3" s="1"/>
  <c r="M205" i="4"/>
  <c r="C48" i="6"/>
  <c r="B48" i="6"/>
  <c r="A48" i="6"/>
  <c r="AR48" i="5"/>
  <c r="AQ48" i="5"/>
  <c r="AC48" i="5"/>
  <c r="K48" i="6" s="1"/>
  <c r="AB48" i="5"/>
  <c r="J48" i="6" s="1"/>
  <c r="X48" i="5"/>
  <c r="O48" i="6" s="1"/>
  <c r="G48" i="5"/>
  <c r="C92" i="6"/>
  <c r="B92" i="6"/>
  <c r="A92" i="6"/>
  <c r="M92" i="5"/>
  <c r="AB92" i="5"/>
  <c r="J92" i="6" s="1"/>
  <c r="G92" i="5"/>
  <c r="AS92" i="5"/>
  <c r="AR92" i="5"/>
  <c r="AQ92" i="5"/>
  <c r="AC92" i="5"/>
  <c r="K92" i="6" s="1"/>
  <c r="X92" i="5"/>
  <c r="O92" i="6" s="1"/>
  <c r="N92" i="5"/>
  <c r="N3" i="4"/>
  <c r="G7" i="4"/>
  <c r="AB10" i="4"/>
  <c r="J183" i="3" s="1"/>
  <c r="G14" i="4"/>
  <c r="AB17" i="4"/>
  <c r="J135" i="3" s="1"/>
  <c r="W19" i="4" a="1"/>
  <c r="W19" i="4" s="1"/>
  <c r="V197" i="3" s="1"/>
  <c r="M21" i="4"/>
  <c r="X26" i="4"/>
  <c r="O151" i="3" s="1"/>
  <c r="G30" i="4"/>
  <c r="AB33" i="4"/>
  <c r="J58" i="3" s="1"/>
  <c r="W35" i="4" a="1"/>
  <c r="W35" i="4" s="1"/>
  <c r="V187" i="3" s="1"/>
  <c r="M37" i="4"/>
  <c r="X42" i="4"/>
  <c r="O60" i="3" s="1"/>
  <c r="G46" i="4"/>
  <c r="AB49" i="4"/>
  <c r="J188" i="3" s="1"/>
  <c r="W51" i="4" a="1"/>
  <c r="W51" i="4" s="1"/>
  <c r="V7" i="3" s="1"/>
  <c r="M53" i="4"/>
  <c r="X58" i="4"/>
  <c r="O37" i="3" s="1"/>
  <c r="G62" i="4"/>
  <c r="AB65" i="4"/>
  <c r="J146" i="3" s="1"/>
  <c r="W67" i="4" a="1"/>
  <c r="W67" i="4" s="1"/>
  <c r="V194" i="3" s="1"/>
  <c r="M69" i="4"/>
  <c r="X74" i="4"/>
  <c r="O39" i="3" s="1"/>
  <c r="G78" i="4"/>
  <c r="AB81" i="4"/>
  <c r="J11" i="3" s="1"/>
  <c r="W83" i="4" a="1"/>
  <c r="W83" i="4" s="1"/>
  <c r="V84" i="3" s="1"/>
  <c r="M85" i="4"/>
  <c r="X90" i="4"/>
  <c r="O36" i="3" s="1"/>
  <c r="G94" i="4"/>
  <c r="AB97" i="4"/>
  <c r="J35" i="3" s="1"/>
  <c r="W99" i="4" a="1"/>
  <c r="W99" i="4" s="1"/>
  <c r="V201" i="3" s="1"/>
  <c r="M101" i="4"/>
  <c r="X106" i="4"/>
  <c r="O180" i="3" s="1"/>
  <c r="G110" i="4"/>
  <c r="AB113" i="4"/>
  <c r="J57" i="3" s="1"/>
  <c r="W115" i="4" a="1"/>
  <c r="W115" i="4" s="1"/>
  <c r="V137" i="3" s="1"/>
  <c r="M117" i="4"/>
  <c r="X122" i="4"/>
  <c r="O3" i="3" s="1"/>
  <c r="G126" i="4"/>
  <c r="W131" i="4" a="1"/>
  <c r="W131" i="4" s="1"/>
  <c r="V27" i="3" s="1"/>
  <c r="G133" i="4"/>
  <c r="AB136" i="4"/>
  <c r="J190" i="3" s="1"/>
  <c r="AC145" i="4"/>
  <c r="K18" i="3" s="1"/>
  <c r="AB145" i="4"/>
  <c r="J18" i="3" s="1"/>
  <c r="G147" i="4"/>
  <c r="W149" i="4" a="1"/>
  <c r="W149" i="4" s="1"/>
  <c r="V73" i="3" s="1"/>
  <c r="N153" i="4"/>
  <c r="X155" i="4"/>
  <c r="O102" i="3" s="1"/>
  <c r="AB157" i="4"/>
  <c r="J76" i="3" s="1"/>
  <c r="X161" i="4"/>
  <c r="O154" i="3" s="1"/>
  <c r="G170" i="4"/>
  <c r="X181" i="4"/>
  <c r="O5" i="3" s="1"/>
  <c r="AB186" i="4"/>
  <c r="J49" i="3" s="1"/>
  <c r="X186" i="4"/>
  <c r="O49" i="3" s="1"/>
  <c r="G186" i="4"/>
  <c r="M188" i="4"/>
  <c r="X198" i="4"/>
  <c r="O195" i="3" s="1"/>
  <c r="N198" i="4"/>
  <c r="G198" i="4"/>
  <c r="W200" i="4" a="1"/>
  <c r="W200" i="4" s="1"/>
  <c r="V199" i="3" s="1"/>
  <c r="G205" i="4"/>
  <c r="AC5" i="5"/>
  <c r="K5" i="6" s="1"/>
  <c r="AQ7" i="5"/>
  <c r="C24" i="6"/>
  <c r="B24" i="6"/>
  <c r="A24" i="6"/>
  <c r="AS24" i="5"/>
  <c r="AR24" i="5"/>
  <c r="AC24" i="5"/>
  <c r="K24" i="6" s="1"/>
  <c r="AB24" i="5"/>
  <c r="J24" i="6" s="1"/>
  <c r="X24" i="5"/>
  <c r="O24" i="6" s="1"/>
  <c r="N24" i="5"/>
  <c r="AR41" i="5"/>
  <c r="AC46" i="5"/>
  <c r="K46" i="6" s="1"/>
  <c r="M48" i="5"/>
  <c r="AB3" i="4"/>
  <c r="J179" i="3" s="1"/>
  <c r="M7" i="4"/>
  <c r="M14" i="4"/>
  <c r="X19" i="4"/>
  <c r="O197" i="3" s="1"/>
  <c r="N21" i="4"/>
  <c r="AB26" i="4"/>
  <c r="J151" i="3" s="1"/>
  <c r="M30" i="4"/>
  <c r="X35" i="4"/>
  <c r="O187" i="3" s="1"/>
  <c r="N37" i="4"/>
  <c r="AB42" i="4"/>
  <c r="J60" i="3" s="1"/>
  <c r="M46" i="4"/>
  <c r="X51" i="4"/>
  <c r="O7" i="3" s="1"/>
  <c r="N53" i="4"/>
  <c r="AB58" i="4"/>
  <c r="J37" i="3" s="1"/>
  <c r="M62" i="4"/>
  <c r="X67" i="4"/>
  <c r="O194" i="3" s="1"/>
  <c r="N69" i="4"/>
  <c r="AB74" i="4"/>
  <c r="J39" i="3" s="1"/>
  <c r="M78" i="4"/>
  <c r="X83" i="4"/>
  <c r="O84" i="3" s="1"/>
  <c r="N85" i="4"/>
  <c r="AB90" i="4"/>
  <c r="J36" i="3" s="1"/>
  <c r="M94" i="4"/>
  <c r="X99" i="4"/>
  <c r="O201" i="3" s="1"/>
  <c r="N101" i="4"/>
  <c r="AB106" i="4"/>
  <c r="J180" i="3" s="1"/>
  <c r="M110" i="4"/>
  <c r="X115" i="4"/>
  <c r="O137" i="3" s="1"/>
  <c r="N117" i="4"/>
  <c r="AB122" i="4"/>
  <c r="J3" i="3" s="1"/>
  <c r="M126" i="4"/>
  <c r="M133" i="4"/>
  <c r="M147" i="4"/>
  <c r="X149" i="4"/>
  <c r="O73" i="3" s="1"/>
  <c r="AB155" i="4"/>
  <c r="J102" i="3" s="1"/>
  <c r="AC157" i="4"/>
  <c r="K76" i="3" s="1"/>
  <c r="M170" i="4"/>
  <c r="X172" i="4"/>
  <c r="O88" i="3" s="1"/>
  <c r="X188" i="4"/>
  <c r="O21" i="3" s="1"/>
  <c r="X200" i="4"/>
  <c r="O199" i="3" s="1"/>
  <c r="N205" i="4"/>
  <c r="AR7" i="5"/>
  <c r="C14" i="6"/>
  <c r="B14" i="6"/>
  <c r="A14" i="6"/>
  <c r="X14" i="5"/>
  <c r="O14" i="6" s="1"/>
  <c r="AS14" i="5"/>
  <c r="AQ14" i="5"/>
  <c r="AC14" i="5"/>
  <c r="K14" i="6" s="1"/>
  <c r="AB14" i="5"/>
  <c r="J14" i="6" s="1"/>
  <c r="N14" i="5"/>
  <c r="AR46" i="5"/>
  <c r="N7" i="4"/>
  <c r="G9" i="4"/>
  <c r="N14" i="4"/>
  <c r="G16" i="4"/>
  <c r="W21" i="4" a="1"/>
  <c r="W21" i="4" s="1"/>
  <c r="V90" i="3" s="1"/>
  <c r="N30" i="4"/>
  <c r="G32" i="4"/>
  <c r="W37" i="4" a="1"/>
  <c r="W37" i="4" s="1"/>
  <c r="V168" i="3" s="1"/>
  <c r="N46" i="4"/>
  <c r="G48" i="4"/>
  <c r="W53" i="4" a="1"/>
  <c r="W53" i="4" s="1"/>
  <c r="V133" i="3" s="1"/>
  <c r="N62" i="4"/>
  <c r="G64" i="4"/>
  <c r="W69" i="4" a="1"/>
  <c r="W69" i="4" s="1"/>
  <c r="V98" i="3" s="1"/>
  <c r="N78" i="4"/>
  <c r="G80" i="4"/>
  <c r="W85" i="4" a="1"/>
  <c r="W85" i="4" s="1"/>
  <c r="V47" i="3" s="1"/>
  <c r="N94" i="4"/>
  <c r="G96" i="4"/>
  <c r="W101" i="4" a="1"/>
  <c r="W101" i="4" s="1"/>
  <c r="V143" i="3" s="1"/>
  <c r="N110" i="4"/>
  <c r="G112" i="4"/>
  <c r="W117" i="4" a="1"/>
  <c r="W117" i="4" s="1"/>
  <c r="V85" i="3" s="1"/>
  <c r="N126" i="4"/>
  <c r="G128" i="4"/>
  <c r="X131" i="4"/>
  <c r="O27" i="3" s="1"/>
  <c r="N133" i="4"/>
  <c r="G135" i="4"/>
  <c r="N147" i="4"/>
  <c r="AB149" i="4"/>
  <c r="J73" i="3" s="1"/>
  <c r="AC155" i="4"/>
  <c r="K102" i="3" s="1"/>
  <c r="G164" i="4"/>
  <c r="N170" i="4"/>
  <c r="AB172" i="4"/>
  <c r="J88" i="3" s="1"/>
  <c r="AC177" i="4"/>
  <c r="K91" i="3" s="1"/>
  <c r="AB177" i="4"/>
  <c r="J91" i="3" s="1"/>
  <c r="M177" i="4"/>
  <c r="AC184" i="4"/>
  <c r="K22" i="3" s="1"/>
  <c r="N184" i="4"/>
  <c r="AB188" i="4"/>
  <c r="J21" i="3" s="1"/>
  <c r="AB200" i="4"/>
  <c r="J199" i="3" s="1"/>
  <c r="X205" i="4"/>
  <c r="O164" i="3" s="1"/>
  <c r="G14" i="5"/>
  <c r="C22" i="6"/>
  <c r="B22" i="6"/>
  <c r="A22" i="6"/>
  <c r="X22" i="5"/>
  <c r="O22" i="6" s="1"/>
  <c r="N22" i="5"/>
  <c r="M22" i="5"/>
  <c r="G22" i="5"/>
  <c r="AS22" i="5"/>
  <c r="AB22" i="5"/>
  <c r="J22" i="6" s="1"/>
  <c r="AS46" i="5"/>
  <c r="M158" i="4"/>
  <c r="G158" i="4"/>
  <c r="X182" i="4"/>
  <c r="O134" i="3" s="1"/>
  <c r="G182" i="4"/>
  <c r="C12" i="6"/>
  <c r="B12" i="6"/>
  <c r="A12" i="6"/>
  <c r="N12" i="5"/>
  <c r="M12" i="5"/>
  <c r="AS12" i="5"/>
  <c r="AB12" i="5"/>
  <c r="J12" i="6" s="1"/>
  <c r="C44" i="6"/>
  <c r="B44" i="6"/>
  <c r="A44" i="6"/>
  <c r="AS44" i="5"/>
  <c r="AR44" i="5"/>
  <c r="AQ44" i="5"/>
  <c r="AB44" i="5"/>
  <c r="J44" i="6" s="1"/>
  <c r="X44" i="5"/>
  <c r="O44" i="6" s="1"/>
  <c r="N44" i="5"/>
  <c r="M44" i="5"/>
  <c r="G44" i="5"/>
  <c r="X7" i="4"/>
  <c r="O94" i="3" s="1"/>
  <c r="N9" i="4"/>
  <c r="G11" i="4"/>
  <c r="X14" i="4"/>
  <c r="O160" i="3" s="1"/>
  <c r="N16" i="4"/>
  <c r="G18" i="4"/>
  <c r="M25" i="4"/>
  <c r="X30" i="4"/>
  <c r="O131" i="3" s="1"/>
  <c r="N32" i="4"/>
  <c r="G34" i="4"/>
  <c r="M41" i="4"/>
  <c r="X46" i="4"/>
  <c r="O97" i="3" s="1"/>
  <c r="N48" i="4"/>
  <c r="G50" i="4"/>
  <c r="M57" i="4"/>
  <c r="X62" i="4"/>
  <c r="O141" i="3" s="1"/>
  <c r="N64" i="4"/>
  <c r="G66" i="4"/>
  <c r="M73" i="4"/>
  <c r="X78" i="4"/>
  <c r="O114" i="3" s="1"/>
  <c r="N80" i="4"/>
  <c r="G82" i="4"/>
  <c r="AB85" i="4"/>
  <c r="J47" i="3" s="1"/>
  <c r="M89" i="4"/>
  <c r="X94" i="4"/>
  <c r="O108" i="3" s="1"/>
  <c r="N96" i="4"/>
  <c r="G98" i="4"/>
  <c r="AB101" i="4"/>
  <c r="J143" i="3" s="1"/>
  <c r="M105" i="4"/>
  <c r="X110" i="4"/>
  <c r="O120" i="3" s="1"/>
  <c r="N112" i="4"/>
  <c r="G114" i="4"/>
  <c r="AB117" i="4"/>
  <c r="J85" i="3" s="1"/>
  <c r="M121" i="4"/>
  <c r="X126" i="4"/>
  <c r="O176" i="3" s="1"/>
  <c r="N128" i="4"/>
  <c r="G130" i="4"/>
  <c r="X133" i="4"/>
  <c r="O25" i="3" s="1"/>
  <c r="N135" i="4"/>
  <c r="M137" i="4"/>
  <c r="N139" i="4"/>
  <c r="AC147" i="4"/>
  <c r="K174" i="3" s="1"/>
  <c r="W156" i="4" a="1"/>
  <c r="W156" i="4" s="1"/>
  <c r="V34" i="3" s="1"/>
  <c r="N156" i="4"/>
  <c r="N158" i="4"/>
  <c r="M162" i="4"/>
  <c r="W164" i="4" a="1"/>
  <c r="W164" i="4" s="1"/>
  <c r="V113" i="3" s="1"/>
  <c r="AC170" i="4"/>
  <c r="K30" i="3" s="1"/>
  <c r="AB173" i="4"/>
  <c r="J32" i="3" s="1"/>
  <c r="M173" i="4"/>
  <c r="N177" i="4"/>
  <c r="M182" i="4"/>
  <c r="M184" i="4"/>
  <c r="AB189" i="4"/>
  <c r="J52" i="3" s="1"/>
  <c r="W189" i="4" a="1"/>
  <c r="W189" i="4" s="1"/>
  <c r="V52" i="3" s="1"/>
  <c r="M189" i="4"/>
  <c r="AC196" i="4"/>
  <c r="K156" i="3" s="1"/>
  <c r="X196" i="4"/>
  <c r="O156" i="3" s="1"/>
  <c r="N196" i="4"/>
  <c r="AB201" i="4"/>
  <c r="J147" i="3" s="1"/>
  <c r="M201" i="4"/>
  <c r="G12" i="5"/>
  <c r="AC22" i="5"/>
  <c r="K22" i="6" s="1"/>
  <c r="C123" i="6"/>
  <c r="AC123" i="5"/>
  <c r="K123" i="6" s="1"/>
  <c r="AB123" i="5"/>
  <c r="J123" i="6" s="1"/>
  <c r="B123" i="6"/>
  <c r="A123" i="6"/>
  <c r="G123" i="5"/>
  <c r="AQ123" i="5"/>
  <c r="M123" i="5"/>
  <c r="AS123" i="5"/>
  <c r="AR123" i="5"/>
  <c r="X123" i="5"/>
  <c r="O123" i="6" s="1"/>
  <c r="N123" i="5"/>
  <c r="M11" i="4"/>
  <c r="M18" i="4"/>
  <c r="M34" i="4"/>
  <c r="M50" i="4"/>
  <c r="M66" i="4"/>
  <c r="M82" i="4"/>
  <c r="M98" i="4"/>
  <c r="M114" i="4"/>
  <c r="M130" i="4"/>
  <c r="AB154" i="4"/>
  <c r="J9" i="3" s="1"/>
  <c r="X154" i="4"/>
  <c r="O9" i="3" s="1"/>
  <c r="W158" i="4" a="1"/>
  <c r="W158" i="4" s="1"/>
  <c r="V107" i="3" s="1"/>
  <c r="W177" i="4" a="1"/>
  <c r="W177" i="4" s="1"/>
  <c r="V91" i="3" s="1"/>
  <c r="N182" i="4"/>
  <c r="W184" i="4" a="1"/>
  <c r="W184" i="4" s="1"/>
  <c r="V22" i="3" s="1"/>
  <c r="W206" i="4" a="1"/>
  <c r="W206" i="4" s="1"/>
  <c r="V86" i="3" s="1"/>
  <c r="M206" i="4"/>
  <c r="G206" i="4"/>
  <c r="AB206" i="4"/>
  <c r="J86" i="3" s="1"/>
  <c r="C10" i="6"/>
  <c r="B10" i="6"/>
  <c r="A10" i="6"/>
  <c r="AB10" i="5"/>
  <c r="J10" i="6" s="1"/>
  <c r="AS10" i="5"/>
  <c r="X10" i="5"/>
  <c r="O10" i="6" s="1"/>
  <c r="N10" i="5"/>
  <c r="G10" i="5"/>
  <c r="AR14" i="5"/>
  <c r="C19" i="6"/>
  <c r="B19" i="6"/>
  <c r="AR19" i="5"/>
  <c r="A19" i="6"/>
  <c r="X19" i="5"/>
  <c r="O19" i="6" s="1"/>
  <c r="N19" i="5"/>
  <c r="G19" i="5"/>
  <c r="AC19" i="5"/>
  <c r="K19" i="6" s="1"/>
  <c r="AQ22" i="5"/>
  <c r="AC44" i="5"/>
  <c r="K44" i="6" s="1"/>
  <c r="C57" i="6"/>
  <c r="B57" i="6"/>
  <c r="A57" i="6"/>
  <c r="G57" i="5"/>
  <c r="AS57" i="5"/>
  <c r="AR57" i="5"/>
  <c r="AQ57" i="5"/>
  <c r="AC57" i="5"/>
  <c r="K57" i="6" s="1"/>
  <c r="AB57" i="5"/>
  <c r="J57" i="6" s="1"/>
  <c r="X57" i="5"/>
  <c r="O57" i="6" s="1"/>
  <c r="M57" i="5"/>
  <c r="W137" i="4" a="1"/>
  <c r="W137" i="4" s="1"/>
  <c r="V64" i="3" s="1"/>
  <c r="AB139" i="4"/>
  <c r="J103" i="3" s="1"/>
  <c r="AC141" i="4"/>
  <c r="K93" i="3" s="1"/>
  <c r="M150" i="4"/>
  <c r="G152" i="4"/>
  <c r="G154" i="4"/>
  <c r="M156" i="4"/>
  <c r="X158" i="4"/>
  <c r="O107" i="3" s="1"/>
  <c r="W162" i="4" a="1"/>
  <c r="W162" i="4" s="1"/>
  <c r="V181" i="3" s="1"/>
  <c r="AB164" i="4"/>
  <c r="J113" i="3" s="1"/>
  <c r="AC166" i="4"/>
  <c r="K82" i="3" s="1"/>
  <c r="AB168" i="4"/>
  <c r="J198" i="3" s="1"/>
  <c r="N173" i="4"/>
  <c r="X177" i="4"/>
  <c r="O91" i="3" s="1"/>
  <c r="AC180" i="4"/>
  <c r="K4" i="3" s="1"/>
  <c r="N180" i="4"/>
  <c r="W182" i="4" a="1"/>
  <c r="W182" i="4" s="1"/>
  <c r="V134" i="3" s="1"/>
  <c r="X184" i="4"/>
  <c r="O22" i="3" s="1"/>
  <c r="N189" i="4"/>
  <c r="M196" i="4"/>
  <c r="N201" i="4"/>
  <c r="N206" i="4"/>
  <c r="C4" i="6"/>
  <c r="B4" i="6"/>
  <c r="A4" i="6"/>
  <c r="AR4" i="5"/>
  <c r="AQ4" i="5"/>
  <c r="AC4" i="5"/>
  <c r="K4" i="6" s="1"/>
  <c r="X4" i="5"/>
  <c r="O4" i="6" s="1"/>
  <c r="G4" i="5"/>
  <c r="M10" i="5"/>
  <c r="X12" i="5"/>
  <c r="O12" i="6" s="1"/>
  <c r="M19" i="5"/>
  <c r="AR22" i="5"/>
  <c r="N57" i="5"/>
  <c r="M11" i="5"/>
  <c r="M18" i="5"/>
  <c r="C21" i="6"/>
  <c r="B21" i="6"/>
  <c r="A21" i="6"/>
  <c r="G21" i="5"/>
  <c r="AT21" i="5" s="1"/>
  <c r="AU21" i="5" s="1"/>
  <c r="M28" i="5"/>
  <c r="B31" i="6"/>
  <c r="A31" i="6"/>
  <c r="C31" i="6"/>
  <c r="AR31" i="5"/>
  <c r="X32" i="5"/>
  <c r="O32" i="6" s="1"/>
  <c r="N35" i="5"/>
  <c r="N45" i="5"/>
  <c r="AB49" i="5"/>
  <c r="J49" i="6" s="1"/>
  <c r="C51" i="6"/>
  <c r="B51" i="6"/>
  <c r="AR51" i="5"/>
  <c r="AT51" i="5" s="1"/>
  <c r="AU51" i="5" s="1"/>
  <c r="A51" i="6"/>
  <c r="X51" i="5"/>
  <c r="O51" i="6" s="1"/>
  <c r="C54" i="6"/>
  <c r="B54" i="6"/>
  <c r="A54" i="6"/>
  <c r="X54" i="5"/>
  <c r="O54" i="6" s="1"/>
  <c r="G54" i="5"/>
  <c r="M85" i="5"/>
  <c r="C108" i="6"/>
  <c r="B108" i="6"/>
  <c r="A108" i="6"/>
  <c r="N108" i="5"/>
  <c r="M108" i="5"/>
  <c r="AS108" i="5"/>
  <c r="X108" i="5"/>
  <c r="O108" i="6" s="1"/>
  <c r="AR108" i="5"/>
  <c r="X110" i="5"/>
  <c r="O110" i="6" s="1"/>
  <c r="C118" i="6"/>
  <c r="B118" i="6"/>
  <c r="AS118" i="5"/>
  <c r="AR118" i="5"/>
  <c r="A118" i="6"/>
  <c r="N118" i="5"/>
  <c r="M118" i="5"/>
  <c r="G118" i="5"/>
  <c r="AQ118" i="5"/>
  <c r="A77" i="6"/>
  <c r="C77" i="6"/>
  <c r="B77" i="6"/>
  <c r="G77" i="5"/>
  <c r="B82" i="6"/>
  <c r="A82" i="6"/>
  <c r="AS82" i="5"/>
  <c r="C82" i="6"/>
  <c r="AC82" i="5"/>
  <c r="K82" i="6" s="1"/>
  <c r="C87" i="6"/>
  <c r="B87" i="6"/>
  <c r="A87" i="6"/>
  <c r="M87" i="5"/>
  <c r="AC87" i="5"/>
  <c r="K87" i="6" s="1"/>
  <c r="N87" i="5"/>
  <c r="C142" i="6"/>
  <c r="B142" i="6"/>
  <c r="A142" i="6"/>
  <c r="AS142" i="5"/>
  <c r="AR142" i="5"/>
  <c r="N142" i="5"/>
  <c r="M142" i="5"/>
  <c r="AC142" i="5"/>
  <c r="K142" i="6" s="1"/>
  <c r="C68" i="6"/>
  <c r="B68" i="6"/>
  <c r="A68" i="6"/>
  <c r="AR68" i="5"/>
  <c r="C71" i="6"/>
  <c r="B71" i="6"/>
  <c r="A71" i="6"/>
  <c r="AR71" i="5"/>
  <c r="X71" i="5"/>
  <c r="O71" i="6" s="1"/>
  <c r="A74" i="6"/>
  <c r="C74" i="6"/>
  <c r="B74" i="6"/>
  <c r="X74" i="5"/>
  <c r="O74" i="6" s="1"/>
  <c r="G74" i="5"/>
  <c r="M77" i="5"/>
  <c r="G82" i="5"/>
  <c r="G87" i="5"/>
  <c r="C113" i="6"/>
  <c r="B113" i="6"/>
  <c r="A113" i="6"/>
  <c r="AC113" i="5"/>
  <c r="K113" i="6" s="1"/>
  <c r="AB113" i="5"/>
  <c r="J113" i="6" s="1"/>
  <c r="X113" i="5"/>
  <c r="O113" i="6" s="1"/>
  <c r="AR113" i="5"/>
  <c r="AQ113" i="5"/>
  <c r="N113" i="5"/>
  <c r="G113" i="5"/>
  <c r="C126" i="6"/>
  <c r="AS126" i="5"/>
  <c r="AR126" i="5"/>
  <c r="B126" i="6"/>
  <c r="N126" i="5"/>
  <c r="A126" i="6"/>
  <c r="M126" i="5"/>
  <c r="G126" i="5"/>
  <c r="AQ126" i="5"/>
  <c r="AB126" i="5"/>
  <c r="J126" i="6" s="1"/>
  <c r="C134" i="6"/>
  <c r="B134" i="6"/>
  <c r="AS134" i="5"/>
  <c r="AR134" i="5"/>
  <c r="N134" i="5"/>
  <c r="M134" i="5"/>
  <c r="A134" i="6"/>
  <c r="G134" i="5"/>
  <c r="AQ134" i="5"/>
  <c r="AB134" i="5"/>
  <c r="J134" i="6" s="1"/>
  <c r="G142" i="5"/>
  <c r="C65" i="6"/>
  <c r="B65" i="6"/>
  <c r="A65" i="6"/>
  <c r="G65" i="5"/>
  <c r="G68" i="5"/>
  <c r="G71" i="5"/>
  <c r="M74" i="5"/>
  <c r="N77" i="5"/>
  <c r="M82" i="5"/>
  <c r="C89" i="6"/>
  <c r="B89" i="6"/>
  <c r="A89" i="6"/>
  <c r="AB89" i="5"/>
  <c r="J89" i="6" s="1"/>
  <c r="AS89" i="5"/>
  <c r="G89" i="5"/>
  <c r="AQ101" i="5"/>
  <c r="AC101" i="5"/>
  <c r="K101" i="6" s="1"/>
  <c r="AB101" i="5"/>
  <c r="J101" i="6" s="1"/>
  <c r="C101" i="6"/>
  <c r="B101" i="6"/>
  <c r="AS101" i="5"/>
  <c r="N101" i="5"/>
  <c r="A101" i="6"/>
  <c r="C140" i="6"/>
  <c r="B140" i="6"/>
  <c r="A140" i="6"/>
  <c r="N140" i="5"/>
  <c r="M140" i="5"/>
  <c r="G140" i="5"/>
  <c r="AS140" i="5"/>
  <c r="X140" i="5"/>
  <c r="O140" i="6" s="1"/>
  <c r="AQ140" i="5"/>
  <c r="C3" i="6"/>
  <c r="B3" i="6"/>
  <c r="A3" i="6"/>
  <c r="AS3" i="5"/>
  <c r="X11" i="5"/>
  <c r="O11" i="6" s="1"/>
  <c r="AC18" i="5"/>
  <c r="K18" i="6" s="1"/>
  <c r="C20" i="6"/>
  <c r="B20" i="6"/>
  <c r="A20" i="6"/>
  <c r="X21" i="5"/>
  <c r="O21" i="6" s="1"/>
  <c r="AB28" i="5"/>
  <c r="J28" i="6" s="1"/>
  <c r="AR32" i="5"/>
  <c r="C37" i="6"/>
  <c r="B37" i="6"/>
  <c r="G37" i="5"/>
  <c r="A37" i="6"/>
  <c r="AC45" i="5"/>
  <c r="K45" i="6" s="1"/>
  <c r="B47" i="6"/>
  <c r="A47" i="6"/>
  <c r="AR47" i="5"/>
  <c r="AT47" i="5" s="1"/>
  <c r="AU47" i="5" s="1"/>
  <c r="C47" i="6"/>
  <c r="AB54" i="5"/>
  <c r="J54" i="6" s="1"/>
  <c r="C56" i="6"/>
  <c r="B56" i="6"/>
  <c r="A56" i="6"/>
  <c r="AR56" i="5"/>
  <c r="AT56" i="5" s="1"/>
  <c r="AU56" i="5" s="1"/>
  <c r="C59" i="6"/>
  <c r="B59" i="6"/>
  <c r="A59" i="6"/>
  <c r="AR59" i="5"/>
  <c r="X59" i="5"/>
  <c r="O59" i="6" s="1"/>
  <c r="C62" i="6"/>
  <c r="B62" i="6"/>
  <c r="A62" i="6"/>
  <c r="X62" i="5"/>
  <c r="O62" i="6" s="1"/>
  <c r="G62" i="5"/>
  <c r="M65" i="5"/>
  <c r="M68" i="5"/>
  <c r="AQ69" i="5"/>
  <c r="M71" i="5"/>
  <c r="N74" i="5"/>
  <c r="N82" i="5"/>
  <c r="X87" i="5"/>
  <c r="O87" i="6" s="1"/>
  <c r="M89" i="5"/>
  <c r="G101" i="5"/>
  <c r="AB108" i="5"/>
  <c r="J108" i="6" s="1"/>
  <c r="B111" i="6"/>
  <c r="A111" i="6"/>
  <c r="AC111" i="5"/>
  <c r="K111" i="6" s="1"/>
  <c r="AB111" i="5"/>
  <c r="J111" i="6" s="1"/>
  <c r="G111" i="5"/>
  <c r="AQ111" i="5"/>
  <c r="C111" i="6"/>
  <c r="M111" i="5"/>
  <c r="AC118" i="5"/>
  <c r="K118" i="6" s="1"/>
  <c r="C121" i="6"/>
  <c r="B121" i="6"/>
  <c r="A121" i="6"/>
  <c r="AC121" i="5"/>
  <c r="K121" i="6" s="1"/>
  <c r="AB121" i="5"/>
  <c r="J121" i="6" s="1"/>
  <c r="X121" i="5"/>
  <c r="O121" i="6" s="1"/>
  <c r="AR121" i="5"/>
  <c r="AQ121" i="5"/>
  <c r="N121" i="5"/>
  <c r="G121" i="5"/>
  <c r="X126" i="5"/>
  <c r="O126" i="6" s="1"/>
  <c r="X134" i="5"/>
  <c r="O134" i="6" s="1"/>
  <c r="C137" i="6"/>
  <c r="B137" i="6"/>
  <c r="AC137" i="5"/>
  <c r="K137" i="6" s="1"/>
  <c r="AB137" i="5"/>
  <c r="J137" i="6" s="1"/>
  <c r="X137" i="5"/>
  <c r="O137" i="6" s="1"/>
  <c r="A137" i="6"/>
  <c r="AR137" i="5"/>
  <c r="AQ137" i="5"/>
  <c r="N137" i="5"/>
  <c r="G137" i="5"/>
  <c r="X142" i="5"/>
  <c r="O142" i="6" s="1"/>
  <c r="C30" i="6"/>
  <c r="B30" i="6"/>
  <c r="A30" i="6"/>
  <c r="X30" i="5"/>
  <c r="O30" i="6" s="1"/>
  <c r="C40" i="6"/>
  <c r="A40" i="6"/>
  <c r="B40" i="6"/>
  <c r="C53" i="6"/>
  <c r="B53" i="6"/>
  <c r="A53" i="6"/>
  <c r="G53" i="5"/>
  <c r="N68" i="5"/>
  <c r="N71" i="5"/>
  <c r="X77" i="5"/>
  <c r="O77" i="6" s="1"/>
  <c r="B79" i="6"/>
  <c r="A79" i="6"/>
  <c r="M79" i="5"/>
  <c r="AC79" i="5"/>
  <c r="K79" i="6" s="1"/>
  <c r="C79" i="6"/>
  <c r="AB87" i="5"/>
  <c r="J87" i="6" s="1"/>
  <c r="C91" i="6"/>
  <c r="B91" i="6"/>
  <c r="A91" i="6"/>
  <c r="M91" i="5"/>
  <c r="AR91" i="5"/>
  <c r="N96" i="5"/>
  <c r="M96" i="5"/>
  <c r="C96" i="6"/>
  <c r="B96" i="6"/>
  <c r="A96" i="6"/>
  <c r="AB96" i="5"/>
  <c r="J96" i="6" s="1"/>
  <c r="AC96" i="5"/>
  <c r="K96" i="6" s="1"/>
  <c r="B98" i="6"/>
  <c r="A98" i="6"/>
  <c r="AS98" i="5"/>
  <c r="C98" i="6"/>
  <c r="AC98" i="5"/>
  <c r="K98" i="6" s="1"/>
  <c r="N98" i="5"/>
  <c r="C129" i="6"/>
  <c r="B129" i="6"/>
  <c r="A129" i="6"/>
  <c r="AC129" i="5"/>
  <c r="K129" i="6" s="1"/>
  <c r="AB129" i="5"/>
  <c r="J129" i="6" s="1"/>
  <c r="X129" i="5"/>
  <c r="O129" i="6" s="1"/>
  <c r="AR129" i="5"/>
  <c r="AQ129" i="5"/>
  <c r="N129" i="5"/>
  <c r="G129" i="5"/>
  <c r="AB140" i="5"/>
  <c r="J140" i="6" s="1"/>
  <c r="AB142" i="5"/>
  <c r="J142" i="6" s="1"/>
  <c r="A6" i="6"/>
  <c r="C6" i="6"/>
  <c r="AB6" i="5"/>
  <c r="J6" i="6" s="1"/>
  <c r="B6" i="6"/>
  <c r="AC11" i="5"/>
  <c r="K11" i="6" s="1"/>
  <c r="A13" i="6"/>
  <c r="C13" i="6"/>
  <c r="B13" i="6"/>
  <c r="G13" i="5"/>
  <c r="C23" i="6"/>
  <c r="B23" i="6"/>
  <c r="A23" i="6"/>
  <c r="AR23" i="5"/>
  <c r="AQ28" i="5"/>
  <c r="G30" i="5"/>
  <c r="G40" i="5"/>
  <c r="AR45" i="5"/>
  <c r="B50" i="6"/>
  <c r="A50" i="6"/>
  <c r="C50" i="6"/>
  <c r="X50" i="5"/>
  <c r="O50" i="6" s="1"/>
  <c r="G50" i="5"/>
  <c r="M53" i="5"/>
  <c r="AB74" i="5"/>
  <c r="J74" i="6" s="1"/>
  <c r="C76" i="6"/>
  <c r="B76" i="6"/>
  <c r="A76" i="6"/>
  <c r="AR76" i="5"/>
  <c r="AT76" i="5" s="1"/>
  <c r="AU76" i="5" s="1"/>
  <c r="AB77" i="5"/>
  <c r="J77" i="6" s="1"/>
  <c r="G79" i="5"/>
  <c r="X82" i="5"/>
  <c r="O82" i="6" s="1"/>
  <c r="C84" i="6"/>
  <c r="B84" i="6"/>
  <c r="A84" i="6"/>
  <c r="M84" i="5"/>
  <c r="AB84" i="5"/>
  <c r="J84" i="6" s="1"/>
  <c r="AC84" i="5"/>
  <c r="K84" i="6" s="1"/>
  <c r="G84" i="5"/>
  <c r="AQ87" i="5"/>
  <c r="G91" i="5"/>
  <c r="G96" i="5"/>
  <c r="G98" i="5"/>
  <c r="AQ108" i="5"/>
  <c r="C119" i="6"/>
  <c r="B119" i="6"/>
  <c r="A119" i="6"/>
  <c r="AC119" i="5"/>
  <c r="K119" i="6" s="1"/>
  <c r="AB119" i="5"/>
  <c r="J119" i="6" s="1"/>
  <c r="G119" i="5"/>
  <c r="AQ119" i="5"/>
  <c r="M119" i="5"/>
  <c r="M129" i="5"/>
  <c r="AC140" i="5"/>
  <c r="K140" i="6" s="1"/>
  <c r="AQ142" i="5"/>
  <c r="AQ11" i="5"/>
  <c r="M13" i="5"/>
  <c r="C16" i="6"/>
  <c r="B16" i="6"/>
  <c r="A16" i="6"/>
  <c r="AR28" i="5"/>
  <c r="M30" i="5"/>
  <c r="C33" i="6"/>
  <c r="B33" i="6"/>
  <c r="A33" i="6"/>
  <c r="G33" i="5"/>
  <c r="M40" i="5"/>
  <c r="C43" i="6"/>
  <c r="B43" i="6"/>
  <c r="A43" i="6"/>
  <c r="AR43" i="5"/>
  <c r="N53" i="5"/>
  <c r="X65" i="5"/>
  <c r="O65" i="6" s="1"/>
  <c r="X68" i="5"/>
  <c r="O68" i="6" s="1"/>
  <c r="AB71" i="5"/>
  <c r="J71" i="6" s="1"/>
  <c r="C73" i="6"/>
  <c r="B73" i="6"/>
  <c r="A73" i="6"/>
  <c r="G73" i="5"/>
  <c r="AC74" i="5"/>
  <c r="K74" i="6" s="1"/>
  <c r="AC77" i="5"/>
  <c r="K77" i="6" s="1"/>
  <c r="N79" i="5"/>
  <c r="AB82" i="5"/>
  <c r="J82" i="6" s="1"/>
  <c r="C86" i="6"/>
  <c r="B86" i="6"/>
  <c r="AS86" i="5"/>
  <c r="A86" i="6"/>
  <c r="G86" i="5"/>
  <c r="AR87" i="5"/>
  <c r="N91" i="5"/>
  <c r="M98" i="5"/>
  <c r="B114" i="6"/>
  <c r="A114" i="6"/>
  <c r="AS114" i="5"/>
  <c r="AR114" i="5"/>
  <c r="N114" i="5"/>
  <c r="M114" i="5"/>
  <c r="C114" i="6"/>
  <c r="G114" i="5"/>
  <c r="AQ114" i="5"/>
  <c r="B127" i="6"/>
  <c r="A127" i="6"/>
  <c r="C127" i="6"/>
  <c r="AC127" i="5"/>
  <c r="K127" i="6" s="1"/>
  <c r="AB127" i="5"/>
  <c r="J127" i="6" s="1"/>
  <c r="G127" i="5"/>
  <c r="AQ127" i="5"/>
  <c r="M127" i="5"/>
  <c r="C135" i="6"/>
  <c r="B135" i="6"/>
  <c r="A135" i="6"/>
  <c r="AC135" i="5"/>
  <c r="K135" i="6" s="1"/>
  <c r="AB135" i="5"/>
  <c r="J135" i="6" s="1"/>
  <c r="G135" i="5"/>
  <c r="AQ135" i="5"/>
  <c r="X135" i="5"/>
  <c r="O135" i="6" s="1"/>
  <c r="M135" i="5"/>
  <c r="AR140" i="5"/>
  <c r="M193" i="4"/>
  <c r="M6" i="5"/>
  <c r="A9" i="6"/>
  <c r="B9" i="6"/>
  <c r="M9" i="5"/>
  <c r="C9" i="6"/>
  <c r="N13" i="5"/>
  <c r="G16" i="5"/>
  <c r="M23" i="5"/>
  <c r="A26" i="6"/>
  <c r="C26" i="6"/>
  <c r="X26" i="5"/>
  <c r="O26" i="6" s="1"/>
  <c r="B26" i="6"/>
  <c r="N30" i="5"/>
  <c r="M33" i="5"/>
  <c r="C36" i="6"/>
  <c r="B36" i="6"/>
  <c r="A36" i="6"/>
  <c r="N40" i="5"/>
  <c r="G43" i="5"/>
  <c r="C64" i="6"/>
  <c r="B64" i="6"/>
  <c r="A64" i="6"/>
  <c r="AR64" i="5"/>
  <c r="AB65" i="5"/>
  <c r="J65" i="6" s="1"/>
  <c r="C67" i="6"/>
  <c r="B67" i="6"/>
  <c r="A67" i="6"/>
  <c r="AR67" i="5"/>
  <c r="X67" i="5"/>
  <c r="O67" i="6" s="1"/>
  <c r="AB68" i="5"/>
  <c r="J68" i="6" s="1"/>
  <c r="C70" i="6"/>
  <c r="B70" i="6"/>
  <c r="A70" i="6"/>
  <c r="X70" i="5"/>
  <c r="O70" i="6" s="1"/>
  <c r="G70" i="5"/>
  <c r="AC71" i="5"/>
  <c r="K71" i="6" s="1"/>
  <c r="M73" i="5"/>
  <c r="AQ74" i="5"/>
  <c r="AQ77" i="5"/>
  <c r="AQ82" i="5"/>
  <c r="M86" i="5"/>
  <c r="AS87" i="5"/>
  <c r="AC89" i="5"/>
  <c r="K89" i="6" s="1"/>
  <c r="A93" i="6"/>
  <c r="AQ93" i="5"/>
  <c r="AB93" i="5"/>
  <c r="J93" i="6" s="1"/>
  <c r="B93" i="6"/>
  <c r="AS93" i="5"/>
  <c r="AR93" i="5"/>
  <c r="N93" i="5"/>
  <c r="C93" i="6"/>
  <c r="X96" i="5"/>
  <c r="O96" i="6" s="1"/>
  <c r="AR101" i="5"/>
  <c r="A109" i="6"/>
  <c r="AC109" i="5"/>
  <c r="K109" i="6" s="1"/>
  <c r="AB109" i="5"/>
  <c r="J109" i="6" s="1"/>
  <c r="C109" i="6"/>
  <c r="X109" i="5"/>
  <c r="O109" i="6" s="1"/>
  <c r="B109" i="6"/>
  <c r="AR109" i="5"/>
  <c r="AQ109" i="5"/>
  <c r="G109" i="5"/>
  <c r="N127" i="5"/>
  <c r="AS129" i="5"/>
  <c r="N135" i="5"/>
  <c r="A61" i="6"/>
  <c r="B61" i="6"/>
  <c r="C61" i="6"/>
  <c r="G61" i="5"/>
  <c r="AC68" i="5"/>
  <c r="K68" i="6" s="1"/>
  <c r="AR77" i="5"/>
  <c r="C81" i="6"/>
  <c r="B81" i="6"/>
  <c r="A81" i="6"/>
  <c r="AB81" i="5"/>
  <c r="J81" i="6" s="1"/>
  <c r="AS81" i="5"/>
  <c r="X81" i="5"/>
  <c r="O81" i="6" s="1"/>
  <c r="G81" i="5"/>
  <c r="AR82" i="5"/>
  <c r="A122" i="6"/>
  <c r="AS122" i="5"/>
  <c r="AR122" i="5"/>
  <c r="N122" i="5"/>
  <c r="M122" i="5"/>
  <c r="C122" i="6"/>
  <c r="G122" i="5"/>
  <c r="B122" i="6"/>
  <c r="AQ122" i="5"/>
  <c r="A138" i="6"/>
  <c r="AS138" i="5"/>
  <c r="AR138" i="5"/>
  <c r="C138" i="6"/>
  <c r="B138" i="6"/>
  <c r="N138" i="5"/>
  <c r="M138" i="5"/>
  <c r="G138" i="5"/>
  <c r="AQ138" i="5"/>
  <c r="AB138" i="5"/>
  <c r="J138" i="6" s="1"/>
  <c r="A29" i="6"/>
  <c r="B29" i="6"/>
  <c r="G29" i="5"/>
  <c r="C29" i="6"/>
  <c r="AB30" i="5"/>
  <c r="J30" i="6" s="1"/>
  <c r="C39" i="6"/>
  <c r="B39" i="6"/>
  <c r="A39" i="6"/>
  <c r="AR39" i="5"/>
  <c r="AT39" i="5" s="1"/>
  <c r="AU39" i="5" s="1"/>
  <c r="X40" i="5"/>
  <c r="O40" i="6" s="1"/>
  <c r="C52" i="6"/>
  <c r="B52" i="6"/>
  <c r="A52" i="6"/>
  <c r="AR52" i="5"/>
  <c r="AB53" i="5"/>
  <c r="J53" i="6" s="1"/>
  <c r="C55" i="6"/>
  <c r="B55" i="6"/>
  <c r="A55" i="6"/>
  <c r="AR55" i="5"/>
  <c r="X55" i="5"/>
  <c r="O55" i="6" s="1"/>
  <c r="A58" i="6"/>
  <c r="C58" i="6"/>
  <c r="X58" i="5"/>
  <c r="O58" i="6" s="1"/>
  <c r="B58" i="6"/>
  <c r="G58" i="5"/>
  <c r="M61" i="5"/>
  <c r="AQ65" i="5"/>
  <c r="AQ68" i="5"/>
  <c r="AS71" i="5"/>
  <c r="AS74" i="5"/>
  <c r="AS77" i="5"/>
  <c r="AB79" i="5"/>
  <c r="J79" i="6" s="1"/>
  <c r="M81" i="5"/>
  <c r="C88" i="6"/>
  <c r="B88" i="6"/>
  <c r="M88" i="5"/>
  <c r="A88" i="6"/>
  <c r="AB88" i="5"/>
  <c r="J88" i="6" s="1"/>
  <c r="AR88" i="5"/>
  <c r="AT88" i="5" s="1"/>
  <c r="AU88" i="5" s="1"/>
  <c r="AR89" i="5"/>
  <c r="AB91" i="5"/>
  <c r="J91" i="6" s="1"/>
  <c r="AR96" i="5"/>
  <c r="AB98" i="5"/>
  <c r="J98" i="6" s="1"/>
  <c r="C102" i="6"/>
  <c r="B102" i="6"/>
  <c r="AS102" i="5"/>
  <c r="N102" i="5"/>
  <c r="A102" i="6"/>
  <c r="AQ102" i="5"/>
  <c r="AB102" i="5"/>
  <c r="J102" i="6" s="1"/>
  <c r="X102" i="5"/>
  <c r="O102" i="6" s="1"/>
  <c r="AB114" i="5"/>
  <c r="J114" i="6" s="1"/>
  <c r="X127" i="5"/>
  <c r="O127" i="6" s="1"/>
  <c r="B130" i="6"/>
  <c r="A130" i="6"/>
  <c r="AS130" i="5"/>
  <c r="AR130" i="5"/>
  <c r="C130" i="6"/>
  <c r="N130" i="5"/>
  <c r="M130" i="5"/>
  <c r="G130" i="5"/>
  <c r="AQ130" i="5"/>
  <c r="AB130" i="5"/>
  <c r="J130" i="6" s="1"/>
  <c r="C32" i="6"/>
  <c r="B32" i="6"/>
  <c r="A32" i="6"/>
  <c r="C49" i="6"/>
  <c r="B49" i="6"/>
  <c r="A49" i="6"/>
  <c r="G49" i="5"/>
  <c r="AC53" i="5"/>
  <c r="K53" i="6" s="1"/>
  <c r="N61" i="5"/>
  <c r="AR65" i="5"/>
  <c r="AS68" i="5"/>
  <c r="X73" i="5"/>
  <c r="O73" i="6" s="1"/>
  <c r="AQ79" i="5"/>
  <c r="N81" i="5"/>
  <c r="X86" i="5"/>
  <c r="O86" i="6" s="1"/>
  <c r="AC91" i="5"/>
  <c r="K91" i="6" s="1"/>
  <c r="AS96" i="5"/>
  <c r="AQ98" i="5"/>
  <c r="AC114" i="5"/>
  <c r="K114" i="6" s="1"/>
  <c r="AC117" i="5"/>
  <c r="K117" i="6" s="1"/>
  <c r="AB117" i="5"/>
  <c r="J117" i="6" s="1"/>
  <c r="X117" i="5"/>
  <c r="O117" i="6" s="1"/>
  <c r="C117" i="6"/>
  <c r="B117" i="6"/>
  <c r="A117" i="6"/>
  <c r="AR117" i="5"/>
  <c r="AQ117" i="5"/>
  <c r="N117" i="5"/>
  <c r="G117" i="5"/>
  <c r="X122" i="5"/>
  <c r="O122" i="6" s="1"/>
  <c r="AR127" i="5"/>
  <c r="X138" i="5"/>
  <c r="O138" i="6" s="1"/>
  <c r="W179" i="4" a="1"/>
  <c r="W179" i="4" s="1"/>
  <c r="V191" i="3" s="1"/>
  <c r="AB193" i="4"/>
  <c r="J77" i="3" s="1"/>
  <c r="W195" i="4" a="1"/>
  <c r="W195" i="4" s="1"/>
  <c r="V26" i="3" s="1"/>
  <c r="AC6" i="5"/>
  <c r="K6" i="6" s="1"/>
  <c r="C8" i="6"/>
  <c r="B8" i="6"/>
  <c r="A8" i="6"/>
  <c r="X9" i="5"/>
  <c r="O9" i="6" s="1"/>
  <c r="AC13" i="5"/>
  <c r="K13" i="6" s="1"/>
  <c r="B15" i="6"/>
  <c r="A15" i="6"/>
  <c r="AR15" i="5"/>
  <c r="C15" i="6"/>
  <c r="X16" i="5"/>
  <c r="O16" i="6" s="1"/>
  <c r="AB23" i="5"/>
  <c r="J23" i="6" s="1"/>
  <c r="N29" i="5"/>
  <c r="AQ30" i="5"/>
  <c r="G32" i="5"/>
  <c r="AB33" i="5"/>
  <c r="J33" i="6" s="1"/>
  <c r="M39" i="5"/>
  <c r="AC40" i="5"/>
  <c r="K40" i="6" s="1"/>
  <c r="A42" i="6"/>
  <c r="C42" i="6"/>
  <c r="B42" i="6"/>
  <c r="X42" i="5"/>
  <c r="O42" i="6" s="1"/>
  <c r="X43" i="5"/>
  <c r="O43" i="6" s="1"/>
  <c r="M49" i="5"/>
  <c r="AQ50" i="5"/>
  <c r="M52" i="5"/>
  <c r="AQ53" i="5"/>
  <c r="M55" i="5"/>
  <c r="N58" i="5"/>
  <c r="AS65" i="5"/>
  <c r="AB70" i="5"/>
  <c r="J70" i="6" s="1"/>
  <c r="C72" i="6"/>
  <c r="A72" i="6"/>
  <c r="AR72" i="5"/>
  <c r="AT72" i="5" s="1"/>
  <c r="AU72" i="5" s="1"/>
  <c r="B72" i="6"/>
  <c r="AB73" i="5"/>
  <c r="J73" i="6" s="1"/>
  <c r="C75" i="6"/>
  <c r="B75" i="6"/>
  <c r="A75" i="6"/>
  <c r="AR75" i="5"/>
  <c r="AT75" i="5" s="1"/>
  <c r="AU75" i="5" s="1"/>
  <c r="X75" i="5"/>
  <c r="O75" i="6" s="1"/>
  <c r="AB76" i="5"/>
  <c r="J76" i="6" s="1"/>
  <c r="C78" i="6"/>
  <c r="B78" i="6"/>
  <c r="A78" i="6"/>
  <c r="AS78" i="5"/>
  <c r="X78" i="5"/>
  <c r="O78" i="6" s="1"/>
  <c r="G78" i="5"/>
  <c r="AR79" i="5"/>
  <c r="AS84" i="5"/>
  <c r="AB86" i="5"/>
  <c r="J86" i="6" s="1"/>
  <c r="N88" i="5"/>
  <c r="A90" i="6"/>
  <c r="AS90" i="5"/>
  <c r="C90" i="6"/>
  <c r="AC90" i="5"/>
  <c r="K90" i="6" s="1"/>
  <c r="N90" i="5"/>
  <c r="B90" i="6"/>
  <c r="AQ91" i="5"/>
  <c r="X93" i="5"/>
  <c r="O93" i="6" s="1"/>
  <c r="AR98" i="5"/>
  <c r="M102" i="5"/>
  <c r="AS109" i="5"/>
  <c r="M117" i="5"/>
  <c r="AB122" i="5"/>
  <c r="J122" i="6" s="1"/>
  <c r="AS127" i="5"/>
  <c r="X130" i="5"/>
  <c r="O130" i="6" s="1"/>
  <c r="AC138" i="5"/>
  <c r="K138" i="6" s="1"/>
  <c r="AQ6" i="5"/>
  <c r="AT6" i="5" s="1"/>
  <c r="AU6" i="5" s="1"/>
  <c r="G8" i="5"/>
  <c r="AB9" i="5"/>
  <c r="J9" i="6" s="1"/>
  <c r="AQ13" i="5"/>
  <c r="G15" i="5"/>
  <c r="AB16" i="5"/>
  <c r="J16" i="6" s="1"/>
  <c r="AC23" i="5"/>
  <c r="K23" i="6" s="1"/>
  <c r="C25" i="6"/>
  <c r="B25" i="6"/>
  <c r="A25" i="6"/>
  <c r="G25" i="5"/>
  <c r="AB26" i="5"/>
  <c r="J26" i="6" s="1"/>
  <c r="AR30" i="5"/>
  <c r="M32" i="5"/>
  <c r="AC33" i="5"/>
  <c r="K33" i="6" s="1"/>
  <c r="C35" i="6"/>
  <c r="B35" i="6"/>
  <c r="A35" i="6"/>
  <c r="AR35" i="5"/>
  <c r="AT35" i="5" s="1"/>
  <c r="AU35" i="5" s="1"/>
  <c r="X36" i="5"/>
  <c r="O36" i="6" s="1"/>
  <c r="N39" i="5"/>
  <c r="AQ40" i="5"/>
  <c r="AB43" i="5"/>
  <c r="J43" i="6" s="1"/>
  <c r="N49" i="5"/>
  <c r="AR50" i="5"/>
  <c r="N52" i="5"/>
  <c r="AR53" i="5"/>
  <c r="N55" i="5"/>
  <c r="X61" i="5"/>
  <c r="O61" i="6" s="1"/>
  <c r="X64" i="5"/>
  <c r="O64" i="6" s="1"/>
  <c r="AB67" i="5"/>
  <c r="J67" i="6" s="1"/>
  <c r="C69" i="6"/>
  <c r="B69" i="6"/>
  <c r="G69" i="5"/>
  <c r="AC70" i="5"/>
  <c r="K70" i="6" s="1"/>
  <c r="AC73" i="5"/>
  <c r="K73" i="6" s="1"/>
  <c r="AS79" i="5"/>
  <c r="AC81" i="5"/>
  <c r="K81" i="6" s="1"/>
  <c r="AC86" i="5"/>
  <c r="K86" i="6" s="1"/>
  <c r="AS91" i="5"/>
  <c r="AC93" i="5"/>
  <c r="K93" i="6" s="1"/>
  <c r="C97" i="6"/>
  <c r="B97" i="6"/>
  <c r="A97" i="6"/>
  <c r="AQ97" i="5"/>
  <c r="AC97" i="5"/>
  <c r="K97" i="6" s="1"/>
  <c r="AB97" i="5"/>
  <c r="J97" i="6" s="1"/>
  <c r="AS97" i="5"/>
  <c r="N104" i="5"/>
  <c r="M104" i="5"/>
  <c r="C104" i="6"/>
  <c r="A104" i="6"/>
  <c r="AB104" i="5"/>
  <c r="J104" i="6" s="1"/>
  <c r="AQ104" i="5"/>
  <c r="B104" i="6"/>
  <c r="G104" i="5"/>
  <c r="C115" i="6"/>
  <c r="AC115" i="5"/>
  <c r="K115" i="6" s="1"/>
  <c r="B115" i="6"/>
  <c r="AB115" i="5"/>
  <c r="J115" i="6" s="1"/>
  <c r="G115" i="5"/>
  <c r="AQ115" i="5"/>
  <c r="A115" i="6"/>
  <c r="M115" i="5"/>
  <c r="AC122" i="5"/>
  <c r="K122" i="6" s="1"/>
  <c r="A125" i="6"/>
  <c r="AC125" i="5"/>
  <c r="K125" i="6" s="1"/>
  <c r="AB125" i="5"/>
  <c r="J125" i="6" s="1"/>
  <c r="X125" i="5"/>
  <c r="O125" i="6" s="1"/>
  <c r="B125" i="6"/>
  <c r="AR125" i="5"/>
  <c r="C125" i="6"/>
  <c r="AQ125" i="5"/>
  <c r="N125" i="5"/>
  <c r="G125" i="5"/>
  <c r="AC130" i="5"/>
  <c r="K130" i="6" s="1"/>
  <c r="AC133" i="5"/>
  <c r="K133" i="6" s="1"/>
  <c r="AB133" i="5"/>
  <c r="J133" i="6" s="1"/>
  <c r="X133" i="5"/>
  <c r="O133" i="6" s="1"/>
  <c r="C133" i="6"/>
  <c r="B133" i="6"/>
  <c r="AR133" i="5"/>
  <c r="A133" i="6"/>
  <c r="AQ133" i="5"/>
  <c r="N133" i="5"/>
  <c r="G133" i="5"/>
  <c r="A69" i="6"/>
  <c r="B11" i="6"/>
  <c r="A11" i="6"/>
  <c r="C11" i="6"/>
  <c r="AR11" i="5"/>
  <c r="AR13" i="5"/>
  <c r="AC16" i="5"/>
  <c r="K16" i="6" s="1"/>
  <c r="B18" i="6"/>
  <c r="A18" i="6"/>
  <c r="C18" i="6"/>
  <c r="X18" i="5"/>
  <c r="O18" i="6" s="1"/>
  <c r="C28" i="6"/>
  <c r="B28" i="6"/>
  <c r="A28" i="6"/>
  <c r="X29" i="5"/>
  <c r="O29" i="6" s="1"/>
  <c r="AS30" i="5"/>
  <c r="N32" i="5"/>
  <c r="AR40" i="5"/>
  <c r="A45" i="6"/>
  <c r="C45" i="6"/>
  <c r="B45" i="6"/>
  <c r="G45" i="5"/>
  <c r="AS53" i="5"/>
  <c r="AB58" i="5"/>
  <c r="J58" i="6" s="1"/>
  <c r="C60" i="6"/>
  <c r="B60" i="6"/>
  <c r="A60" i="6"/>
  <c r="AR60" i="5"/>
  <c r="AB61" i="5"/>
  <c r="J61" i="6" s="1"/>
  <c r="B63" i="6"/>
  <c r="A63" i="6"/>
  <c r="C63" i="6"/>
  <c r="AR63" i="5"/>
  <c r="X63" i="5"/>
  <c r="O63" i="6" s="1"/>
  <c r="B66" i="6"/>
  <c r="A66" i="6"/>
  <c r="C66" i="6"/>
  <c r="X66" i="5"/>
  <c r="O66" i="6" s="1"/>
  <c r="G66" i="5"/>
  <c r="AT66" i="5" s="1"/>
  <c r="AU66" i="5" s="1"/>
  <c r="AC67" i="5"/>
  <c r="K67" i="6" s="1"/>
  <c r="M69" i="5"/>
  <c r="AQ70" i="5"/>
  <c r="AQ73" i="5"/>
  <c r="AQ81" i="5"/>
  <c r="AB85" i="5"/>
  <c r="J85" i="6" s="1"/>
  <c r="C85" i="6"/>
  <c r="B85" i="6"/>
  <c r="A85" i="6"/>
  <c r="AS85" i="5"/>
  <c r="AQ85" i="5"/>
  <c r="AQ86" i="5"/>
  <c r="X88" i="5"/>
  <c r="O88" i="6" s="1"/>
  <c r="AC102" i="5"/>
  <c r="K102" i="6" s="1"/>
  <c r="C110" i="6"/>
  <c r="B110" i="6"/>
  <c r="A110" i="6"/>
  <c r="AS110" i="5"/>
  <c r="AR110" i="5"/>
  <c r="N110" i="5"/>
  <c r="M110" i="5"/>
  <c r="G110" i="5"/>
  <c r="AQ110" i="5"/>
  <c r="AS117" i="5"/>
  <c r="C139" i="6"/>
  <c r="B139" i="6"/>
  <c r="A139" i="6"/>
  <c r="AQ139" i="5"/>
  <c r="AC139" i="5"/>
  <c r="K139" i="6" s="1"/>
  <c r="AB139" i="5"/>
  <c r="J139" i="6" s="1"/>
  <c r="G139" i="5"/>
  <c r="AR139" i="5"/>
  <c r="X139" i="5"/>
  <c r="O139" i="6" s="1"/>
  <c r="M139" i="5"/>
  <c r="N144" i="5"/>
  <c r="M144" i="5"/>
  <c r="G144" i="5"/>
  <c r="AS144" i="5"/>
  <c r="C144" i="6"/>
  <c r="B144" i="6"/>
  <c r="A144" i="6"/>
  <c r="X144" i="5"/>
  <c r="O144" i="6" s="1"/>
  <c r="AB144" i="5"/>
  <c r="J144" i="6" s="1"/>
  <c r="AR144" i="5"/>
  <c r="N206" i="5"/>
  <c r="C206" i="6"/>
  <c r="M206" i="5"/>
  <c r="AS206" i="5"/>
  <c r="AR206" i="5"/>
  <c r="B206" i="6"/>
  <c r="A206" i="6"/>
  <c r="AQ206" i="5"/>
  <c r="AC206" i="5"/>
  <c r="K206" i="6" s="1"/>
  <c r="AB206" i="5"/>
  <c r="J206" i="6" s="1"/>
  <c r="X206" i="5"/>
  <c r="O206" i="6" s="1"/>
  <c r="G206" i="5"/>
  <c r="AQ147" i="5"/>
  <c r="C147" i="6"/>
  <c r="AC147" i="5"/>
  <c r="K147" i="6" s="1"/>
  <c r="B147" i="6"/>
  <c r="AB147" i="5"/>
  <c r="J147" i="6" s="1"/>
  <c r="G147" i="5"/>
  <c r="C151" i="6"/>
  <c r="B151" i="6"/>
  <c r="A151" i="6"/>
  <c r="AQ151" i="5"/>
  <c r="AC151" i="5"/>
  <c r="K151" i="6" s="1"/>
  <c r="AB151" i="5"/>
  <c r="J151" i="6" s="1"/>
  <c r="G151" i="5"/>
  <c r="B143" i="6"/>
  <c r="A143" i="6"/>
  <c r="AQ143" i="5"/>
  <c r="AC143" i="5"/>
  <c r="K143" i="6" s="1"/>
  <c r="AB143" i="5"/>
  <c r="J143" i="6" s="1"/>
  <c r="G143" i="5"/>
  <c r="A106" i="6"/>
  <c r="AS106" i="5"/>
  <c r="C106" i="6"/>
  <c r="B106" i="6"/>
  <c r="N106" i="5"/>
  <c r="X143" i="5"/>
  <c r="O143" i="6" s="1"/>
  <c r="AR147" i="5"/>
  <c r="AR151" i="5"/>
  <c r="X106" i="5"/>
  <c r="O106" i="6" s="1"/>
  <c r="AS143" i="5"/>
  <c r="B146" i="6"/>
  <c r="A146" i="6"/>
  <c r="AS146" i="5"/>
  <c r="AR146" i="5"/>
  <c r="N146" i="5"/>
  <c r="M146" i="5"/>
  <c r="C146" i="6"/>
  <c r="C148" i="6"/>
  <c r="B148" i="6"/>
  <c r="A148" i="6"/>
  <c r="N148" i="5"/>
  <c r="M148" i="5"/>
  <c r="G148" i="5"/>
  <c r="AS148" i="5"/>
  <c r="AQ148" i="5"/>
  <c r="X148" i="5"/>
  <c r="O148" i="6" s="1"/>
  <c r="N152" i="5"/>
  <c r="C152" i="6"/>
  <c r="M152" i="5"/>
  <c r="B152" i="6"/>
  <c r="G152" i="5"/>
  <c r="A152" i="6"/>
  <c r="AS152" i="5"/>
  <c r="AQ152" i="5"/>
  <c r="X152" i="5"/>
  <c r="O152" i="6" s="1"/>
  <c r="C143" i="6"/>
  <c r="C83" i="6"/>
  <c r="B83" i="6"/>
  <c r="M83" i="5"/>
  <c r="C100" i="6"/>
  <c r="B100" i="6"/>
  <c r="A100" i="6"/>
  <c r="N100" i="5"/>
  <c r="M100" i="5"/>
  <c r="AB100" i="5"/>
  <c r="J100" i="6" s="1"/>
  <c r="C105" i="6"/>
  <c r="B105" i="6"/>
  <c r="AQ105" i="5"/>
  <c r="AC105" i="5"/>
  <c r="K105" i="6" s="1"/>
  <c r="AB105" i="5"/>
  <c r="J105" i="6" s="1"/>
  <c r="A105" i="6"/>
  <c r="AS105" i="5"/>
  <c r="AR106" i="5"/>
  <c r="N112" i="5"/>
  <c r="M112" i="5"/>
  <c r="G112" i="5"/>
  <c r="AS112" i="5"/>
  <c r="C112" i="6"/>
  <c r="B112" i="6"/>
  <c r="A112" i="6"/>
  <c r="X112" i="5"/>
  <c r="O112" i="6" s="1"/>
  <c r="C116" i="6"/>
  <c r="B116" i="6"/>
  <c r="A116" i="6"/>
  <c r="N116" i="5"/>
  <c r="M116" i="5"/>
  <c r="G116" i="5"/>
  <c r="AS116" i="5"/>
  <c r="X116" i="5"/>
  <c r="O116" i="6" s="1"/>
  <c r="N120" i="5"/>
  <c r="C120" i="6"/>
  <c r="M120" i="5"/>
  <c r="B120" i="6"/>
  <c r="G120" i="5"/>
  <c r="A120" i="6"/>
  <c r="AS120" i="5"/>
  <c r="X120" i="5"/>
  <c r="O120" i="6" s="1"/>
  <c r="C124" i="6"/>
  <c r="B124" i="6"/>
  <c r="A124" i="6"/>
  <c r="N124" i="5"/>
  <c r="M124" i="5"/>
  <c r="G124" i="5"/>
  <c r="AS124" i="5"/>
  <c r="X124" i="5"/>
  <c r="O124" i="6" s="1"/>
  <c r="N128" i="5"/>
  <c r="M128" i="5"/>
  <c r="G128" i="5"/>
  <c r="C128" i="6"/>
  <c r="B128" i="6"/>
  <c r="A128" i="6"/>
  <c r="AS128" i="5"/>
  <c r="X128" i="5"/>
  <c r="O128" i="6" s="1"/>
  <c r="C132" i="6"/>
  <c r="B132" i="6"/>
  <c r="A132" i="6"/>
  <c r="N132" i="5"/>
  <c r="M132" i="5"/>
  <c r="G132" i="5"/>
  <c r="AS132" i="5"/>
  <c r="X132" i="5"/>
  <c r="O132" i="6" s="1"/>
  <c r="N136" i="5"/>
  <c r="M136" i="5"/>
  <c r="G136" i="5"/>
  <c r="C136" i="6"/>
  <c r="AS136" i="5"/>
  <c r="A136" i="6"/>
  <c r="X136" i="5"/>
  <c r="O136" i="6" s="1"/>
  <c r="X146" i="5"/>
  <c r="O146" i="6" s="1"/>
  <c r="AC148" i="5"/>
  <c r="K148" i="6" s="1"/>
  <c r="AC152" i="5"/>
  <c r="K152" i="6" s="1"/>
  <c r="A147" i="6"/>
  <c r="M95" i="5"/>
  <c r="AR141" i="5"/>
  <c r="AT141" i="5" s="1"/>
  <c r="AU141" i="5" s="1"/>
  <c r="C150" i="6"/>
  <c r="B150" i="6"/>
  <c r="A154" i="6"/>
  <c r="AS154" i="5"/>
  <c r="M150" i="5"/>
  <c r="M154" i="5"/>
  <c r="A202" i="6"/>
  <c r="N202" i="5"/>
  <c r="M202" i="5"/>
  <c r="AS202" i="5"/>
  <c r="AR202" i="5"/>
  <c r="N150" i="5"/>
  <c r="N154" i="5"/>
  <c r="N158" i="5"/>
  <c r="C158" i="6"/>
  <c r="M158" i="5"/>
  <c r="AS158" i="5"/>
  <c r="AR158" i="5"/>
  <c r="N162" i="5"/>
  <c r="M162" i="5"/>
  <c r="B162" i="6"/>
  <c r="A162" i="6"/>
  <c r="AS162" i="5"/>
  <c r="AR162" i="5"/>
  <c r="N166" i="5"/>
  <c r="M166" i="5"/>
  <c r="C166" i="6"/>
  <c r="AS166" i="5"/>
  <c r="B166" i="6"/>
  <c r="AR166" i="5"/>
  <c r="A170" i="6"/>
  <c r="N170" i="5"/>
  <c r="M170" i="5"/>
  <c r="AS170" i="5"/>
  <c r="AR170" i="5"/>
  <c r="N174" i="5"/>
  <c r="C174" i="6"/>
  <c r="M174" i="5"/>
  <c r="AS174" i="5"/>
  <c r="AR174" i="5"/>
  <c r="N178" i="5"/>
  <c r="M178" i="5"/>
  <c r="B178" i="6"/>
  <c r="A178" i="6"/>
  <c r="AS178" i="5"/>
  <c r="AR178" i="5"/>
  <c r="N182" i="5"/>
  <c r="M182" i="5"/>
  <c r="C182" i="6"/>
  <c r="AS182" i="5"/>
  <c r="B182" i="6"/>
  <c r="AR182" i="5"/>
  <c r="A186" i="6"/>
  <c r="N186" i="5"/>
  <c r="M186" i="5"/>
  <c r="AS186" i="5"/>
  <c r="AR186" i="5"/>
  <c r="N190" i="5"/>
  <c r="C190" i="6"/>
  <c r="M190" i="5"/>
  <c r="AS190" i="5"/>
  <c r="AR190" i="5"/>
  <c r="N194" i="5"/>
  <c r="M194" i="5"/>
  <c r="B194" i="6"/>
  <c r="A194" i="6"/>
  <c r="AS194" i="5"/>
  <c r="AR194" i="5"/>
  <c r="N198" i="5"/>
  <c r="M198" i="5"/>
  <c r="C198" i="6"/>
  <c r="AS198" i="5"/>
  <c r="B198" i="6"/>
  <c r="AR198" i="5"/>
  <c r="AS204" i="5"/>
  <c r="X204" i="5"/>
  <c r="O204" i="6" s="1"/>
  <c r="C204" i="6"/>
  <c r="B204" i="6"/>
  <c r="N204" i="5"/>
  <c r="A204" i="6"/>
  <c r="M204" i="5"/>
  <c r="G204" i="5"/>
  <c r="B158" i="6"/>
  <c r="B190" i="6"/>
  <c r="C145" i="6"/>
  <c r="B145" i="6"/>
  <c r="A145" i="6"/>
  <c r="C153" i="6"/>
  <c r="B153" i="6"/>
  <c r="AS156" i="5"/>
  <c r="X156" i="5"/>
  <c r="O156" i="6" s="1"/>
  <c r="C156" i="6"/>
  <c r="B156" i="6"/>
  <c r="N156" i="5"/>
  <c r="A156" i="6"/>
  <c r="M156" i="5"/>
  <c r="G156" i="5"/>
  <c r="G158" i="5"/>
  <c r="AS160" i="5"/>
  <c r="X160" i="5"/>
  <c r="O160" i="6" s="1"/>
  <c r="N160" i="5"/>
  <c r="M160" i="5"/>
  <c r="G160" i="5"/>
  <c r="G162" i="5"/>
  <c r="C164" i="6"/>
  <c r="B164" i="6"/>
  <c r="A164" i="6"/>
  <c r="AS164" i="5"/>
  <c r="X164" i="5"/>
  <c r="O164" i="6" s="1"/>
  <c r="N164" i="5"/>
  <c r="M164" i="5"/>
  <c r="G164" i="5"/>
  <c r="G166" i="5"/>
  <c r="AS168" i="5"/>
  <c r="X168" i="5"/>
  <c r="O168" i="6" s="1"/>
  <c r="N168" i="5"/>
  <c r="M168" i="5"/>
  <c r="G168" i="5"/>
  <c r="G170" i="5"/>
  <c r="AS172" i="5"/>
  <c r="X172" i="5"/>
  <c r="O172" i="6" s="1"/>
  <c r="C172" i="6"/>
  <c r="B172" i="6"/>
  <c r="N172" i="5"/>
  <c r="A172" i="6"/>
  <c r="M172" i="5"/>
  <c r="G172" i="5"/>
  <c r="G174" i="5"/>
  <c r="AS176" i="5"/>
  <c r="X176" i="5"/>
  <c r="O176" i="6" s="1"/>
  <c r="N176" i="5"/>
  <c r="M176" i="5"/>
  <c r="G176" i="5"/>
  <c r="G178" i="5"/>
  <c r="C180" i="6"/>
  <c r="B180" i="6"/>
  <c r="A180" i="6"/>
  <c r="AS180" i="5"/>
  <c r="X180" i="5"/>
  <c r="O180" i="6" s="1"/>
  <c r="N180" i="5"/>
  <c r="M180" i="5"/>
  <c r="G180" i="5"/>
  <c r="G182" i="5"/>
  <c r="AS184" i="5"/>
  <c r="X184" i="5"/>
  <c r="O184" i="6" s="1"/>
  <c r="N184" i="5"/>
  <c r="M184" i="5"/>
  <c r="G184" i="5"/>
  <c r="G186" i="5"/>
  <c r="AS188" i="5"/>
  <c r="X188" i="5"/>
  <c r="O188" i="6" s="1"/>
  <c r="C188" i="6"/>
  <c r="B188" i="6"/>
  <c r="N188" i="5"/>
  <c r="A188" i="6"/>
  <c r="M188" i="5"/>
  <c r="G188" i="5"/>
  <c r="G190" i="5"/>
  <c r="AS192" i="5"/>
  <c r="X192" i="5"/>
  <c r="O192" i="6" s="1"/>
  <c r="N192" i="5"/>
  <c r="M192" i="5"/>
  <c r="G192" i="5"/>
  <c r="G194" i="5"/>
  <c r="C196" i="6"/>
  <c r="B196" i="6"/>
  <c r="A196" i="6"/>
  <c r="AS196" i="5"/>
  <c r="X196" i="5"/>
  <c r="O196" i="6" s="1"/>
  <c r="N196" i="5"/>
  <c r="M196" i="5"/>
  <c r="G196" i="5"/>
  <c r="G198" i="5"/>
  <c r="AS200" i="5"/>
  <c r="X200" i="5"/>
  <c r="O200" i="6" s="1"/>
  <c r="N200" i="5"/>
  <c r="M200" i="5"/>
  <c r="G200" i="5"/>
  <c r="A149" i="6"/>
  <c r="B170" i="6"/>
  <c r="B202" i="6"/>
  <c r="X202" i="5"/>
  <c r="O202" i="6" s="1"/>
  <c r="AB204" i="5"/>
  <c r="J204" i="6" s="1"/>
  <c r="B149" i="6"/>
  <c r="A160" i="6"/>
  <c r="C170" i="6"/>
  <c r="A192" i="6"/>
  <c r="C202" i="6"/>
  <c r="K50" i="16"/>
  <c r="L50" i="16"/>
  <c r="A107" i="6"/>
  <c r="C149" i="6"/>
  <c r="B107" i="6"/>
  <c r="A150" i="6"/>
  <c r="A182" i="6"/>
  <c r="B141" i="6"/>
  <c r="C162" i="6"/>
  <c r="C194" i="6"/>
  <c r="X141" i="5"/>
  <c r="O141" i="6" s="1"/>
  <c r="X145" i="5"/>
  <c r="O145" i="6" s="1"/>
  <c r="X149" i="5"/>
  <c r="O149" i="6" s="1"/>
  <c r="AR150" i="5"/>
  <c r="X153" i="5"/>
  <c r="O153" i="6" s="1"/>
  <c r="AR154" i="5"/>
  <c r="AQ158" i="5"/>
  <c r="AQ162" i="5"/>
  <c r="AQ166" i="5"/>
  <c r="AQ170" i="5"/>
  <c r="AQ174" i="5"/>
  <c r="AQ178" i="5"/>
  <c r="AQ182" i="5"/>
  <c r="AQ186" i="5"/>
  <c r="AQ190" i="5"/>
  <c r="AQ194" i="5"/>
  <c r="AQ198" i="5"/>
  <c r="A99" i="6"/>
  <c r="C141" i="6"/>
  <c r="B184" i="6"/>
  <c r="AB141" i="5"/>
  <c r="J141" i="6" s="1"/>
  <c r="AB145" i="5"/>
  <c r="J145" i="6" s="1"/>
  <c r="AS150" i="5"/>
  <c r="B99" i="6"/>
  <c r="A174" i="6"/>
  <c r="C184" i="6"/>
  <c r="B95" i="6"/>
  <c r="A95" i="6"/>
  <c r="C103" i="6"/>
  <c r="B103" i="6"/>
  <c r="A103" i="6"/>
  <c r="AC141" i="5"/>
  <c r="K141" i="6" s="1"/>
  <c r="AC145" i="5"/>
  <c r="K145" i="6" s="1"/>
  <c r="AC153" i="5"/>
  <c r="K153" i="6" s="1"/>
  <c r="AC155" i="5"/>
  <c r="K155" i="6" s="1"/>
  <c r="AB155" i="5"/>
  <c r="J155" i="6" s="1"/>
  <c r="G155" i="5"/>
  <c r="C155" i="6"/>
  <c r="A157" i="6"/>
  <c r="AR157" i="5"/>
  <c r="AT157" i="5" s="1"/>
  <c r="AU157" i="5" s="1"/>
  <c r="AC157" i="5"/>
  <c r="K157" i="6" s="1"/>
  <c r="AB157" i="5"/>
  <c r="J157" i="6" s="1"/>
  <c r="X157" i="5"/>
  <c r="O157" i="6" s="1"/>
  <c r="B159" i="6"/>
  <c r="A159" i="6"/>
  <c r="AC159" i="5"/>
  <c r="K159" i="6" s="1"/>
  <c r="AB159" i="5"/>
  <c r="J159" i="6" s="1"/>
  <c r="G159" i="5"/>
  <c r="AR161" i="5"/>
  <c r="AT161" i="5" s="1"/>
  <c r="AU161" i="5" s="1"/>
  <c r="C161" i="6"/>
  <c r="AC161" i="5"/>
  <c r="K161" i="6" s="1"/>
  <c r="B161" i="6"/>
  <c r="AB161" i="5"/>
  <c r="J161" i="6" s="1"/>
  <c r="A161" i="6"/>
  <c r="X161" i="5"/>
  <c r="O161" i="6" s="1"/>
  <c r="AC163" i="5"/>
  <c r="K163" i="6" s="1"/>
  <c r="AB163" i="5"/>
  <c r="J163" i="6" s="1"/>
  <c r="G163" i="5"/>
  <c r="AR165" i="5"/>
  <c r="AT165" i="5" s="1"/>
  <c r="AU165" i="5" s="1"/>
  <c r="AC165" i="5"/>
  <c r="K165" i="6" s="1"/>
  <c r="AB165" i="5"/>
  <c r="J165" i="6" s="1"/>
  <c r="X165" i="5"/>
  <c r="O165" i="6" s="1"/>
  <c r="AC167" i="5"/>
  <c r="K167" i="6" s="1"/>
  <c r="AB167" i="5"/>
  <c r="J167" i="6" s="1"/>
  <c r="C167" i="6"/>
  <c r="G167" i="5"/>
  <c r="AT167" i="5" s="1"/>
  <c r="AU167" i="5" s="1"/>
  <c r="B167" i="6"/>
  <c r="A167" i="6"/>
  <c r="C169" i="6"/>
  <c r="B169" i="6"/>
  <c r="AR169" i="5"/>
  <c r="AT169" i="5" s="1"/>
  <c r="AU169" i="5" s="1"/>
  <c r="AC169" i="5"/>
  <c r="K169" i="6" s="1"/>
  <c r="AB169" i="5"/>
  <c r="J169" i="6" s="1"/>
  <c r="X169" i="5"/>
  <c r="O169" i="6" s="1"/>
  <c r="AC171" i="5"/>
  <c r="K171" i="6" s="1"/>
  <c r="AB171" i="5"/>
  <c r="J171" i="6" s="1"/>
  <c r="G171" i="5"/>
  <c r="AT171" i="5" s="1"/>
  <c r="AU171" i="5" s="1"/>
  <c r="C171" i="6"/>
  <c r="A173" i="6"/>
  <c r="AR173" i="5"/>
  <c r="AC173" i="5"/>
  <c r="K173" i="6" s="1"/>
  <c r="AB173" i="5"/>
  <c r="J173" i="6" s="1"/>
  <c r="X173" i="5"/>
  <c r="O173" i="6" s="1"/>
  <c r="B175" i="6"/>
  <c r="A175" i="6"/>
  <c r="AC175" i="5"/>
  <c r="K175" i="6" s="1"/>
  <c r="AB175" i="5"/>
  <c r="J175" i="6" s="1"/>
  <c r="G175" i="5"/>
  <c r="AR177" i="5"/>
  <c r="AT177" i="5" s="1"/>
  <c r="AU177" i="5" s="1"/>
  <c r="C177" i="6"/>
  <c r="AC177" i="5"/>
  <c r="K177" i="6" s="1"/>
  <c r="B177" i="6"/>
  <c r="AB177" i="5"/>
  <c r="J177" i="6" s="1"/>
  <c r="A177" i="6"/>
  <c r="X177" i="5"/>
  <c r="O177" i="6" s="1"/>
  <c r="AC179" i="5"/>
  <c r="K179" i="6" s="1"/>
  <c r="AB179" i="5"/>
  <c r="J179" i="6" s="1"/>
  <c r="G179" i="5"/>
  <c r="AR181" i="5"/>
  <c r="AC181" i="5"/>
  <c r="K181" i="6" s="1"/>
  <c r="AB181" i="5"/>
  <c r="J181" i="6" s="1"/>
  <c r="X181" i="5"/>
  <c r="O181" i="6" s="1"/>
  <c r="AC183" i="5"/>
  <c r="K183" i="6" s="1"/>
  <c r="AB183" i="5"/>
  <c r="J183" i="6" s="1"/>
  <c r="C183" i="6"/>
  <c r="G183" i="5"/>
  <c r="B183" i="6"/>
  <c r="A183" i="6"/>
  <c r="C185" i="6"/>
  <c r="B185" i="6"/>
  <c r="AR185" i="5"/>
  <c r="AC185" i="5"/>
  <c r="K185" i="6" s="1"/>
  <c r="AB185" i="5"/>
  <c r="J185" i="6" s="1"/>
  <c r="X185" i="5"/>
  <c r="O185" i="6" s="1"/>
  <c r="AC187" i="5"/>
  <c r="K187" i="6" s="1"/>
  <c r="AB187" i="5"/>
  <c r="J187" i="6" s="1"/>
  <c r="G187" i="5"/>
  <c r="AT187" i="5" s="1"/>
  <c r="AU187" i="5" s="1"/>
  <c r="C187" i="6"/>
  <c r="A189" i="6"/>
  <c r="AR189" i="5"/>
  <c r="AC189" i="5"/>
  <c r="K189" i="6" s="1"/>
  <c r="AB189" i="5"/>
  <c r="J189" i="6" s="1"/>
  <c r="X189" i="5"/>
  <c r="O189" i="6" s="1"/>
  <c r="B191" i="6"/>
  <c r="A191" i="6"/>
  <c r="AC191" i="5"/>
  <c r="K191" i="6" s="1"/>
  <c r="AB191" i="5"/>
  <c r="J191" i="6" s="1"/>
  <c r="G191" i="5"/>
  <c r="AR193" i="5"/>
  <c r="AT193" i="5" s="1"/>
  <c r="AU193" i="5" s="1"/>
  <c r="C193" i="6"/>
  <c r="AC193" i="5"/>
  <c r="K193" i="6" s="1"/>
  <c r="B193" i="6"/>
  <c r="AB193" i="5"/>
  <c r="J193" i="6" s="1"/>
  <c r="A193" i="6"/>
  <c r="X193" i="5"/>
  <c r="O193" i="6" s="1"/>
  <c r="AC195" i="5"/>
  <c r="K195" i="6" s="1"/>
  <c r="AB195" i="5"/>
  <c r="J195" i="6" s="1"/>
  <c r="G195" i="5"/>
  <c r="AT195" i="5" s="1"/>
  <c r="AU195" i="5" s="1"/>
  <c r="AR197" i="5"/>
  <c r="AT197" i="5" s="1"/>
  <c r="AU197" i="5" s="1"/>
  <c r="AC197" i="5"/>
  <c r="K197" i="6" s="1"/>
  <c r="AB197" i="5"/>
  <c r="J197" i="6" s="1"/>
  <c r="X197" i="5"/>
  <c r="O197" i="6" s="1"/>
  <c r="AC199" i="5"/>
  <c r="K199" i="6" s="1"/>
  <c r="AB199" i="5"/>
  <c r="J199" i="6" s="1"/>
  <c r="C199" i="6"/>
  <c r="G199" i="5"/>
  <c r="AT199" i="5" s="1"/>
  <c r="AU199" i="5" s="1"/>
  <c r="B199" i="6"/>
  <c r="A199" i="6"/>
  <c r="C201" i="6"/>
  <c r="B201" i="6"/>
  <c r="AR201" i="5"/>
  <c r="AQ201" i="5"/>
  <c r="AC201" i="5"/>
  <c r="K201" i="6" s="1"/>
  <c r="AB201" i="5"/>
  <c r="J201" i="6" s="1"/>
  <c r="X201" i="5"/>
  <c r="O201" i="6" s="1"/>
  <c r="A153" i="6"/>
  <c r="C163" i="6"/>
  <c r="B174" i="6"/>
  <c r="A185" i="6"/>
  <c r="C195" i="6"/>
  <c r="X205" i="5"/>
  <c r="O205" i="6" s="1"/>
  <c r="C203" i="6"/>
  <c r="AB205" i="5"/>
  <c r="J205" i="6" s="1"/>
  <c r="AC205" i="5"/>
  <c r="K205" i="6" s="1"/>
  <c r="AQ205" i="5"/>
  <c r="G203" i="5"/>
  <c r="AT203" i="5" s="1"/>
  <c r="AU203" i="5" s="1"/>
  <c r="AR205" i="5"/>
  <c r="K46" i="16"/>
  <c r="AB203" i="5"/>
  <c r="J203" i="6" s="1"/>
  <c r="L43" i="16"/>
  <c r="K43" i="16"/>
  <c r="L47" i="16"/>
  <c r="K47" i="16"/>
  <c r="L5" i="16"/>
  <c r="S5" i="16" s="1"/>
  <c r="L51" i="16"/>
  <c r="K51" i="16"/>
  <c r="L4" i="16"/>
  <c r="S4" i="16" s="1"/>
  <c r="L49" i="16"/>
  <c r="K49" i="16"/>
  <c r="L44" i="16"/>
  <c r="K44" i="16"/>
  <c r="K48" i="16"/>
  <c r="K45" i="16"/>
  <c r="K54" i="16"/>
  <c r="K52" i="16"/>
  <c r="AT36" i="5"/>
  <c r="AU36" i="5" s="1"/>
  <c r="AT34" i="5"/>
  <c r="AU34" i="5" s="1"/>
  <c r="AT153" i="5"/>
  <c r="AU153" i="5" s="1"/>
  <c r="C28" i="14"/>
  <c r="E2" i="16"/>
  <c r="D2" i="16"/>
  <c r="AT26" i="5"/>
  <c r="AU26" i="5" s="1"/>
  <c r="AT94" i="5"/>
  <c r="AU94" i="5" s="1"/>
  <c r="C38" i="14"/>
  <c r="AG204" i="4" a="1"/>
  <c r="AG204" i="4" s="1"/>
  <c r="AF198" i="4" a="1"/>
  <c r="AF198" i="4" s="1"/>
  <c r="AG188" i="4" a="1"/>
  <c r="AG188" i="4" s="1"/>
  <c r="AF182" i="4" a="1"/>
  <c r="AF182" i="4" s="1"/>
  <c r="AG172" i="4" a="1"/>
  <c r="AG172" i="4" s="1"/>
  <c r="AF166" i="4" a="1"/>
  <c r="AF166" i="4" s="1"/>
  <c r="AG199" i="4" a="1"/>
  <c r="AG199" i="4" s="1"/>
  <c r="AF193" i="4" a="1"/>
  <c r="AF193" i="4" s="1"/>
  <c r="AG183" i="4" a="1"/>
  <c r="AG183" i="4" s="1"/>
  <c r="AF177" i="4" a="1"/>
  <c r="AF177" i="4" s="1"/>
  <c r="AG167" i="4" a="1"/>
  <c r="AG167" i="4" s="1"/>
  <c r="AF204" i="4" a="1"/>
  <c r="AF204" i="4" s="1"/>
  <c r="AG194" i="4" a="1"/>
  <c r="AG194" i="4" s="1"/>
  <c r="AF188" i="4" a="1"/>
  <c r="AF188" i="4" s="1"/>
  <c r="AG178" i="4" a="1"/>
  <c r="AG178" i="4" s="1"/>
  <c r="AF172" i="4" a="1"/>
  <c r="AF172" i="4" s="1"/>
  <c r="AG205" i="4" a="1"/>
  <c r="AG205" i="4" s="1"/>
  <c r="AF199" i="4" a="1"/>
  <c r="AF199" i="4" s="1"/>
  <c r="AG189" i="4" a="1"/>
  <c r="AG189" i="4" s="1"/>
  <c r="AF183" i="4" a="1"/>
  <c r="AF183" i="4" s="1"/>
  <c r="AG173" i="4" a="1"/>
  <c r="AG173" i="4" s="1"/>
  <c r="AF167" i="4" a="1"/>
  <c r="AF167" i="4" s="1"/>
  <c r="AG200" i="4" a="1"/>
  <c r="AG200" i="4" s="1"/>
  <c r="AF194" i="4" a="1"/>
  <c r="AF194" i="4" s="1"/>
  <c r="AG184" i="4" a="1"/>
  <c r="AG184" i="4" s="1"/>
  <c r="AF178" i="4" a="1"/>
  <c r="AF178" i="4" s="1"/>
  <c r="AG168" i="4" a="1"/>
  <c r="AG168" i="4" s="1"/>
  <c r="AG162" i="4" a="1"/>
  <c r="AG162" i="4" s="1"/>
  <c r="AG161" i="4" a="1"/>
  <c r="AG161" i="4" s="1"/>
  <c r="AG160" i="4" a="1"/>
  <c r="AG160" i="4" s="1"/>
  <c r="AG159" i="4" a="1"/>
  <c r="AG159" i="4" s="1"/>
  <c r="AG158" i="4" a="1"/>
  <c r="AG158" i="4" s="1"/>
  <c r="AG157" i="4" a="1"/>
  <c r="AG157" i="4" s="1"/>
  <c r="AG156" i="4" a="1"/>
  <c r="AG156" i="4" s="1"/>
  <c r="AG155" i="4" a="1"/>
  <c r="AG155" i="4" s="1"/>
  <c r="AG154" i="4" a="1"/>
  <c r="AG154" i="4" s="1"/>
  <c r="AG153" i="4" a="1"/>
  <c r="AG153" i="4" s="1"/>
  <c r="AG152" i="4" a="1"/>
  <c r="AG152" i="4" s="1"/>
  <c r="AG151" i="4" a="1"/>
  <c r="AG151" i="4" s="1"/>
  <c r="AG150" i="4" a="1"/>
  <c r="AG150" i="4" s="1"/>
  <c r="AG149" i="4" a="1"/>
  <c r="AG149" i="4" s="1"/>
  <c r="AG148" i="4" a="1"/>
  <c r="AG148" i="4" s="1"/>
  <c r="AG147" i="4" a="1"/>
  <c r="AG147" i="4" s="1"/>
  <c r="AG146" i="4" a="1"/>
  <c r="AG146" i="4" s="1"/>
  <c r="AG145" i="4" a="1"/>
  <c r="AG145" i="4" s="1"/>
  <c r="AG144" i="4" a="1"/>
  <c r="AG144" i="4" s="1"/>
  <c r="AG143" i="4" a="1"/>
  <c r="AG143" i="4" s="1"/>
  <c r="AG142" i="4" a="1"/>
  <c r="AG142" i="4" s="1"/>
  <c r="AG141" i="4" a="1"/>
  <c r="AG141" i="4" s="1"/>
  <c r="AG140" i="4" a="1"/>
  <c r="AG140" i="4" s="1"/>
  <c r="AG139" i="4" a="1"/>
  <c r="AG139" i="4" s="1"/>
  <c r="AG138" i="4" a="1"/>
  <c r="AG138" i="4" s="1"/>
  <c r="AG137" i="4" a="1"/>
  <c r="AG137" i="4" s="1"/>
  <c r="AG136" i="4" a="1"/>
  <c r="AG136" i="4" s="1"/>
  <c r="AG135" i="4" a="1"/>
  <c r="AG135" i="4" s="1"/>
  <c r="AG134" i="4" a="1"/>
  <c r="AG134" i="4" s="1"/>
  <c r="AG133" i="4" a="1"/>
  <c r="AG133" i="4" s="1"/>
  <c r="AG132" i="4" a="1"/>
  <c r="AG132" i="4" s="1"/>
  <c r="AG131" i="4" a="1"/>
  <c r="AG131" i="4" s="1"/>
  <c r="AG130" i="4" a="1"/>
  <c r="AG130" i="4" s="1"/>
  <c r="AG129" i="4" a="1"/>
  <c r="AG129" i="4" s="1"/>
  <c r="AG128" i="4" a="1"/>
  <c r="AG128" i="4" s="1"/>
  <c r="AG127" i="4" a="1"/>
  <c r="AG127" i="4" s="1"/>
  <c r="AG126" i="4" a="1"/>
  <c r="AG126" i="4" s="1"/>
  <c r="AG125" i="4" a="1"/>
  <c r="AG125" i="4" s="1"/>
  <c r="AG124" i="4" a="1"/>
  <c r="AG124" i="4" s="1"/>
  <c r="AG123" i="4" a="1"/>
  <c r="AG123" i="4" s="1"/>
  <c r="AG122" i="4" a="1"/>
  <c r="AG122" i="4" s="1"/>
  <c r="AG121" i="4" a="1"/>
  <c r="AG121" i="4" s="1"/>
  <c r="AG120" i="4" a="1"/>
  <c r="AG120" i="4" s="1"/>
  <c r="AG119" i="4" a="1"/>
  <c r="AG119" i="4" s="1"/>
  <c r="AG118" i="4" a="1"/>
  <c r="AG118" i="4" s="1"/>
  <c r="AG117" i="4" a="1"/>
  <c r="AG117" i="4" s="1"/>
  <c r="AG116" i="4" a="1"/>
  <c r="AG116" i="4" s="1"/>
  <c r="AG115" i="4" a="1"/>
  <c r="AG115" i="4" s="1"/>
  <c r="AG114" i="4" a="1"/>
  <c r="AG114" i="4" s="1"/>
  <c r="AG113" i="4" a="1"/>
  <c r="AG113" i="4" s="1"/>
  <c r="AG112" i="4" a="1"/>
  <c r="AG112" i="4" s="1"/>
  <c r="AG111" i="4" a="1"/>
  <c r="AG111" i="4" s="1"/>
  <c r="AG110" i="4" a="1"/>
  <c r="AG110" i="4" s="1"/>
  <c r="AG109" i="4" a="1"/>
  <c r="AG109" i="4" s="1"/>
  <c r="AG108" i="4" a="1"/>
  <c r="AG108" i="4" s="1"/>
  <c r="AG107" i="4" a="1"/>
  <c r="AG107" i="4" s="1"/>
  <c r="AG106" i="4" a="1"/>
  <c r="AG106" i="4" s="1"/>
  <c r="AG105" i="4" a="1"/>
  <c r="AG105" i="4" s="1"/>
  <c r="AG104" i="4" a="1"/>
  <c r="AG104" i="4" s="1"/>
  <c r="AG103" i="4" a="1"/>
  <c r="AG103" i="4" s="1"/>
  <c r="AG102" i="4" a="1"/>
  <c r="AG102" i="4" s="1"/>
  <c r="AG101" i="4" a="1"/>
  <c r="AG101" i="4" s="1"/>
  <c r="AG100" i="4" a="1"/>
  <c r="AG100" i="4" s="1"/>
  <c r="AG99" i="4" a="1"/>
  <c r="AG99" i="4" s="1"/>
  <c r="AG98" i="4" a="1"/>
  <c r="AG98" i="4" s="1"/>
  <c r="AF205" i="4" a="1"/>
  <c r="AF205" i="4" s="1"/>
  <c r="AG195" i="4" a="1"/>
  <c r="AG195" i="4" s="1"/>
  <c r="AF189" i="4" a="1"/>
  <c r="AF189" i="4" s="1"/>
  <c r="AG179" i="4" a="1"/>
  <c r="AG179" i="4" s="1"/>
  <c r="AF173" i="4" a="1"/>
  <c r="AF173" i="4" s="1"/>
  <c r="AG206" i="4" a="1"/>
  <c r="AG206" i="4" s="1"/>
  <c r="AF200" i="4" a="1"/>
  <c r="AF200" i="4" s="1"/>
  <c r="AG190" i="4" a="1"/>
  <c r="AG190" i="4" s="1"/>
  <c r="AF184" i="4" a="1"/>
  <c r="AF184" i="4" s="1"/>
  <c r="AG174" i="4" a="1"/>
  <c r="AG174" i="4" s="1"/>
  <c r="AF168" i="4" a="1"/>
  <c r="AF168" i="4" s="1"/>
  <c r="AG163" i="4" a="1"/>
  <c r="AG163" i="4" s="1"/>
  <c r="AF162" i="4" a="1"/>
  <c r="AF162" i="4" s="1"/>
  <c r="AG201" i="4" a="1"/>
  <c r="AG201" i="4" s="1"/>
  <c r="AF195" i="4" a="1"/>
  <c r="AF195" i="4" s="1"/>
  <c r="AG185" i="4" a="1"/>
  <c r="AG185" i="4" s="1"/>
  <c r="AF179" i="4" a="1"/>
  <c r="AF179" i="4" s="1"/>
  <c r="AG169" i="4" a="1"/>
  <c r="AG169" i="4" s="1"/>
  <c r="AF206" i="4" a="1"/>
  <c r="AF206" i="4" s="1"/>
  <c r="AG196" i="4" a="1"/>
  <c r="AG196" i="4" s="1"/>
  <c r="AF190" i="4" a="1"/>
  <c r="AF190" i="4" s="1"/>
  <c r="AG180" i="4" a="1"/>
  <c r="AG180" i="4" s="1"/>
  <c r="AF174" i="4" a="1"/>
  <c r="AF174" i="4" s="1"/>
  <c r="AG164" i="4" a="1"/>
  <c r="AG164" i="4" s="1"/>
  <c r="AF163" i="4" a="1"/>
  <c r="AF163" i="4" s="1"/>
  <c r="AF201" i="4" a="1"/>
  <c r="AF201" i="4" s="1"/>
  <c r="AG191" i="4" a="1"/>
  <c r="AG191" i="4" s="1"/>
  <c r="AF185" i="4" a="1"/>
  <c r="AF185" i="4" s="1"/>
  <c r="AG175" i="4" a="1"/>
  <c r="AG175" i="4" s="1"/>
  <c r="AF169" i="4" a="1"/>
  <c r="AF169" i="4" s="1"/>
  <c r="AG202" i="4" a="1"/>
  <c r="AG202" i="4" s="1"/>
  <c r="AF196" i="4" a="1"/>
  <c r="AF196" i="4" s="1"/>
  <c r="AG186" i="4" a="1"/>
  <c r="AG186" i="4" s="1"/>
  <c r="AF180" i="4" a="1"/>
  <c r="AF180" i="4" s="1"/>
  <c r="AG170" i="4" a="1"/>
  <c r="AG170" i="4" s="1"/>
  <c r="AF164" i="4" a="1"/>
  <c r="AF164" i="4" s="1"/>
  <c r="AG197" i="4" a="1"/>
  <c r="AG197" i="4" s="1"/>
  <c r="AF191" i="4" a="1"/>
  <c r="AF191" i="4" s="1"/>
  <c r="AG181" i="4" a="1"/>
  <c r="AG181" i="4" s="1"/>
  <c r="AF175" i="4" a="1"/>
  <c r="AF175" i="4" s="1"/>
  <c r="AG165" i="4" a="1"/>
  <c r="AG165" i="4" s="1"/>
  <c r="AF202" i="4" a="1"/>
  <c r="AF202" i="4" s="1"/>
  <c r="AG192" i="4" a="1"/>
  <c r="AG192" i="4" s="1"/>
  <c r="AF186" i="4" a="1"/>
  <c r="AF186" i="4" s="1"/>
  <c r="AG176" i="4" a="1"/>
  <c r="AG176" i="4" s="1"/>
  <c r="AF170" i="4" a="1"/>
  <c r="AF170" i="4" s="1"/>
  <c r="AG203" i="4" a="1"/>
  <c r="AG203" i="4" s="1"/>
  <c r="AF197" i="4" a="1"/>
  <c r="AF197" i="4" s="1"/>
  <c r="AG187" i="4" a="1"/>
  <c r="AG187" i="4" s="1"/>
  <c r="AF181" i="4" a="1"/>
  <c r="AF181" i="4" s="1"/>
  <c r="AG171" i="4" a="1"/>
  <c r="AG171" i="4" s="1"/>
  <c r="AF165" i="4" a="1"/>
  <c r="AF165" i="4" s="1"/>
  <c r="AG198" i="4" a="1"/>
  <c r="AG198" i="4" s="1"/>
  <c r="AF192" i="4" a="1"/>
  <c r="AF192" i="4" s="1"/>
  <c r="AG182" i="4" a="1"/>
  <c r="AG182" i="4" s="1"/>
  <c r="AF176" i="4" a="1"/>
  <c r="AF176" i="4" s="1"/>
  <c r="AG166" i="4" a="1"/>
  <c r="AG166" i="4" s="1"/>
  <c r="AF203" i="4" a="1"/>
  <c r="AF203" i="4" s="1"/>
  <c r="AG193" i="4" a="1"/>
  <c r="AG193" i="4" s="1"/>
  <c r="AF187" i="4" a="1"/>
  <c r="AF187" i="4" s="1"/>
  <c r="AG177" i="4" a="1"/>
  <c r="AG177" i="4" s="1"/>
  <c r="AF171" i="4" a="1"/>
  <c r="AF171" i="4" s="1"/>
  <c r="AF155" i="4" a="1"/>
  <c r="AF155" i="4" s="1"/>
  <c r="AF142" i="4" a="1"/>
  <c r="AF142" i="4" s="1"/>
  <c r="AF129" i="4" a="1"/>
  <c r="AF129" i="4" s="1"/>
  <c r="AH129" i="4" s="1"/>
  <c r="AI129" i="4" s="1"/>
  <c r="AF113" i="4" a="1"/>
  <c r="AF113" i="4" s="1"/>
  <c r="AG97" i="4" a="1"/>
  <c r="AG97" i="4" s="1"/>
  <c r="AF152" i="4" a="1"/>
  <c r="AF152" i="4" s="1"/>
  <c r="AF139" i="4" a="1"/>
  <c r="AF139" i="4" s="1"/>
  <c r="AF126" i="4" a="1"/>
  <c r="AF126" i="4" s="1"/>
  <c r="AF110" i="4" a="1"/>
  <c r="AF110" i="4" s="1"/>
  <c r="AF149" i="4" a="1"/>
  <c r="AF149" i="4" s="1"/>
  <c r="AF136" i="4" a="1"/>
  <c r="AF136" i="4" s="1"/>
  <c r="AF123" i="4" a="1"/>
  <c r="AF123" i="4" s="1"/>
  <c r="AF107" i="4" a="1"/>
  <c r="AF107" i="4" s="1"/>
  <c r="AF159" i="4" a="1"/>
  <c r="AF159" i="4" s="1"/>
  <c r="AH159" i="4" s="1"/>
  <c r="AI159" i="4" s="1"/>
  <c r="AF146" i="4" a="1"/>
  <c r="AF146" i="4" s="1"/>
  <c r="AF133" i="4" a="1"/>
  <c r="AF133" i="4" s="1"/>
  <c r="AF120" i="4" a="1"/>
  <c r="AF120" i="4" s="1"/>
  <c r="AF104" i="4" a="1"/>
  <c r="AF104" i="4" s="1"/>
  <c r="AF143" i="4" a="1"/>
  <c r="AF143" i="4" s="1"/>
  <c r="AH143" i="4" s="1"/>
  <c r="AI143" i="4" s="1"/>
  <c r="AF117" i="4" a="1"/>
  <c r="AF117" i="4" s="1"/>
  <c r="AF101" i="4" a="1"/>
  <c r="AF101" i="4" s="1"/>
  <c r="AF156" i="4" a="1"/>
  <c r="AF156" i="4" s="1"/>
  <c r="AF130" i="4" a="1"/>
  <c r="AF130" i="4" s="1"/>
  <c r="AF114" i="4" a="1"/>
  <c r="AF114" i="4" s="1"/>
  <c r="AF98" i="4" a="1"/>
  <c r="AF98" i="4" s="1"/>
  <c r="AF153" i="4" a="1"/>
  <c r="AF153" i="4" s="1"/>
  <c r="AF140" i="4" a="1"/>
  <c r="AF140" i="4" s="1"/>
  <c r="AF127" i="4" a="1"/>
  <c r="AF127" i="4" s="1"/>
  <c r="AH127" i="4" s="1"/>
  <c r="AI127" i="4" s="1"/>
  <c r="AF111" i="4" a="1"/>
  <c r="AF111" i="4" s="1"/>
  <c r="AF160" i="4" a="1"/>
  <c r="AF160" i="4" s="1"/>
  <c r="AH160" i="4" s="1"/>
  <c r="AI160" i="4" s="1"/>
  <c r="AF150" i="4" a="1"/>
  <c r="AF150" i="4" s="1"/>
  <c r="AF137" i="4" a="1"/>
  <c r="AF137" i="4" s="1"/>
  <c r="AF124" i="4" a="1"/>
  <c r="AF124" i="4" s="1"/>
  <c r="AF108" i="4" a="1"/>
  <c r="AF108" i="4" s="1"/>
  <c r="AF147" i="4" a="1"/>
  <c r="AF147" i="4" s="1"/>
  <c r="AF134" i="4" a="1"/>
  <c r="AF134" i="4" s="1"/>
  <c r="AF121" i="4" a="1"/>
  <c r="AF121" i="4" s="1"/>
  <c r="AF105" i="4" a="1"/>
  <c r="AF105" i="4" s="1"/>
  <c r="AF144" i="4" a="1"/>
  <c r="AF144" i="4" s="1"/>
  <c r="AF131" i="4" a="1"/>
  <c r="AF131" i="4" s="1"/>
  <c r="AF118" i="4" a="1"/>
  <c r="AF118" i="4" s="1"/>
  <c r="AF102" i="4" a="1"/>
  <c r="AF102" i="4" s="1"/>
  <c r="AF157" i="4" a="1"/>
  <c r="AF157" i="4" s="1"/>
  <c r="AF115" i="4" a="1"/>
  <c r="AF115" i="4" s="1"/>
  <c r="AF99" i="4" a="1"/>
  <c r="AF99" i="4" s="1"/>
  <c r="AF161" i="4" a="1"/>
  <c r="AF161" i="4" s="1"/>
  <c r="AF154" i="4" a="1"/>
  <c r="AF154" i="4" s="1"/>
  <c r="AF141" i="4" a="1"/>
  <c r="AF141" i="4" s="1"/>
  <c r="AF128" i="4" a="1"/>
  <c r="AF128" i="4" s="1"/>
  <c r="AF112" i="4" a="1"/>
  <c r="AF112" i="4" s="1"/>
  <c r="AF151" i="4" a="1"/>
  <c r="AF151" i="4" s="1"/>
  <c r="AF138" i="4" a="1"/>
  <c r="AF138" i="4" s="1"/>
  <c r="AF125" i="4" a="1"/>
  <c r="AF125" i="4" s="1"/>
  <c r="AF109" i="4" a="1"/>
  <c r="AF109" i="4" s="1"/>
  <c r="AF148" i="4" a="1"/>
  <c r="AF148" i="4" s="1"/>
  <c r="AF135" i="4" a="1"/>
  <c r="AF135" i="4" s="1"/>
  <c r="AF122" i="4" a="1"/>
  <c r="AF122" i="4" s="1"/>
  <c r="AF106" i="4" a="1"/>
  <c r="AF106" i="4" s="1"/>
  <c r="AH106" i="4" s="1"/>
  <c r="AI106" i="4" s="1"/>
  <c r="AF145" i="4" a="1"/>
  <c r="AF145" i="4" s="1"/>
  <c r="AF132" i="4" a="1"/>
  <c r="AF132" i="4" s="1"/>
  <c r="AF119" i="4" a="1"/>
  <c r="AF119" i="4" s="1"/>
  <c r="AH119" i="4" s="1"/>
  <c r="AI119" i="4" s="1"/>
  <c r="AF103" i="4" a="1"/>
  <c r="AF103" i="4" s="1"/>
  <c r="AF158" i="4" a="1"/>
  <c r="AF158" i="4" s="1"/>
  <c r="AF116" i="4" a="1"/>
  <c r="AF116" i="4" s="1"/>
  <c r="AH116" i="4" s="1"/>
  <c r="AI116" i="4" s="1"/>
  <c r="AF100" i="4" a="1"/>
  <c r="AF100" i="4" s="1"/>
  <c r="AG93" i="4" a="1"/>
  <c r="AG93" i="4" s="1"/>
  <c r="AG89" i="4" a="1"/>
  <c r="AG89" i="4" s="1"/>
  <c r="AG85" i="4" a="1"/>
  <c r="AG85" i="4" s="1"/>
  <c r="AG81" i="4" a="1"/>
  <c r="AG81" i="4" s="1"/>
  <c r="AG77" i="4" a="1"/>
  <c r="AG77" i="4" s="1"/>
  <c r="AG73" i="4" a="1"/>
  <c r="AG73" i="4" s="1"/>
  <c r="AG69" i="4" a="1"/>
  <c r="AG69" i="4" s="1"/>
  <c r="AG65" i="4" a="1"/>
  <c r="AG65" i="4" s="1"/>
  <c r="AG61" i="4" a="1"/>
  <c r="AG61" i="4" s="1"/>
  <c r="AG57" i="4" a="1"/>
  <c r="AG57" i="4" s="1"/>
  <c r="AG53" i="4" a="1"/>
  <c r="AG53" i="4" s="1"/>
  <c r="AG49" i="4" a="1"/>
  <c r="AG49" i="4" s="1"/>
  <c r="AG45" i="4" a="1"/>
  <c r="AG45" i="4" s="1"/>
  <c r="AG41" i="4" a="1"/>
  <c r="AG41" i="4" s="1"/>
  <c r="AG37" i="4" a="1"/>
  <c r="AG37" i="4" s="1"/>
  <c r="AG33" i="4" a="1"/>
  <c r="AG33" i="4" s="1"/>
  <c r="AG29" i="4" a="1"/>
  <c r="AG29" i="4" s="1"/>
  <c r="AF24" i="4" a="1"/>
  <c r="AF24" i="4" s="1"/>
  <c r="AF73" i="4" a="1"/>
  <c r="AF73" i="4" s="1"/>
  <c r="AF53" i="4" a="1"/>
  <c r="AF53" i="4" s="1"/>
  <c r="AF45" i="4" a="1"/>
  <c r="AF45" i="4" s="1"/>
  <c r="AF41" i="4" a="1"/>
  <c r="AF41" i="4" s="1"/>
  <c r="AF13" i="4" a="1"/>
  <c r="AF13" i="4" s="1"/>
  <c r="AF97" i="4" a="1"/>
  <c r="AF97" i="4" s="1"/>
  <c r="AH97" i="4" s="1"/>
  <c r="AI97" i="4" s="1"/>
  <c r="AF93" i="4" a="1"/>
  <c r="AF93" i="4" s="1"/>
  <c r="AF89" i="4" a="1"/>
  <c r="AF89" i="4" s="1"/>
  <c r="AF85" i="4" a="1"/>
  <c r="AF85" i="4" s="1"/>
  <c r="AH85" i="4" s="1"/>
  <c r="AI85" i="4" s="1"/>
  <c r="AF81" i="4" a="1"/>
  <c r="AF81" i="4" s="1"/>
  <c r="AF77" i="4" a="1"/>
  <c r="AF77" i="4" s="1"/>
  <c r="AF69" i="4" a="1"/>
  <c r="AF69" i="4" s="1"/>
  <c r="AF57" i="4" a="1"/>
  <c r="AF57" i="4" s="1"/>
  <c r="AF37" i="4" a="1"/>
  <c r="AF37" i="4" s="1"/>
  <c r="AF29" i="4" a="1"/>
  <c r="AF29" i="4" s="1"/>
  <c r="AH29" i="4" s="1"/>
  <c r="AI29" i="4" s="1"/>
  <c r="AF7" i="4" a="1"/>
  <c r="AF7" i="4" s="1"/>
  <c r="AG25" i="4" a="1"/>
  <c r="AG25" i="4" s="1"/>
  <c r="AF54" i="4" a="1"/>
  <c r="AF54" i="4" s="1"/>
  <c r="AF30" i="4" a="1"/>
  <c r="AF30" i="4" s="1"/>
  <c r="AF16" i="4" a="1"/>
  <c r="AF16" i="4" s="1"/>
  <c r="AF9" i="4" a="1"/>
  <c r="AF9" i="4" s="1"/>
  <c r="AF3" i="4" a="1"/>
  <c r="AF3" i="4" s="1"/>
  <c r="AF25" i="4" a="1"/>
  <c r="AF25" i="4" s="1"/>
  <c r="AG20" i="4" a="1"/>
  <c r="AG20" i="4" s="1"/>
  <c r="AG19" i="4" a="1"/>
  <c r="AG19" i="4" s="1"/>
  <c r="AG18" i="4" a="1"/>
  <c r="AG18" i="4" s="1"/>
  <c r="AG17" i="4" a="1"/>
  <c r="AG17" i="4" s="1"/>
  <c r="AG16" i="4" a="1"/>
  <c r="AG16" i="4" s="1"/>
  <c r="AG15" i="4" a="1"/>
  <c r="AG15" i="4" s="1"/>
  <c r="AG14" i="4" a="1"/>
  <c r="AG14" i="4" s="1"/>
  <c r="AG13" i="4" a="1"/>
  <c r="AG13" i="4" s="1"/>
  <c r="AG12" i="4" a="1"/>
  <c r="AG12" i="4" s="1"/>
  <c r="AG11" i="4" a="1"/>
  <c r="AG11" i="4" s="1"/>
  <c r="AG10" i="4" a="1"/>
  <c r="AG10" i="4" s="1"/>
  <c r="AG9" i="4" a="1"/>
  <c r="AG9" i="4" s="1"/>
  <c r="AG8" i="4" a="1"/>
  <c r="AG8" i="4" s="1"/>
  <c r="AG7" i="4" a="1"/>
  <c r="AG7" i="4" s="1"/>
  <c r="AG6" i="4" a="1"/>
  <c r="AG6" i="4" s="1"/>
  <c r="AG5" i="4" a="1"/>
  <c r="AG5" i="4" s="1"/>
  <c r="AG4" i="4" a="1"/>
  <c r="AG4" i="4" s="1"/>
  <c r="AG3" i="4" a="1"/>
  <c r="AG3" i="4" s="1"/>
  <c r="AF62" i="4" a="1"/>
  <c r="AF62" i="4" s="1"/>
  <c r="AF50" i="4" a="1"/>
  <c r="AF50" i="4" s="1"/>
  <c r="AF38" i="4" a="1"/>
  <c r="AF38" i="4" s="1"/>
  <c r="AF17" i="4" a="1"/>
  <c r="AF17" i="4" s="1"/>
  <c r="AF8" i="4" a="1"/>
  <c r="AF8" i="4" s="1"/>
  <c r="AF6" i="4" a="1"/>
  <c r="AF6" i="4" s="1"/>
  <c r="AG94" i="4" a="1"/>
  <c r="AG94" i="4" s="1"/>
  <c r="AG90" i="4" a="1"/>
  <c r="AG90" i="4" s="1"/>
  <c r="AG86" i="4" a="1"/>
  <c r="AG86" i="4" s="1"/>
  <c r="AG82" i="4" a="1"/>
  <c r="AG82" i="4" s="1"/>
  <c r="AG78" i="4" a="1"/>
  <c r="AG78" i="4" s="1"/>
  <c r="AG74" i="4" a="1"/>
  <c r="AG74" i="4" s="1"/>
  <c r="AG70" i="4" a="1"/>
  <c r="AG70" i="4" s="1"/>
  <c r="AG66" i="4" a="1"/>
  <c r="AG66" i="4" s="1"/>
  <c r="AG62" i="4" a="1"/>
  <c r="AG62" i="4" s="1"/>
  <c r="AG58" i="4" a="1"/>
  <c r="AG58" i="4" s="1"/>
  <c r="AG54" i="4" a="1"/>
  <c r="AG54" i="4" s="1"/>
  <c r="AG50" i="4" a="1"/>
  <c r="AG50" i="4" s="1"/>
  <c r="AG46" i="4" a="1"/>
  <c r="AG46" i="4" s="1"/>
  <c r="AG42" i="4" a="1"/>
  <c r="AG42" i="4" s="1"/>
  <c r="AG38" i="4" a="1"/>
  <c r="AG38" i="4" s="1"/>
  <c r="AG34" i="4" a="1"/>
  <c r="AG34" i="4" s="1"/>
  <c r="AG30" i="4" a="1"/>
  <c r="AG30" i="4" s="1"/>
  <c r="AF70" i="4" a="1"/>
  <c r="AF70" i="4" s="1"/>
  <c r="AF42" i="4" a="1"/>
  <c r="AF42" i="4" s="1"/>
  <c r="AF34" i="4" a="1"/>
  <c r="AF34" i="4" s="1"/>
  <c r="AG26" i="4" a="1"/>
  <c r="AG26" i="4" s="1"/>
  <c r="AF20" i="4" a="1"/>
  <c r="AF20" i="4" s="1"/>
  <c r="AF18" i="4" a="1"/>
  <c r="AF18" i="4" s="1"/>
  <c r="AF12" i="4" a="1"/>
  <c r="AF12" i="4" s="1"/>
  <c r="AF4" i="4" a="1"/>
  <c r="AF4" i="4" s="1"/>
  <c r="AH4" i="4" s="1"/>
  <c r="AI4" i="4" s="1"/>
  <c r="AF94" i="4" a="1"/>
  <c r="AF94" i="4" s="1"/>
  <c r="AF90" i="4" a="1"/>
  <c r="AF90" i="4" s="1"/>
  <c r="AF86" i="4" a="1"/>
  <c r="AF86" i="4" s="1"/>
  <c r="AF82" i="4" a="1"/>
  <c r="AF82" i="4" s="1"/>
  <c r="AF78" i="4" a="1"/>
  <c r="AF78" i="4" s="1"/>
  <c r="AF74" i="4" a="1"/>
  <c r="AF74" i="4" s="1"/>
  <c r="AF66" i="4" a="1"/>
  <c r="AF66" i="4" s="1"/>
  <c r="AF58" i="4" a="1"/>
  <c r="AF58" i="4" s="1"/>
  <c r="AF46" i="4" a="1"/>
  <c r="AF46" i="4" s="1"/>
  <c r="AF19" i="4" a="1"/>
  <c r="AF19" i="4" s="1"/>
  <c r="AF15" i="4" a="1"/>
  <c r="AF15" i="4" s="1"/>
  <c r="AF10" i="4" a="1"/>
  <c r="AF10" i="4" s="1"/>
  <c r="AF26" i="4" a="1"/>
  <c r="AF26" i="4" s="1"/>
  <c r="AG21" i="4" a="1"/>
  <c r="AG21" i="4" s="1"/>
  <c r="AF63" i="4" a="1"/>
  <c r="AF63" i="4" s="1"/>
  <c r="AF31" i="4" a="1"/>
  <c r="AF31" i="4" s="1"/>
  <c r="AF40" i="4" a="1"/>
  <c r="AF40" i="4" s="1"/>
  <c r="AF28" i="4" a="1"/>
  <c r="AF28" i="4" s="1"/>
  <c r="AF21" i="4" a="1"/>
  <c r="AF21" i="4" s="1"/>
  <c r="AF71" i="4" a="1"/>
  <c r="AF71" i="4" s="1"/>
  <c r="AF27" i="4" a="1"/>
  <c r="AF27" i="4" s="1"/>
  <c r="AG95" i="4" a="1"/>
  <c r="AG95" i="4" s="1"/>
  <c r="AG91" i="4" a="1"/>
  <c r="AG91" i="4" s="1"/>
  <c r="AG87" i="4" a="1"/>
  <c r="AG87" i="4" s="1"/>
  <c r="AG83" i="4" a="1"/>
  <c r="AG83" i="4" s="1"/>
  <c r="AG79" i="4" a="1"/>
  <c r="AG79" i="4" s="1"/>
  <c r="AG75" i="4" a="1"/>
  <c r="AG75" i="4" s="1"/>
  <c r="AG71" i="4" a="1"/>
  <c r="AG71" i="4" s="1"/>
  <c r="AG67" i="4" a="1"/>
  <c r="AG67" i="4" s="1"/>
  <c r="AG63" i="4" a="1"/>
  <c r="AG63" i="4" s="1"/>
  <c r="AG59" i="4" a="1"/>
  <c r="AG59" i="4" s="1"/>
  <c r="AG55" i="4" a="1"/>
  <c r="AG55" i="4" s="1"/>
  <c r="AG51" i="4" a="1"/>
  <c r="AG51" i="4" s="1"/>
  <c r="AG47" i="4" a="1"/>
  <c r="AG47" i="4" s="1"/>
  <c r="AG43" i="4" a="1"/>
  <c r="AG43" i="4" s="1"/>
  <c r="AG39" i="4" a="1"/>
  <c r="AG39" i="4" s="1"/>
  <c r="AG35" i="4" a="1"/>
  <c r="AG35" i="4" s="1"/>
  <c r="AG31" i="4" a="1"/>
  <c r="AG31" i="4" s="1"/>
  <c r="AG27" i="4" a="1"/>
  <c r="AG27" i="4" s="1"/>
  <c r="AF59" i="4" a="1"/>
  <c r="AF59" i="4" s="1"/>
  <c r="AF51" i="4" a="1"/>
  <c r="AF51" i="4" s="1"/>
  <c r="AF43" i="4" a="1"/>
  <c r="AF43" i="4" s="1"/>
  <c r="AF35" i="4" a="1"/>
  <c r="AF35" i="4" s="1"/>
  <c r="AF32" i="4" a="1"/>
  <c r="AF32" i="4" s="1"/>
  <c r="AF95" i="4" a="1"/>
  <c r="AF95" i="4" s="1"/>
  <c r="AF91" i="4" a="1"/>
  <c r="AF91" i="4" s="1"/>
  <c r="AF87" i="4" a="1"/>
  <c r="AF87" i="4" s="1"/>
  <c r="AF83" i="4" a="1"/>
  <c r="AF83" i="4" s="1"/>
  <c r="AF79" i="4" a="1"/>
  <c r="AF79" i="4" s="1"/>
  <c r="AH79" i="4" s="1"/>
  <c r="AI79" i="4" s="1"/>
  <c r="AF75" i="4" a="1"/>
  <c r="AF75" i="4" s="1"/>
  <c r="AF67" i="4" a="1"/>
  <c r="AF67" i="4" s="1"/>
  <c r="AF55" i="4" a="1"/>
  <c r="AF55" i="4" s="1"/>
  <c r="AF47" i="4" a="1"/>
  <c r="AF47" i="4" s="1"/>
  <c r="AF39" i="4" a="1"/>
  <c r="AF39" i="4" s="1"/>
  <c r="AG22" i="4" a="1"/>
  <c r="AG22" i="4" s="1"/>
  <c r="AF48" i="4" a="1"/>
  <c r="AF48" i="4" s="1"/>
  <c r="AF22" i="4" a="1"/>
  <c r="AF22" i="4" s="1"/>
  <c r="AF52" i="4" a="1"/>
  <c r="AF52" i="4" s="1"/>
  <c r="AF44" i="4" a="1"/>
  <c r="AF44" i="4" s="1"/>
  <c r="AF36" i="4" a="1"/>
  <c r="AF36" i="4" s="1"/>
  <c r="AF23" i="4" a="1"/>
  <c r="AF23" i="4" s="1"/>
  <c r="AG28" i="4" a="1"/>
  <c r="AG28" i="4" s="1"/>
  <c r="AG23" i="4" a="1"/>
  <c r="AG23" i="4" s="1"/>
  <c r="AF56" i="4" a="1"/>
  <c r="AF56" i="4" s="1"/>
  <c r="AG96" i="4" a="1"/>
  <c r="AG96" i="4" s="1"/>
  <c r="AG92" i="4" a="1"/>
  <c r="AG92" i="4" s="1"/>
  <c r="AG88" i="4" a="1"/>
  <c r="AG88" i="4" s="1"/>
  <c r="AG84" i="4" a="1"/>
  <c r="AG84" i="4" s="1"/>
  <c r="AG80" i="4" a="1"/>
  <c r="AG80" i="4" s="1"/>
  <c r="AG76" i="4" a="1"/>
  <c r="AG76" i="4" s="1"/>
  <c r="AG72" i="4" a="1"/>
  <c r="AG72" i="4" s="1"/>
  <c r="AG68" i="4" a="1"/>
  <c r="AG68" i="4" s="1"/>
  <c r="AG64" i="4" a="1"/>
  <c r="AG64" i="4" s="1"/>
  <c r="AG60" i="4" a="1"/>
  <c r="AG60" i="4" s="1"/>
  <c r="AG56" i="4" a="1"/>
  <c r="AG56" i="4" s="1"/>
  <c r="AG52" i="4" a="1"/>
  <c r="AG52" i="4" s="1"/>
  <c r="AG48" i="4" a="1"/>
  <c r="AG48" i="4" s="1"/>
  <c r="AG44" i="4" a="1"/>
  <c r="AG44" i="4" s="1"/>
  <c r="AG40" i="4" a="1"/>
  <c r="AG40" i="4" s="1"/>
  <c r="AG36" i="4" a="1"/>
  <c r="AG36" i="4" s="1"/>
  <c r="AG32" i="4" a="1"/>
  <c r="AG32" i="4" s="1"/>
  <c r="AF96" i="4" a="1"/>
  <c r="AF96" i="4" s="1"/>
  <c r="AF92" i="4" a="1"/>
  <c r="AF92" i="4" s="1"/>
  <c r="AF88" i="4" a="1"/>
  <c r="AF88" i="4" s="1"/>
  <c r="AF84" i="4" a="1"/>
  <c r="AF84" i="4" s="1"/>
  <c r="AF80" i="4" a="1"/>
  <c r="AF80" i="4" s="1"/>
  <c r="AF76" i="4" a="1"/>
  <c r="AF76" i="4" s="1"/>
  <c r="AF72" i="4" a="1"/>
  <c r="AF72" i="4" s="1"/>
  <c r="AF68" i="4" a="1"/>
  <c r="AF68" i="4" s="1"/>
  <c r="AF64" i="4" a="1"/>
  <c r="AF64" i="4" s="1"/>
  <c r="AF60" i="4" a="1"/>
  <c r="AF60" i="4" s="1"/>
  <c r="AH60" i="4" s="1"/>
  <c r="AI60" i="4" s="1"/>
  <c r="AF61" i="4" a="1"/>
  <c r="AF61" i="4" s="1"/>
  <c r="AF33" i="4" a="1"/>
  <c r="AF33" i="4" s="1"/>
  <c r="AF11" i="4" a="1"/>
  <c r="AF11" i="4" s="1"/>
  <c r="AG24" i="4" a="1"/>
  <c r="AG24" i="4" s="1"/>
  <c r="AF65" i="4" a="1"/>
  <c r="AF65" i="4" s="1"/>
  <c r="AF49" i="4" a="1"/>
  <c r="AF49" i="4" s="1"/>
  <c r="AF14" i="4" a="1"/>
  <c r="AF14" i="4" s="1"/>
  <c r="AF5" i="4" a="1"/>
  <c r="AF5" i="4" s="1"/>
  <c r="AJ206" i="5" a="1"/>
  <c r="AJ206" i="5" s="1"/>
  <c r="AI200" i="5" a="1"/>
  <c r="AI200" i="5" s="1"/>
  <c r="AJ190" i="5" a="1"/>
  <c r="AJ190" i="5" s="1"/>
  <c r="AI184" i="5" a="1"/>
  <c r="AI184" i="5" s="1"/>
  <c r="AJ174" i="5" a="1"/>
  <c r="AJ174" i="5" s="1"/>
  <c r="AI168" i="5" a="1"/>
  <c r="AI168" i="5" s="1"/>
  <c r="AJ158" i="5" a="1"/>
  <c r="AJ158" i="5" s="1"/>
  <c r="AI152" i="5" a="1"/>
  <c r="AI152" i="5" s="1"/>
  <c r="AI203" i="5" a="1"/>
  <c r="AI203" i="5" s="1"/>
  <c r="AJ205" i="5" a="1"/>
  <c r="AJ205" i="5" s="1"/>
  <c r="AI199" i="5" a="1"/>
  <c r="AI199" i="5" s="1"/>
  <c r="AJ189" i="5" a="1"/>
  <c r="AJ189" i="5" s="1"/>
  <c r="AI183" i="5" a="1"/>
  <c r="AI183" i="5" s="1"/>
  <c r="AJ173" i="5" a="1"/>
  <c r="AJ173" i="5" s="1"/>
  <c r="AI167" i="5" a="1"/>
  <c r="AI167" i="5" s="1"/>
  <c r="AJ157" i="5" a="1"/>
  <c r="AJ157" i="5" s="1"/>
  <c r="AI151" i="5" a="1"/>
  <c r="AI151" i="5" s="1"/>
  <c r="AI202" i="5" a="1"/>
  <c r="AI202" i="5" s="1"/>
  <c r="AJ192" i="5" a="1"/>
  <c r="AJ192" i="5" s="1"/>
  <c r="AI186" i="5" a="1"/>
  <c r="AI186" i="5" s="1"/>
  <c r="AJ176" i="5" a="1"/>
  <c r="AJ176" i="5" s="1"/>
  <c r="AI170" i="5" a="1"/>
  <c r="AI170" i="5" s="1"/>
  <c r="AJ160" i="5" a="1"/>
  <c r="AJ160" i="5" s="1"/>
  <c r="AI154" i="5" a="1"/>
  <c r="AI154" i="5" s="1"/>
  <c r="AI205" i="5" a="1"/>
  <c r="AI205" i="5" s="1"/>
  <c r="AJ195" i="5" a="1"/>
  <c r="AJ195" i="5" s="1"/>
  <c r="AI189" i="5" a="1"/>
  <c r="AI189" i="5" s="1"/>
  <c r="AJ179" i="5" a="1"/>
  <c r="AJ179" i="5" s="1"/>
  <c r="AJ198" i="5" a="1"/>
  <c r="AJ198" i="5" s="1"/>
  <c r="AI192" i="5" a="1"/>
  <c r="AI192" i="5" s="1"/>
  <c r="AJ182" i="5" a="1"/>
  <c r="AJ182" i="5" s="1"/>
  <c r="AI176" i="5" a="1"/>
  <c r="AI176" i="5" s="1"/>
  <c r="AJ166" i="5" a="1"/>
  <c r="AJ166" i="5" s="1"/>
  <c r="AI160" i="5" a="1"/>
  <c r="AI160" i="5" s="1"/>
  <c r="AJ150" i="5" a="1"/>
  <c r="AJ150" i="5" s="1"/>
  <c r="AI144" i="5" a="1"/>
  <c r="AI144" i="5" s="1"/>
  <c r="AJ201" i="5" a="1"/>
  <c r="AJ201" i="5" s="1"/>
  <c r="AI195" i="5" a="1"/>
  <c r="AI195" i="5" s="1"/>
  <c r="AJ185" i="5" a="1"/>
  <c r="AJ185" i="5" s="1"/>
  <c r="AI179" i="5" a="1"/>
  <c r="AI179" i="5" s="1"/>
  <c r="AJ169" i="5" a="1"/>
  <c r="AJ169" i="5" s="1"/>
  <c r="AI163" i="5" a="1"/>
  <c r="AI163" i="5" s="1"/>
  <c r="AJ153" i="5" a="1"/>
  <c r="AJ153" i="5" s="1"/>
  <c r="AI147" i="5" a="1"/>
  <c r="AI147" i="5" s="1"/>
  <c r="AI204" i="5" a="1"/>
  <c r="AI204" i="5" s="1"/>
  <c r="AJ194" i="5" a="1"/>
  <c r="AJ194" i="5" s="1"/>
  <c r="AI188" i="5" a="1"/>
  <c r="AI188" i="5" s="1"/>
  <c r="AJ178" i="5" a="1"/>
  <c r="AJ178" i="5" s="1"/>
  <c r="AI172" i="5" a="1"/>
  <c r="AI172" i="5" s="1"/>
  <c r="AJ162" i="5" a="1"/>
  <c r="AJ162" i="5" s="1"/>
  <c r="AI156" i="5" a="1"/>
  <c r="AI156" i="5" s="1"/>
  <c r="AJ197" i="5" a="1"/>
  <c r="AJ197" i="5" s="1"/>
  <c r="AI191" i="5" a="1"/>
  <c r="AI191" i="5" s="1"/>
  <c r="AJ181" i="5" a="1"/>
  <c r="AJ181" i="5" s="1"/>
  <c r="AI175" i="5" a="1"/>
  <c r="AI175" i="5" s="1"/>
  <c r="AJ165" i="5" a="1"/>
  <c r="AJ165" i="5" s="1"/>
  <c r="AI159" i="5" a="1"/>
  <c r="AI159" i="5" s="1"/>
  <c r="AJ200" i="5" a="1"/>
  <c r="AJ200" i="5" s="1"/>
  <c r="AI194" i="5" a="1"/>
  <c r="AI194" i="5" s="1"/>
  <c r="AJ203" i="5" a="1"/>
  <c r="AJ203" i="5" s="1"/>
  <c r="AI197" i="5" a="1"/>
  <c r="AI197" i="5" s="1"/>
  <c r="AJ187" i="5" a="1"/>
  <c r="AJ187" i="5" s="1"/>
  <c r="AI181" i="5" a="1"/>
  <c r="AI181" i="5" s="1"/>
  <c r="AJ171" i="5" a="1"/>
  <c r="AJ171" i="5" s="1"/>
  <c r="AI165" i="5" a="1"/>
  <c r="AI165" i="5" s="1"/>
  <c r="AJ155" i="5" a="1"/>
  <c r="AJ155" i="5" s="1"/>
  <c r="AI149" i="5" a="1"/>
  <c r="AI149" i="5" s="1"/>
  <c r="AI139" i="5" a="1"/>
  <c r="AI139" i="5" s="1"/>
  <c r="AJ129" i="5" a="1"/>
  <c r="AJ129" i="5" s="1"/>
  <c r="AI123" i="5" a="1"/>
  <c r="AI123" i="5" s="1"/>
  <c r="AJ113" i="5" a="1"/>
  <c r="AJ113" i="5" s="1"/>
  <c r="AI107" i="5" a="1"/>
  <c r="AI107" i="5" s="1"/>
  <c r="AJ97" i="5" a="1"/>
  <c r="AJ97" i="5" s="1"/>
  <c r="AI91" i="5" a="1"/>
  <c r="AI91" i="5" s="1"/>
  <c r="AJ81" i="5" a="1"/>
  <c r="AJ81" i="5" s="1"/>
  <c r="AI75" i="5" a="1"/>
  <c r="AI75" i="5" s="1"/>
  <c r="AJ65" i="5" a="1"/>
  <c r="AJ65" i="5" s="1"/>
  <c r="AI59" i="5" a="1"/>
  <c r="AI59" i="5" s="1"/>
  <c r="AJ196" i="5" a="1"/>
  <c r="AJ196" i="5" s="1"/>
  <c r="AI193" i="5" a="1"/>
  <c r="AI193" i="5" s="1"/>
  <c r="AI187" i="5" a="1"/>
  <c r="AI187" i="5" s="1"/>
  <c r="AJ186" i="5" a="1"/>
  <c r="AJ186" i="5" s="1"/>
  <c r="AJ184" i="5" a="1"/>
  <c r="AJ184" i="5" s="1"/>
  <c r="AI182" i="5" a="1"/>
  <c r="AI182" i="5" s="1"/>
  <c r="AI178" i="5" a="1"/>
  <c r="AI178" i="5" s="1"/>
  <c r="AJ177" i="5" a="1"/>
  <c r="AJ177" i="5" s="1"/>
  <c r="AI157" i="5" a="1"/>
  <c r="AI157" i="5" s="1"/>
  <c r="AJ149" i="5" a="1"/>
  <c r="AJ149" i="5" s="1"/>
  <c r="AJ145" i="5" a="1"/>
  <c r="AJ145" i="5" s="1"/>
  <c r="AI142" i="5" a="1"/>
  <c r="AI142" i="5" s="1"/>
  <c r="AJ132" i="5" a="1"/>
  <c r="AJ132" i="5" s="1"/>
  <c r="AI126" i="5" a="1"/>
  <c r="AI126" i="5" s="1"/>
  <c r="AJ116" i="5" a="1"/>
  <c r="AJ116" i="5" s="1"/>
  <c r="AI110" i="5" a="1"/>
  <c r="AI110" i="5" s="1"/>
  <c r="AJ100" i="5" a="1"/>
  <c r="AJ100" i="5" s="1"/>
  <c r="AI94" i="5" a="1"/>
  <c r="AI94" i="5" s="1"/>
  <c r="AJ84" i="5" a="1"/>
  <c r="AJ84" i="5" s="1"/>
  <c r="AI78" i="5" a="1"/>
  <c r="AI78" i="5" s="1"/>
  <c r="AI198" i="5" a="1"/>
  <c r="AI198" i="5" s="1"/>
  <c r="AJ191" i="5" a="1"/>
  <c r="AJ191" i="5" s="1"/>
  <c r="AI190" i="5" a="1"/>
  <c r="AI190" i="5" s="1"/>
  <c r="AJ188" i="5" a="1"/>
  <c r="AJ188" i="5" s="1"/>
  <c r="AI185" i="5" a="1"/>
  <c r="AI185" i="5" s="1"/>
  <c r="AK185" i="5" s="1"/>
  <c r="AL185" i="5" s="1"/>
  <c r="AJ183" i="5" a="1"/>
  <c r="AJ183" i="5" s="1"/>
  <c r="AJ180" i="5" a="1"/>
  <c r="AJ180" i="5" s="1"/>
  <c r="AJ156" i="5" a="1"/>
  <c r="AJ156" i="5" s="1"/>
  <c r="AJ135" i="5" a="1"/>
  <c r="AJ135" i="5" s="1"/>
  <c r="AI129" i="5" a="1"/>
  <c r="AI129" i="5" s="1"/>
  <c r="AJ119" i="5" a="1"/>
  <c r="AJ119" i="5" s="1"/>
  <c r="AI113" i="5" a="1"/>
  <c r="AI113" i="5" s="1"/>
  <c r="AK113" i="5" s="1"/>
  <c r="AL113" i="5" s="1"/>
  <c r="AJ103" i="5" a="1"/>
  <c r="AJ103" i="5" s="1"/>
  <c r="AI97" i="5" a="1"/>
  <c r="AI97" i="5" s="1"/>
  <c r="AJ87" i="5" a="1"/>
  <c r="AJ87" i="5" s="1"/>
  <c r="AI81" i="5" a="1"/>
  <c r="AI81" i="5" s="1"/>
  <c r="AJ71" i="5" a="1"/>
  <c r="AJ71" i="5" s="1"/>
  <c r="AI65" i="5" a="1"/>
  <c r="AI65" i="5" s="1"/>
  <c r="AJ202" i="5" a="1"/>
  <c r="AJ202" i="5" s="1"/>
  <c r="AJ199" i="5" a="1"/>
  <c r="AJ199" i="5" s="1"/>
  <c r="AI196" i="5" a="1"/>
  <c r="AI196" i="5" s="1"/>
  <c r="AI177" i="5" a="1"/>
  <c r="AI177" i="5" s="1"/>
  <c r="AI145" i="5" a="1"/>
  <c r="AI145" i="5" s="1"/>
  <c r="AK145" i="5" s="1"/>
  <c r="AL145" i="5" s="1"/>
  <c r="AJ138" i="5" a="1"/>
  <c r="AJ138" i="5" s="1"/>
  <c r="AI132" i="5" a="1"/>
  <c r="AI132" i="5" s="1"/>
  <c r="AK132" i="5" s="1"/>
  <c r="AL132" i="5" s="1"/>
  <c r="AJ122" i="5" a="1"/>
  <c r="AJ122" i="5" s="1"/>
  <c r="AI116" i="5" a="1"/>
  <c r="AI116" i="5" s="1"/>
  <c r="AK116" i="5" s="1"/>
  <c r="AL116" i="5" s="1"/>
  <c r="AJ106" i="5" a="1"/>
  <c r="AJ106" i="5" s="1"/>
  <c r="AI100" i="5" a="1"/>
  <c r="AI100" i="5" s="1"/>
  <c r="AK100" i="5" s="1"/>
  <c r="AL100" i="5" s="1"/>
  <c r="AJ90" i="5" a="1"/>
  <c r="AJ90" i="5" s="1"/>
  <c r="AI84" i="5" a="1"/>
  <c r="AI84" i="5" s="1"/>
  <c r="AK84" i="5" s="1"/>
  <c r="AL84" i="5" s="1"/>
  <c r="AJ74" i="5" a="1"/>
  <c r="AJ74" i="5" s="1"/>
  <c r="AI68" i="5" a="1"/>
  <c r="AI68" i="5" s="1"/>
  <c r="AI201" i="5" a="1"/>
  <c r="AI201" i="5" s="1"/>
  <c r="AI180" i="5" a="1"/>
  <c r="AI180" i="5" s="1"/>
  <c r="AJ175" i="5" a="1"/>
  <c r="AJ175" i="5" s="1"/>
  <c r="AI174" i="5" a="1"/>
  <c r="AI174" i="5" s="1"/>
  <c r="AI155" i="5" a="1"/>
  <c r="AI155" i="5" s="1"/>
  <c r="AJ141" i="5" a="1"/>
  <c r="AJ141" i="5" s="1"/>
  <c r="AI135" i="5" a="1"/>
  <c r="AI135" i="5" s="1"/>
  <c r="AJ125" i="5" a="1"/>
  <c r="AJ125" i="5" s="1"/>
  <c r="AI119" i="5" a="1"/>
  <c r="AI119" i="5" s="1"/>
  <c r="AI173" i="5" a="1"/>
  <c r="AI173" i="5" s="1"/>
  <c r="AJ148" i="5" a="1"/>
  <c r="AJ148" i="5" s="1"/>
  <c r="AI138" i="5" a="1"/>
  <c r="AI138" i="5" s="1"/>
  <c r="AJ128" i="5" a="1"/>
  <c r="AJ128" i="5" s="1"/>
  <c r="AI122" i="5" a="1"/>
  <c r="AI122" i="5" s="1"/>
  <c r="AJ112" i="5" a="1"/>
  <c r="AJ112" i="5" s="1"/>
  <c r="AI106" i="5" a="1"/>
  <c r="AI106" i="5" s="1"/>
  <c r="AJ96" i="5" a="1"/>
  <c r="AJ96" i="5" s="1"/>
  <c r="AI90" i="5" a="1"/>
  <c r="AI90" i="5" s="1"/>
  <c r="AJ204" i="5" a="1"/>
  <c r="AJ204" i="5" s="1"/>
  <c r="AJ172" i="5" a="1"/>
  <c r="AJ172" i="5" s="1"/>
  <c r="AI171" i="5" a="1"/>
  <c r="AI171" i="5" s="1"/>
  <c r="AJ170" i="5" a="1"/>
  <c r="AJ170" i="5" s="1"/>
  <c r="AJ154" i="5" a="1"/>
  <c r="AJ154" i="5" s="1"/>
  <c r="AJ144" i="5" a="1"/>
  <c r="AJ144" i="5" s="1"/>
  <c r="AI141" i="5" a="1"/>
  <c r="AI141" i="5" s="1"/>
  <c r="AJ131" i="5" a="1"/>
  <c r="AJ131" i="5" s="1"/>
  <c r="AI125" i="5" a="1"/>
  <c r="AI125" i="5" s="1"/>
  <c r="AJ115" i="5" a="1"/>
  <c r="AJ115" i="5" s="1"/>
  <c r="AI109" i="5" a="1"/>
  <c r="AI109" i="5" s="1"/>
  <c r="AJ99" i="5" a="1"/>
  <c r="AJ99" i="5" s="1"/>
  <c r="AI93" i="5" a="1"/>
  <c r="AI93" i="5" s="1"/>
  <c r="AJ83" i="5" a="1"/>
  <c r="AJ83" i="5" s="1"/>
  <c r="AI77" i="5" a="1"/>
  <c r="AI77" i="5" s="1"/>
  <c r="AJ67" i="5" a="1"/>
  <c r="AJ67" i="5" s="1"/>
  <c r="AI61" i="5" a="1"/>
  <c r="AI61" i="5" s="1"/>
  <c r="AI206" i="5" a="1"/>
  <c r="AI206" i="5" s="1"/>
  <c r="AI148" i="5" a="1"/>
  <c r="AI148" i="5" s="1"/>
  <c r="AJ134" i="5" a="1"/>
  <c r="AJ134" i="5" s="1"/>
  <c r="AI128" i="5" a="1"/>
  <c r="AI128" i="5" s="1"/>
  <c r="AJ118" i="5" a="1"/>
  <c r="AJ118" i="5" s="1"/>
  <c r="AI112" i="5" a="1"/>
  <c r="AI112" i="5" s="1"/>
  <c r="AJ102" i="5" a="1"/>
  <c r="AJ102" i="5" s="1"/>
  <c r="AI96" i="5" a="1"/>
  <c r="AI96" i="5" s="1"/>
  <c r="AJ86" i="5" a="1"/>
  <c r="AJ86" i="5" s="1"/>
  <c r="AI80" i="5" a="1"/>
  <c r="AI80" i="5" s="1"/>
  <c r="AJ70" i="5" a="1"/>
  <c r="AJ70" i="5" s="1"/>
  <c r="AI64" i="5" a="1"/>
  <c r="AI64" i="5" s="1"/>
  <c r="AI169" i="5" a="1"/>
  <c r="AI169" i="5" s="1"/>
  <c r="AJ168" i="5" a="1"/>
  <c r="AJ168" i="5" s="1"/>
  <c r="AJ137" i="5" a="1"/>
  <c r="AJ137" i="5" s="1"/>
  <c r="AI131" i="5" a="1"/>
  <c r="AI131" i="5" s="1"/>
  <c r="AJ121" i="5" a="1"/>
  <c r="AJ121" i="5" s="1"/>
  <c r="AI115" i="5" a="1"/>
  <c r="AI115" i="5" s="1"/>
  <c r="AJ105" i="5" a="1"/>
  <c r="AJ105" i="5" s="1"/>
  <c r="AI99" i="5" a="1"/>
  <c r="AI99" i="5" s="1"/>
  <c r="AJ89" i="5" a="1"/>
  <c r="AJ89" i="5" s="1"/>
  <c r="AI83" i="5" a="1"/>
  <c r="AI83" i="5" s="1"/>
  <c r="AJ167" i="5" a="1"/>
  <c r="AJ167" i="5" s="1"/>
  <c r="AI166" i="5" a="1"/>
  <c r="AI166" i="5" s="1"/>
  <c r="AI153" i="5" a="1"/>
  <c r="AI153" i="5" s="1"/>
  <c r="AJ147" i="5" a="1"/>
  <c r="AJ147" i="5" s="1"/>
  <c r="AJ140" i="5" a="1"/>
  <c r="AJ140" i="5" s="1"/>
  <c r="AI134" i="5" a="1"/>
  <c r="AI134" i="5" s="1"/>
  <c r="AJ124" i="5" a="1"/>
  <c r="AJ124" i="5" s="1"/>
  <c r="AI118" i="5" a="1"/>
  <c r="AI118" i="5" s="1"/>
  <c r="AJ108" i="5" a="1"/>
  <c r="AJ108" i="5" s="1"/>
  <c r="AI102" i="5" a="1"/>
  <c r="AI102" i="5" s="1"/>
  <c r="AJ164" i="5" a="1"/>
  <c r="AJ164" i="5" s="1"/>
  <c r="AJ163" i="5" a="1"/>
  <c r="AJ163" i="5" s="1"/>
  <c r="AI162" i="5" a="1"/>
  <c r="AI162" i="5" s="1"/>
  <c r="AJ161" i="5" a="1"/>
  <c r="AJ161" i="5" s="1"/>
  <c r="AJ143" i="5" a="1"/>
  <c r="AJ143" i="5" s="1"/>
  <c r="AI137" i="5" a="1"/>
  <c r="AI137" i="5" s="1"/>
  <c r="AJ127" i="5" a="1"/>
  <c r="AJ127" i="5" s="1"/>
  <c r="AI121" i="5" a="1"/>
  <c r="AI121" i="5" s="1"/>
  <c r="AK121" i="5" s="1"/>
  <c r="AL121" i="5" s="1"/>
  <c r="AJ111" i="5" a="1"/>
  <c r="AJ111" i="5" s="1"/>
  <c r="AI105" i="5" a="1"/>
  <c r="AI105" i="5" s="1"/>
  <c r="AI140" i="5" a="1"/>
  <c r="AI140" i="5" s="1"/>
  <c r="AK140" i="5" s="1"/>
  <c r="AL140" i="5" s="1"/>
  <c r="AJ130" i="5" a="1"/>
  <c r="AJ130" i="5" s="1"/>
  <c r="AI124" i="5" a="1"/>
  <c r="AI124" i="5" s="1"/>
  <c r="AK124" i="5" s="1"/>
  <c r="AL124" i="5" s="1"/>
  <c r="AJ114" i="5" a="1"/>
  <c r="AJ114" i="5" s="1"/>
  <c r="AI108" i="5" a="1"/>
  <c r="AI108" i="5" s="1"/>
  <c r="AK108" i="5" s="1"/>
  <c r="AL108" i="5" s="1"/>
  <c r="AJ98" i="5" a="1"/>
  <c r="AJ98" i="5" s="1"/>
  <c r="AI92" i="5" a="1"/>
  <c r="AI92" i="5" s="1"/>
  <c r="AJ82" i="5" a="1"/>
  <c r="AJ82" i="5" s="1"/>
  <c r="AI76" i="5" a="1"/>
  <c r="AI76" i="5" s="1"/>
  <c r="AJ66" i="5" a="1"/>
  <c r="AJ66" i="5" s="1"/>
  <c r="AI60" i="5" a="1"/>
  <c r="AI60" i="5" s="1"/>
  <c r="AI164" i="5" a="1"/>
  <c r="AI164" i="5" s="1"/>
  <c r="AK164" i="5" s="1"/>
  <c r="AL164" i="5" s="1"/>
  <c r="AI161" i="5" a="1"/>
  <c r="AI161" i="5" s="1"/>
  <c r="AJ152" i="5" a="1"/>
  <c r="AJ152" i="5" s="1"/>
  <c r="AJ146" i="5" a="1"/>
  <c r="AJ146" i="5" s="1"/>
  <c r="AI143" i="5" a="1"/>
  <c r="AI143" i="5" s="1"/>
  <c r="AJ133" i="5" a="1"/>
  <c r="AJ133" i="5" s="1"/>
  <c r="AI127" i="5" a="1"/>
  <c r="AI127" i="5" s="1"/>
  <c r="AJ117" i="5" a="1"/>
  <c r="AJ117" i="5" s="1"/>
  <c r="AI111" i="5" a="1"/>
  <c r="AI111" i="5" s="1"/>
  <c r="AJ136" i="5" a="1"/>
  <c r="AJ136" i="5" s="1"/>
  <c r="AI130" i="5" a="1"/>
  <c r="AI130" i="5" s="1"/>
  <c r="AJ120" i="5" a="1"/>
  <c r="AJ120" i="5" s="1"/>
  <c r="AI114" i="5" a="1"/>
  <c r="AI114" i="5" s="1"/>
  <c r="AJ104" i="5" a="1"/>
  <c r="AJ104" i="5" s="1"/>
  <c r="AI98" i="5" a="1"/>
  <c r="AI98" i="5" s="1"/>
  <c r="AJ88" i="5" a="1"/>
  <c r="AJ88" i="5" s="1"/>
  <c r="AI82" i="5" a="1"/>
  <c r="AI82" i="5" s="1"/>
  <c r="AJ159" i="5" a="1"/>
  <c r="AJ159" i="5" s="1"/>
  <c r="AJ151" i="5" a="1"/>
  <c r="AJ151" i="5" s="1"/>
  <c r="AI146" i="5" a="1"/>
  <c r="AI146" i="5" s="1"/>
  <c r="AK146" i="5" s="1"/>
  <c r="AL146" i="5" s="1"/>
  <c r="AJ139" i="5" a="1"/>
  <c r="AJ139" i="5" s="1"/>
  <c r="AI133" i="5" a="1"/>
  <c r="AI133" i="5" s="1"/>
  <c r="AK133" i="5" s="1"/>
  <c r="AL133" i="5" s="1"/>
  <c r="AJ123" i="5" a="1"/>
  <c r="AJ123" i="5" s="1"/>
  <c r="AI117" i="5" a="1"/>
  <c r="AI117" i="5" s="1"/>
  <c r="AK117" i="5" s="1"/>
  <c r="AL117" i="5" s="1"/>
  <c r="AJ107" i="5" a="1"/>
  <c r="AJ107" i="5" s="1"/>
  <c r="AI101" i="5" a="1"/>
  <c r="AI101" i="5" s="1"/>
  <c r="AJ91" i="5" a="1"/>
  <c r="AJ91" i="5" s="1"/>
  <c r="AI85" i="5" a="1"/>
  <c r="AI85" i="5" s="1"/>
  <c r="AJ75" i="5" a="1"/>
  <c r="AJ75" i="5" s="1"/>
  <c r="AJ193" i="5" a="1"/>
  <c r="AJ193" i="5" s="1"/>
  <c r="AI53" i="5" a="1"/>
  <c r="AI53" i="5" s="1"/>
  <c r="AJ43" i="5" a="1"/>
  <c r="AJ43" i="5" s="1"/>
  <c r="AI37" i="5" a="1"/>
  <c r="AI37" i="5" s="1"/>
  <c r="AI31" i="5" a="1"/>
  <c r="AI31" i="5" s="1"/>
  <c r="AJ21" i="5" a="1"/>
  <c r="AJ21" i="5" s="1"/>
  <c r="AI15" i="5" a="1"/>
  <c r="AI15" i="5" s="1"/>
  <c r="AJ5" i="5" a="1"/>
  <c r="AJ5" i="5" s="1"/>
  <c r="AI56" i="5" a="1"/>
  <c r="AI56" i="5" s="1"/>
  <c r="AJ46" i="5" a="1"/>
  <c r="AJ46" i="5" s="1"/>
  <c r="AI40" i="5" a="1"/>
  <c r="AI40" i="5" s="1"/>
  <c r="AI34" i="5" a="1"/>
  <c r="AI34" i="5" s="1"/>
  <c r="AJ24" i="5" a="1"/>
  <c r="AJ24" i="5" s="1"/>
  <c r="AI18" i="5" a="1"/>
  <c r="AI18" i="5" s="1"/>
  <c r="AJ8" i="5" a="1"/>
  <c r="AJ8" i="5" s="1"/>
  <c r="AI150" i="5" a="1"/>
  <c r="AI150" i="5" s="1"/>
  <c r="AJ109" i="5" a="1"/>
  <c r="AJ109" i="5" s="1"/>
  <c r="AI86" i="5" a="1"/>
  <c r="AI86" i="5" s="1"/>
  <c r="AJ60" i="5" a="1"/>
  <c r="AJ60" i="5" s="1"/>
  <c r="AJ49" i="5" a="1"/>
  <c r="AJ49" i="5" s="1"/>
  <c r="AI43" i="5" a="1"/>
  <c r="AI43" i="5" s="1"/>
  <c r="AJ27" i="5" a="1"/>
  <c r="AJ27" i="5" s="1"/>
  <c r="AI21" i="5" a="1"/>
  <c r="AI21" i="5" s="1"/>
  <c r="AJ11" i="5" a="1"/>
  <c r="AJ11" i="5" s="1"/>
  <c r="AI5" i="5" a="1"/>
  <c r="AI5" i="5" s="1"/>
  <c r="AJ110" i="5" a="1"/>
  <c r="AJ110" i="5" s="1"/>
  <c r="AI87" i="5" a="1"/>
  <c r="AI87" i="5" s="1"/>
  <c r="AJ79" i="5" a="1"/>
  <c r="AJ79" i="5" s="1"/>
  <c r="AI66" i="5" a="1"/>
  <c r="AI66" i="5" s="1"/>
  <c r="AJ52" i="5" a="1"/>
  <c r="AJ52" i="5" s="1"/>
  <c r="AI46" i="5" a="1"/>
  <c r="AI46" i="5" s="1"/>
  <c r="AJ36" i="5" a="1"/>
  <c r="AJ36" i="5" s="1"/>
  <c r="AJ30" i="5" a="1"/>
  <c r="AJ30" i="5" s="1"/>
  <c r="AI24" i="5" a="1"/>
  <c r="AI24" i="5" s="1"/>
  <c r="AJ14" i="5" a="1"/>
  <c r="AJ14" i="5" s="1"/>
  <c r="AI8" i="5" a="1"/>
  <c r="AI8" i="5" s="1"/>
  <c r="AI88" i="5" a="1"/>
  <c r="AI88" i="5" s="1"/>
  <c r="AJ85" i="5" a="1"/>
  <c r="AJ85" i="5" s="1"/>
  <c r="AJ80" i="5" a="1"/>
  <c r="AJ80" i="5" s="1"/>
  <c r="AI79" i="5" a="1"/>
  <c r="AI79" i="5" s="1"/>
  <c r="AJ78" i="5" a="1"/>
  <c r="AJ78" i="5" s="1"/>
  <c r="AJ77" i="5" a="1"/>
  <c r="AJ77" i="5" s="1"/>
  <c r="AJ76" i="5" a="1"/>
  <c r="AJ76" i="5" s="1"/>
  <c r="AJ73" i="5" a="1"/>
  <c r="AJ73" i="5" s="1"/>
  <c r="AJ55" i="5" a="1"/>
  <c r="AJ55" i="5" s="1"/>
  <c r="AI49" i="5" a="1"/>
  <c r="AI49" i="5" s="1"/>
  <c r="AJ39" i="5" a="1"/>
  <c r="AJ39" i="5" s="1"/>
  <c r="AJ33" i="5" a="1"/>
  <c r="AJ33" i="5" s="1"/>
  <c r="AI27" i="5" a="1"/>
  <c r="AI27" i="5" s="1"/>
  <c r="AJ17" i="5" a="1"/>
  <c r="AJ17" i="5" s="1"/>
  <c r="AI11" i="5" a="1"/>
  <c r="AI11" i="5" s="1"/>
  <c r="AJ101" i="5" a="1"/>
  <c r="AJ101" i="5" s="1"/>
  <c r="AI89" i="5" a="1"/>
  <c r="AI89" i="5" s="1"/>
  <c r="AI74" i="5" a="1"/>
  <c r="AI74" i="5" s="1"/>
  <c r="AJ59" i="5" a="1"/>
  <c r="AJ59" i="5" s="1"/>
  <c r="AI52" i="5" a="1"/>
  <c r="AI52" i="5" s="1"/>
  <c r="AJ42" i="5" a="1"/>
  <c r="AJ42" i="5" s="1"/>
  <c r="AI36" i="5" a="1"/>
  <c r="AI36" i="5" s="1"/>
  <c r="AI30" i="5" a="1"/>
  <c r="AI30" i="5" s="1"/>
  <c r="AJ20" i="5" a="1"/>
  <c r="AJ20" i="5" s="1"/>
  <c r="AI14" i="5" a="1"/>
  <c r="AI14" i="5" s="1"/>
  <c r="AJ4" i="5" a="1"/>
  <c r="AJ4" i="5" s="1"/>
  <c r="AI103" i="5" a="1"/>
  <c r="AI103" i="5" s="1"/>
  <c r="AI73" i="5" a="1"/>
  <c r="AI73" i="5" s="1"/>
  <c r="AJ72" i="5" a="1"/>
  <c r="AJ72" i="5" s="1"/>
  <c r="AI71" i="5" a="1"/>
  <c r="AI71" i="5" s="1"/>
  <c r="AI55" i="5" a="1"/>
  <c r="AI55" i="5" s="1"/>
  <c r="AJ45" i="5" a="1"/>
  <c r="AJ45" i="5" s="1"/>
  <c r="AI39" i="5" a="1"/>
  <c r="AI39" i="5" s="1"/>
  <c r="AI33" i="5" a="1"/>
  <c r="AI33" i="5" s="1"/>
  <c r="AI158" i="5" a="1"/>
  <c r="AI158" i="5" s="1"/>
  <c r="AK158" i="5" s="1"/>
  <c r="AL158" i="5" s="1"/>
  <c r="AJ92" i="5" a="1"/>
  <c r="AJ92" i="5" s="1"/>
  <c r="AI72" i="5" a="1"/>
  <c r="AI72" i="5" s="1"/>
  <c r="AJ64" i="5" a="1"/>
  <c r="AJ64" i="5" s="1"/>
  <c r="AJ48" i="5" a="1"/>
  <c r="AJ48" i="5" s="1"/>
  <c r="AI42" i="5" a="1"/>
  <c r="AI42" i="5" s="1"/>
  <c r="AJ26" i="5" a="1"/>
  <c r="AJ26" i="5" s="1"/>
  <c r="AI20" i="5" a="1"/>
  <c r="AI20" i="5" s="1"/>
  <c r="AI104" i="5" a="1"/>
  <c r="AI104" i="5" s="1"/>
  <c r="AI70" i="5" a="1"/>
  <c r="AI70" i="5" s="1"/>
  <c r="AJ63" i="5" a="1"/>
  <c r="AJ63" i="5" s="1"/>
  <c r="AJ58" i="5" a="1"/>
  <c r="AJ58" i="5" s="1"/>
  <c r="AJ51" i="5" a="1"/>
  <c r="AJ51" i="5" s="1"/>
  <c r="AI45" i="5" a="1"/>
  <c r="AI45" i="5" s="1"/>
  <c r="AK45" i="5" s="1"/>
  <c r="AL45" i="5" s="1"/>
  <c r="AJ29" i="5" a="1"/>
  <c r="AJ29" i="5" s="1"/>
  <c r="AI23" i="5" a="1"/>
  <c r="AI23" i="5" s="1"/>
  <c r="AK23" i="5" s="1"/>
  <c r="AL23" i="5" s="1"/>
  <c r="AI136" i="5" a="1"/>
  <c r="AI136" i="5" s="1"/>
  <c r="AJ93" i="5" a="1"/>
  <c r="AJ93" i="5" s="1"/>
  <c r="AI63" i="5" a="1"/>
  <c r="AI63" i="5" s="1"/>
  <c r="AJ54" i="5" a="1"/>
  <c r="AJ54" i="5" s="1"/>
  <c r="AI48" i="5" a="1"/>
  <c r="AI48" i="5" s="1"/>
  <c r="AK48" i="5" s="1"/>
  <c r="AL48" i="5" s="1"/>
  <c r="AJ38" i="5" a="1"/>
  <c r="AJ38" i="5" s="1"/>
  <c r="AJ32" i="5" a="1"/>
  <c r="AJ32" i="5" s="1"/>
  <c r="AI26" i="5" a="1"/>
  <c r="AI26" i="5" s="1"/>
  <c r="AJ16" i="5" a="1"/>
  <c r="AJ16" i="5" s="1"/>
  <c r="AI10" i="5" a="1"/>
  <c r="AI10" i="5" s="1"/>
  <c r="AJ142" i="5" a="1"/>
  <c r="AJ142" i="5" s="1"/>
  <c r="AJ94" i="5" a="1"/>
  <c r="AJ94" i="5" s="1"/>
  <c r="AJ69" i="5" a="1"/>
  <c r="AJ69" i="5" s="1"/>
  <c r="AI58" i="5" a="1"/>
  <c r="AI58" i="5" s="1"/>
  <c r="AI51" i="5" a="1"/>
  <c r="AI51" i="5" s="1"/>
  <c r="AJ41" i="5" a="1"/>
  <c r="AJ41" i="5" s="1"/>
  <c r="AJ35" i="5" a="1"/>
  <c r="AJ35" i="5" s="1"/>
  <c r="AI29" i="5" a="1"/>
  <c r="AI29" i="5" s="1"/>
  <c r="AJ19" i="5" a="1"/>
  <c r="AJ19" i="5" s="1"/>
  <c r="AI13" i="5" a="1"/>
  <c r="AI13" i="5" s="1"/>
  <c r="AJ3" i="5" a="1"/>
  <c r="AJ3" i="5" s="1"/>
  <c r="AJ95" i="5" a="1"/>
  <c r="AJ95" i="5" s="1"/>
  <c r="AJ62" i="5" a="1"/>
  <c r="AJ62" i="5" s="1"/>
  <c r="AJ57" i="5" a="1"/>
  <c r="AJ57" i="5" s="1"/>
  <c r="AI54" i="5" a="1"/>
  <c r="AI54" i="5" s="1"/>
  <c r="AJ44" i="5" a="1"/>
  <c r="AJ44" i="5" s="1"/>
  <c r="AI38" i="5" a="1"/>
  <c r="AI38" i="5" s="1"/>
  <c r="AI32" i="5" a="1"/>
  <c r="AI32" i="5" s="1"/>
  <c r="AJ22" i="5" a="1"/>
  <c r="AJ22" i="5" s="1"/>
  <c r="AI16" i="5" a="1"/>
  <c r="AI16" i="5" s="1"/>
  <c r="AK16" i="5" s="1"/>
  <c r="AL16" i="5" s="1"/>
  <c r="AJ6" i="5" a="1"/>
  <c r="AJ6" i="5" s="1"/>
  <c r="AI120" i="5" a="1"/>
  <c r="AI120" i="5" s="1"/>
  <c r="AK120" i="5" s="1"/>
  <c r="AL120" i="5" s="1"/>
  <c r="AI95" i="5" a="1"/>
  <c r="AI95" i="5" s="1"/>
  <c r="AI69" i="5" a="1"/>
  <c r="AI69" i="5" s="1"/>
  <c r="AI62" i="5" a="1"/>
  <c r="AI62" i="5" s="1"/>
  <c r="AJ47" i="5" a="1"/>
  <c r="AJ47" i="5" s="1"/>
  <c r="AI41" i="5" a="1"/>
  <c r="AI41" i="5" s="1"/>
  <c r="AI35" i="5" a="1"/>
  <c r="AI35" i="5" s="1"/>
  <c r="AJ126" i="5" a="1"/>
  <c r="AJ126" i="5" s="1"/>
  <c r="AJ68" i="5" a="1"/>
  <c r="AJ68" i="5" s="1"/>
  <c r="AI57" i="5" a="1"/>
  <c r="AI57" i="5" s="1"/>
  <c r="AJ50" i="5" a="1"/>
  <c r="AJ50" i="5" s="1"/>
  <c r="AI44" i="5" a="1"/>
  <c r="AI44" i="5" s="1"/>
  <c r="AJ28" i="5" a="1"/>
  <c r="AJ28" i="5" s="1"/>
  <c r="AI22" i="5" a="1"/>
  <c r="AI22" i="5" s="1"/>
  <c r="AK22" i="5" s="1"/>
  <c r="AL22" i="5" s="1"/>
  <c r="AJ12" i="5" a="1"/>
  <c r="AJ12" i="5" s="1"/>
  <c r="AI6" i="5" a="1"/>
  <c r="AI6" i="5" s="1"/>
  <c r="AK6" i="5" s="1"/>
  <c r="AL6" i="5" s="1"/>
  <c r="AJ53" i="5" a="1"/>
  <c r="AJ53" i="5" s="1"/>
  <c r="AI47" i="5" a="1"/>
  <c r="AI47" i="5" s="1"/>
  <c r="AJ37" i="5" a="1"/>
  <c r="AJ37" i="5" s="1"/>
  <c r="AJ31" i="5" a="1"/>
  <c r="AJ31" i="5" s="1"/>
  <c r="AI25" i="5" a="1"/>
  <c r="AI25" i="5" s="1"/>
  <c r="AI67" i="5" a="1"/>
  <c r="AI67" i="5" s="1"/>
  <c r="AJ56" i="5" a="1"/>
  <c r="AJ56" i="5" s="1"/>
  <c r="AJ61" i="5" a="1"/>
  <c r="AJ61" i="5" s="1"/>
  <c r="AJ40" i="5" a="1"/>
  <c r="AJ40" i="5" s="1"/>
  <c r="AJ34" i="5" a="1"/>
  <c r="AJ34" i="5" s="1"/>
  <c r="AJ9" i="5" a="1"/>
  <c r="AJ9" i="5" s="1"/>
  <c r="AJ10" i="5" a="1"/>
  <c r="AJ10" i="5" s="1"/>
  <c r="AI9" i="5" a="1"/>
  <c r="AI9" i="5" s="1"/>
  <c r="AJ7" i="5" a="1"/>
  <c r="AJ7" i="5" s="1"/>
  <c r="AI28" i="5" a="1"/>
  <c r="AI28" i="5" s="1"/>
  <c r="AJ13" i="5" a="1"/>
  <c r="AJ13" i="5" s="1"/>
  <c r="AI7" i="5" a="1"/>
  <c r="AI7" i="5" s="1"/>
  <c r="AI17" i="5" a="1"/>
  <c r="AI17" i="5" s="1"/>
  <c r="AJ15" i="5" a="1"/>
  <c r="AJ15" i="5" s="1"/>
  <c r="AI12" i="5" a="1"/>
  <c r="AI12" i="5" s="1"/>
  <c r="AI19" i="5" a="1"/>
  <c r="AI19" i="5" s="1"/>
  <c r="AJ18" i="5" a="1"/>
  <c r="AJ18" i="5" s="1"/>
  <c r="AI4" i="5" a="1"/>
  <c r="AI4" i="5" s="1"/>
  <c r="AI3" i="5" a="1"/>
  <c r="AI3" i="5" s="1"/>
  <c r="AJ23" i="5" a="1"/>
  <c r="AJ23" i="5" s="1"/>
  <c r="AI50" i="5" a="1"/>
  <c r="AI50" i="5" s="1"/>
  <c r="AJ25" i="5" a="1"/>
  <c r="AJ25" i="5" s="1"/>
  <c r="AT9" i="5"/>
  <c r="AU9" i="5" s="1"/>
  <c r="AD36" i="5"/>
  <c r="W36" i="6" s="1"/>
  <c r="AE36" i="5"/>
  <c r="X36" i="6" s="1"/>
  <c r="AT103" i="5"/>
  <c r="AU103" i="5" s="1"/>
  <c r="AT111" i="5"/>
  <c r="AU111" i="5" s="1"/>
  <c r="AT87" i="5"/>
  <c r="AU87" i="5" s="1"/>
  <c r="AT155" i="5"/>
  <c r="AU155" i="5" s="1"/>
  <c r="C36" i="14"/>
  <c r="AT95" i="5" l="1"/>
  <c r="AU95" i="5" s="1"/>
  <c r="AT179" i="5"/>
  <c r="AU179" i="5" s="1"/>
  <c r="AT181" i="5"/>
  <c r="AU181" i="5" s="1"/>
  <c r="AT8" i="5"/>
  <c r="AU8" i="5" s="1"/>
  <c r="AT49" i="5"/>
  <c r="AU49" i="5" s="1"/>
  <c r="AT59" i="5"/>
  <c r="AU59" i="5" s="1"/>
  <c r="AT18" i="5"/>
  <c r="AU18" i="5" s="1"/>
  <c r="AT27" i="5"/>
  <c r="AU27" i="5" s="1"/>
  <c r="AT99" i="5"/>
  <c r="AU99" i="5" s="1"/>
  <c r="AT55" i="5"/>
  <c r="AU55" i="5" s="1"/>
  <c r="AT61" i="5"/>
  <c r="AU61" i="5" s="1"/>
  <c r="AT54" i="5"/>
  <c r="AU54" i="5" s="1"/>
  <c r="AT158" i="5"/>
  <c r="AU158" i="5" s="1"/>
  <c r="AT191" i="5"/>
  <c r="AU191" i="5" s="1"/>
  <c r="AT159" i="5"/>
  <c r="AU159" i="5" s="1"/>
  <c r="AK160" i="5"/>
  <c r="AL160" i="5" s="1"/>
  <c r="AT23" i="5"/>
  <c r="AU23" i="5" s="1"/>
  <c r="AT52" i="5"/>
  <c r="AU52" i="5" s="1"/>
  <c r="AT46" i="5"/>
  <c r="AU46" i="5" s="1"/>
  <c r="AK86" i="5"/>
  <c r="AL86" i="5" s="1"/>
  <c r="AH135" i="4"/>
  <c r="AI135" i="4" s="1"/>
  <c r="AT131" i="5"/>
  <c r="AU131" i="5" s="1"/>
  <c r="AH151" i="4"/>
  <c r="AI151" i="4" s="1"/>
  <c r="AT37" i="5"/>
  <c r="AU37" i="5" s="1"/>
  <c r="AH92" i="4"/>
  <c r="AI92" i="4" s="1"/>
  <c r="AH103" i="4"/>
  <c r="AI103" i="4" s="1"/>
  <c r="AH49" i="4"/>
  <c r="AI49" i="4" s="1"/>
  <c r="AT45" i="5"/>
  <c r="AU45" i="5" s="1"/>
  <c r="AT20" i="5"/>
  <c r="AU20" i="5" s="1"/>
  <c r="AT29" i="5"/>
  <c r="AU29" i="5" s="1"/>
  <c r="AT135" i="5"/>
  <c r="AU135" i="5" s="1"/>
  <c r="AT107" i="5"/>
  <c r="AU107" i="5" s="1"/>
  <c r="AH192" i="4"/>
  <c r="AI192" i="4" s="1"/>
  <c r="AH199" i="4"/>
  <c r="AI199" i="4" s="1"/>
  <c r="AK80" i="5"/>
  <c r="AL80" i="5" s="1"/>
  <c r="AH154" i="4"/>
  <c r="AI154" i="4" s="1"/>
  <c r="AH5" i="4"/>
  <c r="AI5" i="4" s="1"/>
  <c r="AT33" i="5"/>
  <c r="AU33" i="5" s="1"/>
  <c r="AT83" i="5"/>
  <c r="AU83" i="5" s="1"/>
  <c r="AH122" i="4"/>
  <c r="AI122" i="4" s="1"/>
  <c r="AT145" i="5"/>
  <c r="AU145" i="5" s="1"/>
  <c r="AH138" i="4"/>
  <c r="AI138" i="4" s="1"/>
  <c r="AT90" i="5"/>
  <c r="AU90" i="5" s="1"/>
  <c r="AT134" i="5"/>
  <c r="AU134" i="5" s="1"/>
  <c r="AT173" i="5"/>
  <c r="AU173" i="5" s="1"/>
  <c r="AT63" i="5"/>
  <c r="AU63" i="5" s="1"/>
  <c r="AT62" i="5"/>
  <c r="AU62" i="5" s="1"/>
  <c r="AH123" i="4"/>
  <c r="AI123" i="4" s="1"/>
  <c r="AT58" i="5"/>
  <c r="AU58" i="5" s="1"/>
  <c r="AH139" i="4"/>
  <c r="AI139" i="4" s="1"/>
  <c r="AT31" i="5"/>
  <c r="AU31" i="5" s="1"/>
  <c r="AT25" i="5"/>
  <c r="AU25" i="5" s="1"/>
  <c r="AH128" i="4"/>
  <c r="AI128" i="4" s="1"/>
  <c r="AT189" i="5"/>
  <c r="AU189" i="5" s="1"/>
  <c r="AH11" i="4"/>
  <c r="AI11" i="4" s="1"/>
  <c r="AH18" i="4"/>
  <c r="AI18" i="4" s="1"/>
  <c r="AH200" i="4"/>
  <c r="AI200" i="4" s="1"/>
  <c r="AT60" i="5"/>
  <c r="AU60" i="5" s="1"/>
  <c r="AT17" i="5"/>
  <c r="AU17" i="5" s="1"/>
  <c r="AT80" i="5"/>
  <c r="AU80" i="5" s="1"/>
  <c r="AT163" i="5"/>
  <c r="AU163" i="5" s="1"/>
  <c r="AK115" i="5"/>
  <c r="AL115" i="5" s="1"/>
  <c r="AK177" i="5"/>
  <c r="AL177" i="5" s="1"/>
  <c r="AT67" i="5"/>
  <c r="AU67" i="5" s="1"/>
  <c r="AT192" i="5"/>
  <c r="AU192" i="5" s="1"/>
  <c r="AH112" i="4"/>
  <c r="AI112" i="4" s="1"/>
  <c r="AT28" i="5"/>
  <c r="AU28" i="5" s="1"/>
  <c r="AT44" i="5"/>
  <c r="AU44" i="5" s="1"/>
  <c r="AH144" i="4"/>
  <c r="AI144" i="4" s="1"/>
  <c r="AH105" i="4"/>
  <c r="AI105" i="4" s="1"/>
  <c r="AH121" i="4"/>
  <c r="AI121" i="4" s="1"/>
  <c r="AT168" i="5"/>
  <c r="AU168" i="5" s="1"/>
  <c r="AT69" i="5"/>
  <c r="AU69" i="5" s="1"/>
  <c r="AT89" i="5"/>
  <c r="AU89" i="5" s="1"/>
  <c r="AT138" i="5"/>
  <c r="AU138" i="5" s="1"/>
  <c r="AT92" i="5"/>
  <c r="AU92" i="5" s="1"/>
  <c r="AT100" i="5"/>
  <c r="AU100" i="5" s="1"/>
  <c r="AT122" i="5"/>
  <c r="AU122" i="5" s="1"/>
  <c r="AH137" i="4"/>
  <c r="AI137" i="4" s="1"/>
  <c r="AH153" i="4"/>
  <c r="AI153" i="4" s="1"/>
  <c r="AT43" i="5"/>
  <c r="AU43" i="5" s="1"/>
  <c r="AH20" i="4"/>
  <c r="AI20" i="4" s="1"/>
  <c r="AT114" i="5"/>
  <c r="AU114" i="5" s="1"/>
  <c r="AT19" i="5"/>
  <c r="AU19" i="5" s="1"/>
  <c r="AT12" i="5"/>
  <c r="AU12" i="5" s="1"/>
  <c r="AT41" i="5"/>
  <c r="AU41" i="5" s="1"/>
  <c r="AT48" i="5"/>
  <c r="AU48" i="5" s="1"/>
  <c r="AT174" i="5"/>
  <c r="AU174" i="5" s="1"/>
  <c r="AT184" i="5"/>
  <c r="AU184" i="5" s="1"/>
  <c r="AT120" i="5"/>
  <c r="AU120" i="5" s="1"/>
  <c r="AT160" i="5"/>
  <c r="AU160" i="5" s="1"/>
  <c r="AT144" i="5"/>
  <c r="AU144" i="5" s="1"/>
  <c r="AH100" i="4"/>
  <c r="AI100" i="4" s="1"/>
  <c r="AH155" i="4"/>
  <c r="AI155" i="4" s="1"/>
  <c r="AT164" i="5"/>
  <c r="AU164" i="5" s="1"/>
  <c r="AH102" i="4"/>
  <c r="AI102" i="4" s="1"/>
  <c r="AT74" i="5"/>
  <c r="AU74" i="5" s="1"/>
  <c r="AT22" i="5"/>
  <c r="AU22" i="5" s="1"/>
  <c r="AT14" i="5"/>
  <c r="AU14" i="5" s="1"/>
  <c r="AT143" i="5"/>
  <c r="AU143" i="5" s="1"/>
  <c r="AT142" i="5"/>
  <c r="AU142" i="5" s="1"/>
  <c r="AT50" i="5"/>
  <c r="AU50" i="5" s="1"/>
  <c r="AT123" i="5"/>
  <c r="AU123" i="5" s="1"/>
  <c r="AT38" i="5"/>
  <c r="AU38" i="5" s="1"/>
  <c r="AT42" i="5"/>
  <c r="AU42" i="5" s="1"/>
  <c r="AT176" i="5"/>
  <c r="AU176" i="5" s="1"/>
  <c r="AT91" i="5"/>
  <c r="AU91" i="5" s="1"/>
  <c r="AT15" i="5"/>
  <c r="AU15" i="5" s="1"/>
  <c r="AT121" i="5"/>
  <c r="AU121" i="5" s="1"/>
  <c r="AT129" i="5"/>
  <c r="AU129" i="5" s="1"/>
  <c r="AT204" i="5"/>
  <c r="AU204" i="5" s="1"/>
  <c r="AT85" i="5"/>
  <c r="AU85" i="5" s="1"/>
  <c r="AT150" i="5"/>
  <c r="AU150" i="5" s="1"/>
  <c r="AT133" i="5"/>
  <c r="AU133" i="5" s="1"/>
  <c r="AT68" i="5"/>
  <c r="AU68" i="5" s="1"/>
  <c r="AT4" i="5"/>
  <c r="AU4" i="5" s="1"/>
  <c r="AT10" i="5"/>
  <c r="AU10" i="5" s="1"/>
  <c r="AT93" i="5"/>
  <c r="AU93" i="5" s="1"/>
  <c r="AT119" i="5"/>
  <c r="AU119" i="5" s="1"/>
  <c r="AH132" i="4"/>
  <c r="AI132" i="4" s="1"/>
  <c r="AH115" i="4"/>
  <c r="AI115" i="4" s="1"/>
  <c r="AH201" i="4"/>
  <c r="AI201" i="4" s="1"/>
  <c r="AH118" i="4"/>
  <c r="AI118" i="4" s="1"/>
  <c r="AT112" i="5"/>
  <c r="AU112" i="5" s="1"/>
  <c r="AH131" i="4"/>
  <c r="AI131" i="4" s="1"/>
  <c r="AT77" i="5"/>
  <c r="AU77" i="5" s="1"/>
  <c r="AT16" i="5"/>
  <c r="AU16" i="5" s="1"/>
  <c r="AH148" i="4"/>
  <c r="AI148" i="4" s="1"/>
  <c r="AT185" i="5"/>
  <c r="AU185" i="5" s="1"/>
  <c r="AT84" i="5"/>
  <c r="AU84" i="5" s="1"/>
  <c r="AT194" i="5"/>
  <c r="AU194" i="5" s="1"/>
  <c r="AT106" i="5"/>
  <c r="AU106" i="5" s="1"/>
  <c r="AT30" i="5"/>
  <c r="AU30" i="5" s="1"/>
  <c r="AT113" i="5"/>
  <c r="AU113" i="5" s="1"/>
  <c r="AT172" i="5"/>
  <c r="AU172" i="5" s="1"/>
  <c r="AH204" i="4"/>
  <c r="AI204" i="4" s="1"/>
  <c r="AT182" i="5"/>
  <c r="AU182" i="5" s="1"/>
  <c r="AT196" i="5"/>
  <c r="AU196" i="5" s="1"/>
  <c r="AT71" i="5"/>
  <c r="AU71" i="5" s="1"/>
  <c r="AT146" i="5"/>
  <c r="AU146" i="5" s="1"/>
  <c r="AT104" i="5"/>
  <c r="AU104" i="5" s="1"/>
  <c r="AT40" i="5"/>
  <c r="AU40" i="5" s="1"/>
  <c r="AT117" i="5"/>
  <c r="AU117" i="5" s="1"/>
  <c r="AT126" i="5"/>
  <c r="AU126" i="5" s="1"/>
  <c r="AT118" i="5"/>
  <c r="AU118" i="5" s="1"/>
  <c r="AT149" i="5"/>
  <c r="AU149" i="5" s="1"/>
  <c r="AT3" i="5"/>
  <c r="AU3" i="5" s="1"/>
  <c r="AH188" i="4"/>
  <c r="AI188" i="4" s="1"/>
  <c r="AT206" i="5"/>
  <c r="AU206" i="5" s="1"/>
  <c r="AT139" i="5"/>
  <c r="AU139" i="5" s="1"/>
  <c r="AT79" i="5"/>
  <c r="AU79" i="5" s="1"/>
  <c r="AT101" i="5"/>
  <c r="AU101" i="5" s="1"/>
  <c r="AT108" i="5"/>
  <c r="AU108" i="5" s="1"/>
  <c r="AT137" i="5"/>
  <c r="AU137" i="5" s="1"/>
  <c r="AT64" i="5"/>
  <c r="AU64" i="5" s="1"/>
  <c r="AT24" i="5"/>
  <c r="AU24" i="5" s="1"/>
  <c r="AT186" i="5"/>
  <c r="AU186" i="5" s="1"/>
  <c r="AT202" i="5"/>
  <c r="AU202" i="5" s="1"/>
  <c r="AT116" i="5"/>
  <c r="AU116" i="5" s="1"/>
  <c r="AT109" i="5"/>
  <c r="AU109" i="5" s="1"/>
  <c r="AT32" i="5"/>
  <c r="AU32" i="5" s="1"/>
  <c r="AT102" i="5"/>
  <c r="AU102" i="5" s="1"/>
  <c r="AT127" i="5"/>
  <c r="AU127" i="5" s="1"/>
  <c r="AT7" i="5"/>
  <c r="AU7" i="5" s="1"/>
  <c r="AH178" i="4"/>
  <c r="AI178" i="4" s="1"/>
  <c r="AT65" i="5"/>
  <c r="AU65" i="5" s="1"/>
  <c r="AT96" i="5"/>
  <c r="AU96" i="5" s="1"/>
  <c r="AT81" i="5"/>
  <c r="AU81" i="5" s="1"/>
  <c r="AH203" i="4"/>
  <c r="AI203" i="4" s="1"/>
  <c r="AH202" i="4"/>
  <c r="AI202" i="4" s="1"/>
  <c r="AH167" i="4"/>
  <c r="AI167" i="4" s="1"/>
  <c r="AT70" i="5"/>
  <c r="AU70" i="5" s="1"/>
  <c r="AH173" i="4"/>
  <c r="AI173" i="4" s="1"/>
  <c r="AT156" i="5"/>
  <c r="AU156" i="5" s="1"/>
  <c r="AT132" i="5"/>
  <c r="AU132" i="5" s="1"/>
  <c r="AT124" i="5"/>
  <c r="AU124" i="5" s="1"/>
  <c r="AT105" i="5"/>
  <c r="AU105" i="5" s="1"/>
  <c r="AT13" i="5"/>
  <c r="AU13" i="5" s="1"/>
  <c r="AT78" i="5"/>
  <c r="AU78" i="5" s="1"/>
  <c r="AH156" i="4"/>
  <c r="AI156" i="4" s="1"/>
  <c r="AT147" i="5"/>
  <c r="AU147" i="5" s="1"/>
  <c r="AT183" i="5"/>
  <c r="AU183" i="5" s="1"/>
  <c r="AT178" i="5"/>
  <c r="AU178" i="5" s="1"/>
  <c r="AT125" i="5"/>
  <c r="AU125" i="5" s="1"/>
  <c r="AT98" i="5"/>
  <c r="AU98" i="5" s="1"/>
  <c r="AT11" i="5"/>
  <c r="AU11" i="5" s="1"/>
  <c r="AH147" i="4"/>
  <c r="AI147" i="4" s="1"/>
  <c r="AH108" i="4"/>
  <c r="AI108" i="4" s="1"/>
  <c r="AT205" i="5"/>
  <c r="AU205" i="5" s="1"/>
  <c r="AT201" i="5"/>
  <c r="AU201" i="5" s="1"/>
  <c r="AT175" i="5"/>
  <c r="AU175" i="5" s="1"/>
  <c r="AT170" i="5"/>
  <c r="AU170" i="5" s="1"/>
  <c r="AT152" i="5"/>
  <c r="AU152" i="5" s="1"/>
  <c r="AT53" i="5"/>
  <c r="AU53" i="5" s="1"/>
  <c r="AT130" i="5"/>
  <c r="AU130" i="5" s="1"/>
  <c r="AT140" i="5"/>
  <c r="AU140" i="5" s="1"/>
  <c r="AT57" i="5"/>
  <c r="AU57" i="5" s="1"/>
  <c r="AT5" i="5"/>
  <c r="AU5" i="5" s="1"/>
  <c r="AH161" i="4"/>
  <c r="AI161" i="4" s="1"/>
  <c r="AK176" i="5"/>
  <c r="AL176" i="5" s="1"/>
  <c r="AH99" i="4"/>
  <c r="AI99" i="4" s="1"/>
  <c r="AH111" i="4"/>
  <c r="AI111" i="4" s="1"/>
  <c r="AH107" i="4"/>
  <c r="AI107" i="4" s="1"/>
  <c r="AH168" i="4"/>
  <c r="AI168" i="4" s="1"/>
  <c r="AT200" i="5"/>
  <c r="AU200" i="5" s="1"/>
  <c r="AT180" i="5"/>
  <c r="AU180" i="5" s="1"/>
  <c r="AT190" i="5"/>
  <c r="AU190" i="5" s="1"/>
  <c r="AT166" i="5"/>
  <c r="AU166" i="5" s="1"/>
  <c r="AT154" i="5"/>
  <c r="AU154" i="5" s="1"/>
  <c r="AT136" i="5"/>
  <c r="AU136" i="5" s="1"/>
  <c r="AT128" i="5"/>
  <c r="AU128" i="5" s="1"/>
  <c r="AT148" i="5"/>
  <c r="AU148" i="5" s="1"/>
  <c r="AT151" i="5"/>
  <c r="AU151" i="5" s="1"/>
  <c r="AT110" i="5"/>
  <c r="AU110" i="5" s="1"/>
  <c r="AT97" i="5"/>
  <c r="AU97" i="5" s="1"/>
  <c r="AT82" i="5"/>
  <c r="AU82" i="5" s="1"/>
  <c r="AT73" i="5"/>
  <c r="AU73" i="5" s="1"/>
  <c r="AH172" i="4"/>
  <c r="AI172" i="4" s="1"/>
  <c r="AT198" i="5"/>
  <c r="AU198" i="5" s="1"/>
  <c r="AT115" i="5"/>
  <c r="AU115" i="5" s="1"/>
  <c r="AK201" i="5"/>
  <c r="AL201" i="5" s="1"/>
  <c r="AT162" i="5"/>
  <c r="AU162" i="5" s="1"/>
  <c r="AT86" i="5"/>
  <c r="AU86" i="5" s="1"/>
  <c r="AT188" i="5"/>
  <c r="AU188" i="5" s="1"/>
  <c r="AH189" i="4"/>
  <c r="AI189" i="4" s="1"/>
  <c r="AK7" i="5"/>
  <c r="AL7" i="5" s="1"/>
  <c r="AH65" i="4"/>
  <c r="AI65" i="4" s="1"/>
  <c r="AH130" i="4"/>
  <c r="AI130" i="4" s="1"/>
  <c r="AK135" i="5"/>
  <c r="AL135" i="5" s="1"/>
  <c r="AH124" i="4"/>
  <c r="AI124" i="4" s="1"/>
  <c r="AH195" i="4"/>
  <c r="AI195" i="4" s="1"/>
  <c r="AH134" i="4"/>
  <c r="AI134" i="4" s="1"/>
  <c r="AK134" i="5"/>
  <c r="AL134" i="5" s="1"/>
  <c r="AH57" i="4"/>
  <c r="AI57" i="4" s="1"/>
  <c r="AH171" i="4"/>
  <c r="AI171" i="4" s="1"/>
  <c r="AH170" i="4"/>
  <c r="AI170" i="4" s="1"/>
  <c r="AH169" i="4"/>
  <c r="AI169" i="4" s="1"/>
  <c r="AH55" i="4"/>
  <c r="AI55" i="4" s="1"/>
  <c r="AK28" i="5"/>
  <c r="AL28" i="5" s="1"/>
  <c r="AK58" i="5"/>
  <c r="AL58" i="5" s="1"/>
  <c r="AK8" i="5"/>
  <c r="AL8" i="5" s="1"/>
  <c r="AH25" i="4"/>
  <c r="AI25" i="4" s="1"/>
  <c r="AH191" i="4"/>
  <c r="AI191" i="4" s="1"/>
  <c r="AH165" i="4"/>
  <c r="AI165" i="4" s="1"/>
  <c r="AH164" i="4"/>
  <c r="AI164" i="4" s="1"/>
  <c r="AK83" i="5"/>
  <c r="AL83" i="5" s="1"/>
  <c r="AK71" i="5"/>
  <c r="AL71" i="5" s="1"/>
  <c r="AH95" i="4"/>
  <c r="AI95" i="4" s="1"/>
  <c r="AH33" i="4"/>
  <c r="AI33" i="4" s="1"/>
  <c r="AK76" i="5"/>
  <c r="AL76" i="5" s="1"/>
  <c r="AH61" i="4"/>
  <c r="AI61" i="4" s="1"/>
  <c r="AH190" i="4"/>
  <c r="AI190" i="4" s="1"/>
  <c r="AH152" i="4"/>
  <c r="AI152" i="4" s="1"/>
  <c r="AK192" i="5"/>
  <c r="AL192" i="5" s="1"/>
  <c r="AK3" i="5"/>
  <c r="AL3" i="5" s="1"/>
  <c r="AK180" i="5"/>
  <c r="AL180" i="5" s="1"/>
  <c r="AK190" i="5"/>
  <c r="AL190" i="5" s="1"/>
  <c r="AK150" i="5"/>
  <c r="AL150" i="5" s="1"/>
  <c r="AK35" i="5"/>
  <c r="AL35" i="5" s="1"/>
  <c r="AK111" i="5"/>
  <c r="AL111" i="5" s="1"/>
  <c r="AK118" i="5"/>
  <c r="AL118" i="5" s="1"/>
  <c r="AK182" i="5"/>
  <c r="AL182" i="5" s="1"/>
  <c r="AK184" i="5"/>
  <c r="AL184" i="5" s="1"/>
  <c r="AH76" i="4"/>
  <c r="AI76" i="4" s="1"/>
  <c r="AH66" i="4"/>
  <c r="AI66" i="4" s="1"/>
  <c r="AH104" i="4"/>
  <c r="AI104" i="4" s="1"/>
  <c r="AK19" i="5"/>
  <c r="AL19" i="5" s="1"/>
  <c r="AK81" i="5"/>
  <c r="AL81" i="5" s="1"/>
  <c r="AH47" i="4"/>
  <c r="AI47" i="4" s="1"/>
  <c r="AH38" i="4"/>
  <c r="AI38" i="4" s="1"/>
  <c r="AH193" i="4"/>
  <c r="AI193" i="4" s="1"/>
  <c r="AH14" i="4"/>
  <c r="AI14" i="4" s="1"/>
  <c r="AK166" i="5"/>
  <c r="AL166" i="5" s="1"/>
  <c r="AK125" i="5"/>
  <c r="AL125" i="5" s="1"/>
  <c r="AK51" i="5"/>
  <c r="AL51" i="5" s="1"/>
  <c r="AK39" i="5"/>
  <c r="AL39" i="5" s="1"/>
  <c r="AK89" i="5"/>
  <c r="AL89" i="5" s="1"/>
  <c r="AK88" i="5"/>
  <c r="AL88" i="5" s="1"/>
  <c r="AK43" i="5"/>
  <c r="AL43" i="5" s="1"/>
  <c r="AK173" i="5"/>
  <c r="AL173" i="5" s="1"/>
  <c r="AH31" i="4"/>
  <c r="AI31" i="4" s="1"/>
  <c r="AH184" i="4"/>
  <c r="AI184" i="4" s="1"/>
  <c r="AH149" i="4"/>
  <c r="AI149" i="4" s="1"/>
  <c r="AH176" i="4"/>
  <c r="AI176" i="4" s="1"/>
  <c r="AH175" i="4"/>
  <c r="AI175" i="4" s="1"/>
  <c r="AH183" i="4"/>
  <c r="AI183" i="4" s="1"/>
  <c r="AK99" i="5"/>
  <c r="AL99" i="5" s="1"/>
  <c r="AK70" i="5"/>
  <c r="AL70" i="5" s="1"/>
  <c r="AH44" i="4"/>
  <c r="AI44" i="4" s="1"/>
  <c r="AH101" i="4"/>
  <c r="AI101" i="4" s="1"/>
  <c r="AH46" i="4"/>
  <c r="AI46" i="4" s="1"/>
  <c r="AH117" i="4"/>
  <c r="AI117" i="4" s="1"/>
  <c r="AK42" i="5"/>
  <c r="AL42" i="5" s="1"/>
  <c r="AH84" i="4"/>
  <c r="AI84" i="4" s="1"/>
  <c r="AH133" i="4"/>
  <c r="AI133" i="4" s="1"/>
  <c r="AK69" i="5"/>
  <c r="AL69" i="5" s="1"/>
  <c r="AK143" i="5"/>
  <c r="AL143" i="5" s="1"/>
  <c r="AH67" i="4"/>
  <c r="AI67" i="4" s="1"/>
  <c r="AH21" i="4"/>
  <c r="AI21" i="4" s="1"/>
  <c r="AH86" i="4"/>
  <c r="AI86" i="4" s="1"/>
  <c r="AK127" i="5"/>
  <c r="AL127" i="5" s="1"/>
  <c r="AK29" i="5"/>
  <c r="AL29" i="5" s="1"/>
  <c r="AK52" i="5"/>
  <c r="AL52" i="5" s="1"/>
  <c r="AK153" i="5"/>
  <c r="AL153" i="5" s="1"/>
  <c r="AK181" i="5"/>
  <c r="AL181" i="5" s="1"/>
  <c r="AH90" i="4"/>
  <c r="AI90" i="4" s="1"/>
  <c r="AH62" i="4"/>
  <c r="AI62" i="4" s="1"/>
  <c r="AH81" i="4"/>
  <c r="AI81" i="4" s="1"/>
  <c r="AH140" i="4"/>
  <c r="AI140" i="4" s="1"/>
  <c r="AK119" i="5"/>
  <c r="AL119" i="5" s="1"/>
  <c r="AH63" i="4"/>
  <c r="AI63" i="4" s="1"/>
  <c r="AK98" i="5"/>
  <c r="AL98" i="5" s="1"/>
  <c r="AH10" i="4"/>
  <c r="AI10" i="4" s="1"/>
  <c r="AK148" i="5"/>
  <c r="AL148" i="5" s="1"/>
  <c r="AK65" i="5"/>
  <c r="AL65" i="5" s="1"/>
  <c r="AH6" i="4"/>
  <c r="AI6" i="4" s="1"/>
  <c r="AK4" i="5"/>
  <c r="AL4" i="5" s="1"/>
  <c r="AK34" i="5"/>
  <c r="AL34" i="5" s="1"/>
  <c r="AK187" i="5"/>
  <c r="AL187" i="5" s="1"/>
  <c r="AK172" i="5"/>
  <c r="AL172" i="5" s="1"/>
  <c r="AK73" i="5"/>
  <c r="AL73" i="5" s="1"/>
  <c r="AK171" i="5"/>
  <c r="AL171" i="5" s="1"/>
  <c r="AK155" i="5"/>
  <c r="AL155" i="5" s="1"/>
  <c r="AK107" i="5"/>
  <c r="AL107" i="5" s="1"/>
  <c r="AK179" i="5"/>
  <c r="AL179" i="5" s="1"/>
  <c r="AK154" i="5"/>
  <c r="AL154" i="5" s="1"/>
  <c r="AK152" i="5"/>
  <c r="AL152" i="5" s="1"/>
  <c r="AH35" i="4"/>
  <c r="AI35" i="4" s="1"/>
  <c r="AH15" i="4"/>
  <c r="AI15" i="4" s="1"/>
  <c r="AH34" i="4"/>
  <c r="AI34" i="4" s="1"/>
  <c r="AH30" i="4"/>
  <c r="AI30" i="4" s="1"/>
  <c r="AH45" i="4"/>
  <c r="AI45" i="4" s="1"/>
  <c r="AH109" i="4"/>
  <c r="AI109" i="4" s="1"/>
  <c r="AK114" i="5"/>
  <c r="AL114" i="5" s="1"/>
  <c r="AK174" i="5"/>
  <c r="AL174" i="5" s="1"/>
  <c r="AH125" i="4"/>
  <c r="AI125" i="4" s="1"/>
  <c r="AK10" i="5"/>
  <c r="AL10" i="5" s="1"/>
  <c r="AK26" i="5"/>
  <c r="AL26" i="5" s="1"/>
  <c r="AK18" i="5"/>
  <c r="AL18" i="5" s="1"/>
  <c r="AH68" i="4"/>
  <c r="AI68" i="4" s="1"/>
  <c r="AH73" i="4"/>
  <c r="AI73" i="4" s="1"/>
  <c r="AH113" i="4"/>
  <c r="AI113" i="4" s="1"/>
  <c r="AH205" i="4"/>
  <c r="AI205" i="4" s="1"/>
  <c r="AH197" i="4"/>
  <c r="AI197" i="4" s="1"/>
  <c r="AK67" i="5"/>
  <c r="AL67" i="5" s="1"/>
  <c r="AK30" i="5"/>
  <c r="AL30" i="5" s="1"/>
  <c r="AK169" i="5"/>
  <c r="AL169" i="5" s="1"/>
  <c r="AH8" i="4"/>
  <c r="AI8" i="4" s="1"/>
  <c r="AK202" i="5"/>
  <c r="AL202" i="5" s="1"/>
  <c r="AH27" i="4"/>
  <c r="AI27" i="4" s="1"/>
  <c r="AH78" i="4"/>
  <c r="AI78" i="4" s="1"/>
  <c r="AH141" i="4"/>
  <c r="AI141" i="4" s="1"/>
  <c r="AH177" i="4"/>
  <c r="AI177" i="4" s="1"/>
  <c r="AK62" i="5"/>
  <c r="AL62" i="5" s="1"/>
  <c r="AK63" i="5"/>
  <c r="AL63" i="5" s="1"/>
  <c r="AK72" i="5"/>
  <c r="AL72" i="5" s="1"/>
  <c r="AK122" i="5"/>
  <c r="AL122" i="5" s="1"/>
  <c r="AH71" i="4"/>
  <c r="AI71" i="4" s="1"/>
  <c r="AH146" i="4"/>
  <c r="AI146" i="4" s="1"/>
  <c r="AK105" i="5"/>
  <c r="AL105" i="5" s="1"/>
  <c r="AK97" i="5"/>
  <c r="AL97" i="5" s="1"/>
  <c r="AH187" i="4"/>
  <c r="AI187" i="4" s="1"/>
  <c r="AH186" i="4"/>
  <c r="AI186" i="4" s="1"/>
  <c r="AH185" i="4"/>
  <c r="AI185" i="4" s="1"/>
  <c r="AH194" i="4"/>
  <c r="AI194" i="4" s="1"/>
  <c r="AK109" i="5"/>
  <c r="AL109" i="5" s="1"/>
  <c r="AK17" i="5"/>
  <c r="AL17" i="5" s="1"/>
  <c r="AK95" i="5"/>
  <c r="AL95" i="5" s="1"/>
  <c r="AK136" i="5"/>
  <c r="AL136" i="5" s="1"/>
  <c r="AK188" i="5"/>
  <c r="AL188" i="5" s="1"/>
  <c r="AK193" i="5"/>
  <c r="AL193" i="5" s="1"/>
  <c r="AK74" i="5"/>
  <c r="AL74" i="5" s="1"/>
  <c r="AK96" i="5"/>
  <c r="AL96" i="5" s="1"/>
  <c r="AH40" i="4"/>
  <c r="AI40" i="4" s="1"/>
  <c r="AH94" i="4"/>
  <c r="AI94" i="4" s="1"/>
  <c r="AK79" i="5"/>
  <c r="AL79" i="5" s="1"/>
  <c r="AK197" i="5"/>
  <c r="AL197" i="5" s="1"/>
  <c r="AH83" i="4"/>
  <c r="AI83" i="4" s="1"/>
  <c r="AH89" i="4"/>
  <c r="AI89" i="4" s="1"/>
  <c r="AH145" i="4"/>
  <c r="AI145" i="4" s="1"/>
  <c r="AH157" i="4"/>
  <c r="AI157" i="4" s="1"/>
  <c r="AK137" i="5"/>
  <c r="AL137" i="5" s="1"/>
  <c r="AH87" i="4"/>
  <c r="AI87" i="4" s="1"/>
  <c r="AH12" i="4"/>
  <c r="AI12" i="4" s="1"/>
  <c r="AH93" i="4"/>
  <c r="AI93" i="4" s="1"/>
  <c r="AK141" i="5"/>
  <c r="AL141" i="5" s="1"/>
  <c r="AK129" i="5"/>
  <c r="AL129" i="5" s="1"/>
  <c r="AK55" i="5"/>
  <c r="AL55" i="5" s="1"/>
  <c r="AK189" i="5"/>
  <c r="AL189" i="5" s="1"/>
  <c r="AH98" i="4"/>
  <c r="AI98" i="4" s="1"/>
  <c r="AH174" i="4"/>
  <c r="AI174" i="4" s="1"/>
  <c r="AK32" i="5"/>
  <c r="AL32" i="5" s="1"/>
  <c r="AK24" i="5"/>
  <c r="AL24" i="5" s="1"/>
  <c r="AK142" i="5"/>
  <c r="AL142" i="5" s="1"/>
  <c r="AH23" i="4"/>
  <c r="AI23" i="4" s="1"/>
  <c r="AH26" i="4"/>
  <c r="AI26" i="4" s="1"/>
  <c r="AH13" i="4"/>
  <c r="AI13" i="4" s="1"/>
  <c r="AH114" i="4"/>
  <c r="AI114" i="4" s="1"/>
  <c r="AK50" i="5"/>
  <c r="AL50" i="5" s="1"/>
  <c r="AK57" i="5"/>
  <c r="AL57" i="5" s="1"/>
  <c r="AK54" i="5"/>
  <c r="AL54" i="5" s="1"/>
  <c r="AK104" i="5"/>
  <c r="AL104" i="5" s="1"/>
  <c r="AK103" i="5"/>
  <c r="AL103" i="5" s="1"/>
  <c r="AK46" i="5"/>
  <c r="AL46" i="5" s="1"/>
  <c r="AK85" i="5"/>
  <c r="AL85" i="5" s="1"/>
  <c r="AK92" i="5"/>
  <c r="AL92" i="5" s="1"/>
  <c r="AK206" i="5"/>
  <c r="AL206" i="5" s="1"/>
  <c r="AK196" i="5"/>
  <c r="AL196" i="5" s="1"/>
  <c r="AK157" i="5"/>
  <c r="AL157" i="5" s="1"/>
  <c r="AK175" i="5"/>
  <c r="AL175" i="5" s="1"/>
  <c r="AH64" i="4"/>
  <c r="AI64" i="4" s="1"/>
  <c r="AH52" i="4"/>
  <c r="AI52" i="4" s="1"/>
  <c r="AH43" i="4"/>
  <c r="AI43" i="4" s="1"/>
  <c r="AH19" i="4"/>
  <c r="AI19" i="4" s="1"/>
  <c r="AH42" i="4"/>
  <c r="AI42" i="4" s="1"/>
  <c r="AH54" i="4"/>
  <c r="AI54" i="4" s="1"/>
  <c r="AH53" i="4"/>
  <c r="AI53" i="4" s="1"/>
  <c r="AH206" i="4"/>
  <c r="AI206" i="4" s="1"/>
  <c r="AK20" i="5"/>
  <c r="AL20" i="5" s="1"/>
  <c r="AK49" i="5"/>
  <c r="AL49" i="5" s="1"/>
  <c r="AK130" i="5"/>
  <c r="AL130" i="5" s="1"/>
  <c r="AK102" i="5"/>
  <c r="AL102" i="5" s="1"/>
  <c r="AK131" i="5"/>
  <c r="AL131" i="5" s="1"/>
  <c r="AK61" i="5"/>
  <c r="AL61" i="5" s="1"/>
  <c r="AK123" i="5"/>
  <c r="AL123" i="5" s="1"/>
  <c r="AK195" i="5"/>
  <c r="AL195" i="5" s="1"/>
  <c r="AK170" i="5"/>
  <c r="AL170" i="5" s="1"/>
  <c r="AK168" i="5"/>
  <c r="AL168" i="5" s="1"/>
  <c r="AH22" i="4"/>
  <c r="AI22" i="4" s="1"/>
  <c r="AH51" i="4"/>
  <c r="AI51" i="4" s="1"/>
  <c r="AH70" i="4"/>
  <c r="AI70" i="4" s="1"/>
  <c r="AH181" i="4"/>
  <c r="AI181" i="4" s="1"/>
  <c r="AH180" i="4"/>
  <c r="AI180" i="4" s="1"/>
  <c r="AK14" i="5"/>
  <c r="AL14" i="5" s="1"/>
  <c r="AK66" i="5"/>
  <c r="AL66" i="5" s="1"/>
  <c r="AK101" i="5"/>
  <c r="AL101" i="5" s="1"/>
  <c r="AK90" i="5"/>
  <c r="AL90" i="5" s="1"/>
  <c r="AK178" i="5"/>
  <c r="AL178" i="5" s="1"/>
  <c r="AK191" i="5"/>
  <c r="AL191" i="5" s="1"/>
  <c r="AH72" i="4"/>
  <c r="AI72" i="4" s="1"/>
  <c r="AH48" i="4"/>
  <c r="AI48" i="4" s="1"/>
  <c r="AH59" i="4"/>
  <c r="AI59" i="4" s="1"/>
  <c r="AH58" i="4"/>
  <c r="AI58" i="4" s="1"/>
  <c r="AH7" i="4"/>
  <c r="AI7" i="4" s="1"/>
  <c r="AH24" i="4"/>
  <c r="AI24" i="4" s="1"/>
  <c r="AH179" i="4"/>
  <c r="AI179" i="4" s="1"/>
  <c r="AK77" i="5"/>
  <c r="AL77" i="5" s="1"/>
  <c r="AK139" i="5"/>
  <c r="AL139" i="5" s="1"/>
  <c r="AK144" i="5"/>
  <c r="AL144" i="5" s="1"/>
  <c r="AK186" i="5"/>
  <c r="AL186" i="5" s="1"/>
  <c r="AH142" i="4"/>
  <c r="AI142" i="4" s="1"/>
  <c r="AH196" i="4"/>
  <c r="AI196" i="4" s="1"/>
  <c r="AK41" i="5"/>
  <c r="AL41" i="5" s="1"/>
  <c r="AK87" i="5"/>
  <c r="AL87" i="5" s="1"/>
  <c r="AK40" i="5"/>
  <c r="AL40" i="5" s="1"/>
  <c r="AK106" i="5"/>
  <c r="AL106" i="5" s="1"/>
  <c r="AK68" i="5"/>
  <c r="AL68" i="5" s="1"/>
  <c r="AK198" i="5"/>
  <c r="AL198" i="5" s="1"/>
  <c r="AK149" i="5"/>
  <c r="AL149" i="5" s="1"/>
  <c r="AK156" i="5"/>
  <c r="AL156" i="5" s="1"/>
  <c r="AH80" i="4"/>
  <c r="AI80" i="4" s="1"/>
  <c r="AH39" i="4"/>
  <c r="AI39" i="4" s="1"/>
  <c r="AH74" i="4"/>
  <c r="AI74" i="4" s="1"/>
  <c r="AH37" i="4"/>
  <c r="AI37" i="4" s="1"/>
  <c r="AH120" i="4"/>
  <c r="AI120" i="4" s="1"/>
  <c r="AK25" i="5"/>
  <c r="AL25" i="5" s="1"/>
  <c r="AK13" i="5"/>
  <c r="AL13" i="5" s="1"/>
  <c r="AK36" i="5"/>
  <c r="AL36" i="5" s="1"/>
  <c r="AK64" i="5"/>
  <c r="AL64" i="5" s="1"/>
  <c r="AK93" i="5"/>
  <c r="AL93" i="5" s="1"/>
  <c r="AK78" i="5"/>
  <c r="AL78" i="5" s="1"/>
  <c r="AK200" i="5"/>
  <c r="AL200" i="5" s="1"/>
  <c r="AH17" i="4"/>
  <c r="AI17" i="4" s="1"/>
  <c r="AK12" i="5"/>
  <c r="AL12" i="5" s="1"/>
  <c r="AK5" i="5"/>
  <c r="AL5" i="5" s="1"/>
  <c r="AK56" i="5"/>
  <c r="AL56" i="5" s="1"/>
  <c r="AK165" i="5"/>
  <c r="AL165" i="5" s="1"/>
  <c r="AK151" i="5"/>
  <c r="AL151" i="5" s="1"/>
  <c r="AH88" i="4"/>
  <c r="AI88" i="4" s="1"/>
  <c r="AH82" i="4"/>
  <c r="AI82" i="4" s="1"/>
  <c r="AH69" i="4"/>
  <c r="AI69" i="4" s="1"/>
  <c r="AH158" i="4"/>
  <c r="AI158" i="4" s="1"/>
  <c r="AH150" i="4"/>
  <c r="AI150" i="4" s="1"/>
  <c r="AH162" i="4"/>
  <c r="AI162" i="4" s="1"/>
  <c r="AK94" i="5"/>
  <c r="AL94" i="5" s="1"/>
  <c r="AH50" i="4"/>
  <c r="AI50" i="4" s="1"/>
  <c r="AH77" i="4"/>
  <c r="AI77" i="4" s="1"/>
  <c r="AK47" i="5"/>
  <c r="AL47" i="5" s="1"/>
  <c r="AK21" i="5"/>
  <c r="AL21" i="5" s="1"/>
  <c r="AK15" i="5"/>
  <c r="AL15" i="5" s="1"/>
  <c r="AK138" i="5"/>
  <c r="AL138" i="5" s="1"/>
  <c r="AK167" i="5"/>
  <c r="AL167" i="5" s="1"/>
  <c r="AH96" i="4"/>
  <c r="AI96" i="4" s="1"/>
  <c r="AH75" i="4"/>
  <c r="AI75" i="4" s="1"/>
  <c r="AH28" i="4"/>
  <c r="AI28" i="4" s="1"/>
  <c r="AK33" i="5"/>
  <c r="AL33" i="5" s="1"/>
  <c r="AK110" i="5"/>
  <c r="AL110" i="5" s="1"/>
  <c r="AK59" i="5"/>
  <c r="AL59" i="5" s="1"/>
  <c r="AH166" i="4"/>
  <c r="AI166" i="4" s="1"/>
  <c r="AK31" i="5"/>
  <c r="AL31" i="5" s="1"/>
  <c r="AK161" i="5"/>
  <c r="AL161" i="5" s="1"/>
  <c r="AK204" i="5"/>
  <c r="AL204" i="5" s="1"/>
  <c r="AK183" i="5"/>
  <c r="AL183" i="5" s="1"/>
  <c r="AH56" i="4"/>
  <c r="AI56" i="4" s="1"/>
  <c r="AH136" i="4"/>
  <c r="AI136" i="4" s="1"/>
  <c r="AH163" i="4"/>
  <c r="AI163" i="4" s="1"/>
  <c r="AK37" i="5"/>
  <c r="AL37" i="5" s="1"/>
  <c r="AK82" i="5"/>
  <c r="AL82" i="5" s="1"/>
  <c r="AK112" i="5"/>
  <c r="AL112" i="5" s="1"/>
  <c r="AK126" i="5"/>
  <c r="AL126" i="5" s="1"/>
  <c r="AK75" i="5"/>
  <c r="AL75" i="5" s="1"/>
  <c r="AK147" i="5"/>
  <c r="AL147" i="5" s="1"/>
  <c r="AH182" i="4"/>
  <c r="AI182" i="4" s="1"/>
  <c r="AK11" i="5"/>
  <c r="AL11" i="5" s="1"/>
  <c r="AK60" i="5"/>
  <c r="AL60" i="5" s="1"/>
  <c r="AK194" i="5"/>
  <c r="AL194" i="5" s="1"/>
  <c r="AK199" i="5"/>
  <c r="AL199" i="5" s="1"/>
  <c r="AH91" i="4"/>
  <c r="AI91" i="4" s="1"/>
  <c r="AH3" i="4"/>
  <c r="AI3" i="4" s="1"/>
  <c r="AH110" i="4"/>
  <c r="AI110" i="4" s="1"/>
  <c r="AK53" i="5"/>
  <c r="AL53" i="5" s="1"/>
  <c r="AK128" i="5"/>
  <c r="AL128" i="5" s="1"/>
  <c r="AK91" i="5"/>
  <c r="AL91" i="5" s="1"/>
  <c r="AK163" i="5"/>
  <c r="AL163" i="5" s="1"/>
  <c r="AH9" i="4"/>
  <c r="AI9" i="4" s="1"/>
  <c r="AH126" i="4"/>
  <c r="AI126" i="4" s="1"/>
  <c r="AH198" i="4"/>
  <c r="AI198" i="4" s="1"/>
  <c r="AK9" i="5"/>
  <c r="AL9" i="5" s="1"/>
  <c r="AK44" i="5"/>
  <c r="AL44" i="5" s="1"/>
  <c r="AK38" i="5"/>
  <c r="AL38" i="5" s="1"/>
  <c r="AK27" i="5"/>
  <c r="AL27" i="5" s="1"/>
  <c r="AK162" i="5"/>
  <c r="AL162" i="5" s="1"/>
  <c r="AK159" i="5"/>
  <c r="AL159" i="5" s="1"/>
  <c r="AK205" i="5"/>
  <c r="AL205" i="5" s="1"/>
  <c r="AK203" i="5"/>
  <c r="AL203" i="5" s="1"/>
  <c r="AH36" i="4"/>
  <c r="AI36" i="4" s="1"/>
  <c r="AH32" i="4"/>
  <c r="AI32" i="4" s="1"/>
  <c r="AH16" i="4"/>
  <c r="AI16" i="4" s="1"/>
  <c r="AH41" i="4"/>
  <c r="AI41" i="4" s="1"/>
  <c r="I3" i="17" a="1"/>
  <c r="I3" i="17" l="1"/>
  <c r="D62" i="12" l="1"/>
  <c r="F2" i="16" l="1"/>
  <c r="G2" i="16"/>
  <c r="K2" i="16"/>
  <c r="J2" i="16"/>
  <c r="B2" i="16"/>
  <c r="K197" i="5"/>
  <c r="I187" i="5"/>
  <c r="C494" i="1" a="1"/>
  <c r="K94" i="4"/>
  <c r="C131" i="12"/>
  <c r="C22" i="10"/>
  <c r="H150" i="4"/>
  <c r="H163" i="16"/>
  <c r="E188" i="5"/>
  <c r="E159" i="4"/>
  <c r="I176" i="4"/>
  <c r="H13" i="4"/>
  <c r="J81" i="4"/>
  <c r="J42" i="4"/>
  <c r="I56" i="5"/>
  <c r="C60" i="8"/>
  <c r="C86" i="10"/>
  <c r="K42" i="5"/>
  <c r="C196" i="10"/>
  <c r="E133" i="4"/>
  <c r="I41" i="4"/>
  <c r="C193" i="12"/>
  <c r="C238" i="12"/>
  <c r="E138" i="4"/>
  <c r="E125" i="5"/>
  <c r="C452" i="1" a="1"/>
  <c r="C488" i="1" a="1"/>
  <c r="F198" i="5"/>
  <c r="I172" i="4"/>
  <c r="C29" i="12"/>
  <c r="C92" i="9"/>
  <c r="I40" i="4"/>
  <c r="J9" i="5"/>
  <c r="J19" i="5"/>
  <c r="K124" i="4"/>
  <c r="C248" i="1"/>
  <c r="H103" i="5"/>
  <c r="K123" i="5"/>
  <c r="C15" i="11"/>
  <c r="C66" i="10"/>
  <c r="K31" i="4"/>
  <c r="C116" i="12"/>
  <c r="E85" i="4"/>
  <c r="H51" i="5"/>
  <c r="H25" i="5"/>
  <c r="J167" i="4"/>
  <c r="H61" i="5"/>
  <c r="F164" i="4"/>
  <c r="H197" i="5"/>
  <c r="C478" i="1" a="1"/>
  <c r="J26" i="4"/>
  <c r="C34" i="10"/>
  <c r="E200" i="4"/>
  <c r="H73" i="4"/>
  <c r="C234" i="12"/>
  <c r="F148" i="4"/>
  <c r="C32" i="8"/>
  <c r="C263" i="12"/>
  <c r="J193" i="4"/>
  <c r="H171" i="5"/>
  <c r="C441" i="1" a="1"/>
  <c r="I49" i="5"/>
  <c r="H128" i="5"/>
  <c r="C414" i="1" a="1"/>
  <c r="J82" i="5"/>
  <c r="I107" i="4"/>
  <c r="J64" i="16" a="1"/>
  <c r="H80" i="5"/>
  <c r="C201" i="11"/>
  <c r="J159" i="5"/>
  <c r="C162" i="10"/>
  <c r="I46" i="4"/>
  <c r="J181" i="4"/>
  <c r="C171" i="9"/>
  <c r="H178" i="5"/>
  <c r="C279" i="9"/>
  <c r="I6" i="4"/>
  <c r="C222" i="10"/>
  <c r="C241" i="12"/>
  <c r="C21" i="10"/>
  <c r="J173" i="5"/>
  <c r="C255" i="10"/>
  <c r="C213" i="12"/>
  <c r="I174" i="5"/>
  <c r="J181" i="16" a="1"/>
  <c r="C461" i="1" a="1"/>
  <c r="C25" i="8"/>
  <c r="E206" i="5"/>
  <c r="C23" i="12"/>
  <c r="E141" i="4"/>
  <c r="J107" i="4"/>
  <c r="C219" i="12"/>
  <c r="I135" i="5"/>
  <c r="I48" i="16" a="1"/>
  <c r="E53" i="4"/>
  <c r="F139" i="5"/>
  <c r="C231" i="8"/>
  <c r="E13" i="4"/>
  <c r="C186" i="10"/>
  <c r="J66" i="16" a="1"/>
  <c r="H142" i="4"/>
  <c r="K26" i="5"/>
  <c r="I205" i="4"/>
  <c r="C173" i="12"/>
  <c r="I90" i="4"/>
  <c r="C140" i="10"/>
  <c r="C63" i="12"/>
  <c r="J137" i="4"/>
  <c r="C290" i="10"/>
  <c r="H99" i="16"/>
  <c r="C7" i="9"/>
  <c r="C109" i="11"/>
  <c r="F185" i="4"/>
  <c r="H180" i="5"/>
  <c r="H67" i="5"/>
  <c r="C121" i="11"/>
  <c r="C6" i="12"/>
  <c r="J163" i="4"/>
  <c r="E82" i="5"/>
  <c r="K48" i="5"/>
  <c r="F71" i="5"/>
  <c r="F21" i="4"/>
  <c r="F33" i="5"/>
  <c r="C167" i="1" a="1"/>
  <c r="H15" i="4"/>
  <c r="E186" i="4"/>
  <c r="C146" i="1" a="1"/>
  <c r="I81" i="16" a="1"/>
  <c r="J157" i="4"/>
  <c r="E77" i="4"/>
  <c r="C432" i="1" a="1"/>
  <c r="C215" i="11"/>
  <c r="J140" i="5"/>
  <c r="C10" i="11"/>
  <c r="I102" i="16" a="1"/>
  <c r="C429" i="1" a="1"/>
  <c r="C15" i="12"/>
  <c r="H18" i="5"/>
  <c r="H41" i="5"/>
  <c r="I39" i="5"/>
  <c r="K102" i="4"/>
  <c r="K175" i="5"/>
  <c r="C451" i="1" a="1"/>
  <c r="E191" i="5"/>
  <c r="E51" i="5"/>
  <c r="I51" i="5"/>
  <c r="F49" i="4"/>
  <c r="J135" i="16" a="1"/>
  <c r="E6" i="4"/>
  <c r="E83" i="5"/>
  <c r="C3" i="17" a="1"/>
  <c r="C165" i="12"/>
  <c r="H140" i="5"/>
  <c r="I43" i="4"/>
  <c r="H187" i="16"/>
  <c r="H73" i="16"/>
  <c r="C213" i="10"/>
  <c r="C241" i="8"/>
  <c r="J10" i="4"/>
  <c r="C273" i="12"/>
  <c r="J199" i="4"/>
  <c r="I35" i="4"/>
  <c r="I98" i="5"/>
  <c r="J41" i="5"/>
  <c r="F42" i="5"/>
  <c r="C135" i="12"/>
  <c r="H181" i="5"/>
  <c r="J36" i="4"/>
  <c r="H27" i="4"/>
  <c r="C74" i="12"/>
  <c r="K197" i="4"/>
  <c r="C146" i="8"/>
  <c r="C279" i="12"/>
  <c r="J159" i="4"/>
  <c r="C71" i="8"/>
  <c r="C469" i="1" a="1"/>
  <c r="C218" i="8"/>
  <c r="E109" i="5"/>
  <c r="C35" i="1" a="1"/>
  <c r="K149" i="5"/>
  <c r="F194" i="5"/>
  <c r="I57" i="4"/>
  <c r="H122" i="5"/>
  <c r="H162" i="5"/>
  <c r="C101" i="8"/>
  <c r="E134" i="4"/>
  <c r="C404" i="1" a="1"/>
  <c r="F70" i="5"/>
  <c r="C250" i="10"/>
  <c r="K35" i="4"/>
  <c r="C158" i="12"/>
  <c r="C39" i="1" a="1"/>
  <c r="I140" i="5"/>
  <c r="C302" i="8"/>
  <c r="C406" i="1" a="1"/>
  <c r="K73" i="5"/>
  <c r="K19" i="4"/>
  <c r="C88" i="11"/>
  <c r="E166" i="5"/>
  <c r="C303" i="8"/>
  <c r="E112" i="5"/>
  <c r="C96" i="1" a="1"/>
  <c r="C13" i="9"/>
  <c r="C262" i="10"/>
  <c r="I198" i="5"/>
  <c r="J62" i="4"/>
  <c r="F80" i="4"/>
  <c r="I206" i="4"/>
  <c r="E156" i="4"/>
  <c r="E204" i="4"/>
  <c r="I198" i="4"/>
  <c r="C323" i="1" a="1"/>
  <c r="H30" i="5"/>
  <c r="I91" i="16" a="1"/>
  <c r="C71" i="11"/>
  <c r="C283" i="11"/>
  <c r="C205" i="8"/>
  <c r="C453" i="1" a="1"/>
  <c r="I141" i="4"/>
  <c r="F60" i="5"/>
  <c r="F146" i="4"/>
  <c r="C229" i="8"/>
  <c r="C229" i="12"/>
  <c r="E157" i="4"/>
  <c r="J180" i="16" a="1"/>
  <c r="C197" i="9"/>
  <c r="J121" i="4"/>
  <c r="F170" i="4"/>
  <c r="K59" i="5"/>
  <c r="E177" i="5"/>
  <c r="H201" i="5"/>
  <c r="J196" i="5"/>
  <c r="J176" i="16" a="1"/>
  <c r="I48" i="4"/>
  <c r="C235" i="8"/>
  <c r="H87" i="5"/>
  <c r="J109" i="5"/>
  <c r="C156" i="10"/>
  <c r="E157" i="5"/>
  <c r="E45" i="5"/>
  <c r="I72" i="16" a="1"/>
  <c r="F98" i="4"/>
  <c r="C26" i="12"/>
  <c r="F35" i="5"/>
  <c r="C25" i="1" a="1"/>
  <c r="C287" i="10"/>
  <c r="J55" i="5"/>
  <c r="I183" i="4"/>
  <c r="H139" i="5"/>
  <c r="E141" i="5"/>
  <c r="I112" i="4"/>
  <c r="I122" i="16" a="1"/>
  <c r="C246" i="11"/>
  <c r="E126" i="4"/>
  <c r="E39" i="4"/>
  <c r="F121" i="5"/>
  <c r="C250" i="12"/>
  <c r="C174" i="12"/>
  <c r="F38" i="5"/>
  <c r="C111" i="8"/>
  <c r="H22" i="5"/>
  <c r="C150" i="1" a="1"/>
  <c r="C165" i="1" a="1"/>
  <c r="C149" i="12"/>
  <c r="I76" i="5"/>
  <c r="E165" i="4"/>
  <c r="C104" i="10"/>
  <c r="K62" i="4"/>
  <c r="I12" i="5"/>
  <c r="C199" i="1" a="1"/>
  <c r="C114" i="10"/>
  <c r="I58" i="5"/>
  <c r="E47" i="5"/>
  <c r="C135" i="1" a="1"/>
  <c r="J128" i="16" a="1"/>
  <c r="F181" i="4"/>
  <c r="K111" i="5"/>
  <c r="J166" i="5"/>
  <c r="C259" i="10"/>
  <c r="H84" i="16"/>
  <c r="C87" i="1" a="1"/>
  <c r="C302" i="9"/>
  <c r="C78" i="8"/>
  <c r="K16" i="4"/>
  <c r="C64" i="1" a="1"/>
  <c r="C264" i="8"/>
  <c r="I20" i="5"/>
  <c r="C421" i="1" a="1"/>
  <c r="I169" i="16" a="1"/>
  <c r="F79" i="5"/>
  <c r="C46" i="9"/>
  <c r="K116" i="5"/>
  <c r="F136" i="4"/>
  <c r="F183" i="4"/>
  <c r="H171" i="16"/>
  <c r="I140" i="16" a="1"/>
  <c r="E132" i="4"/>
  <c r="C285" i="11"/>
  <c r="J90" i="16" a="1"/>
  <c r="F197" i="4"/>
  <c r="C415" i="1" a="1"/>
  <c r="C340" i="1" a="1"/>
  <c r="E97" i="5"/>
  <c r="C155" i="8"/>
  <c r="E89" i="4"/>
  <c r="J44" i="16" a="1"/>
  <c r="E123" i="5"/>
  <c r="C131" i="8"/>
  <c r="C175" i="10"/>
  <c r="K109" i="4"/>
  <c r="C5" i="1" a="1"/>
  <c r="H188" i="16"/>
  <c r="F129" i="5"/>
  <c r="H146" i="16"/>
  <c r="H72" i="5"/>
  <c r="C168" i="11"/>
  <c r="C237" i="10"/>
  <c r="E37" i="5"/>
  <c r="C258" i="8"/>
  <c r="I70" i="4"/>
  <c r="K5" i="4"/>
  <c r="C64" i="9"/>
  <c r="F156" i="4"/>
  <c r="H46" i="4"/>
  <c r="C137" i="12"/>
  <c r="C115" i="1" a="1"/>
  <c r="H32" i="5"/>
  <c r="F93" i="5"/>
  <c r="C351" i="1" a="1"/>
  <c r="E90" i="4"/>
  <c r="C64" i="12"/>
  <c r="J117" i="16" a="1"/>
  <c r="C301" i="12"/>
  <c r="J184" i="4"/>
  <c r="E121" i="5"/>
  <c r="E79" i="4"/>
  <c r="C261" i="8"/>
  <c r="C263" i="8"/>
  <c r="J113" i="4"/>
  <c r="C49" i="9"/>
  <c r="C163" i="9"/>
  <c r="J27" i="5"/>
  <c r="H85" i="16"/>
  <c r="C224" i="9"/>
  <c r="C47" i="10"/>
  <c r="E106" i="4"/>
  <c r="F13" i="5"/>
  <c r="C126" i="10"/>
  <c r="I160" i="4"/>
  <c r="C239" i="8"/>
  <c r="I20" i="4"/>
  <c r="C279" i="11"/>
  <c r="C32" i="10"/>
  <c r="C177" i="11"/>
  <c r="C138" i="1" a="1"/>
  <c r="H186" i="4"/>
  <c r="K95" i="5"/>
  <c r="C8" i="8"/>
  <c r="C221" i="10"/>
  <c r="E5" i="4"/>
  <c r="C190" i="10"/>
  <c r="K3" i="4"/>
  <c r="I26" i="5"/>
  <c r="C257" i="11"/>
  <c r="C125" i="1" a="1"/>
  <c r="C472" i="1" a="1"/>
  <c r="H163" i="5"/>
  <c r="H129" i="4"/>
  <c r="C446" i="1" a="1"/>
  <c r="H122" i="4"/>
  <c r="I201" i="4"/>
  <c r="J110" i="16" a="1"/>
  <c r="K37" i="5"/>
  <c r="K31" i="5"/>
  <c r="K63" i="4"/>
  <c r="C144" i="12"/>
  <c r="C48" i="9"/>
  <c r="I185" i="4"/>
  <c r="J87" i="16" a="1"/>
  <c r="C428" i="1" a="1"/>
  <c r="C95" i="1" a="1"/>
  <c r="I150" i="5"/>
  <c r="C42" i="9"/>
  <c r="J63" i="16" a="1"/>
  <c r="H94" i="5"/>
  <c r="E137" i="5"/>
  <c r="F157" i="4"/>
  <c r="E5" i="1" a="1"/>
  <c r="J47" i="16" a="1"/>
  <c r="J77" i="5"/>
  <c r="C37" i="9"/>
  <c r="J105" i="5"/>
  <c r="J68" i="16" a="1"/>
  <c r="C209" i="11"/>
  <c r="I58" i="4"/>
  <c r="H160" i="4"/>
  <c r="E96" i="4"/>
  <c r="F143" i="5"/>
  <c r="H104" i="4"/>
  <c r="K187" i="5"/>
  <c r="H57" i="16"/>
  <c r="F55" i="4"/>
  <c r="E85" i="5"/>
  <c r="C57" i="12"/>
  <c r="J178" i="5"/>
  <c r="I190" i="16" a="1"/>
  <c r="F157" i="5"/>
  <c r="C171" i="10"/>
  <c r="I36" i="4"/>
  <c r="C59" i="12"/>
  <c r="C134" i="9"/>
  <c r="I69" i="4"/>
  <c r="K39" i="5"/>
  <c r="C7" i="1" a="1"/>
  <c r="C18" i="12"/>
  <c r="C230" i="12"/>
  <c r="C220" i="1" a="1"/>
  <c r="C191" i="9"/>
  <c r="H28" i="5"/>
  <c r="J96" i="5"/>
  <c r="C319" i="1" a="1"/>
  <c r="K135" i="4"/>
  <c r="I162" i="16" a="1"/>
  <c r="C118" i="12"/>
  <c r="C64" i="10"/>
  <c r="I104" i="5"/>
  <c r="C191" i="1"/>
  <c r="J106" i="16" a="1"/>
  <c r="K56" i="4"/>
  <c r="F115" i="4"/>
  <c r="E186" i="5"/>
  <c r="K154" i="5"/>
  <c r="K37" i="4"/>
  <c r="E36" i="4"/>
  <c r="F14" i="5"/>
  <c r="I114" i="16" a="1"/>
  <c r="C252" i="9"/>
  <c r="C96" i="8"/>
  <c r="H128" i="16"/>
  <c r="H195" i="4"/>
  <c r="K191" i="5"/>
  <c r="C85" i="11"/>
  <c r="I99" i="5"/>
  <c r="E56" i="4"/>
  <c r="K32" i="5"/>
  <c r="H123" i="5"/>
  <c r="I136" i="16" a="1"/>
  <c r="E7" i="5"/>
  <c r="F140" i="4"/>
  <c r="J119" i="16" a="1"/>
  <c r="C276" i="9"/>
  <c r="E108" i="4"/>
  <c r="C172" i="11"/>
  <c r="J46" i="4"/>
  <c r="H54" i="5"/>
  <c r="C94" i="1" a="1"/>
  <c r="C286" i="11"/>
  <c r="C73" i="12"/>
  <c r="F206" i="5"/>
  <c r="J76" i="16" a="1"/>
  <c r="J38" i="5"/>
  <c r="K21" i="4"/>
  <c r="H44" i="4"/>
  <c r="C142" i="11"/>
  <c r="C282" i="12"/>
  <c r="H157" i="5"/>
  <c r="C60" i="12"/>
  <c r="C101" i="12"/>
  <c r="C37" i="11"/>
  <c r="H137" i="16"/>
  <c r="C250" i="8"/>
  <c r="K173" i="5"/>
  <c r="K142" i="5"/>
  <c r="E62" i="4"/>
  <c r="C22" i="12"/>
  <c r="C85" i="10"/>
  <c r="C30" i="12"/>
  <c r="C39" i="10"/>
  <c r="H179" i="5"/>
  <c r="C11" i="1" a="1"/>
  <c r="E164" i="5"/>
  <c r="I123" i="16" a="1"/>
  <c r="C154" i="8"/>
  <c r="K164" i="4"/>
  <c r="E17" i="5"/>
  <c r="J12" i="4"/>
  <c r="J162" i="4"/>
  <c r="C53" i="12"/>
  <c r="J137" i="5"/>
  <c r="H33" i="4"/>
  <c r="C50" i="1" a="1"/>
  <c r="C269" i="12"/>
  <c r="F150" i="4"/>
  <c r="J146" i="4"/>
  <c r="H159" i="4"/>
  <c r="J43" i="16" a="1"/>
  <c r="C232" i="1"/>
  <c r="C86" i="9"/>
  <c r="I143" i="5"/>
  <c r="E92" i="4"/>
  <c r="F80" i="5"/>
  <c r="K171" i="4"/>
  <c r="E68" i="5"/>
  <c r="I175" i="4"/>
  <c r="C148" i="1" a="1"/>
  <c r="I104" i="16" a="1"/>
  <c r="H142" i="16"/>
  <c r="C41" i="11"/>
  <c r="J112" i="16" a="1"/>
  <c r="J98" i="5"/>
  <c r="C113" i="9"/>
  <c r="C112" i="1" a="1"/>
  <c r="H71" i="16"/>
  <c r="K147" i="4"/>
  <c r="H52" i="5"/>
  <c r="I138" i="4"/>
  <c r="C290" i="8"/>
  <c r="C118" i="10"/>
  <c r="I129" i="5"/>
  <c r="I180" i="4"/>
  <c r="C74" i="10"/>
  <c r="E160" i="5"/>
  <c r="K74" i="4"/>
  <c r="C180" i="1" a="1"/>
  <c r="H82" i="5"/>
  <c r="H174" i="16"/>
  <c r="J173" i="16" a="1"/>
  <c r="I116" i="4"/>
  <c r="C24" i="9"/>
  <c r="E74" i="5"/>
  <c r="C89" i="9"/>
  <c r="C109" i="12"/>
  <c r="J139" i="16" a="1"/>
  <c r="E62" i="5"/>
  <c r="H67" i="16"/>
  <c r="C46" i="8"/>
  <c r="H76" i="4"/>
  <c r="C196" i="1" a="1"/>
  <c r="K180" i="5"/>
  <c r="C47" i="8"/>
  <c r="E69" i="5"/>
  <c r="E36" i="5"/>
  <c r="C130" i="8"/>
  <c r="E172" i="5"/>
  <c r="I126" i="5"/>
  <c r="C73" i="8"/>
  <c r="E140" i="5"/>
  <c r="C318" i="1" a="1"/>
  <c r="C195" i="9"/>
  <c r="K139" i="4"/>
  <c r="J192" i="4"/>
  <c r="C137" i="10"/>
  <c r="K112" i="5"/>
  <c r="C25" i="10"/>
  <c r="C259" i="8"/>
  <c r="C260" i="1"/>
  <c r="K43" i="5"/>
  <c r="I142" i="4"/>
  <c r="E143" i="4"/>
  <c r="C95" i="11"/>
  <c r="H189" i="5"/>
  <c r="C189" i="9"/>
  <c r="H166" i="5"/>
  <c r="I147" i="16" a="1"/>
  <c r="F110" i="5"/>
  <c r="E136" i="5"/>
  <c r="H91" i="16"/>
  <c r="I78" i="4"/>
  <c r="J199" i="5"/>
  <c r="K117" i="4"/>
  <c r="F173" i="4"/>
  <c r="C97" i="12"/>
  <c r="J34" i="4"/>
  <c r="I120" i="4"/>
  <c r="C38" i="10"/>
  <c r="F77" i="4"/>
  <c r="H92" i="5"/>
  <c r="C264" i="11"/>
  <c r="C321" i="1" a="1"/>
  <c r="F127" i="5"/>
  <c r="C123" i="12"/>
  <c r="K47" i="4"/>
  <c r="K169" i="5"/>
  <c r="C288" i="8"/>
  <c r="C164" i="10"/>
  <c r="K156" i="4"/>
  <c r="C484" i="1" a="1"/>
  <c r="C29" i="11"/>
  <c r="C263" i="10"/>
  <c r="E8" i="4"/>
  <c r="C88" i="9"/>
  <c r="C41" i="8"/>
  <c r="J28" i="4"/>
  <c r="I104" i="4"/>
  <c r="C98" i="8"/>
  <c r="C192" i="10"/>
  <c r="C134" i="10"/>
  <c r="C178" i="10"/>
  <c r="C9" i="8"/>
  <c r="C250" i="11"/>
  <c r="C251" i="10"/>
  <c r="J93" i="5"/>
  <c r="I10" i="5"/>
  <c r="J29" i="5"/>
  <c r="F87" i="4"/>
  <c r="J44" i="5"/>
  <c r="C132" i="11"/>
  <c r="F194" i="4"/>
  <c r="J159" i="16" a="1"/>
  <c r="F112" i="5"/>
  <c r="F152" i="4"/>
  <c r="C133" i="9"/>
  <c r="J83" i="5"/>
  <c r="H154" i="5"/>
  <c r="C146" i="9"/>
  <c r="K45" i="4"/>
  <c r="C50" i="12"/>
  <c r="C437" i="1" a="1"/>
  <c r="K87" i="5"/>
  <c r="C166" i="10"/>
  <c r="C254" i="10"/>
  <c r="H184" i="4"/>
  <c r="C244" i="8"/>
  <c r="I29" i="5"/>
  <c r="K164" i="5"/>
  <c r="C107" i="8"/>
  <c r="C106" i="9"/>
  <c r="I83" i="4"/>
  <c r="E180" i="4"/>
  <c r="H111" i="5"/>
  <c r="J84" i="4"/>
  <c r="I110" i="5"/>
  <c r="C148" i="10"/>
  <c r="K72" i="5"/>
  <c r="I163" i="16" a="1"/>
  <c r="F178" i="5"/>
  <c r="H3" i="4"/>
  <c r="C48" i="10"/>
  <c r="C223" i="10"/>
  <c r="F158" i="5"/>
  <c r="F78" i="4"/>
  <c r="F154" i="5"/>
  <c r="C213" i="11"/>
  <c r="K34" i="5"/>
  <c r="C54" i="9"/>
  <c r="I122" i="4"/>
  <c r="I28" i="4"/>
  <c r="C37" i="12"/>
  <c r="J107" i="16" a="1"/>
  <c r="J169" i="4"/>
  <c r="F36" i="4"/>
  <c r="H149" i="16"/>
  <c r="C292" i="8"/>
  <c r="J130" i="16" a="1"/>
  <c r="K138" i="5"/>
  <c r="K159" i="5"/>
  <c r="C264" i="12"/>
  <c r="H144" i="5"/>
  <c r="E63" i="5"/>
  <c r="E21" i="5"/>
  <c r="C20" i="1" a="1"/>
  <c r="K86" i="5"/>
  <c r="F154" i="4"/>
  <c r="C96" i="12"/>
  <c r="J189" i="4"/>
  <c r="J6" i="4"/>
  <c r="H107" i="16"/>
  <c r="J54" i="16" a="1"/>
  <c r="I11" i="4"/>
  <c r="C23" i="8"/>
  <c r="C121" i="9"/>
  <c r="H140" i="16"/>
  <c r="E167" i="4"/>
  <c r="H95" i="4"/>
  <c r="C287" i="1"/>
  <c r="K82" i="5"/>
  <c r="F92" i="5"/>
  <c r="E49" i="5"/>
  <c r="K17" i="5"/>
  <c r="C72" i="9"/>
  <c r="J8" i="5"/>
  <c r="F90" i="4"/>
  <c r="C99" i="10"/>
  <c r="F113" i="5"/>
  <c r="I85" i="5"/>
  <c r="F120" i="4"/>
  <c r="C153" i="11"/>
  <c r="C261" i="12"/>
  <c r="C475" i="1" a="1"/>
  <c r="C255" i="9"/>
  <c r="C482" i="1" a="1"/>
  <c r="C297" i="12"/>
  <c r="H70" i="16"/>
  <c r="C177" i="1" a="1"/>
  <c r="J202" i="5"/>
  <c r="F176" i="5"/>
  <c r="J88" i="16" a="1"/>
  <c r="E28" i="5"/>
  <c r="H97" i="16"/>
  <c r="C439" i="1" a="1"/>
  <c r="I174" i="16" a="1"/>
  <c r="J131" i="16" a="1"/>
  <c r="C38" i="1" a="1"/>
  <c r="C11" i="9"/>
  <c r="C131" i="11"/>
  <c r="H153" i="4"/>
  <c r="I170" i="5"/>
  <c r="C299" i="10"/>
  <c r="J23" i="4"/>
  <c r="J158" i="16" a="1"/>
  <c r="J80" i="16" a="1"/>
  <c r="C189" i="10"/>
  <c r="C250" i="9"/>
  <c r="C237" i="11"/>
  <c r="H200" i="5"/>
  <c r="H65" i="16"/>
  <c r="C254" i="9"/>
  <c r="E7" i="4"/>
  <c r="I157" i="5"/>
  <c r="H111" i="16"/>
  <c r="H196" i="5"/>
  <c r="H109" i="16"/>
  <c r="H108" i="5"/>
  <c r="C126" i="9"/>
  <c r="I79" i="4"/>
  <c r="I110" i="4"/>
  <c r="C102" i="1" a="1"/>
  <c r="C77" i="12"/>
  <c r="C79" i="9"/>
  <c r="C235" i="12"/>
  <c r="J116" i="5"/>
  <c r="F153" i="5"/>
  <c r="C57" i="1" a="1"/>
  <c r="C202" i="9"/>
  <c r="C266" i="10"/>
  <c r="J117" i="4"/>
  <c r="C91" i="9"/>
  <c r="C302" i="12"/>
  <c r="J92" i="4"/>
  <c r="K188" i="4"/>
  <c r="E82" i="4"/>
  <c r="I173" i="5"/>
  <c r="C66" i="11"/>
  <c r="I17" i="5"/>
  <c r="K61" i="4"/>
  <c r="H25" i="4"/>
  <c r="C248" i="10"/>
  <c r="C118" i="9"/>
  <c r="C55" i="10"/>
  <c r="C243" i="12"/>
  <c r="J34" i="5"/>
  <c r="C74" i="9"/>
  <c r="J142" i="4"/>
  <c r="C168" i="12"/>
  <c r="C265" i="11"/>
  <c r="C227" i="10"/>
  <c r="C433" i="1" a="1"/>
  <c r="C10" i="8"/>
  <c r="C136" i="1" a="1"/>
  <c r="F31" i="4"/>
  <c r="C85" i="8"/>
  <c r="C302" i="11"/>
  <c r="C191" i="8"/>
  <c r="E22" i="4"/>
  <c r="C57" i="11"/>
  <c r="C166" i="11"/>
  <c r="I38" i="5"/>
  <c r="K48" i="4"/>
  <c r="J113" i="16" a="1"/>
  <c r="C228" i="12"/>
  <c r="F89" i="4"/>
  <c r="H184" i="5"/>
  <c r="I9" i="4"/>
  <c r="C279" i="8"/>
  <c r="C216" i="1" a="1"/>
  <c r="I57" i="16" a="1"/>
  <c r="C139" i="8"/>
  <c r="F57" i="5"/>
  <c r="C119" i="9"/>
  <c r="C25" i="11"/>
  <c r="C102" i="11"/>
  <c r="I14" i="5"/>
  <c r="I78" i="5"/>
  <c r="E80" i="4"/>
  <c r="C346" i="1" a="1"/>
  <c r="C66" i="12"/>
  <c r="E147" i="5"/>
  <c r="J163" i="5"/>
  <c r="C123" i="8"/>
  <c r="C43" i="11"/>
  <c r="E163" i="5"/>
  <c r="C190" i="8"/>
  <c r="H71" i="5"/>
  <c r="C260" i="10"/>
  <c r="C99" i="11"/>
  <c r="H23" i="5"/>
  <c r="C117" i="8"/>
  <c r="I126" i="16" a="1"/>
  <c r="K125" i="4"/>
  <c r="I97" i="5"/>
  <c r="C268" i="10"/>
  <c r="J51" i="4"/>
  <c r="C43" i="1" a="1"/>
  <c r="C495" i="1" a="1"/>
  <c r="E196" i="4"/>
  <c r="C72" i="10"/>
  <c r="J154" i="16" a="1"/>
  <c r="J85" i="5"/>
  <c r="C258" i="10"/>
  <c r="C270" i="9"/>
  <c r="E124" i="4"/>
  <c r="H166" i="4"/>
  <c r="H42" i="4"/>
  <c r="C218" i="12"/>
  <c r="E110" i="4"/>
  <c r="E174" i="5"/>
  <c r="H96" i="5"/>
  <c r="K151" i="4"/>
  <c r="C139" i="11"/>
  <c r="C203" i="1" a="1"/>
  <c r="H139" i="4"/>
  <c r="F18" i="5"/>
  <c r="C474" i="1" a="1"/>
  <c r="C210" i="1" a="1"/>
  <c r="E131" i="5"/>
  <c r="K165" i="4"/>
  <c r="J184" i="5"/>
  <c r="C72" i="12"/>
  <c r="F74" i="5"/>
  <c r="I16" i="5"/>
  <c r="H64" i="16"/>
  <c r="J162" i="5"/>
  <c r="E84" i="5"/>
  <c r="C271" i="11"/>
  <c r="E143" i="5"/>
  <c r="C137" i="8"/>
  <c r="J58" i="16" a="1"/>
  <c r="C62" i="9"/>
  <c r="C200" i="12"/>
  <c r="I151" i="4"/>
  <c r="C248" i="9"/>
  <c r="F118" i="4"/>
  <c r="I107" i="16" a="1"/>
  <c r="E59" i="5"/>
  <c r="I60" i="5"/>
  <c r="C185" i="1" a="1"/>
  <c r="I138" i="5"/>
  <c r="F167" i="4"/>
  <c r="I145" i="16" a="1"/>
  <c r="I173" i="4"/>
  <c r="F121" i="4"/>
  <c r="J146" i="16" a="1"/>
  <c r="I82" i="16" a="1"/>
  <c r="F138" i="5"/>
  <c r="F40" i="4"/>
  <c r="K137" i="5"/>
  <c r="C352" i="1" a="1"/>
  <c r="H123" i="16"/>
  <c r="J205" i="5"/>
  <c r="C304" i="12"/>
  <c r="C241" i="10"/>
  <c r="C44" i="11"/>
  <c r="C30" i="8"/>
  <c r="H143" i="5"/>
  <c r="C13" i="10"/>
  <c r="E33" i="4"/>
  <c r="J201" i="4"/>
  <c r="F38" i="4"/>
  <c r="F122" i="4"/>
  <c r="F72" i="5"/>
  <c r="C212" i="9"/>
  <c r="E49" i="4"/>
  <c r="C56" i="1" a="1"/>
  <c r="K184" i="4"/>
  <c r="C63" i="9"/>
  <c r="I94" i="16" a="1"/>
  <c r="C30" i="9"/>
  <c r="C240" i="1"/>
  <c r="C243" i="8"/>
  <c r="C141" i="10"/>
  <c r="I161" i="4"/>
  <c r="J49" i="16" a="1"/>
  <c r="C179" i="11"/>
  <c r="H183" i="5"/>
  <c r="C241" i="9"/>
  <c r="F137" i="4"/>
  <c r="I185" i="16" a="1"/>
  <c r="C266" i="12"/>
  <c r="J21" i="5"/>
  <c r="I69" i="5"/>
  <c r="H125" i="16"/>
  <c r="J114" i="4"/>
  <c r="E185" i="5"/>
  <c r="J3" i="4"/>
  <c r="C63" i="1" a="1"/>
  <c r="K108" i="4"/>
  <c r="F171" i="5"/>
  <c r="J133" i="4"/>
  <c r="K195" i="4"/>
  <c r="F89" i="5"/>
  <c r="K152" i="5"/>
  <c r="C26" i="14" a="1"/>
  <c r="H127" i="4"/>
  <c r="K76" i="4"/>
  <c r="J67" i="16" a="1"/>
  <c r="J138" i="4"/>
  <c r="I155" i="4"/>
  <c r="C176" i="1" a="1"/>
  <c r="I15" i="4"/>
  <c r="J171" i="5"/>
  <c r="F105" i="4"/>
  <c r="C56" i="9"/>
  <c r="C103" i="8"/>
  <c r="H154" i="4"/>
  <c r="C313" i="1" a="1"/>
  <c r="I197" i="4"/>
  <c r="C242" i="1"/>
  <c r="H63" i="5"/>
  <c r="I35" i="5"/>
  <c r="E84" i="4"/>
  <c r="H121" i="4"/>
  <c r="C160" i="1" a="1"/>
  <c r="I205" i="5"/>
  <c r="C179" i="12"/>
  <c r="K196" i="5"/>
  <c r="F186" i="4"/>
  <c r="E91" i="4"/>
  <c r="E135" i="5"/>
  <c r="C107" i="10"/>
  <c r="C121" i="12"/>
  <c r="C342" i="1" a="1"/>
  <c r="C435" i="1" a="1"/>
  <c r="C232" i="9"/>
  <c r="J86" i="5"/>
  <c r="F46" i="5"/>
  <c r="H70" i="4"/>
  <c r="C116" i="8"/>
  <c r="C295" i="9"/>
  <c r="C52" i="12"/>
  <c r="E164" i="4"/>
  <c r="C251" i="1"/>
  <c r="K127" i="5"/>
  <c r="C423" i="1" a="1"/>
  <c r="C201" i="1" a="1"/>
  <c r="C255" i="8"/>
  <c r="C300" i="9"/>
  <c r="E111" i="5"/>
  <c r="H130" i="5"/>
  <c r="I49" i="4"/>
  <c r="C231" i="10"/>
  <c r="C236" i="9"/>
  <c r="E148" i="4"/>
  <c r="H123" i="4"/>
  <c r="J133" i="16" a="1"/>
  <c r="C211" i="10"/>
  <c r="C238" i="10"/>
  <c r="H175" i="16"/>
  <c r="C246" i="9"/>
  <c r="K154" i="4"/>
  <c r="I72" i="5"/>
  <c r="H149" i="5"/>
  <c r="E128" i="4"/>
  <c r="C283" i="12"/>
  <c r="C30" i="11"/>
  <c r="E185" i="4"/>
  <c r="J104" i="5"/>
  <c r="C84" i="12"/>
  <c r="F147" i="5"/>
  <c r="H187" i="4"/>
  <c r="I74" i="16" a="1"/>
  <c r="C457" i="1" a="1"/>
  <c r="I82" i="4"/>
  <c r="H120" i="16"/>
  <c r="C130" i="1" a="1"/>
  <c r="F133" i="5"/>
  <c r="C207" i="10"/>
  <c r="C115" i="10"/>
  <c r="K61" i="5"/>
  <c r="C240" i="12"/>
  <c r="I87" i="16" a="1"/>
  <c r="F18" i="4"/>
  <c r="F87" i="5"/>
  <c r="C172" i="8"/>
  <c r="H199" i="4"/>
  <c r="I169" i="4"/>
  <c r="F137" i="5"/>
  <c r="H155" i="4"/>
  <c r="J57" i="16" a="1"/>
  <c r="H148" i="4"/>
  <c r="I94" i="5"/>
  <c r="E170" i="5"/>
  <c r="E44" i="5"/>
  <c r="F6" i="5"/>
  <c r="C281" i="9"/>
  <c r="H66" i="4"/>
  <c r="C228" i="1"/>
  <c r="C179" i="8"/>
  <c r="F21" i="5"/>
  <c r="C112" i="10"/>
  <c r="C170" i="1" a="1"/>
  <c r="I79" i="5"/>
  <c r="C13" i="12"/>
  <c r="C119" i="11"/>
  <c r="C436" i="1" a="1"/>
  <c r="F88" i="4"/>
  <c r="H124" i="5"/>
  <c r="C399" i="1" a="1"/>
  <c r="I103" i="4"/>
  <c r="C44" i="12"/>
  <c r="K81" i="4"/>
  <c r="E66" i="5"/>
  <c r="J193" i="5"/>
  <c r="I85" i="4"/>
  <c r="J166" i="16" a="1"/>
  <c r="J144" i="5"/>
  <c r="C225" i="10"/>
  <c r="J141" i="16" a="1"/>
  <c r="F35" i="4"/>
  <c r="C173" i="10"/>
  <c r="C226" i="12"/>
  <c r="F201" i="4"/>
  <c r="C253" i="10"/>
  <c r="C100" i="9"/>
  <c r="C152" i="8"/>
  <c r="C269" i="9"/>
  <c r="K24" i="4"/>
  <c r="H152" i="4"/>
  <c r="C221" i="8"/>
  <c r="E127" i="5"/>
  <c r="C485" i="1" a="1"/>
  <c r="F108" i="5"/>
  <c r="J167" i="5"/>
  <c r="C274" i="11"/>
  <c r="F100" i="4"/>
  <c r="C206" i="1" a="1"/>
  <c r="K71" i="5"/>
  <c r="E17" i="4"/>
  <c r="E113" i="4"/>
  <c r="C147" i="9"/>
  <c r="C81" i="8"/>
  <c r="K150" i="5"/>
  <c r="C226" i="8"/>
  <c r="H161" i="16"/>
  <c r="E6" i="5"/>
  <c r="I179" i="5"/>
  <c r="C263" i="1"/>
  <c r="C377" i="1" a="1"/>
  <c r="K7" i="4"/>
  <c r="I160" i="5"/>
  <c r="C103" i="10"/>
  <c r="J175" i="16" a="1"/>
  <c r="K91" i="5"/>
  <c r="K10" i="4"/>
  <c r="K21" i="5"/>
  <c r="B3" i="17" a="1"/>
  <c r="I200" i="5"/>
  <c r="C496" i="1" a="1"/>
  <c r="F81" i="5"/>
  <c r="C171" i="12"/>
  <c r="K107" i="5"/>
  <c r="K131" i="5"/>
  <c r="C214" i="11"/>
  <c r="I71" i="16" a="1"/>
  <c r="K186" i="5"/>
  <c r="C193" i="10"/>
  <c r="C186" i="9"/>
  <c r="C498" i="1" a="1"/>
  <c r="I179" i="16" a="1"/>
  <c r="C379" i="1" a="1"/>
  <c r="K136" i="4"/>
  <c r="K162" i="5"/>
  <c r="J147" i="16" a="1"/>
  <c r="H20" i="4"/>
  <c r="I143" i="16" a="1"/>
  <c r="I150" i="16" a="1"/>
  <c r="J143" i="5"/>
  <c r="C259" i="11"/>
  <c r="E154" i="4"/>
  <c r="C256" i="9"/>
  <c r="C274" i="8"/>
  <c r="C212" i="11"/>
  <c r="C65" i="9"/>
  <c r="J111" i="4"/>
  <c r="E119" i="4"/>
  <c r="C489" i="1" a="1"/>
  <c r="C405" i="1" a="1"/>
  <c r="J94" i="16" a="1"/>
  <c r="C127" i="8"/>
  <c r="H116" i="5"/>
  <c r="F52" i="4"/>
  <c r="C76" i="10"/>
  <c r="C192" i="8"/>
  <c r="K206" i="4"/>
  <c r="C188" i="12"/>
  <c r="C275" i="9"/>
  <c r="J20" i="4"/>
  <c r="I49" i="16" a="1"/>
  <c r="C16" i="12"/>
  <c r="C45" i="9"/>
  <c r="C364" i="1" a="1"/>
  <c r="C161" i="11"/>
  <c r="F69" i="5"/>
  <c r="K148" i="4"/>
  <c r="C127" i="11"/>
  <c r="C216" i="11"/>
  <c r="C236" i="10"/>
  <c r="F45" i="4"/>
  <c r="C22" i="11"/>
  <c r="K170" i="5"/>
  <c r="C113" i="8"/>
  <c r="C289" i="9"/>
  <c r="C58" i="11"/>
  <c r="C336" i="1" a="1"/>
  <c r="C135" i="11"/>
  <c r="C43" i="10"/>
  <c r="C112" i="11"/>
  <c r="C183" i="11"/>
  <c r="H119" i="5"/>
  <c r="C69" i="12"/>
  <c r="H100" i="16"/>
  <c r="I132" i="4"/>
  <c r="C34" i="9"/>
  <c r="C294" i="10"/>
  <c r="C255" i="12"/>
  <c r="C265" i="9"/>
  <c r="C270" i="11"/>
  <c r="C339" i="1" a="1"/>
  <c r="J78" i="4"/>
  <c r="H148" i="5"/>
  <c r="E191" i="4"/>
  <c r="H74" i="5"/>
  <c r="I137" i="16" a="1"/>
  <c r="K73" i="4"/>
  <c r="F130" i="5"/>
  <c r="J164" i="16" a="1"/>
  <c r="C243" i="10"/>
  <c r="I131" i="4"/>
  <c r="E95" i="5"/>
  <c r="F84" i="5"/>
  <c r="F119" i="5"/>
  <c r="F30" i="5"/>
  <c r="I108" i="5"/>
  <c r="F68" i="5"/>
  <c r="C138" i="8"/>
  <c r="H73" i="5"/>
  <c r="F69" i="4"/>
  <c r="H48" i="5"/>
  <c r="C400" i="1" a="1"/>
  <c r="I63" i="16" a="1"/>
  <c r="C293" i="8"/>
  <c r="C244" i="11"/>
  <c r="H165" i="5"/>
  <c r="C304" i="9"/>
  <c r="C178" i="12"/>
  <c r="H135" i="16"/>
  <c r="I173" i="16" a="1"/>
  <c r="J103" i="4"/>
  <c r="I21" i="4"/>
  <c r="C267" i="10"/>
  <c r="H189" i="16"/>
  <c r="C153" i="9"/>
  <c r="C245" i="1"/>
  <c r="C103" i="12"/>
  <c r="H167" i="5"/>
  <c r="H203" i="5"/>
  <c r="E58" i="4"/>
  <c r="I152" i="4"/>
  <c r="J132" i="4"/>
  <c r="K55" i="4"/>
  <c r="F117" i="5"/>
  <c r="J88" i="4"/>
  <c r="C282" i="9"/>
  <c r="K14" i="5"/>
  <c r="H145" i="16"/>
  <c r="I43" i="16" a="1"/>
  <c r="C159" i="1" a="1"/>
  <c r="E87" i="5"/>
  <c r="J81" i="16" a="1"/>
  <c r="F140" i="5"/>
  <c r="C268" i="9"/>
  <c r="I86" i="5"/>
  <c r="I118" i="4"/>
  <c r="H169" i="16"/>
  <c r="C141" i="9"/>
  <c r="J176" i="4"/>
  <c r="F200" i="5"/>
  <c r="K99" i="5"/>
  <c r="C145" i="11"/>
  <c r="C201" i="12"/>
  <c r="F134" i="4"/>
  <c r="E131" i="4"/>
  <c r="I54" i="4"/>
  <c r="C180" i="11"/>
  <c r="H138" i="5"/>
  <c r="C350" i="1" a="1"/>
  <c r="C125" i="8"/>
  <c r="C87" i="12"/>
  <c r="I156" i="16" a="1"/>
  <c r="J187" i="4"/>
  <c r="C278" i="10"/>
  <c r="F30" i="4"/>
  <c r="E88" i="4"/>
  <c r="H191" i="5"/>
  <c r="C282" i="8"/>
  <c r="C237" i="9"/>
  <c r="C109" i="8"/>
  <c r="E153" i="4"/>
  <c r="I144" i="16" a="1"/>
  <c r="C120" i="1" a="1"/>
  <c r="C391" i="1" a="1"/>
  <c r="C112" i="12"/>
  <c r="I113" i="16" a="1"/>
  <c r="C237" i="1"/>
  <c r="I44" i="5"/>
  <c r="C27" i="12"/>
  <c r="C238" i="11"/>
  <c r="C33" i="11"/>
  <c r="C26" i="9"/>
  <c r="C126" i="12"/>
  <c r="C234" i="8"/>
  <c r="C295" i="12"/>
  <c r="F22" i="5"/>
  <c r="K186" i="4"/>
  <c r="H9" i="5"/>
  <c r="C12" i="1" a="1"/>
  <c r="C21" i="8"/>
  <c r="F27" i="5"/>
  <c r="I105" i="5"/>
  <c r="C33" i="10"/>
  <c r="C191" i="12"/>
  <c r="I163" i="5"/>
  <c r="J140" i="4"/>
  <c r="C94" i="11"/>
  <c r="J72" i="5"/>
  <c r="C105" i="8"/>
  <c r="I202" i="5"/>
  <c r="C19" i="12"/>
  <c r="E53" i="5"/>
  <c r="J127" i="16" a="1"/>
  <c r="E24" i="4"/>
  <c r="E64" i="5"/>
  <c r="C179" i="10"/>
  <c r="I137" i="5"/>
  <c r="C275" i="10"/>
  <c r="C19" i="10"/>
  <c r="C145" i="1" a="1"/>
  <c r="J119" i="5"/>
  <c r="I127" i="5"/>
  <c r="C171" i="11"/>
  <c r="J39" i="5"/>
  <c r="I66" i="5"/>
  <c r="C10" i="9"/>
  <c r="C168" i="1" a="1"/>
  <c r="C93" i="9"/>
  <c r="C73" i="11"/>
  <c r="C260" i="8"/>
  <c r="C170" i="10"/>
  <c r="C75" i="10"/>
  <c r="C90" i="10"/>
  <c r="I130" i="16" a="1"/>
  <c r="I204" i="5"/>
  <c r="H116" i="4"/>
  <c r="C89" i="8"/>
  <c r="C45" i="11"/>
  <c r="J80" i="5"/>
  <c r="I80" i="16" a="1"/>
  <c r="C12" i="10"/>
  <c r="I61" i="4"/>
  <c r="K71" i="4"/>
  <c r="F149" i="4"/>
  <c r="C54" i="8"/>
  <c r="E69" i="4"/>
  <c r="H82" i="4"/>
  <c r="I84" i="4"/>
  <c r="E4" i="5"/>
  <c r="C201" i="10"/>
  <c r="I61" i="5"/>
  <c r="K167" i="5"/>
  <c r="C286" i="1"/>
  <c r="C188" i="10"/>
  <c r="C280" i="10"/>
  <c r="J164" i="4"/>
  <c r="F161" i="5"/>
  <c r="C242" i="8"/>
  <c r="J190" i="5"/>
  <c r="K65" i="5"/>
  <c r="F83" i="4"/>
  <c r="C26" i="10"/>
  <c r="K122" i="5"/>
  <c r="C243" i="1"/>
  <c r="E190" i="5"/>
  <c r="J134" i="4"/>
  <c r="C8" i="12"/>
  <c r="E168" i="4"/>
  <c r="K157" i="4"/>
  <c r="C300" i="12"/>
  <c r="C375" i="1" a="1"/>
  <c r="H59" i="16"/>
  <c r="C247" i="11"/>
  <c r="C292" i="9"/>
  <c r="H199" i="5"/>
  <c r="C292" i="10"/>
  <c r="C160" i="8"/>
  <c r="C143" i="9"/>
  <c r="H182" i="5"/>
  <c r="H51" i="4"/>
  <c r="K10" i="5"/>
  <c r="F64" i="5"/>
  <c r="C378" i="1" a="1"/>
  <c r="C483" i="1" a="1"/>
  <c r="H173" i="16"/>
  <c r="K145" i="4"/>
  <c r="C181" i="10"/>
  <c r="C108" i="9"/>
  <c r="C75" i="9"/>
  <c r="C263" i="9"/>
  <c r="C66" i="9"/>
  <c r="F111" i="5"/>
  <c r="C132" i="9"/>
  <c r="C165" i="9"/>
  <c r="J99" i="4"/>
  <c r="H58" i="16"/>
  <c r="C136" i="8"/>
  <c r="H93" i="16"/>
  <c r="J141" i="5"/>
  <c r="C120" i="11"/>
  <c r="C169" i="12"/>
  <c r="K148" i="5"/>
  <c r="F131" i="5"/>
  <c r="C283" i="1"/>
  <c r="K28" i="5"/>
  <c r="I184" i="5"/>
  <c r="C277" i="9"/>
  <c r="C157" i="11"/>
  <c r="C17" i="11"/>
  <c r="J51" i="5"/>
  <c r="E171" i="5"/>
  <c r="J142" i="5"/>
  <c r="H174" i="4"/>
  <c r="C226" i="10"/>
  <c r="C118" i="1" a="1"/>
  <c r="J169" i="16" a="1"/>
  <c r="H143" i="4"/>
  <c r="C162" i="9"/>
  <c r="C42" i="10"/>
  <c r="C61" i="12"/>
  <c r="C166" i="12"/>
  <c r="I34" i="5"/>
  <c r="C46" i="11"/>
  <c r="I187" i="4"/>
  <c r="I206" i="5"/>
  <c r="C255" i="1"/>
  <c r="C169" i="8"/>
  <c r="J29" i="4"/>
  <c r="C390" i="1" a="1"/>
  <c r="C95" i="8"/>
  <c r="C374" i="1" a="1"/>
  <c r="H17" i="5"/>
  <c r="H127" i="5"/>
  <c r="C57" i="8"/>
  <c r="E103" i="5"/>
  <c r="J145" i="4"/>
  <c r="E70" i="5"/>
  <c r="H79" i="4"/>
  <c r="C274" i="9"/>
  <c r="C206" i="12"/>
  <c r="H37" i="5"/>
  <c r="C91" i="11"/>
  <c r="C258" i="11"/>
  <c r="C455" i="1" a="1"/>
  <c r="J139" i="4"/>
  <c r="H13" i="5"/>
  <c r="J77" i="16" a="1"/>
  <c r="C16" i="10"/>
  <c r="I154" i="16" a="1"/>
  <c r="C159" i="10"/>
  <c r="C183" i="12"/>
  <c r="F202" i="5"/>
  <c r="J177" i="4"/>
  <c r="J97" i="16" a="1"/>
  <c r="E25" i="5"/>
  <c r="H106" i="16"/>
  <c r="C120" i="8"/>
  <c r="C247" i="1"/>
  <c r="F34" i="5"/>
  <c r="F13" i="4"/>
  <c r="I117" i="4"/>
  <c r="I157" i="4"/>
  <c r="I53" i="5"/>
  <c r="I87" i="5"/>
  <c r="J123" i="16" a="1"/>
  <c r="H66" i="5"/>
  <c r="C331" i="1" a="1"/>
  <c r="C246" i="10"/>
  <c r="J57" i="5"/>
  <c r="C195" i="11"/>
  <c r="C492" i="1" a="1"/>
  <c r="E165" i="5"/>
  <c r="C204" i="9"/>
  <c r="C127" i="10"/>
  <c r="C138" i="12"/>
  <c r="K105" i="4"/>
  <c r="H66" i="16"/>
  <c r="J71" i="4"/>
  <c r="J47" i="4"/>
  <c r="I77" i="4"/>
  <c r="C246" i="1"/>
  <c r="F192" i="4"/>
  <c r="C224" i="10"/>
  <c r="I122" i="5"/>
  <c r="K35" i="5"/>
  <c r="C275" i="12"/>
  <c r="F184" i="5"/>
  <c r="I52" i="4"/>
  <c r="J204" i="4"/>
  <c r="C104" i="11"/>
  <c r="K15" i="5"/>
  <c r="C349" i="1" a="1"/>
  <c r="C202" i="12"/>
  <c r="C284" i="9"/>
  <c r="C477" i="1" a="1"/>
  <c r="C197" i="10"/>
  <c r="F189" i="5"/>
  <c r="C20" i="10"/>
  <c r="I131" i="16" a="1"/>
  <c r="C54" i="10"/>
  <c r="C497" i="1" a="1"/>
  <c r="H68" i="16"/>
  <c r="I124" i="5"/>
  <c r="H36" i="4"/>
  <c r="F105" i="5"/>
  <c r="C105" i="12"/>
  <c r="C296" i="12"/>
  <c r="E63" i="4"/>
  <c r="K54" i="5"/>
  <c r="E14" i="5"/>
  <c r="H55" i="16"/>
  <c r="C476" i="1" a="1"/>
  <c r="C438" i="1" a="1"/>
  <c r="J120" i="5"/>
  <c r="I25" i="5"/>
  <c r="C273" i="11"/>
  <c r="E125" i="4"/>
  <c r="C200" i="10"/>
  <c r="I96" i="5"/>
  <c r="C201" i="8"/>
  <c r="C293" i="1"/>
  <c r="E105" i="4"/>
  <c r="I117" i="16" a="1"/>
  <c r="C207" i="8"/>
  <c r="K26" i="4"/>
  <c r="E155" i="4"/>
  <c r="C4" i="14" a="1"/>
  <c r="H74" i="4"/>
  <c r="E173" i="5"/>
  <c r="E70" i="4"/>
  <c r="C69" i="11"/>
  <c r="C11" i="10"/>
  <c r="C71" i="12"/>
  <c r="J120" i="16" a="1"/>
  <c r="C63" i="11"/>
  <c r="F135" i="4"/>
  <c r="E40" i="5"/>
  <c r="C253" i="8"/>
  <c r="J5" i="4"/>
  <c r="K59" i="4"/>
  <c r="C214" i="8"/>
  <c r="I158" i="5"/>
  <c r="I128" i="5"/>
  <c r="F37" i="4"/>
  <c r="C197" i="12"/>
  <c r="C284" i="8"/>
  <c r="H79" i="16"/>
  <c r="C200" i="11"/>
  <c r="F58" i="5"/>
  <c r="F195" i="5"/>
  <c r="E79" i="5"/>
  <c r="H40" i="4"/>
  <c r="K11" i="5"/>
  <c r="E41" i="5"/>
  <c r="J152" i="4"/>
  <c r="K201" i="4"/>
  <c r="C303" i="1"/>
  <c r="C42" i="8"/>
  <c r="C254" i="12"/>
  <c r="K27" i="5"/>
  <c r="H58" i="5"/>
  <c r="J95" i="16" a="1"/>
  <c r="J101" i="4"/>
  <c r="E118" i="5"/>
  <c r="J39" i="4"/>
  <c r="C202" i="10"/>
  <c r="F162" i="4"/>
  <c r="C97" i="11"/>
  <c r="C77" i="10"/>
  <c r="E169" i="5"/>
  <c r="J6" i="5"/>
  <c r="C458" i="1" a="1"/>
  <c r="H139" i="16"/>
  <c r="H27" i="5"/>
  <c r="C151" i="9"/>
  <c r="H70" i="5"/>
  <c r="I119" i="5"/>
  <c r="K30" i="5"/>
  <c r="J85" i="4"/>
  <c r="C222" i="8"/>
  <c r="C187" i="10"/>
  <c r="F182" i="4"/>
  <c r="C144" i="11"/>
  <c r="K153" i="5"/>
  <c r="C43" i="8"/>
  <c r="J169" i="5"/>
  <c r="C161" i="9"/>
  <c r="C24" i="10"/>
  <c r="I181" i="4"/>
  <c r="F189" i="4"/>
  <c r="C142" i="9"/>
  <c r="E9" i="4"/>
  <c r="E60" i="5"/>
  <c r="I146" i="16" a="1"/>
  <c r="E129" i="4"/>
  <c r="C76" i="12"/>
  <c r="C146" i="12"/>
  <c r="C212" i="8"/>
  <c r="C294" i="8"/>
  <c r="H95" i="5"/>
  <c r="I121" i="4"/>
  <c r="F107" i="4"/>
  <c r="E57" i="5"/>
  <c r="C85" i="9"/>
  <c r="H65" i="5"/>
  <c r="F64" i="4"/>
  <c r="C165" i="8"/>
  <c r="K89" i="5"/>
  <c r="I100" i="16" a="1"/>
  <c r="H102" i="5"/>
  <c r="I50" i="5"/>
  <c r="I5" i="4"/>
  <c r="C284" i="1"/>
  <c r="F6" i="4"/>
  <c r="C291" i="10"/>
  <c r="C84" i="1" a="1"/>
  <c r="J181" i="5"/>
  <c r="J90" i="4"/>
  <c r="F111" i="4"/>
  <c r="H80" i="4"/>
  <c r="C74" i="8"/>
  <c r="H16" i="5"/>
  <c r="J203" i="4"/>
  <c r="C297" i="8"/>
  <c r="I30" i="4"/>
  <c r="K45" i="5"/>
  <c r="C266" i="1"/>
  <c r="J168" i="4"/>
  <c r="H124" i="4"/>
  <c r="I88" i="16" a="1"/>
  <c r="C93" i="12"/>
  <c r="H131" i="5"/>
  <c r="C83" i="9"/>
  <c r="C118" i="8"/>
  <c r="H163" i="4"/>
  <c r="C216" i="10"/>
  <c r="C17" i="12"/>
  <c r="I114" i="4"/>
  <c r="F126" i="5"/>
  <c r="C228" i="11"/>
  <c r="C119" i="1" a="1"/>
  <c r="J167" i="16" a="1"/>
  <c r="I128" i="16" a="1"/>
  <c r="F142" i="4"/>
  <c r="C295" i="1"/>
  <c r="C411" i="1" a="1"/>
  <c r="C169" i="10"/>
  <c r="E152" i="4"/>
  <c r="C27" i="8"/>
  <c r="C203" i="8"/>
  <c r="J135" i="5"/>
  <c r="C139" i="1" a="1"/>
  <c r="H198" i="4"/>
  <c r="J61" i="5"/>
  <c r="I69" i="16" a="1"/>
  <c r="J56" i="16" a="1"/>
  <c r="K25" i="5"/>
  <c r="F94" i="5"/>
  <c r="K5" i="5"/>
  <c r="C131" i="10"/>
  <c r="C68" i="9"/>
  <c r="I186" i="16" a="1"/>
  <c r="F78" i="5"/>
  <c r="H79" i="5"/>
  <c r="C171" i="8"/>
  <c r="C213" i="9"/>
  <c r="H58" i="4"/>
  <c r="I59" i="5"/>
  <c r="E73" i="4"/>
  <c r="I165" i="16" a="1"/>
  <c r="C189" i="8"/>
  <c r="F79" i="4"/>
  <c r="C119" i="12"/>
  <c r="C431" i="1" a="1"/>
  <c r="J11" i="4"/>
  <c r="C247" i="9"/>
  <c r="H48" i="4"/>
  <c r="K103" i="5"/>
  <c r="F41" i="4"/>
  <c r="J125" i="5"/>
  <c r="H167" i="4"/>
  <c r="C505" i="1" a="1"/>
  <c r="C143" i="1" a="1"/>
  <c r="C208" i="10"/>
  <c r="F60" i="4"/>
  <c r="C384" i="1" a="1"/>
  <c r="J111" i="5"/>
  <c r="C137" i="1" a="1"/>
  <c r="H112" i="4"/>
  <c r="I19" i="4"/>
  <c r="E93" i="5"/>
  <c r="J120" i="4"/>
  <c r="E190" i="4"/>
  <c r="C202" i="11"/>
  <c r="F39" i="5"/>
  <c r="C162" i="8"/>
  <c r="I130" i="5"/>
  <c r="C31" i="14" a="1"/>
  <c r="C184" i="9"/>
  <c r="C52" i="1" a="1"/>
  <c r="K160" i="4"/>
  <c r="K110" i="5"/>
  <c r="C114" i="11"/>
  <c r="I73" i="16" a="1"/>
  <c r="J69" i="16" a="1"/>
  <c r="C24" i="1" a="1"/>
  <c r="C261" i="10"/>
  <c r="C155" i="10"/>
  <c r="I195" i="4"/>
  <c r="C454" i="1" a="1"/>
  <c r="C277" i="11"/>
  <c r="H24" i="5"/>
  <c r="C271" i="9"/>
  <c r="C238" i="1"/>
  <c r="K194" i="4"/>
  <c r="H131" i="16"/>
  <c r="K146" i="4"/>
  <c r="C158" i="10"/>
  <c r="F204" i="5"/>
  <c r="C50" i="10"/>
  <c r="C326" i="1" a="1"/>
  <c r="I55" i="5"/>
  <c r="C208" i="9"/>
  <c r="K60" i="5"/>
  <c r="H108" i="4"/>
  <c r="I45" i="16" a="1"/>
  <c r="I4" i="4"/>
  <c r="C111" i="12"/>
  <c r="H185" i="16"/>
  <c r="C78" i="12"/>
  <c r="H59" i="4"/>
  <c r="C272" i="11"/>
  <c r="H26" i="5"/>
  <c r="C256" i="10"/>
  <c r="C79" i="1" a="1"/>
  <c r="H169" i="5"/>
  <c r="J115" i="4"/>
  <c r="H109" i="4"/>
  <c r="J187" i="5"/>
  <c r="H192" i="4"/>
  <c r="C164" i="9"/>
  <c r="F132" i="5"/>
  <c r="C272" i="8"/>
  <c r="K50" i="4"/>
  <c r="F93" i="4"/>
  <c r="C18" i="1" a="1"/>
  <c r="J91" i="16" a="1"/>
  <c r="C100" i="1" a="1"/>
  <c r="K153" i="4"/>
  <c r="H56" i="16"/>
  <c r="J37" i="4"/>
  <c r="F20" i="5"/>
  <c r="C83" i="8"/>
  <c r="C158" i="1" a="1"/>
  <c r="C413" i="1" a="1"/>
  <c r="F195" i="4"/>
  <c r="C245" i="11"/>
  <c r="I22" i="4"/>
  <c r="C110" i="10"/>
  <c r="H177" i="16"/>
  <c r="C172" i="1" a="1"/>
  <c r="C369" i="1" a="1"/>
  <c r="E40" i="4"/>
  <c r="C148" i="8"/>
  <c r="K72" i="4"/>
  <c r="C181" i="9"/>
  <c r="K137" i="4"/>
  <c r="C67" i="9"/>
  <c r="I21" i="5"/>
  <c r="J172" i="4"/>
  <c r="C39" i="9"/>
  <c r="C302" i="10"/>
  <c r="C152" i="9"/>
  <c r="J49" i="4"/>
  <c r="C65" i="10"/>
  <c r="C52" i="9"/>
  <c r="C183" i="9"/>
  <c r="H180" i="16"/>
  <c r="C300" i="10"/>
  <c r="C16" i="9"/>
  <c r="C135" i="8"/>
  <c r="C194" i="10"/>
  <c r="C30" i="10"/>
  <c r="K112" i="4"/>
  <c r="K51" i="5"/>
  <c r="K3" i="5"/>
  <c r="C15" i="8"/>
  <c r="K99" i="4"/>
  <c r="C71" i="9"/>
  <c r="H64" i="5"/>
  <c r="I167" i="16" a="1"/>
  <c r="E10" i="4"/>
  <c r="J165" i="5"/>
  <c r="H144" i="16"/>
  <c r="I60" i="4"/>
  <c r="C16" i="11"/>
  <c r="C94" i="8"/>
  <c r="K20" i="5"/>
  <c r="C30" i="1" a="1"/>
  <c r="C466" i="1" a="1"/>
  <c r="J100" i="4"/>
  <c r="K38" i="5"/>
  <c r="J136" i="16" a="1"/>
  <c r="J78" i="16" a="1"/>
  <c r="I126" i="4"/>
  <c r="E54" i="5"/>
  <c r="F88" i="5"/>
  <c r="C205" i="10"/>
  <c r="J114" i="16" a="1"/>
  <c r="J13" i="4"/>
  <c r="I183" i="5"/>
  <c r="I43" i="5"/>
  <c r="J77" i="4"/>
  <c r="C249" i="10"/>
  <c r="H151" i="4"/>
  <c r="I160" i="16" a="1"/>
  <c r="F96" i="4"/>
  <c r="C207" i="12"/>
  <c r="K114" i="5"/>
  <c r="C105" i="10"/>
  <c r="I194" i="5"/>
  <c r="E108" i="5"/>
  <c r="F141" i="5"/>
  <c r="C297" i="1"/>
  <c r="C147" i="8"/>
  <c r="I76" i="4"/>
  <c r="C105" i="1" a="1"/>
  <c r="I178" i="4"/>
  <c r="K49" i="5"/>
  <c r="C249" i="1"/>
  <c r="K191" i="4"/>
  <c r="C245" i="8"/>
  <c r="H147" i="16"/>
  <c r="C239" i="10"/>
  <c r="C256" i="12"/>
  <c r="C41" i="9"/>
  <c r="C21" i="1" a="1"/>
  <c r="H113" i="16"/>
  <c r="C501" i="1" a="1"/>
  <c r="C1" i="13" a="1"/>
  <c r="H147" i="4"/>
  <c r="H103" i="16"/>
  <c r="H170" i="4"/>
  <c r="J92" i="16" a="1"/>
  <c r="E19" i="4"/>
  <c r="I30" i="5"/>
  <c r="C17" i="10"/>
  <c r="C464" i="1" a="1"/>
  <c r="C286" i="10"/>
  <c r="I152" i="5"/>
  <c r="J36" i="5"/>
  <c r="J37" i="5"/>
  <c r="C68" i="1" a="1"/>
  <c r="I176" i="5"/>
  <c r="H10" i="5"/>
  <c r="I141" i="16" a="1"/>
  <c r="C176" i="11"/>
  <c r="I196" i="4"/>
  <c r="C138" i="10"/>
  <c r="E99" i="4"/>
  <c r="C237" i="12"/>
  <c r="C86" i="11"/>
  <c r="J137" i="16" a="1"/>
  <c r="E39" i="5"/>
  <c r="I148" i="5"/>
  <c r="C200" i="8"/>
  <c r="C48" i="12"/>
  <c r="C113" i="11"/>
  <c r="C31" i="8"/>
  <c r="C116" i="10"/>
  <c r="I118" i="16" a="1"/>
  <c r="F131" i="4"/>
  <c r="J177" i="16" a="1"/>
  <c r="C175" i="9"/>
  <c r="K29" i="4"/>
  <c r="C148" i="11"/>
  <c r="J182" i="4"/>
  <c r="H92" i="4"/>
  <c r="C210" i="11"/>
  <c r="H85" i="4"/>
  <c r="E94" i="4"/>
  <c r="J116" i="16" a="1"/>
  <c r="I136" i="5"/>
  <c r="J40" i="4"/>
  <c r="H153" i="16"/>
  <c r="J191" i="5"/>
  <c r="H160" i="16"/>
  <c r="C198" i="9"/>
  <c r="F175" i="5"/>
  <c r="C91" i="10"/>
  <c r="C314" i="1" a="1"/>
  <c r="F27" i="4"/>
  <c r="C99" i="12"/>
  <c r="I144" i="5"/>
  <c r="C298" i="9"/>
  <c r="K58" i="5"/>
  <c r="K42" i="4"/>
  <c r="K85" i="4"/>
  <c r="I166" i="5"/>
  <c r="J153" i="16" a="1"/>
  <c r="C71" i="1" a="1"/>
  <c r="J109" i="4"/>
  <c r="J7" i="4"/>
  <c r="I4" i="5"/>
  <c r="C108" i="11"/>
  <c r="F65" i="4"/>
  <c r="C104" i="1" a="1"/>
  <c r="C244" i="9"/>
  <c r="C259" i="9"/>
  <c r="H118" i="16"/>
  <c r="H109" i="5"/>
  <c r="I171" i="5"/>
  <c r="C328" i="1" a="1"/>
  <c r="H52" i="4"/>
  <c r="C257" i="9"/>
  <c r="C60" i="1" a="1"/>
  <c r="H116" i="16"/>
  <c r="J170" i="5"/>
  <c r="C465" i="1" a="1"/>
  <c r="J130" i="4"/>
  <c r="C59" i="1" a="1"/>
  <c r="C183" i="10"/>
  <c r="F198" i="4"/>
  <c r="H146" i="4"/>
  <c r="C233" i="11"/>
  <c r="J32" i="4"/>
  <c r="K126" i="5"/>
  <c r="H62" i="5"/>
  <c r="C102" i="9"/>
  <c r="I118" i="5"/>
  <c r="C95" i="10"/>
  <c r="K200" i="4"/>
  <c r="J164" i="5"/>
  <c r="C257" i="10"/>
  <c r="H64" i="4"/>
  <c r="F169" i="4"/>
  <c r="C134" i="12"/>
  <c r="F36" i="5"/>
  <c r="E122" i="4"/>
  <c r="H112" i="16"/>
  <c r="I105" i="4"/>
  <c r="J200" i="5"/>
  <c r="K68" i="5"/>
  <c r="C286" i="8"/>
  <c r="C361" i="1" a="1"/>
  <c r="C334" i="1" a="1"/>
  <c r="C34" i="12"/>
  <c r="C299" i="11"/>
  <c r="I177" i="16" a="1"/>
  <c r="J176" i="5"/>
  <c r="F187" i="4"/>
  <c r="F166" i="4"/>
  <c r="I189" i="16" a="1"/>
  <c r="C177" i="10"/>
  <c r="H134" i="4"/>
  <c r="J64" i="5"/>
  <c r="E145" i="5"/>
  <c r="C223" i="12"/>
  <c r="C294" i="12"/>
  <c r="J125" i="16" a="1"/>
  <c r="F144" i="4"/>
  <c r="K205" i="4"/>
  <c r="C122" i="12"/>
  <c r="I148" i="4"/>
  <c r="J42" i="5"/>
  <c r="C216" i="8"/>
  <c r="I125" i="5"/>
  <c r="E163" i="4"/>
  <c r="C7" i="12"/>
  <c r="C263" i="11"/>
  <c r="J63" i="5"/>
  <c r="J100" i="5"/>
  <c r="J183" i="16" a="1"/>
  <c r="C233" i="9"/>
  <c r="C198" i="11"/>
  <c r="F192" i="5"/>
  <c r="C169" i="11"/>
  <c r="E77" i="5"/>
  <c r="J174" i="4"/>
  <c r="C184" i="11"/>
  <c r="C268" i="12"/>
  <c r="J96" i="4"/>
  <c r="C105" i="11"/>
  <c r="K158" i="5"/>
  <c r="F196" i="4"/>
  <c r="I98" i="16" a="1"/>
  <c r="C59" i="8"/>
  <c r="H141" i="5"/>
  <c r="H23" i="4"/>
  <c r="C136" i="11"/>
  <c r="I153" i="16" a="1"/>
  <c r="C383" i="1" a="1"/>
  <c r="F203" i="4"/>
  <c r="C239" i="11"/>
  <c r="K88" i="4"/>
  <c r="I98" i="4"/>
  <c r="J74" i="5"/>
  <c r="K179" i="4"/>
  <c r="C180" i="8"/>
  <c r="I45" i="4"/>
  <c r="C200" i="9"/>
  <c r="C265" i="10"/>
  <c r="E35" i="5"/>
  <c r="C251" i="8"/>
  <c r="I170" i="16" a="1"/>
  <c r="C266" i="9"/>
  <c r="H188" i="5"/>
  <c r="C46" i="1" a="1"/>
  <c r="H87" i="16"/>
  <c r="C107" i="12"/>
  <c r="K87" i="4"/>
  <c r="H130" i="16"/>
  <c r="C393" i="1" a="1"/>
  <c r="J153" i="4"/>
  <c r="K119" i="4"/>
  <c r="C60" i="10"/>
  <c r="K162" i="4"/>
  <c r="I189" i="4"/>
  <c r="K126" i="4"/>
  <c r="I127" i="4"/>
  <c r="H169" i="4"/>
  <c r="F160" i="4"/>
  <c r="H45" i="4"/>
  <c r="C150" i="12"/>
  <c r="E160" i="4"/>
  <c r="H29" i="5"/>
  <c r="C202" i="1" a="1"/>
  <c r="C48" i="8"/>
  <c r="C41" i="12"/>
  <c r="F114" i="5"/>
  <c r="J99" i="16" a="1"/>
  <c r="C97" i="10"/>
  <c r="H203" i="4"/>
  <c r="H127" i="16"/>
  <c r="E192" i="5"/>
  <c r="H130" i="4"/>
  <c r="J139" i="5"/>
  <c r="J68" i="4"/>
  <c r="K93" i="4"/>
  <c r="C268" i="1"/>
  <c r="C160" i="12"/>
  <c r="I197" i="5"/>
  <c r="I189" i="5"/>
  <c r="F184" i="4"/>
  <c r="C274" i="12"/>
  <c r="F59" i="5"/>
  <c r="C192" i="12"/>
  <c r="J148" i="4"/>
  <c r="C427" i="1" a="1"/>
  <c r="C40" i="1" a="1"/>
  <c r="E22" i="5"/>
  <c r="J196" i="4"/>
  <c r="J97" i="4"/>
  <c r="C363" i="1" a="1"/>
  <c r="K81" i="5"/>
  <c r="C213" i="1" a="1"/>
  <c r="J166" i="4"/>
  <c r="C141" i="1" a="1"/>
  <c r="I14" i="4"/>
  <c r="C235" i="11"/>
  <c r="F52" i="5"/>
  <c r="C403" i="1" a="1"/>
  <c r="I68" i="5"/>
  <c r="C257" i="8"/>
  <c r="J126" i="16" a="1"/>
  <c r="J56" i="5"/>
  <c r="C49" i="12"/>
  <c r="I31" i="5"/>
  <c r="I88" i="5"/>
  <c r="C221" i="11"/>
  <c r="C207" i="9"/>
  <c r="E188" i="4"/>
  <c r="I181" i="5"/>
  <c r="C448" i="1" a="1"/>
  <c r="E71" i="4"/>
  <c r="F160" i="5"/>
  <c r="C210" i="12"/>
  <c r="C354" i="1" a="1"/>
  <c r="H44" i="5"/>
  <c r="C17" i="8"/>
  <c r="J91" i="5"/>
  <c r="E12" i="5"/>
  <c r="C9" i="11"/>
  <c r="C277" i="1"/>
  <c r="F183" i="5"/>
  <c r="J60" i="4"/>
  <c r="J147" i="4"/>
  <c r="C96" i="11"/>
  <c r="J175" i="5"/>
  <c r="K36" i="5"/>
  <c r="F86" i="4"/>
  <c r="K122" i="4"/>
  <c r="H205" i="4"/>
  <c r="H18" i="4"/>
  <c r="C225" i="9"/>
  <c r="J82" i="16" a="1"/>
  <c r="J189" i="5"/>
  <c r="I192" i="5"/>
  <c r="C35" i="11"/>
  <c r="C257" i="12"/>
  <c r="C55" i="9"/>
  <c r="H185" i="5"/>
  <c r="J182" i="16" a="1"/>
  <c r="F170" i="5"/>
  <c r="H161" i="5"/>
  <c r="H110" i="4"/>
  <c r="C137" i="9"/>
  <c r="C109" i="1" a="1"/>
  <c r="C181" i="12"/>
  <c r="C208" i="1" a="1"/>
  <c r="K93" i="5"/>
  <c r="I19" i="5"/>
  <c r="J122" i="16" a="1"/>
  <c r="C269" i="11"/>
  <c r="H28" i="4"/>
  <c r="H173" i="4"/>
  <c r="I6" i="5"/>
  <c r="H141" i="4"/>
  <c r="C254" i="8"/>
  <c r="H61" i="16"/>
  <c r="H191" i="4"/>
  <c r="K66" i="5"/>
  <c r="J23" i="5"/>
  <c r="E86" i="5"/>
  <c r="C320" i="1" a="1"/>
  <c r="C291" i="11"/>
  <c r="I75" i="5"/>
  <c r="C219" i="1" a="1"/>
  <c r="H43" i="5"/>
  <c r="H159" i="16"/>
  <c r="J153" i="5"/>
  <c r="K82" i="4"/>
  <c r="C150" i="9"/>
  <c r="C238" i="8"/>
  <c r="C220" i="9"/>
  <c r="C329" i="1" a="1"/>
  <c r="J128" i="4"/>
  <c r="J124" i="16" a="1"/>
  <c r="K97" i="4"/>
  <c r="J145" i="5"/>
  <c r="C149" i="11"/>
  <c r="I23" i="5"/>
  <c r="C194" i="8"/>
  <c r="J108" i="16" a="1"/>
  <c r="K141" i="4"/>
  <c r="J58" i="5"/>
  <c r="C238" i="9"/>
  <c r="C7" i="10"/>
  <c r="C230" i="9"/>
  <c r="I194" i="4"/>
  <c r="C381" i="1" a="1"/>
  <c r="K142" i="4"/>
  <c r="C156" i="12"/>
  <c r="C145" i="8"/>
  <c r="E107" i="5"/>
  <c r="C161" i="10"/>
  <c r="K110" i="4"/>
  <c r="C142" i="1"/>
  <c r="F193" i="4"/>
  <c r="H136" i="16"/>
  <c r="C265" i="12"/>
  <c r="K18" i="4"/>
  <c r="C175" i="1" a="1"/>
  <c r="J127" i="5"/>
  <c r="J68" i="5"/>
  <c r="C131" i="1" a="1"/>
  <c r="E26" i="5"/>
  <c r="F94" i="4"/>
  <c r="F19" i="5"/>
  <c r="I181" i="16" a="1"/>
  <c r="H49" i="5"/>
  <c r="C219" i="9"/>
  <c r="I112" i="5"/>
  <c r="H158" i="5"/>
  <c r="F16" i="4"/>
  <c r="C296" i="1"/>
  <c r="J154" i="5"/>
  <c r="C184" i="8"/>
  <c r="F166" i="5"/>
  <c r="C163" i="11"/>
  <c r="H69" i="16"/>
  <c r="C286" i="9"/>
  <c r="H86" i="4"/>
  <c r="C14" i="8"/>
  <c r="C130" i="10"/>
  <c r="C31" i="10"/>
  <c r="C245" i="10"/>
  <c r="I56" i="16" a="1"/>
  <c r="I169" i="5"/>
  <c r="E66" i="4"/>
  <c r="E33" i="5"/>
  <c r="I93" i="4"/>
  <c r="C156" i="9"/>
  <c r="C175" i="11"/>
  <c r="C97" i="8"/>
  <c r="C213" i="8"/>
  <c r="J80" i="4"/>
  <c r="C35" i="9"/>
  <c r="C150" i="10"/>
  <c r="C81" i="1" a="1"/>
  <c r="K97" i="5"/>
  <c r="H118" i="5"/>
  <c r="C273" i="10"/>
  <c r="C205" i="11"/>
  <c r="F101" i="5"/>
  <c r="I106" i="4"/>
  <c r="C108" i="1" a="1"/>
  <c r="K86" i="4"/>
  <c r="F180" i="5"/>
  <c r="J52" i="4"/>
  <c r="F100" i="5"/>
  <c r="C39" i="8"/>
  <c r="J57" i="4"/>
  <c r="J81" i="5"/>
  <c r="K168" i="5"/>
  <c r="E135" i="4"/>
  <c r="H101" i="4"/>
  <c r="F102" i="5"/>
  <c r="C65" i="12"/>
  <c r="E197" i="5"/>
  <c r="C164" i="1" a="1"/>
  <c r="H185" i="4"/>
  <c r="K193" i="4"/>
  <c r="H177" i="5"/>
  <c r="C479" i="1" a="1"/>
  <c r="C252" i="1"/>
  <c r="E106" i="5"/>
  <c r="F25" i="5"/>
  <c r="E91" i="5"/>
  <c r="H8" i="4"/>
  <c r="C388" i="1" a="1"/>
  <c r="H110" i="5"/>
  <c r="C26" i="8"/>
  <c r="C370" i="1" a="1"/>
  <c r="C58" i="8"/>
  <c r="J41" i="4"/>
  <c r="H164" i="16"/>
  <c r="K202" i="5"/>
  <c r="E59" i="4"/>
  <c r="K198" i="5"/>
  <c r="C20" i="12"/>
  <c r="K174" i="4"/>
  <c r="H194" i="5"/>
  <c r="C174" i="9"/>
  <c r="I51" i="4"/>
  <c r="J98" i="16" a="1"/>
  <c r="C58" i="10"/>
  <c r="C133" i="8"/>
  <c r="F107" i="5"/>
  <c r="J106" i="5"/>
  <c r="I50" i="16" a="1"/>
  <c r="H77" i="5"/>
  <c r="C473" i="1" a="1"/>
  <c r="I183" i="16" a="1"/>
  <c r="I110" i="16" a="1"/>
  <c r="J66" i="4"/>
  <c r="C247" i="10"/>
  <c r="C39" i="11"/>
  <c r="C51" i="9"/>
  <c r="C85" i="1" a="1"/>
  <c r="I121" i="16" a="1"/>
  <c r="J155" i="4"/>
  <c r="K106" i="5"/>
  <c r="C203" i="12"/>
  <c r="C141" i="8"/>
  <c r="J192" i="5"/>
  <c r="C62" i="11"/>
  <c r="F11" i="4"/>
  <c r="C157" i="12"/>
  <c r="K67" i="4"/>
  <c r="C87" i="10"/>
  <c r="J156" i="5"/>
  <c r="C386" i="1" a="1"/>
  <c r="H50" i="5"/>
  <c r="C14" i="10"/>
  <c r="C278" i="9"/>
  <c r="C148" i="9"/>
  <c r="C280" i="11"/>
  <c r="K15" i="4"/>
  <c r="H117" i="16"/>
  <c r="F103" i="5"/>
  <c r="I129" i="4"/>
  <c r="H114" i="16"/>
  <c r="K102" i="5"/>
  <c r="J200" i="4"/>
  <c r="F122" i="5"/>
  <c r="K116" i="4"/>
  <c r="C32" i="11"/>
  <c r="C174" i="1" a="1"/>
  <c r="E156" i="5"/>
  <c r="F15" i="5"/>
  <c r="K46" i="4"/>
  <c r="C289" i="12"/>
  <c r="C227" i="12"/>
  <c r="H69" i="4"/>
  <c r="C33" i="9"/>
  <c r="I133" i="4"/>
  <c r="C45" i="12"/>
  <c r="C67" i="8"/>
  <c r="K175" i="4"/>
  <c r="C133" i="12"/>
  <c r="C208" i="12"/>
  <c r="K8" i="4"/>
  <c r="E192" i="4"/>
  <c r="C123" i="10"/>
  <c r="F173" i="5"/>
  <c r="C107" i="11"/>
  <c r="C164" i="8"/>
  <c r="I153" i="4"/>
  <c r="C92" i="1" a="1"/>
  <c r="I111" i="5"/>
  <c r="C110" i="12"/>
  <c r="C24" i="11"/>
  <c r="C224" i="11"/>
  <c r="C258" i="9"/>
  <c r="I67" i="16" a="1"/>
  <c r="C67" i="12"/>
  <c r="J188" i="5"/>
  <c r="E75" i="4"/>
  <c r="I8" i="5"/>
  <c r="C234" i="1"/>
  <c r="C18" i="8"/>
  <c r="H146" i="5"/>
  <c r="I115" i="5"/>
  <c r="C32" i="12"/>
  <c r="C86" i="1" a="1"/>
  <c r="C16" i="8"/>
  <c r="H53" i="4"/>
  <c r="I133" i="16" a="1"/>
  <c r="C100" i="8"/>
  <c r="I95" i="16" a="1"/>
  <c r="I145" i="4"/>
  <c r="F59" i="4"/>
  <c r="C36" i="11"/>
  <c r="E130" i="5"/>
  <c r="E23" i="4"/>
  <c r="C106" i="11"/>
  <c r="H108" i="16"/>
  <c r="J49" i="5"/>
  <c r="C101" i="1" a="1"/>
  <c r="C288" i="9"/>
  <c r="J174" i="5"/>
  <c r="H83" i="4"/>
  <c r="I44" i="16" a="1"/>
  <c r="E83" i="4"/>
  <c r="C129" i="9"/>
  <c r="H32" i="4"/>
  <c r="J142" i="16" a="1"/>
  <c r="J18" i="4"/>
  <c r="K155" i="5"/>
  <c r="H175" i="5"/>
  <c r="H156" i="5"/>
  <c r="K41" i="4"/>
  <c r="K20" i="4"/>
  <c r="C355" i="1" a="1"/>
  <c r="F77" i="5"/>
  <c r="J50" i="16" a="1"/>
  <c r="C61" i="1" a="1"/>
  <c r="C49" i="1" a="1"/>
  <c r="C169" i="9"/>
  <c r="H138" i="16"/>
  <c r="C219" i="10"/>
  <c r="C285" i="8"/>
  <c r="E98" i="4"/>
  <c r="C420" i="1" a="1"/>
  <c r="C188" i="11"/>
  <c r="H17" i="4"/>
  <c r="C230" i="8"/>
  <c r="H176" i="5"/>
  <c r="J110" i="5"/>
  <c r="J163" i="16" a="1"/>
  <c r="I121" i="5"/>
  <c r="J71" i="16" a="1"/>
  <c r="C184" i="12"/>
  <c r="I175" i="5"/>
  <c r="H140" i="4"/>
  <c r="J179" i="16" a="1"/>
  <c r="C265" i="8"/>
  <c r="H60" i="16"/>
  <c r="I75" i="4"/>
  <c r="I135" i="16" a="1"/>
  <c r="E151" i="4"/>
  <c r="C209" i="12"/>
  <c r="F109" i="4"/>
  <c r="C194" i="12"/>
  <c r="H57" i="5"/>
  <c r="F177" i="5"/>
  <c r="H154" i="16"/>
  <c r="I106" i="16" a="1"/>
  <c r="H172" i="4"/>
  <c r="K187" i="4"/>
  <c r="F56" i="5"/>
  <c r="C447" i="1" a="1"/>
  <c r="C88" i="8"/>
  <c r="C227" i="8"/>
  <c r="H132" i="16"/>
  <c r="K140" i="5"/>
  <c r="J129" i="5"/>
  <c r="I100" i="4"/>
  <c r="C264" i="9"/>
  <c r="F57" i="4"/>
  <c r="I99" i="16" a="1"/>
  <c r="C360" i="1" a="1"/>
  <c r="J45" i="4"/>
  <c r="C223" i="8"/>
  <c r="F190" i="5"/>
  <c r="C56" i="10"/>
  <c r="H197" i="4"/>
  <c r="C373" i="1" a="1"/>
  <c r="C204" i="1" a="1"/>
  <c r="K107" i="4"/>
  <c r="F201" i="5"/>
  <c r="E78" i="4"/>
  <c r="I120" i="5"/>
  <c r="C111" i="11"/>
  <c r="C36" i="10"/>
  <c r="C291" i="12"/>
  <c r="F75" i="4"/>
  <c r="C216" i="9"/>
  <c r="J105" i="16" a="1"/>
  <c r="C244" i="12"/>
  <c r="C112" i="9"/>
  <c r="C41" i="1" a="1"/>
  <c r="I23" i="4"/>
  <c r="F26" i="4"/>
  <c r="H92" i="16"/>
  <c r="C8" i="11"/>
  <c r="I115" i="16" a="1"/>
  <c r="I204" i="4"/>
  <c r="H133" i="5"/>
  <c r="J151" i="4"/>
  <c r="K90" i="4"/>
  <c r="J59" i="16" a="1"/>
  <c r="I97" i="4"/>
  <c r="C26" i="11"/>
  <c r="J47" i="5"/>
  <c r="C211" i="9"/>
  <c r="C192" i="1" a="1"/>
  <c r="I88" i="4"/>
  <c r="J144" i="4"/>
  <c r="I142" i="16" a="1"/>
  <c r="C307" i="1" a="1"/>
  <c r="C52" i="11"/>
  <c r="I175" i="16" a="1"/>
  <c r="C290" i="12"/>
  <c r="H202" i="4"/>
  <c r="C242" i="11"/>
  <c r="J61" i="4"/>
  <c r="J65" i="4"/>
  <c r="C186" i="8"/>
  <c r="F51" i="5"/>
  <c r="C267" i="8"/>
  <c r="F177" i="4"/>
  <c r="I101" i="16" a="1"/>
  <c r="I140" i="4"/>
  <c r="K33" i="4"/>
  <c r="H72" i="4"/>
  <c r="E74" i="4"/>
  <c r="J75" i="4"/>
  <c r="C173" i="8"/>
  <c r="I114" i="5"/>
  <c r="C463" i="1" a="1"/>
  <c r="C332" i="1" a="1"/>
  <c r="C31" i="11"/>
  <c r="C298" i="11"/>
  <c r="I132" i="5"/>
  <c r="I191" i="4"/>
  <c r="J5" i="5"/>
  <c r="I155" i="16" a="1"/>
  <c r="I70" i="16" a="1"/>
  <c r="C284" i="10"/>
  <c r="C75" i="8"/>
  <c r="C101" i="10"/>
  <c r="C185" i="10"/>
  <c r="J76" i="4"/>
  <c r="C252" i="12"/>
  <c r="C132" i="1" a="1"/>
  <c r="C398" i="1" a="1"/>
  <c r="I101" i="5"/>
  <c r="E193" i="4"/>
  <c r="K163" i="4"/>
  <c r="C103" i="9"/>
  <c r="H40" i="5"/>
  <c r="C156" i="8"/>
  <c r="C157" i="10"/>
  <c r="C237" i="8"/>
  <c r="K117" i="5"/>
  <c r="F22" i="4"/>
  <c r="F200" i="4"/>
  <c r="C115" i="12"/>
  <c r="C70" i="8"/>
  <c r="C31" i="1" a="1"/>
  <c r="K177" i="4"/>
  <c r="C444" i="1" a="1"/>
  <c r="C199" i="9"/>
  <c r="K160" i="5"/>
  <c r="C61" i="10"/>
  <c r="C192" i="11"/>
  <c r="J86" i="16" a="1"/>
  <c r="C214" i="9"/>
  <c r="C322" i="1" a="1"/>
  <c r="I146" i="4"/>
  <c r="K134" i="4"/>
  <c r="C504" i="1" a="1"/>
  <c r="C144" i="10"/>
  <c r="C129" i="11"/>
  <c r="K69" i="5"/>
  <c r="C10" i="10"/>
  <c r="C396" i="1" a="1"/>
  <c r="F4" i="4"/>
  <c r="E107" i="4"/>
  <c r="C155" i="1" a="1"/>
  <c r="H7" i="4"/>
  <c r="H90" i="16"/>
  <c r="F152" i="5"/>
  <c r="K19" i="5"/>
  <c r="C245" i="9"/>
  <c r="I52" i="16" a="1"/>
  <c r="H145" i="4"/>
  <c r="C270" i="8"/>
  <c r="H190" i="5"/>
  <c r="J206" i="5"/>
  <c r="H100" i="5"/>
  <c r="C299" i="8"/>
  <c r="C303" i="12"/>
  <c r="J127" i="4"/>
  <c r="J4" i="4"/>
  <c r="E92" i="5"/>
  <c r="H22" i="4"/>
  <c r="I33" i="4"/>
  <c r="J132" i="5"/>
  <c r="J173" i="4"/>
  <c r="J90" i="5"/>
  <c r="J12" i="5"/>
  <c r="C178" i="1" a="1"/>
  <c r="C301" i="11"/>
  <c r="I77" i="5"/>
  <c r="J152" i="16" a="1"/>
  <c r="C53" i="8"/>
  <c r="C51" i="8"/>
  <c r="F114" i="4"/>
  <c r="H205" i="5"/>
  <c r="C281" i="12"/>
  <c r="C29" i="9"/>
  <c r="C96" i="9"/>
  <c r="I107" i="5"/>
  <c r="C93" i="1" a="1"/>
  <c r="I85" i="16" a="1"/>
  <c r="J60" i="16" a="1"/>
  <c r="C276" i="12"/>
  <c r="J50" i="5"/>
  <c r="C143" i="11"/>
  <c r="J98" i="4"/>
  <c r="C198" i="8"/>
  <c r="F3" i="5"/>
  <c r="C12" i="12"/>
  <c r="C230" i="11"/>
  <c r="J53" i="16" a="1"/>
  <c r="C274" i="1"/>
  <c r="J177" i="5"/>
  <c r="I71" i="5"/>
  <c r="C108" i="10"/>
  <c r="I139" i="4"/>
  <c r="C204" i="12"/>
  <c r="C43" i="12"/>
  <c r="F43" i="5"/>
  <c r="I63" i="4"/>
  <c r="C83" i="10"/>
  <c r="I195" i="5"/>
  <c r="H181" i="16"/>
  <c r="C139" i="10"/>
  <c r="J52" i="5"/>
  <c r="C259" i="1"/>
  <c r="C133" i="10"/>
  <c r="E97" i="4"/>
  <c r="F167" i="5"/>
  <c r="E42" i="5"/>
  <c r="I32" i="5"/>
  <c r="K23" i="5"/>
  <c r="H168" i="5"/>
  <c r="C480" i="1" a="1"/>
  <c r="C80" i="10"/>
  <c r="C269" i="8"/>
  <c r="E48" i="4"/>
  <c r="C33" i="14" a="1"/>
  <c r="H151" i="16"/>
  <c r="F206" i="4"/>
  <c r="E101" i="4"/>
  <c r="F149" i="5"/>
  <c r="H117" i="5"/>
  <c r="C42" i="1" a="1"/>
  <c r="C172" i="10"/>
  <c r="E150" i="5"/>
  <c r="K143" i="4"/>
  <c r="K135" i="5"/>
  <c r="C272" i="12"/>
  <c r="H102" i="4"/>
  <c r="I83" i="16" a="1"/>
  <c r="H31" i="5"/>
  <c r="C32" i="9"/>
  <c r="C167" i="12"/>
  <c r="C156" i="1" a="1"/>
  <c r="J175" i="4"/>
  <c r="H153" i="5"/>
  <c r="H124" i="16"/>
  <c r="H14" i="5"/>
  <c r="F102" i="4"/>
  <c r="F108" i="4"/>
  <c r="C114" i="12"/>
  <c r="K84" i="5"/>
  <c r="C204" i="10"/>
  <c r="I103" i="5"/>
  <c r="C407" i="1" a="1"/>
  <c r="I142" i="5"/>
  <c r="H24" i="4"/>
  <c r="E119" i="5"/>
  <c r="C113" i="1" a="1"/>
  <c r="I184" i="4"/>
  <c r="C62" i="10"/>
  <c r="C296" i="11"/>
  <c r="C261" i="11"/>
  <c r="J195" i="4"/>
  <c r="C40" i="11"/>
  <c r="E45" i="4"/>
  <c r="I161" i="5"/>
  <c r="C209" i="8"/>
  <c r="J32" i="5"/>
  <c r="I165" i="5"/>
  <c r="C14" i="9"/>
  <c r="K30" i="4"/>
  <c r="C167" i="11"/>
  <c r="I37" i="5"/>
  <c r="C63" i="10"/>
  <c r="K205" i="5"/>
  <c r="J161" i="5"/>
  <c r="F168" i="4"/>
  <c r="K53" i="5"/>
  <c r="J157" i="16" a="1"/>
  <c r="J62" i="16" a="1"/>
  <c r="K50" i="5"/>
  <c r="C35" i="8"/>
  <c r="C110" i="11"/>
  <c r="C112" i="8"/>
  <c r="J14" i="5"/>
  <c r="H88" i="5"/>
  <c r="C249" i="9"/>
  <c r="H202" i="5"/>
  <c r="C91" i="1" a="1"/>
  <c r="C210" i="10"/>
  <c r="C74" i="1" a="1"/>
  <c r="J48" i="5"/>
  <c r="C273" i="8"/>
  <c r="H158" i="4"/>
  <c r="J132" i="16" a="1"/>
  <c r="H86" i="16"/>
  <c r="C14" i="1" a="1"/>
  <c r="C258" i="1"/>
  <c r="C419" i="1" a="1"/>
  <c r="E128" i="5"/>
  <c r="C206" i="10"/>
  <c r="F23" i="5"/>
  <c r="C193" i="9"/>
  <c r="H179" i="4"/>
  <c r="F142" i="5"/>
  <c r="C104" i="8"/>
  <c r="E172" i="4"/>
  <c r="K52" i="5"/>
  <c r="F203" i="5"/>
  <c r="C62" i="8"/>
  <c r="H129" i="16"/>
  <c r="C205" i="9"/>
  <c r="C204" i="8"/>
  <c r="C95" i="9"/>
  <c r="C243" i="11"/>
  <c r="J185" i="4"/>
  <c r="C125" i="9"/>
  <c r="K9" i="4"/>
  <c r="C50" i="11"/>
  <c r="H182" i="4"/>
  <c r="J71" i="5"/>
  <c r="C285" i="9"/>
  <c r="H93" i="5"/>
  <c r="F83" i="5"/>
  <c r="J89" i="5"/>
  <c r="K17" i="4"/>
  <c r="J104" i="16" a="1"/>
  <c r="C182" i="8"/>
  <c r="H89" i="4"/>
  <c r="C169" i="1" a="1"/>
  <c r="J82" i="4"/>
  <c r="C139" i="12"/>
  <c r="K169" i="4"/>
  <c r="E117" i="4"/>
  <c r="F124" i="5"/>
  <c r="I164" i="16" a="1"/>
  <c r="F24" i="4"/>
  <c r="H186" i="16"/>
  <c r="C296" i="8"/>
  <c r="C58" i="12"/>
  <c r="I44" i="4"/>
  <c r="F199" i="5"/>
  <c r="C491" i="1" a="1"/>
  <c r="F34" i="4"/>
  <c r="C233" i="12"/>
  <c r="I66" i="16" a="1"/>
  <c r="C124" i="12"/>
  <c r="C281" i="11"/>
  <c r="E198" i="5"/>
  <c r="F81" i="4"/>
  <c r="K172" i="4"/>
  <c r="C62" i="1" a="1"/>
  <c r="C59" i="11"/>
  <c r="C14" i="12"/>
  <c r="H49" i="4"/>
  <c r="J122" i="4"/>
  <c r="H55" i="4"/>
  <c r="C140" i="11"/>
  <c r="C19" i="11"/>
  <c r="K32" i="4"/>
  <c r="C155" i="9"/>
  <c r="C21" i="12"/>
  <c r="C74" i="11"/>
  <c r="H75" i="4"/>
  <c r="C57" i="10"/>
  <c r="J149" i="5"/>
  <c r="C61" i="9"/>
  <c r="H118" i="4"/>
  <c r="E120" i="4"/>
  <c r="C239" i="9"/>
  <c r="J63" i="4"/>
  <c r="I41" i="5"/>
  <c r="C434" i="1" a="1"/>
  <c r="K101" i="5"/>
  <c r="J186" i="5"/>
  <c r="C36" i="9"/>
  <c r="I159" i="5"/>
  <c r="C280" i="12"/>
  <c r="C22" i="9"/>
  <c r="H65" i="4"/>
  <c r="E137" i="4"/>
  <c r="J54" i="4"/>
  <c r="I10" i="4"/>
  <c r="H41" i="4"/>
  <c r="H165" i="4"/>
  <c r="H37" i="4"/>
  <c r="E37" i="4"/>
  <c r="I91" i="4"/>
  <c r="J108" i="5"/>
  <c r="C214" i="10"/>
  <c r="C295" i="10"/>
  <c r="C493" i="1" a="1"/>
  <c r="H97" i="4"/>
  <c r="J171" i="16" a="1"/>
  <c r="C5" i="11" a="1"/>
  <c r="I47" i="16" a="1"/>
  <c r="K70" i="4"/>
  <c r="C301" i="8"/>
  <c r="C134" i="8"/>
  <c r="C108" i="8"/>
  <c r="C401" i="1" a="1"/>
  <c r="E10" i="5"/>
  <c r="C28" i="12"/>
  <c r="C264" i="1"/>
  <c r="J115" i="16" a="1"/>
  <c r="I164" i="5"/>
  <c r="C271" i="8"/>
  <c r="H172" i="16"/>
  <c r="C225" i="8"/>
  <c r="C24" i="8"/>
  <c r="H87" i="4"/>
  <c r="F141" i="4"/>
  <c r="H131" i="4"/>
  <c r="C16" i="1" a="1"/>
  <c r="J155" i="16" a="1"/>
  <c r="C8" i="1" a="1"/>
  <c r="J13" i="5"/>
  <c r="K118" i="4"/>
  <c r="K194" i="5"/>
  <c r="E54" i="4"/>
  <c r="K100" i="5"/>
  <c r="H182" i="16"/>
  <c r="C173" i="9"/>
  <c r="C198" i="10"/>
  <c r="C9" i="1" a="1"/>
  <c r="J73" i="4"/>
  <c r="I200" i="4"/>
  <c r="C131" i="9"/>
  <c r="I33" i="5"/>
  <c r="J40" i="5"/>
  <c r="C269" i="10"/>
  <c r="K55" i="5"/>
  <c r="H183" i="16"/>
  <c r="E182" i="4"/>
  <c r="C20" i="11"/>
  <c r="C304" i="8"/>
  <c r="C275" i="1"/>
  <c r="C282" i="11"/>
  <c r="H15" i="5"/>
  <c r="C84" i="11"/>
  <c r="H136" i="4"/>
  <c r="F67" i="4"/>
  <c r="I116" i="16" a="1"/>
  <c r="K106" i="4"/>
  <c r="C100" i="10"/>
  <c r="C56" i="11"/>
  <c r="K192" i="5"/>
  <c r="E61" i="4"/>
  <c r="H10" i="4"/>
  <c r="I147" i="4"/>
  <c r="I149" i="4"/>
  <c r="C266" i="11"/>
  <c r="J24" i="5"/>
  <c r="C35" i="12"/>
  <c r="H6" i="4"/>
  <c r="H29" i="4"/>
  <c r="C246" i="8"/>
  <c r="J27" i="4"/>
  <c r="J161" i="16" a="1"/>
  <c r="F155" i="5"/>
  <c r="C61" i="8"/>
  <c r="C217" i="1" a="1"/>
  <c r="J70" i="4"/>
  <c r="C49" i="10"/>
  <c r="C82" i="12"/>
  <c r="F118" i="5"/>
  <c r="F31" i="5"/>
  <c r="I202" i="4"/>
  <c r="K132" i="4"/>
  <c r="C57" i="9"/>
  <c r="C303" i="9"/>
  <c r="J165" i="4"/>
  <c r="C449" i="1" a="1"/>
  <c r="I46" i="5"/>
  <c r="H47" i="4"/>
  <c r="H5" i="1" a="1"/>
  <c r="F185" i="5"/>
  <c r="C233" i="10"/>
  <c r="E18" i="4"/>
  <c r="H114" i="5"/>
  <c r="C287" i="8"/>
  <c r="I161" i="16" a="1"/>
  <c r="C394" i="1" a="1"/>
  <c r="F106" i="5"/>
  <c r="C225" i="11"/>
  <c r="H8" i="5"/>
  <c r="I117" i="5"/>
  <c r="H206" i="5"/>
  <c r="H101" i="16"/>
  <c r="C60" i="11"/>
  <c r="E12" i="4"/>
  <c r="C223" i="1"/>
  <c r="I58" i="16" a="1"/>
  <c r="C148" i="12"/>
  <c r="C347" i="1" a="1"/>
  <c r="H100" i="4"/>
  <c r="J14" i="4"/>
  <c r="H74" i="16"/>
  <c r="J62" i="5"/>
  <c r="C357" i="1" a="1"/>
  <c r="J35" i="4"/>
  <c r="C303" i="10"/>
  <c r="J160" i="5"/>
  <c r="J118" i="16" a="1"/>
  <c r="K138" i="4"/>
  <c r="J22" i="4"/>
  <c r="K134" i="5"/>
  <c r="J70" i="5"/>
  <c r="C55" i="1" a="1"/>
  <c r="C180" i="12"/>
  <c r="C359" i="1" a="1"/>
  <c r="H94" i="16"/>
  <c r="H31" i="4"/>
  <c r="C105" i="9"/>
  <c r="C9" i="10"/>
  <c r="I89" i="16" a="1"/>
  <c r="C222" i="12"/>
  <c r="C271" i="12"/>
  <c r="I155" i="5"/>
  <c r="C68" i="11"/>
  <c r="H133" i="16"/>
  <c r="I70" i="5"/>
  <c r="J15" i="4"/>
  <c r="F128" i="4"/>
  <c r="C68" i="10"/>
  <c r="I134" i="4"/>
  <c r="C191" i="11"/>
  <c r="C8" i="10"/>
  <c r="E51" i="4"/>
  <c r="J38" i="4"/>
  <c r="K173" i="4"/>
  <c r="I55" i="16" a="1"/>
  <c r="C205" i="12"/>
  <c r="E124" i="5"/>
  <c r="H156" i="16"/>
  <c r="J140" i="16" a="1"/>
  <c r="J87" i="5"/>
  <c r="I17" i="4"/>
  <c r="I96" i="4"/>
  <c r="K199" i="4"/>
  <c r="J122" i="5"/>
  <c r="J46" i="5"/>
  <c r="C147" i="11"/>
  <c r="H183" i="4"/>
  <c r="I185" i="5"/>
  <c r="K159" i="4"/>
  <c r="J165" i="16" a="1"/>
  <c r="C182" i="11"/>
  <c r="C280" i="9"/>
  <c r="I166" i="16" a="1"/>
  <c r="J15" i="5"/>
  <c r="C197" i="8"/>
  <c r="E30" i="5"/>
  <c r="C203" i="10"/>
  <c r="I65" i="4"/>
  <c r="J69" i="4"/>
  <c r="I59" i="4"/>
  <c r="C180" i="10"/>
  <c r="K66" i="4"/>
  <c r="C89" i="12"/>
  <c r="K62" i="5"/>
  <c r="C114" i="8"/>
  <c r="E60" i="4"/>
  <c r="C14" i="11"/>
  <c r="C101" i="9"/>
  <c r="C142" i="8"/>
  <c r="C6" i="9"/>
  <c r="E3" i="5"/>
  <c r="C123" i="11"/>
  <c r="C258" i="12"/>
  <c r="J25" i="5"/>
  <c r="H168" i="16"/>
  <c r="C218" i="10"/>
  <c r="I136" i="4"/>
  <c r="I26" i="4"/>
  <c r="E162" i="5"/>
  <c r="F45" i="5"/>
  <c r="F134" i="5"/>
  <c r="C232" i="8"/>
  <c r="F72" i="4"/>
  <c r="E134" i="5"/>
  <c r="C52" i="10"/>
  <c r="K78" i="4"/>
  <c r="F179" i="4"/>
  <c r="H157" i="4"/>
  <c r="F74" i="4"/>
  <c r="C220" i="12"/>
  <c r="H82" i="16"/>
  <c r="C6" i="10"/>
  <c r="C272" i="9"/>
  <c r="F146" i="5"/>
  <c r="C115" i="8"/>
  <c r="F172" i="4"/>
  <c r="J194" i="4"/>
  <c r="C109" i="9"/>
  <c r="C288" i="11"/>
  <c r="C292" i="11"/>
  <c r="C47" i="12"/>
  <c r="F53" i="5"/>
  <c r="E154" i="5"/>
  <c r="C402" i="1" a="1"/>
  <c r="C124" i="10"/>
  <c r="C126" i="11"/>
  <c r="H122" i="16"/>
  <c r="E122" i="5"/>
  <c r="C5" i="9" a="1"/>
  <c r="E116" i="5"/>
  <c r="C165" i="10"/>
  <c r="C195" i="8"/>
  <c r="F39" i="4"/>
  <c r="F148" i="5"/>
  <c r="C330" i="1" a="1"/>
  <c r="C128" i="1" a="1"/>
  <c r="I103" i="16" a="1"/>
  <c r="C140" i="12"/>
  <c r="J194" i="5"/>
  <c r="C170" i="9"/>
  <c r="I73" i="5"/>
  <c r="I128" i="4"/>
  <c r="H142" i="5"/>
  <c r="I203" i="5"/>
  <c r="K25" i="4"/>
  <c r="K133" i="5"/>
  <c r="H167" i="16"/>
  <c r="C80" i="11"/>
  <c r="I94" i="4"/>
  <c r="K105" i="5"/>
  <c r="C40" i="8"/>
  <c r="F138" i="4"/>
  <c r="J67" i="5"/>
  <c r="C51" i="1" a="1"/>
  <c r="J117" i="5"/>
  <c r="C90" i="9"/>
  <c r="C293" i="10"/>
  <c r="K54" i="4"/>
  <c r="J182" i="5"/>
  <c r="C233" i="1"/>
  <c r="I193" i="5"/>
  <c r="I53" i="4"/>
  <c r="C73" i="1" a="1"/>
  <c r="F73" i="5"/>
  <c r="H94" i="4"/>
  <c r="I37" i="4"/>
  <c r="H39" i="5"/>
  <c r="C159" i="12"/>
  <c r="I191" i="5"/>
  <c r="H162" i="4"/>
  <c r="H98" i="16"/>
  <c r="E177" i="4"/>
  <c r="J168" i="5"/>
  <c r="J73" i="5"/>
  <c r="F50" i="5"/>
  <c r="C282" i="1"/>
  <c r="C168" i="9"/>
  <c r="C18" i="11"/>
  <c r="I62" i="16" a="1"/>
  <c r="F96" i="5"/>
  <c r="C6" i="8"/>
  <c r="J119" i="4"/>
  <c r="C490" i="1" a="1"/>
  <c r="I77" i="16" a="1"/>
  <c r="F109" i="5"/>
  <c r="I64" i="16" a="1"/>
  <c r="E174" i="4"/>
  <c r="F187" i="5"/>
  <c r="C86" i="8"/>
  <c r="C82" i="8"/>
  <c r="C194" i="1" a="1"/>
  <c r="E149" i="5"/>
  <c r="F123" i="4"/>
  <c r="E73" i="5"/>
  <c r="K120" i="5"/>
  <c r="H110" i="16"/>
  <c r="I52" i="5"/>
  <c r="C143" i="10"/>
  <c r="I143" i="4"/>
  <c r="K11" i="4"/>
  <c r="J148" i="5"/>
  <c r="F8" i="5"/>
  <c r="K27" i="4"/>
  <c r="F68" i="4"/>
  <c r="C77" i="8"/>
  <c r="I89" i="4"/>
  <c r="J53" i="4"/>
  <c r="E111" i="4"/>
  <c r="C189" i="12"/>
  <c r="C176" i="9"/>
  <c r="I182" i="5"/>
  <c r="K119" i="5"/>
  <c r="H152" i="16"/>
  <c r="C229" i="1"/>
  <c r="C422" i="1" a="1"/>
  <c r="C186" i="11"/>
  <c r="C72" i="8"/>
  <c r="C159" i="9"/>
  <c r="I151" i="5"/>
  <c r="C251" i="12"/>
  <c r="C113" i="10"/>
  <c r="F193" i="5"/>
  <c r="J33" i="5"/>
  <c r="K192" i="4"/>
  <c r="F127" i="4"/>
  <c r="E121" i="4"/>
  <c r="E64" i="4"/>
  <c r="K6" i="5"/>
  <c r="E189" i="4"/>
  <c r="E32" i="5"/>
  <c r="K12" i="4"/>
  <c r="C198" i="1" a="1"/>
  <c r="I190" i="4"/>
  <c r="J101" i="16" a="1"/>
  <c r="E162" i="4"/>
  <c r="H14" i="4"/>
  <c r="K196" i="4"/>
  <c r="I186" i="5"/>
  <c r="H84" i="4"/>
  <c r="I82" i="5"/>
  <c r="C60" i="9"/>
  <c r="E200" i="5"/>
  <c r="I146" i="5"/>
  <c r="C276" i="8"/>
  <c r="C261" i="9"/>
  <c r="J146" i="5"/>
  <c r="C152" i="10"/>
  <c r="F106" i="4"/>
  <c r="C337" i="1" a="1"/>
  <c r="C417" i="1" a="1"/>
  <c r="C442" i="1" a="1"/>
  <c r="C235" i="9"/>
  <c r="C33" i="1" a="1"/>
  <c r="I113" i="5"/>
  <c r="C76" i="8"/>
  <c r="E114" i="5"/>
  <c r="H200" i="4"/>
  <c r="C90" i="11"/>
  <c r="E18" i="5"/>
  <c r="I13" i="5"/>
  <c r="C23" i="9"/>
  <c r="C206" i="11"/>
  <c r="C418" i="1" a="1"/>
  <c r="C103" i="11"/>
  <c r="C142" i="12"/>
  <c r="E72" i="4"/>
  <c r="I139" i="5"/>
  <c r="H105" i="4"/>
  <c r="E4" i="4"/>
  <c r="K149" i="4"/>
  <c r="J104" i="4"/>
  <c r="I186" i="4"/>
  <c r="C104" i="12"/>
  <c r="C211" i="11"/>
  <c r="I111" i="4"/>
  <c r="E15" i="4"/>
  <c r="J124" i="4"/>
  <c r="C392" i="1" a="1"/>
  <c r="J85" i="16" a="1"/>
  <c r="K91" i="4"/>
  <c r="H9" i="4"/>
  <c r="C83" i="1" a="1"/>
  <c r="C5" i="12" a="1"/>
  <c r="C146" i="10"/>
  <c r="J45" i="16" a="1"/>
  <c r="F29" i="5"/>
  <c r="K40" i="5"/>
  <c r="I100" i="5"/>
  <c r="J70" i="16" a="1"/>
  <c r="C83" i="12"/>
  <c r="C215" i="12"/>
  <c r="H198" i="5"/>
  <c r="C78" i="11"/>
  <c r="J126" i="5"/>
  <c r="K202" i="4"/>
  <c r="J105" i="4"/>
  <c r="C120" i="12"/>
  <c r="J185" i="16" a="1"/>
  <c r="C236" i="8"/>
  <c r="C70" i="9"/>
  <c r="F130" i="4"/>
  <c r="K185" i="5"/>
  <c r="I108" i="16" a="1"/>
  <c r="C18" i="9"/>
  <c r="E65" i="5"/>
  <c r="C140" i="9"/>
  <c r="F66" i="4"/>
  <c r="I60" i="16" a="1"/>
  <c r="J43" i="5"/>
  <c r="C382" i="1" a="1"/>
  <c r="J178" i="16" a="1"/>
  <c r="J190" i="4"/>
  <c r="C225" i="1"/>
  <c r="H157" i="16"/>
  <c r="K75" i="5"/>
  <c r="C98" i="11"/>
  <c r="C298" i="10"/>
  <c r="H77" i="16"/>
  <c r="K44" i="4"/>
  <c r="C278" i="11"/>
  <c r="J65" i="16" a="1"/>
  <c r="K178" i="5"/>
  <c r="C487" i="1" a="1"/>
  <c r="H134" i="5"/>
  <c r="F17" i="4"/>
  <c r="F42" i="4"/>
  <c r="J185" i="5"/>
  <c r="H99" i="4"/>
  <c r="C5" i="8" a="1"/>
  <c r="C129" i="1" a="1"/>
  <c r="E88" i="5"/>
  <c r="I31" i="4"/>
  <c r="E78" i="5"/>
  <c r="C178" i="8"/>
  <c r="C389" i="1" a="1"/>
  <c r="C188" i="9"/>
  <c r="C142" i="10"/>
  <c r="C232" i="12"/>
  <c r="C372" i="1" a="1"/>
  <c r="C152" i="11"/>
  <c r="J65" i="5"/>
  <c r="H137" i="5"/>
  <c r="I48" i="5"/>
  <c r="I46" i="16" a="1"/>
  <c r="J30" i="4"/>
  <c r="J20" i="5"/>
  <c r="J83" i="16" a="1"/>
  <c r="C343" i="1" a="1"/>
  <c r="C287" i="12"/>
  <c r="K183" i="5"/>
  <c r="E76" i="5"/>
  <c r="C121" i="10"/>
  <c r="I83" i="5"/>
  <c r="H165" i="16"/>
  <c r="K129" i="5"/>
  <c r="C222" i="11"/>
  <c r="K181" i="5"/>
  <c r="K104" i="5"/>
  <c r="I129" i="16" a="1"/>
  <c r="C77" i="1" a="1"/>
  <c r="C220" i="8"/>
  <c r="I153" i="5"/>
  <c r="C267" i="11"/>
  <c r="C290" i="1"/>
  <c r="C48" i="11"/>
  <c r="C36" i="1" a="1"/>
  <c r="C155" i="11"/>
  <c r="I171" i="4"/>
  <c r="K155" i="4"/>
  <c r="C153" i="8"/>
  <c r="C53" i="9"/>
  <c r="C301" i="1"/>
  <c r="F124" i="4"/>
  <c r="C294" i="11"/>
  <c r="H115" i="16"/>
  <c r="C19" i="1" a="1"/>
  <c r="I92" i="5"/>
  <c r="C194" i="11"/>
  <c r="I16" i="4"/>
  <c r="C65" i="1" a="1"/>
  <c r="F191" i="4"/>
  <c r="K114" i="4"/>
  <c r="E90" i="5"/>
  <c r="F32" i="4"/>
  <c r="H78" i="5"/>
  <c r="C61" i="11"/>
  <c r="C17" i="1" a="1"/>
  <c r="I80" i="4"/>
  <c r="I96" i="16" a="1"/>
  <c r="I81" i="4"/>
  <c r="F33" i="4"/>
  <c r="C44" i="1" a="1"/>
  <c r="J138" i="5"/>
  <c r="H103" i="4"/>
  <c r="I68" i="16" a="1"/>
  <c r="I149" i="5"/>
  <c r="C499" i="1" a="1"/>
  <c r="C123" i="1" a="1"/>
  <c r="C229" i="11"/>
  <c r="I148" i="16" a="1"/>
  <c r="I97" i="16" a="1"/>
  <c r="J96" i="16" a="1"/>
  <c r="C46" i="10"/>
  <c r="F128" i="5"/>
  <c r="I190" i="5"/>
  <c r="E203" i="4"/>
  <c r="F119" i="4"/>
  <c r="I102" i="5"/>
  <c r="C303" i="11"/>
  <c r="H36" i="5"/>
  <c r="J145" i="16" a="1"/>
  <c r="C6" i="1" a="1"/>
  <c r="E109" i="4"/>
  <c r="C82" i="9"/>
  <c r="I9" i="5"/>
  <c r="K189" i="4"/>
  <c r="C214" i="12"/>
  <c r="C93" i="11"/>
  <c r="E34" i="5"/>
  <c r="K68" i="4"/>
  <c r="C272" i="10"/>
  <c r="E96" i="5"/>
  <c r="C460" i="1" a="1"/>
  <c r="J157" i="5"/>
  <c r="I125" i="16" a="1"/>
  <c r="C118" i="11"/>
  <c r="C231" i="12"/>
  <c r="C5" i="14" a="1"/>
  <c r="I92" i="4"/>
  <c r="C50" i="9"/>
  <c r="C262" i="12"/>
  <c r="C315" i="1" a="1"/>
  <c r="I80" i="5"/>
  <c r="K140" i="4"/>
  <c r="C163" i="10"/>
  <c r="E203" i="5"/>
  <c r="K188" i="5"/>
  <c r="H34" i="4"/>
  <c r="I54" i="16" a="1"/>
  <c r="C248" i="11"/>
  <c r="I158" i="16" a="1"/>
  <c r="I11" i="5"/>
  <c r="F61" i="5"/>
  <c r="C159" i="11"/>
  <c r="J55" i="16" a="1"/>
  <c r="E27" i="4"/>
  <c r="C67" i="1" a="1"/>
  <c r="J184" i="16" a="1"/>
  <c r="F92" i="4"/>
  <c r="E132" i="5"/>
  <c r="C306" i="1" a="1"/>
  <c r="H155" i="5"/>
  <c r="F61" i="4"/>
  <c r="F104" i="5"/>
  <c r="K182" i="4"/>
  <c r="H68" i="5"/>
  <c r="H5" i="5"/>
  <c r="K180" i="4"/>
  <c r="H133" i="4"/>
  <c r="E181" i="5"/>
  <c r="C362" i="1" a="1"/>
  <c r="I5" i="5"/>
  <c r="E20" i="4"/>
  <c r="C185" i="9"/>
  <c r="I7" i="4"/>
  <c r="E16" i="4"/>
  <c r="K52" i="4"/>
  <c r="C98" i="1" a="1"/>
  <c r="C88" i="10"/>
  <c r="C133" i="11"/>
  <c r="I162" i="5"/>
  <c r="I145" i="5"/>
  <c r="C98" i="10"/>
  <c r="C66" i="1" a="1"/>
  <c r="K185" i="4"/>
  <c r="C69" i="9"/>
  <c r="C123" i="9"/>
  <c r="H91" i="4"/>
  <c r="F15" i="4"/>
  <c r="C76" i="1" a="1"/>
  <c r="E11" i="4"/>
  <c r="C92" i="8"/>
  <c r="I50" i="4"/>
  <c r="J183" i="5"/>
  <c r="E110" i="5"/>
  <c r="E167" i="5"/>
  <c r="I81" i="5"/>
  <c r="J147" i="5"/>
  <c r="I182" i="4"/>
  <c r="J150" i="16" a="1"/>
  <c r="I151" i="16" a="1"/>
  <c r="F4" i="5"/>
  <c r="K150" i="4"/>
  <c r="I22" i="5"/>
  <c r="E100" i="4"/>
  <c r="K113" i="4"/>
  <c r="C40" i="10"/>
  <c r="C150" i="8"/>
  <c r="F9" i="4"/>
  <c r="C164" i="11"/>
  <c r="F47" i="4"/>
  <c r="C281" i="1"/>
  <c r="C273" i="9"/>
  <c r="C128" i="10"/>
  <c r="J144" i="16" a="1"/>
  <c r="H11" i="4"/>
  <c r="C299" i="1"/>
  <c r="C44" i="8"/>
  <c r="C187" i="8"/>
  <c r="F176" i="4"/>
  <c r="C42" i="11"/>
  <c r="C111" i="9"/>
  <c r="F71" i="4"/>
  <c r="J102" i="4"/>
  <c r="C182" i="1" a="1"/>
  <c r="H57" i="4"/>
  <c r="C190" i="9"/>
  <c r="H93" i="4"/>
  <c r="C178" i="11"/>
  <c r="J158" i="5"/>
  <c r="C462" i="1" a="1"/>
  <c r="K206" i="5"/>
  <c r="C94" i="9"/>
  <c r="I178" i="16" a="1"/>
  <c r="H16" i="4"/>
  <c r="E29" i="4"/>
  <c r="H102" i="16"/>
  <c r="H192" i="5"/>
  <c r="C98" i="9"/>
  <c r="C262" i="1"/>
  <c r="I150" i="4"/>
  <c r="K143" i="5"/>
  <c r="C114" i="1" a="1"/>
  <c r="C217" i="8"/>
  <c r="C226" i="9"/>
  <c r="C18" i="10"/>
  <c r="C141" i="11"/>
  <c r="J124" i="5"/>
  <c r="C224" i="8"/>
  <c r="K24" i="5"/>
  <c r="F5" i="5"/>
  <c r="C456" i="1" a="1"/>
  <c r="I124" i="16" a="1"/>
  <c r="C216" i="12"/>
  <c r="C154" i="1" a="1"/>
  <c r="F63" i="5"/>
  <c r="C96" i="10"/>
  <c r="C122" i="1" a="1"/>
  <c r="J112" i="4"/>
  <c r="C12" i="11"/>
  <c r="C284" i="12"/>
  <c r="J188" i="4"/>
  <c r="H20" i="5"/>
  <c r="F205" i="4"/>
  <c r="C124" i="8"/>
  <c r="J55" i="4"/>
  <c r="C253" i="12"/>
  <c r="E71" i="5"/>
  <c r="H98" i="5"/>
  <c r="E187" i="5"/>
  <c r="C141" i="12"/>
  <c r="C309" i="1" a="1"/>
  <c r="C13" i="11"/>
  <c r="H145" i="5"/>
  <c r="C125" i="10"/>
  <c r="F63" i="4"/>
  <c r="F3" i="4"/>
  <c r="C78" i="9"/>
  <c r="F155" i="4"/>
  <c r="J11" i="5"/>
  <c r="C168" i="8"/>
  <c r="C410" i="1" a="1"/>
  <c r="C167" i="9"/>
  <c r="K77" i="4"/>
  <c r="J87" i="4"/>
  <c r="C56" i="12"/>
  <c r="H156" i="4"/>
  <c r="H98" i="4"/>
  <c r="J107" i="5"/>
  <c r="K141" i="5"/>
  <c r="I201" i="5"/>
  <c r="C170" i="12"/>
  <c r="C132" i="10"/>
  <c r="C227" i="9"/>
  <c r="C297" i="9"/>
  <c r="H62" i="4"/>
  <c r="C12" i="9"/>
  <c r="F50" i="4"/>
  <c r="J206" i="4"/>
  <c r="F181" i="5"/>
  <c r="C183" i="8"/>
  <c r="C203" i="11"/>
  <c r="C106" i="8"/>
  <c r="J97" i="5"/>
  <c r="E166" i="4"/>
  <c r="C158" i="8"/>
  <c r="C50" i="8"/>
  <c r="K58" i="4"/>
  <c r="E168" i="5"/>
  <c r="E65" i="4"/>
  <c r="F117" i="4"/>
  <c r="F135" i="5"/>
  <c r="K70" i="5"/>
  <c r="H164" i="4"/>
  <c r="I138" i="16" a="1"/>
  <c r="H152" i="5"/>
  <c r="H121" i="5"/>
  <c r="C82" i="1" a="1"/>
  <c r="F56" i="4"/>
  <c r="H174" i="5"/>
  <c r="C232" i="10"/>
  <c r="E99" i="5"/>
  <c r="H76" i="16"/>
  <c r="C29" i="10"/>
  <c r="C11" i="8"/>
  <c r="C299" i="9"/>
  <c r="C72" i="11"/>
  <c r="K33" i="5"/>
  <c r="C21" i="9"/>
  <c r="E68" i="4"/>
  <c r="E136" i="4"/>
  <c r="I108" i="4"/>
  <c r="F19" i="4"/>
  <c r="I3" i="4"/>
  <c r="C122" i="8"/>
  <c r="H119" i="4"/>
  <c r="I7" i="5"/>
  <c r="E95" i="4"/>
  <c r="H187" i="5"/>
  <c r="F97" i="4"/>
  <c r="H53" i="5"/>
  <c r="J93" i="4"/>
  <c r="F115" i="5"/>
  <c r="I167" i="5"/>
  <c r="C440" i="1" a="1"/>
  <c r="J121" i="16" a="1"/>
  <c r="K80" i="4"/>
  <c r="C218" i="11"/>
  <c r="I156" i="5"/>
  <c r="H125" i="5"/>
  <c r="I166" i="4"/>
  <c r="C304" i="1"/>
  <c r="K22" i="4"/>
  <c r="J150" i="5"/>
  <c r="E11" i="5"/>
  <c r="H113" i="5"/>
  <c r="C38" i="8"/>
  <c r="H186" i="5"/>
  <c r="K101" i="4"/>
  <c r="H81" i="5"/>
  <c r="C247" i="12"/>
  <c r="J95" i="4"/>
  <c r="F82" i="5"/>
  <c r="J174" i="16" a="1"/>
  <c r="C412" i="1" a="1"/>
  <c r="E195" i="4"/>
  <c r="I38" i="4"/>
  <c r="J172" i="16" a="1"/>
  <c r="J170" i="16" a="1"/>
  <c r="J156" i="4"/>
  <c r="J109" i="16" a="1"/>
  <c r="F113" i="4"/>
  <c r="C28" i="10"/>
  <c r="C154" i="12"/>
  <c r="C450" i="1" a="1"/>
  <c r="C210" i="8"/>
  <c r="J75" i="16" a="1"/>
  <c r="E152" i="5"/>
  <c r="F37" i="5"/>
  <c r="F32" i="5"/>
  <c r="C267" i="12"/>
  <c r="H5" i="4"/>
  <c r="H104" i="16"/>
  <c r="C15" i="10"/>
  <c r="J25" i="4"/>
  <c r="C91" i="8"/>
  <c r="E67" i="4"/>
  <c r="K34" i="4"/>
  <c r="H132" i="4"/>
  <c r="H204" i="5"/>
  <c r="C500" i="1" a="1"/>
  <c r="K108" i="5"/>
  <c r="J112" i="5"/>
  <c r="C147" i="1" a="1"/>
  <c r="E142" i="4"/>
  <c r="I174" i="4"/>
  <c r="C84" i="9"/>
  <c r="E50" i="4"/>
  <c r="C172" i="12"/>
  <c r="E81" i="5"/>
  <c r="C125" i="11"/>
  <c r="I75" i="16" a="1"/>
  <c r="J18" i="5"/>
  <c r="K168" i="4"/>
  <c r="C304" i="11"/>
  <c r="K51" i="4"/>
  <c r="E104" i="5"/>
  <c r="C81" i="10"/>
  <c r="J92" i="5"/>
  <c r="J158" i="4"/>
  <c r="C304" i="10"/>
  <c r="I68" i="4"/>
  <c r="C150" i="11"/>
  <c r="C471" i="1" a="1"/>
  <c r="J128" i="5"/>
  <c r="C252" i="11"/>
  <c r="C244" i="1"/>
  <c r="C48" i="1" a="1"/>
  <c r="I116" i="5"/>
  <c r="C281" i="8"/>
  <c r="C67" i="10"/>
  <c r="C106" i="12"/>
  <c r="I134" i="16" a="1"/>
  <c r="C443" i="1" a="1"/>
  <c r="C109" i="10"/>
  <c r="E102" i="5"/>
  <c r="C366" i="1" a="1"/>
  <c r="C113" i="12"/>
  <c r="K121" i="5"/>
  <c r="I172" i="5"/>
  <c r="E179" i="5"/>
  <c r="C24" i="12"/>
  <c r="C79" i="8"/>
  <c r="K183" i="4"/>
  <c r="C291" i="9"/>
  <c r="I62" i="4"/>
  <c r="K182" i="5"/>
  <c r="K172" i="5"/>
  <c r="C182" i="9"/>
  <c r="C256" i="8"/>
  <c r="K130" i="4"/>
  <c r="C44" i="9"/>
  <c r="C115" i="9"/>
  <c r="C286" i="12"/>
  <c r="F12" i="5"/>
  <c r="K4" i="4"/>
  <c r="C278" i="12"/>
  <c r="C89" i="1" a="1"/>
  <c r="C162" i="12"/>
  <c r="E178" i="5"/>
  <c r="C244" i="10"/>
  <c r="C144" i="8"/>
  <c r="E3" i="4"/>
  <c r="I177" i="4"/>
  <c r="J114" i="5"/>
  <c r="C408" i="1" a="1"/>
  <c r="C122" i="10"/>
  <c r="I157" i="16" a="1"/>
  <c r="E187" i="4"/>
  <c r="E147" i="4"/>
  <c r="I29" i="4"/>
  <c r="C149" i="8"/>
  <c r="C231" i="11"/>
  <c r="C67" i="11"/>
  <c r="C292" i="12"/>
  <c r="E194" i="4"/>
  <c r="J201" i="5"/>
  <c r="J17" i="5"/>
  <c r="C79" i="12"/>
  <c r="C12" i="8"/>
  <c r="C338" i="1" a="1"/>
  <c r="C212" i="1" a="1"/>
  <c r="C302" i="1"/>
  <c r="E115" i="5"/>
  <c r="H97" i="5"/>
  <c r="C211" i="1" a="1"/>
  <c r="C26" i="1" a="1"/>
  <c r="C87" i="9"/>
  <c r="C154" i="10"/>
  <c r="C242" i="10"/>
  <c r="H72" i="16"/>
  <c r="C158" i="11"/>
  <c r="H60" i="4"/>
  <c r="H6" i="5"/>
  <c r="H35" i="4"/>
  <c r="I133" i="5"/>
  <c r="F162" i="5"/>
  <c r="K161" i="4"/>
  <c r="C481" i="1" a="1"/>
  <c r="E101" i="5"/>
  <c r="I62" i="5"/>
  <c r="E75" i="5"/>
  <c r="I71" i="4"/>
  <c r="I18" i="4"/>
  <c r="C416" i="1" a="1"/>
  <c r="C209" i="1"/>
  <c r="H45" i="5"/>
  <c r="J102" i="16" a="1"/>
  <c r="I79" i="16" a="1"/>
  <c r="I89" i="5"/>
  <c r="C312" i="1" a="1"/>
  <c r="K103" i="4"/>
  <c r="K6" i="4"/>
  <c r="K36" i="4"/>
  <c r="E176" i="5"/>
  <c r="E86" i="4"/>
  <c r="C55" i="8"/>
  <c r="C84" i="8"/>
  <c r="F116" i="5"/>
  <c r="K128" i="4"/>
  <c r="C241" i="1"/>
  <c r="C270" i="1"/>
  <c r="K201" i="5"/>
  <c r="K177" i="5"/>
  <c r="E178" i="4"/>
  <c r="E201" i="5"/>
  <c r="E161" i="4"/>
  <c r="F145" i="4"/>
  <c r="I42" i="4"/>
  <c r="C297" i="11"/>
  <c r="J59" i="4"/>
  <c r="E148" i="5"/>
  <c r="C130" i="12"/>
  <c r="J197" i="5"/>
  <c r="C261" i="1"/>
  <c r="K129" i="4"/>
  <c r="C17" i="9"/>
  <c r="F120" i="5"/>
  <c r="C70" i="1" a="1"/>
  <c r="C267" i="1"/>
  <c r="C147" i="10"/>
  <c r="C102" i="10"/>
  <c r="C193" i="8"/>
  <c r="C151" i="1" a="1"/>
  <c r="C151" i="12"/>
  <c r="E93" i="4"/>
  <c r="H172" i="5"/>
  <c r="J52" i="16" a="1"/>
  <c r="H59" i="5"/>
  <c r="C80" i="9"/>
  <c r="E205" i="4"/>
  <c r="C119" i="10"/>
  <c r="E19" i="5"/>
  <c r="I165" i="4"/>
  <c r="K16" i="5"/>
  <c r="C285" i="1"/>
  <c r="C174" i="11"/>
  <c r="C289" i="10"/>
  <c r="C25" i="12"/>
  <c r="J138" i="16" a="1"/>
  <c r="F67" i="5"/>
  <c r="C91" i="12"/>
  <c r="K115" i="4"/>
  <c r="K57" i="5"/>
  <c r="H162" i="16"/>
  <c r="E169" i="4"/>
  <c r="E175" i="5"/>
  <c r="J198" i="5"/>
  <c r="E5" i="5"/>
  <c r="K96" i="4"/>
  <c r="J86" i="4"/>
  <c r="I123" i="5"/>
  <c r="E89" i="5"/>
  <c r="J94" i="4"/>
  <c r="I28" i="5"/>
  <c r="C87" i="8"/>
  <c r="C235" i="1"/>
  <c r="C425" i="1" a="1"/>
  <c r="C270" i="10"/>
  <c r="I45" i="5"/>
  <c r="H21" i="4"/>
  <c r="J99" i="5"/>
  <c r="C298" i="1"/>
  <c r="C186" i="1" a="1"/>
  <c r="C127" i="9"/>
  <c r="J31" i="5"/>
  <c r="C289" i="1"/>
  <c r="H35" i="5"/>
  <c r="C219" i="8"/>
  <c r="I18" i="5"/>
  <c r="C196" i="8"/>
  <c r="J198" i="4"/>
  <c r="E46" i="5"/>
  <c r="F44" i="4"/>
  <c r="J10" i="5"/>
  <c r="C426" i="1" a="1"/>
  <c r="K69" i="4"/>
  <c r="C249" i="12"/>
  <c r="I111" i="16" a="1"/>
  <c r="C54" i="11"/>
  <c r="K92" i="5"/>
  <c r="I125" i="4"/>
  <c r="I101" i="4"/>
  <c r="I193" i="4"/>
  <c r="C10" i="1" a="1"/>
  <c r="I159" i="4"/>
  <c r="C10" i="12"/>
  <c r="C116" i="11"/>
  <c r="C181" i="1" a="1"/>
  <c r="J72" i="4"/>
  <c r="H61" i="4"/>
  <c r="C207" i="11"/>
  <c r="I127" i="16" a="1"/>
  <c r="I158" i="4"/>
  <c r="K152" i="4"/>
  <c r="C310" i="1" a="1"/>
  <c r="C146" i="11"/>
  <c r="C185" i="12"/>
  <c r="F98" i="5"/>
  <c r="E29" i="5"/>
  <c r="J22" i="5"/>
  <c r="C176" i="10"/>
  <c r="H38" i="5"/>
  <c r="C90" i="12"/>
  <c r="C27" i="10"/>
  <c r="F125" i="4"/>
  <c r="C55" i="11"/>
  <c r="J204" i="5"/>
  <c r="C204" i="11"/>
  <c r="C106" i="1" a="1"/>
  <c r="C215" i="1" a="1"/>
  <c r="H90" i="5"/>
  <c r="F196" i="5"/>
  <c r="J156" i="16" a="1"/>
  <c r="C29" i="1" a="1"/>
  <c r="J170" i="4"/>
  <c r="J26" i="5"/>
  <c r="I147" i="5"/>
  <c r="H143" i="16"/>
  <c r="E25" i="4"/>
  <c r="J118" i="5"/>
  <c r="I164" i="4"/>
  <c r="C40" i="12"/>
  <c r="E179" i="4"/>
  <c r="C42" i="12"/>
  <c r="H184" i="16"/>
  <c r="I178" i="5"/>
  <c r="C189" i="11"/>
  <c r="I109" i="5"/>
  <c r="F205" i="5"/>
  <c r="E38" i="5"/>
  <c r="I91" i="5"/>
  <c r="F186" i="5"/>
  <c r="C267" i="9"/>
  <c r="E114" i="4"/>
  <c r="I74" i="5"/>
  <c r="C117" i="10"/>
  <c r="I179" i="4"/>
  <c r="C188" i="1" a="1"/>
  <c r="K144" i="4"/>
  <c r="I188" i="5"/>
  <c r="J186" i="4"/>
  <c r="J131" i="4"/>
  <c r="H7" i="5"/>
  <c r="K179" i="5"/>
  <c r="E103" i="4"/>
  <c r="J44" i="4"/>
  <c r="C228" i="8"/>
  <c r="J100" i="16" a="1"/>
  <c r="F143" i="4"/>
  <c r="C217" i="11"/>
  <c r="C192" i="9"/>
  <c r="J8" i="4"/>
  <c r="C21" i="11"/>
  <c r="K79" i="5"/>
  <c r="C70" i="10"/>
  <c r="E194" i="5"/>
  <c r="E38" i="4"/>
  <c r="C189" i="1"/>
  <c r="C185" i="11"/>
  <c r="E197" i="4"/>
  <c r="C97" i="9"/>
  <c r="J130" i="5"/>
  <c r="C207" i="1" a="1"/>
  <c r="C88" i="12"/>
  <c r="C157" i="9"/>
  <c r="C53" i="10"/>
  <c r="I39" i="4"/>
  <c r="C133" i="1" a="1"/>
  <c r="J33" i="4"/>
  <c r="C231" i="9"/>
  <c r="K77" i="5"/>
  <c r="C385" i="1" a="1"/>
  <c r="F161" i="4"/>
  <c r="H43" i="4"/>
  <c r="J180" i="4"/>
  <c r="C117" i="12"/>
  <c r="K95" i="4"/>
  <c r="C217" i="9"/>
  <c r="C43" i="9"/>
  <c r="E14" i="4"/>
  <c r="H150" i="16"/>
  <c r="E61" i="5"/>
  <c r="J45" i="5"/>
  <c r="C276" i="1"/>
  <c r="I67" i="4"/>
  <c r="E28" i="4"/>
  <c r="C28" i="8"/>
  <c r="I199" i="5"/>
  <c r="F25" i="4"/>
  <c r="C270" i="12"/>
  <c r="F168" i="5"/>
  <c r="E31" i="4"/>
  <c r="C294" i="1"/>
  <c r="C149" i="10"/>
  <c r="C291" i="8"/>
  <c r="H125" i="4"/>
  <c r="C470" i="1" a="1"/>
  <c r="H160" i="5"/>
  <c r="C260" i="11"/>
  <c r="F73" i="4"/>
  <c r="J24" i="4"/>
  <c r="H158" i="16"/>
  <c r="F10" i="4"/>
  <c r="E76" i="4"/>
  <c r="K76" i="5"/>
  <c r="C208" i="8"/>
  <c r="C86" i="12"/>
  <c r="C134" i="11"/>
  <c r="C37" i="10"/>
  <c r="C188" i="8"/>
  <c r="I159" i="16" a="1"/>
  <c r="C179" i="9"/>
  <c r="C135" i="9"/>
  <c r="K121" i="4"/>
  <c r="E87" i="4"/>
  <c r="C301" i="9"/>
  <c r="H196" i="4"/>
  <c r="I56" i="4"/>
  <c r="J69" i="5"/>
  <c r="H78" i="16"/>
  <c r="I134" i="5"/>
  <c r="J95" i="5"/>
  <c r="C36" i="8"/>
  <c r="E146" i="4"/>
  <c r="C227" i="11"/>
  <c r="F28" i="4"/>
  <c r="J91" i="4"/>
  <c r="C79" i="11"/>
  <c r="E189" i="5"/>
  <c r="E118" i="4"/>
  <c r="E202" i="5"/>
  <c r="I105" i="16" a="1"/>
  <c r="F104" i="4"/>
  <c r="I13" i="4"/>
  <c r="C47" i="9"/>
  <c r="C115" i="11"/>
  <c r="C240" i="8"/>
  <c r="C226" i="1"/>
  <c r="I196" i="5"/>
  <c r="E183" i="4"/>
  <c r="C236" i="12"/>
  <c r="C138" i="11"/>
  <c r="K74" i="5"/>
  <c r="C197" i="11"/>
  <c r="H105" i="16"/>
  <c r="J53" i="5"/>
  <c r="H75" i="16"/>
  <c r="E193" i="5"/>
  <c r="K79" i="4"/>
  <c r="K136" i="5"/>
  <c r="C156" i="11"/>
  <c r="K47" i="5"/>
  <c r="F182" i="5"/>
  <c r="K163" i="5"/>
  <c r="C166" i="1" a="1"/>
  <c r="C22" i="8"/>
  <c r="C256" i="11"/>
  <c r="E181" i="4"/>
  <c r="H105" i="5"/>
  <c r="C288" i="12"/>
  <c r="C193" i="11"/>
  <c r="C103" i="1" a="1"/>
  <c r="C124" i="9"/>
  <c r="C206" i="8"/>
  <c r="J79" i="4"/>
  <c r="H83" i="5"/>
  <c r="I156" i="4"/>
  <c r="C19" i="8"/>
  <c r="C247" i="8"/>
  <c r="C218" i="9"/>
  <c r="C308" i="1" a="1"/>
  <c r="C9" i="12"/>
  <c r="J118" i="4"/>
  <c r="H60" i="5"/>
  <c r="E24" i="5"/>
  <c r="I120" i="16" a="1"/>
  <c r="C287" i="9"/>
  <c r="C260" i="12"/>
  <c r="E149" i="4"/>
  <c r="C122" i="9"/>
  <c r="C298" i="8"/>
  <c r="C100" i="12"/>
  <c r="C239" i="1"/>
  <c r="C175" i="12"/>
  <c r="I64" i="4"/>
  <c r="K83" i="5"/>
  <c r="C69" i="8"/>
  <c r="J79" i="5"/>
  <c r="H135" i="4"/>
  <c r="C211" i="12"/>
  <c r="J83" i="4"/>
  <c r="K53" i="4"/>
  <c r="C7" i="11"/>
  <c r="K60" i="4"/>
  <c r="K94" i="5"/>
  <c r="C155" i="12"/>
  <c r="C203" i="9"/>
  <c r="C236" i="1"/>
  <c r="C69" i="1" a="1"/>
  <c r="C129" i="12"/>
  <c r="C358" i="1" a="1"/>
  <c r="J61" i="16" a="1"/>
  <c r="F9" i="5"/>
  <c r="J67" i="4"/>
  <c r="H68" i="4"/>
  <c r="E34" i="4"/>
  <c r="H106" i="5"/>
  <c r="K120" i="4"/>
  <c r="C316" i="1" a="1"/>
  <c r="C90" i="8"/>
  <c r="F65" i="5"/>
  <c r="C23" i="1" a="1"/>
  <c r="C240" i="9"/>
  <c r="J202" i="4"/>
  <c r="K80" i="5"/>
  <c r="C181" i="8"/>
  <c r="C206" i="9"/>
  <c r="C196" i="11"/>
  <c r="H188" i="4"/>
  <c r="H38" i="4"/>
  <c r="C283" i="10"/>
  <c r="C87" i="11"/>
  <c r="H83" i="16"/>
  <c r="C272" i="1"/>
  <c r="J197" i="4"/>
  <c r="C117" i="11"/>
  <c r="C45" i="10"/>
  <c r="H177" i="4"/>
  <c r="K43" i="4"/>
  <c r="H137" i="4"/>
  <c r="K115" i="5"/>
  <c r="J151" i="5"/>
  <c r="C502" i="1" a="1"/>
  <c r="C130" i="11"/>
  <c r="C199" i="8"/>
  <c r="E48" i="5"/>
  <c r="C54" i="1" a="1"/>
  <c r="J136" i="5"/>
  <c r="K9" i="5"/>
  <c r="E138" i="5"/>
  <c r="J16" i="5"/>
  <c r="C59" i="9"/>
  <c r="I144" i="4"/>
  <c r="C223" i="9"/>
  <c r="F132" i="4"/>
  <c r="H170" i="16"/>
  <c r="C166" i="8"/>
  <c r="C49" i="8"/>
  <c r="K38" i="4"/>
  <c r="C284" i="11"/>
  <c r="K199" i="5"/>
  <c r="I102" i="4"/>
  <c r="H12" i="5"/>
  <c r="C296" i="10"/>
  <c r="C176" i="8"/>
  <c r="C281" i="10"/>
  <c r="H195" i="5"/>
  <c r="C254" i="11"/>
  <c r="E113" i="5"/>
  <c r="F47" i="5"/>
  <c r="J93" i="16" a="1"/>
  <c r="F136" i="5"/>
  <c r="H201" i="4"/>
  <c r="C107" i="1" a="1"/>
  <c r="K64" i="5"/>
  <c r="C290" i="9"/>
  <c r="C254" i="1"/>
  <c r="K92" i="4"/>
  <c r="F163" i="5"/>
  <c r="E170" i="4"/>
  <c r="I184" i="16" a="1"/>
  <c r="C13" i="8"/>
  <c r="C503" i="1" a="1"/>
  <c r="C53" i="11"/>
  <c r="C241" i="11"/>
  <c r="C341" i="1" a="1"/>
  <c r="J60" i="5"/>
  <c r="C277" i="8"/>
  <c r="C195" i="12"/>
  <c r="C223" i="11"/>
  <c r="K78" i="5"/>
  <c r="C143" i="8"/>
  <c r="E127" i="4"/>
  <c r="C140" i="1" a="1"/>
  <c r="C467" i="1" a="1"/>
  <c r="C445" i="1" a="1"/>
  <c r="E32" i="4"/>
  <c r="C242" i="9"/>
  <c r="J58" i="4"/>
  <c r="C83" i="11"/>
  <c r="F199" i="4"/>
  <c r="C27" i="1" a="1"/>
  <c r="K75" i="4"/>
  <c r="C11" i="11"/>
  <c r="C172" i="9"/>
  <c r="C253" i="1"/>
  <c r="F151" i="5"/>
  <c r="C53" i="1" a="1"/>
  <c r="C77" i="11"/>
  <c r="J168" i="16" a="1"/>
  <c r="H119" i="16"/>
  <c r="C143" i="12"/>
  <c r="C277" i="10"/>
  <c r="C240" i="11"/>
  <c r="J134" i="16" a="1"/>
  <c r="C266" i="8"/>
  <c r="I51" i="16" a="1"/>
  <c r="F51" i="4"/>
  <c r="C33" i="8"/>
  <c r="I24" i="5"/>
  <c r="C81" i="11"/>
  <c r="J84" i="16" a="1"/>
  <c r="E98" i="5"/>
  <c r="C75" i="11"/>
  <c r="F46" i="4"/>
  <c r="H189" i="4"/>
  <c r="J160" i="4"/>
  <c r="C58" i="9"/>
  <c r="K13" i="5"/>
  <c r="H164" i="5"/>
  <c r="K63" i="5"/>
  <c r="F188" i="5"/>
  <c r="K156" i="5"/>
  <c r="C199" i="11"/>
  <c r="C126" i="8"/>
  <c r="C161" i="1" a="1"/>
  <c r="F145" i="5"/>
  <c r="I163" i="4"/>
  <c r="K118" i="5"/>
  <c r="C195" i="10"/>
  <c r="C78" i="10"/>
  <c r="F97" i="5"/>
  <c r="C299" i="12"/>
  <c r="H129" i="5"/>
  <c r="H89" i="5"/>
  <c r="C236" i="11"/>
  <c r="C34" i="1" a="1"/>
  <c r="C52" i="8"/>
  <c r="K157" i="5"/>
  <c r="K98" i="4"/>
  <c r="C248" i="12"/>
  <c r="K84" i="4"/>
  <c r="J134" i="5"/>
  <c r="C174" i="8"/>
  <c r="K56" i="5"/>
  <c r="C295" i="11"/>
  <c r="C8" i="9"/>
  <c r="C221" i="12"/>
  <c r="I64" i="5"/>
  <c r="C54" i="12"/>
  <c r="H147" i="5"/>
  <c r="E8" i="5"/>
  <c r="E58" i="5"/>
  <c r="E139" i="4"/>
  <c r="K190" i="4"/>
  <c r="F123" i="5"/>
  <c r="E115" i="4"/>
  <c r="H141" i="16"/>
  <c r="E161" i="5"/>
  <c r="I99" i="4"/>
  <c r="K96" i="5"/>
  <c r="K198" i="4"/>
  <c r="K29" i="5"/>
  <c r="C255" i="11"/>
  <c r="E199" i="5"/>
  <c r="F86" i="5"/>
  <c r="C225" i="12"/>
  <c r="K166" i="5"/>
  <c r="F76" i="4"/>
  <c r="J129" i="4"/>
  <c r="F23" i="4"/>
  <c r="I162" i="4"/>
  <c r="F129" i="4"/>
  <c r="H84" i="5"/>
  <c r="H204" i="4"/>
  <c r="C102" i="8"/>
  <c r="J3" i="5"/>
  <c r="H107" i="5"/>
  <c r="C51" i="12"/>
  <c r="C220" i="11"/>
  <c r="C249" i="8"/>
  <c r="I176" i="16" a="1"/>
  <c r="E41" i="4"/>
  <c r="C28" i="11"/>
  <c r="C75" i="1" a="1"/>
  <c r="H128" i="4"/>
  <c r="H194" i="4"/>
  <c r="E151" i="5"/>
  <c r="C31" i="9"/>
  <c r="F159" i="5"/>
  <c r="J162" i="16" a="1"/>
  <c r="J74" i="16" a="1"/>
  <c r="C77" i="9"/>
  <c r="C288" i="1"/>
  <c r="C285" i="10"/>
  <c r="C151" i="11"/>
  <c r="J148" i="16" a="1"/>
  <c r="J178" i="4"/>
  <c r="K40" i="4"/>
  <c r="C176" i="12"/>
  <c r="C92" i="10"/>
  <c r="C99" i="9"/>
  <c r="E26" i="4"/>
  <c r="E72" i="5"/>
  <c r="H121" i="16"/>
  <c r="C128" i="11"/>
  <c r="K4" i="5"/>
  <c r="I112" i="16" a="1"/>
  <c r="C11" i="12"/>
  <c r="J7" i="5"/>
  <c r="J48" i="4"/>
  <c r="J111" i="16" a="1"/>
  <c r="H135" i="5"/>
  <c r="C116" i="9"/>
  <c r="H181" i="4"/>
  <c r="C89" i="11"/>
  <c r="C29" i="8"/>
  <c r="C177" i="8"/>
  <c r="F7" i="4"/>
  <c r="I172" i="16" a="1"/>
  <c r="J161" i="4"/>
  <c r="I109" i="16" a="1"/>
  <c r="C23" i="10"/>
  <c r="F48" i="4"/>
  <c r="C167" i="10"/>
  <c r="C170" i="11"/>
  <c r="C55" i="12"/>
  <c r="C344" i="1" a="1"/>
  <c r="C282" i="10"/>
  <c r="C221" i="9"/>
  <c r="C215" i="10"/>
  <c r="C122" i="11"/>
  <c r="C171" i="1" a="1"/>
  <c r="I73" i="4"/>
  <c r="C280" i="1"/>
  <c r="E23" i="5"/>
  <c r="K22" i="5"/>
  <c r="C239" i="12"/>
  <c r="C76" i="11"/>
  <c r="C124" i="11"/>
  <c r="C333" i="1" a="1"/>
  <c r="J191" i="4"/>
  <c r="H190" i="4"/>
  <c r="F99" i="4"/>
  <c r="H12" i="4"/>
  <c r="J115" i="5"/>
  <c r="C38" i="11"/>
  <c r="F54" i="4"/>
  <c r="C32" i="1" a="1"/>
  <c r="C119" i="8"/>
  <c r="F8" i="4"/>
  <c r="I87" i="4"/>
  <c r="H106" i="4"/>
  <c r="K89" i="4"/>
  <c r="E116" i="4"/>
  <c r="F164" i="5"/>
  <c r="C38" i="9"/>
  <c r="C64" i="11"/>
  <c r="J50" i="4"/>
  <c r="F175" i="4"/>
  <c r="E205" i="5"/>
  <c r="F163" i="4"/>
  <c r="K85" i="5"/>
  <c r="C110" i="8"/>
  <c r="E80" i="5"/>
  <c r="C280" i="8"/>
  <c r="C177" i="9"/>
  <c r="C187" i="11"/>
  <c r="E56" i="5"/>
  <c r="H75" i="5"/>
  <c r="J143" i="16" a="1"/>
  <c r="H89" i="16"/>
  <c r="H180" i="4"/>
  <c r="E55" i="4"/>
  <c r="C209" i="10"/>
  <c r="C397" i="1" a="1"/>
  <c r="C84" i="10"/>
  <c r="F159" i="4"/>
  <c r="F99" i="5"/>
  <c r="C147" i="12"/>
  <c r="C325" i="1" a="1"/>
  <c r="C240" i="10"/>
  <c r="E184" i="5"/>
  <c r="C187" i="1" a="1"/>
  <c r="F158" i="4"/>
  <c r="K123" i="4"/>
  <c r="J129" i="16" a="1"/>
  <c r="C243" i="9"/>
  <c r="E100" i="5"/>
  <c r="E173" i="4"/>
  <c r="J66" i="5"/>
  <c r="J154" i="4"/>
  <c r="E43" i="4"/>
  <c r="C125" i="12"/>
  <c r="J48" i="16" a="1"/>
  <c r="J133" i="5"/>
  <c r="I137" i="4"/>
  <c r="C160" i="9"/>
  <c r="J149" i="4"/>
  <c r="C278" i="8"/>
  <c r="C13" i="1" a="1"/>
  <c r="E16" i="5"/>
  <c r="I67" i="5"/>
  <c r="C387" i="1" a="1"/>
  <c r="I188" i="4"/>
  <c r="C160" i="10"/>
  <c r="C273" i="1"/>
  <c r="C179" i="1" a="1"/>
  <c r="H138" i="4"/>
  <c r="K146" i="5"/>
  <c r="C260" i="9"/>
  <c r="F14" i="4"/>
  <c r="E139" i="5"/>
  <c r="K41" i="5"/>
  <c r="H168" i="4"/>
  <c r="H76" i="5"/>
  <c r="C248" i="8"/>
  <c r="E180" i="5"/>
  <c r="F82" i="4"/>
  <c r="F180" i="4"/>
  <c r="C430" i="1" a="1"/>
  <c r="F62" i="5"/>
  <c r="C134" i="1" a="1"/>
  <c r="K181" i="4"/>
  <c r="F91" i="5"/>
  <c r="K167" i="4"/>
  <c r="I119" i="4"/>
  <c r="C110" i="1" a="1"/>
  <c r="F43" i="4"/>
  <c r="C253" i="11"/>
  <c r="C15" i="1" a="1"/>
  <c r="E150" i="4"/>
  <c r="C157" i="8"/>
  <c r="C154" i="11"/>
  <c r="H56" i="4"/>
  <c r="K144" i="5"/>
  <c r="K166" i="4"/>
  <c r="I65" i="16" a="1"/>
  <c r="C486" i="1" a="1"/>
  <c r="J149" i="16" a="1"/>
  <c r="K171" i="5"/>
  <c r="F85" i="4"/>
  <c r="C93" i="8"/>
  <c r="H55" i="5"/>
  <c r="J155" i="5"/>
  <c r="C170" i="8"/>
  <c r="C37" i="8"/>
  <c r="C80" i="1" a="1"/>
  <c r="E198" i="4"/>
  <c r="F90" i="5"/>
  <c r="K113" i="5"/>
  <c r="I182" i="16" a="1"/>
  <c r="H120" i="5"/>
  <c r="H149" i="4"/>
  <c r="H86" i="5"/>
  <c r="C136" i="10"/>
  <c r="C75" i="12"/>
  <c r="E27" i="5"/>
  <c r="J51" i="16" a="1"/>
  <c r="I95" i="4"/>
  <c r="C268" i="8"/>
  <c r="K139" i="5"/>
  <c r="F204" i="4"/>
  <c r="C234" i="11"/>
  <c r="I59" i="16" a="1"/>
  <c r="C27" i="9"/>
  <c r="J56" i="4"/>
  <c r="I53" i="16" a="1"/>
  <c r="I86" i="4"/>
  <c r="F188" i="4"/>
  <c r="I24" i="4"/>
  <c r="C151" i="10"/>
  <c r="C137" i="11"/>
  <c r="C174" i="10"/>
  <c r="C71" i="10"/>
  <c r="C72" i="1" a="1"/>
  <c r="C184" i="10"/>
  <c r="E44" i="4"/>
  <c r="E129" i="5"/>
  <c r="K39" i="4"/>
  <c r="J113" i="5"/>
  <c r="C224" i="1"/>
  <c r="C348" i="1" a="1"/>
  <c r="F150" i="5"/>
  <c r="J78" i="5"/>
  <c r="E155" i="5"/>
  <c r="C63" i="8"/>
  <c r="H173" i="5"/>
  <c r="C164" i="12"/>
  <c r="C45" i="8"/>
  <c r="F16" i="5"/>
  <c r="C215" i="8"/>
  <c r="J72" i="16" a="1"/>
  <c r="F48" i="5"/>
  <c r="K124" i="5"/>
  <c r="H95" i="16"/>
  <c r="C140" i="8"/>
  <c r="C149" i="9"/>
  <c r="C40" i="9"/>
  <c r="C101" i="11"/>
  <c r="C215" i="9"/>
  <c r="H96" i="16"/>
  <c r="C196" i="12"/>
  <c r="E105" i="5"/>
  <c r="H3" i="5"/>
  <c r="K64" i="4"/>
  <c r="K125" i="5"/>
  <c r="C80" i="12"/>
  <c r="H56" i="5"/>
  <c r="I72" i="4"/>
  <c r="C288" i="10"/>
  <c r="E102" i="4"/>
  <c r="C70" i="12"/>
  <c r="C139" i="9"/>
  <c r="C276" i="11"/>
  <c r="K49" i="4"/>
  <c r="C219" i="11"/>
  <c r="H161" i="4"/>
  <c r="F191" i="5"/>
  <c r="H30" i="4"/>
  <c r="K200" i="5"/>
  <c r="J179" i="5"/>
  <c r="K14" i="4"/>
  <c r="J143" i="4"/>
  <c r="H170" i="5"/>
  <c r="C153" i="10"/>
  <c r="J131" i="5"/>
  <c r="H104" i="5"/>
  <c r="I180" i="16" a="1"/>
  <c r="K204" i="5"/>
  <c r="E158" i="4"/>
  <c r="C167" i="8"/>
  <c r="C135" i="10"/>
  <c r="E112" i="4"/>
  <c r="H54" i="4"/>
  <c r="C27" i="11"/>
  <c r="C217" i="12"/>
  <c r="J151" i="16" a="1"/>
  <c r="I131" i="5"/>
  <c r="H176" i="4"/>
  <c r="C111" i="10"/>
  <c r="C35" i="10"/>
  <c r="I47" i="5"/>
  <c r="E47" i="4"/>
  <c r="C228" i="9"/>
  <c r="J160" i="16" a="1"/>
  <c r="C183" i="1" a="1"/>
  <c r="C25" i="9"/>
  <c r="H113" i="4"/>
  <c r="F40" i="5"/>
  <c r="C94" i="12"/>
  <c r="C130" i="9"/>
  <c r="H50" i="4"/>
  <c r="C152" i="12"/>
  <c r="E202" i="4"/>
  <c r="F144" i="5"/>
  <c r="C194" i="9"/>
  <c r="H117" i="4"/>
  <c r="J123" i="5"/>
  <c r="F110" i="4"/>
  <c r="H96" i="4"/>
  <c r="C195" i="1" a="1"/>
  <c r="C68" i="12"/>
  <c r="I177" i="5"/>
  <c r="C274" i="10"/>
  <c r="H26" i="4"/>
  <c r="J195" i="5"/>
  <c r="C262" i="8"/>
  <c r="C162" i="11"/>
  <c r="E142" i="5"/>
  <c r="C114" i="9"/>
  <c r="J203" i="5"/>
  <c r="C138" i="9"/>
  <c r="H126" i="16"/>
  <c r="J43" i="4"/>
  <c r="C229" i="10"/>
  <c r="J54" i="5"/>
  <c r="C257" i="1"/>
  <c r="C264" i="10"/>
  <c r="H11" i="5"/>
  <c r="C99" i="8"/>
  <c r="F20" i="4"/>
  <c r="C227" i="1"/>
  <c r="J108" i="4"/>
  <c r="J116" i="4"/>
  <c r="H178" i="4"/>
  <c r="K170" i="4"/>
  <c r="H21" i="5"/>
  <c r="C409" i="1" a="1"/>
  <c r="E176" i="4"/>
  <c r="C181" i="11"/>
  <c r="C76" i="9"/>
  <c r="H47" i="5"/>
  <c r="C199" i="12"/>
  <c r="F169" i="5"/>
  <c r="C41" i="10"/>
  <c r="C224" i="12"/>
  <c r="H151" i="5"/>
  <c r="H179" i="16"/>
  <c r="H80" i="16"/>
  <c r="C262" i="11"/>
  <c r="E31" i="5"/>
  <c r="C165" i="11"/>
  <c r="C297" i="10"/>
  <c r="C175" i="8"/>
  <c r="K8" i="5"/>
  <c r="F179" i="5"/>
  <c r="J180" i="5"/>
  <c r="J172" i="5"/>
  <c r="C145" i="12"/>
  <c r="K44" i="5"/>
  <c r="I171" i="16" a="1"/>
  <c r="H190" i="16"/>
  <c r="J19" i="4"/>
  <c r="C151" i="8"/>
  <c r="F95" i="5"/>
  <c r="J59" i="5"/>
  <c r="C365" i="1" a="1"/>
  <c r="C367" i="1" a="1"/>
  <c r="C144" i="9"/>
  <c r="C173" i="11"/>
  <c r="J9" i="4"/>
  <c r="J141" i="4"/>
  <c r="C293" i="12"/>
  <c r="E13" i="5"/>
  <c r="C249" i="11"/>
  <c r="C212" i="10"/>
  <c r="C73" i="10"/>
  <c r="C380" i="1" a="1"/>
  <c r="J88" i="5"/>
  <c r="H34" i="5"/>
  <c r="E50" i="5"/>
  <c r="C295" i="8"/>
  <c r="F54" i="5"/>
  <c r="F116" i="4"/>
  <c r="F202" i="4"/>
  <c r="C276" i="10"/>
  <c r="J31" i="4"/>
  <c r="K109" i="5"/>
  <c r="C111" i="1" a="1"/>
  <c r="J101" i="5"/>
  <c r="J125" i="4"/>
  <c r="C184" i="1" a="1"/>
  <c r="K46" i="5"/>
  <c r="K128" i="5"/>
  <c r="C317" i="1" a="1"/>
  <c r="I154" i="5"/>
  <c r="C182" i="12"/>
  <c r="C136" i="12"/>
  <c r="C153" i="12"/>
  <c r="J123" i="4"/>
  <c r="H176" i="16"/>
  <c r="C187" i="9"/>
  <c r="C121" i="1" a="1"/>
  <c r="K65" i="4"/>
  <c r="E140" i="4"/>
  <c r="H178" i="16"/>
  <c r="E184" i="4"/>
  <c r="C19" i="9"/>
  <c r="C145" i="10"/>
  <c r="H171" i="4"/>
  <c r="J106" i="4"/>
  <c r="J179" i="4"/>
  <c r="F55" i="5"/>
  <c r="E94" i="5"/>
  <c r="C252" i="8"/>
  <c r="I192" i="4"/>
  <c r="C93" i="10"/>
  <c r="K90" i="5"/>
  <c r="F174" i="5"/>
  <c r="H81" i="4"/>
  <c r="C279" i="1"/>
  <c r="K88" i="5"/>
  <c r="C132" i="12"/>
  <c r="K7" i="5"/>
  <c r="F49" i="5"/>
  <c r="I180" i="5"/>
  <c r="K176" i="4"/>
  <c r="C51" i="10"/>
  <c r="I40" i="5"/>
  <c r="H19" i="5"/>
  <c r="C152" i="1" a="1"/>
  <c r="C252" i="10"/>
  <c r="C275" i="11"/>
  <c r="H193" i="5"/>
  <c r="H90" i="4"/>
  <c r="J205" i="4"/>
  <c r="C108" i="12"/>
  <c r="C190" i="11"/>
  <c r="C161" i="8"/>
  <c r="J136" i="4"/>
  <c r="J103" i="16" a="1"/>
  <c r="H193" i="4"/>
  <c r="C371" i="1" a="1"/>
  <c r="C265" i="1"/>
  <c r="C368" i="1" a="1"/>
  <c r="K100" i="4"/>
  <c r="H71" i="4"/>
  <c r="E153" i="5"/>
  <c r="E120" i="5"/>
  <c r="F24" i="5"/>
  <c r="E52" i="5"/>
  <c r="C128" i="12"/>
  <c r="E67" i="5"/>
  <c r="H63" i="16"/>
  <c r="F66" i="5"/>
  <c r="H120" i="4"/>
  <c r="C251" i="9"/>
  <c r="C70" i="11"/>
  <c r="C283" i="9"/>
  <c r="K203" i="5"/>
  <c r="C327" i="1" a="1"/>
  <c r="J73" i="16" a="1"/>
  <c r="F103" i="4"/>
  <c r="H88" i="16"/>
  <c r="C200" i="1" a="1"/>
  <c r="I168" i="4"/>
  <c r="E158" i="5"/>
  <c r="H46" i="5"/>
  <c r="C178" i="9"/>
  <c r="I119" i="16" a="1"/>
  <c r="F41" i="5"/>
  <c r="I124" i="4"/>
  <c r="C158" i="9"/>
  <c r="C187" i="12"/>
  <c r="K28" i="4"/>
  <c r="E183" i="5"/>
  <c r="C31" i="12"/>
  <c r="I8" i="4"/>
  <c r="C126" i="1" a="1"/>
  <c r="C212" i="12"/>
  <c r="C162" i="1" a="1"/>
  <c r="E43" i="5"/>
  <c r="C228" i="10"/>
  <c r="C110" i="9"/>
  <c r="C311" i="1" a="1"/>
  <c r="C80" i="8"/>
  <c r="C65" i="11"/>
  <c r="H33" i="5"/>
  <c r="E195" i="5"/>
  <c r="C20" i="8"/>
  <c r="J16" i="4"/>
  <c r="I154" i="4"/>
  <c r="C28" i="1" a="1"/>
  <c r="C271" i="1"/>
  <c r="E171" i="4"/>
  <c r="E144" i="5"/>
  <c r="C185" i="8"/>
  <c r="C127" i="12"/>
  <c r="J152" i="5"/>
  <c r="K131" i="4"/>
  <c r="I27" i="5"/>
  <c r="I74" i="4"/>
  <c r="H150" i="5"/>
  <c r="K67" i="5"/>
  <c r="I149" i="16" a="1"/>
  <c r="I57" i="5"/>
  <c r="C234" i="10"/>
  <c r="F44" i="5"/>
  <c r="E145" i="4"/>
  <c r="F10" i="5"/>
  <c r="C46" i="12"/>
  <c r="C468" i="1" a="1"/>
  <c r="K176" i="5"/>
  <c r="I106" i="5"/>
  <c r="C104" i="9"/>
  <c r="E196" i="5"/>
  <c r="I167" i="4"/>
  <c r="C211" i="8"/>
  <c r="K23" i="4"/>
  <c r="C353" i="1" a="1"/>
  <c r="H63" i="4"/>
  <c r="C182" i="10"/>
  <c r="C129" i="10"/>
  <c r="C34" i="8"/>
  <c r="C34" i="11"/>
  <c r="C99" i="1" a="1"/>
  <c r="F58" i="4"/>
  <c r="C201" i="9"/>
  <c r="C117" i="9"/>
  <c r="C177" i="12"/>
  <c r="C90" i="1" a="1"/>
  <c r="C28" i="9"/>
  <c r="F174" i="4"/>
  <c r="C214" i="1" a="1"/>
  <c r="C98" i="12"/>
  <c r="I139" i="16" a="1"/>
  <c r="E15" i="5"/>
  <c r="C199" i="10"/>
  <c r="K161" i="5"/>
  <c r="E144" i="4"/>
  <c r="E159" i="5"/>
  <c r="I93" i="16" a="1"/>
  <c r="E81" i="4"/>
  <c r="I170" i="4"/>
  <c r="I152" i="16" a="1"/>
  <c r="I130" i="4"/>
  <c r="C47" i="11"/>
  <c r="C294" i="9"/>
  <c r="C324" i="1" a="1"/>
  <c r="C157" i="1" a="1"/>
  <c r="C289" i="8"/>
  <c r="C268" i="11"/>
  <c r="H112" i="5"/>
  <c r="H114" i="4"/>
  <c r="H88" i="4"/>
  <c r="F133" i="4"/>
  <c r="E20" i="5"/>
  <c r="C49" i="11"/>
  <c r="C232" i="11"/>
  <c r="C163" i="1" a="1"/>
  <c r="K127" i="4"/>
  <c r="C88" i="1" a="1"/>
  <c r="C82" i="10"/>
  <c r="F62" i="4"/>
  <c r="C196" i="9"/>
  <c r="I54" i="5"/>
  <c r="I168" i="16" a="1"/>
  <c r="C166" i="9"/>
  <c r="J110" i="4"/>
  <c r="I61" i="16" a="1"/>
  <c r="C289" i="11"/>
  <c r="C376" i="1" a="1"/>
  <c r="C92" i="11"/>
  <c r="F172" i="5"/>
  <c r="C191" i="10"/>
  <c r="C233" i="8"/>
  <c r="F112" i="4"/>
  <c r="I66" i="4"/>
  <c r="C92" i="12"/>
  <c r="K165" i="5"/>
  <c r="C100" i="11"/>
  <c r="C168" i="10"/>
  <c r="I90" i="5"/>
  <c r="E30" i="4"/>
  <c r="K13" i="4"/>
  <c r="C251" i="11"/>
  <c r="C39" i="12"/>
  <c r="I141" i="5"/>
  <c r="C163" i="8"/>
  <c r="F156" i="5"/>
  <c r="F171" i="4"/>
  <c r="C293" i="11"/>
  <c r="C300" i="8"/>
  <c r="H42" i="5"/>
  <c r="C300" i="1"/>
  <c r="C335" i="1" a="1"/>
  <c r="I27" i="4"/>
  <c r="C107" i="9"/>
  <c r="K57" i="4"/>
  <c r="C64" i="8"/>
  <c r="C296" i="9"/>
  <c r="I92" i="16" a="1"/>
  <c r="E123" i="4"/>
  <c r="J89" i="4"/>
  <c r="J135" i="4"/>
  <c r="F190" i="4"/>
  <c r="I90" i="16" a="1"/>
  <c r="C58" i="1" a="1"/>
  <c r="C250" i="1"/>
  <c r="C235" i="10"/>
  <c r="J4" i="5"/>
  <c r="K18" i="5"/>
  <c r="J84" i="5"/>
  <c r="C94" i="10"/>
  <c r="C209" i="9"/>
  <c r="F95" i="4"/>
  <c r="C208" i="11"/>
  <c r="I132" i="16" a="1"/>
  <c r="K158" i="4"/>
  <c r="C56" i="8"/>
  <c r="C161" i="12"/>
  <c r="F101" i="4"/>
  <c r="F151" i="4"/>
  <c r="C128" i="9"/>
  <c r="E46" i="4"/>
  <c r="F26" i="5"/>
  <c r="H206" i="4"/>
  <c r="E199" i="4"/>
  <c r="C291" i="1"/>
  <c r="C33" i="12"/>
  <c r="C51" i="11"/>
  <c r="C287" i="11"/>
  <c r="C292" i="1"/>
  <c r="K104" i="4"/>
  <c r="E57" i="4"/>
  <c r="C23" i="11"/>
  <c r="F91" i="4"/>
  <c r="C159" i="8"/>
  <c r="E35" i="4"/>
  <c r="C202" i="8"/>
  <c r="I78" i="16" a="1"/>
  <c r="C230" i="10"/>
  <c r="K174" i="5"/>
  <c r="C20" i="9"/>
  <c r="C395" i="1" a="1"/>
  <c r="C78" i="1" a="1"/>
  <c r="H19" i="4"/>
  <c r="C459" i="1" a="1"/>
  <c r="C15" i="9"/>
  <c r="J89" i="16" a="1"/>
  <c r="I115" i="4"/>
  <c r="F29" i="4"/>
  <c r="I36" i="5"/>
  <c r="E146" i="5"/>
  <c r="C220" i="10"/>
  <c r="C290" i="11"/>
  <c r="K111" i="4"/>
  <c r="J171" i="4"/>
  <c r="K195" i="5"/>
  <c r="I84" i="16" a="1"/>
  <c r="C269" i="1"/>
  <c r="J30" i="5"/>
  <c r="K130" i="5"/>
  <c r="J21" i="4"/>
  <c r="C79" i="10"/>
  <c r="C285" i="12"/>
  <c r="H4" i="5"/>
  <c r="C81" i="12"/>
  <c r="F12" i="4"/>
  <c r="H91" i="5"/>
  <c r="C97" i="1" a="1"/>
  <c r="K193" i="5"/>
  <c r="F75" i="5"/>
  <c r="C345" i="1" a="1"/>
  <c r="C173" i="1" a="1"/>
  <c r="H77" i="4"/>
  <c r="C82" i="11"/>
  <c r="C66" i="8"/>
  <c r="C85" i="12"/>
  <c r="J64" i="4"/>
  <c r="C205" i="1" a="1"/>
  <c r="E126" i="5"/>
  <c r="C22" i="1" a="1"/>
  <c r="C38" i="12"/>
  <c r="F125" i="5"/>
  <c r="J103" i="5"/>
  <c r="J183" i="4"/>
  <c r="C190" i="1" a="1"/>
  <c r="K12" i="5"/>
  <c r="C298" i="12"/>
  <c r="K178" i="4"/>
  <c r="C128" i="8"/>
  <c r="I188" i="16" a="1"/>
  <c r="C198" i="12"/>
  <c r="H101" i="5"/>
  <c r="H62" i="16"/>
  <c r="C217" i="10"/>
  <c r="I95" i="5"/>
  <c r="C120" i="9"/>
  <c r="C9" i="9"/>
  <c r="C59" i="10"/>
  <c r="K151" i="5"/>
  <c r="C37" i="1" a="1"/>
  <c r="H126" i="4"/>
  <c r="F147" i="4"/>
  <c r="C197" i="1" a="1"/>
  <c r="C210" i="9"/>
  <c r="I32" i="4"/>
  <c r="F165" i="5"/>
  <c r="J94" i="5"/>
  <c r="C190" i="12"/>
  <c r="C36" i="12"/>
  <c r="C242" i="12"/>
  <c r="J28" i="5"/>
  <c r="E130" i="4"/>
  <c r="C154" i="9"/>
  <c r="E204" i="5"/>
  <c r="C256" i="1"/>
  <c r="F85" i="5"/>
  <c r="K189" i="5"/>
  <c r="I15" i="5"/>
  <c r="H126" i="5"/>
  <c r="F17" i="5"/>
  <c r="C81" i="9"/>
  <c r="J76" i="5"/>
  <c r="E206" i="4"/>
  <c r="J121" i="5"/>
  <c r="C121" i="8"/>
  <c r="E117" i="5"/>
  <c r="H85" i="5"/>
  <c r="J126" i="4"/>
  <c r="H81" i="16"/>
  <c r="I168" i="5"/>
  <c r="C106" i="10"/>
  <c r="F84" i="4"/>
  <c r="H166" i="16"/>
  <c r="I113" i="4"/>
  <c r="C73" i="9"/>
  <c r="C144" i="1" a="1"/>
  <c r="F197" i="5"/>
  <c r="C278" i="1"/>
  <c r="C124" i="1" a="1"/>
  <c r="C253" i="9"/>
  <c r="C120" i="10"/>
  <c r="C277" i="12"/>
  <c r="F165" i="4"/>
  <c r="C193" i="1" a="1"/>
  <c r="K147" i="5"/>
  <c r="F11" i="5"/>
  <c r="J75" i="5"/>
  <c r="F7" i="5"/>
  <c r="J79" i="16" a="1"/>
  <c r="I65" i="5"/>
  <c r="C301" i="10"/>
  <c r="E175" i="4"/>
  <c r="H134" i="16"/>
  <c r="C186" i="12"/>
  <c r="C221" i="1" a="1"/>
  <c r="I199" i="4"/>
  <c r="C127" i="1" a="1"/>
  <c r="I12" i="4"/>
  <c r="E133" i="5"/>
  <c r="C283" i="8"/>
  <c r="F28" i="5"/>
  <c r="F53" i="4"/>
  <c r="C230" i="1"/>
  <c r="K145" i="5"/>
  <c r="I55" i="4"/>
  <c r="C45" i="1" a="1"/>
  <c r="I42" i="5"/>
  <c r="C293" i="9"/>
  <c r="E201" i="4"/>
  <c r="C65" i="8"/>
  <c r="C229" i="9"/>
  <c r="C300" i="11"/>
  <c r="H132" i="5"/>
  <c r="K83" i="4"/>
  <c r="C7" i="8"/>
  <c r="I3" i="5"/>
  <c r="C102" i="12"/>
  <c r="C275" i="8"/>
  <c r="C262" i="9"/>
  <c r="K184" i="5"/>
  <c r="C149" i="1" a="1"/>
  <c r="C136" i="9"/>
  <c r="H69" i="5"/>
  <c r="I84" i="5"/>
  <c r="H175" i="4"/>
  <c r="C160" i="11"/>
  <c r="C95" i="12"/>
  <c r="E42" i="4"/>
  <c r="H99" i="5"/>
  <c r="C356" i="1" a="1"/>
  <c r="K190" i="5"/>
  <c r="H111" i="4"/>
  <c r="C271" i="10"/>
  <c r="C44" i="10"/>
  <c r="K132" i="5"/>
  <c r="H115" i="4"/>
  <c r="C218" i="1" a="1"/>
  <c r="H148" i="16"/>
  <c r="C129" i="8"/>
  <c r="F5" i="4"/>
  <c r="F126" i="4"/>
  <c r="I203" i="4"/>
  <c r="C180" i="9"/>
  <c r="H115" i="5"/>
  <c r="C145" i="9"/>
  <c r="J74" i="4"/>
  <c r="C259" i="12"/>
  <c r="I109" i="4"/>
  <c r="I25" i="4"/>
  <c r="C69" i="10"/>
  <c r="I187" i="16" a="1"/>
  <c r="C234" i="9"/>
  <c r="C231" i="1"/>
  <c r="C153" i="1" a="1"/>
  <c r="J102" i="5"/>
  <c r="E182" i="5"/>
  <c r="H136" i="5"/>
  <c r="C279" i="10"/>
  <c r="J46" i="16" a="1"/>
  <c r="I123" i="4"/>
  <c r="H4" i="4"/>
  <c r="C245" i="12"/>
  <c r="C117" i="1" a="1"/>
  <c r="C226" i="11"/>
  <c r="F139" i="4"/>
  <c r="C163" i="12"/>
  <c r="I47" i="4"/>
  <c r="H155" i="16"/>
  <c r="H39" i="4"/>
  <c r="E9" i="5"/>
  <c r="F76" i="5"/>
  <c r="F178" i="4"/>
  <c r="I34" i="4"/>
  <c r="K203" i="4"/>
  <c r="K133" i="4"/>
  <c r="H67" i="4"/>
  <c r="I135" i="4"/>
  <c r="E55" i="5"/>
  <c r="C47" i="1" a="1"/>
  <c r="C424" i="1" a="1"/>
  <c r="I86" i="16" a="1"/>
  <c r="E52" i="4"/>
  <c r="I63" i="5"/>
  <c r="C246" i="12"/>
  <c r="K204" i="4"/>
  <c r="H144" i="4"/>
  <c r="I93" i="5"/>
  <c r="C222" i="1"/>
  <c r="E21" i="4"/>
  <c r="C68" i="8"/>
  <c r="J17" i="4"/>
  <c r="H107" i="4"/>
  <c r="K98" i="5"/>
  <c r="I76" i="16" a="1"/>
  <c r="F70" i="4"/>
  <c r="C89" i="10"/>
  <c r="H159" i="5"/>
  <c r="E104" i="4"/>
  <c r="C116" i="1" a="1"/>
  <c r="J150" i="4"/>
  <c r="C5" i="10" a="1"/>
  <c r="H78" i="4"/>
  <c r="C132" i="8"/>
  <c r="F153" i="4"/>
  <c r="C222" i="9"/>
  <c r="J35" i="5"/>
  <c r="O35" i="5" l="1"/>
  <c r="I35" i="6"/>
  <c r="F79" i="3"/>
  <c r="D132" i="8"/>
  <c r="V78" i="4"/>
  <c r="U114" i="3" s="1"/>
  <c r="G114" i="3"/>
  <c r="C5" i="10"/>
  <c r="D5" i="10" s="1"/>
  <c r="I42" i="3"/>
  <c r="O150" i="4"/>
  <c r="C116" i="1"/>
  <c r="AA104" i="4"/>
  <c r="S112" i="3" s="1"/>
  <c r="E112" i="3"/>
  <c r="AD104" i="4"/>
  <c r="W112" i="3" s="1"/>
  <c r="S104" i="4"/>
  <c r="Q112" i="3" s="1"/>
  <c r="Z104" i="4"/>
  <c r="T112" i="3" s="1"/>
  <c r="R104" i="4"/>
  <c r="R112" i="3" s="1"/>
  <c r="L104" i="4"/>
  <c r="P112" i="3" s="1"/>
  <c r="AE104" i="4"/>
  <c r="X112" i="3" s="1"/>
  <c r="G159" i="6"/>
  <c r="D89" i="10"/>
  <c r="F149" i="3"/>
  <c r="I76" i="16"/>
  <c r="L98" i="6"/>
  <c r="G115" i="3"/>
  <c r="V107" i="4"/>
  <c r="U115" i="3" s="1"/>
  <c r="I135" i="3"/>
  <c r="O17" i="4"/>
  <c r="D68" i="8"/>
  <c r="S21" i="4"/>
  <c r="Q90" i="3" s="1"/>
  <c r="E90" i="3"/>
  <c r="Z21" i="4"/>
  <c r="T90" i="3" s="1"/>
  <c r="R21" i="4"/>
  <c r="R90" i="3" s="1"/>
  <c r="AA21" i="4"/>
  <c r="S90" i="3" s="1"/>
  <c r="AD21" i="4"/>
  <c r="W90" i="3" s="1"/>
  <c r="L21" i="4"/>
  <c r="P90" i="3" s="1"/>
  <c r="AE21" i="4"/>
  <c r="X90" i="3" s="1"/>
  <c r="B222" i="12"/>
  <c r="B222" i="8"/>
  <c r="B222" i="10"/>
  <c r="B222" i="9"/>
  <c r="B222" i="11"/>
  <c r="V93" i="5"/>
  <c r="U93" i="6" s="1"/>
  <c r="H93" i="6"/>
  <c r="V144" i="4"/>
  <c r="U65" i="3" s="1"/>
  <c r="G65" i="3"/>
  <c r="L150" i="3"/>
  <c r="D246" i="12"/>
  <c r="H63" i="6"/>
  <c r="V63" i="5"/>
  <c r="U63" i="6" s="1"/>
  <c r="AA52" i="4"/>
  <c r="S38" i="3" s="1"/>
  <c r="AD52" i="4"/>
  <c r="W38" i="3" s="1"/>
  <c r="L52" i="4"/>
  <c r="P38" i="3" s="1"/>
  <c r="R52" i="4"/>
  <c r="R38" i="3" s="1"/>
  <c r="S52" i="4"/>
  <c r="Q38" i="3" s="1"/>
  <c r="Z52" i="4"/>
  <c r="T38" i="3" s="1"/>
  <c r="E38" i="3"/>
  <c r="AE52" i="4"/>
  <c r="X38" i="3" s="1"/>
  <c r="Q52" i="4"/>
  <c r="I86" i="16"/>
  <c r="C424" i="1"/>
  <c r="C47" i="1"/>
  <c r="AD55" i="5"/>
  <c r="S55" i="5"/>
  <c r="Q55" i="6" s="1"/>
  <c r="E55" i="6"/>
  <c r="L55" i="5"/>
  <c r="P55" i="6" s="1"/>
  <c r="AA55" i="5"/>
  <c r="S55" i="6" s="1"/>
  <c r="AO55" i="5"/>
  <c r="AP55" i="5" s="1"/>
  <c r="R55" i="5"/>
  <c r="R55" i="6" s="1"/>
  <c r="Z55" i="5"/>
  <c r="T55" i="6" s="1"/>
  <c r="AE55" i="5"/>
  <c r="X55" i="6" s="1"/>
  <c r="H155" i="3"/>
  <c r="G194" i="3"/>
  <c r="V67" i="4"/>
  <c r="U194" i="3" s="1"/>
  <c r="L25" i="3"/>
  <c r="L117" i="3"/>
  <c r="H28" i="3"/>
  <c r="F15" i="3"/>
  <c r="F76" i="6"/>
  <c r="E9" i="6"/>
  <c r="AD9" i="5"/>
  <c r="Z9" i="5"/>
  <c r="T9" i="6" s="1"/>
  <c r="L9" i="5"/>
  <c r="P9" i="6" s="1"/>
  <c r="AA9" i="5"/>
  <c r="S9" i="6" s="1"/>
  <c r="AO9" i="5"/>
  <c r="AP9" i="5" s="1"/>
  <c r="R9" i="5"/>
  <c r="R9" i="6" s="1"/>
  <c r="S9" i="5"/>
  <c r="Q9" i="6" s="1"/>
  <c r="AE9" i="5"/>
  <c r="X9" i="6" s="1"/>
  <c r="V39" i="4"/>
  <c r="U142" i="3" s="1"/>
  <c r="G142" i="3"/>
  <c r="K155" i="16"/>
  <c r="L155" i="16"/>
  <c r="H138" i="3"/>
  <c r="D163" i="12"/>
  <c r="F103" i="3"/>
  <c r="D226" i="11"/>
  <c r="C117" i="1"/>
  <c r="D245" i="12"/>
  <c r="V4" i="4"/>
  <c r="U13" i="3" s="1"/>
  <c r="G13" i="3"/>
  <c r="H89" i="3"/>
  <c r="J46" i="16"/>
  <c r="G136" i="6"/>
  <c r="AD182" i="5"/>
  <c r="AE182" i="5"/>
  <c r="X182" i="6" s="1"/>
  <c r="AO182" i="5"/>
  <c r="AP182" i="5" s="1"/>
  <c r="AA182" i="5"/>
  <c r="S182" i="6" s="1"/>
  <c r="E182" i="6"/>
  <c r="L182" i="5"/>
  <c r="P182" i="6" s="1"/>
  <c r="Z182" i="5"/>
  <c r="T182" i="6" s="1"/>
  <c r="R182" i="5"/>
  <c r="R182" i="6" s="1"/>
  <c r="S182" i="5"/>
  <c r="Q182" i="6" s="1"/>
  <c r="O102" i="5"/>
  <c r="I102" i="6"/>
  <c r="C153" i="1"/>
  <c r="B231" i="11"/>
  <c r="B231" i="8"/>
  <c r="B231" i="9"/>
  <c r="B231" i="10"/>
  <c r="B231" i="12"/>
  <c r="I187" i="16"/>
  <c r="D69" i="10"/>
  <c r="H43" i="3"/>
  <c r="H159" i="3"/>
  <c r="D259" i="12"/>
  <c r="I39" i="3"/>
  <c r="O74" i="4"/>
  <c r="D145" i="9"/>
  <c r="G115" i="6"/>
  <c r="D180" i="9"/>
  <c r="H117" i="3"/>
  <c r="F176" i="3"/>
  <c r="F130" i="3"/>
  <c r="D129" i="8"/>
  <c r="K148" i="16"/>
  <c r="L148" i="16"/>
  <c r="C218" i="1"/>
  <c r="V115" i="4"/>
  <c r="U137" i="3" s="1"/>
  <c r="G137" i="3"/>
  <c r="L132" i="6"/>
  <c r="D44" i="10"/>
  <c r="V111" i="4"/>
  <c r="U51" i="3" s="1"/>
  <c r="G51" i="3"/>
  <c r="L190" i="6"/>
  <c r="C356" i="1"/>
  <c r="G99" i="6"/>
  <c r="Z42" i="4"/>
  <c r="T60" i="3" s="1"/>
  <c r="AA42" i="4"/>
  <c r="S60" i="3" s="1"/>
  <c r="R42" i="4"/>
  <c r="R60" i="3" s="1"/>
  <c r="E60" i="3"/>
  <c r="L42" i="4"/>
  <c r="P60" i="3" s="1"/>
  <c r="AE42" i="4"/>
  <c r="X60" i="3" s="1"/>
  <c r="AD42" i="4"/>
  <c r="W60" i="3" s="1"/>
  <c r="S42" i="4"/>
  <c r="Q60" i="3" s="1"/>
  <c r="D95" i="12"/>
  <c r="D160" i="11"/>
  <c r="G166" i="3"/>
  <c r="V175" i="4"/>
  <c r="U166" i="3" s="1"/>
  <c r="V84" i="5"/>
  <c r="U84" i="6" s="1"/>
  <c r="H84" i="6"/>
  <c r="G69" i="6"/>
  <c r="D136" i="9"/>
  <c r="C149" i="1"/>
  <c r="L184" i="6"/>
  <c r="D102" i="12"/>
  <c r="H3" i="6"/>
  <c r="V3" i="5"/>
  <c r="U3" i="6" s="1"/>
  <c r="D7" i="8"/>
  <c r="L84" i="3"/>
  <c r="G132" i="6"/>
  <c r="D300" i="11"/>
  <c r="D65" i="8"/>
  <c r="S201" i="4"/>
  <c r="Q147" i="3" s="1"/>
  <c r="E147" i="3"/>
  <c r="AE201" i="4"/>
  <c r="X147" i="3" s="1"/>
  <c r="R201" i="4"/>
  <c r="R147" i="3" s="1"/>
  <c r="AA201" i="4"/>
  <c r="S147" i="3" s="1"/>
  <c r="Z201" i="4"/>
  <c r="T147" i="3" s="1"/>
  <c r="AD201" i="4"/>
  <c r="W147" i="3" s="1"/>
  <c r="L201" i="4"/>
  <c r="P147" i="3" s="1"/>
  <c r="H42" i="6"/>
  <c r="V42" i="5"/>
  <c r="U42" i="6" s="1"/>
  <c r="C45" i="1"/>
  <c r="H105" i="3"/>
  <c r="L145" i="6"/>
  <c r="B230" i="10"/>
  <c r="B230" i="11"/>
  <c r="B230" i="12"/>
  <c r="B230" i="9"/>
  <c r="B230" i="8"/>
  <c r="F133" i="3"/>
  <c r="F28" i="6"/>
  <c r="AA133" i="5"/>
  <c r="S133" i="6" s="1"/>
  <c r="L133" i="5"/>
  <c r="P133" i="6" s="1"/>
  <c r="Z133" i="5"/>
  <c r="T133" i="6" s="1"/>
  <c r="S133" i="5"/>
  <c r="Q133" i="6" s="1"/>
  <c r="AD133" i="5"/>
  <c r="E133" i="6"/>
  <c r="R133" i="5"/>
  <c r="R133" i="6" s="1"/>
  <c r="AO133" i="5"/>
  <c r="AP133" i="5" s="1"/>
  <c r="AE133" i="5"/>
  <c r="X133" i="6" s="1"/>
  <c r="H167" i="3"/>
  <c r="C127" i="1"/>
  <c r="H196" i="3"/>
  <c r="C221" i="1"/>
  <c r="D186" i="12"/>
  <c r="L134" i="16"/>
  <c r="K134" i="16"/>
  <c r="S175" i="4"/>
  <c r="Q166" i="3" s="1"/>
  <c r="AE175" i="4"/>
  <c r="X166" i="3" s="1"/>
  <c r="L175" i="4"/>
  <c r="P166" i="3" s="1"/>
  <c r="R175" i="4"/>
  <c r="R166" i="3" s="1"/>
  <c r="AA175" i="4"/>
  <c r="S166" i="3" s="1"/>
  <c r="Z175" i="4"/>
  <c r="T166" i="3" s="1"/>
  <c r="E166" i="3"/>
  <c r="AD175" i="4"/>
  <c r="W166" i="3" s="1"/>
  <c r="V65" i="5"/>
  <c r="U65" i="6" s="1"/>
  <c r="H65" i="6"/>
  <c r="J79" i="16"/>
  <c r="F7" i="6"/>
  <c r="I75" i="6"/>
  <c r="O75" i="5"/>
  <c r="F11" i="6"/>
  <c r="L147" i="6"/>
  <c r="C193" i="1"/>
  <c r="F95" i="3"/>
  <c r="D277" i="12"/>
  <c r="D120" i="10"/>
  <c r="C124" i="1"/>
  <c r="B278" i="10"/>
  <c r="B278" i="11"/>
  <c r="B278" i="9"/>
  <c r="B278" i="8"/>
  <c r="B278" i="12"/>
  <c r="F197" i="6"/>
  <c r="C144" i="1"/>
  <c r="D73" i="9"/>
  <c r="H57" i="3"/>
  <c r="L166" i="16"/>
  <c r="K166" i="16"/>
  <c r="F59" i="3"/>
  <c r="D106" i="10"/>
  <c r="V168" i="5"/>
  <c r="U168" i="6" s="1"/>
  <c r="H168" i="6"/>
  <c r="K81" i="16"/>
  <c r="L81" i="16"/>
  <c r="I176" i="3"/>
  <c r="O126" i="4"/>
  <c r="G85" i="6"/>
  <c r="AD117" i="5"/>
  <c r="AA117" i="5"/>
  <c r="S117" i="6" s="1"/>
  <c r="R117" i="5"/>
  <c r="R117" i="6" s="1"/>
  <c r="E117" i="6"/>
  <c r="AE117" i="5"/>
  <c r="X117" i="6" s="1"/>
  <c r="L117" i="5"/>
  <c r="P117" i="6" s="1"/>
  <c r="S117" i="5"/>
  <c r="Q117" i="6" s="1"/>
  <c r="Z117" i="5"/>
  <c r="T117" i="6" s="1"/>
  <c r="AO117" i="5"/>
  <c r="AP117" i="5" s="1"/>
  <c r="D121" i="8"/>
  <c r="I121" i="6"/>
  <c r="O121" i="5"/>
  <c r="L206" i="4"/>
  <c r="P86" i="3" s="1"/>
  <c r="AA206" i="4"/>
  <c r="S86" i="3" s="1"/>
  <c r="R206" i="4"/>
  <c r="R86" i="3" s="1"/>
  <c r="AD206" i="4"/>
  <c r="W86" i="3" s="1"/>
  <c r="E86" i="3"/>
  <c r="AE206" i="4"/>
  <c r="X86" i="3" s="1"/>
  <c r="S206" i="4"/>
  <c r="Q86" i="3" s="1"/>
  <c r="Z206" i="4"/>
  <c r="T86" i="3" s="1"/>
  <c r="I76" i="6"/>
  <c r="O76" i="5"/>
  <c r="D81" i="9"/>
  <c r="F17" i="6"/>
  <c r="G126" i="6"/>
  <c r="H15" i="6"/>
  <c r="V15" i="5"/>
  <c r="U15" i="6" s="1"/>
  <c r="L189" i="6"/>
  <c r="F85" i="6"/>
  <c r="B256" i="9"/>
  <c r="B256" i="11"/>
  <c r="B256" i="8"/>
  <c r="B256" i="10"/>
  <c r="B256" i="12"/>
  <c r="E204" i="6"/>
  <c r="AE204" i="5"/>
  <c r="X204" i="6" s="1"/>
  <c r="AA204" i="5"/>
  <c r="S204" i="6" s="1"/>
  <c r="AO204" i="5"/>
  <c r="AP204" i="5" s="1"/>
  <c r="R204" i="5"/>
  <c r="R204" i="6" s="1"/>
  <c r="Z204" i="5"/>
  <c r="T204" i="6" s="1"/>
  <c r="AD204" i="5"/>
  <c r="S204" i="5"/>
  <c r="Q204" i="6" s="1"/>
  <c r="L204" i="5"/>
  <c r="P204" i="6" s="1"/>
  <c r="D154" i="9"/>
  <c r="E54" i="3"/>
  <c r="AD130" i="4"/>
  <c r="W54" i="3" s="1"/>
  <c r="AE130" i="4"/>
  <c r="X54" i="3" s="1"/>
  <c r="L130" i="4"/>
  <c r="P54" i="3" s="1"/>
  <c r="S130" i="4"/>
  <c r="Q54" i="3" s="1"/>
  <c r="R130" i="4"/>
  <c r="R54" i="3" s="1"/>
  <c r="Z130" i="4"/>
  <c r="T54" i="3" s="1"/>
  <c r="AA130" i="4"/>
  <c r="S54" i="3" s="1"/>
  <c r="I28" i="6"/>
  <c r="O28" i="5"/>
  <c r="D242" i="12"/>
  <c r="D36" i="12"/>
  <c r="D190" i="12"/>
  <c r="O94" i="5"/>
  <c r="I94" i="6"/>
  <c r="F165" i="6"/>
  <c r="H6" i="3"/>
  <c r="D210" i="9"/>
  <c r="C197" i="1"/>
  <c r="F174" i="3"/>
  <c r="V126" i="4"/>
  <c r="U176" i="3" s="1"/>
  <c r="G176" i="3"/>
  <c r="C37" i="1"/>
  <c r="L151" i="6"/>
  <c r="D59" i="10"/>
  <c r="D9" i="9"/>
  <c r="D120" i="9"/>
  <c r="H95" i="6"/>
  <c r="V95" i="5"/>
  <c r="U95" i="6" s="1"/>
  <c r="D217" i="10"/>
  <c r="K62" i="16"/>
  <c r="L62" i="16"/>
  <c r="G101" i="6"/>
  <c r="D198" i="12"/>
  <c r="I188" i="16"/>
  <c r="D128" i="8"/>
  <c r="L15" i="3"/>
  <c r="D298" i="12"/>
  <c r="L12" i="6"/>
  <c r="C190" i="1"/>
  <c r="I12" i="3"/>
  <c r="O183" i="4"/>
  <c r="O103" i="5"/>
  <c r="I103" i="6"/>
  <c r="F125" i="6"/>
  <c r="D38" i="12"/>
  <c r="C22" i="1"/>
  <c r="S126" i="5"/>
  <c r="Q126" i="6" s="1"/>
  <c r="E126" i="6"/>
  <c r="AD126" i="5"/>
  <c r="AA126" i="5"/>
  <c r="S126" i="6" s="1"/>
  <c r="Z126" i="5"/>
  <c r="T126" i="6" s="1"/>
  <c r="R126" i="5"/>
  <c r="R126" i="6" s="1"/>
  <c r="AO126" i="5"/>
  <c r="AP126" i="5" s="1"/>
  <c r="L126" i="5"/>
  <c r="P126" i="6" s="1"/>
  <c r="AE126" i="5"/>
  <c r="X126" i="6" s="1"/>
  <c r="C205" i="1"/>
  <c r="I50" i="3"/>
  <c r="O64" i="4"/>
  <c r="D85" i="12"/>
  <c r="D66" i="8"/>
  <c r="D82" i="11"/>
  <c r="G204" i="3"/>
  <c r="V77" i="4"/>
  <c r="U204" i="3" s="1"/>
  <c r="C173" i="1"/>
  <c r="C345" i="1"/>
  <c r="F75" i="6"/>
  <c r="L193" i="6"/>
  <c r="C97" i="1"/>
  <c r="G91" i="6"/>
  <c r="F167" i="3"/>
  <c r="D81" i="12"/>
  <c r="G4" i="6"/>
  <c r="D285" i="12"/>
  <c r="D79" i="10"/>
  <c r="O21" i="4"/>
  <c r="I90" i="3"/>
  <c r="L130" i="6"/>
  <c r="I30" i="6"/>
  <c r="O30" i="5"/>
  <c r="B269" i="8"/>
  <c r="B269" i="10"/>
  <c r="B269" i="9"/>
  <c r="B269" i="11"/>
  <c r="B269" i="12"/>
  <c r="I84" i="16"/>
  <c r="L195" i="6"/>
  <c r="I70" i="3"/>
  <c r="O171" i="4"/>
  <c r="L51" i="3"/>
  <c r="D290" i="11"/>
  <c r="D220" i="10"/>
  <c r="AD146" i="5"/>
  <c r="R146" i="5"/>
  <c r="R146" i="6" s="1"/>
  <c r="AA146" i="5"/>
  <c r="S146" i="6" s="1"/>
  <c r="AO146" i="5"/>
  <c r="AP146" i="5" s="1"/>
  <c r="AE146" i="5"/>
  <c r="X146" i="6" s="1"/>
  <c r="E146" i="6"/>
  <c r="Z146" i="5"/>
  <c r="T146" i="6" s="1"/>
  <c r="L146" i="5"/>
  <c r="P146" i="6" s="1"/>
  <c r="S146" i="5"/>
  <c r="Q146" i="6" s="1"/>
  <c r="Q146" i="5"/>
  <c r="H36" i="6"/>
  <c r="V36" i="5"/>
  <c r="F178" i="3"/>
  <c r="H137" i="3"/>
  <c r="J89" i="16"/>
  <c r="D15" i="9"/>
  <c r="C459" i="1"/>
  <c r="V19" i="4"/>
  <c r="U197" i="3" s="1"/>
  <c r="G197" i="3"/>
  <c r="C78" i="1"/>
  <c r="C395" i="1"/>
  <c r="D20" i="9"/>
  <c r="L174" i="6"/>
  <c r="I78" i="16"/>
  <c r="D202" i="8"/>
  <c r="Z35" i="4"/>
  <c r="T187" i="3" s="1"/>
  <c r="S35" i="4"/>
  <c r="Q187" i="3" s="1"/>
  <c r="AA35" i="4"/>
  <c r="S187" i="3" s="1"/>
  <c r="AE35" i="4"/>
  <c r="X187" i="3" s="1"/>
  <c r="L35" i="4"/>
  <c r="P187" i="3" s="1"/>
  <c r="E187" i="3"/>
  <c r="R35" i="4"/>
  <c r="R187" i="3" s="1"/>
  <c r="AD35" i="4"/>
  <c r="W187" i="3" s="1"/>
  <c r="D159" i="8"/>
  <c r="F152" i="3"/>
  <c r="D23" i="11"/>
  <c r="L57" i="4"/>
  <c r="P173" i="3" s="1"/>
  <c r="E173" i="3"/>
  <c r="R57" i="4"/>
  <c r="R173" i="3" s="1"/>
  <c r="AE57" i="4"/>
  <c r="X173" i="3" s="1"/>
  <c r="S57" i="4"/>
  <c r="Q173" i="3" s="1"/>
  <c r="Z57" i="4"/>
  <c r="T173" i="3" s="1"/>
  <c r="AA57" i="4"/>
  <c r="S173" i="3" s="1"/>
  <c r="AD57" i="4"/>
  <c r="W173" i="3" s="1"/>
  <c r="L112" i="3"/>
  <c r="B292" i="11"/>
  <c r="B292" i="8"/>
  <c r="B292" i="12"/>
  <c r="B292" i="10"/>
  <c r="B292" i="9"/>
  <c r="D287" i="11"/>
  <c r="D51" i="11"/>
  <c r="D33" i="12"/>
  <c r="B291" i="10"/>
  <c r="B291" i="9"/>
  <c r="B291" i="8"/>
  <c r="B291" i="11"/>
  <c r="B291" i="12"/>
  <c r="AA199" i="4"/>
  <c r="S196" i="3" s="1"/>
  <c r="L199" i="4"/>
  <c r="P196" i="3" s="1"/>
  <c r="AE199" i="4"/>
  <c r="X196" i="3" s="1"/>
  <c r="R199" i="4"/>
  <c r="R196" i="3" s="1"/>
  <c r="AD199" i="4"/>
  <c r="W196" i="3" s="1"/>
  <c r="S199" i="4"/>
  <c r="Q196" i="3" s="1"/>
  <c r="Z199" i="4"/>
  <c r="T196" i="3" s="1"/>
  <c r="E196" i="3"/>
  <c r="G86" i="3"/>
  <c r="V206" i="4"/>
  <c r="U86" i="3" s="1"/>
  <c r="F26" i="6"/>
  <c r="E97" i="3"/>
  <c r="Z46" i="4"/>
  <c r="T97" i="3" s="1"/>
  <c r="AE46" i="4"/>
  <c r="X97" i="3" s="1"/>
  <c r="L46" i="4"/>
  <c r="P97" i="3" s="1"/>
  <c r="S46" i="4"/>
  <c r="Q97" i="3" s="1"/>
  <c r="AA46" i="4"/>
  <c r="S97" i="3" s="1"/>
  <c r="R46" i="4"/>
  <c r="R97" i="3" s="1"/>
  <c r="AD46" i="4"/>
  <c r="W97" i="3" s="1"/>
  <c r="Q46" i="4"/>
  <c r="D128" i="9"/>
  <c r="F19" i="3"/>
  <c r="F143" i="3"/>
  <c r="D161" i="12"/>
  <c r="D56" i="8"/>
  <c r="L107" i="3"/>
  <c r="I132" i="16"/>
  <c r="D208" i="11"/>
  <c r="F169" i="3"/>
  <c r="D94" i="10"/>
  <c r="O84" i="5"/>
  <c r="I84" i="6"/>
  <c r="L18" i="6"/>
  <c r="I4" i="6"/>
  <c r="O4" i="5"/>
  <c r="B250" i="9"/>
  <c r="B250" i="11"/>
  <c r="B250" i="8"/>
  <c r="B250" i="12"/>
  <c r="B250" i="10"/>
  <c r="C58" i="1"/>
  <c r="I90" i="16"/>
  <c r="F132" i="3"/>
  <c r="I155" i="3"/>
  <c r="O135" i="4"/>
  <c r="I189" i="3"/>
  <c r="O89" i="4"/>
  <c r="Z123" i="4"/>
  <c r="T89" i="3" s="1"/>
  <c r="R123" i="4"/>
  <c r="R89" i="3" s="1"/>
  <c r="L123" i="4"/>
  <c r="P89" i="3" s="1"/>
  <c r="AA123" i="4"/>
  <c r="S89" i="3" s="1"/>
  <c r="AD123" i="4"/>
  <c r="W89" i="3" s="1"/>
  <c r="S123" i="4"/>
  <c r="Q89" i="3" s="1"/>
  <c r="AE123" i="4"/>
  <c r="X89" i="3" s="1"/>
  <c r="E89" i="3"/>
  <c r="Q123" i="4"/>
  <c r="I92" i="16"/>
  <c r="D64" i="8"/>
  <c r="L173" i="3"/>
  <c r="D107" i="9"/>
  <c r="H123" i="3"/>
  <c r="C335" i="1"/>
  <c r="B300" i="9"/>
  <c r="B300" i="11"/>
  <c r="B300" i="8"/>
  <c r="B300" i="12"/>
  <c r="B300" i="10"/>
  <c r="G42" i="6"/>
  <c r="D293" i="11"/>
  <c r="F70" i="3"/>
  <c r="F156" i="6"/>
  <c r="D163" i="8"/>
  <c r="V141" i="5"/>
  <c r="U141" i="6" s="1"/>
  <c r="H141" i="6"/>
  <c r="D39" i="12"/>
  <c r="D251" i="11"/>
  <c r="L158" i="3"/>
  <c r="AD30" i="4"/>
  <c r="W131" i="3" s="1"/>
  <c r="AE30" i="4"/>
  <c r="X131" i="3" s="1"/>
  <c r="Z30" i="4"/>
  <c r="T131" i="3" s="1"/>
  <c r="Q30" i="4"/>
  <c r="S30" i="4"/>
  <c r="Q131" i="3" s="1"/>
  <c r="E131" i="3"/>
  <c r="AA30" i="4"/>
  <c r="S131" i="3" s="1"/>
  <c r="R30" i="4"/>
  <c r="R131" i="3" s="1"/>
  <c r="L30" i="4"/>
  <c r="P131" i="3" s="1"/>
  <c r="V90" i="5"/>
  <c r="U90" i="6" s="1"/>
  <c r="H90" i="6"/>
  <c r="D168" i="10"/>
  <c r="D100" i="11"/>
  <c r="L165" i="6"/>
  <c r="D92" i="12"/>
  <c r="H193" i="3"/>
  <c r="F163" i="3"/>
  <c r="F172" i="6"/>
  <c r="D92" i="11"/>
  <c r="C376" i="1"/>
  <c r="D289" i="11"/>
  <c r="I61" i="16"/>
  <c r="I120" i="3"/>
  <c r="O110" i="4"/>
  <c r="D166" i="9"/>
  <c r="I168" i="16"/>
  <c r="V54" i="5"/>
  <c r="U54" i="6" s="1"/>
  <c r="H54" i="6"/>
  <c r="D196" i="9"/>
  <c r="F141" i="3"/>
  <c r="D82" i="10"/>
  <c r="C88" i="1"/>
  <c r="L127" i="3"/>
  <c r="C163" i="1"/>
  <c r="D232" i="11"/>
  <c r="D49" i="11"/>
  <c r="AA20" i="5"/>
  <c r="S20" i="6" s="1"/>
  <c r="Z20" i="5"/>
  <c r="T20" i="6" s="1"/>
  <c r="AE20" i="5"/>
  <c r="X20" i="6" s="1"/>
  <c r="E20" i="6"/>
  <c r="S20" i="5"/>
  <c r="Q20" i="6" s="1"/>
  <c r="AO20" i="5"/>
  <c r="AP20" i="5" s="1"/>
  <c r="L20" i="5"/>
  <c r="P20" i="6" s="1"/>
  <c r="AD20" i="5"/>
  <c r="R20" i="5"/>
  <c r="R20" i="6" s="1"/>
  <c r="F25" i="3"/>
  <c r="G29" i="3"/>
  <c r="V88" i="4"/>
  <c r="U29" i="3" s="1"/>
  <c r="V114" i="4"/>
  <c r="U111" i="3" s="1"/>
  <c r="G111" i="3"/>
  <c r="G112" i="6"/>
  <c r="D268" i="11"/>
  <c r="C157" i="1"/>
  <c r="C324" i="1"/>
  <c r="D47" i="11"/>
  <c r="H54" i="3"/>
  <c r="I152" i="16"/>
  <c r="H30" i="3"/>
  <c r="AE81" i="4"/>
  <c r="X11" i="3" s="1"/>
  <c r="R81" i="4"/>
  <c r="R11" i="3" s="1"/>
  <c r="E11" i="3"/>
  <c r="AA81" i="4"/>
  <c r="S11" i="3" s="1"/>
  <c r="S81" i="4"/>
  <c r="Q11" i="3" s="1"/>
  <c r="L81" i="4"/>
  <c r="P11" i="3" s="1"/>
  <c r="Z81" i="4"/>
  <c r="T11" i="3" s="1"/>
  <c r="AD81" i="4"/>
  <c r="W11" i="3" s="1"/>
  <c r="I93" i="16"/>
  <c r="R159" i="5"/>
  <c r="R159" i="6" s="1"/>
  <c r="AA159" i="5"/>
  <c r="S159" i="6" s="1"/>
  <c r="E159" i="6"/>
  <c r="Z159" i="5"/>
  <c r="T159" i="6" s="1"/>
  <c r="L159" i="5"/>
  <c r="P159" i="6" s="1"/>
  <c r="AE159" i="5"/>
  <c r="X159" i="6" s="1"/>
  <c r="AO159" i="5"/>
  <c r="AP159" i="5" s="1"/>
  <c r="S159" i="5"/>
  <c r="Q159" i="6" s="1"/>
  <c r="AD159" i="5"/>
  <c r="R144" i="4"/>
  <c r="R65" i="3" s="1"/>
  <c r="AA144" i="4"/>
  <c r="S65" i="3" s="1"/>
  <c r="E65" i="3"/>
  <c r="S144" i="4"/>
  <c r="Q65" i="3" s="1"/>
  <c r="L144" i="4"/>
  <c r="P65" i="3" s="1"/>
  <c r="AD144" i="4"/>
  <c r="W65" i="3" s="1"/>
  <c r="AE144" i="4"/>
  <c r="X65" i="3" s="1"/>
  <c r="Z144" i="4"/>
  <c r="T65" i="3" s="1"/>
  <c r="L161" i="6"/>
  <c r="D199" i="10"/>
  <c r="R15" i="5"/>
  <c r="R15" i="6" s="1"/>
  <c r="S15" i="5"/>
  <c r="Q15" i="6" s="1"/>
  <c r="AA15" i="5"/>
  <c r="S15" i="6" s="1"/>
  <c r="Z15" i="5"/>
  <c r="T15" i="6" s="1"/>
  <c r="L15" i="5"/>
  <c r="P15" i="6" s="1"/>
  <c r="AD15" i="5"/>
  <c r="AO15" i="5"/>
  <c r="AP15" i="5" s="1"/>
  <c r="AE15" i="5"/>
  <c r="X15" i="6" s="1"/>
  <c r="E15" i="6"/>
  <c r="Q15" i="5"/>
  <c r="I139" i="16"/>
  <c r="D98" i="12"/>
  <c r="C214" i="1"/>
  <c r="F110" i="3"/>
  <c r="D28" i="9"/>
  <c r="C90" i="1"/>
  <c r="D177" i="12"/>
  <c r="D117" i="9"/>
  <c r="D201" i="9"/>
  <c r="F37" i="3"/>
  <c r="C99" i="1"/>
  <c r="D34" i="11"/>
  <c r="D34" i="8"/>
  <c r="D129" i="10"/>
  <c r="D182" i="10"/>
  <c r="G145" i="3"/>
  <c r="V63" i="4"/>
  <c r="U145" i="3" s="1"/>
  <c r="C353" i="1"/>
  <c r="L10" i="3"/>
  <c r="D211" i="8"/>
  <c r="H106" i="3"/>
  <c r="AA196" i="5"/>
  <c r="S196" i="6" s="1"/>
  <c r="Z196" i="5"/>
  <c r="T196" i="6" s="1"/>
  <c r="AO196" i="5"/>
  <c r="AP196" i="5" s="1"/>
  <c r="AD196" i="5"/>
  <c r="E196" i="6"/>
  <c r="S196" i="5"/>
  <c r="Q196" i="6" s="1"/>
  <c r="AE196" i="5"/>
  <c r="X196" i="6" s="1"/>
  <c r="L196" i="5"/>
  <c r="P196" i="6" s="1"/>
  <c r="R196" i="5"/>
  <c r="R196" i="6" s="1"/>
  <c r="D104" i="9"/>
  <c r="H106" i="6"/>
  <c r="V106" i="5"/>
  <c r="U106" i="6" s="1"/>
  <c r="L176" i="6"/>
  <c r="C468" i="1"/>
  <c r="D46" i="12"/>
  <c r="F10" i="6"/>
  <c r="Z145" i="4"/>
  <c r="T18" i="3" s="1"/>
  <c r="AD145" i="4"/>
  <c r="W18" i="3" s="1"/>
  <c r="R145" i="4"/>
  <c r="R18" i="3" s="1"/>
  <c r="AA145" i="4"/>
  <c r="S18" i="3" s="1"/>
  <c r="L145" i="4"/>
  <c r="P18" i="3" s="1"/>
  <c r="S145" i="4"/>
  <c r="Q18" i="3" s="1"/>
  <c r="AE145" i="4"/>
  <c r="X18" i="3" s="1"/>
  <c r="E18" i="3"/>
  <c r="F44" i="6"/>
  <c r="V57" i="5"/>
  <c r="U57" i="6" s="1"/>
  <c r="H57" i="6"/>
  <c r="I149" i="16"/>
  <c r="L67" i="6"/>
  <c r="G150" i="6"/>
  <c r="H39" i="3"/>
  <c r="V27" i="5"/>
  <c r="U27" i="6" s="1"/>
  <c r="H27" i="6"/>
  <c r="L27" i="3"/>
  <c r="I152" i="6"/>
  <c r="O152" i="5"/>
  <c r="D127" i="12"/>
  <c r="D185" i="8"/>
  <c r="AD144" i="5"/>
  <c r="R144" i="5"/>
  <c r="R144" i="6" s="1"/>
  <c r="AE144" i="5"/>
  <c r="X144" i="6" s="1"/>
  <c r="AO144" i="5"/>
  <c r="AP144" i="5" s="1"/>
  <c r="AA144" i="5"/>
  <c r="S144" i="6" s="1"/>
  <c r="L144" i="5"/>
  <c r="P144" i="6" s="1"/>
  <c r="Z144" i="5"/>
  <c r="T144" i="6" s="1"/>
  <c r="E144" i="6"/>
  <c r="S144" i="5"/>
  <c r="Q144" i="6" s="1"/>
  <c r="R171" i="4"/>
  <c r="R70" i="3" s="1"/>
  <c r="Q171" i="4"/>
  <c r="AD171" i="4"/>
  <c r="W70" i="3" s="1"/>
  <c r="Z171" i="4"/>
  <c r="T70" i="3" s="1"/>
  <c r="AA171" i="4"/>
  <c r="S70" i="3" s="1"/>
  <c r="AE171" i="4"/>
  <c r="X70" i="3" s="1"/>
  <c r="S171" i="4"/>
  <c r="Q70" i="3" s="1"/>
  <c r="E70" i="3"/>
  <c r="L171" i="4"/>
  <c r="P70" i="3" s="1"/>
  <c r="B271" i="12"/>
  <c r="B271" i="11"/>
  <c r="B271" i="9"/>
  <c r="B271" i="8"/>
  <c r="B271" i="10"/>
  <c r="C28" i="1"/>
  <c r="H9" i="3"/>
  <c r="I184" i="3"/>
  <c r="O16" i="4"/>
  <c r="D20" i="8"/>
  <c r="E195" i="6"/>
  <c r="R195" i="5"/>
  <c r="R195" i="6" s="1"/>
  <c r="L195" i="5"/>
  <c r="P195" i="6" s="1"/>
  <c r="AE195" i="5"/>
  <c r="X195" i="6" s="1"/>
  <c r="AA195" i="5"/>
  <c r="S195" i="6" s="1"/>
  <c r="S195" i="5"/>
  <c r="Q195" i="6" s="1"/>
  <c r="AD195" i="5"/>
  <c r="Z195" i="5"/>
  <c r="T195" i="6" s="1"/>
  <c r="AO195" i="5"/>
  <c r="AP195" i="5" s="1"/>
  <c r="G33" i="6"/>
  <c r="D65" i="11"/>
  <c r="D80" i="8"/>
  <c r="C311" i="1"/>
  <c r="D110" i="9"/>
  <c r="AE43" i="5"/>
  <c r="X43" i="6" s="1"/>
  <c r="R43" i="5"/>
  <c r="R43" i="6" s="1"/>
  <c r="S43" i="5"/>
  <c r="Q43" i="6" s="1"/>
  <c r="AD43" i="5"/>
  <c r="L43" i="5"/>
  <c r="P43" i="6" s="1"/>
  <c r="AA43" i="5"/>
  <c r="S43" i="6" s="1"/>
  <c r="AO43" i="5"/>
  <c r="AP43" i="5" s="1"/>
  <c r="E43" i="6"/>
  <c r="Z43" i="5"/>
  <c r="T43" i="6" s="1"/>
  <c r="C162" i="1"/>
  <c r="D212" i="12"/>
  <c r="C126" i="1"/>
  <c r="H124" i="3"/>
  <c r="D31" i="12"/>
  <c r="S183" i="5"/>
  <c r="Q183" i="6" s="1"/>
  <c r="AE183" i="5"/>
  <c r="X183" i="6" s="1"/>
  <c r="Z183" i="5"/>
  <c r="T183" i="6" s="1"/>
  <c r="E183" i="6"/>
  <c r="R183" i="5"/>
  <c r="R183" i="6" s="1"/>
  <c r="Q183" i="5"/>
  <c r="AA183" i="5"/>
  <c r="S183" i="6" s="1"/>
  <c r="L183" i="5"/>
  <c r="P183" i="6" s="1"/>
  <c r="AO183" i="5"/>
  <c r="AP183" i="5" s="1"/>
  <c r="AD183" i="5"/>
  <c r="L46" i="3"/>
  <c r="D187" i="12"/>
  <c r="D158" i="9"/>
  <c r="H23" i="3"/>
  <c r="F41" i="6"/>
  <c r="I119" i="16"/>
  <c r="D178" i="9"/>
  <c r="G46" i="6"/>
  <c r="AD158" i="5"/>
  <c r="R158" i="5"/>
  <c r="R158" i="6" s="1"/>
  <c r="S158" i="5"/>
  <c r="Q158" i="6" s="1"/>
  <c r="AE158" i="5"/>
  <c r="X158" i="6" s="1"/>
  <c r="E158" i="6"/>
  <c r="AA158" i="5"/>
  <c r="S158" i="6" s="1"/>
  <c r="Z158" i="5"/>
  <c r="T158" i="6" s="1"/>
  <c r="AO158" i="5"/>
  <c r="AP158" i="5" s="1"/>
  <c r="L158" i="5"/>
  <c r="P158" i="6" s="1"/>
  <c r="H198" i="3"/>
  <c r="C200" i="1"/>
  <c r="L88" i="16"/>
  <c r="K88" i="16"/>
  <c r="F24" i="3"/>
  <c r="J73" i="16"/>
  <c r="C327" i="1"/>
  <c r="L203" i="6"/>
  <c r="D70" i="11"/>
  <c r="V120" i="4"/>
  <c r="U44" i="3" s="1"/>
  <c r="G44" i="3"/>
  <c r="F66" i="6"/>
  <c r="K63" i="16"/>
  <c r="L63" i="16"/>
  <c r="AE67" i="5"/>
  <c r="X67" i="6" s="1"/>
  <c r="AD67" i="5"/>
  <c r="R67" i="5"/>
  <c r="R67" i="6" s="1"/>
  <c r="S67" i="5"/>
  <c r="Q67" i="6" s="1"/>
  <c r="AA67" i="5"/>
  <c r="S67" i="6" s="1"/>
  <c r="E67" i="6"/>
  <c r="AO67" i="5"/>
  <c r="AP67" i="5" s="1"/>
  <c r="Z67" i="5"/>
  <c r="T67" i="6" s="1"/>
  <c r="L67" i="5"/>
  <c r="P67" i="6" s="1"/>
  <c r="D128" i="12"/>
  <c r="AO52" i="5"/>
  <c r="AP52" i="5" s="1"/>
  <c r="Z52" i="5"/>
  <c r="T52" i="6" s="1"/>
  <c r="E52" i="6"/>
  <c r="R52" i="5"/>
  <c r="R52" i="6" s="1"/>
  <c r="AE52" i="5"/>
  <c r="X52" i="6" s="1"/>
  <c r="AA52" i="5"/>
  <c r="S52" i="6" s="1"/>
  <c r="L52" i="5"/>
  <c r="P52" i="6" s="1"/>
  <c r="AD52" i="5"/>
  <c r="S52" i="5"/>
  <c r="Q52" i="6" s="1"/>
  <c r="F24" i="6"/>
  <c r="AD120" i="5"/>
  <c r="W120" i="6" s="1"/>
  <c r="S120" i="5"/>
  <c r="Q120" i="6" s="1"/>
  <c r="Z120" i="5"/>
  <c r="T120" i="6" s="1"/>
  <c r="AO120" i="5"/>
  <c r="AP120" i="5" s="1"/>
  <c r="L120" i="5"/>
  <c r="P120" i="6" s="1"/>
  <c r="E120" i="6"/>
  <c r="AE120" i="5"/>
  <c r="X120" i="6" s="1"/>
  <c r="R120" i="5"/>
  <c r="R120" i="6" s="1"/>
  <c r="AA120" i="5"/>
  <c r="S120" i="6" s="1"/>
  <c r="Q120" i="5"/>
  <c r="E153" i="6"/>
  <c r="AA153" i="5"/>
  <c r="S153" i="6" s="1"/>
  <c r="R153" i="5"/>
  <c r="R153" i="6" s="1"/>
  <c r="Z153" i="5"/>
  <c r="T153" i="6" s="1"/>
  <c r="S153" i="5"/>
  <c r="Q153" i="6" s="1"/>
  <c r="AE153" i="5"/>
  <c r="X153" i="6" s="1"/>
  <c r="AO153" i="5"/>
  <c r="AP153" i="5" s="1"/>
  <c r="L153" i="5"/>
  <c r="P153" i="6" s="1"/>
  <c r="AD153" i="5"/>
  <c r="G40" i="3"/>
  <c r="V71" i="4"/>
  <c r="U40" i="3" s="1"/>
  <c r="L56" i="3"/>
  <c r="C368" i="1"/>
  <c r="B265" i="10"/>
  <c r="B265" i="9"/>
  <c r="B265" i="12"/>
  <c r="B265" i="11"/>
  <c r="B265" i="8"/>
  <c r="C371" i="1"/>
  <c r="V193" i="4"/>
  <c r="U77" i="3" s="1"/>
  <c r="G77" i="3"/>
  <c r="J103" i="16"/>
  <c r="O136" i="4"/>
  <c r="I190" i="3"/>
  <c r="D161" i="8"/>
  <c r="D190" i="11"/>
  <c r="D108" i="12"/>
  <c r="I164" i="3"/>
  <c r="O205" i="4"/>
  <c r="V90" i="4"/>
  <c r="U36" i="3" s="1"/>
  <c r="G36" i="3"/>
  <c r="G193" i="6"/>
  <c r="D275" i="11"/>
  <c r="C152" i="1"/>
  <c r="G19" i="6"/>
  <c r="H40" i="6"/>
  <c r="V40" i="5"/>
  <c r="U40" i="6" s="1"/>
  <c r="D51" i="10"/>
  <c r="L71" i="3"/>
  <c r="H180" i="6"/>
  <c r="V180" i="5"/>
  <c r="U180" i="6" s="1"/>
  <c r="F49" i="6"/>
  <c r="L7" i="6"/>
  <c r="D132" i="12"/>
  <c r="L88" i="6"/>
  <c r="B279" i="12"/>
  <c r="B279" i="9"/>
  <c r="B279" i="10"/>
  <c r="B279" i="11"/>
  <c r="B279" i="8"/>
  <c r="G11" i="3"/>
  <c r="V81" i="4"/>
  <c r="U11" i="3" s="1"/>
  <c r="F174" i="6"/>
  <c r="L90" i="6"/>
  <c r="D93" i="10"/>
  <c r="H20" i="3"/>
  <c r="AO94" i="5"/>
  <c r="AP94" i="5" s="1"/>
  <c r="AD94" i="5"/>
  <c r="S94" i="5"/>
  <c r="Q94" i="6" s="1"/>
  <c r="AE94" i="5"/>
  <c r="X94" i="6" s="1"/>
  <c r="Q94" i="5"/>
  <c r="Z94" i="5"/>
  <c r="T94" i="6" s="1"/>
  <c r="R94" i="5"/>
  <c r="R94" i="6" s="1"/>
  <c r="AA94" i="5"/>
  <c r="S94" i="6" s="1"/>
  <c r="L94" i="5"/>
  <c r="P94" i="6" s="1"/>
  <c r="E94" i="6"/>
  <c r="F55" i="6"/>
  <c r="O179" i="4"/>
  <c r="I191" i="3"/>
  <c r="O106" i="4"/>
  <c r="I180" i="3"/>
  <c r="V171" i="4"/>
  <c r="U70" i="3" s="1"/>
  <c r="G70" i="3"/>
  <c r="D145" i="10"/>
  <c r="D19" i="9"/>
  <c r="AD184" i="4"/>
  <c r="W22" i="3" s="1"/>
  <c r="E22" i="3"/>
  <c r="Z184" i="4"/>
  <c r="T22" i="3" s="1"/>
  <c r="L184" i="4"/>
  <c r="P22" i="3" s="1"/>
  <c r="S184" i="4"/>
  <c r="Q22" i="3" s="1"/>
  <c r="R184" i="4"/>
  <c r="R22" i="3" s="1"/>
  <c r="AA184" i="4"/>
  <c r="S22" i="3" s="1"/>
  <c r="AE184" i="4"/>
  <c r="X22" i="3" s="1"/>
  <c r="L178" i="16"/>
  <c r="K178" i="16"/>
  <c r="Z140" i="4"/>
  <c r="T92" i="3" s="1"/>
  <c r="AE140" i="4"/>
  <c r="X92" i="3" s="1"/>
  <c r="S140" i="4"/>
  <c r="Q92" i="3" s="1"/>
  <c r="L140" i="4"/>
  <c r="P92" i="3" s="1"/>
  <c r="AD140" i="4"/>
  <c r="W92" i="3" s="1"/>
  <c r="AA140" i="4"/>
  <c r="S92" i="3" s="1"/>
  <c r="E92" i="3"/>
  <c r="R140" i="4"/>
  <c r="R92" i="3" s="1"/>
  <c r="Q140" i="4"/>
  <c r="L146" i="3"/>
  <c r="C121" i="1"/>
  <c r="D187" i="9"/>
  <c r="K176" i="16"/>
  <c r="L176" i="16"/>
  <c r="O123" i="4"/>
  <c r="I89" i="3"/>
  <c r="D153" i="12"/>
  <c r="D136" i="12"/>
  <c r="D182" i="12"/>
  <c r="V154" i="5"/>
  <c r="U154" i="6" s="1"/>
  <c r="H154" i="6"/>
  <c r="C317" i="1"/>
  <c r="L128" i="6"/>
  <c r="L46" i="6"/>
  <c r="C184" i="1"/>
  <c r="I136" i="3"/>
  <c r="O125" i="4"/>
  <c r="O101" i="5"/>
  <c r="I101" i="6"/>
  <c r="C111" i="1"/>
  <c r="L109" i="6"/>
  <c r="I182" i="3"/>
  <c r="O31" i="4"/>
  <c r="F186" i="3"/>
  <c r="F67" i="3"/>
  <c r="F54" i="6"/>
  <c r="AD50" i="5"/>
  <c r="L50" i="5"/>
  <c r="P50" i="6" s="1"/>
  <c r="R50" i="5"/>
  <c r="R50" i="6" s="1"/>
  <c r="Z50" i="5"/>
  <c r="T50" i="6" s="1"/>
  <c r="E50" i="6"/>
  <c r="AO50" i="5"/>
  <c r="AP50" i="5" s="1"/>
  <c r="AA50" i="5"/>
  <c r="S50" i="6" s="1"/>
  <c r="S50" i="5"/>
  <c r="Q50" i="6" s="1"/>
  <c r="AE50" i="5"/>
  <c r="X50" i="6" s="1"/>
  <c r="G34" i="6"/>
  <c r="O88" i="5"/>
  <c r="I88" i="6"/>
  <c r="C380" i="1"/>
  <c r="D73" i="10"/>
  <c r="D212" i="10"/>
  <c r="D249" i="11"/>
  <c r="Z13" i="5"/>
  <c r="T13" i="6" s="1"/>
  <c r="L13" i="5"/>
  <c r="P13" i="6" s="1"/>
  <c r="E13" i="6"/>
  <c r="AE13" i="5"/>
  <c r="X13" i="6" s="1"/>
  <c r="AO13" i="5"/>
  <c r="AP13" i="5" s="1"/>
  <c r="R13" i="5"/>
  <c r="R13" i="6" s="1"/>
  <c r="AD13" i="5"/>
  <c r="S13" i="5"/>
  <c r="Q13" i="6" s="1"/>
  <c r="AA13" i="5"/>
  <c r="S13" i="6" s="1"/>
  <c r="D293" i="12"/>
  <c r="O141" i="4"/>
  <c r="I93" i="3"/>
  <c r="I16" i="3"/>
  <c r="O9" i="4"/>
  <c r="D173" i="11"/>
  <c r="D144" i="9"/>
  <c r="C367" i="1"/>
  <c r="C365" i="1"/>
  <c r="O59" i="5"/>
  <c r="I59" i="6"/>
  <c r="F95" i="6"/>
  <c r="D151" i="8"/>
  <c r="O19" i="4"/>
  <c r="I197" i="3"/>
  <c r="L190" i="16"/>
  <c r="K190" i="16"/>
  <c r="I171" i="16"/>
  <c r="L44" i="6"/>
  <c r="D145" i="12"/>
  <c r="I172" i="6"/>
  <c r="O172" i="5"/>
  <c r="I180" i="6"/>
  <c r="O180" i="5"/>
  <c r="F179" i="6"/>
  <c r="L8" i="6"/>
  <c r="D175" i="8"/>
  <c r="D165" i="11"/>
  <c r="E31" i="6"/>
  <c r="AO31" i="5"/>
  <c r="AP31" i="5" s="1"/>
  <c r="L31" i="5"/>
  <c r="P31" i="6" s="1"/>
  <c r="AD31" i="5"/>
  <c r="Z31" i="5"/>
  <c r="T31" i="6" s="1"/>
  <c r="S31" i="5"/>
  <c r="Q31" i="6" s="1"/>
  <c r="R31" i="5"/>
  <c r="R31" i="6" s="1"/>
  <c r="AE31" i="5"/>
  <c r="X31" i="6" s="1"/>
  <c r="AA31" i="5"/>
  <c r="S31" i="6" s="1"/>
  <c r="D262" i="11"/>
  <c r="L80" i="16"/>
  <c r="K80" i="16"/>
  <c r="K179" i="16"/>
  <c r="L179" i="16"/>
  <c r="G151" i="6"/>
  <c r="D224" i="12"/>
  <c r="D41" i="10"/>
  <c r="F169" i="6"/>
  <c r="D199" i="12"/>
  <c r="G47" i="6"/>
  <c r="D76" i="9"/>
  <c r="D181" i="11"/>
  <c r="Z176" i="4"/>
  <c r="T71" i="3" s="1"/>
  <c r="E71" i="3"/>
  <c r="S176" i="4"/>
  <c r="Q71" i="3" s="1"/>
  <c r="L176" i="4"/>
  <c r="P71" i="3" s="1"/>
  <c r="AE176" i="4"/>
  <c r="X71" i="3" s="1"/>
  <c r="AD176" i="4"/>
  <c r="W71" i="3" s="1"/>
  <c r="R176" i="4"/>
  <c r="R71" i="3" s="1"/>
  <c r="AA176" i="4"/>
  <c r="S71" i="3" s="1"/>
  <c r="C409" i="1"/>
  <c r="G21" i="6"/>
  <c r="L30" i="3"/>
  <c r="V178" i="4"/>
  <c r="U15" i="3" s="1"/>
  <c r="G15" i="3"/>
  <c r="I67" i="3"/>
  <c r="O116" i="4"/>
  <c r="I101" i="3"/>
  <c r="O108" i="4"/>
  <c r="B227" i="11"/>
  <c r="B227" i="12"/>
  <c r="B227" i="10"/>
  <c r="B227" i="9"/>
  <c r="B227" i="8"/>
  <c r="F177" i="3"/>
  <c r="D99" i="8"/>
  <c r="G11" i="6"/>
  <c r="B257" i="11"/>
  <c r="B257" i="8"/>
  <c r="B257" i="9"/>
  <c r="B257" i="10"/>
  <c r="B257" i="12"/>
  <c r="I54" i="6"/>
  <c r="O54" i="5"/>
  <c r="I126" i="3"/>
  <c r="O43" i="4"/>
  <c r="K126" i="16"/>
  <c r="L126" i="16"/>
  <c r="D138" i="9"/>
  <c r="I203" i="6"/>
  <c r="O203" i="5"/>
  <c r="D114" i="9"/>
  <c r="L142" i="5"/>
  <c r="P142" i="6" s="1"/>
  <c r="E142" i="6"/>
  <c r="AA142" i="5"/>
  <c r="S142" i="6" s="1"/>
  <c r="AE142" i="5"/>
  <c r="X142" i="6" s="1"/>
  <c r="AD142" i="5"/>
  <c r="R142" i="5"/>
  <c r="R142" i="6" s="1"/>
  <c r="AO142" i="5"/>
  <c r="AP142" i="5" s="1"/>
  <c r="S142" i="5"/>
  <c r="Q142" i="6" s="1"/>
  <c r="Z142" i="5"/>
  <c r="T142" i="6" s="1"/>
  <c r="D162" i="11"/>
  <c r="O195" i="5"/>
  <c r="I195" i="6"/>
  <c r="V26" i="4"/>
  <c r="U151" i="3" s="1"/>
  <c r="G151" i="3"/>
  <c r="V177" i="5"/>
  <c r="U177" i="6" s="1"/>
  <c r="H177" i="6"/>
  <c r="D68" i="12"/>
  <c r="C195" i="1"/>
  <c r="V96" i="4"/>
  <c r="U99" i="3" s="1"/>
  <c r="G99" i="3"/>
  <c r="F120" i="3"/>
  <c r="I123" i="6"/>
  <c r="O123" i="5"/>
  <c r="V117" i="4"/>
  <c r="U85" i="3" s="1"/>
  <c r="G85" i="3"/>
  <c r="D194" i="9"/>
  <c r="F144" i="6"/>
  <c r="AA202" i="4"/>
  <c r="S186" i="3" s="1"/>
  <c r="E186" i="3"/>
  <c r="Q202" i="4"/>
  <c r="AE202" i="4"/>
  <c r="X186" i="3" s="1"/>
  <c r="L202" i="4"/>
  <c r="P186" i="3" s="1"/>
  <c r="AD202" i="4"/>
  <c r="W186" i="3" s="1"/>
  <c r="S202" i="4"/>
  <c r="Q186" i="3" s="1"/>
  <c r="R202" i="4"/>
  <c r="R186" i="3" s="1"/>
  <c r="Z202" i="4"/>
  <c r="T186" i="3" s="1"/>
  <c r="D152" i="12"/>
  <c r="G45" i="3"/>
  <c r="V50" i="4"/>
  <c r="U45" i="3" s="1"/>
  <c r="D130" i="9"/>
  <c r="D94" i="12"/>
  <c r="F40" i="6"/>
  <c r="V113" i="4"/>
  <c r="U57" i="3" s="1"/>
  <c r="G57" i="3"/>
  <c r="D25" i="9"/>
  <c r="C183" i="1"/>
  <c r="J160" i="16"/>
  <c r="R47" i="4"/>
  <c r="R138" i="3" s="1"/>
  <c r="AE47" i="4"/>
  <c r="X138" i="3" s="1"/>
  <c r="AA47" i="4"/>
  <c r="S138" i="3" s="1"/>
  <c r="L47" i="4"/>
  <c r="P138" i="3" s="1"/>
  <c r="E138" i="3"/>
  <c r="Z47" i="4"/>
  <c r="T138" i="3" s="1"/>
  <c r="S47" i="4"/>
  <c r="Q138" i="3" s="1"/>
  <c r="AD47" i="4"/>
  <c r="W138" i="3" s="1"/>
  <c r="V47" i="5"/>
  <c r="U47" i="6" s="1"/>
  <c r="H47" i="6"/>
  <c r="D35" i="10"/>
  <c r="D111" i="10"/>
  <c r="V176" i="4"/>
  <c r="U71" i="3" s="1"/>
  <c r="G71" i="3"/>
  <c r="V131" i="5"/>
  <c r="U131" i="6" s="1"/>
  <c r="H131" i="6"/>
  <c r="J151" i="16"/>
  <c r="D217" i="12"/>
  <c r="D27" i="11"/>
  <c r="V54" i="4"/>
  <c r="U125" i="3" s="1"/>
  <c r="G125" i="3"/>
  <c r="L112" i="4"/>
  <c r="P163" i="3" s="1"/>
  <c r="AE112" i="4"/>
  <c r="X163" i="3" s="1"/>
  <c r="R112" i="4"/>
  <c r="R163" i="3" s="1"/>
  <c r="S112" i="4"/>
  <c r="Q163" i="3" s="1"/>
  <c r="Z112" i="4"/>
  <c r="T163" i="3" s="1"/>
  <c r="AD112" i="4"/>
  <c r="W163" i="3" s="1"/>
  <c r="E163" i="3"/>
  <c r="AA112" i="4"/>
  <c r="S163" i="3" s="1"/>
  <c r="D135" i="10"/>
  <c r="D167" i="8"/>
  <c r="R158" i="4"/>
  <c r="R107" i="3" s="1"/>
  <c r="S158" i="4"/>
  <c r="Q107" i="3" s="1"/>
  <c r="L158" i="4"/>
  <c r="P107" i="3" s="1"/>
  <c r="Z158" i="4"/>
  <c r="T107" i="3" s="1"/>
  <c r="AD158" i="4"/>
  <c r="W107" i="3" s="1"/>
  <c r="AE158" i="4"/>
  <c r="X107" i="3" s="1"/>
  <c r="E107" i="3"/>
  <c r="AA158" i="4"/>
  <c r="S107" i="3" s="1"/>
  <c r="L204" i="6"/>
  <c r="I180" i="16"/>
  <c r="G104" i="6"/>
  <c r="I131" i="6"/>
  <c r="O131" i="5"/>
  <c r="D153" i="10"/>
  <c r="G170" i="6"/>
  <c r="I157" i="3"/>
  <c r="O143" i="4"/>
  <c r="L160" i="3"/>
  <c r="O179" i="5"/>
  <c r="I179" i="6"/>
  <c r="L200" i="6"/>
  <c r="G131" i="3"/>
  <c r="V30" i="4"/>
  <c r="U131" i="3" s="1"/>
  <c r="F191" i="6"/>
  <c r="V161" i="4"/>
  <c r="U154" i="3" s="1"/>
  <c r="G154" i="3"/>
  <c r="D219" i="11"/>
  <c r="L188" i="3"/>
  <c r="D276" i="11"/>
  <c r="D139" i="9"/>
  <c r="D70" i="12"/>
  <c r="L102" i="4"/>
  <c r="P144" i="3" s="1"/>
  <c r="E144" i="3"/>
  <c r="Z102" i="4"/>
  <c r="T144" i="3" s="1"/>
  <c r="R102" i="4"/>
  <c r="R144" i="3" s="1"/>
  <c r="AA102" i="4"/>
  <c r="S144" i="3" s="1"/>
  <c r="AD102" i="4"/>
  <c r="W144" i="3" s="1"/>
  <c r="AE102" i="4"/>
  <c r="X144" i="3" s="1"/>
  <c r="S102" i="4"/>
  <c r="Q144" i="3" s="1"/>
  <c r="Q102" i="4"/>
  <c r="H165" i="3"/>
  <c r="G56" i="6"/>
  <c r="D80" i="12"/>
  <c r="L125" i="6"/>
  <c r="L50" i="3"/>
  <c r="G3" i="6"/>
  <c r="E105" i="6"/>
  <c r="L105" i="5"/>
  <c r="P105" i="6" s="1"/>
  <c r="S105" i="5"/>
  <c r="Q105" i="6" s="1"/>
  <c r="AE105" i="5"/>
  <c r="X105" i="6" s="1"/>
  <c r="Z105" i="5"/>
  <c r="T105" i="6" s="1"/>
  <c r="R105" i="5"/>
  <c r="R105" i="6" s="1"/>
  <c r="AA105" i="5"/>
  <c r="S105" i="6" s="1"/>
  <c r="AD105" i="5"/>
  <c r="AO105" i="5"/>
  <c r="AP105" i="5" s="1"/>
  <c r="D196" i="12"/>
  <c r="L96" i="16"/>
  <c r="K96" i="16"/>
  <c r="D215" i="9"/>
  <c r="D101" i="11"/>
  <c r="D40" i="9"/>
  <c r="D149" i="9"/>
  <c r="D140" i="8"/>
  <c r="L95" i="16"/>
  <c r="K95" i="16"/>
  <c r="L124" i="6"/>
  <c r="F48" i="6"/>
  <c r="J72" i="16"/>
  <c r="D215" i="8"/>
  <c r="F16" i="6"/>
  <c r="D45" i="8"/>
  <c r="D164" i="12"/>
  <c r="G173" i="6"/>
  <c r="D63" i="8"/>
  <c r="E155" i="6"/>
  <c r="AD155" i="5"/>
  <c r="R155" i="5"/>
  <c r="R155" i="6" s="1"/>
  <c r="AO155" i="5"/>
  <c r="AP155" i="5" s="1"/>
  <c r="Z155" i="5"/>
  <c r="T155" i="6" s="1"/>
  <c r="AE155" i="5"/>
  <c r="X155" i="6" s="1"/>
  <c r="S155" i="5"/>
  <c r="Q155" i="6" s="1"/>
  <c r="L155" i="5"/>
  <c r="P155" i="6" s="1"/>
  <c r="AA155" i="5"/>
  <c r="S155" i="6" s="1"/>
  <c r="Q155" i="5"/>
  <c r="I78" i="6"/>
  <c r="O78" i="5"/>
  <c r="F150" i="6"/>
  <c r="C348" i="1"/>
  <c r="B224" i="11"/>
  <c r="B224" i="12"/>
  <c r="B224" i="8"/>
  <c r="B224" i="10"/>
  <c r="B224" i="9"/>
  <c r="O113" i="5"/>
  <c r="I113" i="6"/>
  <c r="L142" i="3"/>
  <c r="AD129" i="5"/>
  <c r="L129" i="5"/>
  <c r="P129" i="6" s="1"/>
  <c r="S129" i="5"/>
  <c r="Q129" i="6" s="1"/>
  <c r="E129" i="6"/>
  <c r="AE129" i="5"/>
  <c r="X129" i="6" s="1"/>
  <c r="Z129" i="5"/>
  <c r="T129" i="6" s="1"/>
  <c r="AO129" i="5"/>
  <c r="AP129" i="5" s="1"/>
  <c r="R129" i="5"/>
  <c r="R129" i="6" s="1"/>
  <c r="AA129" i="5"/>
  <c r="S129" i="6" s="1"/>
  <c r="E205" i="3"/>
  <c r="Z44" i="4"/>
  <c r="T205" i="3" s="1"/>
  <c r="AE44" i="4"/>
  <c r="X205" i="3" s="1"/>
  <c r="AA44" i="4"/>
  <c r="S205" i="3" s="1"/>
  <c r="S44" i="4"/>
  <c r="Q205" i="3" s="1"/>
  <c r="AD44" i="4"/>
  <c r="W205" i="3" s="1"/>
  <c r="R44" i="4"/>
  <c r="R205" i="3" s="1"/>
  <c r="L44" i="4"/>
  <c r="P205" i="3" s="1"/>
  <c r="D184" i="10"/>
  <c r="C72" i="1"/>
  <c r="D71" i="10"/>
  <c r="D174" i="10"/>
  <c r="D137" i="11"/>
  <c r="D151" i="10"/>
  <c r="H175" i="3"/>
  <c r="F21" i="3"/>
  <c r="H53" i="3"/>
  <c r="I53" i="16"/>
  <c r="I128" i="3"/>
  <c r="O56" i="4"/>
  <c r="D27" i="9"/>
  <c r="I59" i="16"/>
  <c r="D234" i="11"/>
  <c r="F150" i="3"/>
  <c r="L139" i="6"/>
  <c r="H169" i="3"/>
  <c r="J51" i="16"/>
  <c r="Z27" i="5"/>
  <c r="T27" i="6" s="1"/>
  <c r="R27" i="5"/>
  <c r="R27" i="6" s="1"/>
  <c r="AD27" i="5"/>
  <c r="W27" i="6" s="1"/>
  <c r="AO27" i="5"/>
  <c r="AP27" i="5" s="1"/>
  <c r="S27" i="5"/>
  <c r="Q27" i="6" s="1"/>
  <c r="L27" i="5"/>
  <c r="P27" i="6" s="1"/>
  <c r="E27" i="6"/>
  <c r="AE27" i="5"/>
  <c r="X27" i="6" s="1"/>
  <c r="AA27" i="5"/>
  <c r="S27" i="6" s="1"/>
  <c r="Q27" i="5"/>
  <c r="D75" i="12"/>
  <c r="D136" i="10"/>
  <c r="G86" i="6"/>
  <c r="V149" i="4"/>
  <c r="U73" i="3" s="1"/>
  <c r="G73" i="3"/>
  <c r="G120" i="6"/>
  <c r="I182" i="16"/>
  <c r="L113" i="6"/>
  <c r="F90" i="6"/>
  <c r="AA198" i="4"/>
  <c r="S195" i="3" s="1"/>
  <c r="AE198" i="4"/>
  <c r="X195" i="3" s="1"/>
  <c r="E195" i="3"/>
  <c r="Z198" i="4"/>
  <c r="T195" i="3" s="1"/>
  <c r="AD198" i="4"/>
  <c r="W195" i="3" s="1"/>
  <c r="R198" i="4"/>
  <c r="R195" i="3" s="1"/>
  <c r="S198" i="4"/>
  <c r="Q195" i="3" s="1"/>
  <c r="L198" i="4"/>
  <c r="P195" i="3" s="1"/>
  <c r="C80" i="1"/>
  <c r="D37" i="8"/>
  <c r="D170" i="8"/>
  <c r="I155" i="6"/>
  <c r="O155" i="5"/>
  <c r="G55" i="6"/>
  <c r="D93" i="8"/>
  <c r="F47" i="3"/>
  <c r="L171" i="6"/>
  <c r="J149" i="16"/>
  <c r="C486" i="1"/>
  <c r="I65" i="16"/>
  <c r="L82" i="3"/>
  <c r="L144" i="6"/>
  <c r="G128" i="3"/>
  <c r="V56" i="4"/>
  <c r="U128" i="3" s="1"/>
  <c r="D154" i="11"/>
  <c r="D157" i="8"/>
  <c r="Z150" i="4"/>
  <c r="T42" i="3" s="1"/>
  <c r="L150" i="4"/>
  <c r="P42" i="3" s="1"/>
  <c r="S150" i="4"/>
  <c r="Q42" i="3" s="1"/>
  <c r="AA150" i="4"/>
  <c r="S42" i="3" s="1"/>
  <c r="AD150" i="4"/>
  <c r="W42" i="3" s="1"/>
  <c r="R150" i="4"/>
  <c r="R42" i="3" s="1"/>
  <c r="E42" i="3"/>
  <c r="AE150" i="4"/>
  <c r="X42" i="3" s="1"/>
  <c r="C15" i="1"/>
  <c r="D253" i="11"/>
  <c r="F126" i="3"/>
  <c r="C110" i="1"/>
  <c r="H81" i="3"/>
  <c r="L106" i="3"/>
  <c r="F91" i="6"/>
  <c r="L5" i="3"/>
  <c r="C134" i="1"/>
  <c r="F62" i="6"/>
  <c r="C430" i="1"/>
  <c r="F4" i="3"/>
  <c r="F162" i="3"/>
  <c r="L180" i="5"/>
  <c r="P180" i="6" s="1"/>
  <c r="Z180" i="5"/>
  <c r="T180" i="6" s="1"/>
  <c r="AD180" i="5"/>
  <c r="S180" i="5"/>
  <c r="Q180" i="6" s="1"/>
  <c r="E180" i="6"/>
  <c r="AO180" i="5"/>
  <c r="AP180" i="5" s="1"/>
  <c r="R180" i="5"/>
  <c r="R180" i="6" s="1"/>
  <c r="AA180" i="5"/>
  <c r="S180" i="6" s="1"/>
  <c r="AE180" i="5"/>
  <c r="X180" i="6" s="1"/>
  <c r="G76" i="6"/>
  <c r="G198" i="3"/>
  <c r="V168" i="4"/>
  <c r="U198" i="3" s="1"/>
  <c r="L41" i="6"/>
  <c r="AE139" i="5"/>
  <c r="X139" i="6" s="1"/>
  <c r="AD139" i="5"/>
  <c r="AO139" i="5"/>
  <c r="AP139" i="5" s="1"/>
  <c r="AA139" i="5"/>
  <c r="S139" i="6" s="1"/>
  <c r="R139" i="5"/>
  <c r="R139" i="6" s="1"/>
  <c r="Z139" i="5"/>
  <c r="T139" i="6" s="1"/>
  <c r="S139" i="5"/>
  <c r="Q139" i="6" s="1"/>
  <c r="L139" i="5"/>
  <c r="P139" i="6" s="1"/>
  <c r="E139" i="6"/>
  <c r="F160" i="3"/>
  <c r="L146" i="6"/>
  <c r="G31" i="3"/>
  <c r="V138" i="4"/>
  <c r="U31" i="3" s="1"/>
  <c r="C179" i="1"/>
  <c r="B273" i="8"/>
  <c r="B273" i="12"/>
  <c r="B273" i="11"/>
  <c r="B273" i="10"/>
  <c r="B273" i="9"/>
  <c r="D160" i="10"/>
  <c r="H21" i="3"/>
  <c r="C387" i="1"/>
  <c r="V67" i="5"/>
  <c r="U67" i="6" s="1"/>
  <c r="H67" i="6"/>
  <c r="E16" i="6"/>
  <c r="AA16" i="5"/>
  <c r="S16" i="6" s="1"/>
  <c r="AO16" i="5"/>
  <c r="AP16" i="5" s="1"/>
  <c r="Z16" i="5"/>
  <c r="T16" i="6" s="1"/>
  <c r="S16" i="5"/>
  <c r="Q16" i="6" s="1"/>
  <c r="AE16" i="5"/>
  <c r="X16" i="6" s="1"/>
  <c r="R16" i="5"/>
  <c r="R16" i="6" s="1"/>
  <c r="AD16" i="5"/>
  <c r="L16" i="5"/>
  <c r="P16" i="6" s="1"/>
  <c r="C13" i="1"/>
  <c r="I73" i="3"/>
  <c r="O149" i="4"/>
  <c r="D160" i="9"/>
  <c r="H64" i="3"/>
  <c r="O133" i="5"/>
  <c r="I133" i="6"/>
  <c r="J48" i="16"/>
  <c r="D125" i="12"/>
  <c r="Z43" i="4"/>
  <c r="T126" i="3" s="1"/>
  <c r="L43" i="4"/>
  <c r="P126" i="3" s="1"/>
  <c r="S43" i="4"/>
  <c r="Q126" i="3" s="1"/>
  <c r="AA43" i="4"/>
  <c r="S126" i="3" s="1"/>
  <c r="AD43" i="4"/>
  <c r="W126" i="3" s="1"/>
  <c r="R43" i="4"/>
  <c r="R126" i="3" s="1"/>
  <c r="AE43" i="4"/>
  <c r="X126" i="3" s="1"/>
  <c r="E126" i="3"/>
  <c r="O154" i="4"/>
  <c r="I9" i="3"/>
  <c r="I66" i="6"/>
  <c r="O66" i="5"/>
  <c r="Z173" i="4"/>
  <c r="T32" i="3" s="1"/>
  <c r="E32" i="3"/>
  <c r="AE173" i="4"/>
  <c r="X32" i="3" s="1"/>
  <c r="AA173" i="4"/>
  <c r="S32" i="3" s="1"/>
  <c r="S173" i="4"/>
  <c r="Q32" i="3" s="1"/>
  <c r="AD173" i="4"/>
  <c r="W32" i="3" s="1"/>
  <c r="L173" i="4"/>
  <c r="P32" i="3" s="1"/>
  <c r="R173" i="4"/>
  <c r="R32" i="3" s="1"/>
  <c r="AE100" i="5"/>
  <c r="X100" i="6" s="1"/>
  <c r="S100" i="5"/>
  <c r="Q100" i="6" s="1"/>
  <c r="AA100" i="5"/>
  <c r="S100" i="6" s="1"/>
  <c r="AO100" i="5"/>
  <c r="AP100" i="5" s="1"/>
  <c r="E100" i="6"/>
  <c r="Z100" i="5"/>
  <c r="T100" i="6" s="1"/>
  <c r="AD100" i="5"/>
  <c r="L100" i="5"/>
  <c r="P100" i="6" s="1"/>
  <c r="R100" i="5"/>
  <c r="R100" i="6" s="1"/>
  <c r="J129" i="16"/>
  <c r="L89" i="3"/>
  <c r="F107" i="3"/>
  <c r="C187" i="1"/>
  <c r="L184" i="5"/>
  <c r="P184" i="6" s="1"/>
  <c r="AA184" i="5"/>
  <c r="S184" i="6" s="1"/>
  <c r="AO184" i="5"/>
  <c r="AP184" i="5" s="1"/>
  <c r="AD184" i="5"/>
  <c r="Z184" i="5"/>
  <c r="T184" i="6" s="1"/>
  <c r="E184" i="6"/>
  <c r="S184" i="5"/>
  <c r="Q184" i="6" s="1"/>
  <c r="R184" i="5"/>
  <c r="R184" i="6" s="1"/>
  <c r="AE184" i="5"/>
  <c r="X184" i="6" s="1"/>
  <c r="C325" i="1"/>
  <c r="D147" i="12"/>
  <c r="F99" i="6"/>
  <c r="F74" i="3"/>
  <c r="D84" i="10"/>
  <c r="C397" i="1"/>
  <c r="AD55" i="4"/>
  <c r="W105" i="3" s="1"/>
  <c r="S55" i="4"/>
  <c r="Q105" i="3" s="1"/>
  <c r="AA55" i="4"/>
  <c r="S105" i="3" s="1"/>
  <c r="E105" i="3"/>
  <c r="Z55" i="4"/>
  <c r="T105" i="3" s="1"/>
  <c r="AE55" i="4"/>
  <c r="X105" i="3" s="1"/>
  <c r="L55" i="4"/>
  <c r="P105" i="3" s="1"/>
  <c r="R55" i="4"/>
  <c r="R105" i="3" s="1"/>
  <c r="G4" i="3"/>
  <c r="V180" i="4"/>
  <c r="U4" i="3" s="1"/>
  <c r="L89" i="16"/>
  <c r="K89" i="16"/>
  <c r="J143" i="16"/>
  <c r="G75" i="6"/>
  <c r="E56" i="6"/>
  <c r="AO56" i="5"/>
  <c r="AP56" i="5" s="1"/>
  <c r="AE56" i="5"/>
  <c r="X56" i="6" s="1"/>
  <c r="Z56" i="5"/>
  <c r="T56" i="6" s="1"/>
  <c r="AA56" i="5"/>
  <c r="S56" i="6" s="1"/>
  <c r="AD56" i="5"/>
  <c r="L56" i="5"/>
  <c r="P56" i="6" s="1"/>
  <c r="R56" i="5"/>
  <c r="R56" i="6" s="1"/>
  <c r="S56" i="5"/>
  <c r="Q56" i="6" s="1"/>
  <c r="Q56" i="5"/>
  <c r="D187" i="11"/>
  <c r="D177" i="9"/>
  <c r="AA80" i="5"/>
  <c r="S80" i="6" s="1"/>
  <c r="S80" i="5"/>
  <c r="Q80" i="6" s="1"/>
  <c r="Z80" i="5"/>
  <c r="T80" i="6" s="1"/>
  <c r="AD80" i="5"/>
  <c r="L80" i="5"/>
  <c r="P80" i="6" s="1"/>
  <c r="AE80" i="5"/>
  <c r="X80" i="6" s="1"/>
  <c r="AO80" i="5"/>
  <c r="AP80" i="5" s="1"/>
  <c r="R80" i="5"/>
  <c r="R80" i="6" s="1"/>
  <c r="E80" i="6"/>
  <c r="D110" i="8"/>
  <c r="L85" i="6"/>
  <c r="F122" i="3"/>
  <c r="AE205" i="5"/>
  <c r="X205" i="6" s="1"/>
  <c r="L205" i="5"/>
  <c r="P205" i="6" s="1"/>
  <c r="E205" i="6"/>
  <c r="AD205" i="5"/>
  <c r="S205" i="5"/>
  <c r="Q205" i="6" s="1"/>
  <c r="Z205" i="5"/>
  <c r="T205" i="6" s="1"/>
  <c r="AA205" i="5"/>
  <c r="S205" i="6" s="1"/>
  <c r="R205" i="5"/>
  <c r="R205" i="6" s="1"/>
  <c r="AO205" i="5"/>
  <c r="AP205" i="5" s="1"/>
  <c r="F166" i="3"/>
  <c r="O50" i="4"/>
  <c r="I45" i="3"/>
  <c r="D64" i="11"/>
  <c r="D38" i="9"/>
  <c r="F164" i="6"/>
  <c r="AE116" i="4"/>
  <c r="X67" i="3" s="1"/>
  <c r="R116" i="4"/>
  <c r="R67" i="3" s="1"/>
  <c r="E67" i="3"/>
  <c r="S116" i="4"/>
  <c r="Q67" i="3" s="1"/>
  <c r="Z116" i="4"/>
  <c r="T67" i="3" s="1"/>
  <c r="AD116" i="4"/>
  <c r="W67" i="3" s="1"/>
  <c r="L116" i="4"/>
  <c r="P67" i="3" s="1"/>
  <c r="AA116" i="4"/>
  <c r="S67" i="3" s="1"/>
  <c r="Q116" i="4"/>
  <c r="L189" i="3"/>
  <c r="V106" i="4"/>
  <c r="U180" i="3" s="1"/>
  <c r="G180" i="3"/>
  <c r="H96" i="3"/>
  <c r="F124" i="3"/>
  <c r="D119" i="8"/>
  <c r="C32" i="1"/>
  <c r="F125" i="3"/>
  <c r="D38" i="11"/>
  <c r="O115" i="5"/>
  <c r="I115" i="6"/>
  <c r="G167" i="3"/>
  <c r="V12" i="4"/>
  <c r="U167" i="3" s="1"/>
  <c r="F201" i="3"/>
  <c r="V190" i="4"/>
  <c r="U132" i="3" s="1"/>
  <c r="G132" i="3"/>
  <c r="O191" i="4"/>
  <c r="I68" i="3"/>
  <c r="C333" i="1"/>
  <c r="D124" i="11"/>
  <c r="D76" i="11"/>
  <c r="D239" i="12"/>
  <c r="L22" i="6"/>
  <c r="AA23" i="5"/>
  <c r="S23" i="6" s="1"/>
  <c r="AD23" i="5"/>
  <c r="Z23" i="5"/>
  <c r="T23" i="6" s="1"/>
  <c r="L23" i="5"/>
  <c r="P23" i="6" s="1"/>
  <c r="E23" i="6"/>
  <c r="S23" i="5"/>
  <c r="Q23" i="6" s="1"/>
  <c r="R23" i="5"/>
  <c r="R23" i="6" s="1"/>
  <c r="AE23" i="5"/>
  <c r="X23" i="6" s="1"/>
  <c r="AO23" i="5"/>
  <c r="AP23" i="5" s="1"/>
  <c r="B280" i="10"/>
  <c r="B280" i="9"/>
  <c r="B280" i="8"/>
  <c r="B280" i="11"/>
  <c r="B280" i="12"/>
  <c r="H63" i="3"/>
  <c r="C171" i="1"/>
  <c r="D122" i="11"/>
  <c r="D215" i="10"/>
  <c r="D221" i="9"/>
  <c r="C344" i="1"/>
  <c r="D55" i="12"/>
  <c r="D170" i="11"/>
  <c r="D167" i="10"/>
  <c r="F170" i="3"/>
  <c r="D23" i="10"/>
  <c r="I109" i="16"/>
  <c r="O161" i="4"/>
  <c r="I154" i="3"/>
  <c r="I172" i="16"/>
  <c r="F94" i="3"/>
  <c r="D177" i="8"/>
  <c r="D29" i="8"/>
  <c r="D89" i="11"/>
  <c r="V181" i="4"/>
  <c r="U5" i="3" s="1"/>
  <c r="G5" i="3"/>
  <c r="D116" i="9"/>
  <c r="G135" i="6"/>
  <c r="J111" i="16"/>
  <c r="O48" i="4"/>
  <c r="I170" i="3"/>
  <c r="I7" i="6"/>
  <c r="O7" i="5"/>
  <c r="D11" i="12"/>
  <c r="I112" i="16"/>
  <c r="L4" i="6"/>
  <c r="D128" i="11"/>
  <c r="K121" i="16"/>
  <c r="L121" i="16"/>
  <c r="AD72" i="5"/>
  <c r="AA72" i="5"/>
  <c r="S72" i="6" s="1"/>
  <c r="Z72" i="5"/>
  <c r="T72" i="6" s="1"/>
  <c r="E72" i="6"/>
  <c r="AE72" i="5"/>
  <c r="X72" i="6" s="1"/>
  <c r="L72" i="5"/>
  <c r="P72" i="6" s="1"/>
  <c r="R72" i="5"/>
  <c r="R72" i="6" s="1"/>
  <c r="S72" i="5"/>
  <c r="Q72" i="6" s="1"/>
  <c r="AO72" i="5"/>
  <c r="AP72" i="5" s="1"/>
  <c r="S26" i="4"/>
  <c r="Q151" i="3" s="1"/>
  <c r="AA26" i="4"/>
  <c r="S151" i="3" s="1"/>
  <c r="AE26" i="4"/>
  <c r="X151" i="3" s="1"/>
  <c r="E151" i="3"/>
  <c r="L26" i="4"/>
  <c r="P151" i="3" s="1"/>
  <c r="AD26" i="4"/>
  <c r="W151" i="3" s="1"/>
  <c r="Z26" i="4"/>
  <c r="T151" i="3" s="1"/>
  <c r="R26" i="4"/>
  <c r="R151" i="3" s="1"/>
  <c r="D99" i="9"/>
  <c r="D92" i="10"/>
  <c r="D176" i="12"/>
  <c r="L153" i="3"/>
  <c r="O178" i="4"/>
  <c r="I15" i="3"/>
  <c r="J148" i="16"/>
  <c r="D151" i="11"/>
  <c r="B288" i="10"/>
  <c r="B288" i="11"/>
  <c r="B288" i="8"/>
  <c r="B288" i="9"/>
  <c r="B288" i="12"/>
  <c r="D77" i="9"/>
  <c r="J74" i="16"/>
  <c r="J162" i="16"/>
  <c r="F159" i="6"/>
  <c r="D31" i="9"/>
  <c r="L151" i="5"/>
  <c r="P151" i="6" s="1"/>
  <c r="Z151" i="5"/>
  <c r="T151" i="6" s="1"/>
  <c r="E151" i="6"/>
  <c r="AD151" i="5"/>
  <c r="R151" i="5"/>
  <c r="R151" i="6" s="1"/>
  <c r="AO151" i="5"/>
  <c r="AP151" i="5" s="1"/>
  <c r="AE151" i="5"/>
  <c r="X151" i="6" s="1"/>
  <c r="S151" i="5"/>
  <c r="Q151" i="6" s="1"/>
  <c r="AA151" i="5"/>
  <c r="S151" i="6" s="1"/>
  <c r="G121" i="3"/>
  <c r="V194" i="4"/>
  <c r="U121" i="3" s="1"/>
  <c r="G80" i="3"/>
  <c r="V128" i="4"/>
  <c r="U80" i="3" s="1"/>
  <c r="C75" i="1"/>
  <c r="D28" i="11"/>
  <c r="AA41" i="4"/>
  <c r="S48" i="3" s="1"/>
  <c r="Z41" i="4"/>
  <c r="T48" i="3" s="1"/>
  <c r="S41" i="4"/>
  <c r="Q48" i="3" s="1"/>
  <c r="AD41" i="4"/>
  <c r="W48" i="3" s="1"/>
  <c r="E48" i="3"/>
  <c r="R41" i="4"/>
  <c r="R48" i="3" s="1"/>
  <c r="AE41" i="4"/>
  <c r="X48" i="3" s="1"/>
  <c r="L41" i="4"/>
  <c r="P48" i="3" s="1"/>
  <c r="I176" i="16"/>
  <c r="D220" i="11"/>
  <c r="D51" i="12"/>
  <c r="G107" i="6"/>
  <c r="O3" i="5"/>
  <c r="I3" i="6"/>
  <c r="D102" i="8"/>
  <c r="V204" i="4"/>
  <c r="U150" i="3" s="1"/>
  <c r="G150" i="3"/>
  <c r="G84" i="6"/>
  <c r="F72" i="3"/>
  <c r="H181" i="3"/>
  <c r="F10" i="3"/>
  <c r="O129" i="4"/>
  <c r="I72" i="3"/>
  <c r="F62" i="3"/>
  <c r="L166" i="6"/>
  <c r="D225" i="12"/>
  <c r="F86" i="6"/>
  <c r="AE199" i="5"/>
  <c r="X199" i="6" s="1"/>
  <c r="E199" i="6"/>
  <c r="S199" i="5"/>
  <c r="Q199" i="6" s="1"/>
  <c r="AO199" i="5"/>
  <c r="AP199" i="5" s="1"/>
  <c r="AD199" i="5"/>
  <c r="Z199" i="5"/>
  <c r="T199" i="6" s="1"/>
  <c r="AA199" i="5"/>
  <c r="S199" i="6" s="1"/>
  <c r="R199" i="5"/>
  <c r="R199" i="6" s="1"/>
  <c r="L199" i="5"/>
  <c r="P199" i="6" s="1"/>
  <c r="Q199" i="5"/>
  <c r="D255" i="11"/>
  <c r="L29" i="6"/>
  <c r="L195" i="3"/>
  <c r="L96" i="6"/>
  <c r="H201" i="3"/>
  <c r="AE161" i="5"/>
  <c r="X161" i="6" s="1"/>
  <c r="Z161" i="5"/>
  <c r="T161" i="6" s="1"/>
  <c r="AD161" i="5"/>
  <c r="S161" i="5"/>
  <c r="Q161" i="6" s="1"/>
  <c r="E161" i="6"/>
  <c r="AO161" i="5"/>
  <c r="AP161" i="5" s="1"/>
  <c r="L161" i="5"/>
  <c r="P161" i="6" s="1"/>
  <c r="R161" i="5"/>
  <c r="R161" i="6" s="1"/>
  <c r="AA161" i="5"/>
  <c r="S161" i="6" s="1"/>
  <c r="K141" i="16"/>
  <c r="L141" i="16"/>
  <c r="Z115" i="4"/>
  <c r="T137" i="3" s="1"/>
  <c r="AD115" i="4"/>
  <c r="W137" i="3" s="1"/>
  <c r="AE115" i="4"/>
  <c r="X137" i="3" s="1"/>
  <c r="E137" i="3"/>
  <c r="R115" i="4"/>
  <c r="R137" i="3" s="1"/>
  <c r="AA115" i="4"/>
  <c r="S137" i="3" s="1"/>
  <c r="L115" i="4"/>
  <c r="P137" i="3" s="1"/>
  <c r="S115" i="4"/>
  <c r="Q137" i="3" s="1"/>
  <c r="F123" i="6"/>
  <c r="L132" i="3"/>
  <c r="AA139" i="4"/>
  <c r="S103" i="3" s="1"/>
  <c r="L139" i="4"/>
  <c r="P103" i="3" s="1"/>
  <c r="AD139" i="4"/>
  <c r="W103" i="3" s="1"/>
  <c r="AE139" i="4"/>
  <c r="X103" i="3" s="1"/>
  <c r="E103" i="3"/>
  <c r="R139" i="4"/>
  <c r="R103" i="3" s="1"/>
  <c r="Z139" i="4"/>
  <c r="T103" i="3" s="1"/>
  <c r="S139" i="4"/>
  <c r="Q103" i="3" s="1"/>
  <c r="L58" i="5"/>
  <c r="P58" i="6" s="1"/>
  <c r="Z58" i="5"/>
  <c r="T58" i="6" s="1"/>
  <c r="AD58" i="5"/>
  <c r="AO58" i="5"/>
  <c r="AP58" i="5" s="1"/>
  <c r="AE58" i="5"/>
  <c r="X58" i="6" s="1"/>
  <c r="E58" i="6"/>
  <c r="AA58" i="5"/>
  <c r="S58" i="6" s="1"/>
  <c r="S58" i="5"/>
  <c r="Q58" i="6" s="1"/>
  <c r="R58" i="5"/>
  <c r="R58" i="6" s="1"/>
  <c r="Q58" i="5"/>
  <c r="AO8" i="5"/>
  <c r="AP8" i="5" s="1"/>
  <c r="AA8" i="5"/>
  <c r="S8" i="6" s="1"/>
  <c r="L8" i="5"/>
  <c r="P8" i="6" s="1"/>
  <c r="Z8" i="5"/>
  <c r="T8" i="6" s="1"/>
  <c r="AE8" i="5"/>
  <c r="X8" i="6" s="1"/>
  <c r="E8" i="6"/>
  <c r="R8" i="5"/>
  <c r="R8" i="6" s="1"/>
  <c r="S8" i="5"/>
  <c r="Q8" i="6" s="1"/>
  <c r="AD8" i="5"/>
  <c r="G147" i="6"/>
  <c r="D54" i="12"/>
  <c r="V64" i="5"/>
  <c r="U64" i="6" s="1"/>
  <c r="H64" i="6"/>
  <c r="D221" i="12"/>
  <c r="D8" i="9"/>
  <c r="D295" i="11"/>
  <c r="L56" i="6"/>
  <c r="D174" i="8"/>
  <c r="O134" i="5"/>
  <c r="I134" i="6"/>
  <c r="L59" i="3"/>
  <c r="D248" i="12"/>
  <c r="L100" i="3"/>
  <c r="L157" i="6"/>
  <c r="D52" i="8"/>
  <c r="C34" i="1"/>
  <c r="D236" i="11"/>
  <c r="G89" i="6"/>
  <c r="G129" i="6"/>
  <c r="D299" i="12"/>
  <c r="F97" i="6"/>
  <c r="D78" i="10"/>
  <c r="D195" i="10"/>
  <c r="L118" i="6"/>
  <c r="H122" i="3"/>
  <c r="F145" i="6"/>
  <c r="C161" i="1"/>
  <c r="D126" i="8"/>
  <c r="D199" i="11"/>
  <c r="L156" i="6"/>
  <c r="F188" i="6"/>
  <c r="L63" i="6"/>
  <c r="G164" i="6"/>
  <c r="L13" i="6"/>
  <c r="D58" i="9"/>
  <c r="I78" i="3"/>
  <c r="O160" i="4"/>
  <c r="V189" i="4"/>
  <c r="U52" i="3" s="1"/>
  <c r="G52" i="3"/>
  <c r="F97" i="3"/>
  <c r="D75" i="11"/>
  <c r="E98" i="6"/>
  <c r="AE98" i="5"/>
  <c r="X98" i="6" s="1"/>
  <c r="L98" i="5"/>
  <c r="P98" i="6" s="1"/>
  <c r="S98" i="5"/>
  <c r="Q98" i="6" s="1"/>
  <c r="AO98" i="5"/>
  <c r="AP98" i="5" s="1"/>
  <c r="R98" i="5"/>
  <c r="R98" i="6" s="1"/>
  <c r="AA98" i="5"/>
  <c r="S98" i="6" s="1"/>
  <c r="AD98" i="5"/>
  <c r="Z98" i="5"/>
  <c r="T98" i="6" s="1"/>
  <c r="Q98" i="5"/>
  <c r="J84" i="16"/>
  <c r="D81" i="11"/>
  <c r="H24" i="6"/>
  <c r="V24" i="5"/>
  <c r="U24" i="6" s="1"/>
  <c r="D33" i="8"/>
  <c r="F7" i="3"/>
  <c r="I51" i="16"/>
  <c r="J134" i="16"/>
  <c r="D240" i="11"/>
  <c r="D143" i="12"/>
  <c r="K119" i="16"/>
  <c r="L119" i="16"/>
  <c r="J168" i="16"/>
  <c r="D77" i="11"/>
  <c r="C53" i="1"/>
  <c r="F151" i="6"/>
  <c r="B253" i="11"/>
  <c r="B253" i="12"/>
  <c r="B253" i="9"/>
  <c r="B253" i="8"/>
  <c r="B253" i="10"/>
  <c r="D172" i="9"/>
  <c r="D11" i="11"/>
  <c r="L17" i="3"/>
  <c r="C27" i="1"/>
  <c r="F196" i="3"/>
  <c r="D83" i="11"/>
  <c r="I37" i="3"/>
  <c r="O58" i="4"/>
  <c r="E6" i="3"/>
  <c r="AA32" i="4"/>
  <c r="S6" i="3" s="1"/>
  <c r="AE32" i="4"/>
  <c r="X6" i="3" s="1"/>
  <c r="L32" i="4"/>
  <c r="P6" i="3" s="1"/>
  <c r="Z32" i="4"/>
  <c r="T6" i="3" s="1"/>
  <c r="AD32" i="4"/>
  <c r="W6" i="3" s="1"/>
  <c r="R32" i="4"/>
  <c r="R6" i="3" s="1"/>
  <c r="S32" i="4"/>
  <c r="Q6" i="3" s="1"/>
  <c r="C445" i="1"/>
  <c r="C467" i="1"/>
  <c r="C140" i="1"/>
  <c r="AA127" i="4"/>
  <c r="S127" i="3" s="1"/>
  <c r="AD127" i="4"/>
  <c r="W127" i="3" s="1"/>
  <c r="Z127" i="4"/>
  <c r="T127" i="3" s="1"/>
  <c r="AE127" i="4"/>
  <c r="X127" i="3" s="1"/>
  <c r="E127" i="3"/>
  <c r="R127" i="4"/>
  <c r="R127" i="3" s="1"/>
  <c r="S127" i="4"/>
  <c r="Q127" i="3" s="1"/>
  <c r="L127" i="4"/>
  <c r="P127" i="3" s="1"/>
  <c r="D143" i="8"/>
  <c r="L78" i="6"/>
  <c r="D223" i="11"/>
  <c r="D195" i="12"/>
  <c r="O60" i="5"/>
  <c r="I60" i="6"/>
  <c r="C341" i="1"/>
  <c r="D241" i="11"/>
  <c r="D53" i="11"/>
  <c r="C503" i="1"/>
  <c r="D13" i="8"/>
  <c r="I184" i="16"/>
  <c r="S170" i="4"/>
  <c r="Q30" i="3" s="1"/>
  <c r="R170" i="4"/>
  <c r="R30" i="3" s="1"/>
  <c r="Q170" i="4"/>
  <c r="AD170" i="4"/>
  <c r="W30" i="3" s="1"/>
  <c r="L170" i="4"/>
  <c r="P30" i="3" s="1"/>
  <c r="E30" i="3"/>
  <c r="Z170" i="4"/>
  <c r="T30" i="3" s="1"/>
  <c r="AE170" i="4"/>
  <c r="X30" i="3" s="1"/>
  <c r="AA170" i="4"/>
  <c r="S30" i="3" s="1"/>
  <c r="F163" i="6"/>
  <c r="L192" i="3"/>
  <c r="B254" i="11"/>
  <c r="B254" i="12"/>
  <c r="B254" i="8"/>
  <c r="B254" i="10"/>
  <c r="B254" i="9"/>
  <c r="L64" i="6"/>
  <c r="C107" i="1"/>
  <c r="V201" i="4"/>
  <c r="U147" i="3" s="1"/>
  <c r="G147" i="3"/>
  <c r="F136" i="6"/>
  <c r="J93" i="16"/>
  <c r="F47" i="6"/>
  <c r="Z113" i="5"/>
  <c r="T113" i="6" s="1"/>
  <c r="AA113" i="5"/>
  <c r="S113" i="6" s="1"/>
  <c r="AE113" i="5"/>
  <c r="X113" i="6" s="1"/>
  <c r="R113" i="5"/>
  <c r="R113" i="6" s="1"/>
  <c r="AD113" i="5"/>
  <c r="L113" i="5"/>
  <c r="P113" i="6" s="1"/>
  <c r="E113" i="6"/>
  <c r="S113" i="5"/>
  <c r="Q113" i="6" s="1"/>
  <c r="AO113" i="5"/>
  <c r="AP113" i="5" s="1"/>
  <c r="Q113" i="5"/>
  <c r="D254" i="11"/>
  <c r="G195" i="6"/>
  <c r="D176" i="8"/>
  <c r="G12" i="6"/>
  <c r="H144" i="3"/>
  <c r="L199" i="6"/>
  <c r="D284" i="11"/>
  <c r="L109" i="3"/>
  <c r="D49" i="8"/>
  <c r="D166" i="8"/>
  <c r="L170" i="16"/>
  <c r="K170" i="16"/>
  <c r="F161" i="3"/>
  <c r="H65" i="3"/>
  <c r="D59" i="9"/>
  <c r="I16" i="6"/>
  <c r="O16" i="5"/>
  <c r="L138" i="5"/>
  <c r="P138" i="6" s="1"/>
  <c r="AD138" i="5"/>
  <c r="E138" i="6"/>
  <c r="S138" i="5"/>
  <c r="Q138" i="6" s="1"/>
  <c r="Z138" i="5"/>
  <c r="T138" i="6" s="1"/>
  <c r="Q138" i="5"/>
  <c r="AO138" i="5"/>
  <c r="AP138" i="5" s="1"/>
  <c r="AA138" i="5"/>
  <c r="S138" i="6" s="1"/>
  <c r="AE138" i="5"/>
  <c r="X138" i="6" s="1"/>
  <c r="R138" i="5"/>
  <c r="R138" i="6" s="1"/>
  <c r="L9" i="6"/>
  <c r="O136" i="5"/>
  <c r="I136" i="6"/>
  <c r="C54" i="1"/>
  <c r="Z48" i="5"/>
  <c r="T48" i="6" s="1"/>
  <c r="L48" i="5"/>
  <c r="P48" i="6" s="1"/>
  <c r="AO48" i="5"/>
  <c r="AP48" i="5" s="1"/>
  <c r="S48" i="5"/>
  <c r="Q48" i="6" s="1"/>
  <c r="AE48" i="5"/>
  <c r="X48" i="6" s="1"/>
  <c r="E48" i="6"/>
  <c r="R48" i="5"/>
  <c r="R48" i="6" s="1"/>
  <c r="AA48" i="5"/>
  <c r="S48" i="6" s="1"/>
  <c r="AD48" i="5"/>
  <c r="D199" i="8"/>
  <c r="D130" i="11"/>
  <c r="C502" i="1"/>
  <c r="O151" i="5"/>
  <c r="I151" i="6"/>
  <c r="L115" i="6"/>
  <c r="G64" i="3"/>
  <c r="V137" i="4"/>
  <c r="U64" i="3" s="1"/>
  <c r="L126" i="3"/>
  <c r="V177" i="4"/>
  <c r="U91" i="3" s="1"/>
  <c r="G91" i="3"/>
  <c r="D45" i="10"/>
  <c r="D117" i="11"/>
  <c r="I61" i="3"/>
  <c r="O197" i="4"/>
  <c r="B272" i="9"/>
  <c r="B272" i="10"/>
  <c r="B272" i="12"/>
  <c r="B272" i="11"/>
  <c r="B272" i="8"/>
  <c r="K83" i="16"/>
  <c r="L83" i="16"/>
  <c r="D87" i="11"/>
  <c r="G109" i="3"/>
  <c r="V38" i="4"/>
  <c r="U109" i="3" s="1"/>
  <c r="V188" i="4"/>
  <c r="U21" i="3" s="1"/>
  <c r="G21" i="3"/>
  <c r="D196" i="11"/>
  <c r="D206" i="9"/>
  <c r="D181" i="8"/>
  <c r="L80" i="6"/>
  <c r="O202" i="4"/>
  <c r="I186" i="3"/>
  <c r="C23" i="1"/>
  <c r="F65" i="6"/>
  <c r="D90" i="8"/>
  <c r="C316" i="1"/>
  <c r="L44" i="3"/>
  <c r="G106" i="6"/>
  <c r="E28" i="3"/>
  <c r="AA34" i="4"/>
  <c r="S28" i="3" s="1"/>
  <c r="AE34" i="4"/>
  <c r="X28" i="3" s="1"/>
  <c r="L34" i="4"/>
  <c r="P28" i="3" s="1"/>
  <c r="Z34" i="4"/>
  <c r="T28" i="3" s="1"/>
  <c r="AD34" i="4"/>
  <c r="W28" i="3" s="1"/>
  <c r="S34" i="4"/>
  <c r="Q28" i="3" s="1"/>
  <c r="R34" i="4"/>
  <c r="R28" i="3" s="1"/>
  <c r="Q34" i="4"/>
  <c r="G148" i="3"/>
  <c r="V68" i="4"/>
  <c r="U148" i="3" s="1"/>
  <c r="I194" i="3"/>
  <c r="O67" i="4"/>
  <c r="F9" i="6"/>
  <c r="J61" i="16"/>
  <c r="C358" i="1"/>
  <c r="D129" i="12"/>
  <c r="C69" i="1"/>
  <c r="B236" i="10"/>
  <c r="B236" i="11"/>
  <c r="B236" i="8"/>
  <c r="B236" i="9"/>
  <c r="B236" i="12"/>
  <c r="D203" i="9"/>
  <c r="D155" i="12"/>
  <c r="L94" i="6"/>
  <c r="L200" i="3"/>
  <c r="D7" i="11"/>
  <c r="L133" i="3"/>
  <c r="I84" i="3"/>
  <c r="O83" i="4"/>
  <c r="D211" i="12"/>
  <c r="V135" i="4"/>
  <c r="U155" i="3" s="1"/>
  <c r="G155" i="3"/>
  <c r="I79" i="6"/>
  <c r="O79" i="5"/>
  <c r="D69" i="8"/>
  <c r="L83" i="6"/>
  <c r="H50" i="3"/>
  <c r="D175" i="12"/>
  <c r="B239" i="12"/>
  <c r="B239" i="11"/>
  <c r="B239" i="8"/>
  <c r="B239" i="10"/>
  <c r="B239" i="9"/>
  <c r="D100" i="12"/>
  <c r="D122" i="9"/>
  <c r="S149" i="4"/>
  <c r="Q73" i="3" s="1"/>
  <c r="AA149" i="4"/>
  <c r="S73" i="3" s="1"/>
  <c r="L149" i="4"/>
  <c r="P73" i="3" s="1"/>
  <c r="E73" i="3"/>
  <c r="R149" i="4"/>
  <c r="R73" i="3" s="1"/>
  <c r="AE149" i="4"/>
  <c r="X73" i="3" s="1"/>
  <c r="Z149" i="4"/>
  <c r="T73" i="3" s="1"/>
  <c r="AD149" i="4"/>
  <c r="W73" i="3" s="1"/>
  <c r="D260" i="12"/>
  <c r="I120" i="16"/>
  <c r="AD24" i="5"/>
  <c r="AA24" i="5"/>
  <c r="S24" i="6" s="1"/>
  <c r="R24" i="5"/>
  <c r="R24" i="6" s="1"/>
  <c r="S24" i="5"/>
  <c r="Q24" i="6" s="1"/>
  <c r="L24" i="5"/>
  <c r="P24" i="6" s="1"/>
  <c r="AO24" i="5"/>
  <c r="AP24" i="5" s="1"/>
  <c r="AE24" i="5"/>
  <c r="X24" i="6" s="1"/>
  <c r="E24" i="6"/>
  <c r="Z24" i="5"/>
  <c r="T24" i="6" s="1"/>
  <c r="G60" i="6"/>
  <c r="I33" i="3"/>
  <c r="O118" i="4"/>
  <c r="D9" i="12"/>
  <c r="C308" i="1"/>
  <c r="D218" i="9"/>
  <c r="D19" i="8"/>
  <c r="H34" i="3"/>
  <c r="G83" i="6"/>
  <c r="I118" i="3"/>
  <c r="O79" i="4"/>
  <c r="D206" i="8"/>
  <c r="D124" i="9"/>
  <c r="C103" i="1"/>
  <c r="D193" i="11"/>
  <c r="D288" i="12"/>
  <c r="G105" i="6"/>
  <c r="E5" i="3"/>
  <c r="R181" i="4"/>
  <c r="R5" i="3" s="1"/>
  <c r="S181" i="4"/>
  <c r="Q5" i="3" s="1"/>
  <c r="AE181" i="4"/>
  <c r="X5" i="3" s="1"/>
  <c r="AA181" i="4"/>
  <c r="S5" i="3" s="1"/>
  <c r="Z181" i="4"/>
  <c r="T5" i="3" s="1"/>
  <c r="AD181" i="4"/>
  <c r="W5" i="3" s="1"/>
  <c r="L181" i="4"/>
  <c r="P5" i="3" s="1"/>
  <c r="D256" i="11"/>
  <c r="D22" i="8"/>
  <c r="C166" i="1"/>
  <c r="L163" i="6"/>
  <c r="F182" i="6"/>
  <c r="L47" i="6"/>
  <c r="D156" i="11"/>
  <c r="L136" i="6"/>
  <c r="L118" i="3"/>
  <c r="AO193" i="5"/>
  <c r="AP193" i="5" s="1"/>
  <c r="R193" i="5"/>
  <c r="R193" i="6" s="1"/>
  <c r="AD193" i="5"/>
  <c r="AA193" i="5"/>
  <c r="S193" i="6" s="1"/>
  <c r="AE193" i="5"/>
  <c r="X193" i="6" s="1"/>
  <c r="L193" i="5"/>
  <c r="P193" i="6" s="1"/>
  <c r="E193" i="6"/>
  <c r="S193" i="5"/>
  <c r="Q193" i="6" s="1"/>
  <c r="Z193" i="5"/>
  <c r="T193" i="6" s="1"/>
  <c r="L75" i="16"/>
  <c r="K75" i="16"/>
  <c r="O53" i="5"/>
  <c r="I53" i="6"/>
  <c r="K105" i="16"/>
  <c r="L105" i="16"/>
  <c r="D197" i="11"/>
  <c r="L74" i="6"/>
  <c r="D138" i="11"/>
  <c r="D236" i="12"/>
  <c r="AA183" i="4"/>
  <c r="S12" i="3" s="1"/>
  <c r="Z183" i="4"/>
  <c r="T12" i="3" s="1"/>
  <c r="E12" i="3"/>
  <c r="AE183" i="4"/>
  <c r="X12" i="3" s="1"/>
  <c r="R183" i="4"/>
  <c r="R12" i="3" s="1"/>
  <c r="AD183" i="4"/>
  <c r="W12" i="3" s="1"/>
  <c r="L183" i="4"/>
  <c r="P12" i="3" s="1"/>
  <c r="S183" i="4"/>
  <c r="Q12" i="3" s="1"/>
  <c r="V196" i="5"/>
  <c r="U196" i="6" s="1"/>
  <c r="H196" i="6"/>
  <c r="B226" i="11"/>
  <c r="B226" i="10"/>
  <c r="B226" i="8"/>
  <c r="B226" i="12"/>
  <c r="B226" i="9"/>
  <c r="D115" i="11"/>
  <c r="D47" i="9"/>
  <c r="H158" i="3"/>
  <c r="F112" i="3"/>
  <c r="I105" i="16"/>
  <c r="S202" i="5"/>
  <c r="Q202" i="6" s="1"/>
  <c r="L202" i="5"/>
  <c r="P202" i="6" s="1"/>
  <c r="E202" i="6"/>
  <c r="AE202" i="5"/>
  <c r="X202" i="6" s="1"/>
  <c r="R202" i="5"/>
  <c r="R202" i="6" s="1"/>
  <c r="Z202" i="5"/>
  <c r="T202" i="6" s="1"/>
  <c r="AA202" i="5"/>
  <c r="S202" i="6" s="1"/>
  <c r="AO202" i="5"/>
  <c r="AP202" i="5" s="1"/>
  <c r="AD202" i="5"/>
  <c r="L118" i="4"/>
  <c r="P33" i="3" s="1"/>
  <c r="R118" i="4"/>
  <c r="R33" i="3" s="1"/>
  <c r="Z118" i="4"/>
  <c r="T33" i="3" s="1"/>
  <c r="S118" i="4"/>
  <c r="Q33" i="3" s="1"/>
  <c r="AA118" i="4"/>
  <c r="S33" i="3" s="1"/>
  <c r="AD118" i="4"/>
  <c r="W33" i="3" s="1"/>
  <c r="AE118" i="4"/>
  <c r="X33" i="3" s="1"/>
  <c r="E33" i="3"/>
  <c r="AD189" i="5"/>
  <c r="L189" i="5"/>
  <c r="P189" i="6" s="1"/>
  <c r="Z189" i="5"/>
  <c r="T189" i="6" s="1"/>
  <c r="AE189" i="5"/>
  <c r="X189" i="6" s="1"/>
  <c r="AA189" i="5"/>
  <c r="S189" i="6" s="1"/>
  <c r="S189" i="5"/>
  <c r="Q189" i="6" s="1"/>
  <c r="E189" i="6"/>
  <c r="AO189" i="5"/>
  <c r="AP189" i="5" s="1"/>
  <c r="R189" i="5"/>
  <c r="R189" i="6" s="1"/>
  <c r="Q189" i="5"/>
  <c r="D79" i="11"/>
  <c r="O91" i="4"/>
  <c r="I152" i="3"/>
  <c r="F46" i="3"/>
  <c r="D227" i="11"/>
  <c r="AD146" i="4"/>
  <c r="W202" i="3" s="1"/>
  <c r="AA146" i="4"/>
  <c r="S202" i="3" s="1"/>
  <c r="E202" i="3"/>
  <c r="S146" i="4"/>
  <c r="Q202" i="3" s="1"/>
  <c r="Z146" i="4"/>
  <c r="T202" i="3" s="1"/>
  <c r="AE146" i="4"/>
  <c r="X202" i="3" s="1"/>
  <c r="R146" i="4"/>
  <c r="R202" i="3" s="1"/>
  <c r="L146" i="4"/>
  <c r="P202" i="3" s="1"/>
  <c r="D36" i="8"/>
  <c r="O95" i="5"/>
  <c r="I95" i="6"/>
  <c r="V134" i="5"/>
  <c r="U134" i="6" s="1"/>
  <c r="H134" i="6"/>
  <c r="K78" i="16"/>
  <c r="L78" i="16"/>
  <c r="O69" i="5"/>
  <c r="I69" i="6"/>
  <c r="H128" i="3"/>
  <c r="G156" i="3"/>
  <c r="V196" i="4"/>
  <c r="U156" i="3" s="1"/>
  <c r="AD87" i="4"/>
  <c r="W96" i="3" s="1"/>
  <c r="S87" i="4"/>
  <c r="Q96" i="3" s="1"/>
  <c r="Z87" i="4"/>
  <c r="T96" i="3" s="1"/>
  <c r="AE87" i="4"/>
  <c r="X96" i="3" s="1"/>
  <c r="R87" i="4"/>
  <c r="R96" i="3" s="1"/>
  <c r="L87" i="4"/>
  <c r="P96" i="3" s="1"/>
  <c r="E96" i="3"/>
  <c r="AA87" i="4"/>
  <c r="S96" i="3" s="1"/>
  <c r="L83" i="3"/>
  <c r="D135" i="9"/>
  <c r="D179" i="9"/>
  <c r="I159" i="16"/>
  <c r="D188" i="8"/>
  <c r="D37" i="10"/>
  <c r="D134" i="11"/>
  <c r="D86" i="12"/>
  <c r="D208" i="8"/>
  <c r="L76" i="6"/>
  <c r="AE76" i="4"/>
  <c r="X62" i="3" s="1"/>
  <c r="Z76" i="4"/>
  <c r="T62" i="3" s="1"/>
  <c r="L76" i="4"/>
  <c r="P62" i="3" s="1"/>
  <c r="AA76" i="4"/>
  <c r="S62" i="3" s="1"/>
  <c r="R76" i="4"/>
  <c r="R62" i="3" s="1"/>
  <c r="E62" i="3"/>
  <c r="S76" i="4"/>
  <c r="Q62" i="3" s="1"/>
  <c r="AD76" i="4"/>
  <c r="W62" i="3" s="1"/>
  <c r="F183" i="3"/>
  <c r="K158" i="16"/>
  <c r="L158" i="16"/>
  <c r="I175" i="3"/>
  <c r="O24" i="4"/>
  <c r="F63" i="3"/>
  <c r="D260" i="11"/>
  <c r="G160" i="6"/>
  <c r="C470" i="1"/>
  <c r="V125" i="4"/>
  <c r="U136" i="3" s="1"/>
  <c r="G136" i="3"/>
  <c r="D149" i="10"/>
  <c r="B294" i="9"/>
  <c r="B294" i="12"/>
  <c r="B294" i="11"/>
  <c r="B294" i="10"/>
  <c r="B294" i="8"/>
  <c r="R31" i="4"/>
  <c r="R182" i="3" s="1"/>
  <c r="S31" i="4"/>
  <c r="Q182" i="3" s="1"/>
  <c r="AA31" i="4"/>
  <c r="S182" i="3" s="1"/>
  <c r="Q31" i="4"/>
  <c r="E182" i="3"/>
  <c r="AE31" i="4"/>
  <c r="X182" i="3" s="1"/>
  <c r="AD31" i="4"/>
  <c r="W182" i="3" s="1"/>
  <c r="L31" i="4"/>
  <c r="P182" i="3" s="1"/>
  <c r="Z31" i="4"/>
  <c r="T182" i="3" s="1"/>
  <c r="F168" i="6"/>
  <c r="D270" i="12"/>
  <c r="F43" i="3"/>
  <c r="V199" i="5"/>
  <c r="U199" i="6" s="1"/>
  <c r="H199" i="6"/>
  <c r="D28" i="8"/>
  <c r="AD28" i="4"/>
  <c r="W46" i="3" s="1"/>
  <c r="AA28" i="4"/>
  <c r="S46" i="3" s="1"/>
  <c r="S28" i="4"/>
  <c r="Q46" i="3" s="1"/>
  <c r="AE28" i="4"/>
  <c r="X46" i="3" s="1"/>
  <c r="Z28" i="4"/>
  <c r="T46" i="3" s="1"/>
  <c r="L28" i="4"/>
  <c r="P46" i="3" s="1"/>
  <c r="R28" i="4"/>
  <c r="R46" i="3" s="1"/>
  <c r="E46" i="3"/>
  <c r="H194" i="3"/>
  <c r="B276" i="11"/>
  <c r="B276" i="10"/>
  <c r="B276" i="9"/>
  <c r="B276" i="12"/>
  <c r="B276" i="8"/>
  <c r="I45" i="6"/>
  <c r="O45" i="5"/>
  <c r="L61" i="5"/>
  <c r="P61" i="6" s="1"/>
  <c r="R61" i="5"/>
  <c r="R61" i="6" s="1"/>
  <c r="AE61" i="5"/>
  <c r="X61" i="6" s="1"/>
  <c r="AO61" i="5"/>
  <c r="AP61" i="5" s="1"/>
  <c r="AD61" i="5"/>
  <c r="E61" i="6"/>
  <c r="AA61" i="5"/>
  <c r="S61" i="6" s="1"/>
  <c r="Z61" i="5"/>
  <c r="T61" i="6" s="1"/>
  <c r="S61" i="5"/>
  <c r="Q61" i="6" s="1"/>
  <c r="L150" i="16"/>
  <c r="K150" i="16"/>
  <c r="S14" i="4"/>
  <c r="Q160" i="3" s="1"/>
  <c r="L14" i="4"/>
  <c r="P160" i="3" s="1"/>
  <c r="AA14" i="4"/>
  <c r="S160" i="3" s="1"/>
  <c r="Z14" i="4"/>
  <c r="T160" i="3" s="1"/>
  <c r="AE14" i="4"/>
  <c r="X160" i="3" s="1"/>
  <c r="E160" i="3"/>
  <c r="AD14" i="4"/>
  <c r="W160" i="3" s="1"/>
  <c r="R14" i="4"/>
  <c r="R160" i="3" s="1"/>
  <c r="Q14" i="4"/>
  <c r="D43" i="9"/>
  <c r="D217" i="9"/>
  <c r="L169" i="3"/>
  <c r="D117" i="12"/>
  <c r="O180" i="4"/>
  <c r="I4" i="3"/>
  <c r="V43" i="4"/>
  <c r="U126" i="3" s="1"/>
  <c r="G126" i="3"/>
  <c r="F154" i="3"/>
  <c r="C385" i="1"/>
  <c r="L77" i="6"/>
  <c r="I58" i="3"/>
  <c r="O33" i="4"/>
  <c r="C133" i="1"/>
  <c r="H142" i="3"/>
  <c r="D53" i="10"/>
  <c r="D157" i="9"/>
  <c r="D88" i="12"/>
  <c r="C207" i="1"/>
  <c r="I130" i="6"/>
  <c r="O130" i="5"/>
  <c r="D97" i="9"/>
  <c r="L197" i="4"/>
  <c r="P61" i="3" s="1"/>
  <c r="AD197" i="4"/>
  <c r="W61" i="3" s="1"/>
  <c r="E61" i="3"/>
  <c r="AA197" i="4"/>
  <c r="S61" i="3" s="1"/>
  <c r="R197" i="4"/>
  <c r="R61" i="3" s="1"/>
  <c r="Z197" i="4"/>
  <c r="T61" i="3" s="1"/>
  <c r="AE197" i="4"/>
  <c r="X61" i="3" s="1"/>
  <c r="Q197" i="4"/>
  <c r="S197" i="4"/>
  <c r="Q61" i="3" s="1"/>
  <c r="D185" i="11"/>
  <c r="B189" i="9"/>
  <c r="B189" i="8"/>
  <c r="B189" i="11"/>
  <c r="D4" i="4"/>
  <c r="D13" i="3" s="1"/>
  <c r="D163" i="5"/>
  <c r="D163" i="6" s="1"/>
  <c r="B189" i="12"/>
  <c r="B189" i="10"/>
  <c r="AA38" i="4"/>
  <c r="S109" i="3" s="1"/>
  <c r="S38" i="4"/>
  <c r="Q109" i="3" s="1"/>
  <c r="AD38" i="4"/>
  <c r="W109" i="3" s="1"/>
  <c r="R38" i="4"/>
  <c r="R109" i="3" s="1"/>
  <c r="AE38" i="4"/>
  <c r="X109" i="3" s="1"/>
  <c r="E109" i="3"/>
  <c r="L38" i="4"/>
  <c r="P109" i="3" s="1"/>
  <c r="Z38" i="4"/>
  <c r="T109" i="3" s="1"/>
  <c r="AO194" i="5"/>
  <c r="AP194" i="5" s="1"/>
  <c r="AD194" i="5"/>
  <c r="E194" i="6"/>
  <c r="R194" i="5"/>
  <c r="R194" i="6" s="1"/>
  <c r="AE194" i="5"/>
  <c r="X194" i="6" s="1"/>
  <c r="Z194" i="5"/>
  <c r="T194" i="6" s="1"/>
  <c r="AA194" i="5"/>
  <c r="S194" i="6" s="1"/>
  <c r="L194" i="5"/>
  <c r="P194" i="6" s="1"/>
  <c r="S194" i="5"/>
  <c r="Q194" i="6" s="1"/>
  <c r="D70" i="10"/>
  <c r="L79" i="6"/>
  <c r="D21" i="11"/>
  <c r="O8" i="4"/>
  <c r="I124" i="3"/>
  <c r="D192" i="9"/>
  <c r="D217" i="11"/>
  <c r="F157" i="3"/>
  <c r="J100" i="16"/>
  <c r="O44" i="4"/>
  <c r="I205" i="3"/>
  <c r="R103" i="4"/>
  <c r="R24" i="3" s="1"/>
  <c r="AE103" i="4"/>
  <c r="X24" i="3" s="1"/>
  <c r="AA103" i="4"/>
  <c r="S24" i="3" s="1"/>
  <c r="E24" i="3"/>
  <c r="S103" i="4"/>
  <c r="Q24" i="3" s="1"/>
  <c r="Z103" i="4"/>
  <c r="T24" i="3" s="1"/>
  <c r="L103" i="4"/>
  <c r="P24" i="3" s="1"/>
  <c r="AD103" i="4"/>
  <c r="W24" i="3" s="1"/>
  <c r="L179" i="6"/>
  <c r="G7" i="6"/>
  <c r="O131" i="4"/>
  <c r="I27" i="3"/>
  <c r="I49" i="3"/>
  <c r="O186" i="4"/>
  <c r="H188" i="6"/>
  <c r="V188" i="5"/>
  <c r="U188" i="6" s="1"/>
  <c r="L65" i="3"/>
  <c r="C188" i="1"/>
  <c r="H191" i="3"/>
  <c r="D117" i="10"/>
  <c r="H74" i="6"/>
  <c r="V74" i="5"/>
  <c r="U74" i="6" s="1"/>
  <c r="R114" i="4"/>
  <c r="R111" i="3" s="1"/>
  <c r="Z114" i="4"/>
  <c r="T111" i="3" s="1"/>
  <c r="L114" i="4"/>
  <c r="P111" i="3" s="1"/>
  <c r="AA114" i="4"/>
  <c r="S111" i="3" s="1"/>
  <c r="AD114" i="4"/>
  <c r="W111" i="3" s="1"/>
  <c r="E111" i="3"/>
  <c r="AE114" i="4"/>
  <c r="X111" i="3" s="1"/>
  <c r="S114" i="4"/>
  <c r="Q111" i="3" s="1"/>
  <c r="F186" i="6"/>
  <c r="H91" i="6"/>
  <c r="V91" i="5"/>
  <c r="U91" i="6" s="1"/>
  <c r="E38" i="6"/>
  <c r="Z38" i="5"/>
  <c r="T38" i="6" s="1"/>
  <c r="S38" i="5"/>
  <c r="Q38" i="6" s="1"/>
  <c r="AE38" i="5"/>
  <c r="X38" i="6" s="1"/>
  <c r="AO38" i="5"/>
  <c r="AP38" i="5" s="1"/>
  <c r="R38" i="5"/>
  <c r="R38" i="6" s="1"/>
  <c r="AA38" i="5"/>
  <c r="S38" i="6" s="1"/>
  <c r="L38" i="5"/>
  <c r="P38" i="6" s="1"/>
  <c r="AD38" i="5"/>
  <c r="F205" i="6"/>
  <c r="V109" i="5"/>
  <c r="U109" i="6" s="1"/>
  <c r="H109" i="6"/>
  <c r="H178" i="6"/>
  <c r="V178" i="5"/>
  <c r="U178" i="6" s="1"/>
  <c r="K184" i="16"/>
  <c r="L184" i="16"/>
  <c r="D42" i="12"/>
  <c r="E191" i="3"/>
  <c r="AE179" i="4"/>
  <c r="X191" i="3" s="1"/>
  <c r="S179" i="4"/>
  <c r="Q191" i="3" s="1"/>
  <c r="R179" i="4"/>
  <c r="R191" i="3" s="1"/>
  <c r="AA179" i="4"/>
  <c r="S191" i="3" s="1"/>
  <c r="L179" i="4"/>
  <c r="P191" i="3" s="1"/>
  <c r="AD179" i="4"/>
  <c r="W191" i="3" s="1"/>
  <c r="Z179" i="4"/>
  <c r="T191" i="3" s="1"/>
  <c r="D40" i="12"/>
  <c r="H113" i="3"/>
  <c r="O118" i="5"/>
  <c r="I118" i="6"/>
  <c r="S25" i="4"/>
  <c r="Q43" i="3" s="1"/>
  <c r="Z25" i="4"/>
  <c r="T43" i="3" s="1"/>
  <c r="L25" i="4"/>
  <c r="P43" i="3" s="1"/>
  <c r="R25" i="4"/>
  <c r="R43" i="3" s="1"/>
  <c r="AD25" i="4"/>
  <c r="W43" i="3" s="1"/>
  <c r="AE25" i="4"/>
  <c r="X43" i="3" s="1"/>
  <c r="E43" i="3"/>
  <c r="AA25" i="4"/>
  <c r="S43" i="3" s="1"/>
  <c r="L143" i="16"/>
  <c r="K143" i="16"/>
  <c r="V147" i="5"/>
  <c r="U147" i="6" s="1"/>
  <c r="H147" i="6"/>
  <c r="I26" i="6"/>
  <c r="O26" i="5"/>
  <c r="O170" i="4"/>
  <c r="I30" i="3"/>
  <c r="C29" i="1"/>
  <c r="J156" i="16"/>
  <c r="F196" i="6"/>
  <c r="G90" i="6"/>
  <c r="C215" i="1"/>
  <c r="C106" i="1"/>
  <c r="D204" i="11"/>
  <c r="O204" i="5"/>
  <c r="I204" i="6"/>
  <c r="D55" i="11"/>
  <c r="F136" i="3"/>
  <c r="D27" i="10"/>
  <c r="D90" i="12"/>
  <c r="G38" i="6"/>
  <c r="D176" i="10"/>
  <c r="I22" i="6"/>
  <c r="O22" i="5"/>
  <c r="AE29" i="5"/>
  <c r="X29" i="6" s="1"/>
  <c r="E29" i="6"/>
  <c r="S29" i="5"/>
  <c r="Q29" i="6" s="1"/>
  <c r="L29" i="5"/>
  <c r="P29" i="6" s="1"/>
  <c r="AO29" i="5"/>
  <c r="AP29" i="5" s="1"/>
  <c r="Z29" i="5"/>
  <c r="T29" i="6" s="1"/>
  <c r="AA29" i="5"/>
  <c r="S29" i="6" s="1"/>
  <c r="R29" i="5"/>
  <c r="R29" i="6" s="1"/>
  <c r="AD29" i="5"/>
  <c r="Q29" i="5"/>
  <c r="F98" i="6"/>
  <c r="D185" i="12"/>
  <c r="D146" i="11"/>
  <c r="C310" i="1"/>
  <c r="L129" i="3"/>
  <c r="H107" i="3"/>
  <c r="I127" i="16"/>
  <c r="D207" i="11"/>
  <c r="G139" i="3"/>
  <c r="V61" i="4"/>
  <c r="U139" i="3" s="1"/>
  <c r="O72" i="4"/>
  <c r="I165" i="3"/>
  <c r="C181" i="1"/>
  <c r="D116" i="11"/>
  <c r="D10" i="12"/>
  <c r="H74" i="3"/>
  <c r="C10" i="1"/>
  <c r="H77" i="3"/>
  <c r="H143" i="3"/>
  <c r="H136" i="3"/>
  <c r="L92" i="6"/>
  <c r="D54" i="11"/>
  <c r="I111" i="16"/>
  <c r="D249" i="12"/>
  <c r="L98" i="3"/>
  <c r="C426" i="1"/>
  <c r="I10" i="6"/>
  <c r="O10" i="5"/>
  <c r="F205" i="3"/>
  <c r="L46" i="5"/>
  <c r="P46" i="6" s="1"/>
  <c r="AD46" i="5"/>
  <c r="AE46" i="5"/>
  <c r="X46" i="6" s="1"/>
  <c r="AO46" i="5"/>
  <c r="AP46" i="5" s="1"/>
  <c r="Z46" i="5"/>
  <c r="T46" i="6" s="1"/>
  <c r="S46" i="5"/>
  <c r="Q46" i="6" s="1"/>
  <c r="R46" i="5"/>
  <c r="R46" i="6" s="1"/>
  <c r="E46" i="6"/>
  <c r="AA46" i="5"/>
  <c r="S46" i="6" s="1"/>
  <c r="O198" i="4"/>
  <c r="I195" i="3"/>
  <c r="D196" i="8"/>
  <c r="V18" i="5"/>
  <c r="U18" i="6" s="1"/>
  <c r="H18" i="6"/>
  <c r="D219" i="8"/>
  <c r="G35" i="6"/>
  <c r="B289" i="11"/>
  <c r="B289" i="9"/>
  <c r="B289" i="12"/>
  <c r="B289" i="8"/>
  <c r="B289" i="10"/>
  <c r="O31" i="5"/>
  <c r="I31" i="6"/>
  <c r="D127" i="9"/>
  <c r="C186" i="1"/>
  <c r="B298" i="10"/>
  <c r="B298" i="9"/>
  <c r="B298" i="11"/>
  <c r="B298" i="12"/>
  <c r="B298" i="8"/>
  <c r="I99" i="6"/>
  <c r="O99" i="5"/>
  <c r="G90" i="3"/>
  <c r="V21" i="4"/>
  <c r="U90" i="3" s="1"/>
  <c r="H45" i="6"/>
  <c r="V45" i="5"/>
  <c r="U45" i="6" s="1"/>
  <c r="C425" i="1"/>
  <c r="B235" i="10"/>
  <c r="B235" i="9"/>
  <c r="B235" i="12"/>
  <c r="B235" i="11"/>
  <c r="B235" i="8"/>
  <c r="D87" i="8"/>
  <c r="V28" i="5"/>
  <c r="U28" i="6" s="1"/>
  <c r="H28" i="6"/>
  <c r="I108" i="3"/>
  <c r="O94" i="4"/>
  <c r="E89" i="6"/>
  <c r="AD89" i="5"/>
  <c r="S89" i="5"/>
  <c r="Q89" i="6" s="1"/>
  <c r="Z89" i="5"/>
  <c r="T89" i="6" s="1"/>
  <c r="L89" i="5"/>
  <c r="P89" i="6" s="1"/>
  <c r="AE89" i="5"/>
  <c r="X89" i="6" s="1"/>
  <c r="AA89" i="5"/>
  <c r="S89" i="6" s="1"/>
  <c r="R89" i="5"/>
  <c r="R89" i="6" s="1"/>
  <c r="AO89" i="5"/>
  <c r="AP89" i="5" s="1"/>
  <c r="V123" i="5"/>
  <c r="U123" i="6" s="1"/>
  <c r="H123" i="6"/>
  <c r="I53" i="3"/>
  <c r="O86" i="4"/>
  <c r="L99" i="3"/>
  <c r="AO5" i="5"/>
  <c r="AP5" i="5" s="1"/>
  <c r="AD5" i="5"/>
  <c r="Z5" i="5"/>
  <c r="T5" i="6" s="1"/>
  <c r="AA5" i="5"/>
  <c r="S5" i="6" s="1"/>
  <c r="S5" i="5"/>
  <c r="Q5" i="6" s="1"/>
  <c r="E5" i="6"/>
  <c r="AE5" i="5"/>
  <c r="X5" i="6" s="1"/>
  <c r="L5" i="5"/>
  <c r="P5" i="6" s="1"/>
  <c r="R5" i="5"/>
  <c r="R5" i="6" s="1"/>
  <c r="I198" i="6"/>
  <c r="O198" i="5"/>
  <c r="S175" i="5"/>
  <c r="Q175" i="6" s="1"/>
  <c r="AA175" i="5"/>
  <c r="S175" i="6" s="1"/>
  <c r="AO175" i="5"/>
  <c r="AP175" i="5" s="1"/>
  <c r="E175" i="6"/>
  <c r="L175" i="5"/>
  <c r="P175" i="6" s="1"/>
  <c r="AE175" i="5"/>
  <c r="X175" i="6" s="1"/>
  <c r="Z175" i="5"/>
  <c r="T175" i="6" s="1"/>
  <c r="AD175" i="5"/>
  <c r="R175" i="5"/>
  <c r="R175" i="6" s="1"/>
  <c r="Q175" i="5"/>
  <c r="AE169" i="4"/>
  <c r="X87" i="3" s="1"/>
  <c r="AD169" i="4"/>
  <c r="W87" i="3" s="1"/>
  <c r="E87" i="3"/>
  <c r="AA169" i="4"/>
  <c r="S87" i="3" s="1"/>
  <c r="Z169" i="4"/>
  <c r="T87" i="3" s="1"/>
  <c r="R169" i="4"/>
  <c r="R87" i="3" s="1"/>
  <c r="L169" i="4"/>
  <c r="P87" i="3" s="1"/>
  <c r="S169" i="4"/>
  <c r="Q87" i="3" s="1"/>
  <c r="L162" i="16"/>
  <c r="K162" i="16"/>
  <c r="L57" i="6"/>
  <c r="L137" i="3"/>
  <c r="D91" i="12"/>
  <c r="F67" i="6"/>
  <c r="J138" i="16"/>
  <c r="D25" i="12"/>
  <c r="D174" i="11"/>
  <c r="B285" i="12"/>
  <c r="B285" i="9"/>
  <c r="B285" i="8"/>
  <c r="B285" i="10"/>
  <c r="B285" i="11"/>
  <c r="L16" i="6"/>
  <c r="H95" i="3"/>
  <c r="S19" i="5"/>
  <c r="Q19" i="6" s="1"/>
  <c r="AE19" i="5"/>
  <c r="X19" i="6" s="1"/>
  <c r="Z19" i="5"/>
  <c r="T19" i="6" s="1"/>
  <c r="E19" i="6"/>
  <c r="AD19" i="5"/>
  <c r="L19" i="5"/>
  <c r="P19" i="6" s="1"/>
  <c r="AO19" i="5"/>
  <c r="AP19" i="5" s="1"/>
  <c r="AA19" i="5"/>
  <c r="S19" i="6" s="1"/>
  <c r="R19" i="5"/>
  <c r="R19" i="6" s="1"/>
  <c r="D119" i="10"/>
  <c r="Z205" i="4"/>
  <c r="T164" i="3" s="1"/>
  <c r="R205" i="4"/>
  <c r="R164" i="3" s="1"/>
  <c r="E164" i="3"/>
  <c r="AD205" i="4"/>
  <c r="W164" i="3" s="1"/>
  <c r="S205" i="4"/>
  <c r="Q164" i="3" s="1"/>
  <c r="AE205" i="4"/>
  <c r="X164" i="3" s="1"/>
  <c r="AA205" i="4"/>
  <c r="S164" i="3" s="1"/>
  <c r="L205" i="4"/>
  <c r="P164" i="3" s="1"/>
  <c r="D80" i="9"/>
  <c r="G59" i="6"/>
  <c r="J52" i="16"/>
  <c r="G172" i="6"/>
  <c r="S93" i="4"/>
  <c r="Q41" i="3" s="1"/>
  <c r="AA93" i="4"/>
  <c r="S41" i="3" s="1"/>
  <c r="R93" i="4"/>
  <c r="R41" i="3" s="1"/>
  <c r="Z93" i="4"/>
  <c r="T41" i="3" s="1"/>
  <c r="Q93" i="4"/>
  <c r="AE93" i="4"/>
  <c r="X41" i="3" s="1"/>
  <c r="E41" i="3"/>
  <c r="L93" i="4"/>
  <c r="P41" i="3" s="1"/>
  <c r="AD93" i="4"/>
  <c r="W41" i="3" s="1"/>
  <c r="D151" i="12"/>
  <c r="C151" i="1"/>
  <c r="D193" i="8"/>
  <c r="D102" i="10"/>
  <c r="D147" i="10"/>
  <c r="B267" i="12"/>
  <c r="B267" i="9"/>
  <c r="B267" i="10"/>
  <c r="B267" i="8"/>
  <c r="B267" i="11"/>
  <c r="C70" i="1"/>
  <c r="F120" i="6"/>
  <c r="D17" i="9"/>
  <c r="L72" i="3"/>
  <c r="B261" i="8"/>
  <c r="B261" i="12"/>
  <c r="B261" i="11"/>
  <c r="B261" i="10"/>
  <c r="B261" i="9"/>
  <c r="I197" i="6"/>
  <c r="O197" i="5"/>
  <c r="D130" i="12"/>
  <c r="Z148" i="5"/>
  <c r="T148" i="6" s="1"/>
  <c r="AD148" i="5"/>
  <c r="AA148" i="5"/>
  <c r="S148" i="6" s="1"/>
  <c r="AE148" i="5"/>
  <c r="X148" i="6" s="1"/>
  <c r="R148" i="5"/>
  <c r="R148" i="6" s="1"/>
  <c r="E148" i="6"/>
  <c r="AO148" i="5"/>
  <c r="AP148" i="5" s="1"/>
  <c r="L148" i="5"/>
  <c r="P148" i="6" s="1"/>
  <c r="S148" i="5"/>
  <c r="Q148" i="6" s="1"/>
  <c r="I140" i="3"/>
  <c r="O59" i="4"/>
  <c r="D297" i="11"/>
  <c r="H60" i="3"/>
  <c r="F18" i="3"/>
  <c r="R161" i="4"/>
  <c r="R154" i="3" s="1"/>
  <c r="AA161" i="4"/>
  <c r="S154" i="3" s="1"/>
  <c r="L161" i="4"/>
  <c r="P154" i="3" s="1"/>
  <c r="Q161" i="4"/>
  <c r="Z161" i="4"/>
  <c r="T154" i="3" s="1"/>
  <c r="AE161" i="4"/>
  <c r="X154" i="3" s="1"/>
  <c r="S161" i="4"/>
  <c r="Q154" i="3" s="1"/>
  <c r="AD161" i="4"/>
  <c r="W154" i="3" s="1"/>
  <c r="E154" i="3"/>
  <c r="E201" i="6"/>
  <c r="AE201" i="5"/>
  <c r="X201" i="6" s="1"/>
  <c r="Z201" i="5"/>
  <c r="T201" i="6" s="1"/>
  <c r="Q201" i="5"/>
  <c r="S201" i="5"/>
  <c r="Q201" i="6" s="1"/>
  <c r="R201" i="5"/>
  <c r="R201" i="6" s="1"/>
  <c r="AA201" i="5"/>
  <c r="S201" i="6" s="1"/>
  <c r="AO201" i="5"/>
  <c r="AP201" i="5" s="1"/>
  <c r="AD201" i="5"/>
  <c r="L201" i="5"/>
  <c r="P201" i="6" s="1"/>
  <c r="R178" i="4"/>
  <c r="R15" i="3" s="1"/>
  <c r="AE178" i="4"/>
  <c r="X15" i="3" s="1"/>
  <c r="S178" i="4"/>
  <c r="Q15" i="3" s="1"/>
  <c r="E15" i="3"/>
  <c r="Z178" i="4"/>
  <c r="T15" i="3" s="1"/>
  <c r="AA178" i="4"/>
  <c r="S15" i="3" s="1"/>
  <c r="AD178" i="4"/>
  <c r="W15" i="3" s="1"/>
  <c r="L178" i="4"/>
  <c r="P15" i="3" s="1"/>
  <c r="Q178" i="4"/>
  <c r="L177" i="6"/>
  <c r="L201" i="6"/>
  <c r="B270" i="9"/>
  <c r="B270" i="8"/>
  <c r="B270" i="12"/>
  <c r="B270" i="11"/>
  <c r="B270" i="10"/>
  <c r="B241" i="11"/>
  <c r="B241" i="10"/>
  <c r="B241" i="8"/>
  <c r="B241" i="9"/>
  <c r="B241" i="12"/>
  <c r="L80" i="3"/>
  <c r="F116" i="6"/>
  <c r="D84" i="8"/>
  <c r="D55" i="8"/>
  <c r="Z86" i="4"/>
  <c r="T53" i="3" s="1"/>
  <c r="AD86" i="4"/>
  <c r="W53" i="3" s="1"/>
  <c r="E53" i="3"/>
  <c r="R86" i="4"/>
  <c r="R53" i="3" s="1"/>
  <c r="AA86" i="4"/>
  <c r="S53" i="3" s="1"/>
  <c r="S86" i="4"/>
  <c r="Q53" i="3" s="1"/>
  <c r="L86" i="4"/>
  <c r="P53" i="3" s="1"/>
  <c r="AE86" i="4"/>
  <c r="X53" i="3" s="1"/>
  <c r="Q86" i="4"/>
  <c r="L176" i="5"/>
  <c r="P176" i="6" s="1"/>
  <c r="R176" i="5"/>
  <c r="R176" i="6" s="1"/>
  <c r="E176" i="6"/>
  <c r="S176" i="5"/>
  <c r="Q176" i="6" s="1"/>
  <c r="AA176" i="5"/>
  <c r="S176" i="6" s="1"/>
  <c r="AE176" i="5"/>
  <c r="X176" i="6" s="1"/>
  <c r="AO176" i="5"/>
  <c r="AP176" i="5" s="1"/>
  <c r="AD176" i="5"/>
  <c r="Z176" i="5"/>
  <c r="T176" i="6" s="1"/>
  <c r="Q176" i="5"/>
  <c r="L206" i="3"/>
  <c r="L55" i="3"/>
  <c r="L24" i="3"/>
  <c r="C312" i="1"/>
  <c r="V89" i="5"/>
  <c r="U89" i="6" s="1"/>
  <c r="H89" i="6"/>
  <c r="I79" i="16"/>
  <c r="J102" i="16"/>
  <c r="G45" i="6"/>
  <c r="B209" i="8"/>
  <c r="B209" i="12"/>
  <c r="B209" i="10"/>
  <c r="B209" i="9"/>
  <c r="B209" i="11"/>
  <c r="C416" i="1"/>
  <c r="H104" i="3"/>
  <c r="H40" i="3"/>
  <c r="E75" i="6"/>
  <c r="R75" i="5"/>
  <c r="R75" i="6" s="1"/>
  <c r="AD75" i="5"/>
  <c r="Q75" i="5"/>
  <c r="AE75" i="5"/>
  <c r="X75" i="6" s="1"/>
  <c r="L75" i="5"/>
  <c r="P75" i="6" s="1"/>
  <c r="AO75" i="5"/>
  <c r="AP75" i="5" s="1"/>
  <c r="AA75" i="5"/>
  <c r="S75" i="6" s="1"/>
  <c r="S75" i="5"/>
  <c r="Q75" i="6" s="1"/>
  <c r="Z75" i="5"/>
  <c r="T75" i="6" s="1"/>
  <c r="H62" i="6"/>
  <c r="V62" i="5"/>
  <c r="U62" i="6" s="1"/>
  <c r="E101" i="6"/>
  <c r="AE101" i="5"/>
  <c r="X101" i="6" s="1"/>
  <c r="AA101" i="5"/>
  <c r="S101" i="6" s="1"/>
  <c r="S101" i="5"/>
  <c r="Q101" i="6" s="1"/>
  <c r="Z101" i="5"/>
  <c r="T101" i="6" s="1"/>
  <c r="R101" i="5"/>
  <c r="R101" i="6" s="1"/>
  <c r="AD101" i="5"/>
  <c r="AO101" i="5"/>
  <c r="AP101" i="5" s="1"/>
  <c r="L101" i="5"/>
  <c r="P101" i="6" s="1"/>
  <c r="Q101" i="5"/>
  <c r="C481" i="1"/>
  <c r="L154" i="3"/>
  <c r="F162" i="6"/>
  <c r="V133" i="5"/>
  <c r="U133" i="6" s="1"/>
  <c r="H133" i="6"/>
  <c r="V35" i="4"/>
  <c r="U187" i="3" s="1"/>
  <c r="G187" i="3"/>
  <c r="G6" i="6"/>
  <c r="V60" i="4"/>
  <c r="U200" i="3" s="1"/>
  <c r="G200" i="3"/>
  <c r="D158" i="11"/>
  <c r="L72" i="16"/>
  <c r="K72" i="16"/>
  <c r="D154" i="10"/>
  <c r="D87" i="9"/>
  <c r="C26" i="1"/>
  <c r="C211" i="1"/>
  <c r="G97" i="6"/>
  <c r="L115" i="5"/>
  <c r="P115" i="6" s="1"/>
  <c r="AE115" i="5"/>
  <c r="X115" i="6" s="1"/>
  <c r="R115" i="5"/>
  <c r="R115" i="6" s="1"/>
  <c r="AO115" i="5"/>
  <c r="AP115" i="5" s="1"/>
  <c r="E115" i="6"/>
  <c r="AD115" i="5"/>
  <c r="Z115" i="5"/>
  <c r="T115" i="6" s="1"/>
  <c r="S115" i="5"/>
  <c r="Q115" i="6" s="1"/>
  <c r="AA115" i="5"/>
  <c r="S115" i="6" s="1"/>
  <c r="Q115" i="5"/>
  <c r="B302" i="11"/>
  <c r="B302" i="12"/>
  <c r="B302" i="9"/>
  <c r="B302" i="8"/>
  <c r="B302" i="10"/>
  <c r="C212" i="1"/>
  <c r="C338" i="1"/>
  <c r="D12" i="8"/>
  <c r="D79" i="12"/>
  <c r="I17" i="6"/>
  <c r="O17" i="5"/>
  <c r="I201" i="6"/>
  <c r="O201" i="5"/>
  <c r="AD194" i="4"/>
  <c r="W121" i="3" s="1"/>
  <c r="AA194" i="4"/>
  <c r="S121" i="3" s="1"/>
  <c r="AE194" i="4"/>
  <c r="X121" i="3" s="1"/>
  <c r="L194" i="4"/>
  <c r="P121" i="3" s="1"/>
  <c r="S194" i="4"/>
  <c r="Q121" i="3" s="1"/>
  <c r="R194" i="4"/>
  <c r="R121" i="3" s="1"/>
  <c r="E121" i="3"/>
  <c r="Z194" i="4"/>
  <c r="T121" i="3" s="1"/>
  <c r="D292" i="12"/>
  <c r="D67" i="11"/>
  <c r="D231" i="11"/>
  <c r="D149" i="8"/>
  <c r="H178" i="3"/>
  <c r="S147" i="4"/>
  <c r="Q174" i="3" s="1"/>
  <c r="L147" i="4"/>
  <c r="P174" i="3" s="1"/>
  <c r="R147" i="4"/>
  <c r="R174" i="3" s="1"/>
  <c r="Z147" i="4"/>
  <c r="T174" i="3" s="1"/>
  <c r="AA147" i="4"/>
  <c r="S174" i="3" s="1"/>
  <c r="AE147" i="4"/>
  <c r="X174" i="3" s="1"/>
  <c r="AD147" i="4"/>
  <c r="W174" i="3" s="1"/>
  <c r="E174" i="3"/>
  <c r="Q147" i="4"/>
  <c r="E8" i="3"/>
  <c r="S187" i="4"/>
  <c r="Q8" i="3" s="1"/>
  <c r="AE187" i="4"/>
  <c r="X8" i="3" s="1"/>
  <c r="AA187" i="4"/>
  <c r="S8" i="3" s="1"/>
  <c r="Z187" i="4"/>
  <c r="T8" i="3" s="1"/>
  <c r="R187" i="4"/>
  <c r="R8" i="3" s="1"/>
  <c r="AD187" i="4"/>
  <c r="W8" i="3" s="1"/>
  <c r="L187" i="4"/>
  <c r="P8" i="3" s="1"/>
  <c r="I157" i="16"/>
  <c r="D122" i="10"/>
  <c r="C408" i="1"/>
  <c r="O114" i="5"/>
  <c r="I114" i="6"/>
  <c r="H91" i="3"/>
  <c r="AD3" i="4"/>
  <c r="W179" i="3" s="1"/>
  <c r="AE3" i="4"/>
  <c r="X179" i="3" s="1"/>
  <c r="S3" i="4"/>
  <c r="Q179" i="3" s="1"/>
  <c r="Q3" i="4"/>
  <c r="E179" i="3"/>
  <c r="L3" i="4"/>
  <c r="P179" i="3" s="1"/>
  <c r="R3" i="4"/>
  <c r="R179" i="3" s="1"/>
  <c r="D144" i="8"/>
  <c r="L178" i="5"/>
  <c r="P178" i="6" s="1"/>
  <c r="R178" i="5"/>
  <c r="R178" i="6" s="1"/>
  <c r="AD178" i="5"/>
  <c r="Z178" i="5"/>
  <c r="T178" i="6" s="1"/>
  <c r="S178" i="5"/>
  <c r="Q178" i="6" s="1"/>
  <c r="AO178" i="5"/>
  <c r="AP178" i="5" s="1"/>
  <c r="E178" i="6"/>
  <c r="AE178" i="5"/>
  <c r="X178" i="6" s="1"/>
  <c r="AA178" i="5"/>
  <c r="S178" i="6" s="1"/>
  <c r="Q178" i="5"/>
  <c r="D162" i="12"/>
  <c r="C89" i="1"/>
  <c r="D278" i="12"/>
  <c r="L13" i="3"/>
  <c r="F12" i="6"/>
  <c r="D286" i="12"/>
  <c r="D115" i="9"/>
  <c r="D44" i="9"/>
  <c r="L54" i="3"/>
  <c r="D182" i="9"/>
  <c r="L172" i="6"/>
  <c r="L182" i="6"/>
  <c r="H141" i="3"/>
  <c r="L12" i="3"/>
  <c r="D79" i="8"/>
  <c r="D24" i="12"/>
  <c r="AD179" i="5"/>
  <c r="L179" i="5"/>
  <c r="P179" i="6" s="1"/>
  <c r="AA179" i="5"/>
  <c r="S179" i="6" s="1"/>
  <c r="Z179" i="5"/>
  <c r="T179" i="6" s="1"/>
  <c r="R179" i="5"/>
  <c r="R179" i="6" s="1"/>
  <c r="S179" i="5"/>
  <c r="Q179" i="6" s="1"/>
  <c r="E179" i="6"/>
  <c r="AO179" i="5"/>
  <c r="AP179" i="5" s="1"/>
  <c r="AE179" i="5"/>
  <c r="X179" i="6" s="1"/>
  <c r="H172" i="6"/>
  <c r="V172" i="5"/>
  <c r="U172" i="6" s="1"/>
  <c r="L121" i="6"/>
  <c r="D113" i="12"/>
  <c r="C366" i="1"/>
  <c r="AE102" i="5"/>
  <c r="X102" i="6" s="1"/>
  <c r="S102" i="5"/>
  <c r="Q102" i="6" s="1"/>
  <c r="Z102" i="5"/>
  <c r="T102" i="6" s="1"/>
  <c r="R102" i="5"/>
  <c r="R102" i="6" s="1"/>
  <c r="AO102" i="5"/>
  <c r="AP102" i="5" s="1"/>
  <c r="E102" i="6"/>
  <c r="AD102" i="5"/>
  <c r="AA102" i="5"/>
  <c r="S102" i="6" s="1"/>
  <c r="L102" i="5"/>
  <c r="P102" i="6" s="1"/>
  <c r="Q102" i="5"/>
  <c r="D109" i="10"/>
  <c r="C443" i="1"/>
  <c r="I134" i="16"/>
  <c r="D106" i="12"/>
  <c r="D67" i="10"/>
  <c r="H116" i="6"/>
  <c r="V116" i="5"/>
  <c r="U116" i="6" s="1"/>
  <c r="C48" i="1"/>
  <c r="B244" i="11"/>
  <c r="B244" i="10"/>
  <c r="B244" i="12"/>
  <c r="B244" i="9"/>
  <c r="B244" i="8"/>
  <c r="D252" i="11"/>
  <c r="I128" i="6"/>
  <c r="O128" i="5"/>
  <c r="C471" i="1"/>
  <c r="D150" i="11"/>
  <c r="H148" i="3"/>
  <c r="O158" i="4"/>
  <c r="I107" i="3"/>
  <c r="I92" i="6"/>
  <c r="O92" i="5"/>
  <c r="D81" i="10"/>
  <c r="Z104" i="5"/>
  <c r="T104" i="6" s="1"/>
  <c r="AO104" i="5"/>
  <c r="AP104" i="5" s="1"/>
  <c r="AD104" i="5"/>
  <c r="S104" i="5"/>
  <c r="Q104" i="6" s="1"/>
  <c r="L104" i="5"/>
  <c r="P104" i="6" s="1"/>
  <c r="R104" i="5"/>
  <c r="R104" i="6" s="1"/>
  <c r="AE104" i="5"/>
  <c r="X104" i="6" s="1"/>
  <c r="E104" i="6"/>
  <c r="AA104" i="5"/>
  <c r="S104" i="6" s="1"/>
  <c r="Q104" i="5"/>
  <c r="L7" i="3"/>
  <c r="D304" i="11"/>
  <c r="L198" i="3"/>
  <c r="O18" i="5"/>
  <c r="I18" i="6"/>
  <c r="I75" i="16"/>
  <c r="D125" i="11"/>
  <c r="Z81" i="5"/>
  <c r="T81" i="6" s="1"/>
  <c r="S81" i="5"/>
  <c r="Q81" i="6" s="1"/>
  <c r="R81" i="5"/>
  <c r="R81" i="6" s="1"/>
  <c r="L81" i="5"/>
  <c r="P81" i="6" s="1"/>
  <c r="AO81" i="5"/>
  <c r="AP81" i="5" s="1"/>
  <c r="E81" i="6"/>
  <c r="AD81" i="5"/>
  <c r="AE81" i="5"/>
  <c r="X81" i="6" s="1"/>
  <c r="AA81" i="5"/>
  <c r="S81" i="6" s="1"/>
  <c r="D172" i="12"/>
  <c r="S50" i="4"/>
  <c r="Q45" i="3" s="1"/>
  <c r="L50" i="4"/>
  <c r="P45" i="3" s="1"/>
  <c r="R50" i="4"/>
  <c r="R45" i="3" s="1"/>
  <c r="AA50" i="4"/>
  <c r="S45" i="3" s="1"/>
  <c r="Z50" i="4"/>
  <c r="T45" i="3" s="1"/>
  <c r="AE50" i="4"/>
  <c r="X45" i="3" s="1"/>
  <c r="E45" i="3"/>
  <c r="AD50" i="4"/>
  <c r="W45" i="3" s="1"/>
  <c r="D84" i="9"/>
  <c r="H110" i="3"/>
  <c r="L142" i="4"/>
  <c r="P14" i="3" s="1"/>
  <c r="AA142" i="4"/>
  <c r="S14" i="3" s="1"/>
  <c r="S142" i="4"/>
  <c r="Q14" i="3" s="1"/>
  <c r="AE142" i="4"/>
  <c r="X14" i="3" s="1"/>
  <c r="E14" i="3"/>
  <c r="R142" i="4"/>
  <c r="R14" i="3" s="1"/>
  <c r="Z142" i="4"/>
  <c r="T14" i="3" s="1"/>
  <c r="AD142" i="4"/>
  <c r="W14" i="3" s="1"/>
  <c r="Q142" i="4"/>
  <c r="C147" i="1"/>
  <c r="O112" i="5"/>
  <c r="I112" i="6"/>
  <c r="L108" i="6"/>
  <c r="C500" i="1"/>
  <c r="G204" i="6"/>
  <c r="V132" i="4"/>
  <c r="U161" i="3" s="1"/>
  <c r="G161" i="3"/>
  <c r="L28" i="3"/>
  <c r="AE67" i="4"/>
  <c r="X194" i="3" s="1"/>
  <c r="L67" i="4"/>
  <c r="P194" i="3" s="1"/>
  <c r="AA67" i="4"/>
  <c r="S194" i="3" s="1"/>
  <c r="R67" i="4"/>
  <c r="R194" i="3" s="1"/>
  <c r="E194" i="3"/>
  <c r="AD67" i="4"/>
  <c r="W194" i="3" s="1"/>
  <c r="Z67" i="4"/>
  <c r="T194" i="3" s="1"/>
  <c r="S67" i="4"/>
  <c r="Q194" i="3" s="1"/>
  <c r="Q67" i="4"/>
  <c r="D91" i="8"/>
  <c r="O25" i="4"/>
  <c r="I43" i="3"/>
  <c r="D15" i="10"/>
  <c r="K104" i="16"/>
  <c r="L104" i="16"/>
  <c r="V5" i="4"/>
  <c r="U130" i="3" s="1"/>
  <c r="G130" i="3"/>
  <c r="D267" i="12"/>
  <c r="F32" i="6"/>
  <c r="F37" i="6"/>
  <c r="L152" i="5"/>
  <c r="P152" i="6" s="1"/>
  <c r="Z152" i="5"/>
  <c r="T152" i="6" s="1"/>
  <c r="AD152" i="5"/>
  <c r="AA152" i="5"/>
  <c r="S152" i="6" s="1"/>
  <c r="E152" i="6"/>
  <c r="S152" i="5"/>
  <c r="Q152" i="6" s="1"/>
  <c r="AO152" i="5"/>
  <c r="AP152" i="5" s="1"/>
  <c r="R152" i="5"/>
  <c r="R152" i="6" s="1"/>
  <c r="AE152" i="5"/>
  <c r="X152" i="6" s="1"/>
  <c r="J75" i="16"/>
  <c r="D210" i="8"/>
  <c r="C450" i="1"/>
  <c r="D154" i="12"/>
  <c r="D28" i="10"/>
  <c r="F57" i="3"/>
  <c r="J109" i="16"/>
  <c r="O156" i="4"/>
  <c r="I34" i="3"/>
  <c r="J170" i="16"/>
  <c r="J172" i="16"/>
  <c r="H109" i="3"/>
  <c r="AA195" i="4"/>
  <c r="S26" i="3" s="1"/>
  <c r="L195" i="4"/>
  <c r="P26" i="3" s="1"/>
  <c r="AE195" i="4"/>
  <c r="X26" i="3" s="1"/>
  <c r="AD195" i="4"/>
  <c r="W26" i="3" s="1"/>
  <c r="Z195" i="4"/>
  <c r="T26" i="3" s="1"/>
  <c r="R195" i="4"/>
  <c r="R26" i="3" s="1"/>
  <c r="S195" i="4"/>
  <c r="Q26" i="3" s="1"/>
  <c r="E26" i="3"/>
  <c r="C412" i="1"/>
  <c r="J174" i="16"/>
  <c r="F82" i="6"/>
  <c r="I169" i="3"/>
  <c r="O95" i="4"/>
  <c r="D247" i="12"/>
  <c r="G81" i="6"/>
  <c r="L143" i="3"/>
  <c r="G186" i="6"/>
  <c r="D38" i="8"/>
  <c r="G113" i="6"/>
  <c r="AO11" i="5"/>
  <c r="AP11" i="5" s="1"/>
  <c r="AE11" i="5"/>
  <c r="X11" i="6" s="1"/>
  <c r="L11" i="5"/>
  <c r="P11" i="6" s="1"/>
  <c r="Q11" i="5"/>
  <c r="AA11" i="5"/>
  <c r="S11" i="6" s="1"/>
  <c r="S11" i="5"/>
  <c r="Q11" i="6" s="1"/>
  <c r="R11" i="5"/>
  <c r="R11" i="6" s="1"/>
  <c r="Z11" i="5"/>
  <c r="T11" i="6" s="1"/>
  <c r="E11" i="6"/>
  <c r="AD11" i="5"/>
  <c r="O150" i="5"/>
  <c r="I150" i="6"/>
  <c r="L203" i="3"/>
  <c r="B304" i="8"/>
  <c r="B304" i="11"/>
  <c r="B304" i="12"/>
  <c r="B304" i="10"/>
  <c r="B304" i="9"/>
  <c r="H82" i="3"/>
  <c r="G125" i="6"/>
  <c r="H156" i="6"/>
  <c r="V156" i="5"/>
  <c r="U156" i="6" s="1"/>
  <c r="D218" i="11"/>
  <c r="L66" i="3"/>
  <c r="J121" i="16"/>
  <c r="C440" i="1"/>
  <c r="H167" i="6"/>
  <c r="V167" i="5"/>
  <c r="U167" i="6" s="1"/>
  <c r="F115" i="6"/>
  <c r="I41" i="3"/>
  <c r="O93" i="4"/>
  <c r="G53" i="6"/>
  <c r="F35" i="3"/>
  <c r="G187" i="6"/>
  <c r="L95" i="4"/>
  <c r="P169" i="3" s="1"/>
  <c r="E169" i="3"/>
  <c r="AA95" i="4"/>
  <c r="S169" i="3" s="1"/>
  <c r="R95" i="4"/>
  <c r="R169" i="3" s="1"/>
  <c r="AE95" i="4"/>
  <c r="X169" i="3" s="1"/>
  <c r="AD95" i="4"/>
  <c r="W169" i="3" s="1"/>
  <c r="Z95" i="4"/>
  <c r="T169" i="3" s="1"/>
  <c r="S95" i="4"/>
  <c r="Q169" i="3" s="1"/>
  <c r="H7" i="6"/>
  <c r="V7" i="5"/>
  <c r="U7" i="6" s="1"/>
  <c r="G81" i="3"/>
  <c r="V119" i="4"/>
  <c r="U81" i="3" s="1"/>
  <c r="D122" i="8"/>
  <c r="H179" i="3"/>
  <c r="F197" i="3"/>
  <c r="H101" i="3"/>
  <c r="AE136" i="4"/>
  <c r="X190" i="3" s="1"/>
  <c r="AA136" i="4"/>
  <c r="S190" i="3" s="1"/>
  <c r="AD136" i="4"/>
  <c r="W190" i="3" s="1"/>
  <c r="E190" i="3"/>
  <c r="Z136" i="4"/>
  <c r="T190" i="3" s="1"/>
  <c r="S136" i="4"/>
  <c r="Q190" i="3" s="1"/>
  <c r="L136" i="4"/>
  <c r="P190" i="3" s="1"/>
  <c r="R136" i="4"/>
  <c r="R190" i="3" s="1"/>
  <c r="R68" i="4"/>
  <c r="R148" i="3" s="1"/>
  <c r="AA68" i="4"/>
  <c r="S148" i="3" s="1"/>
  <c r="S68" i="4"/>
  <c r="Q148" i="3" s="1"/>
  <c r="AD68" i="4"/>
  <c r="W148" i="3" s="1"/>
  <c r="L68" i="4"/>
  <c r="P148" i="3" s="1"/>
  <c r="AE68" i="4"/>
  <c r="X148" i="3" s="1"/>
  <c r="E148" i="3"/>
  <c r="Z68" i="4"/>
  <c r="T148" i="3" s="1"/>
  <c r="Q68" i="4"/>
  <c r="D21" i="9"/>
  <c r="L33" i="6"/>
  <c r="D72" i="11"/>
  <c r="D11" i="8"/>
  <c r="D29" i="10"/>
  <c r="K76" i="16"/>
  <c r="L76" i="16"/>
  <c r="S99" i="5"/>
  <c r="Q99" i="6" s="1"/>
  <c r="AD99" i="5"/>
  <c r="L99" i="5"/>
  <c r="P99" i="6" s="1"/>
  <c r="AE99" i="5"/>
  <c r="X99" i="6" s="1"/>
  <c r="E99" i="6"/>
  <c r="AA99" i="5"/>
  <c r="S99" i="6" s="1"/>
  <c r="R99" i="5"/>
  <c r="R99" i="6" s="1"/>
  <c r="Z99" i="5"/>
  <c r="T99" i="6" s="1"/>
  <c r="AO99" i="5"/>
  <c r="AP99" i="5" s="1"/>
  <c r="G174" i="6"/>
  <c r="F128" i="3"/>
  <c r="C82" i="1"/>
  <c r="G121" i="6"/>
  <c r="G152" i="6"/>
  <c r="I138" i="16"/>
  <c r="V164" i="4"/>
  <c r="U113" i="3" s="1"/>
  <c r="G113" i="3"/>
  <c r="L70" i="6"/>
  <c r="F135" i="6"/>
  <c r="F85" i="3"/>
  <c r="AE65" i="4"/>
  <c r="X146" i="3" s="1"/>
  <c r="R65" i="4"/>
  <c r="R146" i="3" s="1"/>
  <c r="Z65" i="4"/>
  <c r="T146" i="3" s="1"/>
  <c r="S65" i="4"/>
  <c r="Q146" i="3" s="1"/>
  <c r="AA65" i="4"/>
  <c r="S146" i="3" s="1"/>
  <c r="E146" i="3"/>
  <c r="AD65" i="4"/>
  <c r="W146" i="3" s="1"/>
  <c r="L65" i="4"/>
  <c r="P146" i="3" s="1"/>
  <c r="S168" i="5"/>
  <c r="Q168" i="6" s="1"/>
  <c r="AE168" i="5"/>
  <c r="X168" i="6" s="1"/>
  <c r="Z168" i="5"/>
  <c r="T168" i="6" s="1"/>
  <c r="E168" i="6"/>
  <c r="R168" i="5"/>
  <c r="R168" i="6" s="1"/>
  <c r="AO168" i="5"/>
  <c r="AP168" i="5" s="1"/>
  <c r="AD168" i="5"/>
  <c r="L168" i="5"/>
  <c r="P168" i="6" s="1"/>
  <c r="AA168" i="5"/>
  <c r="S168" i="6" s="1"/>
  <c r="Q168" i="5"/>
  <c r="L37" i="3"/>
  <c r="D50" i="8"/>
  <c r="D158" i="8"/>
  <c r="AE166" i="4"/>
  <c r="X82" i="3" s="1"/>
  <c r="E82" i="3"/>
  <c r="R166" i="4"/>
  <c r="R82" i="3" s="1"/>
  <c r="AA166" i="4"/>
  <c r="S82" i="3" s="1"/>
  <c r="S166" i="4"/>
  <c r="Q82" i="3" s="1"/>
  <c r="Z166" i="4"/>
  <c r="T82" i="3" s="1"/>
  <c r="AD166" i="4"/>
  <c r="W82" i="3" s="1"/>
  <c r="L166" i="4"/>
  <c r="P82" i="3" s="1"/>
  <c r="I97" i="6"/>
  <c r="O97" i="5"/>
  <c r="D106" i="8"/>
  <c r="D203" i="11"/>
  <c r="D183" i="8"/>
  <c r="F181" i="6"/>
  <c r="I86" i="3"/>
  <c r="O206" i="4"/>
  <c r="F45" i="3"/>
  <c r="D12" i="9"/>
  <c r="G141" i="3"/>
  <c r="V62" i="4"/>
  <c r="U141" i="3" s="1"/>
  <c r="D132" i="10"/>
  <c r="D170" i="12"/>
  <c r="H201" i="6"/>
  <c r="V201" i="5"/>
  <c r="U201" i="6" s="1"/>
  <c r="L141" i="6"/>
  <c r="O107" i="5"/>
  <c r="I107" i="6"/>
  <c r="G100" i="3"/>
  <c r="V98" i="4"/>
  <c r="U100" i="3" s="1"/>
  <c r="G34" i="3"/>
  <c r="V156" i="4"/>
  <c r="U34" i="3" s="1"/>
  <c r="D56" i="12"/>
  <c r="I96" i="3"/>
  <c r="O87" i="4"/>
  <c r="L204" i="3"/>
  <c r="D167" i="9"/>
  <c r="C410" i="1"/>
  <c r="D168" i="8"/>
  <c r="O11" i="5"/>
  <c r="I11" i="6"/>
  <c r="F102" i="3"/>
  <c r="D78" i="9"/>
  <c r="F179" i="3"/>
  <c r="F145" i="3"/>
  <c r="D125" i="10"/>
  <c r="G145" i="6"/>
  <c r="D13" i="11"/>
  <c r="C309" i="1"/>
  <c r="D141" i="12"/>
  <c r="AE187" i="5"/>
  <c r="X187" i="6" s="1"/>
  <c r="S187" i="5"/>
  <c r="Q187" i="6" s="1"/>
  <c r="E187" i="6"/>
  <c r="Z187" i="5"/>
  <c r="T187" i="6" s="1"/>
  <c r="AA187" i="5"/>
  <c r="S187" i="6" s="1"/>
  <c r="AO187" i="5"/>
  <c r="AP187" i="5" s="1"/>
  <c r="L187" i="5"/>
  <c r="P187" i="6" s="1"/>
  <c r="R187" i="5"/>
  <c r="R187" i="6" s="1"/>
  <c r="AD187" i="5"/>
  <c r="G98" i="6"/>
  <c r="AA71" i="5"/>
  <c r="S71" i="6" s="1"/>
  <c r="S71" i="5"/>
  <c r="Q71" i="6" s="1"/>
  <c r="L71" i="5"/>
  <c r="P71" i="6" s="1"/>
  <c r="Z71" i="5"/>
  <c r="T71" i="6" s="1"/>
  <c r="AD71" i="5"/>
  <c r="E71" i="6"/>
  <c r="AO71" i="5"/>
  <c r="AP71" i="5" s="1"/>
  <c r="R71" i="5"/>
  <c r="R71" i="6" s="1"/>
  <c r="AE71" i="5"/>
  <c r="X71" i="6" s="1"/>
  <c r="D253" i="12"/>
  <c r="O55" i="4"/>
  <c r="I105" i="3"/>
  <c r="D124" i="8"/>
  <c r="F164" i="3"/>
  <c r="G20" i="6"/>
  <c r="O188" i="4"/>
  <c r="I21" i="3"/>
  <c r="D284" i="12"/>
  <c r="D12" i="11"/>
  <c r="O112" i="4"/>
  <c r="I163" i="3"/>
  <c r="C122" i="1"/>
  <c r="D96" i="10"/>
  <c r="F63" i="6"/>
  <c r="C154" i="1"/>
  <c r="D216" i="12"/>
  <c r="I124" i="16"/>
  <c r="C456" i="1"/>
  <c r="F5" i="6"/>
  <c r="L24" i="6"/>
  <c r="O124" i="5"/>
  <c r="I124" i="6"/>
  <c r="D141" i="11"/>
  <c r="D18" i="10"/>
  <c r="D217" i="8"/>
  <c r="C114" i="1"/>
  <c r="L143" i="6"/>
  <c r="H42" i="3"/>
  <c r="B262" i="9"/>
  <c r="B262" i="11"/>
  <c r="B262" i="12"/>
  <c r="B262" i="10"/>
  <c r="B262" i="8"/>
  <c r="D98" i="9"/>
  <c r="G192" i="6"/>
  <c r="K102" i="16"/>
  <c r="L102" i="16"/>
  <c r="L29" i="4"/>
  <c r="P178" i="3" s="1"/>
  <c r="AA29" i="4"/>
  <c r="S178" i="3" s="1"/>
  <c r="Z29" i="4"/>
  <c r="T178" i="3" s="1"/>
  <c r="S29" i="4"/>
  <c r="Q178" i="3" s="1"/>
  <c r="AD29" i="4"/>
  <c r="W178" i="3" s="1"/>
  <c r="AE29" i="4"/>
  <c r="X178" i="3" s="1"/>
  <c r="R29" i="4"/>
  <c r="R178" i="3" s="1"/>
  <c r="E178" i="3"/>
  <c r="G184" i="3"/>
  <c r="V16" i="4"/>
  <c r="U184" i="3" s="1"/>
  <c r="I178" i="16"/>
  <c r="D94" i="9"/>
  <c r="L206" i="6"/>
  <c r="C462" i="1"/>
  <c r="O158" i="5"/>
  <c r="I158" i="6"/>
  <c r="D178" i="11"/>
  <c r="G41" i="3"/>
  <c r="V93" i="4"/>
  <c r="U41" i="3" s="1"/>
  <c r="D190" i="9"/>
  <c r="G173" i="3"/>
  <c r="V57" i="4"/>
  <c r="U173" i="3" s="1"/>
  <c r="C182" i="1"/>
  <c r="I144" i="3"/>
  <c r="O102" i="4"/>
  <c r="F40" i="3"/>
  <c r="D111" i="9"/>
  <c r="D42" i="11"/>
  <c r="F71" i="3"/>
  <c r="D187" i="8"/>
  <c r="D44" i="8"/>
  <c r="B299" i="8"/>
  <c r="B299" i="10"/>
  <c r="B299" i="9"/>
  <c r="B299" i="11"/>
  <c r="B299" i="12"/>
  <c r="V11" i="4"/>
  <c r="U171" i="3" s="1"/>
  <c r="G171" i="3"/>
  <c r="J144" i="16"/>
  <c r="D128" i="10"/>
  <c r="B281" i="10"/>
  <c r="B281" i="11"/>
  <c r="B281" i="8"/>
  <c r="B281" i="9"/>
  <c r="B281" i="12"/>
  <c r="F138" i="3"/>
  <c r="D164" i="11"/>
  <c r="F16" i="3"/>
  <c r="D150" i="8"/>
  <c r="D40" i="10"/>
  <c r="L57" i="3"/>
  <c r="E56" i="3"/>
  <c r="L100" i="4"/>
  <c r="P56" i="3" s="1"/>
  <c r="R100" i="4"/>
  <c r="R56" i="3" s="1"/>
  <c r="AA100" i="4"/>
  <c r="S56" i="3" s="1"/>
  <c r="AE100" i="4"/>
  <c r="X56" i="3" s="1"/>
  <c r="Z100" i="4"/>
  <c r="T56" i="3" s="1"/>
  <c r="AD100" i="4"/>
  <c r="W56" i="3" s="1"/>
  <c r="S100" i="4"/>
  <c r="Q56" i="3" s="1"/>
  <c r="H22" i="6"/>
  <c r="V22" i="5"/>
  <c r="U22" i="6" s="1"/>
  <c r="L42" i="3"/>
  <c r="F4" i="6"/>
  <c r="I151" i="16"/>
  <c r="J150" i="16"/>
  <c r="H134" i="3"/>
  <c r="I147" i="6"/>
  <c r="O147" i="5"/>
  <c r="V81" i="5"/>
  <c r="U81" i="6" s="1"/>
  <c r="H81" i="6"/>
  <c r="R167" i="5"/>
  <c r="R167" i="6" s="1"/>
  <c r="AA167" i="5"/>
  <c r="S167" i="6" s="1"/>
  <c r="AE167" i="5"/>
  <c r="X167" i="6" s="1"/>
  <c r="AO167" i="5"/>
  <c r="AP167" i="5" s="1"/>
  <c r="L167" i="5"/>
  <c r="P167" i="6" s="1"/>
  <c r="Z167" i="5"/>
  <c r="T167" i="6" s="1"/>
  <c r="E167" i="6"/>
  <c r="AD167" i="5"/>
  <c r="W167" i="6" s="1"/>
  <c r="S167" i="5"/>
  <c r="Q167" i="6" s="1"/>
  <c r="Q167" i="5"/>
  <c r="AD110" i="5"/>
  <c r="R110" i="5"/>
  <c r="R110" i="6" s="1"/>
  <c r="S110" i="5"/>
  <c r="Q110" i="6" s="1"/>
  <c r="E110" i="6"/>
  <c r="AA110" i="5"/>
  <c r="S110" i="6" s="1"/>
  <c r="Z110" i="5"/>
  <c r="T110" i="6" s="1"/>
  <c r="AE110" i="5"/>
  <c r="X110" i="6" s="1"/>
  <c r="L110" i="5"/>
  <c r="P110" i="6" s="1"/>
  <c r="AO110" i="5"/>
  <c r="AP110" i="5" s="1"/>
  <c r="I183" i="6"/>
  <c r="O183" i="5"/>
  <c r="H45" i="3"/>
  <c r="D92" i="8"/>
  <c r="Z11" i="4"/>
  <c r="T171" i="3" s="1"/>
  <c r="E171" i="3"/>
  <c r="AA11" i="4"/>
  <c r="S171" i="3" s="1"/>
  <c r="L11" i="4"/>
  <c r="P171" i="3" s="1"/>
  <c r="S11" i="4"/>
  <c r="Q171" i="3" s="1"/>
  <c r="AD11" i="4"/>
  <c r="W171" i="3" s="1"/>
  <c r="AE11" i="4"/>
  <c r="X171" i="3" s="1"/>
  <c r="R11" i="4"/>
  <c r="R171" i="3" s="1"/>
  <c r="Q11" i="4"/>
  <c r="C76" i="1"/>
  <c r="F75" i="3"/>
  <c r="G152" i="3"/>
  <c r="V91" i="4"/>
  <c r="U152" i="3" s="1"/>
  <c r="D123" i="9"/>
  <c r="D69" i="9"/>
  <c r="L69" i="3"/>
  <c r="C66" i="1"/>
  <c r="D98" i="10"/>
  <c r="H145" i="6"/>
  <c r="V145" i="5"/>
  <c r="U145" i="6" s="1"/>
  <c r="H162" i="6"/>
  <c r="V162" i="5"/>
  <c r="U162" i="6" s="1"/>
  <c r="D133" i="11"/>
  <c r="D88" i="10"/>
  <c r="C98" i="1"/>
  <c r="L38" i="3"/>
  <c r="AE16" i="4"/>
  <c r="X184" i="3" s="1"/>
  <c r="R16" i="4"/>
  <c r="R184" i="3" s="1"/>
  <c r="S16" i="4"/>
  <c r="Q184" i="3" s="1"/>
  <c r="AD16" i="4"/>
  <c r="W184" i="3" s="1"/>
  <c r="E184" i="3"/>
  <c r="AA16" i="4"/>
  <c r="S184" i="3" s="1"/>
  <c r="L16" i="4"/>
  <c r="P184" i="3" s="1"/>
  <c r="Q16" i="4"/>
  <c r="Z16" i="4"/>
  <c r="T184" i="3" s="1"/>
  <c r="H94" i="3"/>
  <c r="D185" i="9"/>
  <c r="Z20" i="4"/>
  <c r="T177" i="3" s="1"/>
  <c r="S20" i="4"/>
  <c r="Q177" i="3" s="1"/>
  <c r="AE20" i="4"/>
  <c r="X177" i="3" s="1"/>
  <c r="AA20" i="4"/>
  <c r="S177" i="3" s="1"/>
  <c r="E177" i="3"/>
  <c r="R20" i="4"/>
  <c r="R177" i="3" s="1"/>
  <c r="L20" i="4"/>
  <c r="P177" i="3" s="1"/>
  <c r="AD20" i="4"/>
  <c r="W177" i="3" s="1"/>
  <c r="Q20" i="4"/>
  <c r="H5" i="6"/>
  <c r="V5" i="5"/>
  <c r="U5" i="6" s="1"/>
  <c r="C362" i="1"/>
  <c r="Z181" i="5"/>
  <c r="T181" i="6" s="1"/>
  <c r="AD181" i="5"/>
  <c r="E181" i="6"/>
  <c r="S181" i="5"/>
  <c r="Q181" i="6" s="1"/>
  <c r="AE181" i="5"/>
  <c r="X181" i="6" s="1"/>
  <c r="R181" i="5"/>
  <c r="R181" i="6" s="1"/>
  <c r="L181" i="5"/>
  <c r="P181" i="6" s="1"/>
  <c r="AO181" i="5"/>
  <c r="AP181" i="5" s="1"/>
  <c r="AA181" i="5"/>
  <c r="S181" i="6" s="1"/>
  <c r="G25" i="3"/>
  <c r="V133" i="4"/>
  <c r="U25" i="3" s="1"/>
  <c r="L4" i="3"/>
  <c r="G5" i="6"/>
  <c r="G68" i="6"/>
  <c r="L134" i="3"/>
  <c r="F104" i="6"/>
  <c r="F139" i="3"/>
  <c r="G155" i="6"/>
  <c r="C306" i="1"/>
  <c r="L132" i="5"/>
  <c r="P132" i="6" s="1"/>
  <c r="Z132" i="5"/>
  <c r="T132" i="6" s="1"/>
  <c r="S132" i="5"/>
  <c r="Q132" i="6" s="1"/>
  <c r="R132" i="5"/>
  <c r="R132" i="6" s="1"/>
  <c r="AO132" i="5"/>
  <c r="AP132" i="5" s="1"/>
  <c r="E132" i="6"/>
  <c r="AD132" i="5"/>
  <c r="AA132" i="5"/>
  <c r="S132" i="6" s="1"/>
  <c r="AE132" i="5"/>
  <c r="X132" i="6" s="1"/>
  <c r="F192" i="3"/>
  <c r="J184" i="16"/>
  <c r="C67" i="1"/>
  <c r="Z27" i="4"/>
  <c r="T123" i="3" s="1"/>
  <c r="R27" i="4"/>
  <c r="R123" i="3" s="1"/>
  <c r="AD27" i="4"/>
  <c r="W123" i="3" s="1"/>
  <c r="S27" i="4"/>
  <c r="Q123" i="3" s="1"/>
  <c r="AE27" i="4"/>
  <c r="X123" i="3" s="1"/>
  <c r="E123" i="3"/>
  <c r="L27" i="4"/>
  <c r="P123" i="3" s="1"/>
  <c r="AA27" i="4"/>
  <c r="S123" i="3" s="1"/>
  <c r="J55" i="16"/>
  <c r="D159" i="11"/>
  <c r="F61" i="6"/>
  <c r="V11" i="5"/>
  <c r="U11" i="6" s="1"/>
  <c r="H11" i="6"/>
  <c r="I158" i="16"/>
  <c r="D248" i="11"/>
  <c r="I54" i="16"/>
  <c r="V34" i="4"/>
  <c r="U28" i="3" s="1"/>
  <c r="G28" i="3"/>
  <c r="L188" i="6"/>
  <c r="E203" i="6"/>
  <c r="R203" i="5"/>
  <c r="R203" i="6" s="1"/>
  <c r="AD203" i="5"/>
  <c r="S203" i="5"/>
  <c r="Q203" i="6" s="1"/>
  <c r="Z203" i="5"/>
  <c r="T203" i="6" s="1"/>
  <c r="AE203" i="5"/>
  <c r="X203" i="6" s="1"/>
  <c r="AA203" i="5"/>
  <c r="S203" i="6" s="1"/>
  <c r="L203" i="5"/>
  <c r="P203" i="6" s="1"/>
  <c r="AO203" i="5"/>
  <c r="AP203" i="5" s="1"/>
  <c r="D163" i="10"/>
  <c r="L92" i="3"/>
  <c r="H80" i="6"/>
  <c r="V80" i="5"/>
  <c r="U80" i="6" s="1"/>
  <c r="C315" i="1"/>
  <c r="D262" i="12"/>
  <c r="D50" i="9"/>
  <c r="H192" i="3"/>
  <c r="C5" i="14"/>
  <c r="C13" i="14" s="1"/>
  <c r="C48" i="14" s="1"/>
  <c r="D231" i="12"/>
  <c r="D118" i="11"/>
  <c r="I125" i="16"/>
  <c r="I157" i="6"/>
  <c r="O157" i="5"/>
  <c r="C460" i="1"/>
  <c r="L96" i="5"/>
  <c r="P96" i="6" s="1"/>
  <c r="R96" i="5"/>
  <c r="R96" i="6" s="1"/>
  <c r="E96" i="6"/>
  <c r="AE96" i="5"/>
  <c r="X96" i="6" s="1"/>
  <c r="AD96" i="5"/>
  <c r="AO96" i="5"/>
  <c r="AP96" i="5" s="1"/>
  <c r="AA96" i="5"/>
  <c r="S96" i="6" s="1"/>
  <c r="S96" i="5"/>
  <c r="Q96" i="6" s="1"/>
  <c r="Z96" i="5"/>
  <c r="T96" i="6" s="1"/>
  <c r="L148" i="3"/>
  <c r="AD34" i="5"/>
  <c r="R34" i="5"/>
  <c r="R34" i="6" s="1"/>
  <c r="L34" i="5"/>
  <c r="P34" i="6" s="1"/>
  <c r="E34" i="6"/>
  <c r="Z34" i="5"/>
  <c r="T34" i="6" s="1"/>
  <c r="AA34" i="5"/>
  <c r="S34" i="6" s="1"/>
  <c r="S34" i="5"/>
  <c r="Q34" i="6" s="1"/>
  <c r="AE34" i="5"/>
  <c r="X34" i="6" s="1"/>
  <c r="AO34" i="5"/>
  <c r="AP34" i="5" s="1"/>
  <c r="D93" i="11"/>
  <c r="D214" i="12"/>
  <c r="L52" i="3"/>
  <c r="V9" i="5"/>
  <c r="U9" i="6" s="1"/>
  <c r="H9" i="6"/>
  <c r="D82" i="9"/>
  <c r="Z109" i="4"/>
  <c r="T159" i="3" s="1"/>
  <c r="R109" i="4"/>
  <c r="R159" i="3" s="1"/>
  <c r="S109" i="4"/>
  <c r="Q159" i="3" s="1"/>
  <c r="AA109" i="4"/>
  <c r="S159" i="3" s="1"/>
  <c r="L109" i="4"/>
  <c r="P159" i="3" s="1"/>
  <c r="E159" i="3"/>
  <c r="AE109" i="4"/>
  <c r="X159" i="3" s="1"/>
  <c r="AD109" i="4"/>
  <c r="W159" i="3" s="1"/>
  <c r="Q109" i="4"/>
  <c r="C6" i="1"/>
  <c r="J145" i="16"/>
  <c r="G36" i="6"/>
  <c r="D303" i="11"/>
  <c r="V102" i="5"/>
  <c r="U102" i="6" s="1"/>
  <c r="H102" i="6"/>
  <c r="F81" i="3"/>
  <c r="AD203" i="4"/>
  <c r="W117" i="3" s="1"/>
  <c r="L203" i="4"/>
  <c r="P117" i="3" s="1"/>
  <c r="Z203" i="4"/>
  <c r="T117" i="3" s="1"/>
  <c r="E117" i="3"/>
  <c r="S203" i="4"/>
  <c r="Q117" i="3" s="1"/>
  <c r="AE203" i="4"/>
  <c r="X117" i="3" s="1"/>
  <c r="R203" i="4"/>
  <c r="R117" i="3" s="1"/>
  <c r="AA203" i="4"/>
  <c r="S117" i="3" s="1"/>
  <c r="Q203" i="4"/>
  <c r="H190" i="6"/>
  <c r="V190" i="5"/>
  <c r="U190" i="6" s="1"/>
  <c r="F128" i="6"/>
  <c r="D46" i="10"/>
  <c r="J96" i="16"/>
  <c r="I97" i="16"/>
  <c r="I148" i="16"/>
  <c r="D229" i="11"/>
  <c r="C123" i="1"/>
  <c r="C499" i="1"/>
  <c r="V149" i="5"/>
  <c r="U149" i="6" s="1"/>
  <c r="H149" i="6"/>
  <c r="I68" i="16"/>
  <c r="G24" i="3"/>
  <c r="V103" i="4"/>
  <c r="U24" i="3" s="1"/>
  <c r="O138" i="5"/>
  <c r="I138" i="6"/>
  <c r="C44" i="1"/>
  <c r="F58" i="3"/>
  <c r="H11" i="3"/>
  <c r="I96" i="16"/>
  <c r="H66" i="3"/>
  <c r="C17" i="1"/>
  <c r="D61" i="11"/>
  <c r="G78" i="6"/>
  <c r="F6" i="3"/>
  <c r="AD90" i="5"/>
  <c r="R90" i="5"/>
  <c r="R90" i="6" s="1"/>
  <c r="Z90" i="5"/>
  <c r="T90" i="6" s="1"/>
  <c r="L90" i="5"/>
  <c r="P90" i="6" s="1"/>
  <c r="AA90" i="5"/>
  <c r="S90" i="6" s="1"/>
  <c r="E90" i="6"/>
  <c r="AO90" i="5"/>
  <c r="AP90" i="5" s="1"/>
  <c r="AE90" i="5"/>
  <c r="X90" i="6" s="1"/>
  <c r="S90" i="5"/>
  <c r="Q90" i="6" s="1"/>
  <c r="L111" i="3"/>
  <c r="F68" i="3"/>
  <c r="C65" i="1"/>
  <c r="H184" i="3"/>
  <c r="D194" i="11"/>
  <c r="H92" i="6"/>
  <c r="V92" i="5"/>
  <c r="U92" i="6" s="1"/>
  <c r="C19" i="1"/>
  <c r="L115" i="16"/>
  <c r="K115" i="16"/>
  <c r="D294" i="11"/>
  <c r="F23" i="3"/>
  <c r="B301" i="8"/>
  <c r="B301" i="10"/>
  <c r="B301" i="9"/>
  <c r="B301" i="12"/>
  <c r="B301" i="11"/>
  <c r="D53" i="9"/>
  <c r="D153" i="8"/>
  <c r="L102" i="3"/>
  <c r="H70" i="3"/>
  <c r="D155" i="11"/>
  <c r="C36" i="1"/>
  <c r="D48" i="11"/>
  <c r="B290" i="8"/>
  <c r="B290" i="11"/>
  <c r="B290" i="9"/>
  <c r="B290" i="10"/>
  <c r="B290" i="12"/>
  <c r="D267" i="11"/>
  <c r="V153" i="5"/>
  <c r="U153" i="6" s="1"/>
  <c r="H153" i="6"/>
  <c r="D220" i="8"/>
  <c r="C77" i="1"/>
  <c r="I129" i="16"/>
  <c r="L104" i="6"/>
  <c r="L181" i="6"/>
  <c r="D222" i="11"/>
  <c r="L129" i="6"/>
  <c r="K165" i="16"/>
  <c r="L165" i="16"/>
  <c r="V83" i="5"/>
  <c r="U83" i="6" s="1"/>
  <c r="H83" i="6"/>
  <c r="D121" i="10"/>
  <c r="AD76" i="5"/>
  <c r="R76" i="5"/>
  <c r="R76" i="6" s="1"/>
  <c r="E76" i="6"/>
  <c r="S76" i="5"/>
  <c r="Q76" i="6" s="1"/>
  <c r="AO76" i="5"/>
  <c r="AP76" i="5" s="1"/>
  <c r="L76" i="5"/>
  <c r="P76" i="6" s="1"/>
  <c r="Z76" i="5"/>
  <c r="T76" i="6" s="1"/>
  <c r="AA76" i="5"/>
  <c r="S76" i="6" s="1"/>
  <c r="Q76" i="5"/>
  <c r="AE76" i="5"/>
  <c r="X76" i="6" s="1"/>
  <c r="L183" i="6"/>
  <c r="D287" i="12"/>
  <c r="C343" i="1"/>
  <c r="J83" i="16"/>
  <c r="O20" i="5"/>
  <c r="I20" i="6"/>
  <c r="O30" i="4"/>
  <c r="I131" i="3"/>
  <c r="I46" i="16"/>
  <c r="H48" i="6"/>
  <c r="V48" i="5"/>
  <c r="U48" i="6" s="1"/>
  <c r="G137" i="6"/>
  <c r="I65" i="6"/>
  <c r="O65" i="5"/>
  <c r="D152" i="11"/>
  <c r="C372" i="1"/>
  <c r="D232" i="12"/>
  <c r="D188" i="9"/>
  <c r="C389" i="1"/>
  <c r="D178" i="8"/>
  <c r="AO78" i="5"/>
  <c r="AP78" i="5" s="1"/>
  <c r="L78" i="5"/>
  <c r="P78" i="6" s="1"/>
  <c r="AD78" i="5"/>
  <c r="Z78" i="5"/>
  <c r="T78" i="6" s="1"/>
  <c r="AE78" i="5"/>
  <c r="X78" i="6" s="1"/>
  <c r="R78" i="5"/>
  <c r="R78" i="6" s="1"/>
  <c r="AA78" i="5"/>
  <c r="S78" i="6" s="1"/>
  <c r="S78" i="5"/>
  <c r="Q78" i="6" s="1"/>
  <c r="E78" i="6"/>
  <c r="H182" i="3"/>
  <c r="AA88" i="5"/>
  <c r="S88" i="6" s="1"/>
  <c r="Z88" i="5"/>
  <c r="T88" i="6" s="1"/>
  <c r="S88" i="5"/>
  <c r="Q88" i="6" s="1"/>
  <c r="AD88" i="5"/>
  <c r="E88" i="6"/>
  <c r="L88" i="5"/>
  <c r="P88" i="6" s="1"/>
  <c r="R88" i="5"/>
  <c r="R88" i="6" s="1"/>
  <c r="AO88" i="5"/>
  <c r="AP88" i="5" s="1"/>
  <c r="AE88" i="5"/>
  <c r="X88" i="6" s="1"/>
  <c r="Q88" i="5"/>
  <c r="C129" i="1"/>
  <c r="C5" i="8"/>
  <c r="D5" i="8" s="1"/>
  <c r="V99" i="4"/>
  <c r="U201" i="3" s="1"/>
  <c r="G201" i="3"/>
  <c r="O185" i="5"/>
  <c r="I185" i="6"/>
  <c r="F60" i="3"/>
  <c r="F135" i="3"/>
  <c r="G134" i="6"/>
  <c r="C487" i="1"/>
  <c r="L178" i="6"/>
  <c r="J65" i="16"/>
  <c r="D278" i="11"/>
  <c r="L205" i="3"/>
  <c r="L77" i="16"/>
  <c r="K77" i="16"/>
  <c r="D98" i="11"/>
  <c r="L75" i="6"/>
  <c r="L157" i="16"/>
  <c r="K157" i="16"/>
  <c r="B225" i="10"/>
  <c r="B225" i="12"/>
  <c r="B225" i="8"/>
  <c r="B225" i="11"/>
  <c r="B225" i="9"/>
  <c r="O190" i="4"/>
  <c r="I132" i="3"/>
  <c r="J178" i="16"/>
  <c r="C382" i="1"/>
  <c r="I43" i="6"/>
  <c r="O43" i="5"/>
  <c r="I60" i="16"/>
  <c r="F193" i="3"/>
  <c r="D140" i="9"/>
  <c r="AO65" i="5"/>
  <c r="AP65" i="5" s="1"/>
  <c r="S65" i="5"/>
  <c r="Q65" i="6" s="1"/>
  <c r="E65" i="6"/>
  <c r="R65" i="5"/>
  <c r="R65" i="6" s="1"/>
  <c r="Q65" i="5"/>
  <c r="AD65" i="5"/>
  <c r="AA65" i="5"/>
  <c r="S65" i="6" s="1"/>
  <c r="Z65" i="5"/>
  <c r="T65" i="6" s="1"/>
  <c r="AE65" i="5"/>
  <c r="X65" i="6" s="1"/>
  <c r="L65" i="5"/>
  <c r="P65" i="6" s="1"/>
  <c r="D18" i="9"/>
  <c r="I108" i="16"/>
  <c r="L185" i="6"/>
  <c r="F54" i="3"/>
  <c r="D70" i="9"/>
  <c r="J185" i="16"/>
  <c r="D120" i="12"/>
  <c r="O105" i="4"/>
  <c r="I116" i="3"/>
  <c r="L186" i="3"/>
  <c r="O126" i="5"/>
  <c r="I126" i="6"/>
  <c r="D78" i="11"/>
  <c r="G198" i="6"/>
  <c r="D215" i="12"/>
  <c r="D83" i="12"/>
  <c r="J70" i="16"/>
  <c r="H100" i="6"/>
  <c r="V100" i="5"/>
  <c r="U100" i="6" s="1"/>
  <c r="L40" i="6"/>
  <c r="F29" i="6"/>
  <c r="J45" i="16"/>
  <c r="D146" i="10"/>
  <c r="C5" i="12"/>
  <c r="C83" i="1"/>
  <c r="G16" i="3"/>
  <c r="V9" i="4"/>
  <c r="U16" i="3" s="1"/>
  <c r="L152" i="3"/>
  <c r="J85" i="16"/>
  <c r="C392" i="1"/>
  <c r="O124" i="4"/>
  <c r="I23" i="3"/>
  <c r="E75" i="3"/>
  <c r="Z15" i="4"/>
  <c r="T75" i="3" s="1"/>
  <c r="L15" i="4"/>
  <c r="P75" i="3" s="1"/>
  <c r="AE15" i="4"/>
  <c r="X75" i="3" s="1"/>
  <c r="AA15" i="4"/>
  <c r="S75" i="3" s="1"/>
  <c r="R15" i="4"/>
  <c r="R75" i="3" s="1"/>
  <c r="AD15" i="4"/>
  <c r="W75" i="3" s="1"/>
  <c r="S15" i="4"/>
  <c r="Q75" i="3" s="1"/>
  <c r="H51" i="3"/>
  <c r="D211" i="11"/>
  <c r="D104" i="12"/>
  <c r="H49" i="3"/>
  <c r="I112" i="3"/>
  <c r="O104" i="4"/>
  <c r="L73" i="3"/>
  <c r="R4" i="4"/>
  <c r="R13" i="3" s="1"/>
  <c r="S4" i="4"/>
  <c r="Q13" i="3" s="1"/>
  <c r="L4" i="4"/>
  <c r="P13" i="3" s="1"/>
  <c r="AD4" i="4"/>
  <c r="W13" i="3" s="1"/>
  <c r="E13" i="3"/>
  <c r="AE4" i="4"/>
  <c r="X13" i="3" s="1"/>
  <c r="Z4" i="4"/>
  <c r="T13" i="3" s="1"/>
  <c r="AA4" i="4"/>
  <c r="S13" i="3" s="1"/>
  <c r="V105" i="4"/>
  <c r="U116" i="3" s="1"/>
  <c r="G116" i="3"/>
  <c r="H139" i="6"/>
  <c r="V139" i="5"/>
  <c r="U139" i="6" s="1"/>
  <c r="S72" i="4"/>
  <c r="Q165" i="3" s="1"/>
  <c r="AD72" i="4"/>
  <c r="W165" i="3" s="1"/>
  <c r="Q72" i="4"/>
  <c r="R72" i="4"/>
  <c r="R165" i="3" s="1"/>
  <c r="L72" i="4"/>
  <c r="P165" i="3" s="1"/>
  <c r="E165" i="3"/>
  <c r="Z72" i="4"/>
  <c r="T165" i="3" s="1"/>
  <c r="AE72" i="4"/>
  <c r="X165" i="3" s="1"/>
  <c r="AA72" i="4"/>
  <c r="S165" i="3" s="1"/>
  <c r="D142" i="12"/>
  <c r="D103" i="11"/>
  <c r="C418" i="1"/>
  <c r="D206" i="11"/>
  <c r="D23" i="9"/>
  <c r="H13" i="6"/>
  <c r="V13" i="5"/>
  <c r="U13" i="6" s="1"/>
  <c r="L18" i="5"/>
  <c r="P18" i="6" s="1"/>
  <c r="AA18" i="5"/>
  <c r="S18" i="6" s="1"/>
  <c r="AD18" i="5"/>
  <c r="Q18" i="5"/>
  <c r="S18" i="5"/>
  <c r="Q18" i="6" s="1"/>
  <c r="AE18" i="5"/>
  <c r="X18" i="6" s="1"/>
  <c r="R18" i="5"/>
  <c r="R18" i="6" s="1"/>
  <c r="AO18" i="5"/>
  <c r="AP18" i="5" s="1"/>
  <c r="E18" i="6"/>
  <c r="Z18" i="5"/>
  <c r="T18" i="6" s="1"/>
  <c r="D90" i="11"/>
  <c r="V200" i="4"/>
  <c r="U199" i="3" s="1"/>
  <c r="G199" i="3"/>
  <c r="AE114" i="5"/>
  <c r="X114" i="6" s="1"/>
  <c r="L114" i="5"/>
  <c r="P114" i="6" s="1"/>
  <c r="AA114" i="5"/>
  <c r="S114" i="6" s="1"/>
  <c r="AO114" i="5"/>
  <c r="AP114" i="5" s="1"/>
  <c r="Z114" i="5"/>
  <c r="T114" i="6" s="1"/>
  <c r="S114" i="5"/>
  <c r="Q114" i="6" s="1"/>
  <c r="AD114" i="5"/>
  <c r="E114" i="6"/>
  <c r="R114" i="5"/>
  <c r="R114" i="6" s="1"/>
  <c r="Q114" i="5"/>
  <c r="D76" i="8"/>
  <c r="H113" i="6"/>
  <c r="V113" i="5"/>
  <c r="U113" i="6" s="1"/>
  <c r="C33" i="1"/>
  <c r="C442" i="1"/>
  <c r="C417" i="1"/>
  <c r="C337" i="1"/>
  <c r="F180" i="3"/>
  <c r="D152" i="10"/>
  <c r="I146" i="6"/>
  <c r="O146" i="5"/>
  <c r="H146" i="6"/>
  <c r="V146" i="5"/>
  <c r="U146" i="6" s="1"/>
  <c r="E200" i="6"/>
  <c r="S200" i="5"/>
  <c r="Q200" i="6" s="1"/>
  <c r="L200" i="5"/>
  <c r="P200" i="6" s="1"/>
  <c r="Z200" i="5"/>
  <c r="T200" i="6" s="1"/>
  <c r="AO200" i="5"/>
  <c r="AP200" i="5" s="1"/>
  <c r="AD200" i="5"/>
  <c r="AA200" i="5"/>
  <c r="S200" i="6" s="1"/>
  <c r="R200" i="5"/>
  <c r="R200" i="6" s="1"/>
  <c r="AE200" i="5"/>
  <c r="X200" i="6" s="1"/>
  <c r="D60" i="9"/>
  <c r="H82" i="6"/>
  <c r="V82" i="5"/>
  <c r="U82" i="6" s="1"/>
  <c r="V84" i="4"/>
  <c r="U59" i="3" s="1"/>
  <c r="G59" i="3"/>
  <c r="V186" i="5"/>
  <c r="U186" i="6" s="1"/>
  <c r="H186" i="6"/>
  <c r="L156" i="3"/>
  <c r="G160" i="3"/>
  <c r="V14" i="4"/>
  <c r="U160" i="3" s="1"/>
  <c r="E181" i="3"/>
  <c r="Z162" i="4"/>
  <c r="T181" i="3" s="1"/>
  <c r="R162" i="4"/>
  <c r="R181" i="3" s="1"/>
  <c r="AE162" i="4"/>
  <c r="X181" i="3" s="1"/>
  <c r="AA162" i="4"/>
  <c r="S181" i="3" s="1"/>
  <c r="AD162" i="4"/>
  <c r="W181" i="3" s="1"/>
  <c r="L162" i="4"/>
  <c r="P181" i="3" s="1"/>
  <c r="S162" i="4"/>
  <c r="Q181" i="3" s="1"/>
  <c r="J101" i="16"/>
  <c r="H132" i="3"/>
  <c r="C198" i="1"/>
  <c r="L167" i="3"/>
  <c r="L32" i="5"/>
  <c r="P32" i="6" s="1"/>
  <c r="AA32" i="5"/>
  <c r="S32" i="6" s="1"/>
  <c r="Z32" i="5"/>
  <c r="T32" i="6" s="1"/>
  <c r="AE32" i="5"/>
  <c r="X32" i="6" s="1"/>
  <c r="S32" i="5"/>
  <c r="Q32" i="6" s="1"/>
  <c r="AD32" i="5"/>
  <c r="R32" i="5"/>
  <c r="R32" i="6" s="1"/>
  <c r="E32" i="6"/>
  <c r="AO32" i="5"/>
  <c r="AP32" i="5" s="1"/>
  <c r="S189" i="4"/>
  <c r="Q52" i="3" s="1"/>
  <c r="L189" i="4"/>
  <c r="P52" i="3" s="1"/>
  <c r="E52" i="3"/>
  <c r="R189" i="4"/>
  <c r="R52" i="3" s="1"/>
  <c r="AD189" i="4"/>
  <c r="W52" i="3" s="1"/>
  <c r="AA189" i="4"/>
  <c r="S52" i="3" s="1"/>
  <c r="Z189" i="4"/>
  <c r="T52" i="3" s="1"/>
  <c r="AE189" i="4"/>
  <c r="X52" i="3" s="1"/>
  <c r="L6" i="6"/>
  <c r="L64" i="4"/>
  <c r="P50" i="3" s="1"/>
  <c r="S64" i="4"/>
  <c r="Q50" i="3" s="1"/>
  <c r="AE64" i="4"/>
  <c r="X50" i="3" s="1"/>
  <c r="E50" i="3"/>
  <c r="Z64" i="4"/>
  <c r="T50" i="3" s="1"/>
  <c r="AA64" i="4"/>
  <c r="S50" i="3" s="1"/>
  <c r="R64" i="4"/>
  <c r="R50" i="3" s="1"/>
  <c r="AD64" i="4"/>
  <c r="W50" i="3" s="1"/>
  <c r="Q64" i="4"/>
  <c r="Z121" i="4"/>
  <c r="T83" i="3" s="1"/>
  <c r="AD121" i="4"/>
  <c r="W83" i="3" s="1"/>
  <c r="S121" i="4"/>
  <c r="Q83" i="3" s="1"/>
  <c r="R121" i="4"/>
  <c r="R83" i="3" s="1"/>
  <c r="E83" i="3"/>
  <c r="L121" i="4"/>
  <c r="P83" i="3" s="1"/>
  <c r="AA121" i="4"/>
  <c r="S83" i="3" s="1"/>
  <c r="AE121" i="4"/>
  <c r="X83" i="3" s="1"/>
  <c r="Q121" i="4"/>
  <c r="F127" i="3"/>
  <c r="L20" i="3"/>
  <c r="I33" i="6"/>
  <c r="O33" i="5"/>
  <c r="F193" i="6"/>
  <c r="D113" i="10"/>
  <c r="D251" i="12"/>
  <c r="H151" i="6"/>
  <c r="V151" i="5"/>
  <c r="U151" i="6" s="1"/>
  <c r="D159" i="9"/>
  <c r="D72" i="8"/>
  <c r="D186" i="11"/>
  <c r="C422" i="1"/>
  <c r="B229" i="8"/>
  <c r="B229" i="10"/>
  <c r="B229" i="12"/>
  <c r="B229" i="9"/>
  <c r="B229" i="11"/>
  <c r="L152" i="16"/>
  <c r="K152" i="16"/>
  <c r="L119" i="6"/>
  <c r="H182" i="6"/>
  <c r="V182" i="5"/>
  <c r="U182" i="6" s="1"/>
  <c r="D176" i="9"/>
  <c r="D189" i="12"/>
  <c r="E51" i="3"/>
  <c r="S111" i="4"/>
  <c r="Q51" i="3" s="1"/>
  <c r="L111" i="4"/>
  <c r="P51" i="3" s="1"/>
  <c r="Z111" i="4"/>
  <c r="T51" i="3" s="1"/>
  <c r="AA111" i="4"/>
  <c r="S51" i="3" s="1"/>
  <c r="AD111" i="4"/>
  <c r="W51" i="3" s="1"/>
  <c r="R111" i="4"/>
  <c r="R51" i="3" s="1"/>
  <c r="AE111" i="4"/>
  <c r="X51" i="3" s="1"/>
  <c r="O53" i="4"/>
  <c r="I133" i="3"/>
  <c r="H189" i="3"/>
  <c r="D77" i="8"/>
  <c r="F148" i="3"/>
  <c r="L123" i="3"/>
  <c r="F8" i="6"/>
  <c r="I148" i="6"/>
  <c r="O148" i="5"/>
  <c r="L171" i="3"/>
  <c r="H157" i="3"/>
  <c r="D143" i="10"/>
  <c r="H52" i="6"/>
  <c r="V52" i="5"/>
  <c r="U52" i="6" s="1"/>
  <c r="L110" i="16"/>
  <c r="K110" i="16"/>
  <c r="L120" i="6"/>
  <c r="AE73" i="5"/>
  <c r="X73" i="6" s="1"/>
  <c r="R73" i="5"/>
  <c r="R73" i="6" s="1"/>
  <c r="AA73" i="5"/>
  <c r="S73" i="6" s="1"/>
  <c r="L73" i="5"/>
  <c r="P73" i="6" s="1"/>
  <c r="AD73" i="5"/>
  <c r="AO73" i="5"/>
  <c r="AP73" i="5" s="1"/>
  <c r="S73" i="5"/>
  <c r="Q73" i="6" s="1"/>
  <c r="Z73" i="5"/>
  <c r="T73" i="6" s="1"/>
  <c r="E73" i="6"/>
  <c r="F89" i="3"/>
  <c r="Z149" i="5"/>
  <c r="T149" i="6" s="1"/>
  <c r="AE149" i="5"/>
  <c r="X149" i="6" s="1"/>
  <c r="AA149" i="5"/>
  <c r="S149" i="6" s="1"/>
  <c r="E149" i="6"/>
  <c r="S149" i="5"/>
  <c r="Q149" i="6" s="1"/>
  <c r="AO149" i="5"/>
  <c r="AP149" i="5" s="1"/>
  <c r="R149" i="5"/>
  <c r="R149" i="6" s="1"/>
  <c r="AD149" i="5"/>
  <c r="L149" i="5"/>
  <c r="P149" i="6" s="1"/>
  <c r="Q149" i="5"/>
  <c r="C194" i="1"/>
  <c r="D82" i="8"/>
  <c r="D86" i="8"/>
  <c r="F187" i="6"/>
  <c r="AA174" i="4"/>
  <c r="S110" i="3" s="1"/>
  <c r="AD174" i="4"/>
  <c r="W110" i="3" s="1"/>
  <c r="Z174" i="4"/>
  <c r="T110" i="3" s="1"/>
  <c r="Q174" i="4"/>
  <c r="R174" i="4"/>
  <c r="R110" i="3" s="1"/>
  <c r="AE174" i="4"/>
  <c r="X110" i="3" s="1"/>
  <c r="L174" i="4"/>
  <c r="P110" i="3" s="1"/>
  <c r="E110" i="3"/>
  <c r="S174" i="4"/>
  <c r="Q110" i="3" s="1"/>
  <c r="I64" i="16"/>
  <c r="F109" i="6"/>
  <c r="I77" i="16"/>
  <c r="C490" i="1"/>
  <c r="O119" i="4"/>
  <c r="I81" i="3"/>
  <c r="D6" i="8"/>
  <c r="F96" i="6"/>
  <c r="I62" i="16"/>
  <c r="D18" i="11"/>
  <c r="D168" i="9"/>
  <c r="B282" i="10"/>
  <c r="B282" i="9"/>
  <c r="B282" i="12"/>
  <c r="B282" i="8"/>
  <c r="B282" i="11"/>
  <c r="F50" i="6"/>
  <c r="O73" i="5"/>
  <c r="I73" i="6"/>
  <c r="I168" i="6"/>
  <c r="O168" i="5"/>
  <c r="S177" i="4"/>
  <c r="Q91" i="3" s="1"/>
  <c r="E91" i="3"/>
  <c r="L177" i="4"/>
  <c r="P91" i="3" s="1"/>
  <c r="AA177" i="4"/>
  <c r="S91" i="3" s="1"/>
  <c r="R177" i="4"/>
  <c r="R91" i="3" s="1"/>
  <c r="Z177" i="4"/>
  <c r="T91" i="3" s="1"/>
  <c r="Q177" i="4"/>
  <c r="AE177" i="4"/>
  <c r="X91" i="3" s="1"/>
  <c r="AD177" i="4"/>
  <c r="W91" i="3" s="1"/>
  <c r="K98" i="16"/>
  <c r="L98" i="16"/>
  <c r="G181" i="3"/>
  <c r="V162" i="4"/>
  <c r="U181" i="3" s="1"/>
  <c r="V191" i="5"/>
  <c r="U191" i="6" s="1"/>
  <c r="H191" i="6"/>
  <c r="D159" i="12"/>
  <c r="G39" i="6"/>
  <c r="H168" i="3"/>
  <c r="V94" i="4"/>
  <c r="U108" i="3" s="1"/>
  <c r="G108" i="3"/>
  <c r="F73" i="6"/>
  <c r="C73" i="1"/>
  <c r="H133" i="3"/>
  <c r="H193" i="6"/>
  <c r="V193" i="5"/>
  <c r="U193" i="6" s="1"/>
  <c r="B233" i="9"/>
  <c r="B233" i="8"/>
  <c r="B233" i="11"/>
  <c r="B233" i="12"/>
  <c r="B233" i="10"/>
  <c r="O182" i="5"/>
  <c r="I182" i="6"/>
  <c r="L125" i="3"/>
  <c r="D90" i="9"/>
  <c r="I117" i="6"/>
  <c r="O117" i="5"/>
  <c r="C51" i="1"/>
  <c r="O67" i="5"/>
  <c r="I67" i="6"/>
  <c r="F31" i="3"/>
  <c r="D40" i="8"/>
  <c r="L105" i="6"/>
  <c r="H108" i="3"/>
  <c r="D80" i="11"/>
  <c r="K167" i="16"/>
  <c r="L167" i="16"/>
  <c r="L133" i="6"/>
  <c r="L43" i="3"/>
  <c r="H203" i="6"/>
  <c r="V203" i="5"/>
  <c r="U203" i="6" s="1"/>
  <c r="G142" i="6"/>
  <c r="H80" i="3"/>
  <c r="V73" i="5"/>
  <c r="U73" i="6" s="1"/>
  <c r="H73" i="6"/>
  <c r="D170" i="9"/>
  <c r="O194" i="5"/>
  <c r="I194" i="6"/>
  <c r="D140" i="12"/>
  <c r="I103" i="16"/>
  <c r="C128" i="1"/>
  <c r="C330" i="1"/>
  <c r="F148" i="6"/>
  <c r="F142" i="3"/>
  <c r="D195" i="8"/>
  <c r="D165" i="10"/>
  <c r="Z116" i="5"/>
  <c r="T116" i="6" s="1"/>
  <c r="S116" i="5"/>
  <c r="Q116" i="6" s="1"/>
  <c r="L116" i="5"/>
  <c r="P116" i="6" s="1"/>
  <c r="AA116" i="5"/>
  <c r="S116" i="6" s="1"/>
  <c r="R116" i="5"/>
  <c r="R116" i="6" s="1"/>
  <c r="AE116" i="5"/>
  <c r="X116" i="6" s="1"/>
  <c r="E116" i="6"/>
  <c r="AO116" i="5"/>
  <c r="AP116" i="5" s="1"/>
  <c r="AD116" i="5"/>
  <c r="C5" i="9"/>
  <c r="D5" i="9" s="1"/>
  <c r="Q122" i="5"/>
  <c r="AO122" i="5"/>
  <c r="AP122" i="5" s="1"/>
  <c r="Z122" i="5"/>
  <c r="T122" i="6" s="1"/>
  <c r="L122" i="5"/>
  <c r="P122" i="6" s="1"/>
  <c r="S122" i="5"/>
  <c r="Q122" i="6" s="1"/>
  <c r="AD122" i="5"/>
  <c r="R122" i="5"/>
  <c r="R122" i="6" s="1"/>
  <c r="AA122" i="5"/>
  <c r="S122" i="6" s="1"/>
  <c r="E122" i="6"/>
  <c r="AE122" i="5"/>
  <c r="X122" i="6" s="1"/>
  <c r="K122" i="16"/>
  <c r="L122" i="16"/>
  <c r="D126" i="11"/>
  <c r="D124" i="10"/>
  <c r="C402" i="1"/>
  <c r="Z154" i="5"/>
  <c r="T154" i="6" s="1"/>
  <c r="S154" i="5"/>
  <c r="Q154" i="6" s="1"/>
  <c r="E154" i="6"/>
  <c r="AD154" i="5"/>
  <c r="L154" i="5"/>
  <c r="P154" i="6" s="1"/>
  <c r="Q154" i="5"/>
  <c r="AA154" i="5"/>
  <c r="S154" i="6" s="1"/>
  <c r="AE154" i="5"/>
  <c r="X154" i="6" s="1"/>
  <c r="R154" i="5"/>
  <c r="R154" i="6" s="1"/>
  <c r="AO154" i="5"/>
  <c r="AP154" i="5" s="1"/>
  <c r="F53" i="6"/>
  <c r="D47" i="12"/>
  <c r="D292" i="11"/>
  <c r="D288" i="11"/>
  <c r="D109" i="9"/>
  <c r="O194" i="4"/>
  <c r="I121" i="3"/>
  <c r="F88" i="3"/>
  <c r="D115" i="8"/>
  <c r="F146" i="6"/>
  <c r="D6" i="10"/>
  <c r="K82" i="16"/>
  <c r="L82" i="16"/>
  <c r="D220" i="12"/>
  <c r="F39" i="3"/>
  <c r="V157" i="4"/>
  <c r="U76" i="3" s="1"/>
  <c r="G76" i="3"/>
  <c r="F191" i="3"/>
  <c r="L114" i="3"/>
  <c r="D52" i="10"/>
  <c r="L134" i="5"/>
  <c r="P134" i="6" s="1"/>
  <c r="S134" i="5"/>
  <c r="Q134" i="6" s="1"/>
  <c r="AO134" i="5"/>
  <c r="AP134" i="5" s="1"/>
  <c r="R134" i="5"/>
  <c r="R134" i="6" s="1"/>
  <c r="Q134" i="5"/>
  <c r="AE134" i="5"/>
  <c r="X134" i="6" s="1"/>
  <c r="E134" i="6"/>
  <c r="AA134" i="5"/>
  <c r="S134" i="6" s="1"/>
  <c r="Z134" i="5"/>
  <c r="T134" i="6" s="1"/>
  <c r="AD134" i="5"/>
  <c r="F165" i="3"/>
  <c r="F134" i="6"/>
  <c r="F45" i="6"/>
  <c r="R162" i="5"/>
  <c r="R162" i="6" s="1"/>
  <c r="Z162" i="5"/>
  <c r="T162" i="6" s="1"/>
  <c r="S162" i="5"/>
  <c r="Q162" i="6" s="1"/>
  <c r="L162" i="5"/>
  <c r="P162" i="6" s="1"/>
  <c r="AD162" i="5"/>
  <c r="AE162" i="5"/>
  <c r="X162" i="6" s="1"/>
  <c r="E162" i="6"/>
  <c r="AA162" i="5"/>
  <c r="S162" i="6" s="1"/>
  <c r="AO162" i="5"/>
  <c r="AP162" i="5" s="1"/>
  <c r="H151" i="3"/>
  <c r="H190" i="3"/>
  <c r="D218" i="10"/>
  <c r="L168" i="16"/>
  <c r="K168" i="16"/>
  <c r="I25" i="6"/>
  <c r="O25" i="5"/>
  <c r="D258" i="12"/>
  <c r="D123" i="11"/>
  <c r="R3" i="5"/>
  <c r="R3" i="6" s="1"/>
  <c r="AE3" i="5"/>
  <c r="X3" i="6" s="1"/>
  <c r="E3" i="6"/>
  <c r="AA3" i="5"/>
  <c r="S3" i="6" s="1"/>
  <c r="Z3" i="5"/>
  <c r="T3" i="6" s="1"/>
  <c r="L3" i="5"/>
  <c r="P3" i="6" s="1"/>
  <c r="AO3" i="5"/>
  <c r="AP3" i="5" s="1"/>
  <c r="S3" i="5"/>
  <c r="Q3" i="6" s="1"/>
  <c r="AD3" i="5"/>
  <c r="Q3" i="5"/>
  <c r="D6" i="9"/>
  <c r="D101" i="9"/>
  <c r="D14" i="11"/>
  <c r="L60" i="4"/>
  <c r="P200" i="3" s="1"/>
  <c r="S60" i="4"/>
  <c r="Q200" i="3" s="1"/>
  <c r="AD60" i="4"/>
  <c r="W200" i="3" s="1"/>
  <c r="E200" i="3"/>
  <c r="R60" i="4"/>
  <c r="R200" i="3" s="1"/>
  <c r="AE60" i="4"/>
  <c r="X200" i="3" s="1"/>
  <c r="Z60" i="4"/>
  <c r="T200" i="3" s="1"/>
  <c r="AA60" i="4"/>
  <c r="S200" i="3" s="1"/>
  <c r="D114" i="8"/>
  <c r="L62" i="6"/>
  <c r="D89" i="12"/>
  <c r="L193" i="3"/>
  <c r="D180" i="10"/>
  <c r="H140" i="3"/>
  <c r="I98" i="3"/>
  <c r="O69" i="4"/>
  <c r="H146" i="3"/>
  <c r="D203" i="10"/>
  <c r="AA30" i="5"/>
  <c r="S30" i="6" s="1"/>
  <c r="AO30" i="5"/>
  <c r="AP30" i="5" s="1"/>
  <c r="Z30" i="5"/>
  <c r="T30" i="6" s="1"/>
  <c r="E30" i="6"/>
  <c r="AE30" i="5"/>
  <c r="X30" i="6" s="1"/>
  <c r="R30" i="5"/>
  <c r="R30" i="6" s="1"/>
  <c r="L30" i="5"/>
  <c r="P30" i="6" s="1"/>
  <c r="AD30" i="5"/>
  <c r="Q30" i="5"/>
  <c r="S30" i="5"/>
  <c r="Q30" i="6" s="1"/>
  <c r="D197" i="8"/>
  <c r="I15" i="6"/>
  <c r="O15" i="5"/>
  <c r="I166" i="16"/>
  <c r="D182" i="11"/>
  <c r="J165" i="16"/>
  <c r="L74" i="3"/>
  <c r="H185" i="6"/>
  <c r="V185" i="5"/>
  <c r="U185" i="6" s="1"/>
  <c r="V183" i="4"/>
  <c r="U12" i="3" s="1"/>
  <c r="G12" i="3"/>
  <c r="D147" i="11"/>
  <c r="I46" i="6"/>
  <c r="O46" i="5"/>
  <c r="I122" i="6"/>
  <c r="O122" i="5"/>
  <c r="L196" i="3"/>
  <c r="H99" i="3"/>
  <c r="H135" i="3"/>
  <c r="O87" i="5"/>
  <c r="I87" i="6"/>
  <c r="J140" i="16"/>
  <c r="L156" i="16"/>
  <c r="K156" i="16"/>
  <c r="E124" i="6"/>
  <c r="AD124" i="5"/>
  <c r="Z124" i="5"/>
  <c r="T124" i="6" s="1"/>
  <c r="Q124" i="5"/>
  <c r="AE124" i="5"/>
  <c r="X124" i="6" s="1"/>
  <c r="AA124" i="5"/>
  <c r="S124" i="6" s="1"/>
  <c r="S124" i="5"/>
  <c r="Q124" i="6" s="1"/>
  <c r="AO124" i="5"/>
  <c r="AP124" i="5" s="1"/>
  <c r="L124" i="5"/>
  <c r="P124" i="6" s="1"/>
  <c r="R124" i="5"/>
  <c r="R124" i="6" s="1"/>
  <c r="D205" i="12"/>
  <c r="I55" i="16"/>
  <c r="L32" i="3"/>
  <c r="O38" i="4"/>
  <c r="I109" i="3"/>
  <c r="L51" i="4"/>
  <c r="P7" i="3" s="1"/>
  <c r="AE51" i="4"/>
  <c r="X7" i="3" s="1"/>
  <c r="R51" i="4"/>
  <c r="R7" i="3" s="1"/>
  <c r="Z51" i="4"/>
  <c r="T7" i="3" s="1"/>
  <c r="E7" i="3"/>
  <c r="AA51" i="4"/>
  <c r="S7" i="3" s="1"/>
  <c r="S51" i="4"/>
  <c r="Q7" i="3" s="1"/>
  <c r="AD51" i="4"/>
  <c r="W7" i="3" s="1"/>
  <c r="D8" i="10"/>
  <c r="H119" i="3"/>
  <c r="D68" i="10"/>
  <c r="F80" i="3"/>
  <c r="O15" i="4"/>
  <c r="I75" i="3"/>
  <c r="V70" i="5"/>
  <c r="U70" i="6" s="1"/>
  <c r="H70" i="6"/>
  <c r="K133" i="16"/>
  <c r="L133" i="16"/>
  <c r="D68" i="11"/>
  <c r="V155" i="5"/>
  <c r="U155" i="6" s="1"/>
  <c r="H155" i="6"/>
  <c r="D271" i="12"/>
  <c r="D222" i="12"/>
  <c r="I89" i="16"/>
  <c r="D9" i="10"/>
  <c r="D105" i="9"/>
  <c r="G182" i="3"/>
  <c r="V31" i="4"/>
  <c r="U182" i="3" s="1"/>
  <c r="L94" i="16"/>
  <c r="K94" i="16"/>
  <c r="C359" i="1"/>
  <c r="D180" i="12"/>
  <c r="C55" i="1"/>
  <c r="O70" i="5"/>
  <c r="I70" i="6"/>
  <c r="L134" i="6"/>
  <c r="I203" i="3"/>
  <c r="O22" i="4"/>
  <c r="L31" i="3"/>
  <c r="J118" i="16"/>
  <c r="I160" i="6"/>
  <c r="O160" i="5"/>
  <c r="O35" i="4"/>
  <c r="I187" i="3"/>
  <c r="C357" i="1"/>
  <c r="I62" i="6"/>
  <c r="O62" i="5"/>
  <c r="L74" i="16"/>
  <c r="K74" i="16"/>
  <c r="O14" i="4"/>
  <c r="I160" i="3"/>
  <c r="V100" i="4"/>
  <c r="U56" i="3" s="1"/>
  <c r="G56" i="3"/>
  <c r="C347" i="1"/>
  <c r="D148" i="12"/>
  <c r="I58" i="16"/>
  <c r="B223" i="10"/>
  <c r="B223" i="11"/>
  <c r="B223" i="12"/>
  <c r="B223" i="9"/>
  <c r="B223" i="8"/>
  <c r="AE12" i="4"/>
  <c r="X167" i="3" s="1"/>
  <c r="L12" i="4"/>
  <c r="P167" i="3" s="1"/>
  <c r="S12" i="4"/>
  <c r="Q167" i="3" s="1"/>
  <c r="E167" i="3"/>
  <c r="AA12" i="4"/>
  <c r="S167" i="3" s="1"/>
  <c r="Z12" i="4"/>
  <c r="T167" i="3" s="1"/>
  <c r="AD12" i="4"/>
  <c r="W167" i="3" s="1"/>
  <c r="R12" i="4"/>
  <c r="R167" i="3" s="1"/>
  <c r="Q12" i="4"/>
  <c r="D60" i="11"/>
  <c r="L101" i="16"/>
  <c r="K101" i="16"/>
  <c r="G206" i="6"/>
  <c r="V117" i="5"/>
  <c r="U117" i="6" s="1"/>
  <c r="H117" i="6"/>
  <c r="G8" i="6"/>
  <c r="D225" i="11"/>
  <c r="F106" i="6"/>
  <c r="C394" i="1"/>
  <c r="I161" i="16"/>
  <c r="G114" i="6"/>
  <c r="Z18" i="4"/>
  <c r="T104" i="3" s="1"/>
  <c r="E104" i="3"/>
  <c r="R18" i="4"/>
  <c r="R104" i="3" s="1"/>
  <c r="AA18" i="4"/>
  <c r="S104" i="3" s="1"/>
  <c r="AE18" i="4"/>
  <c r="X104" i="3" s="1"/>
  <c r="S18" i="4"/>
  <c r="Q104" i="3" s="1"/>
  <c r="AD18" i="4"/>
  <c r="W104" i="3" s="1"/>
  <c r="L18" i="4"/>
  <c r="P104" i="3" s="1"/>
  <c r="Q18" i="4"/>
  <c r="F185" i="6"/>
  <c r="H5" i="1"/>
  <c r="V47" i="4"/>
  <c r="U138" i="3" s="1"/>
  <c r="G138" i="3"/>
  <c r="V46" i="5"/>
  <c r="U46" i="6" s="1"/>
  <c r="H46" i="6"/>
  <c r="C449" i="1"/>
  <c r="O165" i="4"/>
  <c r="I95" i="3"/>
  <c r="D57" i="9"/>
  <c r="L161" i="3"/>
  <c r="H186" i="3"/>
  <c r="F31" i="6"/>
  <c r="F118" i="6"/>
  <c r="D82" i="12"/>
  <c r="D49" i="10"/>
  <c r="O70" i="4"/>
  <c r="I149" i="3"/>
  <c r="C217" i="1"/>
  <c r="D61" i="8"/>
  <c r="F155" i="6"/>
  <c r="J161" i="16"/>
  <c r="O27" i="4"/>
  <c r="I123" i="3"/>
  <c r="G178" i="3"/>
  <c r="V29" i="4"/>
  <c r="U178" i="3" s="1"/>
  <c r="G55" i="3"/>
  <c r="V6" i="4"/>
  <c r="U55" i="3" s="1"/>
  <c r="D35" i="12"/>
  <c r="I24" i="6"/>
  <c r="O24" i="5"/>
  <c r="D266" i="11"/>
  <c r="H73" i="3"/>
  <c r="H174" i="3"/>
  <c r="V10" i="4"/>
  <c r="U183" i="3" s="1"/>
  <c r="G183" i="3"/>
  <c r="Z61" i="4"/>
  <c r="T139" i="3" s="1"/>
  <c r="L61" i="4"/>
  <c r="P139" i="3" s="1"/>
  <c r="AD61" i="4"/>
  <c r="W139" i="3" s="1"/>
  <c r="AA61" i="4"/>
  <c r="S139" i="3" s="1"/>
  <c r="S61" i="4"/>
  <c r="Q139" i="3" s="1"/>
  <c r="AE61" i="4"/>
  <c r="X139" i="3" s="1"/>
  <c r="R61" i="4"/>
  <c r="R139" i="3" s="1"/>
  <c r="E139" i="3"/>
  <c r="L192" i="6"/>
  <c r="D56" i="11"/>
  <c r="D100" i="10"/>
  <c r="L180" i="3"/>
  <c r="I116" i="16"/>
  <c r="F194" i="3"/>
  <c r="G190" i="3"/>
  <c r="V136" i="4"/>
  <c r="U190" i="3" s="1"/>
  <c r="D84" i="11"/>
  <c r="G15" i="6"/>
  <c r="D282" i="11"/>
  <c r="B275" i="11"/>
  <c r="B275" i="9"/>
  <c r="B275" i="10"/>
  <c r="B275" i="8"/>
  <c r="B275" i="12"/>
  <c r="D20" i="11"/>
  <c r="AE182" i="4"/>
  <c r="X134" i="3" s="1"/>
  <c r="S182" i="4"/>
  <c r="Q134" i="3" s="1"/>
  <c r="Q182" i="4"/>
  <c r="AD182" i="4"/>
  <c r="W134" i="3" s="1"/>
  <c r="AA182" i="4"/>
  <c r="S134" i="3" s="1"/>
  <c r="Z182" i="4"/>
  <c r="T134" i="3" s="1"/>
  <c r="E134" i="3"/>
  <c r="R182" i="4"/>
  <c r="R134" i="3" s="1"/>
  <c r="L182" i="4"/>
  <c r="P134" i="3" s="1"/>
  <c r="K183" i="16"/>
  <c r="L183" i="16"/>
  <c r="L55" i="6"/>
  <c r="O40" i="5"/>
  <c r="I40" i="6"/>
  <c r="H33" i="6"/>
  <c r="V33" i="5"/>
  <c r="U33" i="6" s="1"/>
  <c r="D131" i="9"/>
  <c r="H199" i="3"/>
  <c r="I63" i="3"/>
  <c r="O73" i="4"/>
  <c r="C9" i="1"/>
  <c r="D198" i="10"/>
  <c r="D173" i="9"/>
  <c r="L182" i="16"/>
  <c r="K182" i="16"/>
  <c r="L100" i="6"/>
  <c r="R54" i="4"/>
  <c r="R125" i="3" s="1"/>
  <c r="L54" i="4"/>
  <c r="P125" i="3" s="1"/>
  <c r="AD54" i="4"/>
  <c r="W125" i="3" s="1"/>
  <c r="AE54" i="4"/>
  <c r="X125" i="3" s="1"/>
  <c r="Z54" i="4"/>
  <c r="T125" i="3" s="1"/>
  <c r="AA54" i="4"/>
  <c r="S125" i="3" s="1"/>
  <c r="E125" i="3"/>
  <c r="S54" i="4"/>
  <c r="Q125" i="3" s="1"/>
  <c r="L194" i="6"/>
  <c r="L33" i="3"/>
  <c r="O13" i="5"/>
  <c r="I13" i="6"/>
  <c r="C8" i="1"/>
  <c r="J155" i="16"/>
  <c r="C16" i="1"/>
  <c r="G27" i="3"/>
  <c r="V131" i="4"/>
  <c r="U27" i="3" s="1"/>
  <c r="F93" i="3"/>
  <c r="V87" i="4"/>
  <c r="U96" i="3" s="1"/>
  <c r="G96" i="3"/>
  <c r="D24" i="8"/>
  <c r="L172" i="16"/>
  <c r="K172" i="16"/>
  <c r="V164" i="5"/>
  <c r="U164" i="6" s="1"/>
  <c r="H164" i="6"/>
  <c r="J115" i="16"/>
  <c r="B264" i="12"/>
  <c r="B264" i="9"/>
  <c r="B264" i="8"/>
  <c r="B264" i="10"/>
  <c r="B264" i="11"/>
  <c r="D28" i="12"/>
  <c r="S10" i="5"/>
  <c r="Q10" i="6" s="1"/>
  <c r="E10" i="6"/>
  <c r="Q10" i="5"/>
  <c r="L10" i="5"/>
  <c r="P10" i="6" s="1"/>
  <c r="AD10" i="5"/>
  <c r="R10" i="5"/>
  <c r="R10" i="6" s="1"/>
  <c r="AE10" i="5"/>
  <c r="X10" i="6" s="1"/>
  <c r="Z10" i="5"/>
  <c r="T10" i="6" s="1"/>
  <c r="AO10" i="5"/>
  <c r="AP10" i="5" s="1"/>
  <c r="AA10" i="5"/>
  <c r="S10" i="6" s="1"/>
  <c r="C401" i="1"/>
  <c r="D108" i="8"/>
  <c r="D134" i="8"/>
  <c r="L149" i="3"/>
  <c r="I47" i="16"/>
  <c r="C5" i="11"/>
  <c r="J171" i="16"/>
  <c r="G35" i="3"/>
  <c r="V97" i="4"/>
  <c r="U35" i="3" s="1"/>
  <c r="C493" i="1"/>
  <c r="D214" i="10"/>
  <c r="O108" i="5"/>
  <c r="I108" i="6"/>
  <c r="H152" i="3"/>
  <c r="S37" i="4"/>
  <c r="Q168" i="3" s="1"/>
  <c r="L37" i="4"/>
  <c r="P168" i="3" s="1"/>
  <c r="AE37" i="4"/>
  <c r="X168" i="3" s="1"/>
  <c r="R37" i="4"/>
  <c r="R168" i="3" s="1"/>
  <c r="AD37" i="4"/>
  <c r="W168" i="3" s="1"/>
  <c r="E168" i="3"/>
  <c r="Z37" i="4"/>
  <c r="T168" i="3" s="1"/>
  <c r="Q37" i="4"/>
  <c r="AA37" i="4"/>
  <c r="S168" i="3" s="1"/>
  <c r="G168" i="3"/>
  <c r="V37" i="4"/>
  <c r="U168" i="3" s="1"/>
  <c r="G95" i="3"/>
  <c r="V165" i="4"/>
  <c r="U95" i="3" s="1"/>
  <c r="G48" i="3"/>
  <c r="V41" i="4"/>
  <c r="U48" i="3" s="1"/>
  <c r="H183" i="3"/>
  <c r="I125" i="3"/>
  <c r="O54" i="4"/>
  <c r="E64" i="3"/>
  <c r="S137" i="4"/>
  <c r="Q64" i="3" s="1"/>
  <c r="AD137" i="4"/>
  <c r="W64" i="3" s="1"/>
  <c r="R137" i="4"/>
  <c r="R64" i="3" s="1"/>
  <c r="AA137" i="4"/>
  <c r="S64" i="3" s="1"/>
  <c r="Z137" i="4"/>
  <c r="T64" i="3" s="1"/>
  <c r="AE137" i="4"/>
  <c r="X64" i="3" s="1"/>
  <c r="L137" i="4"/>
  <c r="P64" i="3" s="1"/>
  <c r="Q137" i="4"/>
  <c r="V65" i="4"/>
  <c r="U146" i="3" s="1"/>
  <c r="G146" i="3"/>
  <c r="D22" i="9"/>
  <c r="D280" i="12"/>
  <c r="V159" i="5"/>
  <c r="U159" i="6" s="1"/>
  <c r="H159" i="6"/>
  <c r="D36" i="9"/>
  <c r="I186" i="6"/>
  <c r="O186" i="5"/>
  <c r="L101" i="6"/>
  <c r="C434" i="1"/>
  <c r="V41" i="5"/>
  <c r="U41" i="6" s="1"/>
  <c r="H41" i="6"/>
  <c r="O63" i="4"/>
  <c r="I145" i="3"/>
  <c r="R120" i="4"/>
  <c r="R44" i="3" s="1"/>
  <c r="AE120" i="4"/>
  <c r="X44" i="3" s="1"/>
  <c r="E44" i="3"/>
  <c r="S120" i="4"/>
  <c r="Q44" i="3" s="1"/>
  <c r="AD120" i="4"/>
  <c r="W44" i="3" s="1"/>
  <c r="AA120" i="4"/>
  <c r="S44" i="3" s="1"/>
  <c r="Z120" i="4"/>
  <c r="T44" i="3" s="1"/>
  <c r="L120" i="4"/>
  <c r="P44" i="3" s="1"/>
  <c r="V118" i="4"/>
  <c r="U33" i="3" s="1"/>
  <c r="G33" i="3"/>
  <c r="D61" i="9"/>
  <c r="I149" i="6"/>
  <c r="O149" i="5"/>
  <c r="D57" i="10"/>
  <c r="V75" i="4"/>
  <c r="U17" i="3" s="1"/>
  <c r="G17" i="3"/>
  <c r="D74" i="11"/>
  <c r="D21" i="12"/>
  <c r="D155" i="9"/>
  <c r="L6" i="3"/>
  <c r="D19" i="11"/>
  <c r="D140" i="11"/>
  <c r="V55" i="4"/>
  <c r="U105" i="3" s="1"/>
  <c r="G105" i="3"/>
  <c r="I3" i="3"/>
  <c r="O122" i="4"/>
  <c r="V49" i="4"/>
  <c r="U188" i="3" s="1"/>
  <c r="G188" i="3"/>
  <c r="D14" i="12"/>
  <c r="D59" i="11"/>
  <c r="C62" i="1"/>
  <c r="L88" i="3"/>
  <c r="F11" i="3"/>
  <c r="AE198" i="5"/>
  <c r="X198" i="6" s="1"/>
  <c r="E198" i="6"/>
  <c r="AO198" i="5"/>
  <c r="AP198" i="5" s="1"/>
  <c r="AA198" i="5"/>
  <c r="S198" i="6" s="1"/>
  <c r="L198" i="5"/>
  <c r="P198" i="6" s="1"/>
  <c r="Z198" i="5"/>
  <c r="T198" i="6" s="1"/>
  <c r="AD198" i="5"/>
  <c r="S198" i="5"/>
  <c r="Q198" i="6" s="1"/>
  <c r="R198" i="5"/>
  <c r="R198" i="6" s="1"/>
  <c r="Q198" i="5"/>
  <c r="D281" i="11"/>
  <c r="D124" i="12"/>
  <c r="I66" i="16"/>
  <c r="D233" i="12"/>
  <c r="F28" i="3"/>
  <c r="C491" i="1"/>
  <c r="F199" i="6"/>
  <c r="H205" i="3"/>
  <c r="D58" i="12"/>
  <c r="L186" i="16"/>
  <c r="K186" i="16"/>
  <c r="F175" i="3"/>
  <c r="I164" i="16"/>
  <c r="F124" i="6"/>
  <c r="AE117" i="4"/>
  <c r="X85" i="3" s="1"/>
  <c r="S117" i="4"/>
  <c r="Q85" i="3" s="1"/>
  <c r="AD117" i="4"/>
  <c r="W85" i="3" s="1"/>
  <c r="Z117" i="4"/>
  <c r="T85" i="3" s="1"/>
  <c r="AA117" i="4"/>
  <c r="S85" i="3" s="1"/>
  <c r="R117" i="4"/>
  <c r="R85" i="3" s="1"/>
  <c r="L117" i="4"/>
  <c r="P85" i="3" s="1"/>
  <c r="E85" i="3"/>
  <c r="Q117" i="4"/>
  <c r="L87" i="3"/>
  <c r="D139" i="12"/>
  <c r="I162" i="3"/>
  <c r="O82" i="4"/>
  <c r="C169" i="1"/>
  <c r="G189" i="3"/>
  <c r="V89" i="4"/>
  <c r="U189" i="3" s="1"/>
  <c r="D182" i="8"/>
  <c r="J104" i="16"/>
  <c r="L135" i="3"/>
  <c r="O89" i="5"/>
  <c r="I89" i="6"/>
  <c r="F83" i="6"/>
  <c r="G93" i="6"/>
  <c r="O71" i="5"/>
  <c r="I71" i="6"/>
  <c r="G134" i="3"/>
  <c r="V182" i="4"/>
  <c r="U134" i="3" s="1"/>
  <c r="D50" i="11"/>
  <c r="L16" i="3"/>
  <c r="D125" i="9"/>
  <c r="O185" i="4"/>
  <c r="I69" i="3"/>
  <c r="D243" i="11"/>
  <c r="D95" i="9"/>
  <c r="D204" i="8"/>
  <c r="D205" i="9"/>
  <c r="L129" i="16"/>
  <c r="K129" i="16"/>
  <c r="D62" i="8"/>
  <c r="F203" i="6"/>
  <c r="L52" i="6"/>
  <c r="S172" i="4"/>
  <c r="Q88" i="3" s="1"/>
  <c r="AD172" i="4"/>
  <c r="W88" i="3" s="1"/>
  <c r="AE172" i="4"/>
  <c r="X88" i="3" s="1"/>
  <c r="E88" i="3"/>
  <c r="Z172" i="4"/>
  <c r="T88" i="3" s="1"/>
  <c r="Q172" i="4"/>
  <c r="AA172" i="4"/>
  <c r="S88" i="3" s="1"/>
  <c r="R172" i="4"/>
  <c r="R88" i="3" s="1"/>
  <c r="L172" i="4"/>
  <c r="P88" i="3" s="1"/>
  <c r="D104" i="8"/>
  <c r="F142" i="6"/>
  <c r="V179" i="4"/>
  <c r="U191" i="3" s="1"/>
  <c r="G191" i="3"/>
  <c r="D193" i="9"/>
  <c r="F23" i="6"/>
  <c r="D206" i="10"/>
  <c r="AO128" i="5"/>
  <c r="AP128" i="5" s="1"/>
  <c r="Z128" i="5"/>
  <c r="T128" i="6" s="1"/>
  <c r="AA128" i="5"/>
  <c r="S128" i="6" s="1"/>
  <c r="Q128" i="5"/>
  <c r="AD128" i="5"/>
  <c r="E128" i="6"/>
  <c r="L128" i="5"/>
  <c r="P128" i="6" s="1"/>
  <c r="AE128" i="5"/>
  <c r="X128" i="6" s="1"/>
  <c r="R128" i="5"/>
  <c r="R128" i="6" s="1"/>
  <c r="S128" i="5"/>
  <c r="Q128" i="6" s="1"/>
  <c r="C419" i="1"/>
  <c r="B258" i="9"/>
  <c r="B258" i="8"/>
  <c r="B258" i="12"/>
  <c r="B258" i="11"/>
  <c r="B258" i="10"/>
  <c r="C14" i="1"/>
  <c r="L86" i="16"/>
  <c r="K86" i="16"/>
  <c r="J132" i="16"/>
  <c r="V158" i="4"/>
  <c r="U107" i="3" s="1"/>
  <c r="G107" i="3"/>
  <c r="I48" i="6"/>
  <c r="O48" i="5"/>
  <c r="C74" i="1"/>
  <c r="D210" i="10"/>
  <c r="C91" i="1"/>
  <c r="G202" i="6"/>
  <c r="G88" i="6"/>
  <c r="O14" i="5"/>
  <c r="I14" i="6"/>
  <c r="D112" i="8"/>
  <c r="D110" i="11"/>
  <c r="D35" i="8"/>
  <c r="L50" i="6"/>
  <c r="J62" i="16"/>
  <c r="J157" i="16"/>
  <c r="L53" i="6"/>
  <c r="F198" i="3"/>
  <c r="O161" i="5"/>
  <c r="I161" i="6"/>
  <c r="L205" i="6"/>
  <c r="D63" i="10"/>
  <c r="V37" i="5"/>
  <c r="U37" i="6" s="1"/>
  <c r="H37" i="6"/>
  <c r="D167" i="11"/>
  <c r="L131" i="3"/>
  <c r="D14" i="9"/>
  <c r="V165" i="5"/>
  <c r="U165" i="6" s="1"/>
  <c r="H165" i="6"/>
  <c r="O32" i="5"/>
  <c r="I32" i="6"/>
  <c r="V161" i="5"/>
  <c r="U161" i="6" s="1"/>
  <c r="H161" i="6"/>
  <c r="R45" i="4"/>
  <c r="R172" i="3" s="1"/>
  <c r="AA45" i="4"/>
  <c r="S172" i="3" s="1"/>
  <c r="AE45" i="4"/>
  <c r="X172" i="3" s="1"/>
  <c r="E172" i="3"/>
  <c r="S45" i="4"/>
  <c r="Q172" i="3" s="1"/>
  <c r="Z45" i="4"/>
  <c r="T172" i="3" s="1"/>
  <c r="L45" i="4"/>
  <c r="P172" i="3" s="1"/>
  <c r="AD45" i="4"/>
  <c r="W172" i="3" s="1"/>
  <c r="Q45" i="4"/>
  <c r="D40" i="11"/>
  <c r="O195" i="4"/>
  <c r="I26" i="3"/>
  <c r="D261" i="11"/>
  <c r="D296" i="11"/>
  <c r="D62" i="10"/>
  <c r="H22" i="3"/>
  <c r="C113" i="1"/>
  <c r="AD119" i="5"/>
  <c r="L119" i="5"/>
  <c r="P119" i="6" s="1"/>
  <c r="AA119" i="5"/>
  <c r="S119" i="6" s="1"/>
  <c r="AO119" i="5"/>
  <c r="AP119" i="5" s="1"/>
  <c r="R119" i="5"/>
  <c r="R119" i="6" s="1"/>
  <c r="Z119" i="5"/>
  <c r="T119" i="6" s="1"/>
  <c r="E119" i="6"/>
  <c r="S119" i="5"/>
  <c r="Q119" i="6" s="1"/>
  <c r="AE119" i="5"/>
  <c r="X119" i="6" s="1"/>
  <c r="G175" i="3"/>
  <c r="V24" i="4"/>
  <c r="U175" i="3" s="1"/>
  <c r="H142" i="6"/>
  <c r="V142" i="5"/>
  <c r="U142" i="6" s="1"/>
  <c r="C407" i="1"/>
  <c r="H103" i="6"/>
  <c r="V103" i="5"/>
  <c r="U103" i="6" s="1"/>
  <c r="D204" i="10"/>
  <c r="L84" i="6"/>
  <c r="D114" i="12"/>
  <c r="F101" i="3"/>
  <c r="F144" i="3"/>
  <c r="G14" i="6"/>
  <c r="L124" i="16"/>
  <c r="K124" i="16"/>
  <c r="G153" i="6"/>
  <c r="O175" i="4"/>
  <c r="I166" i="3"/>
  <c r="C156" i="1"/>
  <c r="D167" i="12"/>
  <c r="D32" i="9"/>
  <c r="G31" i="6"/>
  <c r="I83" i="16"/>
  <c r="V102" i="4"/>
  <c r="U144" i="3" s="1"/>
  <c r="G144" i="3"/>
  <c r="D272" i="12"/>
  <c r="L135" i="6"/>
  <c r="L157" i="3"/>
  <c r="Q150" i="5"/>
  <c r="E150" i="6"/>
  <c r="R150" i="5"/>
  <c r="R150" i="6" s="1"/>
  <c r="Z150" i="5"/>
  <c r="T150" i="6" s="1"/>
  <c r="AA150" i="5"/>
  <c r="S150" i="6" s="1"/>
  <c r="AD150" i="5"/>
  <c r="S150" i="5"/>
  <c r="Q150" i="6" s="1"/>
  <c r="L150" i="5"/>
  <c r="P150" i="6" s="1"/>
  <c r="AO150" i="5"/>
  <c r="AP150" i="5" s="1"/>
  <c r="AE150" i="5"/>
  <c r="X150" i="6" s="1"/>
  <c r="D172" i="10"/>
  <c r="C42" i="1"/>
  <c r="G117" i="6"/>
  <c r="F149" i="6"/>
  <c r="L101" i="4"/>
  <c r="P143" i="3" s="1"/>
  <c r="S101" i="4"/>
  <c r="Q143" i="3" s="1"/>
  <c r="R101" i="4"/>
  <c r="R143" i="3" s="1"/>
  <c r="E143" i="3"/>
  <c r="AE101" i="4"/>
  <c r="X143" i="3" s="1"/>
  <c r="Z101" i="4"/>
  <c r="T143" i="3" s="1"/>
  <c r="AA101" i="4"/>
  <c r="S143" i="3" s="1"/>
  <c r="AD101" i="4"/>
  <c r="W143" i="3" s="1"/>
  <c r="Q101" i="4"/>
  <c r="F86" i="3"/>
  <c r="L151" i="16"/>
  <c r="K151" i="16"/>
  <c r="C33" i="14"/>
  <c r="R48" i="4"/>
  <c r="R170" i="3" s="1"/>
  <c r="E170" i="3"/>
  <c r="Z48" i="4"/>
  <c r="T170" i="3" s="1"/>
  <c r="AA48" i="4"/>
  <c r="S170" i="3" s="1"/>
  <c r="Q48" i="4"/>
  <c r="AE48" i="4"/>
  <c r="X170" i="3" s="1"/>
  <c r="L48" i="4"/>
  <c r="P170" i="3" s="1"/>
  <c r="AD48" i="4"/>
  <c r="W170" i="3" s="1"/>
  <c r="S48" i="4"/>
  <c r="Q170" i="3" s="1"/>
  <c r="D80" i="10"/>
  <c r="C480" i="1"/>
  <c r="G168" i="6"/>
  <c r="L23" i="6"/>
  <c r="H32" i="6"/>
  <c r="V32" i="5"/>
  <c r="U32" i="6" s="1"/>
  <c r="AD42" i="5"/>
  <c r="R42" i="5"/>
  <c r="R42" i="6" s="1"/>
  <c r="Z42" i="5"/>
  <c r="T42" i="6" s="1"/>
  <c r="AO42" i="5"/>
  <c r="AP42" i="5" s="1"/>
  <c r="AA42" i="5"/>
  <c r="S42" i="6" s="1"/>
  <c r="S42" i="5"/>
  <c r="Q42" i="6" s="1"/>
  <c r="AE42" i="5"/>
  <c r="X42" i="6" s="1"/>
  <c r="E42" i="6"/>
  <c r="L42" i="5"/>
  <c r="P42" i="6" s="1"/>
  <c r="F167" i="6"/>
  <c r="Z97" i="4"/>
  <c r="T35" i="3" s="1"/>
  <c r="AA97" i="4"/>
  <c r="S35" i="3" s="1"/>
  <c r="R97" i="4"/>
  <c r="R35" i="3" s="1"/>
  <c r="L97" i="4"/>
  <c r="P35" i="3" s="1"/>
  <c r="AE97" i="4"/>
  <c r="X35" i="3" s="1"/>
  <c r="AD97" i="4"/>
  <c r="W35" i="3" s="1"/>
  <c r="S97" i="4"/>
  <c r="Q35" i="3" s="1"/>
  <c r="E35" i="3"/>
  <c r="Q97" i="4"/>
  <c r="D133" i="10"/>
  <c r="B259" i="8"/>
  <c r="B259" i="10"/>
  <c r="B259" i="11"/>
  <c r="B259" i="12"/>
  <c r="B259" i="9"/>
  <c r="O52" i="5"/>
  <c r="I52" i="6"/>
  <c r="D139" i="10"/>
  <c r="L181" i="16"/>
  <c r="K181" i="16"/>
  <c r="H195" i="6"/>
  <c r="V195" i="5"/>
  <c r="U195" i="6" s="1"/>
  <c r="D83" i="10"/>
  <c r="H145" i="3"/>
  <c r="F43" i="6"/>
  <c r="D43" i="12"/>
  <c r="D204" i="12"/>
  <c r="H103" i="3"/>
  <c r="D108" i="10"/>
  <c r="V71" i="5"/>
  <c r="U71" i="6" s="1"/>
  <c r="H71" i="6"/>
  <c r="I177" i="6"/>
  <c r="O177" i="5"/>
  <c r="B274" i="8"/>
  <c r="B274" i="10"/>
  <c r="B274" i="11"/>
  <c r="B274" i="12"/>
  <c r="B274" i="9"/>
  <c r="J53" i="16"/>
  <c r="D230" i="11"/>
  <c r="D12" i="12"/>
  <c r="F3" i="6"/>
  <c r="D198" i="8"/>
  <c r="O98" i="4"/>
  <c r="I100" i="3"/>
  <c r="D143" i="11"/>
  <c r="O50" i="5"/>
  <c r="I50" i="6"/>
  <c r="D276" i="12"/>
  <c r="J60" i="16"/>
  <c r="I85" i="16"/>
  <c r="C93" i="1"/>
  <c r="H107" i="6"/>
  <c r="V107" i="5"/>
  <c r="U107" i="6" s="1"/>
  <c r="D96" i="9"/>
  <c r="D29" i="9"/>
  <c r="D281" i="12"/>
  <c r="G205" i="6"/>
  <c r="F111" i="3"/>
  <c r="D51" i="8"/>
  <c r="D53" i="8"/>
  <c r="J152" i="16"/>
  <c r="H77" i="6"/>
  <c r="V77" i="5"/>
  <c r="U77" i="6" s="1"/>
  <c r="D301" i="11"/>
  <c r="C178" i="1"/>
  <c r="O12" i="5"/>
  <c r="I12" i="6"/>
  <c r="I90" i="6"/>
  <c r="O90" i="5"/>
  <c r="O173" i="4"/>
  <c r="I32" i="3"/>
  <c r="O132" i="5"/>
  <c r="I132" i="6"/>
  <c r="H58" i="3"/>
  <c r="G203" i="3"/>
  <c r="V22" i="4"/>
  <c r="U203" i="3" s="1"/>
  <c r="L92" i="5"/>
  <c r="P92" i="6" s="1"/>
  <c r="Z92" i="5"/>
  <c r="T92" i="6" s="1"/>
  <c r="AO92" i="5"/>
  <c r="AP92" i="5" s="1"/>
  <c r="AE92" i="5"/>
  <c r="X92" i="6" s="1"/>
  <c r="E92" i="6"/>
  <c r="R92" i="5"/>
  <c r="R92" i="6" s="1"/>
  <c r="AA92" i="5"/>
  <c r="S92" i="6" s="1"/>
  <c r="AD92" i="5"/>
  <c r="Q92" i="5"/>
  <c r="S92" i="5"/>
  <c r="Q92" i="6" s="1"/>
  <c r="O4" i="4"/>
  <c r="I13" i="3"/>
  <c r="I127" i="3"/>
  <c r="O127" i="4"/>
  <c r="D303" i="12"/>
  <c r="G100" i="6"/>
  <c r="O206" i="5"/>
  <c r="I206" i="6"/>
  <c r="G190" i="6"/>
  <c r="V145" i="4"/>
  <c r="U18" i="3" s="1"/>
  <c r="G18" i="3"/>
  <c r="I52" i="16"/>
  <c r="L19" i="6"/>
  <c r="F152" i="6"/>
  <c r="K90" i="16"/>
  <c r="L90" i="16"/>
  <c r="V7" i="4"/>
  <c r="U94" i="3" s="1"/>
  <c r="G94" i="3"/>
  <c r="C155" i="1"/>
  <c r="AA107" i="4"/>
  <c r="S115" i="3" s="1"/>
  <c r="S107" i="4"/>
  <c r="Q115" i="3" s="1"/>
  <c r="Z107" i="4"/>
  <c r="T115" i="3" s="1"/>
  <c r="R107" i="4"/>
  <c r="R115" i="3" s="1"/>
  <c r="E115" i="3"/>
  <c r="L107" i="4"/>
  <c r="P115" i="3" s="1"/>
  <c r="AE107" i="4"/>
  <c r="X115" i="3" s="1"/>
  <c r="AD107" i="4"/>
  <c r="W115" i="3" s="1"/>
  <c r="F13" i="3"/>
  <c r="C396" i="1"/>
  <c r="D10" i="10"/>
  <c r="L69" i="6"/>
  <c r="D129" i="11"/>
  <c r="D144" i="10"/>
  <c r="C504" i="1"/>
  <c r="L119" i="3"/>
  <c r="H202" i="3"/>
  <c r="C322" i="1"/>
  <c r="D214" i="9"/>
  <c r="J86" i="16"/>
  <c r="D192" i="11"/>
  <c r="D61" i="10"/>
  <c r="L160" i="6"/>
  <c r="D199" i="9"/>
  <c r="C444" i="1"/>
  <c r="L91" i="3"/>
  <c r="C31" i="1"/>
  <c r="D70" i="8"/>
  <c r="D115" i="12"/>
  <c r="F199" i="3"/>
  <c r="F203" i="3"/>
  <c r="L117" i="6"/>
  <c r="D157" i="10"/>
  <c r="D156" i="8"/>
  <c r="G40" i="6"/>
  <c r="D103" i="9"/>
  <c r="L122" i="3"/>
  <c r="AD193" i="4"/>
  <c r="W77" i="3" s="1"/>
  <c r="Z193" i="4"/>
  <c r="T77" i="3" s="1"/>
  <c r="AA193" i="4"/>
  <c r="S77" i="3" s="1"/>
  <c r="S193" i="4"/>
  <c r="Q77" i="3" s="1"/>
  <c r="L193" i="4"/>
  <c r="P77" i="3" s="1"/>
  <c r="AE193" i="4"/>
  <c r="X77" i="3" s="1"/>
  <c r="R193" i="4"/>
  <c r="R77" i="3" s="1"/>
  <c r="E77" i="3"/>
  <c r="Q193" i="4"/>
  <c r="H101" i="6"/>
  <c r="V101" i="5"/>
  <c r="U101" i="6" s="1"/>
  <c r="C398" i="1"/>
  <c r="C132" i="1"/>
  <c r="D252" i="12"/>
  <c r="O76" i="4"/>
  <c r="I62" i="3"/>
  <c r="D185" i="10"/>
  <c r="D101" i="10"/>
  <c r="D75" i="8"/>
  <c r="I70" i="16"/>
  <c r="I155" i="16"/>
  <c r="O5" i="5"/>
  <c r="I5" i="6"/>
  <c r="H68" i="3"/>
  <c r="V132" i="5"/>
  <c r="U132" i="6" s="1"/>
  <c r="H132" i="6"/>
  <c r="D298" i="11"/>
  <c r="D31" i="11"/>
  <c r="C332" i="1"/>
  <c r="C463" i="1"/>
  <c r="V114" i="5"/>
  <c r="U114" i="6" s="1"/>
  <c r="H114" i="6"/>
  <c r="D173" i="8"/>
  <c r="I17" i="3"/>
  <c r="O75" i="4"/>
  <c r="E39" i="3"/>
  <c r="Z74" i="4"/>
  <c r="T39" i="3" s="1"/>
  <c r="AA74" i="4"/>
  <c r="S39" i="3" s="1"/>
  <c r="AD74" i="4"/>
  <c r="W39" i="3" s="1"/>
  <c r="AE74" i="4"/>
  <c r="X39" i="3" s="1"/>
  <c r="R74" i="4"/>
  <c r="R39" i="3" s="1"/>
  <c r="S74" i="4"/>
  <c r="Q39" i="3" s="1"/>
  <c r="L74" i="4"/>
  <c r="P39" i="3" s="1"/>
  <c r="Q74" i="4"/>
  <c r="V72" i="4"/>
  <c r="U165" i="3" s="1"/>
  <c r="G165" i="3"/>
  <c r="L58" i="3"/>
  <c r="H92" i="3"/>
  <c r="I101" i="16"/>
  <c r="F91" i="3"/>
  <c r="F51" i="6"/>
  <c r="D186" i="8"/>
  <c r="O65" i="4"/>
  <c r="I146" i="3"/>
  <c r="I139" i="3"/>
  <c r="O61" i="4"/>
  <c r="D242" i="11"/>
  <c r="V202" i="4"/>
  <c r="U186" i="3" s="1"/>
  <c r="G186" i="3"/>
  <c r="D290" i="12"/>
  <c r="I175" i="16"/>
  <c r="D52" i="11"/>
  <c r="C307" i="1"/>
  <c r="I142" i="16"/>
  <c r="I65" i="3"/>
  <c r="O144" i="4"/>
  <c r="H29" i="3"/>
  <c r="C192" i="1"/>
  <c r="D211" i="9"/>
  <c r="I47" i="6"/>
  <c r="O47" i="5"/>
  <c r="D26" i="11"/>
  <c r="H35" i="3"/>
  <c r="J59" i="16"/>
  <c r="L36" i="3"/>
  <c r="O151" i="4"/>
  <c r="I19" i="3"/>
  <c r="G133" i="6"/>
  <c r="H150" i="3"/>
  <c r="I115" i="16"/>
  <c r="D8" i="11"/>
  <c r="K92" i="16"/>
  <c r="L92" i="16"/>
  <c r="F151" i="3"/>
  <c r="H10" i="3"/>
  <c r="C41" i="1"/>
  <c r="D112" i="9"/>
  <c r="D244" i="12"/>
  <c r="J105" i="16"/>
  <c r="D216" i="9"/>
  <c r="F17" i="3"/>
  <c r="D291" i="12"/>
  <c r="D36" i="10"/>
  <c r="D111" i="11"/>
  <c r="V120" i="5"/>
  <c r="U120" i="6" s="1"/>
  <c r="H120" i="6"/>
  <c r="AD78" i="4"/>
  <c r="W114" i="3" s="1"/>
  <c r="S78" i="4"/>
  <c r="Q114" i="3" s="1"/>
  <c r="R78" i="4"/>
  <c r="R114" i="3" s="1"/>
  <c r="Z78" i="4"/>
  <c r="T114" i="3" s="1"/>
  <c r="AA78" i="4"/>
  <c r="S114" i="3" s="1"/>
  <c r="L78" i="4"/>
  <c r="P114" i="3" s="1"/>
  <c r="AE78" i="4"/>
  <c r="X114" i="3" s="1"/>
  <c r="E114" i="3"/>
  <c r="F201" i="6"/>
  <c r="L115" i="3"/>
  <c r="C204" i="1"/>
  <c r="C373" i="1"/>
  <c r="V197" i="4"/>
  <c r="U61" i="3" s="1"/>
  <c r="G61" i="3"/>
  <c r="D56" i="10"/>
  <c r="F190" i="6"/>
  <c r="I172" i="3"/>
  <c r="O45" i="4"/>
  <c r="C360" i="1"/>
  <c r="I99" i="16"/>
  <c r="F173" i="3"/>
  <c r="H56" i="3"/>
  <c r="I129" i="6"/>
  <c r="O129" i="5"/>
  <c r="L140" i="6"/>
  <c r="K132" i="16"/>
  <c r="L132" i="16"/>
  <c r="D88" i="8"/>
  <c r="C447" i="1"/>
  <c r="F56" i="6"/>
  <c r="L8" i="3"/>
  <c r="V172" i="4"/>
  <c r="U88" i="3" s="1"/>
  <c r="G88" i="3"/>
  <c r="I106" i="16"/>
  <c r="K154" i="16"/>
  <c r="L154" i="16"/>
  <c r="F177" i="6"/>
  <c r="G57" i="6"/>
  <c r="D194" i="12"/>
  <c r="F159" i="3"/>
  <c r="D209" i="12"/>
  <c r="Q151" i="4"/>
  <c r="E19" i="3"/>
  <c r="R151" i="4"/>
  <c r="R19" i="3" s="1"/>
  <c r="S151" i="4"/>
  <c r="Q19" i="3" s="1"/>
  <c r="AD151" i="4"/>
  <c r="W19" i="3" s="1"/>
  <c r="AA151" i="4"/>
  <c r="S19" i="3" s="1"/>
  <c r="AE151" i="4"/>
  <c r="X19" i="3" s="1"/>
  <c r="Z151" i="4"/>
  <c r="T19" i="3" s="1"/>
  <c r="L151" i="4"/>
  <c r="P19" i="3" s="1"/>
  <c r="I135" i="16"/>
  <c r="H17" i="3"/>
  <c r="K60" i="16"/>
  <c r="L60" i="16"/>
  <c r="J179" i="16"/>
  <c r="G92" i="3"/>
  <c r="V140" i="4"/>
  <c r="U92" i="3" s="1"/>
  <c r="V175" i="5"/>
  <c r="U175" i="6" s="1"/>
  <c r="H175" i="6"/>
  <c r="D184" i="12"/>
  <c r="J71" i="16"/>
  <c r="H121" i="6"/>
  <c r="V121" i="5"/>
  <c r="U121" i="6" s="1"/>
  <c r="J163" i="16"/>
  <c r="I110" i="6"/>
  <c r="O110" i="5"/>
  <c r="G176" i="6"/>
  <c r="G135" i="3"/>
  <c r="V17" i="4"/>
  <c r="U135" i="3" s="1"/>
  <c r="D188" i="11"/>
  <c r="C420" i="1"/>
  <c r="Z98" i="4"/>
  <c r="T100" i="3" s="1"/>
  <c r="S98" i="4"/>
  <c r="Q100" i="3" s="1"/>
  <c r="L98" i="4"/>
  <c r="P100" i="3" s="1"/>
  <c r="E100" i="3"/>
  <c r="AE98" i="4"/>
  <c r="X100" i="3" s="1"/>
  <c r="AA98" i="4"/>
  <c r="S100" i="3" s="1"/>
  <c r="R98" i="4"/>
  <c r="R100" i="3" s="1"/>
  <c r="AD98" i="4"/>
  <c r="W100" i="3" s="1"/>
  <c r="D219" i="10"/>
  <c r="L138" i="16"/>
  <c r="K138" i="16"/>
  <c r="D169" i="9"/>
  <c r="C49" i="1"/>
  <c r="C61" i="1"/>
  <c r="J50" i="16"/>
  <c r="F77" i="6"/>
  <c r="C355" i="1"/>
  <c r="L177" i="3"/>
  <c r="L48" i="3"/>
  <c r="G156" i="6"/>
  <c r="G175" i="6"/>
  <c r="L155" i="6"/>
  <c r="O18" i="4"/>
  <c r="I104" i="3"/>
  <c r="J142" i="16"/>
  <c r="V32" i="4"/>
  <c r="U6" i="3" s="1"/>
  <c r="G6" i="3"/>
  <c r="D129" i="9"/>
  <c r="R83" i="4"/>
  <c r="R84" i="3" s="1"/>
  <c r="AE83" i="4"/>
  <c r="X84" i="3" s="1"/>
  <c r="E84" i="3"/>
  <c r="S83" i="4"/>
  <c r="Q84" i="3" s="1"/>
  <c r="AD83" i="4"/>
  <c r="W84" i="3" s="1"/>
  <c r="L83" i="4"/>
  <c r="P84" i="3" s="1"/>
  <c r="AA83" i="4"/>
  <c r="S84" i="3" s="1"/>
  <c r="Z83" i="4"/>
  <c r="T84" i="3" s="1"/>
  <c r="Q83" i="4"/>
  <c r="I44" i="16"/>
  <c r="V83" i="4"/>
  <c r="U84" i="3" s="1"/>
  <c r="G84" i="3"/>
  <c r="I174" i="6"/>
  <c r="O174" i="5"/>
  <c r="C101" i="1"/>
  <c r="O49" i="5"/>
  <c r="I49" i="6"/>
  <c r="L108" i="16"/>
  <c r="K108" i="16"/>
  <c r="D106" i="11"/>
  <c r="AE23" i="4"/>
  <c r="X10" i="3" s="1"/>
  <c r="S23" i="4"/>
  <c r="Q10" i="3" s="1"/>
  <c r="L23" i="4"/>
  <c r="P10" i="3" s="1"/>
  <c r="E10" i="3"/>
  <c r="AA23" i="4"/>
  <c r="S10" i="3" s="1"/>
  <c r="AD23" i="4"/>
  <c r="W10" i="3" s="1"/>
  <c r="Z23" i="4"/>
  <c r="T10" i="3" s="1"/>
  <c r="R23" i="4"/>
  <c r="R10" i="3" s="1"/>
  <c r="L130" i="5"/>
  <c r="P130" i="6" s="1"/>
  <c r="E130" i="6"/>
  <c r="AD130" i="5"/>
  <c r="AA130" i="5"/>
  <c r="S130" i="6" s="1"/>
  <c r="AE130" i="5"/>
  <c r="X130" i="6" s="1"/>
  <c r="AO130" i="5"/>
  <c r="AP130" i="5" s="1"/>
  <c r="R130" i="5"/>
  <c r="R130" i="6" s="1"/>
  <c r="S130" i="5"/>
  <c r="Q130" i="6" s="1"/>
  <c r="Q130" i="5"/>
  <c r="Z130" i="5"/>
  <c r="T130" i="6" s="1"/>
  <c r="D36" i="11"/>
  <c r="F140" i="3"/>
  <c r="H18" i="3"/>
  <c r="I95" i="16"/>
  <c r="D100" i="8"/>
  <c r="I133" i="16"/>
  <c r="G133" i="3"/>
  <c r="V53" i="4"/>
  <c r="U133" i="3" s="1"/>
  <c r="D16" i="8"/>
  <c r="C86" i="1"/>
  <c r="D32" i="12"/>
  <c r="H115" i="6"/>
  <c r="V115" i="5"/>
  <c r="U115" i="6" s="1"/>
  <c r="G146" i="6"/>
  <c r="D18" i="8"/>
  <c r="B234" i="8"/>
  <c r="B234" i="12"/>
  <c r="B234" i="9"/>
  <c r="B234" i="11"/>
  <c r="B234" i="10"/>
  <c r="H8" i="6"/>
  <c r="V8" i="5"/>
  <c r="U8" i="6" s="1"/>
  <c r="L75" i="4"/>
  <c r="P17" i="3" s="1"/>
  <c r="AE75" i="4"/>
  <c r="X17" i="3" s="1"/>
  <c r="Z75" i="4"/>
  <c r="T17" i="3" s="1"/>
  <c r="S75" i="4"/>
  <c r="Q17" i="3" s="1"/>
  <c r="AD75" i="4"/>
  <c r="W17" i="3" s="1"/>
  <c r="AA75" i="4"/>
  <c r="S17" i="3" s="1"/>
  <c r="R75" i="4"/>
  <c r="R17" i="3" s="1"/>
  <c r="E17" i="3"/>
  <c r="I188" i="6"/>
  <c r="O188" i="5"/>
  <c r="D67" i="12"/>
  <c r="I67" i="16"/>
  <c r="D224" i="11"/>
  <c r="D24" i="11"/>
  <c r="D110" i="12"/>
  <c r="H111" i="6"/>
  <c r="V111" i="5"/>
  <c r="U111" i="6" s="1"/>
  <c r="C92" i="1"/>
  <c r="H79" i="3"/>
  <c r="D164" i="8"/>
  <c r="D107" i="11"/>
  <c r="F173" i="6"/>
  <c r="D123" i="10"/>
  <c r="E20" i="3"/>
  <c r="Z192" i="4"/>
  <c r="T20" i="3" s="1"/>
  <c r="AD192" i="4"/>
  <c r="W20" i="3" s="1"/>
  <c r="L192" i="4"/>
  <c r="P20" i="3" s="1"/>
  <c r="R192" i="4"/>
  <c r="R20" i="3" s="1"/>
  <c r="S192" i="4"/>
  <c r="Q20" i="3" s="1"/>
  <c r="AA192" i="4"/>
  <c r="S20" i="3" s="1"/>
  <c r="AE192" i="4"/>
  <c r="X20" i="3" s="1"/>
  <c r="L124" i="3"/>
  <c r="D208" i="12"/>
  <c r="D133" i="12"/>
  <c r="L166" i="3"/>
  <c r="D67" i="8"/>
  <c r="D45" i="12"/>
  <c r="H25" i="3"/>
  <c r="D33" i="9"/>
  <c r="V69" i="4"/>
  <c r="U98" i="3" s="1"/>
  <c r="G98" i="3"/>
  <c r="D227" i="12"/>
  <c r="D289" i="12"/>
  <c r="L97" i="3"/>
  <c r="F15" i="6"/>
  <c r="Z156" i="5"/>
  <c r="T156" i="6" s="1"/>
  <c r="AD156" i="5"/>
  <c r="E156" i="6"/>
  <c r="AE156" i="5"/>
  <c r="X156" i="6" s="1"/>
  <c r="L156" i="5"/>
  <c r="P156" i="6" s="1"/>
  <c r="AA156" i="5"/>
  <c r="S156" i="6" s="1"/>
  <c r="R156" i="5"/>
  <c r="R156" i="6" s="1"/>
  <c r="S156" i="5"/>
  <c r="Q156" i="6" s="1"/>
  <c r="AO156" i="5"/>
  <c r="AP156" i="5" s="1"/>
  <c r="Q156" i="5"/>
  <c r="C174" i="1"/>
  <c r="D32" i="11"/>
  <c r="L67" i="3"/>
  <c r="F122" i="6"/>
  <c r="O200" i="4"/>
  <c r="I199" i="3"/>
  <c r="L102" i="6"/>
  <c r="L114" i="16"/>
  <c r="K114" i="16"/>
  <c r="H72" i="3"/>
  <c r="F103" i="6"/>
  <c r="K117" i="16"/>
  <c r="L117" i="16"/>
  <c r="L75" i="3"/>
  <c r="D280" i="11"/>
  <c r="D148" i="9"/>
  <c r="D14" i="10"/>
  <c r="G50" i="6"/>
  <c r="C386" i="1"/>
  <c r="I156" i="6"/>
  <c r="O156" i="5"/>
  <c r="D87" i="10"/>
  <c r="L194" i="3"/>
  <c r="D157" i="12"/>
  <c r="F171" i="3"/>
  <c r="D62" i="11"/>
  <c r="O192" i="5"/>
  <c r="I192" i="6"/>
  <c r="D141" i="8"/>
  <c r="D203" i="12"/>
  <c r="L106" i="6"/>
  <c r="I102" i="3"/>
  <c r="O155" i="4"/>
  <c r="I121" i="16"/>
  <c r="C85" i="1"/>
  <c r="D51" i="9"/>
  <c r="D39" i="11"/>
  <c r="I193" i="3"/>
  <c r="O66" i="4"/>
  <c r="I110" i="16"/>
  <c r="I183" i="16"/>
  <c r="C473" i="1"/>
  <c r="G77" i="6"/>
  <c r="I50" i="16"/>
  <c r="I106" i="6"/>
  <c r="O106" i="5"/>
  <c r="F107" i="6"/>
  <c r="D133" i="8"/>
  <c r="D58" i="10"/>
  <c r="J98" i="16"/>
  <c r="H7" i="3"/>
  <c r="D174" i="9"/>
  <c r="G194" i="6"/>
  <c r="L110" i="3"/>
  <c r="D20" i="12"/>
  <c r="L198" i="6"/>
  <c r="AD59" i="4"/>
  <c r="W140" i="3" s="1"/>
  <c r="Q59" i="4"/>
  <c r="Z59" i="4"/>
  <c r="T140" i="3" s="1"/>
  <c r="E140" i="3"/>
  <c r="AE59" i="4"/>
  <c r="X140" i="3" s="1"/>
  <c r="L59" i="4"/>
  <c r="P140" i="3" s="1"/>
  <c r="S59" i="4"/>
  <c r="Q140" i="3" s="1"/>
  <c r="R59" i="4"/>
  <c r="R140" i="3" s="1"/>
  <c r="AA59" i="4"/>
  <c r="S140" i="3" s="1"/>
  <c r="L202" i="6"/>
  <c r="K164" i="16"/>
  <c r="L164" i="16"/>
  <c r="I48" i="3"/>
  <c r="O41" i="4"/>
  <c r="D58" i="8"/>
  <c r="C370" i="1"/>
  <c r="D26" i="8"/>
  <c r="G110" i="6"/>
  <c r="C388" i="1"/>
  <c r="V8" i="4"/>
  <c r="U124" i="3" s="1"/>
  <c r="G124" i="3"/>
  <c r="R91" i="5"/>
  <c r="R91" i="6" s="1"/>
  <c r="Z91" i="5"/>
  <c r="T91" i="6" s="1"/>
  <c r="AD91" i="5"/>
  <c r="E91" i="6"/>
  <c r="AO91" i="5"/>
  <c r="AP91" i="5" s="1"/>
  <c r="S91" i="5"/>
  <c r="Q91" i="6" s="1"/>
  <c r="L91" i="5"/>
  <c r="P91" i="6" s="1"/>
  <c r="AA91" i="5"/>
  <c r="S91" i="6" s="1"/>
  <c r="AE91" i="5"/>
  <c r="X91" i="6" s="1"/>
  <c r="Q91" i="5"/>
  <c r="F25" i="6"/>
  <c r="AE106" i="5"/>
  <c r="X106" i="6" s="1"/>
  <c r="AA106" i="5"/>
  <c r="S106" i="6" s="1"/>
  <c r="E106" i="6"/>
  <c r="AD106" i="5"/>
  <c r="R106" i="5"/>
  <c r="R106" i="6" s="1"/>
  <c r="L106" i="5"/>
  <c r="P106" i="6" s="1"/>
  <c r="AO106" i="5"/>
  <c r="AP106" i="5" s="1"/>
  <c r="S106" i="5"/>
  <c r="Q106" i="6" s="1"/>
  <c r="Z106" i="5"/>
  <c r="T106" i="6" s="1"/>
  <c r="Q106" i="5"/>
  <c r="B252" i="11"/>
  <c r="B252" i="9"/>
  <c r="B252" i="8"/>
  <c r="B252" i="10"/>
  <c r="B252" i="12"/>
  <c r="C479" i="1"/>
  <c r="G177" i="6"/>
  <c r="L77" i="3"/>
  <c r="V185" i="4"/>
  <c r="U69" i="3" s="1"/>
  <c r="G69" i="3"/>
  <c r="C164" i="1"/>
  <c r="S197" i="5"/>
  <c r="Q197" i="6" s="1"/>
  <c r="AE197" i="5"/>
  <c r="X197" i="6" s="1"/>
  <c r="L197" i="5"/>
  <c r="P197" i="6" s="1"/>
  <c r="Q197" i="5"/>
  <c r="AO197" i="5"/>
  <c r="AP197" i="5" s="1"/>
  <c r="AA197" i="5"/>
  <c r="S197" i="6" s="1"/>
  <c r="E197" i="6"/>
  <c r="Z197" i="5"/>
  <c r="T197" i="6" s="1"/>
  <c r="R197" i="5"/>
  <c r="R197" i="6" s="1"/>
  <c r="AD197" i="5"/>
  <c r="D65" i="12"/>
  <c r="F102" i="6"/>
  <c r="G143" i="3"/>
  <c r="V101" i="4"/>
  <c r="U143" i="3" s="1"/>
  <c r="AE135" i="4"/>
  <c r="X155" i="3" s="1"/>
  <c r="L135" i="4"/>
  <c r="P155" i="3" s="1"/>
  <c r="R135" i="4"/>
  <c r="R155" i="3" s="1"/>
  <c r="Q135" i="4"/>
  <c r="AA135" i="4"/>
  <c r="S155" i="3" s="1"/>
  <c r="S135" i="4"/>
  <c r="Q155" i="3" s="1"/>
  <c r="Z135" i="4"/>
  <c r="T155" i="3" s="1"/>
  <c r="E155" i="3"/>
  <c r="AD135" i="4"/>
  <c r="W155" i="3" s="1"/>
  <c r="L168" i="6"/>
  <c r="I81" i="6"/>
  <c r="O81" i="5"/>
  <c r="I173" i="3"/>
  <c r="O57" i="4"/>
  <c r="D39" i="8"/>
  <c r="F100" i="6"/>
  <c r="I38" i="3"/>
  <c r="O52" i="4"/>
  <c r="F180" i="6"/>
  <c r="L53" i="3"/>
  <c r="C108" i="1"/>
  <c r="H180" i="3"/>
  <c r="F101" i="6"/>
  <c r="D205" i="11"/>
  <c r="G118" i="6"/>
  <c r="L97" i="6"/>
  <c r="C81" i="1"/>
  <c r="D150" i="10"/>
  <c r="D35" i="9"/>
  <c r="O80" i="4"/>
  <c r="I66" i="3"/>
  <c r="D213" i="8"/>
  <c r="D97" i="8"/>
  <c r="D175" i="11"/>
  <c r="D156" i="9"/>
  <c r="H41" i="3"/>
  <c r="R33" i="5"/>
  <c r="R33" i="6" s="1"/>
  <c r="Z33" i="5"/>
  <c r="T33" i="6" s="1"/>
  <c r="AE33" i="5"/>
  <c r="X33" i="6" s="1"/>
  <c r="AD33" i="5"/>
  <c r="AO33" i="5"/>
  <c r="AP33" i="5" s="1"/>
  <c r="S33" i="5"/>
  <c r="Q33" i="6" s="1"/>
  <c r="Q33" i="5"/>
  <c r="E33" i="6"/>
  <c r="AA33" i="5"/>
  <c r="S33" i="6" s="1"/>
  <c r="L33" i="5"/>
  <c r="P33" i="6" s="1"/>
  <c r="R66" i="4"/>
  <c r="R193" i="3" s="1"/>
  <c r="Q66" i="4"/>
  <c r="S66" i="4"/>
  <c r="Q193" i="3" s="1"/>
  <c r="E193" i="3"/>
  <c r="AE66" i="4"/>
  <c r="X193" i="3" s="1"/>
  <c r="AD66" i="4"/>
  <c r="W193" i="3" s="1"/>
  <c r="AA66" i="4"/>
  <c r="S193" i="3" s="1"/>
  <c r="L66" i="4"/>
  <c r="P193" i="3" s="1"/>
  <c r="Z66" i="4"/>
  <c r="T193" i="3" s="1"/>
  <c r="V169" i="5"/>
  <c r="U169" i="6" s="1"/>
  <c r="H169" i="6"/>
  <c r="I56" i="16"/>
  <c r="D31" i="10"/>
  <c r="D130" i="10"/>
  <c r="D14" i="8"/>
  <c r="G53" i="3"/>
  <c r="V86" i="4"/>
  <c r="U53" i="3" s="1"/>
  <c r="L69" i="16"/>
  <c r="K69" i="16"/>
  <c r="D163" i="11"/>
  <c r="F166" i="6"/>
  <c r="D184" i="8"/>
  <c r="O154" i="5"/>
  <c r="I154" i="6"/>
  <c r="B296" i="10"/>
  <c r="B296" i="12"/>
  <c r="B296" i="11"/>
  <c r="B296" i="8"/>
  <c r="B296" i="9"/>
  <c r="F184" i="3"/>
  <c r="G158" i="6"/>
  <c r="H112" i="6"/>
  <c r="V112" i="5"/>
  <c r="U112" i="6" s="1"/>
  <c r="D219" i="9"/>
  <c r="G49" i="6"/>
  <c r="I181" i="16"/>
  <c r="F19" i="6"/>
  <c r="F108" i="3"/>
  <c r="AE26" i="5"/>
  <c r="X26" i="6" s="1"/>
  <c r="E26" i="6"/>
  <c r="AO26" i="5"/>
  <c r="AP26" i="5" s="1"/>
  <c r="R26" i="5"/>
  <c r="R26" i="6" s="1"/>
  <c r="AA26" i="5"/>
  <c r="S26" i="6" s="1"/>
  <c r="Z26" i="5"/>
  <c r="T26" i="6" s="1"/>
  <c r="AD26" i="5"/>
  <c r="S26" i="5"/>
  <c r="Q26" i="6" s="1"/>
  <c r="L26" i="5"/>
  <c r="P26" i="6" s="1"/>
  <c r="Q26" i="5"/>
  <c r="C131" i="1"/>
  <c r="O68" i="5"/>
  <c r="I68" i="6"/>
  <c r="I127" i="6"/>
  <c r="O127" i="5"/>
  <c r="C175" i="1"/>
  <c r="L104" i="3"/>
  <c r="D265" i="12"/>
  <c r="K136" i="16"/>
  <c r="L136" i="16"/>
  <c r="F77" i="3"/>
  <c r="D110" i="5"/>
  <c r="D110" i="6" s="1"/>
  <c r="D7" i="4"/>
  <c r="D94" i="3" s="1"/>
  <c r="B142" i="11"/>
  <c r="B142" i="8"/>
  <c r="B142" i="10"/>
  <c r="B142" i="9"/>
  <c r="B142" i="12"/>
  <c r="L120" i="3"/>
  <c r="D161" i="10"/>
  <c r="E107" i="6"/>
  <c r="AD107" i="5"/>
  <c r="Q107" i="5"/>
  <c r="AA107" i="5"/>
  <c r="S107" i="6" s="1"/>
  <c r="AO107" i="5"/>
  <c r="AP107" i="5" s="1"/>
  <c r="AE107" i="5"/>
  <c r="X107" i="6" s="1"/>
  <c r="R107" i="5"/>
  <c r="R107" i="6" s="1"/>
  <c r="S107" i="5"/>
  <c r="Q107" i="6" s="1"/>
  <c r="Z107" i="5"/>
  <c r="T107" i="6" s="1"/>
  <c r="L107" i="5"/>
  <c r="P107" i="6" s="1"/>
  <c r="D145" i="8"/>
  <c r="D156" i="12"/>
  <c r="L14" i="3"/>
  <c r="C381" i="1"/>
  <c r="H121" i="3"/>
  <c r="D7" i="10"/>
  <c r="I58" i="6"/>
  <c r="O58" i="5"/>
  <c r="L93" i="3"/>
  <c r="J108" i="16"/>
  <c r="D194" i="8"/>
  <c r="V23" i="5"/>
  <c r="U23" i="6" s="1"/>
  <c r="H23" i="6"/>
  <c r="D149" i="11"/>
  <c r="O145" i="5"/>
  <c r="I145" i="6"/>
  <c r="L35" i="3"/>
  <c r="J124" i="16"/>
  <c r="I80" i="3"/>
  <c r="O128" i="4"/>
  <c r="C329" i="1"/>
  <c r="D220" i="9"/>
  <c r="D150" i="9"/>
  <c r="L162" i="3"/>
  <c r="I153" i="6"/>
  <c r="O153" i="5"/>
  <c r="K159" i="16"/>
  <c r="L159" i="16"/>
  <c r="G43" i="6"/>
  <c r="C219" i="1"/>
  <c r="V75" i="5"/>
  <c r="U75" i="6" s="1"/>
  <c r="H75" i="6"/>
  <c r="D291" i="11"/>
  <c r="C320" i="1"/>
  <c r="S86" i="5"/>
  <c r="Q86" i="6" s="1"/>
  <c r="AD86" i="5"/>
  <c r="AE86" i="5"/>
  <c r="X86" i="6" s="1"/>
  <c r="AA86" i="5"/>
  <c r="S86" i="6" s="1"/>
  <c r="R86" i="5"/>
  <c r="R86" i="6" s="1"/>
  <c r="E86" i="6"/>
  <c r="Z86" i="5"/>
  <c r="T86" i="6" s="1"/>
  <c r="AO86" i="5"/>
  <c r="AP86" i="5" s="1"/>
  <c r="L86" i="5"/>
  <c r="P86" i="6" s="1"/>
  <c r="Q86" i="5"/>
  <c r="I23" i="6"/>
  <c r="O23" i="5"/>
  <c r="L66" i="6"/>
  <c r="G68" i="3"/>
  <c r="V191" i="4"/>
  <c r="U68" i="3" s="1"/>
  <c r="K61" i="16"/>
  <c r="L61" i="16"/>
  <c r="V141" i="4"/>
  <c r="U93" i="3" s="1"/>
  <c r="G93" i="3"/>
  <c r="V6" i="5"/>
  <c r="U6" i="6" s="1"/>
  <c r="H6" i="6"/>
  <c r="V173" i="4"/>
  <c r="U32" i="3" s="1"/>
  <c r="G32" i="3"/>
  <c r="G46" i="3"/>
  <c r="V28" i="4"/>
  <c r="U46" i="3" s="1"/>
  <c r="D269" i="11"/>
  <c r="J122" i="16"/>
  <c r="V19" i="5"/>
  <c r="U19" i="6" s="1"/>
  <c r="H19" i="6"/>
  <c r="L93" i="6"/>
  <c r="C208" i="1"/>
  <c r="D181" i="12"/>
  <c r="C109" i="1"/>
  <c r="D137" i="9"/>
  <c r="V110" i="4"/>
  <c r="U120" i="3" s="1"/>
  <c r="G120" i="3"/>
  <c r="G161" i="6"/>
  <c r="F170" i="6"/>
  <c r="J182" i="16"/>
  <c r="G185" i="6"/>
  <c r="D55" i="9"/>
  <c r="D257" i="12"/>
  <c r="D35" i="11"/>
  <c r="V192" i="5"/>
  <c r="U192" i="6" s="1"/>
  <c r="H192" i="6"/>
  <c r="I189" i="6"/>
  <c r="O189" i="5"/>
  <c r="J82" i="16"/>
  <c r="V18" i="4"/>
  <c r="U104" i="3" s="1"/>
  <c r="G104" i="3"/>
  <c r="V205" i="4"/>
  <c r="U164" i="3" s="1"/>
  <c r="G164" i="3"/>
  <c r="L3" i="3"/>
  <c r="F53" i="3"/>
  <c r="L36" i="6"/>
  <c r="I175" i="6"/>
  <c r="O175" i="5"/>
  <c r="D96" i="11"/>
  <c r="O147" i="4"/>
  <c r="I174" i="3"/>
  <c r="I200" i="3"/>
  <c r="O60" i="4"/>
  <c r="F183" i="6"/>
  <c r="B277" i="10"/>
  <c r="B277" i="9"/>
  <c r="B277" i="11"/>
  <c r="B277" i="8"/>
  <c r="B277" i="12"/>
  <c r="D9" i="11"/>
  <c r="AE12" i="5"/>
  <c r="X12" i="6" s="1"/>
  <c r="AO12" i="5"/>
  <c r="AP12" i="5" s="1"/>
  <c r="L12" i="5"/>
  <c r="P12" i="6" s="1"/>
  <c r="S12" i="5"/>
  <c r="Q12" i="6" s="1"/>
  <c r="AD12" i="5"/>
  <c r="R12" i="5"/>
  <c r="R12" i="6" s="1"/>
  <c r="E12" i="6"/>
  <c r="AA12" i="5"/>
  <c r="S12" i="6" s="1"/>
  <c r="Z12" i="5"/>
  <c r="T12" i="6" s="1"/>
  <c r="Q12" i="5"/>
  <c r="I91" i="6"/>
  <c r="O91" i="5"/>
  <c r="D17" i="8"/>
  <c r="G44" i="6"/>
  <c r="C354" i="1"/>
  <c r="D210" i="12"/>
  <c r="F160" i="6"/>
  <c r="S71" i="4"/>
  <c r="Q40" i="3" s="1"/>
  <c r="Z71" i="4"/>
  <c r="T40" i="3" s="1"/>
  <c r="E40" i="3"/>
  <c r="L71" i="4"/>
  <c r="P40" i="3" s="1"/>
  <c r="AA71" i="4"/>
  <c r="S40" i="3" s="1"/>
  <c r="AD71" i="4"/>
  <c r="W40" i="3" s="1"/>
  <c r="R71" i="4"/>
  <c r="R40" i="3" s="1"/>
  <c r="AE71" i="4"/>
  <c r="X40" i="3" s="1"/>
  <c r="Q71" i="4"/>
  <c r="C448" i="1"/>
  <c r="H181" i="6"/>
  <c r="V181" i="5"/>
  <c r="U181" i="6" s="1"/>
  <c r="R188" i="4"/>
  <c r="R21" i="3" s="1"/>
  <c r="E21" i="3"/>
  <c r="S188" i="4"/>
  <c r="Q21" i="3" s="1"/>
  <c r="AD188" i="4"/>
  <c r="W21" i="3" s="1"/>
  <c r="L188" i="4"/>
  <c r="P21" i="3" s="1"/>
  <c r="AA188" i="4"/>
  <c r="S21" i="3" s="1"/>
  <c r="Q188" i="4"/>
  <c r="Z188" i="4"/>
  <c r="T21" i="3" s="1"/>
  <c r="AE188" i="4"/>
  <c r="X21" i="3" s="1"/>
  <c r="D207" i="9"/>
  <c r="D221" i="11"/>
  <c r="V88" i="5"/>
  <c r="U88" i="6" s="1"/>
  <c r="H88" i="6"/>
  <c r="V31" i="5"/>
  <c r="U31" i="6" s="1"/>
  <c r="H31" i="6"/>
  <c r="D49" i="12"/>
  <c r="I56" i="6"/>
  <c r="O56" i="5"/>
  <c r="J126" i="16"/>
  <c r="V68" i="5"/>
  <c r="U68" i="6" s="1"/>
  <c r="H68" i="6"/>
  <c r="C403" i="1"/>
  <c r="F52" i="6"/>
  <c r="D235" i="11"/>
  <c r="H160" i="3"/>
  <c r="C141" i="1"/>
  <c r="O166" i="4"/>
  <c r="I82" i="3"/>
  <c r="C213" i="1"/>
  <c r="L81" i="6"/>
  <c r="C363" i="1"/>
  <c r="O97" i="4"/>
  <c r="I35" i="3"/>
  <c r="I156" i="3"/>
  <c r="O196" i="4"/>
  <c r="L22" i="5"/>
  <c r="P22" i="6" s="1"/>
  <c r="E22" i="6"/>
  <c r="R22" i="5"/>
  <c r="R22" i="6" s="1"/>
  <c r="Z22" i="5"/>
  <c r="T22" i="6" s="1"/>
  <c r="AD22" i="5"/>
  <c r="AA22" i="5"/>
  <c r="S22" i="6" s="1"/>
  <c r="AE22" i="5"/>
  <c r="X22" i="6" s="1"/>
  <c r="S22" i="5"/>
  <c r="Q22" i="6" s="1"/>
  <c r="AO22" i="5"/>
  <c r="AP22" i="5" s="1"/>
  <c r="Q22" i="5"/>
  <c r="C40" i="1"/>
  <c r="C427" i="1"/>
  <c r="I185" i="3"/>
  <c r="O148" i="4"/>
  <c r="D192" i="12"/>
  <c r="F59" i="6"/>
  <c r="D274" i="12"/>
  <c r="F22" i="3"/>
  <c r="H189" i="6"/>
  <c r="V189" i="5"/>
  <c r="U189" i="6" s="1"/>
  <c r="H197" i="6"/>
  <c r="V197" i="5"/>
  <c r="U197" i="6" s="1"/>
  <c r="D160" i="12"/>
  <c r="B268" i="10"/>
  <c r="B268" i="9"/>
  <c r="B268" i="11"/>
  <c r="B268" i="12"/>
  <c r="B268" i="8"/>
  <c r="L41" i="3"/>
  <c r="O68" i="4"/>
  <c r="I148" i="3"/>
  <c r="O139" i="5"/>
  <c r="I139" i="6"/>
  <c r="G54" i="3"/>
  <c r="V130" i="4"/>
  <c r="U54" i="3" s="1"/>
  <c r="S192" i="5"/>
  <c r="Q192" i="6" s="1"/>
  <c r="L192" i="5"/>
  <c r="P192" i="6" s="1"/>
  <c r="AA192" i="5"/>
  <c r="S192" i="6" s="1"/>
  <c r="Z192" i="5"/>
  <c r="T192" i="6" s="1"/>
  <c r="R192" i="5"/>
  <c r="R192" i="6" s="1"/>
  <c r="Q192" i="5"/>
  <c r="AE192" i="5"/>
  <c r="X192" i="6" s="1"/>
  <c r="E192" i="6"/>
  <c r="AD192" i="5"/>
  <c r="AO192" i="5"/>
  <c r="AP192" i="5" s="1"/>
  <c r="K127" i="16"/>
  <c r="L127" i="16"/>
  <c r="V203" i="4"/>
  <c r="U117" i="3" s="1"/>
  <c r="G117" i="3"/>
  <c r="D97" i="10"/>
  <c r="J99" i="16"/>
  <c r="F114" i="6"/>
  <c r="D41" i="12"/>
  <c r="D48" i="8"/>
  <c r="C202" i="1"/>
  <c r="G29" i="6"/>
  <c r="S160" i="4"/>
  <c r="Q78" i="3" s="1"/>
  <c r="R160" i="4"/>
  <c r="R78" i="3" s="1"/>
  <c r="AE160" i="4"/>
  <c r="X78" i="3" s="1"/>
  <c r="E78" i="3"/>
  <c r="AA160" i="4"/>
  <c r="S78" i="3" s="1"/>
  <c r="Q160" i="4"/>
  <c r="Z160" i="4"/>
  <c r="T78" i="3" s="1"/>
  <c r="L160" i="4"/>
  <c r="P78" i="3" s="1"/>
  <c r="AD160" i="4"/>
  <c r="W78" i="3" s="1"/>
  <c r="D150" i="12"/>
  <c r="G172" i="3"/>
  <c r="V45" i="4"/>
  <c r="U172" i="3" s="1"/>
  <c r="F78" i="3"/>
  <c r="V169" i="4"/>
  <c r="U87" i="3" s="1"/>
  <c r="G87" i="3"/>
  <c r="H127" i="3"/>
  <c r="L176" i="3"/>
  <c r="H52" i="3"/>
  <c r="L181" i="3"/>
  <c r="D60" i="10"/>
  <c r="L81" i="3"/>
  <c r="I79" i="3"/>
  <c r="O153" i="4"/>
  <c r="C393" i="1"/>
  <c r="L130" i="16"/>
  <c r="K130" i="16"/>
  <c r="L96" i="3"/>
  <c r="D107" i="12"/>
  <c r="K87" i="16"/>
  <c r="L87" i="16"/>
  <c r="C46" i="1"/>
  <c r="G188" i="6"/>
  <c r="I170" i="16"/>
  <c r="AE35" i="5"/>
  <c r="X35" i="6" s="1"/>
  <c r="AD35" i="5"/>
  <c r="E35" i="6"/>
  <c r="L35" i="5"/>
  <c r="P35" i="6" s="1"/>
  <c r="S35" i="5"/>
  <c r="Q35" i="6" s="1"/>
  <c r="R35" i="5"/>
  <c r="R35" i="6" s="1"/>
  <c r="Z35" i="5"/>
  <c r="T35" i="6" s="1"/>
  <c r="Q35" i="5"/>
  <c r="AO35" i="5"/>
  <c r="AP35" i="5" s="1"/>
  <c r="AA35" i="5"/>
  <c r="S35" i="6" s="1"/>
  <c r="D200" i="9"/>
  <c r="H172" i="3"/>
  <c r="D180" i="8"/>
  <c r="L191" i="3"/>
  <c r="I74" i="6"/>
  <c r="O74" i="5"/>
  <c r="H100" i="3"/>
  <c r="L29" i="3"/>
  <c r="D239" i="11"/>
  <c r="F117" i="3"/>
  <c r="C383" i="1"/>
  <c r="I153" i="16"/>
  <c r="D136" i="11"/>
  <c r="G10" i="3"/>
  <c r="V23" i="4"/>
  <c r="U10" i="3" s="1"/>
  <c r="G141" i="6"/>
  <c r="D59" i="8"/>
  <c r="I98" i="16"/>
  <c r="F156" i="3"/>
  <c r="L158" i="6"/>
  <c r="D105" i="11"/>
  <c r="I99" i="3"/>
  <c r="O96" i="4"/>
  <c r="D268" i="12"/>
  <c r="D184" i="11"/>
  <c r="O174" i="4"/>
  <c r="I110" i="3"/>
  <c r="E77" i="6"/>
  <c r="AO77" i="5"/>
  <c r="AP77" i="5" s="1"/>
  <c r="AE77" i="5"/>
  <c r="X77" i="6" s="1"/>
  <c r="AA77" i="5"/>
  <c r="S77" i="6" s="1"/>
  <c r="AD77" i="5"/>
  <c r="R77" i="5"/>
  <c r="R77" i="6" s="1"/>
  <c r="Z77" i="5"/>
  <c r="T77" i="6" s="1"/>
  <c r="S77" i="5"/>
  <c r="Q77" i="6" s="1"/>
  <c r="L77" i="5"/>
  <c r="P77" i="6" s="1"/>
  <c r="D169" i="11"/>
  <c r="F192" i="6"/>
  <c r="D198" i="11"/>
  <c r="J183" i="16"/>
  <c r="O100" i="5"/>
  <c r="I100" i="6"/>
  <c r="I63" i="6"/>
  <c r="O63" i="5"/>
  <c r="D263" i="11"/>
  <c r="D7" i="12"/>
  <c r="E122" i="3"/>
  <c r="L163" i="4"/>
  <c r="P122" i="3" s="1"/>
  <c r="S163" i="4"/>
  <c r="Q122" i="3" s="1"/>
  <c r="Z163" i="4"/>
  <c r="T122" i="3" s="1"/>
  <c r="AD163" i="4"/>
  <c r="W122" i="3" s="1"/>
  <c r="R163" i="4"/>
  <c r="R122" i="3" s="1"/>
  <c r="AE163" i="4"/>
  <c r="X122" i="3" s="1"/>
  <c r="AA163" i="4"/>
  <c r="S122" i="3" s="1"/>
  <c r="V125" i="5"/>
  <c r="U125" i="6" s="1"/>
  <c r="H125" i="6"/>
  <c r="D216" i="8"/>
  <c r="I42" i="6"/>
  <c r="O42" i="5"/>
  <c r="H185" i="3"/>
  <c r="D122" i="12"/>
  <c r="L164" i="3"/>
  <c r="F65" i="3"/>
  <c r="J125" i="16"/>
  <c r="D294" i="12"/>
  <c r="D223" i="12"/>
  <c r="Z145" i="5"/>
  <c r="T145" i="6" s="1"/>
  <c r="AE145" i="5"/>
  <c r="X145" i="6" s="1"/>
  <c r="AD145" i="5"/>
  <c r="W145" i="6" s="1"/>
  <c r="S145" i="5"/>
  <c r="Q145" i="6" s="1"/>
  <c r="E145" i="6"/>
  <c r="L145" i="5"/>
  <c r="P145" i="6" s="1"/>
  <c r="AA145" i="5"/>
  <c r="S145" i="6" s="1"/>
  <c r="AO145" i="5"/>
  <c r="AP145" i="5" s="1"/>
  <c r="R145" i="5"/>
  <c r="R145" i="6" s="1"/>
  <c r="Q145" i="5"/>
  <c r="I64" i="6"/>
  <c r="O64" i="5"/>
  <c r="V134" i="4"/>
  <c r="U119" i="3" s="1"/>
  <c r="G119" i="3"/>
  <c r="D177" i="10"/>
  <c r="I189" i="16"/>
  <c r="F82" i="3"/>
  <c r="F8" i="3"/>
  <c r="I176" i="6"/>
  <c r="O176" i="5"/>
  <c r="I177" i="16"/>
  <c r="D299" i="11"/>
  <c r="D34" i="12"/>
  <c r="C334" i="1"/>
  <c r="C361" i="1"/>
  <c r="L68" i="6"/>
  <c r="I200" i="6"/>
  <c r="O200" i="5"/>
  <c r="H116" i="3"/>
  <c r="K112" i="16"/>
  <c r="L112" i="16"/>
  <c r="Z122" i="4"/>
  <c r="T3" i="3" s="1"/>
  <c r="AA122" i="4"/>
  <c r="S3" i="3" s="1"/>
  <c r="S122" i="4"/>
  <c r="Q3" i="3" s="1"/>
  <c r="Q122" i="4"/>
  <c r="L122" i="4"/>
  <c r="P3" i="3" s="1"/>
  <c r="AD122" i="4"/>
  <c r="W3" i="3" s="1"/>
  <c r="E3" i="3"/>
  <c r="R122" i="4"/>
  <c r="R3" i="3" s="1"/>
  <c r="AE122" i="4"/>
  <c r="X3" i="3" s="1"/>
  <c r="F36" i="6"/>
  <c r="D134" i="12"/>
  <c r="F87" i="3"/>
  <c r="G50" i="3"/>
  <c r="V64" i="4"/>
  <c r="U50" i="3" s="1"/>
  <c r="I164" i="6"/>
  <c r="O164" i="5"/>
  <c r="L199" i="3"/>
  <c r="D95" i="10"/>
  <c r="H118" i="6"/>
  <c r="V118" i="5"/>
  <c r="U118" i="6" s="1"/>
  <c r="D102" i="9"/>
  <c r="G62" i="6"/>
  <c r="L126" i="6"/>
  <c r="I6" i="3"/>
  <c r="O32" i="4"/>
  <c r="D233" i="11"/>
  <c r="G202" i="3"/>
  <c r="V146" i="4"/>
  <c r="U202" i="3" s="1"/>
  <c r="F195" i="3"/>
  <c r="D183" i="10"/>
  <c r="C59" i="1"/>
  <c r="I54" i="3"/>
  <c r="O130" i="4"/>
  <c r="C465" i="1"/>
  <c r="I170" i="6"/>
  <c r="O170" i="5"/>
  <c r="L116" i="16"/>
  <c r="K116" i="16"/>
  <c r="C60" i="1"/>
  <c r="G38" i="3"/>
  <c r="V52" i="4"/>
  <c r="U38" i="3" s="1"/>
  <c r="C328" i="1"/>
  <c r="H171" i="6"/>
  <c r="V171" i="5"/>
  <c r="U171" i="6" s="1"/>
  <c r="G109" i="6"/>
  <c r="K118" i="16"/>
  <c r="L118" i="16"/>
  <c r="C104" i="1"/>
  <c r="F146" i="3"/>
  <c r="D108" i="11"/>
  <c r="H4" i="6"/>
  <c r="V4" i="5"/>
  <c r="U4" i="6" s="1"/>
  <c r="I94" i="3"/>
  <c r="O7" i="4"/>
  <c r="O109" i="4"/>
  <c r="I159" i="3"/>
  <c r="C71" i="1"/>
  <c r="J153" i="16"/>
  <c r="H166" i="6"/>
  <c r="V166" i="5"/>
  <c r="U166" i="6" s="1"/>
  <c r="L47" i="3"/>
  <c r="L60" i="3"/>
  <c r="L58" i="6"/>
  <c r="V144" i="5"/>
  <c r="U144" i="6" s="1"/>
  <c r="H144" i="6"/>
  <c r="D99" i="12"/>
  <c r="F123" i="3"/>
  <c r="C314" i="1"/>
  <c r="D91" i="10"/>
  <c r="F175" i="6"/>
  <c r="D198" i="9"/>
  <c r="L160" i="16"/>
  <c r="K160" i="16"/>
  <c r="O191" i="5"/>
  <c r="I191" i="6"/>
  <c r="L153" i="16"/>
  <c r="K153" i="16"/>
  <c r="I153" i="3"/>
  <c r="O40" i="4"/>
  <c r="V136" i="5"/>
  <c r="U136" i="6" s="1"/>
  <c r="H136" i="6"/>
  <c r="J116" i="16"/>
  <c r="Z94" i="4"/>
  <c r="T108" i="3" s="1"/>
  <c r="E108" i="3"/>
  <c r="AD94" i="4"/>
  <c r="W108" i="3" s="1"/>
  <c r="L94" i="4"/>
  <c r="P108" i="3" s="1"/>
  <c r="AA94" i="4"/>
  <c r="S108" i="3" s="1"/>
  <c r="S94" i="4"/>
  <c r="Q108" i="3" s="1"/>
  <c r="R94" i="4"/>
  <c r="R108" i="3" s="1"/>
  <c r="AE94" i="4"/>
  <c r="X108" i="3" s="1"/>
  <c r="Q94" i="4"/>
  <c r="V85" i="4"/>
  <c r="U47" i="3" s="1"/>
  <c r="G47" i="3"/>
  <c r="D210" i="11"/>
  <c r="V92" i="4"/>
  <c r="U192" i="3" s="1"/>
  <c r="G192" i="3"/>
  <c r="O182" i="4"/>
  <c r="I134" i="3"/>
  <c r="D148" i="11"/>
  <c r="L178" i="3"/>
  <c r="D175" i="9"/>
  <c r="J177" i="16"/>
  <c r="F27" i="3"/>
  <c r="I118" i="16"/>
  <c r="D116" i="10"/>
  <c r="D31" i="8"/>
  <c r="D113" i="11"/>
  <c r="D48" i="12"/>
  <c r="D200" i="8"/>
  <c r="H148" i="6"/>
  <c r="V148" i="5"/>
  <c r="U148" i="6" s="1"/>
  <c r="AD39" i="5"/>
  <c r="AO39" i="5"/>
  <c r="AP39" i="5" s="1"/>
  <c r="S39" i="5"/>
  <c r="Q39" i="6" s="1"/>
  <c r="E39" i="6"/>
  <c r="AA39" i="5"/>
  <c r="S39" i="6" s="1"/>
  <c r="AE39" i="5"/>
  <c r="X39" i="6" s="1"/>
  <c r="R39" i="5"/>
  <c r="R39" i="6" s="1"/>
  <c r="L39" i="5"/>
  <c r="P39" i="6" s="1"/>
  <c r="Z39" i="5"/>
  <c r="T39" i="6" s="1"/>
  <c r="J137" i="16"/>
  <c r="D86" i="11"/>
  <c r="D237" i="12"/>
  <c r="S99" i="4"/>
  <c r="Q201" i="3" s="1"/>
  <c r="AE99" i="4"/>
  <c r="X201" i="3" s="1"/>
  <c r="R99" i="4"/>
  <c r="R201" i="3" s="1"/>
  <c r="AD99" i="4"/>
  <c r="W201" i="3" s="1"/>
  <c r="L99" i="4"/>
  <c r="P201" i="3" s="1"/>
  <c r="Z99" i="4"/>
  <c r="T201" i="3" s="1"/>
  <c r="AA99" i="4"/>
  <c r="S201" i="3" s="1"/>
  <c r="E201" i="3"/>
  <c r="D138" i="10"/>
  <c r="H156" i="3"/>
  <c r="D176" i="11"/>
  <c r="I141" i="16"/>
  <c r="G10" i="6"/>
  <c r="H176" i="6"/>
  <c r="V176" i="5"/>
  <c r="U176" i="6" s="1"/>
  <c r="C68" i="1"/>
  <c r="O37" i="5"/>
  <c r="I37" i="6"/>
  <c r="O36" i="5"/>
  <c r="I36" i="6"/>
  <c r="H152" i="6"/>
  <c r="V152" i="5"/>
  <c r="U152" i="6" s="1"/>
  <c r="C464" i="1"/>
  <c r="D17" i="10"/>
  <c r="H30" i="6"/>
  <c r="V30" i="5"/>
  <c r="U30" i="6" s="1"/>
  <c r="AA19" i="4"/>
  <c r="S197" i="3" s="1"/>
  <c r="R19" i="4"/>
  <c r="R197" i="3" s="1"/>
  <c r="AE19" i="4"/>
  <c r="X197" i="3" s="1"/>
  <c r="S19" i="4"/>
  <c r="Q197" i="3" s="1"/>
  <c r="Z19" i="4"/>
  <c r="T197" i="3" s="1"/>
  <c r="E197" i="3"/>
  <c r="AD19" i="4"/>
  <c r="W197" i="3" s="1"/>
  <c r="L19" i="4"/>
  <c r="P197" i="3" s="1"/>
  <c r="Q19" i="4"/>
  <c r="J92" i="16"/>
  <c r="G30" i="3"/>
  <c r="V170" i="4"/>
  <c r="U30" i="3" s="1"/>
  <c r="K103" i="16"/>
  <c r="L103" i="16"/>
  <c r="G174" i="3"/>
  <c r="V147" i="4"/>
  <c r="U174" i="3" s="1"/>
  <c r="C1" i="13"/>
  <c r="C501" i="1"/>
  <c r="K113" i="16"/>
  <c r="L113" i="16"/>
  <c r="C21" i="1"/>
  <c r="D41" i="9"/>
  <c r="D256" i="12"/>
  <c r="L147" i="16"/>
  <c r="K147" i="16"/>
  <c r="L68" i="3"/>
  <c r="B249" i="10"/>
  <c r="B249" i="8"/>
  <c r="B249" i="9"/>
  <c r="B249" i="11"/>
  <c r="B249" i="12"/>
  <c r="L49" i="6"/>
  <c r="H15" i="3"/>
  <c r="C105" i="1"/>
  <c r="H62" i="3"/>
  <c r="D147" i="8"/>
  <c r="B297" i="8"/>
  <c r="B297" i="10"/>
  <c r="B297" i="9"/>
  <c r="B297" i="12"/>
  <c r="B297" i="11"/>
  <c r="F141" i="6"/>
  <c r="AA108" i="5"/>
  <c r="S108" i="6" s="1"/>
  <c r="S108" i="5"/>
  <c r="Q108" i="6" s="1"/>
  <c r="AD108" i="5"/>
  <c r="AE108" i="5"/>
  <c r="X108" i="6" s="1"/>
  <c r="R108" i="5"/>
  <c r="R108" i="6" s="1"/>
  <c r="L108" i="5"/>
  <c r="P108" i="6" s="1"/>
  <c r="Z108" i="5"/>
  <c r="T108" i="6" s="1"/>
  <c r="E108" i="6"/>
  <c r="AO108" i="5"/>
  <c r="AP108" i="5" s="1"/>
  <c r="V194" i="5"/>
  <c r="U194" i="6" s="1"/>
  <c r="H194" i="6"/>
  <c r="D105" i="10"/>
  <c r="L114" i="6"/>
  <c r="D207" i="12"/>
  <c r="F99" i="3"/>
  <c r="I160" i="16"/>
  <c r="G19" i="3"/>
  <c r="V151" i="4"/>
  <c r="U19" i="3" s="1"/>
  <c r="O77" i="4"/>
  <c r="I204" i="3"/>
  <c r="H43" i="6"/>
  <c r="V43" i="5"/>
  <c r="U43" i="6" s="1"/>
  <c r="V183" i="5"/>
  <c r="U183" i="6" s="1"/>
  <c r="H183" i="6"/>
  <c r="O13" i="4"/>
  <c r="I158" i="3"/>
  <c r="J114" i="16"/>
  <c r="D205" i="10"/>
  <c r="F88" i="6"/>
  <c r="Q54" i="5"/>
  <c r="R54" i="5"/>
  <c r="R54" i="6" s="1"/>
  <c r="AA54" i="5"/>
  <c r="S54" i="6" s="1"/>
  <c r="L54" i="5"/>
  <c r="P54" i="6" s="1"/>
  <c r="Z54" i="5"/>
  <c r="T54" i="6" s="1"/>
  <c r="AE54" i="5"/>
  <c r="X54" i="6" s="1"/>
  <c r="AO54" i="5"/>
  <c r="AP54" i="5" s="1"/>
  <c r="E54" i="6"/>
  <c r="AD54" i="5"/>
  <c r="S54" i="5"/>
  <c r="Q54" i="6" s="1"/>
  <c r="H176" i="3"/>
  <c r="J78" i="16"/>
  <c r="J136" i="16"/>
  <c r="L38" i="6"/>
  <c r="I56" i="3"/>
  <c r="O100" i="4"/>
  <c r="C466" i="1"/>
  <c r="C30" i="1"/>
  <c r="L20" i="6"/>
  <c r="D94" i="8"/>
  <c r="D16" i="11"/>
  <c r="H200" i="3"/>
  <c r="K144" i="16"/>
  <c r="L144" i="16"/>
  <c r="O165" i="5"/>
  <c r="I165" i="6"/>
  <c r="R10" i="4"/>
  <c r="R183" i="3" s="1"/>
  <c r="AA10" i="4"/>
  <c r="S183" i="3" s="1"/>
  <c r="Z10" i="4"/>
  <c r="T183" i="3" s="1"/>
  <c r="AE10" i="4"/>
  <c r="X183" i="3" s="1"/>
  <c r="E183" i="3"/>
  <c r="AD10" i="4"/>
  <c r="W183" i="3" s="1"/>
  <c r="S10" i="4"/>
  <c r="Q183" i="3" s="1"/>
  <c r="L10" i="4"/>
  <c r="P183" i="3" s="1"/>
  <c r="I167" i="16"/>
  <c r="G64" i="6"/>
  <c r="D71" i="9"/>
  <c r="L201" i="3"/>
  <c r="D15" i="8"/>
  <c r="L3" i="6"/>
  <c r="L51" i="6"/>
  <c r="L163" i="3"/>
  <c r="D30" i="10"/>
  <c r="D194" i="10"/>
  <c r="D135" i="8"/>
  <c r="D16" i="9"/>
  <c r="L180" i="16"/>
  <c r="K180" i="16"/>
  <c r="D183" i="9"/>
  <c r="D52" i="9"/>
  <c r="D65" i="10"/>
  <c r="O49" i="4"/>
  <c r="I188" i="3"/>
  <c r="D152" i="9"/>
  <c r="D39" i="9"/>
  <c r="O172" i="4"/>
  <c r="I88" i="3"/>
  <c r="V21" i="5"/>
  <c r="U21" i="6" s="1"/>
  <c r="H21" i="6"/>
  <c r="D67" i="9"/>
  <c r="L64" i="3"/>
  <c r="D181" i="9"/>
  <c r="L165" i="3"/>
  <c r="D148" i="8"/>
  <c r="AD40" i="4"/>
  <c r="W153" i="3" s="1"/>
  <c r="AE40" i="4"/>
  <c r="X153" i="3" s="1"/>
  <c r="S40" i="4"/>
  <c r="Q153" i="3" s="1"/>
  <c r="E153" i="3"/>
  <c r="L40" i="4"/>
  <c r="P153" i="3" s="1"/>
  <c r="R40" i="4"/>
  <c r="R153" i="3" s="1"/>
  <c r="AA40" i="4"/>
  <c r="S153" i="3" s="1"/>
  <c r="Z40" i="4"/>
  <c r="T153" i="3" s="1"/>
  <c r="C369" i="1"/>
  <c r="C172" i="1"/>
  <c r="L177" i="16"/>
  <c r="K177" i="16"/>
  <c r="D110" i="10"/>
  <c r="H203" i="3"/>
  <c r="D245" i="11"/>
  <c r="F26" i="3"/>
  <c r="C413" i="1"/>
  <c r="C158" i="1"/>
  <c r="D83" i="8"/>
  <c r="F20" i="6"/>
  <c r="I168" i="3"/>
  <c r="O37" i="4"/>
  <c r="L56" i="16"/>
  <c r="K56" i="16"/>
  <c r="L79" i="3"/>
  <c r="C100" i="1"/>
  <c r="J91" i="16"/>
  <c r="C18" i="1"/>
  <c r="F41" i="3"/>
  <c r="L45" i="3"/>
  <c r="F132" i="6"/>
  <c r="D164" i="9"/>
  <c r="V192" i="4"/>
  <c r="U20" i="3" s="1"/>
  <c r="G20" i="3"/>
  <c r="O187" i="5"/>
  <c r="I187" i="6"/>
  <c r="V109" i="4"/>
  <c r="U159" i="3" s="1"/>
  <c r="G159" i="3"/>
  <c r="O115" i="4"/>
  <c r="I137" i="3"/>
  <c r="G169" i="6"/>
  <c r="C79" i="1"/>
  <c r="G26" i="6"/>
  <c r="D272" i="11"/>
  <c r="V59" i="4"/>
  <c r="U140" i="3" s="1"/>
  <c r="G140" i="3"/>
  <c r="D78" i="12"/>
  <c r="K185" i="16"/>
  <c r="L185" i="16"/>
  <c r="D111" i="12"/>
  <c r="H13" i="3"/>
  <c r="I45" i="16"/>
  <c r="V108" i="4"/>
  <c r="U101" i="3" s="1"/>
  <c r="G101" i="3"/>
  <c r="L60" i="6"/>
  <c r="D208" i="9"/>
  <c r="V55" i="5"/>
  <c r="U55" i="6" s="1"/>
  <c r="H55" i="6"/>
  <c r="C326" i="1"/>
  <c r="D50" i="10"/>
  <c r="F204" i="6"/>
  <c r="D158" i="10"/>
  <c r="L202" i="3"/>
  <c r="L131" i="16"/>
  <c r="K131" i="16"/>
  <c r="L121" i="3"/>
  <c r="B238" i="11"/>
  <c r="B238" i="10"/>
  <c r="B238" i="8"/>
  <c r="B238" i="12"/>
  <c r="B238" i="9"/>
  <c r="G24" i="6"/>
  <c r="D277" i="11"/>
  <c r="C454" i="1"/>
  <c r="H26" i="3"/>
  <c r="D155" i="10"/>
  <c r="C24" i="1"/>
  <c r="J69" i="16"/>
  <c r="I73" i="16"/>
  <c r="D114" i="11"/>
  <c r="L110" i="6"/>
  <c r="L78" i="3"/>
  <c r="C52" i="1"/>
  <c r="D184" i="9"/>
  <c r="C31" i="14"/>
  <c r="V130" i="5"/>
  <c r="U130" i="6" s="1"/>
  <c r="H130" i="6"/>
  <c r="D162" i="8"/>
  <c r="F39" i="6"/>
  <c r="D202" i="11"/>
  <c r="S190" i="4"/>
  <c r="Q132" i="3" s="1"/>
  <c r="Z190" i="4"/>
  <c r="T132" i="3" s="1"/>
  <c r="Q190" i="4"/>
  <c r="AD190" i="4"/>
  <c r="W132" i="3" s="1"/>
  <c r="L190" i="4"/>
  <c r="P132" i="3" s="1"/>
  <c r="E132" i="3"/>
  <c r="AE190" i="4"/>
  <c r="X132" i="3" s="1"/>
  <c r="AA190" i="4"/>
  <c r="S132" i="3" s="1"/>
  <c r="R190" i="4"/>
  <c r="R132" i="3" s="1"/>
  <c r="I44" i="3"/>
  <c r="O120" i="4"/>
  <c r="E93" i="6"/>
  <c r="AD93" i="5"/>
  <c r="L93" i="5"/>
  <c r="P93" i="6" s="1"/>
  <c r="AO93" i="5"/>
  <c r="AP93" i="5" s="1"/>
  <c r="S93" i="5"/>
  <c r="Q93" i="6" s="1"/>
  <c r="AA93" i="5"/>
  <c r="S93" i="6" s="1"/>
  <c r="Z93" i="5"/>
  <c r="T93" i="6" s="1"/>
  <c r="R93" i="5"/>
  <c r="R93" i="6" s="1"/>
  <c r="Q93" i="5"/>
  <c r="AE93" i="5"/>
  <c r="X93" i="6" s="1"/>
  <c r="H197" i="3"/>
  <c r="V112" i="4"/>
  <c r="U163" i="3" s="1"/>
  <c r="G163" i="3"/>
  <c r="C137" i="1"/>
  <c r="I111" i="6"/>
  <c r="O111" i="5"/>
  <c r="C384" i="1"/>
  <c r="F200" i="3"/>
  <c r="D208" i="10"/>
  <c r="C143" i="1"/>
  <c r="C505" i="1"/>
  <c r="V167" i="4"/>
  <c r="U106" i="3" s="1"/>
  <c r="G106" i="3"/>
  <c r="I125" i="6"/>
  <c r="O125" i="5"/>
  <c r="F48" i="3"/>
  <c r="L103" i="6"/>
  <c r="V48" i="4"/>
  <c r="U170" i="3" s="1"/>
  <c r="G170" i="3"/>
  <c r="O11" i="4"/>
  <c r="I171" i="3"/>
  <c r="C431" i="1"/>
  <c r="D119" i="12"/>
  <c r="F118" i="3"/>
  <c r="I165" i="16"/>
  <c r="AA73" i="4"/>
  <c r="S63" i="3" s="1"/>
  <c r="AE73" i="4"/>
  <c r="X63" i="3" s="1"/>
  <c r="AD73" i="4"/>
  <c r="W63" i="3" s="1"/>
  <c r="R73" i="4"/>
  <c r="R63" i="3" s="1"/>
  <c r="Z73" i="4"/>
  <c r="T63" i="3" s="1"/>
  <c r="L73" i="4"/>
  <c r="P63" i="3" s="1"/>
  <c r="S73" i="4"/>
  <c r="Q63" i="3" s="1"/>
  <c r="E63" i="3"/>
  <c r="V59" i="5"/>
  <c r="U59" i="6" s="1"/>
  <c r="H59" i="6"/>
  <c r="G37" i="3"/>
  <c r="V58" i="4"/>
  <c r="U37" i="3" s="1"/>
  <c r="D213" i="9"/>
  <c r="D171" i="8"/>
  <c r="G79" i="6"/>
  <c r="F78" i="6"/>
  <c r="I186" i="16"/>
  <c r="D68" i="9"/>
  <c r="D131" i="10"/>
  <c r="L5" i="6"/>
  <c r="F94" i="6"/>
  <c r="L25" i="6"/>
  <c r="J56" i="16"/>
  <c r="I69" i="16"/>
  <c r="I61" i="6"/>
  <c r="O61" i="5"/>
  <c r="V198" i="4"/>
  <c r="U195" i="3" s="1"/>
  <c r="G195" i="3"/>
  <c r="C139" i="1"/>
  <c r="I135" i="6"/>
  <c r="O135" i="5"/>
  <c r="D203" i="8"/>
  <c r="D27" i="8"/>
  <c r="S152" i="4"/>
  <c r="Q129" i="3" s="1"/>
  <c r="Z152" i="4"/>
  <c r="T129" i="3" s="1"/>
  <c r="R152" i="4"/>
  <c r="R129" i="3" s="1"/>
  <c r="L152" i="4"/>
  <c r="P129" i="3" s="1"/>
  <c r="AD152" i="4"/>
  <c r="W129" i="3" s="1"/>
  <c r="AA152" i="4"/>
  <c r="S129" i="3" s="1"/>
  <c r="AE152" i="4"/>
  <c r="X129" i="3" s="1"/>
  <c r="E129" i="3"/>
  <c r="D169" i="10"/>
  <c r="C411" i="1"/>
  <c r="B295" i="9"/>
  <c r="B295" i="11"/>
  <c r="B295" i="8"/>
  <c r="B295" i="10"/>
  <c r="B295" i="12"/>
  <c r="F14" i="3"/>
  <c r="I128" i="16"/>
  <c r="J167" i="16"/>
  <c r="C119" i="1"/>
  <c r="D228" i="11"/>
  <c r="F126" i="6"/>
  <c r="H111" i="3"/>
  <c r="D17" i="12"/>
  <c r="D216" i="10"/>
  <c r="G122" i="3"/>
  <c r="V163" i="4"/>
  <c r="U122" i="3" s="1"/>
  <c r="D118" i="8"/>
  <c r="D83" i="9"/>
  <c r="G131" i="6"/>
  <c r="D93" i="12"/>
  <c r="I88" i="16"/>
  <c r="G23" i="3"/>
  <c r="V124" i="4"/>
  <c r="U23" i="3" s="1"/>
  <c r="I198" i="3"/>
  <c r="O168" i="4"/>
  <c r="B266" i="9"/>
  <c r="B266" i="11"/>
  <c r="B266" i="12"/>
  <c r="B266" i="10"/>
  <c r="B266" i="8"/>
  <c r="L45" i="6"/>
  <c r="H131" i="3"/>
  <c r="O203" i="4"/>
  <c r="I117" i="3"/>
  <c r="G16" i="6"/>
  <c r="D74" i="8"/>
  <c r="G66" i="3"/>
  <c r="V80" i="4"/>
  <c r="U66" i="3" s="1"/>
  <c r="F51" i="3"/>
  <c r="O90" i="4"/>
  <c r="I36" i="3"/>
  <c r="O181" i="5"/>
  <c r="I181" i="6"/>
  <c r="C84" i="1"/>
  <c r="F55" i="3"/>
  <c r="B284" i="8"/>
  <c r="B284" i="10"/>
  <c r="B284" i="11"/>
  <c r="B284" i="12"/>
  <c r="B284" i="9"/>
  <c r="H130" i="3"/>
  <c r="V50" i="5"/>
  <c r="U50" i="6" s="1"/>
  <c r="H50" i="6"/>
  <c r="G102" i="6"/>
  <c r="I100" i="16"/>
  <c r="L89" i="6"/>
  <c r="D165" i="8"/>
  <c r="F50" i="3"/>
  <c r="G65" i="6"/>
  <c r="D85" i="9"/>
  <c r="S57" i="5"/>
  <c r="Q57" i="6" s="1"/>
  <c r="AE57" i="5"/>
  <c r="X57" i="6" s="1"/>
  <c r="AD57" i="5"/>
  <c r="L57" i="5"/>
  <c r="P57" i="6" s="1"/>
  <c r="R57" i="5"/>
  <c r="R57" i="6" s="1"/>
  <c r="AA57" i="5"/>
  <c r="S57" i="6" s="1"/>
  <c r="AO57" i="5"/>
  <c r="AP57" i="5" s="1"/>
  <c r="Z57" i="5"/>
  <c r="T57" i="6" s="1"/>
  <c r="E57" i="6"/>
  <c r="Q57" i="5"/>
  <c r="F115" i="3"/>
  <c r="H83" i="3"/>
  <c r="G95" i="6"/>
  <c r="D212" i="8"/>
  <c r="D146" i="12"/>
  <c r="D76" i="12"/>
  <c r="AA129" i="4"/>
  <c r="S72" i="3" s="1"/>
  <c r="AE129" i="4"/>
  <c r="X72" i="3" s="1"/>
  <c r="AD129" i="4"/>
  <c r="W72" i="3" s="1"/>
  <c r="Q129" i="4"/>
  <c r="L129" i="4"/>
  <c r="P72" i="3" s="1"/>
  <c r="R129" i="4"/>
  <c r="R72" i="3" s="1"/>
  <c r="E72" i="3"/>
  <c r="Z129" i="4"/>
  <c r="T72" i="3" s="1"/>
  <c r="S129" i="4"/>
  <c r="Q72" i="3" s="1"/>
  <c r="I146" i="16"/>
  <c r="AO60" i="5"/>
  <c r="AP60" i="5" s="1"/>
  <c r="Q60" i="5"/>
  <c r="E60" i="6"/>
  <c r="AE60" i="5"/>
  <c r="X60" i="6" s="1"/>
  <c r="S60" i="5"/>
  <c r="Q60" i="6" s="1"/>
  <c r="L60" i="5"/>
  <c r="P60" i="6" s="1"/>
  <c r="R60" i="5"/>
  <c r="R60" i="6" s="1"/>
  <c r="AA60" i="5"/>
  <c r="S60" i="6" s="1"/>
  <c r="AD60" i="5"/>
  <c r="Z60" i="5"/>
  <c r="T60" i="6" s="1"/>
  <c r="E16" i="3"/>
  <c r="AE9" i="4"/>
  <c r="X16" i="3" s="1"/>
  <c r="AA9" i="4"/>
  <c r="S16" i="3" s="1"/>
  <c r="S9" i="4"/>
  <c r="Q16" i="3" s="1"/>
  <c r="Z9" i="4"/>
  <c r="T16" i="3" s="1"/>
  <c r="AD9" i="4"/>
  <c r="W16" i="3" s="1"/>
  <c r="Q9" i="4"/>
  <c r="L9" i="4"/>
  <c r="P16" i="3" s="1"/>
  <c r="R9" i="4"/>
  <c r="R16" i="3" s="1"/>
  <c r="F52" i="3"/>
  <c r="H5" i="3"/>
  <c r="D24" i="10"/>
  <c r="D161" i="9"/>
  <c r="I169" i="6"/>
  <c r="O169" i="5"/>
  <c r="D43" i="8"/>
  <c r="L153" i="6"/>
  <c r="D144" i="11"/>
  <c r="F134" i="3"/>
  <c r="D187" i="10"/>
  <c r="O85" i="4"/>
  <c r="I47" i="3"/>
  <c r="L30" i="6"/>
  <c r="V119" i="5"/>
  <c r="U119" i="6" s="1"/>
  <c r="H119" i="6"/>
  <c r="G70" i="6"/>
  <c r="D151" i="9"/>
  <c r="G27" i="6"/>
  <c r="L139" i="16"/>
  <c r="K139" i="16"/>
  <c r="C458" i="1"/>
  <c r="I6" i="6"/>
  <c r="O6" i="5"/>
  <c r="AD169" i="5"/>
  <c r="R169" i="5"/>
  <c r="R169" i="6" s="1"/>
  <c r="Q169" i="5"/>
  <c r="AO169" i="5"/>
  <c r="AP169" i="5" s="1"/>
  <c r="E169" i="6"/>
  <c r="S169" i="5"/>
  <c r="Q169" i="6" s="1"/>
  <c r="AE169" i="5"/>
  <c r="X169" i="6" s="1"/>
  <c r="AA169" i="5"/>
  <c r="S169" i="6" s="1"/>
  <c r="L169" i="5"/>
  <c r="P169" i="6" s="1"/>
  <c r="Z169" i="5"/>
  <c r="T169" i="6" s="1"/>
  <c r="D77" i="10"/>
  <c r="D97" i="11"/>
  <c r="F181" i="3"/>
  <c r="D202" i="10"/>
  <c r="O39" i="4"/>
  <c r="I142" i="3"/>
  <c r="R118" i="5"/>
  <c r="R118" i="6" s="1"/>
  <c r="Z118" i="5"/>
  <c r="T118" i="6" s="1"/>
  <c r="AD118" i="5"/>
  <c r="S118" i="5"/>
  <c r="Q118" i="6" s="1"/>
  <c r="AE118" i="5"/>
  <c r="X118" i="6" s="1"/>
  <c r="Q118" i="5"/>
  <c r="E118" i="6"/>
  <c r="AO118" i="5"/>
  <c r="AP118" i="5" s="1"/>
  <c r="L118" i="5"/>
  <c r="P118" i="6" s="1"/>
  <c r="AA118" i="5"/>
  <c r="S118" i="6" s="1"/>
  <c r="O101" i="4"/>
  <c r="I143" i="3"/>
  <c r="J95" i="16"/>
  <c r="G58" i="6"/>
  <c r="L27" i="6"/>
  <c r="D254" i="12"/>
  <c r="D42" i="8"/>
  <c r="B303" i="8"/>
  <c r="B303" i="9"/>
  <c r="B303" i="11"/>
  <c r="B303" i="10"/>
  <c r="B303" i="12"/>
  <c r="L147" i="3"/>
  <c r="I129" i="3"/>
  <c r="O152" i="4"/>
  <c r="R41" i="5"/>
  <c r="R41" i="6" s="1"/>
  <c r="E41" i="6"/>
  <c r="L41" i="5"/>
  <c r="P41" i="6" s="1"/>
  <c r="S41" i="5"/>
  <c r="Q41" i="6" s="1"/>
  <c r="AO41" i="5"/>
  <c r="AP41" i="5" s="1"/>
  <c r="AA41" i="5"/>
  <c r="S41" i="6" s="1"/>
  <c r="AE41" i="5"/>
  <c r="X41" i="6" s="1"/>
  <c r="AD41" i="5"/>
  <c r="Z41" i="5"/>
  <c r="T41" i="6" s="1"/>
  <c r="L11" i="6"/>
  <c r="V40" i="4"/>
  <c r="U153" i="3" s="1"/>
  <c r="G153" i="3"/>
  <c r="AD79" i="5"/>
  <c r="AO79" i="5"/>
  <c r="AP79" i="5" s="1"/>
  <c r="Z79" i="5"/>
  <c r="T79" i="6" s="1"/>
  <c r="AE79" i="5"/>
  <c r="X79" i="6" s="1"/>
  <c r="R79" i="5"/>
  <c r="R79" i="6" s="1"/>
  <c r="S79" i="5"/>
  <c r="Q79" i="6" s="1"/>
  <c r="AA79" i="5"/>
  <c r="S79" i="6" s="1"/>
  <c r="L79" i="5"/>
  <c r="P79" i="6" s="1"/>
  <c r="E79" i="6"/>
  <c r="Q79" i="5"/>
  <c r="F195" i="6"/>
  <c r="F58" i="6"/>
  <c r="D200" i="11"/>
  <c r="L79" i="16"/>
  <c r="K79" i="16"/>
  <c r="D197" i="12"/>
  <c r="F168" i="3"/>
  <c r="H128" i="6"/>
  <c r="V128" i="5"/>
  <c r="U128" i="6" s="1"/>
  <c r="H158" i="6"/>
  <c r="V158" i="5"/>
  <c r="U158" i="6" s="1"/>
  <c r="D214" i="8"/>
  <c r="L140" i="3"/>
  <c r="I130" i="3"/>
  <c r="O5" i="4"/>
  <c r="S40" i="5"/>
  <c r="Q40" i="6" s="1"/>
  <c r="L40" i="5"/>
  <c r="P40" i="6" s="1"/>
  <c r="Z40" i="5"/>
  <c r="T40" i="6" s="1"/>
  <c r="AE40" i="5"/>
  <c r="X40" i="6" s="1"/>
  <c r="E40" i="6"/>
  <c r="AD40" i="5"/>
  <c r="AA40" i="5"/>
  <c r="S40" i="6" s="1"/>
  <c r="R40" i="5"/>
  <c r="R40" i="6" s="1"/>
  <c r="AO40" i="5"/>
  <c r="AP40" i="5" s="1"/>
  <c r="Q40" i="5"/>
  <c r="F155" i="3"/>
  <c r="D63" i="11"/>
  <c r="J120" i="16"/>
  <c r="D71" i="12"/>
  <c r="D11" i="10"/>
  <c r="D69" i="11"/>
  <c r="L70" i="4"/>
  <c r="P149" i="3" s="1"/>
  <c r="Z70" i="4"/>
  <c r="T149" i="3" s="1"/>
  <c r="R70" i="4"/>
  <c r="R149" i="3" s="1"/>
  <c r="AD70" i="4"/>
  <c r="W149" i="3" s="1"/>
  <c r="S70" i="4"/>
  <c r="Q149" i="3" s="1"/>
  <c r="AE70" i="4"/>
  <c r="X149" i="3" s="1"/>
  <c r="AA70" i="4"/>
  <c r="S149" i="3" s="1"/>
  <c r="Q70" i="4"/>
  <c r="E149" i="3"/>
  <c r="AE173" i="5"/>
  <c r="X173" i="6" s="1"/>
  <c r="R173" i="5"/>
  <c r="R173" i="6" s="1"/>
  <c r="E173" i="6"/>
  <c r="AD173" i="5"/>
  <c r="Z173" i="5"/>
  <c r="T173" i="6" s="1"/>
  <c r="S173" i="5"/>
  <c r="Q173" i="6" s="1"/>
  <c r="AO173" i="5"/>
  <c r="AP173" i="5" s="1"/>
  <c r="L173" i="5"/>
  <c r="P173" i="6" s="1"/>
  <c r="AA173" i="5"/>
  <c r="S173" i="6" s="1"/>
  <c r="G39" i="3"/>
  <c r="V74" i="4"/>
  <c r="U39" i="3" s="1"/>
  <c r="C4" i="14"/>
  <c r="Z155" i="4"/>
  <c r="T102" i="3" s="1"/>
  <c r="AD155" i="4"/>
  <c r="W102" i="3" s="1"/>
  <c r="AE155" i="4"/>
  <c r="X102" i="3" s="1"/>
  <c r="E102" i="3"/>
  <c r="AA155" i="4"/>
  <c r="S102" i="3" s="1"/>
  <c r="R155" i="4"/>
  <c r="R102" i="3" s="1"/>
  <c r="Q155" i="4"/>
  <c r="L155" i="4"/>
  <c r="P102" i="3" s="1"/>
  <c r="S155" i="4"/>
  <c r="Q102" i="3" s="1"/>
  <c r="L151" i="3"/>
  <c r="D207" i="8"/>
  <c r="I117" i="16"/>
  <c r="R105" i="4"/>
  <c r="R116" i="3" s="1"/>
  <c r="AD105" i="4"/>
  <c r="W116" i="3" s="1"/>
  <c r="AA105" i="4"/>
  <c r="S116" i="3" s="1"/>
  <c r="E116" i="3"/>
  <c r="Q105" i="4"/>
  <c r="L105" i="4"/>
  <c r="P116" i="3" s="1"/>
  <c r="AE105" i="4"/>
  <c r="X116" i="3" s="1"/>
  <c r="S105" i="4"/>
  <c r="Q116" i="3" s="1"/>
  <c r="Z105" i="4"/>
  <c r="T116" i="3" s="1"/>
  <c r="B293" i="8"/>
  <c r="B293" i="9"/>
  <c r="B293" i="11"/>
  <c r="B293" i="12"/>
  <c r="B293" i="10"/>
  <c r="D201" i="8"/>
  <c r="H96" i="6"/>
  <c r="V96" i="5"/>
  <c r="U96" i="6" s="1"/>
  <c r="D200" i="10"/>
  <c r="AD125" i="4"/>
  <c r="W136" i="3" s="1"/>
  <c r="Q125" i="4"/>
  <c r="R125" i="4"/>
  <c r="R136" i="3" s="1"/>
  <c r="Z125" i="4"/>
  <c r="T136" i="3" s="1"/>
  <c r="L125" i="4"/>
  <c r="P136" i="3" s="1"/>
  <c r="S125" i="4"/>
  <c r="Q136" i="3" s="1"/>
  <c r="E136" i="3"/>
  <c r="AA125" i="4"/>
  <c r="S136" i="3" s="1"/>
  <c r="AE125" i="4"/>
  <c r="X136" i="3" s="1"/>
  <c r="D273" i="11"/>
  <c r="V25" i="5"/>
  <c r="U25" i="6" s="1"/>
  <c r="H25" i="6"/>
  <c r="O120" i="5"/>
  <c r="I120" i="6"/>
  <c r="C438" i="1"/>
  <c r="C476" i="1"/>
  <c r="L55" i="16"/>
  <c r="K55" i="16"/>
  <c r="AE14" i="5"/>
  <c r="X14" i="6" s="1"/>
  <c r="AA14" i="5"/>
  <c r="S14" i="6" s="1"/>
  <c r="Q14" i="5"/>
  <c r="L14" i="5"/>
  <c r="P14" i="6" s="1"/>
  <c r="R14" i="5"/>
  <c r="R14" i="6" s="1"/>
  <c r="AD14" i="5"/>
  <c r="E14" i="6"/>
  <c r="S14" i="5"/>
  <c r="Q14" i="6" s="1"/>
  <c r="Z14" i="5"/>
  <c r="T14" i="6" s="1"/>
  <c r="AO14" i="5"/>
  <c r="AP14" i="5" s="1"/>
  <c r="L54" i="6"/>
  <c r="L63" i="4"/>
  <c r="P145" i="3" s="1"/>
  <c r="R63" i="4"/>
  <c r="R145" i="3" s="1"/>
  <c r="S63" i="4"/>
  <c r="Q145" i="3" s="1"/>
  <c r="AD63" i="4"/>
  <c r="W145" i="3" s="1"/>
  <c r="Q63" i="4"/>
  <c r="E145" i="3"/>
  <c r="Z63" i="4"/>
  <c r="T145" i="3" s="1"/>
  <c r="AE63" i="4"/>
  <c r="X145" i="3" s="1"/>
  <c r="AA63" i="4"/>
  <c r="S145" i="3" s="1"/>
  <c r="D296" i="12"/>
  <c r="D105" i="12"/>
  <c r="F105" i="6"/>
  <c r="V36" i="4"/>
  <c r="U206" i="3" s="1"/>
  <c r="G206" i="3"/>
  <c r="H124" i="6"/>
  <c r="V124" i="5"/>
  <c r="U124" i="6" s="1"/>
  <c r="K68" i="16"/>
  <c r="L68" i="16"/>
  <c r="C497" i="1"/>
  <c r="D54" i="10"/>
  <c r="I131" i="16"/>
  <c r="D20" i="10"/>
  <c r="F189" i="6"/>
  <c r="D197" i="10"/>
  <c r="C477" i="1"/>
  <c r="D202" i="12"/>
  <c r="C349" i="1"/>
  <c r="L15" i="6"/>
  <c r="D104" i="11"/>
  <c r="I150" i="3"/>
  <c r="O204" i="4"/>
  <c r="H38" i="3"/>
  <c r="F184" i="6"/>
  <c r="D275" i="12"/>
  <c r="L35" i="6"/>
  <c r="H122" i="6"/>
  <c r="V122" i="5"/>
  <c r="U122" i="6" s="1"/>
  <c r="F20" i="3"/>
  <c r="B246" i="12"/>
  <c r="B246" i="11"/>
  <c r="B246" i="9"/>
  <c r="B246" i="8"/>
  <c r="B246" i="10"/>
  <c r="H204" i="3"/>
  <c r="I138" i="3"/>
  <c r="O47" i="4"/>
  <c r="I40" i="3"/>
  <c r="O71" i="4"/>
  <c r="K66" i="16"/>
  <c r="L66" i="16"/>
  <c r="L116" i="3"/>
  <c r="D138" i="12"/>
  <c r="D127" i="10"/>
  <c r="D204" i="9"/>
  <c r="AA165" i="5"/>
  <c r="S165" i="6" s="1"/>
  <c r="Z165" i="5"/>
  <c r="T165" i="6" s="1"/>
  <c r="S165" i="5"/>
  <c r="Q165" i="6" s="1"/>
  <c r="AO165" i="5"/>
  <c r="AP165" i="5" s="1"/>
  <c r="AE165" i="5"/>
  <c r="X165" i="6" s="1"/>
  <c r="R165" i="5"/>
  <c r="R165" i="6" s="1"/>
  <c r="AD165" i="5"/>
  <c r="L165" i="5"/>
  <c r="P165" i="6" s="1"/>
  <c r="E165" i="6"/>
  <c r="Q165" i="5"/>
  <c r="C492" i="1"/>
  <c r="D195" i="11"/>
  <c r="O57" i="5"/>
  <c r="I57" i="6"/>
  <c r="C331" i="1"/>
  <c r="G66" i="6"/>
  <c r="J123" i="16"/>
  <c r="V87" i="5"/>
  <c r="U87" i="6" s="1"/>
  <c r="H87" i="6"/>
  <c r="V53" i="5"/>
  <c r="U53" i="6" s="1"/>
  <c r="H53" i="6"/>
  <c r="H76" i="3"/>
  <c r="H85" i="3"/>
  <c r="F158" i="3"/>
  <c r="F34" i="6"/>
  <c r="B247" i="11"/>
  <c r="B247" i="10"/>
  <c r="B247" i="8"/>
  <c r="B247" i="9"/>
  <c r="B247" i="12"/>
  <c r="D120" i="8"/>
  <c r="L106" i="16"/>
  <c r="K106" i="16"/>
  <c r="S25" i="5"/>
  <c r="Q25" i="6" s="1"/>
  <c r="Z25" i="5"/>
  <c r="T25" i="6" s="1"/>
  <c r="AA25" i="5"/>
  <c r="S25" i="6" s="1"/>
  <c r="AD25" i="5"/>
  <c r="E25" i="6"/>
  <c r="R25" i="5"/>
  <c r="R25" i="6" s="1"/>
  <c r="L25" i="5"/>
  <c r="P25" i="6" s="1"/>
  <c r="AO25" i="5"/>
  <c r="AP25" i="5" s="1"/>
  <c r="AE25" i="5"/>
  <c r="X25" i="6" s="1"/>
  <c r="J97" i="16"/>
  <c r="O177" i="4"/>
  <c r="I91" i="3"/>
  <c r="F202" i="6"/>
  <c r="D183" i="12"/>
  <c r="D159" i="10"/>
  <c r="I154" i="16"/>
  <c r="D16" i="10"/>
  <c r="J77" i="16"/>
  <c r="G13" i="6"/>
  <c r="I103" i="3"/>
  <c r="O139" i="4"/>
  <c r="C455" i="1"/>
  <c r="D258" i="11"/>
  <c r="D91" i="11"/>
  <c r="G37" i="6"/>
  <c r="D206" i="12"/>
  <c r="V79" i="4"/>
  <c r="U118" i="3" s="1"/>
  <c r="G118" i="3"/>
  <c r="AD70" i="5"/>
  <c r="AE70" i="5"/>
  <c r="X70" i="6" s="1"/>
  <c r="L70" i="5"/>
  <c r="P70" i="6" s="1"/>
  <c r="Z70" i="5"/>
  <c r="T70" i="6" s="1"/>
  <c r="Q70" i="5"/>
  <c r="S70" i="5"/>
  <c r="Q70" i="6" s="1"/>
  <c r="AA70" i="5"/>
  <c r="S70" i="6" s="1"/>
  <c r="R70" i="5"/>
  <c r="R70" i="6" s="1"/>
  <c r="AO70" i="5"/>
  <c r="AP70" i="5" s="1"/>
  <c r="E70" i="6"/>
  <c r="I18" i="3"/>
  <c r="O145" i="4"/>
  <c r="E103" i="6"/>
  <c r="AA103" i="5"/>
  <c r="S103" i="6" s="1"/>
  <c r="AE103" i="5"/>
  <c r="X103" i="6" s="1"/>
  <c r="S103" i="5"/>
  <c r="Q103" i="6" s="1"/>
  <c r="Q103" i="5"/>
  <c r="AO103" i="5"/>
  <c r="AP103" i="5" s="1"/>
  <c r="AD103" i="5"/>
  <c r="R103" i="5"/>
  <c r="R103" i="6" s="1"/>
  <c r="L103" i="5"/>
  <c r="P103" i="6" s="1"/>
  <c r="Z103" i="5"/>
  <c r="T103" i="6" s="1"/>
  <c r="D57" i="8"/>
  <c r="G127" i="6"/>
  <c r="G17" i="6"/>
  <c r="C374" i="1"/>
  <c r="D95" i="8"/>
  <c r="C390" i="1"/>
  <c r="I178" i="3"/>
  <c r="O29" i="4"/>
  <c r="D169" i="8"/>
  <c r="B255" i="8"/>
  <c r="B255" i="12"/>
  <c r="B255" i="10"/>
  <c r="B255" i="11"/>
  <c r="B255" i="9"/>
  <c r="H206" i="6"/>
  <c r="V206" i="5"/>
  <c r="U206" i="6" s="1"/>
  <c r="H8" i="3"/>
  <c r="D46" i="11"/>
  <c r="H34" i="6"/>
  <c r="V34" i="5"/>
  <c r="U34" i="6" s="1"/>
  <c r="D166" i="12"/>
  <c r="D61" i="12"/>
  <c r="D42" i="10"/>
  <c r="D162" i="9"/>
  <c r="V143" i="4"/>
  <c r="U157" i="3" s="1"/>
  <c r="G157" i="3"/>
  <c r="J169" i="16"/>
  <c r="C118" i="1"/>
  <c r="G110" i="3"/>
  <c r="V174" i="4"/>
  <c r="U110" i="3" s="1"/>
  <c r="O142" i="5"/>
  <c r="I142" i="6"/>
  <c r="S171" i="5"/>
  <c r="Q171" i="6" s="1"/>
  <c r="R171" i="5"/>
  <c r="R171" i="6" s="1"/>
  <c r="AE171" i="5"/>
  <c r="X171" i="6" s="1"/>
  <c r="Z171" i="5"/>
  <c r="T171" i="6" s="1"/>
  <c r="L171" i="5"/>
  <c r="P171" i="6" s="1"/>
  <c r="E171" i="6"/>
  <c r="AO171" i="5"/>
  <c r="AP171" i="5" s="1"/>
  <c r="AD171" i="5"/>
  <c r="Q171" i="5"/>
  <c r="AA171" i="5"/>
  <c r="S171" i="6" s="1"/>
  <c r="I51" i="6"/>
  <c r="O51" i="5"/>
  <c r="D17" i="11"/>
  <c r="D157" i="11"/>
  <c r="H184" i="6"/>
  <c r="V184" i="5"/>
  <c r="U184" i="6" s="1"/>
  <c r="L28" i="6"/>
  <c r="B283" i="12"/>
  <c r="B283" i="11"/>
  <c r="B283" i="9"/>
  <c r="B283" i="10"/>
  <c r="B283" i="8"/>
  <c r="F131" i="6"/>
  <c r="L148" i="6"/>
  <c r="D169" i="12"/>
  <c r="D120" i="11"/>
  <c r="O141" i="5"/>
  <c r="I141" i="6"/>
  <c r="L93" i="16"/>
  <c r="K93" i="16"/>
  <c r="D136" i="8"/>
  <c r="L58" i="16"/>
  <c r="K58" i="16"/>
  <c r="I201" i="3"/>
  <c r="O99" i="4"/>
  <c r="D165" i="9"/>
  <c r="D132" i="9"/>
  <c r="F111" i="6"/>
  <c r="D66" i="9"/>
  <c r="D75" i="9"/>
  <c r="D108" i="9"/>
  <c r="D181" i="10"/>
  <c r="L18" i="3"/>
  <c r="L173" i="16"/>
  <c r="K173" i="16"/>
  <c r="C483" i="1"/>
  <c r="C378" i="1"/>
  <c r="F64" i="6"/>
  <c r="L10" i="6"/>
  <c r="V51" i="4"/>
  <c r="U7" i="3" s="1"/>
  <c r="G7" i="3"/>
  <c r="G182" i="6"/>
  <c r="D143" i="9"/>
  <c r="D160" i="8"/>
  <c r="G199" i="6"/>
  <c r="D247" i="11"/>
  <c r="L59" i="16"/>
  <c r="K59" i="16"/>
  <c r="C375" i="1"/>
  <c r="D300" i="12"/>
  <c r="L76" i="3"/>
  <c r="E198" i="3"/>
  <c r="Z168" i="4"/>
  <c r="T198" i="3" s="1"/>
  <c r="AE168" i="4"/>
  <c r="X198" i="3" s="1"/>
  <c r="AA168" i="4"/>
  <c r="S198" i="3" s="1"/>
  <c r="R168" i="4"/>
  <c r="R198" i="3" s="1"/>
  <c r="Q168" i="4"/>
  <c r="AD168" i="4"/>
  <c r="W198" i="3" s="1"/>
  <c r="S168" i="4"/>
  <c r="Q198" i="3" s="1"/>
  <c r="L168" i="4"/>
  <c r="P198" i="3" s="1"/>
  <c r="D8" i="12"/>
  <c r="O134" i="4"/>
  <c r="I119" i="3"/>
  <c r="AD190" i="5"/>
  <c r="AA190" i="5"/>
  <c r="S190" i="6" s="1"/>
  <c r="AE190" i="5"/>
  <c r="X190" i="6" s="1"/>
  <c r="E190" i="6"/>
  <c r="L190" i="5"/>
  <c r="P190" i="6" s="1"/>
  <c r="R190" i="5"/>
  <c r="R190" i="6" s="1"/>
  <c r="S190" i="5"/>
  <c r="Q190" i="6" s="1"/>
  <c r="Z190" i="5"/>
  <c r="T190" i="6" s="1"/>
  <c r="AO190" i="5"/>
  <c r="AP190" i="5" s="1"/>
  <c r="B243" i="8"/>
  <c r="B243" i="11"/>
  <c r="B243" i="10"/>
  <c r="B243" i="9"/>
  <c r="B243" i="12"/>
  <c r="L122" i="6"/>
  <c r="D26" i="10"/>
  <c r="F84" i="3"/>
  <c r="L65" i="6"/>
  <c r="I190" i="6"/>
  <c r="O190" i="5"/>
  <c r="F161" i="6"/>
  <c r="O164" i="4"/>
  <c r="I113" i="3"/>
  <c r="D188" i="10"/>
  <c r="B286" i="10"/>
  <c r="B286" i="8"/>
  <c r="B286" i="12"/>
  <c r="B286" i="11"/>
  <c r="B286" i="9"/>
  <c r="L167" i="6"/>
  <c r="H61" i="6"/>
  <c r="V61" i="5"/>
  <c r="U61" i="6" s="1"/>
  <c r="D201" i="10"/>
  <c r="L4" i="5"/>
  <c r="P4" i="6" s="1"/>
  <c r="AA4" i="5"/>
  <c r="S4" i="6" s="1"/>
  <c r="R4" i="5"/>
  <c r="R4" i="6" s="1"/>
  <c r="Q4" i="5"/>
  <c r="AE4" i="5"/>
  <c r="X4" i="6" s="1"/>
  <c r="E4" i="6"/>
  <c r="AD4" i="5"/>
  <c r="AO4" i="5"/>
  <c r="AP4" i="5" s="1"/>
  <c r="Z4" i="5"/>
  <c r="T4" i="6" s="1"/>
  <c r="S4" i="5"/>
  <c r="Q4" i="6" s="1"/>
  <c r="H59" i="3"/>
  <c r="G162" i="3"/>
  <c r="V82" i="4"/>
  <c r="U162" i="3" s="1"/>
  <c r="E98" i="3"/>
  <c r="S69" i="4"/>
  <c r="Q98" i="3" s="1"/>
  <c r="Z69" i="4"/>
  <c r="T98" i="3" s="1"/>
  <c r="R69" i="4"/>
  <c r="R98" i="3" s="1"/>
  <c r="L69" i="4"/>
  <c r="P98" i="3" s="1"/>
  <c r="Q69" i="4"/>
  <c r="AD69" i="4"/>
  <c r="W98" i="3" s="1"/>
  <c r="AA69" i="4"/>
  <c r="S98" i="3" s="1"/>
  <c r="AE69" i="4"/>
  <c r="X98" i="3" s="1"/>
  <c r="D54" i="8"/>
  <c r="F73" i="3"/>
  <c r="L40" i="3"/>
  <c r="H139" i="3"/>
  <c r="D12" i="10"/>
  <c r="I80" i="16"/>
  <c r="I80" i="6"/>
  <c r="O80" i="5"/>
  <c r="D45" i="11"/>
  <c r="D89" i="8"/>
  <c r="G67" i="3"/>
  <c r="V116" i="4"/>
  <c r="U67" i="3" s="1"/>
  <c r="V204" i="5"/>
  <c r="U204" i="6" s="1"/>
  <c r="H204" i="6"/>
  <c r="I130" i="16"/>
  <c r="D90" i="10"/>
  <c r="D75" i="10"/>
  <c r="D170" i="10"/>
  <c r="D73" i="11"/>
  <c r="D93" i="9"/>
  <c r="C168" i="1"/>
  <c r="D10" i="9"/>
  <c r="H66" i="6"/>
  <c r="V66" i="5"/>
  <c r="U66" i="6" s="1"/>
  <c r="I39" i="6"/>
  <c r="O39" i="5"/>
  <c r="D171" i="11"/>
  <c r="V127" i="5"/>
  <c r="U127" i="6" s="1"/>
  <c r="H127" i="6"/>
  <c r="O119" i="5"/>
  <c r="I119" i="6"/>
  <c r="C145" i="1"/>
  <c r="D19" i="10"/>
  <c r="H137" i="6"/>
  <c r="V137" i="5"/>
  <c r="U137" i="6" s="1"/>
  <c r="D179" i="10"/>
  <c r="AA64" i="5"/>
  <c r="S64" i="6" s="1"/>
  <c r="E64" i="6"/>
  <c r="S64" i="5"/>
  <c r="Q64" i="6" s="1"/>
  <c r="AD64" i="5"/>
  <c r="AE64" i="5"/>
  <c r="X64" i="6" s="1"/>
  <c r="R64" i="5"/>
  <c r="R64" i="6" s="1"/>
  <c r="L64" i="5"/>
  <c r="P64" i="6" s="1"/>
  <c r="AO64" i="5"/>
  <c r="AP64" i="5" s="1"/>
  <c r="Z64" i="5"/>
  <c r="T64" i="6" s="1"/>
  <c r="Q64" i="5"/>
  <c r="E175" i="3"/>
  <c r="AD24" i="4"/>
  <c r="W175" i="3" s="1"/>
  <c r="R24" i="4"/>
  <c r="R175" i="3" s="1"/>
  <c r="Q24" i="4"/>
  <c r="Z24" i="4"/>
  <c r="T175" i="3" s="1"/>
  <c r="L24" i="4"/>
  <c r="P175" i="3" s="1"/>
  <c r="S24" i="4"/>
  <c r="Q175" i="3" s="1"/>
  <c r="AE24" i="4"/>
  <c r="X175" i="3" s="1"/>
  <c r="AA24" i="4"/>
  <c r="S175" i="3" s="1"/>
  <c r="J127" i="16"/>
  <c r="AO53" i="5"/>
  <c r="AP53" i="5" s="1"/>
  <c r="AA53" i="5"/>
  <c r="S53" i="6" s="1"/>
  <c r="Q53" i="5"/>
  <c r="Z53" i="5"/>
  <c r="T53" i="6" s="1"/>
  <c r="L53" i="5"/>
  <c r="P53" i="6" s="1"/>
  <c r="E53" i="6"/>
  <c r="S53" i="5"/>
  <c r="Q53" i="6" s="1"/>
  <c r="AE53" i="5"/>
  <c r="X53" i="6" s="1"/>
  <c r="R53" i="5"/>
  <c r="R53" i="6" s="1"/>
  <c r="AD53" i="5"/>
  <c r="D19" i="12"/>
  <c r="V202" i="5"/>
  <c r="U202" i="6" s="1"/>
  <c r="H202" i="6"/>
  <c r="D105" i="8"/>
  <c r="I72" i="6"/>
  <c r="O72" i="5"/>
  <c r="D94" i="11"/>
  <c r="O140" i="4"/>
  <c r="I92" i="3"/>
  <c r="V163" i="5"/>
  <c r="U163" i="6" s="1"/>
  <c r="H163" i="6"/>
  <c r="D191" i="12"/>
  <c r="D33" i="10"/>
  <c r="V105" i="5"/>
  <c r="U105" i="6" s="1"/>
  <c r="H105" i="6"/>
  <c r="F27" i="6"/>
  <c r="D21" i="8"/>
  <c r="C12" i="1"/>
  <c r="G9" i="6"/>
  <c r="L49" i="3"/>
  <c r="F22" i="6"/>
  <c r="D295" i="12"/>
  <c r="D126" i="12"/>
  <c r="D26" i="9"/>
  <c r="D33" i="11"/>
  <c r="D238" i="11"/>
  <c r="D27" i="12"/>
  <c r="V44" i="5"/>
  <c r="U44" i="6" s="1"/>
  <c r="H44" i="6"/>
  <c r="B237" i="8"/>
  <c r="B237" i="9"/>
  <c r="B237" i="12"/>
  <c r="B237" i="11"/>
  <c r="B237" i="10"/>
  <c r="I113" i="16"/>
  <c r="D112" i="12"/>
  <c r="C391" i="1"/>
  <c r="C120" i="1"/>
  <c r="I144" i="16"/>
  <c r="Q153" i="4"/>
  <c r="AD153" i="4"/>
  <c r="W79" i="3" s="1"/>
  <c r="AE153" i="4"/>
  <c r="X79" i="3" s="1"/>
  <c r="Z153" i="4"/>
  <c r="T79" i="3" s="1"/>
  <c r="R153" i="4"/>
  <c r="R79" i="3" s="1"/>
  <c r="E79" i="3"/>
  <c r="S153" i="4"/>
  <c r="Q79" i="3" s="1"/>
  <c r="AA153" i="4"/>
  <c r="S79" i="3" s="1"/>
  <c r="L153" i="4"/>
  <c r="P79" i="3" s="1"/>
  <c r="D109" i="8"/>
  <c r="G191" i="6"/>
  <c r="E29" i="3"/>
  <c r="AD88" i="4"/>
  <c r="W29" i="3" s="1"/>
  <c r="R88" i="4"/>
  <c r="R29" i="3" s="1"/>
  <c r="AE88" i="4"/>
  <c r="X29" i="3" s="1"/>
  <c r="S88" i="4"/>
  <c r="Q29" i="3" s="1"/>
  <c r="L88" i="4"/>
  <c r="P29" i="3" s="1"/>
  <c r="AA88" i="4"/>
  <c r="S29" i="3" s="1"/>
  <c r="Z88" i="4"/>
  <c r="T29" i="3" s="1"/>
  <c r="F131" i="3"/>
  <c r="I8" i="3"/>
  <c r="O187" i="4"/>
  <c r="I156" i="16"/>
  <c r="D87" i="12"/>
  <c r="D125" i="8"/>
  <c r="C350" i="1"/>
  <c r="G138" i="6"/>
  <c r="D180" i="11"/>
  <c r="H125" i="3"/>
  <c r="S131" i="4"/>
  <c r="Q27" i="3" s="1"/>
  <c r="AA131" i="4"/>
  <c r="S27" i="3" s="1"/>
  <c r="AD131" i="4"/>
  <c r="W27" i="3" s="1"/>
  <c r="Z131" i="4"/>
  <c r="T27" i="3" s="1"/>
  <c r="L131" i="4"/>
  <c r="P27" i="3" s="1"/>
  <c r="AE131" i="4"/>
  <c r="X27" i="3" s="1"/>
  <c r="Q131" i="4"/>
  <c r="E27" i="3"/>
  <c r="R131" i="4"/>
  <c r="R27" i="3" s="1"/>
  <c r="F119" i="3"/>
  <c r="D201" i="12"/>
  <c r="D145" i="11"/>
  <c r="L99" i="6"/>
  <c r="F200" i="6"/>
  <c r="I71" i="3"/>
  <c r="O176" i="4"/>
  <c r="D141" i="9"/>
  <c r="K169" i="16"/>
  <c r="L169" i="16"/>
  <c r="H33" i="3"/>
  <c r="H86" i="6"/>
  <c r="V86" i="5"/>
  <c r="U86" i="6" s="1"/>
  <c r="F140" i="6"/>
  <c r="J81" i="16"/>
  <c r="AA87" i="5"/>
  <c r="S87" i="6" s="1"/>
  <c r="S87" i="5"/>
  <c r="Q87" i="6" s="1"/>
  <c r="E87" i="6"/>
  <c r="Q87" i="5"/>
  <c r="R87" i="5"/>
  <c r="R87" i="6" s="1"/>
  <c r="AO87" i="5"/>
  <c r="AP87" i="5" s="1"/>
  <c r="L87" i="5"/>
  <c r="P87" i="6" s="1"/>
  <c r="AE87" i="5"/>
  <c r="X87" i="6" s="1"/>
  <c r="Z87" i="5"/>
  <c r="T87" i="6" s="1"/>
  <c r="AD87" i="5"/>
  <c r="C159" i="1"/>
  <c r="I43" i="16"/>
  <c r="K145" i="16"/>
  <c r="L145" i="16"/>
  <c r="L14" i="6"/>
  <c r="O88" i="4"/>
  <c r="I29" i="3"/>
  <c r="F117" i="6"/>
  <c r="L105" i="3"/>
  <c r="O132" i="4"/>
  <c r="I161" i="3"/>
  <c r="H129" i="3"/>
  <c r="E37" i="3"/>
  <c r="AA58" i="4"/>
  <c r="S37" i="3" s="1"/>
  <c r="AE58" i="4"/>
  <c r="X37" i="3" s="1"/>
  <c r="AD58" i="4"/>
  <c r="W37" i="3" s="1"/>
  <c r="L58" i="4"/>
  <c r="P37" i="3" s="1"/>
  <c r="R58" i="4"/>
  <c r="R37" i="3" s="1"/>
  <c r="Z58" i="4"/>
  <c r="T37" i="3" s="1"/>
  <c r="S58" i="4"/>
  <c r="Q37" i="3" s="1"/>
  <c r="Q58" i="4"/>
  <c r="G203" i="6"/>
  <c r="G167" i="6"/>
  <c r="D103" i="12"/>
  <c r="B245" i="12"/>
  <c r="B245" i="10"/>
  <c r="B245" i="11"/>
  <c r="B245" i="9"/>
  <c r="B245" i="8"/>
  <c r="D153" i="9"/>
  <c r="L189" i="16"/>
  <c r="K189" i="16"/>
  <c r="H90" i="3"/>
  <c r="I24" i="3"/>
  <c r="O103" i="4"/>
  <c r="I173" i="16"/>
  <c r="K135" i="16"/>
  <c r="L135" i="16"/>
  <c r="D178" i="12"/>
  <c r="G165" i="6"/>
  <c r="D244" i="11"/>
  <c r="I63" i="16"/>
  <c r="C400" i="1"/>
  <c r="G48" i="6"/>
  <c r="F98" i="3"/>
  <c r="G73" i="6"/>
  <c r="D138" i="8"/>
  <c r="F68" i="6"/>
  <c r="V108" i="5"/>
  <c r="U108" i="6" s="1"/>
  <c r="H108" i="6"/>
  <c r="F30" i="6"/>
  <c r="F119" i="6"/>
  <c r="F84" i="6"/>
  <c r="Z95" i="5"/>
  <c r="T95" i="6" s="1"/>
  <c r="S95" i="5"/>
  <c r="Q95" i="6" s="1"/>
  <c r="AO95" i="5"/>
  <c r="AP95" i="5" s="1"/>
  <c r="Q95" i="5"/>
  <c r="R95" i="5"/>
  <c r="R95" i="6" s="1"/>
  <c r="E95" i="6"/>
  <c r="AD95" i="5"/>
  <c r="AA95" i="5"/>
  <c r="S95" i="6" s="1"/>
  <c r="AE95" i="5"/>
  <c r="X95" i="6" s="1"/>
  <c r="L95" i="5"/>
  <c r="P95" i="6" s="1"/>
  <c r="H27" i="3"/>
  <c r="J164" i="16"/>
  <c r="F130" i="6"/>
  <c r="L63" i="3"/>
  <c r="I137" i="16"/>
  <c r="G74" i="6"/>
  <c r="E68" i="3"/>
  <c r="Z191" i="4"/>
  <c r="T68" i="3" s="1"/>
  <c r="L191" i="4"/>
  <c r="P68" i="3" s="1"/>
  <c r="R191" i="4"/>
  <c r="R68" i="3" s="1"/>
  <c r="S191" i="4"/>
  <c r="Q68" i="3" s="1"/>
  <c r="Q191" i="4"/>
  <c r="AA191" i="4"/>
  <c r="S68" i="3" s="1"/>
  <c r="AE191" i="4"/>
  <c r="X68" i="3" s="1"/>
  <c r="AD191" i="4"/>
  <c r="W68" i="3" s="1"/>
  <c r="G148" i="6"/>
  <c r="O78" i="4"/>
  <c r="I114" i="3"/>
  <c r="C339" i="1"/>
  <c r="D270" i="11"/>
  <c r="D255" i="12"/>
  <c r="D34" i="9"/>
  <c r="H161" i="3"/>
  <c r="L100" i="16"/>
  <c r="K100" i="16"/>
  <c r="D69" i="12"/>
  <c r="G119" i="6"/>
  <c r="D183" i="11"/>
  <c r="D112" i="11"/>
  <c r="D43" i="10"/>
  <c r="D135" i="11"/>
  <c r="C336" i="1"/>
  <c r="D58" i="11"/>
  <c r="D113" i="8"/>
  <c r="L170" i="6"/>
  <c r="D22" i="11"/>
  <c r="F172" i="3"/>
  <c r="D216" i="11"/>
  <c r="D127" i="11"/>
  <c r="L185" i="3"/>
  <c r="F69" i="6"/>
  <c r="D161" i="11"/>
  <c r="C364" i="1"/>
  <c r="D45" i="9"/>
  <c r="D16" i="12"/>
  <c r="I49" i="16"/>
  <c r="I177" i="3"/>
  <c r="O20" i="4"/>
  <c r="D188" i="12"/>
  <c r="L86" i="3"/>
  <c r="D192" i="8"/>
  <c r="D76" i="10"/>
  <c r="F38" i="3"/>
  <c r="G116" i="6"/>
  <c r="D127" i="8"/>
  <c r="J94" i="16"/>
  <c r="C405" i="1"/>
  <c r="C489" i="1"/>
  <c r="AD119" i="4"/>
  <c r="W81" i="3" s="1"/>
  <c r="Z119" i="4"/>
  <c r="T81" i="3" s="1"/>
  <c r="L119" i="4"/>
  <c r="P81" i="3" s="1"/>
  <c r="Q119" i="4"/>
  <c r="E81" i="3"/>
  <c r="AA119" i="4"/>
  <c r="S81" i="3" s="1"/>
  <c r="AE119" i="4"/>
  <c r="X81" i="3" s="1"/>
  <c r="S119" i="4"/>
  <c r="Q81" i="3" s="1"/>
  <c r="R119" i="4"/>
  <c r="R81" i="3" s="1"/>
  <c r="I51" i="3"/>
  <c r="O111" i="4"/>
  <c r="D65" i="9"/>
  <c r="D212" i="11"/>
  <c r="AA154" i="4"/>
  <c r="S9" i="3" s="1"/>
  <c r="S154" i="4"/>
  <c r="Q9" i="3" s="1"/>
  <c r="Z154" i="4"/>
  <c r="T9" i="3" s="1"/>
  <c r="E9" i="3"/>
  <c r="AE154" i="4"/>
  <c r="X9" i="3" s="1"/>
  <c r="R154" i="4"/>
  <c r="R9" i="3" s="1"/>
  <c r="L154" i="4"/>
  <c r="P9" i="3" s="1"/>
  <c r="AD154" i="4"/>
  <c r="W9" i="3" s="1"/>
  <c r="Q154" i="4"/>
  <c r="D259" i="11"/>
  <c r="O143" i="5"/>
  <c r="I143" i="6"/>
  <c r="I150" i="16"/>
  <c r="I143" i="16"/>
  <c r="G177" i="3"/>
  <c r="V20" i="4"/>
  <c r="U177" i="3" s="1"/>
  <c r="J147" i="16"/>
  <c r="L162" i="6"/>
  <c r="L190" i="3"/>
  <c r="C379" i="1"/>
  <c r="I179" i="16"/>
  <c r="C498" i="1"/>
  <c r="D186" i="9"/>
  <c r="D193" i="10"/>
  <c r="L186" i="6"/>
  <c r="I71" i="16"/>
  <c r="D214" i="11"/>
  <c r="L131" i="6"/>
  <c r="L107" i="6"/>
  <c r="D171" i="12"/>
  <c r="F81" i="6"/>
  <c r="C496" i="1"/>
  <c r="H200" i="6"/>
  <c r="V200" i="5"/>
  <c r="U200" i="6" s="1"/>
  <c r="B3" i="17"/>
  <c r="L21" i="6"/>
  <c r="L183" i="3"/>
  <c r="L91" i="6"/>
  <c r="J175" i="16"/>
  <c r="D103" i="10"/>
  <c r="H160" i="6"/>
  <c r="V160" i="5"/>
  <c r="U160" i="6" s="1"/>
  <c r="L94" i="3"/>
  <c r="C377" i="1"/>
  <c r="B263" i="11"/>
  <c r="B263" i="8"/>
  <c r="B263" i="12"/>
  <c r="B263" i="9"/>
  <c r="B263" i="10"/>
  <c r="V179" i="5"/>
  <c r="U179" i="6" s="1"/>
  <c r="H179" i="6"/>
  <c r="R6" i="5"/>
  <c r="R6" i="6" s="1"/>
  <c r="AO6" i="5"/>
  <c r="AP6" i="5" s="1"/>
  <c r="AE6" i="5"/>
  <c r="X6" i="6" s="1"/>
  <c r="AD6" i="5"/>
  <c r="S6" i="5"/>
  <c r="Q6" i="6" s="1"/>
  <c r="AA6" i="5"/>
  <c r="S6" i="6" s="1"/>
  <c r="Z6" i="5"/>
  <c r="T6" i="6" s="1"/>
  <c r="E6" i="6"/>
  <c r="L6" i="5"/>
  <c r="P6" i="6" s="1"/>
  <c r="K161" i="16"/>
  <c r="L161" i="16"/>
  <c r="L150" i="6"/>
  <c r="D81" i="8"/>
  <c r="D147" i="9"/>
  <c r="AE113" i="4"/>
  <c r="X57" i="3" s="1"/>
  <c r="S113" i="4"/>
  <c r="Q57" i="3" s="1"/>
  <c r="Z113" i="4"/>
  <c r="T57" i="3" s="1"/>
  <c r="AD113" i="4"/>
  <c r="W57" i="3" s="1"/>
  <c r="R113" i="4"/>
  <c r="R57" i="3" s="1"/>
  <c r="AA113" i="4"/>
  <c r="S57" i="3" s="1"/>
  <c r="E57" i="3"/>
  <c r="L113" i="4"/>
  <c r="P57" i="3" s="1"/>
  <c r="AD17" i="4"/>
  <c r="W135" i="3" s="1"/>
  <c r="AE17" i="4"/>
  <c r="X135" i="3" s="1"/>
  <c r="AA17" i="4"/>
  <c r="S135" i="3" s="1"/>
  <c r="L17" i="4"/>
  <c r="P135" i="3" s="1"/>
  <c r="E135" i="3"/>
  <c r="Q17" i="4"/>
  <c r="S17" i="4"/>
  <c r="Q135" i="3" s="1"/>
  <c r="Z17" i="4"/>
  <c r="T135" i="3" s="1"/>
  <c r="R17" i="4"/>
  <c r="R135" i="3" s="1"/>
  <c r="L71" i="6"/>
  <c r="C206" i="1"/>
  <c r="F56" i="3"/>
  <c r="D274" i="11"/>
  <c r="I167" i="6"/>
  <c r="O167" i="5"/>
  <c r="F108" i="6"/>
  <c r="C485" i="1"/>
  <c r="S127" i="5"/>
  <c r="Q127" i="6" s="1"/>
  <c r="R127" i="5"/>
  <c r="R127" i="6" s="1"/>
  <c r="AO127" i="5"/>
  <c r="AP127" i="5" s="1"/>
  <c r="L127" i="5"/>
  <c r="P127" i="6" s="1"/>
  <c r="Z127" i="5"/>
  <c r="T127" i="6" s="1"/>
  <c r="E127" i="6"/>
  <c r="AE127" i="5"/>
  <c r="X127" i="6" s="1"/>
  <c r="AD127" i="5"/>
  <c r="AA127" i="5"/>
  <c r="S127" i="6" s="1"/>
  <c r="Q127" i="5"/>
  <c r="D221" i="8"/>
  <c r="G129" i="3"/>
  <c r="V152" i="4"/>
  <c r="U129" i="3" s="1"/>
  <c r="L175" i="3"/>
  <c r="D152" i="8"/>
  <c r="D100" i="9"/>
  <c r="F147" i="3"/>
  <c r="D226" i="12"/>
  <c r="D173" i="10"/>
  <c r="F187" i="3"/>
  <c r="J141" i="16"/>
  <c r="O144" i="5"/>
  <c r="I144" i="6"/>
  <c r="J166" i="16"/>
  <c r="H47" i="3"/>
  <c r="I193" i="6"/>
  <c r="O193" i="5"/>
  <c r="AO66" i="5"/>
  <c r="AP66" i="5" s="1"/>
  <c r="Z66" i="5"/>
  <c r="T66" i="6" s="1"/>
  <c r="R66" i="5"/>
  <c r="R66" i="6" s="1"/>
  <c r="S66" i="5"/>
  <c r="Q66" i="6" s="1"/>
  <c r="AA66" i="5"/>
  <c r="S66" i="6" s="1"/>
  <c r="AE66" i="5"/>
  <c r="X66" i="6" s="1"/>
  <c r="AD66" i="5"/>
  <c r="E66" i="6"/>
  <c r="L66" i="5"/>
  <c r="P66" i="6" s="1"/>
  <c r="Q66" i="5"/>
  <c r="L11" i="3"/>
  <c r="D44" i="12"/>
  <c r="H24" i="3"/>
  <c r="C399" i="1"/>
  <c r="G124" i="6"/>
  <c r="F29" i="3"/>
  <c r="C436" i="1"/>
  <c r="D119" i="11"/>
  <c r="D13" i="12"/>
  <c r="H79" i="6"/>
  <c r="V79" i="5"/>
  <c r="U79" i="6" s="1"/>
  <c r="C170" i="1"/>
  <c r="D112" i="10"/>
  <c r="F21" i="6"/>
  <c r="D179" i="8"/>
  <c r="B228" i="12"/>
  <c r="G193" i="3"/>
  <c r="V66" i="4"/>
  <c r="U193" i="3" s="1"/>
  <c r="F6" i="6"/>
  <c r="Z44" i="5"/>
  <c r="T44" i="6" s="1"/>
  <c r="AD44" i="5"/>
  <c r="R44" i="5"/>
  <c r="R44" i="6" s="1"/>
  <c r="L44" i="5"/>
  <c r="P44" i="6" s="1"/>
  <c r="S44" i="5"/>
  <c r="Q44" i="6" s="1"/>
  <c r="E44" i="6"/>
  <c r="AA44" i="5"/>
  <c r="S44" i="6" s="1"/>
  <c r="AE44" i="5"/>
  <c r="X44" i="6" s="1"/>
  <c r="Q44" i="5"/>
  <c r="AO44" i="5"/>
  <c r="AP44" i="5" s="1"/>
  <c r="Z170" i="5"/>
  <c r="T170" i="6" s="1"/>
  <c r="AE170" i="5"/>
  <c r="X170" i="6" s="1"/>
  <c r="R170" i="5"/>
  <c r="R170" i="6" s="1"/>
  <c r="L170" i="5"/>
  <c r="P170" i="6" s="1"/>
  <c r="AD170" i="5"/>
  <c r="E170" i="6"/>
  <c r="AO170" i="5"/>
  <c r="AP170" i="5" s="1"/>
  <c r="S170" i="5"/>
  <c r="Q170" i="6" s="1"/>
  <c r="AA170" i="5"/>
  <c r="S170" i="6" s="1"/>
  <c r="Q170" i="5"/>
  <c r="H94" i="6"/>
  <c r="V94" i="5"/>
  <c r="U94" i="6" s="1"/>
  <c r="V148" i="4"/>
  <c r="U185" i="3" s="1"/>
  <c r="G185" i="3"/>
  <c r="J57" i="16"/>
  <c r="V155" i="4"/>
  <c r="U102" i="3" s="1"/>
  <c r="G102" i="3"/>
  <c r="F137" i="6"/>
  <c r="H87" i="3"/>
  <c r="V199" i="4"/>
  <c r="U196" i="3" s="1"/>
  <c r="G196" i="3"/>
  <c r="D172" i="8"/>
  <c r="F87" i="6"/>
  <c r="F104" i="3"/>
  <c r="I87" i="16"/>
  <c r="D240" i="12"/>
  <c r="L61" i="6"/>
  <c r="D115" i="10"/>
  <c r="D207" i="10"/>
  <c r="F133" i="6"/>
  <c r="C130" i="1"/>
  <c r="L120" i="16"/>
  <c r="K120" i="16"/>
  <c r="H162" i="3"/>
  <c r="C457" i="1"/>
  <c r="I74" i="16"/>
  <c r="V187" i="4"/>
  <c r="U8" i="3" s="1"/>
  <c r="G8" i="3"/>
  <c r="F147" i="6"/>
  <c r="D84" i="12"/>
  <c r="O104" i="5"/>
  <c r="I104" i="6"/>
  <c r="S185" i="4"/>
  <c r="Q69" i="3" s="1"/>
  <c r="Z185" i="4"/>
  <c r="T69" i="3" s="1"/>
  <c r="AD185" i="4"/>
  <c r="W69" i="3" s="1"/>
  <c r="E69" i="3"/>
  <c r="L185" i="4"/>
  <c r="P69" i="3" s="1"/>
  <c r="R185" i="4"/>
  <c r="R69" i="3" s="1"/>
  <c r="AE185" i="4"/>
  <c r="X69" i="3" s="1"/>
  <c r="Q185" i="4"/>
  <c r="AA185" i="4"/>
  <c r="S69" i="3" s="1"/>
  <c r="D30" i="11"/>
  <c r="D283" i="12"/>
  <c r="L128" i="4"/>
  <c r="P80" i="3" s="1"/>
  <c r="E80" i="3"/>
  <c r="AE128" i="4"/>
  <c r="X80" i="3" s="1"/>
  <c r="Q128" i="4"/>
  <c r="R128" i="4"/>
  <c r="R80" i="3" s="1"/>
  <c r="AD128" i="4"/>
  <c r="W80" i="3" s="1"/>
  <c r="AA128" i="4"/>
  <c r="S80" i="3" s="1"/>
  <c r="Z128" i="4"/>
  <c r="T80" i="3" s="1"/>
  <c r="S128" i="4"/>
  <c r="Q80" i="3" s="1"/>
  <c r="G149" i="6"/>
  <c r="H72" i="6"/>
  <c r="V72" i="5"/>
  <c r="U72" i="6" s="1"/>
  <c r="L9" i="3"/>
  <c r="L175" i="16"/>
  <c r="K175" i="16"/>
  <c r="D211" i="10"/>
  <c r="J133" i="16"/>
  <c r="V123" i="4"/>
  <c r="U89" i="3" s="1"/>
  <c r="G89" i="3"/>
  <c r="AE148" i="4"/>
  <c r="X185" i="3" s="1"/>
  <c r="S148" i="4"/>
  <c r="Q185" i="3" s="1"/>
  <c r="Q148" i="4"/>
  <c r="L148" i="4"/>
  <c r="P185" i="3" s="1"/>
  <c r="AA148" i="4"/>
  <c r="S185" i="3" s="1"/>
  <c r="Z148" i="4"/>
  <c r="T185" i="3" s="1"/>
  <c r="E185" i="3"/>
  <c r="AD148" i="4"/>
  <c r="W185" i="3" s="1"/>
  <c r="R148" i="4"/>
  <c r="R185" i="3" s="1"/>
  <c r="H188" i="3"/>
  <c r="G130" i="6"/>
  <c r="AO111" i="5"/>
  <c r="AP111" i="5" s="1"/>
  <c r="AE111" i="5"/>
  <c r="X111" i="6" s="1"/>
  <c r="Z111" i="5"/>
  <c r="T111" i="6" s="1"/>
  <c r="R111" i="5"/>
  <c r="R111" i="6" s="1"/>
  <c r="L111" i="5"/>
  <c r="P111" i="6" s="1"/>
  <c r="E111" i="6"/>
  <c r="AD111" i="5"/>
  <c r="AA111" i="5"/>
  <c r="S111" i="6" s="1"/>
  <c r="S111" i="5"/>
  <c r="Q111" i="6" s="1"/>
  <c r="Q111" i="5"/>
  <c r="C201" i="1"/>
  <c r="C423" i="1"/>
  <c r="L127" i="6"/>
  <c r="B251" i="10"/>
  <c r="B251" i="9"/>
  <c r="B251" i="11"/>
  <c r="B251" i="12"/>
  <c r="B251" i="8"/>
  <c r="R164" i="4"/>
  <c r="R113" i="3" s="1"/>
  <c r="S164" i="4"/>
  <c r="Q113" i="3" s="1"/>
  <c r="Z164" i="4"/>
  <c r="T113" i="3" s="1"/>
  <c r="AE164" i="4"/>
  <c r="X113" i="3" s="1"/>
  <c r="Q164" i="4"/>
  <c r="E113" i="3"/>
  <c r="L164" i="4"/>
  <c r="P113" i="3" s="1"/>
  <c r="AD164" i="4"/>
  <c r="W113" i="3" s="1"/>
  <c r="AA164" i="4"/>
  <c r="S113" i="3" s="1"/>
  <c r="D52" i="12"/>
  <c r="D116" i="8"/>
  <c r="V70" i="4"/>
  <c r="U149" i="3" s="1"/>
  <c r="G149" i="3"/>
  <c r="F46" i="6"/>
  <c r="I86" i="6"/>
  <c r="O86" i="5"/>
  <c r="C435" i="1"/>
  <c r="C342" i="1"/>
  <c r="D121" i="12"/>
  <c r="D107" i="10"/>
  <c r="L135" i="5"/>
  <c r="P135" i="6" s="1"/>
  <c r="AE135" i="5"/>
  <c r="X135" i="6" s="1"/>
  <c r="AD135" i="5"/>
  <c r="E135" i="6"/>
  <c r="R135" i="5"/>
  <c r="R135" i="6" s="1"/>
  <c r="S135" i="5"/>
  <c r="Q135" i="6" s="1"/>
  <c r="AA135" i="5"/>
  <c r="S135" i="6" s="1"/>
  <c r="AO135" i="5"/>
  <c r="AP135" i="5" s="1"/>
  <c r="Q135" i="5"/>
  <c r="Z135" i="5"/>
  <c r="T135" i="6" s="1"/>
  <c r="E152" i="3"/>
  <c r="AD91" i="4"/>
  <c r="W152" i="3" s="1"/>
  <c r="AE91" i="4"/>
  <c r="X152" i="3" s="1"/>
  <c r="AA91" i="4"/>
  <c r="S152" i="3" s="1"/>
  <c r="R91" i="4"/>
  <c r="R152" i="3" s="1"/>
  <c r="S91" i="4"/>
  <c r="Q152" i="3" s="1"/>
  <c r="L91" i="4"/>
  <c r="P152" i="3" s="1"/>
  <c r="Q91" i="4"/>
  <c r="Z91" i="4"/>
  <c r="T152" i="3" s="1"/>
  <c r="F49" i="3"/>
  <c r="L196" i="6"/>
  <c r="D179" i="12"/>
  <c r="V205" i="5"/>
  <c r="U205" i="6" s="1"/>
  <c r="H205" i="6"/>
  <c r="C160" i="1"/>
  <c r="G83" i="3"/>
  <c r="V121" i="4"/>
  <c r="U83" i="3" s="1"/>
  <c r="Z84" i="4"/>
  <c r="T59" i="3" s="1"/>
  <c r="E59" i="3"/>
  <c r="S84" i="4"/>
  <c r="Q59" i="3" s="1"/>
  <c r="L84" i="4"/>
  <c r="P59" i="3" s="1"/>
  <c r="AE84" i="4"/>
  <c r="X59" i="3" s="1"/>
  <c r="AA84" i="4"/>
  <c r="S59" i="3" s="1"/>
  <c r="AD84" i="4"/>
  <c r="W59" i="3" s="1"/>
  <c r="R84" i="4"/>
  <c r="R59" i="3" s="1"/>
  <c r="H35" i="6"/>
  <c r="V35" i="5"/>
  <c r="U35" i="6" s="1"/>
  <c r="G63" i="6"/>
  <c r="B242" i="10"/>
  <c r="B242" i="9"/>
  <c r="B242" i="12"/>
  <c r="B242" i="8"/>
  <c r="B242" i="11"/>
  <c r="H61" i="3"/>
  <c r="C313" i="1"/>
  <c r="G9" i="3"/>
  <c r="V154" i="4"/>
  <c r="U9" i="3" s="1"/>
  <c r="D103" i="8"/>
  <c r="D56" i="9"/>
  <c r="F116" i="3"/>
  <c r="O171" i="5"/>
  <c r="I171" i="6"/>
  <c r="H75" i="3"/>
  <c r="C176" i="1"/>
  <c r="H102" i="3"/>
  <c r="O138" i="4"/>
  <c r="I31" i="3"/>
  <c r="J67" i="16"/>
  <c r="L62" i="3"/>
  <c r="G127" i="3"/>
  <c r="V127" i="4"/>
  <c r="U127" i="3" s="1"/>
  <c r="C26" i="14"/>
  <c r="L152" i="6"/>
  <c r="F89" i="6"/>
  <c r="L26" i="3"/>
  <c r="I25" i="3"/>
  <c r="O133" i="4"/>
  <c r="F171" i="6"/>
  <c r="L101" i="3"/>
  <c r="C63" i="1"/>
  <c r="O3" i="4"/>
  <c r="I179" i="3"/>
  <c r="AA185" i="5"/>
  <c r="S185" i="6" s="1"/>
  <c r="L185" i="5"/>
  <c r="P185" i="6" s="1"/>
  <c r="AO185" i="5"/>
  <c r="AP185" i="5" s="1"/>
  <c r="E185" i="6"/>
  <c r="R185" i="5"/>
  <c r="R185" i="6" s="1"/>
  <c r="Z185" i="5"/>
  <c r="T185" i="6" s="1"/>
  <c r="S185" i="5"/>
  <c r="Q185" i="6" s="1"/>
  <c r="Q185" i="5"/>
  <c r="AE185" i="5"/>
  <c r="X185" i="6" s="1"/>
  <c r="AD185" i="5"/>
  <c r="I111" i="3"/>
  <c r="O114" i="4"/>
  <c r="L125" i="16"/>
  <c r="K125" i="16"/>
  <c r="H69" i="6"/>
  <c r="V69" i="5"/>
  <c r="U69" i="6" s="1"/>
  <c r="I21" i="6"/>
  <c r="O21" i="5"/>
  <c r="D266" i="12"/>
  <c r="I185" i="16"/>
  <c r="F64" i="3"/>
  <c r="G183" i="6"/>
  <c r="D179" i="11"/>
  <c r="J49" i="16"/>
  <c r="H154" i="3"/>
  <c r="D141" i="10"/>
  <c r="B240" i="11"/>
  <c r="B240" i="9"/>
  <c r="B240" i="10"/>
  <c r="B240" i="12"/>
  <c r="B240" i="8"/>
  <c r="D30" i="9"/>
  <c r="I94" i="16"/>
  <c r="D63" i="9"/>
  <c r="L22" i="3"/>
  <c r="C56" i="1"/>
  <c r="AA49" i="4"/>
  <c r="S188" i="3" s="1"/>
  <c r="Z49" i="4"/>
  <c r="T188" i="3" s="1"/>
  <c r="AE49" i="4"/>
  <c r="X188" i="3" s="1"/>
  <c r="AD49" i="4"/>
  <c r="W188" i="3" s="1"/>
  <c r="S49" i="4"/>
  <c r="Q188" i="3" s="1"/>
  <c r="R49" i="4"/>
  <c r="R188" i="3" s="1"/>
  <c r="L49" i="4"/>
  <c r="P188" i="3" s="1"/>
  <c r="E188" i="3"/>
  <c r="Q49" i="4"/>
  <c r="D212" i="9"/>
  <c r="F72" i="6"/>
  <c r="F3" i="3"/>
  <c r="F109" i="3"/>
  <c r="I147" i="3"/>
  <c r="O201" i="4"/>
  <c r="S33" i="4"/>
  <c r="Q58" i="3" s="1"/>
  <c r="AD33" i="4"/>
  <c r="W58" i="3" s="1"/>
  <c r="L33" i="4"/>
  <c r="P58" i="3" s="1"/>
  <c r="Z33" i="4"/>
  <c r="T58" i="3" s="1"/>
  <c r="R33" i="4"/>
  <c r="R58" i="3" s="1"/>
  <c r="AE33" i="4"/>
  <c r="X58" i="3" s="1"/>
  <c r="E58" i="3"/>
  <c r="AA33" i="4"/>
  <c r="S58" i="3" s="1"/>
  <c r="Q33" i="4"/>
  <c r="D13" i="10"/>
  <c r="G143" i="6"/>
  <c r="D30" i="8"/>
  <c r="D44" i="11"/>
  <c r="D304" i="12"/>
  <c r="O205" i="5"/>
  <c r="I205" i="6"/>
  <c r="K123" i="16"/>
  <c r="L123" i="16"/>
  <c r="C352" i="1"/>
  <c r="L137" i="6"/>
  <c r="F153" i="3"/>
  <c r="F138" i="6"/>
  <c r="I82" i="16"/>
  <c r="J146" i="16"/>
  <c r="F83" i="3"/>
  <c r="H32" i="3"/>
  <c r="I145" i="16"/>
  <c r="F106" i="3"/>
  <c r="V138" i="5"/>
  <c r="U138" i="6" s="1"/>
  <c r="H138" i="6"/>
  <c r="C185" i="1"/>
  <c r="H60" i="6"/>
  <c r="V60" i="5"/>
  <c r="U60" i="6" s="1"/>
  <c r="S59" i="5"/>
  <c r="Q59" i="6" s="1"/>
  <c r="AD59" i="5"/>
  <c r="AA59" i="5"/>
  <c r="S59" i="6" s="1"/>
  <c r="Q59" i="5"/>
  <c r="AO59" i="5"/>
  <c r="AP59" i="5" s="1"/>
  <c r="Z59" i="5"/>
  <c r="T59" i="6" s="1"/>
  <c r="L59" i="5"/>
  <c r="P59" i="6" s="1"/>
  <c r="AE59" i="5"/>
  <c r="X59" i="6" s="1"/>
  <c r="E59" i="6"/>
  <c r="R59" i="5"/>
  <c r="R59" i="6" s="1"/>
  <c r="I107" i="16"/>
  <c r="F33" i="3"/>
  <c r="H19" i="3"/>
  <c r="D200" i="12"/>
  <c r="D62" i="9"/>
  <c r="J58" i="16"/>
  <c r="D137" i="8"/>
  <c r="AO143" i="5"/>
  <c r="AP143" i="5" s="1"/>
  <c r="AE143" i="5"/>
  <c r="X143" i="6" s="1"/>
  <c r="S143" i="5"/>
  <c r="Q143" i="6" s="1"/>
  <c r="R143" i="5"/>
  <c r="R143" i="6" s="1"/>
  <c r="L143" i="5"/>
  <c r="P143" i="6" s="1"/>
  <c r="E143" i="6"/>
  <c r="AA143" i="5"/>
  <c r="S143" i="6" s="1"/>
  <c r="AD143" i="5"/>
  <c r="Z143" i="5"/>
  <c r="T143" i="6" s="1"/>
  <c r="Q143" i="5"/>
  <c r="D271" i="11"/>
  <c r="Z84" i="5"/>
  <c r="T84" i="6" s="1"/>
  <c r="R84" i="5"/>
  <c r="R84" i="6" s="1"/>
  <c r="AD84" i="5"/>
  <c r="AO84" i="5"/>
  <c r="AP84" i="5" s="1"/>
  <c r="L84" i="5"/>
  <c r="P84" i="6" s="1"/>
  <c r="E84" i="6"/>
  <c r="AE84" i="5"/>
  <c r="X84" i="6" s="1"/>
  <c r="S84" i="5"/>
  <c r="Q84" i="6" s="1"/>
  <c r="AA84" i="5"/>
  <c r="S84" i="6" s="1"/>
  <c r="Q84" i="5"/>
  <c r="I162" i="6"/>
  <c r="O162" i="5"/>
  <c r="K64" i="16"/>
  <c r="L64" i="16"/>
  <c r="V16" i="5"/>
  <c r="U16" i="6" s="1"/>
  <c r="H16" i="6"/>
  <c r="F74" i="6"/>
  <c r="D72" i="12"/>
  <c r="O184" i="5"/>
  <c r="I184" i="6"/>
  <c r="L95" i="3"/>
  <c r="Z131" i="5"/>
  <c r="T131" i="6" s="1"/>
  <c r="S131" i="5"/>
  <c r="Q131" i="6" s="1"/>
  <c r="E131" i="6"/>
  <c r="R131" i="5"/>
  <c r="R131" i="6" s="1"/>
  <c r="Q131" i="5"/>
  <c r="AA131" i="5"/>
  <c r="S131" i="6" s="1"/>
  <c r="L131" i="5"/>
  <c r="P131" i="6" s="1"/>
  <c r="AO131" i="5"/>
  <c r="AP131" i="5" s="1"/>
  <c r="AD131" i="5"/>
  <c r="AE131" i="5"/>
  <c r="X131" i="6" s="1"/>
  <c r="C210" i="1"/>
  <c r="C474" i="1"/>
  <c r="F18" i="6"/>
  <c r="V139" i="4"/>
  <c r="U103" i="3" s="1"/>
  <c r="G103" i="3"/>
  <c r="C203" i="1"/>
  <c r="D139" i="11"/>
  <c r="L19" i="3"/>
  <c r="G96" i="6"/>
  <c r="AO174" i="5"/>
  <c r="AP174" i="5" s="1"/>
  <c r="E174" i="6"/>
  <c r="Z174" i="5"/>
  <c r="T174" i="6" s="1"/>
  <c r="AE174" i="5"/>
  <c r="X174" i="6" s="1"/>
  <c r="AD174" i="5"/>
  <c r="AA174" i="5"/>
  <c r="S174" i="6" s="1"/>
  <c r="R174" i="5"/>
  <c r="R174" i="6" s="1"/>
  <c r="Q174" i="5"/>
  <c r="L174" i="5"/>
  <c r="P174" i="6" s="1"/>
  <c r="S174" i="5"/>
  <c r="Q174" i="6" s="1"/>
  <c r="E120" i="3"/>
  <c r="AA110" i="4"/>
  <c r="S120" i="3" s="1"/>
  <c r="AD110" i="4"/>
  <c r="W120" i="3" s="1"/>
  <c r="S110" i="4"/>
  <c r="Q120" i="3" s="1"/>
  <c r="L110" i="4"/>
  <c r="P120" i="3" s="1"/>
  <c r="AE110" i="4"/>
  <c r="X120" i="3" s="1"/>
  <c r="Z110" i="4"/>
  <c r="T120" i="3" s="1"/>
  <c r="R110" i="4"/>
  <c r="R120" i="3" s="1"/>
  <c r="Q110" i="4"/>
  <c r="D218" i="12"/>
  <c r="V42" i="4"/>
  <c r="U60" i="3" s="1"/>
  <c r="G60" i="3"/>
  <c r="V166" i="4"/>
  <c r="U82" i="3" s="1"/>
  <c r="G82" i="3"/>
  <c r="AE124" i="4"/>
  <c r="X23" i="3" s="1"/>
  <c r="AA124" i="4"/>
  <c r="S23" i="3" s="1"/>
  <c r="Z124" i="4"/>
  <c r="T23" i="3" s="1"/>
  <c r="Q124" i="4"/>
  <c r="E23" i="3"/>
  <c r="S124" i="4"/>
  <c r="Q23" i="3" s="1"/>
  <c r="R124" i="4"/>
  <c r="R23" i="3" s="1"/>
  <c r="L124" i="4"/>
  <c r="P23" i="3" s="1"/>
  <c r="AD124" i="4"/>
  <c r="W23" i="3" s="1"/>
  <c r="O85" i="5"/>
  <c r="I85" i="6"/>
  <c r="J154" i="16"/>
  <c r="D72" i="10"/>
  <c r="S196" i="4"/>
  <c r="Q156" i="3" s="1"/>
  <c r="E156" i="3"/>
  <c r="AA196" i="4"/>
  <c r="S156" i="3" s="1"/>
  <c r="AE196" i="4"/>
  <c r="X156" i="3" s="1"/>
  <c r="AD196" i="4"/>
  <c r="W156" i="3" s="1"/>
  <c r="R196" i="4"/>
  <c r="R156" i="3" s="1"/>
  <c r="Q196" i="4"/>
  <c r="Z196" i="4"/>
  <c r="T156" i="3" s="1"/>
  <c r="L196" i="4"/>
  <c r="P156" i="3" s="1"/>
  <c r="C495" i="1"/>
  <c r="C43" i="1"/>
  <c r="I7" i="3"/>
  <c r="O51" i="4"/>
  <c r="H97" i="6"/>
  <c r="V97" i="5"/>
  <c r="U97" i="6" s="1"/>
  <c r="L136" i="3"/>
  <c r="I126" i="16"/>
  <c r="D117" i="8"/>
  <c r="G23" i="6"/>
  <c r="D99" i="11"/>
  <c r="G71" i="6"/>
  <c r="D190" i="8"/>
  <c r="AE163" i="5"/>
  <c r="X163" i="6" s="1"/>
  <c r="R163" i="5"/>
  <c r="R163" i="6" s="1"/>
  <c r="AO163" i="5"/>
  <c r="AP163" i="5" s="1"/>
  <c r="E163" i="6"/>
  <c r="S163" i="5"/>
  <c r="Q163" i="6" s="1"/>
  <c r="L163" i="5"/>
  <c r="P163" i="6" s="1"/>
  <c r="AD163" i="5"/>
  <c r="Z163" i="5"/>
  <c r="T163" i="6" s="1"/>
  <c r="AA163" i="5"/>
  <c r="S163" i="6" s="1"/>
  <c r="Q163" i="5"/>
  <c r="D43" i="11"/>
  <c r="D123" i="8"/>
  <c r="O163" i="5"/>
  <c r="I163" i="6"/>
  <c r="AO147" i="5"/>
  <c r="AP147" i="5" s="1"/>
  <c r="S147" i="5"/>
  <c r="Q147" i="6" s="1"/>
  <c r="AD147" i="5"/>
  <c r="AE147" i="5"/>
  <c r="X147" i="6" s="1"/>
  <c r="Q147" i="5"/>
  <c r="L147" i="5"/>
  <c r="P147" i="6" s="1"/>
  <c r="R147" i="5"/>
  <c r="R147" i="6" s="1"/>
  <c r="E147" i="6"/>
  <c r="Z147" i="5"/>
  <c r="T147" i="6" s="1"/>
  <c r="AA147" i="5"/>
  <c r="S147" i="6" s="1"/>
  <c r="D66" i="12"/>
  <c r="C346" i="1"/>
  <c r="Q80" i="4"/>
  <c r="AA80" i="4"/>
  <c r="S66" i="3" s="1"/>
  <c r="R80" i="4"/>
  <c r="R66" i="3" s="1"/>
  <c r="E66" i="3"/>
  <c r="S80" i="4"/>
  <c r="Q66" i="3" s="1"/>
  <c r="Z80" i="4"/>
  <c r="T66" i="3" s="1"/>
  <c r="L80" i="4"/>
  <c r="P66" i="3" s="1"/>
  <c r="AE80" i="4"/>
  <c r="X66" i="3" s="1"/>
  <c r="AD80" i="4"/>
  <c r="W66" i="3" s="1"/>
  <c r="H78" i="6"/>
  <c r="V78" i="5"/>
  <c r="U78" i="6" s="1"/>
  <c r="H14" i="6"/>
  <c r="V14" i="5"/>
  <c r="U14" i="6" s="1"/>
  <c r="D102" i="11"/>
  <c r="D25" i="11"/>
  <c r="D119" i="9"/>
  <c r="F57" i="6"/>
  <c r="D139" i="8"/>
  <c r="I57" i="16"/>
  <c r="C216" i="1"/>
  <c r="H16" i="3"/>
  <c r="G184" i="6"/>
  <c r="F189" i="3"/>
  <c r="D228" i="12"/>
  <c r="J113" i="16"/>
  <c r="L170" i="3"/>
  <c r="H38" i="6"/>
  <c r="V38" i="5"/>
  <c r="U38" i="6" s="1"/>
  <c r="D166" i="11"/>
  <c r="D57" i="11"/>
  <c r="Z22" i="4"/>
  <c r="T203" i="3" s="1"/>
  <c r="R22" i="4"/>
  <c r="R203" i="3" s="1"/>
  <c r="L22" i="4"/>
  <c r="P203" i="3" s="1"/>
  <c r="S22" i="4"/>
  <c r="Q203" i="3" s="1"/>
  <c r="AE22" i="4"/>
  <c r="X203" i="3" s="1"/>
  <c r="AA22" i="4"/>
  <c r="S203" i="3" s="1"/>
  <c r="Q22" i="4"/>
  <c r="AD22" i="4"/>
  <c r="W203" i="3" s="1"/>
  <c r="E203" i="3"/>
  <c r="D302" i="11"/>
  <c r="D85" i="8"/>
  <c r="F182" i="3"/>
  <c r="C136" i="1"/>
  <c r="D10" i="8"/>
  <c r="C433" i="1"/>
  <c r="D265" i="11"/>
  <c r="D168" i="12"/>
  <c r="I14" i="3"/>
  <c r="O142" i="4"/>
  <c r="D74" i="9"/>
  <c r="O34" i="5"/>
  <c r="I34" i="6"/>
  <c r="D243" i="12"/>
  <c r="D55" i="10"/>
  <c r="D118" i="9"/>
  <c r="V25" i="4"/>
  <c r="U43" i="3" s="1"/>
  <c r="G43" i="3"/>
  <c r="L139" i="3"/>
  <c r="H17" i="6"/>
  <c r="V17" i="5"/>
  <c r="U17" i="6" s="1"/>
  <c r="D66" i="11"/>
  <c r="H173" i="6"/>
  <c r="V173" i="5"/>
  <c r="U173" i="6" s="1"/>
  <c r="AA82" i="4"/>
  <c r="S162" i="3" s="1"/>
  <c r="L82" i="4"/>
  <c r="P162" i="3" s="1"/>
  <c r="AD82" i="4"/>
  <c r="W162" i="3" s="1"/>
  <c r="AE82" i="4"/>
  <c r="X162" i="3" s="1"/>
  <c r="R82" i="4"/>
  <c r="R162" i="3" s="1"/>
  <c r="Q82" i="4"/>
  <c r="E162" i="3"/>
  <c r="Z82" i="4"/>
  <c r="T162" i="3" s="1"/>
  <c r="S82" i="4"/>
  <c r="Q162" i="3" s="1"/>
  <c r="L21" i="3"/>
  <c r="I192" i="3"/>
  <c r="O92" i="4"/>
  <c r="D302" i="12"/>
  <c r="D91" i="9"/>
  <c r="O117" i="4"/>
  <c r="I85" i="3"/>
  <c r="D202" i="9"/>
  <c r="C57" i="1"/>
  <c r="F153" i="6"/>
  <c r="O116" i="5"/>
  <c r="I116" i="6"/>
  <c r="D235" i="12"/>
  <c r="D79" i="9"/>
  <c r="D77" i="12"/>
  <c r="C102" i="1"/>
  <c r="H120" i="3"/>
  <c r="H118" i="3"/>
  <c r="D126" i="9"/>
  <c r="G108" i="6"/>
  <c r="K109" i="16"/>
  <c r="L109" i="16"/>
  <c r="G196" i="6"/>
  <c r="L111" i="16"/>
  <c r="K111" i="16"/>
  <c r="V157" i="5"/>
  <c r="U157" i="6" s="1"/>
  <c r="H157" i="6"/>
  <c r="Z7" i="4"/>
  <c r="T94" i="3" s="1"/>
  <c r="AE7" i="4"/>
  <c r="X94" i="3" s="1"/>
  <c r="AD7" i="4"/>
  <c r="W94" i="3" s="1"/>
  <c r="R7" i="4"/>
  <c r="R94" i="3" s="1"/>
  <c r="L7" i="4"/>
  <c r="P94" i="3" s="1"/>
  <c r="S7" i="4"/>
  <c r="Q94" i="3" s="1"/>
  <c r="Q7" i="4"/>
  <c r="AA7" i="4"/>
  <c r="S94" i="3" s="1"/>
  <c r="E94" i="3"/>
  <c r="K65" i="16"/>
  <c r="L65" i="16"/>
  <c r="G200" i="6"/>
  <c r="D237" i="11"/>
  <c r="J80" i="16"/>
  <c r="J158" i="16"/>
  <c r="I10" i="3"/>
  <c r="O23" i="4"/>
  <c r="V170" i="5"/>
  <c r="U170" i="6" s="1"/>
  <c r="H170" i="6"/>
  <c r="V153" i="4"/>
  <c r="U79" i="3" s="1"/>
  <c r="G79" i="3"/>
  <c r="D131" i="11"/>
  <c r="D11" i="9"/>
  <c r="C38" i="1"/>
  <c r="J131" i="16"/>
  <c r="I174" i="16"/>
  <c r="C439" i="1"/>
  <c r="K97" i="16"/>
  <c r="L97" i="16"/>
  <c r="AA28" i="5"/>
  <c r="S28" i="6" s="1"/>
  <c r="AD28" i="5"/>
  <c r="Z28" i="5"/>
  <c r="T28" i="6" s="1"/>
  <c r="Q28" i="5"/>
  <c r="AE28" i="5"/>
  <c r="X28" i="6" s="1"/>
  <c r="L28" i="5"/>
  <c r="P28" i="6" s="1"/>
  <c r="E28" i="6"/>
  <c r="R28" i="5"/>
  <c r="R28" i="6" s="1"/>
  <c r="AO28" i="5"/>
  <c r="AP28" i="5" s="1"/>
  <c r="S28" i="5"/>
  <c r="Q28" i="6" s="1"/>
  <c r="J88" i="16"/>
  <c r="F176" i="6"/>
  <c r="O202" i="5"/>
  <c r="I202" i="6"/>
  <c r="C177" i="1"/>
  <c r="K70" i="16"/>
  <c r="L70" i="16"/>
  <c r="D297" i="12"/>
  <c r="C482" i="1"/>
  <c r="C475" i="1"/>
  <c r="D261" i="12"/>
  <c r="D153" i="11"/>
  <c r="F44" i="3"/>
  <c r="V85" i="5"/>
  <c r="U85" i="6" s="1"/>
  <c r="H85" i="6"/>
  <c r="F113" i="6"/>
  <c r="D99" i="10"/>
  <c r="F36" i="3"/>
  <c r="O8" i="5"/>
  <c r="I8" i="6"/>
  <c r="D72" i="9"/>
  <c r="L17" i="6"/>
  <c r="L49" i="5"/>
  <c r="P49" i="6" s="1"/>
  <c r="AE49" i="5"/>
  <c r="X49" i="6" s="1"/>
  <c r="E49" i="6"/>
  <c r="AD49" i="5"/>
  <c r="Q49" i="5"/>
  <c r="R49" i="5"/>
  <c r="R49" i="6" s="1"/>
  <c r="AA49" i="5"/>
  <c r="S49" i="6" s="1"/>
  <c r="S49" i="5"/>
  <c r="Q49" i="6" s="1"/>
  <c r="Z49" i="5"/>
  <c r="T49" i="6" s="1"/>
  <c r="AO49" i="5"/>
  <c r="AP49" i="5" s="1"/>
  <c r="F92" i="6"/>
  <c r="L82" i="6"/>
  <c r="B287" i="11"/>
  <c r="B287" i="10"/>
  <c r="B287" i="8"/>
  <c r="B287" i="12"/>
  <c r="B287" i="9"/>
  <c r="V95" i="4"/>
  <c r="U169" i="3" s="1"/>
  <c r="G169" i="3"/>
  <c r="S167" i="4"/>
  <c r="Q106" i="3" s="1"/>
  <c r="R167" i="4"/>
  <c r="R106" i="3" s="1"/>
  <c r="AD167" i="4"/>
  <c r="W106" i="3" s="1"/>
  <c r="Z167" i="4"/>
  <c r="T106" i="3" s="1"/>
  <c r="L167" i="4"/>
  <c r="P106" i="3" s="1"/>
  <c r="AE167" i="4"/>
  <c r="X106" i="3" s="1"/>
  <c r="AA167" i="4"/>
  <c r="S106" i="3" s="1"/>
  <c r="E106" i="3"/>
  <c r="L140" i="16"/>
  <c r="K140" i="16"/>
  <c r="D121" i="9"/>
  <c r="D23" i="8"/>
  <c r="H171" i="3"/>
  <c r="J54" i="16"/>
  <c r="K107" i="16"/>
  <c r="L107" i="16"/>
  <c r="O6" i="4"/>
  <c r="I55" i="3"/>
  <c r="I52" i="3"/>
  <c r="O189" i="4"/>
  <c r="D96" i="12"/>
  <c r="F9" i="3"/>
  <c r="L86" i="6"/>
  <c r="C20" i="1"/>
  <c r="L21" i="5"/>
  <c r="P21" i="6" s="1"/>
  <c r="AA21" i="5"/>
  <c r="S21" i="6" s="1"/>
  <c r="E21" i="6"/>
  <c r="AD21" i="5"/>
  <c r="Z21" i="5"/>
  <c r="T21" i="6" s="1"/>
  <c r="Q21" i="5"/>
  <c r="AE21" i="5"/>
  <c r="X21" i="6" s="1"/>
  <c r="R21" i="5"/>
  <c r="R21" i="6" s="1"/>
  <c r="S21" i="5"/>
  <c r="Q21" i="6" s="1"/>
  <c r="AO21" i="5"/>
  <c r="AP21" i="5" s="1"/>
  <c r="S63" i="5"/>
  <c r="Q63" i="6" s="1"/>
  <c r="AO63" i="5"/>
  <c r="AP63" i="5" s="1"/>
  <c r="R63" i="5"/>
  <c r="R63" i="6" s="1"/>
  <c r="AA63" i="5"/>
  <c r="S63" i="6" s="1"/>
  <c r="AE63" i="5"/>
  <c r="X63" i="6" s="1"/>
  <c r="L63" i="5"/>
  <c r="P63" i="6" s="1"/>
  <c r="Q63" i="5"/>
  <c r="E63" i="6"/>
  <c r="Z63" i="5"/>
  <c r="T63" i="6" s="1"/>
  <c r="AD63" i="5"/>
  <c r="G144" i="6"/>
  <c r="D264" i="12"/>
  <c r="L159" i="6"/>
  <c r="L138" i="6"/>
  <c r="J130" i="16"/>
  <c r="L149" i="16"/>
  <c r="K149" i="16"/>
  <c r="F206" i="3"/>
  <c r="O169" i="4"/>
  <c r="I87" i="3"/>
  <c r="J107" i="16"/>
  <c r="D37" i="12"/>
  <c r="H46" i="3"/>
  <c r="H3" i="3"/>
  <c r="D54" i="9"/>
  <c r="L34" i="6"/>
  <c r="D213" i="11"/>
  <c r="F154" i="6"/>
  <c r="F114" i="3"/>
  <c r="F158" i="6"/>
  <c r="D48" i="10"/>
  <c r="V3" i="4"/>
  <c r="U179" i="3" s="1"/>
  <c r="G179" i="3"/>
  <c r="F178" i="6"/>
  <c r="I163" i="16"/>
  <c r="L72" i="6"/>
  <c r="D148" i="10"/>
  <c r="H110" i="6"/>
  <c r="V110" i="5"/>
  <c r="U110" i="6" s="1"/>
  <c r="I59" i="3"/>
  <c r="O84" i="4"/>
  <c r="G111" i="6"/>
  <c r="AE180" i="4"/>
  <c r="X4" i="3" s="1"/>
  <c r="AA180" i="4"/>
  <c r="S4" i="3" s="1"/>
  <c r="R180" i="4"/>
  <c r="R4" i="3" s="1"/>
  <c r="AD180" i="4"/>
  <c r="W4" i="3" s="1"/>
  <c r="E4" i="3"/>
  <c r="Q180" i="4"/>
  <c r="S180" i="4"/>
  <c r="Q4" i="3" s="1"/>
  <c r="L180" i="4"/>
  <c r="P4" i="3" s="1"/>
  <c r="Z180" i="4"/>
  <c r="T4" i="3" s="1"/>
  <c r="H84" i="3"/>
  <c r="D106" i="9"/>
  <c r="D107" i="8"/>
  <c r="L164" i="6"/>
  <c r="H29" i="6"/>
  <c r="V29" i="5"/>
  <c r="U29" i="6" s="1"/>
  <c r="V184" i="4"/>
  <c r="U22" i="3" s="1"/>
  <c r="G22" i="3"/>
  <c r="D166" i="10"/>
  <c r="L87" i="6"/>
  <c r="C437" i="1"/>
  <c r="D50" i="12"/>
  <c r="L172" i="3"/>
  <c r="D146" i="9"/>
  <c r="G154" i="6"/>
  <c r="I83" i="6"/>
  <c r="O83" i="5"/>
  <c r="D133" i="9"/>
  <c r="F129" i="3"/>
  <c r="F112" i="6"/>
  <c r="J159" i="16"/>
  <c r="F121" i="3"/>
  <c r="D132" i="11"/>
  <c r="O44" i="5"/>
  <c r="I44" i="6"/>
  <c r="F96" i="3"/>
  <c r="I29" i="6"/>
  <c r="O29" i="5"/>
  <c r="V10" i="5"/>
  <c r="U10" i="6" s="1"/>
  <c r="H10" i="6"/>
  <c r="I93" i="6"/>
  <c r="O93" i="5"/>
  <c r="D250" i="11"/>
  <c r="D9" i="8"/>
  <c r="D178" i="10"/>
  <c r="D134" i="10"/>
  <c r="D192" i="10"/>
  <c r="D98" i="8"/>
  <c r="H112" i="3"/>
  <c r="I46" i="3"/>
  <c r="O28" i="4"/>
  <c r="D41" i="8"/>
  <c r="D88" i="9"/>
  <c r="Q8" i="4"/>
  <c r="R8" i="4"/>
  <c r="R124" i="3" s="1"/>
  <c r="AA8" i="4"/>
  <c r="S124" i="3" s="1"/>
  <c r="E124" i="3"/>
  <c r="L8" i="4"/>
  <c r="P124" i="3" s="1"/>
  <c r="S8" i="4"/>
  <c r="Q124" i="3" s="1"/>
  <c r="AE8" i="4"/>
  <c r="X124" i="3" s="1"/>
  <c r="AD8" i="4"/>
  <c r="W124" i="3" s="1"/>
  <c r="Z8" i="4"/>
  <c r="T124" i="3" s="1"/>
  <c r="D29" i="11"/>
  <c r="C484" i="1"/>
  <c r="L34" i="3"/>
  <c r="D164" i="10"/>
  <c r="L169" i="6"/>
  <c r="L138" i="3"/>
  <c r="D123" i="12"/>
  <c r="F127" i="6"/>
  <c r="C321" i="1"/>
  <c r="D264" i="11"/>
  <c r="G92" i="6"/>
  <c r="F204" i="3"/>
  <c r="D38" i="10"/>
  <c r="H44" i="3"/>
  <c r="I28" i="3"/>
  <c r="O34" i="4"/>
  <c r="D97" i="12"/>
  <c r="F32" i="3"/>
  <c r="L85" i="3"/>
  <c r="O199" i="5"/>
  <c r="I199" i="6"/>
  <c r="H114" i="3"/>
  <c r="K91" i="16"/>
  <c r="L91" i="16"/>
  <c r="R136" i="5"/>
  <c r="R136" i="6" s="1"/>
  <c r="E136" i="6"/>
  <c r="AO136" i="5"/>
  <c r="AP136" i="5" s="1"/>
  <c r="AA136" i="5"/>
  <c r="S136" i="6" s="1"/>
  <c r="AD136" i="5"/>
  <c r="S136" i="5"/>
  <c r="Q136" i="6" s="1"/>
  <c r="Z136" i="5"/>
  <c r="T136" i="6" s="1"/>
  <c r="AE136" i="5"/>
  <c r="X136" i="6" s="1"/>
  <c r="L136" i="5"/>
  <c r="P136" i="6" s="1"/>
  <c r="Q136" i="5"/>
  <c r="F110" i="6"/>
  <c r="I147" i="16"/>
  <c r="G166" i="6"/>
  <c r="G189" i="6"/>
  <c r="D95" i="11"/>
  <c r="E157" i="3"/>
  <c r="S143" i="4"/>
  <c r="Q157" i="3" s="1"/>
  <c r="Z143" i="4"/>
  <c r="T157" i="3" s="1"/>
  <c r="R143" i="4"/>
  <c r="R157" i="3" s="1"/>
  <c r="AD143" i="4"/>
  <c r="W157" i="3" s="1"/>
  <c r="AE143" i="4"/>
  <c r="X157" i="3" s="1"/>
  <c r="AA143" i="4"/>
  <c r="S157" i="3" s="1"/>
  <c r="Q143" i="4"/>
  <c r="L143" i="4"/>
  <c r="P157" i="3" s="1"/>
  <c r="H14" i="3"/>
  <c r="L43" i="6"/>
  <c r="B260" i="8"/>
  <c r="B260" i="10"/>
  <c r="B260" i="9"/>
  <c r="B260" i="12"/>
  <c r="B260" i="11"/>
  <c r="D25" i="10"/>
  <c r="L112" i="6"/>
  <c r="D137" i="10"/>
  <c r="I20" i="3"/>
  <c r="O192" i="4"/>
  <c r="L103" i="3"/>
  <c r="D195" i="9"/>
  <c r="C318" i="1"/>
  <c r="AA140" i="5"/>
  <c r="S140" i="6" s="1"/>
  <c r="E140" i="6"/>
  <c r="AO140" i="5"/>
  <c r="AP140" i="5" s="1"/>
  <c r="Z140" i="5"/>
  <c r="T140" i="6" s="1"/>
  <c r="AD140" i="5"/>
  <c r="R140" i="5"/>
  <c r="R140" i="6" s="1"/>
  <c r="AE140" i="5"/>
  <c r="X140" i="6" s="1"/>
  <c r="L140" i="5"/>
  <c r="P140" i="6" s="1"/>
  <c r="S140" i="5"/>
  <c r="Q140" i="6" s="1"/>
  <c r="D73" i="8"/>
  <c r="H126" i="6"/>
  <c r="V126" i="5"/>
  <c r="U126" i="6" s="1"/>
  <c r="R172" i="5"/>
  <c r="R172" i="6" s="1"/>
  <c r="E172" i="6"/>
  <c r="Z172" i="5"/>
  <c r="T172" i="6" s="1"/>
  <c r="AA172" i="5"/>
  <c r="S172" i="6" s="1"/>
  <c r="AO172" i="5"/>
  <c r="AP172" i="5" s="1"/>
  <c r="Q172" i="5"/>
  <c r="L172" i="5"/>
  <c r="P172" i="6" s="1"/>
  <c r="AD172" i="5"/>
  <c r="S172" i="5"/>
  <c r="Q172" i="6" s="1"/>
  <c r="AE172" i="5"/>
  <c r="X172" i="6" s="1"/>
  <c r="D130" i="8"/>
  <c r="Q36" i="5"/>
  <c r="L36" i="5"/>
  <c r="P36" i="6" s="1"/>
  <c r="S36" i="5"/>
  <c r="Q36" i="6" s="1"/>
  <c r="E36" i="6"/>
  <c r="Z36" i="5"/>
  <c r="T36" i="6" s="1"/>
  <c r="AA36" i="5"/>
  <c r="S36" i="6" s="1"/>
  <c r="AO36" i="5"/>
  <c r="AP36" i="5" s="1"/>
  <c r="R36" i="5"/>
  <c r="R36" i="6" s="1"/>
  <c r="S69" i="5"/>
  <c r="Q69" i="6" s="1"/>
  <c r="E69" i="6"/>
  <c r="AD69" i="5"/>
  <c r="AO69" i="5"/>
  <c r="AP69" i="5" s="1"/>
  <c r="L69" i="5"/>
  <c r="P69" i="6" s="1"/>
  <c r="AA69" i="5"/>
  <c r="S69" i="6" s="1"/>
  <c r="AE69" i="5"/>
  <c r="X69" i="6" s="1"/>
  <c r="Z69" i="5"/>
  <c r="T69" i="6" s="1"/>
  <c r="R69" i="5"/>
  <c r="R69" i="6" s="1"/>
  <c r="Q69" i="5"/>
  <c r="D47" i="8"/>
  <c r="L180" i="6"/>
  <c r="C196" i="1"/>
  <c r="V76" i="4"/>
  <c r="U62" i="3" s="1"/>
  <c r="G62" i="3"/>
  <c r="D46" i="8"/>
  <c r="K67" i="16"/>
  <c r="L67" i="16"/>
  <c r="L62" i="5"/>
  <c r="P62" i="6" s="1"/>
  <c r="Q62" i="5"/>
  <c r="AO62" i="5"/>
  <c r="AP62" i="5" s="1"/>
  <c r="AE62" i="5"/>
  <c r="X62" i="6" s="1"/>
  <c r="R62" i="5"/>
  <c r="R62" i="6" s="1"/>
  <c r="S62" i="5"/>
  <c r="Q62" i="6" s="1"/>
  <c r="AD62" i="5"/>
  <c r="E62" i="6"/>
  <c r="AA62" i="5"/>
  <c r="S62" i="6" s="1"/>
  <c r="Z62" i="5"/>
  <c r="T62" i="6" s="1"/>
  <c r="J139" i="16"/>
  <c r="D109" i="12"/>
  <c r="D89" i="9"/>
  <c r="Q74" i="5"/>
  <c r="AD74" i="5"/>
  <c r="AO74" i="5"/>
  <c r="AP74" i="5" s="1"/>
  <c r="Z74" i="5"/>
  <c r="T74" i="6" s="1"/>
  <c r="S74" i="5"/>
  <c r="Q74" i="6" s="1"/>
  <c r="AE74" i="5"/>
  <c r="X74" i="6" s="1"/>
  <c r="E74" i="6"/>
  <c r="L74" i="5"/>
  <c r="P74" i="6" s="1"/>
  <c r="AA74" i="5"/>
  <c r="S74" i="6" s="1"/>
  <c r="R74" i="5"/>
  <c r="R74" i="6" s="1"/>
  <c r="D24" i="9"/>
  <c r="H67" i="3"/>
  <c r="J173" i="16"/>
  <c r="L174" i="16"/>
  <c r="K174" i="16"/>
  <c r="G82" i="6"/>
  <c r="C180" i="1"/>
  <c r="L39" i="3"/>
  <c r="AE160" i="5"/>
  <c r="X160" i="6" s="1"/>
  <c r="S160" i="5"/>
  <c r="Q160" i="6" s="1"/>
  <c r="Q160" i="5"/>
  <c r="AD160" i="5"/>
  <c r="E160" i="6"/>
  <c r="AO160" i="5"/>
  <c r="AP160" i="5" s="1"/>
  <c r="R160" i="5"/>
  <c r="R160" i="6" s="1"/>
  <c r="Z160" i="5"/>
  <c r="T160" i="6" s="1"/>
  <c r="AA160" i="5"/>
  <c r="S160" i="6" s="1"/>
  <c r="L160" i="5"/>
  <c r="P160" i="6" s="1"/>
  <c r="D74" i="10"/>
  <c r="H4" i="3"/>
  <c r="H129" i="6"/>
  <c r="V129" i="5"/>
  <c r="U129" i="6" s="1"/>
  <c r="D118" i="10"/>
  <c r="H31" i="3"/>
  <c r="G52" i="6"/>
  <c r="L174" i="3"/>
  <c r="K71" i="16"/>
  <c r="L71" i="16"/>
  <c r="C112" i="1"/>
  <c r="D113" i="9"/>
  <c r="I98" i="6"/>
  <c r="O98" i="5"/>
  <c r="J112" i="16"/>
  <c r="D41" i="11"/>
  <c r="K142" i="16"/>
  <c r="L142" i="16"/>
  <c r="I104" i="16"/>
  <c r="C148" i="1"/>
  <c r="H166" i="3"/>
  <c r="R68" i="5"/>
  <c r="R68" i="6" s="1"/>
  <c r="AA68" i="5"/>
  <c r="S68" i="6" s="1"/>
  <c r="S68" i="5"/>
  <c r="Q68" i="6" s="1"/>
  <c r="AE68" i="5"/>
  <c r="X68" i="6" s="1"/>
  <c r="AD68" i="5"/>
  <c r="Z68" i="5"/>
  <c r="T68" i="6" s="1"/>
  <c r="E68" i="6"/>
  <c r="AO68" i="5"/>
  <c r="AP68" i="5" s="1"/>
  <c r="Q68" i="5"/>
  <c r="L68" i="5"/>
  <c r="P68" i="6" s="1"/>
  <c r="L70" i="3"/>
  <c r="F80" i="6"/>
  <c r="S92" i="4"/>
  <c r="Q192" i="3" s="1"/>
  <c r="AA92" i="4"/>
  <c r="S192" i="3" s="1"/>
  <c r="Z92" i="4"/>
  <c r="T192" i="3" s="1"/>
  <c r="AE92" i="4"/>
  <c r="X192" i="3" s="1"/>
  <c r="L92" i="4"/>
  <c r="P192" i="3" s="1"/>
  <c r="AD92" i="4"/>
  <c r="W192" i="3" s="1"/>
  <c r="E192" i="3"/>
  <c r="R92" i="4"/>
  <c r="R192" i="3" s="1"/>
  <c r="H143" i="6"/>
  <c r="V143" i="5"/>
  <c r="U143" i="6" s="1"/>
  <c r="D86" i="9"/>
  <c r="B232" i="12"/>
  <c r="B232" i="8"/>
  <c r="B232" i="9"/>
  <c r="B232" i="10"/>
  <c r="B232" i="11"/>
  <c r="J43" i="16"/>
  <c r="V159" i="4"/>
  <c r="U74" i="3" s="1"/>
  <c r="G74" i="3"/>
  <c r="I202" i="3"/>
  <c r="O146" i="4"/>
  <c r="F42" i="3"/>
  <c r="D269" i="12"/>
  <c r="C50" i="1"/>
  <c r="V33" i="4"/>
  <c r="U58" i="3" s="1"/>
  <c r="G58" i="3"/>
  <c r="O137" i="5"/>
  <c r="I137" i="6"/>
  <c r="D53" i="12"/>
  <c r="I181" i="3"/>
  <c r="O162" i="4"/>
  <c r="O12" i="4"/>
  <c r="I167" i="3"/>
  <c r="AD17" i="5"/>
  <c r="S17" i="5"/>
  <c r="Q17" i="6" s="1"/>
  <c r="L17" i="5"/>
  <c r="P17" i="6" s="1"/>
  <c r="AA17" i="5"/>
  <c r="S17" i="6" s="1"/>
  <c r="AO17" i="5"/>
  <c r="AP17" i="5" s="1"/>
  <c r="R17" i="5"/>
  <c r="R17" i="6" s="1"/>
  <c r="Q17" i="5"/>
  <c r="Z17" i="5"/>
  <c r="T17" i="6" s="1"/>
  <c r="E17" i="6"/>
  <c r="AE17" i="5"/>
  <c r="X17" i="6" s="1"/>
  <c r="L113" i="3"/>
  <c r="D154" i="8"/>
  <c r="I123" i="16"/>
  <c r="AD164" i="5"/>
  <c r="S164" i="5"/>
  <c r="Q164" i="6" s="1"/>
  <c r="AE164" i="5"/>
  <c r="X164" i="6" s="1"/>
  <c r="R164" i="5"/>
  <c r="R164" i="6" s="1"/>
  <c r="AA164" i="5"/>
  <c r="S164" i="6" s="1"/>
  <c r="E164" i="6"/>
  <c r="L164" i="5"/>
  <c r="P164" i="6" s="1"/>
  <c r="AO164" i="5"/>
  <c r="AP164" i="5" s="1"/>
  <c r="Z164" i="5"/>
  <c r="T164" i="6" s="1"/>
  <c r="Q164" i="5"/>
  <c r="C11" i="1"/>
  <c r="G179" i="6"/>
  <c r="D39" i="10"/>
  <c r="D30" i="12"/>
  <c r="D85" i="10"/>
  <c r="D22" i="12"/>
  <c r="Z62" i="4"/>
  <c r="T141" i="3" s="1"/>
  <c r="S62" i="4"/>
  <c r="Q141" i="3" s="1"/>
  <c r="L62" i="4"/>
  <c r="P141" i="3" s="1"/>
  <c r="AD62" i="4"/>
  <c r="W141" i="3" s="1"/>
  <c r="AE62" i="4"/>
  <c r="X141" i="3" s="1"/>
  <c r="R62" i="4"/>
  <c r="R141" i="3" s="1"/>
  <c r="E141" i="3"/>
  <c r="AA62" i="4"/>
  <c r="S141" i="3" s="1"/>
  <c r="L142" i="6"/>
  <c r="L173" i="6"/>
  <c r="L137" i="16"/>
  <c r="K137" i="16"/>
  <c r="D37" i="11"/>
  <c r="D101" i="12"/>
  <c r="D60" i="12"/>
  <c r="G157" i="6"/>
  <c r="D282" i="12"/>
  <c r="V44" i="4"/>
  <c r="U205" i="3" s="1"/>
  <c r="G205" i="3"/>
  <c r="L90" i="3"/>
  <c r="I38" i="6"/>
  <c r="O38" i="5"/>
  <c r="J76" i="16"/>
  <c r="F206" i="6"/>
  <c r="D73" i="12"/>
  <c r="D286" i="11"/>
  <c r="C94" i="1"/>
  <c r="G54" i="6"/>
  <c r="I97" i="3"/>
  <c r="O46" i="4"/>
  <c r="D172" i="11"/>
  <c r="R108" i="4"/>
  <c r="R101" i="3" s="1"/>
  <c r="E101" i="3"/>
  <c r="S108" i="4"/>
  <c r="Q101" i="3" s="1"/>
  <c r="AD108" i="4"/>
  <c r="W101" i="3" s="1"/>
  <c r="AE108" i="4"/>
  <c r="X101" i="3" s="1"/>
  <c r="Q108" i="4"/>
  <c r="AA108" i="4"/>
  <c r="S101" i="3" s="1"/>
  <c r="Z108" i="4"/>
  <c r="T101" i="3" s="1"/>
  <c r="L108" i="4"/>
  <c r="P101" i="3" s="1"/>
  <c r="J119" i="16"/>
  <c r="F92" i="3"/>
  <c r="AA7" i="5"/>
  <c r="S7" i="6" s="1"/>
  <c r="L7" i="5"/>
  <c r="P7" i="6" s="1"/>
  <c r="AE7" i="5"/>
  <c r="X7" i="6" s="1"/>
  <c r="Q7" i="5"/>
  <c r="S7" i="5"/>
  <c r="Q7" i="6" s="1"/>
  <c r="AD7" i="5"/>
  <c r="E7" i="6"/>
  <c r="AO7" i="5"/>
  <c r="AP7" i="5" s="1"/>
  <c r="R7" i="5"/>
  <c r="R7" i="6" s="1"/>
  <c r="Z7" i="5"/>
  <c r="T7" i="6" s="1"/>
  <c r="I136" i="16"/>
  <c r="G123" i="6"/>
  <c r="L32" i="6"/>
  <c r="AD56" i="4"/>
  <c r="W128" i="3" s="1"/>
  <c r="Z56" i="4"/>
  <c r="T128" i="3" s="1"/>
  <c r="AA56" i="4"/>
  <c r="S128" i="3" s="1"/>
  <c r="AE56" i="4"/>
  <c r="X128" i="3" s="1"/>
  <c r="S56" i="4"/>
  <c r="Q128" i="3" s="1"/>
  <c r="E128" i="3"/>
  <c r="L56" i="4"/>
  <c r="P128" i="3" s="1"/>
  <c r="R56" i="4"/>
  <c r="R128" i="3" s="1"/>
  <c r="Q56" i="4"/>
  <c r="H99" i="6"/>
  <c r="V99" i="5"/>
  <c r="U99" i="6" s="1"/>
  <c r="D85" i="11"/>
  <c r="L191" i="6"/>
  <c r="G26" i="3"/>
  <c r="V195" i="4"/>
  <c r="U26" i="3" s="1"/>
  <c r="K128" i="16"/>
  <c r="L128" i="16"/>
  <c r="D96" i="8"/>
  <c r="I114" i="16"/>
  <c r="F14" i="6"/>
  <c r="S36" i="4"/>
  <c r="Q206" i="3" s="1"/>
  <c r="AA36" i="4"/>
  <c r="S206" i="3" s="1"/>
  <c r="Z36" i="4"/>
  <c r="T206" i="3" s="1"/>
  <c r="E206" i="3"/>
  <c r="R36" i="4"/>
  <c r="R206" i="3" s="1"/>
  <c r="AE36" i="4"/>
  <c r="X206" i="3" s="1"/>
  <c r="L36" i="4"/>
  <c r="P206" i="3" s="1"/>
  <c r="AD36" i="4"/>
  <c r="W206" i="3" s="1"/>
  <c r="L168" i="3"/>
  <c r="L154" i="6"/>
  <c r="L186" i="5"/>
  <c r="P186" i="6" s="1"/>
  <c r="AD186" i="5"/>
  <c r="AE186" i="5"/>
  <c r="X186" i="6" s="1"/>
  <c r="R186" i="5"/>
  <c r="R186" i="6" s="1"/>
  <c r="AO186" i="5"/>
  <c r="AP186" i="5" s="1"/>
  <c r="E186" i="6"/>
  <c r="S186" i="5"/>
  <c r="Q186" i="6" s="1"/>
  <c r="Z186" i="5"/>
  <c r="T186" i="6" s="1"/>
  <c r="AA186" i="5"/>
  <c r="S186" i="6" s="1"/>
  <c r="Q186" i="5"/>
  <c r="F137" i="3"/>
  <c r="L128" i="3"/>
  <c r="J106" i="16"/>
  <c r="B191" i="11"/>
  <c r="B191" i="9"/>
  <c r="B191" i="12"/>
  <c r="B191" i="8"/>
  <c r="B191" i="10"/>
  <c r="D6" i="4"/>
  <c r="D55" i="3" s="1"/>
  <c r="D194" i="5"/>
  <c r="D194" i="6" s="1"/>
  <c r="V104" i="5"/>
  <c r="U104" i="6" s="1"/>
  <c r="H104" i="6"/>
  <c r="D64" i="10"/>
  <c r="D118" i="12"/>
  <c r="I162" i="16"/>
  <c r="L155" i="3"/>
  <c r="C319" i="1"/>
  <c r="O96" i="5"/>
  <c r="I96" i="6"/>
  <c r="G28" i="6"/>
  <c r="C220" i="1"/>
  <c r="D230" i="12"/>
  <c r="D18" i="12"/>
  <c r="C7" i="1"/>
  <c r="L39" i="6"/>
  <c r="H98" i="3"/>
  <c r="D134" i="9"/>
  <c r="D59" i="12"/>
  <c r="H206" i="3"/>
  <c r="D171" i="10"/>
  <c r="F157" i="6"/>
  <c r="I190" i="16"/>
  <c r="O178" i="5"/>
  <c r="I178" i="6"/>
  <c r="D57" i="12"/>
  <c r="Z85" i="5"/>
  <c r="T85" i="6" s="1"/>
  <c r="S85" i="5"/>
  <c r="Q85" i="6" s="1"/>
  <c r="Q85" i="5"/>
  <c r="E85" i="6"/>
  <c r="R85" i="5"/>
  <c r="R85" i="6" s="1"/>
  <c r="AD85" i="5"/>
  <c r="AE85" i="5"/>
  <c r="X85" i="6" s="1"/>
  <c r="AA85" i="5"/>
  <c r="S85" i="6" s="1"/>
  <c r="AO85" i="5"/>
  <c r="AP85" i="5" s="1"/>
  <c r="L85" i="5"/>
  <c r="P85" i="6" s="1"/>
  <c r="F105" i="3"/>
  <c r="K57" i="16"/>
  <c r="L57" i="16"/>
  <c r="L187" i="6"/>
  <c r="G112" i="3"/>
  <c r="V104" i="4"/>
  <c r="U112" i="3" s="1"/>
  <c r="F143" i="6"/>
  <c r="AE96" i="4"/>
  <c r="X99" i="3" s="1"/>
  <c r="L96" i="4"/>
  <c r="P99" i="3" s="1"/>
  <c r="Z96" i="4"/>
  <c r="T99" i="3" s="1"/>
  <c r="E99" i="3"/>
  <c r="S96" i="4"/>
  <c r="Q99" i="3" s="1"/>
  <c r="AA96" i="4"/>
  <c r="S99" i="3" s="1"/>
  <c r="AD96" i="4"/>
  <c r="W99" i="3" s="1"/>
  <c r="R96" i="4"/>
  <c r="R99" i="3" s="1"/>
  <c r="Q96" i="4"/>
  <c r="V160" i="4"/>
  <c r="U78" i="3" s="1"/>
  <c r="G78" i="3"/>
  <c r="H37" i="3"/>
  <c r="J68" i="16"/>
  <c r="O105" i="5"/>
  <c r="I105" i="6"/>
  <c r="D37" i="9"/>
  <c r="O77" i="5"/>
  <c r="I77" i="6"/>
  <c r="J47" i="16"/>
  <c r="E5" i="1"/>
  <c r="F76" i="3"/>
  <c r="R137" i="5"/>
  <c r="R137" i="6" s="1"/>
  <c r="L137" i="5"/>
  <c r="P137" i="6" s="1"/>
  <c r="AD137" i="5"/>
  <c r="AO137" i="5"/>
  <c r="AP137" i="5" s="1"/>
  <c r="S137" i="5"/>
  <c r="Q137" i="6" s="1"/>
  <c r="AA137" i="5"/>
  <c r="S137" i="6" s="1"/>
  <c r="AE137" i="5"/>
  <c r="X137" i="6" s="1"/>
  <c r="E137" i="6"/>
  <c r="Z137" i="5"/>
  <c r="T137" i="6" s="1"/>
  <c r="Q137" i="5"/>
  <c r="G94" i="6"/>
  <c r="J63" i="16"/>
  <c r="D42" i="9"/>
  <c r="V150" i="5"/>
  <c r="U150" i="6" s="1"/>
  <c r="H150" i="6"/>
  <c r="C95" i="1"/>
  <c r="C428" i="1"/>
  <c r="J87" i="16"/>
  <c r="H69" i="3"/>
  <c r="D48" i="9"/>
  <c r="D144" i="12"/>
  <c r="L145" i="3"/>
  <c r="L31" i="6"/>
  <c r="L37" i="6"/>
  <c r="J110" i="16"/>
  <c r="H147" i="3"/>
  <c r="V122" i="4"/>
  <c r="U3" i="3" s="1"/>
  <c r="G3" i="3"/>
  <c r="C446" i="1"/>
  <c r="V129" i="4"/>
  <c r="U72" i="3" s="1"/>
  <c r="G72" i="3"/>
  <c r="G163" i="6"/>
  <c r="C472" i="1"/>
  <c r="C125" i="1"/>
  <c r="D257" i="11"/>
  <c r="V26" i="5"/>
  <c r="U26" i="6" s="1"/>
  <c r="H26" i="6"/>
  <c r="L179" i="3"/>
  <c r="D190" i="10"/>
  <c r="Z5" i="4"/>
  <c r="T130" i="3" s="1"/>
  <c r="S5" i="4"/>
  <c r="Q130" i="3" s="1"/>
  <c r="AA5" i="4"/>
  <c r="S130" i="3" s="1"/>
  <c r="AD5" i="4"/>
  <c r="W130" i="3" s="1"/>
  <c r="R5" i="4"/>
  <c r="R130" i="3" s="1"/>
  <c r="L5" i="4"/>
  <c r="P130" i="3" s="1"/>
  <c r="AE5" i="4"/>
  <c r="X130" i="3" s="1"/>
  <c r="E130" i="3"/>
  <c r="Q5" i="4"/>
  <c r="D221" i="10"/>
  <c r="D8" i="8"/>
  <c r="L95" i="6"/>
  <c r="V186" i="4"/>
  <c r="U49" i="3" s="1"/>
  <c r="G49" i="3"/>
  <c r="C138" i="1"/>
  <c r="D177" i="11"/>
  <c r="D32" i="10"/>
  <c r="D279" i="11"/>
  <c r="H177" i="3"/>
  <c r="H78" i="3"/>
  <c r="D126" i="10"/>
  <c r="F13" i="6"/>
  <c r="AA106" i="4"/>
  <c r="S180" i="3" s="1"/>
  <c r="L106" i="4"/>
  <c r="P180" i="3" s="1"/>
  <c r="Z106" i="4"/>
  <c r="T180" i="3" s="1"/>
  <c r="AE106" i="4"/>
  <c r="X180" i="3" s="1"/>
  <c r="E180" i="3"/>
  <c r="AD106" i="4"/>
  <c r="W180" i="3" s="1"/>
  <c r="S106" i="4"/>
  <c r="Q180" i="3" s="1"/>
  <c r="R106" i="4"/>
  <c r="R180" i="3" s="1"/>
  <c r="Q106" i="4"/>
  <c r="D47" i="10"/>
  <c r="L85" i="16"/>
  <c r="K85" i="16"/>
  <c r="O27" i="5"/>
  <c r="I27" i="6"/>
  <c r="D163" i="9"/>
  <c r="D49" i="9"/>
  <c r="O113" i="4"/>
  <c r="I57" i="3"/>
  <c r="Z79" i="4"/>
  <c r="T118" i="3" s="1"/>
  <c r="AA79" i="4"/>
  <c r="S118" i="3" s="1"/>
  <c r="L79" i="4"/>
  <c r="P118" i="3" s="1"/>
  <c r="R79" i="4"/>
  <c r="R118" i="3" s="1"/>
  <c r="AE79" i="4"/>
  <c r="X118" i="3" s="1"/>
  <c r="S79" i="4"/>
  <c r="Q118" i="3" s="1"/>
  <c r="Q79" i="4"/>
  <c r="E118" i="3"/>
  <c r="AD79" i="4"/>
  <c r="W118" i="3" s="1"/>
  <c r="AE121" i="5"/>
  <c r="X121" i="6" s="1"/>
  <c r="AA121" i="5"/>
  <c r="S121" i="6" s="1"/>
  <c r="Z121" i="5"/>
  <c r="T121" i="6" s="1"/>
  <c r="Q121" i="5"/>
  <c r="S121" i="5"/>
  <c r="Q121" i="6" s="1"/>
  <c r="L121" i="5"/>
  <c r="P121" i="6" s="1"/>
  <c r="R121" i="5"/>
  <c r="R121" i="6" s="1"/>
  <c r="AD121" i="5"/>
  <c r="AO121" i="5"/>
  <c r="AP121" i="5" s="1"/>
  <c r="E121" i="6"/>
  <c r="I22" i="3"/>
  <c r="O184" i="4"/>
  <c r="D301" i="12"/>
  <c r="J117" i="16"/>
  <c r="D64" i="12"/>
  <c r="AA90" i="4"/>
  <c r="S36" i="3" s="1"/>
  <c r="AE90" i="4"/>
  <c r="X36" i="3" s="1"/>
  <c r="R90" i="4"/>
  <c r="R36" i="3" s="1"/>
  <c r="E36" i="3"/>
  <c r="Z90" i="4"/>
  <c r="T36" i="3" s="1"/>
  <c r="S90" i="4"/>
  <c r="Q36" i="3" s="1"/>
  <c r="AD90" i="4"/>
  <c r="W36" i="3" s="1"/>
  <c r="L90" i="4"/>
  <c r="P36" i="3" s="1"/>
  <c r="Q90" i="4"/>
  <c r="C351" i="1"/>
  <c r="F93" i="6"/>
  <c r="G32" i="6"/>
  <c r="C115" i="1"/>
  <c r="D137" i="12"/>
  <c r="V46" i="4"/>
  <c r="U97" i="3" s="1"/>
  <c r="G97" i="3"/>
  <c r="F34" i="3"/>
  <c r="D64" i="9"/>
  <c r="L130" i="3"/>
  <c r="H149" i="3"/>
  <c r="L37" i="5"/>
  <c r="P37" i="6" s="1"/>
  <c r="Z37" i="5"/>
  <c r="T37" i="6" s="1"/>
  <c r="AE37" i="5"/>
  <c r="X37" i="6" s="1"/>
  <c r="AO37" i="5"/>
  <c r="AP37" i="5" s="1"/>
  <c r="S37" i="5"/>
  <c r="Q37" i="6" s="1"/>
  <c r="AA37" i="5"/>
  <c r="S37" i="6" s="1"/>
  <c r="AD37" i="5"/>
  <c r="E37" i="6"/>
  <c r="R37" i="5"/>
  <c r="R37" i="6" s="1"/>
  <c r="Q37" i="5"/>
  <c r="D168" i="11"/>
  <c r="G72" i="6"/>
  <c r="L146" i="16"/>
  <c r="K146" i="16"/>
  <c r="F129" i="6"/>
  <c r="K188" i="16"/>
  <c r="L188" i="16"/>
  <c r="C5" i="1"/>
  <c r="L159" i="3"/>
  <c r="D175" i="10"/>
  <c r="D131" i="8"/>
  <c r="Q123" i="5"/>
  <c r="AE123" i="5"/>
  <c r="X123" i="6" s="1"/>
  <c r="E123" i="6"/>
  <c r="R123" i="5"/>
  <c r="R123" i="6" s="1"/>
  <c r="AD123" i="5"/>
  <c r="L123" i="5"/>
  <c r="P123" i="6" s="1"/>
  <c r="AA123" i="5"/>
  <c r="S123" i="6" s="1"/>
  <c r="Z123" i="5"/>
  <c r="T123" i="6" s="1"/>
  <c r="AO123" i="5"/>
  <c r="AP123" i="5" s="1"/>
  <c r="S123" i="5"/>
  <c r="Q123" i="6" s="1"/>
  <c r="J44" i="16"/>
  <c r="AA89" i="4"/>
  <c r="S189" i="3" s="1"/>
  <c r="AE89" i="4"/>
  <c r="X189" i="3" s="1"/>
  <c r="E189" i="3"/>
  <c r="AD89" i="4"/>
  <c r="W189" i="3" s="1"/>
  <c r="R89" i="4"/>
  <c r="R189" i="3" s="1"/>
  <c r="L89" i="4"/>
  <c r="P189" i="3" s="1"/>
  <c r="S89" i="4"/>
  <c r="Q189" i="3" s="1"/>
  <c r="Z89" i="4"/>
  <c r="T189" i="3" s="1"/>
  <c r="Q89" i="4"/>
  <c r="D155" i="8"/>
  <c r="AD97" i="5"/>
  <c r="AE97" i="5"/>
  <c r="X97" i="6" s="1"/>
  <c r="S97" i="5"/>
  <c r="Q97" i="6" s="1"/>
  <c r="AA97" i="5"/>
  <c r="S97" i="6" s="1"/>
  <c r="AO97" i="5"/>
  <c r="AP97" i="5" s="1"/>
  <c r="E97" i="6"/>
  <c r="Z97" i="5"/>
  <c r="T97" i="6" s="1"/>
  <c r="L97" i="5"/>
  <c r="P97" i="6" s="1"/>
  <c r="R97" i="5"/>
  <c r="R97" i="6" s="1"/>
  <c r="Q97" i="5"/>
  <c r="C340" i="1"/>
  <c r="C415" i="1"/>
  <c r="F61" i="3"/>
  <c r="J90" i="16"/>
  <c r="D285" i="11"/>
  <c r="AA132" i="4"/>
  <c r="S161" i="3" s="1"/>
  <c r="E161" i="3"/>
  <c r="Q132" i="4"/>
  <c r="S132" i="4"/>
  <c r="Q161" i="3" s="1"/>
  <c r="AD132" i="4"/>
  <c r="W161" i="3" s="1"/>
  <c r="Z132" i="4"/>
  <c r="T161" i="3" s="1"/>
  <c r="R132" i="4"/>
  <c r="R161" i="3" s="1"/>
  <c r="AE132" i="4"/>
  <c r="X161" i="3" s="1"/>
  <c r="L132" i="4"/>
  <c r="P161" i="3" s="1"/>
  <c r="I140" i="16"/>
  <c r="K171" i="16"/>
  <c r="L171" i="16"/>
  <c r="F12" i="3"/>
  <c r="F190" i="3"/>
  <c r="L116" i="6"/>
  <c r="D46" i="9"/>
  <c r="F79" i="6"/>
  <c r="I169" i="16"/>
  <c r="C421" i="1"/>
  <c r="V20" i="5"/>
  <c r="U20" i="6" s="1"/>
  <c r="H20" i="6"/>
  <c r="C64" i="1"/>
  <c r="L184" i="3"/>
  <c r="D78" i="8"/>
  <c r="C87" i="1"/>
  <c r="K84" i="16"/>
  <c r="L84" i="16"/>
  <c r="O166" i="5"/>
  <c r="I166" i="6"/>
  <c r="L111" i="6"/>
  <c r="F5" i="3"/>
  <c r="J128" i="16"/>
  <c r="C135" i="1"/>
  <c r="E47" i="6"/>
  <c r="AA47" i="5"/>
  <c r="S47" i="6" s="1"/>
  <c r="Z47" i="5"/>
  <c r="T47" i="6" s="1"/>
  <c r="R47" i="5"/>
  <c r="R47" i="6" s="1"/>
  <c r="AD47" i="5"/>
  <c r="AO47" i="5"/>
  <c r="AP47" i="5" s="1"/>
  <c r="L47" i="5"/>
  <c r="P47" i="6" s="1"/>
  <c r="AE47" i="5"/>
  <c r="X47" i="6" s="1"/>
  <c r="Q47" i="5"/>
  <c r="S47" i="5"/>
  <c r="Q47" i="6" s="1"/>
  <c r="V58" i="5"/>
  <c r="U58" i="6" s="1"/>
  <c r="H58" i="6"/>
  <c r="D114" i="10"/>
  <c r="C199" i="1"/>
  <c r="H12" i="6"/>
  <c r="V12" i="5"/>
  <c r="U12" i="6" s="1"/>
  <c r="L141" i="3"/>
  <c r="D104" i="10"/>
  <c r="AD165" i="4"/>
  <c r="W95" i="3" s="1"/>
  <c r="E95" i="3"/>
  <c r="S165" i="4"/>
  <c r="Q95" i="3" s="1"/>
  <c r="AE165" i="4"/>
  <c r="X95" i="3" s="1"/>
  <c r="Z165" i="4"/>
  <c r="T95" i="3" s="1"/>
  <c r="R165" i="4"/>
  <c r="R95" i="3" s="1"/>
  <c r="L165" i="4"/>
  <c r="P95" i="3" s="1"/>
  <c r="Q165" i="4"/>
  <c r="AA165" i="4"/>
  <c r="S95" i="3" s="1"/>
  <c r="H76" i="6"/>
  <c r="V76" i="5"/>
  <c r="U76" i="6" s="1"/>
  <c r="D149" i="12"/>
  <c r="C165" i="1"/>
  <c r="C150" i="1"/>
  <c r="G22" i="6"/>
  <c r="D111" i="8"/>
  <c r="F38" i="6"/>
  <c r="D174" i="12"/>
  <c r="D250" i="12"/>
  <c r="F121" i="6"/>
  <c r="AA39" i="4"/>
  <c r="S142" i="3" s="1"/>
  <c r="L39" i="4"/>
  <c r="P142" i="3" s="1"/>
  <c r="AD39" i="4"/>
  <c r="W142" i="3" s="1"/>
  <c r="S39" i="4"/>
  <c r="Q142" i="3" s="1"/>
  <c r="Z39" i="4"/>
  <c r="T142" i="3" s="1"/>
  <c r="E142" i="3"/>
  <c r="AE39" i="4"/>
  <c r="X142" i="3" s="1"/>
  <c r="R39" i="4"/>
  <c r="R142" i="3" s="1"/>
  <c r="Q39" i="4"/>
  <c r="Z126" i="4"/>
  <c r="T176" i="3" s="1"/>
  <c r="R126" i="4"/>
  <c r="R176" i="3" s="1"/>
  <c r="S126" i="4"/>
  <c r="Q176" i="3" s="1"/>
  <c r="E176" i="3"/>
  <c r="AD126" i="4"/>
  <c r="W176" i="3" s="1"/>
  <c r="AA126" i="4"/>
  <c r="S176" i="3" s="1"/>
  <c r="Q126" i="4"/>
  <c r="AE126" i="4"/>
  <c r="X176" i="3" s="1"/>
  <c r="L126" i="4"/>
  <c r="P176" i="3" s="1"/>
  <c r="D246" i="11"/>
  <c r="I122" i="16"/>
  <c r="H163" i="3"/>
  <c r="AA141" i="5"/>
  <c r="S141" i="6" s="1"/>
  <c r="E141" i="6"/>
  <c r="AD141" i="5"/>
  <c r="AE141" i="5"/>
  <c r="X141" i="6" s="1"/>
  <c r="S141" i="5"/>
  <c r="Q141" i="6" s="1"/>
  <c r="AO141" i="5"/>
  <c r="AP141" i="5" s="1"/>
  <c r="Z141" i="5"/>
  <c r="T141" i="6" s="1"/>
  <c r="L141" i="5"/>
  <c r="P141" i="6" s="1"/>
  <c r="R141" i="5"/>
  <c r="R141" i="6" s="1"/>
  <c r="G139" i="6"/>
  <c r="H12" i="3"/>
  <c r="O55" i="5"/>
  <c r="I55" i="6"/>
  <c r="C25" i="1"/>
  <c r="F35" i="6"/>
  <c r="D26" i="12"/>
  <c r="F100" i="3"/>
  <c r="I72" i="16"/>
  <c r="E45" i="6"/>
  <c r="AE45" i="5"/>
  <c r="X45" i="6" s="1"/>
  <c r="AA45" i="5"/>
  <c r="S45" i="6" s="1"/>
  <c r="Q45" i="5"/>
  <c r="L45" i="5"/>
  <c r="P45" i="6" s="1"/>
  <c r="AD45" i="5"/>
  <c r="Z45" i="5"/>
  <c r="T45" i="6" s="1"/>
  <c r="R45" i="5"/>
  <c r="R45" i="6" s="1"/>
  <c r="AO45" i="5"/>
  <c r="AP45" i="5" s="1"/>
  <c r="S45" i="5"/>
  <c r="Q45" i="6" s="1"/>
  <c r="AA157" i="5"/>
  <c r="S157" i="6" s="1"/>
  <c r="L157" i="5"/>
  <c r="P157" i="6" s="1"/>
  <c r="AO157" i="5"/>
  <c r="AP157" i="5" s="1"/>
  <c r="R157" i="5"/>
  <c r="R157" i="6" s="1"/>
  <c r="Z157" i="5"/>
  <c r="T157" i="6" s="1"/>
  <c r="Q157" i="5"/>
  <c r="AD157" i="5"/>
  <c r="E157" i="6"/>
  <c r="AE157" i="5"/>
  <c r="X157" i="6" s="1"/>
  <c r="S157" i="5"/>
  <c r="Q157" i="6" s="1"/>
  <c r="D156" i="10"/>
  <c r="I109" i="6"/>
  <c r="O109" i="5"/>
  <c r="G87" i="6"/>
  <c r="H170" i="3"/>
  <c r="J176" i="16"/>
  <c r="I196" i="6"/>
  <c r="O196" i="5"/>
  <c r="G201" i="6"/>
  <c r="S177" i="5"/>
  <c r="Q177" i="6" s="1"/>
  <c r="AO177" i="5"/>
  <c r="AP177" i="5" s="1"/>
  <c r="AD177" i="5"/>
  <c r="R177" i="5"/>
  <c r="R177" i="6" s="1"/>
  <c r="L177" i="5"/>
  <c r="P177" i="6" s="1"/>
  <c r="E177" i="6"/>
  <c r="Q177" i="5"/>
  <c r="AE177" i="5"/>
  <c r="X177" i="6" s="1"/>
  <c r="Z177" i="5"/>
  <c r="T177" i="6" s="1"/>
  <c r="AA177" i="5"/>
  <c r="S177" i="6" s="1"/>
  <c r="L59" i="6"/>
  <c r="F30" i="3"/>
  <c r="O121" i="4"/>
  <c r="I83" i="3"/>
  <c r="D197" i="9"/>
  <c r="J180" i="16"/>
  <c r="S157" i="4"/>
  <c r="Q76" i="3" s="1"/>
  <c r="R157" i="4"/>
  <c r="R76" i="3" s="1"/>
  <c r="AD157" i="4"/>
  <c r="W76" i="3" s="1"/>
  <c r="Q157" i="4"/>
  <c r="L157" i="4"/>
  <c r="P76" i="3" s="1"/>
  <c r="AE157" i="4"/>
  <c r="X76" i="3" s="1"/>
  <c r="E76" i="3"/>
  <c r="AA157" i="4"/>
  <c r="S76" i="3" s="1"/>
  <c r="Z157" i="4"/>
  <c r="T76" i="3" s="1"/>
  <c r="D229" i="12"/>
  <c r="F202" i="3"/>
  <c r="F60" i="6"/>
  <c r="H93" i="3"/>
  <c r="C453" i="1"/>
  <c r="D205" i="8"/>
  <c r="D283" i="11"/>
  <c r="D71" i="11"/>
  <c r="I91" i="16"/>
  <c r="G30" i="6"/>
  <c r="C323" i="1"/>
  <c r="H195" i="3"/>
  <c r="S204" i="4"/>
  <c r="Q150" i="3" s="1"/>
  <c r="Z204" i="4"/>
  <c r="T150" i="3" s="1"/>
  <c r="E150" i="3"/>
  <c r="AD204" i="4"/>
  <c r="W150" i="3" s="1"/>
  <c r="L204" i="4"/>
  <c r="P150" i="3" s="1"/>
  <c r="AA204" i="4"/>
  <c r="S150" i="3" s="1"/>
  <c r="R204" i="4"/>
  <c r="R150" i="3" s="1"/>
  <c r="AE204" i="4"/>
  <c r="X150" i="3" s="1"/>
  <c r="Q204" i="4"/>
  <c r="S156" i="4"/>
  <c r="Q34" i="3" s="1"/>
  <c r="R156" i="4"/>
  <c r="R34" i="3" s="1"/>
  <c r="L156" i="4"/>
  <c r="P34" i="3" s="1"/>
  <c r="AA156" i="4"/>
  <c r="S34" i="3" s="1"/>
  <c r="E34" i="3"/>
  <c r="AD156" i="4"/>
  <c r="W34" i="3" s="1"/>
  <c r="Z156" i="4"/>
  <c r="T34" i="3" s="1"/>
  <c r="AE156" i="4"/>
  <c r="X34" i="3" s="1"/>
  <c r="Q156" i="4"/>
  <c r="H86" i="3"/>
  <c r="F66" i="3"/>
  <c r="O62" i="4"/>
  <c r="I141" i="3"/>
  <c r="H198" i="6"/>
  <c r="V198" i="5"/>
  <c r="U198" i="6" s="1"/>
  <c r="D13" i="9"/>
  <c r="C96" i="1"/>
  <c r="Q112" i="5"/>
  <c r="R112" i="5"/>
  <c r="R112" i="6" s="1"/>
  <c r="S112" i="5"/>
  <c r="Q112" i="6" s="1"/>
  <c r="L112" i="5"/>
  <c r="P112" i="6" s="1"/>
  <c r="AA112" i="5"/>
  <c r="S112" i="6" s="1"/>
  <c r="E112" i="6"/>
  <c r="Z112" i="5"/>
  <c r="T112" i="6" s="1"/>
  <c r="AO112" i="5"/>
  <c r="AP112" i="5" s="1"/>
  <c r="AE112" i="5"/>
  <c r="X112" i="6" s="1"/>
  <c r="AD112" i="5"/>
  <c r="AE166" i="5"/>
  <c r="X166" i="6" s="1"/>
  <c r="E166" i="6"/>
  <c r="Z166" i="5"/>
  <c r="T166" i="6" s="1"/>
  <c r="S166" i="5"/>
  <c r="Q166" i="6" s="1"/>
  <c r="AO166" i="5"/>
  <c r="AP166" i="5" s="1"/>
  <c r="L166" i="5"/>
  <c r="P166" i="6" s="1"/>
  <c r="AD166" i="5"/>
  <c r="AA166" i="5"/>
  <c r="S166" i="6" s="1"/>
  <c r="R166" i="5"/>
  <c r="R166" i="6" s="1"/>
  <c r="D88" i="11"/>
  <c r="L197" i="3"/>
  <c r="L73" i="6"/>
  <c r="C406" i="1"/>
  <c r="H140" i="6"/>
  <c r="V140" i="5"/>
  <c r="U140" i="6" s="1"/>
  <c r="C39" i="1"/>
  <c r="D158" i="12"/>
  <c r="L187" i="3"/>
  <c r="F70" i="6"/>
  <c r="C404" i="1"/>
  <c r="Z134" i="4"/>
  <c r="T119" i="3" s="1"/>
  <c r="L134" i="4"/>
  <c r="P119" i="3" s="1"/>
  <c r="AD134" i="4"/>
  <c r="W119" i="3" s="1"/>
  <c r="AA134" i="4"/>
  <c r="S119" i="3" s="1"/>
  <c r="R134" i="4"/>
  <c r="R119" i="3" s="1"/>
  <c r="AE134" i="4"/>
  <c r="X119" i="3" s="1"/>
  <c r="S134" i="4"/>
  <c r="Q119" i="3" s="1"/>
  <c r="E119" i="3"/>
  <c r="D101" i="8"/>
  <c r="G162" i="6"/>
  <c r="G122" i="6"/>
  <c r="H173" i="3"/>
  <c r="F194" i="6"/>
  <c r="L149" i="6"/>
  <c r="C35" i="1"/>
  <c r="L109" i="5"/>
  <c r="P109" i="6" s="1"/>
  <c r="AO109" i="5"/>
  <c r="AP109" i="5" s="1"/>
  <c r="AD109" i="5"/>
  <c r="S109" i="5"/>
  <c r="Q109" i="6" s="1"/>
  <c r="Q109" i="5"/>
  <c r="E109" i="6"/>
  <c r="AA109" i="5"/>
  <c r="S109" i="6" s="1"/>
  <c r="Z109" i="5"/>
  <c r="T109" i="6" s="1"/>
  <c r="AE109" i="5"/>
  <c r="X109" i="6" s="1"/>
  <c r="R109" i="5"/>
  <c r="R109" i="6" s="1"/>
  <c r="D218" i="8"/>
  <c r="C469" i="1"/>
  <c r="D71" i="8"/>
  <c r="O159" i="4"/>
  <c r="I74" i="3"/>
  <c r="D279" i="12"/>
  <c r="D146" i="8"/>
  <c r="L61" i="3"/>
  <c r="D74" i="12"/>
  <c r="G123" i="3"/>
  <c r="V27" i="4"/>
  <c r="U123" i="3" s="1"/>
  <c r="O36" i="4"/>
  <c r="I206" i="3"/>
  <c r="G181" i="6"/>
  <c r="D135" i="12"/>
  <c r="F42" i="6"/>
  <c r="O41" i="5"/>
  <c r="I41" i="6"/>
  <c r="H98" i="6"/>
  <c r="V98" i="5"/>
  <c r="U98" i="6" s="1"/>
  <c r="H187" i="3"/>
  <c r="I196" i="3"/>
  <c r="O199" i="4"/>
  <c r="D273" i="12"/>
  <c r="O10" i="4"/>
  <c r="I183" i="3"/>
  <c r="D213" i="10"/>
  <c r="K73" i="16"/>
  <c r="L73" i="16"/>
  <c r="K187" i="16"/>
  <c r="L187" i="16"/>
  <c r="H126" i="3"/>
  <c r="G140" i="6"/>
  <c r="D165" i="12"/>
  <c r="C3" i="17"/>
  <c r="S83" i="5"/>
  <c r="Q83" i="6" s="1"/>
  <c r="L83" i="5"/>
  <c r="P83" i="6" s="1"/>
  <c r="AD83" i="5"/>
  <c r="E83" i="6"/>
  <c r="Z83" i="5"/>
  <c r="T83" i="6" s="1"/>
  <c r="AO83" i="5"/>
  <c r="AP83" i="5" s="1"/>
  <c r="AE83" i="5"/>
  <c r="X83" i="6" s="1"/>
  <c r="R83" i="5"/>
  <c r="R83" i="6" s="1"/>
  <c r="AA83" i="5"/>
  <c r="S83" i="6" s="1"/>
  <c r="Q83" i="5"/>
  <c r="AD6" i="4"/>
  <c r="W55" i="3" s="1"/>
  <c r="E55" i="3"/>
  <c r="AE6" i="4"/>
  <c r="X55" i="3" s="1"/>
  <c r="Q6" i="4"/>
  <c r="S6" i="4"/>
  <c r="Q55" i="3" s="1"/>
  <c r="R6" i="4"/>
  <c r="R55" i="3" s="1"/>
  <c r="AA6" i="4"/>
  <c r="S55" i="3" s="1"/>
  <c r="Z6" i="4"/>
  <c r="T55" i="3" s="1"/>
  <c r="L6" i="4"/>
  <c r="P55" i="3" s="1"/>
  <c r="J135" i="16"/>
  <c r="F188" i="3"/>
  <c r="V51" i="5"/>
  <c r="U51" i="6" s="1"/>
  <c r="H51" i="6"/>
  <c r="AO51" i="5"/>
  <c r="AP51" i="5" s="1"/>
  <c r="S51" i="5"/>
  <c r="Q51" i="6" s="1"/>
  <c r="AE51" i="5"/>
  <c r="X51" i="6" s="1"/>
  <c r="E51" i="6"/>
  <c r="AD51" i="5"/>
  <c r="R51" i="5"/>
  <c r="R51" i="6" s="1"/>
  <c r="AA51" i="5"/>
  <c r="S51" i="6" s="1"/>
  <c r="L51" i="5"/>
  <c r="P51" i="6" s="1"/>
  <c r="Z51" i="5"/>
  <c r="T51" i="6" s="1"/>
  <c r="Q51" i="5"/>
  <c r="R191" i="5"/>
  <c r="R191" i="6" s="1"/>
  <c r="AE191" i="5"/>
  <c r="X191" i="6" s="1"/>
  <c r="AD191" i="5"/>
  <c r="Q191" i="5"/>
  <c r="AO191" i="5"/>
  <c r="AP191" i="5" s="1"/>
  <c r="AA191" i="5"/>
  <c r="S191" i="6" s="1"/>
  <c r="S191" i="5"/>
  <c r="Q191" i="6" s="1"/>
  <c r="L191" i="5"/>
  <c r="P191" i="6" s="1"/>
  <c r="E191" i="6"/>
  <c r="Z191" i="5"/>
  <c r="T191" i="6" s="1"/>
  <c r="C451" i="1"/>
  <c r="L175" i="6"/>
  <c r="L144" i="3"/>
  <c r="H39" i="6"/>
  <c r="V39" i="5"/>
  <c r="U39" i="6" s="1"/>
  <c r="G41" i="6"/>
  <c r="G18" i="6"/>
  <c r="D15" i="12"/>
  <c r="C429" i="1"/>
  <c r="I102" i="16"/>
  <c r="D10" i="11"/>
  <c r="O140" i="5"/>
  <c r="I140" i="6"/>
  <c r="D215" i="11"/>
  <c r="C432" i="1"/>
  <c r="Z77" i="4"/>
  <c r="T204" i="3" s="1"/>
  <c r="L77" i="4"/>
  <c r="P204" i="3" s="1"/>
  <c r="AD77" i="4"/>
  <c r="W204" i="3" s="1"/>
  <c r="AE77" i="4"/>
  <c r="X204" i="3" s="1"/>
  <c r="R77" i="4"/>
  <c r="R204" i="3" s="1"/>
  <c r="E204" i="3"/>
  <c r="S77" i="4"/>
  <c r="Q204" i="3" s="1"/>
  <c r="AA77" i="4"/>
  <c r="S204" i="3" s="1"/>
  <c r="Q77" i="4"/>
  <c r="I76" i="3"/>
  <c r="O157" i="4"/>
  <c r="I81" i="16"/>
  <c r="C146" i="1"/>
  <c r="AD186" i="4"/>
  <c r="W49" i="3" s="1"/>
  <c r="Z186" i="4"/>
  <c r="T49" i="3" s="1"/>
  <c r="AA186" i="4"/>
  <c r="S49" i="3" s="1"/>
  <c r="Q186" i="4"/>
  <c r="S186" i="4"/>
  <c r="Q49" i="3" s="1"/>
  <c r="E49" i="3"/>
  <c r="L186" i="4"/>
  <c r="P49" i="3" s="1"/>
  <c r="R186" i="4"/>
  <c r="R49" i="3" s="1"/>
  <c r="AE186" i="4"/>
  <c r="X49" i="3" s="1"/>
  <c r="G75" i="3"/>
  <c r="V15" i="4"/>
  <c r="U75" i="3" s="1"/>
  <c r="C167" i="1"/>
  <c r="F33" i="6"/>
  <c r="F90" i="3"/>
  <c r="F71" i="6"/>
  <c r="L48" i="6"/>
  <c r="Z82" i="5"/>
  <c r="T82" i="6" s="1"/>
  <c r="Q82" i="5"/>
  <c r="AD82" i="5"/>
  <c r="L82" i="5"/>
  <c r="P82" i="6" s="1"/>
  <c r="R82" i="5"/>
  <c r="R82" i="6" s="1"/>
  <c r="AO82" i="5"/>
  <c r="AP82" i="5" s="1"/>
  <c r="AA82" i="5"/>
  <c r="S82" i="6" s="1"/>
  <c r="AE82" i="5"/>
  <c r="X82" i="6" s="1"/>
  <c r="S82" i="5"/>
  <c r="Q82" i="6" s="1"/>
  <c r="E82" i="6"/>
  <c r="O163" i="4"/>
  <c r="I122" i="3"/>
  <c r="D6" i="12"/>
  <c r="D121" i="11"/>
  <c r="G67" i="6"/>
  <c r="G180" i="6"/>
  <c r="F69" i="3"/>
  <c r="D109" i="11"/>
  <c r="D7" i="9"/>
  <c r="K99" i="16"/>
  <c r="L99" i="16"/>
  <c r="O137" i="4"/>
  <c r="I64" i="3"/>
  <c r="D63" i="12"/>
  <c r="D140" i="10"/>
  <c r="H36" i="3"/>
  <c r="D173" i="12"/>
  <c r="H164" i="3"/>
  <c r="L26" i="6"/>
  <c r="G14" i="3"/>
  <c r="V142" i="4"/>
  <c r="U14" i="3" s="1"/>
  <c r="J66" i="16"/>
  <c r="D186" i="10"/>
  <c r="L13" i="4"/>
  <c r="P158" i="3" s="1"/>
  <c r="S13" i="4"/>
  <c r="Q158" i="3" s="1"/>
  <c r="AD13" i="4"/>
  <c r="W158" i="3" s="1"/>
  <c r="Q13" i="4"/>
  <c r="E158" i="3"/>
  <c r="R13" i="4"/>
  <c r="R158" i="3" s="1"/>
  <c r="AE13" i="4"/>
  <c r="X158" i="3" s="1"/>
  <c r="AA13" i="4"/>
  <c r="S158" i="3" s="1"/>
  <c r="Z13" i="4"/>
  <c r="T158" i="3" s="1"/>
  <c r="F139" i="6"/>
  <c r="AA53" i="4"/>
  <c r="S133" i="3" s="1"/>
  <c r="AE53" i="4"/>
  <c r="X133" i="3" s="1"/>
  <c r="L53" i="4"/>
  <c r="P133" i="3" s="1"/>
  <c r="Z53" i="4"/>
  <c r="T133" i="3" s="1"/>
  <c r="R53" i="4"/>
  <c r="R133" i="3" s="1"/>
  <c r="AD53" i="4"/>
  <c r="W133" i="3" s="1"/>
  <c r="S53" i="4"/>
  <c r="Q133" i="3" s="1"/>
  <c r="E133" i="3"/>
  <c r="Q53" i="4"/>
  <c r="I48" i="16"/>
  <c r="H135" i="6"/>
  <c r="V135" i="5"/>
  <c r="U135" i="6" s="1"/>
  <c r="D219" i="12"/>
  <c r="O107" i="4"/>
  <c r="I115" i="3"/>
  <c r="R141" i="4"/>
  <c r="R93" i="3" s="1"/>
  <c r="E93" i="3"/>
  <c r="Q141" i="4"/>
  <c r="AA141" i="4"/>
  <c r="S93" i="3" s="1"/>
  <c r="AE141" i="4"/>
  <c r="X93" i="3" s="1"/>
  <c r="S141" i="4"/>
  <c r="Q93" i="3" s="1"/>
  <c r="Z141" i="4"/>
  <c r="T93" i="3" s="1"/>
  <c r="L141" i="4"/>
  <c r="P93" i="3" s="1"/>
  <c r="AD141" i="4"/>
  <c r="W93" i="3" s="1"/>
  <c r="D23" i="12"/>
  <c r="S206" i="5"/>
  <c r="Q206" i="6" s="1"/>
  <c r="AE206" i="5"/>
  <c r="X206" i="6" s="1"/>
  <c r="R206" i="5"/>
  <c r="R206" i="6" s="1"/>
  <c r="AO206" i="5"/>
  <c r="AP206" i="5" s="1"/>
  <c r="Z206" i="5"/>
  <c r="T206" i="6" s="1"/>
  <c r="AA206" i="5"/>
  <c r="S206" i="6" s="1"/>
  <c r="L206" i="5"/>
  <c r="P206" i="6" s="1"/>
  <c r="E206" i="6"/>
  <c r="AD206" i="5"/>
  <c r="Q206" i="5"/>
  <c r="D25" i="8"/>
  <c r="C461" i="1"/>
  <c r="J181" i="16"/>
  <c r="V174" i="5"/>
  <c r="U174" i="6" s="1"/>
  <c r="H174" i="6"/>
  <c r="D213" i="12"/>
  <c r="I173" i="6"/>
  <c r="O173" i="5"/>
  <c r="D21" i="10"/>
  <c r="D241" i="12"/>
  <c r="H55" i="3"/>
  <c r="G178" i="6"/>
  <c r="D171" i="9"/>
  <c r="I5" i="3"/>
  <c r="O181" i="4"/>
  <c r="H97" i="3"/>
  <c r="D162" i="10"/>
  <c r="O159" i="5"/>
  <c r="I159" i="6"/>
  <c r="D201" i="11"/>
  <c r="G80" i="6"/>
  <c r="J64" i="16"/>
  <c r="H115" i="3"/>
  <c r="O82" i="5"/>
  <c r="I82" i="6"/>
  <c r="C414" i="1"/>
  <c r="G128" i="6"/>
  <c r="V49" i="5"/>
  <c r="U49" i="6" s="1"/>
  <c r="H49" i="6"/>
  <c r="C441" i="1"/>
  <c r="G171" i="6"/>
  <c r="O193" i="4"/>
  <c r="I77" i="3"/>
  <c r="D263" i="12"/>
  <c r="D32" i="8"/>
  <c r="F185" i="3"/>
  <c r="D234" i="12"/>
  <c r="G63" i="3"/>
  <c r="V73" i="4"/>
  <c r="U63" i="3" s="1"/>
  <c r="S200" i="4"/>
  <c r="Q199" i="3" s="1"/>
  <c r="AA200" i="4"/>
  <c r="S199" i="3" s="1"/>
  <c r="Z200" i="4"/>
  <c r="T199" i="3" s="1"/>
  <c r="E199" i="3"/>
  <c r="AD200" i="4"/>
  <c r="W199" i="3" s="1"/>
  <c r="AE200" i="4"/>
  <c r="X199" i="3" s="1"/>
  <c r="L200" i="4"/>
  <c r="P199" i="3" s="1"/>
  <c r="Q200" i="4"/>
  <c r="R200" i="4"/>
  <c r="R199" i="3" s="1"/>
  <c r="D34" i="10"/>
  <c r="I151" i="3"/>
  <c r="O26" i="4"/>
  <c r="C478" i="1"/>
  <c r="G197" i="6"/>
  <c r="F113" i="3"/>
  <c r="G61" i="6"/>
  <c r="I106" i="3"/>
  <c r="O167" i="4"/>
  <c r="G25" i="6"/>
  <c r="G51" i="6"/>
  <c r="Z85" i="4"/>
  <c r="T47" i="3" s="1"/>
  <c r="Q85" i="4"/>
  <c r="L85" i="4"/>
  <c r="P47" i="3" s="1"/>
  <c r="AE85" i="4"/>
  <c r="X47" i="3" s="1"/>
  <c r="E47" i="3"/>
  <c r="R85" i="4"/>
  <c r="R47" i="3" s="1"/>
  <c r="AA85" i="4"/>
  <c r="S47" i="3" s="1"/>
  <c r="S85" i="4"/>
  <c r="Q47" i="3" s="1"/>
  <c r="AD85" i="4"/>
  <c r="W47" i="3" s="1"/>
  <c r="D116" i="12"/>
  <c r="L182" i="3"/>
  <c r="D66" i="10"/>
  <c r="D15" i="11"/>
  <c r="L123" i="6"/>
  <c r="G103" i="6"/>
  <c r="B248" i="11"/>
  <c r="B248" i="10"/>
  <c r="B248" i="9"/>
  <c r="B248" i="12"/>
  <c r="B248" i="8"/>
  <c r="L23" i="3"/>
  <c r="O19" i="5"/>
  <c r="I19" i="6"/>
  <c r="I9" i="6"/>
  <c r="O9" i="5"/>
  <c r="H153" i="3"/>
  <c r="D92" i="9"/>
  <c r="D29" i="12"/>
  <c r="H88" i="3"/>
  <c r="F198" i="6"/>
  <c r="C488" i="1"/>
  <c r="C452" i="1"/>
  <c r="AE125" i="5"/>
  <c r="X125" i="6" s="1"/>
  <c r="L125" i="5"/>
  <c r="P125" i="6" s="1"/>
  <c r="S125" i="5"/>
  <c r="Q125" i="6" s="1"/>
  <c r="Q125" i="5"/>
  <c r="R125" i="5"/>
  <c r="R125" i="6" s="1"/>
  <c r="E125" i="6"/>
  <c r="AO125" i="5"/>
  <c r="AP125" i="5" s="1"/>
  <c r="AA125" i="5"/>
  <c r="S125" i="6" s="1"/>
  <c r="AD125" i="5"/>
  <c r="Z125" i="5"/>
  <c r="T125" i="6" s="1"/>
  <c r="Q138" i="4"/>
  <c r="E31" i="3"/>
  <c r="L138" i="4"/>
  <c r="P31" i="3" s="1"/>
  <c r="AE138" i="4"/>
  <c r="X31" i="3" s="1"/>
  <c r="R138" i="4"/>
  <c r="R31" i="3" s="1"/>
  <c r="AD138" i="4"/>
  <c r="W31" i="3" s="1"/>
  <c r="Z138" i="4"/>
  <c r="T31" i="3" s="1"/>
  <c r="S138" i="4"/>
  <c r="Q31" i="3" s="1"/>
  <c r="AA138" i="4"/>
  <c r="S31" i="3" s="1"/>
  <c r="D238" i="12"/>
  <c r="D193" i="12"/>
  <c r="H48" i="3"/>
  <c r="L133" i="4"/>
  <c r="P25" i="3" s="1"/>
  <c r="AD133" i="4"/>
  <c r="W25" i="3" s="1"/>
  <c r="AE133" i="4"/>
  <c r="X25" i="3" s="1"/>
  <c r="E25" i="3"/>
  <c r="S133" i="4"/>
  <c r="Q25" i="3" s="1"/>
  <c r="AA133" i="4"/>
  <c r="S25" i="3" s="1"/>
  <c r="Z133" i="4"/>
  <c r="T25" i="3" s="1"/>
  <c r="R133" i="4"/>
  <c r="R25" i="3" s="1"/>
  <c r="Q133" i="4"/>
  <c r="D196" i="10"/>
  <c r="L42" i="6"/>
  <c r="D86" i="10"/>
  <c r="D60" i="8"/>
  <c r="V56" i="5"/>
  <c r="U56" i="6" s="1"/>
  <c r="H56" i="6"/>
  <c r="O42" i="4"/>
  <c r="I60" i="3"/>
  <c r="O81" i="4"/>
  <c r="I11" i="3"/>
  <c r="G158" i="3"/>
  <c r="V13" i="4"/>
  <c r="U158" i="3" s="1"/>
  <c r="H71" i="3"/>
  <c r="S159" i="4"/>
  <c r="Q74" i="3" s="1"/>
  <c r="AD159" i="4"/>
  <c r="W74" i="3" s="1"/>
  <c r="Z159" i="4"/>
  <c r="T74" i="3" s="1"/>
  <c r="AA159" i="4"/>
  <c r="S74" i="3" s="1"/>
  <c r="E74" i="3"/>
  <c r="L159" i="4"/>
  <c r="P74" i="3" s="1"/>
  <c r="R159" i="4"/>
  <c r="R74" i="3" s="1"/>
  <c r="AE159" i="4"/>
  <c r="X74" i="3" s="1"/>
  <c r="Q159" i="4"/>
  <c r="AO188" i="5"/>
  <c r="AP188" i="5" s="1"/>
  <c r="AD188" i="5"/>
  <c r="AA188" i="5"/>
  <c r="S188" i="6" s="1"/>
  <c r="R188" i="5"/>
  <c r="R188" i="6" s="1"/>
  <c r="L188" i="5"/>
  <c r="P188" i="6" s="1"/>
  <c r="Q188" i="5"/>
  <c r="E188" i="6"/>
  <c r="AE188" i="5"/>
  <c r="X188" i="6" s="1"/>
  <c r="S188" i="5"/>
  <c r="Q188" i="6" s="1"/>
  <c r="Z188" i="5"/>
  <c r="T188" i="6" s="1"/>
  <c r="K163" i="16"/>
  <c r="L163" i="16"/>
  <c r="G42" i="3"/>
  <c r="V150" i="4"/>
  <c r="U42" i="3" s="1"/>
  <c r="D22" i="10"/>
  <c r="D131" i="12"/>
  <c r="L108" i="3"/>
  <c r="C494" i="1"/>
  <c r="V187" i="5"/>
  <c r="U187" i="6" s="1"/>
  <c r="H187" i="6"/>
  <c r="L197" i="6"/>
  <c r="C49" i="14" a="1"/>
  <c r="C32" i="14" a="1"/>
  <c r="C32" i="14" l="1"/>
  <c r="C34" i="14" s="1"/>
  <c r="C49" i="14"/>
  <c r="W188" i="6"/>
  <c r="D136" i="4"/>
  <c r="D190" i="3" s="1"/>
  <c r="D165" i="5"/>
  <c r="D165" i="6" s="1"/>
  <c r="W186" i="6"/>
  <c r="Q146" i="4"/>
  <c r="N202" i="3"/>
  <c r="P146" i="4"/>
  <c r="M202" i="3" s="1"/>
  <c r="T146" i="4"/>
  <c r="W74" i="6"/>
  <c r="D133" i="4"/>
  <c r="D25" i="3" s="1"/>
  <c r="D90" i="5"/>
  <c r="D90" i="6" s="1"/>
  <c r="D95" i="5"/>
  <c r="D95" i="6" s="1"/>
  <c r="D139" i="4"/>
  <c r="D103" i="3" s="1"/>
  <c r="Q92" i="4"/>
  <c r="T92" i="4" s="1"/>
  <c r="P92" i="4"/>
  <c r="M192" i="3" s="1"/>
  <c r="N192" i="3"/>
  <c r="D80" i="5"/>
  <c r="D80" i="6" s="1"/>
  <c r="D66" i="4"/>
  <c r="D193" i="3" s="1"/>
  <c r="D200" i="5"/>
  <c r="D200" i="6" s="1"/>
  <c r="D36" i="4"/>
  <c r="D206" i="3" s="1"/>
  <c r="N104" i="6"/>
  <c r="P104" i="5"/>
  <c r="M104" i="6" s="1"/>
  <c r="Q193" i="5"/>
  <c r="N193" i="6"/>
  <c r="P193" i="5"/>
  <c r="M193" i="6" s="1"/>
  <c r="Q99" i="4"/>
  <c r="T99" i="4" s="1"/>
  <c r="P99" i="4"/>
  <c r="M201" i="3" s="1"/>
  <c r="N201" i="3"/>
  <c r="Q139" i="4"/>
  <c r="T139" i="4" s="1"/>
  <c r="P139" i="4"/>
  <c r="M103" i="3" s="1"/>
  <c r="N103" i="3"/>
  <c r="N125" i="6"/>
  <c r="P125" i="5"/>
  <c r="M125" i="6" s="1"/>
  <c r="D12" i="5"/>
  <c r="D12" i="6" s="1"/>
  <c r="D142" i="4"/>
  <c r="D14" i="3" s="1"/>
  <c r="P191" i="5"/>
  <c r="M191" i="6" s="1"/>
  <c r="N191" i="6"/>
  <c r="Q42" i="5"/>
  <c r="P42" i="5"/>
  <c r="M42" i="6" s="1"/>
  <c r="N42" i="6"/>
  <c r="P68" i="4"/>
  <c r="M148" i="3" s="1"/>
  <c r="N148" i="3"/>
  <c r="P148" i="4"/>
  <c r="M185" i="3" s="1"/>
  <c r="N185" i="3"/>
  <c r="W106" i="6"/>
  <c r="W130" i="6"/>
  <c r="D103" i="5"/>
  <c r="D103" i="6" s="1"/>
  <c r="D156" i="4"/>
  <c r="D34" i="3" s="1"/>
  <c r="Q110" i="5"/>
  <c r="P110" i="5"/>
  <c r="M110" i="6" s="1"/>
  <c r="N110" i="6"/>
  <c r="N172" i="3"/>
  <c r="P45" i="4"/>
  <c r="M172" i="3" s="1"/>
  <c r="Q144" i="4"/>
  <c r="N65" i="3"/>
  <c r="P144" i="4"/>
  <c r="M65" i="3" s="1"/>
  <c r="N177" i="6"/>
  <c r="P177" i="5"/>
  <c r="M177" i="6" s="1"/>
  <c r="Q175" i="4"/>
  <c r="T175" i="4" s="1"/>
  <c r="N166" i="3"/>
  <c r="P175" i="4"/>
  <c r="M166" i="3" s="1"/>
  <c r="Q195" i="4"/>
  <c r="N26" i="3"/>
  <c r="P195" i="4"/>
  <c r="M26" i="3" s="1"/>
  <c r="T195" i="4"/>
  <c r="D62" i="4"/>
  <c r="D141" i="3" s="1"/>
  <c r="D167" i="5"/>
  <c r="D167" i="6" s="1"/>
  <c r="W10" i="6"/>
  <c r="Q46" i="5"/>
  <c r="P46" i="5"/>
  <c r="M46" i="6" s="1"/>
  <c r="N46" i="6"/>
  <c r="W30" i="6"/>
  <c r="W154" i="6"/>
  <c r="N116" i="3"/>
  <c r="P105" i="4"/>
  <c r="M116" i="3" s="1"/>
  <c r="D73" i="5"/>
  <c r="D73" i="6" s="1"/>
  <c r="D73" i="4"/>
  <c r="D63" i="3" s="1"/>
  <c r="Q158" i="5"/>
  <c r="P158" i="5"/>
  <c r="M158" i="6" s="1"/>
  <c r="N158" i="6"/>
  <c r="W99" i="6"/>
  <c r="D62" i="5"/>
  <c r="D62" i="6" s="1"/>
  <c r="D103" i="4"/>
  <c r="D24" i="3" s="1"/>
  <c r="P92" i="5"/>
  <c r="M92" i="6" s="1"/>
  <c r="N92" i="6"/>
  <c r="W148" i="6"/>
  <c r="W89" i="6"/>
  <c r="W193" i="6"/>
  <c r="T193" i="5"/>
  <c r="P115" i="5"/>
  <c r="M115" i="6" s="1"/>
  <c r="N115" i="6"/>
  <c r="D48" i="5"/>
  <c r="D48" i="6" s="1"/>
  <c r="D132" i="4"/>
  <c r="D161" i="3" s="1"/>
  <c r="W139" i="6"/>
  <c r="W43" i="6"/>
  <c r="Q152" i="5"/>
  <c r="P152" i="5"/>
  <c r="M152" i="6" s="1"/>
  <c r="N152" i="6"/>
  <c r="W196" i="6"/>
  <c r="Q21" i="4"/>
  <c r="N90" i="3"/>
  <c r="P21" i="4"/>
  <c r="M90" i="3" s="1"/>
  <c r="T21" i="4"/>
  <c r="D143" i="4"/>
  <c r="D157" i="3" s="1"/>
  <c r="D138" i="5"/>
  <c r="D138" i="6" s="1"/>
  <c r="P102" i="5"/>
  <c r="M102" i="6" s="1"/>
  <c r="N102" i="6"/>
  <c r="D124" i="4"/>
  <c r="D23" i="3" s="1"/>
  <c r="D147" i="5"/>
  <c r="D147" i="6" s="1"/>
  <c r="W9" i="6"/>
  <c r="D49" i="5"/>
  <c r="D49" i="6" s="1"/>
  <c r="D59" i="4"/>
  <c r="D140" i="3" s="1"/>
  <c r="W44" i="6"/>
  <c r="D164" i="5"/>
  <c r="D164" i="6" s="1"/>
  <c r="D27" i="4"/>
  <c r="D123" i="3" s="1"/>
  <c r="N161" i="3"/>
  <c r="P132" i="4"/>
  <c r="M161" i="3" s="1"/>
  <c r="W53" i="6"/>
  <c r="W25" i="6"/>
  <c r="W14" i="6"/>
  <c r="Q152" i="4"/>
  <c r="T152" i="4" s="1"/>
  <c r="P152" i="4"/>
  <c r="M129" i="3" s="1"/>
  <c r="N129" i="3"/>
  <c r="Q181" i="5"/>
  <c r="P181" i="5"/>
  <c r="M181" i="6" s="1"/>
  <c r="N181" i="6"/>
  <c r="D148" i="4"/>
  <c r="D185" i="3" s="1"/>
  <c r="D140" i="5"/>
  <c r="D140" i="6" s="1"/>
  <c r="D180" i="4"/>
  <c r="D4" i="3" s="1"/>
  <c r="D54" i="5"/>
  <c r="D54" i="6" s="1"/>
  <c r="Q32" i="4"/>
  <c r="P32" i="4"/>
  <c r="M6" i="3" s="1"/>
  <c r="N6" i="3"/>
  <c r="T32" i="4"/>
  <c r="N110" i="3"/>
  <c r="P174" i="4"/>
  <c r="M110" i="3" s="1"/>
  <c r="P97" i="4"/>
  <c r="M35" i="3" s="1"/>
  <c r="N35" i="3"/>
  <c r="W86" i="6"/>
  <c r="P128" i="4"/>
  <c r="M80" i="3" s="1"/>
  <c r="N80" i="3"/>
  <c r="N68" i="6"/>
  <c r="P68" i="5"/>
  <c r="M68" i="6" s="1"/>
  <c r="P192" i="5"/>
  <c r="M192" i="6" s="1"/>
  <c r="N192" i="6"/>
  <c r="D25" i="5"/>
  <c r="D25" i="6" s="1"/>
  <c r="D114" i="4"/>
  <c r="D111" i="3" s="1"/>
  <c r="N174" i="6"/>
  <c r="P174" i="5"/>
  <c r="M174" i="6" s="1"/>
  <c r="Q52" i="5"/>
  <c r="N52" i="6"/>
  <c r="P52" i="5"/>
  <c r="M52" i="6" s="1"/>
  <c r="P22" i="4"/>
  <c r="M203" i="3" s="1"/>
  <c r="N203" i="3"/>
  <c r="T22" i="4"/>
  <c r="Q73" i="5"/>
  <c r="N73" i="6"/>
  <c r="P73" i="5"/>
  <c r="M73" i="6" s="1"/>
  <c r="D172" i="4"/>
  <c r="D88" i="3" s="1"/>
  <c r="D14" i="5"/>
  <c r="D14" i="6" s="1"/>
  <c r="N150" i="6"/>
  <c r="P150" i="5"/>
  <c r="M150" i="6" s="1"/>
  <c r="W152" i="6"/>
  <c r="P18" i="5"/>
  <c r="M18" i="6" s="1"/>
  <c r="N18" i="6"/>
  <c r="W101" i="6"/>
  <c r="W75" i="6"/>
  <c r="W175" i="6"/>
  <c r="Q99" i="5"/>
  <c r="T99" i="5" s="1"/>
  <c r="P99" i="5"/>
  <c r="M99" i="6" s="1"/>
  <c r="N99" i="6"/>
  <c r="D157" i="5"/>
  <c r="D157" i="6" s="1"/>
  <c r="D17" i="4"/>
  <c r="D135" i="3" s="1"/>
  <c r="Q204" i="5"/>
  <c r="N204" i="6"/>
  <c r="P204" i="5"/>
  <c r="M204" i="6" s="1"/>
  <c r="N78" i="3"/>
  <c r="P160" i="4"/>
  <c r="M78" i="3" s="1"/>
  <c r="W199" i="6"/>
  <c r="W23" i="6"/>
  <c r="N155" i="6"/>
  <c r="P155" i="5"/>
  <c r="M155" i="6" s="1"/>
  <c r="D33" i="5"/>
  <c r="D33" i="6" s="1"/>
  <c r="D82" i="4"/>
  <c r="D162" i="3" s="1"/>
  <c r="D159" i="5"/>
  <c r="D159" i="6" s="1"/>
  <c r="D29" i="4"/>
  <c r="D178" i="3" s="1"/>
  <c r="N120" i="3"/>
  <c r="P110" i="4"/>
  <c r="M120" i="3" s="1"/>
  <c r="N50" i="3"/>
  <c r="P64" i="4"/>
  <c r="M50" i="3" s="1"/>
  <c r="N103" i="6"/>
  <c r="P103" i="5"/>
  <c r="M103" i="6" s="1"/>
  <c r="D189" i="4"/>
  <c r="D52" i="3" s="1"/>
  <c r="D182" i="5"/>
  <c r="D182" i="6" s="1"/>
  <c r="F5" i="1"/>
  <c r="B5" i="8"/>
  <c r="B5" i="10"/>
  <c r="B5" i="11"/>
  <c r="D3" i="4"/>
  <c r="D179" i="3" s="1"/>
  <c r="D36" i="5"/>
  <c r="D36" i="6" s="1"/>
  <c r="B5" i="12"/>
  <c r="D5" i="1"/>
  <c r="B5" i="9"/>
  <c r="D6" i="5"/>
  <c r="D6" i="6" s="1"/>
  <c r="D85" i="4"/>
  <c r="D47" i="3" s="1"/>
  <c r="W136" i="6"/>
  <c r="N83" i="6"/>
  <c r="P83" i="5"/>
  <c r="M83" i="6" s="1"/>
  <c r="W59" i="6"/>
  <c r="W4" i="6"/>
  <c r="N198" i="3"/>
  <c r="P168" i="4"/>
  <c r="M198" i="3" s="1"/>
  <c r="D78" i="5"/>
  <c r="D78" i="6" s="1"/>
  <c r="D23" i="4"/>
  <c r="D10" i="3" s="1"/>
  <c r="D205" i="4"/>
  <c r="D164" i="3" s="1"/>
  <c r="D122" i="5"/>
  <c r="D122" i="6" s="1"/>
  <c r="N158" i="3"/>
  <c r="P13" i="4"/>
  <c r="M158" i="3" s="1"/>
  <c r="T13" i="4"/>
  <c r="Q100" i="5"/>
  <c r="N100" i="6"/>
  <c r="P100" i="5"/>
  <c r="M100" i="6" s="1"/>
  <c r="T192" i="5"/>
  <c r="W192" i="6"/>
  <c r="N91" i="6"/>
  <c r="P91" i="5"/>
  <c r="M91" i="6" s="1"/>
  <c r="D30" i="4"/>
  <c r="D131" i="3" s="1"/>
  <c r="D104" i="5"/>
  <c r="D104" i="6" s="1"/>
  <c r="D195" i="4"/>
  <c r="D26" i="3" s="1"/>
  <c r="D187" i="5"/>
  <c r="D187" i="6" s="1"/>
  <c r="Q50" i="5"/>
  <c r="P50" i="5"/>
  <c r="M50" i="6" s="1"/>
  <c r="N50" i="6"/>
  <c r="Q71" i="5"/>
  <c r="P71" i="5"/>
  <c r="M71" i="6" s="1"/>
  <c r="N71" i="6"/>
  <c r="P40" i="5"/>
  <c r="M40" i="6" s="1"/>
  <c r="N40" i="6"/>
  <c r="D186" i="5"/>
  <c r="D186" i="6" s="1"/>
  <c r="D104" i="4"/>
  <c r="D112" i="3" s="1"/>
  <c r="W149" i="6"/>
  <c r="N33" i="6"/>
  <c r="P33" i="5"/>
  <c r="M33" i="6" s="1"/>
  <c r="D198" i="5"/>
  <c r="D198" i="6" s="1"/>
  <c r="D41" i="4"/>
  <c r="D48" i="3" s="1"/>
  <c r="W96" i="6"/>
  <c r="D158" i="4"/>
  <c r="D107" i="3" s="1"/>
  <c r="D125" i="5"/>
  <c r="D125" i="6" s="1"/>
  <c r="P11" i="5"/>
  <c r="M11" i="6" s="1"/>
  <c r="N11" i="6"/>
  <c r="W11" i="6"/>
  <c r="T11" i="5"/>
  <c r="Q95" i="4"/>
  <c r="T95" i="4" s="1"/>
  <c r="N169" i="3"/>
  <c r="P95" i="4"/>
  <c r="M169" i="3" s="1"/>
  <c r="W201" i="6"/>
  <c r="W19" i="6"/>
  <c r="W5" i="6"/>
  <c r="P94" i="4"/>
  <c r="M108" i="3" s="1"/>
  <c r="N108" i="3"/>
  <c r="T94" i="4"/>
  <c r="N10" i="6"/>
  <c r="P10" i="5"/>
  <c r="M10" i="6" s="1"/>
  <c r="N95" i="6"/>
  <c r="P95" i="5"/>
  <c r="M95" i="6" s="1"/>
  <c r="Q118" i="4"/>
  <c r="P118" i="4"/>
  <c r="M33" i="3" s="1"/>
  <c r="N33" i="3"/>
  <c r="T118" i="4"/>
  <c r="D202" i="5"/>
  <c r="D202" i="6" s="1"/>
  <c r="D64" i="4"/>
  <c r="D50" i="3" s="1"/>
  <c r="W72" i="6"/>
  <c r="W16" i="6"/>
  <c r="D116" i="4"/>
  <c r="D67" i="3" s="1"/>
  <c r="D98" i="5"/>
  <c r="D98" i="6" s="1"/>
  <c r="Q179" i="5"/>
  <c r="P179" i="5"/>
  <c r="M179" i="6" s="1"/>
  <c r="N179" i="6"/>
  <c r="Q205" i="4"/>
  <c r="P205" i="4"/>
  <c r="M164" i="3" s="1"/>
  <c r="N164" i="3"/>
  <c r="T205" i="4"/>
  <c r="Q183" i="4"/>
  <c r="N12" i="3"/>
  <c r="P183" i="4"/>
  <c r="M12" i="3" s="1"/>
  <c r="N28" i="6"/>
  <c r="P28" i="5"/>
  <c r="M28" i="6" s="1"/>
  <c r="N76" i="6"/>
  <c r="P76" i="5"/>
  <c r="M76" i="6" s="1"/>
  <c r="P74" i="4"/>
  <c r="M39" i="3" s="1"/>
  <c r="N39" i="3"/>
  <c r="T74" i="4"/>
  <c r="W55" i="6"/>
  <c r="W125" i="6"/>
  <c r="T125" i="5"/>
  <c r="Q196" i="5"/>
  <c r="T196" i="5" s="1"/>
  <c r="N196" i="6"/>
  <c r="P196" i="5"/>
  <c r="M196" i="6" s="1"/>
  <c r="Q113" i="4"/>
  <c r="P113" i="4"/>
  <c r="M57" i="3" s="1"/>
  <c r="N57" i="3"/>
  <c r="N77" i="3"/>
  <c r="P193" i="4"/>
  <c r="M77" i="3" s="1"/>
  <c r="P157" i="4"/>
  <c r="M76" i="3" s="1"/>
  <c r="N76" i="3"/>
  <c r="T157" i="4"/>
  <c r="Q181" i="4"/>
  <c r="N5" i="3"/>
  <c r="P181" i="4"/>
  <c r="M5" i="3" s="1"/>
  <c r="W206" i="6"/>
  <c r="W191" i="6"/>
  <c r="T191" i="5"/>
  <c r="Q199" i="4"/>
  <c r="T199" i="4" s="1"/>
  <c r="N196" i="3"/>
  <c r="P199" i="4"/>
  <c r="M196" i="3" s="1"/>
  <c r="P121" i="4"/>
  <c r="M83" i="3" s="1"/>
  <c r="N83" i="3"/>
  <c r="T121" i="4"/>
  <c r="Q55" i="5"/>
  <c r="T55" i="5" s="1"/>
  <c r="N55" i="6"/>
  <c r="P55" i="5"/>
  <c r="M55" i="6" s="1"/>
  <c r="Q77" i="5"/>
  <c r="P77" i="5"/>
  <c r="M77" i="6" s="1"/>
  <c r="N77" i="6"/>
  <c r="W17" i="6"/>
  <c r="Q192" i="4"/>
  <c r="T192" i="4" s="1"/>
  <c r="N20" i="3"/>
  <c r="P192" i="4"/>
  <c r="M20" i="3" s="1"/>
  <c r="P93" i="5"/>
  <c r="M93" i="6" s="1"/>
  <c r="N93" i="6"/>
  <c r="Q169" i="4"/>
  <c r="N87" i="3"/>
  <c r="P169" i="4"/>
  <c r="M87" i="3" s="1"/>
  <c r="D57" i="5"/>
  <c r="D57" i="6" s="1"/>
  <c r="D126" i="4"/>
  <c r="D176" i="3" s="1"/>
  <c r="D85" i="5"/>
  <c r="D85" i="6" s="1"/>
  <c r="D107" i="4"/>
  <c r="D115" i="3" s="1"/>
  <c r="W127" i="6"/>
  <c r="D10" i="5"/>
  <c r="D10" i="6" s="1"/>
  <c r="D86" i="4"/>
  <c r="D53" i="3" s="1"/>
  <c r="P90" i="4"/>
  <c r="M36" i="3" s="1"/>
  <c r="N36" i="3"/>
  <c r="D80" i="4"/>
  <c r="D66" i="3" s="1"/>
  <c r="D42" i="5"/>
  <c r="D42" i="6" s="1"/>
  <c r="N159" i="3"/>
  <c r="P109" i="4"/>
  <c r="M159" i="3" s="1"/>
  <c r="D13" i="5"/>
  <c r="D13" i="6" s="1"/>
  <c r="D186" i="4"/>
  <c r="D49" i="3" s="1"/>
  <c r="W35" i="6"/>
  <c r="D40" i="4"/>
  <c r="D153" i="3" s="1"/>
  <c r="D199" i="5"/>
  <c r="D199" i="6" s="1"/>
  <c r="N66" i="3"/>
  <c r="P80" i="4"/>
  <c r="M66" i="3" s="1"/>
  <c r="Q57" i="4"/>
  <c r="P57" i="4"/>
  <c r="M173" i="3" s="1"/>
  <c r="N173" i="3"/>
  <c r="T57" i="4"/>
  <c r="Q76" i="4"/>
  <c r="T76" i="4" s="1"/>
  <c r="P76" i="4"/>
  <c r="M62" i="3" s="1"/>
  <c r="N62" i="3"/>
  <c r="N206" i="6"/>
  <c r="P206" i="5"/>
  <c r="M206" i="6" s="1"/>
  <c r="N14" i="6"/>
  <c r="P14" i="5"/>
  <c r="M14" i="6" s="1"/>
  <c r="W200" i="6"/>
  <c r="D9" i="5"/>
  <c r="D9" i="6" s="1"/>
  <c r="D171" i="4"/>
  <c r="D70" i="3" s="1"/>
  <c r="D183" i="4"/>
  <c r="D12" i="3" s="1"/>
  <c r="D172" i="5"/>
  <c r="D172" i="6" s="1"/>
  <c r="Q55" i="4"/>
  <c r="N105" i="3"/>
  <c r="P55" i="4"/>
  <c r="M105" i="3" s="1"/>
  <c r="P156" i="4"/>
  <c r="M34" i="3" s="1"/>
  <c r="N34" i="3"/>
  <c r="Q158" i="4"/>
  <c r="T158" i="4" s="1"/>
  <c r="P158" i="4"/>
  <c r="M107" i="3" s="1"/>
  <c r="N107" i="3"/>
  <c r="N114" i="6"/>
  <c r="P114" i="5"/>
  <c r="M114" i="6" s="1"/>
  <c r="N197" i="6"/>
  <c r="P197" i="5"/>
  <c r="M197" i="6" s="1"/>
  <c r="N165" i="3"/>
  <c r="P72" i="4"/>
  <c r="M165" i="3" s="1"/>
  <c r="D76" i="4"/>
  <c r="D62" i="3" s="1"/>
  <c r="D76" i="5"/>
  <c r="D76" i="6" s="1"/>
  <c r="W202" i="6"/>
  <c r="N79" i="6"/>
  <c r="P79" i="5"/>
  <c r="M79" i="6" s="1"/>
  <c r="W138" i="6"/>
  <c r="D63" i="4"/>
  <c r="D145" i="3" s="1"/>
  <c r="D116" i="5"/>
  <c r="D116" i="6" s="1"/>
  <c r="D21" i="5"/>
  <c r="D21" i="6" s="1"/>
  <c r="D178" i="4"/>
  <c r="D15" i="3" s="1"/>
  <c r="W184" i="6"/>
  <c r="D185" i="4"/>
  <c r="D69" i="3" s="1"/>
  <c r="D109" i="5"/>
  <c r="D109" i="6" s="1"/>
  <c r="P59" i="5"/>
  <c r="M59" i="6" s="1"/>
  <c r="N59" i="6"/>
  <c r="W158" i="6"/>
  <c r="T158" i="5"/>
  <c r="P16" i="4"/>
  <c r="M184" i="3" s="1"/>
  <c r="N184" i="3"/>
  <c r="D41" i="5"/>
  <c r="D41" i="6" s="1"/>
  <c r="D106" i="4"/>
  <c r="D180" i="3" s="1"/>
  <c r="N4" i="6"/>
  <c r="P4" i="5"/>
  <c r="M4" i="6" s="1"/>
  <c r="N70" i="3"/>
  <c r="P171" i="4"/>
  <c r="M70" i="3" s="1"/>
  <c r="D88" i="4"/>
  <c r="D29" i="3" s="1"/>
  <c r="D86" i="5"/>
  <c r="D86" i="6" s="1"/>
  <c r="N75" i="6"/>
  <c r="P75" i="5"/>
  <c r="M75" i="6" s="1"/>
  <c r="D38" i="5"/>
  <c r="D38" i="6" s="1"/>
  <c r="D44" i="4"/>
  <c r="D205" i="3" s="1"/>
  <c r="Q10" i="4"/>
  <c r="T10" i="4" s="1"/>
  <c r="N183" i="3"/>
  <c r="P10" i="4"/>
  <c r="M183" i="3" s="1"/>
  <c r="D134" i="5"/>
  <c r="D134" i="6" s="1"/>
  <c r="D12" i="4"/>
  <c r="D167" i="3" s="1"/>
  <c r="W83" i="6"/>
  <c r="D92" i="5"/>
  <c r="D92" i="6" s="1"/>
  <c r="D52" i="4"/>
  <c r="D38" i="3" s="1"/>
  <c r="D34" i="5"/>
  <c r="D34" i="6" s="1"/>
  <c r="D150" i="4"/>
  <c r="D42" i="3" s="1"/>
  <c r="Q189" i="4"/>
  <c r="N52" i="3"/>
  <c r="P189" i="4"/>
  <c r="M52" i="3" s="1"/>
  <c r="W147" i="6"/>
  <c r="D22" i="4"/>
  <c r="D203" i="3" s="1"/>
  <c r="D22" i="5"/>
  <c r="D22" i="6" s="1"/>
  <c r="P86" i="5"/>
  <c r="M86" i="6" s="1"/>
  <c r="N86" i="6"/>
  <c r="W170" i="6"/>
  <c r="Q187" i="4"/>
  <c r="P187" i="4"/>
  <c r="M8" i="3" s="1"/>
  <c r="N8" i="3"/>
  <c r="T187" i="4"/>
  <c r="P164" i="4"/>
  <c r="M113" i="3" s="1"/>
  <c r="N113" i="3"/>
  <c r="Q142" i="5"/>
  <c r="N142" i="6"/>
  <c r="P142" i="5"/>
  <c r="M142" i="6" s="1"/>
  <c r="W79" i="6"/>
  <c r="D101" i="4"/>
  <c r="D143" i="3" s="1"/>
  <c r="D24" i="5"/>
  <c r="D24" i="6" s="1"/>
  <c r="D159" i="4"/>
  <c r="D74" i="3" s="1"/>
  <c r="D17" i="5"/>
  <c r="D17" i="6" s="1"/>
  <c r="D191" i="5"/>
  <c r="D191" i="6" s="1"/>
  <c r="D54" i="4"/>
  <c r="D125" i="3" s="1"/>
  <c r="P7" i="4"/>
  <c r="M94" i="3" s="1"/>
  <c r="N94" i="3"/>
  <c r="N99" i="3"/>
  <c r="P96" i="4"/>
  <c r="M99" i="3" s="1"/>
  <c r="P189" i="5"/>
  <c r="M189" i="6" s="1"/>
  <c r="N189" i="6"/>
  <c r="D121" i="5"/>
  <c r="D121" i="6" s="1"/>
  <c r="D204" i="4"/>
  <c r="D150" i="3" s="1"/>
  <c r="W156" i="6"/>
  <c r="N104" i="3"/>
  <c r="P18" i="4"/>
  <c r="M104" i="3" s="1"/>
  <c r="D122" i="4"/>
  <c r="D3" i="3" s="1"/>
  <c r="D52" i="5"/>
  <c r="D52" i="6" s="1"/>
  <c r="N145" i="3"/>
  <c r="P63" i="4"/>
  <c r="M145" i="3" s="1"/>
  <c r="P165" i="4"/>
  <c r="M95" i="3" s="1"/>
  <c r="N95" i="3"/>
  <c r="W124" i="6"/>
  <c r="W162" i="6"/>
  <c r="Q194" i="4"/>
  <c r="T194" i="4" s="1"/>
  <c r="P194" i="4"/>
  <c r="M121" i="3" s="1"/>
  <c r="N121" i="3"/>
  <c r="W116" i="6"/>
  <c r="P53" i="4"/>
  <c r="M133" i="3" s="1"/>
  <c r="N133" i="3"/>
  <c r="W32" i="6"/>
  <c r="D11" i="5"/>
  <c r="D11" i="6" s="1"/>
  <c r="D131" i="4"/>
  <c r="D27" i="3" s="1"/>
  <c r="N183" i="6"/>
  <c r="P183" i="5"/>
  <c r="M183" i="6" s="1"/>
  <c r="D175" i="5"/>
  <c r="D175" i="6" s="1"/>
  <c r="D145" i="4"/>
  <c r="D18" i="3" s="1"/>
  <c r="W161" i="6"/>
  <c r="P3" i="5"/>
  <c r="M3" i="6" s="1"/>
  <c r="N3" i="6"/>
  <c r="W56" i="6"/>
  <c r="D118" i="5"/>
  <c r="D118" i="6" s="1"/>
  <c r="D138" i="4"/>
  <c r="D31" i="3" s="1"/>
  <c r="W129" i="6"/>
  <c r="P143" i="4"/>
  <c r="M157" i="3" s="1"/>
  <c r="N157" i="3"/>
  <c r="Q203" i="5"/>
  <c r="P203" i="5"/>
  <c r="M203" i="6" s="1"/>
  <c r="N203" i="6"/>
  <c r="D152" i="5"/>
  <c r="D152" i="6" s="1"/>
  <c r="D169" i="4"/>
  <c r="D87" i="3" s="1"/>
  <c r="U36" i="6"/>
  <c r="D5" i="4"/>
  <c r="D130" i="3" s="1"/>
  <c r="D119" i="5"/>
  <c r="D119" i="6" s="1"/>
  <c r="W177" i="6"/>
  <c r="T177" i="5"/>
  <c r="D31" i="4"/>
  <c r="D182" i="3" s="1"/>
  <c r="D149" i="5"/>
  <c r="D149" i="6" s="1"/>
  <c r="W47" i="6"/>
  <c r="D124" i="5"/>
  <c r="D124" i="6" s="1"/>
  <c r="D157" i="4"/>
  <c r="D76" i="3" s="1"/>
  <c r="P27" i="5"/>
  <c r="M27" i="6" s="1"/>
  <c r="N27" i="6"/>
  <c r="P12" i="4"/>
  <c r="M167" i="3" s="1"/>
  <c r="N167" i="3"/>
  <c r="Q184" i="5"/>
  <c r="T184" i="5" s="1"/>
  <c r="N184" i="6"/>
  <c r="P184" i="5"/>
  <c r="M184" i="6" s="1"/>
  <c r="W84" i="6"/>
  <c r="Q201" i="4"/>
  <c r="T201" i="4" s="1"/>
  <c r="P201" i="4"/>
  <c r="M147" i="3" s="1"/>
  <c r="N147" i="3"/>
  <c r="Q144" i="5"/>
  <c r="N144" i="6"/>
  <c r="P144" i="5"/>
  <c r="M144" i="6" s="1"/>
  <c r="Q88" i="4"/>
  <c r="P88" i="4"/>
  <c r="M29" i="3" s="1"/>
  <c r="N29" i="3"/>
  <c r="Q119" i="5"/>
  <c r="P119" i="5"/>
  <c r="M119" i="6" s="1"/>
  <c r="N119" i="6"/>
  <c r="D111" i="5"/>
  <c r="D111" i="6" s="1"/>
  <c r="D95" i="4"/>
  <c r="D169" i="3" s="1"/>
  <c r="P165" i="5"/>
  <c r="M165" i="6" s="1"/>
  <c r="N165" i="6"/>
  <c r="W54" i="6"/>
  <c r="P176" i="5"/>
  <c r="M176" i="6" s="1"/>
  <c r="N176" i="6"/>
  <c r="N74" i="6"/>
  <c r="P74" i="5"/>
  <c r="M74" i="6" s="1"/>
  <c r="Q60" i="4"/>
  <c r="T60" i="4" s="1"/>
  <c r="P60" i="4"/>
  <c r="M200" i="3" s="1"/>
  <c r="N200" i="3"/>
  <c r="Q81" i="5"/>
  <c r="T81" i="5" s="1"/>
  <c r="N81" i="6"/>
  <c r="P81" i="5"/>
  <c r="M81" i="6" s="1"/>
  <c r="W197" i="6"/>
  <c r="T197" i="5"/>
  <c r="P66" i="4"/>
  <c r="M193" i="3" s="1"/>
  <c r="N193" i="3"/>
  <c r="T66" i="4"/>
  <c r="D108" i="5"/>
  <c r="D108" i="6" s="1"/>
  <c r="D110" i="4"/>
  <c r="D120" i="3" s="1"/>
  <c r="Q98" i="4"/>
  <c r="N100" i="3"/>
  <c r="P98" i="4"/>
  <c r="M100" i="3" s="1"/>
  <c r="G3" i="4"/>
  <c r="D5" i="11"/>
  <c r="Q27" i="4"/>
  <c r="P27" i="4"/>
  <c r="M123" i="3" s="1"/>
  <c r="N123" i="3"/>
  <c r="N160" i="3"/>
  <c r="P14" i="4"/>
  <c r="M160" i="3" s="1"/>
  <c r="N70" i="6"/>
  <c r="P70" i="5"/>
  <c r="M70" i="6" s="1"/>
  <c r="Q43" i="5"/>
  <c r="T43" i="5" s="1"/>
  <c r="N43" i="6"/>
  <c r="P43" i="5"/>
  <c r="M43" i="6" s="1"/>
  <c r="W78" i="6"/>
  <c r="N131" i="3"/>
  <c r="P30" i="4"/>
  <c r="M131" i="3" s="1"/>
  <c r="T30" i="4"/>
  <c r="W76" i="6"/>
  <c r="T76" i="5"/>
  <c r="N138" i="6"/>
  <c r="P138" i="5"/>
  <c r="M138" i="6" s="1"/>
  <c r="D78" i="4"/>
  <c r="D114" i="3" s="1"/>
  <c r="D30" i="5"/>
  <c r="D30" i="6" s="1"/>
  <c r="N201" i="6"/>
  <c r="P201" i="5"/>
  <c r="M201" i="6" s="1"/>
  <c r="N53" i="3"/>
  <c r="P86" i="4"/>
  <c r="M53" i="3" s="1"/>
  <c r="T86" i="4"/>
  <c r="D162" i="5"/>
  <c r="D162" i="6" s="1"/>
  <c r="D90" i="4"/>
  <c r="D36" i="3" s="1"/>
  <c r="P130" i="5"/>
  <c r="M130" i="6" s="1"/>
  <c r="N130" i="6"/>
  <c r="N4" i="3"/>
  <c r="P180" i="4"/>
  <c r="M4" i="3" s="1"/>
  <c r="D72" i="5"/>
  <c r="D72" i="6" s="1"/>
  <c r="D149" i="4"/>
  <c r="D73" i="3" s="1"/>
  <c r="Q16" i="5"/>
  <c r="P16" i="5"/>
  <c r="M16" i="6" s="1"/>
  <c r="N16" i="6"/>
  <c r="D68" i="4"/>
  <c r="D148" i="3" s="1"/>
  <c r="D18" i="5"/>
  <c r="D18" i="6" s="1"/>
  <c r="W98" i="6"/>
  <c r="D203" i="4"/>
  <c r="D117" i="3" s="1"/>
  <c r="D180" i="5"/>
  <c r="D180" i="6" s="1"/>
  <c r="D64" i="5"/>
  <c r="D64" i="6" s="1"/>
  <c r="D97" i="4"/>
  <c r="D35" i="3" s="1"/>
  <c r="Q180" i="5"/>
  <c r="P180" i="5"/>
  <c r="M180" i="6" s="1"/>
  <c r="N180" i="6"/>
  <c r="W50" i="6"/>
  <c r="W94" i="6"/>
  <c r="D45" i="4"/>
  <c r="D172" i="3" s="1"/>
  <c r="D94" i="5"/>
  <c r="D94" i="6" s="1"/>
  <c r="D130" i="5"/>
  <c r="D130" i="6" s="1"/>
  <c r="D87" i="4"/>
  <c r="D96" i="3" s="1"/>
  <c r="N135" i="3"/>
  <c r="P17" i="4"/>
  <c r="M135" i="3" s="1"/>
  <c r="W82" i="6"/>
  <c r="W166" i="6"/>
  <c r="D160" i="5"/>
  <c r="D160" i="6" s="1"/>
  <c r="D13" i="4"/>
  <c r="D158" i="3" s="1"/>
  <c r="Q205" i="5"/>
  <c r="N205" i="6"/>
  <c r="P205" i="5"/>
  <c r="M205" i="6" s="1"/>
  <c r="P21" i="5"/>
  <c r="M21" i="6" s="1"/>
  <c r="N21" i="6"/>
  <c r="Q190" i="5"/>
  <c r="N190" i="6"/>
  <c r="P190" i="5"/>
  <c r="M190" i="6" s="1"/>
  <c r="W103" i="6"/>
  <c r="T103" i="5"/>
  <c r="W40" i="6"/>
  <c r="P85" i="4"/>
  <c r="M47" i="3" s="1"/>
  <c r="N47" i="3"/>
  <c r="N88" i="3"/>
  <c r="P172" i="4"/>
  <c r="M88" i="3" s="1"/>
  <c r="P170" i="5"/>
  <c r="M170" i="6" s="1"/>
  <c r="N170" i="6"/>
  <c r="Q166" i="4"/>
  <c r="T166" i="4" s="1"/>
  <c r="P166" i="4"/>
  <c r="M82" i="3" s="1"/>
  <c r="N82" i="3"/>
  <c r="N145" i="6"/>
  <c r="P145" i="5"/>
  <c r="M145" i="6" s="1"/>
  <c r="W26" i="6"/>
  <c r="D84" i="4"/>
  <c r="D59" i="3" s="1"/>
  <c r="D100" i="5"/>
  <c r="D100" i="6" s="1"/>
  <c r="Q41" i="4"/>
  <c r="P41" i="4"/>
  <c r="M48" i="3" s="1"/>
  <c r="N48" i="3"/>
  <c r="P151" i="4"/>
  <c r="M19" i="3" s="1"/>
  <c r="N19" i="3"/>
  <c r="Q127" i="4"/>
  <c r="P127" i="4"/>
  <c r="M127" i="3" s="1"/>
  <c r="N127" i="3"/>
  <c r="D100" i="4"/>
  <c r="D56" i="3" s="1"/>
  <c r="D126" i="5"/>
  <c r="D126" i="6" s="1"/>
  <c r="Q89" i="5"/>
  <c r="P89" i="5"/>
  <c r="M89" i="6" s="1"/>
  <c r="N89" i="6"/>
  <c r="P149" i="5"/>
  <c r="M149" i="6" s="1"/>
  <c r="N149" i="6"/>
  <c r="D89" i="5"/>
  <c r="D89" i="6" s="1"/>
  <c r="D58" i="4"/>
  <c r="D37" i="3" s="1"/>
  <c r="D71" i="5"/>
  <c r="D71" i="6" s="1"/>
  <c r="D120" i="4"/>
  <c r="D44" i="3" s="1"/>
  <c r="Q194" i="5"/>
  <c r="N194" i="6"/>
  <c r="P194" i="5"/>
  <c r="M194" i="6" s="1"/>
  <c r="N144" i="3"/>
  <c r="P102" i="4"/>
  <c r="M144" i="3" s="1"/>
  <c r="D101" i="5"/>
  <c r="D101" i="6" s="1"/>
  <c r="D75" i="4"/>
  <c r="D17" i="3" s="1"/>
  <c r="W178" i="6"/>
  <c r="W115" i="6"/>
  <c r="T115" i="5"/>
  <c r="D29" i="5"/>
  <c r="D29" i="6" s="1"/>
  <c r="D96" i="4"/>
  <c r="D99" i="3" s="1"/>
  <c r="N37" i="3"/>
  <c r="P58" i="4"/>
  <c r="M37" i="3" s="1"/>
  <c r="D170" i="5"/>
  <c r="D170" i="6" s="1"/>
  <c r="D144" i="4"/>
  <c r="D65" i="3" s="1"/>
  <c r="W153" i="6"/>
  <c r="D4" i="5"/>
  <c r="D4" i="6" s="1"/>
  <c r="D181" i="4"/>
  <c r="D5" i="3" s="1"/>
  <c r="D14" i="4"/>
  <c r="D160" i="3" s="1"/>
  <c r="D79" i="5"/>
  <c r="D79" i="6" s="1"/>
  <c r="D128" i="5"/>
  <c r="D128" i="6" s="1"/>
  <c r="D9" i="4"/>
  <c r="D16" i="3" s="1"/>
  <c r="Q159" i="5"/>
  <c r="N159" i="6"/>
  <c r="P159" i="5"/>
  <c r="M159" i="6" s="1"/>
  <c r="N74" i="3"/>
  <c r="P159" i="4"/>
  <c r="M74" i="3" s="1"/>
  <c r="Q62" i="4"/>
  <c r="N141" i="3"/>
  <c r="P62" i="4"/>
  <c r="M141" i="3" s="1"/>
  <c r="T62" i="4"/>
  <c r="P109" i="5"/>
  <c r="M109" i="6" s="1"/>
  <c r="N109" i="6"/>
  <c r="W164" i="6"/>
  <c r="Q162" i="4"/>
  <c r="P162" i="4"/>
  <c r="M181" i="3" s="1"/>
  <c r="N181" i="3"/>
  <c r="Q107" i="4"/>
  <c r="P107" i="4"/>
  <c r="M115" i="3" s="1"/>
  <c r="N115" i="3"/>
  <c r="D171" i="5"/>
  <c r="D171" i="6" s="1"/>
  <c r="D42" i="4"/>
  <c r="D60" i="3" s="1"/>
  <c r="W112" i="6"/>
  <c r="W45" i="6"/>
  <c r="N178" i="6"/>
  <c r="P178" i="5"/>
  <c r="M178" i="6" s="1"/>
  <c r="W7" i="6"/>
  <c r="P29" i="5"/>
  <c r="M29" i="6" s="1"/>
  <c r="N29" i="6"/>
  <c r="P6" i="4"/>
  <c r="M55" i="3" s="1"/>
  <c r="N55" i="3"/>
  <c r="W49" i="6"/>
  <c r="Q23" i="4"/>
  <c r="N10" i="3"/>
  <c r="P23" i="4"/>
  <c r="M10" i="3" s="1"/>
  <c r="D165" i="4"/>
  <c r="D95" i="3" s="1"/>
  <c r="D82" i="5"/>
  <c r="D82" i="6" s="1"/>
  <c r="Q111" i="4"/>
  <c r="N51" i="3"/>
  <c r="P111" i="4"/>
  <c r="M51" i="3" s="1"/>
  <c r="N51" i="6"/>
  <c r="P51" i="5"/>
  <c r="M51" i="6" s="1"/>
  <c r="D61" i="5"/>
  <c r="D61" i="6" s="1"/>
  <c r="D123" i="4"/>
  <c r="D89" i="3" s="1"/>
  <c r="W118" i="6"/>
  <c r="N135" i="6"/>
  <c r="P135" i="5"/>
  <c r="M135" i="6" s="1"/>
  <c r="W93" i="6"/>
  <c r="T93" i="5"/>
  <c r="Q115" i="4"/>
  <c r="N137" i="3"/>
  <c r="P115" i="4"/>
  <c r="M137" i="3" s="1"/>
  <c r="D173" i="5"/>
  <c r="D173" i="6" s="1"/>
  <c r="D140" i="4"/>
  <c r="D92" i="3" s="1"/>
  <c r="D191" i="4"/>
  <c r="D68" i="3" s="1"/>
  <c r="D206" i="5"/>
  <c r="D206" i="6" s="1"/>
  <c r="D94" i="4"/>
  <c r="D108" i="3" s="1"/>
  <c r="D3" i="5"/>
  <c r="D3" i="6" s="1"/>
  <c r="Q23" i="5"/>
  <c r="N23" i="6"/>
  <c r="P23" i="5"/>
  <c r="M23" i="6" s="1"/>
  <c r="P156" i="5"/>
  <c r="M156" i="6" s="1"/>
  <c r="N156" i="6"/>
  <c r="P200" i="4"/>
  <c r="M199" i="3" s="1"/>
  <c r="N199" i="3"/>
  <c r="D61" i="4"/>
  <c r="D139" i="3" s="1"/>
  <c r="D65" i="5"/>
  <c r="D65" i="6" s="1"/>
  <c r="D31" i="5"/>
  <c r="D31" i="6" s="1"/>
  <c r="D89" i="4"/>
  <c r="D189" i="3" s="1"/>
  <c r="Q20" i="5"/>
  <c r="N20" i="6"/>
  <c r="P20" i="5"/>
  <c r="M20" i="6" s="1"/>
  <c r="W132" i="6"/>
  <c r="Q87" i="4"/>
  <c r="N96" i="3"/>
  <c r="P87" i="4"/>
  <c r="M96" i="3" s="1"/>
  <c r="W81" i="6"/>
  <c r="N128" i="6"/>
  <c r="P128" i="5"/>
  <c r="M128" i="6" s="1"/>
  <c r="N17" i="6"/>
  <c r="P17" i="5"/>
  <c r="M17" i="6" s="1"/>
  <c r="W176" i="6"/>
  <c r="T176" i="5"/>
  <c r="P59" i="4"/>
  <c r="M140" i="3" s="1"/>
  <c r="N140" i="3"/>
  <c r="Q198" i="4"/>
  <c r="N195" i="3"/>
  <c r="P198" i="4"/>
  <c r="M195" i="3" s="1"/>
  <c r="D77" i="4"/>
  <c r="D204" i="3" s="1"/>
  <c r="D197" i="5"/>
  <c r="D197" i="6" s="1"/>
  <c r="P53" i="5"/>
  <c r="M53" i="6" s="1"/>
  <c r="N53" i="6"/>
  <c r="D125" i="4"/>
  <c r="D136" i="3" s="1"/>
  <c r="D58" i="5"/>
  <c r="D58" i="6" s="1"/>
  <c r="D39" i="4"/>
  <c r="D142" i="3" s="1"/>
  <c r="D176" i="5"/>
  <c r="D176" i="6" s="1"/>
  <c r="W8" i="6"/>
  <c r="W58" i="6"/>
  <c r="Q50" i="4"/>
  <c r="T50" i="4" s="1"/>
  <c r="N45" i="3"/>
  <c r="P50" i="4"/>
  <c r="M45" i="3" s="1"/>
  <c r="D161" i="5"/>
  <c r="D161" i="6" s="1"/>
  <c r="D196" i="4"/>
  <c r="D156" i="3" s="1"/>
  <c r="P113" i="5"/>
  <c r="M113" i="6" s="1"/>
  <c r="N113" i="6"/>
  <c r="P172" i="5"/>
  <c r="M172" i="6" s="1"/>
  <c r="N172" i="6"/>
  <c r="D83" i="5"/>
  <c r="D83" i="6" s="1"/>
  <c r="D201" i="4"/>
  <c r="D147" i="3" s="1"/>
  <c r="P89" i="4"/>
  <c r="M189" i="3" s="1"/>
  <c r="N189" i="3"/>
  <c r="N84" i="6"/>
  <c r="P84" i="5"/>
  <c r="M84" i="6" s="1"/>
  <c r="D168" i="4"/>
  <c r="D198" i="3" s="1"/>
  <c r="D75" i="5"/>
  <c r="D75" i="6" s="1"/>
  <c r="W117" i="6"/>
  <c r="Q150" i="4"/>
  <c r="P150" i="4"/>
  <c r="M42" i="3" s="1"/>
  <c r="N42" i="3"/>
  <c r="Q9" i="5"/>
  <c r="N9" i="6"/>
  <c r="P9" i="5"/>
  <c r="M9" i="6" s="1"/>
  <c r="D131" i="5"/>
  <c r="D131" i="6" s="1"/>
  <c r="D151" i="4"/>
  <c r="D19" i="3" s="1"/>
  <c r="Q38" i="5"/>
  <c r="N38" i="6"/>
  <c r="P38" i="5"/>
  <c r="M38" i="6" s="1"/>
  <c r="D156" i="5"/>
  <c r="D156" i="6" s="1"/>
  <c r="D135" i="4"/>
  <c r="D155" i="3" s="1"/>
  <c r="Q163" i="4"/>
  <c r="T163" i="4" s="1"/>
  <c r="N122" i="3"/>
  <c r="P163" i="4"/>
  <c r="M122" i="3" s="1"/>
  <c r="Q105" i="5"/>
  <c r="N105" i="6"/>
  <c r="P105" i="5"/>
  <c r="M105" i="6" s="1"/>
  <c r="Q96" i="5"/>
  <c r="T96" i="5" s="1"/>
  <c r="P96" i="5"/>
  <c r="M96" i="6" s="1"/>
  <c r="N96" i="6"/>
  <c r="P98" i="5"/>
  <c r="M98" i="6" s="1"/>
  <c r="N98" i="6"/>
  <c r="W62" i="6"/>
  <c r="Q116" i="5"/>
  <c r="P116" i="5"/>
  <c r="M116" i="6" s="1"/>
  <c r="N116" i="6"/>
  <c r="Q34" i="5"/>
  <c r="N34" i="6"/>
  <c r="P34" i="5"/>
  <c r="M34" i="6" s="1"/>
  <c r="N163" i="6"/>
  <c r="P163" i="5"/>
  <c r="M163" i="6" s="1"/>
  <c r="P138" i="4"/>
  <c r="M31" i="3" s="1"/>
  <c r="N31" i="3"/>
  <c r="Q103" i="4"/>
  <c r="P103" i="4"/>
  <c r="M24" i="3" s="1"/>
  <c r="N24" i="3"/>
  <c r="Q141" i="5"/>
  <c r="N141" i="6"/>
  <c r="P141" i="5"/>
  <c r="M141" i="6" s="1"/>
  <c r="W70" i="6"/>
  <c r="T70" i="5"/>
  <c r="P37" i="4"/>
  <c r="M168" i="3" s="1"/>
  <c r="N168" i="3"/>
  <c r="N204" i="3"/>
  <c r="P77" i="4"/>
  <c r="M204" i="3" s="1"/>
  <c r="W108" i="6"/>
  <c r="P147" i="4"/>
  <c r="M174" i="3" s="1"/>
  <c r="N174" i="3"/>
  <c r="Q132" i="5"/>
  <c r="P132" i="5"/>
  <c r="M132" i="6" s="1"/>
  <c r="N132" i="6"/>
  <c r="D99" i="5"/>
  <c r="D99" i="6" s="1"/>
  <c r="D26" i="4"/>
  <c r="D151" i="3" s="1"/>
  <c r="D129" i="4"/>
  <c r="D72" i="3" s="1"/>
  <c r="D46" i="5"/>
  <c r="D46" i="6" s="1"/>
  <c r="N62" i="6"/>
  <c r="P62" i="5"/>
  <c r="M62" i="6" s="1"/>
  <c r="Q38" i="4"/>
  <c r="T38" i="4" s="1"/>
  <c r="P38" i="4"/>
  <c r="M109" i="3" s="1"/>
  <c r="N109" i="3"/>
  <c r="Q67" i="5"/>
  <c r="P67" i="5"/>
  <c r="M67" i="6" s="1"/>
  <c r="N67" i="6"/>
  <c r="D65" i="4"/>
  <c r="D146" i="3" s="1"/>
  <c r="D55" i="5"/>
  <c r="D55" i="6" s="1"/>
  <c r="P157" i="5"/>
  <c r="M157" i="6" s="1"/>
  <c r="N157" i="6"/>
  <c r="D23" i="5"/>
  <c r="D23" i="6" s="1"/>
  <c r="D190" i="4"/>
  <c r="D132" i="3" s="1"/>
  <c r="D57" i="4"/>
  <c r="D173" i="3" s="1"/>
  <c r="D158" i="5"/>
  <c r="D158" i="6" s="1"/>
  <c r="D204" i="5"/>
  <c r="D204" i="6" s="1"/>
  <c r="D49" i="4"/>
  <c r="D188" i="3" s="1"/>
  <c r="D193" i="5"/>
  <c r="D193" i="6" s="1"/>
  <c r="D16" i="4"/>
  <c r="D184" i="3" s="1"/>
  <c r="N22" i="6"/>
  <c r="P22" i="5"/>
  <c r="M22" i="6" s="1"/>
  <c r="D141" i="5"/>
  <c r="D141" i="6" s="1"/>
  <c r="D147" i="4"/>
  <c r="D174" i="3" s="1"/>
  <c r="Q44" i="4"/>
  <c r="P44" i="4"/>
  <c r="M205" i="3" s="1"/>
  <c r="N205" i="3"/>
  <c r="T44" i="4"/>
  <c r="P83" i="4"/>
  <c r="M84" i="3" s="1"/>
  <c r="N84" i="3"/>
  <c r="P161" i="4"/>
  <c r="M154" i="3" s="1"/>
  <c r="N154" i="3"/>
  <c r="T161" i="4"/>
  <c r="D28" i="4"/>
  <c r="D46" i="3" s="1"/>
  <c r="D60" i="5"/>
  <c r="D60" i="6" s="1"/>
  <c r="N128" i="3"/>
  <c r="P56" i="4"/>
  <c r="M128" i="3" s="1"/>
  <c r="N131" i="6"/>
  <c r="P131" i="5"/>
  <c r="M131" i="6" s="1"/>
  <c r="Q195" i="5"/>
  <c r="T195" i="5" s="1"/>
  <c r="P195" i="5"/>
  <c r="M195" i="6" s="1"/>
  <c r="N195" i="6"/>
  <c r="N16" i="3"/>
  <c r="P9" i="4"/>
  <c r="M16" i="3" s="1"/>
  <c r="T9" i="4"/>
  <c r="Q136" i="4"/>
  <c r="T136" i="4" s="1"/>
  <c r="N190" i="3"/>
  <c r="P136" i="4"/>
  <c r="M190" i="3" s="1"/>
  <c r="D107" i="5"/>
  <c r="D107" i="6" s="1"/>
  <c r="D21" i="4"/>
  <c r="D90" i="3" s="1"/>
  <c r="Q19" i="5"/>
  <c r="T19" i="5" s="1"/>
  <c r="P19" i="5"/>
  <c r="M19" i="6" s="1"/>
  <c r="N19" i="6"/>
  <c r="D173" i="4"/>
  <c r="D32" i="3" s="1"/>
  <c r="D56" i="5"/>
  <c r="D56" i="6" s="1"/>
  <c r="Q41" i="5"/>
  <c r="T41" i="5" s="1"/>
  <c r="P41" i="5"/>
  <c r="M41" i="6" s="1"/>
  <c r="N41" i="6"/>
  <c r="D187" i="4"/>
  <c r="D8" i="3" s="1"/>
  <c r="D81" i="5"/>
  <c r="D81" i="6" s="1"/>
  <c r="W28" i="6"/>
  <c r="T28" i="5"/>
  <c r="P3" i="4"/>
  <c r="M179" i="3" s="1"/>
  <c r="N179" i="3"/>
  <c r="W66" i="6"/>
  <c r="P140" i="4"/>
  <c r="M92" i="3" s="1"/>
  <c r="N92" i="3"/>
  <c r="Q39" i="5"/>
  <c r="N39" i="6"/>
  <c r="P39" i="5"/>
  <c r="M39" i="6" s="1"/>
  <c r="W190" i="6"/>
  <c r="P57" i="5"/>
  <c r="M57" i="6" s="1"/>
  <c r="N57" i="6"/>
  <c r="W41" i="6"/>
  <c r="W169" i="6"/>
  <c r="D162" i="4"/>
  <c r="D181" i="3" s="1"/>
  <c r="D188" i="5"/>
  <c r="D188" i="6" s="1"/>
  <c r="N111" i="6"/>
  <c r="P111" i="5"/>
  <c r="M111" i="6" s="1"/>
  <c r="Q120" i="4"/>
  <c r="T120" i="4" s="1"/>
  <c r="N44" i="3"/>
  <c r="P120" i="4"/>
  <c r="M44" i="3" s="1"/>
  <c r="P182" i="4"/>
  <c r="M134" i="3" s="1"/>
  <c r="N134" i="3"/>
  <c r="Q130" i="4"/>
  <c r="N54" i="3"/>
  <c r="P130" i="4"/>
  <c r="M54" i="3" s="1"/>
  <c r="T130" i="4"/>
  <c r="W22" i="6"/>
  <c r="T22" i="5"/>
  <c r="W12" i="6"/>
  <c r="W33" i="6"/>
  <c r="T33" i="5"/>
  <c r="D102" i="5"/>
  <c r="D102" i="6" s="1"/>
  <c r="D74" i="4"/>
  <c r="D39" i="3" s="1"/>
  <c r="N188" i="6"/>
  <c r="P188" i="5"/>
  <c r="M188" i="6" s="1"/>
  <c r="Q4" i="4"/>
  <c r="N13" i="3"/>
  <c r="P4" i="4"/>
  <c r="M13" i="3" s="1"/>
  <c r="D117" i="4"/>
  <c r="D85" i="3" s="1"/>
  <c r="D96" i="5"/>
  <c r="D96" i="6" s="1"/>
  <c r="W119" i="6"/>
  <c r="T119" i="5"/>
  <c r="Q161" i="5"/>
  <c r="T161" i="5" s="1"/>
  <c r="N161" i="6"/>
  <c r="P161" i="5"/>
  <c r="M161" i="6" s="1"/>
  <c r="Q48" i="5"/>
  <c r="P48" i="5"/>
  <c r="M48" i="6" s="1"/>
  <c r="N48" i="6"/>
  <c r="N3" i="3"/>
  <c r="P122" i="4"/>
  <c r="M3" i="3" s="1"/>
  <c r="P186" i="5"/>
  <c r="M186" i="6" s="1"/>
  <c r="N186" i="6"/>
  <c r="Q25" i="5"/>
  <c r="T25" i="5" s="1"/>
  <c r="N25" i="6"/>
  <c r="P25" i="5"/>
  <c r="M25" i="6" s="1"/>
  <c r="D97" i="5"/>
  <c r="D97" i="6" s="1"/>
  <c r="D134" i="4"/>
  <c r="D119" i="3" s="1"/>
  <c r="W114" i="6"/>
  <c r="T114" i="5"/>
  <c r="P124" i="4"/>
  <c r="M23" i="3" s="1"/>
  <c r="N23" i="3"/>
  <c r="D145" i="5"/>
  <c r="D145" i="6" s="1"/>
  <c r="D167" i="4"/>
  <c r="D106" i="3" s="1"/>
  <c r="W71" i="6"/>
  <c r="T71" i="5"/>
  <c r="Q206" i="4"/>
  <c r="N86" i="3"/>
  <c r="P206" i="4"/>
  <c r="M86" i="3" s="1"/>
  <c r="P198" i="5"/>
  <c r="M198" i="6" s="1"/>
  <c r="N198" i="6"/>
  <c r="N49" i="3"/>
  <c r="P186" i="4"/>
  <c r="M49" i="3" s="1"/>
  <c r="W194" i="6"/>
  <c r="T194" i="5"/>
  <c r="W61" i="6"/>
  <c r="N175" i="3"/>
  <c r="P24" i="4"/>
  <c r="M175" i="3" s="1"/>
  <c r="D10" i="4"/>
  <c r="D183" i="3" s="1"/>
  <c r="D153" i="5"/>
  <c r="D153" i="6" s="1"/>
  <c r="N136" i="6"/>
  <c r="P136" i="5"/>
  <c r="M136" i="6" s="1"/>
  <c r="P7" i="5"/>
  <c r="M7" i="6" s="1"/>
  <c r="N7" i="6"/>
  <c r="N68" i="3"/>
  <c r="P191" i="4"/>
  <c r="M68" i="3" s="1"/>
  <c r="W155" i="6"/>
  <c r="T155" i="5"/>
  <c r="Q43" i="4"/>
  <c r="T43" i="4" s="1"/>
  <c r="P43" i="4"/>
  <c r="M126" i="3" s="1"/>
  <c r="N126" i="3"/>
  <c r="N182" i="3"/>
  <c r="P31" i="4"/>
  <c r="M182" i="3" s="1"/>
  <c r="T31" i="4"/>
  <c r="N180" i="3"/>
  <c r="P106" i="4"/>
  <c r="M180" i="3" s="1"/>
  <c r="D127" i="4"/>
  <c r="D127" i="3" s="1"/>
  <c r="D45" i="5"/>
  <c r="D45" i="6" s="1"/>
  <c r="D143" i="5"/>
  <c r="D143" i="6" s="1"/>
  <c r="D188" i="4"/>
  <c r="D21" i="3" s="1"/>
  <c r="P135" i="4"/>
  <c r="M155" i="3" s="1"/>
  <c r="N155" i="3"/>
  <c r="T135" i="4"/>
  <c r="D120" i="5"/>
  <c r="D120" i="6" s="1"/>
  <c r="D113" i="4"/>
  <c r="D57" i="3" s="1"/>
  <c r="N176" i="3"/>
  <c r="P126" i="4"/>
  <c r="M176" i="3" s="1"/>
  <c r="T126" i="4"/>
  <c r="W182" i="6"/>
  <c r="Q140" i="5"/>
  <c r="P140" i="5"/>
  <c r="M140" i="6" s="1"/>
  <c r="N140" i="6"/>
  <c r="Q42" i="4"/>
  <c r="P42" i="4"/>
  <c r="M60" i="3" s="1"/>
  <c r="N60" i="3"/>
  <c r="W109" i="6"/>
  <c r="T109" i="5"/>
  <c r="Q167" i="4"/>
  <c r="T167" i="4" s="1"/>
  <c r="N106" i="3"/>
  <c r="P167" i="4"/>
  <c r="M106" i="3" s="1"/>
  <c r="W97" i="6"/>
  <c r="N97" i="3"/>
  <c r="P46" i="4"/>
  <c r="M97" i="3" s="1"/>
  <c r="P82" i="5"/>
  <c r="M82" i="6" s="1"/>
  <c r="N82" i="6"/>
  <c r="Q173" i="5"/>
  <c r="N173" i="6"/>
  <c r="P173" i="5"/>
  <c r="M173" i="6" s="1"/>
  <c r="P137" i="4"/>
  <c r="M64" i="3" s="1"/>
  <c r="N64" i="3"/>
  <c r="D151" i="5"/>
  <c r="D151" i="6" s="1"/>
  <c r="D166" i="4"/>
  <c r="D82" i="3" s="1"/>
  <c r="D109" i="4"/>
  <c r="D159" i="3" s="1"/>
  <c r="D28" i="5"/>
  <c r="D28" i="6" s="1"/>
  <c r="W123" i="6"/>
  <c r="P137" i="5"/>
  <c r="M137" i="6" s="1"/>
  <c r="N137" i="6"/>
  <c r="Q28" i="4"/>
  <c r="T28" i="4" s="1"/>
  <c r="N46" i="3"/>
  <c r="P28" i="4"/>
  <c r="M46" i="3" s="1"/>
  <c r="D50" i="5"/>
  <c r="D50" i="6" s="1"/>
  <c r="D111" i="4"/>
  <c r="D51" i="3" s="1"/>
  <c r="P142" i="4"/>
  <c r="M14" i="3" s="1"/>
  <c r="N14" i="3"/>
  <c r="W131" i="6"/>
  <c r="D55" i="4"/>
  <c r="D105" i="3" s="1"/>
  <c r="D179" i="5"/>
  <c r="D179" i="6" s="1"/>
  <c r="D117" i="5"/>
  <c r="D117" i="6" s="1"/>
  <c r="D200" i="4"/>
  <c r="D199" i="3" s="1"/>
  <c r="D205" i="5"/>
  <c r="D205" i="6" s="1"/>
  <c r="D161" i="4"/>
  <c r="D154" i="3" s="1"/>
  <c r="D115" i="5"/>
  <c r="D115" i="6" s="1"/>
  <c r="D154" i="4"/>
  <c r="D9" i="3" s="1"/>
  <c r="N143" i="6"/>
  <c r="P143" i="5"/>
  <c r="M143" i="6" s="1"/>
  <c r="D177" i="4"/>
  <c r="D91" i="3" s="1"/>
  <c r="D43" i="5"/>
  <c r="D43" i="6" s="1"/>
  <c r="P177" i="4"/>
  <c r="M91" i="3" s="1"/>
  <c r="N91" i="3"/>
  <c r="Q6" i="5"/>
  <c r="N6" i="6"/>
  <c r="P6" i="5"/>
  <c r="M6" i="6" s="1"/>
  <c r="N117" i="3"/>
  <c r="P203" i="4"/>
  <c r="M117" i="3" s="1"/>
  <c r="P49" i="4"/>
  <c r="M188" i="3" s="1"/>
  <c r="N188" i="3"/>
  <c r="W39" i="6"/>
  <c r="D59" i="5"/>
  <c r="D59" i="6" s="1"/>
  <c r="D112" i="4"/>
  <c r="D163" i="3" s="1"/>
  <c r="N164" i="6"/>
  <c r="P164" i="5"/>
  <c r="M164" i="6" s="1"/>
  <c r="P175" i="5"/>
  <c r="M175" i="6" s="1"/>
  <c r="N175" i="6"/>
  <c r="Q129" i="5"/>
  <c r="P129" i="5"/>
  <c r="M129" i="6" s="1"/>
  <c r="N129" i="6"/>
  <c r="Q61" i="4"/>
  <c r="P61" i="4"/>
  <c r="M139" i="3" s="1"/>
  <c r="N139" i="3"/>
  <c r="Q173" i="4"/>
  <c r="P173" i="4"/>
  <c r="M32" i="3" s="1"/>
  <c r="N32" i="3"/>
  <c r="W42" i="6"/>
  <c r="T42" i="5"/>
  <c r="D77" i="5"/>
  <c r="D77" i="6" s="1"/>
  <c r="D19" i="4"/>
  <c r="D197" i="3" s="1"/>
  <c r="Q13" i="5"/>
  <c r="N13" i="6"/>
  <c r="P13" i="5"/>
  <c r="M13" i="6" s="1"/>
  <c r="D87" i="5"/>
  <c r="D87" i="6" s="1"/>
  <c r="D130" i="4"/>
  <c r="D54" i="3" s="1"/>
  <c r="Q15" i="4"/>
  <c r="T15" i="4" s="1"/>
  <c r="P15" i="4"/>
  <c r="M75" i="3" s="1"/>
  <c r="N75" i="3"/>
  <c r="N87" i="6"/>
  <c r="P87" i="5"/>
  <c r="M87" i="6" s="1"/>
  <c r="P69" i="4"/>
  <c r="M98" i="3" s="1"/>
  <c r="N98" i="3"/>
  <c r="Q117" i="5"/>
  <c r="T117" i="5" s="1"/>
  <c r="N117" i="6"/>
  <c r="P117" i="5"/>
  <c r="M117" i="6" s="1"/>
  <c r="W18" i="6"/>
  <c r="T18" i="5"/>
  <c r="Q104" i="4"/>
  <c r="N112" i="3"/>
  <c r="P104" i="4"/>
  <c r="M112" i="3" s="1"/>
  <c r="P190" i="4"/>
  <c r="M132" i="3" s="1"/>
  <c r="N132" i="3"/>
  <c r="W88" i="6"/>
  <c r="D66" i="5"/>
  <c r="D66" i="6" s="1"/>
  <c r="D47" i="4"/>
  <c r="D138" i="3" s="1"/>
  <c r="W90" i="6"/>
  <c r="D105" i="5"/>
  <c r="D105" i="6" s="1"/>
  <c r="D18" i="4"/>
  <c r="D104" i="3" s="1"/>
  <c r="Q112" i="4"/>
  <c r="N163" i="3"/>
  <c r="P112" i="4"/>
  <c r="M163" i="3" s="1"/>
  <c r="W102" i="6"/>
  <c r="T102" i="5"/>
  <c r="P170" i="4"/>
  <c r="M30" i="3" s="1"/>
  <c r="N30" i="3"/>
  <c r="P118" i="5"/>
  <c r="M118" i="6" s="1"/>
  <c r="N118" i="6"/>
  <c r="W189" i="6"/>
  <c r="T189" i="5"/>
  <c r="N118" i="3"/>
  <c r="P79" i="4"/>
  <c r="M118" i="3" s="1"/>
  <c r="T79" i="4"/>
  <c r="P67" i="4"/>
  <c r="M194" i="3" s="1"/>
  <c r="N194" i="3"/>
  <c r="T67" i="4"/>
  <c r="Q151" i="5"/>
  <c r="N151" i="6"/>
  <c r="P151" i="5"/>
  <c r="M151" i="6" s="1"/>
  <c r="D169" i="5"/>
  <c r="D169" i="6" s="1"/>
  <c r="D184" i="4"/>
  <c r="D22" i="3" s="1"/>
  <c r="W80" i="6"/>
  <c r="T108" i="4"/>
  <c r="N101" i="3"/>
  <c r="P108" i="4"/>
  <c r="M101" i="3" s="1"/>
  <c r="D11" i="4"/>
  <c r="D171" i="3" s="1"/>
  <c r="D44" i="5"/>
  <c r="D44" i="6" s="1"/>
  <c r="W126" i="6"/>
  <c r="D53" i="4"/>
  <c r="D133" i="3" s="1"/>
  <c r="D201" i="5"/>
  <c r="D201" i="6" s="1"/>
  <c r="W51" i="6"/>
  <c r="T51" i="5"/>
  <c r="D153" i="4"/>
  <c r="D79" i="3" s="1"/>
  <c r="D133" i="5"/>
  <c r="D133" i="6" s="1"/>
  <c r="D15" i="4"/>
  <c r="D75" i="3" s="1"/>
  <c r="D203" i="5"/>
  <c r="D203" i="6" s="1"/>
  <c r="Q184" i="4"/>
  <c r="P184" i="4"/>
  <c r="M22" i="3" s="1"/>
  <c r="N22" i="3"/>
  <c r="D24" i="4"/>
  <c r="D175" i="3" s="1"/>
  <c r="D8" i="5"/>
  <c r="D8" i="6" s="1"/>
  <c r="W140" i="6"/>
  <c r="N199" i="6"/>
  <c r="P199" i="5"/>
  <c r="M199" i="6" s="1"/>
  <c r="P44" i="5"/>
  <c r="M44" i="6" s="1"/>
  <c r="N44" i="6"/>
  <c r="W174" i="6"/>
  <c r="T174" i="5"/>
  <c r="W143" i="6"/>
  <c r="D98" i="4"/>
  <c r="D100" i="3" s="1"/>
  <c r="D20" i="5"/>
  <c r="D20" i="6" s="1"/>
  <c r="Q78" i="4"/>
  <c r="P78" i="4"/>
  <c r="M114" i="3" s="1"/>
  <c r="N114" i="3"/>
  <c r="W87" i="6"/>
  <c r="D91" i="4"/>
  <c r="D152" i="3" s="1"/>
  <c r="D106" i="5"/>
  <c r="D106" i="6" s="1"/>
  <c r="Q72" i="5"/>
  <c r="P72" i="5"/>
  <c r="M72" i="6" s="1"/>
  <c r="N72" i="6"/>
  <c r="W64" i="6"/>
  <c r="Q80" i="5"/>
  <c r="T80" i="5" s="1"/>
  <c r="N80" i="6"/>
  <c r="P80" i="5"/>
  <c r="M80" i="6" s="1"/>
  <c r="Q134" i="4"/>
  <c r="T134" i="4" s="1"/>
  <c r="N119" i="3"/>
  <c r="P134" i="4"/>
  <c r="M119" i="3" s="1"/>
  <c r="W171" i="6"/>
  <c r="Q29" i="4"/>
  <c r="T29" i="4" s="1"/>
  <c r="P29" i="4"/>
  <c r="M178" i="3" s="1"/>
  <c r="N178" i="3"/>
  <c r="N142" i="3"/>
  <c r="P39" i="4"/>
  <c r="M142" i="3" s="1"/>
  <c r="P11" i="4"/>
  <c r="M171" i="3" s="1"/>
  <c r="N171" i="3"/>
  <c r="D115" i="4"/>
  <c r="D137" i="3" s="1"/>
  <c r="D150" i="5"/>
  <c r="D150" i="6" s="1"/>
  <c r="D174" i="5"/>
  <c r="D174" i="6" s="1"/>
  <c r="D35" i="4"/>
  <c r="D187" i="3" s="1"/>
  <c r="Q187" i="5"/>
  <c r="P187" i="5"/>
  <c r="M187" i="6" s="1"/>
  <c r="N187" i="6"/>
  <c r="Q40" i="4"/>
  <c r="N153" i="3"/>
  <c r="P40" i="4"/>
  <c r="M153" i="3" s="1"/>
  <c r="D51" i="5"/>
  <c r="D51" i="6" s="1"/>
  <c r="D198" i="4"/>
  <c r="D195" i="3" s="1"/>
  <c r="W77" i="6"/>
  <c r="T77" i="5"/>
  <c r="Q153" i="5"/>
  <c r="T153" i="5" s="1"/>
  <c r="P153" i="5"/>
  <c r="M153" i="6" s="1"/>
  <c r="N153" i="6"/>
  <c r="P155" i="4"/>
  <c r="M102" i="3" s="1"/>
  <c r="N102" i="3"/>
  <c r="D154" i="5"/>
  <c r="D154" i="6" s="1"/>
  <c r="D194" i="4"/>
  <c r="D121" i="3" s="1"/>
  <c r="P47" i="5"/>
  <c r="M47" i="6" s="1"/>
  <c r="N47" i="6"/>
  <c r="Q90" i="5"/>
  <c r="P90" i="5"/>
  <c r="M90" i="6" s="1"/>
  <c r="N90" i="6"/>
  <c r="N69" i="3"/>
  <c r="P185" i="4"/>
  <c r="M69" i="3" s="1"/>
  <c r="W198" i="6"/>
  <c r="Q54" i="4"/>
  <c r="T54" i="4" s="1"/>
  <c r="N125" i="3"/>
  <c r="P54" i="4"/>
  <c r="M125" i="3" s="1"/>
  <c r="Q73" i="4"/>
  <c r="N63" i="3"/>
  <c r="P73" i="4"/>
  <c r="M63" i="3" s="1"/>
  <c r="N149" i="3"/>
  <c r="P70" i="4"/>
  <c r="M149" i="3" s="1"/>
  <c r="N15" i="6"/>
  <c r="P15" i="5"/>
  <c r="M15" i="6" s="1"/>
  <c r="D60" i="4"/>
  <c r="D200" i="3" s="1"/>
  <c r="D35" i="5"/>
  <c r="D35" i="6" s="1"/>
  <c r="N146" i="6"/>
  <c r="P146" i="5"/>
  <c r="M146" i="6" s="1"/>
  <c r="D93" i="5"/>
  <c r="D93" i="6" s="1"/>
  <c r="D118" i="4"/>
  <c r="D33" i="3" s="1"/>
  <c r="N147" i="6"/>
  <c r="P147" i="5"/>
  <c r="M147" i="6" s="1"/>
  <c r="Q31" i="5"/>
  <c r="N31" i="6"/>
  <c r="P31" i="5"/>
  <c r="M31" i="6" s="1"/>
  <c r="N26" i="6"/>
  <c r="P26" i="5"/>
  <c r="M26" i="6" s="1"/>
  <c r="W113" i="6"/>
  <c r="T113" i="5"/>
  <c r="D189" i="5"/>
  <c r="D189" i="6" s="1"/>
  <c r="D92" i="4"/>
  <c r="D192" i="3" s="1"/>
  <c r="D32" i="4"/>
  <c r="D6" i="3" s="1"/>
  <c r="D114" i="5"/>
  <c r="D114" i="6" s="1"/>
  <c r="P129" i="4"/>
  <c r="M72" i="3" s="1"/>
  <c r="N72" i="3"/>
  <c r="Q133" i="5"/>
  <c r="N133" i="6"/>
  <c r="P133" i="5"/>
  <c r="M133" i="6" s="1"/>
  <c r="D146" i="4"/>
  <c r="D202" i="3" s="1"/>
  <c r="D88" i="5"/>
  <c r="D88" i="6" s="1"/>
  <c r="N54" i="6"/>
  <c r="P54" i="5"/>
  <c r="M54" i="6" s="1"/>
  <c r="P141" i="4"/>
  <c r="M93" i="3" s="1"/>
  <c r="N93" i="3"/>
  <c r="P88" i="5"/>
  <c r="M88" i="6" s="1"/>
  <c r="N88" i="6"/>
  <c r="N89" i="3"/>
  <c r="P123" i="4"/>
  <c r="M89" i="3" s="1"/>
  <c r="Q179" i="4"/>
  <c r="P179" i="4"/>
  <c r="M191" i="3" s="1"/>
  <c r="N191" i="3"/>
  <c r="W52" i="6"/>
  <c r="T52" i="5"/>
  <c r="W67" i="6"/>
  <c r="T67" i="5"/>
  <c r="W195" i="6"/>
  <c r="D164" i="4"/>
  <c r="D113" i="3" s="1"/>
  <c r="D192" i="5"/>
  <c r="D192" i="6" s="1"/>
  <c r="W157" i="6"/>
  <c r="T157" i="5"/>
  <c r="W141" i="6"/>
  <c r="T141" i="5"/>
  <c r="D84" i="5"/>
  <c r="D84" i="6" s="1"/>
  <c r="D81" i="4"/>
  <c r="D11" i="3" s="1"/>
  <c r="W137" i="6"/>
  <c r="D183" i="5"/>
  <c r="D183" i="6" s="1"/>
  <c r="D182" i="4"/>
  <c r="D134" i="3" s="1"/>
  <c r="D93" i="4"/>
  <c r="D41" i="3" s="1"/>
  <c r="D139" i="5"/>
  <c r="D139" i="6" s="1"/>
  <c r="W68" i="6"/>
  <c r="T68" i="5"/>
  <c r="W160" i="6"/>
  <c r="W172" i="6"/>
  <c r="T172" i="5"/>
  <c r="W63" i="6"/>
  <c r="W21" i="6"/>
  <c r="T21" i="5"/>
  <c r="D137" i="5"/>
  <c r="D137" i="6" s="1"/>
  <c r="D72" i="4"/>
  <c r="D165" i="3" s="1"/>
  <c r="Q162" i="5"/>
  <c r="T162" i="5" s="1"/>
  <c r="P162" i="5"/>
  <c r="M162" i="6" s="1"/>
  <c r="N162" i="6"/>
  <c r="Q114" i="4"/>
  <c r="T114" i="4" s="1"/>
  <c r="P114" i="4"/>
  <c r="M111" i="3" s="1"/>
  <c r="N111" i="3"/>
  <c r="P20" i="4"/>
  <c r="M177" i="3" s="1"/>
  <c r="N177" i="3"/>
  <c r="N40" i="3"/>
  <c r="P71" i="4"/>
  <c r="M40" i="3" s="1"/>
  <c r="P120" i="5"/>
  <c r="M120" i="6" s="1"/>
  <c r="N120" i="6"/>
  <c r="N130" i="3"/>
  <c r="P5" i="4"/>
  <c r="M130" i="3" s="1"/>
  <c r="T5" i="4"/>
  <c r="N169" i="6"/>
  <c r="P169" i="5"/>
  <c r="M169" i="6" s="1"/>
  <c r="W60" i="6"/>
  <c r="W57" i="6"/>
  <c r="T57" i="5"/>
  <c r="Q61" i="5"/>
  <c r="T61" i="5" s="1"/>
  <c r="P61" i="5"/>
  <c r="M61" i="6" s="1"/>
  <c r="N61" i="6"/>
  <c r="D113" i="5"/>
  <c r="D113" i="6" s="1"/>
  <c r="D83" i="4"/>
  <c r="D84" i="3" s="1"/>
  <c r="D108" i="4"/>
  <c r="D101" i="3" s="1"/>
  <c r="D5" i="5"/>
  <c r="D5" i="6" s="1"/>
  <c r="P36" i="5"/>
  <c r="M36" i="6" s="1"/>
  <c r="N36" i="6"/>
  <c r="P154" i="5"/>
  <c r="M154" i="6" s="1"/>
  <c r="N154" i="6"/>
  <c r="D46" i="4"/>
  <c r="D97" i="3" s="1"/>
  <c r="D185" i="5"/>
  <c r="D185" i="6" s="1"/>
  <c r="W91" i="6"/>
  <c r="T91" i="5"/>
  <c r="D179" i="4"/>
  <c r="D191" i="3" s="1"/>
  <c r="D123" i="5"/>
  <c r="D123" i="6" s="1"/>
  <c r="Q5" i="5"/>
  <c r="N5" i="6"/>
  <c r="P5" i="5"/>
  <c r="M5" i="6" s="1"/>
  <c r="D68" i="5"/>
  <c r="D68" i="6" s="1"/>
  <c r="D51" i="4"/>
  <c r="D7" i="3" s="1"/>
  <c r="W92" i="6"/>
  <c r="T92" i="5"/>
  <c r="W128" i="6"/>
  <c r="T128" i="5"/>
  <c r="D56" i="4"/>
  <c r="D128" i="3" s="1"/>
  <c r="D136" i="5"/>
  <c r="D136" i="6" s="1"/>
  <c r="Q35" i="4"/>
  <c r="N187" i="3"/>
  <c r="P35" i="4"/>
  <c r="M187" i="3" s="1"/>
  <c r="T35" i="4"/>
  <c r="W134" i="6"/>
  <c r="Q148" i="5"/>
  <c r="N148" i="6"/>
  <c r="P148" i="5"/>
  <c r="M148" i="6" s="1"/>
  <c r="W65" i="6"/>
  <c r="D48" i="4"/>
  <c r="D170" i="3" s="1"/>
  <c r="D26" i="5"/>
  <c r="D26" i="6" s="1"/>
  <c r="W34" i="6"/>
  <c r="T34" i="5"/>
  <c r="W203" i="6"/>
  <c r="T203" i="5"/>
  <c r="W104" i="6"/>
  <c r="T104" i="5"/>
  <c r="P131" i="4"/>
  <c r="M27" i="3" s="1"/>
  <c r="N27" i="3"/>
  <c r="D105" i="4"/>
  <c r="D116" i="3" s="1"/>
  <c r="D27" i="5"/>
  <c r="D27" i="6" s="1"/>
  <c r="P69" i="5"/>
  <c r="M69" i="6" s="1"/>
  <c r="N69" i="6"/>
  <c r="D91" i="5"/>
  <c r="D91" i="6" s="1"/>
  <c r="D34" i="4"/>
  <c r="D28" i="3" s="1"/>
  <c r="W151" i="6"/>
  <c r="P48" i="4"/>
  <c r="M170" i="3" s="1"/>
  <c r="N170" i="3"/>
  <c r="N66" i="6"/>
  <c r="P66" i="5"/>
  <c r="M66" i="6" s="1"/>
  <c r="W180" i="6"/>
  <c r="T180" i="5"/>
  <c r="N123" i="6"/>
  <c r="P123" i="5"/>
  <c r="M123" i="6" s="1"/>
  <c r="P116" i="4"/>
  <c r="M67" i="3" s="1"/>
  <c r="N67" i="3"/>
  <c r="D146" i="5"/>
  <c r="D146" i="6" s="1"/>
  <c r="D25" i="4"/>
  <c r="D43" i="3" s="1"/>
  <c r="W183" i="6"/>
  <c r="T183" i="5"/>
  <c r="D16" i="5"/>
  <c r="D16" i="6" s="1"/>
  <c r="D79" i="4"/>
  <c r="D118" i="3" s="1"/>
  <c r="N30" i="6"/>
  <c r="P30" i="5"/>
  <c r="M30" i="6" s="1"/>
  <c r="N121" i="6"/>
  <c r="P121" i="5"/>
  <c r="M121" i="6" s="1"/>
  <c r="D33" i="4"/>
  <c r="D58" i="3" s="1"/>
  <c r="D129" i="5"/>
  <c r="D129" i="6" s="1"/>
  <c r="W133" i="6"/>
  <c r="T133" i="5"/>
  <c r="D50" i="4"/>
  <c r="D45" i="3" s="1"/>
  <c r="D70" i="5"/>
  <c r="D70" i="6" s="1"/>
  <c r="Q84" i="4"/>
  <c r="N59" i="3"/>
  <c r="P84" i="4"/>
  <c r="M59" i="3" s="1"/>
  <c r="N85" i="3"/>
  <c r="P117" i="4"/>
  <c r="M85" i="3" s="1"/>
  <c r="P133" i="4"/>
  <c r="M25" i="3" s="1"/>
  <c r="N25" i="3"/>
  <c r="T133" i="4"/>
  <c r="N171" i="6"/>
  <c r="P171" i="5"/>
  <c r="M171" i="6" s="1"/>
  <c r="W135" i="6"/>
  <c r="T135" i="5"/>
  <c r="P167" i="5"/>
  <c r="M167" i="6" s="1"/>
  <c r="N167" i="6"/>
  <c r="Q176" i="4"/>
  <c r="P176" i="4"/>
  <c r="M71" i="3" s="1"/>
  <c r="N71" i="3"/>
  <c r="T176" i="4"/>
  <c r="Q145" i="4"/>
  <c r="N18" i="3"/>
  <c r="P145" i="4"/>
  <c r="M18" i="3" s="1"/>
  <c r="N150" i="3"/>
  <c r="P204" i="4"/>
  <c r="M150" i="3" s="1"/>
  <c r="T204" i="4"/>
  <c r="Q200" i="5"/>
  <c r="T200" i="5" s="1"/>
  <c r="N200" i="6"/>
  <c r="P200" i="5"/>
  <c r="M200" i="6" s="1"/>
  <c r="P64" i="5"/>
  <c r="M64" i="6" s="1"/>
  <c r="N64" i="6"/>
  <c r="N58" i="6"/>
  <c r="P58" i="5"/>
  <c r="M58" i="6" s="1"/>
  <c r="W107" i="6"/>
  <c r="D199" i="4"/>
  <c r="D196" i="3" s="1"/>
  <c r="D32" i="5"/>
  <c r="D32" i="6" s="1"/>
  <c r="D178" i="5"/>
  <c r="D178" i="6" s="1"/>
  <c r="D174" i="4"/>
  <c r="D110" i="3" s="1"/>
  <c r="Q65" i="4"/>
  <c r="N146" i="3"/>
  <c r="P65" i="4"/>
  <c r="M146" i="3" s="1"/>
  <c r="D144" i="5"/>
  <c r="D144" i="6" s="1"/>
  <c r="D67" i="4"/>
  <c r="D194" i="3" s="1"/>
  <c r="P82" i="4"/>
  <c r="M162" i="3" s="1"/>
  <c r="N162" i="3"/>
  <c r="Q24" i="5"/>
  <c r="T24" i="5" s="1"/>
  <c r="P24" i="5"/>
  <c r="M24" i="6" s="1"/>
  <c r="N24" i="6"/>
  <c r="N160" i="6"/>
  <c r="P160" i="5"/>
  <c r="M160" i="6" s="1"/>
  <c r="W122" i="6"/>
  <c r="Q126" i="5"/>
  <c r="N126" i="6"/>
  <c r="P126" i="5"/>
  <c r="M126" i="6" s="1"/>
  <c r="P93" i="4"/>
  <c r="M41" i="3" s="1"/>
  <c r="N41" i="3"/>
  <c r="T93" i="4"/>
  <c r="Q25" i="4"/>
  <c r="T25" i="4" s="1"/>
  <c r="N43" i="3"/>
  <c r="P25" i="4"/>
  <c r="M43" i="3" s="1"/>
  <c r="D74" i="5"/>
  <c r="D74" i="6" s="1"/>
  <c r="D121" i="4"/>
  <c r="D83" i="3" s="1"/>
  <c r="D20" i="4"/>
  <c r="D177" i="3" s="1"/>
  <c r="D15" i="5"/>
  <c r="D15" i="6" s="1"/>
  <c r="D47" i="5"/>
  <c r="D47" i="6" s="1"/>
  <c r="D128" i="4"/>
  <c r="D80" i="3" s="1"/>
  <c r="W38" i="6"/>
  <c r="T38" i="5"/>
  <c r="P33" i="4"/>
  <c r="M58" i="3" s="1"/>
  <c r="N58" i="3"/>
  <c r="W24" i="6"/>
  <c r="P134" i="5"/>
  <c r="M134" i="6" s="1"/>
  <c r="N134" i="6"/>
  <c r="N15" i="3"/>
  <c r="P178" i="4"/>
  <c r="M15" i="3" s="1"/>
  <c r="W100" i="6"/>
  <c r="T100" i="5"/>
  <c r="W31" i="6"/>
  <c r="D63" i="5"/>
  <c r="D63" i="6" s="1"/>
  <c r="D70" i="4"/>
  <c r="D149" i="3" s="1"/>
  <c r="W144" i="6"/>
  <c r="T144" i="5"/>
  <c r="W15" i="6"/>
  <c r="T15" i="5"/>
  <c r="W159" i="6"/>
  <c r="T159" i="5"/>
  <c r="W20" i="6"/>
  <c r="T20" i="5"/>
  <c r="D155" i="4"/>
  <c r="D102" i="3" s="1"/>
  <c r="D177" i="5"/>
  <c r="D177" i="6" s="1"/>
  <c r="D168" i="5"/>
  <c r="D168" i="6" s="1"/>
  <c r="D37" i="4"/>
  <c r="D168" i="3" s="1"/>
  <c r="W69" i="6"/>
  <c r="Q8" i="5"/>
  <c r="P8" i="5"/>
  <c r="M8" i="6" s="1"/>
  <c r="N8" i="6"/>
  <c r="Q202" i="5"/>
  <c r="P202" i="5"/>
  <c r="M202" i="6" s="1"/>
  <c r="N202" i="6"/>
  <c r="T163" i="5"/>
  <c r="W163" i="6"/>
  <c r="Q51" i="4"/>
  <c r="N7" i="3"/>
  <c r="P51" i="4"/>
  <c r="M7" i="3" s="1"/>
  <c r="P85" i="5"/>
  <c r="M85" i="6" s="1"/>
  <c r="N85" i="6"/>
  <c r="W185" i="6"/>
  <c r="W6" i="6"/>
  <c r="T6" i="5"/>
  <c r="D135" i="5"/>
  <c r="D135" i="6" s="1"/>
  <c r="D193" i="4"/>
  <c r="D77" i="3" s="1"/>
  <c r="Q47" i="4"/>
  <c r="P47" i="4"/>
  <c r="M138" i="3" s="1"/>
  <c r="N138" i="3"/>
  <c r="T47" i="4"/>
  <c r="Q100" i="4"/>
  <c r="P100" i="4"/>
  <c r="M56" i="3" s="1"/>
  <c r="N56" i="3"/>
  <c r="T100" i="4"/>
  <c r="P37" i="5"/>
  <c r="M37" i="6" s="1"/>
  <c r="N37" i="6"/>
  <c r="Q139" i="5"/>
  <c r="P139" i="5"/>
  <c r="M139" i="6" s="1"/>
  <c r="N139" i="6"/>
  <c r="N156" i="3"/>
  <c r="P196" i="4"/>
  <c r="M156" i="3" s="1"/>
  <c r="P127" i="5"/>
  <c r="M127" i="6" s="1"/>
  <c r="N127" i="6"/>
  <c r="N106" i="6"/>
  <c r="P106" i="5"/>
  <c r="M106" i="6" s="1"/>
  <c r="D69" i="5"/>
  <c r="D69" i="6" s="1"/>
  <c r="D119" i="4"/>
  <c r="D81" i="3" s="1"/>
  <c r="D152" i="4"/>
  <c r="D129" i="3" s="1"/>
  <c r="D195" i="5"/>
  <c r="D195" i="6" s="1"/>
  <c r="N12" i="6"/>
  <c r="P12" i="5"/>
  <c r="M12" i="6" s="1"/>
  <c r="D132" i="5"/>
  <c r="D132" i="6" s="1"/>
  <c r="D170" i="4"/>
  <c r="D30" i="3" s="1"/>
  <c r="Q32" i="5"/>
  <c r="T32" i="5" s="1"/>
  <c r="N32" i="6"/>
  <c r="P32" i="5"/>
  <c r="M32" i="6" s="1"/>
  <c r="P122" i="5"/>
  <c r="M122" i="6" s="1"/>
  <c r="N122" i="6"/>
  <c r="W3" i="6"/>
  <c r="T3" i="5"/>
  <c r="P168" i="5"/>
  <c r="M168" i="6" s="1"/>
  <c r="N168" i="6"/>
  <c r="P119" i="4"/>
  <c r="M81" i="3" s="1"/>
  <c r="N81" i="3"/>
  <c r="T119" i="4"/>
  <c r="N65" i="6"/>
  <c r="P65" i="5"/>
  <c r="M65" i="6" s="1"/>
  <c r="D37" i="5"/>
  <c r="D37" i="6" s="1"/>
  <c r="D141" i="4"/>
  <c r="D93" i="3" s="1"/>
  <c r="W110" i="6"/>
  <c r="T110" i="5"/>
  <c r="N21" i="3"/>
  <c r="P188" i="4"/>
  <c r="M21" i="3" s="1"/>
  <c r="W179" i="6"/>
  <c r="T179" i="5"/>
  <c r="D67" i="5"/>
  <c r="D67" i="6" s="1"/>
  <c r="D43" i="4"/>
  <c r="D126" i="3" s="1"/>
  <c r="N124" i="3"/>
  <c r="P8" i="4"/>
  <c r="M124" i="3" s="1"/>
  <c r="N45" i="6"/>
  <c r="P45" i="5"/>
  <c r="M45" i="6" s="1"/>
  <c r="N186" i="3"/>
  <c r="P202" i="4"/>
  <c r="M186" i="3" s="1"/>
  <c r="W48" i="6"/>
  <c r="T48" i="5"/>
  <c r="N60" i="6"/>
  <c r="P60" i="5"/>
  <c r="M60" i="6" s="1"/>
  <c r="W205" i="6"/>
  <c r="T205" i="5"/>
  <c r="Q149" i="4"/>
  <c r="T149" i="4" s="1"/>
  <c r="P149" i="4"/>
  <c r="M73" i="3" s="1"/>
  <c r="N73" i="3"/>
  <c r="W142" i="6"/>
  <c r="T142" i="5"/>
  <c r="N101" i="6"/>
  <c r="P101" i="5"/>
  <c r="M101" i="6" s="1"/>
  <c r="D184" i="5"/>
  <c r="D184" i="6" s="1"/>
  <c r="D160" i="4"/>
  <c r="D78" i="3" s="1"/>
  <c r="P94" i="5"/>
  <c r="M94" i="6" s="1"/>
  <c r="N94" i="6"/>
  <c r="D190" i="5"/>
  <c r="D190" i="6" s="1"/>
  <c r="D71" i="4"/>
  <c r="D40" i="3" s="1"/>
  <c r="D163" i="4"/>
  <c r="D122" i="3" s="1"/>
  <c r="D112" i="5"/>
  <c r="D112" i="6" s="1"/>
  <c r="W37" i="6"/>
  <c r="Q36" i="4"/>
  <c r="T36" i="4" s="1"/>
  <c r="P36" i="4"/>
  <c r="M206" i="3" s="1"/>
  <c r="N206" i="3"/>
  <c r="Q81" i="4"/>
  <c r="P81" i="4"/>
  <c r="M11" i="3" s="1"/>
  <c r="N11" i="3"/>
  <c r="Q26" i="4"/>
  <c r="T26" i="4" s="1"/>
  <c r="N151" i="3"/>
  <c r="P26" i="4"/>
  <c r="M151" i="3" s="1"/>
  <c r="Q166" i="5"/>
  <c r="T166" i="5" s="1"/>
  <c r="P166" i="5"/>
  <c r="M166" i="6" s="1"/>
  <c r="N166" i="6"/>
  <c r="W121" i="6"/>
  <c r="D175" i="4"/>
  <c r="D166" i="3" s="1"/>
  <c r="D127" i="5"/>
  <c r="D127" i="6" s="1"/>
  <c r="W85" i="6"/>
  <c r="T85" i="5"/>
  <c r="N28" i="3"/>
  <c r="P34" i="4"/>
  <c r="M28" i="3" s="1"/>
  <c r="T34" i="4"/>
  <c r="W111" i="6"/>
  <c r="T111" i="5"/>
  <c r="W95" i="6"/>
  <c r="T95" i="5"/>
  <c r="D206" i="4"/>
  <c r="D86" i="3" s="1"/>
  <c r="D166" i="5"/>
  <c r="D166" i="6" s="1"/>
  <c r="W165" i="6"/>
  <c r="T165" i="5"/>
  <c r="W173" i="6"/>
  <c r="T173" i="5"/>
  <c r="N143" i="3"/>
  <c r="P101" i="4"/>
  <c r="M143" i="3" s="1"/>
  <c r="T101" i="4"/>
  <c r="D7" i="5"/>
  <c r="D7" i="6" s="1"/>
  <c r="D137" i="4"/>
  <c r="D64" i="3" s="1"/>
  <c r="D99" i="4"/>
  <c r="D201" i="3" s="1"/>
  <c r="D39" i="5"/>
  <c r="D39" i="6" s="1"/>
  <c r="T145" i="5"/>
  <c r="P63" i="5"/>
  <c r="M63" i="6" s="1"/>
  <c r="N63" i="6"/>
  <c r="P153" i="4"/>
  <c r="M79" i="3" s="1"/>
  <c r="N79" i="3"/>
  <c r="N56" i="6"/>
  <c r="P56" i="5"/>
  <c r="M56" i="6" s="1"/>
  <c r="P52" i="4"/>
  <c r="M38" i="3" s="1"/>
  <c r="N38" i="3"/>
  <c r="D19" i="5"/>
  <c r="D19" i="6" s="1"/>
  <c r="D38" i="4"/>
  <c r="D109" i="3" s="1"/>
  <c r="D40" i="5"/>
  <c r="D40" i="6" s="1"/>
  <c r="D197" i="4"/>
  <c r="D61" i="3" s="1"/>
  <c r="P49" i="5"/>
  <c r="M49" i="6" s="1"/>
  <c r="N49" i="6"/>
  <c r="Q75" i="4"/>
  <c r="N17" i="3"/>
  <c r="P75" i="4"/>
  <c r="M17" i="3" s="1"/>
  <c r="T75" i="4"/>
  <c r="D155" i="5"/>
  <c r="D155" i="6" s="1"/>
  <c r="D102" i="4"/>
  <c r="D144" i="3" s="1"/>
  <c r="W150" i="6"/>
  <c r="T150" i="5"/>
  <c r="Q108" i="5"/>
  <c r="T108" i="5" s="1"/>
  <c r="P108" i="5"/>
  <c r="M108" i="6" s="1"/>
  <c r="N108" i="6"/>
  <c r="Q182" i="5"/>
  <c r="N182" i="6"/>
  <c r="P182" i="5"/>
  <c r="M182" i="6" s="1"/>
  <c r="D196" i="5"/>
  <c r="D196" i="6" s="1"/>
  <c r="D192" i="4"/>
  <c r="D20" i="3" s="1"/>
  <c r="W73" i="6"/>
  <c r="T73" i="5"/>
  <c r="D181" i="5"/>
  <c r="D181" i="6" s="1"/>
  <c r="D202" i="4"/>
  <c r="D186" i="3" s="1"/>
  <c r="P185" i="5"/>
  <c r="M185" i="6" s="1"/>
  <c r="N185" i="6"/>
  <c r="D8" i="4"/>
  <c r="D124" i="3" s="1"/>
  <c r="D53" i="5"/>
  <c r="D53" i="6" s="1"/>
  <c r="W181" i="6"/>
  <c r="T181" i="5"/>
  <c r="T167" i="5"/>
  <c r="N124" i="6"/>
  <c r="P124" i="5"/>
  <c r="M124" i="6" s="1"/>
  <c r="W187" i="6"/>
  <c r="T187" i="5"/>
  <c r="P107" i="5"/>
  <c r="M107" i="6" s="1"/>
  <c r="N107" i="6"/>
  <c r="N97" i="6"/>
  <c r="P97" i="5"/>
  <c r="M97" i="6" s="1"/>
  <c r="W168" i="6"/>
  <c r="P112" i="5"/>
  <c r="M112" i="6" s="1"/>
  <c r="N112" i="6"/>
  <c r="D142" i="5"/>
  <c r="D142" i="6" s="1"/>
  <c r="D176" i="4"/>
  <c r="D71" i="3" s="1"/>
  <c r="W46" i="6"/>
  <c r="T46" i="5"/>
  <c r="W29" i="6"/>
  <c r="T29" i="5"/>
  <c r="P91" i="4"/>
  <c r="M152" i="3" s="1"/>
  <c r="N152" i="3"/>
  <c r="T91" i="4"/>
  <c r="P197" i="4"/>
  <c r="M61" i="3" s="1"/>
  <c r="N61" i="3"/>
  <c r="P154" i="4"/>
  <c r="M9" i="3" s="1"/>
  <c r="N9" i="3"/>
  <c r="Q78" i="5"/>
  <c r="N78" i="6"/>
  <c r="P78" i="5"/>
  <c r="M78" i="6" s="1"/>
  <c r="W105" i="6"/>
  <c r="T105" i="5"/>
  <c r="N197" i="3"/>
  <c r="P19" i="4"/>
  <c r="M197" i="3" s="1"/>
  <c r="W13" i="6"/>
  <c r="T13" i="5"/>
  <c r="P125" i="4"/>
  <c r="M136" i="3" s="1"/>
  <c r="N136" i="3"/>
  <c r="D148" i="5"/>
  <c r="D148" i="6" s="1"/>
  <c r="D69" i="4"/>
  <c r="D98" i="3" s="1"/>
  <c r="W146" i="6"/>
  <c r="W204" i="6"/>
  <c r="T204" i="5"/>
  <c r="N35" i="6"/>
  <c r="P35" i="5"/>
  <c r="M35" i="6" s="1"/>
  <c r="T202" i="5" l="1"/>
  <c r="T80" i="4"/>
  <c r="T174" i="4"/>
  <c r="T188" i="4"/>
  <c r="T148" i="5"/>
  <c r="T31" i="5"/>
  <c r="T132" i="5"/>
  <c r="T103" i="4"/>
  <c r="T102" i="4"/>
  <c r="T127" i="4"/>
  <c r="T180" i="4"/>
  <c r="T134" i="5"/>
  <c r="T5" i="5"/>
  <c r="T190" i="5"/>
  <c r="T9" i="5"/>
  <c r="T23" i="5"/>
  <c r="T88" i="4"/>
  <c r="T78" i="5"/>
  <c r="T153" i="4"/>
  <c r="T8" i="5"/>
  <c r="T150" i="4"/>
  <c r="T72" i="5"/>
  <c r="T173" i="4"/>
  <c r="T206" i="4"/>
  <c r="T198" i="4"/>
  <c r="T193" i="4"/>
  <c r="T152" i="5"/>
  <c r="T197" i="4"/>
  <c r="T202" i="4"/>
  <c r="T139" i="5"/>
  <c r="T178" i="4"/>
  <c r="T179" i="4"/>
  <c r="T185" i="4"/>
  <c r="T137" i="4"/>
  <c r="T4" i="4"/>
  <c r="T39" i="5"/>
  <c r="T58" i="4"/>
  <c r="T189" i="4"/>
  <c r="T120" i="5"/>
  <c r="T125" i="4"/>
  <c r="T87" i="5"/>
  <c r="T190" i="4"/>
  <c r="T61" i="4"/>
  <c r="T37" i="4"/>
  <c r="T159" i="4"/>
  <c r="T85" i="4"/>
  <c r="T171" i="4"/>
  <c r="T169" i="4"/>
  <c r="T113" i="4"/>
  <c r="T51" i="4"/>
  <c r="T98" i="5"/>
  <c r="T183" i="4"/>
  <c r="T41" i="4"/>
  <c r="T129" i="5"/>
  <c r="T165" i="4"/>
  <c r="T7" i="4"/>
  <c r="T156" i="4"/>
  <c r="T81" i="4"/>
  <c r="T141" i="4"/>
  <c r="T90" i="5"/>
  <c r="T78" i="4"/>
  <c r="T140" i="5"/>
  <c r="T116" i="5"/>
  <c r="T19" i="4"/>
  <c r="T182" i="5"/>
  <c r="T65" i="4"/>
  <c r="T151" i="5"/>
  <c r="T104" i="4"/>
  <c r="T124" i="4"/>
  <c r="T62" i="5"/>
  <c r="T14" i="4"/>
  <c r="T170" i="5"/>
  <c r="T181" i="4"/>
  <c r="T52" i="4"/>
  <c r="T145" i="4"/>
  <c r="T84" i="4"/>
  <c r="T73" i="4"/>
  <c r="T143" i="5"/>
  <c r="T6" i="4"/>
  <c r="T89" i="5"/>
  <c r="T16" i="5"/>
  <c r="T126" i="5"/>
  <c r="T162" i="4"/>
  <c r="T148" i="4"/>
  <c r="Y202" i="6"/>
  <c r="AG202" i="5"/>
  <c r="AH202" i="5" s="1"/>
  <c r="AF202" i="5"/>
  <c r="Y202" i="5" s="1"/>
  <c r="Z202" i="6" s="1"/>
  <c r="U202" i="5"/>
  <c r="U80" i="5"/>
  <c r="AF80" i="5"/>
  <c r="Y80" i="5" s="1"/>
  <c r="Z80" i="6" s="1"/>
  <c r="AG80" i="5"/>
  <c r="AH80" i="5" s="1"/>
  <c r="Y80" i="6"/>
  <c r="Y126" i="3"/>
  <c r="U43" i="4"/>
  <c r="Y43" i="4"/>
  <c r="Z126" i="3" s="1"/>
  <c r="AF81" i="5"/>
  <c r="Y81" i="5" s="1"/>
  <c r="Z81" i="6" s="1"/>
  <c r="U81" i="5"/>
  <c r="Y81" i="6"/>
  <c r="AG81" i="5"/>
  <c r="AH81" i="5" s="1"/>
  <c r="Y183" i="3"/>
  <c r="Y10" i="4"/>
  <c r="Z183" i="3" s="1"/>
  <c r="U10" i="4"/>
  <c r="U148" i="5"/>
  <c r="AF148" i="5"/>
  <c r="Y148" i="5" s="1"/>
  <c r="Z148" i="6" s="1"/>
  <c r="Y148" i="6"/>
  <c r="AG148" i="5"/>
  <c r="AH148" i="5" s="1"/>
  <c r="U31" i="5"/>
  <c r="Y31" i="6"/>
  <c r="AF31" i="5"/>
  <c r="Y31" i="5" s="1"/>
  <c r="Z31" i="6" s="1"/>
  <c r="AG31" i="5"/>
  <c r="AH31" i="5" s="1"/>
  <c r="U117" i="5"/>
  <c r="AG117" i="5"/>
  <c r="AH117" i="5" s="1"/>
  <c r="Y117" i="6"/>
  <c r="AF117" i="5"/>
  <c r="Y117" i="5" s="1"/>
  <c r="Z117" i="6" s="1"/>
  <c r="AF132" i="5"/>
  <c r="Y132" i="5" s="1"/>
  <c r="Z132" i="6" s="1"/>
  <c r="Y132" i="6"/>
  <c r="AG132" i="5"/>
  <c r="AH132" i="5" s="1"/>
  <c r="U132" i="5"/>
  <c r="Y24" i="3"/>
  <c r="U103" i="4"/>
  <c r="Y103" i="4"/>
  <c r="Z24" i="3" s="1"/>
  <c r="AG5" i="5"/>
  <c r="AH5" i="5" s="1"/>
  <c r="Y5" i="6"/>
  <c r="AF5" i="5"/>
  <c r="Y5" i="5" s="1"/>
  <c r="Z5" i="6" s="1"/>
  <c r="U5" i="5"/>
  <c r="AG41" i="5"/>
  <c r="AH41" i="5" s="1"/>
  <c r="AF41" i="5"/>
  <c r="Y41" i="5" s="1"/>
  <c r="Z41" i="6" s="1"/>
  <c r="Y41" i="6"/>
  <c r="U41" i="5"/>
  <c r="AG96" i="5"/>
  <c r="AH96" i="5" s="1"/>
  <c r="U96" i="5"/>
  <c r="AF96" i="5"/>
  <c r="Y96" i="5" s="1"/>
  <c r="Z96" i="6" s="1"/>
  <c r="Y96" i="6"/>
  <c r="AG9" i="5"/>
  <c r="AH9" i="5" s="1"/>
  <c r="U9" i="5"/>
  <c r="AF9" i="5"/>
  <c r="Y9" i="5" s="1"/>
  <c r="Z9" i="6" s="1"/>
  <c r="Y9" i="6"/>
  <c r="U23" i="5"/>
  <c r="Y23" i="6"/>
  <c r="AF23" i="5"/>
  <c r="Y23" i="5" s="1"/>
  <c r="Z23" i="6" s="1"/>
  <c r="AG23" i="5"/>
  <c r="AH23" i="5" s="1"/>
  <c r="Y29" i="3"/>
  <c r="Y88" i="4"/>
  <c r="Z29" i="3" s="1"/>
  <c r="U88" i="4"/>
  <c r="U61" i="5"/>
  <c r="AF61" i="5"/>
  <c r="Y61" i="5" s="1"/>
  <c r="Z61" i="6" s="1"/>
  <c r="AG61" i="5"/>
  <c r="AH61" i="5" s="1"/>
  <c r="Y61" i="6"/>
  <c r="Y106" i="3"/>
  <c r="U167" i="4"/>
  <c r="Y167" i="4"/>
  <c r="Z106" i="3" s="1"/>
  <c r="Y195" i="6"/>
  <c r="AG195" i="5"/>
  <c r="AH195" i="5" s="1"/>
  <c r="U195" i="5"/>
  <c r="AF195" i="5"/>
  <c r="Y195" i="5" s="1"/>
  <c r="Z195" i="6" s="1"/>
  <c r="U60" i="4"/>
  <c r="Y60" i="4"/>
  <c r="Z200" i="3" s="1"/>
  <c r="Y200" i="3"/>
  <c r="AF55" i="5"/>
  <c r="Y55" i="5" s="1"/>
  <c r="Z55" i="6" s="1"/>
  <c r="U55" i="5"/>
  <c r="AG55" i="5"/>
  <c r="AH55" i="5" s="1"/>
  <c r="Y55" i="6"/>
  <c r="Y201" i="3"/>
  <c r="Y99" i="4"/>
  <c r="Z201" i="3" s="1"/>
  <c r="U99" i="4"/>
  <c r="AG78" i="5"/>
  <c r="AH78" i="5" s="1"/>
  <c r="Y78" i="6"/>
  <c r="U78" i="5"/>
  <c r="AF78" i="5"/>
  <c r="Y78" i="5" s="1"/>
  <c r="Z78" i="6" s="1"/>
  <c r="U114" i="4"/>
  <c r="Y114" i="4"/>
  <c r="Z111" i="3" s="1"/>
  <c r="Y111" i="3"/>
  <c r="Y125" i="3"/>
  <c r="U54" i="4"/>
  <c r="Y54" i="4"/>
  <c r="Z125" i="3" s="1"/>
  <c r="U153" i="5"/>
  <c r="AG153" i="5"/>
  <c r="AH153" i="5" s="1"/>
  <c r="AF153" i="5"/>
  <c r="Y153" i="5" s="1"/>
  <c r="Z153" i="6" s="1"/>
  <c r="Y153" i="6"/>
  <c r="U72" i="5"/>
  <c r="AF72" i="5"/>
  <c r="Y72" i="5" s="1"/>
  <c r="Z72" i="6" s="1"/>
  <c r="Y72" i="6"/>
  <c r="AG72" i="5"/>
  <c r="AH72" i="5" s="1"/>
  <c r="U173" i="4"/>
  <c r="Y32" i="3"/>
  <c r="Y173" i="4"/>
  <c r="Z32" i="3" s="1"/>
  <c r="Y166" i="6"/>
  <c r="AG166" i="5"/>
  <c r="AH166" i="5" s="1"/>
  <c r="AF166" i="5"/>
  <c r="Y166" i="5" s="1"/>
  <c r="Z166" i="6" s="1"/>
  <c r="U166" i="5"/>
  <c r="AF32" i="5"/>
  <c r="Y32" i="5" s="1"/>
  <c r="Z32" i="6" s="1"/>
  <c r="U32" i="5"/>
  <c r="Y32" i="6"/>
  <c r="AG32" i="5"/>
  <c r="AH32" i="5" s="1"/>
  <c r="AF25" i="5"/>
  <c r="Y25" i="5" s="1"/>
  <c r="Z25" i="6" s="1"/>
  <c r="Y25" i="6"/>
  <c r="AG25" i="5"/>
  <c r="AH25" i="5" s="1"/>
  <c r="U25" i="5"/>
  <c r="Y139" i="6"/>
  <c r="AG139" i="5"/>
  <c r="AH139" i="5" s="1"/>
  <c r="AF139" i="5"/>
  <c r="Y139" i="5" s="1"/>
  <c r="Z139" i="6" s="1"/>
  <c r="U139" i="5"/>
  <c r="Y179" i="4"/>
  <c r="Z191" i="3" s="1"/>
  <c r="U179" i="4"/>
  <c r="Y191" i="3"/>
  <c r="Y13" i="3"/>
  <c r="U4" i="4"/>
  <c r="Y4" i="4"/>
  <c r="Z13" i="3" s="1"/>
  <c r="Y39" i="6"/>
  <c r="U39" i="5"/>
  <c r="AF39" i="5"/>
  <c r="Y39" i="5" s="1"/>
  <c r="Z39" i="6" s="1"/>
  <c r="AG39" i="5"/>
  <c r="AH39" i="5" s="1"/>
  <c r="Y189" i="4"/>
  <c r="Z52" i="3" s="1"/>
  <c r="Y52" i="3"/>
  <c r="U189" i="4"/>
  <c r="AG8" i="5"/>
  <c r="AH8" i="5" s="1"/>
  <c r="Y8" i="6"/>
  <c r="U8" i="5"/>
  <c r="AF8" i="5"/>
  <c r="Y8" i="5" s="1"/>
  <c r="Z8" i="6" s="1"/>
  <c r="Y162" i="6"/>
  <c r="U162" i="5"/>
  <c r="AG162" i="5"/>
  <c r="AH162" i="5" s="1"/>
  <c r="AF162" i="5"/>
  <c r="Y162" i="5" s="1"/>
  <c r="Z162" i="6" s="1"/>
  <c r="Y139" i="3"/>
  <c r="U61" i="4"/>
  <c r="Y61" i="4"/>
  <c r="Z139" i="3" s="1"/>
  <c r="AG19" i="5"/>
  <c r="AH19" i="5" s="1"/>
  <c r="U19" i="5"/>
  <c r="AF19" i="5"/>
  <c r="Y19" i="5" s="1"/>
  <c r="Z19" i="6" s="1"/>
  <c r="Y19" i="6"/>
  <c r="Y121" i="3"/>
  <c r="U194" i="4"/>
  <c r="Y194" i="4"/>
  <c r="Z121" i="3" s="1"/>
  <c r="Y87" i="3"/>
  <c r="U169" i="4"/>
  <c r="Y169" i="4"/>
  <c r="Z87" i="3" s="1"/>
  <c r="U200" i="5"/>
  <c r="AG200" i="5"/>
  <c r="AH200" i="5" s="1"/>
  <c r="Y200" i="6"/>
  <c r="AF200" i="5"/>
  <c r="Y200" i="5" s="1"/>
  <c r="Z200" i="6" s="1"/>
  <c r="U15" i="4"/>
  <c r="Y75" i="3"/>
  <c r="Y15" i="4"/>
  <c r="Z75" i="3" s="1"/>
  <c r="U38" i="4"/>
  <c r="Y38" i="4"/>
  <c r="Z109" i="3" s="1"/>
  <c r="Y109" i="3"/>
  <c r="U163" i="4"/>
  <c r="Y122" i="3"/>
  <c r="Y163" i="4"/>
  <c r="Z122" i="3" s="1"/>
  <c r="Y29" i="4"/>
  <c r="Z178" i="3" s="1"/>
  <c r="U29" i="4"/>
  <c r="Y178" i="3"/>
  <c r="Y48" i="3"/>
  <c r="Y41" i="4"/>
  <c r="Z48" i="3" s="1"/>
  <c r="U41" i="4"/>
  <c r="U43" i="5"/>
  <c r="Y43" i="6"/>
  <c r="AF43" i="5"/>
  <c r="Y43" i="5" s="1"/>
  <c r="Z43" i="6" s="1"/>
  <c r="AG43" i="5"/>
  <c r="AH43" i="5" s="1"/>
  <c r="Y107" i="3"/>
  <c r="U158" i="4"/>
  <c r="Y158" i="4"/>
  <c r="Z107" i="3" s="1"/>
  <c r="U199" i="4"/>
  <c r="Y199" i="4"/>
  <c r="Z196" i="3" s="1"/>
  <c r="Y196" i="3"/>
  <c r="Y25" i="4"/>
  <c r="Z43" i="3" s="1"/>
  <c r="Y43" i="3"/>
  <c r="U25" i="4"/>
  <c r="Y129" i="6"/>
  <c r="AG129" i="5"/>
  <c r="AH129" i="5" s="1"/>
  <c r="AF129" i="5"/>
  <c r="Y129" i="5" s="1"/>
  <c r="Z129" i="6" s="1"/>
  <c r="U129" i="5"/>
  <c r="U90" i="5"/>
  <c r="AG90" i="5"/>
  <c r="AH90" i="5" s="1"/>
  <c r="AF90" i="5"/>
  <c r="Y90" i="5" s="1"/>
  <c r="Z90" i="6" s="1"/>
  <c r="Y90" i="6"/>
  <c r="Y114" i="3"/>
  <c r="Y78" i="4"/>
  <c r="Z114" i="3" s="1"/>
  <c r="U78" i="4"/>
  <c r="AG140" i="5"/>
  <c r="AH140" i="5" s="1"/>
  <c r="AF140" i="5"/>
  <c r="Y140" i="5" s="1"/>
  <c r="Z140" i="6" s="1"/>
  <c r="Y140" i="6"/>
  <c r="U140" i="5"/>
  <c r="U116" i="5"/>
  <c r="AF116" i="5"/>
  <c r="Y116" i="5" s="1"/>
  <c r="Z116" i="6" s="1"/>
  <c r="AG116" i="5"/>
  <c r="AH116" i="5" s="1"/>
  <c r="Y116" i="6"/>
  <c r="Y62" i="3"/>
  <c r="Y76" i="4"/>
  <c r="Z62" i="3" s="1"/>
  <c r="U76" i="4"/>
  <c r="Y65" i="4"/>
  <c r="Z146" i="3" s="1"/>
  <c r="U65" i="4"/>
  <c r="Y146" i="3"/>
  <c r="U104" i="4"/>
  <c r="Y112" i="3"/>
  <c r="Y104" i="4"/>
  <c r="Z112" i="3" s="1"/>
  <c r="U192" i="4"/>
  <c r="Y20" i="3"/>
  <c r="Y192" i="4"/>
  <c r="Z20" i="3" s="1"/>
  <c r="Y81" i="4"/>
  <c r="Z11" i="3" s="1"/>
  <c r="U81" i="4"/>
  <c r="Y11" i="3"/>
  <c r="U182" i="5"/>
  <c r="AG182" i="5"/>
  <c r="AH182" i="5" s="1"/>
  <c r="AF182" i="5"/>
  <c r="Y182" i="5" s="1"/>
  <c r="Z182" i="6" s="1"/>
  <c r="Y182" i="6"/>
  <c r="Y119" i="3"/>
  <c r="U134" i="4"/>
  <c r="Y134" i="4"/>
  <c r="Z119" i="3" s="1"/>
  <c r="U184" i="5"/>
  <c r="AG184" i="5"/>
  <c r="AH184" i="5" s="1"/>
  <c r="AF184" i="5"/>
  <c r="Y184" i="5" s="1"/>
  <c r="Z184" i="6" s="1"/>
  <c r="Y184" i="6"/>
  <c r="AG196" i="5"/>
  <c r="AH196" i="5" s="1"/>
  <c r="Y196" i="6"/>
  <c r="U196" i="5"/>
  <c r="AF196" i="5"/>
  <c r="Y196" i="5" s="1"/>
  <c r="Z196" i="6" s="1"/>
  <c r="Y145" i="4"/>
  <c r="Z18" i="3" s="1"/>
  <c r="Y18" i="3"/>
  <c r="U145" i="4"/>
  <c r="Y28" i="4"/>
  <c r="Z46" i="3" s="1"/>
  <c r="Y46" i="3"/>
  <c r="U28" i="4"/>
  <c r="AG89" i="5"/>
  <c r="AH89" i="5" s="1"/>
  <c r="Y89" i="6"/>
  <c r="U89" i="5"/>
  <c r="AF89" i="5"/>
  <c r="Y89" i="5" s="1"/>
  <c r="Z89" i="6" s="1"/>
  <c r="U16" i="5"/>
  <c r="Y16" i="6"/>
  <c r="AG16" i="5"/>
  <c r="AH16" i="5" s="1"/>
  <c r="AF16" i="5"/>
  <c r="Y16" i="5" s="1"/>
  <c r="Z16" i="6" s="1"/>
  <c r="AF99" i="5"/>
  <c r="Y99" i="5" s="1"/>
  <c r="Z99" i="6" s="1"/>
  <c r="U99" i="5"/>
  <c r="Y99" i="6"/>
  <c r="AG99" i="5"/>
  <c r="AH99" i="5" s="1"/>
  <c r="U108" i="5"/>
  <c r="AF108" i="5"/>
  <c r="Y108" i="5" s="1"/>
  <c r="Z108" i="6" s="1"/>
  <c r="AG108" i="5"/>
  <c r="AH108" i="5" s="1"/>
  <c r="Y108" i="6"/>
  <c r="Y149" i="4"/>
  <c r="Z73" i="3" s="1"/>
  <c r="U149" i="4"/>
  <c r="Y73" i="3"/>
  <c r="AF126" i="5"/>
  <c r="Y126" i="5" s="1"/>
  <c r="Z126" i="6" s="1"/>
  <c r="AG126" i="5"/>
  <c r="AH126" i="5" s="1"/>
  <c r="Y126" i="6"/>
  <c r="U126" i="5"/>
  <c r="Y162" i="4"/>
  <c r="Z181" i="3" s="1"/>
  <c r="U162" i="4"/>
  <c r="Y181" i="3"/>
  <c r="AF142" i="5"/>
  <c r="Y142" i="5" s="1"/>
  <c r="Z142" i="6" s="1"/>
  <c r="U142" i="5"/>
  <c r="AG142" i="5"/>
  <c r="AH142" i="5" s="1"/>
  <c r="Y142" i="6"/>
  <c r="Y59" i="3"/>
  <c r="Y84" i="4"/>
  <c r="Z59" i="3" s="1"/>
  <c r="U84" i="4"/>
  <c r="U206" i="4"/>
  <c r="Y86" i="3"/>
  <c r="Y206" i="4"/>
  <c r="Z86" i="3" s="1"/>
  <c r="Y54" i="3"/>
  <c r="U130" i="4"/>
  <c r="Y130" i="4"/>
  <c r="Z54" i="3" s="1"/>
  <c r="Y161" i="4"/>
  <c r="Z154" i="3" s="1"/>
  <c r="Y154" i="3"/>
  <c r="U161" i="4"/>
  <c r="T7" i="5"/>
  <c r="U85" i="4"/>
  <c r="Y85" i="4"/>
  <c r="Z47" i="3" s="1"/>
  <c r="Y47" i="3"/>
  <c r="Y4" i="3"/>
  <c r="Y180" i="4"/>
  <c r="Z4" i="3" s="1"/>
  <c r="U180" i="4"/>
  <c r="AF76" i="5"/>
  <c r="Y76" i="5" s="1"/>
  <c r="Z76" i="6" s="1"/>
  <c r="Y76" i="6"/>
  <c r="AG76" i="5"/>
  <c r="AH76" i="5" s="1"/>
  <c r="U76" i="5"/>
  <c r="Y7" i="4"/>
  <c r="Z94" i="3" s="1"/>
  <c r="U7" i="4"/>
  <c r="Y94" i="3"/>
  <c r="U121" i="4"/>
  <c r="Y121" i="4"/>
  <c r="Z83" i="3" s="1"/>
  <c r="Y83" i="3"/>
  <c r="U74" i="4"/>
  <c r="Y39" i="3"/>
  <c r="Y74" i="4"/>
  <c r="Z39" i="3" s="1"/>
  <c r="Y203" i="3"/>
  <c r="U22" i="4"/>
  <c r="Y22" i="4"/>
  <c r="Z203" i="3" s="1"/>
  <c r="U21" i="4"/>
  <c r="Y90" i="3"/>
  <c r="Y21" i="4"/>
  <c r="Z90" i="3" s="1"/>
  <c r="Y195" i="4"/>
  <c r="Z26" i="3" s="1"/>
  <c r="Y26" i="3"/>
  <c r="U195" i="4"/>
  <c r="U36" i="4"/>
  <c r="Y36" i="4"/>
  <c r="Z206" i="3" s="1"/>
  <c r="Y206" i="3"/>
  <c r="AF183" i="5"/>
  <c r="Y183" i="5" s="1"/>
  <c r="Z183" i="6" s="1"/>
  <c r="Y183" i="6"/>
  <c r="U183" i="5"/>
  <c r="AG183" i="5"/>
  <c r="AH183" i="5" s="1"/>
  <c r="AG128" i="5"/>
  <c r="AH128" i="5" s="1"/>
  <c r="Y128" i="6"/>
  <c r="U128" i="5"/>
  <c r="AF128" i="5"/>
  <c r="Y128" i="5" s="1"/>
  <c r="Z128" i="6" s="1"/>
  <c r="T123" i="5"/>
  <c r="Y28" i="6"/>
  <c r="AG28" i="5"/>
  <c r="AH28" i="5" s="1"/>
  <c r="AF28" i="5"/>
  <c r="Y28" i="5" s="1"/>
  <c r="Z28" i="6" s="1"/>
  <c r="U28" i="5"/>
  <c r="U150" i="4"/>
  <c r="Y42" i="3"/>
  <c r="Y150" i="4"/>
  <c r="Z42" i="3" s="1"/>
  <c r="T115" i="4"/>
  <c r="T178" i="5"/>
  <c r="T56" i="5"/>
  <c r="Y187" i="4"/>
  <c r="Z8" i="3" s="1"/>
  <c r="U187" i="4"/>
  <c r="Y8" i="3"/>
  <c r="T72" i="4"/>
  <c r="Y57" i="4"/>
  <c r="Z173" i="3" s="1"/>
  <c r="Y173" i="3"/>
  <c r="U57" i="4"/>
  <c r="T75" i="5"/>
  <c r="AF193" i="5"/>
  <c r="Y193" i="5" s="1"/>
  <c r="Z193" i="6" s="1"/>
  <c r="AG193" i="5"/>
  <c r="AH193" i="5" s="1"/>
  <c r="Y193" i="6"/>
  <c r="U193" i="5"/>
  <c r="U34" i="5"/>
  <c r="AG34" i="5"/>
  <c r="AH34" i="5" s="1"/>
  <c r="AF34" i="5"/>
  <c r="Y34" i="5" s="1"/>
  <c r="Z34" i="6" s="1"/>
  <c r="Y34" i="6"/>
  <c r="Y204" i="6"/>
  <c r="AG204" i="5"/>
  <c r="AH204" i="5" s="1"/>
  <c r="U204" i="5"/>
  <c r="AF204" i="5"/>
  <c r="Y204" i="5" s="1"/>
  <c r="Z204" i="6" s="1"/>
  <c r="AF181" i="5"/>
  <c r="Y181" i="5" s="1"/>
  <c r="Z181" i="6" s="1"/>
  <c r="U181" i="5"/>
  <c r="AG181" i="5"/>
  <c r="AH181" i="5" s="1"/>
  <c r="Y181" i="6"/>
  <c r="Y38" i="3"/>
  <c r="Y52" i="4"/>
  <c r="Z38" i="3" s="1"/>
  <c r="U52" i="4"/>
  <c r="Y63" i="3"/>
  <c r="U73" i="4"/>
  <c r="Y73" i="4"/>
  <c r="Z63" i="3" s="1"/>
  <c r="Y51" i="4"/>
  <c r="Z7" i="3" s="1"/>
  <c r="U51" i="4"/>
  <c r="Y7" i="3"/>
  <c r="U178" i="4"/>
  <c r="Y15" i="3"/>
  <c r="Y178" i="4"/>
  <c r="Z15" i="3" s="1"/>
  <c r="Y176" i="4"/>
  <c r="Z71" i="3" s="1"/>
  <c r="U176" i="4"/>
  <c r="Y71" i="3"/>
  <c r="T107" i="5"/>
  <c r="AG92" i="5"/>
  <c r="AH92" i="5" s="1"/>
  <c r="Y92" i="6"/>
  <c r="AF92" i="5"/>
  <c r="Y92" i="5" s="1"/>
  <c r="Z92" i="6" s="1"/>
  <c r="U92" i="5"/>
  <c r="T137" i="5"/>
  <c r="T171" i="5"/>
  <c r="Y87" i="6"/>
  <c r="U87" i="5"/>
  <c r="AF87" i="5"/>
  <c r="Y87" i="5" s="1"/>
  <c r="Z87" i="6" s="1"/>
  <c r="AG87" i="5"/>
  <c r="AH87" i="5" s="1"/>
  <c r="AG18" i="5"/>
  <c r="AH18" i="5" s="1"/>
  <c r="AF18" i="5"/>
  <c r="Y18" i="5" s="1"/>
  <c r="Z18" i="6" s="1"/>
  <c r="Y18" i="6"/>
  <c r="U18" i="5"/>
  <c r="T97" i="5"/>
  <c r="Y182" i="3"/>
  <c r="U31" i="4"/>
  <c r="Y31" i="4"/>
  <c r="Z182" i="3" s="1"/>
  <c r="Y168" i="3"/>
  <c r="U37" i="4"/>
  <c r="Y37" i="4"/>
  <c r="Z168" i="3" s="1"/>
  <c r="T164" i="5"/>
  <c r="Y30" i="4"/>
  <c r="Z131" i="3" s="1"/>
  <c r="U30" i="4"/>
  <c r="Y131" i="3"/>
  <c r="U193" i="4"/>
  <c r="Y193" i="4"/>
  <c r="Z77" i="3" s="1"/>
  <c r="Y77" i="3"/>
  <c r="U94" i="4"/>
  <c r="Y94" i="4"/>
  <c r="Z108" i="3" s="1"/>
  <c r="Y108" i="3"/>
  <c r="U13" i="4"/>
  <c r="Y13" i="4"/>
  <c r="Z158" i="3" s="1"/>
  <c r="Y158" i="3"/>
  <c r="T136" i="5"/>
  <c r="T199" i="5"/>
  <c r="T105" i="4"/>
  <c r="T74" i="5"/>
  <c r="U151" i="5"/>
  <c r="Y151" i="6"/>
  <c r="AG151" i="5"/>
  <c r="AH151" i="5" s="1"/>
  <c r="AF151" i="5"/>
  <c r="Y151" i="5" s="1"/>
  <c r="Z151" i="6" s="1"/>
  <c r="Y130" i="3"/>
  <c r="U5" i="4"/>
  <c r="Y5" i="4"/>
  <c r="Z130" i="3" s="1"/>
  <c r="AF52" i="5"/>
  <c r="Y52" i="5" s="1"/>
  <c r="Z52" i="6" s="1"/>
  <c r="AG52" i="5"/>
  <c r="AH52" i="5" s="1"/>
  <c r="Y52" i="6"/>
  <c r="U52" i="5"/>
  <c r="U119" i="4"/>
  <c r="Y81" i="3"/>
  <c r="Y119" i="4"/>
  <c r="Z81" i="3" s="1"/>
  <c r="Y56" i="3"/>
  <c r="U100" i="4"/>
  <c r="Y100" i="4"/>
  <c r="Z56" i="3" s="1"/>
  <c r="T121" i="5"/>
  <c r="T8" i="4"/>
  <c r="U20" i="5"/>
  <c r="AF20" i="5"/>
  <c r="Y20" i="5" s="1"/>
  <c r="Z20" i="6" s="1"/>
  <c r="Y20" i="6"/>
  <c r="AG20" i="5"/>
  <c r="AH20" i="5" s="1"/>
  <c r="T65" i="5"/>
  <c r="Y79" i="4"/>
  <c r="Z118" i="3" s="1"/>
  <c r="Y118" i="3"/>
  <c r="U79" i="4"/>
  <c r="Y126" i="4"/>
  <c r="Z176" i="3" s="1"/>
  <c r="U126" i="4"/>
  <c r="Y176" i="3"/>
  <c r="U9" i="4"/>
  <c r="Y9" i="4"/>
  <c r="Z16" i="3" s="1"/>
  <c r="Y16" i="3"/>
  <c r="T83" i="4"/>
  <c r="T200" i="4"/>
  <c r="T26" i="5"/>
  <c r="T40" i="5"/>
  <c r="T82" i="5"/>
  <c r="T36" i="5"/>
  <c r="Y171" i="4"/>
  <c r="Z70" i="3" s="1"/>
  <c r="Y70" i="3"/>
  <c r="U171" i="4"/>
  <c r="T90" i="4"/>
  <c r="T101" i="5"/>
  <c r="T117" i="4"/>
  <c r="T86" i="5"/>
  <c r="Y105" i="6"/>
  <c r="AG105" i="5"/>
  <c r="AH105" i="5" s="1"/>
  <c r="U105" i="5"/>
  <c r="AF105" i="5"/>
  <c r="Y105" i="5" s="1"/>
  <c r="Z105" i="6" s="1"/>
  <c r="Y101" i="4"/>
  <c r="Z143" i="3" s="1"/>
  <c r="Y143" i="3"/>
  <c r="U101" i="4"/>
  <c r="Y67" i="4"/>
  <c r="Z194" i="3" s="1"/>
  <c r="U67" i="4"/>
  <c r="Y194" i="3"/>
  <c r="T146" i="5"/>
  <c r="Y150" i="6"/>
  <c r="U150" i="5"/>
  <c r="AF150" i="5"/>
  <c r="Y150" i="5" s="1"/>
  <c r="Z150" i="6" s="1"/>
  <c r="AG150" i="5"/>
  <c r="AH150" i="5" s="1"/>
  <c r="AG173" i="5"/>
  <c r="AH173" i="5" s="1"/>
  <c r="Y173" i="6"/>
  <c r="AF173" i="5"/>
  <c r="Y173" i="5" s="1"/>
  <c r="Z173" i="6" s="1"/>
  <c r="U173" i="5"/>
  <c r="Y120" i="6"/>
  <c r="AG120" i="5"/>
  <c r="AH120" i="5" s="1"/>
  <c r="AF120" i="5"/>
  <c r="Y120" i="5" s="1"/>
  <c r="Z120" i="6" s="1"/>
  <c r="U120" i="5"/>
  <c r="T154" i="4"/>
  <c r="Y165" i="6"/>
  <c r="AF165" i="5"/>
  <c r="Y165" i="5" s="1"/>
  <c r="Z165" i="6" s="1"/>
  <c r="AG165" i="5"/>
  <c r="AH165" i="5" s="1"/>
  <c r="U165" i="5"/>
  <c r="T37" i="5"/>
  <c r="T82" i="4"/>
  <c r="T116" i="4"/>
  <c r="AF21" i="5"/>
  <c r="Y21" i="5" s="1"/>
  <c r="Z21" i="6" s="1"/>
  <c r="U21" i="5"/>
  <c r="Y21" i="6"/>
  <c r="AG21" i="5"/>
  <c r="AH21" i="5" s="1"/>
  <c r="T155" i="4"/>
  <c r="T131" i="5"/>
  <c r="T24" i="4"/>
  <c r="U71" i="5"/>
  <c r="AG71" i="5"/>
  <c r="AH71" i="5" s="1"/>
  <c r="AF71" i="5"/>
  <c r="Y71" i="5" s="1"/>
  <c r="Z71" i="6" s="1"/>
  <c r="Y71" i="6"/>
  <c r="T182" i="4"/>
  <c r="T27" i="5"/>
  <c r="T45" i="5"/>
  <c r="T12" i="4"/>
  <c r="T18" i="4"/>
  <c r="T64" i="4"/>
  <c r="T160" i="4"/>
  <c r="T97" i="4"/>
  <c r="T44" i="5"/>
  <c r="Y146" i="4"/>
  <c r="Z202" i="3" s="1"/>
  <c r="Y202" i="3"/>
  <c r="U146" i="4"/>
  <c r="U47" i="4"/>
  <c r="Y138" i="3"/>
  <c r="Y47" i="4"/>
  <c r="Z138" i="3" s="1"/>
  <c r="AG159" i="5"/>
  <c r="AH159" i="5" s="1"/>
  <c r="U159" i="5"/>
  <c r="Y159" i="6"/>
  <c r="AF159" i="5"/>
  <c r="Y159" i="5" s="1"/>
  <c r="Z159" i="6" s="1"/>
  <c r="T71" i="4"/>
  <c r="T129" i="4"/>
  <c r="T177" i="4"/>
  <c r="T122" i="4"/>
  <c r="AG190" i="5"/>
  <c r="AH190" i="5" s="1"/>
  <c r="U190" i="5"/>
  <c r="AF190" i="5"/>
  <c r="Y190" i="5" s="1"/>
  <c r="Z190" i="6" s="1"/>
  <c r="Y190" i="6"/>
  <c r="Y70" i="6"/>
  <c r="U70" i="5"/>
  <c r="AG70" i="5"/>
  <c r="AH70" i="5" s="1"/>
  <c r="AF70" i="5"/>
  <c r="Y70" i="5" s="1"/>
  <c r="Z70" i="6" s="1"/>
  <c r="AG93" i="5"/>
  <c r="AH93" i="5" s="1"/>
  <c r="AF93" i="5"/>
  <c r="Y93" i="5" s="1"/>
  <c r="Z93" i="6" s="1"/>
  <c r="U93" i="5"/>
  <c r="Y93" i="6"/>
  <c r="T23" i="4"/>
  <c r="AF103" i="5"/>
  <c r="Y103" i="5" s="1"/>
  <c r="Z103" i="6" s="1"/>
  <c r="U103" i="5"/>
  <c r="Y103" i="6"/>
  <c r="AG103" i="5"/>
  <c r="AH103" i="5" s="1"/>
  <c r="T17" i="4"/>
  <c r="T98" i="4"/>
  <c r="U161" i="5"/>
  <c r="AG161" i="5"/>
  <c r="AH161" i="5" s="1"/>
  <c r="AF161" i="5"/>
  <c r="Y161" i="5" s="1"/>
  <c r="Z161" i="6" s="1"/>
  <c r="Y161" i="6"/>
  <c r="AF170" i="5"/>
  <c r="Y170" i="5" s="1"/>
  <c r="Z170" i="6" s="1"/>
  <c r="Y170" i="6"/>
  <c r="U170" i="5"/>
  <c r="AG170" i="5"/>
  <c r="AH170" i="5" s="1"/>
  <c r="T83" i="5"/>
  <c r="Y80" i="4"/>
  <c r="Z66" i="3" s="1"/>
  <c r="Y66" i="3"/>
  <c r="U80" i="4"/>
  <c r="U113" i="4"/>
  <c r="Y57" i="3"/>
  <c r="Y113" i="4"/>
  <c r="Z57" i="3" s="1"/>
  <c r="Y129" i="3"/>
  <c r="Y152" i="4"/>
  <c r="Z129" i="3" s="1"/>
  <c r="U152" i="4"/>
  <c r="T154" i="5"/>
  <c r="U100" i="5"/>
  <c r="AG100" i="5"/>
  <c r="AH100" i="5" s="1"/>
  <c r="AF100" i="5"/>
  <c r="Y100" i="5" s="1"/>
  <c r="Z100" i="6" s="1"/>
  <c r="Y100" i="6"/>
  <c r="U205" i="5"/>
  <c r="Y205" i="6"/>
  <c r="AG205" i="5"/>
  <c r="AH205" i="5" s="1"/>
  <c r="AF205" i="5"/>
  <c r="Y205" i="5" s="1"/>
  <c r="Z205" i="6" s="1"/>
  <c r="Y179" i="6"/>
  <c r="U179" i="5"/>
  <c r="AF179" i="5"/>
  <c r="Y179" i="5" s="1"/>
  <c r="Z179" i="6" s="1"/>
  <c r="AG179" i="5"/>
  <c r="AH179" i="5" s="1"/>
  <c r="U3" i="5"/>
  <c r="AF3" i="5"/>
  <c r="Y3" i="5" s="1"/>
  <c r="Z3" i="6" s="1"/>
  <c r="Y3" i="6"/>
  <c r="AG3" i="5"/>
  <c r="AH3" i="5" s="1"/>
  <c r="U163" i="5"/>
  <c r="Y163" i="6"/>
  <c r="AF163" i="5"/>
  <c r="Y163" i="5" s="1"/>
  <c r="Z163" i="6" s="1"/>
  <c r="AG163" i="5"/>
  <c r="AH163" i="5" s="1"/>
  <c r="AF24" i="5"/>
  <c r="Y24" i="5" s="1"/>
  <c r="Z24" i="6" s="1"/>
  <c r="AG24" i="5"/>
  <c r="AH24" i="5" s="1"/>
  <c r="U24" i="5"/>
  <c r="Y24" i="6"/>
  <c r="AG133" i="5"/>
  <c r="AH133" i="5" s="1"/>
  <c r="AF133" i="5"/>
  <c r="Y133" i="5" s="1"/>
  <c r="Z133" i="6" s="1"/>
  <c r="U133" i="5"/>
  <c r="Y133" i="6"/>
  <c r="T63" i="5"/>
  <c r="U141" i="5"/>
  <c r="Y141" i="6"/>
  <c r="AF141" i="5"/>
  <c r="Y141" i="5" s="1"/>
  <c r="Z141" i="6" s="1"/>
  <c r="AG141" i="5"/>
  <c r="AH141" i="5" s="1"/>
  <c r="T123" i="4"/>
  <c r="T184" i="4"/>
  <c r="AF189" i="5"/>
  <c r="Y189" i="5" s="1"/>
  <c r="Z189" i="6" s="1"/>
  <c r="Y189" i="6"/>
  <c r="U189" i="5"/>
  <c r="AG189" i="5"/>
  <c r="AH189" i="5" s="1"/>
  <c r="T142" i="4"/>
  <c r="T11" i="4"/>
  <c r="Y44" i="4"/>
  <c r="Z205" i="3" s="1"/>
  <c r="Y205" i="3"/>
  <c r="U44" i="4"/>
  <c r="T87" i="4"/>
  <c r="U62" i="4"/>
  <c r="Y62" i="4"/>
  <c r="Z141" i="3" s="1"/>
  <c r="Y141" i="3"/>
  <c r="U102" i="4"/>
  <c r="Y144" i="3"/>
  <c r="Y102" i="4"/>
  <c r="Z144" i="3" s="1"/>
  <c r="Y127" i="4"/>
  <c r="Z127" i="3" s="1"/>
  <c r="Y127" i="3"/>
  <c r="U127" i="4"/>
  <c r="T110" i="4"/>
  <c r="U175" i="4"/>
  <c r="Y175" i="4"/>
  <c r="Z166" i="3" s="1"/>
  <c r="Y166" i="3"/>
  <c r="T130" i="5"/>
  <c r="AF15" i="5"/>
  <c r="Y15" i="5" s="1"/>
  <c r="Z15" i="6" s="1"/>
  <c r="AG15" i="5"/>
  <c r="AH15" i="5" s="1"/>
  <c r="U15" i="5"/>
  <c r="Y15" i="6"/>
  <c r="Y93" i="4"/>
  <c r="Z41" i="3" s="1"/>
  <c r="U93" i="4"/>
  <c r="Y41" i="3"/>
  <c r="AF135" i="5"/>
  <c r="Y135" i="5" s="1"/>
  <c r="Z135" i="6" s="1"/>
  <c r="U135" i="5"/>
  <c r="AG135" i="5"/>
  <c r="AH135" i="5" s="1"/>
  <c r="Y135" i="6"/>
  <c r="AG42" i="5"/>
  <c r="AH42" i="5" s="1"/>
  <c r="AF42" i="5"/>
  <c r="Y42" i="5" s="1"/>
  <c r="Z42" i="6" s="1"/>
  <c r="U42" i="5"/>
  <c r="Y42" i="6"/>
  <c r="U137" i="4"/>
  <c r="Y137" i="4"/>
  <c r="Z64" i="3" s="1"/>
  <c r="Y64" i="3"/>
  <c r="Y120" i="4"/>
  <c r="Z44" i="3" s="1"/>
  <c r="U120" i="4"/>
  <c r="Y44" i="3"/>
  <c r="U50" i="4"/>
  <c r="Y45" i="3"/>
  <c r="Y50" i="4"/>
  <c r="Z45" i="3" s="1"/>
  <c r="U198" i="4"/>
  <c r="Y198" i="4"/>
  <c r="Z195" i="3" s="1"/>
  <c r="Y195" i="3"/>
  <c r="T112" i="5"/>
  <c r="U166" i="4"/>
  <c r="Y82" i="3"/>
  <c r="Y166" i="4"/>
  <c r="Z82" i="3" s="1"/>
  <c r="AG98" i="5"/>
  <c r="AH98" i="5" s="1"/>
  <c r="U98" i="5"/>
  <c r="AF98" i="5"/>
  <c r="Y98" i="5" s="1"/>
  <c r="Z98" i="6" s="1"/>
  <c r="Y98" i="6"/>
  <c r="Y53" i="3"/>
  <c r="U86" i="4"/>
  <c r="Y86" i="4"/>
  <c r="Z53" i="3" s="1"/>
  <c r="T156" i="5"/>
  <c r="AG191" i="5"/>
  <c r="AH191" i="5" s="1"/>
  <c r="Y191" i="6"/>
  <c r="AF191" i="5"/>
  <c r="Y191" i="5" s="1"/>
  <c r="Z191" i="6" s="1"/>
  <c r="U191" i="5"/>
  <c r="Y12" i="3"/>
  <c r="U183" i="4"/>
  <c r="Y183" i="4"/>
  <c r="Z12" i="3" s="1"/>
  <c r="AF152" i="5"/>
  <c r="Y152" i="5" s="1"/>
  <c r="Z152" i="6" s="1"/>
  <c r="U152" i="5"/>
  <c r="AG152" i="5"/>
  <c r="AH152" i="5" s="1"/>
  <c r="Y152" i="6"/>
  <c r="U174" i="4"/>
  <c r="Y110" i="3"/>
  <c r="Y174" i="4"/>
  <c r="Z110" i="3" s="1"/>
  <c r="T30" i="5"/>
  <c r="AG85" i="5"/>
  <c r="AH85" i="5" s="1"/>
  <c r="U85" i="5"/>
  <c r="AF85" i="5"/>
  <c r="Y85" i="5" s="1"/>
  <c r="Z85" i="6" s="1"/>
  <c r="Y85" i="6"/>
  <c r="U197" i="4"/>
  <c r="Y197" i="4"/>
  <c r="Z61" i="3" s="1"/>
  <c r="Y61" i="3"/>
  <c r="Y73" i="6"/>
  <c r="AG73" i="5"/>
  <c r="AH73" i="5" s="1"/>
  <c r="U73" i="5"/>
  <c r="AF73" i="5"/>
  <c r="Y73" i="5" s="1"/>
  <c r="Z73" i="6" s="1"/>
  <c r="U188" i="4"/>
  <c r="Y21" i="3"/>
  <c r="Y188" i="4"/>
  <c r="Z21" i="3" s="1"/>
  <c r="T33" i="4"/>
  <c r="T131" i="4"/>
  <c r="AG134" i="5"/>
  <c r="AH134" i="5" s="1"/>
  <c r="AF134" i="5"/>
  <c r="Y134" i="5" s="1"/>
  <c r="Z134" i="6" s="1"/>
  <c r="Y134" i="6"/>
  <c r="U134" i="5"/>
  <c r="T20" i="4"/>
  <c r="U172" i="5"/>
  <c r="AG172" i="5"/>
  <c r="AH172" i="5" s="1"/>
  <c r="AF172" i="5"/>
  <c r="Y172" i="5" s="1"/>
  <c r="Z172" i="6" s="1"/>
  <c r="Y172" i="6"/>
  <c r="U157" i="5"/>
  <c r="AF157" i="5"/>
  <c r="Y157" i="5" s="1"/>
  <c r="Z157" i="6" s="1"/>
  <c r="AG157" i="5"/>
  <c r="AH157" i="5" s="1"/>
  <c r="Y157" i="6"/>
  <c r="T198" i="5"/>
  <c r="Y108" i="4"/>
  <c r="Z101" i="3" s="1"/>
  <c r="Y101" i="3"/>
  <c r="U108" i="4"/>
  <c r="AG109" i="5"/>
  <c r="AH109" i="5" s="1"/>
  <c r="U109" i="5"/>
  <c r="AF109" i="5"/>
  <c r="Y109" i="5" s="1"/>
  <c r="Z109" i="6" s="1"/>
  <c r="Y109" i="6"/>
  <c r="Y155" i="3"/>
  <c r="U135" i="4"/>
  <c r="Y135" i="4"/>
  <c r="Z155" i="3" s="1"/>
  <c r="T127" i="5"/>
  <c r="T17" i="5"/>
  <c r="T106" i="5"/>
  <c r="T186" i="5"/>
  <c r="U153" i="4"/>
  <c r="Y153" i="4"/>
  <c r="Z79" i="3" s="1"/>
  <c r="Y79" i="3"/>
  <c r="T168" i="5"/>
  <c r="Y17" i="3"/>
  <c r="Y75" i="4"/>
  <c r="Z17" i="3" s="1"/>
  <c r="U75" i="4"/>
  <c r="Y125" i="4"/>
  <c r="Z136" i="3" s="1"/>
  <c r="Y136" i="3"/>
  <c r="U125" i="4"/>
  <c r="Y95" i="6"/>
  <c r="AF95" i="5"/>
  <c r="Y95" i="5" s="1"/>
  <c r="Z95" i="6" s="1"/>
  <c r="AG95" i="5"/>
  <c r="AH95" i="5" s="1"/>
  <c r="U95" i="5"/>
  <c r="Y151" i="3"/>
  <c r="U26" i="4"/>
  <c r="Y26" i="4"/>
  <c r="Z151" i="3" s="1"/>
  <c r="T196" i="4"/>
  <c r="U144" i="5"/>
  <c r="AF144" i="5"/>
  <c r="Y144" i="5" s="1"/>
  <c r="Z144" i="6" s="1"/>
  <c r="AG144" i="5"/>
  <c r="AH144" i="5" s="1"/>
  <c r="Y144" i="6"/>
  <c r="AG180" i="5"/>
  <c r="AH180" i="5" s="1"/>
  <c r="U180" i="5"/>
  <c r="AF180" i="5"/>
  <c r="Y180" i="5" s="1"/>
  <c r="Z180" i="6" s="1"/>
  <c r="Y180" i="6"/>
  <c r="T88" i="5"/>
  <c r="T69" i="4"/>
  <c r="AG155" i="5"/>
  <c r="AH155" i="5" s="1"/>
  <c r="AF155" i="5"/>
  <c r="Y155" i="5" s="1"/>
  <c r="Z155" i="6" s="1"/>
  <c r="Y155" i="6"/>
  <c r="U155" i="5"/>
  <c r="U194" i="5"/>
  <c r="Y194" i="6"/>
  <c r="AG194" i="5"/>
  <c r="AH194" i="5" s="1"/>
  <c r="AF194" i="5"/>
  <c r="Y194" i="5" s="1"/>
  <c r="Z194" i="6" s="1"/>
  <c r="Y124" i="4"/>
  <c r="Z23" i="3" s="1"/>
  <c r="Y23" i="3"/>
  <c r="U124" i="4"/>
  <c r="U62" i="5"/>
  <c r="AG62" i="5"/>
  <c r="AH62" i="5" s="1"/>
  <c r="Y62" i="6"/>
  <c r="AF62" i="5"/>
  <c r="Y62" i="5" s="1"/>
  <c r="Z62" i="6" s="1"/>
  <c r="T118" i="5"/>
  <c r="T79" i="5"/>
  <c r="T138" i="5"/>
  <c r="T206" i="5"/>
  <c r="T201" i="5"/>
  <c r="T168" i="4"/>
  <c r="T140" i="4"/>
  <c r="T14" i="5"/>
  <c r="Y139" i="4"/>
  <c r="Z103" i="3" s="1"/>
  <c r="U139" i="4"/>
  <c r="Y103" i="3"/>
  <c r="AF46" i="5"/>
  <c r="Y46" i="5" s="1"/>
  <c r="Z46" i="6" s="1"/>
  <c r="Y46" i="6"/>
  <c r="AG46" i="5"/>
  <c r="AH46" i="5" s="1"/>
  <c r="U46" i="5"/>
  <c r="U13" i="5"/>
  <c r="AG13" i="5"/>
  <c r="AH13" i="5" s="1"/>
  <c r="Y13" i="6"/>
  <c r="AF13" i="5"/>
  <c r="Y13" i="5" s="1"/>
  <c r="Z13" i="6" s="1"/>
  <c r="U204" i="4"/>
  <c r="Y204" i="4"/>
  <c r="Z150" i="3" s="1"/>
  <c r="Y150" i="3"/>
  <c r="Y185" i="4"/>
  <c r="Z69" i="3" s="1"/>
  <c r="Y69" i="3"/>
  <c r="U185" i="4"/>
  <c r="AF77" i="5"/>
  <c r="Y77" i="5" s="1"/>
  <c r="Z77" i="6" s="1"/>
  <c r="U77" i="5"/>
  <c r="AG77" i="5"/>
  <c r="AH77" i="5" s="1"/>
  <c r="Y77" i="6"/>
  <c r="U143" i="5"/>
  <c r="AF143" i="5"/>
  <c r="Y143" i="5" s="1"/>
  <c r="Z143" i="6" s="1"/>
  <c r="Y143" i="6"/>
  <c r="AG143" i="5"/>
  <c r="AH143" i="5" s="1"/>
  <c r="T170" i="4"/>
  <c r="T42" i="4"/>
  <c r="Y33" i="6"/>
  <c r="AG33" i="5"/>
  <c r="AH33" i="5" s="1"/>
  <c r="U33" i="5"/>
  <c r="AF33" i="5"/>
  <c r="Y33" i="5" s="1"/>
  <c r="Z33" i="6" s="1"/>
  <c r="T147" i="4"/>
  <c r="T49" i="5"/>
  <c r="T107" i="4"/>
  <c r="Y74" i="3"/>
  <c r="U159" i="4"/>
  <c r="Y159" i="4"/>
  <c r="Z74" i="3" s="1"/>
  <c r="Y58" i="4"/>
  <c r="Z37" i="3" s="1"/>
  <c r="U58" i="4"/>
  <c r="Y37" i="3"/>
  <c r="T151" i="4"/>
  <c r="T143" i="4"/>
  <c r="T124" i="5"/>
  <c r="T16" i="4"/>
  <c r="Y118" i="4"/>
  <c r="Z33" i="3" s="1"/>
  <c r="U118" i="4"/>
  <c r="Y33" i="3"/>
  <c r="Y6" i="3"/>
  <c r="Y32" i="4"/>
  <c r="Z6" i="3" s="1"/>
  <c r="U32" i="4"/>
  <c r="U148" i="4"/>
  <c r="Y185" i="3"/>
  <c r="Y148" i="4"/>
  <c r="Z185" i="3" s="1"/>
  <c r="U92" i="4"/>
  <c r="Y192" i="3"/>
  <c r="Y92" i="4"/>
  <c r="Z192" i="3" s="1"/>
  <c r="Y6" i="6"/>
  <c r="U6" i="5"/>
  <c r="AF6" i="5"/>
  <c r="Y6" i="5" s="1"/>
  <c r="Z6" i="6" s="1"/>
  <c r="AG6" i="5"/>
  <c r="AH6" i="5" s="1"/>
  <c r="AF38" i="5"/>
  <c r="Y38" i="5" s="1"/>
  <c r="Z38" i="6" s="1"/>
  <c r="Y38" i="6"/>
  <c r="AG38" i="5"/>
  <c r="AH38" i="5" s="1"/>
  <c r="U38" i="5"/>
  <c r="U133" i="4"/>
  <c r="Y25" i="3"/>
  <c r="Y133" i="4"/>
  <c r="Z25" i="3" s="1"/>
  <c r="AF104" i="5"/>
  <c r="Y104" i="5" s="1"/>
  <c r="Z104" i="6" s="1"/>
  <c r="U104" i="5"/>
  <c r="AG104" i="5"/>
  <c r="AH104" i="5" s="1"/>
  <c r="Y104" i="6"/>
  <c r="AF91" i="5"/>
  <c r="Y91" i="5" s="1"/>
  <c r="Z91" i="6" s="1"/>
  <c r="U91" i="5"/>
  <c r="AG91" i="5"/>
  <c r="AH91" i="5" s="1"/>
  <c r="Y91" i="6"/>
  <c r="Y141" i="4"/>
  <c r="Z93" i="3" s="1"/>
  <c r="U141" i="4"/>
  <c r="Y93" i="3"/>
  <c r="T39" i="4"/>
  <c r="T64" i="5"/>
  <c r="U190" i="4"/>
  <c r="Y132" i="3"/>
  <c r="Y190" i="4"/>
  <c r="Z132" i="3" s="1"/>
  <c r="T191" i="4"/>
  <c r="T186" i="4"/>
  <c r="T56" i="4"/>
  <c r="T89" i="4"/>
  <c r="T59" i="4"/>
  <c r="U6" i="4"/>
  <c r="Y55" i="3"/>
  <c r="Y6" i="4"/>
  <c r="Z55" i="3" s="1"/>
  <c r="Y66" i="4"/>
  <c r="Z193" i="3" s="1"/>
  <c r="Y193" i="3"/>
  <c r="U66" i="4"/>
  <c r="T54" i="5"/>
  <c r="Y201" i="4"/>
  <c r="Z147" i="3" s="1"/>
  <c r="Y147" i="3"/>
  <c r="U201" i="4"/>
  <c r="T47" i="5"/>
  <c r="T147" i="5"/>
  <c r="T35" i="5"/>
  <c r="Y5" i="3"/>
  <c r="Y181" i="4"/>
  <c r="Z5" i="3" s="1"/>
  <c r="U181" i="4"/>
  <c r="Y164" i="3"/>
  <c r="Y205" i="4"/>
  <c r="Z164" i="3" s="1"/>
  <c r="U205" i="4"/>
  <c r="U95" i="4"/>
  <c r="Y95" i="4"/>
  <c r="Z169" i="3" s="1"/>
  <c r="Y169" i="3"/>
  <c r="T149" i="5"/>
  <c r="AF167" i="5"/>
  <c r="Y167" i="5" s="1"/>
  <c r="Z167" i="6" s="1"/>
  <c r="AG167" i="5"/>
  <c r="AH167" i="5" s="1"/>
  <c r="Y167" i="6"/>
  <c r="U167" i="5"/>
  <c r="AF111" i="5"/>
  <c r="Y111" i="5" s="1"/>
  <c r="Z111" i="6" s="1"/>
  <c r="Y111" i="6"/>
  <c r="U111" i="5"/>
  <c r="AG111" i="5"/>
  <c r="AH111" i="5" s="1"/>
  <c r="AG48" i="5"/>
  <c r="AH48" i="5" s="1"/>
  <c r="AF48" i="5"/>
  <c r="Y48" i="5" s="1"/>
  <c r="Z48" i="6" s="1"/>
  <c r="Y48" i="6"/>
  <c r="U48" i="5"/>
  <c r="AF57" i="5"/>
  <c r="Y57" i="5" s="1"/>
  <c r="Z57" i="6" s="1"/>
  <c r="AG57" i="5"/>
  <c r="AH57" i="5" s="1"/>
  <c r="Y57" i="6"/>
  <c r="U57" i="5"/>
  <c r="T160" i="5"/>
  <c r="U187" i="5"/>
  <c r="AF187" i="5"/>
  <c r="Y187" i="5" s="1"/>
  <c r="Z187" i="6" s="1"/>
  <c r="Y187" i="6"/>
  <c r="AG187" i="5"/>
  <c r="AH187" i="5" s="1"/>
  <c r="AF110" i="5"/>
  <c r="Y110" i="5" s="1"/>
  <c r="Z110" i="6" s="1"/>
  <c r="AG110" i="5"/>
  <c r="AH110" i="5" s="1"/>
  <c r="Y110" i="6"/>
  <c r="U110" i="5"/>
  <c r="U202" i="4"/>
  <c r="Y202" i="4"/>
  <c r="Z186" i="3" s="1"/>
  <c r="Y186" i="3"/>
  <c r="T60" i="5"/>
  <c r="U68" i="5"/>
  <c r="AF68" i="5"/>
  <c r="Y68" i="5" s="1"/>
  <c r="Z68" i="6" s="1"/>
  <c r="AG68" i="5"/>
  <c r="AH68" i="5" s="1"/>
  <c r="Y68" i="6"/>
  <c r="Y113" i="6"/>
  <c r="AF113" i="5"/>
  <c r="Y113" i="5" s="1"/>
  <c r="Z113" i="6" s="1"/>
  <c r="U113" i="5"/>
  <c r="AG113" i="5"/>
  <c r="AH113" i="5" s="1"/>
  <c r="Y174" i="6"/>
  <c r="AG174" i="5"/>
  <c r="AH174" i="5" s="1"/>
  <c r="U174" i="5"/>
  <c r="AF174" i="5"/>
  <c r="Y174" i="5" s="1"/>
  <c r="Z174" i="6" s="1"/>
  <c r="T49" i="4"/>
  <c r="T12" i="5"/>
  <c r="T66" i="5"/>
  <c r="T58" i="5"/>
  <c r="T94" i="5"/>
  <c r="Y14" i="4"/>
  <c r="Z160" i="3" s="1"/>
  <c r="U14" i="4"/>
  <c r="Y160" i="3"/>
  <c r="Y165" i="4"/>
  <c r="Z95" i="3" s="1"/>
  <c r="Y95" i="3"/>
  <c r="U165" i="4"/>
  <c r="Y34" i="3"/>
  <c r="U156" i="4"/>
  <c r="Y156" i="4"/>
  <c r="Z34" i="3" s="1"/>
  <c r="AF125" i="5"/>
  <c r="Y125" i="5" s="1"/>
  <c r="Z125" i="6" s="1"/>
  <c r="Y125" i="6"/>
  <c r="AG125" i="5"/>
  <c r="AH125" i="5" s="1"/>
  <c r="U125" i="5"/>
  <c r="T4" i="5"/>
  <c r="T10" i="5"/>
  <c r="T144" i="4"/>
  <c r="T188" i="5"/>
  <c r="U91" i="4"/>
  <c r="Y152" i="3"/>
  <c r="Y91" i="4"/>
  <c r="Z152" i="3" s="1"/>
  <c r="AF145" i="5"/>
  <c r="Y145" i="5" s="1"/>
  <c r="Z145" i="6" s="1"/>
  <c r="Y145" i="6"/>
  <c r="U145" i="5"/>
  <c r="AG145" i="5"/>
  <c r="AH145" i="5" s="1"/>
  <c r="Y35" i="4"/>
  <c r="Z187" i="3" s="1"/>
  <c r="U35" i="4"/>
  <c r="Y187" i="3"/>
  <c r="Y197" i="3"/>
  <c r="U19" i="4"/>
  <c r="Y19" i="4"/>
  <c r="Z197" i="3" s="1"/>
  <c r="U34" i="4"/>
  <c r="Y34" i="4"/>
  <c r="Z28" i="3" s="1"/>
  <c r="Y28" i="3"/>
  <c r="AG114" i="5"/>
  <c r="AH114" i="5" s="1"/>
  <c r="U114" i="5"/>
  <c r="Y114" i="6"/>
  <c r="AF114" i="5"/>
  <c r="Y114" i="5" s="1"/>
  <c r="Z114" i="6" s="1"/>
  <c r="AF29" i="5"/>
  <c r="Y29" i="5" s="1"/>
  <c r="Z29" i="6" s="1"/>
  <c r="U29" i="5"/>
  <c r="Y29" i="6"/>
  <c r="AG29" i="5"/>
  <c r="AH29" i="5" s="1"/>
  <c r="T185" i="5"/>
  <c r="T69" i="5"/>
  <c r="T122" i="5"/>
  <c r="T48" i="4"/>
  <c r="U203" i="5"/>
  <c r="AG203" i="5"/>
  <c r="AH203" i="5" s="1"/>
  <c r="Y203" i="6"/>
  <c r="AF203" i="5"/>
  <c r="Y203" i="5" s="1"/>
  <c r="Z203" i="6" s="1"/>
  <c r="T70" i="4"/>
  <c r="U102" i="5"/>
  <c r="Y102" i="6"/>
  <c r="AG102" i="5"/>
  <c r="AH102" i="5" s="1"/>
  <c r="AF102" i="5"/>
  <c r="Y102" i="5" s="1"/>
  <c r="Z102" i="6" s="1"/>
  <c r="T172" i="4"/>
  <c r="T96" i="4"/>
  <c r="Y158" i="6"/>
  <c r="AF158" i="5"/>
  <c r="Y158" i="5" s="1"/>
  <c r="Z158" i="6" s="1"/>
  <c r="AG158" i="5"/>
  <c r="AH158" i="5" s="1"/>
  <c r="U158" i="5"/>
  <c r="T53" i="5"/>
  <c r="T68" i="4"/>
  <c r="AF67" i="5"/>
  <c r="Y67" i="5" s="1"/>
  <c r="Z67" i="6" s="1"/>
  <c r="AG67" i="5"/>
  <c r="AH67" i="5" s="1"/>
  <c r="U67" i="5"/>
  <c r="Y67" i="6"/>
  <c r="T40" i="4"/>
  <c r="U51" i="5"/>
  <c r="AG51" i="5"/>
  <c r="AH51" i="5" s="1"/>
  <c r="Y51" i="6"/>
  <c r="AF51" i="5"/>
  <c r="Y51" i="5" s="1"/>
  <c r="Z51" i="6" s="1"/>
  <c r="AG119" i="5"/>
  <c r="AH119" i="5" s="1"/>
  <c r="Y119" i="6"/>
  <c r="U119" i="5"/>
  <c r="AF119" i="5"/>
  <c r="Y119" i="5" s="1"/>
  <c r="Z119" i="6" s="1"/>
  <c r="Y22" i="6"/>
  <c r="AF22" i="5"/>
  <c r="Y22" i="5" s="1"/>
  <c r="Z22" i="6" s="1"/>
  <c r="U22" i="5"/>
  <c r="AG22" i="5"/>
  <c r="AH22" i="5" s="1"/>
  <c r="T3" i="4"/>
  <c r="T138" i="4"/>
  <c r="U176" i="5"/>
  <c r="Y176" i="6"/>
  <c r="AF176" i="5"/>
  <c r="Y176" i="5" s="1"/>
  <c r="Z176" i="6" s="1"/>
  <c r="AG176" i="5"/>
  <c r="AH176" i="5" s="1"/>
  <c r="T50" i="5"/>
  <c r="U197" i="5"/>
  <c r="AF197" i="5"/>
  <c r="Y197" i="5" s="1"/>
  <c r="Z197" i="6" s="1"/>
  <c r="Y197" i="6"/>
  <c r="AG197" i="5"/>
  <c r="AH197" i="5" s="1"/>
  <c r="T164" i="4"/>
  <c r="T109" i="4"/>
  <c r="Y192" i="6"/>
  <c r="U192" i="5"/>
  <c r="AF192" i="5"/>
  <c r="Y192" i="5" s="1"/>
  <c r="Z192" i="6" s="1"/>
  <c r="AG192" i="5"/>
  <c r="AH192" i="5" s="1"/>
  <c r="T45" i="4"/>
  <c r="T112" i="4"/>
  <c r="T203" i="4"/>
  <c r="T46" i="4"/>
  <c r="T106" i="4"/>
  <c r="T169" i="5"/>
  <c r="Y190" i="3"/>
  <c r="Y136" i="4"/>
  <c r="Z190" i="3" s="1"/>
  <c r="U136" i="4"/>
  <c r="T77" i="4"/>
  <c r="T111" i="4"/>
  <c r="AG115" i="5"/>
  <c r="AH115" i="5" s="1"/>
  <c r="U115" i="5"/>
  <c r="Y115" i="6"/>
  <c r="AF115" i="5"/>
  <c r="Y115" i="5" s="1"/>
  <c r="Z115" i="6" s="1"/>
  <c r="T27" i="4"/>
  <c r="T84" i="5"/>
  <c r="AG177" i="5"/>
  <c r="AH177" i="5" s="1"/>
  <c r="Y177" i="6"/>
  <c r="U177" i="5"/>
  <c r="AF177" i="5"/>
  <c r="Y177" i="5" s="1"/>
  <c r="Z177" i="6" s="1"/>
  <c r="T53" i="4"/>
  <c r="T63" i="4"/>
  <c r="T55" i="4"/>
  <c r="Y76" i="3"/>
  <c r="Y157" i="4"/>
  <c r="Z76" i="3" s="1"/>
  <c r="U157" i="4"/>
  <c r="Y11" i="6"/>
  <c r="U11" i="5"/>
  <c r="AF11" i="5"/>
  <c r="Y11" i="5" s="1"/>
  <c r="Z11" i="6" s="1"/>
  <c r="AG11" i="5"/>
  <c r="AH11" i="5" s="1"/>
  <c r="T59" i="5"/>
  <c r="T175" i="5"/>
  <c r="T128" i="4"/>
  <c r="T132" i="4"/>
  <c r="AF17" i="5" l="1"/>
  <c r="Y17" i="5" s="1"/>
  <c r="Z17" i="6" s="1"/>
  <c r="Y17" i="6"/>
  <c r="AG17" i="5"/>
  <c r="AH17" i="5" s="1"/>
  <c r="U17" i="5"/>
  <c r="AF164" i="5"/>
  <c r="Y164" i="5" s="1"/>
  <c r="Z164" i="6" s="1"/>
  <c r="Y164" i="6"/>
  <c r="AG164" i="5"/>
  <c r="AH164" i="5" s="1"/>
  <c r="U164" i="5"/>
  <c r="AF50" i="5"/>
  <c r="Y50" i="5" s="1"/>
  <c r="Z50" i="6" s="1"/>
  <c r="U50" i="5"/>
  <c r="AG50" i="5"/>
  <c r="AH50" i="5" s="1"/>
  <c r="Y50" i="6"/>
  <c r="U46" i="4"/>
  <c r="Y97" i="3"/>
  <c r="Y46" i="4"/>
  <c r="Z97" i="3" s="1"/>
  <c r="Y49" i="6"/>
  <c r="AG49" i="5"/>
  <c r="AH49" i="5" s="1"/>
  <c r="U49" i="5"/>
  <c r="AF49" i="5"/>
  <c r="Y49" i="5" s="1"/>
  <c r="Z49" i="6" s="1"/>
  <c r="AG168" i="5"/>
  <c r="AH168" i="5" s="1"/>
  <c r="AF168" i="5"/>
  <c r="Y168" i="5" s="1"/>
  <c r="Z168" i="6" s="1"/>
  <c r="U168" i="5"/>
  <c r="Y168" i="6"/>
  <c r="U131" i="4"/>
  <c r="Y27" i="3"/>
  <c r="Y131" i="4"/>
  <c r="Z27" i="3" s="1"/>
  <c r="AG30" i="5"/>
  <c r="AH30" i="5" s="1"/>
  <c r="AF30" i="5"/>
  <c r="Y30" i="5" s="1"/>
  <c r="Z30" i="6" s="1"/>
  <c r="Y30" i="6"/>
  <c r="U30" i="5"/>
  <c r="Y154" i="4"/>
  <c r="Z9" i="3" s="1"/>
  <c r="U154" i="4"/>
  <c r="Y9" i="3"/>
  <c r="Y82" i="6"/>
  <c r="U82" i="5"/>
  <c r="AG82" i="5"/>
  <c r="AH82" i="5" s="1"/>
  <c r="AF82" i="5"/>
  <c r="Y82" i="5" s="1"/>
  <c r="Z82" i="6" s="1"/>
  <c r="Y165" i="3"/>
  <c r="U72" i="4"/>
  <c r="Y72" i="4"/>
  <c r="Z165" i="3" s="1"/>
  <c r="AG53" i="5"/>
  <c r="AH53" i="5" s="1"/>
  <c r="U53" i="5"/>
  <c r="Y53" i="6"/>
  <c r="AF53" i="5"/>
  <c r="Y53" i="5" s="1"/>
  <c r="Z53" i="6" s="1"/>
  <c r="U160" i="5"/>
  <c r="AG160" i="5"/>
  <c r="AH160" i="5" s="1"/>
  <c r="AF160" i="5"/>
  <c r="Y160" i="5" s="1"/>
  <c r="Z160" i="6" s="1"/>
  <c r="Y160" i="6"/>
  <c r="Y64" i="6"/>
  <c r="AF64" i="5"/>
  <c r="Y64" i="5" s="1"/>
  <c r="Z64" i="6" s="1"/>
  <c r="AG64" i="5"/>
  <c r="AH64" i="5" s="1"/>
  <c r="U64" i="5"/>
  <c r="U147" i="4"/>
  <c r="Y174" i="3"/>
  <c r="Y147" i="4"/>
  <c r="Z174" i="3" s="1"/>
  <c r="AF14" i="5"/>
  <c r="Y14" i="5" s="1"/>
  <c r="Z14" i="6" s="1"/>
  <c r="Y14" i="6"/>
  <c r="U14" i="5"/>
  <c r="AG14" i="5"/>
  <c r="AH14" i="5" s="1"/>
  <c r="Y58" i="3"/>
  <c r="U33" i="4"/>
  <c r="Y33" i="4"/>
  <c r="Z58" i="3" s="1"/>
  <c r="AF154" i="5"/>
  <c r="Y154" i="5" s="1"/>
  <c r="Z154" i="6" s="1"/>
  <c r="AG154" i="5"/>
  <c r="AH154" i="5" s="1"/>
  <c r="U154" i="5"/>
  <c r="Y154" i="6"/>
  <c r="Y40" i="6"/>
  <c r="U40" i="5"/>
  <c r="AF40" i="5"/>
  <c r="Y40" i="5" s="1"/>
  <c r="Z40" i="6" s="1"/>
  <c r="AG40" i="5"/>
  <c r="AH40" i="5" s="1"/>
  <c r="AF171" i="5"/>
  <c r="Y171" i="5" s="1"/>
  <c r="Z171" i="6" s="1"/>
  <c r="U171" i="5"/>
  <c r="Y171" i="6"/>
  <c r="AG171" i="5"/>
  <c r="AH171" i="5" s="1"/>
  <c r="U203" i="4"/>
  <c r="Y203" i="4"/>
  <c r="Z117" i="3" s="1"/>
  <c r="Y117" i="3"/>
  <c r="Y112" i="4"/>
  <c r="Z163" i="3" s="1"/>
  <c r="Y163" i="3"/>
  <c r="U112" i="4"/>
  <c r="Y70" i="4"/>
  <c r="Z149" i="3" s="1"/>
  <c r="Y149" i="3"/>
  <c r="U70" i="4"/>
  <c r="Y149" i="6"/>
  <c r="U149" i="5"/>
  <c r="AG149" i="5"/>
  <c r="AH149" i="5" s="1"/>
  <c r="AF149" i="5"/>
  <c r="Y149" i="5" s="1"/>
  <c r="Z149" i="6" s="1"/>
  <c r="Y24" i="4"/>
  <c r="Z175" i="3" s="1"/>
  <c r="U24" i="4"/>
  <c r="Y175" i="3"/>
  <c r="U26" i="5"/>
  <c r="AF26" i="5"/>
  <c r="Y26" i="5" s="1"/>
  <c r="Z26" i="6" s="1"/>
  <c r="AG26" i="5"/>
  <c r="AH26" i="5" s="1"/>
  <c r="Y26" i="6"/>
  <c r="Y42" i="4"/>
  <c r="Z60" i="3" s="1"/>
  <c r="U42" i="4"/>
  <c r="Y60" i="3"/>
  <c r="Y132" i="4"/>
  <c r="Z161" i="3" s="1"/>
  <c r="Y161" i="3"/>
  <c r="U132" i="4"/>
  <c r="U40" i="4"/>
  <c r="Y153" i="3"/>
  <c r="Y40" i="4"/>
  <c r="Z153" i="3" s="1"/>
  <c r="Y128" i="4"/>
  <c r="Z80" i="3" s="1"/>
  <c r="Y80" i="3"/>
  <c r="U128" i="4"/>
  <c r="AG54" i="5"/>
  <c r="AH54" i="5" s="1"/>
  <c r="Y54" i="6"/>
  <c r="U54" i="5"/>
  <c r="AF54" i="5"/>
  <c r="Y54" i="5" s="1"/>
  <c r="Z54" i="6" s="1"/>
  <c r="U39" i="4"/>
  <c r="Y39" i="4"/>
  <c r="Z142" i="3" s="1"/>
  <c r="Y142" i="3"/>
  <c r="Y140" i="4"/>
  <c r="Z92" i="3" s="1"/>
  <c r="Y92" i="3"/>
  <c r="U140" i="4"/>
  <c r="Y196" i="4"/>
  <c r="Z156" i="3" s="1"/>
  <c r="Y156" i="3"/>
  <c r="U196" i="4"/>
  <c r="Y175" i="6"/>
  <c r="AF175" i="5"/>
  <c r="Y175" i="5" s="1"/>
  <c r="Z175" i="6" s="1"/>
  <c r="U175" i="5"/>
  <c r="AG175" i="5"/>
  <c r="AH175" i="5" s="1"/>
  <c r="Y84" i="6"/>
  <c r="U84" i="5"/>
  <c r="AG84" i="5"/>
  <c r="AH84" i="5" s="1"/>
  <c r="AF84" i="5"/>
  <c r="Y84" i="5" s="1"/>
  <c r="Z84" i="6" s="1"/>
  <c r="U45" i="4"/>
  <c r="Y172" i="3"/>
  <c r="Y45" i="4"/>
  <c r="Z172" i="3" s="1"/>
  <c r="U138" i="4"/>
  <c r="Y31" i="3"/>
  <c r="Y138" i="4"/>
  <c r="Z31" i="3" s="1"/>
  <c r="Y188" i="6"/>
  <c r="U188" i="5"/>
  <c r="AF188" i="5"/>
  <c r="Y188" i="5" s="1"/>
  <c r="Z188" i="6" s="1"/>
  <c r="AG188" i="5"/>
  <c r="AH188" i="5" s="1"/>
  <c r="U168" i="4"/>
  <c r="Y168" i="4"/>
  <c r="Z198" i="3" s="1"/>
  <c r="Y198" i="3"/>
  <c r="U131" i="5"/>
  <c r="AF131" i="5"/>
  <c r="Y131" i="5" s="1"/>
  <c r="Z131" i="6" s="1"/>
  <c r="Y131" i="6"/>
  <c r="AG131" i="5"/>
  <c r="AH131" i="5" s="1"/>
  <c r="U200" i="4"/>
  <c r="Y200" i="4"/>
  <c r="Z199" i="3" s="1"/>
  <c r="Y199" i="3"/>
  <c r="Y124" i="3"/>
  <c r="Y8" i="4"/>
  <c r="Z124" i="3" s="1"/>
  <c r="U8" i="4"/>
  <c r="Y35" i="3"/>
  <c r="Y97" i="4"/>
  <c r="Z35" i="3" s="1"/>
  <c r="U97" i="4"/>
  <c r="U198" i="5"/>
  <c r="Y198" i="6"/>
  <c r="AG198" i="5"/>
  <c r="AH198" i="5" s="1"/>
  <c r="AF198" i="5"/>
  <c r="Y198" i="5" s="1"/>
  <c r="Z198" i="6" s="1"/>
  <c r="U59" i="5"/>
  <c r="AF59" i="5"/>
  <c r="Y59" i="5" s="1"/>
  <c r="Z59" i="6" s="1"/>
  <c r="Y59" i="6"/>
  <c r="AG59" i="5"/>
  <c r="AH59" i="5" s="1"/>
  <c r="Y123" i="3"/>
  <c r="Y27" i="4"/>
  <c r="Z123" i="3" s="1"/>
  <c r="U27" i="4"/>
  <c r="Y179" i="3"/>
  <c r="Y3" i="4"/>
  <c r="Z179" i="3" s="1"/>
  <c r="Y65" i="3"/>
  <c r="Y144" i="4"/>
  <c r="Z65" i="3" s="1"/>
  <c r="U144" i="4"/>
  <c r="Y94" i="6"/>
  <c r="AG94" i="5"/>
  <c r="AH94" i="5" s="1"/>
  <c r="U94" i="5"/>
  <c r="AF94" i="5"/>
  <c r="Y94" i="5" s="1"/>
  <c r="Z94" i="6" s="1"/>
  <c r="Y201" i="6"/>
  <c r="AF201" i="5"/>
  <c r="Y201" i="5" s="1"/>
  <c r="Z201" i="6" s="1"/>
  <c r="U201" i="5"/>
  <c r="AG201" i="5"/>
  <c r="AH201" i="5" s="1"/>
  <c r="Y186" i="6"/>
  <c r="U186" i="5"/>
  <c r="AG186" i="5"/>
  <c r="AH186" i="5" s="1"/>
  <c r="AF186" i="5"/>
  <c r="Y186" i="5" s="1"/>
  <c r="Z186" i="6" s="1"/>
  <c r="Y87" i="4"/>
  <c r="Z96" i="3" s="1"/>
  <c r="U87" i="4"/>
  <c r="Y96" i="3"/>
  <c r="U63" i="5"/>
  <c r="AF63" i="5"/>
  <c r="Y63" i="5" s="1"/>
  <c r="Z63" i="6" s="1"/>
  <c r="AG63" i="5"/>
  <c r="AH63" i="5" s="1"/>
  <c r="Y63" i="6"/>
  <c r="U98" i="4"/>
  <c r="Y100" i="3"/>
  <c r="Y98" i="4"/>
  <c r="Z100" i="3" s="1"/>
  <c r="Y155" i="4"/>
  <c r="Z102" i="3" s="1"/>
  <c r="U155" i="4"/>
  <c r="Y102" i="3"/>
  <c r="U83" i="4"/>
  <c r="Y83" i="4"/>
  <c r="Z84" i="3" s="1"/>
  <c r="Y84" i="3"/>
  <c r="AF121" i="5"/>
  <c r="Y121" i="5" s="1"/>
  <c r="Z121" i="6" s="1"/>
  <c r="Y121" i="6"/>
  <c r="U121" i="5"/>
  <c r="AG121" i="5"/>
  <c r="AH121" i="5" s="1"/>
  <c r="AG56" i="5"/>
  <c r="AH56" i="5" s="1"/>
  <c r="Y56" i="6"/>
  <c r="AF56" i="5"/>
  <c r="Y56" i="5" s="1"/>
  <c r="Z56" i="6" s="1"/>
  <c r="U56" i="5"/>
  <c r="Y10" i="6"/>
  <c r="U10" i="5"/>
  <c r="AG10" i="5"/>
  <c r="AH10" i="5" s="1"/>
  <c r="AF10" i="5"/>
  <c r="Y10" i="5" s="1"/>
  <c r="Z10" i="6" s="1"/>
  <c r="AF58" i="5"/>
  <c r="Y58" i="5" s="1"/>
  <c r="Z58" i="6" s="1"/>
  <c r="Y58" i="6"/>
  <c r="U58" i="5"/>
  <c r="AG58" i="5"/>
  <c r="AH58" i="5" s="1"/>
  <c r="AG60" i="5"/>
  <c r="AH60" i="5" s="1"/>
  <c r="AF60" i="5"/>
  <c r="Y60" i="5" s="1"/>
  <c r="Z60" i="6" s="1"/>
  <c r="U60" i="5"/>
  <c r="Y60" i="6"/>
  <c r="Y16" i="4"/>
  <c r="Z184" i="3" s="1"/>
  <c r="Y184" i="3"/>
  <c r="U16" i="4"/>
  <c r="Y206" i="6"/>
  <c r="AF206" i="5"/>
  <c r="Y206" i="5" s="1"/>
  <c r="Z206" i="6" s="1"/>
  <c r="U206" i="5"/>
  <c r="AG206" i="5"/>
  <c r="AH206" i="5" s="1"/>
  <c r="AG106" i="5"/>
  <c r="AH106" i="5" s="1"/>
  <c r="Y106" i="6"/>
  <c r="AF106" i="5"/>
  <c r="Y106" i="5" s="1"/>
  <c r="Z106" i="6" s="1"/>
  <c r="U106" i="5"/>
  <c r="Y17" i="4"/>
  <c r="Z135" i="3" s="1"/>
  <c r="Y135" i="3"/>
  <c r="U17" i="4"/>
  <c r="AG44" i="5"/>
  <c r="AH44" i="5" s="1"/>
  <c r="U44" i="5"/>
  <c r="Y44" i="6"/>
  <c r="AF44" i="5"/>
  <c r="Y44" i="5" s="1"/>
  <c r="Z44" i="6" s="1"/>
  <c r="AG178" i="5"/>
  <c r="AH178" i="5" s="1"/>
  <c r="U178" i="5"/>
  <c r="AF178" i="5"/>
  <c r="Y178" i="5" s="1"/>
  <c r="Z178" i="6" s="1"/>
  <c r="Y178" i="6"/>
  <c r="Y137" i="3"/>
  <c r="U115" i="4"/>
  <c r="Y115" i="4"/>
  <c r="Z137" i="3" s="1"/>
  <c r="AF7" i="5"/>
  <c r="Y7" i="5" s="1"/>
  <c r="Z7" i="6" s="1"/>
  <c r="U7" i="5"/>
  <c r="Y7" i="6"/>
  <c r="AG7" i="5"/>
  <c r="AH7" i="5" s="1"/>
  <c r="U48" i="4"/>
  <c r="Y170" i="3"/>
  <c r="Y48" i="4"/>
  <c r="Z170" i="3" s="1"/>
  <c r="Y3" i="3"/>
  <c r="U122" i="4"/>
  <c r="Y122" i="4"/>
  <c r="Z3" i="3" s="1"/>
  <c r="U160" i="4"/>
  <c r="Y160" i="4"/>
  <c r="Z78" i="3" s="1"/>
  <c r="Y78" i="3"/>
  <c r="Y116" i="3"/>
  <c r="Y105" i="4"/>
  <c r="Z116" i="3" s="1"/>
  <c r="U105" i="4"/>
  <c r="Y137" i="6"/>
  <c r="AF137" i="5"/>
  <c r="Y137" i="5" s="1"/>
  <c r="Z137" i="6" s="1"/>
  <c r="AG137" i="5"/>
  <c r="AH137" i="5" s="1"/>
  <c r="U137" i="5"/>
  <c r="Y127" i="6"/>
  <c r="AG127" i="5"/>
  <c r="AH127" i="5" s="1"/>
  <c r="AF127" i="5"/>
  <c r="Y127" i="5" s="1"/>
  <c r="Z127" i="6" s="1"/>
  <c r="U127" i="5"/>
  <c r="U109" i="4"/>
  <c r="Y159" i="3"/>
  <c r="Y109" i="4"/>
  <c r="Z159" i="3" s="1"/>
  <c r="Y122" i="6"/>
  <c r="AF122" i="5"/>
  <c r="Y122" i="5" s="1"/>
  <c r="Z122" i="6" s="1"/>
  <c r="U122" i="5"/>
  <c r="AG122" i="5"/>
  <c r="AH122" i="5" s="1"/>
  <c r="Y49" i="4"/>
  <c r="Z188" i="3" s="1"/>
  <c r="Y188" i="3"/>
  <c r="U49" i="4"/>
  <c r="Y151" i="4"/>
  <c r="Z19" i="3" s="1"/>
  <c r="Y19" i="3"/>
  <c r="U151" i="4"/>
  <c r="AF118" i="5"/>
  <c r="Y118" i="5" s="1"/>
  <c r="Z118" i="6" s="1"/>
  <c r="U118" i="5"/>
  <c r="Y118" i="6"/>
  <c r="AG118" i="5"/>
  <c r="AH118" i="5" s="1"/>
  <c r="Y98" i="3"/>
  <c r="U69" i="4"/>
  <c r="Y69" i="4"/>
  <c r="Z98" i="3" s="1"/>
  <c r="Y11" i="4"/>
  <c r="Z171" i="3" s="1"/>
  <c r="U11" i="4"/>
  <c r="Y171" i="3"/>
  <c r="U177" i="4"/>
  <c r="Y91" i="3"/>
  <c r="Y177" i="4"/>
  <c r="Z91" i="3" s="1"/>
  <c r="Y64" i="4"/>
  <c r="Z50" i="3" s="1"/>
  <c r="Y50" i="3"/>
  <c r="U64" i="4"/>
  <c r="AF86" i="5"/>
  <c r="Y86" i="5" s="1"/>
  <c r="Z86" i="6" s="1"/>
  <c r="Y86" i="6"/>
  <c r="U86" i="5"/>
  <c r="AG86" i="5"/>
  <c r="AH86" i="5" s="1"/>
  <c r="Y199" i="6"/>
  <c r="AG199" i="5"/>
  <c r="AH199" i="5" s="1"/>
  <c r="U199" i="5"/>
  <c r="AF199" i="5"/>
  <c r="Y199" i="5" s="1"/>
  <c r="Z199" i="6" s="1"/>
  <c r="Y143" i="4"/>
  <c r="Z157" i="3" s="1"/>
  <c r="U143" i="4"/>
  <c r="Y157" i="3"/>
  <c r="Y142" i="4"/>
  <c r="Z14" i="3" s="1"/>
  <c r="U142" i="4"/>
  <c r="Y14" i="3"/>
  <c r="Y72" i="3"/>
  <c r="Y129" i="4"/>
  <c r="Z72" i="3" s="1"/>
  <c r="U129" i="4"/>
  <c r="Y104" i="3"/>
  <c r="U18" i="4"/>
  <c r="Y18" i="4"/>
  <c r="Z104" i="3" s="1"/>
  <c r="U116" i="4"/>
  <c r="Y116" i="4"/>
  <c r="Z67" i="3" s="1"/>
  <c r="Y67" i="3"/>
  <c r="U117" i="4"/>
  <c r="Y117" i="4"/>
  <c r="Z85" i="3" s="1"/>
  <c r="Y85" i="3"/>
  <c r="U136" i="5"/>
  <c r="AF136" i="5"/>
  <c r="Y136" i="5" s="1"/>
  <c r="Z136" i="6" s="1"/>
  <c r="Y136" i="6"/>
  <c r="AG136" i="5"/>
  <c r="AH136" i="5" s="1"/>
  <c r="Y164" i="4"/>
  <c r="Z113" i="3" s="1"/>
  <c r="Y113" i="3"/>
  <c r="U164" i="4"/>
  <c r="AG69" i="5"/>
  <c r="AH69" i="5" s="1"/>
  <c r="AF69" i="5"/>
  <c r="Y69" i="5" s="1"/>
  <c r="Z69" i="6" s="1"/>
  <c r="Y69" i="6"/>
  <c r="U69" i="5"/>
  <c r="Y59" i="4"/>
  <c r="Z140" i="3" s="1"/>
  <c r="U59" i="4"/>
  <c r="Y140" i="3"/>
  <c r="AF88" i="5"/>
  <c r="Y88" i="5" s="1"/>
  <c r="Z88" i="6" s="1"/>
  <c r="AG88" i="5"/>
  <c r="AH88" i="5" s="1"/>
  <c r="U88" i="5"/>
  <c r="Y88" i="6"/>
  <c r="AF112" i="5"/>
  <c r="Y112" i="5" s="1"/>
  <c r="Z112" i="6" s="1"/>
  <c r="Y112" i="6"/>
  <c r="AG112" i="5"/>
  <c r="AH112" i="5" s="1"/>
  <c r="U112" i="5"/>
  <c r="Y110" i="4"/>
  <c r="Z120" i="3" s="1"/>
  <c r="U110" i="4"/>
  <c r="Y120" i="3"/>
  <c r="Y10" i="3"/>
  <c r="U23" i="4"/>
  <c r="Y23" i="4"/>
  <c r="Z10" i="3" s="1"/>
  <c r="U71" i="4"/>
  <c r="Y40" i="3"/>
  <c r="Y71" i="4"/>
  <c r="Z40" i="3" s="1"/>
  <c r="Y12" i="4"/>
  <c r="Z167" i="3" s="1"/>
  <c r="U12" i="4"/>
  <c r="Y167" i="3"/>
  <c r="U82" i="4"/>
  <c r="Y162" i="3"/>
  <c r="Y82" i="4"/>
  <c r="Z162" i="3" s="1"/>
  <c r="AG101" i="5"/>
  <c r="AH101" i="5" s="1"/>
  <c r="U101" i="5"/>
  <c r="Y101" i="6"/>
  <c r="AF101" i="5"/>
  <c r="Y101" i="5" s="1"/>
  <c r="Z101" i="6" s="1"/>
  <c r="AG124" i="5"/>
  <c r="AH124" i="5" s="1"/>
  <c r="U124" i="5"/>
  <c r="Y124" i="6"/>
  <c r="AF124" i="5"/>
  <c r="Y124" i="5" s="1"/>
  <c r="Z124" i="6" s="1"/>
  <c r="U130" i="5"/>
  <c r="AG130" i="5"/>
  <c r="AH130" i="5" s="1"/>
  <c r="AF130" i="5"/>
  <c r="Y130" i="5" s="1"/>
  <c r="Z130" i="6" s="1"/>
  <c r="Y130" i="6"/>
  <c r="AF12" i="5"/>
  <c r="Y12" i="5" s="1"/>
  <c r="Z12" i="6" s="1"/>
  <c r="AG12" i="5"/>
  <c r="AH12" i="5" s="1"/>
  <c r="Y12" i="6"/>
  <c r="U12" i="5"/>
  <c r="Y204" i="3"/>
  <c r="Y77" i="4"/>
  <c r="Z204" i="3" s="1"/>
  <c r="U77" i="4"/>
  <c r="Y185" i="6"/>
  <c r="AF185" i="5"/>
  <c r="Y185" i="5" s="1"/>
  <c r="Z185" i="6" s="1"/>
  <c r="AG185" i="5"/>
  <c r="AH185" i="5" s="1"/>
  <c r="U185" i="5"/>
  <c r="Y128" i="3"/>
  <c r="U56" i="4"/>
  <c r="Y56" i="4"/>
  <c r="Z128" i="3" s="1"/>
  <c r="Y20" i="4"/>
  <c r="Z177" i="3" s="1"/>
  <c r="Y177" i="3"/>
  <c r="U20" i="4"/>
  <c r="Y83" i="6"/>
  <c r="U83" i="5"/>
  <c r="AG83" i="5"/>
  <c r="AH83" i="5" s="1"/>
  <c r="AF83" i="5"/>
  <c r="Y83" i="5" s="1"/>
  <c r="Z83" i="6" s="1"/>
  <c r="Y45" i="6"/>
  <c r="AF45" i="5"/>
  <c r="Y45" i="5" s="1"/>
  <c r="Z45" i="6" s="1"/>
  <c r="U45" i="5"/>
  <c r="AG45" i="5"/>
  <c r="AH45" i="5" s="1"/>
  <c r="AF37" i="5"/>
  <c r="Y37" i="5" s="1"/>
  <c r="Z37" i="6" s="1"/>
  <c r="Y37" i="6"/>
  <c r="U37" i="5"/>
  <c r="AG37" i="5"/>
  <c r="AH37" i="5" s="1"/>
  <c r="Y36" i="3"/>
  <c r="Y90" i="4"/>
  <c r="Z36" i="3" s="1"/>
  <c r="U90" i="4"/>
  <c r="Y68" i="4"/>
  <c r="Z148" i="3" s="1"/>
  <c r="U68" i="4"/>
  <c r="Y148" i="3"/>
  <c r="U138" i="5"/>
  <c r="Y138" i="6"/>
  <c r="AG138" i="5"/>
  <c r="AH138" i="5" s="1"/>
  <c r="AF138" i="5"/>
  <c r="Y138" i="5" s="1"/>
  <c r="Z138" i="6" s="1"/>
  <c r="U170" i="4"/>
  <c r="Y170" i="4"/>
  <c r="Z30" i="3" s="1"/>
  <c r="Y30" i="3"/>
  <c r="Y79" i="6"/>
  <c r="U79" i="5"/>
  <c r="AG79" i="5"/>
  <c r="AH79" i="5" s="1"/>
  <c r="AF79" i="5"/>
  <c r="Y79" i="5" s="1"/>
  <c r="Z79" i="6" s="1"/>
  <c r="Y111" i="4"/>
  <c r="Z51" i="3" s="1"/>
  <c r="U111" i="4"/>
  <c r="Y51" i="3"/>
  <c r="Y89" i="4"/>
  <c r="Z189" i="3" s="1"/>
  <c r="Y189" i="3"/>
  <c r="U89" i="4"/>
  <c r="Y105" i="3"/>
  <c r="Y55" i="4"/>
  <c r="Z105" i="3" s="1"/>
  <c r="U55" i="4"/>
  <c r="Y99" i="3"/>
  <c r="U96" i="4"/>
  <c r="Y96" i="4"/>
  <c r="Z99" i="3" s="1"/>
  <c r="AF35" i="5"/>
  <c r="Y35" i="5" s="1"/>
  <c r="Z35" i="6" s="1"/>
  <c r="AG35" i="5"/>
  <c r="AH35" i="5" s="1"/>
  <c r="U35" i="5"/>
  <c r="Y35" i="6"/>
  <c r="Y49" i="3"/>
  <c r="Y186" i="4"/>
  <c r="Z49" i="3" s="1"/>
  <c r="U186" i="4"/>
  <c r="AF27" i="5"/>
  <c r="Y27" i="5" s="1"/>
  <c r="Z27" i="6" s="1"/>
  <c r="AG27" i="5"/>
  <c r="AH27" i="5" s="1"/>
  <c r="U27" i="5"/>
  <c r="Y27" i="6"/>
  <c r="U107" i="5"/>
  <c r="AG107" i="5"/>
  <c r="AH107" i="5" s="1"/>
  <c r="Y107" i="6"/>
  <c r="AF107" i="5"/>
  <c r="Y107" i="5" s="1"/>
  <c r="Z107" i="6" s="1"/>
  <c r="Y75" i="6"/>
  <c r="U75" i="5"/>
  <c r="AG75" i="5"/>
  <c r="AH75" i="5" s="1"/>
  <c r="AF75" i="5"/>
  <c r="Y75" i="5" s="1"/>
  <c r="Z75" i="6" s="1"/>
  <c r="AF4" i="5"/>
  <c r="Y4" i="5" s="1"/>
  <c r="Z4" i="6" s="1"/>
  <c r="U4" i="5"/>
  <c r="AG4" i="5"/>
  <c r="AH4" i="5" s="1"/>
  <c r="Y4" i="6"/>
  <c r="Y74" i="6"/>
  <c r="AF74" i="5"/>
  <c r="Y74" i="5" s="1"/>
  <c r="Z74" i="6" s="1"/>
  <c r="AG74" i="5"/>
  <c r="AH74" i="5" s="1"/>
  <c r="U74" i="5"/>
  <c r="U172" i="4"/>
  <c r="Y88" i="3"/>
  <c r="Y172" i="4"/>
  <c r="Z88" i="3" s="1"/>
  <c r="Y68" i="3"/>
  <c r="Y191" i="4"/>
  <c r="Z68" i="3" s="1"/>
  <c r="U191" i="4"/>
  <c r="Y182" i="4"/>
  <c r="Z134" i="3" s="1"/>
  <c r="Y134" i="3"/>
  <c r="U182" i="4"/>
  <c r="AG146" i="5"/>
  <c r="AH146" i="5" s="1"/>
  <c r="U146" i="5"/>
  <c r="AF146" i="5"/>
  <c r="Y146" i="5" s="1"/>
  <c r="Z146" i="6" s="1"/>
  <c r="Y146" i="6"/>
  <c r="U97" i="5"/>
  <c r="AF97" i="5"/>
  <c r="Y97" i="5" s="1"/>
  <c r="Z97" i="6" s="1"/>
  <c r="Y97" i="6"/>
  <c r="AG97" i="5"/>
  <c r="AH97" i="5" s="1"/>
  <c r="U53" i="4"/>
  <c r="Y53" i="4"/>
  <c r="Z133" i="3" s="1"/>
  <c r="Y133" i="3"/>
  <c r="AF47" i="5"/>
  <c r="Y47" i="5" s="1"/>
  <c r="Z47" i="6" s="1"/>
  <c r="U47" i="5"/>
  <c r="AG47" i="5"/>
  <c r="AH47" i="5" s="1"/>
  <c r="Y47" i="6"/>
  <c r="Y22" i="3"/>
  <c r="Y184" i="4"/>
  <c r="Z22" i="3" s="1"/>
  <c r="U184" i="4"/>
  <c r="AG65" i="5"/>
  <c r="AH65" i="5" s="1"/>
  <c r="AF65" i="5"/>
  <c r="Y65" i="5" s="1"/>
  <c r="Z65" i="6" s="1"/>
  <c r="U65" i="5"/>
  <c r="Y65" i="6"/>
  <c r="U123" i="5"/>
  <c r="Y123" i="6"/>
  <c r="AF123" i="5"/>
  <c r="Y123" i="5" s="1"/>
  <c r="Z123" i="6" s="1"/>
  <c r="AG123" i="5"/>
  <c r="AH123" i="5" s="1"/>
  <c r="Y66" i="6"/>
  <c r="AG66" i="5"/>
  <c r="AH66" i="5" s="1"/>
  <c r="U66" i="5"/>
  <c r="AF66" i="5"/>
  <c r="Y66" i="5" s="1"/>
  <c r="Z66" i="6" s="1"/>
  <c r="Y145" i="3"/>
  <c r="U63" i="4"/>
  <c r="Y63" i="4"/>
  <c r="Z145" i="3" s="1"/>
  <c r="AG147" i="5"/>
  <c r="AH147" i="5" s="1"/>
  <c r="Y147" i="6"/>
  <c r="AF147" i="5"/>
  <c r="Y147" i="5" s="1"/>
  <c r="Z147" i="6" s="1"/>
  <c r="U147" i="5"/>
  <c r="AG169" i="5"/>
  <c r="AH169" i="5" s="1"/>
  <c r="Y169" i="6"/>
  <c r="U169" i="5"/>
  <c r="AF169" i="5"/>
  <c r="Y169" i="5" s="1"/>
  <c r="Z169" i="6" s="1"/>
  <c r="Y180" i="3"/>
  <c r="Y106" i="4"/>
  <c r="Z180" i="3" s="1"/>
  <c r="U106" i="4"/>
  <c r="Y107" i="4"/>
  <c r="Z115" i="3" s="1"/>
  <c r="U107" i="4"/>
  <c r="Y115" i="3"/>
  <c r="AF156" i="5"/>
  <c r="Y156" i="5" s="1"/>
  <c r="Z156" i="6" s="1"/>
  <c r="Y156" i="6"/>
  <c r="U156" i="5"/>
  <c r="AG156" i="5"/>
  <c r="AH156" i="5" s="1"/>
  <c r="U123" i="4"/>
  <c r="Y123" i="4"/>
  <c r="Z89" i="3" s="1"/>
  <c r="Y89" i="3"/>
  <c r="Y36" i="6"/>
  <c r="U36" i="5"/>
  <c r="AF36" i="5"/>
  <c r="Y36" i="5" s="1"/>
  <c r="Z36" i="6" s="1"/>
  <c r="AG36" i="5"/>
  <c r="AH36"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R3" authorId="0" shapeId="0" xr:uid="{00000000-0006-0000-0100-000001000000}">
      <text>
        <r>
          <rPr>
            <sz val="11"/>
            <color theme="1"/>
            <rFont val="ＭＳ Ｐゴシック"/>
            <family val="2"/>
            <scheme val="minor"/>
          </rPr>
          <t xml:space="preserve">緩和抽出の16〜13点銘柄は押し目なし・モメンタム不完全・パーフェクトオーダーなしのどれかに引っかかって高精度抽出から除外されています。
これはv13の設計通り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A1" authorId="0" shapeId="0" xr:uid="{00000000-0006-0000-0300-000001000000}">
      <text>
        <r>
          <rPr>
            <sz val="11"/>
            <color theme="1"/>
            <rFont val="ＭＳ Ｐゴシック"/>
            <family val="2"/>
            <scheme val="minor"/>
          </rPr>
          <t xml:space="preserve">分析シートの見方
ステップ1：最終シグナル（Y列）で絞り込む
▼フィルターで：
★強い買い
◎押し目買い
○買い候補
★逆張り候補
をチェックして絞り込む
ステップ2：絞り込んだ銘柄を確認
列確認内容良い状態ADEMAトレンドパーフェクト▲AE押し目判定25日押し目★O出来高倍率2倍以上T総合スコア5点以上WRSI30〜50（割安）Z前日比プラス
ステップ3：株探で詳細確認
A列の**「株探」リンク**をクリックして：
📈 チャートを確認
📰 ニュースを確認
💰 決算情報を確認
最強の買いサイン
★強い買い
　＋パーフェクト▲
　＋25日押し目★
　＋出来高2倍以上
　＋RSI50以下
　→ 強く購入検討！
注意点
TOPIX下落▼の日は見送りが基本
★逆張り候補はリスクが高いので少額で
</t>
        </r>
      </text>
    </comment>
    <comment ref="T2" authorId="0" shapeId="0" xr:uid="{00000000-0006-0000-0300-000002000000}">
      <text>
        <r>
          <rPr>
            <sz val="11"/>
            <color theme="1"/>
            <rFont val="ＭＳ Ｐゴシック"/>
            <family val="2"/>
            <scheme val="minor"/>
          </rPr>
          <t>Abe Hideaki:
26点満点（従来23点＋AI列「相対力スコア」最大3点）。対TOPIX超過リターンを加点。</t>
        </r>
      </text>
    </comment>
    <comment ref="Y2" authorId="0" shapeId="0" xr:uid="{00000000-0006-0000-0300-000003000000}">
      <text>
        <r>
          <rPr>
            <sz val="11"/>
            <color theme="1"/>
            <rFont val="ＭＳ Ｐゴシック"/>
            <family val="2"/>
            <scheme val="minor"/>
          </rPr>
          <t xml:space="preserve">ステップ1：最終シグナル（Y列）で絞り込む
▼フィルターで：
★強い買い
◎押し目買い
○買い候補
★逆張り候補
</t>
        </r>
      </text>
    </comment>
    <comment ref="AF2" authorId="0" shapeId="0" xr:uid="{00000000-0006-0000-0300-000004000000}">
      <text>
        <r>
          <rPr>
            <sz val="11"/>
            <color theme="1"/>
            <rFont val="ＭＳ Ｐゴシック"/>
            <family val="2"/>
            <scheme val="minor"/>
          </rPr>
          <t>Abe Hideaki:
基準期間（AL2）の騰落率。期間はTOPIX履歴に合わせ最大25日で自動伸長。</t>
        </r>
      </text>
    </comment>
    <comment ref="AI2" authorId="0" shapeId="0" xr:uid="{00000000-0006-0000-0300-000005000000}">
      <text>
        <r>
          <rPr>
            <sz val="11"/>
            <color theme="1"/>
            <rFont val="ＭＳ Ｐゴシック"/>
            <family val="2"/>
            <scheme val="minor"/>
          </rPr>
          <t>Abe Hideaki:
対TOPIX超過リターンで加減点。&gt;5%→+3 / &gt;0%→+1 / -3～0%→-1 / -3%以下→-2。市場に負ける銘柄を押し下げて絞り込む。</t>
        </r>
      </text>
    </comment>
    <comment ref="AL2" authorId="0" shapeId="0" xr:uid="{00000000-0006-0000-0300-000006000000}">
      <text>
        <r>
          <rPr>
            <sz val="11"/>
            <color theme="1"/>
            <rFont val="ＭＳ Ｐゴシック"/>
            <family val="2"/>
            <scheme val="minor"/>
          </rPr>
          <t>Abe Hideaki:
相対力計算の基準期間（営業日）。TOPIX履歴が25日未満の間は有効日数、以降は25で固定。毎日自動で伸びる。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T2" authorId="0" shapeId="0" xr:uid="{00000000-0006-0000-0400-000001000000}">
      <text>
        <r>
          <rPr>
            <sz val="11"/>
            <color theme="1"/>
            <rFont val="ＭＳ Ｐゴシック"/>
            <family val="2"/>
            <scheme val="minor"/>
          </rPr>
          <t>Abe Hideaki:
AL列「相対力スコア」を加減点。売り側は市場に負ける弱い銘柄ほど加点（買い側と逆）。</t>
        </r>
      </text>
    </comment>
    <comment ref="AL2" authorId="0" shapeId="0" xr:uid="{00000000-0006-0000-0400-000002000000}">
      <text>
        <r>
          <rPr>
            <sz val="11"/>
            <color theme="1"/>
            <rFont val="ＭＳ Ｐゴシック"/>
            <family val="2"/>
            <scheme val="minor"/>
          </rPr>
          <t>Abe Hideaki:
売り用：市場に負ける弱い銘柄を加点。&lt;-5%→+3 / &lt;0%→+1 / 0～3%→-1 / &gt;3%→-2。</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O3" authorId="0" shapeId="0" xr:uid="{00000000-0006-0000-0F00-000001000000}">
      <text>
        <r>
          <rPr>
            <sz val="11"/>
            <color theme="1"/>
            <rFont val="ＭＳ Ｐゴシック"/>
            <family val="2"/>
            <scheme val="minor"/>
          </rPr>
          <t xml:space="preserve">条件判断現在値 &gt;= 購入価格×1.07🟢利確推奨現在値 &gt;= 購入価格×1.06🟡利確&amp;STOP検討現在値 &lt;= 購入価格×0.96🔴損切推奨現在値 &lt;= 購入価格×0.965🔴損切間近現在値 &lt;= 購入価格×0.97⚠️-3%注意現在値 &lt;= トレーリングSTOP🟡STOP推奨それ以外保持継続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<sst xmlns="http://schemas.openxmlformats.org/spreadsheetml/2006/main" count="3839" uniqueCount="1197">
  <si>
    <t xml:space="preserve">  📈  安値シート｜60日履歴</t>
  </si>
  <si>
    <t>コード</t>
  </si>
  <si>
    <t>銘 柄 名</t>
  </si>
  <si>
    <t>RSS 安値</t>
  </si>
  <si>
    <t>差  分</t>
  </si>
  <si>
    <t>日  付</t>
  </si>
  <si>
    <t>本日</t>
  </si>
  <si>
    <t>5706</t>
  </si>
  <si>
    <t>三井金属</t>
  </si>
  <si>
    <t>5423</t>
  </si>
  <si>
    <t>東京製鐵</t>
  </si>
  <si>
    <t>5713</t>
  </si>
  <si>
    <t>住友鉱山</t>
  </si>
  <si>
    <t>5711</t>
  </si>
  <si>
    <t>三菱マテリアル</t>
  </si>
  <si>
    <t>5714</t>
  </si>
  <si>
    <t>ＤＯＷＡホールディングス</t>
  </si>
  <si>
    <t>6701</t>
  </si>
  <si>
    <t>日本電気</t>
  </si>
  <si>
    <t>1605</t>
  </si>
  <si>
    <t>ＩＮＰＥＸ</t>
  </si>
  <si>
    <t>5703</t>
  </si>
  <si>
    <t>日本軽金属ＨＤ</t>
  </si>
  <si>
    <t>8002</t>
  </si>
  <si>
    <t>丸紅</t>
  </si>
  <si>
    <t>5021</t>
  </si>
  <si>
    <t>コスモエネルギーＨＬＤＧＳ</t>
  </si>
  <si>
    <t>8058</t>
  </si>
  <si>
    <t>三菱商事</t>
  </si>
  <si>
    <t>5333</t>
  </si>
  <si>
    <t>ＮＧＫ</t>
  </si>
  <si>
    <t>1662</t>
  </si>
  <si>
    <t>石油資源開発</t>
  </si>
  <si>
    <t>8411</t>
  </si>
  <si>
    <t>みずほフィナンシャルＧ</t>
  </si>
  <si>
    <t>5541</t>
  </si>
  <si>
    <t>大平洋金属</t>
  </si>
  <si>
    <t>5332</t>
  </si>
  <si>
    <t>ＴＯＴＯ</t>
  </si>
  <si>
    <t>8725</t>
  </si>
  <si>
    <t>ＭＳ＆ＡＤ</t>
  </si>
  <si>
    <t>8795</t>
  </si>
  <si>
    <t>Ｔ＆Ｄホールディングス</t>
  </si>
  <si>
    <t>5019</t>
  </si>
  <si>
    <t>出光興産</t>
  </si>
  <si>
    <t>8053</t>
  </si>
  <si>
    <t>住友商事</t>
  </si>
  <si>
    <t>8591</t>
  </si>
  <si>
    <t>オリックス</t>
  </si>
  <si>
    <t>3401</t>
  </si>
  <si>
    <t>帝人</t>
  </si>
  <si>
    <t>3436</t>
  </si>
  <si>
    <t>ＳＵＭＣＯ</t>
  </si>
  <si>
    <t>5020</t>
  </si>
  <si>
    <t>ＥＮＥＯＳホールディングス</t>
  </si>
  <si>
    <t>6254</t>
  </si>
  <si>
    <t>野村マイクロ・サイエンス</t>
  </si>
  <si>
    <t>8309</t>
  </si>
  <si>
    <t>三井住友トラストグルー</t>
  </si>
  <si>
    <t>3863</t>
  </si>
  <si>
    <t>日本製紙</t>
  </si>
  <si>
    <t>8601</t>
  </si>
  <si>
    <t>大和証券Ｇ本社</t>
  </si>
  <si>
    <t>5233</t>
  </si>
  <si>
    <t>太平洋セメント</t>
  </si>
  <si>
    <t>8308</t>
  </si>
  <si>
    <t>りそなホールディングス</t>
  </si>
  <si>
    <t>5938</t>
  </si>
  <si>
    <t>ＬＩＸＩＬ</t>
  </si>
  <si>
    <t>8570</t>
  </si>
  <si>
    <t>イオンフィナンシャルサービス</t>
  </si>
  <si>
    <t>5406</t>
  </si>
  <si>
    <t>神戸製鋼所</t>
  </si>
  <si>
    <t>8593</t>
  </si>
  <si>
    <t>三菱ＨＣキャピタル</t>
  </si>
  <si>
    <t>8604</t>
  </si>
  <si>
    <t>野村ホールディングス</t>
  </si>
  <si>
    <t>3861</t>
  </si>
  <si>
    <t>王子ホールディングス</t>
  </si>
  <si>
    <t>5947</t>
  </si>
  <si>
    <t>リンナイ</t>
  </si>
  <si>
    <t>8750</t>
  </si>
  <si>
    <t>第一ライフグループ</t>
  </si>
  <si>
    <t>3402</t>
  </si>
  <si>
    <t>東レ</t>
  </si>
  <si>
    <t>8306</t>
  </si>
  <si>
    <t>三菱ＵＦＪフィナンシャルＧ</t>
  </si>
  <si>
    <t>5401</t>
  </si>
  <si>
    <t>日本製鉄</t>
  </si>
  <si>
    <t>8572</t>
  </si>
  <si>
    <t>アコム</t>
  </si>
  <si>
    <t>3941</t>
  </si>
  <si>
    <t>レンゴー</t>
  </si>
  <si>
    <t>5929</t>
  </si>
  <si>
    <t>三和ホールディングス</t>
  </si>
  <si>
    <t>8316</t>
  </si>
  <si>
    <t>三井住友フィナンシャルＧ</t>
  </si>
  <si>
    <t>5449</t>
  </si>
  <si>
    <t>大阪製鐵</t>
  </si>
  <si>
    <t>8766</t>
  </si>
  <si>
    <t>東京海上ＨＤ</t>
  </si>
  <si>
    <t>5201</t>
  </si>
  <si>
    <t>ＡＧＣ</t>
  </si>
  <si>
    <t>8630</t>
  </si>
  <si>
    <t>ＳＯＭＰＯホールディングス</t>
  </si>
  <si>
    <t>5901</t>
  </si>
  <si>
    <t>東洋製罐グループＨＤ</t>
  </si>
  <si>
    <t>9412</t>
  </si>
  <si>
    <t>スカパーＪＳＡＴ</t>
  </si>
  <si>
    <t>6203</t>
  </si>
  <si>
    <t>豊和工業</t>
  </si>
  <si>
    <t>4676</t>
  </si>
  <si>
    <t>フジ・メディア・ＨＤ</t>
  </si>
  <si>
    <t>1961</t>
  </si>
  <si>
    <t>三機工業</t>
  </si>
  <si>
    <t>3107</t>
  </si>
  <si>
    <t>ダイワボウＨＤ</t>
  </si>
  <si>
    <t>4045</t>
  </si>
  <si>
    <t>東亞合成</t>
  </si>
  <si>
    <t>5857</t>
  </si>
  <si>
    <t>ＡＲＥホールディングス</t>
  </si>
  <si>
    <t>8281</t>
  </si>
  <si>
    <t>ゼビオホールディングス</t>
  </si>
  <si>
    <t>4540</t>
  </si>
  <si>
    <t>ツムラ</t>
  </si>
  <si>
    <t>9984</t>
  </si>
  <si>
    <t>ソフトバンクグループ</t>
  </si>
  <si>
    <t>4063</t>
  </si>
  <si>
    <t>信越化学</t>
  </si>
  <si>
    <t>4536</t>
  </si>
  <si>
    <t>参天製薬</t>
  </si>
  <si>
    <t>6503</t>
  </si>
  <si>
    <t>三菱電機</t>
  </si>
  <si>
    <t>4980</t>
  </si>
  <si>
    <t>デクセリアルズ</t>
  </si>
  <si>
    <t>9424</t>
  </si>
  <si>
    <t>日本通信</t>
  </si>
  <si>
    <t>3854</t>
  </si>
  <si>
    <t>アイル</t>
  </si>
  <si>
    <t>6027</t>
  </si>
  <si>
    <t>弁護士ドットコム</t>
  </si>
  <si>
    <t>7806</t>
  </si>
  <si>
    <t>ＭＴＧ</t>
  </si>
  <si>
    <t>9202</t>
  </si>
  <si>
    <t>ＡＮＡホールディングス</t>
  </si>
  <si>
    <t>7846</t>
  </si>
  <si>
    <t>パイロットコーポレーション</t>
  </si>
  <si>
    <t>2802</t>
  </si>
  <si>
    <t>味の素</t>
  </si>
  <si>
    <t>7203</t>
  </si>
  <si>
    <t>トヨタ自動車</t>
  </si>
  <si>
    <t>6954</t>
  </si>
  <si>
    <t>ファナック</t>
  </si>
  <si>
    <t>6479</t>
  </si>
  <si>
    <t>ミネベアミツミ</t>
  </si>
  <si>
    <t>1833</t>
  </si>
  <si>
    <t>奥村組</t>
  </si>
  <si>
    <t>6841</t>
  </si>
  <si>
    <t>横河電機</t>
  </si>
  <si>
    <t>7167</t>
  </si>
  <si>
    <t>めぶきフィナンシャルＧ</t>
  </si>
  <si>
    <t>1925</t>
  </si>
  <si>
    <t>大和ハウス</t>
  </si>
  <si>
    <t>5411</t>
  </si>
  <si>
    <t>ＪＦＥホールディングス</t>
  </si>
  <si>
    <t>7182</t>
  </si>
  <si>
    <t>ゆうちょ銀行</t>
  </si>
  <si>
    <t>1963</t>
  </si>
  <si>
    <t>日揮ホールディングス</t>
  </si>
  <si>
    <t>2914</t>
  </si>
  <si>
    <t>日本たばこ産業</t>
  </si>
  <si>
    <t>3003</t>
  </si>
  <si>
    <t>ヒューリック</t>
  </si>
  <si>
    <t>5892</t>
  </si>
  <si>
    <t>ＹＵＴＯＲＩ</t>
  </si>
  <si>
    <t>6323</t>
  </si>
  <si>
    <t>ローツェ</t>
  </si>
  <si>
    <t>6501</t>
  </si>
  <si>
    <t>日立</t>
  </si>
  <si>
    <t>6134</t>
  </si>
  <si>
    <t>ＦＵＪＩ</t>
  </si>
  <si>
    <t>7746</t>
  </si>
  <si>
    <t>岡本硝子</t>
  </si>
  <si>
    <t>3407</t>
  </si>
  <si>
    <t>旭化成</t>
  </si>
  <si>
    <t>4008</t>
  </si>
  <si>
    <t>住友精化</t>
  </si>
  <si>
    <t>4062</t>
  </si>
  <si>
    <t>イビデン</t>
  </si>
  <si>
    <t>4182</t>
  </si>
  <si>
    <t>三菱瓦斯化学</t>
  </si>
  <si>
    <t>4188</t>
  </si>
  <si>
    <t>三菱ケミカルグループ</t>
  </si>
  <si>
    <t>4523</t>
  </si>
  <si>
    <t>エーザイ</t>
  </si>
  <si>
    <t>4528</t>
  </si>
  <si>
    <t>小野薬品</t>
  </si>
  <si>
    <t>4661</t>
  </si>
  <si>
    <t>オリエンタルランド</t>
  </si>
  <si>
    <t>5802</t>
  </si>
  <si>
    <t>住友電工</t>
  </si>
  <si>
    <t>5803</t>
  </si>
  <si>
    <t>フジクラ</t>
  </si>
  <si>
    <t>6178</t>
  </si>
  <si>
    <t>日本郵政</t>
  </si>
  <si>
    <t>6925</t>
  </si>
  <si>
    <t>ウシオ電機</t>
  </si>
  <si>
    <t>7021</t>
  </si>
  <si>
    <t>ニッチツ</t>
  </si>
  <si>
    <t>7729</t>
  </si>
  <si>
    <t>東京精密</t>
  </si>
  <si>
    <t>8424</t>
  </si>
  <si>
    <t>芙蓉総合リース</t>
  </si>
  <si>
    <t>9020</t>
  </si>
  <si>
    <t>東日本旅客鉄道</t>
  </si>
  <si>
    <t>9069</t>
  </si>
  <si>
    <t>センコーグループＨＬＤＧＳ</t>
  </si>
  <si>
    <t>9227</t>
  </si>
  <si>
    <t>マイクロ波化学</t>
  </si>
  <si>
    <t>9348</t>
  </si>
  <si>
    <t>ｉｓｐａｃｅ</t>
  </si>
  <si>
    <t>9449</t>
  </si>
  <si>
    <t>ＧＭＯインターネットグループ</t>
  </si>
  <si>
    <t>9501</t>
  </si>
  <si>
    <t>東京電力ＨＤ</t>
  </si>
  <si>
    <t>9531</t>
  </si>
  <si>
    <t>東京瓦斯</t>
  </si>
  <si>
    <t>9882</t>
  </si>
  <si>
    <t>イエローハット</t>
  </si>
  <si>
    <t>5838</t>
  </si>
  <si>
    <t>楽天銀行</t>
  </si>
  <si>
    <t>5844</t>
  </si>
  <si>
    <t>京都フィナンシャルＧ</t>
  </si>
  <si>
    <t>9404</t>
  </si>
  <si>
    <t>日本テレビＨＬＤＳ</t>
  </si>
  <si>
    <t>6744</t>
  </si>
  <si>
    <t>能美防災</t>
  </si>
  <si>
    <t>7685</t>
  </si>
  <si>
    <t>ＢＵＹＳＥＬＬＴＥＣＨ</t>
  </si>
  <si>
    <t>8334</t>
  </si>
  <si>
    <t>群馬銀行</t>
  </si>
  <si>
    <t>8359</t>
  </si>
  <si>
    <t>八十二長野銀行</t>
  </si>
  <si>
    <t>8801</t>
  </si>
  <si>
    <t>三井不動産</t>
  </si>
  <si>
    <t>8934</t>
  </si>
  <si>
    <t>サンフロンティア不動産</t>
  </si>
  <si>
    <t>9416</t>
  </si>
  <si>
    <t>ビジョン</t>
  </si>
  <si>
    <t>9532</t>
  </si>
  <si>
    <t>大阪瓦斯</t>
  </si>
  <si>
    <t>6330</t>
  </si>
  <si>
    <t>東洋エンジニア</t>
  </si>
  <si>
    <t>4082</t>
  </si>
  <si>
    <t>第一稀元素化学工</t>
  </si>
  <si>
    <t>4519</t>
  </si>
  <si>
    <t>中外製薬</t>
  </si>
  <si>
    <t>2160</t>
  </si>
  <si>
    <t>ジーエヌアイグループ</t>
  </si>
  <si>
    <t>6227</t>
  </si>
  <si>
    <t>ＡＩメカテック</t>
  </si>
  <si>
    <t>6327</t>
  </si>
  <si>
    <t>北川精機</t>
  </si>
  <si>
    <t>3110</t>
  </si>
  <si>
    <t>日東紡績</t>
  </si>
  <si>
    <t>6232</t>
  </si>
  <si>
    <t>ＡＣＳＬ</t>
  </si>
  <si>
    <t>7794</t>
  </si>
  <si>
    <t>イーディーピー</t>
  </si>
  <si>
    <t>6085</t>
  </si>
  <si>
    <t>アーキテクツＳＪ</t>
  </si>
  <si>
    <t>3103</t>
  </si>
  <si>
    <t>ユニチカ</t>
  </si>
  <si>
    <t>4422</t>
  </si>
  <si>
    <t>ＶＡＬＵＥＮＥＸ</t>
  </si>
  <si>
    <t>6740</t>
  </si>
  <si>
    <t>ジャパンディスプレイ</t>
  </si>
  <si>
    <t>6613</t>
  </si>
  <si>
    <t>ＱＤレーザ</t>
  </si>
  <si>
    <t>4568</t>
  </si>
  <si>
    <t>6522</t>
  </si>
  <si>
    <t>アスタリスク</t>
  </si>
  <si>
    <t>6777</t>
  </si>
  <si>
    <t>ＳＡＮＴＥＣＨＯＬＤＩＮＧＳ</t>
  </si>
  <si>
    <t>6787</t>
  </si>
  <si>
    <t>メイコー</t>
  </si>
  <si>
    <t>4888</t>
  </si>
  <si>
    <t>ステラファーマ</t>
  </si>
  <si>
    <t>6387</t>
  </si>
  <si>
    <t>サムコ</t>
  </si>
  <si>
    <t>6838</t>
  </si>
  <si>
    <t>多摩川ホールディングス</t>
  </si>
  <si>
    <t>7375</t>
  </si>
  <si>
    <t>リファインバースグループ</t>
  </si>
  <si>
    <t>4307</t>
  </si>
  <si>
    <t>野村総合研究所</t>
  </si>
  <si>
    <t>6516</t>
  </si>
  <si>
    <t>山洋電気</t>
  </si>
  <si>
    <t>7381</t>
  </si>
  <si>
    <t>ＣＣＩグループ</t>
  </si>
  <si>
    <t>4417</t>
  </si>
  <si>
    <t>グローバルセキュ</t>
  </si>
  <si>
    <t>6981</t>
  </si>
  <si>
    <t>村田製作所</t>
  </si>
  <si>
    <t>6754</t>
  </si>
  <si>
    <t>アンリツ</t>
  </si>
  <si>
    <t>4088</t>
  </si>
  <si>
    <t>エア・ウォーター</t>
  </si>
  <si>
    <t>4091</t>
  </si>
  <si>
    <t>日本酸素ＨＬＤＧＳ</t>
  </si>
  <si>
    <t>6857</t>
  </si>
  <si>
    <t>アドバンテスト</t>
  </si>
  <si>
    <t>3891</t>
  </si>
  <si>
    <t>ニッポン高度紙工業</t>
  </si>
  <si>
    <t>4373</t>
  </si>
  <si>
    <t>シンプレクスＨＤ</t>
  </si>
  <si>
    <t>8892</t>
  </si>
  <si>
    <t>エスコン</t>
  </si>
  <si>
    <t>9687</t>
  </si>
  <si>
    <t>ＫＳＫ</t>
  </si>
  <si>
    <t>1930</t>
  </si>
  <si>
    <t>北陸電気工事</t>
  </si>
  <si>
    <t>8704</t>
  </si>
  <si>
    <t>トレイダーズＨＬＤＧＳ</t>
  </si>
  <si>
    <t>4733</t>
  </si>
  <si>
    <t>オービックビジネスＣ</t>
  </si>
  <si>
    <t>9733</t>
  </si>
  <si>
    <t>ナガセ</t>
  </si>
  <si>
    <t>9551</t>
  </si>
  <si>
    <t>メタウォーター</t>
  </si>
  <si>
    <t>2359</t>
  </si>
  <si>
    <t>コア</t>
  </si>
  <si>
    <t>8103</t>
  </si>
  <si>
    <t>明和産業</t>
  </si>
  <si>
    <t>4709</t>
  </si>
  <si>
    <t>ＩＤホールディングス</t>
  </si>
  <si>
    <t>7981</t>
  </si>
  <si>
    <t>タカラスタンダ－ド</t>
  </si>
  <si>
    <t>8303</t>
  </si>
  <si>
    <t>ＳＢＩ新生銀行</t>
  </si>
  <si>
    <t>4382</t>
  </si>
  <si>
    <t>ＨＥＲＯＺ</t>
  </si>
  <si>
    <t>2327</t>
  </si>
  <si>
    <t>日鉄ソリューションズ</t>
  </si>
  <si>
    <t>1942</t>
  </si>
  <si>
    <t>関電工</t>
  </si>
  <si>
    <t>1938</t>
  </si>
  <si>
    <t>日本リーテック</t>
  </si>
  <si>
    <t>7236</t>
  </si>
  <si>
    <t>ティラド</t>
  </si>
  <si>
    <t>6436</t>
  </si>
  <si>
    <t>アマノ</t>
  </si>
  <si>
    <t>5410</t>
  </si>
  <si>
    <t>合同製鐵</t>
  </si>
  <si>
    <t>5440</t>
  </si>
  <si>
    <t>共英製鋼</t>
  </si>
  <si>
    <t>9505</t>
  </si>
  <si>
    <t>北陸電力</t>
  </si>
  <si>
    <t>8091</t>
  </si>
  <si>
    <t>ニチモウ</t>
  </si>
  <si>
    <t>6507</t>
  </si>
  <si>
    <t>シンフォニアテクノロジー</t>
  </si>
  <si>
    <t>9022</t>
  </si>
  <si>
    <t>東海旅客鉄道</t>
  </si>
  <si>
    <t>9536</t>
  </si>
  <si>
    <t>西部ガスＨＬＤＧＳ</t>
  </si>
  <si>
    <t>9506</t>
  </si>
  <si>
    <t>東北電力</t>
  </si>
  <si>
    <t>2127</t>
  </si>
  <si>
    <t>日本Ｍ＆Ａセンターホールデ</t>
  </si>
  <si>
    <t>6753</t>
  </si>
  <si>
    <t>シャープ</t>
  </si>
  <si>
    <t>9064</t>
  </si>
  <si>
    <t>7181</t>
  </si>
  <si>
    <t>かんぽ生命保険</t>
  </si>
  <si>
    <t>6485</t>
  </si>
  <si>
    <t>4887</t>
  </si>
  <si>
    <t>サワイグループＨＤ</t>
  </si>
  <si>
    <t>5243</t>
  </si>
  <si>
    <t>ＮＯＴＥ</t>
  </si>
  <si>
    <t>2702</t>
  </si>
  <si>
    <t>日本マクドナルドＨＬＤＧ</t>
  </si>
  <si>
    <t>6890</t>
  </si>
  <si>
    <t>フェローテック</t>
  </si>
  <si>
    <t>4966</t>
  </si>
  <si>
    <t>上村工業</t>
  </si>
  <si>
    <t>6146</t>
  </si>
  <si>
    <t>ディスコ</t>
  </si>
  <si>
    <t>8035</t>
  </si>
  <si>
    <t>東京エレクトロン</t>
  </si>
  <si>
    <t>6920</t>
  </si>
  <si>
    <t>レーザーテック</t>
  </si>
  <si>
    <t>5801</t>
  </si>
  <si>
    <t>古河電工</t>
  </si>
  <si>
    <t>6506</t>
  </si>
  <si>
    <t>安川電機</t>
  </si>
  <si>
    <t>2768</t>
  </si>
  <si>
    <t>双日</t>
  </si>
  <si>
    <t>6305</t>
  </si>
  <si>
    <t>日立建機</t>
  </si>
  <si>
    <t>8015</t>
  </si>
  <si>
    <t>豊田通商</t>
  </si>
  <si>
    <t>6758</t>
  </si>
  <si>
    <t>ソニーグループ</t>
  </si>
  <si>
    <t>9101</t>
  </si>
  <si>
    <t>日本郵船</t>
  </si>
  <si>
    <t>7011</t>
  </si>
  <si>
    <t>三菱重工業</t>
  </si>
  <si>
    <t>1812</t>
  </si>
  <si>
    <t>鹿島建設</t>
  </si>
  <si>
    <t>6861</t>
  </si>
  <si>
    <t>6324</t>
  </si>
  <si>
    <t>ハーモニック・ドライブ・シス</t>
  </si>
  <si>
    <t>6273</t>
  </si>
  <si>
    <t>ＳＭＣ</t>
  </si>
  <si>
    <t>4502</t>
  </si>
  <si>
    <t>武田薬品</t>
  </si>
  <si>
    <t>4004</t>
  </si>
  <si>
    <t>レゾナック・ホールディング</t>
  </si>
  <si>
    <t>9519</t>
  </si>
  <si>
    <t>レノバ</t>
  </si>
  <si>
    <t>6752</t>
  </si>
  <si>
    <t>パナソニックホールディンク</t>
  </si>
  <si>
    <t>6622</t>
  </si>
  <si>
    <t>ダイヘン</t>
  </si>
  <si>
    <t>1407</t>
  </si>
  <si>
    <t>ウエストホールディングス</t>
  </si>
  <si>
    <t>285A</t>
  </si>
  <si>
    <t>QPS研究所</t>
  </si>
  <si>
    <t>141A</t>
  </si>
  <si>
    <t>トライアルホールディングス</t>
  </si>
  <si>
    <t>464A</t>
  </si>
  <si>
    <t>QPSホールディングス</t>
  </si>
  <si>
    <t>485A</t>
  </si>
  <si>
    <t>パワーエックス</t>
  </si>
  <si>
    <t>1570</t>
  </si>
  <si>
    <t>6135</t>
  </si>
  <si>
    <t>6055</t>
  </si>
  <si>
    <t>6862</t>
  </si>
  <si>
    <t>2267</t>
  </si>
  <si>
    <t>1618</t>
  </si>
  <si>
    <t>3696</t>
  </si>
  <si>
    <t>4222</t>
  </si>
  <si>
    <t>3563</t>
  </si>
  <si>
    <t>7013</t>
  </si>
  <si>
    <t>8793</t>
  </si>
  <si>
    <t>9962</t>
  </si>
  <si>
    <t>6762</t>
  </si>
  <si>
    <t>4392</t>
  </si>
  <si>
    <t>8005</t>
  </si>
  <si>
    <t>2326</t>
  </si>
  <si>
    <t>6809</t>
  </si>
  <si>
    <t>3984</t>
  </si>
  <si>
    <t>7609</t>
  </si>
  <si>
    <t>7972</t>
  </si>
  <si>
    <t>6521</t>
  </si>
  <si>
    <t>9165</t>
  </si>
  <si>
    <t>6902</t>
  </si>
  <si>
    <t>3936</t>
  </si>
  <si>
    <t>6928</t>
  </si>
  <si>
    <t>5632</t>
  </si>
  <si>
    <t>6098</t>
  </si>
  <si>
    <t>6361</t>
  </si>
  <si>
    <t>155A</t>
  </si>
  <si>
    <t>278A</t>
  </si>
  <si>
    <t>300A</t>
  </si>
  <si>
    <t>4776</t>
  </si>
  <si>
    <t>4704</t>
  </si>
  <si>
    <t>6370</t>
  </si>
  <si>
    <t>7014</t>
  </si>
  <si>
    <t>9880</t>
  </si>
  <si>
    <t>5253</t>
  </si>
  <si>
    <t>9104</t>
  </si>
  <si>
    <t>6366</t>
  </si>
  <si>
    <t>6140</t>
  </si>
  <si>
    <t>1514</t>
  </si>
  <si>
    <t>5631</t>
  </si>
  <si>
    <t>6674</t>
  </si>
  <si>
    <t>6955</t>
  </si>
  <si>
    <t>281A</t>
  </si>
  <si>
    <t>6356</t>
  </si>
  <si>
    <t>7711</t>
  </si>
  <si>
    <t>6376</t>
  </si>
  <si>
    <t>9115</t>
  </si>
  <si>
    <t>3864</t>
  </si>
  <si>
    <t>6997</t>
  </si>
  <si>
    <t>4544</t>
  </si>
  <si>
    <t>6848</t>
  </si>
  <si>
    <t>5702</t>
  </si>
  <si>
    <t>7952</t>
  </si>
  <si>
    <t>3002</t>
  </si>
  <si>
    <t>8871</t>
  </si>
  <si>
    <t>6918</t>
  </si>
  <si>
    <t>6488</t>
  </si>
  <si>
    <t>8007</t>
  </si>
  <si>
    <t>4218</t>
  </si>
  <si>
    <t>7735</t>
  </si>
  <si>
    <t>3905</t>
  </si>
  <si>
    <t>3397</t>
  </si>
  <si>
    <t>7270</t>
  </si>
  <si>
    <t>6736</t>
  </si>
  <si>
    <t>2933</t>
  </si>
  <si>
    <t>4047</t>
  </si>
  <si>
    <t>6482</t>
  </si>
  <si>
    <t>6706</t>
  </si>
  <si>
    <t>8141</t>
  </si>
  <si>
    <t>8344</t>
  </si>
  <si>
    <t>7414</t>
  </si>
  <si>
    <t>6407</t>
  </si>
  <si>
    <t>7048</t>
  </si>
  <si>
    <t>1808</t>
  </si>
  <si>
    <t>4208</t>
  </si>
  <si>
    <t>186A</t>
  </si>
  <si>
    <t>6965</t>
  </si>
  <si>
    <t>6331</t>
  </si>
  <si>
    <t>7741</t>
  </si>
  <si>
    <t xml:space="preserve">  📊  株価管理システム｜銘柄管理マスター</t>
  </si>
  <si>
    <t xml:space="preserve">  最終更新: ―</t>
  </si>
  <si>
    <t>株探</t>
  </si>
  <si>
    <t>TOPX</t>
  </si>
  <si>
    <t>★</t>
  </si>
  <si>
    <t>高精度買い抽出 v13</t>
  </si>
  <si>
    <t>メモ</t>
  </si>
  <si>
    <t>銘柄コード</t>
  </si>
  <si>
    <t>銘柄名称</t>
  </si>
  <si>
    <t>現在値</t>
  </si>
  <si>
    <t>高値</t>
  </si>
  <si>
    <t>安値</t>
  </si>
  <si>
    <t>出来高</t>
  </si>
  <si>
    <t>RSI(14)</t>
  </si>
  <si>
    <t>EMAトレンド</t>
  </si>
  <si>
    <t>押し目判定</t>
  </si>
  <si>
    <t>出来高倍率</t>
  </si>
  <si>
    <t>MACD</t>
  </si>
  <si>
    <t>高値更新</t>
  </si>
  <si>
    <t>利確ライン</t>
  </si>
  <si>
    <t>損切ライン</t>
  </si>
  <si>
    <t>スコア</t>
  </si>
  <si>
    <t>シグナル内容</t>
  </si>
  <si>
    <t>これはv13の設計通り</t>
  </si>
  <si>
    <t>-</t>
  </si>
  <si>
    <t>◆  打ち出の無限こづち  ◆  買い候補ダッシュボード  ◆</t>
  </si>
  <si>
    <t>No</t>
  </si>
  <si>
    <t>始値</t>
  </si>
  <si>
    <t>5日EMA</t>
  </si>
  <si>
    <t>25日EMA</t>
  </si>
  <si>
    <t>年初来高値</t>
  </si>
  <si>
    <t>出来高トレンド</t>
  </si>
  <si>
    <t>高値距離%</t>
  </si>
  <si>
    <t>ステータス</t>
  </si>
  <si>
    <t>前日比%</t>
  </si>
  <si>
    <t>総合スコア</t>
  </si>
  <si>
    <t>最終シグナル</t>
  </si>
  <si>
    <t>株価分析システム  |  買い候補分析シート</t>
  </si>
  <si>
    <t>TOPIX有効日数</t>
  </si>
  <si>
    <t>基準列オフセット</t>
  </si>
  <si>
    <t>株リンク</t>
  </si>
  <si>
    <t>前日終値</t>
  </si>
  <si>
    <t>高値距離(%)</t>
  </si>
  <si>
    <t>出来高5日平均</t>
  </si>
  <si>
    <t>出来高25日平均</t>
  </si>
  <si>
    <t>エントリー判定</t>
  </si>
  <si>
    <t>損切りライン</t>
  </si>
  <si>
    <t>ダマシ除外</t>
  </si>
  <si>
    <t>前日比(%)</t>
  </si>
  <si>
    <t>銘柄騰落率</t>
  </si>
  <si>
    <t>TOPIX騰落率</t>
  </si>
  <si>
    <t>対TOPIX超過</t>
  </si>
  <si>
    <t>相対力スコア</t>
  </si>
  <si>
    <t>安値更新</t>
  </si>
  <si>
    <t>戻り判定</t>
  </si>
  <si>
    <t>シグナルWD</t>
  </si>
  <si>
    <t>ローソク足形</t>
  </si>
  <si>
    <t>足加減点</t>
  </si>
  <si>
    <t>前日始値</t>
  </si>
  <si>
    <t>前日高値</t>
  </si>
  <si>
    <t>前日安値</t>
  </si>
  <si>
    <t>前日足形</t>
  </si>
  <si>
    <t>前日足加減点</t>
  </si>
  <si>
    <t>◆  売り候補ダッシュボード  ◆  空売り・下落候補  ◆</t>
  </si>
  <si>
    <t>下降トレンド▼</t>
  </si>
  <si>
    <t>RSS 始値</t>
  </si>
  <si>
    <t xml:space="preserve">  📈  高値シート｜60日履歴</t>
  </si>
  <si>
    <t>RSS 高値</t>
  </si>
  <si>
    <t xml:space="preserve">  📈  終値シート｜60日履歴</t>
  </si>
  <si>
    <t>RSS 現値</t>
  </si>
  <si>
    <t xml:space="preserve">  📈  出来高シート｜60日履歴</t>
  </si>
  <si>
    <t>RSS 出来高</t>
  </si>
  <si>
    <t>コード →</t>
  </si>
  <si>
    <t>→ 株探(過去データ)</t>
  </si>
  <si>
    <t>→</t>
  </si>
  <si>
    <t>本数</t>
  </si>
  <si>
    <t>市場名称</t>
  </si>
  <si>
    <t>日付</t>
  </si>
  <si>
    <t>時刻</t>
  </si>
  <si>
    <t>終値</t>
  </si>
  <si>
    <t>移動平均1</t>
  </si>
  <si>
    <t>移動平均2</t>
  </si>
  <si>
    <t>「発注可」の設定は毎回確認</t>
  </si>
  <si>
    <t>発注可をON（毎回必要）　　　　　　　■スイング決済ルール</t>
  </si>
  <si>
    <t>項目</t>
  </si>
  <si>
    <t>設定値</t>
  </si>
  <si>
    <t>説明</t>
  </si>
  <si>
    <t>シートNo</t>
  </si>
  <si>
    <t>4桁銘柄コード（青字＝手入力）</t>
  </si>
  <si>
    <t>建玉数量</t>
  </si>
  <si>
    <t>建値</t>
  </si>
  <si>
    <t>前日比</t>
  </si>
  <si>
    <t>信用区分</t>
  </si>
  <si>
    <t>口座区分</t>
  </si>
  <si>
    <t>建玉No</t>
  </si>
  <si>
    <t>評価損益</t>
  </si>
  <si>
    <t>銘柄名</t>
  </si>
  <si>
    <t>自動取得</t>
  </si>
  <si>
    <t>（重複防止用）</t>
  </si>
  <si>
    <t>市場</t>
  </si>
  <si>
    <t>0：特定口座　1：一般口座</t>
  </si>
  <si>
    <t>購入株数</t>
  </si>
  <si>
    <t>買い建てする株数（青字＝手入力）</t>
  </si>
  <si>
    <t>■信用区分</t>
  </si>
  <si>
    <t>　2：.無期限（スイング向け）　1：一般信用（１日・）　0：制度信用（6ヶ月）</t>
  </si>
  <si>
    <t>建値（建単価）</t>
  </si>
  <si>
    <t>信用建玉一覧から取得</t>
  </si>
  <si>
    <t>時間</t>
  </si>
  <si>
    <t>やること</t>
  </si>
  <si>
    <t>建日</t>
  </si>
  <si>
    <t>朝一番</t>
  </si>
  <si>
    <t>マーケットスピード起動</t>
  </si>
  <si>
    <t>建玉市場</t>
  </si>
  <si>
    <t>必ず</t>
  </si>
  <si>
    <t>発注可をON（毎回必要）</t>
  </si>
  <si>
    <t>建玉市場区分</t>
  </si>
  <si>
    <t>市場名を区分コードに変換</t>
  </si>
  <si>
    <t>そのまま放置</t>
  </si>
  <si>
    <t>Excelを開いたまま → 自動発注・自動決済</t>
  </si>
  <si>
    <t>保有株数</t>
  </si>
  <si>
    <t>■決済パラメータ設定（青字＝手入力）</t>
  </si>
  <si>
    <t>ストップロス%</t>
  </si>
  <si>
    <t>建値からの損切り％</t>
  </si>
  <si>
    <t>利確%</t>
  </si>
  <si>
    <t>建値からの利確％</t>
  </si>
  <si>
    <t>トレーリング開始%</t>
  </si>
  <si>
    <t>建値から＋％到達でトレーリング開始</t>
  </si>
  <si>
    <t>トレーリング幅%</t>
  </si>
  <si>
    <t>高値からの引き下げ％（ストップ発動）</t>
  </si>
  <si>
    <t>最大保有日数</t>
  </si>
  <si>
    <t>建日からN日後に強制決済</t>
  </si>
  <si>
    <t>GU率上限%</t>
  </si>
  <si>
    <t>この%超のGUは見送り（例：3%超なら過熱と判断）</t>
  </si>
  <si>
    <t>VWAP比較</t>
  </si>
  <si>
    <t>1：始値＞VWAPの時のみエントリー可（0：無効）</t>
  </si>
  <si>
    <t>C23（VWAP比較）を1に戻すかどうか判断</t>
  </si>
  <si>
    <t>■監視情報（自動更新）</t>
  </si>
  <si>
    <t>RSS自動取得</t>
  </si>
  <si>
    <t>保有日数</t>
  </si>
  <si>
    <t>建日からの経過日数</t>
  </si>
  <si>
    <t>含山益率</t>
  </si>
  <si>
    <t>（現在値−建値）÷建値×100</t>
  </si>
  <si>
    <t>高値記録（VBA）</t>
  </si>
  <si>
    <t>VBAマクロが自動更新</t>
  </si>
  <si>
    <t>トレーリングフラグ（VBA）</t>
  </si>
  <si>
    <t>0：トレーリング未開始、1：トレーリング中（VBA自動更新）</t>
  </si>
  <si>
    <t>GU率</t>
  </si>
  <si>
    <t>（始値−前日終値）÷前日終値×100</t>
  </si>
  <si>
    <t>VWAP</t>
  </si>
  <si>
    <t>GU率≦上限％　かつ　始値＞VWAP（VWAP比較＝1の時）</t>
  </si>
  <si>
    <t>■決済条件判定</t>
  </si>
  <si>
    <t>ストップロス価格</t>
  </si>
  <si>
    <t>建値×（1−ストップロス％）</t>
  </si>
  <si>
    <t>利確価格</t>
  </si>
  <si>
    <t>建値×（1＋利確％）</t>
  </si>
  <si>
    <t>トレーリング開始価格</t>
  </si>
  <si>
    <t>建値×（1＋トレーリング開始％）</t>
  </si>
  <si>
    <t>トレーリングストップ価格</t>
  </si>
  <si>
    <t>高値記録×（1−トレーリング幅％） VBA高値が入れば自動計算</t>
  </si>
  <si>
    <t>決済期限日</t>
  </si>
  <si>
    <t>建日＋N日</t>
  </si>
  <si>
    <t>■トリガー判定</t>
  </si>
  <si>
    <t>トリガーフェーズ</t>
  </si>
  <si>
    <t>VBAがフェーズを切り替え</t>
  </si>
  <si>
    <t>決済トリガー</t>
  </si>
  <si>
    <t>①利確+6% ②ストップロス-4% ③日数期限 ④トレーリング発動　一つでも成立で１</t>
  </si>
  <si>
    <t>決済事由</t>
  </si>
  <si>
    <t>決済事由をテキストで表示</t>
  </si>
  <si>
    <t>■発注情報</t>
  </si>
  <si>
    <t>発注ID</t>
  </si>
  <si>
    <t>コード+市場区分+株数先頭+建値末尾2桁</t>
  </si>
  <si>
    <t>RSS決済注文</t>
  </si>
  <si>
    <t>RssMarginCloseOrder（発注ID,トリガー,コード,...）</t>
  </si>
  <si>
    <t>■エントリー（買い建て）</t>
  </si>
  <si>
    <t>エントリー時刻（参考）</t>
  </si>
  <si>
    <t>参考表示のみ。時刻制御なし・条件成立時に即発注</t>
  </si>
  <si>
    <t>末尾の番号（現在3）は手動で戻す必要があります → 翌日は1に戻す</t>
  </si>
  <si>
    <t>エントリートリガー</t>
  </si>
  <si>
    <t>GU率≦上限%　かつ　始値&gt;VWAP（C22=1の時）　かつ　未建玉の時に1</t>
  </si>
  <si>
    <t>発注ID（買い）</t>
  </si>
  <si>
    <t>銘柄コード＋TODAY("mmdd")＋連番（例：570305191）</t>
  </si>
  <si>
    <t>RSS買い注文</t>
  </si>
  <si>
    <t>指値価格</t>
  </si>
  <si>
    <t>価格で買い注文　今より下の価格</t>
  </si>
  <si>
    <t>逆指値価格</t>
  </si>
  <si>
    <t>この価格に達したら買い注文を入れる　今より上の価格</t>
  </si>
  <si>
    <t>C55の末尾を "9" → "1" に戻す</t>
  </si>
  <si>
    <t>明日（5/19）になれば 570305191 になり、毎日自動リセットされます。</t>
  </si>
  <si>
    <t>あとは何もしなくていいです。</t>
  </si>
  <si>
    <t>スイング自動売買システム　取扱説明書</t>
  </si>
  <si>
    <t>対象シート：スイング決済　／　対応ツール：楽天RSS＋マーケットスピード</t>
  </si>
  <si>
    <t>━━━━━━━━━━━━━━━━━━━━━━━━━━━━━━━━━━</t>
  </si>
  <si>
    <t>【１】起動前の準備チェックリスト</t>
  </si>
  <si>
    <t>□ マーケットスピードを起動してログイン済みか</t>
  </si>
  <si>
    <t>□ マーケットスピードの「RSS発注」→「発注可」に切り替えているか</t>
  </si>
  <si>
    <t>□ このExcelファイルを起動後、各シートの1行目が「配信中」になっているか</t>
  </si>
  <si>
    <t>　</t>
  </si>
  <si>
    <t>□ 他のExcelファイルを同時に開いていないか（開くと発注不可に切り替わる）</t>
  </si>
  <si>
    <t>□ 取引暗証番号の入力は不要（マーケットスピードのログインで認証済み）</t>
  </si>
  <si>
    <t>【２】パラメータ設定（スイング決済シート）</t>
  </si>
  <si>
    <t>セル</t>
  </si>
  <si>
    <t>内容・目安</t>
  </si>
  <si>
    <t>備考</t>
  </si>
  <si>
    <t>C3</t>
  </si>
  <si>
    <t>4桁の銘柄コードを入力</t>
  </si>
  <si>
    <t>例：1570（NF日経レバ）</t>
  </si>
  <si>
    <t>C6</t>
  </si>
  <si>
    <t>通常は0（特定口座）</t>
  </si>
  <si>
    <t>C7</t>
  </si>
  <si>
    <t>買い建てする株数</t>
  </si>
  <si>
    <t>例：100株</t>
  </si>
  <si>
    <t>C9</t>
  </si>
  <si>
    <t>1：一般信用（無期限・スイング向き）　0：制度信用（6ヶ月）</t>
  </si>
  <si>
    <t>スイングなら　1推奨</t>
  </si>
  <si>
    <t>C17</t>
  </si>
  <si>
    <t>建値からこの%以上上昇したら利確決済</t>
  </si>
  <si>
    <t>目安：5～8%　現在：6%</t>
  </si>
  <si>
    <t>C16</t>
  </si>
  <si>
    <t>建値からこの%以上下落したら損切り決済</t>
  </si>
  <si>
    <t>目安：3～5%　現在：4%</t>
  </si>
  <si>
    <t>C18</t>
  </si>
  <si>
    <t>建値からこの%に達したらトレーリング開始</t>
  </si>
  <si>
    <t>目安：3～5%　現在：5%</t>
  </si>
  <si>
    <t>C19</t>
  </si>
  <si>
    <t>高値からこの%下落でストップ発動</t>
  </si>
  <si>
    <t>目安：2～4%　現在：3%</t>
  </si>
  <si>
    <t>C20</t>
  </si>
  <si>
    <t>建日からこの日数を超えたら強制決済</t>
  </si>
  <si>
    <t>目安：5～10日　現在：7日</t>
  </si>
  <si>
    <t>C21</t>
  </si>
  <si>
    <t>この%を超えるGUの日はエントリーしない</t>
  </si>
  <si>
    <t>C22</t>
  </si>
  <si>
    <t>1：始値＞VWAPの日のみエントリー　0：フィルターなし</t>
  </si>
  <si>
    <t>1推奨（涵益安定）</t>
  </si>
  <si>
    <t>【３】注文の仕組み（自動売買の流れ）</t>
  </si>
  <si>
    <t>▶ エントリー（買い建て）の流れ</t>
  </si>
  <si>
    <t>　① RSSが小处情報を常時監視（現在値・VWAP・始値・GU率）</t>
  </si>
  <si>
    <t>　② 「GU率≤3%」かつ「始値＞VWAP」かつ「未建玉」の3条件が全て成立</t>
  </si>
  <si>
    <t>　③ C54エントリートリガーが「1」に変わり、C56が自動発注</t>
  </si>
  <si>
    <t>　④ 約定後、信用建玉一覧に建値・建日・株数が自動反映（動作済みの場合）</t>
  </si>
  <si>
    <t>▶ 保有中の監視（VBAマクロが5秒ごと自動実行）</t>
  </si>
  <si>
    <t>　・ 建値+5%に達した瞬間 → C30トレーリングフラグが「1」に変わりトレーリング開始</t>
  </si>
  <si>
    <t>　・ 高値を更新するたびに → C29高値記録が切り上がり、C39ストップ価格も自動上昇</t>
  </si>
  <si>
    <t>▶ 決済の流れ（下記のどれか1つが発動した時点で自動決済）</t>
  </si>
  <si>
    <t>条件</t>
  </si>
  <si>
    <t>発動価格</t>
  </si>
  <si>
    <t>备考</t>
  </si>
  <si>
    <t>①利確</t>
  </si>
  <si>
    <t>建値 × 1.06以上</t>
  </si>
  <si>
    <t>全フェーズ共通。成行決済</t>
  </si>
  <si>
    <t>②ストップロス</t>
  </si>
  <si>
    <t>建値 × 0.96以下</t>
  </si>
  <si>
    <t>トレーリング開始前・後共通。成行決済</t>
  </si>
  <si>
    <t>③トレーリングストップ</t>
  </si>
  <si>
    <t>高値 × 0.97以下（+5%到達後）</t>
  </si>
  <si>
    <t>VBAが高値を追従。建値+5%到達後に有効</t>
  </si>
  <si>
    <t>④日数期限</t>
  </si>
  <si>
    <t>建日から7日経過</t>
  </si>
  <si>
    <t>上記どれも発動しない時の安全網</t>
  </si>
  <si>
    <t>【４】決済後のリセット手順（必須！）</t>
  </si>
  <si>
    <t>決済後は必ず「リセットボタン」を押してください。押さないと次回の建玉時に高値記録・トレーリングフラグが残ったままになり、誤発注の原因になります。</t>
  </si>
  <si>
    <t>　手順：Alt+F8 → 「ResetSwingTracking」を選択 → 実行</t>
  </si>
  <si>
    <t>　またはスイング決済シートの「リセットボタン」をクリックすると同じ効果があります。</t>
  </si>
  <si>
    <t>【５】注意事項</t>
  </si>
  <si>
    <t>① 他のExcelファイルを起動すると発注「発注不可」に切り替わる（楽天RSSの仕様）</t>
  </si>
  <si>
    <t>② 銘柄コード（C3）の変更は必ず平日取引時間外（9:00～15:30以外）に行う</t>
  </si>
  <si>
    <t>③ VBAマクロ「CheckSwingTrailing」が動いているか確認（C29：高値記録が定期的に変化するか確認）</t>
  </si>
  <si>
    <t>④ このシートは1銘柄専用。複数銘柄を管理する場合はシートをコピーして「スイング決済2」等の名前で追加</t>
  </si>
  <si>
    <t>打ち出のこづち　トレード管理シート</t>
  </si>
  <si>
    <t>保有銘柄数：</t>
  </si>
  <si>
    <t>損切推奨：</t>
  </si>
  <si>
    <t>売買</t>
  </si>
  <si>
    <t>銘柄</t>
  </si>
  <si>
    <t>購入日</t>
  </si>
  <si>
    <t>購入価格</t>
  </si>
  <si>
    <t>購入数量</t>
  </si>
  <si>
    <t>前日差</t>
  </si>
  <si>
    <t>利益</t>
  </si>
  <si>
    <t>利益率</t>
  </si>
  <si>
    <t>利確(買:+6% / 売:-6%)</t>
  </si>
  <si>
    <t>損切(買:-4% / 売:+4%)</t>
  </si>
  <si>
    <t>判断</t>
  </si>
  <si>
    <t>直近10日高値</t>
  </si>
  <si>
    <t>直近10日安値</t>
  </si>
  <si>
    <t>トレーリングSTOP</t>
  </si>
  <si>
    <t>売却日</t>
  </si>
  <si>
    <t>売却価格</t>
  </si>
  <si>
    <t>確定損益</t>
  </si>
  <si>
    <t>🌏 海外指標・先物データ（日次蓄積）</t>
  </si>
  <si>
    <t>指標名</t>
  </si>
  <si>
    <t>最新値</t>
  </si>
  <si>
    <t>NYダウ</t>
  </si>
  <si>
    <t>S&amp;P500</t>
  </si>
  <si>
    <t>NASDAQ</t>
  </si>
  <si>
    <t>VIX恐怖指数</t>
  </si>
  <si>
    <t>ドル円</t>
  </si>
  <si>
    <t>WTI原油</t>
  </si>
  <si>
    <t>米10年金利</t>
  </si>
  <si>
    <t>📌 読み方</t>
  </si>
  <si>
    <t>※ VIXが20以上 = 相場が荒れるサイン。新規購入は慣重に。</t>
  </si>
  <si>
    <t>※ VIXが15以下 = 安定相場。積極的に動ける。</t>
  </si>
  <si>
    <t>※ ドル円が円安方向（数字が大きい）= 輸出我に有利。</t>
  </si>
  <si>
    <t>※ NYダウが前日比-1%以下 = 翌朝の日本株は下がりやすい。</t>
  </si>
  <si>
    <t>🔧 使い方</t>
  </si>
  <si>
    <t>① 初回のみ「海外指標_過去60日取得」を実行（数十秒かかる）</t>
  </si>
  <si>
    <t>② 毎日夜（22時以降）「海外指標_今日のデータ追加」を実行</t>
  </si>
  <si>
    <t>③ D列に今日のデータが追加され、旧データは右列に順次移動される</t>
  </si>
  <si>
    <t/>
  </si>
  <si>
    <t>先物</t>
    <rPh sb="0" eb="2">
      <t>サキモノ</t>
    </rPh>
    <phoneticPr fontId="16"/>
  </si>
  <si>
    <t>株探</t>
    <phoneticPr fontId="16"/>
  </si>
  <si>
    <t>メモ</t>
    <phoneticPr fontId="16"/>
  </si>
  <si>
    <t>銘柄コード</t>
    <phoneticPr fontId="16"/>
  </si>
  <si>
    <t>銘柄名称</t>
    <phoneticPr fontId="16"/>
  </si>
  <si>
    <t>現在値</t>
    <phoneticPr fontId="16"/>
  </si>
  <si>
    <t>高値</t>
    <phoneticPr fontId="16"/>
  </si>
  <si>
    <t>安値</t>
    <phoneticPr fontId="16"/>
  </si>
  <si>
    <t>RSI(14)</t>
    <phoneticPr fontId="16"/>
  </si>
  <si>
    <t>EMAトレンド</t>
    <phoneticPr fontId="16"/>
  </si>
  <si>
    <t>戻り売り判定</t>
    <phoneticPr fontId="16"/>
  </si>
  <si>
    <t>出来高倍率</t>
    <phoneticPr fontId="16"/>
  </si>
  <si>
    <t>MACD</t>
    <phoneticPr fontId="16"/>
  </si>
  <si>
    <t>安値更新</t>
    <phoneticPr fontId="16"/>
  </si>
  <si>
    <t>利確ライン</t>
    <phoneticPr fontId="16"/>
  </si>
  <si>
    <t>損切ライン</t>
    <phoneticPr fontId="16"/>
  </si>
  <si>
    <t>スコア</t>
    <phoneticPr fontId="16"/>
  </si>
  <si>
    <t>シグナル内容</t>
    <phoneticPr fontId="16"/>
  </si>
  <si>
    <t>--------</t>
  </si>
  <si>
    <t>売り抽出　結果</t>
    <phoneticPr fontId="16"/>
  </si>
  <si>
    <t>了解です。現在の設定で進めましょう。</t>
  </si>
  <si>
    <t>現在の完成状態まとめ</t>
  </si>
  <si>
    <t>買い抽出（3段階）</t>
  </si>
  <si>
    <t>★高精度：スコア12以上 + 押し目必須 + 全フィルター</t>
  </si>
  <si>
    <t>通常：スコア11以上 + 押し目必須</t>
  </si>
  <si>
    <t>緩和：スコア11以上（押し目不要）← 実用メイン</t>
  </si>
  <si>
    <t>売り抽出（3段階）</t>
  </si>
  <si>
    <t>★高精度・通常・緩和</t>
  </si>
  <si>
    <t>市場フィルター</t>
  </si>
  <si>
    <t>TOPIX連動（OK/MID/LARGE）</t>
  </si>
  <si>
    <t>先物フィルター（H5）</t>
  </si>
  <si>
    <t>残り作業（任意）</t>
  </si>
  <si>
    <t>1. 通常相場で数日間候補を観察して精度を確認</t>
  </si>
  <si>
    <t>2. 必要なら閾値を微調整</t>
  </si>
  <si>
    <t>何か気になることがあればいつでも声をかけてください！</t>
  </si>
  <si>
    <t>買いは「TOPIXより強い銘柄」、売りは「TOPIXより弱い銘柄」を必須条件に追加します。</t>
  </si>
  <si>
    <t>現在はどちらもボーナス（+1点）だけなので、必須フィルターに格上げします。</t>
  </si>
  <si>
    <t>実は現在の条件が既にその両方をカバーしています。</t>
  </si>
  <si>
    <t>現在の条件の意味</t>
  </si>
  <si>
    <t>買い側： 株価変化率 &gt; TOPIX変化率</t>
  </si>
  <si>
    <t>相場</t>
  </si>
  <si>
    <t>例</t>
  </si>
  <si>
    <t>判定</t>
  </si>
  <si>
    <t>上昇日</t>
  </si>
  <si>
    <t>TOPIX +1%、株 +2%</t>
  </si>
  <si>
    <t>✅ 通過（TOPIX以上に上がる）</t>
  </si>
  <si>
    <t>下落日</t>
  </si>
  <si>
    <t>TOPIX -2%、株 -1%</t>
  </si>
  <si>
    <t>✅ 通過（TOPIX以上に下がらない）</t>
  </si>
  <si>
    <t>TOPIX -1%、株 -2%</t>
  </si>
  <si>
    <t>❌ 除外（TOPIXより下落大）</t>
  </si>
  <si>
    <t>売り側： 株価変化率 &lt; TOPIX変化率</t>
  </si>
  <si>
    <t>✅ 通過（TOPIX以上に下がる）</t>
  </si>
  <si>
    <t>TOPIX +2%、株 +1%</t>
  </si>
  <si>
    <t>✅ 通過（TOPIX以上に上がらない）</t>
  </si>
  <si>
    <t>❌ 除外（TOPIXより上昇大）</t>
  </si>
  <si>
    <t>追加の修正は不要です。先ほど送った2ファイルをそのまま貼り付ければ完成です。</t>
  </si>
  <si>
    <t>--------</t>
    <phoneticPr fontId="16"/>
  </si>
  <si>
    <t>1321</t>
  </si>
  <si>
    <t>信越化学</t>
    <phoneticPr fontId="16"/>
  </si>
  <si>
    <t>1944</t>
  </si>
  <si>
    <t>アップロードされたxlsmファイルの中身（VBAロジック、抽出シート、運用パラメータ）を一通り解析しました。中は「打ち出の無限こづち」という買い/売り抽出システム＋楽天RSS連携の自動スイング売買ツールでした。以下、依頼の形式に沿ってまとめます。</t>
  </si>
  <si>
    <t>1. 結論</t>
  </si>
  <si>
    <t>今のシステムが弱い理由は「抽出条件の精度」以前に、「結果を記録して検証する仕組みがない」ことです。</t>
  </si>
  <si>
    <r>
      <t>買い抽出（スコア11〜12点式）も売り抽出も、指標の組み合わせとしてはかなり作り込まれています。しかし管理シート（トレード記録）は現状</t>
    </r>
    <r>
      <rPr>
        <b/>
        <sz val="11"/>
        <color theme="1"/>
        <rFont val="ＭＳ Ｐゴシック"/>
        <family val="3"/>
        <charset val="128"/>
        <scheme val="minor"/>
      </rPr>
      <t>空欄</t>
    </r>
    <r>
      <rPr>
        <sz val="11"/>
        <color theme="1"/>
        <rFont val="ＭＳ Ｐゴシック"/>
        <family val="2"/>
        <scheme val="minor"/>
      </rPr>
      <t>で、過去の売買がどのスコア・どのシグナルで勝ち、どれで負けたかのデータが一切残っていません。つまり「なぜ思うように利益が出ないか」を判断する材料が、このファイルの中にまだ存在しない状態です。</t>
    </r>
  </si>
  <si>
    <t>なので最優先でやるべきは、条件をいじる前に「記録して測る」→そのあとで「条件を絞る」の順番です。</t>
  </si>
  <si>
    <t>2. 理由（見つかった事実ベース）</t>
  </si>
  <si>
    <t>ファイルの中身から確認できた事実を、角度別に整理します。</t>
  </si>
  <si>
    <t>① 記録がゼロ（最大の問題）</t>
  </si>
  <si>
    <t>「管理」シート（保有銘柄・利益率を記録する場所）に過去データが1件もありません。</t>
  </si>
  <si>
    <t>「自動注文決済」シートには2026/5/27に建玉した形跡がありますが、損益結果は記録されていません。</t>
  </si>
  <si>
    <r>
      <t>→ スコア11点で勝てているのか、17点じゃないと勝てないのか、今の時点では</t>
    </r>
    <r>
      <rPr>
        <b/>
        <sz val="11"/>
        <color theme="1"/>
        <rFont val="ＭＳ Ｐゴシック"/>
        <family val="3"/>
        <charset val="128"/>
        <scheme val="minor"/>
      </rPr>
      <t>誰にも分かりません</t>
    </r>
    <r>
      <rPr>
        <sz val="11"/>
        <color theme="1"/>
        <rFont val="ＭＳ Ｐゴシック"/>
        <family val="2"/>
        <scheme val="minor"/>
      </rPr>
      <t>。感覚で「利益が出ない」と感じていても、原因が「抽出条件」なのか「利確・損切りのタイミング」なのか「そもそも母数が少なすぎる」のか切り分けができない状態です。</t>
    </r>
  </si>
  <si>
    <t>② 今出ている買い候補が「本来の狙い」とズレている</t>
  </si>
  <si>
    <r>
      <t>買い抽出シートを見ると、直近の抽出は「緩和抽出（11点以上・条件ゆるめ）」で実行されており、出てきた4銘柄はすべて</t>
    </r>
    <r>
      <rPr>
        <b/>
        <sz val="11"/>
        <color theme="1"/>
        <rFont val="ＭＳ Ｐゴシック"/>
        <family val="3"/>
        <charset val="128"/>
        <scheme val="minor"/>
      </rPr>
      <t>ギリギリ11点</t>
    </r>
    <r>
      <rPr>
        <sz val="11"/>
        <color theme="1"/>
        <rFont val="ＭＳ Ｐゴシック"/>
        <family val="2"/>
        <scheme val="minor"/>
      </rPr>
      <t>、しかも「押し目判定：なし」でした。</t>
    </r>
  </si>
  <si>
    <r>
      <t xml:space="preserve">一方でVBAコード上は </t>
    </r>
    <r>
      <rPr>
        <sz val="10"/>
        <color theme="1"/>
        <rFont val="Arial Unicode MS"/>
        <family val="2"/>
      </rPr>
      <t>BUY_REQUIRE_OSIME = True</t>
    </r>
    <r>
      <rPr>
        <sz val="11"/>
        <color theme="1"/>
        <rFont val="ＭＳ Ｐゴシック"/>
        <family val="2"/>
        <scheme val="minor"/>
      </rPr>
      <t>（押し目でのみ買う、という設計思想）になっています。つまり本来「安くなった所を拾う」ためのツールなのに、今実際に出ている候補は「すでに上がった銘柄を追いかける」形の銘柄が混ざっています。これは方針と実際の抽出結果が矛盾している状態です。</t>
    </r>
  </si>
  <si>
    <t>③ 損益設定は悪くないが、1回あたりのリスク量がバラバラ</t>
  </si>
  <si>
    <t>自動決済ルールは「損切り-4%／利確+6〜8%／トレール開始+5%・幅3%／最大保有10日」となっており、損小利大の考え方自体は妥当です。</t>
  </si>
  <si>
    <t>ただし購入株数が「100株固定」になっており、6,486円の銘柄も3,083円の銘柄も同じ100株で買う設計です。これだと1回の取引で失う金額（円ベースのリスク）が銘柄ごとに2倍以上変わってしまい、「1回の負けの重さ」を毎回コントロールできていません。</t>
  </si>
  <si>
    <t>④ 運用上の見落としリスク</t>
  </si>
  <si>
    <t>取扱説明書に「他のExcelファイルを同時に開くと発注不可になる」「決済後は必ずリセットボタンを押す」という注意書きがあり、これを踏むと自動決済が止まって想定より長く塩漬けになる構造上の弱点があります。</t>
  </si>
  <si>
    <t>「自動注文決済」シートの信用区分の欄に銘柄コードらしき数値（4164）が入っており、銘柄コード欄自体は空欄でした。次回ログイン時に発注条件が正しく組まれているか、念のため確認をおすすめします（前回接続時の残骸の可能性もあり、断定はできません）。</t>
  </si>
  <si>
    <t>3. 具体案（3つ）</t>
  </si>
  <si>
    <t>案A：まず「勝率を測る」仕組みを作る（最優先・今日からできる）</t>
  </si>
  <si>
    <t>売買のたびに、既にある「管理」シートに次を必ず記録します。</t>
  </si>
  <si>
    <t>購入日・購入価格・スコア（抽出シートの点数）・出た条件（押し目あり/なしなど）</t>
  </si>
  <si>
    <t>売却日・売却価格・利益率</t>
  </si>
  <si>
    <t>これを最低20〜30回分溜めたら、「スコア11〜13点」「14〜16点」「17点以上」でグループ分けして勝率と平均利益率を比べます。ここで初めて「今のスコア基準が妥当か」が数字で分かります。感覚での改善をやめて、データで改善する土台を作る案です。</t>
  </si>
  <si>
    <t>案B：損切り額を「金額固定」にする（リスクの均一化）</t>
  </si>
  <si>
    <t>100株固定をやめて、「1回のトレードで失っても良い金額」を先に決めます。</t>
  </si>
  <si>
    <t>購入株数 ＝ 決めた許容損失額 ÷（購入価格 × 損切り％）</t>
  </si>
  <si>
    <t>例：1回の許容損失を5,000円、損切りが4%なら</t>
  </si>
  <si>
    <t>6,486円の銘柄 → 5,000 ÷ (6,486×0.04) ≒ 19株 → 100株ではなく19株〜（単元株なら100株買わず見送り、もしくは資金配分を見直す）</t>
  </si>
  <si>
    <t>3,083円の銘柄 → 5,000 ÷ (3,083×0.04) ≒ 40株</t>
  </si>
  <si>
    <t>こうすることで、勝っても負けても「1回あたりの重さ」が揃い、連敗しても致命傷になりにくくなります。</t>
  </si>
  <si>
    <t>案C：抽出結果を「押し目型」と「追随型」に分けて運用する</t>
  </si>
  <si>
    <t>今は「高精度抽出（12点以上・全フィルター必須）」と「緩和抽出（11点以上・フィルター無し）」が同じ買い候補リストに混ざりやすい状態です。運用ルールとして固定します。</t>
  </si>
  <si>
    <t>1. まず必ず「高精度抽出（12点以上）」を実行する</t>
  </si>
  <si>
    <t>2. 候補が0件のときだけ「緩和抽出（11点以上）」を使う。ただしこの場合は案Bの株数をさらに半分にする（追随型は元々リスクが高いトレードとして扱う）</t>
  </si>
  <si>
    <t>3. 「押し目判定：なし」の銘柄が緩和抽出で出た場合は、優先度を下げてメモ欄に「追随型」と書いておく</t>
  </si>
  <si>
    <t>これで「本来買いたかった押し目」と「勢いで拾った銘柄」が記録上も区別でき、案Aの検証がさらに正確になります。</t>
  </si>
  <si>
    <t>4. すぐ使える完成版</t>
  </si>
  <si>
    <t>そのまま今日から使えるチェックリストと数式です。</t>
  </si>
  <si>
    <t>■ 毎日の順番（固定ルーティン化）</t>
  </si>
  <si>
    <t>1. 寄り付き前：マーケットスピード起動 → RSS発注を「発注可」に</t>
  </si>
  <si>
    <t>2. 「高精度抽出」ボタンを押す → 0件なら「緩和抽出」ボタン</t>
  </si>
  <si>
    <t>3. 出てきた候補について、押し目判定欄が「25日押し目★」か「5日押し目○」の銘柄を優先</t>
  </si>
  <si>
    <t>4. 購入株数は下の計算式で決める</t>
  </si>
  <si>
    <t>5. 購入したら「管理」シートに即記入（購入日・価格・スコア・押し目の有無）</t>
  </si>
  <si>
    <t>6. 決済されたら「管理」シートに利益率を追記し、リセットボタンを押す</t>
  </si>
  <si>
    <t>■ 株数の計算式（コピーして使える）</t>
  </si>
  <si>
    <t>購入株数 = 1回あたりの許容損失額 ÷ (購入価格 × 0.04)</t>
  </si>
  <si>
    <t>※ 0.04 は現在の損切り設定（-4%）。単元株未満は切り捨てて、資金に対して株数が多すぎる銘柄は見送る。</t>
  </si>
  <si>
    <t>■ 10回トレードごとの振り返り（期待値チェック）</t>
  </si>
  <si>
    <t>期待値 = (勝率 × 平均利益率) − (負け率 × 平均損失率)</t>
  </si>
  <si>
    <t>この値がプラスなら今の抽出条件は機能している → 続ける</t>
  </si>
  <si>
    <t>マイナスなら、まず「緩和抽出で入った銘柄」を除外して計算し直す。それでもマイナスならスコア基準を12点→14点に引き上げて様子を見る</t>
  </si>
  <si>
    <r>
      <t>これはあくまで</t>
    </r>
    <r>
      <rPr>
        <b/>
        <sz val="11"/>
        <color theme="1"/>
        <rFont val="ＭＳ Ｐゴシック"/>
        <family val="3"/>
        <charset val="128"/>
        <scheme val="minor"/>
      </rPr>
      <t>ファイルの構造とロジックから読み取れる事実</t>
    </r>
    <r>
      <rPr>
        <sz val="11"/>
        <color theme="1"/>
        <rFont val="ＭＳ Ｐゴシック"/>
        <family val="2"/>
        <scheme val="minor"/>
      </rPr>
      <t>に基づく分析で、実際の勝率はまだ記録がないため断定できません。まずは案A（記録）を1〜2週間動かしてみて、そのデータを見せていただければ、どの条件が本当に効いているかをさらに具体的に絞り込めます。</t>
    </r>
  </si>
  <si>
    <t>ファイル自体（VBAの閾値変更や、管理シートに記録用の列を追加するなど）を実際に編集してほしい場合は言ってください。そのまま手を入れます。</t>
  </si>
  <si>
    <t>買抽出v13 ✅ 概ね正常</t>
  </si>
  <si>
    <t>EMAトレンド・MACD・RSI・シグナル内容は買いロジックと整合（上昇トレンド系 + MACD正 + RSI&gt;50）</t>
  </si>
  <si>
    <t>HYPERLINKの株探リンクも全行正常動作</t>
  </si>
  <si>
    <t>⚠️ 1点注意 — 行18 サン電子(6736):</t>
  </si>
  <si>
    <t>→データ欠損または計算元の価格データが不足している可能性があります</t>
  </si>
  <si>
    <t>売抽出v13 ✅ 概ね正常</t>
  </si>
  <si>
    <t>全銘柄「下降トレンド▼」＋ MACD負 — 売りロジックと整合</t>
  </si>
  <si>
    <t>⚠️ 2点注意:</t>
  </si>
  <si>
    <t>と売抽出v13N11:N12</t>
  </si>
  <si>
    <t>が空で、売抽出v13N8:N10</t>
  </si>
  <si>
    <t>のみ「通常」。VBA側で安値更新の判定結果が書き込まれていない銘柄がある可能性。</t>
  </si>
  <si>
    <t>まとめ</t>
  </si>
  <si>
    <t>買抽出</t>
  </si>
  <si>
    <t>売抽出</t>
  </si>
  <si>
    <t>抽出ロジック整合性</t>
  </si>
  <si>
    <t>✅</t>
  </si>
  <si>
    <t>データ欠損</t>
  </si>
  <si>
    <t>⚠️ 1銘柄(6736)</t>
  </si>
  <si>
    <t>⚠️ 安値更新列</t>
  </si>
  <si>
    <t>リンク</t>
  </si>
  <si>
    <t>フォーマット</t>
  </si>
  <si>
    <t>⚠️ 出来高倍率がテキスト</t>
  </si>
  <si>
    <t>大筋では正常に動作しています。VBAマクロ側でサン電子のデータソースと、売抽出の安値更新列の書き込みロジックを確認されるとより確実です。</t>
  </si>
  <si>
    <t>更によくする方法があったら提案してください</t>
  </si>
  <si>
    <t>提案の前に、関連シートの構造も把握させてください。</t>
  </si>
  <si>
    <t>Read 4 ranges</t>
  </si>
  <si>
    <t>全体の構造を把握しました。分析→ダッシュボード→抽出の流れと数式ロジックを踏まえ、以下を提案します。</t>
  </si>
  <si>
    <t>🔧 バグ修正（すぐ直せるもの）</t>
  </si>
  <si>
    <t>1. 分析シートのTOPIX行で #VALUE! エラー</t>
  </si>
  <si>
    <t>分析Y3</t>
  </si>
  <si>
    <t>（最終シグナル）と 分析AE3</t>
  </si>
  <si>
    <t>2. 売抽出v13 — 出来高倍率がテキスト形式</t>
  </si>
  <si>
    <t>3. 売抽出v13 — 安値更新（N列）の空欄</t>
  </si>
  <si>
    <t>売抽出v13N4:N7</t>
  </si>
  <si>
    <t>、売抽出v13N11:N12</t>
  </si>
  <si>
    <t> が空。売分析シートには V列（安値更新）に全銘柄分の数式があるので、VBA抽出時の書き込み漏れの可能性があります。</t>
  </si>
  <si>
    <t>📊 分析機能の強化提案</t>
  </si>
  <si>
    <t>4. リスクリワード比の列を追加</t>
  </si>
  <si>
    <t>5. MACDシグナルラインとヒストグラムの追加</t>
  </si>
  <si>
    <t>現在MACDライン単体のみ。シグナルライン（MACD 9日EMA）とヒストグラム（MACD - Signal）があれば、ゴールデンクロス/デッドクロスの直後かどうかを数値で判定でき、シグナル精度が向上します。</t>
  </si>
  <si>
    <t>6. 75日EMAの追加</t>
  </si>
  <si>
    <t>現在5日・25日EMAの2本。75日EMAを加えると中期トレンドの裏付けが取れ、「パーフェクトオーダー」判定もより信頼性が上がります（5 &gt; 25 &gt; 75 の並び）。</t>
  </si>
  <si>
    <t>🎨 視認性・運用改善</t>
  </si>
  <si>
    <t>7. 抽出シートにスコア内訳の簡易表示</t>
  </si>
  <si>
    <t>8. 抽出シートに条件付き書式でスコア色分け</t>
  </si>
  <si>
    <t>スコア列に段階的な色（14-13: 濃い緑、12-11: 薄い緑、10以下: 黄色 等）を設定すれば、視覚的に優先度が分かりやすくなります。現状は買抽出のQ4だけオレンジ背景で、他は統一されていません。</t>
  </si>
  <si>
    <t>9. 対TOPIX超過リターンを抽出シートにも表示</t>
  </si>
  <si>
    <t>分析シートにはAH列（対TOPIX超過）がありますが、抽出シートには反映されていません。市場に対して強い/弱いが一目で分かると銘柄選定が速くなります。</t>
  </si>
  <si>
    <t>⚡ 上級提案</t>
  </si>
  <si>
    <t>10. シグナル的中率の追跡シート</t>
  </si>
  <si>
    <t>過去の抽出結果を日付付きで蓄積し、「抽出後N日の騰落率」を自動集計するシートを作れば、v13のロジック精度を定量的に検証できます。スコア帯別（14点 vs 11点）の勝率比較も可能です。</t>
  </si>
  <si>
    <t>どの提案から着手しますか？ 1〜3のバグ修正はExcel上ですぐ対応できます。4〜6の分析強化は分析シートへの列追加で実装可能です。</t>
  </si>
  <si>
    <t>15銘柄がスコア14〜11で抽出済み（最終更新: 2026/07/06 23:11）</t>
  </si>
  <si>
    <t>出来高倍率 = 0、MACD = 0、高値更新 = "-"、押し目判定 = "-"</t>
  </si>
  <si>
    <t>EMAトレンドが「下降トレンド▼」なのに買い抽出に含まれている</t>
  </si>
  <si>
    <t>9銘柄がスコア11〜8で抽出済み</t>
  </si>
  <si>
    <t>1. 安値更新（N列）が部分的に空欄 — 売抽出v13N4:N7</t>
  </si>
  <si>
    <t>2. 出来高倍率のフォーマット差異 — 買抽出では数値（0.9）、売抽出ではテキスト（"0.66倍"）。機能上の問題ではないですが、後続の数式で参照する場合にテキスト型だと計算エラーの原因になり得ます。</t>
  </si>
  <si>
    <t>（押し目判定）が#VALUE!。TOPIX行（3行目）はRssMarketがnullを返すため、現在値E3が空のまま数式に流れている。TOPIX行を対象外にする条件を追加するか、IFERROR で回避すれば解消します。</t>
  </si>
  <si>
    <t>買抽出は数値（0.9）、売抽出はテキスト（"0.66倍"）。VBAの書き込み処理で統一すれば、後続の数式参照でも安全です。</t>
  </si>
  <si>
    <t>利確ライン・損切ラインは既にあるので、(利確ライン - 現在値) / (現在値 - 損切ライン) でR:R比を自動計算。1.5以上を優先する基準にすれば、抽出の質が上がります。</t>
  </si>
  <si>
    <t>現在Q列のスコアは合計点のみ。例えば "EMA3+MACD2+RSI1+高値3+…" のような内訳テキストがあれば、なぜその点数になったか一目で分かります。</t>
  </si>
  <si>
    <t>買</t>
  </si>
  <si>
    <t>売</t>
  </si>
  <si>
    <t>東証</t>
    <phoneticPr fontId="16"/>
  </si>
  <si>
    <t>2026/03/03</t>
    <phoneticPr fontId="16"/>
  </si>
  <si>
    <t>2026/03/04</t>
    <phoneticPr fontId="16"/>
  </si>
  <si>
    <t>2026/03/05</t>
    <phoneticPr fontId="16"/>
  </si>
  <si>
    <t>2026/03/06</t>
    <phoneticPr fontId="16"/>
  </si>
  <si>
    <t>2026/03/09</t>
    <phoneticPr fontId="16"/>
  </si>
  <si>
    <t>2026/03/10</t>
    <phoneticPr fontId="16"/>
  </si>
  <si>
    <t>2026/03/11</t>
    <phoneticPr fontId="16"/>
  </si>
  <si>
    <t>2026/03/12</t>
    <phoneticPr fontId="16"/>
  </si>
  <si>
    <t>2026/03/13</t>
    <phoneticPr fontId="16"/>
  </si>
  <si>
    <t>2026/03/16</t>
    <phoneticPr fontId="16"/>
  </si>
  <si>
    <t>2026/03/17</t>
    <phoneticPr fontId="16"/>
  </si>
  <si>
    <t>2026/03/18</t>
    <phoneticPr fontId="16"/>
  </si>
  <si>
    <t>2026/03/19</t>
    <phoneticPr fontId="16"/>
  </si>
  <si>
    <t>2026/03/23</t>
    <phoneticPr fontId="16"/>
  </si>
  <si>
    <t>2026/03/24</t>
    <phoneticPr fontId="16"/>
  </si>
  <si>
    <t>2026/03/25</t>
    <phoneticPr fontId="16"/>
  </si>
  <si>
    <t>2026/03/26</t>
    <phoneticPr fontId="16"/>
  </si>
  <si>
    <t>2026/03/27</t>
    <phoneticPr fontId="16"/>
  </si>
  <si>
    <t>2026/03/30</t>
    <phoneticPr fontId="16"/>
  </si>
  <si>
    <t>2026/03/31</t>
    <phoneticPr fontId="16"/>
  </si>
  <si>
    <t>2026/04/01</t>
    <phoneticPr fontId="16"/>
  </si>
  <si>
    <t>2026/04/02</t>
    <phoneticPr fontId="16"/>
  </si>
  <si>
    <t>2026/04/03</t>
    <phoneticPr fontId="16"/>
  </si>
  <si>
    <t>2026/04/06</t>
    <phoneticPr fontId="16"/>
  </si>
  <si>
    <t>2026/04/07</t>
    <phoneticPr fontId="16"/>
  </si>
  <si>
    <t>2026/04/08</t>
    <phoneticPr fontId="16"/>
  </si>
  <si>
    <t>2026/04/09</t>
    <phoneticPr fontId="16"/>
  </si>
  <si>
    <t>2026/04/10</t>
    <phoneticPr fontId="16"/>
  </si>
  <si>
    <t>2026/04/13</t>
    <phoneticPr fontId="16"/>
  </si>
  <si>
    <t>2026/04/14</t>
    <phoneticPr fontId="16"/>
  </si>
  <si>
    <t>2026/04/15</t>
    <phoneticPr fontId="16"/>
  </si>
  <si>
    <t>2026/04/16</t>
    <phoneticPr fontId="16"/>
  </si>
  <si>
    <t>2026/04/17</t>
    <phoneticPr fontId="16"/>
  </si>
  <si>
    <t>2026/04/20</t>
    <phoneticPr fontId="16"/>
  </si>
  <si>
    <t>2026/04/21</t>
    <phoneticPr fontId="16"/>
  </si>
  <si>
    <t>2026/04/22</t>
    <phoneticPr fontId="16"/>
  </si>
  <si>
    <t>2026/04/23</t>
    <phoneticPr fontId="16"/>
  </si>
  <si>
    <t>2026/04/24</t>
    <phoneticPr fontId="16"/>
  </si>
  <si>
    <t>2026/04/27</t>
    <phoneticPr fontId="16"/>
  </si>
  <si>
    <t>2026/04/28</t>
    <phoneticPr fontId="16"/>
  </si>
  <si>
    <t>2026/04/30</t>
    <phoneticPr fontId="16"/>
  </si>
  <si>
    <t>2026/05/01</t>
    <phoneticPr fontId="16"/>
  </si>
  <si>
    <t>2026/05/07</t>
    <phoneticPr fontId="16"/>
  </si>
  <si>
    <t>2026/05/08</t>
    <phoneticPr fontId="16"/>
  </si>
  <si>
    <t>2026/05/11</t>
    <phoneticPr fontId="16"/>
  </si>
  <si>
    <t>2026/05/12</t>
    <phoneticPr fontId="16"/>
  </si>
  <si>
    <t>2026/05/13</t>
    <phoneticPr fontId="16"/>
  </si>
  <si>
    <t>2026/05/14</t>
    <phoneticPr fontId="16"/>
  </si>
  <si>
    <t>2026/05/15</t>
    <phoneticPr fontId="16"/>
  </si>
  <si>
    <t>2026/05/18</t>
    <phoneticPr fontId="16"/>
  </si>
  <si>
    <t>2026/05/19</t>
    <phoneticPr fontId="16"/>
  </si>
  <si>
    <t>2026/05/20</t>
    <phoneticPr fontId="16"/>
  </si>
  <si>
    <t>2026/05/21</t>
    <phoneticPr fontId="16"/>
  </si>
  <si>
    <t>2026/05/22</t>
    <phoneticPr fontId="16"/>
  </si>
  <si>
    <t>2026/05/25</t>
    <phoneticPr fontId="16"/>
  </si>
  <si>
    <t>2026/05/26</t>
    <phoneticPr fontId="16"/>
  </si>
  <si>
    <t>2026/05/27</t>
    <phoneticPr fontId="16"/>
  </si>
  <si>
    <t>2026/05/28</t>
    <phoneticPr fontId="16"/>
  </si>
  <si>
    <t>2026/05/29</t>
    <phoneticPr fontId="16"/>
  </si>
  <si>
    <t>2026/06/01</t>
    <phoneticPr fontId="16"/>
  </si>
  <si>
    <t>2026/06/02</t>
    <phoneticPr fontId="16"/>
  </si>
  <si>
    <t>2026/06/03</t>
    <phoneticPr fontId="16"/>
  </si>
  <si>
    <t>2026/06/04</t>
    <phoneticPr fontId="16"/>
  </si>
  <si>
    <t>2026/06/05</t>
    <phoneticPr fontId="16"/>
  </si>
  <si>
    <t>2026/06/08</t>
    <phoneticPr fontId="16"/>
  </si>
  <si>
    <t>2026/06/09</t>
    <phoneticPr fontId="16"/>
  </si>
  <si>
    <t>2026/06/10</t>
    <phoneticPr fontId="16"/>
  </si>
  <si>
    <t>2026/06/11</t>
    <phoneticPr fontId="16"/>
  </si>
  <si>
    <t>2026/06/12</t>
    <phoneticPr fontId="16"/>
  </si>
  <si>
    <t>2026/06/15</t>
    <phoneticPr fontId="16"/>
  </si>
  <si>
    <t>2026/06/16</t>
    <phoneticPr fontId="16"/>
  </si>
  <si>
    <t>2026/06/17</t>
    <phoneticPr fontId="16"/>
  </si>
  <si>
    <t>2026/06/18</t>
    <phoneticPr fontId="16"/>
  </si>
  <si>
    <t>2026/06/19</t>
    <phoneticPr fontId="16"/>
  </si>
  <si>
    <t>2026/06/22</t>
    <phoneticPr fontId="16"/>
  </si>
  <si>
    <t>2026/06/23</t>
    <phoneticPr fontId="16"/>
  </si>
  <si>
    <t>2026/06/24</t>
    <phoneticPr fontId="16"/>
  </si>
  <si>
    <t>2026/06/25</t>
    <phoneticPr fontId="16"/>
  </si>
  <si>
    <t>2026/06/26</t>
    <phoneticPr fontId="16"/>
  </si>
  <si>
    <t>2026/06/29</t>
    <phoneticPr fontId="16"/>
  </si>
  <si>
    <t>2026/06/30</t>
    <phoneticPr fontId="16"/>
  </si>
  <si>
    <t>2026/07/01</t>
    <phoneticPr fontId="16"/>
  </si>
  <si>
    <t>2026/07/02</t>
    <phoneticPr fontId="16"/>
  </si>
  <si>
    <t>2026/07/03</t>
    <phoneticPr fontId="16"/>
  </si>
  <si>
    <t>2026/07/06</t>
    <phoneticPr fontId="16"/>
  </si>
  <si>
    <t>2026/07/07</t>
    <phoneticPr fontId="16"/>
  </si>
  <si>
    <t>2026/07/08</t>
    <phoneticPr fontId="16"/>
  </si>
  <si>
    <t>2026/07/09</t>
    <phoneticPr fontId="16"/>
  </si>
  <si>
    <t>2026/03/20</t>
    <phoneticPr fontId="16"/>
  </si>
  <si>
    <t>2026/04/29</t>
    <phoneticPr fontId="16"/>
  </si>
  <si>
    <t>2026/05/04</t>
    <phoneticPr fontId="16"/>
  </si>
  <si>
    <t>2026/05/05</t>
    <phoneticPr fontId="16"/>
  </si>
  <si>
    <t>2026/05/06</t>
    <phoneticPr fontId="16"/>
  </si>
  <si>
    <t>2026/07/10</t>
    <phoneticPr fontId="16"/>
  </si>
  <si>
    <t xml:space="preserve">株価分析システム  |  </t>
    <phoneticPr fontId="16"/>
  </si>
  <si>
    <t>売り候補分析シート</t>
    <phoneticPr fontId="16"/>
  </si>
  <si>
    <t>抽出状況</t>
  </si>
  <si>
    <t>2026/07/13</t>
    <phoneticPr fontId="16"/>
  </si>
  <si>
    <t>出来高</t>
    <phoneticPr fontId="16"/>
  </si>
  <si>
    <t>2026/07/14</t>
    <phoneticPr fontId="16"/>
  </si>
  <si>
    <t>取引時間内の抽出について、このシステムのスコアリング要素ごとに信頼性を整理します。</t>
  </si>
  <si>
    <t>指標別の日中変動リスク</t>
  </si>
  <si>
    <t>指標</t>
  </si>
  <si>
    <t>日中の安定性</t>
  </si>
  <si>
    <t>理由</t>
  </si>
  <si>
    <t>EMAトレンド / パーフェクトオーダー</t>
  </si>
  <si>
    <t>🟢 高い</t>
  </si>
  <si>
    <t>5/25/75日EMAは過去の蓄積。日中の1ティックで順序は崩れにくい</t>
  </si>
  <si>
    <t>🟡 やや注意</t>
  </si>
  <si>
    <t>14日RSIなので日中の変動で大きく振れにくいが、境界値（50前後）の銘柄は判定が変わる可能性あり</t>
  </si>
  <si>
    <t>シグナルラインとの交差・ヒストグラム方向は日中に反転しうる</t>
  </si>
  <si>
    <t>当日の値動きで「押し目」の判定が変わりうる</t>
  </si>
  <si>
    <t>🔴 低い</t>
  </si>
  <si>
    <t>最大の問題点。 前場で抽出すると出来高が未完成のため、倍率が実際より低く出る。出来高条件で本来合格する銘柄を取りこぼすリスクあり</t>
  </si>
  <si>
    <t>日中に収束していくが、前場は振れやすい</t>
  </si>
  <si>
    <t>一度更新すれば日中に取り消されない</t>
  </si>
  <si>
    <t>モメンタム</t>
  </si>
  <si>
    <t>構成要素次第だが、複合判定なので1要素の変動が全体判定を覆すことは少ない</t>
  </si>
  <si>
    <t>結論</t>
  </si>
  <si>
    <t>使えるが、出来高倍率が最大の弱点です。</t>
  </si>
  <si>
    <t>前場（9:00〜11:30）：出来高が1日の40〜60%程度。出来高倍率で「不合格」になる銘柄が終値時点では合格する可能性がある → 取りこぼしリスク</t>
  </si>
  <si>
    <t>後場後半（14:00以降）：出来高もほぼ揃い、他の指標も安定。日中抽出するならこの時間帯が最も信頼性が高い</t>
  </si>
  <si>
    <t>引け後：全指標が確定値。最も信頼性が高い</t>
  </si>
  <si>
    <t>実用的な使い方</t>
  </si>
  <si>
    <t>タイミング</t>
  </si>
  <si>
    <t>信頼度</t>
  </si>
  <si>
    <t>使い方</t>
  </si>
  <si>
    <t>前場</t>
  </si>
  <si>
    <t>⚠️ 参考程度</t>
  </si>
  <si>
    <t>ウォッチリスト候補の早期発見に。スコアは変動前提</t>
  </si>
  <si>
    <t>14:00以降</t>
  </si>
  <si>
    <t>🟡 概ね信頼</t>
  </si>
  <si>
    <t>翌日のエントリー準備として実用的</t>
  </si>
  <si>
    <t>引け後（15:30〜）</t>
  </si>
  <si>
    <t>🟢 最も信頼</t>
  </si>
  <si>
    <t>確定データでの正式抽出</t>
  </si>
  <si>
    <t>2026/07/15</t>
    <phoneticPr fontId="16"/>
  </si>
  <si>
    <t>7532</t>
  </si>
  <si>
    <t>7532</t>
    <phoneticPr fontId="16"/>
  </si>
  <si>
    <t>パンパシフィックＨＤ</t>
    <phoneticPr fontId="16"/>
  </si>
  <si>
    <t>最適購入から」</t>
  </si>
  <si>
    <t>最適購入から」</t>
    <rPh sb="0" eb="4">
      <t>サイテキコウニュウ</t>
    </rPh>
    <phoneticPr fontId="16"/>
  </si>
  <si>
    <t>2026/07/16</t>
    <phoneticPr fontId="16"/>
  </si>
  <si>
    <t>緩和</t>
    <rPh sb="0" eb="2">
      <t>カンワ</t>
    </rPh>
    <phoneticPr fontId="16"/>
  </si>
  <si>
    <t>一般</t>
  </si>
  <si>
    <t>特定</t>
  </si>
  <si>
    <t>1.94倍</t>
  </si>
  <si>
    <t>2.14倍</t>
  </si>
  <si>
    <t>1.97倍</t>
  </si>
  <si>
    <t>2.04倍</t>
  </si>
  <si>
    <t>1.54倍</t>
  </si>
  <si>
    <t>1.95倍</t>
  </si>
  <si>
    <t>5.43倍</t>
  </si>
  <si>
    <t>2.41倍</t>
  </si>
  <si>
    <t>1.76倍</t>
  </si>
  <si>
    <t>2.05倍</t>
  </si>
  <si>
    <t>1.22倍</t>
  </si>
  <si>
    <t>2026/07/17</t>
    <phoneticPr fontId="16"/>
  </si>
  <si>
    <t>上昇トレンド▲</t>
  </si>
  <si>
    <t>出来高増(1.9倍) MACD- [完全下降] [Vol急増陰線] [ADX=26] [Hist悪化] EMA12&lt;26 MACD&lt;Sig RSI&lt;50 [◎売りモメンタム完全] [対TOPIX弱]</t>
  </si>
  <si>
    <t>パーフェクト▲</t>
  </si>
  <si>
    <t>出来高急増(2.1倍) MACD- [完全下降] [Vol急増陰線] [ADX=33] [Hist悪化] EMA12&lt;26 MACD&lt;Sig RSI&lt;50 [◎売りモメンタム完全] [対TOPIX弱]</t>
  </si>
  <si>
    <t>出来高増(2.0倍) MACD- [完全下降] [Vol急増陰線] [Hist悪化] EMA12&lt;26 MACD&lt;Sig RSI&lt;50 [◎売りモメンタム完全] [大陰線▼+2] [対TOPIX弱]</t>
  </si>
  <si>
    <t>出来高急増(2.0倍) MACD- [完全下降] [Vol急増陰線] [Hist悪化] EMA12&lt;26 MACD&lt;Sig RSI&lt;50 [◎売りモメンタム完全] [大陰線▼+2] [対TOPIX弱]</t>
  </si>
  <si>
    <t>出来高増(1.5倍) MACD- [完全下降] [Vol急増陰線] [Hist悪化] EMA12&lt;26 MACD&lt;Sig RSI&lt;50 [◎売りモメンタム完全] [大陰線▼+2] [対TOPIX弱]</t>
  </si>
  <si>
    <t>(141A)</t>
  </si>
  <si>
    <t>1.50倍</t>
  </si>
  <si>
    <t>下降トレンド▼ 出来高増(1.5倍) MACD- [DC直近5日] [完全下降] EMA12&lt;26 RSI&lt;50 [○売りモメンタム部分] [前日:大陰線▼+2] [対TOPIX弱]</t>
  </si>
  <si>
    <t>(464A)</t>
  </si>
  <si>
    <t>下降トレンド▼ 出来高増(1.9倍) MACD- [完全下降] [Vol急増陰線] EMA12&lt;26 RSI&lt;50 [○売りモメンタム部分] [大陰線▼+2] [対TOPIX弱]</t>
  </si>
  <si>
    <t>下降トレンド▼ 出来高急増(5.4倍) MACD- [完全下降] [Hist悪化] EMA12&lt;26 MACD&lt;Sig RSI&lt;50 [◎売りモメンタム完全] [大陰線▼+2] [対TOPIX弱]</t>
  </si>
  <si>
    <t>下降トレンド▼ 出来高急増(2.4倍) MACD- [完全下降] [Vol急増陰線] EMA12&lt;26 RSI&lt;50 [○売りモメンタム部分] [対TOPIX弱]</t>
  </si>
  <si>
    <t>1.74倍</t>
  </si>
  <si>
    <t>下降トレンド▼ 出来高増(1.7倍) MACD- [完全下降] [Vol急増陰線] [ADX=35] [Hist悪化] EMA12&lt;26 MACD&lt;Sig RSI&lt;50 [◎売りモメンタム完全] [大陰線▼+2] [前日:下ヒゲ陽線-2] [対TOPIX弱]</t>
  </si>
  <si>
    <t>下降トレンド▼ 出来高増(1.8倍) MACD- [完全下降] [Vol急増陰線] [Hist悪化] EMA12&lt;26 MACD&lt;Sig RSI&lt;50 [◎売りモメンタム完全] [対TOPIX弱]</t>
  </si>
  <si>
    <t>下降トレンド▼ 出来高増(1.5倍) MACD- [DC直近5日] [完全下降] [Hist悪化] EMA12&lt;26 MACD&lt;Sig RSI&lt;50 [◎売りモメンタム完全] [大陰線▼+2] [前日:下ヒゲ陽線-2] [対TOPIX弱]</t>
  </si>
  <si>
    <t>下降トレンド▼ 出来高急増(2.0倍) MACD- [完全下降] [Vol急増陰線] [Hist悪化] EMA12&lt;26 MACD&lt;Sig RSI&lt;50 [◎売りモメンタム完全] [大陰線▼+2] [前日:長い上ヒゲ+1] [対TOPIX弱]</t>
  </si>
  <si>
    <t>下降トレンド▼ MACD- [完全下降] [ADX=40] [Hist悪化] EMA12&lt;26 MACD&lt;Sig RSI&lt;50 [◎売りモメンタム完全] [大陰線▼+2] [対TOPIX弱]</t>
  </si>
  <si>
    <t>下降トレンド▼ 出来高急増(2.1倍) MACD- [完全下降] [Vol急増陰線] [ADX=34] [Hist悪化] EMA12&lt;26 MACD&lt;Sig RSI&lt;50 [◎売りモメンタム完全] [対TOPIX弱]</t>
  </si>
  <si>
    <t>TOPIX: 下落▼ (0.00%) 【通常】　最終更新: 2026/07/19 15:31</t>
    <phoneticPr fontId="16"/>
  </si>
  <si>
    <t xml:space="preserve">パーフェクト▲ MACD+ EMA12&gt;26 MACD&gt;Sig RSI&gt;50 [◎モメンタム完全] [Perfect5&gt;25&gt;75] [Vol急増陽線] [Hist拡大] [対TOPIX勝 +1.97%] </t>
  </si>
  <si>
    <t xml:space="preserve">パーフェクト▲ 出来高増(1.7倍) MACD+ EMA12&gt;26 MACD&gt;Sig RSI&gt;50 [◎モメンタム完全] [Perfect5&gt;25&gt;75] [Hist拡大] [対TOPIX勝 +3.88%] [大陽線▲+2] </t>
  </si>
  <si>
    <t xml:space="preserve">上昇▲ 出来高増(1.9倍) MACD+ MACD&gt;Sig RSI&gt;50 [○モメンタム部分] [GC直近3日] [Perfect5&gt;25&gt;75] [ADX=27] [Hist拡大] [対TOPIX勝 +1.19%] [下ヒゲ陽線●+2] </t>
  </si>
  <si>
    <t xml:space="preserve">パーフェクト▲ MACD+ EMA12&gt;26 MACD&gt;Sig RSI&gt;50 [◎モメンタム完全] [Perfect5&gt;25&gt;75] [Hist拡大] [対TOPIX勝 +1.23%] [前日:下ヒゲ陽線●+2] </t>
  </si>
  <si>
    <t xml:space="preserve">パーフェクト▲ MACD+ EMA12&gt;26 MACD&gt;Sig RSI&gt;50 [◎モメンタム完全] [Perfect5&gt;25&gt;75] [ADX=32] [対TOPIX勝 +0.66%] [大陽線▲+2] </t>
  </si>
  <si>
    <t xml:space="preserve">パーフェクト▲ 出来高増(1.6倍) MACD+ EMA12&gt;26 MACD&gt;Sig RSI&gt;50 [◎モメンタム完全] [GC直近3日] [Perfect5&gt;25&gt;75] [Vol急増陽線] [Hist拡大] [対TOPIX勝 +1.64%] [前日:大陽線▲+2] </t>
  </si>
  <si>
    <t xml:space="preserve">EMA12&gt;26 MACD&gt;Sig [○モメンタム部分] [GC直近3日] [Perfect5&gt;25&gt;75] [Vol急増陽線] [Hist拡大] [対TOPIX勝 +1.18%] [大陽線▲+2] [前日:大陽線▲+2] </t>
  </si>
  <si>
    <t>(278A)</t>
  </si>
  <si>
    <t xml:space="preserve">EMA12&gt;26 MACD&gt;Sig [○モメンタム部分] [Perfect5&gt;25&gt;75] [Vol急増陽線] [ADX=28] [Hist拡大] [対TOPIX勝 +5.11%] [大陽線▲+2] [前日:大陽線▲+2] </t>
  </si>
  <si>
    <t>TOPIX: 下落▼ (0.00%) 【通常】　　最終更新: 2026/07/19 19:32　　買い抽出(スコア11以上・緩和)</t>
    <phoneticPr fontId="1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</si>
</sst>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76" formatCode="0000"/>
    <numFmt numFmtId="177" formatCode="\+#,##0;\-#,##0;\-"/>
    <numFmt numFmtId="178" formatCode="0.0"/>
    <numFmt numFmtId="179" formatCode="#,##0.0"/>
    <numFmt numFmtId="180" formatCode="#,##0;\-#,##0;0"/>
    <numFmt numFmtId="181" formatCode="yyyy/m/d;@"/>
    <numFmt numFmtId="182" formatCode="0_);[Red]\(0\)"/>
    <numFmt numFmtId="183" formatCode="m/d;@"/>
    <numFmt numFmtId="184" formatCode="0&quot;日&quot;"/>
    <numFmt numFmtId="185" formatCode="0.00&quot;倍&quot;"/>
    <numFmt numFmtId="186" formatCode="0.0&quot;%&quot;"/>
    <numFmt numFmtId="187" formatCode="0.00&quot;%&quot;"/>
    <numFmt numFmtId="188" formatCode="m/d"/>
    <numFmt numFmtId="189" formatCode="0_ "/>
    <numFmt numFmtId="190" formatCode="yyyy/mm/dd"/>
    <numFmt numFmtId="191" formatCode="h:mm;@"/>
    <numFmt numFmtId="192" formatCode="\+0.0&quot;%&quot;;\-0.0&quot;%&quot;;0.0&quot;%&quot;"/>
    <numFmt numFmtId="193" formatCode="\+0;\-0;0"/>
    <numFmt numFmtId="200" formatCode="0.0"/>
    <numFmt numFmtId="202" formatCode="0.0&quot;%&quot;"/>
    <numFmt numFmtId="203" formatCode="0.00&quot;倍&quot;"/>
    <numFmt numFmtId="204" formatCode="0.0&quot;倍&quot;"/>
    <numFmt numFmtId="205" formatCode="#,##0.0"/>
  </numFmts>
  <fonts count="176">
    <font>
      <sz val="11"/>
      <color theme="1"/>
      <name val="ＭＳ Ｐゴシック"/>
      <family val="2"/>
      <scheme val="minor"/>
    </font>
    <font>
      <sz val="14"/>
      <color theme="1"/>
      <name val="ＭＳ Ｐゴシック"/>
      <family val="2"/>
      <charset val="128"/>
      <scheme val="minor"/>
    </font>
    <font>
      <sz val="14"/>
      <color theme="1"/>
      <name val="ＭＳ Ｐゴシック"/>
      <family val="2"/>
      <charset val="128"/>
      <scheme val="minor"/>
    </font>
    <font>
      <b/>
      <sz val="16"/>
      <color rgb="FFFFFFFF"/>
      <name val="Meiryo UI"/>
      <family val="3"/>
      <charset val="128"/>
    </font>
    <font>
      <sz val="9"/>
      <color rgb="FFFFFFFF"/>
      <name val="Meiryo UI"/>
      <family val="3"/>
      <charset val="128"/>
    </font>
    <font>
      <b/>
      <sz val="10"/>
      <color rgb="FFFFFFFF"/>
      <name val="Meiryo UI"/>
      <family val="3"/>
      <charset val="128"/>
    </font>
    <font>
      <b/>
      <sz val="10"/>
      <color rgb="FF595959"/>
      <name val="Meiryo UI"/>
      <family val="3"/>
      <charset val="128"/>
    </font>
    <font>
      <b/>
      <sz val="13"/>
      <color rgb="FFFFFFFF"/>
      <name val="Meiryo UI"/>
      <family val="3"/>
      <charset val="128"/>
    </font>
    <font>
      <b/>
      <sz val="9"/>
      <color rgb="FFFFFFFF"/>
      <name val="Meiryo UI"/>
      <family val="3"/>
      <charset val="128"/>
    </font>
    <font>
      <sz val="7"/>
      <color rgb="FFFFFFFF"/>
      <name val="Meiryo UI"/>
      <family val="3"/>
      <charset val="128"/>
    </font>
    <font>
      <b/>
      <sz val="8"/>
      <color rgb="FF595959"/>
      <name val="Meiryo UI"/>
      <family val="3"/>
      <charset val="128"/>
    </font>
    <font>
      <sz val="8"/>
      <color rgb="FF595959"/>
      <name val="Meiryo UI"/>
      <family val="3"/>
      <charset val="128"/>
    </font>
    <font>
      <sz val="9"/>
      <color rgb="FF595959"/>
      <name val="Meiryo UI"/>
      <family val="3"/>
      <charset val="128"/>
    </font>
    <font>
      <sz val="8"/>
      <color rgb="FF404040"/>
      <name val="Meiryo UI"/>
      <family val="3"/>
      <charset val="128"/>
    </font>
    <font>
      <b/>
      <sz val="10"/>
      <color rgb="FFC00000"/>
      <name val="Consolas"/>
      <family val="3"/>
    </font>
    <font>
      <b/>
      <sz val="10"/>
      <color rgb="FF375623"/>
      <name val="Meiryo UI"/>
      <family val="3"/>
      <charset val="128"/>
    </font>
    <font>
      <sz val="6"/>
      <name val="ＭＳ Ｐゴシック"/>
      <family val="3"/>
      <charset val="128"/>
      <scheme val="minor"/>
    </font>
    <font>
      <b/>
      <sz val="20"/>
      <color rgb="FF000000"/>
      <name val="Meiryo UI"/>
      <family val="3"/>
      <charset val="128"/>
    </font>
    <font>
      <u/>
      <sz val="11"/>
      <color theme="10"/>
      <name val="ＭＳ Ｐゴシック"/>
      <family val="2"/>
      <scheme val="minor"/>
    </font>
    <font>
      <b/>
      <sz val="14"/>
      <color theme="1"/>
      <name val="ＭＳ Ｐゴシック"/>
      <family val="3"/>
      <charset val="128"/>
      <scheme val="minor"/>
    </font>
    <font>
      <sz val="18"/>
      <color theme="1"/>
      <name val="ＭＳ Ｐゴシック"/>
      <family val="2"/>
      <scheme val="minor"/>
    </font>
    <font>
      <b/>
      <sz val="11"/>
      <color theme="1"/>
      <name val="ＭＳ Ｐゴシック"/>
      <family val="2"/>
      <scheme val="minor"/>
    </font>
    <font>
      <b/>
      <sz val="7"/>
      <color rgb="FFFFFFFF"/>
      <name val="Meiryo UI"/>
      <family val="3"/>
      <charset val="128"/>
    </font>
    <font>
      <b/>
      <sz val="9"/>
      <color rgb="FF595959"/>
      <name val="Meiryo UI"/>
      <family val="3"/>
      <charset val="128"/>
    </font>
    <font>
      <b/>
      <sz val="8"/>
      <color rgb="FF404040"/>
      <name val="Meiryo UI"/>
      <family val="3"/>
      <charset val="128"/>
    </font>
    <font>
      <sz val="11"/>
      <color theme="1" tint="4.9989318521683403E-2"/>
      <name val="ＭＳ Ｐゴシック"/>
      <family val="2"/>
      <scheme val="minor"/>
    </font>
    <font>
      <b/>
      <sz val="16"/>
      <color theme="1"/>
      <name val="ＭＳ Ｐゴシック"/>
      <family val="2"/>
      <scheme val="minor"/>
    </font>
    <font>
      <sz val="14"/>
      <color rgb="FF595959"/>
      <name val="Meiryo UI"/>
      <family val="3"/>
      <charset val="128"/>
    </font>
    <font>
      <b/>
      <sz val="16"/>
      <color rgb="FFD4AF37"/>
      <name val="Meiryo UI"/>
      <family val="3"/>
      <charset val="128"/>
    </font>
    <font>
      <b/>
      <sz val="9"/>
      <color rgb="FF202020"/>
      <name val="Meiryo UI"/>
      <family val="3"/>
      <charset val="128"/>
    </font>
    <font>
      <b/>
      <sz val="11"/>
      <color rgb="FF333333"/>
      <name val="ＭＳ Ｐゴシック"/>
      <family val="3"/>
      <charset val="128"/>
    </font>
    <font>
      <sz val="11"/>
      <color rgb="FF333333"/>
      <name val="ＭＳ Ｐゴシック"/>
      <family val="3"/>
      <charset val="128"/>
    </font>
    <font>
      <sz val="11"/>
      <color theme="1"/>
      <name val="ＭＳ Ｐゴシック"/>
      <family val="3"/>
      <charset val="128"/>
    </font>
    <font>
      <b/>
      <sz val="20"/>
      <color rgb="FFFFFFFF"/>
      <name val="Meiryo UI"/>
      <family val="3"/>
      <charset val="128"/>
    </font>
    <font>
      <sz val="18"/>
      <color theme="1"/>
      <name val="ＭＳ Ｐゴシック"/>
      <family val="3"/>
      <charset val="128"/>
      <scheme val="minor"/>
    </font>
    <font>
      <b/>
      <sz val="9"/>
      <color theme="1"/>
      <name val="Meiryo UI"/>
      <family val="3"/>
      <charset val="128"/>
    </font>
    <font>
      <sz val="16"/>
      <color theme="1"/>
      <name val="ＭＳ Ｐゴシック"/>
      <family val="2"/>
      <scheme val="minor"/>
    </font>
    <font>
      <sz val="11"/>
      <color theme="3" tint="-0.249977111117893"/>
      <name val="ＭＳ Ｐゴシック"/>
      <family val="2"/>
      <scheme val="minor"/>
    </font>
    <font>
      <sz val="18"/>
      <color theme="2" tint="-0.499984740745262"/>
      <name val="ＭＳ Ｐゴシック"/>
      <family val="3"/>
      <charset val="128"/>
      <scheme val="minor"/>
    </font>
    <font>
      <b/>
      <sz val="11"/>
      <color theme="1"/>
      <name val="ＭＳ Ｐゴシック"/>
      <family val="3"/>
      <charset val="128"/>
    </font>
    <font>
      <sz val="8"/>
      <color rgb="FF333333"/>
      <name val="ＭＳ Ｐゴシック"/>
      <family val="3"/>
      <charset val="128"/>
    </font>
    <font>
      <sz val="8"/>
      <color theme="1"/>
      <name val="ＭＳ Ｐゴシック"/>
      <family val="3"/>
      <charset val="128"/>
    </font>
    <font>
      <b/>
      <sz val="11"/>
      <color theme="1"/>
      <name val="ＭＳ Ｐゴシック"/>
      <family val="3"/>
      <charset val="128"/>
      <scheme val="minor"/>
    </font>
    <font>
      <sz val="10"/>
      <color theme="1"/>
      <name val="Arial Unicode MS"/>
      <family val="2"/>
    </font>
    <font>
      <b/>
      <sz val="11"/>
      <color rgb="FFC00000"/>
      <name val="ＭＳ Ｐゴシック"/>
      <family val="3"/>
      <charset val="128"/>
      <scheme val="minor"/>
    </font>
    <font>
      <sz val="10"/>
      <color rgb="FF333333"/>
      <name val="ＭＳ Ｐゴシック"/>
      <family val="3"/>
      <charset val="128"/>
      <scheme val="minor"/>
    </font>
    <font>
      <sz val="10"/>
      <color rgb="FF404040"/>
      <name val="ＭＳ Ｐゴシック"/>
      <family val="3"/>
      <charset val="128"/>
      <scheme val="minor"/>
    </font>
    <font>
      <sz val="10"/>
      <color theme="1"/>
      <name val="ＭＳ Ｐゴシック"/>
      <family val="3"/>
      <charset val="128"/>
      <scheme val="minor"/>
    </font>
    <font>
      <sz val="10"/>
      <color rgb="FF595959"/>
      <name val="ＭＳ Ｐゴシック"/>
      <family val="3"/>
      <charset val="128"/>
      <scheme val="minor"/>
    </font>
    <font>
      <b/>
      <sz val="11"/>
      <color rgb="FFFFFFFF"/>
      <name val="Meiryo UI"/>
      <family val="3"/>
      <charset val="128"/>
    </font>
    <font>
      <sz val="12"/>
      <color theme="1"/>
      <name val="Meiryo UI"/>
      <family val="3"/>
      <charset val="128"/>
    </font>
    <font>
      <b/>
      <u/>
      <sz val="12"/>
      <color rgb="FF004494"/>
      <name val="Meiryo UI"/>
      <family val="3"/>
      <charset val="128"/>
    </font>
    <font>
      <b/>
      <sz val="12"/>
      <color rgb="FFC00000"/>
      <name val="Meiryo UI"/>
      <family val="3"/>
      <charset val="128"/>
    </font>
    <font>
      <b/>
      <sz val="12"/>
      <color rgb="FF595959"/>
      <name val="Meiryo UI"/>
      <family val="3"/>
      <charset val="128"/>
    </font>
    <font>
      <b/>
      <sz val="12"/>
      <color rgb="FFFFFFFF"/>
      <name val="Meiryo UI"/>
      <family val="3"/>
      <charset val="128"/>
    </font>
    <font>
      <b/>
      <sz val="11"/>
      <name val="ＭＳ Ｐゴシック"/>
      <family val="3"/>
      <charset val="128"/>
      <scheme val="minor"/>
    </font>
    <font>
      <sz val="10"/>
      <color rgb="FF375623"/>
      <name val="Meiryo UI"/>
      <family val="3"/>
      <charset val="128"/>
    </font>
    <font>
      <b/>
      <sz val="18"/>
      <color rgb="FFFFFFFF"/>
      <name val="Meiryo UI"/>
      <family val="3"/>
      <charset val="128"/>
    </font>
    <font>
      <b/>
      <sz val="10"/>
      <color rgb="FFFFD700"/>
      <name val="Meiryo UI"/>
      <family val="3"/>
      <charset val="128"/>
    </font>
    <font>
      <b/>
      <u/>
      <sz val="10"/>
      <color rgb="FFFFFFFF"/>
      <name val="Meiryo UI"/>
      <family val="3"/>
      <charset val="128"/>
    </font>
    <font>
      <sz val="10"/>
      <color theme="1"/>
      <name val="Meiryo UI"/>
      <family val="3"/>
      <charset val="128"/>
    </font>
    <font>
      <u/>
      <sz val="10"/>
      <color rgb="FF0066CC"/>
      <name val="Meiryo UI"/>
      <family val="3"/>
      <charset val="128"/>
    </font>
    <font>
      <b/>
      <sz val="10"/>
      <color theme="1"/>
      <name val="Meiryo UI"/>
      <family val="3"/>
      <charset val="128"/>
    </font>
    <font>
      <b/>
      <sz val="12"/>
      <color rgb="FF646464"/>
      <name val="ＭＳ Ｐゴシック"/>
      <family val="3"/>
      <charset val="128"/>
      <scheme val="minor"/>
    </font>
    <font>
      <b/>
      <sz val="12"/>
      <color theme="1"/>
      <name val="ＭＳ Ｐゴシック"/>
      <family val="2"/>
      <scheme val="minor"/>
    </font>
    <font>
      <b/>
      <sz val="12"/>
      <color rgb="FFC00000"/>
      <name val="ＭＳ Ｐゴシック"/>
      <family val="3"/>
      <charset val="128"/>
      <scheme val="minor"/>
    </font>
    <font>
      <b/>
      <sz val="14"/>
      <color rgb="FFC00000"/>
      <name val="Consolas"/>
      <family val="3"/>
    </font>
    <font>
      <b/>
      <sz val="14"/>
      <color rgb="FFC00000"/>
      <name val="ＭＳ Ｐゴシック"/>
      <family val="3"/>
      <charset val="128"/>
      <scheme val="minor"/>
    </font>
    <font>
      <b/>
      <sz val="14"/>
      <color rgb="FFFFFFFF"/>
      <name val="ＭＳ Ｐゴシック"/>
      <family val="3"/>
      <charset val="128"/>
      <scheme val="minor"/>
    </font>
    <font>
      <sz val="12"/>
      <color theme="1"/>
      <name val="ＭＳ Ｐゴシック"/>
      <family val="3"/>
      <charset val="128"/>
      <scheme val="minor"/>
    </font>
    <font>
      <sz val="11"/>
      <color theme="1"/>
      <name val="Meiryo UI"/>
      <family val="3"/>
      <charset val="128"/>
    </font>
    <font>
      <b/>
      <sz val="11"/>
      <color rgb="FFFFFFFF"/>
      <name val="ＭＳ Ｐゴシック"/>
      <family val="2"/>
      <scheme val="minor"/>
    </font>
    <font>
      <sz val="10"/>
      <color theme="1"/>
      <name val="ＭＳ Ｐゴシック"/>
      <family val="2"/>
      <scheme val="minor"/>
    </font>
    <font>
      <b/>
      <sz val="14"/>
      <color rgb="FFFFFFFF"/>
      <name val="ＭＳ Ｐゴシック"/>
      <family val="2"/>
      <scheme val="minor"/>
    </font>
    <font>
      <sz val="10"/>
      <color rgb="FF595959"/>
      <name val="ＭＳ Ｐゴシック"/>
      <family val="2"/>
      <scheme val="minor"/>
    </font>
    <font>
      <b/>
      <sz val="22"/>
      <color rgb="FF1F4E79"/>
      <name val="ＭＳ Ｐゴシック"/>
      <family val="2"/>
      <scheme val="minor"/>
    </font>
    <font>
      <u/>
      <sz val="10"/>
      <color rgb="FFFFFFFF"/>
      <name val="Meiryo UI"/>
      <family val="3"/>
      <charset val="128"/>
    </font>
    <font>
      <b/>
      <sz val="16"/>
      <color rgb="FFFFFFFF"/>
      <name val="ＭＳ Ｐゴシック"/>
      <family val="3"/>
      <charset val="128"/>
      <scheme val="minor"/>
    </font>
    <font>
      <b/>
      <sz val="13"/>
      <color rgb="FFFFFFFF"/>
      <name val="ＭＳ Ｐゴシック"/>
      <family val="3"/>
      <charset val="128"/>
      <scheme val="minor"/>
    </font>
    <font>
      <sz val="13"/>
      <color theme="1"/>
      <name val="ＭＳ Ｐゴシック"/>
      <family val="3"/>
      <charset val="128"/>
      <scheme val="minor"/>
    </font>
    <font>
      <b/>
      <sz val="13"/>
      <color rgb="FF0000FF"/>
      <name val="ＭＳ Ｐゴシック"/>
      <family val="3"/>
      <charset val="128"/>
      <scheme val="minor"/>
    </font>
    <font>
      <b/>
      <sz val="13"/>
      <color rgb="FF008000"/>
      <name val="ＭＳ Ｐゴシック"/>
      <family val="3"/>
      <charset val="128"/>
      <scheme val="minor"/>
    </font>
    <font>
      <b/>
      <sz val="13"/>
      <color theme="1"/>
      <name val="ＭＳ Ｐゴシック"/>
      <family val="3"/>
      <charset val="128"/>
      <scheme val="minor"/>
    </font>
    <font>
      <b/>
      <sz val="13"/>
      <color rgb="FFFF0000"/>
      <name val="ＭＳ Ｐゴシック"/>
      <family val="3"/>
      <charset val="128"/>
      <scheme val="minor"/>
    </font>
    <font>
      <b/>
      <sz val="13"/>
      <color rgb="FF000000"/>
      <name val="ＭＳ Ｐゴシック"/>
      <family val="3"/>
      <charset val="128"/>
      <scheme val="minor"/>
    </font>
    <font>
      <b/>
      <sz val="16"/>
      <color theme="1"/>
      <name val="ＭＳ Ｐゴシック"/>
      <family val="3"/>
      <charset val="128"/>
      <scheme val="minor"/>
    </font>
    <font>
      <sz val="13"/>
      <color rgb="FF888888"/>
      <name val="ＭＳ Ｐゴシック"/>
      <family val="3"/>
      <charset val="128"/>
      <scheme val="minor"/>
    </font>
    <font>
      <sz val="12"/>
      <color rgb="FF888888"/>
      <name val="ＭＳ Ｐゴシック"/>
      <family val="3"/>
      <charset val="128"/>
      <scheme val="minor"/>
    </font>
    <font>
      <b/>
      <sz val="18"/>
      <color rgb="FFFFFFFF"/>
      <name val="ＭＳ Ｐゴシック"/>
      <family val="3"/>
      <charset val="128"/>
      <scheme val="minor"/>
    </font>
    <font>
      <sz val="11"/>
      <color rgb="FF666666"/>
      <name val="ＭＳ Ｐゴシック"/>
      <family val="3"/>
      <charset val="128"/>
      <scheme val="minor"/>
    </font>
    <font>
      <sz val="14"/>
      <color rgb="FFAAAAAA"/>
      <name val="ＭＳ Ｐゴシック"/>
      <family val="2"/>
      <charset val="128"/>
      <scheme val="minor"/>
    </font>
    <font>
      <sz val="12"/>
      <color rgb="FF9C0006"/>
      <name val="ＭＳ Ｐゴシック"/>
      <family val="3"/>
      <charset val="128"/>
      <scheme val="minor"/>
    </font>
    <font>
      <sz val="12"/>
      <color rgb="FF276221"/>
      <name val="ＭＳ Ｐゴシック"/>
      <family val="3"/>
      <charset val="128"/>
      <scheme val="minor"/>
    </font>
    <font>
      <b/>
      <sz val="12"/>
      <color theme="1"/>
      <name val="ＭＳ Ｐゴシック"/>
      <family val="3"/>
      <charset val="128"/>
      <scheme val="minor"/>
    </font>
    <font>
      <sz val="12"/>
      <color rgb="FF0000FF"/>
      <name val="Courier New"/>
      <family val="3"/>
    </font>
    <font>
      <sz val="11"/>
      <color rgb="FF276221"/>
      <name val="ＭＳ Ｐゴシック"/>
      <family val="3"/>
      <charset val="128"/>
      <scheme val="minor"/>
    </font>
    <font>
      <b/>
      <sz val="14"/>
      <color rgb="FFFFFFFF"/>
      <name val="游ゴシック"/>
      <family val="3"/>
      <charset val="128"/>
    </font>
    <font>
      <b/>
      <sz val="12"/>
      <color rgb="FF375623"/>
      <name val="游ゴシック"/>
      <family val="3"/>
      <charset val="128"/>
    </font>
    <font>
      <b/>
      <sz val="12"/>
      <color rgb="FF4A235A"/>
      <name val="ＭＳ Ｐゴシック"/>
      <family val="3"/>
      <charset val="128"/>
      <scheme val="minor"/>
    </font>
    <font>
      <b/>
      <sz val="12"/>
      <color rgb="FF7B2C2C"/>
      <name val="ＭＳ Ｐゴシック"/>
      <family val="3"/>
      <charset val="128"/>
      <scheme val="minor"/>
    </font>
    <font>
      <sz val="11"/>
      <color theme="1"/>
      <name val="ＭＳ Ｐゴシック"/>
      <family val="3"/>
      <charset val="128"/>
      <scheme val="minor"/>
    </font>
    <font>
      <b/>
      <sz val="12"/>
      <color rgb="FF9C0006"/>
      <name val="ＭＳ Ｐゴシック"/>
      <family val="3"/>
      <charset val="128"/>
      <scheme val="minor"/>
    </font>
    <font>
      <b/>
      <sz val="20"/>
      <color theme="2"/>
      <name val="ＭＳ Ｐゴシック"/>
      <family val="2"/>
      <scheme val="minor"/>
    </font>
    <font>
      <b/>
      <sz val="16"/>
      <color rgb="FFD4AF37"/>
      <name val="ＭＳ Ｐゴシック"/>
      <family val="2"/>
      <scheme val="minor"/>
    </font>
    <font>
      <b/>
      <sz val="9"/>
      <color rgb="FFFFFFFF"/>
      <name val="ＭＳ Ｐゴシック"/>
      <family val="2"/>
      <scheme val="minor"/>
    </font>
    <font>
      <b/>
      <sz val="18"/>
      <color rgb="FFFFFFFF"/>
      <name val="ＭＳ Ｐゴシック"/>
      <family val="2"/>
      <scheme val="minor"/>
    </font>
    <font>
      <b/>
      <sz val="10"/>
      <color rgb="FFFFFFFF"/>
      <name val="ＭＳ Ｐゴシック"/>
      <family val="2"/>
      <scheme val="minor"/>
    </font>
    <font>
      <sz val="14"/>
      <color rgb="FFFF0000"/>
      <name val="ＭＳ Ｐゴシック"/>
      <family val="2"/>
      <charset val="128"/>
      <scheme val="minor"/>
    </font>
    <font>
      <sz val="14"/>
      <color rgb="FFFF0000"/>
      <name val="ＭＳ Ｐゴシック"/>
      <family val="3"/>
      <charset val="128"/>
      <scheme val="minor"/>
    </font>
    <font>
      <b/>
      <sz val="14"/>
      <color rgb="FF0000FF"/>
      <name val="ＭＳ Ｐゴシック"/>
      <family val="2"/>
      <charset val="128"/>
      <scheme val="minor"/>
    </font>
    <font>
      <b/>
      <sz val="14"/>
      <color rgb="FF0000FF"/>
      <name val="ＭＳ Ｐゴシック"/>
      <family val="3"/>
      <charset val="128"/>
      <scheme val="minor"/>
    </font>
    <font>
      <sz val="14"/>
      <color rgb="FF888888"/>
      <name val="ＭＳ Ｐゴシック"/>
      <family val="3"/>
      <charset val="128"/>
      <scheme val="minor"/>
    </font>
    <font>
      <sz val="16"/>
      <name val="ＭＳ Ｐゴシック"/>
      <family val="2"/>
      <scheme val="minor"/>
    </font>
    <font>
      <b/>
      <sz val="8"/>
      <color rgb="FFFFFFFF"/>
      <name val="Meiryo UI"/>
      <family val="3"/>
      <charset val="128"/>
    </font>
    <font>
      <b/>
      <sz val="9"/>
      <color rgb="FFFFFFFF"/>
      <name val="ＭＳ Ｐゴシック"/>
      <family val="3"/>
      <charset val="128"/>
      <scheme val="minor"/>
    </font>
    <font>
      <sz val="9"/>
      <color theme="1"/>
      <name val="Meiryo UI"/>
      <family val="3"/>
      <charset val="128"/>
    </font>
    <font>
      <sz val="11"/>
      <color theme="1"/>
      <name val="ＭＳ Ｐゴシック"/>
      <family val="2"/>
      <scheme val="minor"/>
    </font>
    <font>
      <b/>
      <sz val="12"/>
      <color rgb="FFC00000"/>
      <name val="Consolas"/>
      <family val="3"/>
    </font>
    <font>
      <b/>
      <sz val="13"/>
      <color rgb="FFFFFFFF"/>
      <name val="ＭＳ Ｐゴシック"/>
      <family val="2"/>
      <scheme val="minor"/>
    </font>
    <font>
      <b/>
      <sz val="11"/>
      <color rgb="FFAACCFF"/>
      <name val="ＭＳ Ｐゴシック"/>
      <family val="2"/>
      <scheme val="minor"/>
    </font>
    <font>
      <b/>
      <sz val="11"/>
      <color rgb="FF856404"/>
      <name val="ＭＳ Ｐゴシック"/>
      <family val="2"/>
      <scheme val="minor"/>
    </font>
    <font>
      <b/>
      <sz val="11"/>
      <color rgb="FFCC0000"/>
      <name val="ＭＳ Ｐゴシック"/>
      <family val="2"/>
      <scheme val="minor"/>
    </font>
    <font>
      <sz val="11"/>
      <color rgb="FF007700"/>
      <name val="ＭＳ Ｐゴシック"/>
      <family val="2"/>
      <scheme val="minor"/>
    </font>
    <font>
      <sz val="11"/>
      <color rgb="FF005599"/>
      <name val="ＭＳ Ｐゴシック"/>
      <family val="2"/>
      <scheme val="minor"/>
    </font>
    <font>
      <sz val="11"/>
      <color rgb="FF993300"/>
      <name val="ＭＳ Ｐゴシック"/>
      <family val="2"/>
      <scheme val="minor"/>
    </font>
    <font>
      <b/>
      <sz val="11"/>
      <color rgb="FF155724"/>
      <name val="ＭＳ Ｐゴシック"/>
      <family val="2"/>
      <scheme val="minor"/>
    </font>
    <font>
      <b/>
      <sz val="11"/>
      <color rgb="FFFFFFFF"/>
      <name val="ＭＳ Ｐゴシック"/>
      <family val="3"/>
      <charset val="128"/>
      <scheme val="minor"/>
    </font>
    <font>
      <sz val="11"/>
      <name val="ＭＳ Ｐゴシック"/>
      <family val="3"/>
      <charset val="128"/>
      <scheme val="minor"/>
    </font>
    <font>
      <b/>
      <sz val="18"/>
      <color theme="1"/>
      <name val="ＭＳ Ｐゴシック"/>
      <family val="3"/>
      <charset val="128"/>
      <scheme val="minor"/>
    </font>
    <font>
      <sz val="18"/>
      <name val="ＭＳ Ｐゴシック"/>
      <family val="3"/>
      <charset val="128"/>
      <scheme val="minor"/>
    </font>
    <font>
      <u/>
      <sz val="11"/>
      <name val="ＭＳ Ｐゴシック"/>
      <family val="3"/>
      <charset val="128"/>
      <scheme val="minor"/>
    </font>
    <font>
      <b/>
      <sz val="20"/>
      <color theme="0"/>
      <name val="ＭＳ Ｐゴシック"/>
      <family val="3"/>
      <charset val="128"/>
      <scheme val="minor"/>
    </font>
    <font>
      <b/>
      <sz val="22"/>
      <color theme="0"/>
      <name val="ＭＳ Ｐゴシック"/>
      <family val="3"/>
      <charset val="128"/>
      <scheme val="minor"/>
    </font>
    <font>
      <b/>
      <sz val="16"/>
      <color rgb="FFD4AF37"/>
      <name val="ＭＳ Ｐゴシック"/>
      <family val="3"/>
      <charset val="128"/>
      <scheme val="minor"/>
    </font>
    <font>
      <sz val="16"/>
      <color theme="1"/>
      <name val="ＭＳ Ｐゴシック"/>
      <family val="3"/>
      <charset val="128"/>
      <scheme val="minor"/>
    </font>
    <font>
      <b/>
      <u/>
      <sz val="18"/>
      <color rgb="FFFFFFFF"/>
      <name val="Meiryo UI"/>
      <family val="3"/>
      <charset val="128"/>
    </font>
    <font>
      <sz val="18"/>
      <name val="Meiryo UI"/>
      <family val="3"/>
      <charset val="128"/>
    </font>
    <font>
      <b/>
      <sz val="18"/>
      <name val="Meiryo UI"/>
      <family val="3"/>
      <charset val="128"/>
    </font>
    <font>
      <u/>
      <sz val="11"/>
      <color rgb="FFFFD700"/>
      <name val="Meiryo UI"/>
      <family val="3"/>
      <charset val="128"/>
    </font>
    <font>
      <sz val="20"/>
      <color theme="1"/>
      <name val="ＭＳ Ｐゴシック"/>
      <family val="2"/>
      <scheme val="minor"/>
    </font>
    <font>
      <sz val="20"/>
      <color rgb="FFFFFFFF"/>
      <name val="Meiryo UI"/>
      <family val="3"/>
      <charset val="128"/>
    </font>
    <font>
      <b/>
      <sz val="20"/>
      <color theme="1"/>
      <name val="ＭＳ Ｐゴシック"/>
      <family val="3"/>
      <charset val="128"/>
      <scheme val="minor"/>
    </font>
    <font>
      <u/>
      <sz val="18"/>
      <name val="Meiryo UI"/>
      <family val="3"/>
      <charset val="128"/>
    </font>
    <font>
      <b/>
      <sz val="28"/>
      <color theme="1"/>
      <name val="ＭＳ Ｐゴシック"/>
      <family val="2"/>
      <scheme val="minor"/>
    </font>
    <font>
      <sz val="28"/>
      <color rgb="FF595959"/>
      <name val="ＭＳ Ｐゴシック"/>
      <family val="2"/>
      <scheme val="minor"/>
    </font>
    <font>
      <b/>
      <sz val="13.5"/>
      <color theme="1"/>
      <name val="ＭＳ Ｐゴシック"/>
      <family val="3"/>
      <charset val="128"/>
      <scheme val="minor"/>
    </font>
    <font>
      <sz val="22"/>
      <color theme="0"/>
      <name val="ＭＳ Ｐゴシック"/>
      <family val="2"/>
      <scheme val="minor"/>
    </font>
    <font>
      <sz val="20"/>
      <color theme="1"/>
      <name val="Meiryo UI"/>
      <family val="3"/>
      <charset val="128"/>
    </font>
    <font>
      <b/>
      <sz val="20"/>
      <color theme="1"/>
      <name val="Meiryo UI"/>
      <family val="3"/>
      <charset val="128"/>
    </font>
    <font>
      <b/>
      <u/>
      <sz val="11"/>
      <color rgb="FFFFFFFF"/>
      <name val="ＭＳ Ｐゴシック"/>
      <family val="3"/>
      <charset val="128"/>
      <scheme val="minor"/>
    </font>
    <font>
      <b/>
      <sz val="20"/>
      <color theme="1"/>
      <name val="ＭＳ Ｐゴシック"/>
      <family val="2"/>
      <scheme val="minor"/>
    </font>
    <font>
      <b/>
      <sz val="28"/>
      <color rgb="FF000000"/>
      <name val="ＭＳ Ｐゴシック"/>
      <family val="3"/>
      <charset val="128"/>
    </font>
    <font>
      <b/>
      <sz val="16"/>
      <color rgb="FF000000"/>
      <name val="ＭＳ Ｐゴシック"/>
      <family val="3"/>
      <charset val="128"/>
    </font>
    <font>
      <b/>
      <sz val="20"/>
      <color rgb="FFFF0000"/>
      <name val="ＭＳ Ｐゴシック"/>
      <family val="3"/>
      <charset val="128"/>
    </font>
    <font>
      <sz val="24"/>
      <color rgb="FF000000"/>
      <name val="ＭＳ Ｐゴシック"/>
      <family val="3"/>
      <charset val="128"/>
    </font>
    <font>
      <b/>
      <sz val="14"/>
      <color rgb="FF000000"/>
      <name val="ＭＳ Ｐゴシック"/>
      <family val="3"/>
      <charset val="128"/>
    </font>
    <font>
      <sz val="11"/>
      <color rgb="FF000000"/>
      <name val="ＭＳ Ｐゴシック"/>
      <family val="3"/>
      <charset val="128"/>
    </font>
    <font>
      <b/>
      <u/>
      <sz val="20"/>
      <color rgb="FF004494"/>
      <name val="Meiryo UI"/>
      <family val="3"/>
      <charset val="128"/>
    </font>
    <font>
      <sz val="16"/>
      <name val="ＭＳ Ｐゴシック"/>
      <family val="3"/>
      <charset val="128"/>
      <scheme val="minor"/>
    </font>
    <font>
      <b/>
      <u/>
      <sz val="22"/>
      <color rgb="FF004494"/>
      <name val="Meiryo UI"/>
      <family val="3"/>
      <charset val="128"/>
    </font>
    <font>
      <b/>
      <sz val="22"/>
      <color rgb="FF202020"/>
      <name val="ＭＳ Ｐゴシック"/>
      <family val="3"/>
      <charset val="128"/>
      <scheme val="minor"/>
    </font>
    <font>
      <b/>
      <sz val="22"/>
      <color theme="1"/>
      <name val="ＭＳ Ｐゴシック"/>
      <family val="3"/>
      <charset val="128"/>
      <scheme val="major"/>
    </font>
    <font>
      <b/>
      <sz val="22"/>
      <color theme="1"/>
      <name val="ＭＳ Ｐゴシック"/>
      <family val="2"/>
      <scheme val="minor"/>
    </font>
    <font>
      <b/>
      <sz val="22"/>
      <color theme="1"/>
      <name val="ＭＳ Ｐゴシック"/>
      <family val="3"/>
      <charset val="128"/>
      <scheme val="minor"/>
    </font>
    <font>
      <sz val="18"/>
      <color rgb="FFFFFFFF"/>
      <name val="Meiryo UI"/>
      <family val="3"/>
      <charset val="128"/>
    </font>
    <font>
      <sz val="18"/>
      <color rgb="FF202020"/>
      <name val="ＭＳ Ｐゴシック"/>
      <family val="3"/>
      <charset val="128"/>
      <scheme val="minor"/>
    </font>
    <font>
      <b/>
      <sz val="18"/>
      <color rgb="FF202020"/>
      <name val="ＭＳ Ｐゴシック"/>
      <family val="3"/>
      <charset val="128"/>
      <scheme val="minor"/>
    </font>
    <font>
      <sz val="18"/>
      <color rgb="FFFFFFFF"/>
      <name val="ＭＳ Ｐゴシック"/>
      <family val="3"/>
      <charset val="128"/>
      <scheme val="minor"/>
    </font>
    <font>
      <sz val="18"/>
      <color rgb="FF505050"/>
      <name val="ＭＳ Ｐゴシック"/>
      <family val="3"/>
      <charset val="128"/>
      <scheme val="minor"/>
    </font>
    <font>
      <b/>
      <sz val="10"/>
      <color rgb="FFFFFFFF"/>
      <name val="ＭＳ Ｐゴシック"/>
      <family val="2"/>
    </font>
    <font>
      <b/>
      <sz val="14"/>
      <color rgb="FF1F3864"/>
      <name val="ＭＳ Ｐゴシック"/>
      <family val="2"/>
    </font>
    <font>
      <b/>
      <sz val="11"/>
      <color rgb="FF0000FF"/>
      <name val="ＭＳ Ｐゴシック"/>
      <family val="2"/>
    </font>
    <font>
      <i/>
      <sz val="9"/>
      <color rgb="FF808080"/>
      <name val="ＭＳ Ｐゴシック"/>
      <family val="2"/>
    </font>
    <font>
      <b/>
      <sz val="11"/>
      <color rgb="FF000000"/>
      <name val="ＭＳ Ｐゴシック"/>
      <family val="2"/>
    </font>
    <font>
      <sz val="10"/>
      <color rgb="FF000000"/>
      <name val="ＭＳ Ｐゴシック"/>
      <family val="2"/>
    </font>
    <font>
      <b/>
      <sz val="10"/>
      <color rgb="FF1F3864"/>
      <name val="ＭＳ Ｐゴシック"/>
      <family val="2"/>
    </font>
  </fonts>
  <fills count="74">
    <fill>
      <patternFill patternType="none"/>
    </fill>
    <fill>
      <patternFill patternType="gray125"/>
    </fill>
    <fill>
      <patternFill patternType="solid">
        <fgColor rgb="FF1F497D"/>
      </patternFill>
    </fill>
    <fill>
      <patternFill patternType="solid">
        <fgColor rgb="FF4472C4"/>
      </patternFill>
    </fill>
    <fill>
      <patternFill patternType="solid">
        <fgColor rgb="FFF2F2F2"/>
      </patternFill>
    </fill>
    <fill>
      <patternFill patternType="solid">
        <fgColor rgb="FFFFFFFF"/>
      </patternFill>
    </fill>
    <fill>
      <patternFill patternType="solid">
        <fgColor rgb="FFC00000"/>
      </patternFill>
    </fill>
    <fill>
      <patternFill patternType="solid">
        <fgColor rgb="FFDCE6F1"/>
      </patternFill>
    </fill>
    <fill>
      <patternFill patternType="solid">
        <fgColor rgb="FF375623"/>
      </patternFill>
    </fill>
    <fill>
      <patternFill patternType="solid">
        <fgColor rgb="FF7030A0"/>
      </patternFill>
    </fill>
    <fill>
      <patternFill patternType="solid">
        <fgColor rgb="FF595959"/>
      </patternFill>
    </fill>
    <fill>
      <patternFill patternType="solid">
        <fgColor theme="1" tint="4.9989318521683403E-2"/>
        <bgColor indexed="64"/>
      </patternFill>
    </fill>
    <fill>
      <patternFill patternType="solid">
        <fgColor rgb="FF00467F"/>
        <bgColor indexed="64"/>
      </patternFill>
    </fill>
    <fill>
      <patternFill patternType="solid">
        <fgColor theme="6" tint="0.79998168889431442"/>
        <bgColor indexed="64"/>
      </patternFill>
    </fill>
    <fill>
      <patternFill patternType="solid">
        <fgColor theme="1"/>
        <bgColor indexed="64"/>
      </patternFill>
    </fill>
    <fill>
      <patternFill patternType="solid">
        <fgColor theme="4"/>
        <bgColor indexed="64"/>
      </patternFill>
    </fill>
    <fill>
      <patternFill patternType="solid">
        <fgColor rgb="FF002060"/>
        <bgColor indexed="64"/>
      </patternFill>
    </fill>
    <fill>
      <patternFill patternType="solid">
        <fgColor rgb="FFFFFFFF"/>
        <bgColor indexed="64"/>
      </patternFill>
    </fill>
    <fill>
      <patternFill patternType="solid">
        <fgColor rgb="FFFFC000"/>
        <bgColor indexed="64"/>
      </patternFill>
    </fill>
    <fill>
      <patternFill patternType="solid">
        <fgColor rgb="FFFFF0C8"/>
        <bgColor indexed="64"/>
      </patternFill>
    </fill>
    <fill>
      <patternFill patternType="solid">
        <fgColor theme="3" tint="-0.249977111117893"/>
        <bgColor indexed="64"/>
      </patternFill>
    </fill>
    <fill>
      <patternFill patternType="solid">
        <fgColor rgb="FF1F4E79"/>
        <bgColor indexed="64"/>
      </patternFill>
    </fill>
    <fill>
      <gradientFill degree="90">
        <stop position="0">
          <color rgb="FF002040"/>
        </stop>
        <stop position="0.5">
          <color rgb="FF0070C0"/>
        </stop>
        <stop position="1">
          <color rgb="FF002040"/>
        </stop>
      </gradientFill>
    </fill>
    <fill>
      <patternFill patternType="solid">
        <fgColor rgb="FF142850"/>
        <bgColor indexed="64"/>
      </patternFill>
    </fill>
    <fill>
      <patternFill patternType="solid">
        <fgColor rgb="FFCC9900"/>
        <bgColor indexed="64"/>
      </patternFill>
    </fill>
    <fill>
      <patternFill patternType="solid">
        <fgColor rgb="FF295F91"/>
        <bgColor indexed="64"/>
      </patternFill>
    </fill>
    <fill>
      <patternFill patternType="solid">
        <fgColor rgb="FF3370A8"/>
        <bgColor indexed="64"/>
      </patternFill>
    </fill>
    <fill>
      <patternFill patternType="solid">
        <fgColor rgb="FF3D82C0"/>
        <bgColor indexed="64"/>
      </patternFill>
    </fill>
    <fill>
      <patternFill patternType="solid">
        <fgColor rgb="FF009688"/>
        <bgColor indexed="64"/>
      </patternFill>
    </fill>
    <fill>
      <patternFill patternType="solid">
        <fgColor rgb="FFC05A00"/>
        <bgColor indexed="64"/>
      </patternFill>
    </fill>
    <fill>
      <gradientFill>
        <stop position="0">
          <color rgb="FFC00000"/>
        </stop>
        <stop position="1">
          <color rgb="FFFF8C00"/>
        </stop>
      </gradientFill>
    </fill>
    <fill>
      <patternFill patternType="solid">
        <fgColor rgb="FFEBF3FF"/>
        <bgColor indexed="64"/>
      </patternFill>
    </fill>
    <fill>
      <gradientFill>
        <stop position="0">
          <color rgb="FF323232"/>
        </stop>
        <stop position="1">
          <color rgb="FF5A5A5A"/>
        </stop>
      </gradientFill>
    </fill>
    <fill>
      <patternFill patternType="solid">
        <fgColor rgb="FF4472C4"/>
        <bgColor indexed="64"/>
      </patternFill>
    </fill>
    <fill>
      <patternFill patternType="solid">
        <fgColor rgb="FFF2F2F2"/>
        <bgColor indexed="64"/>
      </patternFill>
    </fill>
    <fill>
      <patternFill patternType="solid">
        <fgColor rgb="FFFFF2CC"/>
        <bgColor indexed="64"/>
      </patternFill>
    </fill>
    <fill>
      <patternFill patternType="solid">
        <fgColor rgb="FFFFE699"/>
        <bgColor indexed="64"/>
      </patternFill>
    </fill>
    <fill>
      <patternFill patternType="solid">
        <fgColor rgb="FF2E75B6"/>
        <bgColor indexed="64"/>
      </patternFill>
    </fill>
    <fill>
      <patternFill patternType="solid">
        <fgColor rgb="FFEBF3FB"/>
        <bgColor indexed="64"/>
      </patternFill>
    </fill>
    <fill>
      <patternFill patternType="solid">
        <fgColor rgb="FFFF0000"/>
        <bgColor indexed="64"/>
      </patternFill>
    </fill>
    <fill>
      <patternFill patternType="solid">
        <fgColor rgb="FFFFFF00"/>
        <bgColor indexed="64"/>
      </patternFill>
    </fill>
    <fill>
      <patternFill patternType="solid">
        <fgColor rgb="FF375623"/>
        <bgColor indexed="64"/>
      </patternFill>
    </fill>
    <fill>
      <patternFill patternType="solid">
        <fgColor rgb="FF7B2C2C"/>
        <bgColor indexed="64"/>
      </patternFill>
    </fill>
    <fill>
      <patternFill patternType="solid">
        <fgColor rgb="FF4A235A"/>
        <bgColor indexed="64"/>
      </patternFill>
    </fill>
    <fill>
      <patternFill patternType="solid">
        <fgColor rgb="FFD9D9D9"/>
        <bgColor indexed="64"/>
      </patternFill>
    </fill>
    <fill>
      <patternFill patternType="solid">
        <fgColor rgb="FF7B0000"/>
        <bgColor indexed="64"/>
      </patternFill>
    </fill>
    <fill>
      <patternFill patternType="solid">
        <fgColor rgb="FFCC0000"/>
        <bgColor indexed="64"/>
      </patternFill>
    </fill>
    <fill>
      <patternFill patternType="solid">
        <fgColor rgb="FFFFF0F0"/>
        <bgColor indexed="64"/>
      </patternFill>
    </fill>
    <fill>
      <patternFill patternType="solid">
        <fgColor rgb="FF5C0000"/>
        <bgColor indexed="64"/>
      </patternFill>
    </fill>
    <fill>
      <patternFill patternType="solid">
        <fgColor rgb="FF800000"/>
        <bgColor indexed="64"/>
      </patternFill>
    </fill>
    <fill>
      <patternFill patternType="solid">
        <fgColor rgb="FF7030A0"/>
        <bgColor indexed="64"/>
      </patternFill>
    </fill>
    <fill>
      <patternFill patternType="solid">
        <fgColor rgb="FF808080"/>
        <bgColor indexed="64"/>
      </patternFill>
    </fill>
    <fill>
      <patternFill patternType="solid">
        <fgColor rgb="FF4F6228"/>
        <bgColor indexed="64"/>
      </patternFill>
    </fill>
    <fill>
      <patternFill patternType="solid">
        <fgColor rgb="FFE26B0A"/>
        <bgColor indexed="64"/>
      </patternFill>
    </fill>
    <fill>
      <patternFill patternType="solid">
        <fgColor rgb="FFC00000"/>
        <bgColor indexed="64"/>
      </patternFill>
    </fill>
    <fill>
      <patternFill patternType="solid">
        <fgColor rgb="FF500000"/>
        <bgColor indexed="64"/>
      </patternFill>
    </fill>
    <fill>
      <patternFill patternType="solid">
        <fgColor theme="5" tint="-0.499984740745262"/>
        <bgColor indexed="64"/>
      </patternFill>
    </fill>
    <fill>
      <patternFill patternType="solid">
        <fgColor rgb="FF280000"/>
        <bgColor indexed="64"/>
      </patternFill>
    </fill>
    <fill>
      <patternFill patternType="solid">
        <fgColor rgb="FF003366"/>
        <bgColor indexed="64"/>
      </patternFill>
    </fill>
    <fill>
      <patternFill patternType="solid">
        <fgColor rgb="FFFFF3CD"/>
        <bgColor indexed="64"/>
      </patternFill>
    </fill>
    <fill>
      <patternFill patternType="solid">
        <fgColor rgb="FFE8F4E8"/>
        <bgColor indexed="64"/>
      </patternFill>
    </fill>
    <fill>
      <patternFill patternType="solid">
        <fgColor rgb="FFF5F9FF"/>
        <bgColor indexed="64"/>
      </patternFill>
    </fill>
    <fill>
      <patternFill patternType="solid">
        <fgColor theme="0" tint="-4.9989318521683403E-2"/>
        <bgColor indexed="64"/>
      </patternFill>
    </fill>
    <fill>
      <patternFill patternType="solid">
        <fgColor rgb="FFFF9999"/>
        <bgColor indexed="64"/>
      </patternFill>
    </fill>
    <fill>
      <patternFill patternType="solid">
        <fgColor theme="5"/>
        <bgColor indexed="64"/>
      </patternFill>
    </fill>
    <fill>
      <patternFill patternType="solid">
        <fgColor rgb="FFFFDCDC"/>
        <bgColor indexed="64"/>
      </patternFill>
    </fill>
    <fill>
      <patternFill patternType="solid">
        <fgColor rgb="FF00B050"/>
        <bgColor indexed="64"/>
      </patternFill>
    </fill>
    <fill>
      <patternFill patternType="solid">
        <fgColor rgb="FF92D050"/>
        <bgColor indexed="64"/>
      </patternFill>
    </fill>
    <fill>
      <patternFill patternType="solid">
        <fgColor rgb="FFFF6600"/>
        <bgColor indexed="64"/>
      </patternFill>
    </fill>
    <fill>
      <patternFill patternType="solid">
        <fgColor rgb="FF1F4E78"/>
        <bgColor indexed="64"/>
      </patternFill>
    </fill>
    <fill>
      <patternFill patternType="solid">
        <fgColor rgb="FFFFF2CC"/>
        <bgColor indexed="64"/>
      </patternFill>
    </fill>
    <fill>
      <patternFill patternType="solid">
        <fgColor rgb="FFD9E1F2"/>
        <bgColor indexed="64"/>
      </patternFill>
    </fill>
    <fill>
      <patternFill patternType="solid">
        <fgColor rgb="FFE2EFDA"/>
        <bgColor indexed="64"/>
      </patternFill>
    </fill>
    <fill>
      <patternFill patternType="solid">
        <fgColor rgb="FFFCE4D6"/>
        <bgColor indexed="64"/>
      </patternFill>
    </fill>
  </fills>
  <borders count="69">
    <border>
      <left/>
      <right/>
      <top/>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D9D9D9"/>
      </left>
      <right/>
      <top/>
      <bottom/>
      <diagonal/>
    </border>
    <border>
      <left/>
      <right style="thin">
        <color rgb="FFD9D9D9"/>
      </right>
      <top/>
      <bottom/>
      <diagonal/>
    </border>
    <border>
      <left/>
      <right style="medium">
        <color rgb="FFCCCCCC"/>
      </right>
      <top/>
      <bottom/>
      <diagonal/>
    </border>
    <border>
      <left style="thin">
        <color rgb="FFD9D9D9"/>
      </left>
      <right/>
      <top style="thin">
        <color rgb="FFD9D9D9"/>
      </top>
      <bottom style="thin">
        <color rgb="FFD9D9D9"/>
      </bottom>
      <diagonal/>
    </border>
    <border>
      <left/>
      <right style="thin">
        <color rgb="FFC8C8C8"/>
      </right>
      <top/>
      <bottom/>
      <diagonal/>
    </border>
    <border>
      <left style="thin">
        <color rgb="FFC8C8C8"/>
      </left>
      <right style="thin">
        <color rgb="FFC8C8C8"/>
      </right>
      <top/>
      <bottom/>
      <diagonal/>
    </border>
    <border>
      <left style="thin">
        <color rgb="FFC8C8C8"/>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double">
        <color rgb="FFFFD700"/>
      </bottom>
      <diagonal/>
    </border>
    <border>
      <left style="thin">
        <color rgb="FF808080"/>
      </left>
      <right style="thin">
        <color rgb="FFC8C8C8"/>
      </right>
      <top style="thin">
        <color rgb="FF808080"/>
      </top>
      <bottom style="thin">
        <color rgb="FFC8C8C8"/>
      </bottom>
      <diagonal/>
    </border>
    <border>
      <left style="thin">
        <color rgb="FFC8C8C8"/>
      </left>
      <right style="thin">
        <color rgb="FFC8C8C8"/>
      </right>
      <top style="thin">
        <color rgb="FF808080"/>
      </top>
      <bottom style="thin">
        <color rgb="FFC8C8C8"/>
      </bottom>
      <diagonal/>
    </border>
    <border>
      <left style="thin">
        <color rgb="FF808080"/>
      </left>
      <right style="thin">
        <color rgb="FFC8C8C8"/>
      </right>
      <top style="thin">
        <color rgb="FFC8C8C8"/>
      </top>
      <bottom style="thin">
        <color rgb="FFC8C8C8"/>
      </bottom>
      <diagonal/>
    </border>
    <border>
      <left style="thin">
        <color rgb="FFC8C8C8"/>
      </left>
      <right style="thin">
        <color rgb="FFC8C8C8"/>
      </right>
      <top style="thin">
        <color rgb="FFC8C8C8"/>
      </top>
      <bottom style="thin">
        <color rgb="FFC8C8C8"/>
      </bottom>
      <diagonal/>
    </border>
    <border>
      <left style="thin">
        <color rgb="FFC8C8C8"/>
      </left>
      <right style="thin">
        <color rgb="FF808080"/>
      </right>
      <top style="thin">
        <color rgb="FFC8C8C8"/>
      </top>
      <bottom style="thin">
        <color rgb="FFC8C8C8"/>
      </bottom>
      <diagonal/>
    </border>
    <border>
      <left style="thin">
        <color rgb="FF808080"/>
      </left>
      <right style="thin">
        <color rgb="FFC8C8C8"/>
      </right>
      <top style="thin">
        <color rgb="FFC8C8C8"/>
      </top>
      <bottom style="thin">
        <color rgb="FF808080"/>
      </bottom>
      <diagonal/>
    </border>
    <border>
      <left style="thin">
        <color rgb="FFC8C8C8"/>
      </left>
      <right style="thin">
        <color rgb="FFC8C8C8"/>
      </right>
      <top style="thin">
        <color rgb="FFC8C8C8"/>
      </top>
      <bottom style="thin">
        <color rgb="FF808080"/>
      </bottom>
      <diagonal/>
    </border>
    <border>
      <left style="thin">
        <color rgb="FFC8C8C8"/>
      </left>
      <right style="thin">
        <color rgb="FF808080"/>
      </right>
      <top style="thin">
        <color rgb="FFC8C8C8"/>
      </top>
      <bottom style="thin">
        <color rgb="FF80808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right style="thin">
        <color rgb="FFB4B4B4"/>
      </right>
      <top style="double">
        <color rgb="FFFFD700"/>
      </top>
      <bottom style="thin">
        <color rgb="FFB4B4B4"/>
      </bottom>
      <diagonal/>
    </border>
    <border>
      <left/>
      <right style="thin">
        <color rgb="FFB4B4B4"/>
      </right>
      <top style="thin">
        <color rgb="FFB4B4B4"/>
      </top>
      <bottom style="thin">
        <color rgb="FFB4B4B4"/>
      </bottom>
      <diagonal/>
    </border>
    <border>
      <left style="medium">
        <color rgb="FF648CB4"/>
      </left>
      <right style="medium">
        <color rgb="FF00467F"/>
      </right>
      <top style="double">
        <color rgb="FFFFD700"/>
      </top>
      <bottom style="thin">
        <color rgb="FFB4B4B4"/>
      </bottom>
      <diagonal/>
    </border>
    <border>
      <left style="medium">
        <color rgb="FF648CB4"/>
      </left>
      <right style="medium">
        <color rgb="FF00467F"/>
      </right>
      <top style="thin">
        <color rgb="FFB4B4B4"/>
      </top>
      <bottom style="thin">
        <color rgb="FFB4B4B4"/>
      </bottom>
      <diagonal/>
    </border>
    <border>
      <left style="thin">
        <color rgb="FF2E75B6"/>
      </left>
      <right style="thin">
        <color rgb="FFBDD7EE"/>
      </right>
      <top style="thin">
        <color rgb="FF2E75B6"/>
      </top>
      <bottom style="thin">
        <color rgb="FFBDD7EE"/>
      </bottom>
      <diagonal/>
    </border>
    <border>
      <left style="thin">
        <color rgb="FFBDD7EE"/>
      </left>
      <right style="thin">
        <color rgb="FFBDD7EE"/>
      </right>
      <top style="thin">
        <color rgb="FF2E75B6"/>
      </top>
      <bottom style="thin">
        <color rgb="FFBDD7EE"/>
      </bottom>
      <diagonal/>
    </border>
    <border>
      <left style="thin">
        <color rgb="FFBDD7EE"/>
      </left>
      <right style="thin">
        <color rgb="FF2E75B6"/>
      </right>
      <top style="thin">
        <color rgb="FF2E75B6"/>
      </top>
      <bottom style="thin">
        <color rgb="FFBDD7EE"/>
      </bottom>
      <diagonal/>
    </border>
    <border>
      <left style="thin">
        <color rgb="FF2E75B6"/>
      </left>
      <right style="thin">
        <color rgb="FFBDD7EE"/>
      </right>
      <top style="thin">
        <color rgb="FFBDD7EE"/>
      </top>
      <bottom style="thin">
        <color rgb="FFBDD7EE"/>
      </bottom>
      <diagonal/>
    </border>
    <border>
      <left style="thin">
        <color rgb="FFBDD7EE"/>
      </left>
      <right style="thin">
        <color rgb="FFBDD7EE"/>
      </right>
      <top style="thin">
        <color rgb="FFBDD7EE"/>
      </top>
      <bottom style="thin">
        <color rgb="FFBDD7EE"/>
      </bottom>
      <diagonal/>
    </border>
    <border>
      <left style="thin">
        <color rgb="FFBDD7EE"/>
      </left>
      <right style="thin">
        <color rgb="FF2E75B6"/>
      </right>
      <top style="thin">
        <color rgb="FFBDD7EE"/>
      </top>
      <bottom style="thin">
        <color rgb="FFBDD7EE"/>
      </bottom>
      <diagonal/>
    </border>
    <border>
      <left style="thin">
        <color rgb="FF2E75B6"/>
      </left>
      <right style="thin">
        <color rgb="FFBDD7EE"/>
      </right>
      <top style="thin">
        <color rgb="FFBDD7EE"/>
      </top>
      <bottom style="thin">
        <color rgb="FF2E75B6"/>
      </bottom>
      <diagonal/>
    </border>
    <border>
      <left style="thin">
        <color rgb="FFBDD7EE"/>
      </left>
      <right style="thin">
        <color rgb="FFBDD7EE"/>
      </right>
      <top style="thin">
        <color rgb="FFBDD7EE"/>
      </top>
      <bottom style="thin">
        <color rgb="FF2E75B6"/>
      </bottom>
      <diagonal/>
    </border>
    <border>
      <left style="thin">
        <color rgb="FFBDD7EE"/>
      </left>
      <right style="thin">
        <color rgb="FF2E75B6"/>
      </right>
      <top style="thin">
        <color rgb="FFBDD7EE"/>
      </top>
      <bottom style="thin">
        <color rgb="FF2E75B6"/>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bottom style="medium">
        <color rgb="FFD4AF37"/>
      </bottom>
      <diagonal/>
    </border>
    <border>
      <left/>
      <right/>
      <top/>
      <bottom style="thin">
        <color indexed="64"/>
      </bottom>
      <diagonal/>
    </border>
    <border>
      <left style="thin">
        <color rgb="FFBFBFBF"/>
      </left>
      <right style="thin">
        <color rgb="FFBFBFBF"/>
      </right>
      <top style="thin">
        <color rgb="FFBFBFBF"/>
      </top>
      <bottom style="thin">
        <color rgb="FFBFBFBF"/>
      </bottom>
      <diagonal/>
    </border>
  </borders>
  <cellStyleXfs count="4">
    <xf numFmtId="0" fontId="0" fillId="0" borderId="0"/>
    <xf numFmtId="0" fontId="18" fillId="0" borderId="0"/>
    <xf numFmtId="0" fontId="2" fillId="0" borderId="0">
      <alignment vertical="center"/>
    </xf>
    <xf numFmtId="38" fontId="116" fillId="0" borderId="0">
      <alignment vertical="center"/>
    </xf>
  </cellStyleXfs>
  <cellXfs count="694">
    <xf numFmtId="0" fontId="0" fillId="0" borderId="0" xfId="0"/>
    <xf numFmtId="0" fontId="0" fillId="0" borderId="0" xfId="0" applyProtection="1">
      <protection locked="0"/>
    </xf>
    <xf numFmtId="3" fontId="0" fillId="0" borderId="0" xfId="0" applyNumberFormat="1" applyProtection="1">
      <protection locked="0"/>
    </xf>
    <xf numFmtId="4" fontId="0" fillId="0" borderId="0" xfId="0" applyNumberFormat="1" applyProtection="1">
      <protection locked="0"/>
    </xf>
    <xf numFmtId="0" fontId="21" fillId="0" borderId="0" xfId="0" applyFont="1" applyProtection="1">
      <protection locked="0"/>
    </xf>
    <xf numFmtId="176" fontId="55" fillId="0" borderId="3" xfId="0" applyNumberFormat="1" applyFont="1" applyBorder="1" applyProtection="1">
      <protection locked="0"/>
    </xf>
    <xf numFmtId="177" fontId="23" fillId="7" borderId="3" xfId="0" applyNumberFormat="1" applyFont="1" applyFill="1" applyBorder="1" applyAlignment="1" applyProtection="1">
      <alignment horizontal="right" vertical="center"/>
      <protection locked="0"/>
    </xf>
    <xf numFmtId="178" fontId="23" fillId="19" borderId="3" xfId="0" applyNumberFormat="1" applyFont="1" applyFill="1" applyBorder="1" applyAlignment="1" applyProtection="1">
      <alignment horizontal="right" vertical="center"/>
      <protection locked="0"/>
    </xf>
    <xf numFmtId="177" fontId="23" fillId="5" borderId="3" xfId="0" applyNumberFormat="1" applyFont="1" applyFill="1" applyBorder="1" applyAlignment="1" applyProtection="1">
      <alignment horizontal="right" vertical="center"/>
      <protection locked="0"/>
    </xf>
    <xf numFmtId="3" fontId="31" fillId="17" borderId="0" xfId="0" applyNumberFormat="1" applyFont="1" applyFill="1" applyAlignment="1" applyProtection="1">
      <alignment horizontal="right" vertical="center" wrapText="1"/>
      <protection locked="0"/>
    </xf>
    <xf numFmtId="3" fontId="24" fillId="5" borderId="0" xfId="0" applyNumberFormat="1" applyFont="1" applyFill="1" applyAlignment="1" applyProtection="1">
      <alignment horizontal="right" vertical="center"/>
      <protection locked="0"/>
    </xf>
    <xf numFmtId="3" fontId="30" fillId="0" borderId="0" xfId="0" applyNumberFormat="1" applyFont="1" applyAlignment="1" applyProtection="1">
      <alignment horizontal="right" vertical="center" wrapText="1"/>
      <protection locked="0"/>
    </xf>
    <xf numFmtId="3" fontId="42" fillId="0" borderId="0" xfId="0" applyNumberFormat="1" applyFont="1" applyAlignment="1" applyProtection="1">
      <alignment horizontal="center" vertical="center"/>
      <protection locked="0"/>
    </xf>
    <xf numFmtId="3" fontId="24" fillId="0" borderId="0" xfId="0" applyNumberFormat="1" applyFont="1" applyAlignment="1" applyProtection="1">
      <alignment horizontal="right" vertical="center"/>
      <protection locked="0"/>
    </xf>
    <xf numFmtId="3" fontId="39" fillId="0" borderId="0" xfId="0" applyNumberFormat="1" applyFont="1" applyAlignment="1" applyProtection="1">
      <alignment horizontal="right" vertical="center" wrapText="1"/>
      <protection locked="0"/>
    </xf>
    <xf numFmtId="179" fontId="23" fillId="0" borderId="3" xfId="0" applyNumberFormat="1" applyFont="1" applyBorder="1" applyAlignment="1" applyProtection="1">
      <alignment horizontal="right" vertical="center"/>
      <protection locked="0"/>
    </xf>
    <xf numFmtId="180" fontId="0" fillId="0" borderId="0" xfId="0" applyNumberFormat="1" applyProtection="1">
      <protection locked="0"/>
    </xf>
    <xf numFmtId="0" fontId="12" fillId="5" borderId="0" xfId="0" applyFont="1" applyFill="1" applyAlignment="1" applyProtection="1">
      <alignment horizontal="left" vertical="center"/>
      <protection locked="0"/>
    </xf>
    <xf numFmtId="3" fontId="15" fillId="19" borderId="0" xfId="0" applyNumberFormat="1" applyFont="1" applyFill="1" applyAlignment="1" applyProtection="1">
      <alignment horizontal="right" vertical="center"/>
      <protection locked="0"/>
    </xf>
    <xf numFmtId="177" fontId="12" fillId="5" borderId="0" xfId="0" applyNumberFormat="1" applyFont="1" applyFill="1" applyAlignment="1" applyProtection="1">
      <alignment horizontal="right" vertical="center"/>
      <protection locked="0"/>
    </xf>
    <xf numFmtId="3" fontId="13" fillId="5" borderId="0" xfId="0" applyNumberFormat="1" applyFont="1" applyFill="1" applyAlignment="1" applyProtection="1">
      <alignment horizontal="right" vertical="center"/>
      <protection locked="0"/>
    </xf>
    <xf numFmtId="3" fontId="31" fillId="0" borderId="0" xfId="0" applyNumberFormat="1" applyFont="1" applyAlignment="1" applyProtection="1">
      <alignment horizontal="right" vertical="center" wrapText="1"/>
      <protection locked="0"/>
    </xf>
    <xf numFmtId="3" fontId="13" fillId="0" borderId="0" xfId="0" applyNumberFormat="1" applyFont="1" applyAlignment="1" applyProtection="1">
      <alignment horizontal="right" vertical="center"/>
      <protection locked="0"/>
    </xf>
    <xf numFmtId="3" fontId="32" fillId="0" borderId="0" xfId="0" applyNumberFormat="1" applyFont="1" applyAlignment="1" applyProtection="1">
      <alignment horizontal="right" vertical="center" wrapText="1"/>
      <protection locked="0"/>
    </xf>
    <xf numFmtId="179" fontId="15" fillId="19" borderId="0" xfId="0" applyNumberFormat="1" applyFont="1" applyFill="1" applyAlignment="1" applyProtection="1">
      <alignment horizontal="right" vertical="center"/>
      <protection locked="0"/>
    </xf>
    <xf numFmtId="180" fontId="43" fillId="0" borderId="0" xfId="0" applyNumberFormat="1" applyFont="1" applyProtection="1">
      <protection locked="0"/>
    </xf>
    <xf numFmtId="179" fontId="15" fillId="0" borderId="0" xfId="0" applyNumberFormat="1" applyFont="1" applyAlignment="1" applyProtection="1">
      <alignment horizontal="right" vertical="center"/>
      <protection locked="0"/>
    </xf>
    <xf numFmtId="176" fontId="14" fillId="5" borderId="1" xfId="0" applyNumberFormat="1" applyFont="1" applyFill="1" applyBorder="1" applyAlignment="1" applyProtection="1">
      <alignment horizontal="center" vertical="center"/>
      <protection locked="0"/>
    </xf>
    <xf numFmtId="0" fontId="48" fillId="5" borderId="1" xfId="0" applyFont="1" applyFill="1" applyBorder="1" applyAlignment="1" applyProtection="1">
      <alignment horizontal="left" vertical="center"/>
      <protection locked="0"/>
    </xf>
    <xf numFmtId="0" fontId="47" fillId="19" borderId="0" xfId="0" applyFont="1" applyFill="1" applyProtection="1">
      <protection locked="0"/>
    </xf>
    <xf numFmtId="177" fontId="48" fillId="5" borderId="1" xfId="0" applyNumberFormat="1" applyFont="1" applyFill="1" applyBorder="1" applyAlignment="1" applyProtection="1">
      <alignment horizontal="right" vertical="center"/>
      <protection locked="0"/>
    </xf>
    <xf numFmtId="3" fontId="45" fillId="0" borderId="7" xfId="0" applyNumberFormat="1" applyFont="1" applyBorder="1" applyAlignment="1" applyProtection="1">
      <alignment horizontal="right" vertical="center" wrapText="1"/>
      <protection locked="0"/>
    </xf>
    <xf numFmtId="3" fontId="46" fillId="0" borderId="2" xfId="0" applyNumberFormat="1" applyFont="1" applyBorder="1" applyAlignment="1" applyProtection="1">
      <alignment horizontal="right" vertical="center"/>
      <protection locked="0"/>
    </xf>
    <xf numFmtId="3" fontId="13" fillId="0" borderId="2" xfId="0" applyNumberFormat="1" applyFont="1" applyBorder="1" applyAlignment="1" applyProtection="1">
      <alignment horizontal="right" vertical="center"/>
      <protection locked="0"/>
    </xf>
    <xf numFmtId="0" fontId="47" fillId="0" borderId="0" xfId="0" applyFont="1" applyProtection="1">
      <protection locked="0"/>
    </xf>
    <xf numFmtId="3" fontId="45" fillId="0" borderId="0" xfId="0" applyNumberFormat="1" applyFont="1" applyAlignment="1" applyProtection="1">
      <alignment horizontal="right" vertical="center" wrapText="1"/>
      <protection locked="0"/>
    </xf>
    <xf numFmtId="3" fontId="46" fillId="0" borderId="0" xfId="0" applyNumberFormat="1" applyFont="1" applyAlignment="1" applyProtection="1">
      <alignment horizontal="right" vertical="center"/>
      <protection locked="0"/>
    </xf>
    <xf numFmtId="3" fontId="46" fillId="0" borderId="6" xfId="0" applyNumberFormat="1" applyFont="1" applyBorder="1" applyAlignment="1" applyProtection="1">
      <alignment horizontal="right" vertical="center"/>
      <protection locked="0"/>
    </xf>
    <xf numFmtId="3" fontId="47" fillId="0" borderId="0" xfId="0" applyNumberFormat="1" applyFont="1" applyAlignment="1" applyProtection="1">
      <alignment horizontal="right" vertical="center" wrapText="1"/>
      <protection locked="0"/>
    </xf>
    <xf numFmtId="3" fontId="46" fillId="0" borderId="5" xfId="0" applyNumberFormat="1" applyFont="1" applyBorder="1" applyAlignment="1" applyProtection="1">
      <alignment horizontal="right" vertical="center"/>
      <protection locked="0"/>
    </xf>
    <xf numFmtId="179" fontId="47" fillId="19" borderId="0" xfId="0" applyNumberFormat="1" applyFont="1" applyFill="1" applyProtection="1">
      <protection locked="0"/>
    </xf>
    <xf numFmtId="180" fontId="47" fillId="0" borderId="0" xfId="0" applyNumberFormat="1" applyFont="1" applyProtection="1">
      <protection locked="0"/>
    </xf>
    <xf numFmtId="179" fontId="47" fillId="0" borderId="0" xfId="0" applyNumberFormat="1" applyFont="1" applyProtection="1">
      <protection locked="0"/>
    </xf>
    <xf numFmtId="3" fontId="46" fillId="5" borderId="2" xfId="0" applyNumberFormat="1" applyFont="1" applyFill="1" applyBorder="1" applyAlignment="1" applyProtection="1">
      <alignment horizontal="right" vertical="center"/>
      <protection locked="0"/>
    </xf>
    <xf numFmtId="0" fontId="12" fillId="5" borderId="1" xfId="0" applyFont="1" applyFill="1" applyBorder="1" applyAlignment="1" applyProtection="1">
      <alignment horizontal="left" vertical="center"/>
      <protection locked="0"/>
    </xf>
    <xf numFmtId="3" fontId="15" fillId="19" borderId="1" xfId="0" applyNumberFormat="1" applyFont="1" applyFill="1" applyBorder="1" applyAlignment="1" applyProtection="1">
      <alignment horizontal="right" vertical="center"/>
      <protection locked="0"/>
    </xf>
    <xf numFmtId="177" fontId="12" fillId="5" borderId="8" xfId="0" applyNumberFormat="1" applyFont="1" applyFill="1" applyBorder="1" applyAlignment="1" applyProtection="1">
      <alignment horizontal="right" vertical="center"/>
      <protection locked="0"/>
    </xf>
    <xf numFmtId="179" fontId="15" fillId="19" borderId="1" xfId="0" applyNumberFormat="1" applyFont="1" applyFill="1" applyBorder="1" applyAlignment="1" applyProtection="1">
      <alignment horizontal="right" vertical="center"/>
      <protection locked="0"/>
    </xf>
    <xf numFmtId="179" fontId="15" fillId="0" borderId="1" xfId="0" applyNumberFormat="1" applyFont="1" applyBorder="1" applyAlignment="1" applyProtection="1">
      <alignment horizontal="right" vertical="center"/>
      <protection locked="0"/>
    </xf>
    <xf numFmtId="0" fontId="27" fillId="5" borderId="0" xfId="0" applyFont="1" applyFill="1" applyAlignment="1" applyProtection="1">
      <alignment horizontal="left" vertical="center"/>
      <protection locked="0"/>
    </xf>
    <xf numFmtId="3" fontId="6" fillId="19" borderId="0" xfId="0" applyNumberFormat="1" applyFont="1" applyFill="1" applyAlignment="1" applyProtection="1">
      <alignment horizontal="right" vertical="center"/>
      <protection locked="0"/>
    </xf>
    <xf numFmtId="3" fontId="13" fillId="5" borderId="2" xfId="0" applyNumberFormat="1" applyFont="1" applyFill="1" applyBorder="1" applyAlignment="1" applyProtection="1">
      <alignment horizontal="right" vertical="center"/>
      <protection locked="0"/>
    </xf>
    <xf numFmtId="3" fontId="31" fillId="17" borderId="7" xfId="0" applyNumberFormat="1" applyFont="1" applyFill="1" applyBorder="1" applyAlignment="1" applyProtection="1">
      <alignment horizontal="right" vertical="center" wrapText="1"/>
      <protection locked="0"/>
    </xf>
    <xf numFmtId="3" fontId="6" fillId="0" borderId="0" xfId="0" applyNumberFormat="1" applyFont="1" applyAlignment="1" applyProtection="1">
      <alignment horizontal="right" vertical="center"/>
      <protection locked="0"/>
    </xf>
    <xf numFmtId="3" fontId="11" fillId="0" borderId="0" xfId="0" applyNumberFormat="1" applyFont="1" applyAlignment="1" applyProtection="1">
      <alignment horizontal="right" vertical="center"/>
      <protection locked="0"/>
    </xf>
    <xf numFmtId="3" fontId="40" fillId="0" borderId="0" xfId="0" applyNumberFormat="1" applyFont="1" applyAlignment="1" applyProtection="1">
      <alignment horizontal="right" vertical="center" wrapText="1"/>
      <protection locked="0"/>
    </xf>
    <xf numFmtId="3" fontId="41" fillId="0" borderId="0" xfId="0" applyNumberFormat="1" applyFont="1" applyAlignment="1" applyProtection="1">
      <alignment horizontal="right" vertical="center" wrapText="1"/>
      <protection locked="0"/>
    </xf>
    <xf numFmtId="179" fontId="0" fillId="0" borderId="0" xfId="0" applyNumberFormat="1" applyProtection="1">
      <protection locked="0"/>
    </xf>
    <xf numFmtId="179" fontId="21" fillId="0" borderId="0" xfId="0" applyNumberFormat="1" applyFont="1" applyProtection="1">
      <protection locked="0"/>
    </xf>
    <xf numFmtId="180" fontId="21" fillId="0" borderId="0" xfId="0" applyNumberFormat="1" applyFont="1" applyProtection="1">
      <protection locked="0"/>
    </xf>
    <xf numFmtId="49" fontId="52" fillId="0" borderId="16"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protection locked="0"/>
    </xf>
    <xf numFmtId="49" fontId="52" fillId="0" borderId="21" xfId="0" applyNumberFormat="1" applyFont="1" applyBorder="1" applyAlignment="1" applyProtection="1">
      <alignment horizontal="center"/>
      <protection locked="0"/>
    </xf>
    <xf numFmtId="49" fontId="44" fillId="0" borderId="3" xfId="0" applyNumberFormat="1" applyFont="1" applyBorder="1" applyProtection="1">
      <protection locked="0"/>
    </xf>
    <xf numFmtId="49" fontId="44" fillId="0" borderId="0" xfId="0" applyNumberFormat="1" applyFont="1" applyProtection="1">
      <protection locked="0"/>
    </xf>
    <xf numFmtId="49" fontId="21" fillId="0" borderId="0" xfId="0" applyNumberFormat="1" applyFont="1" applyProtection="1">
      <protection locked="0"/>
    </xf>
    <xf numFmtId="49" fontId="0" fillId="0" borderId="0" xfId="0" applyNumberFormat="1" applyProtection="1">
      <protection locked="0"/>
    </xf>
    <xf numFmtId="49" fontId="14" fillId="5" borderId="1" xfId="0" applyNumberFormat="1" applyFont="1" applyFill="1" applyBorder="1" applyAlignment="1" applyProtection="1">
      <alignment horizontal="center" vertical="center"/>
      <protection locked="0"/>
    </xf>
    <xf numFmtId="14" fontId="0" fillId="0" borderId="0" xfId="0" applyNumberFormat="1" applyProtection="1">
      <protection locked="0"/>
    </xf>
    <xf numFmtId="3" fontId="21" fillId="0" borderId="0" xfId="0" applyNumberFormat="1" applyFont="1" applyProtection="1">
      <protection locked="0"/>
    </xf>
    <xf numFmtId="181" fontId="0" fillId="0" borderId="0" xfId="0" applyNumberFormat="1" applyProtection="1">
      <protection locked="0"/>
    </xf>
    <xf numFmtId="3" fontId="47" fillId="0" borderId="0" xfId="0" applyNumberFormat="1" applyFont="1" applyProtection="1">
      <protection locked="0"/>
    </xf>
    <xf numFmtId="182" fontId="56" fillId="0" borderId="0" xfId="0" applyNumberFormat="1" applyFont="1" applyAlignment="1" applyProtection="1">
      <alignment horizontal="right" vertical="center"/>
      <protection locked="0"/>
    </xf>
    <xf numFmtId="182" fontId="13" fillId="0" borderId="0" xfId="0" applyNumberFormat="1" applyFont="1" applyAlignment="1" applyProtection="1">
      <alignment horizontal="right" vertical="center"/>
      <protection locked="0"/>
    </xf>
    <xf numFmtId="182" fontId="0" fillId="0" borderId="0" xfId="0" applyNumberFormat="1" applyProtection="1">
      <protection locked="0"/>
    </xf>
    <xf numFmtId="3" fontId="56" fillId="0" borderId="0" xfId="0" applyNumberFormat="1" applyFont="1" applyAlignment="1" applyProtection="1">
      <alignment horizontal="right" vertical="center"/>
      <protection locked="0"/>
    </xf>
    <xf numFmtId="49" fontId="65" fillId="0" borderId="0" xfId="0" applyNumberFormat="1" applyFont="1" applyProtection="1">
      <protection locked="0"/>
    </xf>
    <xf numFmtId="49" fontId="64" fillId="0" borderId="0" xfId="0" applyNumberFormat="1" applyFont="1" applyProtection="1">
      <protection locked="0"/>
    </xf>
    <xf numFmtId="0" fontId="64" fillId="0" borderId="0" xfId="0" applyFont="1" applyProtection="1">
      <protection locked="0"/>
    </xf>
    <xf numFmtId="176" fontId="66" fillId="5" borderId="0" xfId="0" applyNumberFormat="1" applyFont="1" applyFill="1" applyAlignment="1" applyProtection="1">
      <alignment horizontal="center" vertical="center"/>
      <protection locked="0"/>
    </xf>
    <xf numFmtId="49" fontId="66" fillId="5" borderId="0" xfId="0" applyNumberFormat="1" applyFont="1" applyFill="1" applyAlignment="1" applyProtection="1">
      <alignment horizontal="center" vertical="center"/>
      <protection locked="0"/>
    </xf>
    <xf numFmtId="49" fontId="67" fillId="0" borderId="0" xfId="0" applyNumberFormat="1" applyFont="1" applyAlignment="1" applyProtection="1">
      <alignment horizontal="center" vertical="center"/>
      <protection locked="0"/>
    </xf>
    <xf numFmtId="0" fontId="69" fillId="0" borderId="0" xfId="0" applyFont="1" applyProtection="1">
      <protection locked="0"/>
    </xf>
    <xf numFmtId="3" fontId="69" fillId="0" borderId="0" xfId="0" applyNumberFormat="1" applyFont="1" applyProtection="1">
      <protection locked="0"/>
    </xf>
    <xf numFmtId="180" fontId="69" fillId="0" borderId="0" xfId="0" applyNumberFormat="1" applyFont="1" applyProtection="1">
      <protection locked="0"/>
    </xf>
    <xf numFmtId="0" fontId="0" fillId="20" borderId="0" xfId="0" applyFill="1" applyProtection="1">
      <protection locked="0"/>
    </xf>
    <xf numFmtId="0" fontId="64" fillId="11" borderId="0" xfId="0" applyFont="1" applyFill="1" applyProtection="1">
      <protection locked="0"/>
    </xf>
    <xf numFmtId="0" fontId="0" fillId="11" borderId="0" xfId="0" applyFill="1" applyProtection="1">
      <protection locked="0"/>
    </xf>
    <xf numFmtId="0" fontId="64" fillId="0" borderId="3" xfId="0" applyFont="1" applyBorder="1" applyProtection="1">
      <protection locked="0"/>
    </xf>
    <xf numFmtId="0" fontId="33" fillId="2" borderId="4" xfId="0" applyFont="1" applyFill="1" applyBorder="1" applyAlignment="1" applyProtection="1">
      <alignment horizontal="center" vertical="center"/>
      <protection locked="0"/>
    </xf>
    <xf numFmtId="0" fontId="5" fillId="2" borderId="4" xfId="0" applyFont="1" applyFill="1" applyBorder="1" applyAlignment="1" applyProtection="1">
      <alignment horizontal="center" vertical="center"/>
      <protection locked="0"/>
    </xf>
    <xf numFmtId="0" fontId="64" fillId="5" borderId="4" xfId="0" applyFont="1" applyFill="1" applyBorder="1" applyProtection="1">
      <protection locked="0"/>
    </xf>
    <xf numFmtId="0" fontId="34" fillId="18" borderId="4" xfId="0" applyFont="1" applyFill="1" applyBorder="1" applyProtection="1">
      <protection locked="0"/>
    </xf>
    <xf numFmtId="0" fontId="50" fillId="18" borderId="4" xfId="0" applyFont="1" applyFill="1" applyBorder="1" applyAlignment="1" applyProtection="1">
      <alignment horizontal="center"/>
      <protection locked="0"/>
    </xf>
    <xf numFmtId="0" fontId="38" fillId="18" borderId="13" xfId="0" applyFont="1" applyFill="1" applyBorder="1" applyProtection="1">
      <protection locked="0"/>
    </xf>
    <xf numFmtId="0" fontId="38" fillId="20" borderId="3" xfId="0" applyFont="1" applyFill="1" applyBorder="1" applyProtection="1">
      <protection locked="0"/>
    </xf>
    <xf numFmtId="0" fontId="63" fillId="0" borderId="15" xfId="0" applyFont="1" applyBorder="1" applyAlignment="1" applyProtection="1">
      <alignment horizontal="center"/>
      <protection locked="0"/>
    </xf>
    <xf numFmtId="0" fontId="53" fillId="0" borderId="16" xfId="0" applyFont="1" applyBorder="1" applyAlignment="1" applyProtection="1">
      <alignment horizontal="left" vertical="center"/>
      <protection locked="0"/>
    </xf>
    <xf numFmtId="0" fontId="51" fillId="0" borderId="19" xfId="0" applyFont="1" applyBorder="1" applyAlignment="1" applyProtection="1">
      <alignment horizontal="center"/>
      <protection locked="0"/>
    </xf>
    <xf numFmtId="0" fontId="0" fillId="15" borderId="0" xfId="0" applyFill="1" applyProtection="1">
      <protection locked="0"/>
    </xf>
    <xf numFmtId="0" fontId="63" fillId="0" borderId="17" xfId="0" applyFont="1" applyBorder="1" applyAlignment="1" applyProtection="1">
      <alignment horizontal="center"/>
      <protection locked="0"/>
    </xf>
    <xf numFmtId="0" fontId="25" fillId="15" borderId="0" xfId="0" applyFont="1" applyFill="1" applyProtection="1">
      <protection locked="0"/>
    </xf>
    <xf numFmtId="0" fontId="51" fillId="0" borderId="19" xfId="1" applyFont="1" applyBorder="1" applyAlignment="1" applyProtection="1">
      <alignment horizontal="center"/>
      <protection locked="0"/>
    </xf>
    <xf numFmtId="0" fontId="63" fillId="0" borderId="20" xfId="0" applyFont="1" applyBorder="1" applyAlignment="1" applyProtection="1">
      <alignment horizontal="center"/>
      <protection locked="0"/>
    </xf>
    <xf numFmtId="0" fontId="51" fillId="0" borderId="22" xfId="0" applyFont="1" applyBorder="1" applyAlignment="1" applyProtection="1">
      <alignment horizontal="center"/>
      <protection locked="0"/>
    </xf>
    <xf numFmtId="0" fontId="29" fillId="0" borderId="3" xfId="0" applyFont="1" applyBorder="1" applyAlignment="1" applyProtection="1">
      <alignment horizontal="left" vertical="center"/>
      <protection locked="0"/>
    </xf>
    <xf numFmtId="0" fontId="5" fillId="23" borderId="23" xfId="0" applyFont="1" applyFill="1" applyBorder="1" applyAlignment="1" applyProtection="1">
      <alignment horizontal="center" vertical="center" wrapText="1"/>
      <protection locked="0"/>
    </xf>
    <xf numFmtId="0" fontId="5" fillId="24" borderId="23" xfId="0" applyFont="1" applyFill="1" applyBorder="1" applyAlignment="1" applyProtection="1">
      <alignment horizontal="center" vertical="center" wrapText="1"/>
      <protection locked="0"/>
    </xf>
    <xf numFmtId="0" fontId="5" fillId="21" borderId="23" xfId="0" applyFont="1" applyFill="1" applyBorder="1" applyAlignment="1" applyProtection="1">
      <alignment horizontal="center" vertical="center" wrapText="1"/>
      <protection locked="0"/>
    </xf>
    <xf numFmtId="0" fontId="5" fillId="25" borderId="23" xfId="0" applyFont="1" applyFill="1" applyBorder="1" applyAlignment="1" applyProtection="1">
      <alignment horizontal="center" vertical="center" wrapText="1"/>
      <protection locked="0"/>
    </xf>
    <xf numFmtId="0" fontId="5" fillId="26" borderId="23" xfId="0" applyFont="1" applyFill="1" applyBorder="1" applyAlignment="1" applyProtection="1">
      <alignment horizontal="center" vertical="center" wrapText="1"/>
      <protection locked="0"/>
    </xf>
    <xf numFmtId="0" fontId="5" fillId="27" borderId="23" xfId="0" applyFont="1" applyFill="1" applyBorder="1" applyAlignment="1" applyProtection="1">
      <alignment horizontal="center" vertical="center" wrapText="1"/>
      <protection locked="0"/>
    </xf>
    <xf numFmtId="0" fontId="5" fillId="28" borderId="23" xfId="0" applyFont="1" applyFill="1" applyBorder="1" applyAlignment="1" applyProtection="1">
      <alignment horizontal="center" vertical="center" wrapText="1"/>
      <protection locked="0"/>
    </xf>
    <xf numFmtId="0" fontId="5" fillId="28" borderId="24" xfId="0" applyFont="1" applyFill="1" applyBorder="1" applyAlignment="1" applyProtection="1">
      <alignment horizontal="center" vertical="center" wrapText="1"/>
      <protection locked="0"/>
    </xf>
    <xf numFmtId="0" fontId="5" fillId="29" borderId="27" xfId="0" applyFont="1" applyFill="1" applyBorder="1" applyAlignment="1" applyProtection="1">
      <alignment horizontal="center" vertical="center" wrapText="1"/>
      <protection locked="0"/>
    </xf>
    <xf numFmtId="0" fontId="49" fillId="30" borderId="25" xfId="0" applyFont="1" applyFill="1" applyBorder="1" applyAlignment="1" applyProtection="1">
      <alignment horizontal="center" vertical="center" wrapText="1"/>
      <protection locked="0"/>
    </xf>
    <xf numFmtId="0" fontId="58" fillId="32" borderId="23" xfId="0" applyFont="1" applyFill="1" applyBorder="1" applyAlignment="1" applyProtection="1">
      <alignment horizontal="center"/>
      <protection locked="0"/>
    </xf>
    <xf numFmtId="0" fontId="59" fillId="32" borderId="23" xfId="0" applyFont="1" applyFill="1" applyBorder="1" applyAlignment="1" applyProtection="1">
      <alignment horizontal="center"/>
      <protection locked="0"/>
    </xf>
    <xf numFmtId="176" fontId="5" fillId="32" borderId="23" xfId="0" applyNumberFormat="1" applyFont="1" applyFill="1" applyBorder="1" applyAlignment="1" applyProtection="1">
      <alignment horizontal="center"/>
      <protection locked="0"/>
    </xf>
    <xf numFmtId="0" fontId="5" fillId="32" borderId="23" xfId="0" applyFont="1" applyFill="1" applyBorder="1" applyProtection="1">
      <protection locked="0"/>
    </xf>
    <xf numFmtId="3" fontId="5" fillId="32" borderId="23" xfId="0" applyNumberFormat="1" applyFont="1" applyFill="1" applyBorder="1" applyProtection="1">
      <protection locked="0"/>
    </xf>
    <xf numFmtId="0" fontId="5" fillId="32" borderId="23" xfId="0" applyFont="1" applyFill="1" applyBorder="1" applyAlignment="1" applyProtection="1">
      <alignment horizontal="center"/>
      <protection locked="0"/>
    </xf>
    <xf numFmtId="185" fontId="5" fillId="32" borderId="23" xfId="0" applyNumberFormat="1" applyFont="1" applyFill="1" applyBorder="1" applyAlignment="1" applyProtection="1">
      <alignment horizontal="center"/>
      <protection locked="0"/>
    </xf>
    <xf numFmtId="2" fontId="5" fillId="32" borderId="23" xfId="0" applyNumberFormat="1" applyFont="1" applyFill="1" applyBorder="1" applyProtection="1">
      <protection locked="0"/>
    </xf>
    <xf numFmtId="186" fontId="5" fillId="32" borderId="23" xfId="0" applyNumberFormat="1" applyFont="1" applyFill="1" applyBorder="1" applyProtection="1">
      <protection locked="0"/>
    </xf>
    <xf numFmtId="187" fontId="5" fillId="32" borderId="23" xfId="0" applyNumberFormat="1" applyFont="1" applyFill="1" applyBorder="1" applyProtection="1">
      <protection locked="0"/>
    </xf>
    <xf numFmtId="178" fontId="5" fillId="32" borderId="23" xfId="0" applyNumberFormat="1" applyFont="1" applyFill="1" applyBorder="1" applyProtection="1">
      <protection locked="0"/>
    </xf>
    <xf numFmtId="0" fontId="5" fillId="32" borderId="24" xfId="0" applyFont="1" applyFill="1" applyBorder="1" applyAlignment="1" applyProtection="1">
      <alignment horizontal="center"/>
      <protection locked="0"/>
    </xf>
    <xf numFmtId="0" fontId="5" fillId="32" borderId="28" xfId="0" applyFont="1" applyFill="1" applyBorder="1" applyAlignment="1" applyProtection="1">
      <alignment horizontal="center"/>
      <protection locked="0"/>
    </xf>
    <xf numFmtId="0" fontId="5" fillId="32" borderId="26" xfId="0" applyFont="1" applyFill="1" applyBorder="1" applyAlignment="1" applyProtection="1">
      <alignment horizontal="center"/>
      <protection locked="0"/>
    </xf>
    <xf numFmtId="0" fontId="60" fillId="31" borderId="23" xfId="0" applyFont="1" applyFill="1" applyBorder="1" applyAlignment="1" applyProtection="1">
      <alignment horizontal="center"/>
      <protection locked="0"/>
    </xf>
    <xf numFmtId="0" fontId="61" fillId="31" borderId="23" xfId="0" applyFont="1" applyFill="1" applyBorder="1" applyAlignment="1" applyProtection="1">
      <alignment horizontal="center"/>
      <protection locked="0"/>
    </xf>
    <xf numFmtId="176" fontId="60" fillId="31" borderId="23" xfId="0" applyNumberFormat="1" applyFont="1" applyFill="1" applyBorder="1" applyAlignment="1" applyProtection="1">
      <alignment horizontal="center"/>
      <protection locked="0"/>
    </xf>
    <xf numFmtId="0" fontId="60" fillId="31" borderId="23" xfId="0" applyFont="1" applyFill="1" applyBorder="1" applyProtection="1">
      <protection locked="0"/>
    </xf>
    <xf numFmtId="3" fontId="62" fillId="31" borderId="23" xfId="0" applyNumberFormat="1" applyFont="1" applyFill="1" applyBorder="1" applyProtection="1">
      <protection locked="0"/>
    </xf>
    <xf numFmtId="3" fontId="60" fillId="31" borderId="23" xfId="0" applyNumberFormat="1" applyFont="1" applyFill="1" applyBorder="1" applyProtection="1">
      <protection locked="0"/>
    </xf>
    <xf numFmtId="185" fontId="60" fillId="31" borderId="23" xfId="0" applyNumberFormat="1" applyFont="1" applyFill="1" applyBorder="1" applyAlignment="1" applyProtection="1">
      <alignment horizontal="center"/>
      <protection locked="0"/>
    </xf>
    <xf numFmtId="2" fontId="60" fillId="31" borderId="23" xfId="0" applyNumberFormat="1" applyFont="1" applyFill="1" applyBorder="1" applyProtection="1">
      <protection locked="0"/>
    </xf>
    <xf numFmtId="186" fontId="60" fillId="31" borderId="23" xfId="0" applyNumberFormat="1" applyFont="1" applyFill="1" applyBorder="1" applyProtection="1">
      <protection locked="0"/>
    </xf>
    <xf numFmtId="187" fontId="60" fillId="31" borderId="23" xfId="0" applyNumberFormat="1" applyFont="1" applyFill="1" applyBorder="1" applyProtection="1">
      <protection locked="0"/>
    </xf>
    <xf numFmtId="178" fontId="60" fillId="31" borderId="23" xfId="0" applyNumberFormat="1" applyFont="1" applyFill="1" applyBorder="1" applyProtection="1">
      <protection locked="0"/>
    </xf>
    <xf numFmtId="0" fontId="62" fillId="31" borderId="23" xfId="0" applyFont="1" applyFill="1" applyBorder="1" applyAlignment="1" applyProtection="1">
      <alignment horizontal="center"/>
      <protection locked="0"/>
    </xf>
    <xf numFmtId="0" fontId="62" fillId="31" borderId="24" xfId="0" applyFont="1" applyFill="1" applyBorder="1" applyAlignment="1" applyProtection="1">
      <alignment horizontal="center"/>
      <protection locked="0"/>
    </xf>
    <xf numFmtId="0" fontId="62" fillId="31" borderId="28" xfId="0" applyFont="1" applyFill="1" applyBorder="1" applyAlignment="1" applyProtection="1">
      <alignment horizontal="center"/>
      <protection locked="0"/>
    </xf>
    <xf numFmtId="0" fontId="62" fillId="17" borderId="26" xfId="0" applyFont="1" applyFill="1" applyBorder="1" applyAlignment="1" applyProtection="1">
      <alignment horizontal="center"/>
      <protection locked="0"/>
    </xf>
    <xf numFmtId="0" fontId="60" fillId="0" borderId="23" xfId="0" applyFont="1" applyBorder="1" applyAlignment="1" applyProtection="1">
      <alignment horizontal="center"/>
      <protection locked="0"/>
    </xf>
    <xf numFmtId="0" fontId="61" fillId="0" borderId="23" xfId="0" applyFont="1" applyBorder="1" applyAlignment="1" applyProtection="1">
      <alignment horizontal="center"/>
      <protection locked="0"/>
    </xf>
    <xf numFmtId="176" fontId="60" fillId="0" borderId="23" xfId="0" applyNumberFormat="1" applyFont="1" applyBorder="1" applyAlignment="1" applyProtection="1">
      <alignment horizontal="center"/>
      <protection locked="0"/>
    </xf>
    <xf numFmtId="0" fontId="60" fillId="0" borderId="23" xfId="0" applyFont="1" applyBorder="1" applyProtection="1">
      <protection locked="0"/>
    </xf>
    <xf numFmtId="3" fontId="62" fillId="0" borderId="23" xfId="0" applyNumberFormat="1" applyFont="1" applyBorder="1" applyProtection="1">
      <protection locked="0"/>
    </xf>
    <xf numFmtId="3" fontId="60" fillId="0" borderId="23" xfId="0" applyNumberFormat="1" applyFont="1" applyBorder="1" applyProtection="1">
      <protection locked="0"/>
    </xf>
    <xf numFmtId="185" fontId="60" fillId="0" borderId="23" xfId="0" applyNumberFormat="1" applyFont="1" applyBorder="1" applyAlignment="1" applyProtection="1">
      <alignment horizontal="center"/>
      <protection locked="0"/>
    </xf>
    <xf numFmtId="2" fontId="60" fillId="0" borderId="23" xfId="0" applyNumberFormat="1" applyFont="1" applyBorder="1" applyProtection="1">
      <protection locked="0"/>
    </xf>
    <xf numFmtId="186" fontId="60" fillId="0" borderId="23" xfId="0" applyNumberFormat="1" applyFont="1" applyBorder="1" applyProtection="1">
      <protection locked="0"/>
    </xf>
    <xf numFmtId="187" fontId="60" fillId="0" borderId="23" xfId="0" applyNumberFormat="1" applyFont="1" applyBorder="1" applyProtection="1">
      <protection locked="0"/>
    </xf>
    <xf numFmtId="178" fontId="60" fillId="0" borderId="23" xfId="0" applyNumberFormat="1" applyFont="1" applyBorder="1" applyProtection="1">
      <protection locked="0"/>
    </xf>
    <xf numFmtId="0" fontId="62" fillId="0" borderId="23" xfId="0" applyFont="1" applyBorder="1" applyAlignment="1" applyProtection="1">
      <alignment horizontal="center"/>
      <protection locked="0"/>
    </xf>
    <xf numFmtId="0" fontId="62" fillId="0" borderId="24" xfId="0" applyFont="1" applyBorder="1" applyAlignment="1" applyProtection="1">
      <alignment horizontal="center"/>
      <protection locked="0"/>
    </xf>
    <xf numFmtId="0" fontId="62" fillId="0" borderId="28" xfId="0" applyFont="1" applyBorder="1" applyAlignment="1" applyProtection="1">
      <alignment horizontal="center"/>
      <protection locked="0"/>
    </xf>
    <xf numFmtId="0" fontId="20" fillId="0" borderId="0" xfId="0" applyFont="1" applyProtection="1">
      <protection locked="0"/>
    </xf>
    <xf numFmtId="0" fontId="26" fillId="0" borderId="0" xfId="0" applyFont="1" applyProtection="1">
      <protection locked="0"/>
    </xf>
    <xf numFmtId="0" fontId="37" fillId="20" borderId="0" xfId="0" applyFont="1" applyFill="1" applyProtection="1">
      <protection locked="0"/>
    </xf>
    <xf numFmtId="0" fontId="8" fillId="12" borderId="9" xfId="0" applyFont="1" applyFill="1" applyBorder="1" applyAlignment="1" applyProtection="1">
      <alignment horizontal="center" vertical="center" wrapText="1"/>
      <protection locked="0"/>
    </xf>
    <xf numFmtId="0" fontId="8" fillId="12" borderId="10" xfId="0" applyFont="1" applyFill="1" applyBorder="1" applyAlignment="1" applyProtection="1">
      <alignment horizontal="center" vertical="center" wrapText="1"/>
      <protection locked="0"/>
    </xf>
    <xf numFmtId="0" fontId="8" fillId="12" borderId="11" xfId="0" applyFont="1" applyFill="1" applyBorder="1" applyAlignment="1" applyProtection="1">
      <alignment horizontal="center" vertical="center" wrapText="1"/>
      <protection locked="0"/>
    </xf>
    <xf numFmtId="0" fontId="29" fillId="0" borderId="3" xfId="0" applyFont="1" applyBorder="1" applyAlignment="1" applyProtection="1">
      <alignment horizontal="center"/>
      <protection locked="0"/>
    </xf>
    <xf numFmtId="0" fontId="29" fillId="0" borderId="3" xfId="0" applyFont="1" applyBorder="1" applyProtection="1">
      <protection locked="0"/>
    </xf>
    <xf numFmtId="0" fontId="0" fillId="0" borderId="3" xfId="0" applyBorder="1" applyProtection="1">
      <protection locked="0"/>
    </xf>
    <xf numFmtId="3" fontId="29" fillId="0" borderId="3" xfId="0" applyNumberFormat="1" applyFont="1" applyBorder="1" applyProtection="1">
      <protection locked="0"/>
    </xf>
    <xf numFmtId="186" fontId="29" fillId="0" borderId="3" xfId="0" applyNumberFormat="1" applyFont="1" applyBorder="1" applyAlignment="1" applyProtection="1">
      <alignment horizontal="center"/>
      <protection locked="0"/>
    </xf>
    <xf numFmtId="185" fontId="29" fillId="0" borderId="3" xfId="0" applyNumberFormat="1" applyFont="1" applyBorder="1" applyAlignment="1" applyProtection="1">
      <alignment horizontal="center"/>
      <protection locked="0"/>
    </xf>
    <xf numFmtId="178" fontId="29" fillId="0" borderId="3" xfId="0" applyNumberFormat="1" applyFont="1" applyBorder="1" applyAlignment="1" applyProtection="1">
      <alignment horizontal="center"/>
      <protection locked="0"/>
    </xf>
    <xf numFmtId="2" fontId="29" fillId="0" borderId="3" xfId="0" applyNumberFormat="1" applyFont="1" applyBorder="1" applyAlignment="1" applyProtection="1">
      <alignment horizontal="center"/>
      <protection locked="0"/>
    </xf>
    <xf numFmtId="187" fontId="29" fillId="0" borderId="3" xfId="0" applyNumberFormat="1" applyFont="1" applyBorder="1" applyAlignment="1" applyProtection="1">
      <alignment horizontal="center"/>
      <protection locked="0"/>
    </xf>
    <xf numFmtId="3" fontId="35" fillId="0" borderId="3" xfId="0" applyNumberFormat="1" applyFont="1" applyBorder="1" applyProtection="1">
      <protection locked="0"/>
    </xf>
    <xf numFmtId="0" fontId="35" fillId="0" borderId="3" xfId="0" applyFont="1" applyBorder="1" applyAlignment="1" applyProtection="1">
      <alignment horizontal="center"/>
      <protection locked="0"/>
    </xf>
    <xf numFmtId="0" fontId="19" fillId="0" borderId="0" xfId="0" applyFont="1" applyProtection="1">
      <protection locked="0"/>
    </xf>
    <xf numFmtId="0" fontId="8" fillId="9" borderId="1" xfId="0" applyFont="1" applyFill="1" applyBorder="1" applyAlignment="1" applyProtection="1">
      <alignment horizontal="center" vertical="center"/>
      <protection locked="0"/>
    </xf>
    <xf numFmtId="0" fontId="9" fillId="9" borderId="1" xfId="0" applyFont="1" applyFill="1" applyBorder="1" applyAlignment="1" applyProtection="1">
      <alignment horizontal="center" vertical="center"/>
      <protection locked="0"/>
    </xf>
    <xf numFmtId="183" fontId="10" fillId="4" borderId="0" xfId="0" applyNumberFormat="1" applyFont="1" applyFill="1" applyAlignment="1" applyProtection="1">
      <alignment horizontal="center" vertical="center"/>
      <protection locked="0"/>
    </xf>
    <xf numFmtId="183" fontId="11" fillId="4" borderId="0" xfId="0" applyNumberFormat="1" applyFont="1" applyFill="1" applyAlignment="1" applyProtection="1">
      <alignment horizontal="center" vertical="center"/>
      <protection locked="0"/>
    </xf>
    <xf numFmtId="188" fontId="11" fillId="4" borderId="0" xfId="0" applyNumberFormat="1" applyFont="1" applyFill="1" applyAlignment="1" applyProtection="1">
      <alignment horizontal="center" vertical="center"/>
      <protection locked="0"/>
    </xf>
    <xf numFmtId="0" fontId="0" fillId="14" borderId="0" xfId="0" applyFill="1" applyProtection="1">
      <protection locked="0"/>
    </xf>
    <xf numFmtId="0" fontId="8" fillId="6" borderId="1" xfId="0" applyFont="1" applyFill="1" applyBorder="1" applyAlignment="1" applyProtection="1">
      <alignment horizontal="center" vertical="center"/>
      <protection locked="0"/>
    </xf>
    <xf numFmtId="0" fontId="9" fillId="6" borderId="1" xfId="0" applyFont="1" applyFill="1" applyBorder="1" applyAlignment="1" applyProtection="1">
      <alignment horizontal="center" vertical="center"/>
      <protection locked="0"/>
    </xf>
    <xf numFmtId="0" fontId="8" fillId="8" borderId="1" xfId="0" applyFont="1" applyFill="1" applyBorder="1" applyAlignment="1" applyProtection="1">
      <alignment horizontal="center" vertical="center"/>
      <protection locked="0"/>
    </xf>
    <xf numFmtId="0" fontId="9" fillId="8" borderId="1" xfId="0" applyFont="1" applyFill="1" applyBorder="1" applyAlignment="1" applyProtection="1">
      <alignment horizontal="center" vertical="center"/>
      <protection locked="0"/>
    </xf>
    <xf numFmtId="0" fontId="8" fillId="3" borderId="3" xfId="0" applyFont="1" applyFill="1" applyBorder="1" applyAlignment="1" applyProtection="1">
      <alignment horizontal="center" vertical="center"/>
      <protection locked="0"/>
    </xf>
    <xf numFmtId="0" fontId="22" fillId="3" borderId="3" xfId="0" applyFont="1" applyFill="1" applyBorder="1" applyAlignment="1" applyProtection="1">
      <alignment horizontal="center" vertical="center"/>
      <protection locked="0"/>
    </xf>
    <xf numFmtId="0" fontId="10" fillId="13" borderId="3" xfId="0" applyFont="1" applyFill="1" applyBorder="1" applyAlignment="1" applyProtection="1">
      <alignment horizontal="center" vertical="center"/>
      <protection locked="0"/>
    </xf>
    <xf numFmtId="188" fontId="10" fillId="13" borderId="3" xfId="0" applyNumberFormat="1" applyFont="1" applyFill="1" applyBorder="1" applyAlignment="1" applyProtection="1">
      <alignment horizontal="center" vertical="center"/>
      <protection locked="0"/>
    </xf>
    <xf numFmtId="0" fontId="21" fillId="13" borderId="0" xfId="0" applyFont="1" applyFill="1" applyProtection="1">
      <protection locked="0"/>
    </xf>
    <xf numFmtId="0" fontId="21" fillId="14" borderId="3" xfId="0" applyFont="1" applyFill="1" applyBorder="1" applyProtection="1">
      <protection locked="0"/>
    </xf>
    <xf numFmtId="0" fontId="21" fillId="14" borderId="4" xfId="0" applyFont="1" applyFill="1" applyBorder="1" applyProtection="1">
      <protection locked="0"/>
    </xf>
    <xf numFmtId="0" fontId="8" fillId="10" borderId="1" xfId="0" applyFont="1" applyFill="1" applyBorder="1" applyAlignment="1" applyProtection="1">
      <alignment horizontal="center" vertical="center"/>
      <protection locked="0"/>
    </xf>
    <xf numFmtId="0" fontId="9" fillId="10" borderId="1" xfId="0" applyFont="1" applyFill="1" applyBorder="1" applyAlignment="1" applyProtection="1">
      <alignment horizontal="center" vertical="center"/>
      <protection locked="0"/>
    </xf>
    <xf numFmtId="0" fontId="11" fillId="4" borderId="0" xfId="0" applyFont="1" applyFill="1" applyAlignment="1" applyProtection="1">
      <alignment horizontal="center" vertical="center"/>
      <protection locked="0"/>
    </xf>
    <xf numFmtId="0" fontId="8" fillId="10" borderId="1" xfId="0" applyFont="1" applyFill="1" applyBorder="1" applyAlignment="1" applyProtection="1">
      <alignment vertical="center"/>
      <protection locked="0"/>
    </xf>
    <xf numFmtId="0" fontId="11" fillId="4" borderId="0" xfId="0" applyFont="1" applyFill="1" applyAlignment="1" applyProtection="1">
      <alignment vertical="center"/>
      <protection locked="0"/>
    </xf>
    <xf numFmtId="188" fontId="11" fillId="4" borderId="0" xfId="0" applyNumberFormat="1" applyFont="1" applyFill="1" applyAlignment="1" applyProtection="1">
      <alignment vertical="center"/>
      <protection locked="0"/>
    </xf>
    <xf numFmtId="177" fontId="12" fillId="5" borderId="0" xfId="0" applyNumberFormat="1" applyFont="1" applyFill="1" applyAlignment="1" applyProtection="1">
      <alignment vertical="center"/>
      <protection locked="0"/>
    </xf>
    <xf numFmtId="3" fontId="13" fillId="5" borderId="6" xfId="0" applyNumberFormat="1" applyFont="1" applyFill="1" applyBorder="1" applyAlignment="1" applyProtection="1">
      <alignment vertical="center"/>
      <protection locked="0"/>
    </xf>
    <xf numFmtId="3" fontId="13" fillId="0" borderId="0" xfId="0" applyNumberFormat="1" applyFont="1" applyAlignment="1" applyProtection="1">
      <alignment vertical="center"/>
      <protection locked="0"/>
    </xf>
    <xf numFmtId="0" fontId="0" fillId="11" borderId="0" xfId="0" applyFill="1" applyAlignment="1" applyProtection="1">
      <alignment vertical="center"/>
      <protection locked="0"/>
    </xf>
    <xf numFmtId="180" fontId="0" fillId="0" borderId="0" xfId="0" applyNumberFormat="1" applyAlignment="1" applyProtection="1">
      <alignment vertical="center"/>
      <protection locked="0"/>
    </xf>
    <xf numFmtId="3" fontId="0" fillId="0" borderId="0" xfId="0" applyNumberFormat="1" applyAlignment="1" applyProtection="1">
      <alignment vertical="center"/>
      <protection locked="0"/>
    </xf>
    <xf numFmtId="56" fontId="9" fillId="10" borderId="1" xfId="0" applyNumberFormat="1" applyFont="1" applyFill="1" applyBorder="1" applyAlignment="1" applyProtection="1">
      <alignment vertical="center"/>
      <protection locked="0"/>
    </xf>
    <xf numFmtId="183" fontId="11" fillId="34" borderId="0" xfId="0" applyNumberFormat="1" applyFont="1" applyFill="1" applyAlignment="1" applyProtection="1">
      <alignment horizontal="center" vertical="center"/>
      <protection locked="0"/>
    </xf>
    <xf numFmtId="0" fontId="10" fillId="34" borderId="3" xfId="0" applyFont="1" applyFill="1" applyBorder="1" applyAlignment="1" applyProtection="1">
      <alignment horizontal="center" vertical="center"/>
      <protection locked="0"/>
    </xf>
    <xf numFmtId="0" fontId="71" fillId="33" borderId="0" xfId="0" applyFont="1" applyFill="1" applyAlignment="1">
      <alignment horizontal="center"/>
    </xf>
    <xf numFmtId="4" fontId="72" fillId="0" borderId="0" xfId="0" applyNumberFormat="1" applyFont="1" applyProtection="1">
      <protection locked="0"/>
    </xf>
    <xf numFmtId="181" fontId="60" fillId="0" borderId="0" xfId="0" applyNumberFormat="1" applyFont="1" applyProtection="1">
      <protection locked="0"/>
    </xf>
    <xf numFmtId="4" fontId="60" fillId="0" borderId="0" xfId="0" applyNumberFormat="1" applyFont="1" applyProtection="1">
      <protection locked="0"/>
    </xf>
    <xf numFmtId="0" fontId="60" fillId="0" borderId="0" xfId="0" applyFont="1" applyProtection="1">
      <protection locked="0"/>
    </xf>
    <xf numFmtId="0" fontId="0" fillId="17" borderId="0" xfId="0" applyFill="1"/>
    <xf numFmtId="0" fontId="71" fillId="37" borderId="30" xfId="0" applyFont="1" applyFill="1" applyBorder="1" applyAlignment="1">
      <alignment horizontal="center"/>
    </xf>
    <xf numFmtId="0" fontId="71" fillId="37" borderId="31" xfId="0" applyFont="1" applyFill="1" applyBorder="1" applyAlignment="1">
      <alignment horizontal="center"/>
    </xf>
    <xf numFmtId="0" fontId="70" fillId="17" borderId="33" xfId="0" applyFont="1" applyFill="1" applyBorder="1" applyAlignment="1">
      <alignment horizontal="right"/>
    </xf>
    <xf numFmtId="0" fontId="70" fillId="17" borderId="34" xfId="0" applyFont="1" applyFill="1" applyBorder="1" applyAlignment="1">
      <alignment horizontal="right"/>
    </xf>
    <xf numFmtId="0" fontId="70" fillId="38" borderId="33" xfId="0" applyFont="1" applyFill="1" applyBorder="1" applyAlignment="1">
      <alignment horizontal="right"/>
    </xf>
    <xf numFmtId="0" fontId="70" fillId="38" borderId="34" xfId="0" applyFont="1" applyFill="1" applyBorder="1" applyAlignment="1">
      <alignment horizontal="right"/>
    </xf>
    <xf numFmtId="4" fontId="70" fillId="17" borderId="33" xfId="0" applyNumberFormat="1" applyFont="1" applyFill="1" applyBorder="1" applyAlignment="1" applyProtection="1">
      <alignment horizontal="right"/>
      <protection locked="0"/>
    </xf>
    <xf numFmtId="3" fontId="70" fillId="17" borderId="33" xfId="0" applyNumberFormat="1" applyFont="1" applyFill="1" applyBorder="1" applyAlignment="1" applyProtection="1">
      <alignment horizontal="right"/>
      <protection locked="0"/>
    </xf>
    <xf numFmtId="3" fontId="70" fillId="17" borderId="34" xfId="0" applyNumberFormat="1" applyFont="1" applyFill="1" applyBorder="1" applyAlignment="1" applyProtection="1">
      <alignment horizontal="right"/>
      <protection locked="0"/>
    </xf>
    <xf numFmtId="4" fontId="70" fillId="38" borderId="33" xfId="0" applyNumberFormat="1" applyFont="1" applyFill="1" applyBorder="1" applyAlignment="1" applyProtection="1">
      <alignment horizontal="right"/>
      <protection locked="0"/>
    </xf>
    <xf numFmtId="3" fontId="70" fillId="38" borderId="33" xfId="0" applyNumberFormat="1" applyFont="1" applyFill="1" applyBorder="1" applyAlignment="1" applyProtection="1">
      <alignment horizontal="right"/>
      <protection locked="0"/>
    </xf>
    <xf numFmtId="3" fontId="70" fillId="38" borderId="34" xfId="0" applyNumberFormat="1" applyFont="1" applyFill="1" applyBorder="1" applyAlignment="1" applyProtection="1">
      <alignment horizontal="right"/>
      <protection locked="0"/>
    </xf>
    <xf numFmtId="0" fontId="70" fillId="17" borderId="33" xfId="0" applyFont="1" applyFill="1" applyBorder="1" applyAlignment="1" applyProtection="1">
      <alignment horizontal="right"/>
      <protection locked="0"/>
    </xf>
    <xf numFmtId="0" fontId="70" fillId="38" borderId="33" xfId="0" applyFont="1" applyFill="1" applyBorder="1" applyAlignment="1" applyProtection="1">
      <alignment horizontal="right"/>
      <protection locked="0"/>
    </xf>
    <xf numFmtId="4" fontId="70" fillId="17" borderId="36" xfId="0" quotePrefix="1" applyNumberFormat="1" applyFont="1" applyFill="1" applyBorder="1" applyAlignment="1" applyProtection="1">
      <alignment horizontal="right"/>
      <protection locked="0"/>
    </xf>
    <xf numFmtId="0" fontId="70" fillId="17" borderId="36" xfId="0" quotePrefix="1" applyFont="1" applyFill="1" applyBorder="1" applyAlignment="1" applyProtection="1">
      <alignment horizontal="right"/>
      <protection locked="0"/>
    </xf>
    <xf numFmtId="3" fontId="70" fillId="17" borderId="36" xfId="0" quotePrefix="1" applyNumberFormat="1" applyFont="1" applyFill="1" applyBorder="1" applyAlignment="1" applyProtection="1">
      <alignment horizontal="right"/>
      <protection locked="0"/>
    </xf>
    <xf numFmtId="3" fontId="70" fillId="17" borderId="37" xfId="0" quotePrefix="1" applyNumberFormat="1" applyFont="1" applyFill="1" applyBorder="1" applyAlignment="1" applyProtection="1">
      <alignment horizontal="right"/>
      <protection locked="0"/>
    </xf>
    <xf numFmtId="0" fontId="70" fillId="17" borderId="33" xfId="0" applyFont="1" applyFill="1" applyBorder="1" applyAlignment="1">
      <alignment horizontal="left"/>
    </xf>
    <xf numFmtId="0" fontId="70" fillId="38" borderId="33" xfId="0" applyFont="1" applyFill="1" applyBorder="1" applyAlignment="1">
      <alignment horizontal="left"/>
    </xf>
    <xf numFmtId="4" fontId="70" fillId="17" borderId="33" xfId="0" applyNumberFormat="1" applyFont="1" applyFill="1" applyBorder="1" applyAlignment="1" applyProtection="1">
      <alignment horizontal="left"/>
      <protection locked="0"/>
    </xf>
    <xf numFmtId="4" fontId="70" fillId="38" borderId="33" xfId="0" applyNumberFormat="1" applyFont="1" applyFill="1" applyBorder="1" applyAlignment="1" applyProtection="1">
      <alignment horizontal="left"/>
      <protection locked="0"/>
    </xf>
    <xf numFmtId="4" fontId="70" fillId="17" borderId="36" xfId="0" quotePrefix="1" applyNumberFormat="1" applyFont="1" applyFill="1" applyBorder="1" applyAlignment="1" applyProtection="1">
      <alignment horizontal="left"/>
      <protection locked="0"/>
    </xf>
    <xf numFmtId="0" fontId="70" fillId="17" borderId="32" xfId="0" applyFont="1" applyFill="1" applyBorder="1" applyAlignment="1">
      <alignment horizontal="left"/>
    </xf>
    <xf numFmtId="0" fontId="70" fillId="38" borderId="32" xfId="0" applyFont="1" applyFill="1" applyBorder="1" applyAlignment="1">
      <alignment horizontal="left"/>
    </xf>
    <xf numFmtId="4" fontId="70" fillId="17" borderId="32" xfId="0" applyNumberFormat="1" applyFont="1" applyFill="1" applyBorder="1" applyAlignment="1" applyProtection="1">
      <alignment horizontal="left"/>
      <protection locked="0"/>
    </xf>
    <xf numFmtId="4" fontId="70" fillId="38" borderId="32" xfId="0" applyNumberFormat="1" applyFont="1" applyFill="1" applyBorder="1" applyAlignment="1" applyProtection="1">
      <alignment horizontal="left"/>
      <protection locked="0"/>
    </xf>
    <xf numFmtId="4" fontId="70" fillId="17" borderId="35" xfId="0" quotePrefix="1" applyNumberFormat="1" applyFont="1" applyFill="1" applyBorder="1" applyAlignment="1" applyProtection="1">
      <alignment horizontal="left"/>
      <protection locked="0"/>
    </xf>
    <xf numFmtId="0" fontId="19" fillId="39" borderId="0" xfId="2" applyFont="1" applyFill="1">
      <alignment vertical="center"/>
    </xf>
    <xf numFmtId="0" fontId="2" fillId="0" borderId="0" xfId="2">
      <alignment vertical="center"/>
    </xf>
    <xf numFmtId="0" fontId="19" fillId="0" borderId="0" xfId="2" applyFont="1">
      <alignment vertical="center"/>
    </xf>
    <xf numFmtId="0" fontId="78" fillId="37" borderId="0" xfId="2" applyFont="1" applyFill="1" applyAlignment="1">
      <alignment horizontal="center" vertical="center"/>
    </xf>
    <xf numFmtId="0" fontId="79" fillId="0" borderId="38" xfId="2" applyFont="1" applyBorder="1" applyAlignment="1">
      <alignment horizontal="center" vertical="center"/>
    </xf>
    <xf numFmtId="0" fontId="80" fillId="40" borderId="39" xfId="2" applyFont="1" applyFill="1" applyBorder="1" applyAlignment="1">
      <alignment horizontal="center" vertical="center"/>
    </xf>
    <xf numFmtId="0" fontId="79" fillId="0" borderId="40" xfId="2" applyFont="1" applyBorder="1" applyAlignment="1">
      <alignment horizontal="center" vertical="center"/>
    </xf>
    <xf numFmtId="0" fontId="79" fillId="0" borderId="3" xfId="2" applyFont="1" applyBorder="1" applyAlignment="1">
      <alignment horizontal="center" vertical="center"/>
    </xf>
    <xf numFmtId="0" fontId="69" fillId="0" borderId="41" xfId="2" applyFont="1" applyBorder="1">
      <alignment vertical="center"/>
    </xf>
    <xf numFmtId="0" fontId="80" fillId="40" borderId="3" xfId="2" applyFont="1" applyFill="1" applyBorder="1" applyAlignment="1">
      <alignment horizontal="center" vertical="center"/>
    </xf>
    <xf numFmtId="0" fontId="78" fillId="41" borderId="40" xfId="2" applyFont="1" applyFill="1" applyBorder="1" applyAlignment="1">
      <alignment horizontal="center" vertical="center"/>
    </xf>
    <xf numFmtId="0" fontId="2" fillId="0" borderId="3" xfId="2" applyBorder="1">
      <alignment vertical="center"/>
    </xf>
    <xf numFmtId="0" fontId="2" fillId="0" borderId="41" xfId="2" applyBorder="1">
      <alignment vertical="center"/>
    </xf>
    <xf numFmtId="179" fontId="81" fillId="0" borderId="3" xfId="2" applyNumberFormat="1" applyFont="1" applyBorder="1" applyAlignment="1">
      <alignment horizontal="center" vertical="center"/>
    </xf>
    <xf numFmtId="0" fontId="81" fillId="0" borderId="3" xfId="2" applyFont="1" applyBorder="1" applyAlignment="1">
      <alignment horizontal="center" vertical="center"/>
    </xf>
    <xf numFmtId="0" fontId="2" fillId="0" borderId="40" xfId="2" applyBorder="1">
      <alignment vertical="center"/>
    </xf>
    <xf numFmtId="0" fontId="78" fillId="42" borderId="40" xfId="2" applyFont="1" applyFill="1" applyBorder="1" applyAlignment="1">
      <alignment horizontal="center" vertical="center"/>
    </xf>
    <xf numFmtId="186" fontId="80" fillId="40" borderId="3" xfId="2" applyNumberFormat="1" applyFont="1" applyFill="1" applyBorder="1" applyAlignment="1">
      <alignment horizontal="center" vertical="center"/>
    </xf>
    <xf numFmtId="184" fontId="80" fillId="40" borderId="3" xfId="2" applyNumberFormat="1" applyFont="1" applyFill="1" applyBorder="1" applyAlignment="1">
      <alignment horizontal="center" vertical="center"/>
    </xf>
    <xf numFmtId="189" fontId="80" fillId="40" borderId="3" xfId="2" applyNumberFormat="1" applyFont="1" applyFill="1" applyBorder="1" applyAlignment="1">
      <alignment horizontal="center" vertical="center"/>
    </xf>
    <xf numFmtId="0" fontId="78" fillId="43" borderId="40" xfId="2" applyFont="1" applyFill="1" applyBorder="1" applyAlignment="1">
      <alignment horizontal="center" vertical="center"/>
    </xf>
    <xf numFmtId="3" fontId="82" fillId="0" borderId="3" xfId="2" applyNumberFormat="1" applyFont="1" applyBorder="1" applyAlignment="1">
      <alignment horizontal="center" vertical="center"/>
    </xf>
    <xf numFmtId="184" fontId="82" fillId="0" borderId="3" xfId="2" applyNumberFormat="1" applyFont="1" applyBorder="1" applyAlignment="1">
      <alignment horizontal="center" vertical="center"/>
    </xf>
    <xf numFmtId="187" fontId="82" fillId="0" borderId="3" xfId="2" applyNumberFormat="1" applyFont="1" applyBorder="1" applyAlignment="1">
      <alignment horizontal="center" vertical="center"/>
    </xf>
    <xf numFmtId="3" fontId="83" fillId="35" borderId="3" xfId="2" applyNumberFormat="1" applyFont="1" applyFill="1" applyBorder="1" applyAlignment="1">
      <alignment horizontal="center" vertical="center"/>
    </xf>
    <xf numFmtId="0" fontId="83" fillId="35" borderId="3" xfId="2" applyFont="1" applyFill="1" applyBorder="1" applyAlignment="1">
      <alignment horizontal="center" vertical="center"/>
    </xf>
    <xf numFmtId="187" fontId="83" fillId="35" borderId="3" xfId="2" applyNumberFormat="1" applyFont="1" applyFill="1" applyBorder="1" applyAlignment="1">
      <alignment horizontal="center" vertical="center"/>
    </xf>
    <xf numFmtId="179" fontId="84" fillId="17" borderId="3" xfId="2" applyNumberFormat="1" applyFont="1" applyFill="1" applyBorder="1" applyAlignment="1">
      <alignment horizontal="center" vertical="center"/>
    </xf>
    <xf numFmtId="0" fontId="82" fillId="35" borderId="3" xfId="2" applyFont="1" applyFill="1" applyBorder="1" applyAlignment="1">
      <alignment horizontal="center" vertical="center"/>
    </xf>
    <xf numFmtId="0" fontId="78" fillId="21" borderId="40" xfId="2" applyFont="1" applyFill="1" applyBorder="1" applyAlignment="1">
      <alignment horizontal="center" vertical="center"/>
    </xf>
    <xf numFmtId="3" fontId="82" fillId="35" borderId="3" xfId="2" applyNumberFormat="1" applyFont="1" applyFill="1" applyBorder="1" applyAlignment="1">
      <alignment horizontal="center" vertical="center"/>
    </xf>
    <xf numFmtId="190" fontId="82" fillId="0" borderId="3" xfId="2" applyNumberFormat="1" applyFont="1" applyBorder="1" applyAlignment="1">
      <alignment horizontal="center" vertical="center"/>
    </xf>
    <xf numFmtId="0" fontId="82" fillId="0" borderId="3" xfId="2" applyFont="1" applyBorder="1" applyAlignment="1">
      <alignment horizontal="center" vertical="center"/>
    </xf>
    <xf numFmtId="1" fontId="85" fillId="35" borderId="3" xfId="2" applyNumberFormat="1" applyFont="1" applyFill="1" applyBorder="1" applyAlignment="1">
      <alignment horizontal="center" vertical="center"/>
    </xf>
    <xf numFmtId="0" fontId="81" fillId="40" borderId="3" xfId="2" applyFont="1" applyFill="1" applyBorder="1" applyAlignment="1">
      <alignment horizontal="center" vertical="center"/>
    </xf>
    <xf numFmtId="0" fontId="86" fillId="0" borderId="40" xfId="2" applyFont="1" applyBorder="1" applyAlignment="1">
      <alignment horizontal="center" vertical="center"/>
    </xf>
    <xf numFmtId="0" fontId="87" fillId="0" borderId="41" xfId="2" applyFont="1" applyBorder="1">
      <alignment vertical="center"/>
    </xf>
    <xf numFmtId="0" fontId="79" fillId="0" borderId="42" xfId="2" applyFont="1" applyBorder="1" applyAlignment="1">
      <alignment horizontal="center" vertical="center"/>
    </xf>
    <xf numFmtId="0" fontId="69" fillId="0" borderId="44" xfId="2" applyFont="1" applyBorder="1">
      <alignment vertical="center"/>
    </xf>
    <xf numFmtId="0" fontId="88" fillId="21" borderId="0" xfId="2" applyFont="1" applyFill="1" applyAlignment="1">
      <alignment vertical="center" wrapText="1"/>
    </xf>
    <xf numFmtId="0" fontId="89" fillId="0" borderId="0" xfId="2" applyFont="1" applyAlignment="1">
      <alignment vertical="center" wrapText="1"/>
    </xf>
    <xf numFmtId="0" fontId="90" fillId="0" borderId="0" xfId="2" applyFont="1" applyAlignment="1">
      <alignment vertical="center" wrapText="1"/>
    </xf>
    <xf numFmtId="0" fontId="68" fillId="41" borderId="0" xfId="2" applyFont="1" applyFill="1" applyAlignment="1">
      <alignment vertical="center" wrapText="1"/>
    </xf>
    <xf numFmtId="0" fontId="2" fillId="0" borderId="0" xfId="2" applyAlignment="1">
      <alignment horizontal="center" vertical="center"/>
    </xf>
    <xf numFmtId="0" fontId="69" fillId="0" borderId="0" xfId="2" applyFont="1" applyAlignment="1">
      <alignment vertical="center" wrapText="1"/>
    </xf>
    <xf numFmtId="0" fontId="91" fillId="0" borderId="0" xfId="2" applyFont="1" applyAlignment="1">
      <alignment horizontal="left" vertical="center" wrapText="1"/>
    </xf>
    <xf numFmtId="0" fontId="92" fillId="0" borderId="0" xfId="2" applyFont="1" applyAlignment="1">
      <alignment horizontal="center" vertical="center" wrapText="1"/>
    </xf>
    <xf numFmtId="0" fontId="68" fillId="42" borderId="0" xfId="2" applyFont="1" applyFill="1" applyAlignment="1">
      <alignment vertical="center" wrapText="1"/>
    </xf>
    <xf numFmtId="0" fontId="93" fillId="44" borderId="0" xfId="2" applyFont="1" applyFill="1" applyAlignment="1">
      <alignment horizontal="center" vertical="center" wrapText="1"/>
    </xf>
    <xf numFmtId="0" fontId="93" fillId="44" borderId="0" xfId="2" applyFont="1" applyFill="1">
      <alignment vertical="center"/>
    </xf>
    <xf numFmtId="0" fontId="94" fillId="40" borderId="0" xfId="2" applyFont="1" applyFill="1" applyAlignment="1">
      <alignment horizontal="center" vertical="center" wrapText="1"/>
    </xf>
    <xf numFmtId="0" fontId="69" fillId="0" borderId="0" xfId="2" applyFont="1">
      <alignment vertical="center"/>
    </xf>
    <xf numFmtId="0" fontId="89" fillId="0" borderId="0" xfId="2" applyFont="1">
      <alignment vertical="center"/>
    </xf>
    <xf numFmtId="0" fontId="95" fillId="0" borderId="0" xfId="2" applyFont="1">
      <alignment vertical="center"/>
    </xf>
    <xf numFmtId="0" fontId="96" fillId="43" borderId="0" xfId="2" applyFont="1" applyFill="1" applyAlignment="1">
      <alignment horizontal="center" vertical="center" wrapText="1"/>
    </xf>
    <xf numFmtId="0" fontId="97" fillId="40" borderId="0" xfId="2" applyFont="1" applyFill="1" applyAlignment="1">
      <alignment horizontal="center" vertical="center" wrapText="1"/>
    </xf>
    <xf numFmtId="0" fontId="98" fillId="0" borderId="0" xfId="2" applyFont="1" applyAlignment="1">
      <alignment vertical="center" wrapText="1"/>
    </xf>
    <xf numFmtId="0" fontId="99" fillId="0" borderId="0" xfId="2" applyFont="1" applyAlignment="1">
      <alignment vertical="center" wrapText="1"/>
    </xf>
    <xf numFmtId="0" fontId="100" fillId="0" borderId="0" xfId="2" applyFont="1">
      <alignment vertical="center"/>
    </xf>
    <xf numFmtId="0" fontId="101" fillId="0" borderId="0" xfId="2" applyFont="1" applyAlignment="1">
      <alignment vertical="center" wrapText="1"/>
    </xf>
    <xf numFmtId="0" fontId="68" fillId="21" borderId="0" xfId="2" applyFont="1" applyFill="1" applyAlignment="1">
      <alignment vertical="center" wrapText="1"/>
    </xf>
    <xf numFmtId="0" fontId="91" fillId="0" borderId="0" xfId="2" applyFont="1" applyAlignment="1">
      <alignment vertical="center" wrapText="1"/>
    </xf>
    <xf numFmtId="0" fontId="2" fillId="0" borderId="0" xfId="2" applyAlignment="1">
      <alignment vertical="center" wrapText="1"/>
    </xf>
    <xf numFmtId="0" fontId="2" fillId="0" borderId="0" xfId="2" quotePrefix="1">
      <alignment vertical="center"/>
    </xf>
    <xf numFmtId="191" fontId="80" fillId="0" borderId="3" xfId="2" applyNumberFormat="1" applyFont="1" applyBorder="1" applyAlignment="1">
      <alignment horizontal="center" vertical="center"/>
    </xf>
    <xf numFmtId="4" fontId="0" fillId="0" borderId="0" xfId="0" quotePrefix="1" applyNumberFormat="1" applyProtection="1">
      <protection locked="0"/>
    </xf>
    <xf numFmtId="0" fontId="0" fillId="0" borderId="0" xfId="0" quotePrefix="1" applyProtection="1">
      <protection locked="0"/>
    </xf>
    <xf numFmtId="3" fontId="0" fillId="0" borderId="0" xfId="0" quotePrefix="1" applyNumberFormat="1" applyProtection="1">
      <protection locked="0"/>
    </xf>
    <xf numFmtId="0" fontId="71" fillId="37" borderId="30" xfId="0" applyFont="1" applyFill="1" applyBorder="1" applyAlignment="1" applyProtection="1">
      <alignment horizontal="center"/>
      <protection hidden="1"/>
    </xf>
    <xf numFmtId="0" fontId="70" fillId="17" borderId="33" xfId="0" applyFont="1" applyFill="1" applyBorder="1" applyAlignment="1" applyProtection="1">
      <alignment horizontal="left"/>
      <protection hidden="1"/>
    </xf>
    <xf numFmtId="0" fontId="54" fillId="21" borderId="0" xfId="0" applyFont="1" applyFill="1" applyAlignment="1" applyProtection="1">
      <alignment horizontal="center"/>
      <protection locked="0"/>
    </xf>
    <xf numFmtId="49" fontId="75" fillId="35" borderId="0" xfId="0" applyNumberFormat="1" applyFont="1" applyFill="1" applyAlignment="1" applyProtection="1">
      <alignment horizontal="center" vertical="center"/>
      <protection locked="0"/>
    </xf>
    <xf numFmtId="0" fontId="70" fillId="38" borderId="32" xfId="0" applyFont="1" applyFill="1" applyBorder="1" applyAlignment="1" applyProtection="1">
      <alignment horizontal="left"/>
      <protection locked="0"/>
    </xf>
    <xf numFmtId="0" fontId="71" fillId="37" borderId="29" xfId="0" applyFont="1" applyFill="1" applyBorder="1" applyAlignment="1">
      <alignment horizontal="center"/>
    </xf>
    <xf numFmtId="0" fontId="102" fillId="20" borderId="0" xfId="0" applyFont="1" applyFill="1" applyAlignment="1">
      <alignment vertical="center"/>
    </xf>
    <xf numFmtId="0" fontId="104" fillId="45" borderId="0" xfId="0" applyFont="1" applyFill="1" applyAlignment="1">
      <alignment horizontal="center"/>
    </xf>
    <xf numFmtId="0" fontId="104" fillId="46" borderId="0" xfId="0" applyFont="1" applyFill="1" applyAlignment="1">
      <alignment horizontal="center"/>
    </xf>
    <xf numFmtId="0" fontId="104" fillId="21" borderId="0" xfId="0" applyFont="1" applyFill="1" applyAlignment="1">
      <alignment horizontal="center"/>
    </xf>
    <xf numFmtId="0" fontId="104" fillId="25" borderId="0" xfId="0" applyFont="1" applyFill="1" applyAlignment="1">
      <alignment horizontal="center"/>
    </xf>
    <xf numFmtId="0" fontId="104" fillId="26" borderId="0" xfId="0" applyFont="1" applyFill="1" applyAlignment="1">
      <alignment horizontal="center"/>
    </xf>
    <xf numFmtId="0" fontId="104" fillId="27" borderId="0" xfId="0" applyFont="1" applyFill="1" applyAlignment="1">
      <alignment horizontal="center"/>
    </xf>
    <xf numFmtId="0" fontId="71" fillId="45" borderId="0" xfId="0" applyFont="1" applyFill="1" applyAlignment="1">
      <alignment horizontal="center"/>
    </xf>
    <xf numFmtId="0" fontId="104" fillId="28" borderId="0" xfId="0" applyFont="1" applyFill="1" applyAlignment="1">
      <alignment horizontal="center"/>
    </xf>
    <xf numFmtId="0" fontId="18" fillId="47" borderId="0" xfId="1" applyFill="1"/>
    <xf numFmtId="0" fontId="0" fillId="47" borderId="0" xfId="0" applyFill="1"/>
    <xf numFmtId="3" fontId="0" fillId="47" borderId="0" xfId="0" applyNumberFormat="1" applyFill="1"/>
    <xf numFmtId="186" fontId="0" fillId="47" borderId="0" xfId="0" applyNumberFormat="1" applyFill="1"/>
    <xf numFmtId="185" fontId="0" fillId="47" borderId="0" xfId="0" applyNumberFormat="1" applyFill="1"/>
    <xf numFmtId="178" fontId="0" fillId="47" borderId="0" xfId="0" applyNumberFormat="1" applyFill="1"/>
    <xf numFmtId="2" fontId="0" fillId="47" borderId="0" xfId="0" applyNumberFormat="1" applyFill="1"/>
    <xf numFmtId="187" fontId="0" fillId="47" borderId="0" xfId="0" applyNumberFormat="1" applyFill="1"/>
    <xf numFmtId="0" fontId="18" fillId="17" borderId="0" xfId="1" applyFill="1"/>
    <xf numFmtId="3" fontId="0" fillId="17" borderId="0" xfId="0" applyNumberFormat="1" applyFill="1"/>
    <xf numFmtId="186" fontId="0" fillId="17" borderId="0" xfId="0" applyNumberFormat="1" applyFill="1"/>
    <xf numFmtId="185" fontId="0" fillId="17" borderId="0" xfId="0" applyNumberFormat="1" applyFill="1"/>
    <xf numFmtId="178" fontId="0" fillId="17" borderId="0" xfId="0" applyNumberFormat="1" applyFill="1"/>
    <xf numFmtId="2" fontId="0" fillId="17" borderId="0" xfId="0" applyNumberFormat="1" applyFill="1"/>
    <xf numFmtId="187" fontId="0" fillId="17" borderId="0" xfId="0" applyNumberFormat="1" applyFill="1"/>
    <xf numFmtId="0" fontId="106" fillId="48" borderId="0" xfId="0" applyFont="1" applyFill="1"/>
    <xf numFmtId="176" fontId="0" fillId="47" borderId="0" xfId="0" applyNumberFormat="1" applyFill="1"/>
    <xf numFmtId="176" fontId="0" fillId="17" borderId="0" xfId="0" applyNumberFormat="1" applyFill="1"/>
    <xf numFmtId="0" fontId="1" fillId="0" borderId="0" xfId="2" applyFont="1">
      <alignment vertical="center"/>
    </xf>
    <xf numFmtId="0" fontId="107" fillId="40" borderId="45" xfId="2" applyFont="1" applyFill="1" applyBorder="1">
      <alignment vertical="center"/>
    </xf>
    <xf numFmtId="0" fontId="107" fillId="40" borderId="46" xfId="2" applyFont="1" applyFill="1" applyBorder="1">
      <alignment vertical="center"/>
    </xf>
    <xf numFmtId="0" fontId="108" fillId="40" borderId="47" xfId="2" applyFont="1" applyFill="1" applyBorder="1">
      <alignment vertical="center"/>
    </xf>
    <xf numFmtId="0" fontId="108" fillId="40" borderId="48" xfId="2" applyFont="1" applyFill="1" applyBorder="1">
      <alignment vertical="center"/>
    </xf>
    <xf numFmtId="0" fontId="108" fillId="40" borderId="0" xfId="2" applyFont="1" applyFill="1">
      <alignment vertical="center"/>
    </xf>
    <xf numFmtId="0" fontId="108" fillId="40" borderId="49" xfId="2" quotePrefix="1" applyFont="1" applyFill="1" applyBorder="1">
      <alignment vertical="center"/>
    </xf>
    <xf numFmtId="0" fontId="108" fillId="40" borderId="49" xfId="2" applyFont="1" applyFill="1" applyBorder="1">
      <alignment vertical="center"/>
    </xf>
    <xf numFmtId="0" fontId="108" fillId="40" borderId="50" xfId="2" applyFont="1" applyFill="1" applyBorder="1">
      <alignment vertical="center"/>
    </xf>
    <xf numFmtId="0" fontId="108" fillId="40" borderId="51" xfId="2" applyFont="1" applyFill="1" applyBorder="1">
      <alignment vertical="center"/>
    </xf>
    <xf numFmtId="0" fontId="108" fillId="40" borderId="52" xfId="2" applyFont="1" applyFill="1" applyBorder="1">
      <alignment vertical="center"/>
    </xf>
    <xf numFmtId="0" fontId="69" fillId="0" borderId="53" xfId="2" applyFont="1" applyBorder="1">
      <alignment vertical="center"/>
    </xf>
    <xf numFmtId="0" fontId="69" fillId="0" borderId="54" xfId="2" applyFont="1" applyBorder="1">
      <alignment vertical="center"/>
    </xf>
    <xf numFmtId="0" fontId="109" fillId="40" borderId="55" xfId="2" applyFont="1" applyFill="1" applyBorder="1" applyAlignment="1">
      <alignment horizontal="center" vertical="center"/>
    </xf>
    <xf numFmtId="0" fontId="110" fillId="40" borderId="56" xfId="2" applyFont="1" applyFill="1" applyBorder="1" applyAlignment="1">
      <alignment horizontal="center" vertical="center"/>
    </xf>
    <xf numFmtId="0" fontId="111" fillId="0" borderId="57" xfId="2" applyFont="1" applyBorder="1" applyAlignment="1">
      <alignment horizontal="center" vertical="center"/>
    </xf>
    <xf numFmtId="0" fontId="77" fillId="21" borderId="0" xfId="2" applyFont="1" applyFill="1" applyAlignment="1">
      <alignment vertical="center" wrapText="1"/>
    </xf>
    <xf numFmtId="0" fontId="84" fillId="17" borderId="43" xfId="2" applyFont="1" applyFill="1" applyBorder="1" applyAlignment="1">
      <alignment horizontal="center" vertical="center"/>
    </xf>
    <xf numFmtId="0" fontId="81" fillId="17" borderId="3" xfId="2" applyFont="1" applyFill="1" applyBorder="1" applyAlignment="1">
      <alignment horizontal="center" vertical="center"/>
    </xf>
    <xf numFmtId="190" fontId="81" fillId="17" borderId="3" xfId="2" applyNumberFormat="1" applyFont="1" applyFill="1" applyBorder="1" applyAlignment="1">
      <alignment horizontal="center" vertical="center"/>
    </xf>
    <xf numFmtId="0" fontId="8" fillId="12" borderId="0" xfId="0" applyFont="1" applyFill="1" applyAlignment="1" applyProtection="1">
      <alignment horizontal="center"/>
      <protection locked="0"/>
    </xf>
    <xf numFmtId="0" fontId="8" fillId="50" borderId="0" xfId="0" applyFont="1" applyFill="1" applyAlignment="1" applyProtection="1">
      <alignment horizontal="center"/>
      <protection locked="0"/>
    </xf>
    <xf numFmtId="0" fontId="35" fillId="0" borderId="0" xfId="0" applyFont="1" applyAlignment="1" applyProtection="1">
      <alignment horizontal="center"/>
      <protection locked="0"/>
    </xf>
    <xf numFmtId="186" fontId="35" fillId="0" borderId="0" xfId="0" applyNumberFormat="1" applyFont="1" applyAlignment="1" applyProtection="1">
      <alignment horizontal="center"/>
      <protection locked="0"/>
    </xf>
    <xf numFmtId="192" fontId="35" fillId="0" borderId="0" xfId="0" applyNumberFormat="1" applyFont="1" applyAlignment="1" applyProtection="1">
      <alignment horizontal="center"/>
      <protection locked="0"/>
    </xf>
    <xf numFmtId="0" fontId="113" fillId="51" borderId="0" xfId="0" applyFont="1" applyFill="1" applyAlignment="1" applyProtection="1">
      <alignment horizontal="center"/>
      <protection locked="0"/>
    </xf>
    <xf numFmtId="0" fontId="62" fillId="0" borderId="0" xfId="0" applyFont="1" applyAlignment="1" applyProtection="1">
      <alignment horizontal="center"/>
      <protection locked="0"/>
    </xf>
    <xf numFmtId="0" fontId="8" fillId="21" borderId="0" xfId="0" applyFont="1" applyFill="1" applyAlignment="1">
      <alignment horizontal="center"/>
    </xf>
    <xf numFmtId="0" fontId="8" fillId="50" borderId="0" xfId="0" applyFont="1" applyFill="1" applyAlignment="1">
      <alignment horizontal="center"/>
    </xf>
    <xf numFmtId="0" fontId="62" fillId="0" borderId="0" xfId="0" applyFont="1" applyAlignment="1">
      <alignment horizontal="center"/>
    </xf>
    <xf numFmtId="0" fontId="35" fillId="0" borderId="0" xfId="0" applyFont="1" applyAlignment="1">
      <alignment horizontal="center"/>
    </xf>
    <xf numFmtId="186" fontId="35" fillId="0" borderId="0" xfId="0" applyNumberFormat="1" applyFont="1" applyAlignment="1">
      <alignment horizontal="center"/>
    </xf>
    <xf numFmtId="192" fontId="35" fillId="0" borderId="0" xfId="0" applyNumberFormat="1" applyFont="1" applyAlignment="1">
      <alignment horizontal="center"/>
    </xf>
    <xf numFmtId="0" fontId="114" fillId="29" borderId="0" xfId="0" applyFont="1" applyFill="1" applyAlignment="1">
      <alignment horizontal="center"/>
    </xf>
    <xf numFmtId="0" fontId="115" fillId="0" borderId="0" xfId="0" applyFont="1" applyAlignment="1">
      <alignment horizontal="center"/>
    </xf>
    <xf numFmtId="193" fontId="115" fillId="0" borderId="0" xfId="0" applyNumberFormat="1" applyFont="1" applyAlignment="1">
      <alignment horizontal="center"/>
    </xf>
    <xf numFmtId="0" fontId="79" fillId="0" borderId="58" xfId="2" applyFont="1" applyBorder="1" applyAlignment="1">
      <alignment horizontal="center" vertical="center"/>
    </xf>
    <xf numFmtId="0" fontId="69" fillId="0" borderId="59" xfId="2" applyFont="1" applyBorder="1">
      <alignment vertical="center"/>
    </xf>
    <xf numFmtId="0" fontId="79" fillId="0" borderId="0" xfId="2" applyFont="1" applyAlignment="1">
      <alignment horizontal="center" vertical="center"/>
    </xf>
    <xf numFmtId="0" fontId="84" fillId="17" borderId="0" xfId="2" applyFont="1" applyFill="1" applyAlignment="1">
      <alignment horizontal="center" vertical="center"/>
    </xf>
    <xf numFmtId="0" fontId="79" fillId="0" borderId="60" xfId="2" applyFont="1" applyBorder="1" applyAlignment="1">
      <alignment horizontal="center" vertical="center"/>
    </xf>
    <xf numFmtId="0" fontId="69" fillId="0" borderId="62" xfId="2" applyFont="1" applyBorder="1">
      <alignment vertical="center"/>
    </xf>
    <xf numFmtId="0" fontId="84" fillId="40" borderId="61" xfId="2" applyFont="1" applyFill="1" applyBorder="1" applyAlignment="1">
      <alignment horizontal="center" vertical="center"/>
    </xf>
    <xf numFmtId="0" fontId="84" fillId="40" borderId="4" xfId="2" applyFont="1" applyFill="1" applyBorder="1" applyAlignment="1">
      <alignment horizontal="center" vertical="center"/>
    </xf>
    <xf numFmtId="0" fontId="68" fillId="48" borderId="0" xfId="0" applyFont="1" applyFill="1" applyAlignment="1">
      <alignment horizontal="center"/>
    </xf>
    <xf numFmtId="0" fontId="19" fillId="47" borderId="0" xfId="0" applyFont="1" applyFill="1" applyAlignment="1">
      <alignment horizontal="center"/>
    </xf>
    <xf numFmtId="0" fontId="19" fillId="17" borderId="0" xfId="0" applyFont="1" applyFill="1" applyAlignment="1">
      <alignment horizontal="center"/>
    </xf>
    <xf numFmtId="0" fontId="19" fillId="0" borderId="0" xfId="0" applyFont="1" applyAlignment="1">
      <alignment horizontal="center"/>
    </xf>
    <xf numFmtId="0" fontId="54" fillId="10" borderId="1" xfId="0" applyFont="1" applyFill="1" applyBorder="1" applyAlignment="1" applyProtection="1">
      <alignment horizontal="center" vertical="center"/>
      <protection locked="0"/>
    </xf>
    <xf numFmtId="0" fontId="53" fillId="4" borderId="0" xfId="0" applyFont="1" applyFill="1" applyAlignment="1" applyProtection="1">
      <alignment horizontal="center" vertical="center"/>
      <protection locked="0"/>
    </xf>
    <xf numFmtId="176" fontId="117" fillId="5" borderId="0" xfId="0" applyNumberFormat="1" applyFont="1" applyFill="1" applyAlignment="1" applyProtection="1">
      <alignment horizontal="center" vertical="center"/>
      <protection locked="0"/>
    </xf>
    <xf numFmtId="49" fontId="117" fillId="5" borderId="0" xfId="0" applyNumberFormat="1" applyFont="1" applyFill="1" applyAlignment="1" applyProtection="1">
      <alignment horizontal="center" vertical="center"/>
      <protection locked="0"/>
    </xf>
    <xf numFmtId="49" fontId="65" fillId="0" borderId="0" xfId="0" applyNumberFormat="1" applyFont="1" applyAlignment="1" applyProtection="1">
      <alignment horizontal="center" vertical="center"/>
      <protection locked="0"/>
    </xf>
    <xf numFmtId="176" fontId="64" fillId="11" borderId="0" xfId="0" applyNumberFormat="1" applyFont="1" applyFill="1" applyAlignment="1" applyProtection="1">
      <alignment horizontal="center" vertical="center"/>
      <protection locked="0"/>
    </xf>
    <xf numFmtId="49" fontId="64" fillId="0" borderId="0" xfId="0" applyNumberFormat="1" applyFont="1" applyAlignment="1" applyProtection="1">
      <alignment horizontal="center" vertical="center"/>
      <protection locked="0"/>
    </xf>
    <xf numFmtId="0" fontId="64" fillId="0" borderId="0" xfId="0" applyFont="1" applyAlignment="1" applyProtection="1">
      <alignment horizontal="center" vertical="center"/>
      <protection locked="0"/>
    </xf>
    <xf numFmtId="0" fontId="36" fillId="0" borderId="0" xfId="0" applyFont="1" applyAlignment="1">
      <alignment horizontal="right"/>
    </xf>
    <xf numFmtId="0" fontId="36" fillId="0" borderId="0" xfId="0" applyFont="1" applyAlignment="1">
      <alignment horizontal="right" vertical="center"/>
    </xf>
    <xf numFmtId="0" fontId="8" fillId="12" borderId="66" xfId="0" applyFont="1" applyFill="1" applyBorder="1" applyAlignment="1" applyProtection="1">
      <alignment horizontal="center" vertical="center" wrapText="1"/>
      <protection locked="0"/>
    </xf>
    <xf numFmtId="3" fontId="35" fillId="17" borderId="65" xfId="0" applyNumberFormat="1" applyFont="1" applyFill="1" applyBorder="1" applyProtection="1">
      <protection locked="0"/>
    </xf>
    <xf numFmtId="0" fontId="35" fillId="17" borderId="65" xfId="0" applyFont="1" applyFill="1" applyBorder="1" applyAlignment="1" applyProtection="1">
      <alignment horizontal="center"/>
      <protection locked="0"/>
    </xf>
    <xf numFmtId="3" fontId="35" fillId="31" borderId="3" xfId="0" applyNumberFormat="1" applyFont="1" applyFill="1" applyBorder="1" applyProtection="1">
      <protection locked="0"/>
    </xf>
    <xf numFmtId="0" fontId="35" fillId="31" borderId="3" xfId="0" applyFont="1" applyFill="1" applyBorder="1" applyAlignment="1" applyProtection="1">
      <alignment horizontal="center"/>
      <protection locked="0"/>
    </xf>
    <xf numFmtId="3" fontId="35" fillId="17" borderId="3" xfId="0" applyNumberFormat="1" applyFont="1" applyFill="1" applyBorder="1" applyProtection="1">
      <protection locked="0"/>
    </xf>
    <xf numFmtId="0" fontId="35" fillId="17" borderId="3" xfId="0" applyFont="1" applyFill="1" applyBorder="1" applyAlignment="1" applyProtection="1">
      <alignment horizontal="center"/>
      <protection locked="0"/>
    </xf>
    <xf numFmtId="0" fontId="118" fillId="12" borderId="0" xfId="0" applyFont="1" applyFill="1"/>
    <xf numFmtId="0" fontId="119" fillId="58" borderId="0" xfId="0" applyFont="1" applyFill="1" applyAlignment="1">
      <alignment horizontal="center"/>
    </xf>
    <xf numFmtId="0" fontId="120" fillId="59" borderId="0" xfId="0" applyFont="1" applyFill="1"/>
    <xf numFmtId="0" fontId="121" fillId="0" borderId="0" xfId="0" applyFont="1"/>
    <xf numFmtId="0" fontId="122" fillId="0" borderId="0" xfId="0" applyFont="1"/>
    <xf numFmtId="0" fontId="123" fillId="0" borderId="0" xfId="0" applyFont="1"/>
    <xf numFmtId="0" fontId="124" fillId="0" borderId="0" xfId="0" applyFont="1"/>
    <xf numFmtId="0" fontId="125" fillId="60" borderId="0" xfId="0" applyFont="1" applyFill="1"/>
    <xf numFmtId="0" fontId="0" fillId="12" borderId="0" xfId="0" applyFill="1"/>
    <xf numFmtId="0" fontId="71" fillId="12" borderId="3" xfId="0" applyFont="1" applyFill="1" applyBorder="1" applyAlignment="1">
      <alignment horizontal="center"/>
    </xf>
    <xf numFmtId="0" fontId="21" fillId="61" borderId="3" xfId="0" applyFont="1" applyFill="1" applyBorder="1"/>
    <xf numFmtId="0" fontId="0" fillId="61" borderId="3" xfId="0" applyFill="1" applyBorder="1"/>
    <xf numFmtId="0" fontId="21" fillId="17" borderId="3" xfId="0" applyFont="1" applyFill="1" applyBorder="1"/>
    <xf numFmtId="0" fontId="0" fillId="17" borderId="3" xfId="0" applyFill="1" applyBorder="1"/>
    <xf numFmtId="0" fontId="0" fillId="59" borderId="0" xfId="0" applyFill="1"/>
    <xf numFmtId="0" fontId="0" fillId="60" borderId="0" xfId="0" applyFill="1"/>
    <xf numFmtId="0" fontId="0" fillId="0" borderId="0" xfId="0" quotePrefix="1"/>
    <xf numFmtId="0" fontId="44" fillId="0" borderId="0" xfId="0" applyFont="1" applyAlignment="1" applyProtection="1">
      <alignment horizontal="center"/>
      <protection locked="0"/>
    </xf>
    <xf numFmtId="0" fontId="85" fillId="62" borderId="0" xfId="0" applyFont="1" applyFill="1"/>
    <xf numFmtId="0" fontId="88" fillId="12" borderId="3" xfId="0" applyFont="1" applyFill="1" applyBorder="1" applyAlignment="1">
      <alignment horizontal="center"/>
    </xf>
    <xf numFmtId="0" fontId="0" fillId="0" borderId="3" xfId="0" applyBorder="1"/>
    <xf numFmtId="0" fontId="128" fillId="62" borderId="3" xfId="0" applyFont="1" applyFill="1" applyBorder="1"/>
    <xf numFmtId="0" fontId="128" fillId="0" borderId="3" xfId="0" applyFont="1" applyBorder="1"/>
    <xf numFmtId="0" fontId="131" fillId="20" borderId="0" xfId="0" applyFont="1" applyFill="1" applyProtection="1">
      <protection locked="0"/>
    </xf>
    <xf numFmtId="0" fontId="132" fillId="20" borderId="0" xfId="0" applyFont="1" applyFill="1" applyProtection="1">
      <protection locked="0"/>
    </xf>
    <xf numFmtId="0" fontId="36" fillId="0" borderId="0" xfId="0" applyFont="1" applyAlignment="1">
      <alignment vertical="center"/>
    </xf>
    <xf numFmtId="0" fontId="134" fillId="0" borderId="0" xfId="0" applyFont="1" applyAlignment="1">
      <alignment vertical="center"/>
    </xf>
    <xf numFmtId="0" fontId="36" fillId="0" borderId="0" xfId="0" applyFont="1" applyAlignment="1">
      <alignment horizontal="left"/>
    </xf>
    <xf numFmtId="0" fontId="134" fillId="0" borderId="0" xfId="0" applyFont="1"/>
    <xf numFmtId="0" fontId="36" fillId="0" borderId="0" xfId="0" applyFont="1"/>
    <xf numFmtId="0" fontId="135" fillId="55" borderId="0" xfId="1" applyFont="1" applyFill="1" applyAlignment="1">
      <alignment horizontal="center" wrapText="1"/>
    </xf>
    <xf numFmtId="0" fontId="57" fillId="55" borderId="3" xfId="0" applyFont="1" applyFill="1" applyBorder="1" applyAlignment="1" applyProtection="1">
      <alignment horizontal="center" wrapText="1"/>
      <protection hidden="1"/>
    </xf>
    <xf numFmtId="176" fontId="57" fillId="55" borderId="3" xfId="0" applyNumberFormat="1" applyFont="1" applyFill="1" applyBorder="1" applyAlignment="1" applyProtection="1">
      <alignment horizontal="center" wrapText="1"/>
      <protection hidden="1"/>
    </xf>
    <xf numFmtId="0" fontId="139" fillId="0" borderId="0" xfId="0" applyFont="1" applyProtection="1">
      <protection locked="0"/>
    </xf>
    <xf numFmtId="0" fontId="140" fillId="33" borderId="0" xfId="0" applyFont="1" applyFill="1" applyProtection="1">
      <protection locked="0"/>
    </xf>
    <xf numFmtId="3" fontId="140" fillId="33" borderId="0" xfId="0" applyNumberFormat="1" applyFont="1" applyFill="1" applyProtection="1">
      <protection locked="0"/>
    </xf>
    <xf numFmtId="38" fontId="140" fillId="33" borderId="0" xfId="3" applyFont="1" applyFill="1" applyAlignment="1" applyProtection="1">
      <protection locked="0"/>
    </xf>
    <xf numFmtId="0" fontId="33" fillId="16" borderId="23" xfId="0" applyFont="1" applyFill="1" applyBorder="1" applyAlignment="1" applyProtection="1">
      <alignment horizontal="center" wrapText="1"/>
      <protection locked="0"/>
    </xf>
    <xf numFmtId="38" fontId="33" fillId="16" borderId="23" xfId="3" applyFont="1" applyFill="1" applyBorder="1" applyAlignment="1" applyProtection="1">
      <alignment horizontal="center" wrapText="1"/>
      <protection locked="0"/>
    </xf>
    <xf numFmtId="0" fontId="141" fillId="0" borderId="23" xfId="0" applyFont="1" applyBorder="1" applyProtection="1">
      <protection locked="0"/>
    </xf>
    <xf numFmtId="183" fontId="141" fillId="0" borderId="23" xfId="0" applyNumberFormat="1" applyFont="1" applyBorder="1" applyProtection="1">
      <protection locked="0"/>
    </xf>
    <xf numFmtId="38" fontId="141" fillId="0" borderId="23" xfId="3" applyFont="1" applyBorder="1" applyAlignment="1" applyProtection="1">
      <protection locked="0"/>
    </xf>
    <xf numFmtId="3" fontId="141" fillId="0" borderId="23" xfId="0" applyNumberFormat="1" applyFont="1" applyBorder="1" applyProtection="1">
      <protection locked="0"/>
    </xf>
    <xf numFmtId="10" fontId="141" fillId="0" borderId="23" xfId="0" applyNumberFormat="1" applyFont="1" applyBorder="1" applyProtection="1">
      <protection locked="0"/>
    </xf>
    <xf numFmtId="184" fontId="141" fillId="0" borderId="23" xfId="0" applyNumberFormat="1" applyFont="1" applyBorder="1" applyProtection="1">
      <protection locked="0"/>
    </xf>
    <xf numFmtId="38" fontId="139" fillId="0" borderId="0" xfId="3" applyFont="1" applyAlignment="1" applyProtection="1">
      <protection locked="0"/>
    </xf>
    <xf numFmtId="56" fontId="0" fillId="0" borderId="0" xfId="0" applyNumberFormat="1"/>
    <xf numFmtId="0" fontId="76" fillId="20" borderId="0" xfId="1" applyFont="1" applyFill="1"/>
    <xf numFmtId="0" fontId="0" fillId="20" borderId="0" xfId="0" applyFill="1"/>
    <xf numFmtId="0" fontId="73" fillId="20" borderId="0" xfId="0" applyFont="1" applyFill="1" applyAlignment="1">
      <alignment horizontal="center"/>
    </xf>
    <xf numFmtId="0" fontId="74" fillId="20" borderId="0" xfId="0" applyFont="1" applyFill="1" applyAlignment="1">
      <alignment horizontal="center"/>
    </xf>
    <xf numFmtId="0" fontId="143" fillId="36" borderId="0" xfId="0" applyFont="1" applyFill="1" applyAlignment="1">
      <alignment horizontal="center" vertical="center"/>
    </xf>
    <xf numFmtId="0" fontId="144" fillId="34" borderId="0" xfId="0" applyFont="1" applyFill="1" applyAlignment="1" applyProtection="1">
      <alignment horizontal="center" vertical="center"/>
      <protection locked="0"/>
    </xf>
    <xf numFmtId="0" fontId="143" fillId="36" borderId="0" xfId="0" applyFont="1" applyFill="1" applyAlignment="1" applyProtection="1">
      <alignment horizontal="center" vertical="center"/>
      <protection locked="0"/>
    </xf>
    <xf numFmtId="0" fontId="128" fillId="0" borderId="0" xfId="0" applyFont="1" applyAlignment="1">
      <alignment vertical="center"/>
    </xf>
    <xf numFmtId="0" fontId="42" fillId="0" borderId="0" xfId="0" applyFont="1"/>
    <xf numFmtId="0" fontId="0" fillId="0" borderId="0" xfId="0" applyAlignment="1">
      <alignment horizontal="left" vertical="center" indent="1"/>
    </xf>
    <xf numFmtId="0" fontId="145" fillId="0" borderId="0" xfId="0" applyFont="1" applyAlignment="1">
      <alignment vertical="center"/>
    </xf>
    <xf numFmtId="0" fontId="43" fillId="0" borderId="0" xfId="0" applyFont="1" applyAlignment="1">
      <alignment vertical="center"/>
    </xf>
    <xf numFmtId="0" fontId="57" fillId="49" borderId="3" xfId="0" applyFont="1" applyFill="1" applyBorder="1" applyAlignment="1">
      <alignment horizontal="center"/>
    </xf>
    <xf numFmtId="0" fontId="3" fillId="52" borderId="23" xfId="0" applyFont="1" applyFill="1" applyBorder="1" applyAlignment="1" applyProtection="1">
      <alignment horizontal="center" wrapText="1"/>
      <protection locked="0"/>
    </xf>
    <xf numFmtId="0" fontId="3" fillId="53" borderId="23" xfId="0" applyFont="1" applyFill="1" applyBorder="1" applyAlignment="1" applyProtection="1">
      <alignment horizontal="center" wrapText="1"/>
      <protection locked="0"/>
    </xf>
    <xf numFmtId="0" fontId="103" fillId="64" borderId="0" xfId="0" applyFont="1" applyFill="1" applyAlignment="1">
      <alignment horizontal="center"/>
    </xf>
    <xf numFmtId="0" fontId="0" fillId="64" borderId="0" xfId="0" applyFill="1"/>
    <xf numFmtId="0" fontId="113" fillId="64" borderId="0" xfId="0" applyFont="1" applyFill="1" applyAlignment="1">
      <alignment horizontal="center"/>
    </xf>
    <xf numFmtId="0" fontId="146" fillId="64" borderId="0" xfId="0" applyFont="1" applyFill="1"/>
    <xf numFmtId="0" fontId="0" fillId="64" borderId="0" xfId="0" applyFill="1" applyAlignment="1">
      <alignment horizontal="center"/>
    </xf>
    <xf numFmtId="0" fontId="0" fillId="47" borderId="0" xfId="0" applyFill="1" applyAlignment="1">
      <alignment horizontal="center"/>
    </xf>
    <xf numFmtId="0" fontId="0" fillId="17" borderId="0" xfId="0" applyFill="1" applyAlignment="1">
      <alignment horizontal="center"/>
    </xf>
    <xf numFmtId="0" fontId="0" fillId="0" borderId="0" xfId="0" applyAlignment="1">
      <alignment horizontal="center"/>
    </xf>
    <xf numFmtId="0" fontId="147" fillId="20" borderId="0" xfId="0" applyFont="1" applyFill="1" applyProtection="1">
      <protection locked="0"/>
    </xf>
    <xf numFmtId="0" fontId="141" fillId="20" borderId="23" xfId="0" applyFont="1" applyFill="1" applyBorder="1" applyAlignment="1" applyProtection="1">
      <alignment horizontal="center"/>
      <protection locked="0"/>
    </xf>
    <xf numFmtId="0" fontId="148" fillId="40" borderId="23" xfId="0" applyFont="1" applyFill="1" applyBorder="1" applyAlignment="1" applyProtection="1">
      <alignment horizontal="center" wrapText="1"/>
      <protection locked="0"/>
    </xf>
    <xf numFmtId="0" fontId="33" fillId="16" borderId="0" xfId="0" applyFont="1" applyFill="1" applyAlignment="1" applyProtection="1">
      <alignment horizontal="center"/>
      <protection locked="0"/>
    </xf>
    <xf numFmtId="14" fontId="21" fillId="13" borderId="0" xfId="0" applyNumberFormat="1" applyFont="1" applyFill="1" applyProtection="1">
      <protection locked="0"/>
    </xf>
    <xf numFmtId="3" fontId="57" fillId="55" borderId="3" xfId="0" applyNumberFormat="1" applyFont="1" applyFill="1" applyBorder="1" applyAlignment="1" applyProtection="1">
      <alignment horizontal="center" vertical="center" wrapText="1"/>
      <protection hidden="1"/>
    </xf>
    <xf numFmtId="2" fontId="57" fillId="55" borderId="3" xfId="0" applyNumberFormat="1" applyFont="1" applyFill="1" applyBorder="1" applyAlignment="1" applyProtection="1">
      <alignment horizontal="center" wrapText="1"/>
      <protection hidden="1"/>
    </xf>
    <xf numFmtId="3" fontId="57" fillId="55" borderId="3" xfId="0" applyNumberFormat="1" applyFont="1" applyFill="1" applyBorder="1" applyAlignment="1" applyProtection="1">
      <alignment horizontal="center" wrapText="1"/>
      <protection hidden="1"/>
    </xf>
    <xf numFmtId="0" fontId="148" fillId="40" borderId="23" xfId="0" applyFont="1" applyFill="1" applyBorder="1" applyAlignment="1" applyProtection="1">
      <alignment horizontal="center" vertical="center" wrapText="1"/>
      <protection locked="0"/>
    </xf>
    <xf numFmtId="3" fontId="141" fillId="0" borderId="23" xfId="0" applyNumberFormat="1" applyFont="1" applyBorder="1" applyAlignment="1" applyProtection="1">
      <alignment horizontal="center"/>
      <protection locked="0"/>
    </xf>
    <xf numFmtId="0" fontId="33" fillId="33" borderId="0" xfId="0" applyFont="1" applyFill="1" applyAlignment="1" applyProtection="1">
      <alignment horizontal="center"/>
      <protection locked="0"/>
    </xf>
    <xf numFmtId="0" fontId="150" fillId="0" borderId="0" xfId="0" applyFont="1" applyAlignment="1" applyProtection="1">
      <alignment horizontal="center"/>
      <protection locked="0"/>
    </xf>
    <xf numFmtId="0" fontId="57" fillId="55" borderId="3" xfId="0" applyFont="1" applyFill="1" applyBorder="1" applyAlignment="1">
      <alignment horizontal="center" wrapText="1"/>
    </xf>
    <xf numFmtId="0" fontId="57" fillId="55" borderId="3" xfId="0" applyFont="1" applyFill="1" applyBorder="1" applyAlignment="1">
      <alignment horizontal="center"/>
    </xf>
    <xf numFmtId="0" fontId="57" fillId="49" borderId="3" xfId="0" applyFont="1" applyFill="1" applyBorder="1" applyAlignment="1">
      <alignment horizontal="center" wrapText="1"/>
    </xf>
    <xf numFmtId="0" fontId="57" fillId="54" borderId="3" xfId="0" applyFont="1" applyFill="1" applyBorder="1" applyAlignment="1">
      <alignment horizontal="left" wrapText="1"/>
    </xf>
    <xf numFmtId="0" fontId="57" fillId="54" borderId="3" xfId="0" applyFont="1" applyFill="1" applyBorder="1" applyAlignment="1">
      <alignment horizontal="left"/>
    </xf>
    <xf numFmtId="0" fontId="36" fillId="0" borderId="0" xfId="0" applyFont="1" applyAlignment="1">
      <alignment horizontal="center"/>
    </xf>
    <xf numFmtId="0" fontId="157" fillId="0" borderId="19" xfId="0" applyFont="1" applyBorder="1" applyAlignment="1" applyProtection="1">
      <alignment horizontal="left"/>
      <protection locked="0"/>
    </xf>
    <xf numFmtId="0" fontId="150" fillId="0" borderId="0" xfId="0" applyFont="1" applyProtection="1">
      <protection locked="0"/>
    </xf>
    <xf numFmtId="38" fontId="150" fillId="0" borderId="0" xfId="3" applyFont="1" applyAlignment="1" applyProtection="1">
      <protection locked="0"/>
    </xf>
    <xf numFmtId="0" fontId="159" fillId="0" borderId="19" xfId="0" applyFont="1" applyBorder="1" applyAlignment="1" applyProtection="1">
      <alignment horizontal="center"/>
      <protection locked="0"/>
    </xf>
    <xf numFmtId="176" fontId="160" fillId="0" borderId="3" xfId="0" applyNumberFormat="1" applyFont="1" applyBorder="1" applyAlignment="1">
      <alignment horizontal="center"/>
    </xf>
    <xf numFmtId="0" fontId="161" fillId="0" borderId="23" xfId="0" applyFont="1" applyBorder="1" applyAlignment="1" applyProtection="1">
      <alignment horizontal="center"/>
      <protection locked="0"/>
    </xf>
    <xf numFmtId="0" fontId="161" fillId="63" borderId="23" xfId="0" applyFont="1" applyFill="1" applyBorder="1" applyProtection="1">
      <protection locked="0"/>
    </xf>
    <xf numFmtId="183" fontId="161" fillId="0" borderId="23" xfId="0" applyNumberFormat="1" applyFont="1" applyBorder="1" applyProtection="1">
      <protection locked="0"/>
    </xf>
    <xf numFmtId="38" fontId="161" fillId="0" borderId="23" xfId="3" applyFont="1" applyBorder="1" applyAlignment="1" applyProtection="1">
      <protection locked="0"/>
    </xf>
    <xf numFmtId="0" fontId="161" fillId="0" borderId="23" xfId="0" applyFont="1" applyBorder="1" applyProtection="1">
      <protection locked="0"/>
    </xf>
    <xf numFmtId="3" fontId="161" fillId="0" borderId="23" xfId="0" applyNumberFormat="1" applyFont="1" applyBorder="1" applyProtection="1">
      <protection locked="0"/>
    </xf>
    <xf numFmtId="10" fontId="161" fillId="0" borderId="23" xfId="0" applyNumberFormat="1" applyFont="1" applyBorder="1" applyProtection="1">
      <protection locked="0"/>
    </xf>
    <xf numFmtId="3" fontId="161" fillId="0" borderId="23" xfId="0" applyNumberFormat="1" applyFont="1" applyBorder="1" applyAlignment="1" applyProtection="1">
      <alignment horizontal="center"/>
      <protection locked="0"/>
    </xf>
    <xf numFmtId="0" fontId="161" fillId="20" borderId="23" xfId="0" applyFont="1" applyFill="1" applyBorder="1" applyAlignment="1" applyProtection="1">
      <alignment horizontal="center"/>
      <protection locked="0"/>
    </xf>
    <xf numFmtId="184" fontId="161" fillId="0" borderId="23" xfId="0" applyNumberFormat="1" applyFont="1" applyBorder="1" applyProtection="1">
      <protection locked="0"/>
    </xf>
    <xf numFmtId="0" fontId="162" fillId="0" borderId="0" xfId="0" applyFont="1" applyProtection="1">
      <protection locked="0"/>
    </xf>
    <xf numFmtId="0" fontId="159" fillId="0" borderId="19" xfId="0" applyFont="1" applyBorder="1" applyAlignment="1" applyProtection="1">
      <alignment horizontal="left"/>
      <protection locked="0"/>
    </xf>
    <xf numFmtId="0" fontId="163" fillId="0" borderId="23" xfId="0" applyFont="1" applyBorder="1" applyProtection="1">
      <protection locked="0"/>
    </xf>
    <xf numFmtId="0" fontId="163" fillId="0" borderId="23" xfId="0" applyFont="1" applyBorder="1" applyAlignment="1" applyProtection="1">
      <alignment horizontal="center"/>
      <protection locked="0"/>
    </xf>
    <xf numFmtId="183" fontId="163" fillId="0" borderId="23" xfId="0" applyNumberFormat="1" applyFont="1" applyBorder="1" applyProtection="1">
      <protection locked="0"/>
    </xf>
    <xf numFmtId="38" fontId="163" fillId="0" borderId="23" xfId="3" applyFont="1" applyBorder="1" applyAlignment="1" applyProtection="1">
      <protection locked="0"/>
    </xf>
    <xf numFmtId="3" fontId="163" fillId="0" borderId="23" xfId="0" applyNumberFormat="1" applyFont="1" applyBorder="1" applyProtection="1">
      <protection locked="0"/>
    </xf>
    <xf numFmtId="10" fontId="163" fillId="0" borderId="23" xfId="0" applyNumberFormat="1" applyFont="1" applyBorder="1" applyProtection="1">
      <protection locked="0"/>
    </xf>
    <xf numFmtId="3" fontId="163" fillId="0" borderId="23" xfId="0" applyNumberFormat="1" applyFont="1" applyBorder="1" applyAlignment="1" applyProtection="1">
      <alignment horizontal="center"/>
      <protection locked="0"/>
    </xf>
    <xf numFmtId="0" fontId="163" fillId="20" borderId="23" xfId="0" applyFont="1" applyFill="1" applyBorder="1" applyAlignment="1" applyProtection="1">
      <alignment horizontal="center"/>
      <protection locked="0"/>
    </xf>
    <xf numFmtId="184" fontId="163" fillId="0" borderId="23" xfId="0" applyNumberFormat="1" applyFont="1" applyBorder="1" applyProtection="1">
      <protection locked="0"/>
    </xf>
    <xf numFmtId="3" fontId="162" fillId="0" borderId="0" xfId="0" applyNumberFormat="1" applyFont="1" applyProtection="1">
      <protection locked="0"/>
    </xf>
    <xf numFmtId="0" fontId="7" fillId="10" borderId="0" xfId="0" applyFont="1" applyFill="1" applyAlignment="1" applyProtection="1">
      <alignment horizontal="left" vertical="center"/>
      <protection locked="0"/>
    </xf>
    <xf numFmtId="0" fontId="0" fillId="0" borderId="0" xfId="0" applyProtection="1">
      <protection locked="0"/>
    </xf>
    <xf numFmtId="0" fontId="3" fillId="2" borderId="0" xfId="0" applyFont="1" applyFill="1" applyAlignment="1" applyProtection="1">
      <alignment horizontal="left" vertical="center"/>
      <protection locked="0"/>
    </xf>
    <xf numFmtId="0" fontId="4" fillId="3" borderId="0" xfId="0" applyFont="1" applyFill="1" applyAlignment="1" applyProtection="1">
      <alignment horizontal="left" vertical="center"/>
      <protection locked="0"/>
    </xf>
    <xf numFmtId="0" fontId="34" fillId="0" borderId="67" xfId="0" applyFont="1" applyBorder="1"/>
    <xf numFmtId="0" fontId="126" fillId="12" borderId="0" xfId="0" applyFont="1" applyFill="1"/>
    <xf numFmtId="0" fontId="0" fillId="0" borderId="0" xfId="0"/>
    <xf numFmtId="0" fontId="57" fillId="22" borderId="14" xfId="0" applyFont="1" applyFill="1" applyBorder="1" applyAlignment="1" applyProtection="1">
      <alignment horizontal="center" vertical="center"/>
      <protection locked="0"/>
    </xf>
    <xf numFmtId="0" fontId="0" fillId="0" borderId="14" xfId="0" applyBorder="1" applyProtection="1">
      <protection locked="0"/>
    </xf>
    <xf numFmtId="0" fontId="28" fillId="16" borderId="0" xfId="0" applyFont="1" applyFill="1" applyAlignment="1" applyProtection="1">
      <alignment horizontal="center" vertical="center"/>
      <protection locked="0"/>
    </xf>
    <xf numFmtId="0" fontId="105" fillId="45" borderId="0" xfId="0" applyFont="1" applyFill="1"/>
    <xf numFmtId="0" fontId="19" fillId="0" borderId="0" xfId="0" applyFont="1" applyAlignment="1">
      <alignment horizontal="center"/>
    </xf>
    <xf numFmtId="0" fontId="138" fillId="57" borderId="63" xfId="1" applyFont="1" applyFill="1" applyBorder="1" applyAlignment="1">
      <alignment horizontal="right" vertical="center" wrapText="1"/>
    </xf>
    <xf numFmtId="0" fontId="138" fillId="57" borderId="64" xfId="1" applyFont="1" applyFill="1" applyBorder="1" applyAlignment="1">
      <alignment horizontal="right" vertical="center" wrapText="1"/>
    </xf>
    <xf numFmtId="0" fontId="133" fillId="56" borderId="3" xfId="0" applyFont="1" applyFill="1" applyBorder="1" applyAlignment="1" applyProtection="1">
      <alignment horizontal="center" vertical="center"/>
      <protection hidden="1"/>
    </xf>
    <xf numFmtId="0" fontId="134" fillId="0" borderId="12" xfId="0" applyFont="1" applyBorder="1" applyProtection="1">
      <protection hidden="1"/>
    </xf>
    <xf numFmtId="0" fontId="134" fillId="0" borderId="13" xfId="0" applyFont="1" applyBorder="1" applyProtection="1">
      <protection hidden="1"/>
    </xf>
    <xf numFmtId="0" fontId="33" fillId="9" borderId="0" xfId="0" applyFont="1" applyFill="1" applyAlignment="1" applyProtection="1">
      <alignment horizontal="left" vertical="center"/>
      <protection locked="0"/>
    </xf>
    <xf numFmtId="0" fontId="7" fillId="6" borderId="0" xfId="0" applyFont="1" applyFill="1" applyAlignment="1" applyProtection="1">
      <alignment horizontal="left" vertical="center"/>
      <protection locked="0"/>
    </xf>
    <xf numFmtId="0" fontId="7" fillId="8" borderId="0" xfId="0" applyFont="1" applyFill="1" applyAlignment="1" applyProtection="1">
      <alignment horizontal="left" vertical="center"/>
      <protection locked="0"/>
    </xf>
    <xf numFmtId="0" fontId="7" fillId="3" borderId="3" xfId="0" applyFont="1" applyFill="1" applyBorder="1" applyAlignment="1" applyProtection="1">
      <alignment horizontal="left" vertical="center"/>
      <protection locked="0"/>
    </xf>
    <xf numFmtId="0" fontId="0" fillId="0" borderId="12" xfId="0" applyBorder="1" applyProtection="1">
      <protection locked="0"/>
    </xf>
    <xf numFmtId="0" fontId="0" fillId="0" borderId="13" xfId="0" applyBorder="1" applyProtection="1">
      <protection locked="0"/>
    </xf>
    <xf numFmtId="0" fontId="33" fillId="0" borderId="0" xfId="0" applyFont="1" applyAlignment="1" applyProtection="1">
      <alignment horizontal="center"/>
      <protection locked="0"/>
    </xf>
    <xf numFmtId="0" fontId="139" fillId="0" borderId="0" xfId="0" applyFont="1" applyProtection="1">
      <protection locked="0"/>
    </xf>
    <xf numFmtId="178" fontId="57" fillId="55" borderId="3" xfId="0" applyNumberFormat="1" applyFont="1" applyFill="1" applyBorder="1" applyAlignment="1" applyProtection="1">
      <alignment horizontal="center" vertical="center" wrapText="1"/>
      <protection hidden="1"/>
    </xf>
    <xf numFmtId="0" fontId="136" fillId="0" borderId="3" xfId="0" applyFont="1" applyFill="1" applyBorder="1"/>
    <xf numFmtId="176" fontId="136" fillId="0" borderId="3" xfId="0" applyNumberFormat="1" applyFont="1" applyFill="1" applyBorder="1" applyAlignment="1">
      <alignment horizontal="left"/>
    </xf>
    <xf numFmtId="3" fontId="136" fillId="0" borderId="3" xfId="0" applyNumberFormat="1" applyFont="1" applyFill="1" applyBorder="1" applyAlignment="1">
      <alignment horizontal="right"/>
    </xf>
    <xf numFmtId="3" fontId="136" fillId="0" borderId="3" xfId="0" applyNumberFormat="1" applyFont="1" applyFill="1" applyBorder="1" applyAlignment="1">
      <alignment horizontal="right" vertical="center"/>
    </xf>
    <xf numFmtId="0" fontId="136" fillId="0" borderId="3" xfId="0" applyFont="1" applyFill="1" applyBorder="1" applyAlignment="1">
      <alignment horizontal="right"/>
    </xf>
    <xf numFmtId="0" fontId="136" fillId="0" borderId="3" xfId="0" applyFont="1" applyFill="1" applyBorder="1" applyAlignment="1">
      <alignment horizontal="center"/>
    </xf>
    <xf numFmtId="0" fontId="136" fillId="0" borderId="3" xfId="0" applyFont="1" applyFill="1" applyBorder="1" applyAlignment="1">
      <alignment horizontal="left"/>
    </xf>
    <xf numFmtId="0" fontId="136" fillId="0" borderId="3" xfId="0" applyFont="1" applyFill="1" applyBorder="1" applyAlignment="1">
      <alignment horizontal="center" wrapText="1"/>
    </xf>
    <xf numFmtId="176" fontId="136" fillId="0" borderId="3" xfId="0" applyNumberFormat="1" applyFont="1" applyFill="1" applyBorder="1" applyAlignment="1">
      <alignment horizontal="center" wrapText="1"/>
    </xf>
    <xf numFmtId="3" fontId="136" fillId="0" borderId="3" xfId="0" applyNumberFormat="1" applyFont="1" applyFill="1" applyBorder="1" applyAlignment="1">
      <alignment horizontal="right" wrapText="1"/>
    </xf>
    <xf numFmtId="3" fontId="136" fillId="0" borderId="3" xfId="0" applyNumberFormat="1" applyFont="1" applyFill="1" applyBorder="1" applyAlignment="1">
      <alignment horizontal="right" vertical="center" wrapText="1"/>
    </xf>
    <xf numFmtId="0" fontId="136" fillId="0" borderId="3" xfId="0" applyFont="1" applyFill="1" applyBorder="1" applyAlignment="1">
      <alignment horizontal="right" wrapText="1"/>
    </xf>
    <xf numFmtId="0" fontId="136" fillId="0" borderId="3" xfId="0" applyFont="1" applyFill="1" applyBorder="1" applyAlignment="1">
      <alignment horizontal="center" vertical="center" wrapText="1"/>
    </xf>
    <xf numFmtId="0" fontId="136" fillId="0" borderId="3" xfId="0" applyFont="1" applyFill="1" applyBorder="1" applyAlignment="1">
      <alignment horizontal="left" wrapText="1"/>
    </xf>
    <xf numFmtId="176" fontId="136" fillId="0" borderId="3" xfId="0" applyNumberFormat="1" applyFont="1" applyFill="1" applyBorder="1" applyAlignment="1">
      <alignment horizontal="center"/>
    </xf>
    <xf numFmtId="0" fontId="136" fillId="0" borderId="3" xfId="0" applyFont="1" applyFill="1" applyBorder="1" applyAlignment="1">
      <alignment horizontal="center" vertical="center"/>
    </xf>
    <xf numFmtId="0" fontId="136" fillId="0" borderId="0" xfId="0" applyFont="1" applyFill="1" applyAlignment="1">
      <alignment horizontal="center" vertical="center" wrapText="1"/>
    </xf>
    <xf numFmtId="0" fontId="136" fillId="0" borderId="3" xfId="0" applyFont="1" applyFill="1" applyBorder="1" applyProtection="1">
      <protection hidden="1"/>
    </xf>
    <xf numFmtId="176" fontId="136" fillId="0" borderId="3" xfId="0" applyNumberFormat="1" applyFont="1" applyFill="1" applyBorder="1" applyAlignment="1" applyProtection="1">
      <alignment horizontal="center"/>
      <protection hidden="1"/>
    </xf>
    <xf numFmtId="3" fontId="136" fillId="0" borderId="3" xfId="0" applyNumberFormat="1" applyFont="1" applyFill="1" applyBorder="1" applyAlignment="1" applyProtection="1">
      <alignment horizontal="right"/>
      <protection hidden="1"/>
    </xf>
    <xf numFmtId="3" fontId="136" fillId="0" borderId="3" xfId="0" applyNumberFormat="1" applyFont="1" applyFill="1" applyBorder="1" applyAlignment="1" applyProtection="1">
      <alignment horizontal="right" vertical="center"/>
      <protection hidden="1"/>
    </xf>
    <xf numFmtId="178"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center"/>
      <protection hidden="1"/>
    </xf>
    <xf numFmtId="2"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center" vertical="center"/>
      <protection hidden="1"/>
    </xf>
    <xf numFmtId="0" fontId="136" fillId="0" borderId="3" xfId="0" applyFont="1" applyFill="1" applyBorder="1" applyAlignment="1" applyProtection="1">
      <alignment horizontal="left"/>
      <protection hidden="1"/>
    </xf>
    <xf numFmtId="0" fontId="136" fillId="0" borderId="3" xfId="0" applyFont="1" applyFill="1" applyBorder="1" applyAlignment="1" applyProtection="1">
      <alignment horizontal="center" wrapText="1"/>
      <protection hidden="1"/>
    </xf>
    <xf numFmtId="176" fontId="136" fillId="0" borderId="3" xfId="0" applyNumberFormat="1" applyFont="1" applyFill="1" applyBorder="1" applyAlignment="1" applyProtection="1">
      <alignment horizontal="center" wrapText="1"/>
      <protection hidden="1"/>
    </xf>
    <xf numFmtId="3" fontId="136" fillId="0" borderId="3" xfId="0" applyNumberFormat="1" applyFont="1" applyFill="1" applyBorder="1" applyAlignment="1" applyProtection="1">
      <alignment horizontal="right" wrapText="1"/>
      <protection hidden="1"/>
    </xf>
    <xf numFmtId="3" fontId="136" fillId="0" borderId="3" xfId="0" applyNumberFormat="1" applyFont="1" applyFill="1" applyBorder="1" applyAlignment="1" applyProtection="1">
      <alignment horizontal="right" vertical="center" wrapText="1"/>
      <protection hidden="1"/>
    </xf>
    <xf numFmtId="178" fontId="136" fillId="0" borderId="3" xfId="0" applyNumberFormat="1" applyFont="1" applyFill="1" applyBorder="1" applyAlignment="1" applyProtection="1">
      <alignment horizontal="right" wrapText="1"/>
      <protection hidden="1"/>
    </xf>
    <xf numFmtId="2" fontId="136" fillId="0" borderId="3" xfId="0" applyNumberFormat="1" applyFont="1" applyFill="1" applyBorder="1" applyAlignment="1" applyProtection="1">
      <alignment horizontal="right" wrapText="1"/>
      <protection hidden="1"/>
    </xf>
    <xf numFmtId="0" fontId="136" fillId="0" borderId="3" xfId="0" applyFont="1" applyFill="1" applyBorder="1" applyAlignment="1" applyProtection="1">
      <alignment horizontal="center" vertical="center" wrapText="1"/>
      <protection hidden="1"/>
    </xf>
    <xf numFmtId="0" fontId="136" fillId="0" borderId="3" xfId="0" applyFont="1" applyFill="1" applyBorder="1" applyAlignment="1" applyProtection="1">
      <alignment horizontal="left" wrapText="1"/>
      <protection hidden="1"/>
    </xf>
    <xf numFmtId="0" fontId="142" fillId="0" borderId="0" xfId="1" applyFont="1" applyFill="1" applyAlignment="1">
      <alignment horizontal="center"/>
    </xf>
    <xf numFmtId="0" fontId="136" fillId="0" borderId="0" xfId="0" applyFont="1" applyFill="1"/>
    <xf numFmtId="176" fontId="136" fillId="0" borderId="0" xfId="0" applyNumberFormat="1" applyFont="1" applyFill="1" applyAlignment="1">
      <alignment horizontal="left"/>
    </xf>
    <xf numFmtId="0" fontId="136" fillId="0" borderId="0" xfId="0" applyFont="1" applyFill="1" applyAlignment="1">
      <alignment horizontal="left"/>
    </xf>
    <xf numFmtId="3" fontId="136" fillId="0" borderId="0" xfId="0" applyNumberFormat="1" applyFont="1" applyFill="1" applyAlignment="1">
      <alignment horizontal="right"/>
    </xf>
    <xf numFmtId="3" fontId="136" fillId="0" borderId="0" xfId="0" applyNumberFormat="1" applyFont="1" applyFill="1" applyAlignment="1">
      <alignment horizontal="right" vertical="center"/>
    </xf>
    <xf numFmtId="0" fontId="136" fillId="0" borderId="0" xfId="0" applyFont="1" applyFill="1" applyAlignment="1">
      <alignment horizontal="right"/>
    </xf>
    <xf numFmtId="0" fontId="136" fillId="0" borderId="0" xfId="0" applyFont="1" applyFill="1" applyAlignment="1">
      <alignment horizontal="center"/>
    </xf>
    <xf numFmtId="0" fontId="136" fillId="0" borderId="0" xfId="0" applyFont="1" applyFill="1" applyAlignment="1">
      <alignment horizontal="center" wrapText="1"/>
    </xf>
    <xf numFmtId="176" fontId="136" fillId="0" borderId="0" xfId="0" applyNumberFormat="1" applyFont="1" applyFill="1" applyAlignment="1">
      <alignment horizontal="center" wrapText="1"/>
    </xf>
    <xf numFmtId="3" fontId="136" fillId="0" borderId="0" xfId="0" applyNumberFormat="1" applyFont="1" applyFill="1" applyAlignment="1">
      <alignment horizontal="right" wrapText="1"/>
    </xf>
    <xf numFmtId="3" fontId="136" fillId="0" borderId="0" xfId="0" applyNumberFormat="1" applyFont="1" applyFill="1" applyAlignment="1">
      <alignment horizontal="right" vertical="center" wrapText="1"/>
    </xf>
    <xf numFmtId="0" fontId="136" fillId="0" borderId="0" xfId="0" applyFont="1" applyFill="1" applyAlignment="1">
      <alignment horizontal="right" wrapText="1"/>
    </xf>
    <xf numFmtId="0" fontId="136" fillId="0" borderId="0" xfId="0" applyFont="1" applyFill="1" applyAlignment="1">
      <alignment horizontal="left" wrapText="1"/>
    </xf>
    <xf numFmtId="176" fontId="136" fillId="0" borderId="0" xfId="0" applyNumberFormat="1" applyFont="1" applyFill="1" applyAlignment="1">
      <alignment horizontal="left" wrapText="1"/>
    </xf>
    <xf numFmtId="0" fontId="136" fillId="0" borderId="0" xfId="0" applyFont="1" applyFill="1" applyAlignment="1" applyProtection="1">
      <alignment horizontal="left" wrapText="1"/>
      <protection hidden="1"/>
    </xf>
    <xf numFmtId="0" fontId="136" fillId="0" borderId="0" xfId="0" applyFont="1" applyFill="1" applyProtection="1">
      <protection hidden="1"/>
    </xf>
    <xf numFmtId="176" fontId="136" fillId="0" borderId="0" xfId="0" applyNumberFormat="1" applyFont="1" applyFill="1" applyAlignment="1" applyProtection="1">
      <alignment horizontal="left"/>
      <protection hidden="1"/>
    </xf>
    <xf numFmtId="0" fontId="136" fillId="0" borderId="0" xfId="0" applyFont="1" applyFill="1" applyAlignment="1" applyProtection="1">
      <alignment horizontal="left"/>
      <protection hidden="1"/>
    </xf>
    <xf numFmtId="3" fontId="136" fillId="0" borderId="0" xfId="0" applyNumberFormat="1" applyFont="1" applyFill="1" applyAlignment="1" applyProtection="1">
      <alignment horizontal="right"/>
      <protection hidden="1"/>
    </xf>
    <xf numFmtId="3" fontId="136" fillId="0" borderId="0" xfId="0" applyNumberFormat="1" applyFont="1" applyFill="1" applyAlignment="1" applyProtection="1">
      <alignment horizontal="right" vertical="center"/>
      <protection hidden="1"/>
    </xf>
    <xf numFmtId="178" fontId="136" fillId="0" borderId="0" xfId="0" applyNumberFormat="1" applyFont="1" applyFill="1" applyAlignment="1" applyProtection="1">
      <alignment horizontal="right"/>
      <protection hidden="1"/>
    </xf>
    <xf numFmtId="0" fontId="136" fillId="0" borderId="0" xfId="0" applyFont="1" applyFill="1" applyAlignment="1" applyProtection="1">
      <alignment horizontal="center"/>
      <protection hidden="1"/>
    </xf>
    <xf numFmtId="2" fontId="136" fillId="0" borderId="0" xfId="0" applyNumberFormat="1" applyFont="1" applyFill="1" applyAlignment="1" applyProtection="1">
      <alignment horizontal="right"/>
      <protection hidden="1"/>
    </xf>
    <xf numFmtId="0" fontId="112" fillId="0" borderId="0" xfId="0" applyFont="1" applyFill="1"/>
    <xf numFmtId="0" fontId="112" fillId="0" borderId="0" xfId="0" applyFont="1" applyFill="1" applyAlignment="1">
      <alignment horizontal="left"/>
    </xf>
    <xf numFmtId="0" fontId="112" fillId="0" borderId="0" xfId="0" applyFont="1" applyFill="1" applyAlignment="1">
      <alignment horizontal="right"/>
    </xf>
    <xf numFmtId="0" fontId="112" fillId="0" borderId="0" xfId="0" applyFont="1" applyFill="1" applyAlignment="1">
      <alignment horizontal="right" vertical="center"/>
    </xf>
    <xf numFmtId="0" fontId="112" fillId="0" borderId="0" xfId="0" applyFont="1" applyFill="1" applyAlignment="1">
      <alignment horizontal="center"/>
    </xf>
    <xf numFmtId="0" fontId="130" fillId="0" borderId="0" xfId="1" applyFont="1" applyFill="1" applyAlignment="1">
      <alignment horizontal="center"/>
    </xf>
    <xf numFmtId="0" fontId="136" fillId="0" borderId="3" xfId="0" applyFont="1" applyFill="1" applyBorder="1" applyAlignment="1">
      <alignment wrapText="1"/>
    </xf>
    <xf numFmtId="0" fontId="136" fillId="0" borderId="3" xfId="0" applyFont="1" applyFill="1" applyBorder="1" applyAlignment="1" applyProtection="1">
      <alignment wrapText="1"/>
      <protection hidden="1"/>
    </xf>
    <xf numFmtId="0" fontId="135" fillId="49" borderId="0" xfId="1" applyFont="1" applyFill="1" applyAlignment="1">
      <alignment horizontal="center"/>
    </xf>
    <xf numFmtId="0" fontId="136" fillId="65" borderId="3" xfId="0" applyFont="1" applyFill="1" applyBorder="1"/>
    <xf numFmtId="176" fontId="136" fillId="65" borderId="3" xfId="0" applyNumberFormat="1" applyFont="1" applyFill="1" applyBorder="1" applyAlignment="1">
      <alignment horizontal="left"/>
    </xf>
    <xf numFmtId="0" fontId="137" fillId="65" borderId="3" xfId="0" applyFont="1" applyFill="1" applyBorder="1" applyAlignment="1">
      <alignment horizontal="left"/>
    </xf>
    <xf numFmtId="3" fontId="136" fillId="65" borderId="3" xfId="0" applyNumberFormat="1" applyFont="1" applyFill="1" applyBorder="1" applyAlignment="1">
      <alignment horizontal="right"/>
    </xf>
    <xf numFmtId="3" fontId="136" fillId="65" borderId="3" xfId="0" applyNumberFormat="1" applyFont="1" applyFill="1" applyBorder="1" applyAlignment="1">
      <alignment horizontal="right" vertical="center"/>
    </xf>
    <xf numFmtId="0" fontId="136" fillId="65" borderId="3" xfId="0" applyFont="1" applyFill="1" applyBorder="1" applyAlignment="1">
      <alignment horizontal="right"/>
    </xf>
    <xf numFmtId="0" fontId="136" fillId="65" borderId="3" xfId="0" applyFont="1" applyFill="1" applyBorder="1" applyAlignment="1">
      <alignment horizontal="center"/>
    </xf>
    <xf numFmtId="0" fontId="136" fillId="65" borderId="3" xfId="0" applyFont="1" applyFill="1" applyBorder="1" applyAlignment="1">
      <alignment horizontal="left"/>
    </xf>
    <xf numFmtId="0" fontId="164" fillId="66" borderId="3" xfId="0" applyFont="1" applyFill="1" applyBorder="1" applyAlignment="1">
      <alignment horizontal="left" wrapText="1"/>
    </xf>
    <xf numFmtId="0" fontId="136" fillId="17" borderId="3" xfId="0" applyFont="1" applyFill="1" applyBorder="1" applyAlignment="1">
      <alignment horizontal="center" wrapText="1"/>
    </xf>
    <xf numFmtId="176" fontId="136" fillId="17" borderId="3" xfId="0" applyNumberFormat="1" applyFont="1" applyFill="1" applyBorder="1" applyAlignment="1">
      <alignment horizontal="center" wrapText="1"/>
    </xf>
    <xf numFmtId="0" fontId="137" fillId="17" borderId="3" xfId="0" applyFont="1" applyFill="1" applyBorder="1" applyAlignment="1">
      <alignment wrapText="1"/>
    </xf>
    <xf numFmtId="3" fontId="136" fillId="17" borderId="3" xfId="0" applyNumberFormat="1" applyFont="1" applyFill="1" applyBorder="1" applyAlignment="1">
      <alignment horizontal="right" wrapText="1"/>
    </xf>
    <xf numFmtId="3" fontId="136" fillId="17" borderId="3" xfId="0" applyNumberFormat="1" applyFont="1" applyFill="1" applyBorder="1" applyAlignment="1">
      <alignment horizontal="right" vertical="center" wrapText="1"/>
    </xf>
    <xf numFmtId="0" fontId="136" fillId="17" borderId="3" xfId="0" applyFont="1" applyFill="1" applyBorder="1" applyAlignment="1">
      <alignment horizontal="right" wrapText="1"/>
    </xf>
    <xf numFmtId="0" fontId="136" fillId="17" borderId="3" xfId="0" applyFont="1" applyFill="1" applyBorder="1" applyAlignment="1">
      <alignment horizontal="left" wrapText="1"/>
    </xf>
    <xf numFmtId="0" fontId="136" fillId="65" borderId="3" xfId="0" applyFont="1" applyFill="1" applyBorder="1" applyAlignment="1">
      <alignment horizontal="center" wrapText="1"/>
    </xf>
    <xf numFmtId="176" fontId="136" fillId="65" borderId="3" xfId="0" applyNumberFormat="1" applyFont="1" applyFill="1" applyBorder="1" applyAlignment="1">
      <alignment horizontal="center" wrapText="1"/>
    </xf>
    <xf numFmtId="0" fontId="137" fillId="65" borderId="3" xfId="0" applyFont="1" applyFill="1" applyBorder="1" applyAlignment="1">
      <alignment wrapText="1"/>
    </xf>
    <xf numFmtId="3" fontId="136" fillId="65" borderId="3" xfId="0" applyNumberFormat="1" applyFont="1" applyFill="1" applyBorder="1" applyAlignment="1">
      <alignment horizontal="right" wrapText="1"/>
    </xf>
    <xf numFmtId="3" fontId="136" fillId="65" borderId="3" xfId="0" applyNumberFormat="1" applyFont="1" applyFill="1" applyBorder="1" applyAlignment="1">
      <alignment horizontal="right" vertical="center" wrapText="1"/>
    </xf>
    <xf numFmtId="0" fontId="136" fillId="65" borderId="3" xfId="0" applyFont="1" applyFill="1" applyBorder="1" applyAlignment="1">
      <alignment horizontal="right" wrapText="1"/>
    </xf>
    <xf numFmtId="0" fontId="136" fillId="65" borderId="3" xfId="0" applyFont="1" applyFill="1" applyBorder="1" applyAlignment="1">
      <alignment horizontal="left" wrapText="1"/>
    </xf>
    <xf numFmtId="0" fontId="136" fillId="17" borderId="3" xfId="0" applyFont="1" applyFill="1" applyBorder="1"/>
    <xf numFmtId="176" fontId="136" fillId="17" borderId="3" xfId="0" applyNumberFormat="1" applyFont="1" applyFill="1" applyBorder="1" applyAlignment="1">
      <alignment horizontal="center"/>
    </xf>
    <xf numFmtId="0" fontId="137" fillId="17" borderId="3" xfId="0" applyFont="1" applyFill="1" applyBorder="1"/>
    <xf numFmtId="3" fontId="136" fillId="17" borderId="3" xfId="0" applyNumberFormat="1" applyFont="1" applyFill="1" applyBorder="1" applyAlignment="1">
      <alignment horizontal="right"/>
    </xf>
    <xf numFmtId="3" fontId="136" fillId="17" borderId="3" xfId="0" applyNumberFormat="1" applyFont="1" applyFill="1" applyBorder="1" applyAlignment="1">
      <alignment horizontal="right" vertical="center"/>
    </xf>
    <xf numFmtId="0" fontId="136" fillId="17" borderId="3" xfId="0" applyFont="1" applyFill="1" applyBorder="1" applyAlignment="1">
      <alignment horizontal="right"/>
    </xf>
    <xf numFmtId="0" fontId="136" fillId="17" borderId="3" xfId="0" applyFont="1" applyFill="1" applyBorder="1" applyAlignment="1">
      <alignment horizontal="center"/>
    </xf>
    <xf numFmtId="0" fontId="136" fillId="17" borderId="3" xfId="0" applyFont="1" applyFill="1" applyBorder="1" applyAlignment="1">
      <alignment horizontal="left"/>
    </xf>
    <xf numFmtId="176" fontId="136" fillId="65" borderId="3" xfId="0" applyNumberFormat="1" applyFont="1" applyFill="1" applyBorder="1" applyAlignment="1">
      <alignment horizontal="center"/>
    </xf>
    <xf numFmtId="0" fontId="137" fillId="65" borderId="3" xfId="0" applyFont="1" applyFill="1" applyBorder="1"/>
    <xf numFmtId="0" fontId="137" fillId="65" borderId="3" xfId="0" applyFont="1" applyFill="1" applyBorder="1" applyAlignment="1">
      <alignment horizontal="center" wrapText="1"/>
    </xf>
    <xf numFmtId="0" fontId="137" fillId="17" borderId="3" xfId="0" applyFont="1" applyFill="1" applyBorder="1" applyAlignment="1">
      <alignment horizontal="left"/>
    </xf>
    <xf numFmtId="0" fontId="137" fillId="17" borderId="3" xfId="0" applyFont="1" applyFill="1" applyBorder="1" applyAlignment="1">
      <alignment horizontal="center" wrapText="1"/>
    </xf>
    <xf numFmtId="0" fontId="129" fillId="0" borderId="3" xfId="0" applyFont="1" applyFill="1" applyBorder="1"/>
    <xf numFmtId="176" fontId="129" fillId="0" borderId="3" xfId="0" applyNumberFormat="1" applyFont="1" applyFill="1" applyBorder="1"/>
    <xf numFmtId="0" fontId="129" fillId="0" borderId="3" xfId="0" applyFont="1" applyFill="1" applyBorder="1" applyAlignment="1">
      <alignment horizontal="left"/>
    </xf>
    <xf numFmtId="3" fontId="129" fillId="0" borderId="3" xfId="0" applyNumberFormat="1" applyFont="1" applyFill="1" applyBorder="1"/>
    <xf numFmtId="0" fontId="129" fillId="0" borderId="3" xfId="0" applyFont="1" applyFill="1" applyBorder="1" applyAlignment="1">
      <alignment horizontal="center"/>
    </xf>
    <xf numFmtId="176" fontId="158" fillId="0" borderId="3" xfId="0" applyNumberFormat="1" applyFont="1" applyFill="1" applyBorder="1"/>
    <xf numFmtId="0" fontId="127" fillId="0" borderId="3" xfId="0" applyFont="1" applyFill="1" applyBorder="1"/>
    <xf numFmtId="0" fontId="127" fillId="0" borderId="3" xfId="0" applyFont="1" applyFill="1" applyBorder="1" applyAlignment="1">
      <alignment horizontal="center"/>
    </xf>
    <xf numFmtId="0" fontId="127" fillId="0" borderId="0" xfId="0" applyFont="1" applyFill="1"/>
    <xf numFmtId="0" fontId="127" fillId="0" borderId="0" xfId="0" applyFont="1" applyFill="1" applyAlignment="1">
      <alignment horizontal="center"/>
    </xf>
    <xf numFmtId="0" fontId="149" fillId="16" borderId="0" xfId="1" applyFont="1" applyFill="1" applyAlignment="1">
      <alignment horizontal="center"/>
    </xf>
    <xf numFmtId="0" fontId="165" fillId="0" borderId="3" xfId="0" applyFont="1" applyFill="1" applyBorder="1"/>
    <xf numFmtId="176" fontId="165" fillId="0" borderId="3" xfId="0" applyNumberFormat="1" applyFont="1" applyFill="1" applyBorder="1"/>
    <xf numFmtId="0" fontId="166" fillId="0" borderId="3" xfId="0" applyFont="1" applyFill="1" applyBorder="1" applyAlignment="1">
      <alignment horizontal="left"/>
    </xf>
    <xf numFmtId="3" fontId="165" fillId="0" borderId="3" xfId="0" applyNumberFormat="1" applyFont="1" applyFill="1" applyBorder="1"/>
    <xf numFmtId="0" fontId="88" fillId="66" borderId="3" xfId="0" applyFont="1" applyFill="1" applyBorder="1"/>
    <xf numFmtId="0" fontId="168" fillId="0" borderId="3" xfId="0" applyFont="1" applyFill="1" applyBorder="1"/>
    <xf numFmtId="0" fontId="165" fillId="67" borderId="3" xfId="0" applyFont="1" applyFill="1" applyBorder="1"/>
    <xf numFmtId="0" fontId="167" fillId="68" borderId="3" xfId="0" applyFont="1" applyFill="1" applyBorder="1"/>
    <xf numFmtId="0" fontId="88" fillId="39" borderId="3" xfId="0" applyFont="1" applyFill="1" applyBorder="1"/>
    <xf numFmtId="176" fontId="165" fillId="0" borderId="0" xfId="0" applyNumberFormat="1" applyFont="1" applyFill="1" applyBorder="1"/>
    <xf numFmtId="0" fontId="170" fillId="0" borderId="0" xfId="0" applyFont="1" applyAlignment="1">
      <alignment horizontal="left" vertical="center"/>
    </xf>
    <xf numFmtId="0" fontId="169" fillId="69" borderId="68" xfId="0" applyFont="1" applyFill="1" applyBorder="1" applyAlignment="1">
      <alignment horizontal="center" vertical="center" wrapText="1"/>
    </xf>
    <xf numFmtId="0" fontId="173" fillId="71" borderId="68" xfId="0" applyFont="1" applyFill="1" applyBorder="1" applyAlignment="1">
      <alignment horizontal="center" vertical="center" wrapText="1"/>
    </xf>
    <xf numFmtId="0" fontId="171" fillId="70" borderId="68" xfId="0" applyFont="1" applyFill="1" applyBorder="1" applyAlignment="1">
      <alignment horizontal="center" vertical="center"/>
    </xf>
    <xf numFmtId="0" fontId="172" fillId="0" borderId="0" xfId="0" applyFont="1" applyAlignment="1">
      <alignment horizontal="left" vertical="top" wrapText="1"/>
    </xf>
    <xf numFmtId="0" fontId="174" fillId="0" borderId="68" xfId="0" applyFont="1" applyBorder="1" applyAlignment="1">
      <alignment horizontal="left" vertical="center" wrapText="1"/>
    </xf>
    <xf numFmtId="0" fontId="174" fillId="0" borderId="68" xfId="0" applyFont="1" applyBorder="1" applyAlignment="1">
      <alignment horizontal="center" vertical="center"/>
    </xf>
    <xf numFmtId="3" fontId="174" fillId="0" borderId="68" xfId="0" applyNumberFormat="1" applyFont="1" applyBorder="1" applyAlignment="1">
      <alignment horizontal="right" vertical="center"/>
    </xf>
    <xf numFmtId="205" fontId="174" fillId="0" borderId="68" xfId="0" applyNumberFormat="1" applyFont="1" applyBorder="1" applyAlignment="1">
      <alignment horizontal="right" vertical="center"/>
    </xf>
    <xf numFmtId="200" fontId="174" fillId="0" borderId="68" xfId="0" applyNumberFormat="1" applyFont="1" applyBorder="1" applyAlignment="1">
      <alignment horizontal="right" vertical="center"/>
    </xf>
    <xf numFmtId="1" fontId="174" fillId="0" borderId="68" xfId="0" applyNumberFormat="1" applyFont="1" applyBorder="1" applyAlignment="1">
      <alignment horizontal="right" vertical="center"/>
    </xf>
    <xf numFmtId="202" fontId="174" fillId="0" borderId="68" xfId="0" applyNumberFormat="1" applyFont="1" applyBorder="1" applyAlignment="1">
      <alignment horizontal="right" vertical="center"/>
    </xf>
    <xf numFmtId="2" fontId="174" fillId="0" borderId="68" xfId="0" applyNumberFormat="1" applyFont="1" applyBorder="1" applyAlignment="1">
      <alignment horizontal="right" vertical="center"/>
    </xf>
    <xf numFmtId="203" fontId="174" fillId="0" borderId="68" xfId="0" applyNumberFormat="1" applyFont="1" applyBorder="1" applyAlignment="1">
      <alignment horizontal="right" vertical="center"/>
    </xf>
    <xf numFmtId="204" fontId="174" fillId="0" borderId="68" xfId="0" applyNumberFormat="1" applyFont="1" applyBorder="1" applyAlignment="1">
      <alignment horizontal="right" vertical="center"/>
    </xf>
    <xf numFmtId="0" fontId="173" fillId="0" borderId="68" xfId="0" applyFont="1" applyBorder="1" applyAlignment="1">
      <alignment horizontal="center" vertical="center" wrapText="1"/>
    </xf>
    <xf numFmtId="0" fontId="173" fillId="72" borderId="68" xfId="0" applyFont="1" applyFill="1" applyBorder="1" applyAlignment="1">
      <alignment horizontal="left" vertical="center" wrapText="1"/>
    </xf>
    <xf numFmtId="0" fontId="175" fillId="71" borderId="68" xfId="0" applyFont="1" applyFill="1" applyBorder="1" applyAlignment="1">
      <alignment horizontal="left" vertical="center" wrapText="1"/>
    </xf>
    <xf numFmtId="0" fontId="174" fillId="73" borderId="68" xfId="0" applyFont="1" applyFill="1" applyBorder="1" applyAlignment="1">
      <alignment horizontal="center" vertical="center" wrapText="1"/>
    </xf>
  </cellXfs>
  <cellStyles count="4">
    <cellStyle name="ハイパーリンク" xfId="1" builtinId="8"/>
    <cellStyle name="桁区切り" xfId="3" builtinId="6"/>
    <cellStyle name="標準" xfId="0" builtinId="0"/>
    <cellStyle name="標準 2" xfId="2" xr:uid="{00000000-0005-0000-0000-000002000000}"/>
  </cellStyles>
  <dxfs count="41">
    <dxf>
      <font>
        <color rgb="FFFF0000"/>
      </font>
    </dxf>
    <dxf>
      <fill>
        <patternFill patternType="solid">
          <fgColor indexed="64"/>
          <bgColor rgb="FFFDE9D9"/>
        </patternFill>
      </fill>
    </dxf>
    <dxf>
      <fill>
        <patternFill patternType="solid">
          <fgColor indexed="64"/>
          <bgColor rgb="FFDCE6F1"/>
        </patternFill>
      </fill>
    </dxf>
    <dxf>
      <font>
        <color rgb="FF9C0006"/>
      </font>
      <fill>
        <patternFill patternType="solid">
          <fgColor indexed="64"/>
          <bgColor rgb="FFFFC7CE"/>
        </patternFill>
      </fill>
    </dxf>
    <dxf>
      <font>
        <color rgb="FF276221"/>
      </font>
      <fill>
        <patternFill patternType="solid">
          <fgColor indexed="64"/>
          <bgColor rgb="FFC6EFCE"/>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color rgb="FFFF0000"/>
      </font>
    </dxf>
    <dxf>
      <font>
        <b/>
        <color rgb="FF00B050"/>
      </font>
    </dxf>
    <dxf>
      <font>
        <color rgb="FFFF0000"/>
      </font>
    </dxf>
    <dxf>
      <font>
        <b/>
        <color rgb="FF00B050"/>
      </font>
    </dxf>
    <dxf>
      <font>
        <b/>
      </font>
      <fill>
        <patternFill>
          <bgColor rgb="FFFFF3CC"/>
        </patternFill>
      </fill>
    </dxf>
    <dxf>
      <font>
        <b/>
        <color rgb="FFFFFFFF"/>
      </font>
      <fill>
        <patternFill>
          <bgColor rgb="FF00B050"/>
        </patternFill>
      </fill>
    </dxf>
    <dxf>
      <font>
        <color rgb="FFFFFFFF"/>
      </font>
      <fill>
        <patternFill>
          <bgColor rgb="FFFF5050"/>
        </patternFill>
      </fill>
    </dxf>
    <dxf>
      <font>
        <b/>
        <color rgb="FFFFFFFF"/>
      </font>
      <fill>
        <patternFill>
          <bgColor rgb="FF00B050"/>
        </patternFill>
      </fill>
    </dxf>
    <dxf>
      <font>
        <b/>
        <color rgb="FF9C6500"/>
      </font>
      <fill>
        <patternFill>
          <bgColor rgb="FFFFEB9C"/>
        </patternFill>
      </fill>
    </dxf>
    <dxf>
      <font>
        <b/>
        <color rgb="FFC00000"/>
      </font>
    </dxf>
    <dxf>
      <font>
        <b/>
        <color rgb="FF008000"/>
      </font>
    </dxf>
    <dxf>
      <font>
        <b/>
        <color rgb="FFC00000"/>
      </font>
    </dxf>
    <dxf>
      <font>
        <b/>
        <color rgb="FF008000"/>
      </font>
    </dxf>
    <dxf>
      <font>
        <color rgb="FF808080"/>
      </font>
      <fill>
        <patternFill>
          <bgColor rgb="FFD9D9D9"/>
        </patternFill>
      </fill>
    </dxf>
    <dxf>
      <font>
        <color rgb="FF595959"/>
      </font>
      <fill>
        <patternFill>
          <bgColor rgb="FFF0F0F0"/>
        </patternFill>
      </fill>
    </dxf>
    <dxf>
      <font>
        <color rgb="FF9C6500"/>
      </font>
      <fill>
        <patternFill>
          <bgColor rgb="FFFFFFCC"/>
        </patternFill>
      </fill>
    </dxf>
    <dxf>
      <font>
        <color rgb="FF9C5700"/>
      </font>
      <fill>
        <patternFill>
          <bgColor rgb="FFFFD9B3"/>
        </patternFill>
      </fill>
    </dxf>
    <dxf>
      <font>
        <color rgb="FF006100"/>
      </font>
      <fill>
        <patternFill>
          <bgColor rgb="FFC6EFCE"/>
        </patternFill>
      </fill>
    </dxf>
    <dxf>
      <font>
        <color rgb="FF006100"/>
      </font>
      <fill>
        <patternFill>
          <bgColor rgb="FFC6EFCE"/>
        </patternFill>
      </fill>
    </dxf>
    <dxf>
      <font>
        <b/>
        <color rgb="FFFFFFFF"/>
      </font>
      <fill>
        <patternFill>
          <bgColor rgb="FF00B050"/>
        </patternFill>
      </fill>
    </dxf>
    <dxf>
      <font>
        <b/>
        <color rgb="FFFFFFFF"/>
      </font>
      <fill>
        <patternFill>
          <bgColor rgb="FF00B050"/>
        </patternFill>
      </fill>
    </dxf>
    <dxf>
      <font>
        <b/>
        <color rgb="FF000000"/>
      </font>
      <fill>
        <patternFill>
          <bgColor rgb="FFFFD700"/>
        </patternFill>
      </fill>
    </dxf>
    <dxf>
      <font>
        <b/>
        <color rgb="FF000000"/>
      </font>
      <fill>
        <patternFill>
          <bgColor rgb="FFFFD700"/>
        </patternFill>
      </fill>
    </dxf>
    <dxf>
      <font>
        <color rgb="FF808080"/>
      </font>
    </dxf>
    <dxf>
      <font>
        <b/>
        <color rgb="FFC80000"/>
      </font>
    </dxf>
    <dxf>
      <font>
        <b/>
        <color rgb="FF008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1affdd1a84884b47aa44e2c617a0fa7a">
      <tp t="s">
        <v/>
        <stp/>
        <stp>Market</stp>
        <stp>STOCK</stp>
        <stp/>
        <stp>始値</stp>
        <tr r="C31" s="14"/>
      </tp>
    </main>
    <main first="rtdsrv.1affdd1a84884b47aa44e2c617a0fa7a">
      <tp t="s">
        <v/>
        <stp/>
        <stp>MarginPositionList</stp>
        <stp>1762186850320,1,1,5,5</stp>
        <stp/>
        <stp>A</stp>
        <stp>0</stp>
        <stp>0</stp>
        <stp>0</stp>
        <tr r="F2" s="14"/>
      </tp>
    </main>
    <main first="rtdsrv.1affdd1a84884b47aa44e2c617a0fa7a">
      <tp t="s">
        <v/>
        <stp/>
        <stp>Market</stp>
        <stp>STOCK</stp>
        <stp>TOPX0.T</stp>
        <stp>始値</stp>
        <tr r="F3" s="4"/>
        <tr r="F36" s="5"/>
      </tp>
    </main>
    <main first="rtdsrv.1affdd1a84884b47aa44e2c617a0fa7a">
      <tp t="s">
        <v/>
        <stp/>
        <stp>Market</stp>
        <stp>STOCK</stp>
        <stp>TOPX0.T</stp>
        <stp>安値</stp>
        <tr r="I36" s="5"/>
        <tr r="I3" s="4"/>
      </tp>
    </main>
    <main first="rtdsrv.1affdd1a84884b47aa44e2c617a0fa7a">
      <tp t="s">
        <v/>
        <stp/>
        <stp>ChartPast</stp>
        <stp>1762184172864,2,2,0,0</stp>
        <stp>7532</stp>
        <stp>D</stp>
        <stp>20260303</stp>
        <stp>120</stp>
        <tr r="A3" s="13"/>
      </tp>
    </main>
    <main first="rtdsrv.1affdd1a84884b47aa44e2c617a0fa7a">
      <tp t="s">
        <v/>
        <stp/>
        <stp>MarginOpenOrder</stp>
        <stp>1762186850320,55,55,2,2</stp>
        <stp>7191</stp>
        <stp>1</stp>
        <stp/>
        <stp>3</stp>
        <stp>0</stp>
        <stp>1</stp>
        <stp>4164</stp>
        <stp>100</stp>
        <stp>0</stp>
        <stp/>
        <stp>1</stp>
        <stp/>
        <stp>0</stp>
        <stp/>
        <stp/>
        <stp/>
        <stp/>
        <stp>0</stp>
        <stp/>
        <stp/>
        <stp/>
        <stp/>
        <tr r="C56" s="14"/>
      </tp>
    </main>
    <main first="rtdsrv.1affdd1a84884b47aa44e2c617a0fa7a">
      <tp t="s">
        <v/>
        <stp/>
        <stp>Market</stp>
        <stp>STOCK</stp>
        <stp>141A0.T</stp>
        <stp>始値</stp>
        <tr r="C219" s="8"/>
      </tp>
      <tp t="s">
        <v/>
        <stp/>
        <stp>Market</stp>
        <stp>STOCK</stp>
        <stp>155A0.T</stp>
        <stp>始値</stp>
        <tr r="C250" s="8"/>
      </tp>
      <tp t="s">
        <v/>
        <stp/>
        <stp>Market</stp>
        <stp>STOCK</stp>
        <stp>186A0.T</stp>
        <stp>始値</stp>
        <tr r="C299" s="8"/>
      </tp>
      <tp t="s">
        <v/>
        <stp/>
        <stp>Market</stp>
        <stp>STOCK</stp>
        <stp>278A0.T</stp>
        <stp>始値</stp>
        <tr r="C251" s="8"/>
      </tp>
      <tp t="s">
        <v/>
        <stp/>
        <stp>Market</stp>
        <stp>STOCK</stp>
        <stp>285A0.T</stp>
        <stp>始値</stp>
        <tr r="C218" s="8"/>
      </tp>
      <tp t="s">
        <v/>
        <stp/>
        <stp>Market</stp>
        <stp>STOCK</stp>
        <stp>281A0.T</stp>
        <stp>始値</stp>
        <tr r="C266" s="8"/>
      </tp>
      <tp t="s">
        <v/>
        <stp/>
        <stp>Market</stp>
        <stp>STOCK</stp>
        <stp>300A0.T</stp>
        <stp>始値</stp>
        <tr r="C252" s="8"/>
      </tp>
      <tp t="s">
        <v/>
        <stp/>
        <stp>Market</stp>
        <stp>STOCK</stp>
        <stp>464A0.T</stp>
        <stp>始値</stp>
        <tr r="C220" s="8"/>
      </tp>
      <tp t="s">
        <v/>
        <stp/>
        <stp>Market</stp>
        <stp>STOCK</stp>
        <stp>485A0.T</stp>
        <stp>始値</stp>
        <tr r="C221" s="8"/>
      </tp>
    </main>
    <main first="rtdsrv.1affdd1a84884b47aa44e2c617a0fa7a">
      <tp t="s">
        <v/>
        <stp/>
        <stp>Market</stp>
        <stp>STOCK</stp>
        <stp>278A0.T</stp>
        <stp>安値</stp>
        <tr r="C251" s="10"/>
      </tp>
      <tp t="s">
        <v/>
        <stp/>
        <stp>Market</stp>
        <stp>STOCK</stp>
        <stp>285A0.T</stp>
        <stp>安値</stp>
        <tr r="C218" s="10"/>
      </tp>
      <tp t="s">
        <v/>
        <stp/>
        <stp>Market</stp>
        <stp>STOCK</stp>
        <stp>281A0.T</stp>
        <stp>安値</stp>
        <tr r="C266" s="10"/>
      </tp>
      <tp t="s">
        <v/>
        <stp/>
        <stp>Market</stp>
        <stp>STOCK</stp>
        <stp>300A0.T</stp>
        <stp>安値</stp>
        <tr r="C252" s="10"/>
      </tp>
      <tp t="s">
        <v/>
        <stp/>
        <stp>Market</stp>
        <stp>STOCK</stp>
        <stp>141A0.T</stp>
        <stp>安値</stp>
        <tr r="C219" s="10"/>
      </tp>
      <tp t="s">
        <v/>
        <stp/>
        <stp>Market</stp>
        <stp>STOCK</stp>
        <stp>155A0.T</stp>
        <stp>安値</stp>
        <tr r="C250" s="10"/>
      </tp>
      <tp t="s">
        <v/>
        <stp/>
        <stp>Market</stp>
        <stp>STOCK</stp>
        <stp>186A0.T</stp>
        <stp>安値</stp>
        <tr r="C299" s="10"/>
      </tp>
      <tp t="s">
        <v/>
        <stp/>
        <stp>Market</stp>
        <stp>STOCK</stp>
        <stp>464A0.T</stp>
        <stp>安値</stp>
        <tr r="C220" s="10"/>
      </tp>
      <tp t="s">
        <v/>
        <stp/>
        <stp>Market</stp>
        <stp>STOCK</stp>
        <stp>485A0.T</stp>
        <stp>安値</stp>
        <tr r="C221" s="10"/>
      </tp>
    </main>
    <main first="rtdsrv.1affdd1a84884b47aa44e2c617a0fa7a">
      <tp t="s">
        <v/>
        <stp/>
        <stp>Market</stp>
        <stp>STOCK</stp>
        <stp>58440.T</stp>
        <stp>出来高加重平均</stp>
        <tr r="H22" s="16"/>
        <tr r="I22" s="16"/>
        <tr r="I14" s="16"/>
        <tr r="H14" s="16"/>
      </tp>
      <tp t="s">
        <v/>
        <stp/>
        <stp>Market</stp>
        <stp>STOCK</stp>
        <stp>57020.T</stp>
        <stp>出来高加重平均</stp>
        <tr r="I9" s="16"/>
        <tr r="I13" s="16"/>
        <tr r="H9" s="16"/>
        <tr r="H13" s="16"/>
      </tp>
      <tp t="s">
        <v/>
        <stp/>
        <stp>Market</stp>
        <stp>STOCK</stp>
        <stp>53320.T</stp>
        <stp>出来高加重平均</stp>
        <tr r="H7" s="16"/>
        <tr r="I7" s="16"/>
        <tr r="I10" s="16"/>
        <tr r="H10" s="16"/>
        <tr r="I18" s="16"/>
        <tr r="H18" s="16"/>
        <tr r="I15" s="16"/>
        <tr r="H15" s="16"/>
      </tp>
      <tp t="s">
        <v/>
        <stp/>
        <stp>Market</stp>
        <stp>STOCK</stp>
        <stp>16180.T</stp>
        <stp>始値</stp>
        <tr r="C227" s="8"/>
      </tp>
      <tp t="s">
        <v/>
        <stp/>
        <stp>Market</stp>
        <stp>STOCK</stp>
        <stp>18080.T</stp>
        <stp>始値</stp>
        <tr r="C297" s="8"/>
      </tp>
      <tp t="s">
        <v/>
        <stp/>
        <stp>Market</stp>
        <stp>STOCK</stp>
        <stp>19380.T</stp>
        <stp>始値</stp>
        <tr r="C176" s="8"/>
        <tr r="F200" s="4"/>
        <tr r="F117" s="5"/>
      </tp>
      <tp t="s">
        <v/>
        <stp/>
        <stp>Market</stp>
        <stp>STOCK</stp>
        <stp>27680.T</stp>
        <stp>始値</stp>
        <tr r="C202" s="8"/>
        <tr r="F191" s="4"/>
        <tr r="F206" s="5"/>
      </tp>
      <tp t="s">
        <v/>
        <stp/>
        <stp>Market</stp>
        <stp>STOCK</stp>
        <stp>40080.T</stp>
        <stp>始値</stp>
        <tr r="F175" s="4"/>
        <tr r="C95" s="8"/>
        <tr r="F127" s="5"/>
      </tp>
      <tp t="s">
        <v/>
        <stp/>
        <stp>Market</stp>
        <stp>STOCK</stp>
        <stp>40880.T</stp>
        <stp>始値</stp>
        <tr r="C156" s="8"/>
        <tr r="F132" s="5"/>
        <tr r="F170" s="4"/>
      </tp>
      <tp t="s">
        <v/>
        <stp/>
        <stp>Market</stp>
        <stp>STOCK</stp>
        <stp>41880.T</stp>
        <stp>始値</stp>
        <tr r="F145" s="5"/>
        <tr r="F167" s="4"/>
        <tr r="C98" s="8"/>
      </tp>
      <tp t="s">
        <v/>
        <stp/>
        <stp>Market</stp>
        <stp>STOCK</stp>
        <stp>42180.T</stp>
        <stp>始値</stp>
        <tr r="C282" s="8"/>
      </tp>
      <tp t="s">
        <v/>
        <stp/>
        <stp>Market</stp>
        <stp>STOCK</stp>
        <stp>42080.T</stp>
        <stp>始値</stp>
        <tr r="C298" s="8"/>
      </tp>
      <tp t="s">
        <v/>
        <stp/>
        <stp>Market</stp>
        <stp>STOCK</stp>
        <stp>45680.T</stp>
        <stp>始値</stp>
        <tr r="F7" s="4"/>
        <tr r="C142" s="8"/>
        <tr r="F110" s="5"/>
      </tp>
      <tp t="s">
        <v/>
        <stp/>
        <stp>Market</stp>
        <stp>STOCK</stp>
        <stp>45280.T</stp>
        <stp>始値</stp>
        <tr r="F17" s="5"/>
        <tr r="F159" s="4"/>
        <tr r="C100" s="8"/>
      </tp>
      <tp t="s">
        <v/>
        <stp/>
        <stp>Market</stp>
        <stp>STOCK</stp>
        <stp>48880.T</stp>
        <stp>始値</stp>
        <tr r="F151" s="4"/>
        <tr r="F131" s="5"/>
        <tr r="C146" s="8"/>
      </tp>
      <tp t="s">
        <v/>
        <stp/>
        <stp>Market</stp>
        <stp>STOCK</stp>
        <stp>58380.T</stp>
        <stp>始値</stp>
        <tr r="F124" s="4"/>
        <tr r="F147" s="5"/>
        <tr r="C117" s="8"/>
      </tp>
      <tp t="s">
        <v/>
        <stp/>
        <stp>Market</stp>
        <stp>STOCK</stp>
        <stp>59380.T</stp>
        <stp>始値</stp>
        <tr r="C36" s="8"/>
        <tr r="F118" s="4"/>
        <tr r="F93" s="5"/>
      </tp>
      <tp t="s">
        <v/>
        <stp/>
        <stp>Market</stp>
        <stp>STOCK</stp>
        <stp>60980.T</stp>
        <stp>始値</stp>
        <tr r="C248" s="8"/>
      </tp>
      <tp t="s">
        <v/>
        <stp/>
        <stp>Market</stp>
        <stp>STOCK</stp>
        <stp>61780.T</stp>
        <stp>始値</stp>
        <tr r="F112" s="4"/>
        <tr r="C104" s="8"/>
        <tr r="F59" s="5"/>
      </tp>
      <tp t="s">
        <v/>
        <stp/>
        <stp>Market</stp>
        <stp>STOCK</stp>
        <stp>64880.T</stp>
        <stp>始値</stp>
        <tr r="C280" s="8"/>
      </tp>
      <tp t="s">
        <v/>
        <stp/>
        <stp>Market</stp>
        <stp>STOCK</stp>
        <stp>67580.T</stp>
        <stp>始値</stp>
        <tr r="F86" s="5"/>
        <tr r="F88" s="4"/>
        <tr r="C205" s="8"/>
      </tp>
      <tp t="s">
        <v/>
        <stp/>
        <stp>Market</stp>
        <stp>STOCK</stp>
        <stp>68480.T</stp>
        <stp>始値</stp>
        <tr r="C274" s="8"/>
      </tp>
      <tp t="s">
        <v/>
        <stp/>
        <stp>Market</stp>
        <stp>STOCK</stp>
        <stp>68380.T</stp>
        <stp>始値</stp>
        <tr r="F85" s="4"/>
        <tr r="C148" s="8"/>
        <tr r="F6" s="5"/>
      </tp>
      <tp t="s">
        <v/>
        <stp/>
        <stp>Market</stp>
        <stp>STOCK</stp>
        <stp>69280.T</stp>
        <stp>始値</stp>
        <tr r="C246" s="8"/>
      </tp>
      <tp t="s">
        <v/>
        <stp/>
        <stp>Market</stp>
        <stp>STOCK</stp>
        <stp>69180.T</stp>
        <stp>始値</stp>
        <tr r="C279" s="8"/>
      </tp>
      <tp t="s">
        <v/>
        <stp/>
        <stp>Market</stp>
        <stp>STOCK</stp>
        <stp>70480.T</stp>
        <stp>始値</stp>
        <tr r="C296" s="8"/>
      </tp>
      <tp t="s">
        <v/>
        <stp/>
        <stp>Market</stp>
        <stp>STOCK</stp>
        <stp>80580.T</stp>
        <stp>始値</stp>
        <tr r="F58" s="4"/>
        <tr r="C16" s="8"/>
        <tr r="F89" s="5"/>
      </tp>
      <tp t="s">
        <v/>
        <stp/>
        <stp>Market</stp>
        <stp>STOCK</stp>
        <stp>83080.T</stp>
        <stp>始値</stp>
        <tr r="C35" s="8"/>
        <tr r="F52" s="4"/>
        <tr r="F92" s="5"/>
      </tp>
      <tp t="s">
        <v/>
        <stp/>
        <stp>Market</stp>
        <stp>STOCK</stp>
        <stp>93480.T</stp>
        <stp>始値</stp>
        <tr r="F8" s="5"/>
        <tr r="F24" s="4"/>
        <tr r="C112" s="8"/>
      </tp>
    </main>
    <main first="rtdsrv.1affdd1a84884b47aa44e2c617a0fa7a">
      <tp t="s">
        <v/>
        <stp/>
        <stp>Market</stp>
        <stp>STOCK</stp>
        <stp>40630.T</stp>
        <stp>出来高加重平均</stp>
        <tr r="I20" s="16"/>
        <tr r="H20" s="16"/>
      </tp>
      <tp t="s">
        <v/>
        <stp/>
        <stp>Market</stp>
        <stp>STOCK</stp>
        <stp>23590.T</stp>
        <stp>始値</stp>
        <tr r="F135" s="5"/>
        <tr r="C168" s="8"/>
        <tr r="F193" s="4"/>
      </tp>
      <tp t="s">
        <v/>
        <stp/>
        <stp>Market</stp>
        <stp>STOCK</stp>
        <stp>45190.T</stp>
        <stp>始値</stp>
        <tr r="F161" s="4"/>
        <tr r="F205" s="5"/>
        <tr r="C130" s="8"/>
      </tp>
      <tp t="s">
        <v/>
        <stp/>
        <stp>Market</stp>
        <stp>STOCK</stp>
        <stp>47090.T</stp>
        <stp>始値</stp>
        <tr r="C170" s="8"/>
        <tr r="F115" s="5"/>
        <tr r="F154" s="4"/>
      </tp>
      <tp t="s">
        <v/>
        <stp/>
        <stp>Market</stp>
        <stp>STOCK</stp>
        <stp>50190.T</stp>
        <stp>始値</stp>
        <tr r="C24" s="8"/>
        <tr r="F140" s="5"/>
        <tr r="F148" s="4"/>
      </tp>
      <tp t="s">
        <v/>
        <stp/>
        <stp>Market</stp>
        <stp>STOCK</stp>
        <stp>54490.T</stp>
        <stp>始値</stp>
        <tr r="F97" s="5"/>
        <tr r="C51" s="8"/>
        <tr r="F134" s="4"/>
      </tp>
      <tp t="s">
        <v/>
        <stp/>
        <stp>Market</stp>
        <stp>STOCK</stp>
        <stp>59290.T</stp>
        <stp>始値</stp>
        <tr r="C49" s="8"/>
        <tr r="F119" s="4"/>
        <tr r="F69" s="5"/>
      </tp>
      <tp t="s">
        <v/>
        <stp/>
        <stp>Market</stp>
        <stp>STOCK</stp>
        <stp>64790.T</stp>
        <stp>始値</stp>
        <tr r="F101" s="4"/>
        <tr r="F24" s="5"/>
        <tr r="C79" s="8"/>
      </tp>
      <tp t="s">
        <v/>
        <stp/>
        <stp>Market</stp>
        <stp>STOCK</stp>
        <stp>68090.T</stp>
        <stp>始値</stp>
        <tr r="C238" s="8"/>
      </tp>
      <tp t="s">
        <v/>
        <stp/>
        <stp>Market</stp>
        <stp>STOCK</stp>
        <stp>76090.T</stp>
        <stp>始値</stp>
        <tr r="C240" s="8"/>
      </tp>
      <tp t="s">
        <v/>
        <stp/>
        <stp>Market</stp>
        <stp>STOCK</stp>
        <stp>77290.T</stp>
        <stp>始値</stp>
        <tr r="F68" s="4"/>
        <tr r="F18" s="5"/>
        <tr r="C107" s="8"/>
      </tp>
      <tp t="s">
        <v/>
        <stp/>
        <stp>Market</stp>
        <stp>STOCK</stp>
        <stp>83590.T</stp>
        <stp>始値</stp>
        <tr r="F26" s="5"/>
        <tr r="F48" s="4"/>
        <tr r="C123" s="8"/>
      </tp>
      <tp t="s">
        <v/>
        <stp/>
        <stp>Market</stp>
        <stp>STOCK</stp>
        <stp>83090.T</stp>
        <stp>始値</stp>
        <tr r="F51" s="4"/>
        <tr r="C31" s="8"/>
        <tr r="F68" s="5"/>
      </tp>
      <tp t="s">
        <v/>
        <stp/>
        <stp>Market</stp>
        <stp>STOCK</stp>
        <stp>90690.T</stp>
        <stp>始値</stp>
        <tr r="C110" s="8"/>
        <tr r="F28" s="4"/>
        <tr r="F60" s="5"/>
      </tp>
      <tp t="s">
        <v/>
        <stp/>
        <stp>Market</stp>
        <stp>STOCK</stp>
        <stp>94490.T</stp>
        <stp>始値</stp>
        <tr r="F19" s="4"/>
        <tr r="F77" s="5"/>
        <tr r="C113" s="8"/>
      </tp>
      <tp t="s">
        <v/>
        <stp/>
        <stp>Market</stp>
        <stp>STOCK</stp>
        <stp>95190.T</stp>
        <stp>始値</stp>
        <tr r="C214" s="8"/>
      </tp>
      <tp t="s">
        <v/>
        <stp/>
        <stp>Market</stp>
        <stp>STOCK</stp>
        <stp>27680.T</stp>
        <stp>安値</stp>
        <tr r="I191" s="4"/>
        <tr r="C202" s="10"/>
        <tr r="I206" s="5"/>
      </tp>
      <tp t="s">
        <v/>
        <stp/>
        <stp>Market</stp>
        <stp>STOCK</stp>
        <stp>16180.T</stp>
        <stp>安値</stp>
        <tr r="C227" s="10"/>
      </tp>
      <tp t="s">
        <v/>
        <stp/>
        <stp>Market</stp>
        <stp>STOCK</stp>
        <stp>18080.T</stp>
        <stp>安値</stp>
        <tr r="C297" s="10"/>
      </tp>
      <tp t="s">
        <v/>
        <stp/>
        <stp>Market</stp>
        <stp>STOCK</stp>
        <stp>19380.T</stp>
        <stp>安値</stp>
        <tr r="C176" s="10"/>
        <tr r="I117" s="5"/>
        <tr r="I200" s="4"/>
      </tp>
      <tp t="s">
        <v/>
        <stp/>
        <stp>Market</stp>
        <stp>STOCK</stp>
        <stp>60980.T</stp>
        <stp>安値</stp>
        <tr r="C248" s="10"/>
      </tp>
      <tp t="s">
        <v/>
        <stp/>
        <stp>Market</stp>
        <stp>STOCK</stp>
        <stp>61780.T</stp>
        <stp>安値</stp>
        <tr r="I59" s="5"/>
        <tr r="C104" s="10"/>
        <tr r="I112" s="4"/>
      </tp>
      <tp t="s">
        <v/>
        <stp/>
        <stp>Market</stp>
        <stp>STOCK</stp>
        <stp>64880.T</stp>
        <stp>安値</stp>
        <tr r="C280" s="10"/>
      </tp>
      <tp t="s">
        <v/>
        <stp/>
        <stp>Market</stp>
        <stp>STOCK</stp>
        <stp>67580.T</stp>
        <stp>安値</stp>
        <tr r="I88" s="4"/>
        <tr r="C205" s="10"/>
        <tr r="I86" s="5"/>
      </tp>
      <tp t="s">
        <v/>
        <stp/>
        <stp>Market</stp>
        <stp>STOCK</stp>
        <stp>68480.T</stp>
        <stp>安値</stp>
        <tr r="C274" s="10"/>
      </tp>
      <tp t="s">
        <v/>
        <stp/>
        <stp>Market</stp>
        <stp>STOCK</stp>
        <stp>68380.T</stp>
        <stp>安値</stp>
        <tr r="I6" s="5"/>
        <tr r="I85" s="4"/>
        <tr r="C148" s="10"/>
      </tp>
      <tp t="s">
        <v/>
        <stp/>
        <stp>Market</stp>
        <stp>STOCK</stp>
        <stp>69280.T</stp>
        <stp>安値</stp>
        <tr r="C246" s="10"/>
      </tp>
      <tp t="s">
        <v/>
        <stp/>
        <stp>Market</stp>
        <stp>STOCK</stp>
        <stp>69180.T</stp>
        <stp>安値</stp>
        <tr r="C279" s="10"/>
      </tp>
      <tp t="s">
        <v/>
        <stp/>
        <stp>Market</stp>
        <stp>STOCK</stp>
        <stp>70480.T</stp>
        <stp>安値</stp>
        <tr r="C296" s="10"/>
      </tp>
      <tp t="s">
        <v/>
        <stp/>
        <stp>Market</stp>
        <stp>STOCK</stp>
        <stp>40080.T</stp>
        <stp>安値</stp>
        <tr r="C95" s="10"/>
        <tr r="I127" s="5"/>
        <tr r="I175" s="4"/>
      </tp>
      <tp t="s">
        <v/>
        <stp/>
        <stp>Market</stp>
        <stp>STOCK</stp>
        <stp>40880.T</stp>
        <stp>安値</stp>
        <tr r="I170" s="4"/>
        <tr r="I132" s="5"/>
        <tr r="C156" s="10"/>
      </tp>
      <tp t="s">
        <v/>
        <stp/>
        <stp>Market</stp>
        <stp>STOCK</stp>
        <stp>41880.T</stp>
        <stp>安値</stp>
        <tr r="I167" s="4"/>
        <tr r="C98" s="10"/>
        <tr r="I145" s="5"/>
      </tp>
      <tp t="s">
        <v/>
        <stp/>
        <stp>Market</stp>
        <stp>STOCK</stp>
        <stp>42180.T</stp>
        <stp>安値</stp>
        <tr r="C282" s="10"/>
      </tp>
      <tp t="s">
        <v/>
        <stp/>
        <stp>Market</stp>
        <stp>STOCK</stp>
        <stp>42080.T</stp>
        <stp>安値</stp>
        <tr r="C298" s="10"/>
      </tp>
      <tp t="s">
        <v/>
        <stp/>
        <stp>Market</stp>
        <stp>STOCK</stp>
        <stp>45680.T</stp>
        <stp>安値</stp>
        <tr r="I7" s="4"/>
        <tr r="C142" s="10"/>
        <tr r="I110" s="5"/>
      </tp>
      <tp t="s">
        <v/>
        <stp/>
        <stp>Market</stp>
        <stp>STOCK</stp>
        <stp>45280.T</stp>
        <stp>安値</stp>
        <tr r="I159" s="4"/>
        <tr r="C100" s="10"/>
        <tr r="I17" s="5"/>
      </tp>
      <tp t="s">
        <v/>
        <stp/>
        <stp>Market</stp>
        <stp>STOCK</stp>
        <stp>48880.T</stp>
        <stp>安値</stp>
        <tr r="I131" s="5"/>
        <tr r="C146" s="10"/>
        <tr r="I151" s="4"/>
      </tp>
      <tp t="s">
        <v/>
        <stp/>
        <stp>Market</stp>
        <stp>STOCK</stp>
        <stp>58380.T</stp>
        <stp>安値</stp>
        <tr r="I124" s="4"/>
        <tr r="C117" s="10"/>
        <tr r="I147" s="5"/>
      </tp>
      <tp t="s">
        <v/>
        <stp/>
        <stp>Market</stp>
        <stp>STOCK</stp>
        <stp>59380.T</stp>
        <stp>安値</stp>
        <tr r="I93" s="5"/>
        <tr r="C36" s="10"/>
        <tr r="I118" s="4"/>
      </tp>
      <tp t="s">
        <v/>
        <stp/>
        <stp>Market</stp>
        <stp>STOCK</stp>
        <stp>80580.T</stp>
        <stp>安値</stp>
        <tr r="I89" s="5"/>
        <tr r="C16" s="10"/>
        <tr r="I58" s="4"/>
      </tp>
      <tp t="s">
        <v/>
        <stp/>
        <stp>Market</stp>
        <stp>STOCK</stp>
        <stp>83080.T</stp>
        <stp>安値</stp>
        <tr r="C35" s="10"/>
        <tr r="I92" s="5"/>
        <tr r="I52" s="4"/>
      </tp>
      <tp t="s">
        <v/>
        <stp/>
        <stp>Market</stp>
        <stp>STOCK</stp>
        <stp>93480.T</stp>
        <stp>安値</stp>
        <tr r="I24" s="4"/>
        <tr r="I8" s="5"/>
        <tr r="C112" s="10"/>
      </tp>
      <tp t="s">
        <v/>
        <stp/>
        <stp>Market</stp>
        <stp>STOCK</stp>
        <stp/>
        <stp>前日比</stp>
        <tr r="J46" s="16"/>
        <tr r="J79" s="16"/>
        <tr r="J89" s="16"/>
        <tr r="J73" s="16"/>
        <tr r="J103" s="16"/>
        <tr r="J160" s="16"/>
        <tr r="J151" s="16"/>
        <tr r="J72" s="16"/>
        <tr r="J51" s="16"/>
        <tr r="J149" s="16"/>
        <tr r="J48" s="16"/>
        <tr r="J129" s="16"/>
        <tr r="J143" s="16"/>
        <tr r="J111" s="16"/>
        <tr r="J148" s="16"/>
        <tr r="J74" s="16"/>
        <tr r="J162" s="16"/>
        <tr r="J84" s="16"/>
        <tr r="J134" s="16"/>
        <tr r="J168" s="16"/>
        <tr r="J93" s="16"/>
        <tr r="J61" s="16"/>
        <tr r="J100" s="16"/>
        <tr r="J156" s="16"/>
        <tr r="J138" s="16"/>
        <tr r="J52" s="16"/>
        <tr r="J102" s="16"/>
        <tr r="J75" s="16"/>
        <tr r="J109" s="16"/>
        <tr r="J170" s="16"/>
        <tr r="J172" s="16"/>
        <tr r="J174" s="16"/>
        <tr r="J121" s="16"/>
        <tr r="J144" s="16"/>
        <tr r="J150" s="16"/>
        <tr r="J184" s="16"/>
        <tr r="J55" s="16"/>
        <tr r="J145" s="16"/>
        <tr r="J96" s="16"/>
        <tr r="J83" s="16"/>
        <tr r="J65" s="16"/>
        <tr r="J178" s="16"/>
        <tr r="J185" s="16"/>
        <tr r="J70" s="16"/>
        <tr r="J45" s="16"/>
        <tr r="J85" s="16"/>
        <tr r="J101" s="16"/>
        <tr r="J165" s="16"/>
        <tr r="J140" s="16"/>
        <tr r="J118" s="16"/>
        <tr r="J161" s="16"/>
        <tr r="J155" s="16"/>
        <tr r="J115" s="16"/>
        <tr r="J171" s="16"/>
        <tr r="J104" s="16"/>
        <tr r="J132" s="16"/>
        <tr r="J62" s="16"/>
        <tr r="J157" s="16"/>
        <tr r="J53" s="16"/>
        <tr r="J60" s="16"/>
        <tr r="J152" s="16"/>
        <tr r="J86" s="16"/>
        <tr r="J59" s="16"/>
        <tr r="J105" s="16"/>
        <tr r="J179" s="16"/>
        <tr r="J71" s="16"/>
        <tr r="J163" s="16"/>
        <tr r="J50" s="16"/>
        <tr r="J142" s="16"/>
        <tr r="J98" s="16"/>
        <tr r="J108" s="16"/>
        <tr r="J124" s="16"/>
        <tr r="J122" s="16"/>
        <tr r="J182" s="16"/>
        <tr r="J82" s="16"/>
        <tr r="J126" s="16"/>
        <tr r="J99" s="16"/>
        <tr r="J183" s="16"/>
        <tr r="J125" s="16"/>
        <tr r="J153" s="16"/>
        <tr r="J116" s="16"/>
        <tr r="J177" s="16"/>
        <tr r="J137" s="16"/>
        <tr r="J92" s="16"/>
        <tr r="J114" s="16"/>
        <tr r="J78" s="16"/>
        <tr r="J136" s="16"/>
        <tr r="J91" s="16"/>
        <tr r="J69" s="16"/>
        <tr r="J56" s="16"/>
        <tr r="J167" s="16"/>
        <tr r="J95" s="16"/>
        <tr r="J120" s="16"/>
        <tr r="J123" s="16"/>
        <tr r="J97" s="16"/>
        <tr r="J77" s="16"/>
        <tr r="J169" s="16"/>
        <tr r="J127" s="16"/>
        <tr r="J81" s="16"/>
        <tr r="J164" s="16"/>
        <tr r="J94" s="16"/>
        <tr r="J147" s="16"/>
        <tr r="J175" s="16"/>
        <tr r="J141" s="16"/>
        <tr r="J166" s="16"/>
        <tr r="J57" s="16"/>
        <tr r="J133" s="16"/>
        <tr r="J67" s="16"/>
        <tr r="J49" s="16"/>
        <tr r="J146" s="16"/>
        <tr r="J58" s="16"/>
        <tr r="J154" s="16"/>
        <tr r="J113" s="16"/>
        <tr r="J80" s="16"/>
        <tr r="J158" s="16"/>
        <tr r="J131" s="16"/>
        <tr r="J88" s="16"/>
        <tr r="J54" s="16"/>
        <tr r="J130" s="16"/>
        <tr r="J107" s="16"/>
        <tr r="J159" s="16"/>
        <tr r="J139" s="16"/>
        <tr r="J173" s="16"/>
        <tr r="J112" s="16"/>
        <tr r="J43" s="16"/>
        <tr r="J76" s="16"/>
        <tr r="J119" s="16"/>
        <tr r="J106" s="16"/>
        <tr r="J68" s="16"/>
        <tr r="J47" s="16"/>
        <tr r="J63" s="16"/>
        <tr r="J87" s="16"/>
        <tr r="J110" s="16"/>
        <tr r="J117" s="16"/>
        <tr r="J44" s="16"/>
        <tr r="J90" s="16"/>
        <tr r="J128" s="16"/>
        <tr r="J176" s="16"/>
        <tr r="J180" s="16"/>
        <tr r="J135" s="16"/>
        <tr r="J66" s="16"/>
        <tr r="J181" s="16"/>
        <tr r="J64" s="16"/>
        <tr r="J40" s="16"/>
        <tr r="J34" s="16"/>
        <tr r="J32" s="16"/>
        <tr r="J24" s="16"/>
        <tr r="J27" s="16"/>
        <tr r="J36" s="16"/>
        <tr r="J31" s="16"/>
        <tr r="J30" s="16"/>
        <tr r="J23" s="16"/>
        <tr r="J38" s="16"/>
        <tr r="J37" s="16"/>
        <tr r="J29" s="16"/>
        <tr r="J28" s="16"/>
        <tr r="J41" s="16"/>
        <tr r="J42" s="16"/>
        <tr r="J25" s="16"/>
        <tr r="J26" s="16"/>
        <tr r="J33" s="16"/>
        <tr r="J35" s="16"/>
        <tr r="J39" s="16"/>
      </tp>
    </main>
    <main first="rtdsrv.1affdd1a84884b47aa44e2c617a0fa7a">
      <tp t="s">
        <v/>
        <stp/>
        <stp>Market</stp>
        <stp>STOCK</stp>
        <stp>23590.T</stp>
        <stp>安値</stp>
        <tr r="C168" s="10"/>
        <tr r="I193" s="4"/>
        <tr r="I135" s="5"/>
      </tp>
      <tp t="s">
        <v/>
        <stp/>
        <stp>Market</stp>
        <stp>STOCK</stp>
        <stp>64790.T</stp>
        <stp>安値</stp>
        <tr r="C79" s="10"/>
        <tr r="I24" s="5"/>
        <tr r="I101" s="4"/>
      </tp>
      <tp t="s">
        <v/>
        <stp/>
        <stp>Market</stp>
        <stp>STOCK</stp>
        <stp>68090.T</stp>
        <stp>安値</stp>
        <tr r="C238" s="10"/>
      </tp>
      <tp t="s">
        <v/>
        <stp/>
        <stp>Market</stp>
        <stp>STOCK</stp>
        <stp>76090.T</stp>
        <stp>安値</stp>
        <tr r="C240" s="10"/>
      </tp>
      <tp t="s">
        <v/>
        <stp/>
        <stp>Market</stp>
        <stp>STOCK</stp>
        <stp>77290.T</stp>
        <stp>安値</stp>
        <tr r="I18" s="5"/>
        <tr r="I68" s="4"/>
        <tr r="C107" s="10"/>
      </tp>
      <tp t="s">
        <v/>
        <stp/>
        <stp>Market</stp>
        <stp>STOCK</stp>
        <stp>45190.T</stp>
        <stp>安値</stp>
        <tr r="C130" s="10"/>
        <tr r="I205" s="5"/>
        <tr r="I161" s="4"/>
      </tp>
      <tp t="s">
        <v/>
        <stp/>
        <stp>Market</stp>
        <stp>STOCK</stp>
        <stp>47090.T</stp>
        <stp>安値</stp>
        <tr r="I154" s="4"/>
        <tr r="I115" s="5"/>
        <tr r="C170" s="10"/>
      </tp>
      <tp t="s">
        <v/>
        <stp/>
        <stp>Market</stp>
        <stp>STOCK</stp>
        <stp>50190.T</stp>
        <stp>安値</stp>
        <tr r="I148" s="4"/>
        <tr r="C24" s="10"/>
        <tr r="I140" s="5"/>
      </tp>
      <tp t="s">
        <v/>
        <stp/>
        <stp>Market</stp>
        <stp>STOCK</stp>
        <stp>54490.T</stp>
        <stp>安値</stp>
        <tr r="C51" s="10"/>
        <tr r="I134" s="4"/>
        <tr r="I97" s="5"/>
      </tp>
      <tp t="s">
        <v/>
        <stp/>
        <stp>Market</stp>
        <stp>STOCK</stp>
        <stp>59290.T</stp>
        <stp>安値</stp>
        <tr r="I119" s="4"/>
        <tr r="C49" s="10"/>
        <tr r="I69" s="5"/>
      </tp>
      <tp t="s">
        <v/>
        <stp/>
        <stp>Market</stp>
        <stp>STOCK</stp>
        <stp>83590.T</stp>
        <stp>安値</stp>
        <tr r="C123" s="10"/>
        <tr r="I26" s="5"/>
        <tr r="I48" s="4"/>
      </tp>
      <tp t="s">
        <v/>
        <stp/>
        <stp>Market</stp>
        <stp>STOCK</stp>
        <stp>83090.T</stp>
        <stp>安値</stp>
        <tr r="I51" s="4"/>
        <tr r="C31" s="10"/>
        <tr r="I68" s="5"/>
      </tp>
      <tp t="s">
        <v/>
        <stp/>
        <stp>Market</stp>
        <stp>STOCK</stp>
        <stp>90690.T</stp>
        <stp>安値</stp>
        <tr r="C110" s="10"/>
        <tr r="I60" s="5"/>
        <tr r="I28" s="4"/>
      </tp>
      <tp t="s">
        <v/>
        <stp/>
        <stp>Market</stp>
        <stp>STOCK</stp>
        <stp>94490.T</stp>
        <stp>安値</stp>
        <tr r="C113" s="10"/>
        <tr r="I77" s="5"/>
        <tr r="I19" s="4"/>
      </tp>
      <tp t="s">
        <v/>
        <stp/>
        <stp>Market</stp>
        <stp>STOCK</stp>
        <stp>95190.T</stp>
        <stp>安値</stp>
        <tr r="C214" s="10"/>
      </tp>
      <tp t="s">
        <v/>
        <stp/>
        <stp>Market</stp>
        <stp>STOCK</stp>
        <stp>68480.T</stp>
        <stp>出来高加重平均</stp>
        <tr r="H8" s="16"/>
        <tr r="I8" s="16"/>
        <tr r="I12" s="16"/>
        <tr r="H12" s="16"/>
      </tp>
      <tp t="s">
        <v/>
        <stp/>
        <stp>Market</stp>
        <stp>STOCK</stp>
        <stp>62270.T</stp>
        <stp>出来高加重平均</stp>
        <tr r="I16" s="16"/>
        <tr r="H16" s="16"/>
      </tp>
    </main>
    <main first="rtdsrv.1affdd1a84884b47aa44e2c617a0fa7a">
      <tp t="s">
        <v/>
        <stp/>
        <stp>Market</stp>
        <stp>STOCK</stp>
        <stp>38640.T</stp>
        <stp>出来高加重平均</stp>
        <tr r="I4" s="16"/>
        <tr r="H4" s="16"/>
      </tp>
    </main>
    <main first="rtdsrv.1affdd1a84884b47aa44e2c617a0fa7a">
      <tp t="s">
        <v/>
        <stp/>
        <stp>Market</stp>
        <stp>STOCK</stp>
        <stp>27020.T</stp>
        <stp>安値</stp>
        <tr r="I192" s="4"/>
        <tr r="I196" s="5"/>
        <tr r="C194" s="10"/>
      </tp>
      <tp t="s">
        <v/>
        <stp/>
        <stp>Market</stp>
        <stp>STOCK</stp>
        <stp>28020.T</stp>
        <stp>安値</stp>
        <tr r="I190" s="4"/>
        <tr r="I23" s="5"/>
        <tr r="C76" s="10"/>
      </tp>
    </main>
    <main first="rtdsrv.1affdd1a84884b47aa44e2c617a0fa7a">
      <tp t="s">
        <v/>
        <stp/>
        <stp>Market</stp>
        <stp>STOCK</stp>
        <stp>30020.T</stp>
        <stp>安値</stp>
        <tr r="C277" s="10"/>
      </tp>
    </main>
    <main first="rtdsrv.1affdd1a84884b47aa44e2c617a0fa7a">
      <tp t="s">
        <v/>
        <stp/>
        <stp>Market</stp>
        <stp>STOCK</stp>
        <stp>34020.T</stp>
        <stp>安値</stp>
        <tr r="C44" s="10"/>
        <tr r="I172" s="5"/>
        <tr r="I183" s="4"/>
      </tp>
    </main>
    <main first="rtdsrv.1affdd1a84884b47aa44e2c617a0fa7a">
      <tp t="s">
        <v/>
        <stp/>
        <stp>Market</stp>
        <stp>STOCK</stp>
        <stp>16620.T</stp>
        <stp>安値</stp>
        <tr r="C18" s="10"/>
        <tr r="I122" s="5"/>
        <tr r="I205" s="4"/>
      </tp>
      <tp t="s">
        <v/>
        <stp/>
        <stp>Market</stp>
        <stp>STOCK</stp>
        <stp>18120.T</stp>
        <stp>安値</stp>
        <tr r="I204" s="4"/>
        <tr r="I121" s="5"/>
        <tr r="C208" s="10"/>
      </tp>
      <tp t="s">
        <v/>
        <stp/>
        <stp>Market</stp>
        <stp>STOCK</stp>
        <stp>19420.T</stp>
        <stp>安値</stp>
        <tr r="I199" s="4"/>
        <tr r="I32" s="5"/>
        <tr r="C175" s="10"/>
      </tp>
      <tp t="s">
        <v/>
        <stp/>
        <stp>Market</stp>
        <stp>STOCK</stp>
        <stp>62320.T</stp>
        <stp>安値</stp>
        <tr r="I109" s="4"/>
        <tr r="C135" s="10"/>
        <tr r="I28" s="5"/>
      </tp>
      <tp t="s">
        <v/>
        <stp/>
        <stp>Market</stp>
        <stp>STOCK</stp>
        <stp>64820.T</stp>
        <stp>安値</stp>
        <tr r="C290" s="10"/>
      </tp>
      <tp t="s">
        <v/>
        <stp/>
        <stp>Market</stp>
        <stp>STOCK</stp>
        <stp>65220.T</stp>
        <stp>安値</stp>
        <tr r="I95" s="4"/>
        <tr r="C143" s="10"/>
        <tr r="I111" s="5"/>
      </tp>
      <tp t="s">
        <v/>
        <stp/>
        <stp>Market</stp>
        <stp>STOCK</stp>
        <stp>66220.T</stp>
        <stp>安値</stp>
        <tr r="C216" s="10"/>
      </tp>
      <tp t="s">
        <v/>
        <stp/>
        <stp>Market</stp>
        <stp>STOCK</stp>
        <stp>67620.T</stp>
        <stp>安値</stp>
        <tr r="C234" s="10"/>
      </tp>
      <tp t="s">
        <v/>
        <stp/>
        <stp>Market</stp>
        <stp>STOCK</stp>
        <stp>67520.T</stp>
        <stp>安値</stp>
        <tr r="C215" s="10"/>
      </tp>
      <tp t="s">
        <v/>
        <stp/>
        <stp>Market</stp>
        <stp>STOCK</stp>
        <stp>68620.T</stp>
        <stp>安値</stp>
        <tr r="C225" s="10"/>
      </tp>
      <tp t="s">
        <v/>
        <stp/>
        <stp>Market</stp>
        <stp>STOCK</stp>
        <stp>69020.T</stp>
        <stp>安値</stp>
        <tr r="C244" s="10"/>
      </tp>
      <tp t="s">
        <v/>
        <stp/>
        <stp>Market</stp>
        <stp>STOCK</stp>
        <stp>71820.T</stp>
        <stp>安値</stp>
        <tr r="I74" s="4"/>
        <tr r="I102" s="5"/>
        <tr r="C85" s="10"/>
      </tp>
      <tp t="s">
        <v/>
        <stp/>
        <stp>Market</stp>
        <stp>STOCK</stp>
        <stp>75320.T</stp>
        <stp>安値</stp>
        <tr r="C305" s="10"/>
      </tp>
      <tp t="s">
        <v/>
        <stp/>
        <stp>Market</stp>
        <stp>STOCK</stp>
        <stp>79720.T</stp>
        <stp>安値</stp>
        <tr r="C241" s="10"/>
      </tp>
      <tp t="s">
        <v/>
        <stp/>
        <stp>Market</stp>
        <stp>STOCK</stp>
        <stp>79520.T</stp>
        <stp>安値</stp>
        <tr r="C276" s="10"/>
      </tp>
      <tp t="s">
        <v/>
        <stp/>
        <stp>Market</stp>
        <stp>STOCK</stp>
        <stp>40620.T</stp>
        <stp>安値</stp>
        <tr r="C96" s="10"/>
        <tr r="I173" s="4"/>
        <tr r="I56" s="5"/>
      </tp>
      <tp t="s">
        <v/>
        <stp/>
        <stp>Market</stp>
        <stp>STOCK</stp>
        <stp>40820.T</stp>
        <stp>安値</stp>
        <tr r="C129" s="10"/>
        <tr r="I9" s="5"/>
        <tr r="I171" s="4"/>
      </tp>
      <tp t="s">
        <v/>
        <stp/>
        <stp>Market</stp>
        <stp>STOCK</stp>
        <stp>41820.T</stp>
        <stp>安値</stp>
        <tr r="I168" s="4"/>
        <tr r="I75" s="5"/>
        <tr r="C97" s="10"/>
      </tp>
      <tp t="s">
        <v/>
        <stp/>
        <stp>Market</stp>
        <stp>STOCK</stp>
        <stp>42220.T</stp>
        <stp>安値</stp>
        <tr r="C229" s="10"/>
      </tp>
      <tp t="s">
        <v/>
        <stp/>
        <stp>Market</stp>
        <stp>STOCK</stp>
        <stp>43920.T</stp>
        <stp>安値</stp>
        <tr r="C235" s="10"/>
      </tp>
      <tp t="s">
        <v/>
        <stp/>
        <stp>Market</stp>
        <stp>STOCK</stp>
        <stp>43820.T</stp>
        <stp>安値</stp>
        <tr r="I164" s="4"/>
        <tr r="I192" s="5"/>
        <tr r="C173" s="10"/>
      </tp>
      <tp t="s">
        <v/>
        <stp/>
        <stp>Market</stp>
        <stp>STOCK</stp>
        <stp>44220.T</stp>
        <stp>安値</stp>
        <tr r="I162" s="4"/>
        <tr r="I188" s="5"/>
        <tr r="C139" s="10"/>
      </tp>
      <tp t="s">
        <v/>
        <stp/>
        <stp>Market</stp>
        <stp>STOCK</stp>
        <stp>45020.T</stp>
        <stp>安値</stp>
        <tr r="C212" s="10"/>
      </tp>
      <tp t="s">
        <v/>
        <stp/>
        <stp>Market</stp>
        <stp>STOCK</stp>
        <stp>53320.T</stp>
        <stp>安値</stp>
        <tr r="I142" s="4"/>
        <tr r="I12" s="5"/>
        <tr r="C21" s="10"/>
      </tp>
      <tp t="s">
        <v/>
        <stp/>
        <stp>Market</stp>
        <stp>STOCK</stp>
        <stp>56320.T</stp>
        <stp>安値</stp>
        <tr r="C247" s="10"/>
      </tp>
      <tp t="s">
        <v/>
        <stp/>
        <stp>Market</stp>
        <stp>STOCK</stp>
        <stp>57020.T</stp>
        <stp>安値</stp>
        <tr r="C275" s="10"/>
      </tp>
      <tp t="s">
        <v/>
        <stp/>
        <stp>Market</stp>
        <stp>STOCK</stp>
        <stp>58020.T</stp>
        <stp>安値</stp>
        <tr r="I57" s="5"/>
        <tr r="C102" s="10"/>
        <tr r="I126" s="4"/>
      </tp>
      <tp t="s">
        <v/>
        <stp/>
        <stp>Market</stp>
        <stp>STOCK</stp>
        <stp>58920.T</stp>
        <stp>安値</stp>
        <tr r="C89" s="10"/>
        <tr r="I74" s="5"/>
        <tr r="I121" s="4"/>
      </tp>
    </main>
    <main first="rtdsrv.1affdd1a84884b47aa44e2c617a0fa7a">
      <tp t="s">
        <v/>
        <stp/>
        <stp>Market</stp>
        <stp>STOCK</stp>
        <stp>80020.T</stp>
        <stp>安値</stp>
        <tr r="I62" s="4"/>
        <tr r="I167" s="5"/>
        <tr r="C14" s="10"/>
      </tp>
      <tp t="s">
        <v/>
        <stp/>
        <stp>Market</stp>
        <stp>STOCK</stp>
        <stp>85720.T</stp>
        <stp>安値</stp>
        <tr r="I44" s="4"/>
        <tr r="I38" s="5"/>
        <tr r="C47" s="10"/>
      </tp>
    </main>
    <main first="rtdsrv.1affdd1a84884b47aa44e2c617a0fa7a">
      <tp t="s">
        <v/>
        <stp/>
        <stp>Market</stp>
        <stp>STOCK</stp>
        <stp>88920.T</stp>
        <stp>安値</stp>
        <tr r="I32" s="4"/>
        <tr r="I114" s="5"/>
        <tr r="C161" s="10"/>
      </tp>
    </main>
    <main first="rtdsrv.1affdd1a84884b47aa44e2c617a0fa7a">
      <tp t="s">
        <v/>
        <stp/>
        <stp>Market</stp>
        <stp>STOCK</stp>
        <stp>90220.T</stp>
        <stp>安値</stp>
        <tr r="C184" s="10"/>
        <tr r="I29" s="4"/>
        <tr r="I159" s="5"/>
      </tp>
      <tp t="s">
        <v/>
        <stp/>
        <stp>Market</stp>
        <stp>STOCK</stp>
        <stp>92020.T</stp>
        <stp>安値</stp>
        <tr r="I26" s="4"/>
        <tr r="C74" s="10"/>
        <tr r="I99" s="5"/>
      </tp>
      <tp t="s">
        <v/>
        <stp/>
        <stp>Market</stp>
        <stp>STOCK</stp>
        <stp>94120.T</stp>
        <stp>安値</stp>
        <tr r="I22" s="5"/>
        <tr r="C56" s="10"/>
        <tr r="I22" s="4"/>
      </tp>
      <tp t="s">
        <v/>
        <stp/>
        <stp>Market</stp>
        <stp>STOCK</stp>
        <stp>95320.T</stp>
        <stp>安値</stp>
        <tr r="I14" s="4"/>
        <tr r="C127" s="10"/>
        <tr r="I79" s="5"/>
      </tp>
      <tp t="s">
        <v/>
        <stp/>
        <stp>Market</stp>
        <stp>STOCK</stp>
        <stp>98820.T</stp>
        <stp>安値</stp>
        <tr r="C116" s="10"/>
        <tr r="I128" s="5"/>
        <tr r="I9" s="4"/>
      </tp>
      <tp t="s">
        <v/>
        <stp/>
        <stp>Market</stp>
        <stp>STOCK</stp>
        <stp>99620.T</stp>
        <stp>安値</stp>
        <tr r="C233" s="10"/>
      </tp>
    </main>
    <main first="rtdsrv.1affdd1a84884b47aa44e2c617a0fa7a">
      <tp t="s">
        <v/>
        <stp/>
        <stp>Market</stp>
        <stp>STOCK</stp>
        <stp>15700.T</stp>
        <stp>始値</stp>
        <tr r="C222" s="8"/>
      </tp>
      <tp t="s">
        <v/>
        <stp/>
        <stp>Market</stp>
        <stp>STOCK</stp>
        <stp>19300.T</stp>
        <stp>始値</stp>
        <tr r="C163" s="8"/>
        <tr r="F83" s="5"/>
        <tr r="F201" s="4"/>
      </tp>
      <tp t="s">
        <v/>
        <stp/>
        <stp>Market</stp>
        <stp>STOCK</stp>
        <stp>21600.T</stp>
        <stp>始値</stp>
        <tr r="F187" s="5"/>
        <tr r="F195" s="4"/>
        <tr r="C131" s="8"/>
      </tp>
    </main>
    <main first="rtdsrv.1affdd1a84884b47aa44e2c617a0fa7a">
      <tp t="s">
        <v/>
        <stp/>
        <stp>Market</stp>
        <stp>STOCK</stp>
        <stp>31100.T</stp>
        <stp>始値</stp>
        <tr r="F109" s="5"/>
        <tr r="C134" s="8"/>
        <tr r="F185" s="4"/>
      </tp>
    </main>
    <main first="rtdsrv.1affdd1a84884b47aa44e2c617a0fa7a">
      <tp t="s">
        <v/>
        <stp/>
        <stp>Market</stp>
        <stp>STOCK</stp>
        <stp>45400.T</stp>
        <stp>始値</stp>
        <tr r="C64" s="8"/>
        <tr r="F124" s="5"/>
        <tr r="F157" s="4"/>
      </tp>
      <tp t="s">
        <v/>
        <stp/>
        <stp>Market</stp>
        <stp>STOCK</stp>
        <stp>49800.T</stp>
        <stp>始値</stp>
        <tr r="C69" s="8"/>
        <tr r="F149" s="4"/>
        <tr r="F72" s="5"/>
      </tp>
      <tp t="s">
        <v/>
        <stp/>
        <stp>Market</stp>
        <stp>STOCK</stp>
        <stp>50200.T</stp>
        <stp>始値</stp>
        <tr r="F147" s="4"/>
        <tr r="C29" s="8"/>
        <tr r="F141" s="5"/>
      </tp>
      <tp t="s">
        <v/>
        <stp/>
        <stp>Market</stp>
        <stp>STOCK</stp>
        <stp>54400.T</stp>
        <stp>始値</stp>
        <tr r="F156" s="5"/>
        <tr r="C180" s="8"/>
        <tr r="F135" s="4"/>
      </tp>
      <tp t="s">
        <v/>
        <stp/>
        <stp>Market</stp>
        <stp>STOCK</stp>
        <stp>54100.T</stp>
        <stp>始値</stp>
        <tr r="F138" s="4"/>
        <tr r="F118" s="5"/>
        <tr r="C179" s="8"/>
      </tp>
      <tp t="s">
        <v/>
        <stp/>
        <stp>Market</stp>
        <stp>STOCK</stp>
        <stp>61400.T</stp>
        <stp>始値</stp>
        <tr r="C261" s="8"/>
      </tp>
      <tp t="s">
        <v/>
        <stp/>
        <stp>Market</stp>
        <stp>STOCK</stp>
        <stp>63700.T</stp>
        <stp>始値</stp>
        <tr r="C255" s="8"/>
      </tp>
      <tp t="s">
        <v/>
        <stp/>
        <stp>Market</stp>
        <stp>STOCK</stp>
        <stp>63300.T</stp>
        <stp>始値</stp>
        <tr r="C128" s="8"/>
        <tr r="F104" s="4"/>
        <tr r="F186" s="5"/>
      </tp>
      <tp t="s">
        <v/>
        <stp/>
        <stp>Market</stp>
        <stp>STOCK</stp>
        <stp>67400.T</stp>
        <stp>始値</stp>
        <tr r="C140" s="8"/>
        <tr r="F92" s="4"/>
        <tr r="F189" s="5"/>
      </tp>
      <tp t="s">
        <v/>
        <stp/>
        <stp>Market</stp>
        <stp>STOCK</stp>
        <stp>68900.T</stp>
        <stp>始値</stp>
        <tr r="F82" s="4"/>
        <tr r="C195" s="8"/>
        <tr r="F33" s="5"/>
      </tp>
      <tp t="s">
        <v/>
        <stp/>
        <stp>Market</stp>
        <stp>STOCK</stp>
        <stp>69200.T</stp>
        <stp>始値</stp>
        <tr r="C199" s="8"/>
        <tr r="F81" s="4"/>
        <tr r="F84" s="5"/>
      </tp>
      <tp t="s">
        <v/>
        <stp/>
        <stp>Market</stp>
        <stp>STOCK</stp>
        <stp>72700.T</stp>
        <stp>始値</stp>
        <tr r="C286" s="8"/>
      </tp>
    </main>
    <main first="rtdsrv.1affdd1a84884b47aa44e2c617a0fa7a">
      <tp t="s">
        <v/>
        <stp/>
        <stp>Market</stp>
        <stp>STOCK</stp>
        <stp>85700.T</stp>
        <stp>始値</stp>
        <tr r="C37" s="8"/>
        <tr r="F94" s="5"/>
        <tr r="F45" s="4"/>
      </tp>
      <tp t="s">
        <v/>
        <stp/>
        <stp>Market</stp>
        <stp>STOCK</stp>
        <stp>86300.T</stp>
        <stp>始値</stp>
        <tr r="F39" s="4"/>
        <tr r="C54" s="8"/>
        <tr r="F176" s="5"/>
      </tp>
    </main>
    <main first="rtdsrv.1affdd1a84884b47aa44e2c617a0fa7a">
      <tp t="s">
        <v/>
        <stp/>
        <stp>Market</stp>
        <stp>STOCK</stp>
        <stp>87500.T</stp>
        <stp>始値</stp>
        <tr r="C43" s="8"/>
        <tr r="F200" s="5"/>
        <tr r="F36" s="4"/>
      </tp>
    </main>
    <main first="rtdsrv.1affdd1a84884b47aa44e2c617a0fa7a">
      <tp t="s">
        <v/>
        <stp/>
        <stp>Market</stp>
        <stp>STOCK</stp>
        <stp>90200.T</stp>
        <stp>始値</stp>
        <tr r="F104" s="5"/>
        <tr r="C109" s="8"/>
        <tr r="F30" s="4"/>
      </tp>
      <tp t="s">
        <v/>
        <stp/>
        <stp>Market</stp>
        <stp>STOCK</stp>
        <stp>98800.T</stp>
        <stp>始値</stp>
        <tr r="C257" s="8"/>
      </tp>
    </main>
    <main first="rtdsrv.1affdd1a84884b47aa44e2c617a0fa7a">
      <tp t="s">
        <v/>
        <stp/>
        <stp>Market</stp>
        <stp>STOCK</stp>
        <stp>29330.T</stp>
        <stp>安値</stp>
        <tr r="C288" s="10"/>
      </tp>
    </main>
    <main first="rtdsrv.1affdd1a84884b47aa44e2c617a0fa7a">
      <tp t="s">
        <v/>
        <stp/>
        <stp>Market</stp>
        <stp>STOCK</stp>
        <stp>30030.T</stp>
        <stp>安値</stp>
        <tr r="I188" s="4"/>
        <tr r="C88" s="10"/>
        <tr r="I143" s="5"/>
      </tp>
      <tp t="s">
        <v/>
        <stp/>
        <stp>Market</stp>
        <stp>STOCK</stp>
        <stp>31030.T</stp>
        <stp>安値</stp>
        <tr r="I81" s="5"/>
        <tr r="C138" s="10"/>
        <tr r="I187" s="4"/>
      </tp>
    </main>
    <main first="rtdsrv.1affdd1a84884b47aa44e2c617a0fa7a">
      <tp t="s">
        <v/>
        <stp/>
        <stp>Market</stp>
        <stp>STOCK</stp>
        <stp>35630.T</stp>
        <stp>安値</stp>
        <tr r="C230" s="10"/>
      </tp>
    </main>
    <main first="rtdsrv.1affdd1a84884b47aa44e2c617a0fa7a">
      <tp t="s">
        <v/>
        <stp/>
        <stp>Market</stp>
        <stp>STOCK</stp>
        <stp>38630.T</stp>
        <stp>安値</stp>
        <tr r="I178" s="4"/>
        <tr r="I21" s="5"/>
        <tr r="C32" s="10"/>
      </tp>
      <tp t="s">
        <v/>
        <stp/>
        <stp>Market</stp>
        <stp>STOCK</stp>
        <stp>18330.T</stp>
        <stp>安値</stp>
        <tr r="I203" s="4"/>
        <tr r="I180" s="5"/>
        <tr r="C80" s="10"/>
      </tp>
      <tp t="s">
        <v/>
        <stp/>
        <stp>Market</stp>
        <stp>STOCK</stp>
        <stp>19630.T</stp>
        <stp>安値</stp>
        <tr r="I40" s="5"/>
        <tr r="I197" s="4"/>
        <tr r="C86" s="10"/>
      </tp>
      <tp t="s">
        <v/>
        <stp/>
        <stp>Market</stp>
        <stp>STOCK</stp>
        <stp>62730.T</stp>
        <stp>安値</stp>
        <tr r="C211" s="10"/>
      </tp>
      <tp t="s">
        <v/>
        <stp/>
        <stp>Market</stp>
        <stp>STOCK</stp>
        <stp>62030.T</stp>
        <stp>安値</stp>
        <tr r="I111" s="4"/>
        <tr r="C57" s="10"/>
        <tr r="I50" s="5"/>
      </tp>
      <tp t="s">
        <v/>
        <stp/>
        <stp>Market</stp>
        <stp>STOCK</stp>
        <stp>63230.T</stp>
        <stp>安値</stp>
        <tr r="I41" s="5"/>
        <tr r="I106" s="4"/>
        <tr r="C90" s="10"/>
      </tp>
      <tp t="s">
        <v/>
        <stp/>
        <stp>Market</stp>
        <stp>STOCK</stp>
        <stp>65030.T</stp>
        <stp>安値</stp>
        <tr r="I99" s="4"/>
        <tr r="C68" s="10"/>
        <tr r="I39" s="5"/>
      </tp>
      <tp t="s">
        <v/>
        <stp/>
        <stp>Market</stp>
        <stp>STOCK</stp>
        <stp>66130.T</stp>
        <stp>安値</stp>
        <tr r="I3" s="5"/>
        <tr r="I94" s="4"/>
        <tr r="C141" s="10"/>
      </tp>
      <tp t="s">
        <v/>
        <stp/>
        <stp>Market</stp>
        <stp>STOCK</stp>
        <stp>67530.T</stp>
        <stp>安値</stp>
        <tr r="I162" s="5"/>
        <tr r="C188" s="10"/>
        <tr r="I90" s="4"/>
      </tp>
      <tp t="s">
        <v/>
        <stp/>
        <stp>Market</stp>
        <stp>STOCK</stp>
        <stp>70130.T</stp>
        <stp>安値</stp>
        <tr r="C231" s="10"/>
      </tp>
      <tp t="s">
        <v/>
        <stp/>
        <stp>Market</stp>
        <stp>STOCK</stp>
        <stp>72030.T</stp>
        <stp>安値</stp>
        <tr r="I73" s="4"/>
        <tr r="I73" s="5"/>
        <tr r="C77" s="10"/>
      </tp>
      <tp t="s">
        <v/>
        <stp/>
        <stp>Market</stp>
        <stp>STOCK</stp>
        <stp>40630.T</stp>
        <stp>安値</stp>
        <tr r="I14" s="5"/>
        <tr r="C66" s="10"/>
        <tr r="I172" s="4"/>
      </tp>
      <tp t="s">
        <v/>
        <stp/>
        <stp>Market</stp>
        <stp>STOCK</stp>
        <stp>43730.T</stp>
        <stp>安値</stp>
        <tr r="C160" s="10"/>
        <tr r="I165" s="4"/>
        <tr r="I82" s="5"/>
      </tp>
      <tp t="s">
        <v/>
        <stp/>
        <stp>Market</stp>
        <stp>STOCK</stp>
        <stp>45230.T</stp>
        <stp>安値</stp>
        <tr r="I184" s="5"/>
        <tr r="C99" s="10"/>
        <tr r="I160" s="4"/>
      </tp>
      <tp t="s">
        <v/>
        <stp/>
        <stp>Market</stp>
        <stp>STOCK</stp>
        <stp>47330.T</stp>
        <stp>安値</stp>
        <tr r="I133" s="5"/>
        <tr r="C165" s="10"/>
        <tr r="I153" s="4"/>
      </tp>
      <tp t="s">
        <v/>
        <stp/>
        <stp>Market</stp>
        <stp>STOCK</stp>
        <stp>52530.T</stp>
        <stp>安値</stp>
        <tr r="C258" s="10"/>
      </tp>
      <tp t="s">
        <v/>
        <stp/>
        <stp>Market</stp>
        <stp>STOCK</stp>
        <stp>52430.T</stp>
        <stp>安値</stp>
        <tr r="I143" s="4"/>
        <tr r="C193" s="10"/>
        <tr r="I138" s="5"/>
      </tp>
      <tp t="s">
        <v/>
        <stp/>
        <stp>Market</stp>
        <stp>STOCK</stp>
        <stp>52330.T</stp>
        <stp>安値</stp>
        <tr r="I144" s="4"/>
        <tr r="I170" s="5"/>
        <tr r="C34" s="10"/>
      </tp>
      <tp t="s">
        <v/>
        <stp/>
        <stp>Market</stp>
        <stp>STOCK</stp>
        <stp>53330.T</stp>
        <stp>安値</stp>
        <tr r="I37" s="5"/>
        <tr r="C17" s="10"/>
        <tr r="I141" s="4"/>
      </tp>
      <tp t="s">
        <v/>
        <stp/>
        <stp>Market</stp>
        <stp>STOCK</stp>
        <stp>54230.T</stp>
        <stp>安値</stp>
        <tr r="I136" s="4"/>
        <tr r="I165" s="5"/>
        <tr r="C7" s="10"/>
      </tp>
      <tp t="s">
        <v/>
        <stp/>
        <stp>Market</stp>
        <stp>STOCK</stp>
        <stp>57130.T</stp>
        <stp>安値</stp>
        <tr r="C8" s="10"/>
        <tr r="I46" s="5"/>
        <tr r="I129" s="4"/>
      </tp>
      <tp t="s">
        <v/>
        <stp/>
        <stp>Market</stp>
        <stp>STOCK</stp>
        <stp>57030.T</stp>
        <stp>安値</stp>
        <tr r="I48" s="5"/>
        <tr r="I132" s="4"/>
        <tr r="C13" s="10"/>
      </tp>
      <tp t="s">
        <v/>
        <stp/>
        <stp>Market</stp>
        <stp>STOCK</stp>
        <stp>58030.T</stp>
        <stp>安値</stp>
        <tr r="I125" s="4"/>
        <tr r="C103" s="10"/>
        <tr r="I58" s="5"/>
      </tp>
    </main>
    <main first="rtdsrv.1affdd1a84884b47aa44e2c617a0fa7a">
      <tp t="s">
        <v/>
        <stp/>
        <stp>Market</stp>
        <stp>STOCK</stp>
        <stp>80530.T</stp>
        <stp>安値</stp>
        <tr r="I59" s="4"/>
        <tr r="C25" s="10"/>
        <tr r="I49" s="5"/>
      </tp>
      <tp t="s">
        <v/>
        <stp/>
        <stp>Market</stp>
        <stp>STOCK</stp>
        <stp>81030.T</stp>
        <stp>安値</stp>
        <tr r="I56" s="4"/>
        <tr r="I136" s="5"/>
        <tr r="C169" s="10"/>
      </tp>
    </main>
    <main first="rtdsrv.1affdd1a84884b47aa44e2c617a0fa7a">
      <tp t="s">
        <v/>
        <stp/>
        <stp>Market</stp>
        <stp>STOCK</stp>
        <stp>83030.T</stp>
        <stp>安値</stp>
        <tr r="I191" s="5"/>
        <tr r="C172" s="10"/>
        <tr r="I54" s="4"/>
      </tp>
      <tp t="s">
        <v/>
        <stp/>
        <stp>Market</stp>
        <stp>STOCK</stp>
        <stp>85930.T</stp>
        <stp>安値</stp>
        <tr r="I42" s="4"/>
        <tr r="I171" s="5"/>
        <tr r="C39" s="10"/>
      </tp>
      <tp t="s">
        <v/>
        <stp/>
        <stp>Market</stp>
        <stp>STOCK</stp>
        <stp>87930.T</stp>
        <stp>安値</stp>
        <tr r="C232" s="10"/>
      </tp>
    </main>
    <main first="rtdsrv.1affdd1a84884b47aa44e2c617a0fa7a">
      <tp t="s">
        <v/>
        <stp/>
        <stp>Market</stp>
        <stp>STOCK</stp>
        <stp>97330.T</stp>
        <stp>安値</stp>
        <tr r="I153" s="5"/>
        <tr r="I10" s="4"/>
        <tr r="C166" s="10"/>
      </tp>
    </main>
    <main first="rtdsrv.1affdd1a84884b47aa44e2c617a0fa7a">
      <tp t="s">
        <v/>
        <stp/>
        <stp>Market</stp>
        <stp>STOCK</stp>
        <stp>13210.T</stp>
        <stp>始値</stp>
        <tr r="C303" s="8"/>
      </tp>
      <tp t="s">
        <v/>
        <stp/>
        <stp>Market</stp>
        <stp>STOCK</stp>
        <stp>19610.T</stp>
        <stp>始値</stp>
        <tr r="F51" s="5"/>
        <tr r="C59" s="8"/>
        <tr r="F198" s="4"/>
      </tp>
    </main>
    <main first="rtdsrv.1affdd1a84884b47aa44e2c617a0fa7a">
      <tp t="s">
        <v/>
        <stp/>
        <stp>Market</stp>
        <stp>STOCK</stp>
        <stp>34010.T</stp>
        <stp>始値</stp>
        <tr r="F169" s="5"/>
        <tr r="F184" s="4"/>
        <tr r="C27" s="8"/>
      </tp>
    </main>
    <main first="rtdsrv.1affdd1a84884b47aa44e2c617a0fa7a">
      <tp t="s">
        <v/>
        <stp/>
        <stp>Market</stp>
        <stp>STOCK</stp>
        <stp>38610.T</stp>
        <stp>始値</stp>
        <tr r="F123" s="5"/>
        <tr r="F179" s="4"/>
        <tr r="C41" s="8"/>
      </tp>
      <tp t="s">
        <v/>
        <stp/>
        <stp>Market</stp>
        <stp>STOCK</stp>
        <stp>38910.T</stp>
        <stp>始値</stp>
        <tr r="C159" s="8"/>
        <tr r="F43" s="5"/>
        <tr r="F177" s="4"/>
      </tp>
      <tp t="s">
        <v/>
        <stp/>
        <stp>Market</stp>
        <stp>STOCK</stp>
        <stp>39410.T</stp>
        <stp>始値</stp>
        <tr r="F176" s="4"/>
        <tr r="F142" s="5"/>
        <tr r="C48" s="8"/>
      </tp>
    </main>
    <main first="rtdsrv.1affdd1a84884b47aa44e2c617a0fa7a">
      <tp t="s">
        <v/>
        <stp/>
        <stp>Market</stp>
        <stp>STOCK</stp>
        <stp>40910.T</stp>
        <stp>始値</stp>
        <tr r="C157" s="8"/>
        <tr r="F152" s="5"/>
        <tr r="F169" s="4"/>
      </tp>
      <tp t="s">
        <v/>
        <stp/>
        <stp>Market</stp>
        <stp>STOCK</stp>
        <stp>46610.T</stp>
        <stp>始値</stp>
        <tr r="F103" s="5"/>
        <tr r="F156" s="4"/>
        <tr r="C101" s="8"/>
      </tp>
      <tp t="s">
        <v/>
        <stp/>
        <stp>Market</stp>
        <stp>STOCK</stp>
        <stp>50210.T</stp>
        <stp>始値</stp>
        <tr r="F88" s="5"/>
        <tr r="C15" s="8"/>
        <tr r="F146" s="4"/>
      </tp>
      <tp t="s">
        <v/>
        <stp/>
        <stp>Market</stp>
        <stp>STOCK</stp>
        <stp>52010.T</stp>
        <stp>始値</stp>
        <tr r="F145" s="4"/>
        <tr r="C53" s="8"/>
        <tr r="F175" s="5"/>
      </tp>
      <tp t="s">
        <v/>
        <stp/>
        <stp>Market</stp>
        <stp>STOCK</stp>
        <stp>54110.T</stp>
        <stp>始値</stp>
        <tr r="F7" s="5"/>
        <tr r="C84" s="8"/>
        <tr r="F137" s="4"/>
      </tp>
      <tp t="s">
        <v/>
        <stp/>
        <stp>Market</stp>
        <stp>STOCK</stp>
        <stp>54010.T</stp>
        <stp>始値</stp>
        <tr r="F173" s="5"/>
        <tr r="C46" s="8"/>
        <tr r="F140" s="4"/>
      </tp>
      <tp t="s">
        <v/>
        <stp/>
        <stp>Market</stp>
        <stp>STOCK</stp>
        <stp>55410.T</stp>
        <stp>始値</stp>
        <tr r="F133" s="4"/>
        <tr r="C20" s="8"/>
        <tr r="F90" s="5"/>
      </tp>
      <tp t="s">
        <v/>
        <stp/>
        <stp>Market</stp>
        <stp>STOCK</stp>
        <stp>56310.T</stp>
        <stp>始値</stp>
        <tr r="C263" s="8"/>
      </tp>
      <tp t="s">
        <v/>
        <stp/>
        <stp>Market</stp>
        <stp>STOCK</stp>
        <stp>57110.T</stp>
        <stp>始値</stp>
        <tr r="F130" s="4"/>
        <tr r="F87" s="5"/>
        <tr r="C9" s="8"/>
      </tp>
      <tp t="s">
        <v/>
        <stp/>
        <stp>Market</stp>
        <stp>STOCK</stp>
        <stp>58010.T</stp>
        <stp>始値</stp>
        <tr r="F127" s="4"/>
        <tr r="F45" s="5"/>
        <tr r="C200" s="8"/>
      </tp>
      <tp t="s">
        <v/>
        <stp/>
        <stp>Market</stp>
        <stp>STOCK</stp>
        <stp>59010.T</stp>
        <stp>始値</stp>
        <tr r="C55" s="8"/>
        <tr r="F120" s="4"/>
        <tr r="F71" s="5"/>
      </tp>
      <tp t="s">
        <v/>
        <stp/>
        <stp>Market</stp>
        <stp>STOCK</stp>
        <stp>63610.T</stp>
        <stp>始値</stp>
        <tr r="C249" s="8"/>
      </tp>
      <tp t="s">
        <v/>
        <stp/>
        <stp>Market</stp>
        <stp>STOCK</stp>
        <stp>63310.T</stp>
        <stp>始値</stp>
        <tr r="C301" s="8"/>
      </tp>
      <tp t="s">
        <v/>
        <stp/>
        <stp>Market</stp>
        <stp>STOCK</stp>
        <stp>65210.T</stp>
        <stp>始値</stp>
        <tr r="C242" s="8"/>
      </tp>
      <tp t="s">
        <v/>
        <stp/>
        <stp>Market</stp>
        <stp>STOCK</stp>
        <stp>65010.T</stp>
        <stp>始値</stp>
        <tr r="C91" s="8"/>
        <tr r="F126" s="5"/>
        <tr r="F100" s="4"/>
      </tp>
      <tp t="s">
        <v/>
        <stp/>
        <stp>Market</stp>
        <stp>STOCK</stp>
        <stp>67010.T</stp>
        <stp>始値</stp>
        <tr r="C11" s="8"/>
        <tr r="F93" s="4"/>
        <tr r="F139" s="5"/>
      </tp>
      <tp t="s">
        <v/>
        <stp/>
        <stp>Market</stp>
        <stp>STOCK</stp>
        <stp>68610.T</stp>
        <stp>始値</stp>
        <tr r="C209" s="8"/>
      </tp>
      <tp t="s">
        <v/>
        <stp/>
        <stp>Market</stp>
        <stp>STOCK</stp>
        <stp>68410.T</stp>
        <stp>始値</stp>
        <tr r="F84" s="4"/>
        <tr r="F100" s="5"/>
        <tr r="C81" s="8"/>
      </tp>
      <tp t="s">
        <v/>
        <stp/>
        <stp>Market</stp>
        <stp>STOCK</stp>
        <stp>69810.T</stp>
        <stp>始値</stp>
        <tr r="F30" s="5"/>
        <tr r="F78" s="4"/>
        <tr r="C154" s="8"/>
      </tp>
      <tp t="s">
        <v/>
        <stp/>
        <stp>Market</stp>
        <stp>STOCK</stp>
        <stp>70210.T</stp>
        <stp>始値</stp>
        <tr r="F76" s="5"/>
        <tr r="F76" s="4"/>
        <tr r="C106" s="8"/>
      </tp>
      <tp t="s">
        <v/>
        <stp/>
        <stp>Market</stp>
        <stp>STOCK</stp>
        <stp>70110.T</stp>
        <stp>始値</stp>
        <tr r="F197" s="5"/>
        <tr r="C207" s="8"/>
        <tr r="F77" s="4"/>
      </tp>
      <tp t="s">
        <v/>
        <stp/>
        <stp>Market</stp>
        <stp>STOCK</stp>
        <stp>71810.T</stp>
        <stp>始値</stp>
        <tr r="F5" s="4"/>
        <tr r="F119" s="5"/>
        <tr r="C190" s="8"/>
      </tp>
      <tp t="s">
        <v/>
        <stp/>
        <stp>Market</stp>
        <stp>STOCK</stp>
        <stp>73810.T</stp>
        <stp>始値</stp>
        <tr r="F70" s="4"/>
        <tr r="F63" s="5"/>
        <tr r="C152" s="8"/>
      </tp>
      <tp t="s">
        <v/>
        <stp/>
        <stp>Market</stp>
        <stp>STOCK</stp>
        <stp>77410.T</stp>
        <stp>始値</stp>
        <tr r="C302" s="8"/>
      </tp>
      <tp t="s">
        <v/>
        <stp/>
        <stp>Market</stp>
        <stp>STOCK</stp>
        <stp>77110.T</stp>
        <stp>始値</stp>
        <tr r="C268" s="8"/>
      </tp>
      <tp t="s">
        <v/>
        <stp/>
        <stp>Market</stp>
        <stp>STOCK</stp>
        <stp>79810.T</stp>
        <stp>始値</stp>
        <tr r="F116" s="5"/>
        <tr r="F63" s="4"/>
        <tr r="C171" s="8"/>
      </tp>
      <tp t="s">
        <v/>
        <stp/>
        <stp>Market</stp>
        <stp>STOCK</stp>
        <stp>80910.T</stp>
        <stp>始値</stp>
        <tr r="C182" s="8"/>
        <tr r="F57" s="4"/>
        <tr r="F158" s="5"/>
      </tp>
      <tp t="s">
        <v/>
        <stp/>
        <stp>Market</stp>
        <stp>STOCK</stp>
        <stp>81410.T</stp>
        <stp>始値</stp>
        <tr r="C292" s="8"/>
      </tp>
    </main>
    <main first="rtdsrv.1affdd1a84884b47aa44e2c617a0fa7a">
      <tp t="s">
        <v/>
        <stp/>
        <stp>Market</stp>
        <stp>STOCK</stp>
        <stp>82810.T</stp>
        <stp>始値</stp>
        <tr r="F179" s="5"/>
        <tr r="C63" s="8"/>
        <tr r="F55" s="4"/>
      </tp>
      <tp t="s">
        <v/>
        <stp/>
        <stp>Market</stp>
        <stp>STOCK</stp>
        <stp>84110.T</stp>
        <stp>始値</stp>
        <tr r="F66" s="5"/>
        <tr r="C19" s="8"/>
        <tr r="F47" s="4"/>
      </tp>
      <tp t="s">
        <v/>
        <stp/>
        <stp>Market</stp>
        <stp>STOCK</stp>
        <stp>85910.T</stp>
        <stp>始値</stp>
        <tr r="F43" s="4"/>
        <tr r="F67" s="5"/>
        <tr r="C26" s="8"/>
      </tp>
    </main>
    <main first="rtdsrv.1affdd1a84884b47aa44e2c617a0fa7a">
      <tp t="s">
        <v/>
        <stp/>
        <stp>Market</stp>
        <stp>STOCK</stp>
        <stp>86010.T</stp>
        <stp>始値</stp>
        <tr r="C33" s="8"/>
        <tr r="F41" s="4"/>
        <tr r="F198" s="5"/>
      </tp>
      <tp t="s">
        <v/>
        <stp/>
        <stp>Market</stp>
        <stp>STOCK</stp>
        <stp>88710.T</stp>
        <stp>始値</stp>
        <tr r="C278" s="8"/>
      </tp>
      <tp t="s">
        <v/>
        <stp/>
        <stp>Market</stp>
        <stp>STOCK</stp>
        <stp>88010.T</stp>
        <stp>始値</stp>
        <tr r="C124" s="8"/>
        <tr r="F33" s="4"/>
        <tr r="F129" s="5"/>
      </tp>
      <tp t="s">
        <v/>
        <stp/>
        <stp>Market</stp>
        <stp>STOCK</stp>
        <stp>91010.T</stp>
        <stp>始値</stp>
        <tr r="F164" s="5"/>
        <tr r="C206" s="8"/>
        <tr r="F27" s="4"/>
      </tp>
    </main>
    <main first="rtdsrv.1affdd1a84884b47aa44e2c617a0fa7a">
      <tp t="s">
        <v/>
        <stp/>
        <stp>Market</stp>
        <stp>STOCK</stp>
        <stp>95510.T</stp>
        <stp>始値</stp>
        <tr r="F12" s="4"/>
        <tr r="C167" s="8"/>
        <tr r="F134" s="5"/>
      </tp>
      <tp t="s">
        <v/>
        <stp/>
        <stp>Market</stp>
        <stp>STOCK</stp>
        <stp>95310.T</stp>
        <stp>始値</stp>
        <tr r="F15" s="4"/>
        <tr r="C115" s="8"/>
        <tr r="F203" s="5"/>
      </tp>
      <tp t="s">
        <v/>
        <stp/>
        <stp>Market</stp>
        <stp>STOCK</stp>
        <stp>95010.T</stp>
        <stp>始値</stp>
        <tr r="C114" s="8"/>
        <tr r="F105" s="5"/>
        <tr r="F18" s="4"/>
      </tp>
    </main>
    <main first="rtdsrv.1affdd1a84884b47aa44e2c617a0fa7a">
      <tp t="s">
        <v/>
        <stp/>
        <stp>Market</stp>
        <stp>STOCK</stp>
        <stp>21600.T</stp>
        <stp>安値</stp>
        <tr r="I195" s="4"/>
        <tr r="C131" s="10"/>
        <tr r="I187" s="5"/>
      </tp>
    </main>
    <main first="rtdsrv.1affdd1a84884b47aa44e2c617a0fa7a">
      <tp t="s">
        <v/>
        <stp/>
        <stp>Market</stp>
        <stp>STOCK</stp>
        <stp>31100.T</stp>
        <stp>安値</stp>
        <tr r="I109" s="5"/>
        <tr r="C134" s="10"/>
        <tr r="I185" s="4"/>
      </tp>
    </main>
    <main first="rtdsrv.1affdd1a84884b47aa44e2c617a0fa7a">
      <tp t="s">
        <v/>
        <stp/>
        <stp>Market</stp>
        <stp>STOCK</stp>
        <stp>15700.T</stp>
        <stp>安値</stp>
        <tr r="C222" s="10"/>
      </tp>
      <tp t="s">
        <v/>
        <stp/>
        <stp>Market</stp>
        <stp>STOCK</stp>
        <stp>19300.T</stp>
        <stp>安値</stp>
        <tr r="C163" s="10"/>
        <tr r="I83" s="5"/>
        <tr r="I201" s="4"/>
      </tp>
      <tp t="s">
        <v/>
        <stp/>
        <stp>Market</stp>
        <stp>STOCK</stp>
        <stp>61400.T</stp>
        <stp>安値</stp>
        <tr r="C261" s="10"/>
      </tp>
      <tp t="s">
        <v/>
        <stp/>
        <stp>Market</stp>
        <stp>STOCK</stp>
        <stp>63700.T</stp>
        <stp>安値</stp>
        <tr r="C255" s="10"/>
      </tp>
      <tp t="s">
        <v/>
        <stp/>
        <stp>Market</stp>
        <stp>STOCK</stp>
        <stp>63300.T</stp>
        <stp>安値</stp>
        <tr r="C128" s="10"/>
        <tr r="I186" s="5"/>
        <tr r="I104" s="4"/>
      </tp>
      <tp t="s">
        <v/>
        <stp/>
        <stp>Market</stp>
        <stp>STOCK</stp>
        <stp>67400.T</stp>
        <stp>安値</stp>
        <tr r="I92" s="4"/>
        <tr r="I189" s="5"/>
        <tr r="C140" s="10"/>
      </tp>
      <tp t="s">
        <v/>
        <stp/>
        <stp>Market</stp>
        <stp>STOCK</stp>
        <stp>68900.T</stp>
        <stp>安値</stp>
        <tr r="C195" s="10"/>
        <tr r="I33" s="5"/>
        <tr r="I82" s="4"/>
      </tp>
      <tp t="s">
        <v/>
        <stp/>
        <stp>Market</stp>
        <stp>STOCK</stp>
        <stp>69200.T</stp>
        <stp>安値</stp>
        <tr r="I84" s="5"/>
        <tr r="C199" s="10"/>
        <tr r="I81" s="4"/>
      </tp>
      <tp t="s">
        <v/>
        <stp/>
        <stp>Market</stp>
        <stp>STOCK</stp>
        <stp>72700.T</stp>
        <stp>安値</stp>
        <tr r="C286" s="10"/>
      </tp>
      <tp t="s">
        <v/>
        <stp/>
        <stp>Market</stp>
        <stp>STOCK</stp>
        <stp>45400.T</stp>
        <stp>安値</stp>
        <tr r="I124" s="5"/>
        <tr r="I157" s="4"/>
        <tr r="C64" s="10"/>
      </tp>
      <tp t="s">
        <v/>
        <stp/>
        <stp>Market</stp>
        <stp>STOCK</stp>
        <stp>49800.T</stp>
        <stp>安値</stp>
        <tr r="C69" s="10"/>
        <tr r="I149" s="4"/>
        <tr r="I72" s="5"/>
      </tp>
      <tp t="s">
        <v/>
        <stp/>
        <stp>Market</stp>
        <stp>STOCK</stp>
        <stp>50200.T</stp>
        <stp>安値</stp>
        <tr r="I141" s="5"/>
        <tr r="C29" s="10"/>
        <tr r="I147" s="4"/>
      </tp>
      <tp t="s">
        <v/>
        <stp/>
        <stp>Market</stp>
        <stp>STOCK</stp>
        <stp>54400.T</stp>
        <stp>安値</stp>
        <tr r="I135" s="4"/>
        <tr r="I156" s="5"/>
        <tr r="C180" s="10"/>
      </tp>
      <tp t="s">
        <v/>
        <stp/>
        <stp>Market</stp>
        <stp>STOCK</stp>
        <stp>54100.T</stp>
        <stp>安値</stp>
        <tr r="I118" s="5"/>
        <tr r="C179" s="10"/>
        <tr r="I138" s="4"/>
      </tp>
    </main>
    <main first="rtdsrv.1affdd1a84884b47aa44e2c617a0fa7a">
      <tp t="s">
        <v/>
        <stp/>
        <stp>Market</stp>
        <stp>STOCK</stp>
        <stp>85700.T</stp>
        <stp>安値</stp>
        <tr r="C37" s="10"/>
        <tr r="I45" s="4"/>
        <tr r="I94" s="5"/>
      </tp>
      <tp t="s">
        <v/>
        <stp/>
        <stp>Market</stp>
        <stp>STOCK</stp>
        <stp>86300.T</stp>
        <stp>安値</stp>
        <tr r="I39" s="4"/>
        <tr r="I176" s="5"/>
        <tr r="C54" s="10"/>
      </tp>
    </main>
    <main first="rtdsrv.1affdd1a84884b47aa44e2c617a0fa7a">
      <tp t="s">
        <v/>
        <stp/>
        <stp>Market</stp>
        <stp>STOCK</stp>
        <stp>87500.T</stp>
        <stp>安値</stp>
        <tr r="C43" s="10"/>
        <tr r="I200" s="5"/>
        <tr r="I36" s="4"/>
      </tp>
    </main>
    <main first="rtdsrv.1affdd1a84884b47aa44e2c617a0fa7a">
      <tp t="s">
        <v/>
        <stp/>
        <stp>Market</stp>
        <stp>STOCK</stp>
        <stp>90200.T</stp>
        <stp>安値</stp>
        <tr r="C109" s="10"/>
        <tr r="I30" s="4"/>
        <tr r="I104" s="5"/>
      </tp>
      <tp t="s">
        <v/>
        <stp/>
        <stp>Market</stp>
        <stp>STOCK</stp>
        <stp>98800.T</stp>
        <stp>安値</stp>
        <tr r="C257" s="10"/>
      </tp>
    </main>
    <main first="rtdsrv.1affdd1a84884b47aa44e2c617a0fa7a">
      <tp t="s">
        <v/>
        <stp/>
        <stp>Market</stp>
        <stp>STOCK</stp>
        <stp>16620.T</stp>
        <stp>始値</stp>
        <tr r="F205" s="4"/>
        <tr r="C18" s="8"/>
        <tr r="F122" s="5"/>
      </tp>
      <tp t="s">
        <v/>
        <stp/>
        <stp>Market</stp>
        <stp>STOCK</stp>
        <stp>18120.T</stp>
        <stp>始値</stp>
        <tr r="F204" s="4"/>
        <tr r="C208" s="8"/>
        <tr r="F121" s="5"/>
      </tp>
      <tp t="s">
        <v/>
        <stp/>
        <stp>Market</stp>
        <stp>STOCK</stp>
        <stp>19420.T</stp>
        <stp>始値</stp>
        <tr r="C175" s="8"/>
        <tr r="F199" s="4"/>
        <tr r="F32" s="5"/>
      </tp>
    </main>
    <main first="rtdsrv.1affdd1a84884b47aa44e2c617a0fa7a">
      <tp t="s">
        <v/>
        <stp/>
        <stp>Market</stp>
        <stp>STOCK</stp>
        <stp>27020.T</stp>
        <stp>始値</stp>
        <tr r="F196" s="5"/>
        <tr r="C194" s="8"/>
        <tr r="F192" s="4"/>
      </tp>
      <tp t="s">
        <v/>
        <stp/>
        <stp>Market</stp>
        <stp>STOCK</stp>
        <stp>28020.T</stp>
        <stp>始値</stp>
        <tr r="F190" s="4"/>
        <tr r="C76" s="8"/>
        <tr r="F23" s="5"/>
      </tp>
    </main>
    <main first="rtdsrv.1affdd1a84884b47aa44e2c617a0fa7a">
      <tp t="s">
        <v/>
        <stp/>
        <stp>Market</stp>
        <stp>STOCK</stp>
        <stp>30020.T</stp>
        <stp>始値</stp>
        <tr r="C277" s="8"/>
      </tp>
    </main>
    <main first="rtdsrv.1affdd1a84884b47aa44e2c617a0fa7a">
      <tp t="s">
        <v/>
        <stp/>
        <stp>Market</stp>
        <stp>STOCK</stp>
        <stp>34020.T</stp>
        <stp>始値</stp>
        <tr r="F172" s="5"/>
        <tr r="C44" s="8"/>
        <tr r="F183" s="4"/>
      </tp>
    </main>
    <main first="rtdsrv.1affdd1a84884b47aa44e2c617a0fa7a">
      <tp t="s">
        <v/>
        <stp/>
        <stp>Market</stp>
        <stp>STOCK</stp>
        <stp>40620.T</stp>
        <stp>始値</stp>
        <tr r="F56" s="5"/>
        <tr r="F173" s="4"/>
        <tr r="C96" s="8"/>
      </tp>
      <tp t="s">
        <v/>
        <stp/>
        <stp>Market</stp>
        <stp>STOCK</stp>
        <stp>40820.T</stp>
        <stp>始値</stp>
        <tr r="C129" s="8"/>
        <tr r="F171" s="4"/>
        <tr r="F9" s="5"/>
      </tp>
      <tp t="s">
        <v/>
        <stp/>
        <stp>Market</stp>
        <stp>STOCK</stp>
        <stp>41820.T</stp>
        <stp>始値</stp>
        <tr r="F75" s="5"/>
        <tr r="F168" s="4"/>
        <tr r="C97" s="8"/>
      </tp>
      <tp t="s">
        <v/>
        <stp/>
        <stp>Market</stp>
        <stp>STOCK</stp>
        <stp>42220.T</stp>
        <stp>始値</stp>
        <tr r="C229" s="8"/>
      </tp>
      <tp t="s">
        <v/>
        <stp/>
        <stp>Market</stp>
        <stp>STOCK</stp>
        <stp>43920.T</stp>
        <stp>始値</stp>
        <tr r="C235" s="8"/>
      </tp>
      <tp t="s">
        <v/>
        <stp/>
        <stp>Market</stp>
        <stp>STOCK</stp>
        <stp>43820.T</stp>
        <stp>始値</stp>
        <tr r="C173" s="8"/>
        <tr r="F192" s="5"/>
        <tr r="F164" s="4"/>
      </tp>
      <tp t="s">
        <v/>
        <stp/>
        <stp>Market</stp>
        <stp>STOCK</stp>
        <stp>44220.T</stp>
        <stp>始値</stp>
        <tr r="F188" s="5"/>
        <tr r="F162" s="4"/>
        <tr r="C139" s="8"/>
      </tp>
      <tp t="s">
        <v/>
        <stp/>
        <stp>Market</stp>
        <stp>STOCK</stp>
        <stp>45020.T</stp>
        <stp>始値</stp>
        <tr r="C212" s="8"/>
      </tp>
      <tp t="s">
        <v/>
        <stp/>
        <stp>Market</stp>
        <stp>STOCK</stp>
        <stp>53320.T</stp>
        <stp>始値</stp>
        <tr r="F12" s="5"/>
        <tr r="F142" s="4"/>
        <tr r="C21" s="8"/>
      </tp>
      <tp t="s">
        <v/>
        <stp/>
        <stp>Market</stp>
        <stp>STOCK</stp>
        <stp>56320.T</stp>
        <stp>始値</stp>
        <tr r="C247" s="8"/>
      </tp>
      <tp t="s">
        <v/>
        <stp/>
        <stp>Market</stp>
        <stp>STOCK</stp>
        <stp>57020.T</stp>
        <stp>始値</stp>
        <tr r="C275" s="8"/>
      </tp>
      <tp t="s">
        <v/>
        <stp/>
        <stp>Market</stp>
        <stp>STOCK</stp>
        <stp>58020.T</stp>
        <stp>始値</stp>
        <tr r="F126" s="4"/>
        <tr r="C102" s="8"/>
        <tr r="F57" s="5"/>
      </tp>
      <tp t="s">
        <v/>
        <stp/>
        <stp>Market</stp>
        <stp>STOCK</stp>
        <stp>58920.T</stp>
        <stp>始値</stp>
        <tr r="C89" s="8"/>
        <tr r="F121" s="4"/>
        <tr r="F74" s="5"/>
      </tp>
      <tp t="s">
        <v/>
        <stp/>
        <stp>Market</stp>
        <stp>STOCK</stp>
        <stp>62320.T</stp>
        <stp>始値</stp>
        <tr r="F28" s="5"/>
        <tr r="F109" s="4"/>
        <tr r="C135" s="8"/>
      </tp>
      <tp t="s">
        <v/>
        <stp/>
        <stp>Market</stp>
        <stp>STOCK</stp>
        <stp>64820.T</stp>
        <stp>始値</stp>
        <tr r="C290" s="8"/>
      </tp>
      <tp t="s">
        <v/>
        <stp/>
        <stp>Market</stp>
        <stp>STOCK</stp>
        <stp>65220.T</stp>
        <stp>始値</stp>
        <tr r="F95" s="4"/>
        <tr r="C143" s="8"/>
        <tr r="F111" s="5"/>
      </tp>
      <tp t="s">
        <v/>
        <stp/>
        <stp>Market</stp>
        <stp>STOCK</stp>
        <stp>66220.T</stp>
        <stp>始値</stp>
        <tr r="C216" s="8"/>
      </tp>
      <tp t="s">
        <v/>
        <stp/>
        <stp>Market</stp>
        <stp>STOCK</stp>
        <stp>67620.T</stp>
        <stp>始値</stp>
        <tr r="C234" s="8"/>
      </tp>
      <tp t="s">
        <v/>
        <stp/>
        <stp>Market</stp>
        <stp>STOCK</stp>
        <stp>67520.T</stp>
        <stp>始値</stp>
        <tr r="C215" s="8"/>
      </tp>
      <tp t="s">
        <v/>
        <stp/>
        <stp>Market</stp>
        <stp>STOCK</stp>
        <stp>68620.T</stp>
        <stp>始値</stp>
        <tr r="C225" s="8"/>
      </tp>
      <tp t="s">
        <v/>
        <stp/>
        <stp>Market</stp>
        <stp>STOCK</stp>
        <stp>69020.T</stp>
        <stp>始値</stp>
        <tr r="C244" s="8"/>
      </tp>
      <tp t="s">
        <v/>
        <stp/>
        <stp>Market</stp>
        <stp>STOCK</stp>
        <stp>71820.T</stp>
        <stp>始値</stp>
        <tr r="F74" s="4"/>
        <tr r="F102" s="5"/>
        <tr r="C85" s="8"/>
      </tp>
      <tp t="s">
        <v/>
        <stp/>
        <stp>Market</stp>
        <stp>STOCK</stp>
        <stp>75320.T</stp>
        <stp>始値</stp>
        <tr r="C305" s="8"/>
      </tp>
      <tp t="s">
        <v/>
        <stp/>
        <stp>Market</stp>
        <stp>STOCK</stp>
        <stp>79720.T</stp>
        <stp>始値</stp>
        <tr r="C241" s="8"/>
      </tp>
      <tp t="s">
        <v/>
        <stp/>
        <stp>Market</stp>
        <stp>STOCK</stp>
        <stp>79520.T</stp>
        <stp>始値</stp>
        <tr r="C276" s="8"/>
      </tp>
      <tp t="s">
        <v/>
        <stp/>
        <stp>Market</stp>
        <stp>STOCK</stp>
        <stp>80020.T</stp>
        <stp>始値</stp>
        <tr r="F62" s="4"/>
        <tr r="F167" s="5"/>
        <tr r="C14" s="8"/>
      </tp>
      <tp t="s">
        <v/>
        <stp/>
        <stp>Market</stp>
        <stp>STOCK</stp>
        <stp>85720.T</stp>
        <stp>始値</stp>
        <tr r="F44" s="4"/>
        <tr r="C47" s="8"/>
        <tr r="F38" s="5"/>
      </tp>
    </main>
    <main first="rtdsrv.1affdd1a84884b47aa44e2c617a0fa7a">
      <tp t="s">
        <v/>
        <stp/>
        <stp>Market</stp>
        <stp>STOCK</stp>
        <stp>88920.T</stp>
        <stp>始値</stp>
        <tr r="C161" s="8"/>
        <tr r="F32" s="4"/>
        <tr r="F114" s="5"/>
      </tp>
    </main>
    <main first="rtdsrv.1affdd1a84884b47aa44e2c617a0fa7a">
      <tp t="s">
        <v/>
        <stp/>
        <stp>Market</stp>
        <stp>STOCK</stp>
        <stp>90220.T</stp>
        <stp>始値</stp>
        <tr r="F29" s="4"/>
        <tr r="F159" s="5"/>
        <tr r="C184" s="8"/>
      </tp>
      <tp t="s">
        <v/>
        <stp/>
        <stp>Market</stp>
        <stp>STOCK</stp>
        <stp>92020.T</stp>
        <stp>始値</stp>
        <tr r="F99" s="5"/>
        <tr r="F26" s="4"/>
        <tr r="C74" s="8"/>
      </tp>
      <tp t="s">
        <v/>
        <stp/>
        <stp>Market</stp>
        <stp>STOCK</stp>
        <stp>94120.T</stp>
        <stp>始値</stp>
        <tr r="C56" s="8"/>
        <tr r="F22" s="4"/>
        <tr r="F22" s="5"/>
      </tp>
      <tp t="s">
        <v/>
        <stp/>
        <stp>Market</stp>
        <stp>STOCK</stp>
        <stp>95320.T</stp>
        <stp>始値</stp>
        <tr r="F14" s="4"/>
        <tr r="C127" s="8"/>
        <tr r="F79" s="5"/>
      </tp>
      <tp t="s">
        <v/>
        <stp/>
        <stp>Market</stp>
        <stp>STOCK</stp>
        <stp>98820.T</stp>
        <stp>始値</stp>
        <tr r="F9" s="4"/>
        <tr r="F128" s="5"/>
        <tr r="C116" s="8"/>
      </tp>
      <tp t="s">
        <v/>
        <stp/>
        <stp>Market</stp>
        <stp>STOCK</stp>
        <stp>99620.T</stp>
        <stp>始値</stp>
        <tr r="C233" s="8"/>
      </tp>
    </main>
    <main first="rtdsrv.1affdd1a84884b47aa44e2c617a0fa7a">
      <tp t="s">
        <v/>
        <stp/>
        <stp>Market</stp>
        <stp>STOCK</stp>
        <stp>34010.T</stp>
        <stp>安値</stp>
        <tr r="C27" s="10"/>
        <tr r="I184" s="4"/>
        <tr r="I169" s="5"/>
      </tp>
    </main>
    <main first="rtdsrv.1affdd1a84884b47aa44e2c617a0fa7a">
      <tp t="s">
        <v/>
        <stp/>
        <stp>Market</stp>
        <stp>STOCK</stp>
        <stp>38610.T</stp>
        <stp>安値</stp>
        <tr r="C41" s="10"/>
        <tr r="I179" s="4"/>
        <tr r="I123" s="5"/>
      </tp>
      <tp t="s">
        <v/>
        <stp/>
        <stp>Market</stp>
        <stp>STOCK</stp>
        <stp>38910.T</stp>
        <stp>安値</stp>
        <tr r="I177" s="4"/>
        <tr r="I43" s="5"/>
        <tr r="C159" s="10"/>
      </tp>
      <tp t="s">
        <v/>
        <stp/>
        <stp>Market</stp>
        <stp>STOCK</stp>
        <stp>39410.T</stp>
        <stp>安値</stp>
        <tr r="I142" s="5"/>
        <tr r="C48" s="10"/>
        <tr r="I176" s="4"/>
      </tp>
    </main>
    <main first="rtdsrv.1affdd1a84884b47aa44e2c617a0fa7a">
      <tp t="s">
        <v/>
        <stp/>
        <stp>Market</stp>
        <stp>STOCK</stp>
        <stp>13210.T</stp>
        <stp>安値</stp>
        <tr r="C303" s="10"/>
      </tp>
      <tp t="s">
        <v/>
        <stp/>
        <stp>Market</stp>
        <stp>STOCK</stp>
        <stp>19610.T</stp>
        <stp>安値</stp>
        <tr r="C59" s="10"/>
        <tr r="I198" s="4"/>
        <tr r="I51" s="5"/>
      </tp>
      <tp t="s">
        <v/>
        <stp/>
        <stp>Market</stp>
        <stp>STOCK</stp>
        <stp>63610.T</stp>
        <stp>安値</stp>
        <tr r="C249" s="10"/>
      </tp>
      <tp t="s">
        <v/>
        <stp/>
        <stp>Market</stp>
        <stp>STOCK</stp>
        <stp>63310.T</stp>
        <stp>安値</stp>
        <tr r="C301" s="10"/>
      </tp>
      <tp t="s">
        <v/>
        <stp/>
        <stp>Market</stp>
        <stp>STOCK</stp>
        <stp>65210.T</stp>
        <stp>安値</stp>
        <tr r="C242" s="10"/>
      </tp>
      <tp t="s">
        <v/>
        <stp/>
        <stp>Market</stp>
        <stp>STOCK</stp>
        <stp>65010.T</stp>
        <stp>安値</stp>
        <tr r="I100" s="4"/>
        <tr r="C91" s="10"/>
        <tr r="I126" s="5"/>
      </tp>
      <tp t="s">
        <v/>
        <stp/>
        <stp>Market</stp>
        <stp>STOCK</stp>
        <stp>67010.T</stp>
        <stp>安値</stp>
        <tr r="I139" s="5"/>
        <tr r="I93" s="4"/>
        <tr r="C11" s="10"/>
      </tp>
      <tp t="s">
        <v/>
        <stp/>
        <stp>Market</stp>
        <stp>STOCK</stp>
        <stp>68610.T</stp>
        <stp>安値</stp>
        <tr r="C209" s="10"/>
      </tp>
      <tp t="s">
        <v/>
        <stp/>
        <stp>Market</stp>
        <stp>STOCK</stp>
        <stp>68410.T</stp>
        <stp>安値</stp>
        <tr r="C81" s="10"/>
        <tr r="I100" s="5"/>
        <tr r="I84" s="4"/>
      </tp>
      <tp t="s">
        <v/>
        <stp/>
        <stp>Market</stp>
        <stp>STOCK</stp>
        <stp>69810.T</stp>
        <stp>安値</stp>
        <tr r="C154" s="10"/>
        <tr r="I30" s="5"/>
        <tr r="I78" s="4"/>
      </tp>
      <tp t="s">
        <v/>
        <stp/>
        <stp>Market</stp>
        <stp>STOCK</stp>
        <stp>70210.T</stp>
        <stp>安値</stp>
        <tr r="C106" s="10"/>
        <tr r="I76" s="4"/>
        <tr r="I76" s="5"/>
      </tp>
      <tp t="s">
        <v/>
        <stp/>
        <stp>Market</stp>
        <stp>STOCK</stp>
        <stp>70110.T</stp>
        <stp>安値</stp>
        <tr r="I197" s="5"/>
        <tr r="I77" s="4"/>
        <tr r="C207" s="10"/>
      </tp>
      <tp t="s">
        <v/>
        <stp/>
        <stp>Market</stp>
        <stp>STOCK</stp>
        <stp>71810.T</stp>
        <stp>安値</stp>
        <tr r="I5" s="4"/>
        <tr r="I119" s="5"/>
        <tr r="C190" s="10"/>
      </tp>
      <tp t="s">
        <v/>
        <stp/>
        <stp>Market</stp>
        <stp>STOCK</stp>
        <stp>73810.T</stp>
        <stp>安値</stp>
        <tr r="I63" s="5"/>
        <tr r="C152" s="10"/>
        <tr r="I70" s="4"/>
      </tp>
      <tp t="s">
        <v/>
        <stp/>
        <stp>Market</stp>
        <stp>STOCK</stp>
        <stp>77410.T</stp>
        <stp>安値</stp>
        <tr r="C302" s="10"/>
      </tp>
      <tp t="s">
        <v/>
        <stp/>
        <stp>Market</stp>
        <stp>STOCK</stp>
        <stp>77110.T</stp>
        <stp>安値</stp>
        <tr r="C268" s="10"/>
      </tp>
      <tp t="s">
        <v/>
        <stp/>
        <stp>Market</stp>
        <stp>STOCK</stp>
        <stp>79810.T</stp>
        <stp>安値</stp>
        <tr r="I116" s="5"/>
        <tr r="I63" s="4"/>
        <tr r="C171" s="10"/>
      </tp>
      <tp t="s">
        <v/>
        <stp/>
        <stp>Market</stp>
        <stp>STOCK</stp>
        <stp>40910.T</stp>
        <stp>安値</stp>
        <tr r="C157" s="10"/>
        <tr r="I152" s="5"/>
        <tr r="I169" s="4"/>
      </tp>
      <tp t="s">
        <v/>
        <stp/>
        <stp>Market</stp>
        <stp>STOCK</stp>
        <stp>46610.T</stp>
        <stp>安値</stp>
        <tr r="I156" s="4"/>
        <tr r="I103" s="5"/>
        <tr r="C101" s="10"/>
      </tp>
      <tp t="s">
        <v/>
        <stp/>
        <stp>Market</stp>
        <stp>STOCK</stp>
        <stp>50210.T</stp>
        <stp>安値</stp>
        <tr r="C15" s="10"/>
        <tr r="I146" s="4"/>
        <tr r="I88" s="5"/>
      </tp>
      <tp t="s">
        <v/>
        <stp/>
        <stp>Market</stp>
        <stp>STOCK</stp>
        <stp>52010.T</stp>
        <stp>安値</stp>
        <tr r="C53" s="10"/>
        <tr r="I175" s="5"/>
        <tr r="I145" s="4"/>
      </tp>
      <tp t="s">
        <v/>
        <stp/>
        <stp>Market</stp>
        <stp>STOCK</stp>
        <stp>54110.T</stp>
        <stp>安値</stp>
        <tr r="I137" s="4"/>
        <tr r="C84" s="10"/>
        <tr r="I7" s="5"/>
      </tp>
      <tp t="s">
        <v/>
        <stp/>
        <stp>Market</stp>
        <stp>STOCK</stp>
        <stp>54010.T</stp>
        <stp>安値</stp>
        <tr r="C46" s="10"/>
        <tr r="I140" s="4"/>
        <tr r="I173" s="5"/>
      </tp>
      <tp t="s">
        <v/>
        <stp/>
        <stp>Market</stp>
        <stp>STOCK</stp>
        <stp>55410.T</stp>
        <stp>安値</stp>
        <tr r="I90" s="5"/>
        <tr r="I133" s="4"/>
        <tr r="C20" s="10"/>
      </tp>
      <tp t="s">
        <v/>
        <stp/>
        <stp>Market</stp>
        <stp>STOCK</stp>
        <stp>56310.T</stp>
        <stp>安値</stp>
        <tr r="C263" s="10"/>
      </tp>
      <tp t="s">
        <v/>
        <stp/>
        <stp>Market</stp>
        <stp>STOCK</stp>
        <stp>57110.T</stp>
        <stp>安値</stp>
        <tr r="I130" s="4"/>
        <tr r="C9" s="10"/>
        <tr r="I87" s="5"/>
      </tp>
      <tp t="s">
        <v/>
        <stp/>
        <stp>Market</stp>
        <stp>STOCK</stp>
        <stp>58010.T</stp>
        <stp>安値</stp>
        <tr r="I45" s="5"/>
        <tr r="I127" s="4"/>
        <tr r="C200" s="10"/>
      </tp>
      <tp t="s">
        <v/>
        <stp/>
        <stp>Market</stp>
        <stp>STOCK</stp>
        <stp>59010.T</stp>
        <stp>安値</stp>
        <tr r="I71" s="5"/>
        <tr r="C55" s="10"/>
        <tr r="I120" s="4"/>
      </tp>
    </main>
    <main first="rtdsrv.1affdd1a84884b47aa44e2c617a0fa7a">
      <tp t="s">
        <v/>
        <stp/>
        <stp>Market</stp>
        <stp>STOCK</stp>
        <stp>80910.T</stp>
        <stp>安値</stp>
        <tr r="C182" s="10"/>
        <tr r="I158" s="5"/>
        <tr r="I57" s="4"/>
      </tp>
      <tp t="s">
        <v/>
        <stp/>
        <stp>Market</stp>
        <stp>STOCK</stp>
        <stp>81410.T</stp>
        <stp>安値</stp>
        <tr r="C292" s="10"/>
      </tp>
    </main>
    <main first="rtdsrv.1affdd1a84884b47aa44e2c617a0fa7a">
      <tp t="s">
        <v/>
        <stp/>
        <stp>Market</stp>
        <stp>STOCK</stp>
        <stp>82810.T</stp>
        <stp>安値</stp>
        <tr r="I55" s="4"/>
        <tr r="C63" s="10"/>
        <tr r="I179" s="5"/>
      </tp>
      <tp t="s">
        <v/>
        <stp/>
        <stp>Market</stp>
        <stp>STOCK</stp>
        <stp>84110.T</stp>
        <stp>安値</stp>
        <tr r="I47" s="4"/>
        <tr r="I66" s="5"/>
        <tr r="C19" s="10"/>
      </tp>
      <tp t="s">
        <v/>
        <stp/>
        <stp>Market</stp>
        <stp>STOCK</stp>
        <stp>85910.T</stp>
        <stp>安値</stp>
        <tr r="I67" s="5"/>
        <tr r="C26" s="10"/>
        <tr r="I43" s="4"/>
      </tp>
    </main>
    <main first="rtdsrv.1affdd1a84884b47aa44e2c617a0fa7a">
      <tp t="s">
        <v/>
        <stp/>
        <stp>Market</stp>
        <stp>STOCK</stp>
        <stp>86010.T</stp>
        <stp>安値</stp>
        <tr r="C33" s="10"/>
        <tr r="I198" s="5"/>
        <tr r="I41" s="4"/>
      </tp>
      <tp t="s">
        <v/>
        <stp/>
        <stp>Market</stp>
        <stp>STOCK</stp>
        <stp>88710.T</stp>
        <stp>安値</stp>
        <tr r="C278" s="10"/>
      </tp>
      <tp t="s">
        <v/>
        <stp/>
        <stp>Market</stp>
        <stp>STOCK</stp>
        <stp>88010.T</stp>
        <stp>安値</stp>
        <tr r="C124" s="10"/>
        <tr r="I33" s="4"/>
        <tr r="I129" s="5"/>
      </tp>
      <tp t="s">
        <v/>
        <stp/>
        <stp>Market</stp>
        <stp>STOCK</stp>
        <stp>91010.T</stp>
        <stp>安値</stp>
        <tr r="I27" s="4"/>
        <tr r="I164" s="5"/>
        <tr r="C206" s="10"/>
      </tp>
    </main>
    <main first="rtdsrv.1affdd1a84884b47aa44e2c617a0fa7a">
      <tp t="s">
        <v/>
        <stp/>
        <stp>Market</stp>
        <stp>STOCK</stp>
        <stp>95510.T</stp>
        <stp>安値</stp>
        <tr r="I12" s="4"/>
        <tr r="C167" s="10"/>
        <tr r="I134" s="5"/>
      </tp>
      <tp t="s">
        <v/>
        <stp/>
        <stp>Market</stp>
        <stp>STOCK</stp>
        <stp>95310.T</stp>
        <stp>安値</stp>
        <tr r="I203" s="5"/>
        <tr r="C115" s="10"/>
        <tr r="I15" s="4"/>
      </tp>
      <tp t="s">
        <v/>
        <stp/>
        <stp>Market</stp>
        <stp>STOCK</stp>
        <stp>95010.T</stp>
        <stp>安値</stp>
        <tr r="I18" s="4"/>
        <tr r="I105" s="5"/>
        <tr r="C114" s="10"/>
      </tp>
    </main>
    <main first="rtdsrv.1affdd1a84884b47aa44e2c617a0fa7a">
      <tp t="s">
        <v/>
        <stp/>
        <stp>Market</stp>
        <stp>STOCK</stp>
        <stp>18330.T</stp>
        <stp>始値</stp>
        <tr r="C80" s="8"/>
        <tr r="F180" s="5"/>
        <tr r="F203" s="4"/>
      </tp>
      <tp t="s">
        <v/>
        <stp/>
        <stp>Market</stp>
        <stp>STOCK</stp>
        <stp>19630.T</stp>
        <stp>始値</stp>
        <tr r="F40" s="5"/>
        <tr r="C86" s="8"/>
        <tr r="F197" s="4"/>
      </tp>
    </main>
    <main first="rtdsrv.1affdd1a84884b47aa44e2c617a0fa7a">
      <tp t="s">
        <v/>
        <stp/>
        <stp>Market</stp>
        <stp>STOCK</stp>
        <stp>29330.T</stp>
        <stp>始値</stp>
        <tr r="C288" s="8"/>
      </tp>
    </main>
    <main first="rtdsrv.1affdd1a84884b47aa44e2c617a0fa7a">
      <tp t="s">
        <v/>
        <stp/>
        <stp>Market</stp>
        <stp>STOCK</stp>
        <stp>30030.T</stp>
        <stp>始値</stp>
        <tr r="F188" s="4"/>
        <tr r="C88" s="8"/>
        <tr r="F143" s="5"/>
      </tp>
      <tp t="s">
        <v/>
        <stp/>
        <stp>Market</stp>
        <stp>STOCK</stp>
        <stp>31030.T</stp>
        <stp>始値</stp>
        <tr r="F187" s="4"/>
        <tr r="C138" s="8"/>
        <tr r="F81" s="5"/>
      </tp>
    </main>
    <main first="rtdsrv.1affdd1a84884b47aa44e2c617a0fa7a">
      <tp t="s">
        <v/>
        <stp/>
        <stp>Market</stp>
        <stp>STOCK</stp>
        <stp>35630.T</stp>
        <stp>始値</stp>
        <tr r="C230" s="8"/>
      </tp>
    </main>
    <main first="rtdsrv.1affdd1a84884b47aa44e2c617a0fa7a">
      <tp t="s">
        <v/>
        <stp/>
        <stp>Market</stp>
        <stp>STOCK</stp>
        <stp>38630.T</stp>
        <stp>始値</stp>
        <tr r="F178" s="4"/>
        <tr r="F21" s="5"/>
        <tr r="C32" s="8"/>
      </tp>
      <tp t="s">
        <v/>
        <stp/>
        <stp>Market</stp>
        <stp>STOCK</stp>
        <stp>40630.T</stp>
        <stp>始値</stp>
        <tr r="C66" s="8"/>
        <tr r="F172" s="4"/>
        <tr r="F14" s="5"/>
      </tp>
      <tp t="s">
        <v/>
        <stp/>
        <stp>Market</stp>
        <stp>STOCK</stp>
        <stp>43730.T</stp>
        <stp>始値</stp>
        <tr r="F165" s="4"/>
        <tr r="F82" s="5"/>
        <tr r="C160" s="8"/>
      </tp>
      <tp t="s">
        <v/>
        <stp/>
        <stp>Market</stp>
        <stp>STOCK</stp>
        <stp>45230.T</stp>
        <stp>始値</stp>
        <tr r="C99" s="8"/>
        <tr r="F160" s="4"/>
        <tr r="F184" s="5"/>
      </tp>
      <tp t="s">
        <v/>
        <stp/>
        <stp>Market</stp>
        <stp>STOCK</stp>
        <stp>47330.T</stp>
        <stp>始値</stp>
        <tr r="F153" s="4"/>
        <tr r="C165" s="8"/>
        <tr r="F133" s="5"/>
      </tp>
      <tp t="s">
        <v/>
        <stp/>
        <stp>Market</stp>
        <stp>STOCK</stp>
        <stp>52530.T</stp>
        <stp>始値</stp>
        <tr r="C258" s="8"/>
      </tp>
      <tp t="s">
        <v/>
        <stp/>
        <stp>Market</stp>
        <stp>STOCK</stp>
        <stp>52430.T</stp>
        <stp>始値</stp>
        <tr r="F143" s="4"/>
        <tr r="C193" s="8"/>
        <tr r="F138" s="5"/>
      </tp>
      <tp t="s">
        <v/>
        <stp/>
        <stp>Market</stp>
        <stp>STOCK</stp>
        <stp>52330.T</stp>
        <stp>始値</stp>
        <tr r="C34" s="8"/>
        <tr r="F170" s="5"/>
        <tr r="F144" s="4"/>
      </tp>
      <tp t="s">
        <v/>
        <stp/>
        <stp>Market</stp>
        <stp>STOCK</stp>
        <stp>53330.T</stp>
        <stp>始値</stp>
        <tr r="F37" s="5"/>
        <tr r="F141" s="4"/>
        <tr r="C17" s="8"/>
      </tp>
      <tp t="s">
        <v/>
        <stp/>
        <stp>Market</stp>
        <stp>STOCK</stp>
        <stp>54230.T</stp>
        <stp>始値</stp>
        <tr r="C7" s="8"/>
        <tr r="F165" s="5"/>
        <tr r="F136" s="4"/>
      </tp>
      <tp t="s">
        <v/>
        <stp/>
        <stp>Market</stp>
        <stp>STOCK</stp>
        <stp>57130.T</stp>
        <stp>始値</stp>
        <tr r="F129" s="4"/>
        <tr r="F46" s="5"/>
        <tr r="C8" s="8"/>
      </tp>
      <tp t="s">
        <v/>
        <stp/>
        <stp>Market</stp>
        <stp>STOCK</stp>
        <stp>57030.T</stp>
        <stp>始値</stp>
        <tr r="F48" s="5"/>
        <tr r="C13" s="8"/>
        <tr r="F132" s="4"/>
      </tp>
      <tp t="s">
        <v/>
        <stp/>
        <stp>Market</stp>
        <stp>STOCK</stp>
        <stp>58030.T</stp>
        <stp>始値</stp>
        <tr r="F125" s="4"/>
        <tr r="F58" s="5"/>
        <tr r="C103" s="8"/>
      </tp>
      <tp t="s">
        <v/>
        <stp/>
        <stp>Market</stp>
        <stp>STOCK</stp>
        <stp>62730.T</stp>
        <stp>始値</stp>
        <tr r="C211" s="8"/>
      </tp>
      <tp t="s">
        <v/>
        <stp/>
        <stp>Market</stp>
        <stp>STOCK</stp>
        <stp>62030.T</stp>
        <stp>始値</stp>
        <tr r="F50" s="5"/>
        <tr r="F111" s="4"/>
        <tr r="C57" s="8"/>
      </tp>
      <tp t="s">
        <v/>
        <stp/>
        <stp>Market</stp>
        <stp>STOCK</stp>
        <stp>63230.T</stp>
        <stp>始値</stp>
        <tr r="F41" s="5"/>
        <tr r="C90" s="8"/>
        <tr r="F106" s="4"/>
      </tp>
      <tp t="s">
        <v/>
        <stp/>
        <stp>Market</stp>
        <stp>STOCK</stp>
        <stp>65030.T</stp>
        <stp>始値</stp>
        <tr r="C68" s="8"/>
        <tr r="F99" s="4"/>
        <tr r="F39" s="5"/>
      </tp>
      <tp t="s">
        <v/>
        <stp/>
        <stp>Market</stp>
        <stp>STOCK</stp>
        <stp>66130.T</stp>
        <stp>始値</stp>
        <tr r="F3" s="5"/>
        <tr r="C141" s="8"/>
        <tr r="F94" s="4"/>
      </tp>
      <tp t="s">
        <v/>
        <stp/>
        <stp>Market</stp>
        <stp>STOCK</stp>
        <stp>67530.T</stp>
        <stp>始値</stp>
        <tr r="C188" s="8"/>
        <tr r="F162" s="5"/>
        <tr r="F90" s="4"/>
      </tp>
      <tp t="s">
        <v/>
        <stp/>
        <stp>Market</stp>
        <stp>STOCK</stp>
        <stp>70130.T</stp>
        <stp>始値</stp>
        <tr r="C231" s="8"/>
      </tp>
      <tp t="s">
        <v/>
        <stp/>
        <stp>Market</stp>
        <stp>STOCK</stp>
        <stp>72030.T</stp>
        <stp>始値</stp>
        <tr r="F73" s="4"/>
        <tr r="C77" s="8"/>
        <tr r="F73" s="5"/>
      </tp>
      <tp t="s">
        <v/>
        <stp/>
        <stp>Market</stp>
        <stp>STOCK</stp>
        <stp>80530.T</stp>
        <stp>始値</stp>
        <tr r="F49" s="5"/>
        <tr r="F59" s="4"/>
        <tr r="C25" s="8"/>
      </tp>
      <tp t="s">
        <v/>
        <stp/>
        <stp>Market</stp>
        <stp>STOCK</stp>
        <stp>81030.T</stp>
        <stp>始値</stp>
        <tr r="F136" s="5"/>
        <tr r="F56" s="4"/>
        <tr r="C169" s="8"/>
      </tp>
    </main>
    <main first="rtdsrv.1affdd1a84884b47aa44e2c617a0fa7a">
      <tp t="s">
        <v/>
        <stp/>
        <stp>Market</stp>
        <stp>STOCK</stp>
        <stp>83030.T</stp>
        <stp>始値</stp>
        <tr r="F191" s="5"/>
        <tr r="F54" s="4"/>
        <tr r="C172" s="8"/>
      </tp>
      <tp t="s">
        <v/>
        <stp/>
        <stp>Market</stp>
        <stp>STOCK</stp>
        <stp>85930.T</stp>
        <stp>始値</stp>
        <tr r="F42" s="4"/>
        <tr r="C39" s="8"/>
        <tr r="F171" s="5"/>
      </tp>
      <tp t="s">
        <v/>
        <stp/>
        <stp>Market</stp>
        <stp>STOCK</stp>
        <stp>87930.T</stp>
        <stp>始値</stp>
        <tr r="C232" s="8"/>
      </tp>
    </main>
    <main first="rtdsrv.1affdd1a84884b47aa44e2c617a0fa7a">
      <tp t="s">
        <v/>
        <stp/>
        <stp>Market</stp>
        <stp>STOCK</stp>
        <stp>97330.T</stp>
        <stp>始値</stp>
        <tr r="C166" s="8"/>
        <tr r="F10" s="4"/>
        <tr r="F153" s="5"/>
      </tp>
    </main>
    <main first="rtdsrv.1affdd1a84884b47aa44e2c617a0fa7a">
      <tp t="s">
        <v/>
        <stp/>
        <stp>Market</stp>
        <stp>STOCK</stp>
        <stp>23260.T</stp>
        <stp>安値</stp>
        <tr r="C237" s="10"/>
      </tp>
    </main>
    <main first="rtdsrv.1affdd1a84884b47aa44e2c617a0fa7a">
      <tp t="s">
        <v/>
        <stp/>
        <stp>Market</stp>
        <stp>STOCK</stp>
        <stp>34360.T</stp>
        <stp>安値</stp>
        <tr r="C28" s="10"/>
        <tr r="I4" s="5"/>
        <tr r="I181" s="4"/>
      </tp>
    </main>
    <main first="rtdsrv.1affdd1a84884b47aa44e2c617a0fa7a">
      <tp t="s">
        <v/>
        <stp/>
        <stp>Market</stp>
        <stp>STOCK</stp>
        <stp>36960.T</stp>
        <stp>安値</stp>
        <tr r="C228" s="10"/>
      </tp>
      <tp t="s">
        <v/>
        <stp/>
        <stp>Market</stp>
        <stp>STOCK</stp>
        <stp>39360.T</stp>
        <stp>安値</stp>
        <tr r="C245" s="10"/>
      </tp>
      <tp t="s">
        <v/>
        <stp/>
        <stp>Market</stp>
        <stp>STOCK</stp>
        <stp>61460.T</stp>
        <stp>安値</stp>
        <tr r="I113" s="4"/>
        <tr r="I120" s="5"/>
        <tr r="C197" s="10"/>
      </tp>
      <tp t="s">
        <v/>
        <stp/>
        <stp>Market</stp>
        <stp>STOCK</stp>
        <stp>63760.T</stp>
        <stp>安値</stp>
        <tr r="C269" s="10"/>
      </tp>
      <tp t="s">
        <v/>
        <stp/>
        <stp>Market</stp>
        <stp>STOCK</stp>
        <stp>63660.T</stp>
        <stp>安値</stp>
        <tr r="C260" s="10"/>
      </tp>
      <tp t="s">
        <v/>
        <stp/>
        <stp>Market</stp>
        <stp>STOCK</stp>
        <stp>63560.T</stp>
        <stp>安値</stp>
        <tr r="C267" s="10"/>
      </tp>
      <tp t="s">
        <v/>
        <stp/>
        <stp>Market</stp>
        <stp>STOCK</stp>
        <stp>64360.T</stp>
        <stp>安値</stp>
        <tr r="I102" s="4"/>
        <tr r="I155" s="5"/>
        <tr r="C178" s="10"/>
      </tp>
      <tp t="s">
        <v/>
        <stp/>
        <stp>Market</stp>
        <stp>STOCK</stp>
        <stp>65160.T</stp>
        <stp>安値</stp>
        <tr r="C151" s="10"/>
        <tr r="I96" s="4"/>
        <tr r="I29" s="5"/>
      </tp>
      <tp t="s">
        <v/>
        <stp/>
        <stp>Market</stp>
        <stp>STOCK</stp>
        <stp>65060.T</stp>
        <stp>安値</stp>
        <tr r="I98" s="4"/>
        <tr r="C201" s="10"/>
        <tr r="I20" s="5"/>
      </tp>
      <tp t="s">
        <v/>
        <stp/>
        <stp>Market</stp>
        <stp>STOCK</stp>
        <stp>67360.T</stp>
        <stp>安値</stp>
        <tr r="C287" s="10"/>
      </tp>
      <tp t="s">
        <v/>
        <stp/>
        <stp>Market</stp>
        <stp>STOCK</stp>
        <stp>67060.T</stp>
        <stp>安値</stp>
        <tr r="C291" s="10"/>
      </tp>
      <tp t="s">
        <v/>
        <stp/>
        <stp>Market</stp>
        <stp>STOCK</stp>
        <stp>72360.T</stp>
        <stp>安値</stp>
        <tr r="I72" s="4"/>
        <tr r="C177" s="10"/>
        <tr r="I137" s="5"/>
      </tp>
      <tp t="s">
        <v/>
        <stp/>
        <stp>Market</stp>
        <stp>STOCK</stp>
        <stp>77460.T</stp>
        <stp>安値</stp>
        <tr r="C93" s="10"/>
        <tr r="I67" s="4"/>
        <tr r="I144" s="5"/>
      </tp>
      <tp t="s">
        <v/>
        <stp/>
        <stp>Market</stp>
        <stp>STOCK</stp>
        <stp>78460.T</stp>
        <stp>安値</stp>
        <tr r="I64" s="4"/>
        <tr r="C75" s="10"/>
        <tr r="I202" s="5"/>
      </tp>
      <tp t="s">
        <v/>
        <stp/>
        <stp>Market</stp>
        <stp>STOCK</stp>
        <stp>78060.T</stp>
        <stp>安値</stp>
        <tr r="C73" s="10"/>
        <tr r="I65" s="4"/>
        <tr r="I55" s="5"/>
      </tp>
      <tp t="s">
        <v/>
        <stp/>
        <stp>Market</stp>
        <stp>STOCK</stp>
        <stp>45360.T</stp>
        <stp>安値</stp>
        <tr r="I158" s="4"/>
        <tr r="C67" s="10"/>
        <tr r="I125" s="5"/>
      </tp>
      <tp t="s">
        <v/>
        <stp/>
        <stp>Market</stp>
        <stp>STOCK</stp>
        <stp>46760.T</stp>
        <stp>安値</stp>
        <tr r="I177" s="5"/>
        <tr r="C58" s="10"/>
        <tr r="I155" s="4"/>
      </tp>
      <tp t="s">
        <v/>
        <stp/>
        <stp>Market</stp>
        <stp>STOCK</stp>
        <stp>47760.T</stp>
        <stp>安値</stp>
        <tr r="C253" s="10"/>
      </tp>
      <tp t="s">
        <v/>
        <stp/>
        <stp>Market</stp>
        <stp>STOCK</stp>
        <stp>49660.T</stp>
        <stp>安値</stp>
        <tr r="I150" s="4"/>
        <tr r="I34" s="5"/>
        <tr r="C196" s="10"/>
      </tp>
      <tp t="s">
        <v/>
        <stp/>
        <stp>Market</stp>
        <stp>STOCK</stp>
        <stp>54060.T</stp>
        <stp>安値</stp>
        <tr r="I95" s="5"/>
        <tr r="I139" s="4"/>
        <tr r="C38" s="10"/>
      </tp>
      <tp t="s">
        <v/>
        <stp/>
        <stp>Market</stp>
        <stp>STOCK</stp>
        <stp>57060.T</stp>
        <stp>安値</stp>
        <tr r="I11" s="5"/>
        <tr r="C6" s="10"/>
        <tr r="I131" s="4"/>
      </tp>
    </main>
    <main first="rtdsrv.1affdd1a84884b47aa44e2c617a0fa7a">
      <tp t="s">
        <v/>
        <stp/>
        <stp>Market</stp>
        <stp>STOCK</stp>
        <stp>83160.T</stp>
        <stp>安値</stp>
        <tr r="I50" s="4"/>
        <tr r="I70" s="5"/>
        <tr r="C50" s="10"/>
      </tp>
      <tp t="s">
        <v/>
        <stp/>
        <stp>Market</stp>
        <stp>STOCK</stp>
        <stp>83060.T</stp>
        <stp>安値</stp>
        <tr r="C45" s="10"/>
        <tr r="I201" s="5"/>
        <tr r="I53" s="4"/>
      </tp>
      <tp t="s">
        <v/>
        <stp/>
        <stp>Market</stp>
        <stp>STOCK</stp>
        <stp>87660.T</stp>
        <stp>安値</stp>
        <tr r="C52" s="10"/>
        <tr r="I35" s="4"/>
        <tr r="I174" s="5"/>
      </tp>
    </main>
    <main first="rtdsrv.1affdd1a84884b47aa44e2c617a0fa7a">
      <tp t="s">
        <v/>
        <stp/>
        <stp>Market</stp>
        <stp>STOCK</stp>
        <stp>94160.T</stp>
        <stp>安値</stp>
        <tr r="I107" s="5"/>
        <tr r="I21" s="4"/>
        <tr r="C126" s="10"/>
      </tp>
      <tp t="s">
        <v/>
        <stp/>
        <stp>Market</stp>
        <stp>STOCK</stp>
        <stp>95360.T</stp>
        <stp>安値</stp>
        <tr r="I13" s="4"/>
        <tr r="C185" s="10"/>
        <tr r="I160" s="5"/>
      </tp>
      <tp t="s">
        <v/>
        <stp/>
        <stp>Market</stp>
        <stp>STOCK</stp>
        <stp>95060.T</stp>
        <stp>安値</stp>
        <tr r="I16" s="4"/>
        <tr r="I193" s="5"/>
        <tr r="C186" s="10"/>
      </tp>
    </main>
    <main first="rtdsrv.1affdd1a84884b47aa44e2c617a0fa7a">
      <tp t="s">
        <v/>
        <stp/>
        <stp>Market</stp>
        <stp>STOCK</stp>
        <stp>95310.T</stp>
        <stp>出来高加重平均</stp>
        <tr r="I11" s="16"/>
        <tr r="H11" s="16"/>
      </tp>
      <tp t="s">
        <v/>
        <stp/>
        <stp>Market</stp>
        <stp>STOCK</stp>
        <stp>91010.T</stp>
        <stp>出来高加重平均</stp>
        <tr r="I19" s="16"/>
        <tr r="H19" s="16"/>
      </tp>
      <tp t="s">
        <v/>
        <stp/>
        <stp>Market</stp>
        <stp>STOCK</stp>
        <stp>15140.T</stp>
        <stp>始値</stp>
        <tr r="C262" s="8"/>
      </tp>
      <tp t="s">
        <v/>
        <stp/>
        <stp>Market</stp>
        <stp>STOCK</stp>
        <stp>19440.T</stp>
        <stp>始値</stp>
        <tr r="C304" s="8"/>
      </tp>
    </main>
    <main first="rtdsrv.1affdd1a84884b47aa44e2c617a0fa7a">
      <tp t="s">
        <v/>
        <stp/>
        <stp>Market</stp>
        <stp>STOCK</stp>
        <stp>29140.T</stp>
        <stp>始値</stp>
        <tr r="F182" s="5"/>
        <tr r="C87" s="8"/>
        <tr r="F189" s="4"/>
      </tp>
    </main>
    <main first="rtdsrv.1affdd1a84884b47aa44e2c617a0fa7a">
      <tp t="s">
        <v/>
        <stp/>
        <stp>Market</stp>
        <stp>STOCK</stp>
        <stp>38640.T</stp>
        <stp>始値</stp>
        <tr r="C271" s="8"/>
      </tp>
      <tp t="s">
        <v/>
        <stp/>
        <stp>Market</stp>
        <stp>STOCK</stp>
        <stp>38540.T</stp>
        <stp>始値</stp>
        <tr r="F54" s="5"/>
        <tr r="F180" s="4"/>
        <tr r="C71" s="8"/>
      </tp>
      <tp t="s">
        <v/>
        <stp/>
        <stp>Market</stp>
        <stp>STOCK</stp>
        <stp>39840.T</stp>
        <stp>始値</stp>
        <tr r="C239" s="8"/>
      </tp>
      <tp t="s">
        <v/>
        <stp/>
        <stp>Market</stp>
        <stp>STOCK</stp>
        <stp>40040.T</stp>
        <stp>始値</stp>
        <tr r="C213" s="8"/>
      </tp>
      <tp t="s">
        <v/>
        <stp/>
        <stp>Market</stp>
        <stp>STOCK</stp>
        <stp>45440.T</stp>
        <stp>始値</stp>
        <tr r="C273" s="8"/>
      </tp>
      <tp t="s">
        <v/>
        <stp/>
        <stp>Market</stp>
        <stp>STOCK</stp>
        <stp>47040.T</stp>
        <stp>始値</stp>
        <tr r="C254" s="8"/>
      </tp>
      <tp t="s">
        <v/>
        <stp/>
        <stp>Market</stp>
        <stp>STOCK</stp>
        <stp>57140.T</stp>
        <stp>始値</stp>
        <tr r="F47" s="5"/>
        <tr r="F128" s="4"/>
        <tr r="C10" s="8"/>
      </tp>
      <tp t="s">
        <v/>
        <stp/>
        <stp>Market</stp>
        <stp>STOCK</stp>
        <stp>58440.T</stp>
        <stp>始値</stp>
        <tr r="F61" s="5"/>
        <tr r="F123" s="4"/>
        <tr r="C118" s="8"/>
      </tp>
      <tp t="s">
        <v/>
        <stp/>
        <stp>Market</stp>
        <stp>STOCK</stp>
        <stp>61340.T</stp>
        <stp>始値</stp>
        <tr r="C92" s="8"/>
        <tr r="F114" s="4"/>
        <tr r="F25" s="5"/>
      </tp>
      <tp t="s">
        <v/>
        <stp/>
        <stp>Market</stp>
        <stp>STOCK</stp>
        <stp>62540.T</stp>
        <stp>始値</stp>
        <tr r="F5" s="5"/>
        <tr r="F108" s="4"/>
        <tr r="C30" s="8"/>
      </tp>
      <tp t="s">
        <v/>
        <stp/>
        <stp>Market</stp>
        <stp>STOCK</stp>
        <stp>63240.T</stp>
        <stp>始値</stp>
        <tr r="C210" s="8"/>
      </tp>
      <tp t="s">
        <v/>
        <stp/>
        <stp>Market</stp>
        <stp>STOCK</stp>
        <stp>66740.T</stp>
        <stp>始値</stp>
        <tr r="C264" s="8"/>
      </tp>
      <tp t="s">
        <v/>
        <stp/>
        <stp>Market</stp>
        <stp>STOCK</stp>
        <stp>67540.T</stp>
        <stp>始値</stp>
        <tr r="F31" s="5"/>
        <tr r="F89" s="4"/>
        <tr r="C155" s="8"/>
      </tp>
      <tp t="s">
        <v/>
        <stp/>
        <stp>Market</stp>
        <stp>STOCK</stp>
        <stp>67440.T</stp>
        <stp>始値</stp>
        <tr r="F91" s="4"/>
        <tr r="F106" s="5"/>
        <tr r="C120" s="8"/>
      </tp>
      <tp t="s">
        <v/>
        <stp/>
        <stp>Market</stp>
        <stp>STOCK</stp>
        <stp>69540.T</stp>
        <stp>始値</stp>
        <tr r="F16" s="5"/>
        <tr r="F79" s="4"/>
        <tr r="C78" s="8"/>
      </tp>
      <tp t="s">
        <v/>
        <stp/>
        <stp>Market</stp>
        <stp>STOCK</stp>
        <stp>70140.T</stp>
        <stp>始値</stp>
        <tr r="C256" s="8"/>
      </tp>
      <tp t="s">
        <v/>
        <stp/>
        <stp>Market</stp>
        <stp>STOCK</stp>
        <stp>74140.T</stp>
        <stp>始値</stp>
        <tr r="C294" s="8"/>
      </tp>
      <tp t="s">
        <v/>
        <stp/>
        <stp>Market</stp>
        <stp>STOCK</stp>
        <stp>77940.T</stp>
        <stp>始値</stp>
        <tr r="F66" s="4"/>
        <tr r="C136" s="8"/>
        <tr r="F80" s="5"/>
      </tp>
    </main>
    <main first="rtdsrv.1affdd1a84884b47aa44e2c617a0fa7a">
      <tp t="s">
        <v/>
        <stp/>
        <stp>Market</stp>
        <stp>STOCK</stp>
        <stp>83440.T</stp>
        <stp>始値</stp>
        <tr r="C293" s="8"/>
      </tp>
      <tp t="s">
        <v/>
        <stp/>
        <stp>Market</stp>
        <stp>STOCK</stp>
        <stp>83340.T</stp>
        <stp>始値</stp>
        <tr r="C122" s="8"/>
        <tr r="F204" s="5"/>
        <tr r="F49" s="4"/>
      </tp>
      <tp t="s">
        <v/>
        <stp/>
        <stp>Market</stp>
        <stp>STOCK</stp>
        <stp>84240.T</stp>
        <stp>始値</stp>
        <tr r="F46" s="4"/>
        <tr r="F185" s="5"/>
        <tr r="C108" s="8"/>
      </tp>
    </main>
    <main first="rtdsrv.1affdd1a84884b47aa44e2c617a0fa7a">
      <tp t="s">
        <v/>
        <stp/>
        <stp>Market</stp>
        <stp>STOCK</stp>
        <stp>86040.T</stp>
        <stp>始値</stp>
        <tr r="C40" s="8"/>
        <tr r="F199" s="5"/>
        <tr r="F40" s="4"/>
      </tp>
      <tp t="s">
        <v/>
        <stp/>
        <stp>Market</stp>
        <stp>STOCK</stp>
        <stp>87040.T</stp>
        <stp>始値</stp>
        <tr r="C164" s="8"/>
        <tr r="F19" s="5"/>
        <tr r="F38" s="4"/>
      </tp>
      <tp t="s">
        <v/>
        <stp/>
        <stp>Market</stp>
        <stp>STOCK</stp>
        <stp>89340.T</stp>
        <stp>始値</stp>
        <tr r="F149" s="5"/>
        <tr r="C125" s="8"/>
        <tr r="F31" s="4"/>
      </tp>
    </main>
    <main first="rtdsrv.1affdd1a84884b47aa44e2c617a0fa7a">
      <tp t="s">
        <v/>
        <stp/>
        <stp>Market</stp>
        <stp>STOCK</stp>
        <stp>90640.T</stp>
        <stp>始値</stp>
        <tr r="F163" s="5"/>
        <tr r="F4" s="4"/>
        <tr r="C189" s="8"/>
      </tp>
    </main>
    <main first="rtdsrv.1affdd1a84884b47aa44e2c617a0fa7a">
      <tp t="s">
        <v/>
        <stp/>
        <stp>Market</stp>
        <stp>STOCK</stp>
        <stp>91040.T</stp>
        <stp>始値</stp>
        <tr r="C259" s="8"/>
      </tp>
    </main>
    <main first="rtdsrv.1affdd1a84884b47aa44e2c617a0fa7a">
      <tp t="s">
        <v/>
        <stp/>
        <stp>Market</stp>
        <stp>STOCK</stp>
        <stp>94240.T</stp>
        <stp>始値</stp>
        <tr r="F20" s="4"/>
        <tr r="C70" s="8"/>
        <tr r="F15" s="5"/>
      </tp>
      <tp t="s">
        <v/>
        <stp/>
        <stp>Market</stp>
        <stp>STOCK</stp>
        <stp>94040.T</stp>
        <stp>始値</stp>
        <tr r="C119" s="8"/>
        <tr r="F23" s="4"/>
        <tr r="F78" s="5"/>
      </tp>
      <tp t="s">
        <v/>
        <stp/>
        <stp>Market</stp>
        <stp>STOCK</stp>
        <stp>99840.T</stp>
        <stp>始値</stp>
        <tr r="C65" s="8"/>
        <tr r="F8" s="4"/>
        <tr r="F53" s="5"/>
      </tp>
    </main>
    <main first="rtdsrv.1affdd1a84884b47aa44e2c617a0fa7a">
      <tp t="s">
        <v/>
        <stp/>
        <stp>Market</stp>
        <stp>STOCK</stp>
        <stp>21270.T</stp>
        <stp>安値</stp>
        <tr r="I161" s="5"/>
        <tr r="I196" s="4"/>
        <tr r="C187" s="10"/>
      </tp>
    </main>
    <main first="rtdsrv.1affdd1a84884b47aa44e2c617a0fa7a">
      <tp t="s">
        <v/>
        <stp/>
        <stp>Market</stp>
        <stp>STOCK</stp>
        <stp>22670.T</stp>
        <stp>安値</stp>
        <tr r="C226" s="10"/>
      </tp>
    </main>
    <main first="rtdsrv.1affdd1a84884b47aa44e2c617a0fa7a">
      <tp t="s">
        <v/>
        <stp/>
        <stp>Market</stp>
        <stp>STOCK</stp>
        <stp>23270.T</stp>
        <stp>安値</stp>
        <tr r="I154" s="5"/>
        <tr r="C174" s="10"/>
        <tr r="I194" s="4"/>
      </tp>
    </main>
    <main first="rtdsrv.1affdd1a84884b47aa44e2c617a0fa7a">
      <tp t="s">
        <v/>
        <stp/>
        <stp>Market</stp>
        <stp>STOCK</stp>
        <stp>31070.T</stp>
        <stp>安値</stp>
        <tr r="I186" s="4"/>
        <tr r="I13" s="5"/>
        <tr r="C60" s="10"/>
      </tp>
      <tp t="s">
        <v/>
        <stp/>
        <stp>Market</stp>
        <stp>STOCK</stp>
        <stp>33970.T</stp>
        <stp>安値</stp>
        <tr r="C285" s="10"/>
      </tp>
    </main>
    <main first="rtdsrv.1affdd1a84884b47aa44e2c617a0fa7a">
      <tp t="s">
        <v/>
        <stp/>
        <stp>Market</stp>
        <stp>STOCK</stp>
        <stp>34070.T</stp>
        <stp>安値</stp>
        <tr r="C94" s="10"/>
        <tr r="I182" s="4"/>
        <tr r="I183" s="5"/>
      </tp>
    </main>
    <main first="rtdsrv.1affdd1a84884b47aa44e2c617a0fa7a">
      <tp t="s">
        <v/>
        <stp/>
        <stp>Market</stp>
        <stp>STOCK</stp>
        <stp>14070.T</stp>
        <stp>安値</stp>
        <tr r="C217" s="10"/>
      </tp>
      <tp t="s">
        <v/>
        <stp/>
        <stp>Market</stp>
        <stp>STOCK</stp>
        <stp>60270.T</stp>
        <stp>安値</stp>
        <tr r="C72" s="10"/>
        <tr r="I116" s="4"/>
        <tr r="I98" s="5"/>
      </tp>
      <tp t="s">
        <v/>
        <stp/>
        <stp>Market</stp>
        <stp>STOCK</stp>
        <stp>62270.T</stp>
        <stp>安値</stp>
        <tr r="C132" s="10"/>
        <tr r="I108" s="5"/>
        <tr r="I110" s="4"/>
      </tp>
      <tp t="s">
        <v/>
        <stp/>
        <stp>Market</stp>
        <stp>STOCK</stp>
        <stp>63270.T</stp>
        <stp>安値</stp>
        <tr r="I27" s="5"/>
        <tr r="C133" s="10"/>
        <tr r="I105" s="4"/>
      </tp>
      <tp t="s">
        <v/>
        <stp/>
        <stp>Market</stp>
        <stp>STOCK</stp>
        <stp>63870.T</stp>
        <stp>安値</stp>
        <tr r="C147" s="10"/>
        <tr r="I62" s="5"/>
        <tr r="I103" s="4"/>
      </tp>
      <tp t="s">
        <v/>
        <stp/>
        <stp>Market</stp>
        <stp>STOCK</stp>
        <stp>64070.T</stp>
        <stp>安値</stp>
        <tr r="C295" s="10"/>
      </tp>
      <tp t="s">
        <v/>
        <stp/>
        <stp>Market</stp>
        <stp>STOCK</stp>
        <stp>65070.T</stp>
        <stp>安値</stp>
        <tr r="I64" s="5"/>
        <tr r="I97" s="4"/>
        <tr r="C183" s="10"/>
      </tp>
      <tp t="s">
        <v/>
        <stp/>
        <stp>Market</stp>
        <stp>STOCK</stp>
        <stp>67770.T</stp>
        <stp>安値</stp>
        <tr r="I87" s="4"/>
        <tr r="C144" s="10"/>
        <tr r="I130" s="5"/>
      </tp>
      <tp t="s">
        <v/>
        <stp/>
        <stp>Market</stp>
        <stp>STOCK</stp>
        <stp>67870.T</stp>
        <stp>安値</stp>
        <tr r="C145" s="10"/>
        <tr r="I86" s="4"/>
        <tr r="I10" s="5"/>
      </tp>
      <tp t="s">
        <v/>
        <stp/>
        <stp>Market</stp>
        <stp>STOCK</stp>
        <stp>68570.T</stp>
        <stp>安値</stp>
        <tr r="I113" s="5"/>
        <tr r="C158" s="10"/>
        <tr r="I83" s="4"/>
      </tp>
      <tp t="s">
        <v/>
        <stp/>
        <stp>Market</stp>
        <stp>STOCK</stp>
        <stp>69970.T</stp>
        <stp>安値</stp>
        <tr r="C272" s="10"/>
      </tp>
      <tp t="s">
        <v/>
        <stp/>
        <stp>Market</stp>
        <stp>STOCK</stp>
        <stp>71670.T</stp>
        <stp>安値</stp>
        <tr r="C82" s="10"/>
        <tr r="I101" s="5"/>
        <tr r="I75" s="4"/>
      </tp>
      <tp t="s">
        <v/>
        <stp/>
        <stp>Market</stp>
        <stp>STOCK</stp>
        <stp>40470.T</stp>
        <stp>安値</stp>
        <tr r="C289" s="10"/>
      </tp>
      <tp t="s">
        <v/>
        <stp/>
        <stp>Market</stp>
        <stp>STOCK</stp>
        <stp>43070.T</stp>
        <stp>安値</stp>
        <tr r="I166" s="4"/>
        <tr r="I151" s="5"/>
        <tr r="C150" s="10"/>
      </tp>
      <tp t="s">
        <v/>
        <stp/>
        <stp>Market</stp>
        <stp>STOCK</stp>
        <stp>44170.T</stp>
        <stp>安値</stp>
        <tr r="C153" s="10"/>
        <tr r="I163" s="4"/>
        <tr r="I112" s="5"/>
      </tp>
      <tp t="s">
        <v/>
        <stp/>
        <stp>Market</stp>
        <stp>STOCK</stp>
        <stp>48870.T</stp>
        <stp>安値</stp>
        <tr r="I195" s="5"/>
        <tr r="I152" s="4"/>
        <tr r="C192" s="10"/>
      </tp>
      <tp t="s">
        <v/>
        <stp/>
        <stp>Market</stp>
        <stp>STOCK</stp>
        <stp>58570.T</stp>
        <stp>安値</stp>
        <tr r="I52" s="5"/>
        <tr r="C62" s="10"/>
        <tr r="I122" s="4"/>
      </tp>
      <tp t="s">
        <v/>
        <stp/>
        <stp>Market</stp>
        <stp>STOCK</stp>
        <stp>59470.T</stp>
        <stp>安値</stp>
        <tr r="I96" s="5"/>
        <tr r="I117" s="4"/>
        <tr r="C42" s="10"/>
      </tp>
    </main>
    <main first="rtdsrv.1affdd1a84884b47aa44e2c617a0fa7a">
      <tp t="s">
        <v/>
        <stp/>
        <stp>Market</stp>
        <stp>STOCK</stp>
        <stp>80070.T</stp>
        <stp>安値</stp>
        <tr r="C281" s="10"/>
      </tp>
    </main>
    <main first="rtdsrv.1affdd1a84884b47aa44e2c617a0fa7a">
      <tp t="s">
        <v/>
        <stp/>
        <stp>Market</stp>
        <stp>STOCK</stp>
        <stp>92270.T</stp>
        <stp>安値</stp>
        <tr r="I25" s="4"/>
        <tr r="C111" s="10"/>
        <tr r="I146" s="5"/>
      </tp>
      <tp t="s">
        <v/>
        <stp/>
        <stp>Market</stp>
        <stp>STOCK</stp>
        <stp>96870.T</stp>
        <stp>安値</stp>
        <tr r="I44" s="5"/>
        <tr r="I11" s="4"/>
        <tr r="C162" s="10"/>
      </tp>
    </main>
    <main first="rtdsrv.1affdd1a84884b47aa44e2c617a0fa7a">
      <tp t="s">
        <v/>
        <stp/>
        <stp>Market</stp>
        <stp>STOCK</stp>
        <stp>87040.T</stp>
        <stp>出来高加重平均</stp>
        <tr r="H5" s="16"/>
        <tr r="I5" s="16"/>
      </tp>
      <tp t="s">
        <v/>
        <stp/>
        <stp>Market</stp>
        <stp>STOCK</stp>
        <stp>83440.T</stp>
        <stp>出来高加重平均</stp>
        <tr r="I6" s="16"/>
        <tr r="H6" s="16"/>
        <tr r="H17" s="16"/>
        <tr r="I17" s="16"/>
      </tp>
      <tp t="s">
        <v/>
        <stp/>
        <stp>Market</stp>
        <stp>STOCK</stp>
        <stp>80020.T</stp>
        <stp>出来高加重平均</stp>
        <tr r="H21" s="16"/>
        <tr r="I21" s="16"/>
      </tp>
      <tp t="s">
        <v/>
        <stp/>
        <stp>Market</stp>
        <stp>STOCK</stp>
        <stp>16050.T</stp>
        <stp>始値</stp>
        <tr r="C12" s="8"/>
        <tr r="F206" s="4"/>
        <tr r="F166" s="5"/>
      </tp>
      <tp t="s">
        <v/>
        <stp/>
        <stp>Market</stp>
        <stp>STOCK</stp>
        <stp>19250.T</stp>
        <stp>始値</stp>
        <tr r="F202" s="4"/>
        <tr r="F181" s="5"/>
        <tr r="C83" s="8"/>
      </tp>
    </main>
    <main first="rtdsrv.1affdd1a84884b47aa44e2c617a0fa7a">
      <tp t="s">
        <v/>
        <stp/>
        <stp>Market</stp>
        <stp>STOCK</stp>
        <stp>39050.T</stp>
        <stp>始値</stp>
        <tr r="C284" s="8"/>
      </tp>
      <tp t="s">
        <v/>
        <stp/>
        <stp>Market</stp>
        <stp>STOCK</stp>
        <stp>40450.T</stp>
        <stp>始値</stp>
        <tr r="F174" s="4"/>
        <tr r="C61" s="8"/>
        <tr r="F178" s="5"/>
      </tp>
      <tp t="s">
        <v/>
        <stp/>
        <stp>Market</stp>
        <stp>STOCK</stp>
        <stp>60550.T</stp>
        <stp>始値</stp>
        <tr r="C224" s="8"/>
      </tp>
      <tp t="s">
        <v/>
        <stp/>
        <stp>Market</stp>
        <stp>STOCK</stp>
        <stp>60850.T</stp>
        <stp>始値</stp>
        <tr r="F150" s="5"/>
        <tr r="C137" s="8"/>
        <tr r="F115" s="4"/>
      </tp>
      <tp t="s">
        <v/>
        <stp/>
        <stp>Market</stp>
        <stp>STOCK</stp>
        <stp>61350.T</stp>
        <stp>始値</stp>
        <tr r="C223" s="8"/>
      </tp>
      <tp t="s">
        <v/>
        <stp/>
        <stp>Market</stp>
        <stp>STOCK</stp>
        <stp>63050.T</stp>
        <stp>始値</stp>
        <tr r="F85" s="5"/>
        <tr r="C203" s="8"/>
        <tr r="F107" s="4"/>
      </tp>
      <tp t="s">
        <v/>
        <stp/>
        <stp>Market</stp>
        <stp>STOCK</stp>
        <stp>64850.T</stp>
        <stp>始値</stp>
        <tr r="F6" s="4"/>
        <tr r="C191" s="8"/>
        <tr r="F194" s="5"/>
      </tp>
      <tp t="s">
        <v/>
        <stp/>
        <stp>Market</stp>
        <stp>STOCK</stp>
        <stp>69650.T</stp>
        <stp>始値</stp>
        <tr r="C300" s="8"/>
      </tp>
      <tp t="s">
        <v/>
        <stp/>
        <stp>Market</stp>
        <stp>STOCK</stp>
        <stp>69550.T</stp>
        <stp>始値</stp>
        <tr r="C265" s="8"/>
      </tp>
      <tp t="s">
        <v/>
        <stp/>
        <stp>Market</stp>
        <stp>STOCK</stp>
        <stp>69250.T</stp>
        <stp>始値</stp>
        <tr r="C105" s="8"/>
        <tr r="F80" s="4"/>
        <tr r="F42" s="5"/>
      </tp>
      <tp t="s">
        <v/>
        <stp/>
        <stp>Market</stp>
        <stp>STOCK</stp>
        <stp>73750.T</stp>
        <stp>始値</stp>
        <tr r="C149" s="8"/>
        <tr r="F71" s="4"/>
        <tr r="F190" s="5"/>
      </tp>
      <tp t="s">
        <v/>
        <stp/>
        <stp>Market</stp>
        <stp>STOCK</stp>
        <stp>76850.T</stp>
        <stp>始値</stp>
        <tr r="C121" s="8"/>
        <tr r="F148" s="5"/>
        <tr r="F69" s="4"/>
      </tp>
      <tp t="s">
        <v/>
        <stp/>
        <stp>Market</stp>
        <stp>STOCK</stp>
        <stp>77350.T</stp>
        <stp>始値</stp>
        <tr r="C283" s="8"/>
      </tp>
      <tp t="s">
        <v/>
        <stp/>
        <stp>Market</stp>
        <stp>STOCK</stp>
        <stp>80350.T</stp>
        <stp>始値</stp>
        <tr r="C198" s="8"/>
        <tr r="F60" s="4"/>
        <tr r="F35" s="5"/>
      </tp>
      <tp t="s">
        <v/>
        <stp/>
        <stp>Market</stp>
        <stp>STOCK</stp>
        <stp>80150.T</stp>
        <stp>始値</stp>
        <tr r="F65" s="5"/>
        <tr r="F61" s="4"/>
        <tr r="C204" s="8"/>
      </tp>
      <tp t="s">
        <v/>
        <stp/>
        <stp>Market</stp>
        <stp>STOCK</stp>
        <stp>80050.T</stp>
        <stp>始値</stp>
        <tr r="C236" s="8"/>
      </tp>
    </main>
    <main first="rtdsrv.1affdd1a84884b47aa44e2c617a0fa7a">
      <tp t="s">
        <v/>
        <stp/>
        <stp>Market</stp>
        <stp>STOCK</stp>
        <stp>87250.T</stp>
        <stp>始値</stp>
        <tr r="C22" s="8"/>
        <tr r="F168" s="5"/>
        <tr r="F37" s="4"/>
      </tp>
      <tp t="s">
        <v/>
        <stp/>
        <stp>Market</stp>
        <stp>STOCK</stp>
        <stp>87950.T</stp>
        <stp>始値</stp>
        <tr r="F91" s="5"/>
        <tr r="F34" s="4"/>
        <tr r="C23" s="8"/>
      </tp>
    </main>
    <main first="rtdsrv.1affdd1a84884b47aa44e2c617a0fa7a">
      <tp t="s">
        <v/>
        <stp/>
        <stp>Market</stp>
        <stp>STOCK</stp>
        <stp>91650.T</stp>
        <stp>始値</stp>
        <tr r="C243" s="8"/>
      </tp>
      <tp t="s">
        <v/>
        <stp/>
        <stp>Market</stp>
        <stp>STOCK</stp>
        <stp>91150.T</stp>
        <stp>始値</stp>
        <tr r="C270" s="8"/>
      </tp>
      <tp t="s">
        <v/>
        <stp/>
        <stp>Market</stp>
        <stp>STOCK</stp>
        <stp>95050.T</stp>
        <stp>始値</stp>
        <tr r="C181" s="8"/>
        <tr r="F17" s="4"/>
        <tr r="F157" s="5"/>
      </tp>
    </main>
    <main first="rtdsrv.1affdd1a84884b47aa44e2c617a0fa7a">
      <tp t="s">
        <v/>
        <stp/>
        <stp>Market</stp>
        <stp>INDEX</stp>
        <stp>TOPX</stp>
        <stp>安値</stp>
        <tr r="C5" s="10"/>
      </tp>
    </main>
    <main first="rtdsrv.1affdd1a84884b47aa44e2c617a0fa7a">
      <tp t="s">
        <v/>
        <stp/>
        <stp>Market</stp>
        <stp>STOCK</stp>
        <stp>29140.T</stp>
        <stp>安値</stp>
        <tr r="I182" s="5"/>
        <tr r="C87" s="10"/>
        <tr r="I189" s="4"/>
      </tp>
    </main>
    <main first="rtdsrv.1affdd1a84884b47aa44e2c617a0fa7a">
      <tp t="s">
        <v/>
        <stp/>
        <stp>Market</stp>
        <stp>STOCK</stp>
        <stp>38640.T</stp>
        <stp>安値</stp>
        <tr r="C271" s="10"/>
      </tp>
      <tp t="s">
        <v/>
        <stp/>
        <stp>Market</stp>
        <stp>STOCK</stp>
        <stp>38540.T</stp>
        <stp>安値</stp>
        <tr r="I54" s="5"/>
        <tr r="C71" s="10"/>
        <tr r="I180" s="4"/>
      </tp>
      <tp t="s">
        <v/>
        <stp/>
        <stp>Market</stp>
        <stp>STOCK</stp>
        <stp>39840.T</stp>
        <stp>安値</stp>
        <tr r="C239" s="10"/>
      </tp>
      <tp t="s">
        <v/>
        <stp/>
        <stp>Market</stp>
        <stp>STOCK</stp>
        <stp>15140.T</stp>
        <stp>安値</stp>
        <tr r="C262" s="10"/>
      </tp>
      <tp t="s">
        <v/>
        <stp/>
        <stp>Market</stp>
        <stp>STOCK</stp>
        <stp>19440.T</stp>
        <stp>安値</stp>
        <tr r="C304" s="10"/>
      </tp>
      <tp t="s">
        <v/>
        <stp/>
        <stp>Market</stp>
        <stp>STOCK</stp>
        <stp>61340.T</stp>
        <stp>安値</stp>
        <tr r="C92" s="10"/>
        <tr r="I114" s="4"/>
        <tr r="I25" s="5"/>
      </tp>
      <tp t="s">
        <v/>
        <stp/>
        <stp>Market</stp>
        <stp>STOCK</stp>
        <stp>62540.T</stp>
        <stp>安値</stp>
        <tr r="I108" s="4"/>
        <tr r="I5" s="5"/>
        <tr r="C30" s="10"/>
      </tp>
      <tp t="s">
        <v/>
        <stp/>
        <stp>Market</stp>
        <stp>STOCK</stp>
        <stp>63240.T</stp>
        <stp>安値</stp>
        <tr r="C210" s="10"/>
      </tp>
      <tp t="s">
        <v/>
        <stp/>
        <stp>Market</stp>
        <stp>STOCK</stp>
        <stp>66740.T</stp>
        <stp>安値</stp>
        <tr r="C264" s="10"/>
      </tp>
      <tp t="s">
        <v/>
        <stp/>
        <stp>Market</stp>
        <stp>STOCK</stp>
        <stp>67540.T</stp>
        <stp>安値</stp>
        <tr r="I89" s="4"/>
        <tr r="I31" s="5"/>
        <tr r="C155" s="10"/>
      </tp>
      <tp t="s">
        <v/>
        <stp/>
        <stp>Market</stp>
        <stp>STOCK</stp>
        <stp>67440.T</stp>
        <stp>安値</stp>
        <tr r="C120" s="10"/>
        <tr r="I106" s="5"/>
        <tr r="I91" s="4"/>
      </tp>
      <tp t="s">
        <v/>
        <stp/>
        <stp>Market</stp>
        <stp>STOCK</stp>
        <stp>69540.T</stp>
        <stp>安値</stp>
        <tr r="C78" s="10"/>
        <tr r="I16" s="5"/>
        <tr r="I79" s="4"/>
      </tp>
      <tp t="s">
        <v/>
        <stp/>
        <stp>Market</stp>
        <stp>STOCK</stp>
        <stp>70140.T</stp>
        <stp>安値</stp>
        <tr r="C256" s="10"/>
      </tp>
      <tp t="s">
        <v/>
        <stp/>
        <stp>Market</stp>
        <stp>STOCK</stp>
        <stp>74140.T</stp>
        <stp>安値</stp>
        <tr r="C294" s="10"/>
      </tp>
      <tp t="s">
        <v/>
        <stp/>
        <stp>Market</stp>
        <stp>STOCK</stp>
        <stp>77940.T</stp>
        <stp>安値</stp>
        <tr r="I66" s="4"/>
        <tr r="C136" s="10"/>
        <tr r="I80" s="5"/>
      </tp>
      <tp t="s">
        <v/>
        <stp/>
        <stp>Market</stp>
        <stp>STOCK</stp>
        <stp>40040.T</stp>
        <stp>安値</stp>
        <tr r="C213" s="10"/>
      </tp>
      <tp t="s">
        <v/>
        <stp/>
        <stp>Market</stp>
        <stp>STOCK</stp>
        <stp>45440.T</stp>
        <stp>安値</stp>
        <tr r="C273" s="10"/>
      </tp>
      <tp t="s">
        <v/>
        <stp/>
        <stp>Market</stp>
        <stp>STOCK</stp>
        <stp>47040.T</stp>
        <stp>安値</stp>
        <tr r="C254" s="10"/>
      </tp>
      <tp t="s">
        <v/>
        <stp/>
        <stp>Market</stp>
        <stp>STOCK</stp>
        <stp>57140.T</stp>
        <stp>安値</stp>
        <tr r="I47" s="5"/>
        <tr r="I128" s="4"/>
        <tr r="C10" s="10"/>
      </tp>
      <tp t="s">
        <v/>
        <stp/>
        <stp>Market</stp>
        <stp>STOCK</stp>
        <stp>58440.T</stp>
        <stp>安値</stp>
        <tr r="I123" s="4"/>
        <tr r="I61" s="5"/>
        <tr r="C118" s="10"/>
      </tp>
    </main>
    <main first="rtdsrv.1affdd1a84884b47aa44e2c617a0fa7a">
      <tp t="s">
        <v/>
        <stp/>
        <stp>Market</stp>
        <stp>STOCK</stp>
        <stp>83440.T</stp>
        <stp>安値</stp>
        <tr r="C293" s="10"/>
      </tp>
      <tp t="s">
        <v/>
        <stp/>
        <stp>Market</stp>
        <stp>STOCK</stp>
        <stp>83340.T</stp>
        <stp>安値</stp>
        <tr r="C122" s="10"/>
        <tr r="I204" s="5"/>
        <tr r="I49" s="4"/>
      </tp>
      <tp t="s">
        <v/>
        <stp/>
        <stp>Market</stp>
        <stp>STOCK</stp>
        <stp>84240.T</stp>
        <stp>安値</stp>
        <tr r="I185" s="5"/>
        <tr r="C108" s="10"/>
        <tr r="I46" s="4"/>
      </tp>
    </main>
    <main first="rtdsrv.1affdd1a84884b47aa44e2c617a0fa7a">
      <tp t="s">
        <v/>
        <stp/>
        <stp>Market</stp>
        <stp>STOCK</stp>
        <stp>86040.T</stp>
        <stp>安値</stp>
        <tr r="I199" s="5"/>
        <tr r="C40" s="10"/>
        <tr r="I40" s="4"/>
      </tp>
      <tp t="s">
        <v/>
        <stp/>
        <stp>Market</stp>
        <stp>STOCK</stp>
        <stp>87040.T</stp>
        <stp>安値</stp>
        <tr r="I38" s="4"/>
        <tr r="I19" s="5"/>
        <tr r="C164" s="10"/>
      </tp>
      <tp t="s">
        <v/>
        <stp/>
        <stp>Market</stp>
        <stp>STOCK</stp>
        <stp>89340.T</stp>
        <stp>安値</stp>
        <tr r="C125" s="10"/>
        <tr r="I149" s="5"/>
        <tr r="I31" s="4"/>
      </tp>
    </main>
    <main first="rtdsrv.1affdd1a84884b47aa44e2c617a0fa7a">
      <tp t="s">
        <v/>
        <stp/>
        <stp>Market</stp>
        <stp>STOCK</stp>
        <stp>90640.T</stp>
        <stp>安値</stp>
        <tr r="I4" s="4"/>
        <tr r="I163" s="5"/>
        <tr r="C189" s="10"/>
      </tp>
    </main>
    <main first="rtdsrv.1affdd1a84884b47aa44e2c617a0fa7a">
      <tp t="s">
        <v/>
        <stp/>
        <stp>Market</stp>
        <stp>STOCK</stp>
        <stp>91040.T</stp>
        <stp>安値</stp>
        <tr r="C259" s="10"/>
      </tp>
    </main>
    <main first="rtdsrv.1affdd1a84884b47aa44e2c617a0fa7a">
      <tp t="s">
        <v/>
        <stp/>
        <stp>Market</stp>
        <stp>STOCK</stp>
        <stp>94240.T</stp>
        <stp>安値</stp>
        <tr r="I15" s="5"/>
        <tr r="C70" s="10"/>
        <tr r="I20" s="4"/>
      </tp>
      <tp t="s">
        <v/>
        <stp/>
        <stp>Market</stp>
        <stp>STOCK</stp>
        <stp>94040.T</stp>
        <stp>安値</stp>
        <tr r="C119" s="10"/>
        <tr r="I23" s="4"/>
        <tr r="I78" s="5"/>
      </tp>
      <tp t="s">
        <v/>
        <stp/>
        <stp>Market</stp>
        <stp>STOCK</stp>
        <stp>99840.T</stp>
        <stp>安値</stp>
        <tr r="I8" s="4"/>
        <tr r="C65" s="10"/>
        <tr r="I53" s="5"/>
      </tp>
    </main>
    <main first="rtdsrv.1affdd1a84884b47aa44e2c617a0fa7a">
      <tp t="s">
        <v/>
        <stp/>
        <stp>Market</stp>
        <stp>STOCK</stp>
        <stp>23260.T</stp>
        <stp>始値</stp>
        <tr r="C237" s="8"/>
      </tp>
    </main>
    <main first="rtdsrv.1affdd1a84884b47aa44e2c617a0fa7a">
      <tp t="s">
        <v/>
        <stp/>
        <stp>Market</stp>
        <stp>STOCK</stp>
        <stp>34360.T</stp>
        <stp>始値</stp>
        <tr r="C28" s="8"/>
        <tr r="F4" s="5"/>
        <tr r="F181" s="4"/>
      </tp>
    </main>
    <main first="rtdsrv.1affdd1a84884b47aa44e2c617a0fa7a">
      <tp t="s">
        <v/>
        <stp/>
        <stp>Market</stp>
        <stp>STOCK</stp>
        <stp>36960.T</stp>
        <stp>始値</stp>
        <tr r="C228" s="8"/>
      </tp>
      <tp t="s">
        <v/>
        <stp/>
        <stp>Market</stp>
        <stp>STOCK</stp>
        <stp>39360.T</stp>
        <stp>始値</stp>
        <tr r="C245" s="8"/>
      </tp>
      <tp t="s">
        <v/>
        <stp/>
        <stp>Market</stp>
        <stp>STOCK</stp>
        <stp>45360.T</stp>
        <stp>始値</stp>
        <tr r="F125" s="5"/>
        <tr r="F158" s="4"/>
        <tr r="C67" s="8"/>
      </tp>
      <tp t="s">
        <v/>
        <stp/>
        <stp>Market</stp>
        <stp>STOCK</stp>
        <stp>46760.T</stp>
        <stp>始値</stp>
        <tr r="F155" s="4"/>
        <tr r="F177" s="5"/>
        <tr r="C58" s="8"/>
      </tp>
      <tp t="s">
        <v/>
        <stp/>
        <stp>Market</stp>
        <stp>STOCK</stp>
        <stp>47760.T</stp>
        <stp>始値</stp>
        <tr r="C253" s="8"/>
      </tp>
      <tp t="s">
        <v/>
        <stp/>
        <stp>Market</stp>
        <stp>STOCK</stp>
        <stp>49660.T</stp>
        <stp>始値</stp>
        <tr r="C196" s="8"/>
        <tr r="F34" s="5"/>
        <tr r="F150" s="4"/>
      </tp>
      <tp t="s">
        <v/>
        <stp/>
        <stp>Market</stp>
        <stp>STOCK</stp>
        <stp>54060.T</stp>
        <stp>始値</stp>
        <tr r="F139" s="4"/>
        <tr r="F95" s="5"/>
        <tr r="C38" s="8"/>
      </tp>
      <tp t="s">
        <v/>
        <stp/>
        <stp>Market</stp>
        <stp>STOCK</stp>
        <stp>57060.T</stp>
        <stp>始値</stp>
        <tr r="F11" s="5"/>
        <tr r="C6" s="8"/>
        <tr r="F131" s="4"/>
      </tp>
      <tp t="s">
        <v/>
        <stp/>
        <stp>Market</stp>
        <stp>STOCK</stp>
        <stp>61460.T</stp>
        <stp>始値</stp>
        <tr r="F120" s="5"/>
        <tr r="F113" s="4"/>
        <tr r="C197" s="8"/>
      </tp>
      <tp t="s">
        <v/>
        <stp/>
        <stp>Market</stp>
        <stp>STOCK</stp>
        <stp>63760.T</stp>
        <stp>始値</stp>
        <tr r="C269" s="8"/>
      </tp>
      <tp t="s">
        <v/>
        <stp/>
        <stp>Market</stp>
        <stp>STOCK</stp>
        <stp>63660.T</stp>
        <stp>始値</stp>
        <tr r="C260" s="8"/>
      </tp>
      <tp t="s">
        <v/>
        <stp/>
        <stp>Market</stp>
        <stp>STOCK</stp>
        <stp>63560.T</stp>
        <stp>始値</stp>
        <tr r="C267" s="8"/>
      </tp>
      <tp t="s">
        <v/>
        <stp/>
        <stp>Market</stp>
        <stp>STOCK</stp>
        <stp>64360.T</stp>
        <stp>始値</stp>
        <tr r="C178" s="8"/>
        <tr r="F155" s="5"/>
        <tr r="F102" s="4"/>
      </tp>
      <tp t="s">
        <v/>
        <stp/>
        <stp>Market</stp>
        <stp>STOCK</stp>
        <stp>65160.T</stp>
        <stp>始値</stp>
        <tr r="C151" s="8"/>
        <tr r="F29" s="5"/>
        <tr r="F96" s="4"/>
      </tp>
      <tp t="s">
        <v/>
        <stp/>
        <stp>Market</stp>
        <stp>STOCK</stp>
        <stp>65060.T</stp>
        <stp>始値</stp>
        <tr r="F20" s="5"/>
        <tr r="C201" s="8"/>
        <tr r="F98" s="4"/>
      </tp>
      <tp t="s">
        <v/>
        <stp/>
        <stp>Market</stp>
        <stp>STOCK</stp>
        <stp>67360.T</stp>
        <stp>始値</stp>
        <tr r="C287" s="8"/>
      </tp>
      <tp t="s">
        <v/>
        <stp/>
        <stp>Market</stp>
        <stp>STOCK</stp>
        <stp>67060.T</stp>
        <stp>始値</stp>
        <tr r="C291" s="8"/>
      </tp>
      <tp t="s">
        <v/>
        <stp/>
        <stp>Market</stp>
        <stp>STOCK</stp>
        <stp>72360.T</stp>
        <stp>始値</stp>
        <tr r="C177" s="8"/>
        <tr r="F72" s="4"/>
        <tr r="F137" s="5"/>
      </tp>
      <tp t="s">
        <v/>
        <stp/>
        <stp>Market</stp>
        <stp>STOCK</stp>
        <stp>77460.T</stp>
        <stp>始値</stp>
        <tr r="F144" s="5"/>
        <tr r="C93" s="8"/>
        <tr r="F67" s="4"/>
      </tp>
      <tp t="s">
        <v/>
        <stp/>
        <stp>Market</stp>
        <stp>STOCK</stp>
        <stp>78460.T</stp>
        <stp>始値</stp>
        <tr r="C75" s="8"/>
        <tr r="F64" s="4"/>
        <tr r="F202" s="5"/>
      </tp>
      <tp t="s">
        <v/>
        <stp/>
        <stp>Market</stp>
        <stp>STOCK</stp>
        <stp>78060.T</stp>
        <stp>始値</stp>
        <tr r="F55" s="5"/>
        <tr r="F65" s="4"/>
        <tr r="C73" s="8"/>
      </tp>
      <tp t="s">
        <v/>
        <stp/>
        <stp>Market</stp>
        <stp>STOCK</stp>
        <stp>83160.T</stp>
        <stp>始値</stp>
        <tr r="C50" s="8"/>
        <tr r="F50" s="4"/>
        <tr r="F70" s="5"/>
      </tp>
      <tp t="s">
        <v/>
        <stp/>
        <stp>Market</stp>
        <stp>STOCK</stp>
        <stp>83060.T</stp>
        <stp>始値</stp>
        <tr r="F53" s="4"/>
        <tr r="C45" s="8"/>
        <tr r="F201" s="5"/>
      </tp>
      <tp t="s">
        <v/>
        <stp/>
        <stp>Market</stp>
        <stp>STOCK</stp>
        <stp>87660.T</stp>
        <stp>始値</stp>
        <tr r="F174" s="5"/>
        <tr r="C52" s="8"/>
        <tr r="F35" s="4"/>
      </tp>
    </main>
    <main first="rtdsrv.1affdd1a84884b47aa44e2c617a0fa7a">
      <tp t="s">
        <v/>
        <stp/>
        <stp>Market</stp>
        <stp>STOCK</stp>
        <stp>94160.T</stp>
        <stp>始値</stp>
        <tr r="C126" s="8"/>
        <tr r="F107" s="5"/>
        <tr r="F21" s="4"/>
      </tp>
      <tp t="s">
        <v/>
        <stp/>
        <stp>Market</stp>
        <stp>STOCK</stp>
        <stp>95360.T</stp>
        <stp>始値</stp>
        <tr r="C185" s="8"/>
        <tr r="F160" s="5"/>
        <tr r="F13" s="4"/>
      </tp>
      <tp t="s">
        <v/>
        <stp/>
        <stp>Market</stp>
        <stp>STOCK</stp>
        <stp>95060.T</stp>
        <stp>始値</stp>
        <tr r="F193" s="5"/>
        <tr r="C186" s="8"/>
        <tr r="F16" s="4"/>
      </tp>
    </main>
    <main first="rtdsrv.1affdd1a84884b47aa44e2c617a0fa7a">
      <tp t="s">
        <v/>
        <stp/>
        <stp>Market</stp>
        <stp>STOCK</stp>
        <stp>39050.T</stp>
        <stp>安値</stp>
        <tr r="C284" s="10"/>
      </tp>
      <tp t="s">
        <v/>
        <stp/>
        <stp>Market</stp>
        <stp>STOCK</stp>
        <stp>16050.T</stp>
        <stp>安値</stp>
        <tr r="I166" s="5"/>
        <tr r="C12" s="10"/>
        <tr r="I206" s="4"/>
      </tp>
      <tp t="s">
        <v/>
        <stp/>
        <stp>Market</stp>
        <stp>STOCK</stp>
        <stp>19250.T</stp>
        <stp>安値</stp>
        <tr r="I202" s="4"/>
        <tr r="C83" s="10"/>
        <tr r="I181" s="5"/>
      </tp>
      <tp t="s">
        <v/>
        <stp/>
        <stp>Market</stp>
        <stp>STOCK</stp>
        <stp>60550.T</stp>
        <stp>安値</stp>
        <tr r="C224" s="10"/>
      </tp>
      <tp t="s">
        <v/>
        <stp/>
        <stp>Market</stp>
        <stp>STOCK</stp>
        <stp>60850.T</stp>
        <stp>安値</stp>
        <tr r="I115" s="4"/>
        <tr r="C137" s="10"/>
        <tr r="I150" s="5"/>
      </tp>
      <tp t="s">
        <v/>
        <stp/>
        <stp>Market</stp>
        <stp>STOCK</stp>
        <stp>61350.T</stp>
        <stp>安値</stp>
        <tr r="C223" s="10"/>
      </tp>
      <tp t="s">
        <v/>
        <stp/>
        <stp>Market</stp>
        <stp>STOCK</stp>
        <stp>63050.T</stp>
        <stp>安値</stp>
        <tr r="C203" s="10"/>
        <tr r="I85" s="5"/>
        <tr r="I107" s="4"/>
      </tp>
      <tp t="s">
        <v/>
        <stp/>
        <stp>Market</stp>
        <stp>STOCK</stp>
        <stp>64850.T</stp>
        <stp>安値</stp>
        <tr r="C191" s="10"/>
        <tr r="I194" s="5"/>
        <tr r="I6" s="4"/>
      </tp>
      <tp t="s">
        <v/>
        <stp/>
        <stp>Market</stp>
        <stp>STOCK</stp>
        <stp>69650.T</stp>
        <stp>安値</stp>
        <tr r="C300" s="10"/>
      </tp>
      <tp t="s">
        <v/>
        <stp/>
        <stp>Market</stp>
        <stp>STOCK</stp>
        <stp>69550.T</stp>
        <stp>安値</stp>
        <tr r="C265" s="10"/>
      </tp>
      <tp t="s">
        <v/>
        <stp/>
        <stp>Market</stp>
        <stp>STOCK</stp>
        <stp>69250.T</stp>
        <stp>安値</stp>
        <tr r="I42" s="5"/>
        <tr r="I80" s="4"/>
        <tr r="C105" s="10"/>
      </tp>
      <tp t="s">
        <v/>
        <stp/>
        <stp>Market</stp>
        <stp>STOCK</stp>
        <stp>73750.T</stp>
        <stp>安値</stp>
        <tr r="C149" s="10"/>
        <tr r="I71" s="4"/>
        <tr r="I190" s="5"/>
      </tp>
      <tp t="s">
        <v/>
        <stp/>
        <stp>Market</stp>
        <stp>STOCK</stp>
        <stp>76850.T</stp>
        <stp>安値</stp>
        <tr r="C121" s="10"/>
        <tr r="I148" s="5"/>
        <tr r="I69" s="4"/>
      </tp>
      <tp t="s">
        <v/>
        <stp/>
        <stp>Market</stp>
        <stp>STOCK</stp>
        <stp>77350.T</stp>
        <stp>安値</stp>
        <tr r="C283" s="10"/>
      </tp>
      <tp t="s">
        <v/>
        <stp/>
        <stp>Market</stp>
        <stp>STOCK</stp>
        <stp>40450.T</stp>
        <stp>安値</stp>
        <tr r="I178" s="5"/>
        <tr r="I174" s="4"/>
        <tr r="C61" s="10"/>
      </tp>
      <tp t="s">
        <v/>
        <stp/>
        <stp>Market</stp>
        <stp>STOCK</stp>
        <stp>80350.T</stp>
        <stp>安値</stp>
        <tr r="C198" s="10"/>
        <tr r="I60" s="4"/>
        <tr r="I35" s="5"/>
      </tp>
      <tp t="s">
        <v/>
        <stp/>
        <stp>Market</stp>
        <stp>STOCK</stp>
        <stp>80150.T</stp>
        <stp>安値</stp>
        <tr r="I65" s="5"/>
        <tr r="C204" s="10"/>
        <tr r="I61" s="4"/>
      </tp>
      <tp t="s">
        <v/>
        <stp/>
        <stp>Market</stp>
        <stp>STOCK</stp>
        <stp>80050.T</stp>
        <stp>安値</stp>
        <tr r="C236" s="10"/>
      </tp>
    </main>
    <main first="rtdsrv.1affdd1a84884b47aa44e2c617a0fa7a">
      <tp t="s">
        <v/>
        <stp/>
        <stp>Market</stp>
        <stp>STOCK</stp>
        <stp>87250.T</stp>
        <stp>安値</stp>
        <tr r="I168" s="5"/>
        <tr r="I37" s="4"/>
        <tr r="C22" s="10"/>
      </tp>
      <tp t="s">
        <v/>
        <stp/>
        <stp>Market</stp>
        <stp>STOCK</stp>
        <stp>87950.T</stp>
        <stp>安値</stp>
        <tr r="I34" s="4"/>
        <tr r="C23" s="10"/>
        <tr r="I91" s="5"/>
      </tp>
    </main>
    <main first="rtdsrv.1affdd1a84884b47aa44e2c617a0fa7a">
      <tp t="s">
        <v/>
        <stp/>
        <stp>Market</stp>
        <stp>STOCK</stp>
        <stp>91650.T</stp>
        <stp>安値</stp>
        <tr r="C243" s="10"/>
      </tp>
      <tp t="s">
        <v/>
        <stp/>
        <stp>Market</stp>
        <stp>STOCK</stp>
        <stp>91150.T</stp>
        <stp>安値</stp>
        <tr r="C270" s="10"/>
      </tp>
      <tp t="s">
        <v/>
        <stp/>
        <stp>Market</stp>
        <stp>STOCK</stp>
        <stp>95050.T</stp>
        <stp>安値</stp>
        <tr r="I17" s="4"/>
        <tr r="C181" s="10"/>
        <tr r="I157" s="5"/>
      </tp>
    </main>
    <main first="rtdsrv.1affdd1a84884b47aa44e2c617a0fa7a">
      <tp t="s">
        <v/>
        <stp/>
        <stp>Market</stp>
        <stp>INDEX</stp>
        <stp>TOPX</stp>
        <stp>始値</stp>
        <tr r="C5" s="8"/>
      </tp>
      <tp t="s">
        <v/>
        <stp/>
        <stp>Market</stp>
        <stp>STOCK</stp>
        <stp>14070.T</stp>
        <stp>始値</stp>
        <tr r="C217" s="8"/>
      </tp>
      <tp t="s">
        <v/>
        <stp/>
        <stp>Market</stp>
        <stp>STOCK</stp>
        <stp>21270.T</stp>
        <stp>始値</stp>
        <tr r="C187" s="8"/>
        <tr r="F196" s="4"/>
        <tr r="F161" s="5"/>
      </tp>
    </main>
    <main first="rtdsrv.1affdd1a84884b47aa44e2c617a0fa7a">
      <tp t="s">
        <v/>
        <stp/>
        <stp>Market</stp>
        <stp>STOCK</stp>
        <stp>22670.T</stp>
        <stp>始値</stp>
        <tr r="C226" s="8"/>
      </tp>
    </main>
    <main first="rtdsrv.1affdd1a84884b47aa44e2c617a0fa7a">
      <tp t="s">
        <v/>
        <stp/>
        <stp>Market</stp>
        <stp>STOCK</stp>
        <stp>23270.T</stp>
        <stp>始値</stp>
        <tr r="C174" s="8"/>
        <tr r="F154" s="5"/>
        <tr r="F194" s="4"/>
      </tp>
    </main>
    <main first="rtdsrv.1affdd1a84884b47aa44e2c617a0fa7a">
      <tp t="s">
        <v/>
        <stp/>
        <stp>Market</stp>
        <stp>STOCK</stp>
        <stp>31070.T</stp>
        <stp>始値</stp>
        <tr r="F186" s="4"/>
        <tr r="F13" s="5"/>
        <tr r="C60" s="8"/>
      </tp>
      <tp t="s">
        <v/>
        <stp/>
        <stp>Market</stp>
        <stp>STOCK</stp>
        <stp>33970.T</stp>
        <stp>始値</stp>
        <tr r="C285" s="8"/>
      </tp>
    </main>
    <main first="rtdsrv.1affdd1a84884b47aa44e2c617a0fa7a">
      <tp t="s">
        <v/>
        <stp/>
        <stp>Market</stp>
        <stp>STOCK</stp>
        <stp>34070.T</stp>
        <stp>始値</stp>
        <tr r="F183" s="5"/>
        <tr r="C94" s="8"/>
        <tr r="F182" s="4"/>
      </tp>
    </main>
    <main first="rtdsrv.1affdd1a84884b47aa44e2c617a0fa7a">
      <tp t="s">
        <v/>
        <stp/>
        <stp>Market</stp>
        <stp>STOCK</stp>
        <stp>40470.T</stp>
        <stp>始値</stp>
        <tr r="C289" s="8"/>
      </tp>
      <tp t="s">
        <v/>
        <stp/>
        <stp>Market</stp>
        <stp>STOCK</stp>
        <stp>43070.T</stp>
        <stp>始値</stp>
        <tr r="F151" s="5"/>
        <tr r="C150" s="8"/>
        <tr r="F166" s="4"/>
      </tp>
      <tp t="s">
        <v/>
        <stp/>
        <stp>Market</stp>
        <stp>STOCK</stp>
        <stp>44170.T</stp>
        <stp>始値</stp>
        <tr r="F163" s="4"/>
        <tr r="C153" s="8"/>
        <tr r="F112" s="5"/>
      </tp>
      <tp t="s">
        <v/>
        <stp/>
        <stp>Market</stp>
        <stp>STOCK</stp>
        <stp>48870.T</stp>
        <stp>始値</stp>
        <tr r="F195" s="5"/>
        <tr r="C192" s="8"/>
        <tr r="F152" s="4"/>
      </tp>
      <tp t="s">
        <v/>
        <stp/>
        <stp>Market</stp>
        <stp>STOCK</stp>
        <stp>58570.T</stp>
        <stp>始値</stp>
        <tr r="C62" s="8"/>
        <tr r="F52" s="5"/>
        <tr r="F122" s="4"/>
      </tp>
      <tp t="s">
        <v/>
        <stp/>
        <stp>Market</stp>
        <stp>STOCK</stp>
        <stp>59470.T</stp>
        <stp>始値</stp>
        <tr r="F117" s="4"/>
        <tr r="F96" s="5"/>
        <tr r="C42" s="8"/>
      </tp>
      <tp t="s">
        <v/>
        <stp/>
        <stp>Market</stp>
        <stp>STOCK</stp>
        <stp>60270.T</stp>
        <stp>始値</stp>
        <tr r="F116" s="4"/>
        <tr r="F98" s="5"/>
        <tr r="C72" s="8"/>
      </tp>
      <tp t="s">
        <v/>
        <stp/>
        <stp>Market</stp>
        <stp>STOCK</stp>
        <stp>62270.T</stp>
        <stp>始値</stp>
        <tr r="C132" s="8"/>
        <tr r="F110" s="4"/>
        <tr r="F108" s="5"/>
      </tp>
      <tp t="s">
        <v/>
        <stp/>
        <stp>Market</stp>
        <stp>STOCK</stp>
        <stp>63270.T</stp>
        <stp>始値</stp>
        <tr r="C133" s="8"/>
        <tr r="F27" s="5"/>
        <tr r="F105" s="4"/>
      </tp>
      <tp t="s">
        <v/>
        <stp/>
        <stp>Market</stp>
        <stp>STOCK</stp>
        <stp>63870.T</stp>
        <stp>始値</stp>
        <tr r="F103" s="4"/>
        <tr r="F62" s="5"/>
        <tr r="C147" s="8"/>
      </tp>
      <tp t="s">
        <v/>
        <stp/>
        <stp>Market</stp>
        <stp>STOCK</stp>
        <stp>64070.T</stp>
        <stp>始値</stp>
        <tr r="C295" s="8"/>
      </tp>
      <tp t="s">
        <v/>
        <stp/>
        <stp>Market</stp>
        <stp>STOCK</stp>
        <stp>65070.T</stp>
        <stp>始値</stp>
        <tr r="F97" s="4"/>
        <tr r="C183" s="8"/>
        <tr r="F64" s="5"/>
      </tp>
      <tp t="s">
        <v/>
        <stp/>
        <stp>Market</stp>
        <stp>STOCK</stp>
        <stp>67770.T</stp>
        <stp>始値</stp>
        <tr r="C144" s="8"/>
        <tr r="F130" s="5"/>
        <tr r="F87" s="4"/>
      </tp>
      <tp t="s">
        <v/>
        <stp/>
        <stp>Market</stp>
        <stp>STOCK</stp>
        <stp>67870.T</stp>
        <stp>始値</stp>
        <tr r="F10" s="5"/>
        <tr r="C145" s="8"/>
        <tr r="F86" s="4"/>
      </tp>
      <tp t="s">
        <v/>
        <stp/>
        <stp>Market</stp>
        <stp>STOCK</stp>
        <stp>68570.T</stp>
        <stp>始値</stp>
        <tr r="C158" s="8"/>
        <tr r="F83" s="4"/>
        <tr r="F113" s="5"/>
      </tp>
      <tp t="s">
        <v/>
        <stp/>
        <stp>Market</stp>
        <stp>STOCK</stp>
        <stp>69970.T</stp>
        <stp>始値</stp>
        <tr r="C272" s="8"/>
      </tp>
      <tp t="s">
        <v/>
        <stp/>
        <stp>Market</stp>
        <stp>STOCK</stp>
        <stp>71670.T</stp>
        <stp>始値</stp>
        <tr r="C82" s="8"/>
        <tr r="F75" s="4"/>
        <tr r="F101" s="5"/>
      </tp>
      <tp t="s">
        <v/>
        <stp/>
        <stp>Market</stp>
        <stp>STOCK</stp>
        <stp>80070.T</stp>
        <stp>始値</stp>
        <tr r="C281" s="8"/>
      </tp>
    </main>
    <main first="rtdsrv.1affdd1a84884b47aa44e2c617a0fa7a">
      <tp t="s">
        <v/>
        <stp/>
        <stp>Market</stp>
        <stp>STOCK</stp>
        <stp>92270.T</stp>
        <stp>始値</stp>
        <tr r="F25" s="4"/>
        <tr r="F146" s="5"/>
        <tr r="C111" s="8"/>
      </tp>
      <tp t="s">
        <v/>
        <stp/>
        <stp>Market</stp>
        <stp>STOCK</stp>
        <stp>96870.T</stp>
        <stp>始値</stp>
        <tr r="F44" s="5"/>
        <tr r="F11" s="4"/>
        <tr r="C162" s="8"/>
      </tp>
    </main>
    <main first="rtdsrv.1affdd1a84884b47aa44e2c617a0fa7a">
      <tp t="s">
        <v/>
        <stp/>
        <stp>ChartPast</stp>
        <stp>1762178686064,3,3,8,8</stp>
        <stp>DJIA</stp>
        <stp>D</stp>
        <stp>20260310</stp>
        <stp>100</stp>
        <tr r="I4" s="17"/>
      </tp>
    </main>
    <main first="rtdsrv.1affdd1a84884b47aa44e2c617a0fa7a">
      <tp t="s">
        <v/>
        <stp/>
        <stp>Market</stp>
        <stp>STOCK</stp>
        <stp>38640.T</stp>
        <stp>前日比</stp>
        <tr r="J4" s="16"/>
      </tp>
    </main>
    <main first="rtdsrv.1affdd1a84884b47aa44e2c617a0fa7a">
      <tp t="s">
        <v/>
        <stp/>
        <stp>Market</stp>
        <stp>STOCK</stp>
        <stp/>
        <stp>出来高加重平均</stp>
        <tr r="I76" s="16"/>
        <tr r="I86" s="16"/>
        <tr r="I187" s="16"/>
        <tr r="I188" s="16"/>
        <tr r="I84" s="16"/>
        <tr r="I78" s="16"/>
        <tr r="I132" s="16"/>
        <tr r="I90" s="16"/>
        <tr r="I92" s="16"/>
        <tr r="I61" s="16"/>
        <tr r="I168" s="16"/>
        <tr r="I152" s="16"/>
        <tr r="I93" s="16"/>
        <tr r="I139" s="16"/>
        <tr r="I149" s="16"/>
        <tr r="I119" s="16"/>
        <tr r="I171" s="16"/>
        <tr r="I180" s="16"/>
        <tr r="I53" s="16"/>
        <tr r="I59" s="16"/>
        <tr r="I182" s="16"/>
        <tr r="I65" s="16"/>
        <tr r="I109" s="16"/>
        <tr r="I172" s="16"/>
        <tr r="I112" s="16"/>
        <tr r="I176" s="16"/>
        <tr r="I51" s="16"/>
        <tr r="I184" s="16"/>
        <tr r="I120" s="16"/>
        <tr r="I105" s="16"/>
        <tr r="I159" s="16"/>
        <tr r="I127" s="16"/>
        <tr r="I111" s="16"/>
        <tr r="I79" s="16"/>
        <tr r="I157" s="16"/>
        <tr r="I134" s="16"/>
        <tr r="I75" s="16"/>
        <tr r="I138" s="16"/>
        <tr r="I124" s="16"/>
        <tr r="I178" s="16"/>
        <tr r="I151" s="16"/>
        <tr r="I158" s="16"/>
        <tr r="I54" s="16"/>
        <tr r="I125" s="16"/>
        <tr r="I97" s="16"/>
        <tr r="I148" s="16"/>
        <tr r="I68" s="16"/>
        <tr r="I96" s="16"/>
        <tr r="I129" s="16"/>
        <tr r="I46" s="16"/>
        <tr r="I60" s="16"/>
        <tr r="I108" s="16"/>
        <tr r="I64" s="16"/>
        <tr r="I77" s="16"/>
        <tr r="I62" s="16"/>
        <tr r="I103" s="16"/>
        <tr r="I166" s="16"/>
        <tr r="I55" s="16"/>
        <tr r="I89" s="16"/>
        <tr r="I58" s="16"/>
        <tr r="I161" s="16"/>
        <tr r="I116" s="16"/>
        <tr r="I47" s="16"/>
        <tr r="I66" s="16"/>
        <tr r="I164" s="16"/>
        <tr r="I83" s="16"/>
        <tr r="C33" s="14"/>
        <tr r="I85" s="16"/>
        <tr r="I52" s="16"/>
        <tr r="I70" s="16"/>
        <tr r="I155" s="16"/>
        <tr r="I101" s="16"/>
        <tr r="I175" s="16"/>
        <tr r="I142" s="16"/>
        <tr r="I115" s="16"/>
        <tr r="I99" s="16"/>
        <tr r="I106" s="16"/>
        <tr r="I135" s="16"/>
        <tr r="I44" s="16"/>
        <tr r="I95" s="16"/>
        <tr r="I133" s="16"/>
        <tr r="I67" s="16"/>
        <tr r="I121" s="16"/>
        <tr r="I110" s="16"/>
        <tr r="I183" s="16"/>
        <tr r="I50" s="16"/>
        <tr r="I56" s="16"/>
        <tr r="I181" s="16"/>
        <tr r="I170" s="16"/>
        <tr r="I153" s="16"/>
        <tr r="I98" s="16"/>
        <tr r="I189" s="16"/>
        <tr r="I177" s="16"/>
        <tr r="I118" s="16"/>
        <tr r="I141" s="16"/>
        <tr r="I160" s="16"/>
        <tr r="I167" s="16"/>
        <tr r="I45" s="16"/>
        <tr r="I73" s="16"/>
        <tr r="I165" s="16"/>
        <tr r="I186" s="16"/>
        <tr r="I69" s="16"/>
        <tr r="I128" s="16"/>
        <tr r="I88" s="16"/>
        <tr r="I100" s="16"/>
        <tr r="I146" s="16"/>
        <tr r="I117" s="16"/>
        <tr r="I131" s="16"/>
        <tr r="I154" s="16"/>
        <tr r="I80" s="16"/>
        <tr r="I130" s="16"/>
        <tr r="I113" s="16"/>
        <tr r="I144" s="16"/>
        <tr r="I156" s="16"/>
        <tr r="I43" s="16"/>
        <tr r="I173" s="16"/>
        <tr r="I63" s="16"/>
        <tr r="I137" s="16"/>
        <tr r="I49" s="16"/>
        <tr r="I150" s="16"/>
        <tr r="I143" s="16"/>
        <tr r="I179" s="16"/>
        <tr r="I71" s="16"/>
        <tr r="I87" s="16"/>
        <tr r="I74" s="16"/>
        <tr r="I185" s="16"/>
        <tr r="I94" s="16"/>
        <tr r="I82" s="16"/>
        <tr r="I145" s="16"/>
        <tr r="I107" s="16"/>
        <tr r="I126" s="16"/>
        <tr r="I57" s="16"/>
        <tr r="I174" s="16"/>
        <tr r="I163" s="16"/>
        <tr r="I147" s="16"/>
        <tr r="I104" s="16"/>
        <tr r="I123" s="16"/>
        <tr r="I136" s="16"/>
        <tr r="I114" s="16"/>
        <tr r="I162" s="16"/>
        <tr r="I190" s="16"/>
        <tr r="I140" s="16"/>
        <tr r="I169" s="16"/>
        <tr r="I122" s="16"/>
        <tr r="I72" s="16"/>
        <tr r="I91" s="16"/>
        <tr r="I102" s="16"/>
        <tr r="I81" s="16"/>
        <tr r="I48" s="16"/>
        <tr r="H24" s="16"/>
        <tr r="I42" s="16"/>
        <tr r="H34" s="16"/>
        <tr r="H36" s="16"/>
        <tr r="I35" s="16"/>
        <tr r="I30" s="16"/>
        <tr r="I25" s="16"/>
        <tr r="I28" s="16"/>
        <tr r="I23" s="16"/>
        <tr r="I38" s="16"/>
        <tr r="H23" s="16"/>
        <tr r="I27" s="16"/>
        <tr r="I29" s="16"/>
        <tr r="H40" s="16"/>
        <tr r="H33" s="16"/>
        <tr r="H37" s="16"/>
        <tr r="H42" s="16"/>
        <tr r="I40" s="16"/>
        <tr r="H28" s="16"/>
        <tr r="I39" s="16"/>
        <tr r="H27" s="16"/>
        <tr r="H31" s="16"/>
        <tr r="H29" s="16"/>
        <tr r="H25" s="16"/>
        <tr r="I26" s="16"/>
        <tr r="I36" s="16"/>
        <tr r="I33" s="16"/>
        <tr r="I31" s="16"/>
        <tr r="H26" s="16"/>
        <tr r="H35" s="16"/>
        <tr r="I32" s="16"/>
        <tr r="H32" s="16"/>
        <tr r="H38" s="16"/>
        <tr r="H30" s="16"/>
        <tr r="I24" s="16"/>
        <tr r="H41" s="16"/>
        <tr r="H39" s="16"/>
        <tr r="I41" s="16"/>
        <tr r="I34" s="16"/>
        <tr r="I37" s="16"/>
      </tp>
      <tp t="s">
        <v/>
        <stp/>
        <stp>Market</stp>
        <stp>STOCK</stp>
        <stp>68480.T</stp>
        <stp>前日比</stp>
        <tr r="J12" s="16"/>
        <tr r="J8" s="16"/>
      </tp>
      <tp t="s">
        <v/>
        <stp/>
        <stp>Market</stp>
        <stp>STOCK</stp>
        <stp>62270.T</stp>
        <stp>前日比</stp>
        <tr r="J16" s="16"/>
      </tp>
    </main>
    <main first="rtdsrv.1affdd1a84884b47aa44e2c617a0fa7a">
      <tp t="s">
        <v/>
        <stp/>
        <stp>Market</stp>
        <stp>STOCK</stp>
        <stp>58440.T</stp>
        <stp>前日比</stp>
        <tr r="J22" s="16"/>
        <tr r="J14" s="16"/>
      </tp>
      <tp t="s">
        <v/>
        <stp/>
        <stp>Market</stp>
        <stp>STOCK</stp>
        <stp>53320.T</stp>
        <stp>前日比</stp>
        <tr r="J7" s="16"/>
        <tr r="J10" s="16"/>
        <tr r="J18" s="16"/>
        <tr r="J15" s="16"/>
      </tp>
      <tp t="s">
        <v/>
        <stp/>
        <stp>Market</stp>
        <stp>STOCK</stp>
        <stp>57020.T</stp>
        <stp>前日比</stp>
        <tr r="J13" s="16"/>
        <tr r="J9" s="16"/>
      </tp>
      <tp t="s">
        <v/>
        <stp/>
        <stp>Market</stp>
        <stp>STOCK</stp>
        <stp>40630.T</stp>
        <stp>前日比</stp>
        <tr r="J20" s="16"/>
      </tp>
    </main>
    <main first="rtdsrv.1affdd1a84884b47aa44e2c617a0fa7a">
      <tp t="s">
        <v/>
        <stp/>
        <stp>Market</stp>
        <stp>STOCK</stp>
        <stp>91010.T</stp>
        <stp>前日比</stp>
        <tr r="J19" s="16"/>
      </tp>
      <tp t="s">
        <v/>
        <stp/>
        <stp>Market</stp>
        <stp>STOCK</stp>
        <stp>95310.T</stp>
        <stp>前日比</stp>
        <tr r="J11" s="16"/>
      </tp>
    </main>
    <main first="rtdsrv.1affdd1a84884b47aa44e2c617a0fa7a">
      <tp t="s">
        <v/>
        <stp/>
        <stp>Market</stp>
        <stp>STOCK</stp>
        <stp>83440.T</stp>
        <stp>前日比</stp>
        <tr r="J6" s="16"/>
        <tr r="J17" s="16"/>
      </tp>
      <tp t="s">
        <v/>
        <stp/>
        <stp>Market</stp>
        <stp>STOCK</stp>
        <stp>80020.T</stp>
        <stp>前日比</stp>
        <tr r="J21" s="16"/>
      </tp>
      <tp t="s">
        <v/>
        <stp/>
        <stp>Market</stp>
        <stp>STOCK</stp>
        <stp>87040.T</stp>
        <stp>前日比</stp>
        <tr r="J5" s="16"/>
      </tp>
    </main>
    <main first="rtdsrv.1affdd1a84884b47aa44e2c617a0fa7a">
      <tp t="s">
        <v/>
        <stp/>
        <stp>Market</stp>
        <stp>STOCK</stp>
        <stp>23590.T</stp>
        <stp>高値</stp>
        <tr r="H193" s="4"/>
        <tr r="H135" s="5"/>
        <tr r="C168" s="9"/>
      </tp>
      <tp t="s">
        <v/>
        <stp/>
        <stp>Market</stp>
        <stp>STOCK</stp>
        <stp>76090.T</stp>
        <stp>高値</stp>
        <tr r="C240" s="9"/>
      </tp>
      <tp t="s">
        <v/>
        <stp/>
        <stp>Market</stp>
        <stp>STOCK</stp>
        <stp>77290.T</stp>
        <stp>高値</stp>
        <tr r="C107" s="9"/>
        <tr r="H68" s="4"/>
        <tr r="H18" s="5"/>
      </tp>
      <tp t="s">
        <v/>
        <stp/>
        <stp>Market</stp>
        <stp>STOCK</stp>
        <stp>64790.T</stp>
        <stp>高値</stp>
        <tr r="H101" s="4"/>
        <tr r="H24" s="5"/>
        <tr r="C79" s="9"/>
      </tp>
      <tp t="s">
        <v/>
        <stp/>
        <stp>Market</stp>
        <stp>STOCK</stp>
        <stp>68090.T</stp>
        <stp>高値</stp>
        <tr r="C238" s="9"/>
      </tp>
      <tp t="s">
        <v/>
        <stp/>
        <stp>Market</stp>
        <stp>STOCK</stp>
        <stp>50190.T</stp>
        <stp>高値</stp>
        <tr r="H148" s="4"/>
        <tr r="C24" s="9"/>
        <tr r="H140" s="5"/>
      </tp>
      <tp t="s">
        <v/>
        <stp/>
        <stp>Market</stp>
        <stp>STOCK</stp>
        <stp>54490.T</stp>
        <stp>高値</stp>
        <tr r="H97" s="5"/>
        <tr r="C51" s="9"/>
        <tr r="H134" s="4"/>
      </tp>
      <tp t="s">
        <v/>
        <stp/>
        <stp>Market</stp>
        <stp>STOCK</stp>
        <stp>59290.T</stp>
        <stp>高値</stp>
        <tr r="H69" s="5"/>
        <tr r="H119" s="4"/>
        <tr r="C49" s="9"/>
      </tp>
      <tp t="s">
        <v/>
        <stp/>
        <stp>Market</stp>
        <stp>STOCK</stp>
        <stp>45190.T</stp>
        <stp>高値</stp>
        <tr r="C130" s="9"/>
        <tr r="H161" s="4"/>
        <tr r="H205" s="5"/>
      </tp>
      <tp t="s">
        <v/>
        <stp/>
        <stp>Market</stp>
        <stp>STOCK</stp>
        <stp>47090.T</stp>
        <stp>高値</stp>
        <tr r="H115" s="5"/>
        <tr r="C170" s="9"/>
        <tr r="H154" s="4"/>
      </tp>
      <tp t="s">
        <v/>
        <stp/>
        <stp>Market</stp>
        <stp>STOCK</stp>
        <stp>90690.T</stp>
        <stp>高値</stp>
        <tr r="C110" s="9"/>
        <tr r="H60" s="5"/>
        <tr r="H28" s="4"/>
      </tp>
      <tp t="s">
        <v/>
        <stp/>
        <stp>Market</stp>
        <stp>STOCK</stp>
        <stp>94490.T</stp>
        <stp>高値</stp>
        <tr r="H19" s="4"/>
        <tr r="H77" s="5"/>
        <tr r="C113" s="9"/>
      </tp>
      <tp t="s">
        <v/>
        <stp/>
        <stp>Market</stp>
        <stp>STOCK</stp>
        <stp>95190.T</stp>
        <stp>高値</stp>
        <tr r="C214" s="9"/>
      </tp>
      <tp t="s">
        <v/>
        <stp/>
        <stp>Market</stp>
        <stp>STOCK</stp>
        <stp>83590.T</stp>
        <stp>高値</stp>
        <tr r="C123" s="9"/>
        <tr r="H26" s="5"/>
        <tr r="H48" s="4"/>
      </tp>
      <tp t="s">
        <v/>
        <stp/>
        <stp>Market</stp>
        <stp>STOCK</stp>
        <stp>83090.T</stp>
        <stp>高値</stp>
        <tr r="C31" s="9"/>
        <tr r="H68" s="5"/>
        <tr r="H51" s="4"/>
      </tp>
    </main>
    <main first="rtdsrv.1affdd1a84884b47aa44e2c617a0fa7a">
      <tp t="s">
        <v/>
        <stp/>
        <stp>Market</stp>
        <stp>STOCK</stp>
        <stp>27680.T</stp>
        <stp>高値</stp>
        <tr r="H206" s="5"/>
        <tr r="H191" s="4"/>
        <tr r="C202" s="9"/>
      </tp>
      <tp t="s">
        <v/>
        <stp/>
        <stp>Market</stp>
        <stp>STOCK</stp>
        <stp>16180.T</stp>
        <stp>高値</stp>
        <tr r="C227" s="9"/>
      </tp>
      <tp t="s">
        <v/>
        <stp/>
        <stp>Market</stp>
        <stp>STOCK</stp>
        <stp>18080.T</stp>
        <stp>高値</stp>
        <tr r="C297" s="9"/>
      </tp>
      <tp t="s">
        <v/>
        <stp/>
        <stp>Market</stp>
        <stp>STOCK</stp>
        <stp>19380.T</stp>
        <stp>高値</stp>
        <tr r="H200" s="4"/>
        <tr r="C176" s="9"/>
        <tr r="H117" s="5"/>
      </tp>
      <tp t="s">
        <v/>
        <stp/>
        <stp>Market</stp>
        <stp>STOCK</stp>
        <stp>70480.T</stp>
        <stp>高値</stp>
        <tr r="C296" s="9"/>
      </tp>
      <tp t="s">
        <v/>
        <stp/>
        <stp>Market</stp>
        <stp>STOCK</stp>
        <stp>60980.T</stp>
        <stp>高値</stp>
        <tr r="C248" s="9"/>
      </tp>
      <tp t="s">
        <v/>
        <stp/>
        <stp>Market</stp>
        <stp>STOCK</stp>
        <stp>61780.T</stp>
        <stp>高値</stp>
        <tr r="C104" s="9"/>
        <tr r="H59" s="5"/>
        <tr r="H112" s="4"/>
      </tp>
      <tp t="s">
        <v/>
        <stp/>
        <stp>Market</stp>
        <stp>STOCK</stp>
        <stp>64880.T</stp>
        <stp>高値</stp>
        <tr r="C280" s="9"/>
      </tp>
      <tp t="s">
        <v/>
        <stp/>
        <stp>Market</stp>
        <stp>STOCK</stp>
        <stp>67580.T</stp>
        <stp>高値</stp>
        <tr r="H88" s="4"/>
        <tr r="H86" s="5"/>
        <tr r="C205" s="9"/>
      </tp>
      <tp t="s">
        <v/>
        <stp/>
        <stp>Market</stp>
        <stp>STOCK</stp>
        <stp>68480.T</stp>
        <stp>高値</stp>
        <tr r="C274" s="9"/>
      </tp>
      <tp t="s">
        <v/>
        <stp/>
        <stp>Market</stp>
        <stp>STOCK</stp>
        <stp>68380.T</stp>
        <stp>高値</stp>
        <tr r="H6" s="5"/>
        <tr r="C148" s="9"/>
        <tr r="H85" s="4"/>
      </tp>
      <tp t="s">
        <v/>
        <stp/>
        <stp>Market</stp>
        <stp>STOCK</stp>
        <stp>69280.T</stp>
        <stp>高値</stp>
        <tr r="C246" s="9"/>
      </tp>
      <tp t="s">
        <v/>
        <stp/>
        <stp>Market</stp>
        <stp>STOCK</stp>
        <stp>69180.T</stp>
        <stp>高値</stp>
        <tr r="C279" s="9"/>
      </tp>
      <tp t="s">
        <v/>
        <stp/>
        <stp>Market</stp>
        <stp>STOCK</stp>
        <stp>58380.T</stp>
        <stp>高値</stp>
        <tr r="C117" s="9"/>
        <tr r="H147" s="5"/>
        <tr r="H124" s="4"/>
      </tp>
      <tp t="s">
        <v/>
        <stp/>
        <stp>Market</stp>
        <stp>STOCK</stp>
        <stp>59380.T</stp>
        <stp>高値</stp>
        <tr r="C36" s="9"/>
        <tr r="H118" s="4"/>
        <tr r="H93" s="5"/>
      </tp>
      <tp t="s">
        <v/>
        <stp/>
        <stp>Market</stp>
        <stp>STOCK</stp>
        <stp>40080.T</stp>
        <stp>高値</stp>
        <tr r="H175" s="4"/>
        <tr r="C95" s="9"/>
        <tr r="H127" s="5"/>
      </tp>
      <tp t="s">
        <v/>
        <stp/>
        <stp>Market</stp>
        <stp>STOCK</stp>
        <stp>40880.T</stp>
        <stp>高値</stp>
        <tr r="H132" s="5"/>
        <tr r="C156" s="9"/>
        <tr r="H170" s="4"/>
      </tp>
      <tp t="s">
        <v/>
        <stp/>
        <stp>Market</stp>
        <stp>STOCK</stp>
        <stp>41880.T</stp>
        <stp>高値</stp>
        <tr r="H145" s="5"/>
        <tr r="C98" s="9"/>
        <tr r="H167" s="4"/>
      </tp>
      <tp t="s">
        <v/>
        <stp/>
        <stp>Market</stp>
        <stp>STOCK</stp>
        <stp>42180.T</stp>
        <stp>高値</stp>
        <tr r="C282" s="9"/>
      </tp>
      <tp t="s">
        <v/>
        <stp/>
        <stp>Market</stp>
        <stp>STOCK</stp>
        <stp>42080.T</stp>
        <stp>高値</stp>
        <tr r="C298" s="9"/>
      </tp>
      <tp t="s">
        <v/>
        <stp/>
        <stp>Market</stp>
        <stp>STOCK</stp>
        <stp>45680.T</stp>
        <stp>高値</stp>
        <tr r="H7" s="4"/>
        <tr r="H110" s="5"/>
        <tr r="C142" s="9"/>
      </tp>
      <tp t="s">
        <v/>
        <stp/>
        <stp>Market</stp>
        <stp>STOCK</stp>
        <stp>45280.T</stp>
        <stp>高値</stp>
        <tr r="H17" s="5"/>
        <tr r="C100" s="9"/>
        <tr r="H159" s="4"/>
      </tp>
      <tp t="s">
        <v/>
        <stp/>
        <stp>Market</stp>
        <stp>STOCK</stp>
        <stp>48880.T</stp>
        <stp>高値</stp>
        <tr r="H151" s="4"/>
        <tr r="H131" s="5"/>
        <tr r="C146" s="9"/>
      </tp>
      <tp t="s">
        <v/>
        <stp/>
        <stp>Market</stp>
        <stp>STOCK</stp>
        <stp>93480.T</stp>
        <stp>高値</stp>
        <tr r="H8" s="5"/>
        <tr r="H24" s="4"/>
        <tr r="C112" s="9"/>
      </tp>
      <tp t="s">
        <v/>
        <stp/>
        <stp>Market</stp>
        <stp>STOCK</stp>
        <stp>80580.T</stp>
        <stp>高値</stp>
        <tr r="H89" s="5"/>
        <tr r="C16" s="9"/>
        <tr r="H58" s="4"/>
      </tp>
      <tp t="s">
        <v/>
        <stp/>
        <stp>Market</stp>
        <stp>STOCK</stp>
        <stp>83080.T</stp>
        <stp>高値</stp>
        <tr r="C35" s="9"/>
        <tr r="H52" s="4"/>
        <tr r="H92" s="5"/>
      </tp>
    </main>
    <main first="rtdsrv.1affdd1a84884b47aa44e2c617a0fa7a">
      <tp t="s">
        <v/>
        <stp/>
        <stp>Market</stp>
        <stp>STOCK</stp>
        <stp>TOPX0.T</stp>
        <stp>現在値</stp>
        <tr r="E3" s="4"/>
        <tr r="E36" s="5"/>
      </tp>
    </main>
    <main first="rtdsrv.1affdd1a84884b47aa44e2c617a0fa7a">
      <tp t="s">
        <v/>
        <stp/>
        <stp>Market</stp>
        <stp>STOCK</stp>
        <stp>30030.T</stp>
        <stp>高値</stp>
        <tr r="H188" s="4"/>
        <tr r="H143" s="5"/>
        <tr r="C88" s="9"/>
      </tp>
      <tp t="s">
        <v/>
        <stp/>
        <stp>Market</stp>
        <stp>STOCK</stp>
        <stp>31030.T</stp>
        <stp>高値</stp>
        <tr r="C138" s="9"/>
        <tr r="H81" s="5"/>
        <tr r="H187" s="4"/>
      </tp>
    </main>
    <main first="rtdsrv.1affdd1a84884b47aa44e2c617a0fa7a">
      <tp t="s">
        <v/>
        <stp/>
        <stp>Market</stp>
        <stp>STOCK</stp>
        <stp>35630.T</stp>
        <stp>高値</stp>
        <tr r="C230" s="9"/>
      </tp>
    </main>
    <main first="rtdsrv.1affdd1a84884b47aa44e2c617a0fa7a">
      <tp t="s">
        <v/>
        <stp/>
        <stp>Market</stp>
        <stp>STOCK</stp>
        <stp>38630.T</stp>
        <stp>高値</stp>
        <tr r="H21" s="5"/>
        <tr r="H178" s="4"/>
        <tr r="C32" s="9"/>
      </tp>
    </main>
    <main first="rtdsrv.1affdd1a84884b47aa44e2c617a0fa7a">
      <tp t="s">
        <v/>
        <stp/>
        <stp>Market</stp>
        <stp>STOCK</stp>
        <stp>29330.T</stp>
        <stp>高値</stp>
        <tr r="C288" s="9"/>
      </tp>
    </main>
    <main first="rtdsrv.1affdd1a84884b47aa44e2c617a0fa7a">
      <tp t="s">
        <v/>
        <stp/>
        <stp>Market</stp>
        <stp>STOCK</stp>
        <stp>18330.T</stp>
        <stp>高値</stp>
        <tr r="C80" s="9"/>
        <tr r="H203" s="4"/>
        <tr r="H180" s="5"/>
      </tp>
      <tp t="s">
        <v/>
        <stp/>
        <stp>Market</stp>
        <stp>STOCK</stp>
        <stp>19630.T</stp>
        <stp>高値</stp>
        <tr r="H40" s="5"/>
        <tr r="H197" s="4"/>
        <tr r="C86" s="9"/>
      </tp>
      <tp t="s">
        <v/>
        <stp/>
        <stp>Market</stp>
        <stp>STOCK</stp>
        <stp>70130.T</stp>
        <stp>高値</stp>
        <tr r="C231" s="9"/>
      </tp>
      <tp t="s">
        <v/>
        <stp/>
        <stp>Market</stp>
        <stp>STOCK</stp>
        <stp>72030.T</stp>
        <stp>高値</stp>
        <tr r="C77" s="9"/>
        <tr r="H73" s="5"/>
        <tr r="H73" s="4"/>
      </tp>
      <tp t="s">
        <v/>
        <stp/>
        <stp>Market</stp>
        <stp>STOCK</stp>
        <stp>62730.T</stp>
        <stp>高値</stp>
        <tr r="C211" s="9"/>
      </tp>
      <tp t="s">
        <v/>
        <stp/>
        <stp>Market</stp>
        <stp>STOCK</stp>
        <stp>62030.T</stp>
        <stp>高値</stp>
        <tr r="H111" s="4"/>
        <tr r="C57" s="9"/>
        <tr r="H50" s="5"/>
      </tp>
      <tp t="s">
        <v/>
        <stp/>
        <stp>Market</stp>
        <stp>STOCK</stp>
        <stp>63230.T</stp>
        <stp>高値</stp>
        <tr r="H106" s="4"/>
        <tr r="C90" s="9"/>
        <tr r="H41" s="5"/>
      </tp>
      <tp t="s">
        <v/>
        <stp/>
        <stp>Market</stp>
        <stp>STOCK</stp>
        <stp>65030.T</stp>
        <stp>高値</stp>
        <tr r="H99" s="4"/>
        <tr r="H39" s="5"/>
        <tr r="C68" s="9"/>
      </tp>
      <tp t="s">
        <v/>
        <stp/>
        <stp>Market</stp>
        <stp>STOCK</stp>
        <stp>66130.T</stp>
        <stp>高値</stp>
        <tr r="H3" s="5"/>
        <tr r="H94" s="4"/>
        <tr r="C141" s="9"/>
      </tp>
      <tp t="s">
        <v/>
        <stp/>
        <stp>Market</stp>
        <stp>STOCK</stp>
        <stp>67530.T</stp>
        <stp>高値</stp>
        <tr r="H90" s="4"/>
        <tr r="C188" s="9"/>
        <tr r="H162" s="5"/>
      </tp>
      <tp t="s">
        <v/>
        <stp/>
        <stp>Market</stp>
        <stp>STOCK</stp>
        <stp>52530.T</stp>
        <stp>高値</stp>
        <tr r="C258" s="9"/>
      </tp>
      <tp t="s">
        <v/>
        <stp/>
        <stp>Market</stp>
        <stp>STOCK</stp>
        <stp>52430.T</stp>
        <stp>高値</stp>
        <tr r="C193" s="9"/>
        <tr r="H143" s="4"/>
        <tr r="H138" s="5"/>
      </tp>
      <tp t="s">
        <v/>
        <stp/>
        <stp>Market</stp>
        <stp>STOCK</stp>
        <stp>52330.T</stp>
        <stp>高値</stp>
        <tr r="H144" s="4"/>
        <tr r="H170" s="5"/>
        <tr r="C34" s="9"/>
      </tp>
      <tp t="s">
        <v/>
        <stp/>
        <stp>Market</stp>
        <stp>STOCK</stp>
        <stp>53330.T</stp>
        <stp>高値</stp>
        <tr r="C17" s="9"/>
        <tr r="H141" s="4"/>
        <tr r="H37" s="5"/>
      </tp>
      <tp t="s">
        <v/>
        <stp/>
        <stp>Market</stp>
        <stp>STOCK</stp>
        <stp>54230.T</stp>
        <stp>高値</stp>
        <tr r="H136" s="4"/>
        <tr r="H165" s="5"/>
        <tr r="C7" s="9"/>
      </tp>
      <tp t="s">
        <v/>
        <stp/>
        <stp>Market</stp>
        <stp>STOCK</stp>
        <stp>57130.T</stp>
        <stp>高値</stp>
        <tr r="H46" s="5"/>
        <tr r="C8" s="9"/>
        <tr r="H129" s="4"/>
      </tp>
      <tp t="s">
        <v/>
        <stp/>
        <stp>Market</stp>
        <stp>STOCK</stp>
        <stp>57030.T</stp>
        <stp>高値</stp>
        <tr r="H132" s="4"/>
        <tr r="H48" s="5"/>
        <tr r="C13" s="9"/>
      </tp>
      <tp t="s">
        <v/>
        <stp/>
        <stp>Market</stp>
        <stp>STOCK</stp>
        <stp>58030.T</stp>
        <stp>高値</stp>
        <tr r="H125" s="4"/>
        <tr r="C103" s="9"/>
        <tr r="H58" s="5"/>
      </tp>
      <tp t="s">
        <v/>
        <stp/>
        <stp>Market</stp>
        <stp>STOCK</stp>
        <stp>40630.T</stp>
        <stp>高値</stp>
        <tr r="H14" s="5"/>
        <tr r="H172" s="4"/>
        <tr r="C66" s="9"/>
      </tp>
      <tp t="s">
        <v/>
        <stp/>
        <stp>Market</stp>
        <stp>STOCK</stp>
        <stp>43730.T</stp>
        <stp>高値</stp>
        <tr r="C160" s="9"/>
        <tr r="H165" s="4"/>
        <tr r="H82" s="5"/>
      </tp>
      <tp t="s">
        <v/>
        <stp/>
        <stp>Market</stp>
        <stp>STOCK</stp>
        <stp>45230.T</stp>
        <stp>高値</stp>
        <tr r="C99" s="9"/>
        <tr r="H184" s="5"/>
        <tr r="H160" s="4"/>
      </tp>
      <tp t="s">
        <v/>
        <stp/>
        <stp>Market</stp>
        <stp>STOCK</stp>
        <stp>47330.T</stp>
        <stp>高値</stp>
        <tr r="H133" s="5"/>
        <tr r="C165" s="9"/>
        <tr r="H153" s="4"/>
      </tp>
    </main>
    <main first="rtdsrv.1affdd1a84884b47aa44e2c617a0fa7a">
      <tp t="s">
        <v/>
        <stp/>
        <stp>Market</stp>
        <stp>STOCK</stp>
        <stp>97330.T</stp>
        <stp>高値</stp>
        <tr r="C166" s="9"/>
        <tr r="H10" s="4"/>
        <tr r="H153" s="5"/>
      </tp>
      <tp t="s">
        <v/>
        <stp/>
        <stp>Market</stp>
        <stp>STOCK</stp>
        <stp>80530.T</stp>
        <stp>高値</stp>
        <tr r="C25" s="9"/>
        <tr r="H49" s="5"/>
        <tr r="H59" s="4"/>
      </tp>
      <tp t="s">
        <v/>
        <stp/>
        <stp>Market</stp>
        <stp>STOCK</stp>
        <stp>81030.T</stp>
        <stp>高値</stp>
        <tr r="H136" s="5"/>
        <tr r="H56" s="4"/>
        <tr r="C169" s="9"/>
      </tp>
    </main>
    <main first="rtdsrv.1affdd1a84884b47aa44e2c617a0fa7a">
      <tp t="s">
        <v/>
        <stp/>
        <stp>Market</stp>
        <stp>STOCK</stp>
        <stp>83030.T</stp>
        <stp>高値</stp>
        <tr r="H54" s="4"/>
        <tr r="C172" s="9"/>
        <tr r="H191" s="5"/>
      </tp>
      <tp t="s">
        <v/>
        <stp/>
        <stp>Market</stp>
        <stp>STOCK</stp>
        <stp>85930.T</stp>
        <stp>高値</stp>
        <tr r="C39" s="9"/>
        <tr r="H42" s="4"/>
        <tr r="H171" s="5"/>
      </tp>
      <tp t="s">
        <v/>
        <stp/>
        <stp>Market</stp>
        <stp>STOCK</stp>
        <stp>87930.T</stp>
        <stp>高値</stp>
        <tr r="C232" s="9"/>
      </tp>
    </main>
    <main first="rtdsrv.1affdd1a84884b47aa44e2c617a0fa7a">
      <tp t="s">
        <v/>
        <stp/>
        <stp>Market</stp>
        <stp>STOCK</stp>
        <stp>30020.T</stp>
        <stp>高値</stp>
        <tr r="C277" s="9"/>
      </tp>
    </main>
    <main first="rtdsrv.1affdd1a84884b47aa44e2c617a0fa7a">
      <tp t="s">
        <v/>
        <stp/>
        <stp>Market</stp>
        <stp>STOCK</stp>
        <stp>34020.T</stp>
        <stp>高値</stp>
        <tr r="H172" s="5"/>
        <tr r="C44" s="9"/>
        <tr r="H183" s="4"/>
      </tp>
    </main>
    <main first="rtdsrv.1affdd1a84884b47aa44e2c617a0fa7a">
      <tp t="s">
        <v/>
        <stp/>
        <stp>Market</stp>
        <stp>STOCK</stp>
        <stp>27020.T</stp>
        <stp>高値</stp>
        <tr r="C194" s="9"/>
        <tr r="H192" s="4"/>
        <tr r="H196" s="5"/>
      </tp>
      <tp t="s">
        <v/>
        <stp/>
        <stp>Market</stp>
        <stp>STOCK</stp>
        <stp>28020.T</stp>
        <stp>高値</stp>
        <tr r="C76" s="9"/>
        <tr r="H190" s="4"/>
        <tr r="H23" s="5"/>
      </tp>
      <tp t="s">
        <v/>
        <stp/>
        <stp>Market</stp>
        <stp>STOCK</stp>
        <stp>16620.T</stp>
        <stp>高値</stp>
        <tr r="C18" s="9"/>
        <tr r="H205" s="4"/>
        <tr r="H122" s="5"/>
      </tp>
      <tp t="s">
        <v/>
        <stp/>
        <stp>Market</stp>
        <stp>STOCK</stp>
        <stp>18120.T</stp>
        <stp>高値</stp>
        <tr r="H204" s="4"/>
        <tr r="H121" s="5"/>
        <tr r="C208" s="9"/>
      </tp>
      <tp t="s">
        <v/>
        <stp/>
        <stp>Market</stp>
        <stp>STOCK</stp>
        <stp>19420.T</stp>
        <stp>高値</stp>
        <tr r="C175" s="9"/>
        <tr r="H199" s="4"/>
        <tr r="H32" s="5"/>
      </tp>
      <tp t="s">
        <v/>
        <stp/>
        <stp>Market</stp>
        <stp>STOCK</stp>
        <stp>71820.T</stp>
        <stp>高値</stp>
        <tr r="H102" s="5"/>
        <tr r="C85" s="9"/>
        <tr r="H74" s="4"/>
      </tp>
      <tp t="s">
        <v/>
        <stp/>
        <stp>Market</stp>
        <stp>STOCK</stp>
        <stp>75320.T</stp>
        <stp>高値</stp>
        <tr r="C305" s="9"/>
      </tp>
      <tp t="s">
        <v/>
        <stp/>
        <stp>Market</stp>
        <stp>STOCK</stp>
        <stp>79720.T</stp>
        <stp>高値</stp>
        <tr r="C241" s="9"/>
      </tp>
      <tp t="s">
        <v/>
        <stp/>
        <stp>Market</stp>
        <stp>STOCK</stp>
        <stp>79520.T</stp>
        <stp>高値</stp>
        <tr r="C276" s="9"/>
      </tp>
      <tp t="s">
        <v/>
        <stp/>
        <stp>Market</stp>
        <stp>STOCK</stp>
        <stp>62320.T</stp>
        <stp>高値</stp>
        <tr r="C135" s="9"/>
        <tr r="H109" s="4"/>
        <tr r="H28" s="5"/>
      </tp>
      <tp t="s">
        <v/>
        <stp/>
        <stp>Market</stp>
        <stp>STOCK</stp>
        <stp>64820.T</stp>
        <stp>高値</stp>
        <tr r="C290" s="9"/>
      </tp>
      <tp t="s">
        <v/>
        <stp/>
        <stp>Market</stp>
        <stp>STOCK</stp>
        <stp>65220.T</stp>
        <stp>高値</stp>
        <tr r="C143" s="9"/>
        <tr r="H95" s="4"/>
        <tr r="H111" s="5"/>
      </tp>
      <tp t="s">
        <v/>
        <stp/>
        <stp>Market</stp>
        <stp>STOCK</stp>
        <stp>66220.T</stp>
        <stp>高値</stp>
        <tr r="C216" s="9"/>
      </tp>
      <tp t="s">
        <v/>
        <stp/>
        <stp>Market</stp>
        <stp>STOCK</stp>
        <stp>67620.T</stp>
        <stp>高値</stp>
        <tr r="C234" s="9"/>
      </tp>
      <tp t="s">
        <v/>
        <stp/>
        <stp>Market</stp>
        <stp>STOCK</stp>
        <stp>67520.T</stp>
        <stp>高値</stp>
        <tr r="C215" s="9"/>
      </tp>
      <tp t="s">
        <v/>
        <stp/>
        <stp>Market</stp>
        <stp>STOCK</stp>
        <stp>68620.T</stp>
        <stp>高値</stp>
        <tr r="C225" s="9"/>
      </tp>
      <tp t="s">
        <v/>
        <stp/>
        <stp>Market</stp>
        <stp>STOCK</stp>
        <stp>69020.T</stp>
        <stp>高値</stp>
        <tr r="C244" s="9"/>
      </tp>
      <tp t="s">
        <v/>
        <stp/>
        <stp>Market</stp>
        <stp>STOCK</stp>
        <stp>53320.T</stp>
        <stp>高値</stp>
        <tr r="H12" s="5"/>
        <tr r="C21" s="9"/>
        <tr r="H142" s="4"/>
      </tp>
      <tp t="s">
        <v/>
        <stp/>
        <stp>Market</stp>
        <stp>STOCK</stp>
        <stp>56320.T</stp>
        <stp>高値</stp>
        <tr r="C247" s="9"/>
      </tp>
      <tp t="s">
        <v/>
        <stp/>
        <stp>Market</stp>
        <stp>STOCK</stp>
        <stp>57020.T</stp>
        <stp>高値</stp>
        <tr r="C275" s="9"/>
      </tp>
      <tp t="s">
        <v/>
        <stp/>
        <stp>Market</stp>
        <stp>STOCK</stp>
        <stp>58020.T</stp>
        <stp>高値</stp>
        <tr r="H126" s="4"/>
        <tr r="H57" s="5"/>
        <tr r="C102" s="9"/>
      </tp>
      <tp t="s">
        <v/>
        <stp/>
        <stp>Market</stp>
        <stp>STOCK</stp>
        <stp>58920.T</stp>
        <stp>高値</stp>
        <tr r="H74" s="5"/>
        <tr r="H121" s="4"/>
        <tr r="C89" s="9"/>
      </tp>
      <tp t="s">
        <v/>
        <stp/>
        <stp>Market</stp>
        <stp>STOCK</stp>
        <stp>40620.T</stp>
        <stp>高値</stp>
        <tr r="H56" s="5"/>
        <tr r="C96" s="9"/>
        <tr r="H173" s="4"/>
      </tp>
      <tp t="s">
        <v/>
        <stp/>
        <stp>Market</stp>
        <stp>STOCK</stp>
        <stp>40820.T</stp>
        <stp>高値</stp>
        <tr r="H171" s="4"/>
        <tr r="C129" s="9"/>
        <tr r="H9" s="5"/>
      </tp>
      <tp t="s">
        <v/>
        <stp/>
        <stp>Market</stp>
        <stp>STOCK</stp>
        <stp>41820.T</stp>
        <stp>高値</stp>
        <tr r="H168" s="4"/>
        <tr r="H75" s="5"/>
        <tr r="C97" s="9"/>
      </tp>
      <tp t="s">
        <v/>
        <stp/>
        <stp>Market</stp>
        <stp>STOCK</stp>
        <stp>42220.T</stp>
        <stp>高値</stp>
        <tr r="C229" s="9"/>
      </tp>
      <tp t="s">
        <v/>
        <stp/>
        <stp>Market</stp>
        <stp>STOCK</stp>
        <stp>43920.T</stp>
        <stp>高値</stp>
        <tr r="C235" s="9"/>
      </tp>
      <tp t="s">
        <v/>
        <stp/>
        <stp>Market</stp>
        <stp>STOCK</stp>
        <stp>43820.T</stp>
        <stp>高値</stp>
        <tr r="H164" s="4"/>
        <tr r="H192" s="5"/>
        <tr r="C173" s="9"/>
      </tp>
      <tp t="s">
        <v/>
        <stp/>
        <stp>Market</stp>
        <stp>STOCK</stp>
        <stp>44220.T</stp>
        <stp>高値</stp>
        <tr r="C139" s="9"/>
        <tr r="H162" s="4"/>
        <tr r="H188" s="5"/>
      </tp>
      <tp t="s">
        <v/>
        <stp/>
        <stp>Market</stp>
        <stp>STOCK</stp>
        <stp>45020.T</stp>
        <stp>高値</stp>
        <tr r="C212" s="9"/>
      </tp>
    </main>
    <main first="rtdsrv.1affdd1a84884b47aa44e2c617a0fa7a">
      <tp t="s">
        <v/>
        <stp/>
        <stp>Market</stp>
        <stp>STOCK</stp>
        <stp>90220.T</stp>
        <stp>高値</stp>
        <tr r="H159" s="5"/>
        <tr r="H29" s="4"/>
        <tr r="C184" s="9"/>
      </tp>
      <tp t="s">
        <v/>
        <stp/>
        <stp>Market</stp>
        <stp>STOCK</stp>
        <stp>92020.T</stp>
        <stp>高値</stp>
        <tr r="H99" s="5"/>
        <tr r="H26" s="4"/>
        <tr r="C74" s="9"/>
      </tp>
      <tp t="s">
        <v/>
        <stp/>
        <stp>Market</stp>
        <stp>STOCK</stp>
        <stp>94120.T</stp>
        <stp>高値</stp>
        <tr r="H22" s="4"/>
        <tr r="C56" s="9"/>
        <tr r="H22" s="5"/>
      </tp>
      <tp t="s">
        <v/>
        <stp/>
        <stp>Market</stp>
        <stp>STOCK</stp>
        <stp>95320.T</stp>
        <stp>高値</stp>
        <tr r="C127" s="9"/>
        <tr r="H14" s="4"/>
        <tr r="H79" s="5"/>
      </tp>
      <tp t="s">
        <v/>
        <stp/>
        <stp>Market</stp>
        <stp>STOCK</stp>
        <stp>98820.T</stp>
        <stp>高値</stp>
        <tr r="C116" s="9"/>
        <tr r="H9" s="4"/>
        <tr r="H128" s="5"/>
      </tp>
      <tp t="s">
        <v/>
        <stp/>
        <stp>Market</stp>
        <stp>STOCK</stp>
        <stp>99620.T</stp>
        <stp>高値</stp>
        <tr r="C233" s="9"/>
      </tp>
      <tp t="s">
        <v/>
        <stp/>
        <stp>Market</stp>
        <stp>STOCK</stp>
        <stp>80020.T</stp>
        <stp>高値</stp>
        <tr r="H62" s="4"/>
        <tr r="C14" s="9"/>
        <tr r="H167" s="5"/>
      </tp>
      <tp t="s">
        <v/>
        <stp/>
        <stp>Market</stp>
        <stp>STOCK</stp>
        <stp>85720.T</stp>
        <stp>高値</stp>
        <tr r="C47" s="9"/>
        <tr r="H38" s="5"/>
        <tr r="H44" s="4"/>
      </tp>
    </main>
    <main first="rtdsrv.1affdd1a84884b47aa44e2c617a0fa7a">
      <tp t="s">
        <v/>
        <stp/>
        <stp>Market</stp>
        <stp>STOCK</stp>
        <stp>88920.T</stp>
        <stp>高値</stp>
        <tr r="H114" s="5"/>
        <tr r="H32" s="4"/>
        <tr r="C161" s="9"/>
      </tp>
    </main>
    <main first="rtdsrv.1affdd1a84884b47aa44e2c617a0fa7a">
      <tp t="s">
        <v/>
        <stp/>
        <stp>Market</stp>
        <stp>INDEX</stp>
        <stp>TOPX</stp>
        <stp>現在値</stp>
        <tr r="C5" s="11"/>
        <tr r="C5" s="1"/>
      </tp>
    </main>
    <main first="rtdsrv.1affdd1a84884b47aa44e2c617a0fa7a">
      <tp t="s">
        <v/>
        <stp/>
        <stp>Market</stp>
        <stp>STOCK</stp>
        <stp>34010.T</stp>
        <stp>高値</stp>
        <tr r="C27" s="9"/>
        <tr r="H169" s="5"/>
        <tr r="H184" s="4"/>
      </tp>
    </main>
    <main first="rtdsrv.1affdd1a84884b47aa44e2c617a0fa7a">
      <tp t="s">
        <v/>
        <stp/>
        <stp>Market</stp>
        <stp>STOCK</stp>
        <stp>38610.T</stp>
        <stp>高値</stp>
        <tr r="H179" s="4"/>
        <tr r="C41" s="9"/>
        <tr r="H123" s="5"/>
      </tp>
      <tp t="s">
        <v/>
        <stp/>
        <stp>Market</stp>
        <stp>STOCK</stp>
        <stp>38910.T</stp>
        <stp>高値</stp>
        <tr r="H177" s="4"/>
        <tr r="C159" s="9"/>
        <tr r="H43" s="5"/>
      </tp>
      <tp t="s">
        <v/>
        <stp/>
        <stp>Market</stp>
        <stp>STOCK</stp>
        <stp>39410.T</stp>
        <stp>高値</stp>
        <tr r="H176" s="4"/>
        <tr r="H142" s="5"/>
        <tr r="C48" s="9"/>
      </tp>
    </main>
    <main first="rtdsrv.1affdd1a84884b47aa44e2c617a0fa7a">
      <tp t="s">
        <v/>
        <stp/>
        <stp>Market</stp>
        <stp>STOCK</stp>
        <stp>13210.T</stp>
        <stp>高値</stp>
        <tr r="C303" s="9"/>
      </tp>
      <tp t="s">
        <v/>
        <stp/>
        <stp>Market</stp>
        <stp>STOCK</stp>
        <stp>19610.T</stp>
        <stp>高値</stp>
        <tr r="C59" s="9"/>
        <tr r="H198" s="4"/>
        <tr r="H51" s="5"/>
      </tp>
      <tp t="s">
        <v/>
        <stp/>
        <stp>Market</stp>
        <stp>STOCK</stp>
        <stp>70210.T</stp>
        <stp>高値</stp>
        <tr r="H76" s="5"/>
        <tr r="C106" s="9"/>
        <tr r="H76" s="4"/>
      </tp>
      <tp t="s">
        <v/>
        <stp/>
        <stp>Market</stp>
        <stp>STOCK</stp>
        <stp>70110.T</stp>
        <stp>高値</stp>
        <tr r="H77" s="4"/>
        <tr r="C207" s="9"/>
        <tr r="H197" s="5"/>
      </tp>
      <tp t="s">
        <v/>
        <stp/>
        <stp>Market</stp>
        <stp>STOCK</stp>
        <stp>71810.T</stp>
        <stp>高値</stp>
        <tr r="H5" s="4"/>
        <tr r="C190" s="9"/>
        <tr r="H119" s="5"/>
      </tp>
      <tp t="s">
        <v/>
        <stp/>
        <stp>Market</stp>
        <stp>STOCK</stp>
        <stp>73810.T</stp>
        <stp>高値</stp>
        <tr r="C152" s="9"/>
        <tr r="H70" s="4"/>
        <tr r="H63" s="5"/>
      </tp>
      <tp t="s">
        <v/>
        <stp/>
        <stp>Market</stp>
        <stp>STOCK</stp>
        <stp>77410.T</stp>
        <stp>高値</stp>
        <tr r="C302" s="9"/>
      </tp>
      <tp t="s">
        <v/>
        <stp/>
        <stp>Market</stp>
        <stp>STOCK</stp>
        <stp>77110.T</stp>
        <stp>高値</stp>
        <tr r="C268" s="9"/>
      </tp>
      <tp t="s">
        <v/>
        <stp/>
        <stp>Market</stp>
        <stp>STOCK</stp>
        <stp>79810.T</stp>
        <stp>高値</stp>
        <tr r="H63" s="4"/>
        <tr r="H116" s="5"/>
        <tr r="C171" s="9"/>
      </tp>
      <tp t="s">
        <v/>
        <stp/>
        <stp>Market</stp>
        <stp>STOCK</stp>
        <stp>63610.T</stp>
        <stp>高値</stp>
        <tr r="C249" s="9"/>
      </tp>
      <tp t="s">
        <v/>
        <stp/>
        <stp>Market</stp>
        <stp>STOCK</stp>
        <stp>63310.T</stp>
        <stp>高値</stp>
        <tr r="C301" s="9"/>
      </tp>
      <tp t="s">
        <v/>
        <stp/>
        <stp>Market</stp>
        <stp>STOCK</stp>
        <stp>65210.T</stp>
        <stp>高値</stp>
        <tr r="C242" s="9"/>
      </tp>
      <tp t="s">
        <v/>
        <stp/>
        <stp>Market</stp>
        <stp>STOCK</stp>
        <stp>65010.T</stp>
        <stp>高値</stp>
        <tr r="H126" s="5"/>
        <tr r="H100" s="4"/>
        <tr r="C91" s="9"/>
      </tp>
      <tp t="s">
        <v/>
        <stp/>
        <stp>Market</stp>
        <stp>STOCK</stp>
        <stp>67010.T</stp>
        <stp>高値</stp>
        <tr r="H93" s="4"/>
        <tr r="C11" s="9"/>
        <tr r="H139" s="5"/>
      </tp>
      <tp t="s">
        <v/>
        <stp/>
        <stp>Market</stp>
        <stp>STOCK</stp>
        <stp>68610.T</stp>
        <stp>高値</stp>
        <tr r="C209" s="9"/>
      </tp>
      <tp t="s">
        <v/>
        <stp/>
        <stp>Market</stp>
        <stp>STOCK</stp>
        <stp>68410.T</stp>
        <stp>高値</stp>
        <tr r="C81" s="9"/>
        <tr r="H84" s="4"/>
        <tr r="H100" s="5"/>
      </tp>
      <tp t="s">
        <v/>
        <stp/>
        <stp>Market</stp>
        <stp>STOCK</stp>
        <stp>69810.T</stp>
        <stp>高値</stp>
        <tr r="H78" s="4"/>
        <tr r="C154" s="9"/>
        <tr r="H30" s="5"/>
      </tp>
      <tp t="s">
        <v/>
        <stp/>
        <stp>Market</stp>
        <stp>STOCK</stp>
        <stp>50210.T</stp>
        <stp>高値</stp>
        <tr r="C15" s="9"/>
        <tr r="H88" s="5"/>
        <tr r="H146" s="4"/>
      </tp>
      <tp t="s">
        <v/>
        <stp/>
        <stp>Market</stp>
        <stp>STOCK</stp>
        <stp>52010.T</stp>
        <stp>高値</stp>
        <tr r="C53" s="9"/>
        <tr r="H145" s="4"/>
        <tr r="H175" s="5"/>
      </tp>
      <tp t="s">
        <v/>
        <stp/>
        <stp>Market</stp>
        <stp>STOCK</stp>
        <stp>54110.T</stp>
        <stp>高値</stp>
        <tr r="H137" s="4"/>
        <tr r="H7" s="5"/>
        <tr r="C84" s="9"/>
      </tp>
      <tp t="s">
        <v/>
        <stp/>
        <stp>Market</stp>
        <stp>STOCK</stp>
        <stp>54010.T</stp>
        <stp>高値</stp>
        <tr r="H173" s="5"/>
        <tr r="H140" s="4"/>
        <tr r="C46" s="9"/>
      </tp>
      <tp t="s">
        <v/>
        <stp/>
        <stp>Market</stp>
        <stp>STOCK</stp>
        <stp>55410.T</stp>
        <stp>高値</stp>
        <tr r="C20" s="9"/>
        <tr r="H90" s="5"/>
        <tr r="H133" s="4"/>
      </tp>
      <tp t="s">
        <v/>
        <stp/>
        <stp>Market</stp>
        <stp>STOCK</stp>
        <stp>56310.T</stp>
        <stp>高値</stp>
        <tr r="C263" s="9"/>
      </tp>
      <tp t="s">
        <v/>
        <stp/>
        <stp>Market</stp>
        <stp>STOCK</stp>
        <stp>57110.T</stp>
        <stp>高値</stp>
        <tr r="C9" s="9"/>
        <tr r="H130" s="4"/>
        <tr r="H87" s="5"/>
      </tp>
      <tp t="s">
        <v/>
        <stp/>
        <stp>Market</stp>
        <stp>STOCK</stp>
        <stp>58010.T</stp>
        <stp>高値</stp>
        <tr r="H45" s="5"/>
        <tr r="C200" s="9"/>
        <tr r="H127" s="4"/>
      </tp>
      <tp t="s">
        <v/>
        <stp/>
        <stp>Market</stp>
        <stp>STOCK</stp>
        <stp>59010.T</stp>
        <stp>高値</stp>
        <tr r="H120" s="4"/>
        <tr r="C55" s="9"/>
        <tr r="H71" s="5"/>
      </tp>
      <tp t="s">
        <v/>
        <stp/>
        <stp>Market</stp>
        <stp>STOCK</stp>
        <stp>40910.T</stp>
        <stp>高値</stp>
        <tr r="C157" s="9"/>
        <tr r="H152" s="5"/>
        <tr r="H169" s="4"/>
      </tp>
      <tp t="s">
        <v/>
        <stp/>
        <stp>Market</stp>
        <stp>STOCK</stp>
        <stp>46610.T</stp>
        <stp>高値</stp>
        <tr r="H156" s="4"/>
        <tr r="C101" s="9"/>
        <tr r="H103" s="5"/>
      </tp>
    </main>
    <main first="rtdsrv.1affdd1a84884b47aa44e2c617a0fa7a">
      <tp t="s">
        <v/>
        <stp/>
        <stp>Market</stp>
        <stp>STOCK</stp>
        <stp>91010.T</stp>
        <stp>高値</stp>
        <tr r="H164" s="5"/>
        <tr r="C206" s="9"/>
        <tr r="H27" s="4"/>
      </tp>
    </main>
    <main first="rtdsrv.1affdd1a84884b47aa44e2c617a0fa7a">
      <tp t="s">
        <v/>
        <stp/>
        <stp>Market</stp>
        <stp>STOCK</stp>
        <stp>95510.T</stp>
        <stp>高値</stp>
        <tr r="H12" s="4"/>
        <tr r="C167" s="9"/>
        <tr r="H134" s="5"/>
      </tp>
      <tp t="s">
        <v/>
        <stp/>
        <stp>Market</stp>
        <stp>STOCK</stp>
        <stp>95310.T</stp>
        <stp>高値</stp>
        <tr r="C115" s="9"/>
        <tr r="H203" s="5"/>
        <tr r="H15" s="4"/>
      </tp>
      <tp t="s">
        <v/>
        <stp/>
        <stp>Market</stp>
        <stp>STOCK</stp>
        <stp>95010.T</stp>
        <stp>高値</stp>
        <tr r="C114" s="9"/>
        <tr r="H105" s="5"/>
        <tr r="H18" s="4"/>
      </tp>
    </main>
    <main first="rtdsrv.1affdd1a84884b47aa44e2c617a0fa7a">
      <tp t="s">
        <v/>
        <stp/>
        <stp>Market</stp>
        <stp>STOCK</stp>
        <stp>80910.T</stp>
        <stp>高値</stp>
        <tr r="C182" s="9"/>
        <tr r="H57" s="4"/>
        <tr r="H158" s="5"/>
      </tp>
      <tp t="s">
        <v/>
        <stp/>
        <stp>Market</stp>
        <stp>STOCK</stp>
        <stp>81410.T</stp>
        <stp>高値</stp>
        <tr r="C292" s="9"/>
      </tp>
    </main>
    <main first="rtdsrv.1affdd1a84884b47aa44e2c617a0fa7a">
      <tp t="s">
        <v/>
        <stp/>
        <stp>Market</stp>
        <stp>STOCK</stp>
        <stp>82810.T</stp>
        <stp>高値</stp>
        <tr r="H55" s="4"/>
        <tr r="C63" s="9"/>
        <tr r="H179" s="5"/>
      </tp>
      <tp t="s">
        <v/>
        <stp/>
        <stp>Market</stp>
        <stp>STOCK</stp>
        <stp>84110.T</stp>
        <stp>高値</stp>
        <tr r="C19" s="9"/>
        <tr r="H47" s="4"/>
        <tr r="H66" s="5"/>
      </tp>
      <tp t="s">
        <v/>
        <stp/>
        <stp>Market</stp>
        <stp>STOCK</stp>
        <stp>85910.T</stp>
        <stp>高値</stp>
        <tr r="H43" s="4"/>
        <tr r="C26" s="9"/>
        <tr r="H67" s="5"/>
      </tp>
    </main>
    <main first="rtdsrv.1affdd1a84884b47aa44e2c617a0fa7a">
      <tp t="s">
        <v/>
        <stp/>
        <stp>Market</stp>
        <stp>STOCK</stp>
        <stp>86010.T</stp>
        <stp>高値</stp>
        <tr r="H198" s="5"/>
        <tr r="H41" s="4"/>
        <tr r="C33" s="9"/>
      </tp>
      <tp t="s">
        <v/>
        <stp/>
        <stp>Market</stp>
        <stp>STOCK</stp>
        <stp>88710.T</stp>
        <stp>高値</stp>
        <tr r="C278" s="9"/>
      </tp>
      <tp t="s">
        <v/>
        <stp/>
        <stp>Market</stp>
        <stp>STOCK</stp>
        <stp>88010.T</stp>
        <stp>高値</stp>
        <tr r="H129" s="5"/>
        <tr r="C124" s="9"/>
        <tr r="H33" s="4"/>
      </tp>
    </main>
    <main first="rtdsrv.1affdd1a84884b47aa44e2c617a0fa7a">
      <tp t="s">
        <v/>
        <stp/>
        <stp>Market</stp>
        <stp>STOCK</stp>
        <stp>31100.T</stp>
        <stp>高値</stp>
        <tr r="H185" s="4"/>
        <tr r="H109" s="5"/>
        <tr r="C134" s="9"/>
      </tp>
    </main>
    <main first="rtdsrv.1affdd1a84884b47aa44e2c617a0fa7a">
      <tp t="s">
        <v/>
        <stp/>
        <stp>Market</stp>
        <stp>STOCK</stp>
        <stp>21600.T</stp>
        <stp>高値</stp>
        <tr r="H187" s="5"/>
        <tr r="C131" s="9"/>
        <tr r="H195" s="4"/>
      </tp>
    </main>
    <main first="rtdsrv.1affdd1a84884b47aa44e2c617a0fa7a">
      <tp t="s">
        <v/>
        <stp/>
        <stp>Market</stp>
        <stp>STOCK</stp>
        <stp>15700.T</stp>
        <stp>高値</stp>
        <tr r="C222" s="9"/>
      </tp>
      <tp t="s">
        <v/>
        <stp/>
        <stp>Market</stp>
        <stp>STOCK</stp>
        <stp>19300.T</stp>
        <stp>高値</stp>
        <tr r="H201" s="4"/>
        <tr r="H83" s="5"/>
        <tr r="C163" s="9"/>
      </tp>
      <tp t="s">
        <v/>
        <stp/>
        <stp>Market</stp>
        <stp>STOCK</stp>
        <stp>72700.T</stp>
        <stp>高値</stp>
        <tr r="C286" s="9"/>
      </tp>
      <tp t="s">
        <v/>
        <stp/>
        <stp>Market</stp>
        <stp>STOCK</stp>
        <stp>61400.T</stp>
        <stp>高値</stp>
        <tr r="C261" s="9"/>
      </tp>
      <tp t="s">
        <v/>
        <stp/>
        <stp>Market</stp>
        <stp>STOCK</stp>
        <stp>63700.T</stp>
        <stp>高値</stp>
        <tr r="C255" s="9"/>
      </tp>
      <tp t="s">
        <v/>
        <stp/>
        <stp>Market</stp>
        <stp>STOCK</stp>
        <stp>63300.T</stp>
        <stp>高値</stp>
        <tr r="C128" s="9"/>
        <tr r="H186" s="5"/>
        <tr r="H104" s="4"/>
      </tp>
      <tp t="s">
        <v/>
        <stp/>
        <stp>Market</stp>
        <stp>STOCK</stp>
        <stp>67400.T</stp>
        <stp>高値</stp>
        <tr r="C140" s="9"/>
        <tr r="H92" s="4"/>
        <tr r="H189" s="5"/>
      </tp>
      <tp t="s">
        <v/>
        <stp/>
        <stp>Market</stp>
        <stp>STOCK</stp>
        <stp>68900.T</stp>
        <stp>高値</stp>
        <tr r="H33" s="5"/>
        <tr r="H82" s="4"/>
        <tr r="C195" s="9"/>
      </tp>
      <tp t="s">
        <v/>
        <stp/>
        <stp>Market</stp>
        <stp>STOCK</stp>
        <stp>69200.T</stp>
        <stp>高値</stp>
        <tr r="H81" s="4"/>
        <tr r="H84" s="5"/>
        <tr r="C199" s="9"/>
      </tp>
      <tp t="s">
        <v/>
        <stp/>
        <stp>Market</stp>
        <stp>STOCK</stp>
        <stp>50200.T</stp>
        <stp>高値</stp>
        <tr r="C29" s="9"/>
        <tr r="H141" s="5"/>
        <tr r="H147" s="4"/>
      </tp>
      <tp t="s">
        <v/>
        <stp/>
        <stp>Market</stp>
        <stp>STOCK</stp>
        <stp>54400.T</stp>
        <stp>高値</stp>
        <tr r="C180" s="9"/>
        <tr r="H135" s="4"/>
        <tr r="H156" s="5"/>
      </tp>
      <tp t="s">
        <v/>
        <stp/>
        <stp>Market</stp>
        <stp>STOCK</stp>
        <stp>54100.T</stp>
        <stp>高値</stp>
        <tr r="H138" s="4"/>
        <tr r="C179" s="9"/>
        <tr r="H118" s="5"/>
      </tp>
      <tp t="s">
        <v/>
        <stp/>
        <stp>Market</stp>
        <stp>STOCK</stp>
        <stp>45400.T</stp>
        <stp>高値</stp>
        <tr r="H157" s="4"/>
        <tr r="H124" s="5"/>
        <tr r="C64" s="9"/>
      </tp>
      <tp t="s">
        <v/>
        <stp/>
        <stp>Market</stp>
        <stp>STOCK</stp>
        <stp>49800.T</stp>
        <stp>高値</stp>
        <tr r="H149" s="4"/>
        <tr r="C69" s="9"/>
        <tr r="H72" s="5"/>
      </tp>
    </main>
    <main first="rtdsrv.1affdd1a84884b47aa44e2c617a0fa7a">
      <tp t="s">
        <v/>
        <stp/>
        <stp>Market</stp>
        <stp>STOCK</stp>
        <stp>90200.T</stp>
        <stp>高値</stp>
        <tr r="H104" s="5"/>
        <tr r="H30" s="4"/>
        <tr r="C109" s="9"/>
      </tp>
      <tp t="s">
        <v/>
        <stp/>
        <stp>Market</stp>
        <stp>STOCK</stp>
        <stp>98800.T</stp>
        <stp>高値</stp>
        <tr r="C257" s="9"/>
      </tp>
    </main>
    <main first="rtdsrv.1affdd1a84884b47aa44e2c617a0fa7a">
      <tp t="s">
        <v/>
        <stp/>
        <stp>Market</stp>
        <stp>STOCK</stp>
        <stp>85700.T</stp>
        <stp>高値</stp>
        <tr r="H45" s="4"/>
        <tr r="C37" s="9"/>
        <tr r="H94" s="5"/>
      </tp>
      <tp t="s">
        <v/>
        <stp/>
        <stp>Market</stp>
        <stp>STOCK</stp>
        <stp>86300.T</stp>
        <stp>高値</stp>
        <tr r="H39" s="4"/>
        <tr r="H176" s="5"/>
        <tr r="C54" s="9"/>
      </tp>
    </main>
    <main first="rtdsrv.1affdd1a84884b47aa44e2c617a0fa7a">
      <tp t="s">
        <v/>
        <stp/>
        <stp>Market</stp>
        <stp>STOCK</stp>
        <stp>87500.T</stp>
        <stp>高値</stp>
        <tr r="C43" s="9"/>
        <tr r="H36" s="4"/>
        <tr r="H200" s="5"/>
      </tp>
    </main>
    <main first="rtdsrv.1affdd1a84884b47aa44e2c617a0fa7a">
      <tp t="s">
        <v/>
        <stp/>
        <stp>Market</stp>
        <stp>INDEX</stp>
        <stp>TOPX</stp>
        <stp>高値</stp>
        <tr r="C5" s="9"/>
      </tp>
    </main>
    <main first="rtdsrv.1affdd1a84884b47aa44e2c617a0fa7a">
      <tp t="s">
        <v/>
        <stp/>
        <stp>Market</stp>
        <stp>STOCK</stp>
        <stp>31070.T</stp>
        <stp>高値</stp>
        <tr r="C60" s="9"/>
        <tr r="H13" s="5"/>
        <tr r="H186" s="4"/>
      </tp>
      <tp t="s">
        <v/>
        <stp/>
        <stp>Market</stp>
        <stp>STOCK</stp>
        <stp>33970.T</stp>
        <stp>高値</stp>
        <tr r="C285" s="9"/>
      </tp>
    </main>
    <main first="rtdsrv.1affdd1a84884b47aa44e2c617a0fa7a">
      <tp t="s">
        <v/>
        <stp/>
        <stp>Market</stp>
        <stp>STOCK</stp>
        <stp>34070.T</stp>
        <stp>高値</stp>
        <tr r="C94" s="9"/>
        <tr r="H182" s="4"/>
        <tr r="H183" s="5"/>
      </tp>
    </main>
    <main first="rtdsrv.1affdd1a84884b47aa44e2c617a0fa7a">
      <tp t="s">
        <v/>
        <stp/>
        <stp>Market</stp>
        <stp>STOCK</stp>
        <stp>21270.T</stp>
        <stp>高値</stp>
        <tr r="C187" s="9"/>
        <tr r="H196" s="4"/>
        <tr r="H161" s="5"/>
      </tp>
    </main>
    <main first="rtdsrv.1affdd1a84884b47aa44e2c617a0fa7a">
      <tp t="s">
        <v/>
        <stp/>
        <stp>Market</stp>
        <stp>STOCK</stp>
        <stp>22670.T</stp>
        <stp>高値</stp>
        <tr r="C226" s="9"/>
      </tp>
    </main>
    <main first="rtdsrv.1affdd1a84884b47aa44e2c617a0fa7a">
      <tp t="s">
        <v/>
        <stp/>
        <stp>Market</stp>
        <stp>STOCK</stp>
        <stp>23270.T</stp>
        <stp>高値</stp>
        <tr r="H194" s="4"/>
        <tr r="C174" s="9"/>
        <tr r="H154" s="5"/>
      </tp>
    </main>
    <main first="rtdsrv.1affdd1a84884b47aa44e2c617a0fa7a">
      <tp t="s">
        <v/>
        <stp/>
        <stp>Market</stp>
        <stp>STOCK</stp>
        <stp>14070.T</stp>
        <stp>高値</stp>
        <tr r="C217" s="9"/>
      </tp>
      <tp t="s">
        <v/>
        <stp/>
        <stp>Market</stp>
        <stp>STOCK</stp>
        <stp>71670.T</stp>
        <stp>高値</stp>
        <tr r="H101" s="5"/>
        <tr r="C82" s="9"/>
        <tr r="H75" s="4"/>
      </tp>
      <tp t="s">
        <v/>
        <stp/>
        <stp>Market</stp>
        <stp>STOCK</stp>
        <stp>60270.T</stp>
        <stp>高値</stp>
        <tr r="H98" s="5"/>
        <tr r="H116" s="4"/>
        <tr r="C72" s="9"/>
      </tp>
      <tp t="s">
        <v/>
        <stp/>
        <stp>Market</stp>
        <stp>STOCK</stp>
        <stp>62270.T</stp>
        <stp>高値</stp>
        <tr r="H110" s="4"/>
        <tr r="C132" s="9"/>
        <tr r="H108" s="5"/>
      </tp>
      <tp t="s">
        <v/>
        <stp/>
        <stp>Market</stp>
        <stp>STOCK</stp>
        <stp>63270.T</stp>
        <stp>高値</stp>
        <tr r="H105" s="4"/>
        <tr r="H27" s="5"/>
        <tr r="C133" s="9"/>
      </tp>
      <tp t="s">
        <v/>
        <stp/>
        <stp>Market</stp>
        <stp>STOCK</stp>
        <stp>63870.T</stp>
        <stp>高値</stp>
        <tr r="H103" s="4"/>
        <tr r="H62" s="5"/>
        <tr r="C147" s="9"/>
      </tp>
      <tp t="s">
        <v/>
        <stp/>
        <stp>Market</stp>
        <stp>STOCK</stp>
        <stp>64070.T</stp>
        <stp>高値</stp>
        <tr r="C295" s="9"/>
      </tp>
      <tp t="s">
        <v/>
        <stp/>
        <stp>Market</stp>
        <stp>STOCK</stp>
        <stp>65070.T</stp>
        <stp>高値</stp>
        <tr r="H97" s="4"/>
        <tr r="H64" s="5"/>
        <tr r="C183" s="9"/>
      </tp>
      <tp t="s">
        <v/>
        <stp/>
        <stp>Market</stp>
        <stp>STOCK</stp>
        <stp>67770.T</stp>
        <stp>高値</stp>
        <tr r="C144" s="9"/>
        <tr r="H87" s="4"/>
        <tr r="H130" s="5"/>
      </tp>
      <tp t="s">
        <v/>
        <stp/>
        <stp>Market</stp>
        <stp>STOCK</stp>
        <stp>67870.T</stp>
        <stp>高値</stp>
        <tr r="C145" s="9"/>
        <tr r="H86" s="4"/>
        <tr r="H10" s="5"/>
      </tp>
      <tp t="s">
        <v/>
        <stp/>
        <stp>Market</stp>
        <stp>STOCK</stp>
        <stp>68570.T</stp>
        <stp>高値</stp>
        <tr r="C158" s="9"/>
        <tr r="H113" s="5"/>
        <tr r="H83" s="4"/>
      </tp>
      <tp t="s">
        <v/>
        <stp/>
        <stp>Market</stp>
        <stp>STOCK</stp>
        <stp>69970.T</stp>
        <stp>高値</stp>
        <tr r="C272" s="9"/>
      </tp>
      <tp t="s">
        <v/>
        <stp/>
        <stp>Market</stp>
        <stp>STOCK</stp>
        <stp>58570.T</stp>
        <stp>高値</stp>
        <tr r="C62" s="9"/>
        <tr r="H52" s="5"/>
        <tr r="H122" s="4"/>
      </tp>
      <tp t="s">
        <v/>
        <stp/>
        <stp>Market</stp>
        <stp>STOCK</stp>
        <stp>59470.T</stp>
        <stp>高値</stp>
        <tr r="H117" s="4"/>
        <tr r="H96" s="5"/>
        <tr r="C42" s="9"/>
      </tp>
      <tp t="s">
        <v/>
        <stp/>
        <stp>Market</stp>
        <stp>STOCK</stp>
        <stp>40470.T</stp>
        <stp>高値</stp>
        <tr r="C289" s="9"/>
      </tp>
      <tp t="s">
        <v/>
        <stp/>
        <stp>Market</stp>
        <stp>STOCK</stp>
        <stp>43070.T</stp>
        <stp>高値</stp>
        <tr r="H151" s="5"/>
        <tr r="C150" s="9"/>
        <tr r="H166" s="4"/>
      </tp>
      <tp t="s">
        <v/>
        <stp/>
        <stp>Market</stp>
        <stp>STOCK</stp>
        <stp>44170.T</stp>
        <stp>高値</stp>
        <tr r="H112" s="5"/>
        <tr r="H163" s="4"/>
        <tr r="C153" s="9"/>
      </tp>
      <tp t="s">
        <v/>
        <stp/>
        <stp>Market</stp>
        <stp>STOCK</stp>
        <stp>48870.T</stp>
        <stp>高値</stp>
        <tr r="H195" s="5"/>
        <tr r="C192" s="9"/>
        <tr r="H152" s="4"/>
      </tp>
    </main>
    <main first="rtdsrv.1affdd1a84884b47aa44e2c617a0fa7a">
      <tp t="s">
        <v/>
        <stp/>
        <stp>Market</stp>
        <stp>STOCK</stp>
        <stp>92270.T</stp>
        <stp>高値</stp>
        <tr r="C111" s="9"/>
        <tr r="H146" s="5"/>
        <tr r="H25" s="4"/>
      </tp>
      <tp t="s">
        <v/>
        <stp/>
        <stp>Market</stp>
        <stp>STOCK</stp>
        <stp>96870.T</stp>
        <stp>高値</stp>
        <tr r="H11" s="4"/>
        <tr r="H44" s="5"/>
        <tr r="C162" s="9"/>
      </tp>
    </main>
    <main first="rtdsrv.1affdd1a84884b47aa44e2c617a0fa7a">
      <tp t="s">
        <v/>
        <stp/>
        <stp>Market</stp>
        <stp>STOCK</stp>
        <stp>80070.T</stp>
        <stp>高値</stp>
        <tr r="C281" s="9"/>
      </tp>
    </main>
    <main first="rtdsrv.1affdd1a84884b47aa44e2c617a0fa7a">
      <tp t="s">
        <v/>
        <stp/>
        <stp>Market</stp>
        <stp>STOCK</stp>
        <stp>34360.T</stp>
        <stp>高値</stp>
        <tr r="H4" s="5"/>
        <tr r="C28" s="9"/>
        <tr r="H181" s="4"/>
      </tp>
    </main>
    <main first="rtdsrv.1affdd1a84884b47aa44e2c617a0fa7a">
      <tp t="s">
        <v/>
        <stp/>
        <stp>Market</stp>
        <stp>STOCK</stp>
        <stp>36960.T</stp>
        <stp>高値</stp>
        <tr r="C228" s="9"/>
      </tp>
      <tp t="s">
        <v/>
        <stp/>
        <stp>Market</stp>
        <stp>STOCK</stp>
        <stp>39360.T</stp>
        <stp>高値</stp>
        <tr r="C245" s="9"/>
      </tp>
    </main>
    <main first="rtdsrv.1affdd1a84884b47aa44e2c617a0fa7a">
      <tp t="s">
        <v/>
        <stp/>
        <stp>Market</stp>
        <stp>STOCK</stp>
        <stp>23260.T</stp>
        <stp>高値</stp>
        <tr r="C237" s="9"/>
      </tp>
    </main>
    <main first="rtdsrv.1affdd1a84884b47aa44e2c617a0fa7a">
      <tp t="s">
        <v/>
        <stp/>
        <stp>Market</stp>
        <stp>STOCK</stp>
        <stp>72360.T</stp>
        <stp>高値</stp>
        <tr r="C177" s="9"/>
        <tr r="H137" s="5"/>
        <tr r="H72" s="4"/>
      </tp>
      <tp t="s">
        <v/>
        <stp/>
        <stp>Market</stp>
        <stp>STOCK</stp>
        <stp>77460.T</stp>
        <stp>高値</stp>
        <tr r="H67" s="4"/>
        <tr r="C93" s="9"/>
        <tr r="H144" s="5"/>
      </tp>
      <tp t="s">
        <v/>
        <stp/>
        <stp>Market</stp>
        <stp>STOCK</stp>
        <stp>78460.T</stp>
        <stp>高値</stp>
        <tr r="H202" s="5"/>
        <tr r="H64" s="4"/>
        <tr r="C75" s="9"/>
      </tp>
      <tp t="s">
        <v/>
        <stp/>
        <stp>Market</stp>
        <stp>STOCK</stp>
        <stp>78060.T</stp>
        <stp>高値</stp>
        <tr r="C73" s="9"/>
        <tr r="H55" s="5"/>
        <tr r="H65" s="4"/>
      </tp>
      <tp t="s">
        <v/>
        <stp/>
        <stp>Market</stp>
        <stp>STOCK</stp>
        <stp>61460.T</stp>
        <stp>高値</stp>
        <tr r="H113" s="4"/>
        <tr r="H120" s="5"/>
        <tr r="C197" s="9"/>
      </tp>
      <tp t="s">
        <v/>
        <stp/>
        <stp>Market</stp>
        <stp>STOCK</stp>
        <stp>63760.T</stp>
        <stp>高値</stp>
        <tr r="C269" s="9"/>
      </tp>
      <tp t="s">
        <v/>
        <stp/>
        <stp>Market</stp>
        <stp>STOCK</stp>
        <stp>63660.T</stp>
        <stp>高値</stp>
        <tr r="C260" s="9"/>
      </tp>
      <tp t="s">
        <v/>
        <stp/>
        <stp>Market</stp>
        <stp>STOCK</stp>
        <stp>63560.T</stp>
        <stp>高値</stp>
        <tr r="C267" s="9"/>
      </tp>
      <tp t="s">
        <v/>
        <stp/>
        <stp>Market</stp>
        <stp>STOCK</stp>
        <stp>64360.T</stp>
        <stp>高値</stp>
        <tr r="C178" s="9"/>
        <tr r="H155" s="5"/>
        <tr r="H102" s="4"/>
      </tp>
      <tp t="s">
        <v/>
        <stp/>
        <stp>Market</stp>
        <stp>STOCK</stp>
        <stp>65160.T</stp>
        <stp>高値</stp>
        <tr r="H96" s="4"/>
        <tr r="H29" s="5"/>
        <tr r="C151" s="9"/>
      </tp>
      <tp t="s">
        <v/>
        <stp/>
        <stp>Market</stp>
        <stp>STOCK</stp>
        <stp>65060.T</stp>
        <stp>高値</stp>
        <tr r="C201" s="9"/>
        <tr r="H98" s="4"/>
        <tr r="H20" s="5"/>
      </tp>
      <tp t="s">
        <v/>
        <stp/>
        <stp>Market</stp>
        <stp>STOCK</stp>
        <stp>67360.T</stp>
        <stp>高値</stp>
        <tr r="C287" s="9"/>
      </tp>
      <tp t="s">
        <v/>
        <stp/>
        <stp>Market</stp>
        <stp>STOCK</stp>
        <stp>67060.T</stp>
        <stp>高値</stp>
        <tr r="C291" s="9"/>
      </tp>
      <tp t="s">
        <v/>
        <stp/>
        <stp>Market</stp>
        <stp>STOCK</stp>
        <stp>54060.T</stp>
        <stp>高値</stp>
        <tr r="C38" s="9"/>
        <tr r="H95" s="5"/>
        <tr r="H139" s="4"/>
      </tp>
      <tp t="s">
        <v/>
        <stp/>
        <stp>Market</stp>
        <stp>STOCK</stp>
        <stp>57060.T</stp>
        <stp>高値</stp>
        <tr r="H11" s="5"/>
        <tr r="C6" s="9"/>
        <tr r="H131" s="4"/>
      </tp>
      <tp t="s">
        <v/>
        <stp/>
        <stp>Market</stp>
        <stp>STOCK</stp>
        <stp>45360.T</stp>
        <stp>高値</stp>
        <tr r="H125" s="5"/>
        <tr r="H158" s="4"/>
        <tr r="C67" s="9"/>
      </tp>
      <tp t="s">
        <v/>
        <stp/>
        <stp>Market</stp>
        <stp>STOCK</stp>
        <stp>46760.T</stp>
        <stp>高値</stp>
        <tr r="C58" s="9"/>
        <tr r="H177" s="5"/>
        <tr r="H155" s="4"/>
      </tp>
      <tp t="s">
        <v/>
        <stp/>
        <stp>Market</stp>
        <stp>STOCK</stp>
        <stp>47760.T</stp>
        <stp>高値</stp>
        <tr r="C253" s="9"/>
      </tp>
      <tp t="s">
        <v/>
        <stp/>
        <stp>Market</stp>
        <stp>STOCK</stp>
        <stp>49660.T</stp>
        <stp>高値</stp>
        <tr r="C196" s="9"/>
        <tr r="H34" s="5"/>
        <tr r="H150" s="4"/>
      </tp>
    </main>
    <main first="rtdsrv.1affdd1a84884b47aa44e2c617a0fa7a">
      <tp t="s">
        <v/>
        <stp/>
        <stp>Market</stp>
        <stp>STOCK</stp>
        <stp>94160.T</stp>
        <stp>高値</stp>
        <tr r="H107" s="5"/>
        <tr r="H21" s="4"/>
        <tr r="C126" s="9"/>
      </tp>
      <tp t="s">
        <v/>
        <stp/>
        <stp>Market</stp>
        <stp>STOCK</stp>
        <stp>95360.T</stp>
        <stp>高値</stp>
        <tr r="H160" s="5"/>
        <tr r="C185" s="9"/>
        <tr r="H13" s="4"/>
      </tp>
      <tp t="s">
        <v/>
        <stp/>
        <stp>Market</stp>
        <stp>STOCK</stp>
        <stp>95060.T</stp>
        <stp>高値</stp>
        <tr r="H193" s="5"/>
        <tr r="H16" s="4"/>
        <tr r="C186" s="9"/>
      </tp>
      <tp t="s">
        <v/>
        <stp/>
        <stp>Market</stp>
        <stp>STOCK</stp>
        <stp>83160.T</stp>
        <stp>高値</stp>
        <tr r="H50" s="4"/>
        <tr r="C50" s="9"/>
        <tr r="H70" s="5"/>
      </tp>
      <tp t="s">
        <v/>
        <stp/>
        <stp>Market</stp>
        <stp>STOCK</stp>
        <stp>83060.T</stp>
        <stp>高値</stp>
        <tr r="H53" s="4"/>
        <tr r="C45" s="9"/>
        <tr r="H201" s="5"/>
      </tp>
      <tp t="s">
        <v/>
        <stp/>
        <stp>Market</stp>
        <stp>STOCK</stp>
        <stp>87660.T</stp>
        <stp>高値</stp>
        <tr r="H35" s="4"/>
        <tr r="H174" s="5"/>
        <tr r="C52" s="9"/>
      </tp>
    </main>
    <main first="rtdsrv.1affdd1a84884b47aa44e2c617a0fa7a">
      <tp t="s">
        <v/>
        <stp/>
        <stp>Market</stp>
        <stp>STOCK</stp>
        <stp>39050.T</stp>
        <stp>高値</stp>
        <tr r="C284" s="9"/>
      </tp>
    </main>
    <main first="rtdsrv.1affdd1a84884b47aa44e2c617a0fa7a">
      <tp t="s">
        <v/>
        <stp/>
        <stp>Market</stp>
        <stp>STOCK</stp>
        <stp>16050.T</stp>
        <stp>高値</stp>
        <tr r="H206" s="4"/>
        <tr r="C12" s="9"/>
        <tr r="H166" s="5"/>
      </tp>
      <tp t="s">
        <v/>
        <stp/>
        <stp>Market</stp>
        <stp>STOCK</stp>
        <stp>19250.T</stp>
        <stp>高値</stp>
        <tr r="H202" s="4"/>
        <tr r="C83" s="9"/>
        <tr r="H181" s="5"/>
      </tp>
      <tp t="s">
        <v/>
        <stp/>
        <stp>Market</stp>
        <stp>STOCK</stp>
        <stp>73750.T</stp>
        <stp>高値</stp>
        <tr r="H71" s="4"/>
        <tr r="C149" s="9"/>
        <tr r="H190" s="5"/>
      </tp>
      <tp t="s">
        <v/>
        <stp/>
        <stp>Market</stp>
        <stp>STOCK</stp>
        <stp>76850.T</stp>
        <stp>高値</stp>
        <tr r="H69" s="4"/>
        <tr r="H148" s="5"/>
        <tr r="C121" s="9"/>
      </tp>
      <tp t="s">
        <v/>
        <stp/>
        <stp>Market</stp>
        <stp>STOCK</stp>
        <stp>77350.T</stp>
        <stp>高値</stp>
        <tr r="C283" s="9"/>
      </tp>
      <tp t="s">
        <v/>
        <stp/>
        <stp>Market</stp>
        <stp>STOCK</stp>
        <stp>60550.T</stp>
        <stp>高値</stp>
        <tr r="C224" s="9"/>
      </tp>
      <tp t="s">
        <v/>
        <stp/>
        <stp>Market</stp>
        <stp>STOCK</stp>
        <stp>60850.T</stp>
        <stp>高値</stp>
        <tr r="H115" s="4"/>
        <tr r="H150" s="5"/>
        <tr r="C137" s="9"/>
      </tp>
      <tp t="s">
        <v/>
        <stp/>
        <stp>Market</stp>
        <stp>STOCK</stp>
        <stp>61350.T</stp>
        <stp>高値</stp>
        <tr r="C223" s="9"/>
      </tp>
      <tp t="s">
        <v/>
        <stp/>
        <stp>Market</stp>
        <stp>STOCK</stp>
        <stp>63050.T</stp>
        <stp>高値</stp>
        <tr r="H107" s="4"/>
        <tr r="H85" s="5"/>
        <tr r="C203" s="9"/>
      </tp>
      <tp t="s">
        <v/>
        <stp/>
        <stp>Market</stp>
        <stp>STOCK</stp>
        <stp>64850.T</stp>
        <stp>高値</stp>
        <tr r="H6" s="4"/>
        <tr r="H194" s="5"/>
        <tr r="C191" s="9"/>
      </tp>
      <tp t="s">
        <v/>
        <stp/>
        <stp>Market</stp>
        <stp>STOCK</stp>
        <stp>69650.T</stp>
        <stp>高値</stp>
        <tr r="C300" s="9"/>
      </tp>
      <tp t="s">
        <v/>
        <stp/>
        <stp>Market</stp>
        <stp>STOCK</stp>
        <stp>69550.T</stp>
        <stp>高値</stp>
        <tr r="C265" s="9"/>
      </tp>
      <tp t="s">
        <v/>
        <stp/>
        <stp>Market</stp>
        <stp>STOCK</stp>
        <stp>69250.T</stp>
        <stp>高値</stp>
        <tr r="H42" s="5"/>
        <tr r="C105" s="9"/>
        <tr r="H80" s="4"/>
      </tp>
      <tp t="s">
        <v/>
        <stp/>
        <stp>Market</stp>
        <stp>STOCK</stp>
        <stp>40450.T</stp>
        <stp>高値</stp>
        <tr r="C61" s="9"/>
        <tr r="H174" s="4"/>
        <tr r="H178" s="5"/>
      </tp>
    </main>
    <main first="rtdsrv.1affdd1a84884b47aa44e2c617a0fa7a">
      <tp t="s">
        <v/>
        <stp/>
        <stp>Market</stp>
        <stp>STOCK</stp>
        <stp>91650.T</stp>
        <stp>高値</stp>
        <tr r="C243" s="9"/>
      </tp>
      <tp t="s">
        <v/>
        <stp/>
        <stp>Market</stp>
        <stp>STOCK</stp>
        <stp>91150.T</stp>
        <stp>高値</stp>
        <tr r="C270" s="9"/>
      </tp>
      <tp t="s">
        <v/>
        <stp/>
        <stp>Market</stp>
        <stp>STOCK</stp>
        <stp>95050.T</stp>
        <stp>高値</stp>
        <tr r="H17" s="4"/>
        <tr r="C181" s="9"/>
        <tr r="H157" s="5"/>
      </tp>
      <tp t="s">
        <v/>
        <stp/>
        <stp>Market</stp>
        <stp>STOCK</stp>
        <stp>80350.T</stp>
        <stp>高値</stp>
        <tr r="H35" s="5"/>
        <tr r="H60" s="4"/>
        <tr r="C198" s="9"/>
      </tp>
      <tp t="s">
        <v/>
        <stp/>
        <stp>Market</stp>
        <stp>STOCK</stp>
        <stp>80150.T</stp>
        <stp>高値</stp>
        <tr r="H61" s="4"/>
        <tr r="H65" s="5"/>
        <tr r="C204" s="9"/>
      </tp>
      <tp t="s">
        <v/>
        <stp/>
        <stp>Market</stp>
        <stp>STOCK</stp>
        <stp>80050.T</stp>
        <stp>高値</stp>
        <tr r="C236" s="9"/>
      </tp>
    </main>
    <main first="rtdsrv.1affdd1a84884b47aa44e2c617a0fa7a">
      <tp t="s">
        <v/>
        <stp/>
        <stp>Market</stp>
        <stp>STOCK</stp>
        <stp>87250.T</stp>
        <stp>高値</stp>
        <tr r="H37" s="4"/>
        <tr r="C22" s="9"/>
        <tr r="H168" s="5"/>
      </tp>
      <tp t="s">
        <v/>
        <stp/>
        <stp>Market</stp>
        <stp>STOCK</stp>
        <stp>87950.T</stp>
        <stp>高値</stp>
        <tr r="H91" s="5"/>
        <tr r="H34" s="4"/>
        <tr r="C23" s="9"/>
      </tp>
    </main>
    <main first="rtdsrv.1affdd1a84884b47aa44e2c617a0fa7a">
      <tp t="s">
        <v/>
        <stp/>
        <stp>Market</stp>
        <stp>INDEX</stp>
        <stp>DJIA</stp>
        <stp>現在値</stp>
        <tr r="B3" s="17"/>
      </tp>
      <tp t="s">
        <v/>
        <stp/>
        <stp>Market</stp>
        <stp>STOCK</stp>
        <stp>d7</stp>
        <stp>現在値</stp>
        <tr r="H155" s="16"/>
        <tr r="H148" s="16"/>
        <tr r="H134" s="16"/>
        <tr r="H166" s="16"/>
        <tr r="H81" s="16"/>
        <tr r="H62" s="16"/>
        <tr r="H88" s="16"/>
        <tr r="H63" s="16"/>
        <tr r="H178" s="16"/>
        <tr r="H176" s="16"/>
        <tr r="H190" s="16"/>
        <tr r="H80" s="16"/>
        <tr r="H179" s="16"/>
        <tr r="H126" s="16"/>
        <tr r="H96" s="16"/>
        <tr r="H95" s="16"/>
        <tr r="H89" s="16"/>
        <tr r="H121" s="16"/>
        <tr r="H141" s="16"/>
        <tr r="H119" s="16"/>
        <tr r="H170" s="16"/>
        <tr r="H83" s="16"/>
        <tr r="H75" s="16"/>
        <tr r="H105" s="16"/>
        <tr r="H78" s="16"/>
        <tr r="H158" s="16"/>
        <tr r="H150" s="16"/>
        <tr r="H184" s="16"/>
        <tr r="H143" s="16"/>
        <tr r="H162" s="16"/>
        <tr r="H72" s="16"/>
        <tr r="H104" s="16"/>
        <tr r="H76" s="16"/>
        <tr r="H102" s="16"/>
        <tr r="H115" s="16"/>
        <tr r="H165" s="16"/>
        <tr r="H77" s="16"/>
        <tr r="H157" s="16"/>
        <tr r="H152" s="16"/>
        <tr r="H110" s="16"/>
        <tr r="H98" s="16"/>
        <tr r="H167" s="16"/>
        <tr r="H122" s="16"/>
        <tr r="H82" s="16"/>
        <tr r="H168" s="16"/>
        <tr r="H156" s="16"/>
        <tr r="H133" s="16"/>
        <tr r="H94" s="16"/>
        <tr r="H74" s="16"/>
        <tr r="H101" s="16"/>
        <tr r="H183" s="16"/>
        <tr r="H182" s="16"/>
        <tr r="H172" s="16"/>
        <tr r="H186" s="16"/>
        <tr r="H129" s="16"/>
        <tr r="H86" s="16"/>
        <tr r="H124" s="16"/>
        <tr r="H151" s="16"/>
        <tr r="H181" s="16"/>
        <tr r="H90" s="16"/>
        <tr r="H92" s="16"/>
        <tr r="H132" s="16"/>
        <tr r="H154" s="16"/>
        <tr r="H60" s="16"/>
        <tr r="H138" s="16"/>
        <tr r="H108" s="16"/>
        <tr r="H114" s="16"/>
        <tr r="H117" s="16"/>
        <tr r="H164" s="16"/>
        <tr r="H69" s="16"/>
        <tr r="H136" s="16"/>
        <tr r="H159" s="16"/>
        <tr r="H61" s="16"/>
        <tr r="H127" s="16"/>
        <tr r="H130" s="16"/>
        <tr r="H87" s="16"/>
        <tr r="H112" s="16"/>
        <tr r="H116" s="16"/>
        <tr r="H118" s="16"/>
        <tr r="H160" s="16"/>
        <tr r="H153" s="16"/>
        <tr r="H103" s="16"/>
        <tr r="H113" s="16"/>
        <tr r="H147" s="16"/>
        <tr r="H144" s="16"/>
        <tr r="H180" s="16"/>
        <tr r="H177" s="16"/>
        <tr r="H56" s="16"/>
        <tr r="H185" s="16"/>
        <tr r="H131" s="16"/>
        <tr r="H139" s="16"/>
        <tr r="H79" s="16"/>
        <tr r="H55" s="16"/>
        <tr r="H68" s="16"/>
        <tr r="H66" s="16"/>
        <tr r="H106" s="16"/>
        <tr r="H93" s="16"/>
        <tr r="H58" s="16"/>
        <tr r="H173" s="16"/>
        <tr r="H59" s="16"/>
        <tr r="H169" s="16"/>
        <tr r="H145" s="16"/>
        <tr r="H189" s="16"/>
        <tr r="H135" s="16"/>
        <tr r="H100" s="16"/>
        <tr r="H161" s="16"/>
        <tr r="H120" s="16"/>
        <tr r="H175" s="16"/>
        <tr r="H125" s="16"/>
        <tr r="H123" s="16"/>
        <tr r="H64" s="16"/>
        <tr r="H109" s="16"/>
        <tr r="H111" s="16"/>
        <tr r="H65" s="16"/>
        <tr r="H97" s="16"/>
        <tr r="H70" s="16"/>
        <tr r="H140" s="16"/>
        <tr r="H107" s="16"/>
        <tr r="H149" s="16"/>
        <tr r="H91" s="16"/>
        <tr r="H67" s="16"/>
        <tr r="H174" s="16"/>
        <tr r="H71" s="16"/>
        <tr r="H142" s="16"/>
        <tr r="H137" s="16"/>
        <tr r="H128" s="16"/>
        <tr r="H57" s="16"/>
        <tr r="H85" s="16"/>
        <tr r="H146" s="16"/>
        <tr r="H188" s="16"/>
        <tr r="H171" s="16"/>
        <tr r="H84" s="16"/>
        <tr r="H73" s="16"/>
        <tr r="H187" s="16"/>
        <tr r="H99" s="16"/>
        <tr r="H163" s="16"/>
      </tp>
    </main>
    <main first="rtdsrv.1affdd1a84884b47aa44e2c617a0fa7a">
      <tp t="s">
        <v/>
        <stp/>
        <stp>Market</stp>
        <stp>STOCK</stp>
        <stp>38640.T</stp>
        <stp>高値</stp>
        <tr r="C271" s="9"/>
      </tp>
      <tp t="s">
        <v/>
        <stp/>
        <stp>Market</stp>
        <stp>STOCK</stp>
        <stp>38540.T</stp>
        <stp>高値</stp>
        <tr r="H180" s="4"/>
        <tr r="C71" s="9"/>
        <tr r="H54" s="5"/>
      </tp>
      <tp t="s">
        <v/>
        <stp/>
        <stp>Market</stp>
        <stp>STOCK</stp>
        <stp>39840.T</stp>
        <stp>高値</stp>
        <tr r="C239" s="9"/>
      </tp>
    </main>
    <main first="rtdsrv.1affdd1a84884b47aa44e2c617a0fa7a">
      <tp t="s">
        <v/>
        <stp/>
        <stp>Market</stp>
        <stp>STOCK</stp>
        <stp>29140.T</stp>
        <stp>高値</stp>
        <tr r="H189" s="4"/>
        <tr r="C87" s="9"/>
        <tr r="H182" s="5"/>
      </tp>
      <tp t="s">
        <v/>
        <stp/>
        <stp>Market</stp>
        <stp>STOCK</stp>
        <stp>15140.T</stp>
        <stp>高値</stp>
        <tr r="C262" s="9"/>
      </tp>
      <tp t="s">
        <v/>
        <stp/>
        <stp>Market</stp>
        <stp>STOCK</stp>
        <stp>19440.T</stp>
        <stp>高値</stp>
        <tr r="C304" s="9"/>
      </tp>
      <tp t="s">
        <v/>
        <stp/>
        <stp>Market</stp>
        <stp>STOCK</stp>
        <stp>70140.T</stp>
        <stp>高値</stp>
        <tr r="C256" s="9"/>
      </tp>
      <tp t="s">
        <v/>
        <stp/>
        <stp>Market</stp>
        <stp>STOCK</stp>
        <stp>74140.T</stp>
        <stp>高値</stp>
        <tr r="C294" s="9"/>
      </tp>
      <tp t="s">
        <v/>
        <stp/>
        <stp>Market</stp>
        <stp>STOCK</stp>
        <stp>77940.T</stp>
        <stp>高値</stp>
        <tr r="C136" s="9"/>
        <tr r="H66" s="4"/>
        <tr r="H80" s="5"/>
      </tp>
      <tp t="s">
        <v/>
        <stp/>
        <stp>Market</stp>
        <stp>STOCK</stp>
        <stp>61340.T</stp>
        <stp>高値</stp>
        <tr r="H114" s="4"/>
        <tr r="H25" s="5"/>
        <tr r="C92" s="9"/>
      </tp>
      <tp t="s">
        <v/>
        <stp/>
        <stp>Market</stp>
        <stp>STOCK</stp>
        <stp>62540.T</stp>
        <stp>高値</stp>
        <tr r="H5" s="5"/>
        <tr r="H108" s="4"/>
        <tr r="C30" s="9"/>
      </tp>
      <tp t="s">
        <v/>
        <stp/>
        <stp>Market</stp>
        <stp>STOCK</stp>
        <stp>63240.T</stp>
        <stp>高値</stp>
        <tr r="C210" s="9"/>
      </tp>
      <tp t="s">
        <v/>
        <stp/>
        <stp>Market</stp>
        <stp>STOCK</stp>
        <stp>66740.T</stp>
        <stp>高値</stp>
        <tr r="C264" s="9"/>
      </tp>
      <tp t="s">
        <v/>
        <stp/>
        <stp>Market</stp>
        <stp>STOCK</stp>
        <stp>67540.T</stp>
        <stp>高値</stp>
        <tr r="C155" s="9"/>
        <tr r="H89" s="4"/>
        <tr r="H31" s="5"/>
      </tp>
      <tp t="s">
        <v/>
        <stp/>
        <stp>Market</stp>
        <stp>STOCK</stp>
        <stp>67440.T</stp>
        <stp>高値</stp>
        <tr r="C120" s="9"/>
        <tr r="H106" s="5"/>
        <tr r="H91" s="4"/>
      </tp>
      <tp t="s">
        <v/>
        <stp/>
        <stp>Market</stp>
        <stp>STOCK</stp>
        <stp>69540.T</stp>
        <stp>高値</stp>
        <tr r="C78" s="9"/>
        <tr r="H16" s="5"/>
        <tr r="H79" s="4"/>
      </tp>
      <tp t="s">
        <v/>
        <stp/>
        <stp>Market</stp>
        <stp>STOCK</stp>
        <stp>57140.T</stp>
        <stp>高値</stp>
        <tr r="H47" s="5"/>
        <tr r="H128" s="4"/>
        <tr r="C10" s="9"/>
      </tp>
      <tp t="s">
        <v/>
        <stp/>
        <stp>Market</stp>
        <stp>STOCK</stp>
        <stp>58440.T</stp>
        <stp>高値</stp>
        <tr r="H123" s="4"/>
        <tr r="C118" s="9"/>
        <tr r="H61" s="5"/>
      </tp>
      <tp t="s">
        <v/>
        <stp/>
        <stp>Market</stp>
        <stp>STOCK</stp>
        <stp>40040.T</stp>
        <stp>高値</stp>
        <tr r="C213" s="9"/>
      </tp>
      <tp t="s">
        <v/>
        <stp/>
        <stp>Market</stp>
        <stp>STOCK</stp>
        <stp>45440.T</stp>
        <stp>高値</stp>
        <tr r="C273" s="9"/>
      </tp>
      <tp t="s">
        <v/>
        <stp/>
        <stp>Market</stp>
        <stp>STOCK</stp>
        <stp>47040.T</stp>
        <stp>高値</stp>
        <tr r="C254" s="9"/>
      </tp>
    </main>
    <main first="rtdsrv.1affdd1a84884b47aa44e2c617a0fa7a">
      <tp t="s">
        <v/>
        <stp/>
        <stp>Market</stp>
        <stp>STOCK</stp>
        <stp>90640.T</stp>
        <stp>高値</stp>
        <tr r="H4" s="4"/>
        <tr r="C189" s="9"/>
        <tr r="H163" s="5"/>
      </tp>
    </main>
    <main first="rtdsrv.1affdd1a84884b47aa44e2c617a0fa7a">
      <tp t="s">
        <v/>
        <stp/>
        <stp>Market</stp>
        <stp>STOCK</stp>
        <stp>91040.T</stp>
        <stp>高値</stp>
        <tr r="C259" s="9"/>
      </tp>
    </main>
    <main first="rtdsrv.1affdd1a84884b47aa44e2c617a0fa7a">
      <tp t="s">
        <v/>
        <stp/>
        <stp>Market</stp>
        <stp>STOCK</stp>
        <stp>94240.T</stp>
        <stp>高値</stp>
        <tr r="C70" s="9"/>
        <tr r="H15" s="5"/>
        <tr r="H20" s="4"/>
      </tp>
      <tp t="s">
        <v/>
        <stp/>
        <stp>Market</stp>
        <stp>STOCK</stp>
        <stp>94040.T</stp>
        <stp>高値</stp>
        <tr r="H78" s="5"/>
        <tr r="H23" s="4"/>
        <tr r="C119" s="9"/>
      </tp>
      <tp t="s">
        <v/>
        <stp/>
        <stp>Market</stp>
        <stp>STOCK</stp>
        <stp>99840.T</stp>
        <stp>高値</stp>
        <tr r="H53" s="5"/>
        <tr r="H8" s="4"/>
        <tr r="C65" s="9"/>
      </tp>
    </main>
    <main first="rtdsrv.1affdd1a84884b47aa44e2c617a0fa7a">
      <tp t="s">
        <v/>
        <stp/>
        <stp>Market</stp>
        <stp>STOCK</stp>
        <stp>83440.T</stp>
        <stp>高値</stp>
        <tr r="C293" s="9"/>
      </tp>
      <tp t="s">
        <v/>
        <stp/>
        <stp>Market</stp>
        <stp>STOCK</stp>
        <stp>83340.T</stp>
        <stp>高値</stp>
        <tr r="C122" s="9"/>
        <tr r="H204" s="5"/>
        <tr r="H49" s="4"/>
      </tp>
      <tp t="s">
        <v/>
        <stp/>
        <stp>Market</stp>
        <stp>STOCK</stp>
        <stp>84240.T</stp>
        <stp>高値</stp>
        <tr r="H185" s="5"/>
        <tr r="C108" s="9"/>
        <tr r="H46" s="4"/>
      </tp>
    </main>
    <main first="rtdsrv.1affdd1a84884b47aa44e2c617a0fa7a">
      <tp t="s">
        <v/>
        <stp/>
        <stp>Market</stp>
        <stp>STOCK</stp>
        <stp>86040.T</stp>
        <stp>高値</stp>
        <tr r="C40" s="9"/>
        <tr r="H40" s="4"/>
        <tr r="H199" s="5"/>
      </tp>
      <tp t="s">
        <v/>
        <stp/>
        <stp>Market</stp>
        <stp>STOCK</stp>
        <stp>87040.T</stp>
        <stp>高値</stp>
        <tr r="H19" s="5"/>
        <tr r="H38" s="4"/>
        <tr r="C164" s="9"/>
      </tp>
      <tp t="s">
        <v/>
        <stp/>
        <stp>Market</stp>
        <stp>STOCK</stp>
        <stp>89340.T</stp>
        <stp>高値</stp>
        <tr r="H31" s="4"/>
        <tr r="C125" s="9"/>
        <tr r="H149" s="5"/>
      </tp>
    </main>
    <main first="rtdsrv.1affdd1a84884b47aa44e2c617a0fa7a">
      <tp t="s">
        <v/>
        <stp/>
        <stp>Market</stp>
        <stp>INDEX</stp>
        <stp>N225.FUT01.OS</stp>
        <stp>前日比率</stp>
        <tr r="H5" s="1"/>
      </tp>
      <tp t="s">
        <v/>
        <stp/>
        <stp>Market</stp>
        <stp>STOCK</stp>
        <stp/>
        <stp>市場部名称</stp>
        <tr r="C5" s="14"/>
      </tp>
    </main>
    <main first="rtdsrv.1affdd1a84884b47aa44e2c617a0fa7a">
      <tp t="s">
        <v/>
        <stp/>
        <stp>Market</stp>
        <stp>STOCK</stp>
        <stp>49800.T</stp>
        <stp>年初来高値</stp>
        <tr r="K149" s="4"/>
        <tr r="K72" s="5"/>
      </tp>
      <tp t="s">
        <v/>
        <stp/>
        <stp>Market</stp>
        <stp>STOCK</stp>
        <stp>82810.T</stp>
        <stp>年初来高値</stp>
        <tr r="K179" s="5"/>
        <tr r="K55" s="4"/>
      </tp>
      <tp t="s">
        <v/>
        <stp/>
        <stp>Market</stp>
        <stp>STOCK</stp>
        <stp>79810.T</stp>
        <stp>年初来高値</stp>
        <tr r="K63" s="4"/>
        <tr r="K116" s="5"/>
      </tp>
      <tp t="s">
        <v/>
        <stp/>
        <stp>Market</stp>
        <stp>STOCK</stp>
        <stp>73810.T</stp>
        <stp>年初来高値</stp>
        <tr r="K63" s="5"/>
        <tr r="K70" s="4"/>
      </tp>
      <tp t="s">
        <v/>
        <stp/>
        <stp>Market</stp>
        <stp>STOCK</stp>
        <stp>71810.T</stp>
        <stp>年初来高値</stp>
        <tr r="K119" s="5"/>
        <tr r="K5" s="4"/>
      </tp>
      <tp t="s">
        <v/>
        <stp/>
        <stp>Market</stp>
        <stp>STOCK</stp>
        <stp>69810.T</stp>
        <stp>年初来高値</stp>
        <tr r="K78" s="4"/>
        <tr r="K30" s="5"/>
      </tp>
      <tp t="s">
        <v/>
        <stp/>
        <stp>Market</stp>
        <stp>STOCK</stp>
        <stp>98820.T</stp>
        <stp>年初来高値</stp>
        <tr r="K128" s="5"/>
        <tr r="K9" s="4"/>
      </tp>
      <tp t="s">
        <v/>
        <stp/>
        <stp>Market</stp>
        <stp>STOCK</stp>
        <stp>43820.T</stp>
        <stp>年初来高値</stp>
        <tr r="K192" s="5"/>
        <tr r="K164" s="4"/>
      </tp>
      <tp t="s">
        <v/>
        <stp/>
        <stp>Market</stp>
        <stp>STOCK</stp>
        <stp>40820.T</stp>
        <stp>年初来高値</stp>
        <tr r="K9" s="5"/>
        <tr r="K171" s="4"/>
      </tp>
      <tp t="s">
        <v/>
        <stp/>
        <stp>Market</stp>
        <stp>STOCK</stp>
        <stp>41820.T</stp>
        <stp>年初来高値</stp>
        <tr r="K168" s="4"/>
        <tr r="K75" s="5"/>
      </tp>
      <tp t="s">
        <v/>
        <stp/>
        <stp>Market</stp>
        <stp>STOCK</stp>
        <stp>71820.T</stp>
        <stp>年初来高値</stp>
        <tr r="K102" s="5"/>
        <tr r="K74" s="4"/>
      </tp>
      <tp t="s">
        <v/>
        <stp/>
        <stp>Market</stp>
        <stp>STOCK</stp>
        <stp>99840.T</stp>
        <stp>年初来高値</stp>
        <tr r="K53" s="5"/>
        <tr r="K8" s="4"/>
      </tp>
      <tp t="s">
        <v/>
        <stp/>
        <stp>Market</stp>
        <stp>STOCK</stp>
        <stp>76850.T</stp>
        <stp>年初来高値</stp>
        <tr r="K69" s="4"/>
        <tr r="K148" s="5"/>
      </tp>
      <tp t="s">
        <v/>
        <stp/>
        <stp>Market</stp>
        <stp>STOCK</stp>
        <stp>64850.T</stp>
        <stp>年初来高値</stp>
        <tr r="K6" s="4"/>
        <tr r="K194" s="5"/>
      </tp>
      <tp t="s">
        <v/>
        <stp/>
        <stp>Market</stp>
        <stp>STOCK</stp>
        <stp>60850.T</stp>
        <stp>年初来高値</stp>
        <tr r="K115" s="4"/>
        <tr r="K150" s="5"/>
      </tp>
      <tp t="s">
        <v/>
        <stp/>
        <stp>Market</stp>
        <stp>STOCK</stp>
        <stp>96870.T</stp>
        <stp>年初来高値</stp>
        <tr r="K44" s="5"/>
        <tr r="K11" s="4"/>
      </tp>
      <tp t="s">
        <v/>
        <stp/>
        <stp>Market</stp>
        <stp>STOCK</stp>
        <stp>48870.T</stp>
        <stp>年初来高値</stp>
        <tr r="K195" s="5"/>
        <tr r="K152" s="4"/>
      </tp>
      <tp t="s">
        <v/>
        <stp/>
        <stp>Market</stp>
        <stp>STOCK</stp>
        <stp>67870.T</stp>
        <stp>年初来高値</stp>
        <tr r="K86" s="4"/>
        <tr r="K10" s="5"/>
      </tp>
      <tp t="s">
        <v/>
        <stp/>
        <stp>Market</stp>
        <stp>STOCK</stp>
        <stp>63870.T</stp>
        <stp>年初来高値</stp>
        <tr r="K103" s="4"/>
        <tr r="K62" s="5"/>
      </tp>
      <tp t="s">
        <v/>
        <stp/>
        <stp>Market</stp>
        <stp>STOCK</stp>
        <stp>48880.T</stp>
        <stp>年初来高値</stp>
        <tr r="K131" s="5"/>
        <tr r="K151" s="4"/>
      </tp>
      <tp t="s">
        <v/>
        <stp/>
        <stp>Market</stp>
        <stp>STOCK</stp>
        <stp>40880.T</stp>
        <stp>年初来高値</stp>
        <tr r="K132" s="5"/>
        <tr r="K170" s="4"/>
      </tp>
      <tp t="s">
        <v/>
        <stp/>
        <stp>Market</stp>
        <stp>STOCK</stp>
        <stp>41880.T</stp>
        <stp>年初来高値</stp>
        <tr r="K145" s="5"/>
        <tr r="K167" s="4"/>
      </tp>
    </main>
    <main first="rtdsrv.1affdd1a84884b47aa44e2c617a0fa7a">
      <tp t="s">
        <v/>
        <stp/>
        <stp>Market</stp>
        <stp>STOCK</stp>
        <stp>68900.T</stp>
        <stp>年初来高値</stp>
        <tr r="K33" s="5"/>
        <tr r="K82" s="4"/>
      </tp>
      <tp t="s">
        <v/>
        <stp/>
        <stp>Market</stp>
        <stp>STOCK</stp>
        <stp>85910.T</stp>
        <stp>年初来高値</stp>
        <tr r="K67" s="5"/>
        <tr r="K43" s="4"/>
      </tp>
      <tp t="s">
        <v/>
        <stp/>
        <stp>Market</stp>
        <stp>STOCK</stp>
        <stp>80910.T</stp>
        <stp>年初来高値</stp>
        <tr r="K57" s="4"/>
        <tr r="K158" s="5"/>
      </tp>
      <tp t="s">
        <v/>
        <stp/>
        <stp>Market</stp>
        <stp>STOCK</stp>
        <stp>38910.T</stp>
        <stp>年初来高値</stp>
        <tr r="K177" s="4"/>
        <tr r="K43" s="5"/>
      </tp>
      <tp t="s">
        <v/>
        <stp/>
        <stp>Market</stp>
        <stp>STOCK</stp>
        <stp>40910.T</stp>
        <stp>年初来高値</stp>
        <tr r="K169" s="4"/>
        <tr r="K152" s="5"/>
      </tp>
      <tp t="s">
        <v/>
        <stp/>
        <stp>Market</stp>
        <stp>STOCK</stp>
        <stp>88920.T</stp>
        <stp>年初来高値</stp>
        <tr r="K32" s="4"/>
        <tr r="K114" s="5"/>
      </tp>
      <tp t="s">
        <v/>
        <stp/>
        <stp>Market</stp>
        <stp>STOCK</stp>
        <stp>58920.T</stp>
        <stp>年初来高値</stp>
        <tr r="K74" s="5"/>
        <tr r="K121" s="4"/>
      </tp>
      <tp t="s">
        <v/>
        <stp/>
        <stp>Market</stp>
        <stp>STOCK</stp>
        <stp>85930.T</stp>
        <stp>年初来高値</stp>
        <tr r="K171" s="5"/>
        <tr r="K42" s="4"/>
      </tp>
      <tp t="s">
        <v/>
        <stp/>
        <stp>Market</stp>
        <stp>STOCK</stp>
        <stp>77940.T</stp>
        <stp>年初来高値</stp>
        <tr r="K80" s="5"/>
        <tr r="K66" s="4"/>
      </tp>
      <tp t="s">
        <v/>
        <stp/>
        <stp>Market</stp>
        <stp>STOCK</stp>
        <stp>87950.T</stp>
        <stp>年初来高値</stp>
        <tr r="K34" s="4"/>
        <tr r="K91" s="5"/>
      </tp>
    </main>
    <main first="rtdsrv.1affdd1a84884b47aa44e2c617a0fa7a">
      <tp t="s">
        <v/>
        <stp/>
        <stp>Market</stp>
        <stp>STOCK</stp>
        <stp>TOPX0.T</stp>
        <stp>出来高</stp>
        <tr r="J36" s="5"/>
        <tr r="J3" s="4"/>
      </tp>
      <tp t="s">
        <v/>
        <stp/>
        <stp>Market</stp>
        <stp>STOCK</stp>
        <stp/>
        <stp>銘柄名称</stp>
        <tr r="C424" s="1"/>
        <tr r="C356" s="1"/>
        <tr r="C345" s="1"/>
        <tr r="C459" s="1"/>
        <tr r="C395" s="1"/>
        <tr r="C335" s="1"/>
        <tr r="C376" s="1"/>
        <tr r="C324" s="1"/>
        <tr r="C353" s="1"/>
        <tr r="C468" s="1"/>
        <tr r="C311" s="1"/>
        <tr r="C327" s="1"/>
        <tr r="C368" s="1"/>
        <tr r="C371" s="1"/>
        <tr r="C317" s="1"/>
        <tr r="C380" s="1"/>
        <tr r="C367" s="1"/>
        <tr r="C365" s="1"/>
        <tr r="C409" s="1"/>
        <tr r="C348" s="1"/>
        <tr r="C486" s="1"/>
        <tr r="C430" s="1"/>
        <tr r="C387" s="1"/>
        <tr r="C325" s="1"/>
        <tr r="C397" s="1"/>
        <tr r="C333" s="1"/>
        <tr r="C344" s="1"/>
        <tr r="C445" s="1"/>
        <tr r="C467" s="1"/>
        <tr r="C341" s="1"/>
        <tr r="C503" s="1"/>
        <tr r="C502" s="1"/>
        <tr r="C316" s="1"/>
        <tr r="C358" s="1"/>
        <tr r="C308" s="1"/>
        <tr r="C470" s="1"/>
        <tr r="C385" s="1"/>
        <tr r="C310" s="1"/>
        <tr r="C426" s="1"/>
        <tr r="C425" s="1"/>
        <tr r="C312" s="1"/>
        <tr r="C416" s="1"/>
        <tr r="C481" s="1"/>
        <tr r="C338" s="1"/>
        <tr r="C408" s="1"/>
        <tr r="C366" s="1"/>
        <tr r="C443" s="1"/>
        <tr r="C471" s="1"/>
        <tr r="C500" s="1"/>
        <tr r="C450" s="1"/>
        <tr r="C412" s="1"/>
        <tr r="C440" s="1"/>
        <tr r="C410" s="1"/>
        <tr r="C309" s="1"/>
        <tr r="C456" s="1"/>
        <tr r="C462" s="1"/>
        <tr r="C362" s="1"/>
        <tr r="C306" s="1"/>
        <tr r="C315" s="1"/>
        <tr r="C460" s="1"/>
        <tr r="C499" s="1"/>
        <tr r="C343" s="1"/>
        <tr r="C372" s="1"/>
        <tr r="C389" s="1"/>
        <tr r="C487" s="1"/>
        <tr r="C382" s="1"/>
        <tr r="C392" s="1"/>
        <tr r="C418" s="1"/>
        <tr r="C442" s="1"/>
        <tr r="C417" s="1"/>
        <tr r="C337" s="1"/>
        <tr r="C422" s="1"/>
        <tr r="C490" s="1"/>
        <tr r="C330" s="1"/>
        <tr r="C402" s="1"/>
        <tr r="C359" s="1"/>
        <tr r="C357" s="1"/>
        <tr r="C347" s="1"/>
        <tr r="C394" s="1"/>
        <tr r="C449" s="1"/>
        <tr r="C401" s="1"/>
        <tr r="C493" s="1"/>
        <tr r="C434" s="1"/>
        <tr r="C491" s="1"/>
        <tr r="C419" s="1"/>
        <tr r="C407" s="1"/>
        <tr r="C480" s="1"/>
        <tr r="C396" s="1"/>
        <tr r="C504" s="1"/>
        <tr r="C322" s="1"/>
        <tr r="C444" s="1"/>
        <tr r="C398" s="1"/>
        <tr r="C332" s="1"/>
        <tr r="C463" s="1"/>
        <tr r="C307" s="1"/>
        <tr r="C373" s="1"/>
        <tr r="C360" s="1"/>
        <tr r="C447" s="1"/>
        <tr r="C420" s="1"/>
        <tr r="C355" s="1"/>
        <tr r="C386" s="1"/>
        <tr r="C473" s="1"/>
        <tr r="C370" s="1"/>
        <tr r="C388" s="1"/>
        <tr r="C479" s="1"/>
        <tr r="C381" s="1"/>
        <tr r="C329" s="1"/>
        <tr r="C320" s="1"/>
        <tr r="C354" s="1"/>
        <tr r="C448" s="1"/>
        <tr r="C403" s="1"/>
        <tr r="C363" s="1"/>
        <tr r="C427" s="1"/>
        <tr r="C393" s="1"/>
        <tr r="C383" s="1"/>
        <tr r="C334" s="1"/>
        <tr r="C361" s="1"/>
        <tr r="C465" s="1"/>
        <tr r="C328" s="1"/>
        <tr r="C314" s="1"/>
        <tr r="C464" s="1"/>
        <tr r="C501" s="1"/>
        <tr r="C466" s="1"/>
        <tr r="C369" s="1"/>
        <tr r="C413" s="1"/>
        <tr r="C326" s="1"/>
        <tr r="C454" s="1"/>
        <tr r="C384" s="1"/>
        <tr r="C505" s="1"/>
        <tr r="C431" s="1"/>
        <tr r="C411" s="1"/>
        <tr r="C458" s="1"/>
        <tr r="C4" s="14"/>
        <tr r="C438" s="1"/>
        <tr r="C476" s="1"/>
        <tr r="C497" s="1"/>
        <tr r="C477" s="1"/>
        <tr r="C349" s="1"/>
        <tr r="C492" s="1"/>
        <tr r="C331" s="1"/>
        <tr r="C455" s="1"/>
        <tr r="C374" s="1"/>
        <tr r="C390" s="1"/>
        <tr r="C483" s="1"/>
        <tr r="C378" s="1"/>
        <tr r="C375" s="1"/>
        <tr r="C391" s="1"/>
        <tr r="C350" s="1"/>
        <tr r="C400" s="1"/>
        <tr r="C339" s="1"/>
        <tr r="C336" s="1"/>
        <tr r="C364" s="1"/>
        <tr r="C405" s="1"/>
        <tr r="C489" s="1"/>
        <tr r="C379" s="1"/>
        <tr r="C498" s="1"/>
        <tr r="C496" s="1"/>
        <tr r="C377" s="1"/>
        <tr r="C485" s="1"/>
        <tr r="C399" s="1"/>
        <tr r="C436" s="1"/>
        <tr r="C457" s="1"/>
        <tr r="C423" s="1"/>
        <tr r="C435" s="1"/>
        <tr r="C342" s="1"/>
        <tr r="C313" s="1"/>
        <tr r="C352" s="1"/>
        <tr r="C474" s="1"/>
        <tr r="C495" s="1"/>
        <tr r="C346" s="1"/>
        <tr r="C433" s="1"/>
        <tr r="C439" s="1"/>
        <tr r="C482" s="1"/>
        <tr r="C475" s="1"/>
        <tr r="C437" s="1"/>
        <tr r="C484" s="1"/>
        <tr r="C321" s="1"/>
        <tr r="C318" s="1"/>
        <tr r="C319" s="1"/>
        <tr r="C428" s="1"/>
        <tr r="C446" s="1"/>
        <tr r="C472" s="1"/>
        <tr r="C351" s="1"/>
        <tr r="C340" s="1"/>
        <tr r="C415" s="1"/>
        <tr r="C421" s="1"/>
        <tr r="C453" s="1"/>
        <tr r="C323" s="1"/>
        <tr r="C406" s="1"/>
        <tr r="C404" s="1"/>
        <tr r="C469" s="1"/>
        <tr r="C451" s="1"/>
        <tr r="C429" s="1"/>
        <tr r="C432" s="1"/>
        <tr r="C461" s="1"/>
        <tr r="C414" s="1"/>
        <tr r="C441" s="1"/>
        <tr r="C478" s="1"/>
        <tr r="C488" s="1"/>
        <tr r="C452" s="1"/>
        <tr r="C494" s="1"/>
        <tr r="D30" s="16"/>
        <tr r="D41" s="16"/>
        <tr r="D27" s="16"/>
        <tr r="D28" s="16"/>
        <tr r="D32" s="16"/>
        <tr r="D26" s="16"/>
        <tr r="D34" s="16"/>
        <tr r="D40" s="16"/>
        <tr r="D23" s="16"/>
        <tr r="D35" s="16"/>
        <tr r="D39" s="16"/>
        <tr r="D29" s="16"/>
        <tr r="D42" s="16"/>
        <tr r="D31" s="16"/>
        <tr r="D24" s="16"/>
        <tr r="D33" s="16"/>
        <tr r="D25" s="16"/>
        <tr r="D38" s="16"/>
        <tr r="D37" s="16"/>
        <tr r="D36" s="16"/>
      </tp>
    </main>
    <main first="rtdsrv.1affdd1a84884b47aa44e2c617a0fa7a">
      <tp t="s">
        <v/>
        <stp/>
        <stp>Market</stp>
        <stp>STOCK</stp>
        <stp>95010.T</stp>
        <stp>年初来高値</stp>
        <tr r="K105" s="5"/>
        <tr r="K18" s="4"/>
      </tp>
      <tp t="s">
        <v/>
        <stp/>
        <stp>Market</stp>
        <stp>STOCK</stp>
        <stp>91010.T</stp>
        <stp>年初来高値</stp>
        <tr r="K27" s="4"/>
        <tr r="K164" s="5"/>
      </tp>
      <tp t="s">
        <v/>
        <stp/>
        <stp>Market</stp>
        <stp>STOCK</stp>
        <stp>88010.T</stp>
        <stp>年初来高値</stp>
        <tr r="K129" s="5"/>
        <tr r="K33" s="4"/>
      </tp>
      <tp t="s">
        <v/>
        <stp/>
        <stp>Market</stp>
        <stp>STOCK</stp>
        <stp>86010.T</stp>
        <stp>年初来高値</stp>
        <tr r="K41" s="4"/>
        <tr r="K198" s="5"/>
      </tp>
      <tp t="s">
        <v/>
        <stp/>
        <stp>Market</stp>
        <stp>STOCK</stp>
        <stp>34010.T</stp>
        <stp>年初来高値</stp>
        <tr r="K184" s="4"/>
        <tr r="K169" s="5"/>
      </tp>
      <tp t="s">
        <v/>
        <stp/>
        <stp>Market</stp>
        <stp>STOCK</stp>
        <stp>58010.T</stp>
        <stp>年初来高値</stp>
        <tr r="K127" s="4"/>
        <tr r="K45" s="5"/>
      </tp>
      <tp t="s">
        <v/>
        <stp/>
        <stp>Market</stp>
        <stp>STOCK</stp>
        <stp>59010.T</stp>
        <stp>年初来高値</stp>
        <tr r="K120" s="4"/>
        <tr r="K71" s="5"/>
      </tp>
      <tp t="s">
        <v/>
        <stp/>
        <stp>Market</stp>
        <stp>STOCK</stp>
        <stp>54010.T</stp>
        <stp>年初来高値</stp>
        <tr r="K140" s="4"/>
        <tr r="K173" s="5"/>
      </tp>
      <tp t="s">
        <v/>
        <stp/>
        <stp>Market</stp>
        <stp>STOCK</stp>
        <stp>52010.T</stp>
        <stp>年初来高値</stp>
        <tr r="K145" s="4"/>
        <tr r="K175" s="5"/>
      </tp>
      <tp t="s">
        <v/>
        <stp/>
        <stp>Market</stp>
        <stp>STOCK</stp>
        <stp>67010.T</stp>
        <stp>年初来高値</stp>
        <tr r="K139" s="5"/>
        <tr r="K93" s="4"/>
      </tp>
      <tp t="s">
        <v/>
        <stp/>
        <stp>Market</stp>
        <stp>STOCK</stp>
        <stp>65010.T</stp>
        <stp>年初来高値</stp>
        <tr r="K100" s="4"/>
        <tr r="K126" s="5"/>
      </tp>
      <tp t="s">
        <v/>
        <stp/>
        <stp>Market</stp>
        <stp>STOCK</stp>
        <stp>92020.T</stp>
        <stp>年初来高値</stp>
        <tr r="K26" s="4"/>
        <tr r="K99" s="5"/>
      </tp>
      <tp t="s">
        <v/>
        <stp/>
        <stp>Market</stp>
        <stp>STOCK</stp>
        <stp>80020.T</stp>
        <stp>年初来高値</stp>
        <tr r="K167" s="5"/>
        <tr r="K62" s="4"/>
      </tp>
      <tp t="s">
        <v/>
        <stp/>
        <stp>Market</stp>
        <stp>STOCK</stp>
        <stp>34020.T</stp>
        <stp>年初来高値</stp>
        <tr r="K172" s="5"/>
        <tr r="K183" s="4"/>
      </tp>
      <tp t="s">
        <v/>
        <stp/>
        <stp>Market</stp>
        <stp>STOCK</stp>
        <stp>28020.T</stp>
        <stp>年初来高値</stp>
        <tr r="K190" s="4"/>
        <tr r="K23" s="5"/>
      </tp>
      <tp t="s">
        <v/>
        <stp/>
        <stp>Market</stp>
        <stp>STOCK</stp>
        <stp>27020.T</stp>
        <stp>年初来高値</stp>
        <tr r="K192" s="4"/>
        <tr r="K196" s="5"/>
      </tp>
      <tp t="s">
        <v/>
        <stp/>
        <stp>Market</stp>
        <stp>STOCK</stp>
        <stp>58020.T</stp>
        <stp>年初来高値</stp>
        <tr r="K57" s="5"/>
        <tr r="K126" s="4"/>
      </tp>
      <tp t="s">
        <v/>
        <stp/>
        <stp>Market</stp>
        <stp>STOCK</stp>
        <stp>83030.T</stp>
        <stp>年初来高値</stp>
        <tr r="K54" s="4"/>
        <tr r="K191" s="5"/>
      </tp>
      <tp t="s">
        <v/>
        <stp/>
        <stp>Market</stp>
        <stp>STOCK</stp>
        <stp>81030.T</stp>
        <stp>年初来高値</stp>
        <tr r="K136" s="5"/>
        <tr r="K56" s="4"/>
      </tp>
      <tp t="s">
        <v/>
        <stp/>
        <stp>Market</stp>
        <stp>STOCK</stp>
        <stp>30030.T</stp>
        <stp>年初来高値</stp>
        <tr r="K143" s="5"/>
        <tr r="K188" s="4"/>
      </tp>
      <tp t="s">
        <v/>
        <stp/>
        <stp>Market</stp>
        <stp>STOCK</stp>
        <stp>31030.T</stp>
        <stp>年初来高値</stp>
        <tr r="K187" s="4"/>
        <tr r="K81" s="5"/>
      </tp>
      <tp t="s">
        <v/>
        <stp/>
        <stp>Market</stp>
        <stp>STOCK</stp>
        <stp>58030.T</stp>
        <stp>年初来高値</stp>
        <tr r="K58" s="5"/>
        <tr r="K125" s="4"/>
      </tp>
      <tp t="s">
        <v/>
        <stp/>
        <stp>Market</stp>
        <stp>STOCK</stp>
        <stp>57030.T</stp>
        <stp>年初来高値</stp>
        <tr r="K132" s="4"/>
        <tr r="K48" s="5"/>
      </tp>
      <tp t="s">
        <v/>
        <stp/>
        <stp>Market</stp>
        <stp>STOCK</stp>
        <stp>72030.T</stp>
        <stp>年初来高値</stp>
        <tr r="K73" s="4"/>
        <tr r="K73" s="5"/>
      </tp>
      <tp t="s">
        <v/>
        <stp/>
        <stp>Market</stp>
        <stp>STOCK</stp>
        <stp>65030.T</stp>
        <stp>年初来高値</stp>
        <tr r="K99" s="4"/>
        <tr r="K39" s="5"/>
      </tp>
      <tp t="s">
        <v/>
        <stp/>
        <stp>Market</stp>
        <stp>STOCK</stp>
        <stp>62030.T</stp>
        <stp>年初来高値</stp>
        <tr r="K111" s="4"/>
        <tr r="K50" s="5"/>
      </tp>
      <tp t="s">
        <v/>
        <stp/>
        <stp>Market</stp>
        <stp>STOCK</stp>
        <stp>94040.T</stp>
        <stp>年初来高値</stp>
        <tr r="K23" s="4"/>
        <tr r="K78" s="5"/>
      </tp>
      <tp t="s">
        <v/>
        <stp/>
        <stp>Market</stp>
        <stp>STOCK</stp>
        <stp>86040.T</stp>
        <stp>年初来高値</stp>
        <tr r="K40" s="4"/>
        <tr r="K199" s="5"/>
      </tp>
      <tp t="s">
        <v/>
        <stp/>
        <stp>Market</stp>
        <stp>STOCK</stp>
        <stp>87040.T</stp>
        <stp>年初来高値</stp>
        <tr r="K38" s="4"/>
        <tr r="K19" s="5"/>
      </tp>
      <tp t="s">
        <v/>
        <stp/>
        <stp>Market</stp>
        <stp>STOCK</stp>
        <stp>95050.T</stp>
        <stp>年初来高値</stp>
        <tr r="K157" s="5"/>
        <tr r="K17" s="4"/>
      </tp>
      <tp t="s">
        <v/>
        <stp/>
        <stp>Market</stp>
        <stp>STOCK</stp>
        <stp>16050.T</stp>
        <stp>年初来高値</stp>
        <tr r="K166" s="5"/>
        <tr r="K206" s="4"/>
      </tp>
      <tp t="s">
        <v/>
        <stp/>
        <stp>Market</stp>
        <stp>STOCK</stp>
        <stp>63050.T</stp>
        <stp>年初来高値</stp>
        <tr r="K85" s="5"/>
        <tr r="K107" s="4"/>
      </tp>
      <tp t="s">
        <v/>
        <stp/>
        <stp>Market</stp>
        <stp>STOCK</stp>
        <stp>95060.T</stp>
        <stp>年初来高値</stp>
        <tr r="K193" s="5"/>
        <tr r="K16" s="4"/>
      </tp>
      <tp t="s">
        <v/>
        <stp/>
        <stp>Market</stp>
        <stp>STOCK</stp>
        <stp>83060.T</stp>
        <stp>年初来高値</stp>
        <tr r="K53" s="4"/>
        <tr r="K201" s="5"/>
      </tp>
      <tp t="s">
        <v/>
        <stp/>
        <stp>Market</stp>
        <stp>STOCK</stp>
        <stp>57060.T</stp>
        <stp>年初来高値</stp>
        <tr r="K131" s="4"/>
        <tr r="K11" s="5"/>
      </tp>
      <tp t="s">
        <v/>
        <stp/>
        <stp>Market</stp>
        <stp>STOCK</stp>
        <stp>54060.T</stp>
        <stp>年初来高値</stp>
        <tr r="K139" s="4"/>
        <tr r="K95" s="5"/>
      </tp>
      <tp t="s">
        <v/>
        <stp/>
        <stp>Market</stp>
        <stp>STOCK</stp>
        <stp>78060.T</stp>
        <stp>年初来高値</stp>
        <tr r="K65" s="4"/>
        <tr r="K55" s="5"/>
      </tp>
      <tp t="s">
        <v/>
        <stp/>
        <stp>Market</stp>
        <stp>STOCK</stp>
        <stp>65060.T</stp>
        <stp>年初来高値</stp>
        <tr r="K98" s="4"/>
        <tr r="K20" s="5"/>
      </tp>
      <tp t="s">
        <v/>
        <stp/>
        <stp>Market</stp>
        <stp>STOCK</stp>
        <stp>34070.T</stp>
        <stp>年初来高値</stp>
        <tr r="K182" s="4"/>
        <tr r="K183" s="5"/>
      </tp>
      <tp t="s">
        <v/>
        <stp/>
        <stp>Market</stp>
        <stp>STOCK</stp>
        <stp>31070.T</stp>
        <stp>年初来高値</stp>
        <tr r="K13" s="5"/>
        <tr r="K186" s="4"/>
      </tp>
      <tp t="s">
        <v/>
        <stp/>
        <stp>Market</stp>
        <stp>STOCK</stp>
        <stp>43070.T</stp>
        <stp>年初来高値</stp>
        <tr r="K151" s="5"/>
        <tr r="K166" s="4"/>
      </tp>
      <tp t="s">
        <v/>
        <stp/>
        <stp>Market</stp>
        <stp>STOCK</stp>
        <stp>65070.T</stp>
        <stp>年初来高値</stp>
        <tr r="K64" s="5"/>
        <tr r="K97" s="4"/>
      </tp>
      <tp t="s">
        <v/>
        <stp/>
        <stp>Market</stp>
        <stp>STOCK</stp>
        <stp>83080.T</stp>
        <stp>年初来高値</stp>
        <tr r="K92" s="5"/>
        <tr r="K52" s="4"/>
      </tp>
      <tp t="s">
        <v/>
        <stp/>
        <stp>Market</stp>
        <stp>STOCK</stp>
        <stp>40080.T</stp>
        <stp>年初来高値</stp>
        <tr r="K175" s="4"/>
        <tr r="K127" s="5"/>
      </tp>
      <tp t="s">
        <v/>
        <stp/>
        <stp>Market</stp>
        <stp>STOCK</stp>
        <stp>83090.T</stp>
        <stp>年初来高値</stp>
        <tr r="K51" s="4"/>
        <tr r="K68" s="5"/>
      </tp>
      <tp t="s">
        <v/>
        <stp/>
        <stp>Market</stp>
        <stp>STOCK</stp>
        <stp>47090.T</stp>
        <stp>年初来高値</stp>
        <tr r="K115" s="5"/>
        <tr r="K154" s="4"/>
      </tp>
    </main>
    <main first="rtdsrv.1affdd1a84884b47aa44e2c617a0fa7a">
      <tp t="s">
        <v/>
        <stp/>
        <stp>Market</stp>
        <stp>STOCK</stp>
        <stp>31100.T</stp>
        <stp>年初来高値</stp>
        <tr r="K109" s="5"/>
        <tr r="K185" s="4"/>
      </tp>
      <tp t="s">
        <v/>
        <stp/>
        <stp>Market</stp>
        <stp>STOCK</stp>
        <stp>54100.T</stp>
        <stp>年初来高値</stp>
        <tr r="K118" s="5"/>
        <tr r="K138" s="4"/>
      </tp>
      <tp t="s">
        <v/>
        <stp/>
        <stp>Market</stp>
        <stp>STOCK</stp>
        <stp>84110.T</stp>
        <stp>年初来高値</stp>
        <tr r="K66" s="5"/>
        <tr r="K47" s="4"/>
      </tp>
      <tp t="s">
        <v/>
        <stp/>
        <stp>Market</stp>
        <stp>STOCK</stp>
        <stp>57110.T</stp>
        <stp>年初来高値</stp>
        <tr r="K130" s="4"/>
        <tr r="K87" s="5"/>
      </tp>
      <tp t="s">
        <v/>
        <stp/>
        <stp>Market</stp>
        <stp>STOCK</stp>
        <stp>54110.T</stp>
        <stp>年初来高値</stp>
        <tr r="K7" s="5"/>
        <tr r="K137" s="4"/>
      </tp>
      <tp t="s">
        <v/>
        <stp/>
        <stp>Market</stp>
        <stp>STOCK</stp>
        <stp>70110.T</stp>
        <stp>年初来高値</stp>
        <tr r="K77" s="4"/>
        <tr r="K197" s="5"/>
      </tp>
      <tp t="s">
        <v/>
        <stp/>
        <stp>Market</stp>
        <stp>STOCK</stp>
        <stp>94120.T</stp>
        <stp>年初来高値</stp>
        <tr r="K22" s="5"/>
        <tr r="K22" s="4"/>
      </tp>
      <tp t="s">
        <v/>
        <stp/>
        <stp>Market</stp>
        <stp>STOCK</stp>
        <stp>18120.T</stp>
        <stp>年初来高値</stp>
        <tr r="K204" s="4"/>
        <tr r="K121" s="5"/>
      </tp>
      <tp t="s">
        <v/>
        <stp/>
        <stp>Market</stp>
        <stp>STOCK</stp>
        <stp>57130.T</stp>
        <stp>年初来高値</stp>
        <tr r="K46" s="5"/>
        <tr r="K129" s="4"/>
      </tp>
      <tp t="s">
        <v/>
        <stp/>
        <stp>Market</stp>
        <stp>STOCK</stp>
        <stp>66130.T</stp>
        <stp>年初来高値</stp>
        <tr r="K3" s="5"/>
        <tr r="K94" s="4"/>
      </tp>
      <tp t="s">
        <v/>
        <stp/>
        <stp>Market</stp>
        <stp>STOCK</stp>
        <stp>29140.T</stp>
        <stp>年初来高値</stp>
        <tr r="K182" s="5"/>
        <tr r="K189" s="4"/>
      </tp>
      <tp t="s">
        <v/>
        <stp/>
        <stp>Market</stp>
        <stp>STOCK</stp>
        <stp>57140.T</stp>
        <stp>年初来高値</stp>
        <tr r="K47" s="5"/>
        <tr r="K128" s="4"/>
      </tp>
      <tp t="s">
        <v/>
        <stp/>
        <stp>Market</stp>
        <stp>STOCK</stp>
        <stp>80150.T</stp>
        <stp>年初来高値</stp>
        <tr r="K65" s="5"/>
        <tr r="K61" s="4"/>
      </tp>
      <tp t="s">
        <v/>
        <stp/>
        <stp>Market</stp>
        <stp>STOCK</stp>
        <stp>94160.T</stp>
        <stp>年初来高値</stp>
        <tr r="K107" s="5"/>
        <tr r="K21" s="4"/>
      </tp>
      <tp t="s">
        <v/>
        <stp/>
        <stp>Market</stp>
        <stp>STOCK</stp>
        <stp>83160.T</stp>
        <stp>年初来高値</stp>
        <tr r="K70" s="5"/>
        <tr r="K50" s="4"/>
      </tp>
      <tp t="s">
        <v/>
        <stp/>
        <stp>Market</stp>
        <stp>STOCK</stp>
        <stp>65160.T</stp>
        <stp>年初来高値</stp>
        <tr r="K29" s="5"/>
        <tr r="K96" s="4"/>
      </tp>
      <tp t="s">
        <v/>
        <stp/>
        <stp>Market</stp>
        <stp>STOCK</stp>
        <stp>44170.T</stp>
        <stp>年初来高値</stp>
        <tr r="K163" s="4"/>
        <tr r="K112" s="5"/>
      </tp>
      <tp t="s">
        <v/>
        <stp/>
        <stp>Market</stp>
        <stp>STOCK</stp>
        <stp>50190.T</stp>
        <stp>年初来高値</stp>
        <tr r="K140" s="5"/>
        <tr r="K148" s="4"/>
      </tp>
      <tp t="s">
        <v/>
        <stp/>
        <stp>Market</stp>
        <stp>STOCK</stp>
        <stp>45190.T</stp>
        <stp>年初来高値</stp>
        <tr r="K161" s="4"/>
        <tr r="K205" s="5"/>
      </tp>
    </main>
    <main first="rtdsrv.1affdd1a84884b47aa44e2c617a0fa7a">
      <tp t="s">
        <v/>
        <stp/>
        <stp>Market</stp>
        <stp>STOCK</stp>
        <stp>90200.T</stp>
        <stp>年初来高値</stp>
        <tr r="K104" s="5"/>
        <tr r="K30" s="4"/>
      </tp>
      <tp t="s">
        <v/>
        <stp/>
        <stp>Market</stp>
        <stp>STOCK</stp>
        <stp>50200.T</stp>
        <stp>年初来高値</stp>
        <tr r="K141" s="5"/>
        <tr r="K147" s="4"/>
      </tp>
      <tp t="s">
        <v/>
        <stp/>
        <stp>Market</stp>
        <stp>STOCK</stp>
        <stp>69200.T</stp>
        <stp>年初来高値</stp>
        <tr r="K84" s="5"/>
        <tr r="K81" s="4"/>
      </tp>
      <tp t="s">
        <v/>
        <stp/>
        <stp>Market</stp>
        <stp>STOCK</stp>
        <stp>50210.T</stp>
        <stp>年初来高値</stp>
        <tr r="K88" s="5"/>
        <tr r="K146" s="4"/>
      </tp>
      <tp t="s">
        <v/>
        <stp/>
        <stp>Market</stp>
        <stp>STOCK</stp>
        <stp>70210.T</stp>
        <stp>年初来高値</stp>
        <tr r="K76" s="5"/>
        <tr r="K76" s="4"/>
      </tp>
      <tp t="s">
        <v/>
        <stp/>
        <stp>Market</stp>
        <stp>STOCK</stp>
        <stp>90220.T</stp>
        <stp>年初来高値</stp>
        <tr r="K29" s="4"/>
        <tr r="K159" s="5"/>
      </tp>
      <tp t="s">
        <v/>
        <stp/>
        <stp>Market</stp>
        <stp>STOCK</stp>
        <stp>44220.T</stp>
        <stp>年初来高値</stp>
        <tr r="K188" s="5"/>
        <tr r="K162" s="4"/>
      </tp>
      <tp t="s">
        <v/>
        <stp/>
        <stp>Market</stp>
        <stp>STOCK</stp>
        <stp>65220.T</stp>
        <stp>年初来高値</stp>
        <tr r="K95" s="4"/>
        <tr r="K111" s="5"/>
      </tp>
      <tp t="s">
        <v/>
        <stp/>
        <stp>Market</stp>
        <stp>STOCK</stp>
        <stp>54230.T</stp>
        <stp>年初来高値</stp>
        <tr r="K165" s="5"/>
        <tr r="K136" s="4"/>
      </tp>
      <tp t="s">
        <v/>
        <stp/>
        <stp>Market</stp>
        <stp>STOCK</stp>
        <stp>45230.T</stp>
        <stp>年初来高値</stp>
        <tr r="K184" s="5"/>
        <tr r="K160" s="4"/>
      </tp>
      <tp t="s">
        <v/>
        <stp/>
        <stp>Market</stp>
        <stp>STOCK</stp>
        <stp>63230.T</stp>
        <stp>年初来高値</stp>
        <tr r="K41" s="5"/>
        <tr r="K106" s="4"/>
      </tp>
      <tp t="s">
        <v/>
        <stp/>
        <stp>Market</stp>
        <stp>STOCK</stp>
        <stp>94240.T</stp>
        <stp>年初来高値</stp>
        <tr r="K20" s="4"/>
        <tr r="K15" s="5"/>
      </tp>
      <tp t="s">
        <v/>
        <stp/>
        <stp>Market</stp>
        <stp>STOCK</stp>
        <stp>84240.T</stp>
        <stp>年初来高値</stp>
        <tr r="K185" s="5"/>
        <tr r="K46" s="4"/>
      </tp>
      <tp t="s">
        <v/>
        <stp/>
        <stp>Market</stp>
        <stp>STOCK</stp>
        <stp>87250.T</stp>
        <stp>年初来高値</stp>
        <tr r="K168" s="5"/>
        <tr r="K37" s="4"/>
      </tp>
      <tp t="s">
        <v/>
        <stp/>
        <stp>Market</stp>
        <stp>STOCK</stp>
        <stp>19250.T</stp>
        <stp>年初来高値</stp>
        <tr r="K181" s="5"/>
        <tr r="K202" s="4"/>
      </tp>
      <tp t="s">
        <v/>
        <stp/>
        <stp>Market</stp>
        <stp>STOCK</stp>
        <stp>69250.T</stp>
        <stp>年初来高値</stp>
        <tr r="K80" s="4"/>
        <tr r="K42" s="5"/>
      </tp>
      <tp t="s">
        <v/>
        <stp/>
        <stp>Market</stp>
        <stp>STOCK</stp>
        <stp>92270.T</stp>
        <stp>年初来高値</stp>
        <tr r="K146" s="5"/>
        <tr r="K25" s="4"/>
      </tp>
      <tp t="s">
        <v/>
        <stp/>
        <stp>Market</stp>
        <stp>STOCK</stp>
        <stp>23270.T</stp>
        <stp>年初来高値</stp>
        <tr r="K194" s="4"/>
        <tr r="K154" s="5"/>
      </tp>
      <tp t="s">
        <v/>
        <stp/>
        <stp>Market</stp>
        <stp>STOCK</stp>
        <stp>21270.T</stp>
        <stp>年初来高値</stp>
        <tr r="K161" s="5"/>
        <tr r="K196" s="4"/>
      </tp>
      <tp t="s">
        <v/>
        <stp/>
        <stp>Market</stp>
        <stp>STOCK</stp>
        <stp>62270.T</stp>
        <stp>年初来高値</stp>
        <tr r="K108" s="5"/>
        <tr r="K110" s="4"/>
      </tp>
      <tp t="s">
        <v/>
        <stp/>
        <stp>Market</stp>
        <stp>STOCK</stp>
        <stp>63270.T</stp>
        <stp>年初来高値</stp>
        <tr r="K27" s="5"/>
        <tr r="K105" s="4"/>
      </tp>
      <tp t="s">
        <v/>
        <stp/>
        <stp>Market</stp>
        <stp>STOCK</stp>
        <stp>60270.T</stp>
        <stp>年初来高値</stp>
        <tr r="K98" s="5"/>
        <tr r="K116" s="4"/>
      </tp>
      <tp t="s">
        <v/>
        <stp/>
        <stp>Market</stp>
        <stp>STOCK</stp>
        <stp>45280.T</stp>
        <stp>年初来高値</stp>
        <tr r="K159" s="4"/>
        <tr r="K17" s="5"/>
      </tp>
      <tp t="s">
        <v/>
        <stp/>
        <stp>Market</stp>
        <stp>STOCK</stp>
        <stp>59290.T</stp>
        <stp>年初来高値</stp>
        <tr r="K69" s="5"/>
        <tr r="K119" s="4"/>
      </tp>
      <tp t="s">
        <v/>
        <stp/>
        <stp>Market</stp>
        <stp>STOCK</stp>
        <stp>77290.T</stp>
        <stp>年初来高値</stp>
        <tr r="K18" s="5"/>
        <tr r="K68" s="4"/>
      </tp>
    </main>
    <main first="rtdsrv.1affdd1a84884b47aa44e2c617a0fa7a">
      <tp t="s">
        <v/>
        <stp/>
        <stp>Market</stp>
        <stp>STOCK</stp>
        <stp/>
        <stp>前日終値</stp>
        <tr r="C32" s="14"/>
        <tr r="C32" s="14"/>
        <tr r="C32" s="14"/>
      </tp>
    </main>
    <main first="rtdsrv.1affdd1a84884b47aa44e2c617a0fa7a">
      <tp t="s">
        <v/>
        <stp/>
        <stp>Market</stp>
        <stp>STOCK</stp>
        <stp>86300.T</stp>
        <stp>年初来高値</stp>
        <tr r="K176" s="5"/>
        <tr r="K39" s="4"/>
      </tp>
      <tp t="s">
        <v/>
        <stp/>
        <stp>Market</stp>
        <stp>STOCK</stp>
        <stp>19300.T</stp>
        <stp>年初来高値</stp>
        <tr r="K83" s="5"/>
        <tr r="K201" s="4"/>
      </tp>
      <tp t="s">
        <v/>
        <stp/>
        <stp>Market</stp>
        <stp>STOCK</stp>
        <stp>63300.T</stp>
        <stp>年初来高値</stp>
        <tr r="K104" s="4"/>
        <tr r="K186" s="5"/>
      </tp>
      <tp t="s">
        <v/>
        <stp/>
        <stp>Market</stp>
        <stp>STOCK</stp>
        <stp>95310.T</stp>
        <stp>年初来高値</stp>
        <tr r="K203" s="5"/>
        <tr r="K15" s="4"/>
      </tp>
      <tp t="s">
        <v/>
        <stp/>
        <stp>Market</stp>
        <stp>STOCK</stp>
        <stp>95320.T</stp>
        <stp>年初来高値</stp>
        <tr r="K14" s="4"/>
        <tr r="K79" s="5"/>
      </tp>
      <tp t="s">
        <v/>
        <stp/>
        <stp>Market</stp>
        <stp>STOCK</stp>
        <stp>53320.T</stp>
        <stp>年初来高値</stp>
        <tr r="K12" s="5"/>
        <tr r="K142" s="4"/>
      </tp>
      <tp t="s">
        <v/>
        <stp/>
        <stp>Market</stp>
        <stp>STOCK</stp>
        <stp>62320.T</stp>
        <stp>年初来高値</stp>
        <tr r="K28" s="5"/>
        <tr r="K109" s="4"/>
      </tp>
      <tp t="s">
        <v/>
        <stp/>
        <stp>Market</stp>
        <stp>STOCK</stp>
        <stp>97330.T</stp>
        <stp>年初来高値</stp>
        <tr r="K153" s="5"/>
        <tr r="K10" s="4"/>
      </tp>
      <tp t="s">
        <v/>
        <stp/>
        <stp>Market</stp>
        <stp>STOCK</stp>
        <stp>18330.T</stp>
        <stp>年初来高値</stp>
        <tr r="K203" s="4"/>
        <tr r="K180" s="5"/>
      </tp>
      <tp t="s">
        <v/>
        <stp/>
        <stp>Market</stp>
        <stp>STOCK</stp>
        <stp>52330.T</stp>
        <stp>年初来高値</stp>
        <tr r="K144" s="4"/>
        <tr r="K170" s="5"/>
      </tp>
      <tp t="s">
        <v/>
        <stp/>
        <stp>Market</stp>
        <stp>STOCK</stp>
        <stp>53330.T</stp>
        <stp>年初来高値</stp>
        <tr r="K141" s="4"/>
        <tr r="K37" s="5"/>
      </tp>
      <tp t="s">
        <v/>
        <stp/>
        <stp>Market</stp>
        <stp>STOCK</stp>
        <stp>47330.T</stp>
        <stp>年初来高値</stp>
        <tr r="K133" s="5"/>
        <tr r="K153" s="4"/>
      </tp>
      <tp t="s">
        <v/>
        <stp/>
        <stp>Market</stp>
        <stp>STOCK</stp>
        <stp>89340.T</stp>
        <stp>年初来高値</stp>
        <tr r="K149" s="5"/>
        <tr r="K31" s="4"/>
      </tp>
      <tp t="s">
        <v/>
        <stp/>
        <stp>Market</stp>
        <stp>STOCK</stp>
        <stp>83340.T</stp>
        <stp>年初来高値</stp>
        <tr r="K204" s="5"/>
        <tr r="K49" s="4"/>
      </tp>
      <tp t="s">
        <v/>
        <stp/>
        <stp>Market</stp>
        <stp>STOCK</stp>
        <stp>61340.T</stp>
        <stp>年初来高値</stp>
        <tr r="K114" s="4"/>
        <tr r="K25" s="5"/>
      </tp>
      <tp t="s">
        <v/>
        <stp/>
        <stp>Market</stp>
        <stp>STOCK</stp>
        <stp>80350.T</stp>
        <stp>年初来高値</stp>
        <tr r="K60" s="4"/>
        <tr r="K35" s="5"/>
      </tp>
      <tp t="s">
        <v/>
        <stp/>
        <stp>Market</stp>
        <stp>STOCK</stp>
        <stp>95360.T</stp>
        <stp>年初来高値</stp>
        <tr r="K13" s="4"/>
        <tr r="K160" s="5"/>
      </tp>
      <tp t="s">
        <v/>
        <stp/>
        <stp>Market</stp>
        <stp>STOCK</stp>
        <stp>34360.T</stp>
        <stp>年初来高値</stp>
        <tr r="K181" s="4"/>
        <tr r="K4" s="5"/>
      </tp>
      <tp t="s">
        <v/>
        <stp/>
        <stp>Market</stp>
        <stp>STOCK</stp>
        <stp>45360.T</stp>
        <stp>年初来高値</stp>
        <tr r="K158" s="4"/>
        <tr r="K125" s="5"/>
      </tp>
      <tp t="s">
        <v/>
        <stp/>
        <stp>Market</stp>
        <stp>STOCK</stp>
        <stp>72360.T</stp>
        <stp>年初来高値</stp>
        <tr r="K72" s="4"/>
        <tr r="K137" s="5"/>
      </tp>
      <tp t="s">
        <v/>
        <stp/>
        <stp>Market</stp>
        <stp>STOCK</stp>
        <stp>64360.T</stp>
        <stp>年初来高値</stp>
        <tr r="K155" s="5"/>
        <tr r="K102" s="4"/>
      </tp>
      <tp t="s">
        <v/>
        <stp/>
        <stp>Market</stp>
        <stp>STOCK</stp>
        <stp>19380.T</stp>
        <stp>年初来高値</stp>
        <tr r="K117" s="5"/>
        <tr r="K200" s="4"/>
      </tp>
      <tp t="s">
        <v/>
        <stp/>
        <stp>Market</stp>
        <stp>STOCK</stp>
        <stp>58380.T</stp>
        <stp>年初来高値</stp>
        <tr r="K147" s="5"/>
        <tr r="K124" s="4"/>
      </tp>
      <tp t="s">
        <v/>
        <stp/>
        <stp>Market</stp>
        <stp>STOCK</stp>
        <stp>59380.T</stp>
        <stp>年初来高値</stp>
        <tr r="K118" s="4"/>
        <tr r="K93" s="5"/>
      </tp>
      <tp t="s">
        <v/>
        <stp/>
        <stp>Market</stp>
        <stp>STOCK</stp>
        <stp>68380.T</stp>
        <stp>年初来高値</stp>
        <tr r="K6" s="5"/>
        <tr r="K85" s="4"/>
      </tp>
    </main>
    <main first="rtdsrv.1affdd1a84884b47aa44e2c617a0fa7a">
      <tp t="s">
        <v/>
        <stp/>
        <stp>Market</stp>
        <stp>STOCK</stp>
        <stp>54400.T</stp>
        <stp>年初来高値</stp>
        <tr r="K156" s="5"/>
        <tr r="K135" s="4"/>
      </tp>
      <tp t="s">
        <v/>
        <stp/>
        <stp>Market</stp>
        <stp>STOCK</stp>
        <stp>45400.T</stp>
        <stp>年初来高値</stp>
        <tr r="K124" s="5"/>
        <tr r="K157" s="4"/>
      </tp>
      <tp t="s">
        <v/>
        <stp/>
        <stp>Market</stp>
        <stp>STOCK</stp>
        <stp>67400.T</stp>
        <stp>年初来高値</stp>
        <tr r="K189" s="5"/>
        <tr r="K92" s="4"/>
      </tp>
      <tp t="s">
        <v/>
        <stp/>
        <stp>Market</stp>
        <stp>STOCK</stp>
        <stp>39410.T</stp>
        <stp>年初来高値</stp>
        <tr r="K176" s="4"/>
        <tr r="K142" s="5"/>
      </tp>
      <tp t="s">
        <v/>
        <stp/>
        <stp>Market</stp>
        <stp>STOCK</stp>
        <stp>55410.T</stp>
        <stp>年初来高値</stp>
        <tr r="K133" s="4"/>
        <tr r="K90" s="5"/>
      </tp>
      <tp t="s">
        <v/>
        <stp/>
        <stp>Market</stp>
        <stp>STOCK</stp>
        <stp>68410.T</stp>
        <stp>年初来高値</stp>
        <tr r="K84" s="4"/>
        <tr r="K100" s="5"/>
      </tp>
      <tp t="s">
        <v/>
        <stp/>
        <stp>Market</stp>
        <stp>STOCK</stp>
        <stp>19420.T</stp>
        <stp>年初来高値</stp>
        <tr r="K199" s="4"/>
        <tr r="K32" s="5"/>
      </tp>
      <tp t="s">
        <v/>
        <stp/>
        <stp>Market</stp>
        <stp>STOCK</stp>
        <stp>52430.T</stp>
        <stp>年初来高値</stp>
        <tr r="K143" s="4"/>
        <tr r="K138" s="5"/>
      </tp>
      <tp t="s">
        <v/>
        <stp/>
        <stp>Market</stp>
        <stp>STOCK</stp>
        <stp>58440.T</stp>
        <stp>年初来高値</stp>
        <tr r="K123" s="4"/>
        <tr r="K61" s="5"/>
      </tp>
      <tp t="s">
        <v/>
        <stp/>
        <stp>Market</stp>
        <stp>STOCK</stp>
        <stp>67440.T</stp>
        <stp>年初来高値</stp>
        <tr r="K91" s="4"/>
        <tr r="K106" s="5"/>
      </tp>
      <tp t="s">
        <v/>
        <stp/>
        <stp>Market</stp>
        <stp>STOCK</stp>
        <stp>40450.T</stp>
        <stp>年初来高値</stp>
        <tr r="K178" s="5"/>
        <tr r="K174" s="4"/>
      </tp>
      <tp t="s">
        <v/>
        <stp/>
        <stp>Market</stp>
        <stp>STOCK</stp>
        <stp>78460.T</stp>
        <stp>年初来高値</stp>
        <tr r="K64" s="4"/>
        <tr r="K202" s="5"/>
      </tp>
      <tp t="s">
        <v/>
        <stp/>
        <stp>Market</stp>
        <stp>STOCK</stp>
        <stp>77460.T</stp>
        <stp>年初来高値</stp>
        <tr r="K144" s="5"/>
        <tr r="K67" s="4"/>
      </tp>
      <tp t="s">
        <v/>
        <stp/>
        <stp>Market</stp>
        <stp>STOCK</stp>
        <stp>61460.T</stp>
        <stp>年初来高値</stp>
        <tr r="K113" s="4"/>
        <tr r="K120" s="5"/>
      </tp>
      <tp t="s">
        <v/>
        <stp/>
        <stp>Market</stp>
        <stp>STOCK</stp>
        <stp>59470.T</stp>
        <stp>年初来高値</stp>
        <tr r="K96" s="5"/>
        <tr r="K117" s="4"/>
      </tp>
      <tp t="s">
        <v/>
        <stp/>
        <stp>Market</stp>
        <stp>STOCK</stp>
        <stp>93480.T</stp>
        <stp>年初来高値</stp>
        <tr r="K8" s="5"/>
        <tr r="K24" s="4"/>
      </tp>
      <tp t="s">
        <v/>
        <stp/>
        <stp>Market</stp>
        <stp>STOCK</stp>
        <stp>94490.T</stp>
        <stp>年初来高値</stp>
        <tr r="K77" s="5"/>
        <tr r="K19" s="4"/>
      </tp>
      <tp t="s">
        <v/>
        <stp/>
        <stp>Market</stp>
        <stp>STOCK</stp>
        <stp>54490.T</stp>
        <stp>年初来高値</stp>
        <tr r="K134" s="4"/>
        <tr r="K97" s="5"/>
      </tp>
    </main>
    <main first="rtdsrv.1affdd1a84884b47aa44e2c617a0fa7a">
      <tp t="s">
        <v/>
        <stp/>
        <stp>Market</stp>
        <stp>STOCK</stp>
        <stp>87500.T</stp>
        <stp>年初来高値</stp>
        <tr r="K200" s="5"/>
        <tr r="K36" s="4"/>
      </tp>
      <tp t="s">
        <v/>
        <stp/>
        <stp>Market</stp>
        <stp>STOCK</stp>
        <stp>95510.T</stp>
        <stp>年初来高値</stp>
        <tr r="K12" s="4"/>
        <tr r="K134" s="5"/>
      </tp>
      <tp t="s">
        <v/>
        <stp/>
        <stp>Market</stp>
        <stp>STOCK</stp>
        <stp>80530.T</stp>
        <stp>年初来高値</stp>
        <tr r="K49" s="5"/>
        <tr r="K59" s="4"/>
      </tp>
      <tp t="s">
        <v/>
        <stp/>
        <stp>Market</stp>
        <stp>STOCK</stp>
        <stp>67530.T</stp>
        <stp>年初来高値</stp>
        <tr r="K90" s="4"/>
        <tr r="K162" s="5"/>
      </tp>
      <tp t="s">
        <v/>
        <stp/>
        <stp>Market</stp>
        <stp>STOCK</stp>
        <stp>38540.T</stp>
        <stp>年初来高値</stp>
        <tr r="K180" s="4"/>
        <tr r="K54" s="5"/>
      </tp>
      <tp t="s">
        <v/>
        <stp/>
        <stp>Market</stp>
        <stp>STOCK</stp>
        <stp>69540.T</stp>
        <stp>年初来高値</stp>
        <tr r="K79" s="4"/>
        <tr r="K16" s="5"/>
      </tp>
      <tp t="s">
        <v/>
        <stp/>
        <stp>Market</stp>
        <stp>STOCK</stp>
        <stp>67540.T</stp>
        <stp>年初来高値</stp>
        <tr r="K89" s="4"/>
        <tr r="K31" s="5"/>
      </tp>
      <tp t="s">
        <v/>
        <stp/>
        <stp>Market</stp>
        <stp>STOCK</stp>
        <stp>62540.T</stp>
        <stp>年初来高値</stp>
        <tr r="K5" s="5"/>
        <tr r="K108" s="4"/>
      </tp>
      <tp t="s">
        <v/>
        <stp/>
        <stp>Market</stp>
        <stp>STOCK</stp>
        <stp>58570.T</stp>
        <stp>年初来高値</stp>
        <tr r="K52" s="5"/>
        <tr r="K122" s="4"/>
      </tp>
      <tp t="s">
        <v/>
        <stp/>
        <stp>Market</stp>
        <stp>STOCK</stp>
        <stp>68570.T</stp>
        <stp>年初来高値</stp>
        <tr r="K83" s="4"/>
        <tr r="K113" s="5"/>
      </tp>
      <tp t="s">
        <v/>
        <stp/>
        <stp>Market</stp>
        <stp>STOCK</stp>
        <stp>80580.T</stp>
        <stp>年初来高値</stp>
        <tr r="K58" s="4"/>
        <tr r="K89" s="5"/>
      </tp>
      <tp t="s">
        <v/>
        <stp/>
        <stp>Market</stp>
        <stp>STOCK</stp>
        <stp>67580.T</stp>
        <stp>年初来高値</stp>
        <tr r="K88" s="4"/>
        <tr r="K86" s="5"/>
      </tp>
      <tp t="s">
        <v/>
        <stp/>
        <stp>Market</stp>
        <stp>STOCK</stp>
        <stp>83590.T</stp>
        <stp>年初来高値</stp>
        <tr r="K48" s="4"/>
        <tr r="K26" s="5"/>
      </tp>
      <tp t="s">
        <v/>
        <stp/>
        <stp>Market</stp>
        <stp>STOCK</stp>
        <stp>23590.T</stp>
        <stp>年初来高値</stp>
        <tr r="K135" s="5"/>
        <tr r="K193" s="4"/>
      </tp>
    </main>
    <main first="rtdsrv.1affdd1a84884b47aa44e2c617a0fa7a">
      <tp t="s">
        <v/>
        <stp/>
        <stp>Market</stp>
        <stp>INDEX</stp>
        <stp>TOPX</stp>
        <stp>出来高</stp>
        <tr r="C5" s="12"/>
      </tp>
      <tp t="s">
        <v/>
        <stp/>
        <stp>Market</stp>
        <stp>STOCK</stp>
        <stp>21600.T</stp>
        <stp>年初来高値</stp>
        <tr r="K195" s="4"/>
        <tr r="K187" s="5"/>
      </tp>
      <tp t="s">
        <v/>
        <stp/>
        <stp>Market</stp>
        <stp>STOCK</stp>
        <stp>19610.T</stp>
        <stp>年初来高値</stp>
        <tr r="K198" s="4"/>
        <tr r="K51" s="5"/>
      </tp>
      <tp t="s">
        <v/>
        <stp/>
        <stp>Market</stp>
        <stp>STOCK</stp>
        <stp>38610.T</stp>
        <stp>年初来高値</stp>
        <tr r="K179" s="4"/>
        <tr r="K123" s="5"/>
      </tp>
      <tp t="s">
        <v/>
        <stp/>
        <stp>Market</stp>
        <stp>STOCK</stp>
        <stp>46610.T</stp>
        <stp>年初来高値</stp>
        <tr r="K103" s="5"/>
        <tr r="K156" s="4"/>
      </tp>
      <tp t="s">
        <v/>
        <stp/>
        <stp>Market</stp>
        <stp>STOCK</stp>
        <stp>16620.T</stp>
        <stp>年初来高値</stp>
        <tr r="K205" s="4"/>
        <tr r="K122" s="5"/>
      </tp>
      <tp t="s">
        <v/>
        <stp/>
        <stp>Market</stp>
        <stp>STOCK</stp>
        <stp>40620.T</stp>
        <stp>年初来高値</stp>
        <tr r="K56" s="5"/>
        <tr r="K173" s="4"/>
      </tp>
      <tp t="s">
        <v/>
        <stp/>
        <stp>Market</stp>
        <stp>STOCK</stp>
        <stp>19630.T</stp>
        <stp>年初来高値</stp>
        <tr r="K40" s="5"/>
        <tr r="K197" s="4"/>
      </tp>
      <tp t="s">
        <v/>
        <stp/>
        <stp>Market</stp>
        <stp>STOCK</stp>
        <stp>38630.T</stp>
        <stp>年初来高値</stp>
        <tr r="K178" s="4"/>
        <tr r="K21" s="5"/>
      </tp>
      <tp t="s">
        <v/>
        <stp/>
        <stp>Market</stp>
        <stp>STOCK</stp>
        <stp>40630.T</stp>
        <stp>年初来高値</stp>
        <tr r="K172" s="4"/>
        <tr r="K14" s="5"/>
      </tp>
      <tp t="s">
        <v/>
        <stp/>
        <stp>Market</stp>
        <stp>STOCK</stp>
        <stp>90640.T</stp>
        <stp>年初来高値</stp>
        <tr r="K163" s="5"/>
        <tr r="K4" s="4"/>
      </tp>
      <tp t="s">
        <v/>
        <stp/>
        <stp>Market</stp>
        <stp>STOCK</stp>
        <stp>87660.T</stp>
        <stp>年初来高値</stp>
        <tr r="K174" s="5"/>
        <tr r="K35" s="4"/>
      </tp>
      <tp t="s">
        <v/>
        <stp/>
        <stp>Market</stp>
        <stp>STOCK</stp>
        <stp>49660.T</stp>
        <stp>年初来高値</stp>
        <tr r="K150" s="4"/>
        <tr r="K34" s="5"/>
      </tp>
      <tp t="s">
        <v/>
        <stp/>
        <stp>Market</stp>
        <stp>STOCK</stp>
        <stp>71670.T</stp>
        <stp>年初来高値</stp>
        <tr r="K75" s="4"/>
        <tr r="K101" s="5"/>
      </tp>
      <tp t="s">
        <v/>
        <stp/>
        <stp>Market</stp>
        <stp>STOCK</stp>
        <stp>27680.T</stp>
        <stp>年初来高値</stp>
        <tr r="K206" s="5"/>
        <tr r="K191" s="4"/>
      </tp>
      <tp t="s">
        <v/>
        <stp/>
        <stp>Market</stp>
        <stp>STOCK</stp>
        <stp>45680.T</stp>
        <stp>年初来高値</stp>
        <tr r="K110" s="5"/>
        <tr r="K7" s="4"/>
      </tp>
      <tp t="s">
        <v/>
        <stp/>
        <stp>Market</stp>
        <stp>STOCK</stp>
        <stp>90690.T</stp>
        <stp>年初来高値</stp>
        <tr r="K28" s="4"/>
        <tr r="K60" s="5"/>
      </tp>
    </main>
    <main first="rtdsrv.1affdd1a84884b47aa44e2c617a0fa7a">
      <tp t="s">
        <v/>
        <stp/>
        <stp>Market</stp>
        <stp>STOCK</stp>
        <stp>85700.T</stp>
        <stp>年初来高値</stp>
        <tr r="K94" s="5"/>
        <tr r="K45" s="4"/>
      </tp>
      <tp t="s">
        <v/>
        <stp/>
        <stp>Market</stp>
        <stp>STOCK</stp>
        <stp>85720.T</stp>
        <stp>年初来高値</stp>
        <tr r="K44" s="4"/>
        <tr r="K38" s="5"/>
      </tp>
      <tp t="s">
        <v/>
        <stp/>
        <stp>Market</stp>
        <stp>STOCK</stp>
        <stp>43730.T</stp>
        <stp>年初来高値</stp>
        <tr r="K165" s="4"/>
        <tr r="K82" s="5"/>
      </tp>
      <tp t="s">
        <v/>
        <stp/>
        <stp>Market</stp>
        <stp>STOCK</stp>
        <stp>73750.T</stp>
        <stp>年初来高値</stp>
        <tr r="K190" s="5"/>
        <tr r="K71" s="4"/>
      </tp>
      <tp t="s">
        <v/>
        <stp/>
        <stp>Market</stp>
        <stp>STOCK</stp>
        <stp>46760.T</stp>
        <stp>年初来高値</stp>
        <tr r="K177" s="5"/>
        <tr r="K155" s="4"/>
      </tp>
      <tp t="s">
        <v/>
        <stp/>
        <stp>Market</stp>
        <stp>STOCK</stp>
        <stp>67770.T</stp>
        <stp>年初来高値</stp>
        <tr r="K130" s="5"/>
        <tr r="K87" s="4"/>
      </tp>
      <tp t="s">
        <v/>
        <stp/>
        <stp>Market</stp>
        <stp>STOCK</stp>
        <stp>61780.T</stp>
        <stp>年初来高値</stp>
        <tr r="K112" s="4"/>
        <tr r="K59" s="5"/>
      </tp>
      <tp t="s">
        <v/>
        <stp/>
        <stp>Market</stp>
        <stp>STOCK</stp>
        <stp>64790.T</stp>
        <stp>年初来高値</stp>
        <tr r="K101" s="4"/>
        <tr r="K24" s="5"/>
      </tp>
    </main>
    <main first="rtdsrv.1affdd1a84884b47aa44e2c617a0fa7a">
      <tp t="s">
        <v/>
        <stp/>
        <stp>Market</stp>
        <stp>STOCK</stp>
        <stp/>
        <stp>現在値</stp>
        <tr r="C26" s="14"/>
      </tp>
    </main>
    <main first="rtdsrv.1affdd1a84884b47aa44e2c617a0fa7a">
      <tp t="s">
        <v/>
        <stp/>
        <stp>Market</stp>
        <stp>STOCK</stp>
        <stp>69970.T</stp>
        <stp>出来高</stp>
        <tr r="C272" s="12"/>
      </tp>
      <tp t="s">
        <v/>
        <stp/>
        <stp>Market</stp>
        <stp>STOCK</stp>
        <stp>69810.T</stp>
        <stp>出来高</stp>
        <tr r="J30" s="5"/>
        <tr r="C154" s="12"/>
        <tr r="J78" s="4"/>
      </tp>
      <tp t="s">
        <v/>
        <stp/>
        <stp>Market</stp>
        <stp>STOCK</stp>
        <stp>69650.T</stp>
        <stp>出来高</stp>
        <tr r="C300" s="12"/>
      </tp>
      <tp t="s">
        <v/>
        <stp/>
        <stp>Market</stp>
        <stp>STOCK</stp>
        <stp>69550.T</stp>
        <stp>出来高</stp>
        <tr r="C265" s="12"/>
      </tp>
      <tp t="s">
        <v/>
        <stp/>
        <stp>Market</stp>
        <stp>STOCK</stp>
        <stp>69540.T</stp>
        <stp>出来高</stp>
        <tr r="J16" s="5"/>
        <tr r="J79" s="4"/>
        <tr r="C78" s="12"/>
      </tp>
      <tp t="s">
        <v/>
        <stp/>
        <stp>Market</stp>
        <stp>STOCK</stp>
        <stp>69200.T</stp>
        <stp>出来高</stp>
        <tr r="J84" s="5"/>
        <tr r="C199" s="12"/>
        <tr r="J81" s="4"/>
      </tp>
      <tp t="s">
        <v/>
        <stp/>
        <stp>Market</stp>
        <stp>STOCK</stp>
        <stp>69250.T</stp>
        <stp>出来高</stp>
        <tr r="J80" s="4"/>
        <tr r="J42" s="5"/>
        <tr r="C105" s="12"/>
      </tp>
      <tp t="s">
        <v/>
        <stp/>
        <stp>Market</stp>
        <stp>STOCK</stp>
        <stp>69280.T</stp>
        <stp>出来高</stp>
        <tr r="C246" s="12"/>
      </tp>
      <tp t="s">
        <v/>
        <stp/>
        <stp>Market</stp>
        <stp>STOCK</stp>
        <stp>69180.T</stp>
        <stp>出来高</stp>
        <tr r="C279" s="12"/>
      </tp>
      <tp t="s">
        <v/>
        <stp/>
        <stp>Market</stp>
        <stp>STOCK</stp>
        <stp>69020.T</stp>
        <stp>出来高</stp>
        <tr r="C244" s="12"/>
      </tp>
      <tp t="s">
        <v/>
        <stp/>
        <stp>Market</stp>
        <stp>STOCK</stp>
        <stp>68900.T</stp>
        <stp>出来高</stp>
        <tr r="C195" s="12"/>
        <tr r="J33" s="5"/>
        <tr r="J82" s="4"/>
      </tp>
      <tp t="s">
        <v/>
        <stp/>
        <stp>Market</stp>
        <stp>STOCK</stp>
        <stp>68610.T</stp>
        <stp>出来高</stp>
        <tr r="C209" s="12"/>
      </tp>
      <tp t="s">
        <v/>
        <stp/>
        <stp>Market</stp>
        <stp>STOCK</stp>
        <stp>68620.T</stp>
        <stp>出来高</stp>
        <tr r="C225" s="12"/>
      </tp>
      <tp t="s">
        <v/>
        <stp/>
        <stp>Market</stp>
        <stp>STOCK</stp>
        <stp>68570.T</stp>
        <stp>出来高</stp>
        <tr r="J113" s="5"/>
        <tr r="J83" s="4"/>
        <tr r="C158" s="12"/>
      </tp>
      <tp t="s">
        <v/>
        <stp/>
        <stp>Market</stp>
        <stp>STOCK</stp>
        <stp>68410.T</stp>
        <stp>出来高</stp>
        <tr r="C81" s="12"/>
        <tr r="J100" s="5"/>
        <tr r="J84" s="4"/>
      </tp>
      <tp t="s">
        <v/>
        <stp/>
        <stp>Market</stp>
        <stp>STOCK</stp>
        <stp>68480.T</stp>
        <stp>出来高</stp>
        <tr r="C274" s="12"/>
      </tp>
      <tp t="s">
        <v/>
        <stp/>
        <stp>Market</stp>
        <stp>STOCK</stp>
        <stp>68380.T</stp>
        <stp>出来高</stp>
        <tr r="C148" s="12"/>
        <tr r="J85" s="4"/>
        <tr r="J6" s="5"/>
      </tp>
      <tp t="s">
        <v/>
        <stp/>
        <stp>Market</stp>
        <stp>STOCK</stp>
        <stp>68090.T</stp>
        <stp>出来高</stp>
        <tr r="C238" s="12"/>
      </tp>
      <tp t="s">
        <v/>
        <stp/>
        <stp>Market</stp>
        <stp>STOCK</stp>
        <stp>63870.T</stp>
        <stp>出来高</stp>
        <tr r="C147" s="12"/>
        <tr r="J62" s="5"/>
        <tr r="J103" s="4"/>
      </tp>
      <tp t="s">
        <v/>
        <stp/>
        <stp>Market</stp>
        <stp>STOCK</stp>
        <stp>63700.T</stp>
        <stp>出来高</stp>
        <tr r="C255" s="12"/>
      </tp>
      <tp t="s">
        <v/>
        <stp/>
        <stp>Market</stp>
        <stp>STOCK</stp>
        <stp>63760.T</stp>
        <stp>出来高</stp>
        <tr r="C269" s="12"/>
      </tp>
      <tp t="s">
        <v/>
        <stp/>
        <stp>Market</stp>
        <stp>STOCK</stp>
        <stp>63610.T</stp>
        <stp>出来高</stp>
        <tr r="C249" s="12"/>
      </tp>
      <tp t="s">
        <v/>
        <stp/>
        <stp>Market</stp>
        <stp>STOCK</stp>
        <stp>63660.T</stp>
        <stp>出来高</stp>
        <tr r="C260" s="12"/>
      </tp>
      <tp t="s">
        <v/>
        <stp/>
        <stp>Market</stp>
        <stp>STOCK</stp>
        <stp>63560.T</stp>
        <stp>出来高</stp>
        <tr r="C267" s="12"/>
      </tp>
      <tp t="s">
        <v/>
        <stp/>
        <stp>Market</stp>
        <stp>STOCK</stp>
        <stp>63310.T</stp>
        <stp>出来高</stp>
        <tr r="C301" s="12"/>
      </tp>
      <tp t="s">
        <v/>
        <stp/>
        <stp>Market</stp>
        <stp>STOCK</stp>
        <stp>63300.T</stp>
        <stp>出来高</stp>
        <tr r="C128" s="12"/>
        <tr r="J104" s="4"/>
        <tr r="J186" s="5"/>
      </tp>
      <tp t="s">
        <v/>
        <stp/>
        <stp>Market</stp>
        <stp>STOCK</stp>
        <stp>63230.T</stp>
        <stp>出来高</stp>
        <tr r="J106" s="4"/>
        <tr r="C90" s="12"/>
        <tr r="J41" s="5"/>
      </tp>
      <tp t="s">
        <v/>
        <stp/>
        <stp>Market</stp>
        <stp>STOCK</stp>
        <stp>63240.T</stp>
        <stp>出来高</stp>
        <tr r="C210" s="12"/>
      </tp>
      <tp t="s">
        <v/>
        <stp/>
        <stp>Market</stp>
        <stp>STOCK</stp>
        <stp>63270.T</stp>
        <stp>出来高</stp>
        <tr r="J105" s="4"/>
        <tr r="C133" s="12"/>
        <tr r="J27" s="5"/>
      </tp>
      <tp t="s">
        <v/>
        <stp/>
        <stp>Market</stp>
        <stp>STOCK</stp>
        <stp>63050.T</stp>
        <stp>出来高</stp>
        <tr r="C203" s="12"/>
        <tr r="J85" s="5"/>
        <tr r="J107" s="4"/>
      </tp>
      <tp t="s">
        <v/>
        <stp/>
        <stp>Market</stp>
        <stp>STOCK</stp>
        <stp>62730.T</stp>
        <stp>出来高</stp>
        <tr r="C211" s="12"/>
      </tp>
      <tp t="s">
        <v/>
        <stp/>
        <stp>Market</stp>
        <stp>STOCK</stp>
        <stp>62540.T</stp>
        <stp>出来高</stp>
        <tr r="J108" s="4"/>
        <tr r="J5" s="5"/>
        <tr r="C30" s="12"/>
      </tp>
      <tp t="s">
        <v/>
        <stp/>
        <stp>Market</stp>
        <stp>STOCK</stp>
        <stp>62320.T</stp>
        <stp>出来高</stp>
        <tr r="J28" s="5"/>
        <tr r="J109" s="4"/>
        <tr r="C135" s="12"/>
      </tp>
      <tp t="s">
        <v/>
        <stp/>
        <stp>Market</stp>
        <stp>STOCK</stp>
        <stp>62270.T</stp>
        <stp>出来高</stp>
        <tr r="J110" s="4"/>
        <tr r="C132" s="12"/>
        <tr r="J108" s="5"/>
      </tp>
      <tp t="s">
        <v/>
        <stp/>
        <stp>Market</stp>
        <stp>STOCK</stp>
        <stp>62030.T</stp>
        <stp>出来高</stp>
        <tr r="J50" s="5"/>
        <tr r="J111" s="4"/>
        <tr r="C57" s="12"/>
      </tp>
      <tp t="s">
        <v/>
        <stp/>
        <stp>Market</stp>
        <stp>STOCK</stp>
        <stp>61780.T</stp>
        <stp>出来高</stp>
        <tr r="J59" s="5"/>
        <tr r="J112" s="4"/>
        <tr r="C104" s="12"/>
      </tp>
      <tp t="s">
        <v/>
        <stp/>
        <stp>Market</stp>
        <stp>STOCK</stp>
        <stp>61400.T</stp>
        <stp>出来高</stp>
        <tr r="C261" s="12"/>
      </tp>
      <tp t="s">
        <v/>
        <stp/>
        <stp>Market</stp>
        <stp>STOCK</stp>
        <stp>61460.T</stp>
        <stp>出来高</stp>
        <tr r="C197" s="12"/>
        <tr r="J120" s="5"/>
        <tr r="J113" s="4"/>
      </tp>
      <tp t="s">
        <v/>
        <stp/>
        <stp>Market</stp>
        <stp>STOCK</stp>
        <stp>61350.T</stp>
        <stp>出来高</stp>
        <tr r="C223" s="12"/>
      </tp>
      <tp t="s">
        <v/>
        <stp/>
        <stp>Market</stp>
        <stp>STOCK</stp>
        <stp>61340.T</stp>
        <stp>出来高</stp>
        <tr r="C92" s="12"/>
        <tr r="J25" s="5"/>
        <tr r="J114" s="4"/>
      </tp>
      <tp t="s">
        <v/>
        <stp/>
        <stp>Market</stp>
        <stp>STOCK</stp>
        <stp>60980.T</stp>
        <stp>出来高</stp>
        <tr r="C248" s="12"/>
      </tp>
      <tp t="s">
        <v/>
        <stp/>
        <stp>Market</stp>
        <stp>STOCK</stp>
        <stp>60850.T</stp>
        <stp>出来高</stp>
        <tr r="J150" s="5"/>
        <tr r="J115" s="4"/>
        <tr r="C137" s="12"/>
      </tp>
      <tp t="s">
        <v/>
        <stp/>
        <stp>Market</stp>
        <stp>STOCK</stp>
        <stp>60550.T</stp>
        <stp>出来高</stp>
        <tr r="C224" s="12"/>
      </tp>
      <tp t="s">
        <v/>
        <stp/>
        <stp>Market</stp>
        <stp>STOCK</stp>
        <stp>60270.T</stp>
        <stp>出来高</stp>
        <tr r="J116" s="4"/>
        <tr r="C72" s="12"/>
        <tr r="J98" s="5"/>
      </tp>
      <tp t="s">
        <v/>
        <stp/>
        <stp>Market</stp>
        <stp>STOCK</stp>
        <stp>67870.T</stp>
        <stp>出来高</stp>
        <tr r="C145" s="12"/>
        <tr r="J10" s="5"/>
        <tr r="J86" s="4"/>
      </tp>
      <tp t="s">
        <v/>
        <stp/>
        <stp>Market</stp>
        <stp>STOCK</stp>
        <stp>67770.T</stp>
        <stp>出来高</stp>
        <tr r="J130" s="5"/>
        <tr r="J87" s="4"/>
        <tr r="C144" s="12"/>
      </tp>
      <tp t="s">
        <v/>
        <stp/>
        <stp>Market</stp>
        <stp>STOCK</stp>
        <stp>67620.T</stp>
        <stp>出来高</stp>
        <tr r="C234" s="12"/>
      </tp>
      <tp t="s">
        <v/>
        <stp/>
        <stp>Market</stp>
        <stp>STOCK</stp>
        <stp>67530.T</stp>
        <stp>出来高</stp>
        <tr r="J90" s="4"/>
        <tr r="C188" s="12"/>
        <tr r="J162" s="5"/>
      </tp>
      <tp t="s">
        <v/>
        <stp/>
        <stp>Market</stp>
        <stp>STOCK</stp>
        <stp>67520.T</stp>
        <stp>出来高</stp>
        <tr r="C215" s="12"/>
      </tp>
      <tp t="s">
        <v/>
        <stp/>
        <stp>Market</stp>
        <stp>STOCK</stp>
        <stp>67540.T</stp>
        <stp>出来高</stp>
        <tr r="J89" s="4"/>
        <tr r="C155" s="12"/>
        <tr r="J31" s="5"/>
      </tp>
      <tp t="s">
        <v/>
        <stp/>
        <stp>Market</stp>
        <stp>STOCK</stp>
        <stp>67580.T</stp>
        <stp>出来高</stp>
        <tr r="C205" s="12"/>
        <tr r="J88" s="4"/>
        <tr r="J86" s="5"/>
      </tp>
      <tp t="s">
        <v/>
        <stp/>
        <stp>Market</stp>
        <stp>STOCK</stp>
        <stp>67400.T</stp>
        <stp>出来高</stp>
        <tr r="C140" s="12"/>
        <tr r="J189" s="5"/>
        <tr r="J92" s="4"/>
      </tp>
      <tp t="s">
        <v/>
        <stp/>
        <stp>Market</stp>
        <stp>STOCK</stp>
        <stp>67440.T</stp>
        <stp>出来高</stp>
        <tr r="J91" s="4"/>
        <tr r="C120" s="12"/>
        <tr r="J106" s="5"/>
      </tp>
      <tp t="s">
        <v/>
        <stp/>
        <stp>Market</stp>
        <stp>STOCK</stp>
        <stp>67360.T</stp>
        <stp>出来高</stp>
        <tr r="C287" s="12"/>
      </tp>
      <tp t="s">
        <v/>
        <stp/>
        <stp>Market</stp>
        <stp>STOCK</stp>
        <stp>67010.T</stp>
        <stp>出来高</stp>
        <tr r="C11" s="12"/>
        <tr r="J93" s="4"/>
        <tr r="J139" s="5"/>
      </tp>
      <tp t="s">
        <v/>
        <stp/>
        <stp>Market</stp>
        <stp>STOCK</stp>
        <stp>67060.T</stp>
        <stp>出来高</stp>
        <tr r="C291" s="12"/>
      </tp>
      <tp t="s">
        <v/>
        <stp/>
        <stp>Market</stp>
        <stp>STOCK</stp>
        <stp>66740.T</stp>
        <stp>出来高</stp>
        <tr r="C264" s="12"/>
      </tp>
      <tp t="s">
        <v/>
        <stp/>
        <stp>Market</stp>
        <stp>STOCK</stp>
        <stp>66220.T</stp>
        <stp>出来高</stp>
        <tr r="C216" s="12"/>
      </tp>
      <tp t="s">
        <v/>
        <stp/>
        <stp>Market</stp>
        <stp>STOCK</stp>
        <stp>66130.T</stp>
        <stp>出来高</stp>
        <tr r="J3" s="5"/>
        <tr r="J94" s="4"/>
        <tr r="C141" s="12"/>
      </tp>
      <tp t="s">
        <v/>
        <stp/>
        <stp>Market</stp>
        <stp>STOCK</stp>
        <stp>65210.T</stp>
        <stp>出来高</stp>
        <tr r="C242" s="12"/>
      </tp>
      <tp t="s">
        <v/>
        <stp/>
        <stp>Market</stp>
        <stp>STOCK</stp>
        <stp>65220.T</stp>
        <stp>出来高</stp>
        <tr r="C143" s="12"/>
        <tr r="J95" s="4"/>
        <tr r="J111" s="5"/>
      </tp>
      <tp t="s">
        <v/>
        <stp/>
        <stp>Market</stp>
        <stp>STOCK</stp>
        <stp>65160.T</stp>
        <stp>出来高</stp>
        <tr r="C151" s="12"/>
        <tr r="J96" s="4"/>
        <tr r="J29" s="5"/>
      </tp>
      <tp t="s">
        <v/>
        <stp/>
        <stp>Market</stp>
        <stp>STOCK</stp>
        <stp>65010.T</stp>
        <stp>出来高</stp>
        <tr r="C91" s="12"/>
        <tr r="J126" s="5"/>
        <tr r="J100" s="4"/>
      </tp>
      <tp t="s">
        <v/>
        <stp/>
        <stp>Market</stp>
        <stp>STOCK</stp>
        <stp>65030.T</stp>
        <stp>出来高</stp>
        <tr r="C68" s="12"/>
        <tr r="J99" s="4"/>
        <tr r="J39" s="5"/>
      </tp>
      <tp t="s">
        <v/>
        <stp/>
        <stp>Market</stp>
        <stp>STOCK</stp>
        <stp>65070.T</stp>
        <stp>出来高</stp>
        <tr r="J97" s="4"/>
        <tr r="J64" s="5"/>
        <tr r="C183" s="12"/>
      </tp>
      <tp t="s">
        <v/>
        <stp/>
        <stp>Market</stp>
        <stp>STOCK</stp>
        <stp>65060.T</stp>
        <stp>出来高</stp>
        <tr r="J20" s="5"/>
        <tr r="J98" s="4"/>
        <tr r="C201" s="12"/>
      </tp>
      <tp t="s">
        <v/>
        <stp/>
        <stp>Market</stp>
        <stp>STOCK</stp>
        <stp>64820.T</stp>
        <stp>出来高</stp>
        <tr r="C290" s="12"/>
      </tp>
      <tp t="s">
        <v/>
        <stp/>
        <stp>Market</stp>
        <stp>STOCK</stp>
        <stp>64850.T</stp>
        <stp>出来高</stp>
        <tr r="J194" s="5"/>
        <tr r="C191" s="12"/>
        <tr r="J6" s="4"/>
      </tp>
      <tp t="s">
        <v/>
        <stp/>
        <stp>Market</stp>
        <stp>STOCK</stp>
        <stp>64880.T</stp>
        <stp>出来高</stp>
        <tr r="C280" s="12"/>
      </tp>
      <tp t="s">
        <v/>
        <stp/>
        <stp>Market</stp>
        <stp>STOCK</stp>
        <stp>64790.T</stp>
        <stp>出来高</stp>
        <tr r="C79" s="12"/>
        <tr r="J24" s="5"/>
        <tr r="J101" s="4"/>
      </tp>
      <tp t="s">
        <v/>
        <stp/>
        <stp>Market</stp>
        <stp>STOCK</stp>
        <stp>64360.T</stp>
        <stp>出来高</stp>
        <tr r="J155" s="5"/>
        <tr r="J102" s="4"/>
        <tr r="C178" s="12"/>
      </tp>
      <tp t="s">
        <v/>
        <stp/>
        <stp>Market</stp>
        <stp>STOCK</stp>
        <stp>64070.T</stp>
        <stp>出来高</stp>
        <tr r="C295" s="12"/>
      </tp>
    </main>
    <main first="rtdsrv.1affdd1a84884b47aa44e2c617a0fa7a">
      <tp t="s">
        <v/>
        <stp/>
        <stp>Market</stp>
        <stp>STOCK</stp>
        <stp>79810.T</stp>
        <stp>出来高</stp>
        <tr r="J63" s="4"/>
        <tr r="C171" s="12"/>
        <tr r="J116" s="5"/>
      </tp>
      <tp t="s">
        <v/>
        <stp/>
        <stp>Market</stp>
        <stp>STOCK</stp>
        <stp>79720.T</stp>
        <stp>出来高</stp>
        <tr r="C241" s="12"/>
      </tp>
      <tp t="s">
        <v/>
        <stp/>
        <stp>Market</stp>
        <stp>STOCK</stp>
        <stp>79520.T</stp>
        <stp>出来高</stp>
        <tr r="C276" s="12"/>
      </tp>
      <tp t="s">
        <v/>
        <stp/>
        <stp>Market</stp>
        <stp>STOCK</stp>
        <stp>78460.T</stp>
        <stp>出来高</stp>
        <tr r="J64" s="4"/>
        <tr r="C75" s="12"/>
        <tr r="J202" s="5"/>
      </tp>
      <tp t="s">
        <v/>
        <stp/>
        <stp>Market</stp>
        <stp>STOCK</stp>
        <stp>78060.T</stp>
        <stp>出来高</stp>
        <tr r="J65" s="4"/>
        <tr r="C73" s="12"/>
        <tr r="J55" s="5"/>
      </tp>
      <tp t="s">
        <v/>
        <stp/>
        <stp>Market</stp>
        <stp>STOCK</stp>
        <stp>73810.T</stp>
        <stp>出来高</stp>
        <tr r="C152" s="12"/>
        <tr r="J70" s="4"/>
        <tr r="J63" s="5"/>
      </tp>
      <tp t="s">
        <v/>
        <stp/>
        <stp>Market</stp>
        <stp>STOCK</stp>
        <stp>73750.T</stp>
        <stp>出来高</stp>
        <tr r="J71" s="4"/>
        <tr r="J190" s="5"/>
        <tr r="C149" s="12"/>
      </tp>
      <tp t="s">
        <v/>
        <stp/>
        <stp>Market</stp>
        <stp>STOCK</stp>
        <stp>72700.T</stp>
        <stp>出来高</stp>
        <tr r="C286" s="12"/>
      </tp>
      <tp t="s">
        <v/>
        <stp/>
        <stp>Market</stp>
        <stp>STOCK</stp>
        <stp>72360.T</stp>
        <stp>出来高</stp>
        <tr r="C177" s="12"/>
        <tr r="J72" s="4"/>
        <tr r="J137" s="5"/>
      </tp>
      <tp t="s">
        <v/>
        <stp/>
        <stp>Market</stp>
        <stp>STOCK</stp>
        <stp>72030.T</stp>
        <stp>出来高</stp>
        <tr r="J73" s="5"/>
        <tr r="J73" s="4"/>
        <tr r="C77" s="12"/>
      </tp>
      <tp t="s">
        <v/>
        <stp/>
        <stp>Market</stp>
        <stp>STOCK</stp>
        <stp>71810.T</stp>
        <stp>出来高</stp>
        <tr r="C190" s="12"/>
        <tr r="J5" s="4"/>
        <tr r="J119" s="5"/>
      </tp>
      <tp t="s">
        <v/>
        <stp/>
        <stp>Market</stp>
        <stp>STOCK</stp>
        <stp>71820.T</stp>
        <stp>出来高</stp>
        <tr r="J102" s="5"/>
        <tr r="J74" s="4"/>
        <tr r="C85" s="12"/>
      </tp>
      <tp t="s">
        <v/>
        <stp/>
        <stp>Market</stp>
        <stp>STOCK</stp>
        <stp>71670.T</stp>
        <stp>出来高</stp>
        <tr r="J101" s="5"/>
        <tr r="C82" s="12"/>
        <tr r="J75" s="4"/>
      </tp>
      <tp t="s">
        <v/>
        <stp/>
        <stp>Market</stp>
        <stp>STOCK</stp>
        <stp>70480.T</stp>
        <stp>出来高</stp>
        <tr r="C296" s="12"/>
      </tp>
      <tp t="s">
        <v/>
        <stp/>
        <stp>Market</stp>
        <stp>STOCK</stp>
        <stp>70210.T</stp>
        <stp>出来高</stp>
        <tr r="J76" s="5"/>
        <tr r="C106" s="12"/>
        <tr r="J76" s="4"/>
      </tp>
      <tp t="s">
        <v/>
        <stp/>
        <stp>Market</stp>
        <stp>STOCK</stp>
        <stp>70110.T</stp>
        <stp>出来高</stp>
        <tr r="J197" s="5"/>
        <tr r="C207" s="12"/>
        <tr r="J77" s="4"/>
      </tp>
      <tp t="s">
        <v/>
        <stp/>
        <stp>Market</stp>
        <stp>STOCK</stp>
        <stp>70130.T</stp>
        <stp>出来高</stp>
        <tr r="C231" s="12"/>
      </tp>
      <tp t="s">
        <v/>
        <stp/>
        <stp>Market</stp>
        <stp>STOCK</stp>
        <stp>70140.T</stp>
        <stp>出来高</stp>
        <tr r="C256" s="12"/>
      </tp>
      <tp t="s">
        <v/>
        <stp/>
        <stp>Market</stp>
        <stp>STOCK</stp>
        <stp>77940.T</stp>
        <stp>出来高</stp>
        <tr r="C136" s="12"/>
        <tr r="J66" s="4"/>
        <tr r="J80" s="5"/>
      </tp>
      <tp t="s">
        <v/>
        <stp/>
        <stp>Market</stp>
        <stp>STOCK</stp>
        <stp>77410.T</stp>
        <stp>出来高</stp>
        <tr r="C302" s="12"/>
      </tp>
      <tp t="s">
        <v/>
        <stp/>
        <stp>Market</stp>
        <stp>STOCK</stp>
        <stp>77460.T</stp>
        <stp>出来高</stp>
        <tr r="J67" s="4"/>
        <tr r="C93" s="12"/>
        <tr r="J144" s="5"/>
      </tp>
      <tp t="s">
        <v/>
        <stp/>
        <stp>Market</stp>
        <stp>STOCK</stp>
        <stp>77350.T</stp>
        <stp>出来高</stp>
        <tr r="C283" s="12"/>
      </tp>
      <tp t="s">
        <v/>
        <stp/>
        <stp>Market</stp>
        <stp>STOCK</stp>
        <stp>77290.T</stp>
        <stp>出来高</stp>
        <tr r="J18" s="5"/>
        <tr r="J68" s="4"/>
        <tr r="C107" s="12"/>
      </tp>
      <tp t="s">
        <v/>
        <stp/>
        <stp>Market</stp>
        <stp>STOCK</stp>
        <stp>77110.T</stp>
        <stp>出来高</stp>
        <tr r="C268" s="12"/>
      </tp>
      <tp t="s">
        <v/>
        <stp/>
        <stp>Market</stp>
        <stp>STOCK</stp>
        <stp>76850.T</stp>
        <stp>出来高</stp>
        <tr r="J148" s="5"/>
        <tr r="J69" s="4"/>
        <tr r="C121" s="12"/>
      </tp>
      <tp t="s">
        <v/>
        <stp/>
        <stp>Market</stp>
        <stp>STOCK</stp>
        <stp>76090.T</stp>
        <stp>出来高</stp>
        <tr r="C240" s="12"/>
      </tp>
      <tp t="s">
        <v/>
        <stp/>
        <stp>Market</stp>
        <stp>STOCK</stp>
        <stp>75320.T</stp>
        <stp>出来高</stp>
        <tr r="C305" s="12"/>
      </tp>
      <tp t="s">
        <v/>
        <stp/>
        <stp>Market</stp>
        <stp>STOCK</stp>
        <stp>74140.T</stp>
        <stp>出来高</stp>
        <tr r="C294" s="12"/>
      </tp>
      <tp t="s">
        <v/>
        <stp/>
        <stp>Market</stp>
        <stp>STOCK</stp>
        <stp>49800.T</stp>
        <stp>出来高</stp>
        <tr r="J149" s="4"/>
        <tr r="J72" s="5"/>
        <tr r="C69" s="12"/>
      </tp>
      <tp t="s">
        <v/>
        <stp/>
        <stp>Market</stp>
        <stp>STOCK</stp>
        <stp>49660.T</stp>
        <stp>出来高</stp>
        <tr r="J150" s="4"/>
        <tr r="C196" s="12"/>
        <tr r="J34" s="5"/>
      </tp>
      <tp t="s">
        <v/>
        <stp/>
        <stp>Market</stp>
        <stp>STOCK</stp>
        <stp>48870.T</stp>
        <stp>出来高</stp>
        <tr r="J195" s="5"/>
        <tr r="C192" s="12"/>
        <tr r="J152" s="4"/>
      </tp>
      <tp t="s">
        <v/>
        <stp/>
        <stp>Market</stp>
        <stp>STOCK</stp>
        <stp>48880.T</stp>
        <stp>出来高</stp>
        <tr r="J131" s="5"/>
        <tr r="J151" s="4"/>
        <tr r="C146" s="12"/>
      </tp>
      <tp t="s">
        <v/>
        <stp/>
        <stp>Market</stp>
        <stp>STOCK</stp>
        <stp>485A0.T</stp>
        <stp>出来高</stp>
        <tr r="C221" s="12"/>
      </tp>
      <tp t="s">
        <v/>
        <stp/>
        <stp>Market</stp>
        <stp>STOCK</stp>
        <stp>43920.T</stp>
        <stp>出来高</stp>
        <tr r="C235" s="12"/>
      </tp>
      <tp t="s">
        <v/>
        <stp/>
        <stp>Market</stp>
        <stp>STOCK</stp>
        <stp>43820.T</stp>
        <stp>出来高</stp>
        <tr r="J192" s="5"/>
        <tr r="J164" s="4"/>
        <tr r="C173" s="12"/>
      </tp>
      <tp t="s">
        <v/>
        <stp/>
        <stp>Market</stp>
        <stp>STOCK</stp>
        <stp>43730.T</stp>
        <stp>出来高</stp>
        <tr r="J165" s="4"/>
        <tr r="C160" s="12"/>
        <tr r="J82" s="5"/>
      </tp>
      <tp t="s">
        <v/>
        <stp/>
        <stp>Market</stp>
        <stp>STOCK</stp>
        <stp>43070.T</stp>
        <stp>出来高</stp>
        <tr r="J151" s="5"/>
        <tr r="J166" s="4"/>
        <tr r="C150" s="12"/>
      </tp>
      <tp t="s">
        <v/>
        <stp/>
        <stp>Market</stp>
        <stp>STOCK</stp>
        <stp>42220.T</stp>
        <stp>出来高</stp>
        <tr r="C229" s="12"/>
      </tp>
      <tp t="s">
        <v/>
        <stp/>
        <stp>Market</stp>
        <stp>STOCK</stp>
        <stp>42180.T</stp>
        <stp>出来高</stp>
        <tr r="C282" s="12"/>
      </tp>
      <tp t="s">
        <v/>
        <stp/>
        <stp>Market</stp>
        <stp>STOCK</stp>
        <stp>42080.T</stp>
        <stp>出来高</stp>
        <tr r="C298" s="12"/>
      </tp>
      <tp t="s">
        <v/>
        <stp/>
        <stp>Market</stp>
        <stp>STOCK</stp>
        <stp>41820.T</stp>
        <stp>出来高</stp>
        <tr r="J75" s="5"/>
        <tr r="J168" s="4"/>
        <tr r="C97" s="12"/>
      </tp>
      <tp t="s">
        <v/>
        <stp/>
        <stp>Market</stp>
        <stp>STOCK</stp>
        <stp>41880.T</stp>
        <stp>出来高</stp>
        <tr r="C98" s="12"/>
        <tr r="J145" s="5"/>
        <tr r="J167" s="4"/>
      </tp>
      <tp t="s">
        <v/>
        <stp/>
        <stp>Market</stp>
        <stp>STOCK</stp>
        <stp>40910.T</stp>
        <stp>出来高</stp>
        <tr r="J152" s="5"/>
        <tr r="C157" s="12"/>
        <tr r="J169" s="4"/>
      </tp>
      <tp t="s">
        <v/>
        <stp/>
        <stp>Market</stp>
        <stp>STOCK</stp>
        <stp>40820.T</stp>
        <stp>出来高</stp>
        <tr r="J171" s="4"/>
        <tr r="C129" s="12"/>
        <tr r="J9" s="5"/>
      </tp>
      <tp t="s">
        <v/>
        <stp/>
        <stp>Market</stp>
        <stp>STOCK</stp>
        <stp>40880.T</stp>
        <stp>出来高</stp>
        <tr r="J170" s="4"/>
        <tr r="J132" s="5"/>
        <tr r="C156" s="12"/>
      </tp>
      <tp t="s">
        <v/>
        <stp/>
        <stp>Market</stp>
        <stp>STOCK</stp>
        <stp>40630.T</stp>
        <stp>出来高</stp>
        <tr r="J14" s="5"/>
        <tr r="J172" s="4"/>
        <tr r="C66" s="12"/>
      </tp>
      <tp t="s">
        <v/>
        <stp/>
        <stp>Market</stp>
        <stp>STOCK</stp>
        <stp>40620.T</stp>
        <stp>出来高</stp>
        <tr r="J173" s="4"/>
        <tr r="J56" s="5"/>
        <tr r="C96" s="12"/>
      </tp>
      <tp t="s">
        <v/>
        <stp/>
        <stp>Market</stp>
        <stp>STOCK</stp>
        <stp>40450.T</stp>
        <stp>出来高</stp>
        <tr r="J174" s="4"/>
        <tr r="C61" s="12"/>
        <tr r="J178" s="5"/>
      </tp>
      <tp t="s">
        <v/>
        <stp/>
        <stp>Market</stp>
        <stp>STOCK</stp>
        <stp>40470.T</stp>
        <stp>出来高</stp>
        <tr r="C289" s="12"/>
      </tp>
      <tp t="s">
        <v/>
        <stp/>
        <stp>Market</stp>
        <stp>STOCK</stp>
        <stp>40040.T</stp>
        <stp>出来高</stp>
        <tr r="C213" s="12"/>
      </tp>
      <tp t="s">
        <v/>
        <stp/>
        <stp>Market</stp>
        <stp>STOCK</stp>
        <stp>40080.T</stp>
        <stp>出来高</stp>
        <tr r="C95" s="12"/>
        <tr r="J175" s="4"/>
        <tr r="J127" s="5"/>
      </tp>
      <tp t="s">
        <v/>
        <stp/>
        <stp>Market</stp>
        <stp>STOCK</stp>
        <stp>47760.T</stp>
        <stp>出来高</stp>
        <tr r="C253" s="12"/>
      </tp>
      <tp t="s">
        <v/>
        <stp/>
        <stp>Market</stp>
        <stp>STOCK</stp>
        <stp>47330.T</stp>
        <stp>出来高</stp>
        <tr r="J133" s="5"/>
        <tr r="J153" s="4"/>
        <tr r="C165" s="12"/>
      </tp>
      <tp t="s">
        <v/>
        <stp/>
        <stp>Market</stp>
        <stp>STOCK</stp>
        <stp>47040.T</stp>
        <stp>出来高</stp>
        <tr r="C254" s="12"/>
      </tp>
      <tp t="s">
        <v/>
        <stp/>
        <stp>Market</stp>
        <stp>STOCK</stp>
        <stp>47090.T</stp>
        <stp>出来高</stp>
        <tr r="J154" s="4"/>
        <tr r="J115" s="5"/>
        <tr r="C170" s="12"/>
      </tp>
      <tp t="s">
        <v/>
        <stp/>
        <stp>Market</stp>
        <stp>STOCK</stp>
        <stp>46760.T</stp>
        <stp>出来高</stp>
        <tr r="C58" s="12"/>
        <tr r="J177" s="5"/>
        <tr r="J155" s="4"/>
      </tp>
      <tp t="s">
        <v/>
        <stp/>
        <stp>Market</stp>
        <stp>STOCK</stp>
        <stp>46610.T</stp>
        <stp>出来高</stp>
        <tr r="J103" s="5"/>
        <tr r="J156" s="4"/>
        <tr r="C101" s="12"/>
      </tp>
      <tp t="s">
        <v/>
        <stp/>
        <stp>Market</stp>
        <stp>STOCK</stp>
        <stp>464A0.T</stp>
        <stp>出来高</stp>
        <tr r="C220" s="12"/>
      </tp>
      <tp t="s">
        <v/>
        <stp/>
        <stp>Market</stp>
        <stp>STOCK</stp>
        <stp>45680.T</stp>
        <stp>出来高</stp>
        <tr r="C142" s="12"/>
        <tr r="J110" s="5"/>
        <tr r="J7" s="4"/>
      </tp>
      <tp t="s">
        <v/>
        <stp/>
        <stp>Market</stp>
        <stp>STOCK</stp>
        <stp>45400.T</stp>
        <stp>出来高</stp>
        <tr r="J124" s="5"/>
        <tr r="C64" s="12"/>
        <tr r="J157" s="4"/>
      </tp>
      <tp t="s">
        <v/>
        <stp/>
        <stp>Market</stp>
        <stp>STOCK</stp>
        <stp>45440.T</stp>
        <stp>出来高</stp>
        <tr r="C273" s="12"/>
      </tp>
      <tp t="s">
        <v/>
        <stp/>
        <stp>Market</stp>
        <stp>STOCK</stp>
        <stp>45360.T</stp>
        <stp>出来高</stp>
        <tr r="J158" s="4"/>
        <tr r="C67" s="12"/>
        <tr r="J125" s="5"/>
      </tp>
      <tp t="s">
        <v/>
        <stp/>
        <stp>Market</stp>
        <stp>STOCK</stp>
        <stp>45230.T</stp>
        <stp>出来高</stp>
        <tr r="J160" s="4"/>
        <tr r="C99" s="12"/>
        <tr r="J184" s="5"/>
      </tp>
      <tp t="s">
        <v/>
        <stp/>
        <stp>Market</stp>
        <stp>STOCK</stp>
        <stp>45280.T</stp>
        <stp>出来高</stp>
        <tr r="C100" s="12"/>
        <tr r="J17" s="5"/>
        <tr r="J159" s="4"/>
      </tp>
      <tp t="s">
        <v/>
        <stp/>
        <stp>Market</stp>
        <stp>STOCK</stp>
        <stp>45190.T</stp>
        <stp>出来高</stp>
        <tr r="J161" s="4"/>
        <tr r="C130" s="12"/>
        <tr r="J205" s="5"/>
      </tp>
      <tp t="s">
        <v/>
        <stp/>
        <stp>Market</stp>
        <stp>STOCK</stp>
        <stp>45020.T</stp>
        <stp>出来高</stp>
        <tr r="C212" s="12"/>
      </tp>
      <tp t="s">
        <v/>
        <stp/>
        <stp>Market</stp>
        <stp>STOCK</stp>
        <stp>44220.T</stp>
        <stp>出来高</stp>
        <tr r="C139" s="12"/>
        <tr r="J188" s="5"/>
        <tr r="J162" s="4"/>
      </tp>
      <tp t="s">
        <v/>
        <stp/>
        <stp>Market</stp>
        <stp>STOCK</stp>
        <stp>44170.T</stp>
        <stp>出来高</stp>
        <tr r="C153" s="12"/>
        <tr r="J112" s="5"/>
        <tr r="J163" s="4"/>
      </tp>
    </main>
    <main first="rtdsrv.1affdd1a84884b47aa44e2c617a0fa7a">
      <tp t="s">
        <v/>
        <stp/>
        <stp>Market</stp>
        <stp>STOCK</stp>
        <stp>59470.T</stp>
        <stp>出来高</stp>
        <tr r="C42" s="12"/>
        <tr r="J117" s="4"/>
        <tr r="J96" s="5"/>
      </tp>
      <tp t="s">
        <v/>
        <stp/>
        <stp>Market</stp>
        <stp>STOCK</stp>
        <stp>59380.T</stp>
        <stp>出来高</stp>
        <tr r="C36" s="12"/>
        <tr r="J118" s="4"/>
        <tr r="J93" s="5"/>
      </tp>
      <tp t="s">
        <v/>
        <stp/>
        <stp>Market</stp>
        <stp>STOCK</stp>
        <stp>59290.T</stp>
        <stp>出来高</stp>
        <tr r="J69" s="5"/>
        <tr r="J119" s="4"/>
        <tr r="C49" s="12"/>
      </tp>
      <tp t="s">
        <v/>
        <stp/>
        <stp>Market</stp>
        <stp>STOCK</stp>
        <stp>59010.T</stp>
        <stp>出来高</stp>
        <tr r="C55" s="12"/>
        <tr r="J71" s="5"/>
        <tr r="J120" s="4"/>
      </tp>
      <tp t="s">
        <v/>
        <stp/>
        <stp>Market</stp>
        <stp>STOCK</stp>
        <stp>58920.T</stp>
        <stp>出来高</stp>
        <tr r="C89" s="12"/>
        <tr r="J74" s="5"/>
        <tr r="J121" s="4"/>
      </tp>
      <tp t="s">
        <v/>
        <stp/>
        <stp>Market</stp>
        <stp>STOCK</stp>
        <stp>58570.T</stp>
        <stp>出来高</stp>
        <tr r="J122" s="4"/>
        <tr r="J52" s="5"/>
        <tr r="C62" s="12"/>
      </tp>
      <tp t="s">
        <v/>
        <stp/>
        <stp>Market</stp>
        <stp>STOCK</stp>
        <stp>58440.T</stp>
        <stp>出来高</stp>
        <tr r="J123" s="4"/>
        <tr r="J61" s="5"/>
        <tr r="C118" s="12"/>
      </tp>
      <tp t="s">
        <v/>
        <stp/>
        <stp>Market</stp>
        <stp>STOCK</stp>
        <stp>58380.T</stp>
        <stp>出来高</stp>
        <tr r="C117" s="12"/>
        <tr r="J147" s="5"/>
        <tr r="J124" s="4"/>
      </tp>
      <tp t="s">
        <v/>
        <stp/>
        <stp>Market</stp>
        <stp>STOCK</stp>
        <stp>58010.T</stp>
        <stp>出来高</stp>
        <tr r="J45" s="5"/>
        <tr r="J127" s="4"/>
        <tr r="C200" s="12"/>
      </tp>
      <tp t="s">
        <v/>
        <stp/>
        <stp>Market</stp>
        <stp>STOCK</stp>
        <stp>58030.T</stp>
        <stp>出来高</stp>
        <tr r="J125" s="4"/>
        <tr r="J58" s="5"/>
        <tr r="C103" s="12"/>
      </tp>
      <tp t="s">
        <v/>
        <stp/>
        <stp>Market</stp>
        <stp>STOCK</stp>
        <stp>58020.T</stp>
        <stp>出来高</stp>
        <tr r="C102" s="12"/>
        <tr r="J126" s="4"/>
        <tr r="J57" s="5"/>
      </tp>
      <tp t="s">
        <v/>
        <stp/>
        <stp>Market</stp>
        <stp>STOCK</stp>
        <stp>53330.T</stp>
        <stp>出来高</stp>
        <tr r="J141" s="4"/>
        <tr r="J37" s="5"/>
        <tr r="C17" s="12"/>
      </tp>
      <tp t="s">
        <v/>
        <stp/>
        <stp>Market</stp>
        <stp>STOCK</stp>
        <stp>53320.T</stp>
        <stp>出来高</stp>
        <tr r="C21" s="12"/>
        <tr r="J12" s="5"/>
        <tr r="J142" s="4"/>
      </tp>
      <tp t="s">
        <v/>
        <stp/>
        <stp>Market</stp>
        <stp>STOCK</stp>
        <stp>52530.T</stp>
        <stp>出来高</stp>
        <tr r="C258" s="12"/>
      </tp>
      <tp t="s">
        <v/>
        <stp/>
        <stp>Market</stp>
        <stp>STOCK</stp>
        <stp>52430.T</stp>
        <stp>出来高</stp>
        <tr r="J143" s="4"/>
        <tr r="J138" s="5"/>
        <tr r="C193" s="12"/>
      </tp>
      <tp t="s">
        <v/>
        <stp/>
        <stp>Market</stp>
        <stp>STOCK</stp>
        <stp>52330.T</stp>
        <stp>出来高</stp>
        <tr r="J144" s="4"/>
        <tr r="C34" s="12"/>
        <tr r="J170" s="5"/>
      </tp>
      <tp t="s">
        <v/>
        <stp/>
        <stp>Market</stp>
        <stp>STOCK</stp>
        <stp>52010.T</stp>
        <stp>出来高</stp>
        <tr r="J175" s="5"/>
        <tr r="J145" s="4"/>
        <tr r="C53" s="12"/>
      </tp>
      <tp t="s">
        <v/>
        <stp/>
        <stp>Market</stp>
        <stp>STOCK</stp>
        <stp>50210.T</stp>
        <stp>出来高</stp>
        <tr r="J88" s="5"/>
        <tr r="J146" s="4"/>
        <tr r="C15" s="12"/>
      </tp>
      <tp t="s">
        <v/>
        <stp/>
        <stp>Market</stp>
        <stp>STOCK</stp>
        <stp>50200.T</stp>
        <stp>出来高</stp>
        <tr r="J147" s="4"/>
        <tr r="J141" s="5"/>
        <tr r="C29" s="12"/>
      </tp>
      <tp t="s">
        <v/>
        <stp/>
        <stp>Market</stp>
        <stp>STOCK</stp>
        <stp>50190.T</stp>
        <stp>出来高</stp>
        <tr r="C24" s="12"/>
        <tr r="J148" s="4"/>
        <tr r="J140" s="5"/>
      </tp>
      <tp t="s">
        <v/>
        <stp/>
        <stp>Market</stp>
        <stp>STOCK</stp>
        <stp>57110.T</stp>
        <stp>出来高</stp>
        <tr r="C9" s="12"/>
        <tr r="J87" s="5"/>
        <tr r="J130" s="4"/>
      </tp>
      <tp t="s">
        <v/>
        <stp/>
        <stp>Market</stp>
        <stp>STOCK</stp>
        <stp>57130.T</stp>
        <stp>出来高</stp>
        <tr r="J129" s="4"/>
        <tr r="J46" s="5"/>
        <tr r="C8" s="12"/>
      </tp>
      <tp t="s">
        <v/>
        <stp/>
        <stp>Market</stp>
        <stp>STOCK</stp>
        <stp>57140.T</stp>
        <stp>出来高</stp>
        <tr r="C10" s="12"/>
        <tr r="J47" s="5"/>
        <tr r="J128" s="4"/>
      </tp>
      <tp t="s">
        <v/>
        <stp/>
        <stp>Market</stp>
        <stp>STOCK</stp>
        <stp>57030.T</stp>
        <stp>出来高</stp>
        <tr r="J48" s="5"/>
        <tr r="J132" s="4"/>
        <tr r="C13" s="12"/>
      </tp>
      <tp t="s">
        <v/>
        <stp/>
        <stp>Market</stp>
        <stp>STOCK</stp>
        <stp>57020.T</stp>
        <stp>出来高</stp>
        <tr r="C275" s="12"/>
      </tp>
      <tp t="s">
        <v/>
        <stp/>
        <stp>Market</stp>
        <stp>STOCK</stp>
        <stp>57060.T</stp>
        <stp>出来高</stp>
        <tr r="J131" s="4"/>
        <tr r="J11" s="5"/>
        <tr r="C6" s="12"/>
      </tp>
      <tp t="s">
        <v/>
        <stp/>
        <stp>Market</stp>
        <stp>STOCK</stp>
        <stp>56310.T</stp>
        <stp>出来高</stp>
        <tr r="C263" s="12"/>
      </tp>
      <tp t="s">
        <v/>
        <stp/>
        <stp>Market</stp>
        <stp>STOCK</stp>
        <stp>56320.T</stp>
        <stp>出来高</stp>
        <tr r="C247" s="12"/>
      </tp>
      <tp t="s">
        <v/>
        <stp/>
        <stp>Market</stp>
        <stp>STOCK</stp>
        <stp>55410.T</stp>
        <stp>出来高</stp>
        <tr r="J90" s="5"/>
        <tr r="C20" s="12"/>
        <tr r="J133" s="4"/>
      </tp>
      <tp t="s">
        <v/>
        <stp/>
        <stp>Market</stp>
        <stp>STOCK</stp>
        <stp>54400.T</stp>
        <stp>出来高</stp>
        <tr r="J135" s="4"/>
        <tr r="C180" s="12"/>
        <tr r="J156" s="5"/>
      </tp>
      <tp t="s">
        <v/>
        <stp/>
        <stp>Market</stp>
        <stp>STOCK</stp>
        <stp>54490.T</stp>
        <stp>出来高</stp>
        <tr r="C51" s="12"/>
        <tr r="J97" s="5"/>
        <tr r="J134" s="4"/>
      </tp>
      <tp t="s">
        <v/>
        <stp/>
        <stp>Market</stp>
        <stp>STOCK</stp>
        <stp>54230.T</stp>
        <stp>出来高</stp>
        <tr r="J136" s="4"/>
        <tr r="C7" s="12"/>
        <tr r="J165" s="5"/>
      </tp>
      <tp t="s">
        <v/>
        <stp/>
        <stp>Market</stp>
        <stp>STOCK</stp>
        <stp>54110.T</stp>
        <stp>出来高</stp>
        <tr r="J7" s="5"/>
        <tr r="C84" s="12"/>
        <tr r="J137" s="4"/>
      </tp>
      <tp t="s">
        <v/>
        <stp/>
        <stp>Market</stp>
        <stp>STOCK</stp>
        <stp>54100.T</stp>
        <stp>出来高</stp>
        <tr r="J118" s="5"/>
        <tr r="C179" s="12"/>
        <tr r="J138" s="4"/>
      </tp>
      <tp t="s">
        <v/>
        <stp/>
        <stp>Market</stp>
        <stp>STOCK</stp>
        <stp>54010.T</stp>
        <stp>出来高</stp>
        <tr r="C46" s="12"/>
        <tr r="J140" s="4"/>
        <tr r="J173" s="5"/>
      </tp>
      <tp t="s">
        <v/>
        <stp/>
        <stp>Market</stp>
        <stp>STOCK</stp>
        <stp>54060.T</stp>
        <stp>出来高</stp>
        <tr r="C38" s="12"/>
        <tr r="J95" s="5"/>
        <tr r="J139" s="4"/>
      </tp>
    </main>
    <main first="rtdsrv.1affdd1a84884b47aa44e2c617a0fa7a">
      <tp t="s">
        <v/>
        <stp/>
        <stp>Market</stp>
        <stp>STOCK</stp>
        <stp>29330.T</stp>
        <stp>出来高</stp>
        <tr r="C288" s="12"/>
      </tp>
      <tp t="s">
        <v/>
        <stp/>
        <stp>Market</stp>
        <stp>STOCK</stp>
        <stp>29140.T</stp>
        <stp>出来高</stp>
        <tr r="J182" s="5"/>
        <tr r="C87" s="12"/>
        <tr r="J189" s="4"/>
      </tp>
      <tp t="s">
        <v/>
        <stp/>
        <stp>Market</stp>
        <stp>STOCK</stp>
        <stp>285A0.T</stp>
        <stp>出来高</stp>
        <tr r="C218" s="12"/>
      </tp>
      <tp t="s">
        <v/>
        <stp/>
        <stp>Market</stp>
        <stp>STOCK</stp>
        <stp>281A0.T</stp>
        <stp>出来高</stp>
        <tr r="C266" s="12"/>
      </tp>
      <tp t="s">
        <v/>
        <stp/>
        <stp>Market</stp>
        <stp>STOCK</stp>
        <stp>28020.T</stp>
        <stp>出来高</stp>
        <tr r="J190" s="4"/>
        <tr r="J23" s="5"/>
        <tr r="C76" s="12"/>
      </tp>
      <tp t="s">
        <v/>
        <stp/>
        <stp>Market</stp>
        <stp>STOCK</stp>
        <stp>23590.T</stp>
        <stp>出来高</stp>
        <tr r="J135" s="5"/>
        <tr r="C168" s="12"/>
        <tr r="J193" s="4"/>
      </tp>
      <tp t="s">
        <v/>
        <stp/>
        <stp>Market</stp>
        <stp>STOCK</stp>
        <stp>23270.T</stp>
        <stp>出来高</stp>
        <tr r="J194" s="4"/>
        <tr r="J154" s="5"/>
        <tr r="C174" s="12"/>
      </tp>
      <tp t="s">
        <v/>
        <stp/>
        <stp>Market</stp>
        <stp>STOCK</stp>
        <stp>23260.T</stp>
        <stp>出来高</stp>
        <tr r="C237" s="12"/>
      </tp>
    </main>
    <main first="rtdsrv.1affdd1a84884b47aa44e2c617a0fa7a">
      <tp t="s">
        <v/>
        <stp/>
        <stp>Market</stp>
        <stp>STOCK</stp>
        <stp>22670.T</stp>
        <stp>出来高</stp>
        <tr r="C226" s="12"/>
      </tp>
    </main>
    <main first="rtdsrv.1affdd1a84884b47aa44e2c617a0fa7a">
      <tp t="s">
        <v/>
        <stp/>
        <stp>Market</stp>
        <stp>STOCK</stp>
        <stp>21600.T</stp>
        <stp>出来高</stp>
        <tr r="J195" s="4"/>
        <tr r="J187" s="5"/>
        <tr r="C131" s="12"/>
      </tp>
      <tp t="s">
        <v/>
        <stp/>
        <stp>Market</stp>
        <stp>STOCK</stp>
        <stp>21270.T</stp>
        <stp>出来高</stp>
        <tr r="C187" s="12"/>
        <tr r="J161" s="5"/>
        <tr r="J196" s="4"/>
      </tp>
    </main>
    <main first="rtdsrv.1affdd1a84884b47aa44e2c617a0fa7a">
      <tp t="s">
        <v/>
        <stp/>
        <stp>Market</stp>
        <stp>STOCK</stp>
        <stp>278A0.T</stp>
        <stp>出来高</stp>
        <tr r="C251" s="12"/>
      </tp>
      <tp t="s">
        <v/>
        <stp/>
        <stp>Market</stp>
        <stp>STOCK</stp>
        <stp>27680.T</stp>
        <stp>出来高</stp>
        <tr r="J191" s="4"/>
        <tr r="J206" s="5"/>
        <tr r="C202" s="12"/>
      </tp>
      <tp t="s">
        <v/>
        <stp/>
        <stp>Market</stp>
        <stp>STOCK</stp>
        <stp>27020.T</stp>
        <stp>出来高</stp>
        <tr r="C194" s="12"/>
        <tr r="J192" s="4"/>
        <tr r="J196" s="5"/>
      </tp>
    </main>
    <main first="rtdsrv.1affdd1a84884b47aa44e2c617a0fa7a">
      <tp t="s">
        <v/>
        <stp/>
        <stp>Market</stp>
        <stp>STOCK</stp>
        <stp>39840.T</stp>
        <stp>出来高</stp>
        <tr r="C239" s="12"/>
      </tp>
      <tp t="s">
        <v/>
        <stp/>
        <stp>Market</stp>
        <stp>STOCK</stp>
        <stp>39410.T</stp>
        <stp>出来高</stp>
        <tr r="C48" s="12"/>
        <tr r="J142" s="5"/>
        <tr r="J176" s="4"/>
      </tp>
      <tp t="s">
        <v/>
        <stp/>
        <stp>Market</stp>
        <stp>STOCK</stp>
        <stp>39360.T</stp>
        <stp>出来高</stp>
        <tr r="C245" s="12"/>
      </tp>
      <tp t="s">
        <v/>
        <stp/>
        <stp>Market</stp>
        <stp>STOCK</stp>
        <stp>39050.T</stp>
        <stp>出来高</stp>
        <tr r="C284" s="12"/>
      </tp>
      <tp t="s">
        <v/>
        <stp/>
        <stp>Market</stp>
        <stp>STOCK</stp>
        <stp>38910.T</stp>
        <stp>出来高</stp>
        <tr r="J43" s="5"/>
        <tr r="C159" s="12"/>
        <tr r="J177" s="4"/>
      </tp>
      <tp t="s">
        <v/>
        <stp/>
        <stp>Market</stp>
        <stp>STOCK</stp>
        <stp>38610.T</stp>
        <stp>出来高</stp>
        <tr r="J179" s="4"/>
        <tr r="J123" s="5"/>
        <tr r="C41" s="12"/>
      </tp>
      <tp t="s">
        <v/>
        <stp/>
        <stp>Market</stp>
        <stp>STOCK</stp>
        <stp>38630.T</stp>
        <stp>出来高</stp>
        <tr r="J178" s="4"/>
        <tr r="C32" s="12"/>
        <tr r="J21" s="5"/>
      </tp>
      <tp t="s">
        <v/>
        <stp/>
        <stp>Market</stp>
        <stp>STOCK</stp>
        <stp>38640.T</stp>
        <stp>出来高</stp>
        <tr r="C271" s="12"/>
      </tp>
      <tp t="s">
        <v/>
        <stp/>
        <stp>Market</stp>
        <stp>STOCK</stp>
        <stp>38540.T</stp>
        <stp>出来高</stp>
        <tr r="J54" s="5"/>
        <tr r="J180" s="4"/>
        <tr r="C71" s="12"/>
      </tp>
      <tp t="s">
        <v/>
        <stp/>
        <stp>Market</stp>
        <stp>STOCK</stp>
        <stp>33970.T</stp>
        <stp>出来高</stp>
        <tr r="C285" s="12"/>
      </tp>
    </main>
    <main first="rtdsrv.1affdd1a84884b47aa44e2c617a0fa7a">
      <tp t="s">
        <v/>
        <stp/>
        <stp>Market</stp>
        <stp>STOCK</stp>
        <stp>31100.T</stp>
        <stp>出来高</stp>
        <tr r="J185" s="4"/>
        <tr r="C134" s="12"/>
        <tr r="J109" s="5"/>
      </tp>
      <tp t="s">
        <v/>
        <stp/>
        <stp>Market</stp>
        <stp>STOCK</stp>
        <stp>31030.T</stp>
        <stp>出来高</stp>
        <tr r="J81" s="5"/>
        <tr r="C138" s="12"/>
        <tr r="J187" s="4"/>
      </tp>
      <tp t="s">
        <v/>
        <stp/>
        <stp>Market</stp>
        <stp>STOCK</stp>
        <stp>31070.T</stp>
        <stp>出来高</stp>
        <tr r="J186" s="4"/>
        <tr r="J13" s="5"/>
        <tr r="C60" s="12"/>
      </tp>
    </main>
    <main first="rtdsrv.1affdd1a84884b47aa44e2c617a0fa7a">
      <tp t="s">
        <v/>
        <stp/>
        <stp>Market</stp>
        <stp>STOCK</stp>
        <stp>300A0.T</stp>
        <stp>出来高</stp>
        <tr r="C252" s="12"/>
      </tp>
      <tp t="s">
        <v/>
        <stp/>
        <stp>Market</stp>
        <stp>STOCK</stp>
        <stp>30030.T</stp>
        <stp>出来高</stp>
        <tr r="C88" s="12"/>
        <tr r="J188" s="4"/>
        <tr r="J143" s="5"/>
      </tp>
      <tp t="s">
        <v/>
        <stp/>
        <stp>Market</stp>
        <stp>STOCK</stp>
        <stp>30020.T</stp>
        <stp>出来高</stp>
        <tr r="C277" s="12"/>
      </tp>
    </main>
    <main first="rtdsrv.1affdd1a84884b47aa44e2c617a0fa7a">
      <tp t="s">
        <v/>
        <stp/>
        <stp>Market</stp>
        <stp>STOCK</stp>
        <stp>36960.T</stp>
        <stp>出来高</stp>
        <tr r="C228" s="12"/>
      </tp>
    </main>
    <main first="rtdsrv.1affdd1a84884b47aa44e2c617a0fa7a">
      <tp t="s">
        <v/>
        <stp/>
        <stp>Market</stp>
        <stp>STOCK</stp>
        <stp>35630.T</stp>
        <stp>出来高</stp>
        <tr r="C230" s="12"/>
      </tp>
    </main>
    <main first="rtdsrv.1affdd1a84884b47aa44e2c617a0fa7a">
      <tp t="s">
        <v/>
        <stp/>
        <stp>Market</stp>
        <stp>STOCK</stp>
        <stp>34360.T</stp>
        <stp>出来高</stp>
        <tr r="J4" s="5"/>
        <tr r="C28" s="12"/>
        <tr r="J181" s="4"/>
      </tp>
      <tp t="s">
        <v/>
        <stp/>
        <stp>Market</stp>
        <stp>STOCK</stp>
        <stp>34010.T</stp>
        <stp>出来高</stp>
        <tr r="J169" s="5"/>
        <tr r="C27" s="12"/>
        <tr r="J184" s="4"/>
      </tp>
      <tp t="s">
        <v/>
        <stp/>
        <stp>Market</stp>
        <stp>STOCK</stp>
        <stp>34020.T</stp>
        <stp>出来高</stp>
        <tr r="J183" s="4"/>
        <tr r="J172" s="5"/>
        <tr r="C44" s="12"/>
      </tp>
      <tp t="s">
        <v/>
        <stp/>
        <stp>Market</stp>
        <stp>STOCK</stp>
        <stp>34070.T</stp>
        <stp>出来高</stp>
        <tr r="C94" s="12"/>
        <tr r="J183" s="5"/>
        <tr r="J182" s="4"/>
      </tp>
    </main>
    <main first="rtdsrv.1affdd1a84884b47aa44e2c617a0fa7a">
      <tp t="s">
        <v/>
        <stp/>
        <stp>Market</stp>
        <stp>STOCK</stp>
        <stp>19610.T</stp>
        <stp>出来高</stp>
        <tr r="J198" s="4"/>
        <tr r="J51" s="5"/>
        <tr r="C59" s="12"/>
      </tp>
      <tp t="s">
        <v/>
        <stp/>
        <stp>Market</stp>
        <stp>STOCK</stp>
        <stp>19630.T</stp>
        <stp>出来高</stp>
        <tr r="J197" s="4"/>
        <tr r="C86" s="12"/>
        <tr r="J40" s="5"/>
      </tp>
      <tp t="s">
        <v/>
        <stp/>
        <stp>Market</stp>
        <stp>STOCK</stp>
        <stp>19420.T</stp>
        <stp>出来高</stp>
        <tr r="C175" s="12"/>
        <tr r="J32" s="5"/>
        <tr r="J199" s="4"/>
      </tp>
      <tp t="s">
        <v/>
        <stp/>
        <stp>Market</stp>
        <stp>STOCK</stp>
        <stp>19440.T</stp>
        <stp>出来高</stp>
        <tr r="C304" s="12"/>
      </tp>
      <tp t="s">
        <v/>
        <stp/>
        <stp>Market</stp>
        <stp>STOCK</stp>
        <stp>19300.T</stp>
        <stp>出来高</stp>
        <tr r="C163" s="12"/>
        <tr r="J201" s="4"/>
        <tr r="J83" s="5"/>
      </tp>
      <tp t="s">
        <v/>
        <stp/>
        <stp>Market</stp>
        <stp>STOCK</stp>
        <stp>19380.T</stp>
        <stp>出来高</stp>
        <tr r="C176" s="12"/>
        <tr r="J117" s="5"/>
        <tr r="J200" s="4"/>
      </tp>
      <tp t="s">
        <v/>
        <stp/>
        <stp>Market</stp>
        <stp>STOCK</stp>
        <stp>19250.T</stp>
        <stp>出来高</stp>
        <tr r="J202" s="4"/>
        <tr r="C83" s="12"/>
        <tr r="J181" s="5"/>
      </tp>
      <tp t="s">
        <v/>
        <stp/>
        <stp>Market</stp>
        <stp>STOCK</stp>
        <stp>186A0.T</stp>
        <stp>出来高</stp>
        <tr r="C299" s="12"/>
      </tp>
      <tp t="s">
        <v/>
        <stp/>
        <stp>Market</stp>
        <stp>STOCK</stp>
        <stp>18330.T</stp>
        <stp>出来高</stp>
        <tr r="J180" s="5"/>
        <tr r="C80" s="12"/>
        <tr r="J203" s="4"/>
      </tp>
      <tp t="s">
        <v/>
        <stp/>
        <stp>Market</stp>
        <stp>STOCK</stp>
        <stp>18120.T</stp>
        <stp>出来高</stp>
        <tr r="J121" s="5"/>
        <tr r="C208" s="12"/>
        <tr r="J204" s="4"/>
      </tp>
      <tp t="s">
        <v/>
        <stp/>
        <stp>Market</stp>
        <stp>STOCK</stp>
        <stp>18080.T</stp>
        <stp>出来高</stp>
        <tr r="C297" s="12"/>
      </tp>
      <tp t="s">
        <v/>
        <stp/>
        <stp>Market</stp>
        <stp>STOCK</stp>
        <stp>13210.T</stp>
        <stp>出来高</stp>
        <tr r="C303" s="12"/>
      </tp>
      <tp t="s">
        <v/>
        <stp/>
        <stp>Market</stp>
        <stp>STOCK</stp>
        <stp>16620.T</stp>
        <stp>出来高</stp>
        <tr r="J205" s="4"/>
        <tr r="J122" s="5"/>
        <tr r="C18" s="12"/>
      </tp>
      <tp t="s">
        <v/>
        <stp/>
        <stp>Market</stp>
        <stp>STOCK</stp>
        <stp>16180.T</stp>
        <stp>出来高</stp>
        <tr r="C227" s="12"/>
      </tp>
      <tp t="s">
        <v/>
        <stp/>
        <stp>Market</stp>
        <stp>STOCK</stp>
        <stp>16050.T</stp>
        <stp>出来高</stp>
        <tr r="J206" s="4"/>
        <tr r="C12" s="12"/>
        <tr r="J166" s="5"/>
      </tp>
      <tp t="s">
        <v/>
        <stp/>
        <stp>Market</stp>
        <stp>STOCK</stp>
        <stp>15700.T</stp>
        <stp>出来高</stp>
        <tr r="C222" s="12"/>
      </tp>
      <tp t="s">
        <v/>
        <stp/>
        <stp>Market</stp>
        <stp>STOCK</stp>
        <stp>155A0.T</stp>
        <stp>出来高</stp>
        <tr r="C250" s="12"/>
      </tp>
      <tp t="s">
        <v/>
        <stp/>
        <stp>Market</stp>
        <stp>STOCK</stp>
        <stp>15140.T</stp>
        <stp>出来高</stp>
        <tr r="C262" s="12"/>
      </tp>
      <tp t="s">
        <v/>
        <stp/>
        <stp>Market</stp>
        <stp>STOCK</stp>
        <stp>141A0.T</stp>
        <stp>出来高</stp>
        <tr r="C219" s="12"/>
      </tp>
      <tp t="s">
        <v/>
        <stp/>
        <stp>Market</stp>
        <stp>STOCK</stp>
        <stp>14070.T</stp>
        <stp>出来高</stp>
        <tr r="C217" s="12"/>
      </tp>
    </main>
    <main first="rtdsrv.1affdd1a84884b47aa44e2c617a0fa7a">
      <tp t="s">
        <v/>
        <stp/>
        <stp>Market</stp>
        <stp>STOCK</stp>
        <stp>TOPX0.T</stp>
        <stp>年初来高値</stp>
        <tr r="K36" s="5"/>
        <tr r="K3" s="4"/>
      </tp>
    </main>
    <main first="rtdsrv.1affdd1a84884b47aa44e2c617a0fa7a">
      <tp t="s">
        <v/>
        <stp/>
        <stp>Market</stp>
        <stp>STOCK</stp>
        <stp>89340.T</stp>
        <stp>出来高</stp>
        <tr r="J31" s="4"/>
        <tr r="C125" s="12"/>
        <tr r="J149" s="5"/>
      </tp>
      <tp t="s">
        <v/>
        <stp/>
        <stp>Market</stp>
        <stp>STOCK</stp>
        <stp>88920.T</stp>
        <stp>出来高</stp>
        <tr r="C161" s="12"/>
        <tr r="J114" s="5"/>
        <tr r="J32" s="4"/>
      </tp>
      <tp t="s">
        <v/>
        <stp/>
        <stp>Market</stp>
        <stp>STOCK</stp>
        <stp>88710.T</stp>
        <stp>出来高</stp>
        <tr r="C278" s="12"/>
      </tp>
      <tp t="s">
        <v/>
        <stp/>
        <stp>Market</stp>
        <stp>STOCK</stp>
        <stp>88010.T</stp>
        <stp>出来高</stp>
        <tr r="J33" s="4"/>
        <tr r="C124" s="12"/>
        <tr r="J129" s="5"/>
      </tp>
      <tp t="s">
        <v/>
        <stp/>
        <stp>Market</stp>
        <stp>STOCK</stp>
        <stp>83590.T</stp>
        <stp>出来高</stp>
        <tr r="J48" s="4"/>
        <tr r="J26" s="5"/>
        <tr r="C123" s="12"/>
      </tp>
      <tp t="s">
        <v/>
        <stp/>
        <stp>Market</stp>
        <stp>STOCK</stp>
        <stp>83440.T</stp>
        <stp>出来高</stp>
        <tr r="C293" s="12"/>
      </tp>
      <tp t="s">
        <v/>
        <stp/>
        <stp>Market</stp>
        <stp>STOCK</stp>
        <stp>83340.T</stp>
        <stp>出来高</stp>
        <tr r="J204" s="5"/>
        <tr r="C122" s="12"/>
        <tr r="J49" s="4"/>
      </tp>
      <tp t="s">
        <v/>
        <stp/>
        <stp>Market</stp>
        <stp>STOCK</stp>
        <stp>83160.T</stp>
        <stp>出来高</stp>
        <tr r="J50" s="4"/>
        <tr r="J70" s="5"/>
        <tr r="C50" s="12"/>
      </tp>
      <tp t="s">
        <v/>
        <stp/>
        <stp>Market</stp>
        <stp>STOCK</stp>
        <stp>83030.T</stp>
        <stp>出来高</stp>
        <tr r="C172" s="12"/>
        <tr r="J54" s="4"/>
        <tr r="J191" s="5"/>
      </tp>
      <tp t="s">
        <v/>
        <stp/>
        <stp>Market</stp>
        <stp>STOCK</stp>
        <stp>83060.T</stp>
        <stp>出来高</stp>
        <tr r="J201" s="5"/>
        <tr r="J53" s="4"/>
        <tr r="C45" s="12"/>
      </tp>
      <tp t="s">
        <v/>
        <stp/>
        <stp>Market</stp>
        <stp>STOCK</stp>
        <stp>83090.T</stp>
        <stp>出来高</stp>
        <tr r="C31" s="12"/>
        <tr r="J68" s="5"/>
        <tr r="J51" s="4"/>
      </tp>
      <tp t="s">
        <v/>
        <stp/>
        <stp>Market</stp>
        <stp>STOCK</stp>
        <stp>83080.T</stp>
        <stp>出来高</stp>
        <tr r="J92" s="5"/>
        <tr r="C35" s="12"/>
        <tr r="J52" s="4"/>
      </tp>
    </main>
    <main first="rtdsrv.1affdd1a84884b47aa44e2c617a0fa7a">
      <tp t="s">
        <v/>
        <stp/>
        <stp>Market</stp>
        <stp>STOCK</stp>
        <stp>82810.T</stp>
        <stp>出来高</stp>
        <tr r="J179" s="5"/>
        <tr r="J55" s="4"/>
        <tr r="C63" s="12"/>
      </tp>
    </main>
    <main first="rtdsrv.1affdd1a84884b47aa44e2c617a0fa7a">
      <tp t="s">
        <v/>
        <stp/>
        <stp>Market</stp>
        <stp>STOCK</stp>
        <stp>81410.T</stp>
        <stp>出来高</stp>
        <tr r="C292" s="12"/>
      </tp>
      <tp t="s">
        <v/>
        <stp/>
        <stp>Market</stp>
        <stp>STOCK</stp>
        <stp>81030.T</stp>
        <stp>出来高</stp>
        <tr r="J56" s="4"/>
        <tr r="J136" s="5"/>
        <tr r="C169" s="12"/>
      </tp>
    </main>
    <main first="rtdsrv.1affdd1a84884b47aa44e2c617a0fa7a">
      <tp t="s">
        <v/>
        <stp/>
        <stp>Market</stp>
        <stp>STOCK</stp>
        <stp>80910.T</stp>
        <stp>出来高</stp>
        <tr r="C182" s="12"/>
        <tr r="J158" s="5"/>
        <tr r="J57" s="4"/>
      </tp>
      <tp t="s">
        <v/>
        <stp/>
        <stp>Market</stp>
        <stp>STOCK</stp>
        <stp>80530.T</stp>
        <stp>出来高</stp>
        <tr r="C25" s="12"/>
        <tr r="J59" s="4"/>
        <tr r="J49" s="5"/>
      </tp>
      <tp t="s">
        <v/>
        <stp/>
        <stp>Market</stp>
        <stp>STOCK</stp>
        <stp>80580.T</stp>
        <stp>出来高</stp>
        <tr r="J58" s="4"/>
        <tr r="J89" s="5"/>
        <tr r="C16" s="12"/>
      </tp>
      <tp t="s">
        <v/>
        <stp/>
        <stp>Market</stp>
        <stp>STOCK</stp>
        <stp>80350.T</stp>
        <stp>出来高</stp>
        <tr r="J35" s="5"/>
        <tr r="C198" s="12"/>
        <tr r="J60" s="4"/>
      </tp>
      <tp t="s">
        <v/>
        <stp/>
        <stp>Market</stp>
        <stp>STOCK</stp>
        <stp>80150.T</stp>
        <stp>出来高</stp>
        <tr r="J65" s="5"/>
        <tr r="C204" s="12"/>
        <tr r="J61" s="4"/>
      </tp>
      <tp t="s">
        <v/>
        <stp/>
        <stp>Market</stp>
        <stp>STOCK</stp>
        <stp>80020.T</stp>
        <stp>出来高</stp>
        <tr r="C14" s="12"/>
        <tr r="J167" s="5"/>
        <tr r="J62" s="4"/>
      </tp>
      <tp t="s">
        <v/>
        <stp/>
        <stp>Market</stp>
        <stp>STOCK</stp>
        <stp>80050.T</stp>
        <stp>出来高</stp>
        <tr r="C236" s="12"/>
      </tp>
      <tp t="s">
        <v/>
        <stp/>
        <stp>Market</stp>
        <stp>STOCK</stp>
        <stp>80070.T</stp>
        <stp>出来高</stp>
        <tr r="C281" s="12"/>
      </tp>
      <tp t="s">
        <v/>
        <stp/>
        <stp>Market</stp>
        <stp>STOCK</stp>
        <stp>87930.T</stp>
        <stp>出来高</stp>
        <tr r="C232" s="12"/>
      </tp>
      <tp t="s">
        <v/>
        <stp/>
        <stp>Market</stp>
        <stp>STOCK</stp>
        <stp>87950.T</stp>
        <stp>出来高</stp>
        <tr r="J91" s="5"/>
        <tr r="J34" s="4"/>
        <tr r="C23" s="12"/>
      </tp>
      <tp t="s">
        <v/>
        <stp/>
        <stp>Market</stp>
        <stp>STOCK</stp>
        <stp>87660.T</stp>
        <stp>出来高</stp>
        <tr r="J35" s="4"/>
        <tr r="J174" s="5"/>
        <tr r="C52" s="12"/>
      </tp>
      <tp t="s">
        <v/>
        <stp/>
        <stp>Market</stp>
        <stp>STOCK</stp>
        <stp>87500.T</stp>
        <stp>出来高</stp>
        <tr r="C43" s="12"/>
        <tr r="J200" s="5"/>
        <tr r="J36" s="4"/>
      </tp>
      <tp t="s">
        <v/>
        <stp/>
        <stp>Market</stp>
        <stp>STOCK</stp>
        <stp>87250.T</stp>
        <stp>出来高</stp>
        <tr r="J168" s="5"/>
        <tr r="J37" s="4"/>
        <tr r="C22" s="12"/>
      </tp>
      <tp t="s">
        <v/>
        <stp/>
        <stp>Market</stp>
        <stp>STOCK</stp>
        <stp>87040.T</stp>
        <stp>出来高</stp>
        <tr r="C164" s="12"/>
        <tr r="J38" s="4"/>
        <tr r="J19" s="5"/>
      </tp>
    </main>
    <main first="rtdsrv.1affdd1a84884b47aa44e2c617a0fa7a">
      <tp t="s">
        <v/>
        <stp/>
        <stp>Market</stp>
        <stp>STOCK</stp>
        <stp>86300.T</stp>
        <stp>出来高</stp>
        <tr r="C54" s="12"/>
        <tr r="J176" s="5"/>
        <tr r="J39" s="4"/>
      </tp>
      <tp t="s">
        <v/>
        <stp/>
        <stp>Market</stp>
        <stp>STOCK</stp>
        <stp>86010.T</stp>
        <stp>出来高</stp>
        <tr r="C33" s="12"/>
        <tr r="J198" s="5"/>
        <tr r="J41" s="4"/>
      </tp>
      <tp t="s">
        <v/>
        <stp/>
        <stp>Market</stp>
        <stp>STOCK</stp>
        <stp>86040.T</stp>
        <stp>出来高</stp>
        <tr r="C40" s="12"/>
        <tr r="J40" s="4"/>
        <tr r="J199" s="5"/>
      </tp>
    </main>
    <main first="rtdsrv.1affdd1a84884b47aa44e2c617a0fa7a">
      <tp t="s">
        <v/>
        <stp/>
        <stp>Market</stp>
        <stp>STOCK</stp>
        <stp>85910.T</stp>
        <stp>出来高</stp>
        <tr r="J43" s="4"/>
        <tr r="J67" s="5"/>
        <tr r="C26" s="12"/>
      </tp>
      <tp t="s">
        <v/>
        <stp/>
        <stp>Market</stp>
        <stp>STOCK</stp>
        <stp>85930.T</stp>
        <stp>出来高</stp>
        <tr r="C39" s="12"/>
        <tr r="J171" s="5"/>
        <tr r="J42" s="4"/>
      </tp>
      <tp t="s">
        <v/>
        <stp/>
        <stp>Market</stp>
        <stp>STOCK</stp>
        <stp>85700.T</stp>
        <stp>出来高</stp>
        <tr r="J94" s="5"/>
        <tr r="J45" s="4"/>
        <tr r="C37" s="12"/>
      </tp>
      <tp t="s">
        <v/>
        <stp/>
        <stp>Market</stp>
        <stp>STOCK</stp>
        <stp>85720.T</stp>
        <stp>出来高</stp>
        <tr r="J44" s="4"/>
        <tr r="C47" s="12"/>
        <tr r="J38" s="5"/>
      </tp>
      <tp t="s">
        <v/>
        <stp/>
        <stp>Market</stp>
        <stp>STOCK</stp>
        <stp>84240.T</stp>
        <stp>出来高</stp>
        <tr r="C108" s="12"/>
        <tr r="J185" s="5"/>
        <tr r="J46" s="4"/>
      </tp>
      <tp t="s">
        <v/>
        <stp/>
        <stp>Market</stp>
        <stp>STOCK</stp>
        <stp>84110.T</stp>
        <stp>出来高</stp>
        <tr r="J66" s="5"/>
        <tr r="J47" s="4"/>
        <tr r="C19" s="12"/>
      </tp>
    </main>
    <main first="rtdsrv.1affdd1a84884b47aa44e2c617a0fa7a">
      <tp t="s">
        <v/>
        <stp/>
        <stp>Market</stp>
        <stp>STOCK</stp>
        <stp>99840.T</stp>
        <stp>出来高</stp>
        <tr r="J53" s="5"/>
        <tr r="J8" s="4"/>
        <tr r="C65" s="12"/>
      </tp>
      <tp t="s">
        <v/>
        <stp/>
        <stp>Market</stp>
        <stp>STOCK</stp>
        <stp>99620.T</stp>
        <stp>出来高</stp>
        <tr r="C233" s="12"/>
      </tp>
      <tp t="s">
        <v/>
        <stp/>
        <stp>Market</stp>
        <stp>STOCK</stp>
        <stp>98800.T</stp>
        <stp>出来高</stp>
        <tr r="C257" s="12"/>
      </tp>
      <tp t="s">
        <v/>
        <stp/>
        <stp>Market</stp>
        <stp>STOCK</stp>
        <stp>98820.T</stp>
        <stp>出来高</stp>
        <tr r="J9" s="4"/>
        <tr r="J128" s="5"/>
        <tr r="C116" s="12"/>
      </tp>
      <tp t="s">
        <v/>
        <stp/>
        <stp>Market</stp>
        <stp>STOCK</stp>
        <stp>93480.T</stp>
        <stp>出来高</stp>
        <tr r="J24" s="4"/>
        <tr r="C112" s="12"/>
        <tr r="J8" s="5"/>
      </tp>
    </main>
    <main first="rtdsrv.1affdd1a84884b47aa44e2c617a0fa7a">
      <tp t="s">
        <v/>
        <stp/>
        <stp>Market</stp>
        <stp>STOCK</stp>
        <stp>92270.T</stp>
        <stp>出来高</stp>
        <tr r="J25" s="4"/>
        <tr r="J146" s="5"/>
        <tr r="C111" s="12"/>
      </tp>
      <tp t="s">
        <v/>
        <stp/>
        <stp>Market</stp>
        <stp>STOCK</stp>
        <stp>92020.T</stp>
        <stp>出来高</stp>
        <tr r="J99" s="5"/>
        <tr r="C74" s="12"/>
        <tr r="J26" s="4"/>
      </tp>
      <tp t="s">
        <v/>
        <stp/>
        <stp>Market</stp>
        <stp>STOCK</stp>
        <stp>91650.T</stp>
        <stp>出来高</stp>
        <tr r="C243" s="12"/>
      </tp>
      <tp t="s">
        <v/>
        <stp/>
        <stp>Market</stp>
        <stp>STOCK</stp>
        <stp>91150.T</stp>
        <stp>出来高</stp>
        <tr r="C270" s="12"/>
      </tp>
      <tp t="s">
        <v/>
        <stp/>
        <stp>Market</stp>
        <stp>STOCK</stp>
        <stp>91010.T</stp>
        <stp>出来高</stp>
        <tr r="J27" s="4"/>
        <tr r="J164" s="5"/>
        <tr r="C206" s="12"/>
      </tp>
      <tp t="s">
        <v/>
        <stp/>
        <stp>Market</stp>
        <stp>STOCK</stp>
        <stp>91040.T</stp>
        <stp>出来高</stp>
        <tr r="C259" s="12"/>
      </tp>
    </main>
    <main first="rtdsrv.1affdd1a84884b47aa44e2c617a0fa7a">
      <tp t="s">
        <v/>
        <stp/>
        <stp>Market</stp>
        <stp>STOCK</stp>
        <stp>90640.T</stp>
        <stp>出来高</stp>
        <tr r="C189" s="12"/>
        <tr r="J4" s="4"/>
        <tr r="J163" s="5"/>
      </tp>
      <tp t="s">
        <v/>
        <stp/>
        <stp>Market</stp>
        <stp>STOCK</stp>
        <stp>90690.T</stp>
        <stp>出来高</stp>
        <tr r="J60" s="5"/>
        <tr r="C110" s="12"/>
        <tr r="J28" s="4"/>
      </tp>
      <tp t="s">
        <v/>
        <stp/>
        <stp>Market</stp>
        <stp>STOCK</stp>
        <stp>90200.T</stp>
        <stp>出来高</stp>
        <tr r="J30" s="4"/>
        <tr r="J104" s="5"/>
        <tr r="C109" s="12"/>
      </tp>
      <tp t="s">
        <v/>
        <stp/>
        <stp>Market</stp>
        <stp>STOCK</stp>
        <stp>90220.T</stp>
        <stp>出来高</stp>
        <tr r="C184" s="12"/>
        <tr r="J29" s="4"/>
        <tr r="J159" s="5"/>
      </tp>
    </main>
    <main first="rtdsrv.1affdd1a84884b47aa44e2c617a0fa7a">
      <tp t="s">
        <v/>
        <stp/>
        <stp>Market</stp>
        <stp>STOCK</stp>
        <stp>97330.T</stp>
        <stp>出来高</stp>
        <tr r="J153" s="5"/>
        <tr r="C166" s="12"/>
        <tr r="J10" s="4"/>
      </tp>
      <tp t="s">
        <v/>
        <stp/>
        <stp>Market</stp>
        <stp>STOCK</stp>
        <stp>96870.T</stp>
        <stp>出来高</stp>
        <tr r="C162" s="12"/>
        <tr r="J11" s="4"/>
        <tr r="J44" s="5"/>
      </tp>
      <tp t="s">
        <v/>
        <stp/>
        <stp>Market</stp>
        <stp>STOCK</stp>
        <stp>95510.T</stp>
        <stp>出来高</stp>
        <tr r="J134" s="5"/>
        <tr r="C167" s="12"/>
        <tr r="J12" s="4"/>
      </tp>
      <tp t="s">
        <v/>
        <stp/>
        <stp>Market</stp>
        <stp>STOCK</stp>
        <stp>95310.T</stp>
        <stp>出来高</stp>
        <tr r="J203" s="5"/>
        <tr r="J15" s="4"/>
        <tr r="C115" s="12"/>
      </tp>
      <tp t="s">
        <v/>
        <stp/>
        <stp>Market</stp>
        <stp>STOCK</stp>
        <stp>95320.T</stp>
        <stp>出来高</stp>
        <tr r="C127" s="12"/>
        <tr r="J79" s="5"/>
        <tr r="J14" s="4"/>
      </tp>
      <tp t="s">
        <v/>
        <stp/>
        <stp>Market</stp>
        <stp>STOCK</stp>
        <stp>95360.T</stp>
        <stp>出来高</stp>
        <tr r="C185" s="12"/>
        <tr r="J160" s="5"/>
        <tr r="J13" s="4"/>
      </tp>
      <tp t="s">
        <v/>
        <stp/>
        <stp>Market</stp>
        <stp>STOCK</stp>
        <stp>95190.T</stp>
        <stp>出来高</stp>
        <tr r="C214" s="12"/>
      </tp>
      <tp t="s">
        <v/>
        <stp/>
        <stp>Market</stp>
        <stp>STOCK</stp>
        <stp>95010.T</stp>
        <stp>出来高</stp>
        <tr r="C114" s="12"/>
        <tr r="J18" s="4"/>
        <tr r="J105" s="5"/>
      </tp>
      <tp t="s">
        <v/>
        <stp/>
        <stp>Market</stp>
        <stp>STOCK</stp>
        <stp>95050.T</stp>
        <stp>出来高</stp>
        <tr r="J17" s="4"/>
        <tr r="J157" s="5"/>
        <tr r="C181" s="12"/>
      </tp>
      <tp t="s">
        <v/>
        <stp/>
        <stp>Market</stp>
        <stp>STOCK</stp>
        <stp>95060.T</stp>
        <stp>出来高</stp>
        <tr r="C186" s="12"/>
        <tr r="J16" s="4"/>
        <tr r="J193" s="5"/>
      </tp>
    </main>
    <main first="rtdsrv.1affdd1a84884b47aa44e2c617a0fa7a">
      <tp t="s">
        <v/>
        <stp/>
        <stp>Market</stp>
        <stp>STOCK</stp>
        <stp>94490.T</stp>
        <stp>出来高</stp>
        <tr r="J19" s="4"/>
        <tr r="C113" s="12"/>
        <tr r="J77" s="5"/>
      </tp>
      <tp t="s">
        <v/>
        <stp/>
        <stp>Market</stp>
        <stp>STOCK</stp>
        <stp>94240.T</stp>
        <stp>出来高</stp>
        <tr r="C70" s="12"/>
        <tr r="J15" s="5"/>
        <tr r="J20" s="4"/>
      </tp>
      <tp t="s">
        <v/>
        <stp/>
        <stp>Market</stp>
        <stp>STOCK</stp>
        <stp>94120.T</stp>
        <stp>出来高</stp>
        <tr r="J22" s="5"/>
        <tr r="C56" s="12"/>
        <tr r="J22" s="4"/>
      </tp>
      <tp t="s">
        <v/>
        <stp/>
        <stp>Market</stp>
        <stp>STOCK</stp>
        <stp>94160.T</stp>
        <stp>出来高</stp>
        <tr r="J21" s="4"/>
        <tr r="J107" s="5"/>
        <tr r="C126" s="12"/>
      </tp>
      <tp t="s">
        <v/>
        <stp/>
        <stp>Market</stp>
        <stp>STOCK</stp>
        <stp>94040.T</stp>
        <stp>出来高</stp>
        <tr r="J78" s="5"/>
        <tr r="C119" s="12"/>
        <tr r="J23" s="4"/>
      </tp>
    </main>
    <main first="rtdsrv.1affdd1a84884b47aa44e2c617a0fa7a">
      <tp t="s">
        <v/>
        <stp/>
        <stp>Market</stp>
        <stp>STOCK</stp>
        <stp>281A0.T</stp>
        <stp>現在値</stp>
        <tr r="C266" s="11"/>
      </tp>
      <tp t="s">
        <v/>
        <stp/>
        <stp>Market</stp>
        <stp>STOCK</stp>
        <stp>28020.T</stp>
        <stp>現在値</stp>
        <tr r="C76" s="11"/>
        <tr r="E23" s="5"/>
        <tr r="E190" s="4"/>
      </tp>
      <tp t="s">
        <v/>
        <stp/>
        <stp>Market</stp>
        <stp>STOCK</stp>
        <stp>285A0.T</stp>
        <stp>現在値</stp>
        <tr r="C218" s="11"/>
      </tp>
      <tp t="s">
        <v/>
        <stp/>
        <stp>Market</stp>
        <stp>STOCK</stp>
        <stp>29330.T</stp>
        <stp>現在値</stp>
        <tr r="C288" s="11"/>
      </tp>
      <tp t="s">
        <v/>
        <stp/>
        <stp>Market</stp>
        <stp>STOCK</stp>
        <stp>29140.T</stp>
        <stp>現在値</stp>
        <tr r="E182" s="5"/>
        <tr r="C87" s="11"/>
        <tr r="E189" s="4"/>
      </tp>
    </main>
    <main first="rtdsrv.1affdd1a84884b47aa44e2c617a0fa7a">
      <tp t="s">
        <v/>
        <stp/>
        <stp>Market</stp>
        <stp>STOCK</stp>
        <stp>27020.T</stp>
        <stp>現在値</stp>
        <tr r="E196" s="5"/>
        <tr r="C194" s="11"/>
        <tr r="E192" s="4"/>
      </tp>
      <tp t="s">
        <v/>
        <stp/>
        <stp>Market</stp>
        <stp>STOCK</stp>
        <stp>27680.T</stp>
        <stp>現在値</stp>
        <tr r="C202" s="11"/>
        <tr r="E191" s="4"/>
        <tr r="E206" s="5"/>
      </tp>
      <tp t="s">
        <v/>
        <stp/>
        <stp>Market</stp>
        <stp>STOCK</stp>
        <stp>278A0.T</stp>
        <stp>現在値</stp>
        <tr r="C251" s="11"/>
      </tp>
    </main>
    <main first="rtdsrv.1affdd1a84884b47aa44e2c617a0fa7a">
      <tp t="s">
        <v/>
        <stp/>
        <stp>Market</stp>
        <stp>STOCK</stp>
        <stp>21270.T</stp>
        <stp>現在値</stp>
        <tr r="C187" s="11"/>
        <tr r="E161" s="5"/>
        <tr r="E196" s="4"/>
      </tp>
      <tp t="s">
        <v/>
        <stp/>
        <stp>Market</stp>
        <stp>STOCK</stp>
        <stp>21600.T</stp>
        <stp>現在値</stp>
        <tr r="E195" s="4"/>
        <tr r="E187" s="5"/>
        <tr r="C131" s="11"/>
      </tp>
    </main>
    <main first="rtdsrv.1affdd1a84884b47aa44e2c617a0fa7a">
      <tp t="s">
        <v/>
        <stp/>
        <stp>Market</stp>
        <stp>STOCK</stp>
        <stp>22670.T</stp>
        <stp>現在値</stp>
        <tr r="C226" s="11"/>
      </tp>
    </main>
    <main first="rtdsrv.1affdd1a84884b47aa44e2c617a0fa7a">
      <tp t="s">
        <v/>
        <stp/>
        <stp>Market</stp>
        <stp>STOCK</stp>
        <stp>23270.T</stp>
        <stp>現在値</stp>
        <tr r="C174" s="11"/>
        <tr r="E194" s="4"/>
        <tr r="E154" s="5"/>
      </tp>
      <tp t="s">
        <v/>
        <stp/>
        <stp>Market</stp>
        <stp>STOCK</stp>
        <stp>23260.T</stp>
        <stp>現在値</stp>
        <tr r="C237" s="11"/>
      </tp>
      <tp t="s">
        <v/>
        <stp/>
        <stp>Market</stp>
        <stp>STOCK</stp>
        <stp>23590.T</stp>
        <stp>現在値</stp>
        <tr r="E193" s="4"/>
        <tr r="E135" s="5"/>
        <tr r="C168" s="11"/>
      </tp>
      <tp t="s">
        <v/>
        <stp/>
        <stp>Market</stp>
        <stp>STOCK</stp>
        <stp>64360.T</stp>
        <stp>銘柄名称</stp>
        <tr r="C178" s="1"/>
      </tp>
      <tp t="s">
        <v/>
        <stp/>
        <stp>Market</stp>
        <stp>STOCK</stp>
        <stp>34360.T</stp>
        <stp>銘柄名称</stp>
        <tr r="C28" s="1"/>
      </tp>
      <tp t="s">
        <v/>
        <stp/>
        <stp>Market</stp>
        <stp>STOCK</stp>
        <stp>84240.T</stp>
        <stp>銘柄名称</stp>
        <tr r="C108" s="1"/>
      </tp>
      <tp t="s">
        <v/>
        <stp/>
        <stp>Market</stp>
        <stp>STOCK</stp>
        <stp>94240.T</stp>
        <stp>銘柄名称</stp>
        <tr r="C70" s="1"/>
      </tp>
      <tp t="s">
        <v/>
        <stp/>
        <stp>Market</stp>
        <stp>STOCK</stp>
        <stp>54230.T</stp>
        <stp>銘柄名称</stp>
        <tr r="C7" s="1"/>
      </tp>
      <tp t="s">
        <v/>
        <stp/>
        <stp>Market</stp>
        <stp>STOCK</stp>
        <stp>44220.T</stp>
        <stp>銘柄名称</stp>
        <tr r="C139" s="1"/>
      </tp>
      <tp t="s">
        <v/>
        <stp/>
        <stp>Market</stp>
        <stp>STOCK</stp>
        <stp>141A0.T</stp>
        <stp>銘柄名称</stp>
        <tr r="C219" s="1"/>
      </tp>
      <tp t="s">
        <v/>
        <stp/>
        <stp>Market</stp>
        <stp>STOCK</stp>
        <stp>74140.T</stp>
        <stp>銘柄名称</stp>
        <tr r="C294" s="1"/>
      </tp>
      <tp t="s">
        <v/>
        <stp/>
        <stp>Market</stp>
        <stp>STOCK</stp>
        <stp>44170.T</stp>
        <stp>銘柄名称</stp>
        <tr r="C153" s="1"/>
      </tp>
      <tp t="s">
        <v/>
        <stp/>
        <stp>Market</stp>
        <stp>STOCK</stp>
        <stp>94160.T</stp>
        <stp>銘柄名称</stp>
        <tr r="C126" s="1"/>
      </tp>
      <tp t="s">
        <v/>
        <stp/>
        <stp>Market</stp>
        <stp>STOCK</stp>
        <stp>54110.T</stp>
        <stp>銘柄名称</stp>
        <tr r="C84" s="1"/>
      </tp>
      <tp t="s">
        <v/>
        <stp/>
        <stp>Market</stp>
        <stp>STOCK</stp>
        <stp>84110.T</stp>
        <stp>銘柄名称</stp>
        <tr r="C19" s="1"/>
      </tp>
      <tp t="s">
        <v/>
        <stp/>
        <stp>Market</stp>
        <stp>STOCK</stp>
        <stp>54100.T</stp>
        <stp>銘柄名称</stp>
        <tr r="C179" s="1"/>
      </tp>
      <tp t="s">
        <v/>
        <stp/>
        <stp>Market</stp>
        <stp>STOCK</stp>
        <stp>94120.T</stp>
        <stp>銘柄名称</stp>
        <tr r="C56" s="1"/>
      </tp>
      <tp t="s">
        <v/>
        <stp/>
        <stp>Market</stp>
        <stp>STOCK</stp>
        <stp>94040.T</stp>
        <stp>銘柄名称</stp>
        <tr r="C119" s="1"/>
      </tp>
      <tp t="s">
        <v/>
        <stp/>
        <stp>Market</stp>
        <stp>STOCK</stp>
        <stp>64070.T</stp>
        <stp>銘柄名称</stp>
        <tr r="C295" s="1"/>
      </tp>
      <tp t="s">
        <v/>
        <stp/>
        <stp>Market</stp>
        <stp>STOCK</stp>
        <stp>14070.T</stp>
        <stp>銘柄名称</stp>
        <tr r="C217" s="1"/>
      </tp>
      <tp t="s">
        <v/>
        <stp/>
        <stp>Market</stp>
        <stp>STOCK</stp>
        <stp>34070.T</stp>
        <stp>銘柄名称</stp>
        <tr r="C94" s="1"/>
      </tp>
      <tp t="s">
        <v/>
        <stp/>
        <stp>Market</stp>
        <stp>STOCK</stp>
        <stp>54060.T</stp>
        <stp>銘柄名称</stp>
        <tr r="C38" s="1"/>
      </tp>
      <tp t="s">
        <v/>
        <stp/>
        <stp>Market</stp>
        <stp>STOCK</stp>
        <stp>54010.T</stp>
        <stp>銘柄名称</stp>
        <tr r="C46" s="1"/>
      </tp>
      <tp t="s">
        <v/>
        <stp/>
        <stp>Market</stp>
        <stp>STOCK</stp>
        <stp>34010.T</stp>
        <stp>銘柄名称</stp>
        <tr r="C27" s="1"/>
      </tp>
      <tp t="s">
        <v/>
        <stp/>
        <stp>Market</stp>
        <stp>STOCK</stp>
        <stp>34020.T</stp>
        <stp>銘柄名称</stp>
        <tr r="C44" s="1"/>
      </tp>
      <tp t="s">
        <v/>
        <stp/>
        <stp>Market</stp>
        <stp>STOCK</stp>
        <stp>64790.T</stp>
        <stp>銘柄名称</stp>
        <tr r="C79" s="1"/>
      </tp>
      <tp t="s">
        <v/>
        <stp/>
        <stp>Market</stp>
        <stp>STOCK</stp>
        <stp>54400.T</stp>
        <stp>銘柄名称</stp>
        <tr r="C180" s="1"/>
      </tp>
      <tp t="s">
        <v/>
        <stp/>
        <stp>Market</stp>
        <stp>STOCK</stp>
        <stp>54490.T</stp>
        <stp>銘柄名称</stp>
        <tr r="C51" s="1"/>
      </tp>
      <tp t="s">
        <v/>
        <stp/>
        <stp>Market</stp>
        <stp>STOCK</stp>
        <stp>94490.T</stp>
        <stp>銘柄名称</stp>
        <tr r="C113" s="1"/>
      </tp>
      <tp t="s">
        <v/>
        <stp/>
        <stp>Market</stp>
        <stp>STOCK</stp>
        <stp>64850.T</stp>
        <stp>銘柄名称</stp>
        <tr r="C191" s="1"/>
      </tp>
      <tp t="s">
        <v/>
        <stp/>
        <stp>Market</stp>
        <stp>STOCK</stp>
        <stp>64820.T</stp>
        <stp>銘柄名称</stp>
        <tr r="C290" s="1"/>
      </tp>
      <tp t="s">
        <v/>
        <stp/>
        <stp>Market</stp>
        <stp>STOCK</stp>
        <stp>64880.T</stp>
        <stp>銘柄名称</stp>
        <tr r="C280" s="1"/>
      </tp>
    </main>
    <main first="rtdsrv.1affdd1a84884b47aa44e2c617a0fa7a">
      <tp t="s">
        <v/>
        <stp/>
        <stp>Market</stp>
        <stp>STOCK</stp>
        <stp>38630.T</stp>
        <stp>現在値</stp>
        <tr r="E178" s="4"/>
        <tr r="C32" s="11"/>
        <tr r="E21" s="5"/>
      </tp>
      <tp t="s">
        <v/>
        <stp/>
        <stp>Market</stp>
        <stp>STOCK</stp>
        <stp>38610.T</stp>
        <stp>現在値</stp>
        <tr r="E179" s="4"/>
        <tr r="C41" s="11"/>
        <tr r="E123" s="5"/>
      </tp>
      <tp t="s">
        <v/>
        <stp/>
        <stp>Market</stp>
        <stp>STOCK</stp>
        <stp>38640.T</stp>
        <stp>現在値</stp>
        <tr r="C271" s="11"/>
      </tp>
      <tp t="s">
        <v/>
        <stp/>
        <stp>Market</stp>
        <stp>STOCK</stp>
        <stp>38540.T</stp>
        <stp>現在値</stp>
        <tr r="E54" s="5"/>
        <tr r="E180" s="4"/>
        <tr r="C71" s="11"/>
      </tp>
      <tp t="s">
        <v/>
        <stp/>
        <stp>Market</stp>
        <stp>STOCK</stp>
        <stp>38910.T</stp>
        <stp>現在値</stp>
        <tr r="E43" s="5"/>
        <tr r="C159" s="11"/>
        <tr r="E177" s="4"/>
      </tp>
      <tp t="s">
        <v/>
        <stp/>
        <stp>Market</stp>
        <stp>STOCK</stp>
        <stp>39360.T</stp>
        <stp>現在値</stp>
        <tr r="C245" s="11"/>
      </tp>
      <tp t="s">
        <v/>
        <stp/>
        <stp>Market</stp>
        <stp>STOCK</stp>
        <stp>39050.T</stp>
        <stp>現在値</stp>
        <tr r="C284" s="11"/>
      </tp>
      <tp t="s">
        <v/>
        <stp/>
        <stp>Market</stp>
        <stp>STOCK</stp>
        <stp>39410.T</stp>
        <stp>現在値</stp>
        <tr r="E176" s="4"/>
        <tr r="E142" s="5"/>
        <tr r="C48" s="11"/>
      </tp>
      <tp t="s">
        <v/>
        <stp/>
        <stp>Market</stp>
        <stp>STOCK</stp>
        <stp>39840.T</stp>
        <stp>現在値</stp>
        <tr r="C239" s="11"/>
      </tp>
    </main>
    <main first="rtdsrv.1affdd1a84884b47aa44e2c617a0fa7a">
      <tp t="s">
        <v/>
        <stp/>
        <stp>Market</stp>
        <stp>STOCK</stp>
        <stp>34360.T</stp>
        <stp>現在値</stp>
        <tr r="C28" s="11"/>
        <tr r="E181" s="4"/>
        <tr r="E4" s="5"/>
      </tp>
      <tp t="s">
        <v/>
        <stp/>
        <stp>Market</stp>
        <stp>STOCK</stp>
        <stp>34020.T</stp>
        <stp>現在値</stp>
        <tr r="E183" s="4"/>
        <tr r="C44" s="11"/>
        <tr r="E172" s="5"/>
      </tp>
      <tp t="s">
        <v/>
        <stp/>
        <stp>Market</stp>
        <stp>STOCK</stp>
        <stp>34010.T</stp>
        <stp>現在値</stp>
        <tr r="E184" s="4"/>
        <tr r="C27" s="11"/>
        <tr r="E169" s="5"/>
      </tp>
      <tp t="s">
        <v/>
        <stp/>
        <stp>Market</stp>
        <stp>STOCK</stp>
        <stp>34070.T</stp>
        <stp>現在値</stp>
        <tr r="E183" s="5"/>
        <tr r="E182" s="4"/>
        <tr r="C94" s="11"/>
      </tp>
    </main>
    <main first="rtdsrv.1affdd1a84884b47aa44e2c617a0fa7a">
      <tp t="s">
        <v/>
        <stp/>
        <stp>Market</stp>
        <stp>STOCK</stp>
        <stp>35630.T</stp>
        <stp>現在値</stp>
        <tr r="C230" s="11"/>
      </tp>
    </main>
    <main first="rtdsrv.1affdd1a84884b47aa44e2c617a0fa7a">
      <tp t="s">
        <v/>
        <stp/>
        <stp>Market</stp>
        <stp>STOCK</stp>
        <stp>36960.T</stp>
        <stp>現在値</stp>
        <tr r="C228" s="11"/>
      </tp>
    </main>
    <main first="rtdsrv.1affdd1a84884b47aa44e2c617a0fa7a">
      <tp t="s">
        <v/>
        <stp/>
        <stp>Market</stp>
        <stp>STOCK</stp>
        <stp>300A0.T</stp>
        <stp>現在値</stp>
        <tr r="C252" s="11"/>
      </tp>
      <tp t="s">
        <v/>
        <stp/>
        <stp>Market</stp>
        <stp>STOCK</stp>
        <stp>30030.T</stp>
        <stp>現在値</stp>
        <tr r="E188" s="4"/>
        <tr r="E143" s="5"/>
        <tr r="C88" s="11"/>
      </tp>
      <tp t="s">
        <v/>
        <stp/>
        <stp>Market</stp>
        <stp>STOCK</stp>
        <stp>30020.T</stp>
        <stp>現在値</stp>
        <tr r="C277" s="11"/>
      </tp>
    </main>
    <main first="rtdsrv.1affdd1a84884b47aa44e2c617a0fa7a">
      <tp t="s">
        <v/>
        <stp/>
        <stp>Market</stp>
        <stp>STOCK</stp>
        <stp>31100.T</stp>
        <stp>現在値</stp>
        <tr r="C134" s="11"/>
        <tr r="E185" s="4"/>
        <tr r="E109" s="5"/>
      </tp>
      <tp t="s">
        <v/>
        <stp/>
        <stp>Market</stp>
        <stp>STOCK</stp>
        <stp>31030.T</stp>
        <stp>現在値</stp>
        <tr r="C138" s="11"/>
        <tr r="E187" s="4"/>
        <tr r="E81" s="5"/>
      </tp>
      <tp t="s">
        <v/>
        <stp/>
        <stp>Market</stp>
        <stp>STOCK</stp>
        <stp>31070.T</stp>
        <stp>現在値</stp>
        <tr r="E13" s="5"/>
        <tr r="C60" s="11"/>
        <tr r="E186" s="4"/>
      </tp>
    </main>
    <main first="rtdsrv.1affdd1a84884b47aa44e2c617a0fa7a">
      <tp t="s">
        <v/>
        <stp/>
        <stp>Market</stp>
        <stp>STOCK</stp>
        <stp>33970.T</stp>
        <stp>現在値</stp>
        <tr r="C285" s="11"/>
      </tp>
      <tp t="s">
        <v/>
        <stp/>
        <stp>Market</stp>
        <stp>STOCK</stp>
        <stp>45360.T</stp>
        <stp>銘柄名称</stp>
        <tr r="C67" s="1"/>
      </tp>
      <tp t="s">
        <v/>
        <stp/>
        <stp>Market</stp>
        <stp>STOCK</stp>
        <stp>95360.T</stp>
        <stp>銘柄名称</stp>
        <tr r="C185" s="1"/>
      </tp>
      <tp t="s">
        <v/>
        <stp/>
        <stp>Market</stp>
        <stp>STOCK</stp>
        <stp>95310.T</stp>
        <stp>銘柄名称</stp>
        <tr r="C115" s="1"/>
        <tr r="D11" s="16"/>
      </tp>
      <tp t="s">
        <v/>
        <stp/>
        <stp>Market</stp>
        <stp>STOCK</stp>
        <stp>75320.T</stp>
        <stp>銘柄名称</stp>
        <tr r="C1" s="13"/>
        <tr r="C305" s="1"/>
      </tp>
      <tp t="s">
        <v/>
        <stp/>
        <stp>Market</stp>
        <stp>STOCK</stp>
        <stp>95320.T</stp>
        <stp>銘柄名称</stp>
        <tr r="C127" s="1"/>
      </tp>
      <tp t="s">
        <v/>
        <stp/>
        <stp>Market</stp>
        <stp>STOCK</stp>
        <stp>65210.T</stp>
        <stp>銘柄名称</stp>
        <tr r="C242" s="1"/>
      </tp>
      <tp t="s">
        <v/>
        <stp/>
        <stp>Market</stp>
        <stp>STOCK</stp>
        <stp>45230.T</stp>
        <stp>銘柄名称</stp>
        <tr r="C99" s="1"/>
      </tp>
      <tp t="s">
        <v/>
        <stp/>
        <stp>Market</stp>
        <stp>STOCK</stp>
        <stp>65220.T</stp>
        <stp>銘柄名称</stp>
        <tr r="C143" s="1"/>
      </tp>
      <tp t="s">
        <v/>
        <stp/>
        <stp>Market</stp>
        <stp>STOCK</stp>
        <stp>45280.T</stp>
        <stp>銘柄名称</stp>
        <tr r="C100" s="1"/>
      </tp>
      <tp t="s">
        <v/>
        <stp/>
        <stp>Market</stp>
        <stp>STOCK</stp>
        <stp>15140.T</stp>
        <stp>銘柄名称</stp>
        <tr r="C262" s="1"/>
      </tp>
      <tp t="s">
        <v/>
        <stp/>
        <stp>Market</stp>
        <stp>STOCK</stp>
        <stp>65160.T</stp>
        <stp>銘柄名称</stp>
        <tr r="C151" s="1"/>
      </tp>
      <tp t="s">
        <v/>
        <stp/>
        <stp>Market</stp>
        <stp>STOCK</stp>
        <stp>45190.T</stp>
        <stp>銘柄名称</stp>
        <tr r="C130" s="1"/>
      </tp>
      <tp t="s">
        <v/>
        <stp/>
        <stp>Market</stp>
        <stp>STOCK</stp>
        <stp>95190.T</stp>
        <stp>銘柄名称</stp>
        <tr r="C214" s="1"/>
      </tp>
      <tp t="s">
        <v/>
        <stp/>
        <stp>Market</stp>
        <stp>STOCK</stp>
        <stp>95050.T</stp>
        <stp>銘柄名称</stp>
        <tr r="C181" s="1"/>
      </tp>
      <tp t="s">
        <v/>
        <stp/>
        <stp>Market</stp>
        <stp>STOCK</stp>
        <stp>65070.T</stp>
        <stp>銘柄名称</stp>
        <tr r="C183" s="1"/>
      </tp>
      <tp t="s">
        <v/>
        <stp/>
        <stp>Market</stp>
        <stp>STOCK</stp>
        <stp>65060.T</stp>
        <stp>銘柄名称</stp>
        <tr r="C201" s="1"/>
      </tp>
      <tp t="s">
        <v/>
        <stp/>
        <stp>Market</stp>
        <stp>STOCK</stp>
        <stp>95060.T</stp>
        <stp>銘柄名称</stp>
        <tr r="C186" s="1"/>
      </tp>
      <tp t="s">
        <v/>
        <stp/>
        <stp>Market</stp>
        <stp>STOCK</stp>
        <stp>65010.T</stp>
        <stp>銘柄名称</stp>
        <tr r="C91" s="1"/>
      </tp>
      <tp t="s">
        <v/>
        <stp/>
        <stp>Market</stp>
        <stp>STOCK</stp>
        <stp>95010.T</stp>
        <stp>銘柄名称</stp>
        <tr r="C114" s="1"/>
      </tp>
      <tp t="s">
        <v/>
        <stp/>
        <stp>Market</stp>
        <stp>STOCK</stp>
        <stp>65030.T</stp>
        <stp>銘柄名称</stp>
        <tr r="C68" s="1"/>
      </tp>
      <tp t="s">
        <v/>
        <stp/>
        <stp>Market</stp>
        <stp>STOCK</stp>
        <stp>45020.T</stp>
        <stp>銘柄名称</stp>
        <tr r="C212" s="1"/>
      </tp>
      <tp t="s">
        <v/>
        <stp/>
        <stp>Market</stp>
        <stp>STOCK</stp>
        <stp>15700.T</stp>
        <stp>銘柄名称</stp>
        <tr r="C222" s="1"/>
      </tp>
      <tp t="s">
        <v/>
        <stp/>
        <stp>Market</stp>
        <stp>STOCK</stp>
        <stp>85700.T</stp>
        <stp>銘柄名称</stp>
        <tr r="C37" s="1"/>
      </tp>
      <tp t="s">
        <v/>
        <stp/>
        <stp>Market</stp>
        <stp>STOCK</stp>
        <stp>85720.T</stp>
        <stp>銘柄名称</stp>
        <tr r="C47" s="1"/>
      </tp>
      <tp t="s">
        <v/>
        <stp/>
        <stp>Market</stp>
        <stp>STOCK</stp>
        <stp>35630.T</stp>
        <stp>銘柄名称</stp>
        <tr r="C230" s="1"/>
      </tp>
      <tp t="s">
        <v/>
        <stp/>
        <stp>Market</stp>
        <stp>STOCK</stp>
        <stp>45680.T</stp>
        <stp>銘柄名称</stp>
        <tr r="C142" s="1"/>
      </tp>
      <tp t="s">
        <v/>
        <stp/>
        <stp>Market</stp>
        <stp>STOCK</stp>
        <stp>155A0.T</stp>
        <stp>銘柄名称</stp>
        <tr r="C250" s="1"/>
      </tp>
      <tp t="s">
        <v/>
        <stp/>
        <stp>Market</stp>
        <stp>STOCK</stp>
        <stp>95510.T</stp>
        <stp>銘柄名称</stp>
        <tr r="C167" s="1"/>
      </tp>
      <tp t="s">
        <v/>
        <stp/>
        <stp>Market</stp>
        <stp>STOCK</stp>
        <stp>45440.T</stp>
        <stp>銘柄名称</stp>
        <tr r="C273" s="1"/>
      </tp>
      <tp t="s">
        <v/>
        <stp/>
        <stp>Market</stp>
        <stp>STOCK</stp>
        <stp>55410.T</stp>
        <stp>銘柄名称</stp>
        <tr r="C20" s="1"/>
      </tp>
      <tp t="s">
        <v/>
        <stp/>
        <stp>Market</stp>
        <stp>STOCK</stp>
        <stp>45400.T</stp>
        <stp>銘柄名称</stp>
        <tr r="C64" s="1"/>
      </tp>
      <tp t="s">
        <v/>
        <stp/>
        <stp>Market</stp>
        <stp>STOCK</stp>
        <stp>85910.T</stp>
        <stp>銘柄名称</stp>
        <tr r="C26" s="1"/>
      </tp>
      <tp t="s">
        <v/>
        <stp/>
        <stp>Market</stp>
        <stp>STOCK</stp>
        <stp>85930.T</stp>
        <stp>銘柄名称</stp>
        <tr r="C39" s="1"/>
      </tp>
    </main>
    <main first="rtdsrv.1affdd1a84884b47aa44e2c617a0fa7a">
      <tp t="s">
        <v/>
        <stp/>
        <stp>Market</stp>
        <stp>STOCK</stp>
        <stp>56310.T</stp>
        <stp>銘柄名称</stp>
        <tr r="C263" s="1"/>
      </tp>
      <tp t="s">
        <v/>
        <stp/>
        <stp>Market</stp>
        <stp>STOCK</stp>
        <stp>86300.T</stp>
        <stp>銘柄名称</stp>
        <tr r="C54" s="1"/>
      </tp>
      <tp t="s">
        <v/>
        <stp/>
        <stp>Market</stp>
        <stp>STOCK</stp>
        <stp>56320.T</stp>
        <stp>銘柄名称</stp>
        <tr r="C247" s="1"/>
      </tp>
      <tp t="s">
        <v/>
        <stp/>
        <stp>Market</stp>
        <stp>STOCK</stp>
        <stp>66220.T</stp>
        <stp>銘柄名称</stp>
        <tr r="C216" s="1"/>
      </tp>
      <tp t="s">
        <v/>
        <stp/>
        <stp>Market</stp>
        <stp>STOCK</stp>
        <stp>66130.T</stp>
        <stp>銘柄名称</stp>
        <tr r="C141" s="1"/>
      </tp>
      <tp t="s">
        <v/>
        <stp/>
        <stp>Market</stp>
        <stp>STOCK</stp>
        <stp>16180.T</stp>
        <stp>銘柄名称</stp>
        <tr r="C227" s="1"/>
      </tp>
      <tp t="s">
        <v/>
        <stp/>
        <stp>Market</stp>
        <stp>STOCK</stp>
        <stp>16050.T</stp>
        <stp>銘柄名称</stp>
        <tr r="C12" s="1"/>
      </tp>
      <tp t="s">
        <v/>
        <stp/>
        <stp>Market</stp>
        <stp>STOCK</stp>
        <stp>86040.T</stp>
        <stp>銘柄名称</stp>
        <tr r="C40" s="1"/>
      </tp>
      <tp t="s">
        <v/>
        <stp/>
        <stp>Market</stp>
        <stp>STOCK</stp>
        <stp>86010.T</stp>
        <stp>銘柄名称</stp>
        <tr r="C33" s="1"/>
      </tp>
      <tp t="s">
        <v/>
        <stp/>
        <stp>Market</stp>
        <stp>STOCK</stp>
        <stp>76090.T</stp>
        <stp>銘柄名称</stp>
        <tr r="C240" s="1"/>
      </tp>
      <tp t="s">
        <v/>
        <stp/>
        <stp>Market</stp>
        <stp>STOCK</stp>
        <stp>66740.T</stp>
        <stp>銘柄名称</stp>
        <tr r="C264" s="1"/>
      </tp>
      <tp t="s">
        <v/>
        <stp/>
        <stp>Market</stp>
        <stp>STOCK</stp>
        <stp>46760.T</stp>
        <stp>銘柄名称</stp>
        <tr r="C58" s="1"/>
      </tp>
      <tp t="s">
        <v/>
        <stp/>
        <stp>Market</stp>
        <stp>STOCK</stp>
        <stp>46610.T</stp>
        <stp>銘柄名称</stp>
        <tr r="C101" s="1"/>
      </tp>
      <tp t="s">
        <v/>
        <stp/>
        <stp>Market</stp>
        <stp>STOCK</stp>
        <stp>16620.T</stp>
        <stp>銘柄名称</stp>
        <tr r="C18" s="1"/>
      </tp>
      <tp t="s">
        <v/>
        <stp/>
        <stp>Market</stp>
        <stp>STOCK</stp>
        <stp>464A0.T</stp>
        <stp>銘柄名称</stp>
        <tr r="C220" s="1"/>
      </tp>
      <tp t="s">
        <v/>
        <stp/>
        <stp>Market</stp>
        <stp>STOCK</stp>
        <stp>36960.T</stp>
        <stp>銘柄名称</stp>
        <tr r="C228" s="1"/>
      </tp>
      <tp t="s">
        <v/>
        <stp/>
        <stp>Market</stp>
        <stp>STOCK</stp>
        <stp>76850.T</stp>
        <stp>銘柄名称</stp>
        <tr r="C121" s="1"/>
      </tp>
      <tp t="s">
        <v/>
        <stp/>
        <stp>Market</stp>
        <stp>STOCK</stp>
        <stp>96870.T</stp>
        <stp>銘柄名称</stp>
        <tr r="C162" s="1"/>
      </tp>
    </main>
    <main first="rtdsrv.1affdd1a84884b47aa44e2c617a0fa7a">
      <tp t="s">
        <v/>
        <stp/>
        <stp>Market</stp>
        <stp>INDEX</stp>
        <stp>TOPX</stp>
        <stp>前日終値</stp>
        <tr r="E5" s="1"/>
      </tp>
      <tp t="s">
        <v/>
        <stp/>
        <stp>Market</stp>
        <stp>STOCK</stp>
        <stp>18330.T</stp>
        <stp>現在値</stp>
        <tr r="E180" s="5"/>
        <tr r="E203" s="4"/>
        <tr r="C80" s="11"/>
      </tp>
      <tp t="s">
        <v/>
        <stp/>
        <stp>Market</stp>
        <stp>STOCK</stp>
        <stp>18120.T</stp>
        <stp>現在値</stp>
        <tr r="C208" s="11"/>
        <tr r="E121" s="5"/>
        <tr r="E204" s="4"/>
      </tp>
      <tp t="s">
        <v/>
        <stp/>
        <stp>Market</stp>
        <stp>STOCK</stp>
        <stp>18080.T</stp>
        <stp>現在値</stp>
        <tr r="C297" s="11"/>
      </tp>
      <tp t="s">
        <v/>
        <stp/>
        <stp>Market</stp>
        <stp>STOCK</stp>
        <stp>186A0.T</stp>
        <stp>現在値</stp>
        <tr r="C299" s="11"/>
      </tp>
      <tp t="s">
        <v/>
        <stp/>
        <stp>Market</stp>
        <stp>STOCK</stp>
        <stp>19300.T</stp>
        <stp>現在値</stp>
        <tr r="E201" s="4"/>
        <tr r="C163" s="11"/>
        <tr r="E83" s="5"/>
      </tp>
      <tp t="s">
        <v/>
        <stp/>
        <stp>Market</stp>
        <stp>STOCK</stp>
        <stp>19380.T</stp>
        <stp>現在値</stp>
        <tr r="E117" s="5"/>
        <tr r="C176" s="11"/>
        <tr r="E200" s="4"/>
      </tp>
      <tp t="s">
        <v/>
        <stp/>
        <stp>Market</stp>
        <stp>STOCK</stp>
        <stp>19250.T</stp>
        <stp>現在値</stp>
        <tr r="E202" s="4"/>
        <tr r="C83" s="11"/>
        <tr r="E181" s="5"/>
      </tp>
      <tp t="s">
        <v/>
        <stp/>
        <stp>Market</stp>
        <stp>STOCK</stp>
        <stp>19630.T</stp>
        <stp>現在値</stp>
        <tr r="E197" s="4"/>
        <tr r="C86" s="11"/>
        <tr r="E40" s="5"/>
      </tp>
      <tp t="s">
        <v/>
        <stp/>
        <stp>Market</stp>
        <stp>STOCK</stp>
        <stp>19610.T</stp>
        <stp>現在値</stp>
        <tr r="E198" s="4"/>
        <tr r="C59" s="11"/>
        <tr r="E51" s="5"/>
      </tp>
      <tp t="s">
        <v/>
        <stp/>
        <stp>Market</stp>
        <stp>STOCK</stp>
        <stp>19420.T</stp>
        <stp>現在値</stp>
        <tr r="E199" s="4"/>
        <tr r="E32" s="5"/>
        <tr r="C175" s="11"/>
      </tp>
      <tp t="s">
        <v/>
        <stp/>
        <stp>Market</stp>
        <stp>STOCK</stp>
        <stp>19440.T</stp>
        <stp>現在値</stp>
        <tr r="C304" s="11"/>
      </tp>
      <tp t="s">
        <v/>
        <stp/>
        <stp>Market</stp>
        <stp>STOCK</stp>
        <stp>141A0.T</stp>
        <stp>現在値</stp>
        <tr r="C219" s="11"/>
      </tp>
      <tp t="s">
        <v/>
        <stp/>
        <stp>Market</stp>
        <stp>STOCK</stp>
        <stp>14070.T</stp>
        <stp>現在値</stp>
        <tr r="C217" s="11"/>
      </tp>
      <tp t="s">
        <v/>
        <stp/>
        <stp>Market</stp>
        <stp>STOCK</stp>
        <stp>15140.T</stp>
        <stp>現在値</stp>
        <tr r="C262" s="11"/>
      </tp>
      <tp t="s">
        <v/>
        <stp/>
        <stp>Market</stp>
        <stp>STOCK</stp>
        <stp>15700.T</stp>
        <stp>現在値</stp>
        <tr r="C222" s="11"/>
      </tp>
      <tp t="s">
        <v/>
        <stp/>
        <stp>Market</stp>
        <stp>STOCK</stp>
        <stp>155A0.T</stp>
        <stp>現在値</stp>
        <tr r="C250" s="11"/>
      </tp>
      <tp t="s">
        <v/>
        <stp/>
        <stp>Market</stp>
        <stp>STOCK</stp>
        <stp>16180.T</stp>
        <stp>現在値</stp>
        <tr r="C227" s="11"/>
      </tp>
      <tp t="s">
        <v/>
        <stp/>
        <stp>Market</stp>
        <stp>STOCK</stp>
        <stp>16050.T</stp>
        <stp>現在値</stp>
        <tr r="E206" s="4"/>
        <tr r="C12" s="11"/>
        <tr r="E166" s="5"/>
      </tp>
      <tp t="s">
        <v/>
        <stp/>
        <stp>Market</stp>
        <stp>STOCK</stp>
        <stp>16620.T</stp>
        <stp>現在値</stp>
        <tr r="E205" s="4"/>
        <tr r="C18" s="11"/>
        <tr r="E122" s="5"/>
      </tp>
      <tp t="s">
        <v/>
        <stp/>
        <stp>Market</stp>
        <stp>STOCK</stp>
        <stp>13210.T</stp>
        <stp>現在値</stp>
        <tr r="C303" s="11"/>
      </tp>
      <tp t="s">
        <v/>
        <stp/>
        <stp>Market</stp>
        <stp>STOCK</stp>
        <stp>77350.T</stp>
        <stp>銘柄名称</stp>
        <tr r="C283" s="1"/>
      </tp>
      <tp t="s">
        <v/>
        <stp/>
        <stp>Market</stp>
        <stp>STOCK</stp>
        <stp>67360.T</stp>
        <stp>銘柄名称</stp>
        <tr r="C287" s="1"/>
      </tp>
      <tp t="s">
        <v/>
        <stp/>
        <stp>Market</stp>
        <stp>STOCK</stp>
        <stp>47330.T</stp>
        <stp>銘柄名称</stp>
        <tr r="C165" s="1"/>
      </tp>
      <tp t="s">
        <v/>
        <stp/>
        <stp>Market</stp>
        <stp>STOCK</stp>
        <stp>97330.T</stp>
        <stp>銘柄名称</stp>
        <tr r="C166" s="1"/>
      </tp>
      <tp t="s">
        <v/>
        <stp/>
        <stp>Market</stp>
        <stp>STOCK</stp>
        <stp>87250.T</stp>
        <stp>銘柄名称</stp>
        <tr r="C22" s="1"/>
      </tp>
      <tp t="s">
        <v/>
        <stp/>
        <stp>Market</stp>
        <stp>STOCK</stp>
        <stp>77290.T</stp>
        <stp>銘柄名称</stp>
        <tr r="C107" s="1"/>
      </tp>
      <tp t="s">
        <v/>
        <stp/>
        <stp>Market</stp>
        <stp>STOCK</stp>
        <stp>57140.T</stp>
        <stp>銘柄名称</stp>
        <tr r="C10" s="1"/>
      </tp>
      <tp t="s">
        <v/>
        <stp/>
        <stp>Market</stp>
        <stp>STOCK</stp>
        <stp>57110.T</stp>
        <stp>銘柄名称</stp>
        <tr r="C9" s="1"/>
      </tp>
      <tp t="s">
        <v/>
        <stp/>
        <stp>Market</stp>
        <stp>STOCK</stp>
        <stp>77110.T</stp>
        <stp>銘柄名称</stp>
        <tr r="C268" s="1"/>
      </tp>
      <tp t="s">
        <v/>
        <stp/>
        <stp>Market</stp>
        <stp>STOCK</stp>
        <stp>57130.T</stp>
        <stp>銘柄名称</stp>
        <tr r="C8" s="1"/>
      </tp>
      <tp t="s">
        <v/>
        <stp/>
        <stp>Market</stp>
        <stp>STOCK</stp>
        <stp>47040.T</stp>
        <stp>銘柄名称</stp>
        <tr r="C254" s="1"/>
      </tp>
      <tp t="s">
        <v/>
        <stp/>
        <stp>Market</stp>
        <stp>STOCK</stp>
        <stp>87040.T</stp>
        <stp>銘柄名称</stp>
        <tr r="C164" s="1"/>
        <tr r="D5" s="16"/>
      </tp>
      <tp t="s">
        <v/>
        <stp/>
        <stp>Market</stp>
        <stp>STOCK</stp>
        <stp>57060.T</stp>
        <stp>銘柄名称</stp>
        <tr r="C6" s="1"/>
      </tp>
      <tp t="s">
        <v/>
        <stp/>
        <stp>Market</stp>
        <stp>STOCK</stp>
        <stp>67060.T</stp>
        <stp>銘柄名称</stp>
        <tr r="C291" s="1"/>
      </tp>
      <tp t="s">
        <v/>
        <stp/>
        <stp>Market</stp>
        <stp>STOCK</stp>
        <stp>67010.T</stp>
        <stp>銘柄名称</stp>
        <tr r="C11" s="1"/>
      </tp>
      <tp t="s">
        <v/>
        <stp/>
        <stp>Market</stp>
        <stp>STOCK</stp>
        <stp>57030.T</stp>
        <stp>銘柄名称</stp>
        <tr r="C13" s="1"/>
      </tp>
      <tp t="s">
        <v/>
        <stp/>
        <stp>Market</stp>
        <stp>STOCK</stp>
        <stp>57020.T</stp>
        <stp>銘柄名称</stp>
        <tr r="C275" s="1"/>
        <tr r="D9" s="16"/>
        <tr r="D13" s="16"/>
      </tp>
      <tp t="s">
        <v/>
        <stp/>
        <stp>Market</stp>
        <stp>STOCK</stp>
        <stp>27020.T</stp>
        <stp>銘柄名称</stp>
        <tr r="C194" s="1"/>
      </tp>
      <tp t="s">
        <v/>
        <stp/>
        <stp>Market</stp>
        <stp>STOCK</stp>
        <stp>47090.T</stp>
        <stp>銘柄名称</stp>
        <tr r="C170" s="1"/>
      </tp>
      <tp t="s">
        <v/>
        <stp/>
        <stp>Market</stp>
        <stp>STOCK</stp>
        <stp>67770.T</stp>
        <stp>銘柄名称</stp>
        <tr r="C144" s="1"/>
      </tp>
      <tp t="s">
        <v/>
        <stp/>
        <stp>Market</stp>
        <stp>STOCK</stp>
        <stp>47760.T</stp>
        <stp>銘柄名称</stp>
        <tr r="C253" s="1"/>
      </tp>
      <tp t="s">
        <v/>
        <stp/>
        <stp>Market</stp>
        <stp>STOCK</stp>
        <stp>87660.T</stp>
        <stp>銘柄名称</stp>
        <tr r="C52" s="1"/>
      </tp>
      <tp t="s">
        <v/>
        <stp/>
        <stp>Market</stp>
        <stp>STOCK</stp>
        <stp>67620.T</stp>
        <stp>銘柄名称</stp>
        <tr r="C234" s="1"/>
      </tp>
      <tp t="s">
        <v/>
        <stp/>
        <stp>Market</stp>
        <stp>STOCK</stp>
        <stp>27680.T</stp>
        <stp>銘柄名称</stp>
        <tr r="C202" s="1"/>
      </tp>
      <tp t="s">
        <v/>
        <stp/>
        <stp>Market</stp>
        <stp>STOCK</stp>
        <stp>67540.T</stp>
        <stp>銘柄名称</stp>
        <tr r="C155" s="1"/>
      </tp>
      <tp t="s">
        <v/>
        <stp/>
        <stp>Market</stp>
        <stp>STOCK</stp>
        <stp>87500.T</stp>
        <stp>銘柄名称</stp>
        <tr r="C43" s="1"/>
      </tp>
      <tp t="s">
        <v/>
        <stp/>
        <stp>Market</stp>
        <stp>STOCK</stp>
        <stp>67530.T</stp>
        <stp>銘柄名称</stp>
        <tr r="C188" s="1"/>
      </tp>
      <tp t="s">
        <v/>
        <stp/>
        <stp>Market</stp>
        <stp>STOCK</stp>
        <stp>67520.T</stp>
        <stp>銘柄名称</stp>
        <tr r="C215" s="1"/>
      </tp>
      <tp t="s">
        <v/>
        <stp/>
        <stp>Market</stp>
        <stp>STOCK</stp>
        <stp>67580.T</stp>
        <stp>銘柄名称</stp>
        <tr r="C205" s="1"/>
      </tp>
      <tp t="s">
        <v/>
        <stp/>
        <stp>Market</stp>
        <stp>STOCK</stp>
        <stp>67440.T</stp>
        <stp>銘柄名称</stp>
        <tr r="C120" s="1"/>
      </tp>
      <tp t="s">
        <v/>
        <stp/>
        <stp>Market</stp>
        <stp>STOCK</stp>
        <stp>77460.T</stp>
        <stp>銘柄名称</stp>
        <tr r="C93" s="1"/>
      </tp>
      <tp t="s">
        <v/>
        <stp/>
        <stp>Market</stp>
        <stp>STOCK</stp>
        <stp>77410.T</stp>
        <stp>銘柄名称</stp>
        <tr r="C302" s="1"/>
      </tp>
      <tp t="s">
        <v/>
        <stp/>
        <stp>Market</stp>
        <stp>STOCK</stp>
        <stp>67400.T</stp>
        <stp>銘柄名称</stp>
        <tr r="C140" s="1"/>
      </tp>
      <tp t="s">
        <v/>
        <stp/>
        <stp>Market</stp>
        <stp>STOCK</stp>
        <stp>87950.T</stp>
        <stp>銘柄名称</stp>
        <tr r="C23" s="1"/>
      </tp>
      <tp t="s">
        <v/>
        <stp/>
        <stp>Market</stp>
        <stp>STOCK</stp>
        <stp>77940.T</stp>
        <stp>銘柄名称</stp>
        <tr r="C136" s="1"/>
      </tp>
      <tp t="s">
        <v/>
        <stp/>
        <stp>Market</stp>
        <stp>STOCK</stp>
        <stp>87930.T</stp>
        <stp>銘柄名称</stp>
        <tr r="C232" s="1"/>
      </tp>
      <tp t="s">
        <v/>
        <stp/>
        <stp>Market</stp>
        <stp>STOCK</stp>
        <stp>278A0.T</stp>
        <stp>銘柄名称</stp>
        <tr r="C251" s="1"/>
      </tp>
      <tp t="s">
        <v/>
        <stp/>
        <stp>Market</stp>
        <stp>STOCK</stp>
        <stp>67870.T</stp>
        <stp>銘柄名称</stp>
        <tr r="C145" s="1"/>
      </tp>
    </main>
    <main first="rtdsrv.1affdd1a84884b47aa44e2c617a0fa7a">
      <tp t="s">
        <v/>
        <stp/>
        <stp>Market</stp>
        <stp>STOCK</stp>
        <stp>TOPX0.T</stp>
        <stp>高値</stp>
        <tr r="H36" s="5"/>
        <tr r="H3" s="4"/>
      </tp>
      <tp t="s">
        <v/>
        <stp/>
        <stp>Market</stp>
        <stp>STOCK</stp>
        <stp>68380.T</stp>
        <stp>現在値</stp>
        <tr r="C148" s="11"/>
        <tr r="E6" s="5"/>
        <tr r="E85" s="4"/>
      </tp>
      <tp t="s">
        <v/>
        <stp/>
        <stp>Market</stp>
        <stp>STOCK</stp>
        <stp>68090.T</stp>
        <stp>現在値</stp>
        <tr r="C238" s="11"/>
      </tp>
      <tp t="s">
        <v/>
        <stp/>
        <stp>Market</stp>
        <stp>STOCK</stp>
        <stp>68620.T</stp>
        <stp>現在値</stp>
        <tr r="C225" s="11"/>
      </tp>
      <tp t="s">
        <v/>
        <stp/>
        <stp>Market</stp>
        <stp>STOCK</stp>
        <stp>68610.T</stp>
        <stp>現在値</stp>
        <tr r="C209" s="11"/>
      </tp>
      <tp t="s">
        <v/>
        <stp/>
        <stp>Market</stp>
        <stp>STOCK</stp>
        <stp>68570.T</stp>
        <stp>現在値</stp>
        <tr r="E113" s="5"/>
        <tr r="C158" s="11"/>
        <tr r="E83" s="4"/>
      </tp>
      <tp t="s">
        <v/>
        <stp/>
        <stp>Market</stp>
        <stp>STOCK</stp>
        <stp>68410.T</stp>
        <stp>現在値</stp>
        <tr r="E100" s="5"/>
        <tr r="C81" s="11"/>
        <tr r="E84" s="4"/>
      </tp>
      <tp t="s">
        <v/>
        <stp/>
        <stp>Market</stp>
        <stp>STOCK</stp>
        <stp>68480.T</stp>
        <stp>現在値</stp>
        <tr r="C274" s="11"/>
      </tp>
      <tp t="s">
        <v/>
        <stp/>
        <stp>Market</stp>
        <stp>STOCK</stp>
        <stp>68900.T</stp>
        <stp>現在値</stp>
        <tr r="E33" s="5"/>
        <tr r="C195" s="11"/>
        <tr r="E82" s="4"/>
      </tp>
      <tp t="s">
        <v/>
        <stp/>
        <stp>Market</stp>
        <stp>STOCK</stp>
        <stp>69200.T</stp>
        <stp>現在値</stp>
        <tr r="E81" s="4"/>
        <tr r="C199" s="11"/>
        <tr r="E84" s="5"/>
      </tp>
      <tp t="s">
        <v/>
        <stp/>
        <stp>Market</stp>
        <stp>STOCK</stp>
        <stp>69250.T</stp>
        <stp>現在値</stp>
        <tr r="E42" s="5"/>
        <tr r="C105" s="11"/>
        <tr r="E80" s="4"/>
      </tp>
      <tp t="s">
        <v/>
        <stp/>
        <stp>Market</stp>
        <stp>STOCK</stp>
        <stp>69280.T</stp>
        <stp>現在値</stp>
        <tr r="C246" s="11"/>
      </tp>
      <tp t="s">
        <v/>
        <stp/>
        <stp>Market</stp>
        <stp>STOCK</stp>
        <stp>69180.T</stp>
        <stp>現在値</stp>
        <tr r="C279" s="11"/>
      </tp>
      <tp t="s">
        <v/>
        <stp/>
        <stp>Market</stp>
        <stp>STOCK</stp>
        <stp>69020.T</stp>
        <stp>現在値</stp>
        <tr r="C244" s="11"/>
      </tp>
      <tp t="s">
        <v/>
        <stp/>
        <stp>Market</stp>
        <stp>STOCK</stp>
        <stp>69650.T</stp>
        <stp>現在値</stp>
        <tr r="C300" s="11"/>
      </tp>
      <tp t="s">
        <v/>
        <stp/>
        <stp>Market</stp>
        <stp>STOCK</stp>
        <stp>69550.T</stp>
        <stp>現在値</stp>
        <tr r="C265" s="11"/>
      </tp>
      <tp t="s">
        <v/>
        <stp/>
        <stp>Market</stp>
        <stp>STOCK</stp>
        <stp>69540.T</stp>
        <stp>現在値</stp>
        <tr r="E16" s="5"/>
        <tr r="C78" s="11"/>
        <tr r="E79" s="4"/>
      </tp>
      <tp t="s">
        <v/>
        <stp/>
        <stp>Market</stp>
        <stp>STOCK</stp>
        <stp>69970.T</stp>
        <stp>現在値</stp>
        <tr r="C272" s="11"/>
      </tp>
      <tp t="s">
        <v/>
        <stp/>
        <stp>Market</stp>
        <stp>STOCK</stp>
        <stp>69810.T</stp>
        <stp>現在値</stp>
        <tr r="C154" s="11"/>
        <tr r="E30" s="5"/>
        <tr r="E78" s="4"/>
      </tp>
      <tp t="s">
        <v/>
        <stp/>
        <stp>Market</stp>
        <stp>STOCK</stp>
        <stp>64360.T</stp>
        <stp>現在値</stp>
        <tr r="E102" s="4"/>
        <tr r="E155" s="5"/>
        <tr r="C178" s="11"/>
      </tp>
      <tp t="s">
        <v/>
        <stp/>
        <stp>Market</stp>
        <stp>STOCK</stp>
        <stp>64070.T</stp>
        <stp>現在値</stp>
        <tr r="C295" s="11"/>
      </tp>
      <tp t="s">
        <v/>
        <stp/>
        <stp>Market</stp>
        <stp>STOCK</stp>
        <stp>64790.T</stp>
        <stp>現在値</stp>
        <tr r="E24" s="5"/>
        <tr r="C79" s="11"/>
        <tr r="E101" s="4"/>
      </tp>
      <tp t="s">
        <v/>
        <stp/>
        <stp>Market</stp>
        <stp>STOCK</stp>
        <stp>64820.T</stp>
        <stp>現在値</stp>
        <tr r="C290" s="11"/>
      </tp>
      <tp t="s">
        <v/>
        <stp/>
        <stp>Market</stp>
        <stp>STOCK</stp>
        <stp>64850.T</stp>
        <stp>現在値</stp>
        <tr r="E194" s="5"/>
        <tr r="C191" s="11"/>
        <tr r="E6" s="4"/>
      </tp>
      <tp t="s">
        <v/>
        <stp/>
        <stp>Market</stp>
        <stp>STOCK</stp>
        <stp>64880.T</stp>
        <stp>現在値</stp>
        <tr r="C280" s="11"/>
      </tp>
      <tp t="s">
        <v/>
        <stp/>
        <stp>Market</stp>
        <stp>STOCK</stp>
        <stp>65220.T</stp>
        <stp>現在値</stp>
        <tr r="E95" s="4"/>
        <tr r="C143" s="11"/>
        <tr r="E111" s="5"/>
      </tp>
      <tp t="s">
        <v/>
        <stp/>
        <stp>Market</stp>
        <stp>STOCK</stp>
        <stp>65210.T</stp>
        <stp>現在値</stp>
        <tr r="C242" s="11"/>
      </tp>
      <tp t="s">
        <v/>
        <stp/>
        <stp>Market</stp>
        <stp>STOCK</stp>
        <stp>65160.T</stp>
        <stp>現在値</stp>
        <tr r="C151" s="11"/>
        <tr r="E29" s="5"/>
        <tr r="E96" s="4"/>
      </tp>
      <tp t="s">
        <v/>
        <stp/>
        <stp>Market</stp>
        <stp>STOCK</stp>
        <stp>65030.T</stp>
        <stp>現在値</stp>
        <tr r="C68" s="11"/>
        <tr r="E39" s="5"/>
        <tr r="E99" s="4"/>
      </tp>
      <tp t="s">
        <v/>
        <stp/>
        <stp>Market</stp>
        <stp>STOCK</stp>
        <stp>65010.T</stp>
        <stp>現在値</stp>
        <tr r="E126" s="5"/>
        <tr r="E100" s="4"/>
        <tr r="C91" s="11"/>
      </tp>
      <tp t="s">
        <v/>
        <stp/>
        <stp>Market</stp>
        <stp>STOCK</stp>
        <stp>65070.T</stp>
        <stp>現在値</stp>
        <tr r="E97" s="4"/>
        <tr r="E64" s="5"/>
        <tr r="C183" s="11"/>
      </tp>
      <tp t="s">
        <v/>
        <stp/>
        <stp>Market</stp>
        <stp>STOCK</stp>
        <stp>65060.T</stp>
        <stp>現在値</stp>
        <tr r="E20" s="5"/>
        <tr r="E98" s="4"/>
        <tr r="C201" s="11"/>
      </tp>
      <tp t="s">
        <v/>
        <stp/>
        <stp>Market</stp>
        <stp>STOCK</stp>
        <stp>66220.T</stp>
        <stp>現在値</stp>
        <tr r="C216" s="11"/>
      </tp>
      <tp t="s">
        <v/>
        <stp/>
        <stp>Market</stp>
        <stp>STOCK</stp>
        <stp>66130.T</stp>
        <stp>現在値</stp>
        <tr r="C141" s="11"/>
        <tr r="E3" s="5"/>
        <tr r="E94" s="4"/>
      </tp>
      <tp t="s">
        <v/>
        <stp/>
        <stp>Market</stp>
        <stp>STOCK</stp>
        <stp>66740.T</stp>
        <stp>現在値</stp>
        <tr r="C264" s="11"/>
      </tp>
      <tp t="s">
        <v/>
        <stp/>
        <stp>Market</stp>
        <stp>STOCK</stp>
        <stp>67360.T</stp>
        <stp>現在値</stp>
        <tr r="C287" s="11"/>
      </tp>
      <tp t="s">
        <v/>
        <stp/>
        <stp>Market</stp>
        <stp>STOCK</stp>
        <stp>67010.T</stp>
        <stp>現在値</stp>
        <tr r="E139" s="5"/>
        <tr r="C11" s="11"/>
        <tr r="E93" s="4"/>
      </tp>
      <tp t="s">
        <v/>
        <stp/>
        <stp>Market</stp>
        <stp>STOCK</stp>
        <stp>67060.T</stp>
        <stp>現在値</stp>
        <tr r="C291" s="11"/>
      </tp>
      <tp t="s">
        <v/>
        <stp/>
        <stp>Market</stp>
        <stp>STOCK</stp>
        <stp>67770.T</stp>
        <stp>現在値</stp>
        <tr r="E87" s="4"/>
        <tr r="E130" s="5"/>
        <tr r="C144" s="11"/>
      </tp>
      <tp t="s">
        <v/>
        <stp/>
        <stp>Market</stp>
        <stp>STOCK</stp>
        <stp>67620.T</stp>
        <stp>現在値</stp>
        <tr r="C234" s="11"/>
      </tp>
      <tp t="s">
        <v/>
        <stp/>
        <stp>Market</stp>
        <stp>STOCK</stp>
        <stp>67530.T</stp>
        <stp>現在値</stp>
        <tr r="E162" s="5"/>
        <tr r="C188" s="11"/>
        <tr r="E90" s="4"/>
      </tp>
      <tp t="s">
        <v/>
        <stp/>
        <stp>Market</stp>
        <stp>STOCK</stp>
        <stp>67520.T</stp>
        <stp>現在値</stp>
        <tr r="C215" s="11"/>
      </tp>
      <tp t="s">
        <v/>
        <stp/>
        <stp>Market</stp>
        <stp>STOCK</stp>
        <stp>67540.T</stp>
        <stp>現在値</stp>
        <tr r="E31" s="5"/>
        <tr r="C155" s="11"/>
        <tr r="E89" s="4"/>
      </tp>
      <tp t="s">
        <v/>
        <stp/>
        <stp>Market</stp>
        <stp>STOCK</stp>
        <stp>67580.T</stp>
        <stp>現在値</stp>
        <tr r="C205" s="11"/>
        <tr r="E86" s="5"/>
        <tr r="E88" s="4"/>
      </tp>
      <tp t="s">
        <v/>
        <stp/>
        <stp>Market</stp>
        <stp>STOCK</stp>
        <stp>67400.T</stp>
        <stp>現在値</stp>
        <tr r="E189" s="5"/>
        <tr r="C140" s="11"/>
        <tr r="E92" s="4"/>
      </tp>
      <tp t="s">
        <v/>
        <stp/>
        <stp>Market</stp>
        <stp>STOCK</stp>
        <stp>67440.T</stp>
        <stp>現在値</stp>
        <tr r="E106" s="5"/>
        <tr r="C120" s="11"/>
        <tr r="E91" s="4"/>
      </tp>
      <tp t="s">
        <v/>
        <stp/>
        <stp>Market</stp>
        <stp>STOCK</stp>
        <stp>67870.T</stp>
        <stp>現在値</stp>
        <tr r="E86" s="4"/>
        <tr r="E10" s="5"/>
        <tr r="C145" s="11"/>
      </tp>
      <tp t="s">
        <v/>
        <stp/>
        <stp>Market</stp>
        <stp>STOCK</stp>
        <stp>60270.T</stp>
        <stp>現在値</stp>
        <tr r="E116" s="4"/>
        <tr r="E98" s="5"/>
        <tr r="C72" s="11"/>
      </tp>
      <tp t="s">
        <v/>
        <stp/>
        <stp>Market</stp>
        <stp>STOCK</stp>
        <stp>60550.T</stp>
        <stp>現在値</stp>
        <tr r="C224" s="11"/>
      </tp>
      <tp t="s">
        <v/>
        <stp/>
        <stp>Market</stp>
        <stp>STOCK</stp>
        <stp>60980.T</stp>
        <stp>現在値</stp>
        <tr r="C248" s="11"/>
      </tp>
      <tp t="s">
        <v/>
        <stp/>
        <stp>Market</stp>
        <stp>STOCK</stp>
        <stp>60850.T</stp>
        <stp>現在値</stp>
        <tr r="C137" s="11"/>
        <tr r="E115" s="4"/>
        <tr r="E150" s="5"/>
      </tp>
      <tp t="s">
        <v/>
        <stp/>
        <stp>Market</stp>
        <stp>STOCK</stp>
        <stp>61350.T</stp>
        <stp>現在値</stp>
        <tr r="C223" s="11"/>
      </tp>
      <tp t="s">
        <v/>
        <stp/>
        <stp>Market</stp>
        <stp>STOCK</stp>
        <stp>61340.T</stp>
        <stp>現在値</stp>
        <tr r="C92" s="11"/>
        <tr r="E114" s="4"/>
        <tr r="E25" s="5"/>
      </tp>
      <tp t="s">
        <v/>
        <stp/>
        <stp>Market</stp>
        <stp>STOCK</stp>
        <stp>61780.T</stp>
        <stp>現在値</stp>
        <tr r="E112" s="4"/>
        <tr r="C104" s="11"/>
        <tr r="E59" s="5"/>
      </tp>
      <tp t="s">
        <v/>
        <stp/>
        <stp>Market</stp>
        <stp>STOCK</stp>
        <stp>61400.T</stp>
        <stp>現在値</stp>
        <tr r="C261" s="11"/>
      </tp>
      <tp t="s">
        <v/>
        <stp/>
        <stp>Market</stp>
        <stp>STOCK</stp>
        <stp>61460.T</stp>
        <stp>現在値</stp>
        <tr r="E120" s="5"/>
        <tr r="C197" s="11"/>
        <tr r="E113" s="4"/>
      </tp>
      <tp t="s">
        <v/>
        <stp/>
        <stp>Market</stp>
        <stp>STOCK</stp>
        <stp>62320.T</stp>
        <stp>現在値</stp>
        <tr r="E109" s="4"/>
        <tr r="C135" s="11"/>
        <tr r="E28" s="5"/>
      </tp>
      <tp t="s">
        <v/>
        <stp/>
        <stp>Market</stp>
        <stp>STOCK</stp>
        <stp>62270.T</stp>
        <stp>現在値</stp>
        <tr r="E108" s="5"/>
        <tr r="E110" s="4"/>
        <tr r="C132" s="11"/>
      </tp>
      <tp t="s">
        <v/>
        <stp/>
        <stp>Market</stp>
        <stp>STOCK</stp>
        <stp>62030.T</stp>
        <stp>現在値</stp>
        <tr r="E50" s="5"/>
        <tr r="E111" s="4"/>
        <tr r="C57" s="11"/>
      </tp>
      <tp t="s">
        <v/>
        <stp/>
        <stp>Market</stp>
        <stp>STOCK</stp>
        <stp>62730.T</stp>
        <stp>現在値</stp>
        <tr r="C211" s="11"/>
      </tp>
      <tp t="s">
        <v/>
        <stp/>
        <stp>Market</stp>
        <stp>STOCK</stp>
        <stp>62540.T</stp>
        <stp>現在値</stp>
        <tr r="E5" s="5"/>
        <tr r="C30" s="11"/>
        <tr r="E108" s="4"/>
      </tp>
      <tp t="s">
        <v/>
        <stp/>
        <stp>Market</stp>
        <stp>STOCK</stp>
        <stp>63310.T</stp>
        <stp>現在値</stp>
        <tr r="C301" s="11"/>
      </tp>
      <tp t="s">
        <v/>
        <stp/>
        <stp>Market</stp>
        <stp>STOCK</stp>
        <stp>63300.T</stp>
        <stp>現在値</stp>
        <tr r="E104" s="4"/>
        <tr r="C128" s="11"/>
        <tr r="E186" s="5"/>
      </tp>
      <tp t="s">
        <v/>
        <stp/>
        <stp>Market</stp>
        <stp>STOCK</stp>
        <stp>63230.T</stp>
        <stp>現在値</stp>
        <tr r="C90" s="11"/>
        <tr r="E41" s="5"/>
        <tr r="E106" s="4"/>
      </tp>
      <tp t="s">
        <v/>
        <stp/>
        <stp>Market</stp>
        <stp>STOCK</stp>
        <stp>63270.T</stp>
        <stp>現在値</stp>
        <tr r="E27" s="5"/>
        <tr r="C133" s="11"/>
        <tr r="E105" s="4"/>
      </tp>
      <tp t="s">
        <v/>
        <stp/>
        <stp>Market</stp>
        <stp>STOCK</stp>
        <stp>63240.T</stp>
        <stp>現在値</stp>
        <tr r="C210" s="11"/>
      </tp>
      <tp t="s">
        <v/>
        <stp/>
        <stp>Market</stp>
        <stp>STOCK</stp>
        <stp>63050.T</stp>
        <stp>現在値</stp>
        <tr r="C203" s="11"/>
        <tr r="E107" s="4"/>
        <tr r="E85" s="5"/>
      </tp>
      <tp t="s">
        <v/>
        <stp/>
        <stp>Market</stp>
        <stp>STOCK</stp>
        <stp>63700.T</stp>
        <stp>現在値</stp>
        <tr r="C255" s="11"/>
      </tp>
      <tp t="s">
        <v/>
        <stp/>
        <stp>Market</stp>
        <stp>STOCK</stp>
        <stp>63760.T</stp>
        <stp>現在値</stp>
        <tr r="C269" s="11"/>
      </tp>
      <tp t="s">
        <v/>
        <stp/>
        <stp>Market</stp>
        <stp>STOCK</stp>
        <stp>63610.T</stp>
        <stp>現在値</stp>
        <tr r="C249" s="11"/>
      </tp>
      <tp t="s">
        <v/>
        <stp/>
        <stp>Market</stp>
        <stp>STOCK</stp>
        <stp>63660.T</stp>
        <stp>現在値</stp>
        <tr r="C260" s="11"/>
      </tp>
      <tp t="s">
        <v/>
        <stp/>
        <stp>Market</stp>
        <stp>STOCK</stp>
        <stp>63560.T</stp>
        <stp>現在値</stp>
        <tr r="C267" s="11"/>
      </tp>
      <tp t="s">
        <v/>
        <stp/>
        <stp>Market</stp>
        <stp>STOCK</stp>
        <stp>63870.T</stp>
        <stp>現在値</stp>
        <tr r="E103" s="4"/>
        <tr r="C147" s="11"/>
        <tr r="E62" s="5"/>
      </tp>
      <tp t="s">
        <v/>
        <stp/>
        <stp>Market</stp>
        <stp>STOCK</stp>
        <stp>80350.T</stp>
        <stp>銘柄名称</stp>
        <tr r="C198" s="1"/>
      </tp>
      <tp t="s">
        <v/>
        <stp/>
        <stp>Market</stp>
        <stp>STOCK</stp>
        <stp>60270.T</stp>
        <stp>銘柄名称</stp>
        <tr r="C72" s="1"/>
      </tp>
      <tp t="s">
        <v/>
        <stp/>
        <stp>Market</stp>
        <stp>STOCK</stp>
        <stp>50210.T</stp>
        <stp>銘柄名称</stp>
        <tr r="C15" s="1"/>
      </tp>
      <tp t="s">
        <v/>
        <stp/>
        <stp>Market</stp>
        <stp>STOCK</stp>
        <stp>70210.T</stp>
        <stp>銘柄名称</stp>
        <tr r="C106" s="1"/>
      </tp>
      <tp t="s">
        <v/>
        <stp/>
        <stp>Market</stp>
        <stp>STOCK</stp>
        <stp>50200.T</stp>
        <stp>銘柄名称</stp>
        <tr r="C29" s="1"/>
      </tp>
      <tp t="s">
        <v/>
        <stp/>
        <stp>Market</stp>
        <stp>STOCK</stp>
        <stp>90200.T</stp>
        <stp>銘柄名称</stp>
        <tr r="C109" s="1"/>
      </tp>
      <tp t="s">
        <v/>
        <stp/>
        <stp>Market</stp>
        <stp>STOCK</stp>
        <stp>90220.T</stp>
        <stp>銘柄名称</stp>
        <tr r="C184" s="1"/>
      </tp>
      <tp t="s">
        <v/>
        <stp/>
        <stp>Market</stp>
        <stp>STOCK</stp>
        <stp>80150.T</stp>
        <stp>銘柄名称</stp>
        <tr r="C204" s="1"/>
      </tp>
      <tp t="s">
        <v/>
        <stp/>
        <stp>Market</stp>
        <stp>STOCK</stp>
        <stp>70140.T</stp>
        <stp>銘柄名称</stp>
        <tr r="C256" s="1"/>
      </tp>
      <tp t="s">
        <v/>
        <stp/>
        <stp>Market</stp>
        <stp>STOCK</stp>
        <stp>70110.T</stp>
        <stp>銘柄名称</stp>
        <tr r="C207" s="1"/>
      </tp>
      <tp t="s">
        <v/>
        <stp/>
        <stp>Market</stp>
        <stp>STOCK</stp>
        <stp>70130.T</stp>
        <stp>銘柄名称</stp>
        <tr r="C231" s="1"/>
      </tp>
      <tp t="s">
        <v/>
        <stp/>
        <stp>Market</stp>
        <stp>STOCK</stp>
        <stp>50190.T</stp>
        <stp>銘柄名称</stp>
        <tr r="C24" s="1"/>
      </tp>
      <tp t="s">
        <v/>
        <stp/>
        <stp>Market</stp>
        <stp>STOCK</stp>
        <stp>300A0.T</stp>
        <stp>銘柄名称</stp>
        <tr r="C252" s="1"/>
      </tp>
      <tp t="s">
        <v/>
        <stp/>
        <stp>Market</stp>
        <stp>STOCK</stp>
        <stp>80050.T</stp>
        <stp>銘柄名称</stp>
        <tr r="C236" s="1"/>
      </tp>
      <tp t="s">
        <v/>
        <stp/>
        <stp>Market</stp>
        <stp>STOCK</stp>
        <stp>40040.T</stp>
        <stp>銘柄名称</stp>
        <tr r="C213" s="1"/>
      </tp>
      <tp t="s">
        <v/>
        <stp/>
        <stp>Market</stp>
        <stp>STOCK</stp>
        <stp>80070.T</stp>
        <stp>銘柄名称</stp>
        <tr r="C281" s="1"/>
      </tp>
      <tp t="s">
        <v/>
        <stp/>
        <stp>Market</stp>
        <stp>STOCK</stp>
        <stp>30030.T</stp>
        <stp>銘柄名称</stp>
        <tr r="C88" s="1"/>
      </tp>
      <tp t="s">
        <v/>
        <stp/>
        <stp>Market</stp>
        <stp>STOCK</stp>
        <stp>30020.T</stp>
        <stp>銘柄名称</stp>
        <tr r="C277" s="1"/>
      </tp>
      <tp t="s">
        <v/>
        <stp/>
        <stp>Market</stp>
        <stp>STOCK</stp>
        <stp>80020.T</stp>
        <stp>銘柄名称</stp>
        <tr r="C14" s="1"/>
        <tr r="D21" s="16"/>
      </tp>
      <tp t="s">
        <v/>
        <stp/>
        <stp>Market</stp>
        <stp>STOCK</stp>
        <stp>40080.T</stp>
        <stp>銘柄名称</stp>
        <tr r="C95" s="1"/>
      </tp>
      <tp t="s">
        <v/>
        <stp/>
        <stp>Market</stp>
        <stp>STOCK</stp>
        <stp>90640.T</stp>
        <stp>銘柄名称</stp>
        <tr r="C189" s="1"/>
      </tp>
      <tp t="s">
        <v/>
        <stp/>
        <stp>Market</stp>
        <stp>STOCK</stp>
        <stp>40630.T</stp>
        <stp>銘柄名称</stp>
        <tr r="C66" s="1"/>
        <tr r="D20" s="16"/>
      </tp>
      <tp t="s">
        <v/>
        <stp/>
        <stp>Market</stp>
        <stp>STOCK</stp>
        <stp>40620.T</stp>
        <stp>銘柄名称</stp>
        <tr r="C96" s="1"/>
      </tp>
      <tp t="s">
        <v/>
        <stp/>
        <stp>Market</stp>
        <stp>STOCK</stp>
        <stp>90690.T</stp>
        <stp>銘柄名称</stp>
        <tr r="C110" s="1"/>
      </tp>
      <tp t="s">
        <v/>
        <stp/>
        <stp>Market</stp>
        <stp>STOCK</stp>
        <stp>60550.T</stp>
        <stp>銘柄名称</stp>
        <tr r="C224" s="1"/>
      </tp>
      <tp t="s">
        <v/>
        <stp/>
        <stp>Market</stp>
        <stp>STOCK</stp>
        <stp>80530.T</stp>
        <stp>銘柄名称</stp>
        <tr r="C25" s="1"/>
      </tp>
      <tp t="s">
        <v/>
        <stp/>
        <stp>Market</stp>
        <stp>STOCK</stp>
        <stp>80580.T</stp>
        <stp>銘柄名称</stp>
        <tr r="C16" s="1"/>
      </tp>
      <tp t="s">
        <v/>
        <stp/>
        <stp>Market</stp>
        <stp>STOCK</stp>
        <stp>40450.T</stp>
        <stp>銘柄名称</stp>
        <tr r="C61" s="1"/>
      </tp>
      <tp t="s">
        <v/>
        <stp/>
        <stp>Market</stp>
        <stp>STOCK</stp>
        <stp>40470.T</stp>
        <stp>銘柄名称</stp>
        <tr r="C289" s="1"/>
      </tp>
      <tp t="s">
        <v/>
        <stp/>
        <stp>Market</stp>
        <stp>STOCK</stp>
        <stp>70480.T</stp>
        <stp>銘柄名称</stp>
        <tr r="C296" s="1"/>
      </tp>
      <tp t="s">
        <v/>
        <stp/>
        <stp>Market</stp>
        <stp>STOCK</stp>
        <stp>40910.T</stp>
        <stp>銘柄名称</stp>
        <tr r="C157" s="1"/>
      </tp>
      <tp t="s">
        <v/>
        <stp/>
        <stp>Market</stp>
        <stp>STOCK</stp>
        <stp>80910.T</stp>
        <stp>銘柄名称</stp>
        <tr r="C182" s="1"/>
      </tp>
      <tp t="s">
        <v/>
        <stp/>
        <stp>Market</stp>
        <stp>STOCK</stp>
        <stp>60980.T</stp>
        <stp>銘柄名称</stp>
        <tr r="C248" s="1"/>
      </tp>
      <tp t="s">
        <v/>
        <stp/>
        <stp>Market</stp>
        <stp>STOCK</stp>
        <stp>60850.T</stp>
        <stp>銘柄名称</stp>
        <tr r="C137" s="1"/>
      </tp>
      <tp t="s">
        <v/>
        <stp/>
        <stp>Market</stp>
        <stp>STOCK</stp>
        <stp>40820.T</stp>
        <stp>銘柄名称</stp>
        <tr r="C129" s="1"/>
      </tp>
      <tp t="s">
        <v/>
        <stp/>
        <stp>Market</stp>
        <stp>STOCK</stp>
        <stp>40880.T</stp>
        <stp>銘柄名称</stp>
        <tr r="C156" s="1"/>
      </tp>
    </main>
    <main first="rtdsrv.1affdd1a84884b47aa44e2c617a0fa7a">
      <tp t="s">
        <v/>
        <stp/>
        <stp>Market</stp>
        <stp>STOCK</stp>
        <stp>78060.T</stp>
        <stp>現在値</stp>
        <tr r="E55" s="5"/>
        <tr r="E65" s="4"/>
        <tr r="C73" s="11"/>
      </tp>
      <tp t="s">
        <v/>
        <stp/>
        <stp>Market</stp>
        <stp>STOCK</stp>
        <stp>78460.T</stp>
        <stp>現在値</stp>
        <tr r="C75" s="11"/>
        <tr r="E202" s="5"/>
        <tr r="E64" s="4"/>
      </tp>
      <tp t="s">
        <v/>
        <stp/>
        <stp>Market</stp>
        <stp>STOCK</stp>
        <stp>79720.T</stp>
        <stp>現在値</stp>
        <tr r="C241" s="11"/>
      </tp>
      <tp t="s">
        <v/>
        <stp/>
        <stp>Market</stp>
        <stp>STOCK</stp>
        <stp>79520.T</stp>
        <stp>現在値</stp>
        <tr r="C276" s="11"/>
      </tp>
      <tp t="s">
        <v/>
        <stp/>
        <stp>Market</stp>
        <stp>STOCK</stp>
        <stp>79810.T</stp>
        <stp>現在値</stp>
        <tr r="E116" s="5"/>
        <tr r="E63" s="4"/>
        <tr r="C171" s="11"/>
      </tp>
      <tp t="s">
        <v/>
        <stp/>
        <stp>Market</stp>
        <stp>STOCK</stp>
        <stp>74140.T</stp>
        <stp>現在値</stp>
        <tr r="C294" s="11"/>
      </tp>
      <tp t="s">
        <v/>
        <stp/>
        <stp>Market</stp>
        <stp>STOCK</stp>
        <stp>75320.T</stp>
        <stp>現在値</stp>
        <tr r="C305" s="11"/>
      </tp>
      <tp t="s">
        <v/>
        <stp/>
        <stp>Market</stp>
        <stp>STOCK</stp>
        <stp>76090.T</stp>
        <stp>現在値</stp>
        <tr r="C240" s="11"/>
      </tp>
      <tp t="s">
        <v/>
        <stp/>
        <stp>Market</stp>
        <stp>STOCK</stp>
        <stp>76850.T</stp>
        <stp>現在値</stp>
        <tr r="E148" s="5"/>
        <tr r="E69" s="4"/>
        <tr r="C121" s="11"/>
      </tp>
      <tp t="s">
        <v/>
        <stp/>
        <stp>Market</stp>
        <stp>STOCK</stp>
        <stp>77350.T</stp>
        <stp>現在値</stp>
        <tr r="C283" s="11"/>
      </tp>
      <tp t="s">
        <v/>
        <stp/>
        <stp>Market</stp>
        <stp>STOCK</stp>
        <stp>77290.T</stp>
        <stp>現在値</stp>
        <tr r="E68" s="4"/>
        <tr r="E18" s="5"/>
        <tr r="C107" s="11"/>
      </tp>
      <tp t="s">
        <v/>
        <stp/>
        <stp>Market</stp>
        <stp>STOCK</stp>
        <stp>77110.T</stp>
        <stp>現在値</stp>
        <tr r="C268" s="11"/>
      </tp>
      <tp t="s">
        <v/>
        <stp/>
        <stp>Market</stp>
        <stp>STOCK</stp>
        <stp>77410.T</stp>
        <stp>現在値</stp>
        <tr r="C302" s="11"/>
      </tp>
      <tp t="s">
        <v/>
        <stp/>
        <stp>Market</stp>
        <stp>STOCK</stp>
        <stp>77460.T</stp>
        <stp>現在値</stp>
        <tr r="E144" s="5"/>
        <tr r="E67" s="4"/>
        <tr r="C93" s="11"/>
      </tp>
      <tp t="s">
        <v/>
        <stp/>
        <stp>Market</stp>
        <stp>STOCK</stp>
        <stp>77940.T</stp>
        <stp>現在値</stp>
        <tr r="E80" s="5"/>
        <tr r="E66" s="4"/>
        <tr r="C136" s="11"/>
      </tp>
      <tp t="s">
        <v/>
        <stp/>
        <stp>Market</stp>
        <stp>STOCK</stp>
        <stp>70210.T</stp>
        <stp>現在値</stp>
        <tr r="E76" s="4"/>
        <tr r="E76" s="5"/>
        <tr r="C106" s="11"/>
      </tp>
      <tp t="s">
        <v/>
        <stp/>
        <stp>Market</stp>
        <stp>STOCK</stp>
        <stp>70130.T</stp>
        <stp>現在値</stp>
        <tr r="C231" s="11"/>
      </tp>
      <tp t="s">
        <v/>
        <stp/>
        <stp>Market</stp>
        <stp>STOCK</stp>
        <stp>70110.T</stp>
        <stp>現在値</stp>
        <tr r="C207" s="11"/>
        <tr r="E197" s="5"/>
        <tr r="E77" s="4"/>
      </tp>
      <tp t="s">
        <v/>
        <stp/>
        <stp>Market</stp>
        <stp>STOCK</stp>
        <stp>70140.T</stp>
        <stp>現在値</stp>
        <tr r="C256" s="11"/>
      </tp>
      <tp t="s">
        <v/>
        <stp/>
        <stp>Market</stp>
        <stp>STOCK</stp>
        <stp>70480.T</stp>
        <stp>現在値</stp>
        <tr r="C296" s="11"/>
      </tp>
      <tp t="s">
        <v/>
        <stp/>
        <stp>Market</stp>
        <stp>STOCK</stp>
        <stp>71670.T</stp>
        <stp>現在値</stp>
        <tr r="C82" s="11"/>
        <tr r="E101" s="5"/>
        <tr r="E75" s="4"/>
      </tp>
      <tp t="s">
        <v/>
        <stp/>
        <stp>Market</stp>
        <stp>STOCK</stp>
        <stp>71820.T</stp>
        <stp>現在値</stp>
        <tr r="E102" s="5"/>
        <tr r="E74" s="4"/>
        <tr r="C85" s="11"/>
      </tp>
      <tp t="s">
        <v/>
        <stp/>
        <stp>Market</stp>
        <stp>STOCK</stp>
        <stp>71810.T</stp>
        <stp>現在値</stp>
        <tr r="C190" s="11"/>
        <tr r="E119" s="5"/>
        <tr r="E5" s="4"/>
      </tp>
      <tp t="s">
        <v/>
        <stp/>
        <stp>Market</stp>
        <stp>STOCK</stp>
        <stp>72360.T</stp>
        <stp>現在値</stp>
        <tr r="E72" s="4"/>
        <tr r="E137" s="5"/>
        <tr r="C177" s="11"/>
      </tp>
      <tp t="s">
        <v/>
        <stp/>
        <stp>Market</stp>
        <stp>STOCK</stp>
        <stp>72030.T</stp>
        <stp>現在値</stp>
        <tr r="C77" s="11"/>
        <tr r="E73" s="5"/>
        <tr r="E73" s="4"/>
      </tp>
      <tp t="s">
        <v/>
        <stp/>
        <stp>Market</stp>
        <stp>STOCK</stp>
        <stp>72700.T</stp>
        <stp>現在値</stp>
        <tr r="C286" s="11"/>
      </tp>
      <tp t="s">
        <v/>
        <stp/>
        <stp>Market</stp>
        <stp>STOCK</stp>
        <stp>73750.T</stp>
        <stp>現在値</stp>
        <tr r="C149" s="11"/>
        <tr r="E71" s="4"/>
        <tr r="E190" s="5"/>
      </tp>
      <tp t="s">
        <v/>
        <stp/>
        <stp>Market</stp>
        <stp>STOCK</stp>
        <stp>73810.T</stp>
        <stp>現在値</stp>
        <tr r="C152" s="11"/>
        <tr r="E70" s="4"/>
        <tr r="E63" s="5"/>
      </tp>
      <tp t="s">
        <v/>
        <stp/>
        <stp>Market</stp>
        <stp>STOCK</stp>
        <stp>61350.T</stp>
        <stp>銘柄名称</stp>
        <tr r="C223" s="1"/>
      </tp>
      <tp t="s">
        <v/>
        <stp/>
        <stp>Market</stp>
        <stp>STOCK</stp>
        <stp>61340.T</stp>
        <stp>銘柄名称</stp>
        <tr r="C92" s="1"/>
      </tp>
      <tp t="s">
        <v/>
        <stp/>
        <stp>Market</stp>
        <stp>STOCK</stp>
        <stp>21270.T</stp>
        <stp>銘柄名称</stp>
        <tr r="C187" s="1"/>
      </tp>
      <tp t="s">
        <v/>
        <stp/>
        <stp>Market</stp>
        <stp>STOCK</stp>
        <stp>91150.T</stp>
        <stp>銘柄名称</stp>
        <tr r="C270" s="1"/>
      </tp>
      <tp t="s">
        <v/>
        <stp/>
        <stp>Market</stp>
        <stp>STOCK</stp>
        <stp>31100.T</stp>
        <stp>銘柄名称</stp>
        <tr r="C134" s="1"/>
      </tp>
      <tp t="s">
        <v/>
        <stp/>
        <stp>Market</stp>
        <stp>STOCK</stp>
        <stp>91040.T</stp>
        <stp>銘柄名称</stp>
        <tr r="C259" s="1"/>
      </tp>
      <tp t="s">
        <v/>
        <stp/>
        <stp>Market</stp>
        <stp>STOCK</stp>
        <stp>31070.T</stp>
        <stp>銘柄名称</stp>
        <tr r="C60" s="1"/>
      </tp>
      <tp t="s">
        <v/>
        <stp/>
        <stp>Market</stp>
        <stp>STOCK</stp>
        <stp>91010.T</stp>
        <stp>銘柄名称</stp>
        <tr r="C206" s="1"/>
        <tr r="D19" s="16"/>
      </tp>
      <tp t="s">
        <v/>
        <stp/>
        <stp>Market</stp>
        <stp>STOCK</stp>
        <stp>31030.T</stp>
        <stp>銘柄名称</stp>
        <tr r="C138" s="1"/>
      </tp>
      <tp t="s">
        <v/>
        <stp/>
        <stp>Market</stp>
        <stp>STOCK</stp>
        <stp>81030.T</stp>
        <stp>銘柄名称</stp>
        <tr r="C169" s="1"/>
      </tp>
      <tp t="s">
        <v/>
        <stp/>
        <stp>Market</stp>
        <stp>STOCK</stp>
        <stp>61780.T</stp>
        <stp>銘柄名称</stp>
        <tr r="C104" s="1"/>
      </tp>
      <tp t="s">
        <v/>
        <stp/>
        <stp>Market</stp>
        <stp>STOCK</stp>
        <stp>91650.T</stp>
        <stp>銘柄名称</stp>
        <tr r="C243" s="1"/>
      </tp>
      <tp t="s">
        <v/>
        <stp/>
        <stp>Market</stp>
        <stp>STOCK</stp>
        <stp>71670.T</stp>
        <stp>銘柄名称</stp>
        <tr r="C82" s="1"/>
      </tp>
      <tp t="s">
        <v/>
        <stp/>
        <stp>Market</stp>
        <stp>STOCK</stp>
        <stp>21600.T</stp>
        <stp>銘柄名称</stp>
        <tr r="C131" s="1"/>
      </tp>
      <tp t="s">
        <v/>
        <stp/>
        <stp>Market</stp>
        <stp>STOCK</stp>
        <stp>61460.T</stp>
        <stp>銘柄名称</stp>
        <tr r="C197" s="1"/>
      </tp>
      <tp t="s">
        <v/>
        <stp/>
        <stp>Market</stp>
        <stp>STOCK</stp>
        <stp>81410.T</stp>
        <stp>銘柄名称</stp>
        <tr r="C292" s="1"/>
      </tp>
      <tp t="s">
        <v/>
        <stp/>
        <stp>Market</stp>
        <stp>STOCK</stp>
        <stp>61400.T</stp>
        <stp>銘柄名称</stp>
        <tr r="C261" s="1"/>
      </tp>
      <tp t="s">
        <v/>
        <stp/>
        <stp>Market</stp>
        <stp>STOCK</stp>
        <stp>71810.T</stp>
        <stp>銘柄名称</stp>
        <tr r="C190" s="1"/>
      </tp>
      <tp t="s">
        <v/>
        <stp/>
        <stp>Market</stp>
        <stp>STOCK</stp>
        <stp>41820.T</stp>
        <stp>銘柄名称</stp>
        <tr r="C97" s="1"/>
      </tp>
      <tp t="s">
        <v/>
        <stp/>
        <stp>Market</stp>
        <stp>STOCK</stp>
        <stp>71820.T</stp>
        <stp>銘柄名称</stp>
        <tr r="C85" s="1"/>
      </tp>
      <tp t="s">
        <v/>
        <stp/>
        <stp>Market</stp>
        <stp>STOCK</stp>
        <stp>41880.T</stp>
        <stp>銘柄名称</stp>
        <tr r="C98" s="1"/>
      </tp>
    </main>
    <main first="rtdsrv.1affdd1a84884b47aa44e2c617a0fa7a">
      <tp t="s">
        <v/>
        <stp/>
        <stp>Market</stp>
        <stp>STOCK</stp>
        <stp>485A0.T</stp>
        <stp>現在値</stp>
        <tr r="C221" s="11"/>
      </tp>
      <tp t="s">
        <v/>
        <stp/>
        <stp>Market</stp>
        <stp>STOCK</stp>
        <stp>48870.T</stp>
        <stp>現在値</stp>
        <tr r="E195" s="5"/>
        <tr r="C192" s="11"/>
        <tr r="E152" s="4"/>
      </tp>
      <tp t="s">
        <v/>
        <stp/>
        <stp>Market</stp>
        <stp>STOCK</stp>
        <stp>48880.T</stp>
        <stp>現在値</stp>
        <tr r="C146" s="11"/>
        <tr r="E151" s="4"/>
        <tr r="E131" s="5"/>
      </tp>
      <tp t="s">
        <v/>
        <stp/>
        <stp>Market</stp>
        <stp>STOCK</stp>
        <stp>49660.T</stp>
        <stp>現在値</stp>
        <tr r="E150" s="4"/>
        <tr r="C196" s="11"/>
        <tr r="E34" s="5"/>
      </tp>
      <tp t="s">
        <v/>
        <stp/>
        <stp>Market</stp>
        <stp>STOCK</stp>
        <stp>49800.T</stp>
        <stp>現在値</stp>
        <tr r="E72" s="5"/>
        <tr r="E149" s="4"/>
        <tr r="C69" s="11"/>
      </tp>
      <tp t="s">
        <v/>
        <stp/>
        <stp>Market</stp>
        <stp>STOCK</stp>
        <stp>44220.T</stp>
        <stp>現在値</stp>
        <tr r="E162" s="4"/>
        <tr r="C139" s="11"/>
        <tr r="E188" s="5"/>
      </tp>
      <tp t="s">
        <v/>
        <stp/>
        <stp>Market</stp>
        <stp>STOCK</stp>
        <stp>44170.T</stp>
        <stp>現在値</stp>
        <tr r="E163" s="4"/>
        <tr r="C153" s="11"/>
        <tr r="E112" s="5"/>
      </tp>
      <tp t="s">
        <v/>
        <stp/>
        <stp>Market</stp>
        <stp>STOCK</stp>
        <stp>45360.T</stp>
        <stp>現在値</stp>
        <tr r="E158" s="4"/>
        <tr r="C67" s="11"/>
        <tr r="E125" s="5"/>
      </tp>
      <tp t="s">
        <v/>
        <stp/>
        <stp>Market</stp>
        <stp>STOCK</stp>
        <stp>45230.T</stp>
        <stp>現在値</stp>
        <tr r="E184" s="5"/>
        <tr r="E160" s="4"/>
        <tr r="C99" s="11"/>
      </tp>
      <tp t="s">
        <v/>
        <stp/>
        <stp>Market</stp>
        <stp>STOCK</stp>
        <stp>45280.T</stp>
        <stp>現在値</stp>
        <tr r="C100" s="11"/>
        <tr r="E17" s="5"/>
        <tr r="E159" s="4"/>
      </tp>
      <tp t="s">
        <v/>
        <stp/>
        <stp>Market</stp>
        <stp>STOCK</stp>
        <stp>45190.T</stp>
        <stp>現在値</stp>
        <tr r="E205" s="5"/>
        <tr r="C130" s="11"/>
        <tr r="E161" s="4"/>
      </tp>
      <tp t="s">
        <v/>
        <stp/>
        <stp>Market</stp>
        <stp>STOCK</stp>
        <stp>45020.T</stp>
        <stp>現在値</stp>
        <tr r="C212" s="11"/>
      </tp>
      <tp t="s">
        <v/>
        <stp/>
        <stp>Market</stp>
        <stp>STOCK</stp>
        <stp>45680.T</stp>
        <stp>現在値</stp>
        <tr r="E110" s="5"/>
        <tr r="E7" s="4"/>
        <tr r="C142" s="11"/>
      </tp>
      <tp t="s">
        <v/>
        <stp/>
        <stp>Market</stp>
        <stp>STOCK</stp>
        <stp>45400.T</stp>
        <stp>現在値</stp>
        <tr r="C64" s="11"/>
        <tr r="E124" s="5"/>
        <tr r="E157" s="4"/>
      </tp>
      <tp t="s">
        <v/>
        <stp/>
        <stp>Market</stp>
        <stp>STOCK</stp>
        <stp>45440.T</stp>
        <stp>現在値</stp>
        <tr r="C273" s="11"/>
      </tp>
      <tp t="s">
        <v/>
        <stp/>
        <stp>Market</stp>
        <stp>STOCK</stp>
        <stp>46760.T</stp>
        <stp>現在値</stp>
        <tr r="E155" s="4"/>
        <tr r="C58" s="11"/>
        <tr r="E177" s="5"/>
      </tp>
      <tp t="s">
        <v/>
        <stp/>
        <stp>Market</stp>
        <stp>STOCK</stp>
        <stp>46610.T</stp>
        <stp>現在値</stp>
        <tr r="C101" s="11"/>
        <tr r="E103" s="5"/>
        <tr r="E156" s="4"/>
      </tp>
      <tp t="s">
        <v/>
        <stp/>
        <stp>Market</stp>
        <stp>STOCK</stp>
        <stp>464A0.T</stp>
        <stp>現在値</stp>
        <tr r="C220" s="11"/>
      </tp>
      <tp t="s">
        <v/>
        <stp/>
        <stp>Market</stp>
        <stp>STOCK</stp>
        <stp>47330.T</stp>
        <stp>現在値</stp>
        <tr r="E133" s="5"/>
        <tr r="C165" s="11"/>
        <tr r="E153" s="4"/>
      </tp>
      <tp t="s">
        <v/>
        <stp/>
        <stp>Market</stp>
        <stp>STOCK</stp>
        <stp>47040.T</stp>
        <stp>現在値</stp>
        <tr r="C254" s="11"/>
      </tp>
      <tp t="s">
        <v/>
        <stp/>
        <stp>Market</stp>
        <stp>STOCK</stp>
        <stp>47090.T</stp>
        <stp>現在値</stp>
        <tr r="C170" s="11"/>
        <tr r="E115" s="5"/>
        <tr r="E154" s="4"/>
      </tp>
      <tp t="s">
        <v/>
        <stp/>
        <stp>Market</stp>
        <stp>STOCK</stp>
        <stp>47760.T</stp>
        <stp>現在値</stp>
        <tr r="C253" s="11"/>
      </tp>
      <tp t="s">
        <v/>
        <stp/>
        <stp>Market</stp>
        <stp>STOCK</stp>
        <stp>40040.T</stp>
        <stp>現在値</stp>
        <tr r="C213" s="11"/>
      </tp>
      <tp t="s">
        <v/>
        <stp/>
        <stp>Market</stp>
        <stp>STOCK</stp>
        <stp>40080.T</stp>
        <stp>現在値</stp>
        <tr r="E175" s="4"/>
        <tr r="E127" s="5"/>
        <tr r="C95" s="11"/>
      </tp>
      <tp t="s">
        <v/>
        <stp/>
        <stp>Market</stp>
        <stp>STOCK</stp>
        <stp>40630.T</stp>
        <stp>現在値</stp>
        <tr r="E172" s="4"/>
        <tr r="E14" s="5"/>
        <tr r="C66" s="11"/>
      </tp>
      <tp t="s">
        <v/>
        <stp/>
        <stp>Market</stp>
        <stp>STOCK</stp>
        <stp>40620.T</stp>
        <stp>現在値</stp>
        <tr r="E173" s="4"/>
        <tr r="E56" s="5"/>
        <tr r="C96" s="11"/>
      </tp>
      <tp t="s">
        <v/>
        <stp/>
        <stp>Market</stp>
        <stp>STOCK</stp>
        <stp>40470.T</stp>
        <stp>現在値</stp>
        <tr r="C289" s="11"/>
      </tp>
      <tp t="s">
        <v/>
        <stp/>
        <stp>Market</stp>
        <stp>STOCK</stp>
        <stp>40450.T</stp>
        <stp>現在値</stp>
        <tr r="E178" s="5"/>
        <tr r="C61" s="11"/>
        <tr r="E174" s="4"/>
      </tp>
      <tp t="s">
        <v/>
        <stp/>
        <stp>Market</stp>
        <stp>STOCK</stp>
        <stp>40910.T</stp>
        <stp>現在値</stp>
        <tr r="E169" s="4"/>
        <tr r="E152" s="5"/>
        <tr r="C157" s="11"/>
      </tp>
      <tp t="s">
        <v/>
        <stp/>
        <stp>Market</stp>
        <stp>STOCK</stp>
        <stp>40820.T</stp>
        <stp>現在値</stp>
        <tr r="E9" s="5"/>
        <tr r="E171" s="4"/>
        <tr r="C129" s="11"/>
      </tp>
      <tp t="s">
        <v/>
        <stp/>
        <stp>Market</stp>
        <stp>STOCK</stp>
        <stp>40880.T</stp>
        <stp>現在値</stp>
        <tr r="E170" s="4"/>
        <tr r="C156" s="11"/>
        <tr r="E132" s="5"/>
      </tp>
      <tp t="s">
        <v/>
        <stp/>
        <stp>Market</stp>
        <stp>STOCK</stp>
        <stp>41820.T</stp>
        <stp>現在値</stp>
        <tr r="E75" s="5"/>
        <tr r="C97" s="11"/>
        <tr r="E168" s="4"/>
      </tp>
      <tp t="s">
        <v/>
        <stp/>
        <stp>Market</stp>
        <stp>STOCK</stp>
        <stp>41880.T</stp>
        <stp>現在値</stp>
        <tr r="C98" s="11"/>
        <tr r="E145" s="5"/>
        <tr r="E167" s="4"/>
      </tp>
      <tp t="s">
        <v/>
        <stp/>
        <stp>Market</stp>
        <stp>STOCK</stp>
        <stp>42220.T</stp>
        <stp>現在値</stp>
        <tr r="C229" s="11"/>
      </tp>
      <tp t="s">
        <v/>
        <stp/>
        <stp>Market</stp>
        <stp>STOCK</stp>
        <stp>42180.T</stp>
        <stp>現在値</stp>
        <tr r="C282" s="11"/>
      </tp>
      <tp t="s">
        <v/>
        <stp/>
        <stp>Market</stp>
        <stp>STOCK</stp>
        <stp>42080.T</stp>
        <stp>現在値</stp>
        <tr r="C298" s="11"/>
      </tp>
      <tp t="s">
        <v/>
        <stp/>
        <stp>Market</stp>
        <stp>STOCK</stp>
        <stp>43070.T</stp>
        <stp>現在値</stp>
        <tr r="E151" s="5"/>
        <tr r="C150" s="11"/>
        <tr r="E166" s="4"/>
      </tp>
      <tp t="s">
        <v/>
        <stp/>
        <stp>Market</stp>
        <stp>STOCK</stp>
        <stp>43730.T</stp>
        <stp>現在値</stp>
        <tr r="C160" s="11"/>
        <tr r="E165" s="4"/>
        <tr r="E82" s="5"/>
      </tp>
      <tp t="s">
        <v/>
        <stp/>
        <stp>Market</stp>
        <stp>STOCK</stp>
        <stp>43920.T</stp>
        <stp>現在値</stp>
        <tr r="C235" s="11"/>
      </tp>
      <tp t="s">
        <v/>
        <stp/>
        <stp>Market</stp>
        <stp>STOCK</stp>
        <stp>43820.T</stp>
        <stp>現在値</stp>
        <tr r="C173" s="11"/>
        <tr r="E192" s="5"/>
        <tr r="E164" s="4"/>
      </tp>
      <tp t="s">
        <v/>
        <stp/>
        <stp>Market</stp>
        <stp>STOCK</stp>
        <stp>72360.T</stp>
        <stp>銘柄名称</stp>
        <tr r="C177" s="1"/>
      </tp>
      <tp t="s">
        <v/>
        <stp/>
        <stp>Market</stp>
        <stp>STOCK</stp>
        <stp>52330.T</stp>
        <stp>銘柄名称</stp>
        <tr r="C34" s="1"/>
      </tp>
      <tp t="s">
        <v/>
        <stp/>
        <stp>Market</stp>
        <stp>STOCK</stp>
        <stp>62320.T</stp>
        <stp>銘柄名称</stp>
        <tr r="C135" s="1"/>
      </tp>
      <tp t="s">
        <v/>
        <stp/>
        <stp>Market</stp>
        <stp>STOCK</stp>
        <stp>62270.T</stp>
        <stp>銘柄名称</stp>
        <tr r="C132" s="1"/>
        <tr r="D16" s="16"/>
      </tp>
      <tp t="s">
        <v/>
        <stp/>
        <stp>Market</stp>
        <stp>STOCK</stp>
        <stp>92270.T</stp>
        <stp>銘柄名称</stp>
        <tr r="C111" s="1"/>
      </tp>
      <tp t="s">
        <v/>
        <stp/>
        <stp>Market</stp>
        <stp>STOCK</stp>
        <stp>42220.T</stp>
        <stp>銘柄名称</stp>
        <tr r="C229" s="1"/>
      </tp>
      <tp t="s">
        <v/>
        <stp/>
        <stp>Market</stp>
        <stp>STOCK</stp>
        <stp>42180.T</stp>
        <stp>銘柄名称</stp>
        <tr r="C282" s="1"/>
      </tp>
      <tp t="s">
        <v/>
        <stp/>
        <stp>Market</stp>
        <stp>STOCK</stp>
        <stp>52010.T</stp>
        <stp>銘柄名称</stp>
        <tr r="C53" s="1"/>
      </tp>
      <tp t="s">
        <v/>
        <stp/>
        <stp>Market</stp>
        <stp>STOCK</stp>
        <stp>62030.T</stp>
        <stp>銘柄名称</stp>
        <tr r="C57" s="1"/>
      </tp>
      <tp t="s">
        <v/>
        <stp/>
        <stp>Market</stp>
        <stp>STOCK</stp>
        <stp>72030.T</stp>
        <stp>銘柄名称</stp>
        <tr r="C77" s="1"/>
      </tp>
      <tp t="s">
        <v/>
        <stp/>
        <stp>Market</stp>
        <stp>STOCK</stp>
        <stp>92020.T</stp>
        <stp>銘柄名称</stp>
        <tr r="C74" s="1"/>
      </tp>
      <tp t="s">
        <v/>
        <stp/>
        <stp>Market</stp>
        <stp>STOCK</stp>
        <stp>42080.T</stp>
        <stp>銘柄名称</stp>
        <tr r="C298" s="1"/>
      </tp>
      <tp t="s">
        <v/>
        <stp/>
        <stp>Market</stp>
        <stp>STOCK</stp>
        <stp>72700.T</stp>
        <stp>銘柄名称</stp>
        <tr r="C286" s="1"/>
      </tp>
      <tp t="s">
        <v/>
        <stp/>
        <stp>Market</stp>
        <stp>STOCK</stp>
        <stp>62730.T</stp>
        <stp>銘柄名称</stp>
        <tr r="C211" s="1"/>
      </tp>
      <tp t="s">
        <v/>
        <stp/>
        <stp>Market</stp>
        <stp>STOCK</stp>
        <stp>22670.T</stp>
        <stp>銘柄名称</stp>
        <tr r="C226" s="1"/>
      </tp>
      <tp t="s">
        <v/>
        <stp/>
        <stp>Market</stp>
        <stp>STOCK</stp>
        <stp>62540.T</stp>
        <stp>銘柄名称</stp>
        <tr r="C30" s="1"/>
      </tp>
      <tp t="s">
        <v/>
        <stp/>
        <stp>Market</stp>
        <stp>STOCK</stp>
        <stp>52530.T</stp>
        <stp>銘柄名称</stp>
        <tr r="C258" s="1"/>
      </tp>
      <tp t="s">
        <v/>
        <stp/>
        <stp>Market</stp>
        <stp>STOCK</stp>
        <stp>52430.T</stp>
        <stp>銘柄名称</stp>
        <tr r="C193" s="1"/>
      </tp>
      <tp t="s">
        <v/>
        <stp/>
        <stp>Market</stp>
        <stp>STOCK</stp>
        <stp>82810.T</stp>
        <stp>銘柄名称</stp>
        <tr r="C63" s="1"/>
      </tp>
    </main>
    <main first="rtdsrv.1affdd1a84884b47aa44e2c617a0fa7a">
      <tp t="s">
        <v/>
        <stp/>
        <stp>Market</stp>
        <stp>STOCK</stp>
        <stp>58380.T</stp>
        <stp>現在値</stp>
        <tr r="C117" s="11"/>
        <tr r="E124" s="4"/>
        <tr r="E147" s="5"/>
      </tp>
      <tp t="s">
        <v/>
        <stp/>
        <stp>Market</stp>
        <stp>STOCK</stp>
        <stp>58030.T</stp>
        <stp>現在値</stp>
        <tr r="E58" s="5"/>
        <tr r="C103" s="11"/>
        <tr r="E125" s="4"/>
      </tp>
      <tp t="s">
        <v/>
        <stp/>
        <stp>Market</stp>
        <stp>STOCK</stp>
        <stp>58020.T</stp>
        <stp>現在値</stp>
        <tr r="E57" s="5"/>
        <tr r="C102" s="11"/>
        <tr r="E126" s="4"/>
      </tp>
      <tp t="s">
        <v/>
        <stp/>
        <stp>Market</stp>
        <stp>STOCK</stp>
        <stp>58010.T</stp>
        <stp>現在値</stp>
        <tr r="E127" s="4"/>
        <tr r="C200" s="11"/>
        <tr r="E45" s="5"/>
      </tp>
      <tp t="s">
        <v/>
        <stp/>
        <stp>Market</stp>
        <stp>STOCK</stp>
        <stp>58570.T</stp>
        <stp>現在値</stp>
        <tr r="E52" s="5"/>
        <tr r="C62" s="11"/>
        <tr r="E122" s="4"/>
      </tp>
      <tp t="s">
        <v/>
        <stp/>
        <stp>Market</stp>
        <stp>STOCK</stp>
        <stp>58440.T</stp>
        <stp>現在値</stp>
        <tr r="E123" s="4"/>
        <tr r="E61" s="5"/>
        <tr r="C118" s="11"/>
      </tp>
      <tp t="s">
        <v/>
        <stp/>
        <stp>Market</stp>
        <stp>STOCK</stp>
        <stp>58920.T</stp>
        <stp>現在値</stp>
        <tr r="C89" s="11"/>
        <tr r="E121" s="4"/>
        <tr r="E74" s="5"/>
      </tp>
      <tp t="s">
        <v/>
        <stp/>
        <stp>Market</stp>
        <stp>STOCK</stp>
        <stp>59380.T</stp>
        <stp>現在値</stp>
        <tr r="E118" s="4"/>
        <tr r="C36" s="11"/>
        <tr r="E93" s="5"/>
      </tp>
      <tp t="s">
        <v/>
        <stp/>
        <stp>Market</stp>
        <stp>STOCK</stp>
        <stp>59290.T</stp>
        <stp>現在値</stp>
        <tr r="C49" s="11"/>
        <tr r="E119" s="4"/>
        <tr r="E69" s="5"/>
      </tp>
      <tp t="s">
        <v/>
        <stp/>
        <stp>Market</stp>
        <stp>STOCK</stp>
        <stp>59010.T</stp>
        <stp>現在値</stp>
        <tr r="C55" s="11"/>
        <tr r="E71" s="5"/>
        <tr r="E120" s="4"/>
      </tp>
      <tp t="s">
        <v/>
        <stp/>
        <stp>Market</stp>
        <stp>STOCK</stp>
        <stp>59470.T</stp>
        <stp>現在値</stp>
        <tr r="C42" s="11"/>
        <tr r="E96" s="5"/>
        <tr r="E117" s="4"/>
      </tp>
      <tp t="s">
        <v/>
        <stp/>
        <stp>Market</stp>
        <stp>STOCK</stp>
        <stp>54230.T</stp>
        <stp>現在値</stp>
        <tr r="C7" s="11"/>
        <tr r="E136" s="4"/>
        <tr r="E165" s="5"/>
      </tp>
      <tp t="s">
        <v/>
        <stp/>
        <stp>Market</stp>
        <stp>STOCK</stp>
        <stp>54110.T</stp>
        <stp>現在値</stp>
        <tr r="C84" s="11"/>
        <tr r="E137" s="4"/>
        <tr r="E7" s="5"/>
      </tp>
      <tp t="s">
        <v/>
        <stp/>
        <stp>Market</stp>
        <stp>STOCK</stp>
        <stp>54100.T</stp>
        <stp>現在値</stp>
        <tr r="E118" s="5"/>
        <tr r="C179" s="11"/>
        <tr r="E138" s="4"/>
      </tp>
      <tp t="s">
        <v/>
        <stp/>
        <stp>Market</stp>
        <stp>STOCK</stp>
        <stp>54010.T</stp>
        <stp>現在値</stp>
        <tr r="E140" s="4"/>
        <tr r="E173" s="5"/>
        <tr r="C46" s="11"/>
      </tp>
      <tp t="s">
        <v/>
        <stp/>
        <stp>Market</stp>
        <stp>STOCK</stp>
        <stp>54060.T</stp>
        <stp>現在値</stp>
        <tr r="C38" s="11"/>
        <tr r="E139" s="4"/>
        <tr r="E95" s="5"/>
      </tp>
      <tp t="s">
        <v/>
        <stp/>
        <stp>Market</stp>
        <stp>STOCK</stp>
        <stp>54400.T</stp>
        <stp>現在値</stp>
        <tr r="E156" s="5"/>
        <tr r="E135" s="4"/>
        <tr r="C180" s="11"/>
      </tp>
      <tp t="s">
        <v/>
        <stp/>
        <stp>Market</stp>
        <stp>STOCK</stp>
        <stp>54490.T</stp>
        <stp>現在値</stp>
        <tr r="C51" s="11"/>
        <tr r="E97" s="5"/>
        <tr r="E134" s="4"/>
      </tp>
      <tp t="s">
        <v/>
        <stp/>
        <stp>Market</stp>
        <stp>STOCK</stp>
        <stp>55410.T</stp>
        <stp>現在値</stp>
        <tr r="E90" s="5"/>
        <tr r="C20" s="11"/>
        <tr r="E133" s="4"/>
      </tp>
      <tp t="s">
        <v/>
        <stp/>
        <stp>Market</stp>
        <stp>STOCK</stp>
        <stp>56320.T</stp>
        <stp>現在値</stp>
        <tr r="C247" s="11"/>
      </tp>
      <tp t="s">
        <v/>
        <stp/>
        <stp>Market</stp>
        <stp>STOCK</stp>
        <stp>56310.T</stp>
        <stp>現在値</stp>
        <tr r="C263" s="11"/>
      </tp>
      <tp t="s">
        <v/>
        <stp/>
        <stp>Market</stp>
        <stp>STOCK</stp>
        <stp>57130.T</stp>
        <stp>現在値</stp>
        <tr r="E46" s="5"/>
        <tr r="C8" s="11"/>
        <tr r="E129" s="4"/>
      </tp>
      <tp t="s">
        <v/>
        <stp/>
        <stp>Market</stp>
        <stp>STOCK</stp>
        <stp>57110.T</stp>
        <stp>現在値</stp>
        <tr r="E130" s="4"/>
        <tr r="C9" s="11"/>
        <tr r="E87" s="5"/>
      </tp>
      <tp t="s">
        <v/>
        <stp/>
        <stp>Market</stp>
        <stp>STOCK</stp>
        <stp>57140.T</stp>
        <stp>現在値</stp>
        <tr r="E128" s="4"/>
        <tr r="E47" s="5"/>
        <tr r="C10" s="11"/>
      </tp>
      <tp t="s">
        <v/>
        <stp/>
        <stp>Market</stp>
        <stp>STOCK</stp>
        <stp>57030.T</stp>
        <stp>現在値</stp>
        <tr r="E48" s="5"/>
        <tr r="C13" s="11"/>
        <tr r="E132" s="4"/>
      </tp>
      <tp t="s">
        <v/>
        <stp/>
        <stp>Market</stp>
        <stp>STOCK</stp>
        <stp>57020.T</stp>
        <stp>現在値</stp>
        <tr r="C275" s="11"/>
      </tp>
      <tp t="s">
        <v/>
        <stp/>
        <stp>Market</stp>
        <stp>STOCK</stp>
        <stp>57060.T</stp>
        <stp>現在値</stp>
        <tr r="E11" s="5"/>
        <tr r="E131" s="4"/>
      </tp>
      <tp t="s">
        <v/>
        <stp/>
        <stp>Market</stp>
        <stp>STOCK</stp>
        <stp>50210.T</stp>
        <stp>現在値</stp>
        <tr r="E146" s="4"/>
        <tr r="E88" s="5"/>
        <tr r="C15" s="11"/>
      </tp>
      <tp t="s">
        <v/>
        <stp/>
        <stp>Market</stp>
        <stp>STOCK</stp>
        <stp>50200.T</stp>
        <stp>現在値</stp>
        <tr r="E147" s="4"/>
        <tr r="C29" s="11"/>
        <tr r="E141" s="5"/>
      </tp>
      <tp t="s">
        <v/>
        <stp/>
        <stp>Market</stp>
        <stp>STOCK</stp>
        <stp>50190.T</stp>
        <stp>現在値</stp>
        <tr r="C24" s="11"/>
        <tr r="E148" s="4"/>
        <tr r="E140" s="5"/>
      </tp>
      <tp t="s">
        <v/>
        <stp/>
        <stp>Market</stp>
        <stp>STOCK</stp>
        <stp>52330.T</stp>
        <stp>現在値</stp>
        <tr r="E144" s="4"/>
        <tr r="C34" s="11"/>
        <tr r="E170" s="5"/>
      </tp>
      <tp t="s">
        <v/>
        <stp/>
        <stp>Market</stp>
        <stp>STOCK</stp>
        <stp>52010.T</stp>
        <stp>現在値</stp>
        <tr r="E145" s="4"/>
        <tr r="C53" s="11"/>
        <tr r="E175" s="5"/>
      </tp>
      <tp t="s">
        <v/>
        <stp/>
        <stp>Market</stp>
        <stp>STOCK</stp>
        <stp>52530.T</stp>
        <stp>現在値</stp>
        <tr r="C258" s="11"/>
      </tp>
      <tp t="s">
        <v/>
        <stp/>
        <stp>Market</stp>
        <stp>STOCK</stp>
        <stp>52430.T</stp>
        <stp>現在値</stp>
        <tr r="E138" s="5"/>
        <tr r="C193" s="11"/>
        <tr r="E143" s="4"/>
      </tp>
      <tp t="s">
        <v/>
        <stp/>
        <stp>Market</stp>
        <stp>STOCK</stp>
        <stp>53330.T</stp>
        <stp>現在値</stp>
        <tr r="C17" s="11"/>
        <tr r="E37" s="5"/>
        <tr r="E141" s="4"/>
      </tp>
      <tp t="s">
        <v/>
        <stp/>
        <stp>Market</stp>
        <stp>STOCK</stp>
        <stp>53320.T</stp>
        <stp>現在値</stp>
        <tr r="C21" s="11"/>
        <tr r="E142" s="4"/>
        <tr r="E12" s="5"/>
      </tp>
      <tp t="s">
        <v/>
        <stp/>
        <stp>Market</stp>
        <stp>STOCK</stp>
        <stp>83340.T</stp>
        <stp>銘柄名称</stp>
        <tr r="C122" s="1"/>
      </tp>
      <tp t="s">
        <v/>
        <stp/>
        <stp>Market</stp>
        <stp>STOCK</stp>
        <stp>63310.T</stp>
        <stp>銘柄名称</stp>
        <tr r="C301" s="1"/>
      </tp>
      <tp t="s">
        <v/>
        <stp/>
        <stp>Market</stp>
        <stp>STOCK</stp>
        <stp>63300.T</stp>
        <stp>銘柄名称</stp>
        <tr r="C128" s="1"/>
      </tp>
      <tp t="s">
        <v/>
        <stp/>
        <stp>Market</stp>
        <stp>STOCK</stp>
        <stp>53330.T</stp>
        <stp>銘柄名称</stp>
        <tr r="C17" s="1"/>
      </tp>
      <tp t="s">
        <v/>
        <stp/>
        <stp>Market</stp>
        <stp>STOCK</stp>
        <stp>53320.T</stp>
        <stp>銘柄名称</stp>
        <tr r="C21" s="1"/>
        <tr r="D7" s="16"/>
        <tr r="D10" s="16"/>
        <tr r="D15" s="16"/>
        <tr r="D18" s="16"/>
      </tp>
      <tp t="s">
        <v/>
        <stp/>
        <stp>Market</stp>
        <stp>STOCK</stp>
        <stp>63240.T</stp>
        <stp>銘柄名称</stp>
        <tr r="C210" s="1"/>
      </tp>
      <tp t="s">
        <v/>
        <stp/>
        <stp>Market</stp>
        <stp>STOCK</stp>
        <stp>63270.T</stp>
        <stp>銘柄名称</stp>
        <tr r="C133" s="1"/>
      </tp>
      <tp t="s">
        <v/>
        <stp/>
        <stp>Market</stp>
        <stp>STOCK</stp>
        <stp>23270.T</stp>
        <stp>銘柄名称</stp>
        <tr r="C174" s="1"/>
      </tp>
      <tp t="s">
        <v/>
        <stp/>
        <stp>Market</stp>
        <stp>STOCK</stp>
        <stp>23260.T</stp>
        <stp>銘柄名称</stp>
        <tr r="C237" s="1"/>
      </tp>
      <tp t="s">
        <v/>
        <stp/>
        <stp>Market</stp>
        <stp>STOCK</stp>
        <stp>13210.T</stp>
        <stp>銘柄名称</stp>
        <tr r="C303" s="1"/>
      </tp>
      <tp t="s">
        <v/>
        <stp/>
        <stp>Market</stp>
        <stp>STOCK</stp>
        <stp>63230.T</stp>
        <stp>銘柄名称</stp>
        <tr r="C90" s="1"/>
      </tp>
      <tp t="s">
        <v/>
        <stp/>
        <stp>Market</stp>
        <stp>STOCK</stp>
        <stp>83160.T</stp>
        <stp>銘柄名称</stp>
        <tr r="C50" s="1"/>
      </tp>
      <tp t="s">
        <v/>
        <stp/>
        <stp>Market</stp>
        <stp>STOCK</stp>
        <stp>63050.T</stp>
        <stp>銘柄名称</stp>
        <tr r="C203" s="1"/>
      </tp>
      <tp t="s">
        <v/>
        <stp/>
        <stp>Market</stp>
        <stp>STOCK</stp>
        <stp>43070.T</stp>
        <stp>銘柄名称</stp>
        <tr r="C150" s="1"/>
      </tp>
      <tp t="s">
        <v/>
        <stp/>
        <stp>Market</stp>
        <stp>STOCK</stp>
        <stp>83060.T</stp>
        <stp>銘柄名称</stp>
        <tr r="C45" s="1"/>
      </tp>
      <tp t="s">
        <v/>
        <stp/>
        <stp>Market</stp>
        <stp>STOCK</stp>
        <stp>83030.T</stp>
        <stp>銘柄名称</stp>
        <tr r="C172" s="1"/>
      </tp>
      <tp t="s">
        <v/>
        <stp/>
        <stp>Market</stp>
        <stp>STOCK</stp>
        <stp>83090.T</stp>
        <stp>銘柄名称</stp>
        <tr r="C31" s="1"/>
      </tp>
      <tp t="s">
        <v/>
        <stp/>
        <stp>Market</stp>
        <stp>STOCK</stp>
        <stp>83080.T</stp>
        <stp>銘柄名称</stp>
        <tr r="C35" s="1"/>
      </tp>
      <tp t="s">
        <v/>
        <stp/>
        <stp>Market</stp>
        <stp>STOCK</stp>
        <stp>73750.T</stp>
        <stp>銘柄名称</stp>
        <tr r="C149" s="1"/>
      </tp>
      <tp t="s">
        <v/>
        <stp/>
        <stp>Market</stp>
        <stp>STOCK</stp>
        <stp>63760.T</stp>
        <stp>銘柄名称</stp>
        <tr r="C269" s="1"/>
      </tp>
      <tp t="s">
        <v/>
        <stp/>
        <stp>Market</stp>
        <stp>STOCK</stp>
        <stp>63700.T</stp>
        <stp>銘柄名称</stp>
        <tr r="C255" s="1"/>
      </tp>
      <tp t="s">
        <v/>
        <stp/>
        <stp>Market</stp>
        <stp>STOCK</stp>
        <stp>43730.T</stp>
        <stp>銘柄名称</stp>
        <tr r="C160" s="1"/>
      </tp>
      <tp t="s">
        <v/>
        <stp/>
        <stp>Market</stp>
        <stp>STOCK</stp>
        <stp>63660.T</stp>
        <stp>銘柄名称</stp>
        <tr r="C260" s="1"/>
      </tp>
      <tp t="s">
        <v/>
        <stp/>
        <stp>Market</stp>
        <stp>STOCK</stp>
        <stp>63610.T</stp>
        <stp>銘柄名称</stp>
        <tr r="C249" s="1"/>
      </tp>
      <tp t="s">
        <v/>
        <stp/>
        <stp>Market</stp>
        <stp>STOCK</stp>
        <stp>63560.T</stp>
        <stp>銘柄名称</stp>
        <tr r="C267" s="1"/>
      </tp>
      <tp t="s">
        <v/>
        <stp/>
        <stp>Market</stp>
        <stp>STOCK</stp>
        <stp>23590.T</stp>
        <stp>銘柄名称</stp>
        <tr r="C168" s="1"/>
      </tp>
      <tp t="s">
        <v/>
        <stp/>
        <stp>Market</stp>
        <stp>STOCK</stp>
        <stp>83590.T</stp>
        <stp>銘柄名称</stp>
        <tr r="C123" s="1"/>
      </tp>
      <tp t="s">
        <v/>
        <stp/>
        <stp>Market</stp>
        <stp>STOCK</stp>
        <stp>83440.T</stp>
        <stp>銘柄名称</stp>
        <tr r="C293" s="1"/>
        <tr r="D6" s="16"/>
        <tr r="D17" s="16"/>
      </tp>
      <tp t="s">
        <v/>
        <stp/>
        <stp>Market</stp>
        <stp>STOCK</stp>
        <stp>93480.T</stp>
        <stp>銘柄名称</stp>
        <tr r="C112" s="1"/>
      </tp>
      <tp t="s">
        <v/>
        <stp/>
        <stp>Market</stp>
        <stp>STOCK</stp>
        <stp>33970.T</stp>
        <stp>銘柄名称</stp>
        <tr r="C285" s="1"/>
      </tp>
      <tp t="s">
        <v/>
        <stp/>
        <stp>Market</stp>
        <stp>STOCK</stp>
        <stp>43920.T</stp>
        <stp>銘柄名称</stp>
        <tr r="C235" s="1"/>
      </tp>
      <tp t="s">
        <v/>
        <stp/>
        <stp>Market</stp>
        <stp>STOCK</stp>
        <stp>63870.T</stp>
        <stp>銘柄名称</stp>
        <tr r="C147" s="1"/>
      </tp>
      <tp t="s">
        <v/>
        <stp/>
        <stp>Market</stp>
        <stp>STOCK</stp>
        <stp>73810.T</stp>
        <stp>銘柄名称</stp>
        <tr r="C152" s="1"/>
      </tp>
      <tp t="s">
        <v/>
        <stp/>
        <stp>Market</stp>
        <stp>STOCK</stp>
        <stp>43820.T</stp>
        <stp>銘柄名称</stp>
        <tr r="C173" s="1"/>
      </tp>
    </main>
    <main first="rtdsrv.1affdd1a84884b47aa44e2c617a0fa7a">
      <tp t="s">
        <v/>
        <stp/>
        <stp>Market</stp>
        <stp>STOCK</stp>
        <stp>88010.T</stp>
        <stp>現在値</stp>
        <tr r="E129" s="5"/>
        <tr r="C124" s="11"/>
        <tr r="E33" s="4"/>
      </tp>
      <tp t="s">
        <v/>
        <stp/>
        <stp>Market</stp>
        <stp>STOCK</stp>
        <stp>88710.T</stp>
        <stp>現在値</stp>
        <tr r="C278" s="11"/>
      </tp>
      <tp t="s">
        <v/>
        <stp/>
        <stp>Market</stp>
        <stp>STOCK</stp>
        <stp>88920.T</stp>
        <stp>現在値</stp>
        <tr r="E32" s="4"/>
        <tr r="E114" s="5"/>
        <tr r="C161" s="11"/>
      </tp>
      <tp t="s">
        <v/>
        <stp/>
        <stp>Market</stp>
        <stp>STOCK</stp>
        <stp>89340.T</stp>
        <stp>現在値</stp>
        <tr r="E31" s="4"/>
        <tr r="C125" s="11"/>
        <tr r="E149" s="5"/>
      </tp>
    </main>
    <main first="rtdsrv.1affdd1a84884b47aa44e2c617a0fa7a">
      <tp t="s">
        <v/>
        <stp/>
        <stp>Market</stp>
        <stp>STOCK</stp>
        <stp>84240.T</stp>
        <stp>現在値</stp>
        <tr r="E46" s="4"/>
        <tr r="C108" s="11"/>
        <tr r="E185" s="5"/>
      </tp>
      <tp t="s">
        <v/>
        <stp/>
        <stp>Market</stp>
        <stp>STOCK</stp>
        <stp>84110.T</stp>
        <stp>現在値</stp>
        <tr r="E47" s="4"/>
        <tr r="C19" s="11"/>
        <tr r="E66" s="5"/>
      </tp>
      <tp t="s">
        <v/>
        <stp/>
        <stp>Market</stp>
        <stp>STOCK</stp>
        <stp>85720.T</stp>
        <stp>現在値</stp>
        <tr r="C47" s="11"/>
        <tr r="E44" s="4"/>
        <tr r="E38" s="5"/>
      </tp>
      <tp t="s">
        <v/>
        <stp/>
        <stp>Market</stp>
        <stp>STOCK</stp>
        <stp>85700.T</stp>
        <stp>現在値</stp>
        <tr r="E94" s="5"/>
        <tr r="E45" s="4"/>
        <tr r="C37" s="11"/>
      </tp>
      <tp t="s">
        <v/>
        <stp/>
        <stp>Market</stp>
        <stp>STOCK</stp>
        <stp>85930.T</stp>
        <stp>現在値</stp>
        <tr r="E42" s="4"/>
        <tr r="C39" s="11"/>
        <tr r="E171" s="5"/>
      </tp>
      <tp t="s">
        <v/>
        <stp/>
        <stp>Market</stp>
        <stp>STOCK</stp>
        <stp>85910.T</stp>
        <stp>現在値</stp>
        <tr r="E67" s="5"/>
        <tr r="E43" s="4"/>
        <tr r="C26" s="11"/>
      </tp>
    </main>
    <main first="rtdsrv.1affdd1a84884b47aa44e2c617a0fa7a">
      <tp t="s">
        <v/>
        <stp/>
        <stp>Market</stp>
        <stp>STOCK</stp>
        <stp>86300.T</stp>
        <stp>現在値</stp>
        <tr r="C54" s="11"/>
        <tr r="E176" s="5"/>
        <tr r="E39" s="4"/>
      </tp>
      <tp t="s">
        <v/>
        <stp/>
        <stp>Market</stp>
        <stp>STOCK</stp>
        <stp>86010.T</stp>
        <stp>現在値</stp>
        <tr r="E41" s="4"/>
        <tr r="E198" s="5"/>
        <tr r="C33" s="11"/>
      </tp>
      <tp t="s">
        <v/>
        <stp/>
        <stp>Market</stp>
        <stp>STOCK</stp>
        <stp>86040.T</stp>
        <stp>現在値</stp>
        <tr r="E199" s="5"/>
        <tr r="C40" s="11"/>
        <tr r="E40" s="4"/>
      </tp>
    </main>
    <main first="rtdsrv.1affdd1a84884b47aa44e2c617a0fa7a">
      <tp t="s">
        <v/>
        <stp/>
        <stp>Market</stp>
        <stp>STOCK</stp>
        <stp>87250.T</stp>
        <stp>現在値</stp>
        <tr r="E168" s="5"/>
        <tr r="E37" s="4"/>
        <tr r="C22" s="11"/>
      </tp>
      <tp t="s">
        <v/>
        <stp/>
        <stp>Market</stp>
        <stp>STOCK</stp>
        <stp>87040.T</stp>
        <stp>現在値</stp>
        <tr r="E38" s="4"/>
        <tr r="E19" s="5"/>
        <tr r="C164" s="11"/>
      </tp>
      <tp t="s">
        <v/>
        <stp/>
        <stp>Market</stp>
        <stp>STOCK</stp>
        <stp>87660.T</stp>
        <stp>現在値</stp>
        <tr r="E35" s="4"/>
        <tr r="C52" s="11"/>
        <tr r="E174" s="5"/>
      </tp>
      <tp t="s">
        <v/>
        <stp/>
        <stp>Market</stp>
        <stp>STOCK</stp>
        <stp>87500.T</stp>
        <stp>現在値</stp>
        <tr r="E200" s="5"/>
        <tr r="C43" s="11"/>
        <tr r="E36" s="4"/>
      </tp>
      <tp t="s">
        <v/>
        <stp/>
        <stp>Market</stp>
        <stp>STOCK</stp>
        <stp>87930.T</stp>
        <stp>現在値</stp>
        <tr r="C232" s="11"/>
      </tp>
      <tp t="s">
        <v/>
        <stp/>
        <stp>Market</stp>
        <stp>STOCK</stp>
        <stp>87950.T</stp>
        <stp>現在値</stp>
        <tr r="C23" s="11"/>
        <tr r="E34" s="4"/>
        <tr r="E91" s="5"/>
      </tp>
      <tp t="s">
        <v/>
        <stp/>
        <stp>Market</stp>
        <stp>STOCK</stp>
        <stp>80350.T</stp>
        <stp>現在値</stp>
        <tr r="E60" s="4"/>
        <tr r="E35" s="5"/>
        <tr r="C198" s="11"/>
      </tp>
      <tp t="s">
        <v/>
        <stp/>
        <stp>Market</stp>
        <stp>STOCK</stp>
        <stp>80150.T</stp>
        <stp>現在値</stp>
        <tr r="C204" s="11"/>
        <tr r="E65" s="5"/>
        <tr r="E61" s="4"/>
      </tp>
      <tp t="s">
        <v/>
        <stp/>
        <stp>Market</stp>
        <stp>STOCK</stp>
        <stp>80020.T</stp>
        <stp>現在値</stp>
        <tr r="E167" s="5"/>
        <tr r="C14" s="11"/>
        <tr r="E62" s="4"/>
      </tp>
      <tp t="s">
        <v/>
        <stp/>
        <stp>Market</stp>
        <stp>STOCK</stp>
        <stp>80070.T</stp>
        <stp>現在値</stp>
        <tr r="C281" s="11"/>
      </tp>
      <tp t="s">
        <v/>
        <stp/>
        <stp>Market</stp>
        <stp>STOCK</stp>
        <stp>80050.T</stp>
        <stp>現在値</stp>
        <tr r="C236" s="11"/>
      </tp>
      <tp t="s">
        <v/>
        <stp/>
        <stp>Market</stp>
        <stp>STOCK</stp>
        <stp>80530.T</stp>
        <stp>現在値</stp>
        <tr r="E59" s="4"/>
        <tr r="C25" s="11"/>
        <tr r="E49" s="5"/>
      </tp>
      <tp t="s">
        <v/>
        <stp/>
        <stp>Market</stp>
        <stp>STOCK</stp>
        <stp>80580.T</stp>
        <stp>現在値</stp>
        <tr r="E89" s="5"/>
        <tr r="C16" s="11"/>
        <tr r="E58" s="4"/>
      </tp>
      <tp t="s">
        <v/>
        <stp/>
        <stp>Market</stp>
        <stp>STOCK</stp>
        <stp>80910.T</stp>
        <stp>現在値</stp>
        <tr r="E57" s="4"/>
        <tr r="E158" s="5"/>
        <tr r="C182" s="11"/>
      </tp>
    </main>
    <main first="rtdsrv.1affdd1a84884b47aa44e2c617a0fa7a">
      <tp t="s">
        <v/>
        <stp/>
        <stp>Market</stp>
        <stp>STOCK</stp>
        <stp>81030.T</stp>
        <stp>現在値</stp>
        <tr r="C169" s="11"/>
        <tr r="E136" s="5"/>
        <tr r="E56" s="4"/>
      </tp>
      <tp t="s">
        <v/>
        <stp/>
        <stp>Market</stp>
        <stp>STOCK</stp>
        <stp>81410.T</stp>
        <stp>現在値</stp>
        <tr r="C292" s="11"/>
      </tp>
    </main>
    <main first="rtdsrv.1affdd1a84884b47aa44e2c617a0fa7a">
      <tp t="s">
        <v/>
        <stp/>
        <stp>Market</stp>
        <stp>STOCK</stp>
        <stp>82810.T</stp>
        <stp>現在値</stp>
        <tr r="E55" s="4"/>
        <tr r="E179" s="5"/>
        <tr r="C63" s="11"/>
      </tp>
    </main>
    <main first="rtdsrv.1affdd1a84884b47aa44e2c617a0fa7a">
      <tp t="s">
        <v/>
        <stp/>
        <stp>Market</stp>
        <stp>STOCK</stp>
        <stp>83340.T</stp>
        <stp>現在値</stp>
        <tr r="E204" s="5"/>
        <tr r="C122" s="11"/>
        <tr r="E49" s="4"/>
      </tp>
      <tp t="s">
        <v/>
        <stp/>
        <stp>Market</stp>
        <stp>STOCK</stp>
        <stp>83160.T</stp>
        <stp>現在値</stp>
        <tr r="E50" s="4"/>
        <tr r="C50" s="11"/>
        <tr r="E70" s="5"/>
      </tp>
      <tp t="s">
        <v/>
        <stp/>
        <stp>Market</stp>
        <stp>STOCK</stp>
        <stp>83030.T</stp>
        <stp>現在値</stp>
        <tr r="E54" s="4"/>
        <tr r="C172" s="11"/>
        <tr r="E191" s="5"/>
      </tp>
      <tp t="s">
        <v/>
        <stp/>
        <stp>Market</stp>
        <stp>STOCK</stp>
        <stp>83060.T</stp>
        <stp>現在値</stp>
        <tr r="E201" s="5"/>
        <tr r="C45" s="11"/>
        <tr r="E53" s="4"/>
      </tp>
      <tp t="s">
        <v/>
        <stp/>
        <stp>Market</stp>
        <stp>STOCK</stp>
        <stp>83090.T</stp>
        <stp>現在値</stp>
        <tr r="E51" s="4"/>
        <tr r="C31" s="11"/>
        <tr r="E68" s="5"/>
      </tp>
      <tp t="s">
        <v/>
        <stp/>
        <stp>Market</stp>
        <stp>STOCK</stp>
        <stp>83080.T</stp>
        <stp>現在値</stp>
        <tr r="E52" s="4"/>
        <tr r="E92" s="5"/>
        <tr r="C35" s="11"/>
      </tp>
      <tp t="s">
        <v/>
        <stp/>
        <stp>Market</stp>
        <stp>STOCK</stp>
        <stp>83590.T</stp>
        <stp>現在値</stp>
        <tr r="C123" s="11"/>
        <tr r="E48" s="4"/>
        <tr r="E26" s="5"/>
      </tp>
      <tp t="s">
        <v/>
        <stp/>
        <stp>Market</stp>
        <stp>STOCK</stp>
        <stp>83440.T</stp>
        <stp>現在値</stp>
        <tr r="C293" s="11"/>
      </tp>
    </main>
    <main first="rtdsrv.1affdd1a84884b47aa44e2c617a0fa7a">
      <tp t="s">
        <v/>
        <stp/>
        <stp>Market</stp>
        <stp>STOCK</stp>
        <stp>98820.T</stp>
        <stp>現在値</stp>
        <tr r="C116" s="11"/>
        <tr r="E128" s="5"/>
        <tr r="E9" s="4"/>
      </tp>
      <tp t="s">
        <v/>
        <stp/>
        <stp>Market</stp>
        <stp>STOCK</stp>
        <stp>98800.T</stp>
        <stp>現在値</stp>
        <tr r="C257" s="11"/>
      </tp>
      <tp t="s">
        <v/>
        <stp/>
        <stp>Market</stp>
        <stp>STOCK</stp>
        <stp>99620.T</stp>
        <stp>現在値</stp>
        <tr r="C233" s="11"/>
      </tp>
      <tp t="s">
        <v/>
        <stp/>
        <stp>Market</stp>
        <stp>STOCK</stp>
        <stp>99840.T</stp>
        <stp>現在値</stp>
        <tr r="C65" s="11"/>
        <tr r="E53" s="5"/>
        <tr r="E8" s="4"/>
      </tp>
    </main>
    <main first="rtdsrv.1affdd1a84884b47aa44e2c617a0fa7a">
      <tp t="s">
        <v/>
        <stp/>
        <stp>Market</stp>
        <stp>STOCK</stp>
        <stp>94240.T</stp>
        <stp>現在値</stp>
        <tr r="E15" s="5"/>
        <tr r="C70" s="11"/>
        <tr r="E20" s="4"/>
      </tp>
      <tp t="s">
        <v/>
        <stp/>
        <stp>Market</stp>
        <stp>STOCK</stp>
        <stp>94120.T</stp>
        <stp>現在値</stp>
        <tr r="C56" s="11"/>
        <tr r="E22" s="5"/>
        <tr r="E22" s="4"/>
      </tp>
      <tp t="s">
        <v/>
        <stp/>
        <stp>Market</stp>
        <stp>STOCK</stp>
        <stp>94160.T</stp>
        <stp>現在値</stp>
        <tr r="E21" s="4"/>
        <tr r="C126" s="11"/>
        <tr r="E107" s="5"/>
      </tp>
      <tp t="s">
        <v/>
        <stp/>
        <stp>Market</stp>
        <stp>STOCK</stp>
        <stp>94040.T</stp>
        <stp>現在値</stp>
        <tr r="E78" s="5"/>
        <tr r="E23" s="4"/>
        <tr r="C119" s="11"/>
      </tp>
      <tp t="s">
        <v/>
        <stp/>
        <stp>Market</stp>
        <stp>STOCK</stp>
        <stp>94490.T</stp>
        <stp>現在値</stp>
        <tr r="E77" s="5"/>
        <tr r="C113" s="11"/>
        <tr r="E19" s="4"/>
      </tp>
    </main>
    <main first="rtdsrv.1affdd1a84884b47aa44e2c617a0fa7a">
      <tp t="s">
        <v/>
        <stp/>
        <stp>Market</stp>
        <stp>STOCK</stp>
        <stp>95320.T</stp>
        <stp>現在値</stp>
        <tr r="E14" s="4"/>
        <tr r="E79" s="5"/>
        <tr r="C127" s="11"/>
      </tp>
      <tp t="s">
        <v/>
        <stp/>
        <stp>Market</stp>
        <stp>STOCK</stp>
        <stp>95310.T</stp>
        <stp>現在値</stp>
        <tr r="C115" s="11"/>
        <tr r="E203" s="5"/>
        <tr r="E15" s="4"/>
      </tp>
      <tp t="s">
        <v/>
        <stp/>
        <stp>Market</stp>
        <stp>STOCK</stp>
        <stp>95360.T</stp>
        <stp>現在値</stp>
        <tr r="C185" s="11"/>
        <tr r="E160" s="5"/>
        <tr r="E13" s="4"/>
      </tp>
      <tp t="s">
        <v/>
        <stp/>
        <stp>Market</stp>
        <stp>STOCK</stp>
        <stp>95190.T</stp>
        <stp>現在値</stp>
        <tr r="C214" s="11"/>
      </tp>
      <tp t="s">
        <v/>
        <stp/>
        <stp>Market</stp>
        <stp>STOCK</stp>
        <stp>95010.T</stp>
        <stp>現在値</stp>
        <tr r="E105" s="5"/>
        <tr r="E18" s="4"/>
        <tr r="C114" s="11"/>
      </tp>
      <tp t="s">
        <v/>
        <stp/>
        <stp>Market</stp>
        <stp>STOCK</stp>
        <stp>95060.T</stp>
        <stp>現在値</stp>
        <tr r="E193" s="5"/>
        <tr r="E16" s="4"/>
        <tr r="C186" s="11"/>
      </tp>
      <tp t="s">
        <v/>
        <stp/>
        <stp>Market</stp>
        <stp>STOCK</stp>
        <stp>95050.T</stp>
        <stp>現在値</stp>
        <tr r="C181" s="11"/>
        <tr r="E17" s="4"/>
        <tr r="E157" s="5"/>
      </tp>
      <tp t="s">
        <v/>
        <stp/>
        <stp>Market</stp>
        <stp>STOCK</stp>
        <stp>95510.T</stp>
        <stp>現在値</stp>
        <tr r="E134" s="5"/>
        <tr r="E12" s="4"/>
        <tr r="C167" s="11"/>
      </tp>
      <tp t="s">
        <v/>
        <stp/>
        <stp>Market</stp>
        <stp>STOCK</stp>
        <stp>96870.T</stp>
        <stp>現在値</stp>
        <tr r="C162" s="11"/>
        <tr r="E11" s="4"/>
        <tr r="E44" s="5"/>
      </tp>
      <tp t="s">
        <v/>
        <stp/>
        <stp>Market</stp>
        <stp>STOCK</stp>
        <stp>97330.T</stp>
        <stp>現在値</stp>
        <tr r="E153" s="5"/>
        <tr r="E10" s="4"/>
        <tr r="C166" s="11"/>
      </tp>
    </main>
    <main first="rtdsrv.1affdd1a84884b47aa44e2c617a0fa7a">
      <tp t="s">
        <v/>
        <stp/>
        <stp>Market</stp>
        <stp>STOCK</stp>
        <stp>90220.T</stp>
        <stp>現在値</stp>
        <tr r="E159" s="5"/>
        <tr r="E29" s="4"/>
        <tr r="C184" s="11"/>
      </tp>
      <tp t="s">
        <v/>
        <stp/>
        <stp>Market</stp>
        <stp>STOCK</stp>
        <stp>90200.T</stp>
        <stp>現在値</stp>
        <tr r="E30" s="4"/>
        <tr r="E104" s="5"/>
        <tr r="C109" s="11"/>
      </tp>
      <tp t="s">
        <v/>
        <stp/>
        <stp>Market</stp>
        <stp>STOCK</stp>
        <stp>90640.T</stp>
        <stp>現在値</stp>
        <tr r="C189" s="11"/>
        <tr r="E4" s="4"/>
        <tr r="E163" s="5"/>
      </tp>
      <tp t="s">
        <v/>
        <stp/>
        <stp>Market</stp>
        <stp>STOCK</stp>
        <stp>90690.T</stp>
        <stp>現在値</stp>
        <tr r="E28" s="4"/>
        <tr r="C110" s="11"/>
        <tr r="E60" s="5"/>
      </tp>
    </main>
    <main first="rtdsrv.1affdd1a84884b47aa44e2c617a0fa7a">
      <tp t="s">
        <v/>
        <stp/>
        <stp>Market</stp>
        <stp>STOCK</stp>
        <stp>91150.T</stp>
        <stp>現在値</stp>
        <tr r="C270" s="11"/>
      </tp>
      <tp t="s">
        <v/>
        <stp/>
        <stp>Market</stp>
        <stp>STOCK</stp>
        <stp>91010.T</stp>
        <stp>現在値</stp>
        <tr r="E27" s="4"/>
        <tr r="C206" s="11"/>
        <tr r="E164" s="5"/>
      </tp>
      <tp t="s">
        <v/>
        <stp/>
        <stp>Market</stp>
        <stp>STOCK</stp>
        <stp>91040.T</stp>
        <stp>現在値</stp>
        <tr r="C259" s="11"/>
      </tp>
      <tp t="s">
        <v/>
        <stp/>
        <stp>Market</stp>
        <stp>STOCK</stp>
        <stp>91650.T</stp>
        <stp>現在値</stp>
        <tr r="C243" s="11"/>
      </tp>
      <tp t="s">
        <v/>
        <stp/>
        <stp>Market</stp>
        <stp>STOCK</stp>
        <stp>92270.T</stp>
        <stp>現在値</stp>
        <tr r="E146" s="5"/>
        <tr r="E25" s="4"/>
        <tr r="C111" s="11"/>
      </tp>
      <tp t="s">
        <v/>
        <stp/>
        <stp>Market</stp>
        <stp>STOCK</stp>
        <stp>92020.T</stp>
        <stp>現在値</stp>
        <tr r="E26" s="4"/>
        <tr r="E99" s="5"/>
        <tr r="C74" s="11"/>
      </tp>
    </main>
    <main first="rtdsrv.1affdd1a84884b47aa44e2c617a0fa7a">
      <tp t="s">
        <v/>
        <stp/>
        <stp>Market</stp>
        <stp>STOCK</stp>
        <stp>93480.T</stp>
        <stp>現在値</stp>
        <tr r="E8" s="5"/>
        <tr r="E24" s="4"/>
        <tr r="C112" s="11"/>
      </tp>
    </main>
    <main first="rtdsrv.1affdd1a84884b47aa44e2c617a0fa7a">
      <tp t="s">
        <v/>
        <stp/>
        <stp>Market</stp>
        <stp>STOCK</stp>
        <stp>18330.T</stp>
        <stp>銘柄名称</stp>
        <tr r="C80" s="1"/>
      </tp>
      <tp t="s">
        <v/>
        <stp/>
        <stp>Market</stp>
        <stp>STOCK</stp>
        <stp>58380.T</stp>
        <stp>銘柄名称</stp>
        <tr r="C117" s="1"/>
      </tp>
      <tp t="s">
        <v/>
        <stp/>
        <stp>Market</stp>
        <stp>STOCK</stp>
        <stp>68380.T</stp>
        <stp>銘柄名称</stp>
        <tr r="C148" s="1"/>
      </tp>
      <tp t="s">
        <v/>
        <stp/>
        <stp>Market</stp>
        <stp>STOCK</stp>
        <stp>281A0.T</stp>
        <stp>銘柄名称</stp>
        <tr r="C266" s="1"/>
      </tp>
      <tp t="s">
        <v/>
        <stp/>
        <stp>Market</stp>
        <stp>STOCK</stp>
        <stp>18120.T</stp>
        <stp>銘柄名称</stp>
        <tr r="C208" s="1"/>
      </tp>
      <tp t="s">
        <v/>
        <stp/>
        <stp>Market</stp>
        <stp>STOCK</stp>
        <stp>78060.T</stp>
        <stp>銘柄名称</stp>
        <tr r="C73" s="1"/>
      </tp>
      <tp t="s">
        <v/>
        <stp/>
        <stp>Market</stp>
        <stp>STOCK</stp>
        <stp>58010.T</stp>
        <stp>銘柄名称</stp>
        <tr r="C200" s="1"/>
      </tp>
      <tp t="s">
        <v/>
        <stp/>
        <stp>Market</stp>
        <stp>STOCK</stp>
        <stp>88010.T</stp>
        <stp>銘柄名称</stp>
        <tr r="C124" s="1"/>
      </tp>
      <tp t="s">
        <v/>
        <stp/>
        <stp>Market</stp>
        <stp>STOCK</stp>
        <stp>58030.T</stp>
        <stp>銘柄名称</stp>
        <tr r="C103" s="1"/>
      </tp>
      <tp t="s">
        <v/>
        <stp/>
        <stp>Market</stp>
        <stp>STOCK</stp>
        <stp>58020.T</stp>
        <stp>銘柄名称</stp>
        <tr r="C102" s="1"/>
      </tp>
      <tp t="s">
        <v/>
        <stp/>
        <stp>Market</stp>
        <stp>STOCK</stp>
        <stp>28020.T</stp>
        <stp>銘柄名称</stp>
        <tr r="C76" s="1"/>
      </tp>
      <tp t="s">
        <v/>
        <stp/>
        <stp>Market</stp>
        <stp>STOCK</stp>
        <stp>68090.T</stp>
        <stp>銘柄名称</stp>
        <tr r="C238" s="1"/>
      </tp>
      <tp t="s">
        <v/>
        <stp/>
        <stp>Market</stp>
        <stp>STOCK</stp>
        <stp>18080.T</stp>
        <stp>銘柄名称</stp>
        <tr r="C297" s="1"/>
      </tp>
      <tp t="s">
        <v/>
        <stp/>
        <stp>Market</stp>
        <stp>STOCK</stp>
        <stp>88710.T</stp>
        <stp>銘柄名称</stp>
        <tr r="C278" s="1"/>
      </tp>
      <tp t="s">
        <v/>
        <stp/>
        <stp>Market</stp>
        <stp>STOCK</stp>
        <stp>186A0.T</stp>
        <stp>銘柄名称</stp>
        <tr r="C299" s="1"/>
      </tp>
      <tp t="s">
        <v/>
        <stp/>
        <stp>Market</stp>
        <stp>STOCK</stp>
        <stp>38640.T</stp>
        <stp>銘柄名称</stp>
        <tr r="C271" s="1"/>
        <tr r="D4" s="16"/>
      </tp>
      <tp t="s">
        <v/>
        <stp/>
        <stp>Market</stp>
        <stp>STOCK</stp>
        <stp>68610.T</stp>
        <stp>銘柄名称</stp>
        <tr r="C209" s="1"/>
      </tp>
      <tp t="s">
        <v/>
        <stp/>
        <stp>Market</stp>
        <stp>STOCK</stp>
        <stp>38610.T</stp>
        <stp>銘柄名称</stp>
        <tr r="C41" s="1"/>
      </tp>
      <tp t="s">
        <v/>
        <stp/>
        <stp>Market</stp>
        <stp>STOCK</stp>
        <stp>38630.T</stp>
        <stp>銘柄名称</stp>
        <tr r="C32" s="1"/>
      </tp>
      <tp t="s">
        <v/>
        <stp/>
        <stp>Market</stp>
        <stp>STOCK</stp>
        <stp>68620.T</stp>
        <stp>銘柄名称</stp>
        <tr r="C225" s="1"/>
      </tp>
      <tp t="s">
        <v/>
        <stp/>
        <stp>Market</stp>
        <stp>STOCK</stp>
        <stp>485A0.T</stp>
        <stp>銘柄名称</stp>
        <tr r="C221" s="1"/>
      </tp>
      <tp t="s">
        <v/>
        <stp/>
        <stp>Market</stp>
        <stp>STOCK</stp>
        <stp>285A0.T</stp>
        <stp>銘柄名称</stp>
        <tr r="C218" s="1"/>
      </tp>
      <tp t="s">
        <v/>
        <stp/>
        <stp>Market</stp>
        <stp>STOCK</stp>
        <stp>38540.T</stp>
        <stp>銘柄名称</stp>
        <tr r="C71" s="1"/>
      </tp>
      <tp t="s">
        <v/>
        <stp/>
        <stp>Market</stp>
        <stp>STOCK</stp>
        <stp>58570.T</stp>
        <stp>銘柄名称</stp>
        <tr r="C62" s="1"/>
      </tp>
      <tp t="s">
        <v/>
        <stp/>
        <stp>Market</stp>
        <stp>STOCK</stp>
        <stp>68570.T</stp>
        <stp>銘柄名称</stp>
        <tr r="C158" s="1"/>
      </tp>
      <tp t="s">
        <v/>
        <stp/>
        <stp>Market</stp>
        <stp>STOCK</stp>
        <stp>58440.T</stp>
        <stp>銘柄名称</stp>
        <tr r="C118" s="1"/>
        <tr r="D22" s="16"/>
        <tr r="D14" s="16"/>
      </tp>
      <tp t="s">
        <v/>
        <stp/>
        <stp>Market</stp>
        <stp>STOCK</stp>
        <stp>78460.T</stp>
        <stp>銘柄名称</stp>
        <tr r="C75" s="1"/>
      </tp>
      <tp t="s">
        <v/>
        <stp/>
        <stp>Market</stp>
        <stp>STOCK</stp>
        <stp>68410.T</stp>
        <stp>銘柄名称</stp>
        <tr r="C81" s="1"/>
      </tp>
      <tp t="s">
        <v/>
        <stp/>
        <stp>Market</stp>
        <stp>STOCK</stp>
        <stp>68480.T</stp>
        <stp>銘柄名称</stp>
        <tr r="C274" s="1"/>
        <tr r="D12" s="16"/>
        <tr r="D8" s="16"/>
      </tp>
      <tp t="s">
        <v/>
        <stp/>
        <stp>Market</stp>
        <stp>STOCK</stp>
        <stp>38910.T</stp>
        <stp>銘柄名称</stp>
        <tr r="C159" s="1"/>
      </tp>
      <tp t="s">
        <v/>
        <stp/>
        <stp>Market</stp>
        <stp>STOCK</stp>
        <stp>68900.T</stp>
        <stp>銘柄名称</stp>
        <tr r="C195" s="1"/>
      </tp>
      <tp t="s">
        <v/>
        <stp/>
        <stp>Market</stp>
        <stp>STOCK</stp>
        <stp>58920.T</stp>
        <stp>銘柄名称</stp>
        <tr r="C89" s="1"/>
      </tp>
      <tp t="s">
        <v/>
        <stp/>
        <stp>Market</stp>
        <stp>STOCK</stp>
        <stp>88920.T</stp>
        <stp>銘柄名称</stp>
        <tr r="C161" s="1"/>
      </tp>
      <tp t="s">
        <v/>
        <stp/>
        <stp>Market</stp>
        <stp>STOCK</stp>
        <stp>48870.T</stp>
        <stp>銘柄名称</stp>
        <tr r="C192" s="1"/>
      </tp>
      <tp t="s">
        <v/>
        <stp/>
        <stp>Market</stp>
        <stp>STOCK</stp>
        <stp>98800.T</stp>
        <stp>銘柄名称</stp>
        <tr r="C257" s="1"/>
      </tp>
      <tp t="s">
        <v/>
        <stp/>
        <stp>Market</stp>
        <stp>STOCK</stp>
        <stp>98820.T</stp>
        <stp>銘柄名称</stp>
        <tr r="C116" s="1"/>
      </tp>
      <tp t="s">
        <v/>
        <stp/>
        <stp>Market</stp>
        <stp>STOCK</stp>
        <stp>48880.T</stp>
        <stp>銘柄名称</stp>
        <tr r="C146" s="1"/>
      </tp>
    </main>
    <main first="rtdsrv.1affdd1a84884b47aa44e2c617a0fa7a">
      <tp t="s">
        <v/>
        <stp/>
        <stp>Market</stp>
        <stp>STOCK</stp>
        <stp>89340.T</stp>
        <stp>銘柄名称</stp>
        <tr r="C125" s="1"/>
      </tp>
      <tp t="s">
        <v/>
        <stp/>
        <stp>Market</stp>
        <stp>STOCK</stp>
        <stp>39360.T</stp>
        <stp>銘柄名称</stp>
        <tr r="C245" s="1"/>
      </tp>
      <tp t="s">
        <v/>
        <stp/>
        <stp>Market</stp>
        <stp>STOCK</stp>
        <stp>19300.T</stp>
        <stp>銘柄名称</stp>
        <tr r="C163" s="1"/>
      </tp>
      <tp t="s">
        <v/>
        <stp/>
        <stp>Market</stp>
        <stp>STOCK</stp>
        <stp>29330.T</stp>
        <stp>銘柄名称</stp>
        <tr r="C288" s="1"/>
      </tp>
      <tp t="s">
        <v/>
        <stp/>
        <stp>Market</stp>
        <stp>STOCK</stp>
        <stp>59380.T</stp>
        <stp>銘柄名称</stp>
        <tr r="C36" s="1"/>
      </tp>
      <tp t="s">
        <v/>
        <stp/>
        <stp>Market</stp>
        <stp>STOCK</stp>
        <stp>19380.T</stp>
        <stp>銘柄名称</stp>
        <tr r="C176" s="1"/>
      </tp>
      <tp t="s">
        <v/>
        <stp/>
        <stp>Market</stp>
        <stp>STOCK</stp>
        <stp>69250.T</stp>
        <stp>銘柄名称</stp>
        <tr r="C105" s="1"/>
      </tp>
      <tp t="s">
        <v/>
        <stp/>
        <stp>Market</stp>
        <stp>STOCK</stp>
        <stp>19250.T</stp>
        <stp>銘柄名称</stp>
        <tr r="C83" s="1"/>
      </tp>
      <tp t="s">
        <v/>
        <stp/>
        <stp>Market</stp>
        <stp>STOCK</stp>
        <stp>69200.T</stp>
        <stp>銘柄名称</stp>
        <tr r="C199" s="1"/>
      </tp>
      <tp t="s">
        <v/>
        <stp/>
        <stp>Market</stp>
        <stp>STOCK</stp>
        <stp>59290.T</stp>
        <stp>銘柄名称</stp>
        <tr r="C49" s="1"/>
      </tp>
      <tp t="s">
        <v/>
        <stp/>
        <stp>Market</stp>
        <stp>STOCK</stp>
        <stp>69280.T</stp>
        <stp>銘柄名称</stp>
        <tr r="C246" s="1"/>
      </tp>
      <tp t="s">
        <v/>
        <stp/>
        <stp>Market</stp>
        <stp>STOCK</stp>
        <stp>29140.T</stp>
        <stp>銘柄名称</stp>
        <tr r="C87" s="1"/>
      </tp>
      <tp t="s">
        <v/>
        <stp/>
        <stp>Market</stp>
        <stp>STOCK</stp>
        <stp>69180.T</stp>
        <stp>銘柄名称</stp>
        <tr r="C279" s="1"/>
      </tp>
      <tp t="s">
        <v/>
        <stp/>
        <stp>Market</stp>
        <stp>STOCK</stp>
        <stp>39050.T</stp>
        <stp>銘柄名称</stp>
        <tr r="C284" s="1"/>
      </tp>
      <tp t="s">
        <v/>
        <stp/>
        <stp>Market</stp>
        <stp>STOCK</stp>
        <stp>59010.T</stp>
        <stp>銘柄名称</stp>
        <tr r="C55" s="1"/>
      </tp>
      <tp t="s">
        <v/>
        <stp/>
        <stp>Market</stp>
        <stp>STOCK</stp>
        <stp>69020.T</stp>
        <stp>銘柄名称</stp>
        <tr r="C244" s="1"/>
      </tp>
      <tp t="s">
        <v/>
        <stp/>
        <stp>Market</stp>
        <stp>STOCK</stp>
        <stp>79720.T</stp>
        <stp>銘柄名称</stp>
        <tr r="C241" s="1"/>
      </tp>
      <tp t="s">
        <v/>
        <stp/>
        <stp>Market</stp>
        <stp>STOCK</stp>
        <stp>69650.T</stp>
        <stp>銘柄名称</stp>
        <tr r="C300" s="1"/>
      </tp>
      <tp t="s">
        <v/>
        <stp/>
        <stp>Market</stp>
        <stp>STOCK</stp>
        <stp>49660.T</stp>
        <stp>銘柄名称</stp>
        <tr r="C196" s="1"/>
      </tp>
      <tp t="s">
        <v/>
        <stp/>
        <stp>Market</stp>
        <stp>STOCK</stp>
        <stp>19610.T</stp>
        <stp>銘柄名称</stp>
        <tr r="C59" s="1"/>
      </tp>
      <tp t="s">
        <v/>
        <stp/>
        <stp>Market</stp>
        <stp>STOCK</stp>
        <stp>19630.T</stp>
        <stp>銘柄名称</stp>
        <tr r="C86" s="1"/>
      </tp>
      <tp t="s">
        <v/>
        <stp/>
        <stp>Market</stp>
        <stp>STOCK</stp>
        <stp>99620.T</stp>
        <stp>銘柄名称</stp>
        <tr r="C233" s="1"/>
      </tp>
      <tp t="s">
        <v/>
        <stp/>
        <stp>Market</stp>
        <stp>STOCK</stp>
        <stp>69550.T</stp>
        <stp>銘柄名称</stp>
        <tr r="C265" s="1"/>
      </tp>
      <tp t="s">
        <v/>
        <stp/>
        <stp>Market</stp>
        <stp>STOCK</stp>
        <stp>69540.T</stp>
        <stp>銘柄名称</stp>
        <tr r="C78" s="1"/>
      </tp>
      <tp t="s">
        <v/>
        <stp/>
        <stp>Market</stp>
        <stp>STOCK</stp>
        <stp>79520.T</stp>
        <stp>銘柄名称</stp>
        <tr r="C276" s="1"/>
      </tp>
      <tp t="s">
        <v/>
        <stp/>
        <stp>Market</stp>
        <stp>STOCK</stp>
        <stp>19440.T</stp>
        <stp>銘柄名称</stp>
        <tr r="C304" s="1"/>
      </tp>
      <tp t="s">
        <v/>
        <stp/>
        <stp>Market</stp>
        <stp>STOCK</stp>
        <stp>59470.T</stp>
        <stp>銘柄名称</stp>
        <tr r="C42" s="1"/>
      </tp>
      <tp t="s">
        <v/>
        <stp/>
        <stp>Market</stp>
        <stp>STOCK</stp>
        <stp>39410.T</stp>
        <stp>銘柄名称</stp>
        <tr r="C48" s="1"/>
      </tp>
      <tp t="s">
        <v/>
        <stp/>
        <stp>Market</stp>
        <stp>STOCK</stp>
        <stp>19420.T</stp>
        <stp>銘柄名称</stp>
        <tr r="C175" s="1"/>
      </tp>
      <tp t="s">
        <v/>
        <stp/>
        <stp>Market</stp>
        <stp>STOCK</stp>
        <stp>69970.T</stp>
        <stp>銘柄名称</stp>
        <tr r="C272" s="1"/>
      </tp>
      <tp t="s">
        <v/>
        <stp/>
        <stp>Market</stp>
        <stp>STOCK</stp>
        <stp>39840.T</stp>
        <stp>銘柄名称</stp>
        <tr r="C239" s="1"/>
      </tp>
      <tp t="s">
        <v/>
        <stp/>
        <stp>Market</stp>
        <stp>STOCK</stp>
        <stp>99840.T</stp>
        <stp>銘柄名称</stp>
        <tr r="C65" s="1"/>
      </tp>
      <tp t="s">
        <v/>
        <stp/>
        <stp>Market</stp>
        <stp>STOCK</stp>
        <stp>69810.T</stp>
        <stp>銘柄名称</stp>
        <tr r="C154" s="1"/>
      </tp>
      <tp t="s">
        <v/>
        <stp/>
        <stp>Market</stp>
        <stp>STOCK</stp>
        <stp>79810.T</stp>
        <stp>銘柄名称</stp>
        <tr r="C171" s="1"/>
      </tp>
      <tp t="s">
        <v/>
        <stp/>
        <stp>Market</stp>
        <stp>STOCK</stp>
        <stp>49800.T</stp>
        <stp>銘柄名称</stp>
        <tr r="C69" s="1"/>
      </tp>
    </main>
    <main first="rtdsrv.1affdd1a84884b47aa44e2c617a0fa7a">
      <tp t="s">
        <v/>
        <stp/>
        <stp>Market</stp>
        <stp>INDEX</stp>
        <stp>DJIA</stp>
        <stp>前日比率</stp>
        <tr r="C3" s="17"/>
      </tp>
    </main>
    <main first="rtdsrv.1affdd1a84884b47aa44e2c617a0fa7a">
      <tp t="s">
        <v/>
        <stp/>
        <stp>Market</stp>
        <stp>STOCK</stp>
        <stp>300A0.T</stp>
        <stp>高値</stp>
        <tr r="C252" s="9"/>
      </tp>
      <tp t="s">
        <v/>
        <stp/>
        <stp>Market</stp>
        <stp>STOCK</stp>
        <stp>278A0.T</stp>
        <stp>高値</stp>
        <tr r="C251" s="9"/>
      </tp>
      <tp t="s">
        <v/>
        <stp/>
        <stp>Market</stp>
        <stp>STOCK</stp>
        <stp>285A0.T</stp>
        <stp>高値</stp>
        <tr r="C218" s="9"/>
      </tp>
      <tp t="s">
        <v/>
        <stp/>
        <stp>Market</stp>
        <stp>STOCK</stp>
        <stp>281A0.T</stp>
        <stp>高値</stp>
        <tr r="C266" s="9"/>
      </tp>
      <tp t="s">
        <v/>
        <stp/>
        <stp>Market</stp>
        <stp>STOCK</stp>
        <stp>141A0.T</stp>
        <stp>高値</stp>
        <tr r="C219" s="9"/>
      </tp>
      <tp t="s">
        <v/>
        <stp/>
        <stp>Market</stp>
        <stp>STOCK</stp>
        <stp>155A0.T</stp>
        <stp>高値</stp>
        <tr r="C250" s="9"/>
      </tp>
      <tp t="s">
        <v/>
        <stp/>
        <stp>Market</stp>
        <stp>STOCK</stp>
        <stp>186A0.T</stp>
        <stp>高値</stp>
        <tr r="C299" s="9"/>
      </tp>
      <tp t="s">
        <v/>
        <stp/>
        <stp>Market</stp>
        <stp>STOCK</stp>
        <stp>464A0.T</stp>
        <stp>高値</stp>
        <tr r="C220" s="9"/>
      </tp>
      <tp t="s">
        <v/>
        <stp/>
        <stp>Market</stp>
        <stp>STOCK</stp>
        <stp>485A0.T</stp>
        <stp>高値</stp>
        <tr r="C221" s="9"/>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volatileDependencies" Target="volatileDependencies.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 Id="rId28" Type="http://schemas.openxmlformats.org/officeDocument/2006/relationships/worksheet" Target="worksheets/sheet20.xml"/><Relationship Id="rId29" Type="http://schemas.openxmlformats.org/officeDocument/2006/relationships/worksheet" Target="worksheets/sheet21.xml"/><Relationship Id="rId30" Type="http://schemas.openxmlformats.org/officeDocument/2006/relationships/worksheet" Target="worksheets/sheet22.xml"/><Relationship Id="rId31" Type="http://schemas.openxmlformats.org/officeDocument/2006/relationships/worksheet" Target="worksheets/sheet23.xml"/><Relationship Id="rId32" Type="http://schemas.openxmlformats.org/officeDocument/2006/relationships/worksheet" Target="worksheets/sheet24.xml"/><Relationship Id="rId33" Type="http://schemas.openxmlformats.org/officeDocument/2006/relationships/worksheet" Target="worksheets/sheet25.xml"/><Relationship Id="rId34" Type="http://schemas.openxmlformats.org/officeDocument/2006/relationships/worksheet" Target="worksheets/sheet2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502920</xdr:colOff>
          <xdr:row>0</xdr:row>
          <xdr:rowOff>106680</xdr:rowOff>
        </xdr:from>
        <xdr:to>
          <xdr:col>5</xdr:col>
          <xdr:colOff>487680</xdr:colOff>
          <xdr:row>2</xdr:row>
          <xdr:rowOff>190500</xdr:rowOff>
        </xdr:to>
        <xdr:sp macro="" textlink="">
          <xdr:nvSpPr>
            <xdr:cNvPr id="1030" name="btn_買い抽出"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買い抽出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xdr:colOff>
          <xdr:row>0</xdr:row>
          <xdr:rowOff>152400</xdr:rowOff>
        </xdr:from>
        <xdr:to>
          <xdr:col>10</xdr:col>
          <xdr:colOff>312420</xdr:colOff>
          <xdr:row>3</xdr:row>
          <xdr:rowOff>312420</xdr:rowOff>
        </xdr:to>
        <xdr:sp macro="" textlink="">
          <xdr:nvSpPr>
            <xdr:cNvPr id="1031" name="btn_銘柄追加" descr="銘柄　追加"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銘柄追加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533400</xdr:colOff>
          <xdr:row>0</xdr:row>
          <xdr:rowOff>182880</xdr:rowOff>
        </xdr:from>
        <xdr:to>
          <xdr:col>12</xdr:col>
          <xdr:colOff>746760</xdr:colOff>
          <xdr:row>3</xdr:row>
          <xdr:rowOff>266700</xdr:rowOff>
        </xdr:to>
        <xdr:sp macro="" textlink="">
          <xdr:nvSpPr>
            <xdr:cNvPr id="1032" name="btn_銘柄削除"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2000" b="1" i="0" u="none" strike="noStrike" baseline="0">
                  <a:solidFill>
                    <a:srgbClr val="FF0000"/>
                  </a:solidFill>
                  <a:latin typeface="ＭＳ Ｐゴシック"/>
                  <a:ea typeface="ＭＳ Ｐゴシック"/>
                </a:rPr>
                <a:t>　銘柄削除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579120</xdr:colOff>
          <xdr:row>0</xdr:row>
          <xdr:rowOff>137160</xdr:rowOff>
        </xdr:from>
        <xdr:to>
          <xdr:col>7</xdr:col>
          <xdr:colOff>571500</xdr:colOff>
          <xdr:row>2</xdr:row>
          <xdr:rowOff>198120</xdr:rowOff>
        </xdr:to>
        <xdr:sp macro="" textlink="">
          <xdr:nvSpPr>
            <xdr:cNvPr id="1033" name="btn_データ更新"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データ更新</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457200</xdr:colOff>
          <xdr:row>0</xdr:row>
          <xdr:rowOff>0</xdr:rowOff>
        </xdr:from>
        <xdr:to>
          <xdr:col>11</xdr:col>
          <xdr:colOff>1287780</xdr:colOff>
          <xdr:row>1</xdr:row>
          <xdr:rowOff>609600</xdr:rowOff>
        </xdr:to>
        <xdr:sp macro="" textlink="">
          <xdr:nvSpPr>
            <xdr:cNvPr id="71681" name="btn高精度抽出" hidden="1">
              <a:extLst>
                <a:ext uri="{63B3BB69-23CF-44E3-9099-C40C66FF867C}">
                  <a14:compatExt spid="_x0000_s71681"/>
                </a:ext>
                <a:ext uri="{FF2B5EF4-FFF2-40B4-BE49-F238E27FC236}">
                  <a16:creationId xmlns:a16="http://schemas.microsoft.com/office/drawing/2014/main" id="{00000000-0008-0000-0100-000001180100}"/>
                </a:ext>
              </a:extLst>
            </xdr:cNvPr>
            <xdr:cNvSpPr/>
          </xdr:nvSpPr>
          <xdr:spPr bwMode="auto">
            <a:xfrm>
              <a:off x="0" y="0"/>
              <a:ext cx="0" cy="0"/>
            </a:xfrm>
            <a:prstGeom prst="rect">
              <a:avLst/>
            </a:prstGeom>
            <a:noFill/>
            <a:ln w="9525">
              <a:miter lim="800000"/>
              <a:headEnd/>
              <a:tailEnd/>
            </a:ln>
          </xdr:spPr>
          <xdr:txBody>
            <a:bodyPr vertOverflow="clip" wrap="square" lIns="73152" tIns="0" rIns="73152" bIns="41148" anchor="b" upright="1"/>
            <a:lstStyle/>
            <a:p>
              <a:pPr algn="ctr" rtl="0">
                <a:defRPr sz="1000"/>
              </a:pPr>
              <a:r>
                <a:rPr lang="ja-JP" altLang="en-US" sz="2800" b="1" i="0" u="none" strike="noStrike" baseline="0">
                  <a:solidFill>
                    <a:srgbClr val="000000"/>
                  </a:solidFill>
                  <a:latin typeface="ＭＳ Ｐゴシック"/>
                  <a:ea typeface="ＭＳ Ｐゴシック"/>
                </a:rPr>
                <a:t>高精度抽出　押し目入り</a:t>
              </a:r>
            </a:p>
            <a:p>
              <a:pPr algn="ctr" rtl="0">
                <a:defRPr sz="1000"/>
              </a:pPr>
              <a:endParaRPr lang="ja-JP" altLang="en-US" sz="28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r>
                <a:rPr lang="ja-JP" altLang="en-US" sz="1600" b="1" i="0" u="none" strike="noStrike" baseline="0">
                  <a:solidFill>
                    <a:srgbClr val="000000"/>
                  </a:solidFill>
                  <a:latin typeface="ＭＳ Ｐゴシック"/>
                  <a:ea typeface="ＭＳ Ｐゴシック"/>
                </a:rPr>
                <a:t>(12以上)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868680</xdr:colOff>
          <xdr:row>0</xdr:row>
          <xdr:rowOff>0</xdr:rowOff>
        </xdr:from>
        <xdr:to>
          <xdr:col>14</xdr:col>
          <xdr:colOff>1409700</xdr:colOff>
          <xdr:row>1</xdr:row>
          <xdr:rowOff>609600</xdr:rowOff>
        </xdr:to>
        <xdr:sp macro="" textlink="">
          <xdr:nvSpPr>
            <xdr:cNvPr id="71682" name="btn通常抽出" hidden="1">
              <a:extLst>
                <a:ext uri="{63B3BB69-23CF-44E3-9099-C40C66FF867C}">
                  <a14:compatExt spid="_x0000_s71682"/>
                </a:ext>
                <a:ext uri="{FF2B5EF4-FFF2-40B4-BE49-F238E27FC236}">
                  <a16:creationId xmlns:a16="http://schemas.microsoft.com/office/drawing/2014/main" id="{00000000-0008-0000-0100-000002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買い抽出　　　</a:t>
              </a:r>
            </a:p>
            <a:p>
              <a:pPr algn="ctr" rtl="0">
                <a:defRPr sz="1000"/>
              </a:pPr>
              <a:r>
                <a:rPr lang="ja-JP" altLang="en-US" sz="1600" b="1" i="0" u="none" strike="noStrike" baseline="0">
                  <a:solidFill>
                    <a:srgbClr val="000000"/>
                  </a:solidFill>
                  <a:latin typeface="ＭＳ Ｐゴシック"/>
                  <a:ea typeface="ＭＳ Ｐゴシック"/>
                </a:rPr>
                <a:t>　　　　　　　　　　５or25押し</a:t>
              </a: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r>
                <a:rPr lang="ja-JP" altLang="en-US" sz="1600" b="1" i="0" u="none" strike="noStrike" baseline="0">
                  <a:solidFill>
                    <a:srgbClr val="000000"/>
                  </a:solidFill>
                  <a:latin typeface="ＭＳ Ｐゴシック"/>
                  <a:ea typeface="ＭＳ Ｐゴシック"/>
                </a:rPr>
                <a:t>須</a:t>
              </a:r>
            </a:p>
            <a:p>
              <a:pPr algn="ctr" rtl="0">
                <a:defRPr sz="1000"/>
              </a:pPr>
              <a:endParaRPr lang="ja-JP" altLang="en-US" sz="1600" b="1"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266700</xdr:colOff>
          <xdr:row>0</xdr:row>
          <xdr:rowOff>121920</xdr:rowOff>
        </xdr:from>
        <xdr:to>
          <xdr:col>17</xdr:col>
          <xdr:colOff>76200</xdr:colOff>
          <xdr:row>1</xdr:row>
          <xdr:rowOff>556260</xdr:rowOff>
        </xdr:to>
        <xdr:sp macro="" textlink="">
          <xdr:nvSpPr>
            <xdr:cNvPr id="71683" name="btn緩和抽出" hidden="1">
              <a:extLst>
                <a:ext uri="{63B3BB69-23CF-44E3-9099-C40C66FF867C}">
                  <a14:compatExt spid="_x0000_s71683"/>
                </a:ext>
                <a:ext uri="{FF2B5EF4-FFF2-40B4-BE49-F238E27FC236}">
                  <a16:creationId xmlns:a16="http://schemas.microsoft.com/office/drawing/2014/main" id="{00000000-0008-0000-0100-000003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緩和抽出　</a:t>
              </a: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76200</xdr:rowOff>
        </xdr:from>
        <xdr:to>
          <xdr:col>2</xdr:col>
          <xdr:colOff>838200</xdr:colOff>
          <xdr:row>0</xdr:row>
          <xdr:rowOff>1127760</xdr:rowOff>
        </xdr:to>
        <xdr:sp macro="" textlink="">
          <xdr:nvSpPr>
            <xdr:cNvPr id="3076" name="btn売高精度抽出" hidden="1">
              <a:extLst>
                <a:ext uri="{63B3BB69-23CF-44E3-9099-C40C66FF867C}">
                  <a14:compatExt spid="_x0000_s3076"/>
                </a:ext>
                <a:ext uri="{FF2B5EF4-FFF2-40B4-BE49-F238E27FC236}">
                  <a16:creationId xmlns:a16="http://schemas.microsoft.com/office/drawing/2014/main" id="{00000000-0008-0000-0600-000004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★高精度売り抽出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990600</xdr:colOff>
          <xdr:row>0</xdr:row>
          <xdr:rowOff>76200</xdr:rowOff>
        </xdr:from>
        <xdr:to>
          <xdr:col>4</xdr:col>
          <xdr:colOff>297180</xdr:colOff>
          <xdr:row>0</xdr:row>
          <xdr:rowOff>937260</xdr:rowOff>
        </xdr:to>
        <xdr:sp macro="" textlink="">
          <xdr:nvSpPr>
            <xdr:cNvPr id="3077" name="btn売通常抽出" hidden="1">
              <a:extLst>
                <a:ext uri="{63B3BB69-23CF-44E3-9099-C40C66FF867C}">
                  <a14:compatExt spid="_x0000_s3077"/>
                </a:ext>
                <a:ext uri="{FF2B5EF4-FFF2-40B4-BE49-F238E27FC236}">
                  <a16:creationId xmlns:a16="http://schemas.microsoft.com/office/drawing/2014/main" id="{00000000-0008-0000-0600-000005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売り抽出(通常)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464820</xdr:colOff>
          <xdr:row>0</xdr:row>
          <xdr:rowOff>76200</xdr:rowOff>
        </xdr:from>
        <xdr:to>
          <xdr:col>5</xdr:col>
          <xdr:colOff>1661160</xdr:colOff>
          <xdr:row>0</xdr:row>
          <xdr:rowOff>632460</xdr:rowOff>
        </xdr:to>
        <xdr:sp macro="" textlink="">
          <xdr:nvSpPr>
            <xdr:cNvPr id="3078" name="btn売緩和抽出" hidden="1">
              <a:extLst>
                <a:ext uri="{63B3BB69-23CF-44E3-9099-C40C66FF867C}">
                  <a14:compatExt spid="_x0000_s3078"/>
                </a:ext>
                <a:ext uri="{FF2B5EF4-FFF2-40B4-BE49-F238E27FC236}">
                  <a16:creationId xmlns:a16="http://schemas.microsoft.com/office/drawing/2014/main" id="{00000000-0008-0000-0600-000006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売り緩和抽出</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403860</xdr:colOff>
          <xdr:row>0</xdr:row>
          <xdr:rowOff>38100</xdr:rowOff>
        </xdr:from>
        <xdr:to>
          <xdr:col>9</xdr:col>
          <xdr:colOff>373380</xdr:colOff>
          <xdr:row>0</xdr:row>
          <xdr:rowOff>1417320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D00-0000015001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ja-JP" altLang="en-US" sz="2400" b="0" i="0" u="none" strike="noStrike" baseline="0">
                  <a:solidFill>
                    <a:srgbClr val="000000"/>
                  </a:solidFill>
                  <a:latin typeface="ＭＳ Ｐゴシック"/>
                  <a:ea typeface="ＭＳ Ｐゴシック"/>
                </a:rPr>
                <a:t>データ取り込み</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1432560</xdr:colOff>
          <xdr:row>0</xdr:row>
          <xdr:rowOff>175260</xdr:rowOff>
        </xdr:from>
        <xdr:to>
          <xdr:col>3</xdr:col>
          <xdr:colOff>3147060</xdr:colOff>
          <xdr:row>0</xdr:row>
          <xdr:rowOff>1051560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E00-000002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成り行き買い発注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3223260</xdr:colOff>
          <xdr:row>0</xdr:row>
          <xdr:rowOff>190500</xdr:rowOff>
        </xdr:from>
        <xdr:to>
          <xdr:col>3</xdr:col>
          <xdr:colOff>5181600</xdr:colOff>
          <xdr:row>0</xdr:row>
          <xdr:rowOff>1036320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0E00-000003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5265420</xdr:colOff>
          <xdr:row>0</xdr:row>
          <xdr:rowOff>220980</xdr:rowOff>
        </xdr:from>
        <xdr:to>
          <xdr:col>3</xdr:col>
          <xdr:colOff>6979920</xdr:colOff>
          <xdr:row>0</xdr:row>
          <xdr:rowOff>1051560</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0E00-000004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逆指値買い発注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7132320</xdr:colOff>
          <xdr:row>0</xdr:row>
          <xdr:rowOff>266700</xdr:rowOff>
        </xdr:from>
        <xdr:to>
          <xdr:col>3</xdr:col>
          <xdr:colOff>8519160</xdr:colOff>
          <xdr:row>0</xdr:row>
          <xdr:rowOff>1051560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0E00-000005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手動成行決済</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Downloads/&#25171;&#12385;&#20986;&#12398;&#12371;&#12389;&#12385;_0619&#12288;%20%20(&#22238;&#24489;&#28168;&#12415;).xlsm" TargetMode="External"/><Relationship Id="rId2" Type="http://schemas.openxmlformats.org/officeDocument/2006/relationships/externalLinkPath" Target="file:///C:\Users\Abe%20Hideaki\Downloads\&#25171;&#12385;&#20986;&#12398;&#12371;&#12389;&#12385;_0619&#12288;%20%20(&#22238;&#24489;&#28168;&#12415;).xlsm" TargetMode="External"/><Relationship Id="rId1" Type="http://schemas.openxmlformats.org/officeDocument/2006/relationships/externalLinkPath" Target="/Users/Abe%20Hideaki/Downloads/&#25171;&#12385;&#20986;&#12398;&#12371;&#12389;&#12385;_0619&#12288;%20%20(&#22238;&#24489;&#28168;&#1241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銘柄管理"/>
      <sheetName val="買抽出v13"/>
      <sheetName val="ダッシュボード"/>
      <sheetName val="分析"/>
      <sheetName val="売分析"/>
      <sheetName val="売ダッシュボード"/>
      <sheetName val="売抽出v13"/>
      <sheetName val="始値"/>
      <sheetName val="高値"/>
      <sheetName val="安値"/>
      <sheetName val="終値"/>
      <sheetName val="出来高"/>
      <sheetName val="データ取込"/>
      <sheetName val="自動注文決済"/>
      <sheetName val="取扱説明書"/>
      <sheetName val="管理"/>
      <sheetName val="海外指標"/>
      <sheetName val="Sheet1"/>
      <sheetName val="打ち出のこづち_0619　  (回復済み)"/>
    </sheetNames>
    <definedNames>
      <definedName name="ImportOHLCV"/>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02"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0BB6F83-0F0A-46A2-862D-1060B3681247}">
  <we:reference id="wa200009404" version="1.0.0.8" store="en-US" storeType="OMEX"/>
  <we:alternateReferences>
    <we:reference id="WA200009404" version="1.0.0.8" store="" storeType="OMEX"/>
  </we:alternateReferences>
  <we:properties>
    <we:property name="claude.fileId" value="&quot;2f9eaf0c-c6c7-4373-88b9-d234a9b8992f&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15.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8.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AA505"/>
  <sheetViews>
    <sheetView showGridLines="0" workbookViewId="0">
      <pane xSplit="1" ySplit="4" topLeftCell="B278" activePane="bottomRight" state="frozen"/>
      <selection activeCell="C162" sqref="C162"/>
      <selection pane="topRight" activeCell="C162" sqref="C162"/>
      <selection pane="bottomLeft" activeCell="C162" sqref="C162"/>
      <selection pane="bottomRight" activeCell="N307" sqref="N307"/>
    </sheetView>
  </sheetViews>
  <sheetFormatPr defaultColWidth="9" defaultRowHeight="14.4"/>
  <cols>
    <col min="1" max="1" width="6.6640625" style="79" customWidth="1"/>
    <col min="2" max="2" width="10.6640625" style="1" customWidth="1"/>
    <col min="3" max="4" width="24.6640625" style="1" customWidth="1"/>
    <col min="5" max="27" width="9" style="1" customWidth="1"/>
    <col min="28" max="16384" width="9" style="1"/>
  </cols>
  <sheetData>
    <row r="1" spans="1:27" ht="38.1" customHeight="1">
      <c r="A1" s="527" t="s">
        <v>516</v>
      </c>
      <c r="B1" s="526"/>
      <c r="C1" s="526"/>
      <c r="D1" s="526"/>
      <c r="E1" s="86"/>
      <c r="F1" s="86"/>
      <c r="G1" s="86"/>
      <c r="H1" s="86"/>
      <c r="I1" s="86"/>
      <c r="J1" s="86"/>
      <c r="K1" s="86"/>
      <c r="L1" s="86"/>
      <c r="M1" s="86"/>
      <c r="N1" s="86"/>
    </row>
    <row r="2" spans="1:27" ht="19.5" customHeight="1">
      <c r="A2" s="528" t="s">
        <v>517</v>
      </c>
      <c r="B2" s="526"/>
      <c r="C2" s="526"/>
      <c r="D2" s="526"/>
      <c r="E2" s="86"/>
      <c r="F2" s="86"/>
      <c r="G2" s="86"/>
      <c r="H2" s="86"/>
      <c r="I2" s="86"/>
      <c r="J2" s="86"/>
      <c r="K2" s="86"/>
      <c r="L2" s="86"/>
      <c r="M2" s="86"/>
      <c r="N2" s="86"/>
    </row>
    <row r="3" spans="1:27" ht="21" customHeight="1">
      <c r="A3" s="87"/>
      <c r="B3" s="88"/>
      <c r="C3" s="88"/>
      <c r="D3" s="88"/>
      <c r="E3" s="86"/>
      <c r="F3" s="86"/>
      <c r="G3" s="86"/>
      <c r="H3" s="86"/>
      <c r="I3" s="86"/>
      <c r="J3" s="86"/>
      <c r="K3" s="86"/>
      <c r="L3" s="86"/>
      <c r="M3" s="86"/>
      <c r="N3" s="86"/>
    </row>
    <row r="4" spans="1:27" ht="21" customHeight="1">
      <c r="A4" s="89"/>
      <c r="B4" s="90" t="s">
        <v>1</v>
      </c>
      <c r="C4" s="91" t="s">
        <v>2</v>
      </c>
      <c r="D4" s="91" t="s">
        <v>518</v>
      </c>
      <c r="E4" s="86"/>
      <c r="F4" s="86"/>
      <c r="G4" s="86"/>
      <c r="H4" s="86"/>
      <c r="I4" s="86"/>
      <c r="J4" s="86"/>
      <c r="K4" s="86"/>
      <c r="L4" s="86"/>
      <c r="M4" s="86"/>
      <c r="N4" s="86"/>
    </row>
    <row r="5" spans="1:27" ht="21.75" customHeight="1">
      <c r="A5" s="92"/>
      <c r="B5" s="93" t="s">
        <v>519</v>
      </c>
      <c r="C5" s="93" t="str">
        <f t="array" ref="C5">_xll.RssIndexMarket("TOPX","現在値")</f>
        <v/>
      </c>
      <c r="D5" s="94" t="str">
        <f>IF(OR(C5="",E5=""),"",TEXT(C5-E5,"+#,##0.00;-#,##0.00;0")&amp;"  ("&amp;TEXT((C5-E5)/E5,"+0.00%;-0.00%;0.00%")&amp;")")</f>
        <v/>
      </c>
      <c r="E5" s="95" t="str">
        <f t="array" ref="E5">_xll.RssIndexMarket("TOPX","前日終値")</f>
        <v/>
      </c>
      <c r="F5" s="96" t="str">
        <f>IF(C5&gt;E5,"上昇▲","下落▼")</f>
        <v>下落▼</v>
      </c>
      <c r="G5" s="433" t="s">
        <v>824</v>
      </c>
      <c r="H5" s="434" t="str" cm="1">
        <f t="array" ref="H5">_xll.RssIndexMarket("N225.FUT01.OS", "前日比率")</f>
        <v/>
      </c>
      <c r="I5" s="86"/>
      <c r="J5" s="86"/>
      <c r="K5" s="86"/>
      <c r="L5" s="86"/>
      <c r="M5" s="86"/>
      <c r="N5" s="86"/>
    </row>
    <row r="6" spans="1:27" ht="20.100000000000001" customHeight="1">
      <c r="A6" s="97">
        <f t="shared" ref="A6:A69" si="0">IF(B6="","",ROW()-5)</f>
        <v>1</v>
      </c>
      <c r="B6" s="60">
        <v>5706</v>
      </c>
      <c r="C6" s="98" t="str">
        <f t="array" ref="C6">_xll.RssMarket(B6, "銘柄名称")</f>
        <v/>
      </c>
      <c r="D6" s="99" t="str">
        <f>IF(B6="","",HYPERLINK("https://kabutan.jp/stock/?code="&amp;B6,"株探"))</f>
        <v>株探</v>
      </c>
      <c r="E6" s="100"/>
      <c r="F6" s="100"/>
      <c r="G6" s="100"/>
      <c r="H6" s="100"/>
      <c r="I6" s="100"/>
      <c r="J6" s="100"/>
      <c r="K6" s="100"/>
      <c r="L6" s="100"/>
      <c r="M6" s="100"/>
      <c r="N6" s="100"/>
      <c r="AA6" s="427"/>
    </row>
    <row r="7" spans="1:27" ht="20.100000000000001" customHeight="1">
      <c r="A7" s="101">
        <f t="shared" si="0"/>
        <v>2</v>
      </c>
      <c r="B7" s="61">
        <v>5423</v>
      </c>
      <c r="C7" s="98" t="str">
        <f t="array" ref="C7">_xll.RssMarket(B7, "銘柄名称")</f>
        <v/>
      </c>
      <c r="D7" s="99" t="str">
        <f t="shared" ref="D7:D70" si="1">IF(B7="","",HYPERLINK("https://kabutan.jp/stock/?code="&amp;B7,"株探"))</f>
        <v>株探</v>
      </c>
      <c r="E7" s="100"/>
      <c r="F7" s="100"/>
      <c r="G7" s="100"/>
      <c r="H7" s="100"/>
      <c r="I7" s="100"/>
      <c r="J7" s="100"/>
      <c r="K7" s="100"/>
      <c r="L7" s="100"/>
      <c r="M7" s="100"/>
      <c r="N7" s="100"/>
      <c r="AA7" s="427"/>
    </row>
    <row r="8" spans="1:27" ht="20.100000000000001" customHeight="1">
      <c r="A8" s="101">
        <f t="shared" si="0"/>
        <v>3</v>
      </c>
      <c r="B8" s="61">
        <v>5713</v>
      </c>
      <c r="C8" s="98" t="str">
        <f t="array" ref="C8">_xll.RssMarket(B8, "銘柄名称")</f>
        <v/>
      </c>
      <c r="D8" s="99" t="str">
        <f t="shared" si="1"/>
        <v>株探</v>
      </c>
      <c r="E8" s="100"/>
      <c r="F8" s="100"/>
      <c r="G8" s="100"/>
      <c r="H8" s="100"/>
      <c r="I8" s="100"/>
      <c r="J8" s="100"/>
      <c r="K8" s="100"/>
      <c r="L8" s="100"/>
      <c r="M8" s="100"/>
      <c r="N8" s="100"/>
      <c r="AA8" s="427"/>
    </row>
    <row r="9" spans="1:27" ht="20.100000000000001" customHeight="1">
      <c r="A9" s="101">
        <f t="shared" si="0"/>
        <v>4</v>
      </c>
      <c r="B9" s="61">
        <v>5711</v>
      </c>
      <c r="C9" s="98" t="str">
        <f t="array" ref="C9">_xll.RssMarket(B9, "銘柄名称")</f>
        <v/>
      </c>
      <c r="D9" s="99" t="str">
        <f t="shared" si="1"/>
        <v>株探</v>
      </c>
      <c r="E9" s="100"/>
      <c r="F9" s="100"/>
      <c r="G9" s="100"/>
      <c r="H9" s="100"/>
      <c r="I9" s="100"/>
      <c r="J9" s="100"/>
      <c r="K9" s="100"/>
      <c r="L9" s="100"/>
      <c r="M9" s="100"/>
      <c r="N9" s="100"/>
    </row>
    <row r="10" spans="1:27" ht="20.100000000000001" customHeight="1">
      <c r="A10" s="101">
        <f t="shared" si="0"/>
        <v>5</v>
      </c>
      <c r="B10" s="61">
        <v>5714</v>
      </c>
      <c r="C10" s="98" t="str">
        <f t="array" ref="C10">_xll.RssMarket(B10, "銘柄名称")</f>
        <v/>
      </c>
      <c r="D10" s="99" t="str">
        <f t="shared" si="1"/>
        <v>株探</v>
      </c>
      <c r="E10" s="100"/>
      <c r="F10" s="100"/>
      <c r="G10" s="100"/>
      <c r="H10" s="100"/>
      <c r="I10" s="100"/>
      <c r="J10" s="100"/>
      <c r="K10" s="100"/>
      <c r="L10" s="100"/>
      <c r="M10" s="100"/>
      <c r="N10" s="100"/>
      <c r="AA10" s="427"/>
    </row>
    <row r="11" spans="1:27" ht="20.100000000000001" customHeight="1">
      <c r="A11" s="101">
        <f t="shared" si="0"/>
        <v>6</v>
      </c>
      <c r="B11" s="61">
        <v>6701</v>
      </c>
      <c r="C11" s="98" t="str">
        <f t="array" ref="C11">_xll.RssMarket(B11, "銘柄名称")</f>
        <v/>
      </c>
      <c r="D11" s="99" t="str">
        <f t="shared" si="1"/>
        <v>株探</v>
      </c>
      <c r="E11" s="100"/>
      <c r="F11" s="100"/>
      <c r="G11" s="100"/>
      <c r="H11" s="100"/>
      <c r="I11" s="100"/>
      <c r="J11" s="100"/>
      <c r="K11" s="100"/>
      <c r="L11" s="100"/>
      <c r="M11" s="100"/>
      <c r="N11" s="100"/>
      <c r="AA11" s="427"/>
    </row>
    <row r="12" spans="1:27" ht="20.100000000000001" customHeight="1">
      <c r="A12" s="101">
        <f t="shared" si="0"/>
        <v>7</v>
      </c>
      <c r="B12" s="61">
        <v>1605</v>
      </c>
      <c r="C12" s="98" t="str">
        <f t="array" ref="C12">_xll.RssMarket(B12, "銘柄名称")</f>
        <v/>
      </c>
      <c r="D12" s="99" t="str">
        <f t="shared" si="1"/>
        <v>株探</v>
      </c>
      <c r="E12" s="100"/>
      <c r="F12" s="100"/>
      <c r="G12" s="100"/>
      <c r="H12" s="100"/>
      <c r="I12" s="100"/>
      <c r="J12" s="100"/>
      <c r="K12" s="100"/>
      <c r="L12" s="100"/>
      <c r="M12" s="100"/>
      <c r="N12" s="100"/>
    </row>
    <row r="13" spans="1:27" ht="20.100000000000001" customHeight="1">
      <c r="A13" s="101">
        <f t="shared" si="0"/>
        <v>8</v>
      </c>
      <c r="B13" s="61">
        <v>5703</v>
      </c>
      <c r="C13" s="98" t="str">
        <f t="array" ref="C13">_xll.RssMarket(B13, "銘柄名称")</f>
        <v/>
      </c>
      <c r="D13" s="99" t="str">
        <f t="shared" si="1"/>
        <v>株探</v>
      </c>
      <c r="E13" s="100"/>
      <c r="F13" s="100"/>
      <c r="G13" s="100"/>
      <c r="H13" s="100"/>
      <c r="I13" s="100"/>
      <c r="J13" s="100"/>
      <c r="K13" s="100"/>
      <c r="L13" s="100"/>
      <c r="M13" s="100"/>
      <c r="N13" s="100"/>
      <c r="AA13" s="427"/>
    </row>
    <row r="14" spans="1:27" ht="20.100000000000001" customHeight="1">
      <c r="A14" s="101">
        <f t="shared" si="0"/>
        <v>9</v>
      </c>
      <c r="B14" s="61">
        <v>8002</v>
      </c>
      <c r="C14" s="98" t="str">
        <f t="array" ref="C14">_xll.RssMarket(B14, "銘柄名称")</f>
        <v/>
      </c>
      <c r="D14" s="99" t="str">
        <f t="shared" si="1"/>
        <v>株探</v>
      </c>
      <c r="E14" s="100"/>
      <c r="F14" s="100"/>
      <c r="G14" s="100"/>
      <c r="H14" s="100"/>
      <c r="I14" s="100"/>
      <c r="J14" s="100"/>
      <c r="K14" s="100"/>
      <c r="L14" s="100"/>
      <c r="M14" s="100"/>
      <c r="N14" s="100"/>
      <c r="AA14" s="427"/>
    </row>
    <row r="15" spans="1:27" ht="20.100000000000001" customHeight="1">
      <c r="A15" s="101">
        <f t="shared" si="0"/>
        <v>10</v>
      </c>
      <c r="B15" s="61">
        <v>5021</v>
      </c>
      <c r="C15" s="98" t="str">
        <f t="array" ref="C15">_xll.RssMarket(B15, "銘柄名称")</f>
        <v/>
      </c>
      <c r="D15" s="99" t="str">
        <f t="shared" si="1"/>
        <v>株探</v>
      </c>
      <c r="E15" s="100"/>
      <c r="F15" s="100"/>
      <c r="G15" s="100"/>
      <c r="H15" s="100"/>
      <c r="I15" s="100"/>
      <c r="J15" s="100"/>
      <c r="K15" s="100"/>
      <c r="L15" s="100"/>
      <c r="M15" s="100"/>
      <c r="N15" s="100"/>
    </row>
    <row r="16" spans="1:27" ht="20.100000000000001" customHeight="1">
      <c r="A16" s="101">
        <f t="shared" si="0"/>
        <v>11</v>
      </c>
      <c r="B16" s="61">
        <v>8058</v>
      </c>
      <c r="C16" s="98" t="str">
        <f t="array" ref="C16">_xll.RssMarket(B16, "銘柄名称")</f>
        <v/>
      </c>
      <c r="D16" s="99" t="str">
        <f t="shared" si="1"/>
        <v>株探</v>
      </c>
      <c r="E16" s="100"/>
      <c r="F16" s="100"/>
      <c r="G16" s="100"/>
      <c r="H16" s="100"/>
      <c r="I16" s="100"/>
      <c r="J16" s="100"/>
      <c r="K16" s="100"/>
      <c r="L16" s="100"/>
      <c r="M16" s="100"/>
      <c r="N16" s="100"/>
    </row>
    <row r="17" spans="1:27" ht="20.100000000000001" customHeight="1">
      <c r="A17" s="101">
        <f t="shared" si="0"/>
        <v>12</v>
      </c>
      <c r="B17" s="61">
        <v>5333</v>
      </c>
      <c r="C17" s="98" t="str">
        <f t="array" ref="C17">_xll.RssMarket(B17, "銘柄名称")</f>
        <v/>
      </c>
      <c r="D17" s="99" t="str">
        <f t="shared" si="1"/>
        <v>株探</v>
      </c>
      <c r="E17" s="100"/>
      <c r="F17" s="100"/>
      <c r="G17" s="100"/>
      <c r="H17" s="100"/>
      <c r="I17" s="100"/>
      <c r="J17" s="100"/>
      <c r="K17" s="100"/>
      <c r="L17" s="100"/>
      <c r="M17" s="100"/>
      <c r="N17" s="100"/>
      <c r="AA17" s="427" t="s">
        <v>520</v>
      </c>
    </row>
    <row r="18" spans="1:27" ht="20.100000000000001" customHeight="1">
      <c r="A18" s="101">
        <f t="shared" si="0"/>
        <v>13</v>
      </c>
      <c r="B18" s="61">
        <v>1662</v>
      </c>
      <c r="C18" s="98" t="str">
        <f t="array" ref="C18">_xll.RssMarket(B18, "銘柄名称")</f>
        <v/>
      </c>
      <c r="D18" s="99" t="str">
        <f t="shared" si="1"/>
        <v>株探</v>
      </c>
      <c r="E18" s="100"/>
      <c r="F18" s="100"/>
      <c r="G18" s="100"/>
      <c r="H18" s="100"/>
      <c r="I18" s="100"/>
      <c r="J18" s="100"/>
      <c r="K18" s="100"/>
      <c r="L18" s="100"/>
      <c r="M18" s="100"/>
      <c r="N18" s="100"/>
    </row>
    <row r="19" spans="1:27" ht="20.100000000000001" customHeight="1">
      <c r="A19" s="101">
        <f t="shared" si="0"/>
        <v>14</v>
      </c>
      <c r="B19" s="61">
        <v>8411</v>
      </c>
      <c r="C19" s="98" t="str">
        <f t="array" ref="C19">_xll.RssMarket(B19, "銘柄名称")</f>
        <v/>
      </c>
      <c r="D19" s="99" t="str">
        <f t="shared" si="1"/>
        <v>株探</v>
      </c>
      <c r="E19" s="100"/>
      <c r="F19" s="100"/>
      <c r="G19" s="100"/>
      <c r="H19" s="100"/>
      <c r="I19" s="100"/>
      <c r="J19" s="100"/>
      <c r="K19" s="100"/>
      <c r="L19" s="100"/>
      <c r="M19" s="100"/>
      <c r="N19" s="100"/>
      <c r="AA19" s="427"/>
    </row>
    <row r="20" spans="1:27" ht="20.100000000000001" customHeight="1">
      <c r="A20" s="101">
        <f t="shared" si="0"/>
        <v>15</v>
      </c>
      <c r="B20" s="61">
        <v>5541</v>
      </c>
      <c r="C20" s="98" t="str">
        <f t="array" ref="C20">_xll.RssMarket(B20, "銘柄名称")</f>
        <v/>
      </c>
      <c r="D20" s="99" t="str">
        <f t="shared" si="1"/>
        <v>株探</v>
      </c>
      <c r="E20" s="100"/>
      <c r="F20" s="100"/>
      <c r="G20" s="100"/>
      <c r="H20" s="100"/>
      <c r="I20" s="100"/>
      <c r="J20" s="100"/>
      <c r="K20" s="100"/>
      <c r="L20" s="100"/>
      <c r="M20" s="100"/>
      <c r="N20" s="100"/>
    </row>
    <row r="21" spans="1:27" ht="20.100000000000001" customHeight="1">
      <c r="A21" s="101">
        <f t="shared" si="0"/>
        <v>16</v>
      </c>
      <c r="B21" s="61">
        <v>5332</v>
      </c>
      <c r="C21" s="98" t="str">
        <f t="array" ref="C21">_xll.RssMarket(B21, "銘柄名称")</f>
        <v/>
      </c>
      <c r="D21" s="99" t="str">
        <f t="shared" si="1"/>
        <v>株探</v>
      </c>
      <c r="E21" s="100"/>
      <c r="F21" s="100"/>
      <c r="G21" s="100"/>
      <c r="H21" s="100"/>
      <c r="I21" s="100"/>
      <c r="J21" s="100"/>
      <c r="K21" s="100"/>
      <c r="L21" s="100"/>
      <c r="M21" s="100"/>
      <c r="N21" s="100"/>
      <c r="AA21" s="427"/>
    </row>
    <row r="22" spans="1:27" ht="20.100000000000001" customHeight="1">
      <c r="A22" s="101">
        <f t="shared" si="0"/>
        <v>17</v>
      </c>
      <c r="B22" s="61">
        <v>8725</v>
      </c>
      <c r="C22" s="98" t="str">
        <f t="array" ref="C22">_xll.RssMarket(B22, "銘柄名称")</f>
        <v/>
      </c>
      <c r="D22" s="99" t="str">
        <f t="shared" si="1"/>
        <v>株探</v>
      </c>
      <c r="E22" s="100"/>
      <c r="F22" s="100"/>
      <c r="G22" s="100"/>
      <c r="H22" s="100"/>
      <c r="I22" s="100"/>
      <c r="J22" s="100"/>
      <c r="K22" s="100"/>
      <c r="L22" s="100"/>
      <c r="M22" s="100"/>
      <c r="N22" s="100"/>
    </row>
    <row r="23" spans="1:27" ht="20.100000000000001" customHeight="1">
      <c r="A23" s="101">
        <f t="shared" si="0"/>
        <v>18</v>
      </c>
      <c r="B23" s="61">
        <v>8795</v>
      </c>
      <c r="C23" s="98" t="str">
        <f t="array" ref="C23">_xll.RssMarket(B23, "銘柄名称")</f>
        <v/>
      </c>
      <c r="D23" s="99" t="str">
        <f t="shared" si="1"/>
        <v>株探</v>
      </c>
      <c r="E23" s="100"/>
      <c r="F23" s="100"/>
      <c r="G23" s="100"/>
      <c r="H23" s="100"/>
      <c r="I23" s="100"/>
      <c r="J23" s="100"/>
      <c r="K23" s="100"/>
      <c r="L23" s="100"/>
      <c r="M23" s="100"/>
      <c r="N23" s="102"/>
      <c r="AA23" s="427"/>
    </row>
    <row r="24" spans="1:27" ht="20.100000000000001" customHeight="1">
      <c r="A24" s="101">
        <f t="shared" si="0"/>
        <v>19</v>
      </c>
      <c r="B24" s="61">
        <v>5019</v>
      </c>
      <c r="C24" s="98" t="str">
        <f t="array" ref="C24">_xll.RssMarket(B24, "銘柄名称")</f>
        <v/>
      </c>
      <c r="D24" s="99" t="str">
        <f t="shared" si="1"/>
        <v>株探</v>
      </c>
      <c r="E24" s="100"/>
      <c r="F24" s="100"/>
      <c r="G24" s="100"/>
      <c r="H24" s="100"/>
      <c r="I24" s="100"/>
      <c r="J24" s="100"/>
      <c r="K24" s="100"/>
      <c r="L24" s="100"/>
      <c r="M24" s="100"/>
      <c r="N24" s="100"/>
    </row>
    <row r="25" spans="1:27" ht="20.100000000000001" customHeight="1">
      <c r="A25" s="101">
        <f t="shared" si="0"/>
        <v>20</v>
      </c>
      <c r="B25" s="61">
        <v>8053</v>
      </c>
      <c r="C25" s="98" t="str">
        <f t="array" ref="C25">_xll.RssMarket(B25, "銘柄名称")</f>
        <v/>
      </c>
      <c r="D25" s="99" t="str">
        <f t="shared" si="1"/>
        <v>株探</v>
      </c>
      <c r="E25" s="100"/>
      <c r="F25" s="100"/>
      <c r="G25" s="100"/>
      <c r="H25" s="100"/>
      <c r="I25" s="100"/>
      <c r="J25" s="100"/>
      <c r="K25" s="100"/>
      <c r="L25" s="100"/>
      <c r="M25" s="100"/>
      <c r="N25" s="100"/>
      <c r="AA25" s="427"/>
    </row>
    <row r="26" spans="1:27" ht="20.100000000000001" customHeight="1">
      <c r="A26" s="101">
        <f t="shared" si="0"/>
        <v>21</v>
      </c>
      <c r="B26" s="61">
        <v>8591</v>
      </c>
      <c r="C26" s="98" t="str">
        <f t="array" ref="C26">_xll.RssMarket(B26, "銘柄名称")</f>
        <v/>
      </c>
      <c r="D26" s="99" t="str">
        <f t="shared" si="1"/>
        <v>株探</v>
      </c>
      <c r="E26" s="100"/>
      <c r="F26" s="100"/>
      <c r="G26" s="100"/>
      <c r="H26" s="100"/>
      <c r="I26" s="100"/>
      <c r="J26" s="100"/>
      <c r="K26" s="100"/>
      <c r="L26" s="100"/>
      <c r="M26" s="100"/>
      <c r="N26" s="100"/>
      <c r="AA26" s="427"/>
    </row>
    <row r="27" spans="1:27" ht="20.100000000000001" customHeight="1">
      <c r="A27" s="101">
        <f t="shared" si="0"/>
        <v>22</v>
      </c>
      <c r="B27" s="61">
        <v>3401</v>
      </c>
      <c r="C27" s="98" t="str">
        <f t="array" ref="C27">_xll.RssMarket(B27, "銘柄名称")</f>
        <v/>
      </c>
      <c r="D27" s="99" t="str">
        <f t="shared" si="1"/>
        <v>株探</v>
      </c>
      <c r="E27" s="100"/>
      <c r="F27" s="100"/>
      <c r="G27" s="100"/>
      <c r="H27" s="100"/>
      <c r="I27" s="100"/>
      <c r="J27" s="100"/>
      <c r="K27" s="100"/>
      <c r="L27" s="100"/>
      <c r="M27" s="100"/>
      <c r="N27" s="100"/>
    </row>
    <row r="28" spans="1:27" ht="20.100000000000001" customHeight="1">
      <c r="A28" s="101">
        <f t="shared" si="0"/>
        <v>23</v>
      </c>
      <c r="B28" s="61">
        <v>3436</v>
      </c>
      <c r="C28" s="98" t="str">
        <f t="array" ref="C28">_xll.RssMarket(B28, "銘柄名称")</f>
        <v/>
      </c>
      <c r="D28" s="99" t="str">
        <f t="shared" si="1"/>
        <v>株探</v>
      </c>
      <c r="E28" s="100"/>
      <c r="F28" s="100"/>
      <c r="G28" s="100"/>
      <c r="H28" s="100"/>
      <c r="I28" s="100"/>
      <c r="J28" s="100"/>
      <c r="K28" s="100"/>
      <c r="L28" s="100"/>
      <c r="M28" s="100"/>
      <c r="N28" s="100"/>
      <c r="AA28" s="427"/>
    </row>
    <row r="29" spans="1:27" ht="20.100000000000001" customHeight="1">
      <c r="A29" s="101">
        <f t="shared" si="0"/>
        <v>24</v>
      </c>
      <c r="B29" s="61">
        <v>5020</v>
      </c>
      <c r="C29" s="98" t="str">
        <f t="array" ref="C29">_xll.RssMarket(B29, "銘柄名称")</f>
        <v/>
      </c>
      <c r="D29" s="99" t="str">
        <f t="shared" si="1"/>
        <v>株探</v>
      </c>
      <c r="E29" s="100"/>
      <c r="F29" s="100"/>
      <c r="G29" s="100"/>
      <c r="H29" s="100"/>
      <c r="I29" s="100"/>
      <c r="J29" s="100"/>
      <c r="K29" s="100"/>
      <c r="L29" s="100"/>
      <c r="M29" s="100"/>
      <c r="N29" s="100"/>
    </row>
    <row r="30" spans="1:27" ht="20.100000000000001" customHeight="1">
      <c r="A30" s="101">
        <f t="shared" si="0"/>
        <v>25</v>
      </c>
      <c r="B30" s="61">
        <v>6254</v>
      </c>
      <c r="C30" s="98" t="str">
        <f t="array" ref="C30">_xll.RssMarket(B30, "銘柄名称")</f>
        <v/>
      </c>
      <c r="D30" s="99" t="str">
        <f t="shared" si="1"/>
        <v>株探</v>
      </c>
      <c r="E30" s="100"/>
      <c r="F30" s="100"/>
      <c r="G30" s="100"/>
      <c r="H30" s="100"/>
      <c r="I30" s="100"/>
      <c r="J30" s="100"/>
      <c r="K30" s="100"/>
      <c r="L30" s="100"/>
      <c r="M30" s="100"/>
      <c r="N30" s="100"/>
      <c r="AA30" s="427"/>
    </row>
    <row r="31" spans="1:27" ht="20.100000000000001" customHeight="1">
      <c r="A31" s="101">
        <f t="shared" si="0"/>
        <v>26</v>
      </c>
      <c r="B31" s="61">
        <v>8309</v>
      </c>
      <c r="C31" s="98" t="str">
        <f t="array" ref="C31">_xll.RssMarket(B31, "銘柄名称")</f>
        <v/>
      </c>
      <c r="D31" s="99" t="str">
        <f t="shared" si="1"/>
        <v>株探</v>
      </c>
      <c r="E31" s="100"/>
      <c r="F31" s="100"/>
      <c r="G31" s="100"/>
      <c r="H31" s="100"/>
      <c r="I31" s="100"/>
      <c r="J31" s="100"/>
      <c r="K31" s="100"/>
      <c r="L31" s="100"/>
      <c r="M31" s="100"/>
      <c r="N31" s="100"/>
      <c r="AA31" s="427"/>
    </row>
    <row r="32" spans="1:27" ht="20.100000000000001" customHeight="1">
      <c r="A32" s="101">
        <f t="shared" si="0"/>
        <v>27</v>
      </c>
      <c r="B32" s="61">
        <v>3863</v>
      </c>
      <c r="C32" s="98" t="str">
        <f t="array" ref="C32">_xll.RssMarket(B32, "銘柄名称")</f>
        <v/>
      </c>
      <c r="D32" s="99" t="str">
        <f t="shared" si="1"/>
        <v>株探</v>
      </c>
      <c r="E32" s="100"/>
      <c r="F32" s="100"/>
      <c r="G32" s="100"/>
      <c r="H32" s="100"/>
      <c r="I32" s="100"/>
      <c r="J32" s="100"/>
      <c r="K32" s="100"/>
      <c r="L32" s="100"/>
      <c r="M32" s="100"/>
      <c r="N32" s="100"/>
      <c r="AA32" s="427"/>
    </row>
    <row r="33" spans="1:27" ht="20.100000000000001" customHeight="1">
      <c r="A33" s="101">
        <f t="shared" si="0"/>
        <v>28</v>
      </c>
      <c r="B33" s="61">
        <v>8601</v>
      </c>
      <c r="C33" s="98" t="str">
        <f t="array" ref="C33">_xll.RssMarket(B33, "銘柄名称")</f>
        <v/>
      </c>
      <c r="D33" s="99" t="str">
        <f t="shared" si="1"/>
        <v>株探</v>
      </c>
      <c r="E33" s="100"/>
      <c r="F33" s="100"/>
      <c r="G33" s="100"/>
      <c r="H33" s="100"/>
      <c r="I33" s="100"/>
      <c r="J33" s="100"/>
      <c r="K33" s="100"/>
      <c r="L33" s="100"/>
      <c r="M33" s="100"/>
      <c r="N33" s="100"/>
      <c r="AA33" s="427"/>
    </row>
    <row r="34" spans="1:27" ht="20.100000000000001" customHeight="1">
      <c r="A34" s="101">
        <f t="shared" si="0"/>
        <v>29</v>
      </c>
      <c r="B34" s="61">
        <v>5233</v>
      </c>
      <c r="C34" s="98" t="str">
        <f t="array" ref="C34">_xll.RssMarket(B34, "銘柄名称")</f>
        <v/>
      </c>
      <c r="D34" s="99" t="str">
        <f t="shared" si="1"/>
        <v>株探</v>
      </c>
      <c r="E34" s="100"/>
      <c r="F34" s="100"/>
      <c r="G34" s="100"/>
      <c r="H34" s="100"/>
      <c r="I34" s="100"/>
      <c r="J34" s="100"/>
      <c r="K34" s="100"/>
      <c r="L34" s="100"/>
      <c r="M34" s="100"/>
      <c r="N34" s="100"/>
      <c r="AA34" s="427"/>
    </row>
    <row r="35" spans="1:27" ht="20.100000000000001" customHeight="1">
      <c r="A35" s="101">
        <f t="shared" si="0"/>
        <v>30</v>
      </c>
      <c r="B35" s="61">
        <v>8308</v>
      </c>
      <c r="C35" s="98" t="str">
        <f t="array" ref="C35">_xll.RssMarket(B35, "銘柄名称")</f>
        <v/>
      </c>
      <c r="D35" s="99" t="str">
        <f t="shared" si="1"/>
        <v>株探</v>
      </c>
      <c r="E35" s="100"/>
      <c r="F35" s="100"/>
      <c r="G35" s="100"/>
      <c r="H35" s="100"/>
      <c r="I35" s="100"/>
      <c r="J35" s="100"/>
      <c r="K35" s="100"/>
      <c r="L35" s="100"/>
      <c r="M35" s="100"/>
      <c r="N35" s="100"/>
      <c r="AA35" s="427" t="s">
        <v>520</v>
      </c>
    </row>
    <row r="36" spans="1:27" ht="20.100000000000001" customHeight="1">
      <c r="A36" s="101">
        <f t="shared" si="0"/>
        <v>31</v>
      </c>
      <c r="B36" s="61">
        <v>5938</v>
      </c>
      <c r="C36" s="98" t="str">
        <f t="array" ref="C36">_xll.RssMarket(B36, "銘柄名称")</f>
        <v/>
      </c>
      <c r="D36" s="99" t="str">
        <f t="shared" si="1"/>
        <v>株探</v>
      </c>
      <c r="E36" s="100"/>
      <c r="F36" s="100"/>
      <c r="G36" s="100"/>
      <c r="H36" s="100"/>
      <c r="I36" s="100"/>
      <c r="J36" s="100"/>
      <c r="K36" s="100"/>
      <c r="L36" s="100"/>
      <c r="M36" s="100"/>
      <c r="N36" s="100"/>
      <c r="AA36" s="427"/>
    </row>
    <row r="37" spans="1:27" ht="20.100000000000001" customHeight="1">
      <c r="A37" s="101">
        <f t="shared" si="0"/>
        <v>32</v>
      </c>
      <c r="B37" s="61">
        <v>8570</v>
      </c>
      <c r="C37" s="98" t="str">
        <f t="array" ref="C37">_xll.RssMarket(B37, "銘柄名称")</f>
        <v/>
      </c>
      <c r="D37" s="99" t="str">
        <f t="shared" si="1"/>
        <v>株探</v>
      </c>
      <c r="E37" s="100"/>
      <c r="F37" s="100"/>
      <c r="G37" s="100"/>
      <c r="H37" s="100"/>
      <c r="I37" s="100"/>
      <c r="J37" s="100"/>
      <c r="K37" s="100"/>
      <c r="L37" s="100"/>
      <c r="M37" s="100"/>
      <c r="N37" s="100"/>
    </row>
    <row r="38" spans="1:27" ht="20.100000000000001" customHeight="1">
      <c r="A38" s="101">
        <f t="shared" si="0"/>
        <v>33</v>
      </c>
      <c r="B38" s="61">
        <v>5406</v>
      </c>
      <c r="C38" s="98" t="str">
        <f t="array" ref="C38">_xll.RssMarket(B38, "銘柄名称")</f>
        <v/>
      </c>
      <c r="D38" s="99" t="str">
        <f t="shared" si="1"/>
        <v>株探</v>
      </c>
      <c r="E38" s="100"/>
      <c r="F38" s="100"/>
      <c r="G38" s="100"/>
      <c r="H38" s="100"/>
      <c r="I38" s="100"/>
      <c r="J38" s="100"/>
      <c r="K38" s="100"/>
      <c r="L38" s="100"/>
      <c r="M38" s="100"/>
      <c r="N38" s="100"/>
    </row>
    <row r="39" spans="1:27" ht="20.100000000000001" customHeight="1">
      <c r="A39" s="101">
        <f t="shared" si="0"/>
        <v>34</v>
      </c>
      <c r="B39" s="61">
        <v>8593</v>
      </c>
      <c r="C39" s="98" t="str">
        <f t="array" ref="C39">_xll.RssMarket(B39, "銘柄名称")</f>
        <v/>
      </c>
      <c r="D39" s="99" t="str">
        <f t="shared" si="1"/>
        <v>株探</v>
      </c>
      <c r="E39" s="100"/>
      <c r="F39" s="100"/>
      <c r="G39" s="100"/>
      <c r="H39" s="100"/>
      <c r="I39" s="100"/>
      <c r="J39" s="100"/>
      <c r="K39" s="100"/>
      <c r="L39" s="100"/>
      <c r="M39" s="100"/>
      <c r="N39" s="100"/>
    </row>
    <row r="40" spans="1:27" ht="20.100000000000001" customHeight="1">
      <c r="A40" s="101">
        <f t="shared" si="0"/>
        <v>35</v>
      </c>
      <c r="B40" s="61">
        <v>8604</v>
      </c>
      <c r="C40" s="98" t="str">
        <f t="array" ref="C40">_xll.RssMarket(B40, "銘柄名称")</f>
        <v/>
      </c>
      <c r="D40" s="99" t="str">
        <f t="shared" si="1"/>
        <v>株探</v>
      </c>
      <c r="E40" s="100"/>
      <c r="F40" s="100"/>
      <c r="G40" s="100"/>
      <c r="H40" s="100"/>
      <c r="I40" s="100"/>
      <c r="J40" s="100"/>
      <c r="K40" s="100"/>
      <c r="L40" s="100"/>
      <c r="M40" s="100"/>
      <c r="N40" s="100"/>
      <c r="AA40" s="427"/>
    </row>
    <row r="41" spans="1:27" ht="20.100000000000001" customHeight="1">
      <c r="A41" s="101">
        <f t="shared" si="0"/>
        <v>36</v>
      </c>
      <c r="B41" s="61">
        <v>3861</v>
      </c>
      <c r="C41" s="98" t="str">
        <f t="array" ref="C41">_xll.RssMarket(B41, "銘柄名称")</f>
        <v/>
      </c>
      <c r="D41" s="99" t="str">
        <f t="shared" si="1"/>
        <v>株探</v>
      </c>
      <c r="E41" s="100"/>
      <c r="F41" s="100"/>
      <c r="G41" s="100"/>
      <c r="H41" s="100"/>
      <c r="I41" s="100"/>
      <c r="J41" s="100"/>
      <c r="K41" s="100"/>
      <c r="L41" s="100"/>
      <c r="M41" s="100"/>
      <c r="N41" s="100"/>
    </row>
    <row r="42" spans="1:27" ht="20.100000000000001" customHeight="1">
      <c r="A42" s="101">
        <f t="shared" si="0"/>
        <v>37</v>
      </c>
      <c r="B42" s="61">
        <v>5947</v>
      </c>
      <c r="C42" s="98" t="str">
        <f t="array" ref="C42">_xll.RssMarket(B42, "銘柄名称")</f>
        <v/>
      </c>
      <c r="D42" s="99" t="str">
        <f t="shared" si="1"/>
        <v>株探</v>
      </c>
      <c r="E42" s="100"/>
      <c r="F42" s="100"/>
      <c r="G42" s="100"/>
      <c r="H42" s="100"/>
      <c r="I42" s="100"/>
      <c r="J42" s="100"/>
      <c r="K42" s="100"/>
      <c r="L42" s="100"/>
      <c r="M42" s="100"/>
      <c r="N42" s="100"/>
    </row>
    <row r="43" spans="1:27" ht="20.100000000000001" customHeight="1">
      <c r="A43" s="101">
        <f t="shared" si="0"/>
        <v>38</v>
      </c>
      <c r="B43" s="61">
        <v>8750</v>
      </c>
      <c r="C43" s="98" t="str">
        <f t="array" ref="C43">_xll.RssMarket(B43, "銘柄名称")</f>
        <v/>
      </c>
      <c r="D43" s="99" t="str">
        <f t="shared" si="1"/>
        <v>株探</v>
      </c>
      <c r="E43" s="100"/>
      <c r="F43" s="100"/>
      <c r="G43" s="100"/>
      <c r="H43" s="100"/>
      <c r="I43" s="100"/>
      <c r="J43" s="100"/>
      <c r="K43" s="100"/>
      <c r="L43" s="100"/>
      <c r="M43" s="100"/>
      <c r="N43" s="100"/>
      <c r="AA43" s="427"/>
    </row>
    <row r="44" spans="1:27" ht="20.100000000000001" customHeight="1">
      <c r="A44" s="101">
        <f t="shared" si="0"/>
        <v>39</v>
      </c>
      <c r="B44" s="61">
        <v>3402</v>
      </c>
      <c r="C44" s="98" t="str">
        <f t="array" ref="C44">_xll.RssMarket(B44, "銘柄名称")</f>
        <v/>
      </c>
      <c r="D44" s="99" t="str">
        <f t="shared" si="1"/>
        <v>株探</v>
      </c>
      <c r="E44" s="100"/>
      <c r="F44" s="100"/>
      <c r="G44" s="100"/>
      <c r="H44" s="100"/>
      <c r="I44" s="100"/>
      <c r="J44" s="100"/>
      <c r="K44" s="100"/>
      <c r="L44" s="100"/>
      <c r="M44" s="100"/>
      <c r="N44" s="100"/>
      <c r="AA44" s="427"/>
    </row>
    <row r="45" spans="1:27" ht="20.100000000000001" customHeight="1">
      <c r="A45" s="101">
        <f t="shared" si="0"/>
        <v>40</v>
      </c>
      <c r="B45" s="61">
        <v>8306</v>
      </c>
      <c r="C45" s="98" t="str">
        <f t="array" ref="C45">_xll.RssMarket(B45, "銘柄名称")</f>
        <v/>
      </c>
      <c r="D45" s="99" t="str">
        <f t="shared" si="1"/>
        <v>株探</v>
      </c>
      <c r="E45" s="100"/>
      <c r="F45" s="100"/>
      <c r="G45" s="100"/>
      <c r="H45" s="100"/>
      <c r="I45" s="100"/>
      <c r="J45" s="100"/>
      <c r="K45" s="100"/>
      <c r="L45" s="100"/>
      <c r="M45" s="100"/>
      <c r="N45" s="100"/>
      <c r="AA45" s="427"/>
    </row>
    <row r="46" spans="1:27" ht="20.100000000000001" customHeight="1">
      <c r="A46" s="101">
        <f t="shared" si="0"/>
        <v>41</v>
      </c>
      <c r="B46" s="61">
        <v>5401</v>
      </c>
      <c r="C46" s="98" t="str">
        <f t="array" ref="C46">_xll.RssMarket(B46, "銘柄名称")</f>
        <v/>
      </c>
      <c r="D46" s="99" t="str">
        <f t="shared" si="1"/>
        <v>株探</v>
      </c>
      <c r="E46" s="100"/>
      <c r="F46" s="100"/>
      <c r="G46" s="100"/>
      <c r="H46" s="100"/>
      <c r="I46" s="100"/>
      <c r="J46" s="100"/>
      <c r="K46" s="100"/>
      <c r="L46" s="100"/>
      <c r="M46" s="100"/>
      <c r="N46" s="100"/>
    </row>
    <row r="47" spans="1:27" ht="20.100000000000001" customHeight="1">
      <c r="A47" s="101">
        <f t="shared" si="0"/>
        <v>42</v>
      </c>
      <c r="B47" s="61">
        <v>8572</v>
      </c>
      <c r="C47" s="98" t="str">
        <f t="array" ref="C47">_xll.RssMarket(B47, "銘柄名称")</f>
        <v/>
      </c>
      <c r="D47" s="99" t="str">
        <f t="shared" si="1"/>
        <v>株探</v>
      </c>
      <c r="AA47" s="427"/>
    </row>
    <row r="48" spans="1:27" ht="20.100000000000001" customHeight="1">
      <c r="A48" s="101">
        <f t="shared" si="0"/>
        <v>43</v>
      </c>
      <c r="B48" s="61">
        <v>3941</v>
      </c>
      <c r="C48" s="98" t="str">
        <f t="array" ref="C48">_xll.RssMarket(B48, "銘柄名称")</f>
        <v/>
      </c>
      <c r="D48" s="99" t="str">
        <f t="shared" si="1"/>
        <v>株探</v>
      </c>
    </row>
    <row r="49" spans="1:27" ht="20.100000000000001" customHeight="1">
      <c r="A49" s="101">
        <f t="shared" si="0"/>
        <v>44</v>
      </c>
      <c r="B49" s="61">
        <v>5929</v>
      </c>
      <c r="C49" s="98" t="str">
        <f t="array" ref="C49">_xll.RssMarket(B49, "銘柄名称")</f>
        <v/>
      </c>
      <c r="D49" s="99" t="str">
        <f t="shared" si="1"/>
        <v>株探</v>
      </c>
      <c r="AA49" s="427"/>
    </row>
    <row r="50" spans="1:27" ht="20.100000000000001" customHeight="1">
      <c r="A50" s="101">
        <f t="shared" si="0"/>
        <v>45</v>
      </c>
      <c r="B50" s="61">
        <v>8316</v>
      </c>
      <c r="C50" s="98" t="str">
        <f t="array" ref="C50">_xll.RssMarket(B50, "銘柄名称")</f>
        <v/>
      </c>
      <c r="D50" s="99" t="str">
        <f t="shared" si="1"/>
        <v>株探</v>
      </c>
      <c r="AA50" s="427"/>
    </row>
    <row r="51" spans="1:27" ht="20.100000000000001" customHeight="1">
      <c r="A51" s="101">
        <f t="shared" si="0"/>
        <v>46</v>
      </c>
      <c r="B51" s="61">
        <v>5449</v>
      </c>
      <c r="C51" s="98" t="str">
        <f t="array" ref="C51">_xll.RssMarket(B51, "銘柄名称")</f>
        <v/>
      </c>
      <c r="D51" s="99" t="str">
        <f t="shared" si="1"/>
        <v>株探</v>
      </c>
    </row>
    <row r="52" spans="1:27" ht="20.100000000000001" customHeight="1">
      <c r="A52" s="101">
        <f t="shared" si="0"/>
        <v>47</v>
      </c>
      <c r="B52" s="61">
        <v>8766</v>
      </c>
      <c r="C52" s="98" t="str">
        <f t="array" ref="C52">_xll.RssMarket(B52, "銘柄名称")</f>
        <v/>
      </c>
      <c r="D52" s="99" t="str">
        <f t="shared" si="1"/>
        <v>株探</v>
      </c>
      <c r="AA52" s="427"/>
    </row>
    <row r="53" spans="1:27" ht="20.100000000000001" customHeight="1">
      <c r="A53" s="101">
        <f t="shared" si="0"/>
        <v>48</v>
      </c>
      <c r="B53" s="61">
        <v>5201</v>
      </c>
      <c r="C53" s="98" t="str">
        <f t="array" ref="C53">_xll.RssMarket(B53, "銘柄名称")</f>
        <v/>
      </c>
      <c r="D53" s="99" t="str">
        <f t="shared" si="1"/>
        <v>株探</v>
      </c>
      <c r="AA53" s="427"/>
    </row>
    <row r="54" spans="1:27" ht="20.100000000000001" customHeight="1">
      <c r="A54" s="101">
        <f t="shared" si="0"/>
        <v>49</v>
      </c>
      <c r="B54" s="61">
        <v>8630</v>
      </c>
      <c r="C54" s="98" t="str">
        <f t="array" ref="C54">_xll.RssMarket(B54, "銘柄名称")</f>
        <v/>
      </c>
      <c r="D54" s="99" t="str">
        <f t="shared" si="1"/>
        <v>株探</v>
      </c>
      <c r="AA54" s="427"/>
    </row>
    <row r="55" spans="1:27" ht="20.100000000000001" customHeight="1">
      <c r="A55" s="101">
        <f t="shared" si="0"/>
        <v>50</v>
      </c>
      <c r="B55" s="61">
        <v>5901</v>
      </c>
      <c r="C55" s="98" t="str">
        <f t="array" ref="C55">_xll.RssMarket(B55, "銘柄名称")</f>
        <v/>
      </c>
      <c r="D55" s="99" t="str">
        <f t="shared" si="1"/>
        <v>株探</v>
      </c>
      <c r="AA55" s="427"/>
    </row>
    <row r="56" spans="1:27" ht="20.100000000000001" customHeight="1">
      <c r="A56" s="101">
        <f t="shared" si="0"/>
        <v>51</v>
      </c>
      <c r="B56" s="61">
        <v>9412</v>
      </c>
      <c r="C56" s="98" t="str">
        <f t="array" ref="C56">_xll.RssMarket(B56, "銘柄名称")</f>
        <v/>
      </c>
      <c r="D56" s="99" t="str">
        <f t="shared" si="1"/>
        <v>株探</v>
      </c>
      <c r="AA56" s="427"/>
    </row>
    <row r="57" spans="1:27" ht="20.100000000000001" customHeight="1">
      <c r="A57" s="101">
        <f t="shared" si="0"/>
        <v>52</v>
      </c>
      <c r="B57" s="61">
        <v>6203</v>
      </c>
      <c r="C57" s="98" t="str">
        <f t="array" ref="C57">_xll.RssMarket(B57, "銘柄名称")</f>
        <v/>
      </c>
      <c r="D57" s="99" t="str">
        <f t="shared" si="1"/>
        <v>株探</v>
      </c>
    </row>
    <row r="58" spans="1:27" ht="20.100000000000001" customHeight="1">
      <c r="A58" s="101">
        <f t="shared" si="0"/>
        <v>53</v>
      </c>
      <c r="B58" s="61">
        <v>4676</v>
      </c>
      <c r="C58" s="98" t="str">
        <f t="array" ref="C58">_xll.RssMarket(B58, "銘柄名称")</f>
        <v/>
      </c>
      <c r="D58" s="99" t="str">
        <f t="shared" si="1"/>
        <v>株探</v>
      </c>
      <c r="AA58" s="427"/>
    </row>
    <row r="59" spans="1:27" ht="20.100000000000001" customHeight="1">
      <c r="A59" s="101">
        <f t="shared" si="0"/>
        <v>54</v>
      </c>
      <c r="B59" s="61">
        <v>1961</v>
      </c>
      <c r="C59" s="98" t="str">
        <f t="array" ref="C59">_xll.RssMarket(B59, "銘柄名称")</f>
        <v/>
      </c>
      <c r="D59" s="99" t="str">
        <f t="shared" si="1"/>
        <v>株探</v>
      </c>
    </row>
    <row r="60" spans="1:27" ht="20.100000000000001" customHeight="1">
      <c r="A60" s="101">
        <f t="shared" si="0"/>
        <v>55</v>
      </c>
      <c r="B60" s="61">
        <v>3107</v>
      </c>
      <c r="C60" s="98" t="str">
        <f t="array" ref="C60">_xll.RssMarket(B60, "銘柄名称")</f>
        <v/>
      </c>
      <c r="D60" s="99" t="str">
        <f t="shared" si="1"/>
        <v>株探</v>
      </c>
      <c r="AA60" s="427"/>
    </row>
    <row r="61" spans="1:27" ht="20.100000000000001" customHeight="1">
      <c r="A61" s="101">
        <f t="shared" si="0"/>
        <v>56</v>
      </c>
      <c r="B61" s="61">
        <v>4045</v>
      </c>
      <c r="C61" s="98" t="str">
        <f t="array" ref="C61">_xll.RssMarket(B61, "銘柄名称")</f>
        <v/>
      </c>
      <c r="D61" s="99" t="str">
        <f t="shared" si="1"/>
        <v>株探</v>
      </c>
      <c r="AA61" s="427"/>
    </row>
    <row r="62" spans="1:27" ht="20.100000000000001" customHeight="1">
      <c r="A62" s="101">
        <f t="shared" si="0"/>
        <v>57</v>
      </c>
      <c r="B62" s="61">
        <v>5857</v>
      </c>
      <c r="C62" s="98" t="str">
        <f t="array" ref="C62">_xll.RssMarket(B62, "銘柄名称")</f>
        <v/>
      </c>
      <c r="D62" s="99" t="str">
        <f t="shared" si="1"/>
        <v>株探</v>
      </c>
      <c r="AA62" s="427"/>
    </row>
    <row r="63" spans="1:27" ht="20.100000000000001" customHeight="1">
      <c r="A63" s="101">
        <f t="shared" si="0"/>
        <v>58</v>
      </c>
      <c r="B63" s="61">
        <v>8281</v>
      </c>
      <c r="C63" s="98" t="str">
        <f t="array" ref="C63">_xll.RssMarket(B63, "銘柄名称")</f>
        <v/>
      </c>
      <c r="D63" s="99" t="str">
        <f t="shared" si="1"/>
        <v>株探</v>
      </c>
      <c r="AA63" s="427"/>
    </row>
    <row r="64" spans="1:27" ht="20.100000000000001" customHeight="1">
      <c r="A64" s="101">
        <f t="shared" si="0"/>
        <v>59</v>
      </c>
      <c r="B64" s="61">
        <v>4540</v>
      </c>
      <c r="C64" s="98" t="str">
        <f t="array" ref="C64">_xll.RssMarket(B64, "銘柄名称")</f>
        <v/>
      </c>
      <c r="D64" s="103" t="str">
        <f t="shared" si="1"/>
        <v>株探</v>
      </c>
    </row>
    <row r="65" spans="1:27" ht="20.100000000000001" customHeight="1">
      <c r="A65" s="101">
        <f t="shared" si="0"/>
        <v>60</v>
      </c>
      <c r="B65" s="61">
        <v>9984</v>
      </c>
      <c r="C65" s="98" t="str">
        <f t="array" ref="C65">_xll.RssMarket(B65, "銘柄名称")</f>
        <v/>
      </c>
      <c r="D65" s="99" t="str">
        <f t="shared" si="1"/>
        <v>株探</v>
      </c>
      <c r="AA65" s="427"/>
    </row>
    <row r="66" spans="1:27" ht="20.100000000000001" customHeight="1">
      <c r="A66" s="101">
        <f t="shared" si="0"/>
        <v>61</v>
      </c>
      <c r="B66" s="61">
        <v>4063</v>
      </c>
      <c r="C66" s="98" t="str">
        <f t="array" ref="C66">_xll.RssMarket(B66, "銘柄名称")</f>
        <v/>
      </c>
      <c r="D66" s="99" t="str">
        <f t="shared" si="1"/>
        <v>株探</v>
      </c>
      <c r="AA66" s="427"/>
    </row>
    <row r="67" spans="1:27" ht="20.100000000000001" customHeight="1">
      <c r="A67" s="101">
        <f t="shared" si="0"/>
        <v>62</v>
      </c>
      <c r="B67" s="61">
        <v>4536</v>
      </c>
      <c r="C67" s="98" t="str">
        <f t="array" ref="C67">_xll.RssMarket(B67, "銘柄名称")</f>
        <v/>
      </c>
      <c r="D67" s="99" t="str">
        <f t="shared" si="1"/>
        <v>株探</v>
      </c>
      <c r="AA67" s="427"/>
    </row>
    <row r="68" spans="1:27" ht="20.100000000000001" customHeight="1">
      <c r="A68" s="101">
        <f t="shared" si="0"/>
        <v>63</v>
      </c>
      <c r="B68" s="61">
        <v>6503</v>
      </c>
      <c r="C68" s="98" t="str">
        <f t="array" ref="C68">_xll.RssMarket(B68, "銘柄名称")</f>
        <v/>
      </c>
      <c r="D68" s="99" t="str">
        <f t="shared" si="1"/>
        <v>株探</v>
      </c>
      <c r="AA68" s="427"/>
    </row>
    <row r="69" spans="1:27" ht="20.100000000000001" customHeight="1">
      <c r="A69" s="101">
        <f t="shared" si="0"/>
        <v>64</v>
      </c>
      <c r="B69" s="61">
        <v>4980</v>
      </c>
      <c r="C69" s="98" t="str">
        <f t="array" ref="C69">_xll.RssMarket(B69, "銘柄名称")</f>
        <v/>
      </c>
      <c r="D69" s="99" t="str">
        <f t="shared" si="1"/>
        <v>株探</v>
      </c>
      <c r="AA69" s="427"/>
    </row>
    <row r="70" spans="1:27" ht="20.100000000000001" customHeight="1">
      <c r="A70" s="101">
        <f t="shared" ref="A70:A133" si="2">IF(B70="","",ROW()-5)</f>
        <v>65</v>
      </c>
      <c r="B70" s="61">
        <v>9424</v>
      </c>
      <c r="C70" s="98" t="str">
        <f t="array" ref="C70">_xll.RssMarket(B70, "銘柄名称")</f>
        <v/>
      </c>
      <c r="D70" s="99" t="str">
        <f t="shared" si="1"/>
        <v>株探</v>
      </c>
    </row>
    <row r="71" spans="1:27" ht="20.100000000000001" customHeight="1">
      <c r="A71" s="101">
        <f t="shared" si="2"/>
        <v>66</v>
      </c>
      <c r="B71" s="61">
        <v>3854</v>
      </c>
      <c r="C71" s="98" t="str">
        <f t="array" ref="C71">_xll.RssMarket(B71, "銘柄名称")</f>
        <v/>
      </c>
      <c r="D71" s="99" t="str">
        <f t="shared" ref="D71:D134" si="3">IF(B71="","",HYPERLINK("https://kabutan.jp/stock/?code="&amp;B71,"株探"))</f>
        <v>株探</v>
      </c>
      <c r="AA71" s="427"/>
    </row>
    <row r="72" spans="1:27" ht="20.100000000000001" customHeight="1">
      <c r="A72" s="101">
        <f t="shared" si="2"/>
        <v>67</v>
      </c>
      <c r="B72" s="61">
        <v>6027</v>
      </c>
      <c r="C72" s="98" t="str">
        <f t="array" ref="C72">_xll.RssMarket(B72, "銘柄名称")</f>
        <v/>
      </c>
      <c r="D72" s="99" t="str">
        <f t="shared" si="3"/>
        <v>株探</v>
      </c>
      <c r="AA72" s="427"/>
    </row>
    <row r="73" spans="1:27" ht="20.100000000000001" customHeight="1">
      <c r="A73" s="101">
        <f t="shared" si="2"/>
        <v>68</v>
      </c>
      <c r="B73" s="61">
        <v>7806</v>
      </c>
      <c r="C73" s="98" t="str">
        <f t="array" ref="C73">_xll.RssMarket(B73, "銘柄名称")</f>
        <v/>
      </c>
      <c r="D73" s="99" t="str">
        <f t="shared" si="3"/>
        <v>株探</v>
      </c>
      <c r="AA73" s="427"/>
    </row>
    <row r="74" spans="1:27" ht="20.100000000000001" customHeight="1">
      <c r="A74" s="101">
        <f t="shared" si="2"/>
        <v>69</v>
      </c>
      <c r="B74" s="61">
        <v>9202</v>
      </c>
      <c r="C74" s="98" t="str">
        <f t="array" ref="C74">_xll.RssMarket(B74, "銘柄名称")</f>
        <v/>
      </c>
      <c r="D74" s="99" t="str">
        <f t="shared" si="3"/>
        <v>株探</v>
      </c>
    </row>
    <row r="75" spans="1:27" ht="20.100000000000001" customHeight="1">
      <c r="A75" s="101">
        <f t="shared" si="2"/>
        <v>70</v>
      </c>
      <c r="B75" s="61">
        <v>7846</v>
      </c>
      <c r="C75" s="98" t="str">
        <f t="array" ref="C75">_xll.RssMarket(B75, "銘柄名称")</f>
        <v/>
      </c>
      <c r="D75" s="99" t="str">
        <f t="shared" si="3"/>
        <v>株探</v>
      </c>
      <c r="AA75" s="427"/>
    </row>
    <row r="76" spans="1:27" ht="20.100000000000001" customHeight="1">
      <c r="A76" s="101">
        <f t="shared" si="2"/>
        <v>71</v>
      </c>
      <c r="B76" s="61">
        <v>2802</v>
      </c>
      <c r="C76" s="98" t="str">
        <f t="array" ref="C76">_xll.RssMarket(B76, "銘柄名称")</f>
        <v/>
      </c>
      <c r="D76" s="99" t="str">
        <f t="shared" si="3"/>
        <v>株探</v>
      </c>
      <c r="AA76" s="427"/>
    </row>
    <row r="77" spans="1:27" ht="20.100000000000001" customHeight="1">
      <c r="A77" s="101">
        <f t="shared" si="2"/>
        <v>72</v>
      </c>
      <c r="B77" s="61">
        <v>7203</v>
      </c>
      <c r="C77" s="98" t="str">
        <f t="array" ref="C77">_xll.RssMarket(B77, "銘柄名称")</f>
        <v/>
      </c>
      <c r="D77" s="99" t="str">
        <f t="shared" si="3"/>
        <v>株探</v>
      </c>
    </row>
    <row r="78" spans="1:27" ht="20.100000000000001" customHeight="1">
      <c r="A78" s="101">
        <f t="shared" si="2"/>
        <v>73</v>
      </c>
      <c r="B78" s="61">
        <v>6954</v>
      </c>
      <c r="C78" s="98" t="str">
        <f t="array" ref="C78">_xll.RssMarket(B78, "銘柄名称")</f>
        <v/>
      </c>
      <c r="D78" s="99" t="str">
        <f t="shared" si="3"/>
        <v>株探</v>
      </c>
      <c r="AA78" s="427"/>
    </row>
    <row r="79" spans="1:27" ht="20.100000000000001" customHeight="1">
      <c r="A79" s="101">
        <f t="shared" si="2"/>
        <v>74</v>
      </c>
      <c r="B79" s="61">
        <v>6479</v>
      </c>
      <c r="C79" s="98" t="str">
        <f t="array" ref="C79">_xll.RssMarket(B79, "銘柄名称")</f>
        <v/>
      </c>
      <c r="D79" s="99" t="str">
        <f t="shared" si="3"/>
        <v>株探</v>
      </c>
      <c r="AA79" s="427"/>
    </row>
    <row r="80" spans="1:27" ht="20.100000000000001" customHeight="1">
      <c r="A80" s="101">
        <f t="shared" si="2"/>
        <v>75</v>
      </c>
      <c r="B80" s="61">
        <v>1833</v>
      </c>
      <c r="C80" s="98" t="str">
        <f t="array" ref="C80">_xll.RssMarket(B80, "銘柄名称")</f>
        <v/>
      </c>
      <c r="D80" s="99" t="str">
        <f t="shared" si="3"/>
        <v>株探</v>
      </c>
    </row>
    <row r="81" spans="1:27" ht="20.100000000000001" customHeight="1">
      <c r="A81" s="101">
        <f t="shared" si="2"/>
        <v>76</v>
      </c>
      <c r="B81" s="61">
        <v>6841</v>
      </c>
      <c r="C81" s="98" t="str">
        <f t="array" ref="C81">_xll.RssMarket(B81, "銘柄名称")</f>
        <v/>
      </c>
      <c r="D81" s="99" t="str">
        <f t="shared" si="3"/>
        <v>株探</v>
      </c>
    </row>
    <row r="82" spans="1:27" ht="20.100000000000001" customHeight="1">
      <c r="A82" s="101">
        <f t="shared" si="2"/>
        <v>77</v>
      </c>
      <c r="B82" s="61">
        <v>7167</v>
      </c>
      <c r="C82" s="98" t="str">
        <f t="array" ref="C82">_xll.RssMarket(B82, "銘柄名称")</f>
        <v/>
      </c>
      <c r="D82" s="99" t="str">
        <f t="shared" si="3"/>
        <v>株探</v>
      </c>
    </row>
    <row r="83" spans="1:27" ht="20.100000000000001" customHeight="1">
      <c r="A83" s="101">
        <f t="shared" si="2"/>
        <v>78</v>
      </c>
      <c r="B83" s="61">
        <v>1925</v>
      </c>
      <c r="C83" s="98" t="str">
        <f t="array" ref="C83">_xll.RssMarket(B83, "銘柄名称")</f>
        <v/>
      </c>
      <c r="D83" s="99" t="str">
        <f t="shared" si="3"/>
        <v>株探</v>
      </c>
    </row>
    <row r="84" spans="1:27" ht="20.100000000000001" customHeight="1">
      <c r="A84" s="101">
        <f t="shared" si="2"/>
        <v>79</v>
      </c>
      <c r="B84" s="61">
        <v>5411</v>
      </c>
      <c r="C84" s="98" t="str">
        <f t="array" ref="C84">_xll.RssMarket(B84, "銘柄名称")</f>
        <v/>
      </c>
      <c r="D84" s="99" t="str">
        <f t="shared" si="3"/>
        <v>株探</v>
      </c>
    </row>
    <row r="85" spans="1:27" ht="20.100000000000001" customHeight="1">
      <c r="A85" s="101">
        <f t="shared" si="2"/>
        <v>80</v>
      </c>
      <c r="B85" s="61">
        <v>7182</v>
      </c>
      <c r="C85" s="98" t="str">
        <f t="array" ref="C85">_xll.RssMarket(B85, "銘柄名称")</f>
        <v/>
      </c>
      <c r="D85" s="99" t="str">
        <f t="shared" si="3"/>
        <v>株探</v>
      </c>
      <c r="AA85" s="427"/>
    </row>
    <row r="86" spans="1:27" ht="20.100000000000001" customHeight="1">
      <c r="A86" s="101">
        <f t="shared" si="2"/>
        <v>81</v>
      </c>
      <c r="B86" s="61">
        <v>1963</v>
      </c>
      <c r="C86" s="98" t="str">
        <f t="array" ref="C86">_xll.RssMarket(B86, "銘柄名称")</f>
        <v/>
      </c>
      <c r="D86" s="99" t="str">
        <f t="shared" si="3"/>
        <v>株探</v>
      </c>
      <c r="AA86" s="427"/>
    </row>
    <row r="87" spans="1:27" ht="20.100000000000001" customHeight="1">
      <c r="A87" s="101">
        <f t="shared" si="2"/>
        <v>82</v>
      </c>
      <c r="B87" s="61">
        <v>2914</v>
      </c>
      <c r="C87" s="98" t="str">
        <f t="array" ref="C87">_xll.RssMarket(B87, "銘柄名称")</f>
        <v/>
      </c>
      <c r="D87" s="99" t="str">
        <f t="shared" si="3"/>
        <v>株探</v>
      </c>
    </row>
    <row r="88" spans="1:27" ht="20.100000000000001" customHeight="1">
      <c r="A88" s="101">
        <f t="shared" si="2"/>
        <v>83</v>
      </c>
      <c r="B88" s="61">
        <v>3003</v>
      </c>
      <c r="C88" s="98" t="str">
        <f t="array" ref="C88">_xll.RssMarket(B88, "銘柄名称")</f>
        <v/>
      </c>
      <c r="D88" s="99" t="str">
        <f t="shared" si="3"/>
        <v>株探</v>
      </c>
    </row>
    <row r="89" spans="1:27" ht="20.100000000000001" customHeight="1">
      <c r="A89" s="101">
        <f t="shared" si="2"/>
        <v>84</v>
      </c>
      <c r="B89" s="61">
        <v>5892</v>
      </c>
      <c r="C89" s="98" t="str">
        <f t="array" ref="C89">_xll.RssMarket(B89, "銘柄名称")</f>
        <v/>
      </c>
      <c r="D89" s="99" t="str">
        <f t="shared" si="3"/>
        <v>株探</v>
      </c>
    </row>
    <row r="90" spans="1:27" ht="20.100000000000001" customHeight="1">
      <c r="A90" s="101">
        <f t="shared" si="2"/>
        <v>85</v>
      </c>
      <c r="B90" s="61">
        <v>6323</v>
      </c>
      <c r="C90" s="98" t="str">
        <f t="array" ref="C90">_xll.RssMarket(B90, "銘柄名称")</f>
        <v/>
      </c>
      <c r="D90" s="99" t="str">
        <f t="shared" si="3"/>
        <v>株探</v>
      </c>
      <c r="AA90" s="427" t="s">
        <v>520</v>
      </c>
    </row>
    <row r="91" spans="1:27" ht="20.100000000000001" customHeight="1">
      <c r="A91" s="101">
        <f t="shared" si="2"/>
        <v>86</v>
      </c>
      <c r="B91" s="61">
        <v>6501</v>
      </c>
      <c r="C91" s="98" t="str">
        <f t="array" ref="C91">_xll.RssMarket(B91, "銘柄名称")</f>
        <v/>
      </c>
      <c r="D91" s="99" t="str">
        <f t="shared" si="3"/>
        <v>株探</v>
      </c>
      <c r="AA91" s="427"/>
    </row>
    <row r="92" spans="1:27" ht="20.100000000000001" customHeight="1">
      <c r="A92" s="101">
        <f t="shared" si="2"/>
        <v>87</v>
      </c>
      <c r="B92" s="61">
        <v>6134</v>
      </c>
      <c r="C92" s="98" t="str">
        <f t="array" ref="C92">_xll.RssMarket(B92, "銘柄名称")</f>
        <v/>
      </c>
      <c r="D92" s="99" t="str">
        <f t="shared" si="3"/>
        <v>株探</v>
      </c>
      <c r="AA92" s="427"/>
    </row>
    <row r="93" spans="1:27" ht="20.100000000000001" customHeight="1">
      <c r="A93" s="101">
        <f t="shared" si="2"/>
        <v>88</v>
      </c>
      <c r="B93" s="61">
        <v>7746</v>
      </c>
      <c r="C93" s="98" t="str">
        <f t="array" ref="C93">_xll.RssMarket(B93, "銘柄名称")</f>
        <v/>
      </c>
      <c r="D93" s="99" t="str">
        <f t="shared" si="3"/>
        <v>株探</v>
      </c>
      <c r="AA93" s="427"/>
    </row>
    <row r="94" spans="1:27" ht="20.100000000000001" customHeight="1">
      <c r="A94" s="101">
        <f t="shared" si="2"/>
        <v>89</v>
      </c>
      <c r="B94" s="61">
        <v>3407</v>
      </c>
      <c r="C94" s="98" t="str">
        <f t="array" ref="C94">_xll.RssMarket(B94, "銘柄名称")</f>
        <v/>
      </c>
      <c r="D94" s="99" t="str">
        <f t="shared" si="3"/>
        <v>株探</v>
      </c>
      <c r="AA94" s="427"/>
    </row>
    <row r="95" spans="1:27" ht="20.100000000000001" customHeight="1">
      <c r="A95" s="101">
        <f t="shared" si="2"/>
        <v>90</v>
      </c>
      <c r="B95" s="61">
        <v>4008</v>
      </c>
      <c r="C95" s="98" t="str">
        <f t="array" ref="C95">_xll.RssMarket(B95, "銘柄名称")</f>
        <v/>
      </c>
      <c r="D95" s="99" t="str">
        <f t="shared" si="3"/>
        <v>株探</v>
      </c>
    </row>
    <row r="96" spans="1:27" ht="20.100000000000001" customHeight="1">
      <c r="A96" s="101">
        <f t="shared" si="2"/>
        <v>91</v>
      </c>
      <c r="B96" s="61">
        <v>4062</v>
      </c>
      <c r="C96" s="98" t="str">
        <f t="array" ref="C96">_xll.RssMarket(B96, "銘柄名称")</f>
        <v/>
      </c>
      <c r="D96" s="99" t="str">
        <f t="shared" si="3"/>
        <v>株探</v>
      </c>
      <c r="AA96" s="427"/>
    </row>
    <row r="97" spans="1:27" ht="20.100000000000001" customHeight="1">
      <c r="A97" s="101">
        <f t="shared" si="2"/>
        <v>92</v>
      </c>
      <c r="B97" s="61">
        <v>4182</v>
      </c>
      <c r="C97" s="98" t="str">
        <f t="array" ref="C97">_xll.RssMarket(B97, "銘柄名称")</f>
        <v/>
      </c>
      <c r="D97" s="99" t="str">
        <f t="shared" si="3"/>
        <v>株探</v>
      </c>
      <c r="AA97" s="427"/>
    </row>
    <row r="98" spans="1:27" ht="20.100000000000001" customHeight="1">
      <c r="A98" s="101">
        <f t="shared" si="2"/>
        <v>93</v>
      </c>
      <c r="B98" s="61">
        <v>4188</v>
      </c>
      <c r="C98" s="98" t="str">
        <f t="array" ref="C98">_xll.RssMarket(B98, "銘柄名称")</f>
        <v/>
      </c>
      <c r="D98" s="99" t="str">
        <f t="shared" si="3"/>
        <v>株探</v>
      </c>
    </row>
    <row r="99" spans="1:27" ht="20.100000000000001" customHeight="1">
      <c r="A99" s="101">
        <f t="shared" si="2"/>
        <v>94</v>
      </c>
      <c r="B99" s="61">
        <v>4523</v>
      </c>
      <c r="C99" s="98" t="str">
        <f t="array" ref="C99">_xll.RssMarket(B99, "銘柄名称")</f>
        <v/>
      </c>
      <c r="D99" s="99" t="str">
        <f t="shared" si="3"/>
        <v>株探</v>
      </c>
    </row>
    <row r="100" spans="1:27" ht="20.100000000000001" customHeight="1">
      <c r="A100" s="101">
        <f t="shared" si="2"/>
        <v>95</v>
      </c>
      <c r="B100" s="61">
        <v>4528</v>
      </c>
      <c r="C100" s="98" t="str">
        <f t="array" ref="C100">_xll.RssMarket(B100, "銘柄名称")</f>
        <v/>
      </c>
      <c r="D100" s="99" t="str">
        <f t="shared" si="3"/>
        <v>株探</v>
      </c>
    </row>
    <row r="101" spans="1:27" ht="20.100000000000001" customHeight="1">
      <c r="A101" s="101">
        <f t="shared" si="2"/>
        <v>96</v>
      </c>
      <c r="B101" s="61">
        <v>4661</v>
      </c>
      <c r="C101" s="98" t="str">
        <f t="array" ref="C101">_xll.RssMarket(B101, "銘柄名称")</f>
        <v/>
      </c>
      <c r="D101" s="99" t="str">
        <f t="shared" si="3"/>
        <v>株探</v>
      </c>
    </row>
    <row r="102" spans="1:27" ht="20.100000000000001" customHeight="1">
      <c r="A102" s="101">
        <f t="shared" si="2"/>
        <v>97</v>
      </c>
      <c r="B102" s="61">
        <v>5802</v>
      </c>
      <c r="C102" s="98" t="str">
        <f t="array" ref="C102">_xll.RssMarket(B102, "銘柄名称")</f>
        <v/>
      </c>
      <c r="D102" s="99" t="str">
        <f t="shared" si="3"/>
        <v>株探</v>
      </c>
      <c r="AA102" s="427"/>
    </row>
    <row r="103" spans="1:27" ht="20.100000000000001" customHeight="1">
      <c r="A103" s="101">
        <f t="shared" si="2"/>
        <v>98</v>
      </c>
      <c r="B103" s="61">
        <v>5803</v>
      </c>
      <c r="C103" s="98" t="str">
        <f t="array" ref="C103">_xll.RssMarket(B103, "銘柄名称")</f>
        <v/>
      </c>
      <c r="D103" s="99" t="str">
        <f t="shared" si="3"/>
        <v>株探</v>
      </c>
      <c r="AA103" s="427"/>
    </row>
    <row r="104" spans="1:27" ht="20.100000000000001" customHeight="1">
      <c r="A104" s="101">
        <f t="shared" si="2"/>
        <v>99</v>
      </c>
      <c r="B104" s="61">
        <v>6178</v>
      </c>
      <c r="C104" s="98" t="str">
        <f t="array" ref="C104">_xll.RssMarket(B104, "銘柄名称")</f>
        <v/>
      </c>
      <c r="D104" s="99" t="str">
        <f t="shared" si="3"/>
        <v>株探</v>
      </c>
      <c r="AA104" s="427"/>
    </row>
    <row r="105" spans="1:27" ht="20.100000000000001" customHeight="1">
      <c r="A105" s="101">
        <f t="shared" si="2"/>
        <v>100</v>
      </c>
      <c r="B105" s="61">
        <v>6925</v>
      </c>
      <c r="C105" s="98" t="str">
        <f t="array" ref="C105">_xll.RssMarket(B105, "銘柄名称")</f>
        <v/>
      </c>
      <c r="D105" s="99" t="str">
        <f t="shared" si="3"/>
        <v>株探</v>
      </c>
      <c r="AA105" s="427"/>
    </row>
    <row r="106" spans="1:27" ht="20.100000000000001" customHeight="1">
      <c r="A106" s="101">
        <f t="shared" si="2"/>
        <v>101</v>
      </c>
      <c r="B106" s="61">
        <v>7021</v>
      </c>
      <c r="C106" s="98" t="str">
        <f t="array" ref="C106">_xll.RssMarket(B106, "銘柄名称")</f>
        <v/>
      </c>
      <c r="D106" s="99" t="str">
        <f t="shared" si="3"/>
        <v>株探</v>
      </c>
    </row>
    <row r="107" spans="1:27" ht="20.100000000000001" customHeight="1">
      <c r="A107" s="101">
        <f t="shared" si="2"/>
        <v>102</v>
      </c>
      <c r="B107" s="61">
        <v>7729</v>
      </c>
      <c r="C107" s="98" t="str">
        <f t="array" ref="C107">_xll.RssMarket(B107, "銘柄名称")</f>
        <v/>
      </c>
      <c r="D107" s="99" t="str">
        <f t="shared" si="3"/>
        <v>株探</v>
      </c>
      <c r="AA107" s="427"/>
    </row>
    <row r="108" spans="1:27" ht="20.100000000000001" customHeight="1">
      <c r="A108" s="101">
        <f t="shared" si="2"/>
        <v>103</v>
      </c>
      <c r="B108" s="61">
        <v>8424</v>
      </c>
      <c r="C108" s="98" t="str">
        <f t="array" ref="C108">_xll.RssMarket(B108, "銘柄名称")</f>
        <v/>
      </c>
      <c r="D108" s="99" t="str">
        <f t="shared" si="3"/>
        <v>株探</v>
      </c>
    </row>
    <row r="109" spans="1:27" ht="20.100000000000001" customHeight="1">
      <c r="A109" s="101">
        <f t="shared" si="2"/>
        <v>104</v>
      </c>
      <c r="B109" s="61">
        <v>9020</v>
      </c>
      <c r="C109" s="98" t="str">
        <f t="array" ref="C109">_xll.RssMarket(B109, "銘柄名称")</f>
        <v/>
      </c>
      <c r="D109" s="99" t="str">
        <f t="shared" si="3"/>
        <v>株探</v>
      </c>
    </row>
    <row r="110" spans="1:27" ht="20.100000000000001" customHeight="1">
      <c r="A110" s="101">
        <f t="shared" si="2"/>
        <v>105</v>
      </c>
      <c r="B110" s="61">
        <v>9069</v>
      </c>
      <c r="C110" s="98" t="str">
        <f t="array" ref="C110">_xll.RssMarket(B110, "銘柄名称")</f>
        <v/>
      </c>
      <c r="D110" s="99" t="str">
        <f t="shared" si="3"/>
        <v>株探</v>
      </c>
    </row>
    <row r="111" spans="1:27" ht="20.100000000000001" customHeight="1">
      <c r="A111" s="101">
        <f t="shared" si="2"/>
        <v>106</v>
      </c>
      <c r="B111" s="61">
        <v>9227</v>
      </c>
      <c r="C111" s="98" t="str">
        <f t="array" ref="C111">_xll.RssMarket(B111, "銘柄名称")</f>
        <v/>
      </c>
      <c r="D111" s="99" t="str">
        <f t="shared" si="3"/>
        <v>株探</v>
      </c>
    </row>
    <row r="112" spans="1:27" ht="20.100000000000001" customHeight="1">
      <c r="A112" s="101">
        <f t="shared" si="2"/>
        <v>107</v>
      </c>
      <c r="B112" s="61">
        <v>9348</v>
      </c>
      <c r="C112" s="98" t="str">
        <f t="array" ref="C112">_xll.RssMarket(B112, "銘柄名称")</f>
        <v/>
      </c>
      <c r="D112" s="99" t="str">
        <f t="shared" si="3"/>
        <v>株探</v>
      </c>
      <c r="AA112" s="427"/>
    </row>
    <row r="113" spans="1:27" ht="20.100000000000001" customHeight="1">
      <c r="A113" s="101">
        <f t="shared" si="2"/>
        <v>108</v>
      </c>
      <c r="B113" s="61">
        <v>9449</v>
      </c>
      <c r="C113" s="98" t="str">
        <f t="array" ref="C113">_xll.RssMarket(B113, "銘柄名称")</f>
        <v/>
      </c>
      <c r="D113" s="99" t="str">
        <f t="shared" si="3"/>
        <v>株探</v>
      </c>
    </row>
    <row r="114" spans="1:27" ht="20.100000000000001" customHeight="1">
      <c r="A114" s="101">
        <f t="shared" si="2"/>
        <v>109</v>
      </c>
      <c r="B114" s="61">
        <v>9501</v>
      </c>
      <c r="C114" s="98" t="str">
        <f t="array" ref="C114">_xll.RssMarket(B114, "銘柄名称")</f>
        <v/>
      </c>
      <c r="D114" s="99" t="str">
        <f t="shared" si="3"/>
        <v>株探</v>
      </c>
    </row>
    <row r="115" spans="1:27" ht="20.100000000000001" customHeight="1">
      <c r="A115" s="101">
        <f t="shared" si="2"/>
        <v>110</v>
      </c>
      <c r="B115" s="61">
        <v>9531</v>
      </c>
      <c r="C115" s="98" t="str">
        <f t="array" ref="C115">_xll.RssMarket(B115, "銘柄名称")</f>
        <v/>
      </c>
      <c r="D115" s="99" t="str">
        <f t="shared" si="3"/>
        <v>株探</v>
      </c>
    </row>
    <row r="116" spans="1:27" ht="20.100000000000001" customHeight="1">
      <c r="A116" s="101">
        <f t="shared" si="2"/>
        <v>111</v>
      </c>
      <c r="B116" s="61">
        <v>9882</v>
      </c>
      <c r="C116" s="98" t="str">
        <f t="array" ref="C116">_xll.RssMarket(B116, "銘柄名称")</f>
        <v/>
      </c>
      <c r="D116" s="99" t="str">
        <f t="shared" si="3"/>
        <v>株探</v>
      </c>
      <c r="AA116" s="427"/>
    </row>
    <row r="117" spans="1:27" ht="20.100000000000001" customHeight="1">
      <c r="A117" s="101">
        <f t="shared" si="2"/>
        <v>112</v>
      </c>
      <c r="B117" s="61">
        <v>5838</v>
      </c>
      <c r="C117" s="98" t="str">
        <f t="array" ref="C117">_xll.RssMarket(B117, "銘柄名称")</f>
        <v/>
      </c>
      <c r="D117" s="99" t="str">
        <f t="shared" si="3"/>
        <v>株探</v>
      </c>
    </row>
    <row r="118" spans="1:27" ht="20.100000000000001" customHeight="1">
      <c r="A118" s="101">
        <f t="shared" si="2"/>
        <v>113</v>
      </c>
      <c r="B118" s="61">
        <v>5844</v>
      </c>
      <c r="C118" s="98" t="str">
        <f t="array" ref="C118">_xll.RssMarket(B118, "銘柄名称")</f>
        <v/>
      </c>
      <c r="D118" s="99" t="str">
        <f t="shared" si="3"/>
        <v>株探</v>
      </c>
      <c r="AA118" s="427"/>
    </row>
    <row r="119" spans="1:27" ht="20.100000000000001" customHeight="1">
      <c r="A119" s="101">
        <f t="shared" si="2"/>
        <v>114</v>
      </c>
      <c r="B119" s="61">
        <v>9404</v>
      </c>
      <c r="C119" s="98" t="str">
        <f t="array" ref="C119">_xll.RssMarket(B119, "銘柄名称")</f>
        <v/>
      </c>
      <c r="D119" s="99" t="str">
        <f t="shared" si="3"/>
        <v>株探</v>
      </c>
    </row>
    <row r="120" spans="1:27" ht="20.100000000000001" customHeight="1">
      <c r="A120" s="101">
        <f t="shared" si="2"/>
        <v>115</v>
      </c>
      <c r="B120" s="61">
        <v>6744</v>
      </c>
      <c r="C120" s="98" t="str">
        <f t="array" ref="C120">_xll.RssMarket(B120, "銘柄名称")</f>
        <v/>
      </c>
      <c r="D120" s="99" t="str">
        <f t="shared" si="3"/>
        <v>株探</v>
      </c>
      <c r="AA120" s="427"/>
    </row>
    <row r="121" spans="1:27" ht="20.100000000000001" customHeight="1">
      <c r="A121" s="101">
        <f t="shared" si="2"/>
        <v>116</v>
      </c>
      <c r="B121" s="61">
        <v>7685</v>
      </c>
      <c r="C121" s="98" t="str">
        <f t="array" ref="C121">_xll.RssMarket(B121, "銘柄名称")</f>
        <v/>
      </c>
      <c r="D121" s="99" t="str">
        <f t="shared" si="3"/>
        <v>株探</v>
      </c>
      <c r="AA121" s="427"/>
    </row>
    <row r="122" spans="1:27" ht="20.100000000000001" customHeight="1">
      <c r="A122" s="101">
        <f t="shared" si="2"/>
        <v>117</v>
      </c>
      <c r="B122" s="61">
        <v>8334</v>
      </c>
      <c r="C122" s="98" t="str">
        <f t="array" ref="C122">_xll.RssMarket(B122, "銘柄名称")</f>
        <v/>
      </c>
      <c r="D122" s="99" t="str">
        <f t="shared" si="3"/>
        <v>株探</v>
      </c>
      <c r="AA122" s="427"/>
    </row>
    <row r="123" spans="1:27" ht="20.100000000000001" customHeight="1">
      <c r="A123" s="101">
        <f t="shared" si="2"/>
        <v>118</v>
      </c>
      <c r="B123" s="61">
        <v>8359</v>
      </c>
      <c r="C123" s="98" t="str">
        <f t="array" ref="C123">_xll.RssMarket(B123, "銘柄名称")</f>
        <v/>
      </c>
      <c r="D123" s="99" t="str">
        <f t="shared" si="3"/>
        <v>株探</v>
      </c>
      <c r="AA123" s="427"/>
    </row>
    <row r="124" spans="1:27" ht="20.100000000000001" customHeight="1">
      <c r="A124" s="101">
        <f t="shared" si="2"/>
        <v>119</v>
      </c>
      <c r="B124" s="61">
        <v>8801</v>
      </c>
      <c r="C124" s="98" t="str">
        <f t="array" ref="C124">_xll.RssMarket(B124, "銘柄名称")</f>
        <v/>
      </c>
      <c r="D124" s="99" t="str">
        <f t="shared" si="3"/>
        <v>株探</v>
      </c>
    </row>
    <row r="125" spans="1:27" ht="20.100000000000001" customHeight="1">
      <c r="A125" s="101">
        <f t="shared" si="2"/>
        <v>120</v>
      </c>
      <c r="B125" s="61">
        <v>8934</v>
      </c>
      <c r="C125" s="98" t="str">
        <f t="array" ref="C125">_xll.RssMarket(B125, "銘柄名称")</f>
        <v/>
      </c>
      <c r="D125" s="99" t="str">
        <f t="shared" si="3"/>
        <v>株探</v>
      </c>
    </row>
    <row r="126" spans="1:27" ht="20.100000000000001" customHeight="1">
      <c r="A126" s="101">
        <f t="shared" si="2"/>
        <v>121</v>
      </c>
      <c r="B126" s="61">
        <v>9416</v>
      </c>
      <c r="C126" s="98" t="str">
        <f t="array" ref="C126">_xll.RssMarket(B126, "銘柄名称")</f>
        <v/>
      </c>
      <c r="D126" s="99" t="str">
        <f t="shared" si="3"/>
        <v>株探</v>
      </c>
    </row>
    <row r="127" spans="1:27" ht="20.100000000000001" customHeight="1">
      <c r="A127" s="101">
        <f t="shared" si="2"/>
        <v>122</v>
      </c>
      <c r="B127" s="61">
        <v>9532</v>
      </c>
      <c r="C127" s="98" t="str">
        <f t="array" ref="C127">_xll.RssMarket(B127, "銘柄名称")</f>
        <v/>
      </c>
      <c r="D127" s="99" t="str">
        <f t="shared" si="3"/>
        <v>株探</v>
      </c>
    </row>
    <row r="128" spans="1:27" ht="20.100000000000001" customHeight="1">
      <c r="A128" s="101">
        <f t="shared" si="2"/>
        <v>123</v>
      </c>
      <c r="B128" s="61">
        <v>6330</v>
      </c>
      <c r="C128" s="98" t="str">
        <f t="array" ref="C128">_xll.RssMarket(B128, "銘柄名称")</f>
        <v/>
      </c>
      <c r="D128" s="99" t="str">
        <f t="shared" si="3"/>
        <v>株探</v>
      </c>
    </row>
    <row r="129" spans="1:27" ht="20.100000000000001" customHeight="1">
      <c r="A129" s="101">
        <f t="shared" si="2"/>
        <v>124</v>
      </c>
      <c r="B129" s="61">
        <v>4082</v>
      </c>
      <c r="C129" s="98" t="str">
        <f t="array" ref="C129">_xll.RssMarket(B129, "銘柄名称")</f>
        <v/>
      </c>
      <c r="D129" s="99" t="str">
        <f t="shared" si="3"/>
        <v>株探</v>
      </c>
    </row>
    <row r="130" spans="1:27" ht="20.100000000000001" customHeight="1">
      <c r="A130" s="101">
        <f t="shared" si="2"/>
        <v>125</v>
      </c>
      <c r="B130" s="61">
        <v>4519</v>
      </c>
      <c r="C130" s="98" t="str">
        <f t="array" ref="C130">_xll.RssMarket(B130, "銘柄名称")</f>
        <v/>
      </c>
      <c r="D130" s="99" t="str">
        <f t="shared" si="3"/>
        <v>株探</v>
      </c>
    </row>
    <row r="131" spans="1:27" ht="20.100000000000001" customHeight="1">
      <c r="A131" s="101">
        <f t="shared" si="2"/>
        <v>126</v>
      </c>
      <c r="B131" s="61">
        <v>2160</v>
      </c>
      <c r="C131" s="98" t="str">
        <f t="array" ref="C131">_xll.RssMarket(B131, "銘柄名称")</f>
        <v/>
      </c>
      <c r="D131" s="99" t="str">
        <f t="shared" si="3"/>
        <v>株探</v>
      </c>
    </row>
    <row r="132" spans="1:27" ht="20.100000000000001" customHeight="1">
      <c r="A132" s="101">
        <f t="shared" si="2"/>
        <v>127</v>
      </c>
      <c r="B132" s="61">
        <v>6227</v>
      </c>
      <c r="C132" s="98" t="str">
        <f t="array" ref="C132">_xll.RssMarket(B132, "銘柄名称")</f>
        <v/>
      </c>
      <c r="D132" s="99" t="str">
        <f t="shared" si="3"/>
        <v>株探</v>
      </c>
    </row>
    <row r="133" spans="1:27" ht="20.100000000000001" customHeight="1">
      <c r="A133" s="101">
        <f t="shared" si="2"/>
        <v>128</v>
      </c>
      <c r="B133" s="61">
        <v>6327</v>
      </c>
      <c r="C133" s="98" t="str">
        <f t="array" ref="C133">_xll.RssMarket(B133, "銘柄名称")</f>
        <v/>
      </c>
      <c r="D133" s="99" t="str">
        <f t="shared" si="3"/>
        <v>株探</v>
      </c>
      <c r="AA133" s="427"/>
    </row>
    <row r="134" spans="1:27" ht="20.100000000000001" customHeight="1">
      <c r="A134" s="101">
        <f t="shared" ref="A134:A197" si="4">IF(B134="","",ROW()-5)</f>
        <v>129</v>
      </c>
      <c r="B134" s="61">
        <v>3110</v>
      </c>
      <c r="C134" s="98" t="str">
        <f t="array" ref="C134">_xll.RssMarket(B134, "銘柄名称")</f>
        <v/>
      </c>
      <c r="D134" s="99" t="str">
        <f t="shared" si="3"/>
        <v>株探</v>
      </c>
      <c r="AA134" s="427"/>
    </row>
    <row r="135" spans="1:27" ht="20.100000000000001" customHeight="1">
      <c r="A135" s="101">
        <f t="shared" si="4"/>
        <v>130</v>
      </c>
      <c r="B135" s="61">
        <v>6232</v>
      </c>
      <c r="C135" s="98" t="str">
        <f t="array" ref="C135">_xll.RssMarket(B135, "銘柄名称")</f>
        <v/>
      </c>
      <c r="D135" s="99" t="str">
        <f t="shared" ref="D135:D198" si="5">IF(B135="","",HYPERLINK("https://kabutan.jp/stock/?code="&amp;B135,"株探"))</f>
        <v>株探</v>
      </c>
      <c r="AA135" s="427"/>
    </row>
    <row r="136" spans="1:27" ht="20.100000000000001" customHeight="1">
      <c r="A136" s="101">
        <f t="shared" si="4"/>
        <v>131</v>
      </c>
      <c r="B136" s="61">
        <v>7794</v>
      </c>
      <c r="C136" s="98" t="str">
        <f t="array" ref="C136">_xll.RssMarket(B136, "銘柄名称")</f>
        <v/>
      </c>
      <c r="D136" s="99" t="str">
        <f t="shared" si="5"/>
        <v>株探</v>
      </c>
    </row>
    <row r="137" spans="1:27" ht="20.100000000000001" customHeight="1">
      <c r="A137" s="101">
        <f t="shared" si="4"/>
        <v>132</v>
      </c>
      <c r="B137" s="61">
        <v>6085</v>
      </c>
      <c r="C137" s="98" t="str">
        <f t="array" ref="C137">_xll.RssMarket(B137, "銘柄名称")</f>
        <v/>
      </c>
      <c r="D137" s="99" t="str">
        <f t="shared" si="5"/>
        <v>株探</v>
      </c>
      <c r="AA137" s="427"/>
    </row>
    <row r="138" spans="1:27" ht="20.100000000000001" customHeight="1">
      <c r="A138" s="101">
        <f t="shared" si="4"/>
        <v>133</v>
      </c>
      <c r="B138" s="61">
        <v>3103</v>
      </c>
      <c r="C138" s="98" t="str">
        <f t="array" ref="C138">_xll.RssMarket(B138, "銘柄名称")</f>
        <v/>
      </c>
      <c r="D138" s="99" t="str">
        <f t="shared" si="5"/>
        <v>株探</v>
      </c>
      <c r="AA138" s="427"/>
    </row>
    <row r="139" spans="1:27" ht="20.100000000000001" customHeight="1">
      <c r="A139" s="101">
        <f t="shared" si="4"/>
        <v>134</v>
      </c>
      <c r="B139" s="61">
        <v>4422</v>
      </c>
      <c r="C139" s="98" t="str">
        <f t="array" ref="C139">_xll.RssMarket(B139, "銘柄名称")</f>
        <v/>
      </c>
      <c r="D139" s="99" t="str">
        <f t="shared" si="5"/>
        <v>株探</v>
      </c>
      <c r="AA139" s="427"/>
    </row>
    <row r="140" spans="1:27" ht="20.100000000000001" customHeight="1">
      <c r="A140" s="101">
        <f t="shared" si="4"/>
        <v>135</v>
      </c>
      <c r="B140" s="61">
        <v>6740</v>
      </c>
      <c r="C140" s="98" t="str">
        <f t="array" ref="C140">_xll.RssMarket(B140, "銘柄名称")</f>
        <v/>
      </c>
      <c r="D140" s="99" t="str">
        <f t="shared" si="5"/>
        <v>株探</v>
      </c>
      <c r="AA140" s="427"/>
    </row>
    <row r="141" spans="1:27" ht="20.100000000000001" customHeight="1">
      <c r="A141" s="101">
        <f t="shared" si="4"/>
        <v>136</v>
      </c>
      <c r="B141" s="61">
        <v>6613</v>
      </c>
      <c r="C141" s="98" t="str">
        <f t="array" ref="C141">_xll.RssMarket(B141, "銘柄名称")</f>
        <v/>
      </c>
      <c r="D141" s="99" t="str">
        <f t="shared" si="5"/>
        <v>株探</v>
      </c>
      <c r="AA141" s="427"/>
    </row>
    <row r="142" spans="1:27" ht="20.100000000000001" customHeight="1">
      <c r="A142" s="101">
        <f t="shared" si="4"/>
        <v>137</v>
      </c>
      <c r="B142" s="61" t="s">
        <v>279</v>
      </c>
      <c r="C142" s="98" t="str">
        <f>_xll.RssMarket($B142,"銘柄名称")</f>
        <v/>
      </c>
      <c r="D142" s="99" t="str">
        <f t="shared" si="5"/>
        <v>株探</v>
      </c>
    </row>
    <row r="143" spans="1:27" ht="20.100000000000001" customHeight="1">
      <c r="A143" s="101">
        <f t="shared" si="4"/>
        <v>138</v>
      </c>
      <c r="B143" s="61">
        <v>6522</v>
      </c>
      <c r="C143" s="98" t="str">
        <f t="array" ref="C143">_xll.RssMarket(B143, "銘柄名称")</f>
        <v/>
      </c>
      <c r="D143" s="99" t="str">
        <f t="shared" si="5"/>
        <v>株探</v>
      </c>
      <c r="AA143" s="427"/>
    </row>
    <row r="144" spans="1:27" ht="20.100000000000001" customHeight="1">
      <c r="A144" s="101">
        <f t="shared" si="4"/>
        <v>139</v>
      </c>
      <c r="B144" s="61">
        <v>6777</v>
      </c>
      <c r="C144" s="98" t="str">
        <f t="array" ref="C144">_xll.RssMarket(B144, "銘柄名称")</f>
        <v/>
      </c>
      <c r="D144" s="99" t="str">
        <f t="shared" si="5"/>
        <v>株探</v>
      </c>
      <c r="AA144" s="427"/>
    </row>
    <row r="145" spans="1:27" ht="20.100000000000001" customHeight="1">
      <c r="A145" s="101">
        <f t="shared" si="4"/>
        <v>140</v>
      </c>
      <c r="B145" s="61">
        <v>6787</v>
      </c>
      <c r="C145" s="98" t="str">
        <f t="array" ref="C145">_xll.RssMarket(B145, "銘柄名称")</f>
        <v/>
      </c>
      <c r="D145" s="99" t="str">
        <f t="shared" si="5"/>
        <v>株探</v>
      </c>
      <c r="AA145" s="427"/>
    </row>
    <row r="146" spans="1:27" ht="20.100000000000001" customHeight="1">
      <c r="A146" s="101">
        <f t="shared" si="4"/>
        <v>141</v>
      </c>
      <c r="B146" s="61">
        <v>4888</v>
      </c>
      <c r="C146" s="98" t="str">
        <f t="array" ref="C146">_xll.RssMarket(B146, "銘柄名称")</f>
        <v/>
      </c>
      <c r="D146" s="99" t="str">
        <f t="shared" si="5"/>
        <v>株探</v>
      </c>
    </row>
    <row r="147" spans="1:27" ht="20.100000000000001" customHeight="1">
      <c r="A147" s="101">
        <f t="shared" si="4"/>
        <v>142</v>
      </c>
      <c r="B147" s="61">
        <v>6387</v>
      </c>
      <c r="C147" s="98" t="str">
        <f t="array" ref="C147">_xll.RssMarket(B147, "銘柄名称")</f>
        <v/>
      </c>
      <c r="D147" s="99" t="str">
        <f t="shared" si="5"/>
        <v>株探</v>
      </c>
      <c r="AA147" s="427"/>
    </row>
    <row r="148" spans="1:27" ht="20.100000000000001" customHeight="1">
      <c r="A148" s="101">
        <f t="shared" si="4"/>
        <v>143</v>
      </c>
      <c r="B148" s="61">
        <v>6838</v>
      </c>
      <c r="C148" s="98" t="str">
        <f t="array" ref="C148">_xll.RssMarket(B148, "銘柄名称")</f>
        <v/>
      </c>
      <c r="D148" s="99" t="str">
        <f t="shared" si="5"/>
        <v>株探</v>
      </c>
      <c r="AA148" s="427"/>
    </row>
    <row r="149" spans="1:27" ht="20.100000000000001" customHeight="1">
      <c r="A149" s="101">
        <f t="shared" si="4"/>
        <v>144</v>
      </c>
      <c r="B149" s="61">
        <v>7375</v>
      </c>
      <c r="C149" s="98" t="str">
        <f t="array" ref="C149">_xll.RssMarket(B149, "銘柄名称")</f>
        <v/>
      </c>
      <c r="D149" s="99" t="str">
        <f t="shared" si="5"/>
        <v>株探</v>
      </c>
      <c r="AA149" s="427"/>
    </row>
    <row r="150" spans="1:27" ht="20.100000000000001" customHeight="1">
      <c r="A150" s="101">
        <f t="shared" si="4"/>
        <v>145</v>
      </c>
      <c r="B150" s="61">
        <v>4307</v>
      </c>
      <c r="C150" s="98" t="str">
        <f t="array" ref="C150">_xll.RssMarket(B150, "銘柄名称")</f>
        <v/>
      </c>
      <c r="D150" s="99" t="str">
        <f t="shared" si="5"/>
        <v>株探</v>
      </c>
      <c r="AA150" s="427"/>
    </row>
    <row r="151" spans="1:27" ht="20.100000000000001" customHeight="1">
      <c r="A151" s="101">
        <f t="shared" si="4"/>
        <v>146</v>
      </c>
      <c r="B151" s="61">
        <v>6516</v>
      </c>
      <c r="C151" s="98" t="str">
        <f t="array" ref="C151">_xll.RssMarket(B151, "銘柄名称")</f>
        <v/>
      </c>
      <c r="D151" s="99" t="str">
        <f t="shared" si="5"/>
        <v>株探</v>
      </c>
      <c r="AA151" s="427"/>
    </row>
    <row r="152" spans="1:27" ht="20.100000000000001" customHeight="1">
      <c r="A152" s="101">
        <f t="shared" si="4"/>
        <v>147</v>
      </c>
      <c r="B152" s="61">
        <v>7381</v>
      </c>
      <c r="C152" s="98" t="str">
        <f t="array" ref="C152">_xll.RssMarket(B152, "銘柄名称")</f>
        <v/>
      </c>
      <c r="D152" s="99" t="str">
        <f t="shared" si="5"/>
        <v>株探</v>
      </c>
    </row>
    <row r="153" spans="1:27" ht="20.100000000000001" customHeight="1">
      <c r="A153" s="101">
        <f t="shared" si="4"/>
        <v>148</v>
      </c>
      <c r="B153" s="61">
        <v>4417</v>
      </c>
      <c r="C153" s="98" t="str">
        <f t="array" ref="C153">_xll.RssMarket(B153, "銘柄名称")</f>
        <v/>
      </c>
      <c r="D153" s="99" t="str">
        <f t="shared" si="5"/>
        <v>株探</v>
      </c>
    </row>
    <row r="154" spans="1:27" ht="20.100000000000001" customHeight="1">
      <c r="A154" s="101">
        <f t="shared" si="4"/>
        <v>149</v>
      </c>
      <c r="B154" s="61">
        <v>6981</v>
      </c>
      <c r="C154" s="98" t="str">
        <f t="array" ref="C154">_xll.RssMarket(B154, "銘柄名称")</f>
        <v/>
      </c>
      <c r="D154" s="99" t="str">
        <f t="shared" si="5"/>
        <v>株探</v>
      </c>
      <c r="AA154" s="427" t="s">
        <v>520</v>
      </c>
    </row>
    <row r="155" spans="1:27" ht="20.100000000000001" customHeight="1">
      <c r="A155" s="101">
        <f t="shared" si="4"/>
        <v>150</v>
      </c>
      <c r="B155" s="61">
        <v>6754</v>
      </c>
      <c r="C155" s="98" t="str">
        <f t="array" ref="C155">_xll.RssMarket(B155, "銘柄名称")</f>
        <v/>
      </c>
      <c r="D155" s="99" t="str">
        <f t="shared" si="5"/>
        <v>株探</v>
      </c>
      <c r="AA155" s="427"/>
    </row>
    <row r="156" spans="1:27" ht="20.100000000000001" customHeight="1">
      <c r="A156" s="101">
        <f t="shared" si="4"/>
        <v>151</v>
      </c>
      <c r="B156" s="61">
        <v>4088</v>
      </c>
      <c r="C156" s="98" t="str">
        <f t="array" ref="C156">_xll.RssMarket(B156, "銘柄名称")</f>
        <v/>
      </c>
      <c r="D156" s="99" t="str">
        <f t="shared" si="5"/>
        <v>株探</v>
      </c>
    </row>
    <row r="157" spans="1:27" ht="20.100000000000001" customHeight="1">
      <c r="A157" s="101">
        <f t="shared" si="4"/>
        <v>152</v>
      </c>
      <c r="B157" s="61">
        <v>4091</v>
      </c>
      <c r="C157" s="98" t="str">
        <f t="array" ref="C157">_xll.RssMarket(B157, "銘柄名称")</f>
        <v/>
      </c>
      <c r="D157" s="99" t="str">
        <f t="shared" si="5"/>
        <v>株探</v>
      </c>
      <c r="AA157" s="427"/>
    </row>
    <row r="158" spans="1:27" ht="20.100000000000001" customHeight="1">
      <c r="A158" s="101">
        <f t="shared" si="4"/>
        <v>153</v>
      </c>
      <c r="B158" s="61">
        <v>6857</v>
      </c>
      <c r="C158" s="98" t="str">
        <f t="array" ref="C158">_xll.RssMarket(B158, "銘柄名称")</f>
        <v/>
      </c>
      <c r="D158" s="99" t="str">
        <f t="shared" si="5"/>
        <v>株探</v>
      </c>
      <c r="AA158" s="427"/>
    </row>
    <row r="159" spans="1:27" ht="20.100000000000001" customHeight="1">
      <c r="A159" s="101">
        <f t="shared" si="4"/>
        <v>154</v>
      </c>
      <c r="B159" s="61">
        <v>3891</v>
      </c>
      <c r="C159" s="98" t="str">
        <f t="array" ref="C159">_xll.RssMarket(B159, "銘柄名称")</f>
        <v/>
      </c>
      <c r="D159" s="99" t="str">
        <f t="shared" si="5"/>
        <v>株探</v>
      </c>
      <c r="AA159" s="427" t="s">
        <v>520</v>
      </c>
    </row>
    <row r="160" spans="1:27" ht="20.100000000000001" customHeight="1">
      <c r="A160" s="101">
        <f t="shared" si="4"/>
        <v>155</v>
      </c>
      <c r="B160" s="61">
        <v>4373</v>
      </c>
      <c r="C160" s="98" t="str">
        <f t="array" ref="C160">_xll.RssMarket(B160, "銘柄名称")</f>
        <v/>
      </c>
      <c r="D160" s="99" t="str">
        <f t="shared" si="5"/>
        <v>株探</v>
      </c>
      <c r="AA160" s="427"/>
    </row>
    <row r="161" spans="1:27" ht="20.100000000000001" customHeight="1">
      <c r="A161" s="101">
        <f t="shared" si="4"/>
        <v>156</v>
      </c>
      <c r="B161" s="61">
        <v>8892</v>
      </c>
      <c r="C161" s="98" t="str">
        <f t="array" ref="C161">_xll.RssMarket(B161, "銘柄名称")</f>
        <v/>
      </c>
      <c r="D161" s="99" t="str">
        <f t="shared" si="5"/>
        <v>株探</v>
      </c>
      <c r="AA161" s="427"/>
    </row>
    <row r="162" spans="1:27" ht="20.100000000000001" customHeight="1">
      <c r="A162" s="101">
        <f t="shared" si="4"/>
        <v>157</v>
      </c>
      <c r="B162" s="61">
        <v>9687</v>
      </c>
      <c r="C162" s="98" t="str">
        <f t="array" ref="C162">_xll.RssMarket(B162, "銘柄名称")</f>
        <v/>
      </c>
      <c r="D162" s="99" t="str">
        <f t="shared" si="5"/>
        <v>株探</v>
      </c>
    </row>
    <row r="163" spans="1:27" ht="20.100000000000001" customHeight="1">
      <c r="A163" s="101">
        <f t="shared" si="4"/>
        <v>158</v>
      </c>
      <c r="B163" s="61">
        <v>1930</v>
      </c>
      <c r="C163" s="98" t="str">
        <f t="array" ref="C163">_xll.RssMarket(B163, "銘柄名称")</f>
        <v/>
      </c>
      <c r="D163" s="99" t="str">
        <f t="shared" si="5"/>
        <v>株探</v>
      </c>
    </row>
    <row r="164" spans="1:27" ht="20.100000000000001" customHeight="1">
      <c r="A164" s="101">
        <f t="shared" si="4"/>
        <v>159</v>
      </c>
      <c r="B164" s="61">
        <v>8704</v>
      </c>
      <c r="C164" s="98" t="str">
        <f t="array" ref="C164">_xll.RssMarket(B164, "銘柄名称")</f>
        <v/>
      </c>
      <c r="D164" s="99" t="str">
        <f t="shared" si="5"/>
        <v>株探</v>
      </c>
      <c r="AA164" s="427"/>
    </row>
    <row r="165" spans="1:27" ht="20.100000000000001" customHeight="1">
      <c r="A165" s="101">
        <f t="shared" si="4"/>
        <v>160</v>
      </c>
      <c r="B165" s="61">
        <v>4733</v>
      </c>
      <c r="C165" s="98" t="str">
        <f t="array" ref="C165">_xll.RssMarket(B165, "銘柄名称")</f>
        <v/>
      </c>
      <c r="D165" s="99" t="str">
        <f t="shared" si="5"/>
        <v>株探</v>
      </c>
    </row>
    <row r="166" spans="1:27" ht="20.100000000000001" customHeight="1">
      <c r="A166" s="101">
        <f t="shared" si="4"/>
        <v>161</v>
      </c>
      <c r="B166" s="61">
        <v>9733</v>
      </c>
      <c r="C166" s="98" t="str">
        <f t="array" ref="C166">_xll.RssMarket(B166, "銘柄名称")</f>
        <v/>
      </c>
      <c r="D166" s="99" t="str">
        <f t="shared" si="5"/>
        <v>株探</v>
      </c>
    </row>
    <row r="167" spans="1:27" ht="20.100000000000001" customHeight="1">
      <c r="A167" s="101">
        <f t="shared" si="4"/>
        <v>162</v>
      </c>
      <c r="B167" s="61">
        <v>9551</v>
      </c>
      <c r="C167" s="98" t="str">
        <f t="array" ref="C167">_xll.RssMarket(B167, "銘柄名称")</f>
        <v/>
      </c>
      <c r="D167" s="99" t="str">
        <f t="shared" si="5"/>
        <v>株探</v>
      </c>
    </row>
    <row r="168" spans="1:27" ht="20.100000000000001" customHeight="1">
      <c r="A168" s="101">
        <f t="shared" si="4"/>
        <v>163</v>
      </c>
      <c r="B168" s="61">
        <v>2359</v>
      </c>
      <c r="C168" s="98" t="str">
        <f t="array" ref="C168">_xll.RssMarket(B168, "銘柄名称")</f>
        <v/>
      </c>
      <c r="D168" s="99" t="str">
        <f t="shared" si="5"/>
        <v>株探</v>
      </c>
    </row>
    <row r="169" spans="1:27" ht="20.100000000000001" customHeight="1">
      <c r="A169" s="101">
        <f t="shared" si="4"/>
        <v>164</v>
      </c>
      <c r="B169" s="61">
        <v>8103</v>
      </c>
      <c r="C169" s="98" t="str">
        <f t="array" ref="C169">_xll.RssMarket(B169, "銘柄名称")</f>
        <v/>
      </c>
      <c r="D169" s="99" t="str">
        <f t="shared" si="5"/>
        <v>株探</v>
      </c>
    </row>
    <row r="170" spans="1:27" ht="20.100000000000001" customHeight="1">
      <c r="A170" s="101">
        <f t="shared" si="4"/>
        <v>165</v>
      </c>
      <c r="B170" s="61">
        <v>4709</v>
      </c>
      <c r="C170" s="98" t="str">
        <f t="array" ref="C170">_xll.RssMarket(B170, "銘柄名称")</f>
        <v/>
      </c>
      <c r="D170" s="99" t="str">
        <f t="shared" si="5"/>
        <v>株探</v>
      </c>
      <c r="AA170" s="427"/>
    </row>
    <row r="171" spans="1:27" ht="20.100000000000001" customHeight="1">
      <c r="A171" s="101">
        <f t="shared" si="4"/>
        <v>166</v>
      </c>
      <c r="B171" s="61">
        <v>7981</v>
      </c>
      <c r="C171" s="98" t="str">
        <f t="array" ref="C171">_xll.RssMarket(B171, "銘柄名称")</f>
        <v/>
      </c>
      <c r="D171" s="99" t="str">
        <f t="shared" si="5"/>
        <v>株探</v>
      </c>
    </row>
    <row r="172" spans="1:27" ht="20.100000000000001" customHeight="1">
      <c r="A172" s="101">
        <f t="shared" si="4"/>
        <v>167</v>
      </c>
      <c r="B172" s="61">
        <v>8303</v>
      </c>
      <c r="C172" s="98" t="str">
        <f t="array" ref="C172">_xll.RssMarket(B172, "銘柄名称")</f>
        <v/>
      </c>
      <c r="D172" s="99" t="str">
        <f t="shared" si="5"/>
        <v>株探</v>
      </c>
    </row>
    <row r="173" spans="1:27" ht="20.100000000000001" customHeight="1">
      <c r="A173" s="101">
        <f t="shared" si="4"/>
        <v>168</v>
      </c>
      <c r="B173" s="61">
        <v>4382</v>
      </c>
      <c r="C173" s="98" t="str">
        <f t="array" ref="C173">_xll.RssMarket(B173, "銘柄名称")</f>
        <v/>
      </c>
      <c r="D173" s="99" t="str">
        <f t="shared" si="5"/>
        <v>株探</v>
      </c>
    </row>
    <row r="174" spans="1:27" ht="20.100000000000001" customHeight="1">
      <c r="A174" s="101">
        <f t="shared" si="4"/>
        <v>169</v>
      </c>
      <c r="B174" s="61">
        <v>2327</v>
      </c>
      <c r="C174" s="98" t="str">
        <f t="array" ref="C174">_xll.RssMarket(B174, "銘柄名称")</f>
        <v/>
      </c>
      <c r="D174" s="99" t="str">
        <f t="shared" si="5"/>
        <v>株探</v>
      </c>
    </row>
    <row r="175" spans="1:27" ht="20.100000000000001" customHeight="1">
      <c r="A175" s="101">
        <f t="shared" si="4"/>
        <v>170</v>
      </c>
      <c r="B175" s="61">
        <v>1942</v>
      </c>
      <c r="C175" s="98" t="str">
        <f t="array" ref="C175">_xll.RssMarket(B175, "銘柄名称")</f>
        <v/>
      </c>
      <c r="D175" s="99" t="str">
        <f t="shared" si="5"/>
        <v>株探</v>
      </c>
    </row>
    <row r="176" spans="1:27" ht="20.100000000000001" customHeight="1">
      <c r="A176" s="101">
        <f t="shared" si="4"/>
        <v>171</v>
      </c>
      <c r="B176" s="61">
        <v>1938</v>
      </c>
      <c r="C176" s="98" t="str">
        <f t="array" ref="C176">_xll.RssMarket(B176, "銘柄名称")</f>
        <v/>
      </c>
      <c r="D176" s="99" t="str">
        <f t="shared" si="5"/>
        <v>株探</v>
      </c>
      <c r="AA176" s="427"/>
    </row>
    <row r="177" spans="1:27" ht="20.100000000000001" customHeight="1">
      <c r="A177" s="101">
        <f t="shared" si="4"/>
        <v>172</v>
      </c>
      <c r="B177" s="61">
        <v>7236</v>
      </c>
      <c r="C177" s="98" t="str">
        <f t="array" ref="C177">_xll.RssMarket(B177, "銘柄名称")</f>
        <v/>
      </c>
      <c r="D177" s="99" t="str">
        <f t="shared" si="5"/>
        <v>株探</v>
      </c>
    </row>
    <row r="178" spans="1:27" ht="20.100000000000001" customHeight="1">
      <c r="A178" s="101">
        <f t="shared" si="4"/>
        <v>173</v>
      </c>
      <c r="B178" s="61">
        <v>6436</v>
      </c>
      <c r="C178" s="98" t="str">
        <f t="array" ref="C178">_xll.RssMarket(B178, "銘柄名称")</f>
        <v/>
      </c>
      <c r="D178" s="99" t="str">
        <f t="shared" si="5"/>
        <v>株探</v>
      </c>
    </row>
    <row r="179" spans="1:27" ht="20.100000000000001" customHeight="1">
      <c r="A179" s="101">
        <f t="shared" si="4"/>
        <v>174</v>
      </c>
      <c r="B179" s="61">
        <v>5410</v>
      </c>
      <c r="C179" s="98" t="str">
        <f t="array" ref="C179">_xll.RssMarket(B179, "銘柄名称")</f>
        <v/>
      </c>
      <c r="D179" s="99" t="str">
        <f t="shared" si="5"/>
        <v>株探</v>
      </c>
    </row>
    <row r="180" spans="1:27" ht="20.100000000000001" customHeight="1">
      <c r="A180" s="101">
        <f t="shared" si="4"/>
        <v>175</v>
      </c>
      <c r="B180" s="61">
        <v>5440</v>
      </c>
      <c r="C180" s="98" t="str">
        <f t="array" ref="C180">_xll.RssMarket(B180, "銘柄名称")</f>
        <v/>
      </c>
      <c r="D180" s="99" t="str">
        <f t="shared" si="5"/>
        <v>株探</v>
      </c>
    </row>
    <row r="181" spans="1:27" ht="20.100000000000001" customHeight="1">
      <c r="A181" s="101">
        <f t="shared" si="4"/>
        <v>176</v>
      </c>
      <c r="B181" s="61">
        <v>9505</v>
      </c>
      <c r="C181" s="98" t="str">
        <f t="array" ref="C181">_xll.RssMarket(B181, "銘柄名称")</f>
        <v/>
      </c>
      <c r="D181" s="99" t="str">
        <f t="shared" si="5"/>
        <v>株探</v>
      </c>
    </row>
    <row r="182" spans="1:27" ht="20.100000000000001" customHeight="1">
      <c r="A182" s="101">
        <f t="shared" si="4"/>
        <v>177</v>
      </c>
      <c r="B182" s="61">
        <v>8091</v>
      </c>
      <c r="C182" s="98" t="str">
        <f t="array" ref="C182">_xll.RssMarket(B182, "銘柄名称")</f>
        <v/>
      </c>
      <c r="D182" s="99" t="str">
        <f t="shared" si="5"/>
        <v>株探</v>
      </c>
    </row>
    <row r="183" spans="1:27" ht="20.100000000000001" customHeight="1">
      <c r="A183" s="101">
        <f t="shared" si="4"/>
        <v>178</v>
      </c>
      <c r="B183" s="61">
        <v>6507</v>
      </c>
      <c r="C183" s="98" t="str">
        <f t="array" ref="C183">_xll.RssMarket(B183, "銘柄名称")</f>
        <v/>
      </c>
      <c r="D183" s="99" t="str">
        <f t="shared" si="5"/>
        <v>株探</v>
      </c>
      <c r="AA183" s="427" t="s">
        <v>520</v>
      </c>
    </row>
    <row r="184" spans="1:27" ht="20.100000000000001" customHeight="1">
      <c r="A184" s="101">
        <f t="shared" si="4"/>
        <v>179</v>
      </c>
      <c r="B184" s="61">
        <v>9022</v>
      </c>
      <c r="C184" s="98" t="str">
        <f t="array" ref="C184">_xll.RssMarket(B184, "銘柄名称")</f>
        <v/>
      </c>
      <c r="D184" s="99" t="str">
        <f t="shared" si="5"/>
        <v>株探</v>
      </c>
    </row>
    <row r="185" spans="1:27" ht="20.100000000000001" customHeight="1">
      <c r="A185" s="101">
        <f t="shared" si="4"/>
        <v>180</v>
      </c>
      <c r="B185" s="61">
        <v>9536</v>
      </c>
      <c r="C185" s="98" t="str">
        <f t="array" ref="C185">_xll.RssMarket(B185, "銘柄名称")</f>
        <v/>
      </c>
      <c r="D185" s="99" t="str">
        <f t="shared" si="5"/>
        <v>株探</v>
      </c>
    </row>
    <row r="186" spans="1:27" ht="20.100000000000001" customHeight="1">
      <c r="A186" s="101">
        <f t="shared" si="4"/>
        <v>181</v>
      </c>
      <c r="B186" s="61">
        <v>9506</v>
      </c>
      <c r="C186" s="98" t="str">
        <f t="array" ref="C186">_xll.RssMarket(B186, "銘柄名称")</f>
        <v/>
      </c>
      <c r="D186" s="99" t="str">
        <f t="shared" si="5"/>
        <v>株探</v>
      </c>
    </row>
    <row r="187" spans="1:27" ht="20.100000000000001" customHeight="1">
      <c r="A187" s="101">
        <f t="shared" si="4"/>
        <v>182</v>
      </c>
      <c r="B187" s="61">
        <v>2127</v>
      </c>
      <c r="C187" s="98" t="str">
        <f t="array" ref="C187">_xll.RssMarket(B187, "銘柄名称")</f>
        <v/>
      </c>
      <c r="D187" s="99" t="str">
        <f t="shared" si="5"/>
        <v>株探</v>
      </c>
    </row>
    <row r="188" spans="1:27" ht="20.100000000000001" customHeight="1">
      <c r="A188" s="101">
        <f t="shared" si="4"/>
        <v>183</v>
      </c>
      <c r="B188" s="61">
        <v>6753</v>
      </c>
      <c r="C188" s="98" t="str">
        <f t="array" ref="C188">_xll.RssMarket(B188, "銘柄名称")</f>
        <v/>
      </c>
      <c r="D188" s="99" t="str">
        <f t="shared" si="5"/>
        <v>株探</v>
      </c>
      <c r="AA188" s="427"/>
    </row>
    <row r="189" spans="1:27" ht="20.100000000000001" customHeight="1">
      <c r="A189" s="101">
        <f t="shared" si="4"/>
        <v>184</v>
      </c>
      <c r="B189" s="61" t="s">
        <v>372</v>
      </c>
      <c r="C189" s="98" t="str">
        <f>_xll.RssMarket($B189,"銘柄名称")</f>
        <v/>
      </c>
      <c r="D189" s="99" t="str">
        <f t="shared" si="5"/>
        <v>株探</v>
      </c>
    </row>
    <row r="190" spans="1:27" ht="20.100000000000001" customHeight="1">
      <c r="A190" s="101">
        <f t="shared" si="4"/>
        <v>185</v>
      </c>
      <c r="B190" s="61" t="s">
        <v>373</v>
      </c>
      <c r="C190" s="98" t="str">
        <f t="array" ref="C190">_xll.RssMarket(B190, "銘柄名称")</f>
        <v/>
      </c>
      <c r="D190" s="99" t="str">
        <f t="shared" si="5"/>
        <v>株探</v>
      </c>
    </row>
    <row r="191" spans="1:27" ht="20.100000000000001" customHeight="1">
      <c r="A191" s="101">
        <f t="shared" si="4"/>
        <v>186</v>
      </c>
      <c r="B191" s="61" t="s">
        <v>375</v>
      </c>
      <c r="C191" s="98" t="str">
        <f>_xll.RssMarket($B191,"銘柄名称")</f>
        <v/>
      </c>
      <c r="D191" s="99" t="str">
        <f t="shared" si="5"/>
        <v>株探</v>
      </c>
    </row>
    <row r="192" spans="1:27" ht="20.100000000000001" customHeight="1">
      <c r="A192" s="101">
        <f t="shared" si="4"/>
        <v>187</v>
      </c>
      <c r="B192" s="61">
        <v>4887</v>
      </c>
      <c r="C192" s="98" t="str">
        <f t="array" ref="C192">_xll.RssMarket(B192, "銘柄名称")</f>
        <v/>
      </c>
      <c r="D192" s="99" t="str">
        <f t="shared" si="5"/>
        <v>株探</v>
      </c>
    </row>
    <row r="193" spans="1:27" ht="20.100000000000001" customHeight="1">
      <c r="A193" s="101">
        <f t="shared" si="4"/>
        <v>188</v>
      </c>
      <c r="B193" s="61">
        <v>5243</v>
      </c>
      <c r="C193" s="98" t="str">
        <f t="array" ref="C193">_xll.RssMarket(B193, "銘柄名称")</f>
        <v/>
      </c>
      <c r="D193" s="99" t="str">
        <f t="shared" si="5"/>
        <v>株探</v>
      </c>
    </row>
    <row r="194" spans="1:27" ht="20.100000000000001" customHeight="1">
      <c r="A194" s="101">
        <f t="shared" si="4"/>
        <v>189</v>
      </c>
      <c r="B194" s="61">
        <v>2702</v>
      </c>
      <c r="C194" s="98" t="str">
        <f t="array" ref="C194">_xll.RssMarket(B194, "銘柄名称")</f>
        <v/>
      </c>
      <c r="D194" s="99" t="str">
        <f t="shared" si="5"/>
        <v>株探</v>
      </c>
    </row>
    <row r="195" spans="1:27" ht="20.100000000000001" customHeight="1">
      <c r="A195" s="101">
        <f t="shared" si="4"/>
        <v>190</v>
      </c>
      <c r="B195" s="61">
        <v>6890</v>
      </c>
      <c r="C195" s="98" t="str">
        <f t="array" ref="C195">_xll.RssMarket(B195, "銘柄名称")</f>
        <v/>
      </c>
      <c r="D195" s="99" t="str">
        <f t="shared" si="5"/>
        <v>株探</v>
      </c>
      <c r="AA195" s="427" t="s">
        <v>520</v>
      </c>
    </row>
    <row r="196" spans="1:27" ht="20.100000000000001" customHeight="1">
      <c r="A196" s="101">
        <f t="shared" si="4"/>
        <v>191</v>
      </c>
      <c r="B196" s="61">
        <v>4966</v>
      </c>
      <c r="C196" s="98" t="str">
        <f t="array" ref="C196">_xll.RssMarket(B196, "銘柄名称")</f>
        <v/>
      </c>
      <c r="D196" s="99" t="str">
        <f t="shared" si="5"/>
        <v>株探</v>
      </c>
    </row>
    <row r="197" spans="1:27" ht="20.100000000000001" customHeight="1">
      <c r="A197" s="101">
        <f t="shared" si="4"/>
        <v>192</v>
      </c>
      <c r="B197" s="61">
        <v>6146</v>
      </c>
      <c r="C197" s="98" t="str">
        <f t="array" ref="C197">_xll.RssMarket(B197, "銘柄名称")</f>
        <v/>
      </c>
      <c r="D197" s="99" t="str">
        <f t="shared" si="5"/>
        <v>株探</v>
      </c>
      <c r="AA197" s="427"/>
    </row>
    <row r="198" spans="1:27" ht="20.100000000000001" customHeight="1">
      <c r="A198" s="101">
        <f t="shared" ref="A198:A261" si="6">IF(B198="","",ROW()-5)</f>
        <v>193</v>
      </c>
      <c r="B198" s="61">
        <v>8035</v>
      </c>
      <c r="C198" s="98" t="str">
        <f t="array" ref="C198">_xll.RssMarket(B198, "銘柄名称")</f>
        <v/>
      </c>
      <c r="D198" s="99" t="str">
        <f t="shared" si="5"/>
        <v>株探</v>
      </c>
      <c r="AA198" s="427"/>
    </row>
    <row r="199" spans="1:27" ht="20.100000000000001" customHeight="1">
      <c r="A199" s="101">
        <f t="shared" si="6"/>
        <v>194</v>
      </c>
      <c r="B199" s="61">
        <v>6920</v>
      </c>
      <c r="C199" s="98" t="str">
        <f t="array" ref="C199">_xll.RssMarket(B199, "銘柄名称")</f>
        <v/>
      </c>
      <c r="D199" s="99" t="str">
        <f t="shared" ref="D199:D262" si="7">IF(B199="","",HYPERLINK("https://kabutan.jp/stock/?code="&amp;B199,"株探"))</f>
        <v>株探</v>
      </c>
      <c r="AA199" s="427" t="s">
        <v>520</v>
      </c>
    </row>
    <row r="200" spans="1:27" ht="20.100000000000001" customHeight="1">
      <c r="A200" s="101">
        <f t="shared" si="6"/>
        <v>195</v>
      </c>
      <c r="B200" s="61">
        <v>5801</v>
      </c>
      <c r="C200" s="98" t="str">
        <f t="array" ref="C200">_xll.RssMarket(B200, "銘柄名称")</f>
        <v/>
      </c>
      <c r="D200" s="99" t="str">
        <f t="shared" si="7"/>
        <v>株探</v>
      </c>
    </row>
    <row r="201" spans="1:27" ht="20.100000000000001" customHeight="1">
      <c r="A201" s="101">
        <f t="shared" si="6"/>
        <v>196</v>
      </c>
      <c r="B201" s="61">
        <v>6506</v>
      </c>
      <c r="C201" s="98" t="str">
        <f t="array" ref="C201">_xll.RssMarket(B201, "銘柄名称")</f>
        <v/>
      </c>
      <c r="D201" s="99" t="str">
        <f t="shared" si="7"/>
        <v>株探</v>
      </c>
    </row>
    <row r="202" spans="1:27" ht="20.100000000000001" customHeight="1">
      <c r="A202" s="101">
        <f t="shared" si="6"/>
        <v>197</v>
      </c>
      <c r="B202" s="61">
        <v>2768</v>
      </c>
      <c r="C202" s="98" t="str">
        <f t="array" ref="C202">_xll.RssMarket(B202, "銘柄名称")</f>
        <v/>
      </c>
      <c r="D202" s="99" t="str">
        <f t="shared" si="7"/>
        <v>株探</v>
      </c>
    </row>
    <row r="203" spans="1:27" ht="20.100000000000001" customHeight="1">
      <c r="A203" s="101">
        <f t="shared" si="6"/>
        <v>198</v>
      </c>
      <c r="B203" s="61">
        <v>6305</v>
      </c>
      <c r="C203" s="98" t="str">
        <f t="array" ref="C203">_xll.RssMarket(B203, "銘柄名称")</f>
        <v/>
      </c>
      <c r="D203" s="99" t="str">
        <f t="shared" si="7"/>
        <v>株探</v>
      </c>
    </row>
    <row r="204" spans="1:27" ht="20.100000000000001" customHeight="1">
      <c r="A204" s="101">
        <f t="shared" si="6"/>
        <v>199</v>
      </c>
      <c r="B204" s="61">
        <v>8015</v>
      </c>
      <c r="C204" s="98" t="str">
        <f t="array" ref="C204">_xll.RssMarket(B204, "銘柄名称")</f>
        <v/>
      </c>
      <c r="D204" s="99" t="str">
        <f t="shared" si="7"/>
        <v>株探</v>
      </c>
    </row>
    <row r="205" spans="1:27" ht="20.100000000000001" customHeight="1">
      <c r="A205" s="101">
        <f t="shared" si="6"/>
        <v>200</v>
      </c>
      <c r="B205" s="62">
        <v>6758</v>
      </c>
      <c r="C205" s="98" t="str">
        <f t="array" ref="C205">_xll.RssMarket(B205, "銘柄名称")</f>
        <v/>
      </c>
      <c r="D205" s="99" t="str">
        <f t="shared" si="7"/>
        <v>株探</v>
      </c>
    </row>
    <row r="206" spans="1:27" ht="20.100000000000001" customHeight="1">
      <c r="A206" s="101">
        <f t="shared" si="6"/>
        <v>201</v>
      </c>
      <c r="B206" s="62">
        <v>9101</v>
      </c>
      <c r="C206" s="98" t="str">
        <f t="array" ref="C206">_xll.RssMarket(B206, "銘柄名称")</f>
        <v/>
      </c>
      <c r="D206" s="99" t="str">
        <f t="shared" si="7"/>
        <v>株探</v>
      </c>
    </row>
    <row r="207" spans="1:27" ht="20.100000000000001" customHeight="1">
      <c r="A207" s="101">
        <f t="shared" si="6"/>
        <v>202</v>
      </c>
      <c r="B207" s="62">
        <v>7011</v>
      </c>
      <c r="C207" s="98" t="str">
        <f t="array" ref="C207">_xll.RssMarket(B207, "銘柄名称")</f>
        <v/>
      </c>
      <c r="D207" s="99" t="str">
        <f t="shared" si="7"/>
        <v>株探</v>
      </c>
    </row>
    <row r="208" spans="1:27" ht="20.100000000000001" customHeight="1">
      <c r="A208" s="101">
        <f t="shared" si="6"/>
        <v>203</v>
      </c>
      <c r="B208" s="62">
        <v>1812</v>
      </c>
      <c r="C208" s="98" t="str">
        <f t="array" ref="C208">_xll.RssMarket(B208, "銘柄名称")</f>
        <v/>
      </c>
      <c r="D208" s="99" t="str">
        <f t="shared" si="7"/>
        <v>株探</v>
      </c>
    </row>
    <row r="209" spans="1:27" ht="20.100000000000001" customHeight="1">
      <c r="A209" s="101">
        <f t="shared" si="6"/>
        <v>204</v>
      </c>
      <c r="B209" s="62" t="s">
        <v>410</v>
      </c>
      <c r="C209" s="98" t="str">
        <f>_xll.RssMarket($B209,"銘柄名称")</f>
        <v/>
      </c>
      <c r="D209" s="99" t="str">
        <f t="shared" si="7"/>
        <v>株探</v>
      </c>
    </row>
    <row r="210" spans="1:27" ht="20.100000000000001" customHeight="1">
      <c r="A210" s="101">
        <f t="shared" si="6"/>
        <v>205</v>
      </c>
      <c r="B210" s="62">
        <v>6324</v>
      </c>
      <c r="C210" s="98" t="str">
        <f t="array" ref="C210">_xll.RssMarket(B210, "銘柄名称")</f>
        <v/>
      </c>
      <c r="D210" s="99" t="str">
        <f t="shared" si="7"/>
        <v>株探</v>
      </c>
    </row>
    <row r="211" spans="1:27" ht="20.100000000000001" customHeight="1">
      <c r="A211" s="101">
        <f t="shared" si="6"/>
        <v>206</v>
      </c>
      <c r="B211" s="62">
        <v>6273</v>
      </c>
      <c r="C211" s="98" t="str">
        <f t="array" ref="C211">_xll.RssMarket(B211, "銘柄名称")</f>
        <v/>
      </c>
      <c r="D211" s="99" t="str">
        <f t="shared" si="7"/>
        <v>株探</v>
      </c>
    </row>
    <row r="212" spans="1:27" ht="20.100000000000001" customHeight="1">
      <c r="A212" s="101">
        <f t="shared" si="6"/>
        <v>207</v>
      </c>
      <c r="B212" s="62">
        <v>4502</v>
      </c>
      <c r="C212" s="98" t="str">
        <f t="array" ref="C212">_xll.RssMarket(B212, "銘柄名称")</f>
        <v/>
      </c>
      <c r="D212" s="99" t="str">
        <f t="shared" si="7"/>
        <v>株探</v>
      </c>
    </row>
    <row r="213" spans="1:27" ht="20.100000000000001" customHeight="1">
      <c r="A213" s="101">
        <f t="shared" si="6"/>
        <v>208</v>
      </c>
      <c r="B213" s="62">
        <v>4004</v>
      </c>
      <c r="C213" s="98" t="str">
        <f t="array" ref="C213">_xll.RssMarket(B213, "銘柄名称")</f>
        <v/>
      </c>
      <c r="D213" s="99" t="str">
        <f t="shared" si="7"/>
        <v>株探</v>
      </c>
    </row>
    <row r="214" spans="1:27" ht="20.100000000000001" customHeight="1">
      <c r="A214" s="101">
        <f t="shared" si="6"/>
        <v>209</v>
      </c>
      <c r="B214" s="62">
        <v>9519</v>
      </c>
      <c r="C214" s="98" t="str">
        <f t="array" ref="C214">_xll.RssMarket(B214, "銘柄名称")</f>
        <v/>
      </c>
      <c r="D214" s="99" t="str">
        <f t="shared" si="7"/>
        <v>株探</v>
      </c>
    </row>
    <row r="215" spans="1:27" ht="20.100000000000001" customHeight="1">
      <c r="A215" s="101">
        <f t="shared" si="6"/>
        <v>210</v>
      </c>
      <c r="B215" s="62">
        <v>6752</v>
      </c>
      <c r="C215" s="98" t="str">
        <f t="array" ref="C215">_xll.RssMarket(B215, "銘柄名称")</f>
        <v/>
      </c>
      <c r="D215" s="99" t="str">
        <f t="shared" si="7"/>
        <v>株探</v>
      </c>
    </row>
    <row r="216" spans="1:27" ht="20.100000000000001" customHeight="1">
      <c r="A216" s="101">
        <f t="shared" si="6"/>
        <v>211</v>
      </c>
      <c r="B216" s="62">
        <v>6622</v>
      </c>
      <c r="C216" s="98" t="str">
        <f t="array" ref="C216">_xll.RssMarket(B216, "銘柄名称")</f>
        <v/>
      </c>
      <c r="D216" s="99" t="str">
        <f t="shared" si="7"/>
        <v>株探</v>
      </c>
    </row>
    <row r="217" spans="1:27" ht="20.100000000000001" customHeight="1">
      <c r="A217" s="101">
        <f t="shared" si="6"/>
        <v>212</v>
      </c>
      <c r="B217" s="62">
        <v>1407</v>
      </c>
      <c r="C217" s="98" t="str">
        <f t="array" ref="C217">_xll.RssMarket(B217, "銘柄名称")</f>
        <v/>
      </c>
      <c r="D217" s="99" t="str">
        <f t="shared" si="7"/>
        <v>株探</v>
      </c>
    </row>
    <row r="218" spans="1:27" ht="20.100000000000001" customHeight="1">
      <c r="A218" s="101">
        <f t="shared" si="6"/>
        <v>213</v>
      </c>
      <c r="B218" s="62" t="s">
        <v>427</v>
      </c>
      <c r="C218" s="98" t="str">
        <f t="array" ref="C218">_xll.RssMarket(B218, "銘柄名称")</f>
        <v/>
      </c>
      <c r="D218" s="99" t="str">
        <f t="shared" si="7"/>
        <v>株探</v>
      </c>
      <c r="AA218" s="427"/>
    </row>
    <row r="219" spans="1:27" ht="20.100000000000001" customHeight="1">
      <c r="A219" s="101">
        <f t="shared" si="6"/>
        <v>214</v>
      </c>
      <c r="B219" s="62" t="s">
        <v>429</v>
      </c>
      <c r="C219" s="98" t="str">
        <f t="array" ref="C219">_xll.RssMarket(B219, "銘柄名称")</f>
        <v/>
      </c>
      <c r="D219" s="99" t="str">
        <f t="shared" si="7"/>
        <v>株探</v>
      </c>
    </row>
    <row r="220" spans="1:27" ht="20.100000000000001" customHeight="1">
      <c r="A220" s="101">
        <f t="shared" si="6"/>
        <v>215</v>
      </c>
      <c r="B220" s="62" t="s">
        <v>431</v>
      </c>
      <c r="C220" s="98" t="str">
        <f t="array" ref="C220">_xll.RssMarket(B220, "銘柄名称")</f>
        <v/>
      </c>
      <c r="D220" s="99" t="str">
        <f t="shared" si="7"/>
        <v>株探</v>
      </c>
    </row>
    <row r="221" spans="1:27" ht="20.100000000000001" customHeight="1">
      <c r="A221" s="101">
        <f t="shared" si="6"/>
        <v>216</v>
      </c>
      <c r="B221" s="62" t="s">
        <v>433</v>
      </c>
      <c r="C221" s="98" t="str">
        <f t="array" ref="C221">_xll.RssMarket(B221, "銘柄名称")</f>
        <v/>
      </c>
      <c r="D221" s="99" t="str">
        <f t="shared" si="7"/>
        <v>株探</v>
      </c>
    </row>
    <row r="222" spans="1:27" ht="20.100000000000001" customHeight="1">
      <c r="A222" s="101">
        <f t="shared" si="6"/>
        <v>217</v>
      </c>
      <c r="B222" s="62" t="s">
        <v>435</v>
      </c>
      <c r="C222" s="98" t="str">
        <f>_xll.RssMarket($B222,"銘柄名称")</f>
        <v/>
      </c>
      <c r="D222" s="99" t="str">
        <f t="shared" si="7"/>
        <v>株探</v>
      </c>
    </row>
    <row r="223" spans="1:27" ht="20.100000000000001" customHeight="1">
      <c r="A223" s="101">
        <f t="shared" si="6"/>
        <v>218</v>
      </c>
      <c r="B223" s="62" t="s">
        <v>436</v>
      </c>
      <c r="C223" s="98" t="str">
        <f>_xll.RssMarket($B223,"銘柄名称")</f>
        <v/>
      </c>
      <c r="D223" s="99" t="str">
        <f t="shared" si="7"/>
        <v>株探</v>
      </c>
    </row>
    <row r="224" spans="1:27" ht="20.100000000000001" customHeight="1">
      <c r="A224" s="101">
        <f t="shared" si="6"/>
        <v>219</v>
      </c>
      <c r="B224" s="62" t="s">
        <v>437</v>
      </c>
      <c r="C224" s="98" t="str">
        <f>_xll.RssMarket($B224,"銘柄名称")</f>
        <v/>
      </c>
      <c r="D224" s="99" t="str">
        <f t="shared" si="7"/>
        <v>株探</v>
      </c>
    </row>
    <row r="225" spans="1:4" ht="20.100000000000001" customHeight="1">
      <c r="A225" s="101">
        <f t="shared" si="6"/>
        <v>220</v>
      </c>
      <c r="B225" s="62" t="s">
        <v>438</v>
      </c>
      <c r="C225" s="98" t="str">
        <f>_xll.RssMarket($B225,"銘柄名称")</f>
        <v/>
      </c>
      <c r="D225" s="99" t="str">
        <f t="shared" si="7"/>
        <v>株探</v>
      </c>
    </row>
    <row r="226" spans="1:4" ht="20.100000000000001" customHeight="1">
      <c r="A226" s="101">
        <f t="shared" si="6"/>
        <v>221</v>
      </c>
      <c r="B226" s="62" t="s">
        <v>439</v>
      </c>
      <c r="C226" s="98" t="str">
        <f>_xll.RssMarket($B226,"銘柄名称")</f>
        <v/>
      </c>
      <c r="D226" s="99" t="str">
        <f t="shared" si="7"/>
        <v>株探</v>
      </c>
    </row>
    <row r="227" spans="1:4" ht="20.100000000000001" customHeight="1">
      <c r="A227" s="101">
        <f t="shared" si="6"/>
        <v>222</v>
      </c>
      <c r="B227" s="62" t="s">
        <v>440</v>
      </c>
      <c r="C227" s="98" t="str">
        <f>_xll.RssMarket($B227,"銘柄名称")</f>
        <v/>
      </c>
      <c r="D227" s="99" t="str">
        <f t="shared" si="7"/>
        <v>株探</v>
      </c>
    </row>
    <row r="228" spans="1:4" ht="20.100000000000001" customHeight="1">
      <c r="A228" s="101">
        <f t="shared" si="6"/>
        <v>223</v>
      </c>
      <c r="B228" s="62" t="s">
        <v>441</v>
      </c>
      <c r="C228" s="98" t="str">
        <f>_xll.RssMarket($B228,"銘柄名称")</f>
        <v/>
      </c>
      <c r="D228" s="99" t="str">
        <f t="shared" si="7"/>
        <v>株探</v>
      </c>
    </row>
    <row r="229" spans="1:4" ht="20.100000000000001" customHeight="1">
      <c r="A229" s="101">
        <f t="shared" si="6"/>
        <v>224</v>
      </c>
      <c r="B229" s="62" t="s">
        <v>442</v>
      </c>
      <c r="C229" s="98" t="str">
        <f>_xll.RssMarket($B229,"銘柄名称")</f>
        <v/>
      </c>
      <c r="D229" s="99" t="str">
        <f t="shared" si="7"/>
        <v>株探</v>
      </c>
    </row>
    <row r="230" spans="1:4" ht="20.100000000000001" customHeight="1">
      <c r="A230" s="101">
        <f t="shared" si="6"/>
        <v>225</v>
      </c>
      <c r="B230" s="62" t="s">
        <v>443</v>
      </c>
      <c r="C230" s="98" t="str">
        <f>_xll.RssMarket($B230,"銘柄名称")</f>
        <v/>
      </c>
      <c r="D230" s="99" t="str">
        <f t="shared" si="7"/>
        <v>株探</v>
      </c>
    </row>
    <row r="231" spans="1:4" ht="20.100000000000001" customHeight="1">
      <c r="A231" s="101">
        <f t="shared" si="6"/>
        <v>226</v>
      </c>
      <c r="B231" s="62" t="s">
        <v>444</v>
      </c>
      <c r="C231" s="98" t="str">
        <f>_xll.RssMarket($B231,"銘柄名称")</f>
        <v/>
      </c>
      <c r="D231" s="99" t="str">
        <f t="shared" si="7"/>
        <v>株探</v>
      </c>
    </row>
    <row r="232" spans="1:4" ht="20.100000000000001" customHeight="1">
      <c r="A232" s="101">
        <f t="shared" si="6"/>
        <v>227</v>
      </c>
      <c r="B232" s="62" t="s">
        <v>445</v>
      </c>
      <c r="C232" s="98" t="str">
        <f>_xll.RssMarket($B232,"銘柄名称")</f>
        <v/>
      </c>
      <c r="D232" s="99" t="str">
        <f t="shared" si="7"/>
        <v>株探</v>
      </c>
    </row>
    <row r="233" spans="1:4" ht="20.100000000000001" customHeight="1">
      <c r="A233" s="101">
        <f t="shared" si="6"/>
        <v>228</v>
      </c>
      <c r="B233" s="62" t="s">
        <v>446</v>
      </c>
      <c r="C233" s="98" t="str">
        <f>_xll.RssMarket($B233,"銘柄名称")</f>
        <v/>
      </c>
      <c r="D233" s="99" t="str">
        <f t="shared" si="7"/>
        <v>株探</v>
      </c>
    </row>
    <row r="234" spans="1:4" ht="20.100000000000001" customHeight="1">
      <c r="A234" s="101">
        <f t="shared" si="6"/>
        <v>229</v>
      </c>
      <c r="B234" s="62" t="s">
        <v>447</v>
      </c>
      <c r="C234" s="98" t="str">
        <f>_xll.RssMarket($B234,"銘柄名称")</f>
        <v/>
      </c>
      <c r="D234" s="99" t="str">
        <f t="shared" si="7"/>
        <v>株探</v>
      </c>
    </row>
    <row r="235" spans="1:4" ht="20.100000000000001" customHeight="1">
      <c r="A235" s="101">
        <f t="shared" si="6"/>
        <v>230</v>
      </c>
      <c r="B235" s="62" t="s">
        <v>448</v>
      </c>
      <c r="C235" s="98" t="str">
        <f>_xll.RssMarket($B235,"銘柄名称")</f>
        <v/>
      </c>
      <c r="D235" s="99" t="str">
        <f t="shared" si="7"/>
        <v>株探</v>
      </c>
    </row>
    <row r="236" spans="1:4" ht="20.100000000000001" customHeight="1">
      <c r="A236" s="101">
        <f t="shared" si="6"/>
        <v>231</v>
      </c>
      <c r="B236" s="62" t="s">
        <v>449</v>
      </c>
      <c r="C236" s="98" t="str">
        <f>_xll.RssMarket($B236,"銘柄名称")</f>
        <v/>
      </c>
      <c r="D236" s="99" t="str">
        <f t="shared" si="7"/>
        <v>株探</v>
      </c>
    </row>
    <row r="237" spans="1:4" ht="20.100000000000001" customHeight="1">
      <c r="A237" s="101">
        <f t="shared" si="6"/>
        <v>232</v>
      </c>
      <c r="B237" s="62" t="s">
        <v>450</v>
      </c>
      <c r="C237" s="98" t="str">
        <f>_xll.RssMarket($B237,"銘柄名称")</f>
        <v/>
      </c>
      <c r="D237" s="99" t="str">
        <f t="shared" si="7"/>
        <v>株探</v>
      </c>
    </row>
    <row r="238" spans="1:4" ht="20.100000000000001" customHeight="1">
      <c r="A238" s="101">
        <f t="shared" si="6"/>
        <v>233</v>
      </c>
      <c r="B238" s="62" t="s">
        <v>451</v>
      </c>
      <c r="C238" s="98" t="str">
        <f>_xll.RssMarket($B238,"銘柄名称")</f>
        <v/>
      </c>
      <c r="D238" s="99" t="str">
        <f t="shared" si="7"/>
        <v>株探</v>
      </c>
    </row>
    <row r="239" spans="1:4" ht="20.100000000000001" customHeight="1">
      <c r="A239" s="101">
        <f t="shared" si="6"/>
        <v>234</v>
      </c>
      <c r="B239" s="62" t="s">
        <v>452</v>
      </c>
      <c r="C239" s="98" t="str">
        <f>_xll.RssMarket($B239,"銘柄名称")</f>
        <v/>
      </c>
      <c r="D239" s="99" t="str">
        <f t="shared" si="7"/>
        <v>株探</v>
      </c>
    </row>
    <row r="240" spans="1:4" ht="20.100000000000001" customHeight="1">
      <c r="A240" s="101">
        <f t="shared" si="6"/>
        <v>235</v>
      </c>
      <c r="B240" s="62" t="s">
        <v>453</v>
      </c>
      <c r="C240" s="98" t="str">
        <f>_xll.RssMarket($B240,"銘柄名称")</f>
        <v/>
      </c>
      <c r="D240" s="99" t="str">
        <f t="shared" si="7"/>
        <v>株探</v>
      </c>
    </row>
    <row r="241" spans="1:4" ht="20.100000000000001" customHeight="1">
      <c r="A241" s="101">
        <f t="shared" si="6"/>
        <v>236</v>
      </c>
      <c r="B241" s="62" t="s">
        <v>454</v>
      </c>
      <c r="C241" s="98" t="str">
        <f>_xll.RssMarket($B241,"銘柄名称")</f>
        <v/>
      </c>
      <c r="D241" s="99" t="str">
        <f t="shared" si="7"/>
        <v>株探</v>
      </c>
    </row>
    <row r="242" spans="1:4" ht="20.100000000000001" customHeight="1">
      <c r="A242" s="101">
        <f t="shared" si="6"/>
        <v>237</v>
      </c>
      <c r="B242" s="62" t="s">
        <v>455</v>
      </c>
      <c r="C242" s="98" t="str">
        <f>_xll.RssMarket($B242,"銘柄名称")</f>
        <v/>
      </c>
      <c r="D242" s="99" t="str">
        <f t="shared" si="7"/>
        <v>株探</v>
      </c>
    </row>
    <row r="243" spans="1:4" ht="20.100000000000001" customHeight="1">
      <c r="A243" s="101">
        <f t="shared" si="6"/>
        <v>238</v>
      </c>
      <c r="B243" s="62" t="s">
        <v>456</v>
      </c>
      <c r="C243" s="98" t="str">
        <f>_xll.RssMarket($B243,"銘柄名称")</f>
        <v/>
      </c>
      <c r="D243" s="99" t="str">
        <f t="shared" si="7"/>
        <v>株探</v>
      </c>
    </row>
    <row r="244" spans="1:4" ht="20.100000000000001" customHeight="1">
      <c r="A244" s="101">
        <f t="shared" si="6"/>
        <v>239</v>
      </c>
      <c r="B244" s="62" t="s">
        <v>457</v>
      </c>
      <c r="C244" s="98" t="str">
        <f>_xll.RssMarket($B244,"銘柄名称")</f>
        <v/>
      </c>
      <c r="D244" s="99" t="str">
        <f t="shared" si="7"/>
        <v>株探</v>
      </c>
    </row>
    <row r="245" spans="1:4" ht="20.100000000000001" customHeight="1">
      <c r="A245" s="101">
        <f t="shared" si="6"/>
        <v>240</v>
      </c>
      <c r="B245" s="62" t="s">
        <v>458</v>
      </c>
      <c r="C245" s="98" t="str">
        <f>_xll.RssMarket($B245,"銘柄名称")</f>
        <v/>
      </c>
      <c r="D245" s="99" t="str">
        <f t="shared" si="7"/>
        <v>株探</v>
      </c>
    </row>
    <row r="246" spans="1:4" ht="20.100000000000001" customHeight="1">
      <c r="A246" s="101">
        <f t="shared" si="6"/>
        <v>241</v>
      </c>
      <c r="B246" s="62" t="s">
        <v>459</v>
      </c>
      <c r="C246" s="98" t="str">
        <f>_xll.RssMarket($B246,"銘柄名称")</f>
        <v/>
      </c>
      <c r="D246" s="99" t="str">
        <f t="shared" si="7"/>
        <v>株探</v>
      </c>
    </row>
    <row r="247" spans="1:4" ht="20.100000000000001" customHeight="1">
      <c r="A247" s="101">
        <f t="shared" si="6"/>
        <v>242</v>
      </c>
      <c r="B247" s="62" t="s">
        <v>460</v>
      </c>
      <c r="C247" s="98" t="str">
        <f>_xll.RssMarket($B247,"銘柄名称")</f>
        <v/>
      </c>
      <c r="D247" s="99" t="str">
        <f t="shared" si="7"/>
        <v>株探</v>
      </c>
    </row>
    <row r="248" spans="1:4" ht="20.100000000000001" customHeight="1">
      <c r="A248" s="101">
        <f t="shared" si="6"/>
        <v>243</v>
      </c>
      <c r="B248" s="62" t="s">
        <v>461</v>
      </c>
      <c r="C248" s="98" t="str">
        <f>_xll.RssMarket($B248,"銘柄名称")</f>
        <v/>
      </c>
      <c r="D248" s="99" t="str">
        <f t="shared" si="7"/>
        <v>株探</v>
      </c>
    </row>
    <row r="249" spans="1:4" ht="20.100000000000001" customHeight="1">
      <c r="A249" s="101">
        <f t="shared" si="6"/>
        <v>244</v>
      </c>
      <c r="B249" s="62" t="s">
        <v>462</v>
      </c>
      <c r="C249" s="98" t="str">
        <f>_xll.RssMarket($B249,"銘柄名称")</f>
        <v/>
      </c>
      <c r="D249" s="99" t="str">
        <f t="shared" si="7"/>
        <v>株探</v>
      </c>
    </row>
    <row r="250" spans="1:4" ht="20.100000000000001" customHeight="1">
      <c r="A250" s="101">
        <f t="shared" si="6"/>
        <v>245</v>
      </c>
      <c r="B250" s="62" t="s">
        <v>463</v>
      </c>
      <c r="C250" s="98" t="str">
        <f>_xll.RssMarket($B250,"銘柄名称")</f>
        <v/>
      </c>
      <c r="D250" s="99" t="str">
        <f t="shared" si="7"/>
        <v>株探</v>
      </c>
    </row>
    <row r="251" spans="1:4" ht="20.100000000000001" customHeight="1">
      <c r="A251" s="101">
        <f t="shared" si="6"/>
        <v>246</v>
      </c>
      <c r="B251" s="62" t="s">
        <v>464</v>
      </c>
      <c r="C251" s="98" t="str">
        <f>_xll.RssMarket($B251,"銘柄名称")</f>
        <v/>
      </c>
      <c r="D251" s="99" t="str">
        <f t="shared" si="7"/>
        <v>株探</v>
      </c>
    </row>
    <row r="252" spans="1:4" ht="20.100000000000001" customHeight="1">
      <c r="A252" s="101">
        <f t="shared" si="6"/>
        <v>247</v>
      </c>
      <c r="B252" s="62" t="s">
        <v>465</v>
      </c>
      <c r="C252" s="98" t="str">
        <f>_xll.RssMarket($B252,"銘柄名称")</f>
        <v/>
      </c>
      <c r="D252" s="99" t="str">
        <f t="shared" si="7"/>
        <v>株探</v>
      </c>
    </row>
    <row r="253" spans="1:4" ht="20.100000000000001" customHeight="1">
      <c r="A253" s="101">
        <f t="shared" si="6"/>
        <v>248</v>
      </c>
      <c r="B253" s="62" t="s">
        <v>466</v>
      </c>
      <c r="C253" s="98" t="str">
        <f>_xll.RssMarket($B253,"銘柄名称")</f>
        <v/>
      </c>
      <c r="D253" s="99" t="str">
        <f t="shared" si="7"/>
        <v>株探</v>
      </c>
    </row>
    <row r="254" spans="1:4" ht="20.100000000000001" customHeight="1">
      <c r="A254" s="101">
        <f t="shared" si="6"/>
        <v>249</v>
      </c>
      <c r="B254" s="62" t="s">
        <v>467</v>
      </c>
      <c r="C254" s="98" t="str">
        <f>_xll.RssMarket($B254,"銘柄名称")</f>
        <v/>
      </c>
      <c r="D254" s="99" t="str">
        <f t="shared" si="7"/>
        <v>株探</v>
      </c>
    </row>
    <row r="255" spans="1:4" ht="20.100000000000001" customHeight="1">
      <c r="A255" s="101">
        <f t="shared" si="6"/>
        <v>250</v>
      </c>
      <c r="B255" s="62" t="s">
        <v>468</v>
      </c>
      <c r="C255" s="98" t="str">
        <f>_xll.RssMarket($B255,"銘柄名称")</f>
        <v/>
      </c>
      <c r="D255" s="99" t="str">
        <f t="shared" si="7"/>
        <v>株探</v>
      </c>
    </row>
    <row r="256" spans="1:4" ht="20.100000000000001" customHeight="1">
      <c r="A256" s="101">
        <f t="shared" si="6"/>
        <v>251</v>
      </c>
      <c r="B256" s="62" t="s">
        <v>469</v>
      </c>
      <c r="C256" s="98" t="str">
        <f>_xll.RssMarket($B256,"銘柄名称")</f>
        <v/>
      </c>
      <c r="D256" s="99" t="str">
        <f t="shared" si="7"/>
        <v>株探</v>
      </c>
    </row>
    <row r="257" spans="1:4" ht="20.100000000000001" customHeight="1">
      <c r="A257" s="101">
        <f t="shared" si="6"/>
        <v>252</v>
      </c>
      <c r="B257" s="62" t="s">
        <v>470</v>
      </c>
      <c r="C257" s="98" t="str">
        <f>_xll.RssMarket($B257,"銘柄名称")</f>
        <v/>
      </c>
      <c r="D257" s="99" t="str">
        <f t="shared" si="7"/>
        <v>株探</v>
      </c>
    </row>
    <row r="258" spans="1:4" ht="20.100000000000001" customHeight="1">
      <c r="A258" s="101">
        <f t="shared" si="6"/>
        <v>253</v>
      </c>
      <c r="B258" s="62" t="s">
        <v>471</v>
      </c>
      <c r="C258" s="98" t="str">
        <f>_xll.RssMarket($B258,"銘柄名称")</f>
        <v/>
      </c>
      <c r="D258" s="99" t="str">
        <f t="shared" si="7"/>
        <v>株探</v>
      </c>
    </row>
    <row r="259" spans="1:4" ht="20.100000000000001" customHeight="1">
      <c r="A259" s="101">
        <f t="shared" si="6"/>
        <v>254</v>
      </c>
      <c r="B259" s="62" t="s">
        <v>472</v>
      </c>
      <c r="C259" s="98" t="str">
        <f>_xll.RssMarket($B259,"銘柄名称")</f>
        <v/>
      </c>
      <c r="D259" s="99" t="str">
        <f t="shared" si="7"/>
        <v>株探</v>
      </c>
    </row>
    <row r="260" spans="1:4" ht="20.100000000000001" customHeight="1">
      <c r="A260" s="101">
        <f t="shared" si="6"/>
        <v>255</v>
      </c>
      <c r="B260" s="62" t="s">
        <v>473</v>
      </c>
      <c r="C260" s="98" t="str">
        <f>_xll.RssMarket($B260,"銘柄名称")</f>
        <v/>
      </c>
      <c r="D260" s="99" t="str">
        <f t="shared" si="7"/>
        <v>株探</v>
      </c>
    </row>
    <row r="261" spans="1:4" ht="20.100000000000001" customHeight="1">
      <c r="A261" s="101">
        <f t="shared" si="6"/>
        <v>256</v>
      </c>
      <c r="B261" s="62" t="s">
        <v>474</v>
      </c>
      <c r="C261" s="98" t="str">
        <f>_xll.RssMarket($B261,"銘柄名称")</f>
        <v/>
      </c>
      <c r="D261" s="99" t="str">
        <f t="shared" si="7"/>
        <v>株探</v>
      </c>
    </row>
    <row r="262" spans="1:4" ht="20.100000000000001" customHeight="1">
      <c r="A262" s="101">
        <f t="shared" ref="A262:A325" si="8">IF(B262="","",ROW()-5)</f>
        <v>257</v>
      </c>
      <c r="B262" s="62" t="s">
        <v>475</v>
      </c>
      <c r="C262" s="98" t="str">
        <f>_xll.RssMarket($B262,"銘柄名称")</f>
        <v/>
      </c>
      <c r="D262" s="99" t="str">
        <f t="shared" si="7"/>
        <v>株探</v>
      </c>
    </row>
    <row r="263" spans="1:4" ht="20.100000000000001" customHeight="1">
      <c r="A263" s="101">
        <f t="shared" si="8"/>
        <v>258</v>
      </c>
      <c r="B263" s="62" t="s">
        <v>476</v>
      </c>
      <c r="C263" s="98" t="str">
        <f>_xll.RssMarket($B263,"銘柄名称")</f>
        <v/>
      </c>
      <c r="D263" s="99" t="str">
        <f t="shared" ref="D263:D326" si="9">IF(B263="","",HYPERLINK("https://kabutan.jp/stock/?code="&amp;B263,"株探"))</f>
        <v>株探</v>
      </c>
    </row>
    <row r="264" spans="1:4" ht="20.100000000000001" customHeight="1">
      <c r="A264" s="101">
        <f t="shared" si="8"/>
        <v>259</v>
      </c>
      <c r="B264" s="62" t="s">
        <v>477</v>
      </c>
      <c r="C264" s="98" t="str">
        <f>_xll.RssMarket($B264,"銘柄名称")</f>
        <v/>
      </c>
      <c r="D264" s="99" t="str">
        <f t="shared" si="9"/>
        <v>株探</v>
      </c>
    </row>
    <row r="265" spans="1:4" ht="20.100000000000001" customHeight="1">
      <c r="A265" s="101">
        <f t="shared" si="8"/>
        <v>260</v>
      </c>
      <c r="B265" s="62" t="s">
        <v>478</v>
      </c>
      <c r="C265" s="98" t="str">
        <f>_xll.RssMarket($B265,"銘柄名称")</f>
        <v/>
      </c>
      <c r="D265" s="99" t="str">
        <f t="shared" si="9"/>
        <v>株探</v>
      </c>
    </row>
    <row r="266" spans="1:4" ht="20.100000000000001" customHeight="1">
      <c r="A266" s="101">
        <f t="shared" si="8"/>
        <v>261</v>
      </c>
      <c r="B266" s="62" t="s">
        <v>479</v>
      </c>
      <c r="C266" s="98" t="str">
        <f>_xll.RssMarket($B266,"銘柄名称")</f>
        <v/>
      </c>
      <c r="D266" s="99" t="str">
        <f t="shared" si="9"/>
        <v>株探</v>
      </c>
    </row>
    <row r="267" spans="1:4" ht="20.100000000000001" customHeight="1">
      <c r="A267" s="101">
        <f t="shared" si="8"/>
        <v>262</v>
      </c>
      <c r="B267" s="62" t="s">
        <v>480</v>
      </c>
      <c r="C267" s="98" t="str">
        <f>_xll.RssMarket($B267,"銘柄名称")</f>
        <v/>
      </c>
      <c r="D267" s="99" t="str">
        <f t="shared" si="9"/>
        <v>株探</v>
      </c>
    </row>
    <row r="268" spans="1:4" ht="20.100000000000001" customHeight="1">
      <c r="A268" s="101">
        <f t="shared" si="8"/>
        <v>263</v>
      </c>
      <c r="B268" s="62" t="s">
        <v>481</v>
      </c>
      <c r="C268" s="98" t="str">
        <f>_xll.RssMarket($B268,"銘柄名称")</f>
        <v/>
      </c>
      <c r="D268" s="99" t="str">
        <f t="shared" si="9"/>
        <v>株探</v>
      </c>
    </row>
    <row r="269" spans="1:4" ht="20.100000000000001" customHeight="1">
      <c r="A269" s="101">
        <f t="shared" si="8"/>
        <v>264</v>
      </c>
      <c r="B269" s="62" t="s">
        <v>482</v>
      </c>
      <c r="C269" s="98" t="str">
        <f>_xll.RssMarket($B269,"銘柄名称")</f>
        <v/>
      </c>
      <c r="D269" s="99" t="str">
        <f t="shared" si="9"/>
        <v>株探</v>
      </c>
    </row>
    <row r="270" spans="1:4" ht="20.100000000000001" customHeight="1">
      <c r="A270" s="101">
        <f t="shared" si="8"/>
        <v>265</v>
      </c>
      <c r="B270" s="62" t="s">
        <v>483</v>
      </c>
      <c r="C270" s="98" t="str">
        <f>_xll.RssMarket($B270,"銘柄名称")</f>
        <v/>
      </c>
      <c r="D270" s="99" t="str">
        <f t="shared" si="9"/>
        <v>株探</v>
      </c>
    </row>
    <row r="271" spans="1:4" ht="20.100000000000001" customHeight="1">
      <c r="A271" s="101">
        <f t="shared" si="8"/>
        <v>266</v>
      </c>
      <c r="B271" s="62" t="s">
        <v>484</v>
      </c>
      <c r="C271" s="98" t="str">
        <f>_xll.RssMarket($B271,"銘柄名称")</f>
        <v/>
      </c>
      <c r="D271" s="99" t="str">
        <f t="shared" si="9"/>
        <v>株探</v>
      </c>
    </row>
    <row r="272" spans="1:4" ht="20.100000000000001" customHeight="1">
      <c r="A272" s="101">
        <f t="shared" si="8"/>
        <v>267</v>
      </c>
      <c r="B272" s="62" t="s">
        <v>485</v>
      </c>
      <c r="C272" s="98" t="str">
        <f>_xll.RssMarket($B272,"銘柄名称")</f>
        <v/>
      </c>
      <c r="D272" s="99" t="str">
        <f t="shared" si="9"/>
        <v>株探</v>
      </c>
    </row>
    <row r="273" spans="1:4" ht="20.100000000000001" customHeight="1">
      <c r="A273" s="101">
        <f t="shared" si="8"/>
        <v>268</v>
      </c>
      <c r="B273" s="62" t="s">
        <v>486</v>
      </c>
      <c r="C273" s="98" t="str">
        <f>_xll.RssMarket($B273,"銘柄名称")</f>
        <v/>
      </c>
      <c r="D273" s="99" t="str">
        <f t="shared" si="9"/>
        <v>株探</v>
      </c>
    </row>
    <row r="274" spans="1:4" ht="20.100000000000001" customHeight="1">
      <c r="A274" s="101">
        <f t="shared" si="8"/>
        <v>269</v>
      </c>
      <c r="B274" s="62" t="s">
        <v>487</v>
      </c>
      <c r="C274" s="98" t="str">
        <f>_xll.RssMarket($B274,"銘柄名称")</f>
        <v/>
      </c>
      <c r="D274" s="99" t="str">
        <f t="shared" si="9"/>
        <v>株探</v>
      </c>
    </row>
    <row r="275" spans="1:4" ht="20.100000000000001" customHeight="1">
      <c r="A275" s="101">
        <f t="shared" si="8"/>
        <v>270</v>
      </c>
      <c r="B275" s="62" t="s">
        <v>488</v>
      </c>
      <c r="C275" s="98" t="str">
        <f>_xll.RssMarket($B275,"銘柄名称")</f>
        <v/>
      </c>
      <c r="D275" s="99" t="str">
        <f t="shared" si="9"/>
        <v>株探</v>
      </c>
    </row>
    <row r="276" spans="1:4" ht="20.100000000000001" customHeight="1">
      <c r="A276" s="101">
        <f t="shared" si="8"/>
        <v>271</v>
      </c>
      <c r="B276" s="62" t="s">
        <v>489</v>
      </c>
      <c r="C276" s="98" t="str">
        <f>_xll.RssMarket($B276,"銘柄名称")</f>
        <v/>
      </c>
      <c r="D276" s="99" t="str">
        <f t="shared" si="9"/>
        <v>株探</v>
      </c>
    </row>
    <row r="277" spans="1:4" ht="20.100000000000001" customHeight="1">
      <c r="A277" s="101">
        <f t="shared" si="8"/>
        <v>272</v>
      </c>
      <c r="B277" s="62" t="s">
        <v>490</v>
      </c>
      <c r="C277" s="98" t="str">
        <f>_xll.RssMarket($B277,"銘柄名称")</f>
        <v/>
      </c>
      <c r="D277" s="99" t="str">
        <f t="shared" si="9"/>
        <v>株探</v>
      </c>
    </row>
    <row r="278" spans="1:4" ht="20.100000000000001" customHeight="1">
      <c r="A278" s="101">
        <f t="shared" si="8"/>
        <v>273</v>
      </c>
      <c r="B278" s="62" t="s">
        <v>491</v>
      </c>
      <c r="C278" s="98" t="str">
        <f>_xll.RssMarket($B278,"銘柄名称")</f>
        <v/>
      </c>
      <c r="D278" s="99" t="str">
        <f t="shared" si="9"/>
        <v>株探</v>
      </c>
    </row>
    <row r="279" spans="1:4" ht="20.100000000000001" customHeight="1">
      <c r="A279" s="101">
        <f t="shared" si="8"/>
        <v>274</v>
      </c>
      <c r="B279" s="62" t="s">
        <v>492</v>
      </c>
      <c r="C279" s="98" t="str">
        <f>_xll.RssMarket($B279,"銘柄名称")</f>
        <v/>
      </c>
      <c r="D279" s="99" t="str">
        <f t="shared" si="9"/>
        <v>株探</v>
      </c>
    </row>
    <row r="280" spans="1:4" ht="20.100000000000001" customHeight="1">
      <c r="A280" s="101">
        <f t="shared" si="8"/>
        <v>275</v>
      </c>
      <c r="B280" s="62" t="s">
        <v>493</v>
      </c>
      <c r="C280" s="98" t="str">
        <f>_xll.RssMarket($B280,"銘柄名称")</f>
        <v/>
      </c>
      <c r="D280" s="99" t="str">
        <f t="shared" si="9"/>
        <v>株探</v>
      </c>
    </row>
    <row r="281" spans="1:4" ht="20.100000000000001" customHeight="1">
      <c r="A281" s="101">
        <f t="shared" si="8"/>
        <v>276</v>
      </c>
      <c r="B281" s="62" t="s">
        <v>494</v>
      </c>
      <c r="C281" s="98" t="str">
        <f>_xll.RssMarket($B281,"銘柄名称")</f>
        <v/>
      </c>
      <c r="D281" s="99" t="str">
        <f t="shared" si="9"/>
        <v>株探</v>
      </c>
    </row>
    <row r="282" spans="1:4" ht="20.100000000000001" customHeight="1">
      <c r="A282" s="101">
        <f t="shared" si="8"/>
        <v>277</v>
      </c>
      <c r="B282" s="62" t="s">
        <v>495</v>
      </c>
      <c r="C282" s="98" t="str">
        <f>_xll.RssMarket($B282,"銘柄名称")</f>
        <v/>
      </c>
      <c r="D282" s="99" t="str">
        <f t="shared" si="9"/>
        <v>株探</v>
      </c>
    </row>
    <row r="283" spans="1:4" ht="20.100000000000001" customHeight="1">
      <c r="A283" s="101">
        <f t="shared" si="8"/>
        <v>278</v>
      </c>
      <c r="B283" s="62" t="s">
        <v>496</v>
      </c>
      <c r="C283" s="98" t="str">
        <f>_xll.RssMarket($B283,"銘柄名称")</f>
        <v/>
      </c>
      <c r="D283" s="99" t="str">
        <f t="shared" si="9"/>
        <v>株探</v>
      </c>
    </row>
    <row r="284" spans="1:4" ht="20.100000000000001" customHeight="1">
      <c r="A284" s="101">
        <f t="shared" si="8"/>
        <v>279</v>
      </c>
      <c r="B284" s="62" t="s">
        <v>497</v>
      </c>
      <c r="C284" s="98" t="str">
        <f>_xll.RssMarket($B284,"銘柄名称")</f>
        <v/>
      </c>
      <c r="D284" s="99" t="str">
        <f t="shared" si="9"/>
        <v>株探</v>
      </c>
    </row>
    <row r="285" spans="1:4" ht="20.100000000000001" customHeight="1">
      <c r="A285" s="101">
        <f t="shared" si="8"/>
        <v>280</v>
      </c>
      <c r="B285" s="62" t="s">
        <v>498</v>
      </c>
      <c r="C285" s="98" t="str">
        <f>_xll.RssMarket($B285,"銘柄名称")</f>
        <v/>
      </c>
      <c r="D285" s="99" t="str">
        <f t="shared" si="9"/>
        <v>株探</v>
      </c>
    </row>
    <row r="286" spans="1:4" ht="20.100000000000001" customHeight="1">
      <c r="A286" s="101">
        <f t="shared" si="8"/>
        <v>281</v>
      </c>
      <c r="B286" s="62" t="s">
        <v>499</v>
      </c>
      <c r="C286" s="98" t="str">
        <f>_xll.RssMarket($B286,"銘柄名称")</f>
        <v/>
      </c>
      <c r="D286" s="99" t="str">
        <f t="shared" si="9"/>
        <v>株探</v>
      </c>
    </row>
    <row r="287" spans="1:4" ht="20.100000000000001" customHeight="1">
      <c r="A287" s="101">
        <f t="shared" si="8"/>
        <v>282</v>
      </c>
      <c r="B287" s="62" t="s">
        <v>500</v>
      </c>
      <c r="C287" s="98" t="str">
        <f>_xll.RssMarket($B287,"銘柄名称")</f>
        <v/>
      </c>
      <c r="D287" s="99" t="str">
        <f t="shared" si="9"/>
        <v>株探</v>
      </c>
    </row>
    <row r="288" spans="1:4" ht="20.100000000000001" customHeight="1">
      <c r="A288" s="101">
        <f t="shared" si="8"/>
        <v>283</v>
      </c>
      <c r="B288" s="62" t="s">
        <v>501</v>
      </c>
      <c r="C288" s="98" t="str">
        <f>_xll.RssMarket($B288,"銘柄名称")</f>
        <v/>
      </c>
      <c r="D288" s="99" t="str">
        <f t="shared" si="9"/>
        <v>株探</v>
      </c>
    </row>
    <row r="289" spans="1:4" ht="20.100000000000001" customHeight="1">
      <c r="A289" s="101">
        <f t="shared" si="8"/>
        <v>284</v>
      </c>
      <c r="B289" s="62" t="s">
        <v>502</v>
      </c>
      <c r="C289" s="98" t="str">
        <f>_xll.RssMarket($B289,"銘柄名称")</f>
        <v/>
      </c>
      <c r="D289" s="99" t="str">
        <f t="shared" si="9"/>
        <v>株探</v>
      </c>
    </row>
    <row r="290" spans="1:4" ht="20.100000000000001" customHeight="1">
      <c r="A290" s="101">
        <f t="shared" si="8"/>
        <v>285</v>
      </c>
      <c r="B290" s="62" t="s">
        <v>503</v>
      </c>
      <c r="C290" s="98" t="str">
        <f>_xll.RssMarket($B290,"銘柄名称")</f>
        <v/>
      </c>
      <c r="D290" s="99" t="str">
        <f t="shared" si="9"/>
        <v>株探</v>
      </c>
    </row>
    <row r="291" spans="1:4" ht="20.100000000000001" customHeight="1">
      <c r="A291" s="101">
        <f t="shared" si="8"/>
        <v>286</v>
      </c>
      <c r="B291" s="62" t="s">
        <v>504</v>
      </c>
      <c r="C291" s="98" t="str">
        <f>_xll.RssMarket($B291,"銘柄名称")</f>
        <v/>
      </c>
      <c r="D291" s="99" t="str">
        <f t="shared" si="9"/>
        <v>株探</v>
      </c>
    </row>
    <row r="292" spans="1:4" ht="20.100000000000001" customHeight="1">
      <c r="A292" s="101">
        <f t="shared" si="8"/>
        <v>287</v>
      </c>
      <c r="B292" s="62" t="s">
        <v>505</v>
      </c>
      <c r="C292" s="98" t="str">
        <f>_xll.RssMarket($B292,"銘柄名称")</f>
        <v/>
      </c>
      <c r="D292" s="99" t="str">
        <f t="shared" si="9"/>
        <v>株探</v>
      </c>
    </row>
    <row r="293" spans="1:4" ht="20.100000000000001" customHeight="1">
      <c r="A293" s="101">
        <f t="shared" si="8"/>
        <v>288</v>
      </c>
      <c r="B293" s="62" t="s">
        <v>506</v>
      </c>
      <c r="C293" s="98" t="str">
        <f>_xll.RssMarket($B293,"銘柄名称")</f>
        <v/>
      </c>
      <c r="D293" s="99" t="str">
        <f t="shared" si="9"/>
        <v>株探</v>
      </c>
    </row>
    <row r="294" spans="1:4" ht="20.100000000000001" customHeight="1">
      <c r="A294" s="101">
        <f t="shared" si="8"/>
        <v>289</v>
      </c>
      <c r="B294" s="62" t="s">
        <v>507</v>
      </c>
      <c r="C294" s="98" t="str">
        <f>_xll.RssMarket($B294,"銘柄名称")</f>
        <v/>
      </c>
      <c r="D294" s="99" t="str">
        <f t="shared" si="9"/>
        <v>株探</v>
      </c>
    </row>
    <row r="295" spans="1:4" ht="20.100000000000001" customHeight="1">
      <c r="A295" s="101">
        <f t="shared" si="8"/>
        <v>290</v>
      </c>
      <c r="B295" s="62" t="s">
        <v>508</v>
      </c>
      <c r="C295" s="98" t="str">
        <f>_xll.RssMarket($B295,"銘柄名称")</f>
        <v/>
      </c>
      <c r="D295" s="99" t="str">
        <f t="shared" si="9"/>
        <v>株探</v>
      </c>
    </row>
    <row r="296" spans="1:4" ht="20.100000000000001" customHeight="1">
      <c r="A296" s="101">
        <f t="shared" si="8"/>
        <v>291</v>
      </c>
      <c r="B296" s="62" t="s">
        <v>509</v>
      </c>
      <c r="C296" s="98" t="str">
        <f>_xll.RssMarket($B296,"銘柄名称")</f>
        <v/>
      </c>
      <c r="D296" s="99" t="str">
        <f t="shared" si="9"/>
        <v>株探</v>
      </c>
    </row>
    <row r="297" spans="1:4" ht="20.100000000000001" customHeight="1">
      <c r="A297" s="101">
        <f t="shared" si="8"/>
        <v>292</v>
      </c>
      <c r="B297" s="62" t="s">
        <v>510</v>
      </c>
      <c r="C297" s="98" t="str">
        <f>_xll.RssMarket($B297,"銘柄名称")</f>
        <v/>
      </c>
      <c r="D297" s="99" t="str">
        <f t="shared" si="9"/>
        <v>株探</v>
      </c>
    </row>
    <row r="298" spans="1:4" ht="20.100000000000001" customHeight="1">
      <c r="A298" s="101">
        <f t="shared" si="8"/>
        <v>293</v>
      </c>
      <c r="B298" s="62" t="s">
        <v>511</v>
      </c>
      <c r="C298" s="98" t="str">
        <f>_xll.RssMarket($B298,"銘柄名称")</f>
        <v/>
      </c>
      <c r="D298" s="99" t="str">
        <f t="shared" si="9"/>
        <v>株探</v>
      </c>
    </row>
    <row r="299" spans="1:4" ht="20.100000000000001" customHeight="1">
      <c r="A299" s="101">
        <f t="shared" si="8"/>
        <v>294</v>
      </c>
      <c r="B299" s="62" t="s">
        <v>512</v>
      </c>
      <c r="C299" s="98" t="str">
        <f>_xll.RssMarket($B299,"銘柄名称")</f>
        <v/>
      </c>
      <c r="D299" s="99" t="str">
        <f t="shared" si="9"/>
        <v>株探</v>
      </c>
    </row>
    <row r="300" spans="1:4" ht="20.100000000000001" customHeight="1">
      <c r="A300" s="101">
        <f t="shared" si="8"/>
        <v>295</v>
      </c>
      <c r="B300" s="62" t="s">
        <v>513</v>
      </c>
      <c r="C300" s="98" t="str">
        <f>_xll.RssMarket($B300,"銘柄名称")</f>
        <v/>
      </c>
      <c r="D300" s="99" t="str">
        <f t="shared" si="9"/>
        <v>株探</v>
      </c>
    </row>
    <row r="301" spans="1:4" ht="20.100000000000001" customHeight="1">
      <c r="A301" s="101">
        <f t="shared" si="8"/>
        <v>296</v>
      </c>
      <c r="B301" s="62" t="s">
        <v>514</v>
      </c>
      <c r="C301" s="98" t="str">
        <f>_xll.RssMarket($B301,"銘柄名称")</f>
        <v/>
      </c>
      <c r="D301" s="99" t="str">
        <f t="shared" si="9"/>
        <v>株探</v>
      </c>
    </row>
    <row r="302" spans="1:4" ht="20.100000000000001" customHeight="1">
      <c r="A302" s="101">
        <f t="shared" si="8"/>
        <v>297</v>
      </c>
      <c r="B302" s="62" t="s">
        <v>515</v>
      </c>
      <c r="C302" s="98" t="str">
        <f>_xll.RssMarket($B302,"銘柄名称")</f>
        <v/>
      </c>
      <c r="D302" s="99" t="str">
        <f t="shared" si="9"/>
        <v>株探</v>
      </c>
    </row>
    <row r="303" spans="1:4" ht="20.100000000000001" customHeight="1">
      <c r="A303" s="101">
        <f t="shared" si="8"/>
        <v>298</v>
      </c>
      <c r="B303" s="62" t="s">
        <v>882</v>
      </c>
      <c r="C303" s="98" t="str">
        <f>_xll.RssMarket($B303,"銘柄名称")</f>
        <v/>
      </c>
      <c r="D303" s="99" t="str">
        <f t="shared" si="9"/>
        <v>株探</v>
      </c>
    </row>
    <row r="304" spans="1:4" ht="20.100000000000001" customHeight="1">
      <c r="A304" s="101">
        <f t="shared" si="8"/>
        <v>299</v>
      </c>
      <c r="B304" s="62" t="s">
        <v>884</v>
      </c>
      <c r="C304" s="98" t="str">
        <f>_xll.RssMarket($B304,"銘柄名称")</f>
        <v/>
      </c>
      <c r="D304" s="99" t="str">
        <f t="shared" si="9"/>
        <v>株探</v>
      </c>
    </row>
    <row r="305" spans="1:4" ht="20.100000000000001" customHeight="1">
      <c r="A305" s="101">
        <f t="shared" si="8"/>
        <v>300</v>
      </c>
      <c r="B305" s="62" t="s">
        <v>1144</v>
      </c>
      <c r="C305" s="98" t="str">
        <f>_xll.RssMarket($B305,"銘柄名称")</f>
        <v/>
      </c>
      <c r="D305" s="99" t="str">
        <f t="shared" si="9"/>
        <v>株探</v>
      </c>
    </row>
    <row r="306" spans="1:4" ht="20.100000000000001" customHeight="1">
      <c r="A306" s="101" t="str">
        <f t="shared" si="8"/>
        <v/>
      </c>
      <c r="B306" s="62"/>
      <c r="C306" s="98" t="str">
        <f t="array" ref="C306">_xll.RssMarket(B306, "銘柄名称")</f>
        <v/>
      </c>
      <c r="D306" s="99" t="str">
        <f t="shared" si="9"/>
        <v/>
      </c>
    </row>
    <row r="307" spans="1:4" ht="20.100000000000001" customHeight="1">
      <c r="A307" s="101" t="str">
        <f t="shared" si="8"/>
        <v/>
      </c>
      <c r="B307" s="62"/>
      <c r="C307" s="98" t="str">
        <f t="array" ref="C307">_xll.RssMarket(B307, "銘柄名称")</f>
        <v/>
      </c>
      <c r="D307" s="99" t="str">
        <f t="shared" si="9"/>
        <v/>
      </c>
    </row>
    <row r="308" spans="1:4" ht="20.100000000000001" customHeight="1">
      <c r="A308" s="101" t="str">
        <f t="shared" si="8"/>
        <v/>
      </c>
      <c r="B308" s="62"/>
      <c r="C308" s="98" t="str">
        <f t="array" ref="C308">_xll.RssMarket(B308, "銘柄名称")</f>
        <v/>
      </c>
      <c r="D308" s="99" t="str">
        <f t="shared" si="9"/>
        <v/>
      </c>
    </row>
    <row r="309" spans="1:4" ht="20.100000000000001" customHeight="1">
      <c r="A309" s="101" t="str">
        <f t="shared" si="8"/>
        <v/>
      </c>
      <c r="B309" s="62"/>
      <c r="C309" s="98" t="str">
        <f t="array" ref="C309">_xll.RssMarket(B309, "銘柄名称")</f>
        <v/>
      </c>
      <c r="D309" s="99" t="str">
        <f t="shared" si="9"/>
        <v/>
      </c>
    </row>
    <row r="310" spans="1:4" ht="20.100000000000001" customHeight="1">
      <c r="A310" s="101" t="str">
        <f t="shared" si="8"/>
        <v/>
      </c>
      <c r="B310" s="62"/>
      <c r="C310" s="98" t="str">
        <f t="array" ref="C310">_xll.RssMarket(B310, "銘柄名称")</f>
        <v/>
      </c>
      <c r="D310" s="99" t="str">
        <f t="shared" si="9"/>
        <v/>
      </c>
    </row>
    <row r="311" spans="1:4" ht="20.100000000000001" customHeight="1">
      <c r="A311" s="101" t="str">
        <f t="shared" si="8"/>
        <v/>
      </c>
      <c r="B311" s="62"/>
      <c r="C311" s="98" t="str">
        <f t="array" ref="C311">_xll.RssMarket(B311, "銘柄名称")</f>
        <v/>
      </c>
      <c r="D311" s="99" t="str">
        <f t="shared" si="9"/>
        <v/>
      </c>
    </row>
    <row r="312" spans="1:4" ht="20.100000000000001" customHeight="1">
      <c r="A312" s="101" t="str">
        <f t="shared" si="8"/>
        <v/>
      </c>
      <c r="B312" s="62"/>
      <c r="C312" s="98" t="str">
        <f t="array" ref="C312">_xll.RssMarket(B312, "銘柄名称")</f>
        <v/>
      </c>
      <c r="D312" s="99" t="str">
        <f t="shared" si="9"/>
        <v/>
      </c>
    </row>
    <row r="313" spans="1:4" ht="20.100000000000001" customHeight="1">
      <c r="A313" s="101" t="str">
        <f t="shared" si="8"/>
        <v/>
      </c>
      <c r="B313" s="62"/>
      <c r="C313" s="98" t="str">
        <f t="array" ref="C313">_xll.RssMarket(B313, "銘柄名称")</f>
        <v/>
      </c>
      <c r="D313" s="99" t="str">
        <f t="shared" si="9"/>
        <v/>
      </c>
    </row>
    <row r="314" spans="1:4" ht="20.100000000000001" customHeight="1">
      <c r="A314" s="101" t="str">
        <f t="shared" si="8"/>
        <v/>
      </c>
      <c r="B314" s="62"/>
      <c r="C314" s="98" t="str">
        <f t="array" ref="C314">_xll.RssMarket(B314, "銘柄名称")</f>
        <v/>
      </c>
      <c r="D314" s="99" t="str">
        <f t="shared" si="9"/>
        <v/>
      </c>
    </row>
    <row r="315" spans="1:4" ht="20.100000000000001" customHeight="1">
      <c r="A315" s="101" t="str">
        <f t="shared" si="8"/>
        <v/>
      </c>
      <c r="B315" s="62"/>
      <c r="C315" s="98" t="str">
        <f t="array" ref="C315">_xll.RssMarket(B315, "銘柄名称")</f>
        <v/>
      </c>
      <c r="D315" s="99" t="str">
        <f t="shared" si="9"/>
        <v/>
      </c>
    </row>
    <row r="316" spans="1:4" ht="20.100000000000001" customHeight="1">
      <c r="A316" s="101" t="str">
        <f t="shared" si="8"/>
        <v/>
      </c>
      <c r="B316" s="62"/>
      <c r="C316" s="98" t="str">
        <f t="array" ref="C316">_xll.RssMarket(B316, "銘柄名称")</f>
        <v/>
      </c>
      <c r="D316" s="99" t="str">
        <f t="shared" si="9"/>
        <v/>
      </c>
    </row>
    <row r="317" spans="1:4" ht="20.100000000000001" customHeight="1">
      <c r="A317" s="101" t="str">
        <f t="shared" si="8"/>
        <v/>
      </c>
      <c r="B317" s="62"/>
      <c r="C317" s="98" t="str">
        <f t="array" ref="C317">_xll.RssMarket(B317, "銘柄名称")</f>
        <v/>
      </c>
      <c r="D317" s="99" t="str">
        <f t="shared" si="9"/>
        <v/>
      </c>
    </row>
    <row r="318" spans="1:4" ht="20.100000000000001" customHeight="1">
      <c r="A318" s="101" t="str">
        <f t="shared" si="8"/>
        <v/>
      </c>
      <c r="B318" s="62"/>
      <c r="C318" s="98" t="str">
        <f t="array" ref="C318">_xll.RssMarket(B318, "銘柄名称")</f>
        <v/>
      </c>
      <c r="D318" s="99" t="str">
        <f t="shared" si="9"/>
        <v/>
      </c>
    </row>
    <row r="319" spans="1:4" ht="20.100000000000001" customHeight="1">
      <c r="A319" s="101" t="str">
        <f t="shared" si="8"/>
        <v/>
      </c>
      <c r="B319" s="62"/>
      <c r="C319" s="98" t="str">
        <f t="array" ref="C319">_xll.RssMarket(B319, "銘柄名称")</f>
        <v/>
      </c>
      <c r="D319" s="99" t="str">
        <f t="shared" si="9"/>
        <v/>
      </c>
    </row>
    <row r="320" spans="1:4" ht="20.100000000000001" customHeight="1">
      <c r="A320" s="101" t="str">
        <f t="shared" si="8"/>
        <v/>
      </c>
      <c r="B320" s="62"/>
      <c r="C320" s="98" t="str">
        <f t="array" ref="C320">_xll.RssMarket(B320, "銘柄名称")</f>
        <v/>
      </c>
      <c r="D320" s="99" t="str">
        <f t="shared" si="9"/>
        <v/>
      </c>
    </row>
    <row r="321" spans="1:4" ht="20.100000000000001" customHeight="1">
      <c r="A321" s="101" t="str">
        <f t="shared" si="8"/>
        <v/>
      </c>
      <c r="B321" s="62"/>
      <c r="C321" s="98" t="str">
        <f t="array" ref="C321">_xll.RssMarket(B321, "銘柄名称")</f>
        <v/>
      </c>
      <c r="D321" s="99" t="str">
        <f t="shared" si="9"/>
        <v/>
      </c>
    </row>
    <row r="322" spans="1:4" ht="20.100000000000001" customHeight="1">
      <c r="A322" s="101" t="str">
        <f t="shared" si="8"/>
        <v/>
      </c>
      <c r="B322" s="62"/>
      <c r="C322" s="98" t="str">
        <f t="array" ref="C322">_xll.RssMarket(B322, "銘柄名称")</f>
        <v/>
      </c>
      <c r="D322" s="99" t="str">
        <f t="shared" si="9"/>
        <v/>
      </c>
    </row>
    <row r="323" spans="1:4" ht="20.100000000000001" customHeight="1">
      <c r="A323" s="101" t="str">
        <f t="shared" si="8"/>
        <v/>
      </c>
      <c r="B323" s="62"/>
      <c r="C323" s="98" t="str">
        <f t="array" ref="C323">_xll.RssMarket(B323, "銘柄名称")</f>
        <v/>
      </c>
      <c r="D323" s="99" t="str">
        <f t="shared" si="9"/>
        <v/>
      </c>
    </row>
    <row r="324" spans="1:4" ht="20.100000000000001" customHeight="1">
      <c r="A324" s="101" t="str">
        <f t="shared" si="8"/>
        <v/>
      </c>
      <c r="B324" s="62"/>
      <c r="C324" s="98" t="str">
        <f t="array" ref="C324">_xll.RssMarket(B324, "銘柄名称")</f>
        <v/>
      </c>
      <c r="D324" s="99" t="str">
        <f t="shared" si="9"/>
        <v/>
      </c>
    </row>
    <row r="325" spans="1:4" ht="20.100000000000001" customHeight="1">
      <c r="A325" s="101" t="str">
        <f t="shared" si="8"/>
        <v/>
      </c>
      <c r="B325" s="62"/>
      <c r="C325" s="98" t="str">
        <f t="array" ref="C325">_xll.RssMarket(B325, "銘柄名称")</f>
        <v/>
      </c>
      <c r="D325" s="99" t="str">
        <f t="shared" si="9"/>
        <v/>
      </c>
    </row>
    <row r="326" spans="1:4" ht="20.100000000000001" customHeight="1">
      <c r="A326" s="101" t="str">
        <f t="shared" ref="A326:A389" si="10">IF(B326="","",ROW()-5)</f>
        <v/>
      </c>
      <c r="B326" s="62"/>
      <c r="C326" s="98" t="str">
        <f t="array" ref="C326">_xll.RssMarket(B326, "銘柄名称")</f>
        <v/>
      </c>
      <c r="D326" s="99" t="str">
        <f t="shared" si="9"/>
        <v/>
      </c>
    </row>
    <row r="327" spans="1:4" ht="20.100000000000001" customHeight="1">
      <c r="A327" s="101" t="str">
        <f t="shared" si="10"/>
        <v/>
      </c>
      <c r="B327" s="62"/>
      <c r="C327" s="98" t="str">
        <f t="array" ref="C327">_xll.RssMarket(B327, "銘柄名称")</f>
        <v/>
      </c>
      <c r="D327" s="99" t="str">
        <f t="shared" ref="D327:D390" si="11">IF(B327="","",HYPERLINK("https://kabutan.jp/stock/?code="&amp;B327,"株探"))</f>
        <v/>
      </c>
    </row>
    <row r="328" spans="1:4" ht="20.100000000000001" customHeight="1">
      <c r="A328" s="101" t="str">
        <f t="shared" si="10"/>
        <v/>
      </c>
      <c r="B328" s="62"/>
      <c r="C328" s="98" t="str">
        <f t="array" ref="C328">_xll.RssMarket(B328, "銘柄名称")</f>
        <v/>
      </c>
      <c r="D328" s="99" t="str">
        <f t="shared" si="11"/>
        <v/>
      </c>
    </row>
    <row r="329" spans="1:4" ht="20.100000000000001" customHeight="1">
      <c r="A329" s="101" t="str">
        <f t="shared" si="10"/>
        <v/>
      </c>
      <c r="B329" s="62"/>
      <c r="C329" s="98" t="str">
        <f t="array" ref="C329">_xll.RssMarket(B329, "銘柄名称")</f>
        <v/>
      </c>
      <c r="D329" s="99" t="str">
        <f t="shared" si="11"/>
        <v/>
      </c>
    </row>
    <row r="330" spans="1:4" ht="20.100000000000001" customHeight="1">
      <c r="A330" s="101" t="str">
        <f t="shared" si="10"/>
        <v/>
      </c>
      <c r="B330" s="62"/>
      <c r="C330" s="98" t="str">
        <f t="array" ref="C330">_xll.RssMarket(B330, "銘柄名称")</f>
        <v/>
      </c>
      <c r="D330" s="99" t="str">
        <f t="shared" si="11"/>
        <v/>
      </c>
    </row>
    <row r="331" spans="1:4" ht="20.100000000000001" customHeight="1">
      <c r="A331" s="101" t="str">
        <f t="shared" si="10"/>
        <v/>
      </c>
      <c r="B331" s="62"/>
      <c r="C331" s="98" t="str">
        <f t="array" ref="C331">_xll.RssMarket(B331, "銘柄名称")</f>
        <v/>
      </c>
      <c r="D331" s="99" t="str">
        <f t="shared" si="11"/>
        <v/>
      </c>
    </row>
    <row r="332" spans="1:4" ht="20.100000000000001" customHeight="1">
      <c r="A332" s="101" t="str">
        <f t="shared" si="10"/>
        <v/>
      </c>
      <c r="B332" s="62"/>
      <c r="C332" s="98" t="str">
        <f t="array" ref="C332">_xll.RssMarket(B332, "銘柄名称")</f>
        <v/>
      </c>
      <c r="D332" s="99" t="str">
        <f t="shared" si="11"/>
        <v/>
      </c>
    </row>
    <row r="333" spans="1:4" ht="20.100000000000001" customHeight="1">
      <c r="A333" s="101" t="str">
        <f t="shared" si="10"/>
        <v/>
      </c>
      <c r="B333" s="62"/>
      <c r="C333" s="98" t="str">
        <f t="array" ref="C333">_xll.RssMarket(B333, "銘柄名称")</f>
        <v/>
      </c>
      <c r="D333" s="99" t="str">
        <f t="shared" si="11"/>
        <v/>
      </c>
    </row>
    <row r="334" spans="1:4" ht="20.100000000000001" customHeight="1">
      <c r="A334" s="101" t="str">
        <f t="shared" si="10"/>
        <v/>
      </c>
      <c r="B334" s="62"/>
      <c r="C334" s="98" t="str">
        <f t="array" ref="C334">_xll.RssMarket(B334, "銘柄名称")</f>
        <v/>
      </c>
      <c r="D334" s="99" t="str">
        <f t="shared" si="11"/>
        <v/>
      </c>
    </row>
    <row r="335" spans="1:4" ht="20.100000000000001" customHeight="1">
      <c r="A335" s="101" t="str">
        <f t="shared" si="10"/>
        <v/>
      </c>
      <c r="B335" s="62"/>
      <c r="C335" s="98" t="str">
        <f t="array" ref="C335">_xll.RssMarket(B335, "銘柄名称")</f>
        <v/>
      </c>
      <c r="D335" s="99" t="str">
        <f t="shared" si="11"/>
        <v/>
      </c>
    </row>
    <row r="336" spans="1:4" ht="20.100000000000001" customHeight="1">
      <c r="A336" s="101" t="str">
        <f t="shared" si="10"/>
        <v/>
      </c>
      <c r="B336" s="62"/>
      <c r="C336" s="98" t="str">
        <f t="array" ref="C336">_xll.RssMarket(B336, "銘柄名称")</f>
        <v/>
      </c>
      <c r="D336" s="99" t="str">
        <f t="shared" si="11"/>
        <v/>
      </c>
    </row>
    <row r="337" spans="1:4" ht="20.100000000000001" customHeight="1">
      <c r="A337" s="101" t="str">
        <f t="shared" si="10"/>
        <v/>
      </c>
      <c r="B337" s="62"/>
      <c r="C337" s="98" t="str">
        <f t="array" ref="C337">_xll.RssMarket(B337, "銘柄名称")</f>
        <v/>
      </c>
      <c r="D337" s="99" t="str">
        <f t="shared" si="11"/>
        <v/>
      </c>
    </row>
    <row r="338" spans="1:4" ht="20.100000000000001" customHeight="1">
      <c r="A338" s="101" t="str">
        <f t="shared" si="10"/>
        <v/>
      </c>
      <c r="B338" s="62"/>
      <c r="C338" s="98" t="str">
        <f t="array" ref="C338">_xll.RssMarket(B338, "銘柄名称")</f>
        <v/>
      </c>
      <c r="D338" s="99" t="str">
        <f t="shared" si="11"/>
        <v/>
      </c>
    </row>
    <row r="339" spans="1:4" ht="20.100000000000001" customHeight="1">
      <c r="A339" s="101" t="str">
        <f t="shared" si="10"/>
        <v/>
      </c>
      <c r="B339" s="62"/>
      <c r="C339" s="98" t="str">
        <f t="array" ref="C339">_xll.RssMarket(B339, "銘柄名称")</f>
        <v/>
      </c>
      <c r="D339" s="99" t="str">
        <f t="shared" si="11"/>
        <v/>
      </c>
    </row>
    <row r="340" spans="1:4" ht="20.100000000000001" customHeight="1">
      <c r="A340" s="101" t="str">
        <f t="shared" si="10"/>
        <v/>
      </c>
      <c r="B340" s="62"/>
      <c r="C340" s="98" t="str">
        <f t="array" ref="C340">_xll.RssMarket(B340, "銘柄名称")</f>
        <v/>
      </c>
      <c r="D340" s="99" t="str">
        <f t="shared" si="11"/>
        <v/>
      </c>
    </row>
    <row r="341" spans="1:4" ht="20.100000000000001" customHeight="1">
      <c r="A341" s="101" t="str">
        <f t="shared" si="10"/>
        <v/>
      </c>
      <c r="B341" s="62"/>
      <c r="C341" s="98" t="str">
        <f t="array" ref="C341">_xll.RssMarket(B341, "銘柄名称")</f>
        <v/>
      </c>
      <c r="D341" s="99" t="str">
        <f t="shared" si="11"/>
        <v/>
      </c>
    </row>
    <row r="342" spans="1:4" ht="20.100000000000001" customHeight="1">
      <c r="A342" s="101" t="str">
        <f t="shared" si="10"/>
        <v/>
      </c>
      <c r="B342" s="62"/>
      <c r="C342" s="98" t="str">
        <f t="array" ref="C342">_xll.RssMarket(B342, "銘柄名称")</f>
        <v/>
      </c>
      <c r="D342" s="99" t="str">
        <f t="shared" si="11"/>
        <v/>
      </c>
    </row>
    <row r="343" spans="1:4" ht="20.100000000000001" customHeight="1">
      <c r="A343" s="101" t="str">
        <f t="shared" si="10"/>
        <v/>
      </c>
      <c r="B343" s="62"/>
      <c r="C343" s="98" t="str">
        <f t="array" ref="C343">_xll.RssMarket(B343, "銘柄名称")</f>
        <v/>
      </c>
      <c r="D343" s="99" t="str">
        <f t="shared" si="11"/>
        <v/>
      </c>
    </row>
    <row r="344" spans="1:4" ht="20.100000000000001" customHeight="1">
      <c r="A344" s="101" t="str">
        <f t="shared" si="10"/>
        <v/>
      </c>
      <c r="B344" s="62"/>
      <c r="C344" s="98" t="str">
        <f t="array" ref="C344">_xll.RssMarket(B344, "銘柄名称")</f>
        <v/>
      </c>
      <c r="D344" s="99" t="str">
        <f t="shared" si="11"/>
        <v/>
      </c>
    </row>
    <row r="345" spans="1:4" ht="20.100000000000001" customHeight="1">
      <c r="A345" s="101" t="str">
        <f t="shared" si="10"/>
        <v/>
      </c>
      <c r="B345" s="62"/>
      <c r="C345" s="98" t="str">
        <f t="array" ref="C345">_xll.RssMarket(B345, "銘柄名称")</f>
        <v/>
      </c>
      <c r="D345" s="99" t="str">
        <f t="shared" si="11"/>
        <v/>
      </c>
    </row>
    <row r="346" spans="1:4" ht="20.100000000000001" customHeight="1">
      <c r="A346" s="101" t="str">
        <f t="shared" si="10"/>
        <v/>
      </c>
      <c r="B346" s="62"/>
      <c r="C346" s="98" t="str">
        <f t="array" ref="C346">_xll.RssMarket(B346, "銘柄名称")</f>
        <v/>
      </c>
      <c r="D346" s="99" t="str">
        <f t="shared" si="11"/>
        <v/>
      </c>
    </row>
    <row r="347" spans="1:4" ht="20.100000000000001" customHeight="1">
      <c r="A347" s="101" t="str">
        <f t="shared" si="10"/>
        <v/>
      </c>
      <c r="B347" s="62"/>
      <c r="C347" s="98" t="str">
        <f t="array" ref="C347">_xll.RssMarket(B347, "銘柄名称")</f>
        <v/>
      </c>
      <c r="D347" s="99" t="str">
        <f t="shared" si="11"/>
        <v/>
      </c>
    </row>
    <row r="348" spans="1:4" ht="20.100000000000001" customHeight="1">
      <c r="A348" s="101" t="str">
        <f t="shared" si="10"/>
        <v/>
      </c>
      <c r="B348" s="62"/>
      <c r="C348" s="98" t="str">
        <f t="array" ref="C348">_xll.RssMarket(B348, "銘柄名称")</f>
        <v/>
      </c>
      <c r="D348" s="99" t="str">
        <f t="shared" si="11"/>
        <v/>
      </c>
    </row>
    <row r="349" spans="1:4" ht="20.100000000000001" customHeight="1">
      <c r="A349" s="101" t="str">
        <f t="shared" si="10"/>
        <v/>
      </c>
      <c r="B349" s="62"/>
      <c r="C349" s="98" t="str">
        <f t="array" ref="C349">_xll.RssMarket(B349, "銘柄名称")</f>
        <v/>
      </c>
      <c r="D349" s="99" t="str">
        <f t="shared" si="11"/>
        <v/>
      </c>
    </row>
    <row r="350" spans="1:4" ht="20.100000000000001" customHeight="1">
      <c r="A350" s="101" t="str">
        <f t="shared" si="10"/>
        <v/>
      </c>
      <c r="B350" s="62"/>
      <c r="C350" s="98" t="str">
        <f t="array" ref="C350">_xll.RssMarket(B350, "銘柄名称")</f>
        <v/>
      </c>
      <c r="D350" s="99" t="str">
        <f t="shared" si="11"/>
        <v/>
      </c>
    </row>
    <row r="351" spans="1:4" ht="20.100000000000001" customHeight="1">
      <c r="A351" s="101" t="str">
        <f t="shared" si="10"/>
        <v/>
      </c>
      <c r="B351" s="62"/>
      <c r="C351" s="98" t="str">
        <f t="array" ref="C351">_xll.RssMarket(B351, "銘柄名称")</f>
        <v/>
      </c>
      <c r="D351" s="99" t="str">
        <f t="shared" si="11"/>
        <v/>
      </c>
    </row>
    <row r="352" spans="1:4" ht="20.100000000000001" customHeight="1">
      <c r="A352" s="101" t="str">
        <f t="shared" si="10"/>
        <v/>
      </c>
      <c r="B352" s="62"/>
      <c r="C352" s="98" t="str">
        <f t="array" ref="C352">_xll.RssMarket(B352, "銘柄名称")</f>
        <v/>
      </c>
      <c r="D352" s="99" t="str">
        <f t="shared" si="11"/>
        <v/>
      </c>
    </row>
    <row r="353" spans="1:4" ht="20.100000000000001" customHeight="1">
      <c r="A353" s="101" t="str">
        <f t="shared" si="10"/>
        <v/>
      </c>
      <c r="B353" s="62"/>
      <c r="C353" s="98" t="str">
        <f t="array" ref="C353">_xll.RssMarket(B353, "銘柄名称")</f>
        <v/>
      </c>
      <c r="D353" s="99" t="str">
        <f t="shared" si="11"/>
        <v/>
      </c>
    </row>
    <row r="354" spans="1:4" ht="20.100000000000001" customHeight="1">
      <c r="A354" s="101" t="str">
        <f t="shared" si="10"/>
        <v/>
      </c>
      <c r="B354" s="62"/>
      <c r="C354" s="98" t="str">
        <f t="array" ref="C354">_xll.RssMarket(B354, "銘柄名称")</f>
        <v/>
      </c>
      <c r="D354" s="99" t="str">
        <f t="shared" si="11"/>
        <v/>
      </c>
    </row>
    <row r="355" spans="1:4" ht="20.100000000000001" customHeight="1">
      <c r="A355" s="101" t="str">
        <f t="shared" si="10"/>
        <v/>
      </c>
      <c r="B355" s="62"/>
      <c r="C355" s="98" t="str">
        <f t="array" ref="C355">_xll.RssMarket(B355, "銘柄名称")</f>
        <v/>
      </c>
      <c r="D355" s="99" t="str">
        <f t="shared" si="11"/>
        <v/>
      </c>
    </row>
    <row r="356" spans="1:4" ht="20.100000000000001" customHeight="1">
      <c r="A356" s="101" t="str">
        <f t="shared" si="10"/>
        <v/>
      </c>
      <c r="B356" s="62"/>
      <c r="C356" s="98" t="str">
        <f t="array" ref="C356">_xll.RssMarket(B356, "銘柄名称")</f>
        <v/>
      </c>
      <c r="D356" s="99" t="str">
        <f t="shared" si="11"/>
        <v/>
      </c>
    </row>
    <row r="357" spans="1:4" ht="20.100000000000001" customHeight="1">
      <c r="A357" s="101" t="str">
        <f t="shared" si="10"/>
        <v/>
      </c>
      <c r="B357" s="62"/>
      <c r="C357" s="98" t="str">
        <f t="array" ref="C357">_xll.RssMarket(B357, "銘柄名称")</f>
        <v/>
      </c>
      <c r="D357" s="99" t="str">
        <f t="shared" si="11"/>
        <v/>
      </c>
    </row>
    <row r="358" spans="1:4" ht="20.100000000000001" customHeight="1">
      <c r="A358" s="101" t="str">
        <f t="shared" si="10"/>
        <v/>
      </c>
      <c r="B358" s="62"/>
      <c r="C358" s="98" t="str">
        <f t="array" ref="C358">_xll.RssMarket(B358, "銘柄名称")</f>
        <v/>
      </c>
      <c r="D358" s="99" t="str">
        <f t="shared" si="11"/>
        <v/>
      </c>
    </row>
    <row r="359" spans="1:4" ht="20.100000000000001" customHeight="1">
      <c r="A359" s="101" t="str">
        <f t="shared" si="10"/>
        <v/>
      </c>
      <c r="B359" s="62"/>
      <c r="C359" s="98" t="str">
        <f t="array" ref="C359">_xll.RssMarket(B359, "銘柄名称")</f>
        <v/>
      </c>
      <c r="D359" s="99" t="str">
        <f t="shared" si="11"/>
        <v/>
      </c>
    </row>
    <row r="360" spans="1:4" ht="20.100000000000001" customHeight="1">
      <c r="A360" s="101" t="str">
        <f t="shared" si="10"/>
        <v/>
      </c>
      <c r="B360" s="62"/>
      <c r="C360" s="98" t="str">
        <f t="array" ref="C360">_xll.RssMarket(B360, "銘柄名称")</f>
        <v/>
      </c>
      <c r="D360" s="99" t="str">
        <f t="shared" si="11"/>
        <v/>
      </c>
    </row>
    <row r="361" spans="1:4" ht="20.100000000000001" customHeight="1">
      <c r="A361" s="101" t="str">
        <f t="shared" si="10"/>
        <v/>
      </c>
      <c r="B361" s="62"/>
      <c r="C361" s="98" t="str">
        <f t="array" ref="C361">_xll.RssMarket(B361, "銘柄名称")</f>
        <v/>
      </c>
      <c r="D361" s="99" t="str">
        <f t="shared" si="11"/>
        <v/>
      </c>
    </row>
    <row r="362" spans="1:4" ht="20.100000000000001" customHeight="1">
      <c r="A362" s="101" t="str">
        <f t="shared" si="10"/>
        <v/>
      </c>
      <c r="B362" s="62"/>
      <c r="C362" s="98" t="str">
        <f t="array" ref="C362">_xll.RssMarket(B362, "銘柄名称")</f>
        <v/>
      </c>
      <c r="D362" s="99" t="str">
        <f t="shared" si="11"/>
        <v/>
      </c>
    </row>
    <row r="363" spans="1:4" ht="20.100000000000001" customHeight="1">
      <c r="A363" s="101" t="str">
        <f t="shared" si="10"/>
        <v/>
      </c>
      <c r="B363" s="62"/>
      <c r="C363" s="98" t="str">
        <f t="array" ref="C363">_xll.RssMarket(B363, "銘柄名称")</f>
        <v/>
      </c>
      <c r="D363" s="99" t="str">
        <f t="shared" si="11"/>
        <v/>
      </c>
    </row>
    <row r="364" spans="1:4" ht="20.100000000000001" customHeight="1">
      <c r="A364" s="101" t="str">
        <f t="shared" si="10"/>
        <v/>
      </c>
      <c r="B364" s="62"/>
      <c r="C364" s="98" t="str">
        <f t="array" ref="C364">_xll.RssMarket(B364, "銘柄名称")</f>
        <v/>
      </c>
      <c r="D364" s="99" t="str">
        <f t="shared" si="11"/>
        <v/>
      </c>
    </row>
    <row r="365" spans="1:4" ht="20.100000000000001" customHeight="1">
      <c r="A365" s="101" t="str">
        <f t="shared" si="10"/>
        <v/>
      </c>
      <c r="B365" s="62"/>
      <c r="C365" s="98" t="str">
        <f t="array" ref="C365">_xll.RssMarket(B365, "銘柄名称")</f>
        <v/>
      </c>
      <c r="D365" s="99" t="str">
        <f t="shared" si="11"/>
        <v/>
      </c>
    </row>
    <row r="366" spans="1:4" ht="20.100000000000001" customHeight="1">
      <c r="A366" s="101" t="str">
        <f t="shared" si="10"/>
        <v/>
      </c>
      <c r="B366" s="62"/>
      <c r="C366" s="98" t="str">
        <f t="array" ref="C366">_xll.RssMarket(B366, "銘柄名称")</f>
        <v/>
      </c>
      <c r="D366" s="99" t="str">
        <f t="shared" si="11"/>
        <v/>
      </c>
    </row>
    <row r="367" spans="1:4" ht="20.100000000000001" customHeight="1">
      <c r="A367" s="101" t="str">
        <f t="shared" si="10"/>
        <v/>
      </c>
      <c r="B367" s="62"/>
      <c r="C367" s="98" t="str">
        <f t="array" ref="C367">_xll.RssMarket(B367, "銘柄名称")</f>
        <v/>
      </c>
      <c r="D367" s="99" t="str">
        <f t="shared" si="11"/>
        <v/>
      </c>
    </row>
    <row r="368" spans="1:4" ht="20.100000000000001" customHeight="1">
      <c r="A368" s="101" t="str">
        <f t="shared" si="10"/>
        <v/>
      </c>
      <c r="B368" s="62"/>
      <c r="C368" s="98" t="str">
        <f t="array" ref="C368">_xll.RssMarket(B368, "銘柄名称")</f>
        <v/>
      </c>
      <c r="D368" s="99" t="str">
        <f t="shared" si="11"/>
        <v/>
      </c>
    </row>
    <row r="369" spans="1:4" ht="20.100000000000001" customHeight="1">
      <c r="A369" s="101" t="str">
        <f t="shared" si="10"/>
        <v/>
      </c>
      <c r="B369" s="62"/>
      <c r="C369" s="98" t="str">
        <f t="array" ref="C369">_xll.RssMarket(B369, "銘柄名称")</f>
        <v/>
      </c>
      <c r="D369" s="99" t="str">
        <f t="shared" si="11"/>
        <v/>
      </c>
    </row>
    <row r="370" spans="1:4" ht="20.100000000000001" customHeight="1">
      <c r="A370" s="101" t="str">
        <f t="shared" si="10"/>
        <v/>
      </c>
      <c r="B370" s="62"/>
      <c r="C370" s="98" t="str">
        <f t="array" ref="C370">_xll.RssMarket(B370, "銘柄名称")</f>
        <v/>
      </c>
      <c r="D370" s="99" t="str">
        <f t="shared" si="11"/>
        <v/>
      </c>
    </row>
    <row r="371" spans="1:4" ht="20.100000000000001" customHeight="1">
      <c r="A371" s="101" t="str">
        <f t="shared" si="10"/>
        <v/>
      </c>
      <c r="B371" s="62"/>
      <c r="C371" s="98" t="str">
        <f t="array" ref="C371">_xll.RssMarket(B371, "銘柄名称")</f>
        <v/>
      </c>
      <c r="D371" s="99" t="str">
        <f t="shared" si="11"/>
        <v/>
      </c>
    </row>
    <row r="372" spans="1:4" ht="20.100000000000001" customHeight="1">
      <c r="A372" s="101" t="str">
        <f t="shared" si="10"/>
        <v/>
      </c>
      <c r="B372" s="62"/>
      <c r="C372" s="98" t="str">
        <f t="array" ref="C372">_xll.RssMarket(B372, "銘柄名称")</f>
        <v/>
      </c>
      <c r="D372" s="99" t="str">
        <f t="shared" si="11"/>
        <v/>
      </c>
    </row>
    <row r="373" spans="1:4" ht="20.100000000000001" customHeight="1">
      <c r="A373" s="101" t="str">
        <f t="shared" si="10"/>
        <v/>
      </c>
      <c r="B373" s="62"/>
      <c r="C373" s="98" t="str">
        <f t="array" ref="C373">_xll.RssMarket(B373, "銘柄名称")</f>
        <v/>
      </c>
      <c r="D373" s="99" t="str">
        <f t="shared" si="11"/>
        <v/>
      </c>
    </row>
    <row r="374" spans="1:4" ht="20.100000000000001" customHeight="1">
      <c r="A374" s="101" t="str">
        <f t="shared" si="10"/>
        <v/>
      </c>
      <c r="B374" s="62"/>
      <c r="C374" s="98" t="str">
        <f t="array" ref="C374">_xll.RssMarket(B374, "銘柄名称")</f>
        <v/>
      </c>
      <c r="D374" s="99" t="str">
        <f t="shared" si="11"/>
        <v/>
      </c>
    </row>
    <row r="375" spans="1:4" ht="20.100000000000001" customHeight="1">
      <c r="A375" s="101" t="str">
        <f t="shared" si="10"/>
        <v/>
      </c>
      <c r="B375" s="62"/>
      <c r="C375" s="98" t="str">
        <f t="array" ref="C375">_xll.RssMarket(B375, "銘柄名称")</f>
        <v/>
      </c>
      <c r="D375" s="99" t="str">
        <f t="shared" si="11"/>
        <v/>
      </c>
    </row>
    <row r="376" spans="1:4" ht="20.100000000000001" customHeight="1">
      <c r="A376" s="101" t="str">
        <f t="shared" si="10"/>
        <v/>
      </c>
      <c r="B376" s="62"/>
      <c r="C376" s="98" t="str">
        <f t="array" ref="C376">_xll.RssMarket(B376, "銘柄名称")</f>
        <v/>
      </c>
      <c r="D376" s="99" t="str">
        <f t="shared" si="11"/>
        <v/>
      </c>
    </row>
    <row r="377" spans="1:4" ht="20.100000000000001" customHeight="1">
      <c r="A377" s="101" t="str">
        <f t="shared" si="10"/>
        <v/>
      </c>
      <c r="B377" s="62"/>
      <c r="C377" s="98" t="str">
        <f t="array" ref="C377">_xll.RssMarket(B377, "銘柄名称")</f>
        <v/>
      </c>
      <c r="D377" s="99" t="str">
        <f t="shared" si="11"/>
        <v/>
      </c>
    </row>
    <row r="378" spans="1:4" ht="20.100000000000001" customHeight="1">
      <c r="A378" s="101" t="str">
        <f t="shared" si="10"/>
        <v/>
      </c>
      <c r="B378" s="62"/>
      <c r="C378" s="98" t="str">
        <f t="array" ref="C378">_xll.RssMarket(B378, "銘柄名称")</f>
        <v/>
      </c>
      <c r="D378" s="99" t="str">
        <f t="shared" si="11"/>
        <v/>
      </c>
    </row>
    <row r="379" spans="1:4" ht="20.100000000000001" customHeight="1">
      <c r="A379" s="101" t="str">
        <f t="shared" si="10"/>
        <v/>
      </c>
      <c r="B379" s="62"/>
      <c r="C379" s="98" t="str">
        <f t="array" ref="C379">_xll.RssMarket(B379, "銘柄名称")</f>
        <v/>
      </c>
      <c r="D379" s="99" t="str">
        <f t="shared" si="11"/>
        <v/>
      </c>
    </row>
    <row r="380" spans="1:4" ht="20.100000000000001" customHeight="1">
      <c r="A380" s="101" t="str">
        <f t="shared" si="10"/>
        <v/>
      </c>
      <c r="B380" s="62"/>
      <c r="C380" s="98" t="str">
        <f t="array" ref="C380">_xll.RssMarket(B380, "銘柄名称")</f>
        <v/>
      </c>
      <c r="D380" s="99" t="str">
        <f t="shared" si="11"/>
        <v/>
      </c>
    </row>
    <row r="381" spans="1:4" ht="20.100000000000001" customHeight="1">
      <c r="A381" s="101" t="str">
        <f t="shared" si="10"/>
        <v/>
      </c>
      <c r="B381" s="62"/>
      <c r="C381" s="98" t="str">
        <f t="array" ref="C381">_xll.RssMarket(B381, "銘柄名称")</f>
        <v/>
      </c>
      <c r="D381" s="99" t="str">
        <f t="shared" si="11"/>
        <v/>
      </c>
    </row>
    <row r="382" spans="1:4" ht="20.100000000000001" customHeight="1">
      <c r="A382" s="101" t="str">
        <f t="shared" si="10"/>
        <v/>
      </c>
      <c r="B382" s="62"/>
      <c r="C382" s="98" t="str">
        <f t="array" ref="C382">_xll.RssMarket(B382, "銘柄名称")</f>
        <v/>
      </c>
      <c r="D382" s="99" t="str">
        <f t="shared" si="11"/>
        <v/>
      </c>
    </row>
    <row r="383" spans="1:4" ht="20.100000000000001" customHeight="1">
      <c r="A383" s="101" t="str">
        <f t="shared" si="10"/>
        <v/>
      </c>
      <c r="B383" s="62"/>
      <c r="C383" s="98" t="str">
        <f t="array" ref="C383">_xll.RssMarket(B383, "銘柄名称")</f>
        <v/>
      </c>
      <c r="D383" s="99" t="str">
        <f t="shared" si="11"/>
        <v/>
      </c>
    </row>
    <row r="384" spans="1:4" ht="20.100000000000001" customHeight="1">
      <c r="A384" s="101" t="str">
        <f t="shared" si="10"/>
        <v/>
      </c>
      <c r="B384" s="62"/>
      <c r="C384" s="98" t="str">
        <f t="array" ref="C384">_xll.RssMarket(B384, "銘柄名称")</f>
        <v/>
      </c>
      <c r="D384" s="99" t="str">
        <f t="shared" si="11"/>
        <v/>
      </c>
    </row>
    <row r="385" spans="1:4" ht="20.100000000000001" customHeight="1">
      <c r="A385" s="101" t="str">
        <f t="shared" si="10"/>
        <v/>
      </c>
      <c r="B385" s="62"/>
      <c r="C385" s="98" t="str">
        <f t="array" ref="C385">_xll.RssMarket(B385, "銘柄名称")</f>
        <v/>
      </c>
      <c r="D385" s="99" t="str">
        <f t="shared" si="11"/>
        <v/>
      </c>
    </row>
    <row r="386" spans="1:4" ht="20.100000000000001" customHeight="1">
      <c r="A386" s="101" t="str">
        <f t="shared" si="10"/>
        <v/>
      </c>
      <c r="B386" s="62"/>
      <c r="C386" s="98" t="str">
        <f t="array" ref="C386">_xll.RssMarket(B386, "銘柄名称")</f>
        <v/>
      </c>
      <c r="D386" s="99" t="str">
        <f t="shared" si="11"/>
        <v/>
      </c>
    </row>
    <row r="387" spans="1:4" ht="20.100000000000001" customHeight="1">
      <c r="A387" s="101" t="str">
        <f t="shared" si="10"/>
        <v/>
      </c>
      <c r="B387" s="62"/>
      <c r="C387" s="98" t="str">
        <f t="array" ref="C387">_xll.RssMarket(B387, "銘柄名称")</f>
        <v/>
      </c>
      <c r="D387" s="99" t="str">
        <f t="shared" si="11"/>
        <v/>
      </c>
    </row>
    <row r="388" spans="1:4" ht="20.100000000000001" customHeight="1">
      <c r="A388" s="101" t="str">
        <f t="shared" si="10"/>
        <v/>
      </c>
      <c r="B388" s="62"/>
      <c r="C388" s="98" t="str">
        <f t="array" ref="C388">_xll.RssMarket(B388, "銘柄名称")</f>
        <v/>
      </c>
      <c r="D388" s="99" t="str">
        <f t="shared" si="11"/>
        <v/>
      </c>
    </row>
    <row r="389" spans="1:4" ht="20.100000000000001" customHeight="1">
      <c r="A389" s="101" t="str">
        <f t="shared" si="10"/>
        <v/>
      </c>
      <c r="B389" s="62"/>
      <c r="C389" s="98" t="str">
        <f t="array" ref="C389">_xll.RssMarket(B389, "銘柄名称")</f>
        <v/>
      </c>
      <c r="D389" s="99" t="str">
        <f t="shared" si="11"/>
        <v/>
      </c>
    </row>
    <row r="390" spans="1:4" ht="20.100000000000001" customHeight="1">
      <c r="A390" s="101" t="str">
        <f t="shared" ref="A390:A453" si="12">IF(B390="","",ROW()-5)</f>
        <v/>
      </c>
      <c r="B390" s="62"/>
      <c r="C390" s="98" t="str">
        <f t="array" ref="C390">_xll.RssMarket(B390, "銘柄名称")</f>
        <v/>
      </c>
      <c r="D390" s="99" t="str">
        <f t="shared" si="11"/>
        <v/>
      </c>
    </row>
    <row r="391" spans="1:4" ht="20.100000000000001" customHeight="1">
      <c r="A391" s="101" t="str">
        <f t="shared" si="12"/>
        <v/>
      </c>
      <c r="B391" s="62"/>
      <c r="C391" s="98" t="str">
        <f t="array" ref="C391">_xll.RssMarket(B391, "銘柄名称")</f>
        <v/>
      </c>
      <c r="D391" s="99" t="str">
        <f t="shared" ref="D391:D454" si="13">IF(B391="","",HYPERLINK("https://kabutan.jp/stock/?code="&amp;B391,"株探"))</f>
        <v/>
      </c>
    </row>
    <row r="392" spans="1:4" ht="20.100000000000001" customHeight="1">
      <c r="A392" s="101" t="str">
        <f t="shared" si="12"/>
        <v/>
      </c>
      <c r="B392" s="62"/>
      <c r="C392" s="98" t="str">
        <f t="array" ref="C392">_xll.RssMarket(B392, "銘柄名称")</f>
        <v/>
      </c>
      <c r="D392" s="99" t="str">
        <f t="shared" si="13"/>
        <v/>
      </c>
    </row>
    <row r="393" spans="1:4" ht="20.100000000000001" customHeight="1">
      <c r="A393" s="101" t="str">
        <f t="shared" si="12"/>
        <v/>
      </c>
      <c r="B393" s="62"/>
      <c r="C393" s="98" t="str">
        <f t="array" ref="C393">_xll.RssMarket(B393, "銘柄名称")</f>
        <v/>
      </c>
      <c r="D393" s="99" t="str">
        <f t="shared" si="13"/>
        <v/>
      </c>
    </row>
    <row r="394" spans="1:4" ht="20.100000000000001" customHeight="1">
      <c r="A394" s="101" t="str">
        <f t="shared" si="12"/>
        <v/>
      </c>
      <c r="B394" s="62"/>
      <c r="C394" s="98" t="str">
        <f t="array" ref="C394">_xll.RssMarket(B394, "銘柄名称")</f>
        <v/>
      </c>
      <c r="D394" s="99" t="str">
        <f t="shared" si="13"/>
        <v/>
      </c>
    </row>
    <row r="395" spans="1:4" ht="20.100000000000001" customHeight="1">
      <c r="A395" s="101" t="str">
        <f t="shared" si="12"/>
        <v/>
      </c>
      <c r="B395" s="62"/>
      <c r="C395" s="98" t="str">
        <f t="array" ref="C395">_xll.RssMarket(B395, "銘柄名称")</f>
        <v/>
      </c>
      <c r="D395" s="99" t="str">
        <f t="shared" si="13"/>
        <v/>
      </c>
    </row>
    <row r="396" spans="1:4" ht="20.100000000000001" customHeight="1">
      <c r="A396" s="101" t="str">
        <f t="shared" si="12"/>
        <v/>
      </c>
      <c r="B396" s="62"/>
      <c r="C396" s="98" t="str">
        <f t="array" ref="C396">_xll.RssMarket(B396, "銘柄名称")</f>
        <v/>
      </c>
      <c r="D396" s="99" t="str">
        <f t="shared" si="13"/>
        <v/>
      </c>
    </row>
    <row r="397" spans="1:4" ht="20.100000000000001" customHeight="1">
      <c r="A397" s="101" t="str">
        <f t="shared" si="12"/>
        <v/>
      </c>
      <c r="B397" s="62"/>
      <c r="C397" s="98" t="str">
        <f t="array" ref="C397">_xll.RssMarket(B397, "銘柄名称")</f>
        <v/>
      </c>
      <c r="D397" s="99" t="str">
        <f t="shared" si="13"/>
        <v/>
      </c>
    </row>
    <row r="398" spans="1:4" ht="20.100000000000001" customHeight="1">
      <c r="A398" s="101" t="str">
        <f t="shared" si="12"/>
        <v/>
      </c>
      <c r="B398" s="62"/>
      <c r="C398" s="98" t="str">
        <f t="array" ref="C398">_xll.RssMarket(B398, "銘柄名称")</f>
        <v/>
      </c>
      <c r="D398" s="99" t="str">
        <f t="shared" si="13"/>
        <v/>
      </c>
    </row>
    <row r="399" spans="1:4" ht="20.100000000000001" customHeight="1">
      <c r="A399" s="101" t="str">
        <f t="shared" si="12"/>
        <v/>
      </c>
      <c r="B399" s="62"/>
      <c r="C399" s="98" t="str">
        <f t="array" ref="C399">_xll.RssMarket(B399, "銘柄名称")</f>
        <v/>
      </c>
      <c r="D399" s="99" t="str">
        <f t="shared" si="13"/>
        <v/>
      </c>
    </row>
    <row r="400" spans="1:4" ht="20.100000000000001" customHeight="1">
      <c r="A400" s="101" t="str">
        <f t="shared" si="12"/>
        <v/>
      </c>
      <c r="B400" s="62"/>
      <c r="C400" s="98" t="str">
        <f t="array" ref="C400">_xll.RssMarket(B400, "銘柄名称")</f>
        <v/>
      </c>
      <c r="D400" s="99" t="str">
        <f t="shared" si="13"/>
        <v/>
      </c>
    </row>
    <row r="401" spans="1:4" ht="20.100000000000001" customHeight="1">
      <c r="A401" s="101" t="str">
        <f t="shared" si="12"/>
        <v/>
      </c>
      <c r="B401" s="62"/>
      <c r="C401" s="98" t="str">
        <f t="array" ref="C401">_xll.RssMarket(B401, "銘柄名称")</f>
        <v/>
      </c>
      <c r="D401" s="99" t="str">
        <f t="shared" si="13"/>
        <v/>
      </c>
    </row>
    <row r="402" spans="1:4" ht="20.100000000000001" customHeight="1">
      <c r="A402" s="101" t="str">
        <f t="shared" si="12"/>
        <v/>
      </c>
      <c r="B402" s="62"/>
      <c r="C402" s="98" t="str">
        <f t="array" ref="C402">_xll.RssMarket(B402, "銘柄名称")</f>
        <v/>
      </c>
      <c r="D402" s="99" t="str">
        <f t="shared" si="13"/>
        <v/>
      </c>
    </row>
    <row r="403" spans="1:4" ht="20.100000000000001" customHeight="1">
      <c r="A403" s="101" t="str">
        <f t="shared" si="12"/>
        <v/>
      </c>
      <c r="B403" s="62"/>
      <c r="C403" s="98" t="str">
        <f t="array" ref="C403">_xll.RssMarket(B403, "銘柄名称")</f>
        <v/>
      </c>
      <c r="D403" s="99" t="str">
        <f t="shared" si="13"/>
        <v/>
      </c>
    </row>
    <row r="404" spans="1:4" ht="20.100000000000001" customHeight="1">
      <c r="A404" s="101" t="str">
        <f t="shared" si="12"/>
        <v/>
      </c>
      <c r="B404" s="62"/>
      <c r="C404" s="98" t="str">
        <f t="array" ref="C404">_xll.RssMarket(B404, "銘柄名称")</f>
        <v/>
      </c>
      <c r="D404" s="99" t="str">
        <f t="shared" si="13"/>
        <v/>
      </c>
    </row>
    <row r="405" spans="1:4" ht="20.100000000000001" customHeight="1">
      <c r="A405" s="101" t="str">
        <f t="shared" si="12"/>
        <v/>
      </c>
      <c r="B405" s="62"/>
      <c r="C405" s="98" t="str">
        <f t="array" ref="C405">_xll.RssMarket(B405, "銘柄名称")</f>
        <v/>
      </c>
      <c r="D405" s="99" t="str">
        <f t="shared" si="13"/>
        <v/>
      </c>
    </row>
    <row r="406" spans="1:4" ht="20.100000000000001" customHeight="1">
      <c r="A406" s="101" t="str">
        <f t="shared" si="12"/>
        <v/>
      </c>
      <c r="B406" s="62"/>
      <c r="C406" s="98" t="str">
        <f t="array" ref="C406">_xll.RssMarket(B406, "銘柄名称")</f>
        <v/>
      </c>
      <c r="D406" s="99" t="str">
        <f t="shared" si="13"/>
        <v/>
      </c>
    </row>
    <row r="407" spans="1:4" ht="20.100000000000001" customHeight="1">
      <c r="A407" s="101" t="str">
        <f t="shared" si="12"/>
        <v/>
      </c>
      <c r="B407" s="62"/>
      <c r="C407" s="98" t="str">
        <f t="array" ref="C407">_xll.RssMarket(B407, "銘柄名称")</f>
        <v/>
      </c>
      <c r="D407" s="99" t="str">
        <f t="shared" si="13"/>
        <v/>
      </c>
    </row>
    <row r="408" spans="1:4" ht="20.100000000000001" customHeight="1">
      <c r="A408" s="101" t="str">
        <f t="shared" si="12"/>
        <v/>
      </c>
      <c r="B408" s="62"/>
      <c r="C408" s="98" t="str">
        <f t="array" ref="C408">_xll.RssMarket(B408, "銘柄名称")</f>
        <v/>
      </c>
      <c r="D408" s="99" t="str">
        <f t="shared" si="13"/>
        <v/>
      </c>
    </row>
    <row r="409" spans="1:4" ht="20.100000000000001" customHeight="1">
      <c r="A409" s="101" t="str">
        <f t="shared" si="12"/>
        <v/>
      </c>
      <c r="B409" s="62"/>
      <c r="C409" s="98" t="str">
        <f t="array" ref="C409">_xll.RssMarket(B409, "銘柄名称")</f>
        <v/>
      </c>
      <c r="D409" s="99" t="str">
        <f t="shared" si="13"/>
        <v/>
      </c>
    </row>
    <row r="410" spans="1:4" ht="20.100000000000001" customHeight="1">
      <c r="A410" s="101" t="str">
        <f t="shared" si="12"/>
        <v/>
      </c>
      <c r="B410" s="62"/>
      <c r="C410" s="98" t="str">
        <f t="array" ref="C410">_xll.RssMarket(B410, "銘柄名称")</f>
        <v/>
      </c>
      <c r="D410" s="99" t="str">
        <f t="shared" si="13"/>
        <v/>
      </c>
    </row>
    <row r="411" spans="1:4" ht="20.100000000000001" customHeight="1">
      <c r="A411" s="101" t="str">
        <f t="shared" si="12"/>
        <v/>
      </c>
      <c r="B411" s="62"/>
      <c r="C411" s="98" t="str">
        <f t="array" ref="C411">_xll.RssMarket(B411, "銘柄名称")</f>
        <v/>
      </c>
      <c r="D411" s="99" t="str">
        <f t="shared" si="13"/>
        <v/>
      </c>
    </row>
    <row r="412" spans="1:4" ht="20.100000000000001" customHeight="1">
      <c r="A412" s="101" t="str">
        <f t="shared" si="12"/>
        <v/>
      </c>
      <c r="B412" s="62"/>
      <c r="C412" s="98" t="str">
        <f t="array" ref="C412">_xll.RssMarket(B412, "銘柄名称")</f>
        <v/>
      </c>
      <c r="D412" s="99" t="str">
        <f t="shared" si="13"/>
        <v/>
      </c>
    </row>
    <row r="413" spans="1:4" ht="20.100000000000001" customHeight="1">
      <c r="A413" s="101" t="str">
        <f t="shared" si="12"/>
        <v/>
      </c>
      <c r="B413" s="62"/>
      <c r="C413" s="98" t="str">
        <f t="array" ref="C413">_xll.RssMarket(B413, "銘柄名称")</f>
        <v/>
      </c>
      <c r="D413" s="99" t="str">
        <f t="shared" si="13"/>
        <v/>
      </c>
    </row>
    <row r="414" spans="1:4" ht="20.100000000000001" customHeight="1">
      <c r="A414" s="101" t="str">
        <f t="shared" si="12"/>
        <v/>
      </c>
      <c r="B414" s="62"/>
      <c r="C414" s="98" t="str">
        <f t="array" ref="C414">_xll.RssMarket(B414, "銘柄名称")</f>
        <v/>
      </c>
      <c r="D414" s="99" t="str">
        <f t="shared" si="13"/>
        <v/>
      </c>
    </row>
    <row r="415" spans="1:4" ht="20.100000000000001" customHeight="1">
      <c r="A415" s="101" t="str">
        <f t="shared" si="12"/>
        <v/>
      </c>
      <c r="B415" s="62"/>
      <c r="C415" s="98" t="str">
        <f t="array" ref="C415">_xll.RssMarket(B415, "銘柄名称")</f>
        <v/>
      </c>
      <c r="D415" s="99" t="str">
        <f t="shared" si="13"/>
        <v/>
      </c>
    </row>
    <row r="416" spans="1:4" ht="20.100000000000001" customHeight="1">
      <c r="A416" s="101" t="str">
        <f t="shared" si="12"/>
        <v/>
      </c>
      <c r="B416" s="62"/>
      <c r="C416" s="98" t="str">
        <f t="array" ref="C416">_xll.RssMarket(B416, "銘柄名称")</f>
        <v/>
      </c>
      <c r="D416" s="99" t="str">
        <f t="shared" si="13"/>
        <v/>
      </c>
    </row>
    <row r="417" spans="1:4" ht="20.100000000000001" customHeight="1">
      <c r="A417" s="101" t="str">
        <f t="shared" si="12"/>
        <v/>
      </c>
      <c r="B417" s="62"/>
      <c r="C417" s="98" t="str">
        <f t="array" ref="C417">_xll.RssMarket(B417, "銘柄名称")</f>
        <v/>
      </c>
      <c r="D417" s="99" t="str">
        <f t="shared" si="13"/>
        <v/>
      </c>
    </row>
    <row r="418" spans="1:4" ht="20.100000000000001" customHeight="1">
      <c r="A418" s="101" t="str">
        <f t="shared" si="12"/>
        <v/>
      </c>
      <c r="B418" s="62"/>
      <c r="C418" s="98" t="str">
        <f t="array" ref="C418">_xll.RssMarket(B418, "銘柄名称")</f>
        <v/>
      </c>
      <c r="D418" s="99" t="str">
        <f t="shared" si="13"/>
        <v/>
      </c>
    </row>
    <row r="419" spans="1:4" ht="20.100000000000001" customHeight="1">
      <c r="A419" s="101" t="str">
        <f t="shared" si="12"/>
        <v/>
      </c>
      <c r="B419" s="62"/>
      <c r="C419" s="98" t="str">
        <f t="array" ref="C419">_xll.RssMarket(B419, "銘柄名称")</f>
        <v/>
      </c>
      <c r="D419" s="99" t="str">
        <f t="shared" si="13"/>
        <v/>
      </c>
    </row>
    <row r="420" spans="1:4" ht="20.100000000000001" customHeight="1">
      <c r="A420" s="101" t="str">
        <f t="shared" si="12"/>
        <v/>
      </c>
      <c r="B420" s="62"/>
      <c r="C420" s="98" t="str">
        <f t="array" ref="C420">_xll.RssMarket(B420, "銘柄名称")</f>
        <v/>
      </c>
      <c r="D420" s="99" t="str">
        <f t="shared" si="13"/>
        <v/>
      </c>
    </row>
    <row r="421" spans="1:4" ht="20.100000000000001" customHeight="1">
      <c r="A421" s="101" t="str">
        <f t="shared" si="12"/>
        <v/>
      </c>
      <c r="B421" s="62"/>
      <c r="C421" s="98" t="str">
        <f t="array" ref="C421">_xll.RssMarket(B421, "銘柄名称")</f>
        <v/>
      </c>
      <c r="D421" s="99" t="str">
        <f t="shared" si="13"/>
        <v/>
      </c>
    </row>
    <row r="422" spans="1:4" ht="20.100000000000001" customHeight="1">
      <c r="A422" s="101" t="str">
        <f t="shared" si="12"/>
        <v/>
      </c>
      <c r="B422" s="62"/>
      <c r="C422" s="98" t="str">
        <f t="array" ref="C422">_xll.RssMarket(B422, "銘柄名称")</f>
        <v/>
      </c>
      <c r="D422" s="99" t="str">
        <f t="shared" si="13"/>
        <v/>
      </c>
    </row>
    <row r="423" spans="1:4" ht="20.100000000000001" customHeight="1">
      <c r="A423" s="101" t="str">
        <f t="shared" si="12"/>
        <v/>
      </c>
      <c r="B423" s="62"/>
      <c r="C423" s="98" t="str">
        <f t="array" ref="C423">_xll.RssMarket(B423, "銘柄名称")</f>
        <v/>
      </c>
      <c r="D423" s="99" t="str">
        <f t="shared" si="13"/>
        <v/>
      </c>
    </row>
    <row r="424" spans="1:4" ht="20.100000000000001" customHeight="1">
      <c r="A424" s="101" t="str">
        <f t="shared" si="12"/>
        <v/>
      </c>
      <c r="B424" s="62"/>
      <c r="C424" s="98" t="str">
        <f t="array" ref="C424">_xll.RssMarket(B424, "銘柄名称")</f>
        <v/>
      </c>
      <c r="D424" s="99" t="str">
        <f t="shared" si="13"/>
        <v/>
      </c>
    </row>
    <row r="425" spans="1:4" ht="20.100000000000001" customHeight="1">
      <c r="A425" s="101" t="str">
        <f t="shared" si="12"/>
        <v/>
      </c>
      <c r="B425" s="62"/>
      <c r="C425" s="98" t="str">
        <f t="array" ref="C425">_xll.RssMarket(B425, "銘柄名称")</f>
        <v/>
      </c>
      <c r="D425" s="99" t="str">
        <f t="shared" si="13"/>
        <v/>
      </c>
    </row>
    <row r="426" spans="1:4" ht="20.100000000000001" customHeight="1">
      <c r="A426" s="101" t="str">
        <f t="shared" si="12"/>
        <v/>
      </c>
      <c r="B426" s="62"/>
      <c r="C426" s="98" t="str">
        <f t="array" ref="C426">_xll.RssMarket(B426, "銘柄名称")</f>
        <v/>
      </c>
      <c r="D426" s="99" t="str">
        <f t="shared" si="13"/>
        <v/>
      </c>
    </row>
    <row r="427" spans="1:4" ht="20.100000000000001" customHeight="1">
      <c r="A427" s="101" t="str">
        <f t="shared" si="12"/>
        <v/>
      </c>
      <c r="B427" s="62"/>
      <c r="C427" s="98" t="str">
        <f t="array" ref="C427">_xll.RssMarket(B427, "銘柄名称")</f>
        <v/>
      </c>
      <c r="D427" s="99" t="str">
        <f t="shared" si="13"/>
        <v/>
      </c>
    </row>
    <row r="428" spans="1:4" ht="20.100000000000001" customHeight="1">
      <c r="A428" s="101" t="str">
        <f t="shared" si="12"/>
        <v/>
      </c>
      <c r="B428" s="62"/>
      <c r="C428" s="98" t="str">
        <f t="array" ref="C428">_xll.RssMarket(B428, "銘柄名称")</f>
        <v/>
      </c>
      <c r="D428" s="99" t="str">
        <f t="shared" si="13"/>
        <v/>
      </c>
    </row>
    <row r="429" spans="1:4" ht="20.100000000000001" customHeight="1">
      <c r="A429" s="101" t="str">
        <f t="shared" si="12"/>
        <v/>
      </c>
      <c r="B429" s="62"/>
      <c r="C429" s="98" t="str">
        <f t="array" ref="C429">_xll.RssMarket(B429, "銘柄名称")</f>
        <v/>
      </c>
      <c r="D429" s="99" t="str">
        <f t="shared" si="13"/>
        <v/>
      </c>
    </row>
    <row r="430" spans="1:4" ht="20.100000000000001" customHeight="1">
      <c r="A430" s="101" t="str">
        <f t="shared" si="12"/>
        <v/>
      </c>
      <c r="B430" s="62"/>
      <c r="C430" s="98" t="str">
        <f t="array" ref="C430">_xll.RssMarket(B430, "銘柄名称")</f>
        <v/>
      </c>
      <c r="D430" s="99" t="str">
        <f t="shared" si="13"/>
        <v/>
      </c>
    </row>
    <row r="431" spans="1:4" ht="20.100000000000001" customHeight="1">
      <c r="A431" s="101" t="str">
        <f t="shared" si="12"/>
        <v/>
      </c>
      <c r="B431" s="62"/>
      <c r="C431" s="98" t="str">
        <f t="array" ref="C431">_xll.RssMarket(B431, "銘柄名称")</f>
        <v/>
      </c>
      <c r="D431" s="99" t="str">
        <f t="shared" si="13"/>
        <v/>
      </c>
    </row>
    <row r="432" spans="1:4" ht="20.100000000000001" customHeight="1">
      <c r="A432" s="101" t="str">
        <f t="shared" si="12"/>
        <v/>
      </c>
      <c r="B432" s="62"/>
      <c r="C432" s="98" t="str">
        <f t="array" ref="C432">_xll.RssMarket(B432, "銘柄名称")</f>
        <v/>
      </c>
      <c r="D432" s="99" t="str">
        <f t="shared" si="13"/>
        <v/>
      </c>
    </row>
    <row r="433" spans="1:4" ht="20.100000000000001" customHeight="1">
      <c r="A433" s="101" t="str">
        <f t="shared" si="12"/>
        <v/>
      </c>
      <c r="B433" s="62"/>
      <c r="C433" s="98" t="str">
        <f t="array" ref="C433">_xll.RssMarket(B433, "銘柄名称")</f>
        <v/>
      </c>
      <c r="D433" s="99" t="str">
        <f t="shared" si="13"/>
        <v/>
      </c>
    </row>
    <row r="434" spans="1:4" ht="20.100000000000001" customHeight="1">
      <c r="A434" s="101" t="str">
        <f t="shared" si="12"/>
        <v/>
      </c>
      <c r="B434" s="62"/>
      <c r="C434" s="98" t="str">
        <f t="array" ref="C434">_xll.RssMarket(B434, "銘柄名称")</f>
        <v/>
      </c>
      <c r="D434" s="99" t="str">
        <f t="shared" si="13"/>
        <v/>
      </c>
    </row>
    <row r="435" spans="1:4" ht="20.100000000000001" customHeight="1">
      <c r="A435" s="101" t="str">
        <f t="shared" si="12"/>
        <v/>
      </c>
      <c r="B435" s="62"/>
      <c r="C435" s="98" t="str">
        <f t="array" ref="C435">_xll.RssMarket(B435, "銘柄名称")</f>
        <v/>
      </c>
      <c r="D435" s="99" t="str">
        <f t="shared" si="13"/>
        <v/>
      </c>
    </row>
    <row r="436" spans="1:4" ht="20.100000000000001" customHeight="1">
      <c r="A436" s="101" t="str">
        <f t="shared" si="12"/>
        <v/>
      </c>
      <c r="B436" s="62"/>
      <c r="C436" s="98" t="str">
        <f t="array" ref="C436">_xll.RssMarket(B436, "銘柄名称")</f>
        <v/>
      </c>
      <c r="D436" s="99" t="str">
        <f t="shared" si="13"/>
        <v/>
      </c>
    </row>
    <row r="437" spans="1:4" ht="20.100000000000001" customHeight="1">
      <c r="A437" s="101" t="str">
        <f t="shared" si="12"/>
        <v/>
      </c>
      <c r="B437" s="62"/>
      <c r="C437" s="98" t="str">
        <f t="array" ref="C437">_xll.RssMarket(B437, "銘柄名称")</f>
        <v/>
      </c>
      <c r="D437" s="99" t="str">
        <f t="shared" si="13"/>
        <v/>
      </c>
    </row>
    <row r="438" spans="1:4" ht="20.100000000000001" customHeight="1">
      <c r="A438" s="101" t="str">
        <f t="shared" si="12"/>
        <v/>
      </c>
      <c r="B438" s="62"/>
      <c r="C438" s="98" t="str">
        <f t="array" ref="C438">_xll.RssMarket(B438, "銘柄名称")</f>
        <v/>
      </c>
      <c r="D438" s="99" t="str">
        <f t="shared" si="13"/>
        <v/>
      </c>
    </row>
    <row r="439" spans="1:4" ht="20.100000000000001" customHeight="1">
      <c r="A439" s="101" t="str">
        <f t="shared" si="12"/>
        <v/>
      </c>
      <c r="B439" s="62"/>
      <c r="C439" s="98" t="str">
        <f t="array" ref="C439">_xll.RssMarket(B439, "銘柄名称")</f>
        <v/>
      </c>
      <c r="D439" s="99" t="str">
        <f t="shared" si="13"/>
        <v/>
      </c>
    </row>
    <row r="440" spans="1:4" ht="20.100000000000001" customHeight="1">
      <c r="A440" s="101" t="str">
        <f t="shared" si="12"/>
        <v/>
      </c>
      <c r="B440" s="62"/>
      <c r="C440" s="98" t="str">
        <f t="array" ref="C440">_xll.RssMarket(B440, "銘柄名称")</f>
        <v/>
      </c>
      <c r="D440" s="99" t="str">
        <f t="shared" si="13"/>
        <v/>
      </c>
    </row>
    <row r="441" spans="1:4" ht="20.100000000000001" customHeight="1">
      <c r="A441" s="101" t="str">
        <f t="shared" si="12"/>
        <v/>
      </c>
      <c r="B441" s="62"/>
      <c r="C441" s="98" t="str">
        <f t="array" ref="C441">_xll.RssMarket(B441, "銘柄名称")</f>
        <v/>
      </c>
      <c r="D441" s="99" t="str">
        <f t="shared" si="13"/>
        <v/>
      </c>
    </row>
    <row r="442" spans="1:4" ht="20.100000000000001" customHeight="1">
      <c r="A442" s="101" t="str">
        <f t="shared" si="12"/>
        <v/>
      </c>
      <c r="B442" s="62"/>
      <c r="C442" s="98" t="str">
        <f t="array" ref="C442">_xll.RssMarket(B442, "銘柄名称")</f>
        <v/>
      </c>
      <c r="D442" s="99" t="str">
        <f t="shared" si="13"/>
        <v/>
      </c>
    </row>
    <row r="443" spans="1:4" ht="20.100000000000001" customHeight="1">
      <c r="A443" s="101" t="str">
        <f t="shared" si="12"/>
        <v/>
      </c>
      <c r="B443" s="62"/>
      <c r="C443" s="98" t="str">
        <f t="array" ref="C443">_xll.RssMarket(B443, "銘柄名称")</f>
        <v/>
      </c>
      <c r="D443" s="99" t="str">
        <f t="shared" si="13"/>
        <v/>
      </c>
    </row>
    <row r="444" spans="1:4" ht="20.100000000000001" customHeight="1">
      <c r="A444" s="101" t="str">
        <f t="shared" si="12"/>
        <v/>
      </c>
      <c r="B444" s="62"/>
      <c r="C444" s="98" t="str">
        <f t="array" ref="C444">_xll.RssMarket(B444, "銘柄名称")</f>
        <v/>
      </c>
      <c r="D444" s="99" t="str">
        <f t="shared" si="13"/>
        <v/>
      </c>
    </row>
    <row r="445" spans="1:4" ht="20.100000000000001" customHeight="1">
      <c r="A445" s="101" t="str">
        <f t="shared" si="12"/>
        <v/>
      </c>
      <c r="B445" s="62"/>
      <c r="C445" s="98" t="str">
        <f t="array" ref="C445">_xll.RssMarket(B445, "銘柄名称")</f>
        <v/>
      </c>
      <c r="D445" s="99" t="str">
        <f t="shared" si="13"/>
        <v/>
      </c>
    </row>
    <row r="446" spans="1:4" ht="20.100000000000001" customHeight="1">
      <c r="A446" s="101" t="str">
        <f t="shared" si="12"/>
        <v/>
      </c>
      <c r="B446" s="62"/>
      <c r="C446" s="98" t="str">
        <f t="array" ref="C446">_xll.RssMarket(B446, "銘柄名称")</f>
        <v/>
      </c>
      <c r="D446" s="99" t="str">
        <f t="shared" si="13"/>
        <v/>
      </c>
    </row>
    <row r="447" spans="1:4" ht="20.100000000000001" customHeight="1">
      <c r="A447" s="101" t="str">
        <f t="shared" si="12"/>
        <v/>
      </c>
      <c r="B447" s="62"/>
      <c r="C447" s="98" t="str">
        <f t="array" ref="C447">_xll.RssMarket(B447, "銘柄名称")</f>
        <v/>
      </c>
      <c r="D447" s="99" t="str">
        <f t="shared" si="13"/>
        <v/>
      </c>
    </row>
    <row r="448" spans="1:4" ht="20.100000000000001" customHeight="1">
      <c r="A448" s="101" t="str">
        <f t="shared" si="12"/>
        <v/>
      </c>
      <c r="B448" s="62"/>
      <c r="C448" s="98" t="str">
        <f t="array" ref="C448">_xll.RssMarket(B448, "銘柄名称")</f>
        <v/>
      </c>
      <c r="D448" s="99" t="str">
        <f t="shared" si="13"/>
        <v/>
      </c>
    </row>
    <row r="449" spans="1:4" ht="20.100000000000001" customHeight="1">
      <c r="A449" s="101" t="str">
        <f t="shared" si="12"/>
        <v/>
      </c>
      <c r="B449" s="62"/>
      <c r="C449" s="98" t="str">
        <f t="array" ref="C449">_xll.RssMarket(B449, "銘柄名称")</f>
        <v/>
      </c>
      <c r="D449" s="99" t="str">
        <f t="shared" si="13"/>
        <v/>
      </c>
    </row>
    <row r="450" spans="1:4" ht="20.100000000000001" customHeight="1">
      <c r="A450" s="101" t="str">
        <f t="shared" si="12"/>
        <v/>
      </c>
      <c r="B450" s="62"/>
      <c r="C450" s="98" t="str">
        <f t="array" ref="C450">_xll.RssMarket(B450, "銘柄名称")</f>
        <v/>
      </c>
      <c r="D450" s="99" t="str">
        <f t="shared" si="13"/>
        <v/>
      </c>
    </row>
    <row r="451" spans="1:4" ht="20.100000000000001" customHeight="1">
      <c r="A451" s="101" t="str">
        <f t="shared" si="12"/>
        <v/>
      </c>
      <c r="B451" s="62"/>
      <c r="C451" s="98" t="str">
        <f t="array" ref="C451">_xll.RssMarket(B451, "銘柄名称")</f>
        <v/>
      </c>
      <c r="D451" s="99" t="str">
        <f t="shared" si="13"/>
        <v/>
      </c>
    </row>
    <row r="452" spans="1:4" ht="20.100000000000001" customHeight="1">
      <c r="A452" s="101" t="str">
        <f t="shared" si="12"/>
        <v/>
      </c>
      <c r="B452" s="62"/>
      <c r="C452" s="98" t="str">
        <f t="array" ref="C452">_xll.RssMarket(B452, "銘柄名称")</f>
        <v/>
      </c>
      <c r="D452" s="99" t="str">
        <f t="shared" si="13"/>
        <v/>
      </c>
    </row>
    <row r="453" spans="1:4" ht="20.100000000000001" customHeight="1">
      <c r="A453" s="101" t="str">
        <f t="shared" si="12"/>
        <v/>
      </c>
      <c r="B453" s="62"/>
      <c r="C453" s="98" t="str">
        <f t="array" ref="C453">_xll.RssMarket(B453, "銘柄名称")</f>
        <v/>
      </c>
      <c r="D453" s="99" t="str">
        <f t="shared" si="13"/>
        <v/>
      </c>
    </row>
    <row r="454" spans="1:4" ht="20.100000000000001" customHeight="1">
      <c r="A454" s="101" t="str">
        <f t="shared" ref="A454:A505" si="14">IF(B454="","",ROW()-5)</f>
        <v/>
      </c>
      <c r="B454" s="62"/>
      <c r="C454" s="98" t="str">
        <f t="array" ref="C454">_xll.RssMarket(B454, "銘柄名称")</f>
        <v/>
      </c>
      <c r="D454" s="99" t="str">
        <f t="shared" si="13"/>
        <v/>
      </c>
    </row>
    <row r="455" spans="1:4" ht="20.100000000000001" customHeight="1">
      <c r="A455" s="101" t="str">
        <f t="shared" si="14"/>
        <v/>
      </c>
      <c r="B455" s="62"/>
      <c r="C455" s="98" t="str">
        <f t="array" ref="C455">_xll.RssMarket(B455, "銘柄名称")</f>
        <v/>
      </c>
      <c r="D455" s="99" t="str">
        <f t="shared" ref="D455:D505" si="15">IF(B455="","",HYPERLINK("https://kabutan.jp/stock/?code="&amp;B455,"株探"))</f>
        <v/>
      </c>
    </row>
    <row r="456" spans="1:4" ht="20.100000000000001" customHeight="1">
      <c r="A456" s="101" t="str">
        <f t="shared" si="14"/>
        <v/>
      </c>
      <c r="B456" s="62"/>
      <c r="C456" s="98" t="str">
        <f t="array" ref="C456">_xll.RssMarket(B456, "銘柄名称")</f>
        <v/>
      </c>
      <c r="D456" s="99" t="str">
        <f t="shared" si="15"/>
        <v/>
      </c>
    </row>
    <row r="457" spans="1:4" ht="20.100000000000001" customHeight="1">
      <c r="A457" s="101" t="str">
        <f t="shared" si="14"/>
        <v/>
      </c>
      <c r="B457" s="62"/>
      <c r="C457" s="98" t="str">
        <f t="array" ref="C457">_xll.RssMarket(B457, "銘柄名称")</f>
        <v/>
      </c>
      <c r="D457" s="99" t="str">
        <f t="shared" si="15"/>
        <v/>
      </c>
    </row>
    <row r="458" spans="1:4" ht="20.100000000000001" customHeight="1">
      <c r="A458" s="101" t="str">
        <f t="shared" si="14"/>
        <v/>
      </c>
      <c r="B458" s="62"/>
      <c r="C458" s="98" t="str">
        <f t="array" ref="C458">_xll.RssMarket(B458, "銘柄名称")</f>
        <v/>
      </c>
      <c r="D458" s="99" t="str">
        <f t="shared" si="15"/>
        <v/>
      </c>
    </row>
    <row r="459" spans="1:4" ht="20.100000000000001" customHeight="1">
      <c r="A459" s="101" t="str">
        <f t="shared" si="14"/>
        <v/>
      </c>
      <c r="B459" s="62"/>
      <c r="C459" s="98" t="str">
        <f t="array" ref="C459">_xll.RssMarket(B459, "銘柄名称")</f>
        <v/>
      </c>
      <c r="D459" s="99" t="str">
        <f t="shared" si="15"/>
        <v/>
      </c>
    </row>
    <row r="460" spans="1:4" ht="20.100000000000001" customHeight="1">
      <c r="A460" s="101" t="str">
        <f t="shared" si="14"/>
        <v/>
      </c>
      <c r="B460" s="62"/>
      <c r="C460" s="98" t="str">
        <f t="array" ref="C460">_xll.RssMarket(B460, "銘柄名称")</f>
        <v/>
      </c>
      <c r="D460" s="99" t="str">
        <f t="shared" si="15"/>
        <v/>
      </c>
    </row>
    <row r="461" spans="1:4" ht="20.100000000000001" customHeight="1">
      <c r="A461" s="101" t="str">
        <f t="shared" si="14"/>
        <v/>
      </c>
      <c r="B461" s="62"/>
      <c r="C461" s="98" t="str">
        <f t="array" ref="C461">_xll.RssMarket(B461, "銘柄名称")</f>
        <v/>
      </c>
      <c r="D461" s="99" t="str">
        <f t="shared" si="15"/>
        <v/>
      </c>
    </row>
    <row r="462" spans="1:4" ht="20.100000000000001" customHeight="1">
      <c r="A462" s="101" t="str">
        <f t="shared" si="14"/>
        <v/>
      </c>
      <c r="B462" s="62"/>
      <c r="C462" s="98" t="str">
        <f t="array" ref="C462">_xll.RssMarket(B462, "銘柄名称")</f>
        <v/>
      </c>
      <c r="D462" s="99" t="str">
        <f t="shared" si="15"/>
        <v/>
      </c>
    </row>
    <row r="463" spans="1:4" ht="20.100000000000001" customHeight="1">
      <c r="A463" s="101" t="str">
        <f t="shared" si="14"/>
        <v/>
      </c>
      <c r="B463" s="62"/>
      <c r="C463" s="98" t="str">
        <f t="array" ref="C463">_xll.RssMarket(B463, "銘柄名称")</f>
        <v/>
      </c>
      <c r="D463" s="99" t="str">
        <f t="shared" si="15"/>
        <v/>
      </c>
    </row>
    <row r="464" spans="1:4" ht="20.100000000000001" customHeight="1">
      <c r="A464" s="101" t="str">
        <f t="shared" si="14"/>
        <v/>
      </c>
      <c r="B464" s="62"/>
      <c r="C464" s="98" t="str">
        <f t="array" ref="C464">_xll.RssMarket(B464, "銘柄名称")</f>
        <v/>
      </c>
      <c r="D464" s="99" t="str">
        <f t="shared" si="15"/>
        <v/>
      </c>
    </row>
    <row r="465" spans="1:4" ht="20.100000000000001" customHeight="1">
      <c r="A465" s="101" t="str">
        <f t="shared" si="14"/>
        <v/>
      </c>
      <c r="B465" s="62"/>
      <c r="C465" s="98" t="str">
        <f t="array" ref="C465">_xll.RssMarket(B465, "銘柄名称")</f>
        <v/>
      </c>
      <c r="D465" s="99" t="str">
        <f t="shared" si="15"/>
        <v/>
      </c>
    </row>
    <row r="466" spans="1:4" ht="20.100000000000001" customHeight="1">
      <c r="A466" s="101" t="str">
        <f t="shared" si="14"/>
        <v/>
      </c>
      <c r="B466" s="62"/>
      <c r="C466" s="98" t="str">
        <f t="array" ref="C466">_xll.RssMarket(B466, "銘柄名称")</f>
        <v/>
      </c>
      <c r="D466" s="99" t="str">
        <f t="shared" si="15"/>
        <v/>
      </c>
    </row>
    <row r="467" spans="1:4" ht="20.100000000000001" customHeight="1">
      <c r="A467" s="101" t="str">
        <f t="shared" si="14"/>
        <v/>
      </c>
      <c r="B467" s="62"/>
      <c r="C467" s="98" t="str">
        <f t="array" ref="C467">_xll.RssMarket(B467, "銘柄名称")</f>
        <v/>
      </c>
      <c r="D467" s="99" t="str">
        <f t="shared" si="15"/>
        <v/>
      </c>
    </row>
    <row r="468" spans="1:4" ht="20.100000000000001" customHeight="1">
      <c r="A468" s="101" t="str">
        <f t="shared" si="14"/>
        <v/>
      </c>
      <c r="B468" s="62"/>
      <c r="C468" s="98" t="str">
        <f t="array" ref="C468">_xll.RssMarket(B468, "銘柄名称")</f>
        <v/>
      </c>
      <c r="D468" s="99" t="str">
        <f t="shared" si="15"/>
        <v/>
      </c>
    </row>
    <row r="469" spans="1:4" ht="20.100000000000001" customHeight="1">
      <c r="A469" s="101" t="str">
        <f t="shared" si="14"/>
        <v/>
      </c>
      <c r="B469" s="62"/>
      <c r="C469" s="98" t="str">
        <f t="array" ref="C469">_xll.RssMarket(B469, "銘柄名称")</f>
        <v/>
      </c>
      <c r="D469" s="99" t="str">
        <f t="shared" si="15"/>
        <v/>
      </c>
    </row>
    <row r="470" spans="1:4" ht="20.100000000000001" customHeight="1">
      <c r="A470" s="101" t="str">
        <f t="shared" si="14"/>
        <v/>
      </c>
      <c r="B470" s="62"/>
      <c r="C470" s="98" t="str">
        <f t="array" ref="C470">_xll.RssMarket(B470, "銘柄名称")</f>
        <v/>
      </c>
      <c r="D470" s="99" t="str">
        <f t="shared" si="15"/>
        <v/>
      </c>
    </row>
    <row r="471" spans="1:4" ht="20.100000000000001" customHeight="1">
      <c r="A471" s="101" t="str">
        <f t="shared" si="14"/>
        <v/>
      </c>
      <c r="B471" s="62"/>
      <c r="C471" s="98" t="str">
        <f t="array" ref="C471">_xll.RssMarket(B471, "銘柄名称")</f>
        <v/>
      </c>
      <c r="D471" s="99" t="str">
        <f t="shared" si="15"/>
        <v/>
      </c>
    </row>
    <row r="472" spans="1:4" ht="20.100000000000001" customHeight="1">
      <c r="A472" s="101" t="str">
        <f t="shared" si="14"/>
        <v/>
      </c>
      <c r="B472" s="62"/>
      <c r="C472" s="98" t="str">
        <f t="array" ref="C472">_xll.RssMarket(B472, "銘柄名称")</f>
        <v/>
      </c>
      <c r="D472" s="99" t="str">
        <f t="shared" si="15"/>
        <v/>
      </c>
    </row>
    <row r="473" spans="1:4" ht="20.100000000000001" customHeight="1">
      <c r="A473" s="101" t="str">
        <f t="shared" si="14"/>
        <v/>
      </c>
      <c r="B473" s="62"/>
      <c r="C473" s="98" t="str">
        <f t="array" ref="C473">_xll.RssMarket(B473, "銘柄名称")</f>
        <v/>
      </c>
      <c r="D473" s="99" t="str">
        <f t="shared" si="15"/>
        <v/>
      </c>
    </row>
    <row r="474" spans="1:4" ht="20.100000000000001" customHeight="1">
      <c r="A474" s="101" t="str">
        <f t="shared" si="14"/>
        <v/>
      </c>
      <c r="B474" s="62"/>
      <c r="C474" s="98" t="str">
        <f t="array" ref="C474">_xll.RssMarket(B474, "銘柄名称")</f>
        <v/>
      </c>
      <c r="D474" s="99" t="str">
        <f t="shared" si="15"/>
        <v/>
      </c>
    </row>
    <row r="475" spans="1:4" ht="20.100000000000001" customHeight="1">
      <c r="A475" s="101" t="str">
        <f t="shared" si="14"/>
        <v/>
      </c>
      <c r="B475" s="62"/>
      <c r="C475" s="98" t="str">
        <f t="array" ref="C475">_xll.RssMarket(B475, "銘柄名称")</f>
        <v/>
      </c>
      <c r="D475" s="99" t="str">
        <f t="shared" si="15"/>
        <v/>
      </c>
    </row>
    <row r="476" spans="1:4" ht="20.100000000000001" customHeight="1">
      <c r="A476" s="101" t="str">
        <f t="shared" si="14"/>
        <v/>
      </c>
      <c r="B476" s="62"/>
      <c r="C476" s="98" t="str">
        <f t="array" ref="C476">_xll.RssMarket(B476, "銘柄名称")</f>
        <v/>
      </c>
      <c r="D476" s="99" t="str">
        <f t="shared" si="15"/>
        <v/>
      </c>
    </row>
    <row r="477" spans="1:4" ht="20.100000000000001" customHeight="1">
      <c r="A477" s="101" t="str">
        <f t="shared" si="14"/>
        <v/>
      </c>
      <c r="B477" s="62"/>
      <c r="C477" s="98" t="str">
        <f t="array" ref="C477">_xll.RssMarket(B477, "銘柄名称")</f>
        <v/>
      </c>
      <c r="D477" s="99" t="str">
        <f t="shared" si="15"/>
        <v/>
      </c>
    </row>
    <row r="478" spans="1:4" ht="20.100000000000001" customHeight="1">
      <c r="A478" s="101" t="str">
        <f t="shared" si="14"/>
        <v/>
      </c>
      <c r="B478" s="62"/>
      <c r="C478" s="98" t="str">
        <f t="array" ref="C478">_xll.RssMarket(B478, "銘柄名称")</f>
        <v/>
      </c>
      <c r="D478" s="99" t="str">
        <f t="shared" si="15"/>
        <v/>
      </c>
    </row>
    <row r="479" spans="1:4" ht="20.100000000000001" customHeight="1">
      <c r="A479" s="101" t="str">
        <f t="shared" si="14"/>
        <v/>
      </c>
      <c r="B479" s="62"/>
      <c r="C479" s="98" t="str">
        <f t="array" ref="C479">_xll.RssMarket(B479, "銘柄名称")</f>
        <v/>
      </c>
      <c r="D479" s="99" t="str">
        <f t="shared" si="15"/>
        <v/>
      </c>
    </row>
    <row r="480" spans="1:4" ht="20.100000000000001" customHeight="1">
      <c r="A480" s="101" t="str">
        <f t="shared" si="14"/>
        <v/>
      </c>
      <c r="B480" s="62"/>
      <c r="C480" s="98" t="str">
        <f t="array" ref="C480">_xll.RssMarket(B480, "銘柄名称")</f>
        <v/>
      </c>
      <c r="D480" s="99" t="str">
        <f t="shared" si="15"/>
        <v/>
      </c>
    </row>
    <row r="481" spans="1:4" ht="20.100000000000001" customHeight="1">
      <c r="A481" s="101" t="str">
        <f t="shared" si="14"/>
        <v/>
      </c>
      <c r="B481" s="62"/>
      <c r="C481" s="98" t="str">
        <f t="array" ref="C481">_xll.RssMarket(B481, "銘柄名称")</f>
        <v/>
      </c>
      <c r="D481" s="99" t="str">
        <f t="shared" si="15"/>
        <v/>
      </c>
    </row>
    <row r="482" spans="1:4" ht="20.100000000000001" customHeight="1">
      <c r="A482" s="101" t="str">
        <f t="shared" si="14"/>
        <v/>
      </c>
      <c r="B482" s="62"/>
      <c r="C482" s="98" t="str">
        <f t="array" ref="C482">_xll.RssMarket(B482, "銘柄名称")</f>
        <v/>
      </c>
      <c r="D482" s="99" t="str">
        <f t="shared" si="15"/>
        <v/>
      </c>
    </row>
    <row r="483" spans="1:4" ht="20.100000000000001" customHeight="1">
      <c r="A483" s="101" t="str">
        <f t="shared" si="14"/>
        <v/>
      </c>
      <c r="B483" s="62"/>
      <c r="C483" s="98" t="str">
        <f t="array" ref="C483">_xll.RssMarket(B483, "銘柄名称")</f>
        <v/>
      </c>
      <c r="D483" s="99" t="str">
        <f t="shared" si="15"/>
        <v/>
      </c>
    </row>
    <row r="484" spans="1:4" ht="20.100000000000001" customHeight="1">
      <c r="A484" s="101" t="str">
        <f t="shared" si="14"/>
        <v/>
      </c>
      <c r="B484" s="62"/>
      <c r="C484" s="98" t="str">
        <f t="array" ref="C484">_xll.RssMarket(B484, "銘柄名称")</f>
        <v/>
      </c>
      <c r="D484" s="99" t="str">
        <f t="shared" si="15"/>
        <v/>
      </c>
    </row>
    <row r="485" spans="1:4" ht="20.100000000000001" customHeight="1">
      <c r="A485" s="101" t="str">
        <f t="shared" si="14"/>
        <v/>
      </c>
      <c r="B485" s="62"/>
      <c r="C485" s="98" t="str">
        <f t="array" ref="C485">_xll.RssMarket(B485, "銘柄名称")</f>
        <v/>
      </c>
      <c r="D485" s="99" t="str">
        <f t="shared" si="15"/>
        <v/>
      </c>
    </row>
    <row r="486" spans="1:4" ht="20.100000000000001" customHeight="1">
      <c r="A486" s="101" t="str">
        <f t="shared" si="14"/>
        <v/>
      </c>
      <c r="B486" s="62"/>
      <c r="C486" s="98" t="str">
        <f t="array" ref="C486">_xll.RssMarket(B486, "銘柄名称")</f>
        <v/>
      </c>
      <c r="D486" s="99" t="str">
        <f t="shared" si="15"/>
        <v/>
      </c>
    </row>
    <row r="487" spans="1:4" ht="20.100000000000001" customHeight="1">
      <c r="A487" s="101" t="str">
        <f t="shared" si="14"/>
        <v/>
      </c>
      <c r="B487" s="62"/>
      <c r="C487" s="98" t="str">
        <f t="array" ref="C487">_xll.RssMarket(B487, "銘柄名称")</f>
        <v/>
      </c>
      <c r="D487" s="99" t="str">
        <f t="shared" si="15"/>
        <v/>
      </c>
    </row>
    <row r="488" spans="1:4" ht="20.100000000000001" customHeight="1">
      <c r="A488" s="101" t="str">
        <f t="shared" si="14"/>
        <v/>
      </c>
      <c r="B488" s="62"/>
      <c r="C488" s="98" t="str">
        <f t="array" ref="C488">_xll.RssMarket(B488, "銘柄名称")</f>
        <v/>
      </c>
      <c r="D488" s="99" t="str">
        <f t="shared" si="15"/>
        <v/>
      </c>
    </row>
    <row r="489" spans="1:4" ht="20.100000000000001" customHeight="1">
      <c r="A489" s="101" t="str">
        <f t="shared" si="14"/>
        <v/>
      </c>
      <c r="B489" s="62"/>
      <c r="C489" s="98" t="str">
        <f t="array" ref="C489">_xll.RssMarket(B489, "銘柄名称")</f>
        <v/>
      </c>
      <c r="D489" s="99" t="str">
        <f t="shared" si="15"/>
        <v/>
      </c>
    </row>
    <row r="490" spans="1:4" ht="20.100000000000001" customHeight="1">
      <c r="A490" s="101" t="str">
        <f t="shared" si="14"/>
        <v/>
      </c>
      <c r="B490" s="62"/>
      <c r="C490" s="98" t="str">
        <f t="array" ref="C490">_xll.RssMarket(B490, "銘柄名称")</f>
        <v/>
      </c>
      <c r="D490" s="99" t="str">
        <f t="shared" si="15"/>
        <v/>
      </c>
    </row>
    <row r="491" spans="1:4" ht="20.100000000000001" customHeight="1">
      <c r="A491" s="101" t="str">
        <f t="shared" si="14"/>
        <v/>
      </c>
      <c r="B491" s="62"/>
      <c r="C491" s="98" t="str">
        <f t="array" ref="C491">_xll.RssMarket(B491, "銘柄名称")</f>
        <v/>
      </c>
      <c r="D491" s="99" t="str">
        <f t="shared" si="15"/>
        <v/>
      </c>
    </row>
    <row r="492" spans="1:4" ht="20.100000000000001" customHeight="1">
      <c r="A492" s="101" t="str">
        <f t="shared" si="14"/>
        <v/>
      </c>
      <c r="B492" s="62"/>
      <c r="C492" s="98" t="str">
        <f t="array" ref="C492">_xll.RssMarket(B492, "銘柄名称")</f>
        <v/>
      </c>
      <c r="D492" s="99" t="str">
        <f t="shared" si="15"/>
        <v/>
      </c>
    </row>
    <row r="493" spans="1:4" ht="20.100000000000001" customHeight="1">
      <c r="A493" s="101" t="str">
        <f t="shared" si="14"/>
        <v/>
      </c>
      <c r="B493" s="62"/>
      <c r="C493" s="98" t="str">
        <f t="array" ref="C493">_xll.RssMarket(B493, "銘柄名称")</f>
        <v/>
      </c>
      <c r="D493" s="99" t="str">
        <f t="shared" si="15"/>
        <v/>
      </c>
    </row>
    <row r="494" spans="1:4" ht="20.100000000000001" customHeight="1">
      <c r="A494" s="101" t="str">
        <f t="shared" si="14"/>
        <v/>
      </c>
      <c r="B494" s="62"/>
      <c r="C494" s="98" t="str">
        <f t="array" ref="C494">_xll.RssMarket(B494, "銘柄名称")</f>
        <v/>
      </c>
      <c r="D494" s="99" t="str">
        <f t="shared" si="15"/>
        <v/>
      </c>
    </row>
    <row r="495" spans="1:4" ht="20.100000000000001" customHeight="1">
      <c r="A495" s="101" t="str">
        <f t="shared" si="14"/>
        <v/>
      </c>
      <c r="B495" s="62"/>
      <c r="C495" s="98" t="str">
        <f t="array" ref="C495">_xll.RssMarket(B495, "銘柄名称")</f>
        <v/>
      </c>
      <c r="D495" s="99" t="str">
        <f t="shared" si="15"/>
        <v/>
      </c>
    </row>
    <row r="496" spans="1:4" ht="20.100000000000001" customHeight="1">
      <c r="A496" s="101" t="str">
        <f t="shared" si="14"/>
        <v/>
      </c>
      <c r="B496" s="62"/>
      <c r="C496" s="98" t="str">
        <f t="array" ref="C496">_xll.RssMarket(B496, "銘柄名称")</f>
        <v/>
      </c>
      <c r="D496" s="99" t="str">
        <f t="shared" si="15"/>
        <v/>
      </c>
    </row>
    <row r="497" spans="1:4" ht="20.100000000000001" customHeight="1">
      <c r="A497" s="101" t="str">
        <f t="shared" si="14"/>
        <v/>
      </c>
      <c r="B497" s="62"/>
      <c r="C497" s="98" t="str">
        <f t="array" ref="C497">_xll.RssMarket(B497, "銘柄名称")</f>
        <v/>
      </c>
      <c r="D497" s="99" t="str">
        <f t="shared" si="15"/>
        <v/>
      </c>
    </row>
    <row r="498" spans="1:4" ht="20.100000000000001" customHeight="1">
      <c r="A498" s="101" t="str">
        <f t="shared" si="14"/>
        <v/>
      </c>
      <c r="B498" s="62"/>
      <c r="C498" s="98" t="str">
        <f t="array" ref="C498">_xll.RssMarket(B498, "銘柄名称")</f>
        <v/>
      </c>
      <c r="D498" s="99" t="str">
        <f t="shared" si="15"/>
        <v/>
      </c>
    </row>
    <row r="499" spans="1:4" ht="20.100000000000001" customHeight="1">
      <c r="A499" s="101" t="str">
        <f t="shared" si="14"/>
        <v/>
      </c>
      <c r="B499" s="62"/>
      <c r="C499" s="98" t="str">
        <f t="array" ref="C499">_xll.RssMarket(B499, "銘柄名称")</f>
        <v/>
      </c>
      <c r="D499" s="99" t="str">
        <f t="shared" si="15"/>
        <v/>
      </c>
    </row>
    <row r="500" spans="1:4" ht="20.100000000000001" customHeight="1">
      <c r="A500" s="101" t="str">
        <f t="shared" si="14"/>
        <v/>
      </c>
      <c r="B500" s="62"/>
      <c r="C500" s="98" t="str">
        <f t="array" ref="C500">_xll.RssMarket(B500, "銘柄名称")</f>
        <v/>
      </c>
      <c r="D500" s="99" t="str">
        <f t="shared" si="15"/>
        <v/>
      </c>
    </row>
    <row r="501" spans="1:4" ht="20.100000000000001" customHeight="1">
      <c r="A501" s="101" t="str">
        <f t="shared" si="14"/>
        <v/>
      </c>
      <c r="B501" s="62"/>
      <c r="C501" s="98" t="str">
        <f t="array" ref="C501">_xll.RssMarket(B501, "銘柄名称")</f>
        <v/>
      </c>
      <c r="D501" s="99" t="str">
        <f t="shared" si="15"/>
        <v/>
      </c>
    </row>
    <row r="502" spans="1:4" ht="20.100000000000001" customHeight="1">
      <c r="A502" s="101" t="str">
        <f t="shared" si="14"/>
        <v/>
      </c>
      <c r="B502" s="62"/>
      <c r="C502" s="98" t="str">
        <f t="array" ref="C502">_xll.RssMarket(B502, "銘柄名称")</f>
        <v/>
      </c>
      <c r="D502" s="99" t="str">
        <f t="shared" si="15"/>
        <v/>
      </c>
    </row>
    <row r="503" spans="1:4" ht="20.100000000000001" customHeight="1">
      <c r="A503" s="101" t="str">
        <f t="shared" si="14"/>
        <v/>
      </c>
      <c r="B503" s="62"/>
      <c r="C503" s="98" t="str">
        <f t="array" ref="C503">_xll.RssMarket(B503, "銘柄名称")</f>
        <v/>
      </c>
      <c r="D503" s="99" t="str">
        <f t="shared" si="15"/>
        <v/>
      </c>
    </row>
    <row r="504" spans="1:4" ht="20.100000000000001" customHeight="1">
      <c r="A504" s="101" t="str">
        <f t="shared" si="14"/>
        <v/>
      </c>
      <c r="B504" s="62"/>
      <c r="C504" s="98" t="str">
        <f t="array" ref="C504">_xll.RssMarket(B504, "銘柄名称")</f>
        <v/>
      </c>
      <c r="D504" s="99" t="str">
        <f t="shared" si="15"/>
        <v/>
      </c>
    </row>
    <row r="505" spans="1:4" ht="20.100000000000001" customHeight="1">
      <c r="A505" s="104" t="str">
        <f t="shared" si="14"/>
        <v/>
      </c>
      <c r="B505" s="63"/>
      <c r="C505" s="98" t="str">
        <f t="array" ref="C505">_xll.RssMarket(B505, "銘柄名称")</f>
        <v/>
      </c>
      <c r="D505" s="105" t="str">
        <f t="shared" si="15"/>
        <v/>
      </c>
    </row>
  </sheetData>
  <sheetProtection sort="0" autoFilter="0"/>
  <mergeCells count="2">
    <mergeCell ref="A1:D1"/>
    <mergeCell ref="A2:D2"/>
  </mergeCells>
  <phoneticPr fontId="16"/>
  <conditionalFormatting sqref="D5">
    <cfRule type="expression" dxfId="40" priority="1" stopIfTrue="1">
      <formula>$C$5&gt;$E$5</formula>
    </cfRule>
    <cfRule type="expression" dxfId="39" priority="2" stopIfTrue="1">
      <formula>$C$5&lt;$E$5</formula>
    </cfRule>
    <cfRule type="expression" dxfId="38" priority="3" stopIfTrue="1">
      <formula>$C$5=$E$5</formula>
    </cfRule>
  </conditionalFormatting>
  <pageMargins left="0.75" right="0.75" top="1" bottom="1" header="0.5" footer="0.5"/>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tn_買い抽出">
              <controlPr defaultSize="0" print="0" autoFill="0" autoPict="0" macro="[0]!株価抽出">
                <anchor moveWithCells="1" sizeWithCells="1">
                  <from>
                    <xdr:col>4</xdr:col>
                    <xdr:colOff>502920</xdr:colOff>
                    <xdr:row>0</xdr:row>
                    <xdr:rowOff>106680</xdr:rowOff>
                  </from>
                  <to>
                    <xdr:col>5</xdr:col>
                    <xdr:colOff>487680</xdr:colOff>
                    <xdr:row>2</xdr:row>
                    <xdr:rowOff>190500</xdr:rowOff>
                  </to>
                </anchor>
              </controlPr>
            </control>
          </mc:Choice>
        </mc:AlternateContent>
        <mc:AlternateContent xmlns:mc="http://schemas.openxmlformats.org/markup-compatibility/2006">
          <mc:Choice Requires="x14">
            <control shapeId="1031" r:id="rId5" name="btn_銘柄追加">
              <controlPr defaultSize="0" print="0" autoFill="0" autoPict="0" macro="[0]!銘柄追加" altText="銘柄　追加">
                <anchor moveWithCells="1" sizeWithCells="1">
                  <from>
                    <xdr:col>8</xdr:col>
                    <xdr:colOff>30480</xdr:colOff>
                    <xdr:row>0</xdr:row>
                    <xdr:rowOff>152400</xdr:rowOff>
                  </from>
                  <to>
                    <xdr:col>10</xdr:col>
                    <xdr:colOff>312420</xdr:colOff>
                    <xdr:row>3</xdr:row>
                    <xdr:rowOff>312420</xdr:rowOff>
                  </to>
                </anchor>
              </controlPr>
            </control>
          </mc:Choice>
        </mc:AlternateContent>
        <mc:AlternateContent xmlns:mc="http://schemas.openxmlformats.org/markup-compatibility/2006">
          <mc:Choice Requires="x14">
            <control shapeId="1032" r:id="rId6" name="btn_銘柄削除">
              <controlPr defaultSize="0" print="0" autoFill="0" autoPict="0" macro="[0]!銘柄削除">
                <anchor moveWithCells="1" sizeWithCells="1">
                  <from>
                    <xdr:col>10</xdr:col>
                    <xdr:colOff>533400</xdr:colOff>
                    <xdr:row>0</xdr:row>
                    <xdr:rowOff>182880</xdr:rowOff>
                  </from>
                  <to>
                    <xdr:col>12</xdr:col>
                    <xdr:colOff>746760</xdr:colOff>
                    <xdr:row>3</xdr:row>
                    <xdr:rowOff>266700</xdr:rowOff>
                  </to>
                </anchor>
              </controlPr>
            </control>
          </mc:Choice>
        </mc:AlternateContent>
        <mc:AlternateContent xmlns:mc="http://schemas.openxmlformats.org/markup-compatibility/2006">
          <mc:Choice Requires="x14">
            <control shapeId="1033" r:id="rId7" name="btn_データ更新">
              <controlPr defaultSize="0" print="0" autoFill="0" autoPict="0" macro="[0]!日次更新_本日分">
                <anchor moveWithCells="1" sizeWithCells="1">
                  <from>
                    <xdr:col>5</xdr:col>
                    <xdr:colOff>579120</xdr:colOff>
                    <xdr:row>0</xdr:row>
                    <xdr:rowOff>137160</xdr:rowOff>
                  </from>
                  <to>
                    <xdr:col>7</xdr:col>
                    <xdr:colOff>571500</xdr:colOff>
                    <xdr:row>2</xdr:row>
                    <xdr:rowOff>198120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tabColor rgb="FF0078D7"/>
  </sheetPr>
  <dimension ref="A1:V504"/>
  <sheetViews>
    <sheetView zoomScale="93" zoomScaleNormal="93" workbookViewId="0">
      <pane ySplit="3" topLeftCell="A4" activePane="bottomLeft" state="frozen"/>
      <selection pane="bottomLeft" activeCell="G16" sqref="G16"/>
    </sheetView>
  </sheetViews>
  <sheetFormatPr defaultRowHeight="13.2"/>
  <cols>
    <col min="1" max="1" width="13.6640625" bestFit="1" customWidth="1"/>
    <col min="2" max="2" width="7.109375" bestFit="1" customWidth="1"/>
    <col min="3" max="3" width="16.88671875" bestFit="1" customWidth="1"/>
    <col min="4" max="4" width="23.33203125" bestFit="1" customWidth="1"/>
    <col min="5" max="5" width="11.77734375" bestFit="1" customWidth="1"/>
    <col min="6" max="7" width="10.88671875" bestFit="1" customWidth="1"/>
    <col min="8" max="8" width="17.109375" bestFit="1" customWidth="1"/>
    <col min="9" max="9" width="12.33203125" bestFit="1" customWidth="1"/>
    <col min="10" max="10" width="18.88671875" bestFit="1" customWidth="1"/>
    <col min="11" max="11" width="17.6640625" bestFit="1" customWidth="1"/>
    <col min="12" max="12" width="18.6640625" style="479" bestFit="1" customWidth="1"/>
    <col min="13" max="13" width="10.88671875" bestFit="1" customWidth="1"/>
    <col min="14" max="14" width="17.21875" bestFit="1" customWidth="1"/>
    <col min="15" max="16" width="17" bestFit="1" customWidth="1"/>
    <col min="17" max="17" width="10.44140625" bestFit="1" customWidth="1"/>
    <col min="18" max="18" width="169.33203125" bestFit="1" customWidth="1"/>
  </cols>
  <sheetData>
    <row r="1" spans="1:22" ht="39.75" customHeight="1">
      <c r="A1" s="530" t="s">
        <v>521</v>
      </c>
      <c r="B1" s="531"/>
      <c r="C1" s="531"/>
      <c r="D1" s="531"/>
      <c r="E1" s="531"/>
      <c r="F1" s="531"/>
      <c r="G1" s="531"/>
      <c r="H1" s="531"/>
      <c r="I1" s="531"/>
      <c r="J1" s="531"/>
      <c r="K1" s="531"/>
      <c r="L1" s="531"/>
      <c r="M1" s="531"/>
      <c r="N1" s="531"/>
      <c r="O1" s="531"/>
      <c r="P1" s="531"/>
      <c r="Q1" s="531"/>
      <c r="R1" s="531"/>
    </row>
    <row r="2" spans="1:22" ht="39.75" customHeight="1">
      <c r="A2" s="529" t="s">
        <v>1196</v>
      </c>
      <c r="B2" s="529"/>
      <c r="C2" s="529"/>
      <c r="D2" s="529"/>
      <c r="E2" s="529"/>
      <c r="F2" s="529"/>
      <c r="G2" s="529"/>
      <c r="H2" s="529"/>
      <c r="I2" s="529"/>
      <c r="J2" s="529"/>
      <c r="K2" s="529"/>
      <c r="L2" s="529"/>
      <c r="M2" s="529"/>
      <c r="N2" s="529"/>
      <c r="O2" s="529"/>
      <c r="P2" s="529"/>
      <c r="Q2" s="529"/>
      <c r="R2" s="529"/>
    </row>
    <row r="3" spans="1:22" ht="39.75" customHeight="1">
      <c r="A3" s="429" t="s">
        <v>518</v>
      </c>
      <c r="B3" s="429" t="s">
        <v>522</v>
      </c>
      <c r="C3" s="429" t="s">
        <v>523</v>
      </c>
      <c r="D3" s="429" t="s">
        <v>524</v>
      </c>
      <c r="E3" s="429" t="s">
        <v>525</v>
      </c>
      <c r="F3" s="429" t="s">
        <v>526</v>
      </c>
      <c r="G3" s="429" t="s">
        <v>527</v>
      </c>
      <c r="H3" s="429" t="s">
        <v>528</v>
      </c>
      <c r="I3" s="429" t="s">
        <v>529</v>
      </c>
      <c r="J3" s="429" t="s">
        <v>530</v>
      </c>
      <c r="K3" s="429" t="s">
        <v>531</v>
      </c>
      <c r="L3" s="429" t="s">
        <v>532</v>
      </c>
      <c r="M3" s="429" t="s">
        <v>533</v>
      </c>
      <c r="N3" s="429" t="s">
        <v>534</v>
      </c>
      <c r="O3" s="429" t="s">
        <v>535</v>
      </c>
      <c r="P3" s="429" t="s">
        <v>536</v>
      </c>
      <c r="Q3" s="429" t="s">
        <v>537</v>
      </c>
      <c r="R3" s="429" t="s">
        <v>538</v>
      </c>
      <c r="S3" s="430"/>
      <c r="T3" s="430" t="s">
        <v>539</v>
      </c>
      <c r="U3" s="430"/>
      <c r="V3" s="430"/>
    </row>
    <row r="4" spans="1:22" s="428" customFormat="1" ht="39.75" customHeight="1">
      <c r="A4" s="664" t="str">
        <f>HYPERLINK("https://kabutan.jp/stock/?code="&amp;TEXT(C4,"0000"),"株探")</f>
        <v>株探</v>
      </c>
      <c r="B4" s="665"/>
      <c r="C4" s="666">
        <v>9101</v>
      </c>
      <c r="D4" s="667">
        <v>-9101</v>
      </c>
      <c r="E4" s="668">
        <v>5706</v>
      </c>
      <c r="F4" s="657">
        <v>5784</v>
      </c>
      <c r="G4" s="657">
        <v>5591</v>
      </c>
      <c r="H4" s="657">
        <v>4456700</v>
      </c>
      <c r="I4" s="654">
        <v>66.2</v>
      </c>
      <c r="J4" s="669" t="s">
        <v>1167</v>
      </c>
      <c r="K4" s="654" t="s">
        <v>540</v>
      </c>
      <c r="L4" s="658">
        <v>1.6</v>
      </c>
      <c r="M4" s="654">
        <v>24.28</v>
      </c>
      <c r="N4" s="654" t="s">
        <v>540</v>
      </c>
      <c r="O4" s="657">
        <v>6162</v>
      </c>
      <c r="P4" s="657">
        <v>5478</v>
      </c>
      <c r="Q4" s="673">
        <v>17</v>
      </c>
      <c r="R4" s="670" t="s">
        <v>1192</v>
      </c>
      <c r="S4" s="431"/>
      <c r="T4" s="431"/>
      <c r="U4" s="431"/>
      <c r="V4" s="431"/>
    </row>
    <row r="5" spans="1:22" s="428" customFormat="1" ht="39.75" customHeight="1">
      <c r="A5" s="664" t="str">
        <f>HYPERLINK("https://kabutan.jp/stock/?code="&amp;TEXT(C5,"0000"),"株探")</f>
        <v>株探</v>
      </c>
      <c r="B5" s="665"/>
      <c r="C5" s="674">
        <v>7021</v>
      </c>
      <c r="D5" s="667">
        <v>-7021</v>
      </c>
      <c r="E5" s="668">
        <v>1868</v>
      </c>
      <c r="F5" s="657">
        <v>1876</v>
      </c>
      <c r="G5" s="657">
        <v>1840</v>
      </c>
      <c r="H5" s="657">
        <v>2800</v>
      </c>
      <c r="I5" s="654">
        <v>65.900000000000006</v>
      </c>
      <c r="J5" s="671" t="s">
        <v>1165</v>
      </c>
      <c r="K5" s="654" t="s">
        <v>540</v>
      </c>
      <c r="L5" s="658">
        <v>1.9</v>
      </c>
      <c r="M5" s="654">
        <v>8.65</v>
      </c>
      <c r="N5" s="654" t="s">
        <v>540</v>
      </c>
      <c r="O5" s="657">
        <v>2017</v>
      </c>
      <c r="P5" s="657">
        <v>1793</v>
      </c>
      <c r="Q5" s="672">
        <v>14</v>
      </c>
      <c r="R5" s="670" t="s">
        <v>1189</v>
      </c>
      <c r="S5" s="431"/>
      <c r="T5" s="431"/>
      <c r="U5" s="431"/>
      <c r="V5" s="431"/>
    </row>
    <row r="6" spans="1:22" s="428" customFormat="1" ht="39.75" customHeight="1">
      <c r="A6" s="664" t="str">
        <f>HYPERLINK("https://kabutan.jp/stock/?code="&amp;TEXT(C6,"0000"),"株探")</f>
        <v>株探</v>
      </c>
      <c r="B6" s="665"/>
      <c r="C6" s="674">
        <v>2914</v>
      </c>
      <c r="D6" s="667">
        <v>-2914</v>
      </c>
      <c r="E6" s="668">
        <v>6347</v>
      </c>
      <c r="F6" s="657">
        <v>6376</v>
      </c>
      <c r="G6" s="657">
        <v>6240</v>
      </c>
      <c r="H6" s="657">
        <v>6986400</v>
      </c>
      <c r="I6" s="654">
        <v>62.8</v>
      </c>
      <c r="J6" s="669" t="s">
        <v>1167</v>
      </c>
      <c r="K6" s="654" t="s">
        <v>540</v>
      </c>
      <c r="L6" s="658">
        <v>1.7</v>
      </c>
      <c r="M6" s="654">
        <v>21.69</v>
      </c>
      <c r="N6" s="654" t="s">
        <v>540</v>
      </c>
      <c r="O6" s="657">
        <v>6855</v>
      </c>
      <c r="P6" s="657">
        <v>6093</v>
      </c>
      <c r="Q6" s="654">
        <v>13</v>
      </c>
      <c r="R6" s="670" t="s">
        <v>1188</v>
      </c>
      <c r="S6" s="431"/>
      <c r="T6" s="431"/>
      <c r="U6" s="431"/>
      <c r="V6" s="431"/>
    </row>
    <row r="7" spans="1:22" s="428" customFormat="1" ht="39.75" customHeight="1">
      <c r="A7" s="664" t="str">
        <f>HYPERLINK("https://kabutan.jp/stock/?code="&amp;TEXT(C7,"0000"),"株探")</f>
        <v>株探</v>
      </c>
      <c r="B7" s="665"/>
      <c r="C7" s="674">
        <v>1407</v>
      </c>
      <c r="D7" s="667">
        <v>-1407</v>
      </c>
      <c r="E7" s="668">
        <v>2835</v>
      </c>
      <c r="F7" s="657">
        <v>2869</v>
      </c>
      <c r="G7" s="657">
        <v>2675</v>
      </c>
      <c r="H7" s="657">
        <v>1063300</v>
      </c>
      <c r="I7" s="654">
        <v>50</v>
      </c>
      <c r="J7" s="654"/>
      <c r="K7" s="654" t="s">
        <v>540</v>
      </c>
      <c r="L7" s="658">
        <v>0</v>
      </c>
      <c r="M7" s="654">
        <v>0</v>
      </c>
      <c r="N7" s="654" t="s">
        <v>540</v>
      </c>
      <c r="O7" s="657">
        <v>3062</v>
      </c>
      <c r="P7" s="657">
        <v>2722</v>
      </c>
      <c r="Q7" s="654">
        <v>13</v>
      </c>
      <c r="R7" s="670" t="s">
        <v>1193</v>
      </c>
      <c r="S7" s="431"/>
      <c r="T7" s="431"/>
      <c r="U7" s="431"/>
      <c r="V7" s="431"/>
    </row>
    <row r="8" spans="1:22" s="428" customFormat="1" ht="39.75" customHeight="1">
      <c r="A8" s="664" t="str">
        <f>HYPERLINK("https://kabutan.jp/stock/?code="&amp;TEXT(C8,"0000"),"株探")</f>
        <v>株探</v>
      </c>
      <c r="B8" s="665"/>
      <c r="C8" s="666" t="s">
        <v>464</v>
      </c>
      <c r="D8" s="667" t="s">
        <v>1194</v>
      </c>
      <c r="E8" s="668">
        <v>13770</v>
      </c>
      <c r="F8" s="657">
        <v>13830</v>
      </c>
      <c r="G8" s="657">
        <v>12170</v>
      </c>
      <c r="H8" s="657">
        <v>4024700</v>
      </c>
      <c r="I8" s="654">
        <v>50</v>
      </c>
      <c r="J8" s="654"/>
      <c r="K8" s="654" t="s">
        <v>540</v>
      </c>
      <c r="L8" s="658">
        <v>0</v>
      </c>
      <c r="M8" s="654">
        <v>0</v>
      </c>
      <c r="N8" s="654" t="s">
        <v>540</v>
      </c>
      <c r="O8" s="657">
        <v>14872</v>
      </c>
      <c r="P8" s="657">
        <v>13219</v>
      </c>
      <c r="Q8" s="654">
        <v>12</v>
      </c>
      <c r="R8" s="670" t="s">
        <v>1195</v>
      </c>
      <c r="S8" s="431"/>
      <c r="T8" s="431"/>
      <c r="U8" s="431"/>
      <c r="V8" s="431"/>
    </row>
    <row r="9" spans="1:22" s="428" customFormat="1" ht="39.75" customHeight="1">
      <c r="A9" s="664" t="str">
        <f>HYPERLINK("https://kabutan.jp/stock/?code="&amp;TEXT(C9,"0000"),"株探")</f>
        <v>株探</v>
      </c>
      <c r="B9" s="665"/>
      <c r="C9" s="666">
        <v>5401</v>
      </c>
      <c r="D9" s="667">
        <v>-5401</v>
      </c>
      <c r="E9" s="668">
        <v>585.6</v>
      </c>
      <c r="F9" s="657">
        <v>587.9</v>
      </c>
      <c r="G9" s="657">
        <v>579.4</v>
      </c>
      <c r="H9" s="657">
        <v>42824000</v>
      </c>
      <c r="I9" s="654">
        <v>66.400000000000006</v>
      </c>
      <c r="J9" s="669" t="s">
        <v>1167</v>
      </c>
      <c r="K9" s="654" t="s">
        <v>540</v>
      </c>
      <c r="L9" s="658">
        <v>1.3</v>
      </c>
      <c r="M9" s="654">
        <v>2.42</v>
      </c>
      <c r="N9" s="654" t="s">
        <v>540</v>
      </c>
      <c r="O9" s="657">
        <v>632</v>
      </c>
      <c r="P9" s="657">
        <v>562</v>
      </c>
      <c r="Q9" s="654">
        <v>11</v>
      </c>
      <c r="R9" s="670" t="s">
        <v>1187</v>
      </c>
      <c r="S9" s="431"/>
      <c r="T9" s="431"/>
      <c r="U9" s="431"/>
      <c r="V9" s="431"/>
    </row>
    <row r="10" spans="1:22" s="428" customFormat="1" ht="39.75" customHeight="1">
      <c r="A10" s="664" t="str">
        <f>HYPERLINK("https://kabutan.jp/stock/?code="&amp;TEXT(C10,"0000"),"株探")</f>
        <v>株探</v>
      </c>
      <c r="B10" s="665"/>
      <c r="C10" s="666">
        <v>9020</v>
      </c>
      <c r="D10" s="667">
        <v>-9020</v>
      </c>
      <c r="E10" s="668">
        <v>3624</v>
      </c>
      <c r="F10" s="657">
        <v>3677</v>
      </c>
      <c r="G10" s="657">
        <v>3593</v>
      </c>
      <c r="H10" s="657">
        <v>3173800</v>
      </c>
      <c r="I10" s="654">
        <v>67.5</v>
      </c>
      <c r="J10" s="669" t="s">
        <v>1167</v>
      </c>
      <c r="K10" s="654" t="s">
        <v>540</v>
      </c>
      <c r="L10" s="658">
        <v>1.1000000000000001</v>
      </c>
      <c r="M10" s="654">
        <v>26.19</v>
      </c>
      <c r="N10" s="654" t="s">
        <v>540</v>
      </c>
      <c r="O10" s="657">
        <v>3914</v>
      </c>
      <c r="P10" s="657">
        <v>3479</v>
      </c>
      <c r="Q10" s="654">
        <v>11</v>
      </c>
      <c r="R10" s="670" t="s">
        <v>1190</v>
      </c>
      <c r="S10" s="431"/>
      <c r="T10" s="431"/>
      <c r="U10" s="431"/>
      <c r="V10" s="431"/>
    </row>
    <row r="11" spans="1:22" s="428" customFormat="1" ht="39.75" customHeight="1">
      <c r="A11" s="664" t="str">
        <f>HYPERLINK("https://kabutan.jp/stock/?code="&amp;TEXT(C11,"0000"),"株探")</f>
        <v>株探</v>
      </c>
      <c r="B11" s="665"/>
      <c r="C11" s="666">
        <v>2702</v>
      </c>
      <c r="D11" s="667">
        <v>-2702</v>
      </c>
      <c r="E11" s="668">
        <v>7630</v>
      </c>
      <c r="F11" s="657">
        <v>7660</v>
      </c>
      <c r="G11" s="657">
        <v>7520</v>
      </c>
      <c r="H11" s="657">
        <v>509600</v>
      </c>
      <c r="I11" s="654">
        <v>56.4</v>
      </c>
      <c r="J11" s="669" t="s">
        <v>1167</v>
      </c>
      <c r="K11" s="654" t="s">
        <v>540</v>
      </c>
      <c r="L11" s="658">
        <v>1</v>
      </c>
      <c r="M11" s="654">
        <v>47.71</v>
      </c>
      <c r="N11" s="654" t="s">
        <v>540</v>
      </c>
      <c r="O11" s="657">
        <v>8240</v>
      </c>
      <c r="P11" s="657">
        <v>7325</v>
      </c>
      <c r="Q11" s="654">
        <v>11</v>
      </c>
      <c r="R11" s="670" t="s">
        <v>1191</v>
      </c>
      <c r="S11" s="431"/>
      <c r="T11" s="431"/>
      <c r="U11" s="431"/>
      <c r="V11" s="431"/>
    </row>
    <row r="12" spans="1:22" s="428" customFormat="1" ht="39.75" customHeight="1">
      <c r="A12" s="614"/>
      <c r="B12" s="654"/>
      <c r="C12" s="655"/>
      <c r="D12" s="656"/>
      <c r="E12" s="657"/>
      <c r="F12" s="657"/>
      <c r="G12" s="657"/>
      <c r="H12" s="657"/>
      <c r="I12" s="654"/>
      <c r="J12" s="654"/>
      <c r="K12" s="654"/>
      <c r="L12" s="658"/>
      <c r="M12" s="654"/>
      <c r="N12" s="654"/>
      <c r="O12" s="657"/>
      <c r="P12" s="657"/>
      <c r="Q12" s="654"/>
      <c r="R12" s="654"/>
      <c r="S12" s="431"/>
      <c r="T12" s="431"/>
      <c r="U12" s="431"/>
      <c r="V12" s="431"/>
    </row>
    <row r="13" spans="1:22" s="428" customFormat="1" ht="39.75" customHeight="1">
      <c r="A13" s="614"/>
      <c r="B13" s="654"/>
      <c r="C13" s="655"/>
      <c r="D13" s="656"/>
      <c r="E13" s="657"/>
      <c r="F13" s="657"/>
      <c r="G13" s="657"/>
      <c r="H13" s="657"/>
      <c r="I13" s="654"/>
      <c r="J13" s="654"/>
      <c r="K13" s="654"/>
      <c r="L13" s="658"/>
      <c r="M13" s="654"/>
      <c r="N13" s="654"/>
      <c r="O13" s="657"/>
      <c r="P13" s="657"/>
      <c r="Q13" s="654"/>
      <c r="R13" s="654"/>
      <c r="S13" s="431"/>
      <c r="T13" s="431"/>
      <c r="U13" s="431"/>
      <c r="V13" s="431"/>
    </row>
    <row r="14" spans="1:22" s="428" customFormat="1" ht="39.75" customHeight="1">
      <c r="A14" s="614"/>
      <c r="B14" s="654"/>
      <c r="C14" s="655"/>
      <c r="D14" s="656"/>
      <c r="E14" s="657"/>
      <c r="F14" s="657"/>
      <c r="G14" s="657"/>
      <c r="H14" s="657"/>
      <c r="I14" s="654"/>
      <c r="J14" s="654"/>
      <c r="K14" s="654"/>
      <c r="L14" s="658"/>
      <c r="M14" s="654"/>
      <c r="N14" s="654"/>
      <c r="O14" s="657"/>
      <c r="P14" s="657"/>
      <c r="Q14" s="654"/>
      <c r="R14" s="654"/>
      <c r="S14" s="431"/>
      <c r="T14" s="431"/>
      <c r="U14" s="431"/>
      <c r="V14" s="431"/>
    </row>
    <row r="15" spans="1:22" s="428" customFormat="1" ht="39.75" customHeight="1">
      <c r="A15" s="614"/>
      <c r="B15" s="654"/>
      <c r="C15" s="655"/>
      <c r="D15" s="656"/>
      <c r="E15" s="657"/>
      <c r="F15" s="657"/>
      <c r="G15" s="657"/>
      <c r="H15" s="657"/>
      <c r="I15" s="654"/>
      <c r="J15" s="654"/>
      <c r="K15" s="654"/>
      <c r="L15" s="658"/>
      <c r="M15" s="654"/>
      <c r="N15" s="654"/>
      <c r="O15" s="657"/>
      <c r="P15" s="657"/>
      <c r="Q15" s="654"/>
      <c r="R15" s="654"/>
      <c r="S15" s="431"/>
      <c r="T15" s="431"/>
      <c r="U15" s="431"/>
      <c r="V15" s="431"/>
    </row>
    <row r="16" spans="1:22" s="428" customFormat="1" ht="39.75" customHeight="1">
      <c r="A16" s="614"/>
      <c r="B16" s="654"/>
      <c r="C16" s="655"/>
      <c r="D16" s="656"/>
      <c r="E16" s="657"/>
      <c r="F16" s="657"/>
      <c r="G16" s="657"/>
      <c r="H16" s="657"/>
      <c r="I16" s="654"/>
      <c r="J16" s="654"/>
      <c r="K16" s="654"/>
      <c r="L16" s="658"/>
      <c r="M16" s="654"/>
      <c r="N16" s="654"/>
      <c r="O16" s="657"/>
      <c r="P16" s="657"/>
      <c r="Q16" s="654"/>
      <c r="R16" s="654"/>
      <c r="S16" s="431"/>
      <c r="T16" s="431"/>
      <c r="U16" s="431"/>
      <c r="V16" s="431"/>
    </row>
    <row r="17" spans="1:22" s="428" customFormat="1" ht="39.75" customHeight="1">
      <c r="A17" s="614"/>
      <c r="B17" s="654"/>
      <c r="C17" s="655"/>
      <c r="D17" s="656"/>
      <c r="E17" s="657"/>
      <c r="F17" s="657"/>
      <c r="G17" s="657"/>
      <c r="H17" s="657"/>
      <c r="I17" s="654"/>
      <c r="J17" s="654"/>
      <c r="K17" s="654"/>
      <c r="L17" s="658"/>
      <c r="M17" s="654"/>
      <c r="N17" s="654"/>
      <c r="O17" s="657"/>
      <c r="P17" s="657"/>
      <c r="Q17" s="654"/>
      <c r="R17" s="654"/>
      <c r="S17" s="431"/>
      <c r="T17" s="431"/>
      <c r="U17" s="431"/>
      <c r="V17" s="431"/>
    </row>
    <row r="18" spans="1:22" s="428" customFormat="1" ht="39.75" customHeight="1">
      <c r="A18" s="614"/>
      <c r="B18" s="654"/>
      <c r="C18" s="655"/>
      <c r="D18" s="656"/>
      <c r="E18" s="657"/>
      <c r="F18" s="657"/>
      <c r="G18" s="657"/>
      <c r="H18" s="657"/>
      <c r="I18" s="654"/>
      <c r="J18" s="654"/>
      <c r="K18" s="654"/>
      <c r="L18" s="658"/>
      <c r="M18" s="654"/>
      <c r="N18" s="654"/>
      <c r="O18" s="657"/>
      <c r="P18" s="657"/>
      <c r="Q18" s="654"/>
      <c r="R18" s="654"/>
      <c r="S18" s="431"/>
      <c r="T18" s="431"/>
      <c r="U18" s="431"/>
      <c r="V18" s="431"/>
    </row>
    <row r="19" spans="1:22" s="428" customFormat="1" ht="39.75" customHeight="1">
      <c r="A19" s="614"/>
      <c r="B19" s="654"/>
      <c r="C19" s="655"/>
      <c r="D19" s="656"/>
      <c r="E19" s="657"/>
      <c r="F19" s="657"/>
      <c r="G19" s="657"/>
      <c r="H19" s="657"/>
      <c r="I19" s="654"/>
      <c r="J19" s="654"/>
      <c r="K19" s="654"/>
      <c r="L19" s="658"/>
      <c r="M19" s="654"/>
      <c r="N19" s="654"/>
      <c r="O19" s="657"/>
      <c r="P19" s="657"/>
      <c r="Q19" s="654"/>
      <c r="R19" s="654"/>
      <c r="S19" s="431"/>
      <c r="T19" s="431"/>
      <c r="U19" s="431"/>
      <c r="V19" s="431"/>
    </row>
    <row r="20" spans="1:22" s="428" customFormat="1" ht="39.75" customHeight="1">
      <c r="A20" s="614"/>
      <c r="B20" s="654"/>
      <c r="C20" s="655"/>
      <c r="D20" s="656"/>
      <c r="E20" s="657"/>
      <c r="F20" s="657"/>
      <c r="G20" s="657"/>
      <c r="H20" s="657"/>
      <c r="I20" s="654"/>
      <c r="J20" s="654"/>
      <c r="K20" s="654"/>
      <c r="L20" s="658"/>
      <c r="M20" s="654"/>
      <c r="N20" s="654"/>
      <c r="O20" s="657"/>
      <c r="P20" s="657"/>
      <c r="Q20" s="654"/>
      <c r="R20" s="654"/>
      <c r="S20" s="431"/>
      <c r="T20" s="431"/>
      <c r="U20" s="431"/>
      <c r="V20" s="431"/>
    </row>
    <row r="21" spans="1:22" s="428" customFormat="1" ht="39.75" customHeight="1">
      <c r="A21" s="614"/>
      <c r="B21" s="654"/>
      <c r="C21" s="655"/>
      <c r="D21" s="656"/>
      <c r="E21" s="657"/>
      <c r="F21" s="657"/>
      <c r="G21" s="657"/>
      <c r="H21" s="657"/>
      <c r="I21" s="654"/>
      <c r="J21" s="654"/>
      <c r="K21" s="654"/>
      <c r="L21" s="658"/>
      <c r="M21" s="654"/>
      <c r="N21" s="654"/>
      <c r="O21" s="657"/>
      <c r="P21" s="657"/>
      <c r="Q21" s="654"/>
      <c r="R21" s="654"/>
      <c r="S21" s="431"/>
      <c r="T21" s="431"/>
      <c r="U21" s="431"/>
      <c r="V21" s="431"/>
    </row>
    <row r="22" spans="1:22" s="428" customFormat="1" ht="39.75" customHeight="1">
      <c r="A22" s="614"/>
      <c r="B22" s="654"/>
      <c r="C22" s="655"/>
      <c r="D22" s="656"/>
      <c r="E22" s="657"/>
      <c r="F22" s="657"/>
      <c r="G22" s="657"/>
      <c r="H22" s="657"/>
      <c r="I22" s="654"/>
      <c r="J22" s="654"/>
      <c r="K22" s="654"/>
      <c r="L22" s="658"/>
      <c r="M22" s="654"/>
      <c r="N22" s="654"/>
      <c r="O22" s="657"/>
      <c r="P22" s="657"/>
      <c r="Q22" s="654"/>
      <c r="R22" s="654"/>
      <c r="S22" s="431"/>
      <c r="T22" s="431"/>
      <c r="U22" s="431"/>
      <c r="V22" s="431"/>
    </row>
    <row r="23" spans="1:22" s="428" customFormat="1" ht="39.75" customHeight="1">
      <c r="A23" s="614"/>
      <c r="B23" s="654"/>
      <c r="C23" s="655"/>
      <c r="D23" s="656"/>
      <c r="E23" s="657"/>
      <c r="F23" s="657"/>
      <c r="G23" s="657"/>
      <c r="H23" s="657"/>
      <c r="I23" s="654"/>
      <c r="J23" s="654"/>
      <c r="K23" s="654"/>
      <c r="L23" s="658"/>
      <c r="M23" s="654"/>
      <c r="N23" s="654"/>
      <c r="O23" s="657"/>
      <c r="P23" s="657"/>
      <c r="Q23" s="654"/>
      <c r="R23" s="654"/>
      <c r="S23" s="431"/>
      <c r="T23" s="431"/>
      <c r="U23" s="431"/>
      <c r="V23" s="431"/>
    </row>
    <row r="24" spans="1:22" s="428" customFormat="1" ht="39.75" customHeight="1">
      <c r="A24" s="614"/>
      <c r="B24" s="654"/>
      <c r="C24" s="655"/>
      <c r="D24" s="656"/>
      <c r="E24" s="657"/>
      <c r="F24" s="657"/>
      <c r="G24" s="657"/>
      <c r="H24" s="657"/>
      <c r="I24" s="654"/>
      <c r="J24" s="654"/>
      <c r="K24" s="654"/>
      <c r="L24" s="658"/>
      <c r="M24" s="654"/>
      <c r="N24" s="654"/>
      <c r="O24" s="657"/>
      <c r="P24" s="657"/>
      <c r="Q24" s="654"/>
      <c r="R24" s="654"/>
      <c r="S24" s="431"/>
      <c r="T24" s="431"/>
      <c r="U24" s="431"/>
      <c r="V24" s="431"/>
    </row>
    <row r="25" spans="1:22" s="428" customFormat="1" ht="39.75" customHeight="1">
      <c r="A25" s="614"/>
      <c r="B25" s="654"/>
      <c r="C25" s="655"/>
      <c r="D25" s="656"/>
      <c r="E25" s="657"/>
      <c r="F25" s="657"/>
      <c r="G25" s="657"/>
      <c r="H25" s="657"/>
      <c r="I25" s="654"/>
      <c r="J25" s="654"/>
      <c r="K25" s="654"/>
      <c r="L25" s="658"/>
      <c r="M25" s="654"/>
      <c r="N25" s="654"/>
      <c r="O25" s="657"/>
      <c r="P25" s="657"/>
      <c r="Q25" s="654"/>
      <c r="R25" s="654"/>
      <c r="S25" s="431"/>
      <c r="T25" s="431"/>
      <c r="U25" s="431"/>
      <c r="V25" s="431"/>
    </row>
    <row r="26" spans="1:22" s="428" customFormat="1" ht="39.75" customHeight="1">
      <c r="A26" s="614"/>
      <c r="B26" s="654"/>
      <c r="C26" s="655"/>
      <c r="D26" s="656"/>
      <c r="E26" s="657"/>
      <c r="F26" s="657"/>
      <c r="G26" s="657"/>
      <c r="H26" s="657"/>
      <c r="I26" s="654"/>
      <c r="J26" s="654"/>
      <c r="K26" s="654"/>
      <c r="L26" s="658"/>
      <c r="M26" s="654"/>
      <c r="N26" s="654"/>
      <c r="O26" s="657"/>
      <c r="P26" s="657"/>
      <c r="Q26" s="654"/>
      <c r="R26" s="654"/>
      <c r="S26" s="431"/>
      <c r="T26" s="431"/>
      <c r="U26" s="431"/>
      <c r="V26" s="431"/>
    </row>
    <row r="27" spans="1:22" s="428" customFormat="1" ht="39.75" customHeight="1">
      <c r="A27" s="614"/>
      <c r="B27" s="654"/>
      <c r="C27" s="655"/>
      <c r="D27" s="656"/>
      <c r="E27" s="657"/>
      <c r="F27" s="657"/>
      <c r="G27" s="657"/>
      <c r="H27" s="657"/>
      <c r="I27" s="654"/>
      <c r="J27" s="654"/>
      <c r="K27" s="654"/>
      <c r="L27" s="658"/>
      <c r="M27" s="654"/>
      <c r="N27" s="654"/>
      <c r="O27" s="657"/>
      <c r="P27" s="657"/>
      <c r="Q27" s="654"/>
      <c r="R27" s="654"/>
      <c r="S27" s="431"/>
      <c r="T27" s="431"/>
      <c r="U27" s="431"/>
      <c r="V27" s="431"/>
    </row>
    <row r="28" spans="1:22" s="428" customFormat="1" ht="39.75" customHeight="1">
      <c r="A28" s="614"/>
      <c r="B28" s="654"/>
      <c r="C28" s="655"/>
      <c r="D28" s="656"/>
      <c r="E28" s="657"/>
      <c r="F28" s="657"/>
      <c r="G28" s="657"/>
      <c r="H28" s="657"/>
      <c r="I28" s="654"/>
      <c r="J28" s="654"/>
      <c r="K28" s="654"/>
      <c r="L28" s="658"/>
      <c r="M28" s="654"/>
      <c r="N28" s="654"/>
      <c r="O28" s="657"/>
      <c r="P28" s="657"/>
      <c r="Q28" s="654"/>
      <c r="R28" s="654"/>
      <c r="S28" s="431"/>
      <c r="T28" s="431"/>
      <c r="U28" s="431"/>
      <c r="V28" s="431"/>
    </row>
    <row r="29" spans="1:22" s="428" customFormat="1" ht="39.75" customHeight="1">
      <c r="A29" s="614"/>
      <c r="B29" s="654"/>
      <c r="C29" s="655"/>
      <c r="D29" s="656"/>
      <c r="E29" s="657"/>
      <c r="F29" s="657"/>
      <c r="G29" s="657"/>
      <c r="H29" s="657"/>
      <c r="I29" s="654"/>
      <c r="J29" s="654"/>
      <c r="K29" s="654"/>
      <c r="L29" s="658"/>
      <c r="M29" s="654"/>
      <c r="N29" s="654"/>
      <c r="O29" s="657"/>
      <c r="P29" s="657"/>
      <c r="Q29" s="654"/>
      <c r="R29" s="654"/>
      <c r="S29" s="431"/>
      <c r="T29" s="431"/>
      <c r="U29" s="431"/>
      <c r="V29" s="431"/>
    </row>
    <row r="30" spans="1:22" s="428" customFormat="1" ht="39.75" customHeight="1">
      <c r="A30" s="614"/>
      <c r="B30" s="654"/>
      <c r="C30" s="655"/>
      <c r="D30" s="656"/>
      <c r="E30" s="657"/>
      <c r="F30" s="657"/>
      <c r="G30" s="657"/>
      <c r="H30" s="657"/>
      <c r="I30" s="654"/>
      <c r="J30" s="654"/>
      <c r="K30" s="654"/>
      <c r="L30" s="658"/>
      <c r="M30" s="654"/>
      <c r="N30" s="654"/>
      <c r="O30" s="657"/>
      <c r="P30" s="657"/>
      <c r="Q30" s="654"/>
      <c r="R30" s="654"/>
      <c r="S30" s="431"/>
      <c r="T30" s="431"/>
      <c r="U30" s="431"/>
      <c r="V30" s="431"/>
    </row>
    <row r="31" spans="1:22" s="428" customFormat="1" ht="39.75" customHeight="1">
      <c r="A31" s="614"/>
      <c r="B31" s="654"/>
      <c r="C31" s="655"/>
      <c r="D31" s="656"/>
      <c r="E31" s="657"/>
      <c r="F31" s="657"/>
      <c r="G31" s="657"/>
      <c r="H31" s="657"/>
      <c r="I31" s="654"/>
      <c r="J31" s="654"/>
      <c r="K31" s="654"/>
      <c r="L31" s="658"/>
      <c r="M31" s="654"/>
      <c r="N31" s="654"/>
      <c r="O31" s="657"/>
      <c r="P31" s="657"/>
      <c r="Q31" s="654"/>
      <c r="R31" s="654"/>
      <c r="S31" s="431"/>
      <c r="T31" s="431"/>
      <c r="U31" s="431"/>
      <c r="V31" s="431"/>
    </row>
    <row r="32" spans="1:22" s="428" customFormat="1" ht="39.75" customHeight="1">
      <c r="A32" s="614"/>
      <c r="B32" s="654"/>
      <c r="C32" s="655"/>
      <c r="D32" s="656"/>
      <c r="E32" s="657"/>
      <c r="F32" s="657"/>
      <c r="G32" s="657"/>
      <c r="H32" s="657"/>
      <c r="I32" s="654"/>
      <c r="J32" s="654"/>
      <c r="K32" s="654"/>
      <c r="L32" s="658"/>
      <c r="M32" s="654"/>
      <c r="N32" s="654"/>
      <c r="O32" s="657"/>
      <c r="P32" s="657"/>
      <c r="Q32" s="654"/>
      <c r="R32" s="654"/>
      <c r="S32" s="431"/>
      <c r="T32" s="431"/>
      <c r="U32" s="431"/>
      <c r="V32" s="431"/>
    </row>
    <row r="33" spans="1:22" s="428" customFormat="1" ht="39.75" customHeight="1">
      <c r="A33" s="614"/>
      <c r="B33" s="654"/>
      <c r="C33" s="655"/>
      <c r="D33" s="656"/>
      <c r="E33" s="657"/>
      <c r="F33" s="657"/>
      <c r="G33" s="657"/>
      <c r="H33" s="657"/>
      <c r="I33" s="654"/>
      <c r="J33" s="654"/>
      <c r="K33" s="654"/>
      <c r="L33" s="658"/>
      <c r="M33" s="654"/>
      <c r="N33" s="654"/>
      <c r="O33" s="657"/>
      <c r="P33" s="657"/>
      <c r="Q33" s="654"/>
      <c r="R33" s="654"/>
      <c r="S33" s="431"/>
      <c r="T33" s="431"/>
      <c r="U33" s="431"/>
      <c r="V33" s="431"/>
    </row>
    <row r="34" spans="1:22" s="428" customFormat="1" ht="39.75" customHeight="1">
      <c r="A34" s="614"/>
      <c r="B34" s="654"/>
      <c r="C34" s="655"/>
      <c r="D34" s="656"/>
      <c r="E34" s="657"/>
      <c r="F34" s="657"/>
      <c r="G34" s="657"/>
      <c r="H34" s="657"/>
      <c r="I34" s="654"/>
      <c r="J34" s="654"/>
      <c r="K34" s="654"/>
      <c r="L34" s="658"/>
      <c r="M34" s="654"/>
      <c r="N34" s="654"/>
      <c r="O34" s="657"/>
      <c r="P34" s="657"/>
      <c r="Q34" s="654"/>
      <c r="R34" s="654"/>
      <c r="S34" s="431"/>
      <c r="T34" s="431"/>
      <c r="U34" s="431"/>
      <c r="V34" s="431"/>
    </row>
    <row r="35" spans="1:22" s="428" customFormat="1" ht="39.75" customHeight="1">
      <c r="A35" s="614"/>
      <c r="B35" s="654"/>
      <c r="C35" s="655"/>
      <c r="D35" s="656"/>
      <c r="E35" s="657"/>
      <c r="F35" s="657"/>
      <c r="G35" s="657"/>
      <c r="H35" s="657"/>
      <c r="I35" s="654"/>
      <c r="J35" s="654"/>
      <c r="K35" s="654"/>
      <c r="L35" s="658"/>
      <c r="M35" s="654"/>
      <c r="N35" s="654"/>
      <c r="O35" s="657"/>
      <c r="P35" s="657"/>
      <c r="Q35" s="654"/>
      <c r="R35" s="654"/>
      <c r="S35" s="431"/>
      <c r="T35" s="431"/>
      <c r="U35" s="431"/>
      <c r="V35" s="431"/>
    </row>
    <row r="36" spans="1:22" s="428" customFormat="1" ht="39.75" customHeight="1">
      <c r="A36" s="614"/>
      <c r="B36" s="654"/>
      <c r="C36" s="655"/>
      <c r="D36" s="656"/>
      <c r="E36" s="657"/>
      <c r="F36" s="657"/>
      <c r="G36" s="657"/>
      <c r="H36" s="657"/>
      <c r="I36" s="654"/>
      <c r="J36" s="654"/>
      <c r="K36" s="654"/>
      <c r="L36" s="658"/>
      <c r="M36" s="654"/>
      <c r="N36" s="654"/>
      <c r="O36" s="657"/>
      <c r="P36" s="657"/>
      <c r="Q36" s="654"/>
      <c r="R36" s="654"/>
      <c r="S36" s="431"/>
      <c r="T36" s="431"/>
      <c r="U36" s="431"/>
      <c r="V36" s="431"/>
    </row>
    <row r="37" spans="1:22" s="428" customFormat="1" ht="39.75" customHeight="1">
      <c r="A37" s="614"/>
      <c r="B37" s="654"/>
      <c r="C37" s="655"/>
      <c r="D37" s="656"/>
      <c r="E37" s="657"/>
      <c r="F37" s="657"/>
      <c r="G37" s="657"/>
      <c r="H37" s="657"/>
      <c r="I37" s="654"/>
      <c r="J37" s="654"/>
      <c r="K37" s="654"/>
      <c r="L37" s="658"/>
      <c r="M37" s="654"/>
      <c r="N37" s="654"/>
      <c r="O37" s="657"/>
      <c r="P37" s="657"/>
      <c r="Q37" s="654"/>
      <c r="R37" s="654"/>
      <c r="S37" s="431"/>
      <c r="T37" s="431"/>
      <c r="U37" s="431"/>
      <c r="V37" s="431"/>
    </row>
    <row r="38" spans="1:22" s="428" customFormat="1" ht="39.75" customHeight="1">
      <c r="A38" s="614"/>
      <c r="B38" s="654"/>
      <c r="C38" s="659"/>
      <c r="D38" s="656"/>
      <c r="E38" s="657"/>
      <c r="F38" s="657"/>
      <c r="G38" s="657"/>
      <c r="H38" s="657"/>
      <c r="I38" s="654"/>
      <c r="J38" s="654"/>
      <c r="K38" s="654"/>
      <c r="L38" s="658"/>
      <c r="M38" s="654"/>
      <c r="N38" s="654"/>
      <c r="O38" s="657"/>
      <c r="P38" s="657"/>
      <c r="Q38" s="654"/>
      <c r="R38" s="654"/>
      <c r="S38" s="431"/>
      <c r="T38" s="431"/>
      <c r="U38" s="431"/>
      <c r="V38" s="431"/>
    </row>
    <row r="39" spans="1:22" s="428" customFormat="1" ht="39.75" customHeight="1">
      <c r="A39" s="614"/>
      <c r="B39" s="654"/>
      <c r="C39" s="655"/>
      <c r="D39" s="656"/>
      <c r="E39" s="657"/>
      <c r="F39" s="657"/>
      <c r="G39" s="657"/>
      <c r="H39" s="657"/>
      <c r="I39" s="654"/>
      <c r="J39" s="654"/>
      <c r="K39" s="654"/>
      <c r="L39" s="658"/>
      <c r="M39" s="654"/>
      <c r="N39" s="654"/>
      <c r="O39" s="657"/>
      <c r="P39" s="657"/>
      <c r="Q39" s="654"/>
      <c r="R39" s="654"/>
      <c r="S39" s="431"/>
      <c r="T39" s="431"/>
      <c r="U39" s="431"/>
      <c r="V39" s="431"/>
    </row>
    <row r="40" spans="1:22" s="428" customFormat="1" ht="39.75" customHeight="1">
      <c r="A40" s="614"/>
      <c r="B40" s="654"/>
      <c r="C40" s="659"/>
      <c r="D40" s="656"/>
      <c r="E40" s="657"/>
      <c r="F40" s="657"/>
      <c r="G40" s="657"/>
      <c r="H40" s="657"/>
      <c r="I40" s="654"/>
      <c r="J40" s="654"/>
      <c r="K40" s="654"/>
      <c r="L40" s="658"/>
      <c r="M40" s="654"/>
      <c r="N40" s="654"/>
      <c r="O40" s="657"/>
      <c r="P40" s="657"/>
      <c r="Q40" s="654"/>
      <c r="R40" s="654"/>
      <c r="S40" s="431"/>
      <c r="T40" s="431"/>
      <c r="U40" s="431"/>
      <c r="V40" s="431"/>
    </row>
    <row r="41" spans="1:22" s="428" customFormat="1" ht="39.75" customHeight="1">
      <c r="A41" s="614"/>
      <c r="B41" s="654"/>
      <c r="C41" s="655"/>
      <c r="D41" s="656"/>
      <c r="E41" s="657"/>
      <c r="F41" s="657"/>
      <c r="G41" s="657"/>
      <c r="H41" s="657"/>
      <c r="I41" s="654"/>
      <c r="J41" s="654"/>
      <c r="K41" s="654"/>
      <c r="L41" s="658"/>
      <c r="M41" s="654"/>
      <c r="N41" s="654"/>
      <c r="O41" s="657"/>
      <c r="P41" s="657"/>
      <c r="Q41" s="654"/>
      <c r="R41" s="654"/>
      <c r="S41" s="431"/>
      <c r="T41" s="431"/>
      <c r="U41" s="431"/>
      <c r="V41" s="431"/>
    </row>
    <row r="42" spans="1:22" s="428" customFormat="1" ht="39.75" customHeight="1">
      <c r="A42" s="614"/>
      <c r="B42" s="654"/>
      <c r="C42" s="655"/>
      <c r="D42" s="656"/>
      <c r="E42" s="657"/>
      <c r="F42" s="657"/>
      <c r="G42" s="657"/>
      <c r="H42" s="657"/>
      <c r="I42" s="654"/>
      <c r="J42" s="654"/>
      <c r="K42" s="654"/>
      <c r="L42" s="658"/>
      <c r="M42" s="654"/>
      <c r="N42" s="654"/>
      <c r="O42" s="657"/>
      <c r="P42" s="657"/>
      <c r="Q42" s="654"/>
      <c r="R42" s="654"/>
      <c r="S42" s="431"/>
      <c r="T42" s="431"/>
      <c r="U42" s="431"/>
      <c r="V42" s="431"/>
    </row>
    <row r="43" spans="1:22" s="428" customFormat="1" ht="39.75" customHeight="1">
      <c r="A43" s="614"/>
      <c r="B43" s="654"/>
      <c r="C43" s="655"/>
      <c r="D43" s="656"/>
      <c r="E43" s="657"/>
      <c r="F43" s="657"/>
      <c r="G43" s="657"/>
      <c r="H43" s="657"/>
      <c r="I43" s="654"/>
      <c r="J43" s="654"/>
      <c r="K43" s="654"/>
      <c r="L43" s="658"/>
      <c r="M43" s="654"/>
      <c r="N43" s="654"/>
      <c r="O43" s="657"/>
      <c r="P43" s="657"/>
      <c r="Q43" s="654"/>
      <c r="R43" s="654"/>
      <c r="S43" s="431"/>
      <c r="T43" s="431"/>
      <c r="U43" s="431"/>
      <c r="V43" s="431"/>
    </row>
    <row r="44" spans="1:22" s="428" customFormat="1" ht="39.75" customHeight="1">
      <c r="A44" s="614"/>
      <c r="B44" s="654"/>
      <c r="C44" s="655"/>
      <c r="D44" s="656"/>
      <c r="E44" s="657"/>
      <c r="F44" s="657"/>
      <c r="G44" s="657"/>
      <c r="H44" s="657"/>
      <c r="I44" s="654"/>
      <c r="J44" s="654"/>
      <c r="K44" s="654"/>
      <c r="L44" s="658"/>
      <c r="M44" s="654"/>
      <c r="N44" s="654"/>
      <c r="O44" s="657"/>
      <c r="P44" s="657"/>
      <c r="Q44" s="654"/>
      <c r="R44" s="654"/>
      <c r="S44" s="431"/>
      <c r="T44" s="431"/>
      <c r="U44" s="431"/>
      <c r="V44" s="431"/>
    </row>
    <row r="45" spans="1:22" s="428" customFormat="1" ht="39.75" customHeight="1">
      <c r="A45" s="614"/>
      <c r="B45" s="654"/>
      <c r="C45" s="655"/>
      <c r="D45" s="656"/>
      <c r="E45" s="657"/>
      <c r="F45" s="657"/>
      <c r="G45" s="657"/>
      <c r="H45" s="657"/>
      <c r="I45" s="654"/>
      <c r="J45" s="654"/>
      <c r="K45" s="654"/>
      <c r="L45" s="658"/>
      <c r="M45" s="654"/>
      <c r="N45" s="654"/>
      <c r="O45" s="657"/>
      <c r="P45" s="657"/>
      <c r="Q45" s="654"/>
      <c r="R45" s="654"/>
      <c r="S45" s="431"/>
      <c r="T45" s="431"/>
      <c r="U45" s="431"/>
      <c r="V45" s="431"/>
    </row>
    <row r="46" spans="1:22" s="428" customFormat="1" ht="39.75" customHeight="1">
      <c r="A46" s="614"/>
      <c r="B46" s="654"/>
      <c r="C46" s="655"/>
      <c r="D46" s="656"/>
      <c r="E46" s="657"/>
      <c r="F46" s="657"/>
      <c r="G46" s="657"/>
      <c r="H46" s="657"/>
      <c r="I46" s="654"/>
      <c r="J46" s="654"/>
      <c r="K46" s="654"/>
      <c r="L46" s="658"/>
      <c r="M46" s="654"/>
      <c r="N46" s="654"/>
      <c r="O46" s="657"/>
      <c r="P46" s="657"/>
      <c r="Q46" s="654"/>
      <c r="R46" s="654"/>
      <c r="S46" s="431"/>
      <c r="T46" s="431"/>
      <c r="U46" s="431"/>
      <c r="V46" s="431"/>
    </row>
    <row r="47" spans="1:22" s="428" customFormat="1" ht="39.75" customHeight="1">
      <c r="A47" s="614"/>
      <c r="B47" s="654"/>
      <c r="C47" s="655"/>
      <c r="D47" s="656"/>
      <c r="E47" s="657"/>
      <c r="F47" s="657"/>
      <c r="G47" s="657"/>
      <c r="H47" s="657"/>
      <c r="I47" s="654"/>
      <c r="J47" s="654"/>
      <c r="K47" s="654"/>
      <c r="L47" s="658"/>
      <c r="M47" s="654"/>
      <c r="N47" s="654"/>
      <c r="O47" s="657"/>
      <c r="P47" s="657"/>
      <c r="Q47" s="654"/>
      <c r="R47" s="654"/>
      <c r="S47" s="431"/>
      <c r="T47" s="431"/>
      <c r="U47" s="431"/>
      <c r="V47" s="431"/>
    </row>
    <row r="48" spans="1:22" s="428" customFormat="1" ht="39.75" customHeight="1">
      <c r="A48" s="614"/>
      <c r="B48" s="654"/>
      <c r="C48" s="655"/>
      <c r="D48" s="656"/>
      <c r="E48" s="657"/>
      <c r="F48" s="657"/>
      <c r="G48" s="657"/>
      <c r="H48" s="657"/>
      <c r="I48" s="654"/>
      <c r="J48" s="654"/>
      <c r="K48" s="654"/>
      <c r="L48" s="658"/>
      <c r="M48" s="654"/>
      <c r="N48" s="654"/>
      <c r="O48" s="657"/>
      <c r="P48" s="657"/>
      <c r="Q48" s="654"/>
      <c r="R48" s="654"/>
      <c r="S48" s="431"/>
      <c r="T48" s="431"/>
      <c r="U48" s="431"/>
      <c r="V48" s="431"/>
    </row>
    <row r="49" spans="1:22" s="428" customFormat="1" ht="39.75" customHeight="1">
      <c r="A49" s="614"/>
      <c r="B49" s="654"/>
      <c r="C49" s="655"/>
      <c r="D49" s="656"/>
      <c r="E49" s="657"/>
      <c r="F49" s="657"/>
      <c r="G49" s="657"/>
      <c r="H49" s="657"/>
      <c r="I49" s="654"/>
      <c r="J49" s="654"/>
      <c r="K49" s="654"/>
      <c r="L49" s="658"/>
      <c r="M49" s="654"/>
      <c r="N49" s="654"/>
      <c r="O49" s="657"/>
      <c r="P49" s="657"/>
      <c r="Q49" s="654"/>
      <c r="R49" s="654"/>
      <c r="S49" s="431"/>
      <c r="T49" s="431"/>
      <c r="U49" s="431"/>
      <c r="V49" s="431"/>
    </row>
    <row r="50" spans="1:22" s="428" customFormat="1" ht="39.75" customHeight="1">
      <c r="A50" s="614"/>
      <c r="B50" s="654"/>
      <c r="C50" s="655"/>
      <c r="D50" s="656"/>
      <c r="E50" s="657"/>
      <c r="F50" s="657"/>
      <c r="G50" s="657"/>
      <c r="H50" s="657"/>
      <c r="I50" s="654"/>
      <c r="J50" s="654"/>
      <c r="K50" s="654"/>
      <c r="L50" s="658"/>
      <c r="M50" s="654"/>
      <c r="N50" s="654"/>
      <c r="O50" s="657"/>
      <c r="P50" s="657"/>
      <c r="Q50" s="654"/>
      <c r="R50" s="654"/>
      <c r="S50" s="431"/>
      <c r="T50" s="431"/>
      <c r="U50" s="431"/>
      <c r="V50" s="431"/>
    </row>
    <row r="51" spans="1:22" s="428" customFormat="1" ht="39.75" customHeight="1">
      <c r="A51" s="614"/>
      <c r="B51" s="654"/>
      <c r="C51" s="655"/>
      <c r="D51" s="656"/>
      <c r="E51" s="657"/>
      <c r="F51" s="657"/>
      <c r="G51" s="657"/>
      <c r="H51" s="657"/>
      <c r="I51" s="654"/>
      <c r="J51" s="654"/>
      <c r="K51" s="654"/>
      <c r="L51" s="658"/>
      <c r="M51" s="654"/>
      <c r="N51" s="654"/>
      <c r="O51" s="657"/>
      <c r="P51" s="657"/>
      <c r="Q51" s="654"/>
      <c r="R51" s="654"/>
      <c r="S51" s="431"/>
      <c r="T51" s="431"/>
      <c r="U51" s="431"/>
      <c r="V51" s="431"/>
    </row>
    <row r="52" spans="1:22" s="428" customFormat="1" ht="39.75" customHeight="1">
      <c r="A52" s="614"/>
      <c r="B52" s="654"/>
      <c r="C52" s="655"/>
      <c r="D52" s="656"/>
      <c r="E52" s="657"/>
      <c r="F52" s="657"/>
      <c r="G52" s="657"/>
      <c r="H52" s="657"/>
      <c r="I52" s="654"/>
      <c r="J52" s="654"/>
      <c r="K52" s="654"/>
      <c r="L52" s="658"/>
      <c r="M52" s="654"/>
      <c r="N52" s="654"/>
      <c r="O52" s="657"/>
      <c r="P52" s="657"/>
      <c r="Q52" s="654"/>
      <c r="R52" s="654"/>
      <c r="S52" s="431"/>
      <c r="T52" s="431"/>
      <c r="U52" s="431"/>
      <c r="V52" s="431"/>
    </row>
    <row r="53" spans="1:22" s="428" customFormat="1" ht="39.75" customHeight="1">
      <c r="A53" s="614"/>
      <c r="B53" s="654"/>
      <c r="C53" s="655"/>
      <c r="D53" s="656"/>
      <c r="E53" s="657"/>
      <c r="F53" s="657"/>
      <c r="G53" s="657"/>
      <c r="H53" s="657"/>
      <c r="I53" s="654"/>
      <c r="J53" s="654"/>
      <c r="K53" s="654"/>
      <c r="L53" s="658"/>
      <c r="M53" s="654"/>
      <c r="N53" s="654"/>
      <c r="O53" s="657"/>
      <c r="P53" s="657"/>
      <c r="Q53" s="654"/>
      <c r="R53" s="654"/>
      <c r="S53" s="431"/>
      <c r="T53" s="431"/>
      <c r="U53" s="431"/>
      <c r="V53" s="431"/>
    </row>
    <row r="54" spans="1:22" s="428" customFormat="1" ht="39.75" customHeight="1">
      <c r="A54" s="614"/>
      <c r="B54" s="654"/>
      <c r="C54" s="655"/>
      <c r="D54" s="656"/>
      <c r="E54" s="657"/>
      <c r="F54" s="657"/>
      <c r="G54" s="657"/>
      <c r="H54" s="657"/>
      <c r="I54" s="654"/>
      <c r="J54" s="654"/>
      <c r="K54" s="654"/>
      <c r="L54" s="658"/>
      <c r="M54" s="654"/>
      <c r="N54" s="654"/>
      <c r="O54" s="657"/>
      <c r="P54" s="657"/>
      <c r="Q54" s="654"/>
      <c r="R54" s="654"/>
      <c r="S54" s="431"/>
      <c r="T54" s="431"/>
      <c r="U54" s="431"/>
      <c r="V54" s="431"/>
    </row>
    <row r="55" spans="1:22" s="428" customFormat="1" ht="39.75" customHeight="1">
      <c r="A55" s="614"/>
      <c r="B55" s="654"/>
      <c r="C55" s="655"/>
      <c r="D55" s="656"/>
      <c r="E55" s="657"/>
      <c r="F55" s="657"/>
      <c r="G55" s="657"/>
      <c r="H55" s="657"/>
      <c r="I55" s="654"/>
      <c r="J55" s="654"/>
      <c r="K55" s="654"/>
      <c r="L55" s="658"/>
      <c r="M55" s="654"/>
      <c r="N55" s="654"/>
      <c r="O55" s="657"/>
      <c r="P55" s="657"/>
      <c r="Q55" s="654"/>
      <c r="R55" s="654"/>
      <c r="S55" s="431"/>
      <c r="T55" s="431"/>
      <c r="U55" s="431"/>
      <c r="V55" s="431"/>
    </row>
    <row r="56" spans="1:22" s="428" customFormat="1" ht="39.75" customHeight="1">
      <c r="A56" s="614"/>
      <c r="B56" s="654"/>
      <c r="C56" s="655"/>
      <c r="D56" s="656"/>
      <c r="E56" s="657"/>
      <c r="F56" s="657"/>
      <c r="G56" s="657"/>
      <c r="H56" s="657"/>
      <c r="I56" s="654"/>
      <c r="J56" s="654"/>
      <c r="K56" s="654"/>
      <c r="L56" s="658"/>
      <c r="M56" s="654"/>
      <c r="N56" s="654"/>
      <c r="O56" s="657"/>
      <c r="P56" s="657"/>
      <c r="Q56" s="654"/>
      <c r="R56" s="654"/>
      <c r="S56" s="431"/>
      <c r="T56" s="431"/>
      <c r="U56" s="431"/>
      <c r="V56" s="431"/>
    </row>
    <row r="57" spans="1:22" s="428" customFormat="1" ht="39.75" customHeight="1">
      <c r="A57" s="614"/>
      <c r="B57" s="654"/>
      <c r="C57" s="655"/>
      <c r="D57" s="656"/>
      <c r="E57" s="657"/>
      <c r="F57" s="657"/>
      <c r="G57" s="657"/>
      <c r="H57" s="657"/>
      <c r="I57" s="654"/>
      <c r="J57" s="654"/>
      <c r="K57" s="654"/>
      <c r="L57" s="658"/>
      <c r="M57" s="654"/>
      <c r="N57" s="654"/>
      <c r="O57" s="657"/>
      <c r="P57" s="657"/>
      <c r="Q57" s="654"/>
      <c r="R57" s="654"/>
      <c r="S57" s="431"/>
      <c r="T57" s="431"/>
      <c r="U57" s="431"/>
      <c r="V57" s="431"/>
    </row>
    <row r="58" spans="1:22" s="428" customFormat="1" ht="39.75" customHeight="1">
      <c r="A58" s="614"/>
      <c r="B58" s="654"/>
      <c r="C58" s="655"/>
      <c r="D58" s="656"/>
      <c r="E58" s="657"/>
      <c r="F58" s="657"/>
      <c r="G58" s="657"/>
      <c r="H58" s="657"/>
      <c r="I58" s="654"/>
      <c r="J58" s="654"/>
      <c r="K58" s="654"/>
      <c r="L58" s="658"/>
      <c r="M58" s="654"/>
      <c r="N58" s="654"/>
      <c r="O58" s="657"/>
      <c r="P58" s="657"/>
      <c r="Q58" s="654"/>
      <c r="R58" s="654"/>
      <c r="S58" s="431"/>
      <c r="T58" s="431"/>
      <c r="U58" s="431"/>
      <c r="V58" s="431"/>
    </row>
    <row r="59" spans="1:22" s="428" customFormat="1" ht="39.75" customHeight="1">
      <c r="A59" s="614"/>
      <c r="B59" s="654"/>
      <c r="C59" s="655"/>
      <c r="D59" s="656"/>
      <c r="E59" s="657"/>
      <c r="F59" s="657"/>
      <c r="G59" s="657"/>
      <c r="H59" s="657"/>
      <c r="I59" s="654"/>
      <c r="J59" s="654"/>
      <c r="K59" s="654"/>
      <c r="L59" s="658"/>
      <c r="M59" s="654"/>
      <c r="N59" s="654"/>
      <c r="O59" s="657"/>
      <c r="P59" s="657"/>
      <c r="Q59" s="654"/>
      <c r="R59" s="654"/>
      <c r="S59" s="431"/>
      <c r="T59" s="431"/>
      <c r="U59" s="431"/>
      <c r="V59" s="431"/>
    </row>
    <row r="60" spans="1:22" s="428" customFormat="1" ht="39.75" customHeight="1">
      <c r="A60" s="614"/>
      <c r="B60" s="654"/>
      <c r="C60" s="655"/>
      <c r="D60" s="656"/>
      <c r="E60" s="657"/>
      <c r="F60" s="657"/>
      <c r="G60" s="657"/>
      <c r="H60" s="657"/>
      <c r="I60" s="654"/>
      <c r="J60" s="654"/>
      <c r="K60" s="654"/>
      <c r="L60" s="658"/>
      <c r="M60" s="654"/>
      <c r="N60" s="654"/>
      <c r="O60" s="657"/>
      <c r="P60" s="657"/>
      <c r="Q60" s="654"/>
      <c r="R60" s="654"/>
      <c r="S60" s="431"/>
      <c r="T60" s="431"/>
      <c r="U60" s="431"/>
      <c r="V60" s="431"/>
    </row>
    <row r="61" spans="1:22" s="428" customFormat="1" ht="39.75" customHeight="1">
      <c r="A61" s="614"/>
      <c r="B61" s="654"/>
      <c r="C61" s="655"/>
      <c r="D61" s="656"/>
      <c r="E61" s="657"/>
      <c r="F61" s="657"/>
      <c r="G61" s="657"/>
      <c r="H61" s="657"/>
      <c r="I61" s="654"/>
      <c r="J61" s="654"/>
      <c r="K61" s="654"/>
      <c r="L61" s="658"/>
      <c r="M61" s="654"/>
      <c r="N61" s="654"/>
      <c r="O61" s="657"/>
      <c r="P61" s="657"/>
      <c r="Q61" s="654"/>
      <c r="R61" s="654"/>
      <c r="S61" s="431"/>
      <c r="T61" s="431"/>
      <c r="U61" s="431"/>
      <c r="V61" s="431"/>
    </row>
    <row r="62" spans="1:22" s="428" customFormat="1" ht="39.75" customHeight="1">
      <c r="A62" s="614"/>
      <c r="B62" s="654"/>
      <c r="C62" s="655"/>
      <c r="D62" s="656"/>
      <c r="E62" s="657"/>
      <c r="F62" s="657"/>
      <c r="G62" s="657"/>
      <c r="H62" s="657"/>
      <c r="I62" s="654"/>
      <c r="J62" s="654"/>
      <c r="K62" s="654"/>
      <c r="L62" s="658"/>
      <c r="M62" s="654"/>
      <c r="N62" s="654"/>
      <c r="O62" s="657"/>
      <c r="P62" s="657"/>
      <c r="Q62" s="654"/>
      <c r="R62" s="654"/>
      <c r="S62" s="431"/>
      <c r="T62" s="431"/>
      <c r="U62" s="431"/>
      <c r="V62" s="431"/>
    </row>
    <row r="63" spans="1:22" s="428" customFormat="1" ht="39.75" customHeight="1">
      <c r="A63" s="614"/>
      <c r="B63" s="654"/>
      <c r="C63" s="655"/>
      <c r="D63" s="656"/>
      <c r="E63" s="657"/>
      <c r="F63" s="657"/>
      <c r="G63" s="657"/>
      <c r="H63" s="657"/>
      <c r="I63" s="654"/>
      <c r="J63" s="654"/>
      <c r="K63" s="654"/>
      <c r="L63" s="658"/>
      <c r="M63" s="654"/>
      <c r="N63" s="654"/>
      <c r="O63" s="657"/>
      <c r="P63" s="657"/>
      <c r="Q63" s="654"/>
      <c r="R63" s="654"/>
      <c r="S63" s="431"/>
      <c r="T63" s="431"/>
      <c r="U63" s="431"/>
      <c r="V63" s="431"/>
    </row>
    <row r="64" spans="1:22" s="428" customFormat="1" ht="39.75" customHeight="1">
      <c r="A64" s="614"/>
      <c r="B64" s="654"/>
      <c r="C64" s="655"/>
      <c r="D64" s="656"/>
      <c r="E64" s="657"/>
      <c r="F64" s="657"/>
      <c r="G64" s="657"/>
      <c r="H64" s="657"/>
      <c r="I64" s="654"/>
      <c r="J64" s="654"/>
      <c r="K64" s="654"/>
      <c r="L64" s="658"/>
      <c r="M64" s="654"/>
      <c r="N64" s="654"/>
      <c r="O64" s="657"/>
      <c r="P64" s="657"/>
      <c r="Q64" s="654"/>
      <c r="R64" s="654"/>
      <c r="S64" s="431"/>
      <c r="T64" s="431"/>
      <c r="U64" s="431"/>
      <c r="V64" s="431"/>
    </row>
    <row r="65" spans="1:22" s="428" customFormat="1" ht="39.75" customHeight="1">
      <c r="A65" s="614"/>
      <c r="B65" s="654"/>
      <c r="C65" s="655"/>
      <c r="D65" s="656"/>
      <c r="E65" s="657"/>
      <c r="F65" s="657"/>
      <c r="G65" s="657"/>
      <c r="H65" s="657"/>
      <c r="I65" s="654"/>
      <c r="J65" s="654"/>
      <c r="K65" s="654"/>
      <c r="L65" s="658"/>
      <c r="M65" s="654"/>
      <c r="N65" s="654"/>
      <c r="O65" s="657"/>
      <c r="P65" s="657"/>
      <c r="Q65" s="654"/>
      <c r="R65" s="654"/>
      <c r="S65" s="431"/>
      <c r="T65" s="431"/>
      <c r="U65" s="431"/>
      <c r="V65" s="431"/>
    </row>
    <row r="66" spans="1:22" s="428" customFormat="1" ht="39.75" customHeight="1">
      <c r="A66" s="614"/>
      <c r="B66" s="654"/>
      <c r="C66" s="659"/>
      <c r="D66" s="656"/>
      <c r="E66" s="657"/>
      <c r="F66" s="657"/>
      <c r="G66" s="657"/>
      <c r="H66" s="657"/>
      <c r="I66" s="654"/>
      <c r="J66" s="654"/>
      <c r="K66" s="654"/>
      <c r="L66" s="658"/>
      <c r="M66" s="654"/>
      <c r="N66" s="654"/>
      <c r="O66" s="657"/>
      <c r="P66" s="657"/>
      <c r="Q66" s="654"/>
      <c r="R66" s="654"/>
      <c r="S66" s="431"/>
      <c r="T66" s="431"/>
      <c r="U66" s="431"/>
      <c r="V66" s="431"/>
    </row>
    <row r="67" spans="1:22" s="428" customFormat="1" ht="39.75" customHeight="1">
      <c r="A67" s="614"/>
      <c r="B67" s="654"/>
      <c r="C67" s="655"/>
      <c r="D67" s="656"/>
      <c r="E67" s="657"/>
      <c r="F67" s="657"/>
      <c r="G67" s="657"/>
      <c r="H67" s="657"/>
      <c r="I67" s="654"/>
      <c r="J67" s="654"/>
      <c r="K67" s="654"/>
      <c r="L67" s="658"/>
      <c r="M67" s="654"/>
      <c r="N67" s="654"/>
      <c r="O67" s="657"/>
      <c r="P67" s="657"/>
      <c r="Q67" s="654"/>
      <c r="R67" s="654"/>
      <c r="S67" s="431"/>
      <c r="T67" s="431"/>
      <c r="U67" s="431"/>
      <c r="V67" s="431"/>
    </row>
    <row r="68" spans="1:22" s="428" customFormat="1" ht="39.75" customHeight="1">
      <c r="A68" s="614"/>
      <c r="B68" s="654"/>
      <c r="C68" s="655"/>
      <c r="D68" s="656"/>
      <c r="E68" s="657"/>
      <c r="F68" s="657"/>
      <c r="G68" s="657"/>
      <c r="H68" s="657"/>
      <c r="I68" s="654"/>
      <c r="J68" s="654"/>
      <c r="K68" s="654"/>
      <c r="L68" s="658"/>
      <c r="M68" s="654"/>
      <c r="N68" s="654"/>
      <c r="O68" s="657"/>
      <c r="P68" s="657"/>
      <c r="Q68" s="654"/>
      <c r="R68" s="654"/>
      <c r="S68" s="431"/>
      <c r="T68" s="431"/>
      <c r="U68" s="431"/>
      <c r="V68" s="431"/>
    </row>
    <row r="69" spans="1:22" s="428" customFormat="1" ht="39.75" customHeight="1">
      <c r="A69" s="614"/>
      <c r="B69" s="654"/>
      <c r="C69" s="655"/>
      <c r="D69" s="656"/>
      <c r="E69" s="657"/>
      <c r="F69" s="657"/>
      <c r="G69" s="657"/>
      <c r="H69" s="657"/>
      <c r="I69" s="654"/>
      <c r="J69" s="654"/>
      <c r="K69" s="654"/>
      <c r="L69" s="658"/>
      <c r="M69" s="654"/>
      <c r="N69" s="654"/>
      <c r="O69" s="657"/>
      <c r="P69" s="657"/>
      <c r="Q69" s="654"/>
      <c r="R69" s="654"/>
      <c r="S69" s="431"/>
      <c r="T69" s="431"/>
      <c r="U69" s="431"/>
      <c r="V69" s="431"/>
    </row>
    <row r="70" spans="1:22" s="428" customFormat="1" ht="39.75" customHeight="1">
      <c r="A70" s="614"/>
      <c r="B70" s="654"/>
      <c r="C70" s="655"/>
      <c r="D70" s="656"/>
      <c r="E70" s="657"/>
      <c r="F70" s="657"/>
      <c r="G70" s="657"/>
      <c r="H70" s="657"/>
      <c r="I70" s="654"/>
      <c r="J70" s="654"/>
      <c r="K70" s="654"/>
      <c r="L70" s="658"/>
      <c r="M70" s="654"/>
      <c r="N70" s="654"/>
      <c r="O70" s="657"/>
      <c r="P70" s="657"/>
      <c r="Q70" s="654"/>
      <c r="R70" s="654"/>
      <c r="S70" s="431"/>
      <c r="T70" s="431"/>
      <c r="U70" s="431"/>
      <c r="V70" s="431"/>
    </row>
    <row r="71" spans="1:22" s="428" customFormat="1" ht="39.75" customHeight="1">
      <c r="A71" s="614"/>
      <c r="B71" s="654"/>
      <c r="C71" s="655"/>
      <c r="D71" s="656"/>
      <c r="E71" s="657"/>
      <c r="F71" s="657"/>
      <c r="G71" s="657"/>
      <c r="H71" s="657"/>
      <c r="I71" s="654"/>
      <c r="J71" s="654"/>
      <c r="K71" s="654"/>
      <c r="L71" s="658"/>
      <c r="M71" s="654"/>
      <c r="N71" s="654"/>
      <c r="O71" s="657"/>
      <c r="P71" s="657"/>
      <c r="Q71" s="654"/>
      <c r="R71" s="654"/>
      <c r="S71" s="431"/>
      <c r="T71" s="431"/>
      <c r="U71" s="431"/>
      <c r="V71" s="431"/>
    </row>
    <row r="72" spans="1:22" s="428" customFormat="1" ht="39.75" customHeight="1">
      <c r="A72" s="614"/>
      <c r="B72" s="654"/>
      <c r="C72" s="655"/>
      <c r="D72" s="656"/>
      <c r="E72" s="657"/>
      <c r="F72" s="657"/>
      <c r="G72" s="657"/>
      <c r="H72" s="657"/>
      <c r="I72" s="654"/>
      <c r="J72" s="654"/>
      <c r="K72" s="654"/>
      <c r="L72" s="658"/>
      <c r="M72" s="654"/>
      <c r="N72" s="654"/>
      <c r="O72" s="657"/>
      <c r="P72" s="657"/>
      <c r="Q72" s="654"/>
      <c r="R72" s="654"/>
      <c r="S72" s="431"/>
      <c r="T72" s="431"/>
      <c r="U72" s="431"/>
      <c r="V72" s="431"/>
    </row>
    <row r="73" spans="1:22" s="428" customFormat="1" ht="39.75" customHeight="1">
      <c r="A73" s="654"/>
      <c r="B73" s="654"/>
      <c r="C73" s="654"/>
      <c r="D73" s="654"/>
      <c r="E73" s="654"/>
      <c r="F73" s="654"/>
      <c r="G73" s="654"/>
      <c r="H73" s="654"/>
      <c r="I73" s="654"/>
      <c r="J73" s="654"/>
      <c r="K73" s="654"/>
      <c r="L73" s="658"/>
      <c r="M73" s="654"/>
      <c r="N73" s="654"/>
      <c r="O73" s="654"/>
      <c r="P73" s="654"/>
      <c r="Q73" s="654"/>
      <c r="R73" s="654"/>
      <c r="S73" s="431"/>
      <c r="T73" s="431"/>
      <c r="U73" s="431"/>
      <c r="V73" s="431"/>
    </row>
    <row r="74" spans="1:22" s="428" customFormat="1" ht="39.75" customHeight="1">
      <c r="A74" s="654"/>
      <c r="B74" s="654"/>
      <c r="C74" s="654"/>
      <c r="D74" s="654"/>
      <c r="E74" s="654"/>
      <c r="F74" s="654"/>
      <c r="G74" s="654"/>
      <c r="H74" s="654"/>
      <c r="I74" s="654"/>
      <c r="J74" s="654"/>
      <c r="K74" s="654"/>
      <c r="L74" s="658"/>
      <c r="M74" s="654"/>
      <c r="N74" s="654"/>
      <c r="O74" s="654"/>
      <c r="P74" s="654"/>
      <c r="Q74" s="654"/>
      <c r="R74" s="654"/>
      <c r="S74" s="431"/>
      <c r="T74" s="431"/>
      <c r="U74" s="431"/>
      <c r="V74" s="431"/>
    </row>
    <row r="75" spans="1:22" s="428" customFormat="1" ht="39.75" customHeight="1">
      <c r="A75" s="654"/>
      <c r="B75" s="654"/>
      <c r="C75" s="654"/>
      <c r="D75" s="654"/>
      <c r="E75" s="654"/>
      <c r="F75" s="654"/>
      <c r="G75" s="654"/>
      <c r="H75" s="654"/>
      <c r="I75" s="654"/>
      <c r="J75" s="654"/>
      <c r="K75" s="654"/>
      <c r="L75" s="658"/>
      <c r="M75" s="654"/>
      <c r="N75" s="654"/>
      <c r="O75" s="654"/>
      <c r="P75" s="654"/>
      <c r="Q75" s="654"/>
      <c r="R75" s="654"/>
      <c r="S75" s="431"/>
      <c r="T75" s="431"/>
      <c r="U75" s="431"/>
      <c r="V75" s="431"/>
    </row>
    <row r="76" spans="1:22" s="428" customFormat="1" ht="39.75" customHeight="1">
      <c r="A76" s="654"/>
      <c r="B76" s="654"/>
      <c r="C76" s="654"/>
      <c r="D76" s="654"/>
      <c r="E76" s="654"/>
      <c r="F76" s="654"/>
      <c r="G76" s="654"/>
      <c r="H76" s="654"/>
      <c r="I76" s="654"/>
      <c r="J76" s="654"/>
      <c r="K76" s="654"/>
      <c r="L76" s="658"/>
      <c r="M76" s="654"/>
      <c r="N76" s="654"/>
      <c r="O76" s="654"/>
      <c r="P76" s="654"/>
      <c r="Q76" s="654"/>
      <c r="R76" s="654"/>
      <c r="S76" s="431"/>
      <c r="T76" s="431"/>
      <c r="U76" s="431"/>
      <c r="V76" s="431"/>
    </row>
    <row r="77" spans="1:22" s="428" customFormat="1" ht="39.75" customHeight="1">
      <c r="A77" s="654"/>
      <c r="B77" s="654"/>
      <c r="C77" s="654"/>
      <c r="D77" s="654"/>
      <c r="E77" s="654"/>
      <c r="F77" s="654"/>
      <c r="G77" s="654"/>
      <c r="H77" s="654"/>
      <c r="I77" s="654"/>
      <c r="J77" s="654"/>
      <c r="K77" s="654"/>
      <c r="L77" s="658"/>
      <c r="M77" s="654"/>
      <c r="N77" s="654"/>
      <c r="O77" s="654"/>
      <c r="P77" s="654"/>
      <c r="Q77" s="654"/>
      <c r="R77" s="654"/>
      <c r="S77" s="431"/>
      <c r="T77" s="431"/>
      <c r="U77" s="431"/>
      <c r="V77" s="431"/>
    </row>
    <row r="78" spans="1:22" s="428" customFormat="1" ht="39.75" customHeight="1">
      <c r="A78" s="654"/>
      <c r="B78" s="654"/>
      <c r="C78" s="654"/>
      <c r="D78" s="654"/>
      <c r="E78" s="654"/>
      <c r="F78" s="654"/>
      <c r="G78" s="654"/>
      <c r="H78" s="654"/>
      <c r="I78" s="654"/>
      <c r="J78" s="654"/>
      <c r="K78" s="654"/>
      <c r="L78" s="658"/>
      <c r="M78" s="654"/>
      <c r="N78" s="654"/>
      <c r="O78" s="654"/>
      <c r="P78" s="654"/>
      <c r="Q78" s="654"/>
      <c r="R78" s="654"/>
      <c r="S78" s="431"/>
      <c r="T78" s="431"/>
      <c r="U78" s="431"/>
      <c r="V78" s="431"/>
    </row>
    <row r="79" spans="1:22" s="428" customFormat="1" ht="39.75" customHeight="1">
      <c r="A79" s="654"/>
      <c r="B79" s="654"/>
      <c r="C79" s="654"/>
      <c r="D79" s="654"/>
      <c r="E79" s="654"/>
      <c r="F79" s="654"/>
      <c r="G79" s="654"/>
      <c r="H79" s="654"/>
      <c r="I79" s="654"/>
      <c r="J79" s="654"/>
      <c r="K79" s="654"/>
      <c r="L79" s="658"/>
      <c r="M79" s="654"/>
      <c r="N79" s="654"/>
      <c r="O79" s="654"/>
      <c r="P79" s="654"/>
      <c r="Q79" s="654"/>
      <c r="R79" s="654"/>
      <c r="S79" s="431"/>
      <c r="T79" s="431"/>
      <c r="U79" s="431"/>
      <c r="V79" s="431"/>
    </row>
    <row r="80" spans="1:22" s="428" customFormat="1" ht="39.75" customHeight="1">
      <c r="A80" s="654"/>
      <c r="B80" s="654"/>
      <c r="C80" s="654"/>
      <c r="D80" s="654"/>
      <c r="E80" s="654"/>
      <c r="F80" s="654"/>
      <c r="G80" s="654"/>
      <c r="H80" s="654"/>
      <c r="I80" s="654"/>
      <c r="J80" s="654"/>
      <c r="K80" s="654"/>
      <c r="L80" s="658"/>
      <c r="M80" s="654"/>
      <c r="N80" s="654"/>
      <c r="O80" s="654"/>
      <c r="P80" s="654"/>
      <c r="Q80" s="654"/>
      <c r="R80" s="654"/>
      <c r="S80" s="431"/>
      <c r="T80" s="431"/>
      <c r="U80" s="431"/>
      <c r="V80" s="431"/>
    </row>
    <row r="81" spans="1:22" s="428" customFormat="1" ht="39.75" customHeight="1">
      <c r="A81" s="654"/>
      <c r="B81" s="654"/>
      <c r="C81" s="654"/>
      <c r="D81" s="654"/>
      <c r="E81" s="654"/>
      <c r="F81" s="654"/>
      <c r="G81" s="654"/>
      <c r="H81" s="654"/>
      <c r="I81" s="654"/>
      <c r="J81" s="654"/>
      <c r="K81" s="654"/>
      <c r="L81" s="658"/>
      <c r="M81" s="654"/>
      <c r="N81" s="654"/>
      <c r="O81" s="654"/>
      <c r="P81" s="654"/>
      <c r="Q81" s="654"/>
      <c r="R81" s="654"/>
      <c r="S81" s="431"/>
      <c r="T81" s="431"/>
      <c r="U81" s="431"/>
      <c r="V81" s="431"/>
    </row>
    <row r="82" spans="1:22" s="428" customFormat="1" ht="39.75" customHeight="1">
      <c r="A82" s="654"/>
      <c r="B82" s="654"/>
      <c r="C82" s="654"/>
      <c r="D82" s="654"/>
      <c r="E82" s="654"/>
      <c r="F82" s="654"/>
      <c r="G82" s="654"/>
      <c r="H82" s="654"/>
      <c r="I82" s="654"/>
      <c r="J82" s="654"/>
      <c r="K82" s="654"/>
      <c r="L82" s="658"/>
      <c r="M82" s="654"/>
      <c r="N82" s="654"/>
      <c r="O82" s="654"/>
      <c r="P82" s="654"/>
      <c r="Q82" s="654"/>
      <c r="R82" s="654"/>
      <c r="S82" s="431"/>
      <c r="T82" s="431"/>
      <c r="U82" s="431"/>
      <c r="V82" s="431"/>
    </row>
    <row r="83" spans="1:22" s="428" customFormat="1" ht="39.75" customHeight="1">
      <c r="A83" s="654"/>
      <c r="B83" s="654"/>
      <c r="C83" s="654"/>
      <c r="D83" s="654"/>
      <c r="E83" s="654"/>
      <c r="F83" s="654"/>
      <c r="G83" s="654"/>
      <c r="H83" s="654"/>
      <c r="I83" s="654"/>
      <c r="J83" s="654"/>
      <c r="K83" s="654"/>
      <c r="L83" s="658"/>
      <c r="M83" s="654"/>
      <c r="N83" s="654"/>
      <c r="O83" s="654"/>
      <c r="P83" s="654"/>
      <c r="Q83" s="654"/>
      <c r="R83" s="654"/>
      <c r="S83" s="431"/>
      <c r="T83" s="431"/>
      <c r="U83" s="431"/>
      <c r="V83" s="431"/>
    </row>
    <row r="84" spans="1:22" s="428" customFormat="1" ht="39.75" customHeight="1">
      <c r="A84" s="654"/>
      <c r="B84" s="654"/>
      <c r="C84" s="654"/>
      <c r="D84" s="654"/>
      <c r="E84" s="654"/>
      <c r="F84" s="654"/>
      <c r="G84" s="654"/>
      <c r="H84" s="654"/>
      <c r="I84" s="654"/>
      <c r="J84" s="654"/>
      <c r="K84" s="654"/>
      <c r="L84" s="658"/>
      <c r="M84" s="654"/>
      <c r="N84" s="654"/>
      <c r="O84" s="654"/>
      <c r="P84" s="654"/>
      <c r="Q84" s="654"/>
      <c r="R84" s="654"/>
      <c r="S84" s="431"/>
      <c r="T84" s="431"/>
      <c r="U84" s="431"/>
      <c r="V84" s="431"/>
    </row>
    <row r="85" spans="1:22" s="428" customFormat="1" ht="39.75" customHeight="1">
      <c r="A85" s="654"/>
      <c r="B85" s="654"/>
      <c r="C85" s="654"/>
      <c r="D85" s="654"/>
      <c r="E85" s="654"/>
      <c r="F85" s="654"/>
      <c r="G85" s="654"/>
      <c r="H85" s="654"/>
      <c r="I85" s="654"/>
      <c r="J85" s="654"/>
      <c r="K85" s="654"/>
      <c r="L85" s="658"/>
      <c r="M85" s="654"/>
      <c r="N85" s="654"/>
      <c r="O85" s="654"/>
      <c r="P85" s="654"/>
      <c r="Q85" s="654"/>
      <c r="R85" s="654"/>
      <c r="S85" s="431"/>
      <c r="T85" s="431"/>
      <c r="U85" s="431"/>
      <c r="V85" s="431"/>
    </row>
    <row r="86" spans="1:22" s="428" customFormat="1" ht="39.75" customHeight="1">
      <c r="A86" s="654"/>
      <c r="B86" s="654"/>
      <c r="C86" s="654"/>
      <c r="D86" s="654"/>
      <c r="E86" s="654"/>
      <c r="F86" s="654"/>
      <c r="G86" s="654"/>
      <c r="H86" s="654"/>
      <c r="I86" s="654"/>
      <c r="J86" s="654"/>
      <c r="K86" s="654"/>
      <c r="L86" s="658"/>
      <c r="M86" s="654"/>
      <c r="N86" s="654"/>
      <c r="O86" s="654"/>
      <c r="P86" s="654"/>
      <c r="Q86" s="654"/>
      <c r="R86" s="654"/>
      <c r="S86" s="431"/>
      <c r="T86" s="431"/>
      <c r="U86" s="431"/>
      <c r="V86" s="431"/>
    </row>
    <row r="87" spans="1:22" s="428" customFormat="1" ht="39.75" customHeight="1">
      <c r="A87" s="654"/>
      <c r="B87" s="654"/>
      <c r="C87" s="654"/>
      <c r="D87" s="654"/>
      <c r="E87" s="654"/>
      <c r="F87" s="654"/>
      <c r="G87" s="654"/>
      <c r="H87" s="654"/>
      <c r="I87" s="654"/>
      <c r="J87" s="654"/>
      <c r="K87" s="654"/>
      <c r="L87" s="658"/>
      <c r="M87" s="654"/>
      <c r="N87" s="654"/>
      <c r="O87" s="654"/>
      <c r="P87" s="654"/>
      <c r="Q87" s="654"/>
      <c r="R87" s="654"/>
      <c r="S87" s="431"/>
      <c r="T87" s="431"/>
      <c r="U87" s="431"/>
      <c r="V87" s="431"/>
    </row>
    <row r="88" spans="1:22" s="428" customFormat="1" ht="39.75" customHeight="1">
      <c r="A88" s="654"/>
      <c r="B88" s="654"/>
      <c r="C88" s="654"/>
      <c r="D88" s="654"/>
      <c r="E88" s="654"/>
      <c r="F88" s="654"/>
      <c r="G88" s="654"/>
      <c r="H88" s="654"/>
      <c r="I88" s="654"/>
      <c r="J88" s="654"/>
      <c r="K88" s="654"/>
      <c r="L88" s="658"/>
      <c r="M88" s="654"/>
      <c r="N88" s="654"/>
      <c r="O88" s="654"/>
      <c r="P88" s="654"/>
      <c r="Q88" s="654"/>
      <c r="R88" s="654"/>
      <c r="S88" s="431"/>
      <c r="T88" s="431"/>
      <c r="U88" s="431"/>
      <c r="V88" s="431"/>
    </row>
    <row r="89" spans="1:22" s="428" customFormat="1" ht="39.75" customHeight="1">
      <c r="A89" s="654"/>
      <c r="B89" s="654"/>
      <c r="C89" s="654"/>
      <c r="D89" s="654"/>
      <c r="E89" s="654"/>
      <c r="F89" s="654"/>
      <c r="G89" s="654"/>
      <c r="H89" s="654"/>
      <c r="I89" s="654"/>
      <c r="J89" s="654"/>
      <c r="K89" s="654"/>
      <c r="L89" s="658"/>
      <c r="M89" s="654"/>
      <c r="N89" s="654"/>
      <c r="O89" s="654"/>
      <c r="P89" s="654"/>
      <c r="Q89" s="654"/>
      <c r="R89" s="654"/>
      <c r="S89" s="431"/>
      <c r="T89" s="431"/>
      <c r="U89" s="431"/>
      <c r="V89" s="431"/>
    </row>
    <row r="90" spans="1:22" s="428" customFormat="1" ht="39.75" customHeight="1">
      <c r="A90" s="654"/>
      <c r="B90" s="654"/>
      <c r="C90" s="654"/>
      <c r="D90" s="654"/>
      <c r="E90" s="654"/>
      <c r="F90" s="654"/>
      <c r="G90" s="654"/>
      <c r="H90" s="654"/>
      <c r="I90" s="654"/>
      <c r="J90" s="654"/>
      <c r="K90" s="654"/>
      <c r="L90" s="658"/>
      <c r="M90" s="654"/>
      <c r="N90" s="654"/>
      <c r="O90" s="654"/>
      <c r="P90" s="654"/>
      <c r="Q90" s="654"/>
      <c r="R90" s="654"/>
      <c r="S90" s="431"/>
      <c r="T90" s="431"/>
      <c r="U90" s="431"/>
      <c r="V90" s="431"/>
    </row>
    <row r="91" spans="1:22" s="428" customFormat="1" ht="39.75" customHeight="1">
      <c r="A91" s="654"/>
      <c r="B91" s="654"/>
      <c r="C91" s="654"/>
      <c r="D91" s="654"/>
      <c r="E91" s="654"/>
      <c r="F91" s="654"/>
      <c r="G91" s="654"/>
      <c r="H91" s="654"/>
      <c r="I91" s="654"/>
      <c r="J91" s="654"/>
      <c r="K91" s="654"/>
      <c r="L91" s="658"/>
      <c r="M91" s="654"/>
      <c r="N91" s="654"/>
      <c r="O91" s="654"/>
      <c r="P91" s="654"/>
      <c r="Q91" s="654"/>
      <c r="R91" s="654"/>
      <c r="S91" s="431"/>
      <c r="T91" s="431"/>
      <c r="U91" s="431"/>
      <c r="V91" s="431"/>
    </row>
    <row r="92" spans="1:22" s="428" customFormat="1" ht="39.75" customHeight="1">
      <c r="A92" s="654"/>
      <c r="B92" s="654"/>
      <c r="C92" s="654"/>
      <c r="D92" s="654"/>
      <c r="E92" s="654"/>
      <c r="F92" s="654"/>
      <c r="G92" s="654"/>
      <c r="H92" s="654"/>
      <c r="I92" s="654"/>
      <c r="J92" s="654"/>
      <c r="K92" s="654"/>
      <c r="L92" s="658"/>
      <c r="M92" s="654"/>
      <c r="N92" s="654"/>
      <c r="O92" s="654"/>
      <c r="P92" s="654"/>
      <c r="Q92" s="654"/>
      <c r="R92" s="654"/>
      <c r="S92" s="431"/>
      <c r="T92" s="431"/>
      <c r="U92" s="431"/>
      <c r="V92" s="431"/>
    </row>
    <row r="93" spans="1:22" s="428" customFormat="1" ht="39.75" customHeight="1">
      <c r="A93" s="654"/>
      <c r="B93" s="654"/>
      <c r="C93" s="654"/>
      <c r="D93" s="654"/>
      <c r="E93" s="654"/>
      <c r="F93" s="654"/>
      <c r="G93" s="654"/>
      <c r="H93" s="654"/>
      <c r="I93" s="654"/>
      <c r="J93" s="654"/>
      <c r="K93" s="654"/>
      <c r="L93" s="658"/>
      <c r="M93" s="654"/>
      <c r="N93" s="654"/>
      <c r="O93" s="654"/>
      <c r="P93" s="654"/>
      <c r="Q93" s="654"/>
      <c r="R93" s="654"/>
      <c r="S93" s="431"/>
      <c r="T93" s="431"/>
      <c r="U93" s="431"/>
      <c r="V93" s="431"/>
    </row>
    <row r="94" spans="1:22" s="428" customFormat="1" ht="39.75" customHeight="1">
      <c r="A94" s="654"/>
      <c r="B94" s="654"/>
      <c r="C94" s="654"/>
      <c r="D94" s="654"/>
      <c r="E94" s="654"/>
      <c r="F94" s="654"/>
      <c r="G94" s="654"/>
      <c r="H94" s="654"/>
      <c r="I94" s="654"/>
      <c r="J94" s="654"/>
      <c r="K94" s="654"/>
      <c r="L94" s="658"/>
      <c r="M94" s="654"/>
      <c r="N94" s="654"/>
      <c r="O94" s="654"/>
      <c r="P94" s="654"/>
      <c r="Q94" s="654"/>
      <c r="R94" s="654"/>
      <c r="S94" s="431"/>
      <c r="T94" s="431"/>
      <c r="U94" s="431"/>
      <c r="V94" s="431"/>
    </row>
    <row r="95" spans="1:22" s="428" customFormat="1" ht="39.75" customHeight="1">
      <c r="A95" s="654"/>
      <c r="B95" s="654"/>
      <c r="C95" s="654"/>
      <c r="D95" s="654"/>
      <c r="E95" s="654"/>
      <c r="F95" s="654"/>
      <c r="G95" s="654"/>
      <c r="H95" s="654"/>
      <c r="I95" s="654"/>
      <c r="J95" s="654"/>
      <c r="K95" s="654"/>
      <c r="L95" s="658"/>
      <c r="M95" s="654"/>
      <c r="N95" s="654"/>
      <c r="O95" s="654"/>
      <c r="P95" s="654"/>
      <c r="Q95" s="654"/>
      <c r="R95" s="654"/>
      <c r="S95" s="431"/>
      <c r="T95" s="431"/>
      <c r="U95" s="431"/>
      <c r="V95" s="431"/>
    </row>
    <row r="96" spans="1:22" s="428" customFormat="1" ht="39.75" customHeight="1">
      <c r="A96" s="654"/>
      <c r="B96" s="654"/>
      <c r="C96" s="654"/>
      <c r="D96" s="654"/>
      <c r="E96" s="654"/>
      <c r="F96" s="654"/>
      <c r="G96" s="654"/>
      <c r="H96" s="654"/>
      <c r="I96" s="654"/>
      <c r="J96" s="654"/>
      <c r="K96" s="654"/>
      <c r="L96" s="658"/>
      <c r="M96" s="654"/>
      <c r="N96" s="654"/>
      <c r="O96" s="654"/>
      <c r="P96" s="654"/>
      <c r="Q96" s="654"/>
      <c r="R96" s="654"/>
      <c r="S96" s="431"/>
      <c r="T96" s="431"/>
      <c r="U96" s="431"/>
      <c r="V96" s="431"/>
    </row>
    <row r="97" spans="1:22" s="428" customFormat="1" ht="39.75" customHeight="1">
      <c r="A97" s="654"/>
      <c r="B97" s="654"/>
      <c r="C97" s="654"/>
      <c r="D97" s="654"/>
      <c r="E97" s="654"/>
      <c r="F97" s="654"/>
      <c r="G97" s="654"/>
      <c r="H97" s="654"/>
      <c r="I97" s="654"/>
      <c r="J97" s="654"/>
      <c r="K97" s="654"/>
      <c r="L97" s="658"/>
      <c r="M97" s="654"/>
      <c r="N97" s="654"/>
      <c r="O97" s="654"/>
      <c r="P97" s="654"/>
      <c r="Q97" s="654"/>
      <c r="R97" s="654"/>
      <c r="S97" s="431"/>
      <c r="T97" s="431"/>
      <c r="U97" s="431"/>
      <c r="V97" s="431"/>
    </row>
    <row r="98" spans="1:22" s="428" customFormat="1" ht="39.75" customHeight="1">
      <c r="A98" s="654"/>
      <c r="B98" s="654"/>
      <c r="C98" s="654"/>
      <c r="D98" s="654"/>
      <c r="E98" s="654"/>
      <c r="F98" s="654"/>
      <c r="G98" s="654"/>
      <c r="H98" s="654"/>
      <c r="I98" s="654"/>
      <c r="J98" s="654"/>
      <c r="K98" s="654"/>
      <c r="L98" s="658"/>
      <c r="M98" s="654"/>
      <c r="N98" s="654"/>
      <c r="O98" s="654"/>
      <c r="P98" s="654"/>
      <c r="Q98" s="654"/>
      <c r="R98" s="654"/>
      <c r="S98" s="431"/>
      <c r="T98" s="431"/>
      <c r="U98" s="431"/>
      <c r="V98" s="431"/>
    </row>
    <row r="99" spans="1:22" s="428" customFormat="1" ht="39.75" customHeight="1">
      <c r="A99" s="654"/>
      <c r="B99" s="654"/>
      <c r="C99" s="654"/>
      <c r="D99" s="654"/>
      <c r="E99" s="654"/>
      <c r="F99" s="654"/>
      <c r="G99" s="654"/>
      <c r="H99" s="654"/>
      <c r="I99" s="654"/>
      <c r="J99" s="654"/>
      <c r="K99" s="654"/>
      <c r="L99" s="658"/>
      <c r="M99" s="654"/>
      <c r="N99" s="654"/>
      <c r="O99" s="654"/>
      <c r="P99" s="654"/>
      <c r="Q99" s="654"/>
      <c r="R99" s="654"/>
      <c r="S99" s="431"/>
      <c r="T99" s="431"/>
      <c r="U99" s="431"/>
      <c r="V99" s="431"/>
    </row>
    <row r="100" spans="1:22" s="428" customFormat="1" ht="39.75" customHeight="1">
      <c r="A100" s="654"/>
      <c r="B100" s="654"/>
      <c r="C100" s="654"/>
      <c r="D100" s="654"/>
      <c r="E100" s="654"/>
      <c r="F100" s="654"/>
      <c r="G100" s="654"/>
      <c r="H100" s="654"/>
      <c r="I100" s="654"/>
      <c r="J100" s="654"/>
      <c r="K100" s="654"/>
      <c r="L100" s="658"/>
      <c r="M100" s="654"/>
      <c r="N100" s="654"/>
      <c r="O100" s="654"/>
      <c r="P100" s="654"/>
      <c r="Q100" s="654"/>
      <c r="R100" s="654"/>
      <c r="S100" s="431"/>
      <c r="T100" s="431"/>
      <c r="U100" s="431"/>
      <c r="V100" s="431"/>
    </row>
    <row r="101" spans="1:22" s="428" customFormat="1" ht="39.75" customHeight="1">
      <c r="A101" s="654"/>
      <c r="B101" s="654"/>
      <c r="C101" s="654"/>
      <c r="D101" s="654"/>
      <c r="E101" s="654"/>
      <c r="F101" s="654"/>
      <c r="G101" s="654"/>
      <c r="H101" s="654"/>
      <c r="I101" s="654"/>
      <c r="J101" s="654"/>
      <c r="K101" s="654"/>
      <c r="L101" s="658"/>
      <c r="M101" s="654"/>
      <c r="N101" s="654"/>
      <c r="O101" s="654"/>
      <c r="P101" s="654"/>
      <c r="Q101" s="654"/>
      <c r="R101" s="654"/>
      <c r="S101" s="431"/>
      <c r="T101" s="431"/>
      <c r="U101" s="431"/>
      <c r="V101" s="431"/>
    </row>
    <row r="102" spans="1:22" s="428" customFormat="1" ht="39.75" customHeight="1">
      <c r="A102" s="654"/>
      <c r="B102" s="654"/>
      <c r="C102" s="654"/>
      <c r="D102" s="654"/>
      <c r="E102" s="654"/>
      <c r="F102" s="654"/>
      <c r="G102" s="654"/>
      <c r="H102" s="654"/>
      <c r="I102" s="654"/>
      <c r="J102" s="654"/>
      <c r="K102" s="654"/>
      <c r="L102" s="658"/>
      <c r="M102" s="654"/>
      <c r="N102" s="654"/>
      <c r="O102" s="654"/>
      <c r="P102" s="654"/>
      <c r="Q102" s="654"/>
      <c r="R102" s="654"/>
      <c r="S102" s="431"/>
      <c r="T102" s="431"/>
      <c r="U102" s="431"/>
      <c r="V102" s="431"/>
    </row>
    <row r="103" spans="1:22" s="428" customFormat="1" ht="39.75" customHeight="1">
      <c r="A103" s="654"/>
      <c r="B103" s="654"/>
      <c r="C103" s="654"/>
      <c r="D103" s="654"/>
      <c r="E103" s="654"/>
      <c r="F103" s="654"/>
      <c r="G103" s="654"/>
      <c r="H103" s="654"/>
      <c r="I103" s="654"/>
      <c r="J103" s="654"/>
      <c r="K103" s="654"/>
      <c r="L103" s="658"/>
      <c r="M103" s="654"/>
      <c r="N103" s="654"/>
      <c r="O103" s="654"/>
      <c r="P103" s="654"/>
      <c r="Q103" s="654"/>
      <c r="R103" s="654"/>
      <c r="S103" s="431"/>
      <c r="T103" s="431"/>
      <c r="U103" s="431"/>
      <c r="V103" s="431"/>
    </row>
    <row r="104" spans="1:22" s="428" customFormat="1" ht="39.75" customHeight="1">
      <c r="A104" s="654"/>
      <c r="B104" s="654"/>
      <c r="C104" s="654"/>
      <c r="D104" s="654"/>
      <c r="E104" s="654"/>
      <c r="F104" s="654"/>
      <c r="G104" s="654"/>
      <c r="H104" s="654"/>
      <c r="I104" s="654"/>
      <c r="J104" s="654"/>
      <c r="K104" s="654"/>
      <c r="L104" s="658"/>
      <c r="M104" s="654"/>
      <c r="N104" s="654"/>
      <c r="O104" s="654"/>
      <c r="P104" s="654"/>
      <c r="Q104" s="654"/>
      <c r="R104" s="654"/>
      <c r="S104" s="431"/>
      <c r="T104" s="431"/>
      <c r="U104" s="431"/>
      <c r="V104" s="431"/>
    </row>
    <row r="105" spans="1:22" s="428" customFormat="1" ht="39.75" customHeight="1">
      <c r="A105" s="654"/>
      <c r="B105" s="654"/>
      <c r="C105" s="654"/>
      <c r="D105" s="654"/>
      <c r="E105" s="654"/>
      <c r="F105" s="654"/>
      <c r="G105" s="654"/>
      <c r="H105" s="654"/>
      <c r="I105" s="654"/>
      <c r="J105" s="654"/>
      <c r="K105" s="654"/>
      <c r="L105" s="658"/>
      <c r="M105" s="654"/>
      <c r="N105" s="654"/>
      <c r="O105" s="654"/>
      <c r="P105" s="654"/>
      <c r="Q105" s="654"/>
      <c r="R105" s="654"/>
      <c r="S105" s="431"/>
      <c r="T105" s="431"/>
      <c r="U105" s="431"/>
      <c r="V105" s="431"/>
    </row>
    <row r="106" spans="1:22" s="428" customFormat="1" ht="39.75" customHeight="1">
      <c r="A106" s="654"/>
      <c r="B106" s="654"/>
      <c r="C106" s="654"/>
      <c r="D106" s="654"/>
      <c r="E106" s="654"/>
      <c r="F106" s="654"/>
      <c r="G106" s="654"/>
      <c r="H106" s="654"/>
      <c r="I106" s="654"/>
      <c r="J106" s="654"/>
      <c r="K106" s="654"/>
      <c r="L106" s="658"/>
      <c r="M106" s="654"/>
      <c r="N106" s="654"/>
      <c r="O106" s="654"/>
      <c r="P106" s="654"/>
      <c r="Q106" s="654"/>
      <c r="R106" s="654"/>
      <c r="S106" s="431"/>
      <c r="T106" s="431"/>
      <c r="U106" s="431"/>
      <c r="V106" s="431"/>
    </row>
    <row r="107" spans="1:22" s="428" customFormat="1" ht="39.75" customHeight="1">
      <c r="A107" s="654"/>
      <c r="B107" s="654"/>
      <c r="C107" s="654"/>
      <c r="D107" s="654"/>
      <c r="E107" s="654"/>
      <c r="F107" s="654"/>
      <c r="G107" s="654"/>
      <c r="H107" s="654"/>
      <c r="I107" s="654"/>
      <c r="J107" s="654"/>
      <c r="K107" s="654"/>
      <c r="L107" s="658"/>
      <c r="M107" s="654"/>
      <c r="N107" s="654"/>
      <c r="O107" s="654"/>
      <c r="P107" s="654"/>
      <c r="Q107" s="654"/>
      <c r="R107" s="654"/>
      <c r="S107" s="431"/>
      <c r="T107" s="431"/>
      <c r="U107" s="431"/>
      <c r="V107" s="431"/>
    </row>
    <row r="108" spans="1:22" s="428" customFormat="1" ht="39.75" customHeight="1">
      <c r="A108" s="654"/>
      <c r="B108" s="654"/>
      <c r="C108" s="654"/>
      <c r="D108" s="654"/>
      <c r="E108" s="654"/>
      <c r="F108" s="654"/>
      <c r="G108" s="654"/>
      <c r="H108" s="654"/>
      <c r="I108" s="654"/>
      <c r="J108" s="654"/>
      <c r="K108" s="654"/>
      <c r="L108" s="658"/>
      <c r="M108" s="654"/>
      <c r="N108" s="654"/>
      <c r="O108" s="654"/>
      <c r="P108" s="654"/>
      <c r="Q108" s="654"/>
      <c r="R108" s="654"/>
      <c r="S108" s="431"/>
      <c r="T108" s="431"/>
      <c r="U108" s="431"/>
      <c r="V108" s="431"/>
    </row>
    <row r="109" spans="1:22" s="428" customFormat="1" ht="39.75" customHeight="1">
      <c r="A109" s="654"/>
      <c r="B109" s="654"/>
      <c r="C109" s="654"/>
      <c r="D109" s="654"/>
      <c r="E109" s="654"/>
      <c r="F109" s="654"/>
      <c r="G109" s="654"/>
      <c r="H109" s="654"/>
      <c r="I109" s="654"/>
      <c r="J109" s="654"/>
      <c r="K109" s="654"/>
      <c r="L109" s="658"/>
      <c r="M109" s="654"/>
      <c r="N109" s="654"/>
      <c r="O109" s="654"/>
      <c r="P109" s="654"/>
      <c r="Q109" s="654"/>
      <c r="R109" s="654"/>
      <c r="S109" s="431"/>
      <c r="T109" s="431"/>
      <c r="U109" s="431"/>
      <c r="V109" s="431"/>
    </row>
    <row r="110" spans="1:22" s="428" customFormat="1" ht="39.75" customHeight="1">
      <c r="A110" s="654"/>
      <c r="B110" s="654"/>
      <c r="C110" s="654"/>
      <c r="D110" s="654"/>
      <c r="E110" s="654"/>
      <c r="F110" s="654"/>
      <c r="G110" s="654"/>
      <c r="H110" s="654"/>
      <c r="I110" s="654"/>
      <c r="J110" s="654"/>
      <c r="K110" s="654"/>
      <c r="L110" s="658"/>
      <c r="M110" s="654"/>
      <c r="N110" s="654"/>
      <c r="O110" s="654"/>
      <c r="P110" s="654"/>
      <c r="Q110" s="654"/>
      <c r="R110" s="654"/>
      <c r="S110" s="431"/>
      <c r="T110" s="431"/>
      <c r="U110" s="431"/>
      <c r="V110" s="431"/>
    </row>
    <row r="111" spans="1:22" s="428" customFormat="1" ht="39.75" customHeight="1">
      <c r="A111" s="654"/>
      <c r="B111" s="654"/>
      <c r="C111" s="654"/>
      <c r="D111" s="654"/>
      <c r="E111" s="654"/>
      <c r="F111" s="654"/>
      <c r="G111" s="654"/>
      <c r="H111" s="654"/>
      <c r="I111" s="654"/>
      <c r="J111" s="654"/>
      <c r="K111" s="654"/>
      <c r="L111" s="658"/>
      <c r="M111" s="654"/>
      <c r="N111" s="654"/>
      <c r="O111" s="654"/>
      <c r="P111" s="654"/>
      <c r="Q111" s="654"/>
      <c r="R111" s="654"/>
      <c r="S111" s="431"/>
      <c r="T111" s="431"/>
      <c r="U111" s="431"/>
      <c r="V111" s="431"/>
    </row>
    <row r="112" spans="1:22" s="428" customFormat="1" ht="39.75" customHeight="1">
      <c r="A112" s="654"/>
      <c r="B112" s="654"/>
      <c r="C112" s="654"/>
      <c r="D112" s="654"/>
      <c r="E112" s="654"/>
      <c r="F112" s="654"/>
      <c r="G112" s="654"/>
      <c r="H112" s="654"/>
      <c r="I112" s="654"/>
      <c r="J112" s="654"/>
      <c r="K112" s="654"/>
      <c r="L112" s="658"/>
      <c r="M112" s="654"/>
      <c r="N112" s="654"/>
      <c r="O112" s="654"/>
      <c r="P112" s="654"/>
      <c r="Q112" s="654"/>
      <c r="R112" s="654"/>
      <c r="S112" s="431"/>
      <c r="T112" s="431"/>
      <c r="U112" s="431"/>
      <c r="V112" s="431"/>
    </row>
    <row r="113" spans="1:22" s="428" customFormat="1" ht="39.75" customHeight="1">
      <c r="A113" s="654"/>
      <c r="B113" s="654"/>
      <c r="C113" s="654"/>
      <c r="D113" s="654"/>
      <c r="E113" s="654"/>
      <c r="F113" s="654"/>
      <c r="G113" s="654"/>
      <c r="H113" s="654"/>
      <c r="I113" s="654"/>
      <c r="J113" s="654"/>
      <c r="K113" s="654"/>
      <c r="L113" s="658"/>
      <c r="M113" s="654"/>
      <c r="N113" s="654"/>
      <c r="O113" s="654"/>
      <c r="P113" s="654"/>
      <c r="Q113" s="654"/>
      <c r="R113" s="654"/>
      <c r="S113" s="431"/>
      <c r="T113" s="431"/>
      <c r="U113" s="431"/>
      <c r="V113" s="431"/>
    </row>
    <row r="114" spans="1:22" s="428" customFormat="1" ht="39.75" customHeight="1">
      <c r="A114" s="654"/>
      <c r="B114" s="654"/>
      <c r="C114" s="654"/>
      <c r="D114" s="654"/>
      <c r="E114" s="654"/>
      <c r="F114" s="654"/>
      <c r="G114" s="654"/>
      <c r="H114" s="654"/>
      <c r="I114" s="654"/>
      <c r="J114" s="654"/>
      <c r="K114" s="654"/>
      <c r="L114" s="658"/>
      <c r="M114" s="654"/>
      <c r="N114" s="654"/>
      <c r="O114" s="654"/>
      <c r="P114" s="654"/>
      <c r="Q114" s="654"/>
      <c r="R114" s="654"/>
      <c r="S114" s="431"/>
      <c r="T114" s="431"/>
      <c r="U114" s="431"/>
      <c r="V114" s="431"/>
    </row>
    <row r="115" spans="1:22" s="428" customFormat="1" ht="39.75" customHeight="1">
      <c r="A115" s="654"/>
      <c r="B115" s="654"/>
      <c r="C115" s="654"/>
      <c r="D115" s="654"/>
      <c r="E115" s="654"/>
      <c r="F115" s="654"/>
      <c r="G115" s="654"/>
      <c r="H115" s="654"/>
      <c r="I115" s="654"/>
      <c r="J115" s="654"/>
      <c r="K115" s="654"/>
      <c r="L115" s="658"/>
      <c r="M115" s="654"/>
      <c r="N115" s="654"/>
      <c r="O115" s="654"/>
      <c r="P115" s="654"/>
      <c r="Q115" s="654"/>
      <c r="R115" s="654"/>
      <c r="S115" s="431"/>
      <c r="T115" s="431"/>
      <c r="U115" s="431"/>
      <c r="V115" s="431"/>
    </row>
    <row r="116" spans="1:22" s="428" customFormat="1" ht="39.75" customHeight="1">
      <c r="A116" s="654"/>
      <c r="B116" s="654"/>
      <c r="C116" s="654"/>
      <c r="D116" s="654"/>
      <c r="E116" s="654"/>
      <c r="F116" s="654"/>
      <c r="G116" s="654"/>
      <c r="H116" s="654"/>
      <c r="I116" s="654"/>
      <c r="J116" s="654"/>
      <c r="K116" s="654"/>
      <c r="L116" s="658"/>
      <c r="M116" s="654"/>
      <c r="N116" s="654"/>
      <c r="O116" s="654"/>
      <c r="P116" s="654"/>
      <c r="Q116" s="654"/>
      <c r="R116" s="654"/>
      <c r="S116" s="431"/>
      <c r="T116" s="431"/>
      <c r="U116" s="431"/>
      <c r="V116" s="431"/>
    </row>
    <row r="117" spans="1:22" ht="39.75" customHeight="1">
      <c r="A117" s="654"/>
      <c r="B117" s="654"/>
      <c r="C117" s="654"/>
      <c r="D117" s="654"/>
      <c r="E117" s="654"/>
      <c r="F117" s="654"/>
      <c r="G117" s="654"/>
      <c r="H117" s="654"/>
      <c r="I117" s="654"/>
      <c r="J117" s="654"/>
      <c r="K117" s="654"/>
      <c r="L117" s="658"/>
      <c r="M117" s="654"/>
      <c r="N117" s="654"/>
      <c r="O117" s="654"/>
      <c r="P117" s="654"/>
      <c r="Q117" s="654"/>
      <c r="R117" s="654"/>
      <c r="S117" s="432"/>
      <c r="T117" s="432"/>
      <c r="U117" s="432"/>
      <c r="V117" s="432"/>
    </row>
    <row r="118" spans="1:22" ht="39.75" customHeight="1">
      <c r="A118" s="654"/>
      <c r="B118" s="654"/>
      <c r="C118" s="654"/>
      <c r="D118" s="654"/>
      <c r="E118" s="654"/>
      <c r="F118" s="654"/>
      <c r="G118" s="654"/>
      <c r="H118" s="654"/>
      <c r="I118" s="654"/>
      <c r="J118" s="654"/>
      <c r="K118" s="654"/>
      <c r="L118" s="658"/>
      <c r="M118" s="654"/>
      <c r="N118" s="654"/>
      <c r="O118" s="654"/>
      <c r="P118" s="654"/>
      <c r="Q118" s="654"/>
      <c r="R118" s="654"/>
      <c r="S118" s="432"/>
      <c r="T118" s="432"/>
      <c r="U118" s="432"/>
      <c r="V118" s="432"/>
    </row>
    <row r="119" spans="1:22" ht="39.75" customHeight="1">
      <c r="A119" s="654"/>
      <c r="B119" s="654"/>
      <c r="C119" s="654"/>
      <c r="D119" s="654"/>
      <c r="E119" s="654"/>
      <c r="F119" s="654"/>
      <c r="G119" s="654"/>
      <c r="H119" s="654"/>
      <c r="I119" s="654"/>
      <c r="J119" s="654"/>
      <c r="K119" s="654"/>
      <c r="L119" s="658"/>
      <c r="M119" s="654"/>
      <c r="N119" s="654"/>
      <c r="O119" s="654"/>
      <c r="P119" s="654"/>
      <c r="Q119" s="654"/>
      <c r="R119" s="654"/>
      <c r="S119" s="432"/>
      <c r="T119" s="432"/>
      <c r="U119" s="432"/>
      <c r="V119" s="432"/>
    </row>
    <row r="120" spans="1:22" ht="39.75" customHeight="1">
      <c r="A120" s="654"/>
      <c r="B120" s="654"/>
      <c r="C120" s="654"/>
      <c r="D120" s="654"/>
      <c r="E120" s="654"/>
      <c r="F120" s="654"/>
      <c r="G120" s="654"/>
      <c r="H120" s="654"/>
      <c r="I120" s="654"/>
      <c r="J120" s="654"/>
      <c r="K120" s="654"/>
      <c r="L120" s="658"/>
      <c r="M120" s="654"/>
      <c r="N120" s="654"/>
      <c r="O120" s="654"/>
      <c r="P120" s="654"/>
      <c r="Q120" s="654"/>
      <c r="R120" s="654"/>
      <c r="S120" s="432"/>
      <c r="T120" s="432"/>
      <c r="U120" s="432"/>
      <c r="V120" s="432"/>
    </row>
    <row r="121" spans="1:22" ht="39.75" customHeight="1">
      <c r="A121" s="654"/>
      <c r="B121" s="654"/>
      <c r="C121" s="654"/>
      <c r="D121" s="654"/>
      <c r="E121" s="654"/>
      <c r="F121" s="654"/>
      <c r="G121" s="654"/>
      <c r="H121" s="654"/>
      <c r="I121" s="654"/>
      <c r="J121" s="654"/>
      <c r="K121" s="654"/>
      <c r="L121" s="658"/>
      <c r="M121" s="654"/>
      <c r="N121" s="654"/>
      <c r="O121" s="654"/>
      <c r="P121" s="654"/>
      <c r="Q121" s="654"/>
      <c r="R121" s="654"/>
      <c r="S121" s="432"/>
      <c r="T121" s="432"/>
      <c r="U121" s="432"/>
      <c r="V121" s="432"/>
    </row>
    <row r="122" spans="1:22" ht="39.75" customHeight="1">
      <c r="A122" s="654"/>
      <c r="B122" s="654"/>
      <c r="C122" s="654"/>
      <c r="D122" s="654"/>
      <c r="E122" s="654"/>
      <c r="F122" s="654"/>
      <c r="G122" s="654"/>
      <c r="H122" s="654"/>
      <c r="I122" s="654"/>
      <c r="J122" s="654"/>
      <c r="K122" s="654"/>
      <c r="L122" s="658"/>
      <c r="M122" s="654"/>
      <c r="N122" s="654"/>
      <c r="O122" s="654"/>
      <c r="P122" s="654"/>
      <c r="Q122" s="654"/>
      <c r="R122" s="654"/>
      <c r="S122" s="432"/>
      <c r="T122" s="432"/>
      <c r="U122" s="432"/>
      <c r="V122" s="432"/>
    </row>
    <row r="123" spans="1:22" ht="39.75" customHeight="1">
      <c r="A123" s="654"/>
      <c r="B123" s="654"/>
      <c r="C123" s="654"/>
      <c r="D123" s="654"/>
      <c r="E123" s="654"/>
      <c r="F123" s="654"/>
      <c r="G123" s="654"/>
      <c r="H123" s="654"/>
      <c r="I123" s="654"/>
      <c r="J123" s="654"/>
      <c r="K123" s="654"/>
      <c r="L123" s="658"/>
      <c r="M123" s="654"/>
      <c r="N123" s="654"/>
      <c r="O123" s="654"/>
      <c r="P123" s="654"/>
      <c r="Q123" s="654"/>
      <c r="R123" s="654"/>
      <c r="S123" s="432"/>
      <c r="T123" s="432"/>
      <c r="U123" s="432"/>
      <c r="V123" s="432"/>
    </row>
    <row r="124" spans="1:22" ht="39.75" customHeight="1">
      <c r="A124" s="654"/>
      <c r="B124" s="654"/>
      <c r="C124" s="654"/>
      <c r="D124" s="654"/>
      <c r="E124" s="654"/>
      <c r="F124" s="654"/>
      <c r="G124" s="654"/>
      <c r="H124" s="654"/>
      <c r="I124" s="654"/>
      <c r="J124" s="654"/>
      <c r="K124" s="654"/>
      <c r="L124" s="658"/>
      <c r="M124" s="654"/>
      <c r="N124" s="654"/>
      <c r="O124" s="654"/>
      <c r="P124" s="654"/>
      <c r="Q124" s="654"/>
      <c r="R124" s="654"/>
      <c r="S124" s="432"/>
      <c r="T124" s="432"/>
      <c r="U124" s="432"/>
      <c r="V124" s="432"/>
    </row>
    <row r="125" spans="1:22" ht="39.75" customHeight="1">
      <c r="A125" s="654"/>
      <c r="B125" s="654"/>
      <c r="C125" s="654"/>
      <c r="D125" s="654"/>
      <c r="E125" s="654"/>
      <c r="F125" s="654"/>
      <c r="G125" s="654"/>
      <c r="H125" s="654"/>
      <c r="I125" s="654"/>
      <c r="J125" s="654"/>
      <c r="K125" s="654"/>
      <c r="L125" s="658"/>
      <c r="M125" s="654"/>
      <c r="N125" s="654"/>
      <c r="O125" s="654"/>
      <c r="P125" s="654"/>
      <c r="Q125" s="654"/>
      <c r="R125" s="654"/>
      <c r="S125" s="432"/>
      <c r="T125" s="432"/>
      <c r="U125" s="432"/>
      <c r="V125" s="432"/>
    </row>
    <row r="126" spans="1:22" ht="39.75" customHeight="1">
      <c r="A126" s="654"/>
      <c r="B126" s="654"/>
      <c r="C126" s="654"/>
      <c r="D126" s="654"/>
      <c r="E126" s="654"/>
      <c r="F126" s="654"/>
      <c r="G126" s="654"/>
      <c r="H126" s="654"/>
      <c r="I126" s="654"/>
      <c r="J126" s="654"/>
      <c r="K126" s="654"/>
      <c r="L126" s="658"/>
      <c r="M126" s="654"/>
      <c r="N126" s="654"/>
      <c r="O126" s="654"/>
      <c r="P126" s="654"/>
      <c r="Q126" s="654"/>
      <c r="R126" s="654"/>
      <c r="S126" s="432"/>
      <c r="T126" s="432"/>
      <c r="U126" s="432"/>
      <c r="V126" s="432"/>
    </row>
    <row r="127" spans="1:22" ht="39.75" customHeight="1">
      <c r="A127" s="654"/>
      <c r="B127" s="654"/>
      <c r="C127" s="654"/>
      <c r="D127" s="654"/>
      <c r="E127" s="654"/>
      <c r="F127" s="654"/>
      <c r="G127" s="654"/>
      <c r="H127" s="654"/>
      <c r="I127" s="654"/>
      <c r="J127" s="654"/>
      <c r="K127" s="654"/>
      <c r="L127" s="658"/>
      <c r="M127" s="654"/>
      <c r="N127" s="654"/>
      <c r="O127" s="654"/>
      <c r="P127" s="654"/>
      <c r="Q127" s="654"/>
      <c r="R127" s="654"/>
      <c r="S127" s="432"/>
      <c r="T127" s="432"/>
      <c r="U127" s="432"/>
      <c r="V127" s="432"/>
    </row>
    <row r="128" spans="1:22" ht="39.75" customHeight="1">
      <c r="A128" s="654"/>
      <c r="B128" s="654"/>
      <c r="C128" s="654"/>
      <c r="D128" s="654"/>
      <c r="E128" s="654"/>
      <c r="F128" s="654"/>
      <c r="G128" s="654"/>
      <c r="H128" s="654"/>
      <c r="I128" s="654"/>
      <c r="J128" s="654"/>
      <c r="K128" s="654"/>
      <c r="L128" s="658"/>
      <c r="M128" s="654"/>
      <c r="N128" s="654"/>
      <c r="O128" s="654"/>
      <c r="P128" s="654"/>
      <c r="Q128" s="654"/>
      <c r="R128" s="654"/>
      <c r="S128" s="432"/>
      <c r="T128" s="432"/>
      <c r="U128" s="432"/>
      <c r="V128" s="432"/>
    </row>
    <row r="129" spans="1:22" ht="39.75" customHeight="1">
      <c r="A129" s="654"/>
      <c r="B129" s="654"/>
      <c r="C129" s="654"/>
      <c r="D129" s="654"/>
      <c r="E129" s="654"/>
      <c r="F129" s="654"/>
      <c r="G129" s="654"/>
      <c r="H129" s="654"/>
      <c r="I129" s="654"/>
      <c r="J129" s="654"/>
      <c r="K129" s="654"/>
      <c r="L129" s="658"/>
      <c r="M129" s="654"/>
      <c r="N129" s="654"/>
      <c r="O129" s="654"/>
      <c r="P129" s="654"/>
      <c r="Q129" s="654"/>
      <c r="R129" s="654"/>
      <c r="S129" s="432"/>
      <c r="T129" s="432"/>
      <c r="U129" s="432"/>
      <c r="V129" s="432"/>
    </row>
    <row r="130" spans="1:22" ht="39.75" customHeight="1">
      <c r="A130" s="654"/>
      <c r="B130" s="654"/>
      <c r="C130" s="654"/>
      <c r="D130" s="654"/>
      <c r="E130" s="654"/>
      <c r="F130" s="654"/>
      <c r="G130" s="654"/>
      <c r="H130" s="654"/>
      <c r="I130" s="654"/>
      <c r="J130" s="654"/>
      <c r="K130" s="654"/>
      <c r="L130" s="658"/>
      <c r="M130" s="654"/>
      <c r="N130" s="654"/>
      <c r="O130" s="654"/>
      <c r="P130" s="654"/>
      <c r="Q130" s="654"/>
      <c r="R130" s="654"/>
      <c r="S130" s="432"/>
      <c r="T130" s="432"/>
      <c r="U130" s="432"/>
      <c r="V130" s="432"/>
    </row>
    <row r="131" spans="1:22" ht="39.75" customHeight="1">
      <c r="A131" s="654"/>
      <c r="B131" s="654"/>
      <c r="C131" s="654"/>
      <c r="D131" s="654"/>
      <c r="E131" s="654"/>
      <c r="F131" s="654"/>
      <c r="G131" s="654"/>
      <c r="H131" s="654"/>
      <c r="I131" s="654"/>
      <c r="J131" s="654"/>
      <c r="K131" s="654"/>
      <c r="L131" s="658"/>
      <c r="M131" s="654"/>
      <c r="N131" s="654"/>
      <c r="O131" s="654"/>
      <c r="P131" s="654"/>
      <c r="Q131" s="654"/>
      <c r="R131" s="654"/>
      <c r="S131" s="432"/>
      <c r="T131" s="432"/>
      <c r="U131" s="432"/>
      <c r="V131" s="432"/>
    </row>
    <row r="132" spans="1:22" ht="39.75" customHeight="1">
      <c r="A132" s="654"/>
      <c r="B132" s="654"/>
      <c r="C132" s="654"/>
      <c r="D132" s="654"/>
      <c r="E132" s="654"/>
      <c r="F132" s="654"/>
      <c r="G132" s="654"/>
      <c r="H132" s="654"/>
      <c r="I132" s="654"/>
      <c r="J132" s="654"/>
      <c r="K132" s="654"/>
      <c r="L132" s="658"/>
      <c r="M132" s="654"/>
      <c r="N132" s="654"/>
      <c r="O132" s="654"/>
      <c r="P132" s="654"/>
      <c r="Q132" s="654"/>
      <c r="R132" s="654"/>
      <c r="S132" s="432"/>
      <c r="T132" s="432"/>
      <c r="U132" s="432"/>
      <c r="V132" s="432"/>
    </row>
    <row r="133" spans="1:22" ht="39.75" customHeight="1">
      <c r="A133" s="654"/>
      <c r="B133" s="654"/>
      <c r="C133" s="654"/>
      <c r="D133" s="654"/>
      <c r="E133" s="654"/>
      <c r="F133" s="654"/>
      <c r="G133" s="654"/>
      <c r="H133" s="654"/>
      <c r="I133" s="654"/>
      <c r="J133" s="654"/>
      <c r="K133" s="654"/>
      <c r="L133" s="658"/>
      <c r="M133" s="654"/>
      <c r="N133" s="654"/>
      <c r="O133" s="654"/>
      <c r="P133" s="654"/>
      <c r="Q133" s="654"/>
      <c r="R133" s="654"/>
      <c r="S133" s="432"/>
      <c r="T133" s="432"/>
      <c r="U133" s="432"/>
      <c r="V133" s="432"/>
    </row>
    <row r="134" spans="1:22" ht="39.75" customHeight="1">
      <c r="A134" s="654"/>
      <c r="B134" s="654"/>
      <c r="C134" s="654"/>
      <c r="D134" s="654"/>
      <c r="E134" s="654"/>
      <c r="F134" s="654"/>
      <c r="G134" s="654"/>
      <c r="H134" s="654"/>
      <c r="I134" s="654"/>
      <c r="J134" s="654"/>
      <c r="K134" s="654"/>
      <c r="L134" s="658"/>
      <c r="M134" s="654"/>
      <c r="N134" s="654"/>
      <c r="O134" s="654"/>
      <c r="P134" s="654"/>
      <c r="Q134" s="654"/>
      <c r="R134" s="654"/>
      <c r="S134" s="432"/>
      <c r="T134" s="432"/>
      <c r="U134" s="432"/>
      <c r="V134" s="432"/>
    </row>
    <row r="135" spans="1:22" ht="39.75" customHeight="1">
      <c r="A135" s="654"/>
      <c r="B135" s="654"/>
      <c r="C135" s="654"/>
      <c r="D135" s="654"/>
      <c r="E135" s="654"/>
      <c r="F135" s="654"/>
      <c r="G135" s="654"/>
      <c r="H135" s="654"/>
      <c r="I135" s="654"/>
      <c r="J135" s="654"/>
      <c r="K135" s="654"/>
      <c r="L135" s="658"/>
      <c r="M135" s="654"/>
      <c r="N135" s="654"/>
      <c r="O135" s="654"/>
      <c r="P135" s="654"/>
      <c r="Q135" s="654"/>
      <c r="R135" s="654"/>
      <c r="S135" s="432"/>
      <c r="T135" s="432"/>
      <c r="U135" s="432"/>
      <c r="V135" s="432"/>
    </row>
    <row r="136" spans="1:22" ht="39.75" customHeight="1">
      <c r="A136" s="654"/>
      <c r="B136" s="654"/>
      <c r="C136" s="654"/>
      <c r="D136" s="654"/>
      <c r="E136" s="654"/>
      <c r="F136" s="654"/>
      <c r="G136" s="654"/>
      <c r="H136" s="654"/>
      <c r="I136" s="654"/>
      <c r="J136" s="654"/>
      <c r="K136" s="654"/>
      <c r="L136" s="658"/>
      <c r="M136" s="654"/>
      <c r="N136" s="654"/>
      <c r="O136" s="654"/>
      <c r="P136" s="654"/>
      <c r="Q136" s="654"/>
      <c r="R136" s="654"/>
      <c r="S136" s="432"/>
      <c r="T136" s="432"/>
      <c r="U136" s="432"/>
      <c r="V136" s="432"/>
    </row>
    <row r="137" spans="1:22" ht="39.75" customHeight="1">
      <c r="A137" s="654"/>
      <c r="B137" s="654"/>
      <c r="C137" s="654"/>
      <c r="D137" s="654"/>
      <c r="E137" s="654"/>
      <c r="F137" s="654"/>
      <c r="G137" s="654"/>
      <c r="H137" s="654"/>
      <c r="I137" s="654"/>
      <c r="J137" s="654"/>
      <c r="K137" s="654"/>
      <c r="L137" s="658"/>
      <c r="M137" s="654"/>
      <c r="N137" s="654"/>
      <c r="O137" s="654"/>
      <c r="P137" s="654"/>
      <c r="Q137" s="654"/>
      <c r="R137" s="654"/>
      <c r="S137" s="432"/>
      <c r="T137" s="432"/>
      <c r="U137" s="432"/>
      <c r="V137" s="432"/>
    </row>
    <row r="138" spans="1:22" ht="39.75" customHeight="1">
      <c r="A138" s="654"/>
      <c r="B138" s="654"/>
      <c r="C138" s="654"/>
      <c r="D138" s="654"/>
      <c r="E138" s="654"/>
      <c r="F138" s="654"/>
      <c r="G138" s="654"/>
      <c r="H138" s="654"/>
      <c r="I138" s="654"/>
      <c r="J138" s="654"/>
      <c r="K138" s="654"/>
      <c r="L138" s="658"/>
      <c r="M138" s="654"/>
      <c r="N138" s="654"/>
      <c r="O138" s="654"/>
      <c r="P138" s="654"/>
      <c r="Q138" s="654"/>
      <c r="R138" s="654"/>
      <c r="S138" s="432"/>
      <c r="T138" s="432"/>
      <c r="U138" s="432"/>
      <c r="V138" s="432"/>
    </row>
    <row r="139" spans="1:22" ht="39.75" customHeight="1">
      <c r="A139" s="654"/>
      <c r="B139" s="654"/>
      <c r="C139" s="654"/>
      <c r="D139" s="654"/>
      <c r="E139" s="654"/>
      <c r="F139" s="654"/>
      <c r="G139" s="654"/>
      <c r="H139" s="654"/>
      <c r="I139" s="654"/>
      <c r="J139" s="654"/>
      <c r="K139" s="654"/>
      <c r="L139" s="658"/>
      <c r="M139" s="654"/>
      <c r="N139" s="654"/>
      <c r="O139" s="654"/>
      <c r="P139" s="654"/>
      <c r="Q139" s="654"/>
      <c r="R139" s="654"/>
      <c r="S139" s="432"/>
      <c r="T139" s="432"/>
      <c r="U139" s="432"/>
      <c r="V139" s="432"/>
    </row>
    <row r="140" spans="1:22" ht="39.75" customHeight="1">
      <c r="A140" s="654"/>
      <c r="B140" s="654"/>
      <c r="C140" s="654"/>
      <c r="D140" s="654"/>
      <c r="E140" s="654"/>
      <c r="F140" s="654"/>
      <c r="G140" s="654"/>
      <c r="H140" s="654"/>
      <c r="I140" s="654"/>
      <c r="J140" s="654"/>
      <c r="K140" s="654"/>
      <c r="L140" s="658"/>
      <c r="M140" s="654"/>
      <c r="N140" s="654"/>
      <c r="O140" s="654"/>
      <c r="P140" s="654"/>
      <c r="Q140" s="654"/>
      <c r="R140" s="654"/>
      <c r="S140" s="432"/>
      <c r="T140" s="432"/>
      <c r="U140" s="432"/>
      <c r="V140" s="432"/>
    </row>
    <row r="141" spans="1:22" ht="39.75" customHeight="1">
      <c r="A141" s="654"/>
      <c r="B141" s="654"/>
      <c r="C141" s="654"/>
      <c r="D141" s="654"/>
      <c r="E141" s="654"/>
      <c r="F141" s="654"/>
      <c r="G141" s="654"/>
      <c r="H141" s="654"/>
      <c r="I141" s="654"/>
      <c r="J141" s="654"/>
      <c r="K141" s="654"/>
      <c r="L141" s="658"/>
      <c r="M141" s="654"/>
      <c r="N141" s="654"/>
      <c r="O141" s="654"/>
      <c r="P141" s="654"/>
      <c r="Q141" s="654"/>
      <c r="R141" s="654"/>
      <c r="S141" s="432"/>
      <c r="T141" s="432"/>
      <c r="U141" s="432"/>
      <c r="V141" s="432"/>
    </row>
    <row r="142" spans="1:22" ht="39.75" customHeight="1">
      <c r="A142" s="654"/>
      <c r="B142" s="654"/>
      <c r="C142" s="654"/>
      <c r="D142" s="654"/>
      <c r="E142" s="654"/>
      <c r="F142" s="654"/>
      <c r="G142" s="654"/>
      <c r="H142" s="654"/>
      <c r="I142" s="654"/>
      <c r="J142" s="654"/>
      <c r="K142" s="654"/>
      <c r="L142" s="658"/>
      <c r="M142" s="654"/>
      <c r="N142" s="654"/>
      <c r="O142" s="654"/>
      <c r="P142" s="654"/>
      <c r="Q142" s="654"/>
      <c r="R142" s="654"/>
      <c r="S142" s="432"/>
      <c r="T142" s="432"/>
      <c r="U142" s="432"/>
      <c r="V142" s="432"/>
    </row>
    <row r="143" spans="1:22" ht="39.75" customHeight="1">
      <c r="A143" s="654"/>
      <c r="B143" s="654"/>
      <c r="C143" s="654"/>
      <c r="D143" s="654"/>
      <c r="E143" s="654"/>
      <c r="F143" s="654"/>
      <c r="G143" s="654"/>
      <c r="H143" s="654"/>
      <c r="I143" s="654"/>
      <c r="J143" s="654"/>
      <c r="K143" s="654"/>
      <c r="L143" s="658"/>
      <c r="M143" s="654"/>
      <c r="N143" s="654"/>
      <c r="O143" s="654"/>
      <c r="P143" s="654"/>
      <c r="Q143" s="654"/>
      <c r="R143" s="654"/>
      <c r="S143" s="432"/>
      <c r="T143" s="432"/>
      <c r="U143" s="432"/>
      <c r="V143" s="432"/>
    </row>
    <row r="144" spans="1:22" ht="39.75" customHeight="1">
      <c r="A144" s="654"/>
      <c r="B144" s="654"/>
      <c r="C144" s="654"/>
      <c r="D144" s="654"/>
      <c r="E144" s="654"/>
      <c r="F144" s="654"/>
      <c r="G144" s="654"/>
      <c r="H144" s="654"/>
      <c r="I144" s="654"/>
      <c r="J144" s="654"/>
      <c r="K144" s="654"/>
      <c r="L144" s="658"/>
      <c r="M144" s="654"/>
      <c r="N144" s="654"/>
      <c r="O144" s="654"/>
      <c r="P144" s="654"/>
      <c r="Q144" s="654"/>
      <c r="R144" s="654"/>
      <c r="S144" s="432"/>
      <c r="T144" s="432"/>
      <c r="U144" s="432"/>
      <c r="V144" s="432"/>
    </row>
    <row r="145" spans="1:22" ht="39.75" customHeight="1">
      <c r="A145" s="654"/>
      <c r="B145" s="654"/>
      <c r="C145" s="654"/>
      <c r="D145" s="654"/>
      <c r="E145" s="654"/>
      <c r="F145" s="654"/>
      <c r="G145" s="654"/>
      <c r="H145" s="654"/>
      <c r="I145" s="654"/>
      <c r="J145" s="654"/>
      <c r="K145" s="654"/>
      <c r="L145" s="658"/>
      <c r="M145" s="654"/>
      <c r="N145" s="654"/>
      <c r="O145" s="654"/>
      <c r="P145" s="654"/>
      <c r="Q145" s="654"/>
      <c r="R145" s="654"/>
      <c r="S145" s="432"/>
      <c r="T145" s="432"/>
      <c r="U145" s="432"/>
      <c r="V145" s="432"/>
    </row>
    <row r="146" spans="1:22" ht="39.75" customHeight="1">
      <c r="A146" s="654"/>
      <c r="B146" s="654"/>
      <c r="C146" s="654"/>
      <c r="D146" s="654"/>
      <c r="E146" s="654"/>
      <c r="F146" s="654"/>
      <c r="G146" s="654"/>
      <c r="H146" s="654"/>
      <c r="I146" s="654"/>
      <c r="J146" s="654"/>
      <c r="K146" s="654"/>
      <c r="L146" s="658"/>
      <c r="M146" s="654"/>
      <c r="N146" s="654"/>
      <c r="O146" s="654"/>
      <c r="P146" s="654"/>
      <c r="Q146" s="654"/>
      <c r="R146" s="654"/>
      <c r="S146" s="432"/>
      <c r="T146" s="432"/>
      <c r="U146" s="432"/>
      <c r="V146" s="432"/>
    </row>
    <row r="147" spans="1:22" ht="39.75" customHeight="1">
      <c r="A147" s="654"/>
      <c r="B147" s="654"/>
      <c r="C147" s="654"/>
      <c r="D147" s="654"/>
      <c r="E147" s="654"/>
      <c r="F147" s="654"/>
      <c r="G147" s="654"/>
      <c r="H147" s="654"/>
      <c r="I147" s="654"/>
      <c r="J147" s="654"/>
      <c r="K147" s="654"/>
      <c r="L147" s="658"/>
      <c r="M147" s="654"/>
      <c r="N147" s="654"/>
      <c r="O147" s="654"/>
      <c r="P147" s="654"/>
      <c r="Q147" s="654"/>
      <c r="R147" s="654"/>
      <c r="S147" s="432"/>
      <c r="T147" s="432"/>
      <c r="U147" s="432"/>
      <c r="V147" s="432"/>
    </row>
    <row r="148" spans="1:22" ht="39.75" customHeight="1">
      <c r="A148" s="654"/>
      <c r="B148" s="654"/>
      <c r="C148" s="654"/>
      <c r="D148" s="654"/>
      <c r="E148" s="654"/>
      <c r="F148" s="654"/>
      <c r="G148" s="654"/>
      <c r="H148" s="654"/>
      <c r="I148" s="654"/>
      <c r="J148" s="654"/>
      <c r="K148" s="654"/>
      <c r="L148" s="658"/>
      <c r="M148" s="654"/>
      <c r="N148" s="654"/>
      <c r="O148" s="654"/>
      <c r="P148" s="654"/>
      <c r="Q148" s="654"/>
      <c r="R148" s="654"/>
      <c r="S148" s="432"/>
      <c r="T148" s="432"/>
      <c r="U148" s="432"/>
      <c r="V148" s="432"/>
    </row>
    <row r="149" spans="1:22" ht="21" customHeight="1">
      <c r="A149" s="654"/>
      <c r="B149" s="654"/>
      <c r="C149" s="654"/>
      <c r="D149" s="654"/>
      <c r="E149" s="654"/>
      <c r="F149" s="654"/>
      <c r="G149" s="654"/>
      <c r="H149" s="654"/>
      <c r="I149" s="654"/>
      <c r="J149" s="654"/>
      <c r="K149" s="654"/>
      <c r="L149" s="658"/>
      <c r="M149" s="654"/>
      <c r="N149" s="654"/>
      <c r="O149" s="654"/>
      <c r="P149" s="654"/>
      <c r="Q149" s="654"/>
      <c r="R149" s="654"/>
      <c r="S149" s="432"/>
      <c r="T149" s="432"/>
      <c r="U149" s="432"/>
      <c r="V149" s="432"/>
    </row>
    <row r="150" spans="1:22" ht="21" customHeight="1">
      <c r="A150" s="654"/>
      <c r="B150" s="654"/>
      <c r="C150" s="654"/>
      <c r="D150" s="654"/>
      <c r="E150" s="654"/>
      <c r="F150" s="654"/>
      <c r="G150" s="654"/>
      <c r="H150" s="654"/>
      <c r="I150" s="654"/>
      <c r="J150" s="654"/>
      <c r="K150" s="654"/>
      <c r="L150" s="658"/>
      <c r="M150" s="654"/>
      <c r="N150" s="654"/>
      <c r="O150" s="654"/>
      <c r="P150" s="654"/>
      <c r="Q150" s="654"/>
      <c r="R150" s="654"/>
      <c r="S150" s="432"/>
      <c r="T150" s="432"/>
      <c r="U150" s="432"/>
      <c r="V150" s="432"/>
    </row>
    <row r="151" spans="1:22" ht="21" customHeight="1">
      <c r="A151" s="654"/>
      <c r="B151" s="654"/>
      <c r="C151" s="654"/>
      <c r="D151" s="654"/>
      <c r="E151" s="654"/>
      <c r="F151" s="654"/>
      <c r="G151" s="654"/>
      <c r="H151" s="654"/>
      <c r="I151" s="654"/>
      <c r="J151" s="654"/>
      <c r="K151" s="654"/>
      <c r="L151" s="658"/>
      <c r="M151" s="654"/>
      <c r="N151" s="654"/>
      <c r="O151" s="654"/>
      <c r="P151" s="654"/>
      <c r="Q151" s="654"/>
      <c r="R151" s="654"/>
      <c r="S151" s="432"/>
      <c r="T151" s="432"/>
      <c r="U151" s="432"/>
      <c r="V151" s="432"/>
    </row>
    <row r="152" spans="1:22" ht="21" customHeight="1">
      <c r="A152" s="654"/>
      <c r="B152" s="654"/>
      <c r="C152" s="654"/>
      <c r="D152" s="654"/>
      <c r="E152" s="654"/>
      <c r="F152" s="654"/>
      <c r="G152" s="654"/>
      <c r="H152" s="654"/>
      <c r="I152" s="654"/>
      <c r="J152" s="654"/>
      <c r="K152" s="654"/>
      <c r="L152" s="658"/>
      <c r="M152" s="654"/>
      <c r="N152" s="654"/>
      <c r="O152" s="654"/>
      <c r="P152" s="654"/>
      <c r="Q152" s="654"/>
      <c r="R152" s="654"/>
      <c r="S152" s="432"/>
      <c r="T152" s="432"/>
      <c r="U152" s="432"/>
      <c r="V152" s="432"/>
    </row>
    <row r="153" spans="1:22" ht="21" customHeight="1">
      <c r="A153" s="654"/>
      <c r="B153" s="654"/>
      <c r="C153" s="654"/>
      <c r="D153" s="654"/>
      <c r="E153" s="654"/>
      <c r="F153" s="654"/>
      <c r="G153" s="654"/>
      <c r="H153" s="654"/>
      <c r="I153" s="654"/>
      <c r="J153" s="654"/>
      <c r="K153" s="654"/>
      <c r="L153" s="658"/>
      <c r="M153" s="654"/>
      <c r="N153" s="654"/>
      <c r="O153" s="654"/>
      <c r="P153" s="654"/>
      <c r="Q153" s="654"/>
      <c r="R153" s="654"/>
      <c r="S153" s="432"/>
      <c r="T153" s="432"/>
      <c r="U153" s="432"/>
      <c r="V153" s="432"/>
    </row>
    <row r="154" spans="1:22" ht="21" customHeight="1">
      <c r="A154" s="654"/>
      <c r="B154" s="654"/>
      <c r="C154" s="654"/>
      <c r="D154" s="654"/>
      <c r="E154" s="654"/>
      <c r="F154" s="654"/>
      <c r="G154" s="654"/>
      <c r="H154" s="654"/>
      <c r="I154" s="654"/>
      <c r="J154" s="654"/>
      <c r="K154" s="654"/>
      <c r="L154" s="658"/>
      <c r="M154" s="654"/>
      <c r="N154" s="654"/>
      <c r="O154" s="654"/>
      <c r="P154" s="654"/>
      <c r="Q154" s="654"/>
      <c r="R154" s="654"/>
      <c r="S154" s="432"/>
      <c r="T154" s="432"/>
      <c r="U154" s="432"/>
      <c r="V154" s="432"/>
    </row>
    <row r="155" spans="1:22" ht="21" customHeight="1">
      <c r="A155" s="654"/>
      <c r="B155" s="654"/>
      <c r="C155" s="654"/>
      <c r="D155" s="654"/>
      <c r="E155" s="654"/>
      <c r="F155" s="654"/>
      <c r="G155" s="654"/>
      <c r="H155" s="654"/>
      <c r="I155" s="654"/>
      <c r="J155" s="654"/>
      <c r="K155" s="654"/>
      <c r="L155" s="658"/>
      <c r="M155" s="654"/>
      <c r="N155" s="654"/>
      <c r="O155" s="654"/>
      <c r="P155" s="654"/>
      <c r="Q155" s="654"/>
      <c r="R155" s="654"/>
      <c r="S155" s="432"/>
      <c r="T155" s="432"/>
      <c r="U155" s="432"/>
      <c r="V155" s="432"/>
    </row>
    <row r="156" spans="1:22" ht="21" customHeight="1">
      <c r="A156" s="654"/>
      <c r="B156" s="654"/>
      <c r="C156" s="654"/>
      <c r="D156" s="654"/>
      <c r="E156" s="654"/>
      <c r="F156" s="654"/>
      <c r="G156" s="654"/>
      <c r="H156" s="654"/>
      <c r="I156" s="654"/>
      <c r="J156" s="654"/>
      <c r="K156" s="654"/>
      <c r="L156" s="658"/>
      <c r="M156" s="654"/>
      <c r="N156" s="654"/>
      <c r="O156" s="654"/>
      <c r="P156" s="654"/>
      <c r="Q156" s="654"/>
      <c r="R156" s="654"/>
      <c r="S156" s="432"/>
      <c r="T156" s="432"/>
      <c r="U156" s="432"/>
      <c r="V156" s="432"/>
    </row>
    <row r="157" spans="1:22" ht="21" customHeight="1">
      <c r="A157" s="654"/>
      <c r="B157" s="654"/>
      <c r="C157" s="654"/>
      <c r="D157" s="654"/>
      <c r="E157" s="654"/>
      <c r="F157" s="654"/>
      <c r="G157" s="654"/>
      <c r="H157" s="654"/>
      <c r="I157" s="654"/>
      <c r="J157" s="654"/>
      <c r="K157" s="654"/>
      <c r="L157" s="658"/>
      <c r="M157" s="654"/>
      <c r="N157" s="654"/>
      <c r="O157" s="654"/>
      <c r="P157" s="654"/>
      <c r="Q157" s="654"/>
      <c r="R157" s="654"/>
      <c r="S157" s="432"/>
      <c r="T157" s="432"/>
      <c r="U157" s="432"/>
      <c r="V157" s="432"/>
    </row>
    <row r="158" spans="1:22" ht="21" customHeight="1">
      <c r="A158" s="654"/>
      <c r="B158" s="654"/>
      <c r="C158" s="654"/>
      <c r="D158" s="654"/>
      <c r="E158" s="654"/>
      <c r="F158" s="654"/>
      <c r="G158" s="654"/>
      <c r="H158" s="654"/>
      <c r="I158" s="654"/>
      <c r="J158" s="654"/>
      <c r="K158" s="654"/>
      <c r="L158" s="658"/>
      <c r="M158" s="654"/>
      <c r="N158" s="654"/>
      <c r="O158" s="654"/>
      <c r="P158" s="654"/>
      <c r="Q158" s="654"/>
      <c r="R158" s="654"/>
      <c r="S158" s="432"/>
      <c r="T158" s="432"/>
      <c r="U158" s="432"/>
      <c r="V158" s="432"/>
    </row>
    <row r="159" spans="1:22" ht="21" customHeight="1">
      <c r="A159" s="654"/>
      <c r="B159" s="654"/>
      <c r="C159" s="654"/>
      <c r="D159" s="654"/>
      <c r="E159" s="654"/>
      <c r="F159" s="654"/>
      <c r="G159" s="654"/>
      <c r="H159" s="654"/>
      <c r="I159" s="654"/>
      <c r="J159" s="654"/>
      <c r="K159" s="654"/>
      <c r="L159" s="658"/>
      <c r="M159" s="654"/>
      <c r="N159" s="654"/>
      <c r="O159" s="654"/>
      <c r="P159" s="654"/>
      <c r="Q159" s="654"/>
      <c r="R159" s="654"/>
      <c r="S159" s="432"/>
      <c r="T159" s="432"/>
      <c r="U159" s="432"/>
      <c r="V159" s="432"/>
    </row>
    <row r="160" spans="1:22" ht="21" customHeight="1">
      <c r="A160" s="654"/>
      <c r="B160" s="654"/>
      <c r="C160" s="654"/>
      <c r="D160" s="654"/>
      <c r="E160" s="654"/>
      <c r="F160" s="654"/>
      <c r="G160" s="654"/>
      <c r="H160" s="654"/>
      <c r="I160" s="654"/>
      <c r="J160" s="654"/>
      <c r="K160" s="654"/>
      <c r="L160" s="658"/>
      <c r="M160" s="654"/>
      <c r="N160" s="654"/>
      <c r="O160" s="654"/>
      <c r="P160" s="654"/>
      <c r="Q160" s="654"/>
      <c r="R160" s="654"/>
      <c r="S160" s="432"/>
      <c r="T160" s="432"/>
      <c r="U160" s="432"/>
      <c r="V160" s="432"/>
    </row>
    <row r="161" spans="1:22" ht="21" customHeight="1">
      <c r="A161" s="654"/>
      <c r="B161" s="654"/>
      <c r="C161" s="654"/>
      <c r="D161" s="654"/>
      <c r="E161" s="654"/>
      <c r="F161" s="654"/>
      <c r="G161" s="654"/>
      <c r="H161" s="654"/>
      <c r="I161" s="654"/>
      <c r="J161" s="654"/>
      <c r="K161" s="654"/>
      <c r="L161" s="658"/>
      <c r="M161" s="654"/>
      <c r="N161" s="654"/>
      <c r="O161" s="654"/>
      <c r="P161" s="654"/>
      <c r="Q161" s="654"/>
      <c r="R161" s="654"/>
      <c r="S161" s="432"/>
      <c r="T161" s="432"/>
      <c r="U161" s="432"/>
      <c r="V161" s="432"/>
    </row>
    <row r="162" spans="1:22" ht="21" customHeight="1">
      <c r="A162" s="654"/>
      <c r="B162" s="654"/>
      <c r="C162" s="654"/>
      <c r="D162" s="654"/>
      <c r="E162" s="654"/>
      <c r="F162" s="654"/>
      <c r="G162" s="654"/>
      <c r="H162" s="654"/>
      <c r="I162" s="654"/>
      <c r="J162" s="654"/>
      <c r="K162" s="654"/>
      <c r="L162" s="658"/>
      <c r="M162" s="654"/>
      <c r="N162" s="654"/>
      <c r="O162" s="654"/>
      <c r="P162" s="654"/>
      <c r="Q162" s="654"/>
      <c r="R162" s="654"/>
      <c r="S162" s="432"/>
      <c r="T162" s="432"/>
      <c r="U162" s="432"/>
      <c r="V162" s="432"/>
    </row>
    <row r="163" spans="1:22" ht="21" customHeight="1">
      <c r="A163" s="654"/>
      <c r="B163" s="654"/>
      <c r="C163" s="654"/>
      <c r="D163" s="654"/>
      <c r="E163" s="654"/>
      <c r="F163" s="654"/>
      <c r="G163" s="654"/>
      <c r="H163" s="654"/>
      <c r="I163" s="654"/>
      <c r="J163" s="654"/>
      <c r="K163" s="654"/>
      <c r="L163" s="658"/>
      <c r="M163" s="654"/>
      <c r="N163" s="654"/>
      <c r="O163" s="654"/>
      <c r="P163" s="654"/>
      <c r="Q163" s="654"/>
      <c r="R163" s="654"/>
      <c r="S163" s="432"/>
      <c r="T163" s="432"/>
      <c r="U163" s="432"/>
      <c r="V163" s="432"/>
    </row>
    <row r="164" spans="1:22" ht="21" customHeight="1">
      <c r="A164" s="654"/>
      <c r="B164" s="654"/>
      <c r="C164" s="654"/>
      <c r="D164" s="654"/>
      <c r="E164" s="654"/>
      <c r="F164" s="654"/>
      <c r="G164" s="654"/>
      <c r="H164" s="654"/>
      <c r="I164" s="654"/>
      <c r="J164" s="654"/>
      <c r="K164" s="654"/>
      <c r="L164" s="658"/>
      <c r="M164" s="654"/>
      <c r="N164" s="654"/>
      <c r="O164" s="654"/>
      <c r="P164" s="654"/>
      <c r="Q164" s="654"/>
      <c r="R164" s="654"/>
      <c r="S164" s="432"/>
      <c r="T164" s="432"/>
      <c r="U164" s="432"/>
      <c r="V164" s="432"/>
    </row>
    <row r="165" spans="1:22" ht="21" customHeight="1">
      <c r="A165" s="654"/>
      <c r="B165" s="654"/>
      <c r="C165" s="654"/>
      <c r="D165" s="654"/>
      <c r="E165" s="654"/>
      <c r="F165" s="654"/>
      <c r="G165" s="654"/>
      <c r="H165" s="654"/>
      <c r="I165" s="654"/>
      <c r="J165" s="654"/>
      <c r="K165" s="654"/>
      <c r="L165" s="658"/>
      <c r="M165" s="654"/>
      <c r="N165" s="654"/>
      <c r="O165" s="654"/>
      <c r="P165" s="654"/>
      <c r="Q165" s="654"/>
      <c r="R165" s="654"/>
      <c r="S165" s="432"/>
      <c r="T165" s="432"/>
      <c r="U165" s="432"/>
      <c r="V165" s="432"/>
    </row>
    <row r="166" spans="1:22" ht="21" customHeight="1">
      <c r="A166" s="654"/>
      <c r="B166" s="654"/>
      <c r="C166" s="654"/>
      <c r="D166" s="654"/>
      <c r="E166" s="654"/>
      <c r="F166" s="654"/>
      <c r="G166" s="654"/>
      <c r="H166" s="654"/>
      <c r="I166" s="654"/>
      <c r="J166" s="654"/>
      <c r="K166" s="654"/>
      <c r="L166" s="658"/>
      <c r="M166" s="654"/>
      <c r="N166" s="654"/>
      <c r="O166" s="654"/>
      <c r="P166" s="654"/>
      <c r="Q166" s="654"/>
      <c r="R166" s="654"/>
      <c r="S166" s="432"/>
      <c r="T166" s="432"/>
      <c r="U166" s="432"/>
      <c r="V166" s="432"/>
    </row>
    <row r="167" spans="1:22" ht="21" customHeight="1">
      <c r="A167" s="654"/>
      <c r="B167" s="654"/>
      <c r="C167" s="654"/>
      <c r="D167" s="654"/>
      <c r="E167" s="654"/>
      <c r="F167" s="654"/>
      <c r="G167" s="654"/>
      <c r="H167" s="654"/>
      <c r="I167" s="654"/>
      <c r="J167" s="654"/>
      <c r="K167" s="654"/>
      <c r="L167" s="658"/>
      <c r="M167" s="654"/>
      <c r="N167" s="654"/>
      <c r="O167" s="654"/>
      <c r="P167" s="654"/>
      <c r="Q167" s="654"/>
      <c r="R167" s="654"/>
      <c r="S167" s="432"/>
      <c r="T167" s="432"/>
      <c r="U167" s="432"/>
      <c r="V167" s="432"/>
    </row>
    <row r="168" spans="1:22" ht="21" customHeight="1">
      <c r="A168" s="654"/>
      <c r="B168" s="654"/>
      <c r="C168" s="654"/>
      <c r="D168" s="654"/>
      <c r="E168" s="654"/>
      <c r="F168" s="654"/>
      <c r="G168" s="654"/>
      <c r="H168" s="654"/>
      <c r="I168" s="654"/>
      <c r="J168" s="654"/>
      <c r="K168" s="654"/>
      <c r="L168" s="658"/>
      <c r="M168" s="654"/>
      <c r="N168" s="654"/>
      <c r="O168" s="654"/>
      <c r="P168" s="654"/>
      <c r="Q168" s="654"/>
      <c r="R168" s="654"/>
      <c r="S168" s="432"/>
      <c r="T168" s="432"/>
      <c r="U168" s="432"/>
      <c r="V168" s="432"/>
    </row>
    <row r="169" spans="1:22" ht="21" customHeight="1">
      <c r="A169" s="654"/>
      <c r="B169" s="654"/>
      <c r="C169" s="654"/>
      <c r="D169" s="654"/>
      <c r="E169" s="654"/>
      <c r="F169" s="654"/>
      <c r="G169" s="654"/>
      <c r="H169" s="654"/>
      <c r="I169" s="654"/>
      <c r="J169" s="654"/>
      <c r="K169" s="654"/>
      <c r="L169" s="658"/>
      <c r="M169" s="654"/>
      <c r="N169" s="654"/>
      <c r="O169" s="654"/>
      <c r="P169" s="654"/>
      <c r="Q169" s="654"/>
      <c r="R169" s="654"/>
      <c r="S169" s="432"/>
      <c r="T169" s="432"/>
      <c r="U169" s="432"/>
      <c r="V169" s="432"/>
    </row>
    <row r="170" spans="1:22" ht="21" customHeight="1">
      <c r="A170" s="654"/>
      <c r="B170" s="654"/>
      <c r="C170" s="654"/>
      <c r="D170" s="654"/>
      <c r="E170" s="654"/>
      <c r="F170" s="654"/>
      <c r="G170" s="654"/>
      <c r="H170" s="654"/>
      <c r="I170" s="654"/>
      <c r="J170" s="654"/>
      <c r="K170" s="654"/>
      <c r="L170" s="658"/>
      <c r="M170" s="654"/>
      <c r="N170" s="654"/>
      <c r="O170" s="654"/>
      <c r="P170" s="654"/>
      <c r="Q170" s="654"/>
      <c r="R170" s="654"/>
      <c r="S170" s="432"/>
      <c r="T170" s="432"/>
      <c r="U170" s="432"/>
      <c r="V170" s="432"/>
    </row>
    <row r="171" spans="1:22" ht="21" customHeight="1">
      <c r="A171" s="654"/>
      <c r="B171" s="654"/>
      <c r="C171" s="654"/>
      <c r="D171" s="654"/>
      <c r="E171" s="654"/>
      <c r="F171" s="654"/>
      <c r="G171" s="654"/>
      <c r="H171" s="654"/>
      <c r="I171" s="654"/>
      <c r="J171" s="654"/>
      <c r="K171" s="654"/>
      <c r="L171" s="658"/>
      <c r="M171" s="654"/>
      <c r="N171" s="654"/>
      <c r="O171" s="654"/>
      <c r="P171" s="654"/>
      <c r="Q171" s="654"/>
      <c r="R171" s="654"/>
      <c r="S171" s="432"/>
      <c r="T171" s="432"/>
      <c r="U171" s="432"/>
      <c r="V171" s="432"/>
    </row>
    <row r="172" spans="1:22" ht="21" customHeight="1">
      <c r="A172" s="654"/>
      <c r="B172" s="654"/>
      <c r="C172" s="654"/>
      <c r="D172" s="654"/>
      <c r="E172" s="654"/>
      <c r="F172" s="654"/>
      <c r="G172" s="654"/>
      <c r="H172" s="654"/>
      <c r="I172" s="654"/>
      <c r="J172" s="654"/>
      <c r="K172" s="654"/>
      <c r="L172" s="658"/>
      <c r="M172" s="654"/>
      <c r="N172" s="654"/>
      <c r="O172" s="654"/>
      <c r="P172" s="654"/>
      <c r="Q172" s="654"/>
      <c r="R172" s="654"/>
      <c r="S172" s="432"/>
      <c r="T172" s="432"/>
      <c r="U172" s="432"/>
      <c r="V172" s="432"/>
    </row>
    <row r="173" spans="1:22" ht="21" customHeight="1">
      <c r="A173" s="654"/>
      <c r="B173" s="654"/>
      <c r="C173" s="654"/>
      <c r="D173" s="654"/>
      <c r="E173" s="654"/>
      <c r="F173" s="654"/>
      <c r="G173" s="654"/>
      <c r="H173" s="654"/>
      <c r="I173" s="654"/>
      <c r="J173" s="654"/>
      <c r="K173" s="654"/>
      <c r="L173" s="658"/>
      <c r="M173" s="654"/>
      <c r="N173" s="654"/>
      <c r="O173" s="654"/>
      <c r="P173" s="654"/>
      <c r="Q173" s="654"/>
      <c r="R173" s="654"/>
      <c r="S173" s="432"/>
      <c r="T173" s="432"/>
      <c r="U173" s="432"/>
      <c r="V173" s="432"/>
    </row>
    <row r="174" spans="1:22" ht="21" customHeight="1">
      <c r="A174" s="654"/>
      <c r="B174" s="654"/>
      <c r="C174" s="654"/>
      <c r="D174" s="654"/>
      <c r="E174" s="654"/>
      <c r="F174" s="654"/>
      <c r="G174" s="654"/>
      <c r="H174" s="654"/>
      <c r="I174" s="654"/>
      <c r="J174" s="654"/>
      <c r="K174" s="654"/>
      <c r="L174" s="658"/>
      <c r="M174" s="654"/>
      <c r="N174" s="654"/>
      <c r="O174" s="654"/>
      <c r="P174" s="654"/>
      <c r="Q174" s="654"/>
      <c r="R174" s="654"/>
      <c r="S174" s="432"/>
      <c r="T174" s="432"/>
      <c r="U174" s="432"/>
      <c r="V174" s="432"/>
    </row>
    <row r="175" spans="1:22" ht="21" customHeight="1">
      <c r="A175" s="654"/>
      <c r="B175" s="654"/>
      <c r="C175" s="654"/>
      <c r="D175" s="654"/>
      <c r="E175" s="654"/>
      <c r="F175" s="654"/>
      <c r="G175" s="654"/>
      <c r="H175" s="654"/>
      <c r="I175" s="654"/>
      <c r="J175" s="654"/>
      <c r="K175" s="654"/>
      <c r="L175" s="658"/>
      <c r="M175" s="654"/>
      <c r="N175" s="654"/>
      <c r="O175" s="654"/>
      <c r="P175" s="654"/>
      <c r="Q175" s="654"/>
      <c r="R175" s="654"/>
      <c r="S175" s="432"/>
      <c r="T175" s="432"/>
      <c r="U175" s="432"/>
      <c r="V175" s="432"/>
    </row>
    <row r="176" spans="1:22" ht="21" customHeight="1">
      <c r="A176" s="654"/>
      <c r="B176" s="654"/>
      <c r="C176" s="654"/>
      <c r="D176" s="654"/>
      <c r="E176" s="654"/>
      <c r="F176" s="654"/>
      <c r="G176" s="654"/>
      <c r="H176" s="654"/>
      <c r="I176" s="654"/>
      <c r="J176" s="654"/>
      <c r="K176" s="654"/>
      <c r="L176" s="658"/>
      <c r="M176" s="654"/>
      <c r="N176" s="654"/>
      <c r="O176" s="654"/>
      <c r="P176" s="654"/>
      <c r="Q176" s="654"/>
      <c r="R176" s="654"/>
      <c r="S176" s="432"/>
      <c r="T176" s="432"/>
      <c r="U176" s="432"/>
      <c r="V176" s="432"/>
    </row>
    <row r="177" spans="1:22" ht="21" customHeight="1">
      <c r="A177" s="654"/>
      <c r="B177" s="654"/>
      <c r="C177" s="654"/>
      <c r="D177" s="654"/>
      <c r="E177" s="654"/>
      <c r="F177" s="654"/>
      <c r="G177" s="654"/>
      <c r="H177" s="654"/>
      <c r="I177" s="654"/>
      <c r="J177" s="654"/>
      <c r="K177" s="654"/>
      <c r="L177" s="658"/>
      <c r="M177" s="654"/>
      <c r="N177" s="654"/>
      <c r="O177" s="654"/>
      <c r="P177" s="654"/>
      <c r="Q177" s="654"/>
      <c r="R177" s="654"/>
      <c r="S177" s="432"/>
      <c r="T177" s="432"/>
      <c r="U177" s="432"/>
      <c r="V177" s="432"/>
    </row>
    <row r="178" spans="1:22" ht="21" customHeight="1">
      <c r="A178" s="654"/>
      <c r="B178" s="654"/>
      <c r="C178" s="654"/>
      <c r="D178" s="654"/>
      <c r="E178" s="654"/>
      <c r="F178" s="654"/>
      <c r="G178" s="654"/>
      <c r="H178" s="654"/>
      <c r="I178" s="654"/>
      <c r="J178" s="654"/>
      <c r="K178" s="654"/>
      <c r="L178" s="658"/>
      <c r="M178" s="654"/>
      <c r="N178" s="654"/>
      <c r="O178" s="654"/>
      <c r="P178" s="654"/>
      <c r="Q178" s="654"/>
      <c r="R178" s="654"/>
      <c r="S178" s="432"/>
      <c r="T178" s="432"/>
      <c r="U178" s="432"/>
      <c r="V178" s="432"/>
    </row>
    <row r="179" spans="1:22" ht="21" customHeight="1">
      <c r="A179" s="654"/>
      <c r="B179" s="654"/>
      <c r="C179" s="654"/>
      <c r="D179" s="654"/>
      <c r="E179" s="654"/>
      <c r="F179" s="654"/>
      <c r="G179" s="654"/>
      <c r="H179" s="654"/>
      <c r="I179" s="654"/>
      <c r="J179" s="654"/>
      <c r="K179" s="654"/>
      <c r="L179" s="658"/>
      <c r="M179" s="654"/>
      <c r="N179" s="654"/>
      <c r="O179" s="654"/>
      <c r="P179" s="654"/>
      <c r="Q179" s="654"/>
      <c r="R179" s="654"/>
      <c r="S179" s="432"/>
      <c r="T179" s="432"/>
      <c r="U179" s="432"/>
      <c r="V179" s="432"/>
    </row>
    <row r="180" spans="1:22" ht="21" customHeight="1">
      <c r="A180" s="654"/>
      <c r="B180" s="654"/>
      <c r="C180" s="654"/>
      <c r="D180" s="654"/>
      <c r="E180" s="654"/>
      <c r="F180" s="654"/>
      <c r="G180" s="654"/>
      <c r="H180" s="654"/>
      <c r="I180" s="654"/>
      <c r="J180" s="654"/>
      <c r="K180" s="654"/>
      <c r="L180" s="658"/>
      <c r="M180" s="654"/>
      <c r="N180" s="654"/>
      <c r="O180" s="654"/>
      <c r="P180" s="654"/>
      <c r="Q180" s="654"/>
      <c r="R180" s="654"/>
      <c r="S180" s="432"/>
      <c r="T180" s="432"/>
      <c r="U180" s="432"/>
      <c r="V180" s="432"/>
    </row>
    <row r="181" spans="1:22" ht="21" customHeight="1">
      <c r="A181" s="654"/>
      <c r="B181" s="654"/>
      <c r="C181" s="654"/>
      <c r="D181" s="654"/>
      <c r="E181" s="654"/>
      <c r="F181" s="654"/>
      <c r="G181" s="654"/>
      <c r="H181" s="654"/>
      <c r="I181" s="654"/>
      <c r="J181" s="654"/>
      <c r="K181" s="654"/>
      <c r="L181" s="658"/>
      <c r="M181" s="654"/>
      <c r="N181" s="654"/>
      <c r="O181" s="654"/>
      <c r="P181" s="654"/>
      <c r="Q181" s="654"/>
      <c r="R181" s="654"/>
      <c r="S181" s="432"/>
      <c r="T181" s="432"/>
      <c r="U181" s="432"/>
      <c r="V181" s="432"/>
    </row>
    <row r="182" spans="1:22" ht="21" customHeight="1">
      <c r="A182" s="654"/>
      <c r="B182" s="654"/>
      <c r="C182" s="654"/>
      <c r="D182" s="654"/>
      <c r="E182" s="654"/>
      <c r="F182" s="654"/>
      <c r="G182" s="654"/>
      <c r="H182" s="654"/>
      <c r="I182" s="654"/>
      <c r="J182" s="654"/>
      <c r="K182" s="654"/>
      <c r="L182" s="658"/>
      <c r="M182" s="654"/>
      <c r="N182" s="654"/>
      <c r="O182" s="654"/>
      <c r="P182" s="654"/>
      <c r="Q182" s="654"/>
      <c r="R182" s="654"/>
      <c r="S182" s="432"/>
      <c r="T182" s="432"/>
      <c r="U182" s="432"/>
      <c r="V182" s="432"/>
    </row>
    <row r="183" spans="1:22" ht="21" customHeight="1">
      <c r="A183" s="654"/>
      <c r="B183" s="654"/>
      <c r="C183" s="654"/>
      <c r="D183" s="654"/>
      <c r="E183" s="654"/>
      <c r="F183" s="654"/>
      <c r="G183" s="654"/>
      <c r="H183" s="654"/>
      <c r="I183" s="654"/>
      <c r="J183" s="654"/>
      <c r="K183" s="654"/>
      <c r="L183" s="658"/>
      <c r="M183" s="654"/>
      <c r="N183" s="654"/>
      <c r="O183" s="654"/>
      <c r="P183" s="654"/>
      <c r="Q183" s="654"/>
      <c r="R183" s="654"/>
      <c r="S183" s="432"/>
      <c r="T183" s="432"/>
      <c r="U183" s="432"/>
      <c r="V183" s="432"/>
    </row>
    <row r="184" spans="1:22" ht="21" customHeight="1">
      <c r="A184" s="654"/>
      <c r="B184" s="654"/>
      <c r="C184" s="654"/>
      <c r="D184" s="654"/>
      <c r="E184" s="654"/>
      <c r="F184" s="654"/>
      <c r="G184" s="654"/>
      <c r="H184" s="654"/>
      <c r="I184" s="654"/>
      <c r="J184" s="654"/>
      <c r="K184" s="654"/>
      <c r="L184" s="658"/>
      <c r="M184" s="654"/>
      <c r="N184" s="654"/>
      <c r="O184" s="654"/>
      <c r="P184" s="654"/>
      <c r="Q184" s="654"/>
      <c r="R184" s="654"/>
      <c r="S184" s="432"/>
      <c r="T184" s="432"/>
      <c r="U184" s="432"/>
      <c r="V184" s="432"/>
    </row>
    <row r="185" spans="1:22" ht="21" customHeight="1">
      <c r="A185" s="654"/>
      <c r="B185" s="654"/>
      <c r="C185" s="654"/>
      <c r="D185" s="654"/>
      <c r="E185" s="654"/>
      <c r="F185" s="654"/>
      <c r="G185" s="654"/>
      <c r="H185" s="654"/>
      <c r="I185" s="654"/>
      <c r="J185" s="654"/>
      <c r="K185" s="654"/>
      <c r="L185" s="658"/>
      <c r="M185" s="654"/>
      <c r="N185" s="654"/>
      <c r="O185" s="654"/>
      <c r="P185" s="654"/>
      <c r="Q185" s="654"/>
      <c r="R185" s="654"/>
      <c r="S185" s="432"/>
      <c r="T185" s="432"/>
      <c r="U185" s="432"/>
      <c r="V185" s="432"/>
    </row>
    <row r="186" spans="1:22" ht="21" customHeight="1">
      <c r="A186" s="654"/>
      <c r="B186" s="654"/>
      <c r="C186" s="654"/>
      <c r="D186" s="654"/>
      <c r="E186" s="654"/>
      <c r="F186" s="654"/>
      <c r="G186" s="654"/>
      <c r="H186" s="654"/>
      <c r="I186" s="654"/>
      <c r="J186" s="654"/>
      <c r="K186" s="654"/>
      <c r="L186" s="658"/>
      <c r="M186" s="654"/>
      <c r="N186" s="654"/>
      <c r="O186" s="654"/>
      <c r="P186" s="654"/>
      <c r="Q186" s="654"/>
      <c r="R186" s="654"/>
      <c r="S186" s="432"/>
      <c r="T186" s="432"/>
      <c r="U186" s="432"/>
      <c r="V186" s="432"/>
    </row>
    <row r="187" spans="1:22" ht="21" customHeight="1">
      <c r="A187" s="654"/>
      <c r="B187" s="654"/>
      <c r="C187" s="654"/>
      <c r="D187" s="654"/>
      <c r="E187" s="654"/>
      <c r="F187" s="654"/>
      <c r="G187" s="654"/>
      <c r="H187" s="654"/>
      <c r="I187" s="654"/>
      <c r="J187" s="654"/>
      <c r="K187" s="654"/>
      <c r="L187" s="658"/>
      <c r="M187" s="654"/>
      <c r="N187" s="654"/>
      <c r="O187" s="654"/>
      <c r="P187" s="654"/>
      <c r="Q187" s="654"/>
      <c r="R187" s="654"/>
      <c r="S187" s="432"/>
      <c r="T187" s="432"/>
      <c r="U187" s="432"/>
      <c r="V187" s="432"/>
    </row>
    <row r="188" spans="1:22" ht="21" customHeight="1">
      <c r="A188" s="654"/>
      <c r="B188" s="654"/>
      <c r="C188" s="654"/>
      <c r="D188" s="654"/>
      <c r="E188" s="654"/>
      <c r="F188" s="654"/>
      <c r="G188" s="654"/>
      <c r="H188" s="654"/>
      <c r="I188" s="654"/>
      <c r="J188" s="654"/>
      <c r="K188" s="654"/>
      <c r="L188" s="658"/>
      <c r="M188" s="654"/>
      <c r="N188" s="654"/>
      <c r="O188" s="654"/>
      <c r="P188" s="654"/>
      <c r="Q188" s="654"/>
      <c r="R188" s="654"/>
      <c r="S188" s="432"/>
      <c r="T188" s="432"/>
      <c r="U188" s="432"/>
      <c r="V188" s="432"/>
    </row>
    <row r="189" spans="1:22" ht="21" customHeight="1">
      <c r="A189" s="654"/>
      <c r="B189" s="654"/>
      <c r="C189" s="654"/>
      <c r="D189" s="654"/>
      <c r="E189" s="654"/>
      <c r="F189" s="654"/>
      <c r="G189" s="654"/>
      <c r="H189" s="654"/>
      <c r="I189" s="654"/>
      <c r="J189" s="654"/>
      <c r="K189" s="654"/>
      <c r="L189" s="658"/>
      <c r="M189" s="654"/>
      <c r="N189" s="654"/>
      <c r="O189" s="654"/>
      <c r="P189" s="654"/>
      <c r="Q189" s="654"/>
      <c r="R189" s="654"/>
      <c r="S189" s="432"/>
      <c r="T189" s="432"/>
      <c r="U189" s="432"/>
      <c r="V189" s="432"/>
    </row>
    <row r="190" spans="1:22" ht="21" customHeight="1">
      <c r="A190" s="654"/>
      <c r="B190" s="654"/>
      <c r="C190" s="654"/>
      <c r="D190" s="654"/>
      <c r="E190" s="654"/>
      <c r="F190" s="654"/>
      <c r="G190" s="654"/>
      <c r="H190" s="654"/>
      <c r="I190" s="654"/>
      <c r="J190" s="654"/>
      <c r="K190" s="654"/>
      <c r="L190" s="658"/>
      <c r="M190" s="654"/>
      <c r="N190" s="654"/>
      <c r="O190" s="654"/>
      <c r="P190" s="654"/>
      <c r="Q190" s="654"/>
      <c r="R190" s="654"/>
      <c r="S190" s="432"/>
      <c r="T190" s="432"/>
      <c r="U190" s="432"/>
      <c r="V190" s="432"/>
    </row>
    <row r="191" spans="1:22" ht="21" customHeight="1">
      <c r="A191" s="654"/>
      <c r="B191" s="654"/>
      <c r="C191" s="654"/>
      <c r="D191" s="654"/>
      <c r="E191" s="654"/>
      <c r="F191" s="654"/>
      <c r="G191" s="654"/>
      <c r="H191" s="654"/>
      <c r="I191" s="654"/>
      <c r="J191" s="654"/>
      <c r="K191" s="654"/>
      <c r="L191" s="658"/>
      <c r="M191" s="654"/>
      <c r="N191" s="654"/>
      <c r="O191" s="654"/>
      <c r="P191" s="654"/>
      <c r="Q191" s="654"/>
      <c r="R191" s="654"/>
      <c r="S191" s="432"/>
      <c r="T191" s="432"/>
      <c r="U191" s="432"/>
      <c r="V191" s="432"/>
    </row>
    <row r="192" spans="1:22" ht="21" customHeight="1">
      <c r="A192" s="654"/>
      <c r="B192" s="654"/>
      <c r="C192" s="654"/>
      <c r="D192" s="654"/>
      <c r="E192" s="654"/>
      <c r="F192" s="654"/>
      <c r="G192" s="654"/>
      <c r="H192" s="654"/>
      <c r="I192" s="654"/>
      <c r="J192" s="654"/>
      <c r="K192" s="654"/>
      <c r="L192" s="658"/>
      <c r="M192" s="654"/>
      <c r="N192" s="654"/>
      <c r="O192" s="654"/>
      <c r="P192" s="654"/>
      <c r="Q192" s="654"/>
      <c r="R192" s="654"/>
      <c r="S192" s="432"/>
      <c r="T192" s="432"/>
      <c r="U192" s="432"/>
      <c r="V192" s="432"/>
    </row>
    <row r="193" spans="1:22" ht="21" customHeight="1">
      <c r="A193" s="654"/>
      <c r="B193" s="654"/>
      <c r="C193" s="654"/>
      <c r="D193" s="654"/>
      <c r="E193" s="654"/>
      <c r="F193" s="654"/>
      <c r="G193" s="654"/>
      <c r="H193" s="654"/>
      <c r="I193" s="654"/>
      <c r="J193" s="654"/>
      <c r="K193" s="654"/>
      <c r="L193" s="658"/>
      <c r="M193" s="654"/>
      <c r="N193" s="654"/>
      <c r="O193" s="654"/>
      <c r="P193" s="654"/>
      <c r="Q193" s="654"/>
      <c r="R193" s="654"/>
      <c r="S193" s="432"/>
      <c r="T193" s="432"/>
      <c r="U193" s="432"/>
      <c r="V193" s="432"/>
    </row>
    <row r="194" spans="1:22" ht="21" customHeight="1">
      <c r="A194" s="654"/>
      <c r="B194" s="654"/>
      <c r="C194" s="654"/>
      <c r="D194" s="654"/>
      <c r="E194" s="654"/>
      <c r="F194" s="654"/>
      <c r="G194" s="654"/>
      <c r="H194" s="654"/>
      <c r="I194" s="654"/>
      <c r="J194" s="654"/>
      <c r="K194" s="654"/>
      <c r="L194" s="658"/>
      <c r="M194" s="654"/>
      <c r="N194" s="654"/>
      <c r="O194" s="654"/>
      <c r="P194" s="654"/>
      <c r="Q194" s="654"/>
      <c r="R194" s="654"/>
      <c r="S194" s="432"/>
      <c r="T194" s="432"/>
      <c r="U194" s="432"/>
      <c r="V194" s="432"/>
    </row>
    <row r="195" spans="1:22" ht="21" customHeight="1">
      <c r="A195" s="654"/>
      <c r="B195" s="654"/>
      <c r="C195" s="654"/>
      <c r="D195" s="654"/>
      <c r="E195" s="654"/>
      <c r="F195" s="654"/>
      <c r="G195" s="654"/>
      <c r="H195" s="654"/>
      <c r="I195" s="654"/>
      <c r="J195" s="654"/>
      <c r="K195" s="654"/>
      <c r="L195" s="658"/>
      <c r="M195" s="654"/>
      <c r="N195" s="654"/>
      <c r="O195" s="654"/>
      <c r="P195" s="654"/>
      <c r="Q195" s="654"/>
      <c r="R195" s="654"/>
      <c r="S195" s="432"/>
      <c r="T195" s="432"/>
      <c r="U195" s="432"/>
      <c r="V195" s="432"/>
    </row>
    <row r="196" spans="1:22" ht="21" customHeight="1">
      <c r="A196" s="654"/>
      <c r="B196" s="654"/>
      <c r="C196" s="654"/>
      <c r="D196" s="654"/>
      <c r="E196" s="654"/>
      <c r="F196" s="654"/>
      <c r="G196" s="654"/>
      <c r="H196" s="654"/>
      <c r="I196" s="654"/>
      <c r="J196" s="654"/>
      <c r="K196" s="654"/>
      <c r="L196" s="658"/>
      <c r="M196" s="654"/>
      <c r="N196" s="654"/>
      <c r="O196" s="654"/>
      <c r="P196" s="654"/>
      <c r="Q196" s="654"/>
      <c r="R196" s="654"/>
      <c r="S196" s="432"/>
      <c r="T196" s="432"/>
      <c r="U196" s="432"/>
      <c r="V196" s="432"/>
    </row>
    <row r="197" spans="1:22" ht="21" customHeight="1">
      <c r="A197" s="654"/>
      <c r="B197" s="654"/>
      <c r="C197" s="654"/>
      <c r="D197" s="654"/>
      <c r="E197" s="654"/>
      <c r="F197" s="654"/>
      <c r="G197" s="654"/>
      <c r="H197" s="654"/>
      <c r="I197" s="654"/>
      <c r="J197" s="654"/>
      <c r="K197" s="654"/>
      <c r="L197" s="658"/>
      <c r="M197" s="654"/>
      <c r="N197" s="654"/>
      <c r="O197" s="654"/>
      <c r="P197" s="654"/>
      <c r="Q197" s="654"/>
      <c r="R197" s="654"/>
      <c r="S197" s="432"/>
      <c r="T197" s="432"/>
      <c r="U197" s="432"/>
      <c r="V197" s="432"/>
    </row>
    <row r="198" spans="1:22" ht="21" customHeight="1">
      <c r="A198" s="654"/>
      <c r="B198" s="654"/>
      <c r="C198" s="654"/>
      <c r="D198" s="654"/>
      <c r="E198" s="654"/>
      <c r="F198" s="654"/>
      <c r="G198" s="654"/>
      <c r="H198" s="654"/>
      <c r="I198" s="654"/>
      <c r="J198" s="654"/>
      <c r="K198" s="654"/>
      <c r="L198" s="658"/>
      <c r="M198" s="654"/>
      <c r="N198" s="654"/>
      <c r="O198" s="654"/>
      <c r="P198" s="654"/>
      <c r="Q198" s="654"/>
      <c r="R198" s="654"/>
      <c r="S198" s="432"/>
      <c r="T198" s="432"/>
      <c r="U198" s="432"/>
      <c r="V198" s="432"/>
    </row>
    <row r="199" spans="1:22" ht="21" customHeight="1">
      <c r="A199" s="654"/>
      <c r="B199" s="654"/>
      <c r="C199" s="654"/>
      <c r="D199" s="654"/>
      <c r="E199" s="654"/>
      <c r="F199" s="654"/>
      <c r="G199" s="654"/>
      <c r="H199" s="654"/>
      <c r="I199" s="654"/>
      <c r="J199" s="654"/>
      <c r="K199" s="654"/>
      <c r="L199" s="658"/>
      <c r="M199" s="654"/>
      <c r="N199" s="654"/>
      <c r="O199" s="654"/>
      <c r="P199" s="654"/>
      <c r="Q199" s="654"/>
      <c r="R199" s="654"/>
      <c r="S199" s="432"/>
      <c r="T199" s="432"/>
      <c r="U199" s="432"/>
      <c r="V199" s="432"/>
    </row>
    <row r="200" spans="1:22" ht="21" customHeight="1">
      <c r="A200" s="654"/>
      <c r="B200" s="654"/>
      <c r="C200" s="654"/>
      <c r="D200" s="654"/>
      <c r="E200" s="654"/>
      <c r="F200" s="654"/>
      <c r="G200" s="654"/>
      <c r="H200" s="654"/>
      <c r="I200" s="654"/>
      <c r="J200" s="654"/>
      <c r="K200" s="654"/>
      <c r="L200" s="658"/>
      <c r="M200" s="654"/>
      <c r="N200" s="654"/>
      <c r="O200" s="654"/>
      <c r="P200" s="654"/>
      <c r="Q200" s="654"/>
      <c r="R200" s="654"/>
      <c r="S200" s="432"/>
      <c r="T200" s="432"/>
      <c r="U200" s="432"/>
      <c r="V200" s="432"/>
    </row>
    <row r="201" spans="1:22" ht="21" customHeight="1">
      <c r="A201" s="654"/>
      <c r="B201" s="654"/>
      <c r="C201" s="654"/>
      <c r="D201" s="654"/>
      <c r="E201" s="654"/>
      <c r="F201" s="654"/>
      <c r="G201" s="654"/>
      <c r="H201" s="654"/>
      <c r="I201" s="654"/>
      <c r="J201" s="654"/>
      <c r="K201" s="654"/>
      <c r="L201" s="658"/>
      <c r="M201" s="654"/>
      <c r="N201" s="654"/>
      <c r="O201" s="654"/>
      <c r="P201" s="654"/>
      <c r="Q201" s="654"/>
      <c r="R201" s="654"/>
      <c r="S201" s="432"/>
      <c r="T201" s="432"/>
      <c r="U201" s="432"/>
      <c r="V201" s="432"/>
    </row>
    <row r="202" spans="1:22" ht="21" customHeight="1">
      <c r="A202" s="654"/>
      <c r="B202" s="654"/>
      <c r="C202" s="654"/>
      <c r="D202" s="654"/>
      <c r="E202" s="654"/>
      <c r="F202" s="654"/>
      <c r="G202" s="654"/>
      <c r="H202" s="654"/>
      <c r="I202" s="654"/>
      <c r="J202" s="654"/>
      <c r="K202" s="654"/>
      <c r="L202" s="658"/>
      <c r="M202" s="654"/>
      <c r="N202" s="654"/>
      <c r="O202" s="654"/>
      <c r="P202" s="654"/>
      <c r="Q202" s="654"/>
      <c r="R202" s="654"/>
      <c r="S202" s="432"/>
      <c r="T202" s="432"/>
      <c r="U202" s="432"/>
      <c r="V202" s="432"/>
    </row>
    <row r="203" spans="1:22" ht="21" customHeight="1">
      <c r="A203" s="654"/>
      <c r="B203" s="654"/>
      <c r="C203" s="654"/>
      <c r="D203" s="654"/>
      <c r="E203" s="654"/>
      <c r="F203" s="654"/>
      <c r="G203" s="654"/>
      <c r="H203" s="654"/>
      <c r="I203" s="654"/>
      <c r="J203" s="654"/>
      <c r="K203" s="654"/>
      <c r="L203" s="658"/>
      <c r="M203" s="654"/>
      <c r="N203" s="654"/>
      <c r="O203" s="654"/>
      <c r="P203" s="654"/>
      <c r="Q203" s="654"/>
      <c r="R203" s="654"/>
      <c r="S203" s="432"/>
      <c r="T203" s="432"/>
      <c r="U203" s="432"/>
      <c r="V203" s="432"/>
    </row>
    <row r="204" spans="1:22" ht="21" customHeight="1">
      <c r="A204" s="654"/>
      <c r="B204" s="654"/>
      <c r="C204" s="654"/>
      <c r="D204" s="654"/>
      <c r="E204" s="654"/>
      <c r="F204" s="654"/>
      <c r="G204" s="654"/>
      <c r="H204" s="654"/>
      <c r="I204" s="654"/>
      <c r="J204" s="654"/>
      <c r="K204" s="654"/>
      <c r="L204" s="658"/>
      <c r="M204" s="654"/>
      <c r="N204" s="654"/>
      <c r="O204" s="654"/>
      <c r="P204" s="654"/>
      <c r="Q204" s="654"/>
      <c r="R204" s="654"/>
      <c r="S204" s="432"/>
      <c r="T204" s="432"/>
      <c r="U204" s="432"/>
      <c r="V204" s="432"/>
    </row>
    <row r="205" spans="1:22" ht="21" customHeight="1">
      <c r="A205" s="654"/>
      <c r="B205" s="654"/>
      <c r="C205" s="654"/>
      <c r="D205" s="654"/>
      <c r="E205" s="654"/>
      <c r="F205" s="654"/>
      <c r="G205" s="654"/>
      <c r="H205" s="654"/>
      <c r="I205" s="654"/>
      <c r="J205" s="654"/>
      <c r="K205" s="654"/>
      <c r="L205" s="658"/>
      <c r="M205" s="654"/>
      <c r="N205" s="654"/>
      <c r="O205" s="654"/>
      <c r="P205" s="654"/>
      <c r="Q205" s="654"/>
      <c r="R205" s="654"/>
      <c r="S205" s="432"/>
      <c r="T205" s="432"/>
      <c r="U205" s="432"/>
      <c r="V205" s="432"/>
    </row>
    <row r="206" spans="1:22" ht="21" customHeight="1">
      <c r="A206" s="654"/>
      <c r="B206" s="654"/>
      <c r="C206" s="654"/>
      <c r="D206" s="654"/>
      <c r="E206" s="654"/>
      <c r="F206" s="654"/>
      <c r="G206" s="654"/>
      <c r="H206" s="654"/>
      <c r="I206" s="654"/>
      <c r="J206" s="654"/>
      <c r="K206" s="654"/>
      <c r="L206" s="658"/>
      <c r="M206" s="654"/>
      <c r="N206" s="654"/>
      <c r="O206" s="654"/>
      <c r="P206" s="654"/>
      <c r="Q206" s="654"/>
      <c r="R206" s="654"/>
      <c r="S206" s="432"/>
      <c r="T206" s="432"/>
      <c r="U206" s="432"/>
      <c r="V206" s="432"/>
    </row>
    <row r="207" spans="1:22" ht="21" customHeight="1">
      <c r="A207" s="654"/>
      <c r="B207" s="654"/>
      <c r="C207" s="654"/>
      <c r="D207" s="654"/>
      <c r="E207" s="654"/>
      <c r="F207" s="654"/>
      <c r="G207" s="654"/>
      <c r="H207" s="654"/>
      <c r="I207" s="654"/>
      <c r="J207" s="654"/>
      <c r="K207" s="654"/>
      <c r="L207" s="658"/>
      <c r="M207" s="654"/>
      <c r="N207" s="654"/>
      <c r="O207" s="654"/>
      <c r="P207" s="654"/>
      <c r="Q207" s="654"/>
      <c r="R207" s="654"/>
      <c r="S207" s="432"/>
      <c r="T207" s="432"/>
      <c r="U207" s="432"/>
      <c r="V207" s="432"/>
    </row>
    <row r="208" spans="1:22" ht="21" customHeight="1">
      <c r="A208" s="654"/>
      <c r="B208" s="654"/>
      <c r="C208" s="654"/>
      <c r="D208" s="654"/>
      <c r="E208" s="654"/>
      <c r="F208" s="654"/>
      <c r="G208" s="654"/>
      <c r="H208" s="654"/>
      <c r="I208" s="654"/>
      <c r="J208" s="654"/>
      <c r="K208" s="654"/>
      <c r="L208" s="658"/>
      <c r="M208" s="654"/>
      <c r="N208" s="654"/>
      <c r="O208" s="654"/>
      <c r="P208" s="654"/>
      <c r="Q208" s="654"/>
      <c r="R208" s="654"/>
      <c r="S208" s="432"/>
      <c r="T208" s="432"/>
      <c r="U208" s="432"/>
      <c r="V208" s="432"/>
    </row>
    <row r="209" spans="1:22" ht="21" customHeight="1">
      <c r="A209" s="654"/>
      <c r="B209" s="654"/>
      <c r="C209" s="654"/>
      <c r="D209" s="654"/>
      <c r="E209" s="654"/>
      <c r="F209" s="654"/>
      <c r="G209" s="654"/>
      <c r="H209" s="654"/>
      <c r="I209" s="654"/>
      <c r="J209" s="654"/>
      <c r="K209" s="654"/>
      <c r="L209" s="658"/>
      <c r="M209" s="654"/>
      <c r="N209" s="654"/>
      <c r="O209" s="654"/>
      <c r="P209" s="654"/>
      <c r="Q209" s="654"/>
      <c r="R209" s="654"/>
      <c r="S209" s="432"/>
      <c r="T209" s="432"/>
      <c r="U209" s="432"/>
      <c r="V209" s="432"/>
    </row>
    <row r="210" spans="1:22" ht="21" customHeight="1">
      <c r="A210" s="654"/>
      <c r="B210" s="654"/>
      <c r="C210" s="654"/>
      <c r="D210" s="654"/>
      <c r="E210" s="654"/>
      <c r="F210" s="654"/>
      <c r="G210" s="654"/>
      <c r="H210" s="654"/>
      <c r="I210" s="654"/>
      <c r="J210" s="654"/>
      <c r="K210" s="654"/>
      <c r="L210" s="658"/>
      <c r="M210" s="654"/>
      <c r="N210" s="654"/>
      <c r="O210" s="654"/>
      <c r="P210" s="654"/>
      <c r="Q210" s="654"/>
      <c r="R210" s="654"/>
      <c r="S210" s="432"/>
      <c r="T210" s="432"/>
      <c r="U210" s="432"/>
      <c r="V210" s="432"/>
    </row>
    <row r="211" spans="1:22" ht="21" customHeight="1">
      <c r="A211" s="654"/>
      <c r="B211" s="654"/>
      <c r="C211" s="654"/>
      <c r="D211" s="654"/>
      <c r="E211" s="654"/>
      <c r="F211" s="654"/>
      <c r="G211" s="654"/>
      <c r="H211" s="654"/>
      <c r="I211" s="654"/>
      <c r="J211" s="654"/>
      <c r="K211" s="654"/>
      <c r="L211" s="658"/>
      <c r="M211" s="654"/>
      <c r="N211" s="654"/>
      <c r="O211" s="654"/>
      <c r="P211" s="654"/>
      <c r="Q211" s="654"/>
      <c r="R211" s="654"/>
      <c r="S211" s="432"/>
      <c r="T211" s="432"/>
      <c r="U211" s="432"/>
      <c r="V211" s="432"/>
    </row>
    <row r="212" spans="1:22" ht="21" customHeight="1">
      <c r="A212" s="654"/>
      <c r="B212" s="654"/>
      <c r="C212" s="654"/>
      <c r="D212" s="654"/>
      <c r="E212" s="654"/>
      <c r="F212" s="654"/>
      <c r="G212" s="654"/>
      <c r="H212" s="654"/>
      <c r="I212" s="654"/>
      <c r="J212" s="654"/>
      <c r="K212" s="654"/>
      <c r="L212" s="658"/>
      <c r="M212" s="654"/>
      <c r="N212" s="654"/>
      <c r="O212" s="654"/>
      <c r="P212" s="654"/>
      <c r="Q212" s="654"/>
      <c r="R212" s="654"/>
      <c r="S212" s="432"/>
      <c r="T212" s="432"/>
      <c r="U212" s="432"/>
      <c r="V212" s="432"/>
    </row>
    <row r="213" spans="1:22" ht="21" customHeight="1">
      <c r="A213" s="654"/>
      <c r="B213" s="654"/>
      <c r="C213" s="654"/>
      <c r="D213" s="654"/>
      <c r="E213" s="654"/>
      <c r="F213" s="654"/>
      <c r="G213" s="654"/>
      <c r="H213" s="654"/>
      <c r="I213" s="654"/>
      <c r="J213" s="654"/>
      <c r="K213" s="654"/>
      <c r="L213" s="658"/>
      <c r="M213" s="654"/>
      <c r="N213" s="654"/>
      <c r="O213" s="654"/>
      <c r="P213" s="654"/>
      <c r="Q213" s="654"/>
      <c r="R213" s="654"/>
      <c r="S213" s="432"/>
      <c r="T213" s="432"/>
      <c r="U213" s="432"/>
      <c r="V213" s="432"/>
    </row>
    <row r="214" spans="1:22" ht="21" customHeight="1">
      <c r="A214" s="654"/>
      <c r="B214" s="654"/>
      <c r="C214" s="654"/>
      <c r="D214" s="654"/>
      <c r="E214" s="654"/>
      <c r="F214" s="654"/>
      <c r="G214" s="654"/>
      <c r="H214" s="654"/>
      <c r="I214" s="654"/>
      <c r="J214" s="654"/>
      <c r="K214" s="654"/>
      <c r="L214" s="658"/>
      <c r="M214" s="654"/>
      <c r="N214" s="654"/>
      <c r="O214" s="654"/>
      <c r="P214" s="654"/>
      <c r="Q214" s="654"/>
      <c r="R214" s="654"/>
      <c r="S214" s="432"/>
      <c r="T214" s="432"/>
      <c r="U214" s="432"/>
      <c r="V214" s="432"/>
    </row>
    <row r="215" spans="1:22" ht="21" customHeight="1">
      <c r="A215" s="654"/>
      <c r="B215" s="654"/>
      <c r="C215" s="654"/>
      <c r="D215" s="654"/>
      <c r="E215" s="654"/>
      <c r="F215" s="654"/>
      <c r="G215" s="654"/>
      <c r="H215" s="654"/>
      <c r="I215" s="654"/>
      <c r="J215" s="654"/>
      <c r="K215" s="654"/>
      <c r="L215" s="658"/>
      <c r="M215" s="654"/>
      <c r="N215" s="654"/>
      <c r="O215" s="654"/>
      <c r="P215" s="654"/>
      <c r="Q215" s="654"/>
      <c r="R215" s="654"/>
      <c r="S215" s="432"/>
      <c r="T215" s="432"/>
      <c r="U215" s="432"/>
      <c r="V215" s="432"/>
    </row>
    <row r="216" spans="1:22" ht="21" customHeight="1">
      <c r="A216" s="654"/>
      <c r="B216" s="654"/>
      <c r="C216" s="654"/>
      <c r="D216" s="654"/>
      <c r="E216" s="654"/>
      <c r="F216" s="654"/>
      <c r="G216" s="654"/>
      <c r="H216" s="654"/>
      <c r="I216" s="654"/>
      <c r="J216" s="654"/>
      <c r="K216" s="654"/>
      <c r="L216" s="658"/>
      <c r="M216" s="654"/>
      <c r="N216" s="654"/>
      <c r="O216" s="654"/>
      <c r="P216" s="654"/>
      <c r="Q216" s="654"/>
      <c r="R216" s="654"/>
      <c r="S216" s="432"/>
      <c r="T216" s="432"/>
      <c r="U216" s="432"/>
      <c r="V216" s="432"/>
    </row>
    <row r="217" spans="1:22" ht="21" customHeight="1">
      <c r="A217" s="654"/>
      <c r="B217" s="654"/>
      <c r="C217" s="654"/>
      <c r="D217" s="654"/>
      <c r="E217" s="654"/>
      <c r="F217" s="654"/>
      <c r="G217" s="654"/>
      <c r="H217" s="654"/>
      <c r="I217" s="654"/>
      <c r="J217" s="654"/>
      <c r="K217" s="654"/>
      <c r="L217" s="658"/>
      <c r="M217" s="654"/>
      <c r="N217" s="654"/>
      <c r="O217" s="654"/>
      <c r="P217" s="654"/>
      <c r="Q217" s="654"/>
      <c r="R217" s="654"/>
      <c r="S217" s="432"/>
      <c r="T217" s="432"/>
      <c r="U217" s="432"/>
      <c r="V217" s="432"/>
    </row>
    <row r="218" spans="1:22" ht="21" customHeight="1">
      <c r="A218" s="654"/>
      <c r="B218" s="654"/>
      <c r="C218" s="654"/>
      <c r="D218" s="654"/>
      <c r="E218" s="654"/>
      <c r="F218" s="654"/>
      <c r="G218" s="654"/>
      <c r="H218" s="654"/>
      <c r="I218" s="654"/>
      <c r="J218" s="654"/>
      <c r="K218" s="654"/>
      <c r="L218" s="658"/>
      <c r="M218" s="654"/>
      <c r="N218" s="654"/>
      <c r="O218" s="654"/>
      <c r="P218" s="654"/>
      <c r="Q218" s="654"/>
      <c r="R218" s="654"/>
      <c r="S218" s="432"/>
      <c r="T218" s="432"/>
      <c r="U218" s="432"/>
      <c r="V218" s="432"/>
    </row>
    <row r="219" spans="1:22" ht="21" customHeight="1">
      <c r="A219" s="654"/>
      <c r="B219" s="654"/>
      <c r="C219" s="654"/>
      <c r="D219" s="654"/>
      <c r="E219" s="654"/>
      <c r="F219" s="654"/>
      <c r="G219" s="654"/>
      <c r="H219" s="654"/>
      <c r="I219" s="654"/>
      <c r="J219" s="654"/>
      <c r="K219" s="654"/>
      <c r="L219" s="658"/>
      <c r="M219" s="654"/>
      <c r="N219" s="654"/>
      <c r="O219" s="654"/>
      <c r="P219" s="654"/>
      <c r="Q219" s="654"/>
      <c r="R219" s="654"/>
      <c r="S219" s="432"/>
      <c r="T219" s="432"/>
      <c r="U219" s="432"/>
      <c r="V219" s="432"/>
    </row>
    <row r="220" spans="1:22" ht="21" customHeight="1">
      <c r="A220" s="654"/>
      <c r="B220" s="654"/>
      <c r="C220" s="654"/>
      <c r="D220" s="654"/>
      <c r="E220" s="654"/>
      <c r="F220" s="654"/>
      <c r="G220" s="654"/>
      <c r="H220" s="654"/>
      <c r="I220" s="654"/>
      <c r="J220" s="654"/>
      <c r="K220" s="654"/>
      <c r="L220" s="658"/>
      <c r="M220" s="654"/>
      <c r="N220" s="654"/>
      <c r="O220" s="654"/>
      <c r="P220" s="654"/>
      <c r="Q220" s="654"/>
      <c r="R220" s="654"/>
      <c r="S220" s="432"/>
      <c r="T220" s="432"/>
      <c r="U220" s="432"/>
      <c r="V220" s="432"/>
    </row>
    <row r="221" spans="1:22" ht="21" customHeight="1">
      <c r="A221" s="654"/>
      <c r="B221" s="654"/>
      <c r="C221" s="654"/>
      <c r="D221" s="654"/>
      <c r="E221" s="654"/>
      <c r="F221" s="654"/>
      <c r="G221" s="654"/>
      <c r="H221" s="654"/>
      <c r="I221" s="654"/>
      <c r="J221" s="654"/>
      <c r="K221" s="654"/>
      <c r="L221" s="658"/>
      <c r="M221" s="654"/>
      <c r="N221" s="654"/>
      <c r="O221" s="654"/>
      <c r="P221" s="654"/>
      <c r="Q221" s="654"/>
      <c r="R221" s="654"/>
      <c r="S221" s="432"/>
      <c r="T221" s="432"/>
      <c r="U221" s="432"/>
      <c r="V221" s="432"/>
    </row>
    <row r="222" spans="1:22" ht="21" customHeight="1">
      <c r="A222" s="654"/>
      <c r="B222" s="654"/>
      <c r="C222" s="654"/>
      <c r="D222" s="654"/>
      <c r="E222" s="654"/>
      <c r="F222" s="654"/>
      <c r="G222" s="654"/>
      <c r="H222" s="654"/>
      <c r="I222" s="654"/>
      <c r="J222" s="654"/>
      <c r="K222" s="654"/>
      <c r="L222" s="658"/>
      <c r="M222" s="654"/>
      <c r="N222" s="654"/>
      <c r="O222" s="654"/>
      <c r="P222" s="654"/>
      <c r="Q222" s="654"/>
      <c r="R222" s="654"/>
      <c r="S222" s="432"/>
      <c r="T222" s="432"/>
      <c r="U222" s="432"/>
      <c r="V222" s="432"/>
    </row>
    <row r="223" spans="1:22" ht="21" customHeight="1">
      <c r="A223" s="654"/>
      <c r="B223" s="654"/>
      <c r="C223" s="654"/>
      <c r="D223" s="654"/>
      <c r="E223" s="654"/>
      <c r="F223" s="654"/>
      <c r="G223" s="654"/>
      <c r="H223" s="654"/>
      <c r="I223" s="654"/>
      <c r="J223" s="654"/>
      <c r="K223" s="654"/>
      <c r="L223" s="658"/>
      <c r="M223" s="654"/>
      <c r="N223" s="654"/>
      <c r="O223" s="654"/>
      <c r="P223" s="654"/>
      <c r="Q223" s="654"/>
      <c r="R223" s="654"/>
      <c r="S223" s="432"/>
      <c r="T223" s="432"/>
      <c r="U223" s="432"/>
      <c r="V223" s="432"/>
    </row>
    <row r="224" spans="1:22" ht="21" customHeight="1">
      <c r="A224" s="654"/>
      <c r="B224" s="654"/>
      <c r="C224" s="654"/>
      <c r="D224" s="654"/>
      <c r="E224" s="654"/>
      <c r="F224" s="654"/>
      <c r="G224" s="654"/>
      <c r="H224" s="654"/>
      <c r="I224" s="654"/>
      <c r="J224" s="654"/>
      <c r="K224" s="654"/>
      <c r="L224" s="658"/>
      <c r="M224" s="654"/>
      <c r="N224" s="654"/>
      <c r="O224" s="654"/>
      <c r="P224" s="654"/>
      <c r="Q224" s="654"/>
      <c r="R224" s="654"/>
      <c r="S224" s="432"/>
      <c r="T224" s="432"/>
      <c r="U224" s="432"/>
      <c r="V224" s="432"/>
    </row>
    <row r="225" spans="1:22" ht="21" customHeight="1">
      <c r="A225" s="654"/>
      <c r="B225" s="654"/>
      <c r="C225" s="654"/>
      <c r="D225" s="654"/>
      <c r="E225" s="654"/>
      <c r="F225" s="654"/>
      <c r="G225" s="654"/>
      <c r="H225" s="654"/>
      <c r="I225" s="654"/>
      <c r="J225" s="654"/>
      <c r="K225" s="654"/>
      <c r="L225" s="658"/>
      <c r="M225" s="654"/>
      <c r="N225" s="654"/>
      <c r="O225" s="654"/>
      <c r="P225" s="654"/>
      <c r="Q225" s="654"/>
      <c r="R225" s="654"/>
      <c r="S225" s="432"/>
      <c r="T225" s="432"/>
      <c r="U225" s="432"/>
      <c r="V225" s="432"/>
    </row>
    <row r="226" spans="1:22" ht="21" customHeight="1">
      <c r="A226" s="654"/>
      <c r="B226" s="654"/>
      <c r="C226" s="654"/>
      <c r="D226" s="654"/>
      <c r="E226" s="654"/>
      <c r="F226" s="654"/>
      <c r="G226" s="654"/>
      <c r="H226" s="654"/>
      <c r="I226" s="654"/>
      <c r="J226" s="654"/>
      <c r="K226" s="654"/>
      <c r="L226" s="658"/>
      <c r="M226" s="654"/>
      <c r="N226" s="654"/>
      <c r="O226" s="654"/>
      <c r="P226" s="654"/>
      <c r="Q226" s="654"/>
      <c r="R226" s="654"/>
      <c r="S226" s="432"/>
      <c r="T226" s="432"/>
      <c r="U226" s="432"/>
      <c r="V226" s="432"/>
    </row>
    <row r="227" spans="1:22" ht="21" customHeight="1">
      <c r="A227" s="654"/>
      <c r="B227" s="654"/>
      <c r="C227" s="654"/>
      <c r="D227" s="654"/>
      <c r="E227" s="654"/>
      <c r="F227" s="654"/>
      <c r="G227" s="654"/>
      <c r="H227" s="654"/>
      <c r="I227" s="654"/>
      <c r="J227" s="654"/>
      <c r="K227" s="654"/>
      <c r="L227" s="658"/>
      <c r="M227" s="654"/>
      <c r="N227" s="654"/>
      <c r="O227" s="654"/>
      <c r="P227" s="654"/>
      <c r="Q227" s="654"/>
      <c r="R227" s="654"/>
      <c r="S227" s="432"/>
      <c r="T227" s="432"/>
      <c r="U227" s="432"/>
      <c r="V227" s="432"/>
    </row>
    <row r="228" spans="1:22" ht="21" customHeight="1">
      <c r="A228" s="654"/>
      <c r="B228" s="654"/>
      <c r="C228" s="654"/>
      <c r="D228" s="654"/>
      <c r="E228" s="654"/>
      <c r="F228" s="654"/>
      <c r="G228" s="654"/>
      <c r="H228" s="654"/>
      <c r="I228" s="654"/>
      <c r="J228" s="654"/>
      <c r="K228" s="654"/>
      <c r="L228" s="658"/>
      <c r="M228" s="654"/>
      <c r="N228" s="654"/>
      <c r="O228" s="654"/>
      <c r="P228" s="654"/>
      <c r="Q228" s="654"/>
      <c r="R228" s="654"/>
      <c r="S228" s="432"/>
      <c r="T228" s="432"/>
      <c r="U228" s="432"/>
      <c r="V228" s="432"/>
    </row>
    <row r="229" spans="1:22" ht="21" customHeight="1">
      <c r="A229" s="654"/>
      <c r="B229" s="654"/>
      <c r="C229" s="654"/>
      <c r="D229" s="654"/>
      <c r="E229" s="654"/>
      <c r="F229" s="654"/>
      <c r="G229" s="654"/>
      <c r="H229" s="654"/>
      <c r="I229" s="654"/>
      <c r="J229" s="654"/>
      <c r="K229" s="654"/>
      <c r="L229" s="658"/>
      <c r="M229" s="654"/>
      <c r="N229" s="654"/>
      <c r="O229" s="654"/>
      <c r="P229" s="654"/>
      <c r="Q229" s="654"/>
      <c r="R229" s="654"/>
      <c r="S229" s="432"/>
      <c r="T229" s="432"/>
      <c r="U229" s="432"/>
      <c r="V229" s="432"/>
    </row>
    <row r="230" spans="1:22" ht="21" customHeight="1">
      <c r="A230" s="654"/>
      <c r="B230" s="654"/>
      <c r="C230" s="654"/>
      <c r="D230" s="654"/>
      <c r="E230" s="654"/>
      <c r="F230" s="654"/>
      <c r="G230" s="654"/>
      <c r="H230" s="654"/>
      <c r="I230" s="654"/>
      <c r="J230" s="654"/>
      <c r="K230" s="654"/>
      <c r="L230" s="658"/>
      <c r="M230" s="654"/>
      <c r="N230" s="654"/>
      <c r="O230" s="654"/>
      <c r="P230" s="654"/>
      <c r="Q230" s="654"/>
      <c r="R230" s="654"/>
      <c r="S230" s="432"/>
      <c r="T230" s="432"/>
      <c r="U230" s="432"/>
      <c r="V230" s="432"/>
    </row>
    <row r="231" spans="1:22" ht="21" customHeight="1">
      <c r="A231" s="654"/>
      <c r="B231" s="654"/>
      <c r="C231" s="654"/>
      <c r="D231" s="654"/>
      <c r="E231" s="654"/>
      <c r="F231" s="654"/>
      <c r="G231" s="654"/>
      <c r="H231" s="654"/>
      <c r="I231" s="654"/>
      <c r="J231" s="654"/>
      <c r="K231" s="654"/>
      <c r="L231" s="658"/>
      <c r="M231" s="654"/>
      <c r="N231" s="654"/>
      <c r="O231" s="654"/>
      <c r="P231" s="654"/>
      <c r="Q231" s="654"/>
      <c r="R231" s="654"/>
      <c r="S231" s="432"/>
      <c r="T231" s="432"/>
      <c r="U231" s="432"/>
      <c r="V231" s="432"/>
    </row>
    <row r="232" spans="1:22" ht="21" customHeight="1">
      <c r="A232" s="654"/>
      <c r="B232" s="654"/>
      <c r="C232" s="654"/>
      <c r="D232" s="654"/>
      <c r="E232" s="654"/>
      <c r="F232" s="654"/>
      <c r="G232" s="654"/>
      <c r="H232" s="654"/>
      <c r="I232" s="654"/>
      <c r="J232" s="654"/>
      <c r="K232" s="654"/>
      <c r="L232" s="658"/>
      <c r="M232" s="654"/>
      <c r="N232" s="654"/>
      <c r="O232" s="654"/>
      <c r="P232" s="654"/>
      <c r="Q232" s="654"/>
      <c r="R232" s="654"/>
      <c r="S232" s="432"/>
      <c r="T232" s="432"/>
      <c r="U232" s="432"/>
      <c r="V232" s="432"/>
    </row>
    <row r="233" spans="1:22" ht="21" customHeight="1">
      <c r="A233" s="654"/>
      <c r="B233" s="654"/>
      <c r="C233" s="654"/>
      <c r="D233" s="654"/>
      <c r="E233" s="654"/>
      <c r="F233" s="654"/>
      <c r="G233" s="654"/>
      <c r="H233" s="654"/>
      <c r="I233" s="654"/>
      <c r="J233" s="654"/>
      <c r="K233" s="654"/>
      <c r="L233" s="658"/>
      <c r="M233" s="654"/>
      <c r="N233" s="654"/>
      <c r="O233" s="654"/>
      <c r="P233" s="654"/>
      <c r="Q233" s="654"/>
      <c r="R233" s="654"/>
      <c r="S233" s="432"/>
      <c r="T233" s="432"/>
      <c r="U233" s="432"/>
      <c r="V233" s="432"/>
    </row>
    <row r="234" spans="1:22" ht="21" customHeight="1">
      <c r="A234" s="654"/>
      <c r="B234" s="654"/>
      <c r="C234" s="654"/>
      <c r="D234" s="654"/>
      <c r="E234" s="654"/>
      <c r="F234" s="654"/>
      <c r="G234" s="654"/>
      <c r="H234" s="654"/>
      <c r="I234" s="654"/>
      <c r="J234" s="654"/>
      <c r="K234" s="654"/>
      <c r="L234" s="658"/>
      <c r="M234" s="654"/>
      <c r="N234" s="654"/>
      <c r="O234" s="654"/>
      <c r="P234" s="654"/>
      <c r="Q234" s="654"/>
      <c r="R234" s="654"/>
      <c r="S234" s="432"/>
      <c r="T234" s="432"/>
      <c r="U234" s="432"/>
      <c r="V234" s="432"/>
    </row>
    <row r="235" spans="1:22" ht="21" customHeight="1">
      <c r="A235" s="654"/>
      <c r="B235" s="654"/>
      <c r="C235" s="654"/>
      <c r="D235" s="654"/>
      <c r="E235" s="654"/>
      <c r="F235" s="654"/>
      <c r="G235" s="654"/>
      <c r="H235" s="654"/>
      <c r="I235" s="654"/>
      <c r="J235" s="654"/>
      <c r="K235" s="654"/>
      <c r="L235" s="658"/>
      <c r="M235" s="654"/>
      <c r="N235" s="654"/>
      <c r="O235" s="654"/>
      <c r="P235" s="654"/>
      <c r="Q235" s="654"/>
      <c r="R235" s="654"/>
      <c r="S235" s="432"/>
      <c r="T235" s="432"/>
      <c r="U235" s="432"/>
      <c r="V235" s="432"/>
    </row>
    <row r="236" spans="1:22" ht="21" customHeight="1">
      <c r="A236" s="654"/>
      <c r="B236" s="654"/>
      <c r="C236" s="654"/>
      <c r="D236" s="654"/>
      <c r="E236" s="654"/>
      <c r="F236" s="654"/>
      <c r="G236" s="654"/>
      <c r="H236" s="654"/>
      <c r="I236" s="654"/>
      <c r="J236" s="654"/>
      <c r="K236" s="654"/>
      <c r="L236" s="658"/>
      <c r="M236" s="654"/>
      <c r="N236" s="654"/>
      <c r="O236" s="654"/>
      <c r="P236" s="654"/>
      <c r="Q236" s="654"/>
      <c r="R236" s="654"/>
      <c r="S236" s="432"/>
      <c r="T236" s="432"/>
      <c r="U236" s="432"/>
      <c r="V236" s="432"/>
    </row>
    <row r="237" spans="1:22" ht="21" customHeight="1">
      <c r="A237" s="654"/>
      <c r="B237" s="654"/>
      <c r="C237" s="654"/>
      <c r="D237" s="654"/>
      <c r="E237" s="654"/>
      <c r="F237" s="654"/>
      <c r="G237" s="654"/>
      <c r="H237" s="654"/>
      <c r="I237" s="654"/>
      <c r="J237" s="654"/>
      <c r="K237" s="654"/>
      <c r="L237" s="658"/>
      <c r="M237" s="654"/>
      <c r="N237" s="654"/>
      <c r="O237" s="654"/>
      <c r="P237" s="654"/>
      <c r="Q237" s="654"/>
      <c r="R237" s="654"/>
      <c r="S237" s="432"/>
      <c r="T237" s="432"/>
      <c r="U237" s="432"/>
      <c r="V237" s="432"/>
    </row>
    <row r="238" spans="1:22" ht="21" customHeight="1">
      <c r="A238" s="654"/>
      <c r="B238" s="654"/>
      <c r="C238" s="654"/>
      <c r="D238" s="654"/>
      <c r="E238" s="654"/>
      <c r="F238" s="654"/>
      <c r="G238" s="654"/>
      <c r="H238" s="654"/>
      <c r="I238" s="654"/>
      <c r="J238" s="654"/>
      <c r="K238" s="654"/>
      <c r="L238" s="658"/>
      <c r="M238" s="654"/>
      <c r="N238" s="654"/>
      <c r="O238" s="654"/>
      <c r="P238" s="654"/>
      <c r="Q238" s="654"/>
      <c r="R238" s="654"/>
      <c r="S238" s="432"/>
      <c r="T238" s="432"/>
      <c r="U238" s="432"/>
      <c r="V238" s="432"/>
    </row>
    <row r="239" spans="1:22" ht="21" customHeight="1">
      <c r="A239" s="654"/>
      <c r="B239" s="654"/>
      <c r="C239" s="654"/>
      <c r="D239" s="654"/>
      <c r="E239" s="654"/>
      <c r="F239" s="654"/>
      <c r="G239" s="654"/>
      <c r="H239" s="654"/>
      <c r="I239" s="654"/>
      <c r="J239" s="654"/>
      <c r="K239" s="654"/>
      <c r="L239" s="658"/>
      <c r="M239" s="654"/>
      <c r="N239" s="654"/>
      <c r="O239" s="654"/>
      <c r="P239" s="654"/>
      <c r="Q239" s="654"/>
      <c r="R239" s="654"/>
      <c r="S239" s="432"/>
      <c r="T239" s="432"/>
      <c r="U239" s="432"/>
      <c r="V239" s="432"/>
    </row>
    <row r="240" spans="1:22" ht="21" customHeight="1">
      <c r="A240" s="654"/>
      <c r="B240" s="654"/>
      <c r="C240" s="654"/>
      <c r="D240" s="654"/>
      <c r="E240" s="654"/>
      <c r="F240" s="654"/>
      <c r="G240" s="654"/>
      <c r="H240" s="654"/>
      <c r="I240" s="654"/>
      <c r="J240" s="654"/>
      <c r="K240" s="654"/>
      <c r="L240" s="658"/>
      <c r="M240" s="654"/>
      <c r="N240" s="654"/>
      <c r="O240" s="654"/>
      <c r="P240" s="654"/>
      <c r="Q240" s="654"/>
      <c r="R240" s="654"/>
      <c r="S240" s="432"/>
      <c r="T240" s="432"/>
      <c r="U240" s="432"/>
      <c r="V240" s="432"/>
    </row>
    <row r="241" spans="1:22" ht="21" customHeight="1">
      <c r="A241" s="654"/>
      <c r="B241" s="654"/>
      <c r="C241" s="654"/>
      <c r="D241" s="654"/>
      <c r="E241" s="654"/>
      <c r="F241" s="654"/>
      <c r="G241" s="654"/>
      <c r="H241" s="654"/>
      <c r="I241" s="654"/>
      <c r="J241" s="654"/>
      <c r="K241" s="654"/>
      <c r="L241" s="658"/>
      <c r="M241" s="654"/>
      <c r="N241" s="654"/>
      <c r="O241" s="654"/>
      <c r="P241" s="654"/>
      <c r="Q241" s="654"/>
      <c r="R241" s="654"/>
      <c r="S241" s="432"/>
      <c r="T241" s="432"/>
      <c r="U241" s="432"/>
      <c r="V241" s="432"/>
    </row>
    <row r="242" spans="1:22" ht="21" customHeight="1">
      <c r="A242" s="654"/>
      <c r="B242" s="654"/>
      <c r="C242" s="654"/>
      <c r="D242" s="654"/>
      <c r="E242" s="654"/>
      <c r="F242" s="654"/>
      <c r="G242" s="654"/>
      <c r="H242" s="654"/>
      <c r="I242" s="654"/>
      <c r="J242" s="654"/>
      <c r="K242" s="654"/>
      <c r="L242" s="658"/>
      <c r="M242" s="654"/>
      <c r="N242" s="654"/>
      <c r="O242" s="654"/>
      <c r="P242" s="654"/>
      <c r="Q242" s="654"/>
      <c r="R242" s="654"/>
      <c r="S242" s="432"/>
      <c r="T242" s="432"/>
      <c r="U242" s="432"/>
      <c r="V242" s="432"/>
    </row>
    <row r="243" spans="1:22" ht="21" customHeight="1">
      <c r="A243" s="654"/>
      <c r="B243" s="654"/>
      <c r="C243" s="654"/>
      <c r="D243" s="654"/>
      <c r="E243" s="654"/>
      <c r="F243" s="654"/>
      <c r="G243" s="654"/>
      <c r="H243" s="654"/>
      <c r="I243" s="654"/>
      <c r="J243" s="654"/>
      <c r="K243" s="654"/>
      <c r="L243" s="658"/>
      <c r="M243" s="654"/>
      <c r="N243" s="654"/>
      <c r="O243" s="654"/>
      <c r="P243" s="654"/>
      <c r="Q243" s="654"/>
      <c r="R243" s="654"/>
      <c r="S243" s="432"/>
      <c r="T243" s="432"/>
      <c r="U243" s="432"/>
      <c r="V243" s="432"/>
    </row>
    <row r="244" spans="1:22" ht="21" customHeight="1">
      <c r="A244" s="654"/>
      <c r="B244" s="654"/>
      <c r="C244" s="654"/>
      <c r="D244" s="654"/>
      <c r="E244" s="654"/>
      <c r="F244" s="654"/>
      <c r="G244" s="654"/>
      <c r="H244" s="654"/>
      <c r="I244" s="654"/>
      <c r="J244" s="654"/>
      <c r="K244" s="654"/>
      <c r="L244" s="658"/>
      <c r="M244" s="654"/>
      <c r="N244" s="654"/>
      <c r="O244" s="654"/>
      <c r="P244" s="654"/>
      <c r="Q244" s="654"/>
      <c r="R244" s="654"/>
      <c r="S244" s="432"/>
      <c r="T244" s="432"/>
      <c r="U244" s="432"/>
      <c r="V244" s="432"/>
    </row>
    <row r="245" spans="1:22" ht="21" customHeight="1">
      <c r="A245" s="654"/>
      <c r="B245" s="654"/>
      <c r="C245" s="654"/>
      <c r="D245" s="654"/>
      <c r="E245" s="654"/>
      <c r="F245" s="654"/>
      <c r="G245" s="654"/>
      <c r="H245" s="654"/>
      <c r="I245" s="654"/>
      <c r="J245" s="654"/>
      <c r="K245" s="654"/>
      <c r="L245" s="658"/>
      <c r="M245" s="654"/>
      <c r="N245" s="654"/>
      <c r="O245" s="654"/>
      <c r="P245" s="654"/>
      <c r="Q245" s="654"/>
      <c r="R245" s="654"/>
      <c r="S245" s="432"/>
      <c r="T245" s="432"/>
      <c r="U245" s="432"/>
      <c r="V245" s="432"/>
    </row>
    <row r="246" spans="1:22" ht="21" customHeight="1">
      <c r="A246" s="654"/>
      <c r="B246" s="654"/>
      <c r="C246" s="654"/>
      <c r="D246" s="654"/>
      <c r="E246" s="654"/>
      <c r="F246" s="654"/>
      <c r="G246" s="654"/>
      <c r="H246" s="654"/>
      <c r="I246" s="654"/>
      <c r="J246" s="654"/>
      <c r="K246" s="654"/>
      <c r="L246" s="658"/>
      <c r="M246" s="654"/>
      <c r="N246" s="654"/>
      <c r="O246" s="654"/>
      <c r="P246" s="654"/>
      <c r="Q246" s="654"/>
      <c r="R246" s="654"/>
      <c r="S246" s="432"/>
      <c r="T246" s="432"/>
      <c r="U246" s="432"/>
      <c r="V246" s="432"/>
    </row>
    <row r="247" spans="1:22" ht="21" customHeight="1">
      <c r="A247" s="654"/>
      <c r="B247" s="654"/>
      <c r="C247" s="654"/>
      <c r="D247" s="654"/>
      <c r="E247" s="654"/>
      <c r="F247" s="654"/>
      <c r="G247" s="654"/>
      <c r="H247" s="654"/>
      <c r="I247" s="654"/>
      <c r="J247" s="654"/>
      <c r="K247" s="654"/>
      <c r="L247" s="658"/>
      <c r="M247" s="654"/>
      <c r="N247" s="654"/>
      <c r="O247" s="654"/>
      <c r="P247" s="654"/>
      <c r="Q247" s="654"/>
      <c r="R247" s="654"/>
      <c r="S247" s="432"/>
      <c r="T247" s="432"/>
      <c r="U247" s="432"/>
      <c r="V247" s="432"/>
    </row>
    <row r="248" spans="1:22" ht="21" customHeight="1">
      <c r="A248" s="654"/>
      <c r="B248" s="654"/>
      <c r="C248" s="654"/>
      <c r="D248" s="654"/>
      <c r="E248" s="654"/>
      <c r="F248" s="654"/>
      <c r="G248" s="654"/>
      <c r="H248" s="654"/>
      <c r="I248" s="654"/>
      <c r="J248" s="654"/>
      <c r="K248" s="654"/>
      <c r="L248" s="658"/>
      <c r="M248" s="654"/>
      <c r="N248" s="654"/>
      <c r="O248" s="654"/>
      <c r="P248" s="654"/>
      <c r="Q248" s="654"/>
      <c r="R248" s="654"/>
      <c r="S248" s="432"/>
      <c r="T248" s="432"/>
      <c r="U248" s="432"/>
      <c r="V248" s="432"/>
    </row>
    <row r="249" spans="1:22" ht="21" customHeight="1">
      <c r="A249" s="654"/>
      <c r="B249" s="654"/>
      <c r="C249" s="654"/>
      <c r="D249" s="654"/>
      <c r="E249" s="654"/>
      <c r="F249" s="654"/>
      <c r="G249" s="654"/>
      <c r="H249" s="654"/>
      <c r="I249" s="654"/>
      <c r="J249" s="654"/>
      <c r="K249" s="654"/>
      <c r="L249" s="658"/>
      <c r="M249" s="654"/>
      <c r="N249" s="654"/>
      <c r="O249" s="654"/>
      <c r="P249" s="654"/>
      <c r="Q249" s="654"/>
      <c r="R249" s="654"/>
      <c r="S249" s="432"/>
      <c r="T249" s="432"/>
      <c r="U249" s="432"/>
      <c r="V249" s="432"/>
    </row>
    <row r="250" spans="1:22" ht="21" customHeight="1">
      <c r="A250" s="654"/>
      <c r="B250" s="654"/>
      <c r="C250" s="654"/>
      <c r="D250" s="654"/>
      <c r="E250" s="654"/>
      <c r="F250" s="654"/>
      <c r="G250" s="654"/>
      <c r="H250" s="654"/>
      <c r="I250" s="654"/>
      <c r="J250" s="654"/>
      <c r="K250" s="654"/>
      <c r="L250" s="658"/>
      <c r="M250" s="654"/>
      <c r="N250" s="654"/>
      <c r="O250" s="654"/>
      <c r="P250" s="654"/>
      <c r="Q250" s="654"/>
      <c r="R250" s="654"/>
      <c r="S250" s="432"/>
      <c r="T250" s="432"/>
      <c r="U250" s="432"/>
      <c r="V250" s="432"/>
    </row>
    <row r="251" spans="1:22" ht="21" customHeight="1">
      <c r="A251" s="654"/>
      <c r="B251" s="654"/>
      <c r="C251" s="654"/>
      <c r="D251" s="654"/>
      <c r="E251" s="654"/>
      <c r="F251" s="654"/>
      <c r="G251" s="654"/>
      <c r="H251" s="654"/>
      <c r="I251" s="654"/>
      <c r="J251" s="654"/>
      <c r="K251" s="654"/>
      <c r="L251" s="658"/>
      <c r="M251" s="654"/>
      <c r="N251" s="654"/>
      <c r="O251" s="654"/>
      <c r="P251" s="654"/>
      <c r="Q251" s="654"/>
      <c r="R251" s="654"/>
      <c r="S251" s="432"/>
      <c r="T251" s="432"/>
      <c r="U251" s="432"/>
      <c r="V251" s="432"/>
    </row>
    <row r="252" spans="1:22" ht="21" customHeight="1">
      <c r="A252" s="654"/>
      <c r="B252" s="654"/>
      <c r="C252" s="654"/>
      <c r="D252" s="654"/>
      <c r="E252" s="654"/>
      <c r="F252" s="654"/>
      <c r="G252" s="654"/>
      <c r="H252" s="654"/>
      <c r="I252" s="654"/>
      <c r="J252" s="654"/>
      <c r="K252" s="654"/>
      <c r="L252" s="658"/>
      <c r="M252" s="654"/>
      <c r="N252" s="654"/>
      <c r="O252" s="654"/>
      <c r="P252" s="654"/>
      <c r="Q252" s="654"/>
      <c r="R252" s="654"/>
      <c r="S252" s="432"/>
      <c r="T252" s="432"/>
      <c r="U252" s="432"/>
      <c r="V252" s="432"/>
    </row>
    <row r="253" spans="1:22" ht="21" customHeight="1">
      <c r="A253" s="654"/>
      <c r="B253" s="654"/>
      <c r="C253" s="654"/>
      <c r="D253" s="654"/>
      <c r="E253" s="654"/>
      <c r="F253" s="654"/>
      <c r="G253" s="654"/>
      <c r="H253" s="654"/>
      <c r="I253" s="654"/>
      <c r="J253" s="654"/>
      <c r="K253" s="654"/>
      <c r="L253" s="658"/>
      <c r="M253" s="654"/>
      <c r="N253" s="654"/>
      <c r="O253" s="654"/>
      <c r="P253" s="654"/>
      <c r="Q253" s="654"/>
      <c r="R253" s="654"/>
      <c r="S253" s="432"/>
      <c r="T253" s="432"/>
      <c r="U253" s="432"/>
      <c r="V253" s="432"/>
    </row>
    <row r="254" spans="1:22" ht="21" customHeight="1">
      <c r="A254" s="654"/>
      <c r="B254" s="654"/>
      <c r="C254" s="654"/>
      <c r="D254" s="654"/>
      <c r="E254" s="654"/>
      <c r="F254" s="654"/>
      <c r="G254" s="654"/>
      <c r="H254" s="654"/>
      <c r="I254" s="654"/>
      <c r="J254" s="654"/>
      <c r="K254" s="654"/>
      <c r="L254" s="658"/>
      <c r="M254" s="654"/>
      <c r="N254" s="654"/>
      <c r="O254" s="654"/>
      <c r="P254" s="654"/>
      <c r="Q254" s="654"/>
      <c r="R254" s="654"/>
      <c r="S254" s="432"/>
      <c r="T254" s="432"/>
      <c r="U254" s="432"/>
      <c r="V254" s="432"/>
    </row>
    <row r="255" spans="1:22" ht="21" customHeight="1">
      <c r="A255" s="654"/>
      <c r="B255" s="654"/>
      <c r="C255" s="654"/>
      <c r="D255" s="654"/>
      <c r="E255" s="654"/>
      <c r="F255" s="654"/>
      <c r="G255" s="654"/>
      <c r="H255" s="654"/>
      <c r="I255" s="654"/>
      <c r="J255" s="654"/>
      <c r="K255" s="654"/>
      <c r="L255" s="658"/>
      <c r="M255" s="654"/>
      <c r="N255" s="654"/>
      <c r="O255" s="654"/>
      <c r="P255" s="654"/>
      <c r="Q255" s="654"/>
      <c r="R255" s="654"/>
      <c r="S255" s="432"/>
      <c r="T255" s="432"/>
      <c r="U255" s="432"/>
      <c r="V255" s="432"/>
    </row>
    <row r="256" spans="1:22" ht="21" customHeight="1">
      <c r="A256" s="654"/>
      <c r="B256" s="654"/>
      <c r="C256" s="654"/>
      <c r="D256" s="654"/>
      <c r="E256" s="654"/>
      <c r="F256" s="654"/>
      <c r="G256" s="654"/>
      <c r="H256" s="654"/>
      <c r="I256" s="654"/>
      <c r="J256" s="654"/>
      <c r="K256" s="654"/>
      <c r="L256" s="658"/>
      <c r="M256" s="654"/>
      <c r="N256" s="654"/>
      <c r="O256" s="654"/>
      <c r="P256" s="654"/>
      <c r="Q256" s="654"/>
      <c r="R256" s="654"/>
      <c r="S256" s="432"/>
      <c r="T256" s="432"/>
      <c r="U256" s="432"/>
      <c r="V256" s="432"/>
    </row>
    <row r="257" spans="1:22" ht="21" customHeight="1">
      <c r="A257" s="654"/>
      <c r="B257" s="654"/>
      <c r="C257" s="654"/>
      <c r="D257" s="654"/>
      <c r="E257" s="654"/>
      <c r="F257" s="654"/>
      <c r="G257" s="654"/>
      <c r="H257" s="654"/>
      <c r="I257" s="654"/>
      <c r="J257" s="654"/>
      <c r="K257" s="654"/>
      <c r="L257" s="658"/>
      <c r="M257" s="654"/>
      <c r="N257" s="654"/>
      <c r="O257" s="654"/>
      <c r="P257" s="654"/>
      <c r="Q257" s="654"/>
      <c r="R257" s="654"/>
      <c r="S257" s="432"/>
      <c r="T257" s="432"/>
      <c r="U257" s="432"/>
      <c r="V257" s="432"/>
    </row>
    <row r="258" spans="1:22" ht="21" customHeight="1">
      <c r="A258" s="654"/>
      <c r="B258" s="654"/>
      <c r="C258" s="654"/>
      <c r="D258" s="654"/>
      <c r="E258" s="654"/>
      <c r="F258" s="654"/>
      <c r="G258" s="654"/>
      <c r="H258" s="654"/>
      <c r="I258" s="654"/>
      <c r="J258" s="654"/>
      <c r="K258" s="654"/>
      <c r="L258" s="658"/>
      <c r="M258" s="654"/>
      <c r="N258" s="654"/>
      <c r="O258" s="654"/>
      <c r="P258" s="654"/>
      <c r="Q258" s="654"/>
      <c r="R258" s="654"/>
      <c r="S258" s="432"/>
      <c r="T258" s="432"/>
      <c r="U258" s="432"/>
      <c r="V258" s="432"/>
    </row>
    <row r="259" spans="1:22" ht="21" customHeight="1">
      <c r="A259" s="654"/>
      <c r="B259" s="654"/>
      <c r="C259" s="654"/>
      <c r="D259" s="654"/>
      <c r="E259" s="654"/>
      <c r="F259" s="654"/>
      <c r="G259" s="654"/>
      <c r="H259" s="654"/>
      <c r="I259" s="654"/>
      <c r="J259" s="654"/>
      <c r="K259" s="654"/>
      <c r="L259" s="658"/>
      <c r="M259" s="654"/>
      <c r="N259" s="654"/>
      <c r="O259" s="654"/>
      <c r="P259" s="654"/>
      <c r="Q259" s="654"/>
      <c r="R259" s="654"/>
      <c r="S259" s="432"/>
      <c r="T259" s="432"/>
      <c r="U259" s="432"/>
      <c r="V259" s="432"/>
    </row>
    <row r="260" spans="1:22" ht="21" customHeight="1">
      <c r="A260" s="654"/>
      <c r="B260" s="654"/>
      <c r="C260" s="654"/>
      <c r="D260" s="654"/>
      <c r="E260" s="654"/>
      <c r="F260" s="654"/>
      <c r="G260" s="654"/>
      <c r="H260" s="654"/>
      <c r="I260" s="654"/>
      <c r="J260" s="654"/>
      <c r="K260" s="654"/>
      <c r="L260" s="658"/>
      <c r="M260" s="654"/>
      <c r="N260" s="654"/>
      <c r="O260" s="654"/>
      <c r="P260" s="654"/>
      <c r="Q260" s="654"/>
      <c r="R260" s="654"/>
      <c r="S260" s="432"/>
      <c r="T260" s="432"/>
      <c r="U260" s="432"/>
      <c r="V260" s="432"/>
    </row>
    <row r="261" spans="1:22" ht="21" customHeight="1">
      <c r="A261" s="654"/>
      <c r="B261" s="654"/>
      <c r="C261" s="654"/>
      <c r="D261" s="654"/>
      <c r="E261" s="654"/>
      <c r="F261" s="654"/>
      <c r="G261" s="654"/>
      <c r="H261" s="654"/>
      <c r="I261" s="654"/>
      <c r="J261" s="654"/>
      <c r="K261" s="654"/>
      <c r="L261" s="658"/>
      <c r="M261" s="654"/>
      <c r="N261" s="654"/>
      <c r="O261" s="654"/>
      <c r="P261" s="654"/>
      <c r="Q261" s="654"/>
      <c r="R261" s="654"/>
      <c r="S261" s="432"/>
      <c r="T261" s="432"/>
      <c r="U261" s="432"/>
      <c r="V261" s="432"/>
    </row>
    <row r="262" spans="1:22" ht="21" customHeight="1">
      <c r="A262" s="654"/>
      <c r="B262" s="654"/>
      <c r="C262" s="654"/>
      <c r="D262" s="654"/>
      <c r="E262" s="654"/>
      <c r="F262" s="654"/>
      <c r="G262" s="654"/>
      <c r="H262" s="654"/>
      <c r="I262" s="654"/>
      <c r="J262" s="654"/>
      <c r="K262" s="654"/>
      <c r="L262" s="658"/>
      <c r="M262" s="654"/>
      <c r="N262" s="654"/>
      <c r="O262" s="654"/>
      <c r="P262" s="654"/>
      <c r="Q262" s="654"/>
      <c r="R262" s="654"/>
      <c r="S262" s="432"/>
      <c r="T262" s="432"/>
      <c r="U262" s="432"/>
      <c r="V262" s="432"/>
    </row>
    <row r="263" spans="1:22" ht="21" customHeight="1">
      <c r="A263" s="654"/>
      <c r="B263" s="654"/>
      <c r="C263" s="654"/>
      <c r="D263" s="654"/>
      <c r="E263" s="654"/>
      <c r="F263" s="654"/>
      <c r="G263" s="654"/>
      <c r="H263" s="654"/>
      <c r="I263" s="654"/>
      <c r="J263" s="654"/>
      <c r="K263" s="654"/>
      <c r="L263" s="658"/>
      <c r="M263" s="654"/>
      <c r="N263" s="654"/>
      <c r="O263" s="654"/>
      <c r="P263" s="654"/>
      <c r="Q263" s="654"/>
      <c r="R263" s="654"/>
      <c r="S263" s="432"/>
      <c r="T263" s="432"/>
      <c r="U263" s="432"/>
      <c r="V263" s="432"/>
    </row>
    <row r="264" spans="1:22" ht="21" customHeight="1">
      <c r="A264" s="654"/>
      <c r="B264" s="654"/>
      <c r="C264" s="654"/>
      <c r="D264" s="654"/>
      <c r="E264" s="654"/>
      <c r="F264" s="654"/>
      <c r="G264" s="654"/>
      <c r="H264" s="654"/>
      <c r="I264" s="654"/>
      <c r="J264" s="654"/>
      <c r="K264" s="654"/>
      <c r="L264" s="658"/>
      <c r="M264" s="654"/>
      <c r="N264" s="654"/>
      <c r="O264" s="654"/>
      <c r="P264" s="654"/>
      <c r="Q264" s="654"/>
      <c r="R264" s="654"/>
      <c r="S264" s="432"/>
      <c r="T264" s="432"/>
      <c r="U264" s="432"/>
      <c r="V264" s="432"/>
    </row>
    <row r="265" spans="1:22" ht="21" customHeight="1">
      <c r="A265" s="654"/>
      <c r="B265" s="654"/>
      <c r="C265" s="654"/>
      <c r="D265" s="654"/>
      <c r="E265" s="654"/>
      <c r="F265" s="654"/>
      <c r="G265" s="654"/>
      <c r="H265" s="654"/>
      <c r="I265" s="654"/>
      <c r="J265" s="654"/>
      <c r="K265" s="654"/>
      <c r="L265" s="658"/>
      <c r="M265" s="654"/>
      <c r="N265" s="654"/>
      <c r="O265" s="654"/>
      <c r="P265" s="654"/>
      <c r="Q265" s="654"/>
      <c r="R265" s="654"/>
      <c r="S265" s="432"/>
      <c r="T265" s="432"/>
      <c r="U265" s="432"/>
      <c r="V265" s="432"/>
    </row>
    <row r="266" spans="1:22" ht="21" customHeight="1">
      <c r="A266" s="654"/>
      <c r="B266" s="654"/>
      <c r="C266" s="654"/>
      <c r="D266" s="654"/>
      <c r="E266" s="654"/>
      <c r="F266" s="654"/>
      <c r="G266" s="654"/>
      <c r="H266" s="654"/>
      <c r="I266" s="654"/>
      <c r="J266" s="654"/>
      <c r="K266" s="654"/>
      <c r="L266" s="658"/>
      <c r="M266" s="654"/>
      <c r="N266" s="654"/>
      <c r="O266" s="654"/>
      <c r="P266" s="654"/>
      <c r="Q266" s="654"/>
      <c r="R266" s="654"/>
      <c r="S266" s="432"/>
      <c r="T266" s="432"/>
      <c r="U266" s="432"/>
      <c r="V266" s="432"/>
    </row>
    <row r="267" spans="1:22" ht="21" customHeight="1">
      <c r="A267" s="654"/>
      <c r="B267" s="654"/>
      <c r="C267" s="654"/>
      <c r="D267" s="654"/>
      <c r="E267" s="654"/>
      <c r="F267" s="654"/>
      <c r="G267" s="654"/>
      <c r="H267" s="654"/>
      <c r="I267" s="654"/>
      <c r="J267" s="654"/>
      <c r="K267" s="654"/>
      <c r="L267" s="658"/>
      <c r="M267" s="654"/>
      <c r="N267" s="654"/>
      <c r="O267" s="654"/>
      <c r="P267" s="654"/>
      <c r="Q267" s="654"/>
      <c r="R267" s="654"/>
      <c r="S267" s="432"/>
      <c r="T267" s="432"/>
      <c r="U267" s="432"/>
      <c r="V267" s="432"/>
    </row>
    <row r="268" spans="1:22" ht="21" customHeight="1">
      <c r="A268" s="654"/>
      <c r="B268" s="654"/>
      <c r="C268" s="654"/>
      <c r="D268" s="654"/>
      <c r="E268" s="654"/>
      <c r="F268" s="654"/>
      <c r="G268" s="654"/>
      <c r="H268" s="654"/>
      <c r="I268" s="654"/>
      <c r="J268" s="654"/>
      <c r="K268" s="654"/>
      <c r="L268" s="658"/>
      <c r="M268" s="654"/>
      <c r="N268" s="654"/>
      <c r="O268" s="654"/>
      <c r="P268" s="654"/>
      <c r="Q268" s="654"/>
      <c r="R268" s="654"/>
      <c r="S268" s="432"/>
      <c r="T268" s="432"/>
      <c r="U268" s="432"/>
      <c r="V268" s="432"/>
    </row>
    <row r="269" spans="1:22" ht="21" customHeight="1">
      <c r="A269" s="654"/>
      <c r="B269" s="654"/>
      <c r="C269" s="654"/>
      <c r="D269" s="654"/>
      <c r="E269" s="654"/>
      <c r="F269" s="654"/>
      <c r="G269" s="654"/>
      <c r="H269" s="654"/>
      <c r="I269" s="654"/>
      <c r="J269" s="654"/>
      <c r="K269" s="654"/>
      <c r="L269" s="658"/>
      <c r="M269" s="654"/>
      <c r="N269" s="654"/>
      <c r="O269" s="654"/>
      <c r="P269" s="654"/>
      <c r="Q269" s="654"/>
      <c r="R269" s="654"/>
      <c r="S269" s="432"/>
      <c r="T269" s="432"/>
      <c r="U269" s="432"/>
      <c r="V269" s="432"/>
    </row>
    <row r="270" spans="1:22" ht="21" customHeight="1">
      <c r="A270" s="654"/>
      <c r="B270" s="654"/>
      <c r="C270" s="654"/>
      <c r="D270" s="654"/>
      <c r="E270" s="654"/>
      <c r="F270" s="654"/>
      <c r="G270" s="654"/>
      <c r="H270" s="654"/>
      <c r="I270" s="654"/>
      <c r="J270" s="654"/>
      <c r="K270" s="654"/>
      <c r="L270" s="658"/>
      <c r="M270" s="654"/>
      <c r="N270" s="654"/>
      <c r="O270" s="654"/>
      <c r="P270" s="654"/>
      <c r="Q270" s="654"/>
      <c r="R270" s="654"/>
      <c r="S270" s="432"/>
      <c r="T270" s="432"/>
      <c r="U270" s="432"/>
      <c r="V270" s="432"/>
    </row>
    <row r="271" spans="1:22" ht="21" customHeight="1">
      <c r="A271" s="654"/>
      <c r="B271" s="654"/>
      <c r="C271" s="654"/>
      <c r="D271" s="654"/>
      <c r="E271" s="654"/>
      <c r="F271" s="654"/>
      <c r="G271" s="654"/>
      <c r="H271" s="654"/>
      <c r="I271" s="654"/>
      <c r="J271" s="654"/>
      <c r="K271" s="654"/>
      <c r="L271" s="658"/>
      <c r="M271" s="654"/>
      <c r="N271" s="654"/>
      <c r="O271" s="654"/>
      <c r="P271" s="654"/>
      <c r="Q271" s="654"/>
      <c r="R271" s="654"/>
      <c r="S271" s="432"/>
      <c r="T271" s="432"/>
      <c r="U271" s="432"/>
      <c r="V271" s="432"/>
    </row>
    <row r="272" spans="1:22" ht="21" customHeight="1">
      <c r="A272" s="654"/>
      <c r="B272" s="654"/>
      <c r="C272" s="654"/>
      <c r="D272" s="654"/>
      <c r="E272" s="654"/>
      <c r="F272" s="654"/>
      <c r="G272" s="654"/>
      <c r="H272" s="654"/>
      <c r="I272" s="654"/>
      <c r="J272" s="654"/>
      <c r="K272" s="654"/>
      <c r="L272" s="658"/>
      <c r="M272" s="654"/>
      <c r="N272" s="654"/>
      <c r="O272" s="654"/>
      <c r="P272" s="654"/>
      <c r="Q272" s="654"/>
      <c r="R272" s="654"/>
      <c r="S272" s="432"/>
      <c r="T272" s="432"/>
      <c r="U272" s="432"/>
      <c r="V272" s="432"/>
    </row>
    <row r="273" spans="1:22" ht="21" customHeight="1">
      <c r="A273" s="654"/>
      <c r="B273" s="654"/>
      <c r="C273" s="654"/>
      <c r="D273" s="654"/>
      <c r="E273" s="654"/>
      <c r="F273" s="654"/>
      <c r="G273" s="654"/>
      <c r="H273" s="654"/>
      <c r="I273" s="654"/>
      <c r="J273" s="654"/>
      <c r="K273" s="654"/>
      <c r="L273" s="658"/>
      <c r="M273" s="654"/>
      <c r="N273" s="654"/>
      <c r="O273" s="654"/>
      <c r="P273" s="654"/>
      <c r="Q273" s="654"/>
      <c r="R273" s="654"/>
      <c r="S273" s="432"/>
      <c r="T273" s="432"/>
      <c r="U273" s="432"/>
      <c r="V273" s="432"/>
    </row>
    <row r="274" spans="1:22" ht="21" customHeight="1">
      <c r="A274" s="654"/>
      <c r="B274" s="654"/>
      <c r="C274" s="654"/>
      <c r="D274" s="654"/>
      <c r="E274" s="654"/>
      <c r="F274" s="654"/>
      <c r="G274" s="654"/>
      <c r="H274" s="654"/>
      <c r="I274" s="654"/>
      <c r="J274" s="654"/>
      <c r="K274" s="654"/>
      <c r="L274" s="658"/>
      <c r="M274" s="654"/>
      <c r="N274" s="654"/>
      <c r="O274" s="654"/>
      <c r="P274" s="654"/>
      <c r="Q274" s="654"/>
      <c r="R274" s="654"/>
      <c r="S274" s="432"/>
      <c r="T274" s="432"/>
      <c r="U274" s="432"/>
      <c r="V274" s="432"/>
    </row>
    <row r="275" spans="1:22" ht="21" customHeight="1">
      <c r="A275" s="654"/>
      <c r="B275" s="654"/>
      <c r="C275" s="654"/>
      <c r="D275" s="654"/>
      <c r="E275" s="654"/>
      <c r="F275" s="654"/>
      <c r="G275" s="654"/>
      <c r="H275" s="654"/>
      <c r="I275" s="654"/>
      <c r="J275" s="654"/>
      <c r="K275" s="654"/>
      <c r="L275" s="658"/>
      <c r="M275" s="654"/>
      <c r="N275" s="654"/>
      <c r="O275" s="654"/>
      <c r="P275" s="654"/>
      <c r="Q275" s="654"/>
      <c r="R275" s="654"/>
      <c r="S275" s="432"/>
      <c r="T275" s="432"/>
      <c r="U275" s="432"/>
      <c r="V275" s="432"/>
    </row>
    <row r="276" spans="1:22" ht="21" customHeight="1">
      <c r="A276" s="654"/>
      <c r="B276" s="654"/>
      <c r="C276" s="654"/>
      <c r="D276" s="654"/>
      <c r="E276" s="654"/>
      <c r="F276" s="654"/>
      <c r="G276" s="654"/>
      <c r="H276" s="654"/>
      <c r="I276" s="654"/>
      <c r="J276" s="654"/>
      <c r="K276" s="654"/>
      <c r="L276" s="658"/>
      <c r="M276" s="654"/>
      <c r="N276" s="654"/>
      <c r="O276" s="654"/>
      <c r="P276" s="654"/>
      <c r="Q276" s="654"/>
      <c r="R276" s="654"/>
      <c r="S276" s="432"/>
      <c r="T276" s="432"/>
      <c r="U276" s="432"/>
      <c r="V276" s="432"/>
    </row>
    <row r="277" spans="1:22" ht="21" customHeight="1">
      <c r="A277" s="654"/>
      <c r="B277" s="654"/>
      <c r="C277" s="654"/>
      <c r="D277" s="654"/>
      <c r="E277" s="654"/>
      <c r="F277" s="654"/>
      <c r="G277" s="654"/>
      <c r="H277" s="654"/>
      <c r="I277" s="654"/>
      <c r="J277" s="654"/>
      <c r="K277" s="654"/>
      <c r="L277" s="658"/>
      <c r="M277" s="654"/>
      <c r="N277" s="654"/>
      <c r="O277" s="654"/>
      <c r="P277" s="654"/>
      <c r="Q277" s="654"/>
      <c r="R277" s="654"/>
      <c r="S277" s="432"/>
      <c r="T277" s="432"/>
      <c r="U277" s="432"/>
      <c r="V277" s="432"/>
    </row>
    <row r="278" spans="1:22" ht="21" customHeight="1">
      <c r="A278" s="654"/>
      <c r="B278" s="654"/>
      <c r="C278" s="654"/>
      <c r="D278" s="654"/>
      <c r="E278" s="654"/>
      <c r="F278" s="654"/>
      <c r="G278" s="654"/>
      <c r="H278" s="654"/>
      <c r="I278" s="654"/>
      <c r="J278" s="654"/>
      <c r="K278" s="654"/>
      <c r="L278" s="658"/>
      <c r="M278" s="654"/>
      <c r="N278" s="654"/>
      <c r="O278" s="654"/>
      <c r="P278" s="654"/>
      <c r="Q278" s="654"/>
      <c r="R278" s="654"/>
      <c r="S278" s="432"/>
      <c r="T278" s="432"/>
      <c r="U278" s="432"/>
      <c r="V278" s="432"/>
    </row>
    <row r="279" spans="1:22" ht="21" customHeight="1">
      <c r="A279" s="654"/>
      <c r="B279" s="654"/>
      <c r="C279" s="654"/>
      <c r="D279" s="654"/>
      <c r="E279" s="654"/>
      <c r="F279" s="654"/>
      <c r="G279" s="654"/>
      <c r="H279" s="654"/>
      <c r="I279" s="654"/>
      <c r="J279" s="654"/>
      <c r="K279" s="654"/>
      <c r="L279" s="658"/>
      <c r="M279" s="654"/>
      <c r="N279" s="654"/>
      <c r="O279" s="654"/>
      <c r="P279" s="654"/>
      <c r="Q279" s="654"/>
      <c r="R279" s="654"/>
      <c r="S279" s="432"/>
      <c r="T279" s="432"/>
      <c r="U279" s="432"/>
      <c r="V279" s="432"/>
    </row>
    <row r="280" spans="1:22" ht="21" customHeight="1">
      <c r="A280" s="654"/>
      <c r="B280" s="654"/>
      <c r="C280" s="654"/>
      <c r="D280" s="654"/>
      <c r="E280" s="654"/>
      <c r="F280" s="654"/>
      <c r="G280" s="654"/>
      <c r="H280" s="654"/>
      <c r="I280" s="654"/>
      <c r="J280" s="654"/>
      <c r="K280" s="654"/>
      <c r="L280" s="658"/>
      <c r="M280" s="654"/>
      <c r="N280" s="654"/>
      <c r="O280" s="654"/>
      <c r="P280" s="654"/>
      <c r="Q280" s="654"/>
      <c r="R280" s="654"/>
      <c r="S280" s="432"/>
      <c r="T280" s="432"/>
      <c r="U280" s="432"/>
      <c r="V280" s="432"/>
    </row>
    <row r="281" spans="1:22" ht="21" customHeight="1">
      <c r="A281" s="654"/>
      <c r="B281" s="654"/>
      <c r="C281" s="654"/>
      <c r="D281" s="654"/>
      <c r="E281" s="654"/>
      <c r="F281" s="654"/>
      <c r="G281" s="654"/>
      <c r="H281" s="654"/>
      <c r="I281" s="654"/>
      <c r="J281" s="654"/>
      <c r="K281" s="654"/>
      <c r="L281" s="658"/>
      <c r="M281" s="654"/>
      <c r="N281" s="654"/>
      <c r="O281" s="654"/>
      <c r="P281" s="654"/>
      <c r="Q281" s="654"/>
      <c r="R281" s="654"/>
      <c r="S281" s="432"/>
      <c r="T281" s="432"/>
      <c r="U281" s="432"/>
      <c r="V281" s="432"/>
    </row>
    <row r="282" spans="1:22" ht="21" customHeight="1">
      <c r="A282" s="654"/>
      <c r="B282" s="654"/>
      <c r="C282" s="654"/>
      <c r="D282" s="654"/>
      <c r="E282" s="654"/>
      <c r="F282" s="654"/>
      <c r="G282" s="654"/>
      <c r="H282" s="654"/>
      <c r="I282" s="654"/>
      <c r="J282" s="654"/>
      <c r="K282" s="654"/>
      <c r="L282" s="658"/>
      <c r="M282" s="654"/>
      <c r="N282" s="654"/>
      <c r="O282" s="654"/>
      <c r="P282" s="654"/>
      <c r="Q282" s="654"/>
      <c r="R282" s="654"/>
      <c r="S282" s="432"/>
      <c r="T282" s="432"/>
      <c r="U282" s="432"/>
      <c r="V282" s="432"/>
    </row>
    <row r="283" spans="1:22" ht="21" customHeight="1">
      <c r="A283" s="654"/>
      <c r="B283" s="654"/>
      <c r="C283" s="654"/>
      <c r="D283" s="654"/>
      <c r="E283" s="654"/>
      <c r="F283" s="654"/>
      <c r="G283" s="654"/>
      <c r="H283" s="654"/>
      <c r="I283" s="654"/>
      <c r="J283" s="654"/>
      <c r="K283" s="654"/>
      <c r="L283" s="658"/>
      <c r="M283" s="654"/>
      <c r="N283" s="654"/>
      <c r="O283" s="654"/>
      <c r="P283" s="654"/>
      <c r="Q283" s="654"/>
      <c r="R283" s="654"/>
      <c r="S283" s="432"/>
      <c r="T283" s="432"/>
      <c r="U283" s="432"/>
      <c r="V283" s="432"/>
    </row>
    <row r="284" spans="1:22" ht="21" customHeight="1">
      <c r="A284" s="654"/>
      <c r="B284" s="654"/>
      <c r="C284" s="654"/>
      <c r="D284" s="654"/>
      <c r="E284" s="654"/>
      <c r="F284" s="654"/>
      <c r="G284" s="654"/>
      <c r="H284" s="654"/>
      <c r="I284" s="654"/>
      <c r="J284" s="654"/>
      <c r="K284" s="654"/>
      <c r="L284" s="658"/>
      <c r="M284" s="654"/>
      <c r="N284" s="654"/>
      <c r="O284" s="654"/>
      <c r="P284" s="654"/>
      <c r="Q284" s="654"/>
      <c r="R284" s="654"/>
      <c r="S284" s="432"/>
      <c r="T284" s="432"/>
      <c r="U284" s="432"/>
      <c r="V284" s="432"/>
    </row>
    <row r="285" spans="1:22" ht="21" customHeight="1">
      <c r="A285" s="654"/>
      <c r="B285" s="654"/>
      <c r="C285" s="654"/>
      <c r="D285" s="654"/>
      <c r="E285" s="654"/>
      <c r="F285" s="654"/>
      <c r="G285" s="654"/>
      <c r="H285" s="654"/>
      <c r="I285" s="654"/>
      <c r="J285" s="654"/>
      <c r="K285" s="654"/>
      <c r="L285" s="658"/>
      <c r="M285" s="654"/>
      <c r="N285" s="654"/>
      <c r="O285" s="654"/>
      <c r="P285" s="654"/>
      <c r="Q285" s="654"/>
      <c r="R285" s="654"/>
      <c r="S285" s="432"/>
      <c r="T285" s="432"/>
      <c r="U285" s="432"/>
      <c r="V285" s="432"/>
    </row>
    <row r="286" spans="1:22" ht="21" customHeight="1">
      <c r="A286" s="654"/>
      <c r="B286" s="654"/>
      <c r="C286" s="654"/>
      <c r="D286" s="654"/>
      <c r="E286" s="654"/>
      <c r="F286" s="654"/>
      <c r="G286" s="654"/>
      <c r="H286" s="654"/>
      <c r="I286" s="654"/>
      <c r="J286" s="654"/>
      <c r="K286" s="654"/>
      <c r="L286" s="658"/>
      <c r="M286" s="654"/>
      <c r="N286" s="654"/>
      <c r="O286" s="654"/>
      <c r="P286" s="654"/>
      <c r="Q286" s="654"/>
      <c r="R286" s="654"/>
      <c r="S286" s="432"/>
      <c r="T286" s="432"/>
      <c r="U286" s="432"/>
      <c r="V286" s="432"/>
    </row>
    <row r="287" spans="1:22" ht="21" customHeight="1">
      <c r="A287" s="654"/>
      <c r="B287" s="654"/>
      <c r="C287" s="654"/>
      <c r="D287" s="654"/>
      <c r="E287" s="654"/>
      <c r="F287" s="654"/>
      <c r="G287" s="654"/>
      <c r="H287" s="654"/>
      <c r="I287" s="654"/>
      <c r="J287" s="654"/>
      <c r="K287" s="654"/>
      <c r="L287" s="658"/>
      <c r="M287" s="654"/>
      <c r="N287" s="654"/>
      <c r="O287" s="654"/>
      <c r="P287" s="654"/>
      <c r="Q287" s="654"/>
      <c r="R287" s="654"/>
      <c r="S287" s="432"/>
      <c r="T287" s="432"/>
      <c r="U287" s="432"/>
      <c r="V287" s="432"/>
    </row>
    <row r="288" spans="1:22" ht="21" customHeight="1">
      <c r="A288" s="654"/>
      <c r="B288" s="654"/>
      <c r="C288" s="654"/>
      <c r="D288" s="654"/>
      <c r="E288" s="654"/>
      <c r="F288" s="654"/>
      <c r="G288" s="654"/>
      <c r="H288" s="654"/>
      <c r="I288" s="654"/>
      <c r="J288" s="654"/>
      <c r="K288" s="654"/>
      <c r="L288" s="658"/>
      <c r="M288" s="654"/>
      <c r="N288" s="654"/>
      <c r="O288" s="654"/>
      <c r="P288" s="654"/>
      <c r="Q288" s="654"/>
      <c r="R288" s="654"/>
      <c r="S288" s="432"/>
      <c r="T288" s="432"/>
      <c r="U288" s="432"/>
      <c r="V288" s="432"/>
    </row>
    <row r="289" spans="1:22" ht="21" customHeight="1">
      <c r="A289" s="654"/>
      <c r="B289" s="654"/>
      <c r="C289" s="654"/>
      <c r="D289" s="654"/>
      <c r="E289" s="654"/>
      <c r="F289" s="654"/>
      <c r="G289" s="654"/>
      <c r="H289" s="654"/>
      <c r="I289" s="654"/>
      <c r="J289" s="654"/>
      <c r="K289" s="654"/>
      <c r="L289" s="658"/>
      <c r="M289" s="654"/>
      <c r="N289" s="654"/>
      <c r="O289" s="654"/>
      <c r="P289" s="654"/>
      <c r="Q289" s="654"/>
      <c r="R289" s="654"/>
      <c r="S289" s="432"/>
      <c r="T289" s="432"/>
      <c r="U289" s="432"/>
      <c r="V289" s="432"/>
    </row>
    <row r="290" spans="1:22" ht="21" customHeight="1">
      <c r="A290" s="654"/>
      <c r="B290" s="654"/>
      <c r="C290" s="654"/>
      <c r="D290" s="654"/>
      <c r="E290" s="654"/>
      <c r="F290" s="654"/>
      <c r="G290" s="654"/>
      <c r="H290" s="654"/>
      <c r="I290" s="654"/>
      <c r="J290" s="654"/>
      <c r="K290" s="654"/>
      <c r="L290" s="658"/>
      <c r="M290" s="654"/>
      <c r="N290" s="654"/>
      <c r="O290" s="654"/>
      <c r="P290" s="654"/>
      <c r="Q290" s="654"/>
      <c r="R290" s="654"/>
      <c r="S290" s="432"/>
      <c r="T290" s="432"/>
      <c r="U290" s="432"/>
      <c r="V290" s="432"/>
    </row>
    <row r="291" spans="1:22" ht="21" customHeight="1">
      <c r="A291" s="654"/>
      <c r="B291" s="654"/>
      <c r="C291" s="654"/>
      <c r="D291" s="654"/>
      <c r="E291" s="654"/>
      <c r="F291" s="654"/>
      <c r="G291" s="654"/>
      <c r="H291" s="654"/>
      <c r="I291" s="654"/>
      <c r="J291" s="654"/>
      <c r="K291" s="654"/>
      <c r="L291" s="658"/>
      <c r="M291" s="654"/>
      <c r="N291" s="654"/>
      <c r="O291" s="654"/>
      <c r="P291" s="654"/>
      <c r="Q291" s="654"/>
      <c r="R291" s="654"/>
      <c r="S291" s="432"/>
      <c r="T291" s="432"/>
      <c r="U291" s="432"/>
      <c r="V291" s="432"/>
    </row>
    <row r="292" spans="1:22" ht="21" customHeight="1">
      <c r="A292" s="654"/>
      <c r="B292" s="654"/>
      <c r="C292" s="654"/>
      <c r="D292" s="654"/>
      <c r="E292" s="654"/>
      <c r="F292" s="654"/>
      <c r="G292" s="654"/>
      <c r="H292" s="654"/>
      <c r="I292" s="654"/>
      <c r="J292" s="654"/>
      <c r="K292" s="654"/>
      <c r="L292" s="658"/>
      <c r="M292" s="654"/>
      <c r="N292" s="654"/>
      <c r="O292" s="654"/>
      <c r="P292" s="654"/>
      <c r="Q292" s="654"/>
      <c r="R292" s="654"/>
      <c r="S292" s="432"/>
      <c r="T292" s="432"/>
      <c r="U292" s="432"/>
      <c r="V292" s="432"/>
    </row>
    <row r="293" spans="1:22" ht="21" customHeight="1">
      <c r="A293" s="654"/>
      <c r="B293" s="654"/>
      <c r="C293" s="654"/>
      <c r="D293" s="654"/>
      <c r="E293" s="654"/>
      <c r="F293" s="654"/>
      <c r="G293" s="654"/>
      <c r="H293" s="654"/>
      <c r="I293" s="654"/>
      <c r="J293" s="654"/>
      <c r="K293" s="654"/>
      <c r="L293" s="658"/>
      <c r="M293" s="654"/>
      <c r="N293" s="654"/>
      <c r="O293" s="654"/>
      <c r="P293" s="654"/>
      <c r="Q293" s="654"/>
      <c r="R293" s="654"/>
      <c r="S293" s="432"/>
      <c r="T293" s="432"/>
      <c r="U293" s="432"/>
      <c r="V293" s="432"/>
    </row>
    <row r="294" spans="1:22" ht="21" customHeight="1">
      <c r="A294" s="654"/>
      <c r="B294" s="654"/>
      <c r="C294" s="654"/>
      <c r="D294" s="654"/>
      <c r="E294" s="654"/>
      <c r="F294" s="654"/>
      <c r="G294" s="654"/>
      <c r="H294" s="654"/>
      <c r="I294" s="654"/>
      <c r="J294" s="654"/>
      <c r="K294" s="654"/>
      <c r="L294" s="658"/>
      <c r="M294" s="654"/>
      <c r="N294" s="654"/>
      <c r="O294" s="654"/>
      <c r="P294" s="654"/>
      <c r="Q294" s="654"/>
      <c r="R294" s="654"/>
      <c r="S294" s="432"/>
      <c r="T294" s="432"/>
      <c r="U294" s="432"/>
      <c r="V294" s="432"/>
    </row>
    <row r="295" spans="1:22" ht="21" customHeight="1">
      <c r="A295" s="654"/>
      <c r="B295" s="654"/>
      <c r="C295" s="654"/>
      <c r="D295" s="654"/>
      <c r="E295" s="654"/>
      <c r="F295" s="654"/>
      <c r="G295" s="654"/>
      <c r="H295" s="654"/>
      <c r="I295" s="654"/>
      <c r="J295" s="654"/>
      <c r="K295" s="654"/>
      <c r="L295" s="658"/>
      <c r="M295" s="654"/>
      <c r="N295" s="654"/>
      <c r="O295" s="654"/>
      <c r="P295" s="654"/>
      <c r="Q295" s="654"/>
      <c r="R295" s="654"/>
      <c r="S295" s="432"/>
      <c r="T295" s="432"/>
      <c r="U295" s="432"/>
      <c r="V295" s="432"/>
    </row>
    <row r="296" spans="1:22" ht="21" customHeight="1">
      <c r="A296" s="654"/>
      <c r="B296" s="654"/>
      <c r="C296" s="654"/>
      <c r="D296" s="654"/>
      <c r="E296" s="654"/>
      <c r="F296" s="654"/>
      <c r="G296" s="654"/>
      <c r="H296" s="654"/>
      <c r="I296" s="654"/>
      <c r="J296" s="654"/>
      <c r="K296" s="654"/>
      <c r="L296" s="658"/>
      <c r="M296" s="654"/>
      <c r="N296" s="654"/>
      <c r="O296" s="654"/>
      <c r="P296" s="654"/>
      <c r="Q296" s="654"/>
      <c r="R296" s="654"/>
      <c r="S296" s="432"/>
      <c r="T296" s="432"/>
      <c r="U296" s="432"/>
      <c r="V296" s="432"/>
    </row>
    <row r="297" spans="1:22" ht="21" customHeight="1">
      <c r="A297" s="654"/>
      <c r="B297" s="654"/>
      <c r="C297" s="654"/>
      <c r="D297" s="654"/>
      <c r="E297" s="654"/>
      <c r="F297" s="654"/>
      <c r="G297" s="654"/>
      <c r="H297" s="654"/>
      <c r="I297" s="654"/>
      <c r="J297" s="654"/>
      <c r="K297" s="654"/>
      <c r="L297" s="658"/>
      <c r="M297" s="654"/>
      <c r="N297" s="654"/>
      <c r="O297" s="654"/>
      <c r="P297" s="654"/>
      <c r="Q297" s="654"/>
      <c r="R297" s="654"/>
      <c r="S297" s="432"/>
      <c r="T297" s="432"/>
      <c r="U297" s="432"/>
      <c r="V297" s="432"/>
    </row>
    <row r="298" spans="1:22" ht="21" customHeight="1">
      <c r="A298" s="654"/>
      <c r="B298" s="654"/>
      <c r="C298" s="654"/>
      <c r="D298" s="654"/>
      <c r="E298" s="654"/>
      <c r="F298" s="654"/>
      <c r="G298" s="654"/>
      <c r="H298" s="654"/>
      <c r="I298" s="654"/>
      <c r="J298" s="654"/>
      <c r="K298" s="654"/>
      <c r="L298" s="658"/>
      <c r="M298" s="654"/>
      <c r="N298" s="654"/>
      <c r="O298" s="654"/>
      <c r="P298" s="654"/>
      <c r="Q298" s="654"/>
      <c r="R298" s="654"/>
      <c r="S298" s="432"/>
      <c r="T298" s="432"/>
      <c r="U298" s="432"/>
      <c r="V298" s="432"/>
    </row>
    <row r="299" spans="1:22" ht="21" customHeight="1">
      <c r="A299" s="654"/>
      <c r="B299" s="654"/>
      <c r="C299" s="654"/>
      <c r="D299" s="654"/>
      <c r="E299" s="654"/>
      <c r="F299" s="654"/>
      <c r="G299" s="654"/>
      <c r="H299" s="654"/>
      <c r="I299" s="654"/>
      <c r="J299" s="654"/>
      <c r="K299" s="654"/>
      <c r="L299" s="658"/>
      <c r="M299" s="654"/>
      <c r="N299" s="654"/>
      <c r="O299" s="654"/>
      <c r="P299" s="654"/>
      <c r="Q299" s="654"/>
      <c r="R299" s="654"/>
      <c r="S299" s="432"/>
      <c r="T299" s="432"/>
      <c r="U299" s="432"/>
      <c r="V299" s="432"/>
    </row>
    <row r="300" spans="1:22" ht="21" customHeight="1">
      <c r="A300" s="654"/>
      <c r="B300" s="654"/>
      <c r="C300" s="654"/>
      <c r="D300" s="654"/>
      <c r="E300" s="654"/>
      <c r="F300" s="654"/>
      <c r="G300" s="654"/>
      <c r="H300" s="654"/>
      <c r="I300" s="654"/>
      <c r="J300" s="654"/>
      <c r="K300" s="654"/>
      <c r="L300" s="658"/>
      <c r="M300" s="654"/>
      <c r="N300" s="654"/>
      <c r="O300" s="654"/>
      <c r="P300" s="654"/>
      <c r="Q300" s="654"/>
      <c r="R300" s="654"/>
      <c r="S300" s="432"/>
      <c r="T300" s="432"/>
      <c r="U300" s="432"/>
      <c r="V300" s="432"/>
    </row>
    <row r="301" spans="1:22" ht="21" customHeight="1">
      <c r="A301" s="654"/>
      <c r="B301" s="654"/>
      <c r="C301" s="654"/>
      <c r="D301" s="654"/>
      <c r="E301" s="654"/>
      <c r="F301" s="654"/>
      <c r="G301" s="654"/>
      <c r="H301" s="654"/>
      <c r="I301" s="654"/>
      <c r="J301" s="654"/>
      <c r="K301" s="654"/>
      <c r="L301" s="658"/>
      <c r="M301" s="654"/>
      <c r="N301" s="654"/>
      <c r="O301" s="654"/>
      <c r="P301" s="654"/>
      <c r="Q301" s="654"/>
      <c r="R301" s="654"/>
      <c r="S301" s="432"/>
      <c r="T301" s="432"/>
      <c r="U301" s="432"/>
      <c r="V301" s="432"/>
    </row>
    <row r="302" spans="1:22" ht="21" customHeight="1">
      <c r="A302" s="654"/>
      <c r="B302" s="654"/>
      <c r="C302" s="654"/>
      <c r="D302" s="654"/>
      <c r="E302" s="654"/>
      <c r="F302" s="654"/>
      <c r="G302" s="654"/>
      <c r="H302" s="654"/>
      <c r="I302" s="654"/>
      <c r="J302" s="654"/>
      <c r="K302" s="654"/>
      <c r="L302" s="658"/>
      <c r="M302" s="654"/>
      <c r="N302" s="654"/>
      <c r="O302" s="654"/>
      <c r="P302" s="654"/>
      <c r="Q302" s="654"/>
      <c r="R302" s="654"/>
      <c r="S302" s="432"/>
      <c r="T302" s="432"/>
      <c r="U302" s="432"/>
      <c r="V302" s="432"/>
    </row>
    <row r="303" spans="1:22" ht="21" customHeight="1">
      <c r="A303" s="654"/>
      <c r="B303" s="654"/>
      <c r="C303" s="654"/>
      <c r="D303" s="654"/>
      <c r="E303" s="654"/>
      <c r="F303" s="654"/>
      <c r="G303" s="654"/>
      <c r="H303" s="654"/>
      <c r="I303" s="654"/>
      <c r="J303" s="654"/>
      <c r="K303" s="654"/>
      <c r="L303" s="658"/>
      <c r="M303" s="654"/>
      <c r="N303" s="654"/>
      <c r="O303" s="654"/>
      <c r="P303" s="654"/>
      <c r="Q303" s="654"/>
      <c r="R303" s="654"/>
      <c r="S303" s="432"/>
      <c r="T303" s="432"/>
      <c r="U303" s="432"/>
      <c r="V303" s="432"/>
    </row>
    <row r="304" spans="1:22" ht="21" customHeight="1">
      <c r="A304" s="654"/>
      <c r="B304" s="654"/>
      <c r="C304" s="654"/>
      <c r="D304" s="654"/>
      <c r="E304" s="654"/>
      <c r="F304" s="654"/>
      <c r="G304" s="654"/>
      <c r="H304" s="654"/>
      <c r="I304" s="654"/>
      <c r="J304" s="654"/>
      <c r="K304" s="654"/>
      <c r="L304" s="658"/>
      <c r="M304" s="654"/>
      <c r="N304" s="654"/>
      <c r="O304" s="654"/>
      <c r="P304" s="654"/>
      <c r="Q304" s="654"/>
      <c r="R304" s="654"/>
      <c r="S304" s="432"/>
      <c r="T304" s="432"/>
      <c r="U304" s="432"/>
      <c r="V304" s="432"/>
    </row>
    <row r="305" spans="1:22" ht="21" customHeight="1">
      <c r="A305" s="654"/>
      <c r="B305" s="654"/>
      <c r="C305" s="654"/>
      <c r="D305" s="654"/>
      <c r="E305" s="654"/>
      <c r="F305" s="654"/>
      <c r="G305" s="654"/>
      <c r="H305" s="654"/>
      <c r="I305" s="654"/>
      <c r="J305" s="654"/>
      <c r="K305" s="654"/>
      <c r="L305" s="658"/>
      <c r="M305" s="654"/>
      <c r="N305" s="654"/>
      <c r="O305" s="654"/>
      <c r="P305" s="654"/>
      <c r="Q305" s="654"/>
      <c r="R305" s="654"/>
      <c r="S305" s="432"/>
      <c r="T305" s="432"/>
      <c r="U305" s="432"/>
      <c r="V305" s="432"/>
    </row>
    <row r="306" spans="1:22" ht="21" customHeight="1">
      <c r="A306" s="654"/>
      <c r="B306" s="654"/>
      <c r="C306" s="654"/>
      <c r="D306" s="654"/>
      <c r="E306" s="654"/>
      <c r="F306" s="654"/>
      <c r="G306" s="654"/>
      <c r="H306" s="654"/>
      <c r="I306" s="654"/>
      <c r="J306" s="654"/>
      <c r="K306" s="654"/>
      <c r="L306" s="658"/>
      <c r="M306" s="654"/>
      <c r="N306" s="654"/>
      <c r="O306" s="654"/>
      <c r="P306" s="654"/>
      <c r="Q306" s="654"/>
      <c r="R306" s="654"/>
      <c r="S306" s="432"/>
      <c r="T306" s="432"/>
      <c r="U306" s="432"/>
      <c r="V306" s="432"/>
    </row>
    <row r="307" spans="1:22" ht="21" customHeight="1">
      <c r="A307" s="654"/>
      <c r="B307" s="654"/>
      <c r="C307" s="654"/>
      <c r="D307" s="654"/>
      <c r="E307" s="654"/>
      <c r="F307" s="654"/>
      <c r="G307" s="654"/>
      <c r="H307" s="654"/>
      <c r="I307" s="654"/>
      <c r="J307" s="654"/>
      <c r="K307" s="654"/>
      <c r="L307" s="658"/>
      <c r="M307" s="654"/>
      <c r="N307" s="654"/>
      <c r="O307" s="654"/>
      <c r="P307" s="654"/>
      <c r="Q307" s="654"/>
      <c r="R307" s="654"/>
      <c r="S307" s="432"/>
      <c r="T307" s="432"/>
      <c r="U307" s="432"/>
      <c r="V307" s="432"/>
    </row>
    <row r="308" spans="1:22" ht="21" customHeight="1">
      <c r="A308" s="654"/>
      <c r="B308" s="654"/>
      <c r="C308" s="654"/>
      <c r="D308" s="654"/>
      <c r="E308" s="654"/>
      <c r="F308" s="654"/>
      <c r="G308" s="654"/>
      <c r="H308" s="654"/>
      <c r="I308" s="654"/>
      <c r="J308" s="654"/>
      <c r="K308" s="654"/>
      <c r="L308" s="658"/>
      <c r="M308" s="654"/>
      <c r="N308" s="654"/>
      <c r="O308" s="654"/>
      <c r="P308" s="654"/>
      <c r="Q308" s="654"/>
      <c r="R308" s="654"/>
      <c r="S308" s="432"/>
      <c r="T308" s="432"/>
      <c r="U308" s="432"/>
      <c r="V308" s="432"/>
    </row>
    <row r="309" spans="1:22" ht="21" customHeight="1">
      <c r="A309" s="654"/>
      <c r="B309" s="654"/>
      <c r="C309" s="654"/>
      <c r="D309" s="654"/>
      <c r="E309" s="654"/>
      <c r="F309" s="654"/>
      <c r="G309" s="654"/>
      <c r="H309" s="654"/>
      <c r="I309" s="654"/>
      <c r="J309" s="654"/>
      <c r="K309" s="654"/>
      <c r="L309" s="658"/>
      <c r="M309" s="654"/>
      <c r="N309" s="654"/>
      <c r="O309" s="654"/>
      <c r="P309" s="654"/>
      <c r="Q309" s="654"/>
      <c r="R309" s="654"/>
      <c r="S309" s="432"/>
      <c r="T309" s="432"/>
      <c r="U309" s="432"/>
      <c r="V309" s="432"/>
    </row>
    <row r="310" spans="1:22" ht="21" customHeight="1">
      <c r="A310" s="654"/>
      <c r="B310" s="654"/>
      <c r="C310" s="654"/>
      <c r="D310" s="654"/>
      <c r="E310" s="654"/>
      <c r="F310" s="654"/>
      <c r="G310" s="654"/>
      <c r="H310" s="654"/>
      <c r="I310" s="654"/>
      <c r="J310" s="654"/>
      <c r="K310" s="654"/>
      <c r="L310" s="658"/>
      <c r="M310" s="654"/>
      <c r="N310" s="654"/>
      <c r="O310" s="654"/>
      <c r="P310" s="654"/>
      <c r="Q310" s="654"/>
      <c r="R310" s="654"/>
      <c r="S310" s="432"/>
      <c r="T310" s="432"/>
      <c r="U310" s="432"/>
      <c r="V310" s="432"/>
    </row>
    <row r="311" spans="1:22" ht="21" customHeight="1">
      <c r="A311" s="654"/>
      <c r="B311" s="654"/>
      <c r="C311" s="654"/>
      <c r="D311" s="654"/>
      <c r="E311" s="654"/>
      <c r="F311" s="654"/>
      <c r="G311" s="654"/>
      <c r="H311" s="654"/>
      <c r="I311" s="654"/>
      <c r="J311" s="654"/>
      <c r="K311" s="654"/>
      <c r="L311" s="658"/>
      <c r="M311" s="654"/>
      <c r="N311" s="654"/>
      <c r="O311" s="654"/>
      <c r="P311" s="654"/>
      <c r="Q311" s="654"/>
      <c r="R311" s="654"/>
      <c r="S311" s="432"/>
      <c r="T311" s="432"/>
      <c r="U311" s="432"/>
      <c r="V311" s="432"/>
    </row>
    <row r="312" spans="1:22" ht="21" customHeight="1">
      <c r="A312" s="654"/>
      <c r="B312" s="654"/>
      <c r="C312" s="654"/>
      <c r="D312" s="654"/>
      <c r="E312" s="654"/>
      <c r="F312" s="654"/>
      <c r="G312" s="654"/>
      <c r="H312" s="654"/>
      <c r="I312" s="654"/>
      <c r="J312" s="654"/>
      <c r="K312" s="654"/>
      <c r="L312" s="658"/>
      <c r="M312" s="654"/>
      <c r="N312" s="654"/>
      <c r="O312" s="654"/>
      <c r="P312" s="654"/>
      <c r="Q312" s="654"/>
      <c r="R312" s="654"/>
      <c r="S312" s="432"/>
      <c r="T312" s="432"/>
      <c r="U312" s="432"/>
      <c r="V312" s="432"/>
    </row>
    <row r="313" spans="1:22" ht="21" customHeight="1">
      <c r="A313" s="654"/>
      <c r="B313" s="654"/>
      <c r="C313" s="654"/>
      <c r="D313" s="654"/>
      <c r="E313" s="654"/>
      <c r="F313" s="654"/>
      <c r="G313" s="654"/>
      <c r="H313" s="654"/>
      <c r="I313" s="654"/>
      <c r="J313" s="654"/>
      <c r="K313" s="654"/>
      <c r="L313" s="658"/>
      <c r="M313" s="654"/>
      <c r="N313" s="654"/>
      <c r="O313" s="654"/>
      <c r="P313" s="654"/>
      <c r="Q313" s="654"/>
      <c r="R313" s="654"/>
      <c r="S313" s="432"/>
      <c r="T313" s="432"/>
      <c r="U313" s="432"/>
      <c r="V313" s="432"/>
    </row>
    <row r="314" spans="1:22" ht="21" customHeight="1">
      <c r="A314" s="654"/>
      <c r="B314" s="654"/>
      <c r="C314" s="654"/>
      <c r="D314" s="654"/>
      <c r="E314" s="654"/>
      <c r="F314" s="654"/>
      <c r="G314" s="654"/>
      <c r="H314" s="654"/>
      <c r="I314" s="654"/>
      <c r="J314" s="654"/>
      <c r="K314" s="654"/>
      <c r="L314" s="658"/>
      <c r="M314" s="654"/>
      <c r="N314" s="654"/>
      <c r="O314" s="654"/>
      <c r="P314" s="654"/>
      <c r="Q314" s="654"/>
      <c r="R314" s="654"/>
      <c r="S314" s="432"/>
      <c r="T314" s="432"/>
      <c r="U314" s="432"/>
      <c r="V314" s="432"/>
    </row>
    <row r="315" spans="1:22" ht="21" customHeight="1">
      <c r="A315" s="654"/>
      <c r="B315" s="654"/>
      <c r="C315" s="654"/>
      <c r="D315" s="654"/>
      <c r="E315" s="654"/>
      <c r="F315" s="654"/>
      <c r="G315" s="654"/>
      <c r="H315" s="654"/>
      <c r="I315" s="654"/>
      <c r="J315" s="654"/>
      <c r="K315" s="654"/>
      <c r="L315" s="658"/>
      <c r="M315" s="654"/>
      <c r="N315" s="654"/>
      <c r="O315" s="654"/>
      <c r="P315" s="654"/>
      <c r="Q315" s="654"/>
      <c r="R315" s="654"/>
      <c r="S315" s="432"/>
      <c r="T315" s="432"/>
      <c r="U315" s="432"/>
      <c r="V315" s="432"/>
    </row>
    <row r="316" spans="1:22" ht="21" customHeight="1">
      <c r="A316" s="654"/>
      <c r="B316" s="654"/>
      <c r="C316" s="654"/>
      <c r="D316" s="654"/>
      <c r="E316" s="654"/>
      <c r="F316" s="654"/>
      <c r="G316" s="654"/>
      <c r="H316" s="654"/>
      <c r="I316" s="654"/>
      <c r="J316" s="654"/>
      <c r="K316" s="654"/>
      <c r="L316" s="658"/>
      <c r="M316" s="654"/>
      <c r="N316" s="654"/>
      <c r="O316" s="654"/>
      <c r="P316" s="654"/>
      <c r="Q316" s="654"/>
      <c r="R316" s="654"/>
      <c r="S316" s="432"/>
      <c r="T316" s="432"/>
      <c r="U316" s="432"/>
      <c r="V316" s="432"/>
    </row>
    <row r="317" spans="1:22" ht="21" customHeight="1">
      <c r="A317" s="654"/>
      <c r="B317" s="654"/>
      <c r="C317" s="654"/>
      <c r="D317" s="654"/>
      <c r="E317" s="654"/>
      <c r="F317" s="654"/>
      <c r="G317" s="654"/>
      <c r="H317" s="654"/>
      <c r="I317" s="654"/>
      <c r="J317" s="654"/>
      <c r="K317" s="654"/>
      <c r="L317" s="658"/>
      <c r="M317" s="654"/>
      <c r="N317" s="654"/>
      <c r="O317" s="654"/>
      <c r="P317" s="654"/>
      <c r="Q317" s="654"/>
      <c r="R317" s="654"/>
      <c r="S317" s="432"/>
      <c r="T317" s="432"/>
      <c r="U317" s="432"/>
      <c r="V317" s="432"/>
    </row>
    <row r="318" spans="1:22" ht="21" customHeight="1">
      <c r="A318" s="654"/>
      <c r="B318" s="654"/>
      <c r="C318" s="654"/>
      <c r="D318" s="654"/>
      <c r="E318" s="654"/>
      <c r="F318" s="654"/>
      <c r="G318" s="654"/>
      <c r="H318" s="654"/>
      <c r="I318" s="654"/>
      <c r="J318" s="654"/>
      <c r="K318" s="654"/>
      <c r="L318" s="658"/>
      <c r="M318" s="654"/>
      <c r="N318" s="654"/>
      <c r="O318" s="654"/>
      <c r="P318" s="654"/>
      <c r="Q318" s="654"/>
      <c r="R318" s="654"/>
      <c r="S318" s="432"/>
      <c r="T318" s="432"/>
      <c r="U318" s="432"/>
      <c r="V318" s="432"/>
    </row>
    <row r="319" spans="1:22" ht="21" customHeight="1">
      <c r="A319" s="654"/>
      <c r="B319" s="654"/>
      <c r="C319" s="654"/>
      <c r="D319" s="654"/>
      <c r="E319" s="654"/>
      <c r="F319" s="654"/>
      <c r="G319" s="654"/>
      <c r="H319" s="654"/>
      <c r="I319" s="654"/>
      <c r="J319" s="654"/>
      <c r="K319" s="654"/>
      <c r="L319" s="658"/>
      <c r="M319" s="654"/>
      <c r="N319" s="654"/>
      <c r="O319" s="654"/>
      <c r="P319" s="654"/>
      <c r="Q319" s="654"/>
      <c r="R319" s="654"/>
      <c r="S319" s="432"/>
      <c r="T319" s="432"/>
      <c r="U319" s="432"/>
      <c r="V319" s="432"/>
    </row>
    <row r="320" spans="1:22" ht="21" customHeight="1">
      <c r="A320" s="654"/>
      <c r="B320" s="654"/>
      <c r="C320" s="654"/>
      <c r="D320" s="654"/>
      <c r="E320" s="654"/>
      <c r="F320" s="654"/>
      <c r="G320" s="654"/>
      <c r="H320" s="654"/>
      <c r="I320" s="654"/>
      <c r="J320" s="654"/>
      <c r="K320" s="654"/>
      <c r="L320" s="658"/>
      <c r="M320" s="654"/>
      <c r="N320" s="654"/>
      <c r="O320" s="654"/>
      <c r="P320" s="654"/>
      <c r="Q320" s="654"/>
      <c r="R320" s="654"/>
      <c r="S320" s="432"/>
      <c r="T320" s="432"/>
      <c r="U320" s="432"/>
      <c r="V320" s="432"/>
    </row>
    <row r="321" spans="1:22" ht="21" customHeight="1">
      <c r="A321" s="654"/>
      <c r="B321" s="654"/>
      <c r="C321" s="654"/>
      <c r="D321" s="654"/>
      <c r="E321" s="654"/>
      <c r="F321" s="654"/>
      <c r="G321" s="654"/>
      <c r="H321" s="654"/>
      <c r="I321" s="654"/>
      <c r="J321" s="654"/>
      <c r="K321" s="654"/>
      <c r="L321" s="658"/>
      <c r="M321" s="654"/>
      <c r="N321" s="654"/>
      <c r="O321" s="654"/>
      <c r="P321" s="654"/>
      <c r="Q321" s="654"/>
      <c r="R321" s="654"/>
      <c r="S321" s="432"/>
      <c r="T321" s="432"/>
      <c r="U321" s="432"/>
      <c r="V321" s="432"/>
    </row>
    <row r="322" spans="1:22" ht="21" customHeight="1">
      <c r="A322" s="654"/>
      <c r="B322" s="654"/>
      <c r="C322" s="654"/>
      <c r="D322" s="654"/>
      <c r="E322" s="654"/>
      <c r="F322" s="654"/>
      <c r="G322" s="654"/>
      <c r="H322" s="654"/>
      <c r="I322" s="654"/>
      <c r="J322" s="654"/>
      <c r="K322" s="654"/>
      <c r="L322" s="658"/>
      <c r="M322" s="654"/>
      <c r="N322" s="654"/>
      <c r="O322" s="654"/>
      <c r="P322" s="654"/>
      <c r="Q322" s="654"/>
      <c r="R322" s="654"/>
      <c r="S322" s="432"/>
      <c r="T322" s="432"/>
      <c r="U322" s="432"/>
      <c r="V322" s="432"/>
    </row>
    <row r="323" spans="1:22" ht="21" customHeight="1">
      <c r="A323" s="654"/>
      <c r="B323" s="654"/>
      <c r="C323" s="654"/>
      <c r="D323" s="654"/>
      <c r="E323" s="654"/>
      <c r="F323" s="654"/>
      <c r="G323" s="654"/>
      <c r="H323" s="654"/>
      <c r="I323" s="654"/>
      <c r="J323" s="654"/>
      <c r="K323" s="654"/>
      <c r="L323" s="658"/>
      <c r="M323" s="654"/>
      <c r="N323" s="654"/>
      <c r="O323" s="654"/>
      <c r="P323" s="654"/>
      <c r="Q323" s="654"/>
      <c r="R323" s="654"/>
      <c r="S323" s="432"/>
      <c r="T323" s="432"/>
      <c r="U323" s="432"/>
      <c r="V323" s="432"/>
    </row>
    <row r="324" spans="1:22" ht="21" customHeight="1">
      <c r="A324" s="654"/>
      <c r="B324" s="654"/>
      <c r="C324" s="654"/>
      <c r="D324" s="654"/>
      <c r="E324" s="654"/>
      <c r="F324" s="654"/>
      <c r="G324" s="654"/>
      <c r="H324" s="654"/>
      <c r="I324" s="654"/>
      <c r="J324" s="654"/>
      <c r="K324" s="654"/>
      <c r="L324" s="658"/>
      <c r="M324" s="654"/>
      <c r="N324" s="654"/>
      <c r="O324" s="654"/>
      <c r="P324" s="654"/>
      <c r="Q324" s="654"/>
      <c r="R324" s="654"/>
      <c r="S324" s="432"/>
      <c r="T324" s="432"/>
      <c r="U324" s="432"/>
      <c r="V324" s="432"/>
    </row>
    <row r="325" spans="1:22" ht="21" customHeight="1">
      <c r="A325" s="654"/>
      <c r="B325" s="654"/>
      <c r="C325" s="654"/>
      <c r="D325" s="654"/>
      <c r="E325" s="654"/>
      <c r="F325" s="654"/>
      <c r="G325" s="654"/>
      <c r="H325" s="654"/>
      <c r="I325" s="654"/>
      <c r="J325" s="654"/>
      <c r="K325" s="654"/>
      <c r="L325" s="658"/>
      <c r="M325" s="654"/>
      <c r="N325" s="654"/>
      <c r="O325" s="654"/>
      <c r="P325" s="654"/>
      <c r="Q325" s="654"/>
      <c r="R325" s="654"/>
      <c r="S325" s="432"/>
      <c r="T325" s="432"/>
      <c r="U325" s="432"/>
      <c r="V325" s="432"/>
    </row>
    <row r="326" spans="1:22" ht="21" customHeight="1">
      <c r="A326" s="654"/>
      <c r="B326" s="654"/>
      <c r="C326" s="654"/>
      <c r="D326" s="654"/>
      <c r="E326" s="654"/>
      <c r="F326" s="654"/>
      <c r="G326" s="654"/>
      <c r="H326" s="654"/>
      <c r="I326" s="654"/>
      <c r="J326" s="654"/>
      <c r="K326" s="654"/>
      <c r="L326" s="658"/>
      <c r="M326" s="654"/>
      <c r="N326" s="654"/>
      <c r="O326" s="654"/>
      <c r="P326" s="654"/>
      <c r="Q326" s="654"/>
      <c r="R326" s="654"/>
      <c r="S326" s="432"/>
      <c r="T326" s="432"/>
      <c r="U326" s="432"/>
      <c r="V326" s="432"/>
    </row>
    <row r="327" spans="1:22" ht="21" customHeight="1">
      <c r="A327" s="654"/>
      <c r="B327" s="654"/>
      <c r="C327" s="654"/>
      <c r="D327" s="654"/>
      <c r="E327" s="654"/>
      <c r="F327" s="654"/>
      <c r="G327" s="654"/>
      <c r="H327" s="654"/>
      <c r="I327" s="654"/>
      <c r="J327" s="654"/>
      <c r="K327" s="654"/>
      <c r="L327" s="658"/>
      <c r="M327" s="654"/>
      <c r="N327" s="654"/>
      <c r="O327" s="654"/>
      <c r="P327" s="654"/>
      <c r="Q327" s="654"/>
      <c r="R327" s="654"/>
      <c r="S327" s="432"/>
      <c r="T327" s="432"/>
      <c r="U327" s="432"/>
      <c r="V327" s="432"/>
    </row>
    <row r="328" spans="1:22" ht="21" customHeight="1">
      <c r="A328" s="654"/>
      <c r="B328" s="654"/>
      <c r="C328" s="654"/>
      <c r="D328" s="654"/>
      <c r="E328" s="654"/>
      <c r="F328" s="654"/>
      <c r="G328" s="654"/>
      <c r="H328" s="654"/>
      <c r="I328" s="654"/>
      <c r="J328" s="654"/>
      <c r="K328" s="654"/>
      <c r="L328" s="658"/>
      <c r="M328" s="654"/>
      <c r="N328" s="654"/>
      <c r="O328" s="654"/>
      <c r="P328" s="654"/>
      <c r="Q328" s="654"/>
      <c r="R328" s="654"/>
      <c r="S328" s="432"/>
      <c r="T328" s="432"/>
      <c r="U328" s="432"/>
      <c r="V328" s="432"/>
    </row>
    <row r="329" spans="1:22" ht="21" customHeight="1">
      <c r="A329" s="654"/>
      <c r="B329" s="654"/>
      <c r="C329" s="654"/>
      <c r="D329" s="654"/>
      <c r="E329" s="654"/>
      <c r="F329" s="654"/>
      <c r="G329" s="654"/>
      <c r="H329" s="654"/>
      <c r="I329" s="654"/>
      <c r="J329" s="654"/>
      <c r="K329" s="654"/>
      <c r="L329" s="658"/>
      <c r="M329" s="654"/>
      <c r="N329" s="654"/>
      <c r="O329" s="654"/>
      <c r="P329" s="654"/>
      <c r="Q329" s="654"/>
      <c r="R329" s="654"/>
      <c r="S329" s="432"/>
      <c r="T329" s="432"/>
      <c r="U329" s="432"/>
      <c r="V329" s="432"/>
    </row>
    <row r="330" spans="1:22" ht="21" customHeight="1">
      <c r="A330" s="654"/>
      <c r="B330" s="654"/>
      <c r="C330" s="654"/>
      <c r="D330" s="654"/>
      <c r="E330" s="654"/>
      <c r="F330" s="654"/>
      <c r="G330" s="654"/>
      <c r="H330" s="654"/>
      <c r="I330" s="654"/>
      <c r="J330" s="654"/>
      <c r="K330" s="654"/>
      <c r="L330" s="658"/>
      <c r="M330" s="654"/>
      <c r="N330" s="654"/>
      <c r="O330" s="654"/>
      <c r="P330" s="654"/>
      <c r="Q330" s="654"/>
      <c r="R330" s="654"/>
      <c r="S330" s="432"/>
      <c r="T330" s="432"/>
      <c r="U330" s="432"/>
      <c r="V330" s="432"/>
    </row>
    <row r="331" spans="1:22" ht="21" customHeight="1">
      <c r="A331" s="654"/>
      <c r="B331" s="654"/>
      <c r="C331" s="654"/>
      <c r="D331" s="654"/>
      <c r="E331" s="654"/>
      <c r="F331" s="654"/>
      <c r="G331" s="654"/>
      <c r="H331" s="654"/>
      <c r="I331" s="654"/>
      <c r="J331" s="654"/>
      <c r="K331" s="654"/>
      <c r="L331" s="658"/>
      <c r="M331" s="654"/>
      <c r="N331" s="654"/>
      <c r="O331" s="654"/>
      <c r="P331" s="654"/>
      <c r="Q331" s="654"/>
      <c r="R331" s="654"/>
      <c r="S331" s="432"/>
      <c r="T331" s="432"/>
      <c r="U331" s="432"/>
      <c r="V331" s="432"/>
    </row>
    <row r="332" spans="1:22" ht="21" customHeight="1">
      <c r="A332" s="654"/>
      <c r="B332" s="654"/>
      <c r="C332" s="654"/>
      <c r="D332" s="654"/>
      <c r="E332" s="654"/>
      <c r="F332" s="654"/>
      <c r="G332" s="654"/>
      <c r="H332" s="654"/>
      <c r="I332" s="654"/>
      <c r="J332" s="654"/>
      <c r="K332" s="654"/>
      <c r="L332" s="658"/>
      <c r="M332" s="654"/>
      <c r="N332" s="654"/>
      <c r="O332" s="654"/>
      <c r="P332" s="654"/>
      <c r="Q332" s="654"/>
      <c r="R332" s="654"/>
      <c r="S332" s="432"/>
      <c r="T332" s="432"/>
      <c r="U332" s="432"/>
      <c r="V332" s="432"/>
    </row>
    <row r="333" spans="1:22" ht="21" customHeight="1">
      <c r="A333" s="654"/>
      <c r="B333" s="654"/>
      <c r="C333" s="654"/>
      <c r="D333" s="654"/>
      <c r="E333" s="654"/>
      <c r="F333" s="654"/>
      <c r="G333" s="654"/>
      <c r="H333" s="654"/>
      <c r="I333" s="654"/>
      <c r="J333" s="654"/>
      <c r="K333" s="654"/>
      <c r="L333" s="658"/>
      <c r="M333" s="654"/>
      <c r="N333" s="654"/>
      <c r="O333" s="654"/>
      <c r="P333" s="654"/>
      <c r="Q333" s="654"/>
      <c r="R333" s="654"/>
      <c r="S333" s="432"/>
      <c r="T333" s="432"/>
      <c r="U333" s="432"/>
      <c r="V333" s="432"/>
    </row>
    <row r="334" spans="1:22" ht="21" customHeight="1">
      <c r="A334" s="654"/>
      <c r="B334" s="654"/>
      <c r="C334" s="654"/>
      <c r="D334" s="654"/>
      <c r="E334" s="654"/>
      <c r="F334" s="654"/>
      <c r="G334" s="654"/>
      <c r="H334" s="654"/>
      <c r="I334" s="654"/>
      <c r="J334" s="654"/>
      <c r="K334" s="654"/>
      <c r="L334" s="658"/>
      <c r="M334" s="654"/>
      <c r="N334" s="654"/>
      <c r="O334" s="654"/>
      <c r="P334" s="654"/>
      <c r="Q334" s="654"/>
      <c r="R334" s="654"/>
      <c r="S334" s="432"/>
      <c r="T334" s="432"/>
      <c r="U334" s="432"/>
      <c r="V334" s="432"/>
    </row>
    <row r="335" spans="1:22">
      <c r="A335" s="660"/>
      <c r="B335" s="660"/>
      <c r="C335" s="660"/>
      <c r="D335" s="660"/>
      <c r="E335" s="660"/>
      <c r="F335" s="660"/>
      <c r="G335" s="660"/>
      <c r="H335" s="660"/>
      <c r="I335" s="660"/>
      <c r="J335" s="660"/>
      <c r="K335" s="660"/>
      <c r="L335" s="661"/>
      <c r="M335" s="660"/>
      <c r="N335" s="660"/>
      <c r="O335" s="660"/>
      <c r="P335" s="660"/>
      <c r="Q335" s="660"/>
      <c r="R335" s="660"/>
      <c r="S335" s="430"/>
      <c r="T335" s="430"/>
      <c r="U335" s="430"/>
      <c r="V335" s="430"/>
    </row>
    <row r="336" spans="1:22">
      <c r="A336" s="660"/>
      <c r="B336" s="660"/>
      <c r="C336" s="660"/>
      <c r="D336" s="660"/>
      <c r="E336" s="660"/>
      <c r="F336" s="660"/>
      <c r="G336" s="660"/>
      <c r="H336" s="660"/>
      <c r="I336" s="660"/>
      <c r="J336" s="660"/>
      <c r="K336" s="660"/>
      <c r="L336" s="661"/>
      <c r="M336" s="660"/>
      <c r="N336" s="660"/>
      <c r="O336" s="660"/>
      <c r="P336" s="660"/>
      <c r="Q336" s="660"/>
      <c r="R336" s="660"/>
      <c r="S336" s="430"/>
      <c r="T336" s="430"/>
      <c r="U336" s="430"/>
      <c r="V336" s="430"/>
    </row>
    <row r="337" spans="1:18">
      <c r="A337" s="662"/>
      <c r="B337" s="662"/>
      <c r="C337" s="662"/>
      <c r="D337" s="662"/>
      <c r="E337" s="662"/>
      <c r="F337" s="662"/>
      <c r="G337" s="662"/>
      <c r="H337" s="662"/>
      <c r="I337" s="662"/>
      <c r="J337" s="662"/>
      <c r="K337" s="662"/>
      <c r="L337" s="663"/>
      <c r="M337" s="662"/>
      <c r="N337" s="662"/>
      <c r="O337" s="662"/>
      <c r="P337" s="662"/>
      <c r="Q337" s="662"/>
      <c r="R337" s="662"/>
    </row>
    <row r="338" spans="1:18">
      <c r="A338" s="662"/>
      <c r="B338" s="662"/>
      <c r="C338" s="662"/>
      <c r="D338" s="662"/>
      <c r="E338" s="662"/>
      <c r="F338" s="662"/>
      <c r="G338" s="662"/>
      <c r="H338" s="662"/>
      <c r="I338" s="662"/>
      <c r="J338" s="662"/>
      <c r="K338" s="662"/>
      <c r="L338" s="663"/>
      <c r="M338" s="662"/>
      <c r="N338" s="662"/>
      <c r="O338" s="662"/>
      <c r="P338" s="662"/>
      <c r="Q338" s="662"/>
      <c r="R338" s="662"/>
    </row>
    <row r="339" spans="1:18">
      <c r="A339" s="662"/>
      <c r="B339" s="662"/>
      <c r="C339" s="662"/>
      <c r="D339" s="662"/>
      <c r="E339" s="662"/>
      <c r="F339" s="662"/>
      <c r="G339" s="662"/>
      <c r="H339" s="662"/>
      <c r="I339" s="662"/>
      <c r="J339" s="662"/>
      <c r="K339" s="662"/>
      <c r="L339" s="663"/>
      <c r="M339" s="662"/>
      <c r="N339" s="662"/>
      <c r="O339" s="662"/>
      <c r="P339" s="662"/>
      <c r="Q339" s="662"/>
      <c r="R339" s="662"/>
    </row>
    <row r="340" spans="1:18">
      <c r="A340" s="662"/>
      <c r="B340" s="662"/>
      <c r="C340" s="662"/>
      <c r="D340" s="662"/>
      <c r="E340" s="662"/>
      <c r="F340" s="662"/>
      <c r="G340" s="662"/>
      <c r="H340" s="662"/>
      <c r="I340" s="662"/>
      <c r="J340" s="662"/>
      <c r="K340" s="662"/>
      <c r="L340" s="663"/>
      <c r="M340" s="662"/>
      <c r="N340" s="662"/>
      <c r="O340" s="662"/>
      <c r="P340" s="662"/>
      <c r="Q340" s="662"/>
      <c r="R340" s="662"/>
    </row>
    <row r="341" spans="1:18">
      <c r="A341" s="662"/>
      <c r="B341" s="662"/>
      <c r="C341" s="662"/>
      <c r="D341" s="662"/>
      <c r="E341" s="662"/>
      <c r="F341" s="662"/>
      <c r="G341" s="662"/>
      <c r="H341" s="662"/>
      <c r="I341" s="662"/>
      <c r="J341" s="662"/>
      <c r="K341" s="662"/>
      <c r="L341" s="663"/>
      <c r="M341" s="662"/>
      <c r="N341" s="662"/>
      <c r="O341" s="662"/>
      <c r="P341" s="662"/>
      <c r="Q341" s="662"/>
      <c r="R341" s="662"/>
    </row>
    <row r="342" spans="1:18">
      <c r="A342" s="662"/>
      <c r="B342" s="662"/>
      <c r="C342" s="662"/>
      <c r="D342" s="662"/>
      <c r="E342" s="662"/>
      <c r="F342" s="662"/>
      <c r="G342" s="662"/>
      <c r="H342" s="662"/>
      <c r="I342" s="662"/>
      <c r="J342" s="662"/>
      <c r="K342" s="662"/>
      <c r="L342" s="663"/>
      <c r="M342" s="662"/>
      <c r="N342" s="662"/>
      <c r="O342" s="662"/>
      <c r="P342" s="662"/>
      <c r="Q342" s="662"/>
      <c r="R342" s="662"/>
    </row>
    <row r="343" spans="1:18">
      <c r="A343" s="662"/>
      <c r="B343" s="662"/>
      <c r="C343" s="662"/>
      <c r="D343" s="662"/>
      <c r="E343" s="662"/>
      <c r="F343" s="662"/>
      <c r="G343" s="662"/>
      <c r="H343" s="662"/>
      <c r="I343" s="662"/>
      <c r="J343" s="662"/>
      <c r="K343" s="662"/>
      <c r="L343" s="663"/>
      <c r="M343" s="662"/>
      <c r="N343" s="662"/>
      <c r="O343" s="662"/>
      <c r="P343" s="662"/>
      <c r="Q343" s="662"/>
      <c r="R343" s="662"/>
    </row>
    <row r="344" spans="1:18">
      <c r="A344" s="662"/>
      <c r="B344" s="662"/>
      <c r="C344" s="662"/>
      <c r="D344" s="662"/>
      <c r="E344" s="662"/>
      <c r="F344" s="662"/>
      <c r="G344" s="662"/>
      <c r="H344" s="662"/>
      <c r="I344" s="662"/>
      <c r="J344" s="662"/>
      <c r="K344" s="662"/>
      <c r="L344" s="663"/>
      <c r="M344" s="662"/>
      <c r="N344" s="662"/>
      <c r="O344" s="662"/>
      <c r="P344" s="662"/>
      <c r="Q344" s="662"/>
      <c r="R344" s="662"/>
    </row>
    <row r="345" spans="1:18">
      <c r="A345" s="662"/>
      <c r="B345" s="662"/>
      <c r="C345" s="662"/>
      <c r="D345" s="662"/>
      <c r="E345" s="662"/>
      <c r="F345" s="662"/>
      <c r="G345" s="662"/>
      <c r="H345" s="662"/>
      <c r="I345" s="662"/>
      <c r="J345" s="662"/>
      <c r="K345" s="662"/>
      <c r="L345" s="663"/>
      <c r="M345" s="662"/>
      <c r="N345" s="662"/>
      <c r="O345" s="662"/>
      <c r="P345" s="662"/>
      <c r="Q345" s="662"/>
      <c r="R345" s="662"/>
    </row>
    <row r="346" spans="1:18">
      <c r="A346" s="662"/>
      <c r="B346" s="662"/>
      <c r="C346" s="662"/>
      <c r="D346" s="662"/>
      <c r="E346" s="662"/>
      <c r="F346" s="662"/>
      <c r="G346" s="662"/>
      <c r="H346" s="662"/>
      <c r="I346" s="662"/>
      <c r="J346" s="662"/>
      <c r="K346" s="662"/>
      <c r="L346" s="663"/>
      <c r="M346" s="662"/>
      <c r="N346" s="662"/>
      <c r="O346" s="662"/>
      <c r="P346" s="662"/>
      <c r="Q346" s="662"/>
      <c r="R346" s="662"/>
    </row>
    <row r="347" spans="1:18">
      <c r="A347" s="662"/>
      <c r="B347" s="662"/>
      <c r="C347" s="662"/>
      <c r="D347" s="662"/>
      <c r="E347" s="662"/>
      <c r="F347" s="662"/>
      <c r="G347" s="662"/>
      <c r="H347" s="662"/>
      <c r="I347" s="662"/>
      <c r="J347" s="662"/>
      <c r="K347" s="662"/>
      <c r="L347" s="663"/>
      <c r="M347" s="662"/>
      <c r="N347" s="662"/>
      <c r="O347" s="662"/>
      <c r="P347" s="662"/>
      <c r="Q347" s="662"/>
      <c r="R347" s="662"/>
    </row>
    <row r="348" spans="1:18">
      <c r="A348" s="662"/>
      <c r="B348" s="662"/>
      <c r="C348" s="662"/>
      <c r="D348" s="662"/>
      <c r="E348" s="662"/>
      <c r="F348" s="662"/>
      <c r="G348" s="662"/>
      <c r="H348" s="662"/>
      <c r="I348" s="662"/>
      <c r="J348" s="662"/>
      <c r="K348" s="662"/>
      <c r="L348" s="663"/>
      <c r="M348" s="662"/>
      <c r="N348" s="662"/>
      <c r="O348" s="662"/>
      <c r="P348" s="662"/>
      <c r="Q348" s="662"/>
      <c r="R348" s="662"/>
    </row>
    <row r="349" spans="1:18">
      <c r="A349" s="662"/>
      <c r="B349" s="662"/>
      <c r="C349" s="662"/>
      <c r="D349" s="662"/>
      <c r="E349" s="662"/>
      <c r="F349" s="662"/>
      <c r="G349" s="662"/>
      <c r="H349" s="662"/>
      <c r="I349" s="662"/>
      <c r="J349" s="662"/>
      <c r="K349" s="662"/>
      <c r="L349" s="663"/>
      <c r="M349" s="662"/>
      <c r="N349" s="662"/>
      <c r="O349" s="662"/>
      <c r="P349" s="662"/>
      <c r="Q349" s="662"/>
      <c r="R349" s="662"/>
    </row>
    <row r="350" spans="1:18">
      <c r="A350" s="662"/>
      <c r="B350" s="662"/>
      <c r="C350" s="662"/>
      <c r="D350" s="662"/>
      <c r="E350" s="662"/>
      <c r="F350" s="662"/>
      <c r="G350" s="662"/>
      <c r="H350" s="662"/>
      <c r="I350" s="662"/>
      <c r="J350" s="662"/>
      <c r="K350" s="662"/>
      <c r="L350" s="663"/>
      <c r="M350" s="662"/>
      <c r="N350" s="662"/>
      <c r="O350" s="662"/>
      <c r="P350" s="662"/>
      <c r="Q350" s="662"/>
      <c r="R350" s="662"/>
    </row>
    <row r="351" spans="1:18">
      <c r="A351" s="662"/>
      <c r="B351" s="662"/>
      <c r="C351" s="662"/>
      <c r="D351" s="662"/>
      <c r="E351" s="662"/>
      <c r="F351" s="662"/>
      <c r="G351" s="662"/>
      <c r="H351" s="662"/>
      <c r="I351" s="662"/>
      <c r="J351" s="662"/>
      <c r="K351" s="662"/>
      <c r="L351" s="663"/>
      <c r="M351" s="662"/>
      <c r="N351" s="662"/>
      <c r="O351" s="662"/>
      <c r="P351" s="662"/>
      <c r="Q351" s="662"/>
      <c r="R351" s="662"/>
    </row>
    <row r="352" spans="1:18">
      <c r="A352" s="662"/>
      <c r="B352" s="662"/>
      <c r="C352" s="662"/>
      <c r="D352" s="662"/>
      <c r="E352" s="662"/>
      <c r="F352" s="662"/>
      <c r="G352" s="662"/>
      <c r="H352" s="662"/>
      <c r="I352" s="662"/>
      <c r="J352" s="662"/>
      <c r="K352" s="662"/>
      <c r="L352" s="663"/>
      <c r="M352" s="662"/>
      <c r="N352" s="662"/>
      <c r="O352" s="662"/>
      <c r="P352" s="662"/>
      <c r="Q352" s="662"/>
      <c r="R352" s="662"/>
    </row>
    <row r="353" spans="1:18">
      <c r="A353" s="662"/>
      <c r="B353" s="662"/>
      <c r="C353" s="662"/>
      <c r="D353" s="662"/>
      <c r="E353" s="662"/>
      <c r="F353" s="662"/>
      <c r="G353" s="662"/>
      <c r="H353" s="662"/>
      <c r="I353" s="662"/>
      <c r="J353" s="662"/>
      <c r="K353" s="662"/>
      <c r="L353" s="663"/>
      <c r="M353" s="662"/>
      <c r="N353" s="662"/>
      <c r="O353" s="662"/>
      <c r="P353" s="662"/>
      <c r="Q353" s="662"/>
      <c r="R353" s="662"/>
    </row>
    <row r="354" spans="1:18">
      <c r="A354" s="662"/>
      <c r="B354" s="662"/>
      <c r="C354" s="662"/>
      <c r="D354" s="662"/>
      <c r="E354" s="662"/>
      <c r="F354" s="662"/>
      <c r="G354" s="662"/>
      <c r="H354" s="662"/>
      <c r="I354" s="662"/>
      <c r="J354" s="662"/>
      <c r="K354" s="662"/>
      <c r="L354" s="663"/>
      <c r="M354" s="662"/>
      <c r="N354" s="662"/>
      <c r="O354" s="662"/>
      <c r="P354" s="662"/>
      <c r="Q354" s="662"/>
      <c r="R354" s="662"/>
    </row>
    <row r="355" spans="1:18">
      <c r="A355" s="662"/>
      <c r="B355" s="662"/>
      <c r="C355" s="662"/>
      <c r="D355" s="662"/>
      <c r="E355" s="662"/>
      <c r="F355" s="662"/>
      <c r="G355" s="662"/>
      <c r="H355" s="662"/>
      <c r="I355" s="662"/>
      <c r="J355" s="662"/>
      <c r="K355" s="662"/>
      <c r="L355" s="663"/>
      <c r="M355" s="662"/>
      <c r="N355" s="662"/>
      <c r="O355" s="662"/>
      <c r="P355" s="662"/>
      <c r="Q355" s="662"/>
      <c r="R355" s="662"/>
    </row>
    <row r="356" spans="1:18">
      <c r="A356" s="662"/>
      <c r="B356" s="662"/>
      <c r="C356" s="662"/>
      <c r="D356" s="662"/>
      <c r="E356" s="662"/>
      <c r="F356" s="662"/>
      <c r="G356" s="662"/>
      <c r="H356" s="662"/>
      <c r="I356" s="662"/>
      <c r="J356" s="662"/>
      <c r="K356" s="662"/>
      <c r="L356" s="663"/>
      <c r="M356" s="662"/>
      <c r="N356" s="662"/>
      <c r="O356" s="662"/>
      <c r="P356" s="662"/>
      <c r="Q356" s="662"/>
      <c r="R356" s="662"/>
    </row>
    <row r="357" spans="1:18">
      <c r="A357" s="662"/>
      <c r="B357" s="662"/>
      <c r="C357" s="662"/>
      <c r="D357" s="662"/>
      <c r="E357" s="662"/>
      <c r="F357" s="662"/>
      <c r="G357" s="662"/>
      <c r="H357" s="662"/>
      <c r="I357" s="662"/>
      <c r="J357" s="662"/>
      <c r="K357" s="662"/>
      <c r="L357" s="663"/>
      <c r="M357" s="662"/>
      <c r="N357" s="662"/>
      <c r="O357" s="662"/>
      <c r="P357" s="662"/>
      <c r="Q357" s="662"/>
      <c r="R357" s="662"/>
    </row>
    <row r="358" spans="1:18">
      <c r="A358" s="662"/>
      <c r="B358" s="662"/>
      <c r="C358" s="662"/>
      <c r="D358" s="662"/>
      <c r="E358" s="662"/>
      <c r="F358" s="662"/>
      <c r="G358" s="662"/>
      <c r="H358" s="662"/>
      <c r="I358" s="662"/>
      <c r="J358" s="662"/>
      <c r="K358" s="662"/>
      <c r="L358" s="663"/>
      <c r="M358" s="662"/>
      <c r="N358" s="662"/>
      <c r="O358" s="662"/>
      <c r="P358" s="662"/>
      <c r="Q358" s="662"/>
      <c r="R358" s="662"/>
    </row>
    <row r="359" spans="1:18">
      <c r="A359" s="662"/>
      <c r="B359" s="662"/>
      <c r="C359" s="662"/>
      <c r="D359" s="662"/>
      <c r="E359" s="662"/>
      <c r="F359" s="662"/>
      <c r="G359" s="662"/>
      <c r="H359" s="662"/>
      <c r="I359" s="662"/>
      <c r="J359" s="662"/>
      <c r="K359" s="662"/>
      <c r="L359" s="663"/>
      <c r="M359" s="662"/>
      <c r="N359" s="662"/>
      <c r="O359" s="662"/>
      <c r="P359" s="662"/>
      <c r="Q359" s="662"/>
      <c r="R359" s="662"/>
    </row>
    <row r="360" spans="1:18">
      <c r="A360" s="662"/>
      <c r="B360" s="662"/>
      <c r="C360" s="662"/>
      <c r="D360" s="662"/>
      <c r="E360" s="662"/>
      <c r="F360" s="662"/>
      <c r="G360" s="662"/>
      <c r="H360" s="662"/>
      <c r="I360" s="662"/>
      <c r="J360" s="662"/>
      <c r="K360" s="662"/>
      <c r="L360" s="663"/>
      <c r="M360" s="662"/>
      <c r="N360" s="662"/>
      <c r="O360" s="662"/>
      <c r="P360" s="662"/>
      <c r="Q360" s="662"/>
      <c r="R360" s="662"/>
    </row>
    <row r="361" spans="1:18">
      <c r="A361" s="662"/>
      <c r="B361" s="662"/>
      <c r="C361" s="662"/>
      <c r="D361" s="662"/>
      <c r="E361" s="662"/>
      <c r="F361" s="662"/>
      <c r="G361" s="662"/>
      <c r="H361" s="662"/>
      <c r="I361" s="662"/>
      <c r="J361" s="662"/>
      <c r="K361" s="662"/>
      <c r="L361" s="663"/>
      <c r="M361" s="662"/>
      <c r="N361" s="662"/>
      <c r="O361" s="662"/>
      <c r="P361" s="662"/>
      <c r="Q361" s="662"/>
      <c r="R361" s="662"/>
    </row>
    <row r="362" spans="1:18">
      <c r="A362" s="662"/>
      <c r="B362" s="662"/>
      <c r="C362" s="662"/>
      <c r="D362" s="662"/>
      <c r="E362" s="662"/>
      <c r="F362" s="662"/>
      <c r="G362" s="662"/>
      <c r="H362" s="662"/>
      <c r="I362" s="662"/>
      <c r="J362" s="662"/>
      <c r="K362" s="662"/>
      <c r="L362" s="663"/>
      <c r="M362" s="662"/>
      <c r="N362" s="662"/>
      <c r="O362" s="662"/>
      <c r="P362" s="662"/>
      <c r="Q362" s="662"/>
      <c r="R362" s="662"/>
    </row>
    <row r="363" spans="1:18">
      <c r="A363" s="662"/>
      <c r="B363" s="662"/>
      <c r="C363" s="662"/>
      <c r="D363" s="662"/>
      <c r="E363" s="662"/>
      <c r="F363" s="662"/>
      <c r="G363" s="662"/>
      <c r="H363" s="662"/>
      <c r="I363" s="662"/>
      <c r="J363" s="662"/>
      <c r="K363" s="662"/>
      <c r="L363" s="663"/>
      <c r="M363" s="662"/>
      <c r="N363" s="662"/>
      <c r="O363" s="662"/>
      <c r="P363" s="662"/>
      <c r="Q363" s="662"/>
      <c r="R363" s="662"/>
    </row>
    <row r="364" spans="1:18">
      <c r="A364" s="662"/>
      <c r="B364" s="662"/>
      <c r="C364" s="662"/>
      <c r="D364" s="662"/>
      <c r="E364" s="662"/>
      <c r="F364" s="662"/>
      <c r="G364" s="662"/>
      <c r="H364" s="662"/>
      <c r="I364" s="662"/>
      <c r="J364" s="662"/>
      <c r="K364" s="662"/>
      <c r="L364" s="663"/>
      <c r="M364" s="662"/>
      <c r="N364" s="662"/>
      <c r="O364" s="662"/>
      <c r="P364" s="662"/>
      <c r="Q364" s="662"/>
      <c r="R364" s="662"/>
    </row>
    <row r="365" spans="1:18">
      <c r="A365" s="662"/>
      <c r="B365" s="662"/>
      <c r="C365" s="662"/>
      <c r="D365" s="662"/>
      <c r="E365" s="662"/>
      <c r="F365" s="662"/>
      <c r="G365" s="662"/>
      <c r="H365" s="662"/>
      <c r="I365" s="662"/>
      <c r="J365" s="662"/>
      <c r="K365" s="662"/>
      <c r="L365" s="663"/>
      <c r="M365" s="662"/>
      <c r="N365" s="662"/>
      <c r="O365" s="662"/>
      <c r="P365" s="662"/>
      <c r="Q365" s="662"/>
      <c r="R365" s="662"/>
    </row>
    <row r="366" spans="1:18">
      <c r="A366" s="662"/>
      <c r="B366" s="662"/>
      <c r="C366" s="662"/>
      <c r="D366" s="662"/>
      <c r="E366" s="662"/>
      <c r="F366" s="662"/>
      <c r="G366" s="662"/>
      <c r="H366" s="662"/>
      <c r="I366" s="662"/>
      <c r="J366" s="662"/>
      <c r="K366" s="662"/>
      <c r="L366" s="663"/>
      <c r="M366" s="662"/>
      <c r="N366" s="662"/>
      <c r="O366" s="662"/>
      <c r="P366" s="662"/>
      <c r="Q366" s="662"/>
      <c r="R366" s="662"/>
    </row>
    <row r="367" spans="1:18">
      <c r="A367" s="662"/>
      <c r="B367" s="662"/>
      <c r="C367" s="662"/>
      <c r="D367" s="662"/>
      <c r="E367" s="662"/>
      <c r="F367" s="662"/>
      <c r="G367" s="662"/>
      <c r="H367" s="662"/>
      <c r="I367" s="662"/>
      <c r="J367" s="662"/>
      <c r="K367" s="662"/>
      <c r="L367" s="663"/>
      <c r="M367" s="662"/>
      <c r="N367" s="662"/>
      <c r="O367" s="662"/>
      <c r="P367" s="662"/>
      <c r="Q367" s="662"/>
      <c r="R367" s="662"/>
    </row>
    <row r="368" spans="1:18">
      <c r="A368" s="662"/>
      <c r="B368" s="662"/>
      <c r="C368" s="662"/>
      <c r="D368" s="662"/>
      <c r="E368" s="662"/>
      <c r="F368" s="662"/>
      <c r="G368" s="662"/>
      <c r="H368" s="662"/>
      <c r="I368" s="662"/>
      <c r="J368" s="662"/>
      <c r="K368" s="662"/>
      <c r="L368" s="663"/>
      <c r="M368" s="662"/>
      <c r="N368" s="662"/>
      <c r="O368" s="662"/>
      <c r="P368" s="662"/>
      <c r="Q368" s="662"/>
      <c r="R368" s="662"/>
    </row>
    <row r="369" spans="1:18">
      <c r="A369" s="662"/>
      <c r="B369" s="662"/>
      <c r="C369" s="662"/>
      <c r="D369" s="662"/>
      <c r="E369" s="662"/>
      <c r="F369" s="662"/>
      <c r="G369" s="662"/>
      <c r="H369" s="662"/>
      <c r="I369" s="662"/>
      <c r="J369" s="662"/>
      <c r="K369" s="662"/>
      <c r="L369" s="663"/>
      <c r="M369" s="662"/>
      <c r="N369" s="662"/>
      <c r="O369" s="662"/>
      <c r="P369" s="662"/>
      <c r="Q369" s="662"/>
      <c r="R369" s="662"/>
    </row>
    <row r="370" spans="1:18">
      <c r="A370" s="662"/>
      <c r="B370" s="662"/>
      <c r="C370" s="662"/>
      <c r="D370" s="662"/>
      <c r="E370" s="662"/>
      <c r="F370" s="662"/>
      <c r="G370" s="662"/>
      <c r="H370" s="662"/>
      <c r="I370" s="662"/>
      <c r="J370" s="662"/>
      <c r="K370" s="662"/>
      <c r="L370" s="663"/>
      <c r="M370" s="662"/>
      <c r="N370" s="662"/>
      <c r="O370" s="662"/>
      <c r="P370" s="662"/>
      <c r="Q370" s="662"/>
      <c r="R370" s="662"/>
    </row>
    <row r="371" spans="1:18">
      <c r="A371" s="662"/>
      <c r="B371" s="662"/>
      <c r="C371" s="662"/>
      <c r="D371" s="662"/>
      <c r="E371" s="662"/>
      <c r="F371" s="662"/>
      <c r="G371" s="662"/>
      <c r="H371" s="662"/>
      <c r="I371" s="662"/>
      <c r="J371" s="662"/>
      <c r="K371" s="662"/>
      <c r="L371" s="663"/>
      <c r="M371" s="662"/>
      <c r="N371" s="662"/>
      <c r="O371" s="662"/>
      <c r="P371" s="662"/>
      <c r="Q371" s="662"/>
      <c r="R371" s="662"/>
    </row>
    <row r="372" spans="1:18">
      <c r="A372" s="662"/>
      <c r="B372" s="662"/>
      <c r="C372" s="662"/>
      <c r="D372" s="662"/>
      <c r="E372" s="662"/>
      <c r="F372" s="662"/>
      <c r="G372" s="662"/>
      <c r="H372" s="662"/>
      <c r="I372" s="662"/>
      <c r="J372" s="662"/>
      <c r="K372" s="662"/>
      <c r="L372" s="663"/>
      <c r="M372" s="662"/>
      <c r="N372" s="662"/>
      <c r="O372" s="662"/>
      <c r="P372" s="662"/>
      <c r="Q372" s="662"/>
      <c r="R372" s="662"/>
    </row>
    <row r="373" spans="1:18">
      <c r="A373" s="662"/>
      <c r="B373" s="662"/>
      <c r="C373" s="662"/>
      <c r="D373" s="662"/>
      <c r="E373" s="662"/>
      <c r="F373" s="662"/>
      <c r="G373" s="662"/>
      <c r="H373" s="662"/>
      <c r="I373" s="662"/>
      <c r="J373" s="662"/>
      <c r="K373" s="662"/>
      <c r="L373" s="663"/>
      <c r="M373" s="662"/>
      <c r="N373" s="662"/>
      <c r="O373" s="662"/>
      <c r="P373" s="662"/>
      <c r="Q373" s="662"/>
      <c r="R373" s="662"/>
    </row>
    <row r="374" spans="1:18">
      <c r="A374" s="662"/>
      <c r="B374" s="662"/>
      <c r="C374" s="662"/>
      <c r="D374" s="662"/>
      <c r="E374" s="662"/>
      <c r="F374" s="662"/>
      <c r="G374" s="662"/>
      <c r="H374" s="662"/>
      <c r="I374" s="662"/>
      <c r="J374" s="662"/>
      <c r="K374" s="662"/>
      <c r="L374" s="663"/>
      <c r="M374" s="662"/>
      <c r="N374" s="662"/>
      <c r="O374" s="662"/>
      <c r="P374" s="662"/>
      <c r="Q374" s="662"/>
      <c r="R374" s="662"/>
    </row>
    <row r="375" spans="1:18">
      <c r="A375" s="662"/>
      <c r="B375" s="662"/>
      <c r="C375" s="662"/>
      <c r="D375" s="662"/>
      <c r="E375" s="662"/>
      <c r="F375" s="662"/>
      <c r="G375" s="662"/>
      <c r="H375" s="662"/>
      <c r="I375" s="662"/>
      <c r="J375" s="662"/>
      <c r="K375" s="662"/>
      <c r="L375" s="663"/>
      <c r="M375" s="662"/>
      <c r="N375" s="662"/>
      <c r="O375" s="662"/>
      <c r="P375" s="662"/>
      <c r="Q375" s="662"/>
      <c r="R375" s="662"/>
    </row>
    <row r="376" spans="1:18">
      <c r="A376" s="662"/>
      <c r="B376" s="662"/>
      <c r="C376" s="662"/>
      <c r="D376" s="662"/>
      <c r="E376" s="662"/>
      <c r="F376" s="662"/>
      <c r="G376" s="662"/>
      <c r="H376" s="662"/>
      <c r="I376" s="662"/>
      <c r="J376" s="662"/>
      <c r="K376" s="662"/>
      <c r="L376" s="663"/>
      <c r="M376" s="662"/>
      <c r="N376" s="662"/>
      <c r="O376" s="662"/>
      <c r="P376" s="662"/>
      <c r="Q376" s="662"/>
      <c r="R376" s="662"/>
    </row>
    <row r="377" spans="1:18">
      <c r="A377" s="662"/>
      <c r="B377" s="662"/>
      <c r="C377" s="662"/>
      <c r="D377" s="662"/>
      <c r="E377" s="662"/>
      <c r="F377" s="662"/>
      <c r="G377" s="662"/>
      <c r="H377" s="662"/>
      <c r="I377" s="662"/>
      <c r="J377" s="662"/>
      <c r="K377" s="662"/>
      <c r="L377" s="663"/>
      <c r="M377" s="662"/>
      <c r="N377" s="662"/>
      <c r="O377" s="662"/>
      <c r="P377" s="662"/>
      <c r="Q377" s="662"/>
      <c r="R377" s="662"/>
    </row>
    <row r="378" spans="1:18">
      <c r="A378" s="662"/>
      <c r="B378" s="662"/>
      <c r="C378" s="662"/>
      <c r="D378" s="662"/>
      <c r="E378" s="662"/>
      <c r="F378" s="662"/>
      <c r="G378" s="662"/>
      <c r="H378" s="662"/>
      <c r="I378" s="662"/>
      <c r="J378" s="662"/>
      <c r="K378" s="662"/>
      <c r="L378" s="663"/>
      <c r="M378" s="662"/>
      <c r="N378" s="662"/>
      <c r="O378" s="662"/>
      <c r="P378" s="662"/>
      <c r="Q378" s="662"/>
      <c r="R378" s="662"/>
    </row>
    <row r="379" spans="1:18">
      <c r="A379" s="662"/>
      <c r="B379" s="662"/>
      <c r="C379" s="662"/>
      <c r="D379" s="662"/>
      <c r="E379" s="662"/>
      <c r="F379" s="662"/>
      <c r="G379" s="662"/>
      <c r="H379" s="662"/>
      <c r="I379" s="662"/>
      <c r="J379" s="662"/>
      <c r="K379" s="662"/>
      <c r="L379" s="663"/>
      <c r="M379" s="662"/>
      <c r="N379" s="662"/>
      <c r="O379" s="662"/>
      <c r="P379" s="662"/>
      <c r="Q379" s="662"/>
      <c r="R379" s="662"/>
    </row>
    <row r="380" spans="1:18">
      <c r="A380" s="662"/>
      <c r="B380" s="662"/>
      <c r="C380" s="662"/>
      <c r="D380" s="662"/>
      <c r="E380" s="662"/>
      <c r="F380" s="662"/>
      <c r="G380" s="662"/>
      <c r="H380" s="662"/>
      <c r="I380" s="662"/>
      <c r="J380" s="662"/>
      <c r="K380" s="662"/>
      <c r="L380" s="663"/>
      <c r="M380" s="662"/>
      <c r="N380" s="662"/>
      <c r="O380" s="662"/>
      <c r="P380" s="662"/>
      <c r="Q380" s="662"/>
      <c r="R380" s="662"/>
    </row>
    <row r="381" spans="1:18">
      <c r="A381" s="662"/>
      <c r="B381" s="662"/>
      <c r="C381" s="662"/>
      <c r="D381" s="662"/>
      <c r="E381" s="662"/>
      <c r="F381" s="662"/>
      <c r="G381" s="662"/>
      <c r="H381" s="662"/>
      <c r="I381" s="662"/>
      <c r="J381" s="662"/>
      <c r="K381" s="662"/>
      <c r="L381" s="663"/>
      <c r="M381" s="662"/>
      <c r="N381" s="662"/>
      <c r="O381" s="662"/>
      <c r="P381" s="662"/>
      <c r="Q381" s="662"/>
      <c r="R381" s="662"/>
    </row>
    <row r="382" spans="1:18">
      <c r="A382" s="662"/>
      <c r="B382" s="662"/>
      <c r="C382" s="662"/>
      <c r="D382" s="662"/>
      <c r="E382" s="662"/>
      <c r="F382" s="662"/>
      <c r="G382" s="662"/>
      <c r="H382" s="662"/>
      <c r="I382" s="662"/>
      <c r="J382" s="662"/>
      <c r="K382" s="662"/>
      <c r="L382" s="663"/>
      <c r="M382" s="662"/>
      <c r="N382" s="662"/>
      <c r="O382" s="662"/>
      <c r="P382" s="662"/>
      <c r="Q382" s="662"/>
      <c r="R382" s="662"/>
    </row>
    <row r="383" spans="1:18">
      <c r="A383" s="662"/>
      <c r="B383" s="662"/>
      <c r="C383" s="662"/>
      <c r="D383" s="662"/>
      <c r="E383" s="662"/>
      <c r="F383" s="662"/>
      <c r="G383" s="662"/>
      <c r="H383" s="662"/>
      <c r="I383" s="662"/>
      <c r="J383" s="662"/>
      <c r="K383" s="662"/>
      <c r="L383" s="663"/>
      <c r="M383" s="662"/>
      <c r="N383" s="662"/>
      <c r="O383" s="662"/>
      <c r="P383" s="662"/>
      <c r="Q383" s="662"/>
      <c r="R383" s="662"/>
    </row>
    <row r="384" spans="1:18">
      <c r="A384" s="662"/>
      <c r="B384" s="662"/>
      <c r="C384" s="662"/>
      <c r="D384" s="662"/>
      <c r="E384" s="662"/>
      <c r="F384" s="662"/>
      <c r="G384" s="662"/>
      <c r="H384" s="662"/>
      <c r="I384" s="662"/>
      <c r="J384" s="662"/>
      <c r="K384" s="662"/>
      <c r="L384" s="663"/>
      <c r="M384" s="662"/>
      <c r="N384" s="662"/>
      <c r="O384" s="662"/>
      <c r="P384" s="662"/>
      <c r="Q384" s="662"/>
      <c r="R384" s="662"/>
    </row>
    <row r="385" spans="1:18">
      <c r="A385" s="662"/>
      <c r="B385" s="662"/>
      <c r="C385" s="662"/>
      <c r="D385" s="662"/>
      <c r="E385" s="662"/>
      <c r="F385" s="662"/>
      <c r="G385" s="662"/>
      <c r="H385" s="662"/>
      <c r="I385" s="662"/>
      <c r="J385" s="662"/>
      <c r="K385" s="662"/>
      <c r="L385" s="663"/>
      <c r="M385" s="662"/>
      <c r="N385" s="662"/>
      <c r="O385" s="662"/>
      <c r="P385" s="662"/>
      <c r="Q385" s="662"/>
      <c r="R385" s="662"/>
    </row>
    <row r="386" spans="1:18">
      <c r="A386" s="662"/>
      <c r="B386" s="662"/>
      <c r="C386" s="662"/>
      <c r="D386" s="662"/>
      <c r="E386" s="662"/>
      <c r="F386" s="662"/>
      <c r="G386" s="662"/>
      <c r="H386" s="662"/>
      <c r="I386" s="662"/>
      <c r="J386" s="662"/>
      <c r="K386" s="662"/>
      <c r="L386" s="663"/>
      <c r="M386" s="662"/>
      <c r="N386" s="662"/>
      <c r="O386" s="662"/>
      <c r="P386" s="662"/>
      <c r="Q386" s="662"/>
      <c r="R386" s="662"/>
    </row>
    <row r="387" spans="1:18">
      <c r="A387" s="662"/>
      <c r="B387" s="662"/>
      <c r="C387" s="662"/>
      <c r="D387" s="662"/>
      <c r="E387" s="662"/>
      <c r="F387" s="662"/>
      <c r="G387" s="662"/>
      <c r="H387" s="662"/>
      <c r="I387" s="662"/>
      <c r="J387" s="662"/>
      <c r="K387" s="662"/>
      <c r="L387" s="663"/>
      <c r="M387" s="662"/>
      <c r="N387" s="662"/>
      <c r="O387" s="662"/>
      <c r="P387" s="662"/>
      <c r="Q387" s="662"/>
      <c r="R387" s="662"/>
    </row>
    <row r="388" spans="1:18">
      <c r="A388" s="662"/>
      <c r="B388" s="662"/>
      <c r="C388" s="662"/>
      <c r="D388" s="662"/>
      <c r="E388" s="662"/>
      <c r="F388" s="662"/>
      <c r="G388" s="662"/>
      <c r="H388" s="662"/>
      <c r="I388" s="662"/>
      <c r="J388" s="662"/>
      <c r="K388" s="662"/>
      <c r="L388" s="663"/>
      <c r="M388" s="662"/>
      <c r="N388" s="662"/>
      <c r="O388" s="662"/>
      <c r="P388" s="662"/>
      <c r="Q388" s="662"/>
      <c r="R388" s="662"/>
    </row>
    <row r="389" spans="1:18">
      <c r="A389" s="662"/>
      <c r="B389" s="662"/>
      <c r="C389" s="662"/>
      <c r="D389" s="662"/>
      <c r="E389" s="662"/>
      <c r="F389" s="662"/>
      <c r="G389" s="662"/>
      <c r="H389" s="662"/>
      <c r="I389" s="662"/>
      <c r="J389" s="662"/>
      <c r="K389" s="662"/>
      <c r="L389" s="663"/>
      <c r="M389" s="662"/>
      <c r="N389" s="662"/>
      <c r="O389" s="662"/>
      <c r="P389" s="662"/>
      <c r="Q389" s="662"/>
      <c r="R389" s="662"/>
    </row>
    <row r="390" spans="1:18">
      <c r="A390" s="662"/>
      <c r="B390" s="662"/>
      <c r="C390" s="662"/>
      <c r="D390" s="662"/>
      <c r="E390" s="662"/>
      <c r="F390" s="662"/>
      <c r="G390" s="662"/>
      <c r="H390" s="662"/>
      <c r="I390" s="662"/>
      <c r="J390" s="662"/>
      <c r="K390" s="662"/>
      <c r="L390" s="663"/>
      <c r="M390" s="662"/>
      <c r="N390" s="662"/>
      <c r="O390" s="662"/>
      <c r="P390" s="662"/>
      <c r="Q390" s="662"/>
      <c r="R390" s="662"/>
    </row>
    <row r="391" spans="1:18">
      <c r="A391" s="662"/>
      <c r="B391" s="662"/>
      <c r="C391" s="662"/>
      <c r="D391" s="662"/>
      <c r="E391" s="662"/>
      <c r="F391" s="662"/>
      <c r="G391" s="662"/>
      <c r="H391" s="662"/>
      <c r="I391" s="662"/>
      <c r="J391" s="662"/>
      <c r="K391" s="662"/>
      <c r="L391" s="663"/>
      <c r="M391" s="662"/>
      <c r="N391" s="662"/>
      <c r="O391" s="662"/>
      <c r="P391" s="662"/>
      <c r="Q391" s="662"/>
      <c r="R391" s="662"/>
    </row>
    <row r="392" spans="1:18">
      <c r="A392" s="662"/>
      <c r="B392" s="662"/>
      <c r="C392" s="662"/>
      <c r="D392" s="662"/>
      <c r="E392" s="662"/>
      <c r="F392" s="662"/>
      <c r="G392" s="662"/>
      <c r="H392" s="662"/>
      <c r="I392" s="662"/>
      <c r="J392" s="662"/>
      <c r="K392" s="662"/>
      <c r="L392" s="663"/>
      <c r="M392" s="662"/>
      <c r="N392" s="662"/>
      <c r="O392" s="662"/>
      <c r="P392" s="662"/>
      <c r="Q392" s="662"/>
      <c r="R392" s="662"/>
    </row>
    <row r="393" spans="1:18">
      <c r="A393" s="662"/>
      <c r="B393" s="662"/>
      <c r="C393" s="662"/>
      <c r="D393" s="662"/>
      <c r="E393" s="662"/>
      <c r="F393" s="662"/>
      <c r="G393" s="662"/>
      <c r="H393" s="662"/>
      <c r="I393" s="662"/>
      <c r="J393" s="662"/>
      <c r="K393" s="662"/>
      <c r="L393" s="663"/>
      <c r="M393" s="662"/>
      <c r="N393" s="662"/>
      <c r="O393" s="662"/>
      <c r="P393" s="662"/>
      <c r="Q393" s="662"/>
      <c r="R393" s="662"/>
    </row>
    <row r="394" spans="1:18">
      <c r="A394" s="662"/>
      <c r="B394" s="662"/>
      <c r="C394" s="662"/>
      <c r="D394" s="662"/>
      <c r="E394" s="662"/>
      <c r="F394" s="662"/>
      <c r="G394" s="662"/>
      <c r="H394" s="662"/>
      <c r="I394" s="662"/>
      <c r="J394" s="662"/>
      <c r="K394" s="662"/>
      <c r="L394" s="663"/>
      <c r="M394" s="662"/>
      <c r="N394" s="662"/>
      <c r="O394" s="662"/>
      <c r="P394" s="662"/>
      <c r="Q394" s="662"/>
      <c r="R394" s="662"/>
    </row>
    <row r="395" spans="1:18">
      <c r="A395" s="662"/>
      <c r="B395" s="662"/>
      <c r="C395" s="662"/>
      <c r="D395" s="662"/>
      <c r="E395" s="662"/>
      <c r="F395" s="662"/>
      <c r="G395" s="662"/>
      <c r="H395" s="662"/>
      <c r="I395" s="662"/>
      <c r="J395" s="662"/>
      <c r="K395" s="662"/>
      <c r="L395" s="663"/>
      <c r="M395" s="662"/>
      <c r="N395" s="662"/>
      <c r="O395" s="662"/>
      <c r="P395" s="662"/>
      <c r="Q395" s="662"/>
      <c r="R395" s="662"/>
    </row>
    <row r="396" spans="1:18">
      <c r="A396" s="662"/>
      <c r="B396" s="662"/>
      <c r="C396" s="662"/>
      <c r="D396" s="662"/>
      <c r="E396" s="662"/>
      <c r="F396" s="662"/>
      <c r="G396" s="662"/>
      <c r="H396" s="662"/>
      <c r="I396" s="662"/>
      <c r="J396" s="662"/>
      <c r="K396" s="662"/>
      <c r="L396" s="663"/>
      <c r="M396" s="662"/>
      <c r="N396" s="662"/>
      <c r="O396" s="662"/>
      <c r="P396" s="662"/>
      <c r="Q396" s="662"/>
      <c r="R396" s="662"/>
    </row>
    <row r="397" spans="1:18">
      <c r="A397" s="662"/>
      <c r="B397" s="662"/>
      <c r="C397" s="662"/>
      <c r="D397" s="662"/>
      <c r="E397" s="662"/>
      <c r="F397" s="662"/>
      <c r="G397" s="662"/>
      <c r="H397" s="662"/>
      <c r="I397" s="662"/>
      <c r="J397" s="662"/>
      <c r="K397" s="662"/>
      <c r="L397" s="663"/>
      <c r="M397" s="662"/>
      <c r="N397" s="662"/>
      <c r="O397" s="662"/>
      <c r="P397" s="662"/>
      <c r="Q397" s="662"/>
      <c r="R397" s="662"/>
    </row>
    <row r="398" spans="1:18">
      <c r="A398" s="662"/>
      <c r="B398" s="662"/>
      <c r="C398" s="662"/>
      <c r="D398" s="662"/>
      <c r="E398" s="662"/>
      <c r="F398" s="662"/>
      <c r="G398" s="662"/>
      <c r="H398" s="662"/>
      <c r="I398" s="662"/>
      <c r="J398" s="662"/>
      <c r="K398" s="662"/>
      <c r="L398" s="663"/>
      <c r="M398" s="662"/>
      <c r="N398" s="662"/>
      <c r="O398" s="662"/>
      <c r="P398" s="662"/>
      <c r="Q398" s="662"/>
      <c r="R398" s="662"/>
    </row>
    <row r="399" spans="1:18">
      <c r="A399" s="662"/>
      <c r="B399" s="662"/>
      <c r="C399" s="662"/>
      <c r="D399" s="662"/>
      <c r="E399" s="662"/>
      <c r="F399" s="662"/>
      <c r="G399" s="662"/>
      <c r="H399" s="662"/>
      <c r="I399" s="662"/>
      <c r="J399" s="662"/>
      <c r="K399" s="662"/>
      <c r="L399" s="663"/>
      <c r="M399" s="662"/>
      <c r="N399" s="662"/>
      <c r="O399" s="662"/>
      <c r="P399" s="662"/>
      <c r="Q399" s="662"/>
      <c r="R399" s="662"/>
    </row>
    <row r="400" spans="1:18">
      <c r="A400" s="662"/>
      <c r="B400" s="662"/>
      <c r="C400" s="662"/>
      <c r="D400" s="662"/>
      <c r="E400" s="662"/>
      <c r="F400" s="662"/>
      <c r="G400" s="662"/>
      <c r="H400" s="662"/>
      <c r="I400" s="662"/>
      <c r="J400" s="662"/>
      <c r="K400" s="662"/>
      <c r="L400" s="663"/>
      <c r="M400" s="662"/>
      <c r="N400" s="662"/>
      <c r="O400" s="662"/>
      <c r="P400" s="662"/>
      <c r="Q400" s="662"/>
      <c r="R400" s="662"/>
    </row>
    <row r="401" spans="1:18">
      <c r="A401" s="662"/>
      <c r="B401" s="662"/>
      <c r="C401" s="662"/>
      <c r="D401" s="662"/>
      <c r="E401" s="662"/>
      <c r="F401" s="662"/>
      <c r="G401" s="662"/>
      <c r="H401" s="662"/>
      <c r="I401" s="662"/>
      <c r="J401" s="662"/>
      <c r="K401" s="662"/>
      <c r="L401" s="663"/>
      <c r="M401" s="662"/>
      <c r="N401" s="662"/>
      <c r="O401" s="662"/>
      <c r="P401" s="662"/>
      <c r="Q401" s="662"/>
      <c r="R401" s="662"/>
    </row>
    <row r="402" spans="1:18">
      <c r="A402" s="662"/>
      <c r="B402" s="662"/>
      <c r="C402" s="662"/>
      <c r="D402" s="662"/>
      <c r="E402" s="662"/>
      <c r="F402" s="662"/>
      <c r="G402" s="662"/>
      <c r="H402" s="662"/>
      <c r="I402" s="662"/>
      <c r="J402" s="662"/>
      <c r="K402" s="662"/>
      <c r="L402" s="663"/>
      <c r="M402" s="662"/>
      <c r="N402" s="662"/>
      <c r="O402" s="662"/>
      <c r="P402" s="662"/>
      <c r="Q402" s="662"/>
      <c r="R402" s="662"/>
    </row>
    <row r="403" spans="1:18">
      <c r="A403" s="662"/>
      <c r="B403" s="662"/>
      <c r="C403" s="662"/>
      <c r="D403" s="662"/>
      <c r="E403" s="662"/>
      <c r="F403" s="662"/>
      <c r="G403" s="662"/>
      <c r="H403" s="662"/>
      <c r="I403" s="662"/>
      <c r="J403" s="662"/>
      <c r="K403" s="662"/>
      <c r="L403" s="663"/>
      <c r="M403" s="662"/>
      <c r="N403" s="662"/>
      <c r="O403" s="662"/>
      <c r="P403" s="662"/>
      <c r="Q403" s="662"/>
      <c r="R403" s="662"/>
    </row>
    <row r="404" spans="1:18">
      <c r="A404" s="662"/>
      <c r="B404" s="662"/>
      <c r="C404" s="662"/>
      <c r="D404" s="662"/>
      <c r="E404" s="662"/>
      <c r="F404" s="662"/>
      <c r="G404" s="662"/>
      <c r="H404" s="662"/>
      <c r="I404" s="662"/>
      <c r="J404" s="662"/>
      <c r="K404" s="662"/>
      <c r="L404" s="663"/>
      <c r="M404" s="662"/>
      <c r="N404" s="662"/>
      <c r="O404" s="662"/>
      <c r="P404" s="662"/>
      <c r="Q404" s="662"/>
      <c r="R404" s="662"/>
    </row>
    <row r="405" spans="1:18">
      <c r="A405" s="662"/>
      <c r="B405" s="662"/>
      <c r="C405" s="662"/>
      <c r="D405" s="662"/>
      <c r="E405" s="662"/>
      <c r="F405" s="662"/>
      <c r="G405" s="662"/>
      <c r="H405" s="662"/>
      <c r="I405" s="662"/>
      <c r="J405" s="662"/>
      <c r="K405" s="662"/>
      <c r="L405" s="663"/>
      <c r="M405" s="662"/>
      <c r="N405" s="662"/>
      <c r="O405" s="662"/>
      <c r="P405" s="662"/>
      <c r="Q405" s="662"/>
      <c r="R405" s="662"/>
    </row>
    <row r="406" spans="1:18">
      <c r="A406" s="662"/>
      <c r="B406" s="662"/>
      <c r="C406" s="662"/>
      <c r="D406" s="662"/>
      <c r="E406" s="662"/>
      <c r="F406" s="662"/>
      <c r="G406" s="662"/>
      <c r="H406" s="662"/>
      <c r="I406" s="662"/>
      <c r="J406" s="662"/>
      <c r="K406" s="662"/>
      <c r="L406" s="663"/>
      <c r="M406" s="662"/>
      <c r="N406" s="662"/>
      <c r="O406" s="662"/>
      <c r="P406" s="662"/>
      <c r="Q406" s="662"/>
      <c r="R406" s="662"/>
    </row>
    <row r="407" spans="1:18">
      <c r="A407" s="662"/>
      <c r="B407" s="662"/>
      <c r="C407" s="662"/>
      <c r="D407" s="662"/>
      <c r="E407" s="662"/>
      <c r="F407" s="662"/>
      <c r="G407" s="662"/>
      <c r="H407" s="662"/>
      <c r="I407" s="662"/>
      <c r="J407" s="662"/>
      <c r="K407" s="662"/>
      <c r="L407" s="663"/>
      <c r="M407" s="662"/>
      <c r="N407" s="662"/>
      <c r="O407" s="662"/>
      <c r="P407" s="662"/>
      <c r="Q407" s="662"/>
      <c r="R407" s="662"/>
    </row>
    <row r="408" spans="1:18">
      <c r="A408" s="662"/>
      <c r="B408" s="662"/>
      <c r="C408" s="662"/>
      <c r="D408" s="662"/>
      <c r="E408" s="662"/>
      <c r="F408" s="662"/>
      <c r="G408" s="662"/>
      <c r="H408" s="662"/>
      <c r="I408" s="662"/>
      <c r="J408" s="662"/>
      <c r="K408" s="662"/>
      <c r="L408" s="663"/>
      <c r="M408" s="662"/>
      <c r="N408" s="662"/>
      <c r="O408" s="662"/>
      <c r="P408" s="662"/>
      <c r="Q408" s="662"/>
      <c r="R408" s="662"/>
    </row>
    <row r="409" spans="1:18">
      <c r="A409" s="662"/>
      <c r="B409" s="662"/>
      <c r="C409" s="662"/>
      <c r="D409" s="662"/>
      <c r="E409" s="662"/>
      <c r="F409" s="662"/>
      <c r="G409" s="662"/>
      <c r="H409" s="662"/>
      <c r="I409" s="662"/>
      <c r="J409" s="662"/>
      <c r="K409" s="662"/>
      <c r="L409" s="663"/>
      <c r="M409" s="662"/>
      <c r="N409" s="662"/>
      <c r="O409" s="662"/>
      <c r="P409" s="662"/>
      <c r="Q409" s="662"/>
      <c r="R409" s="662"/>
    </row>
    <row r="410" spans="1:18">
      <c r="A410" s="662"/>
      <c r="B410" s="662"/>
      <c r="C410" s="662"/>
      <c r="D410" s="662"/>
      <c r="E410" s="662"/>
      <c r="F410" s="662"/>
      <c r="G410" s="662"/>
      <c r="H410" s="662"/>
      <c r="I410" s="662"/>
      <c r="J410" s="662"/>
      <c r="K410" s="662"/>
      <c r="L410" s="663"/>
      <c r="M410" s="662"/>
      <c r="N410" s="662"/>
      <c r="O410" s="662"/>
      <c r="P410" s="662"/>
      <c r="Q410" s="662"/>
      <c r="R410" s="662"/>
    </row>
    <row r="411" spans="1:18">
      <c r="A411" s="662"/>
      <c r="B411" s="662"/>
      <c r="C411" s="662"/>
      <c r="D411" s="662"/>
      <c r="E411" s="662"/>
      <c r="F411" s="662"/>
      <c r="G411" s="662"/>
      <c r="H411" s="662"/>
      <c r="I411" s="662"/>
      <c r="J411" s="662"/>
      <c r="K411" s="662"/>
      <c r="L411" s="663"/>
      <c r="M411" s="662"/>
      <c r="N411" s="662"/>
      <c r="O411" s="662"/>
      <c r="P411" s="662"/>
      <c r="Q411" s="662"/>
      <c r="R411" s="662"/>
    </row>
    <row r="412" spans="1:18">
      <c r="A412" s="662"/>
      <c r="B412" s="662"/>
      <c r="C412" s="662"/>
      <c r="D412" s="662"/>
      <c r="E412" s="662"/>
      <c r="F412" s="662"/>
      <c r="G412" s="662"/>
      <c r="H412" s="662"/>
      <c r="I412" s="662"/>
      <c r="J412" s="662"/>
      <c r="K412" s="662"/>
      <c r="L412" s="663"/>
      <c r="M412" s="662"/>
      <c r="N412" s="662"/>
      <c r="O412" s="662"/>
      <c r="P412" s="662"/>
      <c r="Q412" s="662"/>
      <c r="R412" s="662"/>
    </row>
    <row r="413" spans="1:18">
      <c r="A413" s="662"/>
      <c r="B413" s="662"/>
      <c r="C413" s="662"/>
      <c r="D413" s="662"/>
      <c r="E413" s="662"/>
      <c r="F413" s="662"/>
      <c r="G413" s="662"/>
      <c r="H413" s="662"/>
      <c r="I413" s="662"/>
      <c r="J413" s="662"/>
      <c r="K413" s="662"/>
      <c r="L413" s="663"/>
      <c r="M413" s="662"/>
      <c r="N413" s="662"/>
      <c r="O413" s="662"/>
      <c r="P413" s="662"/>
      <c r="Q413" s="662"/>
      <c r="R413" s="662"/>
    </row>
    <row r="414" spans="1:18">
      <c r="A414" s="662"/>
      <c r="B414" s="662"/>
      <c r="C414" s="662"/>
      <c r="D414" s="662"/>
      <c r="E414" s="662"/>
      <c r="F414" s="662"/>
      <c r="G414" s="662"/>
      <c r="H414" s="662"/>
      <c r="I414" s="662"/>
      <c r="J414" s="662"/>
      <c r="K414" s="662"/>
      <c r="L414" s="663"/>
      <c r="M414" s="662"/>
      <c r="N414" s="662"/>
      <c r="O414" s="662"/>
      <c r="P414" s="662"/>
      <c r="Q414" s="662"/>
      <c r="R414" s="662"/>
    </row>
    <row r="415" spans="1:18">
      <c r="A415" s="662"/>
      <c r="B415" s="662"/>
      <c r="C415" s="662"/>
      <c r="D415" s="662"/>
      <c r="E415" s="662"/>
      <c r="F415" s="662"/>
      <c r="G415" s="662"/>
      <c r="H415" s="662"/>
      <c r="I415" s="662"/>
      <c r="J415" s="662"/>
      <c r="K415" s="662"/>
      <c r="L415" s="663"/>
      <c r="M415" s="662"/>
      <c r="N415" s="662"/>
      <c r="O415" s="662"/>
      <c r="P415" s="662"/>
      <c r="Q415" s="662"/>
      <c r="R415" s="662"/>
    </row>
    <row r="416" spans="1:18">
      <c r="A416" s="662"/>
      <c r="B416" s="662"/>
      <c r="C416" s="662"/>
      <c r="D416" s="662"/>
      <c r="E416" s="662"/>
      <c r="F416" s="662"/>
      <c r="G416" s="662"/>
      <c r="H416" s="662"/>
      <c r="I416" s="662"/>
      <c r="J416" s="662"/>
      <c r="K416" s="662"/>
      <c r="L416" s="663"/>
      <c r="M416" s="662"/>
      <c r="N416" s="662"/>
      <c r="O416" s="662"/>
      <c r="P416" s="662"/>
      <c r="Q416" s="662"/>
      <c r="R416" s="662"/>
    </row>
    <row r="417" spans="1:18">
      <c r="A417" s="662"/>
      <c r="B417" s="662"/>
      <c r="C417" s="662"/>
      <c r="D417" s="662"/>
      <c r="E417" s="662"/>
      <c r="F417" s="662"/>
      <c r="G417" s="662"/>
      <c r="H417" s="662"/>
      <c r="I417" s="662"/>
      <c r="J417" s="662"/>
      <c r="K417" s="662"/>
      <c r="L417" s="663"/>
      <c r="M417" s="662"/>
      <c r="N417" s="662"/>
      <c r="O417" s="662"/>
      <c r="P417" s="662"/>
      <c r="Q417" s="662"/>
      <c r="R417" s="662"/>
    </row>
    <row r="418" spans="1:18">
      <c r="A418" s="662"/>
      <c r="B418" s="662"/>
      <c r="C418" s="662"/>
      <c r="D418" s="662"/>
      <c r="E418" s="662"/>
      <c r="F418" s="662"/>
      <c r="G418" s="662"/>
      <c r="H418" s="662"/>
      <c r="I418" s="662"/>
      <c r="J418" s="662"/>
      <c r="K418" s="662"/>
      <c r="L418" s="663"/>
      <c r="M418" s="662"/>
      <c r="N418" s="662"/>
      <c r="O418" s="662"/>
      <c r="P418" s="662"/>
      <c r="Q418" s="662"/>
      <c r="R418" s="662"/>
    </row>
    <row r="419" spans="1:18">
      <c r="A419" s="662"/>
      <c r="B419" s="662"/>
      <c r="C419" s="662"/>
      <c r="D419" s="662"/>
      <c r="E419" s="662"/>
      <c r="F419" s="662"/>
      <c r="G419" s="662"/>
      <c r="H419" s="662"/>
      <c r="I419" s="662"/>
      <c r="J419" s="662"/>
      <c r="K419" s="662"/>
      <c r="L419" s="663"/>
      <c r="M419" s="662"/>
      <c r="N419" s="662"/>
      <c r="O419" s="662"/>
      <c r="P419" s="662"/>
      <c r="Q419" s="662"/>
      <c r="R419" s="662"/>
    </row>
    <row r="420" spans="1:18">
      <c r="A420" s="662"/>
      <c r="B420" s="662"/>
      <c r="C420" s="662"/>
      <c r="D420" s="662"/>
      <c r="E420" s="662"/>
      <c r="F420" s="662"/>
      <c r="G420" s="662"/>
      <c r="H420" s="662"/>
      <c r="I420" s="662"/>
      <c r="J420" s="662"/>
      <c r="K420" s="662"/>
      <c r="L420" s="663"/>
      <c r="M420" s="662"/>
      <c r="N420" s="662"/>
      <c r="O420" s="662"/>
      <c r="P420" s="662"/>
      <c r="Q420" s="662"/>
      <c r="R420" s="662"/>
    </row>
    <row r="421" spans="1:18">
      <c r="A421" s="662"/>
      <c r="B421" s="662"/>
      <c r="C421" s="662"/>
      <c r="D421" s="662"/>
      <c r="E421" s="662"/>
      <c r="F421" s="662"/>
      <c r="G421" s="662"/>
      <c r="H421" s="662"/>
      <c r="I421" s="662"/>
      <c r="J421" s="662"/>
      <c r="K421" s="662"/>
      <c r="L421" s="663"/>
      <c r="M421" s="662"/>
      <c r="N421" s="662"/>
      <c r="O421" s="662"/>
      <c r="P421" s="662"/>
      <c r="Q421" s="662"/>
      <c r="R421" s="662"/>
    </row>
    <row r="422" spans="1:18">
      <c r="A422" s="662"/>
      <c r="B422" s="662"/>
      <c r="C422" s="662"/>
      <c r="D422" s="662"/>
      <c r="E422" s="662"/>
      <c r="F422" s="662"/>
      <c r="G422" s="662"/>
      <c r="H422" s="662"/>
      <c r="I422" s="662"/>
      <c r="J422" s="662"/>
      <c r="K422" s="662"/>
      <c r="L422" s="663"/>
      <c r="M422" s="662"/>
      <c r="N422" s="662"/>
      <c r="O422" s="662"/>
      <c r="P422" s="662"/>
      <c r="Q422" s="662"/>
      <c r="R422" s="662"/>
    </row>
    <row r="423" spans="1:18">
      <c r="A423" s="662"/>
      <c r="B423" s="662"/>
      <c r="C423" s="662"/>
      <c r="D423" s="662"/>
      <c r="E423" s="662"/>
      <c r="F423" s="662"/>
      <c r="G423" s="662"/>
      <c r="H423" s="662"/>
      <c r="I423" s="662"/>
      <c r="J423" s="662"/>
      <c r="K423" s="662"/>
      <c r="L423" s="663"/>
      <c r="M423" s="662"/>
      <c r="N423" s="662"/>
      <c r="O423" s="662"/>
      <c r="P423" s="662"/>
      <c r="Q423" s="662"/>
      <c r="R423" s="662"/>
    </row>
    <row r="424" spans="1:18">
      <c r="A424" s="662"/>
      <c r="B424" s="662"/>
      <c r="C424" s="662"/>
      <c r="D424" s="662"/>
      <c r="E424" s="662"/>
      <c r="F424" s="662"/>
      <c r="G424" s="662"/>
      <c r="H424" s="662"/>
      <c r="I424" s="662"/>
      <c r="J424" s="662"/>
      <c r="K424" s="662"/>
      <c r="L424" s="663"/>
      <c r="M424" s="662"/>
      <c r="N424" s="662"/>
      <c r="O424" s="662"/>
      <c r="P424" s="662"/>
      <c r="Q424" s="662"/>
      <c r="R424" s="662"/>
    </row>
    <row r="425" spans="1:18">
      <c r="A425" s="662"/>
      <c r="B425" s="662"/>
      <c r="C425" s="662"/>
      <c r="D425" s="662"/>
      <c r="E425" s="662"/>
      <c r="F425" s="662"/>
      <c r="G425" s="662"/>
      <c r="H425" s="662"/>
      <c r="I425" s="662"/>
      <c r="J425" s="662"/>
      <c r="K425" s="662"/>
      <c r="L425" s="663"/>
      <c r="M425" s="662"/>
      <c r="N425" s="662"/>
      <c r="O425" s="662"/>
      <c r="P425" s="662"/>
      <c r="Q425" s="662"/>
      <c r="R425" s="662"/>
    </row>
    <row r="426" spans="1:18">
      <c r="A426" s="662"/>
      <c r="B426" s="662"/>
      <c r="C426" s="662"/>
      <c r="D426" s="662"/>
      <c r="E426" s="662"/>
      <c r="F426" s="662"/>
      <c r="G426" s="662"/>
      <c r="H426" s="662"/>
      <c r="I426" s="662"/>
      <c r="J426" s="662"/>
      <c r="K426" s="662"/>
      <c r="L426" s="663"/>
      <c r="M426" s="662"/>
      <c r="N426" s="662"/>
      <c r="O426" s="662"/>
      <c r="P426" s="662"/>
      <c r="Q426" s="662"/>
      <c r="R426" s="662"/>
    </row>
    <row r="427" spans="1:18">
      <c r="A427" s="662"/>
      <c r="B427" s="662"/>
      <c r="C427" s="662"/>
      <c r="D427" s="662"/>
      <c r="E427" s="662"/>
      <c r="F427" s="662"/>
      <c r="G427" s="662"/>
      <c r="H427" s="662"/>
      <c r="I427" s="662"/>
      <c r="J427" s="662"/>
      <c r="K427" s="662"/>
      <c r="L427" s="663"/>
      <c r="M427" s="662"/>
      <c r="N427" s="662"/>
      <c r="O427" s="662"/>
      <c r="P427" s="662"/>
      <c r="Q427" s="662"/>
      <c r="R427" s="662"/>
    </row>
    <row r="428" spans="1:18">
      <c r="A428" s="662"/>
      <c r="B428" s="662"/>
      <c r="C428" s="662"/>
      <c r="D428" s="662"/>
      <c r="E428" s="662"/>
      <c r="F428" s="662"/>
      <c r="G428" s="662"/>
      <c r="H428" s="662"/>
      <c r="I428" s="662"/>
      <c r="J428" s="662"/>
      <c r="K428" s="662"/>
      <c r="L428" s="663"/>
      <c r="M428" s="662"/>
      <c r="N428" s="662"/>
      <c r="O428" s="662"/>
      <c r="P428" s="662"/>
      <c r="Q428" s="662"/>
      <c r="R428" s="662"/>
    </row>
    <row r="429" spans="1:18">
      <c r="A429" s="662"/>
      <c r="B429" s="662"/>
      <c r="C429" s="662"/>
      <c r="D429" s="662"/>
      <c r="E429" s="662"/>
      <c r="F429" s="662"/>
      <c r="G429" s="662"/>
      <c r="H429" s="662"/>
      <c r="I429" s="662"/>
      <c r="J429" s="662"/>
      <c r="K429" s="662"/>
      <c r="L429" s="663"/>
      <c r="M429" s="662"/>
      <c r="N429" s="662"/>
      <c r="O429" s="662"/>
      <c r="P429" s="662"/>
      <c r="Q429" s="662"/>
      <c r="R429" s="662"/>
    </row>
    <row r="430" spans="1:18">
      <c r="A430" s="662"/>
      <c r="B430" s="662"/>
      <c r="C430" s="662"/>
      <c r="D430" s="662"/>
      <c r="E430" s="662"/>
      <c r="F430" s="662"/>
      <c r="G430" s="662"/>
      <c r="H430" s="662"/>
      <c r="I430" s="662"/>
      <c r="J430" s="662"/>
      <c r="K430" s="662"/>
      <c r="L430" s="663"/>
      <c r="M430" s="662"/>
      <c r="N430" s="662"/>
      <c r="O430" s="662"/>
      <c r="P430" s="662"/>
      <c r="Q430" s="662"/>
      <c r="R430" s="662"/>
    </row>
    <row r="431" spans="1:18">
      <c r="A431" s="662"/>
      <c r="B431" s="662"/>
      <c r="C431" s="662"/>
      <c r="D431" s="662"/>
      <c r="E431" s="662"/>
      <c r="F431" s="662"/>
      <c r="G431" s="662"/>
      <c r="H431" s="662"/>
      <c r="I431" s="662"/>
      <c r="J431" s="662"/>
      <c r="K431" s="662"/>
      <c r="L431" s="663"/>
      <c r="M431" s="662"/>
      <c r="N431" s="662"/>
      <c r="O431" s="662"/>
      <c r="P431" s="662"/>
      <c r="Q431" s="662"/>
      <c r="R431" s="662"/>
    </row>
    <row r="432" spans="1:18">
      <c r="A432" s="662"/>
      <c r="B432" s="662"/>
      <c r="C432" s="662"/>
      <c r="D432" s="662"/>
      <c r="E432" s="662"/>
      <c r="F432" s="662"/>
      <c r="G432" s="662"/>
      <c r="H432" s="662"/>
      <c r="I432" s="662"/>
      <c r="J432" s="662"/>
      <c r="K432" s="662"/>
      <c r="L432" s="663"/>
      <c r="M432" s="662"/>
      <c r="N432" s="662"/>
      <c r="O432" s="662"/>
      <c r="P432" s="662"/>
      <c r="Q432" s="662"/>
      <c r="R432" s="662"/>
    </row>
    <row r="433" spans="1:18">
      <c r="A433" s="662"/>
      <c r="B433" s="662"/>
      <c r="C433" s="662"/>
      <c r="D433" s="662"/>
      <c r="E433" s="662"/>
      <c r="F433" s="662"/>
      <c r="G433" s="662"/>
      <c r="H433" s="662"/>
      <c r="I433" s="662"/>
      <c r="J433" s="662"/>
      <c r="K433" s="662"/>
      <c r="L433" s="663"/>
      <c r="M433" s="662"/>
      <c r="N433" s="662"/>
      <c r="O433" s="662"/>
      <c r="P433" s="662"/>
      <c r="Q433" s="662"/>
      <c r="R433" s="662"/>
    </row>
    <row r="434" spans="1:18">
      <c r="A434" s="662"/>
      <c r="B434" s="662"/>
      <c r="C434" s="662"/>
      <c r="D434" s="662"/>
      <c r="E434" s="662"/>
      <c r="F434" s="662"/>
      <c r="G434" s="662"/>
      <c r="H434" s="662"/>
      <c r="I434" s="662"/>
      <c r="J434" s="662"/>
      <c r="K434" s="662"/>
      <c r="L434" s="663"/>
      <c r="M434" s="662"/>
      <c r="N434" s="662"/>
      <c r="O434" s="662"/>
      <c r="P434" s="662"/>
      <c r="Q434" s="662"/>
      <c r="R434" s="662"/>
    </row>
    <row r="435" spans="1:18">
      <c r="A435" s="662"/>
      <c r="B435" s="662"/>
      <c r="C435" s="662"/>
      <c r="D435" s="662"/>
      <c r="E435" s="662"/>
      <c r="F435" s="662"/>
      <c r="G435" s="662"/>
      <c r="H435" s="662"/>
      <c r="I435" s="662"/>
      <c r="J435" s="662"/>
      <c r="K435" s="662"/>
      <c r="L435" s="663"/>
      <c r="M435" s="662"/>
      <c r="N435" s="662"/>
      <c r="O435" s="662"/>
      <c r="P435" s="662"/>
      <c r="Q435" s="662"/>
      <c r="R435" s="662"/>
    </row>
    <row r="436" spans="1:18">
      <c r="A436" s="662"/>
      <c r="B436" s="662"/>
      <c r="C436" s="662"/>
      <c r="D436" s="662"/>
      <c r="E436" s="662"/>
      <c r="F436" s="662"/>
      <c r="G436" s="662"/>
      <c r="H436" s="662"/>
      <c r="I436" s="662"/>
      <c r="J436" s="662"/>
      <c r="K436" s="662"/>
      <c r="L436" s="663"/>
      <c r="M436" s="662"/>
      <c r="N436" s="662"/>
      <c r="O436" s="662"/>
      <c r="P436" s="662"/>
      <c r="Q436" s="662"/>
      <c r="R436" s="662"/>
    </row>
    <row r="437" spans="1:18">
      <c r="A437" s="662"/>
      <c r="B437" s="662"/>
      <c r="C437" s="662"/>
      <c r="D437" s="662"/>
      <c r="E437" s="662"/>
      <c r="F437" s="662"/>
      <c r="G437" s="662"/>
      <c r="H437" s="662"/>
      <c r="I437" s="662"/>
      <c r="J437" s="662"/>
      <c r="K437" s="662"/>
      <c r="L437" s="663"/>
      <c r="M437" s="662"/>
      <c r="N437" s="662"/>
      <c r="O437" s="662"/>
      <c r="P437" s="662"/>
      <c r="Q437" s="662"/>
      <c r="R437" s="662"/>
    </row>
    <row r="438" spans="1:18">
      <c r="A438" s="662"/>
      <c r="B438" s="662"/>
      <c r="C438" s="662"/>
      <c r="D438" s="662"/>
      <c r="E438" s="662"/>
      <c r="F438" s="662"/>
      <c r="G438" s="662"/>
      <c r="H438" s="662"/>
      <c r="I438" s="662"/>
      <c r="J438" s="662"/>
      <c r="K438" s="662"/>
      <c r="L438" s="663"/>
      <c r="M438" s="662"/>
      <c r="N438" s="662"/>
      <c r="O438" s="662"/>
      <c r="P438" s="662"/>
      <c r="Q438" s="662"/>
      <c r="R438" s="662"/>
    </row>
    <row r="439" spans="1:18">
      <c r="A439" s="662"/>
      <c r="B439" s="662"/>
      <c r="C439" s="662"/>
      <c r="D439" s="662"/>
      <c r="E439" s="662"/>
      <c r="F439" s="662"/>
      <c r="G439" s="662"/>
      <c r="H439" s="662"/>
      <c r="I439" s="662"/>
      <c r="J439" s="662"/>
      <c r="K439" s="662"/>
      <c r="L439" s="663"/>
      <c r="M439" s="662"/>
      <c r="N439" s="662"/>
      <c r="O439" s="662"/>
      <c r="P439" s="662"/>
      <c r="Q439" s="662"/>
      <c r="R439" s="662"/>
    </row>
    <row r="440" spans="1:18">
      <c r="A440" s="662"/>
      <c r="B440" s="662"/>
      <c r="C440" s="662"/>
      <c r="D440" s="662"/>
      <c r="E440" s="662"/>
      <c r="F440" s="662"/>
      <c r="G440" s="662"/>
      <c r="H440" s="662"/>
      <c r="I440" s="662"/>
      <c r="J440" s="662"/>
      <c r="K440" s="662"/>
      <c r="L440" s="663"/>
      <c r="M440" s="662"/>
      <c r="N440" s="662"/>
      <c r="O440" s="662"/>
      <c r="P440" s="662"/>
      <c r="Q440" s="662"/>
      <c r="R440" s="662"/>
    </row>
    <row r="441" spans="1:18">
      <c r="A441" s="662"/>
      <c r="B441" s="662"/>
      <c r="C441" s="662"/>
      <c r="D441" s="662"/>
      <c r="E441" s="662"/>
      <c r="F441" s="662"/>
      <c r="G441" s="662"/>
      <c r="H441" s="662"/>
      <c r="I441" s="662"/>
      <c r="J441" s="662"/>
      <c r="K441" s="662"/>
      <c r="L441" s="663"/>
      <c r="M441" s="662"/>
      <c r="N441" s="662"/>
      <c r="O441" s="662"/>
      <c r="P441" s="662"/>
      <c r="Q441" s="662"/>
      <c r="R441" s="662"/>
    </row>
    <row r="442" spans="1:18">
      <c r="A442" s="662"/>
      <c r="B442" s="662"/>
      <c r="C442" s="662"/>
      <c r="D442" s="662"/>
      <c r="E442" s="662"/>
      <c r="F442" s="662"/>
      <c r="G442" s="662"/>
      <c r="H442" s="662"/>
      <c r="I442" s="662"/>
      <c r="J442" s="662"/>
      <c r="K442" s="662"/>
      <c r="L442" s="663"/>
      <c r="M442" s="662"/>
      <c r="N442" s="662"/>
      <c r="O442" s="662"/>
      <c r="P442" s="662"/>
      <c r="Q442" s="662"/>
      <c r="R442" s="662"/>
    </row>
    <row r="443" spans="1:18">
      <c r="A443" s="662"/>
      <c r="B443" s="662"/>
      <c r="C443" s="662"/>
      <c r="D443" s="662"/>
      <c r="E443" s="662"/>
      <c r="F443" s="662"/>
      <c r="G443" s="662"/>
      <c r="H443" s="662"/>
      <c r="I443" s="662"/>
      <c r="J443" s="662"/>
      <c r="K443" s="662"/>
      <c r="L443" s="663"/>
      <c r="M443" s="662"/>
      <c r="N443" s="662"/>
      <c r="O443" s="662"/>
      <c r="P443" s="662"/>
      <c r="Q443" s="662"/>
      <c r="R443" s="662"/>
    </row>
    <row r="444" spans="1:18">
      <c r="A444" s="662"/>
      <c r="B444" s="662"/>
      <c r="C444" s="662"/>
      <c r="D444" s="662"/>
      <c r="E444" s="662"/>
      <c r="F444" s="662"/>
      <c r="G444" s="662"/>
      <c r="H444" s="662"/>
      <c r="I444" s="662"/>
      <c r="J444" s="662"/>
      <c r="K444" s="662"/>
      <c r="L444" s="663"/>
      <c r="M444" s="662"/>
      <c r="N444" s="662"/>
      <c r="O444" s="662"/>
      <c r="P444" s="662"/>
      <c r="Q444" s="662"/>
      <c r="R444" s="662"/>
    </row>
    <row r="445" spans="1:18">
      <c r="A445" s="662"/>
      <c r="B445" s="662"/>
      <c r="C445" s="662"/>
      <c r="D445" s="662"/>
      <c r="E445" s="662"/>
      <c r="F445" s="662"/>
      <c r="G445" s="662"/>
      <c r="H445" s="662"/>
      <c r="I445" s="662"/>
      <c r="J445" s="662"/>
      <c r="K445" s="662"/>
      <c r="L445" s="663"/>
      <c r="M445" s="662"/>
      <c r="N445" s="662"/>
      <c r="O445" s="662"/>
      <c r="P445" s="662"/>
      <c r="Q445" s="662"/>
      <c r="R445" s="662"/>
    </row>
    <row r="446" spans="1:18">
      <c r="A446" s="662"/>
      <c r="B446" s="662"/>
      <c r="C446" s="662"/>
      <c r="D446" s="662"/>
      <c r="E446" s="662"/>
      <c r="F446" s="662"/>
      <c r="G446" s="662"/>
      <c r="H446" s="662"/>
      <c r="I446" s="662"/>
      <c r="J446" s="662"/>
      <c r="K446" s="662"/>
      <c r="L446" s="663"/>
      <c r="M446" s="662"/>
      <c r="N446" s="662"/>
      <c r="O446" s="662"/>
      <c r="P446" s="662"/>
      <c r="Q446" s="662"/>
      <c r="R446" s="662"/>
    </row>
    <row r="447" spans="1:18">
      <c r="A447" s="662"/>
      <c r="B447" s="662"/>
      <c r="C447" s="662"/>
      <c r="D447" s="662"/>
      <c r="E447" s="662"/>
      <c r="F447" s="662"/>
      <c r="G447" s="662"/>
      <c r="H447" s="662"/>
      <c r="I447" s="662"/>
      <c r="J447" s="662"/>
      <c r="K447" s="662"/>
      <c r="L447" s="663"/>
      <c r="M447" s="662"/>
      <c r="N447" s="662"/>
      <c r="O447" s="662"/>
      <c r="P447" s="662"/>
      <c r="Q447" s="662"/>
      <c r="R447" s="662"/>
    </row>
    <row r="448" spans="1:18">
      <c r="A448" s="662"/>
      <c r="B448" s="662"/>
      <c r="C448" s="662"/>
      <c r="D448" s="662"/>
      <c r="E448" s="662"/>
      <c r="F448" s="662"/>
      <c r="G448" s="662"/>
      <c r="H448" s="662"/>
      <c r="I448" s="662"/>
      <c r="J448" s="662"/>
      <c r="K448" s="662"/>
      <c r="L448" s="663"/>
      <c r="M448" s="662"/>
      <c r="N448" s="662"/>
      <c r="O448" s="662"/>
      <c r="P448" s="662"/>
      <c r="Q448" s="662"/>
      <c r="R448" s="662"/>
    </row>
    <row r="449" spans="1:18">
      <c r="A449" s="662"/>
      <c r="B449" s="662"/>
      <c r="C449" s="662"/>
      <c r="D449" s="662"/>
      <c r="E449" s="662"/>
      <c r="F449" s="662"/>
      <c r="G449" s="662"/>
      <c r="H449" s="662"/>
      <c r="I449" s="662"/>
      <c r="J449" s="662"/>
      <c r="K449" s="662"/>
      <c r="L449" s="663"/>
      <c r="M449" s="662"/>
      <c r="N449" s="662"/>
      <c r="O449" s="662"/>
      <c r="P449" s="662"/>
      <c r="Q449" s="662"/>
      <c r="R449" s="662"/>
    </row>
    <row r="450" spans="1:18">
      <c r="A450" s="662"/>
      <c r="B450" s="662"/>
      <c r="C450" s="662"/>
      <c r="D450" s="662"/>
      <c r="E450" s="662"/>
      <c r="F450" s="662"/>
      <c r="G450" s="662"/>
      <c r="H450" s="662"/>
      <c r="I450" s="662"/>
      <c r="J450" s="662"/>
      <c r="K450" s="662"/>
      <c r="L450" s="663"/>
      <c r="M450" s="662"/>
      <c r="N450" s="662"/>
      <c r="O450" s="662"/>
      <c r="P450" s="662"/>
      <c r="Q450" s="662"/>
      <c r="R450" s="662"/>
    </row>
    <row r="451" spans="1:18">
      <c r="A451" s="662"/>
      <c r="B451" s="662"/>
      <c r="C451" s="662"/>
      <c r="D451" s="662"/>
      <c r="E451" s="662"/>
      <c r="F451" s="662"/>
      <c r="G451" s="662"/>
      <c r="H451" s="662"/>
      <c r="I451" s="662"/>
      <c r="J451" s="662"/>
      <c r="K451" s="662"/>
      <c r="L451" s="663"/>
      <c r="M451" s="662"/>
      <c r="N451" s="662"/>
      <c r="O451" s="662"/>
      <c r="P451" s="662"/>
      <c r="Q451" s="662"/>
      <c r="R451" s="662"/>
    </row>
    <row r="452" spans="1:18">
      <c r="A452" s="662"/>
      <c r="B452" s="662"/>
      <c r="C452" s="662"/>
      <c r="D452" s="662"/>
      <c r="E452" s="662"/>
      <c r="F452" s="662"/>
      <c r="G452" s="662"/>
      <c r="H452" s="662"/>
      <c r="I452" s="662"/>
      <c r="J452" s="662"/>
      <c r="K452" s="662"/>
      <c r="L452" s="663"/>
      <c r="M452" s="662"/>
      <c r="N452" s="662"/>
      <c r="O452" s="662"/>
      <c r="P452" s="662"/>
      <c r="Q452" s="662"/>
      <c r="R452" s="662"/>
    </row>
    <row r="453" spans="1:18">
      <c r="A453" s="662"/>
      <c r="B453" s="662"/>
      <c r="C453" s="662"/>
      <c r="D453" s="662"/>
      <c r="E453" s="662"/>
      <c r="F453" s="662"/>
      <c r="G453" s="662"/>
      <c r="H453" s="662"/>
      <c r="I453" s="662"/>
      <c r="J453" s="662"/>
      <c r="K453" s="662"/>
      <c r="L453" s="663"/>
      <c r="M453" s="662"/>
      <c r="N453" s="662"/>
      <c r="O453" s="662"/>
      <c r="P453" s="662"/>
      <c r="Q453" s="662"/>
      <c r="R453" s="662"/>
    </row>
    <row r="454" spans="1:18">
      <c r="A454" s="662"/>
      <c r="B454" s="662"/>
      <c r="C454" s="662"/>
      <c r="D454" s="662"/>
      <c r="E454" s="662"/>
      <c r="F454" s="662"/>
      <c r="G454" s="662"/>
      <c r="H454" s="662"/>
      <c r="I454" s="662"/>
      <c r="J454" s="662"/>
      <c r="K454" s="662"/>
      <c r="L454" s="663"/>
      <c r="M454" s="662"/>
      <c r="N454" s="662"/>
      <c r="O454" s="662"/>
      <c r="P454" s="662"/>
      <c r="Q454" s="662"/>
      <c r="R454" s="662"/>
    </row>
    <row r="455" spans="1:18">
      <c r="A455" s="662"/>
      <c r="B455" s="662"/>
      <c r="C455" s="662"/>
      <c r="D455" s="662"/>
      <c r="E455" s="662"/>
      <c r="F455" s="662"/>
      <c r="G455" s="662"/>
      <c r="H455" s="662"/>
      <c r="I455" s="662"/>
      <c r="J455" s="662"/>
      <c r="K455" s="662"/>
      <c r="L455" s="663"/>
      <c r="M455" s="662"/>
      <c r="N455" s="662"/>
      <c r="O455" s="662"/>
      <c r="P455" s="662"/>
      <c r="Q455" s="662"/>
      <c r="R455" s="662"/>
    </row>
    <row r="456" spans="1:18">
      <c r="A456" s="662"/>
      <c r="B456" s="662"/>
      <c r="C456" s="662"/>
      <c r="D456" s="662"/>
      <c r="E456" s="662"/>
      <c r="F456" s="662"/>
      <c r="G456" s="662"/>
      <c r="H456" s="662"/>
      <c r="I456" s="662"/>
      <c r="J456" s="662"/>
      <c r="K456" s="662"/>
      <c r="L456" s="663"/>
      <c r="M456" s="662"/>
      <c r="N456" s="662"/>
      <c r="O456" s="662"/>
      <c r="P456" s="662"/>
      <c r="Q456" s="662"/>
      <c r="R456" s="662"/>
    </row>
    <row r="457" spans="1:18">
      <c r="A457" s="662"/>
      <c r="B457" s="662"/>
      <c r="C457" s="662"/>
      <c r="D457" s="662"/>
      <c r="E457" s="662"/>
      <c r="F457" s="662"/>
      <c r="G457" s="662"/>
      <c r="H457" s="662"/>
      <c r="I457" s="662"/>
      <c r="J457" s="662"/>
      <c r="K457" s="662"/>
      <c r="L457" s="663"/>
      <c r="M457" s="662"/>
      <c r="N457" s="662"/>
      <c r="O457" s="662"/>
      <c r="P457" s="662"/>
      <c r="Q457" s="662"/>
      <c r="R457" s="662"/>
    </row>
    <row r="458" spans="1:18">
      <c r="A458" s="662"/>
      <c r="B458" s="662"/>
      <c r="C458" s="662"/>
      <c r="D458" s="662"/>
      <c r="E458" s="662"/>
      <c r="F458" s="662"/>
      <c r="G458" s="662"/>
      <c r="H458" s="662"/>
      <c r="I458" s="662"/>
      <c r="J458" s="662"/>
      <c r="K458" s="662"/>
      <c r="L458" s="663"/>
      <c r="M458" s="662"/>
      <c r="N458" s="662"/>
      <c r="O458" s="662"/>
      <c r="P458" s="662"/>
      <c r="Q458" s="662"/>
      <c r="R458" s="662"/>
    </row>
    <row r="459" spans="1:18">
      <c r="A459" s="662"/>
      <c r="B459" s="662"/>
      <c r="C459" s="662"/>
      <c r="D459" s="662"/>
      <c r="E459" s="662"/>
      <c r="F459" s="662"/>
      <c r="G459" s="662"/>
      <c r="H459" s="662"/>
      <c r="I459" s="662"/>
      <c r="J459" s="662"/>
      <c r="K459" s="662"/>
      <c r="L459" s="663"/>
      <c r="M459" s="662"/>
      <c r="N459" s="662"/>
      <c r="O459" s="662"/>
      <c r="P459" s="662"/>
      <c r="Q459" s="662"/>
      <c r="R459" s="662"/>
    </row>
    <row r="460" spans="1:18">
      <c r="A460" s="662"/>
      <c r="B460" s="662"/>
      <c r="C460" s="662"/>
      <c r="D460" s="662"/>
      <c r="E460" s="662"/>
      <c r="F460" s="662"/>
      <c r="G460" s="662"/>
      <c r="H460" s="662"/>
      <c r="I460" s="662"/>
      <c r="J460" s="662"/>
      <c r="K460" s="662"/>
      <c r="L460" s="663"/>
      <c r="M460" s="662"/>
      <c r="N460" s="662"/>
      <c r="O460" s="662"/>
      <c r="P460" s="662"/>
      <c r="Q460" s="662"/>
      <c r="R460" s="662"/>
    </row>
    <row r="461" spans="1:18">
      <c r="A461" s="662"/>
      <c r="B461" s="662"/>
      <c r="C461" s="662"/>
      <c r="D461" s="662"/>
      <c r="E461" s="662"/>
      <c r="F461" s="662"/>
      <c r="G461" s="662"/>
      <c r="H461" s="662"/>
      <c r="I461" s="662"/>
      <c r="J461" s="662"/>
      <c r="K461" s="662"/>
      <c r="L461" s="663"/>
      <c r="M461" s="662"/>
      <c r="N461" s="662"/>
      <c r="O461" s="662"/>
      <c r="P461" s="662"/>
      <c r="Q461" s="662"/>
      <c r="R461" s="662"/>
    </row>
    <row r="462" spans="1:18">
      <c r="A462" s="662"/>
      <c r="B462" s="662"/>
      <c r="C462" s="662"/>
      <c r="D462" s="662"/>
      <c r="E462" s="662"/>
      <c r="F462" s="662"/>
      <c r="G462" s="662"/>
      <c r="H462" s="662"/>
      <c r="I462" s="662"/>
      <c r="J462" s="662"/>
      <c r="K462" s="662"/>
      <c r="L462" s="663"/>
      <c r="M462" s="662"/>
      <c r="N462" s="662"/>
      <c r="O462" s="662"/>
      <c r="P462" s="662"/>
      <c r="Q462" s="662"/>
      <c r="R462" s="662"/>
    </row>
    <row r="463" spans="1:18">
      <c r="A463" s="662"/>
      <c r="B463" s="662"/>
      <c r="C463" s="662"/>
      <c r="D463" s="662"/>
      <c r="E463" s="662"/>
      <c r="F463" s="662"/>
      <c r="G463" s="662"/>
      <c r="H463" s="662"/>
      <c r="I463" s="662"/>
      <c r="J463" s="662"/>
      <c r="K463" s="662"/>
      <c r="L463" s="663"/>
      <c r="M463" s="662"/>
      <c r="N463" s="662"/>
      <c r="O463" s="662"/>
      <c r="P463" s="662"/>
      <c r="Q463" s="662"/>
      <c r="R463" s="662"/>
    </row>
    <row r="464" spans="1:18">
      <c r="A464" s="662"/>
      <c r="B464" s="662"/>
      <c r="C464" s="662"/>
      <c r="D464" s="662"/>
      <c r="E464" s="662"/>
      <c r="F464" s="662"/>
      <c r="G464" s="662"/>
      <c r="H464" s="662"/>
      <c r="I464" s="662"/>
      <c r="J464" s="662"/>
      <c r="K464" s="662"/>
      <c r="L464" s="663"/>
      <c r="M464" s="662"/>
      <c r="N464" s="662"/>
      <c r="O464" s="662"/>
      <c r="P464" s="662"/>
      <c r="Q464" s="662"/>
      <c r="R464" s="662"/>
    </row>
    <row r="465" spans="1:18">
      <c r="A465" s="662"/>
      <c r="B465" s="662"/>
      <c r="C465" s="662"/>
      <c r="D465" s="662"/>
      <c r="E465" s="662"/>
      <c r="F465" s="662"/>
      <c r="G465" s="662"/>
      <c r="H465" s="662"/>
      <c r="I465" s="662"/>
      <c r="J465" s="662"/>
      <c r="K465" s="662"/>
      <c r="L465" s="663"/>
      <c r="M465" s="662"/>
      <c r="N465" s="662"/>
      <c r="O465" s="662"/>
      <c r="P465" s="662"/>
      <c r="Q465" s="662"/>
      <c r="R465" s="662"/>
    </row>
    <row r="466" spans="1:18">
      <c r="A466" s="662"/>
      <c r="B466" s="662"/>
      <c r="C466" s="662"/>
      <c r="D466" s="662"/>
      <c r="E466" s="662"/>
      <c r="F466" s="662"/>
      <c r="G466" s="662"/>
      <c r="H466" s="662"/>
      <c r="I466" s="662"/>
      <c r="J466" s="662"/>
      <c r="K466" s="662"/>
      <c r="L466" s="663"/>
      <c r="M466" s="662"/>
      <c r="N466" s="662"/>
      <c r="O466" s="662"/>
      <c r="P466" s="662"/>
      <c r="Q466" s="662"/>
      <c r="R466" s="662"/>
    </row>
    <row r="467" spans="1:18">
      <c r="A467" s="662"/>
      <c r="B467" s="662"/>
      <c r="C467" s="662"/>
      <c r="D467" s="662"/>
      <c r="E467" s="662"/>
      <c r="F467" s="662"/>
      <c r="G467" s="662"/>
      <c r="H467" s="662"/>
      <c r="I467" s="662"/>
      <c r="J467" s="662"/>
      <c r="K467" s="662"/>
      <c r="L467" s="663"/>
      <c r="M467" s="662"/>
      <c r="N467" s="662"/>
      <c r="O467" s="662"/>
      <c r="P467" s="662"/>
      <c r="Q467" s="662"/>
      <c r="R467" s="662"/>
    </row>
    <row r="468" spans="1:18">
      <c r="A468" s="662"/>
      <c r="B468" s="662"/>
      <c r="C468" s="662"/>
      <c r="D468" s="662"/>
      <c r="E468" s="662"/>
      <c r="F468" s="662"/>
      <c r="G468" s="662"/>
      <c r="H468" s="662"/>
      <c r="I468" s="662"/>
      <c r="J468" s="662"/>
      <c r="K468" s="662"/>
      <c r="L468" s="663"/>
      <c r="M468" s="662"/>
      <c r="N468" s="662"/>
      <c r="O468" s="662"/>
      <c r="P468" s="662"/>
      <c r="Q468" s="662"/>
      <c r="R468" s="662"/>
    </row>
    <row r="469" spans="1:18">
      <c r="A469" s="662"/>
      <c r="B469" s="662"/>
      <c r="C469" s="662"/>
      <c r="D469" s="662"/>
      <c r="E469" s="662"/>
      <c r="F469" s="662"/>
      <c r="G469" s="662"/>
      <c r="H469" s="662"/>
      <c r="I469" s="662"/>
      <c r="J469" s="662"/>
      <c r="K469" s="662"/>
      <c r="L469" s="663"/>
      <c r="M469" s="662"/>
      <c r="N469" s="662"/>
      <c r="O469" s="662"/>
      <c r="P469" s="662"/>
      <c r="Q469" s="662"/>
      <c r="R469" s="662"/>
    </row>
    <row r="470" spans="1:18">
      <c r="A470" s="662"/>
      <c r="B470" s="662"/>
      <c r="C470" s="662"/>
      <c r="D470" s="662"/>
      <c r="E470" s="662"/>
      <c r="F470" s="662"/>
      <c r="G470" s="662"/>
      <c r="H470" s="662"/>
      <c r="I470" s="662"/>
      <c r="J470" s="662"/>
      <c r="K470" s="662"/>
      <c r="L470" s="663"/>
      <c r="M470" s="662"/>
      <c r="N470" s="662"/>
      <c r="O470" s="662"/>
      <c r="P470" s="662"/>
      <c r="Q470" s="662"/>
      <c r="R470" s="662"/>
    </row>
    <row r="471" spans="1:18">
      <c r="A471" s="662"/>
      <c r="B471" s="662"/>
      <c r="C471" s="662"/>
      <c r="D471" s="662"/>
      <c r="E471" s="662"/>
      <c r="F471" s="662"/>
      <c r="G471" s="662"/>
      <c r="H471" s="662"/>
      <c r="I471" s="662"/>
      <c r="J471" s="662"/>
      <c r="K471" s="662"/>
      <c r="L471" s="663"/>
      <c r="M471" s="662"/>
      <c r="N471" s="662"/>
      <c r="O471" s="662"/>
      <c r="P471" s="662"/>
      <c r="Q471" s="662"/>
      <c r="R471" s="662"/>
    </row>
    <row r="472" spans="1:18">
      <c r="A472" s="662"/>
      <c r="B472" s="662"/>
      <c r="C472" s="662"/>
      <c r="D472" s="662"/>
      <c r="E472" s="662"/>
      <c r="F472" s="662"/>
      <c r="G472" s="662"/>
      <c r="H472" s="662"/>
      <c r="I472" s="662"/>
      <c r="J472" s="662"/>
      <c r="K472" s="662"/>
      <c r="L472" s="663"/>
      <c r="M472" s="662"/>
      <c r="N472" s="662"/>
      <c r="O472" s="662"/>
      <c r="P472" s="662"/>
      <c r="Q472" s="662"/>
      <c r="R472" s="662"/>
    </row>
    <row r="473" spans="1:18">
      <c r="A473" s="662"/>
      <c r="B473" s="662"/>
      <c r="C473" s="662"/>
      <c r="D473" s="662"/>
      <c r="E473" s="662"/>
      <c r="F473" s="662"/>
      <c r="G473" s="662"/>
      <c r="H473" s="662"/>
      <c r="I473" s="662"/>
      <c r="J473" s="662"/>
      <c r="K473" s="662"/>
      <c r="L473" s="663"/>
      <c r="M473" s="662"/>
      <c r="N473" s="662"/>
      <c r="O473" s="662"/>
      <c r="P473" s="662"/>
      <c r="Q473" s="662"/>
      <c r="R473" s="662"/>
    </row>
    <row r="474" spans="1:18">
      <c r="A474" s="662"/>
      <c r="B474" s="662"/>
      <c r="C474" s="662"/>
      <c r="D474" s="662"/>
      <c r="E474" s="662"/>
      <c r="F474" s="662"/>
      <c r="G474" s="662"/>
      <c r="H474" s="662"/>
      <c r="I474" s="662"/>
      <c r="J474" s="662"/>
      <c r="K474" s="662"/>
      <c r="L474" s="663"/>
      <c r="M474" s="662"/>
      <c r="N474" s="662"/>
      <c r="O474" s="662"/>
      <c r="P474" s="662"/>
      <c r="Q474" s="662"/>
      <c r="R474" s="662"/>
    </row>
    <row r="475" spans="1:18">
      <c r="A475" s="662"/>
      <c r="B475" s="662"/>
      <c r="C475" s="662"/>
      <c r="D475" s="662"/>
      <c r="E475" s="662"/>
      <c r="F475" s="662"/>
      <c r="G475" s="662"/>
      <c r="H475" s="662"/>
      <c r="I475" s="662"/>
      <c r="J475" s="662"/>
      <c r="K475" s="662"/>
      <c r="L475" s="663"/>
      <c r="M475" s="662"/>
      <c r="N475" s="662"/>
      <c r="O475" s="662"/>
      <c r="P475" s="662"/>
      <c r="Q475" s="662"/>
      <c r="R475" s="662"/>
    </row>
    <row r="476" spans="1:18">
      <c r="A476" s="662"/>
      <c r="B476" s="662"/>
      <c r="C476" s="662"/>
      <c r="D476" s="662"/>
      <c r="E476" s="662"/>
      <c r="F476" s="662"/>
      <c r="G476" s="662"/>
      <c r="H476" s="662"/>
      <c r="I476" s="662"/>
      <c r="J476" s="662"/>
      <c r="K476" s="662"/>
      <c r="L476" s="663"/>
      <c r="M476" s="662"/>
      <c r="N476" s="662"/>
      <c r="O476" s="662"/>
      <c r="P476" s="662"/>
      <c r="Q476" s="662"/>
      <c r="R476" s="662"/>
    </row>
    <row r="477" spans="1:18">
      <c r="A477" s="662"/>
      <c r="B477" s="662"/>
      <c r="C477" s="662"/>
      <c r="D477" s="662"/>
      <c r="E477" s="662"/>
      <c r="F477" s="662"/>
      <c r="G477" s="662"/>
      <c r="H477" s="662"/>
      <c r="I477" s="662"/>
      <c r="J477" s="662"/>
      <c r="K477" s="662"/>
      <c r="L477" s="663"/>
      <c r="M477" s="662"/>
      <c r="N477" s="662"/>
      <c r="O477" s="662"/>
      <c r="P477" s="662"/>
      <c r="Q477" s="662"/>
      <c r="R477" s="662"/>
    </row>
    <row r="478" spans="1:18">
      <c r="A478" s="662"/>
      <c r="B478" s="662"/>
      <c r="C478" s="662"/>
      <c r="D478" s="662"/>
      <c r="E478" s="662"/>
      <c r="F478" s="662"/>
      <c r="G478" s="662"/>
      <c r="H478" s="662"/>
      <c r="I478" s="662"/>
      <c r="J478" s="662"/>
      <c r="K478" s="662"/>
      <c r="L478" s="663"/>
      <c r="M478" s="662"/>
      <c r="N478" s="662"/>
      <c r="O478" s="662"/>
      <c r="P478" s="662"/>
      <c r="Q478" s="662"/>
      <c r="R478" s="662"/>
    </row>
    <row r="479" spans="1:18">
      <c r="A479" s="662"/>
      <c r="B479" s="662"/>
      <c r="C479" s="662"/>
      <c r="D479" s="662"/>
      <c r="E479" s="662"/>
      <c r="F479" s="662"/>
      <c r="G479" s="662"/>
      <c r="H479" s="662"/>
      <c r="I479" s="662"/>
      <c r="J479" s="662"/>
      <c r="K479" s="662"/>
      <c r="L479" s="663"/>
      <c r="M479" s="662"/>
      <c r="N479" s="662"/>
      <c r="O479" s="662"/>
      <c r="P479" s="662"/>
      <c r="Q479" s="662"/>
      <c r="R479" s="662"/>
    </row>
    <row r="480" spans="1:18">
      <c r="A480" s="662"/>
      <c r="B480" s="662"/>
      <c r="C480" s="662"/>
      <c r="D480" s="662"/>
      <c r="E480" s="662"/>
      <c r="F480" s="662"/>
      <c r="G480" s="662"/>
      <c r="H480" s="662"/>
      <c r="I480" s="662"/>
      <c r="J480" s="662"/>
      <c r="K480" s="662"/>
      <c r="L480" s="663"/>
      <c r="M480" s="662"/>
      <c r="N480" s="662"/>
      <c r="O480" s="662"/>
      <c r="P480" s="662"/>
      <c r="Q480" s="662"/>
      <c r="R480" s="662"/>
    </row>
    <row r="481" spans="1:18">
      <c r="A481" s="662"/>
      <c r="B481" s="662"/>
      <c r="C481" s="662"/>
      <c r="D481" s="662"/>
      <c r="E481" s="662"/>
      <c r="F481" s="662"/>
      <c r="G481" s="662"/>
      <c r="H481" s="662"/>
      <c r="I481" s="662"/>
      <c r="J481" s="662"/>
      <c r="K481" s="662"/>
      <c r="L481" s="663"/>
      <c r="M481" s="662"/>
      <c r="N481" s="662"/>
      <c r="O481" s="662"/>
      <c r="P481" s="662"/>
      <c r="Q481" s="662"/>
      <c r="R481" s="662"/>
    </row>
    <row r="482" spans="1:18">
      <c r="A482" s="662"/>
      <c r="B482" s="662"/>
      <c r="C482" s="662"/>
      <c r="D482" s="662"/>
      <c r="E482" s="662"/>
      <c r="F482" s="662"/>
      <c r="G482" s="662"/>
      <c r="H482" s="662"/>
      <c r="I482" s="662"/>
      <c r="J482" s="662"/>
      <c r="K482" s="662"/>
      <c r="L482" s="663"/>
      <c r="M482" s="662"/>
      <c r="N482" s="662"/>
      <c r="O482" s="662"/>
      <c r="P482" s="662"/>
      <c r="Q482" s="662"/>
      <c r="R482" s="662"/>
    </row>
    <row r="483" spans="1:18">
      <c r="A483" s="662"/>
      <c r="B483" s="662"/>
      <c r="C483" s="662"/>
      <c r="D483" s="662"/>
      <c r="E483" s="662"/>
      <c r="F483" s="662"/>
      <c r="G483" s="662"/>
      <c r="H483" s="662"/>
      <c r="I483" s="662"/>
      <c r="J483" s="662"/>
      <c r="K483" s="662"/>
      <c r="L483" s="663"/>
      <c r="M483" s="662"/>
      <c r="N483" s="662"/>
      <c r="O483" s="662"/>
      <c r="P483" s="662"/>
      <c r="Q483" s="662"/>
      <c r="R483" s="662"/>
    </row>
    <row r="484" spans="1:18">
      <c r="A484" s="662"/>
      <c r="B484" s="662"/>
      <c r="C484" s="662"/>
      <c r="D484" s="662"/>
      <c r="E484" s="662"/>
      <c r="F484" s="662"/>
      <c r="G484" s="662"/>
      <c r="H484" s="662"/>
      <c r="I484" s="662"/>
      <c r="J484" s="662"/>
      <c r="K484" s="662"/>
      <c r="L484" s="663"/>
      <c r="M484" s="662"/>
      <c r="N484" s="662"/>
      <c r="O484" s="662"/>
      <c r="P484" s="662"/>
      <c r="Q484" s="662"/>
      <c r="R484" s="662"/>
    </row>
    <row r="485" spans="1:18">
      <c r="A485" s="662"/>
      <c r="B485" s="662"/>
      <c r="C485" s="662"/>
      <c r="D485" s="662"/>
      <c r="E485" s="662"/>
      <c r="F485" s="662"/>
      <c r="G485" s="662"/>
      <c r="H485" s="662"/>
      <c r="I485" s="662"/>
      <c r="J485" s="662"/>
      <c r="K485" s="662"/>
      <c r="L485" s="663"/>
      <c r="M485" s="662"/>
      <c r="N485" s="662"/>
      <c r="O485" s="662"/>
      <c r="P485" s="662"/>
      <c r="Q485" s="662"/>
      <c r="R485" s="662"/>
    </row>
    <row r="486" spans="1:18">
      <c r="A486" s="662"/>
      <c r="B486" s="662"/>
      <c r="C486" s="662"/>
      <c r="D486" s="662"/>
      <c r="E486" s="662"/>
      <c r="F486" s="662"/>
      <c r="G486" s="662"/>
      <c r="H486" s="662"/>
      <c r="I486" s="662"/>
      <c r="J486" s="662"/>
      <c r="K486" s="662"/>
      <c r="L486" s="663"/>
      <c r="M486" s="662"/>
      <c r="N486" s="662"/>
      <c r="O486" s="662"/>
      <c r="P486" s="662"/>
      <c r="Q486" s="662"/>
      <c r="R486" s="662"/>
    </row>
    <row r="487" spans="1:18">
      <c r="A487" s="662"/>
      <c r="B487" s="662"/>
      <c r="C487" s="662"/>
      <c r="D487" s="662"/>
      <c r="E487" s="662"/>
      <c r="F487" s="662"/>
      <c r="G487" s="662"/>
      <c r="H487" s="662"/>
      <c r="I487" s="662"/>
      <c r="J487" s="662"/>
      <c r="K487" s="662"/>
      <c r="L487" s="663"/>
      <c r="M487" s="662"/>
      <c r="N487" s="662"/>
      <c r="O487" s="662"/>
      <c r="P487" s="662"/>
      <c r="Q487" s="662"/>
      <c r="R487" s="662"/>
    </row>
    <row r="488" spans="1:18">
      <c r="A488" s="662"/>
      <c r="B488" s="662"/>
      <c r="C488" s="662"/>
      <c r="D488" s="662"/>
      <c r="E488" s="662"/>
      <c r="F488" s="662"/>
      <c r="G488" s="662"/>
      <c r="H488" s="662"/>
      <c r="I488" s="662"/>
      <c r="J488" s="662"/>
      <c r="K488" s="662"/>
      <c r="L488" s="663"/>
      <c r="M488" s="662"/>
      <c r="N488" s="662"/>
      <c r="O488" s="662"/>
      <c r="P488" s="662"/>
      <c r="Q488" s="662"/>
      <c r="R488" s="662"/>
    </row>
    <row r="489" spans="1:18">
      <c r="A489" s="662"/>
      <c r="B489" s="662"/>
      <c r="C489" s="662"/>
      <c r="D489" s="662"/>
      <c r="E489" s="662"/>
      <c r="F489" s="662"/>
      <c r="G489" s="662"/>
      <c r="H489" s="662"/>
      <c r="I489" s="662"/>
      <c r="J489" s="662"/>
      <c r="K489" s="662"/>
      <c r="L489" s="663"/>
      <c r="M489" s="662"/>
      <c r="N489" s="662"/>
      <c r="O489" s="662"/>
      <c r="P489" s="662"/>
      <c r="Q489" s="662"/>
      <c r="R489" s="662"/>
    </row>
    <row r="490" spans="1:18">
      <c r="A490" s="662"/>
      <c r="B490" s="662"/>
      <c r="C490" s="662"/>
      <c r="D490" s="662"/>
      <c r="E490" s="662"/>
      <c r="F490" s="662"/>
      <c r="G490" s="662"/>
      <c r="H490" s="662"/>
      <c r="I490" s="662"/>
      <c r="J490" s="662"/>
      <c r="K490" s="662"/>
      <c r="L490" s="663"/>
      <c r="M490" s="662"/>
      <c r="N490" s="662"/>
      <c r="O490" s="662"/>
      <c r="P490" s="662"/>
      <c r="Q490" s="662"/>
      <c r="R490" s="662"/>
    </row>
    <row r="491" spans="1:18">
      <c r="A491" s="662"/>
      <c r="B491" s="662"/>
      <c r="C491" s="662"/>
      <c r="D491" s="662"/>
      <c r="E491" s="662"/>
      <c r="F491" s="662"/>
      <c r="G491" s="662"/>
      <c r="H491" s="662"/>
      <c r="I491" s="662"/>
      <c r="J491" s="662"/>
      <c r="K491" s="662"/>
      <c r="L491" s="663"/>
      <c r="M491" s="662"/>
      <c r="N491" s="662"/>
      <c r="O491" s="662"/>
      <c r="P491" s="662"/>
      <c r="Q491" s="662"/>
      <c r="R491" s="662"/>
    </row>
    <row r="492" spans="1:18">
      <c r="A492" s="662"/>
      <c r="B492" s="662"/>
      <c r="C492" s="662"/>
      <c r="D492" s="662"/>
      <c r="E492" s="662"/>
      <c r="F492" s="662"/>
      <c r="G492" s="662"/>
      <c r="H492" s="662"/>
      <c r="I492" s="662"/>
      <c r="J492" s="662"/>
      <c r="K492" s="662"/>
      <c r="L492" s="663"/>
      <c r="M492" s="662"/>
      <c r="N492" s="662"/>
      <c r="O492" s="662"/>
      <c r="P492" s="662"/>
      <c r="Q492" s="662"/>
      <c r="R492" s="662"/>
    </row>
    <row r="493" spans="1:18">
      <c r="A493" s="662"/>
      <c r="B493" s="662"/>
      <c r="C493" s="662"/>
      <c r="D493" s="662"/>
      <c r="E493" s="662"/>
      <c r="F493" s="662"/>
      <c r="G493" s="662"/>
      <c r="H493" s="662"/>
      <c r="I493" s="662"/>
      <c r="J493" s="662"/>
      <c r="K493" s="662"/>
      <c r="L493" s="663"/>
      <c r="M493" s="662"/>
      <c r="N493" s="662"/>
      <c r="O493" s="662"/>
      <c r="P493" s="662"/>
      <c r="Q493" s="662"/>
      <c r="R493" s="662"/>
    </row>
    <row r="494" spans="1:18">
      <c r="A494" s="662"/>
      <c r="B494" s="662"/>
      <c r="C494" s="662"/>
      <c r="D494" s="662"/>
      <c r="E494" s="662"/>
      <c r="F494" s="662"/>
      <c r="G494" s="662"/>
      <c r="H494" s="662"/>
      <c r="I494" s="662"/>
      <c r="J494" s="662"/>
      <c r="K494" s="662"/>
      <c r="L494" s="663"/>
      <c r="M494" s="662"/>
      <c r="N494" s="662"/>
      <c r="O494" s="662"/>
      <c r="P494" s="662"/>
      <c r="Q494" s="662"/>
      <c r="R494" s="662"/>
    </row>
    <row r="495" spans="1:18">
      <c r="A495" s="662"/>
      <c r="B495" s="662"/>
      <c r="C495" s="662"/>
      <c r="D495" s="662"/>
      <c r="E495" s="662"/>
      <c r="F495" s="662"/>
      <c r="G495" s="662"/>
      <c r="H495" s="662"/>
      <c r="I495" s="662"/>
      <c r="J495" s="662"/>
      <c r="K495" s="662"/>
      <c r="L495" s="663"/>
      <c r="M495" s="662"/>
      <c r="N495" s="662"/>
      <c r="O495" s="662"/>
      <c r="P495" s="662"/>
      <c r="Q495" s="662"/>
      <c r="R495" s="662"/>
    </row>
    <row r="496" spans="1:18">
      <c r="A496" s="662"/>
      <c r="B496" s="662"/>
      <c r="C496" s="662"/>
      <c r="D496" s="662"/>
      <c r="E496" s="662"/>
      <c r="F496" s="662"/>
      <c r="G496" s="662"/>
      <c r="H496" s="662"/>
      <c r="I496" s="662"/>
      <c r="J496" s="662"/>
      <c r="K496" s="662"/>
      <c r="L496" s="663"/>
      <c r="M496" s="662"/>
      <c r="N496" s="662"/>
      <c r="O496" s="662"/>
      <c r="P496" s="662"/>
      <c r="Q496" s="662"/>
      <c r="R496" s="662"/>
    </row>
    <row r="497" spans="1:18">
      <c r="A497" s="662"/>
      <c r="B497" s="662"/>
      <c r="C497" s="662"/>
      <c r="D497" s="662"/>
      <c r="E497" s="662"/>
      <c r="F497" s="662"/>
      <c r="G497" s="662"/>
      <c r="H497" s="662"/>
      <c r="I497" s="662"/>
      <c r="J497" s="662"/>
      <c r="K497" s="662"/>
      <c r="L497" s="663"/>
      <c r="M497" s="662"/>
      <c r="N497" s="662"/>
      <c r="O497" s="662"/>
      <c r="P497" s="662"/>
      <c r="Q497" s="662"/>
      <c r="R497" s="662"/>
    </row>
    <row r="498" spans="1:18">
      <c r="A498" s="662"/>
      <c r="B498" s="662"/>
      <c r="C498" s="662"/>
      <c r="D498" s="662"/>
      <c r="E498" s="662"/>
      <c r="F498" s="662"/>
      <c r="G498" s="662"/>
      <c r="H498" s="662"/>
      <c r="I498" s="662"/>
      <c r="J498" s="662"/>
      <c r="K498" s="662"/>
      <c r="L498" s="663"/>
      <c r="M498" s="662"/>
      <c r="N498" s="662"/>
      <c r="O498" s="662"/>
      <c r="P498" s="662"/>
      <c r="Q498" s="662"/>
      <c r="R498" s="662"/>
    </row>
    <row r="499" spans="1:18">
      <c r="A499" s="662"/>
      <c r="B499" s="662"/>
      <c r="C499" s="662"/>
      <c r="D499" s="662"/>
      <c r="E499" s="662"/>
      <c r="F499" s="662"/>
      <c r="G499" s="662"/>
      <c r="H499" s="662"/>
      <c r="I499" s="662"/>
      <c r="J499" s="662"/>
      <c r="K499" s="662"/>
      <c r="L499" s="663"/>
      <c r="M499" s="662"/>
      <c r="N499" s="662"/>
      <c r="O499" s="662"/>
      <c r="P499" s="662"/>
      <c r="Q499" s="662"/>
      <c r="R499" s="662"/>
    </row>
    <row r="500" spans="1:18">
      <c r="A500" s="662"/>
      <c r="B500" s="662"/>
      <c r="C500" s="662"/>
      <c r="D500" s="662"/>
      <c r="E500" s="662"/>
      <c r="F500" s="662"/>
      <c r="G500" s="662"/>
      <c r="H500" s="662"/>
      <c r="I500" s="662"/>
      <c r="J500" s="662"/>
      <c r="K500" s="662"/>
      <c r="L500" s="663"/>
      <c r="M500" s="662"/>
      <c r="N500" s="662"/>
      <c r="O500" s="662"/>
      <c r="P500" s="662"/>
      <c r="Q500" s="662"/>
      <c r="R500" s="662"/>
    </row>
    <row r="501" spans="1:18">
      <c r="A501" s="662"/>
      <c r="B501" s="662"/>
      <c r="C501" s="662"/>
      <c r="D501" s="662"/>
      <c r="E501" s="662"/>
      <c r="F501" s="662"/>
      <c r="G501" s="662"/>
      <c r="H501" s="662"/>
      <c r="I501" s="662"/>
      <c r="J501" s="662"/>
      <c r="K501" s="662"/>
      <c r="L501" s="663"/>
      <c r="M501" s="662"/>
      <c r="N501" s="662"/>
      <c r="O501" s="662"/>
      <c r="P501" s="662"/>
      <c r="Q501" s="662"/>
      <c r="R501" s="662"/>
    </row>
    <row r="502" spans="1:18">
      <c r="A502" s="662"/>
      <c r="B502" s="662"/>
      <c r="C502" s="662"/>
      <c r="D502" s="662"/>
      <c r="E502" s="662"/>
      <c r="F502" s="662"/>
      <c r="G502" s="662"/>
      <c r="H502" s="662"/>
      <c r="I502" s="662"/>
      <c r="J502" s="662"/>
      <c r="K502" s="662"/>
      <c r="L502" s="663"/>
      <c r="M502" s="662"/>
      <c r="N502" s="662"/>
      <c r="O502" s="662"/>
      <c r="P502" s="662"/>
      <c r="Q502" s="662"/>
      <c r="R502" s="662"/>
    </row>
    <row r="503" spans="1:18">
      <c r="A503" s="662"/>
      <c r="B503" s="662"/>
      <c r="C503" s="662"/>
      <c r="D503" s="662"/>
      <c r="E503" s="662"/>
      <c r="F503" s="662"/>
      <c r="G503" s="662"/>
      <c r="H503" s="662"/>
      <c r="I503" s="662"/>
      <c r="J503" s="662"/>
      <c r="K503" s="662"/>
      <c r="L503" s="663"/>
      <c r="M503" s="662"/>
      <c r="N503" s="662"/>
      <c r="O503" s="662"/>
      <c r="P503" s="662"/>
      <c r="Q503" s="662"/>
      <c r="R503" s="662"/>
    </row>
    <row r="504" spans="1:18">
      <c r="A504" s="662"/>
      <c r="B504" s="662"/>
      <c r="C504" s="662"/>
      <c r="D504" s="662"/>
      <c r="E504" s="662"/>
      <c r="F504" s="662"/>
      <c r="G504" s="662"/>
      <c r="H504" s="662"/>
      <c r="I504" s="662"/>
      <c r="J504" s="662"/>
      <c r="K504" s="662"/>
      <c r="L504" s="663"/>
      <c r="M504" s="662"/>
      <c r="N504" s="662"/>
      <c r="O504" s="662"/>
      <c r="P504" s="662"/>
      <c r="Q504" s="662"/>
      <c r="R504" s="662"/>
    </row>
  </sheetData>
  <sortState xmlns:xlrd2="http://schemas.microsoft.com/office/spreadsheetml/2017/richdata2" ref="A4:R11">
    <sortCondition descending="1" ref="Q4"/>
  </sortState>
  <mergeCells count="2">
    <mergeCell ref="A2:R2"/>
    <mergeCell ref="A1:R1"/>
  </mergeCells>
  <phoneticPr fontId="16"/>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tn高精度抽出">
              <controlPr defaultSize="0" print="0" autoFill="0" autoPict="0" macro="[0]!順張り抽出_VWAP">
                <anchor moveWithCells="1" sizeWithCells="1">
                  <from>
                    <xdr:col>9</xdr:col>
                    <xdr:colOff>457200</xdr:colOff>
                    <xdr:row>0</xdr:row>
                    <xdr:rowOff>0</xdr:rowOff>
                  </from>
                  <to>
                    <xdr:col>11</xdr:col>
                    <xdr:colOff>1287780</xdr:colOff>
                    <xdr:row>1</xdr:row>
                    <xdr:rowOff>609600</xdr:rowOff>
                  </to>
                </anchor>
              </controlPr>
            </control>
          </mc:Choice>
        </mc:AlternateContent>
        <mc:AlternateContent xmlns:mc="http://schemas.openxmlformats.org/markup-compatibility/2006">
          <mc:Choice Requires="x14">
            <control shapeId="71682" r:id="rId5" name="btn通常抽出">
              <controlPr defaultSize="0" print="0" autoFill="0" autoPict="0" macro="[0]!順張り抽出_VWAP_緩和">
                <anchor moveWithCells="1" sizeWithCells="1">
                  <from>
                    <xdr:col>12</xdr:col>
                    <xdr:colOff>868680</xdr:colOff>
                    <xdr:row>0</xdr:row>
                    <xdr:rowOff>0</xdr:rowOff>
                  </from>
                  <to>
                    <xdr:col>14</xdr:col>
                    <xdr:colOff>1409700</xdr:colOff>
                    <xdr:row>1</xdr:row>
                    <xdr:rowOff>609600</xdr:rowOff>
                  </to>
                </anchor>
              </controlPr>
            </control>
          </mc:Choice>
        </mc:AlternateContent>
        <mc:AlternateContent xmlns:mc="http://schemas.openxmlformats.org/markup-compatibility/2006">
          <mc:Choice Requires="x14">
            <control shapeId="71683" r:id="rId6" name="btn緩和抽出">
              <controlPr defaultSize="0" print="0" autoFill="0" autoPict="0" macro="[0]!買い抽出_スコア4_緩和">
                <anchor moveWithCells="1" sizeWithCells="1">
                  <from>
                    <xdr:col>15</xdr:col>
                    <xdr:colOff>266700</xdr:colOff>
                    <xdr:row>0</xdr:row>
                    <xdr:rowOff>121920</xdr:rowOff>
                  </from>
                  <to>
                    <xdr:col>17</xdr:col>
                    <xdr:colOff>76200</xdr:colOff>
                    <xdr:row>1</xdr:row>
                    <xdr:rowOff>556260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00B0F0"/>
  </sheetPr>
  <dimension ref="A1:Z502"/>
  <sheetViews>
    <sheetView showGridLines="0" workbookViewId="0">
      <pane xSplit="4" ySplit="2" topLeftCell="E3" activePane="bottomRight" state="frozen"/>
      <selection pane="topRight" activeCell="E1" sqref="E1"/>
      <selection pane="bottomLeft" activeCell="A3" sqref="A3"/>
      <selection pane="bottomRight" activeCell="B3" sqref="B3"/>
    </sheetView>
  </sheetViews>
  <sheetFormatPr defaultColWidth="9" defaultRowHeight="13.2"/>
  <cols>
    <col min="1" max="1" width="5.6640625" style="1" customWidth="1"/>
    <col min="2" max="2" width="7.6640625" style="1" customWidth="1"/>
    <col min="3" max="3" width="8.6640625" style="1" customWidth="1"/>
    <col min="4" max="4" width="18.6640625" style="1" customWidth="1"/>
    <col min="5" max="5" width="11.6640625" style="1" customWidth="1"/>
    <col min="6" max="12" width="10.6640625" style="1" customWidth="1"/>
    <col min="13" max="13" width="12.6640625" style="1" customWidth="1"/>
    <col min="14" max="19" width="10.6640625" style="1" customWidth="1"/>
    <col min="20" max="20" width="9.6640625" style="1" customWidth="1"/>
    <col min="21" max="21" width="14.6640625" style="1" customWidth="1"/>
    <col min="22" max="22" width="8.6640625" style="1" customWidth="1"/>
    <col min="23" max="24" width="14.6640625" style="1" customWidth="1"/>
    <col min="25" max="25" width="8.6640625" style="1" customWidth="1"/>
    <col min="26" max="26" width="20.6640625" style="1" customWidth="1"/>
    <col min="27" max="27" width="9" style="1" customWidth="1"/>
    <col min="28" max="16384" width="9" style="1"/>
  </cols>
  <sheetData>
    <row r="1" spans="1:26" ht="44.1" customHeight="1" thickBot="1">
      <c r="A1" s="532" t="s">
        <v>541</v>
      </c>
      <c r="B1" s="533"/>
      <c r="C1" s="533"/>
      <c r="D1" s="533"/>
      <c r="E1" s="533"/>
      <c r="F1" s="533"/>
      <c r="G1" s="533"/>
      <c r="H1" s="533"/>
      <c r="I1" s="533"/>
      <c r="J1" s="533"/>
      <c r="K1" s="533"/>
      <c r="L1" s="533"/>
      <c r="M1" s="533"/>
      <c r="N1" s="533"/>
      <c r="O1" s="533"/>
      <c r="P1" s="533"/>
      <c r="Q1" s="533"/>
      <c r="R1" s="533"/>
      <c r="S1" s="533"/>
      <c r="T1" s="533"/>
      <c r="U1" s="533"/>
      <c r="V1" s="533"/>
      <c r="W1" s="533"/>
      <c r="X1" s="533"/>
      <c r="Y1" s="533"/>
      <c r="Z1" s="533"/>
    </row>
    <row r="2" spans="1:26" ht="38.1" customHeight="1" thickTop="1">
      <c r="A2" s="107" t="s">
        <v>542</v>
      </c>
      <c r="B2" s="107" t="s">
        <v>518</v>
      </c>
      <c r="C2" s="107" t="s">
        <v>523</v>
      </c>
      <c r="D2" s="107" t="s">
        <v>524</v>
      </c>
      <c r="E2" s="108" t="s">
        <v>525</v>
      </c>
      <c r="F2" s="109" t="s">
        <v>543</v>
      </c>
      <c r="G2" s="109" t="s">
        <v>526</v>
      </c>
      <c r="H2" s="109" t="s">
        <v>527</v>
      </c>
      <c r="I2" s="109" t="s">
        <v>528</v>
      </c>
      <c r="J2" s="109" t="s">
        <v>544</v>
      </c>
      <c r="K2" s="109" t="s">
        <v>545</v>
      </c>
      <c r="L2" s="109" t="s">
        <v>546</v>
      </c>
      <c r="M2" s="110" t="s">
        <v>547</v>
      </c>
      <c r="N2" s="110" t="s">
        <v>532</v>
      </c>
      <c r="O2" s="110" t="s">
        <v>533</v>
      </c>
      <c r="P2" s="110" t="s">
        <v>548</v>
      </c>
      <c r="Q2" s="111" t="s">
        <v>536</v>
      </c>
      <c r="R2" s="111" t="s">
        <v>535</v>
      </c>
      <c r="S2" s="112" t="s">
        <v>549</v>
      </c>
      <c r="T2" s="112" t="s">
        <v>550</v>
      </c>
      <c r="U2" s="112" t="s">
        <v>534</v>
      </c>
      <c r="V2" s="112" t="s">
        <v>529</v>
      </c>
      <c r="W2" s="113" t="s">
        <v>530</v>
      </c>
      <c r="X2" s="114" t="s">
        <v>531</v>
      </c>
      <c r="Y2" s="115" t="s">
        <v>551</v>
      </c>
      <c r="Z2" s="116" t="s">
        <v>552</v>
      </c>
    </row>
    <row r="3" spans="1:26" ht="26.1" customHeight="1">
      <c r="A3" s="131">
        <f>IF(分析!C122&lt;&gt;"",ROW()-2,"")</f>
        <v>1</v>
      </c>
      <c r="B3" s="132" t="str">
        <f>IF(分析!C122&lt;&gt;"",HYPERLINK("https://kabutan.jp/stock/?code="&amp;分析!C122,"株探"),"")</f>
        <v>株探</v>
      </c>
      <c r="C3" s="133">
        <f>IF(分析!C122&lt;&gt;"",分析!C122,"")</f>
        <v>5857</v>
      </c>
      <c r="D3" s="134" t="str">
        <f>IF(分析!D122&lt;&gt;"",分析!D122,"")</f>
        <v/>
      </c>
      <c r="E3" s="135" t="str">
        <f>IF(分析!E122&lt;&gt;"",分析!E122,"")</f>
        <v/>
      </c>
      <c r="F3" s="136" t="str">
        <f>IF(分析!F122&lt;&gt;"",分析!F122,"")</f>
        <v/>
      </c>
      <c r="G3" s="136" t="str">
        <f>IF(分析!H122&lt;&gt;"",分析!H122,"")</f>
        <v/>
      </c>
      <c r="H3" s="136" t="str">
        <f>IF(分析!I122&lt;&gt;"",分析!I122,"")</f>
        <v/>
      </c>
      <c r="I3" s="136" t="str">
        <f>IF(分析!J122&lt;&gt;"",分析!J122,"")</f>
        <v/>
      </c>
      <c r="J3" s="136">
        <f>IF(分析!AB122&lt;&gt;"",分析!AB122,"")</f>
        <v>1537.7016293279019</v>
      </c>
      <c r="K3" s="136">
        <f>IF(分析!AC122&lt;&gt;"",分析!AC122,"")</f>
        <v>1520.7365911799754</v>
      </c>
      <c r="L3" s="136" t="str">
        <f>IF(分析!K122&lt;&gt;"",分析!K122,"")</f>
        <v/>
      </c>
      <c r="M3" s="131" t="str">
        <f>IF(分析!P122&lt;&gt;"",分析!P122,"")</f>
        <v/>
      </c>
      <c r="N3" s="137" t="str">
        <f>IF(分析!O122&lt;&gt;"",分析!O122,"")</f>
        <v/>
      </c>
      <c r="O3" s="138">
        <f>IF(分析!X122&lt;&gt;"",分析!X122,"")</f>
        <v>-11.322857916165958</v>
      </c>
      <c r="P3" s="139" t="str">
        <f>IF(分析!L122&lt;&gt;"",分析!L122,"")</f>
        <v/>
      </c>
      <c r="Q3" s="136" t="str">
        <f>IF(分析!S122&lt;&gt;"",分析!S122,"")</f>
        <v/>
      </c>
      <c r="R3" s="136" t="str">
        <f>IF(分析!R122&lt;&gt;"",分析!R122,"")</f>
        <v/>
      </c>
      <c r="S3" s="131" t="str">
        <f>IF(分析!AA122&lt;&gt;"",分析!AA122,"")</f>
        <v/>
      </c>
      <c r="T3" s="140" t="str">
        <f>IF(分析!Z122&lt;&gt;"",分析!Z122,"")</f>
        <v/>
      </c>
      <c r="U3" s="131" t="str">
        <f>IF(分析!V122&lt;&gt;"",分析!V122,"")</f>
        <v/>
      </c>
      <c r="V3" s="141">
        <f>IF(分析!W122&lt;&gt;"",分析!W122,"")</f>
        <v>49.684741488020173</v>
      </c>
      <c r="W3" s="142" t="str">
        <f>IF(分析!AD122&lt;&gt;"",分析!AD122,"")</f>
        <v>パーフェクト▲</v>
      </c>
      <c r="X3" s="143" t="e">
        <f>IF(分析!AE122&lt;&gt;"",分析!AE122,"")</f>
        <v>#VALUE!</v>
      </c>
      <c r="Y3" s="144">
        <f>IF(分析!T122&lt;&gt;"",分析!T122,"")</f>
        <v>0</v>
      </c>
      <c r="Z3" s="145" t="e">
        <f>IF(分析!Y122&lt;&gt;"",分析!Y122,"")</f>
        <v>#VALUE!</v>
      </c>
    </row>
    <row r="4" spans="1:26" ht="21.9" customHeight="1">
      <c r="A4" s="131">
        <f>IF(分析!C180&lt;&gt;"",ROW()-2,"")</f>
        <v>2</v>
      </c>
      <c r="B4" s="132" t="str">
        <f>IF(分析!C180&lt;&gt;"",HYPERLINK("https://kabutan.jp/stock/?code="&amp;分析!C180,"株探"),"")</f>
        <v>株探</v>
      </c>
      <c r="C4" s="133">
        <f>IF(分析!C180&lt;&gt;"",分析!C180,"")</f>
        <v>3854</v>
      </c>
      <c r="D4" s="134" t="str">
        <f>IF(分析!D180&lt;&gt;"",分析!D180,"")</f>
        <v/>
      </c>
      <c r="E4" s="135" t="str">
        <f>IF(分析!E180&lt;&gt;"",分析!E180,"")</f>
        <v/>
      </c>
      <c r="F4" s="136" t="str">
        <f>IF(分析!F180&lt;&gt;"",分析!F180,"")</f>
        <v/>
      </c>
      <c r="G4" s="136" t="str">
        <f>IF(分析!H180&lt;&gt;"",分析!H180,"")</f>
        <v/>
      </c>
      <c r="H4" s="136" t="str">
        <f>IF(分析!I180&lt;&gt;"",分析!I180,"")</f>
        <v/>
      </c>
      <c r="I4" s="136" t="str">
        <f>IF(分析!J180&lt;&gt;"",分析!J180,"")</f>
        <v/>
      </c>
      <c r="J4" s="136">
        <f>IF(分析!AB180&lt;&gt;"",分析!AB180,"")</f>
        <v>2304.2270875763743</v>
      </c>
      <c r="K4" s="136">
        <f>IF(分析!AC180&lt;&gt;"",分析!AC180,"")</f>
        <v>2283.0595947556603</v>
      </c>
      <c r="L4" s="136" t="str">
        <f>IF(分析!K180&lt;&gt;"",分析!K180,"")</f>
        <v/>
      </c>
      <c r="M4" s="131" t="str">
        <f>IF(分析!P180&lt;&gt;"",分析!P180,"")</f>
        <v/>
      </c>
      <c r="N4" s="137" t="str">
        <f>IF(分析!O180&lt;&gt;"",分析!O180,"")</f>
        <v/>
      </c>
      <c r="O4" s="138">
        <f>IF(分析!X180&lt;&gt;"",分析!X180,"")</f>
        <v>29.643172437401063</v>
      </c>
      <c r="P4" s="139" t="str">
        <f>IF(分析!L180&lt;&gt;"",分析!L180,"")</f>
        <v/>
      </c>
      <c r="Q4" s="136" t="str">
        <f>IF(分析!S180&lt;&gt;"",分析!S180,"")</f>
        <v/>
      </c>
      <c r="R4" s="136" t="str">
        <f>IF(分析!R180&lt;&gt;"",分析!R180,"")</f>
        <v/>
      </c>
      <c r="S4" s="131" t="str">
        <f>IF(分析!AA180&lt;&gt;"",分析!AA180,"")</f>
        <v/>
      </c>
      <c r="T4" s="140" t="str">
        <f>IF(分析!Z180&lt;&gt;"",分析!Z180,"")</f>
        <v/>
      </c>
      <c r="U4" s="131" t="str">
        <f>IF(分析!V180&lt;&gt;"",分析!V180,"")</f>
        <v/>
      </c>
      <c r="V4" s="141">
        <f>IF(分析!W180&lt;&gt;"",分析!W180,"")</f>
        <v>78.464818763326221</v>
      </c>
      <c r="W4" s="142" t="str">
        <f>IF(分析!AD180&lt;&gt;"",分析!AD180,"")</f>
        <v>パーフェクト▲</v>
      </c>
      <c r="X4" s="143" t="e">
        <f>IF(分析!AE180&lt;&gt;"",分析!AE180,"")</f>
        <v>#VALUE!</v>
      </c>
      <c r="Y4" s="144">
        <f>IF(分析!T180&lt;&gt;"",分析!T180,"")</f>
        <v>0</v>
      </c>
      <c r="Z4" s="145" t="e">
        <f>IF(分析!Y180&lt;&gt;"",分析!Y180,"")</f>
        <v>#VALUE!</v>
      </c>
    </row>
    <row r="5" spans="1:26" ht="21.9" customHeight="1">
      <c r="A5" s="146">
        <f>IF(分析!C181&lt;&gt;"",ROW()-2,"")</f>
        <v>3</v>
      </c>
      <c r="B5" s="147" t="str">
        <f>IF(分析!C181&lt;&gt;"",HYPERLINK("https://kabutan.jp/stock/?code="&amp;分析!C181,"株探"),"")</f>
        <v>株探</v>
      </c>
      <c r="C5" s="148">
        <f>IF(分析!C181&lt;&gt;"",分析!C181,"")</f>
        <v>3436</v>
      </c>
      <c r="D5" s="149" t="str">
        <f>IF(分析!D181&lt;&gt;"",分析!D181,"")</f>
        <v/>
      </c>
      <c r="E5" s="150" t="str">
        <f>IF(分析!E181&lt;&gt;"",分析!E181,"")</f>
        <v/>
      </c>
      <c r="F5" s="151" t="str">
        <f>IF(分析!F181&lt;&gt;"",分析!F181,"")</f>
        <v/>
      </c>
      <c r="G5" s="151" t="str">
        <f>IF(分析!H181&lt;&gt;"",分析!H181,"")</f>
        <v/>
      </c>
      <c r="H5" s="151" t="str">
        <f>IF(分析!I181&lt;&gt;"",分析!I181,"")</f>
        <v/>
      </c>
      <c r="I5" s="151" t="str">
        <f>IF(分析!J181&lt;&gt;"",分析!J181,"")</f>
        <v/>
      </c>
      <c r="J5" s="151">
        <f>IF(分析!AB181&lt;&gt;"",分析!AB181,"")</f>
        <v>14306.76171079429</v>
      </c>
      <c r="K5" s="151">
        <f>IF(分析!AC181&lt;&gt;"",分析!AC181,"")</f>
        <v>14979.833134684141</v>
      </c>
      <c r="L5" s="151" t="str">
        <f>IF(分析!K181&lt;&gt;"",分析!K181,"")</f>
        <v/>
      </c>
      <c r="M5" s="146" t="str">
        <f>IF(分析!P181&lt;&gt;"",分析!P181,"")</f>
        <v/>
      </c>
      <c r="N5" s="152" t="str">
        <f>IF(分析!O181&lt;&gt;"",分析!O181,"")</f>
        <v/>
      </c>
      <c r="O5" s="153">
        <f>IF(分析!X181&lt;&gt;"",分析!X181,"")</f>
        <v>147.50018309259485</v>
      </c>
      <c r="P5" s="154" t="str">
        <f>IF(分析!L181&lt;&gt;"",分析!L181,"")</f>
        <v/>
      </c>
      <c r="Q5" s="151" t="str">
        <f>IF(分析!S181&lt;&gt;"",分析!S181,"")</f>
        <v/>
      </c>
      <c r="R5" s="151" t="str">
        <f>IF(分析!R181&lt;&gt;"",分析!R181,"")</f>
        <v/>
      </c>
      <c r="S5" s="146" t="str">
        <f>IF(分析!AA181&lt;&gt;"",分析!AA181,"")</f>
        <v/>
      </c>
      <c r="T5" s="155" t="str">
        <f>IF(分析!Z181&lt;&gt;"",分析!Z181,"")</f>
        <v/>
      </c>
      <c r="U5" s="146" t="str">
        <f>IF(分析!V181&lt;&gt;"",分析!V181,"")</f>
        <v/>
      </c>
      <c r="V5" s="156">
        <f>IF(分析!W181&lt;&gt;"",分析!W181,"")</f>
        <v>67.777777777777771</v>
      </c>
      <c r="W5" s="157" t="str">
        <f>IF(分析!AD181&lt;&gt;"",分析!AD181,"")</f>
        <v>上昇トレンド▲</v>
      </c>
      <c r="X5" s="158" t="e">
        <f>IF(分析!AE181&lt;&gt;"",分析!AE181,"")</f>
        <v>#VALUE!</v>
      </c>
      <c r="Y5" s="159">
        <f>IF(分析!T181&lt;&gt;"",分析!T181,"")</f>
        <v>0</v>
      </c>
      <c r="Z5" s="145" t="e">
        <f>IF(分析!Y181&lt;&gt;"",分析!Y181,"")</f>
        <v>#VALUE!</v>
      </c>
    </row>
    <row r="6" spans="1:26" ht="21.9" customHeight="1">
      <c r="A6" s="131">
        <f>IF(分析!C32&lt;&gt;"",ROW()-2,"")</f>
        <v>4</v>
      </c>
      <c r="B6" s="132" t="str">
        <f>IF(分析!C32&lt;&gt;"",HYPERLINK("https://kabutan.jp/stock/?code="&amp;分析!C32,"株探"),"")</f>
        <v>株探</v>
      </c>
      <c r="C6" s="133">
        <f>IF(分析!C32&lt;&gt;"",分析!C32,"")</f>
        <v>8892</v>
      </c>
      <c r="D6" s="134" t="str">
        <f>IF(分析!D32&lt;&gt;"",分析!D32,"")</f>
        <v/>
      </c>
      <c r="E6" s="135" t="str">
        <f>IF(分析!E32&lt;&gt;"",分析!E32,"")</f>
        <v/>
      </c>
      <c r="F6" s="136" t="str">
        <f>IF(分析!F32&lt;&gt;"",分析!F32,"")</f>
        <v/>
      </c>
      <c r="G6" s="136" t="str">
        <f>IF(分析!H32&lt;&gt;"",分析!H32,"")</f>
        <v/>
      </c>
      <c r="H6" s="136" t="str">
        <f>IF(分析!I32&lt;&gt;"",分析!I32,"")</f>
        <v/>
      </c>
      <c r="I6" s="136" t="str">
        <f>IF(分析!J32&lt;&gt;"",分析!J32,"")</f>
        <v/>
      </c>
      <c r="J6" s="136">
        <f>IF(分析!AB32&lt;&gt;"",分析!AB32,"")</f>
        <v>3945.9256619144594</v>
      </c>
      <c r="K6" s="136">
        <f>IF(分析!AC32&lt;&gt;"",分析!AC32,"")</f>
        <v>4020.1013110846243</v>
      </c>
      <c r="L6" s="136" t="str">
        <f>IF(分析!K32&lt;&gt;"",分析!K32,"")</f>
        <v/>
      </c>
      <c r="M6" s="131" t="str">
        <f>IF(分析!P32&lt;&gt;"",分析!P32,"")</f>
        <v/>
      </c>
      <c r="N6" s="137" t="str">
        <f>IF(分析!O32&lt;&gt;"",分析!O32,"")</f>
        <v/>
      </c>
      <c r="O6" s="138">
        <f>IF(分析!X32&lt;&gt;"",分析!X32,"")</f>
        <v>6.1799760387525566</v>
      </c>
      <c r="P6" s="139" t="str">
        <f>IF(分析!L32&lt;&gt;"",分析!L32,"")</f>
        <v/>
      </c>
      <c r="Q6" s="136" t="str">
        <f>IF(分析!S32&lt;&gt;"",分析!S32,"")</f>
        <v/>
      </c>
      <c r="R6" s="136" t="str">
        <f>IF(分析!R32&lt;&gt;"",分析!R32,"")</f>
        <v/>
      </c>
      <c r="S6" s="131" t="str">
        <f>IF(分析!AA32&lt;&gt;"",分析!AA32,"")</f>
        <v/>
      </c>
      <c r="T6" s="140" t="str">
        <f>IF(分析!Z32&lt;&gt;"",分析!Z32,"")</f>
        <v/>
      </c>
      <c r="U6" s="131" t="str">
        <f>IF(分析!V32&lt;&gt;"",分析!V32,"")</f>
        <v/>
      </c>
      <c r="V6" s="141">
        <f>IF(分析!W32&lt;&gt;"",分析!W32,"")</f>
        <v>84.782608695652172</v>
      </c>
      <c r="W6" s="142" t="str">
        <f>IF(分析!AD32&lt;&gt;"",分析!AD32,"")</f>
        <v>上昇トレンド▲</v>
      </c>
      <c r="X6" s="143" t="e">
        <f>IF(分析!AE32&lt;&gt;"",分析!AE32,"")</f>
        <v>#VALUE!</v>
      </c>
      <c r="Y6" s="144">
        <f>IF(分析!T32&lt;&gt;"",分析!T32,"")</f>
        <v>0</v>
      </c>
      <c r="Z6" s="145" t="e">
        <f>IF(分析!Y32&lt;&gt;"",分析!Y32,"")</f>
        <v>#VALUE!</v>
      </c>
    </row>
    <row r="7" spans="1:26" ht="21.9" customHeight="1">
      <c r="A7" s="146">
        <f>IF(分析!C51&lt;&gt;"",ROW()-2,"")</f>
        <v>5</v>
      </c>
      <c r="B7" s="147" t="str">
        <f>IF(分析!C51&lt;&gt;"",HYPERLINK("https://kabutan.jp/stock/?code="&amp;分析!C51,"株探"),"")</f>
        <v>株探</v>
      </c>
      <c r="C7" s="148">
        <f>IF(分析!C51&lt;&gt;"",分析!C51,"")</f>
        <v>8309</v>
      </c>
      <c r="D7" s="149" t="str">
        <f>IF(分析!D51&lt;&gt;"",分析!D51,"")</f>
        <v/>
      </c>
      <c r="E7" s="150" t="str">
        <f>IF(分析!E51&lt;&gt;"",分析!E51,"")</f>
        <v/>
      </c>
      <c r="F7" s="151" t="str">
        <f>IF(分析!F51&lt;&gt;"",分析!F51,"")</f>
        <v/>
      </c>
      <c r="G7" s="151" t="str">
        <f>IF(分析!H51&lt;&gt;"",分析!H51,"")</f>
        <v/>
      </c>
      <c r="H7" s="151" t="str">
        <f>IF(分析!I51&lt;&gt;"",分析!I51,"")</f>
        <v/>
      </c>
      <c r="I7" s="151" t="str">
        <f>IF(分析!J51&lt;&gt;"",分析!J51,"")</f>
        <v/>
      </c>
      <c r="J7" s="151">
        <f>IF(分析!AB51&lt;&gt;"",分析!AB51,"")</f>
        <v>6355.7698574338074</v>
      </c>
      <c r="K7" s="151">
        <f>IF(分析!AC51&lt;&gt;"",分析!AC51,"")</f>
        <v>6712.7437425506523</v>
      </c>
      <c r="L7" s="151" t="str">
        <f>IF(分析!K51&lt;&gt;"",分析!K51,"")</f>
        <v/>
      </c>
      <c r="M7" s="146" t="str">
        <f>IF(分析!P51&lt;&gt;"",分析!P51,"")</f>
        <v/>
      </c>
      <c r="N7" s="152" t="str">
        <f>IF(分析!O51&lt;&gt;"",分析!O51,"")</f>
        <v/>
      </c>
      <c r="O7" s="153">
        <f>IF(分析!X51&lt;&gt;"",分析!X51,"")</f>
        <v>90.749614908514559</v>
      </c>
      <c r="P7" s="154" t="str">
        <f>IF(分析!L51&lt;&gt;"",分析!L51,"")</f>
        <v/>
      </c>
      <c r="Q7" s="151" t="str">
        <f>IF(分析!S51&lt;&gt;"",分析!S51,"")</f>
        <v/>
      </c>
      <c r="R7" s="151" t="str">
        <f>IF(分析!R51&lt;&gt;"",分析!R51,"")</f>
        <v/>
      </c>
      <c r="S7" s="146" t="str">
        <f>IF(分析!AA51&lt;&gt;"",分析!AA51,"")</f>
        <v/>
      </c>
      <c r="T7" s="155" t="str">
        <f>IF(分析!Z51&lt;&gt;"",分析!Z51,"")</f>
        <v/>
      </c>
      <c r="U7" s="146" t="str">
        <f>IF(分析!V51&lt;&gt;"",分析!V51,"")</f>
        <v/>
      </c>
      <c r="V7" s="156">
        <f>IF(分析!W51&lt;&gt;"",分析!W51,"")</f>
        <v>96.642685851318944</v>
      </c>
      <c r="W7" s="157" t="str">
        <f>IF(分析!AD51&lt;&gt;"",分析!AD51,"")</f>
        <v>上昇トレンド▲</v>
      </c>
      <c r="X7" s="158" t="e">
        <f>IF(分析!AE51&lt;&gt;"",分析!AE51,"")</f>
        <v>#VALUE!</v>
      </c>
      <c r="Y7" s="159">
        <f>IF(分析!T51&lt;&gt;"",分析!T51,"")</f>
        <v>0</v>
      </c>
      <c r="Z7" s="145" t="e">
        <f>IF(分析!Y51&lt;&gt;"",分析!Y51,"")</f>
        <v>#VALUE!</v>
      </c>
    </row>
    <row r="8" spans="1:26" ht="21.9" customHeight="1">
      <c r="A8" s="146">
        <f>IF(分析!C187&lt;&gt;"",ROW()-2,"")</f>
        <v>6</v>
      </c>
      <c r="B8" s="147" t="str">
        <f>IF(分析!C187&lt;&gt;"",HYPERLINK("https://kabutan.jp/stock/?code="&amp;分析!C187,"株探"),"")</f>
        <v>株探</v>
      </c>
      <c r="C8" s="148">
        <f>IF(分析!C187&lt;&gt;"",分析!C187,"")</f>
        <v>3103</v>
      </c>
      <c r="D8" s="149" t="str">
        <f>IF(分析!D187&lt;&gt;"",分析!D187,"")</f>
        <v/>
      </c>
      <c r="E8" s="150" t="str">
        <f>IF(分析!E187&lt;&gt;"",分析!E187,"")</f>
        <v/>
      </c>
      <c r="F8" s="151" t="str">
        <f>IF(分析!F187&lt;&gt;"",分析!F187,"")</f>
        <v/>
      </c>
      <c r="G8" s="151" t="str">
        <f>IF(分析!H187&lt;&gt;"",分析!H187,"")</f>
        <v/>
      </c>
      <c r="H8" s="151" t="str">
        <f>IF(分析!I187&lt;&gt;"",分析!I187,"")</f>
        <v/>
      </c>
      <c r="I8" s="151" t="str">
        <f>IF(分析!J187&lt;&gt;"",分析!J187,"")</f>
        <v/>
      </c>
      <c r="J8" s="151">
        <f>IF(分析!AB187&lt;&gt;"",分析!AB187,"")</f>
        <v>1973.6059063136456</v>
      </c>
      <c r="K8" s="151">
        <f>IF(分析!AC187&lt;&gt;"",分析!AC187,"")</f>
        <v>1906.2628128724666</v>
      </c>
      <c r="L8" s="151" t="str">
        <f>IF(分析!K187&lt;&gt;"",分析!K187,"")</f>
        <v/>
      </c>
      <c r="M8" s="146" t="str">
        <f>IF(分析!P187&lt;&gt;"",分析!P187,"")</f>
        <v/>
      </c>
      <c r="N8" s="152" t="str">
        <f>IF(分析!O187&lt;&gt;"",分析!O187,"")</f>
        <v/>
      </c>
      <c r="O8" s="153">
        <f>IF(分析!X187&lt;&gt;"",分析!X187,"")</f>
        <v>-28.792583953924122</v>
      </c>
      <c r="P8" s="154" t="str">
        <f>IF(分析!L187&lt;&gt;"",分析!L187,"")</f>
        <v/>
      </c>
      <c r="Q8" s="151" t="str">
        <f>IF(分析!S187&lt;&gt;"",分析!S187,"")</f>
        <v/>
      </c>
      <c r="R8" s="151" t="str">
        <f>IF(分析!R187&lt;&gt;"",分析!R187,"")</f>
        <v/>
      </c>
      <c r="S8" s="146" t="str">
        <f>IF(分析!AA187&lt;&gt;"",分析!AA187,"")</f>
        <v/>
      </c>
      <c r="T8" s="155" t="str">
        <f>IF(分析!Z187&lt;&gt;"",分析!Z187,"")</f>
        <v/>
      </c>
      <c r="U8" s="146" t="str">
        <f>IF(分析!V187&lt;&gt;"",分析!V187,"")</f>
        <v/>
      </c>
      <c r="V8" s="156">
        <f>IF(分析!W187&lt;&gt;"",分析!W187,"")</f>
        <v>36.134453781512612</v>
      </c>
      <c r="W8" s="157" t="str">
        <f>IF(分析!AD187&lt;&gt;"",分析!AD187,"")</f>
        <v>パーフェクト▲</v>
      </c>
      <c r="X8" s="158" t="e">
        <f>IF(分析!AE187&lt;&gt;"",分析!AE187,"")</f>
        <v>#VALUE!</v>
      </c>
      <c r="Y8" s="159">
        <f>IF(分析!T187&lt;&gt;"",分析!T187,"")</f>
        <v>0</v>
      </c>
      <c r="Z8" s="145" t="e">
        <f>IF(分析!Y187&lt;&gt;"",分析!Y187,"")</f>
        <v>#VALUE!</v>
      </c>
    </row>
    <row r="9" spans="1:26" ht="21.9" customHeight="1">
      <c r="A9" s="131">
        <f>IF(分析!C154&lt;&gt;"",ROW()-2,"")</f>
        <v>7</v>
      </c>
      <c r="B9" s="132" t="str">
        <f>IF(分析!C154&lt;&gt;"",HYPERLINK("https://kabutan.jp/stock/?code="&amp;分析!C154,"株探"),"")</f>
        <v>株探</v>
      </c>
      <c r="C9" s="133">
        <f>IF(分析!C154&lt;&gt;"",分析!C154,"")</f>
        <v>4709</v>
      </c>
      <c r="D9" s="134" t="str">
        <f>IF(分析!D154&lt;&gt;"",分析!D154,"")</f>
        <v/>
      </c>
      <c r="E9" s="135" t="str">
        <f>IF(分析!E154&lt;&gt;"",分析!E154,"")</f>
        <v/>
      </c>
      <c r="F9" s="136" t="str">
        <f>IF(分析!F154&lt;&gt;"",分析!F154,"")</f>
        <v/>
      </c>
      <c r="G9" s="136" t="str">
        <f>IF(分析!H154&lt;&gt;"",分析!H154,"")</f>
        <v/>
      </c>
      <c r="H9" s="136" t="str">
        <f>IF(分析!I154&lt;&gt;"",分析!I154,"")</f>
        <v/>
      </c>
      <c r="I9" s="136" t="str">
        <f>IF(分析!J154&lt;&gt;"",分析!J154,"")</f>
        <v/>
      </c>
      <c r="J9" s="136">
        <f>IF(分析!AB154&lt;&gt;"",分析!AB154,"")</f>
        <v>2564.3054989816696</v>
      </c>
      <c r="K9" s="136">
        <f>IF(分析!AC154&lt;&gt;"",分析!AC154,"")</f>
        <v>2627.4314660309892</v>
      </c>
      <c r="L9" s="136" t="str">
        <f>IF(分析!K154&lt;&gt;"",分析!K154,"")</f>
        <v/>
      </c>
      <c r="M9" s="131" t="str">
        <f>IF(分析!P154&lt;&gt;"",分析!P154,"")</f>
        <v/>
      </c>
      <c r="N9" s="137" t="str">
        <f>IF(分析!O154&lt;&gt;"",分析!O154,"")</f>
        <v/>
      </c>
      <c r="O9" s="138">
        <f>IF(分析!X154&lt;&gt;"",分析!X154,"")</f>
        <v>7.4804449150017263</v>
      </c>
      <c r="P9" s="139" t="str">
        <f>IF(分析!L154&lt;&gt;"",分析!L154,"")</f>
        <v/>
      </c>
      <c r="Q9" s="136" t="str">
        <f>IF(分析!S154&lt;&gt;"",分析!S154,"")</f>
        <v/>
      </c>
      <c r="R9" s="136" t="str">
        <f>IF(分析!R154&lt;&gt;"",分析!R154,"")</f>
        <v/>
      </c>
      <c r="S9" s="131" t="str">
        <f>IF(分析!AA154&lt;&gt;"",分析!AA154,"")</f>
        <v/>
      </c>
      <c r="T9" s="140" t="str">
        <f>IF(分析!Z154&lt;&gt;"",分析!Z154,"")</f>
        <v/>
      </c>
      <c r="U9" s="131" t="str">
        <f>IF(分析!V154&lt;&gt;"",分析!V154,"")</f>
        <v/>
      </c>
      <c r="V9" s="141">
        <f>IF(分析!W154&lt;&gt;"",分析!W154,"")</f>
        <v>76.923076923076934</v>
      </c>
      <c r="W9" s="142" t="str">
        <f>IF(分析!AD154&lt;&gt;"",分析!AD154,"")</f>
        <v>上昇トレンド▲</v>
      </c>
      <c r="X9" s="143" t="e">
        <f>IF(分析!AE154&lt;&gt;"",分析!AE154,"")</f>
        <v>#VALUE!</v>
      </c>
      <c r="Y9" s="144">
        <f>IF(分析!T154&lt;&gt;"",分析!T154,"")</f>
        <v>0</v>
      </c>
      <c r="Z9" s="145" t="e">
        <f>IF(分析!Y154&lt;&gt;"",分析!Y154,"")</f>
        <v>#VALUE!</v>
      </c>
    </row>
    <row r="10" spans="1:26" ht="21.9" customHeight="1">
      <c r="A10" s="146">
        <f>IF(分析!C23&lt;&gt;"",ROW()-2,"")</f>
        <v>8</v>
      </c>
      <c r="B10" s="147" t="str">
        <f>IF(分析!C23&lt;&gt;"",HYPERLINK("https://kabutan.jp/stock/?code="&amp;分析!C23,"株探"),"")</f>
        <v>株探</v>
      </c>
      <c r="C10" s="148">
        <f>IF(分析!C23&lt;&gt;"",分析!C23,"")</f>
        <v>9404</v>
      </c>
      <c r="D10" s="149" t="str">
        <f>IF(分析!D23&lt;&gt;"",分析!D23,"")</f>
        <v/>
      </c>
      <c r="E10" s="150" t="str">
        <f>IF(分析!E23&lt;&gt;"",分析!E23,"")</f>
        <v/>
      </c>
      <c r="F10" s="151" t="str">
        <f>IF(分析!F23&lt;&gt;"",分析!F23,"")</f>
        <v/>
      </c>
      <c r="G10" s="151" t="str">
        <f>IF(分析!H23&lt;&gt;"",分析!H23,"")</f>
        <v/>
      </c>
      <c r="H10" s="151" t="str">
        <f>IF(分析!I23&lt;&gt;"",分析!I23,"")</f>
        <v/>
      </c>
      <c r="I10" s="151" t="str">
        <f>IF(分析!J23&lt;&gt;"",分析!J23,"")</f>
        <v/>
      </c>
      <c r="J10" s="151">
        <f>IF(分析!AB23&lt;&gt;"",分析!AB23,"")</f>
        <v>1553.3268839103869</v>
      </c>
      <c r="K10" s="151">
        <f>IF(分析!AC23&lt;&gt;"",分析!AC23,"")</f>
        <v>2884.4737783075079</v>
      </c>
      <c r="L10" s="151" t="str">
        <f>IF(分析!K23&lt;&gt;"",分析!K23,"")</f>
        <v/>
      </c>
      <c r="M10" s="146" t="str">
        <f>IF(分析!P23&lt;&gt;"",分析!P23,"")</f>
        <v/>
      </c>
      <c r="N10" s="152" t="str">
        <f>IF(分析!O23&lt;&gt;"",分析!O23,"")</f>
        <v/>
      </c>
      <c r="O10" s="153">
        <f>IF(分析!X23&lt;&gt;"",分析!X23,"")</f>
        <v>19.818315428736241</v>
      </c>
      <c r="P10" s="154" t="str">
        <f>IF(分析!L23&lt;&gt;"",分析!L23,"")</f>
        <v/>
      </c>
      <c r="Q10" s="151" t="str">
        <f>IF(分析!S23&lt;&gt;"",分析!S23,"")</f>
        <v/>
      </c>
      <c r="R10" s="151" t="str">
        <f>IF(分析!R23&lt;&gt;"",分析!R23,"")</f>
        <v/>
      </c>
      <c r="S10" s="146" t="str">
        <f>IF(分析!AA23&lt;&gt;"",分析!AA23,"")</f>
        <v/>
      </c>
      <c r="T10" s="155" t="str">
        <f>IF(分析!Z23&lt;&gt;"",分析!Z23,"")</f>
        <v/>
      </c>
      <c r="U10" s="146" t="str">
        <f>IF(分析!V23&lt;&gt;"",分析!V23,"")</f>
        <v/>
      </c>
      <c r="V10" s="156">
        <f>IF(分析!W23&lt;&gt;"",分析!W23,"")</f>
        <v>78.145695364238406</v>
      </c>
      <c r="W10" s="157" t="str">
        <f>IF(分析!AD23&lt;&gt;"",分析!AD23,"")</f>
        <v>上昇トレンド▲</v>
      </c>
      <c r="X10" s="158" t="e">
        <f>IF(分析!AE23&lt;&gt;"",分析!AE23,"")</f>
        <v>#VALUE!</v>
      </c>
      <c r="Y10" s="159">
        <f>IF(分析!T23&lt;&gt;"",分析!T23,"")</f>
        <v>0</v>
      </c>
      <c r="Z10" s="145" t="e">
        <f>IF(分析!Y23&lt;&gt;"",分析!Y23,"")</f>
        <v>#VALUE!</v>
      </c>
    </row>
    <row r="11" spans="1:26" ht="21.9" customHeight="1">
      <c r="A11" s="146">
        <f>IF(分析!C81&lt;&gt;"",ROW()-2,"")</f>
        <v>9</v>
      </c>
      <c r="B11" s="147" t="str">
        <f>IF(分析!C81&lt;&gt;"",HYPERLINK("https://kabutan.jp/stock/?code="&amp;分析!C81,"株探"),"")</f>
        <v>株探</v>
      </c>
      <c r="C11" s="148">
        <f>IF(分析!C81&lt;&gt;"",分析!C81,"")</f>
        <v>6920</v>
      </c>
      <c r="D11" s="149" t="str">
        <f>IF(分析!D81&lt;&gt;"",分析!D81,"")</f>
        <v/>
      </c>
      <c r="E11" s="150" t="str">
        <f>IF(分析!E81&lt;&gt;"",分析!E81,"")</f>
        <v/>
      </c>
      <c r="F11" s="151" t="str">
        <f>IF(分析!F81&lt;&gt;"",分析!F81,"")</f>
        <v/>
      </c>
      <c r="G11" s="151" t="str">
        <f>IF(分析!H81&lt;&gt;"",分析!H81,"")</f>
        <v/>
      </c>
      <c r="H11" s="151" t="str">
        <f>IF(分析!I81&lt;&gt;"",分析!I81,"")</f>
        <v/>
      </c>
      <c r="I11" s="151" t="str">
        <f>IF(分析!J81&lt;&gt;"",分析!J81,"")</f>
        <v/>
      </c>
      <c r="J11" s="151">
        <f>IF(分析!AB81&lt;&gt;"",分析!AB81,"")</f>
        <v>4572.2158859470474</v>
      </c>
      <c r="K11" s="151">
        <f>IF(分析!AC81&lt;&gt;"",分析!AC81,"")</f>
        <v>4482.9713945172807</v>
      </c>
      <c r="L11" s="151" t="str">
        <f>IF(分析!K81&lt;&gt;"",分析!K81,"")</f>
        <v/>
      </c>
      <c r="M11" s="146" t="str">
        <f>IF(分析!P81&lt;&gt;"",分析!P81,"")</f>
        <v/>
      </c>
      <c r="N11" s="152" t="str">
        <f>IF(分析!O81&lt;&gt;"",分析!O81,"")</f>
        <v/>
      </c>
      <c r="O11" s="153">
        <f>IF(分析!X81&lt;&gt;"",分析!X81,"")</f>
        <v>-821.07393756541569</v>
      </c>
      <c r="P11" s="154" t="str">
        <f>IF(分析!L81&lt;&gt;"",分析!L81,"")</f>
        <v/>
      </c>
      <c r="Q11" s="151" t="str">
        <f>IF(分析!S81&lt;&gt;"",分析!S81,"")</f>
        <v/>
      </c>
      <c r="R11" s="151" t="str">
        <f>IF(分析!R81&lt;&gt;"",分析!R81,"")</f>
        <v/>
      </c>
      <c r="S11" s="146" t="str">
        <f>IF(分析!AA81&lt;&gt;"",分析!AA81,"")</f>
        <v/>
      </c>
      <c r="T11" s="155" t="str">
        <f>IF(分析!Z81&lt;&gt;"",分析!Z81,"")</f>
        <v/>
      </c>
      <c r="U11" s="146" t="str">
        <f>IF(分析!V81&lt;&gt;"",分析!V81,"")</f>
        <v/>
      </c>
      <c r="V11" s="156">
        <f>IF(分析!W81&lt;&gt;"",分析!W81,"")</f>
        <v>42.086167800453509</v>
      </c>
      <c r="W11" s="157" t="str">
        <f>IF(分析!AD81&lt;&gt;"",分析!AD81,"")</f>
        <v>パーフェクト▲</v>
      </c>
      <c r="X11" s="158" t="e">
        <f>IF(分析!AE81&lt;&gt;"",分析!AE81,"")</f>
        <v>#VALUE!</v>
      </c>
      <c r="Y11" s="159">
        <f>IF(分析!T81&lt;&gt;"",分析!T81,"")</f>
        <v>0</v>
      </c>
      <c r="Z11" s="145" t="e">
        <f>IF(分析!Y81&lt;&gt;"",分析!Y81,"")</f>
        <v>#VALUE!</v>
      </c>
    </row>
    <row r="12" spans="1:26" ht="21.9" customHeight="1">
      <c r="A12" s="146">
        <f>IF(分析!C183&lt;&gt;"",ROW()-2,"")</f>
        <v>10</v>
      </c>
      <c r="B12" s="147" t="str">
        <f>IF(分析!C183&lt;&gt;"",HYPERLINK("https://kabutan.jp/stock/?code="&amp;分析!C183,"株探"),"")</f>
        <v>株探</v>
      </c>
      <c r="C12" s="148">
        <f>IF(分析!C183&lt;&gt;"",分析!C183,"")</f>
        <v>3402</v>
      </c>
      <c r="D12" s="149" t="str">
        <f>IF(分析!D183&lt;&gt;"",分析!D183,"")</f>
        <v/>
      </c>
      <c r="E12" s="150" t="str">
        <f>IF(分析!E183&lt;&gt;"",分析!E183,"")</f>
        <v/>
      </c>
      <c r="F12" s="151" t="str">
        <f>IF(分析!F183&lt;&gt;"",分析!F183,"")</f>
        <v/>
      </c>
      <c r="G12" s="151" t="str">
        <f>IF(分析!H183&lt;&gt;"",分析!H183,"")</f>
        <v/>
      </c>
      <c r="H12" s="151" t="str">
        <f>IF(分析!I183&lt;&gt;"",分析!I183,"")</f>
        <v/>
      </c>
      <c r="I12" s="151" t="str">
        <f>IF(分析!J183&lt;&gt;"",分析!J183,"")</f>
        <v/>
      </c>
      <c r="J12" s="151">
        <f>IF(分析!AB183&lt;&gt;"",分析!AB183,"")</f>
        <v>2317.8044806517305</v>
      </c>
      <c r="K12" s="151">
        <f>IF(分析!AC183&lt;&gt;"",分析!AC183,"")</f>
        <v>2283.3897497020248</v>
      </c>
      <c r="L12" s="151" t="str">
        <f>IF(分析!K183&lt;&gt;"",分析!K183,"")</f>
        <v/>
      </c>
      <c r="M12" s="146" t="str">
        <f>IF(分析!P183&lt;&gt;"",分析!P183,"")</f>
        <v/>
      </c>
      <c r="N12" s="152" t="str">
        <f>IF(分析!O183&lt;&gt;"",分析!O183,"")</f>
        <v/>
      </c>
      <c r="O12" s="153">
        <f>IF(分析!X183&lt;&gt;"",分析!X183,"")</f>
        <v>0.79859416730687371</v>
      </c>
      <c r="P12" s="154" t="str">
        <f>IF(分析!L183&lt;&gt;"",分析!L183,"")</f>
        <v/>
      </c>
      <c r="Q12" s="151" t="str">
        <f>IF(分析!S183&lt;&gt;"",分析!S183,"")</f>
        <v/>
      </c>
      <c r="R12" s="151" t="str">
        <f>IF(分析!R183&lt;&gt;"",分析!R183,"")</f>
        <v/>
      </c>
      <c r="S12" s="146" t="str">
        <f>IF(分析!AA183&lt;&gt;"",分析!AA183,"")</f>
        <v/>
      </c>
      <c r="T12" s="155" t="str">
        <f>IF(分析!Z183&lt;&gt;"",分析!Z183,"")</f>
        <v/>
      </c>
      <c r="U12" s="146" t="str">
        <f>IF(分析!V183&lt;&gt;"",分析!V183,"")</f>
        <v/>
      </c>
      <c r="V12" s="156">
        <f>IF(分析!W183&lt;&gt;"",分析!W183,"")</f>
        <v>57.575757575757578</v>
      </c>
      <c r="W12" s="157" t="str">
        <f>IF(分析!AD183&lt;&gt;"",分析!AD183,"")</f>
        <v>パーフェクト▲</v>
      </c>
      <c r="X12" s="158" t="e">
        <f>IF(分析!AE183&lt;&gt;"",分析!AE183,"")</f>
        <v>#VALUE!</v>
      </c>
      <c r="Y12" s="159">
        <f>IF(分析!T183&lt;&gt;"",分析!T183,"")</f>
        <v>0</v>
      </c>
      <c r="Z12" s="145" t="e">
        <f>IF(分析!Y183&lt;&gt;"",分析!Y183,"")</f>
        <v>#VALUE!</v>
      </c>
    </row>
    <row r="13" spans="1:26" ht="21.9" customHeight="1">
      <c r="A13" s="131">
        <f>IF(分析!C4&lt;&gt;"",ROW()-2,"")</f>
        <v>11</v>
      </c>
      <c r="B13" s="132" t="str">
        <f>IF(分析!C4&lt;&gt;"",HYPERLINK("https://kabutan.jp/stock/?code="&amp;分析!C4,"株探"),"")</f>
        <v>株探</v>
      </c>
      <c r="C13" s="133" t="str">
        <f>IF(分析!C4&lt;&gt;"",分析!C4,"")</f>
        <v>9064</v>
      </c>
      <c r="D13" s="134" t="str">
        <f>IF(分析!D4&lt;&gt;"",分析!D4,"")</f>
        <v/>
      </c>
      <c r="E13" s="135" t="str">
        <f>IF(分析!E4&lt;&gt;"",分析!E4,"")</f>
        <v/>
      </c>
      <c r="F13" s="136" t="str">
        <f>IF(分析!F4&lt;&gt;"",分析!F4,"")</f>
        <v/>
      </c>
      <c r="G13" s="136" t="str">
        <f>IF(分析!H4&lt;&gt;"",分析!H4,"")</f>
        <v/>
      </c>
      <c r="H13" s="136" t="str">
        <f>IF(分析!I4&lt;&gt;"",分析!I4,"")</f>
        <v/>
      </c>
      <c r="I13" s="136" t="str">
        <f>IF(分析!J4&lt;&gt;"",分析!J4,"")</f>
        <v/>
      </c>
      <c r="J13" s="136">
        <f>IF(分析!AB4&lt;&gt;"",分析!AB4,"")</f>
        <v>50906.975560081468</v>
      </c>
      <c r="K13" s="136">
        <f>IF(分析!AC4&lt;&gt;"",分析!AC4,"")</f>
        <v>48810.8939213349</v>
      </c>
      <c r="L13" s="136" t="str">
        <f>IF(分析!K4&lt;&gt;"",分析!K4,"")</f>
        <v/>
      </c>
      <c r="M13" s="131" t="str">
        <f>IF(分析!P4&lt;&gt;"",分析!P4,"")</f>
        <v/>
      </c>
      <c r="N13" s="137" t="str">
        <f>IF(分析!O4&lt;&gt;"",分析!O4,"")</f>
        <v/>
      </c>
      <c r="O13" s="138">
        <f>IF(分析!X4&lt;&gt;"",分析!X4,"")</f>
        <v>26.492794709420423</v>
      </c>
      <c r="P13" s="139" t="str">
        <f>IF(分析!L4&lt;&gt;"",分析!L4,"")</f>
        <v/>
      </c>
      <c r="Q13" s="136" t="str">
        <f>IF(分析!S4&lt;&gt;"",分析!S4,"")</f>
        <v/>
      </c>
      <c r="R13" s="136" t="str">
        <f>IF(分析!R4&lt;&gt;"",分析!R4,"")</f>
        <v/>
      </c>
      <c r="S13" s="131" t="str">
        <f>IF(分析!AA4&lt;&gt;"",分析!AA4,"")</f>
        <v/>
      </c>
      <c r="T13" s="140" t="str">
        <f>IF(分析!Z4&lt;&gt;"",分析!Z4,"")</f>
        <v/>
      </c>
      <c r="U13" s="131" t="str">
        <f>IF(分析!V4&lt;&gt;"",分析!V4,"")</f>
        <v/>
      </c>
      <c r="V13" s="141">
        <f>IF(分析!W4&lt;&gt;"",分析!W4,"")</f>
        <v>75.27910685805422</v>
      </c>
      <c r="W13" s="142" t="str">
        <f>IF(分析!AD4&lt;&gt;"",分析!AD4,"")</f>
        <v>パーフェクト▲</v>
      </c>
      <c r="X13" s="143" t="e">
        <f>IF(分析!AE4&lt;&gt;"",分析!AE4,"")</f>
        <v>#VALUE!</v>
      </c>
      <c r="Y13" s="144">
        <f>IF(分析!T4&lt;&gt;"",分析!T4,"")</f>
        <v>0</v>
      </c>
      <c r="Z13" s="145" t="e">
        <f>IF(分析!Y4&lt;&gt;"",分析!Y4,"")</f>
        <v>#VALUE!</v>
      </c>
    </row>
    <row r="14" spans="1:26" ht="21.9" customHeight="1">
      <c r="A14" s="131">
        <f>IF(分析!C142&lt;&gt;"",ROW()-2,"")</f>
        <v>12</v>
      </c>
      <c r="B14" s="132" t="str">
        <f>IF(分析!C142&lt;&gt;"",HYPERLINK("https://kabutan.jp/stock/?code="&amp;分析!C142,"株探"),"")</f>
        <v>株探</v>
      </c>
      <c r="C14" s="133">
        <f>IF(分析!C142&lt;&gt;"",分析!C142,"")</f>
        <v>5332</v>
      </c>
      <c r="D14" s="134" t="str">
        <f>IF(分析!D142&lt;&gt;"",分析!D142,"")</f>
        <v/>
      </c>
      <c r="E14" s="135" t="str">
        <f>IF(分析!E142&lt;&gt;"",分析!E142,"")</f>
        <v/>
      </c>
      <c r="F14" s="136" t="str">
        <f>IF(分析!F142&lt;&gt;"",分析!F142,"")</f>
        <v/>
      </c>
      <c r="G14" s="136" t="str">
        <f>IF(分析!H142&lt;&gt;"",分析!H142,"")</f>
        <v/>
      </c>
      <c r="H14" s="136" t="str">
        <f>IF(分析!I142&lt;&gt;"",分析!I142,"")</f>
        <v/>
      </c>
      <c r="I14" s="136" t="str">
        <f>IF(分析!J142&lt;&gt;"",分析!J142,"")</f>
        <v/>
      </c>
      <c r="J14" s="136">
        <f>IF(分析!AB142&lt;&gt;"",分析!AB142,"")</f>
        <v>20407.85132382892</v>
      </c>
      <c r="K14" s="136">
        <f>IF(分析!AC142&lt;&gt;"",分析!AC142,"")</f>
        <v>23048.641239570916</v>
      </c>
      <c r="L14" s="136" t="str">
        <f>IF(分析!K142&lt;&gt;"",分析!K142,"")</f>
        <v/>
      </c>
      <c r="M14" s="131" t="str">
        <f>IF(分析!P142&lt;&gt;"",分析!P142,"")</f>
        <v/>
      </c>
      <c r="N14" s="137" t="str">
        <f>IF(分析!O142&lt;&gt;"",分析!O142,"")</f>
        <v/>
      </c>
      <c r="O14" s="138">
        <f>IF(分析!X142&lt;&gt;"",分析!X142,"")</f>
        <v>-87.325220208644168</v>
      </c>
      <c r="P14" s="139" t="str">
        <f>IF(分析!L142&lt;&gt;"",分析!L142,"")</f>
        <v/>
      </c>
      <c r="Q14" s="136" t="str">
        <f>IF(分析!S142&lt;&gt;"",分析!S142,"")</f>
        <v/>
      </c>
      <c r="R14" s="136" t="str">
        <f>IF(分析!R142&lt;&gt;"",分析!R142,"")</f>
        <v/>
      </c>
      <c r="S14" s="131" t="str">
        <f>IF(分析!AA142&lt;&gt;"",分析!AA142,"")</f>
        <v/>
      </c>
      <c r="T14" s="140" t="str">
        <f>IF(分析!Z142&lt;&gt;"",分析!Z142,"")</f>
        <v/>
      </c>
      <c r="U14" s="131" t="str">
        <f>IF(分析!V142&lt;&gt;"",分析!V142,"")</f>
        <v/>
      </c>
      <c r="V14" s="141">
        <f>IF(分析!W142&lt;&gt;"",分析!W142,"")</f>
        <v>27.686350435624391</v>
      </c>
      <c r="W14" s="142" t="str">
        <f>IF(分析!AD142&lt;&gt;"",分析!AD142,"")</f>
        <v>上昇トレンド▲</v>
      </c>
      <c r="X14" s="143" t="e">
        <f>IF(分析!AE142&lt;&gt;"",分析!AE142,"")</f>
        <v>#VALUE!</v>
      </c>
      <c r="Y14" s="144">
        <f>IF(分析!T142&lt;&gt;"",分析!T142,"")</f>
        <v>0</v>
      </c>
      <c r="Z14" s="145" t="e">
        <f>IF(分析!Y142&lt;&gt;"",分析!Y142,"")</f>
        <v>#VALUE!</v>
      </c>
    </row>
    <row r="15" spans="1:26" ht="21.9" customHeight="1">
      <c r="A15" s="131">
        <f>IF(分析!C178&lt;&gt;"",ROW()-2,"")</f>
        <v>13</v>
      </c>
      <c r="B15" s="132" t="str">
        <f>IF(分析!C178&lt;&gt;"",HYPERLINK("https://kabutan.jp/stock/?code="&amp;分析!C178,"株探"),"")</f>
        <v>株探</v>
      </c>
      <c r="C15" s="133">
        <f>IF(分析!C178&lt;&gt;"",分析!C178,"")</f>
        <v>3863</v>
      </c>
      <c r="D15" s="134" t="str">
        <f>IF(分析!D178&lt;&gt;"",分析!D178,"")</f>
        <v/>
      </c>
      <c r="E15" s="135" t="str">
        <f>IF(分析!E178&lt;&gt;"",分析!E178,"")</f>
        <v/>
      </c>
      <c r="F15" s="136" t="str">
        <f>IF(分析!F178&lt;&gt;"",分析!F178,"")</f>
        <v/>
      </c>
      <c r="G15" s="136" t="str">
        <f>IF(分析!H178&lt;&gt;"",分析!H178,"")</f>
        <v/>
      </c>
      <c r="H15" s="136" t="str">
        <f>IF(分析!I178&lt;&gt;"",分析!I178,"")</f>
        <v/>
      </c>
      <c r="I15" s="136" t="str">
        <f>IF(分析!J178&lt;&gt;"",分析!J178,"")</f>
        <v/>
      </c>
      <c r="J15" s="136">
        <f>IF(分析!AB178&lt;&gt;"",分析!AB178,"")</f>
        <v>1827.1700610997959</v>
      </c>
      <c r="K15" s="136">
        <f>IF(分析!AC178&lt;&gt;"",分析!AC178,"")</f>
        <v>1784.88200238379</v>
      </c>
      <c r="L15" s="136" t="str">
        <f>IF(分析!K178&lt;&gt;"",分析!K178,"")</f>
        <v/>
      </c>
      <c r="M15" s="131" t="str">
        <f>IF(分析!P178&lt;&gt;"",分析!P178,"")</f>
        <v/>
      </c>
      <c r="N15" s="137" t="str">
        <f>IF(分析!O178&lt;&gt;"",分析!O178,"")</f>
        <v/>
      </c>
      <c r="O15" s="138">
        <f>IF(分析!X178&lt;&gt;"",分析!X178,"")</f>
        <v>23.220355916080507</v>
      </c>
      <c r="P15" s="139" t="str">
        <f>IF(分析!L178&lt;&gt;"",分析!L178,"")</f>
        <v/>
      </c>
      <c r="Q15" s="136" t="str">
        <f>IF(分析!S178&lt;&gt;"",分析!S178,"")</f>
        <v/>
      </c>
      <c r="R15" s="136" t="str">
        <f>IF(分析!R178&lt;&gt;"",分析!R178,"")</f>
        <v/>
      </c>
      <c r="S15" s="131" t="str">
        <f>IF(分析!AA178&lt;&gt;"",分析!AA178,"")</f>
        <v/>
      </c>
      <c r="T15" s="140" t="str">
        <f>IF(分析!Z178&lt;&gt;"",分析!Z178,"")</f>
        <v/>
      </c>
      <c r="U15" s="131" t="str">
        <f>IF(分析!V178&lt;&gt;"",分析!V178,"")</f>
        <v/>
      </c>
      <c r="V15" s="141">
        <f>IF(分析!W178&lt;&gt;"",分析!W178,"")</f>
        <v>83.404255319148945</v>
      </c>
      <c r="W15" s="142" t="str">
        <f>IF(分析!AD178&lt;&gt;"",分析!AD178,"")</f>
        <v>パーフェクト▲</v>
      </c>
      <c r="X15" s="143" t="e">
        <f>IF(分析!AE178&lt;&gt;"",分析!AE178,"")</f>
        <v>#VALUE!</v>
      </c>
      <c r="Y15" s="144">
        <f>IF(分析!T178&lt;&gt;"",分析!T178,"")</f>
        <v>0</v>
      </c>
      <c r="Z15" s="145" t="e">
        <f>IF(分析!Y178&lt;&gt;"",分析!Y178,"")</f>
        <v>#VALUE!</v>
      </c>
    </row>
    <row r="16" spans="1:26" ht="21.9" customHeight="1">
      <c r="A16" s="146">
        <f>IF(分析!C9&lt;&gt;"",ROW()-2,"")</f>
        <v>14</v>
      </c>
      <c r="B16" s="147" t="str">
        <f>IF(分析!C9&lt;&gt;"",HYPERLINK("https://kabutan.jp/stock/?code="&amp;分析!C9,"株探"),"")</f>
        <v>株探</v>
      </c>
      <c r="C16" s="148">
        <f>IF(分析!C9&lt;&gt;"",分析!C9,"")</f>
        <v>9882</v>
      </c>
      <c r="D16" s="149" t="str">
        <f>IF(分析!D9&lt;&gt;"",分析!D9,"")</f>
        <v/>
      </c>
      <c r="E16" s="150" t="str">
        <f>IF(分析!E9&lt;&gt;"",分析!E9,"")</f>
        <v/>
      </c>
      <c r="F16" s="151" t="str">
        <f>IF(分析!F9&lt;&gt;"",分析!F9,"")</f>
        <v/>
      </c>
      <c r="G16" s="151" t="str">
        <f>IF(分析!H9&lt;&gt;"",分析!H9,"")</f>
        <v/>
      </c>
      <c r="H16" s="151" t="str">
        <f>IF(分析!I9&lt;&gt;"",分析!I9,"")</f>
        <v/>
      </c>
      <c r="I16" s="151" t="str">
        <f>IF(分析!J9&lt;&gt;"",分析!J9,"")</f>
        <v/>
      </c>
      <c r="J16" s="151">
        <f>IF(分析!AB9&lt;&gt;"",分析!AB9,"")</f>
        <v>4345.7912423625257</v>
      </c>
      <c r="K16" s="151">
        <f>IF(分析!AC9&lt;&gt;"",分析!AC9,"")</f>
        <v>4171.205005959474</v>
      </c>
      <c r="L16" s="151" t="str">
        <f>IF(分析!K9&lt;&gt;"",分析!K9,"")</f>
        <v/>
      </c>
      <c r="M16" s="146" t="str">
        <f>IF(分析!P9&lt;&gt;"",分析!P9,"")</f>
        <v/>
      </c>
      <c r="N16" s="152" t="str">
        <f>IF(分析!O9&lt;&gt;"",分析!O9,"")</f>
        <v/>
      </c>
      <c r="O16" s="153">
        <f>IF(分析!X9&lt;&gt;"",分析!X9,"")</f>
        <v>11.044226811919998</v>
      </c>
      <c r="P16" s="154" t="str">
        <f>IF(分析!L9&lt;&gt;"",分析!L9,"")</f>
        <v/>
      </c>
      <c r="Q16" s="151" t="str">
        <f>IF(分析!S9&lt;&gt;"",分析!S9,"")</f>
        <v/>
      </c>
      <c r="R16" s="151" t="str">
        <f>IF(分析!R9&lt;&gt;"",分析!R9,"")</f>
        <v/>
      </c>
      <c r="S16" s="146" t="str">
        <f>IF(分析!AA9&lt;&gt;"",分析!AA9,"")</f>
        <v/>
      </c>
      <c r="T16" s="155" t="str">
        <f>IF(分析!Z9&lt;&gt;"",分析!Z9,"")</f>
        <v/>
      </c>
      <c r="U16" s="146" t="str">
        <f>IF(分析!V9&lt;&gt;"",分析!V9,"")</f>
        <v/>
      </c>
      <c r="V16" s="156">
        <f>IF(分析!W9&lt;&gt;"",分析!W9,"")</f>
        <v>65.217391304347828</v>
      </c>
      <c r="W16" s="157" t="str">
        <f>IF(分析!AD9&lt;&gt;"",分析!AD9,"")</f>
        <v>パーフェクト▲</v>
      </c>
      <c r="X16" s="158" t="e">
        <f>IF(分析!AE9&lt;&gt;"",分析!AE9,"")</f>
        <v>#VALUE!</v>
      </c>
      <c r="Y16" s="159">
        <f>IF(分析!T9&lt;&gt;"",分析!T9,"")</f>
        <v>0</v>
      </c>
      <c r="Z16" s="145" t="e">
        <f>IF(分析!Y9&lt;&gt;"",分析!Y9,"")</f>
        <v>#VALUE!</v>
      </c>
    </row>
    <row r="17" spans="1:26" ht="21.9" customHeight="1">
      <c r="A17" s="146">
        <f>IF(分析!C75&lt;&gt;"",ROW()-2,"")</f>
        <v>15</v>
      </c>
      <c r="B17" s="147" t="str">
        <f>IF(分析!C75&lt;&gt;"",HYPERLINK("https://kabutan.jp/stock/?code="&amp;分析!C75,"株探"),"")</f>
        <v>株探</v>
      </c>
      <c r="C17" s="148">
        <f>IF(分析!C75&lt;&gt;"",分析!C75,"")</f>
        <v>7167</v>
      </c>
      <c r="D17" s="149" t="str">
        <f>IF(分析!D75&lt;&gt;"",分析!D75,"")</f>
        <v/>
      </c>
      <c r="E17" s="150" t="str">
        <f>IF(分析!E75&lt;&gt;"",分析!E75,"")</f>
        <v/>
      </c>
      <c r="F17" s="151" t="str">
        <f>IF(分析!F75&lt;&gt;"",分析!F75,"")</f>
        <v/>
      </c>
      <c r="G17" s="151" t="str">
        <f>IF(分析!H75&lt;&gt;"",分析!H75,"")</f>
        <v/>
      </c>
      <c r="H17" s="151" t="str">
        <f>IF(分析!I75&lt;&gt;"",分析!I75,"")</f>
        <v/>
      </c>
      <c r="I17" s="151" t="str">
        <f>IF(分析!J75&lt;&gt;"",分析!J75,"")</f>
        <v/>
      </c>
      <c r="J17" s="151">
        <f>IF(分析!AB75&lt;&gt;"",分析!AB75,"")</f>
        <v>2867.2510183299378</v>
      </c>
      <c r="K17" s="151">
        <f>IF(分析!AC75&lt;&gt;"",分析!AC75,"")</f>
        <v>2825.0286054827166</v>
      </c>
      <c r="L17" s="151" t="str">
        <f>IF(分析!K75&lt;&gt;"",分析!K75,"")</f>
        <v/>
      </c>
      <c r="M17" s="146" t="str">
        <f>IF(分析!P75&lt;&gt;"",分析!P75,"")</f>
        <v/>
      </c>
      <c r="N17" s="152" t="str">
        <f>IF(分析!O75&lt;&gt;"",分析!O75,"")</f>
        <v/>
      </c>
      <c r="O17" s="153">
        <f>IF(分析!X75&lt;&gt;"",分析!X75,"")</f>
        <v>17.212446117044237</v>
      </c>
      <c r="P17" s="154" t="str">
        <f>IF(分析!L75&lt;&gt;"",分析!L75,"")</f>
        <v/>
      </c>
      <c r="Q17" s="151" t="str">
        <f>IF(分析!S75&lt;&gt;"",分析!S75,"")</f>
        <v/>
      </c>
      <c r="R17" s="151" t="str">
        <f>IF(分析!R75&lt;&gt;"",分析!R75,"")</f>
        <v/>
      </c>
      <c r="S17" s="146" t="str">
        <f>IF(分析!AA75&lt;&gt;"",分析!AA75,"")</f>
        <v/>
      </c>
      <c r="T17" s="155" t="str">
        <f>IF(分析!Z75&lt;&gt;"",分析!Z75,"")</f>
        <v/>
      </c>
      <c r="U17" s="146" t="str">
        <f>IF(分析!V75&lt;&gt;"",分析!V75,"")</f>
        <v/>
      </c>
      <c r="V17" s="156">
        <f>IF(分析!W75&lt;&gt;"",分析!W75,"")</f>
        <v>81.856540084388186</v>
      </c>
      <c r="W17" s="157" t="str">
        <f>IF(分析!AD75&lt;&gt;"",分析!AD75,"")</f>
        <v>パーフェクト▲</v>
      </c>
      <c r="X17" s="158" t="e">
        <f>IF(分析!AE75&lt;&gt;"",分析!AE75,"")</f>
        <v>#VALUE!</v>
      </c>
      <c r="Y17" s="159">
        <f>IF(分析!T75&lt;&gt;"",分析!T75,"")</f>
        <v>0</v>
      </c>
      <c r="Z17" s="145" t="e">
        <f>IF(分析!Y75&lt;&gt;"",分析!Y75,"")</f>
        <v>#VALUE!</v>
      </c>
    </row>
    <row r="18" spans="1:26" ht="21.9" customHeight="1">
      <c r="A18" s="146">
        <f>IF(分析!C145&lt;&gt;"",ROW()-2,"")</f>
        <v>16</v>
      </c>
      <c r="B18" s="147" t="str">
        <f>IF(分析!C145&lt;&gt;"",HYPERLINK("https://kabutan.jp/stock/?code="&amp;分析!C145,"株探"),"")</f>
        <v>株探</v>
      </c>
      <c r="C18" s="148">
        <f>IF(分析!C145&lt;&gt;"",分析!C145,"")</f>
        <v>5201</v>
      </c>
      <c r="D18" s="149" t="str">
        <f>IF(分析!D145&lt;&gt;"",分析!D145,"")</f>
        <v/>
      </c>
      <c r="E18" s="150" t="str">
        <f>IF(分析!E145&lt;&gt;"",分析!E145,"")</f>
        <v/>
      </c>
      <c r="F18" s="151" t="str">
        <f>IF(分析!F145&lt;&gt;"",分析!F145,"")</f>
        <v/>
      </c>
      <c r="G18" s="151" t="str">
        <f>IF(分析!H145&lt;&gt;"",分析!H145,"")</f>
        <v/>
      </c>
      <c r="H18" s="151" t="str">
        <f>IF(分析!I145&lt;&gt;"",分析!I145,"")</f>
        <v/>
      </c>
      <c r="I18" s="151" t="str">
        <f>IF(分析!J145&lt;&gt;"",分析!J145,"")</f>
        <v/>
      </c>
      <c r="J18" s="151">
        <f>IF(分析!AB145&lt;&gt;"",分析!AB145,"")</f>
        <v>11601.812627291241</v>
      </c>
      <c r="K18" s="151">
        <f>IF(分析!AC145&lt;&gt;"",分析!AC145,"")</f>
        <v>12797.282479141833</v>
      </c>
      <c r="L18" s="151" t="str">
        <f>IF(分析!K145&lt;&gt;"",分析!K145,"")</f>
        <v/>
      </c>
      <c r="M18" s="146" t="str">
        <f>IF(分析!P145&lt;&gt;"",分析!P145,"")</f>
        <v/>
      </c>
      <c r="N18" s="152" t="str">
        <f>IF(分析!O145&lt;&gt;"",分析!O145,"")</f>
        <v/>
      </c>
      <c r="O18" s="153">
        <f>IF(分析!X145&lt;&gt;"",分析!X145,"")</f>
        <v>-126.01528823152148</v>
      </c>
      <c r="P18" s="154" t="str">
        <f>IF(分析!L145&lt;&gt;"",分析!L145,"")</f>
        <v/>
      </c>
      <c r="Q18" s="151" t="str">
        <f>IF(分析!S145&lt;&gt;"",分析!S145,"")</f>
        <v/>
      </c>
      <c r="R18" s="151" t="str">
        <f>IF(分析!R145&lt;&gt;"",分析!R145,"")</f>
        <v/>
      </c>
      <c r="S18" s="146" t="str">
        <f>IF(分析!AA145&lt;&gt;"",分析!AA145,"")</f>
        <v/>
      </c>
      <c r="T18" s="155" t="str">
        <f>IF(分析!Z145&lt;&gt;"",分析!Z145,"")</f>
        <v/>
      </c>
      <c r="U18" s="146" t="str">
        <f>IF(分析!V145&lt;&gt;"",分析!V145,"")</f>
        <v/>
      </c>
      <c r="V18" s="156">
        <f>IF(分析!W145&lt;&gt;"",分析!W145,"")</f>
        <v>25.651041666666671</v>
      </c>
      <c r="W18" s="157" t="str">
        <f>IF(分析!AD145&lt;&gt;"",分析!AD145,"")</f>
        <v>上昇トレンド▲</v>
      </c>
      <c r="X18" s="158" t="e">
        <f>IF(分析!AE145&lt;&gt;"",分析!AE145,"")</f>
        <v>#VALUE!</v>
      </c>
      <c r="Y18" s="159">
        <f>IF(分析!T145&lt;&gt;"",分析!T145,"")</f>
        <v>0</v>
      </c>
      <c r="Z18" s="145" t="e">
        <f>IF(分析!Y145&lt;&gt;"",分析!Y145,"")</f>
        <v>#VALUE!</v>
      </c>
    </row>
    <row r="19" spans="1:26" ht="21.9" customHeight="1">
      <c r="A19" s="146">
        <f>IF(分析!C151&lt;&gt;"",ROW()-2,"")</f>
        <v>17</v>
      </c>
      <c r="B19" s="147" t="str">
        <f>IF(分析!C151&lt;&gt;"",HYPERLINK("https://kabutan.jp/stock/?code="&amp;分析!C151,"株探"),"")</f>
        <v>株探</v>
      </c>
      <c r="C19" s="148">
        <f>IF(分析!C151&lt;&gt;"",分析!C151,"")</f>
        <v>4888</v>
      </c>
      <c r="D19" s="149" t="str">
        <f>IF(分析!D151&lt;&gt;"",分析!D151,"")</f>
        <v/>
      </c>
      <c r="E19" s="150" t="str">
        <f>IF(分析!E151&lt;&gt;"",分析!E151,"")</f>
        <v/>
      </c>
      <c r="F19" s="151" t="str">
        <f>IF(分析!F151&lt;&gt;"",分析!F151,"")</f>
        <v/>
      </c>
      <c r="G19" s="151" t="str">
        <f>IF(分析!H151&lt;&gt;"",分析!H151,"")</f>
        <v/>
      </c>
      <c r="H19" s="151" t="str">
        <f>IF(分析!I151&lt;&gt;"",分析!I151,"")</f>
        <v/>
      </c>
      <c r="I19" s="151" t="str">
        <f>IF(分析!J151&lt;&gt;"",分析!J151,"")</f>
        <v/>
      </c>
      <c r="J19" s="151">
        <f>IF(分析!AB151&lt;&gt;"",分析!AB151,"")</f>
        <v>4234.4704684317712</v>
      </c>
      <c r="K19" s="151">
        <f>IF(分析!AC151&lt;&gt;"",分析!AC151,"")</f>
        <v>3884.4147794994019</v>
      </c>
      <c r="L19" s="151" t="str">
        <f>IF(分析!K151&lt;&gt;"",分析!K151,"")</f>
        <v/>
      </c>
      <c r="M19" s="146" t="str">
        <f>IF(分析!P151&lt;&gt;"",分析!P151,"")</f>
        <v/>
      </c>
      <c r="N19" s="152" t="str">
        <f>IF(分析!O151&lt;&gt;"",分析!O151,"")</f>
        <v/>
      </c>
      <c r="O19" s="153">
        <f>IF(分析!X151&lt;&gt;"",分析!X151,"")</f>
        <v>-0.41793869582352272</v>
      </c>
      <c r="P19" s="154" t="str">
        <f>IF(分析!L151&lt;&gt;"",分析!L151,"")</f>
        <v/>
      </c>
      <c r="Q19" s="151" t="str">
        <f>IF(分析!S151&lt;&gt;"",分析!S151,"")</f>
        <v/>
      </c>
      <c r="R19" s="151" t="str">
        <f>IF(分析!R151&lt;&gt;"",分析!R151,"")</f>
        <v/>
      </c>
      <c r="S19" s="146" t="str">
        <f>IF(分析!AA151&lt;&gt;"",分析!AA151,"")</f>
        <v/>
      </c>
      <c r="T19" s="155" t="str">
        <f>IF(分析!Z151&lt;&gt;"",分析!Z151,"")</f>
        <v/>
      </c>
      <c r="U19" s="146" t="str">
        <f>IF(分析!V151&lt;&gt;"",分析!V151,"")</f>
        <v/>
      </c>
      <c r="V19" s="156">
        <f>IF(分析!W151&lt;&gt;"",分析!W151,"")</f>
        <v>64.367816091954026</v>
      </c>
      <c r="W19" s="157" t="str">
        <f>IF(分析!AD151&lt;&gt;"",分析!AD151,"")</f>
        <v>パーフェクト▲</v>
      </c>
      <c r="X19" s="158" t="e">
        <f>IF(分析!AE151&lt;&gt;"",分析!AE151,"")</f>
        <v>#VALUE!</v>
      </c>
      <c r="Y19" s="159">
        <f>IF(分析!T151&lt;&gt;"",分析!T151,"")</f>
        <v>0</v>
      </c>
      <c r="Z19" s="145" t="e">
        <f>IF(分析!Y151&lt;&gt;"",分析!Y151,"")</f>
        <v>#VALUE!</v>
      </c>
    </row>
    <row r="20" spans="1:26" ht="21.9" customHeight="1">
      <c r="A20" s="131">
        <f>IF(分析!C192&lt;&gt;"",ROW()-2,"")</f>
        <v>18</v>
      </c>
      <c r="B20" s="132" t="str">
        <f>IF(分析!C192&lt;&gt;"",HYPERLINK("https://kabutan.jp/stock/?code="&amp;分析!C192,"株探"),"")</f>
        <v>株探</v>
      </c>
      <c r="C20" s="133">
        <f>IF(分析!C192&lt;&gt;"",分析!C192,"")</f>
        <v>2702</v>
      </c>
      <c r="D20" s="134" t="str">
        <f>IF(分析!D192&lt;&gt;"",分析!D192,"")</f>
        <v/>
      </c>
      <c r="E20" s="135" t="str">
        <f>IF(分析!E192&lt;&gt;"",分析!E192,"")</f>
        <v/>
      </c>
      <c r="F20" s="136" t="str">
        <f>IF(分析!F192&lt;&gt;"",分析!F192,"")</f>
        <v/>
      </c>
      <c r="G20" s="136" t="str">
        <f>IF(分析!H192&lt;&gt;"",分析!H192,"")</f>
        <v/>
      </c>
      <c r="H20" s="136" t="str">
        <f>IF(分析!I192&lt;&gt;"",分析!I192,"")</f>
        <v/>
      </c>
      <c r="I20" s="136" t="str">
        <f>IF(分析!J192&lt;&gt;"",分析!J192,"")</f>
        <v/>
      </c>
      <c r="J20" s="136">
        <f>IF(分析!AB192&lt;&gt;"",分析!AB192,"")</f>
        <v>7657.7902240325848</v>
      </c>
      <c r="K20" s="136">
        <f>IF(分析!AC192&lt;&gt;"",分析!AC192,"")</f>
        <v>7572.1096543504154</v>
      </c>
      <c r="L20" s="136" t="str">
        <f>IF(分析!K192&lt;&gt;"",分析!K192,"")</f>
        <v/>
      </c>
      <c r="M20" s="131" t="str">
        <f>IF(分析!P192&lt;&gt;"",分析!P192,"")</f>
        <v/>
      </c>
      <c r="N20" s="137" t="str">
        <f>IF(分析!O192&lt;&gt;"",分析!O192,"")</f>
        <v/>
      </c>
      <c r="O20" s="138">
        <f>IF(分析!X192&lt;&gt;"",分析!X192,"")</f>
        <v>47.708078761658726</v>
      </c>
      <c r="P20" s="139" t="str">
        <f>IF(分析!L192&lt;&gt;"",分析!L192,"")</f>
        <v/>
      </c>
      <c r="Q20" s="136" t="str">
        <f>IF(分析!S192&lt;&gt;"",分析!S192,"")</f>
        <v/>
      </c>
      <c r="R20" s="136" t="str">
        <f>IF(分析!R192&lt;&gt;"",分析!R192,"")</f>
        <v/>
      </c>
      <c r="S20" s="131" t="str">
        <f>IF(分析!AA192&lt;&gt;"",分析!AA192,"")</f>
        <v/>
      </c>
      <c r="T20" s="140" t="str">
        <f>IF(分析!Z192&lt;&gt;"",分析!Z192,"")</f>
        <v/>
      </c>
      <c r="U20" s="131" t="str">
        <f>IF(分析!V192&lt;&gt;"",分析!V192,"")</f>
        <v/>
      </c>
      <c r="V20" s="141">
        <f>IF(分析!W192&lt;&gt;"",分析!W192,"")</f>
        <v>56.428571428571423</v>
      </c>
      <c r="W20" s="142" t="str">
        <f>IF(分析!AD192&lt;&gt;"",分析!AD192,"")</f>
        <v>パーフェクト▲</v>
      </c>
      <c r="X20" s="143" t="e">
        <f>IF(分析!AE192&lt;&gt;"",分析!AE192,"")</f>
        <v>#VALUE!</v>
      </c>
      <c r="Y20" s="144">
        <f>IF(分析!T192&lt;&gt;"",分析!T192,"")</f>
        <v>0</v>
      </c>
      <c r="Z20" s="145" t="e">
        <f>IF(分析!Y192&lt;&gt;"",分析!Y192,"")</f>
        <v>#VALUE!</v>
      </c>
    </row>
    <row r="21" spans="1:26" ht="21.9" customHeight="1">
      <c r="A21" s="131">
        <f>IF(分析!C188&lt;&gt;"",ROW()-2,"")</f>
        <v>19</v>
      </c>
      <c r="B21" s="132" t="str">
        <f>IF(分析!C188&lt;&gt;"",HYPERLINK("https://kabutan.jp/stock/?code="&amp;分析!C188,"株探"),"")</f>
        <v>株探</v>
      </c>
      <c r="C21" s="133">
        <f>IF(分析!C188&lt;&gt;"",分析!C188,"")</f>
        <v>3003</v>
      </c>
      <c r="D21" s="134" t="str">
        <f>IF(分析!D188&lt;&gt;"",分析!D188,"")</f>
        <v/>
      </c>
      <c r="E21" s="135" t="str">
        <f>IF(分析!E188&lt;&gt;"",分析!E188,"")</f>
        <v/>
      </c>
      <c r="F21" s="136" t="str">
        <f>IF(分析!F188&lt;&gt;"",分析!F188,"")</f>
        <v/>
      </c>
      <c r="G21" s="136" t="str">
        <f>IF(分析!H188&lt;&gt;"",分析!H188,"")</f>
        <v/>
      </c>
      <c r="H21" s="136" t="str">
        <f>IF(分析!I188&lt;&gt;"",分析!I188,"")</f>
        <v/>
      </c>
      <c r="I21" s="136" t="str">
        <f>IF(分析!J188&lt;&gt;"",分析!J188,"")</f>
        <v/>
      </c>
      <c r="J21" s="136">
        <f>IF(分析!AB188&lt;&gt;"",分析!AB188,"")</f>
        <v>1636.376782077393</v>
      </c>
      <c r="K21" s="136">
        <f>IF(分析!AC188&lt;&gt;"",分析!AC188,"")</f>
        <v>1591.3194278903447</v>
      </c>
      <c r="L21" s="136" t="str">
        <f>IF(分析!K188&lt;&gt;"",分析!K188,"")</f>
        <v/>
      </c>
      <c r="M21" s="131" t="str">
        <f>IF(分析!P188&lt;&gt;"",分析!P188,"")</f>
        <v/>
      </c>
      <c r="N21" s="137" t="str">
        <f>IF(分析!O188&lt;&gt;"",分析!O188,"")</f>
        <v/>
      </c>
      <c r="O21" s="138">
        <f>IF(分析!X188&lt;&gt;"",分析!X188,"")</f>
        <v>11.004799215090088</v>
      </c>
      <c r="P21" s="139" t="str">
        <f>IF(分析!L188&lt;&gt;"",分析!L188,"")</f>
        <v/>
      </c>
      <c r="Q21" s="136" t="str">
        <f>IF(分析!S188&lt;&gt;"",分析!S188,"")</f>
        <v/>
      </c>
      <c r="R21" s="136" t="str">
        <f>IF(分析!R188&lt;&gt;"",分析!R188,"")</f>
        <v/>
      </c>
      <c r="S21" s="131" t="str">
        <f>IF(分析!AA188&lt;&gt;"",分析!AA188,"")</f>
        <v/>
      </c>
      <c r="T21" s="140" t="str">
        <f>IF(分析!Z188&lt;&gt;"",分析!Z188,"")</f>
        <v/>
      </c>
      <c r="U21" s="131" t="str">
        <f>IF(分析!V188&lt;&gt;"",分析!V188,"")</f>
        <v/>
      </c>
      <c r="V21" s="141">
        <f>IF(分析!W188&lt;&gt;"",分析!W188,"")</f>
        <v>67.552182163187865</v>
      </c>
      <c r="W21" s="142" t="str">
        <f>IF(分析!AD188&lt;&gt;"",分析!AD188,"")</f>
        <v>パーフェクト▲</v>
      </c>
      <c r="X21" s="143" t="e">
        <f>IF(分析!AE188&lt;&gt;"",分析!AE188,"")</f>
        <v>#VALUE!</v>
      </c>
      <c r="Y21" s="144">
        <f>IF(分析!T188&lt;&gt;"",分析!T188,"")</f>
        <v>0</v>
      </c>
      <c r="Z21" s="145" t="e">
        <f>IF(分析!Y188&lt;&gt;"",分析!Y188,"")</f>
        <v>#VALUE!</v>
      </c>
    </row>
    <row r="22" spans="1:26" ht="21.9" customHeight="1">
      <c r="A22" s="131">
        <f>IF(分析!C184&lt;&gt;"",ROW()-2,"")</f>
        <v>20</v>
      </c>
      <c r="B22" s="132" t="str">
        <f>IF(分析!C184&lt;&gt;"",HYPERLINK("https://kabutan.jp/stock/?code="&amp;分析!C184,"株探"),"")</f>
        <v>株探</v>
      </c>
      <c r="C22" s="133">
        <f>IF(分析!C184&lt;&gt;"",分析!C184,"")</f>
        <v>3401</v>
      </c>
      <c r="D22" s="134" t="str">
        <f>IF(分析!D184&lt;&gt;"",分析!D184,"")</f>
        <v/>
      </c>
      <c r="E22" s="135" t="str">
        <f>IF(分析!E184&lt;&gt;"",分析!E184,"")</f>
        <v/>
      </c>
      <c r="F22" s="136" t="str">
        <f>IF(分析!F184&lt;&gt;"",分析!F184,"")</f>
        <v/>
      </c>
      <c r="G22" s="136" t="str">
        <f>IF(分析!H184&lt;&gt;"",分析!H184,"")</f>
        <v/>
      </c>
      <c r="H22" s="136" t="str">
        <f>IF(分析!I184&lt;&gt;"",分析!I184,"")</f>
        <v/>
      </c>
      <c r="I22" s="136" t="str">
        <f>IF(分析!J184&lt;&gt;"",分析!J184,"")</f>
        <v/>
      </c>
      <c r="J22" s="136">
        <f>IF(分析!AB184&lt;&gt;"",分析!AB184,"")</f>
        <v>1112.6853360488794</v>
      </c>
      <c r="K22" s="136">
        <f>IF(分析!AC184&lt;&gt;"",分析!AC184,"")</f>
        <v>1079.3730631704409</v>
      </c>
      <c r="L22" s="136" t="str">
        <f>IF(分析!K184&lt;&gt;"",分析!K184,"")</f>
        <v/>
      </c>
      <c r="M22" s="131" t="str">
        <f>IF(分析!P184&lt;&gt;"",分析!P184,"")</f>
        <v/>
      </c>
      <c r="N22" s="137" t="str">
        <f>IF(分析!O184&lt;&gt;"",分析!O184,"")</f>
        <v/>
      </c>
      <c r="O22" s="138">
        <f>IF(分析!X184&lt;&gt;"",分析!X184,"")</f>
        <v>11.074774417985736</v>
      </c>
      <c r="P22" s="139" t="str">
        <f>IF(分析!L184&lt;&gt;"",分析!L184,"")</f>
        <v/>
      </c>
      <c r="Q22" s="136" t="str">
        <f>IF(分析!S184&lt;&gt;"",分析!S184,"")</f>
        <v/>
      </c>
      <c r="R22" s="136" t="str">
        <f>IF(分析!R184&lt;&gt;"",分析!R184,"")</f>
        <v/>
      </c>
      <c r="S22" s="131" t="str">
        <f>IF(分析!AA184&lt;&gt;"",分析!AA184,"")</f>
        <v/>
      </c>
      <c r="T22" s="140" t="str">
        <f>IF(分析!Z184&lt;&gt;"",分析!Z184,"")</f>
        <v/>
      </c>
      <c r="U22" s="131" t="str">
        <f>IF(分析!V184&lt;&gt;"",分析!V184,"")</f>
        <v/>
      </c>
      <c r="V22" s="141">
        <f>IF(分析!W184&lt;&gt;"",分析!W184,"")</f>
        <v>65.217391304347828</v>
      </c>
      <c r="W22" s="142" t="str">
        <f>IF(分析!AD184&lt;&gt;"",分析!AD184,"")</f>
        <v>パーフェクト▲</v>
      </c>
      <c r="X22" s="143" t="e">
        <f>IF(分析!AE184&lt;&gt;"",分析!AE184,"")</f>
        <v>#VALUE!</v>
      </c>
      <c r="Y22" s="144">
        <f>IF(分析!T184&lt;&gt;"",分析!T184,"")</f>
        <v>0</v>
      </c>
      <c r="Z22" s="145" t="e">
        <f>IF(分析!Y184&lt;&gt;"",分析!Y184,"")</f>
        <v>#VALUE!</v>
      </c>
    </row>
    <row r="23" spans="1:26" ht="21.9" customHeight="1">
      <c r="A23" s="131">
        <f>IF(分析!C124&lt;&gt;"",ROW()-2,"")</f>
        <v>21</v>
      </c>
      <c r="B23" s="132" t="str">
        <f>IF(分析!C124&lt;&gt;"",HYPERLINK("https://kabutan.jp/stock/?code="&amp;分析!C124,"株探"),"")</f>
        <v>株探</v>
      </c>
      <c r="C23" s="133">
        <f>IF(分析!C124&lt;&gt;"",分析!C124,"")</f>
        <v>5838</v>
      </c>
      <c r="D23" s="134" t="str">
        <f>IF(分析!D124&lt;&gt;"",分析!D124,"")</f>
        <v/>
      </c>
      <c r="E23" s="135" t="str">
        <f>IF(分析!E124&lt;&gt;"",分析!E124,"")</f>
        <v/>
      </c>
      <c r="F23" s="136" t="str">
        <f>IF(分析!F124&lt;&gt;"",分析!F124,"")</f>
        <v/>
      </c>
      <c r="G23" s="136" t="str">
        <f>IF(分析!H124&lt;&gt;"",分析!H124,"")</f>
        <v/>
      </c>
      <c r="H23" s="136" t="str">
        <f>IF(分析!I124&lt;&gt;"",分析!I124,"")</f>
        <v/>
      </c>
      <c r="I23" s="136" t="str">
        <f>IF(分析!J124&lt;&gt;"",分析!J124,"")</f>
        <v/>
      </c>
      <c r="J23" s="136">
        <f>IF(分析!AB124&lt;&gt;"",分析!AB124,"")</f>
        <v>1008.0244399185333</v>
      </c>
      <c r="K23" s="136">
        <f>IF(分析!AC124&lt;&gt;"",分析!AC124,"")</f>
        <v>1001.9415971394511</v>
      </c>
      <c r="L23" s="136" t="str">
        <f>IF(分析!K124&lt;&gt;"",分析!K124,"")</f>
        <v/>
      </c>
      <c r="M23" s="131" t="str">
        <f>IF(分析!P124&lt;&gt;"",分析!P124,"")</f>
        <v/>
      </c>
      <c r="N23" s="137" t="str">
        <f>IF(分析!O124&lt;&gt;"",分析!O124,"")</f>
        <v/>
      </c>
      <c r="O23" s="138">
        <f>IF(分析!X124&lt;&gt;"",分析!X124,"")</f>
        <v>82.517133088416813</v>
      </c>
      <c r="P23" s="139" t="str">
        <f>IF(分析!L124&lt;&gt;"",分析!L124,"")</f>
        <v/>
      </c>
      <c r="Q23" s="136" t="str">
        <f>IF(分析!S124&lt;&gt;"",分析!S124,"")</f>
        <v/>
      </c>
      <c r="R23" s="136" t="str">
        <f>IF(分析!R124&lt;&gt;"",分析!R124,"")</f>
        <v/>
      </c>
      <c r="S23" s="131" t="str">
        <f>IF(分析!AA124&lt;&gt;"",分析!AA124,"")</f>
        <v/>
      </c>
      <c r="T23" s="140" t="str">
        <f>IF(分析!Z124&lt;&gt;"",分析!Z124,"")</f>
        <v/>
      </c>
      <c r="U23" s="131" t="str">
        <f>IF(分析!V124&lt;&gt;"",分析!V124,"")</f>
        <v/>
      </c>
      <c r="V23" s="141">
        <f>IF(分析!W124&lt;&gt;"",分析!W124,"")</f>
        <v>78.764805414551603</v>
      </c>
      <c r="W23" s="142" t="str">
        <f>IF(分析!AD124&lt;&gt;"",分析!AD124,"")</f>
        <v>パーフェクト▲</v>
      </c>
      <c r="X23" s="143" t="e">
        <f>IF(分析!AE124&lt;&gt;"",分析!AE124,"")</f>
        <v>#VALUE!</v>
      </c>
      <c r="Y23" s="144">
        <f>IF(分析!T124&lt;&gt;"",分析!T124,"")</f>
        <v>0</v>
      </c>
      <c r="Z23" s="145" t="e">
        <f>IF(分析!Y124&lt;&gt;"",分析!Y124,"")</f>
        <v>#VALUE!</v>
      </c>
    </row>
    <row r="24" spans="1:26" ht="21.9" customHeight="1">
      <c r="A24" s="146">
        <f>IF(分析!C103&lt;&gt;"",ROW()-2,"")</f>
        <v>22</v>
      </c>
      <c r="B24" s="147" t="str">
        <f>IF(分析!C103&lt;&gt;"",HYPERLINK("https://kabutan.jp/stock/?code="&amp;分析!C103,"株探"),"")</f>
        <v>株探</v>
      </c>
      <c r="C24" s="148">
        <f>IF(分析!C103&lt;&gt;"",分析!C103,"")</f>
        <v>6387</v>
      </c>
      <c r="D24" s="149" t="str">
        <f>IF(分析!D103&lt;&gt;"",分析!D103,"")</f>
        <v/>
      </c>
      <c r="E24" s="150" t="str">
        <f>IF(分析!E103&lt;&gt;"",分析!E103,"")</f>
        <v/>
      </c>
      <c r="F24" s="151" t="str">
        <f>IF(分析!F103&lt;&gt;"",分析!F103,"")</f>
        <v/>
      </c>
      <c r="G24" s="151" t="str">
        <f>IF(分析!H103&lt;&gt;"",分析!H103,"")</f>
        <v/>
      </c>
      <c r="H24" s="151" t="str">
        <f>IF(分析!I103&lt;&gt;"",分析!I103,"")</f>
        <v/>
      </c>
      <c r="I24" s="151" t="str">
        <f>IF(分析!J103&lt;&gt;"",分析!J103,"")</f>
        <v/>
      </c>
      <c r="J24" s="151">
        <f>IF(分析!AB103&lt;&gt;"",分析!AB103,"")</f>
        <v>4091.9837067209764</v>
      </c>
      <c r="K24" s="151">
        <f>IF(分析!AC103&lt;&gt;"",分析!AC103,"")</f>
        <v>4314.7413587604269</v>
      </c>
      <c r="L24" s="151" t="str">
        <f>IF(分析!K103&lt;&gt;"",分析!K103,"")</f>
        <v/>
      </c>
      <c r="M24" s="146" t="str">
        <f>IF(分析!P103&lt;&gt;"",分析!P103,"")</f>
        <v/>
      </c>
      <c r="N24" s="152" t="str">
        <f>IF(分析!O103&lt;&gt;"",分析!O103,"")</f>
        <v/>
      </c>
      <c r="O24" s="153">
        <f>IF(分析!X103&lt;&gt;"",分析!X103,"")</f>
        <v>-355.78007395347959</v>
      </c>
      <c r="P24" s="154" t="str">
        <f>IF(分析!L103&lt;&gt;"",分析!L103,"")</f>
        <v/>
      </c>
      <c r="Q24" s="151" t="str">
        <f>IF(分析!S103&lt;&gt;"",分析!S103,"")</f>
        <v/>
      </c>
      <c r="R24" s="151" t="str">
        <f>IF(分析!R103&lt;&gt;"",分析!R103,"")</f>
        <v/>
      </c>
      <c r="S24" s="146" t="str">
        <f>IF(分析!AA103&lt;&gt;"",分析!AA103,"")</f>
        <v/>
      </c>
      <c r="T24" s="155" t="str">
        <f>IF(分析!Z103&lt;&gt;"",分析!Z103,"")</f>
        <v/>
      </c>
      <c r="U24" s="146" t="str">
        <f>IF(分析!V103&lt;&gt;"",分析!V103,"")</f>
        <v/>
      </c>
      <c r="V24" s="156">
        <f>IF(分析!W103&lt;&gt;"",分析!W103,"")</f>
        <v>36.652835408022128</v>
      </c>
      <c r="W24" s="157" t="str">
        <f>IF(分析!AD103&lt;&gt;"",分析!AD103,"")</f>
        <v>上昇トレンド▲</v>
      </c>
      <c r="X24" s="158" t="e">
        <f>IF(分析!AE103&lt;&gt;"",分析!AE103,"")</f>
        <v>#VALUE!</v>
      </c>
      <c r="Y24" s="159">
        <f>IF(分析!T103&lt;&gt;"",分析!T103,"")</f>
        <v>0</v>
      </c>
      <c r="Z24" s="145" t="e">
        <f>IF(分析!Y103&lt;&gt;"",分析!Y103,"")</f>
        <v>#VALUE!</v>
      </c>
    </row>
    <row r="25" spans="1:26" ht="21.9" customHeight="1">
      <c r="A25" s="146">
        <f>IF(分析!C133&lt;&gt;"",ROW()-2,"")</f>
        <v>23</v>
      </c>
      <c r="B25" s="147" t="str">
        <f>IF(分析!C133&lt;&gt;"",HYPERLINK("https://kabutan.jp/stock/?code="&amp;分析!C133,"株探"),"")</f>
        <v>株探</v>
      </c>
      <c r="C25" s="148">
        <f>IF(分析!C133&lt;&gt;"",分析!C133,"")</f>
        <v>5541</v>
      </c>
      <c r="D25" s="149" t="str">
        <f>IF(分析!D133&lt;&gt;"",分析!D133,"")</f>
        <v/>
      </c>
      <c r="E25" s="150" t="str">
        <f>IF(分析!E133&lt;&gt;"",分析!E133,"")</f>
        <v/>
      </c>
      <c r="F25" s="151" t="str">
        <f>IF(分析!F133&lt;&gt;"",分析!F133,"")</f>
        <v/>
      </c>
      <c r="G25" s="151" t="str">
        <f>IF(分析!H133&lt;&gt;"",分析!H133,"")</f>
        <v/>
      </c>
      <c r="H25" s="151" t="str">
        <f>IF(分析!I133&lt;&gt;"",分析!I133,"")</f>
        <v/>
      </c>
      <c r="I25" s="151" t="str">
        <f>IF(分析!J133&lt;&gt;"",分析!J133,"")</f>
        <v/>
      </c>
      <c r="J25" s="151">
        <f>IF(分析!AB133&lt;&gt;"",分析!AB133,"")</f>
        <v>1734.0234215885944</v>
      </c>
      <c r="K25" s="151">
        <f>IF(分析!AC133&lt;&gt;"",分析!AC133,"")</f>
        <v>1775.0083432657916</v>
      </c>
      <c r="L25" s="151" t="str">
        <f>IF(分析!K133&lt;&gt;"",分析!K133,"")</f>
        <v/>
      </c>
      <c r="M25" s="146" t="str">
        <f>IF(分析!P133&lt;&gt;"",分析!P133,"")</f>
        <v/>
      </c>
      <c r="N25" s="152" t="str">
        <f>IF(分析!O133&lt;&gt;"",分析!O133,"")</f>
        <v/>
      </c>
      <c r="O25" s="153">
        <f>IF(分析!X133&lt;&gt;"",分析!X133,"")</f>
        <v>10.555331775719424</v>
      </c>
      <c r="P25" s="154" t="str">
        <f>IF(分析!L133&lt;&gt;"",分析!L133,"")</f>
        <v/>
      </c>
      <c r="Q25" s="151" t="str">
        <f>IF(分析!S133&lt;&gt;"",分析!S133,"")</f>
        <v/>
      </c>
      <c r="R25" s="151" t="str">
        <f>IF(分析!R133&lt;&gt;"",分析!R133,"")</f>
        <v/>
      </c>
      <c r="S25" s="146" t="str">
        <f>IF(分析!AA133&lt;&gt;"",分析!AA133,"")</f>
        <v/>
      </c>
      <c r="T25" s="155" t="str">
        <f>IF(分析!Z133&lt;&gt;"",分析!Z133,"")</f>
        <v/>
      </c>
      <c r="U25" s="146" t="str">
        <f>IF(分析!V133&lt;&gt;"",分析!V133,"")</f>
        <v/>
      </c>
      <c r="V25" s="156">
        <f>IF(分析!W133&lt;&gt;"",分析!W133,"")</f>
        <v>63.30472103004292</v>
      </c>
      <c r="W25" s="157" t="str">
        <f>IF(分析!AD133&lt;&gt;"",分析!AD133,"")</f>
        <v>上昇トレンド▲</v>
      </c>
      <c r="X25" s="158" t="e">
        <f>IF(分析!AE133&lt;&gt;"",分析!AE133,"")</f>
        <v>#VALUE!</v>
      </c>
      <c r="Y25" s="159">
        <f>IF(分析!T133&lt;&gt;"",分析!T133,"")</f>
        <v>0</v>
      </c>
      <c r="Z25" s="145" t="e">
        <f>IF(分析!Y133&lt;&gt;"",分析!Y133,"")</f>
        <v>#VALUE!</v>
      </c>
    </row>
    <row r="26" spans="1:26" ht="21.9" customHeight="1">
      <c r="A26" s="146">
        <f>IF(分析!C195&lt;&gt;"",ROW()-2,"")</f>
        <v>24</v>
      </c>
      <c r="B26" s="147" t="str">
        <f>IF(分析!C195&lt;&gt;"",HYPERLINK("https://kabutan.jp/stock/?code="&amp;分析!C195,"株探"),"")</f>
        <v>株探</v>
      </c>
      <c r="C26" s="148">
        <f>IF(分析!C195&lt;&gt;"",分析!C195,"")</f>
        <v>2160</v>
      </c>
      <c r="D26" s="149" t="str">
        <f>IF(分析!D195&lt;&gt;"",分析!D195,"")</f>
        <v/>
      </c>
      <c r="E26" s="150" t="str">
        <f>IF(分析!E195&lt;&gt;"",分析!E195,"")</f>
        <v/>
      </c>
      <c r="F26" s="151" t="str">
        <f>IF(分析!F195&lt;&gt;"",分析!F195,"")</f>
        <v/>
      </c>
      <c r="G26" s="151" t="str">
        <f>IF(分析!H195&lt;&gt;"",分析!H195,"")</f>
        <v/>
      </c>
      <c r="H26" s="151" t="str">
        <f>IF(分析!I195&lt;&gt;"",分析!I195,"")</f>
        <v/>
      </c>
      <c r="I26" s="151" t="str">
        <f>IF(分析!J195&lt;&gt;"",分析!J195,"")</f>
        <v/>
      </c>
      <c r="J26" s="151">
        <f>IF(分析!AB195&lt;&gt;"",分析!AB195,"")</f>
        <v>69861.150712830931</v>
      </c>
      <c r="K26" s="151">
        <f>IF(分析!AC195&lt;&gt;"",分析!AC195,"")</f>
        <v>75302.514898688882</v>
      </c>
      <c r="L26" s="151" t="str">
        <f>IF(分析!K195&lt;&gt;"",分析!K195,"")</f>
        <v/>
      </c>
      <c r="M26" s="146" t="str">
        <f>IF(分析!P195&lt;&gt;"",分析!P195,"")</f>
        <v/>
      </c>
      <c r="N26" s="152" t="str">
        <f>IF(分析!O195&lt;&gt;"",分析!O195,"")</f>
        <v/>
      </c>
      <c r="O26" s="153">
        <f>IF(分析!X195&lt;&gt;"",分析!X195,"")</f>
        <v>0.76777490755875988</v>
      </c>
      <c r="P26" s="154" t="str">
        <f>IF(分析!L195&lt;&gt;"",分析!L195,"")</f>
        <v/>
      </c>
      <c r="Q26" s="151" t="str">
        <f>IF(分析!S195&lt;&gt;"",分析!S195,"")</f>
        <v/>
      </c>
      <c r="R26" s="151" t="str">
        <f>IF(分析!R195&lt;&gt;"",分析!R195,"")</f>
        <v/>
      </c>
      <c r="S26" s="146" t="str">
        <f>IF(分析!AA195&lt;&gt;"",分析!AA195,"")</f>
        <v/>
      </c>
      <c r="T26" s="155" t="str">
        <f>IF(分析!Z195&lt;&gt;"",分析!Z195,"")</f>
        <v/>
      </c>
      <c r="U26" s="146" t="str">
        <f>IF(分析!V195&lt;&gt;"",分析!V195,"")</f>
        <v/>
      </c>
      <c r="V26" s="156">
        <f>IF(分析!W195&lt;&gt;"",分析!W195,"")</f>
        <v>51.077586206896548</v>
      </c>
      <c r="W26" s="157" t="str">
        <f>IF(分析!AD195&lt;&gt;"",分析!AD195,"")</f>
        <v>上昇トレンド▲</v>
      </c>
      <c r="X26" s="158" t="e">
        <f>IF(分析!AE195&lt;&gt;"",分析!AE195,"")</f>
        <v>#VALUE!</v>
      </c>
      <c r="Y26" s="159">
        <f>IF(分析!T195&lt;&gt;"",分析!T195,"")</f>
        <v>0</v>
      </c>
      <c r="Z26" s="145" t="e">
        <f>IF(分析!Y195&lt;&gt;"",分析!Y195,"")</f>
        <v>#VALUE!</v>
      </c>
    </row>
    <row r="27" spans="1:26" ht="21.9" customHeight="1">
      <c r="A27" s="146">
        <f>IF(分析!C131&lt;&gt;"",ROW()-2,"")</f>
        <v>25</v>
      </c>
      <c r="B27" s="147" t="str">
        <f>IF(分析!C131&lt;&gt;"",HYPERLINK("https://kabutan.jp/stock/?code="&amp;分析!C131,"株探"),"")</f>
        <v>株探</v>
      </c>
      <c r="C27" s="148">
        <f>IF(分析!C131&lt;&gt;"",分析!C131,"")</f>
        <v>5706</v>
      </c>
      <c r="D27" s="149" t="str">
        <f>IF(分析!D131&lt;&gt;"",分析!D131,"")</f>
        <v/>
      </c>
      <c r="E27" s="150" t="str">
        <f>IF(分析!E131&lt;&gt;"",分析!E131,"")</f>
        <v/>
      </c>
      <c r="F27" s="151" t="str">
        <f>IF(分析!F131&lt;&gt;"",分析!F131,"")</f>
        <v/>
      </c>
      <c r="G27" s="151" t="str">
        <f>IF(分析!H131&lt;&gt;"",分析!H131,"")</f>
        <v/>
      </c>
      <c r="H27" s="151" t="str">
        <f>IF(分析!I131&lt;&gt;"",分析!I131,"")</f>
        <v/>
      </c>
      <c r="I27" s="151" t="str">
        <f>IF(分析!J131&lt;&gt;"",分析!J131,"")</f>
        <v/>
      </c>
      <c r="J27" s="151">
        <f>IF(分析!AB131&lt;&gt;"",分析!AB131,"")</f>
        <v>4926.3543788187353</v>
      </c>
      <c r="K27" s="151">
        <f>IF(分析!AC131&lt;&gt;"",分析!AC131,"")</f>
        <v>5745.8343265792591</v>
      </c>
      <c r="L27" s="151" t="str">
        <f>IF(分析!K131&lt;&gt;"",分析!K131,"")</f>
        <v/>
      </c>
      <c r="M27" s="146" t="str">
        <f>IF(分析!P131&lt;&gt;"",分析!P131,"")</f>
        <v/>
      </c>
      <c r="N27" s="152" t="str">
        <f>IF(分析!O131&lt;&gt;"",分析!O131,"")</f>
        <v/>
      </c>
      <c r="O27" s="153">
        <f>IF(分析!X131&lt;&gt;"",分析!X131,"")</f>
        <v>460.74972436604003</v>
      </c>
      <c r="P27" s="154" t="str">
        <f>IF(分析!L131&lt;&gt;"",分析!L131,"")</f>
        <v/>
      </c>
      <c r="Q27" s="151" t="str">
        <f>IF(分析!S131&lt;&gt;"",分析!S131,"")</f>
        <v/>
      </c>
      <c r="R27" s="151" t="str">
        <f>IF(分析!R131&lt;&gt;"",分析!R131,"")</f>
        <v/>
      </c>
      <c r="S27" s="146" t="str">
        <f>IF(分析!AA131&lt;&gt;"",分析!AA131,"")</f>
        <v/>
      </c>
      <c r="T27" s="155" t="str">
        <f>IF(分析!Z131&lt;&gt;"",分析!Z131,"")</f>
        <v/>
      </c>
      <c r="U27" s="146" t="str">
        <f>IF(分析!V131&lt;&gt;"",分析!V131,"")</f>
        <v/>
      </c>
      <c r="V27" s="156">
        <f>IF(分析!W131&lt;&gt;"",分析!W131,"")</f>
        <v>54.322058398381031</v>
      </c>
      <c r="W27" s="157" t="str">
        <f>IF(分析!AD131&lt;&gt;"",分析!AD131,"")</f>
        <v>上昇トレンド▲</v>
      </c>
      <c r="X27" s="158" t="e">
        <f>IF(分析!AE131&lt;&gt;"",分析!AE131,"")</f>
        <v>#VALUE!</v>
      </c>
      <c r="Y27" s="159">
        <f>IF(分析!T131&lt;&gt;"",分析!T131,"")</f>
        <v>0</v>
      </c>
      <c r="Z27" s="145" t="e">
        <f>IF(分析!Y131&lt;&gt;"",分析!Y131,"")</f>
        <v>#VALUE!</v>
      </c>
    </row>
    <row r="28" spans="1:26" ht="21.9" customHeight="1">
      <c r="A28" s="131">
        <f>IF(分析!C34&lt;&gt;"",ROW()-2,"")</f>
        <v>26</v>
      </c>
      <c r="B28" s="132" t="str">
        <f>IF(分析!C34&lt;&gt;"",HYPERLINK("https://kabutan.jp/stock/?code="&amp;分析!C34,"株探"),"")</f>
        <v>株探</v>
      </c>
      <c r="C28" s="133">
        <f>IF(分析!C34&lt;&gt;"",分析!C34,"")</f>
        <v>8795</v>
      </c>
      <c r="D28" s="134" t="str">
        <f>IF(分析!D34&lt;&gt;"",分析!D34,"")</f>
        <v/>
      </c>
      <c r="E28" s="135" t="str">
        <f>IF(分析!E34&lt;&gt;"",分析!E34,"")</f>
        <v/>
      </c>
      <c r="F28" s="136" t="str">
        <f>IF(分析!F34&lt;&gt;"",分析!F34,"")</f>
        <v/>
      </c>
      <c r="G28" s="136" t="str">
        <f>IF(分析!H34&lt;&gt;"",分析!H34,"")</f>
        <v/>
      </c>
      <c r="H28" s="136" t="str">
        <f>IF(分析!I34&lt;&gt;"",分析!I34,"")</f>
        <v/>
      </c>
      <c r="I28" s="136" t="str">
        <f>IF(分析!J34&lt;&gt;"",分析!J34,"")</f>
        <v/>
      </c>
      <c r="J28" s="136">
        <f>IF(分析!AB34&lt;&gt;"",分析!AB34,"")</f>
        <v>1873.3116089613034</v>
      </c>
      <c r="K28" s="136">
        <f>IF(分析!AC34&lt;&gt;"",分析!AC34,"")</f>
        <v>1823.476758045291</v>
      </c>
      <c r="L28" s="136" t="str">
        <f>IF(分析!K34&lt;&gt;"",分析!K34,"")</f>
        <v/>
      </c>
      <c r="M28" s="131" t="str">
        <f>IF(分析!P34&lt;&gt;"",分析!P34,"")</f>
        <v/>
      </c>
      <c r="N28" s="137" t="str">
        <f>IF(分析!O34&lt;&gt;"",分析!O34,"")</f>
        <v/>
      </c>
      <c r="O28" s="138">
        <f>IF(分析!X34&lt;&gt;"",分析!X34,"")</f>
        <v>30.417258069011041</v>
      </c>
      <c r="P28" s="139" t="str">
        <f>IF(分析!L34&lt;&gt;"",分析!L34,"")</f>
        <v/>
      </c>
      <c r="Q28" s="136" t="str">
        <f>IF(分析!S34&lt;&gt;"",分析!S34,"")</f>
        <v/>
      </c>
      <c r="R28" s="136" t="str">
        <f>IF(分析!R34&lt;&gt;"",分析!R34,"")</f>
        <v/>
      </c>
      <c r="S28" s="131" t="str">
        <f>IF(分析!AA34&lt;&gt;"",分析!AA34,"")</f>
        <v/>
      </c>
      <c r="T28" s="140" t="str">
        <f>IF(分析!Z34&lt;&gt;"",分析!Z34,"")</f>
        <v/>
      </c>
      <c r="U28" s="131" t="str">
        <f>IF(分析!V34&lt;&gt;"",分析!V34,"")</f>
        <v/>
      </c>
      <c r="V28" s="141">
        <f>IF(分析!W34&lt;&gt;"",分析!W34,"")</f>
        <v>76.470588235294116</v>
      </c>
      <c r="W28" s="142" t="str">
        <f>IF(分析!AD34&lt;&gt;"",分析!AD34,"")</f>
        <v>パーフェクト▲</v>
      </c>
      <c r="X28" s="143" t="e">
        <f>IF(分析!AE34&lt;&gt;"",分析!AE34,"")</f>
        <v>#VALUE!</v>
      </c>
      <c r="Y28" s="144">
        <f>IF(分析!T34&lt;&gt;"",分析!T34,"")</f>
        <v>0</v>
      </c>
      <c r="Z28" s="145" t="e">
        <f>IF(分析!Y34&lt;&gt;"",分析!Y34,"")</f>
        <v>#VALUE!</v>
      </c>
    </row>
    <row r="29" spans="1:26" ht="21.9" customHeight="1">
      <c r="A29" s="131">
        <f>IF(分析!C88&lt;&gt;"",ROW()-2,"")</f>
        <v>27</v>
      </c>
      <c r="B29" s="132" t="str">
        <f>IF(分析!C88&lt;&gt;"",HYPERLINK("https://kabutan.jp/stock/?code="&amp;分析!C88,"株探"),"")</f>
        <v>株探</v>
      </c>
      <c r="C29" s="133">
        <f>IF(分析!C88&lt;&gt;"",分析!C88,"")</f>
        <v>6758</v>
      </c>
      <c r="D29" s="134" t="str">
        <f>IF(分析!D88&lt;&gt;"",分析!D88,"")</f>
        <v/>
      </c>
      <c r="E29" s="135" t="str">
        <f>IF(分析!E88&lt;&gt;"",分析!E88,"")</f>
        <v/>
      </c>
      <c r="F29" s="136" t="str">
        <f>IF(分析!F88&lt;&gt;"",分析!F88,"")</f>
        <v/>
      </c>
      <c r="G29" s="136" t="str">
        <f>IF(分析!H88&lt;&gt;"",分析!H88,"")</f>
        <v/>
      </c>
      <c r="H29" s="136" t="str">
        <f>IF(分析!I88&lt;&gt;"",分析!I88,"")</f>
        <v/>
      </c>
      <c r="I29" s="136" t="str">
        <f>IF(分析!J88&lt;&gt;"",分析!J88,"")</f>
        <v/>
      </c>
      <c r="J29" s="136">
        <f>IF(分析!AB88&lt;&gt;"",分析!AB88,"")</f>
        <v>4608.2535641547847</v>
      </c>
      <c r="K29" s="136">
        <f>IF(分析!AC88&lt;&gt;"",分析!AC88,"")</f>
        <v>4625.6328963051228</v>
      </c>
      <c r="L29" s="136" t="str">
        <f>IF(分析!K88&lt;&gt;"",分析!K88,"")</f>
        <v/>
      </c>
      <c r="M29" s="131" t="str">
        <f>IF(分析!P88&lt;&gt;"",分析!P88,"")</f>
        <v/>
      </c>
      <c r="N29" s="137" t="str">
        <f>IF(分析!O88&lt;&gt;"",分析!O88,"")</f>
        <v/>
      </c>
      <c r="O29" s="138">
        <f>IF(分析!X88&lt;&gt;"",分析!X88,"")</f>
        <v>23.780607310171945</v>
      </c>
      <c r="P29" s="139" t="str">
        <f>IF(分析!L88&lt;&gt;"",分析!L88,"")</f>
        <v/>
      </c>
      <c r="Q29" s="136" t="str">
        <f>IF(分析!S88&lt;&gt;"",分析!S88,"")</f>
        <v/>
      </c>
      <c r="R29" s="136" t="str">
        <f>IF(分析!R88&lt;&gt;"",分析!R88,"")</f>
        <v/>
      </c>
      <c r="S29" s="131" t="str">
        <f>IF(分析!AA88&lt;&gt;"",分析!AA88,"")</f>
        <v/>
      </c>
      <c r="T29" s="140" t="str">
        <f>IF(分析!Z88&lt;&gt;"",分析!Z88,"")</f>
        <v/>
      </c>
      <c r="U29" s="131" t="str">
        <f>IF(分析!V88&lt;&gt;"",分析!V88,"")</f>
        <v/>
      </c>
      <c r="V29" s="141">
        <f>IF(分析!W88&lt;&gt;"",分析!W88,"")</f>
        <v>67.64705882352942</v>
      </c>
      <c r="W29" s="142" t="str">
        <f>IF(分析!AD88&lt;&gt;"",分析!AD88,"")</f>
        <v>上昇トレンド▲</v>
      </c>
      <c r="X29" s="143" t="e">
        <f>IF(分析!AE88&lt;&gt;"",分析!AE88,"")</f>
        <v>#VALUE!</v>
      </c>
      <c r="Y29" s="144">
        <f>IF(分析!T88&lt;&gt;"",分析!T88,"")</f>
        <v>0</v>
      </c>
      <c r="Z29" s="145" t="e">
        <f>IF(分析!Y88&lt;&gt;"",分析!Y88,"")</f>
        <v>#VALUE!</v>
      </c>
    </row>
    <row r="30" spans="1:26" ht="21.9" customHeight="1">
      <c r="A30" s="131">
        <f>IF(分析!C170&lt;&gt;"",ROW()-2,"")</f>
        <v>28</v>
      </c>
      <c r="B30" s="132" t="str">
        <f>IF(分析!C170&lt;&gt;"",HYPERLINK("https://kabutan.jp/stock/?code="&amp;分析!C170,"株探"),"")</f>
        <v>株探</v>
      </c>
      <c r="C30" s="133">
        <f>IF(分析!C170&lt;&gt;"",分析!C170,"")</f>
        <v>4088</v>
      </c>
      <c r="D30" s="134" t="str">
        <f>IF(分析!D170&lt;&gt;"",分析!D170,"")</f>
        <v/>
      </c>
      <c r="E30" s="135" t="str">
        <f>IF(分析!E170&lt;&gt;"",分析!E170,"")</f>
        <v/>
      </c>
      <c r="F30" s="136" t="str">
        <f>IF(分析!F170&lt;&gt;"",分析!F170,"")</f>
        <v/>
      </c>
      <c r="G30" s="136" t="str">
        <f>IF(分析!H170&lt;&gt;"",分析!H170,"")</f>
        <v/>
      </c>
      <c r="H30" s="136" t="str">
        <f>IF(分析!I170&lt;&gt;"",分析!I170,"")</f>
        <v/>
      </c>
      <c r="I30" s="136" t="str">
        <f>IF(分析!J170&lt;&gt;"",分析!J170,"")</f>
        <v/>
      </c>
      <c r="J30" s="136">
        <f>IF(分析!AB170&lt;&gt;"",分析!AB170,"")</f>
        <v>1440.2759674134418</v>
      </c>
      <c r="K30" s="136">
        <f>IF(分析!AC170&lt;&gt;"",分析!AC170,"")</f>
        <v>1433.3760429082233</v>
      </c>
      <c r="L30" s="136" t="str">
        <f>IF(分析!K170&lt;&gt;"",分析!K170,"")</f>
        <v/>
      </c>
      <c r="M30" s="131" t="str">
        <f>IF(分析!P170&lt;&gt;"",分析!P170,"")</f>
        <v/>
      </c>
      <c r="N30" s="137" t="str">
        <f>IF(分析!O170&lt;&gt;"",分析!O170,"")</f>
        <v/>
      </c>
      <c r="O30" s="138">
        <f>IF(分析!X170&lt;&gt;"",分析!X170,"")</f>
        <v>-8.4531282961625038</v>
      </c>
      <c r="P30" s="139" t="str">
        <f>IF(分析!L170&lt;&gt;"",分析!L170,"")</f>
        <v/>
      </c>
      <c r="Q30" s="136" t="str">
        <f>IF(分析!S170&lt;&gt;"",分析!S170,"")</f>
        <v/>
      </c>
      <c r="R30" s="136" t="str">
        <f>IF(分析!R170&lt;&gt;"",分析!R170,"")</f>
        <v/>
      </c>
      <c r="S30" s="131" t="str">
        <f>IF(分析!AA170&lt;&gt;"",分析!AA170,"")</f>
        <v/>
      </c>
      <c r="T30" s="140" t="str">
        <f>IF(分析!Z170&lt;&gt;"",分析!Z170,"")</f>
        <v/>
      </c>
      <c r="U30" s="131" t="str">
        <f>IF(分析!V170&lt;&gt;"",分析!V170,"")</f>
        <v/>
      </c>
      <c r="V30" s="141">
        <f>IF(分析!W170&lt;&gt;"",分析!W170,"")</f>
        <v>17.351598173515981</v>
      </c>
      <c r="W30" s="142" t="str">
        <f>IF(分析!AD170&lt;&gt;"",分析!AD170,"")</f>
        <v>パーフェクト▲</v>
      </c>
      <c r="X30" s="143" t="e">
        <f>IF(分析!AE170&lt;&gt;"",分析!AE170,"")</f>
        <v>#VALUE!</v>
      </c>
      <c r="Y30" s="144">
        <f>IF(分析!T170&lt;&gt;"",分析!T170,"")</f>
        <v>0</v>
      </c>
      <c r="Z30" s="145" t="e">
        <f>IF(分析!Y170&lt;&gt;"",分析!Y170,"")</f>
        <v>#VALUE!</v>
      </c>
    </row>
    <row r="31" spans="1:26" ht="21.9" customHeight="1">
      <c r="A31" s="131">
        <f>IF(分析!C138&lt;&gt;"",ROW()-2,"")</f>
        <v>29</v>
      </c>
      <c r="B31" s="132" t="str">
        <f>IF(分析!C138&lt;&gt;"",HYPERLINK("https://kabutan.jp/stock/?code="&amp;分析!C138,"株探"),"")</f>
        <v>株探</v>
      </c>
      <c r="C31" s="133">
        <f>IF(分析!C138&lt;&gt;"",分析!C138,"")</f>
        <v>5410</v>
      </c>
      <c r="D31" s="134" t="str">
        <f>IF(分析!D138&lt;&gt;"",分析!D138,"")</f>
        <v/>
      </c>
      <c r="E31" s="135" t="str">
        <f>IF(分析!E138&lt;&gt;"",分析!E138,"")</f>
        <v/>
      </c>
      <c r="F31" s="136" t="str">
        <f>IF(分析!F138&lt;&gt;"",分析!F138,"")</f>
        <v/>
      </c>
      <c r="G31" s="136" t="str">
        <f>IF(分析!H138&lt;&gt;"",分析!H138,"")</f>
        <v/>
      </c>
      <c r="H31" s="136" t="str">
        <f>IF(分析!I138&lt;&gt;"",分析!I138,"")</f>
        <v/>
      </c>
      <c r="I31" s="136" t="str">
        <f>IF(分析!J138&lt;&gt;"",分析!J138,"")</f>
        <v/>
      </c>
      <c r="J31" s="136">
        <f>IF(分析!AB138&lt;&gt;"",分析!AB138,"")</f>
        <v>49.383910386965361</v>
      </c>
      <c r="K31" s="136">
        <f>IF(分析!AC138&lt;&gt;"",分析!AC138,"")</f>
        <v>52.29320619785458</v>
      </c>
      <c r="L31" s="136" t="str">
        <f>IF(分析!K138&lt;&gt;"",分析!K138,"")</f>
        <v/>
      </c>
      <c r="M31" s="131" t="str">
        <f>IF(分析!P138&lt;&gt;"",分析!P138,"")</f>
        <v/>
      </c>
      <c r="N31" s="137" t="str">
        <f>IF(分析!O138&lt;&gt;"",分析!O138,"")</f>
        <v/>
      </c>
      <c r="O31" s="138">
        <f>IF(分析!X138&lt;&gt;"",分析!X138,"")</f>
        <v>13.642157467591005</v>
      </c>
      <c r="P31" s="139" t="str">
        <f>IF(分析!L138&lt;&gt;"",分析!L138,"")</f>
        <v/>
      </c>
      <c r="Q31" s="136" t="str">
        <f>IF(分析!S138&lt;&gt;"",分析!S138,"")</f>
        <v/>
      </c>
      <c r="R31" s="136" t="str">
        <f>IF(分析!R138&lt;&gt;"",分析!R138,"")</f>
        <v/>
      </c>
      <c r="S31" s="131" t="str">
        <f>IF(分析!AA138&lt;&gt;"",分析!AA138,"")</f>
        <v/>
      </c>
      <c r="T31" s="140" t="str">
        <f>IF(分析!Z138&lt;&gt;"",分析!Z138,"")</f>
        <v/>
      </c>
      <c r="U31" s="131" t="str">
        <f>IF(分析!V138&lt;&gt;"",分析!V138,"")</f>
        <v/>
      </c>
      <c r="V31" s="141">
        <f>IF(分析!W138&lt;&gt;"",分析!W138,"")</f>
        <v>70.192307692307693</v>
      </c>
      <c r="W31" s="142" t="str">
        <f>IF(分析!AD138&lt;&gt;"",分析!AD138,"")</f>
        <v>上昇トレンド▲</v>
      </c>
      <c r="X31" s="143" t="e">
        <f>IF(分析!AE138&lt;&gt;"",分析!AE138,"")</f>
        <v>#VALUE!</v>
      </c>
      <c r="Y31" s="144">
        <f>IF(分析!T138&lt;&gt;"",分析!T138,"")</f>
        <v>0</v>
      </c>
      <c r="Z31" s="145" t="e">
        <f>IF(分析!Y138&lt;&gt;"",分析!Y138,"")</f>
        <v>#VALUE!</v>
      </c>
    </row>
    <row r="32" spans="1:26" ht="21.9" customHeight="1">
      <c r="A32" s="146">
        <f>IF(分析!C173&lt;&gt;"",ROW()-2,"")</f>
        <v>30</v>
      </c>
      <c r="B32" s="147" t="str">
        <f>IF(分析!C173&lt;&gt;"",HYPERLINK("https://kabutan.jp/stock/?code="&amp;分析!C173,"株探"),"")</f>
        <v>株探</v>
      </c>
      <c r="C32" s="148">
        <f>IF(分析!C173&lt;&gt;"",分析!C173,"")</f>
        <v>4062</v>
      </c>
      <c r="D32" s="149" t="str">
        <f>IF(分析!D173&lt;&gt;"",分析!D173,"")</f>
        <v/>
      </c>
      <c r="E32" s="150" t="str">
        <f>IF(分析!E173&lt;&gt;"",分析!E173,"")</f>
        <v/>
      </c>
      <c r="F32" s="151" t="str">
        <f>IF(分析!F173&lt;&gt;"",分析!F173,"")</f>
        <v/>
      </c>
      <c r="G32" s="151" t="str">
        <f>IF(分析!H173&lt;&gt;"",分析!H173,"")</f>
        <v/>
      </c>
      <c r="H32" s="151" t="str">
        <f>IF(分析!I173&lt;&gt;"",分析!I173,"")</f>
        <v/>
      </c>
      <c r="I32" s="151" t="str">
        <f>IF(分析!J173&lt;&gt;"",分析!J173,"")</f>
        <v/>
      </c>
      <c r="J32" s="151">
        <f>IF(分析!AB173&lt;&gt;"",分析!AB173,"")</f>
        <v>6144.6751527494916</v>
      </c>
      <c r="K32" s="151">
        <f>IF(分析!AC173&lt;&gt;"",分析!AC173,"")</f>
        <v>6407.2276519666248</v>
      </c>
      <c r="L32" s="151" t="str">
        <f>IF(分析!K173&lt;&gt;"",分析!K173,"")</f>
        <v/>
      </c>
      <c r="M32" s="146" t="str">
        <f>IF(分析!P173&lt;&gt;"",分析!P173,"")</f>
        <v/>
      </c>
      <c r="N32" s="152" t="str">
        <f>IF(分析!O173&lt;&gt;"",分析!O173,"")</f>
        <v/>
      </c>
      <c r="O32" s="153">
        <f>IF(分析!X173&lt;&gt;"",分析!X173,"")</f>
        <v>-798.32681231814058</v>
      </c>
      <c r="P32" s="154" t="str">
        <f>IF(分析!L173&lt;&gt;"",分析!L173,"")</f>
        <v/>
      </c>
      <c r="Q32" s="151" t="str">
        <f>IF(分析!S173&lt;&gt;"",分析!S173,"")</f>
        <v/>
      </c>
      <c r="R32" s="151" t="str">
        <f>IF(分析!R173&lt;&gt;"",分析!R173,"")</f>
        <v/>
      </c>
      <c r="S32" s="146" t="str">
        <f>IF(分析!AA173&lt;&gt;"",分析!AA173,"")</f>
        <v/>
      </c>
      <c r="T32" s="155" t="str">
        <f>IF(分析!Z173&lt;&gt;"",分析!Z173,"")</f>
        <v/>
      </c>
      <c r="U32" s="146" t="str">
        <f>IF(分析!V173&lt;&gt;"",分析!V173,"")</f>
        <v/>
      </c>
      <c r="V32" s="156">
        <f>IF(分析!W173&lt;&gt;"",分析!W173,"")</f>
        <v>33.297491039426532</v>
      </c>
      <c r="W32" s="157" t="str">
        <f>IF(分析!AD173&lt;&gt;"",分析!AD173,"")</f>
        <v>上昇トレンド▲</v>
      </c>
      <c r="X32" s="158" t="e">
        <f>IF(分析!AE173&lt;&gt;"",分析!AE173,"")</f>
        <v>#VALUE!</v>
      </c>
      <c r="Y32" s="159">
        <f>IF(分析!T173&lt;&gt;"",分析!T173,"")</f>
        <v>0</v>
      </c>
      <c r="Z32" s="145" t="e">
        <f>IF(分析!Y173&lt;&gt;"",分析!Y173,"")</f>
        <v>#VALUE!</v>
      </c>
    </row>
    <row r="33" spans="1:26" ht="21.9" customHeight="1">
      <c r="A33" s="131">
        <f>IF(分析!C118&lt;&gt;"",ROW()-2,"")</f>
        <v>31</v>
      </c>
      <c r="B33" s="132" t="str">
        <f>IF(分析!C118&lt;&gt;"",HYPERLINK("https://kabutan.jp/stock/?code="&amp;分析!C118,"株探"),"")</f>
        <v>株探</v>
      </c>
      <c r="C33" s="133">
        <f>IF(分析!C118&lt;&gt;"",分析!C118,"")</f>
        <v>5938</v>
      </c>
      <c r="D33" s="134" t="str">
        <f>IF(分析!D118&lt;&gt;"",分析!D118,"")</f>
        <v/>
      </c>
      <c r="E33" s="135" t="str">
        <f>IF(分析!E118&lt;&gt;"",分析!E118,"")</f>
        <v/>
      </c>
      <c r="F33" s="136" t="str">
        <f>IF(分析!F118&lt;&gt;"",分析!F118,"")</f>
        <v/>
      </c>
      <c r="G33" s="136" t="str">
        <f>IF(分析!H118&lt;&gt;"",分析!H118,"")</f>
        <v/>
      </c>
      <c r="H33" s="136" t="str">
        <f>IF(分析!I118&lt;&gt;"",分析!I118,"")</f>
        <v/>
      </c>
      <c r="I33" s="136" t="str">
        <f>IF(分析!J118&lt;&gt;"",分析!J118,"")</f>
        <v/>
      </c>
      <c r="J33" s="136">
        <f>IF(分析!AB118&lt;&gt;"",分析!AB118,"")</f>
        <v>4262.4439918533599</v>
      </c>
      <c r="K33" s="136">
        <f>IF(分析!AC118&lt;&gt;"",分析!AC118,"")</f>
        <v>4244.6245530393317</v>
      </c>
      <c r="L33" s="136" t="str">
        <f>IF(分析!K118&lt;&gt;"",分析!K118,"")</f>
        <v/>
      </c>
      <c r="M33" s="131" t="str">
        <f>IF(分析!P118&lt;&gt;"",分析!P118,"")</f>
        <v/>
      </c>
      <c r="N33" s="137" t="str">
        <f>IF(分析!O118&lt;&gt;"",分析!O118,"")</f>
        <v/>
      </c>
      <c r="O33" s="138">
        <f>IF(分析!X118&lt;&gt;"",分析!X118,"")</f>
        <v>21.411396120826112</v>
      </c>
      <c r="P33" s="139" t="str">
        <f>IF(分析!L118&lt;&gt;"",分析!L118,"")</f>
        <v/>
      </c>
      <c r="Q33" s="136" t="str">
        <f>IF(分析!S118&lt;&gt;"",分析!S118,"")</f>
        <v/>
      </c>
      <c r="R33" s="136" t="str">
        <f>IF(分析!R118&lt;&gt;"",分析!R118,"")</f>
        <v/>
      </c>
      <c r="S33" s="131" t="str">
        <f>IF(分析!AA118&lt;&gt;"",分析!AA118,"")</f>
        <v/>
      </c>
      <c r="T33" s="140" t="str">
        <f>IF(分析!Z118&lt;&gt;"",分析!Z118,"")</f>
        <v/>
      </c>
      <c r="U33" s="131" t="str">
        <f>IF(分析!V118&lt;&gt;"",分析!V118,"")</f>
        <v/>
      </c>
      <c r="V33" s="141">
        <f>IF(分析!W118&lt;&gt;"",分析!W118,"")</f>
        <v>79.069767441860463</v>
      </c>
      <c r="W33" s="142" t="str">
        <f>IF(分析!AD118&lt;&gt;"",分析!AD118,"")</f>
        <v>パーフェクト▲</v>
      </c>
      <c r="X33" s="143" t="e">
        <f>IF(分析!AE118&lt;&gt;"",分析!AE118,"")</f>
        <v>#VALUE!</v>
      </c>
      <c r="Y33" s="144">
        <f>IF(分析!T118&lt;&gt;"",分析!T118,"")</f>
        <v>0</v>
      </c>
      <c r="Z33" s="145" t="e">
        <f>IF(分析!Y118&lt;&gt;"",分析!Y118,"")</f>
        <v>#VALUE!</v>
      </c>
    </row>
    <row r="34" spans="1:26" ht="21.9" customHeight="1">
      <c r="A34" s="131">
        <f>IF(分析!C156&lt;&gt;"",ROW()-2,"")</f>
        <v>32</v>
      </c>
      <c r="B34" s="132" t="str">
        <f>IF(分析!C156&lt;&gt;"",HYPERLINK("https://kabutan.jp/stock/?code="&amp;分析!C156,"株探"),"")</f>
        <v>株探</v>
      </c>
      <c r="C34" s="133">
        <f>IF(分析!C156&lt;&gt;"",分析!C156,"")</f>
        <v>4661</v>
      </c>
      <c r="D34" s="134" t="str">
        <f>IF(分析!D156&lt;&gt;"",分析!D156,"")</f>
        <v/>
      </c>
      <c r="E34" s="135" t="str">
        <f>IF(分析!E156&lt;&gt;"",分析!E156,"")</f>
        <v/>
      </c>
      <c r="F34" s="136" t="str">
        <f>IF(分析!F156&lt;&gt;"",分析!F156,"")</f>
        <v/>
      </c>
      <c r="G34" s="136" t="str">
        <f>IF(分析!H156&lt;&gt;"",分析!H156,"")</f>
        <v/>
      </c>
      <c r="H34" s="136" t="str">
        <f>IF(分析!I156&lt;&gt;"",分析!I156,"")</f>
        <v/>
      </c>
      <c r="I34" s="136" t="str">
        <f>IF(分析!J156&lt;&gt;"",分析!J156,"")</f>
        <v/>
      </c>
      <c r="J34" s="136">
        <f>IF(分析!AB156&lt;&gt;"",分析!AB156,"")</f>
        <v>29192.917515274945</v>
      </c>
      <c r="K34" s="136">
        <f>IF(分析!AC156&lt;&gt;"",分析!AC156,"")</f>
        <v>29910.947556614999</v>
      </c>
      <c r="L34" s="136" t="str">
        <f>IF(分析!K156&lt;&gt;"",分析!K156,"")</f>
        <v/>
      </c>
      <c r="M34" s="131" t="str">
        <f>IF(分析!P156&lt;&gt;"",分析!P156,"")</f>
        <v/>
      </c>
      <c r="N34" s="137" t="str">
        <f>IF(分析!O156&lt;&gt;"",分析!O156,"")</f>
        <v/>
      </c>
      <c r="O34" s="138">
        <f>IF(分析!X156&lt;&gt;"",分析!X156,"")</f>
        <v>45.279874939798447</v>
      </c>
      <c r="P34" s="139" t="str">
        <f>IF(分析!L156&lt;&gt;"",分析!L156,"")</f>
        <v/>
      </c>
      <c r="Q34" s="136" t="str">
        <f>IF(分析!S156&lt;&gt;"",分析!S156,"")</f>
        <v/>
      </c>
      <c r="R34" s="136" t="str">
        <f>IF(分析!R156&lt;&gt;"",分析!R156,"")</f>
        <v/>
      </c>
      <c r="S34" s="131" t="str">
        <f>IF(分析!AA156&lt;&gt;"",分析!AA156,"")</f>
        <v/>
      </c>
      <c r="T34" s="140" t="str">
        <f>IF(分析!Z156&lt;&gt;"",分析!Z156,"")</f>
        <v/>
      </c>
      <c r="U34" s="131" t="str">
        <f>IF(分析!V156&lt;&gt;"",分析!V156,"")</f>
        <v/>
      </c>
      <c r="V34" s="141">
        <f>IF(分析!W156&lt;&gt;"",分析!W156,"")</f>
        <v>67.669753086419746</v>
      </c>
      <c r="W34" s="142" t="str">
        <f>IF(分析!AD156&lt;&gt;"",分析!AD156,"")</f>
        <v>上昇トレンド▲</v>
      </c>
      <c r="X34" s="143" t="e">
        <f>IF(分析!AE156&lt;&gt;"",分析!AE156,"")</f>
        <v>#VALUE!</v>
      </c>
      <c r="Y34" s="144">
        <f>IF(分析!T156&lt;&gt;"",分析!T156,"")</f>
        <v>0</v>
      </c>
      <c r="Z34" s="145" t="e">
        <f>IF(分析!Y156&lt;&gt;"",分析!Y156,"")</f>
        <v>#VALUE!</v>
      </c>
    </row>
    <row r="35" spans="1:26" ht="21.9" customHeight="1">
      <c r="A35" s="146">
        <f>IF(分析!C97&lt;&gt;"",ROW()-2,"")</f>
        <v>33</v>
      </c>
      <c r="B35" s="147" t="str">
        <f>IF(分析!C97&lt;&gt;"",HYPERLINK("https://kabutan.jp/stock/?code="&amp;分析!C97,"株探"),"")</f>
        <v>株探</v>
      </c>
      <c r="C35" s="148">
        <f>IF(分析!C97&lt;&gt;"",分析!C97,"")</f>
        <v>6507</v>
      </c>
      <c r="D35" s="149" t="str">
        <f>IF(分析!D97&lt;&gt;"",分析!D97,"")</f>
        <v/>
      </c>
      <c r="E35" s="150" t="str">
        <f>IF(分析!E97&lt;&gt;"",分析!E97,"")</f>
        <v/>
      </c>
      <c r="F35" s="151" t="str">
        <f>IF(分析!F97&lt;&gt;"",分析!F97,"")</f>
        <v/>
      </c>
      <c r="G35" s="151" t="str">
        <f>IF(分析!H97&lt;&gt;"",分析!H97,"")</f>
        <v/>
      </c>
      <c r="H35" s="151" t="str">
        <f>IF(分析!I97&lt;&gt;"",分析!I97,"")</f>
        <v/>
      </c>
      <c r="I35" s="151" t="str">
        <f>IF(分析!J97&lt;&gt;"",分析!J97,"")</f>
        <v/>
      </c>
      <c r="J35" s="151">
        <f>IF(分析!AB97&lt;&gt;"",分析!AB97,"")</f>
        <v>4345.4134419551929</v>
      </c>
      <c r="K35" s="151">
        <f>IF(分析!AC97&lt;&gt;"",分析!AC97,"")</f>
        <v>4183.1597139451706</v>
      </c>
      <c r="L35" s="151" t="str">
        <f>IF(分析!K97&lt;&gt;"",分析!K97,"")</f>
        <v/>
      </c>
      <c r="M35" s="146" t="str">
        <f>IF(分析!P97&lt;&gt;"",分析!P97,"")</f>
        <v/>
      </c>
      <c r="N35" s="152" t="str">
        <f>IF(分析!O97&lt;&gt;"",分析!O97,"")</f>
        <v/>
      </c>
      <c r="O35" s="153">
        <f>IF(分析!X97&lt;&gt;"",分析!X97,"")</f>
        <v>-124.48740044340047</v>
      </c>
      <c r="P35" s="154" t="str">
        <f>IF(分析!L97&lt;&gt;"",分析!L97,"")</f>
        <v/>
      </c>
      <c r="Q35" s="151" t="str">
        <f>IF(分析!S97&lt;&gt;"",分析!S97,"")</f>
        <v/>
      </c>
      <c r="R35" s="151" t="str">
        <f>IF(分析!R97&lt;&gt;"",分析!R97,"")</f>
        <v/>
      </c>
      <c r="S35" s="146" t="str">
        <f>IF(分析!AA97&lt;&gt;"",分析!AA97,"")</f>
        <v/>
      </c>
      <c r="T35" s="155" t="str">
        <f>IF(分析!Z97&lt;&gt;"",分析!Z97,"")</f>
        <v/>
      </c>
      <c r="U35" s="146" t="str">
        <f>IF(分析!V97&lt;&gt;"",分析!V97,"")</f>
        <v/>
      </c>
      <c r="V35" s="156">
        <f>IF(分析!W97&lt;&gt;"",分析!W97,"")</f>
        <v>43.863912515188339</v>
      </c>
      <c r="W35" s="157" t="str">
        <f>IF(分析!AD97&lt;&gt;"",分析!AD97,"")</f>
        <v>パーフェクト▲</v>
      </c>
      <c r="X35" s="158" t="e">
        <f>IF(分析!AE97&lt;&gt;"",分析!AE97,"")</f>
        <v>#VALUE!</v>
      </c>
      <c r="Y35" s="159">
        <f>IF(分析!T97&lt;&gt;"",分析!T97,"")</f>
        <v>0</v>
      </c>
      <c r="Z35" s="145" t="e">
        <f>IF(分析!Y97&lt;&gt;"",分析!Y97,"")</f>
        <v>#VALUE!</v>
      </c>
    </row>
    <row r="36" spans="1:26" ht="21.9" customHeight="1">
      <c r="A36" s="131">
        <f>IF(分析!C90&lt;&gt;"",ROW()-2,"")</f>
        <v>34</v>
      </c>
      <c r="B36" s="132" t="str">
        <f>IF(分析!C90&lt;&gt;"",HYPERLINK("https://kabutan.jp/stock/?code="&amp;分析!C90,"株探"),"")</f>
        <v>株探</v>
      </c>
      <c r="C36" s="133">
        <f>IF(分析!C90&lt;&gt;"",分析!C90,"")</f>
        <v>6753</v>
      </c>
      <c r="D36" s="134" t="str">
        <f>IF(分析!D90&lt;&gt;"",分析!D90,"")</f>
        <v/>
      </c>
      <c r="E36" s="135" t="str">
        <f>IF(分析!E90&lt;&gt;"",分析!E90,"")</f>
        <v/>
      </c>
      <c r="F36" s="136" t="str">
        <f>IF(分析!F90&lt;&gt;"",分析!F90,"")</f>
        <v/>
      </c>
      <c r="G36" s="136" t="str">
        <f>IF(分析!H90&lt;&gt;"",分析!H90,"")</f>
        <v/>
      </c>
      <c r="H36" s="136" t="str">
        <f>IF(分析!I90&lt;&gt;"",分析!I90,"")</f>
        <v/>
      </c>
      <c r="I36" s="136" t="str">
        <f>IF(分析!J90&lt;&gt;"",分析!J90,"")</f>
        <v/>
      </c>
      <c r="J36" s="136">
        <f>IF(分析!AB90&lt;&gt;"",分析!AB90,"")</f>
        <v>7712.8523421588588</v>
      </c>
      <c r="K36" s="136">
        <f>IF(分析!AC90&lt;&gt;"",分析!AC90,"")</f>
        <v>8033.5184743742529</v>
      </c>
      <c r="L36" s="136" t="str">
        <f>IF(分析!K90&lt;&gt;"",分析!K90,"")</f>
        <v/>
      </c>
      <c r="M36" s="131" t="str">
        <f>IF(分析!P90&lt;&gt;"",分析!P90,"")</f>
        <v/>
      </c>
      <c r="N36" s="137" t="str">
        <f>IF(分析!O90&lt;&gt;"",分析!O90,"")</f>
        <v/>
      </c>
      <c r="O36" s="138">
        <f>IF(分析!X90&lt;&gt;"",分析!X90,"")</f>
        <v>4.2604318995061021</v>
      </c>
      <c r="P36" s="139" t="str">
        <f>IF(分析!L90&lt;&gt;"",分析!L90,"")</f>
        <v/>
      </c>
      <c r="Q36" s="136" t="str">
        <f>IF(分析!S90&lt;&gt;"",分析!S90,"")</f>
        <v/>
      </c>
      <c r="R36" s="136" t="str">
        <f>IF(分析!R90&lt;&gt;"",分析!R90,"")</f>
        <v/>
      </c>
      <c r="S36" s="131" t="str">
        <f>IF(分析!AA90&lt;&gt;"",分析!AA90,"")</f>
        <v/>
      </c>
      <c r="T36" s="140" t="str">
        <f>IF(分析!Z90&lt;&gt;"",分析!Z90,"")</f>
        <v/>
      </c>
      <c r="U36" s="131" t="str">
        <f>IF(分析!V90&lt;&gt;"",分析!V90,"")</f>
        <v/>
      </c>
      <c r="V36" s="141">
        <f>IF(分析!W90&lt;&gt;"",分析!W90,"")</f>
        <v>65.92920353982305</v>
      </c>
      <c r="W36" s="142" t="str">
        <f>IF(分析!AD90&lt;&gt;"",分析!AD90,"")</f>
        <v>上昇トレンド▲</v>
      </c>
      <c r="X36" s="143" t="e">
        <f>IF(分析!AE90&lt;&gt;"",分析!AE90,"")</f>
        <v>#VALUE!</v>
      </c>
      <c r="Y36" s="144">
        <f>IF(分析!T90&lt;&gt;"",分析!T90,"")</f>
        <v>0</v>
      </c>
      <c r="Z36" s="145" t="e">
        <f>IF(分析!Y90&lt;&gt;"",分析!Y90,"")</f>
        <v>#VALUE!</v>
      </c>
    </row>
    <row r="37" spans="1:26" ht="21.9" customHeight="1">
      <c r="A37" s="131">
        <f>IF(分析!C58&lt;&gt;"",ROW()-2,"")</f>
        <v>35</v>
      </c>
      <c r="B37" s="132" t="str">
        <f>IF(分析!C58&lt;&gt;"",HYPERLINK("https://kabutan.jp/stock/?code="&amp;分析!C58,"株探"),"")</f>
        <v>株探</v>
      </c>
      <c r="C37" s="133">
        <f>IF(分析!C58&lt;&gt;"",分析!C58,"")</f>
        <v>8058</v>
      </c>
      <c r="D37" s="134" t="str">
        <f>IF(分析!D58&lt;&gt;"",分析!D58,"")</f>
        <v/>
      </c>
      <c r="E37" s="135" t="str">
        <f>IF(分析!E58&lt;&gt;"",分析!E58,"")</f>
        <v/>
      </c>
      <c r="F37" s="136" t="str">
        <f>IF(分析!F58&lt;&gt;"",分析!F58,"")</f>
        <v/>
      </c>
      <c r="G37" s="136" t="str">
        <f>IF(分析!H58&lt;&gt;"",分析!H58,"")</f>
        <v/>
      </c>
      <c r="H37" s="136" t="str">
        <f>IF(分析!I58&lt;&gt;"",分析!I58,"")</f>
        <v/>
      </c>
      <c r="I37" s="136" t="str">
        <f>IF(分析!J58&lt;&gt;"",分析!J58,"")</f>
        <v/>
      </c>
      <c r="J37" s="136">
        <f>IF(分析!AB58&lt;&gt;"",分析!AB58,"")</f>
        <v>3408.911405295315</v>
      </c>
      <c r="K37" s="136">
        <f>IF(分析!AC58&lt;&gt;"",分析!AC58,"")</f>
        <v>3414.3373063170434</v>
      </c>
      <c r="L37" s="136" t="str">
        <f>IF(分析!K58&lt;&gt;"",分析!K58,"")</f>
        <v/>
      </c>
      <c r="M37" s="131" t="str">
        <f>IF(分析!P58&lt;&gt;"",分析!P58,"")</f>
        <v/>
      </c>
      <c r="N37" s="137" t="str">
        <f>IF(分析!O58&lt;&gt;"",分析!O58,"")</f>
        <v/>
      </c>
      <c r="O37" s="138">
        <f>IF(分析!X58&lt;&gt;"",分析!X58,"")</f>
        <v>-9.0675850484967668</v>
      </c>
      <c r="P37" s="139" t="str">
        <f>IF(分析!L58&lt;&gt;"",分析!L58,"")</f>
        <v/>
      </c>
      <c r="Q37" s="136" t="str">
        <f>IF(分析!S58&lt;&gt;"",分析!S58,"")</f>
        <v/>
      </c>
      <c r="R37" s="136" t="str">
        <f>IF(分析!R58&lt;&gt;"",分析!R58,"")</f>
        <v/>
      </c>
      <c r="S37" s="131" t="str">
        <f>IF(分析!AA58&lt;&gt;"",分析!AA58,"")</f>
        <v/>
      </c>
      <c r="T37" s="140" t="str">
        <f>IF(分析!Z58&lt;&gt;"",分析!Z58,"")</f>
        <v/>
      </c>
      <c r="U37" s="131" t="str">
        <f>IF(分析!V58&lt;&gt;"",分析!V58,"")</f>
        <v/>
      </c>
      <c r="V37" s="141">
        <f>IF(分析!W58&lt;&gt;"",分析!W58,"")</f>
        <v>67.75431861804222</v>
      </c>
      <c r="W37" s="142" t="str">
        <f>IF(分析!AD58&lt;&gt;"",分析!AD58,"")</f>
        <v>上昇トレンド▲</v>
      </c>
      <c r="X37" s="143" t="e">
        <f>IF(分析!AE58&lt;&gt;"",分析!AE58,"")</f>
        <v>#VALUE!</v>
      </c>
      <c r="Y37" s="144">
        <f>IF(分析!T58&lt;&gt;"",分析!T58,"")</f>
        <v>0</v>
      </c>
      <c r="Z37" s="145" t="e">
        <f>IF(分析!Y58&lt;&gt;"",分析!Y58,"")</f>
        <v>#VALUE!</v>
      </c>
    </row>
    <row r="38" spans="1:26" ht="21.9" customHeight="1">
      <c r="A38" s="131">
        <f>IF(分析!C52&lt;&gt;"",ROW()-2,"")</f>
        <v>36</v>
      </c>
      <c r="B38" s="132" t="str">
        <f>IF(分析!C52&lt;&gt;"",HYPERLINK("https://kabutan.jp/stock/?code="&amp;分析!C52,"株探"),"")</f>
        <v>株探</v>
      </c>
      <c r="C38" s="133">
        <f>IF(分析!C52&lt;&gt;"",分析!C52,"")</f>
        <v>8308</v>
      </c>
      <c r="D38" s="134" t="str">
        <f>IF(分析!D52&lt;&gt;"",分析!D52,"")</f>
        <v/>
      </c>
      <c r="E38" s="135" t="str">
        <f>IF(分析!E52&lt;&gt;"",分析!E52,"")</f>
        <v/>
      </c>
      <c r="F38" s="136" t="str">
        <f>IF(分析!F52&lt;&gt;"",分析!F52,"")</f>
        <v/>
      </c>
      <c r="G38" s="136" t="str">
        <f>IF(分析!H52&lt;&gt;"",分析!H52,"")</f>
        <v/>
      </c>
      <c r="H38" s="136" t="str">
        <f>IF(分析!I52&lt;&gt;"",分析!I52,"")</f>
        <v/>
      </c>
      <c r="I38" s="136" t="str">
        <f>IF(分析!J52&lt;&gt;"",分析!J52,"")</f>
        <v/>
      </c>
      <c r="J38" s="136">
        <f>IF(分析!AB52&lt;&gt;"",分析!AB52,"")</f>
        <v>6606.0702647657827</v>
      </c>
      <c r="K38" s="136">
        <f>IF(分析!AC52&lt;&gt;"",分析!AC52,"")</f>
        <v>6470.0798569725839</v>
      </c>
      <c r="L38" s="136" t="str">
        <f>IF(分析!K52&lt;&gt;"",分析!K52,"")</f>
        <v/>
      </c>
      <c r="M38" s="131" t="str">
        <f>IF(分析!P52&lt;&gt;"",分析!P52,"")</f>
        <v/>
      </c>
      <c r="N38" s="137" t="str">
        <f>IF(分析!O52&lt;&gt;"",分析!O52,"")</f>
        <v/>
      </c>
      <c r="O38" s="138">
        <f>IF(分析!X52&lt;&gt;"",分析!X52,"")</f>
        <v>28.528518661514681</v>
      </c>
      <c r="P38" s="139" t="str">
        <f>IF(分析!L52&lt;&gt;"",分析!L52,"")</f>
        <v/>
      </c>
      <c r="Q38" s="136" t="str">
        <f>IF(分析!S52&lt;&gt;"",分析!S52,"")</f>
        <v/>
      </c>
      <c r="R38" s="136" t="str">
        <f>IF(分析!R52&lt;&gt;"",分析!R52,"")</f>
        <v/>
      </c>
      <c r="S38" s="131" t="str">
        <f>IF(分析!AA52&lt;&gt;"",分析!AA52,"")</f>
        <v/>
      </c>
      <c r="T38" s="140" t="str">
        <f>IF(分析!Z52&lt;&gt;"",分析!Z52,"")</f>
        <v/>
      </c>
      <c r="U38" s="131" t="str">
        <f>IF(分析!V52&lt;&gt;"",分析!V52,"")</f>
        <v/>
      </c>
      <c r="V38" s="141">
        <f>IF(分析!W52&lt;&gt;"",分析!W52,"")</f>
        <v>90.014684287812045</v>
      </c>
      <c r="W38" s="142" t="str">
        <f>IF(分析!AD52&lt;&gt;"",分析!AD52,"")</f>
        <v>パーフェクト▲</v>
      </c>
      <c r="X38" s="143" t="e">
        <f>IF(分析!AE52&lt;&gt;"",分析!AE52,"")</f>
        <v>#VALUE!</v>
      </c>
      <c r="Y38" s="144">
        <f>IF(分析!T52&lt;&gt;"",分析!T52,"")</f>
        <v>0</v>
      </c>
      <c r="Z38" s="145" t="e">
        <f>IF(分析!Y52&lt;&gt;"",分析!Y52,"")</f>
        <v>#VALUE!</v>
      </c>
    </row>
    <row r="39" spans="1:26" ht="21.9" customHeight="1">
      <c r="A39" s="131">
        <f>IF(分析!C74&lt;&gt;"",ROW()-2,"")</f>
        <v>37</v>
      </c>
      <c r="B39" s="132" t="str">
        <f>IF(分析!C74&lt;&gt;"",HYPERLINK("https://kabutan.jp/stock/?code="&amp;分析!C74,"株探"),"")</f>
        <v>株探</v>
      </c>
      <c r="C39" s="133">
        <f>IF(分析!C74&lt;&gt;"",分析!C74,"")</f>
        <v>7182</v>
      </c>
      <c r="D39" s="134" t="str">
        <f>IF(分析!D74&lt;&gt;"",分析!D74,"")</f>
        <v/>
      </c>
      <c r="E39" s="135" t="str">
        <f>IF(分析!E74&lt;&gt;"",分析!E74,"")</f>
        <v/>
      </c>
      <c r="F39" s="136" t="str">
        <f>IF(分析!F74&lt;&gt;"",分析!F74,"")</f>
        <v/>
      </c>
      <c r="G39" s="136" t="str">
        <f>IF(分析!H74&lt;&gt;"",分析!H74,"")</f>
        <v/>
      </c>
      <c r="H39" s="136" t="str">
        <f>IF(分析!I74&lt;&gt;"",分析!I74,"")</f>
        <v/>
      </c>
      <c r="I39" s="136" t="str">
        <f>IF(分析!J74&lt;&gt;"",分析!J74,"")</f>
        <v/>
      </c>
      <c r="J39" s="136">
        <f>IF(分析!AB74&lt;&gt;"",分析!AB74,"")</f>
        <v>5511.9276985743372</v>
      </c>
      <c r="K39" s="136">
        <f>IF(分析!AC74&lt;&gt;"",分析!AC74,"")</f>
        <v>5674.8355184743732</v>
      </c>
      <c r="L39" s="136" t="str">
        <f>IF(分析!K74&lt;&gt;"",分析!K74,"")</f>
        <v/>
      </c>
      <c r="M39" s="131" t="str">
        <f>IF(分析!P74&lt;&gt;"",分析!P74,"")</f>
        <v/>
      </c>
      <c r="N39" s="137" t="str">
        <f>IF(分析!O74&lt;&gt;"",分析!O74,"")</f>
        <v/>
      </c>
      <c r="O39" s="138">
        <f>IF(分析!X74&lt;&gt;"",分析!X74,"")</f>
        <v>23.129134011837323</v>
      </c>
      <c r="P39" s="139" t="str">
        <f>IF(分析!L74&lt;&gt;"",分析!L74,"")</f>
        <v/>
      </c>
      <c r="Q39" s="136" t="str">
        <f>IF(分析!S74&lt;&gt;"",分析!S74,"")</f>
        <v/>
      </c>
      <c r="R39" s="136" t="str">
        <f>IF(分析!R74&lt;&gt;"",分析!R74,"")</f>
        <v/>
      </c>
      <c r="S39" s="131" t="str">
        <f>IF(分析!AA74&lt;&gt;"",分析!AA74,"")</f>
        <v/>
      </c>
      <c r="T39" s="140" t="str">
        <f>IF(分析!Z74&lt;&gt;"",分析!Z74,"")</f>
        <v/>
      </c>
      <c r="U39" s="131" t="str">
        <f>IF(分析!V74&lt;&gt;"",分析!V74,"")</f>
        <v/>
      </c>
      <c r="V39" s="141">
        <f>IF(分析!W74&lt;&gt;"",分析!W74,"")</f>
        <v>84.863523573200993</v>
      </c>
      <c r="W39" s="142" t="str">
        <f>IF(分析!AD74&lt;&gt;"",分析!AD74,"")</f>
        <v>上昇トレンド▲</v>
      </c>
      <c r="X39" s="143" t="e">
        <f>IF(分析!AE74&lt;&gt;"",分析!AE74,"")</f>
        <v>#VALUE!</v>
      </c>
      <c r="Y39" s="144">
        <f>IF(分析!T74&lt;&gt;"",分析!T74,"")</f>
        <v>0</v>
      </c>
      <c r="Z39" s="145" t="e">
        <f>IF(分析!Y74&lt;&gt;"",分析!Y74,"")</f>
        <v>#VALUE!</v>
      </c>
    </row>
    <row r="40" spans="1:26" ht="21.9" customHeight="1">
      <c r="A40" s="146">
        <f>IF(分析!C71&lt;&gt;"",ROW()-2,"")</f>
        <v>38</v>
      </c>
      <c r="B40" s="147" t="str">
        <f>IF(分析!C71&lt;&gt;"",HYPERLINK("https://kabutan.jp/stock/?code="&amp;分析!C71,"株探"),"")</f>
        <v>株探</v>
      </c>
      <c r="C40" s="148">
        <f>IF(分析!C71&lt;&gt;"",分析!C71,"")</f>
        <v>7375</v>
      </c>
      <c r="D40" s="149" t="str">
        <f>IF(分析!D71&lt;&gt;"",分析!D71,"")</f>
        <v/>
      </c>
      <c r="E40" s="150" t="str">
        <f>IF(分析!E71&lt;&gt;"",分析!E71,"")</f>
        <v/>
      </c>
      <c r="F40" s="151" t="str">
        <f>IF(分析!F71&lt;&gt;"",分析!F71,"")</f>
        <v/>
      </c>
      <c r="G40" s="151" t="str">
        <f>IF(分析!H71&lt;&gt;"",分析!H71,"")</f>
        <v/>
      </c>
      <c r="H40" s="151" t="str">
        <f>IF(分析!I71&lt;&gt;"",分析!I71,"")</f>
        <v/>
      </c>
      <c r="I40" s="151" t="str">
        <f>IF(分析!J71&lt;&gt;"",分析!J71,"")</f>
        <v/>
      </c>
      <c r="J40" s="151">
        <f>IF(分析!AB71&lt;&gt;"",分析!AB71,"")</f>
        <v>7527.7087576374724</v>
      </c>
      <c r="K40" s="151">
        <f>IF(分析!AC71&lt;&gt;"",分析!AC71,"")</f>
        <v>7549.9046483909387</v>
      </c>
      <c r="L40" s="151" t="str">
        <f>IF(分析!K71&lt;&gt;"",分析!K71,"")</f>
        <v/>
      </c>
      <c r="M40" s="146" t="str">
        <f>IF(分析!P71&lt;&gt;"",分析!P71,"")</f>
        <v/>
      </c>
      <c r="N40" s="152" t="str">
        <f>IF(分析!O71&lt;&gt;"",分析!O71,"")</f>
        <v/>
      </c>
      <c r="O40" s="153">
        <f>IF(分析!X71&lt;&gt;"",分析!X71,"")</f>
        <v>-17.128041426689379</v>
      </c>
      <c r="P40" s="154" t="str">
        <f>IF(分析!L71&lt;&gt;"",分析!L71,"")</f>
        <v/>
      </c>
      <c r="Q40" s="151" t="str">
        <f>IF(分析!S71&lt;&gt;"",分析!S71,"")</f>
        <v/>
      </c>
      <c r="R40" s="151" t="str">
        <f>IF(分析!R71&lt;&gt;"",分析!R71,"")</f>
        <v/>
      </c>
      <c r="S40" s="146" t="str">
        <f>IF(分析!AA71&lt;&gt;"",分析!AA71,"")</f>
        <v/>
      </c>
      <c r="T40" s="155" t="str">
        <f>IF(分析!Z71&lt;&gt;"",分析!Z71,"")</f>
        <v/>
      </c>
      <c r="U40" s="146" t="str">
        <f>IF(分析!V71&lt;&gt;"",分析!V71,"")</f>
        <v/>
      </c>
      <c r="V40" s="156">
        <f>IF(分析!W71&lt;&gt;"",分析!W71,"")</f>
        <v>41.104294478527599</v>
      </c>
      <c r="W40" s="157" t="str">
        <f>IF(分析!AD71&lt;&gt;"",分析!AD71,"")</f>
        <v>上昇トレンド▲</v>
      </c>
      <c r="X40" s="158" t="e">
        <f>IF(分析!AE71&lt;&gt;"",分析!AE71,"")</f>
        <v>#VALUE!</v>
      </c>
      <c r="Y40" s="159">
        <f>IF(分析!T71&lt;&gt;"",分析!T71,"")</f>
        <v>0</v>
      </c>
      <c r="Z40" s="145" t="e">
        <f>IF(分析!Y71&lt;&gt;"",分析!Y71,"")</f>
        <v>#VALUE!</v>
      </c>
    </row>
    <row r="41" spans="1:26" ht="21.9" customHeight="1">
      <c r="A41" s="146">
        <f>IF(分析!C93&lt;&gt;"",ROW()-2,"")</f>
        <v>39</v>
      </c>
      <c r="B41" s="147" t="str">
        <f>IF(分析!C93&lt;&gt;"",HYPERLINK("https://kabutan.jp/stock/?code="&amp;分析!C93,"株探"),"")</f>
        <v>株探</v>
      </c>
      <c r="C41" s="148">
        <f>IF(分析!C93&lt;&gt;"",分析!C93,"")</f>
        <v>6701</v>
      </c>
      <c r="D41" s="149" t="str">
        <f>IF(分析!D93&lt;&gt;"",分析!D93,"")</f>
        <v/>
      </c>
      <c r="E41" s="150" t="str">
        <f>IF(分析!E93&lt;&gt;"",分析!E93,"")</f>
        <v/>
      </c>
      <c r="F41" s="151" t="str">
        <f>IF(分析!F93&lt;&gt;"",分析!F93,"")</f>
        <v/>
      </c>
      <c r="G41" s="151" t="str">
        <f>IF(分析!H93&lt;&gt;"",分析!H93,"")</f>
        <v/>
      </c>
      <c r="H41" s="151" t="str">
        <f>IF(分析!I93&lt;&gt;"",分析!I93,"")</f>
        <v/>
      </c>
      <c r="I41" s="151" t="str">
        <f>IF(分析!J93&lt;&gt;"",分析!J93,"")</f>
        <v/>
      </c>
      <c r="J41" s="151">
        <f>IF(分析!AB93&lt;&gt;"",分析!AB93,"")</f>
        <v>1284.0692464358449</v>
      </c>
      <c r="K41" s="151">
        <f>IF(分析!AC93&lt;&gt;"",分析!AC93,"")</f>
        <v>1292.3706793802137</v>
      </c>
      <c r="L41" s="151" t="str">
        <f>IF(分析!K93&lt;&gt;"",分析!K93,"")</f>
        <v/>
      </c>
      <c r="M41" s="146" t="str">
        <f>IF(分析!P93&lt;&gt;"",分析!P93,"")</f>
        <v/>
      </c>
      <c r="N41" s="152" t="str">
        <f>IF(分析!O93&lt;&gt;"",分析!O93,"")</f>
        <v/>
      </c>
      <c r="O41" s="153">
        <f>IF(分析!X93&lt;&gt;"",分析!X93,"")</f>
        <v>75.088797917520424</v>
      </c>
      <c r="P41" s="154" t="str">
        <f>IF(分析!L93&lt;&gt;"",分析!L93,"")</f>
        <v/>
      </c>
      <c r="Q41" s="151" t="str">
        <f>IF(分析!S93&lt;&gt;"",分析!S93,"")</f>
        <v/>
      </c>
      <c r="R41" s="151" t="str">
        <f>IF(分析!R93&lt;&gt;"",分析!R93,"")</f>
        <v/>
      </c>
      <c r="S41" s="146" t="str">
        <f>IF(分析!AA93&lt;&gt;"",分析!AA93,"")</f>
        <v/>
      </c>
      <c r="T41" s="155" t="str">
        <f>IF(分析!Z93&lt;&gt;"",分析!Z93,"")</f>
        <v/>
      </c>
      <c r="U41" s="146" t="str">
        <f>IF(分析!V93&lt;&gt;"",分析!V93,"")</f>
        <v/>
      </c>
      <c r="V41" s="156">
        <f>IF(分析!W93&lt;&gt;"",分析!W93,"")</f>
        <v>69.535415079969539</v>
      </c>
      <c r="W41" s="157" t="str">
        <f>IF(分析!AD93&lt;&gt;"",分析!AD93,"")</f>
        <v>上昇トレンド▲</v>
      </c>
      <c r="X41" s="158" t="e">
        <f>IF(分析!AE93&lt;&gt;"",分析!AE93,"")</f>
        <v>#VALUE!</v>
      </c>
      <c r="Y41" s="159">
        <f>IF(分析!T93&lt;&gt;"",分析!T93,"")</f>
        <v>0</v>
      </c>
      <c r="Z41" s="145" t="e">
        <f>IF(分析!Y93&lt;&gt;"",分析!Y93,"")</f>
        <v>#VALUE!</v>
      </c>
    </row>
    <row r="42" spans="1:26" ht="21.9" customHeight="1">
      <c r="A42" s="131">
        <f>IF(分析!C150&lt;&gt;"",ROW()-2,"")</f>
        <v>40</v>
      </c>
      <c r="B42" s="132" t="str">
        <f>IF(分析!C150&lt;&gt;"",HYPERLINK("https://kabutan.jp/stock/?code="&amp;分析!C150,"株探"),"")</f>
        <v>株探</v>
      </c>
      <c r="C42" s="133">
        <f>IF(分析!C150&lt;&gt;"",分析!C150,"")</f>
        <v>4966</v>
      </c>
      <c r="D42" s="134" t="str">
        <f>IF(分析!D150&lt;&gt;"",分析!D150,"")</f>
        <v/>
      </c>
      <c r="E42" s="135" t="str">
        <f>IF(分析!E150&lt;&gt;"",分析!E150,"")</f>
        <v/>
      </c>
      <c r="F42" s="136" t="str">
        <f>IF(分析!F150&lt;&gt;"",分析!F150,"")</f>
        <v/>
      </c>
      <c r="G42" s="136" t="str">
        <f>IF(分析!H150&lt;&gt;"",分析!H150,"")</f>
        <v/>
      </c>
      <c r="H42" s="136" t="str">
        <f>IF(分析!I150&lt;&gt;"",分析!I150,"")</f>
        <v/>
      </c>
      <c r="I42" s="136" t="str">
        <f>IF(分析!J150&lt;&gt;"",分析!J150,"")</f>
        <v/>
      </c>
      <c r="J42" s="136">
        <f>IF(分析!AB150&lt;&gt;"",分析!AB150,"")</f>
        <v>1074.9327902240325</v>
      </c>
      <c r="K42" s="136">
        <f>IF(分析!AC150&lt;&gt;"",分析!AC150,"")</f>
        <v>1036.5601907032178</v>
      </c>
      <c r="L42" s="136" t="str">
        <f>IF(分析!K150&lt;&gt;"",分析!K150,"")</f>
        <v/>
      </c>
      <c r="M42" s="131" t="str">
        <f>IF(分析!P150&lt;&gt;"",分析!P150,"")</f>
        <v/>
      </c>
      <c r="N42" s="137" t="str">
        <f>IF(分析!O150&lt;&gt;"",分析!O150,"")</f>
        <v/>
      </c>
      <c r="O42" s="138">
        <f>IF(分析!X150&lt;&gt;"",分析!X150,"")</f>
        <v>-333.75706001059007</v>
      </c>
      <c r="P42" s="139" t="str">
        <f>IF(分析!L150&lt;&gt;"",分析!L150,"")</f>
        <v/>
      </c>
      <c r="Q42" s="136" t="str">
        <f>IF(分析!S150&lt;&gt;"",分析!S150,"")</f>
        <v/>
      </c>
      <c r="R42" s="136" t="str">
        <f>IF(分析!R150&lt;&gt;"",分析!R150,"")</f>
        <v/>
      </c>
      <c r="S42" s="131" t="str">
        <f>IF(分析!AA150&lt;&gt;"",分析!AA150,"")</f>
        <v/>
      </c>
      <c r="T42" s="140" t="str">
        <f>IF(分析!Z150&lt;&gt;"",分析!Z150,"")</f>
        <v/>
      </c>
      <c r="U42" s="131" t="str">
        <f>IF(分析!V150&lt;&gt;"",分析!V150,"")</f>
        <v/>
      </c>
      <c r="V42" s="141">
        <f>IF(分析!W150&lt;&gt;"",分析!W150,"")</f>
        <v>39.587073608617594</v>
      </c>
      <c r="W42" s="142" t="str">
        <f>IF(分析!AD150&lt;&gt;"",分析!AD150,"")</f>
        <v>パーフェクト▲</v>
      </c>
      <c r="X42" s="143" t="e">
        <f>IF(分析!AE150&lt;&gt;"",分析!AE150,"")</f>
        <v>#VALUE!</v>
      </c>
      <c r="Y42" s="144">
        <f>IF(分析!T150&lt;&gt;"",分析!T150,"")</f>
        <v>0</v>
      </c>
      <c r="Z42" s="145" t="e">
        <f>IF(分析!Y150&lt;&gt;"",分析!Y150,"")</f>
        <v>#VALUE!</v>
      </c>
    </row>
    <row r="43" spans="1:26" ht="21.9" customHeight="1">
      <c r="A43" s="146">
        <f>IF(分析!C25&lt;&gt;"",ROW()-2,"")</f>
        <v>41</v>
      </c>
      <c r="B43" s="147" t="str">
        <f>IF(分析!C25&lt;&gt;"",HYPERLINK("https://kabutan.jp/stock/?code="&amp;分析!C25,"株探"),"")</f>
        <v>株探</v>
      </c>
      <c r="C43" s="148">
        <f>IF(分析!C25&lt;&gt;"",分析!C25,"")</f>
        <v>9227</v>
      </c>
      <c r="D43" s="149" t="str">
        <f>IF(分析!D25&lt;&gt;"",分析!D25,"")</f>
        <v/>
      </c>
      <c r="E43" s="150" t="str">
        <f>IF(分析!E25&lt;&gt;"",分析!E25,"")</f>
        <v/>
      </c>
      <c r="F43" s="151" t="str">
        <f>IF(分析!F25&lt;&gt;"",分析!F25,"")</f>
        <v/>
      </c>
      <c r="G43" s="151" t="str">
        <f>IF(分析!H25&lt;&gt;"",分析!H25,"")</f>
        <v/>
      </c>
      <c r="H43" s="151" t="str">
        <f>IF(分析!I25&lt;&gt;"",分析!I25,"")</f>
        <v/>
      </c>
      <c r="I43" s="151" t="str">
        <f>IF(分析!J25&lt;&gt;"",分析!J25,"")</f>
        <v/>
      </c>
      <c r="J43" s="151">
        <f>IF(分析!AB25&lt;&gt;"",分析!AB25,"")</f>
        <v>1691.6751527494903</v>
      </c>
      <c r="K43" s="151">
        <f>IF(分析!AC25&lt;&gt;"",分析!AC25,"")</f>
        <v>1666.1209773539922</v>
      </c>
      <c r="L43" s="151" t="str">
        <f>IF(分析!K25&lt;&gt;"",分析!K25,"")</f>
        <v/>
      </c>
      <c r="M43" s="146" t="str">
        <f>IF(分析!P25&lt;&gt;"",分析!P25,"")</f>
        <v/>
      </c>
      <c r="N43" s="152" t="str">
        <f>IF(分析!O25&lt;&gt;"",分析!O25,"")</f>
        <v/>
      </c>
      <c r="O43" s="153">
        <f>IF(分析!X25&lt;&gt;"",分析!X25,"")</f>
        <v>-7.2282905918266351</v>
      </c>
      <c r="P43" s="154" t="str">
        <f>IF(分析!L25&lt;&gt;"",分析!L25,"")</f>
        <v/>
      </c>
      <c r="Q43" s="151" t="str">
        <f>IF(分析!S25&lt;&gt;"",分析!S25,"")</f>
        <v/>
      </c>
      <c r="R43" s="151" t="str">
        <f>IF(分析!R25&lt;&gt;"",分析!R25,"")</f>
        <v/>
      </c>
      <c r="S43" s="146" t="str">
        <f>IF(分析!AA25&lt;&gt;"",分析!AA25,"")</f>
        <v/>
      </c>
      <c r="T43" s="155" t="str">
        <f>IF(分析!Z25&lt;&gt;"",分析!Z25,"")</f>
        <v/>
      </c>
      <c r="U43" s="146" t="str">
        <f>IF(分析!V25&lt;&gt;"",分析!V25,"")</f>
        <v/>
      </c>
      <c r="V43" s="156">
        <f>IF(分析!W25&lt;&gt;"",分析!W25,"")</f>
        <v>40.370370370370367</v>
      </c>
      <c r="W43" s="157" t="str">
        <f>IF(分析!AD25&lt;&gt;"",分析!AD25,"")</f>
        <v>パーフェクト▲</v>
      </c>
      <c r="X43" s="158" t="e">
        <f>IF(分析!AE25&lt;&gt;"",分析!AE25,"")</f>
        <v>#VALUE!</v>
      </c>
      <c r="Y43" s="159">
        <f>IF(分析!T25&lt;&gt;"",分析!T25,"")</f>
        <v>0</v>
      </c>
      <c r="Z43" s="145" t="e">
        <f>IF(分析!Y25&lt;&gt;"",分析!Y25,"")</f>
        <v>#VALUE!</v>
      </c>
    </row>
    <row r="44" spans="1:26" ht="21.9" customHeight="1">
      <c r="A44" s="131">
        <f>IF(分析!C120&lt;&gt;"",ROW()-2,"")</f>
        <v>42</v>
      </c>
      <c r="B44" s="132" t="str">
        <f>IF(分析!C120&lt;&gt;"",HYPERLINK("https://kabutan.jp/stock/?code="&amp;分析!C120,"株探"),"")</f>
        <v>株探</v>
      </c>
      <c r="C44" s="133">
        <f>IF(分析!C120&lt;&gt;"",分析!C120,"")</f>
        <v>5901</v>
      </c>
      <c r="D44" s="134" t="str">
        <f>IF(分析!D120&lt;&gt;"",分析!D120,"")</f>
        <v/>
      </c>
      <c r="E44" s="135" t="str">
        <f>IF(分析!E120&lt;&gt;"",分析!E120,"")</f>
        <v/>
      </c>
      <c r="F44" s="136" t="str">
        <f>IF(分析!F120&lt;&gt;"",分析!F120,"")</f>
        <v/>
      </c>
      <c r="G44" s="136" t="str">
        <f>IF(分析!H120&lt;&gt;"",分析!H120,"")</f>
        <v/>
      </c>
      <c r="H44" s="136" t="str">
        <f>IF(分析!I120&lt;&gt;"",分析!I120,"")</f>
        <v/>
      </c>
      <c r="I44" s="136" t="str">
        <f>IF(分析!J120&lt;&gt;"",分析!J120,"")</f>
        <v/>
      </c>
      <c r="J44" s="136">
        <f>IF(分析!AB120&lt;&gt;"",分析!AB120,"")</f>
        <v>2513.8915478615068</v>
      </c>
      <c r="K44" s="136">
        <f>IF(分析!AC120&lt;&gt;"",分析!AC120,"")</f>
        <v>2440.805125148986</v>
      </c>
      <c r="L44" s="136" t="str">
        <f>IF(分析!K120&lt;&gt;"",分析!K120,"")</f>
        <v/>
      </c>
      <c r="M44" s="131" t="str">
        <f>IF(分析!P120&lt;&gt;"",分析!P120,"")</f>
        <v/>
      </c>
      <c r="N44" s="137" t="str">
        <f>IF(分析!O120&lt;&gt;"",分析!O120,"")</f>
        <v/>
      </c>
      <c r="O44" s="138">
        <f>IF(分析!X120&lt;&gt;"",分析!X120,"")</f>
        <v>-4.4640541476428552</v>
      </c>
      <c r="P44" s="139" t="str">
        <f>IF(分析!L120&lt;&gt;"",分析!L120,"")</f>
        <v/>
      </c>
      <c r="Q44" s="136" t="str">
        <f>IF(分析!S120&lt;&gt;"",分析!S120,"")</f>
        <v/>
      </c>
      <c r="R44" s="136" t="str">
        <f>IF(分析!R120&lt;&gt;"",分析!R120,"")</f>
        <v/>
      </c>
      <c r="S44" s="131" t="str">
        <f>IF(分析!AA120&lt;&gt;"",分析!AA120,"")</f>
        <v/>
      </c>
      <c r="T44" s="140" t="str">
        <f>IF(分析!Z120&lt;&gt;"",分析!Z120,"")</f>
        <v/>
      </c>
      <c r="U44" s="131" t="str">
        <f>IF(分析!V120&lt;&gt;"",分析!V120,"")</f>
        <v/>
      </c>
      <c r="V44" s="141">
        <f>IF(分析!W120&lt;&gt;"",分析!W120,"")</f>
        <v>40.186915887850468</v>
      </c>
      <c r="W44" s="142" t="str">
        <f>IF(分析!AD120&lt;&gt;"",分析!AD120,"")</f>
        <v>パーフェクト▲</v>
      </c>
      <c r="X44" s="143" t="e">
        <f>IF(分析!AE120&lt;&gt;"",分析!AE120,"")</f>
        <v>#VALUE!</v>
      </c>
      <c r="Y44" s="144">
        <f>IF(分析!T120&lt;&gt;"",分析!T120,"")</f>
        <v>0</v>
      </c>
      <c r="Z44" s="145" t="e">
        <f>IF(分析!Y120&lt;&gt;"",分析!Y120,"")</f>
        <v>#VALUE!</v>
      </c>
    </row>
    <row r="45" spans="1:26" ht="21.9" customHeight="1">
      <c r="A45" s="131">
        <f>IF(分析!C50&lt;&gt;"",ROW()-2,"")</f>
        <v>43</v>
      </c>
      <c r="B45" s="132" t="str">
        <f>IF(分析!C50&lt;&gt;"",HYPERLINK("https://kabutan.jp/stock/?code="&amp;分析!C50,"株探"),"")</f>
        <v>株探</v>
      </c>
      <c r="C45" s="133">
        <f>IF(分析!C50&lt;&gt;"",分析!C50,"")</f>
        <v>8316</v>
      </c>
      <c r="D45" s="134" t="str">
        <f>IF(分析!D50&lt;&gt;"",分析!D50,"")</f>
        <v/>
      </c>
      <c r="E45" s="135" t="str">
        <f>IF(分析!E50&lt;&gt;"",分析!E50,"")</f>
        <v/>
      </c>
      <c r="F45" s="136" t="str">
        <f>IF(分析!F50&lt;&gt;"",分析!F50,"")</f>
        <v/>
      </c>
      <c r="G45" s="136" t="str">
        <f>IF(分析!H50&lt;&gt;"",分析!H50,"")</f>
        <v/>
      </c>
      <c r="H45" s="136" t="str">
        <f>IF(分析!I50&lt;&gt;"",分析!I50,"")</f>
        <v/>
      </c>
      <c r="I45" s="136" t="str">
        <f>IF(分析!J50&lt;&gt;"",分析!J50,"")</f>
        <v/>
      </c>
      <c r="J45" s="136">
        <f>IF(分析!AB50&lt;&gt;"",分析!AB50,"")</f>
        <v>7651.877800407332</v>
      </c>
      <c r="K45" s="136">
        <f>IF(分析!AC50&lt;&gt;"",分析!AC50,"")</f>
        <v>7493.5947556614983</v>
      </c>
      <c r="L45" s="136" t="str">
        <f>IF(分析!K50&lt;&gt;"",分析!K50,"")</f>
        <v/>
      </c>
      <c r="M45" s="131" t="str">
        <f>IF(分析!P50&lt;&gt;"",分析!P50,"")</f>
        <v/>
      </c>
      <c r="N45" s="137" t="str">
        <f>IF(分析!O50&lt;&gt;"",分析!O50,"")</f>
        <v/>
      </c>
      <c r="O45" s="138">
        <f>IF(分析!X50&lt;&gt;"",分析!X50,"")</f>
        <v>75.427754050925614</v>
      </c>
      <c r="P45" s="139" t="str">
        <f>IF(分析!L50&lt;&gt;"",分析!L50,"")</f>
        <v/>
      </c>
      <c r="Q45" s="136" t="str">
        <f>IF(分析!S50&lt;&gt;"",分析!S50,"")</f>
        <v/>
      </c>
      <c r="R45" s="136" t="str">
        <f>IF(分析!R50&lt;&gt;"",分析!R50,"")</f>
        <v/>
      </c>
      <c r="S45" s="131" t="str">
        <f>IF(分析!AA50&lt;&gt;"",分析!AA50,"")</f>
        <v/>
      </c>
      <c r="T45" s="140" t="str">
        <f>IF(分析!Z50&lt;&gt;"",分析!Z50,"")</f>
        <v/>
      </c>
      <c r="U45" s="131" t="str">
        <f>IF(分析!V50&lt;&gt;"",分析!V50,"")</f>
        <v/>
      </c>
      <c r="V45" s="141">
        <f>IF(分析!W50&lt;&gt;"",分析!W50,"")</f>
        <v>93.975903614457835</v>
      </c>
      <c r="W45" s="142" t="str">
        <f>IF(分析!AD50&lt;&gt;"",分析!AD50,"")</f>
        <v>パーフェクト▲</v>
      </c>
      <c r="X45" s="143" t="e">
        <f>IF(分析!AE50&lt;&gt;"",分析!AE50,"")</f>
        <v>#VALUE!</v>
      </c>
      <c r="Y45" s="144">
        <f>IF(分析!T50&lt;&gt;"",分析!T50,"")</f>
        <v>0</v>
      </c>
      <c r="Z45" s="145" t="e">
        <f>IF(分析!Y50&lt;&gt;"",分析!Y50,"")</f>
        <v>#VALUE!</v>
      </c>
    </row>
    <row r="46" spans="1:26" ht="21.9" customHeight="1">
      <c r="A46" s="131">
        <f>IF(分析!C28&lt;&gt;"",ROW()-2,"")</f>
        <v>44</v>
      </c>
      <c r="B46" s="132" t="str">
        <f>IF(分析!C28&lt;&gt;"",HYPERLINK("https://kabutan.jp/stock/?code="&amp;分析!C28,"株探"),"")</f>
        <v>株探</v>
      </c>
      <c r="C46" s="133">
        <f>IF(分析!C28&lt;&gt;"",分析!C28,"")</f>
        <v>9069</v>
      </c>
      <c r="D46" s="134" t="str">
        <f>IF(分析!D28&lt;&gt;"",分析!D28,"")</f>
        <v/>
      </c>
      <c r="E46" s="135" t="str">
        <f>IF(分析!E28&lt;&gt;"",分析!E28,"")</f>
        <v/>
      </c>
      <c r="F46" s="136" t="str">
        <f>IF(分析!F28&lt;&gt;"",分析!F28,"")</f>
        <v/>
      </c>
      <c r="G46" s="136" t="str">
        <f>IF(分析!H28&lt;&gt;"",分析!H28,"")</f>
        <v/>
      </c>
      <c r="H46" s="136" t="str">
        <f>IF(分析!I28&lt;&gt;"",分析!I28,"")</f>
        <v/>
      </c>
      <c r="I46" s="136" t="str">
        <f>IF(分析!J28&lt;&gt;"",分析!J28,"")</f>
        <v/>
      </c>
      <c r="J46" s="136">
        <f>IF(分析!AB28&lt;&gt;"",分析!AB28,"")</f>
        <v>4222.2708757637483</v>
      </c>
      <c r="K46" s="136">
        <f>IF(分析!AC28&lt;&gt;"",分析!AC28,"")</f>
        <v>4536.9845053635263</v>
      </c>
      <c r="L46" s="136" t="str">
        <f>IF(分析!K28&lt;&gt;"",分析!K28,"")</f>
        <v/>
      </c>
      <c r="M46" s="131" t="str">
        <f>IF(分析!P28&lt;&gt;"",分析!P28,"")</f>
        <v/>
      </c>
      <c r="N46" s="137" t="str">
        <f>IF(分析!O28&lt;&gt;"",分析!O28,"")</f>
        <v/>
      </c>
      <c r="O46" s="138">
        <f>IF(分析!X28&lt;&gt;"",分析!X28,"")</f>
        <v>28.964168580515206</v>
      </c>
      <c r="P46" s="139" t="str">
        <f>IF(分析!L28&lt;&gt;"",分析!L28,"")</f>
        <v/>
      </c>
      <c r="Q46" s="136" t="str">
        <f>IF(分析!S28&lt;&gt;"",分析!S28,"")</f>
        <v/>
      </c>
      <c r="R46" s="136" t="str">
        <f>IF(分析!R28&lt;&gt;"",分析!R28,"")</f>
        <v/>
      </c>
      <c r="S46" s="131" t="str">
        <f>IF(分析!AA28&lt;&gt;"",分析!AA28,"")</f>
        <v/>
      </c>
      <c r="T46" s="140" t="str">
        <f>IF(分析!Z28&lt;&gt;"",分析!Z28,"")</f>
        <v/>
      </c>
      <c r="U46" s="131" t="str">
        <f>IF(分析!V28&lt;&gt;"",分析!V28,"")</f>
        <v/>
      </c>
      <c r="V46" s="141">
        <f>IF(分析!W28&lt;&gt;"",分析!W28,"")</f>
        <v>83.333333333333329</v>
      </c>
      <c r="W46" s="142" t="str">
        <f>IF(分析!AD28&lt;&gt;"",分析!AD28,"")</f>
        <v>上昇トレンド▲</v>
      </c>
      <c r="X46" s="143" t="e">
        <f>IF(分析!AE28&lt;&gt;"",分析!AE28,"")</f>
        <v>#VALUE!</v>
      </c>
      <c r="Y46" s="144">
        <f>IF(分析!T28&lt;&gt;"",分析!T28,"")</f>
        <v>0</v>
      </c>
      <c r="Z46" s="145" t="e">
        <f>IF(分析!Y28&lt;&gt;"",分析!Y28,"")</f>
        <v>#VALUE!</v>
      </c>
    </row>
    <row r="47" spans="1:26" ht="21.9" customHeight="1">
      <c r="A47" s="146">
        <f>IF(分析!C85&lt;&gt;"",ROW()-2,"")</f>
        <v>45</v>
      </c>
      <c r="B47" s="147" t="str">
        <f>IF(分析!C85&lt;&gt;"",HYPERLINK("https://kabutan.jp/stock/?code="&amp;分析!C85,"株探"),"")</f>
        <v>株探</v>
      </c>
      <c r="C47" s="148">
        <f>IF(分析!C85&lt;&gt;"",分析!C85,"")</f>
        <v>6838</v>
      </c>
      <c r="D47" s="149" t="str">
        <f>IF(分析!D85&lt;&gt;"",分析!D85,"")</f>
        <v/>
      </c>
      <c r="E47" s="150" t="str">
        <f>IF(分析!E85&lt;&gt;"",分析!E85,"")</f>
        <v/>
      </c>
      <c r="F47" s="151" t="str">
        <f>IF(分析!F85&lt;&gt;"",分析!F85,"")</f>
        <v/>
      </c>
      <c r="G47" s="151" t="str">
        <f>IF(分析!H85&lt;&gt;"",分析!H85,"")</f>
        <v/>
      </c>
      <c r="H47" s="151" t="str">
        <f>IF(分析!I85&lt;&gt;"",分析!I85,"")</f>
        <v/>
      </c>
      <c r="I47" s="151" t="str">
        <f>IF(分析!J85&lt;&gt;"",分析!J85,"")</f>
        <v/>
      </c>
      <c r="J47" s="151">
        <f>IF(分析!AB85&lt;&gt;"",分析!AB85,"")</f>
        <v>6197.5916496945001</v>
      </c>
      <c r="K47" s="151">
        <f>IF(分析!AC85&lt;&gt;"",分析!AC85,"")</f>
        <v>6116.4636471990452</v>
      </c>
      <c r="L47" s="151" t="str">
        <f>IF(分析!K85&lt;&gt;"",分析!K85,"")</f>
        <v/>
      </c>
      <c r="M47" s="146" t="str">
        <f>IF(分析!P85&lt;&gt;"",分析!P85,"")</f>
        <v/>
      </c>
      <c r="N47" s="152" t="str">
        <f>IF(分析!O85&lt;&gt;"",分析!O85,"")</f>
        <v/>
      </c>
      <c r="O47" s="153">
        <f>IF(分析!X85&lt;&gt;"",分析!X85,"")</f>
        <v>-78.007164492773427</v>
      </c>
      <c r="P47" s="154" t="str">
        <f>IF(分析!L85&lt;&gt;"",分析!L85,"")</f>
        <v/>
      </c>
      <c r="Q47" s="151" t="str">
        <f>IF(分析!S85&lt;&gt;"",分析!S85,"")</f>
        <v/>
      </c>
      <c r="R47" s="151" t="str">
        <f>IF(分析!R85&lt;&gt;"",分析!R85,"")</f>
        <v/>
      </c>
      <c r="S47" s="146" t="str">
        <f>IF(分析!AA85&lt;&gt;"",分析!AA85,"")</f>
        <v/>
      </c>
      <c r="T47" s="155" t="str">
        <f>IF(分析!Z85&lt;&gt;"",分析!Z85,"")</f>
        <v/>
      </c>
      <c r="U47" s="146" t="str">
        <f>IF(分析!V85&lt;&gt;"",分析!V85,"")</f>
        <v/>
      </c>
      <c r="V47" s="156">
        <f>IF(分析!W85&lt;&gt;"",分析!W85,"")</f>
        <v>11.316113161131611</v>
      </c>
      <c r="W47" s="157" t="str">
        <f>IF(分析!AD85&lt;&gt;"",分析!AD85,"")</f>
        <v>パーフェクト▲</v>
      </c>
      <c r="X47" s="158" t="e">
        <f>IF(分析!AE85&lt;&gt;"",分析!AE85,"")</f>
        <v>#VALUE!</v>
      </c>
      <c r="Y47" s="159">
        <f>IF(分析!T85&lt;&gt;"",分析!T85,"")</f>
        <v>0</v>
      </c>
      <c r="Z47" s="145" t="e">
        <f>IF(分析!Y85&lt;&gt;"",分析!Y85,"")</f>
        <v>#VALUE!</v>
      </c>
    </row>
    <row r="48" spans="1:26" ht="21.9" customHeight="1">
      <c r="A48" s="146">
        <f>IF(分析!C41&lt;&gt;"",ROW()-2,"")</f>
        <v>46</v>
      </c>
      <c r="B48" s="147" t="str">
        <f>IF(分析!C41&lt;&gt;"",HYPERLINK("https://kabutan.jp/stock/?code="&amp;分析!C41,"株探"),"")</f>
        <v>株探</v>
      </c>
      <c r="C48" s="148">
        <f>IF(分析!C41&lt;&gt;"",分析!C41,"")</f>
        <v>8601</v>
      </c>
      <c r="D48" s="149" t="str">
        <f>IF(分析!D41&lt;&gt;"",分析!D41,"")</f>
        <v/>
      </c>
      <c r="E48" s="150" t="str">
        <f>IF(分析!E41&lt;&gt;"",分析!E41,"")</f>
        <v/>
      </c>
      <c r="F48" s="151" t="str">
        <f>IF(分析!F41&lt;&gt;"",分析!F41,"")</f>
        <v/>
      </c>
      <c r="G48" s="151" t="str">
        <f>IF(分析!H41&lt;&gt;"",分析!H41,"")</f>
        <v/>
      </c>
      <c r="H48" s="151" t="str">
        <f>IF(分析!I41&lt;&gt;"",分析!I41,"")</f>
        <v/>
      </c>
      <c r="I48" s="151" t="str">
        <f>IF(分析!J41&lt;&gt;"",分析!J41,"")</f>
        <v/>
      </c>
      <c r="J48" s="151">
        <f>IF(分析!AB41&lt;&gt;"",分析!AB41,"")</f>
        <v>1841.607942973523</v>
      </c>
      <c r="K48" s="151">
        <f>IF(分析!AC41&lt;&gt;"",分析!AC41,"")</f>
        <v>1819.3146603098921</v>
      </c>
      <c r="L48" s="151" t="str">
        <f>IF(分析!K41&lt;&gt;"",分析!K41,"")</f>
        <v/>
      </c>
      <c r="M48" s="146" t="str">
        <f>IF(分析!P41&lt;&gt;"",分析!P41,"")</f>
        <v/>
      </c>
      <c r="N48" s="152" t="str">
        <f>IF(分析!O41&lt;&gt;"",分析!O41,"")</f>
        <v/>
      </c>
      <c r="O48" s="153">
        <f>IF(分析!X41&lt;&gt;"",分析!X41,"")</f>
        <v>30.528226111392769</v>
      </c>
      <c r="P48" s="154" t="str">
        <f>IF(分析!L41&lt;&gt;"",分析!L41,"")</f>
        <v/>
      </c>
      <c r="Q48" s="151" t="str">
        <f>IF(分析!S41&lt;&gt;"",分析!S41,"")</f>
        <v/>
      </c>
      <c r="R48" s="151" t="str">
        <f>IF(分析!R41&lt;&gt;"",分析!R41,"")</f>
        <v/>
      </c>
      <c r="S48" s="146" t="str">
        <f>IF(分析!AA41&lt;&gt;"",分析!AA41,"")</f>
        <v/>
      </c>
      <c r="T48" s="155" t="str">
        <f>IF(分析!Z41&lt;&gt;"",分析!Z41,"")</f>
        <v/>
      </c>
      <c r="U48" s="146" t="str">
        <f>IF(分析!V41&lt;&gt;"",分析!V41,"")</f>
        <v/>
      </c>
      <c r="V48" s="156">
        <f>IF(分析!W41&lt;&gt;"",分析!W41,"")</f>
        <v>87.942332896461338</v>
      </c>
      <c r="W48" s="157" t="str">
        <f>IF(分析!AD41&lt;&gt;"",分析!AD41,"")</f>
        <v>パーフェクト▲</v>
      </c>
      <c r="X48" s="158" t="e">
        <f>IF(分析!AE41&lt;&gt;"",分析!AE41,"")</f>
        <v>#VALUE!</v>
      </c>
      <c r="Y48" s="159">
        <f>IF(分析!T41&lt;&gt;"",分析!T41,"")</f>
        <v>0</v>
      </c>
      <c r="Z48" s="145" t="e">
        <f>IF(分析!Y41&lt;&gt;"",分析!Y41,"")</f>
        <v>#VALUE!</v>
      </c>
    </row>
    <row r="49" spans="1:26" ht="21.9" customHeight="1">
      <c r="A49" s="131">
        <f>IF(分析!C186&lt;&gt;"",ROW()-2,"")</f>
        <v>47</v>
      </c>
      <c r="B49" s="132" t="str">
        <f>IF(分析!C186&lt;&gt;"",HYPERLINK("https://kabutan.jp/stock/?code="&amp;分析!C186,"株探"),"")</f>
        <v>株探</v>
      </c>
      <c r="C49" s="133">
        <f>IF(分析!C186&lt;&gt;"",分析!C186,"")</f>
        <v>3107</v>
      </c>
      <c r="D49" s="134" t="str">
        <f>IF(分析!D186&lt;&gt;"",分析!D186,"")</f>
        <v/>
      </c>
      <c r="E49" s="135" t="str">
        <f>IF(分析!E186&lt;&gt;"",分析!E186,"")</f>
        <v/>
      </c>
      <c r="F49" s="136" t="str">
        <f>IF(分析!F186&lt;&gt;"",分析!F186,"")</f>
        <v/>
      </c>
      <c r="G49" s="136" t="str">
        <f>IF(分析!H186&lt;&gt;"",分析!H186,"")</f>
        <v/>
      </c>
      <c r="H49" s="136" t="str">
        <f>IF(分析!I186&lt;&gt;"",分析!I186,"")</f>
        <v/>
      </c>
      <c r="I49" s="136" t="str">
        <f>IF(分析!J186&lt;&gt;"",分析!J186,"")</f>
        <v/>
      </c>
      <c r="J49" s="136">
        <f>IF(分析!AB186&lt;&gt;"",分析!AB186,"")</f>
        <v>636.51079429735216</v>
      </c>
      <c r="K49" s="136">
        <f>IF(分析!AC186&lt;&gt;"",分析!AC186,"")</f>
        <v>632.37461263408773</v>
      </c>
      <c r="L49" s="136" t="str">
        <f>IF(分析!K186&lt;&gt;"",分析!K186,"")</f>
        <v/>
      </c>
      <c r="M49" s="131" t="str">
        <f>IF(分析!P186&lt;&gt;"",分析!P186,"")</f>
        <v/>
      </c>
      <c r="N49" s="137" t="str">
        <f>IF(分析!O186&lt;&gt;"",分析!O186,"")</f>
        <v/>
      </c>
      <c r="O49" s="138">
        <f>IF(分析!X186&lt;&gt;"",分析!X186,"")</f>
        <v>1.8897205449802641</v>
      </c>
      <c r="P49" s="139" t="str">
        <f>IF(分析!L186&lt;&gt;"",分析!L186,"")</f>
        <v/>
      </c>
      <c r="Q49" s="136" t="str">
        <f>IF(分析!S186&lt;&gt;"",分析!S186,"")</f>
        <v/>
      </c>
      <c r="R49" s="136" t="str">
        <f>IF(分析!R186&lt;&gt;"",分析!R186,"")</f>
        <v/>
      </c>
      <c r="S49" s="131" t="str">
        <f>IF(分析!AA186&lt;&gt;"",分析!AA186,"")</f>
        <v/>
      </c>
      <c r="T49" s="140" t="str">
        <f>IF(分析!Z186&lt;&gt;"",分析!Z186,"")</f>
        <v/>
      </c>
      <c r="U49" s="131" t="str">
        <f>IF(分析!V186&lt;&gt;"",分析!V186,"")</f>
        <v/>
      </c>
      <c r="V49" s="141">
        <f>IF(分析!W186&lt;&gt;"",分析!W186,"")</f>
        <v>55.702479338842977</v>
      </c>
      <c r="W49" s="142" t="str">
        <f>IF(分析!AD186&lt;&gt;"",分析!AD186,"")</f>
        <v>パーフェクト▲</v>
      </c>
      <c r="X49" s="143" t="e">
        <f>IF(分析!AE186&lt;&gt;"",分析!AE186,"")</f>
        <v>#VALUE!</v>
      </c>
      <c r="Y49" s="144">
        <f>IF(分析!T186&lt;&gt;"",分析!T186,"")</f>
        <v>0</v>
      </c>
      <c r="Z49" s="145" t="e">
        <f>IF(分析!Y186&lt;&gt;"",分析!Y186,"")</f>
        <v>#VALUE!</v>
      </c>
    </row>
    <row r="50" spans="1:26" ht="21.9" customHeight="1">
      <c r="A50" s="131">
        <f>IF(分析!C64&lt;&gt;"",ROW()-2,"")</f>
        <v>48</v>
      </c>
      <c r="B50" s="132" t="str">
        <f>IF(分析!C64&lt;&gt;"",HYPERLINK("https://kabutan.jp/stock/?code="&amp;分析!C64,"株探"),"")</f>
        <v>株探</v>
      </c>
      <c r="C50" s="133">
        <f>IF(分析!C64&lt;&gt;"",分析!C64,"")</f>
        <v>7846</v>
      </c>
      <c r="D50" s="134" t="str">
        <f>IF(分析!D64&lt;&gt;"",分析!D64,"")</f>
        <v/>
      </c>
      <c r="E50" s="135" t="str">
        <f>IF(分析!E64&lt;&gt;"",分析!E64,"")</f>
        <v/>
      </c>
      <c r="F50" s="136" t="str">
        <f>IF(分析!F64&lt;&gt;"",分析!F64,"")</f>
        <v/>
      </c>
      <c r="G50" s="136" t="str">
        <f>IF(分析!H64&lt;&gt;"",分析!H64,"")</f>
        <v/>
      </c>
      <c r="H50" s="136" t="str">
        <f>IF(分析!I64&lt;&gt;"",分析!I64,"")</f>
        <v/>
      </c>
      <c r="I50" s="136" t="str">
        <f>IF(分析!J64&lt;&gt;"",分析!J64,"")</f>
        <v/>
      </c>
      <c r="J50" s="136">
        <f>IF(分析!AB64&lt;&gt;"",分析!AB64,"")</f>
        <v>7341.7759674134404</v>
      </c>
      <c r="K50" s="136">
        <f>IF(分析!AC64&lt;&gt;"",分析!AC64,"")</f>
        <v>7214.7401668653147</v>
      </c>
      <c r="L50" s="136" t="str">
        <f>IF(分析!K64&lt;&gt;"",分析!K64,"")</f>
        <v/>
      </c>
      <c r="M50" s="131" t="str">
        <f>IF(分析!P64&lt;&gt;"",分析!P64,"")</f>
        <v/>
      </c>
      <c r="N50" s="137" t="str">
        <f>IF(分析!O64&lt;&gt;"",分析!O64,"")</f>
        <v/>
      </c>
      <c r="O50" s="138">
        <f>IF(分析!X64&lt;&gt;"",分析!X64,"")</f>
        <v>-434.60692706944269</v>
      </c>
      <c r="P50" s="139" t="str">
        <f>IF(分析!L64&lt;&gt;"",分析!L64,"")</f>
        <v/>
      </c>
      <c r="Q50" s="136" t="str">
        <f>IF(分析!S64&lt;&gt;"",分析!S64,"")</f>
        <v/>
      </c>
      <c r="R50" s="136" t="str">
        <f>IF(分析!R64&lt;&gt;"",分析!R64,"")</f>
        <v/>
      </c>
      <c r="S50" s="131" t="str">
        <f>IF(分析!AA64&lt;&gt;"",分析!AA64,"")</f>
        <v/>
      </c>
      <c r="T50" s="140" t="str">
        <f>IF(分析!Z64&lt;&gt;"",分析!Z64,"")</f>
        <v/>
      </c>
      <c r="U50" s="131" t="str">
        <f>IF(分析!V64&lt;&gt;"",分析!V64,"")</f>
        <v/>
      </c>
      <c r="V50" s="141">
        <f>IF(分析!W64&lt;&gt;"",分析!W64,"")</f>
        <v>4.503148097454158</v>
      </c>
      <c r="W50" s="142" t="str">
        <f>IF(分析!AD64&lt;&gt;"",分析!AD64,"")</f>
        <v>パーフェクト▲</v>
      </c>
      <c r="X50" s="143" t="e">
        <f>IF(分析!AE64&lt;&gt;"",分析!AE64,"")</f>
        <v>#VALUE!</v>
      </c>
      <c r="Y50" s="144">
        <f>IF(分析!T64&lt;&gt;"",分析!T64,"")</f>
        <v>0</v>
      </c>
      <c r="Z50" s="145" t="e">
        <f>IF(分析!Y64&lt;&gt;"",分析!Y64,"")</f>
        <v>#VALUE!</v>
      </c>
    </row>
    <row r="51" spans="1:26" ht="21.9" customHeight="1">
      <c r="A51" s="146">
        <f>IF(分析!C111&lt;&gt;"",ROW()-2,"")</f>
        <v>49</v>
      </c>
      <c r="B51" s="147" t="str">
        <f>IF(分析!C111&lt;&gt;"",HYPERLINK("https://kabutan.jp/stock/?code="&amp;分析!C111,"株探"),"")</f>
        <v>株探</v>
      </c>
      <c r="C51" s="148">
        <f>IF(分析!C111&lt;&gt;"",分析!C111,"")</f>
        <v>6203</v>
      </c>
      <c r="D51" s="149" t="str">
        <f>IF(分析!D111&lt;&gt;"",分析!D111,"")</f>
        <v/>
      </c>
      <c r="E51" s="150" t="str">
        <f>IF(分析!E111&lt;&gt;"",分析!E111,"")</f>
        <v/>
      </c>
      <c r="F51" s="151" t="str">
        <f>IF(分析!F111&lt;&gt;"",分析!F111,"")</f>
        <v/>
      </c>
      <c r="G51" s="151" t="str">
        <f>IF(分析!H111&lt;&gt;"",分析!H111,"")</f>
        <v/>
      </c>
      <c r="H51" s="151" t="str">
        <f>IF(分析!I111&lt;&gt;"",分析!I111,"")</f>
        <v/>
      </c>
      <c r="I51" s="151" t="str">
        <f>IF(分析!J111&lt;&gt;"",分析!J111,"")</f>
        <v/>
      </c>
      <c r="J51" s="151">
        <f>IF(分析!AB111&lt;&gt;"",分析!AB111,"")</f>
        <v>3981.5916496945001</v>
      </c>
      <c r="K51" s="151">
        <f>IF(分析!AC111&lt;&gt;"",分析!AC111,"")</f>
        <v>3659.5184743742548</v>
      </c>
      <c r="L51" s="151" t="str">
        <f>IF(分析!K111&lt;&gt;"",分析!K111,"")</f>
        <v/>
      </c>
      <c r="M51" s="146" t="str">
        <f>IF(分析!P111&lt;&gt;"",分析!P111,"")</f>
        <v/>
      </c>
      <c r="N51" s="152" t="str">
        <f>IF(分析!O111&lt;&gt;"",分析!O111,"")</f>
        <v/>
      </c>
      <c r="O51" s="153">
        <f>IF(分析!X111&lt;&gt;"",分析!X111,"")</f>
        <v>-5.2579933847844131</v>
      </c>
      <c r="P51" s="154" t="str">
        <f>IF(分析!L111&lt;&gt;"",分析!L111,"")</f>
        <v/>
      </c>
      <c r="Q51" s="151" t="str">
        <f>IF(分析!S111&lt;&gt;"",分析!S111,"")</f>
        <v/>
      </c>
      <c r="R51" s="151" t="str">
        <f>IF(分析!R111&lt;&gt;"",分析!R111,"")</f>
        <v/>
      </c>
      <c r="S51" s="146" t="str">
        <f>IF(分析!AA111&lt;&gt;"",分析!AA111,"")</f>
        <v/>
      </c>
      <c r="T51" s="155" t="str">
        <f>IF(分析!Z111&lt;&gt;"",分析!Z111,"")</f>
        <v/>
      </c>
      <c r="U51" s="146" t="str">
        <f>IF(分析!V111&lt;&gt;"",分析!V111,"")</f>
        <v/>
      </c>
      <c r="V51" s="156">
        <f>IF(分析!W111&lt;&gt;"",分析!W111,"")</f>
        <v>56.424581005586589</v>
      </c>
      <c r="W51" s="157" t="str">
        <f>IF(分析!AD111&lt;&gt;"",分析!AD111,"")</f>
        <v>パーフェクト▲</v>
      </c>
      <c r="X51" s="158" t="e">
        <f>IF(分析!AE111&lt;&gt;"",分析!AE111,"")</f>
        <v>#VALUE!</v>
      </c>
      <c r="Y51" s="159">
        <f>IF(分析!T111&lt;&gt;"",分析!T111,"")</f>
        <v>0</v>
      </c>
      <c r="Z51" s="145" t="e">
        <f>IF(分析!Y111&lt;&gt;"",分析!Y111,"")</f>
        <v>#VALUE!</v>
      </c>
    </row>
    <row r="52" spans="1:26" ht="21.9" customHeight="1">
      <c r="A52" s="146">
        <f>IF(分析!C189&lt;&gt;"",ROW()-2,"")</f>
        <v>50</v>
      </c>
      <c r="B52" s="147" t="str">
        <f>IF(分析!C189&lt;&gt;"",HYPERLINK("https://kabutan.jp/stock/?code="&amp;分析!C189,"株探"),"")</f>
        <v>株探</v>
      </c>
      <c r="C52" s="148">
        <f>IF(分析!C189&lt;&gt;"",分析!C189,"")</f>
        <v>2914</v>
      </c>
      <c r="D52" s="149" t="str">
        <f>IF(分析!D189&lt;&gt;"",分析!D189,"")</f>
        <v/>
      </c>
      <c r="E52" s="150" t="str">
        <f>IF(分析!E189&lt;&gt;"",分析!E189,"")</f>
        <v/>
      </c>
      <c r="F52" s="151" t="str">
        <f>IF(分析!F189&lt;&gt;"",分析!F189,"")</f>
        <v/>
      </c>
      <c r="G52" s="151" t="str">
        <f>IF(分析!H189&lt;&gt;"",分析!H189,"")</f>
        <v/>
      </c>
      <c r="H52" s="151" t="str">
        <f>IF(分析!I189&lt;&gt;"",分析!I189,"")</f>
        <v/>
      </c>
      <c r="I52" s="151" t="str">
        <f>IF(分析!J189&lt;&gt;"",分析!J189,"")</f>
        <v/>
      </c>
      <c r="J52" s="151">
        <f>IF(分析!AB189&lt;&gt;"",分析!AB189,"")</f>
        <v>1539.6649694501014</v>
      </c>
      <c r="K52" s="151">
        <f>IF(分析!AC189&lt;&gt;"",分析!AC189,"")</f>
        <v>1516.8748510131099</v>
      </c>
      <c r="L52" s="151" t="str">
        <f>IF(分析!K189&lt;&gt;"",分析!K189,"")</f>
        <v/>
      </c>
      <c r="M52" s="146" t="str">
        <f>IF(分析!P189&lt;&gt;"",分析!P189,"")</f>
        <v/>
      </c>
      <c r="N52" s="152" t="str">
        <f>IF(分析!O189&lt;&gt;"",分析!O189,"")</f>
        <v/>
      </c>
      <c r="O52" s="153">
        <f>IF(分析!X189&lt;&gt;"",分析!X189,"")</f>
        <v>21.694000533357212</v>
      </c>
      <c r="P52" s="154" t="str">
        <f>IF(分析!L189&lt;&gt;"",分析!L189,"")</f>
        <v/>
      </c>
      <c r="Q52" s="151" t="str">
        <f>IF(分析!S189&lt;&gt;"",分析!S189,"")</f>
        <v/>
      </c>
      <c r="R52" s="151" t="str">
        <f>IF(分析!R189&lt;&gt;"",分析!R189,"")</f>
        <v/>
      </c>
      <c r="S52" s="146" t="str">
        <f>IF(分析!AA189&lt;&gt;"",分析!AA189,"")</f>
        <v/>
      </c>
      <c r="T52" s="155" t="str">
        <f>IF(分析!Z189&lt;&gt;"",分析!Z189,"")</f>
        <v/>
      </c>
      <c r="U52" s="146" t="str">
        <f>IF(分析!V189&lt;&gt;"",分析!V189,"")</f>
        <v/>
      </c>
      <c r="V52" s="156">
        <f>IF(分析!W189&lt;&gt;"",分析!W189,"")</f>
        <v>62.776025236593057</v>
      </c>
      <c r="W52" s="157" t="str">
        <f>IF(分析!AD189&lt;&gt;"",分析!AD189,"")</f>
        <v>パーフェクト▲</v>
      </c>
      <c r="X52" s="158" t="e">
        <f>IF(分析!AE189&lt;&gt;"",分析!AE189,"")</f>
        <v>#VALUE!</v>
      </c>
      <c r="Y52" s="159">
        <f>IF(分析!T189&lt;&gt;"",分析!T189,"")</f>
        <v>0</v>
      </c>
      <c r="Z52" s="145" t="e">
        <f>IF(分析!Y189&lt;&gt;"",分析!Y189,"")</f>
        <v>#VALUE!</v>
      </c>
    </row>
    <row r="53" spans="1:26" ht="21.9" customHeight="1">
      <c r="A53" s="131">
        <f>IF(分析!C86&lt;&gt;"",ROW()-2,"")</f>
        <v>51</v>
      </c>
      <c r="B53" s="132" t="str">
        <f>IF(分析!C86&lt;&gt;"",HYPERLINK("https://kabutan.jp/stock/?code="&amp;分析!C86,"株探"),"")</f>
        <v>株探</v>
      </c>
      <c r="C53" s="133">
        <f>IF(分析!C86&lt;&gt;"",分析!C86,"")</f>
        <v>6787</v>
      </c>
      <c r="D53" s="134" t="str">
        <f>IF(分析!D86&lt;&gt;"",分析!D86,"")</f>
        <v/>
      </c>
      <c r="E53" s="135" t="str">
        <f>IF(分析!E86&lt;&gt;"",分析!E86,"")</f>
        <v/>
      </c>
      <c r="F53" s="136" t="str">
        <f>IF(分析!F86&lt;&gt;"",分析!F86,"")</f>
        <v/>
      </c>
      <c r="G53" s="136" t="str">
        <f>IF(分析!H86&lt;&gt;"",分析!H86,"")</f>
        <v/>
      </c>
      <c r="H53" s="136" t="str">
        <f>IF(分析!I86&lt;&gt;"",分析!I86,"")</f>
        <v/>
      </c>
      <c r="I53" s="136" t="str">
        <f>IF(分析!J86&lt;&gt;"",分析!J86,"")</f>
        <v/>
      </c>
      <c r="J53" s="136">
        <f>IF(分析!AB86&lt;&gt;"",分析!AB86,"")</f>
        <v>1781.5264765784111</v>
      </c>
      <c r="K53" s="136">
        <f>IF(分析!AC86&lt;&gt;"",分析!AC86,"")</f>
        <v>1744.3939213349215</v>
      </c>
      <c r="L53" s="136" t="str">
        <f>IF(分析!K86&lt;&gt;"",分析!K86,"")</f>
        <v/>
      </c>
      <c r="M53" s="131" t="str">
        <f>IF(分析!P86&lt;&gt;"",分析!P86,"")</f>
        <v/>
      </c>
      <c r="N53" s="137" t="str">
        <f>IF(分析!O86&lt;&gt;"",分析!O86,"")</f>
        <v/>
      </c>
      <c r="O53" s="138">
        <f>IF(分析!X86&lt;&gt;"",分析!X86,"")</f>
        <v>-1217.4144539661429</v>
      </c>
      <c r="P53" s="139" t="str">
        <f>IF(分析!L86&lt;&gt;"",分析!L86,"")</f>
        <v/>
      </c>
      <c r="Q53" s="136" t="str">
        <f>IF(分析!S86&lt;&gt;"",分析!S86,"")</f>
        <v/>
      </c>
      <c r="R53" s="136" t="str">
        <f>IF(分析!R86&lt;&gt;"",分析!R86,"")</f>
        <v/>
      </c>
      <c r="S53" s="131" t="str">
        <f>IF(分析!AA86&lt;&gt;"",分析!AA86,"")</f>
        <v/>
      </c>
      <c r="T53" s="140" t="str">
        <f>IF(分析!Z86&lt;&gt;"",分析!Z86,"")</f>
        <v/>
      </c>
      <c r="U53" s="131" t="str">
        <f>IF(分析!V86&lt;&gt;"",分析!V86,"")</f>
        <v/>
      </c>
      <c r="V53" s="141">
        <f>IF(分析!W86&lt;&gt;"",分析!W86,"")</f>
        <v>29.84524686809138</v>
      </c>
      <c r="W53" s="142" t="str">
        <f>IF(分析!AD86&lt;&gt;"",分析!AD86,"")</f>
        <v>パーフェクト▲</v>
      </c>
      <c r="X53" s="143" t="e">
        <f>IF(分析!AE86&lt;&gt;"",分析!AE86,"")</f>
        <v>#VALUE!</v>
      </c>
      <c r="Y53" s="144">
        <f>IF(分析!T86&lt;&gt;"",分析!T86,"")</f>
        <v>0</v>
      </c>
      <c r="Z53" s="145" t="e">
        <f>IF(分析!Y86&lt;&gt;"",分析!Y86,"")</f>
        <v>#VALUE!</v>
      </c>
    </row>
    <row r="54" spans="1:26" ht="21.9" customHeight="1">
      <c r="A54" s="131">
        <f>IF(分析!C130&lt;&gt;"",ROW()-2,"")</f>
        <v>52</v>
      </c>
      <c r="B54" s="132" t="str">
        <f>IF(分析!C130&lt;&gt;"",HYPERLINK("https://kabutan.jp/stock/?code="&amp;分析!C130,"株探"),"")</f>
        <v>株探</v>
      </c>
      <c r="C54" s="133">
        <f>IF(分析!C130&lt;&gt;"",分析!C130,"")</f>
        <v>5711</v>
      </c>
      <c r="D54" s="134" t="str">
        <f>IF(分析!D130&lt;&gt;"",分析!D130,"")</f>
        <v/>
      </c>
      <c r="E54" s="135" t="str">
        <f>IF(分析!E130&lt;&gt;"",分析!E130,"")</f>
        <v/>
      </c>
      <c r="F54" s="136" t="str">
        <f>IF(分析!F130&lt;&gt;"",分析!F130,"")</f>
        <v/>
      </c>
      <c r="G54" s="136" t="str">
        <f>IF(分析!H130&lt;&gt;"",分析!H130,"")</f>
        <v/>
      </c>
      <c r="H54" s="136" t="str">
        <f>IF(分析!I130&lt;&gt;"",分析!I130,"")</f>
        <v/>
      </c>
      <c r="I54" s="136" t="str">
        <f>IF(分析!J130&lt;&gt;"",分析!J130,"")</f>
        <v/>
      </c>
      <c r="J54" s="136">
        <f>IF(分析!AB130&lt;&gt;"",分析!AB130,"")</f>
        <v>7203.116089613035</v>
      </c>
      <c r="K54" s="136">
        <f>IF(分析!AC130&lt;&gt;"",分析!AC130,"")</f>
        <v>7065.2681764004737</v>
      </c>
      <c r="L54" s="136" t="str">
        <f>IF(分析!K130&lt;&gt;"",分析!K130,"")</f>
        <v/>
      </c>
      <c r="M54" s="131" t="str">
        <f>IF(分析!P130&lt;&gt;"",分析!P130,"")</f>
        <v/>
      </c>
      <c r="N54" s="137" t="str">
        <f>IF(分析!O130&lt;&gt;"",分析!O130,"")</f>
        <v/>
      </c>
      <c r="O54" s="138">
        <f>IF(分析!X130&lt;&gt;"",分析!X130,"")</f>
        <v>-66.569979183166652</v>
      </c>
      <c r="P54" s="139" t="str">
        <f>IF(分析!L130&lt;&gt;"",分析!L130,"")</f>
        <v/>
      </c>
      <c r="Q54" s="136" t="str">
        <f>IF(分析!S130&lt;&gt;"",分析!S130,"")</f>
        <v/>
      </c>
      <c r="R54" s="136" t="str">
        <f>IF(分析!R130&lt;&gt;"",分析!R130,"")</f>
        <v/>
      </c>
      <c r="S54" s="131" t="str">
        <f>IF(分析!AA130&lt;&gt;"",分析!AA130,"")</f>
        <v/>
      </c>
      <c r="T54" s="140" t="str">
        <f>IF(分析!Z130&lt;&gt;"",分析!Z130,"")</f>
        <v/>
      </c>
      <c r="U54" s="131" t="str">
        <f>IF(分析!V130&lt;&gt;"",分析!V130,"")</f>
        <v/>
      </c>
      <c r="V54" s="141">
        <f>IF(分析!W130&lt;&gt;"",分析!W130,"")</f>
        <v>43.715469613259664</v>
      </c>
      <c r="W54" s="142" t="str">
        <f>IF(分析!AD130&lt;&gt;"",分析!AD130,"")</f>
        <v>パーフェクト▲</v>
      </c>
      <c r="X54" s="143" t="e">
        <f>IF(分析!AE130&lt;&gt;"",分析!AE130,"")</f>
        <v>#VALUE!</v>
      </c>
      <c r="Y54" s="144">
        <f>IF(分析!T130&lt;&gt;"",分析!T130,"")</f>
        <v>0</v>
      </c>
      <c r="Z54" s="145" t="e">
        <f>IF(分析!Y130&lt;&gt;"",分析!Y130,"")</f>
        <v>#VALUE!</v>
      </c>
    </row>
    <row r="55" spans="1:26" ht="21.9" customHeight="1">
      <c r="A55" s="131">
        <f>IF(分析!C6&lt;&gt;"",ROW()-2,"")</f>
        <v>53</v>
      </c>
      <c r="B55" s="132" t="str">
        <f>IF(分析!C6&lt;&gt;"",HYPERLINK("https://kabutan.jp/stock/?code="&amp;分析!C6,"株探"),"")</f>
        <v>株探</v>
      </c>
      <c r="C55" s="133" t="str">
        <f>IF(分析!C6&lt;&gt;"",分析!C6,"")</f>
        <v>6485</v>
      </c>
      <c r="D55" s="134" t="str">
        <f>IF(分析!D6&lt;&gt;"",分析!D6,"")</f>
        <v/>
      </c>
      <c r="E55" s="135" t="str">
        <f>IF(分析!E6&lt;&gt;"",分析!E6,"")</f>
        <v/>
      </c>
      <c r="F55" s="136" t="str">
        <f>IF(分析!F6&lt;&gt;"",分析!F6,"")</f>
        <v/>
      </c>
      <c r="G55" s="136" t="str">
        <f>IF(分析!H6&lt;&gt;"",分析!H6,"")</f>
        <v/>
      </c>
      <c r="H55" s="136" t="str">
        <f>IF(分析!I6&lt;&gt;"",分析!I6,"")</f>
        <v/>
      </c>
      <c r="I55" s="136" t="str">
        <f>IF(分析!J6&lt;&gt;"",分析!J6,"")</f>
        <v/>
      </c>
      <c r="J55" s="136">
        <f>IF(分析!AB6&lt;&gt;"",分析!AB6,"")</f>
        <v>7157.755600814663</v>
      </c>
      <c r="K55" s="136">
        <f>IF(分析!AC6&lt;&gt;"",分析!AC6,"")</f>
        <v>7554.6376638855745</v>
      </c>
      <c r="L55" s="136" t="str">
        <f>IF(分析!K6&lt;&gt;"",分析!K6,"")</f>
        <v/>
      </c>
      <c r="M55" s="131" t="str">
        <f>IF(分析!P6&lt;&gt;"",分析!P6,"")</f>
        <v/>
      </c>
      <c r="N55" s="137" t="str">
        <f>IF(分析!O6&lt;&gt;"",分析!O6,"")</f>
        <v/>
      </c>
      <c r="O55" s="138">
        <f>IF(分析!X6&lt;&gt;"",分析!X6,"")</f>
        <v>11.304737719860668</v>
      </c>
      <c r="P55" s="139" t="str">
        <f>IF(分析!L6&lt;&gt;"",分析!L6,"")</f>
        <v/>
      </c>
      <c r="Q55" s="136" t="str">
        <f>IF(分析!S6&lt;&gt;"",分析!S6,"")</f>
        <v/>
      </c>
      <c r="R55" s="136" t="str">
        <f>IF(分析!R6&lt;&gt;"",分析!R6,"")</f>
        <v/>
      </c>
      <c r="S55" s="131" t="str">
        <f>IF(分析!AA6&lt;&gt;"",分析!AA6,"")</f>
        <v/>
      </c>
      <c r="T55" s="140" t="str">
        <f>IF(分析!Z6&lt;&gt;"",分析!Z6,"")</f>
        <v/>
      </c>
      <c r="U55" s="131" t="str">
        <f>IF(分析!V6&lt;&gt;"",分析!V6,"")</f>
        <v/>
      </c>
      <c r="V55" s="141">
        <f>IF(分析!W6&lt;&gt;"",分析!W6,"")</f>
        <v>68.783068783068785</v>
      </c>
      <c r="W55" s="142" t="str">
        <f>IF(分析!AD6&lt;&gt;"",分析!AD6,"")</f>
        <v>上昇トレンド▲</v>
      </c>
      <c r="X55" s="143" t="e">
        <f>IF(分析!AE6&lt;&gt;"",分析!AE6,"")</f>
        <v>#VALUE!</v>
      </c>
      <c r="Y55" s="144">
        <f>IF(分析!T6&lt;&gt;"",分析!T6,"")</f>
        <v>0</v>
      </c>
      <c r="Z55" s="145" t="e">
        <f>IF(分析!Y6&lt;&gt;"",分析!Y6,"")</f>
        <v>#VALUE!</v>
      </c>
    </row>
    <row r="56" spans="1:26" ht="21.9" customHeight="1">
      <c r="A56" s="131">
        <f>IF(分析!C100&lt;&gt;"",ROW()-2,"")</f>
        <v>54</v>
      </c>
      <c r="B56" s="132" t="str">
        <f>IF(分析!C100&lt;&gt;"",HYPERLINK("https://kabutan.jp/stock/?code="&amp;分析!C100,"株探"),"")</f>
        <v>株探</v>
      </c>
      <c r="C56" s="133">
        <f>IF(分析!C100&lt;&gt;"",分析!C100,"")</f>
        <v>6501</v>
      </c>
      <c r="D56" s="134" t="str">
        <f>IF(分析!D100&lt;&gt;"",分析!D100,"")</f>
        <v/>
      </c>
      <c r="E56" s="135" t="str">
        <f>IF(分析!E100&lt;&gt;"",分析!E100,"")</f>
        <v/>
      </c>
      <c r="F56" s="136" t="str">
        <f>IF(分析!F100&lt;&gt;"",分析!F100,"")</f>
        <v/>
      </c>
      <c r="G56" s="136" t="str">
        <f>IF(分析!H100&lt;&gt;"",分析!H100,"")</f>
        <v/>
      </c>
      <c r="H56" s="136" t="str">
        <f>IF(分析!I100&lt;&gt;"",分析!I100,"")</f>
        <v/>
      </c>
      <c r="I56" s="136" t="str">
        <f>IF(分析!J100&lt;&gt;"",分析!J100,"")</f>
        <v/>
      </c>
      <c r="J56" s="136">
        <f>IF(分析!AB100&lt;&gt;"",分析!AB100,"")</f>
        <v>2417.1267820773928</v>
      </c>
      <c r="K56" s="136">
        <f>IF(分析!AC100&lt;&gt;"",分析!AC100,"")</f>
        <v>4869.1400476758026</v>
      </c>
      <c r="L56" s="136" t="str">
        <f>IF(分析!K100&lt;&gt;"",分析!K100,"")</f>
        <v/>
      </c>
      <c r="M56" s="131" t="str">
        <f>IF(分析!P100&lt;&gt;"",分析!P100,"")</f>
        <v/>
      </c>
      <c r="N56" s="137" t="str">
        <f>IF(分析!O100&lt;&gt;"",分析!O100,"")</f>
        <v/>
      </c>
      <c r="O56" s="138">
        <f>IF(分析!X100&lt;&gt;"",分析!X100,"")</f>
        <v>11.914322617110884</v>
      </c>
      <c r="P56" s="139" t="str">
        <f>IF(分析!L100&lt;&gt;"",分析!L100,"")</f>
        <v/>
      </c>
      <c r="Q56" s="136" t="str">
        <f>IF(分析!S100&lt;&gt;"",分析!S100,"")</f>
        <v/>
      </c>
      <c r="R56" s="136" t="str">
        <f>IF(分析!R100&lt;&gt;"",分析!R100,"")</f>
        <v/>
      </c>
      <c r="S56" s="131" t="str">
        <f>IF(分析!AA100&lt;&gt;"",分析!AA100,"")</f>
        <v/>
      </c>
      <c r="T56" s="140" t="str">
        <f>IF(分析!Z100&lt;&gt;"",分析!Z100,"")</f>
        <v/>
      </c>
      <c r="U56" s="131" t="str">
        <f>IF(分析!V100&lt;&gt;"",分析!V100,"")</f>
        <v/>
      </c>
      <c r="V56" s="141">
        <f>IF(分析!W100&lt;&gt;"",分析!W100,"")</f>
        <v>66.047745358090182</v>
      </c>
      <c r="W56" s="142" t="str">
        <f>IF(分析!AD100&lt;&gt;"",分析!AD100,"")</f>
        <v>上昇トレンド▲</v>
      </c>
      <c r="X56" s="143" t="e">
        <f>IF(分析!AE100&lt;&gt;"",分析!AE100,"")</f>
        <v>#VALUE!</v>
      </c>
      <c r="Y56" s="144">
        <f>IF(分析!T100&lt;&gt;"",分析!T100,"")</f>
        <v>0</v>
      </c>
      <c r="Z56" s="145" t="e">
        <f>IF(分析!Y100&lt;&gt;"",分析!Y100,"")</f>
        <v>#VALUE!</v>
      </c>
    </row>
    <row r="57" spans="1:26" ht="21.9" customHeight="1">
      <c r="A57" s="146">
        <f>IF(分析!C113&lt;&gt;"",ROW()-2,"")</f>
        <v>55</v>
      </c>
      <c r="B57" s="147" t="str">
        <f>IF(分析!C113&lt;&gt;"",HYPERLINK("https://kabutan.jp/stock/?code="&amp;分析!C113,"株探"),"")</f>
        <v>株探</v>
      </c>
      <c r="C57" s="148">
        <f>IF(分析!C113&lt;&gt;"",分析!C113,"")</f>
        <v>6146</v>
      </c>
      <c r="D57" s="149" t="str">
        <f>IF(分析!D113&lt;&gt;"",分析!D113,"")</f>
        <v/>
      </c>
      <c r="E57" s="150" t="str">
        <f>IF(分析!E113&lt;&gt;"",分析!E113,"")</f>
        <v/>
      </c>
      <c r="F57" s="151" t="str">
        <f>IF(分析!F113&lt;&gt;"",分析!F113,"")</f>
        <v/>
      </c>
      <c r="G57" s="151" t="str">
        <f>IF(分析!H113&lt;&gt;"",分析!H113,"")</f>
        <v/>
      </c>
      <c r="H57" s="151" t="str">
        <f>IF(分析!I113&lt;&gt;"",分析!I113,"")</f>
        <v/>
      </c>
      <c r="I57" s="151" t="str">
        <f>IF(分析!J113&lt;&gt;"",分析!J113,"")</f>
        <v/>
      </c>
      <c r="J57" s="151">
        <f>IF(分析!AB113&lt;&gt;"",分析!AB113,"")</f>
        <v>6050.2118126272899</v>
      </c>
      <c r="K57" s="151">
        <f>IF(分析!AC113&lt;&gt;"",分析!AC113,"")</f>
        <v>6084.493444576874</v>
      </c>
      <c r="L57" s="151" t="str">
        <f>IF(分析!K113&lt;&gt;"",分析!K113,"")</f>
        <v/>
      </c>
      <c r="M57" s="146" t="str">
        <f>IF(分析!P113&lt;&gt;"",分析!P113,"")</f>
        <v/>
      </c>
      <c r="N57" s="152" t="str">
        <f>IF(分析!O113&lt;&gt;"",分析!O113,"")</f>
        <v/>
      </c>
      <c r="O57" s="153">
        <f>IF(分析!X113&lt;&gt;"",分析!X113,"")</f>
        <v>-1604.3127261292684</v>
      </c>
      <c r="P57" s="154" t="str">
        <f>IF(分析!L113&lt;&gt;"",分析!L113,"")</f>
        <v/>
      </c>
      <c r="Q57" s="151" t="str">
        <f>IF(分析!S113&lt;&gt;"",分析!S113,"")</f>
        <v/>
      </c>
      <c r="R57" s="151" t="str">
        <f>IF(分析!R113&lt;&gt;"",分析!R113,"")</f>
        <v/>
      </c>
      <c r="S57" s="146" t="str">
        <f>IF(分析!AA113&lt;&gt;"",分析!AA113,"")</f>
        <v/>
      </c>
      <c r="T57" s="155" t="str">
        <f>IF(分析!Z113&lt;&gt;"",分析!Z113,"")</f>
        <v/>
      </c>
      <c r="U57" s="146" t="str">
        <f>IF(分析!V113&lt;&gt;"",分析!V113,"")</f>
        <v/>
      </c>
      <c r="V57" s="156">
        <f>IF(分析!W113&lt;&gt;"",分析!W113,"")</f>
        <v>34.956395348837219</v>
      </c>
      <c r="W57" s="157" t="str">
        <f>IF(分析!AD113&lt;&gt;"",分析!AD113,"")</f>
        <v>上昇トレンド▲</v>
      </c>
      <c r="X57" s="158" t="e">
        <f>IF(分析!AE113&lt;&gt;"",分析!AE113,"")</f>
        <v>#VALUE!</v>
      </c>
      <c r="Y57" s="159">
        <f>IF(分析!T113&lt;&gt;"",分析!T113,"")</f>
        <v>0</v>
      </c>
      <c r="Z57" s="145" t="e">
        <f>IF(分析!Y113&lt;&gt;"",分析!Y113,"")</f>
        <v>#VALUE!</v>
      </c>
    </row>
    <row r="58" spans="1:26" ht="21.9" customHeight="1">
      <c r="A58" s="146">
        <f>IF(分析!C33&lt;&gt;"",ROW()-2,"")</f>
        <v>56</v>
      </c>
      <c r="B58" s="147" t="str">
        <f>IF(分析!C33&lt;&gt;"",HYPERLINK("https://kabutan.jp/stock/?code="&amp;分析!C33,"株探"),"")</f>
        <v>株探</v>
      </c>
      <c r="C58" s="148">
        <f>IF(分析!C33&lt;&gt;"",分析!C33,"")</f>
        <v>8801</v>
      </c>
      <c r="D58" s="149" t="str">
        <f>IF(分析!D33&lt;&gt;"",分析!D33,"")</f>
        <v/>
      </c>
      <c r="E58" s="150" t="str">
        <f>IF(分析!E33&lt;&gt;"",分析!E33,"")</f>
        <v/>
      </c>
      <c r="F58" s="151" t="str">
        <f>IF(分析!F33&lt;&gt;"",分析!F33,"")</f>
        <v/>
      </c>
      <c r="G58" s="151" t="str">
        <f>IF(分析!H33&lt;&gt;"",分析!H33,"")</f>
        <v/>
      </c>
      <c r="H58" s="151" t="str">
        <f>IF(分析!I33&lt;&gt;"",分析!I33,"")</f>
        <v/>
      </c>
      <c r="I58" s="151" t="str">
        <f>IF(分析!J33&lt;&gt;"",分析!J33,"")</f>
        <v/>
      </c>
      <c r="J58" s="151">
        <f>IF(分析!AB33&lt;&gt;"",分析!AB33,"")</f>
        <v>2314.2153767820773</v>
      </c>
      <c r="K58" s="151">
        <f>IF(分析!AC33&lt;&gt;"",分析!AC33,"")</f>
        <v>2252.2205005959472</v>
      </c>
      <c r="L58" s="151" t="str">
        <f>IF(分析!K33&lt;&gt;"",分析!K33,"")</f>
        <v/>
      </c>
      <c r="M58" s="146" t="str">
        <f>IF(分析!P33&lt;&gt;"",分析!P33,"")</f>
        <v/>
      </c>
      <c r="N58" s="152" t="str">
        <f>IF(分析!O33&lt;&gt;"",分析!O33,"")</f>
        <v/>
      </c>
      <c r="O58" s="153">
        <f>IF(分析!X33&lt;&gt;"",分析!X33,"")</f>
        <v>6.2471859464496902</v>
      </c>
      <c r="P58" s="154" t="str">
        <f>IF(分析!L33&lt;&gt;"",分析!L33,"")</f>
        <v/>
      </c>
      <c r="Q58" s="151" t="str">
        <f>IF(分析!S33&lt;&gt;"",分析!S33,"")</f>
        <v/>
      </c>
      <c r="R58" s="151" t="str">
        <f>IF(分析!R33&lt;&gt;"",分析!R33,"")</f>
        <v/>
      </c>
      <c r="S58" s="146" t="str">
        <f>IF(分析!AA33&lt;&gt;"",分析!AA33,"")</f>
        <v/>
      </c>
      <c r="T58" s="155" t="str">
        <f>IF(分析!Z33&lt;&gt;"",分析!Z33,"")</f>
        <v/>
      </c>
      <c r="U58" s="146" t="str">
        <f>IF(分析!V33&lt;&gt;"",分析!V33,"")</f>
        <v/>
      </c>
      <c r="V58" s="156">
        <f>IF(分析!W33&lt;&gt;"",分析!W33,"")</f>
        <v>65.73705179282868</v>
      </c>
      <c r="W58" s="157" t="str">
        <f>IF(分析!AD33&lt;&gt;"",分析!AD33,"")</f>
        <v>パーフェクト▲</v>
      </c>
      <c r="X58" s="158" t="e">
        <f>IF(分析!AE33&lt;&gt;"",分析!AE33,"")</f>
        <v>#VALUE!</v>
      </c>
      <c r="Y58" s="159">
        <f>IF(分析!T33&lt;&gt;"",分析!T33,"")</f>
        <v>0</v>
      </c>
      <c r="Z58" s="145" t="e">
        <f>IF(分析!Y33&lt;&gt;"",分析!Y33,"")</f>
        <v>#VALUE!</v>
      </c>
    </row>
    <row r="59" spans="1:26" ht="21.9" customHeight="1">
      <c r="A59" s="131">
        <f>IF(分析!C84&lt;&gt;"",ROW()-2,"")</f>
        <v>57</v>
      </c>
      <c r="B59" s="132" t="str">
        <f>IF(分析!C84&lt;&gt;"",HYPERLINK("https://kabutan.jp/stock/?code="&amp;分析!C84,"株探"),"")</f>
        <v>株探</v>
      </c>
      <c r="C59" s="133">
        <f>IF(分析!C84&lt;&gt;"",分析!C84,"")</f>
        <v>6841</v>
      </c>
      <c r="D59" s="134" t="str">
        <f>IF(分析!D84&lt;&gt;"",分析!D84,"")</f>
        <v/>
      </c>
      <c r="E59" s="135" t="str">
        <f>IF(分析!E84&lt;&gt;"",分析!E84,"")</f>
        <v/>
      </c>
      <c r="F59" s="136" t="str">
        <f>IF(分析!F84&lt;&gt;"",分析!F84,"")</f>
        <v/>
      </c>
      <c r="G59" s="136" t="str">
        <f>IF(分析!H84&lt;&gt;"",分析!H84,"")</f>
        <v/>
      </c>
      <c r="H59" s="136" t="str">
        <f>IF(分析!I84&lt;&gt;"",分析!I84,"")</f>
        <v/>
      </c>
      <c r="I59" s="136" t="str">
        <f>IF(分析!J84&lt;&gt;"",分析!J84,"")</f>
        <v/>
      </c>
      <c r="J59" s="136">
        <f>IF(分析!AB84&lt;&gt;"",分析!AB84,"")</f>
        <v>2284.3859470468424</v>
      </c>
      <c r="K59" s="136">
        <f>IF(分析!AC84&lt;&gt;"",分析!AC84,"")</f>
        <v>2423.6674612634083</v>
      </c>
      <c r="L59" s="136" t="str">
        <f>IF(分析!K84&lt;&gt;"",分析!K84,"")</f>
        <v/>
      </c>
      <c r="M59" s="131" t="str">
        <f>IF(分析!P84&lt;&gt;"",分析!P84,"")</f>
        <v/>
      </c>
      <c r="N59" s="137" t="str">
        <f>IF(分析!O84&lt;&gt;"",分析!O84,"")</f>
        <v/>
      </c>
      <c r="O59" s="138">
        <f>IF(分析!X84&lt;&gt;"",分析!X84,"")</f>
        <v>18.530459044975032</v>
      </c>
      <c r="P59" s="139" t="str">
        <f>IF(分析!L84&lt;&gt;"",分析!L84,"")</f>
        <v/>
      </c>
      <c r="Q59" s="136" t="str">
        <f>IF(分析!S84&lt;&gt;"",分析!S84,"")</f>
        <v/>
      </c>
      <c r="R59" s="136" t="str">
        <f>IF(分析!R84&lt;&gt;"",分析!R84,"")</f>
        <v/>
      </c>
      <c r="S59" s="131" t="str">
        <f>IF(分析!AA84&lt;&gt;"",分析!AA84,"")</f>
        <v/>
      </c>
      <c r="T59" s="140" t="str">
        <f>IF(分析!Z84&lt;&gt;"",分析!Z84,"")</f>
        <v/>
      </c>
      <c r="U59" s="131" t="str">
        <f>IF(分析!V84&lt;&gt;"",分析!V84,"")</f>
        <v/>
      </c>
      <c r="V59" s="141">
        <f>IF(分析!W84&lt;&gt;"",分析!W84,"")</f>
        <v>50.790067720090292</v>
      </c>
      <c r="W59" s="142" t="str">
        <f>IF(分析!AD84&lt;&gt;"",分析!AD84,"")</f>
        <v>上昇トレンド▲</v>
      </c>
      <c r="X59" s="143" t="e">
        <f>IF(分析!AE84&lt;&gt;"",分析!AE84,"")</f>
        <v>#VALUE!</v>
      </c>
      <c r="Y59" s="144">
        <f>IF(分析!T84&lt;&gt;"",分析!T84,"")</f>
        <v>0</v>
      </c>
      <c r="Z59" s="145" t="e">
        <f>IF(分析!Y84&lt;&gt;"",分析!Y84,"")</f>
        <v>#VALUE!</v>
      </c>
    </row>
    <row r="60" spans="1:26" ht="21.9" customHeight="1">
      <c r="A60" s="131">
        <f>IF(分析!C42&lt;&gt;"",ROW()-2,"")</f>
        <v>58</v>
      </c>
      <c r="B60" s="132" t="str">
        <f>IF(分析!C42&lt;&gt;"",HYPERLINK("https://kabutan.jp/stock/?code="&amp;分析!C42,"株探"),"")</f>
        <v>株探</v>
      </c>
      <c r="C60" s="133">
        <f>IF(分析!C42&lt;&gt;"",分析!C42,"")</f>
        <v>8593</v>
      </c>
      <c r="D60" s="134" t="str">
        <f>IF(分析!D42&lt;&gt;"",分析!D42,"")</f>
        <v/>
      </c>
      <c r="E60" s="135" t="str">
        <f>IF(分析!E42&lt;&gt;"",分析!E42,"")</f>
        <v/>
      </c>
      <c r="F60" s="136" t="str">
        <f>IF(分析!F42&lt;&gt;"",分析!F42,"")</f>
        <v/>
      </c>
      <c r="G60" s="136" t="str">
        <f>IF(分析!H42&lt;&gt;"",分析!H42,"")</f>
        <v/>
      </c>
      <c r="H60" s="136" t="str">
        <f>IF(分析!I42&lt;&gt;"",分析!I42,"")</f>
        <v/>
      </c>
      <c r="I60" s="136" t="str">
        <f>IF(分析!J42&lt;&gt;"",分析!J42,"")</f>
        <v/>
      </c>
      <c r="J60" s="136">
        <f>IF(分析!AB42&lt;&gt;"",分析!AB42,"")</f>
        <v>1154.3615071283093</v>
      </c>
      <c r="K60" s="136">
        <f>IF(分析!AC42&lt;&gt;"",分析!AC42,"")</f>
        <v>1150.6108462455297</v>
      </c>
      <c r="L60" s="136" t="str">
        <f>IF(分析!K42&lt;&gt;"",分析!K42,"")</f>
        <v/>
      </c>
      <c r="M60" s="131" t="str">
        <f>IF(分析!P42&lt;&gt;"",分析!P42,"")</f>
        <v/>
      </c>
      <c r="N60" s="137" t="str">
        <f>IF(分析!O42&lt;&gt;"",分析!O42,"")</f>
        <v/>
      </c>
      <c r="O60" s="138">
        <f>IF(分析!X42&lt;&gt;"",分析!X42,"")</f>
        <v>12.128388705575844</v>
      </c>
      <c r="P60" s="139" t="str">
        <f>IF(分析!L42&lt;&gt;"",分析!L42,"")</f>
        <v/>
      </c>
      <c r="Q60" s="136" t="str">
        <f>IF(分析!S42&lt;&gt;"",分析!S42,"")</f>
        <v/>
      </c>
      <c r="R60" s="136" t="str">
        <f>IF(分析!R42&lt;&gt;"",分析!R42,"")</f>
        <v/>
      </c>
      <c r="S60" s="131" t="str">
        <f>IF(分析!AA42&lt;&gt;"",分析!AA42,"")</f>
        <v/>
      </c>
      <c r="T60" s="140" t="str">
        <f>IF(分析!Z42&lt;&gt;"",分析!Z42,"")</f>
        <v/>
      </c>
      <c r="U60" s="131" t="str">
        <f>IF(分析!V42&lt;&gt;"",分析!V42,"")</f>
        <v/>
      </c>
      <c r="V60" s="141">
        <f>IF(分析!W42&lt;&gt;"",分析!W42,"")</f>
        <v>81.76638176638177</v>
      </c>
      <c r="W60" s="142" t="str">
        <f>IF(分析!AD42&lt;&gt;"",分析!AD42,"")</f>
        <v>パーフェクト▲</v>
      </c>
      <c r="X60" s="143" t="e">
        <f>IF(分析!AE42&lt;&gt;"",分析!AE42,"")</f>
        <v>#VALUE!</v>
      </c>
      <c r="Y60" s="144">
        <f>IF(分析!T42&lt;&gt;"",分析!T42,"")</f>
        <v>0</v>
      </c>
      <c r="Z60" s="145" t="e">
        <f>IF(分析!Y42&lt;&gt;"",分析!Y42,"")</f>
        <v>#VALUE!</v>
      </c>
    </row>
    <row r="61" spans="1:26" ht="21.9" customHeight="1">
      <c r="A61" s="146">
        <f>IF(分析!C197&lt;&gt;"",ROW()-2,"")</f>
        <v>59</v>
      </c>
      <c r="B61" s="147" t="str">
        <f>IF(分析!C197&lt;&gt;"",HYPERLINK("https://kabutan.jp/stock/?code="&amp;分析!C197,"株探"),"")</f>
        <v>株探</v>
      </c>
      <c r="C61" s="148">
        <f>IF(分析!C197&lt;&gt;"",分析!C197,"")</f>
        <v>1963</v>
      </c>
      <c r="D61" s="149" t="str">
        <f>IF(分析!D197&lt;&gt;"",分析!D197,"")</f>
        <v/>
      </c>
      <c r="E61" s="150" t="str">
        <f>IF(分析!E197&lt;&gt;"",分析!E197,"")</f>
        <v/>
      </c>
      <c r="F61" s="151" t="str">
        <f>IF(分析!F197&lt;&gt;"",分析!F197,"")</f>
        <v/>
      </c>
      <c r="G61" s="151" t="str">
        <f>IF(分析!H197&lt;&gt;"",分析!H197,"")</f>
        <v/>
      </c>
      <c r="H61" s="151" t="str">
        <f>IF(分析!I197&lt;&gt;"",分析!I197,"")</f>
        <v/>
      </c>
      <c r="I61" s="151" t="str">
        <f>IF(分析!J197&lt;&gt;"",分析!J197,"")</f>
        <v/>
      </c>
      <c r="J61" s="151">
        <f>IF(分析!AB197&lt;&gt;"",分析!AB197,"")</f>
        <v>44878.21792260692</v>
      </c>
      <c r="K61" s="151">
        <f>IF(分析!AC197&lt;&gt;"",分析!AC197,"")</f>
        <v>46931.179976162071</v>
      </c>
      <c r="L61" s="151" t="str">
        <f>IF(分析!K197&lt;&gt;"",分析!K197,"")</f>
        <v/>
      </c>
      <c r="M61" s="146" t="str">
        <f>IF(分析!P197&lt;&gt;"",分析!P197,"")</f>
        <v/>
      </c>
      <c r="N61" s="152" t="str">
        <f>IF(分析!O197&lt;&gt;"",分析!O197,"")</f>
        <v/>
      </c>
      <c r="O61" s="153">
        <f>IF(分析!X197&lt;&gt;"",分析!X197,"")</f>
        <v>-43.085318163182365</v>
      </c>
      <c r="P61" s="154" t="str">
        <f>IF(分析!L197&lt;&gt;"",分析!L197,"")</f>
        <v/>
      </c>
      <c r="Q61" s="151" t="str">
        <f>IF(分析!S197&lt;&gt;"",分析!S197,"")</f>
        <v/>
      </c>
      <c r="R61" s="151" t="str">
        <f>IF(分析!R197&lt;&gt;"",分析!R197,"")</f>
        <v/>
      </c>
      <c r="S61" s="146" t="str">
        <f>IF(分析!AA197&lt;&gt;"",分析!AA197,"")</f>
        <v/>
      </c>
      <c r="T61" s="155" t="str">
        <f>IF(分析!Z197&lt;&gt;"",分析!Z197,"")</f>
        <v/>
      </c>
      <c r="U61" s="146" t="str">
        <f>IF(分析!V197&lt;&gt;"",分析!V197,"")</f>
        <v/>
      </c>
      <c r="V61" s="156">
        <f>IF(分析!W197&lt;&gt;"",分析!W197,"")</f>
        <v>27.195767195767189</v>
      </c>
      <c r="W61" s="157" t="str">
        <f>IF(分析!AD197&lt;&gt;"",分析!AD197,"")</f>
        <v>上昇トレンド▲</v>
      </c>
      <c r="X61" s="158" t="e">
        <f>IF(分析!AE197&lt;&gt;"",分析!AE197,"")</f>
        <v>#VALUE!</v>
      </c>
      <c r="Y61" s="159">
        <f>IF(分析!T197&lt;&gt;"",分析!T197,"")</f>
        <v>0</v>
      </c>
      <c r="Z61" s="145" t="e">
        <f>IF(分析!Y197&lt;&gt;"",分析!Y197,"")</f>
        <v>#VALUE!</v>
      </c>
    </row>
    <row r="62" spans="1:26" ht="21.9" customHeight="1">
      <c r="A62" s="131">
        <f>IF(分析!C76&lt;&gt;"",ROW()-2,"")</f>
        <v>60</v>
      </c>
      <c r="B62" s="132" t="str">
        <f>IF(分析!C76&lt;&gt;"",HYPERLINK("https://kabutan.jp/stock/?code="&amp;分析!C76,"株探"),"")</f>
        <v>株探</v>
      </c>
      <c r="C62" s="133">
        <f>IF(分析!C76&lt;&gt;"",分析!C76,"")</f>
        <v>7021</v>
      </c>
      <c r="D62" s="134" t="str">
        <f>IF(分析!D76&lt;&gt;"",分析!D76,"")</f>
        <v/>
      </c>
      <c r="E62" s="135" t="str">
        <f>IF(分析!E76&lt;&gt;"",分析!E76,"")</f>
        <v/>
      </c>
      <c r="F62" s="136" t="str">
        <f>IF(分析!F76&lt;&gt;"",分析!F76,"")</f>
        <v/>
      </c>
      <c r="G62" s="136" t="str">
        <f>IF(分析!H76&lt;&gt;"",分析!H76,"")</f>
        <v/>
      </c>
      <c r="H62" s="136" t="str">
        <f>IF(分析!I76&lt;&gt;"",分析!I76,"")</f>
        <v/>
      </c>
      <c r="I62" s="136" t="str">
        <f>IF(分析!J76&lt;&gt;"",分析!J76,"")</f>
        <v/>
      </c>
      <c r="J62" s="136">
        <f>IF(分析!AB76&lt;&gt;"",分析!AB76,"")</f>
        <v>6862.0193482688383</v>
      </c>
      <c r="K62" s="136">
        <f>IF(分析!AC76&lt;&gt;"",分析!AC76,"")</f>
        <v>7093.7365911799752</v>
      </c>
      <c r="L62" s="136" t="str">
        <f>IF(分析!K76&lt;&gt;"",分析!K76,"")</f>
        <v/>
      </c>
      <c r="M62" s="131" t="str">
        <f>IF(分析!P76&lt;&gt;"",分析!P76,"")</f>
        <v/>
      </c>
      <c r="N62" s="137" t="str">
        <f>IF(分析!O76&lt;&gt;"",分析!O76,"")</f>
        <v/>
      </c>
      <c r="O62" s="138">
        <f>IF(分析!X76&lt;&gt;"",分析!X76,"")</f>
        <v>8.6543788981805392</v>
      </c>
      <c r="P62" s="139" t="str">
        <f>IF(分析!L76&lt;&gt;"",分析!L76,"")</f>
        <v/>
      </c>
      <c r="Q62" s="136" t="str">
        <f>IF(分析!S76&lt;&gt;"",分析!S76,"")</f>
        <v/>
      </c>
      <c r="R62" s="136" t="str">
        <f>IF(分析!R76&lt;&gt;"",分析!R76,"")</f>
        <v/>
      </c>
      <c r="S62" s="131" t="str">
        <f>IF(分析!AA76&lt;&gt;"",分析!AA76,"")</f>
        <v/>
      </c>
      <c r="T62" s="140" t="str">
        <f>IF(分析!Z76&lt;&gt;"",分析!Z76,"")</f>
        <v/>
      </c>
      <c r="U62" s="131" t="str">
        <f>IF(分析!V76&lt;&gt;"",分析!V76,"")</f>
        <v/>
      </c>
      <c r="V62" s="141">
        <f>IF(分析!W76&lt;&gt;"",分析!W76,"")</f>
        <v>65.895953757225442</v>
      </c>
      <c r="W62" s="142" t="str">
        <f>IF(分析!AD76&lt;&gt;"",分析!AD76,"")</f>
        <v>上昇トレンド▲</v>
      </c>
      <c r="X62" s="143" t="e">
        <f>IF(分析!AE76&lt;&gt;"",分析!AE76,"")</f>
        <v>#VALUE!</v>
      </c>
      <c r="Y62" s="144">
        <f>IF(分析!T76&lt;&gt;"",分析!T76,"")</f>
        <v>0</v>
      </c>
      <c r="Z62" s="145" t="e">
        <f>IF(分析!Y76&lt;&gt;"",分析!Y76,"")</f>
        <v>#VALUE!</v>
      </c>
    </row>
    <row r="63" spans="1:26" ht="21.9" customHeight="1">
      <c r="A63" s="146">
        <f>IF(分析!C73&lt;&gt;"",ROW()-2,"")</f>
        <v>61</v>
      </c>
      <c r="B63" s="147" t="str">
        <f>IF(分析!C73&lt;&gt;"",HYPERLINK("https://kabutan.jp/stock/?code="&amp;分析!C73,"株探"),"")</f>
        <v>株探</v>
      </c>
      <c r="C63" s="148">
        <f>IF(分析!C73&lt;&gt;"",分析!C73,"")</f>
        <v>7203</v>
      </c>
      <c r="D63" s="149" t="str">
        <f>IF(分析!D73&lt;&gt;"",分析!D73,"")</f>
        <v/>
      </c>
      <c r="E63" s="150" t="str">
        <f>IF(分析!E73&lt;&gt;"",分析!E73,"")</f>
        <v/>
      </c>
      <c r="F63" s="151" t="str">
        <f>IF(分析!F73&lt;&gt;"",分析!F73,"")</f>
        <v/>
      </c>
      <c r="G63" s="151" t="str">
        <f>IF(分析!H73&lt;&gt;"",分析!H73,"")</f>
        <v/>
      </c>
      <c r="H63" s="151" t="str">
        <f>IF(分析!I73&lt;&gt;"",分析!I73,"")</f>
        <v/>
      </c>
      <c r="I63" s="151" t="str">
        <f>IF(分析!J73&lt;&gt;"",分析!J73,"")</f>
        <v/>
      </c>
      <c r="J63" s="151">
        <f>IF(分析!AB73&lt;&gt;"",分析!AB73,"")</f>
        <v>1782.7403258655802</v>
      </c>
      <c r="K63" s="151">
        <f>IF(分析!AC73&lt;&gt;"",分析!AC73,"")</f>
        <v>2539.1877234803333</v>
      </c>
      <c r="L63" s="151" t="str">
        <f>IF(分析!K73&lt;&gt;"",分析!K73,"")</f>
        <v/>
      </c>
      <c r="M63" s="146" t="str">
        <f>IF(分析!P73&lt;&gt;"",分析!P73,"")</f>
        <v/>
      </c>
      <c r="N63" s="152" t="str">
        <f>IF(分析!O73&lt;&gt;"",分析!O73,"")</f>
        <v/>
      </c>
      <c r="O63" s="153">
        <f>IF(分析!X73&lt;&gt;"",分析!X73,"")</f>
        <v>17.896102913958657</v>
      </c>
      <c r="P63" s="154" t="str">
        <f>IF(分析!L73&lt;&gt;"",分析!L73,"")</f>
        <v/>
      </c>
      <c r="Q63" s="151" t="str">
        <f>IF(分析!S73&lt;&gt;"",分析!S73,"")</f>
        <v/>
      </c>
      <c r="R63" s="151" t="str">
        <f>IF(分析!R73&lt;&gt;"",分析!R73,"")</f>
        <v/>
      </c>
      <c r="S63" s="146" t="str">
        <f>IF(分析!AA73&lt;&gt;"",分析!AA73,"")</f>
        <v/>
      </c>
      <c r="T63" s="155" t="str">
        <f>IF(分析!Z73&lt;&gt;"",分析!Z73,"")</f>
        <v/>
      </c>
      <c r="U63" s="146" t="str">
        <f>IF(分析!V73&lt;&gt;"",分析!V73,"")</f>
        <v/>
      </c>
      <c r="V63" s="156">
        <f>IF(分析!W73&lt;&gt;"",分析!W73,"")</f>
        <v>61.139896373056992</v>
      </c>
      <c r="W63" s="157" t="str">
        <f>IF(分析!AD73&lt;&gt;"",分析!AD73,"")</f>
        <v>上昇トレンド▲</v>
      </c>
      <c r="X63" s="158" t="e">
        <f>IF(分析!AE73&lt;&gt;"",分析!AE73,"")</f>
        <v>#VALUE!</v>
      </c>
      <c r="Y63" s="159">
        <f>IF(分析!T73&lt;&gt;"",分析!T73,"")</f>
        <v>0</v>
      </c>
      <c r="Z63" s="145" t="e">
        <f>IF(分析!Y73&lt;&gt;"",分析!Y73,"")</f>
        <v>#VALUE!</v>
      </c>
    </row>
    <row r="64" spans="1:26" ht="21.9" customHeight="1">
      <c r="A64" s="146">
        <f>IF(分析!C137&lt;&gt;"",ROW()-2,"")</f>
        <v>62</v>
      </c>
      <c r="B64" s="147" t="str">
        <f>IF(分析!C137&lt;&gt;"",HYPERLINK("https://kabutan.jp/stock/?code="&amp;分析!C137,"株探"),"")</f>
        <v>株探</v>
      </c>
      <c r="C64" s="148">
        <f>IF(分析!C137&lt;&gt;"",分析!C137,"")</f>
        <v>5411</v>
      </c>
      <c r="D64" s="149" t="str">
        <f>IF(分析!D137&lt;&gt;"",分析!D137,"")</f>
        <v/>
      </c>
      <c r="E64" s="150" t="str">
        <f>IF(分析!E137&lt;&gt;"",分析!E137,"")</f>
        <v/>
      </c>
      <c r="F64" s="151" t="str">
        <f>IF(分析!F137&lt;&gt;"",分析!F137,"")</f>
        <v/>
      </c>
      <c r="G64" s="151" t="str">
        <f>IF(分析!H137&lt;&gt;"",分析!H137,"")</f>
        <v/>
      </c>
      <c r="H64" s="151" t="str">
        <f>IF(分析!I137&lt;&gt;"",分析!I137,"")</f>
        <v/>
      </c>
      <c r="I64" s="151" t="str">
        <f>IF(分析!J137&lt;&gt;"",分析!J137,"")</f>
        <v/>
      </c>
      <c r="J64" s="151">
        <f>IF(分析!AB137&lt;&gt;"",分析!AB137,"")</f>
        <v>544.38594704684306</v>
      </c>
      <c r="K64" s="151">
        <f>IF(分析!AC137&lt;&gt;"",分析!AC137,"")</f>
        <v>573.97497020262188</v>
      </c>
      <c r="L64" s="151" t="str">
        <f>IF(分析!K137&lt;&gt;"",分析!K137,"")</f>
        <v/>
      </c>
      <c r="M64" s="146" t="str">
        <f>IF(分析!P137&lt;&gt;"",分析!P137,"")</f>
        <v/>
      </c>
      <c r="N64" s="152" t="str">
        <f>IF(分析!O137&lt;&gt;"",分析!O137,"")</f>
        <v/>
      </c>
      <c r="O64" s="153">
        <f>IF(分析!X137&lt;&gt;"",分析!X137,"")</f>
        <v>12.004216104984607</v>
      </c>
      <c r="P64" s="154" t="str">
        <f>IF(分析!L137&lt;&gt;"",分析!L137,"")</f>
        <v/>
      </c>
      <c r="Q64" s="151" t="str">
        <f>IF(分析!S137&lt;&gt;"",分析!S137,"")</f>
        <v/>
      </c>
      <c r="R64" s="151" t="str">
        <f>IF(分析!R137&lt;&gt;"",分析!R137,"")</f>
        <v/>
      </c>
      <c r="S64" s="146" t="str">
        <f>IF(分析!AA137&lt;&gt;"",分析!AA137,"")</f>
        <v/>
      </c>
      <c r="T64" s="155" t="str">
        <f>IF(分析!Z137&lt;&gt;"",分析!Z137,"")</f>
        <v/>
      </c>
      <c r="U64" s="146" t="str">
        <f>IF(分析!V137&lt;&gt;"",分析!V137,"")</f>
        <v/>
      </c>
      <c r="V64" s="156">
        <f>IF(分析!W137&lt;&gt;"",分析!W137,"")</f>
        <v>79.820627802690581</v>
      </c>
      <c r="W64" s="157" t="str">
        <f>IF(分析!AD137&lt;&gt;"",分析!AD137,"")</f>
        <v>上昇トレンド▲</v>
      </c>
      <c r="X64" s="158" t="e">
        <f>IF(分析!AE137&lt;&gt;"",分析!AE137,"")</f>
        <v>#VALUE!</v>
      </c>
      <c r="Y64" s="159">
        <f>IF(分析!T137&lt;&gt;"",分析!T137,"")</f>
        <v>0</v>
      </c>
      <c r="Z64" s="145" t="e">
        <f>IF(分析!Y137&lt;&gt;"",分析!Y137,"")</f>
        <v>#VALUE!</v>
      </c>
    </row>
    <row r="65" spans="1:26" ht="21.9" customHeight="1">
      <c r="A65" s="131">
        <f>IF(分析!C144&lt;&gt;"",ROW()-2,"")</f>
        <v>63</v>
      </c>
      <c r="B65" s="132" t="str">
        <f>IF(分析!C144&lt;&gt;"",HYPERLINK("https://kabutan.jp/stock/?code="&amp;分析!C144,"株探"),"")</f>
        <v>株探</v>
      </c>
      <c r="C65" s="133">
        <f>IF(分析!C144&lt;&gt;"",分析!C144,"")</f>
        <v>5233</v>
      </c>
      <c r="D65" s="134" t="str">
        <f>IF(分析!D144&lt;&gt;"",分析!D144,"")</f>
        <v/>
      </c>
      <c r="E65" s="135" t="str">
        <f>IF(分析!E144&lt;&gt;"",分析!E144,"")</f>
        <v/>
      </c>
      <c r="F65" s="136" t="str">
        <f>IF(分析!F144&lt;&gt;"",分析!F144,"")</f>
        <v/>
      </c>
      <c r="G65" s="136" t="str">
        <f>IF(分析!H144&lt;&gt;"",分析!H144,"")</f>
        <v/>
      </c>
      <c r="H65" s="136" t="str">
        <f>IF(分析!I144&lt;&gt;"",分析!I144,"")</f>
        <v/>
      </c>
      <c r="I65" s="136" t="str">
        <f>IF(分析!J144&lt;&gt;"",分析!J144,"")</f>
        <v/>
      </c>
      <c r="J65" s="136">
        <f>IF(分析!AB144&lt;&gt;"",分析!AB144,"")</f>
        <v>318.58961303462314</v>
      </c>
      <c r="K65" s="136">
        <f>IF(分析!AC144&lt;&gt;"",分析!AC144,"")</f>
        <v>316.83075089392128</v>
      </c>
      <c r="L65" s="136" t="str">
        <f>IF(分析!K144&lt;&gt;"",分析!K144,"")</f>
        <v/>
      </c>
      <c r="M65" s="131" t="str">
        <f>IF(分析!P144&lt;&gt;"",分析!P144,"")</f>
        <v/>
      </c>
      <c r="N65" s="137" t="str">
        <f>IF(分析!O144&lt;&gt;"",分析!O144,"")</f>
        <v/>
      </c>
      <c r="O65" s="138">
        <f>IF(分析!X144&lt;&gt;"",分析!X144,"")</f>
        <v>-32.386605980758304</v>
      </c>
      <c r="P65" s="139" t="str">
        <f>IF(分析!L144&lt;&gt;"",分析!L144,"")</f>
        <v/>
      </c>
      <c r="Q65" s="136" t="str">
        <f>IF(分析!S144&lt;&gt;"",分析!S144,"")</f>
        <v/>
      </c>
      <c r="R65" s="136" t="str">
        <f>IF(分析!R144&lt;&gt;"",分析!R144,"")</f>
        <v/>
      </c>
      <c r="S65" s="131" t="str">
        <f>IF(分析!AA144&lt;&gt;"",分析!AA144,"")</f>
        <v/>
      </c>
      <c r="T65" s="140" t="str">
        <f>IF(分析!Z144&lt;&gt;"",分析!Z144,"")</f>
        <v/>
      </c>
      <c r="U65" s="131" t="str">
        <f>IF(分析!V144&lt;&gt;"",分析!V144,"")</f>
        <v/>
      </c>
      <c r="V65" s="141">
        <f>IF(分析!W144&lt;&gt;"",分析!W144,"")</f>
        <v>44.026548672566371</v>
      </c>
      <c r="W65" s="142" t="str">
        <f>IF(分析!AD144&lt;&gt;"",分析!AD144,"")</f>
        <v>パーフェクト▲</v>
      </c>
      <c r="X65" s="143" t="e">
        <f>IF(分析!AE144&lt;&gt;"",分析!AE144,"")</f>
        <v>#VALUE!</v>
      </c>
      <c r="Y65" s="144">
        <f>IF(分析!T144&lt;&gt;"",分析!T144,"")</f>
        <v>0</v>
      </c>
      <c r="Z65" s="145" t="e">
        <f>IF(分析!Y144&lt;&gt;"",分析!Y144,"")</f>
        <v>#VALUE!</v>
      </c>
    </row>
    <row r="66" spans="1:26" ht="21.9" customHeight="1">
      <c r="A66" s="131">
        <f>IF(分析!C80&lt;&gt;"",ROW()-2,"")</f>
        <v>64</v>
      </c>
      <c r="B66" s="132" t="str">
        <f>IF(分析!C80&lt;&gt;"",HYPERLINK("https://kabutan.jp/stock/?code="&amp;分析!C80,"株探"),"")</f>
        <v>株探</v>
      </c>
      <c r="C66" s="133">
        <f>IF(分析!C80&lt;&gt;"",分析!C80,"")</f>
        <v>6925</v>
      </c>
      <c r="D66" s="134" t="str">
        <f>IF(分析!D80&lt;&gt;"",分析!D80,"")</f>
        <v/>
      </c>
      <c r="E66" s="135" t="str">
        <f>IF(分析!E80&lt;&gt;"",分析!E80,"")</f>
        <v/>
      </c>
      <c r="F66" s="136" t="str">
        <f>IF(分析!F80&lt;&gt;"",分析!F80,"")</f>
        <v/>
      </c>
      <c r="G66" s="136" t="str">
        <f>IF(分析!H80&lt;&gt;"",分析!H80,"")</f>
        <v/>
      </c>
      <c r="H66" s="136" t="str">
        <f>IF(分析!I80&lt;&gt;"",分析!I80,"")</f>
        <v/>
      </c>
      <c r="I66" s="136" t="str">
        <f>IF(分析!J80&lt;&gt;"",分析!J80,"")</f>
        <v/>
      </c>
      <c r="J66" s="136">
        <f>IF(分析!AB80&lt;&gt;"",分析!AB80,"")</f>
        <v>1496.6089613034619</v>
      </c>
      <c r="K66" s="136">
        <f>IF(分析!AC80&lt;&gt;"",分析!AC80,"")</f>
        <v>1476.6531585220496</v>
      </c>
      <c r="L66" s="136" t="str">
        <f>IF(分析!K80&lt;&gt;"",分析!K80,"")</f>
        <v/>
      </c>
      <c r="M66" s="131" t="str">
        <f>IF(分析!P80&lt;&gt;"",分析!P80,"")</f>
        <v/>
      </c>
      <c r="N66" s="137" t="str">
        <f>IF(分析!O80&lt;&gt;"",分析!O80,"")</f>
        <v/>
      </c>
      <c r="O66" s="138">
        <f>IF(分析!X80&lt;&gt;"",分析!X80,"")</f>
        <v>-33.461303778473848</v>
      </c>
      <c r="P66" s="139" t="str">
        <f>IF(分析!L80&lt;&gt;"",分析!L80,"")</f>
        <v/>
      </c>
      <c r="Q66" s="136" t="str">
        <f>IF(分析!S80&lt;&gt;"",分析!S80,"")</f>
        <v/>
      </c>
      <c r="R66" s="136" t="str">
        <f>IF(分析!R80&lt;&gt;"",分析!R80,"")</f>
        <v/>
      </c>
      <c r="S66" s="131" t="str">
        <f>IF(分析!AA80&lt;&gt;"",分析!AA80,"")</f>
        <v/>
      </c>
      <c r="T66" s="140" t="str">
        <f>IF(分析!Z80&lt;&gt;"",分析!Z80,"")</f>
        <v/>
      </c>
      <c r="U66" s="131" t="str">
        <f>IF(分析!V80&lt;&gt;"",分析!V80,"")</f>
        <v/>
      </c>
      <c r="V66" s="141">
        <f>IF(分析!W80&lt;&gt;"",分析!W80,"")</f>
        <v>43.472022955523677</v>
      </c>
      <c r="W66" s="142" t="str">
        <f>IF(分析!AD80&lt;&gt;"",分析!AD80,"")</f>
        <v>パーフェクト▲</v>
      </c>
      <c r="X66" s="143" t="e">
        <f>IF(分析!AE80&lt;&gt;"",分析!AE80,"")</f>
        <v>#VALUE!</v>
      </c>
      <c r="Y66" s="144">
        <f>IF(分析!T80&lt;&gt;"",分析!T80,"")</f>
        <v>0</v>
      </c>
      <c r="Z66" s="145" t="e">
        <f>IF(分析!Y80&lt;&gt;"",分析!Y80,"")</f>
        <v>#VALUE!</v>
      </c>
    </row>
    <row r="67" spans="1:26" ht="21.9" customHeight="1">
      <c r="A67" s="131">
        <f>IF(分析!C116&lt;&gt;"",ROW()-2,"")</f>
        <v>65</v>
      </c>
      <c r="B67" s="132" t="str">
        <f>IF(分析!C116&lt;&gt;"",HYPERLINK("https://kabutan.jp/stock/?code="&amp;分析!C116,"株探"),"")</f>
        <v>株探</v>
      </c>
      <c r="C67" s="133">
        <f>IF(分析!C116&lt;&gt;"",分析!C116,"")</f>
        <v>6027</v>
      </c>
      <c r="D67" s="134" t="str">
        <f>IF(分析!D116&lt;&gt;"",分析!D116,"")</f>
        <v/>
      </c>
      <c r="E67" s="135" t="str">
        <f>IF(分析!E116&lt;&gt;"",分析!E116,"")</f>
        <v/>
      </c>
      <c r="F67" s="136" t="str">
        <f>IF(分析!F116&lt;&gt;"",分析!F116,"")</f>
        <v/>
      </c>
      <c r="G67" s="136" t="str">
        <f>IF(分析!H116&lt;&gt;"",分析!H116,"")</f>
        <v/>
      </c>
      <c r="H67" s="136" t="str">
        <f>IF(分析!I116&lt;&gt;"",分析!I116,"")</f>
        <v/>
      </c>
      <c r="I67" s="136" t="str">
        <f>IF(分析!J116&lt;&gt;"",分析!J116,"")</f>
        <v/>
      </c>
      <c r="J67" s="136">
        <f>IF(分析!AB116&lt;&gt;"",分析!AB116,"")</f>
        <v>4608.572301425661</v>
      </c>
      <c r="K67" s="136">
        <f>IF(分析!AC116&lt;&gt;"",分析!AC116,"")</f>
        <v>4633.8116805721083</v>
      </c>
      <c r="L67" s="136" t="str">
        <f>IF(分析!K116&lt;&gt;"",分析!K116,"")</f>
        <v/>
      </c>
      <c r="M67" s="131" t="str">
        <f>IF(分析!P116&lt;&gt;"",分析!P116,"")</f>
        <v/>
      </c>
      <c r="N67" s="137" t="str">
        <f>IF(分析!O116&lt;&gt;"",分析!O116,"")</f>
        <v/>
      </c>
      <c r="O67" s="138">
        <f>IF(分析!X116&lt;&gt;"",分析!X116,"")</f>
        <v>40.969636481598172</v>
      </c>
      <c r="P67" s="139" t="str">
        <f>IF(分析!L116&lt;&gt;"",分析!L116,"")</f>
        <v/>
      </c>
      <c r="Q67" s="136" t="str">
        <f>IF(分析!S116&lt;&gt;"",分析!S116,"")</f>
        <v/>
      </c>
      <c r="R67" s="136" t="str">
        <f>IF(分析!R116&lt;&gt;"",分析!R116,"")</f>
        <v/>
      </c>
      <c r="S67" s="131" t="str">
        <f>IF(分析!AA116&lt;&gt;"",分析!AA116,"")</f>
        <v/>
      </c>
      <c r="T67" s="140" t="str">
        <f>IF(分析!Z116&lt;&gt;"",分析!Z116,"")</f>
        <v/>
      </c>
      <c r="U67" s="131" t="str">
        <f>IF(分析!V116&lt;&gt;"",分析!V116,"")</f>
        <v/>
      </c>
      <c r="V67" s="141">
        <f>IF(分析!W116&lt;&gt;"",分析!W116,"")</f>
        <v>75.065616797900262</v>
      </c>
      <c r="W67" s="142" t="str">
        <f>IF(分析!AD116&lt;&gt;"",分析!AD116,"")</f>
        <v>上昇トレンド▲</v>
      </c>
      <c r="X67" s="143" t="e">
        <f>IF(分析!AE116&lt;&gt;"",分析!AE116,"")</f>
        <v>#VALUE!</v>
      </c>
      <c r="Y67" s="144">
        <f>IF(分析!T116&lt;&gt;"",分析!T116,"")</f>
        <v>0</v>
      </c>
      <c r="Z67" s="145" t="e">
        <f>IF(分析!Y116&lt;&gt;"",分析!Y116,"")</f>
        <v>#VALUE!</v>
      </c>
    </row>
    <row r="68" spans="1:26" ht="21.9" customHeight="1">
      <c r="A68" s="146">
        <f>IF(分析!C191&lt;&gt;"",ROW()-2,"")</f>
        <v>66</v>
      </c>
      <c r="B68" s="147" t="str">
        <f>IF(分析!C191&lt;&gt;"",HYPERLINK("https://kabutan.jp/stock/?code="&amp;分析!C191,"株探"),"")</f>
        <v>株探</v>
      </c>
      <c r="C68" s="148">
        <f>IF(分析!C191&lt;&gt;"",分析!C191,"")</f>
        <v>2768</v>
      </c>
      <c r="D68" s="149" t="str">
        <f>IF(分析!D191&lt;&gt;"",分析!D191,"")</f>
        <v/>
      </c>
      <c r="E68" s="150" t="str">
        <f>IF(分析!E191&lt;&gt;"",分析!E191,"")</f>
        <v/>
      </c>
      <c r="F68" s="151" t="str">
        <f>IF(分析!F191&lt;&gt;"",分析!F191,"")</f>
        <v/>
      </c>
      <c r="G68" s="151" t="str">
        <f>IF(分析!H191&lt;&gt;"",分析!H191,"")</f>
        <v/>
      </c>
      <c r="H68" s="151" t="str">
        <f>IF(分析!I191&lt;&gt;"",分析!I191,"")</f>
        <v/>
      </c>
      <c r="I68" s="151" t="str">
        <f>IF(分析!J191&lt;&gt;"",分析!J191,"")</f>
        <v/>
      </c>
      <c r="J68" s="151">
        <f>IF(分析!AB191&lt;&gt;"",分析!AB191,"")</f>
        <v>2101.7617107942974</v>
      </c>
      <c r="K68" s="151">
        <f>IF(分析!AC191&lt;&gt;"",分析!AC191,"")</f>
        <v>2000.6972586412389</v>
      </c>
      <c r="L68" s="151" t="str">
        <f>IF(分析!K191&lt;&gt;"",分析!K191,"")</f>
        <v/>
      </c>
      <c r="M68" s="146" t="str">
        <f>IF(分析!P191&lt;&gt;"",分析!P191,"")</f>
        <v/>
      </c>
      <c r="N68" s="152" t="str">
        <f>IF(分析!O191&lt;&gt;"",分析!O191,"")</f>
        <v/>
      </c>
      <c r="O68" s="153">
        <f>IF(分析!X191&lt;&gt;"",分析!X191,"")</f>
        <v>-13.294152181785648</v>
      </c>
      <c r="P68" s="154" t="str">
        <f>IF(分析!L191&lt;&gt;"",分析!L191,"")</f>
        <v/>
      </c>
      <c r="Q68" s="151" t="str">
        <f>IF(分析!S191&lt;&gt;"",分析!S191,"")</f>
        <v/>
      </c>
      <c r="R68" s="151" t="str">
        <f>IF(分析!R191&lt;&gt;"",分析!R191,"")</f>
        <v/>
      </c>
      <c r="S68" s="146" t="str">
        <f>IF(分析!AA191&lt;&gt;"",分析!AA191,"")</f>
        <v/>
      </c>
      <c r="T68" s="155" t="str">
        <f>IF(分析!Z191&lt;&gt;"",分析!Z191,"")</f>
        <v/>
      </c>
      <c r="U68" s="146" t="str">
        <f>IF(分析!V191&lt;&gt;"",分析!V191,"")</f>
        <v/>
      </c>
      <c r="V68" s="156">
        <f>IF(分析!W191&lt;&gt;"",分析!W191,"")</f>
        <v>49.034749034749034</v>
      </c>
      <c r="W68" s="157" t="str">
        <f>IF(分析!AD191&lt;&gt;"",分析!AD191,"")</f>
        <v>パーフェクト▲</v>
      </c>
      <c r="X68" s="158" t="e">
        <f>IF(分析!AE191&lt;&gt;"",分析!AE191,"")</f>
        <v>#VALUE!</v>
      </c>
      <c r="Y68" s="159">
        <f>IF(分析!T191&lt;&gt;"",分析!T191,"")</f>
        <v>0</v>
      </c>
      <c r="Z68" s="145" t="e">
        <f>IF(分析!Y191&lt;&gt;"",分析!Y191,"")</f>
        <v>#VALUE!</v>
      </c>
    </row>
    <row r="69" spans="1:26" ht="21.9" customHeight="1">
      <c r="A69" s="146">
        <f>IF(分析!C185&lt;&gt;"",ROW()-2,"")</f>
        <v>67</v>
      </c>
      <c r="B69" s="147" t="str">
        <f>IF(分析!C185&lt;&gt;"",HYPERLINK("https://kabutan.jp/stock/?code="&amp;分析!C185,"株探"),"")</f>
        <v>株探</v>
      </c>
      <c r="C69" s="148">
        <f>IF(分析!C185&lt;&gt;"",分析!C185,"")</f>
        <v>3110</v>
      </c>
      <c r="D69" s="149" t="str">
        <f>IF(分析!D185&lt;&gt;"",分析!D185,"")</f>
        <v/>
      </c>
      <c r="E69" s="150" t="str">
        <f>IF(分析!E185&lt;&gt;"",分析!E185,"")</f>
        <v/>
      </c>
      <c r="F69" s="151" t="str">
        <f>IF(分析!F185&lt;&gt;"",分析!F185,"")</f>
        <v/>
      </c>
      <c r="G69" s="151" t="str">
        <f>IF(分析!H185&lt;&gt;"",分析!H185,"")</f>
        <v/>
      </c>
      <c r="H69" s="151" t="str">
        <f>IF(分析!I185&lt;&gt;"",分析!I185,"")</f>
        <v/>
      </c>
      <c r="I69" s="151" t="str">
        <f>IF(分析!J185&lt;&gt;"",分析!J185,"")</f>
        <v/>
      </c>
      <c r="J69" s="151">
        <f>IF(分析!AB185&lt;&gt;"",分析!AB185,"")</f>
        <v>675.18289205702627</v>
      </c>
      <c r="K69" s="151">
        <f>IF(分析!AC185&lt;&gt;"",分析!AC185,"")</f>
        <v>659.56150178784253</v>
      </c>
      <c r="L69" s="151" t="str">
        <f>IF(分析!K185&lt;&gt;"",分析!K185,"")</f>
        <v/>
      </c>
      <c r="M69" s="146" t="str">
        <f>IF(分析!P185&lt;&gt;"",分析!P185,"")</f>
        <v/>
      </c>
      <c r="N69" s="152" t="str">
        <f>IF(分析!O185&lt;&gt;"",分析!O185,"")</f>
        <v/>
      </c>
      <c r="O69" s="153">
        <f>IF(分析!X185&lt;&gt;"",分析!X185,"")</f>
        <v>-2636.1541102297006</v>
      </c>
      <c r="P69" s="154" t="str">
        <f>IF(分析!L185&lt;&gt;"",分析!L185,"")</f>
        <v/>
      </c>
      <c r="Q69" s="151" t="str">
        <f>IF(分析!S185&lt;&gt;"",分析!S185,"")</f>
        <v/>
      </c>
      <c r="R69" s="151" t="str">
        <f>IF(分析!R185&lt;&gt;"",分析!R185,"")</f>
        <v/>
      </c>
      <c r="S69" s="146" t="str">
        <f>IF(分析!AA185&lt;&gt;"",分析!AA185,"")</f>
        <v/>
      </c>
      <c r="T69" s="155" t="str">
        <f>IF(分析!Z185&lt;&gt;"",分析!Z185,"")</f>
        <v/>
      </c>
      <c r="U69" s="146" t="str">
        <f>IF(分析!V185&lt;&gt;"",分析!V185,"")</f>
        <v/>
      </c>
      <c r="V69" s="156">
        <f>IF(分析!W185&lt;&gt;"",分析!W185,"")</f>
        <v>3.3191489361702224</v>
      </c>
      <c r="W69" s="157" t="str">
        <f>IF(分析!AD185&lt;&gt;"",分析!AD185,"")</f>
        <v>パーフェクト▲</v>
      </c>
      <c r="X69" s="158" t="e">
        <f>IF(分析!AE185&lt;&gt;"",分析!AE185,"")</f>
        <v>#VALUE!</v>
      </c>
      <c r="Y69" s="159">
        <f>IF(分析!T185&lt;&gt;"",分析!T185,"")</f>
        <v>0</v>
      </c>
      <c r="Z69" s="145" t="e">
        <f>IF(分析!Y185&lt;&gt;"",分析!Y185,"")</f>
        <v>#VALUE!</v>
      </c>
    </row>
    <row r="70" spans="1:26" ht="21.9" customHeight="1">
      <c r="A70" s="146">
        <f>IF(分析!C171&lt;&gt;"",ROW()-2,"")</f>
        <v>68</v>
      </c>
      <c r="B70" s="147" t="str">
        <f>IF(分析!C171&lt;&gt;"",HYPERLINK("https://kabutan.jp/stock/?code="&amp;分析!C171,"株探"),"")</f>
        <v>株探</v>
      </c>
      <c r="C70" s="148">
        <f>IF(分析!C171&lt;&gt;"",分析!C171,"")</f>
        <v>4082</v>
      </c>
      <c r="D70" s="149" t="str">
        <f>IF(分析!D171&lt;&gt;"",分析!D171,"")</f>
        <v/>
      </c>
      <c r="E70" s="150" t="str">
        <f>IF(分析!E171&lt;&gt;"",分析!E171,"")</f>
        <v/>
      </c>
      <c r="F70" s="151" t="str">
        <f>IF(分析!F171&lt;&gt;"",分析!F171,"")</f>
        <v/>
      </c>
      <c r="G70" s="151" t="str">
        <f>IF(分析!H171&lt;&gt;"",分析!H171,"")</f>
        <v/>
      </c>
      <c r="H70" s="151" t="str">
        <f>IF(分析!I171&lt;&gt;"",分析!I171,"")</f>
        <v/>
      </c>
      <c r="I70" s="151" t="str">
        <f>IF(分析!J171&lt;&gt;"",分析!J171,"")</f>
        <v/>
      </c>
      <c r="J70" s="151">
        <f>IF(分析!AB171&lt;&gt;"",分析!AB171,"")</f>
        <v>708.85743380855388</v>
      </c>
      <c r="K70" s="151">
        <f>IF(分析!AC171&lt;&gt;"",分析!AC171,"")</f>
        <v>719.69845053635265</v>
      </c>
      <c r="L70" s="151" t="str">
        <f>IF(分析!K171&lt;&gt;"",分析!K171,"")</f>
        <v/>
      </c>
      <c r="M70" s="146" t="str">
        <f>IF(分析!P171&lt;&gt;"",分析!P171,"")</f>
        <v/>
      </c>
      <c r="N70" s="152" t="str">
        <f>IF(分析!O171&lt;&gt;"",分析!O171,"")</f>
        <v/>
      </c>
      <c r="O70" s="153">
        <f>IF(分析!X171&lt;&gt;"",分析!X171,"")</f>
        <v>-20.744936096704123</v>
      </c>
      <c r="P70" s="154" t="str">
        <f>IF(分析!L171&lt;&gt;"",分析!L171,"")</f>
        <v/>
      </c>
      <c r="Q70" s="151" t="str">
        <f>IF(分析!S171&lt;&gt;"",分析!S171,"")</f>
        <v/>
      </c>
      <c r="R70" s="151" t="str">
        <f>IF(分析!R171&lt;&gt;"",分析!R171,"")</f>
        <v/>
      </c>
      <c r="S70" s="146" t="str">
        <f>IF(分析!AA171&lt;&gt;"",分析!AA171,"")</f>
        <v/>
      </c>
      <c r="T70" s="155" t="str">
        <f>IF(分析!Z171&lt;&gt;"",分析!Z171,"")</f>
        <v/>
      </c>
      <c r="U70" s="146" t="str">
        <f>IF(分析!V171&lt;&gt;"",分析!V171,"")</f>
        <v/>
      </c>
      <c r="V70" s="156">
        <f>IF(分析!W171&lt;&gt;"",分析!W171,"")</f>
        <v>30.54474708171206</v>
      </c>
      <c r="W70" s="157" t="str">
        <f>IF(分析!AD171&lt;&gt;"",分析!AD171,"")</f>
        <v>上昇トレンド▲</v>
      </c>
      <c r="X70" s="158" t="e">
        <f>IF(分析!AE171&lt;&gt;"",分析!AE171,"")</f>
        <v>#VALUE!</v>
      </c>
      <c r="Y70" s="159">
        <f>IF(分析!T171&lt;&gt;"",分析!T171,"")</f>
        <v>0</v>
      </c>
      <c r="Z70" s="145" t="e">
        <f>IF(分析!Y171&lt;&gt;"",分析!Y171,"")</f>
        <v>#VALUE!</v>
      </c>
    </row>
    <row r="71" spans="1:26" ht="21.9" customHeight="1">
      <c r="A71" s="131">
        <f>IF(分析!C176&lt;&gt;"",ROW()-2,"")</f>
        <v>69</v>
      </c>
      <c r="B71" s="132" t="str">
        <f>IF(分析!C176&lt;&gt;"",HYPERLINK("https://kabutan.jp/stock/?code="&amp;分析!C176,"株探"),"")</f>
        <v>株探</v>
      </c>
      <c r="C71" s="133">
        <f>IF(分析!C176&lt;&gt;"",分析!C176,"")</f>
        <v>3941</v>
      </c>
      <c r="D71" s="134" t="str">
        <f>IF(分析!D176&lt;&gt;"",分析!D176,"")</f>
        <v/>
      </c>
      <c r="E71" s="135" t="str">
        <f>IF(分析!E176&lt;&gt;"",分析!E176,"")</f>
        <v/>
      </c>
      <c r="F71" s="136" t="str">
        <f>IF(分析!F176&lt;&gt;"",分析!F176,"")</f>
        <v/>
      </c>
      <c r="G71" s="136" t="str">
        <f>IF(分析!H176&lt;&gt;"",分析!H176,"")</f>
        <v/>
      </c>
      <c r="H71" s="136" t="str">
        <f>IF(分析!I176&lt;&gt;"",分析!I176,"")</f>
        <v/>
      </c>
      <c r="I71" s="136" t="str">
        <f>IF(分析!J176&lt;&gt;"",分析!J176,"")</f>
        <v/>
      </c>
      <c r="J71" s="136">
        <f>IF(分析!AB176&lt;&gt;"",分析!AB176,"")</f>
        <v>3763.50916496945</v>
      </c>
      <c r="K71" s="136">
        <f>IF(分析!AC176&lt;&gt;"",分析!AC176,"")</f>
        <v>3697.9106078665059</v>
      </c>
      <c r="L71" s="136" t="str">
        <f>IF(分析!K176&lt;&gt;"",分析!K176,"")</f>
        <v/>
      </c>
      <c r="M71" s="131" t="str">
        <f>IF(分析!P176&lt;&gt;"",分析!P176,"")</f>
        <v/>
      </c>
      <c r="N71" s="137" t="str">
        <f>IF(分析!O176&lt;&gt;"",分析!O176,"")</f>
        <v/>
      </c>
      <c r="O71" s="138">
        <f>IF(分析!X176&lt;&gt;"",分析!X176,"")</f>
        <v>1.83661274722499</v>
      </c>
      <c r="P71" s="139" t="str">
        <f>IF(分析!L176&lt;&gt;"",分析!L176,"")</f>
        <v/>
      </c>
      <c r="Q71" s="136" t="str">
        <f>IF(分析!S176&lt;&gt;"",分析!S176,"")</f>
        <v/>
      </c>
      <c r="R71" s="136" t="str">
        <f>IF(分析!R176&lt;&gt;"",分析!R176,"")</f>
        <v/>
      </c>
      <c r="S71" s="131" t="str">
        <f>IF(分析!AA176&lt;&gt;"",分析!AA176,"")</f>
        <v/>
      </c>
      <c r="T71" s="140" t="str">
        <f>IF(分析!Z176&lt;&gt;"",分析!Z176,"")</f>
        <v/>
      </c>
      <c r="U71" s="131" t="str">
        <f>IF(分析!V176&lt;&gt;"",分析!V176,"")</f>
        <v/>
      </c>
      <c r="V71" s="141">
        <f>IF(分析!W176&lt;&gt;"",分析!W176,"")</f>
        <v>57.777777777777771</v>
      </c>
      <c r="W71" s="142" t="str">
        <f>IF(分析!AD176&lt;&gt;"",分析!AD176,"")</f>
        <v>パーフェクト▲</v>
      </c>
      <c r="X71" s="143" t="e">
        <f>IF(分析!AE176&lt;&gt;"",分析!AE176,"")</f>
        <v>#VALUE!</v>
      </c>
      <c r="Y71" s="144">
        <f>IF(分析!T176&lt;&gt;"",分析!T176,"")</f>
        <v>0</v>
      </c>
      <c r="Z71" s="145" t="e">
        <f>IF(分析!Y176&lt;&gt;"",分析!Y176,"")</f>
        <v>#VALUE!</v>
      </c>
    </row>
    <row r="72" spans="1:26" ht="21.9" customHeight="1">
      <c r="A72" s="146">
        <f>IF(分析!C129&lt;&gt;"",ROW()-2,"")</f>
        <v>70</v>
      </c>
      <c r="B72" s="147" t="str">
        <f>IF(分析!C129&lt;&gt;"",HYPERLINK("https://kabutan.jp/stock/?code="&amp;分析!C129,"株探"),"")</f>
        <v>株探</v>
      </c>
      <c r="C72" s="148">
        <f>IF(分析!C129&lt;&gt;"",分析!C129,"")</f>
        <v>5713</v>
      </c>
      <c r="D72" s="149" t="str">
        <f>IF(分析!D129&lt;&gt;"",分析!D129,"")</f>
        <v/>
      </c>
      <c r="E72" s="150" t="str">
        <f>IF(分析!E129&lt;&gt;"",分析!E129,"")</f>
        <v/>
      </c>
      <c r="F72" s="151" t="str">
        <f>IF(分析!F129&lt;&gt;"",分析!F129,"")</f>
        <v/>
      </c>
      <c r="G72" s="151" t="str">
        <f>IF(分析!H129&lt;&gt;"",分析!H129,"")</f>
        <v/>
      </c>
      <c r="H72" s="151" t="str">
        <f>IF(分析!I129&lt;&gt;"",分析!I129,"")</f>
        <v/>
      </c>
      <c r="I72" s="151" t="str">
        <f>IF(分析!J129&lt;&gt;"",分析!J129,"")</f>
        <v/>
      </c>
      <c r="J72" s="151">
        <f>IF(分析!AB129&lt;&gt;"",分析!AB129,"")</f>
        <v>2551.3788187372706</v>
      </c>
      <c r="K72" s="151">
        <f>IF(分析!AC129&lt;&gt;"",分析!AC129,"")</f>
        <v>2632.0977353992839</v>
      </c>
      <c r="L72" s="151" t="str">
        <f>IF(分析!K129&lt;&gt;"",分析!K129,"")</f>
        <v/>
      </c>
      <c r="M72" s="146" t="str">
        <f>IF(分析!P129&lt;&gt;"",分析!P129,"")</f>
        <v/>
      </c>
      <c r="N72" s="152" t="str">
        <f>IF(分析!O129&lt;&gt;"",分析!O129,"")</f>
        <v/>
      </c>
      <c r="O72" s="153">
        <f>IF(分析!X129&lt;&gt;"",分析!X129,"")</f>
        <v>-135.02461401294931</v>
      </c>
      <c r="P72" s="154" t="str">
        <f>IF(分析!L129&lt;&gt;"",分析!L129,"")</f>
        <v/>
      </c>
      <c r="Q72" s="151" t="str">
        <f>IF(分析!S129&lt;&gt;"",分析!S129,"")</f>
        <v/>
      </c>
      <c r="R72" s="151" t="str">
        <f>IF(分析!R129&lt;&gt;"",分析!R129,"")</f>
        <v/>
      </c>
      <c r="S72" s="146" t="str">
        <f>IF(分析!AA129&lt;&gt;"",分析!AA129,"")</f>
        <v/>
      </c>
      <c r="T72" s="155" t="str">
        <f>IF(分析!Z129&lt;&gt;"",分析!Z129,"")</f>
        <v/>
      </c>
      <c r="U72" s="146" t="str">
        <f>IF(分析!V129&lt;&gt;"",分析!V129,"")</f>
        <v/>
      </c>
      <c r="V72" s="156">
        <f>IF(分析!W129&lt;&gt;"",分析!W129,"")</f>
        <v>44.079885877318112</v>
      </c>
      <c r="W72" s="157" t="str">
        <f>IF(分析!AD129&lt;&gt;"",分析!AD129,"")</f>
        <v>上昇トレンド▲</v>
      </c>
      <c r="X72" s="158" t="e">
        <f>IF(分析!AE129&lt;&gt;"",分析!AE129,"")</f>
        <v>#VALUE!</v>
      </c>
      <c r="Y72" s="159">
        <f>IF(分析!T129&lt;&gt;"",分析!T129,"")</f>
        <v>0</v>
      </c>
      <c r="Z72" s="145" t="e">
        <f>IF(分析!Y129&lt;&gt;"",分析!Y129,"")</f>
        <v>#VALUE!</v>
      </c>
    </row>
    <row r="73" spans="1:26" ht="21.9" customHeight="1">
      <c r="A73" s="146">
        <f>IF(分析!C149&lt;&gt;"",ROW()-2,"")</f>
        <v>71</v>
      </c>
      <c r="B73" s="147" t="str">
        <f>IF(分析!C149&lt;&gt;"",HYPERLINK("https://kabutan.jp/stock/?code="&amp;分析!C149,"株探"),"")</f>
        <v>株探</v>
      </c>
      <c r="C73" s="148">
        <f>IF(分析!C149&lt;&gt;"",分析!C149,"")</f>
        <v>4980</v>
      </c>
      <c r="D73" s="149" t="str">
        <f>IF(分析!D149&lt;&gt;"",分析!D149,"")</f>
        <v/>
      </c>
      <c r="E73" s="150" t="str">
        <f>IF(分析!E149&lt;&gt;"",分析!E149,"")</f>
        <v/>
      </c>
      <c r="F73" s="151" t="str">
        <f>IF(分析!F149&lt;&gt;"",分析!F149,"")</f>
        <v/>
      </c>
      <c r="G73" s="151" t="str">
        <f>IF(分析!H149&lt;&gt;"",分析!H149,"")</f>
        <v/>
      </c>
      <c r="H73" s="151" t="str">
        <f>IF(分析!I149&lt;&gt;"",分析!I149,"")</f>
        <v/>
      </c>
      <c r="I73" s="151" t="str">
        <f>IF(分析!J149&lt;&gt;"",分析!J149,"")</f>
        <v/>
      </c>
      <c r="J73" s="151">
        <f>IF(分析!AB149&lt;&gt;"",分析!AB149,"")</f>
        <v>5786.9857433808547</v>
      </c>
      <c r="K73" s="151">
        <f>IF(分析!AC149&lt;&gt;"",分析!AC149,"")</f>
        <v>6246.4362336114382</v>
      </c>
      <c r="L73" s="151" t="str">
        <f>IF(分析!K149&lt;&gt;"",分析!K149,"")</f>
        <v/>
      </c>
      <c r="M73" s="146" t="str">
        <f>IF(分析!P149&lt;&gt;"",分析!P149,"")</f>
        <v/>
      </c>
      <c r="N73" s="152" t="str">
        <f>IF(分析!O149&lt;&gt;"",分析!O149,"")</f>
        <v/>
      </c>
      <c r="O73" s="153">
        <f>IF(分析!X149&lt;&gt;"",分析!X149,"")</f>
        <v>-105.62248496451457</v>
      </c>
      <c r="P73" s="154" t="str">
        <f>IF(分析!L149&lt;&gt;"",分析!L149,"")</f>
        <v/>
      </c>
      <c r="Q73" s="151" t="str">
        <f>IF(分析!S149&lt;&gt;"",分析!S149,"")</f>
        <v/>
      </c>
      <c r="R73" s="151" t="str">
        <f>IF(分析!R149&lt;&gt;"",分析!R149,"")</f>
        <v/>
      </c>
      <c r="S73" s="146" t="str">
        <f>IF(分析!AA149&lt;&gt;"",分析!AA149,"")</f>
        <v/>
      </c>
      <c r="T73" s="155" t="str">
        <f>IF(分析!Z149&lt;&gt;"",分析!Z149,"")</f>
        <v/>
      </c>
      <c r="U73" s="146" t="str">
        <f>IF(分析!V149&lt;&gt;"",分析!V149,"")</f>
        <v/>
      </c>
      <c r="V73" s="156">
        <f>IF(分析!W149&lt;&gt;"",分析!W149,"")</f>
        <v>21.578947368421055</v>
      </c>
      <c r="W73" s="157" t="str">
        <f>IF(分析!AD149&lt;&gt;"",分析!AD149,"")</f>
        <v>上昇トレンド▲</v>
      </c>
      <c r="X73" s="158" t="e">
        <f>IF(分析!AE149&lt;&gt;"",分析!AE149,"")</f>
        <v>#VALUE!</v>
      </c>
      <c r="Y73" s="159">
        <f>IF(分析!T149&lt;&gt;"",分析!T149,"")</f>
        <v>0</v>
      </c>
      <c r="Z73" s="145" t="e">
        <f>IF(分析!Y149&lt;&gt;"",分析!Y149,"")</f>
        <v>#VALUE!</v>
      </c>
    </row>
    <row r="74" spans="1:26" ht="21.9" customHeight="1">
      <c r="A74" s="146">
        <f>IF(分析!C159&lt;&gt;"",ROW()-2,"")</f>
        <v>72</v>
      </c>
      <c r="B74" s="147" t="str">
        <f>IF(分析!C159&lt;&gt;"",HYPERLINK("https://kabutan.jp/stock/?code="&amp;分析!C159,"株探"),"")</f>
        <v>株探</v>
      </c>
      <c r="C74" s="148">
        <f>IF(分析!C159&lt;&gt;"",分析!C159,"")</f>
        <v>4528</v>
      </c>
      <c r="D74" s="149" t="str">
        <f>IF(分析!D159&lt;&gt;"",分析!D159,"")</f>
        <v/>
      </c>
      <c r="E74" s="150" t="str">
        <f>IF(分析!E159&lt;&gt;"",分析!E159,"")</f>
        <v/>
      </c>
      <c r="F74" s="151" t="str">
        <f>IF(分析!F159&lt;&gt;"",分析!F159,"")</f>
        <v/>
      </c>
      <c r="G74" s="151" t="str">
        <f>IF(分析!H159&lt;&gt;"",分析!H159,"")</f>
        <v/>
      </c>
      <c r="H74" s="151" t="str">
        <f>IF(分析!I159&lt;&gt;"",分析!I159,"")</f>
        <v/>
      </c>
      <c r="I74" s="151" t="str">
        <f>IF(分析!J159&lt;&gt;"",分析!J159,"")</f>
        <v/>
      </c>
      <c r="J74" s="151">
        <f>IF(分析!AB159&lt;&gt;"",分析!AB159,"")</f>
        <v>1108.9215885947046</v>
      </c>
      <c r="K74" s="151">
        <f>IF(分析!AC159&lt;&gt;"",分析!AC159,"")</f>
        <v>1094.4290822407622</v>
      </c>
      <c r="L74" s="151" t="str">
        <f>IF(分析!K159&lt;&gt;"",分析!K159,"")</f>
        <v/>
      </c>
      <c r="M74" s="146" t="str">
        <f>IF(分析!P159&lt;&gt;"",分析!P159,"")</f>
        <v/>
      </c>
      <c r="N74" s="152" t="str">
        <f>IF(分析!O159&lt;&gt;"",分析!O159,"")</f>
        <v/>
      </c>
      <c r="O74" s="153">
        <f>IF(分析!X159&lt;&gt;"",分析!X159,"")</f>
        <v>15.586936144467472</v>
      </c>
      <c r="P74" s="154" t="str">
        <f>IF(分析!L159&lt;&gt;"",分析!L159,"")</f>
        <v/>
      </c>
      <c r="Q74" s="151" t="str">
        <f>IF(分析!S159&lt;&gt;"",分析!S159,"")</f>
        <v/>
      </c>
      <c r="R74" s="151" t="str">
        <f>IF(分析!R159&lt;&gt;"",分析!R159,"")</f>
        <v/>
      </c>
      <c r="S74" s="146" t="str">
        <f>IF(分析!AA159&lt;&gt;"",分析!AA159,"")</f>
        <v/>
      </c>
      <c r="T74" s="155" t="str">
        <f>IF(分析!Z159&lt;&gt;"",分析!Z159,"")</f>
        <v/>
      </c>
      <c r="U74" s="146" t="str">
        <f>IF(分析!V159&lt;&gt;"",分析!V159,"")</f>
        <v/>
      </c>
      <c r="V74" s="156">
        <f>IF(分析!W159&lt;&gt;"",分析!W159,"")</f>
        <v>56.045340050377831</v>
      </c>
      <c r="W74" s="157" t="str">
        <f>IF(分析!AD159&lt;&gt;"",分析!AD159,"")</f>
        <v>パーフェクト▲</v>
      </c>
      <c r="X74" s="158" t="e">
        <f>IF(分析!AE159&lt;&gt;"",分析!AE159,"")</f>
        <v>#VALUE!</v>
      </c>
      <c r="Y74" s="159">
        <f>IF(分析!T159&lt;&gt;"",分析!T159,"")</f>
        <v>0</v>
      </c>
      <c r="Z74" s="145" t="e">
        <f>IF(分析!Y159&lt;&gt;"",分析!Y159,"")</f>
        <v>#VALUE!</v>
      </c>
    </row>
    <row r="75" spans="1:26" ht="21.9" customHeight="1">
      <c r="A75" s="146">
        <f>IF(分析!C15&lt;&gt;"",ROW()-2,"")</f>
        <v>73</v>
      </c>
      <c r="B75" s="147" t="str">
        <f>IF(分析!C15&lt;&gt;"",HYPERLINK("https://kabutan.jp/stock/?code="&amp;分析!C15,"株探"),"")</f>
        <v>株探</v>
      </c>
      <c r="C75" s="148">
        <f>IF(分析!C15&lt;&gt;"",分析!C15,"")</f>
        <v>9531</v>
      </c>
      <c r="D75" s="149" t="str">
        <f>IF(分析!D15&lt;&gt;"",分析!D15,"")</f>
        <v/>
      </c>
      <c r="E75" s="150" t="str">
        <f>IF(分析!E15&lt;&gt;"",分析!E15,"")</f>
        <v/>
      </c>
      <c r="F75" s="151" t="str">
        <f>IF(分析!F15&lt;&gt;"",分析!F15,"")</f>
        <v/>
      </c>
      <c r="G75" s="151" t="str">
        <f>IF(分析!H15&lt;&gt;"",分析!H15,"")</f>
        <v/>
      </c>
      <c r="H75" s="151" t="str">
        <f>IF(分析!I15&lt;&gt;"",分析!I15,"")</f>
        <v/>
      </c>
      <c r="I75" s="151" t="str">
        <f>IF(分析!J15&lt;&gt;"",分析!J15,"")</f>
        <v/>
      </c>
      <c r="J75" s="151">
        <f>IF(分析!AB15&lt;&gt;"",分析!AB15,"")</f>
        <v>6536.0641547861496</v>
      </c>
      <c r="K75" s="151">
        <f>IF(分析!AC15&lt;&gt;"",分析!AC15,"")</f>
        <v>6979.0858164481497</v>
      </c>
      <c r="L75" s="151" t="str">
        <f>IF(分析!K15&lt;&gt;"",分析!K15,"")</f>
        <v/>
      </c>
      <c r="M75" s="146" t="str">
        <f>IF(分析!P15&lt;&gt;"",分析!P15,"")</f>
        <v/>
      </c>
      <c r="N75" s="152" t="str">
        <f>IF(分析!O15&lt;&gt;"",分析!O15,"")</f>
        <v/>
      </c>
      <c r="O75" s="153">
        <f>IF(分析!X15&lt;&gt;"",分析!X15,"")</f>
        <v>-19.539307193546847</v>
      </c>
      <c r="P75" s="154" t="str">
        <f>IF(分析!L15&lt;&gt;"",分析!L15,"")</f>
        <v/>
      </c>
      <c r="Q75" s="151" t="str">
        <f>IF(分析!S15&lt;&gt;"",分析!S15,"")</f>
        <v/>
      </c>
      <c r="R75" s="151" t="str">
        <f>IF(分析!R15&lt;&gt;"",分析!R15,"")</f>
        <v/>
      </c>
      <c r="S75" s="146" t="str">
        <f>IF(分析!AA15&lt;&gt;"",分析!AA15,"")</f>
        <v/>
      </c>
      <c r="T75" s="155" t="str">
        <f>IF(分析!Z15&lt;&gt;"",分析!Z15,"")</f>
        <v/>
      </c>
      <c r="U75" s="146" t="str">
        <f>IF(分析!V15&lt;&gt;"",分析!V15,"")</f>
        <v/>
      </c>
      <c r="V75" s="156">
        <f>IF(分析!W15&lt;&gt;"",分析!W15,"")</f>
        <v>50.233100233100231</v>
      </c>
      <c r="W75" s="157" t="str">
        <f>IF(分析!AD15&lt;&gt;"",分析!AD15,"")</f>
        <v>上昇トレンド▲</v>
      </c>
      <c r="X75" s="158" t="e">
        <f>IF(分析!AE15&lt;&gt;"",分析!AE15,"")</f>
        <v>#VALUE!</v>
      </c>
      <c r="Y75" s="159">
        <f>IF(分析!T15&lt;&gt;"",分析!T15,"")</f>
        <v>0</v>
      </c>
      <c r="Z75" s="145" t="e">
        <f>IF(分析!Y15&lt;&gt;"",分析!Y15,"")</f>
        <v>#VALUE!</v>
      </c>
    </row>
    <row r="76" spans="1:26" ht="21.9" customHeight="1">
      <c r="A76" s="146">
        <f>IF(分析!C157&lt;&gt;"",ROW()-2,"")</f>
        <v>74</v>
      </c>
      <c r="B76" s="147" t="str">
        <f>IF(分析!C157&lt;&gt;"",HYPERLINK("https://kabutan.jp/stock/?code="&amp;分析!C157,"株探"),"")</f>
        <v>株探</v>
      </c>
      <c r="C76" s="148">
        <f>IF(分析!C157&lt;&gt;"",分析!C157,"")</f>
        <v>4540</v>
      </c>
      <c r="D76" s="149" t="str">
        <f>IF(分析!D157&lt;&gt;"",分析!D157,"")</f>
        <v/>
      </c>
      <c r="E76" s="150" t="str">
        <f>IF(分析!E157&lt;&gt;"",分析!E157,"")</f>
        <v/>
      </c>
      <c r="F76" s="151" t="str">
        <f>IF(分析!F157&lt;&gt;"",分析!F157,"")</f>
        <v/>
      </c>
      <c r="G76" s="151" t="str">
        <f>IF(分析!H157&lt;&gt;"",分析!H157,"")</f>
        <v/>
      </c>
      <c r="H76" s="151" t="str">
        <f>IF(分析!I157&lt;&gt;"",分析!I157,"")</f>
        <v/>
      </c>
      <c r="I76" s="151" t="str">
        <f>IF(分析!J157&lt;&gt;"",分析!J157,"")</f>
        <v/>
      </c>
      <c r="J76" s="151">
        <f>IF(分析!AB157&lt;&gt;"",分析!AB157,"")</f>
        <v>7543.584521384927</v>
      </c>
      <c r="K76" s="151">
        <f>IF(分析!AC157&lt;&gt;"",分析!AC157,"")</f>
        <v>8604.8748510131063</v>
      </c>
      <c r="L76" s="151" t="str">
        <f>IF(分析!K157&lt;&gt;"",分析!K157,"")</f>
        <v/>
      </c>
      <c r="M76" s="146" t="str">
        <f>IF(分析!P157&lt;&gt;"",分析!P157,"")</f>
        <v/>
      </c>
      <c r="N76" s="152" t="str">
        <f>IF(分析!O157&lt;&gt;"",分析!O157,"")</f>
        <v/>
      </c>
      <c r="O76" s="153">
        <f>IF(分析!X157&lt;&gt;"",分析!X157,"")</f>
        <v>15.405092362253981</v>
      </c>
      <c r="P76" s="154" t="str">
        <f>IF(分析!L157&lt;&gt;"",分析!L157,"")</f>
        <v/>
      </c>
      <c r="Q76" s="151" t="str">
        <f>IF(分析!S157&lt;&gt;"",分析!S157,"")</f>
        <v/>
      </c>
      <c r="R76" s="151" t="str">
        <f>IF(分析!R157&lt;&gt;"",分析!R157,"")</f>
        <v/>
      </c>
      <c r="S76" s="146" t="str">
        <f>IF(分析!AA157&lt;&gt;"",分析!AA157,"")</f>
        <v/>
      </c>
      <c r="T76" s="155" t="str">
        <f>IF(分析!Z157&lt;&gt;"",分析!Z157,"")</f>
        <v/>
      </c>
      <c r="U76" s="146" t="str">
        <f>IF(分析!V157&lt;&gt;"",分析!V157,"")</f>
        <v/>
      </c>
      <c r="V76" s="156">
        <f>IF(分析!W157&lt;&gt;"",分析!W157,"")</f>
        <v>74.382716049382722</v>
      </c>
      <c r="W76" s="157" t="str">
        <f>IF(分析!AD157&lt;&gt;"",分析!AD157,"")</f>
        <v>上昇トレンド▲</v>
      </c>
      <c r="X76" s="158" t="e">
        <f>IF(分析!AE157&lt;&gt;"",分析!AE157,"")</f>
        <v>#VALUE!</v>
      </c>
      <c r="Y76" s="159">
        <f>IF(分析!T157&lt;&gt;"",分析!T157,"")</f>
        <v>0</v>
      </c>
      <c r="Z76" s="145" t="e">
        <f>IF(分析!Y157&lt;&gt;"",分析!Y157,"")</f>
        <v>#VALUE!</v>
      </c>
    </row>
    <row r="77" spans="1:26" ht="21.9" customHeight="1">
      <c r="A77" s="146">
        <f>IF(分析!C193&lt;&gt;"",ROW()-2,"")</f>
        <v>75</v>
      </c>
      <c r="B77" s="147" t="str">
        <f>IF(分析!C193&lt;&gt;"",HYPERLINK("https://kabutan.jp/stock/?code="&amp;分析!C193,"株探"),"")</f>
        <v>株探</v>
      </c>
      <c r="C77" s="148">
        <f>IF(分析!C193&lt;&gt;"",分析!C193,"")</f>
        <v>2359</v>
      </c>
      <c r="D77" s="149" t="str">
        <f>IF(分析!D193&lt;&gt;"",分析!D193,"")</f>
        <v/>
      </c>
      <c r="E77" s="150" t="str">
        <f>IF(分析!E193&lt;&gt;"",分析!E193,"")</f>
        <v/>
      </c>
      <c r="F77" s="151" t="str">
        <f>IF(分析!F193&lt;&gt;"",分析!F193,"")</f>
        <v/>
      </c>
      <c r="G77" s="151" t="str">
        <f>IF(分析!H193&lt;&gt;"",分析!H193,"")</f>
        <v/>
      </c>
      <c r="H77" s="151" t="str">
        <f>IF(分析!I193&lt;&gt;"",分析!I193,"")</f>
        <v/>
      </c>
      <c r="I77" s="151" t="str">
        <f>IF(分析!J193&lt;&gt;"",分析!J193,"")</f>
        <v/>
      </c>
      <c r="J77" s="151">
        <f>IF(分析!AB193&lt;&gt;"",分析!AB193,"")</f>
        <v>7908.2382892057021</v>
      </c>
      <c r="K77" s="151">
        <f>IF(分析!AC193&lt;&gt;"",分析!AC193,"")</f>
        <v>8760.6436233611421</v>
      </c>
      <c r="L77" s="151" t="str">
        <f>IF(分析!K193&lt;&gt;"",分析!K193,"")</f>
        <v/>
      </c>
      <c r="M77" s="146" t="str">
        <f>IF(分析!P193&lt;&gt;"",分析!P193,"")</f>
        <v/>
      </c>
      <c r="N77" s="152" t="str">
        <f>IF(分析!O193&lt;&gt;"",分析!O193,"")</f>
        <v/>
      </c>
      <c r="O77" s="153">
        <f>IF(分析!X193&lt;&gt;"",分析!X193,"")</f>
        <v>-4.8825003283718615</v>
      </c>
      <c r="P77" s="154" t="str">
        <f>IF(分析!L193&lt;&gt;"",分析!L193,"")</f>
        <v/>
      </c>
      <c r="Q77" s="151" t="str">
        <f>IF(分析!S193&lt;&gt;"",分析!S193,"")</f>
        <v/>
      </c>
      <c r="R77" s="151" t="str">
        <f>IF(分析!R193&lt;&gt;"",分析!R193,"")</f>
        <v/>
      </c>
      <c r="S77" s="146" t="str">
        <f>IF(分析!AA193&lt;&gt;"",分析!AA193,"")</f>
        <v/>
      </c>
      <c r="T77" s="155" t="str">
        <f>IF(分析!Z193&lt;&gt;"",分析!Z193,"")</f>
        <v/>
      </c>
      <c r="U77" s="146" t="str">
        <f>IF(分析!V193&lt;&gt;"",分析!V193,"")</f>
        <v/>
      </c>
      <c r="V77" s="156">
        <f>IF(分析!W193&lt;&gt;"",分析!W193,"")</f>
        <v>51.231527093596064</v>
      </c>
      <c r="W77" s="157" t="str">
        <f>IF(分析!AD193&lt;&gt;"",分析!AD193,"")</f>
        <v>上昇トレンド▲</v>
      </c>
      <c r="X77" s="158" t="e">
        <f>IF(分析!AE193&lt;&gt;"",分析!AE193,"")</f>
        <v>#VALUE!</v>
      </c>
      <c r="Y77" s="159">
        <f>IF(分析!T193&lt;&gt;"",分析!T193,"")</f>
        <v>0</v>
      </c>
      <c r="Z77" s="145" t="e">
        <f>IF(分析!Y193&lt;&gt;"",分析!Y193,"")</f>
        <v>#VALUE!</v>
      </c>
    </row>
    <row r="78" spans="1:26" ht="21.9" customHeight="1">
      <c r="A78" s="131">
        <f>IF(分析!C160&lt;&gt;"",ROW()-2,"")</f>
        <v>76</v>
      </c>
      <c r="B78" s="132" t="str">
        <f>IF(分析!C160&lt;&gt;"",HYPERLINK("https://kabutan.jp/stock/?code="&amp;分析!C160,"株探"),"")</f>
        <v>株探</v>
      </c>
      <c r="C78" s="133">
        <f>IF(分析!C160&lt;&gt;"",分析!C160,"")</f>
        <v>4523</v>
      </c>
      <c r="D78" s="134" t="str">
        <f>IF(分析!D160&lt;&gt;"",分析!D160,"")</f>
        <v/>
      </c>
      <c r="E78" s="135" t="str">
        <f>IF(分析!E160&lt;&gt;"",分析!E160,"")</f>
        <v/>
      </c>
      <c r="F78" s="136" t="str">
        <f>IF(分析!F160&lt;&gt;"",分析!F160,"")</f>
        <v/>
      </c>
      <c r="G78" s="136" t="str">
        <f>IF(分析!H160&lt;&gt;"",分析!H160,"")</f>
        <v/>
      </c>
      <c r="H78" s="136" t="str">
        <f>IF(分析!I160&lt;&gt;"",分析!I160,"")</f>
        <v/>
      </c>
      <c r="I78" s="136" t="str">
        <f>IF(分析!J160&lt;&gt;"",分析!J160,"")</f>
        <v/>
      </c>
      <c r="J78" s="136">
        <f>IF(分析!AB160&lt;&gt;"",分析!AB160,"")</f>
        <v>4373.7525458248465</v>
      </c>
      <c r="K78" s="136">
        <f>IF(分析!AC160&lt;&gt;"",分析!AC160,"")</f>
        <v>4355.2741358760422</v>
      </c>
      <c r="L78" s="136" t="str">
        <f>IF(分析!K160&lt;&gt;"",分析!K160,"")</f>
        <v/>
      </c>
      <c r="M78" s="131" t="str">
        <f>IF(分析!P160&lt;&gt;"",分析!P160,"")</f>
        <v/>
      </c>
      <c r="N78" s="137" t="str">
        <f>IF(分析!O160&lt;&gt;"",分析!O160,"")</f>
        <v/>
      </c>
      <c r="O78" s="138">
        <f>IF(分析!X160&lt;&gt;"",分析!X160,"")</f>
        <v>63.541106277292783</v>
      </c>
      <c r="P78" s="139" t="str">
        <f>IF(分析!L160&lt;&gt;"",分析!L160,"")</f>
        <v/>
      </c>
      <c r="Q78" s="136" t="str">
        <f>IF(分析!S160&lt;&gt;"",分析!S160,"")</f>
        <v/>
      </c>
      <c r="R78" s="136" t="str">
        <f>IF(分析!R160&lt;&gt;"",分析!R160,"")</f>
        <v/>
      </c>
      <c r="S78" s="131" t="str">
        <f>IF(分析!AA160&lt;&gt;"",分析!AA160,"")</f>
        <v/>
      </c>
      <c r="T78" s="140" t="str">
        <f>IF(分析!Z160&lt;&gt;"",分析!Z160,"")</f>
        <v/>
      </c>
      <c r="U78" s="131" t="str">
        <f>IF(分析!V160&lt;&gt;"",分析!V160,"")</f>
        <v/>
      </c>
      <c r="V78" s="141">
        <f>IF(分析!W160&lt;&gt;"",分析!W160,"")</f>
        <v>68.427370948379348</v>
      </c>
      <c r="W78" s="142" t="str">
        <f>IF(分析!AD160&lt;&gt;"",分析!AD160,"")</f>
        <v>パーフェクト▲</v>
      </c>
      <c r="X78" s="143" t="e">
        <f>IF(分析!AE160&lt;&gt;"",分析!AE160,"")</f>
        <v>#VALUE!</v>
      </c>
      <c r="Y78" s="144">
        <f>IF(分析!T160&lt;&gt;"",分析!T160,"")</f>
        <v>0</v>
      </c>
      <c r="Z78" s="145" t="e">
        <f>IF(分析!Y160&lt;&gt;"",分析!Y160,"")</f>
        <v>#VALUE!</v>
      </c>
    </row>
    <row r="79" spans="1:26" ht="21.9" customHeight="1">
      <c r="A79" s="146">
        <f>IF(分析!C153&lt;&gt;"",ROW()-2,"")</f>
        <v>77</v>
      </c>
      <c r="B79" s="147" t="str">
        <f>IF(分析!C153&lt;&gt;"",HYPERLINK("https://kabutan.jp/stock/?code="&amp;分析!C153,"株探"),"")</f>
        <v>株探</v>
      </c>
      <c r="C79" s="148">
        <f>IF(分析!C153&lt;&gt;"",分析!C153,"")</f>
        <v>4733</v>
      </c>
      <c r="D79" s="149" t="str">
        <f>IF(分析!D153&lt;&gt;"",分析!D153,"")</f>
        <v/>
      </c>
      <c r="E79" s="150" t="str">
        <f>IF(分析!E153&lt;&gt;"",分析!E153,"")</f>
        <v/>
      </c>
      <c r="F79" s="151" t="str">
        <f>IF(分析!F153&lt;&gt;"",分析!F153,"")</f>
        <v/>
      </c>
      <c r="G79" s="151" t="str">
        <f>IF(分析!H153&lt;&gt;"",分析!H153,"")</f>
        <v/>
      </c>
      <c r="H79" s="151" t="str">
        <f>IF(分析!I153&lt;&gt;"",分析!I153,"")</f>
        <v/>
      </c>
      <c r="I79" s="151" t="str">
        <f>IF(分析!J153&lt;&gt;"",分析!J153,"")</f>
        <v/>
      </c>
      <c r="J79" s="151">
        <f>IF(分析!AB153&lt;&gt;"",分析!AB153,"")</f>
        <v>3950.4164969450094</v>
      </c>
      <c r="K79" s="151">
        <f>IF(分析!AC153&lt;&gt;"",分析!AC153,"")</f>
        <v>4178.2586412395704</v>
      </c>
      <c r="L79" s="151" t="str">
        <f>IF(分析!K153&lt;&gt;"",分析!K153,"")</f>
        <v/>
      </c>
      <c r="M79" s="146" t="str">
        <f>IF(分析!P153&lt;&gt;"",分析!P153,"")</f>
        <v/>
      </c>
      <c r="N79" s="152" t="str">
        <f>IF(分析!O153&lt;&gt;"",分析!O153,"")</f>
        <v/>
      </c>
      <c r="O79" s="153">
        <f>IF(分析!X153&lt;&gt;"",分析!X153,"")</f>
        <v>112.17079951759115</v>
      </c>
      <c r="P79" s="154" t="str">
        <f>IF(分析!L153&lt;&gt;"",分析!L153,"")</f>
        <v/>
      </c>
      <c r="Q79" s="151" t="str">
        <f>IF(分析!S153&lt;&gt;"",分析!S153,"")</f>
        <v/>
      </c>
      <c r="R79" s="151" t="str">
        <f>IF(分析!R153&lt;&gt;"",分析!R153,"")</f>
        <v/>
      </c>
      <c r="S79" s="146" t="str">
        <f>IF(分析!AA153&lt;&gt;"",分析!AA153,"")</f>
        <v/>
      </c>
      <c r="T79" s="155" t="str">
        <f>IF(分析!Z153&lt;&gt;"",分析!Z153,"")</f>
        <v/>
      </c>
      <c r="U79" s="146" t="str">
        <f>IF(分析!V153&lt;&gt;"",分析!V153,"")</f>
        <v/>
      </c>
      <c r="V79" s="156">
        <f>IF(分析!W153&lt;&gt;"",分析!W153,"")</f>
        <v>82.20338983050847</v>
      </c>
      <c r="W79" s="157" t="str">
        <f>IF(分析!AD153&lt;&gt;"",分析!AD153,"")</f>
        <v>上昇トレンド▲</v>
      </c>
      <c r="X79" s="158" t="e">
        <f>IF(分析!AE153&lt;&gt;"",分析!AE153,"")</f>
        <v>#VALUE!</v>
      </c>
      <c r="Y79" s="159">
        <f>IF(分析!T153&lt;&gt;"",分析!T153,"")</f>
        <v>0</v>
      </c>
      <c r="Z79" s="145" t="e">
        <f>IF(分析!Y153&lt;&gt;"",分析!Y153,"")</f>
        <v>#VALUE!</v>
      </c>
    </row>
    <row r="80" spans="1:26" ht="21.9" customHeight="1">
      <c r="A80" s="131">
        <f>IF(分析!C128&lt;&gt;"",ROW()-2,"")</f>
        <v>78</v>
      </c>
      <c r="B80" s="132" t="str">
        <f>IF(分析!C128&lt;&gt;"",HYPERLINK("https://kabutan.jp/stock/?code="&amp;分析!C128,"株探"),"")</f>
        <v>株探</v>
      </c>
      <c r="C80" s="133">
        <f>IF(分析!C128&lt;&gt;"",分析!C128,"")</f>
        <v>5714</v>
      </c>
      <c r="D80" s="134" t="str">
        <f>IF(分析!D128&lt;&gt;"",分析!D128,"")</f>
        <v/>
      </c>
      <c r="E80" s="135" t="str">
        <f>IF(分析!E128&lt;&gt;"",分析!E128,"")</f>
        <v/>
      </c>
      <c r="F80" s="136" t="str">
        <f>IF(分析!F128&lt;&gt;"",分析!F128,"")</f>
        <v/>
      </c>
      <c r="G80" s="136" t="str">
        <f>IF(分析!H128&lt;&gt;"",分析!H128,"")</f>
        <v/>
      </c>
      <c r="H80" s="136" t="str">
        <f>IF(分析!I128&lt;&gt;"",分析!I128,"")</f>
        <v/>
      </c>
      <c r="I80" s="136" t="str">
        <f>IF(分析!J128&lt;&gt;"",分析!J128,"")</f>
        <v/>
      </c>
      <c r="J80" s="136">
        <f>IF(分析!AB128&lt;&gt;"",分析!AB128,"")</f>
        <v>7273.889002036658</v>
      </c>
      <c r="K80" s="136">
        <f>IF(分析!AC128&lt;&gt;"",分析!AC128,"")</f>
        <v>7389.5840286054799</v>
      </c>
      <c r="L80" s="136" t="str">
        <f>IF(分析!K128&lt;&gt;"",分析!K128,"")</f>
        <v/>
      </c>
      <c r="M80" s="131" t="str">
        <f>IF(分析!P128&lt;&gt;"",分析!P128,"")</f>
        <v/>
      </c>
      <c r="N80" s="137" t="str">
        <f>IF(分析!O128&lt;&gt;"",分析!O128,"")</f>
        <v/>
      </c>
      <c r="O80" s="138">
        <f>IF(分析!X128&lt;&gt;"",分析!X128,"")</f>
        <v>-125.19187705729928</v>
      </c>
      <c r="P80" s="139" t="str">
        <f>IF(分析!L128&lt;&gt;"",分析!L128,"")</f>
        <v/>
      </c>
      <c r="Q80" s="136" t="str">
        <f>IF(分析!S128&lt;&gt;"",分析!S128,"")</f>
        <v/>
      </c>
      <c r="R80" s="136" t="str">
        <f>IF(分析!R128&lt;&gt;"",分析!R128,"")</f>
        <v/>
      </c>
      <c r="S80" s="131" t="str">
        <f>IF(分析!AA128&lt;&gt;"",分析!AA128,"")</f>
        <v/>
      </c>
      <c r="T80" s="140" t="str">
        <f>IF(分析!Z128&lt;&gt;"",分析!Z128,"")</f>
        <v/>
      </c>
      <c r="U80" s="131" t="str">
        <f>IF(分析!V128&lt;&gt;"",分析!V128,"")</f>
        <v/>
      </c>
      <c r="V80" s="141">
        <f>IF(分析!W128&lt;&gt;"",分析!W128,"")</f>
        <v>41.140776699029125</v>
      </c>
      <c r="W80" s="142" t="str">
        <f>IF(分析!AD128&lt;&gt;"",分析!AD128,"")</f>
        <v>上昇トレンド▲</v>
      </c>
      <c r="X80" s="143" t="e">
        <f>IF(分析!AE128&lt;&gt;"",分析!AE128,"")</f>
        <v>#VALUE!</v>
      </c>
      <c r="Y80" s="144">
        <f>IF(分析!T128&lt;&gt;"",分析!T128,"")</f>
        <v>0</v>
      </c>
      <c r="Z80" s="145" t="e">
        <f>IF(分析!Y128&lt;&gt;"",分析!Y128,"")</f>
        <v>#VALUE!</v>
      </c>
    </row>
    <row r="81" spans="1:26" ht="21.9" customHeight="1">
      <c r="A81" s="146">
        <f>IF(分析!C119&lt;&gt;"",ROW()-2,"")</f>
        <v>79</v>
      </c>
      <c r="B81" s="147" t="str">
        <f>IF(分析!C119&lt;&gt;"",HYPERLINK("https://kabutan.jp/stock/?code="&amp;分析!C119,"株探"),"")</f>
        <v>株探</v>
      </c>
      <c r="C81" s="148">
        <f>IF(分析!C119&lt;&gt;"",分析!C119,"")</f>
        <v>5929</v>
      </c>
      <c r="D81" s="149" t="str">
        <f>IF(分析!D119&lt;&gt;"",分析!D119,"")</f>
        <v/>
      </c>
      <c r="E81" s="150" t="str">
        <f>IF(分析!E119&lt;&gt;"",分析!E119,"")</f>
        <v/>
      </c>
      <c r="F81" s="151" t="str">
        <f>IF(分析!F119&lt;&gt;"",分析!F119,"")</f>
        <v/>
      </c>
      <c r="G81" s="151" t="str">
        <f>IF(分析!H119&lt;&gt;"",分析!H119,"")</f>
        <v/>
      </c>
      <c r="H81" s="151" t="str">
        <f>IF(分析!I119&lt;&gt;"",分析!I119,"")</f>
        <v/>
      </c>
      <c r="I81" s="151" t="str">
        <f>IF(分析!J119&lt;&gt;"",分析!J119,"")</f>
        <v/>
      </c>
      <c r="J81" s="151">
        <f>IF(分析!AB119&lt;&gt;"",分析!AB119,"")</f>
        <v>3503.5437881873718</v>
      </c>
      <c r="K81" s="151">
        <f>IF(分析!AC119&lt;&gt;"",分析!AC119,"")</f>
        <v>3511.7640047675795</v>
      </c>
      <c r="L81" s="151" t="str">
        <f>IF(分析!K119&lt;&gt;"",分析!K119,"")</f>
        <v/>
      </c>
      <c r="M81" s="146" t="str">
        <f>IF(分析!P119&lt;&gt;"",分析!P119,"")</f>
        <v/>
      </c>
      <c r="N81" s="152" t="str">
        <f>IF(分析!O119&lt;&gt;"",分析!O119,"")</f>
        <v/>
      </c>
      <c r="O81" s="153">
        <f>IF(分析!X119&lt;&gt;"",分析!X119,"")</f>
        <v>4.2008744661466153</v>
      </c>
      <c r="P81" s="154" t="str">
        <f>IF(分析!L119&lt;&gt;"",分析!L119,"")</f>
        <v/>
      </c>
      <c r="Q81" s="151" t="str">
        <f>IF(分析!S119&lt;&gt;"",分析!S119,"")</f>
        <v/>
      </c>
      <c r="R81" s="151" t="str">
        <f>IF(分析!R119&lt;&gt;"",分析!R119,"")</f>
        <v/>
      </c>
      <c r="S81" s="146" t="str">
        <f>IF(分析!AA119&lt;&gt;"",分析!AA119,"")</f>
        <v/>
      </c>
      <c r="T81" s="155" t="str">
        <f>IF(分析!Z119&lt;&gt;"",分析!Z119,"")</f>
        <v/>
      </c>
      <c r="U81" s="146" t="str">
        <f>IF(分析!V119&lt;&gt;"",分析!V119,"")</f>
        <v/>
      </c>
      <c r="V81" s="156">
        <f>IF(分析!W119&lt;&gt;"",分析!W119,"")</f>
        <v>46.917293233082709</v>
      </c>
      <c r="W81" s="157" t="str">
        <f>IF(分析!AD119&lt;&gt;"",分析!AD119,"")</f>
        <v>上昇トレンド▲</v>
      </c>
      <c r="X81" s="158" t="e">
        <f>IF(分析!AE119&lt;&gt;"",分析!AE119,"")</f>
        <v>#VALUE!</v>
      </c>
      <c r="Y81" s="159">
        <f>IF(分析!T119&lt;&gt;"",分析!T119,"")</f>
        <v>0</v>
      </c>
      <c r="Z81" s="145" t="e">
        <f>IF(分析!Y119&lt;&gt;"",分析!Y119,"")</f>
        <v>#VALUE!</v>
      </c>
    </row>
    <row r="82" spans="1:26" ht="21.9" customHeight="1">
      <c r="A82" s="131">
        <f>IF(分析!C166&lt;&gt;"",ROW()-2,"")</f>
        <v>80</v>
      </c>
      <c r="B82" s="132" t="str">
        <f>IF(分析!C166&lt;&gt;"",HYPERLINK("https://kabutan.jp/stock/?code="&amp;分析!C166,"株探"),"")</f>
        <v>株探</v>
      </c>
      <c r="C82" s="133">
        <f>IF(分析!C166&lt;&gt;"",分析!C166,"")</f>
        <v>4307</v>
      </c>
      <c r="D82" s="134" t="str">
        <f>IF(分析!D166&lt;&gt;"",分析!D166,"")</f>
        <v/>
      </c>
      <c r="E82" s="135" t="str">
        <f>IF(分析!E166&lt;&gt;"",分析!E166,"")</f>
        <v/>
      </c>
      <c r="F82" s="136" t="str">
        <f>IF(分析!F166&lt;&gt;"",分析!F166,"")</f>
        <v/>
      </c>
      <c r="G82" s="136" t="str">
        <f>IF(分析!H166&lt;&gt;"",分析!H166,"")</f>
        <v/>
      </c>
      <c r="H82" s="136" t="str">
        <f>IF(分析!I166&lt;&gt;"",分析!I166,"")</f>
        <v/>
      </c>
      <c r="I82" s="136" t="str">
        <f>IF(分析!J166&lt;&gt;"",分析!J166,"")</f>
        <v/>
      </c>
      <c r="J82" s="136">
        <f>IF(分析!AB166&lt;&gt;"",分析!AB166,"")</f>
        <v>1989.7647657841133</v>
      </c>
      <c r="K82" s="136">
        <f>IF(分析!AC166&lt;&gt;"",分析!AC166,"")</f>
        <v>1984.972586412395</v>
      </c>
      <c r="L82" s="136" t="str">
        <f>IF(分析!K166&lt;&gt;"",分析!K166,"")</f>
        <v/>
      </c>
      <c r="M82" s="131" t="str">
        <f>IF(分析!P166&lt;&gt;"",分析!P166,"")</f>
        <v/>
      </c>
      <c r="N82" s="137" t="str">
        <f>IF(分析!O166&lt;&gt;"",分析!O166,"")</f>
        <v/>
      </c>
      <c r="O82" s="138">
        <f>IF(分析!X166&lt;&gt;"",分析!X166,"")</f>
        <v>90.413556414409868</v>
      </c>
      <c r="P82" s="139" t="str">
        <f>IF(分析!L166&lt;&gt;"",分析!L166,"")</f>
        <v/>
      </c>
      <c r="Q82" s="136" t="str">
        <f>IF(分析!S166&lt;&gt;"",分析!S166,"")</f>
        <v/>
      </c>
      <c r="R82" s="136" t="str">
        <f>IF(分析!R166&lt;&gt;"",分析!R166,"")</f>
        <v/>
      </c>
      <c r="S82" s="131" t="str">
        <f>IF(分析!AA166&lt;&gt;"",分析!AA166,"")</f>
        <v/>
      </c>
      <c r="T82" s="140" t="str">
        <f>IF(分析!Z166&lt;&gt;"",分析!Z166,"")</f>
        <v/>
      </c>
      <c r="U82" s="131" t="str">
        <f>IF(分析!V166&lt;&gt;"",分析!V166,"")</f>
        <v/>
      </c>
      <c r="V82" s="141">
        <f>IF(分析!W166&lt;&gt;"",分析!W166,"")</f>
        <v>75.093773443360845</v>
      </c>
      <c r="W82" s="142" t="str">
        <f>IF(分析!AD166&lt;&gt;"",分析!AD166,"")</f>
        <v>パーフェクト▲</v>
      </c>
      <c r="X82" s="143" t="e">
        <f>IF(分析!AE166&lt;&gt;"",分析!AE166,"")</f>
        <v>#VALUE!</v>
      </c>
      <c r="Y82" s="144">
        <f>IF(分析!T166&lt;&gt;"",分析!T166,"")</f>
        <v>0</v>
      </c>
      <c r="Z82" s="145" t="e">
        <f>IF(分析!Y166&lt;&gt;"",分析!Y166,"")</f>
        <v>#VALUE!</v>
      </c>
    </row>
    <row r="83" spans="1:26" ht="21.9" customHeight="1">
      <c r="A83" s="146">
        <f>IF(分析!C121&lt;&gt;"",ROW()-2,"")</f>
        <v>81</v>
      </c>
      <c r="B83" s="147" t="str">
        <f>IF(分析!C121&lt;&gt;"",HYPERLINK("https://kabutan.jp/stock/?code="&amp;分析!C121,"株探"),"")</f>
        <v>株探</v>
      </c>
      <c r="C83" s="148">
        <f>IF(分析!C121&lt;&gt;"",分析!C121,"")</f>
        <v>5892</v>
      </c>
      <c r="D83" s="149" t="str">
        <f>IF(分析!D121&lt;&gt;"",分析!D121,"")</f>
        <v/>
      </c>
      <c r="E83" s="150" t="str">
        <f>IF(分析!E121&lt;&gt;"",分析!E121,"")</f>
        <v/>
      </c>
      <c r="F83" s="151" t="str">
        <f>IF(分析!F121&lt;&gt;"",分析!F121,"")</f>
        <v/>
      </c>
      <c r="G83" s="151" t="str">
        <f>IF(分析!H121&lt;&gt;"",分析!H121,"")</f>
        <v/>
      </c>
      <c r="H83" s="151" t="str">
        <f>IF(分析!I121&lt;&gt;"",分析!I121,"")</f>
        <v/>
      </c>
      <c r="I83" s="151" t="str">
        <f>IF(分析!J121&lt;&gt;"",分析!J121,"")</f>
        <v/>
      </c>
      <c r="J83" s="151">
        <f>IF(分析!AB121&lt;&gt;"",分析!AB121,"")</f>
        <v>2547.0397148676161</v>
      </c>
      <c r="K83" s="151">
        <f>IF(分析!AC121&lt;&gt;"",分析!AC121,"")</f>
        <v>2487.6620977353982</v>
      </c>
      <c r="L83" s="151" t="str">
        <f>IF(分析!K121&lt;&gt;"",分析!K121,"")</f>
        <v/>
      </c>
      <c r="M83" s="146" t="str">
        <f>IF(分析!P121&lt;&gt;"",分析!P121,"")</f>
        <v/>
      </c>
      <c r="N83" s="152" t="str">
        <f>IF(分析!O121&lt;&gt;"",分析!O121,"")</f>
        <v/>
      </c>
      <c r="O83" s="153">
        <f>IF(分析!X121&lt;&gt;"",分析!X121,"")</f>
        <v>2.8819908533314447</v>
      </c>
      <c r="P83" s="154" t="str">
        <f>IF(分析!L121&lt;&gt;"",分析!L121,"")</f>
        <v/>
      </c>
      <c r="Q83" s="151" t="str">
        <f>IF(分析!S121&lt;&gt;"",分析!S121,"")</f>
        <v/>
      </c>
      <c r="R83" s="151" t="str">
        <f>IF(分析!R121&lt;&gt;"",分析!R121,"")</f>
        <v/>
      </c>
      <c r="S83" s="146" t="str">
        <f>IF(分析!AA121&lt;&gt;"",分析!AA121,"")</f>
        <v/>
      </c>
      <c r="T83" s="155" t="str">
        <f>IF(分析!Z121&lt;&gt;"",分析!Z121,"")</f>
        <v/>
      </c>
      <c r="U83" s="146" t="str">
        <f>IF(分析!V121&lt;&gt;"",分析!V121,"")</f>
        <v/>
      </c>
      <c r="V83" s="156">
        <f>IF(分析!W121&lt;&gt;"",分析!W121,"")</f>
        <v>60.696517412935329</v>
      </c>
      <c r="W83" s="157" t="str">
        <f>IF(分析!AD121&lt;&gt;"",分析!AD121,"")</f>
        <v>パーフェクト▲</v>
      </c>
      <c r="X83" s="158" t="e">
        <f>IF(分析!AE121&lt;&gt;"",分析!AE121,"")</f>
        <v>#VALUE!</v>
      </c>
      <c r="Y83" s="159">
        <f>IF(分析!T121&lt;&gt;"",分析!T121,"")</f>
        <v>0</v>
      </c>
      <c r="Z83" s="145" t="e">
        <f>IF(分析!Y121&lt;&gt;"",分析!Y121,"")</f>
        <v>#VALUE!</v>
      </c>
    </row>
    <row r="84" spans="1:26" ht="21.9" customHeight="1">
      <c r="A84" s="146">
        <f>IF(分析!C83&lt;&gt;"",ROW()-2,"")</f>
        <v>82</v>
      </c>
      <c r="B84" s="147" t="str">
        <f>IF(分析!C83&lt;&gt;"",HYPERLINK("https://kabutan.jp/stock/?code="&amp;分析!C83,"株探"),"")</f>
        <v>株探</v>
      </c>
      <c r="C84" s="148">
        <f>IF(分析!C83&lt;&gt;"",分析!C83,"")</f>
        <v>6857</v>
      </c>
      <c r="D84" s="149" t="str">
        <f>IF(分析!D83&lt;&gt;"",分析!D83,"")</f>
        <v/>
      </c>
      <c r="E84" s="150" t="str">
        <f>IF(分析!E83&lt;&gt;"",分析!E83,"")</f>
        <v/>
      </c>
      <c r="F84" s="151" t="str">
        <f>IF(分析!F83&lt;&gt;"",分析!F83,"")</f>
        <v/>
      </c>
      <c r="G84" s="151" t="str">
        <f>IF(分析!H83&lt;&gt;"",分析!H83,"")</f>
        <v/>
      </c>
      <c r="H84" s="151" t="str">
        <f>IF(分析!I83&lt;&gt;"",分析!I83,"")</f>
        <v/>
      </c>
      <c r="I84" s="151" t="str">
        <f>IF(分析!J83&lt;&gt;"",分析!J83,"")</f>
        <v/>
      </c>
      <c r="J84" s="151">
        <f>IF(分析!AB83&lt;&gt;"",分析!AB83,"")</f>
        <v>3253.9124236252542</v>
      </c>
      <c r="K84" s="151">
        <f>IF(分析!AC83&lt;&gt;"",分析!AC83,"")</f>
        <v>3220.9713945172812</v>
      </c>
      <c r="L84" s="151" t="str">
        <f>IF(分析!K83&lt;&gt;"",分析!K83,"")</f>
        <v/>
      </c>
      <c r="M84" s="146" t="str">
        <f>IF(分析!P83&lt;&gt;"",分析!P83,"")</f>
        <v/>
      </c>
      <c r="N84" s="152" t="str">
        <f>IF(分析!O83&lt;&gt;"",分析!O83,"")</f>
        <v/>
      </c>
      <c r="O84" s="153">
        <f>IF(分析!X83&lt;&gt;"",分析!X83,"")</f>
        <v>-313.160048798145</v>
      </c>
      <c r="P84" s="154" t="str">
        <f>IF(分析!L83&lt;&gt;"",分析!L83,"")</f>
        <v/>
      </c>
      <c r="Q84" s="151" t="str">
        <f>IF(分析!S83&lt;&gt;"",分析!S83,"")</f>
        <v/>
      </c>
      <c r="R84" s="151" t="str">
        <f>IF(分析!R83&lt;&gt;"",分析!R83,"")</f>
        <v/>
      </c>
      <c r="S84" s="146" t="str">
        <f>IF(分析!AA83&lt;&gt;"",分析!AA83,"")</f>
        <v/>
      </c>
      <c r="T84" s="155" t="str">
        <f>IF(分析!Z83&lt;&gt;"",分析!Z83,"")</f>
        <v/>
      </c>
      <c r="U84" s="146" t="str">
        <f>IF(分析!V83&lt;&gt;"",分析!V83,"")</f>
        <v/>
      </c>
      <c r="V84" s="156">
        <f>IF(分析!W83&lt;&gt;"",分析!W83,"")</f>
        <v>36.793020457280385</v>
      </c>
      <c r="W84" s="157" t="str">
        <f>IF(分析!AD83&lt;&gt;"",分析!AD83,"")</f>
        <v>パーフェクト▲</v>
      </c>
      <c r="X84" s="158" t="e">
        <f>IF(分析!AE83&lt;&gt;"",分析!AE83,"")</f>
        <v>#VALUE!</v>
      </c>
      <c r="Y84" s="159">
        <f>IF(分析!T83&lt;&gt;"",分析!T83,"")</f>
        <v>0</v>
      </c>
      <c r="Z84" s="145" t="e">
        <f>IF(分析!Y83&lt;&gt;"",分析!Y83,"")</f>
        <v>#VALUE!</v>
      </c>
    </row>
    <row r="85" spans="1:26" ht="21.9" customHeight="1">
      <c r="A85" s="146">
        <f>IF(分析!C117&lt;&gt;"",ROW()-2,"")</f>
        <v>83</v>
      </c>
      <c r="B85" s="147" t="str">
        <f>IF(分析!C117&lt;&gt;"",HYPERLINK("https://kabutan.jp/stock/?code="&amp;分析!C117,"株探"),"")</f>
        <v>株探</v>
      </c>
      <c r="C85" s="148">
        <f>IF(分析!C117&lt;&gt;"",分析!C117,"")</f>
        <v>5947</v>
      </c>
      <c r="D85" s="149" t="str">
        <f>IF(分析!D117&lt;&gt;"",分析!D117,"")</f>
        <v/>
      </c>
      <c r="E85" s="150" t="str">
        <f>IF(分析!E117&lt;&gt;"",分析!E117,"")</f>
        <v/>
      </c>
      <c r="F85" s="151" t="str">
        <f>IF(分析!F117&lt;&gt;"",分析!F117,"")</f>
        <v/>
      </c>
      <c r="G85" s="151" t="str">
        <f>IF(分析!H117&lt;&gt;"",分析!H117,"")</f>
        <v/>
      </c>
      <c r="H85" s="151" t="str">
        <f>IF(分析!I117&lt;&gt;"",分析!I117,"")</f>
        <v/>
      </c>
      <c r="I85" s="151" t="str">
        <f>IF(分析!J117&lt;&gt;"",分析!J117,"")</f>
        <v/>
      </c>
      <c r="J85" s="151">
        <f>IF(分析!AB117&lt;&gt;"",分析!AB117,"")</f>
        <v>2898.0020366598765</v>
      </c>
      <c r="K85" s="151">
        <f>IF(分析!AC117&lt;&gt;"",分析!AC117,"")</f>
        <v>2853.9445768772339</v>
      </c>
      <c r="L85" s="151" t="str">
        <f>IF(分析!K117&lt;&gt;"",分析!K117,"")</f>
        <v/>
      </c>
      <c r="M85" s="146" t="str">
        <f>IF(分析!P117&lt;&gt;"",分析!P117,"")</f>
        <v/>
      </c>
      <c r="N85" s="152" t="str">
        <f>IF(分析!O117&lt;&gt;"",分析!O117,"")</f>
        <v/>
      </c>
      <c r="O85" s="153">
        <f>IF(分析!X117&lt;&gt;"",分析!X117,"")</f>
        <v>12.498845720609552</v>
      </c>
      <c r="P85" s="154" t="str">
        <f>IF(分析!L117&lt;&gt;"",分析!L117,"")</f>
        <v/>
      </c>
      <c r="Q85" s="151" t="str">
        <f>IF(分析!S117&lt;&gt;"",分析!S117,"")</f>
        <v/>
      </c>
      <c r="R85" s="151" t="str">
        <f>IF(分析!R117&lt;&gt;"",分析!R117,"")</f>
        <v/>
      </c>
      <c r="S85" s="146" t="str">
        <f>IF(分析!AA117&lt;&gt;"",分析!AA117,"")</f>
        <v/>
      </c>
      <c r="T85" s="155" t="str">
        <f>IF(分析!Z117&lt;&gt;"",分析!Z117,"")</f>
        <v/>
      </c>
      <c r="U85" s="146" t="str">
        <f>IF(分析!V117&lt;&gt;"",分析!V117,"")</f>
        <v/>
      </c>
      <c r="V85" s="156">
        <f>IF(分析!W117&lt;&gt;"",分析!W117,"")</f>
        <v>58.193979933110363</v>
      </c>
      <c r="W85" s="157" t="str">
        <f>IF(分析!AD117&lt;&gt;"",分析!AD117,"")</f>
        <v>パーフェクト▲</v>
      </c>
      <c r="X85" s="158" t="e">
        <f>IF(分析!AE117&lt;&gt;"",分析!AE117,"")</f>
        <v>#VALUE!</v>
      </c>
      <c r="Y85" s="159">
        <f>IF(分析!T117&lt;&gt;"",分析!T117,"")</f>
        <v>0</v>
      </c>
      <c r="Z85" s="145" t="e">
        <f>IF(分析!Y117&lt;&gt;"",分析!Y117,"")</f>
        <v>#VALUE!</v>
      </c>
    </row>
    <row r="86" spans="1:26" ht="21.9" customHeight="1">
      <c r="A86" s="131">
        <f>IF(分析!C206&lt;&gt;"",ROW()-2,"")</f>
        <v>84</v>
      </c>
      <c r="B86" s="132" t="str">
        <f>IF(分析!C206&lt;&gt;"",HYPERLINK("https://kabutan.jp/stock/?code="&amp;分析!C206,"株探"),"")</f>
        <v>株探</v>
      </c>
      <c r="C86" s="133">
        <f>IF(分析!C206&lt;&gt;"",分析!C206,"")</f>
        <v>1605</v>
      </c>
      <c r="D86" s="134" t="str">
        <f>IF(分析!D206&lt;&gt;"",分析!D206,"")</f>
        <v/>
      </c>
      <c r="E86" s="135" t="str">
        <f>IF(分析!E206&lt;&gt;"",分析!E206,"")</f>
        <v/>
      </c>
      <c r="F86" s="136" t="str">
        <f>IF(分析!F206&lt;&gt;"",分析!F206,"")</f>
        <v/>
      </c>
      <c r="G86" s="136" t="str">
        <f>IF(分析!H206&lt;&gt;"",分析!H206,"")</f>
        <v/>
      </c>
      <c r="H86" s="136" t="str">
        <f>IF(分析!I206&lt;&gt;"",分析!I206,"")</f>
        <v/>
      </c>
      <c r="I86" s="136" t="str">
        <f>IF(分析!J206&lt;&gt;"",分析!J206,"")</f>
        <v/>
      </c>
      <c r="J86" s="136">
        <f>IF(分析!AB206&lt;&gt;"",分析!AB206,"")</f>
        <v>5118.1129032258068</v>
      </c>
      <c r="K86" s="136">
        <f>IF(分析!AC206&lt;&gt;"",分析!AC206,"")</f>
        <v>5173.114421930868</v>
      </c>
      <c r="L86" s="136" t="str">
        <f>IF(分析!K206&lt;&gt;"",分析!K206,"")</f>
        <v/>
      </c>
      <c r="M86" s="131" t="str">
        <f>IF(分析!P206&lt;&gt;"",分析!P206,"")</f>
        <v/>
      </c>
      <c r="N86" s="137" t="str">
        <f>IF(分析!O206&lt;&gt;"",分析!O206,"")</f>
        <v/>
      </c>
      <c r="O86" s="138">
        <f>IF(分析!X206&lt;&gt;"",分析!X206,"")</f>
        <v>-0.64156639693510442</v>
      </c>
      <c r="P86" s="139" t="str">
        <f>IF(分析!L206&lt;&gt;"",分析!L206,"")</f>
        <v/>
      </c>
      <c r="Q86" s="136" t="str">
        <f>IF(分析!S206&lt;&gt;"",分析!S206,"")</f>
        <v/>
      </c>
      <c r="R86" s="136" t="str">
        <f>IF(分析!R206&lt;&gt;"",分析!R206,"")</f>
        <v/>
      </c>
      <c r="S86" s="131" t="str">
        <f>IF(分析!AA206&lt;&gt;"",分析!AA206,"")</f>
        <v/>
      </c>
      <c r="T86" s="140" t="str">
        <f>IF(分析!Z206&lt;&gt;"",分析!Z206,"")</f>
        <v/>
      </c>
      <c r="U86" s="131" t="str">
        <f>IF(分析!V206&lt;&gt;"",分析!V206,"")</f>
        <v/>
      </c>
      <c r="V86" s="141">
        <f>IF(分析!W206&lt;&gt;"",分析!W206,"")</f>
        <v>61.058344640434193</v>
      </c>
      <c r="W86" s="142" t="str">
        <f>IF(分析!AD206&lt;&gt;"",分析!AD206,"")</f>
        <v>上昇トレンド▲</v>
      </c>
      <c r="X86" s="143" t="e">
        <f>IF(分析!AE206&lt;&gt;"",分析!AE206,"")</f>
        <v>#VALUE!</v>
      </c>
      <c r="Y86" s="144">
        <f>IF(分析!T206&lt;&gt;"",分析!T206,"")</f>
        <v>0</v>
      </c>
      <c r="Z86" s="145" t="e">
        <f>IF(分析!Y206&lt;&gt;"",分析!Y206,"")</f>
        <v>#VALUE!</v>
      </c>
    </row>
    <row r="87" spans="1:26" ht="21.9" customHeight="1">
      <c r="A87" s="146">
        <f>IF(分析!C169&lt;&gt;"",ROW()-2,"")</f>
        <v>85</v>
      </c>
      <c r="B87" s="147" t="str">
        <f>IF(分析!C169&lt;&gt;"",HYPERLINK("https://kabutan.jp/stock/?code="&amp;分析!C169,"株探"),"")</f>
        <v>株探</v>
      </c>
      <c r="C87" s="148">
        <f>IF(分析!C169&lt;&gt;"",分析!C169,"")</f>
        <v>4091</v>
      </c>
      <c r="D87" s="149" t="str">
        <f>IF(分析!D169&lt;&gt;"",分析!D169,"")</f>
        <v/>
      </c>
      <c r="E87" s="150" t="str">
        <f>IF(分析!E169&lt;&gt;"",分析!E169,"")</f>
        <v/>
      </c>
      <c r="F87" s="151" t="str">
        <f>IF(分析!F169&lt;&gt;"",分析!F169,"")</f>
        <v/>
      </c>
      <c r="G87" s="151" t="str">
        <f>IF(分析!H169&lt;&gt;"",分析!H169,"")</f>
        <v/>
      </c>
      <c r="H87" s="151" t="str">
        <f>IF(分析!I169&lt;&gt;"",分析!I169,"")</f>
        <v/>
      </c>
      <c r="I87" s="151" t="str">
        <f>IF(分析!J169&lt;&gt;"",分析!J169,"")</f>
        <v/>
      </c>
      <c r="J87" s="151">
        <f>IF(分析!AB169&lt;&gt;"",分析!AB169,"")</f>
        <v>3079.4806517311599</v>
      </c>
      <c r="K87" s="151">
        <f>IF(分析!AC169&lt;&gt;"",分析!AC169,"")</f>
        <v>3064.8653158522034</v>
      </c>
      <c r="L87" s="151" t="str">
        <f>IF(分析!K169&lt;&gt;"",分析!K169,"")</f>
        <v/>
      </c>
      <c r="M87" s="146" t="str">
        <f>IF(分析!P169&lt;&gt;"",分析!P169,"")</f>
        <v/>
      </c>
      <c r="N87" s="152" t="str">
        <f>IF(分析!O169&lt;&gt;"",分析!O169,"")</f>
        <v/>
      </c>
      <c r="O87" s="153">
        <f>IF(分析!X169&lt;&gt;"",分析!X169,"")</f>
        <v>71.682849796412484</v>
      </c>
      <c r="P87" s="154" t="str">
        <f>IF(分析!L169&lt;&gt;"",分析!L169,"")</f>
        <v/>
      </c>
      <c r="Q87" s="151" t="str">
        <f>IF(分析!S169&lt;&gt;"",分析!S169,"")</f>
        <v/>
      </c>
      <c r="R87" s="151" t="str">
        <f>IF(分析!R169&lt;&gt;"",分析!R169,"")</f>
        <v/>
      </c>
      <c r="S87" s="146" t="str">
        <f>IF(分析!AA169&lt;&gt;"",分析!AA169,"")</f>
        <v/>
      </c>
      <c r="T87" s="155" t="str">
        <f>IF(分析!Z169&lt;&gt;"",分析!Z169,"")</f>
        <v/>
      </c>
      <c r="U87" s="146" t="str">
        <f>IF(分析!V169&lt;&gt;"",分析!V169,"")</f>
        <v/>
      </c>
      <c r="V87" s="156">
        <f>IF(分析!W169&lt;&gt;"",分析!W169,"")</f>
        <v>73.275024295432459</v>
      </c>
      <c r="W87" s="157" t="str">
        <f>IF(分析!AD169&lt;&gt;"",分析!AD169,"")</f>
        <v>パーフェクト▲</v>
      </c>
      <c r="X87" s="158" t="e">
        <f>IF(分析!AE169&lt;&gt;"",分析!AE169,"")</f>
        <v>#VALUE!</v>
      </c>
      <c r="Y87" s="159">
        <f>IF(分析!T169&lt;&gt;"",分析!T169,"")</f>
        <v>0</v>
      </c>
      <c r="Z87" s="145" t="e">
        <f>IF(分析!Y169&lt;&gt;"",分析!Y169,"")</f>
        <v>#VALUE!</v>
      </c>
    </row>
    <row r="88" spans="1:26" ht="21.9" customHeight="1">
      <c r="A88" s="131">
        <f>IF(分析!C172&lt;&gt;"",ROW()-2,"")</f>
        <v>86</v>
      </c>
      <c r="B88" s="132" t="str">
        <f>IF(分析!C172&lt;&gt;"",HYPERLINK("https://kabutan.jp/stock/?code="&amp;分析!C172,"株探"),"")</f>
        <v>株探</v>
      </c>
      <c r="C88" s="133">
        <f>IF(分析!C172&lt;&gt;"",分析!C172,"")</f>
        <v>4063</v>
      </c>
      <c r="D88" s="134" t="str">
        <f>IF(分析!D172&lt;&gt;"",分析!D172,"")</f>
        <v/>
      </c>
      <c r="E88" s="135" t="str">
        <f>IF(分析!E172&lt;&gt;"",分析!E172,"")</f>
        <v/>
      </c>
      <c r="F88" s="136" t="str">
        <f>IF(分析!F172&lt;&gt;"",分析!F172,"")</f>
        <v/>
      </c>
      <c r="G88" s="136" t="str">
        <f>IF(分析!H172&lt;&gt;"",分析!H172,"")</f>
        <v/>
      </c>
      <c r="H88" s="136" t="str">
        <f>IF(分析!I172&lt;&gt;"",分析!I172,"")</f>
        <v/>
      </c>
      <c r="I88" s="136" t="str">
        <f>IF(分析!J172&lt;&gt;"",分析!J172,"")</f>
        <v/>
      </c>
      <c r="J88" s="136">
        <f>IF(分析!AB172&lt;&gt;"",分析!AB172,"")</f>
        <v>3800.6629327902219</v>
      </c>
      <c r="K88" s="136">
        <f>IF(分析!AC172&lt;&gt;"",分析!AC172,"")</f>
        <v>3578.5530393325357</v>
      </c>
      <c r="L88" s="136" t="str">
        <f>IF(分析!K172&lt;&gt;"",分析!K172,"")</f>
        <v/>
      </c>
      <c r="M88" s="131" t="str">
        <f>IF(分析!P172&lt;&gt;"",分析!P172,"")</f>
        <v/>
      </c>
      <c r="N88" s="137" t="str">
        <f>IF(分析!O172&lt;&gt;"",分析!O172,"")</f>
        <v/>
      </c>
      <c r="O88" s="138">
        <f>IF(分析!X172&lt;&gt;"",分析!X172,"")</f>
        <v>30.035104024457723</v>
      </c>
      <c r="P88" s="139" t="str">
        <f>IF(分析!L172&lt;&gt;"",分析!L172,"")</f>
        <v/>
      </c>
      <c r="Q88" s="136" t="str">
        <f>IF(分析!S172&lt;&gt;"",分析!S172,"")</f>
        <v/>
      </c>
      <c r="R88" s="136" t="str">
        <f>IF(分析!R172&lt;&gt;"",分析!R172,"")</f>
        <v/>
      </c>
      <c r="S88" s="131" t="str">
        <f>IF(分析!AA172&lt;&gt;"",分析!AA172,"")</f>
        <v/>
      </c>
      <c r="T88" s="140" t="str">
        <f>IF(分析!Z172&lt;&gt;"",分析!Z172,"")</f>
        <v/>
      </c>
      <c r="U88" s="131" t="str">
        <f>IF(分析!V172&lt;&gt;"",分析!V172,"")</f>
        <v/>
      </c>
      <c r="V88" s="141">
        <f>IF(分析!W172&lt;&gt;"",分析!W172,"")</f>
        <v>59.775524981897178</v>
      </c>
      <c r="W88" s="142" t="str">
        <f>IF(分析!AD172&lt;&gt;"",分析!AD172,"")</f>
        <v>パーフェクト▲</v>
      </c>
      <c r="X88" s="143" t="e">
        <f>IF(分析!AE172&lt;&gt;"",分析!AE172,"")</f>
        <v>#VALUE!</v>
      </c>
      <c r="Y88" s="144">
        <f>IF(分析!T172&lt;&gt;"",分析!T172,"")</f>
        <v>0</v>
      </c>
      <c r="Z88" s="145" t="e">
        <f>IF(分析!Y172&lt;&gt;"",分析!Y172,"")</f>
        <v>#VALUE!</v>
      </c>
    </row>
    <row r="89" spans="1:26" ht="21.9" customHeight="1">
      <c r="A89" s="146">
        <f>IF(分析!C123&lt;&gt;"",ROW()-2,"")</f>
        <v>87</v>
      </c>
      <c r="B89" s="147" t="str">
        <f>IF(分析!C123&lt;&gt;"",HYPERLINK("https://kabutan.jp/stock/?code="&amp;分析!C123,"株探"),"")</f>
        <v>株探</v>
      </c>
      <c r="C89" s="148">
        <f>IF(分析!C123&lt;&gt;"",分析!C123,"")</f>
        <v>5844</v>
      </c>
      <c r="D89" s="149" t="str">
        <f>IF(分析!D123&lt;&gt;"",分析!D123,"")</f>
        <v/>
      </c>
      <c r="E89" s="150" t="str">
        <f>IF(分析!E123&lt;&gt;"",分析!E123,"")</f>
        <v/>
      </c>
      <c r="F89" s="151" t="str">
        <f>IF(分析!F123&lt;&gt;"",分析!F123,"")</f>
        <v/>
      </c>
      <c r="G89" s="151" t="str">
        <f>IF(分析!H123&lt;&gt;"",分析!H123,"")</f>
        <v/>
      </c>
      <c r="H89" s="151" t="str">
        <f>IF(分析!I123&lt;&gt;"",分析!I123,"")</f>
        <v/>
      </c>
      <c r="I89" s="151" t="str">
        <f>IF(分析!J123&lt;&gt;"",分析!J123,"")</f>
        <v/>
      </c>
      <c r="J89" s="151">
        <f>IF(分析!AB123&lt;&gt;"",分析!AB123,"")</f>
        <v>2504.27698574338</v>
      </c>
      <c r="K89" s="151">
        <f>IF(分析!AC123&lt;&gt;"",分析!AC123,"")</f>
        <v>2454.747318235994</v>
      </c>
      <c r="L89" s="151" t="str">
        <f>IF(分析!K123&lt;&gt;"",分析!K123,"")</f>
        <v/>
      </c>
      <c r="M89" s="146" t="str">
        <f>IF(分析!P123&lt;&gt;"",分析!P123,"")</f>
        <v/>
      </c>
      <c r="N89" s="152" t="str">
        <f>IF(分析!O123&lt;&gt;"",分析!O123,"")</f>
        <v/>
      </c>
      <c r="O89" s="153">
        <f>IF(分析!X123&lt;&gt;"",分析!X123,"")</f>
        <v>12.096814188879762</v>
      </c>
      <c r="P89" s="154" t="str">
        <f>IF(分析!L123&lt;&gt;"",分析!L123,"")</f>
        <v/>
      </c>
      <c r="Q89" s="151" t="str">
        <f>IF(分析!S123&lt;&gt;"",分析!S123,"")</f>
        <v/>
      </c>
      <c r="R89" s="151" t="str">
        <f>IF(分析!R123&lt;&gt;"",分析!R123,"")</f>
        <v/>
      </c>
      <c r="S89" s="146" t="str">
        <f>IF(分析!AA123&lt;&gt;"",分析!AA123,"")</f>
        <v/>
      </c>
      <c r="T89" s="155" t="str">
        <f>IF(分析!Z123&lt;&gt;"",分析!Z123,"")</f>
        <v/>
      </c>
      <c r="U89" s="146" t="str">
        <f>IF(分析!V123&lt;&gt;"",分析!V123,"")</f>
        <v/>
      </c>
      <c r="V89" s="156">
        <f>IF(分析!W123&lt;&gt;"",分析!W123,"")</f>
        <v>66.256830601092901</v>
      </c>
      <c r="W89" s="157" t="str">
        <f>IF(分析!AD123&lt;&gt;"",分析!AD123,"")</f>
        <v>パーフェクト▲</v>
      </c>
      <c r="X89" s="158" t="e">
        <f>IF(分析!AE123&lt;&gt;"",分析!AE123,"")</f>
        <v>#VALUE!</v>
      </c>
      <c r="Y89" s="159">
        <f>IF(分析!T123&lt;&gt;"",分析!T123,"")</f>
        <v>0</v>
      </c>
      <c r="Z89" s="145" t="e">
        <f>IF(分析!Y123&lt;&gt;"",分析!Y123,"")</f>
        <v>#VALUE!</v>
      </c>
    </row>
    <row r="90" spans="1:26" ht="21.9" customHeight="1">
      <c r="A90" s="146">
        <f>IF(分析!C21&lt;&gt;"",ROW()-2,"")</f>
        <v>88</v>
      </c>
      <c r="B90" s="147" t="str">
        <f>IF(分析!C21&lt;&gt;"",HYPERLINK("https://kabutan.jp/stock/?code="&amp;分析!C21,"株探"),"")</f>
        <v>株探</v>
      </c>
      <c r="C90" s="148">
        <f>IF(分析!C21&lt;&gt;"",分析!C21,"")</f>
        <v>9416</v>
      </c>
      <c r="D90" s="149" t="str">
        <f>IF(分析!D21&lt;&gt;"",分析!D21,"")</f>
        <v/>
      </c>
      <c r="E90" s="150" t="str">
        <f>IF(分析!E21&lt;&gt;"",分析!E21,"")</f>
        <v/>
      </c>
      <c r="F90" s="151" t="str">
        <f>IF(分析!F21&lt;&gt;"",分析!F21,"")</f>
        <v/>
      </c>
      <c r="G90" s="151" t="str">
        <f>IF(分析!H21&lt;&gt;"",分析!H21,"")</f>
        <v/>
      </c>
      <c r="H90" s="151" t="str">
        <f>IF(分析!I21&lt;&gt;"",分析!I21,"")</f>
        <v/>
      </c>
      <c r="I90" s="151" t="str">
        <f>IF(分析!J21&lt;&gt;"",分析!J21,"")</f>
        <v/>
      </c>
      <c r="J90" s="151">
        <f>IF(分析!AB21&lt;&gt;"",分析!AB21,"")</f>
        <v>4916.1832993890002</v>
      </c>
      <c r="K90" s="151">
        <f>IF(分析!AC21&lt;&gt;"",分析!AC21,"")</f>
        <v>4874.9594755661474</v>
      </c>
      <c r="L90" s="151" t="str">
        <f>IF(分析!K21&lt;&gt;"",分析!K21,"")</f>
        <v/>
      </c>
      <c r="M90" s="146" t="str">
        <f>IF(分析!P21&lt;&gt;"",分析!P21,"")</f>
        <v/>
      </c>
      <c r="N90" s="152" t="str">
        <f>IF(分析!O21&lt;&gt;"",分析!O21,"")</f>
        <v/>
      </c>
      <c r="O90" s="153">
        <f>IF(分析!X21&lt;&gt;"",分析!X21,"")</f>
        <v>1.8327508866059361</v>
      </c>
      <c r="P90" s="154" t="str">
        <f>IF(分析!L21&lt;&gt;"",分析!L21,"")</f>
        <v/>
      </c>
      <c r="Q90" s="151" t="str">
        <f>IF(分析!S21&lt;&gt;"",分析!S21,"")</f>
        <v/>
      </c>
      <c r="R90" s="151" t="str">
        <f>IF(分析!R21&lt;&gt;"",分析!R21,"")</f>
        <v/>
      </c>
      <c r="S90" s="146" t="str">
        <f>IF(分析!AA21&lt;&gt;"",分析!AA21,"")</f>
        <v/>
      </c>
      <c r="T90" s="155" t="str">
        <f>IF(分析!Z21&lt;&gt;"",分析!Z21,"")</f>
        <v/>
      </c>
      <c r="U90" s="146" t="str">
        <f>IF(分析!V21&lt;&gt;"",分析!V21,"")</f>
        <v/>
      </c>
      <c r="V90" s="156">
        <f>IF(分析!W21&lt;&gt;"",分析!W21,"")</f>
        <v>68.571428571428569</v>
      </c>
      <c r="W90" s="157" t="str">
        <f>IF(分析!AD21&lt;&gt;"",分析!AD21,"")</f>
        <v>パーフェクト▲</v>
      </c>
      <c r="X90" s="158" t="e">
        <f>IF(分析!AE21&lt;&gt;"",分析!AE21,"")</f>
        <v>#VALUE!</v>
      </c>
      <c r="Y90" s="159">
        <f>IF(分析!T21&lt;&gt;"",分析!T21,"")</f>
        <v>0</v>
      </c>
      <c r="Z90" s="145" t="e">
        <f>IF(分析!Y21&lt;&gt;"",分析!Y21,"")</f>
        <v>#VALUE!</v>
      </c>
    </row>
    <row r="91" spans="1:26" ht="21.9" customHeight="1">
      <c r="A91" s="146">
        <f>IF(分析!C177&lt;&gt;"",ROW()-2,"")</f>
        <v>89</v>
      </c>
      <c r="B91" s="147" t="str">
        <f>IF(分析!C177&lt;&gt;"",HYPERLINK("https://kabutan.jp/stock/?code="&amp;分析!C177,"株探"),"")</f>
        <v>株探</v>
      </c>
      <c r="C91" s="148">
        <f>IF(分析!C177&lt;&gt;"",分析!C177,"")</f>
        <v>3891</v>
      </c>
      <c r="D91" s="149" t="str">
        <f>IF(分析!D177&lt;&gt;"",分析!D177,"")</f>
        <v/>
      </c>
      <c r="E91" s="150" t="str">
        <f>IF(分析!E177&lt;&gt;"",分析!E177,"")</f>
        <v/>
      </c>
      <c r="F91" s="151" t="str">
        <f>IF(分析!F177&lt;&gt;"",分析!F177,"")</f>
        <v/>
      </c>
      <c r="G91" s="151" t="str">
        <f>IF(分析!H177&lt;&gt;"",分析!H177,"")</f>
        <v/>
      </c>
      <c r="H91" s="151" t="str">
        <f>IF(分析!I177&lt;&gt;"",分析!I177,"")</f>
        <v/>
      </c>
      <c r="I91" s="151" t="str">
        <f>IF(分析!J177&lt;&gt;"",分析!J177,"")</f>
        <v/>
      </c>
      <c r="J91" s="151">
        <f>IF(分析!AB177&lt;&gt;"",分析!AB177,"")</f>
        <v>2681.0407331975553</v>
      </c>
      <c r="K91" s="151">
        <f>IF(分析!AC177&lt;&gt;"",分析!AC177,"")</f>
        <v>2641.9547079856961</v>
      </c>
      <c r="L91" s="151" t="str">
        <f>IF(分析!K177&lt;&gt;"",分析!K177,"")</f>
        <v/>
      </c>
      <c r="M91" s="146" t="str">
        <f>IF(分析!P177&lt;&gt;"",分析!P177,"")</f>
        <v/>
      </c>
      <c r="N91" s="152" t="str">
        <f>IF(分析!O177&lt;&gt;"",分析!O177,"")</f>
        <v/>
      </c>
      <c r="O91" s="153">
        <f>IF(分析!X177&lt;&gt;"",分析!X177,"")</f>
        <v>-322.84808489127772</v>
      </c>
      <c r="P91" s="154" t="str">
        <f>IF(分析!L177&lt;&gt;"",分析!L177,"")</f>
        <v/>
      </c>
      <c r="Q91" s="151" t="str">
        <f>IF(分析!S177&lt;&gt;"",分析!S177,"")</f>
        <v/>
      </c>
      <c r="R91" s="151" t="str">
        <f>IF(分析!R177&lt;&gt;"",分析!R177,"")</f>
        <v/>
      </c>
      <c r="S91" s="146" t="str">
        <f>IF(分析!AA177&lt;&gt;"",分析!AA177,"")</f>
        <v/>
      </c>
      <c r="T91" s="155" t="str">
        <f>IF(分析!Z177&lt;&gt;"",分析!Z177,"")</f>
        <v/>
      </c>
      <c r="U91" s="146" t="str">
        <f>IF(分析!V177&lt;&gt;"",分析!V177,"")</f>
        <v/>
      </c>
      <c r="V91" s="156">
        <f>IF(分析!W177&lt;&gt;"",分析!W177,"")</f>
        <v>25.44031311154599</v>
      </c>
      <c r="W91" s="157" t="str">
        <f>IF(分析!AD177&lt;&gt;"",分析!AD177,"")</f>
        <v>パーフェクト▲</v>
      </c>
      <c r="X91" s="158" t="e">
        <f>IF(分析!AE177&lt;&gt;"",分析!AE177,"")</f>
        <v>#VALUE!</v>
      </c>
      <c r="Y91" s="159">
        <f>IF(分析!T177&lt;&gt;"",分析!T177,"")</f>
        <v>0</v>
      </c>
      <c r="Z91" s="145" t="e">
        <f>IF(分析!Y177&lt;&gt;"",分析!Y177,"")</f>
        <v>#VALUE!</v>
      </c>
    </row>
    <row r="92" spans="1:26" ht="21.9" customHeight="1">
      <c r="A92" s="131">
        <f>IF(分析!C140&lt;&gt;"",ROW()-2,"")</f>
        <v>90</v>
      </c>
      <c r="B92" s="132" t="str">
        <f>IF(分析!C140&lt;&gt;"",HYPERLINK("https://kabutan.jp/stock/?code="&amp;分析!C140,"株探"),"")</f>
        <v>株探</v>
      </c>
      <c r="C92" s="133">
        <f>IF(分析!C140&lt;&gt;"",分析!C140,"")</f>
        <v>5401</v>
      </c>
      <c r="D92" s="134" t="str">
        <f>IF(分析!D140&lt;&gt;"",分析!D140,"")</f>
        <v/>
      </c>
      <c r="E92" s="135" t="str">
        <f>IF(分析!E140&lt;&gt;"",分析!E140,"")</f>
        <v/>
      </c>
      <c r="F92" s="136" t="str">
        <f>IF(分析!F140&lt;&gt;"",分析!F140,"")</f>
        <v/>
      </c>
      <c r="G92" s="136" t="str">
        <f>IF(分析!H140&lt;&gt;"",分析!H140,"")</f>
        <v/>
      </c>
      <c r="H92" s="136" t="str">
        <f>IF(分析!I140&lt;&gt;"",分析!I140,"")</f>
        <v/>
      </c>
      <c r="I92" s="136" t="str">
        <f>IF(分析!J140&lt;&gt;"",分析!J140,"")</f>
        <v/>
      </c>
      <c r="J92" s="136">
        <f>IF(分析!AB140&lt;&gt;"",分析!AB140,"")</f>
        <v>2725.6558044806511</v>
      </c>
      <c r="K92" s="136">
        <f>IF(分析!AC140&lt;&gt;"",分析!AC140,"")</f>
        <v>2655.8533969010723</v>
      </c>
      <c r="L92" s="136" t="str">
        <f>IF(分析!K140&lt;&gt;"",分析!K140,"")</f>
        <v/>
      </c>
      <c r="M92" s="131" t="str">
        <f>IF(分析!P140&lt;&gt;"",分析!P140,"")</f>
        <v/>
      </c>
      <c r="N92" s="137" t="str">
        <f>IF(分析!O140&lt;&gt;"",分析!O140,"")</f>
        <v/>
      </c>
      <c r="O92" s="138">
        <f>IF(分析!X140&lt;&gt;"",分析!X140,"")</f>
        <v>2.4199988855234551</v>
      </c>
      <c r="P92" s="139" t="str">
        <f>IF(分析!L140&lt;&gt;"",分析!L140,"")</f>
        <v/>
      </c>
      <c r="Q92" s="136" t="str">
        <f>IF(分析!S140&lt;&gt;"",分析!S140,"")</f>
        <v/>
      </c>
      <c r="R92" s="136" t="str">
        <f>IF(分析!R140&lt;&gt;"",分析!R140,"")</f>
        <v/>
      </c>
      <c r="S92" s="131" t="str">
        <f>IF(分析!AA140&lt;&gt;"",分析!AA140,"")</f>
        <v/>
      </c>
      <c r="T92" s="140" t="str">
        <f>IF(分析!Z140&lt;&gt;"",分析!Z140,"")</f>
        <v/>
      </c>
      <c r="U92" s="131" t="str">
        <f>IF(分析!V140&lt;&gt;"",分析!V140,"")</f>
        <v/>
      </c>
      <c r="V92" s="141">
        <f>IF(分析!W140&lt;&gt;"",分析!W140,"")</f>
        <v>66.384522370012036</v>
      </c>
      <c r="W92" s="142" t="str">
        <f>IF(分析!AD140&lt;&gt;"",分析!AD140,"")</f>
        <v>パーフェクト▲</v>
      </c>
      <c r="X92" s="143" t="e">
        <f>IF(分析!AE140&lt;&gt;"",分析!AE140,"")</f>
        <v>#VALUE!</v>
      </c>
      <c r="Y92" s="144">
        <f>IF(分析!T140&lt;&gt;"",分析!T140,"")</f>
        <v>0</v>
      </c>
      <c r="Z92" s="145" t="e">
        <f>IF(分析!Y140&lt;&gt;"",分析!Y140,"")</f>
        <v>#VALUE!</v>
      </c>
    </row>
    <row r="93" spans="1:26" ht="21.9" customHeight="1">
      <c r="A93" s="146">
        <f>IF(分析!C141&lt;&gt;"",ROW()-2,"")</f>
        <v>91</v>
      </c>
      <c r="B93" s="147" t="str">
        <f>IF(分析!C141&lt;&gt;"",HYPERLINK("https://kabutan.jp/stock/?code="&amp;分析!C141,"株探"),"")</f>
        <v>株探</v>
      </c>
      <c r="C93" s="148">
        <f>IF(分析!C141&lt;&gt;"",分析!C141,"")</f>
        <v>5333</v>
      </c>
      <c r="D93" s="149" t="str">
        <f>IF(分析!D141&lt;&gt;"",分析!D141,"")</f>
        <v/>
      </c>
      <c r="E93" s="150" t="str">
        <f>IF(分析!E141&lt;&gt;"",分析!E141,"")</f>
        <v/>
      </c>
      <c r="F93" s="151" t="str">
        <f>IF(分析!F141&lt;&gt;"",分析!F141,"")</f>
        <v/>
      </c>
      <c r="G93" s="151" t="str">
        <f>IF(分析!H141&lt;&gt;"",分析!H141,"")</f>
        <v/>
      </c>
      <c r="H93" s="151" t="str">
        <f>IF(分析!I141&lt;&gt;"",分析!I141,"")</f>
        <v/>
      </c>
      <c r="I93" s="151" t="str">
        <f>IF(分析!J141&lt;&gt;"",分析!J141,"")</f>
        <v/>
      </c>
      <c r="J93" s="151">
        <f>IF(分析!AB141&lt;&gt;"",分析!AB141,"")</f>
        <v>1717.8981670061094</v>
      </c>
      <c r="K93" s="151">
        <f>IF(分析!AC141&lt;&gt;"",分析!AC141,"")</f>
        <v>1582.3825983313457</v>
      </c>
      <c r="L93" s="151" t="str">
        <f>IF(分析!K141&lt;&gt;"",分析!K141,"")</f>
        <v/>
      </c>
      <c r="M93" s="146" t="str">
        <f>IF(分析!P141&lt;&gt;"",分析!P141,"")</f>
        <v/>
      </c>
      <c r="N93" s="152" t="str">
        <f>IF(分析!O141&lt;&gt;"",分析!O141,"")</f>
        <v/>
      </c>
      <c r="O93" s="153">
        <f>IF(分析!X141&lt;&gt;"",分析!X141,"")</f>
        <v>-83.811756932641401</v>
      </c>
      <c r="P93" s="154" t="str">
        <f>IF(分析!L141&lt;&gt;"",分析!L141,"")</f>
        <v/>
      </c>
      <c r="Q93" s="151" t="str">
        <f>IF(分析!S141&lt;&gt;"",分析!S141,"")</f>
        <v/>
      </c>
      <c r="R93" s="151" t="str">
        <f>IF(分析!R141&lt;&gt;"",分析!R141,"")</f>
        <v/>
      </c>
      <c r="S93" s="146" t="str">
        <f>IF(分析!AA141&lt;&gt;"",分析!AA141,"")</f>
        <v/>
      </c>
      <c r="T93" s="155" t="str">
        <f>IF(分析!Z141&lt;&gt;"",分析!Z141,"")</f>
        <v/>
      </c>
      <c r="U93" s="146" t="str">
        <f>IF(分析!V141&lt;&gt;"",分析!V141,"")</f>
        <v/>
      </c>
      <c r="V93" s="156">
        <f>IF(分析!W141&lt;&gt;"",分析!W141,"")</f>
        <v>27.093802345058634</v>
      </c>
      <c r="W93" s="157" t="str">
        <f>IF(分析!AD141&lt;&gt;"",分析!AD141,"")</f>
        <v>パーフェクト▲</v>
      </c>
      <c r="X93" s="158" t="e">
        <f>IF(分析!AE141&lt;&gt;"",分析!AE141,"")</f>
        <v>#VALUE!</v>
      </c>
      <c r="Y93" s="159">
        <f>IF(分析!T141&lt;&gt;"",分析!T141,"")</f>
        <v>0</v>
      </c>
      <c r="Z93" s="145" t="e">
        <f>IF(分析!Y141&lt;&gt;"",分析!Y141,"")</f>
        <v>#VALUE!</v>
      </c>
    </row>
    <row r="94" spans="1:26" ht="21.9" customHeight="1">
      <c r="A94" s="146">
        <f>IF(分析!C7&lt;&gt;"",ROW()-2,"")</f>
        <v>92</v>
      </c>
      <c r="B94" s="147" t="str">
        <f>IF(分析!C7&lt;&gt;"",HYPERLINK("https://kabutan.jp/stock/?code="&amp;分析!C7,"株探"),"")</f>
        <v>株探</v>
      </c>
      <c r="C94" s="148" t="str">
        <f>IF(分析!C7&lt;&gt;"",分析!C7,"")</f>
        <v>4568</v>
      </c>
      <c r="D94" s="149" t="str">
        <f>IF(分析!D7&lt;&gt;"",分析!D7,"")</f>
        <v/>
      </c>
      <c r="E94" s="150" t="str">
        <f>IF(分析!E7&lt;&gt;"",分析!E7,"")</f>
        <v/>
      </c>
      <c r="F94" s="151" t="str">
        <f>IF(分析!F7&lt;&gt;"",分析!F7,"")</f>
        <v/>
      </c>
      <c r="G94" s="151" t="str">
        <f>IF(分析!H7&lt;&gt;"",分析!H7,"")</f>
        <v/>
      </c>
      <c r="H94" s="151" t="str">
        <f>IF(分析!I7&lt;&gt;"",分析!I7,"")</f>
        <v/>
      </c>
      <c r="I94" s="151" t="str">
        <f>IF(分析!J7&lt;&gt;"",分析!J7,"")</f>
        <v/>
      </c>
      <c r="J94" s="151">
        <f>IF(分析!AB7&lt;&gt;"",分析!AB7,"")</f>
        <v>4108.5458248472496</v>
      </c>
      <c r="K94" s="151">
        <f>IF(分析!AC7&lt;&gt;"",分析!AC7,"")</f>
        <v>4316.2562574493431</v>
      </c>
      <c r="L94" s="151" t="str">
        <f>IF(分析!K7&lt;&gt;"",分析!K7,"")</f>
        <v/>
      </c>
      <c r="M94" s="146" t="str">
        <f>IF(分析!P7&lt;&gt;"",分析!P7,"")</f>
        <v/>
      </c>
      <c r="N94" s="152" t="str">
        <f>IF(分析!O7&lt;&gt;"",分析!O7,"")</f>
        <v/>
      </c>
      <c r="O94" s="153">
        <f>IF(分析!X7&lt;&gt;"",分析!X7,"")</f>
        <v>26.727356222561866</v>
      </c>
      <c r="P94" s="154" t="str">
        <f>IF(分析!L7&lt;&gt;"",分析!L7,"")</f>
        <v/>
      </c>
      <c r="Q94" s="151" t="str">
        <f>IF(分析!S7&lt;&gt;"",分析!S7,"")</f>
        <v/>
      </c>
      <c r="R94" s="151" t="str">
        <f>IF(分析!R7&lt;&gt;"",分析!R7,"")</f>
        <v/>
      </c>
      <c r="S94" s="146" t="str">
        <f>IF(分析!AA7&lt;&gt;"",分析!AA7,"")</f>
        <v/>
      </c>
      <c r="T94" s="155" t="str">
        <f>IF(分析!Z7&lt;&gt;"",分析!Z7,"")</f>
        <v/>
      </c>
      <c r="U94" s="146" t="str">
        <f>IF(分析!V7&lt;&gt;"",分析!V7,"")</f>
        <v/>
      </c>
      <c r="V94" s="156">
        <f>IF(分析!W7&lt;&gt;"",分析!W7,"")</f>
        <v>62.628571428571426</v>
      </c>
      <c r="W94" s="157" t="str">
        <f>IF(分析!AD7&lt;&gt;"",分析!AD7,"")</f>
        <v>上昇トレンド▲</v>
      </c>
      <c r="X94" s="158" t="e">
        <f>IF(分析!AE7&lt;&gt;"",分析!AE7,"")</f>
        <v>#VALUE!</v>
      </c>
      <c r="Y94" s="159">
        <f>IF(分析!T7&lt;&gt;"",分析!T7,"")</f>
        <v>0</v>
      </c>
      <c r="Z94" s="145" t="e">
        <f>IF(分析!Y7&lt;&gt;"",分析!Y7,"")</f>
        <v>#VALUE!</v>
      </c>
    </row>
    <row r="95" spans="1:26" ht="21.9" customHeight="1">
      <c r="A95" s="146">
        <f>IF(分析!C165&lt;&gt;"",ROW()-2,"")</f>
        <v>93</v>
      </c>
      <c r="B95" s="147" t="str">
        <f>IF(分析!C165&lt;&gt;"",HYPERLINK("https://kabutan.jp/stock/?code="&amp;分析!C165,"株探"),"")</f>
        <v>株探</v>
      </c>
      <c r="C95" s="148">
        <f>IF(分析!C165&lt;&gt;"",分析!C165,"")</f>
        <v>4373</v>
      </c>
      <c r="D95" s="149" t="str">
        <f>IF(分析!D165&lt;&gt;"",分析!D165,"")</f>
        <v/>
      </c>
      <c r="E95" s="150" t="str">
        <f>IF(分析!E165&lt;&gt;"",分析!E165,"")</f>
        <v/>
      </c>
      <c r="F95" s="151" t="str">
        <f>IF(分析!F165&lt;&gt;"",分析!F165,"")</f>
        <v/>
      </c>
      <c r="G95" s="151" t="str">
        <f>IF(分析!H165&lt;&gt;"",分析!H165,"")</f>
        <v/>
      </c>
      <c r="H95" s="151" t="str">
        <f>IF(分析!I165&lt;&gt;"",分析!I165,"")</f>
        <v/>
      </c>
      <c r="I95" s="151" t="str">
        <f>IF(分析!J165&lt;&gt;"",分析!J165,"")</f>
        <v/>
      </c>
      <c r="J95" s="151">
        <f>IF(分析!AB165&lt;&gt;"",分析!AB165,"")</f>
        <v>3185.7586558044804</v>
      </c>
      <c r="K95" s="151">
        <f>IF(分析!AC165&lt;&gt;"",分析!AC165,"")</f>
        <v>3286.6567342073877</v>
      </c>
      <c r="L95" s="151" t="str">
        <f>IF(分析!K165&lt;&gt;"",分析!K165,"")</f>
        <v/>
      </c>
      <c r="M95" s="146" t="str">
        <f>IF(分析!P165&lt;&gt;"",分析!P165,"")</f>
        <v/>
      </c>
      <c r="N95" s="152" t="str">
        <f>IF(分析!O165&lt;&gt;"",分析!O165,"")</f>
        <v/>
      </c>
      <c r="O95" s="153">
        <f>IF(分析!X165&lt;&gt;"",分析!X165,"")</f>
        <v>14.954161177206174</v>
      </c>
      <c r="P95" s="154" t="str">
        <f>IF(分析!L165&lt;&gt;"",分析!L165,"")</f>
        <v/>
      </c>
      <c r="Q95" s="151" t="str">
        <f>IF(分析!S165&lt;&gt;"",分析!S165,"")</f>
        <v/>
      </c>
      <c r="R95" s="151" t="str">
        <f>IF(分析!R165&lt;&gt;"",分析!R165,"")</f>
        <v/>
      </c>
      <c r="S95" s="146" t="str">
        <f>IF(分析!AA165&lt;&gt;"",分析!AA165,"")</f>
        <v/>
      </c>
      <c r="T95" s="155" t="str">
        <f>IF(分析!Z165&lt;&gt;"",分析!Z165,"")</f>
        <v/>
      </c>
      <c r="U95" s="146" t="str">
        <f>IF(分析!V165&lt;&gt;"",分析!V165,"")</f>
        <v/>
      </c>
      <c r="V95" s="156">
        <f>IF(分析!W165&lt;&gt;"",分析!W165,"")</f>
        <v>73.2</v>
      </c>
      <c r="W95" s="157" t="str">
        <f>IF(分析!AD165&lt;&gt;"",分析!AD165,"")</f>
        <v>上昇トレンド▲</v>
      </c>
      <c r="X95" s="158" t="e">
        <f>IF(分析!AE165&lt;&gt;"",分析!AE165,"")</f>
        <v>#VALUE!</v>
      </c>
      <c r="Y95" s="159">
        <f>IF(分析!T165&lt;&gt;"",分析!T165,"")</f>
        <v>0</v>
      </c>
      <c r="Z95" s="145" t="e">
        <f>IF(分析!Y165&lt;&gt;"",分析!Y165,"")</f>
        <v>#VALUE!</v>
      </c>
    </row>
    <row r="96" spans="1:26" ht="21.9" customHeight="1">
      <c r="A96" s="146">
        <f>IF(分析!C87&lt;&gt;"",ROW()-2,"")</f>
        <v>94</v>
      </c>
      <c r="B96" s="147" t="str">
        <f>IF(分析!C87&lt;&gt;"",HYPERLINK("https://kabutan.jp/stock/?code="&amp;分析!C87,"株探"),"")</f>
        <v>株探</v>
      </c>
      <c r="C96" s="148">
        <f>IF(分析!C87&lt;&gt;"",分析!C87,"")</f>
        <v>6777</v>
      </c>
      <c r="D96" s="149" t="str">
        <f>IF(分析!D87&lt;&gt;"",分析!D87,"")</f>
        <v/>
      </c>
      <c r="E96" s="150" t="str">
        <f>IF(分析!E87&lt;&gt;"",分析!E87,"")</f>
        <v/>
      </c>
      <c r="F96" s="151" t="str">
        <f>IF(分析!F87&lt;&gt;"",分析!F87,"")</f>
        <v/>
      </c>
      <c r="G96" s="151" t="str">
        <f>IF(分析!H87&lt;&gt;"",分析!H87,"")</f>
        <v/>
      </c>
      <c r="H96" s="151" t="str">
        <f>IF(分析!I87&lt;&gt;"",分析!I87,"")</f>
        <v/>
      </c>
      <c r="I96" s="151" t="str">
        <f>IF(分析!J87&lt;&gt;"",分析!J87,"")</f>
        <v/>
      </c>
      <c r="J96" s="151">
        <f>IF(分析!AB87&lt;&gt;"",分析!AB87,"")</f>
        <v>2063.9012219959263</v>
      </c>
      <c r="K96" s="151">
        <f>IF(分析!AC87&lt;&gt;"",分析!AC87,"")</f>
        <v>2065.892729439809</v>
      </c>
      <c r="L96" s="151" t="str">
        <f>IF(分析!K87&lt;&gt;"",分析!K87,"")</f>
        <v/>
      </c>
      <c r="M96" s="146" t="str">
        <f>IF(分析!P87&lt;&gt;"",分析!P87,"")</f>
        <v/>
      </c>
      <c r="N96" s="152" t="str">
        <f>IF(分析!O87&lt;&gt;"",分析!O87,"")</f>
        <v/>
      </c>
      <c r="O96" s="153">
        <f>IF(分析!X87&lt;&gt;"",分析!X87,"")</f>
        <v>-957.55830105994028</v>
      </c>
      <c r="P96" s="154" t="str">
        <f>IF(分析!L87&lt;&gt;"",分析!L87,"")</f>
        <v/>
      </c>
      <c r="Q96" s="151" t="str">
        <f>IF(分析!S87&lt;&gt;"",分析!S87,"")</f>
        <v/>
      </c>
      <c r="R96" s="151" t="str">
        <f>IF(分析!R87&lt;&gt;"",分析!R87,"")</f>
        <v/>
      </c>
      <c r="S96" s="146" t="str">
        <f>IF(分析!AA87&lt;&gt;"",分析!AA87,"")</f>
        <v/>
      </c>
      <c r="T96" s="155" t="str">
        <f>IF(分析!Z87&lt;&gt;"",分析!Z87,"")</f>
        <v/>
      </c>
      <c r="U96" s="146" t="str">
        <f>IF(分析!V87&lt;&gt;"",分析!V87,"")</f>
        <v/>
      </c>
      <c r="V96" s="156">
        <f>IF(分析!W87&lt;&gt;"",分析!W87,"")</f>
        <v>18.655967903711144</v>
      </c>
      <c r="W96" s="157" t="str">
        <f>IF(分析!AD87&lt;&gt;"",分析!AD87,"")</f>
        <v>上昇トレンド▲</v>
      </c>
      <c r="X96" s="158" t="e">
        <f>IF(分析!AE87&lt;&gt;"",分析!AE87,"")</f>
        <v>#VALUE!</v>
      </c>
      <c r="Y96" s="159">
        <f>IF(分析!T87&lt;&gt;"",分析!T87,"")</f>
        <v>0</v>
      </c>
      <c r="Z96" s="145" t="e">
        <f>IF(分析!Y87&lt;&gt;"",分析!Y87,"")</f>
        <v>#VALUE!</v>
      </c>
    </row>
    <row r="97" spans="1:26" ht="21.9" customHeight="1">
      <c r="A97" s="131">
        <f>IF(分析!C46&lt;&gt;"",ROW()-2,"")</f>
        <v>95</v>
      </c>
      <c r="B97" s="132" t="str">
        <f>IF(分析!C46&lt;&gt;"",HYPERLINK("https://kabutan.jp/stock/?code="&amp;分析!C46,"株探"),"")</f>
        <v>株探</v>
      </c>
      <c r="C97" s="133">
        <f>IF(分析!C46&lt;&gt;"",分析!C46,"")</f>
        <v>8424</v>
      </c>
      <c r="D97" s="134" t="str">
        <f>IF(分析!D46&lt;&gt;"",分析!D46,"")</f>
        <v/>
      </c>
      <c r="E97" s="135" t="str">
        <f>IF(分析!E46&lt;&gt;"",分析!E46,"")</f>
        <v/>
      </c>
      <c r="F97" s="136" t="str">
        <f>IF(分析!F46&lt;&gt;"",分析!F46,"")</f>
        <v/>
      </c>
      <c r="G97" s="136" t="str">
        <f>IF(分析!H46&lt;&gt;"",分析!H46,"")</f>
        <v/>
      </c>
      <c r="H97" s="136" t="str">
        <f>IF(分析!I46&lt;&gt;"",分析!I46,"")</f>
        <v/>
      </c>
      <c r="I97" s="136" t="str">
        <f>IF(分析!J46&lt;&gt;"",分析!J46,"")</f>
        <v/>
      </c>
      <c r="J97" s="136">
        <f>IF(分析!AB46&lt;&gt;"",分析!AB46,"")</f>
        <v>1425.2958248472501</v>
      </c>
      <c r="K97" s="136">
        <f>IF(分析!AC46&lt;&gt;"",分析!AC46,"")</f>
        <v>1417.7622169249103</v>
      </c>
      <c r="L97" s="136" t="str">
        <f>IF(分析!K46&lt;&gt;"",分析!K46,"")</f>
        <v/>
      </c>
      <c r="M97" s="131" t="str">
        <f>IF(分析!P46&lt;&gt;"",分析!P46,"")</f>
        <v/>
      </c>
      <c r="N97" s="137" t="str">
        <f>IF(分析!O46&lt;&gt;"",分析!O46,"")</f>
        <v/>
      </c>
      <c r="O97" s="138">
        <f>IF(分析!X46&lt;&gt;"",分析!X46,"")</f>
        <v>12.376004521593131</v>
      </c>
      <c r="P97" s="139" t="str">
        <f>IF(分析!L46&lt;&gt;"",分析!L46,"")</f>
        <v/>
      </c>
      <c r="Q97" s="136" t="str">
        <f>IF(分析!S46&lt;&gt;"",分析!S46,"")</f>
        <v/>
      </c>
      <c r="R97" s="136" t="str">
        <f>IF(分析!R46&lt;&gt;"",分析!R46,"")</f>
        <v/>
      </c>
      <c r="S97" s="131" t="str">
        <f>IF(分析!AA46&lt;&gt;"",分析!AA46,"")</f>
        <v/>
      </c>
      <c r="T97" s="140" t="str">
        <f>IF(分析!Z46&lt;&gt;"",分析!Z46,"")</f>
        <v/>
      </c>
      <c r="U97" s="131" t="str">
        <f>IF(分析!V46&lt;&gt;"",分析!V46,"")</f>
        <v/>
      </c>
      <c r="V97" s="141">
        <f>IF(分析!W46&lt;&gt;"",分析!W46,"")</f>
        <v>76.012461059190031</v>
      </c>
      <c r="W97" s="142" t="str">
        <f>IF(分析!AD46&lt;&gt;"",分析!AD46,"")</f>
        <v>パーフェクト▲</v>
      </c>
      <c r="X97" s="143" t="e">
        <f>IF(分析!AE46&lt;&gt;"",分析!AE46,"")</f>
        <v>#VALUE!</v>
      </c>
      <c r="Y97" s="144">
        <f>IF(分析!T46&lt;&gt;"",分析!T46,"")</f>
        <v>0</v>
      </c>
      <c r="Z97" s="145" t="e">
        <f>IF(分析!Y46&lt;&gt;"",分析!Y46,"")</f>
        <v>#VALUE!</v>
      </c>
    </row>
    <row r="98" spans="1:26" ht="21.9" customHeight="1">
      <c r="A98" s="146">
        <f>IF(分析!C69&lt;&gt;"",ROW()-2,"")</f>
        <v>96</v>
      </c>
      <c r="B98" s="147" t="str">
        <f>IF(分析!C69&lt;&gt;"",HYPERLINK("https://kabutan.jp/stock/?code="&amp;分析!C69,"株探"),"")</f>
        <v>株探</v>
      </c>
      <c r="C98" s="148">
        <f>IF(分析!C69&lt;&gt;"",分析!C69,"")</f>
        <v>7685</v>
      </c>
      <c r="D98" s="149" t="str">
        <f>IF(分析!D69&lt;&gt;"",分析!D69,"")</f>
        <v/>
      </c>
      <c r="E98" s="150" t="str">
        <f>IF(分析!E69&lt;&gt;"",分析!E69,"")</f>
        <v/>
      </c>
      <c r="F98" s="151" t="str">
        <f>IF(分析!F69&lt;&gt;"",分析!F69,"")</f>
        <v/>
      </c>
      <c r="G98" s="151" t="str">
        <f>IF(分析!H69&lt;&gt;"",分析!H69,"")</f>
        <v/>
      </c>
      <c r="H98" s="151" t="str">
        <f>IF(分析!I69&lt;&gt;"",分析!I69,"")</f>
        <v/>
      </c>
      <c r="I98" s="151" t="str">
        <f>IF(分析!J69&lt;&gt;"",分析!J69,"")</f>
        <v/>
      </c>
      <c r="J98" s="151">
        <f>IF(分析!AB69&lt;&gt;"",分析!AB69,"")</f>
        <v>2385.0692464358444</v>
      </c>
      <c r="K98" s="151">
        <f>IF(分析!AC69&lt;&gt;"",分析!AC69,"")</f>
        <v>2324.0262216924898</v>
      </c>
      <c r="L98" s="151" t="str">
        <f>IF(分析!K69&lt;&gt;"",分析!K69,"")</f>
        <v/>
      </c>
      <c r="M98" s="146" t="str">
        <f>IF(分析!P69&lt;&gt;"",分析!P69,"")</f>
        <v/>
      </c>
      <c r="N98" s="152" t="str">
        <f>IF(分析!O69&lt;&gt;"",分析!O69,"")</f>
        <v/>
      </c>
      <c r="O98" s="153">
        <f>IF(分析!X69&lt;&gt;"",分析!X69,"")</f>
        <v>-1.2784340806952059</v>
      </c>
      <c r="P98" s="154" t="str">
        <f>IF(分析!L69&lt;&gt;"",分析!L69,"")</f>
        <v/>
      </c>
      <c r="Q98" s="151" t="str">
        <f>IF(分析!S69&lt;&gt;"",分析!S69,"")</f>
        <v/>
      </c>
      <c r="R98" s="151" t="str">
        <f>IF(分析!R69&lt;&gt;"",分析!R69,"")</f>
        <v/>
      </c>
      <c r="S98" s="146" t="str">
        <f>IF(分析!AA69&lt;&gt;"",分析!AA69,"")</f>
        <v/>
      </c>
      <c r="T98" s="155" t="str">
        <f>IF(分析!Z69&lt;&gt;"",分析!Z69,"")</f>
        <v/>
      </c>
      <c r="U98" s="146" t="str">
        <f>IF(分析!V69&lt;&gt;"",分析!V69,"")</f>
        <v/>
      </c>
      <c r="V98" s="156">
        <f>IF(分析!W69&lt;&gt;"",分析!W69,"")</f>
        <v>54.794520547945204</v>
      </c>
      <c r="W98" s="157" t="str">
        <f>IF(分析!AD69&lt;&gt;"",分析!AD69,"")</f>
        <v>パーフェクト▲</v>
      </c>
      <c r="X98" s="158" t="e">
        <f>IF(分析!AE69&lt;&gt;"",分析!AE69,"")</f>
        <v>#VALUE!</v>
      </c>
      <c r="Y98" s="159">
        <f>IF(分析!T69&lt;&gt;"",分析!T69,"")</f>
        <v>0</v>
      </c>
      <c r="Z98" s="145" t="e">
        <f>IF(分析!Y69&lt;&gt;"",分析!Y69,"")</f>
        <v>#VALUE!</v>
      </c>
    </row>
    <row r="99" spans="1:26" ht="21.9" customHeight="1">
      <c r="A99" s="131">
        <f>IF(分析!C96&lt;&gt;"",ROW()-2,"")</f>
        <v>97</v>
      </c>
      <c r="B99" s="132" t="str">
        <f>IF(分析!C96&lt;&gt;"",HYPERLINK("https://kabutan.jp/stock/?code="&amp;分析!C96,"株探"),"")</f>
        <v>株探</v>
      </c>
      <c r="C99" s="133">
        <f>IF(分析!C96&lt;&gt;"",分析!C96,"")</f>
        <v>6516</v>
      </c>
      <c r="D99" s="134" t="str">
        <f>IF(分析!D96&lt;&gt;"",分析!D96,"")</f>
        <v/>
      </c>
      <c r="E99" s="135" t="str">
        <f>IF(分析!E96&lt;&gt;"",分析!E96,"")</f>
        <v/>
      </c>
      <c r="F99" s="136" t="str">
        <f>IF(分析!F96&lt;&gt;"",分析!F96,"")</f>
        <v/>
      </c>
      <c r="G99" s="136" t="str">
        <f>IF(分析!H96&lt;&gt;"",分析!H96,"")</f>
        <v/>
      </c>
      <c r="H99" s="136" t="str">
        <f>IF(分析!I96&lt;&gt;"",分析!I96,"")</f>
        <v/>
      </c>
      <c r="I99" s="136" t="str">
        <f>IF(分析!J96&lt;&gt;"",分析!J96,"")</f>
        <v/>
      </c>
      <c r="J99" s="136">
        <f>IF(分析!AB96&lt;&gt;"",分析!AB96,"")</f>
        <v>1185.2265784114052</v>
      </c>
      <c r="K99" s="136">
        <f>IF(分析!AC96&lt;&gt;"",分析!AC96,"")</f>
        <v>1147.3450536352796</v>
      </c>
      <c r="L99" s="136" t="str">
        <f>IF(分析!K96&lt;&gt;"",分析!K96,"")</f>
        <v/>
      </c>
      <c r="M99" s="131" t="str">
        <f>IF(分析!P96&lt;&gt;"",分析!P96,"")</f>
        <v/>
      </c>
      <c r="N99" s="137" t="str">
        <f>IF(分析!O96&lt;&gt;"",分析!O96,"")</f>
        <v/>
      </c>
      <c r="O99" s="138">
        <f>IF(分析!X96&lt;&gt;"",分析!X96,"")</f>
        <v>-143.93282889997045</v>
      </c>
      <c r="P99" s="139" t="str">
        <f>IF(分析!L96&lt;&gt;"",分析!L96,"")</f>
        <v/>
      </c>
      <c r="Q99" s="136" t="str">
        <f>IF(分析!S96&lt;&gt;"",分析!S96,"")</f>
        <v/>
      </c>
      <c r="R99" s="136" t="str">
        <f>IF(分析!R96&lt;&gt;"",分析!R96,"")</f>
        <v/>
      </c>
      <c r="S99" s="131" t="str">
        <f>IF(分析!AA96&lt;&gt;"",分析!AA96,"")</f>
        <v/>
      </c>
      <c r="T99" s="140" t="str">
        <f>IF(分析!Z96&lt;&gt;"",分析!Z96,"")</f>
        <v/>
      </c>
      <c r="U99" s="131" t="str">
        <f>IF(分析!V96&lt;&gt;"",分析!V96,"")</f>
        <v/>
      </c>
      <c r="V99" s="141">
        <f>IF(分析!W96&lt;&gt;"",分析!W96,"")</f>
        <v>17.741935483870975</v>
      </c>
      <c r="W99" s="142" t="str">
        <f>IF(分析!AD96&lt;&gt;"",分析!AD96,"")</f>
        <v>パーフェクト▲</v>
      </c>
      <c r="X99" s="143" t="e">
        <f>IF(分析!AE96&lt;&gt;"",分析!AE96,"")</f>
        <v>#VALUE!</v>
      </c>
      <c r="Y99" s="144">
        <f>IF(分析!T96&lt;&gt;"",分析!T96,"")</f>
        <v>0</v>
      </c>
      <c r="Z99" s="145" t="e">
        <f>IF(分析!Y96&lt;&gt;"",分析!Y96,"")</f>
        <v>#VALUE!</v>
      </c>
    </row>
    <row r="100" spans="1:26" ht="21.9" customHeight="1">
      <c r="A100" s="131">
        <f>IF(分析!C98&lt;&gt;"",ROW()-2,"")</f>
        <v>98</v>
      </c>
      <c r="B100" s="132" t="str">
        <f>IF(分析!C98&lt;&gt;"",HYPERLINK("https://kabutan.jp/stock/?code="&amp;分析!C98,"株探"),"")</f>
        <v>株探</v>
      </c>
      <c r="C100" s="133">
        <f>IF(分析!C98&lt;&gt;"",分析!C98,"")</f>
        <v>6506</v>
      </c>
      <c r="D100" s="134" t="str">
        <f>IF(分析!D98&lt;&gt;"",分析!D98,"")</f>
        <v/>
      </c>
      <c r="E100" s="135" t="str">
        <f>IF(分析!E98&lt;&gt;"",分析!E98,"")</f>
        <v/>
      </c>
      <c r="F100" s="136" t="str">
        <f>IF(分析!F98&lt;&gt;"",分析!F98,"")</f>
        <v/>
      </c>
      <c r="G100" s="136" t="str">
        <f>IF(分析!H98&lt;&gt;"",分析!H98,"")</f>
        <v/>
      </c>
      <c r="H100" s="136" t="str">
        <f>IF(分析!I98&lt;&gt;"",分析!I98,"")</f>
        <v/>
      </c>
      <c r="I100" s="136" t="str">
        <f>IF(分析!J98&lt;&gt;"",分析!J98,"")</f>
        <v/>
      </c>
      <c r="J100" s="136">
        <f>IF(分析!AB98&lt;&gt;"",分析!AB98,"")</f>
        <v>2418.9098778004068</v>
      </c>
      <c r="K100" s="136">
        <f>IF(分析!AC98&lt;&gt;"",分析!AC98,"")</f>
        <v>2391.6036948748497</v>
      </c>
      <c r="L100" s="136" t="str">
        <f>IF(分析!K98&lt;&gt;"",分析!K98,"")</f>
        <v/>
      </c>
      <c r="M100" s="131" t="str">
        <f>IF(分析!P98&lt;&gt;"",分析!P98,"")</f>
        <v/>
      </c>
      <c r="N100" s="137" t="str">
        <f>IF(分析!O98&lt;&gt;"",分析!O98,"")</f>
        <v/>
      </c>
      <c r="O100" s="138">
        <f>IF(分析!X98&lt;&gt;"",分析!X98,"")</f>
        <v>-150.88709157415633</v>
      </c>
      <c r="P100" s="139" t="str">
        <f>IF(分析!L98&lt;&gt;"",分析!L98,"")</f>
        <v/>
      </c>
      <c r="Q100" s="136" t="str">
        <f>IF(分析!S98&lt;&gt;"",分析!S98,"")</f>
        <v/>
      </c>
      <c r="R100" s="136" t="str">
        <f>IF(分析!R98&lt;&gt;"",分析!R98,"")</f>
        <v/>
      </c>
      <c r="S100" s="131" t="str">
        <f>IF(分析!AA98&lt;&gt;"",分析!AA98,"")</f>
        <v/>
      </c>
      <c r="T100" s="140" t="str">
        <f>IF(分析!Z98&lt;&gt;"",分析!Z98,"")</f>
        <v/>
      </c>
      <c r="U100" s="131" t="str">
        <f>IF(分析!V98&lt;&gt;"",分析!V98,"")</f>
        <v/>
      </c>
      <c r="V100" s="141">
        <f>IF(分析!W98&lt;&gt;"",分析!W98,"")</f>
        <v>31.043535331437312</v>
      </c>
      <c r="W100" s="142" t="str">
        <f>IF(分析!AD98&lt;&gt;"",分析!AD98,"")</f>
        <v>パーフェクト▲</v>
      </c>
      <c r="X100" s="143" t="e">
        <f>IF(分析!AE98&lt;&gt;"",分析!AE98,"")</f>
        <v>#VALUE!</v>
      </c>
      <c r="Y100" s="144">
        <f>IF(分析!T98&lt;&gt;"",分析!T98,"")</f>
        <v>0</v>
      </c>
      <c r="Z100" s="145" t="e">
        <f>IF(分析!Y98&lt;&gt;"",分析!Y98,"")</f>
        <v>#VALUE!</v>
      </c>
    </row>
    <row r="101" spans="1:26" ht="21.9" customHeight="1">
      <c r="A101" s="131">
        <f>IF(分析!C108&lt;&gt;"",ROW()-2,"")</f>
        <v>99</v>
      </c>
      <c r="B101" s="132" t="str">
        <f>IF(分析!C108&lt;&gt;"",HYPERLINK("https://kabutan.jp/stock/?code="&amp;分析!C108,"株探"),"")</f>
        <v>株探</v>
      </c>
      <c r="C101" s="133">
        <f>IF(分析!C108&lt;&gt;"",分析!C108,"")</f>
        <v>6254</v>
      </c>
      <c r="D101" s="134" t="str">
        <f>IF(分析!D108&lt;&gt;"",分析!D108,"")</f>
        <v/>
      </c>
      <c r="E101" s="135" t="str">
        <f>IF(分析!E108&lt;&gt;"",分析!E108,"")</f>
        <v/>
      </c>
      <c r="F101" s="136" t="str">
        <f>IF(分析!F108&lt;&gt;"",分析!F108,"")</f>
        <v/>
      </c>
      <c r="G101" s="136" t="str">
        <f>IF(分析!H108&lt;&gt;"",分析!H108,"")</f>
        <v/>
      </c>
      <c r="H101" s="136" t="str">
        <f>IF(分析!I108&lt;&gt;"",分析!I108,"")</f>
        <v/>
      </c>
      <c r="I101" s="136" t="str">
        <f>IF(分析!J108&lt;&gt;"",分析!J108,"")</f>
        <v/>
      </c>
      <c r="J101" s="136">
        <f>IF(分析!AB108&lt;&gt;"",分析!AB108,"")</f>
        <v>2128.173116089612</v>
      </c>
      <c r="K101" s="136">
        <f>IF(分析!AC108&lt;&gt;"",分析!AC108,"")</f>
        <v>2018.0095351609059</v>
      </c>
      <c r="L101" s="136" t="str">
        <f>IF(分析!K108&lt;&gt;"",分析!K108,"")</f>
        <v/>
      </c>
      <c r="M101" s="131" t="str">
        <f>IF(分析!P108&lt;&gt;"",分析!P108,"")</f>
        <v/>
      </c>
      <c r="N101" s="137" t="str">
        <f>IF(分析!O108&lt;&gt;"",分析!O108,"")</f>
        <v/>
      </c>
      <c r="O101" s="138">
        <f>IF(分析!X108&lt;&gt;"",分析!X108,"")</f>
        <v>-70.386215913928936</v>
      </c>
      <c r="P101" s="139" t="str">
        <f>IF(分析!L108&lt;&gt;"",分析!L108,"")</f>
        <v/>
      </c>
      <c r="Q101" s="136" t="str">
        <f>IF(分析!S108&lt;&gt;"",分析!S108,"")</f>
        <v/>
      </c>
      <c r="R101" s="136" t="str">
        <f>IF(分析!R108&lt;&gt;"",分析!R108,"")</f>
        <v/>
      </c>
      <c r="S101" s="131" t="str">
        <f>IF(分析!AA108&lt;&gt;"",分析!AA108,"")</f>
        <v/>
      </c>
      <c r="T101" s="140" t="str">
        <f>IF(分析!Z108&lt;&gt;"",分析!Z108,"")</f>
        <v/>
      </c>
      <c r="U101" s="131" t="str">
        <f>IF(分析!V108&lt;&gt;"",分析!V108,"")</f>
        <v/>
      </c>
      <c r="V101" s="141">
        <f>IF(分析!W108&lt;&gt;"",分析!W108,"")</f>
        <v>41.062801932367151</v>
      </c>
      <c r="W101" s="142" t="str">
        <f>IF(分析!AD108&lt;&gt;"",分析!AD108,"")</f>
        <v>パーフェクト▲</v>
      </c>
      <c r="X101" s="143" t="e">
        <f>IF(分析!AE108&lt;&gt;"",分析!AE108,"")</f>
        <v>#VALUE!</v>
      </c>
      <c r="Y101" s="144">
        <f>IF(分析!T108&lt;&gt;"",分析!T108,"")</f>
        <v>0</v>
      </c>
      <c r="Z101" s="145" t="e">
        <f>IF(分析!Y108&lt;&gt;"",分析!Y108,"")</f>
        <v>#VALUE!</v>
      </c>
    </row>
    <row r="102" spans="1:26" ht="21.9" customHeight="1">
      <c r="A102" s="146">
        <f>IF(分析!C155&lt;&gt;"",ROW()-2,"")</f>
        <v>100</v>
      </c>
      <c r="B102" s="147" t="str">
        <f>IF(分析!C155&lt;&gt;"",HYPERLINK("https://kabutan.jp/stock/?code="&amp;分析!C155,"株探"),"")</f>
        <v>株探</v>
      </c>
      <c r="C102" s="148">
        <f>IF(分析!C155&lt;&gt;"",分析!C155,"")</f>
        <v>4676</v>
      </c>
      <c r="D102" s="149" t="str">
        <f>IF(分析!D155&lt;&gt;"",分析!D155,"")</f>
        <v/>
      </c>
      <c r="E102" s="150" t="str">
        <f>IF(分析!E155&lt;&gt;"",分析!E155,"")</f>
        <v/>
      </c>
      <c r="F102" s="151" t="str">
        <f>IF(分析!F155&lt;&gt;"",分析!F155,"")</f>
        <v/>
      </c>
      <c r="G102" s="151" t="str">
        <f>IF(分析!H155&lt;&gt;"",分析!H155,"")</f>
        <v/>
      </c>
      <c r="H102" s="151" t="str">
        <f>IF(分析!I155&lt;&gt;"",分析!I155,"")</f>
        <v/>
      </c>
      <c r="I102" s="151" t="str">
        <f>IF(分析!J155&lt;&gt;"",分析!J155,"")</f>
        <v/>
      </c>
      <c r="J102" s="151">
        <f>IF(分析!AB155&lt;&gt;"",分析!AB155,"")</f>
        <v>6081.7545824847239</v>
      </c>
      <c r="K102" s="151">
        <f>IF(分析!AC155&lt;&gt;"",分析!AC155,"")</f>
        <v>5980.7771156138206</v>
      </c>
      <c r="L102" s="151" t="str">
        <f>IF(分析!K155&lt;&gt;"",分析!K155,"")</f>
        <v/>
      </c>
      <c r="M102" s="146" t="str">
        <f>IF(分析!P155&lt;&gt;"",分析!P155,"")</f>
        <v/>
      </c>
      <c r="N102" s="152" t="str">
        <f>IF(分析!O155&lt;&gt;"",分析!O155,"")</f>
        <v/>
      </c>
      <c r="O102" s="153">
        <f>IF(分析!X155&lt;&gt;"",分析!X155,"")</f>
        <v>24.30890904676744</v>
      </c>
      <c r="P102" s="154" t="str">
        <f>IF(分析!L155&lt;&gt;"",分析!L155,"")</f>
        <v/>
      </c>
      <c r="Q102" s="151" t="str">
        <f>IF(分析!S155&lt;&gt;"",分析!S155,"")</f>
        <v/>
      </c>
      <c r="R102" s="151" t="str">
        <f>IF(分析!R155&lt;&gt;"",分析!R155,"")</f>
        <v/>
      </c>
      <c r="S102" s="146" t="str">
        <f>IF(分析!AA155&lt;&gt;"",分析!AA155,"")</f>
        <v/>
      </c>
      <c r="T102" s="155" t="str">
        <f>IF(分析!Z155&lt;&gt;"",分析!Z155,"")</f>
        <v/>
      </c>
      <c r="U102" s="146" t="str">
        <f>IF(分析!V155&lt;&gt;"",分析!V155,"")</f>
        <v/>
      </c>
      <c r="V102" s="156">
        <f>IF(分析!W155&lt;&gt;"",分析!W155,"")</f>
        <v>66.068515497553022</v>
      </c>
      <c r="W102" s="157" t="str">
        <f>IF(分析!AD155&lt;&gt;"",分析!AD155,"")</f>
        <v>パーフェクト▲</v>
      </c>
      <c r="X102" s="158" t="e">
        <f>IF(分析!AE155&lt;&gt;"",分析!AE155,"")</f>
        <v>#VALUE!</v>
      </c>
      <c r="Y102" s="159">
        <f>IF(分析!T155&lt;&gt;"",分析!T155,"")</f>
        <v>0</v>
      </c>
      <c r="Z102" s="145" t="e">
        <f>IF(分析!Y155&lt;&gt;"",分析!Y155,"")</f>
        <v>#VALUE!</v>
      </c>
    </row>
    <row r="103" spans="1:26" ht="21.9" customHeight="1">
      <c r="A103" s="146">
        <f>IF(分析!C139&lt;&gt;"",ROW()-2,"")</f>
        <v>101</v>
      </c>
      <c r="B103" s="147" t="str">
        <f>IF(分析!C139&lt;&gt;"",HYPERLINK("https://kabutan.jp/stock/?code="&amp;分析!C139,"株探"),"")</f>
        <v>株探</v>
      </c>
      <c r="C103" s="148">
        <f>IF(分析!C139&lt;&gt;"",分析!C139,"")</f>
        <v>5406</v>
      </c>
      <c r="D103" s="149" t="str">
        <f>IF(分析!D139&lt;&gt;"",分析!D139,"")</f>
        <v/>
      </c>
      <c r="E103" s="150" t="str">
        <f>IF(分析!E139&lt;&gt;"",分析!E139,"")</f>
        <v/>
      </c>
      <c r="F103" s="151" t="str">
        <f>IF(分析!F139&lt;&gt;"",分析!F139,"")</f>
        <v/>
      </c>
      <c r="G103" s="151" t="str">
        <f>IF(分析!H139&lt;&gt;"",分析!H139,"")</f>
        <v/>
      </c>
      <c r="H103" s="151" t="str">
        <f>IF(分析!I139&lt;&gt;"",分析!I139,"")</f>
        <v/>
      </c>
      <c r="I103" s="151" t="str">
        <f>IF(分析!J139&lt;&gt;"",分析!J139,"")</f>
        <v/>
      </c>
      <c r="J103" s="151">
        <f>IF(分析!AB139&lt;&gt;"",分析!AB139,"")</f>
        <v>2230.1374745417506</v>
      </c>
      <c r="K103" s="151">
        <f>IF(分析!AC139&lt;&gt;"",分析!AC139,"")</f>
        <v>2536.7735399284857</v>
      </c>
      <c r="L103" s="151" t="str">
        <f>IF(分析!K139&lt;&gt;"",分析!K139,"")</f>
        <v/>
      </c>
      <c r="M103" s="146" t="str">
        <f>IF(分析!P139&lt;&gt;"",分析!P139,"")</f>
        <v/>
      </c>
      <c r="N103" s="152" t="str">
        <f>IF(分析!O139&lt;&gt;"",分析!O139,"")</f>
        <v/>
      </c>
      <c r="O103" s="153">
        <f>IF(分析!X139&lt;&gt;"",分析!X139,"")</f>
        <v>-0.46389891696708219</v>
      </c>
      <c r="P103" s="154" t="str">
        <f>IF(分析!L139&lt;&gt;"",分析!L139,"")</f>
        <v/>
      </c>
      <c r="Q103" s="151" t="str">
        <f>IF(分析!S139&lt;&gt;"",分析!S139,"")</f>
        <v/>
      </c>
      <c r="R103" s="151" t="str">
        <f>IF(分析!R139&lt;&gt;"",分析!R139,"")</f>
        <v/>
      </c>
      <c r="S103" s="146" t="str">
        <f>IF(分析!AA139&lt;&gt;"",分析!AA139,"")</f>
        <v/>
      </c>
      <c r="T103" s="155" t="str">
        <f>IF(分析!Z139&lt;&gt;"",分析!Z139,"")</f>
        <v/>
      </c>
      <c r="U103" s="146" t="str">
        <f>IF(分析!V139&lt;&gt;"",分析!V139,"")</f>
        <v/>
      </c>
      <c r="V103" s="156">
        <f>IF(分析!W139&lt;&gt;"",分析!W139,"")</f>
        <v>61.041292639138241</v>
      </c>
      <c r="W103" s="157" t="str">
        <f>IF(分析!AD139&lt;&gt;"",分析!AD139,"")</f>
        <v>上昇トレンド▲</v>
      </c>
      <c r="X103" s="158" t="e">
        <f>IF(分析!AE139&lt;&gt;"",分析!AE139,"")</f>
        <v>#VALUE!</v>
      </c>
      <c r="Y103" s="159">
        <f>IF(分析!T139&lt;&gt;"",分析!T139,"")</f>
        <v>0</v>
      </c>
      <c r="Z103" s="145" t="e">
        <f>IF(分析!Y139&lt;&gt;"",分析!Y139,"")</f>
        <v>#VALUE!</v>
      </c>
    </row>
    <row r="104" spans="1:26" ht="21.9" customHeight="1">
      <c r="A104" s="131">
        <f>IF(分析!C18&lt;&gt;"",ROW()-2,"")</f>
        <v>102</v>
      </c>
      <c r="B104" s="132" t="str">
        <f>IF(分析!C18&lt;&gt;"",HYPERLINK("https://kabutan.jp/stock/?code="&amp;分析!C18,"株探"),"")</f>
        <v>株探</v>
      </c>
      <c r="C104" s="133">
        <f>IF(分析!C18&lt;&gt;"",分析!C18,"")</f>
        <v>9501</v>
      </c>
      <c r="D104" s="134" t="str">
        <f>IF(分析!D18&lt;&gt;"",分析!D18,"")</f>
        <v/>
      </c>
      <c r="E104" s="135" t="str">
        <f>IF(分析!E18&lt;&gt;"",分析!E18,"")</f>
        <v/>
      </c>
      <c r="F104" s="136" t="str">
        <f>IF(分析!F18&lt;&gt;"",分析!F18,"")</f>
        <v/>
      </c>
      <c r="G104" s="136" t="str">
        <f>IF(分析!H18&lt;&gt;"",分析!H18,"")</f>
        <v/>
      </c>
      <c r="H104" s="136" t="str">
        <f>IF(分析!I18&lt;&gt;"",分析!I18,"")</f>
        <v/>
      </c>
      <c r="I104" s="136" t="str">
        <f>IF(分析!J18&lt;&gt;"",分析!J18,"")</f>
        <v/>
      </c>
      <c r="J104" s="136">
        <f>IF(分析!AB18&lt;&gt;"",分析!AB18,"")</f>
        <v>2271.4012219959268</v>
      </c>
      <c r="K104" s="136">
        <f>IF(分析!AC18&lt;&gt;"",分析!AC18,"")</f>
        <v>2246.07389749702</v>
      </c>
      <c r="L104" s="136" t="str">
        <f>IF(分析!K18&lt;&gt;"",分析!K18,"")</f>
        <v/>
      </c>
      <c r="M104" s="131" t="str">
        <f>IF(分析!P18&lt;&gt;"",分析!P18,"")</f>
        <v/>
      </c>
      <c r="N104" s="137" t="str">
        <f>IF(分析!O18&lt;&gt;"",分析!O18,"")</f>
        <v/>
      </c>
      <c r="O104" s="138">
        <f>IF(分析!X18&lt;&gt;"",分析!X18,"")</f>
        <v>1.477606780794531</v>
      </c>
      <c r="P104" s="139" t="str">
        <f>IF(分析!L18&lt;&gt;"",分析!L18,"")</f>
        <v/>
      </c>
      <c r="Q104" s="136" t="str">
        <f>IF(分析!S18&lt;&gt;"",分析!S18,"")</f>
        <v/>
      </c>
      <c r="R104" s="136" t="str">
        <f>IF(分析!R18&lt;&gt;"",分析!R18,"")</f>
        <v/>
      </c>
      <c r="S104" s="131" t="str">
        <f>IF(分析!AA18&lt;&gt;"",分析!AA18,"")</f>
        <v/>
      </c>
      <c r="T104" s="140" t="str">
        <f>IF(分析!Z18&lt;&gt;"",分析!Z18,"")</f>
        <v/>
      </c>
      <c r="U104" s="131" t="str">
        <f>IF(分析!V18&lt;&gt;"",分析!V18,"")</f>
        <v/>
      </c>
      <c r="V104" s="141">
        <f>IF(分析!W18&lt;&gt;"",分析!W18,"")</f>
        <v>64.929424538545092</v>
      </c>
      <c r="W104" s="142" t="str">
        <f>IF(分析!AD18&lt;&gt;"",分析!AD18,"")</f>
        <v>パーフェクト▲</v>
      </c>
      <c r="X104" s="143" t="e">
        <f>IF(分析!AE18&lt;&gt;"",分析!AE18,"")</f>
        <v>#VALUE!</v>
      </c>
      <c r="Y104" s="144">
        <f>IF(分析!T18&lt;&gt;"",分析!T18,"")</f>
        <v>0</v>
      </c>
      <c r="Z104" s="145" t="e">
        <f>IF(分析!Y18&lt;&gt;"",分析!Y18,"")</f>
        <v>#VALUE!</v>
      </c>
    </row>
    <row r="105" spans="1:26" ht="21.9" customHeight="1">
      <c r="A105" s="146">
        <f>IF(分析!C55&lt;&gt;"",ROW()-2,"")</f>
        <v>103</v>
      </c>
      <c r="B105" s="147" t="str">
        <f>IF(分析!C55&lt;&gt;"",HYPERLINK("https://kabutan.jp/stock/?code="&amp;分析!C55,"株探"),"")</f>
        <v>株探</v>
      </c>
      <c r="C105" s="148">
        <f>IF(分析!C55&lt;&gt;"",分析!C55,"")</f>
        <v>8281</v>
      </c>
      <c r="D105" s="149" t="str">
        <f>IF(分析!D55&lt;&gt;"",分析!D55,"")</f>
        <v/>
      </c>
      <c r="E105" s="150" t="str">
        <f>IF(分析!E55&lt;&gt;"",分析!E55,"")</f>
        <v/>
      </c>
      <c r="F105" s="151" t="str">
        <f>IF(分析!F55&lt;&gt;"",分析!F55,"")</f>
        <v/>
      </c>
      <c r="G105" s="151" t="str">
        <f>IF(分析!H55&lt;&gt;"",分析!H55,"")</f>
        <v/>
      </c>
      <c r="H105" s="151" t="str">
        <f>IF(分析!I55&lt;&gt;"",分析!I55,"")</f>
        <v/>
      </c>
      <c r="I105" s="151" t="str">
        <f>IF(分析!J55&lt;&gt;"",分析!J55,"")</f>
        <v/>
      </c>
      <c r="J105" s="151">
        <f>IF(分析!AB55&lt;&gt;"",分析!AB55,"")</f>
        <v>1555.5417515274949</v>
      </c>
      <c r="K105" s="151">
        <f>IF(分析!AC55&lt;&gt;"",分析!AC55,"")</f>
        <v>1589.4707985697253</v>
      </c>
      <c r="L105" s="151" t="str">
        <f>IF(分析!K55&lt;&gt;"",分析!K55,"")</f>
        <v/>
      </c>
      <c r="M105" s="146" t="str">
        <f>IF(分析!P55&lt;&gt;"",分析!P55,"")</f>
        <v/>
      </c>
      <c r="N105" s="152" t="str">
        <f>IF(分析!O55&lt;&gt;"",分析!O55,"")</f>
        <v/>
      </c>
      <c r="O105" s="153">
        <f>IF(分析!X55&lt;&gt;"",分析!X55,"")</f>
        <v>7.7077862115361313</v>
      </c>
      <c r="P105" s="154" t="str">
        <f>IF(分析!L55&lt;&gt;"",分析!L55,"")</f>
        <v/>
      </c>
      <c r="Q105" s="151" t="str">
        <f>IF(分析!S55&lt;&gt;"",分析!S55,"")</f>
        <v/>
      </c>
      <c r="R105" s="151" t="str">
        <f>IF(分析!R55&lt;&gt;"",分析!R55,"")</f>
        <v/>
      </c>
      <c r="S105" s="146" t="str">
        <f>IF(分析!AA55&lt;&gt;"",分析!AA55,"")</f>
        <v/>
      </c>
      <c r="T105" s="155" t="str">
        <f>IF(分析!Z55&lt;&gt;"",分析!Z55,"")</f>
        <v/>
      </c>
      <c r="U105" s="146" t="str">
        <f>IF(分析!V55&lt;&gt;"",分析!V55,"")</f>
        <v/>
      </c>
      <c r="V105" s="156">
        <f>IF(分析!W55&lt;&gt;"",分析!W55,"")</f>
        <v>71.140939597315437</v>
      </c>
      <c r="W105" s="157" t="str">
        <f>IF(分析!AD55&lt;&gt;"",分析!AD55,"")</f>
        <v>上昇トレンド▲</v>
      </c>
      <c r="X105" s="158" t="e">
        <f>IF(分析!AE55&lt;&gt;"",分析!AE55,"")</f>
        <v>#VALUE!</v>
      </c>
      <c r="Y105" s="159">
        <f>IF(分析!T55&lt;&gt;"",分析!T55,"")</f>
        <v>0</v>
      </c>
      <c r="Z105" s="145" t="e">
        <f>IF(分析!Y55&lt;&gt;"",分析!Y55,"")</f>
        <v>#VALUE!</v>
      </c>
    </row>
    <row r="106" spans="1:26" ht="21.9" customHeight="1">
      <c r="A106" s="146">
        <f>IF(分析!C167&lt;&gt;"",ROW()-2,"")</f>
        <v>104</v>
      </c>
      <c r="B106" s="147" t="str">
        <f>IF(分析!C167&lt;&gt;"",HYPERLINK("https://kabutan.jp/stock/?code="&amp;分析!C167,"株探"),"")</f>
        <v>株探</v>
      </c>
      <c r="C106" s="148">
        <f>IF(分析!C167&lt;&gt;"",分析!C167,"")</f>
        <v>4188</v>
      </c>
      <c r="D106" s="149" t="str">
        <f>IF(分析!D167&lt;&gt;"",分析!D167,"")</f>
        <v/>
      </c>
      <c r="E106" s="150" t="str">
        <f>IF(分析!E167&lt;&gt;"",分析!E167,"")</f>
        <v/>
      </c>
      <c r="F106" s="151" t="str">
        <f>IF(分析!F167&lt;&gt;"",分析!F167,"")</f>
        <v/>
      </c>
      <c r="G106" s="151" t="str">
        <f>IF(分析!H167&lt;&gt;"",分析!H167,"")</f>
        <v/>
      </c>
      <c r="H106" s="151" t="str">
        <f>IF(分析!I167&lt;&gt;"",分析!I167,"")</f>
        <v/>
      </c>
      <c r="I106" s="151" t="str">
        <f>IF(分析!J167&lt;&gt;"",分析!J167,"")</f>
        <v/>
      </c>
      <c r="J106" s="151">
        <f>IF(分析!AB167&lt;&gt;"",分析!AB167,"")</f>
        <v>904.40224032586536</v>
      </c>
      <c r="K106" s="151">
        <f>IF(分析!AC167&lt;&gt;"",分析!AC167,"")</f>
        <v>892.51609058402823</v>
      </c>
      <c r="L106" s="151" t="str">
        <f>IF(分析!K167&lt;&gt;"",分析!K167,"")</f>
        <v/>
      </c>
      <c r="M106" s="146" t="str">
        <f>IF(分析!P167&lt;&gt;"",分析!P167,"")</f>
        <v/>
      </c>
      <c r="N106" s="152" t="str">
        <f>IF(分析!O167&lt;&gt;"",分析!O167,"")</f>
        <v/>
      </c>
      <c r="O106" s="153">
        <f>IF(分析!X167&lt;&gt;"",分析!X167,"")</f>
        <v>14.719297163258943</v>
      </c>
      <c r="P106" s="154" t="str">
        <f>IF(分析!L167&lt;&gt;"",分析!L167,"")</f>
        <v/>
      </c>
      <c r="Q106" s="151" t="str">
        <f>IF(分析!S167&lt;&gt;"",分析!S167,"")</f>
        <v/>
      </c>
      <c r="R106" s="151" t="str">
        <f>IF(分析!R167&lt;&gt;"",分析!R167,"")</f>
        <v/>
      </c>
      <c r="S106" s="146" t="str">
        <f>IF(分析!AA167&lt;&gt;"",分析!AA167,"")</f>
        <v/>
      </c>
      <c r="T106" s="155" t="str">
        <f>IF(分析!Z167&lt;&gt;"",分析!Z167,"")</f>
        <v/>
      </c>
      <c r="U106" s="146" t="str">
        <f>IF(分析!V167&lt;&gt;"",分析!V167,"")</f>
        <v/>
      </c>
      <c r="V106" s="156">
        <f>IF(分析!W167&lt;&gt;"",分析!W167,"")</f>
        <v>76.254826254826256</v>
      </c>
      <c r="W106" s="157" t="str">
        <f>IF(分析!AD167&lt;&gt;"",分析!AD167,"")</f>
        <v>パーフェクト▲</v>
      </c>
      <c r="X106" s="158" t="e">
        <f>IF(分析!AE167&lt;&gt;"",分析!AE167,"")</f>
        <v>#VALUE!</v>
      </c>
      <c r="Y106" s="159">
        <f>IF(分析!T167&lt;&gt;"",分析!T167,"")</f>
        <v>0</v>
      </c>
      <c r="Z106" s="145" t="e">
        <f>IF(分析!Y167&lt;&gt;"",分析!Y167,"")</f>
        <v>#VALUE!</v>
      </c>
    </row>
    <row r="107" spans="1:26" ht="21.9" customHeight="1">
      <c r="A107" s="131">
        <f>IF(分析!C158&lt;&gt;"",ROW()-2,"")</f>
        <v>105</v>
      </c>
      <c r="B107" s="132" t="str">
        <f>IF(分析!C158&lt;&gt;"",HYPERLINK("https://kabutan.jp/stock/?code="&amp;分析!C158,"株探"),"")</f>
        <v>株探</v>
      </c>
      <c r="C107" s="133">
        <f>IF(分析!C158&lt;&gt;"",分析!C158,"")</f>
        <v>4536</v>
      </c>
      <c r="D107" s="134" t="str">
        <f>IF(分析!D158&lt;&gt;"",分析!D158,"")</f>
        <v/>
      </c>
      <c r="E107" s="135" t="str">
        <f>IF(分析!E158&lt;&gt;"",分析!E158,"")</f>
        <v/>
      </c>
      <c r="F107" s="136" t="str">
        <f>IF(分析!F158&lt;&gt;"",分析!F158,"")</f>
        <v/>
      </c>
      <c r="G107" s="136" t="str">
        <f>IF(分析!H158&lt;&gt;"",分析!H158,"")</f>
        <v/>
      </c>
      <c r="H107" s="136" t="str">
        <f>IF(分析!I158&lt;&gt;"",分析!I158,"")</f>
        <v/>
      </c>
      <c r="I107" s="136" t="str">
        <f>IF(分析!J158&lt;&gt;"",分析!J158,"")</f>
        <v/>
      </c>
      <c r="J107" s="136">
        <f>IF(分析!AB158&lt;&gt;"",分析!AB158,"")</f>
        <v>1049.9246435845214</v>
      </c>
      <c r="K107" s="136">
        <f>IF(分析!AC158&lt;&gt;"",分析!AC158,"")</f>
        <v>1008.2979737783073</v>
      </c>
      <c r="L107" s="136" t="str">
        <f>IF(分析!K158&lt;&gt;"",分析!K158,"")</f>
        <v/>
      </c>
      <c r="M107" s="131" t="str">
        <f>IF(分析!P158&lt;&gt;"",分析!P158,"")</f>
        <v/>
      </c>
      <c r="N107" s="137" t="str">
        <f>IF(分析!O158&lt;&gt;"",分析!O158,"")</f>
        <v/>
      </c>
      <c r="O107" s="138">
        <f>IF(分析!X158&lt;&gt;"",分析!X158,"")</f>
        <v>15.502735443144502</v>
      </c>
      <c r="P107" s="139" t="str">
        <f>IF(分析!L158&lt;&gt;"",分析!L158,"")</f>
        <v/>
      </c>
      <c r="Q107" s="136" t="str">
        <f>IF(分析!S158&lt;&gt;"",分析!S158,"")</f>
        <v/>
      </c>
      <c r="R107" s="136" t="str">
        <f>IF(分析!R158&lt;&gt;"",分析!R158,"")</f>
        <v/>
      </c>
      <c r="S107" s="131" t="str">
        <f>IF(分析!AA158&lt;&gt;"",分析!AA158,"")</f>
        <v/>
      </c>
      <c r="T107" s="140" t="str">
        <f>IF(分析!Z158&lt;&gt;"",分析!Z158,"")</f>
        <v/>
      </c>
      <c r="U107" s="131" t="str">
        <f>IF(分析!V158&lt;&gt;"",分析!V158,"")</f>
        <v/>
      </c>
      <c r="V107" s="141">
        <f>IF(分析!W158&lt;&gt;"",分析!W158,"")</f>
        <v>45.559210526315788</v>
      </c>
      <c r="W107" s="142" t="str">
        <f>IF(分析!AD158&lt;&gt;"",分析!AD158,"")</f>
        <v>パーフェクト▲</v>
      </c>
      <c r="X107" s="143" t="e">
        <f>IF(分析!AE158&lt;&gt;"",分析!AE158,"")</f>
        <v>#VALUE!</v>
      </c>
      <c r="Y107" s="144">
        <f>IF(分析!T158&lt;&gt;"",分析!T158,"")</f>
        <v>0</v>
      </c>
      <c r="Z107" s="145" t="e">
        <f>IF(分析!Y158&lt;&gt;"",分析!Y158,"")</f>
        <v>#VALUE!</v>
      </c>
    </row>
    <row r="108" spans="1:26" ht="21.9" customHeight="1">
      <c r="A108" s="131">
        <f>IF(分析!C94&lt;&gt;"",ROW()-2,"")</f>
        <v>106</v>
      </c>
      <c r="B108" s="132" t="str">
        <f>IF(分析!C94&lt;&gt;"",HYPERLINK("https://kabutan.jp/stock/?code="&amp;分析!C94,"株探"),"")</f>
        <v>株探</v>
      </c>
      <c r="C108" s="133">
        <f>IF(分析!C94&lt;&gt;"",分析!C94,"")</f>
        <v>6613</v>
      </c>
      <c r="D108" s="134" t="str">
        <f>IF(分析!D94&lt;&gt;"",分析!D94,"")</f>
        <v/>
      </c>
      <c r="E108" s="135" t="str">
        <f>IF(分析!E94&lt;&gt;"",分析!E94,"")</f>
        <v/>
      </c>
      <c r="F108" s="136" t="str">
        <f>IF(分析!F94&lt;&gt;"",分析!F94,"")</f>
        <v/>
      </c>
      <c r="G108" s="136" t="str">
        <f>IF(分析!H94&lt;&gt;"",分析!H94,"")</f>
        <v/>
      </c>
      <c r="H108" s="136" t="str">
        <f>IF(分析!I94&lt;&gt;"",分析!I94,"")</f>
        <v/>
      </c>
      <c r="I108" s="136" t="str">
        <f>IF(分析!J94&lt;&gt;"",分析!J94,"")</f>
        <v/>
      </c>
      <c r="J108" s="136">
        <f>IF(分析!AB94&lt;&gt;"",分析!AB94,"")</f>
        <v>17970.157841140524</v>
      </c>
      <c r="K108" s="136">
        <f>IF(分析!AC94&lt;&gt;"",分析!AC94,"")</f>
        <v>20775.143027413582</v>
      </c>
      <c r="L108" s="136" t="str">
        <f>IF(分析!K94&lt;&gt;"",分析!K94,"")</f>
        <v/>
      </c>
      <c r="M108" s="131" t="str">
        <f>IF(分析!P94&lt;&gt;"",分析!P94,"")</f>
        <v/>
      </c>
      <c r="N108" s="137" t="str">
        <f>IF(分析!O94&lt;&gt;"",分析!O94,"")</f>
        <v/>
      </c>
      <c r="O108" s="138">
        <f>IF(分析!X94&lt;&gt;"",分析!X94,"")</f>
        <v>-66.365894626232148</v>
      </c>
      <c r="P108" s="139" t="str">
        <f>IF(分析!L94&lt;&gt;"",分析!L94,"")</f>
        <v/>
      </c>
      <c r="Q108" s="136" t="str">
        <f>IF(分析!S94&lt;&gt;"",分析!S94,"")</f>
        <v/>
      </c>
      <c r="R108" s="136" t="str">
        <f>IF(分析!R94&lt;&gt;"",分析!R94,"")</f>
        <v/>
      </c>
      <c r="S108" s="131" t="str">
        <f>IF(分析!AA94&lt;&gt;"",分析!AA94,"")</f>
        <v/>
      </c>
      <c r="T108" s="140" t="str">
        <f>IF(分析!Z94&lt;&gt;"",分析!Z94,"")</f>
        <v/>
      </c>
      <c r="U108" s="131" t="str">
        <f>IF(分析!V94&lt;&gt;"",分析!V94,"")</f>
        <v/>
      </c>
      <c r="V108" s="141">
        <f>IF(分析!W94&lt;&gt;"",分析!W94,"")</f>
        <v>15.298804780876495</v>
      </c>
      <c r="W108" s="142" t="str">
        <f>IF(分析!AD94&lt;&gt;"",分析!AD94,"")</f>
        <v>上昇トレンド▲</v>
      </c>
      <c r="X108" s="143" t="e">
        <f>IF(分析!AE94&lt;&gt;"",分析!AE94,"")</f>
        <v>#VALUE!</v>
      </c>
      <c r="Y108" s="144">
        <f>IF(分析!T94&lt;&gt;"",分析!T94,"")</f>
        <v>0</v>
      </c>
      <c r="Z108" s="145" t="e">
        <f>IF(分析!Y94&lt;&gt;"",分析!Y94,"")</f>
        <v>#VALUE!</v>
      </c>
    </row>
    <row r="109" spans="1:26" ht="21.9" customHeight="1">
      <c r="A109" s="131">
        <f>IF(分析!C38&lt;&gt;"",ROW()-2,"")</f>
        <v>107</v>
      </c>
      <c r="B109" s="132" t="str">
        <f>IF(分析!C38&lt;&gt;"",HYPERLINK("https://kabutan.jp/stock/?code="&amp;分析!C38,"株探"),"")</f>
        <v>株探</v>
      </c>
      <c r="C109" s="133">
        <f>IF(分析!C38&lt;&gt;"",分析!C38,"")</f>
        <v>8704</v>
      </c>
      <c r="D109" s="134" t="str">
        <f>IF(分析!D38&lt;&gt;"",分析!D38,"")</f>
        <v/>
      </c>
      <c r="E109" s="135" t="str">
        <f>IF(分析!E38&lt;&gt;"",分析!E38,"")</f>
        <v/>
      </c>
      <c r="F109" s="136" t="str">
        <f>IF(分析!F38&lt;&gt;"",分析!F38,"")</f>
        <v/>
      </c>
      <c r="G109" s="136" t="str">
        <f>IF(分析!H38&lt;&gt;"",分析!H38,"")</f>
        <v/>
      </c>
      <c r="H109" s="136" t="str">
        <f>IF(分析!I38&lt;&gt;"",分析!I38,"")</f>
        <v/>
      </c>
      <c r="I109" s="136" t="str">
        <f>IF(分析!J38&lt;&gt;"",分析!J38,"")</f>
        <v/>
      </c>
      <c r="J109" s="136">
        <f>IF(分析!AB38&lt;&gt;"",分析!AB38,"")</f>
        <v>1551.9083503054987</v>
      </c>
      <c r="K109" s="136">
        <f>IF(分析!AC38&lt;&gt;"",分析!AC38,"")</f>
        <v>1491.8218116805713</v>
      </c>
      <c r="L109" s="136" t="str">
        <f>IF(分析!K38&lt;&gt;"",分析!K38,"")</f>
        <v/>
      </c>
      <c r="M109" s="131" t="str">
        <f>IF(分析!P38&lt;&gt;"",分析!P38,"")</f>
        <v/>
      </c>
      <c r="N109" s="137" t="str">
        <f>IF(分析!O38&lt;&gt;"",分析!O38,"")</f>
        <v/>
      </c>
      <c r="O109" s="138">
        <f>IF(分析!X38&lt;&gt;"",分析!X38,"")</f>
        <v>14.993876348816002</v>
      </c>
      <c r="P109" s="139" t="str">
        <f>IF(分析!L38&lt;&gt;"",分析!L38,"")</f>
        <v/>
      </c>
      <c r="Q109" s="136" t="str">
        <f>IF(分析!S38&lt;&gt;"",分析!S38,"")</f>
        <v/>
      </c>
      <c r="R109" s="136" t="str">
        <f>IF(分析!R38&lt;&gt;"",分析!R38,"")</f>
        <v/>
      </c>
      <c r="S109" s="131" t="str">
        <f>IF(分析!AA38&lt;&gt;"",分析!AA38,"")</f>
        <v/>
      </c>
      <c r="T109" s="140" t="str">
        <f>IF(分析!Z38&lt;&gt;"",分析!Z38,"")</f>
        <v/>
      </c>
      <c r="U109" s="131" t="str">
        <f>IF(分析!V38&lt;&gt;"",分析!V38,"")</f>
        <v/>
      </c>
      <c r="V109" s="141">
        <f>IF(分析!W38&lt;&gt;"",分析!W38,"")</f>
        <v>68.249258160237389</v>
      </c>
      <c r="W109" s="142" t="str">
        <f>IF(分析!AD38&lt;&gt;"",分析!AD38,"")</f>
        <v>パーフェクト▲</v>
      </c>
      <c r="X109" s="143" t="e">
        <f>IF(分析!AE38&lt;&gt;"",分析!AE38,"")</f>
        <v>#VALUE!</v>
      </c>
      <c r="Y109" s="144">
        <f>IF(分析!T38&lt;&gt;"",分析!T38,"")</f>
        <v>0</v>
      </c>
      <c r="Z109" s="145" t="e">
        <f>IF(分析!Y38&lt;&gt;"",分析!Y38,"")</f>
        <v>#VALUE!</v>
      </c>
    </row>
    <row r="110" spans="1:26" ht="21.9" customHeight="1">
      <c r="A110" s="131">
        <f>IF(分析!C174&lt;&gt;"",ROW()-2,"")</f>
        <v>108</v>
      </c>
      <c r="B110" s="132" t="str">
        <f>IF(分析!C174&lt;&gt;"",HYPERLINK("https://kabutan.jp/stock/?code="&amp;分析!C174,"株探"),"")</f>
        <v>株探</v>
      </c>
      <c r="C110" s="133">
        <f>IF(分析!C174&lt;&gt;"",分析!C174,"")</f>
        <v>4045</v>
      </c>
      <c r="D110" s="134" t="str">
        <f>IF(分析!D174&lt;&gt;"",分析!D174,"")</f>
        <v/>
      </c>
      <c r="E110" s="135" t="str">
        <f>IF(分析!E174&lt;&gt;"",分析!E174,"")</f>
        <v/>
      </c>
      <c r="F110" s="136" t="str">
        <f>IF(分析!F174&lt;&gt;"",分析!F174,"")</f>
        <v/>
      </c>
      <c r="G110" s="136" t="str">
        <f>IF(分析!H174&lt;&gt;"",分析!H174,"")</f>
        <v/>
      </c>
      <c r="H110" s="136" t="str">
        <f>IF(分析!I174&lt;&gt;"",分析!I174,"")</f>
        <v/>
      </c>
      <c r="I110" s="136" t="str">
        <f>IF(分析!J174&lt;&gt;"",分析!J174,"")</f>
        <v/>
      </c>
      <c r="J110" s="136">
        <f>IF(分析!AB174&lt;&gt;"",分析!AB174,"")</f>
        <v>2543.9979633401222</v>
      </c>
      <c r="K110" s="136">
        <f>IF(分析!AC174&lt;&gt;"",分析!AC174,"")</f>
        <v>2633.5637663885564</v>
      </c>
      <c r="L110" s="136" t="str">
        <f>IF(分析!K174&lt;&gt;"",分析!K174,"")</f>
        <v/>
      </c>
      <c r="M110" s="131" t="str">
        <f>IF(分析!P174&lt;&gt;"",分析!P174,"")</f>
        <v/>
      </c>
      <c r="N110" s="137" t="str">
        <f>IF(分析!O174&lt;&gt;"",分析!O174,"")</f>
        <v/>
      </c>
      <c r="O110" s="138">
        <f>IF(分析!X174&lt;&gt;"",分析!X174,"")</f>
        <v>-3.3560384733259525</v>
      </c>
      <c r="P110" s="139" t="str">
        <f>IF(分析!L174&lt;&gt;"",分析!L174,"")</f>
        <v/>
      </c>
      <c r="Q110" s="136" t="str">
        <f>IF(分析!S174&lt;&gt;"",分析!S174,"")</f>
        <v/>
      </c>
      <c r="R110" s="136" t="str">
        <f>IF(分析!R174&lt;&gt;"",分析!R174,"")</f>
        <v/>
      </c>
      <c r="S110" s="131" t="str">
        <f>IF(分析!AA174&lt;&gt;"",分析!AA174,"")</f>
        <v/>
      </c>
      <c r="T110" s="140" t="str">
        <f>IF(分析!Z174&lt;&gt;"",分析!Z174,"")</f>
        <v/>
      </c>
      <c r="U110" s="131" t="str">
        <f>IF(分析!V174&lt;&gt;"",分析!V174,"")</f>
        <v/>
      </c>
      <c r="V110" s="141">
        <f>IF(分析!W174&lt;&gt;"",分析!W174,"")</f>
        <v>41.457858769931669</v>
      </c>
      <c r="W110" s="142" t="str">
        <f>IF(分析!AD174&lt;&gt;"",分析!AD174,"")</f>
        <v>上昇トレンド▲</v>
      </c>
      <c r="X110" s="143" t="e">
        <f>IF(分析!AE174&lt;&gt;"",分析!AE174,"")</f>
        <v>#VALUE!</v>
      </c>
      <c r="Y110" s="144">
        <f>IF(分析!T174&lt;&gt;"",分析!T174,"")</f>
        <v>0</v>
      </c>
      <c r="Z110" s="145" t="e">
        <f>IF(分析!Y174&lt;&gt;"",分析!Y174,"")</f>
        <v>#VALUE!</v>
      </c>
    </row>
    <row r="111" spans="1:26" ht="21.9" customHeight="1">
      <c r="A111" s="131">
        <f>IF(分析!C114&lt;&gt;"",ROW()-2,"")</f>
        <v>109</v>
      </c>
      <c r="B111" s="132" t="str">
        <f>IF(分析!C114&lt;&gt;"",HYPERLINK("https://kabutan.jp/stock/?code="&amp;分析!C114,"株探"),"")</f>
        <v>株探</v>
      </c>
      <c r="C111" s="133">
        <f>IF(分析!C114&lt;&gt;"",分析!C114,"")</f>
        <v>6134</v>
      </c>
      <c r="D111" s="134" t="str">
        <f>IF(分析!D114&lt;&gt;"",分析!D114,"")</f>
        <v/>
      </c>
      <c r="E111" s="135" t="str">
        <f>IF(分析!E114&lt;&gt;"",分析!E114,"")</f>
        <v/>
      </c>
      <c r="F111" s="136" t="str">
        <f>IF(分析!F114&lt;&gt;"",分析!F114,"")</f>
        <v/>
      </c>
      <c r="G111" s="136" t="str">
        <f>IF(分析!H114&lt;&gt;"",分析!H114,"")</f>
        <v/>
      </c>
      <c r="H111" s="136" t="str">
        <f>IF(分析!I114&lt;&gt;"",分析!I114,"")</f>
        <v/>
      </c>
      <c r="I111" s="136" t="str">
        <f>IF(分析!J114&lt;&gt;"",分析!J114,"")</f>
        <v/>
      </c>
      <c r="J111" s="136">
        <f>IF(分析!AB114&lt;&gt;"",分析!AB114,"")</f>
        <v>1817.4511201629327</v>
      </c>
      <c r="K111" s="136">
        <f>IF(分析!AC114&lt;&gt;"",分析!AC114,"")</f>
        <v>1789.6030989272936</v>
      </c>
      <c r="L111" s="136" t="str">
        <f>IF(分析!K114&lt;&gt;"",分析!K114,"")</f>
        <v/>
      </c>
      <c r="M111" s="131" t="str">
        <f>IF(分析!P114&lt;&gt;"",分析!P114,"")</f>
        <v/>
      </c>
      <c r="N111" s="137" t="str">
        <f>IF(分析!O114&lt;&gt;"",分析!O114,"")</f>
        <v/>
      </c>
      <c r="O111" s="138">
        <f>IF(分析!X114&lt;&gt;"",分析!X114,"")</f>
        <v>-37.2526279757476</v>
      </c>
      <c r="P111" s="139" t="str">
        <f>IF(分析!L114&lt;&gt;"",分析!L114,"")</f>
        <v/>
      </c>
      <c r="Q111" s="136" t="str">
        <f>IF(分析!S114&lt;&gt;"",分析!S114,"")</f>
        <v/>
      </c>
      <c r="R111" s="136" t="str">
        <f>IF(分析!R114&lt;&gt;"",分析!R114,"")</f>
        <v/>
      </c>
      <c r="S111" s="131" t="str">
        <f>IF(分析!AA114&lt;&gt;"",分析!AA114,"")</f>
        <v/>
      </c>
      <c r="T111" s="140" t="str">
        <f>IF(分析!Z114&lt;&gt;"",分析!Z114,"")</f>
        <v/>
      </c>
      <c r="U111" s="131" t="str">
        <f>IF(分析!V114&lt;&gt;"",分析!V114,"")</f>
        <v/>
      </c>
      <c r="V111" s="141">
        <f>IF(分析!W114&lt;&gt;"",分析!W114,"")</f>
        <v>45.50618786772165</v>
      </c>
      <c r="W111" s="142" t="str">
        <f>IF(分析!AD114&lt;&gt;"",分析!AD114,"")</f>
        <v>パーフェクト▲</v>
      </c>
      <c r="X111" s="143" t="e">
        <f>IF(分析!AE114&lt;&gt;"",分析!AE114,"")</f>
        <v>#VALUE!</v>
      </c>
      <c r="Y111" s="144">
        <f>IF(分析!T114&lt;&gt;"",分析!T114,"")</f>
        <v>0</v>
      </c>
      <c r="Z111" s="145" t="e">
        <f>IF(分析!Y114&lt;&gt;"",分析!Y114,"")</f>
        <v>#VALUE!</v>
      </c>
    </row>
    <row r="112" spans="1:26" ht="21.9" customHeight="1">
      <c r="A112" s="131">
        <f>IF(分析!C104&lt;&gt;"",ROW()-2,"")</f>
        <v>110</v>
      </c>
      <c r="B112" s="132" t="str">
        <f>IF(分析!C104&lt;&gt;"",HYPERLINK("https://kabutan.jp/stock/?code="&amp;分析!C104,"株探"),"")</f>
        <v>株探</v>
      </c>
      <c r="C112" s="133">
        <f>IF(分析!C104&lt;&gt;"",分析!C104,"")</f>
        <v>6330</v>
      </c>
      <c r="D112" s="134" t="str">
        <f>IF(分析!D104&lt;&gt;"",分析!D104,"")</f>
        <v/>
      </c>
      <c r="E112" s="135" t="str">
        <f>IF(分析!E104&lt;&gt;"",分析!E104,"")</f>
        <v/>
      </c>
      <c r="F112" s="136" t="str">
        <f>IF(分析!F104&lt;&gt;"",分析!F104,"")</f>
        <v/>
      </c>
      <c r="G112" s="136" t="str">
        <f>IF(分析!H104&lt;&gt;"",分析!H104,"")</f>
        <v/>
      </c>
      <c r="H112" s="136" t="str">
        <f>IF(分析!I104&lt;&gt;"",分析!I104,"")</f>
        <v/>
      </c>
      <c r="I112" s="136" t="str">
        <f>IF(分析!J104&lt;&gt;"",分析!J104,"")</f>
        <v/>
      </c>
      <c r="J112" s="136">
        <f>IF(分析!AB104&lt;&gt;"",分析!AB104,"")</f>
        <v>1850.1568228105903</v>
      </c>
      <c r="K112" s="136">
        <f>IF(分析!AC104&lt;&gt;"",分析!AC104,"")</f>
        <v>1820.3766388557804</v>
      </c>
      <c r="L112" s="136" t="str">
        <f>IF(分析!K104&lt;&gt;"",分析!K104,"")</f>
        <v/>
      </c>
      <c r="M112" s="131" t="str">
        <f>IF(分析!P104&lt;&gt;"",分析!P104,"")</f>
        <v/>
      </c>
      <c r="N112" s="137" t="str">
        <f>IF(分析!O104&lt;&gt;"",分析!O104,"")</f>
        <v/>
      </c>
      <c r="O112" s="138">
        <f>IF(分析!X104&lt;&gt;"",分析!X104,"")</f>
        <v>-11.818033824366012</v>
      </c>
      <c r="P112" s="139" t="str">
        <f>IF(分析!L104&lt;&gt;"",分析!L104,"")</f>
        <v/>
      </c>
      <c r="Q112" s="136" t="str">
        <f>IF(分析!S104&lt;&gt;"",分析!S104,"")</f>
        <v/>
      </c>
      <c r="R112" s="136" t="str">
        <f>IF(分析!R104&lt;&gt;"",分析!R104,"")</f>
        <v/>
      </c>
      <c r="S112" s="131" t="str">
        <f>IF(分析!AA104&lt;&gt;"",分析!AA104,"")</f>
        <v/>
      </c>
      <c r="T112" s="140" t="str">
        <f>IF(分析!Z104&lt;&gt;"",分析!Z104,"")</f>
        <v/>
      </c>
      <c r="U112" s="131" t="str">
        <f>IF(分析!V104&lt;&gt;"",分析!V104,"")</f>
        <v/>
      </c>
      <c r="V112" s="141">
        <f>IF(分析!W104&lt;&gt;"",分析!W104,"")</f>
        <v>49.947753396029256</v>
      </c>
      <c r="W112" s="142" t="str">
        <f>IF(分析!AD104&lt;&gt;"",分析!AD104,"")</f>
        <v>パーフェクト▲</v>
      </c>
      <c r="X112" s="143" t="e">
        <f>IF(分析!AE104&lt;&gt;"",分析!AE104,"")</f>
        <v>#VALUE!</v>
      </c>
      <c r="Y112" s="144">
        <f>IF(分析!T104&lt;&gt;"",分析!T104,"")</f>
        <v>0</v>
      </c>
      <c r="Z112" s="145" t="e">
        <f>IF(分析!Y104&lt;&gt;"",分析!Y104,"")</f>
        <v>#VALUE!</v>
      </c>
    </row>
    <row r="113" spans="1:26" ht="21.9" customHeight="1">
      <c r="A113" s="131">
        <f>IF(分析!C164&lt;&gt;"",ROW()-2,"")</f>
        <v>111</v>
      </c>
      <c r="B113" s="132" t="str">
        <f>IF(分析!C164&lt;&gt;"",HYPERLINK("https://kabutan.jp/stock/?code="&amp;分析!C164,"株探"),"")</f>
        <v>株探</v>
      </c>
      <c r="C113" s="133">
        <f>IF(分析!C164&lt;&gt;"",分析!C164,"")</f>
        <v>4382</v>
      </c>
      <c r="D113" s="134" t="str">
        <f>IF(分析!D164&lt;&gt;"",分析!D164,"")</f>
        <v/>
      </c>
      <c r="E113" s="135" t="str">
        <f>IF(分析!E164&lt;&gt;"",分析!E164,"")</f>
        <v/>
      </c>
      <c r="F113" s="136" t="str">
        <f>IF(分析!F164&lt;&gt;"",分析!F164,"")</f>
        <v/>
      </c>
      <c r="G113" s="136" t="str">
        <f>IF(分析!H164&lt;&gt;"",分析!H164,"")</f>
        <v/>
      </c>
      <c r="H113" s="136" t="str">
        <f>IF(分析!I164&lt;&gt;"",分析!I164,"")</f>
        <v/>
      </c>
      <c r="I113" s="136" t="str">
        <f>IF(分析!J164&lt;&gt;"",分析!J164,"")</f>
        <v/>
      </c>
      <c r="J113" s="136">
        <f>IF(分析!AB164&lt;&gt;"",分析!AB164,"")</f>
        <v>2348.0224032586552</v>
      </c>
      <c r="K113" s="136">
        <f>IF(分析!AC164&lt;&gt;"",分析!AC164,"")</f>
        <v>2315.8533969010723</v>
      </c>
      <c r="L113" s="136" t="str">
        <f>IF(分析!K164&lt;&gt;"",分析!K164,"")</f>
        <v/>
      </c>
      <c r="M113" s="131" t="str">
        <f>IF(分析!P164&lt;&gt;"",分析!P164,"")</f>
        <v/>
      </c>
      <c r="N113" s="137" t="str">
        <f>IF(分析!O164&lt;&gt;"",分析!O164,"")</f>
        <v/>
      </c>
      <c r="O113" s="138">
        <f>IF(分析!X164&lt;&gt;"",分析!X164,"")</f>
        <v>-4.215826364537179</v>
      </c>
      <c r="P113" s="139" t="str">
        <f>IF(分析!L164&lt;&gt;"",分析!L164,"")</f>
        <v/>
      </c>
      <c r="Q113" s="136" t="str">
        <f>IF(分析!S164&lt;&gt;"",分析!S164,"")</f>
        <v/>
      </c>
      <c r="R113" s="136" t="str">
        <f>IF(分析!R164&lt;&gt;"",分析!R164,"")</f>
        <v/>
      </c>
      <c r="S113" s="131" t="str">
        <f>IF(分析!AA164&lt;&gt;"",分析!AA164,"")</f>
        <v/>
      </c>
      <c r="T113" s="140" t="str">
        <f>IF(分析!Z164&lt;&gt;"",分析!Z164,"")</f>
        <v/>
      </c>
      <c r="U113" s="131" t="str">
        <f>IF(分析!V164&lt;&gt;"",分析!V164,"")</f>
        <v/>
      </c>
      <c r="V113" s="141">
        <f>IF(分析!W164&lt;&gt;"",分析!W164,"")</f>
        <v>53.333333333333329</v>
      </c>
      <c r="W113" s="142" t="str">
        <f>IF(分析!AD164&lt;&gt;"",分析!AD164,"")</f>
        <v>パーフェクト▲</v>
      </c>
      <c r="X113" s="143" t="e">
        <f>IF(分析!AE164&lt;&gt;"",分析!AE164,"")</f>
        <v>#VALUE!</v>
      </c>
      <c r="Y113" s="144">
        <f>IF(分析!T164&lt;&gt;"",分析!T164,"")</f>
        <v>0</v>
      </c>
      <c r="Z113" s="145" t="e">
        <f>IF(分析!Y164&lt;&gt;"",分析!Y164,"")</f>
        <v>#VALUE!</v>
      </c>
    </row>
    <row r="114" spans="1:26" ht="21.9" customHeight="1">
      <c r="A114" s="131">
        <f>IF(分析!C78&lt;&gt;"",ROW()-2,"")</f>
        <v>112</v>
      </c>
      <c r="B114" s="132" t="str">
        <f>IF(分析!C78&lt;&gt;"",HYPERLINK("https://kabutan.jp/stock/?code="&amp;分析!C78,"株探"),"")</f>
        <v>株探</v>
      </c>
      <c r="C114" s="133">
        <f>IF(分析!C78&lt;&gt;"",分析!C78,"")</f>
        <v>6981</v>
      </c>
      <c r="D114" s="134" t="str">
        <f>IF(分析!D78&lt;&gt;"",分析!D78,"")</f>
        <v/>
      </c>
      <c r="E114" s="135" t="str">
        <f>IF(分析!E78&lt;&gt;"",分析!E78,"")</f>
        <v/>
      </c>
      <c r="F114" s="136" t="str">
        <f>IF(分析!F78&lt;&gt;"",分析!F78,"")</f>
        <v/>
      </c>
      <c r="G114" s="136" t="str">
        <f>IF(分析!H78&lt;&gt;"",分析!H78,"")</f>
        <v/>
      </c>
      <c r="H114" s="136" t="str">
        <f>IF(分析!I78&lt;&gt;"",分析!I78,"")</f>
        <v/>
      </c>
      <c r="I114" s="136" t="str">
        <f>IF(分析!J78&lt;&gt;"",分析!J78,"")</f>
        <v/>
      </c>
      <c r="J114" s="136">
        <f>IF(分析!AB78&lt;&gt;"",分析!AB78,"")</f>
        <v>5631.364562118124</v>
      </c>
      <c r="K114" s="136">
        <f>IF(分析!AC78&lt;&gt;"",分析!AC78,"")</f>
        <v>5647.5208581644774</v>
      </c>
      <c r="L114" s="136" t="str">
        <f>IF(分析!K78&lt;&gt;"",分析!K78,"")</f>
        <v/>
      </c>
      <c r="M114" s="131" t="str">
        <f>IF(分析!P78&lt;&gt;"",分析!P78,"")</f>
        <v/>
      </c>
      <c r="N114" s="137" t="str">
        <f>IF(分析!O78&lt;&gt;"",分析!O78,"")</f>
        <v/>
      </c>
      <c r="O114" s="138">
        <f>IF(分析!X78&lt;&gt;"",分析!X78,"")</f>
        <v>-247.58681176090977</v>
      </c>
      <c r="P114" s="139" t="str">
        <f>IF(分析!L78&lt;&gt;"",分析!L78,"")</f>
        <v/>
      </c>
      <c r="Q114" s="136" t="str">
        <f>IF(分析!S78&lt;&gt;"",分析!S78,"")</f>
        <v/>
      </c>
      <c r="R114" s="136" t="str">
        <f>IF(分析!R78&lt;&gt;"",分析!R78,"")</f>
        <v/>
      </c>
      <c r="S114" s="131" t="str">
        <f>IF(分析!AA78&lt;&gt;"",分析!AA78,"")</f>
        <v/>
      </c>
      <c r="T114" s="140" t="str">
        <f>IF(分析!Z78&lt;&gt;"",分析!Z78,"")</f>
        <v/>
      </c>
      <c r="U114" s="131" t="str">
        <f>IF(分析!V78&lt;&gt;"",分析!V78,"")</f>
        <v/>
      </c>
      <c r="V114" s="141">
        <f>IF(分析!W78&lt;&gt;"",分析!W78,"")</f>
        <v>37.882973380210949</v>
      </c>
      <c r="W114" s="142" t="str">
        <f>IF(分析!AD78&lt;&gt;"",分析!AD78,"")</f>
        <v>上昇トレンド▲</v>
      </c>
      <c r="X114" s="143" t="e">
        <f>IF(分析!AE78&lt;&gt;"",分析!AE78,"")</f>
        <v>#VALUE!</v>
      </c>
      <c r="Y114" s="144">
        <f>IF(分析!T78&lt;&gt;"",分析!T78,"")</f>
        <v>0</v>
      </c>
      <c r="Z114" s="145" t="e">
        <f>IF(分析!Y78&lt;&gt;"",分析!Y78,"")</f>
        <v>#VALUE!</v>
      </c>
    </row>
    <row r="115" spans="1:26" ht="21.9" customHeight="1">
      <c r="A115" s="146">
        <f>IF(分析!C107&lt;&gt;"",ROW()-2,"")</f>
        <v>113</v>
      </c>
      <c r="B115" s="147" t="str">
        <f>IF(分析!C107&lt;&gt;"",HYPERLINK("https://kabutan.jp/stock/?code="&amp;分析!C107,"株探"),"")</f>
        <v>株探</v>
      </c>
      <c r="C115" s="148">
        <f>IF(分析!C107&lt;&gt;"",分析!C107,"")</f>
        <v>6305</v>
      </c>
      <c r="D115" s="149" t="str">
        <f>IF(分析!D107&lt;&gt;"",分析!D107,"")</f>
        <v/>
      </c>
      <c r="E115" s="150" t="str">
        <f>IF(分析!E107&lt;&gt;"",分析!E107,"")</f>
        <v/>
      </c>
      <c r="F115" s="151" t="str">
        <f>IF(分析!F107&lt;&gt;"",分析!F107,"")</f>
        <v/>
      </c>
      <c r="G115" s="151" t="str">
        <f>IF(分析!H107&lt;&gt;"",分析!H107,"")</f>
        <v/>
      </c>
      <c r="H115" s="151" t="str">
        <f>IF(分析!I107&lt;&gt;"",分析!I107,"")</f>
        <v/>
      </c>
      <c r="I115" s="151" t="str">
        <f>IF(分析!J107&lt;&gt;"",分析!J107,"")</f>
        <v/>
      </c>
      <c r="J115" s="151">
        <f>IF(分析!AB107&lt;&gt;"",分析!AB107,"")</f>
        <v>3572.070264765784</v>
      </c>
      <c r="K115" s="151">
        <f>IF(分析!AC107&lt;&gt;"",分析!AC107,"")</f>
        <v>3477.9296781883172</v>
      </c>
      <c r="L115" s="151" t="str">
        <f>IF(分析!K107&lt;&gt;"",分析!K107,"")</f>
        <v/>
      </c>
      <c r="M115" s="146" t="str">
        <f>IF(分析!P107&lt;&gt;"",分析!P107,"")</f>
        <v/>
      </c>
      <c r="N115" s="152" t="str">
        <f>IF(分析!O107&lt;&gt;"",分析!O107,"")</f>
        <v/>
      </c>
      <c r="O115" s="153">
        <f>IF(分析!X107&lt;&gt;"",分析!X107,"")</f>
        <v>-17.866682720433346</v>
      </c>
      <c r="P115" s="154" t="str">
        <f>IF(分析!L107&lt;&gt;"",分析!L107,"")</f>
        <v/>
      </c>
      <c r="Q115" s="151" t="str">
        <f>IF(分析!S107&lt;&gt;"",分析!S107,"")</f>
        <v/>
      </c>
      <c r="R115" s="151" t="str">
        <f>IF(分析!R107&lt;&gt;"",分析!R107,"")</f>
        <v/>
      </c>
      <c r="S115" s="146" t="str">
        <f>IF(分析!AA107&lt;&gt;"",分析!AA107,"")</f>
        <v/>
      </c>
      <c r="T115" s="155" t="str">
        <f>IF(分析!Z107&lt;&gt;"",分析!Z107,"")</f>
        <v/>
      </c>
      <c r="U115" s="146" t="str">
        <f>IF(分析!V107&lt;&gt;"",分析!V107,"")</f>
        <v/>
      </c>
      <c r="V115" s="156">
        <f>IF(分析!W107&lt;&gt;"",分析!W107,"")</f>
        <v>47.732696897374701</v>
      </c>
      <c r="W115" s="157" t="str">
        <f>IF(分析!AD107&lt;&gt;"",分析!AD107,"")</f>
        <v>パーフェクト▲</v>
      </c>
      <c r="X115" s="158" t="e">
        <f>IF(分析!AE107&lt;&gt;"",分析!AE107,"")</f>
        <v>#VALUE!</v>
      </c>
      <c r="Y115" s="159">
        <f>IF(分析!T107&lt;&gt;"",分析!T107,"")</f>
        <v>0</v>
      </c>
      <c r="Z115" s="145" t="e">
        <f>IF(分析!Y107&lt;&gt;"",分析!Y107,"")</f>
        <v>#VALUE!</v>
      </c>
    </row>
    <row r="116" spans="1:26" ht="21.9" customHeight="1">
      <c r="A116" s="146">
        <f>IF(分析!C105&lt;&gt;"",ROW()-2,"")</f>
        <v>114</v>
      </c>
      <c r="B116" s="147" t="str">
        <f>IF(分析!C105&lt;&gt;"",HYPERLINK("https://kabutan.jp/stock/?code="&amp;分析!C105,"株探"),"")</f>
        <v>株探</v>
      </c>
      <c r="C116" s="148">
        <f>IF(分析!C105&lt;&gt;"",分析!C105,"")</f>
        <v>6327</v>
      </c>
      <c r="D116" s="149" t="str">
        <f>IF(分析!D105&lt;&gt;"",分析!D105,"")</f>
        <v/>
      </c>
      <c r="E116" s="150" t="str">
        <f>IF(分析!E105&lt;&gt;"",分析!E105,"")</f>
        <v/>
      </c>
      <c r="F116" s="151" t="str">
        <f>IF(分析!F105&lt;&gt;"",分析!F105,"")</f>
        <v/>
      </c>
      <c r="G116" s="151" t="str">
        <f>IF(分析!H105&lt;&gt;"",分析!H105,"")</f>
        <v/>
      </c>
      <c r="H116" s="151" t="str">
        <f>IF(分析!I105&lt;&gt;"",分析!I105,"")</f>
        <v/>
      </c>
      <c r="I116" s="151" t="str">
        <f>IF(分析!J105&lt;&gt;"",分析!J105,"")</f>
        <v/>
      </c>
      <c r="J116" s="151">
        <f>IF(分析!AB105&lt;&gt;"",分析!AB105,"")</f>
        <v>18148.492871690429</v>
      </c>
      <c r="K116" s="151">
        <f>IF(分析!AC105&lt;&gt;"",分析!AC105,"")</f>
        <v>18714.433849821209</v>
      </c>
      <c r="L116" s="151" t="str">
        <f>IF(分析!K105&lt;&gt;"",分析!K105,"")</f>
        <v/>
      </c>
      <c r="M116" s="146" t="str">
        <f>IF(分析!P105&lt;&gt;"",分析!P105,"")</f>
        <v/>
      </c>
      <c r="N116" s="152" t="str">
        <f>IF(分析!O105&lt;&gt;"",分析!O105,"")</f>
        <v/>
      </c>
      <c r="O116" s="153">
        <f>IF(分析!X105&lt;&gt;"",分析!X105,"")</f>
        <v>-39.41681028820949</v>
      </c>
      <c r="P116" s="154" t="str">
        <f>IF(分析!L105&lt;&gt;"",分析!L105,"")</f>
        <v/>
      </c>
      <c r="Q116" s="151" t="str">
        <f>IF(分析!S105&lt;&gt;"",分析!S105,"")</f>
        <v/>
      </c>
      <c r="R116" s="151" t="str">
        <f>IF(分析!R105&lt;&gt;"",分析!R105,"")</f>
        <v/>
      </c>
      <c r="S116" s="146" t="str">
        <f>IF(分析!AA105&lt;&gt;"",分析!AA105,"")</f>
        <v/>
      </c>
      <c r="T116" s="155" t="str">
        <f>IF(分析!Z105&lt;&gt;"",分析!Z105,"")</f>
        <v/>
      </c>
      <c r="U116" s="146" t="str">
        <f>IF(分析!V105&lt;&gt;"",分析!V105,"")</f>
        <v/>
      </c>
      <c r="V116" s="156">
        <f>IF(分析!W105&lt;&gt;"",分析!W105,"")</f>
        <v>41.67664670658683</v>
      </c>
      <c r="W116" s="157" t="str">
        <f>IF(分析!AD105&lt;&gt;"",分析!AD105,"")</f>
        <v>上昇トレンド▲</v>
      </c>
      <c r="X116" s="158" t="e">
        <f>IF(分析!AE105&lt;&gt;"",分析!AE105,"")</f>
        <v>#VALUE!</v>
      </c>
      <c r="Y116" s="159">
        <f>IF(分析!T105&lt;&gt;"",分析!T105,"")</f>
        <v>0</v>
      </c>
      <c r="Z116" s="145" t="e">
        <f>IF(分析!Y105&lt;&gt;"",分析!Y105,"")</f>
        <v>#VALUE!</v>
      </c>
    </row>
    <row r="117" spans="1:26" ht="21.9" customHeight="1">
      <c r="A117" s="146">
        <f>IF(分析!C203&lt;&gt;"",ROW()-2,"")</f>
        <v>115</v>
      </c>
      <c r="B117" s="147" t="str">
        <f>IF(分析!C203&lt;&gt;"",HYPERLINK("https://kabutan.jp/stock/?code="&amp;分析!C203,"株探"),"")</f>
        <v>株探</v>
      </c>
      <c r="C117" s="148">
        <f>IF(分析!C203&lt;&gt;"",分析!C203,"")</f>
        <v>1833</v>
      </c>
      <c r="D117" s="149" t="str">
        <f>IF(分析!D203&lt;&gt;"",分析!D203,"")</f>
        <v/>
      </c>
      <c r="E117" s="150" t="str">
        <f>IF(分析!E203&lt;&gt;"",分析!E203,"")</f>
        <v/>
      </c>
      <c r="F117" s="151" t="str">
        <f>IF(分析!F203&lt;&gt;"",分析!F203,"")</f>
        <v/>
      </c>
      <c r="G117" s="151" t="str">
        <f>IF(分析!H203&lt;&gt;"",分析!H203,"")</f>
        <v/>
      </c>
      <c r="H117" s="151" t="str">
        <f>IF(分析!I203&lt;&gt;"",分析!I203,"")</f>
        <v/>
      </c>
      <c r="I117" s="151" t="str">
        <f>IF(分析!J203&lt;&gt;"",分析!J203,"")</f>
        <v/>
      </c>
      <c r="J117" s="151">
        <f>IF(分析!AB203&lt;&gt;"",分析!AB203,"")</f>
        <v>6043.4861751152066</v>
      </c>
      <c r="K117" s="151">
        <f>IF(分析!AC203&lt;&gt;"",分析!AC203,"")</f>
        <v>6084.493444576874</v>
      </c>
      <c r="L117" s="151" t="str">
        <f>IF(分析!K203&lt;&gt;"",分析!K203,"")</f>
        <v/>
      </c>
      <c r="M117" s="146" t="str">
        <f>IF(分析!P203&lt;&gt;"",分析!P203,"")</f>
        <v/>
      </c>
      <c r="N117" s="152" t="str">
        <f>IF(分析!O203&lt;&gt;"",分析!O203,"")</f>
        <v/>
      </c>
      <c r="O117" s="153">
        <f>IF(分析!X203&lt;&gt;"",分析!X203,"")</f>
        <v>-0.62860463542710932</v>
      </c>
      <c r="P117" s="154" t="str">
        <f>IF(分析!L203&lt;&gt;"",分析!L203,"")</f>
        <v/>
      </c>
      <c r="Q117" s="151" t="str">
        <f>IF(分析!S203&lt;&gt;"",分析!S203,"")</f>
        <v/>
      </c>
      <c r="R117" s="151" t="str">
        <f>IF(分析!R203&lt;&gt;"",分析!R203,"")</f>
        <v/>
      </c>
      <c r="S117" s="146" t="str">
        <f>IF(分析!AA203&lt;&gt;"",分析!AA203,"")</f>
        <v/>
      </c>
      <c r="T117" s="155" t="str">
        <f>IF(分析!Z203&lt;&gt;"",分析!Z203,"")</f>
        <v/>
      </c>
      <c r="U117" s="146" t="str">
        <f>IF(分析!V203&lt;&gt;"",分析!V203,"")</f>
        <v/>
      </c>
      <c r="V117" s="156">
        <f>IF(分析!W203&lt;&gt;"",分析!W203,"")</f>
        <v>56.164383561643838</v>
      </c>
      <c r="W117" s="157" t="str">
        <f>IF(分析!AD203&lt;&gt;"",分析!AD203,"")</f>
        <v>上昇トレンド▲</v>
      </c>
      <c r="X117" s="158" t="e">
        <f>IF(分析!AE203&lt;&gt;"",分析!AE203,"")</f>
        <v>#VALUE!</v>
      </c>
      <c r="Y117" s="159">
        <f>IF(分析!T203&lt;&gt;"",分析!T203,"")</f>
        <v>0</v>
      </c>
      <c r="Z117" s="145" t="e">
        <f>IF(分析!Y203&lt;&gt;"",分析!Y203,"")</f>
        <v>#VALUE!</v>
      </c>
    </row>
    <row r="118" spans="1:26" ht="21.9" customHeight="1">
      <c r="A118" s="146">
        <f>IF(分析!C79&lt;&gt;"",ROW()-2,"")</f>
        <v>116</v>
      </c>
      <c r="B118" s="147" t="str">
        <f>IF(分析!C79&lt;&gt;"",HYPERLINK("https://kabutan.jp/stock/?code="&amp;分析!C79,"株探"),"")</f>
        <v>株探</v>
      </c>
      <c r="C118" s="148">
        <f>IF(分析!C79&lt;&gt;"",分析!C79,"")</f>
        <v>6954</v>
      </c>
      <c r="D118" s="149" t="str">
        <f>IF(分析!D79&lt;&gt;"",分析!D79,"")</f>
        <v/>
      </c>
      <c r="E118" s="150" t="str">
        <f>IF(分析!E79&lt;&gt;"",分析!E79,"")</f>
        <v/>
      </c>
      <c r="F118" s="151" t="str">
        <f>IF(分析!F79&lt;&gt;"",分析!F79,"")</f>
        <v/>
      </c>
      <c r="G118" s="151" t="str">
        <f>IF(分析!H79&lt;&gt;"",分析!H79,"")</f>
        <v/>
      </c>
      <c r="H118" s="151" t="str">
        <f>IF(分析!I79&lt;&gt;"",分析!I79,"")</f>
        <v/>
      </c>
      <c r="I118" s="151" t="str">
        <f>IF(分析!J79&lt;&gt;"",分析!J79,"")</f>
        <v/>
      </c>
      <c r="J118" s="151">
        <f>IF(分析!AB79&lt;&gt;"",分析!AB79,"")</f>
        <v>5526.1181262729106</v>
      </c>
      <c r="K118" s="151">
        <f>IF(分析!AC79&lt;&gt;"",分析!AC79,"")</f>
        <v>5523.0512514898683</v>
      </c>
      <c r="L118" s="151" t="str">
        <f>IF(分析!K79&lt;&gt;"",分析!K79,"")</f>
        <v/>
      </c>
      <c r="M118" s="146" t="str">
        <f>IF(分析!P79&lt;&gt;"",分析!P79,"")</f>
        <v/>
      </c>
      <c r="N118" s="152" t="str">
        <f>IF(分析!O79&lt;&gt;"",分析!O79,"")</f>
        <v/>
      </c>
      <c r="O118" s="153">
        <f>IF(分析!X79&lt;&gt;"",分析!X79,"")</f>
        <v>-55.338874537788797</v>
      </c>
      <c r="P118" s="154" t="str">
        <f>IF(分析!L79&lt;&gt;"",分析!L79,"")</f>
        <v/>
      </c>
      <c r="Q118" s="151" t="str">
        <f>IF(分析!S79&lt;&gt;"",分析!S79,"")</f>
        <v/>
      </c>
      <c r="R118" s="151" t="str">
        <f>IF(分析!R79&lt;&gt;"",分析!R79,"")</f>
        <v/>
      </c>
      <c r="S118" s="146" t="str">
        <f>IF(分析!AA79&lt;&gt;"",分析!AA79,"")</f>
        <v/>
      </c>
      <c r="T118" s="155" t="str">
        <f>IF(分析!Z79&lt;&gt;"",分析!Z79,"")</f>
        <v/>
      </c>
      <c r="U118" s="146" t="str">
        <f>IF(分析!V79&lt;&gt;"",分析!V79,"")</f>
        <v/>
      </c>
      <c r="V118" s="156">
        <f>IF(分析!W79&lt;&gt;"",分析!W79,"")</f>
        <v>44.009612083762448</v>
      </c>
      <c r="W118" s="157" t="str">
        <f>IF(分析!AD79&lt;&gt;"",分析!AD79,"")</f>
        <v>パーフェクト▲</v>
      </c>
      <c r="X118" s="158" t="e">
        <f>IF(分析!AE79&lt;&gt;"",分析!AE79,"")</f>
        <v>#VALUE!</v>
      </c>
      <c r="Y118" s="159">
        <f>IF(分析!T79&lt;&gt;"",分析!T79,"")</f>
        <v>0</v>
      </c>
      <c r="Z118" s="145" t="e">
        <f>IF(分析!Y79&lt;&gt;"",分析!Y79,"")</f>
        <v>#VALUE!</v>
      </c>
    </row>
    <row r="119" spans="1:26" ht="21.9" customHeight="1">
      <c r="A119" s="131">
        <f>IF(分析!C134&lt;&gt;"",ROW()-2,"")</f>
        <v>117</v>
      </c>
      <c r="B119" s="132" t="str">
        <f>IF(分析!C134&lt;&gt;"",HYPERLINK("https://kabutan.jp/stock/?code="&amp;分析!C134,"株探"),"")</f>
        <v>株探</v>
      </c>
      <c r="C119" s="133">
        <f>IF(分析!C134&lt;&gt;"",分析!C134,"")</f>
        <v>5449</v>
      </c>
      <c r="D119" s="134" t="str">
        <f>IF(分析!D134&lt;&gt;"",分析!D134,"")</f>
        <v/>
      </c>
      <c r="E119" s="135" t="str">
        <f>IF(分析!E134&lt;&gt;"",分析!E134,"")</f>
        <v/>
      </c>
      <c r="F119" s="136" t="str">
        <f>IF(分析!F134&lt;&gt;"",分析!F134,"")</f>
        <v/>
      </c>
      <c r="G119" s="136" t="str">
        <f>IF(分析!H134&lt;&gt;"",分析!H134,"")</f>
        <v/>
      </c>
      <c r="H119" s="136" t="str">
        <f>IF(分析!I134&lt;&gt;"",分析!I134,"")</f>
        <v/>
      </c>
      <c r="I119" s="136" t="str">
        <f>IF(分析!J134&lt;&gt;"",分析!J134,"")</f>
        <v/>
      </c>
      <c r="J119" s="136">
        <f>IF(分析!AB134&lt;&gt;"",分析!AB134,"")</f>
        <v>1002.478615071283</v>
      </c>
      <c r="K119" s="136">
        <f>IF(分析!AC134&lt;&gt;"",分析!AC134,"")</f>
        <v>1083.974970202622</v>
      </c>
      <c r="L119" s="136" t="str">
        <f>IF(分析!K134&lt;&gt;"",分析!K134,"")</f>
        <v/>
      </c>
      <c r="M119" s="131" t="str">
        <f>IF(分析!P134&lt;&gt;"",分析!P134,"")</f>
        <v/>
      </c>
      <c r="N119" s="137" t="str">
        <f>IF(分析!O134&lt;&gt;"",分析!O134,"")</f>
        <v/>
      </c>
      <c r="O119" s="138">
        <f>IF(分析!X134&lt;&gt;"",分析!X134,"")</f>
        <v>27.706056782586984</v>
      </c>
      <c r="P119" s="139" t="str">
        <f>IF(分析!L134&lt;&gt;"",分析!L134,"")</f>
        <v/>
      </c>
      <c r="Q119" s="136" t="str">
        <f>IF(分析!S134&lt;&gt;"",分析!S134,"")</f>
        <v/>
      </c>
      <c r="R119" s="136" t="str">
        <f>IF(分析!R134&lt;&gt;"",分析!R134,"")</f>
        <v/>
      </c>
      <c r="S119" s="131" t="str">
        <f>IF(分析!AA134&lt;&gt;"",分析!AA134,"")</f>
        <v/>
      </c>
      <c r="T119" s="140" t="str">
        <f>IF(分析!Z134&lt;&gt;"",分析!Z134,"")</f>
        <v/>
      </c>
      <c r="U119" s="131" t="str">
        <f>IF(分析!V134&lt;&gt;"",分析!V134,"")</f>
        <v/>
      </c>
      <c r="V119" s="141">
        <f>IF(分析!W134&lt;&gt;"",分析!W134,"")</f>
        <v>68.306801736613608</v>
      </c>
      <c r="W119" s="142" t="str">
        <f>IF(分析!AD134&lt;&gt;"",分析!AD134,"")</f>
        <v>上昇トレンド▲</v>
      </c>
      <c r="X119" s="143" t="e">
        <f>IF(分析!AE134&lt;&gt;"",分析!AE134,"")</f>
        <v>#VALUE!</v>
      </c>
      <c r="Y119" s="144">
        <f>IF(分析!T134&lt;&gt;"",分析!T134,"")</f>
        <v>0</v>
      </c>
      <c r="Z119" s="145" t="e">
        <f>IF(分析!Y134&lt;&gt;"",分析!Y134,"")</f>
        <v>#VALUE!</v>
      </c>
    </row>
    <row r="120" spans="1:26" ht="21.9" customHeight="1">
      <c r="A120" s="131">
        <f>IF(分析!C110&lt;&gt;"",ROW()-2,"")</f>
        <v>118</v>
      </c>
      <c r="B120" s="132" t="str">
        <f>IF(分析!C110&lt;&gt;"",HYPERLINK("https://kabutan.jp/stock/?code="&amp;分析!C110,"株探"),"")</f>
        <v>株探</v>
      </c>
      <c r="C120" s="133">
        <f>IF(分析!C110&lt;&gt;"",分析!C110,"")</f>
        <v>6227</v>
      </c>
      <c r="D120" s="134" t="str">
        <f>IF(分析!D110&lt;&gt;"",分析!D110,"")</f>
        <v/>
      </c>
      <c r="E120" s="135" t="str">
        <f>IF(分析!E110&lt;&gt;"",分析!E110,"")</f>
        <v/>
      </c>
      <c r="F120" s="136" t="str">
        <f>IF(分析!F110&lt;&gt;"",分析!F110,"")</f>
        <v/>
      </c>
      <c r="G120" s="136" t="str">
        <f>IF(分析!H110&lt;&gt;"",分析!H110,"")</f>
        <v/>
      </c>
      <c r="H120" s="136" t="str">
        <f>IF(分析!I110&lt;&gt;"",分析!I110,"")</f>
        <v/>
      </c>
      <c r="I120" s="136" t="str">
        <f>IF(分析!J110&lt;&gt;"",分析!J110,"")</f>
        <v/>
      </c>
      <c r="J120" s="136">
        <f>IF(分析!AB110&lt;&gt;"",分析!AB110,"")</f>
        <v>435.72708757637463</v>
      </c>
      <c r="K120" s="136">
        <f>IF(分析!AC110&lt;&gt;"",分析!AC110,"")</f>
        <v>451.57330154946339</v>
      </c>
      <c r="L120" s="136" t="str">
        <f>IF(分析!K110&lt;&gt;"",分析!K110,"")</f>
        <v/>
      </c>
      <c r="M120" s="131" t="str">
        <f>IF(分析!P110&lt;&gt;"",分析!P110,"")</f>
        <v/>
      </c>
      <c r="N120" s="137" t="str">
        <f>IF(分析!O110&lt;&gt;"",分析!O110,"")</f>
        <v/>
      </c>
      <c r="O120" s="138">
        <f>IF(分析!X110&lt;&gt;"",分析!X110,"")</f>
        <v>-16.762325912774031</v>
      </c>
      <c r="P120" s="139" t="str">
        <f>IF(分析!L110&lt;&gt;"",分析!L110,"")</f>
        <v/>
      </c>
      <c r="Q120" s="136" t="str">
        <f>IF(分析!S110&lt;&gt;"",分析!S110,"")</f>
        <v/>
      </c>
      <c r="R120" s="136" t="str">
        <f>IF(分析!R110&lt;&gt;"",分析!R110,"")</f>
        <v/>
      </c>
      <c r="S120" s="131" t="str">
        <f>IF(分析!AA110&lt;&gt;"",分析!AA110,"")</f>
        <v/>
      </c>
      <c r="T120" s="140" t="str">
        <f>IF(分析!Z110&lt;&gt;"",分析!Z110,"")</f>
        <v/>
      </c>
      <c r="U120" s="131" t="str">
        <f>IF(分析!V110&lt;&gt;"",分析!V110,"")</f>
        <v/>
      </c>
      <c r="V120" s="141">
        <f>IF(分析!W110&lt;&gt;"",分析!W110,"")</f>
        <v>50.07633587786259</v>
      </c>
      <c r="W120" s="142" t="str">
        <f>IF(分析!AD110&lt;&gt;"",分析!AD110,"")</f>
        <v>上昇トレンド▲</v>
      </c>
      <c r="X120" s="143" t="e">
        <f>IF(分析!AE110&lt;&gt;"",分析!AE110,"")</f>
        <v>#VALUE!</v>
      </c>
      <c r="Y120" s="144">
        <f>IF(分析!T110&lt;&gt;"",分析!T110,"")</f>
        <v>0</v>
      </c>
      <c r="Z120" s="145" t="e">
        <f>IF(分析!Y110&lt;&gt;"",分析!Y110,"")</f>
        <v>#VALUE!</v>
      </c>
    </row>
    <row r="121" spans="1:26" ht="21.9" customHeight="1">
      <c r="A121" s="131">
        <f>IF(分析!C194&lt;&gt;"",ROW()-2,"")</f>
        <v>119</v>
      </c>
      <c r="B121" s="132" t="str">
        <f>IF(分析!C194&lt;&gt;"",HYPERLINK("https://kabutan.jp/stock/?code="&amp;分析!C194,"株探"),"")</f>
        <v>株探</v>
      </c>
      <c r="C121" s="133">
        <f>IF(分析!C194&lt;&gt;"",分析!C194,"")</f>
        <v>2327</v>
      </c>
      <c r="D121" s="134" t="str">
        <f>IF(分析!D194&lt;&gt;"",分析!D194,"")</f>
        <v/>
      </c>
      <c r="E121" s="135" t="str">
        <f>IF(分析!E194&lt;&gt;"",分析!E194,"")</f>
        <v/>
      </c>
      <c r="F121" s="136" t="str">
        <f>IF(分析!F194&lt;&gt;"",分析!F194,"")</f>
        <v/>
      </c>
      <c r="G121" s="136" t="str">
        <f>IF(分析!H194&lt;&gt;"",分析!H194,"")</f>
        <v/>
      </c>
      <c r="H121" s="136" t="str">
        <f>IF(分析!I194&lt;&gt;"",分析!I194,"")</f>
        <v/>
      </c>
      <c r="I121" s="136" t="str">
        <f>IF(分析!J194&lt;&gt;"",分析!J194,"")</f>
        <v/>
      </c>
      <c r="J121" s="136">
        <f>IF(分析!AB194&lt;&gt;"",分析!AB194,"")</f>
        <v>24032.963340122194</v>
      </c>
      <c r="K121" s="136">
        <f>IF(分析!AC194&lt;&gt;"",分析!AC194,"")</f>
        <v>25203.194278903444</v>
      </c>
      <c r="L121" s="136" t="str">
        <f>IF(分析!K194&lt;&gt;"",分析!K194,"")</f>
        <v/>
      </c>
      <c r="M121" s="131" t="str">
        <f>IF(分析!P194&lt;&gt;"",分析!P194,"")</f>
        <v/>
      </c>
      <c r="N121" s="137" t="str">
        <f>IF(分析!O194&lt;&gt;"",分析!O194,"")</f>
        <v/>
      </c>
      <c r="O121" s="138">
        <f>IF(分析!X194&lt;&gt;"",分析!X194,"")</f>
        <v>83.393593351351683</v>
      </c>
      <c r="P121" s="139" t="str">
        <f>IF(分析!L194&lt;&gt;"",分析!L194,"")</f>
        <v/>
      </c>
      <c r="Q121" s="136" t="str">
        <f>IF(分析!S194&lt;&gt;"",分析!S194,"")</f>
        <v/>
      </c>
      <c r="R121" s="136" t="str">
        <f>IF(分析!R194&lt;&gt;"",分析!R194,"")</f>
        <v/>
      </c>
      <c r="S121" s="131" t="str">
        <f>IF(分析!AA194&lt;&gt;"",分析!AA194,"")</f>
        <v/>
      </c>
      <c r="T121" s="140" t="str">
        <f>IF(分析!Z194&lt;&gt;"",分析!Z194,"")</f>
        <v/>
      </c>
      <c r="U121" s="131" t="str">
        <f>IF(分析!V194&lt;&gt;"",分析!V194,"")</f>
        <v/>
      </c>
      <c r="V121" s="141">
        <f>IF(分析!W194&lt;&gt;"",分析!W194,"")</f>
        <v>79.664570230607964</v>
      </c>
      <c r="W121" s="142" t="str">
        <f>IF(分析!AD194&lt;&gt;"",分析!AD194,"")</f>
        <v>上昇トレンド▲</v>
      </c>
      <c r="X121" s="143" t="e">
        <f>IF(分析!AE194&lt;&gt;"",分析!AE194,"")</f>
        <v>#VALUE!</v>
      </c>
      <c r="Y121" s="144">
        <f>IF(分析!T194&lt;&gt;"",分析!T194,"")</f>
        <v>0</v>
      </c>
      <c r="Z121" s="145" t="e">
        <f>IF(分析!Y194&lt;&gt;"",分析!Y194,"")</f>
        <v>#VALUE!</v>
      </c>
    </row>
    <row r="122" spans="1:26" ht="21.9" customHeight="1">
      <c r="A122" s="146">
        <f>IF(分析!C163&lt;&gt;"",ROW()-2,"")</f>
        <v>120</v>
      </c>
      <c r="B122" s="147" t="str">
        <f>IF(分析!C163&lt;&gt;"",HYPERLINK("https://kabutan.jp/stock/?code="&amp;分析!C163,"株探"),"")</f>
        <v>株探</v>
      </c>
      <c r="C122" s="148">
        <f>IF(分析!C163&lt;&gt;"",分析!C163,"")</f>
        <v>4417</v>
      </c>
      <c r="D122" s="149" t="str">
        <f>IF(分析!D163&lt;&gt;"",分析!D163,"")</f>
        <v/>
      </c>
      <c r="E122" s="150" t="str">
        <f>IF(分析!E163&lt;&gt;"",分析!E163,"")</f>
        <v/>
      </c>
      <c r="F122" s="151" t="str">
        <f>IF(分析!F163&lt;&gt;"",分析!F163,"")</f>
        <v/>
      </c>
      <c r="G122" s="151" t="str">
        <f>IF(分析!H163&lt;&gt;"",分析!H163,"")</f>
        <v/>
      </c>
      <c r="H122" s="151" t="str">
        <f>IF(分析!I163&lt;&gt;"",分析!I163,"")</f>
        <v/>
      </c>
      <c r="I122" s="151" t="str">
        <f>IF(分析!J163&lt;&gt;"",分析!J163,"")</f>
        <v/>
      </c>
      <c r="J122" s="151">
        <f>IF(分析!AB163&lt;&gt;"",分析!AB163,"")</f>
        <v>6567.6323828920549</v>
      </c>
      <c r="K122" s="151">
        <f>IF(分析!AC163&lt;&gt;"",分析!AC163,"")</f>
        <v>6309.5733015494616</v>
      </c>
      <c r="L122" s="151" t="str">
        <f>IF(分析!K163&lt;&gt;"",分析!K163,"")</f>
        <v/>
      </c>
      <c r="M122" s="146" t="str">
        <f>IF(分析!P163&lt;&gt;"",分析!P163,"")</f>
        <v/>
      </c>
      <c r="N122" s="152" t="str">
        <f>IF(分析!O163&lt;&gt;"",分析!O163,"")</f>
        <v/>
      </c>
      <c r="O122" s="153">
        <f>IF(分析!X163&lt;&gt;"",分析!X163,"")</f>
        <v>139.39515958907714</v>
      </c>
      <c r="P122" s="154" t="str">
        <f>IF(分析!L163&lt;&gt;"",分析!L163,"")</f>
        <v/>
      </c>
      <c r="Q122" s="151" t="str">
        <f>IF(分析!S163&lt;&gt;"",分析!S163,"")</f>
        <v/>
      </c>
      <c r="R122" s="151" t="str">
        <f>IF(分析!R163&lt;&gt;"",分析!R163,"")</f>
        <v/>
      </c>
      <c r="S122" s="146" t="str">
        <f>IF(分析!AA163&lt;&gt;"",分析!AA163,"")</f>
        <v/>
      </c>
      <c r="T122" s="155" t="str">
        <f>IF(分析!Z163&lt;&gt;"",分析!Z163,"")</f>
        <v/>
      </c>
      <c r="U122" s="146" t="str">
        <f>IF(分析!V163&lt;&gt;"",分析!V163,"")</f>
        <v/>
      </c>
      <c r="V122" s="156">
        <f>IF(分析!W163&lt;&gt;"",分析!W163,"")</f>
        <v>74.709976798143856</v>
      </c>
      <c r="W122" s="157" t="str">
        <f>IF(分析!AD163&lt;&gt;"",分析!AD163,"")</f>
        <v>パーフェクト▲</v>
      </c>
      <c r="X122" s="158" t="e">
        <f>IF(分析!AE163&lt;&gt;"",分析!AE163,"")</f>
        <v>#VALUE!</v>
      </c>
      <c r="Y122" s="159">
        <f>IF(分析!T163&lt;&gt;"",分析!T163,"")</f>
        <v>0</v>
      </c>
      <c r="Z122" s="145" t="e">
        <f>IF(分析!Y163&lt;&gt;"",分析!Y163,"")</f>
        <v>#VALUE!</v>
      </c>
    </row>
    <row r="123" spans="1:26" ht="21.9" customHeight="1">
      <c r="A123" s="146">
        <f>IF(分析!C27&lt;&gt;"",ROW()-2,"")</f>
        <v>121</v>
      </c>
      <c r="B123" s="147" t="str">
        <f>IF(分析!C27&lt;&gt;"",HYPERLINK("https://kabutan.jp/stock/?code="&amp;分析!C27,"株探"),"")</f>
        <v>株探</v>
      </c>
      <c r="C123" s="148">
        <f>IF(分析!C27&lt;&gt;"",分析!C27,"")</f>
        <v>9101</v>
      </c>
      <c r="D123" s="149" t="str">
        <f>IF(分析!D27&lt;&gt;"",分析!D27,"")</f>
        <v/>
      </c>
      <c r="E123" s="150" t="str">
        <f>IF(分析!E27&lt;&gt;"",分析!E27,"")</f>
        <v/>
      </c>
      <c r="F123" s="151" t="str">
        <f>IF(分析!F27&lt;&gt;"",分析!F27,"")</f>
        <v/>
      </c>
      <c r="G123" s="151" t="str">
        <f>IF(分析!H27&lt;&gt;"",分析!H27,"")</f>
        <v/>
      </c>
      <c r="H123" s="151" t="str">
        <f>IF(分析!I27&lt;&gt;"",分析!I27,"")</f>
        <v/>
      </c>
      <c r="I123" s="151" t="str">
        <f>IF(分析!J27&lt;&gt;"",分析!J27,"")</f>
        <v/>
      </c>
      <c r="J123" s="151">
        <f>IF(分析!AB27&lt;&gt;"",分析!AB27,"")</f>
        <v>1257.6364562118124</v>
      </c>
      <c r="K123" s="151">
        <f>IF(分析!AC27&lt;&gt;"",分析!AC27,"")</f>
        <v>1241.0941597139447</v>
      </c>
      <c r="L123" s="151" t="str">
        <f>IF(分析!K27&lt;&gt;"",分析!K27,"")</f>
        <v/>
      </c>
      <c r="M123" s="146" t="str">
        <f>IF(分析!P27&lt;&gt;"",分析!P27,"")</f>
        <v/>
      </c>
      <c r="N123" s="152" t="str">
        <f>IF(分析!O27&lt;&gt;"",分析!O27,"")</f>
        <v/>
      </c>
      <c r="O123" s="153">
        <f>IF(分析!X27&lt;&gt;"",分析!X27,"")</f>
        <v>24.280091864721726</v>
      </c>
      <c r="P123" s="154" t="str">
        <f>IF(分析!L27&lt;&gt;"",分析!L27,"")</f>
        <v/>
      </c>
      <c r="Q123" s="151" t="str">
        <f>IF(分析!S27&lt;&gt;"",分析!S27,"")</f>
        <v/>
      </c>
      <c r="R123" s="151" t="str">
        <f>IF(分析!R27&lt;&gt;"",分析!R27,"")</f>
        <v/>
      </c>
      <c r="S123" s="146" t="str">
        <f>IF(分析!AA27&lt;&gt;"",分析!AA27,"")</f>
        <v/>
      </c>
      <c r="T123" s="155" t="str">
        <f>IF(分析!Z27&lt;&gt;"",分析!Z27,"")</f>
        <v/>
      </c>
      <c r="U123" s="146" t="str">
        <f>IF(分析!V27&lt;&gt;"",分析!V27,"")</f>
        <v/>
      </c>
      <c r="V123" s="156">
        <f>IF(分析!W27&lt;&gt;"",分析!W27,"")</f>
        <v>66.194523135033052</v>
      </c>
      <c r="W123" s="157" t="str">
        <f>IF(分析!AD27&lt;&gt;"",分析!AD27,"")</f>
        <v>パーフェクト▲</v>
      </c>
      <c r="X123" s="158" t="e">
        <f>IF(分析!AE27&lt;&gt;"",分析!AE27,"")</f>
        <v>#VALUE!</v>
      </c>
      <c r="Y123" s="159">
        <f>IF(分析!T27&lt;&gt;"",分析!T27,"")</f>
        <v>0</v>
      </c>
      <c r="Z123" s="145" t="e">
        <f>IF(分析!Y27&lt;&gt;"",分析!Y27,"")</f>
        <v>#VALUE!</v>
      </c>
    </row>
    <row r="124" spans="1:26" ht="21.9" customHeight="1">
      <c r="A124" s="131">
        <f>IF(分析!C8&lt;&gt;"",ROW()-2,"")</f>
        <v>122</v>
      </c>
      <c r="B124" s="132" t="str">
        <f>IF(分析!C8&lt;&gt;"",HYPERLINK("https://kabutan.jp/stock/?code="&amp;分析!C8,"株探"),"")</f>
        <v>株探</v>
      </c>
      <c r="C124" s="133">
        <f>IF(分析!C8&lt;&gt;"",分析!C8,"")</f>
        <v>9984</v>
      </c>
      <c r="D124" s="134" t="str">
        <f>IF(分析!D8&lt;&gt;"",分析!D8,"")</f>
        <v/>
      </c>
      <c r="E124" s="135" t="str">
        <f>IF(分析!E8&lt;&gt;"",分析!E8,"")</f>
        <v/>
      </c>
      <c r="F124" s="136" t="str">
        <f>IF(分析!F8&lt;&gt;"",分析!F8,"")</f>
        <v/>
      </c>
      <c r="G124" s="136" t="str">
        <f>IF(分析!H8&lt;&gt;"",分析!H8,"")</f>
        <v/>
      </c>
      <c r="H124" s="136" t="str">
        <f>IF(分析!I8&lt;&gt;"",分析!I8,"")</f>
        <v/>
      </c>
      <c r="I124" s="136" t="str">
        <f>IF(分析!J8&lt;&gt;"",分析!J8,"")</f>
        <v/>
      </c>
      <c r="J124" s="136">
        <f>IF(分析!AB8&lt;&gt;"",分析!AB8,"")</f>
        <v>8251.9287169042727</v>
      </c>
      <c r="K124" s="136">
        <f>IF(分析!AC8&lt;&gt;"",分析!AC8,"")</f>
        <v>8630.6710369487446</v>
      </c>
      <c r="L124" s="136" t="str">
        <f>IF(分析!K8&lt;&gt;"",分析!K8,"")</f>
        <v/>
      </c>
      <c r="M124" s="131" t="str">
        <f>IF(分析!P8&lt;&gt;"",分析!P8,"")</f>
        <v/>
      </c>
      <c r="N124" s="137" t="str">
        <f>IF(分析!O8&lt;&gt;"",分析!O8,"")</f>
        <v/>
      </c>
      <c r="O124" s="138">
        <f>IF(分析!X8&lt;&gt;"",分析!X8,"")</f>
        <v>-88.509797443866773</v>
      </c>
      <c r="P124" s="139" t="str">
        <f>IF(分析!L8&lt;&gt;"",分析!L8,"")</f>
        <v/>
      </c>
      <c r="Q124" s="136" t="str">
        <f>IF(分析!S8&lt;&gt;"",分析!S8,"")</f>
        <v/>
      </c>
      <c r="R124" s="136" t="str">
        <f>IF(分析!R8&lt;&gt;"",分析!R8,"")</f>
        <v/>
      </c>
      <c r="S124" s="131" t="str">
        <f>IF(分析!AA8&lt;&gt;"",分析!AA8,"")</f>
        <v/>
      </c>
      <c r="T124" s="140" t="str">
        <f>IF(分析!Z8&lt;&gt;"",分析!Z8,"")</f>
        <v/>
      </c>
      <c r="U124" s="131" t="str">
        <f>IF(分析!V8&lt;&gt;"",分析!V8,"")</f>
        <v/>
      </c>
      <c r="V124" s="141">
        <f>IF(分析!W8&lt;&gt;"",分析!W8,"")</f>
        <v>37.391882900864942</v>
      </c>
      <c r="W124" s="142" t="str">
        <f>IF(分析!AD8&lt;&gt;"",分析!AD8,"")</f>
        <v>上昇トレンド▲</v>
      </c>
      <c r="X124" s="143" t="e">
        <f>IF(分析!AE8&lt;&gt;"",分析!AE8,"")</f>
        <v>#VALUE!</v>
      </c>
      <c r="Y124" s="144">
        <f>IF(分析!T8&lt;&gt;"",分析!T8,"")</f>
        <v>0</v>
      </c>
      <c r="Z124" s="145" t="e">
        <f>IF(分析!Y8&lt;&gt;"",分析!Y8,"")</f>
        <v>#VALUE!</v>
      </c>
    </row>
    <row r="125" spans="1:26" ht="21.9" customHeight="1">
      <c r="A125" s="131">
        <f>IF(分析!C54&lt;&gt;"",ROW()-2,"")</f>
        <v>123</v>
      </c>
      <c r="B125" s="132" t="str">
        <f>IF(分析!C54&lt;&gt;"",HYPERLINK("https://kabutan.jp/stock/?code="&amp;分析!C54,"株探"),"")</f>
        <v>株探</v>
      </c>
      <c r="C125" s="133">
        <f>IF(分析!C54&lt;&gt;"",分析!C54,"")</f>
        <v>8303</v>
      </c>
      <c r="D125" s="134" t="str">
        <f>IF(分析!D54&lt;&gt;"",分析!D54,"")</f>
        <v/>
      </c>
      <c r="E125" s="135" t="str">
        <f>IF(分析!E54&lt;&gt;"",分析!E54,"")</f>
        <v/>
      </c>
      <c r="F125" s="136" t="str">
        <f>IF(分析!F54&lt;&gt;"",分析!F54,"")</f>
        <v/>
      </c>
      <c r="G125" s="136" t="str">
        <f>IF(分析!H54&lt;&gt;"",分析!H54,"")</f>
        <v/>
      </c>
      <c r="H125" s="136" t="str">
        <f>IF(分析!I54&lt;&gt;"",分析!I54,"")</f>
        <v/>
      </c>
      <c r="I125" s="136" t="str">
        <f>IF(分析!J54&lt;&gt;"",分析!J54,"")</f>
        <v/>
      </c>
      <c r="J125" s="136">
        <f>IF(分析!AB54&lt;&gt;"",分析!AB54,"")</f>
        <v>2420.289205702647</v>
      </c>
      <c r="K125" s="136">
        <f>IF(分析!AC54&lt;&gt;"",分析!AC54,"")</f>
        <v>2642.5935637663874</v>
      </c>
      <c r="L125" s="136" t="str">
        <f>IF(分析!K54&lt;&gt;"",分析!K54,"")</f>
        <v/>
      </c>
      <c r="M125" s="131" t="str">
        <f>IF(分析!P54&lt;&gt;"",分析!P54,"")</f>
        <v/>
      </c>
      <c r="N125" s="137" t="str">
        <f>IF(分析!O54&lt;&gt;"",分析!O54,"")</f>
        <v/>
      </c>
      <c r="O125" s="138">
        <f>IF(分析!X54&lt;&gt;"",分析!X54,"")</f>
        <v>3.6091779142570886</v>
      </c>
      <c r="P125" s="139" t="str">
        <f>IF(分析!L54&lt;&gt;"",分析!L54,"")</f>
        <v/>
      </c>
      <c r="Q125" s="136" t="str">
        <f>IF(分析!S54&lt;&gt;"",分析!S54,"")</f>
        <v/>
      </c>
      <c r="R125" s="136" t="str">
        <f>IF(分析!R54&lt;&gt;"",分析!R54,"")</f>
        <v/>
      </c>
      <c r="S125" s="131" t="str">
        <f>IF(分析!AA54&lt;&gt;"",分析!AA54,"")</f>
        <v/>
      </c>
      <c r="T125" s="140" t="str">
        <f>IF(分析!Z54&lt;&gt;"",分析!Z54,"")</f>
        <v/>
      </c>
      <c r="U125" s="131" t="str">
        <f>IF(分析!V54&lt;&gt;"",分析!V54,"")</f>
        <v/>
      </c>
      <c r="V125" s="141">
        <f>IF(分析!W54&lt;&gt;"",分析!W54,"")</f>
        <v>64.365671641791039</v>
      </c>
      <c r="W125" s="142" t="str">
        <f>IF(分析!AD54&lt;&gt;"",分析!AD54,"")</f>
        <v>上昇トレンド▲</v>
      </c>
      <c r="X125" s="143" t="e">
        <f>IF(分析!AE54&lt;&gt;"",分析!AE54,"")</f>
        <v>#VALUE!</v>
      </c>
      <c r="Y125" s="144">
        <f>IF(分析!T54&lt;&gt;"",分析!T54,"")</f>
        <v>0</v>
      </c>
      <c r="Z125" s="145" t="e">
        <f>IF(分析!Y54&lt;&gt;"",分析!Y54,"")</f>
        <v>#VALUE!</v>
      </c>
    </row>
    <row r="126" spans="1:26" ht="21.9" customHeight="1">
      <c r="A126" s="146">
        <f>IF(分析!C43&lt;&gt;"",ROW()-2,"")</f>
        <v>124</v>
      </c>
      <c r="B126" s="147" t="str">
        <f>IF(分析!C43&lt;&gt;"",HYPERLINK("https://kabutan.jp/stock/?code="&amp;分析!C43,"株探"),"")</f>
        <v>株探</v>
      </c>
      <c r="C126" s="148">
        <f>IF(分析!C43&lt;&gt;"",分析!C43,"")</f>
        <v>8591</v>
      </c>
      <c r="D126" s="149" t="str">
        <f>IF(分析!D43&lt;&gt;"",分析!D43,"")</f>
        <v/>
      </c>
      <c r="E126" s="150" t="str">
        <f>IF(分析!E43&lt;&gt;"",分析!E43,"")</f>
        <v/>
      </c>
      <c r="F126" s="151" t="str">
        <f>IF(分析!F43&lt;&gt;"",分析!F43,"")</f>
        <v/>
      </c>
      <c r="G126" s="151" t="str">
        <f>IF(分析!H43&lt;&gt;"",分析!H43,"")</f>
        <v/>
      </c>
      <c r="H126" s="151" t="str">
        <f>IF(分析!I43&lt;&gt;"",分析!I43,"")</f>
        <v/>
      </c>
      <c r="I126" s="151" t="str">
        <f>IF(分析!J43&lt;&gt;"",分析!J43,"")</f>
        <v/>
      </c>
      <c r="J126" s="151">
        <f>IF(分析!AB43&lt;&gt;"",分析!AB43,"")</f>
        <v>3539.5346232179213</v>
      </c>
      <c r="K126" s="151">
        <f>IF(分析!AC43&lt;&gt;"",分析!AC43,"")</f>
        <v>3395.5554231227643</v>
      </c>
      <c r="L126" s="151" t="str">
        <f>IF(分析!K43&lt;&gt;"",分析!K43,"")</f>
        <v/>
      </c>
      <c r="M126" s="146" t="str">
        <f>IF(分析!P43&lt;&gt;"",分析!P43,"")</f>
        <v/>
      </c>
      <c r="N126" s="152" t="str">
        <f>IF(分析!O43&lt;&gt;"",分析!O43,"")</f>
        <v/>
      </c>
      <c r="O126" s="153">
        <f>IF(分析!X43&lt;&gt;"",分析!X43,"")</f>
        <v>27.177229649860237</v>
      </c>
      <c r="P126" s="154" t="str">
        <f>IF(分析!L43&lt;&gt;"",分析!L43,"")</f>
        <v/>
      </c>
      <c r="Q126" s="151" t="str">
        <f>IF(分析!S43&lt;&gt;"",分析!S43,"")</f>
        <v/>
      </c>
      <c r="R126" s="151" t="str">
        <f>IF(分析!R43&lt;&gt;"",分析!R43,"")</f>
        <v/>
      </c>
      <c r="S126" s="146" t="str">
        <f>IF(分析!AA43&lt;&gt;"",分析!AA43,"")</f>
        <v/>
      </c>
      <c r="T126" s="155" t="str">
        <f>IF(分析!Z43&lt;&gt;"",分析!Z43,"")</f>
        <v/>
      </c>
      <c r="U126" s="146" t="str">
        <f>IF(分析!V43&lt;&gt;"",分析!V43,"")</f>
        <v/>
      </c>
      <c r="V126" s="156">
        <f>IF(分析!W43&lt;&gt;"",分析!W43,"")</f>
        <v>81.92771084337349</v>
      </c>
      <c r="W126" s="157" t="str">
        <f>IF(分析!AD43&lt;&gt;"",分析!AD43,"")</f>
        <v>パーフェクト▲</v>
      </c>
      <c r="X126" s="158" t="e">
        <f>IF(分析!AE43&lt;&gt;"",分析!AE43,"")</f>
        <v>#VALUE!</v>
      </c>
      <c r="Y126" s="159">
        <f>IF(分析!T43&lt;&gt;"",分析!T43,"")</f>
        <v>0</v>
      </c>
      <c r="Z126" s="145" t="e">
        <f>IF(分析!Y43&lt;&gt;"",分析!Y43,"")</f>
        <v>#VALUE!</v>
      </c>
    </row>
    <row r="127" spans="1:26" ht="21.9" customHeight="1">
      <c r="A127" s="146">
        <f>IF(分析!C127&lt;&gt;"",ROW()-2,"")</f>
        <v>125</v>
      </c>
      <c r="B127" s="147" t="str">
        <f>IF(分析!C127&lt;&gt;"",HYPERLINK("https://kabutan.jp/stock/?code="&amp;分析!C127,"株探"),"")</f>
        <v>株探</v>
      </c>
      <c r="C127" s="148">
        <f>IF(分析!C127&lt;&gt;"",分析!C127,"")</f>
        <v>5801</v>
      </c>
      <c r="D127" s="149" t="str">
        <f>IF(分析!D127&lt;&gt;"",分析!D127,"")</f>
        <v/>
      </c>
      <c r="E127" s="150" t="str">
        <f>IF(分析!E127&lt;&gt;"",分析!E127,"")</f>
        <v/>
      </c>
      <c r="F127" s="151" t="str">
        <f>IF(分析!F127&lt;&gt;"",分析!F127,"")</f>
        <v/>
      </c>
      <c r="G127" s="151" t="str">
        <f>IF(分析!H127&lt;&gt;"",分析!H127,"")</f>
        <v/>
      </c>
      <c r="H127" s="151" t="str">
        <f>IF(分析!I127&lt;&gt;"",分析!I127,"")</f>
        <v/>
      </c>
      <c r="I127" s="151" t="str">
        <f>IF(分析!J127&lt;&gt;"",分析!J127,"")</f>
        <v/>
      </c>
      <c r="J127" s="151">
        <f>IF(分析!AB127&lt;&gt;"",分析!AB127,"")</f>
        <v>1875.9531568228103</v>
      </c>
      <c r="K127" s="151">
        <f>IF(分析!AC127&lt;&gt;"",分析!AC127,"")</f>
        <v>1973.0441001191891</v>
      </c>
      <c r="L127" s="151" t="str">
        <f>IF(分析!K127&lt;&gt;"",分析!K127,"")</f>
        <v/>
      </c>
      <c r="M127" s="146" t="str">
        <f>IF(分析!P127&lt;&gt;"",分析!P127,"")</f>
        <v/>
      </c>
      <c r="N127" s="152" t="str">
        <f>IF(分析!O127&lt;&gt;"",分析!O127,"")</f>
        <v/>
      </c>
      <c r="O127" s="153">
        <f>IF(分析!X127&lt;&gt;"",分析!X127,"")</f>
        <v>-6059.7051512703019</v>
      </c>
      <c r="P127" s="154" t="str">
        <f>IF(分析!L127&lt;&gt;"",分析!L127,"")</f>
        <v/>
      </c>
      <c r="Q127" s="151" t="str">
        <f>IF(分析!S127&lt;&gt;"",分析!S127,"")</f>
        <v/>
      </c>
      <c r="R127" s="151" t="str">
        <f>IF(分析!R127&lt;&gt;"",分析!R127,"")</f>
        <v/>
      </c>
      <c r="S127" s="146" t="str">
        <f>IF(分析!AA127&lt;&gt;"",分析!AA127,"")</f>
        <v/>
      </c>
      <c r="T127" s="155" t="str">
        <f>IF(分析!Z127&lt;&gt;"",分析!Z127,"")</f>
        <v/>
      </c>
      <c r="U127" s="146" t="str">
        <f>IF(分析!V127&lt;&gt;"",分析!V127,"")</f>
        <v/>
      </c>
      <c r="V127" s="156">
        <f>IF(分析!W127&lt;&gt;"",分析!W127,"")</f>
        <v>1.6043117188155378</v>
      </c>
      <c r="W127" s="157" t="str">
        <f>IF(分析!AD127&lt;&gt;"",分析!AD127,"")</f>
        <v>上昇トレンド▲</v>
      </c>
      <c r="X127" s="158" t="e">
        <f>IF(分析!AE127&lt;&gt;"",分析!AE127,"")</f>
        <v>#VALUE!</v>
      </c>
      <c r="Y127" s="159">
        <f>IF(分析!T127&lt;&gt;"",分析!T127,"")</f>
        <v>0</v>
      </c>
      <c r="Z127" s="145" t="e">
        <f>IF(分析!Y127&lt;&gt;"",分析!Y127,"")</f>
        <v>#VALUE!</v>
      </c>
    </row>
    <row r="128" spans="1:26" ht="21.9" customHeight="1">
      <c r="A128" s="131">
        <f>IF(分析!C56&lt;&gt;"",ROW()-2,"")</f>
        <v>126</v>
      </c>
      <c r="B128" s="132" t="str">
        <f>IF(分析!C56&lt;&gt;"",HYPERLINK("https://kabutan.jp/stock/?code="&amp;分析!C56,"株探"),"")</f>
        <v>株探</v>
      </c>
      <c r="C128" s="133">
        <f>IF(分析!C56&lt;&gt;"",分析!C56,"")</f>
        <v>8103</v>
      </c>
      <c r="D128" s="134" t="str">
        <f>IF(分析!D56&lt;&gt;"",分析!D56,"")</f>
        <v/>
      </c>
      <c r="E128" s="135" t="str">
        <f>IF(分析!E56&lt;&gt;"",分析!E56,"")</f>
        <v/>
      </c>
      <c r="F128" s="136" t="str">
        <f>IF(分析!F56&lt;&gt;"",分析!F56,"")</f>
        <v/>
      </c>
      <c r="G128" s="136" t="str">
        <f>IF(分析!H56&lt;&gt;"",分析!H56,"")</f>
        <v/>
      </c>
      <c r="H128" s="136" t="str">
        <f>IF(分析!I56&lt;&gt;"",分析!I56,"")</f>
        <v/>
      </c>
      <c r="I128" s="136" t="str">
        <f>IF(分析!J56&lt;&gt;"",分析!J56,"")</f>
        <v/>
      </c>
      <c r="J128" s="136">
        <f>IF(分析!AB56&lt;&gt;"",分析!AB56,"")</f>
        <v>4108.5346232179227</v>
      </c>
      <c r="K128" s="136">
        <f>IF(分析!AC56&lt;&gt;"",分析!AC56,"")</f>
        <v>4042.1573301549452</v>
      </c>
      <c r="L128" s="136" t="str">
        <f>IF(分析!K56&lt;&gt;"",分析!K56,"")</f>
        <v/>
      </c>
      <c r="M128" s="131" t="str">
        <f>IF(分析!P56&lt;&gt;"",分析!P56,"")</f>
        <v/>
      </c>
      <c r="N128" s="137" t="str">
        <f>IF(分析!O56&lt;&gt;"",分析!O56,"")</f>
        <v/>
      </c>
      <c r="O128" s="138">
        <f>IF(分析!X56&lt;&gt;"",分析!X56,"")</f>
        <v>5.686195216507258</v>
      </c>
      <c r="P128" s="139" t="str">
        <f>IF(分析!L56&lt;&gt;"",分析!L56,"")</f>
        <v/>
      </c>
      <c r="Q128" s="136" t="str">
        <f>IF(分析!S56&lt;&gt;"",分析!S56,"")</f>
        <v/>
      </c>
      <c r="R128" s="136" t="str">
        <f>IF(分析!R56&lt;&gt;"",分析!R56,"")</f>
        <v/>
      </c>
      <c r="S128" s="131" t="str">
        <f>IF(分析!AA56&lt;&gt;"",分析!AA56,"")</f>
        <v/>
      </c>
      <c r="T128" s="140" t="str">
        <f>IF(分析!Z56&lt;&gt;"",分析!Z56,"")</f>
        <v/>
      </c>
      <c r="U128" s="131" t="str">
        <f>IF(分析!V56&lt;&gt;"",分析!V56,"")</f>
        <v/>
      </c>
      <c r="V128" s="141">
        <f>IF(分析!W56&lt;&gt;"",分析!W56,"")</f>
        <v>76.923076923076934</v>
      </c>
      <c r="W128" s="142" t="str">
        <f>IF(分析!AD56&lt;&gt;"",分析!AD56,"")</f>
        <v>パーフェクト▲</v>
      </c>
      <c r="X128" s="143" t="e">
        <f>IF(分析!AE56&lt;&gt;"",分析!AE56,"")</f>
        <v>#VALUE!</v>
      </c>
      <c r="Y128" s="144">
        <f>IF(分析!T56&lt;&gt;"",分析!T56,"")</f>
        <v>0</v>
      </c>
      <c r="Z128" s="145" t="e">
        <f>IF(分析!Y56&lt;&gt;"",分析!Y56,"")</f>
        <v>#VALUE!</v>
      </c>
    </row>
    <row r="129" spans="1:26" ht="21.9" customHeight="1">
      <c r="A129" s="131">
        <f>IF(分析!C152&lt;&gt;"",ROW()-2,"")</f>
        <v>127</v>
      </c>
      <c r="B129" s="132" t="str">
        <f>IF(分析!C152&lt;&gt;"",HYPERLINK("https://kabutan.jp/stock/?code="&amp;分析!C152,"株探"),"")</f>
        <v>株探</v>
      </c>
      <c r="C129" s="133">
        <f>IF(分析!C152&lt;&gt;"",分析!C152,"")</f>
        <v>4887</v>
      </c>
      <c r="D129" s="134" t="str">
        <f>IF(分析!D152&lt;&gt;"",分析!D152,"")</f>
        <v/>
      </c>
      <c r="E129" s="135" t="str">
        <f>IF(分析!E152&lt;&gt;"",分析!E152,"")</f>
        <v/>
      </c>
      <c r="F129" s="136" t="str">
        <f>IF(分析!F152&lt;&gt;"",分析!F152,"")</f>
        <v/>
      </c>
      <c r="G129" s="136" t="str">
        <f>IF(分析!H152&lt;&gt;"",分析!H152,"")</f>
        <v/>
      </c>
      <c r="H129" s="136" t="str">
        <f>IF(分析!I152&lt;&gt;"",分析!I152,"")</f>
        <v/>
      </c>
      <c r="I129" s="136" t="str">
        <f>IF(分析!J152&lt;&gt;"",分析!J152,"")</f>
        <v/>
      </c>
      <c r="J129" s="136">
        <f>IF(分析!AB152&lt;&gt;"",分析!AB152,"")</f>
        <v>8816.9623217922599</v>
      </c>
      <c r="K129" s="136">
        <f>IF(分析!AC152&lt;&gt;"",分析!AC152,"")</f>
        <v>9980.8545887961827</v>
      </c>
      <c r="L129" s="136" t="str">
        <f>IF(分析!K152&lt;&gt;"",分析!K152,"")</f>
        <v/>
      </c>
      <c r="M129" s="131" t="str">
        <f>IF(分析!P152&lt;&gt;"",分析!P152,"")</f>
        <v/>
      </c>
      <c r="N129" s="137" t="str">
        <f>IF(分析!O152&lt;&gt;"",分析!O152,"")</f>
        <v/>
      </c>
      <c r="O129" s="138">
        <f>IF(分析!X152&lt;&gt;"",分析!X152,"")</f>
        <v>4.6030423222516674</v>
      </c>
      <c r="P129" s="139" t="str">
        <f>IF(分析!L152&lt;&gt;"",分析!L152,"")</f>
        <v/>
      </c>
      <c r="Q129" s="136" t="str">
        <f>IF(分析!S152&lt;&gt;"",分析!S152,"")</f>
        <v/>
      </c>
      <c r="R129" s="136" t="str">
        <f>IF(分析!R152&lt;&gt;"",分析!R152,"")</f>
        <v/>
      </c>
      <c r="S129" s="131" t="str">
        <f>IF(分析!AA152&lt;&gt;"",分析!AA152,"")</f>
        <v/>
      </c>
      <c r="T129" s="140" t="str">
        <f>IF(分析!Z152&lt;&gt;"",分析!Z152,"")</f>
        <v/>
      </c>
      <c r="U129" s="131" t="str">
        <f>IF(分析!V152&lt;&gt;"",分析!V152,"")</f>
        <v/>
      </c>
      <c r="V129" s="141">
        <f>IF(分析!W152&lt;&gt;"",分析!W152,"")</f>
        <v>57.543859649122808</v>
      </c>
      <c r="W129" s="142" t="str">
        <f>IF(分析!AD152&lt;&gt;"",分析!AD152,"")</f>
        <v>上昇トレンド▲</v>
      </c>
      <c r="X129" s="143" t="e">
        <f>IF(分析!AE152&lt;&gt;"",分析!AE152,"")</f>
        <v>#VALUE!</v>
      </c>
      <c r="Y129" s="144">
        <f>IF(分析!T152&lt;&gt;"",分析!T152,"")</f>
        <v>0</v>
      </c>
      <c r="Z129" s="145" t="e">
        <f>IF(分析!Y152&lt;&gt;"",分析!Y152,"")</f>
        <v>#VALUE!</v>
      </c>
    </row>
    <row r="130" spans="1:26" ht="21.9" customHeight="1">
      <c r="A130" s="146">
        <f>IF(分析!C5&lt;&gt;"",ROW()-2,"")</f>
        <v>128</v>
      </c>
      <c r="B130" s="147" t="str">
        <f>IF(分析!C5&lt;&gt;"",HYPERLINK("https://kabutan.jp/stock/?code="&amp;分析!C5,"株探"),"")</f>
        <v>株探</v>
      </c>
      <c r="C130" s="148" t="str">
        <f>IF(分析!C5&lt;&gt;"",分析!C5,"")</f>
        <v>7181</v>
      </c>
      <c r="D130" s="149" t="str">
        <f>IF(分析!D5&lt;&gt;"",分析!D5,"")</f>
        <v/>
      </c>
      <c r="E130" s="150" t="str">
        <f>IF(分析!E5&lt;&gt;"",分析!E5,"")</f>
        <v/>
      </c>
      <c r="F130" s="151" t="str">
        <f>IF(分析!F5&lt;&gt;"",分析!F5,"")</f>
        <v/>
      </c>
      <c r="G130" s="151" t="str">
        <f>IF(分析!H5&lt;&gt;"",分析!H5,"")</f>
        <v/>
      </c>
      <c r="H130" s="151" t="str">
        <f>IF(分析!I5&lt;&gt;"",分析!I5,"")</f>
        <v/>
      </c>
      <c r="I130" s="151" t="str">
        <f>IF(分析!J5&lt;&gt;"",分析!J5,"")</f>
        <v/>
      </c>
      <c r="J130" s="151">
        <f>IF(分析!AB5&lt;&gt;"",分析!AB5,"")</f>
        <v>1748.7057026476575</v>
      </c>
      <c r="K130" s="151">
        <f>IF(分析!AC5&lt;&gt;"",分析!AC5,"")</f>
        <v>1731.6817640047666</v>
      </c>
      <c r="L130" s="151" t="str">
        <f>IF(分析!K5&lt;&gt;"",分析!K5,"")</f>
        <v/>
      </c>
      <c r="M130" s="146" t="str">
        <f>IF(分析!P5&lt;&gt;"",分析!P5,"")</f>
        <v/>
      </c>
      <c r="N130" s="152" t="str">
        <f>IF(分析!O5&lt;&gt;"",分析!O5,"")</f>
        <v/>
      </c>
      <c r="O130" s="153">
        <f>IF(分析!X5&lt;&gt;"",分析!X5,"")</f>
        <v>20.255425113139381</v>
      </c>
      <c r="P130" s="154" t="str">
        <f>IF(分析!L5&lt;&gt;"",分析!L5,"")</f>
        <v/>
      </c>
      <c r="Q130" s="151" t="str">
        <f>IF(分析!S5&lt;&gt;"",分析!S5,"")</f>
        <v/>
      </c>
      <c r="R130" s="151" t="str">
        <f>IF(分析!R5&lt;&gt;"",分析!R5,"")</f>
        <v/>
      </c>
      <c r="S130" s="146" t="str">
        <f>IF(分析!AA5&lt;&gt;"",分析!AA5,"")</f>
        <v/>
      </c>
      <c r="T130" s="155" t="str">
        <f>IF(分析!Z5&lt;&gt;"",分析!Z5,"")</f>
        <v/>
      </c>
      <c r="U130" s="146" t="str">
        <f>IF(分析!V5&lt;&gt;"",分析!V5,"")</f>
        <v/>
      </c>
      <c r="V130" s="156">
        <f>IF(分析!W5&lt;&gt;"",分析!W5,"")</f>
        <v>83.389261744966447</v>
      </c>
      <c r="W130" s="157" t="str">
        <f>IF(分析!AD5&lt;&gt;"",分析!AD5,"")</f>
        <v>パーフェクト▲</v>
      </c>
      <c r="X130" s="158" t="e">
        <f>IF(分析!AE5&lt;&gt;"",分析!AE5,"")</f>
        <v>#VALUE!</v>
      </c>
      <c r="Y130" s="159">
        <f>IF(分析!T5&lt;&gt;"",分析!T5,"")</f>
        <v>0</v>
      </c>
      <c r="Z130" s="145" t="e">
        <f>IF(分析!Y5&lt;&gt;"",分析!Y5,"")</f>
        <v>#VALUE!</v>
      </c>
    </row>
    <row r="131" spans="1:26" ht="21.9" customHeight="1">
      <c r="A131" s="131">
        <f>IF(分析!C30&lt;&gt;"",ROW()-2,"")</f>
        <v>129</v>
      </c>
      <c r="B131" s="132" t="str">
        <f>IF(分析!C30&lt;&gt;"",HYPERLINK("https://kabutan.jp/stock/?code="&amp;分析!C30,"株探"),"")</f>
        <v>株探</v>
      </c>
      <c r="C131" s="133">
        <f>IF(分析!C30&lt;&gt;"",分析!C30,"")</f>
        <v>9020</v>
      </c>
      <c r="D131" s="134" t="str">
        <f>IF(分析!D30&lt;&gt;"",分析!D30,"")</f>
        <v/>
      </c>
      <c r="E131" s="135" t="str">
        <f>IF(分析!E30&lt;&gt;"",分析!E30,"")</f>
        <v/>
      </c>
      <c r="F131" s="136" t="str">
        <f>IF(分析!F30&lt;&gt;"",分析!F30,"")</f>
        <v/>
      </c>
      <c r="G131" s="136" t="str">
        <f>IF(分析!H30&lt;&gt;"",分析!H30,"")</f>
        <v/>
      </c>
      <c r="H131" s="136" t="str">
        <f>IF(分析!I30&lt;&gt;"",分析!I30,"")</f>
        <v/>
      </c>
      <c r="I131" s="136" t="str">
        <f>IF(分析!J30&lt;&gt;"",分析!J30,"")</f>
        <v/>
      </c>
      <c r="J131" s="136">
        <f>IF(分析!AB30&lt;&gt;"",分析!AB30,"")</f>
        <v>1395.8299389002036</v>
      </c>
      <c r="K131" s="136">
        <f>IF(分析!AC30&lt;&gt;"",分析!AC30,"")</f>
        <v>1318.7580452920142</v>
      </c>
      <c r="L131" s="136" t="str">
        <f>IF(分析!K30&lt;&gt;"",分析!K30,"")</f>
        <v/>
      </c>
      <c r="M131" s="131" t="str">
        <f>IF(分析!P30&lt;&gt;"",分析!P30,"")</f>
        <v/>
      </c>
      <c r="N131" s="137" t="str">
        <f>IF(分析!O30&lt;&gt;"",分析!O30,"")</f>
        <v/>
      </c>
      <c r="O131" s="138">
        <f>IF(分析!X30&lt;&gt;"",分析!X30,"")</f>
        <v>26.190798403114968</v>
      </c>
      <c r="P131" s="139" t="str">
        <f>IF(分析!L30&lt;&gt;"",分析!L30,"")</f>
        <v/>
      </c>
      <c r="Q131" s="136" t="str">
        <f>IF(分析!S30&lt;&gt;"",分析!S30,"")</f>
        <v/>
      </c>
      <c r="R131" s="136" t="str">
        <f>IF(分析!R30&lt;&gt;"",分析!R30,"")</f>
        <v/>
      </c>
      <c r="S131" s="131" t="str">
        <f>IF(分析!AA30&lt;&gt;"",分析!AA30,"")</f>
        <v/>
      </c>
      <c r="T131" s="140" t="str">
        <f>IF(分析!Z30&lt;&gt;"",分析!Z30,"")</f>
        <v/>
      </c>
      <c r="U131" s="131" t="str">
        <f>IF(分析!V30&lt;&gt;"",分析!V30,"")</f>
        <v/>
      </c>
      <c r="V131" s="141">
        <f>IF(分析!W30&lt;&gt;"",分析!W30,"")</f>
        <v>67.50369276218612</v>
      </c>
      <c r="W131" s="142" t="str">
        <f>IF(分析!AD30&lt;&gt;"",分析!AD30,"")</f>
        <v>パーフェクト▲</v>
      </c>
      <c r="X131" s="143" t="e">
        <f>IF(分析!AE30&lt;&gt;"",分析!AE30,"")</f>
        <v>#VALUE!</v>
      </c>
      <c r="Y131" s="144">
        <f>IF(分析!T30&lt;&gt;"",分析!T30,"")</f>
        <v>0</v>
      </c>
      <c r="Z131" s="145" t="e">
        <f>IF(分析!Y30&lt;&gt;"",分析!Y30,"")</f>
        <v>#VALUE!</v>
      </c>
    </row>
    <row r="132" spans="1:26" ht="21.9" customHeight="1">
      <c r="A132" s="131">
        <f>IF(分析!C190&lt;&gt;"",ROW()-2,"")</f>
        <v>130</v>
      </c>
      <c r="B132" s="132" t="str">
        <f>IF(分析!C190&lt;&gt;"",HYPERLINK("https://kabutan.jp/stock/?code="&amp;分析!C190,"株探"),"")</f>
        <v>株探</v>
      </c>
      <c r="C132" s="133">
        <f>IF(分析!C190&lt;&gt;"",分析!C190,"")</f>
        <v>2802</v>
      </c>
      <c r="D132" s="134" t="str">
        <f>IF(分析!D190&lt;&gt;"",分析!D190,"")</f>
        <v/>
      </c>
      <c r="E132" s="135" t="str">
        <f>IF(分析!E190&lt;&gt;"",分析!E190,"")</f>
        <v/>
      </c>
      <c r="F132" s="136" t="str">
        <f>IF(分析!F190&lt;&gt;"",分析!F190,"")</f>
        <v/>
      </c>
      <c r="G132" s="136" t="str">
        <f>IF(分析!H190&lt;&gt;"",分析!H190,"")</f>
        <v/>
      </c>
      <c r="H132" s="136" t="str">
        <f>IF(分析!I190&lt;&gt;"",分析!I190,"")</f>
        <v/>
      </c>
      <c r="I132" s="136" t="str">
        <f>IF(分析!J190&lt;&gt;"",分析!J190,"")</f>
        <v/>
      </c>
      <c r="J132" s="136">
        <f>IF(分析!AB190&lt;&gt;"",分析!AB190,"")</f>
        <v>1683.7734215885944</v>
      </c>
      <c r="K132" s="136">
        <f>IF(分析!AC190&lt;&gt;"",分析!AC190,"")</f>
        <v>1682.5053635280092</v>
      </c>
      <c r="L132" s="136" t="str">
        <f>IF(分析!K190&lt;&gt;"",分析!K190,"")</f>
        <v/>
      </c>
      <c r="M132" s="131" t="str">
        <f>IF(分析!P190&lt;&gt;"",分析!P190,"")</f>
        <v/>
      </c>
      <c r="N132" s="137" t="str">
        <f>IF(分析!O190&lt;&gt;"",分析!O190,"")</f>
        <v/>
      </c>
      <c r="O132" s="138">
        <f>IF(分析!X190&lt;&gt;"",分析!X190,"")</f>
        <v>6.3080692090034063</v>
      </c>
      <c r="P132" s="139" t="str">
        <f>IF(分析!L190&lt;&gt;"",分析!L190,"")</f>
        <v/>
      </c>
      <c r="Q132" s="136" t="str">
        <f>IF(分析!S190&lt;&gt;"",分析!S190,"")</f>
        <v/>
      </c>
      <c r="R132" s="136" t="str">
        <f>IF(分析!R190&lt;&gt;"",分析!R190,"")</f>
        <v/>
      </c>
      <c r="S132" s="131" t="str">
        <f>IF(分析!AA190&lt;&gt;"",分析!AA190,"")</f>
        <v/>
      </c>
      <c r="T132" s="140" t="str">
        <f>IF(分析!Z190&lt;&gt;"",分析!Z190,"")</f>
        <v/>
      </c>
      <c r="U132" s="131" t="str">
        <f>IF(分析!V190&lt;&gt;"",分析!V190,"")</f>
        <v/>
      </c>
      <c r="V132" s="141">
        <f>IF(分析!W190&lt;&gt;"",分析!W190,"")</f>
        <v>45.258019525801956</v>
      </c>
      <c r="W132" s="142" t="str">
        <f>IF(分析!AD190&lt;&gt;"",分析!AD190,"")</f>
        <v>パーフェクト▲</v>
      </c>
      <c r="X132" s="143" t="e">
        <f>IF(分析!AE190&lt;&gt;"",分析!AE190,"")</f>
        <v>#VALUE!</v>
      </c>
      <c r="Y132" s="144">
        <f>IF(分析!T190&lt;&gt;"",分析!T190,"")</f>
        <v>0</v>
      </c>
      <c r="Z132" s="145" t="e">
        <f>IF(分析!Y190&lt;&gt;"",分析!Y190,"")</f>
        <v>#VALUE!</v>
      </c>
    </row>
    <row r="133" spans="1:26" ht="21.9" customHeight="1">
      <c r="A133" s="146">
        <f>IF(分析!C53&lt;&gt;"",ROW()-2,"")</f>
        <v>131</v>
      </c>
      <c r="B133" s="147" t="str">
        <f>IF(分析!C53&lt;&gt;"",HYPERLINK("https://kabutan.jp/stock/?code="&amp;分析!C53,"株探"),"")</f>
        <v>株探</v>
      </c>
      <c r="C133" s="148">
        <f>IF(分析!C53&lt;&gt;"",分析!C53,"")</f>
        <v>8306</v>
      </c>
      <c r="D133" s="149" t="str">
        <f>IF(分析!D53&lt;&gt;"",分析!D53,"")</f>
        <v/>
      </c>
      <c r="E133" s="150" t="str">
        <f>IF(分析!E53&lt;&gt;"",分析!E53,"")</f>
        <v/>
      </c>
      <c r="F133" s="151" t="str">
        <f>IF(分析!F53&lt;&gt;"",分析!F53,"")</f>
        <v/>
      </c>
      <c r="G133" s="151" t="str">
        <f>IF(分析!H53&lt;&gt;"",分析!H53,"")</f>
        <v/>
      </c>
      <c r="H133" s="151" t="str">
        <f>IF(分析!I53&lt;&gt;"",分析!I53,"")</f>
        <v/>
      </c>
      <c r="I133" s="151" t="str">
        <f>IF(分析!J53&lt;&gt;"",分析!J53,"")</f>
        <v/>
      </c>
      <c r="J133" s="151">
        <f>IF(分析!AB53&lt;&gt;"",分析!AB53,"")</f>
        <v>4036.9877800407326</v>
      </c>
      <c r="K133" s="151">
        <f>IF(分析!AC53&lt;&gt;"",分析!AC53,"")</f>
        <v>4057.0488676996411</v>
      </c>
      <c r="L133" s="151" t="str">
        <f>IF(分析!K53&lt;&gt;"",分析!K53,"")</f>
        <v/>
      </c>
      <c r="M133" s="146" t="str">
        <f>IF(分析!P53&lt;&gt;"",分析!P53,"")</f>
        <v/>
      </c>
      <c r="N133" s="152" t="str">
        <f>IF(分析!O53&lt;&gt;"",分析!O53,"")</f>
        <v/>
      </c>
      <c r="O133" s="153">
        <f>IF(分析!X53&lt;&gt;"",分析!X53,"")</f>
        <v>43.723195841411325</v>
      </c>
      <c r="P133" s="154" t="str">
        <f>IF(分析!L53&lt;&gt;"",分析!L53,"")</f>
        <v/>
      </c>
      <c r="Q133" s="151" t="str">
        <f>IF(分析!S53&lt;&gt;"",分析!S53,"")</f>
        <v/>
      </c>
      <c r="R133" s="151" t="str">
        <f>IF(分析!R53&lt;&gt;"",分析!R53,"")</f>
        <v/>
      </c>
      <c r="S133" s="146" t="str">
        <f>IF(分析!AA53&lt;&gt;"",分析!AA53,"")</f>
        <v/>
      </c>
      <c r="T133" s="155" t="str">
        <f>IF(分析!Z53&lt;&gt;"",分析!Z53,"")</f>
        <v/>
      </c>
      <c r="U133" s="146" t="str">
        <f>IF(分析!V53&lt;&gt;"",分析!V53,"")</f>
        <v/>
      </c>
      <c r="V133" s="156">
        <f>IF(分析!W53&lt;&gt;"",分析!W53,"")</f>
        <v>90.13840830449827</v>
      </c>
      <c r="W133" s="157" t="str">
        <f>IF(分析!AD53&lt;&gt;"",分析!AD53,"")</f>
        <v>上昇トレンド▲</v>
      </c>
      <c r="X133" s="158" t="e">
        <f>IF(分析!AE53&lt;&gt;"",分析!AE53,"")</f>
        <v>#VALUE!</v>
      </c>
      <c r="Y133" s="159">
        <f>IF(分析!T53&lt;&gt;"",分析!T53,"")</f>
        <v>0</v>
      </c>
      <c r="Z133" s="145" t="e">
        <f>IF(分析!Y53&lt;&gt;"",分析!Y53,"")</f>
        <v>#VALUE!</v>
      </c>
    </row>
    <row r="134" spans="1:26" ht="21.9" customHeight="1">
      <c r="A134" s="131">
        <f>IF(分析!C182&lt;&gt;"",ROW()-2,"")</f>
        <v>132</v>
      </c>
      <c r="B134" s="132" t="str">
        <f>IF(分析!C182&lt;&gt;"",HYPERLINK("https://kabutan.jp/stock/?code="&amp;分析!C182,"株探"),"")</f>
        <v>株探</v>
      </c>
      <c r="C134" s="133">
        <f>IF(分析!C182&lt;&gt;"",分析!C182,"")</f>
        <v>3407</v>
      </c>
      <c r="D134" s="134" t="str">
        <f>IF(分析!D182&lt;&gt;"",分析!D182,"")</f>
        <v/>
      </c>
      <c r="E134" s="135" t="str">
        <f>IF(分析!E182&lt;&gt;"",分析!E182,"")</f>
        <v/>
      </c>
      <c r="F134" s="136" t="str">
        <f>IF(分析!F182&lt;&gt;"",分析!F182,"")</f>
        <v/>
      </c>
      <c r="G134" s="136" t="str">
        <f>IF(分析!H182&lt;&gt;"",分析!H182,"")</f>
        <v/>
      </c>
      <c r="H134" s="136" t="str">
        <f>IF(分析!I182&lt;&gt;"",分析!I182,"")</f>
        <v/>
      </c>
      <c r="I134" s="136" t="str">
        <f>IF(分析!J182&lt;&gt;"",分析!J182,"")</f>
        <v/>
      </c>
      <c r="J134" s="136">
        <f>IF(分析!AB182&lt;&gt;"",分析!AB182,"")</f>
        <v>3702.3818737270863</v>
      </c>
      <c r="K134" s="136">
        <f>IF(分析!AC182&lt;&gt;"",分析!AC182,"")</f>
        <v>3555.3075089392119</v>
      </c>
      <c r="L134" s="136" t="str">
        <f>IF(分析!K182&lt;&gt;"",分析!K182,"")</f>
        <v/>
      </c>
      <c r="M134" s="131" t="str">
        <f>IF(分析!P182&lt;&gt;"",分析!P182,"")</f>
        <v/>
      </c>
      <c r="N134" s="137" t="str">
        <f>IF(分析!O182&lt;&gt;"",分析!O182,"")</f>
        <v/>
      </c>
      <c r="O134" s="138">
        <f>IF(分析!X182&lt;&gt;"",分析!X182,"")</f>
        <v>9.3121211276913982</v>
      </c>
      <c r="P134" s="139" t="str">
        <f>IF(分析!L182&lt;&gt;"",分析!L182,"")</f>
        <v/>
      </c>
      <c r="Q134" s="136" t="str">
        <f>IF(分析!S182&lt;&gt;"",分析!S182,"")</f>
        <v/>
      </c>
      <c r="R134" s="136" t="str">
        <f>IF(分析!R182&lt;&gt;"",分析!R182,"")</f>
        <v/>
      </c>
      <c r="S134" s="131" t="str">
        <f>IF(分析!AA182&lt;&gt;"",分析!AA182,"")</f>
        <v/>
      </c>
      <c r="T134" s="140" t="str">
        <f>IF(分析!Z182&lt;&gt;"",分析!Z182,"")</f>
        <v/>
      </c>
      <c r="U134" s="131" t="str">
        <f>IF(分析!V182&lt;&gt;"",分析!V182,"")</f>
        <v/>
      </c>
      <c r="V134" s="141">
        <f>IF(分析!W182&lt;&gt;"",分析!W182,"")</f>
        <v>64.829821717990285</v>
      </c>
      <c r="W134" s="142" t="str">
        <f>IF(分析!AD182&lt;&gt;"",分析!AD182,"")</f>
        <v>パーフェクト▲</v>
      </c>
      <c r="X134" s="143" t="e">
        <f>IF(分析!AE182&lt;&gt;"",分析!AE182,"")</f>
        <v>#VALUE!</v>
      </c>
      <c r="Y134" s="144">
        <f>IF(分析!T182&lt;&gt;"",分析!T182,"")</f>
        <v>0</v>
      </c>
      <c r="Z134" s="145" t="e">
        <f>IF(分析!Y182&lt;&gt;"",分析!Y182,"")</f>
        <v>#VALUE!</v>
      </c>
    </row>
    <row r="135" spans="1:26" ht="21.9" customHeight="1">
      <c r="A135" s="146">
        <f>IF(分析!C17&lt;&gt;"",ROW()-2,"")</f>
        <v>133</v>
      </c>
      <c r="B135" s="147" t="str">
        <f>IF(分析!C17&lt;&gt;"",HYPERLINK("https://kabutan.jp/stock/?code="&amp;分析!C17,"株探"),"")</f>
        <v>株探</v>
      </c>
      <c r="C135" s="148">
        <f>IF(分析!C17&lt;&gt;"",分析!C17,"")</f>
        <v>9505</v>
      </c>
      <c r="D135" s="149" t="str">
        <f>IF(分析!D17&lt;&gt;"",分析!D17,"")</f>
        <v/>
      </c>
      <c r="E135" s="150" t="str">
        <f>IF(分析!E17&lt;&gt;"",分析!E17,"")</f>
        <v/>
      </c>
      <c r="F135" s="151" t="str">
        <f>IF(分析!F17&lt;&gt;"",分析!F17,"")</f>
        <v/>
      </c>
      <c r="G135" s="151" t="str">
        <f>IF(分析!H17&lt;&gt;"",分析!H17,"")</f>
        <v/>
      </c>
      <c r="H135" s="151" t="str">
        <f>IF(分析!I17&lt;&gt;"",分析!I17,"")</f>
        <v/>
      </c>
      <c r="I135" s="151" t="str">
        <f>IF(分析!J17&lt;&gt;"",分析!J17,"")</f>
        <v/>
      </c>
      <c r="J135" s="151">
        <f>IF(分析!AB17&lt;&gt;"",分析!AB17,"")</f>
        <v>8273.8747454175136</v>
      </c>
      <c r="K135" s="151">
        <f>IF(分析!AC17&lt;&gt;"",分析!AC17,"")</f>
        <v>8087.6448152562562</v>
      </c>
      <c r="L135" s="151" t="str">
        <f>IF(分析!K17&lt;&gt;"",分析!K17,"")</f>
        <v/>
      </c>
      <c r="M135" s="146" t="str">
        <f>IF(分析!P17&lt;&gt;"",分析!P17,"")</f>
        <v/>
      </c>
      <c r="N135" s="152" t="str">
        <f>IF(分析!O17&lt;&gt;"",分析!O17,"")</f>
        <v/>
      </c>
      <c r="O135" s="153">
        <f>IF(分析!X17&lt;&gt;"",分析!X17,"")</f>
        <v>7.189456254801371</v>
      </c>
      <c r="P135" s="154" t="str">
        <f>IF(分析!L17&lt;&gt;"",分析!L17,"")</f>
        <v/>
      </c>
      <c r="Q135" s="151" t="str">
        <f>IF(分析!S17&lt;&gt;"",分析!S17,"")</f>
        <v/>
      </c>
      <c r="R135" s="151" t="str">
        <f>IF(分析!R17&lt;&gt;"",分析!R17,"")</f>
        <v/>
      </c>
      <c r="S135" s="146" t="str">
        <f>IF(分析!AA17&lt;&gt;"",分析!AA17,"")</f>
        <v/>
      </c>
      <c r="T135" s="155" t="str">
        <f>IF(分析!Z17&lt;&gt;"",分析!Z17,"")</f>
        <v/>
      </c>
      <c r="U135" s="146" t="str">
        <f>IF(分析!V17&lt;&gt;"",分析!V17,"")</f>
        <v/>
      </c>
      <c r="V135" s="156">
        <f>IF(分析!W17&lt;&gt;"",分析!W17,"")</f>
        <v>66.717557251908403</v>
      </c>
      <c r="W135" s="157" t="str">
        <f>IF(分析!AD17&lt;&gt;"",分析!AD17,"")</f>
        <v>パーフェクト▲</v>
      </c>
      <c r="X135" s="158" t="e">
        <f>IF(分析!AE17&lt;&gt;"",分析!AE17,"")</f>
        <v>#VALUE!</v>
      </c>
      <c r="Y135" s="159">
        <f>IF(分析!T17&lt;&gt;"",分析!T17,"")</f>
        <v>0</v>
      </c>
      <c r="Z135" s="145" t="e">
        <f>IF(分析!Y17&lt;&gt;"",分析!Y17,"")</f>
        <v>#VALUE!</v>
      </c>
    </row>
    <row r="136" spans="1:26" ht="21.9" customHeight="1">
      <c r="A136" s="146">
        <f>IF(分析!C125&lt;&gt;"",ROW()-2,"")</f>
        <v>134</v>
      </c>
      <c r="B136" s="147" t="str">
        <f>IF(分析!C125&lt;&gt;"",HYPERLINK("https://kabutan.jp/stock/?code="&amp;分析!C125,"株探"),"")</f>
        <v>株探</v>
      </c>
      <c r="C136" s="148">
        <f>IF(分析!C125&lt;&gt;"",分析!C125,"")</f>
        <v>5803</v>
      </c>
      <c r="D136" s="149" t="str">
        <f>IF(分析!D125&lt;&gt;"",分析!D125,"")</f>
        <v/>
      </c>
      <c r="E136" s="150" t="str">
        <f>IF(分析!E125&lt;&gt;"",分析!E125,"")</f>
        <v/>
      </c>
      <c r="F136" s="151" t="str">
        <f>IF(分析!F125&lt;&gt;"",分析!F125,"")</f>
        <v/>
      </c>
      <c r="G136" s="151" t="str">
        <f>IF(分析!H125&lt;&gt;"",分析!H125,"")</f>
        <v/>
      </c>
      <c r="H136" s="151" t="str">
        <f>IF(分析!I125&lt;&gt;"",分析!I125,"")</f>
        <v/>
      </c>
      <c r="I136" s="151" t="str">
        <f>IF(分析!J125&lt;&gt;"",分析!J125,"")</f>
        <v/>
      </c>
      <c r="J136" s="151">
        <f>IF(分析!AB125&lt;&gt;"",分析!AB125,"")</f>
        <v>5376.2576374745404</v>
      </c>
      <c r="K136" s="151">
        <f>IF(分析!AC125&lt;&gt;"",分析!AC125,"")</f>
        <v>5406.0262216924903</v>
      </c>
      <c r="L136" s="151" t="str">
        <f>IF(分析!K125&lt;&gt;"",分析!K125,"")</f>
        <v/>
      </c>
      <c r="M136" s="146" t="str">
        <f>IF(分析!P125&lt;&gt;"",分析!P125,"")</f>
        <v/>
      </c>
      <c r="N136" s="152" t="str">
        <f>IF(分析!O125&lt;&gt;"",分析!O125,"")</f>
        <v/>
      </c>
      <c r="O136" s="153">
        <f>IF(分析!X125&lt;&gt;"",分析!X125,"")</f>
        <v>-116.98870199292196</v>
      </c>
      <c r="P136" s="154" t="str">
        <f>IF(分析!L125&lt;&gt;"",分析!L125,"")</f>
        <v/>
      </c>
      <c r="Q136" s="151" t="str">
        <f>IF(分析!S125&lt;&gt;"",分析!S125,"")</f>
        <v/>
      </c>
      <c r="R136" s="151" t="str">
        <f>IF(分析!R125&lt;&gt;"",分析!R125,"")</f>
        <v/>
      </c>
      <c r="S136" s="146" t="str">
        <f>IF(分析!AA125&lt;&gt;"",分析!AA125,"")</f>
        <v/>
      </c>
      <c r="T136" s="155" t="str">
        <f>IF(分析!Z125&lt;&gt;"",分析!Z125,"")</f>
        <v/>
      </c>
      <c r="U136" s="146" t="str">
        <f>IF(分析!V125&lt;&gt;"",分析!V125,"")</f>
        <v/>
      </c>
      <c r="V136" s="156">
        <f>IF(分析!W125&lt;&gt;"",分析!W125,"")</f>
        <v>30.667864630128776</v>
      </c>
      <c r="W136" s="157" t="str">
        <f>IF(分析!AD125&lt;&gt;"",分析!AD125,"")</f>
        <v>上昇トレンド▲</v>
      </c>
      <c r="X136" s="158" t="e">
        <f>IF(分析!AE125&lt;&gt;"",分析!AE125,"")</f>
        <v>#VALUE!</v>
      </c>
      <c r="Y136" s="159">
        <f>IF(分析!T125&lt;&gt;"",分析!T125,"")</f>
        <v>0</v>
      </c>
      <c r="Z136" s="145" t="e">
        <f>IF(分析!Y125&lt;&gt;"",分析!Y125,"")</f>
        <v>#VALUE!</v>
      </c>
    </row>
    <row r="137" spans="1:26" ht="21.9" customHeight="1">
      <c r="A137" s="146">
        <f>IF(分析!C115&lt;&gt;"",ROW()-2,"")</f>
        <v>135</v>
      </c>
      <c r="B137" s="147" t="str">
        <f>IF(分析!C115&lt;&gt;"",HYPERLINK("https://kabutan.jp/stock/?code="&amp;分析!C115,"株探"),"")</f>
        <v>株探</v>
      </c>
      <c r="C137" s="148">
        <f>IF(分析!C115&lt;&gt;"",分析!C115,"")</f>
        <v>6085</v>
      </c>
      <c r="D137" s="149" t="str">
        <f>IF(分析!D115&lt;&gt;"",分析!D115,"")</f>
        <v/>
      </c>
      <c r="E137" s="150" t="str">
        <f>IF(分析!E115&lt;&gt;"",分析!E115,"")</f>
        <v/>
      </c>
      <c r="F137" s="151" t="str">
        <f>IF(分析!F115&lt;&gt;"",分析!F115,"")</f>
        <v/>
      </c>
      <c r="G137" s="151" t="str">
        <f>IF(分析!H115&lt;&gt;"",分析!H115,"")</f>
        <v/>
      </c>
      <c r="H137" s="151" t="str">
        <f>IF(分析!I115&lt;&gt;"",分析!I115,"")</f>
        <v/>
      </c>
      <c r="I137" s="151" t="str">
        <f>IF(分析!J115&lt;&gt;"",分析!J115,"")</f>
        <v/>
      </c>
      <c r="J137" s="151">
        <f>IF(分析!AB115&lt;&gt;"",分析!AB115,"")</f>
        <v>5551.7993890020352</v>
      </c>
      <c r="K137" s="151">
        <f>IF(分析!AC115&lt;&gt;"",分析!AC115,"")</f>
        <v>5415.206197854588</v>
      </c>
      <c r="L137" s="151" t="str">
        <f>IF(分析!K115&lt;&gt;"",分析!K115,"")</f>
        <v/>
      </c>
      <c r="M137" s="146" t="str">
        <f>IF(分析!P115&lt;&gt;"",分析!P115,"")</f>
        <v/>
      </c>
      <c r="N137" s="152" t="str">
        <f>IF(分析!O115&lt;&gt;"",分析!O115,"")</f>
        <v/>
      </c>
      <c r="O137" s="153">
        <f>IF(分析!X115&lt;&gt;"",分析!X115,"")</f>
        <v>-18.240209521610893</v>
      </c>
      <c r="P137" s="154" t="str">
        <f>IF(分析!L115&lt;&gt;"",分析!L115,"")</f>
        <v/>
      </c>
      <c r="Q137" s="151" t="str">
        <f>IF(分析!S115&lt;&gt;"",分析!S115,"")</f>
        <v/>
      </c>
      <c r="R137" s="151" t="str">
        <f>IF(分析!R115&lt;&gt;"",分析!R115,"")</f>
        <v/>
      </c>
      <c r="S137" s="146" t="str">
        <f>IF(分析!AA115&lt;&gt;"",分析!AA115,"")</f>
        <v/>
      </c>
      <c r="T137" s="155" t="str">
        <f>IF(分析!Z115&lt;&gt;"",分析!Z115,"")</f>
        <v/>
      </c>
      <c r="U137" s="146" t="str">
        <f>IF(分析!V115&lt;&gt;"",分析!V115,"")</f>
        <v/>
      </c>
      <c r="V137" s="156">
        <f>IF(分析!W115&lt;&gt;"",分析!W115,"")</f>
        <v>26.213592233009706</v>
      </c>
      <c r="W137" s="157" t="str">
        <f>IF(分析!AD115&lt;&gt;"",分析!AD115,"")</f>
        <v>パーフェクト▲</v>
      </c>
      <c r="X137" s="158" t="e">
        <f>IF(分析!AE115&lt;&gt;"",分析!AE115,"")</f>
        <v>#VALUE!</v>
      </c>
      <c r="Y137" s="159">
        <f>IF(分析!T115&lt;&gt;"",分析!T115,"")</f>
        <v>0</v>
      </c>
      <c r="Z137" s="145" t="e">
        <f>IF(分析!Y115&lt;&gt;"",分析!Y115,"")</f>
        <v>#VALUE!</v>
      </c>
    </row>
    <row r="138" spans="1:26" ht="21.9" customHeight="1">
      <c r="A138" s="146">
        <f>IF(分析!C47&lt;&gt;"",ROW()-2,"")</f>
        <v>136</v>
      </c>
      <c r="B138" s="147" t="str">
        <f>IF(分析!C47&lt;&gt;"",HYPERLINK("https://kabutan.jp/stock/?code="&amp;分析!C47,"株探"),"")</f>
        <v>株探</v>
      </c>
      <c r="C138" s="148">
        <f>IF(分析!C47&lt;&gt;"",分析!C47,"")</f>
        <v>8411</v>
      </c>
      <c r="D138" s="149" t="str">
        <f>IF(分析!D47&lt;&gt;"",分析!D47,"")</f>
        <v/>
      </c>
      <c r="E138" s="150" t="str">
        <f>IF(分析!E47&lt;&gt;"",分析!E47,"")</f>
        <v/>
      </c>
      <c r="F138" s="151" t="str">
        <f>IF(分析!F47&lt;&gt;"",分析!F47,"")</f>
        <v/>
      </c>
      <c r="G138" s="151" t="str">
        <f>IF(分析!H47&lt;&gt;"",分析!H47,"")</f>
        <v/>
      </c>
      <c r="H138" s="151" t="str">
        <f>IF(分析!I47&lt;&gt;"",分析!I47,"")</f>
        <v/>
      </c>
      <c r="I138" s="151" t="str">
        <f>IF(分析!J47&lt;&gt;"",分析!J47,"")</f>
        <v/>
      </c>
      <c r="J138" s="151">
        <f>IF(分析!AB47&lt;&gt;"",分析!AB47,"")</f>
        <v>3724.0957230142558</v>
      </c>
      <c r="K138" s="151">
        <f>IF(分析!AC47&lt;&gt;"",分析!AC47,"")</f>
        <v>3723.2336114421914</v>
      </c>
      <c r="L138" s="151" t="str">
        <f>IF(分析!K47&lt;&gt;"",分析!K47,"")</f>
        <v/>
      </c>
      <c r="M138" s="146" t="str">
        <f>IF(分析!P47&lt;&gt;"",分析!P47,"")</f>
        <v/>
      </c>
      <c r="N138" s="152" t="str">
        <f>IF(分析!O47&lt;&gt;"",分析!O47,"")</f>
        <v/>
      </c>
      <c r="O138" s="153">
        <f>IF(分析!X47&lt;&gt;"",分析!X47,"")</f>
        <v>81.773263705080353</v>
      </c>
      <c r="P138" s="154" t="str">
        <f>IF(分析!L47&lt;&gt;"",分析!L47,"")</f>
        <v/>
      </c>
      <c r="Q138" s="151" t="str">
        <f>IF(分析!S47&lt;&gt;"",分析!S47,"")</f>
        <v/>
      </c>
      <c r="R138" s="151" t="str">
        <f>IF(分析!R47&lt;&gt;"",分析!R47,"")</f>
        <v/>
      </c>
      <c r="S138" s="146" t="str">
        <f>IF(分析!AA47&lt;&gt;"",分析!AA47,"")</f>
        <v/>
      </c>
      <c r="T138" s="155" t="str">
        <f>IF(分析!Z47&lt;&gt;"",分析!Z47,"")</f>
        <v/>
      </c>
      <c r="U138" s="146" t="str">
        <f>IF(分析!V47&lt;&gt;"",分析!V47,"")</f>
        <v/>
      </c>
      <c r="V138" s="156">
        <f>IF(分析!W47&lt;&gt;"",分析!W47,"")</f>
        <v>85.816733067729089</v>
      </c>
      <c r="W138" s="157" t="str">
        <f>IF(分析!AD47&lt;&gt;"",分析!AD47,"")</f>
        <v>パーフェクト▲</v>
      </c>
      <c r="X138" s="158" t="e">
        <f>IF(分析!AE47&lt;&gt;"",分析!AE47,"")</f>
        <v>#VALUE!</v>
      </c>
      <c r="Y138" s="159">
        <f>IF(分析!T47&lt;&gt;"",分析!T47,"")</f>
        <v>0</v>
      </c>
      <c r="Z138" s="145" t="e">
        <f>IF(分析!Y47&lt;&gt;"",分析!Y47,"")</f>
        <v>#VALUE!</v>
      </c>
    </row>
    <row r="139" spans="1:26" ht="21.9" customHeight="1">
      <c r="A139" s="146">
        <f>IF(分析!C61&lt;&gt;"",ROW()-2,"")</f>
        <v>137</v>
      </c>
      <c r="B139" s="147" t="str">
        <f>IF(分析!C61&lt;&gt;"",HYPERLINK("https://kabutan.jp/stock/?code="&amp;分析!C61,"株探"),"")</f>
        <v>株探</v>
      </c>
      <c r="C139" s="148">
        <f>IF(分析!C61&lt;&gt;"",分析!C61,"")</f>
        <v>8015</v>
      </c>
      <c r="D139" s="149" t="str">
        <f>IF(分析!D61&lt;&gt;"",分析!D61,"")</f>
        <v/>
      </c>
      <c r="E139" s="150" t="str">
        <f>IF(分析!E61&lt;&gt;"",分析!E61,"")</f>
        <v/>
      </c>
      <c r="F139" s="151" t="str">
        <f>IF(分析!F61&lt;&gt;"",分析!F61,"")</f>
        <v/>
      </c>
      <c r="G139" s="151" t="str">
        <f>IF(分析!H61&lt;&gt;"",分析!H61,"")</f>
        <v/>
      </c>
      <c r="H139" s="151" t="str">
        <f>IF(分析!I61&lt;&gt;"",分析!I61,"")</f>
        <v/>
      </c>
      <c r="I139" s="151" t="str">
        <f>IF(分析!J61&lt;&gt;"",分析!J61,"")</f>
        <v/>
      </c>
      <c r="J139" s="151">
        <f>IF(分析!AB61&lt;&gt;"",分析!AB61,"")</f>
        <v>1099.4989816700609</v>
      </c>
      <c r="K139" s="151">
        <f>IF(分析!AC61&lt;&gt;"",分析!AC61,"")</f>
        <v>1076.5148986889151</v>
      </c>
      <c r="L139" s="151" t="str">
        <f>IF(分析!K61&lt;&gt;"",分析!K61,"")</f>
        <v/>
      </c>
      <c r="M139" s="146" t="str">
        <f>IF(分析!P61&lt;&gt;"",分析!P61,"")</f>
        <v/>
      </c>
      <c r="N139" s="152" t="str">
        <f>IF(分析!O61&lt;&gt;"",分析!O61,"")</f>
        <v/>
      </c>
      <c r="O139" s="153">
        <f>IF(分析!X61&lt;&gt;"",分析!X61,"")</f>
        <v>2.6023029864018099</v>
      </c>
      <c r="P139" s="154" t="str">
        <f>IF(分析!L61&lt;&gt;"",分析!L61,"")</f>
        <v/>
      </c>
      <c r="Q139" s="151" t="str">
        <f>IF(分析!S61&lt;&gt;"",分析!S61,"")</f>
        <v/>
      </c>
      <c r="R139" s="151" t="str">
        <f>IF(分析!R61&lt;&gt;"",分析!R61,"")</f>
        <v/>
      </c>
      <c r="S139" s="146" t="str">
        <f>IF(分析!AA61&lt;&gt;"",分析!AA61,"")</f>
        <v/>
      </c>
      <c r="T139" s="155" t="str">
        <f>IF(分析!Z61&lt;&gt;"",分析!Z61,"")</f>
        <v/>
      </c>
      <c r="U139" s="146" t="str">
        <f>IF(分析!V61&lt;&gt;"",分析!V61,"")</f>
        <v/>
      </c>
      <c r="V139" s="156">
        <f>IF(分析!W61&lt;&gt;"",分析!W61,"")</f>
        <v>63.748458692971639</v>
      </c>
      <c r="W139" s="157" t="str">
        <f>IF(分析!AD61&lt;&gt;"",分析!AD61,"")</f>
        <v>パーフェクト▲</v>
      </c>
      <c r="X139" s="158" t="e">
        <f>IF(分析!AE61&lt;&gt;"",分析!AE61,"")</f>
        <v>#VALUE!</v>
      </c>
      <c r="Y139" s="159">
        <f>IF(分析!T61&lt;&gt;"",分析!T61,"")</f>
        <v>0</v>
      </c>
      <c r="Z139" s="145" t="e">
        <f>IF(分析!Y61&lt;&gt;"",分析!Y61,"")</f>
        <v>#VALUE!</v>
      </c>
    </row>
    <row r="140" spans="1:26" ht="21.9" customHeight="1">
      <c r="A140" s="146">
        <f>IF(分析!C59&lt;&gt;"",ROW()-2,"")</f>
        <v>138</v>
      </c>
      <c r="B140" s="147" t="str">
        <f>IF(分析!C59&lt;&gt;"",HYPERLINK("https://kabutan.jp/stock/?code="&amp;分析!C59,"株探"),"")</f>
        <v>株探</v>
      </c>
      <c r="C140" s="148">
        <f>IF(分析!C59&lt;&gt;"",分析!C59,"")</f>
        <v>8053</v>
      </c>
      <c r="D140" s="149" t="str">
        <f>IF(分析!D59&lt;&gt;"",分析!D59,"")</f>
        <v/>
      </c>
      <c r="E140" s="150" t="str">
        <f>IF(分析!E59&lt;&gt;"",分析!E59,"")</f>
        <v/>
      </c>
      <c r="F140" s="151" t="str">
        <f>IF(分析!F59&lt;&gt;"",分析!F59,"")</f>
        <v/>
      </c>
      <c r="G140" s="151" t="str">
        <f>IF(分析!H59&lt;&gt;"",分析!H59,"")</f>
        <v/>
      </c>
      <c r="H140" s="151" t="str">
        <f>IF(分析!I59&lt;&gt;"",分析!I59,"")</f>
        <v/>
      </c>
      <c r="I140" s="151" t="str">
        <f>IF(分析!J59&lt;&gt;"",分析!J59,"")</f>
        <v/>
      </c>
      <c r="J140" s="151">
        <f>IF(分析!AB59&lt;&gt;"",分析!AB59,"")</f>
        <v>1731.4867617107941</v>
      </c>
      <c r="K140" s="151">
        <f>IF(分析!AC59&lt;&gt;"",分析!AC59,"")</f>
        <v>1742.3593563766383</v>
      </c>
      <c r="L140" s="151" t="str">
        <f>IF(分析!K59&lt;&gt;"",分析!K59,"")</f>
        <v/>
      </c>
      <c r="M140" s="146" t="str">
        <f>IF(分析!P59&lt;&gt;"",分析!P59,"")</f>
        <v/>
      </c>
      <c r="N140" s="152" t="str">
        <f>IF(分析!O59&lt;&gt;"",分析!O59,"")</f>
        <v/>
      </c>
      <c r="O140" s="153">
        <f>IF(分析!X59&lt;&gt;"",分析!X59,"")</f>
        <v>-769.86097102758572</v>
      </c>
      <c r="P140" s="154" t="str">
        <f>IF(分析!L59&lt;&gt;"",分析!L59,"")</f>
        <v/>
      </c>
      <c r="Q140" s="151" t="str">
        <f>IF(分析!S59&lt;&gt;"",分析!S59,"")</f>
        <v/>
      </c>
      <c r="R140" s="151" t="str">
        <f>IF(分析!R59&lt;&gt;"",分析!R59,"")</f>
        <v/>
      </c>
      <c r="S140" s="146" t="str">
        <f>IF(分析!AA59&lt;&gt;"",分析!AA59,"")</f>
        <v/>
      </c>
      <c r="T140" s="155" t="str">
        <f>IF(分析!Z59&lt;&gt;"",分析!Z59,"")</f>
        <v/>
      </c>
      <c r="U140" s="146" t="str">
        <f>IF(分析!V59&lt;&gt;"",分析!V59,"")</f>
        <v/>
      </c>
      <c r="V140" s="156">
        <f>IF(分析!W59&lt;&gt;"",分析!W59,"")</f>
        <v>3.4606205250596673</v>
      </c>
      <c r="W140" s="157" t="str">
        <f>IF(分析!AD59&lt;&gt;"",分析!AD59,"")</f>
        <v>上昇トレンド▲</v>
      </c>
      <c r="X140" s="158" t="e">
        <f>IF(分析!AE59&lt;&gt;"",分析!AE59,"")</f>
        <v>#VALUE!</v>
      </c>
      <c r="Y140" s="159">
        <f>IF(分析!T59&lt;&gt;"",分析!T59,"")</f>
        <v>0</v>
      </c>
      <c r="Z140" s="145" t="e">
        <f>IF(分析!Y59&lt;&gt;"",分析!Y59,"")</f>
        <v>#VALUE!</v>
      </c>
    </row>
    <row r="141" spans="1:26" ht="21.9" customHeight="1">
      <c r="A141" s="131">
        <f>IF(分析!C62&lt;&gt;"",ROW()-2,"")</f>
        <v>139</v>
      </c>
      <c r="B141" s="132" t="str">
        <f>IF(分析!C62&lt;&gt;"",HYPERLINK("https://kabutan.jp/stock/?code="&amp;分析!C62,"株探"),"")</f>
        <v>株探</v>
      </c>
      <c r="C141" s="133">
        <f>IF(分析!C62&lt;&gt;"",分析!C62,"")</f>
        <v>8002</v>
      </c>
      <c r="D141" s="134" t="str">
        <f>IF(分析!D62&lt;&gt;"",分析!D62,"")</f>
        <v/>
      </c>
      <c r="E141" s="135" t="str">
        <f>IF(分析!E62&lt;&gt;"",分析!E62,"")</f>
        <v/>
      </c>
      <c r="F141" s="136" t="str">
        <f>IF(分析!F62&lt;&gt;"",分析!F62,"")</f>
        <v/>
      </c>
      <c r="G141" s="136" t="str">
        <f>IF(分析!H62&lt;&gt;"",分析!H62,"")</f>
        <v/>
      </c>
      <c r="H141" s="136" t="str">
        <f>IF(分析!I62&lt;&gt;"",分析!I62,"")</f>
        <v/>
      </c>
      <c r="I141" s="136" t="str">
        <f>IF(分析!J62&lt;&gt;"",分析!J62,"")</f>
        <v/>
      </c>
      <c r="J141" s="136">
        <f>IF(分析!AB62&lt;&gt;"",分析!AB62,"")</f>
        <v>3844.6710794297342</v>
      </c>
      <c r="K141" s="136">
        <f>IF(分析!AC62&lt;&gt;"",分析!AC62,"")</f>
        <v>3787.5423122765183</v>
      </c>
      <c r="L141" s="136" t="str">
        <f>IF(分析!K62&lt;&gt;"",分析!K62,"")</f>
        <v/>
      </c>
      <c r="M141" s="131" t="str">
        <f>IF(分析!P62&lt;&gt;"",分析!P62,"")</f>
        <v/>
      </c>
      <c r="N141" s="137" t="str">
        <f>IF(分析!O62&lt;&gt;"",分析!O62,"")</f>
        <v/>
      </c>
      <c r="O141" s="138">
        <f>IF(分析!X62&lt;&gt;"",分析!X62,"")</f>
        <v>28.263699107224056</v>
      </c>
      <c r="P141" s="139" t="str">
        <f>IF(分析!L62&lt;&gt;"",分析!L62,"")</f>
        <v/>
      </c>
      <c r="Q141" s="136" t="str">
        <f>IF(分析!S62&lt;&gt;"",分析!S62,"")</f>
        <v/>
      </c>
      <c r="R141" s="136" t="str">
        <f>IF(分析!R62&lt;&gt;"",分析!R62,"")</f>
        <v/>
      </c>
      <c r="S141" s="131" t="str">
        <f>IF(分析!AA62&lt;&gt;"",分析!AA62,"")</f>
        <v/>
      </c>
      <c r="T141" s="140" t="str">
        <f>IF(分析!Z62&lt;&gt;"",分析!Z62,"")</f>
        <v/>
      </c>
      <c r="U141" s="131" t="str">
        <f>IF(分析!V62&lt;&gt;"",分析!V62,"")</f>
        <v/>
      </c>
      <c r="V141" s="141">
        <f>IF(分析!W62&lt;&gt;"",分析!W62,"")</f>
        <v>77.307274701411501</v>
      </c>
      <c r="W141" s="142" t="str">
        <f>IF(分析!AD62&lt;&gt;"",分析!AD62,"")</f>
        <v>パーフェクト▲</v>
      </c>
      <c r="X141" s="143" t="e">
        <f>IF(分析!AE62&lt;&gt;"",分析!AE62,"")</f>
        <v>#VALUE!</v>
      </c>
      <c r="Y141" s="144">
        <f>IF(分析!T62&lt;&gt;"",分析!T62,"")</f>
        <v>0</v>
      </c>
      <c r="Z141" s="145" t="e">
        <f>IF(分析!Y62&lt;&gt;"",分析!Y62,"")</f>
        <v>#VALUE!</v>
      </c>
    </row>
    <row r="142" spans="1:26" ht="21.9" customHeight="1">
      <c r="A142" s="146">
        <f>IF(分析!C39&lt;&gt;"",ROW()-2,"")</f>
        <v>140</v>
      </c>
      <c r="B142" s="147" t="str">
        <f>IF(分析!C39&lt;&gt;"",HYPERLINK("https://kabutan.jp/stock/?code="&amp;分析!C39,"株探"),"")</f>
        <v>株探</v>
      </c>
      <c r="C142" s="148">
        <f>IF(分析!C39&lt;&gt;"",分析!C39,"")</f>
        <v>8630</v>
      </c>
      <c r="D142" s="149" t="str">
        <f>IF(分析!D39&lt;&gt;"",分析!D39,"")</f>
        <v/>
      </c>
      <c r="E142" s="150" t="str">
        <f>IF(分析!E39&lt;&gt;"",分析!E39,"")</f>
        <v/>
      </c>
      <c r="F142" s="151" t="str">
        <f>IF(分析!F39&lt;&gt;"",分析!F39,"")</f>
        <v/>
      </c>
      <c r="G142" s="151" t="str">
        <f>IF(分析!H39&lt;&gt;"",分析!H39,"")</f>
        <v/>
      </c>
      <c r="H142" s="151" t="str">
        <f>IF(分析!I39&lt;&gt;"",分析!I39,"")</f>
        <v/>
      </c>
      <c r="I142" s="151" t="str">
        <f>IF(分析!J39&lt;&gt;"",分析!J39,"")</f>
        <v/>
      </c>
      <c r="J142" s="151">
        <f>IF(分析!AB39&lt;&gt;"",分析!AB39,"")</f>
        <v>828.12443991853354</v>
      </c>
      <c r="K142" s="151">
        <f>IF(分析!AC39&lt;&gt;"",分析!AC39,"")</f>
        <v>812.83825983313432</v>
      </c>
      <c r="L142" s="151" t="str">
        <f>IF(分析!K39&lt;&gt;"",分析!K39,"")</f>
        <v/>
      </c>
      <c r="M142" s="146" t="str">
        <f>IF(分析!P39&lt;&gt;"",分析!P39,"")</f>
        <v/>
      </c>
      <c r="N142" s="152" t="str">
        <f>IF(分析!O39&lt;&gt;"",分析!O39,"")</f>
        <v/>
      </c>
      <c r="O142" s="153">
        <f>IF(分析!X39&lt;&gt;"",分析!X39,"")</f>
        <v>62.06414808210593</v>
      </c>
      <c r="P142" s="154" t="str">
        <f>IF(分析!L39&lt;&gt;"",分析!L39,"")</f>
        <v/>
      </c>
      <c r="Q142" s="151" t="str">
        <f>IF(分析!S39&lt;&gt;"",分析!S39,"")</f>
        <v/>
      </c>
      <c r="R142" s="151" t="str">
        <f>IF(分析!R39&lt;&gt;"",分析!R39,"")</f>
        <v/>
      </c>
      <c r="S142" s="146" t="str">
        <f>IF(分析!AA39&lt;&gt;"",分析!AA39,"")</f>
        <v/>
      </c>
      <c r="T142" s="155" t="str">
        <f>IF(分析!Z39&lt;&gt;"",分析!Z39,"")</f>
        <v/>
      </c>
      <c r="U142" s="146" t="str">
        <f>IF(分析!V39&lt;&gt;"",分析!V39,"")</f>
        <v/>
      </c>
      <c r="V142" s="156">
        <f>IF(分析!W39&lt;&gt;"",分析!W39,"")</f>
        <v>73.835125448028677</v>
      </c>
      <c r="W142" s="157" t="str">
        <f>IF(分析!AD39&lt;&gt;"",分析!AD39,"")</f>
        <v>パーフェクト▲</v>
      </c>
      <c r="X142" s="158" t="e">
        <f>IF(分析!AE39&lt;&gt;"",分析!AE39,"")</f>
        <v>#VALUE!</v>
      </c>
      <c r="Y142" s="159">
        <f>IF(分析!T39&lt;&gt;"",分析!T39,"")</f>
        <v>0</v>
      </c>
      <c r="Z142" s="145" t="e">
        <f>IF(分析!Y39&lt;&gt;"",分析!Y39,"")</f>
        <v>#VALUE!</v>
      </c>
    </row>
    <row r="143" spans="1:26" ht="21.9" customHeight="1">
      <c r="A143" s="146">
        <f>IF(分析!C101&lt;&gt;"",ROW()-2,"")</f>
        <v>141</v>
      </c>
      <c r="B143" s="147" t="str">
        <f>IF(分析!C101&lt;&gt;"",HYPERLINK("https://kabutan.jp/stock/?code="&amp;分析!C101,"株探"),"")</f>
        <v>株探</v>
      </c>
      <c r="C143" s="148">
        <f>IF(分析!C101&lt;&gt;"",分析!C101,"")</f>
        <v>6479</v>
      </c>
      <c r="D143" s="149" t="str">
        <f>IF(分析!D101&lt;&gt;"",分析!D101,"")</f>
        <v/>
      </c>
      <c r="E143" s="150" t="str">
        <f>IF(分析!E101&lt;&gt;"",分析!E101,"")</f>
        <v/>
      </c>
      <c r="F143" s="151" t="str">
        <f>IF(分析!F101&lt;&gt;"",分析!F101,"")</f>
        <v/>
      </c>
      <c r="G143" s="151" t="str">
        <f>IF(分析!H101&lt;&gt;"",分析!H101,"")</f>
        <v/>
      </c>
      <c r="H143" s="151" t="str">
        <f>IF(分析!I101&lt;&gt;"",分析!I101,"")</f>
        <v/>
      </c>
      <c r="I143" s="151" t="str">
        <f>IF(分析!J101&lt;&gt;"",分析!J101,"")</f>
        <v/>
      </c>
      <c r="J143" s="151">
        <f>IF(分析!AB101&lt;&gt;"",分析!AB101,"")</f>
        <v>4841.3635437881858</v>
      </c>
      <c r="K143" s="151">
        <f>IF(分析!AC101&lt;&gt;"",分析!AC101,"")</f>
        <v>5226.4910607866495</v>
      </c>
      <c r="L143" s="151" t="str">
        <f>IF(分析!K101&lt;&gt;"",分析!K101,"")</f>
        <v/>
      </c>
      <c r="M143" s="146" t="str">
        <f>IF(分析!P101&lt;&gt;"",分析!P101,"")</f>
        <v/>
      </c>
      <c r="N143" s="152" t="str">
        <f>IF(分析!O101&lt;&gt;"",分析!O101,"")</f>
        <v/>
      </c>
      <c r="O143" s="153">
        <f>IF(分析!X101&lt;&gt;"",分析!X101,"")</f>
        <v>-95.076904859514798</v>
      </c>
      <c r="P143" s="154" t="str">
        <f>IF(分析!L101&lt;&gt;"",分析!L101,"")</f>
        <v/>
      </c>
      <c r="Q143" s="151" t="str">
        <f>IF(分析!S101&lt;&gt;"",分析!S101,"")</f>
        <v/>
      </c>
      <c r="R143" s="151" t="str">
        <f>IF(分析!R101&lt;&gt;"",分析!R101,"")</f>
        <v/>
      </c>
      <c r="S143" s="146" t="str">
        <f>IF(分析!AA101&lt;&gt;"",分析!AA101,"")</f>
        <v/>
      </c>
      <c r="T143" s="155" t="str">
        <f>IF(分析!Z101&lt;&gt;"",分析!Z101,"")</f>
        <v/>
      </c>
      <c r="U143" s="146" t="str">
        <f>IF(分析!V101&lt;&gt;"",分析!V101,"")</f>
        <v/>
      </c>
      <c r="V143" s="156">
        <f>IF(分析!W101&lt;&gt;"",分析!W101,"")</f>
        <v>24.007839294463494</v>
      </c>
      <c r="W143" s="157" t="str">
        <f>IF(分析!AD101&lt;&gt;"",分析!AD101,"")</f>
        <v>上昇トレンド▲</v>
      </c>
      <c r="X143" s="158" t="e">
        <f>IF(分析!AE101&lt;&gt;"",分析!AE101,"")</f>
        <v>#VALUE!</v>
      </c>
      <c r="Y143" s="159">
        <f>IF(分析!T101&lt;&gt;"",分析!T101,"")</f>
        <v>0</v>
      </c>
      <c r="Z143" s="145" t="e">
        <f>IF(分析!Y101&lt;&gt;"",分析!Y101,"")</f>
        <v>#VALUE!</v>
      </c>
    </row>
    <row r="144" spans="1:26" ht="21.9" customHeight="1">
      <c r="A144" s="131">
        <f>IF(分析!C102&lt;&gt;"",ROW()-2,"")</f>
        <v>142</v>
      </c>
      <c r="B144" s="132" t="str">
        <f>IF(分析!C102&lt;&gt;"",HYPERLINK("https://kabutan.jp/stock/?code="&amp;分析!C102,"株探"),"")</f>
        <v>株探</v>
      </c>
      <c r="C144" s="133">
        <f>IF(分析!C102&lt;&gt;"",分析!C102,"")</f>
        <v>6436</v>
      </c>
      <c r="D144" s="134" t="str">
        <f>IF(分析!D102&lt;&gt;"",分析!D102,"")</f>
        <v/>
      </c>
      <c r="E144" s="135" t="str">
        <f>IF(分析!E102&lt;&gt;"",分析!E102,"")</f>
        <v/>
      </c>
      <c r="F144" s="136" t="str">
        <f>IF(分析!F102&lt;&gt;"",分析!F102,"")</f>
        <v/>
      </c>
      <c r="G144" s="136" t="str">
        <f>IF(分析!H102&lt;&gt;"",分析!H102,"")</f>
        <v/>
      </c>
      <c r="H144" s="136" t="str">
        <f>IF(分析!I102&lt;&gt;"",分析!I102,"")</f>
        <v/>
      </c>
      <c r="I144" s="136" t="str">
        <f>IF(分析!J102&lt;&gt;"",分析!J102,"")</f>
        <v/>
      </c>
      <c r="J144" s="136">
        <f>IF(分析!AB102&lt;&gt;"",分析!AB102,"")</f>
        <v>2351.0926680244393</v>
      </c>
      <c r="K144" s="136">
        <f>IF(分析!AC102&lt;&gt;"",分析!AC102,"")</f>
        <v>2290.2765196662685</v>
      </c>
      <c r="L144" s="136" t="str">
        <f>IF(分析!K102&lt;&gt;"",分析!K102,"")</f>
        <v/>
      </c>
      <c r="M144" s="131" t="str">
        <f>IF(分析!P102&lt;&gt;"",分析!P102,"")</f>
        <v/>
      </c>
      <c r="N144" s="137" t="str">
        <f>IF(分析!O102&lt;&gt;"",分析!O102,"")</f>
        <v/>
      </c>
      <c r="O144" s="138">
        <f>IF(分析!X102&lt;&gt;"",分析!X102,"")</f>
        <v>23.441967608533105</v>
      </c>
      <c r="P144" s="139" t="str">
        <f>IF(分析!L102&lt;&gt;"",分析!L102,"")</f>
        <v/>
      </c>
      <c r="Q144" s="136" t="str">
        <f>IF(分析!S102&lt;&gt;"",分析!S102,"")</f>
        <v/>
      </c>
      <c r="R144" s="136" t="str">
        <f>IF(分析!R102&lt;&gt;"",分析!R102,"")</f>
        <v/>
      </c>
      <c r="S144" s="131" t="str">
        <f>IF(分析!AA102&lt;&gt;"",分析!AA102,"")</f>
        <v/>
      </c>
      <c r="T144" s="140" t="str">
        <f>IF(分析!Z102&lt;&gt;"",分析!Z102,"")</f>
        <v/>
      </c>
      <c r="U144" s="131" t="str">
        <f>IF(分析!V102&lt;&gt;"",分析!V102,"")</f>
        <v/>
      </c>
      <c r="V144" s="141">
        <f>IF(分析!W102&lt;&gt;"",分析!W102,"")</f>
        <v>74.635568513119537</v>
      </c>
      <c r="W144" s="142" t="str">
        <f>IF(分析!AD102&lt;&gt;"",分析!AD102,"")</f>
        <v>パーフェクト▲</v>
      </c>
      <c r="X144" s="143" t="e">
        <f>IF(分析!AE102&lt;&gt;"",分析!AE102,"")</f>
        <v>#VALUE!</v>
      </c>
      <c r="Y144" s="144">
        <f>IF(分析!T102&lt;&gt;"",分析!T102,"")</f>
        <v>0</v>
      </c>
      <c r="Z144" s="145" t="e">
        <f>IF(分析!Y102&lt;&gt;"",分析!Y102,"")</f>
        <v>#VALUE!</v>
      </c>
    </row>
    <row r="145" spans="1:26" ht="21.9" customHeight="1">
      <c r="A145" s="146">
        <f>IF(分析!C63&lt;&gt;"",ROW()-2,"")</f>
        <v>143</v>
      </c>
      <c r="B145" s="147" t="str">
        <f>IF(分析!C63&lt;&gt;"",HYPERLINK("https://kabutan.jp/stock/?code="&amp;分析!C63,"株探"),"")</f>
        <v>株探</v>
      </c>
      <c r="C145" s="148">
        <f>IF(分析!C63&lt;&gt;"",分析!C63,"")</f>
        <v>7981</v>
      </c>
      <c r="D145" s="149" t="str">
        <f>IF(分析!D63&lt;&gt;"",分析!D63,"")</f>
        <v/>
      </c>
      <c r="E145" s="150" t="str">
        <f>IF(分析!E63&lt;&gt;"",分析!E63,"")</f>
        <v/>
      </c>
      <c r="F145" s="151" t="str">
        <f>IF(分析!F63&lt;&gt;"",分析!F63,"")</f>
        <v/>
      </c>
      <c r="G145" s="151" t="str">
        <f>IF(分析!H63&lt;&gt;"",分析!H63,"")</f>
        <v/>
      </c>
      <c r="H145" s="151" t="str">
        <f>IF(分析!I63&lt;&gt;"",分析!I63,"")</f>
        <v/>
      </c>
      <c r="I145" s="151" t="str">
        <f>IF(分析!J63&lt;&gt;"",分析!J63,"")</f>
        <v/>
      </c>
      <c r="J145" s="151">
        <f>IF(分析!AB63&lt;&gt;"",分析!AB63,"")</f>
        <v>6019.865580448065</v>
      </c>
      <c r="K145" s="151">
        <f>IF(分析!AC63&lt;&gt;"",分析!AC63,"")</f>
        <v>6236.1299165673399</v>
      </c>
      <c r="L145" s="151" t="str">
        <f>IF(分析!K63&lt;&gt;"",分析!K63,"")</f>
        <v/>
      </c>
      <c r="M145" s="146" t="str">
        <f>IF(分析!P63&lt;&gt;"",分析!P63,"")</f>
        <v/>
      </c>
      <c r="N145" s="152" t="str">
        <f>IF(分析!O63&lt;&gt;"",分析!O63,"")</f>
        <v/>
      </c>
      <c r="O145" s="153">
        <f>IF(分析!X63&lt;&gt;"",分析!X63,"")</f>
        <v>7.4852132829705624</v>
      </c>
      <c r="P145" s="154" t="str">
        <f>IF(分析!L63&lt;&gt;"",分析!L63,"")</f>
        <v/>
      </c>
      <c r="Q145" s="151" t="str">
        <f>IF(分析!S63&lt;&gt;"",分析!S63,"")</f>
        <v/>
      </c>
      <c r="R145" s="151" t="str">
        <f>IF(分析!R63&lt;&gt;"",分析!R63,"")</f>
        <v/>
      </c>
      <c r="S145" s="146" t="str">
        <f>IF(分析!AA63&lt;&gt;"",分析!AA63,"")</f>
        <v/>
      </c>
      <c r="T145" s="155" t="str">
        <f>IF(分析!Z63&lt;&gt;"",分析!Z63,"")</f>
        <v/>
      </c>
      <c r="U145" s="146" t="str">
        <f>IF(分析!V63&lt;&gt;"",分析!V63,"")</f>
        <v/>
      </c>
      <c r="V145" s="156">
        <f>IF(分析!W63&lt;&gt;"",分析!W63,"")</f>
        <v>56.962025316455694</v>
      </c>
      <c r="W145" s="157" t="str">
        <f>IF(分析!AD63&lt;&gt;"",分析!AD63,"")</f>
        <v>上昇トレンド▲</v>
      </c>
      <c r="X145" s="158" t="e">
        <f>IF(分析!AE63&lt;&gt;"",分析!AE63,"")</f>
        <v>#VALUE!</v>
      </c>
      <c r="Y145" s="159">
        <f>IF(分析!T63&lt;&gt;"",分析!T63,"")</f>
        <v>0</v>
      </c>
      <c r="Z145" s="145" t="e">
        <f>IF(分析!Y63&lt;&gt;"",分析!Y63,"")</f>
        <v>#VALUE!</v>
      </c>
    </row>
    <row r="146" spans="1:26" ht="21.9" customHeight="1">
      <c r="A146" s="146">
        <f>IF(分析!C65&lt;&gt;"",ROW()-2,"")</f>
        <v>144</v>
      </c>
      <c r="B146" s="147" t="str">
        <f>IF(分析!C65&lt;&gt;"",HYPERLINK("https://kabutan.jp/stock/?code="&amp;分析!C65,"株探"),"")</f>
        <v>株探</v>
      </c>
      <c r="C146" s="148">
        <f>IF(分析!C65&lt;&gt;"",分析!C65,"")</f>
        <v>7806</v>
      </c>
      <c r="D146" s="149" t="str">
        <f>IF(分析!D65&lt;&gt;"",分析!D65,"")</f>
        <v/>
      </c>
      <c r="E146" s="150" t="str">
        <f>IF(分析!E65&lt;&gt;"",分析!E65,"")</f>
        <v/>
      </c>
      <c r="F146" s="151" t="str">
        <f>IF(分析!F65&lt;&gt;"",分析!F65,"")</f>
        <v/>
      </c>
      <c r="G146" s="151" t="str">
        <f>IF(分析!H65&lt;&gt;"",分析!H65,"")</f>
        <v/>
      </c>
      <c r="H146" s="151" t="str">
        <f>IF(分析!I65&lt;&gt;"",分析!I65,"")</f>
        <v/>
      </c>
      <c r="I146" s="151" t="str">
        <f>IF(分析!J65&lt;&gt;"",分析!J65,"")</f>
        <v/>
      </c>
      <c r="J146" s="151">
        <f>IF(分析!AB65&lt;&gt;"",分析!AB65,"")</f>
        <v>2102.4526476578408</v>
      </c>
      <c r="K146" s="151">
        <f>IF(分析!AC65&lt;&gt;"",分析!AC65,"")</f>
        <v>2104.7848629320611</v>
      </c>
      <c r="L146" s="151" t="str">
        <f>IF(分析!K65&lt;&gt;"",分析!K65,"")</f>
        <v/>
      </c>
      <c r="M146" s="146" t="str">
        <f>IF(分析!P65&lt;&gt;"",分析!P65,"")</f>
        <v/>
      </c>
      <c r="N146" s="152" t="str">
        <f>IF(分析!O65&lt;&gt;"",分析!O65,"")</f>
        <v/>
      </c>
      <c r="O146" s="153">
        <f>IF(分析!X65&lt;&gt;"",分析!X65,"")</f>
        <v>36.039209676840073</v>
      </c>
      <c r="P146" s="154" t="str">
        <f>IF(分析!L65&lt;&gt;"",分析!L65,"")</f>
        <v/>
      </c>
      <c r="Q146" s="151" t="str">
        <f>IF(分析!S65&lt;&gt;"",分析!S65,"")</f>
        <v/>
      </c>
      <c r="R146" s="151" t="str">
        <f>IF(分析!R65&lt;&gt;"",分析!R65,"")</f>
        <v/>
      </c>
      <c r="S146" s="146" t="str">
        <f>IF(分析!AA65&lt;&gt;"",分析!AA65,"")</f>
        <v/>
      </c>
      <c r="T146" s="155" t="str">
        <f>IF(分析!Z65&lt;&gt;"",分析!Z65,"")</f>
        <v/>
      </c>
      <c r="U146" s="146" t="str">
        <f>IF(分析!V65&lt;&gt;"",分析!V65,"")</f>
        <v/>
      </c>
      <c r="V146" s="156">
        <f>IF(分析!W65&lt;&gt;"",分析!W65,"")</f>
        <v>54.509803921568626</v>
      </c>
      <c r="W146" s="157" t="str">
        <f>IF(分析!AD65&lt;&gt;"",分析!AD65,"")</f>
        <v>上昇トレンド▲</v>
      </c>
      <c r="X146" s="158" t="e">
        <f>IF(分析!AE65&lt;&gt;"",分析!AE65,"")</f>
        <v>#VALUE!</v>
      </c>
      <c r="Y146" s="159">
        <f>IF(分析!T65&lt;&gt;"",分析!T65,"")</f>
        <v>0</v>
      </c>
      <c r="Z146" s="145" t="e">
        <f>IF(分析!Y65&lt;&gt;"",分析!Y65,"")</f>
        <v>#VALUE!</v>
      </c>
    </row>
    <row r="147" spans="1:26" ht="21.9" customHeight="1">
      <c r="A147" s="146">
        <f>IF(分析!C201&lt;&gt;"",ROW()-2,"")</f>
        <v>145</v>
      </c>
      <c r="B147" s="147" t="str">
        <f>IF(分析!C201&lt;&gt;"",HYPERLINK("https://kabutan.jp/stock/?code="&amp;分析!C201,"株探"),"")</f>
        <v>株探</v>
      </c>
      <c r="C147" s="148">
        <f>IF(分析!C201&lt;&gt;"",分析!C201,"")</f>
        <v>1930</v>
      </c>
      <c r="D147" s="149" t="str">
        <f>IF(分析!D201&lt;&gt;"",分析!D201,"")</f>
        <v/>
      </c>
      <c r="E147" s="150" t="str">
        <f>IF(分析!E201&lt;&gt;"",分析!E201,"")</f>
        <v/>
      </c>
      <c r="F147" s="151" t="str">
        <f>IF(分析!F201&lt;&gt;"",分析!F201,"")</f>
        <v/>
      </c>
      <c r="G147" s="151" t="str">
        <f>IF(分析!H201&lt;&gt;"",分析!H201,"")</f>
        <v/>
      </c>
      <c r="H147" s="151" t="str">
        <f>IF(分析!I201&lt;&gt;"",分析!I201,"")</f>
        <v/>
      </c>
      <c r="I147" s="151" t="str">
        <f>IF(分析!J201&lt;&gt;"",分析!J201,"")</f>
        <v/>
      </c>
      <c r="J147" s="151">
        <f>IF(分析!AB201&lt;&gt;"",分析!AB201,"")</f>
        <v>5198.4918533604878</v>
      </c>
      <c r="K147" s="151">
        <f>IF(分析!AC201&lt;&gt;"",分析!AC201,"")</f>
        <v>5268.7032181168024</v>
      </c>
      <c r="L147" s="151" t="str">
        <f>IF(分析!K201&lt;&gt;"",分析!K201,"")</f>
        <v/>
      </c>
      <c r="M147" s="146" t="str">
        <f>IF(分析!P201&lt;&gt;"",分析!P201,"")</f>
        <v/>
      </c>
      <c r="N147" s="152" t="str">
        <f>IF(分析!O201&lt;&gt;"",分析!O201,"")</f>
        <v/>
      </c>
      <c r="O147" s="153">
        <f>IF(分析!X201&lt;&gt;"",分析!X201,"")</f>
        <v>-12.768164974386991</v>
      </c>
      <c r="P147" s="154" t="str">
        <f>IF(分析!L201&lt;&gt;"",分析!L201,"")</f>
        <v/>
      </c>
      <c r="Q147" s="151" t="str">
        <f>IF(分析!S201&lt;&gt;"",分析!S201,"")</f>
        <v/>
      </c>
      <c r="R147" s="151" t="str">
        <f>IF(分析!R201&lt;&gt;"",分析!R201,"")</f>
        <v/>
      </c>
      <c r="S147" s="146" t="str">
        <f>IF(分析!AA201&lt;&gt;"",分析!AA201,"")</f>
        <v/>
      </c>
      <c r="T147" s="155" t="str">
        <f>IF(分析!Z201&lt;&gt;"",分析!Z201,"")</f>
        <v/>
      </c>
      <c r="U147" s="146" t="str">
        <f>IF(分析!V201&lt;&gt;"",分析!V201,"")</f>
        <v/>
      </c>
      <c r="V147" s="156">
        <f>IF(分析!W201&lt;&gt;"",分析!W201,"")</f>
        <v>31.660231660231659</v>
      </c>
      <c r="W147" s="157" t="str">
        <f>IF(分析!AD201&lt;&gt;"",分析!AD201,"")</f>
        <v>上昇トレンド▲</v>
      </c>
      <c r="X147" s="158" t="e">
        <f>IF(分析!AE201&lt;&gt;"",分析!AE201,"")</f>
        <v>#VALUE!</v>
      </c>
      <c r="Y147" s="159">
        <f>IF(分析!T201&lt;&gt;"",分析!T201,"")</f>
        <v>0</v>
      </c>
      <c r="Z147" s="145" t="e">
        <f>IF(分析!Y201&lt;&gt;"",分析!Y201,"")</f>
        <v>#VALUE!</v>
      </c>
    </row>
    <row r="148" spans="1:26" ht="21.9" customHeight="1">
      <c r="A148" s="131">
        <f>IF(分析!C68&lt;&gt;"",ROW()-2,"")</f>
        <v>146</v>
      </c>
      <c r="B148" s="132" t="str">
        <f>IF(分析!C68&lt;&gt;"",HYPERLINK("https://kabutan.jp/stock/?code="&amp;分析!C68,"株探"),"")</f>
        <v>株探</v>
      </c>
      <c r="C148" s="133">
        <f>IF(分析!C68&lt;&gt;"",分析!C68,"")</f>
        <v>7729</v>
      </c>
      <c r="D148" s="134" t="str">
        <f>IF(分析!D68&lt;&gt;"",分析!D68,"")</f>
        <v/>
      </c>
      <c r="E148" s="135" t="str">
        <f>IF(分析!E68&lt;&gt;"",分析!E68,"")</f>
        <v/>
      </c>
      <c r="F148" s="136" t="str">
        <f>IF(分析!F68&lt;&gt;"",分析!F68,"")</f>
        <v/>
      </c>
      <c r="G148" s="136" t="str">
        <f>IF(分析!H68&lt;&gt;"",分析!H68,"")</f>
        <v/>
      </c>
      <c r="H148" s="136" t="str">
        <f>IF(分析!I68&lt;&gt;"",分析!I68,"")</f>
        <v/>
      </c>
      <c r="I148" s="136" t="str">
        <f>IF(分析!J68&lt;&gt;"",分析!J68,"")</f>
        <v/>
      </c>
      <c r="J148" s="136">
        <f>IF(分析!AB68&lt;&gt;"",分析!AB68,"")</f>
        <v>114.39816700610994</v>
      </c>
      <c r="K148" s="136">
        <f>IF(分析!AC68&lt;&gt;"",分析!AC68,"")</f>
        <v>112.57806912991653</v>
      </c>
      <c r="L148" s="136" t="str">
        <f>IF(分析!K68&lt;&gt;"",分析!K68,"")</f>
        <v/>
      </c>
      <c r="M148" s="131" t="str">
        <f>IF(分析!P68&lt;&gt;"",分析!P68,"")</f>
        <v/>
      </c>
      <c r="N148" s="137" t="str">
        <f>IF(分析!O68&lt;&gt;"",分析!O68,"")</f>
        <v/>
      </c>
      <c r="O148" s="138">
        <f>IF(分析!X68&lt;&gt;"",分析!X68,"")</f>
        <v>-162.14975581020917</v>
      </c>
      <c r="P148" s="139" t="str">
        <f>IF(分析!L68&lt;&gt;"",分析!L68,"")</f>
        <v/>
      </c>
      <c r="Q148" s="136" t="str">
        <f>IF(分析!S68&lt;&gt;"",分析!S68,"")</f>
        <v/>
      </c>
      <c r="R148" s="136" t="str">
        <f>IF(分析!R68&lt;&gt;"",分析!R68,"")</f>
        <v/>
      </c>
      <c r="S148" s="131" t="str">
        <f>IF(分析!AA68&lt;&gt;"",分析!AA68,"")</f>
        <v/>
      </c>
      <c r="T148" s="140" t="str">
        <f>IF(分析!Z68&lt;&gt;"",分析!Z68,"")</f>
        <v/>
      </c>
      <c r="U148" s="131" t="str">
        <f>IF(分析!V68&lt;&gt;"",分析!V68,"")</f>
        <v/>
      </c>
      <c r="V148" s="141">
        <f>IF(分析!W68&lt;&gt;"",分析!W68,"")</f>
        <v>49.377828054298647</v>
      </c>
      <c r="W148" s="142" t="str">
        <f>IF(分析!AD68&lt;&gt;"",分析!AD68,"")</f>
        <v>パーフェクト▲</v>
      </c>
      <c r="X148" s="143" t="e">
        <f>IF(分析!AE68&lt;&gt;"",分析!AE68,"")</f>
        <v>#VALUE!</v>
      </c>
      <c r="Y148" s="144">
        <f>IF(分析!T68&lt;&gt;"",分析!T68,"")</f>
        <v>0</v>
      </c>
      <c r="Z148" s="145" t="e">
        <f>IF(分析!Y68&lt;&gt;"",分析!Y68,"")</f>
        <v>#VALUE!</v>
      </c>
    </row>
    <row r="149" spans="1:26" ht="21.9" customHeight="1">
      <c r="A149" s="131">
        <f>IF(分析!C70&lt;&gt;"",ROW()-2,"")</f>
        <v>147</v>
      </c>
      <c r="B149" s="132" t="str">
        <f>IF(分析!C70&lt;&gt;"",HYPERLINK("https://kabutan.jp/stock/?code="&amp;分析!C70,"株探"),"")</f>
        <v>株探</v>
      </c>
      <c r="C149" s="133">
        <f>IF(分析!C70&lt;&gt;"",分析!C70,"")</f>
        <v>7381</v>
      </c>
      <c r="D149" s="134" t="str">
        <f>IF(分析!D70&lt;&gt;"",分析!D70,"")</f>
        <v/>
      </c>
      <c r="E149" s="135" t="str">
        <f>IF(分析!E70&lt;&gt;"",分析!E70,"")</f>
        <v/>
      </c>
      <c r="F149" s="136" t="str">
        <f>IF(分析!F70&lt;&gt;"",分析!F70,"")</f>
        <v/>
      </c>
      <c r="G149" s="136" t="str">
        <f>IF(分析!H70&lt;&gt;"",分析!H70,"")</f>
        <v/>
      </c>
      <c r="H149" s="136" t="str">
        <f>IF(分析!I70&lt;&gt;"",分析!I70,"")</f>
        <v/>
      </c>
      <c r="I149" s="136" t="str">
        <f>IF(分析!J70&lt;&gt;"",分析!J70,"")</f>
        <v/>
      </c>
      <c r="J149" s="136">
        <f>IF(分析!AB70&lt;&gt;"",分析!AB70,"")</f>
        <v>2388.8951120162933</v>
      </c>
      <c r="K149" s="136">
        <f>IF(分析!AC70&lt;&gt;"",分析!AC70,"")</f>
        <v>2315.4052443384976</v>
      </c>
      <c r="L149" s="136" t="str">
        <f>IF(分析!K70&lt;&gt;"",分析!K70,"")</f>
        <v/>
      </c>
      <c r="M149" s="131" t="str">
        <f>IF(分析!P70&lt;&gt;"",分析!P70,"")</f>
        <v/>
      </c>
      <c r="N149" s="137" t="str">
        <f>IF(分析!O70&lt;&gt;"",分析!O70,"")</f>
        <v/>
      </c>
      <c r="O149" s="138">
        <f>IF(分析!X70&lt;&gt;"",分析!X70,"")</f>
        <v>14.02768479416045</v>
      </c>
      <c r="P149" s="139" t="str">
        <f>IF(分析!L70&lt;&gt;"",分析!L70,"")</f>
        <v/>
      </c>
      <c r="Q149" s="136" t="str">
        <f>IF(分析!S70&lt;&gt;"",分析!S70,"")</f>
        <v/>
      </c>
      <c r="R149" s="136" t="str">
        <f>IF(分析!R70&lt;&gt;"",分析!R70,"")</f>
        <v/>
      </c>
      <c r="S149" s="131" t="str">
        <f>IF(分析!AA70&lt;&gt;"",分析!AA70,"")</f>
        <v/>
      </c>
      <c r="T149" s="140" t="str">
        <f>IF(分析!Z70&lt;&gt;"",分析!Z70,"")</f>
        <v/>
      </c>
      <c r="U149" s="131" t="str">
        <f>IF(分析!V70&lt;&gt;"",分析!V70,"")</f>
        <v/>
      </c>
      <c r="V149" s="141">
        <f>IF(分析!W70&lt;&gt;"",分析!W70,"")</f>
        <v>83.397683397683394</v>
      </c>
      <c r="W149" s="142" t="str">
        <f>IF(分析!AD70&lt;&gt;"",分析!AD70,"")</f>
        <v>パーフェクト▲</v>
      </c>
      <c r="X149" s="143" t="e">
        <f>IF(分析!AE70&lt;&gt;"",分析!AE70,"")</f>
        <v>#VALUE!</v>
      </c>
      <c r="Y149" s="144">
        <f>IF(分析!T70&lt;&gt;"",分析!T70,"")</f>
        <v>0</v>
      </c>
      <c r="Z149" s="145" t="e">
        <f>IF(分析!Y70&lt;&gt;"",分析!Y70,"")</f>
        <v>#VALUE!</v>
      </c>
    </row>
    <row r="150" spans="1:26" ht="21.9" customHeight="1">
      <c r="A150" s="131">
        <f>IF(分析!C204&lt;&gt;"",ROW()-2,"")</f>
        <v>148</v>
      </c>
      <c r="B150" s="132" t="str">
        <f>IF(分析!C204&lt;&gt;"",HYPERLINK("https://kabutan.jp/stock/?code="&amp;分析!C204,"株探"),"")</f>
        <v>株探</v>
      </c>
      <c r="C150" s="133">
        <f>IF(分析!C204&lt;&gt;"",分析!C204,"")</f>
        <v>1812</v>
      </c>
      <c r="D150" s="134" t="str">
        <f>IF(分析!D204&lt;&gt;"",分析!D204,"")</f>
        <v/>
      </c>
      <c r="E150" s="135" t="str">
        <f>IF(分析!E204&lt;&gt;"",分析!E204,"")</f>
        <v/>
      </c>
      <c r="F150" s="136" t="str">
        <f>IF(分析!F204&lt;&gt;"",分析!F204,"")</f>
        <v/>
      </c>
      <c r="G150" s="136" t="str">
        <f>IF(分析!H204&lt;&gt;"",分析!H204,"")</f>
        <v/>
      </c>
      <c r="H150" s="136" t="str">
        <f>IF(分析!I204&lt;&gt;"",分析!I204,"")</f>
        <v/>
      </c>
      <c r="I150" s="136" t="str">
        <f>IF(分析!J204&lt;&gt;"",分析!J204,"")</f>
        <v/>
      </c>
      <c r="J150" s="136">
        <f>IF(分析!AB204&lt;&gt;"",分析!AB204,"")</f>
        <v>2518.5529953917053</v>
      </c>
      <c r="K150" s="136">
        <f>IF(分析!AC204&lt;&gt;"",分析!AC204,"")</f>
        <v>2440.805125148986</v>
      </c>
      <c r="L150" s="136" t="str">
        <f>IF(分析!K204&lt;&gt;"",分析!K204,"")</f>
        <v/>
      </c>
      <c r="M150" s="131" t="str">
        <f>IF(分析!P204&lt;&gt;"",分析!P204,"")</f>
        <v/>
      </c>
      <c r="N150" s="137" t="str">
        <f>IF(分析!O204&lt;&gt;"",分析!O204,"")</f>
        <v/>
      </c>
      <c r="O150" s="138">
        <f>IF(分析!X204&lt;&gt;"",分析!X204,"")</f>
        <v>-7.995494330099973</v>
      </c>
      <c r="P150" s="139" t="str">
        <f>IF(分析!L204&lt;&gt;"",分析!L204,"")</f>
        <v/>
      </c>
      <c r="Q150" s="136" t="str">
        <f>IF(分析!S204&lt;&gt;"",分析!S204,"")</f>
        <v/>
      </c>
      <c r="R150" s="136" t="str">
        <f>IF(分析!R204&lt;&gt;"",分析!R204,"")</f>
        <v/>
      </c>
      <c r="S150" s="131" t="str">
        <f>IF(分析!AA204&lt;&gt;"",分析!AA204,"")</f>
        <v/>
      </c>
      <c r="T150" s="140" t="str">
        <f>IF(分析!Z204&lt;&gt;"",分析!Z204,"")</f>
        <v/>
      </c>
      <c r="U150" s="131" t="str">
        <f>IF(分析!V204&lt;&gt;"",分析!V204,"")</f>
        <v/>
      </c>
      <c r="V150" s="141">
        <f>IF(分析!W204&lt;&gt;"",分析!W204,"")</f>
        <v>51.629254163649534</v>
      </c>
      <c r="W150" s="142" t="str">
        <f>IF(分析!AD204&lt;&gt;"",分析!AD204,"")</f>
        <v>パーフェクト▲</v>
      </c>
      <c r="X150" s="143" t="e">
        <f>IF(分析!AE204&lt;&gt;"",分析!AE204,"")</f>
        <v>#VALUE!</v>
      </c>
      <c r="Y150" s="144">
        <f>IF(分析!T204&lt;&gt;"",分析!T204,"")</f>
        <v>0</v>
      </c>
      <c r="Z150" s="145" t="e">
        <f>IF(分析!Y204&lt;&gt;"",分析!Y204,"")</f>
        <v>#VALUE!</v>
      </c>
    </row>
    <row r="151" spans="1:26" ht="21.9" customHeight="1">
      <c r="A151" s="131">
        <f>IF(分析!C26&lt;&gt;"",ROW()-2,"")</f>
        <v>149</v>
      </c>
      <c r="B151" s="132" t="str">
        <f>IF(分析!C26&lt;&gt;"",HYPERLINK("https://kabutan.jp/stock/?code="&amp;分析!C26,"株探"),"")</f>
        <v>株探</v>
      </c>
      <c r="C151" s="133">
        <f>IF(分析!C26&lt;&gt;"",分析!C26,"")</f>
        <v>9202</v>
      </c>
      <c r="D151" s="134" t="str">
        <f>IF(分析!D26&lt;&gt;"",分析!D26,"")</f>
        <v/>
      </c>
      <c r="E151" s="135" t="str">
        <f>IF(分析!E26&lt;&gt;"",分析!E26,"")</f>
        <v/>
      </c>
      <c r="F151" s="136" t="str">
        <f>IF(分析!F26&lt;&gt;"",分析!F26,"")</f>
        <v/>
      </c>
      <c r="G151" s="136" t="str">
        <f>IF(分析!H26&lt;&gt;"",分析!H26,"")</f>
        <v/>
      </c>
      <c r="H151" s="136" t="str">
        <f>IF(分析!I26&lt;&gt;"",分析!I26,"")</f>
        <v/>
      </c>
      <c r="I151" s="136" t="str">
        <f>IF(分析!J26&lt;&gt;"",分析!J26,"")</f>
        <v/>
      </c>
      <c r="J151" s="136">
        <f>IF(分析!AB26&lt;&gt;"",分析!AB26,"")</f>
        <v>4690.2240325865559</v>
      </c>
      <c r="K151" s="136">
        <f>IF(分析!AC26&lt;&gt;"",分析!AC26,"")</f>
        <v>4530.4743742550645</v>
      </c>
      <c r="L151" s="136" t="str">
        <f>IF(分析!K26&lt;&gt;"",分析!K26,"")</f>
        <v/>
      </c>
      <c r="M151" s="131" t="str">
        <f>IF(分析!P26&lt;&gt;"",分析!P26,"")</f>
        <v/>
      </c>
      <c r="N151" s="137" t="str">
        <f>IF(分析!O26&lt;&gt;"",分析!O26,"")</f>
        <v/>
      </c>
      <c r="O151" s="138">
        <f>IF(分析!X26&lt;&gt;"",分析!X26,"")</f>
        <v>13.739124897010697</v>
      </c>
      <c r="P151" s="139" t="str">
        <f>IF(分析!L26&lt;&gt;"",分析!L26,"")</f>
        <v/>
      </c>
      <c r="Q151" s="136" t="str">
        <f>IF(分析!S26&lt;&gt;"",分析!S26,"")</f>
        <v/>
      </c>
      <c r="R151" s="136" t="str">
        <f>IF(分析!R26&lt;&gt;"",分析!R26,"")</f>
        <v/>
      </c>
      <c r="S151" s="131" t="str">
        <f>IF(分析!AA26&lt;&gt;"",分析!AA26,"")</f>
        <v/>
      </c>
      <c r="T151" s="140" t="str">
        <f>IF(分析!Z26&lt;&gt;"",分析!Z26,"")</f>
        <v/>
      </c>
      <c r="U151" s="131" t="str">
        <f>IF(分析!V26&lt;&gt;"",分析!V26,"")</f>
        <v/>
      </c>
      <c r="V151" s="141">
        <f>IF(分析!W26&lt;&gt;"",分析!W26,"")</f>
        <v>51.18343195266273</v>
      </c>
      <c r="W151" s="142" t="str">
        <f>IF(分析!AD26&lt;&gt;"",分析!AD26,"")</f>
        <v>パーフェクト▲</v>
      </c>
      <c r="X151" s="143" t="e">
        <f>IF(分析!AE26&lt;&gt;"",分析!AE26,"")</f>
        <v>#VALUE!</v>
      </c>
      <c r="Y151" s="144">
        <f>IF(分析!T26&lt;&gt;"",分析!T26,"")</f>
        <v>0</v>
      </c>
      <c r="Z151" s="145" t="e">
        <f>IF(分析!Y26&lt;&gt;"",分析!Y26,"")</f>
        <v>#VALUE!</v>
      </c>
    </row>
    <row r="152" spans="1:26" ht="21.9" customHeight="1">
      <c r="A152" s="146">
        <f>IF(分析!C91&lt;&gt;"",ROW()-2,"")</f>
        <v>150</v>
      </c>
      <c r="B152" s="147" t="str">
        <f>IF(分析!C91&lt;&gt;"",HYPERLINK("https://kabutan.jp/stock/?code="&amp;分析!C91,"株探"),"")</f>
        <v>株探</v>
      </c>
      <c r="C152" s="148">
        <f>IF(分析!C91&lt;&gt;"",分析!C91,"")</f>
        <v>6744</v>
      </c>
      <c r="D152" s="149" t="str">
        <f>IF(分析!D91&lt;&gt;"",分析!D91,"")</f>
        <v/>
      </c>
      <c r="E152" s="150" t="str">
        <f>IF(分析!E91&lt;&gt;"",分析!E91,"")</f>
        <v/>
      </c>
      <c r="F152" s="151" t="str">
        <f>IF(分析!F91&lt;&gt;"",分析!F91,"")</f>
        <v/>
      </c>
      <c r="G152" s="151" t="str">
        <f>IF(分析!H91&lt;&gt;"",分析!H91,"")</f>
        <v/>
      </c>
      <c r="H152" s="151" t="str">
        <f>IF(分析!I91&lt;&gt;"",分析!I91,"")</f>
        <v/>
      </c>
      <c r="I152" s="151" t="str">
        <f>IF(分析!J91&lt;&gt;"",分析!J91,"")</f>
        <v/>
      </c>
      <c r="J152" s="151">
        <f>IF(分析!AB91&lt;&gt;"",分析!AB91,"")</f>
        <v>776.0824847250509</v>
      </c>
      <c r="K152" s="151">
        <f>IF(分析!AC91&lt;&gt;"",分析!AC91,"")</f>
        <v>805.83909415971368</v>
      </c>
      <c r="L152" s="151" t="str">
        <f>IF(分析!K91&lt;&gt;"",分析!K91,"")</f>
        <v/>
      </c>
      <c r="M152" s="146" t="str">
        <f>IF(分析!P91&lt;&gt;"",分析!P91,"")</f>
        <v/>
      </c>
      <c r="N152" s="152" t="str">
        <f>IF(分析!O91&lt;&gt;"",分析!O91,"")</f>
        <v/>
      </c>
      <c r="O152" s="153">
        <f>IF(分析!X91&lt;&gt;"",分析!X91,"")</f>
        <v>13.306731837017651</v>
      </c>
      <c r="P152" s="154" t="str">
        <f>IF(分析!L91&lt;&gt;"",分析!L91,"")</f>
        <v/>
      </c>
      <c r="Q152" s="151" t="str">
        <f>IF(分析!S91&lt;&gt;"",分析!S91,"")</f>
        <v/>
      </c>
      <c r="R152" s="151" t="str">
        <f>IF(分析!R91&lt;&gt;"",分析!R91,"")</f>
        <v/>
      </c>
      <c r="S152" s="146" t="str">
        <f>IF(分析!AA91&lt;&gt;"",分析!AA91,"")</f>
        <v/>
      </c>
      <c r="T152" s="155" t="str">
        <f>IF(分析!Z91&lt;&gt;"",分析!Z91,"")</f>
        <v/>
      </c>
      <c r="U152" s="146" t="str">
        <f>IF(分析!V91&lt;&gt;"",分析!V91,"")</f>
        <v/>
      </c>
      <c r="V152" s="156">
        <f>IF(分析!W91&lt;&gt;"",分析!W91,"")</f>
        <v>64.429530201342288</v>
      </c>
      <c r="W152" s="157" t="str">
        <f>IF(分析!AD91&lt;&gt;"",分析!AD91,"")</f>
        <v>上昇トレンド▲</v>
      </c>
      <c r="X152" s="158" t="e">
        <f>IF(分析!AE91&lt;&gt;"",分析!AE91,"")</f>
        <v>#VALUE!</v>
      </c>
      <c r="Y152" s="159">
        <f>IF(分析!T91&lt;&gt;"",分析!T91,"")</f>
        <v>0</v>
      </c>
      <c r="Z152" s="145" t="e">
        <f>IF(分析!Y91&lt;&gt;"",分析!Y91,"")</f>
        <v>#VALUE!</v>
      </c>
    </row>
    <row r="153" spans="1:26" ht="21.9" customHeight="1">
      <c r="A153" s="131">
        <f>IF(分析!C40&lt;&gt;"",ROW()-2,"")</f>
        <v>151</v>
      </c>
      <c r="B153" s="132" t="str">
        <f>IF(分析!C40&lt;&gt;"",HYPERLINK("https://kabutan.jp/stock/?code="&amp;分析!C40,"株探"),"")</f>
        <v>株探</v>
      </c>
      <c r="C153" s="133">
        <f>IF(分析!C40&lt;&gt;"",分析!C40,"")</f>
        <v>8604</v>
      </c>
      <c r="D153" s="134" t="str">
        <f>IF(分析!D40&lt;&gt;"",分析!D40,"")</f>
        <v/>
      </c>
      <c r="E153" s="135" t="str">
        <f>IF(分析!E40&lt;&gt;"",分析!E40,"")</f>
        <v/>
      </c>
      <c r="F153" s="136" t="str">
        <f>IF(分析!F40&lt;&gt;"",分析!F40,"")</f>
        <v/>
      </c>
      <c r="G153" s="136" t="str">
        <f>IF(分析!H40&lt;&gt;"",分析!H40,"")</f>
        <v/>
      </c>
      <c r="H153" s="136" t="str">
        <f>IF(分析!I40&lt;&gt;"",分析!I40,"")</f>
        <v/>
      </c>
      <c r="I153" s="136" t="str">
        <f>IF(分析!J40&lt;&gt;"",分析!J40,"")</f>
        <v/>
      </c>
      <c r="J153" s="136">
        <f>IF(分析!AB40&lt;&gt;"",分析!AB40,"")</f>
        <v>3603.5336048879835</v>
      </c>
      <c r="K153" s="136">
        <f>IF(分析!AC40&lt;&gt;"",分析!AC40,"")</f>
        <v>3571.1632896305109</v>
      </c>
      <c r="L153" s="136" t="str">
        <f>IF(分析!K40&lt;&gt;"",分析!K40,"")</f>
        <v/>
      </c>
      <c r="M153" s="131" t="str">
        <f>IF(分析!P40&lt;&gt;"",分析!P40,"")</f>
        <v/>
      </c>
      <c r="N153" s="137" t="str">
        <f>IF(分析!O40&lt;&gt;"",分析!O40,"")</f>
        <v/>
      </c>
      <c r="O153" s="138">
        <f>IF(分析!X40&lt;&gt;"",分析!X40,"")</f>
        <v>21.214487997485094</v>
      </c>
      <c r="P153" s="139" t="str">
        <f>IF(分析!L40&lt;&gt;"",分析!L40,"")</f>
        <v/>
      </c>
      <c r="Q153" s="136" t="str">
        <f>IF(分析!S40&lt;&gt;"",分析!S40,"")</f>
        <v/>
      </c>
      <c r="R153" s="136" t="str">
        <f>IF(分析!R40&lt;&gt;"",分析!R40,"")</f>
        <v/>
      </c>
      <c r="S153" s="131" t="str">
        <f>IF(分析!AA40&lt;&gt;"",分析!AA40,"")</f>
        <v/>
      </c>
      <c r="T153" s="140" t="str">
        <f>IF(分析!Z40&lt;&gt;"",分析!Z40,"")</f>
        <v/>
      </c>
      <c r="U153" s="131" t="str">
        <f>IF(分析!V40&lt;&gt;"",分析!V40,"")</f>
        <v/>
      </c>
      <c r="V153" s="141">
        <f>IF(分析!W40&lt;&gt;"",分析!W40,"")</f>
        <v>89.719626168224295</v>
      </c>
      <c r="W153" s="142" t="str">
        <f>IF(分析!AD40&lt;&gt;"",分析!AD40,"")</f>
        <v>パーフェクト▲</v>
      </c>
      <c r="X153" s="143" t="e">
        <f>IF(分析!AE40&lt;&gt;"",分析!AE40,"")</f>
        <v>#VALUE!</v>
      </c>
      <c r="Y153" s="144">
        <f>IF(分析!T40&lt;&gt;"",分析!T40,"")</f>
        <v>0</v>
      </c>
      <c r="Z153" s="145" t="e">
        <f>IF(分析!Y40&lt;&gt;"",分析!Y40,"")</f>
        <v>#VALUE!</v>
      </c>
    </row>
    <row r="154" spans="1:26" ht="21.9" customHeight="1">
      <c r="A154" s="146">
        <f>IF(分析!C161&lt;&gt;"",ROW()-2,"")</f>
        <v>152</v>
      </c>
      <c r="B154" s="147" t="str">
        <f>IF(分析!C161&lt;&gt;"",HYPERLINK("https://kabutan.jp/stock/?code="&amp;分析!C161,"株探"),"")</f>
        <v>株探</v>
      </c>
      <c r="C154" s="148">
        <f>IF(分析!C161&lt;&gt;"",分析!C161,"")</f>
        <v>4519</v>
      </c>
      <c r="D154" s="149" t="str">
        <f>IF(分析!D161&lt;&gt;"",分析!D161,"")</f>
        <v/>
      </c>
      <c r="E154" s="150" t="str">
        <f>IF(分析!E161&lt;&gt;"",分析!E161,"")</f>
        <v/>
      </c>
      <c r="F154" s="151" t="str">
        <f>IF(分析!F161&lt;&gt;"",分析!F161,"")</f>
        <v/>
      </c>
      <c r="G154" s="151" t="str">
        <f>IF(分析!H161&lt;&gt;"",分析!H161,"")</f>
        <v/>
      </c>
      <c r="H154" s="151" t="str">
        <f>IF(分析!I161&lt;&gt;"",分析!I161,"")</f>
        <v/>
      </c>
      <c r="I154" s="151" t="str">
        <f>IF(分析!J161&lt;&gt;"",分析!J161,"")</f>
        <v/>
      </c>
      <c r="J154" s="151">
        <f>IF(分析!AB161&lt;&gt;"",分析!AB161,"")</f>
        <v>1595.7647657841139</v>
      </c>
      <c r="K154" s="151">
        <f>IF(分析!AC161&lt;&gt;"",分析!AC161,"")</f>
        <v>1637.6889153754464</v>
      </c>
      <c r="L154" s="151" t="str">
        <f>IF(分析!K161&lt;&gt;"",分析!K161,"")</f>
        <v/>
      </c>
      <c r="M154" s="146" t="str">
        <f>IF(分析!P161&lt;&gt;"",分析!P161,"")</f>
        <v/>
      </c>
      <c r="N154" s="152" t="str">
        <f>IF(分析!O161&lt;&gt;"",分析!O161,"")</f>
        <v/>
      </c>
      <c r="O154" s="153">
        <f>IF(分析!X161&lt;&gt;"",分析!X161,"")</f>
        <v>-33.77833457385259</v>
      </c>
      <c r="P154" s="154" t="str">
        <f>IF(分析!L161&lt;&gt;"",分析!L161,"")</f>
        <v/>
      </c>
      <c r="Q154" s="151" t="str">
        <f>IF(分析!S161&lt;&gt;"",分析!S161,"")</f>
        <v/>
      </c>
      <c r="R154" s="151" t="str">
        <f>IF(分析!R161&lt;&gt;"",分析!R161,"")</f>
        <v/>
      </c>
      <c r="S154" s="146" t="str">
        <f>IF(分析!AA161&lt;&gt;"",分析!AA161,"")</f>
        <v/>
      </c>
      <c r="T154" s="155" t="str">
        <f>IF(分析!Z161&lt;&gt;"",分析!Z161,"")</f>
        <v/>
      </c>
      <c r="U154" s="146" t="str">
        <f>IF(分析!V161&lt;&gt;"",分析!V161,"")</f>
        <v/>
      </c>
      <c r="V154" s="156">
        <f>IF(分析!W161&lt;&gt;"",分析!W161,"")</f>
        <v>36.62714097496707</v>
      </c>
      <c r="W154" s="157" t="str">
        <f>IF(分析!AD161&lt;&gt;"",分析!AD161,"")</f>
        <v>上昇トレンド▲</v>
      </c>
      <c r="X154" s="158" t="e">
        <f>IF(分析!AE161&lt;&gt;"",分析!AE161,"")</f>
        <v>#VALUE!</v>
      </c>
      <c r="Y154" s="159">
        <f>IF(分析!T161&lt;&gt;"",分析!T161,"")</f>
        <v>0</v>
      </c>
      <c r="Z154" s="145" t="e">
        <f>IF(分析!Y161&lt;&gt;"",分析!Y161,"")</f>
        <v>#VALUE!</v>
      </c>
    </row>
    <row r="155" spans="1:26" ht="21.9" customHeight="1">
      <c r="A155" s="146">
        <f>IF(分析!C135&lt;&gt;"",ROW()-2,"")</f>
        <v>153</v>
      </c>
      <c r="B155" s="147" t="str">
        <f>IF(分析!C135&lt;&gt;"",HYPERLINK("https://kabutan.jp/stock/?code="&amp;分析!C135,"株探"),"")</f>
        <v>株探</v>
      </c>
      <c r="C155" s="148">
        <f>IF(分析!C135&lt;&gt;"",分析!C135,"")</f>
        <v>5440</v>
      </c>
      <c r="D155" s="149" t="str">
        <f>IF(分析!D135&lt;&gt;"",分析!D135,"")</f>
        <v/>
      </c>
      <c r="E155" s="150" t="str">
        <f>IF(分析!E135&lt;&gt;"",分析!E135,"")</f>
        <v/>
      </c>
      <c r="F155" s="151" t="str">
        <f>IF(分析!F135&lt;&gt;"",分析!F135,"")</f>
        <v/>
      </c>
      <c r="G155" s="151" t="str">
        <f>IF(分析!H135&lt;&gt;"",分析!H135,"")</f>
        <v/>
      </c>
      <c r="H155" s="151" t="str">
        <f>IF(分析!I135&lt;&gt;"",分析!I135,"")</f>
        <v/>
      </c>
      <c r="I155" s="151" t="str">
        <f>IF(分析!J135&lt;&gt;"",分析!J135,"")</f>
        <v/>
      </c>
      <c r="J155" s="151">
        <f>IF(分析!AB135&lt;&gt;"",分析!AB135,"")</f>
        <v>192.2016293279022</v>
      </c>
      <c r="K155" s="151">
        <f>IF(分析!AC135&lt;&gt;"",分析!AC135,"")</f>
        <v>244.66269368295579</v>
      </c>
      <c r="L155" s="151" t="str">
        <f>IF(分析!K135&lt;&gt;"",分析!K135,"")</f>
        <v/>
      </c>
      <c r="M155" s="146" t="str">
        <f>IF(分析!P135&lt;&gt;"",分析!P135,"")</f>
        <v/>
      </c>
      <c r="N155" s="152" t="str">
        <f>IF(分析!O135&lt;&gt;"",分析!O135,"")</f>
        <v/>
      </c>
      <c r="O155" s="153">
        <f>IF(分析!X135&lt;&gt;"",分析!X135,"")</f>
        <v>12.365377190643812</v>
      </c>
      <c r="P155" s="154" t="str">
        <f>IF(分析!L135&lt;&gt;"",分析!L135,"")</f>
        <v/>
      </c>
      <c r="Q155" s="151" t="str">
        <f>IF(分析!S135&lt;&gt;"",分析!S135,"")</f>
        <v/>
      </c>
      <c r="R155" s="151" t="str">
        <f>IF(分析!R135&lt;&gt;"",分析!R135,"")</f>
        <v/>
      </c>
      <c r="S155" s="146" t="str">
        <f>IF(分析!AA135&lt;&gt;"",分析!AA135,"")</f>
        <v/>
      </c>
      <c r="T155" s="155" t="str">
        <f>IF(分析!Z135&lt;&gt;"",分析!Z135,"")</f>
        <v/>
      </c>
      <c r="U155" s="146" t="str">
        <f>IF(分析!V135&lt;&gt;"",分析!V135,"")</f>
        <v/>
      </c>
      <c r="V155" s="156">
        <f>IF(分析!W135&lt;&gt;"",分析!W135,"")</f>
        <v>80.176211453744486</v>
      </c>
      <c r="W155" s="157" t="str">
        <f>IF(分析!AD135&lt;&gt;"",分析!AD135,"")</f>
        <v>上昇トレンド▲</v>
      </c>
      <c r="X155" s="158" t="e">
        <f>IF(分析!AE135&lt;&gt;"",分析!AE135,"")</f>
        <v>#VALUE!</v>
      </c>
      <c r="Y155" s="159">
        <f>IF(分析!T135&lt;&gt;"",分析!T135,"")</f>
        <v>0</v>
      </c>
      <c r="Z155" s="145" t="e">
        <f>IF(分析!Y135&lt;&gt;"",分析!Y135,"")</f>
        <v>#VALUE!</v>
      </c>
    </row>
    <row r="156" spans="1:26" ht="21.9" customHeight="1">
      <c r="A156" s="131">
        <f>IF(分析!C196&lt;&gt;"",ROW()-2,"")</f>
        <v>154</v>
      </c>
      <c r="B156" s="132" t="str">
        <f>IF(分析!C196&lt;&gt;"",HYPERLINK("https://kabutan.jp/stock/?code="&amp;分析!C196,"株探"),"")</f>
        <v>株探</v>
      </c>
      <c r="C156" s="133">
        <f>IF(分析!C196&lt;&gt;"",分析!C196,"")</f>
        <v>2127</v>
      </c>
      <c r="D156" s="134" t="str">
        <f>IF(分析!D196&lt;&gt;"",分析!D196,"")</f>
        <v/>
      </c>
      <c r="E156" s="135" t="str">
        <f>IF(分析!E196&lt;&gt;"",分析!E196,"")</f>
        <v/>
      </c>
      <c r="F156" s="136" t="str">
        <f>IF(分析!F196&lt;&gt;"",分析!F196,"")</f>
        <v/>
      </c>
      <c r="G156" s="136" t="str">
        <f>IF(分析!H196&lt;&gt;"",分析!H196,"")</f>
        <v/>
      </c>
      <c r="H156" s="136" t="str">
        <f>IF(分析!I196&lt;&gt;"",分析!I196,"")</f>
        <v/>
      </c>
      <c r="I156" s="136" t="str">
        <f>IF(分析!J196&lt;&gt;"",分析!J196,"")</f>
        <v/>
      </c>
      <c r="J156" s="136">
        <f>IF(分析!AB196&lt;&gt;"",分析!AB196,"")</f>
        <v>69879.317718940947</v>
      </c>
      <c r="K156" s="136">
        <f>IF(分析!AC196&lt;&gt;"",分析!AC196,"")</f>
        <v>71600.071513706775</v>
      </c>
      <c r="L156" s="136" t="str">
        <f>IF(分析!K196&lt;&gt;"",分析!K196,"")</f>
        <v/>
      </c>
      <c r="M156" s="131" t="str">
        <f>IF(分析!P196&lt;&gt;"",分析!P196,"")</f>
        <v/>
      </c>
      <c r="N156" s="137" t="str">
        <f>IF(分析!O196&lt;&gt;"",分析!O196,"")</f>
        <v/>
      </c>
      <c r="O156" s="138">
        <f>IF(分析!X196&lt;&gt;"",分析!X196,"")</f>
        <v>6.568566584009659</v>
      </c>
      <c r="P156" s="139" t="str">
        <f>IF(分析!L196&lt;&gt;"",分析!L196,"")</f>
        <v/>
      </c>
      <c r="Q156" s="136" t="str">
        <f>IF(分析!S196&lt;&gt;"",分析!S196,"")</f>
        <v/>
      </c>
      <c r="R156" s="136" t="str">
        <f>IF(分析!R196&lt;&gt;"",分析!R196,"")</f>
        <v/>
      </c>
      <c r="S156" s="131" t="str">
        <f>IF(分析!AA196&lt;&gt;"",分析!AA196,"")</f>
        <v/>
      </c>
      <c r="T156" s="140" t="str">
        <f>IF(分析!Z196&lt;&gt;"",分析!Z196,"")</f>
        <v/>
      </c>
      <c r="U156" s="131" t="str">
        <f>IF(分析!V196&lt;&gt;"",分析!V196,"")</f>
        <v/>
      </c>
      <c r="V156" s="141">
        <f>IF(分析!W196&lt;&gt;"",分析!W196,"")</f>
        <v>81.228668941979549</v>
      </c>
      <c r="W156" s="142" t="str">
        <f>IF(分析!AD196&lt;&gt;"",分析!AD196,"")</f>
        <v>上昇トレンド▲</v>
      </c>
      <c r="X156" s="143" t="e">
        <f>IF(分析!AE196&lt;&gt;"",分析!AE196,"")</f>
        <v>#VALUE!</v>
      </c>
      <c r="Y156" s="144">
        <f>IF(分析!T196&lt;&gt;"",分析!T196,"")</f>
        <v>0</v>
      </c>
      <c r="Z156" s="145" t="e">
        <f>IF(分析!Y196&lt;&gt;"",分析!Y196,"")</f>
        <v>#VALUE!</v>
      </c>
    </row>
    <row r="157" spans="1:26" ht="21.9" customHeight="1">
      <c r="A157" s="146">
        <f>IF(分析!C143&lt;&gt;"",ROW()-2,"")</f>
        <v>155</v>
      </c>
      <c r="B157" s="147" t="str">
        <f>IF(分析!C143&lt;&gt;"",HYPERLINK("https://kabutan.jp/stock/?code="&amp;分析!C143,"株探"),"")</f>
        <v>株探</v>
      </c>
      <c r="C157" s="148">
        <f>IF(分析!C143&lt;&gt;"",分析!C143,"")</f>
        <v>5243</v>
      </c>
      <c r="D157" s="149" t="str">
        <f>IF(分析!D143&lt;&gt;"",分析!D143,"")</f>
        <v/>
      </c>
      <c r="E157" s="150" t="str">
        <f>IF(分析!E143&lt;&gt;"",分析!E143,"")</f>
        <v/>
      </c>
      <c r="F157" s="151" t="str">
        <f>IF(分析!F143&lt;&gt;"",分析!F143,"")</f>
        <v/>
      </c>
      <c r="G157" s="151" t="str">
        <f>IF(分析!H143&lt;&gt;"",分析!H143,"")</f>
        <v/>
      </c>
      <c r="H157" s="151" t="str">
        <f>IF(分析!I143&lt;&gt;"",分析!I143,"")</f>
        <v/>
      </c>
      <c r="I157" s="151" t="str">
        <f>IF(分析!J143&lt;&gt;"",分析!J143,"")</f>
        <v/>
      </c>
      <c r="J157" s="151">
        <f>IF(分析!AB143&lt;&gt;"",分析!AB143,"")</f>
        <v>25098.380855397147</v>
      </c>
      <c r="K157" s="151">
        <f>IF(分析!AC143&lt;&gt;"",分析!AC143,"")</f>
        <v>28400.822407628115</v>
      </c>
      <c r="L157" s="151" t="str">
        <f>IF(分析!K143&lt;&gt;"",分析!K143,"")</f>
        <v/>
      </c>
      <c r="M157" s="146" t="str">
        <f>IF(分析!P143&lt;&gt;"",分析!P143,"")</f>
        <v/>
      </c>
      <c r="N157" s="152" t="str">
        <f>IF(分析!O143&lt;&gt;"",分析!O143,"")</f>
        <v/>
      </c>
      <c r="O157" s="153">
        <f>IF(分析!X143&lt;&gt;"",分析!X143,"")</f>
        <v>57.799859894364317</v>
      </c>
      <c r="P157" s="154" t="str">
        <f>IF(分析!L143&lt;&gt;"",分析!L143,"")</f>
        <v/>
      </c>
      <c r="Q157" s="151" t="str">
        <f>IF(分析!S143&lt;&gt;"",分析!S143,"")</f>
        <v/>
      </c>
      <c r="R157" s="151" t="str">
        <f>IF(分析!R143&lt;&gt;"",分析!R143,"")</f>
        <v/>
      </c>
      <c r="S157" s="146" t="str">
        <f>IF(分析!AA143&lt;&gt;"",分析!AA143,"")</f>
        <v/>
      </c>
      <c r="T157" s="155" t="str">
        <f>IF(分析!Z143&lt;&gt;"",分析!Z143,"")</f>
        <v/>
      </c>
      <c r="U157" s="146" t="str">
        <f>IF(分析!V143&lt;&gt;"",分析!V143,"")</f>
        <v/>
      </c>
      <c r="V157" s="156">
        <f>IF(分析!W143&lt;&gt;"",分析!W143,"")</f>
        <v>64.868804664723029</v>
      </c>
      <c r="W157" s="157" t="str">
        <f>IF(分析!AD143&lt;&gt;"",分析!AD143,"")</f>
        <v>上昇トレンド▲</v>
      </c>
      <c r="X157" s="158" t="e">
        <f>IF(分析!AE143&lt;&gt;"",分析!AE143,"")</f>
        <v>#VALUE!</v>
      </c>
      <c r="Y157" s="159">
        <f>IF(分析!T143&lt;&gt;"",分析!T143,"")</f>
        <v>0</v>
      </c>
      <c r="Z157" s="145" t="e">
        <f>IF(分析!Y143&lt;&gt;"",分析!Y143,"")</f>
        <v>#VALUE!</v>
      </c>
    </row>
    <row r="158" spans="1:26" ht="21.9" customHeight="1">
      <c r="A158" s="146">
        <f>IF(分析!C13&lt;&gt;"",ROW()-2,"")</f>
        <v>156</v>
      </c>
      <c r="B158" s="147" t="str">
        <f>IF(分析!C13&lt;&gt;"",HYPERLINK("https://kabutan.jp/stock/?code="&amp;分析!C13,"株探"),"")</f>
        <v>株探</v>
      </c>
      <c r="C158" s="148">
        <f>IF(分析!C13&lt;&gt;"",分析!C13,"")</f>
        <v>9536</v>
      </c>
      <c r="D158" s="149" t="str">
        <f>IF(分析!D13&lt;&gt;"",分析!D13,"")</f>
        <v/>
      </c>
      <c r="E158" s="150" t="str">
        <f>IF(分析!E13&lt;&gt;"",分析!E13,"")</f>
        <v/>
      </c>
      <c r="F158" s="151" t="str">
        <f>IF(分析!F13&lt;&gt;"",分析!F13,"")</f>
        <v/>
      </c>
      <c r="G158" s="151" t="str">
        <f>IF(分析!H13&lt;&gt;"",分析!H13,"")</f>
        <v/>
      </c>
      <c r="H158" s="151" t="str">
        <f>IF(分析!I13&lt;&gt;"",分析!I13,"")</f>
        <v/>
      </c>
      <c r="I158" s="151" t="str">
        <f>IF(分析!J13&lt;&gt;"",分析!J13,"")</f>
        <v/>
      </c>
      <c r="J158" s="151">
        <f>IF(分析!AB13&lt;&gt;"",分析!AB13,"")</f>
        <v>3841.4419551934816</v>
      </c>
      <c r="K158" s="151">
        <f>IF(分析!AC13&lt;&gt;"",分析!AC13,"")</f>
        <v>3810.1156138259826</v>
      </c>
      <c r="L158" s="151" t="str">
        <f>IF(分析!K13&lt;&gt;"",分析!K13,"")</f>
        <v/>
      </c>
      <c r="M158" s="146" t="str">
        <f>IF(分析!P13&lt;&gt;"",分析!P13,"")</f>
        <v/>
      </c>
      <c r="N158" s="152" t="str">
        <f>IF(分析!O13&lt;&gt;"",分析!O13,"")</f>
        <v/>
      </c>
      <c r="O158" s="153">
        <f>IF(分析!X13&lt;&gt;"",分析!X13,"")</f>
        <v>13.993251445835085</v>
      </c>
      <c r="P158" s="154" t="str">
        <f>IF(分析!L13&lt;&gt;"",分析!L13,"")</f>
        <v/>
      </c>
      <c r="Q158" s="151" t="str">
        <f>IF(分析!S13&lt;&gt;"",分析!S13,"")</f>
        <v/>
      </c>
      <c r="R158" s="151" t="str">
        <f>IF(分析!R13&lt;&gt;"",分析!R13,"")</f>
        <v/>
      </c>
      <c r="S158" s="146" t="str">
        <f>IF(分析!AA13&lt;&gt;"",分析!AA13,"")</f>
        <v/>
      </c>
      <c r="T158" s="155" t="str">
        <f>IF(分析!Z13&lt;&gt;"",分析!Z13,"")</f>
        <v/>
      </c>
      <c r="U158" s="146" t="str">
        <f>IF(分析!V13&lt;&gt;"",分析!V13,"")</f>
        <v/>
      </c>
      <c r="V158" s="156">
        <f>IF(分析!W13&lt;&gt;"",分析!W13,"")</f>
        <v>66.472303206997083</v>
      </c>
      <c r="W158" s="157" t="str">
        <f>IF(分析!AD13&lt;&gt;"",分析!AD13,"")</f>
        <v>パーフェクト▲</v>
      </c>
      <c r="X158" s="158" t="e">
        <f>IF(分析!AE13&lt;&gt;"",分析!AE13,"")</f>
        <v>#VALUE!</v>
      </c>
      <c r="Y158" s="159">
        <f>IF(分析!T13&lt;&gt;"",分析!T13,"")</f>
        <v>0</v>
      </c>
      <c r="Z158" s="145" t="e">
        <f>IF(分析!Y13&lt;&gt;"",分析!Y13,"")</f>
        <v>#VALUE!</v>
      </c>
    </row>
    <row r="159" spans="1:26" ht="21.9" customHeight="1">
      <c r="A159" s="146">
        <f>IF(分析!C109&lt;&gt;"",ROW()-2,"")</f>
        <v>157</v>
      </c>
      <c r="B159" s="147" t="str">
        <f>IF(分析!C109&lt;&gt;"",HYPERLINK("https://kabutan.jp/stock/?code="&amp;分析!C109,"株探"),"")</f>
        <v>株探</v>
      </c>
      <c r="C159" s="148">
        <f>IF(分析!C109&lt;&gt;"",分析!C109,"")</f>
        <v>6232</v>
      </c>
      <c r="D159" s="149" t="str">
        <f>IF(分析!D109&lt;&gt;"",分析!D109,"")</f>
        <v/>
      </c>
      <c r="E159" s="150" t="str">
        <f>IF(分析!E109&lt;&gt;"",分析!E109,"")</f>
        <v/>
      </c>
      <c r="F159" s="151" t="str">
        <f>IF(分析!F109&lt;&gt;"",分析!F109,"")</f>
        <v/>
      </c>
      <c r="G159" s="151" t="str">
        <f>IF(分析!H109&lt;&gt;"",分析!H109,"")</f>
        <v/>
      </c>
      <c r="H159" s="151" t="str">
        <f>IF(分析!I109&lt;&gt;"",分析!I109,"")</f>
        <v/>
      </c>
      <c r="I159" s="151" t="str">
        <f>IF(分析!J109&lt;&gt;"",分析!J109,"")</f>
        <v/>
      </c>
      <c r="J159" s="151">
        <f>IF(分析!AB109&lt;&gt;"",分析!AB109,"")</f>
        <v>825.71486761710776</v>
      </c>
      <c r="K159" s="151">
        <f>IF(分析!AC109&lt;&gt;"",分析!AC109,"")</f>
        <v>876.25029797377795</v>
      </c>
      <c r="L159" s="151" t="str">
        <f>IF(分析!K109&lt;&gt;"",分析!K109,"")</f>
        <v/>
      </c>
      <c r="M159" s="146" t="str">
        <f>IF(分析!P109&lt;&gt;"",分析!P109,"")</f>
        <v/>
      </c>
      <c r="N159" s="152" t="str">
        <f>IF(分析!O109&lt;&gt;"",分析!O109,"")</f>
        <v/>
      </c>
      <c r="O159" s="153">
        <f>IF(分析!X109&lt;&gt;"",分析!X109,"")</f>
        <v>-10.725950190853609</v>
      </c>
      <c r="P159" s="154" t="str">
        <f>IF(分析!L109&lt;&gt;"",分析!L109,"")</f>
        <v/>
      </c>
      <c r="Q159" s="151" t="str">
        <f>IF(分析!S109&lt;&gt;"",分析!S109,"")</f>
        <v/>
      </c>
      <c r="R159" s="151" t="str">
        <f>IF(分析!R109&lt;&gt;"",分析!R109,"")</f>
        <v/>
      </c>
      <c r="S159" s="146" t="str">
        <f>IF(分析!AA109&lt;&gt;"",分析!AA109,"")</f>
        <v/>
      </c>
      <c r="T159" s="155" t="str">
        <f>IF(分析!Z109&lt;&gt;"",分析!Z109,"")</f>
        <v/>
      </c>
      <c r="U159" s="146" t="str">
        <f>IF(分析!V109&lt;&gt;"",分析!V109,"")</f>
        <v/>
      </c>
      <c r="V159" s="156">
        <f>IF(分析!W109&lt;&gt;"",分析!W109,"")</f>
        <v>50.35868005738881</v>
      </c>
      <c r="W159" s="157" t="str">
        <f>IF(分析!AD109&lt;&gt;"",分析!AD109,"")</f>
        <v>上昇トレンド▲</v>
      </c>
      <c r="X159" s="158" t="e">
        <f>IF(分析!AE109&lt;&gt;"",分析!AE109,"")</f>
        <v>#VALUE!</v>
      </c>
      <c r="Y159" s="159">
        <f>IF(分析!T109&lt;&gt;"",分析!T109,"")</f>
        <v>0</v>
      </c>
      <c r="Z159" s="145" t="e">
        <f>IF(分析!Y109&lt;&gt;"",分析!Y109,"")</f>
        <v>#VALUE!</v>
      </c>
    </row>
    <row r="160" spans="1:26" ht="21.9" customHeight="1">
      <c r="A160" s="131">
        <f>IF(分析!C14&lt;&gt;"",ROW()-2,"")</f>
        <v>158</v>
      </c>
      <c r="B160" s="132" t="str">
        <f>IF(分析!C14&lt;&gt;"",HYPERLINK("https://kabutan.jp/stock/?code="&amp;分析!C14,"株探"),"")</f>
        <v>株探</v>
      </c>
      <c r="C160" s="133">
        <f>IF(分析!C14&lt;&gt;"",分析!C14,"")</f>
        <v>9532</v>
      </c>
      <c r="D160" s="134" t="str">
        <f>IF(分析!D14&lt;&gt;"",分析!D14,"")</f>
        <v/>
      </c>
      <c r="E160" s="135" t="str">
        <f>IF(分析!E14&lt;&gt;"",分析!E14,"")</f>
        <v/>
      </c>
      <c r="F160" s="136" t="str">
        <f>IF(分析!F14&lt;&gt;"",分析!F14,"")</f>
        <v/>
      </c>
      <c r="G160" s="136" t="str">
        <f>IF(分析!H14&lt;&gt;"",分析!H14,"")</f>
        <v/>
      </c>
      <c r="H160" s="136" t="str">
        <f>IF(分析!I14&lt;&gt;"",分析!I14,"")</f>
        <v/>
      </c>
      <c r="I160" s="136" t="str">
        <f>IF(分析!J14&lt;&gt;"",分析!J14,"")</f>
        <v/>
      </c>
      <c r="J160" s="136">
        <f>IF(分析!AB14&lt;&gt;"",分析!AB14,"")</f>
        <v>4481.9368635437868</v>
      </c>
      <c r="K160" s="136">
        <f>IF(分析!AC14&lt;&gt;"",分析!AC14,"")</f>
        <v>4476.8379022645995</v>
      </c>
      <c r="L160" s="136" t="str">
        <f>IF(分析!K14&lt;&gt;"",分析!K14,"")</f>
        <v/>
      </c>
      <c r="M160" s="131" t="str">
        <f>IF(分析!P14&lt;&gt;"",分析!P14,"")</f>
        <v/>
      </c>
      <c r="N160" s="137" t="str">
        <f>IF(分析!O14&lt;&gt;"",分析!O14,"")</f>
        <v/>
      </c>
      <c r="O160" s="138">
        <f>IF(分析!X14&lt;&gt;"",分析!X14,"")</f>
        <v>-10.327616333450351</v>
      </c>
      <c r="P160" s="139" t="str">
        <f>IF(分析!L14&lt;&gt;"",分析!L14,"")</f>
        <v/>
      </c>
      <c r="Q160" s="136" t="str">
        <f>IF(分析!S14&lt;&gt;"",分析!S14,"")</f>
        <v/>
      </c>
      <c r="R160" s="136" t="str">
        <f>IF(分析!R14&lt;&gt;"",分析!R14,"")</f>
        <v/>
      </c>
      <c r="S160" s="131" t="str">
        <f>IF(分析!AA14&lt;&gt;"",分析!AA14,"")</f>
        <v/>
      </c>
      <c r="T160" s="140" t="str">
        <f>IF(分析!Z14&lt;&gt;"",分析!Z14,"")</f>
        <v/>
      </c>
      <c r="U160" s="131" t="str">
        <f>IF(分析!V14&lt;&gt;"",分析!V14,"")</f>
        <v/>
      </c>
      <c r="V160" s="141">
        <f>IF(分析!W14&lt;&gt;"",分析!W14,"")</f>
        <v>52.075471698113205</v>
      </c>
      <c r="W160" s="142" t="str">
        <f>IF(分析!AD14&lt;&gt;"",分析!AD14,"")</f>
        <v>パーフェクト▲</v>
      </c>
      <c r="X160" s="143" t="e">
        <f>IF(分析!AE14&lt;&gt;"",分析!AE14,"")</f>
        <v>#VALUE!</v>
      </c>
      <c r="Y160" s="144">
        <f>IF(分析!T14&lt;&gt;"",分析!T14,"")</f>
        <v>0</v>
      </c>
      <c r="Z160" s="145" t="e">
        <f>IF(分析!Y14&lt;&gt;"",分析!Y14,"")</f>
        <v>#VALUE!</v>
      </c>
    </row>
    <row r="161" spans="1:26" ht="21.9" customHeight="1">
      <c r="A161" s="131">
        <f>IF(分析!C132&lt;&gt;"",ROW()-2,"")</f>
        <v>159</v>
      </c>
      <c r="B161" s="132" t="str">
        <f>IF(分析!C132&lt;&gt;"",HYPERLINK("https://kabutan.jp/stock/?code="&amp;分析!C132,"株探"),"")</f>
        <v>株探</v>
      </c>
      <c r="C161" s="133">
        <f>IF(分析!C132&lt;&gt;"",分析!C132,"")</f>
        <v>5703</v>
      </c>
      <c r="D161" s="134" t="str">
        <f>IF(分析!D132&lt;&gt;"",分析!D132,"")</f>
        <v/>
      </c>
      <c r="E161" s="135" t="str">
        <f>IF(分析!E132&lt;&gt;"",分析!E132,"")</f>
        <v/>
      </c>
      <c r="F161" s="136" t="str">
        <f>IF(分析!F132&lt;&gt;"",分析!F132,"")</f>
        <v/>
      </c>
      <c r="G161" s="136" t="str">
        <f>IF(分析!H132&lt;&gt;"",分析!H132,"")</f>
        <v/>
      </c>
      <c r="H161" s="136" t="str">
        <f>IF(分析!I132&lt;&gt;"",分析!I132,"")</f>
        <v/>
      </c>
      <c r="I161" s="136" t="str">
        <f>IF(分析!J132&lt;&gt;"",分析!J132,"")</f>
        <v/>
      </c>
      <c r="J161" s="136">
        <f>IF(分析!AB132&lt;&gt;"",分析!AB132,"")</f>
        <v>3338.2993890020362</v>
      </c>
      <c r="K161" s="136">
        <f>IF(分析!AC132&lt;&gt;"",分析!AC132,"")</f>
        <v>8025.393325387362</v>
      </c>
      <c r="L161" s="136" t="str">
        <f>IF(分析!K132&lt;&gt;"",分析!K132,"")</f>
        <v/>
      </c>
      <c r="M161" s="131" t="str">
        <f>IF(分析!P132&lt;&gt;"",分析!P132,"")</f>
        <v/>
      </c>
      <c r="N161" s="137" t="str">
        <f>IF(分析!O132&lt;&gt;"",分析!O132,"")</f>
        <v/>
      </c>
      <c r="O161" s="138">
        <f>IF(分析!X132&lt;&gt;"",分析!X132,"")</f>
        <v>-34.216309967799134</v>
      </c>
      <c r="P161" s="139" t="str">
        <f>IF(分析!L132&lt;&gt;"",分析!L132,"")</f>
        <v/>
      </c>
      <c r="Q161" s="136" t="str">
        <f>IF(分析!S132&lt;&gt;"",分析!S132,"")</f>
        <v/>
      </c>
      <c r="R161" s="136" t="str">
        <f>IF(分析!R132&lt;&gt;"",分析!R132,"")</f>
        <v/>
      </c>
      <c r="S161" s="131" t="str">
        <f>IF(分析!AA132&lt;&gt;"",分析!AA132,"")</f>
        <v/>
      </c>
      <c r="T161" s="140" t="str">
        <f>IF(分析!Z132&lt;&gt;"",分析!Z132,"")</f>
        <v/>
      </c>
      <c r="U161" s="131" t="str">
        <f>IF(分析!V132&lt;&gt;"",分析!V132,"")</f>
        <v/>
      </c>
      <c r="V161" s="141">
        <f>IF(分析!W132&lt;&gt;"",分析!W132,"")</f>
        <v>42.913385826771652</v>
      </c>
      <c r="W161" s="142" t="str">
        <f>IF(分析!AD132&lt;&gt;"",分析!AD132,"")</f>
        <v>上昇トレンド▲</v>
      </c>
      <c r="X161" s="143" t="e">
        <f>IF(分析!AE132&lt;&gt;"",分析!AE132,"")</f>
        <v>#VALUE!</v>
      </c>
      <c r="Y161" s="144">
        <f>IF(分析!T132&lt;&gt;"",分析!T132,"")</f>
        <v>0</v>
      </c>
      <c r="Z161" s="145" t="e">
        <f>IF(分析!Y132&lt;&gt;"",分析!Y132,"")</f>
        <v>#VALUE!</v>
      </c>
    </row>
    <row r="162" spans="1:26" ht="21.9" customHeight="1">
      <c r="A162" s="131">
        <f>IF(分析!C82&lt;&gt;"",ROW()-2,"")</f>
        <v>160</v>
      </c>
      <c r="B162" s="132" t="str">
        <f>IF(分析!C82&lt;&gt;"",HYPERLINK("https://kabutan.jp/stock/?code="&amp;分析!C82,"株探"),"")</f>
        <v>株探</v>
      </c>
      <c r="C162" s="133">
        <f>IF(分析!C82&lt;&gt;"",分析!C82,"")</f>
        <v>6890</v>
      </c>
      <c r="D162" s="134" t="str">
        <f>IF(分析!D82&lt;&gt;"",分析!D82,"")</f>
        <v/>
      </c>
      <c r="E162" s="135" t="str">
        <f>IF(分析!E82&lt;&gt;"",分析!E82,"")</f>
        <v/>
      </c>
      <c r="F162" s="136" t="str">
        <f>IF(分析!F82&lt;&gt;"",分析!F82,"")</f>
        <v/>
      </c>
      <c r="G162" s="136" t="str">
        <f>IF(分析!H82&lt;&gt;"",分析!H82,"")</f>
        <v/>
      </c>
      <c r="H162" s="136" t="str">
        <f>IF(分析!I82&lt;&gt;"",分析!I82,"")</f>
        <v/>
      </c>
      <c r="I162" s="136" t="str">
        <f>IF(分析!J82&lt;&gt;"",分析!J82,"")</f>
        <v/>
      </c>
      <c r="J162" s="136">
        <f>IF(分析!AB82&lt;&gt;"",分析!AB82,"")</f>
        <v>1668.1644602851316</v>
      </c>
      <c r="K162" s="136">
        <f>IF(分析!AC82&lt;&gt;"",分析!AC82,"")</f>
        <v>1621.0917759237182</v>
      </c>
      <c r="L162" s="136" t="str">
        <f>IF(分析!K82&lt;&gt;"",分析!K82,"")</f>
        <v/>
      </c>
      <c r="M162" s="131" t="str">
        <f>IF(分析!P82&lt;&gt;"",分析!P82,"")</f>
        <v/>
      </c>
      <c r="N162" s="137" t="str">
        <f>IF(分析!O82&lt;&gt;"",分析!O82,"")</f>
        <v/>
      </c>
      <c r="O162" s="138">
        <f>IF(分析!X82&lt;&gt;"",分析!X82,"")</f>
        <v>-246.4926623653173</v>
      </c>
      <c r="P162" s="139" t="str">
        <f>IF(分析!L82&lt;&gt;"",分析!L82,"")</f>
        <v/>
      </c>
      <c r="Q162" s="136" t="str">
        <f>IF(分析!S82&lt;&gt;"",分析!S82,"")</f>
        <v/>
      </c>
      <c r="R162" s="136" t="str">
        <f>IF(分析!R82&lt;&gt;"",分析!R82,"")</f>
        <v/>
      </c>
      <c r="S162" s="131" t="str">
        <f>IF(分析!AA82&lt;&gt;"",分析!AA82,"")</f>
        <v/>
      </c>
      <c r="T162" s="140" t="str">
        <f>IF(分析!Z82&lt;&gt;"",分析!Z82,"")</f>
        <v/>
      </c>
      <c r="U162" s="131" t="str">
        <f>IF(分析!V82&lt;&gt;"",分析!V82,"")</f>
        <v/>
      </c>
      <c r="V162" s="141">
        <f>IF(分析!W82&lt;&gt;"",分析!W82,"")</f>
        <v>38.505747126436781</v>
      </c>
      <c r="W162" s="142" t="str">
        <f>IF(分析!AD82&lt;&gt;"",分析!AD82,"")</f>
        <v>パーフェクト▲</v>
      </c>
      <c r="X162" s="143" t="e">
        <f>IF(分析!AE82&lt;&gt;"",分析!AE82,"")</f>
        <v>#VALUE!</v>
      </c>
      <c r="Y162" s="144">
        <f>IF(分析!T82&lt;&gt;"",分析!T82,"")</f>
        <v>0</v>
      </c>
      <c r="Z162" s="145" t="e">
        <f>IF(分析!Y82&lt;&gt;"",分析!Y82,"")</f>
        <v>#VALUE!</v>
      </c>
    </row>
    <row r="163" spans="1:26" ht="21.9" customHeight="1">
      <c r="A163" s="131">
        <f>IF(分析!C112&lt;&gt;"",ROW()-2,"")</f>
        <v>161</v>
      </c>
      <c r="B163" s="132" t="str">
        <f>IF(分析!C112&lt;&gt;"",HYPERLINK("https://kabutan.jp/stock/?code="&amp;分析!C112,"株探"),"")</f>
        <v>株探</v>
      </c>
      <c r="C163" s="133">
        <f>IF(分析!C112&lt;&gt;"",分析!C112,"")</f>
        <v>6178</v>
      </c>
      <c r="D163" s="134" t="str">
        <f>IF(分析!D112&lt;&gt;"",分析!D112,"")</f>
        <v/>
      </c>
      <c r="E163" s="135" t="str">
        <f>IF(分析!E112&lt;&gt;"",分析!E112,"")</f>
        <v/>
      </c>
      <c r="F163" s="136" t="str">
        <f>IF(分析!F112&lt;&gt;"",分析!F112,"")</f>
        <v/>
      </c>
      <c r="G163" s="136" t="str">
        <f>IF(分析!H112&lt;&gt;"",分析!H112,"")</f>
        <v/>
      </c>
      <c r="H163" s="136" t="str">
        <f>IF(分析!I112&lt;&gt;"",分析!I112,"")</f>
        <v/>
      </c>
      <c r="I163" s="136" t="str">
        <f>IF(分析!J112&lt;&gt;"",分析!J112,"")</f>
        <v/>
      </c>
      <c r="J163" s="136">
        <f>IF(分析!AB112&lt;&gt;"",分析!AB112,"")</f>
        <v>498.88533604887971</v>
      </c>
      <c r="K163" s="136">
        <f>IF(分析!AC112&lt;&gt;"",分析!AC112,"")</f>
        <v>484.81203814064344</v>
      </c>
      <c r="L163" s="136" t="str">
        <f>IF(分析!K112&lt;&gt;"",分析!K112,"")</f>
        <v/>
      </c>
      <c r="M163" s="131" t="str">
        <f>IF(分析!P112&lt;&gt;"",分析!P112,"")</f>
        <v/>
      </c>
      <c r="N163" s="137" t="str">
        <f>IF(分析!O112&lt;&gt;"",分析!O112,"")</f>
        <v/>
      </c>
      <c r="O163" s="138">
        <f>IF(分析!X112&lt;&gt;"",分析!X112,"")</f>
        <v>21.874870143567932</v>
      </c>
      <c r="P163" s="139" t="str">
        <f>IF(分析!L112&lt;&gt;"",分析!L112,"")</f>
        <v/>
      </c>
      <c r="Q163" s="136" t="str">
        <f>IF(分析!S112&lt;&gt;"",分析!S112,"")</f>
        <v/>
      </c>
      <c r="R163" s="136" t="str">
        <f>IF(分析!R112&lt;&gt;"",分析!R112,"")</f>
        <v/>
      </c>
      <c r="S163" s="131" t="str">
        <f>IF(分析!AA112&lt;&gt;"",分析!AA112,"")</f>
        <v/>
      </c>
      <c r="T163" s="140" t="str">
        <f>IF(分析!Z112&lt;&gt;"",分析!Z112,"")</f>
        <v/>
      </c>
      <c r="U163" s="131" t="str">
        <f>IF(分析!V112&lt;&gt;"",分析!V112,"")</f>
        <v/>
      </c>
      <c r="V163" s="141">
        <f>IF(分析!W112&lt;&gt;"",分析!W112,"")</f>
        <v>78.940568475452196</v>
      </c>
      <c r="W163" s="142" t="str">
        <f>IF(分析!AD112&lt;&gt;"",分析!AD112,"")</f>
        <v>パーフェクト▲</v>
      </c>
      <c r="X163" s="143" t="e">
        <f>IF(分析!AE112&lt;&gt;"",分析!AE112,"")</f>
        <v>#VALUE!</v>
      </c>
      <c r="Y163" s="144">
        <f>IF(分析!T112&lt;&gt;"",分析!T112,"")</f>
        <v>0</v>
      </c>
      <c r="Z163" s="145" t="e">
        <f>IF(分析!Y112&lt;&gt;"",分析!Y112,"")</f>
        <v>#VALUE!</v>
      </c>
    </row>
    <row r="164" spans="1:26" ht="21.9" customHeight="1">
      <c r="A164" s="146">
        <f>IF(分析!C205&lt;&gt;"",ROW()-2,"")</f>
        <v>162</v>
      </c>
      <c r="B164" s="147" t="str">
        <f>IF(分析!C205&lt;&gt;"",HYPERLINK("https://kabutan.jp/stock/?code="&amp;分析!C205,"株探"),"")</f>
        <v>株探</v>
      </c>
      <c r="C164" s="148">
        <f>IF(分析!C205&lt;&gt;"",分析!C205,"")</f>
        <v>1662</v>
      </c>
      <c r="D164" s="149" t="str">
        <f>IF(分析!D205&lt;&gt;"",分析!D205,"")</f>
        <v/>
      </c>
      <c r="E164" s="150" t="str">
        <f>IF(分析!E205&lt;&gt;"",分析!E205,"")</f>
        <v/>
      </c>
      <c r="F164" s="151" t="str">
        <f>IF(分析!F205&lt;&gt;"",分析!F205,"")</f>
        <v/>
      </c>
      <c r="G164" s="151" t="str">
        <f>IF(分析!H205&lt;&gt;"",分析!H205,"")</f>
        <v/>
      </c>
      <c r="H164" s="151" t="str">
        <f>IF(分析!I205&lt;&gt;"",分析!I205,"")</f>
        <v/>
      </c>
      <c r="I164" s="151" t="str">
        <f>IF(分析!J205&lt;&gt;"",分析!J205,"")</f>
        <v/>
      </c>
      <c r="J164" s="151">
        <f>IF(分析!AB205&lt;&gt;"",分析!AB205,"")</f>
        <v>7254.3237327188926</v>
      </c>
      <c r="K164" s="151">
        <f>IF(分析!AC205&lt;&gt;"",分析!AC205,"")</f>
        <v>7389.5840286054799</v>
      </c>
      <c r="L164" s="151" t="str">
        <f>IF(分析!K205&lt;&gt;"",分析!K205,"")</f>
        <v/>
      </c>
      <c r="M164" s="146" t="str">
        <f>IF(分析!P205&lt;&gt;"",分析!P205,"")</f>
        <v/>
      </c>
      <c r="N164" s="152" t="str">
        <f>IF(分析!O205&lt;&gt;"",分析!O205,"")</f>
        <v/>
      </c>
      <c r="O164" s="153">
        <f>IF(分析!X205&lt;&gt;"",分析!X205,"")</f>
        <v>8.5506091808999827</v>
      </c>
      <c r="P164" s="154" t="str">
        <f>IF(分析!L205&lt;&gt;"",分析!L205,"")</f>
        <v/>
      </c>
      <c r="Q164" s="151" t="str">
        <f>IF(分析!S205&lt;&gt;"",分析!S205,"")</f>
        <v/>
      </c>
      <c r="R164" s="151" t="str">
        <f>IF(分析!R205&lt;&gt;"",分析!R205,"")</f>
        <v/>
      </c>
      <c r="S164" s="146" t="str">
        <f>IF(分析!AA205&lt;&gt;"",分析!AA205,"")</f>
        <v/>
      </c>
      <c r="T164" s="155" t="str">
        <f>IF(分析!Z205&lt;&gt;"",分析!Z205,"")</f>
        <v/>
      </c>
      <c r="U164" s="146" t="str">
        <f>IF(分析!V205&lt;&gt;"",分析!V205,"")</f>
        <v/>
      </c>
      <c r="V164" s="156">
        <f>IF(分析!W205&lt;&gt;"",分析!W205,"")</f>
        <v>71.935483870967744</v>
      </c>
      <c r="W164" s="157" t="str">
        <f>IF(分析!AD205&lt;&gt;"",分析!AD205,"")</f>
        <v>上昇トレンド▲</v>
      </c>
      <c r="X164" s="158" t="e">
        <f>IF(分析!AE205&lt;&gt;"",分析!AE205,"")</f>
        <v>#VALUE!</v>
      </c>
      <c r="Y164" s="159">
        <f>IF(分析!T205&lt;&gt;"",分析!T205,"")</f>
        <v>0</v>
      </c>
      <c r="Z164" s="145" t="e">
        <f>IF(分析!Y205&lt;&gt;"",分析!Y205,"")</f>
        <v>#VALUE!</v>
      </c>
    </row>
    <row r="165" spans="1:26" ht="21.9" customHeight="1">
      <c r="A165" s="131">
        <f>IF(分析!C72&lt;&gt;"",ROW()-2,"")</f>
        <v>163</v>
      </c>
      <c r="B165" s="132" t="str">
        <f>IF(分析!C72&lt;&gt;"",HYPERLINK("https://kabutan.jp/stock/?code="&amp;分析!C72,"株探"),"")</f>
        <v>株探</v>
      </c>
      <c r="C165" s="133">
        <f>IF(分析!C72&lt;&gt;"",分析!C72,"")</f>
        <v>7236</v>
      </c>
      <c r="D165" s="134" t="str">
        <f>IF(分析!D72&lt;&gt;"",分析!D72,"")</f>
        <v/>
      </c>
      <c r="E165" s="135" t="str">
        <f>IF(分析!E72&lt;&gt;"",分析!E72,"")</f>
        <v/>
      </c>
      <c r="F165" s="136" t="str">
        <f>IF(分析!F72&lt;&gt;"",分析!F72,"")</f>
        <v/>
      </c>
      <c r="G165" s="136" t="str">
        <f>IF(分析!H72&lt;&gt;"",分析!H72,"")</f>
        <v/>
      </c>
      <c r="H165" s="136" t="str">
        <f>IF(分析!I72&lt;&gt;"",分析!I72,"")</f>
        <v/>
      </c>
      <c r="I165" s="136" t="str">
        <f>IF(分析!J72&lt;&gt;"",分析!J72,"")</f>
        <v/>
      </c>
      <c r="J165" s="136">
        <f>IF(分析!AB72&lt;&gt;"",分析!AB72,"")</f>
        <v>3031.4093686354372</v>
      </c>
      <c r="K165" s="136">
        <f>IF(分析!AC72&lt;&gt;"",分析!AC72,"")</f>
        <v>3020.8349225268162</v>
      </c>
      <c r="L165" s="136" t="str">
        <f>IF(分析!K72&lt;&gt;"",分析!K72,"")</f>
        <v/>
      </c>
      <c r="M165" s="131" t="str">
        <f>IF(分析!P72&lt;&gt;"",分析!P72,"")</f>
        <v/>
      </c>
      <c r="N165" s="137" t="str">
        <f>IF(分析!O72&lt;&gt;"",分析!O72,"")</f>
        <v/>
      </c>
      <c r="O165" s="138">
        <f>IF(分析!X72&lt;&gt;"",分析!X72,"")</f>
        <v>-1765.0291574954529</v>
      </c>
      <c r="P165" s="139" t="str">
        <f>IF(分析!L72&lt;&gt;"",分析!L72,"")</f>
        <v/>
      </c>
      <c r="Q165" s="136" t="str">
        <f>IF(分析!S72&lt;&gt;"",分析!S72,"")</f>
        <v/>
      </c>
      <c r="R165" s="136" t="str">
        <f>IF(分析!R72&lt;&gt;"",分析!R72,"")</f>
        <v/>
      </c>
      <c r="S165" s="131" t="str">
        <f>IF(分析!AA72&lt;&gt;"",分析!AA72,"")</f>
        <v/>
      </c>
      <c r="T165" s="140" t="str">
        <f>IF(分析!Z72&lt;&gt;"",分析!Z72,"")</f>
        <v/>
      </c>
      <c r="U165" s="131" t="str">
        <f>IF(分析!V72&lt;&gt;"",分析!V72,"")</f>
        <v/>
      </c>
      <c r="V165" s="141">
        <f>IF(分析!W72&lt;&gt;"",分析!W72,"")</f>
        <v>3.3934103069557864</v>
      </c>
      <c r="W165" s="142" t="str">
        <f>IF(分析!AD72&lt;&gt;"",分析!AD72,"")</f>
        <v>パーフェクト▲</v>
      </c>
      <c r="X165" s="143" t="e">
        <f>IF(分析!AE72&lt;&gt;"",分析!AE72,"")</f>
        <v>#VALUE!</v>
      </c>
      <c r="Y165" s="144">
        <f>IF(分析!T72&lt;&gt;"",分析!T72,"")</f>
        <v>0</v>
      </c>
      <c r="Z165" s="145" t="e">
        <f>IF(分析!Y72&lt;&gt;"",分析!Y72,"")</f>
        <v>#VALUE!</v>
      </c>
    </row>
    <row r="166" spans="1:26" ht="21.9" customHeight="1">
      <c r="A166" s="146">
        <f>IF(分析!C175&lt;&gt;"",ROW()-2,"")</f>
        <v>164</v>
      </c>
      <c r="B166" s="147" t="str">
        <f>IF(分析!C175&lt;&gt;"",HYPERLINK("https://kabutan.jp/stock/?code="&amp;分析!C175,"株探"),"")</f>
        <v>株探</v>
      </c>
      <c r="C166" s="148">
        <f>IF(分析!C175&lt;&gt;"",分析!C175,"")</f>
        <v>4008</v>
      </c>
      <c r="D166" s="149" t="str">
        <f>IF(分析!D175&lt;&gt;"",分析!D175,"")</f>
        <v/>
      </c>
      <c r="E166" s="150" t="str">
        <f>IF(分析!E175&lt;&gt;"",分析!E175,"")</f>
        <v/>
      </c>
      <c r="F166" s="151" t="str">
        <f>IF(分析!F175&lt;&gt;"",分析!F175,"")</f>
        <v/>
      </c>
      <c r="G166" s="151" t="str">
        <f>IF(分析!H175&lt;&gt;"",分析!H175,"")</f>
        <v/>
      </c>
      <c r="H166" s="151" t="str">
        <f>IF(分析!I175&lt;&gt;"",分析!I175,"")</f>
        <v/>
      </c>
      <c r="I166" s="151" t="str">
        <f>IF(分析!J175&lt;&gt;"",分析!J175,"")</f>
        <v/>
      </c>
      <c r="J166" s="151">
        <f>IF(分析!AB175&lt;&gt;"",分析!AB175,"")</f>
        <v>1497.3329938900201</v>
      </c>
      <c r="K166" s="151">
        <f>IF(分析!AC175&lt;&gt;"",分析!AC175,"")</f>
        <v>4639.3384982121552</v>
      </c>
      <c r="L166" s="151" t="str">
        <f>IF(分析!K175&lt;&gt;"",分析!K175,"")</f>
        <v/>
      </c>
      <c r="M166" s="146" t="str">
        <f>IF(分析!P175&lt;&gt;"",分析!P175,"")</f>
        <v/>
      </c>
      <c r="N166" s="152" t="str">
        <f>IF(分析!O175&lt;&gt;"",分析!O175,"")</f>
        <v/>
      </c>
      <c r="O166" s="153">
        <f>IF(分析!X175&lt;&gt;"",分析!X175,"")</f>
        <v>-0.88402676336045261</v>
      </c>
      <c r="P166" s="154" t="str">
        <f>IF(分析!L175&lt;&gt;"",分析!L175,"")</f>
        <v/>
      </c>
      <c r="Q166" s="151" t="str">
        <f>IF(分析!S175&lt;&gt;"",分析!S175,"")</f>
        <v/>
      </c>
      <c r="R166" s="151" t="str">
        <f>IF(分析!R175&lt;&gt;"",分析!R175,"")</f>
        <v/>
      </c>
      <c r="S166" s="146" t="str">
        <f>IF(分析!AA175&lt;&gt;"",分析!AA175,"")</f>
        <v/>
      </c>
      <c r="T166" s="155" t="str">
        <f>IF(分析!Z175&lt;&gt;"",分析!Z175,"")</f>
        <v/>
      </c>
      <c r="U166" s="146" t="str">
        <f>IF(分析!V175&lt;&gt;"",分析!V175,"")</f>
        <v/>
      </c>
      <c r="V166" s="156">
        <f>IF(分析!W175&lt;&gt;"",分析!W175,"")</f>
        <v>53.795379537953799</v>
      </c>
      <c r="W166" s="157" t="str">
        <f>IF(分析!AD175&lt;&gt;"",分析!AD175,"")</f>
        <v>上昇トレンド▲</v>
      </c>
      <c r="X166" s="158" t="e">
        <f>IF(分析!AE175&lt;&gt;"",分析!AE175,"")</f>
        <v>#VALUE!</v>
      </c>
      <c r="Y166" s="159">
        <f>IF(分析!T175&lt;&gt;"",分析!T175,"")</f>
        <v>0</v>
      </c>
      <c r="Z166" s="145" t="e">
        <f>IF(分析!Y175&lt;&gt;"",分析!Y175,"")</f>
        <v>#VALUE!</v>
      </c>
    </row>
    <row r="167" spans="1:26" ht="21.9" customHeight="1">
      <c r="A167" s="131">
        <f>IF(分析!C12&lt;&gt;"",ROW()-2,"")</f>
        <v>165</v>
      </c>
      <c r="B167" s="132" t="str">
        <f>IF(分析!C12&lt;&gt;"",HYPERLINK("https://kabutan.jp/stock/?code="&amp;分析!C12,"株探"),"")</f>
        <v>株探</v>
      </c>
      <c r="C167" s="133">
        <f>IF(分析!C12&lt;&gt;"",分析!C12,"")</f>
        <v>9551</v>
      </c>
      <c r="D167" s="134" t="str">
        <f>IF(分析!D12&lt;&gt;"",分析!D12,"")</f>
        <v/>
      </c>
      <c r="E167" s="135" t="str">
        <f>IF(分析!E12&lt;&gt;"",分析!E12,"")</f>
        <v/>
      </c>
      <c r="F167" s="136" t="str">
        <f>IF(分析!F12&lt;&gt;"",分析!F12,"")</f>
        <v/>
      </c>
      <c r="G167" s="136" t="str">
        <f>IF(分析!H12&lt;&gt;"",分析!H12,"")</f>
        <v/>
      </c>
      <c r="H167" s="136" t="str">
        <f>IF(分析!I12&lt;&gt;"",分析!I12,"")</f>
        <v/>
      </c>
      <c r="I167" s="136" t="str">
        <f>IF(分析!J12&lt;&gt;"",分析!J12,"")</f>
        <v/>
      </c>
      <c r="J167" s="136">
        <f>IF(分析!AB12&lt;&gt;"",分析!AB12,"")</f>
        <v>4980.3747454175136</v>
      </c>
      <c r="K167" s="136">
        <f>IF(分析!AC12&lt;&gt;"",分析!AC12,"")</f>
        <v>4885.8974970202617</v>
      </c>
      <c r="L167" s="136" t="str">
        <f>IF(分析!K12&lt;&gt;"",分析!K12,"")</f>
        <v/>
      </c>
      <c r="M167" s="131" t="str">
        <f>IF(分析!P12&lt;&gt;"",分析!P12,"")</f>
        <v/>
      </c>
      <c r="N167" s="137" t="str">
        <f>IF(分析!O12&lt;&gt;"",分析!O12,"")</f>
        <v/>
      </c>
      <c r="O167" s="138">
        <f>IF(分析!X12&lt;&gt;"",分析!X12,"")</f>
        <v>-37.232246983945515</v>
      </c>
      <c r="P167" s="139" t="str">
        <f>IF(分析!L12&lt;&gt;"",分析!L12,"")</f>
        <v/>
      </c>
      <c r="Q167" s="136" t="str">
        <f>IF(分析!S12&lt;&gt;"",分析!S12,"")</f>
        <v/>
      </c>
      <c r="R167" s="136" t="str">
        <f>IF(分析!R12&lt;&gt;"",分析!R12,"")</f>
        <v/>
      </c>
      <c r="S167" s="131" t="str">
        <f>IF(分析!AA12&lt;&gt;"",分析!AA12,"")</f>
        <v/>
      </c>
      <c r="T167" s="140" t="str">
        <f>IF(分析!Z12&lt;&gt;"",分析!Z12,"")</f>
        <v/>
      </c>
      <c r="U167" s="131" t="str">
        <f>IF(分析!V12&lt;&gt;"",分析!V12,"")</f>
        <v/>
      </c>
      <c r="V167" s="141">
        <f>IF(分析!W12&lt;&gt;"",分析!W12,"")</f>
        <v>32.919254658385086</v>
      </c>
      <c r="W167" s="142" t="str">
        <f>IF(分析!AD12&lt;&gt;"",分析!AD12,"")</f>
        <v>パーフェクト▲</v>
      </c>
      <c r="X167" s="143" t="e">
        <f>IF(分析!AE12&lt;&gt;"",分析!AE12,"")</f>
        <v>#VALUE!</v>
      </c>
      <c r="Y167" s="144">
        <f>IF(分析!T12&lt;&gt;"",分析!T12,"")</f>
        <v>0</v>
      </c>
      <c r="Z167" s="145" t="e">
        <f>IF(分析!Y12&lt;&gt;"",分析!Y12,"")</f>
        <v>#VALUE!</v>
      </c>
    </row>
    <row r="168" spans="1:26" ht="21.9" customHeight="1">
      <c r="A168" s="146">
        <f>IF(分析!C37&lt;&gt;"",ROW()-2,"")</f>
        <v>166</v>
      </c>
      <c r="B168" s="147" t="str">
        <f>IF(分析!C37&lt;&gt;"",HYPERLINK("https://kabutan.jp/stock/?code="&amp;分析!C37,"株探"),"")</f>
        <v>株探</v>
      </c>
      <c r="C168" s="148">
        <f>IF(分析!C37&lt;&gt;"",分析!C37,"")</f>
        <v>8725</v>
      </c>
      <c r="D168" s="149" t="str">
        <f>IF(分析!D37&lt;&gt;"",分析!D37,"")</f>
        <v/>
      </c>
      <c r="E168" s="150" t="str">
        <f>IF(分析!E37&lt;&gt;"",分析!E37,"")</f>
        <v/>
      </c>
      <c r="F168" s="151" t="str">
        <f>IF(分析!F37&lt;&gt;"",分析!F37,"")</f>
        <v/>
      </c>
      <c r="G168" s="151" t="str">
        <f>IF(分析!H37&lt;&gt;"",分析!H37,"")</f>
        <v/>
      </c>
      <c r="H168" s="151" t="str">
        <f>IF(分析!I37&lt;&gt;"",分析!I37,"")</f>
        <v/>
      </c>
      <c r="I168" s="151" t="str">
        <f>IF(分析!J37&lt;&gt;"",分析!J37,"")</f>
        <v/>
      </c>
      <c r="J168" s="151">
        <f>IF(分析!AB37&lt;&gt;"",分析!AB37,"")</f>
        <v>1391.4898167006106</v>
      </c>
      <c r="K168" s="151">
        <f>IF(分析!AC37&lt;&gt;"",分析!AC37,"")</f>
        <v>1355.251489868891</v>
      </c>
      <c r="L168" s="151" t="str">
        <f>IF(分析!K37&lt;&gt;"",分析!K37,"")</f>
        <v/>
      </c>
      <c r="M168" s="146" t="str">
        <f>IF(分析!P37&lt;&gt;"",分析!P37,"")</f>
        <v/>
      </c>
      <c r="N168" s="152" t="str">
        <f>IF(分析!O37&lt;&gt;"",分析!O37,"")</f>
        <v/>
      </c>
      <c r="O168" s="153">
        <f>IF(分析!X37&lt;&gt;"",分析!X37,"")</f>
        <v>9.1235576482959004</v>
      </c>
      <c r="P168" s="154" t="str">
        <f>IF(分析!L37&lt;&gt;"",分析!L37,"")</f>
        <v/>
      </c>
      <c r="Q168" s="151" t="str">
        <f>IF(分析!S37&lt;&gt;"",分析!S37,"")</f>
        <v/>
      </c>
      <c r="R168" s="151" t="str">
        <f>IF(分析!R37&lt;&gt;"",分析!R37,"")</f>
        <v/>
      </c>
      <c r="S168" s="146" t="str">
        <f>IF(分析!AA37&lt;&gt;"",分析!AA37,"")</f>
        <v/>
      </c>
      <c r="T168" s="155" t="str">
        <f>IF(分析!Z37&lt;&gt;"",分析!Z37,"")</f>
        <v/>
      </c>
      <c r="U168" s="146" t="str">
        <f>IF(分析!V37&lt;&gt;"",分析!V37,"")</f>
        <v/>
      </c>
      <c r="V168" s="156">
        <f>IF(分析!W37&lt;&gt;"",分析!W37,"")</f>
        <v>75.474683544303801</v>
      </c>
      <c r="W168" s="157" t="str">
        <f>IF(分析!AD37&lt;&gt;"",分析!AD37,"")</f>
        <v>パーフェクト▲</v>
      </c>
      <c r="X168" s="158" t="e">
        <f>IF(分析!AE37&lt;&gt;"",分析!AE37,"")</f>
        <v>#VALUE!</v>
      </c>
      <c r="Y168" s="159">
        <f>IF(分析!T37&lt;&gt;"",分析!T37,"")</f>
        <v>0</v>
      </c>
      <c r="Z168" s="145" t="e">
        <f>IF(分析!Y37&lt;&gt;"",分析!Y37,"")</f>
        <v>#VALUE!</v>
      </c>
    </row>
    <row r="169" spans="1:26" ht="21.9" customHeight="1">
      <c r="A169" s="146">
        <f>IF(分析!C95&lt;&gt;"",ROW()-2,"")</f>
        <v>167</v>
      </c>
      <c r="B169" s="147" t="str">
        <f>IF(分析!C95&lt;&gt;"",HYPERLINK("https://kabutan.jp/stock/?code="&amp;分析!C95,"株探"),"")</f>
        <v>株探</v>
      </c>
      <c r="C169" s="148">
        <f>IF(分析!C95&lt;&gt;"",分析!C95,"")</f>
        <v>6522</v>
      </c>
      <c r="D169" s="149" t="str">
        <f>IF(分析!D95&lt;&gt;"",分析!D95,"")</f>
        <v/>
      </c>
      <c r="E169" s="150" t="str">
        <f>IF(分析!E95&lt;&gt;"",分析!E95,"")</f>
        <v/>
      </c>
      <c r="F169" s="151" t="str">
        <f>IF(分析!F95&lt;&gt;"",分析!F95,"")</f>
        <v/>
      </c>
      <c r="G169" s="151" t="str">
        <f>IF(分析!H95&lt;&gt;"",分析!H95,"")</f>
        <v/>
      </c>
      <c r="H169" s="151" t="str">
        <f>IF(分析!I95&lt;&gt;"",分析!I95,"")</f>
        <v/>
      </c>
      <c r="I169" s="151" t="str">
        <f>IF(分析!J95&lt;&gt;"",分析!J95,"")</f>
        <v/>
      </c>
      <c r="J169" s="151">
        <f>IF(分析!AB95&lt;&gt;"",分析!AB95,"")</f>
        <v>4567.3788187372702</v>
      </c>
      <c r="K169" s="151">
        <f>IF(分析!AC95&lt;&gt;"",分析!AC95,"")</f>
        <v>4824.7794994040514</v>
      </c>
      <c r="L169" s="151" t="str">
        <f>IF(分析!K95&lt;&gt;"",分析!K95,"")</f>
        <v/>
      </c>
      <c r="M169" s="146" t="str">
        <f>IF(分析!P95&lt;&gt;"",分析!P95,"")</f>
        <v/>
      </c>
      <c r="N169" s="152" t="str">
        <f>IF(分析!O95&lt;&gt;"",分析!O95,"")</f>
        <v/>
      </c>
      <c r="O169" s="153">
        <f>IF(分析!X95&lt;&gt;"",分析!X95,"")</f>
        <v>131.74677299304722</v>
      </c>
      <c r="P169" s="154" t="str">
        <f>IF(分析!L95&lt;&gt;"",分析!L95,"")</f>
        <v/>
      </c>
      <c r="Q169" s="151" t="str">
        <f>IF(分析!S95&lt;&gt;"",分析!S95,"")</f>
        <v/>
      </c>
      <c r="R169" s="151" t="str">
        <f>IF(分析!R95&lt;&gt;"",分析!R95,"")</f>
        <v/>
      </c>
      <c r="S169" s="146" t="str">
        <f>IF(分析!AA95&lt;&gt;"",分析!AA95,"")</f>
        <v/>
      </c>
      <c r="T169" s="155" t="str">
        <f>IF(分析!Z95&lt;&gt;"",分析!Z95,"")</f>
        <v/>
      </c>
      <c r="U169" s="146" t="str">
        <f>IF(分析!V95&lt;&gt;"",分析!V95,"")</f>
        <v/>
      </c>
      <c r="V169" s="156">
        <f>IF(分析!W95&lt;&gt;"",分析!W95,"")</f>
        <v>65.419580419580427</v>
      </c>
      <c r="W169" s="157" t="str">
        <f>IF(分析!AD95&lt;&gt;"",分析!AD95,"")</f>
        <v>上昇トレンド▲</v>
      </c>
      <c r="X169" s="158" t="e">
        <f>IF(分析!AE95&lt;&gt;"",分析!AE95,"")</f>
        <v>#VALUE!</v>
      </c>
      <c r="Y169" s="159">
        <f>IF(分析!T95&lt;&gt;"",分析!T95,"")</f>
        <v>0</v>
      </c>
      <c r="Z169" s="145" t="e">
        <f>IF(分析!Y95&lt;&gt;"",分析!Y95,"")</f>
        <v>#VALUE!</v>
      </c>
    </row>
    <row r="170" spans="1:26" ht="21.9" customHeight="1">
      <c r="A170" s="131">
        <f>IF(分析!C48&lt;&gt;"",ROW()-2,"")</f>
        <v>168</v>
      </c>
      <c r="B170" s="132" t="str">
        <f>IF(分析!C48&lt;&gt;"",HYPERLINK("https://kabutan.jp/stock/?code="&amp;分析!C48,"株探"),"")</f>
        <v>株探</v>
      </c>
      <c r="C170" s="133">
        <f>IF(分析!C48&lt;&gt;"",分析!C48,"")</f>
        <v>8359</v>
      </c>
      <c r="D170" s="134" t="str">
        <f>IF(分析!D48&lt;&gt;"",分析!D48,"")</f>
        <v/>
      </c>
      <c r="E170" s="135" t="str">
        <f>IF(分析!E48&lt;&gt;"",分析!E48,"")</f>
        <v/>
      </c>
      <c r="F170" s="136" t="str">
        <f>IF(分析!F48&lt;&gt;"",分析!F48,"")</f>
        <v/>
      </c>
      <c r="G170" s="136" t="str">
        <f>IF(分析!H48&lt;&gt;"",分析!H48,"")</f>
        <v/>
      </c>
      <c r="H170" s="136" t="str">
        <f>IF(分析!I48&lt;&gt;"",分析!I48,"")</f>
        <v/>
      </c>
      <c r="I170" s="136" t="str">
        <f>IF(分析!J48&lt;&gt;"",分析!J48,"")</f>
        <v/>
      </c>
      <c r="J170" s="136">
        <f>IF(分析!AB48&lt;&gt;"",分析!AB48,"")</f>
        <v>6884.5916496944983</v>
      </c>
      <c r="K170" s="136">
        <f>IF(分析!AC48&lt;&gt;"",分析!AC48,"")</f>
        <v>6708.5625744934441</v>
      </c>
      <c r="L170" s="136" t="str">
        <f>IF(分析!K48&lt;&gt;"",分析!K48,"")</f>
        <v/>
      </c>
      <c r="M170" s="131" t="str">
        <f>IF(分析!P48&lt;&gt;"",分析!P48,"")</f>
        <v/>
      </c>
      <c r="N170" s="137" t="str">
        <f>IF(分析!O48&lt;&gt;"",分析!O48,"")</f>
        <v/>
      </c>
      <c r="O170" s="138">
        <f>IF(分析!X48&lt;&gt;"",分析!X48,"")</f>
        <v>30.378494182831218</v>
      </c>
      <c r="P170" s="139" t="str">
        <f>IF(分析!L48&lt;&gt;"",分析!L48,"")</f>
        <v/>
      </c>
      <c r="Q170" s="136" t="str">
        <f>IF(分析!S48&lt;&gt;"",分析!S48,"")</f>
        <v/>
      </c>
      <c r="R170" s="136" t="str">
        <f>IF(分析!R48&lt;&gt;"",分析!R48,"")</f>
        <v/>
      </c>
      <c r="S170" s="131" t="str">
        <f>IF(分析!AA48&lt;&gt;"",分析!AA48,"")</f>
        <v/>
      </c>
      <c r="T170" s="140" t="str">
        <f>IF(分析!Z48&lt;&gt;"",分析!Z48,"")</f>
        <v/>
      </c>
      <c r="U170" s="131" t="str">
        <f>IF(分析!V48&lt;&gt;"",分析!V48,"")</f>
        <v/>
      </c>
      <c r="V170" s="141">
        <f>IF(分析!W48&lt;&gt;"",分析!W48,"")</f>
        <v>91.027496382054991</v>
      </c>
      <c r="W170" s="142" t="str">
        <f>IF(分析!AD48&lt;&gt;"",分析!AD48,"")</f>
        <v>パーフェクト▲</v>
      </c>
      <c r="X170" s="143" t="e">
        <f>IF(分析!AE48&lt;&gt;"",分析!AE48,"")</f>
        <v>#VALUE!</v>
      </c>
      <c r="Y170" s="144">
        <f>IF(分析!T48&lt;&gt;"",分析!T48,"")</f>
        <v>0</v>
      </c>
      <c r="Z170" s="145" t="e">
        <f>IF(分析!Y48&lt;&gt;"",分析!Y48,"")</f>
        <v>#VALUE!</v>
      </c>
    </row>
    <row r="171" spans="1:26" ht="21.9" customHeight="1">
      <c r="A171" s="146">
        <f>IF(分析!C11&lt;&gt;"",ROW()-2,"")</f>
        <v>169</v>
      </c>
      <c r="B171" s="147" t="str">
        <f>IF(分析!C11&lt;&gt;"",HYPERLINK("https://kabutan.jp/stock/?code="&amp;分析!C11,"株探"),"")</f>
        <v>株探</v>
      </c>
      <c r="C171" s="148">
        <f>IF(分析!C11&lt;&gt;"",分析!C11,"")</f>
        <v>9687</v>
      </c>
      <c r="D171" s="149" t="str">
        <f>IF(分析!D11&lt;&gt;"",分析!D11,"")</f>
        <v/>
      </c>
      <c r="E171" s="150" t="str">
        <f>IF(分析!E11&lt;&gt;"",分析!E11,"")</f>
        <v/>
      </c>
      <c r="F171" s="151" t="str">
        <f>IF(分析!F11&lt;&gt;"",分析!F11,"")</f>
        <v/>
      </c>
      <c r="G171" s="151" t="str">
        <f>IF(分析!H11&lt;&gt;"",分析!H11,"")</f>
        <v/>
      </c>
      <c r="H171" s="151" t="str">
        <f>IF(分析!I11&lt;&gt;"",分析!I11,"")</f>
        <v/>
      </c>
      <c r="I171" s="151" t="str">
        <f>IF(分析!J11&lt;&gt;"",分析!J11,"")</f>
        <v/>
      </c>
      <c r="J171" s="151">
        <f>IF(分析!AB11&lt;&gt;"",分析!AB11,"")</f>
        <v>2694.2953156822805</v>
      </c>
      <c r="K171" s="151">
        <f>IF(分析!AC11&lt;&gt;"",分析!AC11,"")</f>
        <v>2764.5673420738963</v>
      </c>
      <c r="L171" s="151" t="str">
        <f>IF(分析!K11&lt;&gt;"",分析!K11,"")</f>
        <v/>
      </c>
      <c r="M171" s="146" t="str">
        <f>IF(分析!P11&lt;&gt;"",分析!P11,"")</f>
        <v/>
      </c>
      <c r="N171" s="152" t="str">
        <f>IF(分析!O11&lt;&gt;"",分析!O11,"")</f>
        <v/>
      </c>
      <c r="O171" s="153">
        <f>IF(分析!X11&lt;&gt;"",分析!X11,"")</f>
        <v>5.1921477159203278</v>
      </c>
      <c r="P171" s="154" t="str">
        <f>IF(分析!L11&lt;&gt;"",分析!L11,"")</f>
        <v/>
      </c>
      <c r="Q171" s="151" t="str">
        <f>IF(分析!S11&lt;&gt;"",分析!S11,"")</f>
        <v/>
      </c>
      <c r="R171" s="151" t="str">
        <f>IF(分析!R11&lt;&gt;"",分析!R11,"")</f>
        <v/>
      </c>
      <c r="S171" s="146" t="str">
        <f>IF(分析!AA11&lt;&gt;"",分析!AA11,"")</f>
        <v/>
      </c>
      <c r="T171" s="155" t="str">
        <f>IF(分析!Z11&lt;&gt;"",分析!Z11,"")</f>
        <v/>
      </c>
      <c r="U171" s="146" t="str">
        <f>IF(分析!V11&lt;&gt;"",分析!V11,"")</f>
        <v/>
      </c>
      <c r="V171" s="156">
        <f>IF(分析!W11&lt;&gt;"",分析!W11,"")</f>
        <v>61.111111111111107</v>
      </c>
      <c r="W171" s="157" t="str">
        <f>IF(分析!AD11&lt;&gt;"",分析!AD11,"")</f>
        <v>上昇トレンド▲</v>
      </c>
      <c r="X171" s="158" t="e">
        <f>IF(分析!AE11&lt;&gt;"",分析!AE11,"")</f>
        <v>#VALUE!</v>
      </c>
      <c r="Y171" s="159">
        <f>IF(分析!T11&lt;&gt;"",分析!T11,"")</f>
        <v>0</v>
      </c>
      <c r="Z171" s="145" t="e">
        <f>IF(分析!Y11&lt;&gt;"",分析!Y11,"")</f>
        <v>#VALUE!</v>
      </c>
    </row>
    <row r="172" spans="1:26" ht="21.9" customHeight="1">
      <c r="A172" s="146">
        <f>IF(分析!C45&lt;&gt;"",ROW()-2,"")</f>
        <v>170</v>
      </c>
      <c r="B172" s="147" t="str">
        <f>IF(分析!C45&lt;&gt;"",HYPERLINK("https://kabutan.jp/stock/?code="&amp;分析!C45,"株探"),"")</f>
        <v>株探</v>
      </c>
      <c r="C172" s="148">
        <f>IF(分析!C45&lt;&gt;"",分析!C45,"")</f>
        <v>8570</v>
      </c>
      <c r="D172" s="149" t="str">
        <f>IF(分析!D45&lt;&gt;"",分析!D45,"")</f>
        <v/>
      </c>
      <c r="E172" s="150" t="str">
        <f>IF(分析!E45&lt;&gt;"",分析!E45,"")</f>
        <v/>
      </c>
      <c r="F172" s="151" t="str">
        <f>IF(分析!F45&lt;&gt;"",分析!F45,"")</f>
        <v/>
      </c>
      <c r="G172" s="151" t="str">
        <f>IF(分析!H45&lt;&gt;"",分析!H45,"")</f>
        <v/>
      </c>
      <c r="H172" s="151" t="str">
        <f>IF(分析!I45&lt;&gt;"",分析!I45,"")</f>
        <v/>
      </c>
      <c r="I172" s="151" t="str">
        <f>IF(分析!J45&lt;&gt;"",分析!J45,"")</f>
        <v/>
      </c>
      <c r="J172" s="151">
        <f>IF(分析!AB45&lt;&gt;"",分析!AB45,"")</f>
        <v>484.25417515274944</v>
      </c>
      <c r="K172" s="151">
        <f>IF(分析!AC45&lt;&gt;"",分析!AC45,"")</f>
        <v>470.63945172824771</v>
      </c>
      <c r="L172" s="151" t="str">
        <f>IF(分析!K45&lt;&gt;"",分析!K45,"")</f>
        <v/>
      </c>
      <c r="M172" s="146" t="str">
        <f>IF(分析!P45&lt;&gt;"",分析!P45,"")</f>
        <v/>
      </c>
      <c r="N172" s="152" t="str">
        <f>IF(分析!O45&lt;&gt;"",分析!O45,"")</f>
        <v/>
      </c>
      <c r="O172" s="153">
        <f>IF(分析!X45&lt;&gt;"",分析!X45,"")</f>
        <v>10.174115085635776</v>
      </c>
      <c r="P172" s="154" t="str">
        <f>IF(分析!L45&lt;&gt;"",分析!L45,"")</f>
        <v/>
      </c>
      <c r="Q172" s="151" t="str">
        <f>IF(分析!S45&lt;&gt;"",分析!S45,"")</f>
        <v/>
      </c>
      <c r="R172" s="151" t="str">
        <f>IF(分析!R45&lt;&gt;"",分析!R45,"")</f>
        <v/>
      </c>
      <c r="S172" s="146" t="str">
        <f>IF(分析!AA45&lt;&gt;"",分析!AA45,"")</f>
        <v/>
      </c>
      <c r="T172" s="155" t="str">
        <f>IF(分析!Z45&lt;&gt;"",分析!Z45,"")</f>
        <v/>
      </c>
      <c r="U172" s="146" t="str">
        <f>IF(分析!V45&lt;&gt;"",分析!V45,"")</f>
        <v/>
      </c>
      <c r="V172" s="156">
        <f>IF(分析!W45&lt;&gt;"",分析!W45,"")</f>
        <v>77.5</v>
      </c>
      <c r="W172" s="157" t="str">
        <f>IF(分析!AD45&lt;&gt;"",分析!AD45,"")</f>
        <v>パーフェクト▲</v>
      </c>
      <c r="X172" s="158" t="e">
        <f>IF(分析!AE45&lt;&gt;"",分析!AE45,"")</f>
        <v>#VALUE!</v>
      </c>
      <c r="Y172" s="159">
        <f>IF(分析!T45&lt;&gt;"",分析!T45,"")</f>
        <v>0</v>
      </c>
      <c r="Z172" s="145" t="e">
        <f>IF(分析!Y45&lt;&gt;"",分析!Y45,"")</f>
        <v>#VALUE!</v>
      </c>
    </row>
    <row r="173" spans="1:26" ht="21.9" customHeight="1">
      <c r="A173" s="146">
        <f>IF(分析!C57&lt;&gt;"",ROW()-2,"")</f>
        <v>171</v>
      </c>
      <c r="B173" s="147" t="str">
        <f>IF(分析!C57&lt;&gt;"",HYPERLINK("https://kabutan.jp/stock/?code="&amp;分析!C57,"株探"),"")</f>
        <v>株探</v>
      </c>
      <c r="C173" s="148">
        <f>IF(分析!C57&lt;&gt;"",分析!C57,"")</f>
        <v>8091</v>
      </c>
      <c r="D173" s="149" t="str">
        <f>IF(分析!D57&lt;&gt;"",分析!D57,"")</f>
        <v/>
      </c>
      <c r="E173" s="150" t="str">
        <f>IF(分析!E57&lt;&gt;"",分析!E57,"")</f>
        <v/>
      </c>
      <c r="F173" s="151" t="str">
        <f>IF(分析!F57&lt;&gt;"",分析!F57,"")</f>
        <v/>
      </c>
      <c r="G173" s="151" t="str">
        <f>IF(分析!H57&lt;&gt;"",分析!H57,"")</f>
        <v/>
      </c>
      <c r="H173" s="151" t="str">
        <f>IF(分析!I57&lt;&gt;"",分析!I57,"")</f>
        <v/>
      </c>
      <c r="I173" s="151" t="str">
        <f>IF(分析!J57&lt;&gt;"",分析!J57,"")</f>
        <v/>
      </c>
      <c r="J173" s="151">
        <f>IF(分析!AB57&lt;&gt;"",分析!AB57,"")</f>
        <v>2568.0957230142562</v>
      </c>
      <c r="K173" s="151">
        <f>IF(分析!AC57&lt;&gt;"",分析!AC57,"")</f>
        <v>2732.0965435041703</v>
      </c>
      <c r="L173" s="151" t="str">
        <f>IF(分析!K57&lt;&gt;"",分析!K57,"")</f>
        <v/>
      </c>
      <c r="M173" s="146" t="str">
        <f>IF(分析!P57&lt;&gt;"",分析!P57,"")</f>
        <v/>
      </c>
      <c r="N173" s="152" t="str">
        <f>IF(分析!O57&lt;&gt;"",分析!O57,"")</f>
        <v/>
      </c>
      <c r="O173" s="153">
        <f>IF(分析!X57&lt;&gt;"",分析!X57,"")</f>
        <v>7.0013194607531659</v>
      </c>
      <c r="P173" s="154" t="str">
        <f>IF(分析!L57&lt;&gt;"",分析!L57,"")</f>
        <v/>
      </c>
      <c r="Q173" s="151" t="str">
        <f>IF(分析!S57&lt;&gt;"",分析!S57,"")</f>
        <v/>
      </c>
      <c r="R173" s="151" t="str">
        <f>IF(分析!R57&lt;&gt;"",分析!R57,"")</f>
        <v/>
      </c>
      <c r="S173" s="146" t="str">
        <f>IF(分析!AA57&lt;&gt;"",分析!AA57,"")</f>
        <v/>
      </c>
      <c r="T173" s="155" t="str">
        <f>IF(分析!Z57&lt;&gt;"",分析!Z57,"")</f>
        <v/>
      </c>
      <c r="U173" s="146" t="str">
        <f>IF(分析!V57&lt;&gt;"",分析!V57,"")</f>
        <v/>
      </c>
      <c r="V173" s="156">
        <f>IF(分析!W57&lt;&gt;"",分析!W57,"")</f>
        <v>57.615894039735096</v>
      </c>
      <c r="W173" s="157" t="str">
        <f>IF(分析!AD57&lt;&gt;"",分析!AD57,"")</f>
        <v>上昇トレンド▲</v>
      </c>
      <c r="X173" s="158" t="e">
        <f>IF(分析!AE57&lt;&gt;"",分析!AE57,"")</f>
        <v>#VALUE!</v>
      </c>
      <c r="Y173" s="159">
        <f>IF(分析!T57&lt;&gt;"",分析!T57,"")</f>
        <v>0</v>
      </c>
      <c r="Z173" s="145" t="e">
        <f>IF(分析!Y57&lt;&gt;"",分析!Y57,"")</f>
        <v>#VALUE!</v>
      </c>
    </row>
    <row r="174" spans="1:26" ht="21.9" customHeight="1">
      <c r="A174" s="146">
        <f>IF(分析!C147&lt;&gt;"",ROW()-2,"")</f>
        <v>172</v>
      </c>
      <c r="B174" s="147" t="str">
        <f>IF(分析!C147&lt;&gt;"",HYPERLINK("https://kabutan.jp/stock/?code="&amp;分析!C147,"株探"),"")</f>
        <v>株探</v>
      </c>
      <c r="C174" s="148">
        <f>IF(分析!C147&lt;&gt;"",分析!C147,"")</f>
        <v>5020</v>
      </c>
      <c r="D174" s="149" t="str">
        <f>IF(分析!D147&lt;&gt;"",分析!D147,"")</f>
        <v/>
      </c>
      <c r="E174" s="150" t="str">
        <f>IF(分析!E147&lt;&gt;"",分析!E147,"")</f>
        <v/>
      </c>
      <c r="F174" s="151" t="str">
        <f>IF(分析!F147&lt;&gt;"",分析!F147,"")</f>
        <v/>
      </c>
      <c r="G174" s="151" t="str">
        <f>IF(分析!H147&lt;&gt;"",分析!H147,"")</f>
        <v/>
      </c>
      <c r="H174" s="151" t="str">
        <f>IF(分析!I147&lt;&gt;"",分析!I147,"")</f>
        <v/>
      </c>
      <c r="I174" s="151" t="str">
        <f>IF(分析!J147&lt;&gt;"",分析!J147,"")</f>
        <v/>
      </c>
      <c r="J174" s="151">
        <f>IF(分析!AB147&lt;&gt;"",分析!AB147,"")</f>
        <v>1241.9847250509158</v>
      </c>
      <c r="K174" s="151">
        <f>IF(分析!AC147&lt;&gt;"",分析!AC147,"")</f>
        <v>1274.2348033373057</v>
      </c>
      <c r="L174" s="151" t="str">
        <f>IF(分析!K147&lt;&gt;"",分析!K147,"")</f>
        <v/>
      </c>
      <c r="M174" s="146" t="str">
        <f>IF(分析!P147&lt;&gt;"",分析!P147,"")</f>
        <v/>
      </c>
      <c r="N174" s="152" t="str">
        <f>IF(分析!O147&lt;&gt;"",分析!O147,"")</f>
        <v/>
      </c>
      <c r="O174" s="153">
        <f>IF(分析!X147&lt;&gt;"",分析!X147,"")</f>
        <v>4.83623959656029</v>
      </c>
      <c r="P174" s="154" t="str">
        <f>IF(分析!L147&lt;&gt;"",分析!L147,"")</f>
        <v/>
      </c>
      <c r="Q174" s="151" t="str">
        <f>IF(分析!S147&lt;&gt;"",分析!S147,"")</f>
        <v/>
      </c>
      <c r="R174" s="151" t="str">
        <f>IF(分析!R147&lt;&gt;"",分析!R147,"")</f>
        <v/>
      </c>
      <c r="S174" s="146" t="str">
        <f>IF(分析!AA147&lt;&gt;"",分析!AA147,"")</f>
        <v/>
      </c>
      <c r="T174" s="155" t="str">
        <f>IF(分析!Z147&lt;&gt;"",分析!Z147,"")</f>
        <v/>
      </c>
      <c r="U174" s="146" t="str">
        <f>IF(分析!V147&lt;&gt;"",分析!V147,"")</f>
        <v/>
      </c>
      <c r="V174" s="156">
        <f>IF(分析!W147&lt;&gt;"",分析!W147,"")</f>
        <v>77.38095238095238</v>
      </c>
      <c r="W174" s="157" t="str">
        <f>IF(分析!AD147&lt;&gt;"",分析!AD147,"")</f>
        <v>上昇トレンド▲</v>
      </c>
      <c r="X174" s="158" t="e">
        <f>IF(分析!AE147&lt;&gt;"",分析!AE147,"")</f>
        <v>#VALUE!</v>
      </c>
      <c r="Y174" s="159">
        <f>IF(分析!T147&lt;&gt;"",分析!T147,"")</f>
        <v>0</v>
      </c>
      <c r="Z174" s="145" t="e">
        <f>IF(分析!Y147&lt;&gt;"",分析!Y147,"")</f>
        <v>#VALUE!</v>
      </c>
    </row>
    <row r="175" spans="1:26" ht="21.9" customHeight="1">
      <c r="A175" s="131">
        <f>IF(分析!C24&lt;&gt;"",ROW()-2,"")</f>
        <v>173</v>
      </c>
      <c r="B175" s="132" t="str">
        <f>IF(分析!C24&lt;&gt;"",HYPERLINK("https://kabutan.jp/stock/?code="&amp;分析!C24,"株探"),"")</f>
        <v>株探</v>
      </c>
      <c r="C175" s="133">
        <f>IF(分析!C24&lt;&gt;"",分析!C24,"")</f>
        <v>9348</v>
      </c>
      <c r="D175" s="134" t="str">
        <f>IF(分析!D24&lt;&gt;"",分析!D24,"")</f>
        <v/>
      </c>
      <c r="E175" s="135" t="str">
        <f>IF(分析!E24&lt;&gt;"",分析!E24,"")</f>
        <v/>
      </c>
      <c r="F175" s="136" t="str">
        <f>IF(分析!F24&lt;&gt;"",分析!F24,"")</f>
        <v/>
      </c>
      <c r="G175" s="136" t="str">
        <f>IF(分析!H24&lt;&gt;"",分析!H24,"")</f>
        <v/>
      </c>
      <c r="H175" s="136" t="str">
        <f>IF(分析!I24&lt;&gt;"",分析!I24,"")</f>
        <v/>
      </c>
      <c r="I175" s="136" t="str">
        <f>IF(分析!J24&lt;&gt;"",分析!J24,"")</f>
        <v/>
      </c>
      <c r="J175" s="136">
        <f>IF(分析!AB24&lt;&gt;"",分析!AB24,"")</f>
        <v>6384.3319755600805</v>
      </c>
      <c r="K175" s="136">
        <f>IF(分析!AC24&lt;&gt;"",分析!AC24,"")</f>
        <v>6330.9678188319413</v>
      </c>
      <c r="L175" s="136" t="str">
        <f>IF(分析!K24&lt;&gt;"",分析!K24,"")</f>
        <v/>
      </c>
      <c r="M175" s="131" t="str">
        <f>IF(分析!P24&lt;&gt;"",分析!P24,"")</f>
        <v/>
      </c>
      <c r="N175" s="137" t="str">
        <f>IF(分析!O24&lt;&gt;"",分析!O24,"")</f>
        <v/>
      </c>
      <c r="O175" s="138">
        <f>IF(分析!X24&lt;&gt;"",分析!X24,"")</f>
        <v>-3.6936661903605454</v>
      </c>
      <c r="P175" s="139" t="str">
        <f>IF(分析!L24&lt;&gt;"",分析!L24,"")</f>
        <v/>
      </c>
      <c r="Q175" s="136" t="str">
        <f>IF(分析!S24&lt;&gt;"",分析!S24,"")</f>
        <v/>
      </c>
      <c r="R175" s="136" t="str">
        <f>IF(分析!R24&lt;&gt;"",分析!R24,"")</f>
        <v/>
      </c>
      <c r="S175" s="131" t="str">
        <f>IF(分析!AA24&lt;&gt;"",分析!AA24,"")</f>
        <v/>
      </c>
      <c r="T175" s="140" t="str">
        <f>IF(分析!Z24&lt;&gt;"",分析!Z24,"")</f>
        <v/>
      </c>
      <c r="U175" s="131" t="str">
        <f>IF(分析!V24&lt;&gt;"",分析!V24,"")</f>
        <v/>
      </c>
      <c r="V175" s="141">
        <f>IF(分析!W24&lt;&gt;"",分析!W24,"")</f>
        <v>51.304347826086961</v>
      </c>
      <c r="W175" s="142" t="str">
        <f>IF(分析!AD24&lt;&gt;"",分析!AD24,"")</f>
        <v>パーフェクト▲</v>
      </c>
      <c r="X175" s="143" t="e">
        <f>IF(分析!AE24&lt;&gt;"",分析!AE24,"")</f>
        <v>#VALUE!</v>
      </c>
      <c r="Y175" s="144">
        <f>IF(分析!T24&lt;&gt;"",分析!T24,"")</f>
        <v>0</v>
      </c>
      <c r="Z175" s="145" t="e">
        <f>IF(分析!Y24&lt;&gt;"",分析!Y24,"")</f>
        <v>#VALUE!</v>
      </c>
    </row>
    <row r="176" spans="1:26" ht="21.9" customHeight="1">
      <c r="A176" s="131">
        <f>IF(分析!C126&lt;&gt;"",ROW()-2,"")</f>
        <v>174</v>
      </c>
      <c r="B176" s="132" t="str">
        <f>IF(分析!C126&lt;&gt;"",HYPERLINK("https://kabutan.jp/stock/?code="&amp;分析!C126,"株探"),"")</f>
        <v>株探</v>
      </c>
      <c r="C176" s="133">
        <f>IF(分析!C126&lt;&gt;"",分析!C126,"")</f>
        <v>5802</v>
      </c>
      <c r="D176" s="134" t="str">
        <f>IF(分析!D126&lt;&gt;"",分析!D126,"")</f>
        <v/>
      </c>
      <c r="E176" s="135" t="str">
        <f>IF(分析!E126&lt;&gt;"",分析!E126,"")</f>
        <v/>
      </c>
      <c r="F176" s="136" t="str">
        <f>IF(分析!F126&lt;&gt;"",分析!F126,"")</f>
        <v/>
      </c>
      <c r="G176" s="136" t="str">
        <f>IF(分析!H126&lt;&gt;"",分析!H126,"")</f>
        <v/>
      </c>
      <c r="H176" s="136" t="str">
        <f>IF(分析!I126&lt;&gt;"",分析!I126,"")</f>
        <v/>
      </c>
      <c r="I176" s="136" t="str">
        <f>IF(分析!J126&lt;&gt;"",分析!J126,"")</f>
        <v/>
      </c>
      <c r="J176" s="136">
        <f>IF(分析!AB126&lt;&gt;"",分析!AB126,"")</f>
        <v>1891.8788187372706</v>
      </c>
      <c r="K176" s="136">
        <f>IF(分析!AC126&lt;&gt;"",分析!AC126,"")</f>
        <v>1969.1930870083422</v>
      </c>
      <c r="L176" s="136" t="str">
        <f>IF(分析!K126&lt;&gt;"",分析!K126,"")</f>
        <v/>
      </c>
      <c r="M176" s="131" t="str">
        <f>IF(分析!P126&lt;&gt;"",分析!P126,"")</f>
        <v/>
      </c>
      <c r="N176" s="137" t="str">
        <f>IF(分析!O126&lt;&gt;"",分析!O126,"")</f>
        <v/>
      </c>
      <c r="O176" s="138">
        <f>IF(分析!X126&lt;&gt;"",分析!X126,"")</f>
        <v>-1336.7607716158709</v>
      </c>
      <c r="P176" s="139" t="str">
        <f>IF(分析!L126&lt;&gt;"",分析!L126,"")</f>
        <v/>
      </c>
      <c r="Q176" s="136" t="str">
        <f>IF(分析!S126&lt;&gt;"",分析!S126,"")</f>
        <v/>
      </c>
      <c r="R176" s="136" t="str">
        <f>IF(分析!R126&lt;&gt;"",分析!R126,"")</f>
        <v/>
      </c>
      <c r="S176" s="131" t="str">
        <f>IF(分析!AA126&lt;&gt;"",分析!AA126,"")</f>
        <v/>
      </c>
      <c r="T176" s="140" t="str">
        <f>IF(分析!Z126&lt;&gt;"",分析!Z126,"")</f>
        <v/>
      </c>
      <c r="U176" s="131" t="str">
        <f>IF(分析!V126&lt;&gt;"",分析!V126,"")</f>
        <v/>
      </c>
      <c r="V176" s="141">
        <f>IF(分析!W126&lt;&gt;"",分析!W126,"")</f>
        <v>3.1512402277772509</v>
      </c>
      <c r="W176" s="142" t="str">
        <f>IF(分析!AD126&lt;&gt;"",分析!AD126,"")</f>
        <v>上昇トレンド▲</v>
      </c>
      <c r="X176" s="143" t="e">
        <f>IF(分析!AE126&lt;&gt;"",分析!AE126,"")</f>
        <v>#VALUE!</v>
      </c>
      <c r="Y176" s="144">
        <f>IF(分析!T126&lt;&gt;"",分析!T126,"")</f>
        <v>0</v>
      </c>
      <c r="Z176" s="145" t="e">
        <f>IF(分析!Y126&lt;&gt;"",分析!Y126,"")</f>
        <v>#VALUE!</v>
      </c>
    </row>
    <row r="177" spans="1:26" ht="21.9" customHeight="1">
      <c r="A177" s="131">
        <f>IF(分析!C20&lt;&gt;"",ROW()-2,"")</f>
        <v>175</v>
      </c>
      <c r="B177" s="132" t="str">
        <f>IF(分析!C20&lt;&gt;"",HYPERLINK("https://kabutan.jp/stock/?code="&amp;分析!C20,"株探"),"")</f>
        <v>株探</v>
      </c>
      <c r="C177" s="133">
        <f>IF(分析!C20&lt;&gt;"",分析!C20,"")</f>
        <v>9424</v>
      </c>
      <c r="D177" s="134" t="str">
        <f>IF(分析!D20&lt;&gt;"",分析!D20,"")</f>
        <v/>
      </c>
      <c r="E177" s="135" t="str">
        <f>IF(分析!E20&lt;&gt;"",分析!E20,"")</f>
        <v/>
      </c>
      <c r="F177" s="136" t="str">
        <f>IF(分析!F20&lt;&gt;"",分析!F20,"")</f>
        <v/>
      </c>
      <c r="G177" s="136" t="str">
        <f>IF(分析!H20&lt;&gt;"",分析!H20,"")</f>
        <v/>
      </c>
      <c r="H177" s="136" t="str">
        <f>IF(分析!I20&lt;&gt;"",分析!I20,"")</f>
        <v/>
      </c>
      <c r="I177" s="136" t="str">
        <f>IF(分析!J20&lt;&gt;"",分析!J20,"")</f>
        <v/>
      </c>
      <c r="J177" s="136">
        <f>IF(分析!AB20&lt;&gt;"",分析!AB20,"")</f>
        <v>4501.377800407332</v>
      </c>
      <c r="K177" s="136">
        <f>IF(分析!AC20&lt;&gt;"",分析!AC20,"")</f>
        <v>4463.0143027413569</v>
      </c>
      <c r="L177" s="136" t="str">
        <f>IF(分析!K20&lt;&gt;"",分析!K20,"")</f>
        <v/>
      </c>
      <c r="M177" s="131" t="str">
        <f>IF(分析!P20&lt;&gt;"",分析!P20,"")</f>
        <v/>
      </c>
      <c r="N177" s="137" t="str">
        <f>IF(分析!O20&lt;&gt;"",分析!O20,"")</f>
        <v/>
      </c>
      <c r="O177" s="138">
        <f>IF(分析!X20&lt;&gt;"",分析!X20,"")</f>
        <v>-6.5654615724355381E-3</v>
      </c>
      <c r="P177" s="139" t="str">
        <f>IF(分析!L20&lt;&gt;"",分析!L20,"")</f>
        <v/>
      </c>
      <c r="Q177" s="136" t="str">
        <f>IF(分析!S20&lt;&gt;"",分析!S20,"")</f>
        <v/>
      </c>
      <c r="R177" s="136" t="str">
        <f>IF(分析!R20&lt;&gt;"",分析!R20,"")</f>
        <v/>
      </c>
      <c r="S177" s="131" t="str">
        <f>IF(分析!AA20&lt;&gt;"",分析!AA20,"")</f>
        <v/>
      </c>
      <c r="T177" s="140" t="str">
        <f>IF(分析!Z20&lt;&gt;"",分析!Z20,"")</f>
        <v/>
      </c>
      <c r="U177" s="131" t="str">
        <f>IF(分析!V20&lt;&gt;"",分析!V20,"")</f>
        <v/>
      </c>
      <c r="V177" s="141">
        <f>IF(分析!W20&lt;&gt;"",分析!W20,"")</f>
        <v>55.172413793103452</v>
      </c>
      <c r="W177" s="142" t="str">
        <f>IF(分析!AD20&lt;&gt;"",分析!AD20,"")</f>
        <v>パーフェクト▲</v>
      </c>
      <c r="X177" s="143" t="e">
        <f>IF(分析!AE20&lt;&gt;"",分析!AE20,"")</f>
        <v>#VALUE!</v>
      </c>
      <c r="Y177" s="144">
        <f>IF(分析!T20&lt;&gt;"",分析!T20,"")</f>
        <v>0</v>
      </c>
      <c r="Z177" s="145" t="e">
        <f>IF(分析!Y20&lt;&gt;"",分析!Y20,"")</f>
        <v>#VALUE!</v>
      </c>
    </row>
    <row r="178" spans="1:26" ht="21.9" customHeight="1">
      <c r="A178" s="146">
        <f>IF(分析!C29&lt;&gt;"",ROW()-2,"")</f>
        <v>176</v>
      </c>
      <c r="B178" s="147" t="str">
        <f>IF(分析!C29&lt;&gt;"",HYPERLINK("https://kabutan.jp/stock/?code="&amp;分析!C29,"株探"),"")</f>
        <v>株探</v>
      </c>
      <c r="C178" s="148">
        <f>IF(分析!C29&lt;&gt;"",分析!C29,"")</f>
        <v>9022</v>
      </c>
      <c r="D178" s="149" t="str">
        <f>IF(分析!D29&lt;&gt;"",分析!D29,"")</f>
        <v/>
      </c>
      <c r="E178" s="150" t="str">
        <f>IF(分析!E29&lt;&gt;"",分析!E29,"")</f>
        <v/>
      </c>
      <c r="F178" s="151" t="str">
        <f>IF(分析!F29&lt;&gt;"",分析!F29,"")</f>
        <v/>
      </c>
      <c r="G178" s="151" t="str">
        <f>IF(分析!H29&lt;&gt;"",分析!H29,"")</f>
        <v/>
      </c>
      <c r="H178" s="151" t="str">
        <f>IF(分析!I29&lt;&gt;"",分析!I29,"")</f>
        <v/>
      </c>
      <c r="I178" s="151" t="str">
        <f>IF(分析!J29&lt;&gt;"",分析!J29,"")</f>
        <v/>
      </c>
      <c r="J178" s="151">
        <f>IF(分析!AB29&lt;&gt;"",分析!AB29,"")</f>
        <v>6583.6140529531567</v>
      </c>
      <c r="K178" s="151">
        <f>IF(分析!AC29&lt;&gt;"",分析!AC29,"")</f>
        <v>6363.7640047675786</v>
      </c>
      <c r="L178" s="151" t="str">
        <f>IF(分析!K29&lt;&gt;"",分析!K29,"")</f>
        <v/>
      </c>
      <c r="M178" s="146" t="str">
        <f>IF(分析!P29&lt;&gt;"",分析!P29,"")</f>
        <v/>
      </c>
      <c r="N178" s="152" t="str">
        <f>IF(分析!O29&lt;&gt;"",分析!O29,"")</f>
        <v/>
      </c>
      <c r="O178" s="153">
        <f>IF(分析!X29&lt;&gt;"",分析!X29,"")</f>
        <v>47.208530522730598</v>
      </c>
      <c r="P178" s="154" t="str">
        <f>IF(分析!L29&lt;&gt;"",分析!L29,"")</f>
        <v/>
      </c>
      <c r="Q178" s="151" t="str">
        <f>IF(分析!S29&lt;&gt;"",分析!S29,"")</f>
        <v/>
      </c>
      <c r="R178" s="151" t="str">
        <f>IF(分析!R29&lt;&gt;"",分析!R29,"")</f>
        <v/>
      </c>
      <c r="S178" s="146" t="str">
        <f>IF(分析!AA29&lt;&gt;"",分析!AA29,"")</f>
        <v/>
      </c>
      <c r="T178" s="155" t="str">
        <f>IF(分析!Z29&lt;&gt;"",分析!Z29,"")</f>
        <v/>
      </c>
      <c r="U178" s="146" t="str">
        <f>IF(分析!V29&lt;&gt;"",分析!V29,"")</f>
        <v/>
      </c>
      <c r="V178" s="156">
        <f>IF(分析!W29&lt;&gt;"",分析!W29,"")</f>
        <v>76.30402384500745</v>
      </c>
      <c r="W178" s="157" t="str">
        <f>IF(分析!AD29&lt;&gt;"",分析!AD29,"")</f>
        <v>パーフェクト▲</v>
      </c>
      <c r="X178" s="158" t="e">
        <f>IF(分析!AE29&lt;&gt;"",分析!AE29,"")</f>
        <v>#VALUE!</v>
      </c>
      <c r="Y178" s="159">
        <f>IF(分析!T29&lt;&gt;"",分析!T29,"")</f>
        <v>0</v>
      </c>
      <c r="Z178" s="145" t="e">
        <f>IF(分析!Y29&lt;&gt;"",分析!Y29,"")</f>
        <v>#VALUE!</v>
      </c>
    </row>
    <row r="179" spans="1:26" ht="21.9" customHeight="1">
      <c r="A179" s="117" t="str">
        <f>"◆"</f>
        <v>◆</v>
      </c>
      <c r="B179" s="118" t="str">
        <f>IF(分析!C3&lt;&gt;"",HYPERLINK("https://kabutan.jp/stock/?code="&amp;分析!C3,"株探"),"")</f>
        <v>株探</v>
      </c>
      <c r="C179" s="119" t="str">
        <f>IF(分析!C3&lt;&gt;"",分析!C3,"")</f>
        <v>TOPX</v>
      </c>
      <c r="D179" s="120" t="str">
        <f>IF(分析!D3&lt;&gt;"",分析!D3,"")</f>
        <v/>
      </c>
      <c r="E179" s="121" t="str">
        <f>IF(分析!E3&lt;&gt;"",分析!E3,"")</f>
        <v/>
      </c>
      <c r="F179" s="121" t="str">
        <f>IF(分析!F3&lt;&gt;"",分析!F3,"")</f>
        <v/>
      </c>
      <c r="G179" s="121" t="str">
        <f>IF(分析!H3&lt;&gt;"",分析!H3,"")</f>
        <v/>
      </c>
      <c r="H179" s="121" t="str">
        <f>IF(分析!I3&lt;&gt;"",分析!I3,"")</f>
        <v/>
      </c>
      <c r="I179" s="121" t="str">
        <f>IF(分析!J3&lt;&gt;"",分析!J3,"")</f>
        <v/>
      </c>
      <c r="J179" s="121">
        <f>IF(分析!AB3&lt;&gt;"",分析!AB3,"")</f>
        <v>4005.8288900203661</v>
      </c>
      <c r="K179" s="121">
        <f>IF(分析!AC3&lt;&gt;"",分析!AC3,"")</f>
        <v>4017.2885458879605</v>
      </c>
      <c r="L179" s="121" t="str">
        <f>IF(分析!K3&lt;&gt;"",分析!K3,"")</f>
        <v/>
      </c>
      <c r="M179" s="122" t="str">
        <f>IF(分析!P3&lt;&gt;"",分析!P3,"")</f>
        <v/>
      </c>
      <c r="N179" s="123" t="str">
        <f>IF(分析!O3&lt;&gt;"",分析!O3,"")</f>
        <v/>
      </c>
      <c r="O179" s="124" t="str">
        <f>IF(分析!X3&lt;&gt;"",分析!X3,"")</f>
        <v/>
      </c>
      <c r="P179" s="125" t="str">
        <f>IF(分析!L3&lt;&gt;"",分析!L3,"")</f>
        <v/>
      </c>
      <c r="Q179" s="121" t="str">
        <f>IF(分析!S3&lt;&gt;"",分析!S3,"")</f>
        <v/>
      </c>
      <c r="R179" s="121" t="str">
        <f>IF(分析!R3&lt;&gt;"",分析!R3,"")</f>
        <v/>
      </c>
      <c r="S179" s="122" t="str">
        <f>IF(分析!AA3&lt;&gt;"",分析!AA3,"")</f>
        <v/>
      </c>
      <c r="T179" s="126" t="str">
        <f>IF(分析!Z3&lt;&gt;"",分析!Z3,"")</f>
        <v/>
      </c>
      <c r="U179" s="122" t="str">
        <f>IF(分析!V3&lt;&gt;"",分析!V3,"")</f>
        <v/>
      </c>
      <c r="V179" s="127" t="str">
        <f>IF(分析!W3&lt;&gt;"",分析!W3,"")</f>
        <v/>
      </c>
      <c r="W179" s="122" t="str">
        <f>IF(分析!AD3&lt;&gt;"",分析!AD3,"")</f>
        <v>上昇トレンド▲</v>
      </c>
      <c r="X179" s="128" t="e">
        <f>IF(分析!AE3&lt;&gt;"",分析!AE3,"")</f>
        <v>#VALUE!</v>
      </c>
      <c r="Y179" s="129">
        <f>IF(分析!T3&lt;&gt;"",分析!T3,"")</f>
        <v>0</v>
      </c>
      <c r="Z179" s="130" t="e">
        <f>IF(分析!Y3&lt;&gt;"",分析!Y3,"")</f>
        <v>#VALUE!</v>
      </c>
    </row>
    <row r="180" spans="1:26" ht="21.9" customHeight="1">
      <c r="A180" s="131">
        <f>IF(分析!C106&lt;&gt;"",ROW()-2,"")</f>
        <v>178</v>
      </c>
      <c r="B180" s="132" t="str">
        <f>IF(分析!C106&lt;&gt;"",HYPERLINK("https://kabutan.jp/stock/?code="&amp;分析!C106,"株探"),"")</f>
        <v>株探</v>
      </c>
      <c r="C180" s="133">
        <f>IF(分析!C106&lt;&gt;"",分析!C106,"")</f>
        <v>6323</v>
      </c>
      <c r="D180" s="134" t="str">
        <f>IF(分析!D106&lt;&gt;"",分析!D106,"")</f>
        <v/>
      </c>
      <c r="E180" s="135" t="str">
        <f>IF(分析!E106&lt;&gt;"",分析!E106,"")</f>
        <v/>
      </c>
      <c r="F180" s="136" t="str">
        <f>IF(分析!F106&lt;&gt;"",分析!F106,"")</f>
        <v/>
      </c>
      <c r="G180" s="136" t="str">
        <f>IF(分析!H106&lt;&gt;"",分析!H106,"")</f>
        <v/>
      </c>
      <c r="H180" s="136" t="str">
        <f>IF(分析!I106&lt;&gt;"",分析!I106,"")</f>
        <v/>
      </c>
      <c r="I180" s="136" t="str">
        <f>IF(分析!J106&lt;&gt;"",分析!J106,"")</f>
        <v/>
      </c>
      <c r="J180" s="136">
        <f>IF(分析!AB106&lt;&gt;"",分析!AB106,"")</f>
        <v>4322.7443991853352</v>
      </c>
      <c r="K180" s="136">
        <f>IF(分析!AC106&lt;&gt;"",分析!AC106,"")</f>
        <v>4262.4326579261015</v>
      </c>
      <c r="L180" s="136" t="str">
        <f>IF(分析!K106&lt;&gt;"",分析!K106,"")</f>
        <v/>
      </c>
      <c r="M180" s="131" t="str">
        <f>IF(分析!P106&lt;&gt;"",分析!P106,"")</f>
        <v/>
      </c>
      <c r="N180" s="137" t="str">
        <f>IF(分析!O106&lt;&gt;"",分析!O106,"")</f>
        <v/>
      </c>
      <c r="O180" s="138">
        <f>IF(分析!X106&lt;&gt;"",分析!X106,"")</f>
        <v>16.965391519628611</v>
      </c>
      <c r="P180" s="139" t="str">
        <f>IF(分析!L106&lt;&gt;"",分析!L106,"")</f>
        <v/>
      </c>
      <c r="Q180" s="136" t="str">
        <f>IF(分析!S106&lt;&gt;"",分析!S106,"")</f>
        <v/>
      </c>
      <c r="R180" s="136" t="str">
        <f>IF(分析!R106&lt;&gt;"",分析!R106,"")</f>
        <v/>
      </c>
      <c r="S180" s="131" t="str">
        <f>IF(分析!AA106&lt;&gt;"",分析!AA106,"")</f>
        <v/>
      </c>
      <c r="T180" s="140" t="str">
        <f>IF(分析!Z106&lt;&gt;"",分析!Z106,"")</f>
        <v/>
      </c>
      <c r="U180" s="131" t="str">
        <f>IF(分析!V106&lt;&gt;"",分析!V106,"")</f>
        <v/>
      </c>
      <c r="V180" s="141">
        <f>IF(分析!W106&lt;&gt;"",分析!W106,"")</f>
        <v>51.844660194174757</v>
      </c>
      <c r="W180" s="142" t="str">
        <f>IF(分析!AD106&lt;&gt;"",分析!AD106,"")</f>
        <v>パーフェクト▲</v>
      </c>
      <c r="X180" s="143" t="e">
        <f>IF(分析!AE106&lt;&gt;"",分析!AE106,"")</f>
        <v>#VALUE!</v>
      </c>
      <c r="Y180" s="144">
        <f>IF(分析!T106&lt;&gt;"",分析!T106,"")</f>
        <v>0</v>
      </c>
      <c r="Z180" s="145" t="e">
        <f>IF(分析!Y106&lt;&gt;"",分析!Y106,"")</f>
        <v>#VALUE!</v>
      </c>
    </row>
    <row r="181" spans="1:26" ht="21.9" customHeight="1">
      <c r="A181" s="131">
        <f>IF(分析!C162&lt;&gt;"",ROW()-2,"")</f>
        <v>179</v>
      </c>
      <c r="B181" s="132" t="str">
        <f>IF(分析!C162&lt;&gt;"",HYPERLINK("https://kabutan.jp/stock/?code="&amp;分析!C162,"株探"),"")</f>
        <v>株探</v>
      </c>
      <c r="C181" s="133">
        <f>IF(分析!C162&lt;&gt;"",分析!C162,"")</f>
        <v>4422</v>
      </c>
      <c r="D181" s="134" t="str">
        <f>IF(分析!D162&lt;&gt;"",分析!D162,"")</f>
        <v/>
      </c>
      <c r="E181" s="135" t="str">
        <f>IF(分析!E162&lt;&gt;"",分析!E162,"")</f>
        <v/>
      </c>
      <c r="F181" s="136" t="str">
        <f>IF(分析!F162&lt;&gt;"",分析!F162,"")</f>
        <v/>
      </c>
      <c r="G181" s="136" t="str">
        <f>IF(分析!H162&lt;&gt;"",分析!H162,"")</f>
        <v/>
      </c>
      <c r="H181" s="136" t="str">
        <f>IF(分析!I162&lt;&gt;"",分析!I162,"")</f>
        <v/>
      </c>
      <c r="I181" s="136" t="str">
        <f>IF(分析!J162&lt;&gt;"",分析!J162,"")</f>
        <v/>
      </c>
      <c r="J181" s="136">
        <f>IF(分析!AB162&lt;&gt;"",分析!AB162,"")</f>
        <v>1261.1089613034624</v>
      </c>
      <c r="K181" s="136">
        <f>IF(分析!AC162&lt;&gt;"",分析!AC162,"")</f>
        <v>1223.3969010727055</v>
      </c>
      <c r="L181" s="136" t="str">
        <f>IF(分析!K162&lt;&gt;"",分析!K162,"")</f>
        <v/>
      </c>
      <c r="M181" s="131" t="str">
        <f>IF(分析!P162&lt;&gt;"",分析!P162,"")</f>
        <v/>
      </c>
      <c r="N181" s="137" t="str">
        <f>IF(分析!O162&lt;&gt;"",分析!O162,"")</f>
        <v/>
      </c>
      <c r="O181" s="138">
        <f>IF(分析!X162&lt;&gt;"",分析!X162,"")</f>
        <v>-8.7587396861154048</v>
      </c>
      <c r="P181" s="139" t="str">
        <f>IF(分析!L162&lt;&gt;"",分析!L162,"")</f>
        <v/>
      </c>
      <c r="Q181" s="136" t="str">
        <f>IF(分析!S162&lt;&gt;"",分析!S162,"")</f>
        <v/>
      </c>
      <c r="R181" s="136" t="str">
        <f>IF(分析!R162&lt;&gt;"",分析!R162,"")</f>
        <v/>
      </c>
      <c r="S181" s="131" t="str">
        <f>IF(分析!AA162&lt;&gt;"",分析!AA162,"")</f>
        <v/>
      </c>
      <c r="T181" s="140" t="str">
        <f>IF(分析!Z162&lt;&gt;"",分析!Z162,"")</f>
        <v/>
      </c>
      <c r="U181" s="131" t="str">
        <f>IF(分析!V162&lt;&gt;"",分析!V162,"")</f>
        <v/>
      </c>
      <c r="V181" s="141">
        <f>IF(分析!W162&lt;&gt;"",分析!W162,"")</f>
        <v>49.468085106382979</v>
      </c>
      <c r="W181" s="142" t="str">
        <f>IF(分析!AD162&lt;&gt;"",分析!AD162,"")</f>
        <v>パーフェクト▲</v>
      </c>
      <c r="X181" s="143" t="e">
        <f>IF(分析!AE162&lt;&gt;"",分析!AE162,"")</f>
        <v>#VALUE!</v>
      </c>
      <c r="Y181" s="144">
        <f>IF(分析!T162&lt;&gt;"",分析!T162,"")</f>
        <v>0</v>
      </c>
      <c r="Z181" s="145" t="e">
        <f>IF(分析!Y162&lt;&gt;"",分析!Y162,"")</f>
        <v>#VALUE!</v>
      </c>
    </row>
    <row r="182" spans="1:26" ht="21.9" customHeight="1">
      <c r="A182" s="146">
        <f>IF(分析!C31&lt;&gt;"",ROW()-2,"")</f>
        <v>180</v>
      </c>
      <c r="B182" s="147" t="str">
        <f>IF(分析!C31&lt;&gt;"",HYPERLINK("https://kabutan.jp/stock/?code="&amp;分析!C31,"株探"),"")</f>
        <v>株探</v>
      </c>
      <c r="C182" s="148">
        <f>IF(分析!C31&lt;&gt;"",分析!C31,"")</f>
        <v>8934</v>
      </c>
      <c r="D182" s="149" t="str">
        <f>IF(分析!D31&lt;&gt;"",分析!D31,"")</f>
        <v/>
      </c>
      <c r="E182" s="150" t="str">
        <f>IF(分析!E31&lt;&gt;"",分析!E31,"")</f>
        <v/>
      </c>
      <c r="F182" s="151" t="str">
        <f>IF(分析!F31&lt;&gt;"",分析!F31,"")</f>
        <v/>
      </c>
      <c r="G182" s="151" t="str">
        <f>IF(分析!H31&lt;&gt;"",分析!H31,"")</f>
        <v/>
      </c>
      <c r="H182" s="151" t="str">
        <f>IF(分析!I31&lt;&gt;"",分析!I31,"")</f>
        <v/>
      </c>
      <c r="I182" s="151" t="str">
        <f>IF(分析!J31&lt;&gt;"",分析!J31,"")</f>
        <v/>
      </c>
      <c r="J182" s="151">
        <f>IF(分析!AB31&lt;&gt;"",分析!AB31,"")</f>
        <v>1798.7866598778</v>
      </c>
      <c r="K182" s="151">
        <f>IF(分析!AC31&lt;&gt;"",分析!AC31,"")</f>
        <v>1707.5005959475559</v>
      </c>
      <c r="L182" s="151" t="str">
        <f>IF(分析!K31&lt;&gt;"",分析!K31,"")</f>
        <v/>
      </c>
      <c r="M182" s="146" t="str">
        <f>IF(分析!P31&lt;&gt;"",分析!P31,"")</f>
        <v/>
      </c>
      <c r="N182" s="152" t="str">
        <f>IF(分析!O31&lt;&gt;"",分析!O31,"")</f>
        <v/>
      </c>
      <c r="O182" s="153">
        <f>IF(分析!X31&lt;&gt;"",分析!X31,"")</f>
        <v>19.651533002441283</v>
      </c>
      <c r="P182" s="154" t="str">
        <f>IF(分析!L31&lt;&gt;"",分析!L31,"")</f>
        <v/>
      </c>
      <c r="Q182" s="151" t="str">
        <f>IF(分析!S31&lt;&gt;"",分析!S31,"")</f>
        <v/>
      </c>
      <c r="R182" s="151" t="str">
        <f>IF(分析!R31&lt;&gt;"",分析!R31,"")</f>
        <v/>
      </c>
      <c r="S182" s="146" t="str">
        <f>IF(分析!AA31&lt;&gt;"",分析!AA31,"")</f>
        <v/>
      </c>
      <c r="T182" s="155" t="str">
        <f>IF(分析!Z31&lt;&gt;"",分析!Z31,"")</f>
        <v/>
      </c>
      <c r="U182" s="146" t="str">
        <f>IF(分析!V31&lt;&gt;"",分析!V31,"")</f>
        <v/>
      </c>
      <c r="V182" s="156">
        <f>IF(分析!W31&lt;&gt;"",分析!W31,"")</f>
        <v>69.444444444444443</v>
      </c>
      <c r="W182" s="157" t="str">
        <f>IF(分析!AD31&lt;&gt;"",分析!AD31,"")</f>
        <v>パーフェクト▲</v>
      </c>
      <c r="X182" s="158" t="e">
        <f>IF(分析!AE31&lt;&gt;"",分析!AE31,"")</f>
        <v>#VALUE!</v>
      </c>
      <c r="Y182" s="159">
        <f>IF(分析!T31&lt;&gt;"",分析!T31,"")</f>
        <v>0</v>
      </c>
      <c r="Z182" s="145" t="e">
        <f>IF(分析!Y31&lt;&gt;"",分析!Y31,"")</f>
        <v>#VALUE!</v>
      </c>
    </row>
    <row r="183" spans="1:26" ht="21.9" customHeight="1">
      <c r="A183" s="131">
        <f>IF(分析!C10&lt;&gt;"",ROW()-2,"")</f>
        <v>181</v>
      </c>
      <c r="B183" s="132" t="str">
        <f>IF(分析!C10&lt;&gt;"",HYPERLINK("https://kabutan.jp/stock/?code="&amp;分析!C10,"株探"),"")</f>
        <v>株探</v>
      </c>
      <c r="C183" s="133">
        <f>IF(分析!C10&lt;&gt;"",分析!C10,"")</f>
        <v>9733</v>
      </c>
      <c r="D183" s="134" t="str">
        <f>IF(分析!D10&lt;&gt;"",分析!D10,"")</f>
        <v/>
      </c>
      <c r="E183" s="135" t="str">
        <f>IF(分析!E10&lt;&gt;"",分析!E10,"")</f>
        <v/>
      </c>
      <c r="F183" s="136" t="str">
        <f>IF(分析!F10&lt;&gt;"",分析!F10,"")</f>
        <v/>
      </c>
      <c r="G183" s="136" t="str">
        <f>IF(分析!H10&lt;&gt;"",分析!H10,"")</f>
        <v/>
      </c>
      <c r="H183" s="136" t="str">
        <f>IF(分析!I10&lt;&gt;"",分析!I10,"")</f>
        <v/>
      </c>
      <c r="I183" s="136" t="str">
        <f>IF(分析!J10&lt;&gt;"",分析!J10,"")</f>
        <v/>
      </c>
      <c r="J183" s="136">
        <f>IF(分析!AB10&lt;&gt;"",分析!AB10,"")</f>
        <v>3422.0091649694496</v>
      </c>
      <c r="K183" s="136">
        <f>IF(分析!AC10&lt;&gt;"",分析!AC10,"")</f>
        <v>3383.3492252681758</v>
      </c>
      <c r="L183" s="136" t="str">
        <f>IF(分析!K10&lt;&gt;"",分析!K10,"")</f>
        <v/>
      </c>
      <c r="M183" s="131" t="str">
        <f>IF(分析!P10&lt;&gt;"",分析!P10,"")</f>
        <v/>
      </c>
      <c r="N183" s="137" t="str">
        <f>IF(分析!O10&lt;&gt;"",分析!O10,"")</f>
        <v/>
      </c>
      <c r="O183" s="138">
        <f>IF(分析!X10&lt;&gt;"",分析!X10,"")</f>
        <v>20.074387336361269</v>
      </c>
      <c r="P183" s="139" t="str">
        <f>IF(分析!L10&lt;&gt;"",分析!L10,"")</f>
        <v/>
      </c>
      <c r="Q183" s="136" t="str">
        <f>IF(分析!S10&lt;&gt;"",分析!S10,"")</f>
        <v/>
      </c>
      <c r="R183" s="136" t="str">
        <f>IF(分析!R10&lt;&gt;"",分析!R10,"")</f>
        <v/>
      </c>
      <c r="S183" s="131" t="str">
        <f>IF(分析!AA10&lt;&gt;"",分析!AA10,"")</f>
        <v/>
      </c>
      <c r="T183" s="140" t="str">
        <f>IF(分析!Z10&lt;&gt;"",分析!Z10,"")</f>
        <v/>
      </c>
      <c r="U183" s="131" t="str">
        <f>IF(分析!V10&lt;&gt;"",分析!V10,"")</f>
        <v/>
      </c>
      <c r="V183" s="141">
        <f>IF(分析!W10&lt;&gt;"",分析!W10,"")</f>
        <v>70.383275261324044</v>
      </c>
      <c r="W183" s="142" t="str">
        <f>IF(分析!AD10&lt;&gt;"",分析!AD10,"")</f>
        <v>パーフェクト▲</v>
      </c>
      <c r="X183" s="143" t="e">
        <f>IF(分析!AE10&lt;&gt;"",分析!AE10,"")</f>
        <v>#VALUE!</v>
      </c>
      <c r="Y183" s="144">
        <f>IF(分析!T10&lt;&gt;"",分析!T10,"")</f>
        <v>0</v>
      </c>
      <c r="Z183" s="145" t="e">
        <f>IF(分析!Y10&lt;&gt;"",分析!Y10,"")</f>
        <v>#VALUE!</v>
      </c>
    </row>
    <row r="184" spans="1:26" ht="21.9" customHeight="1">
      <c r="A184" s="131">
        <f>IF(分析!C16&lt;&gt;"",ROW()-2,"")</f>
        <v>182</v>
      </c>
      <c r="B184" s="132" t="str">
        <f>IF(分析!C16&lt;&gt;"",HYPERLINK("https://kabutan.jp/stock/?code="&amp;分析!C16,"株探"),"")</f>
        <v>株探</v>
      </c>
      <c r="C184" s="133">
        <f>IF(分析!C16&lt;&gt;"",分析!C16,"")</f>
        <v>9506</v>
      </c>
      <c r="D184" s="134" t="str">
        <f>IF(分析!D16&lt;&gt;"",分析!D16,"")</f>
        <v/>
      </c>
      <c r="E184" s="135" t="str">
        <f>IF(分析!E16&lt;&gt;"",分析!E16,"")</f>
        <v/>
      </c>
      <c r="F184" s="136" t="str">
        <f>IF(分析!F16&lt;&gt;"",分析!F16,"")</f>
        <v/>
      </c>
      <c r="G184" s="136" t="str">
        <f>IF(分析!H16&lt;&gt;"",分析!H16,"")</f>
        <v/>
      </c>
      <c r="H184" s="136" t="str">
        <f>IF(分析!I16&lt;&gt;"",分析!I16,"")</f>
        <v/>
      </c>
      <c r="I184" s="136" t="str">
        <f>IF(分析!J16&lt;&gt;"",分析!J16,"")</f>
        <v/>
      </c>
      <c r="J184" s="136">
        <f>IF(分析!AB16&lt;&gt;"",分析!AB16,"")</f>
        <v>1683.211812627291</v>
      </c>
      <c r="K184" s="136">
        <f>IF(分析!AC16&lt;&gt;"",分析!AC16,"")</f>
        <v>1652.9713945172814</v>
      </c>
      <c r="L184" s="136" t="str">
        <f>IF(分析!K16&lt;&gt;"",分析!K16,"")</f>
        <v/>
      </c>
      <c r="M184" s="131" t="str">
        <f>IF(分析!P16&lt;&gt;"",分析!P16,"")</f>
        <v/>
      </c>
      <c r="N184" s="137" t="str">
        <f>IF(分析!O16&lt;&gt;"",分析!O16,"")</f>
        <v/>
      </c>
      <c r="O184" s="138">
        <f>IF(分析!X16&lt;&gt;"",分析!X16,"")</f>
        <v>10.777464486007602</v>
      </c>
      <c r="P184" s="139" t="str">
        <f>IF(分析!L16&lt;&gt;"",分析!L16,"")</f>
        <v/>
      </c>
      <c r="Q184" s="136" t="str">
        <f>IF(分析!S16&lt;&gt;"",分析!S16,"")</f>
        <v/>
      </c>
      <c r="R184" s="136" t="str">
        <f>IF(分析!R16&lt;&gt;"",分析!R16,"")</f>
        <v/>
      </c>
      <c r="S184" s="131" t="str">
        <f>IF(分析!AA16&lt;&gt;"",分析!AA16,"")</f>
        <v/>
      </c>
      <c r="T184" s="140" t="str">
        <f>IF(分析!Z16&lt;&gt;"",分析!Z16,"")</f>
        <v/>
      </c>
      <c r="U184" s="131" t="str">
        <f>IF(分析!V16&lt;&gt;"",分析!V16,"")</f>
        <v/>
      </c>
      <c r="V184" s="141">
        <f>IF(分析!W16&lt;&gt;"",分析!W16,"")</f>
        <v>86.147186147186147</v>
      </c>
      <c r="W184" s="142" t="str">
        <f>IF(分析!AD16&lt;&gt;"",分析!AD16,"")</f>
        <v>パーフェクト▲</v>
      </c>
      <c r="X184" s="143" t="e">
        <f>IF(分析!AE16&lt;&gt;"",分析!AE16,"")</f>
        <v>#VALUE!</v>
      </c>
      <c r="Y184" s="144">
        <f>IF(分析!T16&lt;&gt;"",分析!T16,"")</f>
        <v>0</v>
      </c>
      <c r="Z184" s="145" t="e">
        <f>IF(分析!Y16&lt;&gt;"",分析!Y16,"")</f>
        <v>#VALUE!</v>
      </c>
    </row>
    <row r="185" spans="1:26" ht="21.9" customHeight="1">
      <c r="A185" s="131">
        <f>IF(分析!C148&lt;&gt;"",ROW()-2,"")</f>
        <v>183</v>
      </c>
      <c r="B185" s="132" t="str">
        <f>IF(分析!C148&lt;&gt;"",HYPERLINK("https://kabutan.jp/stock/?code="&amp;分析!C148,"株探"),"")</f>
        <v>株探</v>
      </c>
      <c r="C185" s="133">
        <f>IF(分析!C148&lt;&gt;"",分析!C148,"")</f>
        <v>5019</v>
      </c>
      <c r="D185" s="134" t="str">
        <f>IF(分析!D148&lt;&gt;"",分析!D148,"")</f>
        <v/>
      </c>
      <c r="E185" s="135" t="str">
        <f>IF(分析!E148&lt;&gt;"",分析!E148,"")</f>
        <v/>
      </c>
      <c r="F185" s="136" t="str">
        <f>IF(分析!F148&lt;&gt;"",分析!F148,"")</f>
        <v/>
      </c>
      <c r="G185" s="136" t="str">
        <f>IF(分析!H148&lt;&gt;"",分析!H148,"")</f>
        <v/>
      </c>
      <c r="H185" s="136" t="str">
        <f>IF(分析!I148&lt;&gt;"",分析!I148,"")</f>
        <v/>
      </c>
      <c r="I185" s="136" t="str">
        <f>IF(分析!J148&lt;&gt;"",分析!J148,"")</f>
        <v/>
      </c>
      <c r="J185" s="136">
        <f>IF(分析!AB148&lt;&gt;"",分析!AB148,"")</f>
        <v>5022.9124236252546</v>
      </c>
      <c r="K185" s="136">
        <f>IF(分析!AC148&lt;&gt;"",分析!AC148,"")</f>
        <v>4814.5244338498187</v>
      </c>
      <c r="L185" s="136" t="str">
        <f>IF(分析!K148&lt;&gt;"",分析!K148,"")</f>
        <v/>
      </c>
      <c r="M185" s="131" t="str">
        <f>IF(分析!P148&lt;&gt;"",分析!P148,"")</f>
        <v/>
      </c>
      <c r="N185" s="137" t="str">
        <f>IF(分析!O148&lt;&gt;"",分析!O148,"")</f>
        <v/>
      </c>
      <c r="O185" s="138">
        <f>IF(分析!X148&lt;&gt;"",分析!X148,"")</f>
        <v>-0.55317645747618371</v>
      </c>
      <c r="P185" s="139" t="str">
        <f>IF(分析!L148&lt;&gt;"",分析!L148,"")</f>
        <v/>
      </c>
      <c r="Q185" s="136" t="str">
        <f>IF(分析!S148&lt;&gt;"",分析!S148,"")</f>
        <v/>
      </c>
      <c r="R185" s="136" t="str">
        <f>IF(分析!R148&lt;&gt;"",分析!R148,"")</f>
        <v/>
      </c>
      <c r="S185" s="131" t="str">
        <f>IF(分析!AA148&lt;&gt;"",分析!AA148,"")</f>
        <v/>
      </c>
      <c r="T185" s="140" t="str">
        <f>IF(分析!Z148&lt;&gt;"",分析!Z148,"")</f>
        <v/>
      </c>
      <c r="U185" s="131" t="str">
        <f>IF(分析!V148&lt;&gt;"",分析!V148,"")</f>
        <v/>
      </c>
      <c r="V185" s="141">
        <f>IF(分析!W148&lt;&gt;"",分析!W148,"")</f>
        <v>71.341463414634148</v>
      </c>
      <c r="W185" s="142" t="str">
        <f>IF(分析!AD148&lt;&gt;"",分析!AD148,"")</f>
        <v>パーフェクト▲</v>
      </c>
      <c r="X185" s="143" t="e">
        <f>IF(分析!AE148&lt;&gt;"",分析!AE148,"")</f>
        <v>#VALUE!</v>
      </c>
      <c r="Y185" s="144">
        <f>IF(分析!T148&lt;&gt;"",分析!T148,"")</f>
        <v>0</v>
      </c>
      <c r="Z185" s="145" t="e">
        <f>IF(分析!Y148&lt;&gt;"",分析!Y148,"")</f>
        <v>#VALUE!</v>
      </c>
    </row>
    <row r="186" spans="1:26" ht="21.9" customHeight="1">
      <c r="A186" s="131">
        <f>IF(分析!C202&lt;&gt;"",ROW()-2,"")</f>
        <v>184</v>
      </c>
      <c r="B186" s="132" t="str">
        <f>IF(分析!C202&lt;&gt;"",HYPERLINK("https://kabutan.jp/stock/?code="&amp;分析!C202,"株探"),"")</f>
        <v>株探</v>
      </c>
      <c r="C186" s="133">
        <f>IF(分析!C202&lt;&gt;"",分析!C202,"")</f>
        <v>1925</v>
      </c>
      <c r="D186" s="134" t="str">
        <f>IF(分析!D202&lt;&gt;"",分析!D202,"")</f>
        <v/>
      </c>
      <c r="E186" s="135" t="str">
        <f>IF(分析!E202&lt;&gt;"",分析!E202,"")</f>
        <v/>
      </c>
      <c r="F186" s="136" t="str">
        <f>IF(分析!F202&lt;&gt;"",分析!F202,"")</f>
        <v/>
      </c>
      <c r="G186" s="136" t="str">
        <f>IF(分析!H202&lt;&gt;"",分析!H202,"")</f>
        <v/>
      </c>
      <c r="H186" s="136" t="str">
        <f>IF(分析!I202&lt;&gt;"",分析!I202,"")</f>
        <v/>
      </c>
      <c r="I186" s="136" t="str">
        <f>IF(分析!J202&lt;&gt;"",分析!J202,"")</f>
        <v/>
      </c>
      <c r="J186" s="136">
        <f>IF(分析!AB202&lt;&gt;"",分析!AB202,"")</f>
        <v>6112.206720977596</v>
      </c>
      <c r="K186" s="136">
        <f>IF(分析!AC202&lt;&gt;"",分析!AC202,"")</f>
        <v>6109.8665077473161</v>
      </c>
      <c r="L186" s="136" t="str">
        <f>IF(分析!K202&lt;&gt;"",分析!K202,"")</f>
        <v/>
      </c>
      <c r="M186" s="131" t="str">
        <f>IF(分析!P202&lt;&gt;"",分析!P202,"")</f>
        <v/>
      </c>
      <c r="N186" s="137" t="str">
        <f>IF(分析!O202&lt;&gt;"",分析!O202,"")</f>
        <v/>
      </c>
      <c r="O186" s="138">
        <f>IF(分析!X202&lt;&gt;"",分析!X202,"")</f>
        <v>32.383079458206339</v>
      </c>
      <c r="P186" s="139" t="str">
        <f>IF(分析!L202&lt;&gt;"",分析!L202,"")</f>
        <v/>
      </c>
      <c r="Q186" s="136" t="str">
        <f>IF(分析!S202&lt;&gt;"",分析!S202,"")</f>
        <v/>
      </c>
      <c r="R186" s="136" t="str">
        <f>IF(分析!R202&lt;&gt;"",分析!R202,"")</f>
        <v/>
      </c>
      <c r="S186" s="131" t="str">
        <f>IF(分析!AA202&lt;&gt;"",分析!AA202,"")</f>
        <v/>
      </c>
      <c r="T186" s="140" t="str">
        <f>IF(分析!Z202&lt;&gt;"",分析!Z202,"")</f>
        <v/>
      </c>
      <c r="U186" s="131" t="str">
        <f>IF(分析!V202&lt;&gt;"",分析!V202,"")</f>
        <v/>
      </c>
      <c r="V186" s="141">
        <f>IF(分析!W202&lt;&gt;"",分析!W202,"")</f>
        <v>75.670103092783506</v>
      </c>
      <c r="W186" s="142" t="str">
        <f>IF(分析!AD202&lt;&gt;"",分析!AD202,"")</f>
        <v>パーフェクト▲</v>
      </c>
      <c r="X186" s="143" t="e">
        <f>IF(分析!AE202&lt;&gt;"",分析!AE202,"")</f>
        <v>#VALUE!</v>
      </c>
      <c r="Y186" s="144">
        <f>IF(分析!T202&lt;&gt;"",分析!T202,"")</f>
        <v>0</v>
      </c>
      <c r="Z186" s="145" t="e">
        <f>IF(分析!Y202&lt;&gt;"",分析!Y202,"")</f>
        <v>#VALUE!</v>
      </c>
    </row>
    <row r="187" spans="1:26" ht="21.9" customHeight="1">
      <c r="A187" s="146">
        <f>IF(分析!C35&lt;&gt;"",ROW()-2,"")</f>
        <v>185</v>
      </c>
      <c r="B187" s="147" t="str">
        <f>IF(分析!C35&lt;&gt;"",HYPERLINK("https://kabutan.jp/stock/?code="&amp;分析!C35,"株探"),"")</f>
        <v>株探</v>
      </c>
      <c r="C187" s="148">
        <f>IF(分析!C35&lt;&gt;"",分析!C35,"")</f>
        <v>8766</v>
      </c>
      <c r="D187" s="149" t="str">
        <f>IF(分析!D35&lt;&gt;"",分析!D35,"")</f>
        <v/>
      </c>
      <c r="E187" s="150" t="str">
        <f>IF(分析!E35&lt;&gt;"",分析!E35,"")</f>
        <v/>
      </c>
      <c r="F187" s="151" t="str">
        <f>IF(分析!F35&lt;&gt;"",分析!F35,"")</f>
        <v/>
      </c>
      <c r="G187" s="151" t="str">
        <f>IF(分析!H35&lt;&gt;"",分析!H35,"")</f>
        <v/>
      </c>
      <c r="H187" s="151" t="str">
        <f>IF(分析!I35&lt;&gt;"",分析!I35,"")</f>
        <v/>
      </c>
      <c r="I187" s="151" t="str">
        <f>IF(分析!J35&lt;&gt;"",分析!J35,"")</f>
        <v/>
      </c>
      <c r="J187" s="151">
        <f>IF(分析!AB35&lt;&gt;"",分析!AB35,"")</f>
        <v>1535.4582484725049</v>
      </c>
      <c r="K187" s="151">
        <f>IF(分析!AC35&lt;&gt;"",分析!AC35,"")</f>
        <v>1508.6382598331338</v>
      </c>
      <c r="L187" s="151" t="str">
        <f>IF(分析!K35&lt;&gt;"",分析!K35,"")</f>
        <v/>
      </c>
      <c r="M187" s="146" t="str">
        <f>IF(分析!P35&lt;&gt;"",分析!P35,"")</f>
        <v/>
      </c>
      <c r="N187" s="152" t="str">
        <f>IF(分析!O35&lt;&gt;"",分析!O35,"")</f>
        <v/>
      </c>
      <c r="O187" s="153">
        <f>IF(分析!X35&lt;&gt;"",分析!X35,"")</f>
        <v>81.08896508901762</v>
      </c>
      <c r="P187" s="154" t="str">
        <f>IF(分析!L35&lt;&gt;"",分析!L35,"")</f>
        <v/>
      </c>
      <c r="Q187" s="151" t="str">
        <f>IF(分析!S35&lt;&gt;"",分析!S35,"")</f>
        <v/>
      </c>
      <c r="R187" s="151" t="str">
        <f>IF(分析!R35&lt;&gt;"",分析!R35,"")</f>
        <v/>
      </c>
      <c r="S187" s="146" t="str">
        <f>IF(分析!AA35&lt;&gt;"",分析!AA35,"")</f>
        <v/>
      </c>
      <c r="T187" s="155" t="str">
        <f>IF(分析!Z35&lt;&gt;"",分析!Z35,"")</f>
        <v/>
      </c>
      <c r="U187" s="146" t="str">
        <f>IF(分析!V35&lt;&gt;"",分析!V35,"")</f>
        <v/>
      </c>
      <c r="V187" s="156">
        <f>IF(分析!W35&lt;&gt;"",分析!W35,"")</f>
        <v>73.811983471074385</v>
      </c>
      <c r="W187" s="157" t="str">
        <f>IF(分析!AD35&lt;&gt;"",分析!AD35,"")</f>
        <v>パーフェクト▲</v>
      </c>
      <c r="X187" s="158" t="e">
        <f>IF(分析!AE35&lt;&gt;"",分析!AE35,"")</f>
        <v>#VALUE!</v>
      </c>
      <c r="Y187" s="159">
        <f>IF(分析!T35&lt;&gt;"",分析!T35,"")</f>
        <v>0</v>
      </c>
      <c r="Z187" s="145" t="e">
        <f>IF(分析!Y35&lt;&gt;"",分析!Y35,"")</f>
        <v>#VALUE!</v>
      </c>
    </row>
    <row r="188" spans="1:26" ht="21.9" customHeight="1">
      <c r="A188" s="146">
        <f>IF(分析!C49&lt;&gt;"",ROW()-2,"")</f>
        <v>186</v>
      </c>
      <c r="B188" s="147" t="str">
        <f>IF(分析!C49&lt;&gt;"",HYPERLINK("https://kabutan.jp/stock/?code="&amp;分析!C49,"株探"),"")</f>
        <v>株探</v>
      </c>
      <c r="C188" s="148">
        <f>IF(分析!C49&lt;&gt;"",分析!C49,"")</f>
        <v>8334</v>
      </c>
      <c r="D188" s="149" t="str">
        <f>IF(分析!D49&lt;&gt;"",分析!D49,"")</f>
        <v/>
      </c>
      <c r="E188" s="150" t="str">
        <f>IF(分析!E49&lt;&gt;"",分析!E49,"")</f>
        <v/>
      </c>
      <c r="F188" s="151" t="str">
        <f>IF(分析!F49&lt;&gt;"",分析!F49,"")</f>
        <v/>
      </c>
      <c r="G188" s="151" t="str">
        <f>IF(分析!H49&lt;&gt;"",分析!H49,"")</f>
        <v/>
      </c>
      <c r="H188" s="151" t="str">
        <f>IF(分析!I49&lt;&gt;"",分析!I49,"")</f>
        <v/>
      </c>
      <c r="I188" s="151" t="str">
        <f>IF(分析!J49&lt;&gt;"",分析!J49,"")</f>
        <v/>
      </c>
      <c r="J188" s="151">
        <f>IF(分析!AB49&lt;&gt;"",分析!AB49,"")</f>
        <v>2519.3910386965376</v>
      </c>
      <c r="K188" s="151">
        <f>IF(分析!AC49&lt;&gt;"",分析!AC49,"")</f>
        <v>2427.0429082240753</v>
      </c>
      <c r="L188" s="151" t="str">
        <f>IF(分析!K49&lt;&gt;"",分析!K49,"")</f>
        <v/>
      </c>
      <c r="M188" s="146" t="str">
        <f>IF(分析!P49&lt;&gt;"",分析!P49,"")</f>
        <v/>
      </c>
      <c r="N188" s="152" t="str">
        <f>IF(分析!O49&lt;&gt;"",分析!O49,"")</f>
        <v/>
      </c>
      <c r="O188" s="153">
        <f>IF(分析!X49&lt;&gt;"",分析!X49,"")</f>
        <v>29.452865598097105</v>
      </c>
      <c r="P188" s="154" t="str">
        <f>IF(分析!L49&lt;&gt;"",分析!L49,"")</f>
        <v/>
      </c>
      <c r="Q188" s="151" t="str">
        <f>IF(分析!S49&lt;&gt;"",分析!S49,"")</f>
        <v/>
      </c>
      <c r="R188" s="151" t="str">
        <f>IF(分析!R49&lt;&gt;"",分析!R49,"")</f>
        <v/>
      </c>
      <c r="S188" s="146" t="str">
        <f>IF(分析!AA49&lt;&gt;"",分析!AA49,"")</f>
        <v/>
      </c>
      <c r="T188" s="155" t="str">
        <f>IF(分析!Z49&lt;&gt;"",分析!Z49,"")</f>
        <v/>
      </c>
      <c r="U188" s="146" t="str">
        <f>IF(分析!V49&lt;&gt;"",分析!V49,"")</f>
        <v/>
      </c>
      <c r="V188" s="156">
        <f>IF(分析!W49&lt;&gt;"",分析!W49,"")</f>
        <v>95.352323838080963</v>
      </c>
      <c r="W188" s="157" t="str">
        <f>IF(分析!AD49&lt;&gt;"",分析!AD49,"")</f>
        <v>パーフェクト▲</v>
      </c>
      <c r="X188" s="158" t="e">
        <f>IF(分析!AE49&lt;&gt;"",分析!AE49,"")</f>
        <v>#VALUE!</v>
      </c>
      <c r="Y188" s="159">
        <f>IF(分析!T49&lt;&gt;"",分析!T49,"")</f>
        <v>0</v>
      </c>
      <c r="Z188" s="145" t="e">
        <f>IF(分析!Y49&lt;&gt;"",分析!Y49,"")</f>
        <v>#VALUE!</v>
      </c>
    </row>
    <row r="189" spans="1:26" ht="21.9" customHeight="1">
      <c r="A189" s="146">
        <f>IF(分析!C89&lt;&gt;"",ROW()-2,"")</f>
        <v>187</v>
      </c>
      <c r="B189" s="147" t="str">
        <f>IF(分析!C89&lt;&gt;"",HYPERLINK("https://kabutan.jp/stock/?code="&amp;分析!C89,"株探"),"")</f>
        <v>株探</v>
      </c>
      <c r="C189" s="148">
        <f>IF(分析!C89&lt;&gt;"",分析!C89,"")</f>
        <v>6754</v>
      </c>
      <c r="D189" s="149" t="str">
        <f>IF(分析!D89&lt;&gt;"",分析!D89,"")</f>
        <v/>
      </c>
      <c r="E189" s="150" t="str">
        <f>IF(分析!E89&lt;&gt;"",分析!E89,"")</f>
        <v/>
      </c>
      <c r="F189" s="151" t="str">
        <f>IF(分析!F89&lt;&gt;"",分析!F89,"")</f>
        <v/>
      </c>
      <c r="G189" s="151" t="str">
        <f>IF(分析!H89&lt;&gt;"",分析!H89,"")</f>
        <v/>
      </c>
      <c r="H189" s="151" t="str">
        <f>IF(分析!I89&lt;&gt;"",分析!I89,"")</f>
        <v/>
      </c>
      <c r="I189" s="151" t="str">
        <f>IF(分析!J89&lt;&gt;"",分析!J89,"")</f>
        <v/>
      </c>
      <c r="J189" s="151">
        <f>IF(分析!AB89&lt;&gt;"",分析!AB89,"")</f>
        <v>4749.9775967413425</v>
      </c>
      <c r="K189" s="151">
        <f>IF(分析!AC89&lt;&gt;"",分析!AC89,"")</f>
        <v>4702.3539928486271</v>
      </c>
      <c r="L189" s="151" t="str">
        <f>IF(分析!K89&lt;&gt;"",分析!K89,"")</f>
        <v/>
      </c>
      <c r="M189" s="146" t="str">
        <f>IF(分析!P89&lt;&gt;"",分析!P89,"")</f>
        <v/>
      </c>
      <c r="N189" s="152" t="str">
        <f>IF(分析!O89&lt;&gt;"",分析!O89,"")</f>
        <v/>
      </c>
      <c r="O189" s="153">
        <f>IF(分析!X89&lt;&gt;"",分析!X89,"")</f>
        <v>-45.317793017803069</v>
      </c>
      <c r="P189" s="154" t="str">
        <f>IF(分析!L89&lt;&gt;"",分析!L89,"")</f>
        <v/>
      </c>
      <c r="Q189" s="151" t="str">
        <f>IF(分析!S89&lt;&gt;"",分析!S89,"")</f>
        <v/>
      </c>
      <c r="R189" s="151" t="str">
        <f>IF(分析!R89&lt;&gt;"",分析!R89,"")</f>
        <v/>
      </c>
      <c r="S189" s="146" t="str">
        <f>IF(分析!AA89&lt;&gt;"",分析!AA89,"")</f>
        <v/>
      </c>
      <c r="T189" s="155" t="str">
        <f>IF(分析!Z89&lt;&gt;"",分析!Z89,"")</f>
        <v/>
      </c>
      <c r="U189" s="146" t="str">
        <f>IF(分析!V89&lt;&gt;"",分析!V89,"")</f>
        <v/>
      </c>
      <c r="V189" s="156">
        <f>IF(分析!W89&lt;&gt;"",分析!W89,"")</f>
        <v>37.678100263852237</v>
      </c>
      <c r="W189" s="157" t="str">
        <f>IF(分析!AD89&lt;&gt;"",分析!AD89,"")</f>
        <v>パーフェクト▲</v>
      </c>
      <c r="X189" s="158" t="e">
        <f>IF(分析!AE89&lt;&gt;"",分析!AE89,"")</f>
        <v>#VALUE!</v>
      </c>
      <c r="Y189" s="159">
        <f>IF(分析!T89&lt;&gt;"",分析!T89,"")</f>
        <v>0</v>
      </c>
      <c r="Z189" s="145" t="e">
        <f>IF(分析!Y89&lt;&gt;"",分析!Y89,"")</f>
        <v>#VALUE!</v>
      </c>
    </row>
    <row r="190" spans="1:26" ht="21.9" customHeight="1">
      <c r="A190" s="131">
        <f>IF(分析!C136&lt;&gt;"",ROW()-2,"")</f>
        <v>188</v>
      </c>
      <c r="B190" s="132" t="str">
        <f>IF(分析!C136&lt;&gt;"",HYPERLINK("https://kabutan.jp/stock/?code="&amp;分析!C136,"株探"),"")</f>
        <v>株探</v>
      </c>
      <c r="C190" s="133">
        <f>IF(分析!C136&lt;&gt;"",分析!C136,"")</f>
        <v>5423</v>
      </c>
      <c r="D190" s="134" t="str">
        <f>IF(分析!D136&lt;&gt;"",分析!D136,"")</f>
        <v/>
      </c>
      <c r="E190" s="135" t="str">
        <f>IF(分析!E136&lt;&gt;"",分析!E136,"")</f>
        <v/>
      </c>
      <c r="F190" s="136" t="str">
        <f>IF(分析!F136&lt;&gt;"",分析!F136,"")</f>
        <v/>
      </c>
      <c r="G190" s="136" t="str">
        <f>IF(分析!H136&lt;&gt;"",分析!H136,"")</f>
        <v/>
      </c>
      <c r="H190" s="136" t="str">
        <f>IF(分析!I136&lt;&gt;"",分析!I136,"")</f>
        <v/>
      </c>
      <c r="I190" s="136" t="str">
        <f>IF(分析!J136&lt;&gt;"",分析!J136,"")</f>
        <v/>
      </c>
      <c r="J190" s="136">
        <f>IF(分析!AB136&lt;&gt;"",分析!AB136,"")</f>
        <v>908.26985743380828</v>
      </c>
      <c r="K190" s="136">
        <f>IF(分析!AC136&lt;&gt;"",分析!AC136,"")</f>
        <v>990.49702026221644</v>
      </c>
      <c r="L190" s="136" t="str">
        <f>IF(分析!K136&lt;&gt;"",分析!K136,"")</f>
        <v/>
      </c>
      <c r="M190" s="131" t="str">
        <f>IF(分析!P136&lt;&gt;"",分析!P136,"")</f>
        <v/>
      </c>
      <c r="N190" s="137" t="str">
        <f>IF(分析!O136&lt;&gt;"",分析!O136,"")</f>
        <v/>
      </c>
      <c r="O190" s="138">
        <f>IF(分析!X136&lt;&gt;"",分析!X136,"")</f>
        <v>4.5107487292982569</v>
      </c>
      <c r="P190" s="139" t="str">
        <f>IF(分析!L136&lt;&gt;"",分析!L136,"")</f>
        <v/>
      </c>
      <c r="Q190" s="136" t="str">
        <f>IF(分析!S136&lt;&gt;"",分析!S136,"")</f>
        <v/>
      </c>
      <c r="R190" s="136" t="str">
        <f>IF(分析!R136&lt;&gt;"",分析!R136,"")</f>
        <v/>
      </c>
      <c r="S190" s="131" t="str">
        <f>IF(分析!AA136&lt;&gt;"",分析!AA136,"")</f>
        <v/>
      </c>
      <c r="T190" s="140" t="str">
        <f>IF(分析!Z136&lt;&gt;"",分析!Z136,"")</f>
        <v/>
      </c>
      <c r="U190" s="131" t="str">
        <f>IF(分析!V136&lt;&gt;"",分析!V136,"")</f>
        <v/>
      </c>
      <c r="V190" s="141">
        <f>IF(分析!W136&lt;&gt;"",分析!W136,"")</f>
        <v>76.646706586826355</v>
      </c>
      <c r="W190" s="142" t="str">
        <f>IF(分析!AD136&lt;&gt;"",分析!AD136,"")</f>
        <v>上昇トレンド▲</v>
      </c>
      <c r="X190" s="143" t="e">
        <f>IF(分析!AE136&lt;&gt;"",分析!AE136,"")</f>
        <v>#VALUE!</v>
      </c>
      <c r="Y190" s="144">
        <f>IF(分析!T136&lt;&gt;"",分析!T136,"")</f>
        <v>0</v>
      </c>
      <c r="Z190" s="145" t="e">
        <f>IF(分析!Y136&lt;&gt;"",分析!Y136,"")</f>
        <v>#VALUE!</v>
      </c>
    </row>
    <row r="191" spans="1:26" ht="21.9" customHeight="1">
      <c r="A191" s="146">
        <f>IF(分析!C179&lt;&gt;"",ROW()-2,"")</f>
        <v>189</v>
      </c>
      <c r="B191" s="147" t="str">
        <f>IF(分析!C179&lt;&gt;"",HYPERLINK("https://kabutan.jp/stock/?code="&amp;分析!C179,"株探"),"")</f>
        <v>株探</v>
      </c>
      <c r="C191" s="148">
        <f>IF(分析!C179&lt;&gt;"",分析!C179,"")</f>
        <v>3861</v>
      </c>
      <c r="D191" s="149" t="str">
        <f>IF(分析!D179&lt;&gt;"",分析!D179,"")</f>
        <v/>
      </c>
      <c r="E191" s="150" t="str">
        <f>IF(分析!E179&lt;&gt;"",分析!E179,"")</f>
        <v/>
      </c>
      <c r="F191" s="151" t="str">
        <f>IF(分析!F179&lt;&gt;"",分析!F179,"")</f>
        <v/>
      </c>
      <c r="G191" s="151" t="str">
        <f>IF(分析!H179&lt;&gt;"",分析!H179,"")</f>
        <v/>
      </c>
      <c r="H191" s="151" t="str">
        <f>IF(分析!I179&lt;&gt;"",分析!I179,"")</f>
        <v/>
      </c>
      <c r="I191" s="151" t="str">
        <f>IF(分析!J179&lt;&gt;"",分析!J179,"")</f>
        <v/>
      </c>
      <c r="J191" s="151">
        <f>IF(分析!AB179&lt;&gt;"",分析!AB179,"")</f>
        <v>905.27810590631361</v>
      </c>
      <c r="K191" s="151">
        <f>IF(分析!AC179&lt;&gt;"",分析!AC179,"")</f>
        <v>888.1249106078659</v>
      </c>
      <c r="L191" s="151" t="str">
        <f>IF(分析!K179&lt;&gt;"",分析!K179,"")</f>
        <v/>
      </c>
      <c r="M191" s="146" t="str">
        <f>IF(分析!P179&lt;&gt;"",分析!P179,"")</f>
        <v/>
      </c>
      <c r="N191" s="152" t="str">
        <f>IF(分析!O179&lt;&gt;"",分析!O179,"")</f>
        <v/>
      </c>
      <c r="O191" s="153">
        <f>IF(分析!X179&lt;&gt;"",分析!X179,"")</f>
        <v>5.4107855468303114</v>
      </c>
      <c r="P191" s="154" t="str">
        <f>IF(分析!L179&lt;&gt;"",分析!L179,"")</f>
        <v/>
      </c>
      <c r="Q191" s="151" t="str">
        <f>IF(分析!S179&lt;&gt;"",分析!S179,"")</f>
        <v/>
      </c>
      <c r="R191" s="151" t="str">
        <f>IF(分析!R179&lt;&gt;"",分析!R179,"")</f>
        <v/>
      </c>
      <c r="S191" s="146" t="str">
        <f>IF(分析!AA179&lt;&gt;"",分析!AA179,"")</f>
        <v/>
      </c>
      <c r="T191" s="155" t="str">
        <f>IF(分析!Z179&lt;&gt;"",分析!Z179,"")</f>
        <v/>
      </c>
      <c r="U191" s="146" t="str">
        <f>IF(分析!V179&lt;&gt;"",分析!V179,"")</f>
        <v/>
      </c>
      <c r="V191" s="156">
        <f>IF(分析!W179&lt;&gt;"",分析!W179,"")</f>
        <v>73.858921161825762</v>
      </c>
      <c r="W191" s="157" t="str">
        <f>IF(分析!AD179&lt;&gt;"",分析!AD179,"")</f>
        <v>パーフェクト▲</v>
      </c>
      <c r="X191" s="158" t="e">
        <f>IF(分析!AE179&lt;&gt;"",分析!AE179,"")</f>
        <v>#VALUE!</v>
      </c>
      <c r="Y191" s="159">
        <f>IF(分析!T179&lt;&gt;"",分析!T179,"")</f>
        <v>0</v>
      </c>
      <c r="Z191" s="145" t="e">
        <f>IF(分析!Y179&lt;&gt;"",分析!Y179,"")</f>
        <v>#VALUE!</v>
      </c>
    </row>
    <row r="192" spans="1:26" ht="21.9" customHeight="1">
      <c r="A192" s="131">
        <f>IF(分析!C92&lt;&gt;"",ROW()-2,"")</f>
        <v>190</v>
      </c>
      <c r="B192" s="132" t="str">
        <f>IF(分析!C92&lt;&gt;"",HYPERLINK("https://kabutan.jp/stock/?code="&amp;分析!C92,"株探"),"")</f>
        <v>株探</v>
      </c>
      <c r="C192" s="133">
        <f>IF(分析!C92&lt;&gt;"",分析!C92,"")</f>
        <v>6740</v>
      </c>
      <c r="D192" s="134" t="str">
        <f>IF(分析!D92&lt;&gt;"",分析!D92,"")</f>
        <v/>
      </c>
      <c r="E192" s="135" t="str">
        <f>IF(分析!E92&lt;&gt;"",分析!E92,"")</f>
        <v/>
      </c>
      <c r="F192" s="136" t="str">
        <f>IF(分析!F92&lt;&gt;"",分析!F92,"")</f>
        <v/>
      </c>
      <c r="G192" s="136" t="str">
        <f>IF(分析!H92&lt;&gt;"",分析!H92,"")</f>
        <v/>
      </c>
      <c r="H192" s="136" t="str">
        <f>IF(分析!I92&lt;&gt;"",分析!I92,"")</f>
        <v/>
      </c>
      <c r="I192" s="136" t="str">
        <f>IF(分析!J92&lt;&gt;"",分析!J92,"")</f>
        <v/>
      </c>
      <c r="J192" s="136">
        <f>IF(分析!AB92&lt;&gt;"",分析!AB92,"")</f>
        <v>1850.9831975560078</v>
      </c>
      <c r="K192" s="136">
        <f>IF(分析!AC92&lt;&gt;"",分析!AC92,"")</f>
        <v>1828.528605482717</v>
      </c>
      <c r="L192" s="136" t="str">
        <f>IF(分析!K92&lt;&gt;"",分析!K92,"")</f>
        <v/>
      </c>
      <c r="M192" s="131" t="str">
        <f>IF(分析!P92&lt;&gt;"",分析!P92,"")</f>
        <v/>
      </c>
      <c r="N192" s="137" t="str">
        <f>IF(分析!O92&lt;&gt;"",分析!O92,"")</f>
        <v/>
      </c>
      <c r="O192" s="138">
        <f>IF(分析!X92&lt;&gt;"",分析!X92,"")</f>
        <v>-0.48625412455867689</v>
      </c>
      <c r="P192" s="139" t="str">
        <f>IF(分析!L92&lt;&gt;"",分析!L92,"")</f>
        <v/>
      </c>
      <c r="Q192" s="136" t="str">
        <f>IF(分析!S92&lt;&gt;"",分析!S92,"")</f>
        <v/>
      </c>
      <c r="R192" s="136" t="str">
        <f>IF(分析!R92&lt;&gt;"",分析!R92,"")</f>
        <v/>
      </c>
      <c r="S192" s="131" t="str">
        <f>IF(分析!AA92&lt;&gt;"",分析!AA92,"")</f>
        <v/>
      </c>
      <c r="T192" s="140" t="str">
        <f>IF(分析!Z92&lt;&gt;"",分析!Z92,"")</f>
        <v/>
      </c>
      <c r="U192" s="131" t="str">
        <f>IF(分析!V92&lt;&gt;"",分析!V92,"")</f>
        <v/>
      </c>
      <c r="V192" s="141">
        <f>IF(分析!W92&lt;&gt;"",分析!W92,"")</f>
        <v>51.162790697674417</v>
      </c>
      <c r="W192" s="142" t="str">
        <f>IF(分析!AD92&lt;&gt;"",分析!AD92,"")</f>
        <v>パーフェクト▲</v>
      </c>
      <c r="X192" s="143" t="e">
        <f>IF(分析!AE92&lt;&gt;"",分析!AE92,"")</f>
        <v>#VALUE!</v>
      </c>
      <c r="Y192" s="144">
        <f>IF(分析!T92&lt;&gt;"",分析!T92,"")</f>
        <v>0</v>
      </c>
      <c r="Z192" s="145" t="e">
        <f>IF(分析!Y92&lt;&gt;"",分析!Y92,"")</f>
        <v>#VALUE!</v>
      </c>
    </row>
    <row r="193" spans="1:26" ht="21.9" customHeight="1">
      <c r="A193" s="131">
        <f>IF(分析!C66&lt;&gt;"",ROW()-2,"")</f>
        <v>191</v>
      </c>
      <c r="B193" s="132" t="str">
        <f>IF(分析!C66&lt;&gt;"",HYPERLINK("https://kabutan.jp/stock/?code="&amp;分析!C66,"株探"),"")</f>
        <v>株探</v>
      </c>
      <c r="C193" s="133">
        <f>IF(分析!C66&lt;&gt;"",分析!C66,"")</f>
        <v>7794</v>
      </c>
      <c r="D193" s="134" t="str">
        <f>IF(分析!D66&lt;&gt;"",分析!D66,"")</f>
        <v/>
      </c>
      <c r="E193" s="135" t="str">
        <f>IF(分析!E66&lt;&gt;"",分析!E66,"")</f>
        <v/>
      </c>
      <c r="F193" s="136" t="str">
        <f>IF(分析!F66&lt;&gt;"",分析!F66,"")</f>
        <v/>
      </c>
      <c r="G193" s="136" t="str">
        <f>IF(分析!H66&lt;&gt;"",分析!H66,"")</f>
        <v/>
      </c>
      <c r="H193" s="136" t="str">
        <f>IF(分析!I66&lt;&gt;"",分析!I66,"")</f>
        <v/>
      </c>
      <c r="I193" s="136" t="str">
        <f>IF(分析!J66&lt;&gt;"",分析!J66,"")</f>
        <v/>
      </c>
      <c r="J193" s="136">
        <f>IF(分析!AB66&lt;&gt;"",分析!AB66,"")</f>
        <v>5604.9877800407321</v>
      </c>
      <c r="K193" s="136">
        <f>IF(分析!AC66&lt;&gt;"",分析!AC66,"")</f>
        <v>5784.7890345649566</v>
      </c>
      <c r="L193" s="136" t="str">
        <f>IF(分析!K66&lt;&gt;"",分析!K66,"")</f>
        <v/>
      </c>
      <c r="M193" s="131" t="str">
        <f>IF(分析!P66&lt;&gt;"",分析!P66,"")</f>
        <v/>
      </c>
      <c r="N193" s="137" t="str">
        <f>IF(分析!O66&lt;&gt;"",分析!O66,"")</f>
        <v/>
      </c>
      <c r="O193" s="138">
        <f>IF(分析!X66&lt;&gt;"",分析!X66,"")</f>
        <v>-8.6758345639009349</v>
      </c>
      <c r="P193" s="139" t="str">
        <f>IF(分析!L66&lt;&gt;"",分析!L66,"")</f>
        <v/>
      </c>
      <c r="Q193" s="136" t="str">
        <f>IF(分析!S66&lt;&gt;"",分析!S66,"")</f>
        <v/>
      </c>
      <c r="R193" s="136" t="str">
        <f>IF(分析!R66&lt;&gt;"",分析!R66,"")</f>
        <v/>
      </c>
      <c r="S193" s="131" t="str">
        <f>IF(分析!AA66&lt;&gt;"",分析!AA66,"")</f>
        <v/>
      </c>
      <c r="T193" s="140" t="str">
        <f>IF(分析!Z66&lt;&gt;"",分析!Z66,"")</f>
        <v/>
      </c>
      <c r="U193" s="131" t="str">
        <f>IF(分析!V66&lt;&gt;"",分析!V66,"")</f>
        <v/>
      </c>
      <c r="V193" s="141">
        <f>IF(分析!W66&lt;&gt;"",分析!W66,"")</f>
        <v>47.109207708779444</v>
      </c>
      <c r="W193" s="142" t="str">
        <f>IF(分析!AD66&lt;&gt;"",分析!AD66,"")</f>
        <v>上昇トレンド▲</v>
      </c>
      <c r="X193" s="143" t="e">
        <f>IF(分析!AE66&lt;&gt;"",分析!AE66,"")</f>
        <v>#VALUE!</v>
      </c>
      <c r="Y193" s="144">
        <f>IF(分析!T66&lt;&gt;"",分析!T66,"")</f>
        <v>0</v>
      </c>
      <c r="Z193" s="145" t="e">
        <f>IF(分析!Y66&lt;&gt;"",分析!Y66,"")</f>
        <v>#VALUE!</v>
      </c>
    </row>
    <row r="194" spans="1:26" ht="21.9" customHeight="1">
      <c r="A194" s="146">
        <f>IF(分析!C67&lt;&gt;"",ROW()-2,"")</f>
        <v>192</v>
      </c>
      <c r="B194" s="147" t="str">
        <f>IF(分析!C67&lt;&gt;"",HYPERLINK("https://kabutan.jp/stock/?code="&amp;分析!C67,"株探"),"")</f>
        <v>株探</v>
      </c>
      <c r="C194" s="148">
        <f>IF(分析!C67&lt;&gt;"",分析!C67,"")</f>
        <v>7746</v>
      </c>
      <c r="D194" s="149" t="str">
        <f>IF(分析!D67&lt;&gt;"",分析!D67,"")</f>
        <v/>
      </c>
      <c r="E194" s="150" t="str">
        <f>IF(分析!E67&lt;&gt;"",分析!E67,"")</f>
        <v/>
      </c>
      <c r="F194" s="151" t="str">
        <f>IF(分析!F67&lt;&gt;"",分析!F67,"")</f>
        <v/>
      </c>
      <c r="G194" s="151" t="str">
        <f>IF(分析!H67&lt;&gt;"",分析!H67,"")</f>
        <v/>
      </c>
      <c r="H194" s="151" t="str">
        <f>IF(分析!I67&lt;&gt;"",分析!I67,"")</f>
        <v/>
      </c>
      <c r="I194" s="151" t="str">
        <f>IF(分析!J67&lt;&gt;"",分析!J67,"")</f>
        <v/>
      </c>
      <c r="J194" s="151">
        <f>IF(分析!AB67&lt;&gt;"",分析!AB67,"")</f>
        <v>3820.7851323828913</v>
      </c>
      <c r="K194" s="151">
        <f>IF(分析!AC67&lt;&gt;"",分析!AC67,"")</f>
        <v>4142.8963051251467</v>
      </c>
      <c r="L194" s="151" t="str">
        <f>IF(分析!K67&lt;&gt;"",分析!K67,"")</f>
        <v/>
      </c>
      <c r="M194" s="146" t="str">
        <f>IF(分析!P67&lt;&gt;"",分析!P67,"")</f>
        <v/>
      </c>
      <c r="N194" s="152" t="str">
        <f>IF(分析!O67&lt;&gt;"",分析!O67,"")</f>
        <v/>
      </c>
      <c r="O194" s="153">
        <f>IF(分析!X67&lt;&gt;"",分析!X67,"")</f>
        <v>-3.6554854142863178</v>
      </c>
      <c r="P194" s="154" t="str">
        <f>IF(分析!L67&lt;&gt;"",分析!L67,"")</f>
        <v/>
      </c>
      <c r="Q194" s="151" t="str">
        <f>IF(分析!S67&lt;&gt;"",分析!S67,"")</f>
        <v/>
      </c>
      <c r="R194" s="151" t="str">
        <f>IF(分析!R67&lt;&gt;"",分析!R67,"")</f>
        <v/>
      </c>
      <c r="S194" s="146" t="str">
        <f>IF(分析!AA67&lt;&gt;"",分析!AA67,"")</f>
        <v/>
      </c>
      <c r="T194" s="155" t="str">
        <f>IF(分析!Z67&lt;&gt;"",分析!Z67,"")</f>
        <v/>
      </c>
      <c r="U194" s="146" t="str">
        <f>IF(分析!V67&lt;&gt;"",分析!V67,"")</f>
        <v/>
      </c>
      <c r="V194" s="156">
        <f>IF(分析!W67&lt;&gt;"",分析!W67,"")</f>
        <v>54.545454545454547</v>
      </c>
      <c r="W194" s="157" t="str">
        <f>IF(分析!AD67&lt;&gt;"",分析!AD67,"")</f>
        <v>上昇トレンド▲</v>
      </c>
      <c r="X194" s="158" t="e">
        <f>IF(分析!AE67&lt;&gt;"",分析!AE67,"")</f>
        <v>#VALUE!</v>
      </c>
      <c r="Y194" s="159">
        <f>IF(分析!T67&lt;&gt;"",分析!T67,"")</f>
        <v>0</v>
      </c>
      <c r="Z194" s="145" t="e">
        <f>IF(分析!Y67&lt;&gt;"",分析!Y67,"")</f>
        <v>#VALUE!</v>
      </c>
    </row>
    <row r="195" spans="1:26" ht="21.9" customHeight="1">
      <c r="A195" s="131">
        <f>IF(分析!C198&lt;&gt;"",ROW()-2,"")</f>
        <v>193</v>
      </c>
      <c r="B195" s="132" t="str">
        <f>IF(分析!C198&lt;&gt;"",HYPERLINK("https://kabutan.jp/stock/?code="&amp;分析!C198,"株探"),"")</f>
        <v>株探</v>
      </c>
      <c r="C195" s="133">
        <f>IF(分析!C198&lt;&gt;"",分析!C198,"")</f>
        <v>1961</v>
      </c>
      <c r="D195" s="134" t="str">
        <f>IF(分析!D198&lt;&gt;"",分析!D198,"")</f>
        <v/>
      </c>
      <c r="E195" s="135" t="str">
        <f>IF(分析!E198&lt;&gt;"",分析!E198,"")</f>
        <v/>
      </c>
      <c r="F195" s="136" t="str">
        <f>IF(分析!F198&lt;&gt;"",分析!F198,"")</f>
        <v/>
      </c>
      <c r="G195" s="136" t="str">
        <f>IF(分析!H198&lt;&gt;"",分析!H198,"")</f>
        <v/>
      </c>
      <c r="H195" s="136" t="str">
        <f>IF(分析!I198&lt;&gt;"",分析!I198,"")</f>
        <v/>
      </c>
      <c r="I195" s="136" t="str">
        <f>IF(分析!J198&lt;&gt;"",分析!J198,"")</f>
        <v/>
      </c>
      <c r="J195" s="136">
        <f>IF(分析!AB198&lt;&gt;"",分析!AB198,"")</f>
        <v>3528.1629327902233</v>
      </c>
      <c r="K195" s="136">
        <f>IF(分析!AC198&lt;&gt;"",分析!AC198,"")</f>
        <v>14426.138259833131</v>
      </c>
      <c r="L195" s="136" t="str">
        <f>IF(分析!K198&lt;&gt;"",分析!K198,"")</f>
        <v/>
      </c>
      <c r="M195" s="131" t="str">
        <f>IF(分析!P198&lt;&gt;"",分析!P198,"")</f>
        <v/>
      </c>
      <c r="N195" s="137" t="str">
        <f>IF(分析!O198&lt;&gt;"",分析!O198,"")</f>
        <v/>
      </c>
      <c r="O195" s="138">
        <f>IF(分析!X198&lt;&gt;"",分析!X198,"")</f>
        <v>-50.825021194956207</v>
      </c>
      <c r="P195" s="139" t="str">
        <f>IF(分析!L198&lt;&gt;"",分析!L198,"")</f>
        <v/>
      </c>
      <c r="Q195" s="136" t="str">
        <f>IF(分析!S198&lt;&gt;"",分析!S198,"")</f>
        <v/>
      </c>
      <c r="R195" s="136" t="str">
        <f>IF(分析!R198&lt;&gt;"",分析!R198,"")</f>
        <v/>
      </c>
      <c r="S195" s="131" t="str">
        <f>IF(分析!AA198&lt;&gt;"",分析!AA198,"")</f>
        <v/>
      </c>
      <c r="T195" s="140" t="str">
        <f>IF(分析!Z198&lt;&gt;"",分析!Z198,"")</f>
        <v/>
      </c>
      <c r="U195" s="131" t="str">
        <f>IF(分析!V198&lt;&gt;"",分析!V198,"")</f>
        <v/>
      </c>
      <c r="V195" s="141">
        <f>IF(分析!W198&lt;&gt;"",分析!W198,"")</f>
        <v>22.782037239868558</v>
      </c>
      <c r="W195" s="142" t="str">
        <f>IF(分析!AD198&lt;&gt;"",分析!AD198,"")</f>
        <v>上昇トレンド▲</v>
      </c>
      <c r="X195" s="143" t="e">
        <f>IF(分析!AE198&lt;&gt;"",分析!AE198,"")</f>
        <v>#VALUE!</v>
      </c>
      <c r="Y195" s="144">
        <f>IF(分析!T198&lt;&gt;"",分析!T198,"")</f>
        <v>0</v>
      </c>
      <c r="Z195" s="145" t="e">
        <f>IF(分析!Y198&lt;&gt;"",分析!Y198,"")</f>
        <v>#VALUE!</v>
      </c>
    </row>
    <row r="196" spans="1:26" ht="21.9" customHeight="1">
      <c r="A196" s="146">
        <f>IF(分析!C199&lt;&gt;"",ROW()-2,"")</f>
        <v>194</v>
      </c>
      <c r="B196" s="147" t="str">
        <f>IF(分析!C199&lt;&gt;"",HYPERLINK("https://kabutan.jp/stock/?code="&amp;分析!C199,"株探"),"")</f>
        <v>株探</v>
      </c>
      <c r="C196" s="148">
        <f>IF(分析!C199&lt;&gt;"",分析!C199,"")</f>
        <v>1942</v>
      </c>
      <c r="D196" s="149" t="str">
        <f>IF(分析!D199&lt;&gt;"",分析!D199,"")</f>
        <v/>
      </c>
      <c r="E196" s="150" t="str">
        <f>IF(分析!E199&lt;&gt;"",分析!E199,"")</f>
        <v/>
      </c>
      <c r="F196" s="151" t="str">
        <f>IF(分析!F199&lt;&gt;"",分析!F199,"")</f>
        <v/>
      </c>
      <c r="G196" s="151" t="str">
        <f>IF(分析!H199&lt;&gt;"",分析!H199,"")</f>
        <v/>
      </c>
      <c r="H196" s="151" t="str">
        <f>IF(分析!I199&lt;&gt;"",分析!I199,"")</f>
        <v/>
      </c>
      <c r="I196" s="151" t="str">
        <f>IF(分析!J199&lt;&gt;"",分析!J199,"")</f>
        <v/>
      </c>
      <c r="J196" s="151">
        <f>IF(分析!AB199&lt;&gt;"",分析!AB199,"")</f>
        <v>5674.0325865580453</v>
      </c>
      <c r="K196" s="151">
        <f>IF(分析!AC199&lt;&gt;"",分析!AC199,"")</f>
        <v>6500.1191895113188</v>
      </c>
      <c r="L196" s="151" t="str">
        <f>IF(分析!K199&lt;&gt;"",分析!K199,"")</f>
        <v/>
      </c>
      <c r="M196" s="146" t="str">
        <f>IF(分析!P199&lt;&gt;"",分析!P199,"")</f>
        <v/>
      </c>
      <c r="N196" s="152" t="str">
        <f>IF(分析!O199&lt;&gt;"",分析!O199,"")</f>
        <v/>
      </c>
      <c r="O196" s="153">
        <f>IF(分析!X199&lt;&gt;"",分析!X199,"")</f>
        <v>-47.827530757563181</v>
      </c>
      <c r="P196" s="154" t="str">
        <f>IF(分析!L199&lt;&gt;"",分析!L199,"")</f>
        <v/>
      </c>
      <c r="Q196" s="151" t="str">
        <f>IF(分析!S199&lt;&gt;"",分析!S199,"")</f>
        <v/>
      </c>
      <c r="R196" s="151" t="str">
        <f>IF(分析!R199&lt;&gt;"",分析!R199,"")</f>
        <v/>
      </c>
      <c r="S196" s="146" t="str">
        <f>IF(分析!AA199&lt;&gt;"",分析!AA199,"")</f>
        <v/>
      </c>
      <c r="T196" s="155" t="str">
        <f>IF(分析!Z199&lt;&gt;"",分析!Z199,"")</f>
        <v/>
      </c>
      <c r="U196" s="146" t="str">
        <f>IF(分析!V199&lt;&gt;"",分析!V199,"")</f>
        <v/>
      </c>
      <c r="V196" s="156">
        <f>IF(分析!W199&lt;&gt;"",分析!W199,"")</f>
        <v>37.981779957953748</v>
      </c>
      <c r="W196" s="157" t="str">
        <f>IF(分析!AD199&lt;&gt;"",分析!AD199,"")</f>
        <v>上昇トレンド▲</v>
      </c>
      <c r="X196" s="158" t="e">
        <f>IF(分析!AE199&lt;&gt;"",分析!AE199,"")</f>
        <v>#VALUE!</v>
      </c>
      <c r="Y196" s="159">
        <f>IF(分析!T199&lt;&gt;"",分析!T199,"")</f>
        <v>0</v>
      </c>
      <c r="Z196" s="145" t="e">
        <f>IF(分析!Y199&lt;&gt;"",分析!Y199,"")</f>
        <v>#VALUE!</v>
      </c>
    </row>
    <row r="197" spans="1:26" ht="21.9" customHeight="1">
      <c r="A197" s="146">
        <f>IF(分析!C19&lt;&gt;"",ROW()-2,"")</f>
        <v>195</v>
      </c>
      <c r="B197" s="147" t="str">
        <f>IF(分析!C19&lt;&gt;"",HYPERLINK("https://kabutan.jp/stock/?code="&amp;分析!C19,"株探"),"")</f>
        <v>株探</v>
      </c>
      <c r="C197" s="148">
        <f>IF(分析!C19&lt;&gt;"",分析!C19,"")</f>
        <v>9449</v>
      </c>
      <c r="D197" s="149" t="str">
        <f>IF(分析!D19&lt;&gt;"",分析!D19,"")</f>
        <v/>
      </c>
      <c r="E197" s="150" t="str">
        <f>IF(分析!E19&lt;&gt;"",分析!E19,"")</f>
        <v/>
      </c>
      <c r="F197" s="151" t="str">
        <f>IF(分析!F19&lt;&gt;"",分析!F19,"")</f>
        <v/>
      </c>
      <c r="G197" s="151" t="str">
        <f>IF(分析!H19&lt;&gt;"",分析!H19,"")</f>
        <v/>
      </c>
      <c r="H197" s="151" t="str">
        <f>IF(分析!I19&lt;&gt;"",分析!I19,"")</f>
        <v/>
      </c>
      <c r="I197" s="151" t="str">
        <f>IF(分析!J19&lt;&gt;"",分析!J19,"")</f>
        <v/>
      </c>
      <c r="J197" s="151">
        <f>IF(分析!AB19&lt;&gt;"",分析!AB19,"")</f>
        <v>7820.4490835030538</v>
      </c>
      <c r="K197" s="151">
        <f>IF(分析!AC19&lt;&gt;"",分析!AC19,"")</f>
        <v>8175.7091775923691</v>
      </c>
      <c r="L197" s="151" t="str">
        <f>IF(分析!K19&lt;&gt;"",分析!K19,"")</f>
        <v/>
      </c>
      <c r="M197" s="146" t="str">
        <f>IF(分析!P19&lt;&gt;"",分析!P19,"")</f>
        <v/>
      </c>
      <c r="N197" s="152" t="str">
        <f>IF(分析!O19&lt;&gt;"",分析!O19,"")</f>
        <v/>
      </c>
      <c r="O197" s="153">
        <f>IF(分析!X19&lt;&gt;"",分析!X19,"")</f>
        <v>105.42852224376293</v>
      </c>
      <c r="P197" s="154" t="str">
        <f>IF(分析!L19&lt;&gt;"",分析!L19,"")</f>
        <v/>
      </c>
      <c r="Q197" s="151" t="str">
        <f>IF(分析!S19&lt;&gt;"",分析!S19,"")</f>
        <v/>
      </c>
      <c r="R197" s="151" t="str">
        <f>IF(分析!R19&lt;&gt;"",分析!R19,"")</f>
        <v/>
      </c>
      <c r="S197" s="146" t="str">
        <f>IF(分析!AA19&lt;&gt;"",分析!AA19,"")</f>
        <v/>
      </c>
      <c r="T197" s="155" t="str">
        <f>IF(分析!Z19&lt;&gt;"",分析!Z19,"")</f>
        <v/>
      </c>
      <c r="U197" s="146" t="str">
        <f>IF(分析!V19&lt;&gt;"",分析!V19,"")</f>
        <v/>
      </c>
      <c r="V197" s="156">
        <f>IF(分析!W19&lt;&gt;"",分析!W19,"")</f>
        <v>92.020725388601036</v>
      </c>
      <c r="W197" s="157" t="str">
        <f>IF(分析!AD19&lt;&gt;"",分析!AD19,"")</f>
        <v>上昇トレンド▲</v>
      </c>
      <c r="X197" s="158" t="e">
        <f>IF(分析!AE19&lt;&gt;"",分析!AE19,"")</f>
        <v>#VALUE!</v>
      </c>
      <c r="Y197" s="159">
        <f>IF(分析!T19&lt;&gt;"",分析!T19,"")</f>
        <v>0</v>
      </c>
      <c r="Z197" s="145" t="e">
        <f>IF(分析!Y19&lt;&gt;"",分析!Y19,"")</f>
        <v>#VALUE!</v>
      </c>
    </row>
    <row r="198" spans="1:26" ht="21.9" customHeight="1">
      <c r="A198" s="131">
        <f>IF(分析!C168&lt;&gt;"",ROW()-2,"")</f>
        <v>196</v>
      </c>
      <c r="B198" s="132" t="str">
        <f>IF(分析!C168&lt;&gt;"",HYPERLINK("https://kabutan.jp/stock/?code="&amp;分析!C168,"株探"),"")</f>
        <v>株探</v>
      </c>
      <c r="C198" s="133">
        <f>IF(分析!C168&lt;&gt;"",分析!C168,"")</f>
        <v>4182</v>
      </c>
      <c r="D198" s="134" t="str">
        <f>IF(分析!D168&lt;&gt;"",分析!D168,"")</f>
        <v/>
      </c>
      <c r="E198" s="135" t="str">
        <f>IF(分析!E168&lt;&gt;"",分析!E168,"")</f>
        <v/>
      </c>
      <c r="F198" s="136" t="str">
        <f>IF(分析!F168&lt;&gt;"",分析!F168,"")</f>
        <v/>
      </c>
      <c r="G198" s="136" t="str">
        <f>IF(分析!H168&lt;&gt;"",分析!H168,"")</f>
        <v/>
      </c>
      <c r="H198" s="136" t="str">
        <f>IF(分析!I168&lt;&gt;"",分析!I168,"")</f>
        <v/>
      </c>
      <c r="I198" s="136" t="str">
        <f>IF(分析!J168&lt;&gt;"",分析!J168,"")</f>
        <v/>
      </c>
      <c r="J198" s="136">
        <f>IF(分析!AB168&lt;&gt;"",分析!AB168,"")</f>
        <v>1112.0254582484722</v>
      </c>
      <c r="K198" s="136">
        <f>IF(分析!AC168&lt;&gt;"",分析!AC168,"")</f>
        <v>1086.7723480333727</v>
      </c>
      <c r="L198" s="136" t="str">
        <f>IF(分析!K168&lt;&gt;"",分析!K168,"")</f>
        <v/>
      </c>
      <c r="M198" s="131" t="str">
        <f>IF(分析!P168&lt;&gt;"",分析!P168,"")</f>
        <v/>
      </c>
      <c r="N198" s="137" t="str">
        <f>IF(分析!O168&lt;&gt;"",分析!O168,"")</f>
        <v/>
      </c>
      <c r="O198" s="138">
        <f>IF(分析!X168&lt;&gt;"",分析!X168,"")</f>
        <v>-85.765577796440084</v>
      </c>
      <c r="P198" s="139" t="str">
        <f>IF(分析!L168&lt;&gt;"",分析!L168,"")</f>
        <v/>
      </c>
      <c r="Q198" s="136" t="str">
        <f>IF(分析!S168&lt;&gt;"",分析!S168,"")</f>
        <v/>
      </c>
      <c r="R198" s="136" t="str">
        <f>IF(分析!R168&lt;&gt;"",分析!R168,"")</f>
        <v/>
      </c>
      <c r="S198" s="131" t="str">
        <f>IF(分析!AA168&lt;&gt;"",分析!AA168,"")</f>
        <v/>
      </c>
      <c r="T198" s="140" t="str">
        <f>IF(分析!Z168&lt;&gt;"",分析!Z168,"")</f>
        <v/>
      </c>
      <c r="U198" s="131" t="str">
        <f>IF(分析!V168&lt;&gt;"",分析!V168,"")</f>
        <v/>
      </c>
      <c r="V198" s="141">
        <f>IF(分析!W168&lt;&gt;"",分析!W168,"")</f>
        <v>33.900441083805916</v>
      </c>
      <c r="W198" s="142" t="str">
        <f>IF(分析!AD168&lt;&gt;"",分析!AD168,"")</f>
        <v>パーフェクト▲</v>
      </c>
      <c r="X198" s="143" t="e">
        <f>IF(分析!AE168&lt;&gt;"",分析!AE168,"")</f>
        <v>#VALUE!</v>
      </c>
      <c r="Y198" s="144">
        <f>IF(分析!T168&lt;&gt;"",分析!T168,"")</f>
        <v>0</v>
      </c>
      <c r="Z198" s="145" t="e">
        <f>IF(分析!Y168&lt;&gt;"",分析!Y168,"")</f>
        <v>#VALUE!</v>
      </c>
    </row>
    <row r="199" spans="1:26" ht="21.9" customHeight="1">
      <c r="A199" s="131">
        <f>IF(分析!C200&lt;&gt;"",ROW()-2,"")</f>
        <v>197</v>
      </c>
      <c r="B199" s="132" t="str">
        <f>IF(分析!C200&lt;&gt;"",HYPERLINK("https://kabutan.jp/stock/?code="&amp;分析!C200,"株探"),"")</f>
        <v>株探</v>
      </c>
      <c r="C199" s="133">
        <f>IF(分析!C200&lt;&gt;"",分析!C200,"")</f>
        <v>1938</v>
      </c>
      <c r="D199" s="134" t="str">
        <f>IF(分析!D200&lt;&gt;"",分析!D200,"")</f>
        <v/>
      </c>
      <c r="E199" s="135" t="str">
        <f>IF(分析!E200&lt;&gt;"",分析!E200,"")</f>
        <v/>
      </c>
      <c r="F199" s="136" t="str">
        <f>IF(分析!F200&lt;&gt;"",分析!F200,"")</f>
        <v/>
      </c>
      <c r="G199" s="136" t="str">
        <f>IF(分析!H200&lt;&gt;"",分析!H200,"")</f>
        <v/>
      </c>
      <c r="H199" s="136" t="str">
        <f>IF(分析!I200&lt;&gt;"",分析!I200,"")</f>
        <v/>
      </c>
      <c r="I199" s="136" t="str">
        <f>IF(分析!J200&lt;&gt;"",分析!J200,"")</f>
        <v/>
      </c>
      <c r="J199" s="136">
        <f>IF(分析!AB200&lt;&gt;"",分析!AB200,"")</f>
        <v>5128.0651731160897</v>
      </c>
      <c r="K199" s="136">
        <f>IF(分析!AC200&lt;&gt;"",分析!AC200,"")</f>
        <v>5173.114421930868</v>
      </c>
      <c r="L199" s="136" t="str">
        <f>IF(分析!K200&lt;&gt;"",分析!K200,"")</f>
        <v/>
      </c>
      <c r="M199" s="131" t="str">
        <f>IF(分析!P200&lt;&gt;"",分析!P200,"")</f>
        <v/>
      </c>
      <c r="N199" s="137" t="str">
        <f>IF(分析!O200&lt;&gt;"",分析!O200,"")</f>
        <v/>
      </c>
      <c r="O199" s="138">
        <f>IF(分析!X200&lt;&gt;"",分析!X200,"")</f>
        <v>-26.495366961339187</v>
      </c>
      <c r="P199" s="139" t="str">
        <f>IF(分析!L200&lt;&gt;"",分析!L200,"")</f>
        <v/>
      </c>
      <c r="Q199" s="136" t="str">
        <f>IF(分析!S200&lt;&gt;"",分析!S200,"")</f>
        <v/>
      </c>
      <c r="R199" s="136" t="str">
        <f>IF(分析!R200&lt;&gt;"",分析!R200,"")</f>
        <v/>
      </c>
      <c r="S199" s="131" t="str">
        <f>IF(分析!AA200&lt;&gt;"",分析!AA200,"")</f>
        <v/>
      </c>
      <c r="T199" s="140" t="str">
        <f>IF(分析!Z200&lt;&gt;"",分析!Z200,"")</f>
        <v/>
      </c>
      <c r="U199" s="131" t="str">
        <f>IF(分析!V200&lt;&gt;"",分析!V200,"")</f>
        <v/>
      </c>
      <c r="V199" s="141">
        <f>IF(分析!W200&lt;&gt;"",分析!W200,"")</f>
        <v>37.280701754385966</v>
      </c>
      <c r="W199" s="142" t="str">
        <f>IF(分析!AD200&lt;&gt;"",分析!AD200,"")</f>
        <v>上昇トレンド▲</v>
      </c>
      <c r="X199" s="143" t="e">
        <f>IF(分析!AE200&lt;&gt;"",分析!AE200,"")</f>
        <v>#VALUE!</v>
      </c>
      <c r="Y199" s="144">
        <f>IF(分析!T200&lt;&gt;"",分析!T200,"")</f>
        <v>0</v>
      </c>
      <c r="Z199" s="145" t="e">
        <f>IF(分析!Y200&lt;&gt;"",分析!Y200,"")</f>
        <v>#VALUE!</v>
      </c>
    </row>
    <row r="200" spans="1:26" ht="21.9" customHeight="1">
      <c r="A200" s="131">
        <f>IF(分析!C60&lt;&gt;"",ROW()-2,"")</f>
        <v>198</v>
      </c>
      <c r="B200" s="132" t="str">
        <f>IF(分析!C60&lt;&gt;"",HYPERLINK("https://kabutan.jp/stock/?code="&amp;分析!C60,"株探"),"")</f>
        <v>株探</v>
      </c>
      <c r="C200" s="133">
        <f>IF(分析!C60&lt;&gt;"",分析!C60,"")</f>
        <v>8035</v>
      </c>
      <c r="D200" s="134" t="str">
        <f>IF(分析!D60&lt;&gt;"",分析!D60,"")</f>
        <v/>
      </c>
      <c r="E200" s="135" t="str">
        <f>IF(分析!E60&lt;&gt;"",分析!E60,"")</f>
        <v/>
      </c>
      <c r="F200" s="136" t="str">
        <f>IF(分析!F60&lt;&gt;"",分析!F60,"")</f>
        <v/>
      </c>
      <c r="G200" s="136" t="str">
        <f>IF(分析!H60&lt;&gt;"",分析!H60,"")</f>
        <v/>
      </c>
      <c r="H200" s="136" t="str">
        <f>IF(分析!I60&lt;&gt;"",分析!I60,"")</f>
        <v/>
      </c>
      <c r="I200" s="136" t="str">
        <f>IF(分析!J60&lt;&gt;"",分析!J60,"")</f>
        <v/>
      </c>
      <c r="J200" s="136">
        <f>IF(分析!AB60&lt;&gt;"",分析!AB60,"")</f>
        <v>2998.0631364562109</v>
      </c>
      <c r="K200" s="136">
        <f>IF(分析!AC60&lt;&gt;"",分析!AC60,"")</f>
        <v>3015.3039332538724</v>
      </c>
      <c r="L200" s="136" t="str">
        <f>IF(分析!K60&lt;&gt;"",分析!K60,"")</f>
        <v/>
      </c>
      <c r="M200" s="131" t="str">
        <f>IF(分析!P60&lt;&gt;"",分析!P60,"")</f>
        <v/>
      </c>
      <c r="N200" s="137" t="str">
        <f>IF(分析!O60&lt;&gt;"",分析!O60,"")</f>
        <v/>
      </c>
      <c r="O200" s="138">
        <f>IF(分析!X60&lt;&gt;"",分析!X60,"")</f>
        <v>-196.06024542366504</v>
      </c>
      <c r="P200" s="139" t="str">
        <f>IF(分析!L60&lt;&gt;"",分析!L60,"")</f>
        <v/>
      </c>
      <c r="Q200" s="136" t="str">
        <f>IF(分析!S60&lt;&gt;"",分析!S60,"")</f>
        <v/>
      </c>
      <c r="R200" s="136" t="str">
        <f>IF(分析!R60&lt;&gt;"",分析!R60,"")</f>
        <v/>
      </c>
      <c r="S200" s="131" t="str">
        <f>IF(分析!AA60&lt;&gt;"",分析!AA60,"")</f>
        <v/>
      </c>
      <c r="T200" s="140" t="str">
        <f>IF(分析!Z60&lt;&gt;"",分析!Z60,"")</f>
        <v/>
      </c>
      <c r="U200" s="131" t="str">
        <f>IF(分析!V60&lt;&gt;"",分析!V60,"")</f>
        <v/>
      </c>
      <c r="V200" s="141">
        <f>IF(分析!W60&lt;&gt;"",分析!W60,"")</f>
        <v>48.213125406107864</v>
      </c>
      <c r="W200" s="142" t="str">
        <f>IF(分析!AD60&lt;&gt;"",分析!AD60,"")</f>
        <v>上昇トレンド▲</v>
      </c>
      <c r="X200" s="143" t="e">
        <f>IF(分析!AE60&lt;&gt;"",分析!AE60,"")</f>
        <v>#VALUE!</v>
      </c>
      <c r="Y200" s="144">
        <f>IF(分析!T60&lt;&gt;"",分析!T60,"")</f>
        <v>0</v>
      </c>
      <c r="Z200" s="145" t="e">
        <f>IF(分析!Y60&lt;&gt;"",分析!Y60,"")</f>
        <v>#VALUE!</v>
      </c>
    </row>
    <row r="201" spans="1:26" ht="21.9" customHeight="1">
      <c r="A201" s="146">
        <f>IF(分析!C99&lt;&gt;"",ROW()-2,"")</f>
        <v>199</v>
      </c>
      <c r="B201" s="147" t="str">
        <f>IF(分析!C99&lt;&gt;"",HYPERLINK("https://kabutan.jp/stock/?code="&amp;分析!C99,"株探"),"")</f>
        <v>株探</v>
      </c>
      <c r="C201" s="148">
        <f>IF(分析!C99&lt;&gt;"",分析!C99,"")</f>
        <v>6503</v>
      </c>
      <c r="D201" s="149" t="str">
        <f>IF(分析!D99&lt;&gt;"",分析!D99,"")</f>
        <v/>
      </c>
      <c r="E201" s="150" t="str">
        <f>IF(分析!E99&lt;&gt;"",分析!E99,"")</f>
        <v/>
      </c>
      <c r="F201" s="151" t="str">
        <f>IF(分析!F99&lt;&gt;"",分析!F99,"")</f>
        <v/>
      </c>
      <c r="G201" s="151" t="str">
        <f>IF(分析!H99&lt;&gt;"",分析!H99,"")</f>
        <v/>
      </c>
      <c r="H201" s="151" t="str">
        <f>IF(分析!I99&lt;&gt;"",分析!I99,"")</f>
        <v/>
      </c>
      <c r="I201" s="151" t="str">
        <f>IF(分析!J99&lt;&gt;"",分析!J99,"")</f>
        <v/>
      </c>
      <c r="J201" s="151">
        <f>IF(分析!AB99&lt;&gt;"",分析!AB99,"")</f>
        <v>2674.6196537678215</v>
      </c>
      <c r="K201" s="151">
        <f>IF(分析!AC99&lt;&gt;"",分析!AC99,"")</f>
        <v>2542.0071513706794</v>
      </c>
      <c r="L201" s="151" t="str">
        <f>IF(分析!K99&lt;&gt;"",分析!K99,"")</f>
        <v/>
      </c>
      <c r="M201" s="146" t="str">
        <f>IF(分析!P99&lt;&gt;"",分析!P99,"")</f>
        <v/>
      </c>
      <c r="N201" s="152" t="str">
        <f>IF(分析!O99&lt;&gt;"",分析!O99,"")</f>
        <v/>
      </c>
      <c r="O201" s="153">
        <f>IF(分析!X99&lt;&gt;"",分析!X99,"")</f>
        <v>-37.291662520544378</v>
      </c>
      <c r="P201" s="154" t="str">
        <f>IF(分析!L99&lt;&gt;"",分析!L99,"")</f>
        <v/>
      </c>
      <c r="Q201" s="151" t="str">
        <f>IF(分析!S99&lt;&gt;"",分析!S99,"")</f>
        <v/>
      </c>
      <c r="R201" s="151" t="str">
        <f>IF(分析!R99&lt;&gt;"",分析!R99,"")</f>
        <v/>
      </c>
      <c r="S201" s="146" t="str">
        <f>IF(分析!AA99&lt;&gt;"",分析!AA99,"")</f>
        <v/>
      </c>
      <c r="T201" s="155" t="str">
        <f>IF(分析!Z99&lt;&gt;"",分析!Z99,"")</f>
        <v/>
      </c>
      <c r="U201" s="146" t="str">
        <f>IF(分析!V99&lt;&gt;"",分析!V99,"")</f>
        <v/>
      </c>
      <c r="V201" s="156">
        <f>IF(分析!W99&lt;&gt;"",分析!W99,"")</f>
        <v>42.259414225941427</v>
      </c>
      <c r="W201" s="157" t="str">
        <f>IF(分析!AD99&lt;&gt;"",分析!AD99,"")</f>
        <v>パーフェクト▲</v>
      </c>
      <c r="X201" s="158" t="e">
        <f>IF(分析!AE99&lt;&gt;"",分析!AE99,"")</f>
        <v>#VALUE!</v>
      </c>
      <c r="Y201" s="159">
        <f>IF(分析!T99&lt;&gt;"",分析!T99,"")</f>
        <v>0</v>
      </c>
      <c r="Z201" s="145" t="e">
        <f>IF(分析!Y99&lt;&gt;"",分析!Y99,"")</f>
        <v>#VALUE!</v>
      </c>
    </row>
    <row r="202" spans="1:26" ht="21.9" customHeight="1">
      <c r="A202" s="131">
        <f>IF(分析!C146&lt;&gt;"",ROW()-2,"")</f>
        <v>200</v>
      </c>
      <c r="B202" s="132" t="str">
        <f>IF(分析!C146&lt;&gt;"",HYPERLINK("https://kabutan.jp/stock/?code="&amp;分析!C146,"株探"),"")</f>
        <v>株探</v>
      </c>
      <c r="C202" s="133">
        <f>IF(分析!C146&lt;&gt;"",分析!C146,"")</f>
        <v>5021</v>
      </c>
      <c r="D202" s="134" t="str">
        <f>IF(分析!D146&lt;&gt;"",分析!D146,"")</f>
        <v/>
      </c>
      <c r="E202" s="135" t="str">
        <f>IF(分析!E146&lt;&gt;"",分析!E146,"")</f>
        <v/>
      </c>
      <c r="F202" s="136" t="str">
        <f>IF(分析!F146&lt;&gt;"",分析!F146,"")</f>
        <v/>
      </c>
      <c r="G202" s="136" t="str">
        <f>IF(分析!H146&lt;&gt;"",分析!H146,"")</f>
        <v/>
      </c>
      <c r="H202" s="136" t="str">
        <f>IF(分析!I146&lt;&gt;"",分析!I146,"")</f>
        <v/>
      </c>
      <c r="I202" s="136" t="str">
        <f>IF(分析!J146&lt;&gt;"",分析!J146,"")</f>
        <v/>
      </c>
      <c r="J202" s="136">
        <f>IF(分析!AB146&lt;&gt;"",分析!AB146,"")</f>
        <v>1448.2657841140526</v>
      </c>
      <c r="K202" s="136">
        <f>IF(分析!AC146&lt;&gt;"",分析!AC146,"")</f>
        <v>1668.3039332538729</v>
      </c>
      <c r="L202" s="136" t="str">
        <f>IF(分析!K146&lt;&gt;"",分析!K146,"")</f>
        <v/>
      </c>
      <c r="M202" s="131" t="str">
        <f>IF(分析!P146&lt;&gt;"",分析!P146,"")</f>
        <v/>
      </c>
      <c r="N202" s="137" t="str">
        <f>IF(分析!O146&lt;&gt;"",分析!O146,"")</f>
        <v/>
      </c>
      <c r="O202" s="138">
        <f>IF(分析!X146&lt;&gt;"",分析!X146,"")</f>
        <v>25.312146999472134</v>
      </c>
      <c r="P202" s="139" t="str">
        <f>IF(分析!L146&lt;&gt;"",分析!L146,"")</f>
        <v/>
      </c>
      <c r="Q202" s="136" t="str">
        <f>IF(分析!S146&lt;&gt;"",分析!S146,"")</f>
        <v/>
      </c>
      <c r="R202" s="136" t="str">
        <f>IF(分析!R146&lt;&gt;"",分析!R146,"")</f>
        <v/>
      </c>
      <c r="S202" s="131" t="str">
        <f>IF(分析!AA146&lt;&gt;"",分析!AA146,"")</f>
        <v/>
      </c>
      <c r="T202" s="140" t="str">
        <f>IF(分析!Z146&lt;&gt;"",分析!Z146,"")</f>
        <v/>
      </c>
      <c r="U202" s="131" t="str">
        <f>IF(分析!V146&lt;&gt;"",分析!V146,"")</f>
        <v/>
      </c>
      <c r="V202" s="141">
        <f>IF(分析!W146&lt;&gt;"",分析!W146,"")</f>
        <v>69.10891089108911</v>
      </c>
      <c r="W202" s="142" t="str">
        <f>IF(分析!AD146&lt;&gt;"",分析!AD146,"")</f>
        <v>上昇トレンド▲</v>
      </c>
      <c r="X202" s="143" t="e">
        <f>IF(分析!AE146&lt;&gt;"",分析!AE146,"")</f>
        <v>#VALUE!</v>
      </c>
      <c r="Y202" s="144">
        <f>IF(分析!T146&lt;&gt;"",分析!T146,"")</f>
        <v>0</v>
      </c>
      <c r="Z202" s="145" t="e">
        <f>IF(分析!Y146&lt;&gt;"",分析!Y146,"")</f>
        <v>#VALUE!</v>
      </c>
    </row>
    <row r="203" spans="1:26" ht="21.9" customHeight="1">
      <c r="A203" s="131">
        <f>IF(分析!C22&lt;&gt;"",ROW()-2,"")</f>
        <v>201</v>
      </c>
      <c r="B203" s="132" t="str">
        <f>IF(分析!C22&lt;&gt;"",HYPERLINK("https://kabutan.jp/stock/?code="&amp;分析!C22,"株探"),"")</f>
        <v>株探</v>
      </c>
      <c r="C203" s="133">
        <f>IF(分析!C22&lt;&gt;"",分析!C22,"")</f>
        <v>9412</v>
      </c>
      <c r="D203" s="134" t="str">
        <f>IF(分析!D22&lt;&gt;"",分析!D22,"")</f>
        <v/>
      </c>
      <c r="E203" s="135" t="str">
        <f>IF(分析!E22&lt;&gt;"",分析!E22,"")</f>
        <v/>
      </c>
      <c r="F203" s="136" t="str">
        <f>IF(分析!F22&lt;&gt;"",分析!F22,"")</f>
        <v/>
      </c>
      <c r="G203" s="136" t="str">
        <f>IF(分析!H22&lt;&gt;"",分析!H22,"")</f>
        <v/>
      </c>
      <c r="H203" s="136" t="str">
        <f>IF(分析!I22&lt;&gt;"",分析!I22,"")</f>
        <v/>
      </c>
      <c r="I203" s="136" t="str">
        <f>IF(分析!J22&lt;&gt;"",分析!J22,"")</f>
        <v/>
      </c>
      <c r="J203" s="136">
        <f>IF(分析!AB22&lt;&gt;"",分析!AB22,"")</f>
        <v>1253.9429735234214</v>
      </c>
      <c r="K203" s="136">
        <f>IF(分析!AC22&lt;&gt;"",分析!AC22,"")</f>
        <v>1245.0297973778302</v>
      </c>
      <c r="L203" s="136" t="str">
        <f>IF(分析!K22&lt;&gt;"",分析!K22,"")</f>
        <v/>
      </c>
      <c r="M203" s="131" t="str">
        <f>IF(分析!P22&lt;&gt;"",分析!P22,"")</f>
        <v/>
      </c>
      <c r="N203" s="137" t="str">
        <f>IF(分析!O22&lt;&gt;"",分析!O22,"")</f>
        <v/>
      </c>
      <c r="O203" s="138">
        <f>IF(分析!X22&lt;&gt;"",分析!X22,"")</f>
        <v>-70.851155672486129</v>
      </c>
      <c r="P203" s="139" t="str">
        <f>IF(分析!L22&lt;&gt;"",分析!L22,"")</f>
        <v/>
      </c>
      <c r="Q203" s="136" t="str">
        <f>IF(分析!S22&lt;&gt;"",分析!S22,"")</f>
        <v/>
      </c>
      <c r="R203" s="136" t="str">
        <f>IF(分析!R22&lt;&gt;"",分析!R22,"")</f>
        <v/>
      </c>
      <c r="S203" s="131" t="str">
        <f>IF(分析!AA22&lt;&gt;"",分析!AA22,"")</f>
        <v/>
      </c>
      <c r="T203" s="140" t="str">
        <f>IF(分析!Z22&lt;&gt;"",分析!Z22,"")</f>
        <v/>
      </c>
      <c r="U203" s="131" t="str">
        <f>IF(分析!V22&lt;&gt;"",分析!V22,"")</f>
        <v/>
      </c>
      <c r="V203" s="141">
        <f>IF(分析!W22&lt;&gt;"",分析!W22,"")</f>
        <v>42.220019821605554</v>
      </c>
      <c r="W203" s="142" t="str">
        <f>IF(分析!AD22&lt;&gt;"",分析!AD22,"")</f>
        <v>パーフェクト▲</v>
      </c>
      <c r="X203" s="143" t="e">
        <f>IF(分析!AE22&lt;&gt;"",分析!AE22,"")</f>
        <v>#VALUE!</v>
      </c>
      <c r="Y203" s="144">
        <f>IF(分析!T22&lt;&gt;"",分析!T22,"")</f>
        <v>0</v>
      </c>
      <c r="Z203" s="145" t="e">
        <f>IF(分析!Y22&lt;&gt;"",分析!Y22,"")</f>
        <v>#VALUE!</v>
      </c>
    </row>
    <row r="204" spans="1:26" ht="21.9" customHeight="1">
      <c r="A204" s="146">
        <f>IF(分析!C77&lt;&gt;"",ROW()-2,"")</f>
        <v>202</v>
      </c>
      <c r="B204" s="147" t="str">
        <f>IF(分析!C77&lt;&gt;"",HYPERLINK("https://kabutan.jp/stock/?code="&amp;分析!C77,"株探"),"")</f>
        <v>株探</v>
      </c>
      <c r="C204" s="148">
        <f>IF(分析!C77&lt;&gt;"",分析!C77,"")</f>
        <v>7011</v>
      </c>
      <c r="D204" s="149" t="str">
        <f>IF(分析!D77&lt;&gt;"",分析!D77,"")</f>
        <v/>
      </c>
      <c r="E204" s="150" t="str">
        <f>IF(分析!E77&lt;&gt;"",分析!E77,"")</f>
        <v/>
      </c>
      <c r="F204" s="151" t="str">
        <f>IF(分析!F77&lt;&gt;"",分析!F77,"")</f>
        <v/>
      </c>
      <c r="G204" s="151" t="str">
        <f>IF(分析!H77&lt;&gt;"",分析!H77,"")</f>
        <v/>
      </c>
      <c r="H204" s="151" t="str">
        <f>IF(分析!I77&lt;&gt;"",分析!I77,"")</f>
        <v/>
      </c>
      <c r="I204" s="151" t="str">
        <f>IF(分析!J77&lt;&gt;"",分析!J77,"")</f>
        <v/>
      </c>
      <c r="J204" s="151">
        <f>IF(分析!AB77&lt;&gt;"",分析!AB77,"")</f>
        <v>4099.5417515274949</v>
      </c>
      <c r="K204" s="151">
        <f>IF(分析!AC77&lt;&gt;"",分析!AC77,"")</f>
        <v>4462.0882002383778</v>
      </c>
      <c r="L204" s="151" t="str">
        <f>IF(分析!K77&lt;&gt;"",分析!K77,"")</f>
        <v/>
      </c>
      <c r="M204" s="146" t="str">
        <f>IF(分析!P77&lt;&gt;"",分析!P77,"")</f>
        <v/>
      </c>
      <c r="N204" s="152" t="str">
        <f>IF(分析!O77&lt;&gt;"",分析!O77,"")</f>
        <v/>
      </c>
      <c r="O204" s="153">
        <f>IF(分析!X77&lt;&gt;"",分析!X77,"")</f>
        <v>12.484100796453276</v>
      </c>
      <c r="P204" s="154" t="str">
        <f>IF(分析!L77&lt;&gt;"",分析!L77,"")</f>
        <v/>
      </c>
      <c r="Q204" s="151" t="str">
        <f>IF(分析!S77&lt;&gt;"",分析!S77,"")</f>
        <v/>
      </c>
      <c r="R204" s="151" t="str">
        <f>IF(分析!R77&lt;&gt;"",分析!R77,"")</f>
        <v/>
      </c>
      <c r="S204" s="146" t="str">
        <f>IF(分析!AA77&lt;&gt;"",分析!AA77,"")</f>
        <v/>
      </c>
      <c r="T204" s="155" t="str">
        <f>IF(分析!Z77&lt;&gt;"",分析!Z77,"")</f>
        <v/>
      </c>
      <c r="U204" s="146" t="str">
        <f>IF(分析!V77&lt;&gt;"",分析!V77,"")</f>
        <v/>
      </c>
      <c r="V204" s="156">
        <f>IF(分析!W77&lt;&gt;"",分析!W77,"")</f>
        <v>59.849906191369612</v>
      </c>
      <c r="W204" s="157" t="str">
        <f>IF(分析!AD77&lt;&gt;"",分析!AD77,"")</f>
        <v>上昇トレンド▲</v>
      </c>
      <c r="X204" s="158" t="e">
        <f>IF(分析!AE77&lt;&gt;"",分析!AE77,"")</f>
        <v>#VALUE!</v>
      </c>
      <c r="Y204" s="159">
        <f>IF(分析!T77&lt;&gt;"",分析!T77,"")</f>
        <v>0</v>
      </c>
      <c r="Z204" s="145" t="e">
        <f>IF(分析!Y77&lt;&gt;"",分析!Y77,"")</f>
        <v>#VALUE!</v>
      </c>
    </row>
    <row r="205" spans="1:26" ht="21.9" customHeight="1">
      <c r="A205" s="131">
        <f>IF(分析!C44&lt;&gt;"",ROW()-2,"")</f>
        <v>203</v>
      </c>
      <c r="B205" s="132" t="str">
        <f>IF(分析!C44&lt;&gt;"",HYPERLINK("https://kabutan.jp/stock/?code="&amp;分析!C44,"株探"),"")</f>
        <v>株探</v>
      </c>
      <c r="C205" s="133">
        <f>IF(分析!C44&lt;&gt;"",分析!C44,"")</f>
        <v>8572</v>
      </c>
      <c r="D205" s="134" t="str">
        <f>IF(分析!D44&lt;&gt;"",分析!D44,"")</f>
        <v/>
      </c>
      <c r="E205" s="135" t="str">
        <f>IF(分析!E44&lt;&gt;"",分析!E44,"")</f>
        <v/>
      </c>
      <c r="F205" s="136" t="str">
        <f>IF(分析!F44&lt;&gt;"",分析!F44,"")</f>
        <v/>
      </c>
      <c r="G205" s="136" t="str">
        <f>IF(分析!H44&lt;&gt;"",分析!H44,"")</f>
        <v/>
      </c>
      <c r="H205" s="136" t="str">
        <f>IF(分析!I44&lt;&gt;"",分析!I44,"")</f>
        <v/>
      </c>
      <c r="I205" s="136" t="str">
        <f>IF(分析!J44&lt;&gt;"",分析!J44,"")</f>
        <v/>
      </c>
      <c r="J205" s="136">
        <f>IF(分析!AB44&lt;&gt;"",分析!AB44,"")</f>
        <v>571.45947046843173</v>
      </c>
      <c r="K205" s="136">
        <f>IF(分析!AC44&lt;&gt;"",分析!AC44,"")</f>
        <v>556.40572109654329</v>
      </c>
      <c r="L205" s="136" t="str">
        <f>IF(分析!K44&lt;&gt;"",分析!K44,"")</f>
        <v/>
      </c>
      <c r="M205" s="131" t="str">
        <f>IF(分析!P44&lt;&gt;"",分析!P44,"")</f>
        <v/>
      </c>
      <c r="N205" s="137" t="str">
        <f>IF(分析!O44&lt;&gt;"",分析!O44,"")</f>
        <v/>
      </c>
      <c r="O205" s="138">
        <f>IF(分析!X44&lt;&gt;"",分析!X44,"")</f>
        <v>5.3765000656746906</v>
      </c>
      <c r="P205" s="139" t="str">
        <f>IF(分析!L44&lt;&gt;"",分析!L44,"")</f>
        <v/>
      </c>
      <c r="Q205" s="136" t="str">
        <f>IF(分析!S44&lt;&gt;"",分析!S44,"")</f>
        <v/>
      </c>
      <c r="R205" s="136" t="str">
        <f>IF(分析!R44&lt;&gt;"",分析!R44,"")</f>
        <v/>
      </c>
      <c r="S205" s="131" t="str">
        <f>IF(分析!AA44&lt;&gt;"",分析!AA44,"")</f>
        <v/>
      </c>
      <c r="T205" s="140" t="str">
        <f>IF(分析!Z44&lt;&gt;"",分析!Z44,"")</f>
        <v/>
      </c>
      <c r="U205" s="131" t="str">
        <f>IF(分析!V44&lt;&gt;"",分析!V44,"")</f>
        <v/>
      </c>
      <c r="V205" s="141">
        <f>IF(分析!W44&lt;&gt;"",分析!W44,"")</f>
        <v>87.852112676056365</v>
      </c>
      <c r="W205" s="142" t="str">
        <f>IF(分析!AD44&lt;&gt;"",分析!AD44,"")</f>
        <v>パーフェクト▲</v>
      </c>
      <c r="X205" s="143" t="e">
        <f>IF(分析!AE44&lt;&gt;"",分析!AE44,"")</f>
        <v>#VALUE!</v>
      </c>
      <c r="Y205" s="144">
        <f>IF(分析!T44&lt;&gt;"",分析!T44,"")</f>
        <v>0</v>
      </c>
      <c r="Z205" s="145" t="e">
        <f>IF(分析!Y44&lt;&gt;"",分析!Y44,"")</f>
        <v>#VALUE!</v>
      </c>
    </row>
    <row r="206" spans="1:26" ht="21.9" customHeight="1">
      <c r="A206" s="131">
        <f>IF(分析!C36&lt;&gt;"",ROW()-2,"")</f>
        <v>204</v>
      </c>
      <c r="B206" s="132" t="str">
        <f>IF(分析!C36&lt;&gt;"",HYPERLINK("https://kabutan.jp/stock/?code="&amp;分析!C36,"株探"),"")</f>
        <v>株探</v>
      </c>
      <c r="C206" s="133">
        <f>IF(分析!C36&lt;&gt;"",分析!C36,"")</f>
        <v>8750</v>
      </c>
      <c r="D206" s="134" t="str">
        <f>IF(分析!D36&lt;&gt;"",分析!D36,"")</f>
        <v/>
      </c>
      <c r="E206" s="135" t="str">
        <f>IF(分析!E36&lt;&gt;"",分析!E36,"")</f>
        <v/>
      </c>
      <c r="F206" s="136" t="str">
        <f>IF(分析!F36&lt;&gt;"",分析!F36,"")</f>
        <v/>
      </c>
      <c r="G206" s="136" t="str">
        <f>IF(分析!H36&lt;&gt;"",分析!H36,"")</f>
        <v/>
      </c>
      <c r="H206" s="136" t="str">
        <f>IF(分析!I36&lt;&gt;"",分析!I36,"")</f>
        <v/>
      </c>
      <c r="I206" s="136" t="str">
        <f>IF(分析!J36&lt;&gt;"",分析!J36,"")</f>
        <v/>
      </c>
      <c r="J206" s="136">
        <f>IF(分析!AB36&lt;&gt;"",分析!AB36,"")</f>
        <v>1913.1787169042766</v>
      </c>
      <c r="K206" s="136">
        <f>IF(分析!AC36&lt;&gt;"",分析!AC36,"")</f>
        <v>1898.429082240762</v>
      </c>
      <c r="L206" s="136" t="str">
        <f>IF(分析!K36&lt;&gt;"",分析!K36,"")</f>
        <v/>
      </c>
      <c r="M206" s="131" t="str">
        <f>IF(分析!P36&lt;&gt;"",分析!P36,"")</f>
        <v/>
      </c>
      <c r="N206" s="137" t="str">
        <f>IF(分析!O36&lt;&gt;"",分析!O36,"")</f>
        <v/>
      </c>
      <c r="O206" s="138">
        <f>IF(分析!X36&lt;&gt;"",分析!X36,"")</f>
        <v>14.64799553413286</v>
      </c>
      <c r="P206" s="139" t="str">
        <f>IF(分析!L36&lt;&gt;"",分析!L36,"")</f>
        <v/>
      </c>
      <c r="Q206" s="136" t="str">
        <f>IF(分析!S36&lt;&gt;"",分析!S36,"")</f>
        <v/>
      </c>
      <c r="R206" s="136" t="str">
        <f>IF(分析!R36&lt;&gt;"",分析!R36,"")</f>
        <v/>
      </c>
      <c r="S206" s="131" t="str">
        <f>IF(分析!AA36&lt;&gt;"",分析!AA36,"")</f>
        <v/>
      </c>
      <c r="T206" s="140" t="str">
        <f>IF(分析!Z36&lt;&gt;"",分析!Z36,"")</f>
        <v/>
      </c>
      <c r="U206" s="131" t="str">
        <f>IF(分析!V36&lt;&gt;"",分析!V36,"")</f>
        <v/>
      </c>
      <c r="V206" s="141">
        <f>IF(分析!W36&lt;&gt;"",分析!W36,"")</f>
        <v>79.799666110183637</v>
      </c>
      <c r="W206" s="142" t="str">
        <f>IF(分析!AD36&lt;&gt;"",分析!AD36,"")</f>
        <v>パーフェクト▲</v>
      </c>
      <c r="X206" s="143" t="e">
        <f>IF(分析!AE36&lt;&gt;"",分析!AE36,"")</f>
        <v>#VALUE!</v>
      </c>
      <c r="Y206" s="144">
        <f>IF(分析!T36&lt;&gt;"",分析!T36,"")</f>
        <v>0</v>
      </c>
      <c r="Z206" s="145" t="e">
        <f>IF(分析!Y36&lt;&gt;"",分析!Y36,"")</f>
        <v>#VALUE!</v>
      </c>
    </row>
    <row r="207" spans="1:26" ht="21.9" customHeight="1">
      <c r="A207" s="146" t="str">
        <f>IF(分析!C207&lt;&gt;"",ROW()-2,"")</f>
        <v/>
      </c>
      <c r="B207" s="147" t="str">
        <f>IF(分析!C207&lt;&gt;"",HYPERLINK("https://kabutan.jp/stock/?code="&amp;分析!C207,"株探"),"")</f>
        <v/>
      </c>
      <c r="C207" s="148" t="str">
        <f>IF(分析!C207&lt;&gt;"",分析!C207,"")</f>
        <v/>
      </c>
      <c r="D207" s="149" t="str">
        <f>IF(分析!D207&lt;&gt;"",分析!D207,"")</f>
        <v/>
      </c>
      <c r="E207" s="150" t="str">
        <f>IF(分析!E207&lt;&gt;"",分析!E207,"")</f>
        <v/>
      </c>
      <c r="F207" s="151" t="str">
        <f>IF(分析!F207&lt;&gt;"",分析!F207,"")</f>
        <v/>
      </c>
      <c r="G207" s="151" t="str">
        <f>IF(分析!H207&lt;&gt;"",分析!H207,"")</f>
        <v/>
      </c>
      <c r="H207" s="151" t="str">
        <f>IF(分析!I207&lt;&gt;"",分析!I207,"")</f>
        <v/>
      </c>
      <c r="I207" s="151" t="str">
        <f>IF(分析!J207&lt;&gt;"",分析!J207,"")</f>
        <v/>
      </c>
      <c r="J207" s="151" t="str">
        <f>IF(分析!AB207&lt;&gt;"",分析!AB207,"")</f>
        <v/>
      </c>
      <c r="K207" s="151" t="str">
        <f>IF(分析!AC207&lt;&gt;"",分析!AC207,"")</f>
        <v/>
      </c>
      <c r="L207" s="151" t="str">
        <f>IF(分析!K207&lt;&gt;"",分析!K207,"")</f>
        <v/>
      </c>
      <c r="M207" s="146" t="str">
        <f>IF(分析!P207&lt;&gt;"",分析!P207,"")</f>
        <v/>
      </c>
      <c r="N207" s="152" t="str">
        <f>IF(分析!O207&lt;&gt;"",分析!O207,"")</f>
        <v/>
      </c>
      <c r="O207" s="153" t="str">
        <f>IF(分析!X207&lt;&gt;"",分析!X207,"")</f>
        <v/>
      </c>
      <c r="P207" s="154" t="str">
        <f>IF(分析!L207&lt;&gt;"",分析!L207,"")</f>
        <v/>
      </c>
      <c r="Q207" s="151" t="str">
        <f>IF(分析!S207&lt;&gt;"",分析!S207,"")</f>
        <v/>
      </c>
      <c r="R207" s="151" t="str">
        <f>IF(分析!R207&lt;&gt;"",分析!R207,"")</f>
        <v/>
      </c>
      <c r="S207" s="146" t="str">
        <f>IF(分析!AA207&lt;&gt;"",分析!AA207,"")</f>
        <v/>
      </c>
      <c r="T207" s="155" t="str">
        <f>IF(分析!Z207&lt;&gt;"",分析!Z207,"")</f>
        <v/>
      </c>
      <c r="U207" s="146" t="str">
        <f>IF(分析!V207&lt;&gt;"",分析!V207,"")</f>
        <v/>
      </c>
      <c r="V207" s="156" t="str">
        <f>IF(分析!W207&lt;&gt;"",分析!W207,"")</f>
        <v/>
      </c>
      <c r="W207" s="157" t="str">
        <f>IF(分析!AD207&lt;&gt;"",分析!AD207,"")</f>
        <v/>
      </c>
      <c r="X207" s="158" t="str">
        <f>IF(分析!AE207&lt;&gt;"",分析!AE207,"")</f>
        <v/>
      </c>
      <c r="Y207" s="159" t="str">
        <f>IF(分析!T207&lt;&gt;"",分析!T207,"")</f>
        <v/>
      </c>
      <c r="Z207" s="145" t="str">
        <f>IF(分析!Y207&lt;&gt;"",分析!Y207,"")</f>
        <v/>
      </c>
    </row>
    <row r="208" spans="1:26" ht="21.9" customHeight="1">
      <c r="A208" s="131" t="str">
        <f>IF(分析!C208&lt;&gt;"",ROW()-2,"")</f>
        <v/>
      </c>
      <c r="B208" s="132" t="str">
        <f>IF(分析!C208&lt;&gt;"",HYPERLINK("https://kabutan.jp/stock/?code="&amp;分析!C208,"株探"),"")</f>
        <v/>
      </c>
      <c r="C208" s="133" t="str">
        <f>IF(分析!C208&lt;&gt;"",分析!C208,"")</f>
        <v/>
      </c>
      <c r="D208" s="134" t="str">
        <f>IF(分析!D208&lt;&gt;"",分析!D208,"")</f>
        <v/>
      </c>
      <c r="E208" s="135" t="str">
        <f>IF(分析!E208&lt;&gt;"",分析!E208,"")</f>
        <v/>
      </c>
      <c r="F208" s="136" t="str">
        <f>IF(分析!F208&lt;&gt;"",分析!F208,"")</f>
        <v/>
      </c>
      <c r="G208" s="136" t="str">
        <f>IF(分析!H208&lt;&gt;"",分析!H208,"")</f>
        <v/>
      </c>
      <c r="H208" s="136" t="str">
        <f>IF(分析!I208&lt;&gt;"",分析!I208,"")</f>
        <v/>
      </c>
      <c r="I208" s="136" t="str">
        <f>IF(分析!J208&lt;&gt;"",分析!J208,"")</f>
        <v/>
      </c>
      <c r="J208" s="136" t="str">
        <f>IF(分析!AB208&lt;&gt;"",分析!AB208,"")</f>
        <v/>
      </c>
      <c r="K208" s="136" t="str">
        <f>IF(分析!AC208&lt;&gt;"",分析!AC208,"")</f>
        <v/>
      </c>
      <c r="L208" s="136" t="str">
        <f>IF(分析!K208&lt;&gt;"",分析!K208,"")</f>
        <v/>
      </c>
      <c r="M208" s="131" t="str">
        <f>IF(分析!P208&lt;&gt;"",分析!P208,"")</f>
        <v/>
      </c>
      <c r="N208" s="137" t="str">
        <f>IF(分析!O208&lt;&gt;"",分析!O208,"")</f>
        <v/>
      </c>
      <c r="O208" s="138" t="str">
        <f>IF(分析!X208&lt;&gt;"",分析!X208,"")</f>
        <v/>
      </c>
      <c r="P208" s="139" t="str">
        <f>IF(分析!L208&lt;&gt;"",分析!L208,"")</f>
        <v/>
      </c>
      <c r="Q208" s="136" t="str">
        <f>IF(分析!S208&lt;&gt;"",分析!S208,"")</f>
        <v/>
      </c>
      <c r="R208" s="136" t="str">
        <f>IF(分析!R208&lt;&gt;"",分析!R208,"")</f>
        <v/>
      </c>
      <c r="S208" s="131" t="str">
        <f>IF(分析!AA208&lt;&gt;"",分析!AA208,"")</f>
        <v/>
      </c>
      <c r="T208" s="140" t="str">
        <f>IF(分析!Z208&lt;&gt;"",分析!Z208,"")</f>
        <v/>
      </c>
      <c r="U208" s="131" t="str">
        <f>IF(分析!V208&lt;&gt;"",分析!V208,"")</f>
        <v/>
      </c>
      <c r="V208" s="141" t="str">
        <f>IF(分析!W208&lt;&gt;"",分析!W208,"")</f>
        <v/>
      </c>
      <c r="W208" s="142" t="str">
        <f>IF(分析!AD208&lt;&gt;"",分析!AD208,"")</f>
        <v/>
      </c>
      <c r="X208" s="143" t="str">
        <f>IF(分析!AE208&lt;&gt;"",分析!AE208,"")</f>
        <v/>
      </c>
      <c r="Y208" s="144" t="str">
        <f>IF(分析!T208&lt;&gt;"",分析!T208,"")</f>
        <v/>
      </c>
      <c r="Z208" s="145" t="str">
        <f>IF(分析!Y208&lt;&gt;"",分析!Y208,"")</f>
        <v/>
      </c>
    </row>
    <row r="209" spans="1:26" ht="21.9" customHeight="1">
      <c r="A209" s="146" t="str">
        <f>IF(分析!C209&lt;&gt;"",ROW()-2,"")</f>
        <v/>
      </c>
      <c r="B209" s="147" t="str">
        <f>IF(分析!C209&lt;&gt;"",HYPERLINK("https://kabutan.jp/stock/?code="&amp;分析!C209,"株探"),"")</f>
        <v/>
      </c>
      <c r="C209" s="148" t="str">
        <f>IF(分析!C209&lt;&gt;"",分析!C209,"")</f>
        <v/>
      </c>
      <c r="D209" s="149" t="str">
        <f>IF(分析!D209&lt;&gt;"",分析!D209,"")</f>
        <v/>
      </c>
      <c r="E209" s="150" t="str">
        <f>IF(分析!E209&lt;&gt;"",分析!E209,"")</f>
        <v/>
      </c>
      <c r="F209" s="151" t="str">
        <f>IF(分析!F209&lt;&gt;"",分析!F209,"")</f>
        <v/>
      </c>
      <c r="G209" s="151" t="str">
        <f>IF(分析!H209&lt;&gt;"",分析!H209,"")</f>
        <v/>
      </c>
      <c r="H209" s="151" t="str">
        <f>IF(分析!I209&lt;&gt;"",分析!I209,"")</f>
        <v/>
      </c>
      <c r="I209" s="151" t="str">
        <f>IF(分析!J209&lt;&gt;"",分析!J209,"")</f>
        <v/>
      </c>
      <c r="J209" s="151" t="str">
        <f>IF(分析!AB209&lt;&gt;"",分析!AB209,"")</f>
        <v/>
      </c>
      <c r="K209" s="151" t="str">
        <f>IF(分析!AC209&lt;&gt;"",分析!AC209,"")</f>
        <v/>
      </c>
      <c r="L209" s="151" t="str">
        <f>IF(分析!K209&lt;&gt;"",分析!K209,"")</f>
        <v/>
      </c>
      <c r="M209" s="146" t="str">
        <f>IF(分析!P209&lt;&gt;"",分析!P209,"")</f>
        <v/>
      </c>
      <c r="N209" s="152" t="str">
        <f>IF(分析!O209&lt;&gt;"",分析!O209,"")</f>
        <v/>
      </c>
      <c r="O209" s="153" t="str">
        <f>IF(分析!X209&lt;&gt;"",分析!X209,"")</f>
        <v/>
      </c>
      <c r="P209" s="154" t="str">
        <f>IF(分析!L209&lt;&gt;"",分析!L209,"")</f>
        <v/>
      </c>
      <c r="Q209" s="151" t="str">
        <f>IF(分析!S209&lt;&gt;"",分析!S209,"")</f>
        <v/>
      </c>
      <c r="R209" s="151" t="str">
        <f>IF(分析!R209&lt;&gt;"",分析!R209,"")</f>
        <v/>
      </c>
      <c r="S209" s="146" t="str">
        <f>IF(分析!AA209&lt;&gt;"",分析!AA209,"")</f>
        <v/>
      </c>
      <c r="T209" s="155" t="str">
        <f>IF(分析!Z209&lt;&gt;"",分析!Z209,"")</f>
        <v/>
      </c>
      <c r="U209" s="146" t="str">
        <f>IF(分析!V209&lt;&gt;"",分析!V209,"")</f>
        <v/>
      </c>
      <c r="V209" s="156" t="str">
        <f>IF(分析!W209&lt;&gt;"",分析!W209,"")</f>
        <v/>
      </c>
      <c r="W209" s="157" t="str">
        <f>IF(分析!AD209&lt;&gt;"",分析!AD209,"")</f>
        <v/>
      </c>
      <c r="X209" s="158" t="str">
        <f>IF(分析!AE209&lt;&gt;"",分析!AE209,"")</f>
        <v/>
      </c>
      <c r="Y209" s="159" t="str">
        <f>IF(分析!T209&lt;&gt;"",分析!T209,"")</f>
        <v/>
      </c>
      <c r="Z209" s="145" t="str">
        <f>IF(分析!Y209&lt;&gt;"",分析!Y209,"")</f>
        <v/>
      </c>
    </row>
    <row r="210" spans="1:26" ht="21.9" customHeight="1">
      <c r="A210" s="131" t="str">
        <f>IF(分析!C210&lt;&gt;"",ROW()-2,"")</f>
        <v/>
      </c>
      <c r="B210" s="132" t="str">
        <f>IF(分析!C210&lt;&gt;"",HYPERLINK("https://kabutan.jp/stock/?code="&amp;分析!C210,"株探"),"")</f>
        <v/>
      </c>
      <c r="C210" s="133" t="str">
        <f>IF(分析!C210&lt;&gt;"",分析!C210,"")</f>
        <v/>
      </c>
      <c r="D210" s="134" t="str">
        <f>IF(分析!D210&lt;&gt;"",分析!D210,"")</f>
        <v/>
      </c>
      <c r="E210" s="135" t="str">
        <f>IF(分析!E210&lt;&gt;"",分析!E210,"")</f>
        <v/>
      </c>
      <c r="F210" s="136" t="str">
        <f>IF(分析!F210&lt;&gt;"",分析!F210,"")</f>
        <v/>
      </c>
      <c r="G210" s="136" t="str">
        <f>IF(分析!H210&lt;&gt;"",分析!H210,"")</f>
        <v/>
      </c>
      <c r="H210" s="136" t="str">
        <f>IF(分析!I210&lt;&gt;"",分析!I210,"")</f>
        <v/>
      </c>
      <c r="I210" s="136" t="str">
        <f>IF(分析!J210&lt;&gt;"",分析!J210,"")</f>
        <v/>
      </c>
      <c r="J210" s="136" t="str">
        <f>IF(分析!AB210&lt;&gt;"",分析!AB210,"")</f>
        <v/>
      </c>
      <c r="K210" s="136" t="str">
        <f>IF(分析!AC210&lt;&gt;"",分析!AC210,"")</f>
        <v/>
      </c>
      <c r="L210" s="136" t="str">
        <f>IF(分析!K210&lt;&gt;"",分析!K210,"")</f>
        <v/>
      </c>
      <c r="M210" s="131" t="str">
        <f>IF(分析!P210&lt;&gt;"",分析!P210,"")</f>
        <v/>
      </c>
      <c r="N210" s="137" t="str">
        <f>IF(分析!O210&lt;&gt;"",分析!O210,"")</f>
        <v/>
      </c>
      <c r="O210" s="138" t="str">
        <f>IF(分析!X210&lt;&gt;"",分析!X210,"")</f>
        <v/>
      </c>
      <c r="P210" s="139" t="str">
        <f>IF(分析!L210&lt;&gt;"",分析!L210,"")</f>
        <v/>
      </c>
      <c r="Q210" s="136" t="str">
        <f>IF(分析!S210&lt;&gt;"",分析!S210,"")</f>
        <v/>
      </c>
      <c r="R210" s="136" t="str">
        <f>IF(分析!R210&lt;&gt;"",分析!R210,"")</f>
        <v/>
      </c>
      <c r="S210" s="131" t="str">
        <f>IF(分析!AA210&lt;&gt;"",分析!AA210,"")</f>
        <v/>
      </c>
      <c r="T210" s="140" t="str">
        <f>IF(分析!Z210&lt;&gt;"",分析!Z210,"")</f>
        <v/>
      </c>
      <c r="U210" s="131" t="str">
        <f>IF(分析!V210&lt;&gt;"",分析!V210,"")</f>
        <v/>
      </c>
      <c r="V210" s="141" t="str">
        <f>IF(分析!W210&lt;&gt;"",分析!W210,"")</f>
        <v/>
      </c>
      <c r="W210" s="142" t="str">
        <f>IF(分析!AD210&lt;&gt;"",分析!AD210,"")</f>
        <v/>
      </c>
      <c r="X210" s="143" t="str">
        <f>IF(分析!AE210&lt;&gt;"",分析!AE210,"")</f>
        <v/>
      </c>
      <c r="Y210" s="144" t="str">
        <f>IF(分析!T210&lt;&gt;"",分析!T210,"")</f>
        <v/>
      </c>
      <c r="Z210" s="145" t="str">
        <f>IF(分析!Y210&lt;&gt;"",分析!Y210,"")</f>
        <v/>
      </c>
    </row>
    <row r="211" spans="1:26" ht="21.9" customHeight="1">
      <c r="A211" s="146" t="str">
        <f>IF(分析!C211&lt;&gt;"",ROW()-2,"")</f>
        <v/>
      </c>
      <c r="B211" s="147" t="str">
        <f>IF(分析!C211&lt;&gt;"",HYPERLINK("https://kabutan.jp/stock/?code="&amp;分析!C211,"株探"),"")</f>
        <v/>
      </c>
      <c r="C211" s="148" t="str">
        <f>IF(分析!C211&lt;&gt;"",分析!C211,"")</f>
        <v/>
      </c>
      <c r="D211" s="149" t="str">
        <f>IF(分析!D211&lt;&gt;"",分析!D211,"")</f>
        <v/>
      </c>
      <c r="E211" s="150" t="str">
        <f>IF(分析!E211&lt;&gt;"",分析!E211,"")</f>
        <v/>
      </c>
      <c r="F211" s="151" t="str">
        <f>IF(分析!F211&lt;&gt;"",分析!F211,"")</f>
        <v/>
      </c>
      <c r="G211" s="151" t="str">
        <f>IF(分析!H211&lt;&gt;"",分析!H211,"")</f>
        <v/>
      </c>
      <c r="H211" s="151" t="str">
        <f>IF(分析!I211&lt;&gt;"",分析!I211,"")</f>
        <v/>
      </c>
      <c r="I211" s="151" t="str">
        <f>IF(分析!J211&lt;&gt;"",分析!J211,"")</f>
        <v/>
      </c>
      <c r="J211" s="151" t="str">
        <f>IF(分析!AB211&lt;&gt;"",分析!AB211,"")</f>
        <v/>
      </c>
      <c r="K211" s="151" t="str">
        <f>IF(分析!AC211&lt;&gt;"",分析!AC211,"")</f>
        <v/>
      </c>
      <c r="L211" s="151" t="str">
        <f>IF(分析!K211&lt;&gt;"",分析!K211,"")</f>
        <v/>
      </c>
      <c r="M211" s="146" t="str">
        <f>IF(分析!P211&lt;&gt;"",分析!P211,"")</f>
        <v/>
      </c>
      <c r="N211" s="152" t="str">
        <f>IF(分析!O211&lt;&gt;"",分析!O211,"")</f>
        <v/>
      </c>
      <c r="O211" s="153" t="str">
        <f>IF(分析!X211&lt;&gt;"",分析!X211,"")</f>
        <v/>
      </c>
      <c r="P211" s="154" t="str">
        <f>IF(分析!L211&lt;&gt;"",分析!L211,"")</f>
        <v/>
      </c>
      <c r="Q211" s="151" t="str">
        <f>IF(分析!S211&lt;&gt;"",分析!S211,"")</f>
        <v/>
      </c>
      <c r="R211" s="151" t="str">
        <f>IF(分析!R211&lt;&gt;"",分析!R211,"")</f>
        <v/>
      </c>
      <c r="S211" s="146" t="str">
        <f>IF(分析!AA211&lt;&gt;"",分析!AA211,"")</f>
        <v/>
      </c>
      <c r="T211" s="155" t="str">
        <f>IF(分析!Z211&lt;&gt;"",分析!Z211,"")</f>
        <v/>
      </c>
      <c r="U211" s="146" t="str">
        <f>IF(分析!V211&lt;&gt;"",分析!V211,"")</f>
        <v/>
      </c>
      <c r="V211" s="156" t="str">
        <f>IF(分析!W211&lt;&gt;"",分析!W211,"")</f>
        <v/>
      </c>
      <c r="W211" s="157" t="str">
        <f>IF(分析!AD211&lt;&gt;"",分析!AD211,"")</f>
        <v/>
      </c>
      <c r="X211" s="158" t="str">
        <f>IF(分析!AE211&lt;&gt;"",分析!AE211,"")</f>
        <v/>
      </c>
      <c r="Y211" s="159" t="str">
        <f>IF(分析!T211&lt;&gt;"",分析!T211,"")</f>
        <v/>
      </c>
      <c r="Z211" s="145" t="str">
        <f>IF(分析!Y211&lt;&gt;"",分析!Y211,"")</f>
        <v/>
      </c>
    </row>
    <row r="212" spans="1:26" ht="21.9" customHeight="1">
      <c r="A212" s="131" t="str">
        <f>IF(分析!C212&lt;&gt;"",ROW()-2,"")</f>
        <v/>
      </c>
      <c r="B212" s="132" t="str">
        <f>IF(分析!C212&lt;&gt;"",HYPERLINK("https://kabutan.jp/stock/?code="&amp;分析!C212,"株探"),"")</f>
        <v/>
      </c>
      <c r="C212" s="133" t="str">
        <f>IF(分析!C212&lt;&gt;"",分析!C212,"")</f>
        <v/>
      </c>
      <c r="D212" s="134" t="str">
        <f>IF(分析!D212&lt;&gt;"",分析!D212,"")</f>
        <v/>
      </c>
      <c r="E212" s="135" t="str">
        <f>IF(分析!E212&lt;&gt;"",分析!E212,"")</f>
        <v/>
      </c>
      <c r="F212" s="136" t="str">
        <f>IF(分析!F212&lt;&gt;"",分析!F212,"")</f>
        <v/>
      </c>
      <c r="G212" s="136" t="str">
        <f>IF(分析!H212&lt;&gt;"",分析!H212,"")</f>
        <v/>
      </c>
      <c r="H212" s="136" t="str">
        <f>IF(分析!I212&lt;&gt;"",分析!I212,"")</f>
        <v/>
      </c>
      <c r="I212" s="136" t="str">
        <f>IF(分析!J212&lt;&gt;"",分析!J212,"")</f>
        <v/>
      </c>
      <c r="J212" s="136" t="str">
        <f>IF(分析!AB212&lt;&gt;"",分析!AB212,"")</f>
        <v/>
      </c>
      <c r="K212" s="136" t="str">
        <f>IF(分析!AC212&lt;&gt;"",分析!AC212,"")</f>
        <v/>
      </c>
      <c r="L212" s="136" t="str">
        <f>IF(分析!K212&lt;&gt;"",分析!K212,"")</f>
        <v/>
      </c>
      <c r="M212" s="131" t="str">
        <f>IF(分析!P212&lt;&gt;"",分析!P212,"")</f>
        <v/>
      </c>
      <c r="N212" s="137" t="str">
        <f>IF(分析!O212&lt;&gt;"",分析!O212,"")</f>
        <v/>
      </c>
      <c r="O212" s="138" t="str">
        <f>IF(分析!X212&lt;&gt;"",分析!X212,"")</f>
        <v/>
      </c>
      <c r="P212" s="139" t="str">
        <f>IF(分析!L212&lt;&gt;"",分析!L212,"")</f>
        <v/>
      </c>
      <c r="Q212" s="136" t="str">
        <f>IF(分析!S212&lt;&gt;"",分析!S212,"")</f>
        <v/>
      </c>
      <c r="R212" s="136" t="str">
        <f>IF(分析!R212&lt;&gt;"",分析!R212,"")</f>
        <v/>
      </c>
      <c r="S212" s="131" t="str">
        <f>IF(分析!AA212&lt;&gt;"",分析!AA212,"")</f>
        <v/>
      </c>
      <c r="T212" s="140" t="str">
        <f>IF(分析!Z212&lt;&gt;"",分析!Z212,"")</f>
        <v/>
      </c>
      <c r="U212" s="131" t="str">
        <f>IF(分析!V212&lt;&gt;"",分析!V212,"")</f>
        <v/>
      </c>
      <c r="V212" s="141" t="str">
        <f>IF(分析!W212&lt;&gt;"",分析!W212,"")</f>
        <v/>
      </c>
      <c r="W212" s="142" t="str">
        <f>IF(分析!AD212&lt;&gt;"",分析!AD212,"")</f>
        <v/>
      </c>
      <c r="X212" s="143" t="str">
        <f>IF(分析!AE212&lt;&gt;"",分析!AE212,"")</f>
        <v/>
      </c>
      <c r="Y212" s="144" t="str">
        <f>IF(分析!T212&lt;&gt;"",分析!T212,"")</f>
        <v/>
      </c>
      <c r="Z212" s="145" t="str">
        <f>IF(分析!Y212&lt;&gt;"",分析!Y212,"")</f>
        <v/>
      </c>
    </row>
    <row r="213" spans="1:26" ht="21.9" customHeight="1">
      <c r="A213" s="146" t="str">
        <f>IF(分析!C213&lt;&gt;"",ROW()-2,"")</f>
        <v/>
      </c>
      <c r="B213" s="147" t="str">
        <f>IF(分析!C213&lt;&gt;"",HYPERLINK("https://kabutan.jp/stock/?code="&amp;分析!C213,"株探"),"")</f>
        <v/>
      </c>
      <c r="C213" s="148" t="str">
        <f>IF(分析!C213&lt;&gt;"",分析!C213,"")</f>
        <v/>
      </c>
      <c r="D213" s="149" t="str">
        <f>IF(分析!D213&lt;&gt;"",分析!D213,"")</f>
        <v/>
      </c>
      <c r="E213" s="150" t="str">
        <f>IF(分析!E213&lt;&gt;"",分析!E213,"")</f>
        <v/>
      </c>
      <c r="F213" s="151" t="str">
        <f>IF(分析!F213&lt;&gt;"",分析!F213,"")</f>
        <v/>
      </c>
      <c r="G213" s="151" t="str">
        <f>IF(分析!H213&lt;&gt;"",分析!H213,"")</f>
        <v/>
      </c>
      <c r="H213" s="151" t="str">
        <f>IF(分析!I213&lt;&gt;"",分析!I213,"")</f>
        <v/>
      </c>
      <c r="I213" s="151" t="str">
        <f>IF(分析!J213&lt;&gt;"",分析!J213,"")</f>
        <v/>
      </c>
      <c r="J213" s="151" t="str">
        <f>IF(分析!AB213&lt;&gt;"",分析!AB213,"")</f>
        <v/>
      </c>
      <c r="K213" s="151" t="str">
        <f>IF(分析!AC213&lt;&gt;"",分析!AC213,"")</f>
        <v/>
      </c>
      <c r="L213" s="151" t="str">
        <f>IF(分析!K213&lt;&gt;"",分析!K213,"")</f>
        <v/>
      </c>
      <c r="M213" s="146" t="str">
        <f>IF(分析!P213&lt;&gt;"",分析!P213,"")</f>
        <v/>
      </c>
      <c r="N213" s="152" t="str">
        <f>IF(分析!O213&lt;&gt;"",分析!O213,"")</f>
        <v/>
      </c>
      <c r="O213" s="153" t="str">
        <f>IF(分析!X213&lt;&gt;"",分析!X213,"")</f>
        <v/>
      </c>
      <c r="P213" s="154" t="str">
        <f>IF(分析!L213&lt;&gt;"",分析!L213,"")</f>
        <v/>
      </c>
      <c r="Q213" s="151" t="str">
        <f>IF(分析!S213&lt;&gt;"",分析!S213,"")</f>
        <v/>
      </c>
      <c r="R213" s="151" t="str">
        <f>IF(分析!R213&lt;&gt;"",分析!R213,"")</f>
        <v/>
      </c>
      <c r="S213" s="146" t="str">
        <f>IF(分析!AA213&lt;&gt;"",分析!AA213,"")</f>
        <v/>
      </c>
      <c r="T213" s="155" t="str">
        <f>IF(分析!Z213&lt;&gt;"",分析!Z213,"")</f>
        <v/>
      </c>
      <c r="U213" s="146" t="str">
        <f>IF(分析!V213&lt;&gt;"",分析!V213,"")</f>
        <v/>
      </c>
      <c r="V213" s="156" t="str">
        <f>IF(分析!W213&lt;&gt;"",分析!W213,"")</f>
        <v/>
      </c>
      <c r="W213" s="157" t="str">
        <f>IF(分析!AD213&lt;&gt;"",分析!AD213,"")</f>
        <v/>
      </c>
      <c r="X213" s="158" t="str">
        <f>IF(分析!AE213&lt;&gt;"",分析!AE213,"")</f>
        <v/>
      </c>
      <c r="Y213" s="159" t="str">
        <f>IF(分析!T213&lt;&gt;"",分析!T213,"")</f>
        <v/>
      </c>
      <c r="Z213" s="145" t="str">
        <f>IF(分析!Y213&lt;&gt;"",分析!Y213,"")</f>
        <v/>
      </c>
    </row>
    <row r="214" spans="1:26" ht="21.9" customHeight="1">
      <c r="A214" s="131" t="str">
        <f>IF(分析!C214&lt;&gt;"",ROW()-2,"")</f>
        <v/>
      </c>
      <c r="B214" s="132" t="str">
        <f>IF(分析!C214&lt;&gt;"",HYPERLINK("https://kabutan.jp/stock/?code="&amp;分析!C214,"株探"),"")</f>
        <v/>
      </c>
      <c r="C214" s="133" t="str">
        <f>IF(分析!C214&lt;&gt;"",分析!C214,"")</f>
        <v/>
      </c>
      <c r="D214" s="134" t="str">
        <f>IF(分析!D214&lt;&gt;"",分析!D214,"")</f>
        <v/>
      </c>
      <c r="E214" s="135" t="str">
        <f>IF(分析!E214&lt;&gt;"",分析!E214,"")</f>
        <v/>
      </c>
      <c r="F214" s="136" t="str">
        <f>IF(分析!F214&lt;&gt;"",分析!F214,"")</f>
        <v/>
      </c>
      <c r="G214" s="136" t="str">
        <f>IF(分析!H214&lt;&gt;"",分析!H214,"")</f>
        <v/>
      </c>
      <c r="H214" s="136" t="str">
        <f>IF(分析!I214&lt;&gt;"",分析!I214,"")</f>
        <v/>
      </c>
      <c r="I214" s="136" t="str">
        <f>IF(分析!J214&lt;&gt;"",分析!J214,"")</f>
        <v/>
      </c>
      <c r="J214" s="136" t="str">
        <f>IF(分析!AB214&lt;&gt;"",分析!AB214,"")</f>
        <v/>
      </c>
      <c r="K214" s="136" t="str">
        <f>IF(分析!AC214&lt;&gt;"",分析!AC214,"")</f>
        <v/>
      </c>
      <c r="L214" s="136" t="str">
        <f>IF(分析!K214&lt;&gt;"",分析!K214,"")</f>
        <v/>
      </c>
      <c r="M214" s="131" t="str">
        <f>IF(分析!P214&lt;&gt;"",分析!P214,"")</f>
        <v/>
      </c>
      <c r="N214" s="137" t="str">
        <f>IF(分析!O214&lt;&gt;"",分析!O214,"")</f>
        <v/>
      </c>
      <c r="O214" s="138" t="str">
        <f>IF(分析!X214&lt;&gt;"",分析!X214,"")</f>
        <v/>
      </c>
      <c r="P214" s="139" t="str">
        <f>IF(分析!L214&lt;&gt;"",分析!L214,"")</f>
        <v/>
      </c>
      <c r="Q214" s="136" t="str">
        <f>IF(分析!S214&lt;&gt;"",分析!S214,"")</f>
        <v/>
      </c>
      <c r="R214" s="136" t="str">
        <f>IF(分析!R214&lt;&gt;"",分析!R214,"")</f>
        <v/>
      </c>
      <c r="S214" s="131" t="str">
        <f>IF(分析!AA214&lt;&gt;"",分析!AA214,"")</f>
        <v/>
      </c>
      <c r="T214" s="140" t="str">
        <f>IF(分析!Z214&lt;&gt;"",分析!Z214,"")</f>
        <v/>
      </c>
      <c r="U214" s="131" t="str">
        <f>IF(分析!V214&lt;&gt;"",分析!V214,"")</f>
        <v/>
      </c>
      <c r="V214" s="141" t="str">
        <f>IF(分析!W214&lt;&gt;"",分析!W214,"")</f>
        <v/>
      </c>
      <c r="W214" s="142" t="str">
        <f>IF(分析!AD214&lt;&gt;"",分析!AD214,"")</f>
        <v/>
      </c>
      <c r="X214" s="143" t="str">
        <f>IF(分析!AE214&lt;&gt;"",分析!AE214,"")</f>
        <v/>
      </c>
      <c r="Y214" s="144" t="str">
        <f>IF(分析!T214&lt;&gt;"",分析!T214,"")</f>
        <v/>
      </c>
      <c r="Z214" s="145" t="str">
        <f>IF(分析!Y214&lt;&gt;"",分析!Y214,"")</f>
        <v/>
      </c>
    </row>
    <row r="215" spans="1:26" ht="21.9" customHeight="1">
      <c r="A215" s="146" t="str">
        <f>IF(分析!C215&lt;&gt;"",ROW()-2,"")</f>
        <v/>
      </c>
      <c r="B215" s="147" t="str">
        <f>IF(分析!C215&lt;&gt;"",HYPERLINK("https://kabutan.jp/stock/?code="&amp;分析!C215,"株探"),"")</f>
        <v/>
      </c>
      <c r="C215" s="148" t="str">
        <f>IF(分析!C215&lt;&gt;"",分析!C215,"")</f>
        <v/>
      </c>
      <c r="D215" s="149" t="str">
        <f>IF(分析!D215&lt;&gt;"",分析!D215,"")</f>
        <v/>
      </c>
      <c r="E215" s="150" t="str">
        <f>IF(分析!E215&lt;&gt;"",分析!E215,"")</f>
        <v/>
      </c>
      <c r="F215" s="151" t="str">
        <f>IF(分析!F215&lt;&gt;"",分析!F215,"")</f>
        <v/>
      </c>
      <c r="G215" s="151" t="str">
        <f>IF(分析!H215&lt;&gt;"",分析!H215,"")</f>
        <v/>
      </c>
      <c r="H215" s="151" t="str">
        <f>IF(分析!I215&lt;&gt;"",分析!I215,"")</f>
        <v/>
      </c>
      <c r="I215" s="151" t="str">
        <f>IF(分析!J215&lt;&gt;"",分析!J215,"")</f>
        <v/>
      </c>
      <c r="J215" s="151" t="str">
        <f>IF(分析!AB215&lt;&gt;"",分析!AB215,"")</f>
        <v/>
      </c>
      <c r="K215" s="151" t="str">
        <f>IF(分析!AC215&lt;&gt;"",分析!AC215,"")</f>
        <v/>
      </c>
      <c r="L215" s="151" t="str">
        <f>IF(分析!K215&lt;&gt;"",分析!K215,"")</f>
        <v/>
      </c>
      <c r="M215" s="146" t="str">
        <f>IF(分析!P215&lt;&gt;"",分析!P215,"")</f>
        <v/>
      </c>
      <c r="N215" s="152" t="str">
        <f>IF(分析!O215&lt;&gt;"",分析!O215,"")</f>
        <v/>
      </c>
      <c r="O215" s="153" t="str">
        <f>IF(分析!X215&lt;&gt;"",分析!X215,"")</f>
        <v/>
      </c>
      <c r="P215" s="154" t="str">
        <f>IF(分析!L215&lt;&gt;"",分析!L215,"")</f>
        <v/>
      </c>
      <c r="Q215" s="151" t="str">
        <f>IF(分析!S215&lt;&gt;"",分析!S215,"")</f>
        <v/>
      </c>
      <c r="R215" s="151" t="str">
        <f>IF(分析!R215&lt;&gt;"",分析!R215,"")</f>
        <v/>
      </c>
      <c r="S215" s="146" t="str">
        <f>IF(分析!AA215&lt;&gt;"",分析!AA215,"")</f>
        <v/>
      </c>
      <c r="T215" s="155" t="str">
        <f>IF(分析!Z215&lt;&gt;"",分析!Z215,"")</f>
        <v/>
      </c>
      <c r="U215" s="146" t="str">
        <f>IF(分析!V215&lt;&gt;"",分析!V215,"")</f>
        <v/>
      </c>
      <c r="V215" s="156" t="str">
        <f>IF(分析!W215&lt;&gt;"",分析!W215,"")</f>
        <v/>
      </c>
      <c r="W215" s="157" t="str">
        <f>IF(分析!AD215&lt;&gt;"",分析!AD215,"")</f>
        <v/>
      </c>
      <c r="X215" s="158" t="str">
        <f>IF(分析!AE215&lt;&gt;"",分析!AE215,"")</f>
        <v/>
      </c>
      <c r="Y215" s="159" t="str">
        <f>IF(分析!T215&lt;&gt;"",分析!T215,"")</f>
        <v/>
      </c>
      <c r="Z215" s="145" t="str">
        <f>IF(分析!Y215&lt;&gt;"",分析!Y215,"")</f>
        <v/>
      </c>
    </row>
    <row r="216" spans="1:26" ht="21.9" customHeight="1">
      <c r="A216" s="131" t="str">
        <f>IF(分析!C216&lt;&gt;"",ROW()-2,"")</f>
        <v/>
      </c>
      <c r="B216" s="132" t="str">
        <f>IF(分析!C216&lt;&gt;"",HYPERLINK("https://kabutan.jp/stock/?code="&amp;分析!C216,"株探"),"")</f>
        <v/>
      </c>
      <c r="C216" s="133" t="str">
        <f>IF(分析!C216&lt;&gt;"",分析!C216,"")</f>
        <v/>
      </c>
      <c r="D216" s="134" t="str">
        <f>IF(分析!D216&lt;&gt;"",分析!D216,"")</f>
        <v/>
      </c>
      <c r="E216" s="135" t="str">
        <f>IF(分析!E216&lt;&gt;"",分析!E216,"")</f>
        <v/>
      </c>
      <c r="F216" s="136" t="str">
        <f>IF(分析!F216&lt;&gt;"",分析!F216,"")</f>
        <v/>
      </c>
      <c r="G216" s="136" t="str">
        <f>IF(分析!H216&lt;&gt;"",分析!H216,"")</f>
        <v/>
      </c>
      <c r="H216" s="136" t="str">
        <f>IF(分析!I216&lt;&gt;"",分析!I216,"")</f>
        <v/>
      </c>
      <c r="I216" s="136" t="str">
        <f>IF(分析!J216&lt;&gt;"",分析!J216,"")</f>
        <v/>
      </c>
      <c r="J216" s="136" t="str">
        <f>IF(分析!AB216&lt;&gt;"",分析!AB216,"")</f>
        <v/>
      </c>
      <c r="K216" s="136" t="str">
        <f>IF(分析!AC216&lt;&gt;"",分析!AC216,"")</f>
        <v/>
      </c>
      <c r="L216" s="136" t="str">
        <f>IF(分析!K216&lt;&gt;"",分析!K216,"")</f>
        <v/>
      </c>
      <c r="M216" s="131" t="str">
        <f>IF(分析!P216&lt;&gt;"",分析!P216,"")</f>
        <v/>
      </c>
      <c r="N216" s="137" t="str">
        <f>IF(分析!O216&lt;&gt;"",分析!O216,"")</f>
        <v/>
      </c>
      <c r="O216" s="138" t="str">
        <f>IF(分析!X216&lt;&gt;"",分析!X216,"")</f>
        <v/>
      </c>
      <c r="P216" s="139" t="str">
        <f>IF(分析!L216&lt;&gt;"",分析!L216,"")</f>
        <v/>
      </c>
      <c r="Q216" s="136" t="str">
        <f>IF(分析!S216&lt;&gt;"",分析!S216,"")</f>
        <v/>
      </c>
      <c r="R216" s="136" t="str">
        <f>IF(分析!R216&lt;&gt;"",分析!R216,"")</f>
        <v/>
      </c>
      <c r="S216" s="131" t="str">
        <f>IF(分析!AA216&lt;&gt;"",分析!AA216,"")</f>
        <v/>
      </c>
      <c r="T216" s="140" t="str">
        <f>IF(分析!Z216&lt;&gt;"",分析!Z216,"")</f>
        <v/>
      </c>
      <c r="U216" s="131" t="str">
        <f>IF(分析!V216&lt;&gt;"",分析!V216,"")</f>
        <v/>
      </c>
      <c r="V216" s="141" t="str">
        <f>IF(分析!W216&lt;&gt;"",分析!W216,"")</f>
        <v/>
      </c>
      <c r="W216" s="142" t="str">
        <f>IF(分析!AD216&lt;&gt;"",分析!AD216,"")</f>
        <v/>
      </c>
      <c r="X216" s="143" t="str">
        <f>IF(分析!AE216&lt;&gt;"",分析!AE216,"")</f>
        <v/>
      </c>
      <c r="Y216" s="144" t="str">
        <f>IF(分析!T216&lt;&gt;"",分析!T216,"")</f>
        <v/>
      </c>
      <c r="Z216" s="145" t="str">
        <f>IF(分析!Y216&lt;&gt;"",分析!Y216,"")</f>
        <v/>
      </c>
    </row>
    <row r="217" spans="1:26" ht="21.9" customHeight="1">
      <c r="A217" s="146" t="str">
        <f>IF(分析!C217&lt;&gt;"",ROW()-2,"")</f>
        <v/>
      </c>
      <c r="B217" s="147" t="str">
        <f>IF(分析!C217&lt;&gt;"",HYPERLINK("https://kabutan.jp/stock/?code="&amp;分析!C217,"株探"),"")</f>
        <v/>
      </c>
      <c r="C217" s="148" t="str">
        <f>IF(分析!C217&lt;&gt;"",分析!C217,"")</f>
        <v/>
      </c>
      <c r="D217" s="149" t="str">
        <f>IF(分析!D217&lt;&gt;"",分析!D217,"")</f>
        <v/>
      </c>
      <c r="E217" s="150" t="str">
        <f>IF(分析!E217&lt;&gt;"",分析!E217,"")</f>
        <v/>
      </c>
      <c r="F217" s="151" t="str">
        <f>IF(分析!F217&lt;&gt;"",分析!F217,"")</f>
        <v/>
      </c>
      <c r="G217" s="151" t="str">
        <f>IF(分析!H217&lt;&gt;"",分析!H217,"")</f>
        <v/>
      </c>
      <c r="H217" s="151" t="str">
        <f>IF(分析!I217&lt;&gt;"",分析!I217,"")</f>
        <v/>
      </c>
      <c r="I217" s="151" t="str">
        <f>IF(分析!J217&lt;&gt;"",分析!J217,"")</f>
        <v/>
      </c>
      <c r="J217" s="151" t="str">
        <f>IF(分析!AB217&lt;&gt;"",分析!AB217,"")</f>
        <v/>
      </c>
      <c r="K217" s="151" t="str">
        <f>IF(分析!AC217&lt;&gt;"",分析!AC217,"")</f>
        <v/>
      </c>
      <c r="L217" s="151" t="str">
        <f>IF(分析!K217&lt;&gt;"",分析!K217,"")</f>
        <v/>
      </c>
      <c r="M217" s="146" t="str">
        <f>IF(分析!P217&lt;&gt;"",分析!P217,"")</f>
        <v/>
      </c>
      <c r="N217" s="152" t="str">
        <f>IF(分析!O217&lt;&gt;"",分析!O217,"")</f>
        <v/>
      </c>
      <c r="O217" s="153" t="str">
        <f>IF(分析!X217&lt;&gt;"",分析!X217,"")</f>
        <v/>
      </c>
      <c r="P217" s="154" t="str">
        <f>IF(分析!L217&lt;&gt;"",分析!L217,"")</f>
        <v/>
      </c>
      <c r="Q217" s="151" t="str">
        <f>IF(分析!S217&lt;&gt;"",分析!S217,"")</f>
        <v/>
      </c>
      <c r="R217" s="151" t="str">
        <f>IF(分析!R217&lt;&gt;"",分析!R217,"")</f>
        <v/>
      </c>
      <c r="S217" s="146" t="str">
        <f>IF(分析!AA217&lt;&gt;"",分析!AA217,"")</f>
        <v/>
      </c>
      <c r="T217" s="155" t="str">
        <f>IF(分析!Z217&lt;&gt;"",分析!Z217,"")</f>
        <v/>
      </c>
      <c r="U217" s="146" t="str">
        <f>IF(分析!V217&lt;&gt;"",分析!V217,"")</f>
        <v/>
      </c>
      <c r="V217" s="156" t="str">
        <f>IF(分析!W217&lt;&gt;"",分析!W217,"")</f>
        <v/>
      </c>
      <c r="W217" s="157" t="str">
        <f>IF(分析!AD217&lt;&gt;"",分析!AD217,"")</f>
        <v/>
      </c>
      <c r="X217" s="158" t="str">
        <f>IF(分析!AE217&lt;&gt;"",分析!AE217,"")</f>
        <v/>
      </c>
      <c r="Y217" s="159" t="str">
        <f>IF(分析!T217&lt;&gt;"",分析!T217,"")</f>
        <v/>
      </c>
      <c r="Z217" s="145" t="str">
        <f>IF(分析!Y217&lt;&gt;"",分析!Y217,"")</f>
        <v/>
      </c>
    </row>
    <row r="218" spans="1:26" ht="21.9" customHeight="1">
      <c r="A218" s="131" t="str">
        <f>IF(分析!C218&lt;&gt;"",ROW()-2,"")</f>
        <v/>
      </c>
      <c r="B218" s="132" t="str">
        <f>IF(分析!C218&lt;&gt;"",HYPERLINK("https://kabutan.jp/stock/?code="&amp;分析!C218,"株探"),"")</f>
        <v/>
      </c>
      <c r="C218" s="133" t="str">
        <f>IF(分析!C218&lt;&gt;"",分析!C218,"")</f>
        <v/>
      </c>
      <c r="D218" s="134" t="str">
        <f>IF(分析!D218&lt;&gt;"",分析!D218,"")</f>
        <v/>
      </c>
      <c r="E218" s="135" t="str">
        <f>IF(分析!E218&lt;&gt;"",分析!E218,"")</f>
        <v/>
      </c>
      <c r="F218" s="136" t="str">
        <f>IF(分析!F218&lt;&gt;"",分析!F218,"")</f>
        <v/>
      </c>
      <c r="G218" s="136" t="str">
        <f>IF(分析!H218&lt;&gt;"",分析!H218,"")</f>
        <v/>
      </c>
      <c r="H218" s="136" t="str">
        <f>IF(分析!I218&lt;&gt;"",分析!I218,"")</f>
        <v/>
      </c>
      <c r="I218" s="136" t="str">
        <f>IF(分析!J218&lt;&gt;"",分析!J218,"")</f>
        <v/>
      </c>
      <c r="J218" s="136" t="str">
        <f>IF(分析!AB218&lt;&gt;"",分析!AB218,"")</f>
        <v/>
      </c>
      <c r="K218" s="136" t="str">
        <f>IF(分析!AC218&lt;&gt;"",分析!AC218,"")</f>
        <v/>
      </c>
      <c r="L218" s="136" t="str">
        <f>IF(分析!K218&lt;&gt;"",分析!K218,"")</f>
        <v/>
      </c>
      <c r="M218" s="131" t="str">
        <f>IF(分析!P218&lt;&gt;"",分析!P218,"")</f>
        <v/>
      </c>
      <c r="N218" s="137" t="str">
        <f>IF(分析!O218&lt;&gt;"",分析!O218,"")</f>
        <v/>
      </c>
      <c r="O218" s="138" t="str">
        <f>IF(分析!X218&lt;&gt;"",分析!X218,"")</f>
        <v/>
      </c>
      <c r="P218" s="139" t="str">
        <f>IF(分析!L218&lt;&gt;"",分析!L218,"")</f>
        <v/>
      </c>
      <c r="Q218" s="136" t="str">
        <f>IF(分析!S218&lt;&gt;"",分析!S218,"")</f>
        <v/>
      </c>
      <c r="R218" s="136" t="str">
        <f>IF(分析!R218&lt;&gt;"",分析!R218,"")</f>
        <v/>
      </c>
      <c r="S218" s="131" t="str">
        <f>IF(分析!AA218&lt;&gt;"",分析!AA218,"")</f>
        <v/>
      </c>
      <c r="T218" s="140" t="str">
        <f>IF(分析!Z218&lt;&gt;"",分析!Z218,"")</f>
        <v/>
      </c>
      <c r="U218" s="131" t="str">
        <f>IF(分析!V218&lt;&gt;"",分析!V218,"")</f>
        <v/>
      </c>
      <c r="V218" s="141" t="str">
        <f>IF(分析!W218&lt;&gt;"",分析!W218,"")</f>
        <v/>
      </c>
      <c r="W218" s="142" t="str">
        <f>IF(分析!AD218&lt;&gt;"",分析!AD218,"")</f>
        <v/>
      </c>
      <c r="X218" s="143" t="str">
        <f>IF(分析!AE218&lt;&gt;"",分析!AE218,"")</f>
        <v/>
      </c>
      <c r="Y218" s="144" t="str">
        <f>IF(分析!T218&lt;&gt;"",分析!T218,"")</f>
        <v/>
      </c>
      <c r="Z218" s="145" t="str">
        <f>IF(分析!Y218&lt;&gt;"",分析!Y218,"")</f>
        <v/>
      </c>
    </row>
    <row r="219" spans="1:26" ht="21.9" customHeight="1">
      <c r="A219" s="146" t="str">
        <f>IF(分析!C219&lt;&gt;"",ROW()-2,"")</f>
        <v/>
      </c>
      <c r="B219" s="147" t="str">
        <f>IF(分析!C219&lt;&gt;"",HYPERLINK("https://kabutan.jp/stock/?code="&amp;分析!C219,"株探"),"")</f>
        <v/>
      </c>
      <c r="C219" s="148" t="str">
        <f>IF(分析!C219&lt;&gt;"",分析!C219,"")</f>
        <v/>
      </c>
      <c r="D219" s="149" t="str">
        <f>IF(分析!D219&lt;&gt;"",分析!D219,"")</f>
        <v/>
      </c>
      <c r="E219" s="150" t="str">
        <f>IF(分析!E219&lt;&gt;"",分析!E219,"")</f>
        <v/>
      </c>
      <c r="F219" s="151" t="str">
        <f>IF(分析!F219&lt;&gt;"",分析!F219,"")</f>
        <v/>
      </c>
      <c r="G219" s="151" t="str">
        <f>IF(分析!H219&lt;&gt;"",分析!H219,"")</f>
        <v/>
      </c>
      <c r="H219" s="151" t="str">
        <f>IF(分析!I219&lt;&gt;"",分析!I219,"")</f>
        <v/>
      </c>
      <c r="I219" s="151" t="str">
        <f>IF(分析!J219&lt;&gt;"",分析!J219,"")</f>
        <v/>
      </c>
      <c r="J219" s="151" t="str">
        <f>IF(分析!AB219&lt;&gt;"",分析!AB219,"")</f>
        <v/>
      </c>
      <c r="K219" s="151" t="str">
        <f>IF(分析!AC219&lt;&gt;"",分析!AC219,"")</f>
        <v/>
      </c>
      <c r="L219" s="151" t="str">
        <f>IF(分析!K219&lt;&gt;"",分析!K219,"")</f>
        <v/>
      </c>
      <c r="M219" s="146" t="str">
        <f>IF(分析!P219&lt;&gt;"",分析!P219,"")</f>
        <v/>
      </c>
      <c r="N219" s="152" t="str">
        <f>IF(分析!O219&lt;&gt;"",分析!O219,"")</f>
        <v/>
      </c>
      <c r="O219" s="153" t="str">
        <f>IF(分析!X219&lt;&gt;"",分析!X219,"")</f>
        <v/>
      </c>
      <c r="P219" s="154" t="str">
        <f>IF(分析!L219&lt;&gt;"",分析!L219,"")</f>
        <v/>
      </c>
      <c r="Q219" s="151" t="str">
        <f>IF(分析!S219&lt;&gt;"",分析!S219,"")</f>
        <v/>
      </c>
      <c r="R219" s="151" t="str">
        <f>IF(分析!R219&lt;&gt;"",分析!R219,"")</f>
        <v/>
      </c>
      <c r="S219" s="146" t="str">
        <f>IF(分析!AA219&lt;&gt;"",分析!AA219,"")</f>
        <v/>
      </c>
      <c r="T219" s="155" t="str">
        <f>IF(分析!Z219&lt;&gt;"",分析!Z219,"")</f>
        <v/>
      </c>
      <c r="U219" s="146" t="str">
        <f>IF(分析!V219&lt;&gt;"",分析!V219,"")</f>
        <v/>
      </c>
      <c r="V219" s="156" t="str">
        <f>IF(分析!W219&lt;&gt;"",分析!W219,"")</f>
        <v/>
      </c>
      <c r="W219" s="157" t="str">
        <f>IF(分析!AD219&lt;&gt;"",分析!AD219,"")</f>
        <v/>
      </c>
      <c r="X219" s="158" t="str">
        <f>IF(分析!AE219&lt;&gt;"",分析!AE219,"")</f>
        <v/>
      </c>
      <c r="Y219" s="159" t="str">
        <f>IF(分析!T219&lt;&gt;"",分析!T219,"")</f>
        <v/>
      </c>
      <c r="Z219" s="145" t="str">
        <f>IF(分析!Y219&lt;&gt;"",分析!Y219,"")</f>
        <v/>
      </c>
    </row>
    <row r="220" spans="1:26" ht="21.9" customHeight="1">
      <c r="A220" s="131" t="str">
        <f>IF(分析!C220&lt;&gt;"",ROW()-2,"")</f>
        <v/>
      </c>
      <c r="B220" s="132" t="str">
        <f>IF(分析!C220&lt;&gt;"",HYPERLINK("https://kabutan.jp/stock/?code="&amp;分析!C220,"株探"),"")</f>
        <v/>
      </c>
      <c r="C220" s="133" t="str">
        <f>IF(分析!C220&lt;&gt;"",分析!C220,"")</f>
        <v/>
      </c>
      <c r="D220" s="134" t="str">
        <f>IF(分析!D220&lt;&gt;"",分析!D220,"")</f>
        <v/>
      </c>
      <c r="E220" s="135" t="str">
        <f>IF(分析!E220&lt;&gt;"",分析!E220,"")</f>
        <v/>
      </c>
      <c r="F220" s="136" t="str">
        <f>IF(分析!F220&lt;&gt;"",分析!F220,"")</f>
        <v/>
      </c>
      <c r="G220" s="136" t="str">
        <f>IF(分析!H220&lt;&gt;"",分析!H220,"")</f>
        <v/>
      </c>
      <c r="H220" s="136" t="str">
        <f>IF(分析!I220&lt;&gt;"",分析!I220,"")</f>
        <v/>
      </c>
      <c r="I220" s="136" t="str">
        <f>IF(分析!J220&lt;&gt;"",分析!J220,"")</f>
        <v/>
      </c>
      <c r="J220" s="136" t="str">
        <f>IF(分析!AB220&lt;&gt;"",分析!AB220,"")</f>
        <v/>
      </c>
      <c r="K220" s="136" t="str">
        <f>IF(分析!AC220&lt;&gt;"",分析!AC220,"")</f>
        <v/>
      </c>
      <c r="L220" s="136" t="str">
        <f>IF(分析!K220&lt;&gt;"",分析!K220,"")</f>
        <v/>
      </c>
      <c r="M220" s="131" t="str">
        <f>IF(分析!P220&lt;&gt;"",分析!P220,"")</f>
        <v/>
      </c>
      <c r="N220" s="137" t="str">
        <f>IF(分析!O220&lt;&gt;"",分析!O220,"")</f>
        <v/>
      </c>
      <c r="O220" s="138" t="str">
        <f>IF(分析!X220&lt;&gt;"",分析!X220,"")</f>
        <v/>
      </c>
      <c r="P220" s="139" t="str">
        <f>IF(分析!L220&lt;&gt;"",分析!L220,"")</f>
        <v/>
      </c>
      <c r="Q220" s="136" t="str">
        <f>IF(分析!S220&lt;&gt;"",分析!S220,"")</f>
        <v/>
      </c>
      <c r="R220" s="136" t="str">
        <f>IF(分析!R220&lt;&gt;"",分析!R220,"")</f>
        <v/>
      </c>
      <c r="S220" s="131" t="str">
        <f>IF(分析!AA220&lt;&gt;"",分析!AA220,"")</f>
        <v/>
      </c>
      <c r="T220" s="140" t="str">
        <f>IF(分析!Z220&lt;&gt;"",分析!Z220,"")</f>
        <v/>
      </c>
      <c r="U220" s="131" t="str">
        <f>IF(分析!V220&lt;&gt;"",分析!V220,"")</f>
        <v/>
      </c>
      <c r="V220" s="141" t="str">
        <f>IF(分析!W220&lt;&gt;"",分析!W220,"")</f>
        <v/>
      </c>
      <c r="W220" s="142" t="str">
        <f>IF(分析!AD220&lt;&gt;"",分析!AD220,"")</f>
        <v/>
      </c>
      <c r="X220" s="143" t="str">
        <f>IF(分析!AE220&lt;&gt;"",分析!AE220,"")</f>
        <v/>
      </c>
      <c r="Y220" s="144" t="str">
        <f>IF(分析!T220&lt;&gt;"",分析!T220,"")</f>
        <v/>
      </c>
      <c r="Z220" s="145" t="str">
        <f>IF(分析!Y220&lt;&gt;"",分析!Y220,"")</f>
        <v/>
      </c>
    </row>
    <row r="221" spans="1:26" ht="21.9" customHeight="1">
      <c r="A221" s="146" t="str">
        <f>IF(分析!C221&lt;&gt;"",ROW()-2,"")</f>
        <v/>
      </c>
      <c r="B221" s="147" t="str">
        <f>IF(分析!C221&lt;&gt;"",HYPERLINK("https://kabutan.jp/stock/?code="&amp;分析!C221,"株探"),"")</f>
        <v/>
      </c>
      <c r="C221" s="148" t="str">
        <f>IF(分析!C221&lt;&gt;"",分析!C221,"")</f>
        <v/>
      </c>
      <c r="D221" s="149" t="str">
        <f>IF(分析!D221&lt;&gt;"",分析!D221,"")</f>
        <v/>
      </c>
      <c r="E221" s="150" t="str">
        <f>IF(分析!E221&lt;&gt;"",分析!E221,"")</f>
        <v/>
      </c>
      <c r="F221" s="151" t="str">
        <f>IF(分析!F221&lt;&gt;"",分析!F221,"")</f>
        <v/>
      </c>
      <c r="G221" s="151" t="str">
        <f>IF(分析!H221&lt;&gt;"",分析!H221,"")</f>
        <v/>
      </c>
      <c r="H221" s="151" t="str">
        <f>IF(分析!I221&lt;&gt;"",分析!I221,"")</f>
        <v/>
      </c>
      <c r="I221" s="151" t="str">
        <f>IF(分析!J221&lt;&gt;"",分析!J221,"")</f>
        <v/>
      </c>
      <c r="J221" s="151" t="str">
        <f>IF(分析!AB221&lt;&gt;"",分析!AB221,"")</f>
        <v/>
      </c>
      <c r="K221" s="151" t="str">
        <f>IF(分析!AC221&lt;&gt;"",分析!AC221,"")</f>
        <v/>
      </c>
      <c r="L221" s="151" t="str">
        <f>IF(分析!K221&lt;&gt;"",分析!K221,"")</f>
        <v/>
      </c>
      <c r="M221" s="146" t="str">
        <f>IF(分析!P221&lt;&gt;"",分析!P221,"")</f>
        <v/>
      </c>
      <c r="N221" s="152" t="str">
        <f>IF(分析!O221&lt;&gt;"",分析!O221,"")</f>
        <v/>
      </c>
      <c r="O221" s="153" t="str">
        <f>IF(分析!X221&lt;&gt;"",分析!X221,"")</f>
        <v/>
      </c>
      <c r="P221" s="154" t="str">
        <f>IF(分析!L221&lt;&gt;"",分析!L221,"")</f>
        <v/>
      </c>
      <c r="Q221" s="151" t="str">
        <f>IF(分析!S221&lt;&gt;"",分析!S221,"")</f>
        <v/>
      </c>
      <c r="R221" s="151" t="str">
        <f>IF(分析!R221&lt;&gt;"",分析!R221,"")</f>
        <v/>
      </c>
      <c r="S221" s="146" t="str">
        <f>IF(分析!AA221&lt;&gt;"",分析!AA221,"")</f>
        <v/>
      </c>
      <c r="T221" s="155" t="str">
        <f>IF(分析!Z221&lt;&gt;"",分析!Z221,"")</f>
        <v/>
      </c>
      <c r="U221" s="146" t="str">
        <f>IF(分析!V221&lt;&gt;"",分析!V221,"")</f>
        <v/>
      </c>
      <c r="V221" s="156" t="str">
        <f>IF(分析!W221&lt;&gt;"",分析!W221,"")</f>
        <v/>
      </c>
      <c r="W221" s="157" t="str">
        <f>IF(分析!AD221&lt;&gt;"",分析!AD221,"")</f>
        <v/>
      </c>
      <c r="X221" s="158" t="str">
        <f>IF(分析!AE221&lt;&gt;"",分析!AE221,"")</f>
        <v/>
      </c>
      <c r="Y221" s="159" t="str">
        <f>IF(分析!T221&lt;&gt;"",分析!T221,"")</f>
        <v/>
      </c>
      <c r="Z221" s="145" t="str">
        <f>IF(分析!Y221&lt;&gt;"",分析!Y221,"")</f>
        <v/>
      </c>
    </row>
    <row r="222" spans="1:26" ht="21.9" customHeight="1">
      <c r="A222" s="131" t="str">
        <f>IF(分析!C222&lt;&gt;"",ROW()-2,"")</f>
        <v/>
      </c>
      <c r="B222" s="132" t="str">
        <f>IF(分析!C222&lt;&gt;"",HYPERLINK("https://kabutan.jp/stock/?code="&amp;分析!C222,"株探"),"")</f>
        <v/>
      </c>
      <c r="C222" s="133" t="str">
        <f>IF(分析!C222&lt;&gt;"",分析!C222,"")</f>
        <v/>
      </c>
      <c r="D222" s="134" t="str">
        <f>IF(分析!D222&lt;&gt;"",分析!D222,"")</f>
        <v/>
      </c>
      <c r="E222" s="135" t="str">
        <f>IF(分析!E222&lt;&gt;"",分析!E222,"")</f>
        <v/>
      </c>
      <c r="F222" s="136" t="str">
        <f>IF(分析!F222&lt;&gt;"",分析!F222,"")</f>
        <v/>
      </c>
      <c r="G222" s="136" t="str">
        <f>IF(分析!H222&lt;&gt;"",分析!H222,"")</f>
        <v/>
      </c>
      <c r="H222" s="136" t="str">
        <f>IF(分析!I222&lt;&gt;"",分析!I222,"")</f>
        <v/>
      </c>
      <c r="I222" s="136" t="str">
        <f>IF(分析!J222&lt;&gt;"",分析!J222,"")</f>
        <v/>
      </c>
      <c r="J222" s="136" t="str">
        <f>IF(分析!AB222&lt;&gt;"",分析!AB222,"")</f>
        <v/>
      </c>
      <c r="K222" s="136" t="str">
        <f>IF(分析!AC222&lt;&gt;"",分析!AC222,"")</f>
        <v/>
      </c>
      <c r="L222" s="136" t="str">
        <f>IF(分析!K222&lt;&gt;"",分析!K222,"")</f>
        <v/>
      </c>
      <c r="M222" s="131" t="str">
        <f>IF(分析!P222&lt;&gt;"",分析!P222,"")</f>
        <v/>
      </c>
      <c r="N222" s="137" t="str">
        <f>IF(分析!O222&lt;&gt;"",分析!O222,"")</f>
        <v/>
      </c>
      <c r="O222" s="138" t="str">
        <f>IF(分析!X222&lt;&gt;"",分析!X222,"")</f>
        <v/>
      </c>
      <c r="P222" s="139" t="str">
        <f>IF(分析!L222&lt;&gt;"",分析!L222,"")</f>
        <v/>
      </c>
      <c r="Q222" s="136" t="str">
        <f>IF(分析!S222&lt;&gt;"",分析!S222,"")</f>
        <v/>
      </c>
      <c r="R222" s="136" t="str">
        <f>IF(分析!R222&lt;&gt;"",分析!R222,"")</f>
        <v/>
      </c>
      <c r="S222" s="131" t="str">
        <f>IF(分析!AA222&lt;&gt;"",分析!AA222,"")</f>
        <v/>
      </c>
      <c r="T222" s="140" t="str">
        <f>IF(分析!Z222&lt;&gt;"",分析!Z222,"")</f>
        <v/>
      </c>
      <c r="U222" s="131" t="str">
        <f>IF(分析!V222&lt;&gt;"",分析!V222,"")</f>
        <v/>
      </c>
      <c r="V222" s="141" t="str">
        <f>IF(分析!W222&lt;&gt;"",分析!W222,"")</f>
        <v/>
      </c>
      <c r="W222" s="142" t="str">
        <f>IF(分析!AD222&lt;&gt;"",分析!AD222,"")</f>
        <v/>
      </c>
      <c r="X222" s="143" t="str">
        <f>IF(分析!AE222&lt;&gt;"",分析!AE222,"")</f>
        <v/>
      </c>
      <c r="Y222" s="144" t="str">
        <f>IF(分析!T222&lt;&gt;"",分析!T222,"")</f>
        <v/>
      </c>
      <c r="Z222" s="145" t="str">
        <f>IF(分析!Y222&lt;&gt;"",分析!Y222,"")</f>
        <v/>
      </c>
    </row>
    <row r="223" spans="1:26" ht="21.9" customHeight="1">
      <c r="A223" s="146" t="str">
        <f>IF(分析!C223&lt;&gt;"",ROW()-2,"")</f>
        <v/>
      </c>
      <c r="B223" s="147" t="str">
        <f>IF(分析!C223&lt;&gt;"",HYPERLINK("https://kabutan.jp/stock/?code="&amp;分析!C223,"株探"),"")</f>
        <v/>
      </c>
      <c r="C223" s="148" t="str">
        <f>IF(分析!C223&lt;&gt;"",分析!C223,"")</f>
        <v/>
      </c>
      <c r="D223" s="149" t="str">
        <f>IF(分析!D223&lt;&gt;"",分析!D223,"")</f>
        <v/>
      </c>
      <c r="E223" s="150" t="str">
        <f>IF(分析!E223&lt;&gt;"",分析!E223,"")</f>
        <v/>
      </c>
      <c r="F223" s="151" t="str">
        <f>IF(分析!F223&lt;&gt;"",分析!F223,"")</f>
        <v/>
      </c>
      <c r="G223" s="151" t="str">
        <f>IF(分析!H223&lt;&gt;"",分析!H223,"")</f>
        <v/>
      </c>
      <c r="H223" s="151" t="str">
        <f>IF(分析!I223&lt;&gt;"",分析!I223,"")</f>
        <v/>
      </c>
      <c r="I223" s="151" t="str">
        <f>IF(分析!J223&lt;&gt;"",分析!J223,"")</f>
        <v/>
      </c>
      <c r="J223" s="151" t="str">
        <f>IF(分析!AB223&lt;&gt;"",分析!AB223,"")</f>
        <v/>
      </c>
      <c r="K223" s="151" t="str">
        <f>IF(分析!AC223&lt;&gt;"",分析!AC223,"")</f>
        <v/>
      </c>
      <c r="L223" s="151" t="str">
        <f>IF(分析!K223&lt;&gt;"",分析!K223,"")</f>
        <v/>
      </c>
      <c r="M223" s="146" t="str">
        <f>IF(分析!P223&lt;&gt;"",分析!P223,"")</f>
        <v/>
      </c>
      <c r="N223" s="152" t="str">
        <f>IF(分析!O223&lt;&gt;"",分析!O223,"")</f>
        <v/>
      </c>
      <c r="O223" s="153" t="str">
        <f>IF(分析!X223&lt;&gt;"",分析!X223,"")</f>
        <v/>
      </c>
      <c r="P223" s="154" t="str">
        <f>IF(分析!L223&lt;&gt;"",分析!L223,"")</f>
        <v/>
      </c>
      <c r="Q223" s="151" t="str">
        <f>IF(分析!S223&lt;&gt;"",分析!S223,"")</f>
        <v/>
      </c>
      <c r="R223" s="151" t="str">
        <f>IF(分析!R223&lt;&gt;"",分析!R223,"")</f>
        <v/>
      </c>
      <c r="S223" s="146" t="str">
        <f>IF(分析!AA223&lt;&gt;"",分析!AA223,"")</f>
        <v/>
      </c>
      <c r="T223" s="155" t="str">
        <f>IF(分析!Z223&lt;&gt;"",分析!Z223,"")</f>
        <v/>
      </c>
      <c r="U223" s="146" t="str">
        <f>IF(分析!V223&lt;&gt;"",分析!V223,"")</f>
        <v/>
      </c>
      <c r="V223" s="156" t="str">
        <f>IF(分析!W223&lt;&gt;"",分析!W223,"")</f>
        <v/>
      </c>
      <c r="W223" s="157" t="str">
        <f>IF(分析!AD223&lt;&gt;"",分析!AD223,"")</f>
        <v/>
      </c>
      <c r="X223" s="158" t="str">
        <f>IF(分析!AE223&lt;&gt;"",分析!AE223,"")</f>
        <v/>
      </c>
      <c r="Y223" s="159" t="str">
        <f>IF(分析!T223&lt;&gt;"",分析!T223,"")</f>
        <v/>
      </c>
      <c r="Z223" s="145" t="str">
        <f>IF(分析!Y223&lt;&gt;"",分析!Y223,"")</f>
        <v/>
      </c>
    </row>
    <row r="224" spans="1:26" ht="21.9" customHeight="1">
      <c r="A224" s="131" t="str">
        <f>IF(分析!C224&lt;&gt;"",ROW()-2,"")</f>
        <v/>
      </c>
      <c r="B224" s="132" t="str">
        <f>IF(分析!C224&lt;&gt;"",HYPERLINK("https://kabutan.jp/stock/?code="&amp;分析!C224,"株探"),"")</f>
        <v/>
      </c>
      <c r="C224" s="133" t="str">
        <f>IF(分析!C224&lt;&gt;"",分析!C224,"")</f>
        <v/>
      </c>
      <c r="D224" s="134" t="str">
        <f>IF(分析!D224&lt;&gt;"",分析!D224,"")</f>
        <v/>
      </c>
      <c r="E224" s="135" t="str">
        <f>IF(分析!E224&lt;&gt;"",分析!E224,"")</f>
        <v/>
      </c>
      <c r="F224" s="136" t="str">
        <f>IF(分析!F224&lt;&gt;"",分析!F224,"")</f>
        <v/>
      </c>
      <c r="G224" s="136" t="str">
        <f>IF(分析!H224&lt;&gt;"",分析!H224,"")</f>
        <v/>
      </c>
      <c r="H224" s="136" t="str">
        <f>IF(分析!I224&lt;&gt;"",分析!I224,"")</f>
        <v/>
      </c>
      <c r="I224" s="136" t="str">
        <f>IF(分析!J224&lt;&gt;"",分析!J224,"")</f>
        <v/>
      </c>
      <c r="J224" s="136" t="str">
        <f>IF(分析!AB224&lt;&gt;"",分析!AB224,"")</f>
        <v/>
      </c>
      <c r="K224" s="136" t="str">
        <f>IF(分析!AC224&lt;&gt;"",分析!AC224,"")</f>
        <v/>
      </c>
      <c r="L224" s="136" t="str">
        <f>IF(分析!K224&lt;&gt;"",分析!K224,"")</f>
        <v/>
      </c>
      <c r="M224" s="131" t="str">
        <f>IF(分析!P224&lt;&gt;"",分析!P224,"")</f>
        <v/>
      </c>
      <c r="N224" s="137" t="str">
        <f>IF(分析!O224&lt;&gt;"",分析!O224,"")</f>
        <v/>
      </c>
      <c r="O224" s="138" t="str">
        <f>IF(分析!X224&lt;&gt;"",分析!X224,"")</f>
        <v/>
      </c>
      <c r="P224" s="139" t="str">
        <f>IF(分析!L224&lt;&gt;"",分析!L224,"")</f>
        <v/>
      </c>
      <c r="Q224" s="136" t="str">
        <f>IF(分析!S224&lt;&gt;"",分析!S224,"")</f>
        <v/>
      </c>
      <c r="R224" s="136" t="str">
        <f>IF(分析!R224&lt;&gt;"",分析!R224,"")</f>
        <v/>
      </c>
      <c r="S224" s="131" t="str">
        <f>IF(分析!AA224&lt;&gt;"",分析!AA224,"")</f>
        <v/>
      </c>
      <c r="T224" s="140" t="str">
        <f>IF(分析!Z224&lt;&gt;"",分析!Z224,"")</f>
        <v/>
      </c>
      <c r="U224" s="131" t="str">
        <f>IF(分析!V224&lt;&gt;"",分析!V224,"")</f>
        <v/>
      </c>
      <c r="V224" s="141" t="str">
        <f>IF(分析!W224&lt;&gt;"",分析!W224,"")</f>
        <v/>
      </c>
      <c r="W224" s="142" t="str">
        <f>IF(分析!AD224&lt;&gt;"",分析!AD224,"")</f>
        <v/>
      </c>
      <c r="X224" s="143" t="str">
        <f>IF(分析!AE224&lt;&gt;"",分析!AE224,"")</f>
        <v/>
      </c>
      <c r="Y224" s="144" t="str">
        <f>IF(分析!T224&lt;&gt;"",分析!T224,"")</f>
        <v/>
      </c>
      <c r="Z224" s="145" t="str">
        <f>IF(分析!Y224&lt;&gt;"",分析!Y224,"")</f>
        <v/>
      </c>
    </row>
    <row r="225" spans="1:26" ht="21.9" customHeight="1">
      <c r="A225" s="146" t="str">
        <f>IF(分析!C225&lt;&gt;"",ROW()-2,"")</f>
        <v/>
      </c>
      <c r="B225" s="147" t="str">
        <f>IF(分析!C225&lt;&gt;"",HYPERLINK("https://kabutan.jp/stock/?code="&amp;分析!C225,"株探"),"")</f>
        <v/>
      </c>
      <c r="C225" s="148" t="str">
        <f>IF(分析!C225&lt;&gt;"",分析!C225,"")</f>
        <v/>
      </c>
      <c r="D225" s="149" t="str">
        <f>IF(分析!D225&lt;&gt;"",分析!D225,"")</f>
        <v/>
      </c>
      <c r="E225" s="150" t="str">
        <f>IF(分析!E225&lt;&gt;"",分析!E225,"")</f>
        <v/>
      </c>
      <c r="F225" s="151" t="str">
        <f>IF(分析!F225&lt;&gt;"",分析!F225,"")</f>
        <v/>
      </c>
      <c r="G225" s="151" t="str">
        <f>IF(分析!H225&lt;&gt;"",分析!H225,"")</f>
        <v/>
      </c>
      <c r="H225" s="151" t="str">
        <f>IF(分析!I225&lt;&gt;"",分析!I225,"")</f>
        <v/>
      </c>
      <c r="I225" s="151" t="str">
        <f>IF(分析!J225&lt;&gt;"",分析!J225,"")</f>
        <v/>
      </c>
      <c r="J225" s="151" t="str">
        <f>IF(分析!AB225&lt;&gt;"",分析!AB225,"")</f>
        <v/>
      </c>
      <c r="K225" s="151" t="str">
        <f>IF(分析!AC225&lt;&gt;"",分析!AC225,"")</f>
        <v/>
      </c>
      <c r="L225" s="151" t="str">
        <f>IF(分析!K225&lt;&gt;"",分析!K225,"")</f>
        <v/>
      </c>
      <c r="M225" s="146" t="str">
        <f>IF(分析!P225&lt;&gt;"",分析!P225,"")</f>
        <v/>
      </c>
      <c r="N225" s="152" t="str">
        <f>IF(分析!O225&lt;&gt;"",分析!O225,"")</f>
        <v/>
      </c>
      <c r="O225" s="153" t="str">
        <f>IF(分析!X225&lt;&gt;"",分析!X225,"")</f>
        <v/>
      </c>
      <c r="P225" s="154" t="str">
        <f>IF(分析!L225&lt;&gt;"",分析!L225,"")</f>
        <v/>
      </c>
      <c r="Q225" s="151" t="str">
        <f>IF(分析!S225&lt;&gt;"",分析!S225,"")</f>
        <v/>
      </c>
      <c r="R225" s="151" t="str">
        <f>IF(分析!R225&lt;&gt;"",分析!R225,"")</f>
        <v/>
      </c>
      <c r="S225" s="146" t="str">
        <f>IF(分析!AA225&lt;&gt;"",分析!AA225,"")</f>
        <v/>
      </c>
      <c r="T225" s="155" t="str">
        <f>IF(分析!Z225&lt;&gt;"",分析!Z225,"")</f>
        <v/>
      </c>
      <c r="U225" s="146" t="str">
        <f>IF(分析!V225&lt;&gt;"",分析!V225,"")</f>
        <v/>
      </c>
      <c r="V225" s="156" t="str">
        <f>IF(分析!W225&lt;&gt;"",分析!W225,"")</f>
        <v/>
      </c>
      <c r="W225" s="157" t="str">
        <f>IF(分析!AD225&lt;&gt;"",分析!AD225,"")</f>
        <v/>
      </c>
      <c r="X225" s="158" t="str">
        <f>IF(分析!AE225&lt;&gt;"",分析!AE225,"")</f>
        <v/>
      </c>
      <c r="Y225" s="159" t="str">
        <f>IF(分析!T225&lt;&gt;"",分析!T225,"")</f>
        <v/>
      </c>
      <c r="Z225" s="145" t="str">
        <f>IF(分析!Y225&lt;&gt;"",分析!Y225,"")</f>
        <v/>
      </c>
    </row>
    <row r="226" spans="1:26" ht="21.9" customHeight="1">
      <c r="A226" s="131" t="str">
        <f>IF(分析!C226&lt;&gt;"",ROW()-2,"")</f>
        <v/>
      </c>
      <c r="B226" s="132" t="str">
        <f>IF(分析!C226&lt;&gt;"",HYPERLINK("https://kabutan.jp/stock/?code="&amp;分析!C226,"株探"),"")</f>
        <v/>
      </c>
      <c r="C226" s="133" t="str">
        <f>IF(分析!C226&lt;&gt;"",分析!C226,"")</f>
        <v/>
      </c>
      <c r="D226" s="134" t="str">
        <f>IF(分析!D226&lt;&gt;"",分析!D226,"")</f>
        <v/>
      </c>
      <c r="E226" s="135" t="str">
        <f>IF(分析!E226&lt;&gt;"",分析!E226,"")</f>
        <v/>
      </c>
      <c r="F226" s="136" t="str">
        <f>IF(分析!F226&lt;&gt;"",分析!F226,"")</f>
        <v/>
      </c>
      <c r="G226" s="136" t="str">
        <f>IF(分析!H226&lt;&gt;"",分析!H226,"")</f>
        <v/>
      </c>
      <c r="H226" s="136" t="str">
        <f>IF(分析!I226&lt;&gt;"",分析!I226,"")</f>
        <v/>
      </c>
      <c r="I226" s="136" t="str">
        <f>IF(分析!J226&lt;&gt;"",分析!J226,"")</f>
        <v/>
      </c>
      <c r="J226" s="136" t="str">
        <f>IF(分析!AB226&lt;&gt;"",分析!AB226,"")</f>
        <v/>
      </c>
      <c r="K226" s="136" t="str">
        <f>IF(分析!AC226&lt;&gt;"",分析!AC226,"")</f>
        <v/>
      </c>
      <c r="L226" s="136" t="str">
        <f>IF(分析!K226&lt;&gt;"",分析!K226,"")</f>
        <v/>
      </c>
      <c r="M226" s="131" t="str">
        <f>IF(分析!P226&lt;&gt;"",分析!P226,"")</f>
        <v/>
      </c>
      <c r="N226" s="137" t="str">
        <f>IF(分析!O226&lt;&gt;"",分析!O226,"")</f>
        <v/>
      </c>
      <c r="O226" s="138" t="str">
        <f>IF(分析!X226&lt;&gt;"",分析!X226,"")</f>
        <v/>
      </c>
      <c r="P226" s="139" t="str">
        <f>IF(分析!L226&lt;&gt;"",分析!L226,"")</f>
        <v/>
      </c>
      <c r="Q226" s="136" t="str">
        <f>IF(分析!S226&lt;&gt;"",分析!S226,"")</f>
        <v/>
      </c>
      <c r="R226" s="136" t="str">
        <f>IF(分析!R226&lt;&gt;"",分析!R226,"")</f>
        <v/>
      </c>
      <c r="S226" s="131" t="str">
        <f>IF(分析!AA226&lt;&gt;"",分析!AA226,"")</f>
        <v/>
      </c>
      <c r="T226" s="140" t="str">
        <f>IF(分析!Z226&lt;&gt;"",分析!Z226,"")</f>
        <v/>
      </c>
      <c r="U226" s="131" t="str">
        <f>IF(分析!V226&lt;&gt;"",分析!V226,"")</f>
        <v/>
      </c>
      <c r="V226" s="141" t="str">
        <f>IF(分析!W226&lt;&gt;"",分析!W226,"")</f>
        <v/>
      </c>
      <c r="W226" s="142" t="str">
        <f>IF(分析!AD226&lt;&gt;"",分析!AD226,"")</f>
        <v/>
      </c>
      <c r="X226" s="143" t="str">
        <f>IF(分析!AE226&lt;&gt;"",分析!AE226,"")</f>
        <v/>
      </c>
      <c r="Y226" s="144" t="str">
        <f>IF(分析!T226&lt;&gt;"",分析!T226,"")</f>
        <v/>
      </c>
      <c r="Z226" s="145" t="str">
        <f>IF(分析!Y226&lt;&gt;"",分析!Y226,"")</f>
        <v/>
      </c>
    </row>
    <row r="227" spans="1:26" ht="21.9" customHeight="1">
      <c r="A227" s="146" t="str">
        <f>IF(分析!C227&lt;&gt;"",ROW()-2,"")</f>
        <v/>
      </c>
      <c r="B227" s="147" t="str">
        <f>IF(分析!C227&lt;&gt;"",HYPERLINK("https://kabutan.jp/stock/?code="&amp;分析!C227,"株探"),"")</f>
        <v/>
      </c>
      <c r="C227" s="148" t="str">
        <f>IF(分析!C227&lt;&gt;"",分析!C227,"")</f>
        <v/>
      </c>
      <c r="D227" s="149" t="str">
        <f>IF(分析!D227&lt;&gt;"",分析!D227,"")</f>
        <v/>
      </c>
      <c r="E227" s="150" t="str">
        <f>IF(分析!E227&lt;&gt;"",分析!E227,"")</f>
        <v/>
      </c>
      <c r="F227" s="151" t="str">
        <f>IF(分析!F227&lt;&gt;"",分析!F227,"")</f>
        <v/>
      </c>
      <c r="G227" s="151" t="str">
        <f>IF(分析!H227&lt;&gt;"",分析!H227,"")</f>
        <v/>
      </c>
      <c r="H227" s="151" t="str">
        <f>IF(分析!I227&lt;&gt;"",分析!I227,"")</f>
        <v/>
      </c>
      <c r="I227" s="151" t="str">
        <f>IF(分析!J227&lt;&gt;"",分析!J227,"")</f>
        <v/>
      </c>
      <c r="J227" s="151" t="str">
        <f>IF(分析!AB227&lt;&gt;"",分析!AB227,"")</f>
        <v/>
      </c>
      <c r="K227" s="151" t="str">
        <f>IF(分析!AC227&lt;&gt;"",分析!AC227,"")</f>
        <v/>
      </c>
      <c r="L227" s="151" t="str">
        <f>IF(分析!K227&lt;&gt;"",分析!K227,"")</f>
        <v/>
      </c>
      <c r="M227" s="146" t="str">
        <f>IF(分析!P227&lt;&gt;"",分析!P227,"")</f>
        <v/>
      </c>
      <c r="N227" s="152" t="str">
        <f>IF(分析!O227&lt;&gt;"",分析!O227,"")</f>
        <v/>
      </c>
      <c r="O227" s="153" t="str">
        <f>IF(分析!X227&lt;&gt;"",分析!X227,"")</f>
        <v/>
      </c>
      <c r="P227" s="154" t="str">
        <f>IF(分析!L227&lt;&gt;"",分析!L227,"")</f>
        <v/>
      </c>
      <c r="Q227" s="151" t="str">
        <f>IF(分析!S227&lt;&gt;"",分析!S227,"")</f>
        <v/>
      </c>
      <c r="R227" s="151" t="str">
        <f>IF(分析!R227&lt;&gt;"",分析!R227,"")</f>
        <v/>
      </c>
      <c r="S227" s="146" t="str">
        <f>IF(分析!AA227&lt;&gt;"",分析!AA227,"")</f>
        <v/>
      </c>
      <c r="T227" s="155" t="str">
        <f>IF(分析!Z227&lt;&gt;"",分析!Z227,"")</f>
        <v/>
      </c>
      <c r="U227" s="146" t="str">
        <f>IF(分析!V227&lt;&gt;"",分析!V227,"")</f>
        <v/>
      </c>
      <c r="V227" s="156" t="str">
        <f>IF(分析!W227&lt;&gt;"",分析!W227,"")</f>
        <v/>
      </c>
      <c r="W227" s="157" t="str">
        <f>IF(分析!AD227&lt;&gt;"",分析!AD227,"")</f>
        <v/>
      </c>
      <c r="X227" s="158" t="str">
        <f>IF(分析!AE227&lt;&gt;"",分析!AE227,"")</f>
        <v/>
      </c>
      <c r="Y227" s="159" t="str">
        <f>IF(分析!T227&lt;&gt;"",分析!T227,"")</f>
        <v/>
      </c>
      <c r="Z227" s="145" t="str">
        <f>IF(分析!Y227&lt;&gt;"",分析!Y227,"")</f>
        <v/>
      </c>
    </row>
    <row r="228" spans="1:26" ht="21.9" customHeight="1">
      <c r="A228" s="131" t="str">
        <f>IF(分析!C228&lt;&gt;"",ROW()-2,"")</f>
        <v/>
      </c>
      <c r="B228" s="132" t="str">
        <f>IF(分析!C228&lt;&gt;"",HYPERLINK("https://kabutan.jp/stock/?code="&amp;分析!C228,"株探"),"")</f>
        <v/>
      </c>
      <c r="C228" s="133" t="str">
        <f>IF(分析!C228&lt;&gt;"",分析!C228,"")</f>
        <v/>
      </c>
      <c r="D228" s="134" t="str">
        <f>IF(分析!D228&lt;&gt;"",分析!D228,"")</f>
        <v/>
      </c>
      <c r="E228" s="135" t="str">
        <f>IF(分析!E228&lt;&gt;"",分析!E228,"")</f>
        <v/>
      </c>
      <c r="F228" s="136" t="str">
        <f>IF(分析!F228&lt;&gt;"",分析!F228,"")</f>
        <v/>
      </c>
      <c r="G228" s="136" t="str">
        <f>IF(分析!H228&lt;&gt;"",分析!H228,"")</f>
        <v/>
      </c>
      <c r="H228" s="136" t="str">
        <f>IF(分析!I228&lt;&gt;"",分析!I228,"")</f>
        <v/>
      </c>
      <c r="I228" s="136" t="str">
        <f>IF(分析!J228&lt;&gt;"",分析!J228,"")</f>
        <v/>
      </c>
      <c r="J228" s="136" t="str">
        <f>IF(分析!AB228&lt;&gt;"",分析!AB228,"")</f>
        <v/>
      </c>
      <c r="K228" s="136" t="str">
        <f>IF(分析!AC228&lt;&gt;"",分析!AC228,"")</f>
        <v/>
      </c>
      <c r="L228" s="136" t="str">
        <f>IF(分析!K228&lt;&gt;"",分析!K228,"")</f>
        <v/>
      </c>
      <c r="M228" s="131" t="str">
        <f>IF(分析!P228&lt;&gt;"",分析!P228,"")</f>
        <v/>
      </c>
      <c r="N228" s="137" t="str">
        <f>IF(分析!O228&lt;&gt;"",分析!O228,"")</f>
        <v/>
      </c>
      <c r="O228" s="138" t="str">
        <f>IF(分析!X228&lt;&gt;"",分析!X228,"")</f>
        <v/>
      </c>
      <c r="P228" s="139" t="str">
        <f>IF(分析!L228&lt;&gt;"",分析!L228,"")</f>
        <v/>
      </c>
      <c r="Q228" s="136" t="str">
        <f>IF(分析!S228&lt;&gt;"",分析!S228,"")</f>
        <v/>
      </c>
      <c r="R228" s="136" t="str">
        <f>IF(分析!R228&lt;&gt;"",分析!R228,"")</f>
        <v/>
      </c>
      <c r="S228" s="131" t="str">
        <f>IF(分析!AA228&lt;&gt;"",分析!AA228,"")</f>
        <v/>
      </c>
      <c r="T228" s="140" t="str">
        <f>IF(分析!Z228&lt;&gt;"",分析!Z228,"")</f>
        <v/>
      </c>
      <c r="U228" s="131" t="str">
        <f>IF(分析!V228&lt;&gt;"",分析!V228,"")</f>
        <v/>
      </c>
      <c r="V228" s="141" t="str">
        <f>IF(分析!W228&lt;&gt;"",分析!W228,"")</f>
        <v/>
      </c>
      <c r="W228" s="142" t="str">
        <f>IF(分析!AD228&lt;&gt;"",分析!AD228,"")</f>
        <v/>
      </c>
      <c r="X228" s="143" t="str">
        <f>IF(分析!AE228&lt;&gt;"",分析!AE228,"")</f>
        <v/>
      </c>
      <c r="Y228" s="144" t="str">
        <f>IF(分析!T228&lt;&gt;"",分析!T228,"")</f>
        <v/>
      </c>
      <c r="Z228" s="145" t="str">
        <f>IF(分析!Y228&lt;&gt;"",分析!Y228,"")</f>
        <v/>
      </c>
    </row>
    <row r="229" spans="1:26" ht="21.9" customHeight="1">
      <c r="A229" s="146" t="str">
        <f>IF(分析!C229&lt;&gt;"",ROW()-2,"")</f>
        <v/>
      </c>
      <c r="B229" s="147" t="str">
        <f>IF(分析!C229&lt;&gt;"",HYPERLINK("https://kabutan.jp/stock/?code="&amp;分析!C229,"株探"),"")</f>
        <v/>
      </c>
      <c r="C229" s="148" t="str">
        <f>IF(分析!C229&lt;&gt;"",分析!C229,"")</f>
        <v/>
      </c>
      <c r="D229" s="149" t="str">
        <f>IF(分析!D229&lt;&gt;"",分析!D229,"")</f>
        <v/>
      </c>
      <c r="E229" s="150" t="str">
        <f>IF(分析!E229&lt;&gt;"",分析!E229,"")</f>
        <v/>
      </c>
      <c r="F229" s="151" t="str">
        <f>IF(分析!F229&lt;&gt;"",分析!F229,"")</f>
        <v/>
      </c>
      <c r="G229" s="151" t="str">
        <f>IF(分析!H229&lt;&gt;"",分析!H229,"")</f>
        <v/>
      </c>
      <c r="H229" s="151" t="str">
        <f>IF(分析!I229&lt;&gt;"",分析!I229,"")</f>
        <v/>
      </c>
      <c r="I229" s="151" t="str">
        <f>IF(分析!J229&lt;&gt;"",分析!J229,"")</f>
        <v/>
      </c>
      <c r="J229" s="151" t="str">
        <f>IF(分析!AB229&lt;&gt;"",分析!AB229,"")</f>
        <v/>
      </c>
      <c r="K229" s="151" t="str">
        <f>IF(分析!AC229&lt;&gt;"",分析!AC229,"")</f>
        <v/>
      </c>
      <c r="L229" s="151" t="str">
        <f>IF(分析!K229&lt;&gt;"",分析!K229,"")</f>
        <v/>
      </c>
      <c r="M229" s="146" t="str">
        <f>IF(分析!P229&lt;&gt;"",分析!P229,"")</f>
        <v/>
      </c>
      <c r="N229" s="152" t="str">
        <f>IF(分析!O229&lt;&gt;"",分析!O229,"")</f>
        <v/>
      </c>
      <c r="O229" s="153" t="str">
        <f>IF(分析!X229&lt;&gt;"",分析!X229,"")</f>
        <v/>
      </c>
      <c r="P229" s="154" t="str">
        <f>IF(分析!L229&lt;&gt;"",分析!L229,"")</f>
        <v/>
      </c>
      <c r="Q229" s="151" t="str">
        <f>IF(分析!S229&lt;&gt;"",分析!S229,"")</f>
        <v/>
      </c>
      <c r="R229" s="151" t="str">
        <f>IF(分析!R229&lt;&gt;"",分析!R229,"")</f>
        <v/>
      </c>
      <c r="S229" s="146" t="str">
        <f>IF(分析!AA229&lt;&gt;"",分析!AA229,"")</f>
        <v/>
      </c>
      <c r="T229" s="155" t="str">
        <f>IF(分析!Z229&lt;&gt;"",分析!Z229,"")</f>
        <v/>
      </c>
      <c r="U229" s="146" t="str">
        <f>IF(分析!V229&lt;&gt;"",分析!V229,"")</f>
        <v/>
      </c>
      <c r="V229" s="156" t="str">
        <f>IF(分析!W229&lt;&gt;"",分析!W229,"")</f>
        <v/>
      </c>
      <c r="W229" s="157" t="str">
        <f>IF(分析!AD229&lt;&gt;"",分析!AD229,"")</f>
        <v/>
      </c>
      <c r="X229" s="158" t="str">
        <f>IF(分析!AE229&lt;&gt;"",分析!AE229,"")</f>
        <v/>
      </c>
      <c r="Y229" s="159" t="str">
        <f>IF(分析!T229&lt;&gt;"",分析!T229,"")</f>
        <v/>
      </c>
      <c r="Z229" s="145" t="str">
        <f>IF(分析!Y229&lt;&gt;"",分析!Y229,"")</f>
        <v/>
      </c>
    </row>
    <row r="230" spans="1:26" ht="21.9" customHeight="1">
      <c r="A230" s="131" t="str">
        <f>IF(分析!C230&lt;&gt;"",ROW()-2,"")</f>
        <v/>
      </c>
      <c r="B230" s="132" t="str">
        <f>IF(分析!C230&lt;&gt;"",HYPERLINK("https://kabutan.jp/stock/?code="&amp;分析!C230,"株探"),"")</f>
        <v/>
      </c>
      <c r="C230" s="133" t="str">
        <f>IF(分析!C230&lt;&gt;"",分析!C230,"")</f>
        <v/>
      </c>
      <c r="D230" s="134" t="str">
        <f>IF(分析!D230&lt;&gt;"",分析!D230,"")</f>
        <v/>
      </c>
      <c r="E230" s="135" t="str">
        <f>IF(分析!E230&lt;&gt;"",分析!E230,"")</f>
        <v/>
      </c>
      <c r="F230" s="136" t="str">
        <f>IF(分析!F230&lt;&gt;"",分析!F230,"")</f>
        <v/>
      </c>
      <c r="G230" s="136" t="str">
        <f>IF(分析!H230&lt;&gt;"",分析!H230,"")</f>
        <v/>
      </c>
      <c r="H230" s="136" t="str">
        <f>IF(分析!I230&lt;&gt;"",分析!I230,"")</f>
        <v/>
      </c>
      <c r="I230" s="136" t="str">
        <f>IF(分析!J230&lt;&gt;"",分析!J230,"")</f>
        <v/>
      </c>
      <c r="J230" s="136" t="str">
        <f>IF(分析!AB230&lt;&gt;"",分析!AB230,"")</f>
        <v/>
      </c>
      <c r="K230" s="136" t="str">
        <f>IF(分析!AC230&lt;&gt;"",分析!AC230,"")</f>
        <v/>
      </c>
      <c r="L230" s="136" t="str">
        <f>IF(分析!K230&lt;&gt;"",分析!K230,"")</f>
        <v/>
      </c>
      <c r="M230" s="131" t="str">
        <f>IF(分析!P230&lt;&gt;"",分析!P230,"")</f>
        <v/>
      </c>
      <c r="N230" s="137" t="str">
        <f>IF(分析!O230&lt;&gt;"",分析!O230,"")</f>
        <v/>
      </c>
      <c r="O230" s="138" t="str">
        <f>IF(分析!X230&lt;&gt;"",分析!X230,"")</f>
        <v/>
      </c>
      <c r="P230" s="139" t="str">
        <f>IF(分析!L230&lt;&gt;"",分析!L230,"")</f>
        <v/>
      </c>
      <c r="Q230" s="136" t="str">
        <f>IF(分析!S230&lt;&gt;"",分析!S230,"")</f>
        <v/>
      </c>
      <c r="R230" s="136" t="str">
        <f>IF(分析!R230&lt;&gt;"",分析!R230,"")</f>
        <v/>
      </c>
      <c r="S230" s="131" t="str">
        <f>IF(分析!AA230&lt;&gt;"",分析!AA230,"")</f>
        <v/>
      </c>
      <c r="T230" s="140" t="str">
        <f>IF(分析!Z230&lt;&gt;"",分析!Z230,"")</f>
        <v/>
      </c>
      <c r="U230" s="131" t="str">
        <f>IF(分析!V230&lt;&gt;"",分析!V230,"")</f>
        <v/>
      </c>
      <c r="V230" s="141" t="str">
        <f>IF(分析!W230&lt;&gt;"",分析!W230,"")</f>
        <v/>
      </c>
      <c r="W230" s="142" t="str">
        <f>IF(分析!AD230&lt;&gt;"",分析!AD230,"")</f>
        <v/>
      </c>
      <c r="X230" s="143" t="str">
        <f>IF(分析!AE230&lt;&gt;"",分析!AE230,"")</f>
        <v/>
      </c>
      <c r="Y230" s="144" t="str">
        <f>IF(分析!T230&lt;&gt;"",分析!T230,"")</f>
        <v/>
      </c>
      <c r="Z230" s="145" t="str">
        <f>IF(分析!Y230&lt;&gt;"",分析!Y230,"")</f>
        <v/>
      </c>
    </row>
    <row r="231" spans="1:26" ht="21.9" customHeight="1">
      <c r="A231" s="146" t="str">
        <f>IF(分析!C231&lt;&gt;"",ROW()-2,"")</f>
        <v/>
      </c>
      <c r="B231" s="147" t="str">
        <f>IF(分析!C231&lt;&gt;"",HYPERLINK("https://kabutan.jp/stock/?code="&amp;分析!C231,"株探"),"")</f>
        <v/>
      </c>
      <c r="C231" s="148" t="str">
        <f>IF(分析!C231&lt;&gt;"",分析!C231,"")</f>
        <v/>
      </c>
      <c r="D231" s="149" t="str">
        <f>IF(分析!D231&lt;&gt;"",分析!D231,"")</f>
        <v/>
      </c>
      <c r="E231" s="150" t="str">
        <f>IF(分析!E231&lt;&gt;"",分析!E231,"")</f>
        <v/>
      </c>
      <c r="F231" s="151" t="str">
        <f>IF(分析!F231&lt;&gt;"",分析!F231,"")</f>
        <v/>
      </c>
      <c r="G231" s="151" t="str">
        <f>IF(分析!H231&lt;&gt;"",分析!H231,"")</f>
        <v/>
      </c>
      <c r="H231" s="151" t="str">
        <f>IF(分析!I231&lt;&gt;"",分析!I231,"")</f>
        <v/>
      </c>
      <c r="I231" s="151" t="str">
        <f>IF(分析!J231&lt;&gt;"",分析!J231,"")</f>
        <v/>
      </c>
      <c r="J231" s="151" t="str">
        <f>IF(分析!AB231&lt;&gt;"",分析!AB231,"")</f>
        <v/>
      </c>
      <c r="K231" s="151" t="str">
        <f>IF(分析!AC231&lt;&gt;"",分析!AC231,"")</f>
        <v/>
      </c>
      <c r="L231" s="151" t="str">
        <f>IF(分析!K231&lt;&gt;"",分析!K231,"")</f>
        <v/>
      </c>
      <c r="M231" s="146" t="str">
        <f>IF(分析!P231&lt;&gt;"",分析!P231,"")</f>
        <v/>
      </c>
      <c r="N231" s="152" t="str">
        <f>IF(分析!O231&lt;&gt;"",分析!O231,"")</f>
        <v/>
      </c>
      <c r="O231" s="153" t="str">
        <f>IF(分析!X231&lt;&gt;"",分析!X231,"")</f>
        <v/>
      </c>
      <c r="P231" s="154" t="str">
        <f>IF(分析!L231&lt;&gt;"",分析!L231,"")</f>
        <v/>
      </c>
      <c r="Q231" s="151" t="str">
        <f>IF(分析!S231&lt;&gt;"",分析!S231,"")</f>
        <v/>
      </c>
      <c r="R231" s="151" t="str">
        <f>IF(分析!R231&lt;&gt;"",分析!R231,"")</f>
        <v/>
      </c>
      <c r="S231" s="146" t="str">
        <f>IF(分析!AA231&lt;&gt;"",分析!AA231,"")</f>
        <v/>
      </c>
      <c r="T231" s="155" t="str">
        <f>IF(分析!Z231&lt;&gt;"",分析!Z231,"")</f>
        <v/>
      </c>
      <c r="U231" s="146" t="str">
        <f>IF(分析!V231&lt;&gt;"",分析!V231,"")</f>
        <v/>
      </c>
      <c r="V231" s="156" t="str">
        <f>IF(分析!W231&lt;&gt;"",分析!W231,"")</f>
        <v/>
      </c>
      <c r="W231" s="157" t="str">
        <f>IF(分析!AD231&lt;&gt;"",分析!AD231,"")</f>
        <v/>
      </c>
      <c r="X231" s="158" t="str">
        <f>IF(分析!AE231&lt;&gt;"",分析!AE231,"")</f>
        <v/>
      </c>
      <c r="Y231" s="159" t="str">
        <f>IF(分析!T231&lt;&gt;"",分析!T231,"")</f>
        <v/>
      </c>
      <c r="Z231" s="145" t="str">
        <f>IF(分析!Y231&lt;&gt;"",分析!Y231,"")</f>
        <v/>
      </c>
    </row>
    <row r="232" spans="1:26" ht="21.9" customHeight="1">
      <c r="A232" s="131" t="str">
        <f>IF(分析!C232&lt;&gt;"",ROW()-2,"")</f>
        <v/>
      </c>
      <c r="B232" s="132" t="str">
        <f>IF(分析!C232&lt;&gt;"",HYPERLINK("https://kabutan.jp/stock/?code="&amp;分析!C232,"株探"),"")</f>
        <v/>
      </c>
      <c r="C232" s="133" t="str">
        <f>IF(分析!C232&lt;&gt;"",分析!C232,"")</f>
        <v/>
      </c>
      <c r="D232" s="134" t="str">
        <f>IF(分析!D232&lt;&gt;"",分析!D232,"")</f>
        <v/>
      </c>
      <c r="E232" s="135" t="str">
        <f>IF(分析!E232&lt;&gt;"",分析!E232,"")</f>
        <v/>
      </c>
      <c r="F232" s="136" t="str">
        <f>IF(分析!F232&lt;&gt;"",分析!F232,"")</f>
        <v/>
      </c>
      <c r="G232" s="136" t="str">
        <f>IF(分析!H232&lt;&gt;"",分析!H232,"")</f>
        <v/>
      </c>
      <c r="H232" s="136" t="str">
        <f>IF(分析!I232&lt;&gt;"",分析!I232,"")</f>
        <v/>
      </c>
      <c r="I232" s="136" t="str">
        <f>IF(分析!J232&lt;&gt;"",分析!J232,"")</f>
        <v/>
      </c>
      <c r="J232" s="136" t="str">
        <f>IF(分析!AB232&lt;&gt;"",分析!AB232,"")</f>
        <v/>
      </c>
      <c r="K232" s="136" t="str">
        <f>IF(分析!AC232&lt;&gt;"",分析!AC232,"")</f>
        <v/>
      </c>
      <c r="L232" s="136" t="str">
        <f>IF(分析!K232&lt;&gt;"",分析!K232,"")</f>
        <v/>
      </c>
      <c r="M232" s="131" t="str">
        <f>IF(分析!P232&lt;&gt;"",分析!P232,"")</f>
        <v/>
      </c>
      <c r="N232" s="137" t="str">
        <f>IF(分析!O232&lt;&gt;"",分析!O232,"")</f>
        <v/>
      </c>
      <c r="O232" s="138" t="str">
        <f>IF(分析!X232&lt;&gt;"",分析!X232,"")</f>
        <v/>
      </c>
      <c r="P232" s="139" t="str">
        <f>IF(分析!L232&lt;&gt;"",分析!L232,"")</f>
        <v/>
      </c>
      <c r="Q232" s="136" t="str">
        <f>IF(分析!S232&lt;&gt;"",分析!S232,"")</f>
        <v/>
      </c>
      <c r="R232" s="136" t="str">
        <f>IF(分析!R232&lt;&gt;"",分析!R232,"")</f>
        <v/>
      </c>
      <c r="S232" s="131" t="str">
        <f>IF(分析!AA232&lt;&gt;"",分析!AA232,"")</f>
        <v/>
      </c>
      <c r="T232" s="140" t="str">
        <f>IF(分析!Z232&lt;&gt;"",分析!Z232,"")</f>
        <v/>
      </c>
      <c r="U232" s="131" t="str">
        <f>IF(分析!V232&lt;&gt;"",分析!V232,"")</f>
        <v/>
      </c>
      <c r="V232" s="141" t="str">
        <f>IF(分析!W232&lt;&gt;"",分析!W232,"")</f>
        <v/>
      </c>
      <c r="W232" s="142" t="str">
        <f>IF(分析!AD232&lt;&gt;"",分析!AD232,"")</f>
        <v/>
      </c>
      <c r="X232" s="143" t="str">
        <f>IF(分析!AE232&lt;&gt;"",分析!AE232,"")</f>
        <v/>
      </c>
      <c r="Y232" s="144" t="str">
        <f>IF(分析!T232&lt;&gt;"",分析!T232,"")</f>
        <v/>
      </c>
      <c r="Z232" s="145" t="str">
        <f>IF(分析!Y232&lt;&gt;"",分析!Y232,"")</f>
        <v/>
      </c>
    </row>
    <row r="233" spans="1:26" ht="21.9" customHeight="1">
      <c r="A233" s="146" t="str">
        <f>IF(分析!C233&lt;&gt;"",ROW()-2,"")</f>
        <v/>
      </c>
      <c r="B233" s="147" t="str">
        <f>IF(分析!C233&lt;&gt;"",HYPERLINK("https://kabutan.jp/stock/?code="&amp;分析!C233,"株探"),"")</f>
        <v/>
      </c>
      <c r="C233" s="148" t="str">
        <f>IF(分析!C233&lt;&gt;"",分析!C233,"")</f>
        <v/>
      </c>
      <c r="D233" s="149" t="str">
        <f>IF(分析!D233&lt;&gt;"",分析!D233,"")</f>
        <v/>
      </c>
      <c r="E233" s="150" t="str">
        <f>IF(分析!E233&lt;&gt;"",分析!E233,"")</f>
        <v/>
      </c>
      <c r="F233" s="151" t="str">
        <f>IF(分析!F233&lt;&gt;"",分析!F233,"")</f>
        <v/>
      </c>
      <c r="G233" s="151" t="str">
        <f>IF(分析!H233&lt;&gt;"",分析!H233,"")</f>
        <v/>
      </c>
      <c r="H233" s="151" t="str">
        <f>IF(分析!I233&lt;&gt;"",分析!I233,"")</f>
        <v/>
      </c>
      <c r="I233" s="151" t="str">
        <f>IF(分析!J233&lt;&gt;"",分析!J233,"")</f>
        <v/>
      </c>
      <c r="J233" s="151" t="str">
        <f>IF(分析!AB233&lt;&gt;"",分析!AB233,"")</f>
        <v/>
      </c>
      <c r="K233" s="151" t="str">
        <f>IF(分析!AC233&lt;&gt;"",分析!AC233,"")</f>
        <v/>
      </c>
      <c r="L233" s="151" t="str">
        <f>IF(分析!K233&lt;&gt;"",分析!K233,"")</f>
        <v/>
      </c>
      <c r="M233" s="146" t="str">
        <f>IF(分析!P233&lt;&gt;"",分析!P233,"")</f>
        <v/>
      </c>
      <c r="N233" s="152" t="str">
        <f>IF(分析!O233&lt;&gt;"",分析!O233,"")</f>
        <v/>
      </c>
      <c r="O233" s="153" t="str">
        <f>IF(分析!X233&lt;&gt;"",分析!X233,"")</f>
        <v/>
      </c>
      <c r="P233" s="154" t="str">
        <f>IF(分析!L233&lt;&gt;"",分析!L233,"")</f>
        <v/>
      </c>
      <c r="Q233" s="151" t="str">
        <f>IF(分析!S233&lt;&gt;"",分析!S233,"")</f>
        <v/>
      </c>
      <c r="R233" s="151" t="str">
        <f>IF(分析!R233&lt;&gt;"",分析!R233,"")</f>
        <v/>
      </c>
      <c r="S233" s="146" t="str">
        <f>IF(分析!AA233&lt;&gt;"",分析!AA233,"")</f>
        <v/>
      </c>
      <c r="T233" s="155" t="str">
        <f>IF(分析!Z233&lt;&gt;"",分析!Z233,"")</f>
        <v/>
      </c>
      <c r="U233" s="146" t="str">
        <f>IF(分析!V233&lt;&gt;"",分析!V233,"")</f>
        <v/>
      </c>
      <c r="V233" s="156" t="str">
        <f>IF(分析!W233&lt;&gt;"",分析!W233,"")</f>
        <v/>
      </c>
      <c r="W233" s="157" t="str">
        <f>IF(分析!AD233&lt;&gt;"",分析!AD233,"")</f>
        <v/>
      </c>
      <c r="X233" s="158" t="str">
        <f>IF(分析!AE233&lt;&gt;"",分析!AE233,"")</f>
        <v/>
      </c>
      <c r="Y233" s="159" t="str">
        <f>IF(分析!T233&lt;&gt;"",分析!T233,"")</f>
        <v/>
      </c>
      <c r="Z233" s="145" t="str">
        <f>IF(分析!Y233&lt;&gt;"",分析!Y233,"")</f>
        <v/>
      </c>
    </row>
    <row r="234" spans="1:26" ht="21.9" customHeight="1">
      <c r="A234" s="131" t="str">
        <f>IF(分析!C234&lt;&gt;"",ROW()-2,"")</f>
        <v/>
      </c>
      <c r="B234" s="132" t="str">
        <f>IF(分析!C234&lt;&gt;"",HYPERLINK("https://kabutan.jp/stock/?code="&amp;分析!C234,"株探"),"")</f>
        <v/>
      </c>
      <c r="C234" s="133" t="str">
        <f>IF(分析!C234&lt;&gt;"",分析!C234,"")</f>
        <v/>
      </c>
      <c r="D234" s="134" t="str">
        <f>IF(分析!D234&lt;&gt;"",分析!D234,"")</f>
        <v/>
      </c>
      <c r="E234" s="135" t="str">
        <f>IF(分析!E234&lt;&gt;"",分析!E234,"")</f>
        <v/>
      </c>
      <c r="F234" s="136" t="str">
        <f>IF(分析!F234&lt;&gt;"",分析!F234,"")</f>
        <v/>
      </c>
      <c r="G234" s="136" t="str">
        <f>IF(分析!H234&lt;&gt;"",分析!H234,"")</f>
        <v/>
      </c>
      <c r="H234" s="136" t="str">
        <f>IF(分析!I234&lt;&gt;"",分析!I234,"")</f>
        <v/>
      </c>
      <c r="I234" s="136" t="str">
        <f>IF(分析!J234&lt;&gt;"",分析!J234,"")</f>
        <v/>
      </c>
      <c r="J234" s="136" t="str">
        <f>IF(分析!AB234&lt;&gt;"",分析!AB234,"")</f>
        <v/>
      </c>
      <c r="K234" s="136" t="str">
        <f>IF(分析!AC234&lt;&gt;"",分析!AC234,"")</f>
        <v/>
      </c>
      <c r="L234" s="136" t="str">
        <f>IF(分析!K234&lt;&gt;"",分析!K234,"")</f>
        <v/>
      </c>
      <c r="M234" s="131" t="str">
        <f>IF(分析!P234&lt;&gt;"",分析!P234,"")</f>
        <v/>
      </c>
      <c r="N234" s="137" t="str">
        <f>IF(分析!O234&lt;&gt;"",分析!O234,"")</f>
        <v/>
      </c>
      <c r="O234" s="138" t="str">
        <f>IF(分析!X234&lt;&gt;"",分析!X234,"")</f>
        <v/>
      </c>
      <c r="P234" s="139" t="str">
        <f>IF(分析!L234&lt;&gt;"",分析!L234,"")</f>
        <v/>
      </c>
      <c r="Q234" s="136" t="str">
        <f>IF(分析!S234&lt;&gt;"",分析!S234,"")</f>
        <v/>
      </c>
      <c r="R234" s="136" t="str">
        <f>IF(分析!R234&lt;&gt;"",分析!R234,"")</f>
        <v/>
      </c>
      <c r="S234" s="131" t="str">
        <f>IF(分析!AA234&lt;&gt;"",分析!AA234,"")</f>
        <v/>
      </c>
      <c r="T234" s="140" t="str">
        <f>IF(分析!Z234&lt;&gt;"",分析!Z234,"")</f>
        <v/>
      </c>
      <c r="U234" s="131" t="str">
        <f>IF(分析!V234&lt;&gt;"",分析!V234,"")</f>
        <v/>
      </c>
      <c r="V234" s="141" t="str">
        <f>IF(分析!W234&lt;&gt;"",分析!W234,"")</f>
        <v/>
      </c>
      <c r="W234" s="142" t="str">
        <f>IF(分析!AD234&lt;&gt;"",分析!AD234,"")</f>
        <v/>
      </c>
      <c r="X234" s="143" t="str">
        <f>IF(分析!AE234&lt;&gt;"",分析!AE234,"")</f>
        <v/>
      </c>
      <c r="Y234" s="144" t="str">
        <f>IF(分析!T234&lt;&gt;"",分析!T234,"")</f>
        <v/>
      </c>
      <c r="Z234" s="145" t="str">
        <f>IF(分析!Y234&lt;&gt;"",分析!Y234,"")</f>
        <v/>
      </c>
    </row>
    <row r="235" spans="1:26" ht="21.9" customHeight="1">
      <c r="A235" s="146" t="str">
        <f>IF(分析!C235&lt;&gt;"",ROW()-2,"")</f>
        <v/>
      </c>
      <c r="B235" s="147" t="str">
        <f>IF(分析!C235&lt;&gt;"",HYPERLINK("https://kabutan.jp/stock/?code="&amp;分析!C235,"株探"),"")</f>
        <v/>
      </c>
      <c r="C235" s="148" t="str">
        <f>IF(分析!C235&lt;&gt;"",分析!C235,"")</f>
        <v/>
      </c>
      <c r="D235" s="149" t="str">
        <f>IF(分析!D235&lt;&gt;"",分析!D235,"")</f>
        <v/>
      </c>
      <c r="E235" s="150" t="str">
        <f>IF(分析!E235&lt;&gt;"",分析!E235,"")</f>
        <v/>
      </c>
      <c r="F235" s="151" t="str">
        <f>IF(分析!F235&lt;&gt;"",分析!F235,"")</f>
        <v/>
      </c>
      <c r="G235" s="151" t="str">
        <f>IF(分析!H235&lt;&gt;"",分析!H235,"")</f>
        <v/>
      </c>
      <c r="H235" s="151" t="str">
        <f>IF(分析!I235&lt;&gt;"",分析!I235,"")</f>
        <v/>
      </c>
      <c r="I235" s="151" t="str">
        <f>IF(分析!J235&lt;&gt;"",分析!J235,"")</f>
        <v/>
      </c>
      <c r="J235" s="151" t="str">
        <f>IF(分析!AB235&lt;&gt;"",分析!AB235,"")</f>
        <v/>
      </c>
      <c r="K235" s="151" t="str">
        <f>IF(分析!AC235&lt;&gt;"",分析!AC235,"")</f>
        <v/>
      </c>
      <c r="L235" s="151" t="str">
        <f>IF(分析!K235&lt;&gt;"",分析!K235,"")</f>
        <v/>
      </c>
      <c r="M235" s="146" t="str">
        <f>IF(分析!P235&lt;&gt;"",分析!P235,"")</f>
        <v/>
      </c>
      <c r="N235" s="152" t="str">
        <f>IF(分析!O235&lt;&gt;"",分析!O235,"")</f>
        <v/>
      </c>
      <c r="O235" s="153" t="str">
        <f>IF(分析!X235&lt;&gt;"",分析!X235,"")</f>
        <v/>
      </c>
      <c r="P235" s="154" t="str">
        <f>IF(分析!L235&lt;&gt;"",分析!L235,"")</f>
        <v/>
      </c>
      <c r="Q235" s="151" t="str">
        <f>IF(分析!S235&lt;&gt;"",分析!S235,"")</f>
        <v/>
      </c>
      <c r="R235" s="151" t="str">
        <f>IF(分析!R235&lt;&gt;"",分析!R235,"")</f>
        <v/>
      </c>
      <c r="S235" s="146" t="str">
        <f>IF(分析!AA235&lt;&gt;"",分析!AA235,"")</f>
        <v/>
      </c>
      <c r="T235" s="155" t="str">
        <f>IF(分析!Z235&lt;&gt;"",分析!Z235,"")</f>
        <v/>
      </c>
      <c r="U235" s="146" t="str">
        <f>IF(分析!V235&lt;&gt;"",分析!V235,"")</f>
        <v/>
      </c>
      <c r="V235" s="156" t="str">
        <f>IF(分析!W235&lt;&gt;"",分析!W235,"")</f>
        <v/>
      </c>
      <c r="W235" s="157" t="str">
        <f>IF(分析!AD235&lt;&gt;"",分析!AD235,"")</f>
        <v/>
      </c>
      <c r="X235" s="158" t="str">
        <f>IF(分析!AE235&lt;&gt;"",分析!AE235,"")</f>
        <v/>
      </c>
      <c r="Y235" s="159" t="str">
        <f>IF(分析!T235&lt;&gt;"",分析!T235,"")</f>
        <v/>
      </c>
      <c r="Z235" s="145" t="str">
        <f>IF(分析!Y235&lt;&gt;"",分析!Y235,"")</f>
        <v/>
      </c>
    </row>
    <row r="236" spans="1:26" ht="21.9" customHeight="1">
      <c r="A236" s="131" t="str">
        <f>IF(分析!C236&lt;&gt;"",ROW()-2,"")</f>
        <v/>
      </c>
      <c r="B236" s="132" t="str">
        <f>IF(分析!C236&lt;&gt;"",HYPERLINK("https://kabutan.jp/stock/?code="&amp;分析!C236,"株探"),"")</f>
        <v/>
      </c>
      <c r="C236" s="133" t="str">
        <f>IF(分析!C236&lt;&gt;"",分析!C236,"")</f>
        <v/>
      </c>
      <c r="D236" s="134" t="str">
        <f>IF(分析!D236&lt;&gt;"",分析!D236,"")</f>
        <v/>
      </c>
      <c r="E236" s="135" t="str">
        <f>IF(分析!E236&lt;&gt;"",分析!E236,"")</f>
        <v/>
      </c>
      <c r="F236" s="136" t="str">
        <f>IF(分析!F236&lt;&gt;"",分析!F236,"")</f>
        <v/>
      </c>
      <c r="G236" s="136" t="str">
        <f>IF(分析!H236&lt;&gt;"",分析!H236,"")</f>
        <v/>
      </c>
      <c r="H236" s="136" t="str">
        <f>IF(分析!I236&lt;&gt;"",分析!I236,"")</f>
        <v/>
      </c>
      <c r="I236" s="136" t="str">
        <f>IF(分析!J236&lt;&gt;"",分析!J236,"")</f>
        <v/>
      </c>
      <c r="J236" s="136" t="str">
        <f>IF(分析!AB236&lt;&gt;"",分析!AB236,"")</f>
        <v/>
      </c>
      <c r="K236" s="136" t="str">
        <f>IF(分析!AC236&lt;&gt;"",分析!AC236,"")</f>
        <v/>
      </c>
      <c r="L236" s="136" t="str">
        <f>IF(分析!K236&lt;&gt;"",分析!K236,"")</f>
        <v/>
      </c>
      <c r="M236" s="131" t="str">
        <f>IF(分析!P236&lt;&gt;"",分析!P236,"")</f>
        <v/>
      </c>
      <c r="N236" s="137" t="str">
        <f>IF(分析!O236&lt;&gt;"",分析!O236,"")</f>
        <v/>
      </c>
      <c r="O236" s="138" t="str">
        <f>IF(分析!X236&lt;&gt;"",分析!X236,"")</f>
        <v/>
      </c>
      <c r="P236" s="139" t="str">
        <f>IF(分析!L236&lt;&gt;"",分析!L236,"")</f>
        <v/>
      </c>
      <c r="Q236" s="136" t="str">
        <f>IF(分析!S236&lt;&gt;"",分析!S236,"")</f>
        <v/>
      </c>
      <c r="R236" s="136" t="str">
        <f>IF(分析!R236&lt;&gt;"",分析!R236,"")</f>
        <v/>
      </c>
      <c r="S236" s="131" t="str">
        <f>IF(分析!AA236&lt;&gt;"",分析!AA236,"")</f>
        <v/>
      </c>
      <c r="T236" s="140" t="str">
        <f>IF(分析!Z236&lt;&gt;"",分析!Z236,"")</f>
        <v/>
      </c>
      <c r="U236" s="131" t="str">
        <f>IF(分析!V236&lt;&gt;"",分析!V236,"")</f>
        <v/>
      </c>
      <c r="V236" s="141" t="str">
        <f>IF(分析!W236&lt;&gt;"",分析!W236,"")</f>
        <v/>
      </c>
      <c r="W236" s="142" t="str">
        <f>IF(分析!AD236&lt;&gt;"",分析!AD236,"")</f>
        <v/>
      </c>
      <c r="X236" s="143" t="str">
        <f>IF(分析!AE236&lt;&gt;"",分析!AE236,"")</f>
        <v/>
      </c>
      <c r="Y236" s="144" t="str">
        <f>IF(分析!T236&lt;&gt;"",分析!T236,"")</f>
        <v/>
      </c>
      <c r="Z236" s="145" t="str">
        <f>IF(分析!Y236&lt;&gt;"",分析!Y236,"")</f>
        <v/>
      </c>
    </row>
    <row r="237" spans="1:26" ht="21.9" customHeight="1">
      <c r="A237" s="146" t="str">
        <f>IF(分析!C237&lt;&gt;"",ROW()-2,"")</f>
        <v/>
      </c>
      <c r="B237" s="147" t="str">
        <f>IF(分析!C237&lt;&gt;"",HYPERLINK("https://kabutan.jp/stock/?code="&amp;分析!C237,"株探"),"")</f>
        <v/>
      </c>
      <c r="C237" s="148" t="str">
        <f>IF(分析!C237&lt;&gt;"",分析!C237,"")</f>
        <v/>
      </c>
      <c r="D237" s="149" t="str">
        <f>IF(分析!D237&lt;&gt;"",分析!D237,"")</f>
        <v/>
      </c>
      <c r="E237" s="150" t="str">
        <f>IF(分析!E237&lt;&gt;"",分析!E237,"")</f>
        <v/>
      </c>
      <c r="F237" s="151" t="str">
        <f>IF(分析!F237&lt;&gt;"",分析!F237,"")</f>
        <v/>
      </c>
      <c r="G237" s="151" t="str">
        <f>IF(分析!H237&lt;&gt;"",分析!H237,"")</f>
        <v/>
      </c>
      <c r="H237" s="151" t="str">
        <f>IF(分析!I237&lt;&gt;"",分析!I237,"")</f>
        <v/>
      </c>
      <c r="I237" s="151" t="str">
        <f>IF(分析!J237&lt;&gt;"",分析!J237,"")</f>
        <v/>
      </c>
      <c r="J237" s="151" t="str">
        <f>IF(分析!AB237&lt;&gt;"",分析!AB237,"")</f>
        <v/>
      </c>
      <c r="K237" s="151" t="str">
        <f>IF(分析!AC237&lt;&gt;"",分析!AC237,"")</f>
        <v/>
      </c>
      <c r="L237" s="151" t="str">
        <f>IF(分析!K237&lt;&gt;"",分析!K237,"")</f>
        <v/>
      </c>
      <c r="M237" s="146" t="str">
        <f>IF(分析!P237&lt;&gt;"",分析!P237,"")</f>
        <v/>
      </c>
      <c r="N237" s="152" t="str">
        <f>IF(分析!O237&lt;&gt;"",分析!O237,"")</f>
        <v/>
      </c>
      <c r="O237" s="153" t="str">
        <f>IF(分析!X237&lt;&gt;"",分析!X237,"")</f>
        <v/>
      </c>
      <c r="P237" s="154" t="str">
        <f>IF(分析!L237&lt;&gt;"",分析!L237,"")</f>
        <v/>
      </c>
      <c r="Q237" s="151" t="str">
        <f>IF(分析!S237&lt;&gt;"",分析!S237,"")</f>
        <v/>
      </c>
      <c r="R237" s="151" t="str">
        <f>IF(分析!R237&lt;&gt;"",分析!R237,"")</f>
        <v/>
      </c>
      <c r="S237" s="146" t="str">
        <f>IF(分析!AA237&lt;&gt;"",分析!AA237,"")</f>
        <v/>
      </c>
      <c r="T237" s="155" t="str">
        <f>IF(分析!Z237&lt;&gt;"",分析!Z237,"")</f>
        <v/>
      </c>
      <c r="U237" s="146" t="str">
        <f>IF(分析!V237&lt;&gt;"",分析!V237,"")</f>
        <v/>
      </c>
      <c r="V237" s="156" t="str">
        <f>IF(分析!W237&lt;&gt;"",分析!W237,"")</f>
        <v/>
      </c>
      <c r="W237" s="157" t="str">
        <f>IF(分析!AD237&lt;&gt;"",分析!AD237,"")</f>
        <v/>
      </c>
      <c r="X237" s="158" t="str">
        <f>IF(分析!AE237&lt;&gt;"",分析!AE237,"")</f>
        <v/>
      </c>
      <c r="Y237" s="159" t="str">
        <f>IF(分析!T237&lt;&gt;"",分析!T237,"")</f>
        <v/>
      </c>
      <c r="Z237" s="145" t="str">
        <f>IF(分析!Y237&lt;&gt;"",分析!Y237,"")</f>
        <v/>
      </c>
    </row>
    <row r="238" spans="1:26" ht="21.9" customHeight="1">
      <c r="A238" s="131" t="str">
        <f>IF(分析!C238&lt;&gt;"",ROW()-2,"")</f>
        <v/>
      </c>
      <c r="B238" s="132" t="str">
        <f>IF(分析!C238&lt;&gt;"",HYPERLINK("https://kabutan.jp/stock/?code="&amp;分析!C238,"株探"),"")</f>
        <v/>
      </c>
      <c r="C238" s="133" t="str">
        <f>IF(分析!C238&lt;&gt;"",分析!C238,"")</f>
        <v/>
      </c>
      <c r="D238" s="134" t="str">
        <f>IF(分析!D238&lt;&gt;"",分析!D238,"")</f>
        <v/>
      </c>
      <c r="E238" s="135" t="str">
        <f>IF(分析!E238&lt;&gt;"",分析!E238,"")</f>
        <v/>
      </c>
      <c r="F238" s="136" t="str">
        <f>IF(分析!F238&lt;&gt;"",分析!F238,"")</f>
        <v/>
      </c>
      <c r="G238" s="136" t="str">
        <f>IF(分析!H238&lt;&gt;"",分析!H238,"")</f>
        <v/>
      </c>
      <c r="H238" s="136" t="str">
        <f>IF(分析!I238&lt;&gt;"",分析!I238,"")</f>
        <v/>
      </c>
      <c r="I238" s="136" t="str">
        <f>IF(分析!J238&lt;&gt;"",分析!J238,"")</f>
        <v/>
      </c>
      <c r="J238" s="136" t="str">
        <f>IF(分析!AB238&lt;&gt;"",分析!AB238,"")</f>
        <v/>
      </c>
      <c r="K238" s="136" t="str">
        <f>IF(分析!AC238&lt;&gt;"",分析!AC238,"")</f>
        <v/>
      </c>
      <c r="L238" s="136" t="str">
        <f>IF(分析!K238&lt;&gt;"",分析!K238,"")</f>
        <v/>
      </c>
      <c r="M238" s="131" t="str">
        <f>IF(分析!P238&lt;&gt;"",分析!P238,"")</f>
        <v/>
      </c>
      <c r="N238" s="137" t="str">
        <f>IF(分析!O238&lt;&gt;"",分析!O238,"")</f>
        <v/>
      </c>
      <c r="O238" s="138" t="str">
        <f>IF(分析!X238&lt;&gt;"",分析!X238,"")</f>
        <v/>
      </c>
      <c r="P238" s="139" t="str">
        <f>IF(分析!L238&lt;&gt;"",分析!L238,"")</f>
        <v/>
      </c>
      <c r="Q238" s="136" t="str">
        <f>IF(分析!S238&lt;&gt;"",分析!S238,"")</f>
        <v/>
      </c>
      <c r="R238" s="136" t="str">
        <f>IF(分析!R238&lt;&gt;"",分析!R238,"")</f>
        <v/>
      </c>
      <c r="S238" s="131" t="str">
        <f>IF(分析!AA238&lt;&gt;"",分析!AA238,"")</f>
        <v/>
      </c>
      <c r="T238" s="140" t="str">
        <f>IF(分析!Z238&lt;&gt;"",分析!Z238,"")</f>
        <v/>
      </c>
      <c r="U238" s="131" t="str">
        <f>IF(分析!V238&lt;&gt;"",分析!V238,"")</f>
        <v/>
      </c>
      <c r="V238" s="141" t="str">
        <f>IF(分析!W238&lt;&gt;"",分析!W238,"")</f>
        <v/>
      </c>
      <c r="W238" s="142" t="str">
        <f>IF(分析!AD238&lt;&gt;"",分析!AD238,"")</f>
        <v/>
      </c>
      <c r="X238" s="143" t="str">
        <f>IF(分析!AE238&lt;&gt;"",分析!AE238,"")</f>
        <v/>
      </c>
      <c r="Y238" s="144" t="str">
        <f>IF(分析!T238&lt;&gt;"",分析!T238,"")</f>
        <v/>
      </c>
      <c r="Z238" s="145" t="str">
        <f>IF(分析!Y238&lt;&gt;"",分析!Y238,"")</f>
        <v/>
      </c>
    </row>
    <row r="239" spans="1:26" ht="21.9" customHeight="1">
      <c r="A239" s="146" t="str">
        <f>IF(分析!C239&lt;&gt;"",ROW()-2,"")</f>
        <v/>
      </c>
      <c r="B239" s="147" t="str">
        <f>IF(分析!C239&lt;&gt;"",HYPERLINK("https://kabutan.jp/stock/?code="&amp;分析!C239,"株探"),"")</f>
        <v/>
      </c>
      <c r="C239" s="148" t="str">
        <f>IF(分析!C239&lt;&gt;"",分析!C239,"")</f>
        <v/>
      </c>
      <c r="D239" s="149" t="str">
        <f>IF(分析!D239&lt;&gt;"",分析!D239,"")</f>
        <v/>
      </c>
      <c r="E239" s="150" t="str">
        <f>IF(分析!E239&lt;&gt;"",分析!E239,"")</f>
        <v/>
      </c>
      <c r="F239" s="151" t="str">
        <f>IF(分析!F239&lt;&gt;"",分析!F239,"")</f>
        <v/>
      </c>
      <c r="G239" s="151" t="str">
        <f>IF(分析!H239&lt;&gt;"",分析!H239,"")</f>
        <v/>
      </c>
      <c r="H239" s="151" t="str">
        <f>IF(分析!I239&lt;&gt;"",分析!I239,"")</f>
        <v/>
      </c>
      <c r="I239" s="151" t="str">
        <f>IF(分析!J239&lt;&gt;"",分析!J239,"")</f>
        <v/>
      </c>
      <c r="J239" s="151" t="str">
        <f>IF(分析!AB239&lt;&gt;"",分析!AB239,"")</f>
        <v/>
      </c>
      <c r="K239" s="151" t="str">
        <f>IF(分析!AC239&lt;&gt;"",分析!AC239,"")</f>
        <v/>
      </c>
      <c r="L239" s="151" t="str">
        <f>IF(分析!K239&lt;&gt;"",分析!K239,"")</f>
        <v/>
      </c>
      <c r="M239" s="146" t="str">
        <f>IF(分析!P239&lt;&gt;"",分析!P239,"")</f>
        <v/>
      </c>
      <c r="N239" s="152" t="str">
        <f>IF(分析!O239&lt;&gt;"",分析!O239,"")</f>
        <v/>
      </c>
      <c r="O239" s="153" t="str">
        <f>IF(分析!X239&lt;&gt;"",分析!X239,"")</f>
        <v/>
      </c>
      <c r="P239" s="154" t="str">
        <f>IF(分析!L239&lt;&gt;"",分析!L239,"")</f>
        <v/>
      </c>
      <c r="Q239" s="151" t="str">
        <f>IF(分析!S239&lt;&gt;"",分析!S239,"")</f>
        <v/>
      </c>
      <c r="R239" s="151" t="str">
        <f>IF(分析!R239&lt;&gt;"",分析!R239,"")</f>
        <v/>
      </c>
      <c r="S239" s="146" t="str">
        <f>IF(分析!AA239&lt;&gt;"",分析!AA239,"")</f>
        <v/>
      </c>
      <c r="T239" s="155" t="str">
        <f>IF(分析!Z239&lt;&gt;"",分析!Z239,"")</f>
        <v/>
      </c>
      <c r="U239" s="146" t="str">
        <f>IF(分析!V239&lt;&gt;"",分析!V239,"")</f>
        <v/>
      </c>
      <c r="V239" s="156" t="str">
        <f>IF(分析!W239&lt;&gt;"",分析!W239,"")</f>
        <v/>
      </c>
      <c r="W239" s="157" t="str">
        <f>IF(分析!AD239&lt;&gt;"",分析!AD239,"")</f>
        <v/>
      </c>
      <c r="X239" s="158" t="str">
        <f>IF(分析!AE239&lt;&gt;"",分析!AE239,"")</f>
        <v/>
      </c>
      <c r="Y239" s="159" t="str">
        <f>IF(分析!T239&lt;&gt;"",分析!T239,"")</f>
        <v/>
      </c>
      <c r="Z239" s="145" t="str">
        <f>IF(分析!Y239&lt;&gt;"",分析!Y239,"")</f>
        <v/>
      </c>
    </row>
    <row r="240" spans="1:26" ht="21.9" customHeight="1">
      <c r="A240" s="131" t="str">
        <f>IF(分析!C240&lt;&gt;"",ROW()-2,"")</f>
        <v/>
      </c>
      <c r="B240" s="132" t="str">
        <f>IF(分析!C240&lt;&gt;"",HYPERLINK("https://kabutan.jp/stock/?code="&amp;分析!C240,"株探"),"")</f>
        <v/>
      </c>
      <c r="C240" s="133" t="str">
        <f>IF(分析!C240&lt;&gt;"",分析!C240,"")</f>
        <v/>
      </c>
      <c r="D240" s="134" t="str">
        <f>IF(分析!D240&lt;&gt;"",分析!D240,"")</f>
        <v/>
      </c>
      <c r="E240" s="135" t="str">
        <f>IF(分析!E240&lt;&gt;"",分析!E240,"")</f>
        <v/>
      </c>
      <c r="F240" s="136" t="str">
        <f>IF(分析!F240&lt;&gt;"",分析!F240,"")</f>
        <v/>
      </c>
      <c r="G240" s="136" t="str">
        <f>IF(分析!H240&lt;&gt;"",分析!H240,"")</f>
        <v/>
      </c>
      <c r="H240" s="136" t="str">
        <f>IF(分析!I240&lt;&gt;"",分析!I240,"")</f>
        <v/>
      </c>
      <c r="I240" s="136" t="str">
        <f>IF(分析!J240&lt;&gt;"",分析!J240,"")</f>
        <v/>
      </c>
      <c r="J240" s="136" t="str">
        <f>IF(分析!AB240&lt;&gt;"",分析!AB240,"")</f>
        <v/>
      </c>
      <c r="K240" s="136" t="str">
        <f>IF(分析!AC240&lt;&gt;"",分析!AC240,"")</f>
        <v/>
      </c>
      <c r="L240" s="136" t="str">
        <f>IF(分析!K240&lt;&gt;"",分析!K240,"")</f>
        <v/>
      </c>
      <c r="M240" s="131" t="str">
        <f>IF(分析!P240&lt;&gt;"",分析!P240,"")</f>
        <v/>
      </c>
      <c r="N240" s="137" t="str">
        <f>IF(分析!O240&lt;&gt;"",分析!O240,"")</f>
        <v/>
      </c>
      <c r="O240" s="138" t="str">
        <f>IF(分析!X240&lt;&gt;"",分析!X240,"")</f>
        <v/>
      </c>
      <c r="P240" s="139" t="str">
        <f>IF(分析!L240&lt;&gt;"",分析!L240,"")</f>
        <v/>
      </c>
      <c r="Q240" s="136" t="str">
        <f>IF(分析!S240&lt;&gt;"",分析!S240,"")</f>
        <v/>
      </c>
      <c r="R240" s="136" t="str">
        <f>IF(分析!R240&lt;&gt;"",分析!R240,"")</f>
        <v/>
      </c>
      <c r="S240" s="131" t="str">
        <f>IF(分析!AA240&lt;&gt;"",分析!AA240,"")</f>
        <v/>
      </c>
      <c r="T240" s="140" t="str">
        <f>IF(分析!Z240&lt;&gt;"",分析!Z240,"")</f>
        <v/>
      </c>
      <c r="U240" s="131" t="str">
        <f>IF(分析!V240&lt;&gt;"",分析!V240,"")</f>
        <v/>
      </c>
      <c r="V240" s="141" t="str">
        <f>IF(分析!W240&lt;&gt;"",分析!W240,"")</f>
        <v/>
      </c>
      <c r="W240" s="142" t="str">
        <f>IF(分析!AD240&lt;&gt;"",分析!AD240,"")</f>
        <v/>
      </c>
      <c r="X240" s="143" t="str">
        <f>IF(分析!AE240&lt;&gt;"",分析!AE240,"")</f>
        <v/>
      </c>
      <c r="Y240" s="144" t="str">
        <f>IF(分析!T240&lt;&gt;"",分析!T240,"")</f>
        <v/>
      </c>
      <c r="Z240" s="145" t="str">
        <f>IF(分析!Y240&lt;&gt;"",分析!Y240,"")</f>
        <v/>
      </c>
    </row>
    <row r="241" spans="1:26" ht="21.9" customHeight="1">
      <c r="A241" s="146" t="str">
        <f>IF(分析!C241&lt;&gt;"",ROW()-2,"")</f>
        <v/>
      </c>
      <c r="B241" s="147" t="str">
        <f>IF(分析!C241&lt;&gt;"",HYPERLINK("https://kabutan.jp/stock/?code="&amp;分析!C241,"株探"),"")</f>
        <v/>
      </c>
      <c r="C241" s="148" t="str">
        <f>IF(分析!C241&lt;&gt;"",分析!C241,"")</f>
        <v/>
      </c>
      <c r="D241" s="149" t="str">
        <f>IF(分析!D241&lt;&gt;"",分析!D241,"")</f>
        <v/>
      </c>
      <c r="E241" s="150" t="str">
        <f>IF(分析!E241&lt;&gt;"",分析!E241,"")</f>
        <v/>
      </c>
      <c r="F241" s="151" t="str">
        <f>IF(分析!F241&lt;&gt;"",分析!F241,"")</f>
        <v/>
      </c>
      <c r="G241" s="151" t="str">
        <f>IF(分析!H241&lt;&gt;"",分析!H241,"")</f>
        <v/>
      </c>
      <c r="H241" s="151" t="str">
        <f>IF(分析!I241&lt;&gt;"",分析!I241,"")</f>
        <v/>
      </c>
      <c r="I241" s="151" t="str">
        <f>IF(分析!J241&lt;&gt;"",分析!J241,"")</f>
        <v/>
      </c>
      <c r="J241" s="151" t="str">
        <f>IF(分析!AB241&lt;&gt;"",分析!AB241,"")</f>
        <v/>
      </c>
      <c r="K241" s="151" t="str">
        <f>IF(分析!AC241&lt;&gt;"",分析!AC241,"")</f>
        <v/>
      </c>
      <c r="L241" s="151" t="str">
        <f>IF(分析!K241&lt;&gt;"",分析!K241,"")</f>
        <v/>
      </c>
      <c r="M241" s="146" t="str">
        <f>IF(分析!P241&lt;&gt;"",分析!P241,"")</f>
        <v/>
      </c>
      <c r="N241" s="152" t="str">
        <f>IF(分析!O241&lt;&gt;"",分析!O241,"")</f>
        <v/>
      </c>
      <c r="O241" s="153" t="str">
        <f>IF(分析!X241&lt;&gt;"",分析!X241,"")</f>
        <v/>
      </c>
      <c r="P241" s="154" t="str">
        <f>IF(分析!L241&lt;&gt;"",分析!L241,"")</f>
        <v/>
      </c>
      <c r="Q241" s="151" t="str">
        <f>IF(分析!S241&lt;&gt;"",分析!S241,"")</f>
        <v/>
      </c>
      <c r="R241" s="151" t="str">
        <f>IF(分析!R241&lt;&gt;"",分析!R241,"")</f>
        <v/>
      </c>
      <c r="S241" s="146" t="str">
        <f>IF(分析!AA241&lt;&gt;"",分析!AA241,"")</f>
        <v/>
      </c>
      <c r="T241" s="155" t="str">
        <f>IF(分析!Z241&lt;&gt;"",分析!Z241,"")</f>
        <v/>
      </c>
      <c r="U241" s="146" t="str">
        <f>IF(分析!V241&lt;&gt;"",分析!V241,"")</f>
        <v/>
      </c>
      <c r="V241" s="156" t="str">
        <f>IF(分析!W241&lt;&gt;"",分析!W241,"")</f>
        <v/>
      </c>
      <c r="W241" s="157" t="str">
        <f>IF(分析!AD241&lt;&gt;"",分析!AD241,"")</f>
        <v/>
      </c>
      <c r="X241" s="158" t="str">
        <f>IF(分析!AE241&lt;&gt;"",分析!AE241,"")</f>
        <v/>
      </c>
      <c r="Y241" s="159" t="str">
        <f>IF(分析!T241&lt;&gt;"",分析!T241,"")</f>
        <v/>
      </c>
      <c r="Z241" s="145" t="str">
        <f>IF(分析!Y241&lt;&gt;"",分析!Y241,"")</f>
        <v/>
      </c>
    </row>
    <row r="242" spans="1:26" ht="21.9" customHeight="1">
      <c r="A242" s="131" t="str">
        <f>IF(分析!C242&lt;&gt;"",ROW()-2,"")</f>
        <v/>
      </c>
      <c r="B242" s="132" t="str">
        <f>IF(分析!C242&lt;&gt;"",HYPERLINK("https://kabutan.jp/stock/?code="&amp;分析!C242,"株探"),"")</f>
        <v/>
      </c>
      <c r="C242" s="133" t="str">
        <f>IF(分析!C242&lt;&gt;"",分析!C242,"")</f>
        <v/>
      </c>
      <c r="D242" s="134" t="str">
        <f>IF(分析!D242&lt;&gt;"",分析!D242,"")</f>
        <v/>
      </c>
      <c r="E242" s="135" t="str">
        <f>IF(分析!E242&lt;&gt;"",分析!E242,"")</f>
        <v/>
      </c>
      <c r="F242" s="136" t="str">
        <f>IF(分析!F242&lt;&gt;"",分析!F242,"")</f>
        <v/>
      </c>
      <c r="G242" s="136" t="str">
        <f>IF(分析!H242&lt;&gt;"",分析!H242,"")</f>
        <v/>
      </c>
      <c r="H242" s="136" t="str">
        <f>IF(分析!I242&lt;&gt;"",分析!I242,"")</f>
        <v/>
      </c>
      <c r="I242" s="136" t="str">
        <f>IF(分析!J242&lt;&gt;"",分析!J242,"")</f>
        <v/>
      </c>
      <c r="J242" s="136" t="str">
        <f>IF(分析!AB242&lt;&gt;"",分析!AB242,"")</f>
        <v/>
      </c>
      <c r="K242" s="136" t="str">
        <f>IF(分析!AC242&lt;&gt;"",分析!AC242,"")</f>
        <v/>
      </c>
      <c r="L242" s="136" t="str">
        <f>IF(分析!K242&lt;&gt;"",分析!K242,"")</f>
        <v/>
      </c>
      <c r="M242" s="131" t="str">
        <f>IF(分析!P242&lt;&gt;"",分析!P242,"")</f>
        <v/>
      </c>
      <c r="N242" s="137" t="str">
        <f>IF(分析!O242&lt;&gt;"",分析!O242,"")</f>
        <v/>
      </c>
      <c r="O242" s="138" t="str">
        <f>IF(分析!X242&lt;&gt;"",分析!X242,"")</f>
        <v/>
      </c>
      <c r="P242" s="139" t="str">
        <f>IF(分析!L242&lt;&gt;"",分析!L242,"")</f>
        <v/>
      </c>
      <c r="Q242" s="136" t="str">
        <f>IF(分析!S242&lt;&gt;"",分析!S242,"")</f>
        <v/>
      </c>
      <c r="R242" s="136" t="str">
        <f>IF(分析!R242&lt;&gt;"",分析!R242,"")</f>
        <v/>
      </c>
      <c r="S242" s="131" t="str">
        <f>IF(分析!AA242&lt;&gt;"",分析!AA242,"")</f>
        <v/>
      </c>
      <c r="T242" s="140" t="str">
        <f>IF(分析!Z242&lt;&gt;"",分析!Z242,"")</f>
        <v/>
      </c>
      <c r="U242" s="131" t="str">
        <f>IF(分析!V242&lt;&gt;"",分析!V242,"")</f>
        <v/>
      </c>
      <c r="V242" s="141" t="str">
        <f>IF(分析!W242&lt;&gt;"",分析!W242,"")</f>
        <v/>
      </c>
      <c r="W242" s="142" t="str">
        <f>IF(分析!AD242&lt;&gt;"",分析!AD242,"")</f>
        <v/>
      </c>
      <c r="X242" s="143" t="str">
        <f>IF(分析!AE242&lt;&gt;"",分析!AE242,"")</f>
        <v/>
      </c>
      <c r="Y242" s="144" t="str">
        <f>IF(分析!T242&lt;&gt;"",分析!T242,"")</f>
        <v/>
      </c>
      <c r="Z242" s="145" t="str">
        <f>IF(分析!Y242&lt;&gt;"",分析!Y242,"")</f>
        <v/>
      </c>
    </row>
    <row r="243" spans="1:26" ht="21.9" customHeight="1">
      <c r="A243" s="146" t="str">
        <f>IF(分析!C243&lt;&gt;"",ROW()-2,"")</f>
        <v/>
      </c>
      <c r="B243" s="147" t="str">
        <f>IF(分析!C243&lt;&gt;"",HYPERLINK("https://kabutan.jp/stock/?code="&amp;分析!C243,"株探"),"")</f>
        <v/>
      </c>
      <c r="C243" s="148" t="str">
        <f>IF(分析!C243&lt;&gt;"",分析!C243,"")</f>
        <v/>
      </c>
      <c r="D243" s="149" t="str">
        <f>IF(分析!D243&lt;&gt;"",分析!D243,"")</f>
        <v/>
      </c>
      <c r="E243" s="150" t="str">
        <f>IF(分析!E243&lt;&gt;"",分析!E243,"")</f>
        <v/>
      </c>
      <c r="F243" s="151" t="str">
        <f>IF(分析!F243&lt;&gt;"",分析!F243,"")</f>
        <v/>
      </c>
      <c r="G243" s="151" t="str">
        <f>IF(分析!H243&lt;&gt;"",分析!H243,"")</f>
        <v/>
      </c>
      <c r="H243" s="151" t="str">
        <f>IF(分析!I243&lt;&gt;"",分析!I243,"")</f>
        <v/>
      </c>
      <c r="I243" s="151" t="str">
        <f>IF(分析!J243&lt;&gt;"",分析!J243,"")</f>
        <v/>
      </c>
      <c r="J243" s="151" t="str">
        <f>IF(分析!AB243&lt;&gt;"",分析!AB243,"")</f>
        <v/>
      </c>
      <c r="K243" s="151" t="str">
        <f>IF(分析!AC243&lt;&gt;"",分析!AC243,"")</f>
        <v/>
      </c>
      <c r="L243" s="151" t="str">
        <f>IF(分析!K243&lt;&gt;"",分析!K243,"")</f>
        <v/>
      </c>
      <c r="M243" s="146" t="str">
        <f>IF(分析!P243&lt;&gt;"",分析!P243,"")</f>
        <v/>
      </c>
      <c r="N243" s="152" t="str">
        <f>IF(分析!O243&lt;&gt;"",分析!O243,"")</f>
        <v/>
      </c>
      <c r="O243" s="153" t="str">
        <f>IF(分析!X243&lt;&gt;"",分析!X243,"")</f>
        <v/>
      </c>
      <c r="P243" s="154" t="str">
        <f>IF(分析!L243&lt;&gt;"",分析!L243,"")</f>
        <v/>
      </c>
      <c r="Q243" s="151" t="str">
        <f>IF(分析!S243&lt;&gt;"",分析!S243,"")</f>
        <v/>
      </c>
      <c r="R243" s="151" t="str">
        <f>IF(分析!R243&lt;&gt;"",分析!R243,"")</f>
        <v/>
      </c>
      <c r="S243" s="146" t="str">
        <f>IF(分析!AA243&lt;&gt;"",分析!AA243,"")</f>
        <v/>
      </c>
      <c r="T243" s="155" t="str">
        <f>IF(分析!Z243&lt;&gt;"",分析!Z243,"")</f>
        <v/>
      </c>
      <c r="U243" s="146" t="str">
        <f>IF(分析!V243&lt;&gt;"",分析!V243,"")</f>
        <v/>
      </c>
      <c r="V243" s="156" t="str">
        <f>IF(分析!W243&lt;&gt;"",分析!W243,"")</f>
        <v/>
      </c>
      <c r="W243" s="157" t="str">
        <f>IF(分析!AD243&lt;&gt;"",分析!AD243,"")</f>
        <v/>
      </c>
      <c r="X243" s="158" t="str">
        <f>IF(分析!AE243&lt;&gt;"",分析!AE243,"")</f>
        <v/>
      </c>
      <c r="Y243" s="159" t="str">
        <f>IF(分析!T243&lt;&gt;"",分析!T243,"")</f>
        <v/>
      </c>
      <c r="Z243" s="145" t="str">
        <f>IF(分析!Y243&lt;&gt;"",分析!Y243,"")</f>
        <v/>
      </c>
    </row>
    <row r="244" spans="1:26" ht="21.9" customHeight="1">
      <c r="A244" s="131" t="str">
        <f>IF(分析!C244&lt;&gt;"",ROW()-2,"")</f>
        <v/>
      </c>
      <c r="B244" s="132" t="str">
        <f>IF(分析!C244&lt;&gt;"",HYPERLINK("https://kabutan.jp/stock/?code="&amp;分析!C244,"株探"),"")</f>
        <v/>
      </c>
      <c r="C244" s="133" t="str">
        <f>IF(分析!C244&lt;&gt;"",分析!C244,"")</f>
        <v/>
      </c>
      <c r="D244" s="134" t="str">
        <f>IF(分析!D244&lt;&gt;"",分析!D244,"")</f>
        <v/>
      </c>
      <c r="E244" s="135" t="str">
        <f>IF(分析!E244&lt;&gt;"",分析!E244,"")</f>
        <v/>
      </c>
      <c r="F244" s="136" t="str">
        <f>IF(分析!F244&lt;&gt;"",分析!F244,"")</f>
        <v/>
      </c>
      <c r="G244" s="136" t="str">
        <f>IF(分析!H244&lt;&gt;"",分析!H244,"")</f>
        <v/>
      </c>
      <c r="H244" s="136" t="str">
        <f>IF(分析!I244&lt;&gt;"",分析!I244,"")</f>
        <v/>
      </c>
      <c r="I244" s="136" t="str">
        <f>IF(分析!J244&lt;&gt;"",分析!J244,"")</f>
        <v/>
      </c>
      <c r="J244" s="136" t="str">
        <f>IF(分析!AB244&lt;&gt;"",分析!AB244,"")</f>
        <v/>
      </c>
      <c r="K244" s="136" t="str">
        <f>IF(分析!AC244&lt;&gt;"",分析!AC244,"")</f>
        <v/>
      </c>
      <c r="L244" s="136" t="str">
        <f>IF(分析!K244&lt;&gt;"",分析!K244,"")</f>
        <v/>
      </c>
      <c r="M244" s="131" t="str">
        <f>IF(分析!P244&lt;&gt;"",分析!P244,"")</f>
        <v/>
      </c>
      <c r="N244" s="137" t="str">
        <f>IF(分析!O244&lt;&gt;"",分析!O244,"")</f>
        <v/>
      </c>
      <c r="O244" s="138" t="str">
        <f>IF(分析!X244&lt;&gt;"",分析!X244,"")</f>
        <v/>
      </c>
      <c r="P244" s="139" t="str">
        <f>IF(分析!L244&lt;&gt;"",分析!L244,"")</f>
        <v/>
      </c>
      <c r="Q244" s="136" t="str">
        <f>IF(分析!S244&lt;&gt;"",分析!S244,"")</f>
        <v/>
      </c>
      <c r="R244" s="136" t="str">
        <f>IF(分析!R244&lt;&gt;"",分析!R244,"")</f>
        <v/>
      </c>
      <c r="S244" s="131" t="str">
        <f>IF(分析!AA244&lt;&gt;"",分析!AA244,"")</f>
        <v/>
      </c>
      <c r="T244" s="140" t="str">
        <f>IF(分析!Z244&lt;&gt;"",分析!Z244,"")</f>
        <v/>
      </c>
      <c r="U244" s="131" t="str">
        <f>IF(分析!V244&lt;&gt;"",分析!V244,"")</f>
        <v/>
      </c>
      <c r="V244" s="141" t="str">
        <f>IF(分析!W244&lt;&gt;"",分析!W244,"")</f>
        <v/>
      </c>
      <c r="W244" s="142" t="str">
        <f>IF(分析!AD244&lt;&gt;"",分析!AD244,"")</f>
        <v/>
      </c>
      <c r="X244" s="143" t="str">
        <f>IF(分析!AE244&lt;&gt;"",分析!AE244,"")</f>
        <v/>
      </c>
      <c r="Y244" s="144" t="str">
        <f>IF(分析!T244&lt;&gt;"",分析!T244,"")</f>
        <v/>
      </c>
      <c r="Z244" s="145" t="str">
        <f>IF(分析!Y244&lt;&gt;"",分析!Y244,"")</f>
        <v/>
      </c>
    </row>
    <row r="245" spans="1:26" ht="21.9" customHeight="1">
      <c r="A245" s="146" t="str">
        <f>IF(分析!C245&lt;&gt;"",ROW()-2,"")</f>
        <v/>
      </c>
      <c r="B245" s="147" t="str">
        <f>IF(分析!C245&lt;&gt;"",HYPERLINK("https://kabutan.jp/stock/?code="&amp;分析!C245,"株探"),"")</f>
        <v/>
      </c>
      <c r="C245" s="148" t="str">
        <f>IF(分析!C245&lt;&gt;"",分析!C245,"")</f>
        <v/>
      </c>
      <c r="D245" s="149" t="str">
        <f>IF(分析!D245&lt;&gt;"",分析!D245,"")</f>
        <v/>
      </c>
      <c r="E245" s="150" t="str">
        <f>IF(分析!E245&lt;&gt;"",分析!E245,"")</f>
        <v/>
      </c>
      <c r="F245" s="151" t="str">
        <f>IF(分析!F245&lt;&gt;"",分析!F245,"")</f>
        <v/>
      </c>
      <c r="G245" s="151" t="str">
        <f>IF(分析!H245&lt;&gt;"",分析!H245,"")</f>
        <v/>
      </c>
      <c r="H245" s="151" t="str">
        <f>IF(分析!I245&lt;&gt;"",分析!I245,"")</f>
        <v/>
      </c>
      <c r="I245" s="151" t="str">
        <f>IF(分析!J245&lt;&gt;"",分析!J245,"")</f>
        <v/>
      </c>
      <c r="J245" s="151" t="str">
        <f>IF(分析!AB245&lt;&gt;"",分析!AB245,"")</f>
        <v/>
      </c>
      <c r="K245" s="151" t="str">
        <f>IF(分析!AC245&lt;&gt;"",分析!AC245,"")</f>
        <v/>
      </c>
      <c r="L245" s="151" t="str">
        <f>IF(分析!K245&lt;&gt;"",分析!K245,"")</f>
        <v/>
      </c>
      <c r="M245" s="146" t="str">
        <f>IF(分析!P245&lt;&gt;"",分析!P245,"")</f>
        <v/>
      </c>
      <c r="N245" s="152" t="str">
        <f>IF(分析!O245&lt;&gt;"",分析!O245,"")</f>
        <v/>
      </c>
      <c r="O245" s="153" t="str">
        <f>IF(分析!X245&lt;&gt;"",分析!X245,"")</f>
        <v/>
      </c>
      <c r="P245" s="154" t="str">
        <f>IF(分析!L245&lt;&gt;"",分析!L245,"")</f>
        <v/>
      </c>
      <c r="Q245" s="151" t="str">
        <f>IF(分析!S245&lt;&gt;"",分析!S245,"")</f>
        <v/>
      </c>
      <c r="R245" s="151" t="str">
        <f>IF(分析!R245&lt;&gt;"",分析!R245,"")</f>
        <v/>
      </c>
      <c r="S245" s="146" t="str">
        <f>IF(分析!AA245&lt;&gt;"",分析!AA245,"")</f>
        <v/>
      </c>
      <c r="T245" s="155" t="str">
        <f>IF(分析!Z245&lt;&gt;"",分析!Z245,"")</f>
        <v/>
      </c>
      <c r="U245" s="146" t="str">
        <f>IF(分析!V245&lt;&gt;"",分析!V245,"")</f>
        <v/>
      </c>
      <c r="V245" s="156" t="str">
        <f>IF(分析!W245&lt;&gt;"",分析!W245,"")</f>
        <v/>
      </c>
      <c r="W245" s="157" t="str">
        <f>IF(分析!AD245&lt;&gt;"",分析!AD245,"")</f>
        <v/>
      </c>
      <c r="X245" s="158" t="str">
        <f>IF(分析!AE245&lt;&gt;"",分析!AE245,"")</f>
        <v/>
      </c>
      <c r="Y245" s="159" t="str">
        <f>IF(分析!T245&lt;&gt;"",分析!T245,"")</f>
        <v/>
      </c>
      <c r="Z245" s="145" t="str">
        <f>IF(分析!Y245&lt;&gt;"",分析!Y245,"")</f>
        <v/>
      </c>
    </row>
    <row r="246" spans="1:26" ht="21.9" customHeight="1">
      <c r="A246" s="131" t="str">
        <f>IF(分析!C246&lt;&gt;"",ROW()-2,"")</f>
        <v/>
      </c>
      <c r="B246" s="132" t="str">
        <f>IF(分析!C246&lt;&gt;"",HYPERLINK("https://kabutan.jp/stock/?code="&amp;分析!C246,"株探"),"")</f>
        <v/>
      </c>
      <c r="C246" s="133" t="str">
        <f>IF(分析!C246&lt;&gt;"",分析!C246,"")</f>
        <v/>
      </c>
      <c r="D246" s="134" t="str">
        <f>IF(分析!D246&lt;&gt;"",分析!D246,"")</f>
        <v/>
      </c>
      <c r="E246" s="135" t="str">
        <f>IF(分析!E246&lt;&gt;"",分析!E246,"")</f>
        <v/>
      </c>
      <c r="F246" s="136" t="str">
        <f>IF(分析!F246&lt;&gt;"",分析!F246,"")</f>
        <v/>
      </c>
      <c r="G246" s="136" t="str">
        <f>IF(分析!H246&lt;&gt;"",分析!H246,"")</f>
        <v/>
      </c>
      <c r="H246" s="136" t="str">
        <f>IF(分析!I246&lt;&gt;"",分析!I246,"")</f>
        <v/>
      </c>
      <c r="I246" s="136" t="str">
        <f>IF(分析!J246&lt;&gt;"",分析!J246,"")</f>
        <v/>
      </c>
      <c r="J246" s="136" t="str">
        <f>IF(分析!AB246&lt;&gt;"",分析!AB246,"")</f>
        <v/>
      </c>
      <c r="K246" s="136" t="str">
        <f>IF(分析!AC246&lt;&gt;"",分析!AC246,"")</f>
        <v/>
      </c>
      <c r="L246" s="136" t="str">
        <f>IF(分析!K246&lt;&gt;"",分析!K246,"")</f>
        <v/>
      </c>
      <c r="M246" s="131" t="str">
        <f>IF(分析!P246&lt;&gt;"",分析!P246,"")</f>
        <v/>
      </c>
      <c r="N246" s="137" t="str">
        <f>IF(分析!O246&lt;&gt;"",分析!O246,"")</f>
        <v/>
      </c>
      <c r="O246" s="138" t="str">
        <f>IF(分析!X246&lt;&gt;"",分析!X246,"")</f>
        <v/>
      </c>
      <c r="P246" s="139" t="str">
        <f>IF(分析!L246&lt;&gt;"",分析!L246,"")</f>
        <v/>
      </c>
      <c r="Q246" s="136" t="str">
        <f>IF(分析!S246&lt;&gt;"",分析!S246,"")</f>
        <v/>
      </c>
      <c r="R246" s="136" t="str">
        <f>IF(分析!R246&lt;&gt;"",分析!R246,"")</f>
        <v/>
      </c>
      <c r="S246" s="131" t="str">
        <f>IF(分析!AA246&lt;&gt;"",分析!AA246,"")</f>
        <v/>
      </c>
      <c r="T246" s="140" t="str">
        <f>IF(分析!Z246&lt;&gt;"",分析!Z246,"")</f>
        <v/>
      </c>
      <c r="U246" s="131" t="str">
        <f>IF(分析!V246&lt;&gt;"",分析!V246,"")</f>
        <v/>
      </c>
      <c r="V246" s="141" t="str">
        <f>IF(分析!W246&lt;&gt;"",分析!W246,"")</f>
        <v/>
      </c>
      <c r="W246" s="142" t="str">
        <f>IF(分析!AD246&lt;&gt;"",分析!AD246,"")</f>
        <v/>
      </c>
      <c r="X246" s="143" t="str">
        <f>IF(分析!AE246&lt;&gt;"",分析!AE246,"")</f>
        <v/>
      </c>
      <c r="Y246" s="144" t="str">
        <f>IF(分析!T246&lt;&gt;"",分析!T246,"")</f>
        <v/>
      </c>
      <c r="Z246" s="145" t="str">
        <f>IF(分析!Y246&lt;&gt;"",分析!Y246,"")</f>
        <v/>
      </c>
    </row>
    <row r="247" spans="1:26" ht="21.9" customHeight="1">
      <c r="A247" s="146" t="str">
        <f>IF(分析!C247&lt;&gt;"",ROW()-2,"")</f>
        <v/>
      </c>
      <c r="B247" s="147" t="str">
        <f>IF(分析!C247&lt;&gt;"",HYPERLINK("https://kabutan.jp/stock/?code="&amp;分析!C247,"株探"),"")</f>
        <v/>
      </c>
      <c r="C247" s="148" t="str">
        <f>IF(分析!C247&lt;&gt;"",分析!C247,"")</f>
        <v/>
      </c>
      <c r="D247" s="149" t="str">
        <f>IF(分析!D247&lt;&gt;"",分析!D247,"")</f>
        <v/>
      </c>
      <c r="E247" s="150" t="str">
        <f>IF(分析!E247&lt;&gt;"",分析!E247,"")</f>
        <v/>
      </c>
      <c r="F247" s="151" t="str">
        <f>IF(分析!F247&lt;&gt;"",分析!F247,"")</f>
        <v/>
      </c>
      <c r="G247" s="151" t="str">
        <f>IF(分析!H247&lt;&gt;"",分析!H247,"")</f>
        <v/>
      </c>
      <c r="H247" s="151" t="str">
        <f>IF(分析!I247&lt;&gt;"",分析!I247,"")</f>
        <v/>
      </c>
      <c r="I247" s="151" t="str">
        <f>IF(分析!J247&lt;&gt;"",分析!J247,"")</f>
        <v/>
      </c>
      <c r="J247" s="151" t="str">
        <f>IF(分析!AB247&lt;&gt;"",分析!AB247,"")</f>
        <v/>
      </c>
      <c r="K247" s="151" t="str">
        <f>IF(分析!AC247&lt;&gt;"",分析!AC247,"")</f>
        <v/>
      </c>
      <c r="L247" s="151" t="str">
        <f>IF(分析!K247&lt;&gt;"",分析!K247,"")</f>
        <v/>
      </c>
      <c r="M247" s="146" t="str">
        <f>IF(分析!P247&lt;&gt;"",分析!P247,"")</f>
        <v/>
      </c>
      <c r="N247" s="152" t="str">
        <f>IF(分析!O247&lt;&gt;"",分析!O247,"")</f>
        <v/>
      </c>
      <c r="O247" s="153" t="str">
        <f>IF(分析!X247&lt;&gt;"",分析!X247,"")</f>
        <v/>
      </c>
      <c r="P247" s="154" t="str">
        <f>IF(分析!L247&lt;&gt;"",分析!L247,"")</f>
        <v/>
      </c>
      <c r="Q247" s="151" t="str">
        <f>IF(分析!S247&lt;&gt;"",分析!S247,"")</f>
        <v/>
      </c>
      <c r="R247" s="151" t="str">
        <f>IF(分析!R247&lt;&gt;"",分析!R247,"")</f>
        <v/>
      </c>
      <c r="S247" s="146" t="str">
        <f>IF(分析!AA247&lt;&gt;"",分析!AA247,"")</f>
        <v/>
      </c>
      <c r="T247" s="155" t="str">
        <f>IF(分析!Z247&lt;&gt;"",分析!Z247,"")</f>
        <v/>
      </c>
      <c r="U247" s="146" t="str">
        <f>IF(分析!V247&lt;&gt;"",分析!V247,"")</f>
        <v/>
      </c>
      <c r="V247" s="156" t="str">
        <f>IF(分析!W247&lt;&gt;"",分析!W247,"")</f>
        <v/>
      </c>
      <c r="W247" s="157" t="str">
        <f>IF(分析!AD247&lt;&gt;"",分析!AD247,"")</f>
        <v/>
      </c>
      <c r="X247" s="158" t="str">
        <f>IF(分析!AE247&lt;&gt;"",分析!AE247,"")</f>
        <v/>
      </c>
      <c r="Y247" s="159" t="str">
        <f>IF(分析!T247&lt;&gt;"",分析!T247,"")</f>
        <v/>
      </c>
      <c r="Z247" s="145" t="str">
        <f>IF(分析!Y247&lt;&gt;"",分析!Y247,"")</f>
        <v/>
      </c>
    </row>
    <row r="248" spans="1:26" ht="21.9" customHeight="1">
      <c r="A248" s="131" t="str">
        <f>IF(分析!C248&lt;&gt;"",ROW()-2,"")</f>
        <v/>
      </c>
      <c r="B248" s="132" t="str">
        <f>IF(分析!C248&lt;&gt;"",HYPERLINK("https://kabutan.jp/stock/?code="&amp;分析!C248,"株探"),"")</f>
        <v/>
      </c>
      <c r="C248" s="133" t="str">
        <f>IF(分析!C248&lt;&gt;"",分析!C248,"")</f>
        <v/>
      </c>
      <c r="D248" s="134" t="str">
        <f>IF(分析!D248&lt;&gt;"",分析!D248,"")</f>
        <v/>
      </c>
      <c r="E248" s="135" t="str">
        <f>IF(分析!E248&lt;&gt;"",分析!E248,"")</f>
        <v/>
      </c>
      <c r="F248" s="136" t="str">
        <f>IF(分析!F248&lt;&gt;"",分析!F248,"")</f>
        <v/>
      </c>
      <c r="G248" s="136" t="str">
        <f>IF(分析!H248&lt;&gt;"",分析!H248,"")</f>
        <v/>
      </c>
      <c r="H248" s="136" t="str">
        <f>IF(分析!I248&lt;&gt;"",分析!I248,"")</f>
        <v/>
      </c>
      <c r="I248" s="136" t="str">
        <f>IF(分析!J248&lt;&gt;"",分析!J248,"")</f>
        <v/>
      </c>
      <c r="J248" s="136" t="str">
        <f>IF(分析!AB248&lt;&gt;"",分析!AB248,"")</f>
        <v/>
      </c>
      <c r="K248" s="136" t="str">
        <f>IF(分析!AC248&lt;&gt;"",分析!AC248,"")</f>
        <v/>
      </c>
      <c r="L248" s="136" t="str">
        <f>IF(分析!K248&lt;&gt;"",分析!K248,"")</f>
        <v/>
      </c>
      <c r="M248" s="131" t="str">
        <f>IF(分析!P248&lt;&gt;"",分析!P248,"")</f>
        <v/>
      </c>
      <c r="N248" s="137" t="str">
        <f>IF(分析!O248&lt;&gt;"",分析!O248,"")</f>
        <v/>
      </c>
      <c r="O248" s="138" t="str">
        <f>IF(分析!X248&lt;&gt;"",分析!X248,"")</f>
        <v/>
      </c>
      <c r="P248" s="139" t="str">
        <f>IF(分析!L248&lt;&gt;"",分析!L248,"")</f>
        <v/>
      </c>
      <c r="Q248" s="136" t="str">
        <f>IF(分析!S248&lt;&gt;"",分析!S248,"")</f>
        <v/>
      </c>
      <c r="R248" s="136" t="str">
        <f>IF(分析!R248&lt;&gt;"",分析!R248,"")</f>
        <v/>
      </c>
      <c r="S248" s="131" t="str">
        <f>IF(分析!AA248&lt;&gt;"",分析!AA248,"")</f>
        <v/>
      </c>
      <c r="T248" s="140" t="str">
        <f>IF(分析!Z248&lt;&gt;"",分析!Z248,"")</f>
        <v/>
      </c>
      <c r="U248" s="131" t="str">
        <f>IF(分析!V248&lt;&gt;"",分析!V248,"")</f>
        <v/>
      </c>
      <c r="V248" s="141" t="str">
        <f>IF(分析!W248&lt;&gt;"",分析!W248,"")</f>
        <v/>
      </c>
      <c r="W248" s="142" t="str">
        <f>IF(分析!AD248&lt;&gt;"",分析!AD248,"")</f>
        <v/>
      </c>
      <c r="X248" s="143" t="str">
        <f>IF(分析!AE248&lt;&gt;"",分析!AE248,"")</f>
        <v/>
      </c>
      <c r="Y248" s="144" t="str">
        <f>IF(分析!T248&lt;&gt;"",分析!T248,"")</f>
        <v/>
      </c>
      <c r="Z248" s="145" t="str">
        <f>IF(分析!Y248&lt;&gt;"",分析!Y248,"")</f>
        <v/>
      </c>
    </row>
    <row r="249" spans="1:26" ht="21.9" customHeight="1">
      <c r="A249" s="146" t="str">
        <f>IF(分析!C249&lt;&gt;"",ROW()-2,"")</f>
        <v/>
      </c>
      <c r="B249" s="147" t="str">
        <f>IF(分析!C249&lt;&gt;"",HYPERLINK("https://kabutan.jp/stock/?code="&amp;分析!C249,"株探"),"")</f>
        <v/>
      </c>
      <c r="C249" s="148" t="str">
        <f>IF(分析!C249&lt;&gt;"",分析!C249,"")</f>
        <v/>
      </c>
      <c r="D249" s="149" t="str">
        <f>IF(分析!D249&lt;&gt;"",分析!D249,"")</f>
        <v/>
      </c>
      <c r="E249" s="150" t="str">
        <f>IF(分析!E249&lt;&gt;"",分析!E249,"")</f>
        <v/>
      </c>
      <c r="F249" s="151" t="str">
        <f>IF(分析!F249&lt;&gt;"",分析!F249,"")</f>
        <v/>
      </c>
      <c r="G249" s="151" t="str">
        <f>IF(分析!H249&lt;&gt;"",分析!H249,"")</f>
        <v/>
      </c>
      <c r="H249" s="151" t="str">
        <f>IF(分析!I249&lt;&gt;"",分析!I249,"")</f>
        <v/>
      </c>
      <c r="I249" s="151" t="str">
        <f>IF(分析!J249&lt;&gt;"",分析!J249,"")</f>
        <v/>
      </c>
      <c r="J249" s="151" t="str">
        <f>IF(分析!AB249&lt;&gt;"",分析!AB249,"")</f>
        <v/>
      </c>
      <c r="K249" s="151" t="str">
        <f>IF(分析!AC249&lt;&gt;"",分析!AC249,"")</f>
        <v/>
      </c>
      <c r="L249" s="151" t="str">
        <f>IF(分析!K249&lt;&gt;"",分析!K249,"")</f>
        <v/>
      </c>
      <c r="M249" s="146" t="str">
        <f>IF(分析!P249&lt;&gt;"",分析!P249,"")</f>
        <v/>
      </c>
      <c r="N249" s="152" t="str">
        <f>IF(分析!O249&lt;&gt;"",分析!O249,"")</f>
        <v/>
      </c>
      <c r="O249" s="153" t="str">
        <f>IF(分析!X249&lt;&gt;"",分析!X249,"")</f>
        <v/>
      </c>
      <c r="P249" s="154" t="str">
        <f>IF(分析!L249&lt;&gt;"",分析!L249,"")</f>
        <v/>
      </c>
      <c r="Q249" s="151" t="str">
        <f>IF(分析!S249&lt;&gt;"",分析!S249,"")</f>
        <v/>
      </c>
      <c r="R249" s="151" t="str">
        <f>IF(分析!R249&lt;&gt;"",分析!R249,"")</f>
        <v/>
      </c>
      <c r="S249" s="146" t="str">
        <f>IF(分析!AA249&lt;&gt;"",分析!AA249,"")</f>
        <v/>
      </c>
      <c r="T249" s="155" t="str">
        <f>IF(分析!Z249&lt;&gt;"",分析!Z249,"")</f>
        <v/>
      </c>
      <c r="U249" s="146" t="str">
        <f>IF(分析!V249&lt;&gt;"",分析!V249,"")</f>
        <v/>
      </c>
      <c r="V249" s="156" t="str">
        <f>IF(分析!W249&lt;&gt;"",分析!W249,"")</f>
        <v/>
      </c>
      <c r="W249" s="157" t="str">
        <f>IF(分析!AD249&lt;&gt;"",分析!AD249,"")</f>
        <v/>
      </c>
      <c r="X249" s="158" t="str">
        <f>IF(分析!AE249&lt;&gt;"",分析!AE249,"")</f>
        <v/>
      </c>
      <c r="Y249" s="159" t="str">
        <f>IF(分析!T249&lt;&gt;"",分析!T249,"")</f>
        <v/>
      </c>
      <c r="Z249" s="145" t="str">
        <f>IF(分析!Y249&lt;&gt;"",分析!Y249,"")</f>
        <v/>
      </c>
    </row>
    <row r="250" spans="1:26" ht="21.9" customHeight="1">
      <c r="A250" s="131" t="str">
        <f>IF(分析!C250&lt;&gt;"",ROW()-2,"")</f>
        <v/>
      </c>
      <c r="B250" s="132" t="str">
        <f>IF(分析!C250&lt;&gt;"",HYPERLINK("https://kabutan.jp/stock/?code="&amp;分析!C250,"株探"),"")</f>
        <v/>
      </c>
      <c r="C250" s="133" t="str">
        <f>IF(分析!C250&lt;&gt;"",分析!C250,"")</f>
        <v/>
      </c>
      <c r="D250" s="134" t="str">
        <f>IF(分析!D250&lt;&gt;"",分析!D250,"")</f>
        <v/>
      </c>
      <c r="E250" s="135" t="str">
        <f>IF(分析!E250&lt;&gt;"",分析!E250,"")</f>
        <v/>
      </c>
      <c r="F250" s="136" t="str">
        <f>IF(分析!F250&lt;&gt;"",分析!F250,"")</f>
        <v/>
      </c>
      <c r="G250" s="136" t="str">
        <f>IF(分析!H250&lt;&gt;"",分析!H250,"")</f>
        <v/>
      </c>
      <c r="H250" s="136" t="str">
        <f>IF(分析!I250&lt;&gt;"",分析!I250,"")</f>
        <v/>
      </c>
      <c r="I250" s="136" t="str">
        <f>IF(分析!J250&lt;&gt;"",分析!J250,"")</f>
        <v/>
      </c>
      <c r="J250" s="136" t="str">
        <f>IF(分析!AB250&lt;&gt;"",分析!AB250,"")</f>
        <v/>
      </c>
      <c r="K250" s="136" t="str">
        <f>IF(分析!AC250&lt;&gt;"",分析!AC250,"")</f>
        <v/>
      </c>
      <c r="L250" s="136" t="str">
        <f>IF(分析!K250&lt;&gt;"",分析!K250,"")</f>
        <v/>
      </c>
      <c r="M250" s="131" t="str">
        <f>IF(分析!P250&lt;&gt;"",分析!P250,"")</f>
        <v/>
      </c>
      <c r="N250" s="137" t="str">
        <f>IF(分析!O250&lt;&gt;"",分析!O250,"")</f>
        <v/>
      </c>
      <c r="O250" s="138" t="str">
        <f>IF(分析!X250&lt;&gt;"",分析!X250,"")</f>
        <v/>
      </c>
      <c r="P250" s="139" t="str">
        <f>IF(分析!L250&lt;&gt;"",分析!L250,"")</f>
        <v/>
      </c>
      <c r="Q250" s="136" t="str">
        <f>IF(分析!S250&lt;&gt;"",分析!S250,"")</f>
        <v/>
      </c>
      <c r="R250" s="136" t="str">
        <f>IF(分析!R250&lt;&gt;"",分析!R250,"")</f>
        <v/>
      </c>
      <c r="S250" s="131" t="str">
        <f>IF(分析!AA250&lt;&gt;"",分析!AA250,"")</f>
        <v/>
      </c>
      <c r="T250" s="140" t="str">
        <f>IF(分析!Z250&lt;&gt;"",分析!Z250,"")</f>
        <v/>
      </c>
      <c r="U250" s="131" t="str">
        <f>IF(分析!V250&lt;&gt;"",分析!V250,"")</f>
        <v/>
      </c>
      <c r="V250" s="141" t="str">
        <f>IF(分析!W250&lt;&gt;"",分析!W250,"")</f>
        <v/>
      </c>
      <c r="W250" s="142" t="str">
        <f>IF(分析!AD250&lt;&gt;"",分析!AD250,"")</f>
        <v/>
      </c>
      <c r="X250" s="143" t="str">
        <f>IF(分析!AE250&lt;&gt;"",分析!AE250,"")</f>
        <v/>
      </c>
      <c r="Y250" s="144" t="str">
        <f>IF(分析!T250&lt;&gt;"",分析!T250,"")</f>
        <v/>
      </c>
      <c r="Z250" s="145" t="str">
        <f>IF(分析!Y250&lt;&gt;"",分析!Y250,"")</f>
        <v/>
      </c>
    </row>
    <row r="251" spans="1:26" ht="21.9" customHeight="1">
      <c r="A251" s="146" t="str">
        <f>IF(分析!C251&lt;&gt;"",ROW()-2,"")</f>
        <v/>
      </c>
      <c r="B251" s="147" t="str">
        <f>IF(分析!C251&lt;&gt;"",HYPERLINK("https://kabutan.jp/stock/?code="&amp;分析!C251,"株探"),"")</f>
        <v/>
      </c>
      <c r="C251" s="148" t="str">
        <f>IF(分析!C251&lt;&gt;"",分析!C251,"")</f>
        <v/>
      </c>
      <c r="D251" s="149" t="str">
        <f>IF(分析!D251&lt;&gt;"",分析!D251,"")</f>
        <v/>
      </c>
      <c r="E251" s="150" t="str">
        <f>IF(分析!E251&lt;&gt;"",分析!E251,"")</f>
        <v/>
      </c>
      <c r="F251" s="151" t="str">
        <f>IF(分析!F251&lt;&gt;"",分析!F251,"")</f>
        <v/>
      </c>
      <c r="G251" s="151" t="str">
        <f>IF(分析!H251&lt;&gt;"",分析!H251,"")</f>
        <v/>
      </c>
      <c r="H251" s="151" t="str">
        <f>IF(分析!I251&lt;&gt;"",分析!I251,"")</f>
        <v/>
      </c>
      <c r="I251" s="151" t="str">
        <f>IF(分析!J251&lt;&gt;"",分析!J251,"")</f>
        <v/>
      </c>
      <c r="J251" s="151" t="str">
        <f>IF(分析!AB251&lt;&gt;"",分析!AB251,"")</f>
        <v/>
      </c>
      <c r="K251" s="151" t="str">
        <f>IF(分析!AC251&lt;&gt;"",分析!AC251,"")</f>
        <v/>
      </c>
      <c r="L251" s="151" t="str">
        <f>IF(分析!K251&lt;&gt;"",分析!K251,"")</f>
        <v/>
      </c>
      <c r="M251" s="146" t="str">
        <f>IF(分析!P251&lt;&gt;"",分析!P251,"")</f>
        <v/>
      </c>
      <c r="N251" s="152" t="str">
        <f>IF(分析!O251&lt;&gt;"",分析!O251,"")</f>
        <v/>
      </c>
      <c r="O251" s="153" t="str">
        <f>IF(分析!X251&lt;&gt;"",分析!X251,"")</f>
        <v/>
      </c>
      <c r="P251" s="154" t="str">
        <f>IF(分析!L251&lt;&gt;"",分析!L251,"")</f>
        <v/>
      </c>
      <c r="Q251" s="151" t="str">
        <f>IF(分析!S251&lt;&gt;"",分析!S251,"")</f>
        <v/>
      </c>
      <c r="R251" s="151" t="str">
        <f>IF(分析!R251&lt;&gt;"",分析!R251,"")</f>
        <v/>
      </c>
      <c r="S251" s="146" t="str">
        <f>IF(分析!AA251&lt;&gt;"",分析!AA251,"")</f>
        <v/>
      </c>
      <c r="T251" s="155" t="str">
        <f>IF(分析!Z251&lt;&gt;"",分析!Z251,"")</f>
        <v/>
      </c>
      <c r="U251" s="146" t="str">
        <f>IF(分析!V251&lt;&gt;"",分析!V251,"")</f>
        <v/>
      </c>
      <c r="V251" s="156" t="str">
        <f>IF(分析!W251&lt;&gt;"",分析!W251,"")</f>
        <v/>
      </c>
      <c r="W251" s="157" t="str">
        <f>IF(分析!AD251&lt;&gt;"",分析!AD251,"")</f>
        <v/>
      </c>
      <c r="X251" s="158" t="str">
        <f>IF(分析!AE251&lt;&gt;"",分析!AE251,"")</f>
        <v/>
      </c>
      <c r="Y251" s="159" t="str">
        <f>IF(分析!T251&lt;&gt;"",分析!T251,"")</f>
        <v/>
      </c>
      <c r="Z251" s="145" t="str">
        <f>IF(分析!Y251&lt;&gt;"",分析!Y251,"")</f>
        <v/>
      </c>
    </row>
    <row r="252" spans="1:26" ht="21.9" customHeight="1">
      <c r="A252" s="131" t="str">
        <f>IF(分析!C252&lt;&gt;"",ROW()-2,"")</f>
        <v/>
      </c>
      <c r="B252" s="132" t="str">
        <f>IF(分析!C252&lt;&gt;"",HYPERLINK("https://kabutan.jp/stock/?code="&amp;分析!C252,"株探"),"")</f>
        <v/>
      </c>
      <c r="C252" s="133" t="str">
        <f>IF(分析!C252&lt;&gt;"",分析!C252,"")</f>
        <v/>
      </c>
      <c r="D252" s="134" t="str">
        <f>IF(分析!D252&lt;&gt;"",分析!D252,"")</f>
        <v/>
      </c>
      <c r="E252" s="135" t="str">
        <f>IF(分析!E252&lt;&gt;"",分析!E252,"")</f>
        <v/>
      </c>
      <c r="F252" s="136" t="str">
        <f>IF(分析!F252&lt;&gt;"",分析!F252,"")</f>
        <v/>
      </c>
      <c r="G252" s="136" t="str">
        <f>IF(分析!H252&lt;&gt;"",分析!H252,"")</f>
        <v/>
      </c>
      <c r="H252" s="136" t="str">
        <f>IF(分析!I252&lt;&gt;"",分析!I252,"")</f>
        <v/>
      </c>
      <c r="I252" s="136" t="str">
        <f>IF(分析!J252&lt;&gt;"",分析!J252,"")</f>
        <v/>
      </c>
      <c r="J252" s="136" t="str">
        <f>IF(分析!AB252&lt;&gt;"",分析!AB252,"")</f>
        <v/>
      </c>
      <c r="K252" s="136" t="str">
        <f>IF(分析!AC252&lt;&gt;"",分析!AC252,"")</f>
        <v/>
      </c>
      <c r="L252" s="136" t="str">
        <f>IF(分析!K252&lt;&gt;"",分析!K252,"")</f>
        <v/>
      </c>
      <c r="M252" s="131" t="str">
        <f>IF(分析!P252&lt;&gt;"",分析!P252,"")</f>
        <v/>
      </c>
      <c r="N252" s="137" t="str">
        <f>IF(分析!O252&lt;&gt;"",分析!O252,"")</f>
        <v/>
      </c>
      <c r="O252" s="138" t="str">
        <f>IF(分析!X252&lt;&gt;"",分析!X252,"")</f>
        <v/>
      </c>
      <c r="P252" s="139" t="str">
        <f>IF(分析!L252&lt;&gt;"",分析!L252,"")</f>
        <v/>
      </c>
      <c r="Q252" s="136" t="str">
        <f>IF(分析!S252&lt;&gt;"",分析!S252,"")</f>
        <v/>
      </c>
      <c r="R252" s="136" t="str">
        <f>IF(分析!R252&lt;&gt;"",分析!R252,"")</f>
        <v/>
      </c>
      <c r="S252" s="131" t="str">
        <f>IF(分析!AA252&lt;&gt;"",分析!AA252,"")</f>
        <v/>
      </c>
      <c r="T252" s="140" t="str">
        <f>IF(分析!Z252&lt;&gt;"",分析!Z252,"")</f>
        <v/>
      </c>
      <c r="U252" s="131" t="str">
        <f>IF(分析!V252&lt;&gt;"",分析!V252,"")</f>
        <v/>
      </c>
      <c r="V252" s="141" t="str">
        <f>IF(分析!W252&lt;&gt;"",分析!W252,"")</f>
        <v/>
      </c>
      <c r="W252" s="142" t="str">
        <f>IF(分析!AD252&lt;&gt;"",分析!AD252,"")</f>
        <v/>
      </c>
      <c r="X252" s="143" t="str">
        <f>IF(分析!AE252&lt;&gt;"",分析!AE252,"")</f>
        <v/>
      </c>
      <c r="Y252" s="144" t="str">
        <f>IF(分析!T252&lt;&gt;"",分析!T252,"")</f>
        <v/>
      </c>
      <c r="Z252" s="145" t="str">
        <f>IF(分析!Y252&lt;&gt;"",分析!Y252,"")</f>
        <v/>
      </c>
    </row>
    <row r="253" spans="1:26" ht="21.9" customHeight="1">
      <c r="A253" s="146" t="str">
        <f>IF(分析!C253&lt;&gt;"",ROW()-2,"")</f>
        <v/>
      </c>
      <c r="B253" s="147" t="str">
        <f>IF(分析!C253&lt;&gt;"",HYPERLINK("https://kabutan.jp/stock/?code="&amp;分析!C253,"株探"),"")</f>
        <v/>
      </c>
      <c r="C253" s="148" t="str">
        <f>IF(分析!C253&lt;&gt;"",分析!C253,"")</f>
        <v/>
      </c>
      <c r="D253" s="149" t="str">
        <f>IF(分析!D253&lt;&gt;"",分析!D253,"")</f>
        <v/>
      </c>
      <c r="E253" s="150" t="str">
        <f>IF(分析!E253&lt;&gt;"",分析!E253,"")</f>
        <v/>
      </c>
      <c r="F253" s="151" t="str">
        <f>IF(分析!F253&lt;&gt;"",分析!F253,"")</f>
        <v/>
      </c>
      <c r="G253" s="151" t="str">
        <f>IF(分析!H253&lt;&gt;"",分析!H253,"")</f>
        <v/>
      </c>
      <c r="H253" s="151" t="str">
        <f>IF(分析!I253&lt;&gt;"",分析!I253,"")</f>
        <v/>
      </c>
      <c r="I253" s="151" t="str">
        <f>IF(分析!J253&lt;&gt;"",分析!J253,"")</f>
        <v/>
      </c>
      <c r="J253" s="151" t="str">
        <f>IF(分析!AB253&lt;&gt;"",分析!AB253,"")</f>
        <v/>
      </c>
      <c r="K253" s="151" t="str">
        <f>IF(分析!AC253&lt;&gt;"",分析!AC253,"")</f>
        <v/>
      </c>
      <c r="L253" s="151" t="str">
        <f>IF(分析!K253&lt;&gt;"",分析!K253,"")</f>
        <v/>
      </c>
      <c r="M253" s="146" t="str">
        <f>IF(分析!P253&lt;&gt;"",分析!P253,"")</f>
        <v/>
      </c>
      <c r="N253" s="152" t="str">
        <f>IF(分析!O253&lt;&gt;"",分析!O253,"")</f>
        <v/>
      </c>
      <c r="O253" s="153" t="str">
        <f>IF(分析!X253&lt;&gt;"",分析!X253,"")</f>
        <v/>
      </c>
      <c r="P253" s="154" t="str">
        <f>IF(分析!L253&lt;&gt;"",分析!L253,"")</f>
        <v/>
      </c>
      <c r="Q253" s="151" t="str">
        <f>IF(分析!S253&lt;&gt;"",分析!S253,"")</f>
        <v/>
      </c>
      <c r="R253" s="151" t="str">
        <f>IF(分析!R253&lt;&gt;"",分析!R253,"")</f>
        <v/>
      </c>
      <c r="S253" s="146" t="str">
        <f>IF(分析!AA253&lt;&gt;"",分析!AA253,"")</f>
        <v/>
      </c>
      <c r="T253" s="155" t="str">
        <f>IF(分析!Z253&lt;&gt;"",分析!Z253,"")</f>
        <v/>
      </c>
      <c r="U253" s="146" t="str">
        <f>IF(分析!V253&lt;&gt;"",分析!V253,"")</f>
        <v/>
      </c>
      <c r="V253" s="156" t="str">
        <f>IF(分析!W253&lt;&gt;"",分析!W253,"")</f>
        <v/>
      </c>
      <c r="W253" s="157" t="str">
        <f>IF(分析!AD253&lt;&gt;"",分析!AD253,"")</f>
        <v/>
      </c>
      <c r="X253" s="158" t="str">
        <f>IF(分析!AE253&lt;&gt;"",分析!AE253,"")</f>
        <v/>
      </c>
      <c r="Y253" s="159" t="str">
        <f>IF(分析!T253&lt;&gt;"",分析!T253,"")</f>
        <v/>
      </c>
      <c r="Z253" s="145" t="str">
        <f>IF(分析!Y253&lt;&gt;"",分析!Y253,"")</f>
        <v/>
      </c>
    </row>
    <row r="254" spans="1:26" ht="21.9" customHeight="1">
      <c r="A254" s="131" t="str">
        <f>IF(分析!C254&lt;&gt;"",ROW()-2,"")</f>
        <v/>
      </c>
      <c r="B254" s="132" t="str">
        <f>IF(分析!C254&lt;&gt;"",HYPERLINK("https://kabutan.jp/stock/?code="&amp;分析!C254,"株探"),"")</f>
        <v/>
      </c>
      <c r="C254" s="133" t="str">
        <f>IF(分析!C254&lt;&gt;"",分析!C254,"")</f>
        <v/>
      </c>
      <c r="D254" s="134" t="str">
        <f>IF(分析!D254&lt;&gt;"",分析!D254,"")</f>
        <v/>
      </c>
      <c r="E254" s="135" t="str">
        <f>IF(分析!E254&lt;&gt;"",分析!E254,"")</f>
        <v/>
      </c>
      <c r="F254" s="136" t="str">
        <f>IF(分析!F254&lt;&gt;"",分析!F254,"")</f>
        <v/>
      </c>
      <c r="G254" s="136" t="str">
        <f>IF(分析!H254&lt;&gt;"",分析!H254,"")</f>
        <v/>
      </c>
      <c r="H254" s="136" t="str">
        <f>IF(分析!I254&lt;&gt;"",分析!I254,"")</f>
        <v/>
      </c>
      <c r="I254" s="136" t="str">
        <f>IF(分析!J254&lt;&gt;"",分析!J254,"")</f>
        <v/>
      </c>
      <c r="J254" s="136" t="str">
        <f>IF(分析!AB254&lt;&gt;"",分析!AB254,"")</f>
        <v/>
      </c>
      <c r="K254" s="136" t="str">
        <f>IF(分析!AC254&lt;&gt;"",分析!AC254,"")</f>
        <v/>
      </c>
      <c r="L254" s="136" t="str">
        <f>IF(分析!K254&lt;&gt;"",分析!K254,"")</f>
        <v/>
      </c>
      <c r="M254" s="131" t="str">
        <f>IF(分析!P254&lt;&gt;"",分析!P254,"")</f>
        <v/>
      </c>
      <c r="N254" s="137" t="str">
        <f>IF(分析!O254&lt;&gt;"",分析!O254,"")</f>
        <v/>
      </c>
      <c r="O254" s="138" t="str">
        <f>IF(分析!X254&lt;&gt;"",分析!X254,"")</f>
        <v/>
      </c>
      <c r="P254" s="139" t="str">
        <f>IF(分析!L254&lt;&gt;"",分析!L254,"")</f>
        <v/>
      </c>
      <c r="Q254" s="136" t="str">
        <f>IF(分析!S254&lt;&gt;"",分析!S254,"")</f>
        <v/>
      </c>
      <c r="R254" s="136" t="str">
        <f>IF(分析!R254&lt;&gt;"",分析!R254,"")</f>
        <v/>
      </c>
      <c r="S254" s="131" t="str">
        <f>IF(分析!AA254&lt;&gt;"",分析!AA254,"")</f>
        <v/>
      </c>
      <c r="T254" s="140" t="str">
        <f>IF(分析!Z254&lt;&gt;"",分析!Z254,"")</f>
        <v/>
      </c>
      <c r="U254" s="131" t="str">
        <f>IF(分析!V254&lt;&gt;"",分析!V254,"")</f>
        <v/>
      </c>
      <c r="V254" s="141" t="str">
        <f>IF(分析!W254&lt;&gt;"",分析!W254,"")</f>
        <v/>
      </c>
      <c r="W254" s="142" t="str">
        <f>IF(分析!AD254&lt;&gt;"",分析!AD254,"")</f>
        <v/>
      </c>
      <c r="X254" s="143" t="str">
        <f>IF(分析!AE254&lt;&gt;"",分析!AE254,"")</f>
        <v/>
      </c>
      <c r="Y254" s="144" t="str">
        <f>IF(分析!T254&lt;&gt;"",分析!T254,"")</f>
        <v/>
      </c>
      <c r="Z254" s="145" t="str">
        <f>IF(分析!Y254&lt;&gt;"",分析!Y254,"")</f>
        <v/>
      </c>
    </row>
    <row r="255" spans="1:26" ht="21.9" customHeight="1">
      <c r="A255" s="146" t="str">
        <f>IF(分析!C255&lt;&gt;"",ROW()-2,"")</f>
        <v/>
      </c>
      <c r="B255" s="147" t="str">
        <f>IF(分析!C255&lt;&gt;"",HYPERLINK("https://kabutan.jp/stock/?code="&amp;分析!C255,"株探"),"")</f>
        <v/>
      </c>
      <c r="C255" s="148" t="str">
        <f>IF(分析!C255&lt;&gt;"",分析!C255,"")</f>
        <v/>
      </c>
      <c r="D255" s="149" t="str">
        <f>IF(分析!D255&lt;&gt;"",分析!D255,"")</f>
        <v/>
      </c>
      <c r="E255" s="150" t="str">
        <f>IF(分析!E255&lt;&gt;"",分析!E255,"")</f>
        <v/>
      </c>
      <c r="F255" s="151" t="str">
        <f>IF(分析!F255&lt;&gt;"",分析!F255,"")</f>
        <v/>
      </c>
      <c r="G255" s="151" t="str">
        <f>IF(分析!H255&lt;&gt;"",分析!H255,"")</f>
        <v/>
      </c>
      <c r="H255" s="151" t="str">
        <f>IF(分析!I255&lt;&gt;"",分析!I255,"")</f>
        <v/>
      </c>
      <c r="I255" s="151" t="str">
        <f>IF(分析!J255&lt;&gt;"",分析!J255,"")</f>
        <v/>
      </c>
      <c r="J255" s="151" t="str">
        <f>IF(分析!AB255&lt;&gt;"",分析!AB255,"")</f>
        <v/>
      </c>
      <c r="K255" s="151" t="str">
        <f>IF(分析!AC255&lt;&gt;"",分析!AC255,"")</f>
        <v/>
      </c>
      <c r="L255" s="151" t="str">
        <f>IF(分析!K255&lt;&gt;"",分析!K255,"")</f>
        <v/>
      </c>
      <c r="M255" s="146" t="str">
        <f>IF(分析!P255&lt;&gt;"",分析!P255,"")</f>
        <v/>
      </c>
      <c r="N255" s="152" t="str">
        <f>IF(分析!O255&lt;&gt;"",分析!O255,"")</f>
        <v/>
      </c>
      <c r="O255" s="153" t="str">
        <f>IF(分析!X255&lt;&gt;"",分析!X255,"")</f>
        <v/>
      </c>
      <c r="P255" s="154" t="str">
        <f>IF(分析!L255&lt;&gt;"",分析!L255,"")</f>
        <v/>
      </c>
      <c r="Q255" s="151" t="str">
        <f>IF(分析!S255&lt;&gt;"",分析!S255,"")</f>
        <v/>
      </c>
      <c r="R255" s="151" t="str">
        <f>IF(分析!R255&lt;&gt;"",分析!R255,"")</f>
        <v/>
      </c>
      <c r="S255" s="146" t="str">
        <f>IF(分析!AA255&lt;&gt;"",分析!AA255,"")</f>
        <v/>
      </c>
      <c r="T255" s="155" t="str">
        <f>IF(分析!Z255&lt;&gt;"",分析!Z255,"")</f>
        <v/>
      </c>
      <c r="U255" s="146" t="str">
        <f>IF(分析!V255&lt;&gt;"",分析!V255,"")</f>
        <v/>
      </c>
      <c r="V255" s="156" t="str">
        <f>IF(分析!W255&lt;&gt;"",分析!W255,"")</f>
        <v/>
      </c>
      <c r="W255" s="157" t="str">
        <f>IF(分析!AD255&lt;&gt;"",分析!AD255,"")</f>
        <v/>
      </c>
      <c r="X255" s="158" t="str">
        <f>IF(分析!AE255&lt;&gt;"",分析!AE255,"")</f>
        <v/>
      </c>
      <c r="Y255" s="159" t="str">
        <f>IF(分析!T255&lt;&gt;"",分析!T255,"")</f>
        <v/>
      </c>
      <c r="Z255" s="145" t="str">
        <f>IF(分析!Y255&lt;&gt;"",分析!Y255,"")</f>
        <v/>
      </c>
    </row>
    <row r="256" spans="1:26" ht="21.9" customHeight="1">
      <c r="A256" s="131" t="str">
        <f>IF(分析!C256&lt;&gt;"",ROW()-2,"")</f>
        <v/>
      </c>
      <c r="B256" s="132" t="str">
        <f>IF(分析!C256&lt;&gt;"",HYPERLINK("https://kabutan.jp/stock/?code="&amp;分析!C256,"株探"),"")</f>
        <v/>
      </c>
      <c r="C256" s="133" t="str">
        <f>IF(分析!C256&lt;&gt;"",分析!C256,"")</f>
        <v/>
      </c>
      <c r="D256" s="134" t="str">
        <f>IF(分析!D256&lt;&gt;"",分析!D256,"")</f>
        <v/>
      </c>
      <c r="E256" s="135" t="str">
        <f>IF(分析!E256&lt;&gt;"",分析!E256,"")</f>
        <v/>
      </c>
      <c r="F256" s="136" t="str">
        <f>IF(分析!F256&lt;&gt;"",分析!F256,"")</f>
        <v/>
      </c>
      <c r="G256" s="136" t="str">
        <f>IF(分析!H256&lt;&gt;"",分析!H256,"")</f>
        <v/>
      </c>
      <c r="H256" s="136" t="str">
        <f>IF(分析!I256&lt;&gt;"",分析!I256,"")</f>
        <v/>
      </c>
      <c r="I256" s="136" t="str">
        <f>IF(分析!J256&lt;&gt;"",分析!J256,"")</f>
        <v/>
      </c>
      <c r="J256" s="136" t="str">
        <f>IF(分析!AB256&lt;&gt;"",分析!AB256,"")</f>
        <v/>
      </c>
      <c r="K256" s="136" t="str">
        <f>IF(分析!AC256&lt;&gt;"",分析!AC256,"")</f>
        <v/>
      </c>
      <c r="L256" s="136" t="str">
        <f>IF(分析!K256&lt;&gt;"",分析!K256,"")</f>
        <v/>
      </c>
      <c r="M256" s="131" t="str">
        <f>IF(分析!P256&lt;&gt;"",分析!P256,"")</f>
        <v/>
      </c>
      <c r="N256" s="137" t="str">
        <f>IF(分析!O256&lt;&gt;"",分析!O256,"")</f>
        <v/>
      </c>
      <c r="O256" s="138" t="str">
        <f>IF(分析!X256&lt;&gt;"",分析!X256,"")</f>
        <v/>
      </c>
      <c r="P256" s="139" t="str">
        <f>IF(分析!L256&lt;&gt;"",分析!L256,"")</f>
        <v/>
      </c>
      <c r="Q256" s="136" t="str">
        <f>IF(分析!S256&lt;&gt;"",分析!S256,"")</f>
        <v/>
      </c>
      <c r="R256" s="136" t="str">
        <f>IF(分析!R256&lt;&gt;"",分析!R256,"")</f>
        <v/>
      </c>
      <c r="S256" s="131" t="str">
        <f>IF(分析!AA256&lt;&gt;"",分析!AA256,"")</f>
        <v/>
      </c>
      <c r="T256" s="140" t="str">
        <f>IF(分析!Z256&lt;&gt;"",分析!Z256,"")</f>
        <v/>
      </c>
      <c r="U256" s="131" t="str">
        <f>IF(分析!V256&lt;&gt;"",分析!V256,"")</f>
        <v/>
      </c>
      <c r="V256" s="141" t="str">
        <f>IF(分析!W256&lt;&gt;"",分析!W256,"")</f>
        <v/>
      </c>
      <c r="W256" s="142" t="str">
        <f>IF(分析!AD256&lt;&gt;"",分析!AD256,"")</f>
        <v/>
      </c>
      <c r="X256" s="143" t="str">
        <f>IF(分析!AE256&lt;&gt;"",分析!AE256,"")</f>
        <v/>
      </c>
      <c r="Y256" s="144" t="str">
        <f>IF(分析!T256&lt;&gt;"",分析!T256,"")</f>
        <v/>
      </c>
      <c r="Z256" s="145" t="str">
        <f>IF(分析!Y256&lt;&gt;"",分析!Y256,"")</f>
        <v/>
      </c>
    </row>
    <row r="257" spans="1:26" ht="21.9" customHeight="1">
      <c r="A257" s="146" t="str">
        <f>IF(分析!C257&lt;&gt;"",ROW()-2,"")</f>
        <v/>
      </c>
      <c r="B257" s="147" t="str">
        <f>IF(分析!C257&lt;&gt;"",HYPERLINK("https://kabutan.jp/stock/?code="&amp;分析!C257,"株探"),"")</f>
        <v/>
      </c>
      <c r="C257" s="148" t="str">
        <f>IF(分析!C257&lt;&gt;"",分析!C257,"")</f>
        <v/>
      </c>
      <c r="D257" s="149" t="str">
        <f>IF(分析!D257&lt;&gt;"",分析!D257,"")</f>
        <v/>
      </c>
      <c r="E257" s="150" t="str">
        <f>IF(分析!E257&lt;&gt;"",分析!E257,"")</f>
        <v/>
      </c>
      <c r="F257" s="151" t="str">
        <f>IF(分析!F257&lt;&gt;"",分析!F257,"")</f>
        <v/>
      </c>
      <c r="G257" s="151" t="str">
        <f>IF(分析!H257&lt;&gt;"",分析!H257,"")</f>
        <v/>
      </c>
      <c r="H257" s="151" t="str">
        <f>IF(分析!I257&lt;&gt;"",分析!I257,"")</f>
        <v/>
      </c>
      <c r="I257" s="151" t="str">
        <f>IF(分析!J257&lt;&gt;"",分析!J257,"")</f>
        <v/>
      </c>
      <c r="J257" s="151" t="str">
        <f>IF(分析!AB257&lt;&gt;"",分析!AB257,"")</f>
        <v/>
      </c>
      <c r="K257" s="151" t="str">
        <f>IF(分析!AC257&lt;&gt;"",分析!AC257,"")</f>
        <v/>
      </c>
      <c r="L257" s="151" t="str">
        <f>IF(分析!K257&lt;&gt;"",分析!K257,"")</f>
        <v/>
      </c>
      <c r="M257" s="146" t="str">
        <f>IF(分析!P257&lt;&gt;"",分析!P257,"")</f>
        <v/>
      </c>
      <c r="N257" s="152" t="str">
        <f>IF(分析!O257&lt;&gt;"",分析!O257,"")</f>
        <v/>
      </c>
      <c r="O257" s="153" t="str">
        <f>IF(分析!X257&lt;&gt;"",分析!X257,"")</f>
        <v/>
      </c>
      <c r="P257" s="154" t="str">
        <f>IF(分析!L257&lt;&gt;"",分析!L257,"")</f>
        <v/>
      </c>
      <c r="Q257" s="151" t="str">
        <f>IF(分析!S257&lt;&gt;"",分析!S257,"")</f>
        <v/>
      </c>
      <c r="R257" s="151" t="str">
        <f>IF(分析!R257&lt;&gt;"",分析!R257,"")</f>
        <v/>
      </c>
      <c r="S257" s="146" t="str">
        <f>IF(分析!AA257&lt;&gt;"",分析!AA257,"")</f>
        <v/>
      </c>
      <c r="T257" s="155" t="str">
        <f>IF(分析!Z257&lt;&gt;"",分析!Z257,"")</f>
        <v/>
      </c>
      <c r="U257" s="146" t="str">
        <f>IF(分析!V257&lt;&gt;"",分析!V257,"")</f>
        <v/>
      </c>
      <c r="V257" s="156" t="str">
        <f>IF(分析!W257&lt;&gt;"",分析!W257,"")</f>
        <v/>
      </c>
      <c r="W257" s="157" t="str">
        <f>IF(分析!AD257&lt;&gt;"",分析!AD257,"")</f>
        <v/>
      </c>
      <c r="X257" s="158" t="str">
        <f>IF(分析!AE257&lt;&gt;"",分析!AE257,"")</f>
        <v/>
      </c>
      <c r="Y257" s="159" t="str">
        <f>IF(分析!T257&lt;&gt;"",分析!T257,"")</f>
        <v/>
      </c>
      <c r="Z257" s="145" t="str">
        <f>IF(分析!Y257&lt;&gt;"",分析!Y257,"")</f>
        <v/>
      </c>
    </row>
    <row r="258" spans="1:26" ht="21.9" customHeight="1">
      <c r="A258" s="131" t="str">
        <f>IF(分析!C258&lt;&gt;"",ROW()-2,"")</f>
        <v/>
      </c>
      <c r="B258" s="132" t="str">
        <f>IF(分析!C258&lt;&gt;"",HYPERLINK("https://kabutan.jp/stock/?code="&amp;分析!C258,"株探"),"")</f>
        <v/>
      </c>
      <c r="C258" s="133" t="str">
        <f>IF(分析!C258&lt;&gt;"",分析!C258,"")</f>
        <v/>
      </c>
      <c r="D258" s="134" t="str">
        <f>IF(分析!D258&lt;&gt;"",分析!D258,"")</f>
        <v/>
      </c>
      <c r="E258" s="135" t="str">
        <f>IF(分析!E258&lt;&gt;"",分析!E258,"")</f>
        <v/>
      </c>
      <c r="F258" s="136" t="str">
        <f>IF(分析!F258&lt;&gt;"",分析!F258,"")</f>
        <v/>
      </c>
      <c r="G258" s="136" t="str">
        <f>IF(分析!H258&lt;&gt;"",分析!H258,"")</f>
        <v/>
      </c>
      <c r="H258" s="136" t="str">
        <f>IF(分析!I258&lt;&gt;"",分析!I258,"")</f>
        <v/>
      </c>
      <c r="I258" s="136" t="str">
        <f>IF(分析!J258&lt;&gt;"",分析!J258,"")</f>
        <v/>
      </c>
      <c r="J258" s="136" t="str">
        <f>IF(分析!AB258&lt;&gt;"",分析!AB258,"")</f>
        <v/>
      </c>
      <c r="K258" s="136" t="str">
        <f>IF(分析!AC258&lt;&gt;"",分析!AC258,"")</f>
        <v/>
      </c>
      <c r="L258" s="136" t="str">
        <f>IF(分析!K258&lt;&gt;"",分析!K258,"")</f>
        <v/>
      </c>
      <c r="M258" s="131" t="str">
        <f>IF(分析!P258&lt;&gt;"",分析!P258,"")</f>
        <v/>
      </c>
      <c r="N258" s="137" t="str">
        <f>IF(分析!O258&lt;&gt;"",分析!O258,"")</f>
        <v/>
      </c>
      <c r="O258" s="138" t="str">
        <f>IF(分析!X258&lt;&gt;"",分析!X258,"")</f>
        <v/>
      </c>
      <c r="P258" s="139" t="str">
        <f>IF(分析!L258&lt;&gt;"",分析!L258,"")</f>
        <v/>
      </c>
      <c r="Q258" s="136" t="str">
        <f>IF(分析!S258&lt;&gt;"",分析!S258,"")</f>
        <v/>
      </c>
      <c r="R258" s="136" t="str">
        <f>IF(分析!R258&lt;&gt;"",分析!R258,"")</f>
        <v/>
      </c>
      <c r="S258" s="131" t="str">
        <f>IF(分析!AA258&lt;&gt;"",分析!AA258,"")</f>
        <v/>
      </c>
      <c r="T258" s="140" t="str">
        <f>IF(分析!Z258&lt;&gt;"",分析!Z258,"")</f>
        <v/>
      </c>
      <c r="U258" s="131" t="str">
        <f>IF(分析!V258&lt;&gt;"",分析!V258,"")</f>
        <v/>
      </c>
      <c r="V258" s="141" t="str">
        <f>IF(分析!W258&lt;&gt;"",分析!W258,"")</f>
        <v/>
      </c>
      <c r="W258" s="142" t="str">
        <f>IF(分析!AD258&lt;&gt;"",分析!AD258,"")</f>
        <v/>
      </c>
      <c r="X258" s="143" t="str">
        <f>IF(分析!AE258&lt;&gt;"",分析!AE258,"")</f>
        <v/>
      </c>
      <c r="Y258" s="144" t="str">
        <f>IF(分析!T258&lt;&gt;"",分析!T258,"")</f>
        <v/>
      </c>
      <c r="Z258" s="145" t="str">
        <f>IF(分析!Y258&lt;&gt;"",分析!Y258,"")</f>
        <v/>
      </c>
    </row>
    <row r="259" spans="1:26" ht="21.9" customHeight="1">
      <c r="A259" s="146" t="str">
        <f>IF(分析!C259&lt;&gt;"",ROW()-2,"")</f>
        <v/>
      </c>
      <c r="B259" s="147" t="str">
        <f>IF(分析!C259&lt;&gt;"",HYPERLINK("https://kabutan.jp/stock/?code="&amp;分析!C259,"株探"),"")</f>
        <v/>
      </c>
      <c r="C259" s="148" t="str">
        <f>IF(分析!C259&lt;&gt;"",分析!C259,"")</f>
        <v/>
      </c>
      <c r="D259" s="149" t="str">
        <f>IF(分析!D259&lt;&gt;"",分析!D259,"")</f>
        <v/>
      </c>
      <c r="E259" s="150" t="str">
        <f>IF(分析!E259&lt;&gt;"",分析!E259,"")</f>
        <v/>
      </c>
      <c r="F259" s="151" t="str">
        <f>IF(分析!F259&lt;&gt;"",分析!F259,"")</f>
        <v/>
      </c>
      <c r="G259" s="151" t="str">
        <f>IF(分析!H259&lt;&gt;"",分析!H259,"")</f>
        <v/>
      </c>
      <c r="H259" s="151" t="str">
        <f>IF(分析!I259&lt;&gt;"",分析!I259,"")</f>
        <v/>
      </c>
      <c r="I259" s="151" t="str">
        <f>IF(分析!J259&lt;&gt;"",分析!J259,"")</f>
        <v/>
      </c>
      <c r="J259" s="151" t="str">
        <f>IF(分析!AB259&lt;&gt;"",分析!AB259,"")</f>
        <v/>
      </c>
      <c r="K259" s="151" t="str">
        <f>IF(分析!AC259&lt;&gt;"",分析!AC259,"")</f>
        <v/>
      </c>
      <c r="L259" s="151" t="str">
        <f>IF(分析!K259&lt;&gt;"",分析!K259,"")</f>
        <v/>
      </c>
      <c r="M259" s="146" t="str">
        <f>IF(分析!P259&lt;&gt;"",分析!P259,"")</f>
        <v/>
      </c>
      <c r="N259" s="152" t="str">
        <f>IF(分析!O259&lt;&gt;"",分析!O259,"")</f>
        <v/>
      </c>
      <c r="O259" s="153" t="str">
        <f>IF(分析!X259&lt;&gt;"",分析!X259,"")</f>
        <v/>
      </c>
      <c r="P259" s="154" t="str">
        <f>IF(分析!L259&lt;&gt;"",分析!L259,"")</f>
        <v/>
      </c>
      <c r="Q259" s="151" t="str">
        <f>IF(分析!S259&lt;&gt;"",分析!S259,"")</f>
        <v/>
      </c>
      <c r="R259" s="151" t="str">
        <f>IF(分析!R259&lt;&gt;"",分析!R259,"")</f>
        <v/>
      </c>
      <c r="S259" s="146" t="str">
        <f>IF(分析!AA259&lt;&gt;"",分析!AA259,"")</f>
        <v/>
      </c>
      <c r="T259" s="155" t="str">
        <f>IF(分析!Z259&lt;&gt;"",分析!Z259,"")</f>
        <v/>
      </c>
      <c r="U259" s="146" t="str">
        <f>IF(分析!V259&lt;&gt;"",分析!V259,"")</f>
        <v/>
      </c>
      <c r="V259" s="156" t="str">
        <f>IF(分析!W259&lt;&gt;"",分析!W259,"")</f>
        <v/>
      </c>
      <c r="W259" s="157" t="str">
        <f>IF(分析!AD259&lt;&gt;"",分析!AD259,"")</f>
        <v/>
      </c>
      <c r="X259" s="158" t="str">
        <f>IF(分析!AE259&lt;&gt;"",分析!AE259,"")</f>
        <v/>
      </c>
      <c r="Y259" s="159" t="str">
        <f>IF(分析!T259&lt;&gt;"",分析!T259,"")</f>
        <v/>
      </c>
      <c r="Z259" s="145" t="str">
        <f>IF(分析!Y259&lt;&gt;"",分析!Y259,"")</f>
        <v/>
      </c>
    </row>
    <row r="260" spans="1:26" ht="21.9" customHeight="1">
      <c r="A260" s="131" t="str">
        <f>IF(分析!C260&lt;&gt;"",ROW()-2,"")</f>
        <v/>
      </c>
      <c r="B260" s="132" t="str">
        <f>IF(分析!C260&lt;&gt;"",HYPERLINK("https://kabutan.jp/stock/?code="&amp;分析!C260,"株探"),"")</f>
        <v/>
      </c>
      <c r="C260" s="133" t="str">
        <f>IF(分析!C260&lt;&gt;"",分析!C260,"")</f>
        <v/>
      </c>
      <c r="D260" s="134" t="str">
        <f>IF(分析!D260&lt;&gt;"",分析!D260,"")</f>
        <v/>
      </c>
      <c r="E260" s="135" t="str">
        <f>IF(分析!E260&lt;&gt;"",分析!E260,"")</f>
        <v/>
      </c>
      <c r="F260" s="136" t="str">
        <f>IF(分析!F260&lt;&gt;"",分析!F260,"")</f>
        <v/>
      </c>
      <c r="G260" s="136" t="str">
        <f>IF(分析!H260&lt;&gt;"",分析!H260,"")</f>
        <v/>
      </c>
      <c r="H260" s="136" t="str">
        <f>IF(分析!I260&lt;&gt;"",分析!I260,"")</f>
        <v/>
      </c>
      <c r="I260" s="136" t="str">
        <f>IF(分析!J260&lt;&gt;"",分析!J260,"")</f>
        <v/>
      </c>
      <c r="J260" s="136" t="str">
        <f>IF(分析!AB260&lt;&gt;"",分析!AB260,"")</f>
        <v/>
      </c>
      <c r="K260" s="136" t="str">
        <f>IF(分析!AC260&lt;&gt;"",分析!AC260,"")</f>
        <v/>
      </c>
      <c r="L260" s="136" t="str">
        <f>IF(分析!K260&lt;&gt;"",分析!K260,"")</f>
        <v/>
      </c>
      <c r="M260" s="131" t="str">
        <f>IF(分析!P260&lt;&gt;"",分析!P260,"")</f>
        <v/>
      </c>
      <c r="N260" s="137" t="str">
        <f>IF(分析!O260&lt;&gt;"",分析!O260,"")</f>
        <v/>
      </c>
      <c r="O260" s="138" t="str">
        <f>IF(分析!X260&lt;&gt;"",分析!X260,"")</f>
        <v/>
      </c>
      <c r="P260" s="139" t="str">
        <f>IF(分析!L260&lt;&gt;"",分析!L260,"")</f>
        <v/>
      </c>
      <c r="Q260" s="136" t="str">
        <f>IF(分析!S260&lt;&gt;"",分析!S260,"")</f>
        <v/>
      </c>
      <c r="R260" s="136" t="str">
        <f>IF(分析!R260&lt;&gt;"",分析!R260,"")</f>
        <v/>
      </c>
      <c r="S260" s="131" t="str">
        <f>IF(分析!AA260&lt;&gt;"",分析!AA260,"")</f>
        <v/>
      </c>
      <c r="T260" s="140" t="str">
        <f>IF(分析!Z260&lt;&gt;"",分析!Z260,"")</f>
        <v/>
      </c>
      <c r="U260" s="131" t="str">
        <f>IF(分析!V260&lt;&gt;"",分析!V260,"")</f>
        <v/>
      </c>
      <c r="V260" s="141" t="str">
        <f>IF(分析!W260&lt;&gt;"",分析!W260,"")</f>
        <v/>
      </c>
      <c r="W260" s="142" t="str">
        <f>IF(分析!AD260&lt;&gt;"",分析!AD260,"")</f>
        <v/>
      </c>
      <c r="X260" s="143" t="str">
        <f>IF(分析!AE260&lt;&gt;"",分析!AE260,"")</f>
        <v/>
      </c>
      <c r="Y260" s="144" t="str">
        <f>IF(分析!T260&lt;&gt;"",分析!T260,"")</f>
        <v/>
      </c>
      <c r="Z260" s="145" t="str">
        <f>IF(分析!Y260&lt;&gt;"",分析!Y260,"")</f>
        <v/>
      </c>
    </row>
    <row r="261" spans="1:26" ht="21.9" customHeight="1">
      <c r="A261" s="146" t="str">
        <f>IF(分析!C261&lt;&gt;"",ROW()-2,"")</f>
        <v/>
      </c>
      <c r="B261" s="147" t="str">
        <f>IF(分析!C261&lt;&gt;"",HYPERLINK("https://kabutan.jp/stock/?code="&amp;分析!C261,"株探"),"")</f>
        <v/>
      </c>
      <c r="C261" s="148" t="str">
        <f>IF(分析!C261&lt;&gt;"",分析!C261,"")</f>
        <v/>
      </c>
      <c r="D261" s="149" t="str">
        <f>IF(分析!D261&lt;&gt;"",分析!D261,"")</f>
        <v/>
      </c>
      <c r="E261" s="150" t="str">
        <f>IF(分析!E261&lt;&gt;"",分析!E261,"")</f>
        <v/>
      </c>
      <c r="F261" s="151" t="str">
        <f>IF(分析!F261&lt;&gt;"",分析!F261,"")</f>
        <v/>
      </c>
      <c r="G261" s="151" t="str">
        <f>IF(分析!H261&lt;&gt;"",分析!H261,"")</f>
        <v/>
      </c>
      <c r="H261" s="151" t="str">
        <f>IF(分析!I261&lt;&gt;"",分析!I261,"")</f>
        <v/>
      </c>
      <c r="I261" s="151" t="str">
        <f>IF(分析!J261&lt;&gt;"",分析!J261,"")</f>
        <v/>
      </c>
      <c r="J261" s="151" t="str">
        <f>IF(分析!AB261&lt;&gt;"",分析!AB261,"")</f>
        <v/>
      </c>
      <c r="K261" s="151" t="str">
        <f>IF(分析!AC261&lt;&gt;"",分析!AC261,"")</f>
        <v/>
      </c>
      <c r="L261" s="151" t="str">
        <f>IF(分析!K261&lt;&gt;"",分析!K261,"")</f>
        <v/>
      </c>
      <c r="M261" s="146" t="str">
        <f>IF(分析!P261&lt;&gt;"",分析!P261,"")</f>
        <v/>
      </c>
      <c r="N261" s="152" t="str">
        <f>IF(分析!O261&lt;&gt;"",分析!O261,"")</f>
        <v/>
      </c>
      <c r="O261" s="153" t="str">
        <f>IF(分析!X261&lt;&gt;"",分析!X261,"")</f>
        <v/>
      </c>
      <c r="P261" s="154" t="str">
        <f>IF(分析!L261&lt;&gt;"",分析!L261,"")</f>
        <v/>
      </c>
      <c r="Q261" s="151" t="str">
        <f>IF(分析!S261&lt;&gt;"",分析!S261,"")</f>
        <v/>
      </c>
      <c r="R261" s="151" t="str">
        <f>IF(分析!R261&lt;&gt;"",分析!R261,"")</f>
        <v/>
      </c>
      <c r="S261" s="146" t="str">
        <f>IF(分析!AA261&lt;&gt;"",分析!AA261,"")</f>
        <v/>
      </c>
      <c r="T261" s="155" t="str">
        <f>IF(分析!Z261&lt;&gt;"",分析!Z261,"")</f>
        <v/>
      </c>
      <c r="U261" s="146" t="str">
        <f>IF(分析!V261&lt;&gt;"",分析!V261,"")</f>
        <v/>
      </c>
      <c r="V261" s="156" t="str">
        <f>IF(分析!W261&lt;&gt;"",分析!W261,"")</f>
        <v/>
      </c>
      <c r="W261" s="157" t="str">
        <f>IF(分析!AD261&lt;&gt;"",分析!AD261,"")</f>
        <v/>
      </c>
      <c r="X261" s="158" t="str">
        <f>IF(分析!AE261&lt;&gt;"",分析!AE261,"")</f>
        <v/>
      </c>
      <c r="Y261" s="159" t="str">
        <f>IF(分析!T261&lt;&gt;"",分析!T261,"")</f>
        <v/>
      </c>
      <c r="Z261" s="145" t="str">
        <f>IF(分析!Y261&lt;&gt;"",分析!Y261,"")</f>
        <v/>
      </c>
    </row>
    <row r="262" spans="1:26" ht="21.9" customHeight="1">
      <c r="A262" s="131" t="str">
        <f>IF(分析!C262&lt;&gt;"",ROW()-2,"")</f>
        <v/>
      </c>
      <c r="B262" s="132" t="str">
        <f>IF(分析!C262&lt;&gt;"",HYPERLINK("https://kabutan.jp/stock/?code="&amp;分析!C262,"株探"),"")</f>
        <v/>
      </c>
      <c r="C262" s="133" t="str">
        <f>IF(分析!C262&lt;&gt;"",分析!C262,"")</f>
        <v/>
      </c>
      <c r="D262" s="134" t="str">
        <f>IF(分析!D262&lt;&gt;"",分析!D262,"")</f>
        <v/>
      </c>
      <c r="E262" s="135" t="str">
        <f>IF(分析!E262&lt;&gt;"",分析!E262,"")</f>
        <v/>
      </c>
      <c r="F262" s="136" t="str">
        <f>IF(分析!F262&lt;&gt;"",分析!F262,"")</f>
        <v/>
      </c>
      <c r="G262" s="136" t="str">
        <f>IF(分析!H262&lt;&gt;"",分析!H262,"")</f>
        <v/>
      </c>
      <c r="H262" s="136" t="str">
        <f>IF(分析!I262&lt;&gt;"",分析!I262,"")</f>
        <v/>
      </c>
      <c r="I262" s="136" t="str">
        <f>IF(分析!J262&lt;&gt;"",分析!J262,"")</f>
        <v/>
      </c>
      <c r="J262" s="136" t="str">
        <f>IF(分析!AB262&lt;&gt;"",分析!AB262,"")</f>
        <v/>
      </c>
      <c r="K262" s="136" t="str">
        <f>IF(分析!AC262&lt;&gt;"",分析!AC262,"")</f>
        <v/>
      </c>
      <c r="L262" s="136" t="str">
        <f>IF(分析!K262&lt;&gt;"",分析!K262,"")</f>
        <v/>
      </c>
      <c r="M262" s="131" t="str">
        <f>IF(分析!P262&lt;&gt;"",分析!P262,"")</f>
        <v/>
      </c>
      <c r="N262" s="137" t="str">
        <f>IF(分析!O262&lt;&gt;"",分析!O262,"")</f>
        <v/>
      </c>
      <c r="O262" s="138" t="str">
        <f>IF(分析!X262&lt;&gt;"",分析!X262,"")</f>
        <v/>
      </c>
      <c r="P262" s="139" t="str">
        <f>IF(分析!L262&lt;&gt;"",分析!L262,"")</f>
        <v/>
      </c>
      <c r="Q262" s="136" t="str">
        <f>IF(分析!S262&lt;&gt;"",分析!S262,"")</f>
        <v/>
      </c>
      <c r="R262" s="136" t="str">
        <f>IF(分析!R262&lt;&gt;"",分析!R262,"")</f>
        <v/>
      </c>
      <c r="S262" s="131" t="str">
        <f>IF(分析!AA262&lt;&gt;"",分析!AA262,"")</f>
        <v/>
      </c>
      <c r="T262" s="140" t="str">
        <f>IF(分析!Z262&lt;&gt;"",分析!Z262,"")</f>
        <v/>
      </c>
      <c r="U262" s="131" t="str">
        <f>IF(分析!V262&lt;&gt;"",分析!V262,"")</f>
        <v/>
      </c>
      <c r="V262" s="141" t="str">
        <f>IF(分析!W262&lt;&gt;"",分析!W262,"")</f>
        <v/>
      </c>
      <c r="W262" s="142" t="str">
        <f>IF(分析!AD262&lt;&gt;"",分析!AD262,"")</f>
        <v/>
      </c>
      <c r="X262" s="143" t="str">
        <f>IF(分析!AE262&lt;&gt;"",分析!AE262,"")</f>
        <v/>
      </c>
      <c r="Y262" s="144" t="str">
        <f>IF(分析!T262&lt;&gt;"",分析!T262,"")</f>
        <v/>
      </c>
      <c r="Z262" s="145" t="str">
        <f>IF(分析!Y262&lt;&gt;"",分析!Y262,"")</f>
        <v/>
      </c>
    </row>
    <row r="263" spans="1:26" ht="21.9" customHeight="1">
      <c r="A263" s="146" t="str">
        <f>IF(分析!C263&lt;&gt;"",ROW()-2,"")</f>
        <v/>
      </c>
      <c r="B263" s="147" t="str">
        <f>IF(分析!C263&lt;&gt;"",HYPERLINK("https://kabutan.jp/stock/?code="&amp;分析!C263,"株探"),"")</f>
        <v/>
      </c>
      <c r="C263" s="148" t="str">
        <f>IF(分析!C263&lt;&gt;"",分析!C263,"")</f>
        <v/>
      </c>
      <c r="D263" s="149" t="str">
        <f>IF(分析!D263&lt;&gt;"",分析!D263,"")</f>
        <v/>
      </c>
      <c r="E263" s="150" t="str">
        <f>IF(分析!E263&lt;&gt;"",分析!E263,"")</f>
        <v/>
      </c>
      <c r="F263" s="151" t="str">
        <f>IF(分析!F263&lt;&gt;"",分析!F263,"")</f>
        <v/>
      </c>
      <c r="G263" s="151" t="str">
        <f>IF(分析!H263&lt;&gt;"",分析!H263,"")</f>
        <v/>
      </c>
      <c r="H263" s="151" t="str">
        <f>IF(分析!I263&lt;&gt;"",分析!I263,"")</f>
        <v/>
      </c>
      <c r="I263" s="151" t="str">
        <f>IF(分析!J263&lt;&gt;"",分析!J263,"")</f>
        <v/>
      </c>
      <c r="J263" s="151" t="str">
        <f>IF(分析!AB263&lt;&gt;"",分析!AB263,"")</f>
        <v/>
      </c>
      <c r="K263" s="151" t="str">
        <f>IF(分析!AC263&lt;&gt;"",分析!AC263,"")</f>
        <v/>
      </c>
      <c r="L263" s="151" t="str">
        <f>IF(分析!K263&lt;&gt;"",分析!K263,"")</f>
        <v/>
      </c>
      <c r="M263" s="146" t="str">
        <f>IF(分析!P263&lt;&gt;"",分析!P263,"")</f>
        <v/>
      </c>
      <c r="N263" s="152" t="str">
        <f>IF(分析!O263&lt;&gt;"",分析!O263,"")</f>
        <v/>
      </c>
      <c r="O263" s="153" t="str">
        <f>IF(分析!X263&lt;&gt;"",分析!X263,"")</f>
        <v/>
      </c>
      <c r="P263" s="154" t="str">
        <f>IF(分析!L263&lt;&gt;"",分析!L263,"")</f>
        <v/>
      </c>
      <c r="Q263" s="151" t="str">
        <f>IF(分析!S263&lt;&gt;"",分析!S263,"")</f>
        <v/>
      </c>
      <c r="R263" s="151" t="str">
        <f>IF(分析!R263&lt;&gt;"",分析!R263,"")</f>
        <v/>
      </c>
      <c r="S263" s="146" t="str">
        <f>IF(分析!AA263&lt;&gt;"",分析!AA263,"")</f>
        <v/>
      </c>
      <c r="T263" s="155" t="str">
        <f>IF(分析!Z263&lt;&gt;"",分析!Z263,"")</f>
        <v/>
      </c>
      <c r="U263" s="146" t="str">
        <f>IF(分析!V263&lt;&gt;"",分析!V263,"")</f>
        <v/>
      </c>
      <c r="V263" s="156" t="str">
        <f>IF(分析!W263&lt;&gt;"",分析!W263,"")</f>
        <v/>
      </c>
      <c r="W263" s="157" t="str">
        <f>IF(分析!AD263&lt;&gt;"",分析!AD263,"")</f>
        <v/>
      </c>
      <c r="X263" s="158" t="str">
        <f>IF(分析!AE263&lt;&gt;"",分析!AE263,"")</f>
        <v/>
      </c>
      <c r="Y263" s="159" t="str">
        <f>IF(分析!T263&lt;&gt;"",分析!T263,"")</f>
        <v/>
      </c>
      <c r="Z263" s="145" t="str">
        <f>IF(分析!Y263&lt;&gt;"",分析!Y263,"")</f>
        <v/>
      </c>
    </row>
    <row r="264" spans="1:26" ht="21.9" customHeight="1">
      <c r="A264" s="131" t="str">
        <f>IF(分析!C264&lt;&gt;"",ROW()-2,"")</f>
        <v/>
      </c>
      <c r="B264" s="132" t="str">
        <f>IF(分析!C264&lt;&gt;"",HYPERLINK("https://kabutan.jp/stock/?code="&amp;分析!C264,"株探"),"")</f>
        <v/>
      </c>
      <c r="C264" s="133" t="str">
        <f>IF(分析!C264&lt;&gt;"",分析!C264,"")</f>
        <v/>
      </c>
      <c r="D264" s="134" t="str">
        <f>IF(分析!D264&lt;&gt;"",分析!D264,"")</f>
        <v/>
      </c>
      <c r="E264" s="135" t="str">
        <f>IF(分析!E264&lt;&gt;"",分析!E264,"")</f>
        <v/>
      </c>
      <c r="F264" s="136" t="str">
        <f>IF(分析!F264&lt;&gt;"",分析!F264,"")</f>
        <v/>
      </c>
      <c r="G264" s="136" t="str">
        <f>IF(分析!H264&lt;&gt;"",分析!H264,"")</f>
        <v/>
      </c>
      <c r="H264" s="136" t="str">
        <f>IF(分析!I264&lt;&gt;"",分析!I264,"")</f>
        <v/>
      </c>
      <c r="I264" s="136" t="str">
        <f>IF(分析!J264&lt;&gt;"",分析!J264,"")</f>
        <v/>
      </c>
      <c r="J264" s="136" t="str">
        <f>IF(分析!AB264&lt;&gt;"",分析!AB264,"")</f>
        <v/>
      </c>
      <c r="K264" s="136" t="str">
        <f>IF(分析!AC264&lt;&gt;"",分析!AC264,"")</f>
        <v/>
      </c>
      <c r="L264" s="136" t="str">
        <f>IF(分析!K264&lt;&gt;"",分析!K264,"")</f>
        <v/>
      </c>
      <c r="M264" s="131" t="str">
        <f>IF(分析!P264&lt;&gt;"",分析!P264,"")</f>
        <v/>
      </c>
      <c r="N264" s="137" t="str">
        <f>IF(分析!O264&lt;&gt;"",分析!O264,"")</f>
        <v/>
      </c>
      <c r="O264" s="138" t="str">
        <f>IF(分析!X264&lt;&gt;"",分析!X264,"")</f>
        <v/>
      </c>
      <c r="P264" s="139" t="str">
        <f>IF(分析!L264&lt;&gt;"",分析!L264,"")</f>
        <v/>
      </c>
      <c r="Q264" s="136" t="str">
        <f>IF(分析!S264&lt;&gt;"",分析!S264,"")</f>
        <v/>
      </c>
      <c r="R264" s="136" t="str">
        <f>IF(分析!R264&lt;&gt;"",分析!R264,"")</f>
        <v/>
      </c>
      <c r="S264" s="131" t="str">
        <f>IF(分析!AA264&lt;&gt;"",分析!AA264,"")</f>
        <v/>
      </c>
      <c r="T264" s="140" t="str">
        <f>IF(分析!Z264&lt;&gt;"",分析!Z264,"")</f>
        <v/>
      </c>
      <c r="U264" s="131" t="str">
        <f>IF(分析!V264&lt;&gt;"",分析!V264,"")</f>
        <v/>
      </c>
      <c r="V264" s="141" t="str">
        <f>IF(分析!W264&lt;&gt;"",分析!W264,"")</f>
        <v/>
      </c>
      <c r="W264" s="142" t="str">
        <f>IF(分析!AD264&lt;&gt;"",分析!AD264,"")</f>
        <v/>
      </c>
      <c r="X264" s="143" t="str">
        <f>IF(分析!AE264&lt;&gt;"",分析!AE264,"")</f>
        <v/>
      </c>
      <c r="Y264" s="144" t="str">
        <f>IF(分析!T264&lt;&gt;"",分析!T264,"")</f>
        <v/>
      </c>
      <c r="Z264" s="145" t="str">
        <f>IF(分析!Y264&lt;&gt;"",分析!Y264,"")</f>
        <v/>
      </c>
    </row>
    <row r="265" spans="1:26" ht="21.9" customHeight="1">
      <c r="A265" s="146" t="str">
        <f>IF(分析!C265&lt;&gt;"",ROW()-2,"")</f>
        <v/>
      </c>
      <c r="B265" s="147" t="str">
        <f>IF(分析!C265&lt;&gt;"",HYPERLINK("https://kabutan.jp/stock/?code="&amp;分析!C265,"株探"),"")</f>
        <v/>
      </c>
      <c r="C265" s="148" t="str">
        <f>IF(分析!C265&lt;&gt;"",分析!C265,"")</f>
        <v/>
      </c>
      <c r="D265" s="149" t="str">
        <f>IF(分析!D265&lt;&gt;"",分析!D265,"")</f>
        <v/>
      </c>
      <c r="E265" s="150" t="str">
        <f>IF(分析!E265&lt;&gt;"",分析!E265,"")</f>
        <v/>
      </c>
      <c r="F265" s="151" t="str">
        <f>IF(分析!F265&lt;&gt;"",分析!F265,"")</f>
        <v/>
      </c>
      <c r="G265" s="151" t="str">
        <f>IF(分析!H265&lt;&gt;"",分析!H265,"")</f>
        <v/>
      </c>
      <c r="H265" s="151" t="str">
        <f>IF(分析!I265&lt;&gt;"",分析!I265,"")</f>
        <v/>
      </c>
      <c r="I265" s="151" t="str">
        <f>IF(分析!J265&lt;&gt;"",分析!J265,"")</f>
        <v/>
      </c>
      <c r="J265" s="151" t="str">
        <f>IF(分析!AB265&lt;&gt;"",分析!AB265,"")</f>
        <v/>
      </c>
      <c r="K265" s="151" t="str">
        <f>IF(分析!AC265&lt;&gt;"",分析!AC265,"")</f>
        <v/>
      </c>
      <c r="L265" s="151" t="str">
        <f>IF(分析!K265&lt;&gt;"",分析!K265,"")</f>
        <v/>
      </c>
      <c r="M265" s="146" t="str">
        <f>IF(分析!P265&lt;&gt;"",分析!P265,"")</f>
        <v/>
      </c>
      <c r="N265" s="152" t="str">
        <f>IF(分析!O265&lt;&gt;"",分析!O265,"")</f>
        <v/>
      </c>
      <c r="O265" s="153" t="str">
        <f>IF(分析!X265&lt;&gt;"",分析!X265,"")</f>
        <v/>
      </c>
      <c r="P265" s="154" t="str">
        <f>IF(分析!L265&lt;&gt;"",分析!L265,"")</f>
        <v/>
      </c>
      <c r="Q265" s="151" t="str">
        <f>IF(分析!S265&lt;&gt;"",分析!S265,"")</f>
        <v/>
      </c>
      <c r="R265" s="151" t="str">
        <f>IF(分析!R265&lt;&gt;"",分析!R265,"")</f>
        <v/>
      </c>
      <c r="S265" s="146" t="str">
        <f>IF(分析!AA265&lt;&gt;"",分析!AA265,"")</f>
        <v/>
      </c>
      <c r="T265" s="155" t="str">
        <f>IF(分析!Z265&lt;&gt;"",分析!Z265,"")</f>
        <v/>
      </c>
      <c r="U265" s="146" t="str">
        <f>IF(分析!V265&lt;&gt;"",分析!V265,"")</f>
        <v/>
      </c>
      <c r="V265" s="156" t="str">
        <f>IF(分析!W265&lt;&gt;"",分析!W265,"")</f>
        <v/>
      </c>
      <c r="W265" s="157" t="str">
        <f>IF(分析!AD265&lt;&gt;"",分析!AD265,"")</f>
        <v/>
      </c>
      <c r="X265" s="158" t="str">
        <f>IF(分析!AE265&lt;&gt;"",分析!AE265,"")</f>
        <v/>
      </c>
      <c r="Y265" s="159" t="str">
        <f>IF(分析!T265&lt;&gt;"",分析!T265,"")</f>
        <v/>
      </c>
      <c r="Z265" s="145" t="str">
        <f>IF(分析!Y265&lt;&gt;"",分析!Y265,"")</f>
        <v/>
      </c>
    </row>
    <row r="266" spans="1:26" ht="21.9" customHeight="1">
      <c r="A266" s="131" t="str">
        <f>IF(分析!C266&lt;&gt;"",ROW()-2,"")</f>
        <v/>
      </c>
      <c r="B266" s="132" t="str">
        <f>IF(分析!C266&lt;&gt;"",HYPERLINK("https://kabutan.jp/stock/?code="&amp;分析!C266,"株探"),"")</f>
        <v/>
      </c>
      <c r="C266" s="133" t="str">
        <f>IF(分析!C266&lt;&gt;"",分析!C266,"")</f>
        <v/>
      </c>
      <c r="D266" s="134" t="str">
        <f>IF(分析!D266&lt;&gt;"",分析!D266,"")</f>
        <v/>
      </c>
      <c r="E266" s="135" t="str">
        <f>IF(分析!E266&lt;&gt;"",分析!E266,"")</f>
        <v/>
      </c>
      <c r="F266" s="136" t="str">
        <f>IF(分析!F266&lt;&gt;"",分析!F266,"")</f>
        <v/>
      </c>
      <c r="G266" s="136" t="str">
        <f>IF(分析!H266&lt;&gt;"",分析!H266,"")</f>
        <v/>
      </c>
      <c r="H266" s="136" t="str">
        <f>IF(分析!I266&lt;&gt;"",分析!I266,"")</f>
        <v/>
      </c>
      <c r="I266" s="136" t="str">
        <f>IF(分析!J266&lt;&gt;"",分析!J266,"")</f>
        <v/>
      </c>
      <c r="J266" s="136" t="str">
        <f>IF(分析!AB266&lt;&gt;"",分析!AB266,"")</f>
        <v/>
      </c>
      <c r="K266" s="136" t="str">
        <f>IF(分析!AC266&lt;&gt;"",分析!AC266,"")</f>
        <v/>
      </c>
      <c r="L266" s="136" t="str">
        <f>IF(分析!K266&lt;&gt;"",分析!K266,"")</f>
        <v/>
      </c>
      <c r="M266" s="131" t="str">
        <f>IF(分析!P266&lt;&gt;"",分析!P266,"")</f>
        <v/>
      </c>
      <c r="N266" s="137" t="str">
        <f>IF(分析!O266&lt;&gt;"",分析!O266,"")</f>
        <v/>
      </c>
      <c r="O266" s="138" t="str">
        <f>IF(分析!X266&lt;&gt;"",分析!X266,"")</f>
        <v/>
      </c>
      <c r="P266" s="139" t="str">
        <f>IF(分析!L266&lt;&gt;"",分析!L266,"")</f>
        <v/>
      </c>
      <c r="Q266" s="136" t="str">
        <f>IF(分析!S266&lt;&gt;"",分析!S266,"")</f>
        <v/>
      </c>
      <c r="R266" s="136" t="str">
        <f>IF(分析!R266&lt;&gt;"",分析!R266,"")</f>
        <v/>
      </c>
      <c r="S266" s="131" t="str">
        <f>IF(分析!AA266&lt;&gt;"",分析!AA266,"")</f>
        <v/>
      </c>
      <c r="T266" s="140" t="str">
        <f>IF(分析!Z266&lt;&gt;"",分析!Z266,"")</f>
        <v/>
      </c>
      <c r="U266" s="131" t="str">
        <f>IF(分析!V266&lt;&gt;"",分析!V266,"")</f>
        <v/>
      </c>
      <c r="V266" s="141" t="str">
        <f>IF(分析!W266&lt;&gt;"",分析!W266,"")</f>
        <v/>
      </c>
      <c r="W266" s="142" t="str">
        <f>IF(分析!AD266&lt;&gt;"",分析!AD266,"")</f>
        <v/>
      </c>
      <c r="X266" s="143" t="str">
        <f>IF(分析!AE266&lt;&gt;"",分析!AE266,"")</f>
        <v/>
      </c>
      <c r="Y266" s="144" t="str">
        <f>IF(分析!T266&lt;&gt;"",分析!T266,"")</f>
        <v/>
      </c>
      <c r="Z266" s="145" t="str">
        <f>IF(分析!Y266&lt;&gt;"",分析!Y266,"")</f>
        <v/>
      </c>
    </row>
    <row r="267" spans="1:26" ht="21.9" customHeight="1">
      <c r="A267" s="146" t="str">
        <f>IF(分析!C267&lt;&gt;"",ROW()-2,"")</f>
        <v/>
      </c>
      <c r="B267" s="147" t="str">
        <f>IF(分析!C267&lt;&gt;"",HYPERLINK("https://kabutan.jp/stock/?code="&amp;分析!C267,"株探"),"")</f>
        <v/>
      </c>
      <c r="C267" s="148" t="str">
        <f>IF(分析!C267&lt;&gt;"",分析!C267,"")</f>
        <v/>
      </c>
      <c r="D267" s="149" t="str">
        <f>IF(分析!D267&lt;&gt;"",分析!D267,"")</f>
        <v/>
      </c>
      <c r="E267" s="150" t="str">
        <f>IF(分析!E267&lt;&gt;"",分析!E267,"")</f>
        <v/>
      </c>
      <c r="F267" s="151" t="str">
        <f>IF(分析!F267&lt;&gt;"",分析!F267,"")</f>
        <v/>
      </c>
      <c r="G267" s="151" t="str">
        <f>IF(分析!H267&lt;&gt;"",分析!H267,"")</f>
        <v/>
      </c>
      <c r="H267" s="151" t="str">
        <f>IF(分析!I267&lt;&gt;"",分析!I267,"")</f>
        <v/>
      </c>
      <c r="I267" s="151" t="str">
        <f>IF(分析!J267&lt;&gt;"",分析!J267,"")</f>
        <v/>
      </c>
      <c r="J267" s="151" t="str">
        <f>IF(分析!AB267&lt;&gt;"",分析!AB267,"")</f>
        <v/>
      </c>
      <c r="K267" s="151" t="str">
        <f>IF(分析!AC267&lt;&gt;"",分析!AC267,"")</f>
        <v/>
      </c>
      <c r="L267" s="151" t="str">
        <f>IF(分析!K267&lt;&gt;"",分析!K267,"")</f>
        <v/>
      </c>
      <c r="M267" s="146" t="str">
        <f>IF(分析!P267&lt;&gt;"",分析!P267,"")</f>
        <v/>
      </c>
      <c r="N267" s="152" t="str">
        <f>IF(分析!O267&lt;&gt;"",分析!O267,"")</f>
        <v/>
      </c>
      <c r="O267" s="153" t="str">
        <f>IF(分析!X267&lt;&gt;"",分析!X267,"")</f>
        <v/>
      </c>
      <c r="P267" s="154" t="str">
        <f>IF(分析!L267&lt;&gt;"",分析!L267,"")</f>
        <v/>
      </c>
      <c r="Q267" s="151" t="str">
        <f>IF(分析!S267&lt;&gt;"",分析!S267,"")</f>
        <v/>
      </c>
      <c r="R267" s="151" t="str">
        <f>IF(分析!R267&lt;&gt;"",分析!R267,"")</f>
        <v/>
      </c>
      <c r="S267" s="146" t="str">
        <f>IF(分析!AA267&lt;&gt;"",分析!AA267,"")</f>
        <v/>
      </c>
      <c r="T267" s="155" t="str">
        <f>IF(分析!Z267&lt;&gt;"",分析!Z267,"")</f>
        <v/>
      </c>
      <c r="U267" s="146" t="str">
        <f>IF(分析!V267&lt;&gt;"",分析!V267,"")</f>
        <v/>
      </c>
      <c r="V267" s="156" t="str">
        <f>IF(分析!W267&lt;&gt;"",分析!W267,"")</f>
        <v/>
      </c>
      <c r="W267" s="157" t="str">
        <f>IF(分析!AD267&lt;&gt;"",分析!AD267,"")</f>
        <v/>
      </c>
      <c r="X267" s="158" t="str">
        <f>IF(分析!AE267&lt;&gt;"",分析!AE267,"")</f>
        <v/>
      </c>
      <c r="Y267" s="159" t="str">
        <f>IF(分析!T267&lt;&gt;"",分析!T267,"")</f>
        <v/>
      </c>
      <c r="Z267" s="145" t="str">
        <f>IF(分析!Y267&lt;&gt;"",分析!Y267,"")</f>
        <v/>
      </c>
    </row>
    <row r="268" spans="1:26" ht="21.9" customHeight="1">
      <c r="A268" s="131" t="str">
        <f>IF(分析!C268&lt;&gt;"",ROW()-2,"")</f>
        <v/>
      </c>
      <c r="B268" s="132" t="str">
        <f>IF(分析!C268&lt;&gt;"",HYPERLINK("https://kabutan.jp/stock/?code="&amp;分析!C268,"株探"),"")</f>
        <v/>
      </c>
      <c r="C268" s="133" t="str">
        <f>IF(分析!C268&lt;&gt;"",分析!C268,"")</f>
        <v/>
      </c>
      <c r="D268" s="134" t="str">
        <f>IF(分析!D268&lt;&gt;"",分析!D268,"")</f>
        <v/>
      </c>
      <c r="E268" s="135" t="str">
        <f>IF(分析!E268&lt;&gt;"",分析!E268,"")</f>
        <v/>
      </c>
      <c r="F268" s="136" t="str">
        <f>IF(分析!F268&lt;&gt;"",分析!F268,"")</f>
        <v/>
      </c>
      <c r="G268" s="136" t="str">
        <f>IF(分析!H268&lt;&gt;"",分析!H268,"")</f>
        <v/>
      </c>
      <c r="H268" s="136" t="str">
        <f>IF(分析!I268&lt;&gt;"",分析!I268,"")</f>
        <v/>
      </c>
      <c r="I268" s="136" t="str">
        <f>IF(分析!J268&lt;&gt;"",分析!J268,"")</f>
        <v/>
      </c>
      <c r="J268" s="136" t="str">
        <f>IF(分析!AB268&lt;&gt;"",分析!AB268,"")</f>
        <v/>
      </c>
      <c r="K268" s="136" t="str">
        <f>IF(分析!AC268&lt;&gt;"",分析!AC268,"")</f>
        <v/>
      </c>
      <c r="L268" s="136" t="str">
        <f>IF(分析!K268&lt;&gt;"",分析!K268,"")</f>
        <v/>
      </c>
      <c r="M268" s="131" t="str">
        <f>IF(分析!P268&lt;&gt;"",分析!P268,"")</f>
        <v/>
      </c>
      <c r="N268" s="137" t="str">
        <f>IF(分析!O268&lt;&gt;"",分析!O268,"")</f>
        <v/>
      </c>
      <c r="O268" s="138" t="str">
        <f>IF(分析!X268&lt;&gt;"",分析!X268,"")</f>
        <v/>
      </c>
      <c r="P268" s="139" t="str">
        <f>IF(分析!L268&lt;&gt;"",分析!L268,"")</f>
        <v/>
      </c>
      <c r="Q268" s="136" t="str">
        <f>IF(分析!S268&lt;&gt;"",分析!S268,"")</f>
        <v/>
      </c>
      <c r="R268" s="136" t="str">
        <f>IF(分析!R268&lt;&gt;"",分析!R268,"")</f>
        <v/>
      </c>
      <c r="S268" s="131" t="str">
        <f>IF(分析!AA268&lt;&gt;"",分析!AA268,"")</f>
        <v/>
      </c>
      <c r="T268" s="140" t="str">
        <f>IF(分析!Z268&lt;&gt;"",分析!Z268,"")</f>
        <v/>
      </c>
      <c r="U268" s="131" t="str">
        <f>IF(分析!V268&lt;&gt;"",分析!V268,"")</f>
        <v/>
      </c>
      <c r="V268" s="141" t="str">
        <f>IF(分析!W268&lt;&gt;"",分析!W268,"")</f>
        <v/>
      </c>
      <c r="W268" s="142" t="str">
        <f>IF(分析!AD268&lt;&gt;"",分析!AD268,"")</f>
        <v/>
      </c>
      <c r="X268" s="143" t="str">
        <f>IF(分析!AE268&lt;&gt;"",分析!AE268,"")</f>
        <v/>
      </c>
      <c r="Y268" s="144" t="str">
        <f>IF(分析!T268&lt;&gt;"",分析!T268,"")</f>
        <v/>
      </c>
      <c r="Z268" s="145" t="str">
        <f>IF(分析!Y268&lt;&gt;"",分析!Y268,"")</f>
        <v/>
      </c>
    </row>
    <row r="269" spans="1:26" ht="21.9" customHeight="1">
      <c r="A269" s="146" t="str">
        <f>IF(分析!C269&lt;&gt;"",ROW()-2,"")</f>
        <v/>
      </c>
      <c r="B269" s="147" t="str">
        <f>IF(分析!C269&lt;&gt;"",HYPERLINK("https://kabutan.jp/stock/?code="&amp;分析!C269,"株探"),"")</f>
        <v/>
      </c>
      <c r="C269" s="148" t="str">
        <f>IF(分析!C269&lt;&gt;"",分析!C269,"")</f>
        <v/>
      </c>
      <c r="D269" s="149" t="str">
        <f>IF(分析!D269&lt;&gt;"",分析!D269,"")</f>
        <v/>
      </c>
      <c r="E269" s="150" t="str">
        <f>IF(分析!E269&lt;&gt;"",分析!E269,"")</f>
        <v/>
      </c>
      <c r="F269" s="151" t="str">
        <f>IF(分析!F269&lt;&gt;"",分析!F269,"")</f>
        <v/>
      </c>
      <c r="G269" s="151" t="str">
        <f>IF(分析!H269&lt;&gt;"",分析!H269,"")</f>
        <v/>
      </c>
      <c r="H269" s="151" t="str">
        <f>IF(分析!I269&lt;&gt;"",分析!I269,"")</f>
        <v/>
      </c>
      <c r="I269" s="151" t="str">
        <f>IF(分析!J269&lt;&gt;"",分析!J269,"")</f>
        <v/>
      </c>
      <c r="J269" s="151" t="str">
        <f>IF(分析!AB269&lt;&gt;"",分析!AB269,"")</f>
        <v/>
      </c>
      <c r="K269" s="151" t="str">
        <f>IF(分析!AC269&lt;&gt;"",分析!AC269,"")</f>
        <v/>
      </c>
      <c r="L269" s="151" t="str">
        <f>IF(分析!K269&lt;&gt;"",分析!K269,"")</f>
        <v/>
      </c>
      <c r="M269" s="146" t="str">
        <f>IF(分析!P269&lt;&gt;"",分析!P269,"")</f>
        <v/>
      </c>
      <c r="N269" s="152" t="str">
        <f>IF(分析!O269&lt;&gt;"",分析!O269,"")</f>
        <v/>
      </c>
      <c r="O269" s="153" t="str">
        <f>IF(分析!X269&lt;&gt;"",分析!X269,"")</f>
        <v/>
      </c>
      <c r="P269" s="154" t="str">
        <f>IF(分析!L269&lt;&gt;"",分析!L269,"")</f>
        <v/>
      </c>
      <c r="Q269" s="151" t="str">
        <f>IF(分析!S269&lt;&gt;"",分析!S269,"")</f>
        <v/>
      </c>
      <c r="R269" s="151" t="str">
        <f>IF(分析!R269&lt;&gt;"",分析!R269,"")</f>
        <v/>
      </c>
      <c r="S269" s="146" t="str">
        <f>IF(分析!AA269&lt;&gt;"",分析!AA269,"")</f>
        <v/>
      </c>
      <c r="T269" s="155" t="str">
        <f>IF(分析!Z269&lt;&gt;"",分析!Z269,"")</f>
        <v/>
      </c>
      <c r="U269" s="146" t="str">
        <f>IF(分析!V269&lt;&gt;"",分析!V269,"")</f>
        <v/>
      </c>
      <c r="V269" s="156" t="str">
        <f>IF(分析!W269&lt;&gt;"",分析!W269,"")</f>
        <v/>
      </c>
      <c r="W269" s="157" t="str">
        <f>IF(分析!AD269&lt;&gt;"",分析!AD269,"")</f>
        <v/>
      </c>
      <c r="X269" s="158" t="str">
        <f>IF(分析!AE269&lt;&gt;"",分析!AE269,"")</f>
        <v/>
      </c>
      <c r="Y269" s="159" t="str">
        <f>IF(分析!T269&lt;&gt;"",分析!T269,"")</f>
        <v/>
      </c>
      <c r="Z269" s="145" t="str">
        <f>IF(分析!Y269&lt;&gt;"",分析!Y269,"")</f>
        <v/>
      </c>
    </row>
    <row r="270" spans="1:26" ht="21.9" customHeight="1">
      <c r="A270" s="131" t="str">
        <f>IF(分析!C270&lt;&gt;"",ROW()-2,"")</f>
        <v/>
      </c>
      <c r="B270" s="132" t="str">
        <f>IF(分析!C270&lt;&gt;"",HYPERLINK("https://kabutan.jp/stock/?code="&amp;分析!C270,"株探"),"")</f>
        <v/>
      </c>
      <c r="C270" s="133" t="str">
        <f>IF(分析!C270&lt;&gt;"",分析!C270,"")</f>
        <v/>
      </c>
      <c r="D270" s="134" t="str">
        <f>IF(分析!D270&lt;&gt;"",分析!D270,"")</f>
        <v/>
      </c>
      <c r="E270" s="135" t="str">
        <f>IF(分析!E270&lt;&gt;"",分析!E270,"")</f>
        <v/>
      </c>
      <c r="F270" s="136" t="str">
        <f>IF(分析!F270&lt;&gt;"",分析!F270,"")</f>
        <v/>
      </c>
      <c r="G270" s="136" t="str">
        <f>IF(分析!H270&lt;&gt;"",分析!H270,"")</f>
        <v/>
      </c>
      <c r="H270" s="136" t="str">
        <f>IF(分析!I270&lt;&gt;"",分析!I270,"")</f>
        <v/>
      </c>
      <c r="I270" s="136" t="str">
        <f>IF(分析!J270&lt;&gt;"",分析!J270,"")</f>
        <v/>
      </c>
      <c r="J270" s="136" t="str">
        <f>IF(分析!AB270&lt;&gt;"",分析!AB270,"")</f>
        <v/>
      </c>
      <c r="K270" s="136" t="str">
        <f>IF(分析!AC270&lt;&gt;"",分析!AC270,"")</f>
        <v/>
      </c>
      <c r="L270" s="136" t="str">
        <f>IF(分析!K270&lt;&gt;"",分析!K270,"")</f>
        <v/>
      </c>
      <c r="M270" s="131" t="str">
        <f>IF(分析!P270&lt;&gt;"",分析!P270,"")</f>
        <v/>
      </c>
      <c r="N270" s="137" t="str">
        <f>IF(分析!O270&lt;&gt;"",分析!O270,"")</f>
        <v/>
      </c>
      <c r="O270" s="138" t="str">
        <f>IF(分析!X270&lt;&gt;"",分析!X270,"")</f>
        <v/>
      </c>
      <c r="P270" s="139" t="str">
        <f>IF(分析!L270&lt;&gt;"",分析!L270,"")</f>
        <v/>
      </c>
      <c r="Q270" s="136" t="str">
        <f>IF(分析!S270&lt;&gt;"",分析!S270,"")</f>
        <v/>
      </c>
      <c r="R270" s="136" t="str">
        <f>IF(分析!R270&lt;&gt;"",分析!R270,"")</f>
        <v/>
      </c>
      <c r="S270" s="131" t="str">
        <f>IF(分析!AA270&lt;&gt;"",分析!AA270,"")</f>
        <v/>
      </c>
      <c r="T270" s="140" t="str">
        <f>IF(分析!Z270&lt;&gt;"",分析!Z270,"")</f>
        <v/>
      </c>
      <c r="U270" s="131" t="str">
        <f>IF(分析!V270&lt;&gt;"",分析!V270,"")</f>
        <v/>
      </c>
      <c r="V270" s="141" t="str">
        <f>IF(分析!W270&lt;&gt;"",分析!W270,"")</f>
        <v/>
      </c>
      <c r="W270" s="142" t="str">
        <f>IF(分析!AD270&lt;&gt;"",分析!AD270,"")</f>
        <v/>
      </c>
      <c r="X270" s="143" t="str">
        <f>IF(分析!AE270&lt;&gt;"",分析!AE270,"")</f>
        <v/>
      </c>
      <c r="Y270" s="144" t="str">
        <f>IF(分析!T270&lt;&gt;"",分析!T270,"")</f>
        <v/>
      </c>
      <c r="Z270" s="145" t="str">
        <f>IF(分析!Y270&lt;&gt;"",分析!Y270,"")</f>
        <v/>
      </c>
    </row>
    <row r="271" spans="1:26" ht="21.9" customHeight="1">
      <c r="A271" s="146" t="str">
        <f>IF(分析!C271&lt;&gt;"",ROW()-2,"")</f>
        <v/>
      </c>
      <c r="B271" s="147" t="str">
        <f>IF(分析!C271&lt;&gt;"",HYPERLINK("https://kabutan.jp/stock/?code="&amp;分析!C271,"株探"),"")</f>
        <v/>
      </c>
      <c r="C271" s="148" t="str">
        <f>IF(分析!C271&lt;&gt;"",分析!C271,"")</f>
        <v/>
      </c>
      <c r="D271" s="149" t="str">
        <f>IF(分析!D271&lt;&gt;"",分析!D271,"")</f>
        <v/>
      </c>
      <c r="E271" s="150" t="str">
        <f>IF(分析!E271&lt;&gt;"",分析!E271,"")</f>
        <v/>
      </c>
      <c r="F271" s="151" t="str">
        <f>IF(分析!F271&lt;&gt;"",分析!F271,"")</f>
        <v/>
      </c>
      <c r="G271" s="151" t="str">
        <f>IF(分析!H271&lt;&gt;"",分析!H271,"")</f>
        <v/>
      </c>
      <c r="H271" s="151" t="str">
        <f>IF(分析!I271&lt;&gt;"",分析!I271,"")</f>
        <v/>
      </c>
      <c r="I271" s="151" t="str">
        <f>IF(分析!J271&lt;&gt;"",分析!J271,"")</f>
        <v/>
      </c>
      <c r="J271" s="151" t="str">
        <f>IF(分析!AB271&lt;&gt;"",分析!AB271,"")</f>
        <v/>
      </c>
      <c r="K271" s="151" t="str">
        <f>IF(分析!AC271&lt;&gt;"",分析!AC271,"")</f>
        <v/>
      </c>
      <c r="L271" s="151" t="str">
        <f>IF(分析!K271&lt;&gt;"",分析!K271,"")</f>
        <v/>
      </c>
      <c r="M271" s="146" t="str">
        <f>IF(分析!P271&lt;&gt;"",分析!P271,"")</f>
        <v/>
      </c>
      <c r="N271" s="152" t="str">
        <f>IF(分析!O271&lt;&gt;"",分析!O271,"")</f>
        <v/>
      </c>
      <c r="O271" s="153" t="str">
        <f>IF(分析!X271&lt;&gt;"",分析!X271,"")</f>
        <v/>
      </c>
      <c r="P271" s="154" t="str">
        <f>IF(分析!L271&lt;&gt;"",分析!L271,"")</f>
        <v/>
      </c>
      <c r="Q271" s="151" t="str">
        <f>IF(分析!S271&lt;&gt;"",分析!S271,"")</f>
        <v/>
      </c>
      <c r="R271" s="151" t="str">
        <f>IF(分析!R271&lt;&gt;"",分析!R271,"")</f>
        <v/>
      </c>
      <c r="S271" s="146" t="str">
        <f>IF(分析!AA271&lt;&gt;"",分析!AA271,"")</f>
        <v/>
      </c>
      <c r="T271" s="155" t="str">
        <f>IF(分析!Z271&lt;&gt;"",分析!Z271,"")</f>
        <v/>
      </c>
      <c r="U271" s="146" t="str">
        <f>IF(分析!V271&lt;&gt;"",分析!V271,"")</f>
        <v/>
      </c>
      <c r="V271" s="156" t="str">
        <f>IF(分析!W271&lt;&gt;"",分析!W271,"")</f>
        <v/>
      </c>
      <c r="W271" s="157" t="str">
        <f>IF(分析!AD271&lt;&gt;"",分析!AD271,"")</f>
        <v/>
      </c>
      <c r="X271" s="158" t="str">
        <f>IF(分析!AE271&lt;&gt;"",分析!AE271,"")</f>
        <v/>
      </c>
      <c r="Y271" s="159" t="str">
        <f>IF(分析!T271&lt;&gt;"",分析!T271,"")</f>
        <v/>
      </c>
      <c r="Z271" s="145" t="str">
        <f>IF(分析!Y271&lt;&gt;"",分析!Y271,"")</f>
        <v/>
      </c>
    </row>
    <row r="272" spans="1:26" ht="21.9" customHeight="1">
      <c r="A272" s="131" t="str">
        <f>IF(分析!C272&lt;&gt;"",ROW()-2,"")</f>
        <v/>
      </c>
      <c r="B272" s="132" t="str">
        <f>IF(分析!C272&lt;&gt;"",HYPERLINK("https://kabutan.jp/stock/?code="&amp;分析!C272,"株探"),"")</f>
        <v/>
      </c>
      <c r="C272" s="133" t="str">
        <f>IF(分析!C272&lt;&gt;"",分析!C272,"")</f>
        <v/>
      </c>
      <c r="D272" s="134" t="str">
        <f>IF(分析!D272&lt;&gt;"",分析!D272,"")</f>
        <v/>
      </c>
      <c r="E272" s="135" t="str">
        <f>IF(分析!E272&lt;&gt;"",分析!E272,"")</f>
        <v/>
      </c>
      <c r="F272" s="136" t="str">
        <f>IF(分析!F272&lt;&gt;"",分析!F272,"")</f>
        <v/>
      </c>
      <c r="G272" s="136" t="str">
        <f>IF(分析!H272&lt;&gt;"",分析!H272,"")</f>
        <v/>
      </c>
      <c r="H272" s="136" t="str">
        <f>IF(分析!I272&lt;&gt;"",分析!I272,"")</f>
        <v/>
      </c>
      <c r="I272" s="136" t="str">
        <f>IF(分析!J272&lt;&gt;"",分析!J272,"")</f>
        <v/>
      </c>
      <c r="J272" s="136" t="str">
        <f>IF(分析!AB272&lt;&gt;"",分析!AB272,"")</f>
        <v/>
      </c>
      <c r="K272" s="136" t="str">
        <f>IF(分析!AC272&lt;&gt;"",分析!AC272,"")</f>
        <v/>
      </c>
      <c r="L272" s="136" t="str">
        <f>IF(分析!K272&lt;&gt;"",分析!K272,"")</f>
        <v/>
      </c>
      <c r="M272" s="131" t="str">
        <f>IF(分析!P272&lt;&gt;"",分析!P272,"")</f>
        <v/>
      </c>
      <c r="N272" s="137" t="str">
        <f>IF(分析!O272&lt;&gt;"",分析!O272,"")</f>
        <v/>
      </c>
      <c r="O272" s="138" t="str">
        <f>IF(分析!X272&lt;&gt;"",分析!X272,"")</f>
        <v/>
      </c>
      <c r="P272" s="139" t="str">
        <f>IF(分析!L272&lt;&gt;"",分析!L272,"")</f>
        <v/>
      </c>
      <c r="Q272" s="136" t="str">
        <f>IF(分析!S272&lt;&gt;"",分析!S272,"")</f>
        <v/>
      </c>
      <c r="R272" s="136" t="str">
        <f>IF(分析!R272&lt;&gt;"",分析!R272,"")</f>
        <v/>
      </c>
      <c r="S272" s="131" t="str">
        <f>IF(分析!AA272&lt;&gt;"",分析!AA272,"")</f>
        <v/>
      </c>
      <c r="T272" s="140" t="str">
        <f>IF(分析!Z272&lt;&gt;"",分析!Z272,"")</f>
        <v/>
      </c>
      <c r="U272" s="131" t="str">
        <f>IF(分析!V272&lt;&gt;"",分析!V272,"")</f>
        <v/>
      </c>
      <c r="V272" s="141" t="str">
        <f>IF(分析!W272&lt;&gt;"",分析!W272,"")</f>
        <v/>
      </c>
      <c r="W272" s="142" t="str">
        <f>IF(分析!AD272&lt;&gt;"",分析!AD272,"")</f>
        <v/>
      </c>
      <c r="X272" s="143" t="str">
        <f>IF(分析!AE272&lt;&gt;"",分析!AE272,"")</f>
        <v/>
      </c>
      <c r="Y272" s="144" t="str">
        <f>IF(分析!T272&lt;&gt;"",分析!T272,"")</f>
        <v/>
      </c>
      <c r="Z272" s="145" t="str">
        <f>IF(分析!Y272&lt;&gt;"",分析!Y272,"")</f>
        <v/>
      </c>
    </row>
    <row r="273" spans="1:26" ht="21.9" customHeight="1">
      <c r="A273" s="146" t="str">
        <f>IF(分析!C273&lt;&gt;"",ROW()-2,"")</f>
        <v/>
      </c>
      <c r="B273" s="147" t="str">
        <f>IF(分析!C273&lt;&gt;"",HYPERLINK("https://kabutan.jp/stock/?code="&amp;分析!C273,"株探"),"")</f>
        <v/>
      </c>
      <c r="C273" s="148" t="str">
        <f>IF(分析!C273&lt;&gt;"",分析!C273,"")</f>
        <v/>
      </c>
      <c r="D273" s="149" t="str">
        <f>IF(分析!D273&lt;&gt;"",分析!D273,"")</f>
        <v/>
      </c>
      <c r="E273" s="150" t="str">
        <f>IF(分析!E273&lt;&gt;"",分析!E273,"")</f>
        <v/>
      </c>
      <c r="F273" s="151" t="str">
        <f>IF(分析!F273&lt;&gt;"",分析!F273,"")</f>
        <v/>
      </c>
      <c r="G273" s="151" t="str">
        <f>IF(分析!H273&lt;&gt;"",分析!H273,"")</f>
        <v/>
      </c>
      <c r="H273" s="151" t="str">
        <f>IF(分析!I273&lt;&gt;"",分析!I273,"")</f>
        <v/>
      </c>
      <c r="I273" s="151" t="str">
        <f>IF(分析!J273&lt;&gt;"",分析!J273,"")</f>
        <v/>
      </c>
      <c r="J273" s="151" t="str">
        <f>IF(分析!AB273&lt;&gt;"",分析!AB273,"")</f>
        <v/>
      </c>
      <c r="K273" s="151" t="str">
        <f>IF(分析!AC273&lt;&gt;"",分析!AC273,"")</f>
        <v/>
      </c>
      <c r="L273" s="151" t="str">
        <f>IF(分析!K273&lt;&gt;"",分析!K273,"")</f>
        <v/>
      </c>
      <c r="M273" s="146" t="str">
        <f>IF(分析!P273&lt;&gt;"",分析!P273,"")</f>
        <v/>
      </c>
      <c r="N273" s="152" t="str">
        <f>IF(分析!O273&lt;&gt;"",分析!O273,"")</f>
        <v/>
      </c>
      <c r="O273" s="153" t="str">
        <f>IF(分析!X273&lt;&gt;"",分析!X273,"")</f>
        <v/>
      </c>
      <c r="P273" s="154" t="str">
        <f>IF(分析!L273&lt;&gt;"",分析!L273,"")</f>
        <v/>
      </c>
      <c r="Q273" s="151" t="str">
        <f>IF(分析!S273&lt;&gt;"",分析!S273,"")</f>
        <v/>
      </c>
      <c r="R273" s="151" t="str">
        <f>IF(分析!R273&lt;&gt;"",分析!R273,"")</f>
        <v/>
      </c>
      <c r="S273" s="146" t="str">
        <f>IF(分析!AA273&lt;&gt;"",分析!AA273,"")</f>
        <v/>
      </c>
      <c r="T273" s="155" t="str">
        <f>IF(分析!Z273&lt;&gt;"",分析!Z273,"")</f>
        <v/>
      </c>
      <c r="U273" s="146" t="str">
        <f>IF(分析!V273&lt;&gt;"",分析!V273,"")</f>
        <v/>
      </c>
      <c r="V273" s="156" t="str">
        <f>IF(分析!W273&lt;&gt;"",分析!W273,"")</f>
        <v/>
      </c>
      <c r="W273" s="157" t="str">
        <f>IF(分析!AD273&lt;&gt;"",分析!AD273,"")</f>
        <v/>
      </c>
      <c r="X273" s="158" t="str">
        <f>IF(分析!AE273&lt;&gt;"",分析!AE273,"")</f>
        <v/>
      </c>
      <c r="Y273" s="159" t="str">
        <f>IF(分析!T273&lt;&gt;"",分析!T273,"")</f>
        <v/>
      </c>
      <c r="Z273" s="145" t="str">
        <f>IF(分析!Y273&lt;&gt;"",分析!Y273,"")</f>
        <v/>
      </c>
    </row>
    <row r="274" spans="1:26" ht="21.9" customHeight="1">
      <c r="A274" s="131" t="str">
        <f>IF(分析!C274&lt;&gt;"",ROW()-2,"")</f>
        <v/>
      </c>
      <c r="B274" s="132" t="str">
        <f>IF(分析!C274&lt;&gt;"",HYPERLINK("https://kabutan.jp/stock/?code="&amp;分析!C274,"株探"),"")</f>
        <v/>
      </c>
      <c r="C274" s="133" t="str">
        <f>IF(分析!C274&lt;&gt;"",分析!C274,"")</f>
        <v/>
      </c>
      <c r="D274" s="134" t="str">
        <f>IF(分析!D274&lt;&gt;"",分析!D274,"")</f>
        <v/>
      </c>
      <c r="E274" s="135" t="str">
        <f>IF(分析!E274&lt;&gt;"",分析!E274,"")</f>
        <v/>
      </c>
      <c r="F274" s="136" t="str">
        <f>IF(分析!F274&lt;&gt;"",分析!F274,"")</f>
        <v/>
      </c>
      <c r="G274" s="136" t="str">
        <f>IF(分析!H274&lt;&gt;"",分析!H274,"")</f>
        <v/>
      </c>
      <c r="H274" s="136" t="str">
        <f>IF(分析!I274&lt;&gt;"",分析!I274,"")</f>
        <v/>
      </c>
      <c r="I274" s="136" t="str">
        <f>IF(分析!J274&lt;&gt;"",分析!J274,"")</f>
        <v/>
      </c>
      <c r="J274" s="136" t="str">
        <f>IF(分析!AB274&lt;&gt;"",分析!AB274,"")</f>
        <v/>
      </c>
      <c r="K274" s="136" t="str">
        <f>IF(分析!AC274&lt;&gt;"",分析!AC274,"")</f>
        <v/>
      </c>
      <c r="L274" s="136" t="str">
        <f>IF(分析!K274&lt;&gt;"",分析!K274,"")</f>
        <v/>
      </c>
      <c r="M274" s="131" t="str">
        <f>IF(分析!P274&lt;&gt;"",分析!P274,"")</f>
        <v/>
      </c>
      <c r="N274" s="137" t="str">
        <f>IF(分析!O274&lt;&gt;"",分析!O274,"")</f>
        <v/>
      </c>
      <c r="O274" s="138" t="str">
        <f>IF(分析!X274&lt;&gt;"",分析!X274,"")</f>
        <v/>
      </c>
      <c r="P274" s="139" t="str">
        <f>IF(分析!L274&lt;&gt;"",分析!L274,"")</f>
        <v/>
      </c>
      <c r="Q274" s="136" t="str">
        <f>IF(分析!S274&lt;&gt;"",分析!S274,"")</f>
        <v/>
      </c>
      <c r="R274" s="136" t="str">
        <f>IF(分析!R274&lt;&gt;"",分析!R274,"")</f>
        <v/>
      </c>
      <c r="S274" s="131" t="str">
        <f>IF(分析!AA274&lt;&gt;"",分析!AA274,"")</f>
        <v/>
      </c>
      <c r="T274" s="140" t="str">
        <f>IF(分析!Z274&lt;&gt;"",分析!Z274,"")</f>
        <v/>
      </c>
      <c r="U274" s="131" t="str">
        <f>IF(分析!V274&lt;&gt;"",分析!V274,"")</f>
        <v/>
      </c>
      <c r="V274" s="141" t="str">
        <f>IF(分析!W274&lt;&gt;"",分析!W274,"")</f>
        <v/>
      </c>
      <c r="W274" s="142" t="str">
        <f>IF(分析!AD274&lt;&gt;"",分析!AD274,"")</f>
        <v/>
      </c>
      <c r="X274" s="143" t="str">
        <f>IF(分析!AE274&lt;&gt;"",分析!AE274,"")</f>
        <v/>
      </c>
      <c r="Y274" s="144" t="str">
        <f>IF(分析!T274&lt;&gt;"",分析!T274,"")</f>
        <v/>
      </c>
      <c r="Z274" s="145" t="str">
        <f>IF(分析!Y274&lt;&gt;"",分析!Y274,"")</f>
        <v/>
      </c>
    </row>
    <row r="275" spans="1:26" ht="21.9" customHeight="1">
      <c r="A275" s="146" t="str">
        <f>IF(分析!C275&lt;&gt;"",ROW()-2,"")</f>
        <v/>
      </c>
      <c r="B275" s="147" t="str">
        <f>IF(分析!C275&lt;&gt;"",HYPERLINK("https://kabutan.jp/stock/?code="&amp;分析!C275,"株探"),"")</f>
        <v/>
      </c>
      <c r="C275" s="148" t="str">
        <f>IF(分析!C275&lt;&gt;"",分析!C275,"")</f>
        <v/>
      </c>
      <c r="D275" s="149" t="str">
        <f>IF(分析!D275&lt;&gt;"",分析!D275,"")</f>
        <v/>
      </c>
      <c r="E275" s="150" t="str">
        <f>IF(分析!E275&lt;&gt;"",分析!E275,"")</f>
        <v/>
      </c>
      <c r="F275" s="151" t="str">
        <f>IF(分析!F275&lt;&gt;"",分析!F275,"")</f>
        <v/>
      </c>
      <c r="G275" s="151" t="str">
        <f>IF(分析!H275&lt;&gt;"",分析!H275,"")</f>
        <v/>
      </c>
      <c r="H275" s="151" t="str">
        <f>IF(分析!I275&lt;&gt;"",分析!I275,"")</f>
        <v/>
      </c>
      <c r="I275" s="151" t="str">
        <f>IF(分析!J275&lt;&gt;"",分析!J275,"")</f>
        <v/>
      </c>
      <c r="J275" s="151" t="str">
        <f>IF(分析!AB275&lt;&gt;"",分析!AB275,"")</f>
        <v/>
      </c>
      <c r="K275" s="151" t="str">
        <f>IF(分析!AC275&lt;&gt;"",分析!AC275,"")</f>
        <v/>
      </c>
      <c r="L275" s="151" t="str">
        <f>IF(分析!K275&lt;&gt;"",分析!K275,"")</f>
        <v/>
      </c>
      <c r="M275" s="146" t="str">
        <f>IF(分析!P275&lt;&gt;"",分析!P275,"")</f>
        <v/>
      </c>
      <c r="N275" s="152" t="str">
        <f>IF(分析!O275&lt;&gt;"",分析!O275,"")</f>
        <v/>
      </c>
      <c r="O275" s="153" t="str">
        <f>IF(分析!X275&lt;&gt;"",分析!X275,"")</f>
        <v/>
      </c>
      <c r="P275" s="154" t="str">
        <f>IF(分析!L275&lt;&gt;"",分析!L275,"")</f>
        <v/>
      </c>
      <c r="Q275" s="151" t="str">
        <f>IF(分析!S275&lt;&gt;"",分析!S275,"")</f>
        <v/>
      </c>
      <c r="R275" s="151" t="str">
        <f>IF(分析!R275&lt;&gt;"",分析!R275,"")</f>
        <v/>
      </c>
      <c r="S275" s="146" t="str">
        <f>IF(分析!AA275&lt;&gt;"",分析!AA275,"")</f>
        <v/>
      </c>
      <c r="T275" s="155" t="str">
        <f>IF(分析!Z275&lt;&gt;"",分析!Z275,"")</f>
        <v/>
      </c>
      <c r="U275" s="146" t="str">
        <f>IF(分析!V275&lt;&gt;"",分析!V275,"")</f>
        <v/>
      </c>
      <c r="V275" s="156" t="str">
        <f>IF(分析!W275&lt;&gt;"",分析!W275,"")</f>
        <v/>
      </c>
      <c r="W275" s="157" t="str">
        <f>IF(分析!AD275&lt;&gt;"",分析!AD275,"")</f>
        <v/>
      </c>
      <c r="X275" s="158" t="str">
        <f>IF(分析!AE275&lt;&gt;"",分析!AE275,"")</f>
        <v/>
      </c>
      <c r="Y275" s="159" t="str">
        <f>IF(分析!T275&lt;&gt;"",分析!T275,"")</f>
        <v/>
      </c>
      <c r="Z275" s="145" t="str">
        <f>IF(分析!Y275&lt;&gt;"",分析!Y275,"")</f>
        <v/>
      </c>
    </row>
    <row r="276" spans="1:26" ht="21.9" customHeight="1">
      <c r="A276" s="131" t="str">
        <f>IF(分析!C276&lt;&gt;"",ROW()-2,"")</f>
        <v/>
      </c>
      <c r="B276" s="132" t="str">
        <f>IF(分析!C276&lt;&gt;"",HYPERLINK("https://kabutan.jp/stock/?code="&amp;分析!C276,"株探"),"")</f>
        <v/>
      </c>
      <c r="C276" s="133" t="str">
        <f>IF(分析!C276&lt;&gt;"",分析!C276,"")</f>
        <v/>
      </c>
      <c r="D276" s="134" t="str">
        <f>IF(分析!D276&lt;&gt;"",分析!D276,"")</f>
        <v/>
      </c>
      <c r="E276" s="135" t="str">
        <f>IF(分析!E276&lt;&gt;"",分析!E276,"")</f>
        <v/>
      </c>
      <c r="F276" s="136" t="str">
        <f>IF(分析!F276&lt;&gt;"",分析!F276,"")</f>
        <v/>
      </c>
      <c r="G276" s="136" t="str">
        <f>IF(分析!H276&lt;&gt;"",分析!H276,"")</f>
        <v/>
      </c>
      <c r="H276" s="136" t="str">
        <f>IF(分析!I276&lt;&gt;"",分析!I276,"")</f>
        <v/>
      </c>
      <c r="I276" s="136" t="str">
        <f>IF(分析!J276&lt;&gt;"",分析!J276,"")</f>
        <v/>
      </c>
      <c r="J276" s="136" t="str">
        <f>IF(分析!AB276&lt;&gt;"",分析!AB276,"")</f>
        <v/>
      </c>
      <c r="K276" s="136" t="str">
        <f>IF(分析!AC276&lt;&gt;"",分析!AC276,"")</f>
        <v/>
      </c>
      <c r="L276" s="136" t="str">
        <f>IF(分析!K276&lt;&gt;"",分析!K276,"")</f>
        <v/>
      </c>
      <c r="M276" s="131" t="str">
        <f>IF(分析!P276&lt;&gt;"",分析!P276,"")</f>
        <v/>
      </c>
      <c r="N276" s="137" t="str">
        <f>IF(分析!O276&lt;&gt;"",分析!O276,"")</f>
        <v/>
      </c>
      <c r="O276" s="138" t="str">
        <f>IF(分析!X276&lt;&gt;"",分析!X276,"")</f>
        <v/>
      </c>
      <c r="P276" s="139" t="str">
        <f>IF(分析!L276&lt;&gt;"",分析!L276,"")</f>
        <v/>
      </c>
      <c r="Q276" s="136" t="str">
        <f>IF(分析!S276&lt;&gt;"",分析!S276,"")</f>
        <v/>
      </c>
      <c r="R276" s="136" t="str">
        <f>IF(分析!R276&lt;&gt;"",分析!R276,"")</f>
        <v/>
      </c>
      <c r="S276" s="131" t="str">
        <f>IF(分析!AA276&lt;&gt;"",分析!AA276,"")</f>
        <v/>
      </c>
      <c r="T276" s="140" t="str">
        <f>IF(分析!Z276&lt;&gt;"",分析!Z276,"")</f>
        <v/>
      </c>
      <c r="U276" s="131" t="str">
        <f>IF(分析!V276&lt;&gt;"",分析!V276,"")</f>
        <v/>
      </c>
      <c r="V276" s="141" t="str">
        <f>IF(分析!W276&lt;&gt;"",分析!W276,"")</f>
        <v/>
      </c>
      <c r="W276" s="142" t="str">
        <f>IF(分析!AD276&lt;&gt;"",分析!AD276,"")</f>
        <v/>
      </c>
      <c r="X276" s="143" t="str">
        <f>IF(分析!AE276&lt;&gt;"",分析!AE276,"")</f>
        <v/>
      </c>
      <c r="Y276" s="144" t="str">
        <f>IF(分析!T276&lt;&gt;"",分析!T276,"")</f>
        <v/>
      </c>
      <c r="Z276" s="145" t="str">
        <f>IF(分析!Y276&lt;&gt;"",分析!Y276,"")</f>
        <v/>
      </c>
    </row>
    <row r="277" spans="1:26" ht="21.9" customHeight="1">
      <c r="A277" s="146" t="str">
        <f>IF(分析!C277&lt;&gt;"",ROW()-2,"")</f>
        <v/>
      </c>
      <c r="B277" s="147" t="str">
        <f>IF(分析!C277&lt;&gt;"",HYPERLINK("https://kabutan.jp/stock/?code="&amp;分析!C277,"株探"),"")</f>
        <v/>
      </c>
      <c r="C277" s="148" t="str">
        <f>IF(分析!C277&lt;&gt;"",分析!C277,"")</f>
        <v/>
      </c>
      <c r="D277" s="149" t="str">
        <f>IF(分析!D277&lt;&gt;"",分析!D277,"")</f>
        <v/>
      </c>
      <c r="E277" s="150" t="str">
        <f>IF(分析!E277&lt;&gt;"",分析!E277,"")</f>
        <v/>
      </c>
      <c r="F277" s="151" t="str">
        <f>IF(分析!F277&lt;&gt;"",分析!F277,"")</f>
        <v/>
      </c>
      <c r="G277" s="151" t="str">
        <f>IF(分析!H277&lt;&gt;"",分析!H277,"")</f>
        <v/>
      </c>
      <c r="H277" s="151" t="str">
        <f>IF(分析!I277&lt;&gt;"",分析!I277,"")</f>
        <v/>
      </c>
      <c r="I277" s="151" t="str">
        <f>IF(分析!J277&lt;&gt;"",分析!J277,"")</f>
        <v/>
      </c>
      <c r="J277" s="151" t="str">
        <f>IF(分析!AB277&lt;&gt;"",分析!AB277,"")</f>
        <v/>
      </c>
      <c r="K277" s="151" t="str">
        <f>IF(分析!AC277&lt;&gt;"",分析!AC277,"")</f>
        <v/>
      </c>
      <c r="L277" s="151" t="str">
        <f>IF(分析!K277&lt;&gt;"",分析!K277,"")</f>
        <v/>
      </c>
      <c r="M277" s="146" t="str">
        <f>IF(分析!P277&lt;&gt;"",分析!P277,"")</f>
        <v/>
      </c>
      <c r="N277" s="152" t="str">
        <f>IF(分析!O277&lt;&gt;"",分析!O277,"")</f>
        <v/>
      </c>
      <c r="O277" s="153" t="str">
        <f>IF(分析!X277&lt;&gt;"",分析!X277,"")</f>
        <v/>
      </c>
      <c r="P277" s="154" t="str">
        <f>IF(分析!L277&lt;&gt;"",分析!L277,"")</f>
        <v/>
      </c>
      <c r="Q277" s="151" t="str">
        <f>IF(分析!S277&lt;&gt;"",分析!S277,"")</f>
        <v/>
      </c>
      <c r="R277" s="151" t="str">
        <f>IF(分析!R277&lt;&gt;"",分析!R277,"")</f>
        <v/>
      </c>
      <c r="S277" s="146" t="str">
        <f>IF(分析!AA277&lt;&gt;"",分析!AA277,"")</f>
        <v/>
      </c>
      <c r="T277" s="155" t="str">
        <f>IF(分析!Z277&lt;&gt;"",分析!Z277,"")</f>
        <v/>
      </c>
      <c r="U277" s="146" t="str">
        <f>IF(分析!V277&lt;&gt;"",分析!V277,"")</f>
        <v/>
      </c>
      <c r="V277" s="156" t="str">
        <f>IF(分析!W277&lt;&gt;"",分析!W277,"")</f>
        <v/>
      </c>
      <c r="W277" s="157" t="str">
        <f>IF(分析!AD277&lt;&gt;"",分析!AD277,"")</f>
        <v/>
      </c>
      <c r="X277" s="158" t="str">
        <f>IF(分析!AE277&lt;&gt;"",分析!AE277,"")</f>
        <v/>
      </c>
      <c r="Y277" s="159" t="str">
        <f>IF(分析!T277&lt;&gt;"",分析!T277,"")</f>
        <v/>
      </c>
      <c r="Z277" s="145" t="str">
        <f>IF(分析!Y277&lt;&gt;"",分析!Y277,"")</f>
        <v/>
      </c>
    </row>
    <row r="278" spans="1:26" ht="21.9" customHeight="1">
      <c r="A278" s="131" t="str">
        <f>IF(分析!C278&lt;&gt;"",ROW()-2,"")</f>
        <v/>
      </c>
      <c r="B278" s="132" t="str">
        <f>IF(分析!C278&lt;&gt;"",HYPERLINK("https://kabutan.jp/stock/?code="&amp;分析!C278,"株探"),"")</f>
        <v/>
      </c>
      <c r="C278" s="133" t="str">
        <f>IF(分析!C278&lt;&gt;"",分析!C278,"")</f>
        <v/>
      </c>
      <c r="D278" s="134" t="str">
        <f>IF(分析!D278&lt;&gt;"",分析!D278,"")</f>
        <v/>
      </c>
      <c r="E278" s="135" t="str">
        <f>IF(分析!E278&lt;&gt;"",分析!E278,"")</f>
        <v/>
      </c>
      <c r="F278" s="136" t="str">
        <f>IF(分析!F278&lt;&gt;"",分析!F278,"")</f>
        <v/>
      </c>
      <c r="G278" s="136" t="str">
        <f>IF(分析!H278&lt;&gt;"",分析!H278,"")</f>
        <v/>
      </c>
      <c r="H278" s="136" t="str">
        <f>IF(分析!I278&lt;&gt;"",分析!I278,"")</f>
        <v/>
      </c>
      <c r="I278" s="136" t="str">
        <f>IF(分析!J278&lt;&gt;"",分析!J278,"")</f>
        <v/>
      </c>
      <c r="J278" s="136" t="str">
        <f>IF(分析!AB278&lt;&gt;"",分析!AB278,"")</f>
        <v/>
      </c>
      <c r="K278" s="136" t="str">
        <f>IF(分析!AC278&lt;&gt;"",分析!AC278,"")</f>
        <v/>
      </c>
      <c r="L278" s="136" t="str">
        <f>IF(分析!K278&lt;&gt;"",分析!K278,"")</f>
        <v/>
      </c>
      <c r="M278" s="131" t="str">
        <f>IF(分析!P278&lt;&gt;"",分析!P278,"")</f>
        <v/>
      </c>
      <c r="N278" s="137" t="str">
        <f>IF(分析!O278&lt;&gt;"",分析!O278,"")</f>
        <v/>
      </c>
      <c r="O278" s="138" t="str">
        <f>IF(分析!X278&lt;&gt;"",分析!X278,"")</f>
        <v/>
      </c>
      <c r="P278" s="139" t="str">
        <f>IF(分析!L278&lt;&gt;"",分析!L278,"")</f>
        <v/>
      </c>
      <c r="Q278" s="136" t="str">
        <f>IF(分析!S278&lt;&gt;"",分析!S278,"")</f>
        <v/>
      </c>
      <c r="R278" s="136" t="str">
        <f>IF(分析!R278&lt;&gt;"",分析!R278,"")</f>
        <v/>
      </c>
      <c r="S278" s="131" t="str">
        <f>IF(分析!AA278&lt;&gt;"",分析!AA278,"")</f>
        <v/>
      </c>
      <c r="T278" s="140" t="str">
        <f>IF(分析!Z278&lt;&gt;"",分析!Z278,"")</f>
        <v/>
      </c>
      <c r="U278" s="131" t="str">
        <f>IF(分析!V278&lt;&gt;"",分析!V278,"")</f>
        <v/>
      </c>
      <c r="V278" s="141" t="str">
        <f>IF(分析!W278&lt;&gt;"",分析!W278,"")</f>
        <v/>
      </c>
      <c r="W278" s="142" t="str">
        <f>IF(分析!AD278&lt;&gt;"",分析!AD278,"")</f>
        <v/>
      </c>
      <c r="X278" s="143" t="str">
        <f>IF(分析!AE278&lt;&gt;"",分析!AE278,"")</f>
        <v/>
      </c>
      <c r="Y278" s="144" t="str">
        <f>IF(分析!T278&lt;&gt;"",分析!T278,"")</f>
        <v/>
      </c>
      <c r="Z278" s="145" t="str">
        <f>IF(分析!Y278&lt;&gt;"",分析!Y278,"")</f>
        <v/>
      </c>
    </row>
    <row r="279" spans="1:26" ht="21.9" customHeight="1">
      <c r="A279" s="146" t="str">
        <f>IF(分析!C279&lt;&gt;"",ROW()-2,"")</f>
        <v/>
      </c>
      <c r="B279" s="147" t="str">
        <f>IF(分析!C279&lt;&gt;"",HYPERLINK("https://kabutan.jp/stock/?code="&amp;分析!C279,"株探"),"")</f>
        <v/>
      </c>
      <c r="C279" s="148" t="str">
        <f>IF(分析!C279&lt;&gt;"",分析!C279,"")</f>
        <v/>
      </c>
      <c r="D279" s="149" t="str">
        <f>IF(分析!D279&lt;&gt;"",分析!D279,"")</f>
        <v/>
      </c>
      <c r="E279" s="150" t="str">
        <f>IF(分析!E279&lt;&gt;"",分析!E279,"")</f>
        <v/>
      </c>
      <c r="F279" s="151" t="str">
        <f>IF(分析!F279&lt;&gt;"",分析!F279,"")</f>
        <v/>
      </c>
      <c r="G279" s="151" t="str">
        <f>IF(分析!H279&lt;&gt;"",分析!H279,"")</f>
        <v/>
      </c>
      <c r="H279" s="151" t="str">
        <f>IF(分析!I279&lt;&gt;"",分析!I279,"")</f>
        <v/>
      </c>
      <c r="I279" s="151" t="str">
        <f>IF(分析!J279&lt;&gt;"",分析!J279,"")</f>
        <v/>
      </c>
      <c r="J279" s="151" t="str">
        <f>IF(分析!AB279&lt;&gt;"",分析!AB279,"")</f>
        <v/>
      </c>
      <c r="K279" s="151" t="str">
        <f>IF(分析!AC279&lt;&gt;"",分析!AC279,"")</f>
        <v/>
      </c>
      <c r="L279" s="151" t="str">
        <f>IF(分析!K279&lt;&gt;"",分析!K279,"")</f>
        <v/>
      </c>
      <c r="M279" s="146" t="str">
        <f>IF(分析!P279&lt;&gt;"",分析!P279,"")</f>
        <v/>
      </c>
      <c r="N279" s="152" t="str">
        <f>IF(分析!O279&lt;&gt;"",分析!O279,"")</f>
        <v/>
      </c>
      <c r="O279" s="153" t="str">
        <f>IF(分析!X279&lt;&gt;"",分析!X279,"")</f>
        <v/>
      </c>
      <c r="P279" s="154" t="str">
        <f>IF(分析!L279&lt;&gt;"",分析!L279,"")</f>
        <v/>
      </c>
      <c r="Q279" s="151" t="str">
        <f>IF(分析!S279&lt;&gt;"",分析!S279,"")</f>
        <v/>
      </c>
      <c r="R279" s="151" t="str">
        <f>IF(分析!R279&lt;&gt;"",分析!R279,"")</f>
        <v/>
      </c>
      <c r="S279" s="146" t="str">
        <f>IF(分析!AA279&lt;&gt;"",分析!AA279,"")</f>
        <v/>
      </c>
      <c r="T279" s="155" t="str">
        <f>IF(分析!Z279&lt;&gt;"",分析!Z279,"")</f>
        <v/>
      </c>
      <c r="U279" s="146" t="str">
        <f>IF(分析!V279&lt;&gt;"",分析!V279,"")</f>
        <v/>
      </c>
      <c r="V279" s="156" t="str">
        <f>IF(分析!W279&lt;&gt;"",分析!W279,"")</f>
        <v/>
      </c>
      <c r="W279" s="157" t="str">
        <f>IF(分析!AD279&lt;&gt;"",分析!AD279,"")</f>
        <v/>
      </c>
      <c r="X279" s="158" t="str">
        <f>IF(分析!AE279&lt;&gt;"",分析!AE279,"")</f>
        <v/>
      </c>
      <c r="Y279" s="159" t="str">
        <f>IF(分析!T279&lt;&gt;"",分析!T279,"")</f>
        <v/>
      </c>
      <c r="Z279" s="145" t="str">
        <f>IF(分析!Y279&lt;&gt;"",分析!Y279,"")</f>
        <v/>
      </c>
    </row>
    <row r="280" spans="1:26" ht="21.9" customHeight="1">
      <c r="A280" s="131" t="str">
        <f>IF(分析!C280&lt;&gt;"",ROW()-2,"")</f>
        <v/>
      </c>
      <c r="B280" s="132" t="str">
        <f>IF(分析!C280&lt;&gt;"",HYPERLINK("https://kabutan.jp/stock/?code="&amp;分析!C280,"株探"),"")</f>
        <v/>
      </c>
      <c r="C280" s="133" t="str">
        <f>IF(分析!C280&lt;&gt;"",分析!C280,"")</f>
        <v/>
      </c>
      <c r="D280" s="134" t="str">
        <f>IF(分析!D280&lt;&gt;"",分析!D280,"")</f>
        <v/>
      </c>
      <c r="E280" s="135" t="str">
        <f>IF(分析!E280&lt;&gt;"",分析!E280,"")</f>
        <v/>
      </c>
      <c r="F280" s="136" t="str">
        <f>IF(分析!F280&lt;&gt;"",分析!F280,"")</f>
        <v/>
      </c>
      <c r="G280" s="136" t="str">
        <f>IF(分析!H280&lt;&gt;"",分析!H280,"")</f>
        <v/>
      </c>
      <c r="H280" s="136" t="str">
        <f>IF(分析!I280&lt;&gt;"",分析!I280,"")</f>
        <v/>
      </c>
      <c r="I280" s="136" t="str">
        <f>IF(分析!J280&lt;&gt;"",分析!J280,"")</f>
        <v/>
      </c>
      <c r="J280" s="136" t="str">
        <f>IF(分析!AB280&lt;&gt;"",分析!AB280,"")</f>
        <v/>
      </c>
      <c r="K280" s="136" t="str">
        <f>IF(分析!AC280&lt;&gt;"",分析!AC280,"")</f>
        <v/>
      </c>
      <c r="L280" s="136" t="str">
        <f>IF(分析!K280&lt;&gt;"",分析!K280,"")</f>
        <v/>
      </c>
      <c r="M280" s="131" t="str">
        <f>IF(分析!P280&lt;&gt;"",分析!P280,"")</f>
        <v/>
      </c>
      <c r="N280" s="137" t="str">
        <f>IF(分析!O280&lt;&gt;"",分析!O280,"")</f>
        <v/>
      </c>
      <c r="O280" s="138" t="str">
        <f>IF(分析!X280&lt;&gt;"",分析!X280,"")</f>
        <v/>
      </c>
      <c r="P280" s="139" t="str">
        <f>IF(分析!L280&lt;&gt;"",分析!L280,"")</f>
        <v/>
      </c>
      <c r="Q280" s="136" t="str">
        <f>IF(分析!S280&lt;&gt;"",分析!S280,"")</f>
        <v/>
      </c>
      <c r="R280" s="136" t="str">
        <f>IF(分析!R280&lt;&gt;"",分析!R280,"")</f>
        <v/>
      </c>
      <c r="S280" s="131" t="str">
        <f>IF(分析!AA280&lt;&gt;"",分析!AA280,"")</f>
        <v/>
      </c>
      <c r="T280" s="140" t="str">
        <f>IF(分析!Z280&lt;&gt;"",分析!Z280,"")</f>
        <v/>
      </c>
      <c r="U280" s="131" t="str">
        <f>IF(分析!V280&lt;&gt;"",分析!V280,"")</f>
        <v/>
      </c>
      <c r="V280" s="141" t="str">
        <f>IF(分析!W280&lt;&gt;"",分析!W280,"")</f>
        <v/>
      </c>
      <c r="W280" s="142" t="str">
        <f>IF(分析!AD280&lt;&gt;"",分析!AD280,"")</f>
        <v/>
      </c>
      <c r="X280" s="143" t="str">
        <f>IF(分析!AE280&lt;&gt;"",分析!AE280,"")</f>
        <v/>
      </c>
      <c r="Y280" s="144" t="str">
        <f>IF(分析!T280&lt;&gt;"",分析!T280,"")</f>
        <v/>
      </c>
      <c r="Z280" s="145" t="str">
        <f>IF(分析!Y280&lt;&gt;"",分析!Y280,"")</f>
        <v/>
      </c>
    </row>
    <row r="281" spans="1:26" ht="21.9" customHeight="1">
      <c r="A281" s="146" t="str">
        <f>IF(分析!C281&lt;&gt;"",ROW()-2,"")</f>
        <v/>
      </c>
      <c r="B281" s="147" t="str">
        <f>IF(分析!C281&lt;&gt;"",HYPERLINK("https://kabutan.jp/stock/?code="&amp;分析!C281,"株探"),"")</f>
        <v/>
      </c>
      <c r="C281" s="148" t="str">
        <f>IF(分析!C281&lt;&gt;"",分析!C281,"")</f>
        <v/>
      </c>
      <c r="D281" s="149" t="str">
        <f>IF(分析!D281&lt;&gt;"",分析!D281,"")</f>
        <v/>
      </c>
      <c r="E281" s="150" t="str">
        <f>IF(分析!E281&lt;&gt;"",分析!E281,"")</f>
        <v/>
      </c>
      <c r="F281" s="151" t="str">
        <f>IF(分析!F281&lt;&gt;"",分析!F281,"")</f>
        <v/>
      </c>
      <c r="G281" s="151" t="str">
        <f>IF(分析!H281&lt;&gt;"",分析!H281,"")</f>
        <v/>
      </c>
      <c r="H281" s="151" t="str">
        <f>IF(分析!I281&lt;&gt;"",分析!I281,"")</f>
        <v/>
      </c>
      <c r="I281" s="151" t="str">
        <f>IF(分析!J281&lt;&gt;"",分析!J281,"")</f>
        <v/>
      </c>
      <c r="J281" s="151" t="str">
        <f>IF(分析!AB281&lt;&gt;"",分析!AB281,"")</f>
        <v/>
      </c>
      <c r="K281" s="151" t="str">
        <f>IF(分析!AC281&lt;&gt;"",分析!AC281,"")</f>
        <v/>
      </c>
      <c r="L281" s="151" t="str">
        <f>IF(分析!K281&lt;&gt;"",分析!K281,"")</f>
        <v/>
      </c>
      <c r="M281" s="146" t="str">
        <f>IF(分析!P281&lt;&gt;"",分析!P281,"")</f>
        <v/>
      </c>
      <c r="N281" s="152" t="str">
        <f>IF(分析!O281&lt;&gt;"",分析!O281,"")</f>
        <v/>
      </c>
      <c r="O281" s="153" t="str">
        <f>IF(分析!X281&lt;&gt;"",分析!X281,"")</f>
        <v/>
      </c>
      <c r="P281" s="154" t="str">
        <f>IF(分析!L281&lt;&gt;"",分析!L281,"")</f>
        <v/>
      </c>
      <c r="Q281" s="151" t="str">
        <f>IF(分析!S281&lt;&gt;"",分析!S281,"")</f>
        <v/>
      </c>
      <c r="R281" s="151" t="str">
        <f>IF(分析!R281&lt;&gt;"",分析!R281,"")</f>
        <v/>
      </c>
      <c r="S281" s="146" t="str">
        <f>IF(分析!AA281&lt;&gt;"",分析!AA281,"")</f>
        <v/>
      </c>
      <c r="T281" s="155" t="str">
        <f>IF(分析!Z281&lt;&gt;"",分析!Z281,"")</f>
        <v/>
      </c>
      <c r="U281" s="146" t="str">
        <f>IF(分析!V281&lt;&gt;"",分析!V281,"")</f>
        <v/>
      </c>
      <c r="V281" s="156" t="str">
        <f>IF(分析!W281&lt;&gt;"",分析!W281,"")</f>
        <v/>
      </c>
      <c r="W281" s="157" t="str">
        <f>IF(分析!AD281&lt;&gt;"",分析!AD281,"")</f>
        <v/>
      </c>
      <c r="X281" s="158" t="str">
        <f>IF(分析!AE281&lt;&gt;"",分析!AE281,"")</f>
        <v/>
      </c>
      <c r="Y281" s="159" t="str">
        <f>IF(分析!T281&lt;&gt;"",分析!T281,"")</f>
        <v/>
      </c>
      <c r="Z281" s="145" t="str">
        <f>IF(分析!Y281&lt;&gt;"",分析!Y281,"")</f>
        <v/>
      </c>
    </row>
    <row r="282" spans="1:26" ht="21.9" customHeight="1">
      <c r="A282" s="131" t="str">
        <f>IF(分析!C282&lt;&gt;"",ROW()-2,"")</f>
        <v/>
      </c>
      <c r="B282" s="132" t="str">
        <f>IF(分析!C282&lt;&gt;"",HYPERLINK("https://kabutan.jp/stock/?code="&amp;分析!C282,"株探"),"")</f>
        <v/>
      </c>
      <c r="C282" s="133" t="str">
        <f>IF(分析!C282&lt;&gt;"",分析!C282,"")</f>
        <v/>
      </c>
      <c r="D282" s="134" t="str">
        <f>IF(分析!D282&lt;&gt;"",分析!D282,"")</f>
        <v/>
      </c>
      <c r="E282" s="135" t="str">
        <f>IF(分析!E282&lt;&gt;"",分析!E282,"")</f>
        <v/>
      </c>
      <c r="F282" s="136" t="str">
        <f>IF(分析!F282&lt;&gt;"",分析!F282,"")</f>
        <v/>
      </c>
      <c r="G282" s="136" t="str">
        <f>IF(分析!H282&lt;&gt;"",分析!H282,"")</f>
        <v/>
      </c>
      <c r="H282" s="136" t="str">
        <f>IF(分析!I282&lt;&gt;"",分析!I282,"")</f>
        <v/>
      </c>
      <c r="I282" s="136" t="str">
        <f>IF(分析!J282&lt;&gt;"",分析!J282,"")</f>
        <v/>
      </c>
      <c r="J282" s="136" t="str">
        <f>IF(分析!AB282&lt;&gt;"",分析!AB282,"")</f>
        <v/>
      </c>
      <c r="K282" s="136" t="str">
        <f>IF(分析!AC282&lt;&gt;"",分析!AC282,"")</f>
        <v/>
      </c>
      <c r="L282" s="136" t="str">
        <f>IF(分析!K282&lt;&gt;"",分析!K282,"")</f>
        <v/>
      </c>
      <c r="M282" s="131" t="str">
        <f>IF(分析!P282&lt;&gt;"",分析!P282,"")</f>
        <v/>
      </c>
      <c r="N282" s="137" t="str">
        <f>IF(分析!O282&lt;&gt;"",分析!O282,"")</f>
        <v/>
      </c>
      <c r="O282" s="138" t="str">
        <f>IF(分析!X282&lt;&gt;"",分析!X282,"")</f>
        <v/>
      </c>
      <c r="P282" s="139" t="str">
        <f>IF(分析!L282&lt;&gt;"",分析!L282,"")</f>
        <v/>
      </c>
      <c r="Q282" s="136" t="str">
        <f>IF(分析!S282&lt;&gt;"",分析!S282,"")</f>
        <v/>
      </c>
      <c r="R282" s="136" t="str">
        <f>IF(分析!R282&lt;&gt;"",分析!R282,"")</f>
        <v/>
      </c>
      <c r="S282" s="131" t="str">
        <f>IF(分析!AA282&lt;&gt;"",分析!AA282,"")</f>
        <v/>
      </c>
      <c r="T282" s="140" t="str">
        <f>IF(分析!Z282&lt;&gt;"",分析!Z282,"")</f>
        <v/>
      </c>
      <c r="U282" s="131" t="str">
        <f>IF(分析!V282&lt;&gt;"",分析!V282,"")</f>
        <v/>
      </c>
      <c r="V282" s="141" t="str">
        <f>IF(分析!W282&lt;&gt;"",分析!W282,"")</f>
        <v/>
      </c>
      <c r="W282" s="142" t="str">
        <f>IF(分析!AD282&lt;&gt;"",分析!AD282,"")</f>
        <v/>
      </c>
      <c r="X282" s="143" t="str">
        <f>IF(分析!AE282&lt;&gt;"",分析!AE282,"")</f>
        <v/>
      </c>
      <c r="Y282" s="144" t="str">
        <f>IF(分析!T282&lt;&gt;"",分析!T282,"")</f>
        <v/>
      </c>
      <c r="Z282" s="145" t="str">
        <f>IF(分析!Y282&lt;&gt;"",分析!Y282,"")</f>
        <v/>
      </c>
    </row>
    <row r="283" spans="1:26" ht="21.9" customHeight="1">
      <c r="A283" s="146" t="str">
        <f>IF(分析!C283&lt;&gt;"",ROW()-2,"")</f>
        <v/>
      </c>
      <c r="B283" s="147" t="str">
        <f>IF(分析!C283&lt;&gt;"",HYPERLINK("https://kabutan.jp/stock/?code="&amp;分析!C283,"株探"),"")</f>
        <v/>
      </c>
      <c r="C283" s="148" t="str">
        <f>IF(分析!C283&lt;&gt;"",分析!C283,"")</f>
        <v/>
      </c>
      <c r="D283" s="149" t="str">
        <f>IF(分析!D283&lt;&gt;"",分析!D283,"")</f>
        <v/>
      </c>
      <c r="E283" s="150" t="str">
        <f>IF(分析!E283&lt;&gt;"",分析!E283,"")</f>
        <v/>
      </c>
      <c r="F283" s="151" t="str">
        <f>IF(分析!F283&lt;&gt;"",分析!F283,"")</f>
        <v/>
      </c>
      <c r="G283" s="151" t="str">
        <f>IF(分析!H283&lt;&gt;"",分析!H283,"")</f>
        <v/>
      </c>
      <c r="H283" s="151" t="str">
        <f>IF(分析!I283&lt;&gt;"",分析!I283,"")</f>
        <v/>
      </c>
      <c r="I283" s="151" t="str">
        <f>IF(分析!J283&lt;&gt;"",分析!J283,"")</f>
        <v/>
      </c>
      <c r="J283" s="151" t="str">
        <f>IF(分析!AB283&lt;&gt;"",分析!AB283,"")</f>
        <v/>
      </c>
      <c r="K283" s="151" t="str">
        <f>IF(分析!AC283&lt;&gt;"",分析!AC283,"")</f>
        <v/>
      </c>
      <c r="L283" s="151" t="str">
        <f>IF(分析!K283&lt;&gt;"",分析!K283,"")</f>
        <v/>
      </c>
      <c r="M283" s="146" t="str">
        <f>IF(分析!P283&lt;&gt;"",分析!P283,"")</f>
        <v/>
      </c>
      <c r="N283" s="152" t="str">
        <f>IF(分析!O283&lt;&gt;"",分析!O283,"")</f>
        <v/>
      </c>
      <c r="O283" s="153" t="str">
        <f>IF(分析!X283&lt;&gt;"",分析!X283,"")</f>
        <v/>
      </c>
      <c r="P283" s="154" t="str">
        <f>IF(分析!L283&lt;&gt;"",分析!L283,"")</f>
        <v/>
      </c>
      <c r="Q283" s="151" t="str">
        <f>IF(分析!S283&lt;&gt;"",分析!S283,"")</f>
        <v/>
      </c>
      <c r="R283" s="151" t="str">
        <f>IF(分析!R283&lt;&gt;"",分析!R283,"")</f>
        <v/>
      </c>
      <c r="S283" s="146" t="str">
        <f>IF(分析!AA283&lt;&gt;"",分析!AA283,"")</f>
        <v/>
      </c>
      <c r="T283" s="155" t="str">
        <f>IF(分析!Z283&lt;&gt;"",分析!Z283,"")</f>
        <v/>
      </c>
      <c r="U283" s="146" t="str">
        <f>IF(分析!V283&lt;&gt;"",分析!V283,"")</f>
        <v/>
      </c>
      <c r="V283" s="156" t="str">
        <f>IF(分析!W283&lt;&gt;"",分析!W283,"")</f>
        <v/>
      </c>
      <c r="W283" s="157" t="str">
        <f>IF(分析!AD283&lt;&gt;"",分析!AD283,"")</f>
        <v/>
      </c>
      <c r="X283" s="158" t="str">
        <f>IF(分析!AE283&lt;&gt;"",分析!AE283,"")</f>
        <v/>
      </c>
      <c r="Y283" s="159" t="str">
        <f>IF(分析!T283&lt;&gt;"",分析!T283,"")</f>
        <v/>
      </c>
      <c r="Z283" s="145" t="str">
        <f>IF(分析!Y283&lt;&gt;"",分析!Y283,"")</f>
        <v/>
      </c>
    </row>
    <row r="284" spans="1:26" ht="21.9" customHeight="1">
      <c r="A284" s="131" t="str">
        <f>IF(分析!C284&lt;&gt;"",ROW()-2,"")</f>
        <v/>
      </c>
      <c r="B284" s="132" t="str">
        <f>IF(分析!C284&lt;&gt;"",HYPERLINK("https://kabutan.jp/stock/?code="&amp;分析!C284,"株探"),"")</f>
        <v/>
      </c>
      <c r="C284" s="133" t="str">
        <f>IF(分析!C284&lt;&gt;"",分析!C284,"")</f>
        <v/>
      </c>
      <c r="D284" s="134" t="str">
        <f>IF(分析!D284&lt;&gt;"",分析!D284,"")</f>
        <v/>
      </c>
      <c r="E284" s="135" t="str">
        <f>IF(分析!E284&lt;&gt;"",分析!E284,"")</f>
        <v/>
      </c>
      <c r="F284" s="136" t="str">
        <f>IF(分析!F284&lt;&gt;"",分析!F284,"")</f>
        <v/>
      </c>
      <c r="G284" s="136" t="str">
        <f>IF(分析!H284&lt;&gt;"",分析!H284,"")</f>
        <v/>
      </c>
      <c r="H284" s="136" t="str">
        <f>IF(分析!I284&lt;&gt;"",分析!I284,"")</f>
        <v/>
      </c>
      <c r="I284" s="136" t="str">
        <f>IF(分析!J284&lt;&gt;"",分析!J284,"")</f>
        <v/>
      </c>
      <c r="J284" s="136" t="str">
        <f>IF(分析!AB284&lt;&gt;"",分析!AB284,"")</f>
        <v/>
      </c>
      <c r="K284" s="136" t="str">
        <f>IF(分析!AC284&lt;&gt;"",分析!AC284,"")</f>
        <v/>
      </c>
      <c r="L284" s="136" t="str">
        <f>IF(分析!K284&lt;&gt;"",分析!K284,"")</f>
        <v/>
      </c>
      <c r="M284" s="131" t="str">
        <f>IF(分析!P284&lt;&gt;"",分析!P284,"")</f>
        <v/>
      </c>
      <c r="N284" s="137" t="str">
        <f>IF(分析!O284&lt;&gt;"",分析!O284,"")</f>
        <v/>
      </c>
      <c r="O284" s="138" t="str">
        <f>IF(分析!X284&lt;&gt;"",分析!X284,"")</f>
        <v/>
      </c>
      <c r="P284" s="139" t="str">
        <f>IF(分析!L284&lt;&gt;"",分析!L284,"")</f>
        <v/>
      </c>
      <c r="Q284" s="136" t="str">
        <f>IF(分析!S284&lt;&gt;"",分析!S284,"")</f>
        <v/>
      </c>
      <c r="R284" s="136" t="str">
        <f>IF(分析!R284&lt;&gt;"",分析!R284,"")</f>
        <v/>
      </c>
      <c r="S284" s="131" t="str">
        <f>IF(分析!AA284&lt;&gt;"",分析!AA284,"")</f>
        <v/>
      </c>
      <c r="T284" s="140" t="str">
        <f>IF(分析!Z284&lt;&gt;"",分析!Z284,"")</f>
        <v/>
      </c>
      <c r="U284" s="131" t="str">
        <f>IF(分析!V284&lt;&gt;"",分析!V284,"")</f>
        <v/>
      </c>
      <c r="V284" s="141" t="str">
        <f>IF(分析!W284&lt;&gt;"",分析!W284,"")</f>
        <v/>
      </c>
      <c r="W284" s="142" t="str">
        <f>IF(分析!AD284&lt;&gt;"",分析!AD284,"")</f>
        <v/>
      </c>
      <c r="X284" s="143" t="str">
        <f>IF(分析!AE284&lt;&gt;"",分析!AE284,"")</f>
        <v/>
      </c>
      <c r="Y284" s="144" t="str">
        <f>IF(分析!T284&lt;&gt;"",分析!T284,"")</f>
        <v/>
      </c>
      <c r="Z284" s="145" t="str">
        <f>IF(分析!Y284&lt;&gt;"",分析!Y284,"")</f>
        <v/>
      </c>
    </row>
    <row r="285" spans="1:26" ht="21.9" customHeight="1">
      <c r="A285" s="146" t="str">
        <f>IF(分析!C285&lt;&gt;"",ROW()-2,"")</f>
        <v/>
      </c>
      <c r="B285" s="147" t="str">
        <f>IF(分析!C285&lt;&gt;"",HYPERLINK("https://kabutan.jp/stock/?code="&amp;分析!C285,"株探"),"")</f>
        <v/>
      </c>
      <c r="C285" s="148" t="str">
        <f>IF(分析!C285&lt;&gt;"",分析!C285,"")</f>
        <v/>
      </c>
      <c r="D285" s="149" t="str">
        <f>IF(分析!D285&lt;&gt;"",分析!D285,"")</f>
        <v/>
      </c>
      <c r="E285" s="150" t="str">
        <f>IF(分析!E285&lt;&gt;"",分析!E285,"")</f>
        <v/>
      </c>
      <c r="F285" s="151" t="str">
        <f>IF(分析!F285&lt;&gt;"",分析!F285,"")</f>
        <v/>
      </c>
      <c r="G285" s="151" t="str">
        <f>IF(分析!H285&lt;&gt;"",分析!H285,"")</f>
        <v/>
      </c>
      <c r="H285" s="151" t="str">
        <f>IF(分析!I285&lt;&gt;"",分析!I285,"")</f>
        <v/>
      </c>
      <c r="I285" s="151" t="str">
        <f>IF(分析!J285&lt;&gt;"",分析!J285,"")</f>
        <v/>
      </c>
      <c r="J285" s="151" t="str">
        <f>IF(分析!AB285&lt;&gt;"",分析!AB285,"")</f>
        <v/>
      </c>
      <c r="K285" s="151" t="str">
        <f>IF(分析!AC285&lt;&gt;"",分析!AC285,"")</f>
        <v/>
      </c>
      <c r="L285" s="151" t="str">
        <f>IF(分析!K285&lt;&gt;"",分析!K285,"")</f>
        <v/>
      </c>
      <c r="M285" s="146" t="str">
        <f>IF(分析!P285&lt;&gt;"",分析!P285,"")</f>
        <v/>
      </c>
      <c r="N285" s="152" t="str">
        <f>IF(分析!O285&lt;&gt;"",分析!O285,"")</f>
        <v/>
      </c>
      <c r="O285" s="153" t="str">
        <f>IF(分析!X285&lt;&gt;"",分析!X285,"")</f>
        <v/>
      </c>
      <c r="P285" s="154" t="str">
        <f>IF(分析!L285&lt;&gt;"",分析!L285,"")</f>
        <v/>
      </c>
      <c r="Q285" s="151" t="str">
        <f>IF(分析!S285&lt;&gt;"",分析!S285,"")</f>
        <v/>
      </c>
      <c r="R285" s="151" t="str">
        <f>IF(分析!R285&lt;&gt;"",分析!R285,"")</f>
        <v/>
      </c>
      <c r="S285" s="146" t="str">
        <f>IF(分析!AA285&lt;&gt;"",分析!AA285,"")</f>
        <v/>
      </c>
      <c r="T285" s="155" t="str">
        <f>IF(分析!Z285&lt;&gt;"",分析!Z285,"")</f>
        <v/>
      </c>
      <c r="U285" s="146" t="str">
        <f>IF(分析!V285&lt;&gt;"",分析!V285,"")</f>
        <v/>
      </c>
      <c r="V285" s="156" t="str">
        <f>IF(分析!W285&lt;&gt;"",分析!W285,"")</f>
        <v/>
      </c>
      <c r="W285" s="157" t="str">
        <f>IF(分析!AD285&lt;&gt;"",分析!AD285,"")</f>
        <v/>
      </c>
      <c r="X285" s="158" t="str">
        <f>IF(分析!AE285&lt;&gt;"",分析!AE285,"")</f>
        <v/>
      </c>
      <c r="Y285" s="159" t="str">
        <f>IF(分析!T285&lt;&gt;"",分析!T285,"")</f>
        <v/>
      </c>
      <c r="Z285" s="145" t="str">
        <f>IF(分析!Y285&lt;&gt;"",分析!Y285,"")</f>
        <v/>
      </c>
    </row>
    <row r="286" spans="1:26" ht="21.9" customHeight="1">
      <c r="A286" s="131" t="str">
        <f>IF(分析!C286&lt;&gt;"",ROW()-2,"")</f>
        <v/>
      </c>
      <c r="B286" s="132" t="str">
        <f>IF(分析!C286&lt;&gt;"",HYPERLINK("https://kabutan.jp/stock/?code="&amp;分析!C286,"株探"),"")</f>
        <v/>
      </c>
      <c r="C286" s="133" t="str">
        <f>IF(分析!C286&lt;&gt;"",分析!C286,"")</f>
        <v/>
      </c>
      <c r="D286" s="134" t="str">
        <f>IF(分析!D286&lt;&gt;"",分析!D286,"")</f>
        <v/>
      </c>
      <c r="E286" s="135" t="str">
        <f>IF(分析!E286&lt;&gt;"",分析!E286,"")</f>
        <v/>
      </c>
      <c r="F286" s="136" t="str">
        <f>IF(分析!F286&lt;&gt;"",分析!F286,"")</f>
        <v/>
      </c>
      <c r="G286" s="136" t="str">
        <f>IF(分析!H286&lt;&gt;"",分析!H286,"")</f>
        <v/>
      </c>
      <c r="H286" s="136" t="str">
        <f>IF(分析!I286&lt;&gt;"",分析!I286,"")</f>
        <v/>
      </c>
      <c r="I286" s="136" t="str">
        <f>IF(分析!J286&lt;&gt;"",分析!J286,"")</f>
        <v/>
      </c>
      <c r="J286" s="136" t="str">
        <f>IF(分析!AB286&lt;&gt;"",分析!AB286,"")</f>
        <v/>
      </c>
      <c r="K286" s="136" t="str">
        <f>IF(分析!AC286&lt;&gt;"",分析!AC286,"")</f>
        <v/>
      </c>
      <c r="L286" s="136" t="str">
        <f>IF(分析!K286&lt;&gt;"",分析!K286,"")</f>
        <v/>
      </c>
      <c r="M286" s="131" t="str">
        <f>IF(分析!P286&lt;&gt;"",分析!P286,"")</f>
        <v/>
      </c>
      <c r="N286" s="137" t="str">
        <f>IF(分析!O286&lt;&gt;"",分析!O286,"")</f>
        <v/>
      </c>
      <c r="O286" s="138" t="str">
        <f>IF(分析!X286&lt;&gt;"",分析!X286,"")</f>
        <v/>
      </c>
      <c r="P286" s="139" t="str">
        <f>IF(分析!L286&lt;&gt;"",分析!L286,"")</f>
        <v/>
      </c>
      <c r="Q286" s="136" t="str">
        <f>IF(分析!S286&lt;&gt;"",分析!S286,"")</f>
        <v/>
      </c>
      <c r="R286" s="136" t="str">
        <f>IF(分析!R286&lt;&gt;"",分析!R286,"")</f>
        <v/>
      </c>
      <c r="S286" s="131" t="str">
        <f>IF(分析!AA286&lt;&gt;"",分析!AA286,"")</f>
        <v/>
      </c>
      <c r="T286" s="140" t="str">
        <f>IF(分析!Z286&lt;&gt;"",分析!Z286,"")</f>
        <v/>
      </c>
      <c r="U286" s="131" t="str">
        <f>IF(分析!V286&lt;&gt;"",分析!V286,"")</f>
        <v/>
      </c>
      <c r="V286" s="141" t="str">
        <f>IF(分析!W286&lt;&gt;"",分析!W286,"")</f>
        <v/>
      </c>
      <c r="W286" s="142" t="str">
        <f>IF(分析!AD286&lt;&gt;"",分析!AD286,"")</f>
        <v/>
      </c>
      <c r="X286" s="143" t="str">
        <f>IF(分析!AE286&lt;&gt;"",分析!AE286,"")</f>
        <v/>
      </c>
      <c r="Y286" s="144" t="str">
        <f>IF(分析!T286&lt;&gt;"",分析!T286,"")</f>
        <v/>
      </c>
      <c r="Z286" s="145" t="str">
        <f>IF(分析!Y286&lt;&gt;"",分析!Y286,"")</f>
        <v/>
      </c>
    </row>
    <row r="287" spans="1:26" ht="21.9" customHeight="1">
      <c r="A287" s="146" t="str">
        <f>IF(分析!C287&lt;&gt;"",ROW()-2,"")</f>
        <v/>
      </c>
      <c r="B287" s="147" t="str">
        <f>IF(分析!C287&lt;&gt;"",HYPERLINK("https://kabutan.jp/stock/?code="&amp;分析!C287,"株探"),"")</f>
        <v/>
      </c>
      <c r="C287" s="148" t="str">
        <f>IF(分析!C287&lt;&gt;"",分析!C287,"")</f>
        <v/>
      </c>
      <c r="D287" s="149" t="str">
        <f>IF(分析!D287&lt;&gt;"",分析!D287,"")</f>
        <v/>
      </c>
      <c r="E287" s="150" t="str">
        <f>IF(分析!E287&lt;&gt;"",分析!E287,"")</f>
        <v/>
      </c>
      <c r="F287" s="151" t="str">
        <f>IF(分析!F287&lt;&gt;"",分析!F287,"")</f>
        <v/>
      </c>
      <c r="G287" s="151" t="str">
        <f>IF(分析!H287&lt;&gt;"",分析!H287,"")</f>
        <v/>
      </c>
      <c r="H287" s="151" t="str">
        <f>IF(分析!I287&lt;&gt;"",分析!I287,"")</f>
        <v/>
      </c>
      <c r="I287" s="151" t="str">
        <f>IF(分析!J287&lt;&gt;"",分析!J287,"")</f>
        <v/>
      </c>
      <c r="J287" s="151" t="str">
        <f>IF(分析!AB287&lt;&gt;"",分析!AB287,"")</f>
        <v/>
      </c>
      <c r="K287" s="151" t="str">
        <f>IF(分析!AC287&lt;&gt;"",分析!AC287,"")</f>
        <v/>
      </c>
      <c r="L287" s="151" t="str">
        <f>IF(分析!K287&lt;&gt;"",分析!K287,"")</f>
        <v/>
      </c>
      <c r="M287" s="146" t="str">
        <f>IF(分析!P287&lt;&gt;"",分析!P287,"")</f>
        <v/>
      </c>
      <c r="N287" s="152" t="str">
        <f>IF(分析!O287&lt;&gt;"",分析!O287,"")</f>
        <v/>
      </c>
      <c r="O287" s="153" t="str">
        <f>IF(分析!X287&lt;&gt;"",分析!X287,"")</f>
        <v/>
      </c>
      <c r="P287" s="154" t="str">
        <f>IF(分析!L287&lt;&gt;"",分析!L287,"")</f>
        <v/>
      </c>
      <c r="Q287" s="151" t="str">
        <f>IF(分析!S287&lt;&gt;"",分析!S287,"")</f>
        <v/>
      </c>
      <c r="R287" s="151" t="str">
        <f>IF(分析!R287&lt;&gt;"",分析!R287,"")</f>
        <v/>
      </c>
      <c r="S287" s="146" t="str">
        <f>IF(分析!AA287&lt;&gt;"",分析!AA287,"")</f>
        <v/>
      </c>
      <c r="T287" s="155" t="str">
        <f>IF(分析!Z287&lt;&gt;"",分析!Z287,"")</f>
        <v/>
      </c>
      <c r="U287" s="146" t="str">
        <f>IF(分析!V287&lt;&gt;"",分析!V287,"")</f>
        <v/>
      </c>
      <c r="V287" s="156" t="str">
        <f>IF(分析!W287&lt;&gt;"",分析!W287,"")</f>
        <v/>
      </c>
      <c r="W287" s="157" t="str">
        <f>IF(分析!AD287&lt;&gt;"",分析!AD287,"")</f>
        <v/>
      </c>
      <c r="X287" s="158" t="str">
        <f>IF(分析!AE287&lt;&gt;"",分析!AE287,"")</f>
        <v/>
      </c>
      <c r="Y287" s="159" t="str">
        <f>IF(分析!T287&lt;&gt;"",分析!T287,"")</f>
        <v/>
      </c>
      <c r="Z287" s="145" t="str">
        <f>IF(分析!Y287&lt;&gt;"",分析!Y287,"")</f>
        <v/>
      </c>
    </row>
    <row r="288" spans="1:26" ht="21.9" customHeight="1">
      <c r="A288" s="131" t="str">
        <f>IF(分析!C288&lt;&gt;"",ROW()-2,"")</f>
        <v/>
      </c>
      <c r="B288" s="132" t="str">
        <f>IF(分析!C288&lt;&gt;"",HYPERLINK("https://kabutan.jp/stock/?code="&amp;分析!C288,"株探"),"")</f>
        <v/>
      </c>
      <c r="C288" s="133" t="str">
        <f>IF(分析!C288&lt;&gt;"",分析!C288,"")</f>
        <v/>
      </c>
      <c r="D288" s="134" t="str">
        <f>IF(分析!D288&lt;&gt;"",分析!D288,"")</f>
        <v/>
      </c>
      <c r="E288" s="135" t="str">
        <f>IF(分析!E288&lt;&gt;"",分析!E288,"")</f>
        <v/>
      </c>
      <c r="F288" s="136" t="str">
        <f>IF(分析!F288&lt;&gt;"",分析!F288,"")</f>
        <v/>
      </c>
      <c r="G288" s="136" t="str">
        <f>IF(分析!H288&lt;&gt;"",分析!H288,"")</f>
        <v/>
      </c>
      <c r="H288" s="136" t="str">
        <f>IF(分析!I288&lt;&gt;"",分析!I288,"")</f>
        <v/>
      </c>
      <c r="I288" s="136" t="str">
        <f>IF(分析!J288&lt;&gt;"",分析!J288,"")</f>
        <v/>
      </c>
      <c r="J288" s="136" t="str">
        <f>IF(分析!AB288&lt;&gt;"",分析!AB288,"")</f>
        <v/>
      </c>
      <c r="K288" s="136" t="str">
        <f>IF(分析!AC288&lt;&gt;"",分析!AC288,"")</f>
        <v/>
      </c>
      <c r="L288" s="136" t="str">
        <f>IF(分析!K288&lt;&gt;"",分析!K288,"")</f>
        <v/>
      </c>
      <c r="M288" s="131" t="str">
        <f>IF(分析!P288&lt;&gt;"",分析!P288,"")</f>
        <v/>
      </c>
      <c r="N288" s="137" t="str">
        <f>IF(分析!O288&lt;&gt;"",分析!O288,"")</f>
        <v/>
      </c>
      <c r="O288" s="138" t="str">
        <f>IF(分析!X288&lt;&gt;"",分析!X288,"")</f>
        <v/>
      </c>
      <c r="P288" s="139" t="str">
        <f>IF(分析!L288&lt;&gt;"",分析!L288,"")</f>
        <v/>
      </c>
      <c r="Q288" s="136" t="str">
        <f>IF(分析!S288&lt;&gt;"",分析!S288,"")</f>
        <v/>
      </c>
      <c r="R288" s="136" t="str">
        <f>IF(分析!R288&lt;&gt;"",分析!R288,"")</f>
        <v/>
      </c>
      <c r="S288" s="131" t="str">
        <f>IF(分析!AA288&lt;&gt;"",分析!AA288,"")</f>
        <v/>
      </c>
      <c r="T288" s="140" t="str">
        <f>IF(分析!Z288&lt;&gt;"",分析!Z288,"")</f>
        <v/>
      </c>
      <c r="U288" s="131" t="str">
        <f>IF(分析!V288&lt;&gt;"",分析!V288,"")</f>
        <v/>
      </c>
      <c r="V288" s="141" t="str">
        <f>IF(分析!W288&lt;&gt;"",分析!W288,"")</f>
        <v/>
      </c>
      <c r="W288" s="142" t="str">
        <f>IF(分析!AD288&lt;&gt;"",分析!AD288,"")</f>
        <v/>
      </c>
      <c r="X288" s="143" t="str">
        <f>IF(分析!AE288&lt;&gt;"",分析!AE288,"")</f>
        <v/>
      </c>
      <c r="Y288" s="144" t="str">
        <f>IF(分析!T288&lt;&gt;"",分析!T288,"")</f>
        <v/>
      </c>
      <c r="Z288" s="145" t="str">
        <f>IF(分析!Y288&lt;&gt;"",分析!Y288,"")</f>
        <v/>
      </c>
    </row>
    <row r="289" spans="1:26" ht="21.9" customHeight="1">
      <c r="A289" s="146" t="str">
        <f>IF(分析!C289&lt;&gt;"",ROW()-2,"")</f>
        <v/>
      </c>
      <c r="B289" s="147" t="str">
        <f>IF(分析!C289&lt;&gt;"",HYPERLINK("https://kabutan.jp/stock/?code="&amp;分析!C289,"株探"),"")</f>
        <v/>
      </c>
      <c r="C289" s="148" t="str">
        <f>IF(分析!C289&lt;&gt;"",分析!C289,"")</f>
        <v/>
      </c>
      <c r="D289" s="149" t="str">
        <f>IF(分析!D289&lt;&gt;"",分析!D289,"")</f>
        <v/>
      </c>
      <c r="E289" s="150" t="str">
        <f>IF(分析!E289&lt;&gt;"",分析!E289,"")</f>
        <v/>
      </c>
      <c r="F289" s="151" t="str">
        <f>IF(分析!F289&lt;&gt;"",分析!F289,"")</f>
        <v/>
      </c>
      <c r="G289" s="151" t="str">
        <f>IF(分析!H289&lt;&gt;"",分析!H289,"")</f>
        <v/>
      </c>
      <c r="H289" s="151" t="str">
        <f>IF(分析!I289&lt;&gt;"",分析!I289,"")</f>
        <v/>
      </c>
      <c r="I289" s="151" t="str">
        <f>IF(分析!J289&lt;&gt;"",分析!J289,"")</f>
        <v/>
      </c>
      <c r="J289" s="151" t="str">
        <f>IF(分析!AB289&lt;&gt;"",分析!AB289,"")</f>
        <v/>
      </c>
      <c r="K289" s="151" t="str">
        <f>IF(分析!AC289&lt;&gt;"",分析!AC289,"")</f>
        <v/>
      </c>
      <c r="L289" s="151" t="str">
        <f>IF(分析!K289&lt;&gt;"",分析!K289,"")</f>
        <v/>
      </c>
      <c r="M289" s="146" t="str">
        <f>IF(分析!P289&lt;&gt;"",分析!P289,"")</f>
        <v/>
      </c>
      <c r="N289" s="152" t="str">
        <f>IF(分析!O289&lt;&gt;"",分析!O289,"")</f>
        <v/>
      </c>
      <c r="O289" s="153" t="str">
        <f>IF(分析!X289&lt;&gt;"",分析!X289,"")</f>
        <v/>
      </c>
      <c r="P289" s="154" t="str">
        <f>IF(分析!L289&lt;&gt;"",分析!L289,"")</f>
        <v/>
      </c>
      <c r="Q289" s="151" t="str">
        <f>IF(分析!S289&lt;&gt;"",分析!S289,"")</f>
        <v/>
      </c>
      <c r="R289" s="151" t="str">
        <f>IF(分析!R289&lt;&gt;"",分析!R289,"")</f>
        <v/>
      </c>
      <c r="S289" s="146" t="str">
        <f>IF(分析!AA289&lt;&gt;"",分析!AA289,"")</f>
        <v/>
      </c>
      <c r="T289" s="155" t="str">
        <f>IF(分析!Z289&lt;&gt;"",分析!Z289,"")</f>
        <v/>
      </c>
      <c r="U289" s="146" t="str">
        <f>IF(分析!V289&lt;&gt;"",分析!V289,"")</f>
        <v/>
      </c>
      <c r="V289" s="156" t="str">
        <f>IF(分析!W289&lt;&gt;"",分析!W289,"")</f>
        <v/>
      </c>
      <c r="W289" s="157" t="str">
        <f>IF(分析!AD289&lt;&gt;"",分析!AD289,"")</f>
        <v/>
      </c>
      <c r="X289" s="158" t="str">
        <f>IF(分析!AE289&lt;&gt;"",分析!AE289,"")</f>
        <v/>
      </c>
      <c r="Y289" s="159" t="str">
        <f>IF(分析!T289&lt;&gt;"",分析!T289,"")</f>
        <v/>
      </c>
      <c r="Z289" s="145" t="str">
        <f>IF(分析!Y289&lt;&gt;"",分析!Y289,"")</f>
        <v/>
      </c>
    </row>
    <row r="290" spans="1:26" ht="21.9" customHeight="1">
      <c r="A290" s="131" t="str">
        <f>IF(分析!C290&lt;&gt;"",ROW()-2,"")</f>
        <v/>
      </c>
      <c r="B290" s="132" t="str">
        <f>IF(分析!C290&lt;&gt;"",HYPERLINK("https://kabutan.jp/stock/?code="&amp;分析!C290,"株探"),"")</f>
        <v/>
      </c>
      <c r="C290" s="133" t="str">
        <f>IF(分析!C290&lt;&gt;"",分析!C290,"")</f>
        <v/>
      </c>
      <c r="D290" s="134" t="str">
        <f>IF(分析!D290&lt;&gt;"",分析!D290,"")</f>
        <v/>
      </c>
      <c r="E290" s="135" t="str">
        <f>IF(分析!E290&lt;&gt;"",分析!E290,"")</f>
        <v/>
      </c>
      <c r="F290" s="136" t="str">
        <f>IF(分析!F290&lt;&gt;"",分析!F290,"")</f>
        <v/>
      </c>
      <c r="G290" s="136" t="str">
        <f>IF(分析!H290&lt;&gt;"",分析!H290,"")</f>
        <v/>
      </c>
      <c r="H290" s="136" t="str">
        <f>IF(分析!I290&lt;&gt;"",分析!I290,"")</f>
        <v/>
      </c>
      <c r="I290" s="136" t="str">
        <f>IF(分析!J290&lt;&gt;"",分析!J290,"")</f>
        <v/>
      </c>
      <c r="J290" s="136" t="str">
        <f>IF(分析!AB290&lt;&gt;"",分析!AB290,"")</f>
        <v/>
      </c>
      <c r="K290" s="136" t="str">
        <f>IF(分析!AC290&lt;&gt;"",分析!AC290,"")</f>
        <v/>
      </c>
      <c r="L290" s="136" t="str">
        <f>IF(分析!K290&lt;&gt;"",分析!K290,"")</f>
        <v/>
      </c>
      <c r="M290" s="131" t="str">
        <f>IF(分析!P290&lt;&gt;"",分析!P290,"")</f>
        <v/>
      </c>
      <c r="N290" s="137" t="str">
        <f>IF(分析!O290&lt;&gt;"",分析!O290,"")</f>
        <v/>
      </c>
      <c r="O290" s="138" t="str">
        <f>IF(分析!X290&lt;&gt;"",分析!X290,"")</f>
        <v/>
      </c>
      <c r="P290" s="139" t="str">
        <f>IF(分析!L290&lt;&gt;"",分析!L290,"")</f>
        <v/>
      </c>
      <c r="Q290" s="136" t="str">
        <f>IF(分析!S290&lt;&gt;"",分析!S290,"")</f>
        <v/>
      </c>
      <c r="R290" s="136" t="str">
        <f>IF(分析!R290&lt;&gt;"",分析!R290,"")</f>
        <v/>
      </c>
      <c r="S290" s="131" t="str">
        <f>IF(分析!AA290&lt;&gt;"",分析!AA290,"")</f>
        <v/>
      </c>
      <c r="T290" s="140" t="str">
        <f>IF(分析!Z290&lt;&gt;"",分析!Z290,"")</f>
        <v/>
      </c>
      <c r="U290" s="131" t="str">
        <f>IF(分析!V290&lt;&gt;"",分析!V290,"")</f>
        <v/>
      </c>
      <c r="V290" s="141" t="str">
        <f>IF(分析!W290&lt;&gt;"",分析!W290,"")</f>
        <v/>
      </c>
      <c r="W290" s="142" t="str">
        <f>IF(分析!AD290&lt;&gt;"",分析!AD290,"")</f>
        <v/>
      </c>
      <c r="X290" s="143" t="str">
        <f>IF(分析!AE290&lt;&gt;"",分析!AE290,"")</f>
        <v/>
      </c>
      <c r="Y290" s="144" t="str">
        <f>IF(分析!T290&lt;&gt;"",分析!T290,"")</f>
        <v/>
      </c>
      <c r="Z290" s="145" t="str">
        <f>IF(分析!Y290&lt;&gt;"",分析!Y290,"")</f>
        <v/>
      </c>
    </row>
    <row r="291" spans="1:26" ht="21.9" customHeight="1">
      <c r="A291" s="146" t="str">
        <f>IF(分析!C291&lt;&gt;"",ROW()-2,"")</f>
        <v/>
      </c>
      <c r="B291" s="147" t="str">
        <f>IF(分析!C291&lt;&gt;"",HYPERLINK("https://kabutan.jp/stock/?code="&amp;分析!C291,"株探"),"")</f>
        <v/>
      </c>
      <c r="C291" s="148" t="str">
        <f>IF(分析!C291&lt;&gt;"",分析!C291,"")</f>
        <v/>
      </c>
      <c r="D291" s="149" t="str">
        <f>IF(分析!D291&lt;&gt;"",分析!D291,"")</f>
        <v/>
      </c>
      <c r="E291" s="150" t="str">
        <f>IF(分析!E291&lt;&gt;"",分析!E291,"")</f>
        <v/>
      </c>
      <c r="F291" s="151" t="str">
        <f>IF(分析!F291&lt;&gt;"",分析!F291,"")</f>
        <v/>
      </c>
      <c r="G291" s="151" t="str">
        <f>IF(分析!H291&lt;&gt;"",分析!H291,"")</f>
        <v/>
      </c>
      <c r="H291" s="151" t="str">
        <f>IF(分析!I291&lt;&gt;"",分析!I291,"")</f>
        <v/>
      </c>
      <c r="I291" s="151" t="str">
        <f>IF(分析!J291&lt;&gt;"",分析!J291,"")</f>
        <v/>
      </c>
      <c r="J291" s="151" t="str">
        <f>IF(分析!AB291&lt;&gt;"",分析!AB291,"")</f>
        <v/>
      </c>
      <c r="K291" s="151" t="str">
        <f>IF(分析!AC291&lt;&gt;"",分析!AC291,"")</f>
        <v/>
      </c>
      <c r="L291" s="151" t="str">
        <f>IF(分析!K291&lt;&gt;"",分析!K291,"")</f>
        <v/>
      </c>
      <c r="M291" s="146" t="str">
        <f>IF(分析!P291&lt;&gt;"",分析!P291,"")</f>
        <v/>
      </c>
      <c r="N291" s="152" t="str">
        <f>IF(分析!O291&lt;&gt;"",分析!O291,"")</f>
        <v/>
      </c>
      <c r="O291" s="153" t="str">
        <f>IF(分析!X291&lt;&gt;"",分析!X291,"")</f>
        <v/>
      </c>
      <c r="P291" s="154" t="str">
        <f>IF(分析!L291&lt;&gt;"",分析!L291,"")</f>
        <v/>
      </c>
      <c r="Q291" s="151" t="str">
        <f>IF(分析!S291&lt;&gt;"",分析!S291,"")</f>
        <v/>
      </c>
      <c r="R291" s="151" t="str">
        <f>IF(分析!R291&lt;&gt;"",分析!R291,"")</f>
        <v/>
      </c>
      <c r="S291" s="146" t="str">
        <f>IF(分析!AA291&lt;&gt;"",分析!AA291,"")</f>
        <v/>
      </c>
      <c r="T291" s="155" t="str">
        <f>IF(分析!Z291&lt;&gt;"",分析!Z291,"")</f>
        <v/>
      </c>
      <c r="U291" s="146" t="str">
        <f>IF(分析!V291&lt;&gt;"",分析!V291,"")</f>
        <v/>
      </c>
      <c r="V291" s="156" t="str">
        <f>IF(分析!W291&lt;&gt;"",分析!W291,"")</f>
        <v/>
      </c>
      <c r="W291" s="157" t="str">
        <f>IF(分析!AD291&lt;&gt;"",分析!AD291,"")</f>
        <v/>
      </c>
      <c r="X291" s="158" t="str">
        <f>IF(分析!AE291&lt;&gt;"",分析!AE291,"")</f>
        <v/>
      </c>
      <c r="Y291" s="159" t="str">
        <f>IF(分析!T291&lt;&gt;"",分析!T291,"")</f>
        <v/>
      </c>
      <c r="Z291" s="145" t="str">
        <f>IF(分析!Y291&lt;&gt;"",分析!Y291,"")</f>
        <v/>
      </c>
    </row>
    <row r="292" spans="1:26" ht="21.9" customHeight="1">
      <c r="A292" s="131" t="str">
        <f>IF(分析!C292&lt;&gt;"",ROW()-2,"")</f>
        <v/>
      </c>
      <c r="B292" s="132" t="str">
        <f>IF(分析!C292&lt;&gt;"",HYPERLINK("https://kabutan.jp/stock/?code="&amp;分析!C292,"株探"),"")</f>
        <v/>
      </c>
      <c r="C292" s="133" t="str">
        <f>IF(分析!C292&lt;&gt;"",分析!C292,"")</f>
        <v/>
      </c>
      <c r="D292" s="134" t="str">
        <f>IF(分析!D292&lt;&gt;"",分析!D292,"")</f>
        <v/>
      </c>
      <c r="E292" s="135" t="str">
        <f>IF(分析!E292&lt;&gt;"",分析!E292,"")</f>
        <v/>
      </c>
      <c r="F292" s="136" t="str">
        <f>IF(分析!F292&lt;&gt;"",分析!F292,"")</f>
        <v/>
      </c>
      <c r="G292" s="136" t="str">
        <f>IF(分析!H292&lt;&gt;"",分析!H292,"")</f>
        <v/>
      </c>
      <c r="H292" s="136" t="str">
        <f>IF(分析!I292&lt;&gt;"",分析!I292,"")</f>
        <v/>
      </c>
      <c r="I292" s="136" t="str">
        <f>IF(分析!J292&lt;&gt;"",分析!J292,"")</f>
        <v/>
      </c>
      <c r="J292" s="136" t="str">
        <f>IF(分析!AB292&lt;&gt;"",分析!AB292,"")</f>
        <v/>
      </c>
      <c r="K292" s="136" t="str">
        <f>IF(分析!AC292&lt;&gt;"",分析!AC292,"")</f>
        <v/>
      </c>
      <c r="L292" s="136" t="str">
        <f>IF(分析!K292&lt;&gt;"",分析!K292,"")</f>
        <v/>
      </c>
      <c r="M292" s="131" t="str">
        <f>IF(分析!P292&lt;&gt;"",分析!P292,"")</f>
        <v/>
      </c>
      <c r="N292" s="137" t="str">
        <f>IF(分析!O292&lt;&gt;"",分析!O292,"")</f>
        <v/>
      </c>
      <c r="O292" s="138" t="str">
        <f>IF(分析!X292&lt;&gt;"",分析!X292,"")</f>
        <v/>
      </c>
      <c r="P292" s="139" t="str">
        <f>IF(分析!L292&lt;&gt;"",分析!L292,"")</f>
        <v/>
      </c>
      <c r="Q292" s="136" t="str">
        <f>IF(分析!S292&lt;&gt;"",分析!S292,"")</f>
        <v/>
      </c>
      <c r="R292" s="136" t="str">
        <f>IF(分析!R292&lt;&gt;"",分析!R292,"")</f>
        <v/>
      </c>
      <c r="S292" s="131" t="str">
        <f>IF(分析!AA292&lt;&gt;"",分析!AA292,"")</f>
        <v/>
      </c>
      <c r="T292" s="140" t="str">
        <f>IF(分析!Z292&lt;&gt;"",分析!Z292,"")</f>
        <v/>
      </c>
      <c r="U292" s="131" t="str">
        <f>IF(分析!V292&lt;&gt;"",分析!V292,"")</f>
        <v/>
      </c>
      <c r="V292" s="141" t="str">
        <f>IF(分析!W292&lt;&gt;"",分析!W292,"")</f>
        <v/>
      </c>
      <c r="W292" s="142" t="str">
        <f>IF(分析!AD292&lt;&gt;"",分析!AD292,"")</f>
        <v/>
      </c>
      <c r="X292" s="143" t="str">
        <f>IF(分析!AE292&lt;&gt;"",分析!AE292,"")</f>
        <v/>
      </c>
      <c r="Y292" s="144" t="str">
        <f>IF(分析!T292&lt;&gt;"",分析!T292,"")</f>
        <v/>
      </c>
      <c r="Z292" s="145" t="str">
        <f>IF(分析!Y292&lt;&gt;"",分析!Y292,"")</f>
        <v/>
      </c>
    </row>
    <row r="293" spans="1:26" ht="21.9" customHeight="1">
      <c r="A293" s="146" t="str">
        <f>IF(分析!C293&lt;&gt;"",ROW()-2,"")</f>
        <v/>
      </c>
      <c r="B293" s="147" t="str">
        <f>IF(分析!C293&lt;&gt;"",HYPERLINK("https://kabutan.jp/stock/?code="&amp;分析!C293,"株探"),"")</f>
        <v/>
      </c>
      <c r="C293" s="148" t="str">
        <f>IF(分析!C293&lt;&gt;"",分析!C293,"")</f>
        <v/>
      </c>
      <c r="D293" s="149" t="str">
        <f>IF(分析!D293&lt;&gt;"",分析!D293,"")</f>
        <v/>
      </c>
      <c r="E293" s="150" t="str">
        <f>IF(分析!E293&lt;&gt;"",分析!E293,"")</f>
        <v/>
      </c>
      <c r="F293" s="151" t="str">
        <f>IF(分析!F293&lt;&gt;"",分析!F293,"")</f>
        <v/>
      </c>
      <c r="G293" s="151" t="str">
        <f>IF(分析!H293&lt;&gt;"",分析!H293,"")</f>
        <v/>
      </c>
      <c r="H293" s="151" t="str">
        <f>IF(分析!I293&lt;&gt;"",分析!I293,"")</f>
        <v/>
      </c>
      <c r="I293" s="151" t="str">
        <f>IF(分析!J293&lt;&gt;"",分析!J293,"")</f>
        <v/>
      </c>
      <c r="J293" s="151" t="str">
        <f>IF(分析!AB293&lt;&gt;"",分析!AB293,"")</f>
        <v/>
      </c>
      <c r="K293" s="151" t="str">
        <f>IF(分析!AC293&lt;&gt;"",分析!AC293,"")</f>
        <v/>
      </c>
      <c r="L293" s="151" t="str">
        <f>IF(分析!K293&lt;&gt;"",分析!K293,"")</f>
        <v/>
      </c>
      <c r="M293" s="146" t="str">
        <f>IF(分析!P293&lt;&gt;"",分析!P293,"")</f>
        <v/>
      </c>
      <c r="N293" s="152" t="str">
        <f>IF(分析!O293&lt;&gt;"",分析!O293,"")</f>
        <v/>
      </c>
      <c r="O293" s="153" t="str">
        <f>IF(分析!X293&lt;&gt;"",分析!X293,"")</f>
        <v/>
      </c>
      <c r="P293" s="154" t="str">
        <f>IF(分析!L293&lt;&gt;"",分析!L293,"")</f>
        <v/>
      </c>
      <c r="Q293" s="151" t="str">
        <f>IF(分析!S293&lt;&gt;"",分析!S293,"")</f>
        <v/>
      </c>
      <c r="R293" s="151" t="str">
        <f>IF(分析!R293&lt;&gt;"",分析!R293,"")</f>
        <v/>
      </c>
      <c r="S293" s="146" t="str">
        <f>IF(分析!AA293&lt;&gt;"",分析!AA293,"")</f>
        <v/>
      </c>
      <c r="T293" s="155" t="str">
        <f>IF(分析!Z293&lt;&gt;"",分析!Z293,"")</f>
        <v/>
      </c>
      <c r="U293" s="146" t="str">
        <f>IF(分析!V293&lt;&gt;"",分析!V293,"")</f>
        <v/>
      </c>
      <c r="V293" s="156" t="str">
        <f>IF(分析!W293&lt;&gt;"",分析!W293,"")</f>
        <v/>
      </c>
      <c r="W293" s="157" t="str">
        <f>IF(分析!AD293&lt;&gt;"",分析!AD293,"")</f>
        <v/>
      </c>
      <c r="X293" s="158" t="str">
        <f>IF(分析!AE293&lt;&gt;"",分析!AE293,"")</f>
        <v/>
      </c>
      <c r="Y293" s="159" t="str">
        <f>IF(分析!T293&lt;&gt;"",分析!T293,"")</f>
        <v/>
      </c>
      <c r="Z293" s="145" t="str">
        <f>IF(分析!Y293&lt;&gt;"",分析!Y293,"")</f>
        <v/>
      </c>
    </row>
    <row r="294" spans="1:26" ht="21.9" customHeight="1">
      <c r="A294" s="131" t="str">
        <f>IF(分析!C294&lt;&gt;"",ROW()-2,"")</f>
        <v/>
      </c>
      <c r="B294" s="132" t="str">
        <f>IF(分析!C294&lt;&gt;"",HYPERLINK("https://kabutan.jp/stock/?code="&amp;分析!C294,"株探"),"")</f>
        <v/>
      </c>
      <c r="C294" s="133" t="str">
        <f>IF(分析!C294&lt;&gt;"",分析!C294,"")</f>
        <v/>
      </c>
      <c r="D294" s="134" t="str">
        <f>IF(分析!D294&lt;&gt;"",分析!D294,"")</f>
        <v/>
      </c>
      <c r="E294" s="135" t="str">
        <f>IF(分析!E294&lt;&gt;"",分析!E294,"")</f>
        <v/>
      </c>
      <c r="F294" s="136" t="str">
        <f>IF(分析!F294&lt;&gt;"",分析!F294,"")</f>
        <v/>
      </c>
      <c r="G294" s="136" t="str">
        <f>IF(分析!H294&lt;&gt;"",分析!H294,"")</f>
        <v/>
      </c>
      <c r="H294" s="136" t="str">
        <f>IF(分析!I294&lt;&gt;"",分析!I294,"")</f>
        <v/>
      </c>
      <c r="I294" s="136" t="str">
        <f>IF(分析!J294&lt;&gt;"",分析!J294,"")</f>
        <v/>
      </c>
      <c r="J294" s="136" t="str">
        <f>IF(分析!AB294&lt;&gt;"",分析!AB294,"")</f>
        <v/>
      </c>
      <c r="K294" s="136" t="str">
        <f>IF(分析!AC294&lt;&gt;"",分析!AC294,"")</f>
        <v/>
      </c>
      <c r="L294" s="136" t="str">
        <f>IF(分析!K294&lt;&gt;"",分析!K294,"")</f>
        <v/>
      </c>
      <c r="M294" s="131" t="str">
        <f>IF(分析!P294&lt;&gt;"",分析!P294,"")</f>
        <v/>
      </c>
      <c r="N294" s="137" t="str">
        <f>IF(分析!O294&lt;&gt;"",分析!O294,"")</f>
        <v/>
      </c>
      <c r="O294" s="138" t="str">
        <f>IF(分析!X294&lt;&gt;"",分析!X294,"")</f>
        <v/>
      </c>
      <c r="P294" s="139" t="str">
        <f>IF(分析!L294&lt;&gt;"",分析!L294,"")</f>
        <v/>
      </c>
      <c r="Q294" s="136" t="str">
        <f>IF(分析!S294&lt;&gt;"",分析!S294,"")</f>
        <v/>
      </c>
      <c r="R294" s="136" t="str">
        <f>IF(分析!R294&lt;&gt;"",分析!R294,"")</f>
        <v/>
      </c>
      <c r="S294" s="131" t="str">
        <f>IF(分析!AA294&lt;&gt;"",分析!AA294,"")</f>
        <v/>
      </c>
      <c r="T294" s="140" t="str">
        <f>IF(分析!Z294&lt;&gt;"",分析!Z294,"")</f>
        <v/>
      </c>
      <c r="U294" s="131" t="str">
        <f>IF(分析!V294&lt;&gt;"",分析!V294,"")</f>
        <v/>
      </c>
      <c r="V294" s="141" t="str">
        <f>IF(分析!W294&lt;&gt;"",分析!W294,"")</f>
        <v/>
      </c>
      <c r="W294" s="142" t="str">
        <f>IF(分析!AD294&lt;&gt;"",分析!AD294,"")</f>
        <v/>
      </c>
      <c r="X294" s="143" t="str">
        <f>IF(分析!AE294&lt;&gt;"",分析!AE294,"")</f>
        <v/>
      </c>
      <c r="Y294" s="144" t="str">
        <f>IF(分析!T294&lt;&gt;"",分析!T294,"")</f>
        <v/>
      </c>
      <c r="Z294" s="145" t="str">
        <f>IF(分析!Y294&lt;&gt;"",分析!Y294,"")</f>
        <v/>
      </c>
    </row>
    <row r="295" spans="1:26" ht="21.9" customHeight="1">
      <c r="A295" s="146" t="str">
        <f>IF(分析!C295&lt;&gt;"",ROW()-2,"")</f>
        <v/>
      </c>
      <c r="B295" s="147" t="str">
        <f>IF(分析!C295&lt;&gt;"",HYPERLINK("https://kabutan.jp/stock/?code="&amp;分析!C295,"株探"),"")</f>
        <v/>
      </c>
      <c r="C295" s="148" t="str">
        <f>IF(分析!C295&lt;&gt;"",分析!C295,"")</f>
        <v/>
      </c>
      <c r="D295" s="149" t="str">
        <f>IF(分析!D295&lt;&gt;"",分析!D295,"")</f>
        <v/>
      </c>
      <c r="E295" s="150" t="str">
        <f>IF(分析!E295&lt;&gt;"",分析!E295,"")</f>
        <v/>
      </c>
      <c r="F295" s="151" t="str">
        <f>IF(分析!F295&lt;&gt;"",分析!F295,"")</f>
        <v/>
      </c>
      <c r="G295" s="151" t="str">
        <f>IF(分析!H295&lt;&gt;"",分析!H295,"")</f>
        <v/>
      </c>
      <c r="H295" s="151" t="str">
        <f>IF(分析!I295&lt;&gt;"",分析!I295,"")</f>
        <v/>
      </c>
      <c r="I295" s="151" t="str">
        <f>IF(分析!J295&lt;&gt;"",分析!J295,"")</f>
        <v/>
      </c>
      <c r="J295" s="151" t="str">
        <f>IF(分析!AB295&lt;&gt;"",分析!AB295,"")</f>
        <v/>
      </c>
      <c r="K295" s="151" t="str">
        <f>IF(分析!AC295&lt;&gt;"",分析!AC295,"")</f>
        <v/>
      </c>
      <c r="L295" s="151" t="str">
        <f>IF(分析!K295&lt;&gt;"",分析!K295,"")</f>
        <v/>
      </c>
      <c r="M295" s="146" t="str">
        <f>IF(分析!P295&lt;&gt;"",分析!P295,"")</f>
        <v/>
      </c>
      <c r="N295" s="152" t="str">
        <f>IF(分析!O295&lt;&gt;"",分析!O295,"")</f>
        <v/>
      </c>
      <c r="O295" s="153" t="str">
        <f>IF(分析!X295&lt;&gt;"",分析!X295,"")</f>
        <v/>
      </c>
      <c r="P295" s="154" t="str">
        <f>IF(分析!L295&lt;&gt;"",分析!L295,"")</f>
        <v/>
      </c>
      <c r="Q295" s="151" t="str">
        <f>IF(分析!S295&lt;&gt;"",分析!S295,"")</f>
        <v/>
      </c>
      <c r="R295" s="151" t="str">
        <f>IF(分析!R295&lt;&gt;"",分析!R295,"")</f>
        <v/>
      </c>
      <c r="S295" s="146" t="str">
        <f>IF(分析!AA295&lt;&gt;"",分析!AA295,"")</f>
        <v/>
      </c>
      <c r="T295" s="155" t="str">
        <f>IF(分析!Z295&lt;&gt;"",分析!Z295,"")</f>
        <v/>
      </c>
      <c r="U295" s="146" t="str">
        <f>IF(分析!V295&lt;&gt;"",分析!V295,"")</f>
        <v/>
      </c>
      <c r="V295" s="156" t="str">
        <f>IF(分析!W295&lt;&gt;"",分析!W295,"")</f>
        <v/>
      </c>
      <c r="W295" s="157" t="str">
        <f>IF(分析!AD295&lt;&gt;"",分析!AD295,"")</f>
        <v/>
      </c>
      <c r="X295" s="158" t="str">
        <f>IF(分析!AE295&lt;&gt;"",分析!AE295,"")</f>
        <v/>
      </c>
      <c r="Y295" s="159" t="str">
        <f>IF(分析!T295&lt;&gt;"",分析!T295,"")</f>
        <v/>
      </c>
      <c r="Z295" s="145" t="str">
        <f>IF(分析!Y295&lt;&gt;"",分析!Y295,"")</f>
        <v/>
      </c>
    </row>
    <row r="296" spans="1:26" ht="21.9" customHeight="1">
      <c r="A296" s="131" t="str">
        <f>IF(分析!C296&lt;&gt;"",ROW()-2,"")</f>
        <v/>
      </c>
      <c r="B296" s="132" t="str">
        <f>IF(分析!C296&lt;&gt;"",HYPERLINK("https://kabutan.jp/stock/?code="&amp;分析!C296,"株探"),"")</f>
        <v/>
      </c>
      <c r="C296" s="133" t="str">
        <f>IF(分析!C296&lt;&gt;"",分析!C296,"")</f>
        <v/>
      </c>
      <c r="D296" s="134" t="str">
        <f>IF(分析!D296&lt;&gt;"",分析!D296,"")</f>
        <v/>
      </c>
      <c r="E296" s="135" t="str">
        <f>IF(分析!E296&lt;&gt;"",分析!E296,"")</f>
        <v/>
      </c>
      <c r="F296" s="136" t="str">
        <f>IF(分析!F296&lt;&gt;"",分析!F296,"")</f>
        <v/>
      </c>
      <c r="G296" s="136" t="str">
        <f>IF(分析!H296&lt;&gt;"",分析!H296,"")</f>
        <v/>
      </c>
      <c r="H296" s="136" t="str">
        <f>IF(分析!I296&lt;&gt;"",分析!I296,"")</f>
        <v/>
      </c>
      <c r="I296" s="136" t="str">
        <f>IF(分析!J296&lt;&gt;"",分析!J296,"")</f>
        <v/>
      </c>
      <c r="J296" s="136" t="str">
        <f>IF(分析!AB296&lt;&gt;"",分析!AB296,"")</f>
        <v/>
      </c>
      <c r="K296" s="136" t="str">
        <f>IF(分析!AC296&lt;&gt;"",分析!AC296,"")</f>
        <v/>
      </c>
      <c r="L296" s="136" t="str">
        <f>IF(分析!K296&lt;&gt;"",分析!K296,"")</f>
        <v/>
      </c>
      <c r="M296" s="131" t="str">
        <f>IF(分析!P296&lt;&gt;"",分析!P296,"")</f>
        <v/>
      </c>
      <c r="N296" s="137" t="str">
        <f>IF(分析!O296&lt;&gt;"",分析!O296,"")</f>
        <v/>
      </c>
      <c r="O296" s="138" t="str">
        <f>IF(分析!X296&lt;&gt;"",分析!X296,"")</f>
        <v/>
      </c>
      <c r="P296" s="139" t="str">
        <f>IF(分析!L296&lt;&gt;"",分析!L296,"")</f>
        <v/>
      </c>
      <c r="Q296" s="136" t="str">
        <f>IF(分析!S296&lt;&gt;"",分析!S296,"")</f>
        <v/>
      </c>
      <c r="R296" s="136" t="str">
        <f>IF(分析!R296&lt;&gt;"",分析!R296,"")</f>
        <v/>
      </c>
      <c r="S296" s="131" t="str">
        <f>IF(分析!AA296&lt;&gt;"",分析!AA296,"")</f>
        <v/>
      </c>
      <c r="T296" s="140" t="str">
        <f>IF(分析!Z296&lt;&gt;"",分析!Z296,"")</f>
        <v/>
      </c>
      <c r="U296" s="131" t="str">
        <f>IF(分析!V296&lt;&gt;"",分析!V296,"")</f>
        <v/>
      </c>
      <c r="V296" s="141" t="str">
        <f>IF(分析!W296&lt;&gt;"",分析!W296,"")</f>
        <v/>
      </c>
      <c r="W296" s="142" t="str">
        <f>IF(分析!AD296&lt;&gt;"",分析!AD296,"")</f>
        <v/>
      </c>
      <c r="X296" s="143" t="str">
        <f>IF(分析!AE296&lt;&gt;"",分析!AE296,"")</f>
        <v/>
      </c>
      <c r="Y296" s="144" t="str">
        <f>IF(分析!T296&lt;&gt;"",分析!T296,"")</f>
        <v/>
      </c>
      <c r="Z296" s="145" t="str">
        <f>IF(分析!Y296&lt;&gt;"",分析!Y296,"")</f>
        <v/>
      </c>
    </row>
    <row r="297" spans="1:26" ht="21.9" customHeight="1">
      <c r="A297" s="146" t="str">
        <f>IF(分析!C297&lt;&gt;"",ROW()-2,"")</f>
        <v/>
      </c>
      <c r="B297" s="147" t="str">
        <f>IF(分析!C297&lt;&gt;"",HYPERLINK("https://kabutan.jp/stock/?code="&amp;分析!C297,"株探"),"")</f>
        <v/>
      </c>
      <c r="C297" s="148" t="str">
        <f>IF(分析!C297&lt;&gt;"",分析!C297,"")</f>
        <v/>
      </c>
      <c r="D297" s="149" t="str">
        <f>IF(分析!D297&lt;&gt;"",分析!D297,"")</f>
        <v/>
      </c>
      <c r="E297" s="150" t="str">
        <f>IF(分析!E297&lt;&gt;"",分析!E297,"")</f>
        <v/>
      </c>
      <c r="F297" s="151" t="str">
        <f>IF(分析!F297&lt;&gt;"",分析!F297,"")</f>
        <v/>
      </c>
      <c r="G297" s="151" t="str">
        <f>IF(分析!H297&lt;&gt;"",分析!H297,"")</f>
        <v/>
      </c>
      <c r="H297" s="151" t="str">
        <f>IF(分析!I297&lt;&gt;"",分析!I297,"")</f>
        <v/>
      </c>
      <c r="I297" s="151" t="str">
        <f>IF(分析!J297&lt;&gt;"",分析!J297,"")</f>
        <v/>
      </c>
      <c r="J297" s="151" t="str">
        <f>IF(分析!AB297&lt;&gt;"",分析!AB297,"")</f>
        <v/>
      </c>
      <c r="K297" s="151" t="str">
        <f>IF(分析!AC297&lt;&gt;"",分析!AC297,"")</f>
        <v/>
      </c>
      <c r="L297" s="151" t="str">
        <f>IF(分析!K297&lt;&gt;"",分析!K297,"")</f>
        <v/>
      </c>
      <c r="M297" s="146" t="str">
        <f>IF(分析!P297&lt;&gt;"",分析!P297,"")</f>
        <v/>
      </c>
      <c r="N297" s="152" t="str">
        <f>IF(分析!O297&lt;&gt;"",分析!O297,"")</f>
        <v/>
      </c>
      <c r="O297" s="153" t="str">
        <f>IF(分析!X297&lt;&gt;"",分析!X297,"")</f>
        <v/>
      </c>
      <c r="P297" s="154" t="str">
        <f>IF(分析!L297&lt;&gt;"",分析!L297,"")</f>
        <v/>
      </c>
      <c r="Q297" s="151" t="str">
        <f>IF(分析!S297&lt;&gt;"",分析!S297,"")</f>
        <v/>
      </c>
      <c r="R297" s="151" t="str">
        <f>IF(分析!R297&lt;&gt;"",分析!R297,"")</f>
        <v/>
      </c>
      <c r="S297" s="146" t="str">
        <f>IF(分析!AA297&lt;&gt;"",分析!AA297,"")</f>
        <v/>
      </c>
      <c r="T297" s="155" t="str">
        <f>IF(分析!Z297&lt;&gt;"",分析!Z297,"")</f>
        <v/>
      </c>
      <c r="U297" s="146" t="str">
        <f>IF(分析!V297&lt;&gt;"",分析!V297,"")</f>
        <v/>
      </c>
      <c r="V297" s="156" t="str">
        <f>IF(分析!W297&lt;&gt;"",分析!W297,"")</f>
        <v/>
      </c>
      <c r="W297" s="157" t="str">
        <f>IF(分析!AD297&lt;&gt;"",分析!AD297,"")</f>
        <v/>
      </c>
      <c r="X297" s="158" t="str">
        <f>IF(分析!AE297&lt;&gt;"",分析!AE297,"")</f>
        <v/>
      </c>
      <c r="Y297" s="159" t="str">
        <f>IF(分析!T297&lt;&gt;"",分析!T297,"")</f>
        <v/>
      </c>
      <c r="Z297" s="145" t="str">
        <f>IF(分析!Y297&lt;&gt;"",分析!Y297,"")</f>
        <v/>
      </c>
    </row>
    <row r="298" spans="1:26" ht="21.9" customHeight="1">
      <c r="A298" s="131" t="str">
        <f>IF(分析!C298&lt;&gt;"",ROW()-2,"")</f>
        <v/>
      </c>
      <c r="B298" s="132" t="str">
        <f>IF(分析!C298&lt;&gt;"",HYPERLINK("https://kabutan.jp/stock/?code="&amp;分析!C298,"株探"),"")</f>
        <v/>
      </c>
      <c r="C298" s="133" t="str">
        <f>IF(分析!C298&lt;&gt;"",分析!C298,"")</f>
        <v/>
      </c>
      <c r="D298" s="134" t="str">
        <f>IF(分析!D298&lt;&gt;"",分析!D298,"")</f>
        <v/>
      </c>
      <c r="E298" s="135" t="str">
        <f>IF(分析!E298&lt;&gt;"",分析!E298,"")</f>
        <v/>
      </c>
      <c r="F298" s="136" t="str">
        <f>IF(分析!F298&lt;&gt;"",分析!F298,"")</f>
        <v/>
      </c>
      <c r="G298" s="136" t="str">
        <f>IF(分析!H298&lt;&gt;"",分析!H298,"")</f>
        <v/>
      </c>
      <c r="H298" s="136" t="str">
        <f>IF(分析!I298&lt;&gt;"",分析!I298,"")</f>
        <v/>
      </c>
      <c r="I298" s="136" t="str">
        <f>IF(分析!J298&lt;&gt;"",分析!J298,"")</f>
        <v/>
      </c>
      <c r="J298" s="136" t="str">
        <f>IF(分析!AB298&lt;&gt;"",分析!AB298,"")</f>
        <v/>
      </c>
      <c r="K298" s="136" t="str">
        <f>IF(分析!AC298&lt;&gt;"",分析!AC298,"")</f>
        <v/>
      </c>
      <c r="L298" s="136" t="str">
        <f>IF(分析!K298&lt;&gt;"",分析!K298,"")</f>
        <v/>
      </c>
      <c r="M298" s="131" t="str">
        <f>IF(分析!P298&lt;&gt;"",分析!P298,"")</f>
        <v/>
      </c>
      <c r="N298" s="137" t="str">
        <f>IF(分析!O298&lt;&gt;"",分析!O298,"")</f>
        <v/>
      </c>
      <c r="O298" s="138" t="str">
        <f>IF(分析!X298&lt;&gt;"",分析!X298,"")</f>
        <v/>
      </c>
      <c r="P298" s="139" t="str">
        <f>IF(分析!L298&lt;&gt;"",分析!L298,"")</f>
        <v/>
      </c>
      <c r="Q298" s="136" t="str">
        <f>IF(分析!S298&lt;&gt;"",分析!S298,"")</f>
        <v/>
      </c>
      <c r="R298" s="136" t="str">
        <f>IF(分析!R298&lt;&gt;"",分析!R298,"")</f>
        <v/>
      </c>
      <c r="S298" s="131" t="str">
        <f>IF(分析!AA298&lt;&gt;"",分析!AA298,"")</f>
        <v/>
      </c>
      <c r="T298" s="140" t="str">
        <f>IF(分析!Z298&lt;&gt;"",分析!Z298,"")</f>
        <v/>
      </c>
      <c r="U298" s="131" t="str">
        <f>IF(分析!V298&lt;&gt;"",分析!V298,"")</f>
        <v/>
      </c>
      <c r="V298" s="141" t="str">
        <f>IF(分析!W298&lt;&gt;"",分析!W298,"")</f>
        <v/>
      </c>
      <c r="W298" s="142" t="str">
        <f>IF(分析!AD298&lt;&gt;"",分析!AD298,"")</f>
        <v/>
      </c>
      <c r="X298" s="143" t="str">
        <f>IF(分析!AE298&lt;&gt;"",分析!AE298,"")</f>
        <v/>
      </c>
      <c r="Y298" s="144" t="str">
        <f>IF(分析!T298&lt;&gt;"",分析!T298,"")</f>
        <v/>
      </c>
      <c r="Z298" s="145" t="str">
        <f>IF(分析!Y298&lt;&gt;"",分析!Y298,"")</f>
        <v/>
      </c>
    </row>
    <row r="299" spans="1:26" ht="21.9" customHeight="1">
      <c r="A299" s="146" t="str">
        <f>IF(分析!C299&lt;&gt;"",ROW()-2,"")</f>
        <v/>
      </c>
      <c r="B299" s="147" t="str">
        <f>IF(分析!C299&lt;&gt;"",HYPERLINK("https://kabutan.jp/stock/?code="&amp;分析!C299,"株探"),"")</f>
        <v/>
      </c>
      <c r="C299" s="148" t="str">
        <f>IF(分析!C299&lt;&gt;"",分析!C299,"")</f>
        <v/>
      </c>
      <c r="D299" s="149" t="str">
        <f>IF(分析!D299&lt;&gt;"",分析!D299,"")</f>
        <v/>
      </c>
      <c r="E299" s="150" t="str">
        <f>IF(分析!E299&lt;&gt;"",分析!E299,"")</f>
        <v/>
      </c>
      <c r="F299" s="151" t="str">
        <f>IF(分析!F299&lt;&gt;"",分析!F299,"")</f>
        <v/>
      </c>
      <c r="G299" s="151" t="str">
        <f>IF(分析!H299&lt;&gt;"",分析!H299,"")</f>
        <v/>
      </c>
      <c r="H299" s="151" t="str">
        <f>IF(分析!I299&lt;&gt;"",分析!I299,"")</f>
        <v/>
      </c>
      <c r="I299" s="151" t="str">
        <f>IF(分析!J299&lt;&gt;"",分析!J299,"")</f>
        <v/>
      </c>
      <c r="J299" s="151" t="str">
        <f>IF(分析!AB299&lt;&gt;"",分析!AB299,"")</f>
        <v/>
      </c>
      <c r="K299" s="151" t="str">
        <f>IF(分析!AC299&lt;&gt;"",分析!AC299,"")</f>
        <v/>
      </c>
      <c r="L299" s="151" t="str">
        <f>IF(分析!K299&lt;&gt;"",分析!K299,"")</f>
        <v/>
      </c>
      <c r="M299" s="146" t="str">
        <f>IF(分析!P299&lt;&gt;"",分析!P299,"")</f>
        <v/>
      </c>
      <c r="N299" s="152" t="str">
        <f>IF(分析!O299&lt;&gt;"",分析!O299,"")</f>
        <v/>
      </c>
      <c r="O299" s="153" t="str">
        <f>IF(分析!X299&lt;&gt;"",分析!X299,"")</f>
        <v/>
      </c>
      <c r="P299" s="154" t="str">
        <f>IF(分析!L299&lt;&gt;"",分析!L299,"")</f>
        <v/>
      </c>
      <c r="Q299" s="151" t="str">
        <f>IF(分析!S299&lt;&gt;"",分析!S299,"")</f>
        <v/>
      </c>
      <c r="R299" s="151" t="str">
        <f>IF(分析!R299&lt;&gt;"",分析!R299,"")</f>
        <v/>
      </c>
      <c r="S299" s="146" t="str">
        <f>IF(分析!AA299&lt;&gt;"",分析!AA299,"")</f>
        <v/>
      </c>
      <c r="T299" s="155" t="str">
        <f>IF(分析!Z299&lt;&gt;"",分析!Z299,"")</f>
        <v/>
      </c>
      <c r="U299" s="146" t="str">
        <f>IF(分析!V299&lt;&gt;"",分析!V299,"")</f>
        <v/>
      </c>
      <c r="V299" s="156" t="str">
        <f>IF(分析!W299&lt;&gt;"",分析!W299,"")</f>
        <v/>
      </c>
      <c r="W299" s="157" t="str">
        <f>IF(分析!AD299&lt;&gt;"",分析!AD299,"")</f>
        <v/>
      </c>
      <c r="X299" s="158" t="str">
        <f>IF(分析!AE299&lt;&gt;"",分析!AE299,"")</f>
        <v/>
      </c>
      <c r="Y299" s="159" t="str">
        <f>IF(分析!T299&lt;&gt;"",分析!T299,"")</f>
        <v/>
      </c>
      <c r="Z299" s="145" t="str">
        <f>IF(分析!Y299&lt;&gt;"",分析!Y299,"")</f>
        <v/>
      </c>
    </row>
    <row r="300" spans="1:26" ht="21.9" customHeight="1">
      <c r="A300" s="131" t="str">
        <f>IF(分析!C300&lt;&gt;"",ROW()-2,"")</f>
        <v/>
      </c>
      <c r="B300" s="132" t="str">
        <f>IF(分析!C300&lt;&gt;"",HYPERLINK("https://kabutan.jp/stock/?code="&amp;分析!C300,"株探"),"")</f>
        <v/>
      </c>
      <c r="C300" s="133" t="str">
        <f>IF(分析!C300&lt;&gt;"",分析!C300,"")</f>
        <v/>
      </c>
      <c r="D300" s="134" t="str">
        <f>IF(分析!D300&lt;&gt;"",分析!D300,"")</f>
        <v/>
      </c>
      <c r="E300" s="135" t="str">
        <f>IF(分析!E300&lt;&gt;"",分析!E300,"")</f>
        <v/>
      </c>
      <c r="F300" s="136" t="str">
        <f>IF(分析!F300&lt;&gt;"",分析!F300,"")</f>
        <v/>
      </c>
      <c r="G300" s="136" t="str">
        <f>IF(分析!H300&lt;&gt;"",分析!H300,"")</f>
        <v/>
      </c>
      <c r="H300" s="136" t="str">
        <f>IF(分析!I300&lt;&gt;"",分析!I300,"")</f>
        <v/>
      </c>
      <c r="I300" s="136" t="str">
        <f>IF(分析!J300&lt;&gt;"",分析!J300,"")</f>
        <v/>
      </c>
      <c r="J300" s="136" t="str">
        <f>IF(分析!AB300&lt;&gt;"",分析!AB300,"")</f>
        <v/>
      </c>
      <c r="K300" s="136" t="str">
        <f>IF(分析!AC300&lt;&gt;"",分析!AC300,"")</f>
        <v/>
      </c>
      <c r="L300" s="136" t="str">
        <f>IF(分析!K300&lt;&gt;"",分析!K300,"")</f>
        <v/>
      </c>
      <c r="M300" s="131" t="str">
        <f>IF(分析!P300&lt;&gt;"",分析!P300,"")</f>
        <v/>
      </c>
      <c r="N300" s="137" t="str">
        <f>IF(分析!O300&lt;&gt;"",分析!O300,"")</f>
        <v/>
      </c>
      <c r="O300" s="138" t="str">
        <f>IF(分析!X300&lt;&gt;"",分析!X300,"")</f>
        <v/>
      </c>
      <c r="P300" s="139" t="str">
        <f>IF(分析!L300&lt;&gt;"",分析!L300,"")</f>
        <v/>
      </c>
      <c r="Q300" s="136" t="str">
        <f>IF(分析!S300&lt;&gt;"",分析!S300,"")</f>
        <v/>
      </c>
      <c r="R300" s="136" t="str">
        <f>IF(分析!R300&lt;&gt;"",分析!R300,"")</f>
        <v/>
      </c>
      <c r="S300" s="131" t="str">
        <f>IF(分析!AA300&lt;&gt;"",分析!AA300,"")</f>
        <v/>
      </c>
      <c r="T300" s="140" t="str">
        <f>IF(分析!Z300&lt;&gt;"",分析!Z300,"")</f>
        <v/>
      </c>
      <c r="U300" s="131" t="str">
        <f>IF(分析!V300&lt;&gt;"",分析!V300,"")</f>
        <v/>
      </c>
      <c r="V300" s="141" t="str">
        <f>IF(分析!W300&lt;&gt;"",分析!W300,"")</f>
        <v/>
      </c>
      <c r="W300" s="142" t="str">
        <f>IF(分析!AD300&lt;&gt;"",分析!AD300,"")</f>
        <v/>
      </c>
      <c r="X300" s="143" t="str">
        <f>IF(分析!AE300&lt;&gt;"",分析!AE300,"")</f>
        <v/>
      </c>
      <c r="Y300" s="144" t="str">
        <f>IF(分析!T300&lt;&gt;"",分析!T300,"")</f>
        <v/>
      </c>
      <c r="Z300" s="145" t="str">
        <f>IF(分析!Y300&lt;&gt;"",分析!Y300,"")</f>
        <v/>
      </c>
    </row>
    <row r="301" spans="1:26" ht="21.9" customHeight="1">
      <c r="A301" s="146" t="str">
        <f>IF(分析!C301&lt;&gt;"",ROW()-2,"")</f>
        <v/>
      </c>
      <c r="B301" s="147" t="str">
        <f>IF(分析!C301&lt;&gt;"",HYPERLINK("https://kabutan.jp/stock/?code="&amp;分析!C301,"株探"),"")</f>
        <v/>
      </c>
      <c r="C301" s="148" t="str">
        <f>IF(分析!C301&lt;&gt;"",分析!C301,"")</f>
        <v/>
      </c>
      <c r="D301" s="149" t="str">
        <f>IF(分析!D301&lt;&gt;"",分析!D301,"")</f>
        <v/>
      </c>
      <c r="E301" s="150" t="str">
        <f>IF(分析!E301&lt;&gt;"",分析!E301,"")</f>
        <v/>
      </c>
      <c r="F301" s="151" t="str">
        <f>IF(分析!F301&lt;&gt;"",分析!F301,"")</f>
        <v/>
      </c>
      <c r="G301" s="151" t="str">
        <f>IF(分析!H301&lt;&gt;"",分析!H301,"")</f>
        <v/>
      </c>
      <c r="H301" s="151" t="str">
        <f>IF(分析!I301&lt;&gt;"",分析!I301,"")</f>
        <v/>
      </c>
      <c r="I301" s="151" t="str">
        <f>IF(分析!J301&lt;&gt;"",分析!J301,"")</f>
        <v/>
      </c>
      <c r="J301" s="151" t="str">
        <f>IF(分析!AB301&lt;&gt;"",分析!AB301,"")</f>
        <v/>
      </c>
      <c r="K301" s="151" t="str">
        <f>IF(分析!AC301&lt;&gt;"",分析!AC301,"")</f>
        <v/>
      </c>
      <c r="L301" s="151" t="str">
        <f>IF(分析!K301&lt;&gt;"",分析!K301,"")</f>
        <v/>
      </c>
      <c r="M301" s="146" t="str">
        <f>IF(分析!P301&lt;&gt;"",分析!P301,"")</f>
        <v/>
      </c>
      <c r="N301" s="152" t="str">
        <f>IF(分析!O301&lt;&gt;"",分析!O301,"")</f>
        <v/>
      </c>
      <c r="O301" s="153" t="str">
        <f>IF(分析!X301&lt;&gt;"",分析!X301,"")</f>
        <v/>
      </c>
      <c r="P301" s="154" t="str">
        <f>IF(分析!L301&lt;&gt;"",分析!L301,"")</f>
        <v/>
      </c>
      <c r="Q301" s="151" t="str">
        <f>IF(分析!S301&lt;&gt;"",分析!S301,"")</f>
        <v/>
      </c>
      <c r="R301" s="151" t="str">
        <f>IF(分析!R301&lt;&gt;"",分析!R301,"")</f>
        <v/>
      </c>
      <c r="S301" s="146" t="str">
        <f>IF(分析!AA301&lt;&gt;"",分析!AA301,"")</f>
        <v/>
      </c>
      <c r="T301" s="155" t="str">
        <f>IF(分析!Z301&lt;&gt;"",分析!Z301,"")</f>
        <v/>
      </c>
      <c r="U301" s="146" t="str">
        <f>IF(分析!V301&lt;&gt;"",分析!V301,"")</f>
        <v/>
      </c>
      <c r="V301" s="156" t="str">
        <f>IF(分析!W301&lt;&gt;"",分析!W301,"")</f>
        <v/>
      </c>
      <c r="W301" s="157" t="str">
        <f>IF(分析!AD301&lt;&gt;"",分析!AD301,"")</f>
        <v/>
      </c>
      <c r="X301" s="158" t="str">
        <f>IF(分析!AE301&lt;&gt;"",分析!AE301,"")</f>
        <v/>
      </c>
      <c r="Y301" s="159" t="str">
        <f>IF(分析!T301&lt;&gt;"",分析!T301,"")</f>
        <v/>
      </c>
      <c r="Z301" s="145" t="str">
        <f>IF(分析!Y301&lt;&gt;"",分析!Y301,"")</f>
        <v/>
      </c>
    </row>
    <row r="302" spans="1:26" ht="21.9" customHeight="1">
      <c r="A302" s="131" t="str">
        <f>IF(分析!C302&lt;&gt;"",ROW()-2,"")</f>
        <v/>
      </c>
      <c r="B302" s="132" t="str">
        <f>IF(分析!C302&lt;&gt;"",HYPERLINK("https://kabutan.jp/stock/?code="&amp;分析!C302,"株探"),"")</f>
        <v/>
      </c>
      <c r="C302" s="133" t="str">
        <f>IF(分析!C302&lt;&gt;"",分析!C302,"")</f>
        <v/>
      </c>
      <c r="D302" s="134" t="str">
        <f>IF(分析!D302&lt;&gt;"",分析!D302,"")</f>
        <v/>
      </c>
      <c r="E302" s="135" t="str">
        <f>IF(分析!E302&lt;&gt;"",分析!E302,"")</f>
        <v/>
      </c>
      <c r="F302" s="136" t="str">
        <f>IF(分析!F302&lt;&gt;"",分析!F302,"")</f>
        <v/>
      </c>
      <c r="G302" s="136" t="str">
        <f>IF(分析!H302&lt;&gt;"",分析!H302,"")</f>
        <v/>
      </c>
      <c r="H302" s="136" t="str">
        <f>IF(分析!I302&lt;&gt;"",分析!I302,"")</f>
        <v/>
      </c>
      <c r="I302" s="136" t="str">
        <f>IF(分析!J302&lt;&gt;"",分析!J302,"")</f>
        <v/>
      </c>
      <c r="J302" s="136" t="str">
        <f>IF(分析!AB302&lt;&gt;"",分析!AB302,"")</f>
        <v/>
      </c>
      <c r="K302" s="136" t="str">
        <f>IF(分析!AC302&lt;&gt;"",分析!AC302,"")</f>
        <v/>
      </c>
      <c r="L302" s="136" t="str">
        <f>IF(分析!K302&lt;&gt;"",分析!K302,"")</f>
        <v/>
      </c>
      <c r="M302" s="131" t="str">
        <f>IF(分析!P302&lt;&gt;"",分析!P302,"")</f>
        <v/>
      </c>
      <c r="N302" s="137" t="str">
        <f>IF(分析!O302&lt;&gt;"",分析!O302,"")</f>
        <v/>
      </c>
      <c r="O302" s="138" t="str">
        <f>IF(分析!X302&lt;&gt;"",分析!X302,"")</f>
        <v/>
      </c>
      <c r="P302" s="139" t="str">
        <f>IF(分析!L302&lt;&gt;"",分析!L302,"")</f>
        <v/>
      </c>
      <c r="Q302" s="136" t="str">
        <f>IF(分析!S302&lt;&gt;"",分析!S302,"")</f>
        <v/>
      </c>
      <c r="R302" s="136" t="str">
        <f>IF(分析!R302&lt;&gt;"",分析!R302,"")</f>
        <v/>
      </c>
      <c r="S302" s="131" t="str">
        <f>IF(分析!AA302&lt;&gt;"",分析!AA302,"")</f>
        <v/>
      </c>
      <c r="T302" s="140" t="str">
        <f>IF(分析!Z302&lt;&gt;"",分析!Z302,"")</f>
        <v/>
      </c>
      <c r="U302" s="131" t="str">
        <f>IF(分析!V302&lt;&gt;"",分析!V302,"")</f>
        <v/>
      </c>
      <c r="V302" s="141" t="str">
        <f>IF(分析!W302&lt;&gt;"",分析!W302,"")</f>
        <v/>
      </c>
      <c r="W302" s="142" t="str">
        <f>IF(分析!AD302&lt;&gt;"",分析!AD302,"")</f>
        <v/>
      </c>
      <c r="X302" s="143" t="str">
        <f>IF(分析!AE302&lt;&gt;"",分析!AE302,"")</f>
        <v/>
      </c>
      <c r="Y302" s="144" t="str">
        <f>IF(分析!T302&lt;&gt;"",分析!T302,"")</f>
        <v/>
      </c>
      <c r="Z302" s="145" t="str">
        <f>IF(分析!Y302&lt;&gt;"",分析!Y302,"")</f>
        <v/>
      </c>
    </row>
    <row r="303" spans="1:26" ht="21.9" customHeight="1">
      <c r="A303" s="146" t="str">
        <f>IF(分析!C303&lt;&gt;"",ROW()-2,"")</f>
        <v/>
      </c>
      <c r="B303" s="147" t="str">
        <f>IF(分析!C303&lt;&gt;"",HYPERLINK("https://kabutan.jp/stock/?code="&amp;分析!C303,"株探"),"")</f>
        <v/>
      </c>
      <c r="C303" s="148" t="str">
        <f>IF(分析!C303&lt;&gt;"",分析!C303,"")</f>
        <v/>
      </c>
      <c r="D303" s="149" t="str">
        <f>IF(分析!D303&lt;&gt;"",分析!D303,"")</f>
        <v/>
      </c>
      <c r="E303" s="150" t="str">
        <f>IF(分析!E303&lt;&gt;"",分析!E303,"")</f>
        <v/>
      </c>
      <c r="F303" s="151" t="str">
        <f>IF(分析!F303&lt;&gt;"",分析!F303,"")</f>
        <v/>
      </c>
      <c r="G303" s="151" t="str">
        <f>IF(分析!H303&lt;&gt;"",分析!H303,"")</f>
        <v/>
      </c>
      <c r="H303" s="151" t="str">
        <f>IF(分析!I303&lt;&gt;"",分析!I303,"")</f>
        <v/>
      </c>
      <c r="I303" s="151" t="str">
        <f>IF(分析!J303&lt;&gt;"",分析!J303,"")</f>
        <v/>
      </c>
      <c r="J303" s="151" t="str">
        <f>IF(分析!AB303&lt;&gt;"",分析!AB303,"")</f>
        <v/>
      </c>
      <c r="K303" s="151" t="str">
        <f>IF(分析!AC303&lt;&gt;"",分析!AC303,"")</f>
        <v/>
      </c>
      <c r="L303" s="151" t="str">
        <f>IF(分析!K303&lt;&gt;"",分析!K303,"")</f>
        <v/>
      </c>
      <c r="M303" s="146" t="str">
        <f>IF(分析!P303&lt;&gt;"",分析!P303,"")</f>
        <v/>
      </c>
      <c r="N303" s="152" t="str">
        <f>IF(分析!O303&lt;&gt;"",分析!O303,"")</f>
        <v/>
      </c>
      <c r="O303" s="153" t="str">
        <f>IF(分析!X303&lt;&gt;"",分析!X303,"")</f>
        <v/>
      </c>
      <c r="P303" s="154" t="str">
        <f>IF(分析!L303&lt;&gt;"",分析!L303,"")</f>
        <v/>
      </c>
      <c r="Q303" s="151" t="str">
        <f>IF(分析!S303&lt;&gt;"",分析!S303,"")</f>
        <v/>
      </c>
      <c r="R303" s="151" t="str">
        <f>IF(分析!R303&lt;&gt;"",分析!R303,"")</f>
        <v/>
      </c>
      <c r="S303" s="146" t="str">
        <f>IF(分析!AA303&lt;&gt;"",分析!AA303,"")</f>
        <v/>
      </c>
      <c r="T303" s="155" t="str">
        <f>IF(分析!Z303&lt;&gt;"",分析!Z303,"")</f>
        <v/>
      </c>
      <c r="U303" s="146" t="str">
        <f>IF(分析!V303&lt;&gt;"",分析!V303,"")</f>
        <v/>
      </c>
      <c r="V303" s="156" t="str">
        <f>IF(分析!W303&lt;&gt;"",分析!W303,"")</f>
        <v/>
      </c>
      <c r="W303" s="157" t="str">
        <f>IF(分析!AD303&lt;&gt;"",分析!AD303,"")</f>
        <v/>
      </c>
      <c r="X303" s="158" t="str">
        <f>IF(分析!AE303&lt;&gt;"",分析!AE303,"")</f>
        <v/>
      </c>
      <c r="Y303" s="159" t="str">
        <f>IF(分析!T303&lt;&gt;"",分析!T303,"")</f>
        <v/>
      </c>
      <c r="Z303" s="145" t="str">
        <f>IF(分析!Y303&lt;&gt;"",分析!Y303,"")</f>
        <v/>
      </c>
    </row>
    <row r="304" spans="1:26" ht="21.9" customHeight="1">
      <c r="A304" s="131" t="str">
        <f>IF(分析!C304&lt;&gt;"",ROW()-2,"")</f>
        <v/>
      </c>
      <c r="B304" s="132" t="str">
        <f>IF(分析!C304&lt;&gt;"",HYPERLINK("https://kabutan.jp/stock/?code="&amp;分析!C304,"株探"),"")</f>
        <v/>
      </c>
      <c r="C304" s="133" t="str">
        <f>IF(分析!C304&lt;&gt;"",分析!C304,"")</f>
        <v/>
      </c>
      <c r="D304" s="134" t="str">
        <f>IF(分析!D304&lt;&gt;"",分析!D304,"")</f>
        <v/>
      </c>
      <c r="E304" s="135" t="str">
        <f>IF(分析!E304&lt;&gt;"",分析!E304,"")</f>
        <v/>
      </c>
      <c r="F304" s="136" t="str">
        <f>IF(分析!F304&lt;&gt;"",分析!F304,"")</f>
        <v/>
      </c>
      <c r="G304" s="136" t="str">
        <f>IF(分析!H304&lt;&gt;"",分析!H304,"")</f>
        <v/>
      </c>
      <c r="H304" s="136" t="str">
        <f>IF(分析!I304&lt;&gt;"",分析!I304,"")</f>
        <v/>
      </c>
      <c r="I304" s="136" t="str">
        <f>IF(分析!J304&lt;&gt;"",分析!J304,"")</f>
        <v/>
      </c>
      <c r="J304" s="136" t="str">
        <f>IF(分析!AB304&lt;&gt;"",分析!AB304,"")</f>
        <v/>
      </c>
      <c r="K304" s="136" t="str">
        <f>IF(分析!AC304&lt;&gt;"",分析!AC304,"")</f>
        <v/>
      </c>
      <c r="L304" s="136" t="str">
        <f>IF(分析!K304&lt;&gt;"",分析!K304,"")</f>
        <v/>
      </c>
      <c r="M304" s="131" t="str">
        <f>IF(分析!P304&lt;&gt;"",分析!P304,"")</f>
        <v/>
      </c>
      <c r="N304" s="137" t="str">
        <f>IF(分析!O304&lt;&gt;"",分析!O304,"")</f>
        <v/>
      </c>
      <c r="O304" s="138" t="str">
        <f>IF(分析!X304&lt;&gt;"",分析!X304,"")</f>
        <v/>
      </c>
      <c r="P304" s="139" t="str">
        <f>IF(分析!L304&lt;&gt;"",分析!L304,"")</f>
        <v/>
      </c>
      <c r="Q304" s="136" t="str">
        <f>IF(分析!S304&lt;&gt;"",分析!S304,"")</f>
        <v/>
      </c>
      <c r="R304" s="136" t="str">
        <f>IF(分析!R304&lt;&gt;"",分析!R304,"")</f>
        <v/>
      </c>
      <c r="S304" s="131" t="str">
        <f>IF(分析!AA304&lt;&gt;"",分析!AA304,"")</f>
        <v/>
      </c>
      <c r="T304" s="140" t="str">
        <f>IF(分析!Z304&lt;&gt;"",分析!Z304,"")</f>
        <v/>
      </c>
      <c r="U304" s="131" t="str">
        <f>IF(分析!V304&lt;&gt;"",分析!V304,"")</f>
        <v/>
      </c>
      <c r="V304" s="141" t="str">
        <f>IF(分析!W304&lt;&gt;"",分析!W304,"")</f>
        <v/>
      </c>
      <c r="W304" s="142" t="str">
        <f>IF(分析!AD304&lt;&gt;"",分析!AD304,"")</f>
        <v/>
      </c>
      <c r="X304" s="143" t="str">
        <f>IF(分析!AE304&lt;&gt;"",分析!AE304,"")</f>
        <v/>
      </c>
      <c r="Y304" s="144" t="str">
        <f>IF(分析!T304&lt;&gt;"",分析!T304,"")</f>
        <v/>
      </c>
      <c r="Z304" s="145" t="str">
        <f>IF(分析!Y304&lt;&gt;"",分析!Y304,"")</f>
        <v/>
      </c>
    </row>
    <row r="305" spans="1:26" ht="21.9" customHeight="1">
      <c r="A305" s="146" t="str">
        <f>IF(分析!C305&lt;&gt;"",ROW()-2,"")</f>
        <v/>
      </c>
      <c r="B305" s="147" t="str">
        <f>IF(分析!C305&lt;&gt;"",HYPERLINK("https://kabutan.jp/stock/?code="&amp;分析!C305,"株探"),"")</f>
        <v/>
      </c>
      <c r="C305" s="148" t="str">
        <f>IF(分析!C305&lt;&gt;"",分析!C305,"")</f>
        <v/>
      </c>
      <c r="D305" s="149" t="str">
        <f>IF(分析!D305&lt;&gt;"",分析!D305,"")</f>
        <v/>
      </c>
      <c r="E305" s="150" t="str">
        <f>IF(分析!E305&lt;&gt;"",分析!E305,"")</f>
        <v/>
      </c>
      <c r="F305" s="151" t="str">
        <f>IF(分析!F305&lt;&gt;"",分析!F305,"")</f>
        <v/>
      </c>
      <c r="G305" s="151" t="str">
        <f>IF(分析!H305&lt;&gt;"",分析!H305,"")</f>
        <v/>
      </c>
      <c r="H305" s="151" t="str">
        <f>IF(分析!I305&lt;&gt;"",分析!I305,"")</f>
        <v/>
      </c>
      <c r="I305" s="151" t="str">
        <f>IF(分析!J305&lt;&gt;"",分析!J305,"")</f>
        <v/>
      </c>
      <c r="J305" s="151" t="str">
        <f>IF(分析!AB305&lt;&gt;"",分析!AB305,"")</f>
        <v/>
      </c>
      <c r="K305" s="151" t="str">
        <f>IF(分析!AC305&lt;&gt;"",分析!AC305,"")</f>
        <v/>
      </c>
      <c r="L305" s="151" t="str">
        <f>IF(分析!K305&lt;&gt;"",分析!K305,"")</f>
        <v/>
      </c>
      <c r="M305" s="146" t="str">
        <f>IF(分析!P305&lt;&gt;"",分析!P305,"")</f>
        <v/>
      </c>
      <c r="N305" s="152" t="str">
        <f>IF(分析!O305&lt;&gt;"",分析!O305,"")</f>
        <v/>
      </c>
      <c r="O305" s="153" t="str">
        <f>IF(分析!X305&lt;&gt;"",分析!X305,"")</f>
        <v/>
      </c>
      <c r="P305" s="154" t="str">
        <f>IF(分析!L305&lt;&gt;"",分析!L305,"")</f>
        <v/>
      </c>
      <c r="Q305" s="151" t="str">
        <f>IF(分析!S305&lt;&gt;"",分析!S305,"")</f>
        <v/>
      </c>
      <c r="R305" s="151" t="str">
        <f>IF(分析!R305&lt;&gt;"",分析!R305,"")</f>
        <v/>
      </c>
      <c r="S305" s="146" t="str">
        <f>IF(分析!AA305&lt;&gt;"",分析!AA305,"")</f>
        <v/>
      </c>
      <c r="T305" s="155" t="str">
        <f>IF(分析!Z305&lt;&gt;"",分析!Z305,"")</f>
        <v/>
      </c>
      <c r="U305" s="146" t="str">
        <f>IF(分析!V305&lt;&gt;"",分析!V305,"")</f>
        <v/>
      </c>
      <c r="V305" s="156" t="str">
        <f>IF(分析!W305&lt;&gt;"",分析!W305,"")</f>
        <v/>
      </c>
      <c r="W305" s="157" t="str">
        <f>IF(分析!AD305&lt;&gt;"",分析!AD305,"")</f>
        <v/>
      </c>
      <c r="X305" s="158" t="str">
        <f>IF(分析!AE305&lt;&gt;"",分析!AE305,"")</f>
        <v/>
      </c>
      <c r="Y305" s="159" t="str">
        <f>IF(分析!T305&lt;&gt;"",分析!T305,"")</f>
        <v/>
      </c>
      <c r="Z305" s="145" t="str">
        <f>IF(分析!Y305&lt;&gt;"",分析!Y305,"")</f>
        <v/>
      </c>
    </row>
    <row r="306" spans="1:26" ht="21.9" customHeight="1">
      <c r="A306" s="131" t="str">
        <f>IF(分析!C306&lt;&gt;"",ROW()-2,"")</f>
        <v/>
      </c>
      <c r="B306" s="132" t="str">
        <f>IF(分析!C306&lt;&gt;"",HYPERLINK("https://kabutan.jp/stock/?code="&amp;分析!C306,"株探"),"")</f>
        <v/>
      </c>
      <c r="C306" s="133" t="str">
        <f>IF(分析!C306&lt;&gt;"",分析!C306,"")</f>
        <v/>
      </c>
      <c r="D306" s="134" t="str">
        <f>IF(分析!D306&lt;&gt;"",分析!D306,"")</f>
        <v/>
      </c>
      <c r="E306" s="135" t="str">
        <f>IF(分析!E306&lt;&gt;"",分析!E306,"")</f>
        <v/>
      </c>
      <c r="F306" s="136" t="str">
        <f>IF(分析!F306&lt;&gt;"",分析!F306,"")</f>
        <v/>
      </c>
      <c r="G306" s="136" t="str">
        <f>IF(分析!H306&lt;&gt;"",分析!H306,"")</f>
        <v/>
      </c>
      <c r="H306" s="136" t="str">
        <f>IF(分析!I306&lt;&gt;"",分析!I306,"")</f>
        <v/>
      </c>
      <c r="I306" s="136" t="str">
        <f>IF(分析!J306&lt;&gt;"",分析!J306,"")</f>
        <v/>
      </c>
      <c r="J306" s="136" t="str">
        <f>IF(分析!AB306&lt;&gt;"",分析!AB306,"")</f>
        <v/>
      </c>
      <c r="K306" s="136" t="str">
        <f>IF(分析!AC306&lt;&gt;"",分析!AC306,"")</f>
        <v/>
      </c>
      <c r="L306" s="136" t="str">
        <f>IF(分析!K306&lt;&gt;"",分析!K306,"")</f>
        <v/>
      </c>
      <c r="M306" s="131" t="str">
        <f>IF(分析!P306&lt;&gt;"",分析!P306,"")</f>
        <v/>
      </c>
      <c r="N306" s="137" t="str">
        <f>IF(分析!O306&lt;&gt;"",分析!O306,"")</f>
        <v/>
      </c>
      <c r="O306" s="138" t="str">
        <f>IF(分析!X306&lt;&gt;"",分析!X306,"")</f>
        <v/>
      </c>
      <c r="P306" s="139" t="str">
        <f>IF(分析!L306&lt;&gt;"",分析!L306,"")</f>
        <v/>
      </c>
      <c r="Q306" s="136" t="str">
        <f>IF(分析!S306&lt;&gt;"",分析!S306,"")</f>
        <v/>
      </c>
      <c r="R306" s="136" t="str">
        <f>IF(分析!R306&lt;&gt;"",分析!R306,"")</f>
        <v/>
      </c>
      <c r="S306" s="131" t="str">
        <f>IF(分析!AA306&lt;&gt;"",分析!AA306,"")</f>
        <v/>
      </c>
      <c r="T306" s="140" t="str">
        <f>IF(分析!Z306&lt;&gt;"",分析!Z306,"")</f>
        <v/>
      </c>
      <c r="U306" s="131" t="str">
        <f>IF(分析!V306&lt;&gt;"",分析!V306,"")</f>
        <v/>
      </c>
      <c r="V306" s="141" t="str">
        <f>IF(分析!W306&lt;&gt;"",分析!W306,"")</f>
        <v/>
      </c>
      <c r="W306" s="142" t="str">
        <f>IF(分析!AD306&lt;&gt;"",分析!AD306,"")</f>
        <v/>
      </c>
      <c r="X306" s="143" t="str">
        <f>IF(分析!AE306&lt;&gt;"",分析!AE306,"")</f>
        <v/>
      </c>
      <c r="Y306" s="144" t="str">
        <f>IF(分析!T306&lt;&gt;"",分析!T306,"")</f>
        <v/>
      </c>
      <c r="Z306" s="145" t="str">
        <f>IF(分析!Y306&lt;&gt;"",分析!Y306,"")</f>
        <v/>
      </c>
    </row>
    <row r="307" spans="1:26" ht="21.9" customHeight="1">
      <c r="A307" s="146" t="str">
        <f>IF(分析!C307&lt;&gt;"",ROW()-2,"")</f>
        <v/>
      </c>
      <c r="B307" s="147" t="str">
        <f>IF(分析!C307&lt;&gt;"",HYPERLINK("https://kabutan.jp/stock/?code="&amp;分析!C307,"株探"),"")</f>
        <v/>
      </c>
      <c r="C307" s="148" t="str">
        <f>IF(分析!C307&lt;&gt;"",分析!C307,"")</f>
        <v/>
      </c>
      <c r="D307" s="149" t="str">
        <f>IF(分析!D307&lt;&gt;"",分析!D307,"")</f>
        <v/>
      </c>
      <c r="E307" s="150" t="str">
        <f>IF(分析!E307&lt;&gt;"",分析!E307,"")</f>
        <v/>
      </c>
      <c r="F307" s="151" t="str">
        <f>IF(分析!F307&lt;&gt;"",分析!F307,"")</f>
        <v/>
      </c>
      <c r="G307" s="151" t="str">
        <f>IF(分析!H307&lt;&gt;"",分析!H307,"")</f>
        <v/>
      </c>
      <c r="H307" s="151" t="str">
        <f>IF(分析!I307&lt;&gt;"",分析!I307,"")</f>
        <v/>
      </c>
      <c r="I307" s="151" t="str">
        <f>IF(分析!J307&lt;&gt;"",分析!J307,"")</f>
        <v/>
      </c>
      <c r="J307" s="151" t="str">
        <f>IF(分析!AB307&lt;&gt;"",分析!AB307,"")</f>
        <v/>
      </c>
      <c r="K307" s="151" t="str">
        <f>IF(分析!AC307&lt;&gt;"",分析!AC307,"")</f>
        <v/>
      </c>
      <c r="L307" s="151" t="str">
        <f>IF(分析!K307&lt;&gt;"",分析!K307,"")</f>
        <v/>
      </c>
      <c r="M307" s="146" t="str">
        <f>IF(分析!P307&lt;&gt;"",分析!P307,"")</f>
        <v/>
      </c>
      <c r="N307" s="152" t="str">
        <f>IF(分析!O307&lt;&gt;"",分析!O307,"")</f>
        <v/>
      </c>
      <c r="O307" s="153" t="str">
        <f>IF(分析!X307&lt;&gt;"",分析!X307,"")</f>
        <v/>
      </c>
      <c r="P307" s="154" t="str">
        <f>IF(分析!L307&lt;&gt;"",分析!L307,"")</f>
        <v/>
      </c>
      <c r="Q307" s="151" t="str">
        <f>IF(分析!S307&lt;&gt;"",分析!S307,"")</f>
        <v/>
      </c>
      <c r="R307" s="151" t="str">
        <f>IF(分析!R307&lt;&gt;"",分析!R307,"")</f>
        <v/>
      </c>
      <c r="S307" s="146" t="str">
        <f>IF(分析!AA307&lt;&gt;"",分析!AA307,"")</f>
        <v/>
      </c>
      <c r="T307" s="155" t="str">
        <f>IF(分析!Z307&lt;&gt;"",分析!Z307,"")</f>
        <v/>
      </c>
      <c r="U307" s="146" t="str">
        <f>IF(分析!V307&lt;&gt;"",分析!V307,"")</f>
        <v/>
      </c>
      <c r="V307" s="156" t="str">
        <f>IF(分析!W307&lt;&gt;"",分析!W307,"")</f>
        <v/>
      </c>
      <c r="W307" s="157" t="str">
        <f>IF(分析!AD307&lt;&gt;"",分析!AD307,"")</f>
        <v/>
      </c>
      <c r="X307" s="158" t="str">
        <f>IF(分析!AE307&lt;&gt;"",分析!AE307,"")</f>
        <v/>
      </c>
      <c r="Y307" s="159" t="str">
        <f>IF(分析!T307&lt;&gt;"",分析!T307,"")</f>
        <v/>
      </c>
      <c r="Z307" s="145" t="str">
        <f>IF(分析!Y307&lt;&gt;"",分析!Y307,"")</f>
        <v/>
      </c>
    </row>
    <row r="308" spans="1:26" ht="21.9" customHeight="1">
      <c r="A308" s="131" t="str">
        <f>IF(分析!C308&lt;&gt;"",ROW()-2,"")</f>
        <v/>
      </c>
      <c r="B308" s="132" t="str">
        <f>IF(分析!C308&lt;&gt;"",HYPERLINK("https://kabutan.jp/stock/?code="&amp;分析!C308,"株探"),"")</f>
        <v/>
      </c>
      <c r="C308" s="133" t="str">
        <f>IF(分析!C308&lt;&gt;"",分析!C308,"")</f>
        <v/>
      </c>
      <c r="D308" s="134" t="str">
        <f>IF(分析!D308&lt;&gt;"",分析!D308,"")</f>
        <v/>
      </c>
      <c r="E308" s="135" t="str">
        <f>IF(分析!E308&lt;&gt;"",分析!E308,"")</f>
        <v/>
      </c>
      <c r="F308" s="136" t="str">
        <f>IF(分析!F308&lt;&gt;"",分析!F308,"")</f>
        <v/>
      </c>
      <c r="G308" s="136" t="str">
        <f>IF(分析!H308&lt;&gt;"",分析!H308,"")</f>
        <v/>
      </c>
      <c r="H308" s="136" t="str">
        <f>IF(分析!I308&lt;&gt;"",分析!I308,"")</f>
        <v/>
      </c>
      <c r="I308" s="136" t="str">
        <f>IF(分析!J308&lt;&gt;"",分析!J308,"")</f>
        <v/>
      </c>
      <c r="J308" s="136" t="str">
        <f>IF(分析!AB308&lt;&gt;"",分析!AB308,"")</f>
        <v/>
      </c>
      <c r="K308" s="136" t="str">
        <f>IF(分析!AC308&lt;&gt;"",分析!AC308,"")</f>
        <v/>
      </c>
      <c r="L308" s="136" t="str">
        <f>IF(分析!K308&lt;&gt;"",分析!K308,"")</f>
        <v/>
      </c>
      <c r="M308" s="131" t="str">
        <f>IF(分析!P308&lt;&gt;"",分析!P308,"")</f>
        <v/>
      </c>
      <c r="N308" s="137" t="str">
        <f>IF(分析!O308&lt;&gt;"",分析!O308,"")</f>
        <v/>
      </c>
      <c r="O308" s="138" t="str">
        <f>IF(分析!X308&lt;&gt;"",分析!X308,"")</f>
        <v/>
      </c>
      <c r="P308" s="139" t="str">
        <f>IF(分析!L308&lt;&gt;"",分析!L308,"")</f>
        <v/>
      </c>
      <c r="Q308" s="136" t="str">
        <f>IF(分析!S308&lt;&gt;"",分析!S308,"")</f>
        <v/>
      </c>
      <c r="R308" s="136" t="str">
        <f>IF(分析!R308&lt;&gt;"",分析!R308,"")</f>
        <v/>
      </c>
      <c r="S308" s="131" t="str">
        <f>IF(分析!AA308&lt;&gt;"",分析!AA308,"")</f>
        <v/>
      </c>
      <c r="T308" s="140" t="str">
        <f>IF(分析!Z308&lt;&gt;"",分析!Z308,"")</f>
        <v/>
      </c>
      <c r="U308" s="131" t="str">
        <f>IF(分析!V308&lt;&gt;"",分析!V308,"")</f>
        <v/>
      </c>
      <c r="V308" s="141" t="str">
        <f>IF(分析!W308&lt;&gt;"",分析!W308,"")</f>
        <v/>
      </c>
      <c r="W308" s="142" t="str">
        <f>IF(分析!AD308&lt;&gt;"",分析!AD308,"")</f>
        <v/>
      </c>
      <c r="X308" s="143" t="str">
        <f>IF(分析!AE308&lt;&gt;"",分析!AE308,"")</f>
        <v/>
      </c>
      <c r="Y308" s="144" t="str">
        <f>IF(分析!T308&lt;&gt;"",分析!T308,"")</f>
        <v/>
      </c>
      <c r="Z308" s="145" t="str">
        <f>IF(分析!Y308&lt;&gt;"",分析!Y308,"")</f>
        <v/>
      </c>
    </row>
    <row r="309" spans="1:26" ht="21.9" customHeight="1">
      <c r="A309" s="146" t="str">
        <f>IF(分析!C309&lt;&gt;"",ROW()-2,"")</f>
        <v/>
      </c>
      <c r="B309" s="147" t="str">
        <f>IF(分析!C309&lt;&gt;"",HYPERLINK("https://kabutan.jp/stock/?code="&amp;分析!C309,"株探"),"")</f>
        <v/>
      </c>
      <c r="C309" s="148" t="str">
        <f>IF(分析!C309&lt;&gt;"",分析!C309,"")</f>
        <v/>
      </c>
      <c r="D309" s="149" t="str">
        <f>IF(分析!D309&lt;&gt;"",分析!D309,"")</f>
        <v/>
      </c>
      <c r="E309" s="150" t="str">
        <f>IF(分析!E309&lt;&gt;"",分析!E309,"")</f>
        <v/>
      </c>
      <c r="F309" s="151" t="str">
        <f>IF(分析!F309&lt;&gt;"",分析!F309,"")</f>
        <v/>
      </c>
      <c r="G309" s="151" t="str">
        <f>IF(分析!H309&lt;&gt;"",分析!H309,"")</f>
        <v/>
      </c>
      <c r="H309" s="151" t="str">
        <f>IF(分析!I309&lt;&gt;"",分析!I309,"")</f>
        <v/>
      </c>
      <c r="I309" s="151" t="str">
        <f>IF(分析!J309&lt;&gt;"",分析!J309,"")</f>
        <v/>
      </c>
      <c r="J309" s="151" t="str">
        <f>IF(分析!AB309&lt;&gt;"",分析!AB309,"")</f>
        <v/>
      </c>
      <c r="K309" s="151" t="str">
        <f>IF(分析!AC309&lt;&gt;"",分析!AC309,"")</f>
        <v/>
      </c>
      <c r="L309" s="151" t="str">
        <f>IF(分析!K309&lt;&gt;"",分析!K309,"")</f>
        <v/>
      </c>
      <c r="M309" s="146" t="str">
        <f>IF(分析!P309&lt;&gt;"",分析!P309,"")</f>
        <v/>
      </c>
      <c r="N309" s="152" t="str">
        <f>IF(分析!O309&lt;&gt;"",分析!O309,"")</f>
        <v/>
      </c>
      <c r="O309" s="153" t="str">
        <f>IF(分析!X309&lt;&gt;"",分析!X309,"")</f>
        <v/>
      </c>
      <c r="P309" s="154" t="str">
        <f>IF(分析!L309&lt;&gt;"",分析!L309,"")</f>
        <v/>
      </c>
      <c r="Q309" s="151" t="str">
        <f>IF(分析!S309&lt;&gt;"",分析!S309,"")</f>
        <v/>
      </c>
      <c r="R309" s="151" t="str">
        <f>IF(分析!R309&lt;&gt;"",分析!R309,"")</f>
        <v/>
      </c>
      <c r="S309" s="146" t="str">
        <f>IF(分析!AA309&lt;&gt;"",分析!AA309,"")</f>
        <v/>
      </c>
      <c r="T309" s="155" t="str">
        <f>IF(分析!Z309&lt;&gt;"",分析!Z309,"")</f>
        <v/>
      </c>
      <c r="U309" s="146" t="str">
        <f>IF(分析!V309&lt;&gt;"",分析!V309,"")</f>
        <v/>
      </c>
      <c r="V309" s="156" t="str">
        <f>IF(分析!W309&lt;&gt;"",分析!W309,"")</f>
        <v/>
      </c>
      <c r="W309" s="157" t="str">
        <f>IF(分析!AD309&lt;&gt;"",分析!AD309,"")</f>
        <v/>
      </c>
      <c r="X309" s="158" t="str">
        <f>IF(分析!AE309&lt;&gt;"",分析!AE309,"")</f>
        <v/>
      </c>
      <c r="Y309" s="159" t="str">
        <f>IF(分析!T309&lt;&gt;"",分析!T309,"")</f>
        <v/>
      </c>
      <c r="Z309" s="145" t="str">
        <f>IF(分析!Y309&lt;&gt;"",分析!Y309,"")</f>
        <v/>
      </c>
    </row>
    <row r="310" spans="1:26" ht="21.9" customHeight="1">
      <c r="A310" s="131" t="str">
        <f>IF(分析!C310&lt;&gt;"",ROW()-2,"")</f>
        <v/>
      </c>
      <c r="B310" s="132" t="str">
        <f>IF(分析!C310&lt;&gt;"",HYPERLINK("https://kabutan.jp/stock/?code="&amp;分析!C310,"株探"),"")</f>
        <v/>
      </c>
      <c r="C310" s="133" t="str">
        <f>IF(分析!C310&lt;&gt;"",分析!C310,"")</f>
        <v/>
      </c>
      <c r="D310" s="134" t="str">
        <f>IF(分析!D310&lt;&gt;"",分析!D310,"")</f>
        <v/>
      </c>
      <c r="E310" s="135" t="str">
        <f>IF(分析!E310&lt;&gt;"",分析!E310,"")</f>
        <v/>
      </c>
      <c r="F310" s="136" t="str">
        <f>IF(分析!F310&lt;&gt;"",分析!F310,"")</f>
        <v/>
      </c>
      <c r="G310" s="136" t="str">
        <f>IF(分析!H310&lt;&gt;"",分析!H310,"")</f>
        <v/>
      </c>
      <c r="H310" s="136" t="str">
        <f>IF(分析!I310&lt;&gt;"",分析!I310,"")</f>
        <v/>
      </c>
      <c r="I310" s="136" t="str">
        <f>IF(分析!J310&lt;&gt;"",分析!J310,"")</f>
        <v/>
      </c>
      <c r="J310" s="136" t="str">
        <f>IF(分析!AB310&lt;&gt;"",分析!AB310,"")</f>
        <v/>
      </c>
      <c r="K310" s="136" t="str">
        <f>IF(分析!AC310&lt;&gt;"",分析!AC310,"")</f>
        <v/>
      </c>
      <c r="L310" s="136" t="str">
        <f>IF(分析!K310&lt;&gt;"",分析!K310,"")</f>
        <v/>
      </c>
      <c r="M310" s="131" t="str">
        <f>IF(分析!P310&lt;&gt;"",分析!P310,"")</f>
        <v/>
      </c>
      <c r="N310" s="137" t="str">
        <f>IF(分析!O310&lt;&gt;"",分析!O310,"")</f>
        <v/>
      </c>
      <c r="O310" s="138" t="str">
        <f>IF(分析!X310&lt;&gt;"",分析!X310,"")</f>
        <v/>
      </c>
      <c r="P310" s="139" t="str">
        <f>IF(分析!L310&lt;&gt;"",分析!L310,"")</f>
        <v/>
      </c>
      <c r="Q310" s="136" t="str">
        <f>IF(分析!S310&lt;&gt;"",分析!S310,"")</f>
        <v/>
      </c>
      <c r="R310" s="136" t="str">
        <f>IF(分析!R310&lt;&gt;"",分析!R310,"")</f>
        <v/>
      </c>
      <c r="S310" s="131" t="str">
        <f>IF(分析!AA310&lt;&gt;"",分析!AA310,"")</f>
        <v/>
      </c>
      <c r="T310" s="140" t="str">
        <f>IF(分析!Z310&lt;&gt;"",分析!Z310,"")</f>
        <v/>
      </c>
      <c r="U310" s="131" t="str">
        <f>IF(分析!V310&lt;&gt;"",分析!V310,"")</f>
        <v/>
      </c>
      <c r="V310" s="141" t="str">
        <f>IF(分析!W310&lt;&gt;"",分析!W310,"")</f>
        <v/>
      </c>
      <c r="W310" s="142" t="str">
        <f>IF(分析!AD310&lt;&gt;"",分析!AD310,"")</f>
        <v/>
      </c>
      <c r="X310" s="143" t="str">
        <f>IF(分析!AE310&lt;&gt;"",分析!AE310,"")</f>
        <v/>
      </c>
      <c r="Y310" s="144" t="str">
        <f>IF(分析!T310&lt;&gt;"",分析!T310,"")</f>
        <v/>
      </c>
      <c r="Z310" s="145" t="str">
        <f>IF(分析!Y310&lt;&gt;"",分析!Y310,"")</f>
        <v/>
      </c>
    </row>
    <row r="311" spans="1:26" ht="21.9" customHeight="1">
      <c r="A311" s="146" t="str">
        <f>IF(分析!C311&lt;&gt;"",ROW()-2,"")</f>
        <v/>
      </c>
      <c r="B311" s="147" t="str">
        <f>IF(分析!C311&lt;&gt;"",HYPERLINK("https://kabutan.jp/stock/?code="&amp;分析!C311,"株探"),"")</f>
        <v/>
      </c>
      <c r="C311" s="148" t="str">
        <f>IF(分析!C311&lt;&gt;"",分析!C311,"")</f>
        <v/>
      </c>
      <c r="D311" s="149" t="str">
        <f>IF(分析!D311&lt;&gt;"",分析!D311,"")</f>
        <v/>
      </c>
      <c r="E311" s="150" t="str">
        <f>IF(分析!E311&lt;&gt;"",分析!E311,"")</f>
        <v/>
      </c>
      <c r="F311" s="151" t="str">
        <f>IF(分析!F311&lt;&gt;"",分析!F311,"")</f>
        <v/>
      </c>
      <c r="G311" s="151" t="str">
        <f>IF(分析!H311&lt;&gt;"",分析!H311,"")</f>
        <v/>
      </c>
      <c r="H311" s="151" t="str">
        <f>IF(分析!I311&lt;&gt;"",分析!I311,"")</f>
        <v/>
      </c>
      <c r="I311" s="151" t="str">
        <f>IF(分析!J311&lt;&gt;"",分析!J311,"")</f>
        <v/>
      </c>
      <c r="J311" s="151" t="str">
        <f>IF(分析!AB311&lt;&gt;"",分析!AB311,"")</f>
        <v/>
      </c>
      <c r="K311" s="151" t="str">
        <f>IF(分析!AC311&lt;&gt;"",分析!AC311,"")</f>
        <v/>
      </c>
      <c r="L311" s="151" t="str">
        <f>IF(分析!K311&lt;&gt;"",分析!K311,"")</f>
        <v/>
      </c>
      <c r="M311" s="146" t="str">
        <f>IF(分析!P311&lt;&gt;"",分析!P311,"")</f>
        <v/>
      </c>
      <c r="N311" s="152" t="str">
        <f>IF(分析!O311&lt;&gt;"",分析!O311,"")</f>
        <v/>
      </c>
      <c r="O311" s="153" t="str">
        <f>IF(分析!X311&lt;&gt;"",分析!X311,"")</f>
        <v/>
      </c>
      <c r="P311" s="154" t="str">
        <f>IF(分析!L311&lt;&gt;"",分析!L311,"")</f>
        <v/>
      </c>
      <c r="Q311" s="151" t="str">
        <f>IF(分析!S311&lt;&gt;"",分析!S311,"")</f>
        <v/>
      </c>
      <c r="R311" s="151" t="str">
        <f>IF(分析!R311&lt;&gt;"",分析!R311,"")</f>
        <v/>
      </c>
      <c r="S311" s="146" t="str">
        <f>IF(分析!AA311&lt;&gt;"",分析!AA311,"")</f>
        <v/>
      </c>
      <c r="T311" s="155" t="str">
        <f>IF(分析!Z311&lt;&gt;"",分析!Z311,"")</f>
        <v/>
      </c>
      <c r="U311" s="146" t="str">
        <f>IF(分析!V311&lt;&gt;"",分析!V311,"")</f>
        <v/>
      </c>
      <c r="V311" s="156" t="str">
        <f>IF(分析!W311&lt;&gt;"",分析!W311,"")</f>
        <v/>
      </c>
      <c r="W311" s="157" t="str">
        <f>IF(分析!AD311&lt;&gt;"",分析!AD311,"")</f>
        <v/>
      </c>
      <c r="X311" s="158" t="str">
        <f>IF(分析!AE311&lt;&gt;"",分析!AE311,"")</f>
        <v/>
      </c>
      <c r="Y311" s="159" t="str">
        <f>IF(分析!T311&lt;&gt;"",分析!T311,"")</f>
        <v/>
      </c>
      <c r="Z311" s="145" t="str">
        <f>IF(分析!Y311&lt;&gt;"",分析!Y311,"")</f>
        <v/>
      </c>
    </row>
    <row r="312" spans="1:26" ht="21.9" customHeight="1">
      <c r="A312" s="131" t="str">
        <f>IF(分析!C312&lt;&gt;"",ROW()-2,"")</f>
        <v/>
      </c>
      <c r="B312" s="132" t="str">
        <f>IF(分析!C312&lt;&gt;"",HYPERLINK("https://kabutan.jp/stock/?code="&amp;分析!C312,"株探"),"")</f>
        <v/>
      </c>
      <c r="C312" s="133" t="str">
        <f>IF(分析!C312&lt;&gt;"",分析!C312,"")</f>
        <v/>
      </c>
      <c r="D312" s="134" t="str">
        <f>IF(分析!D312&lt;&gt;"",分析!D312,"")</f>
        <v/>
      </c>
      <c r="E312" s="135" t="str">
        <f>IF(分析!E312&lt;&gt;"",分析!E312,"")</f>
        <v/>
      </c>
      <c r="F312" s="136" t="str">
        <f>IF(分析!F312&lt;&gt;"",分析!F312,"")</f>
        <v/>
      </c>
      <c r="G312" s="136" t="str">
        <f>IF(分析!H312&lt;&gt;"",分析!H312,"")</f>
        <v/>
      </c>
      <c r="H312" s="136" t="str">
        <f>IF(分析!I312&lt;&gt;"",分析!I312,"")</f>
        <v/>
      </c>
      <c r="I312" s="136" t="str">
        <f>IF(分析!J312&lt;&gt;"",分析!J312,"")</f>
        <v/>
      </c>
      <c r="J312" s="136" t="str">
        <f>IF(分析!AB312&lt;&gt;"",分析!AB312,"")</f>
        <v/>
      </c>
      <c r="K312" s="136" t="str">
        <f>IF(分析!AC312&lt;&gt;"",分析!AC312,"")</f>
        <v/>
      </c>
      <c r="L312" s="136" t="str">
        <f>IF(分析!K312&lt;&gt;"",分析!K312,"")</f>
        <v/>
      </c>
      <c r="M312" s="131" t="str">
        <f>IF(分析!P312&lt;&gt;"",分析!P312,"")</f>
        <v/>
      </c>
      <c r="N312" s="137" t="str">
        <f>IF(分析!O312&lt;&gt;"",分析!O312,"")</f>
        <v/>
      </c>
      <c r="O312" s="138" t="str">
        <f>IF(分析!X312&lt;&gt;"",分析!X312,"")</f>
        <v/>
      </c>
      <c r="P312" s="139" t="str">
        <f>IF(分析!L312&lt;&gt;"",分析!L312,"")</f>
        <v/>
      </c>
      <c r="Q312" s="136" t="str">
        <f>IF(分析!S312&lt;&gt;"",分析!S312,"")</f>
        <v/>
      </c>
      <c r="R312" s="136" t="str">
        <f>IF(分析!R312&lt;&gt;"",分析!R312,"")</f>
        <v/>
      </c>
      <c r="S312" s="131" t="str">
        <f>IF(分析!AA312&lt;&gt;"",分析!AA312,"")</f>
        <v/>
      </c>
      <c r="T312" s="140" t="str">
        <f>IF(分析!Z312&lt;&gt;"",分析!Z312,"")</f>
        <v/>
      </c>
      <c r="U312" s="131" t="str">
        <f>IF(分析!V312&lt;&gt;"",分析!V312,"")</f>
        <v/>
      </c>
      <c r="V312" s="141" t="str">
        <f>IF(分析!W312&lt;&gt;"",分析!W312,"")</f>
        <v/>
      </c>
      <c r="W312" s="142" t="str">
        <f>IF(分析!AD312&lt;&gt;"",分析!AD312,"")</f>
        <v/>
      </c>
      <c r="X312" s="143" t="str">
        <f>IF(分析!AE312&lt;&gt;"",分析!AE312,"")</f>
        <v/>
      </c>
      <c r="Y312" s="144" t="str">
        <f>IF(分析!T312&lt;&gt;"",分析!T312,"")</f>
        <v/>
      </c>
      <c r="Z312" s="145" t="str">
        <f>IF(分析!Y312&lt;&gt;"",分析!Y312,"")</f>
        <v/>
      </c>
    </row>
    <row r="313" spans="1:26" ht="21.9" customHeight="1">
      <c r="A313" s="146" t="str">
        <f>IF(分析!C313&lt;&gt;"",ROW()-2,"")</f>
        <v/>
      </c>
      <c r="B313" s="147" t="str">
        <f>IF(分析!C313&lt;&gt;"",HYPERLINK("https://kabutan.jp/stock/?code="&amp;分析!C313,"株探"),"")</f>
        <v/>
      </c>
      <c r="C313" s="148" t="str">
        <f>IF(分析!C313&lt;&gt;"",分析!C313,"")</f>
        <v/>
      </c>
      <c r="D313" s="149" t="str">
        <f>IF(分析!D313&lt;&gt;"",分析!D313,"")</f>
        <v/>
      </c>
      <c r="E313" s="150" t="str">
        <f>IF(分析!E313&lt;&gt;"",分析!E313,"")</f>
        <v/>
      </c>
      <c r="F313" s="151" t="str">
        <f>IF(分析!F313&lt;&gt;"",分析!F313,"")</f>
        <v/>
      </c>
      <c r="G313" s="151" t="str">
        <f>IF(分析!H313&lt;&gt;"",分析!H313,"")</f>
        <v/>
      </c>
      <c r="H313" s="151" t="str">
        <f>IF(分析!I313&lt;&gt;"",分析!I313,"")</f>
        <v/>
      </c>
      <c r="I313" s="151" t="str">
        <f>IF(分析!J313&lt;&gt;"",分析!J313,"")</f>
        <v/>
      </c>
      <c r="J313" s="151" t="str">
        <f>IF(分析!AB313&lt;&gt;"",分析!AB313,"")</f>
        <v/>
      </c>
      <c r="K313" s="151" t="str">
        <f>IF(分析!AC313&lt;&gt;"",分析!AC313,"")</f>
        <v/>
      </c>
      <c r="L313" s="151" t="str">
        <f>IF(分析!K313&lt;&gt;"",分析!K313,"")</f>
        <v/>
      </c>
      <c r="M313" s="146" t="str">
        <f>IF(分析!P313&lt;&gt;"",分析!P313,"")</f>
        <v/>
      </c>
      <c r="N313" s="152" t="str">
        <f>IF(分析!O313&lt;&gt;"",分析!O313,"")</f>
        <v/>
      </c>
      <c r="O313" s="153" t="str">
        <f>IF(分析!X313&lt;&gt;"",分析!X313,"")</f>
        <v/>
      </c>
      <c r="P313" s="154" t="str">
        <f>IF(分析!L313&lt;&gt;"",分析!L313,"")</f>
        <v/>
      </c>
      <c r="Q313" s="151" t="str">
        <f>IF(分析!S313&lt;&gt;"",分析!S313,"")</f>
        <v/>
      </c>
      <c r="R313" s="151" t="str">
        <f>IF(分析!R313&lt;&gt;"",分析!R313,"")</f>
        <v/>
      </c>
      <c r="S313" s="146" t="str">
        <f>IF(分析!AA313&lt;&gt;"",分析!AA313,"")</f>
        <v/>
      </c>
      <c r="T313" s="155" t="str">
        <f>IF(分析!Z313&lt;&gt;"",分析!Z313,"")</f>
        <v/>
      </c>
      <c r="U313" s="146" t="str">
        <f>IF(分析!V313&lt;&gt;"",分析!V313,"")</f>
        <v/>
      </c>
      <c r="V313" s="156" t="str">
        <f>IF(分析!W313&lt;&gt;"",分析!W313,"")</f>
        <v/>
      </c>
      <c r="W313" s="157" t="str">
        <f>IF(分析!AD313&lt;&gt;"",分析!AD313,"")</f>
        <v/>
      </c>
      <c r="X313" s="158" t="str">
        <f>IF(分析!AE313&lt;&gt;"",分析!AE313,"")</f>
        <v/>
      </c>
      <c r="Y313" s="159" t="str">
        <f>IF(分析!T313&lt;&gt;"",分析!T313,"")</f>
        <v/>
      </c>
      <c r="Z313" s="145" t="str">
        <f>IF(分析!Y313&lt;&gt;"",分析!Y313,"")</f>
        <v/>
      </c>
    </row>
    <row r="314" spans="1:26" ht="21.9" customHeight="1">
      <c r="A314" s="131" t="str">
        <f>IF(分析!C314&lt;&gt;"",ROW()-2,"")</f>
        <v/>
      </c>
      <c r="B314" s="132" t="str">
        <f>IF(分析!C314&lt;&gt;"",HYPERLINK("https://kabutan.jp/stock/?code="&amp;分析!C314,"株探"),"")</f>
        <v/>
      </c>
      <c r="C314" s="133" t="str">
        <f>IF(分析!C314&lt;&gt;"",分析!C314,"")</f>
        <v/>
      </c>
      <c r="D314" s="134" t="str">
        <f>IF(分析!D314&lt;&gt;"",分析!D314,"")</f>
        <v/>
      </c>
      <c r="E314" s="135" t="str">
        <f>IF(分析!E314&lt;&gt;"",分析!E314,"")</f>
        <v/>
      </c>
      <c r="F314" s="136" t="str">
        <f>IF(分析!F314&lt;&gt;"",分析!F314,"")</f>
        <v/>
      </c>
      <c r="G314" s="136" t="str">
        <f>IF(分析!H314&lt;&gt;"",分析!H314,"")</f>
        <v/>
      </c>
      <c r="H314" s="136" t="str">
        <f>IF(分析!I314&lt;&gt;"",分析!I314,"")</f>
        <v/>
      </c>
      <c r="I314" s="136" t="str">
        <f>IF(分析!J314&lt;&gt;"",分析!J314,"")</f>
        <v/>
      </c>
      <c r="J314" s="136" t="str">
        <f>IF(分析!AB314&lt;&gt;"",分析!AB314,"")</f>
        <v/>
      </c>
      <c r="K314" s="136" t="str">
        <f>IF(分析!AC314&lt;&gt;"",分析!AC314,"")</f>
        <v/>
      </c>
      <c r="L314" s="136" t="str">
        <f>IF(分析!K314&lt;&gt;"",分析!K314,"")</f>
        <v/>
      </c>
      <c r="M314" s="131" t="str">
        <f>IF(分析!P314&lt;&gt;"",分析!P314,"")</f>
        <v/>
      </c>
      <c r="N314" s="137" t="str">
        <f>IF(分析!O314&lt;&gt;"",分析!O314,"")</f>
        <v/>
      </c>
      <c r="O314" s="138" t="str">
        <f>IF(分析!X314&lt;&gt;"",分析!X314,"")</f>
        <v/>
      </c>
      <c r="P314" s="139" t="str">
        <f>IF(分析!L314&lt;&gt;"",分析!L314,"")</f>
        <v/>
      </c>
      <c r="Q314" s="136" t="str">
        <f>IF(分析!S314&lt;&gt;"",分析!S314,"")</f>
        <v/>
      </c>
      <c r="R314" s="136" t="str">
        <f>IF(分析!R314&lt;&gt;"",分析!R314,"")</f>
        <v/>
      </c>
      <c r="S314" s="131" t="str">
        <f>IF(分析!AA314&lt;&gt;"",分析!AA314,"")</f>
        <v/>
      </c>
      <c r="T314" s="140" t="str">
        <f>IF(分析!Z314&lt;&gt;"",分析!Z314,"")</f>
        <v/>
      </c>
      <c r="U314" s="131" t="str">
        <f>IF(分析!V314&lt;&gt;"",分析!V314,"")</f>
        <v/>
      </c>
      <c r="V314" s="141" t="str">
        <f>IF(分析!W314&lt;&gt;"",分析!W314,"")</f>
        <v/>
      </c>
      <c r="W314" s="142" t="str">
        <f>IF(分析!AD314&lt;&gt;"",分析!AD314,"")</f>
        <v/>
      </c>
      <c r="X314" s="143" t="str">
        <f>IF(分析!AE314&lt;&gt;"",分析!AE314,"")</f>
        <v/>
      </c>
      <c r="Y314" s="144" t="str">
        <f>IF(分析!T314&lt;&gt;"",分析!T314,"")</f>
        <v/>
      </c>
      <c r="Z314" s="145" t="str">
        <f>IF(分析!Y314&lt;&gt;"",分析!Y314,"")</f>
        <v/>
      </c>
    </row>
    <row r="315" spans="1:26" ht="21.9" customHeight="1">
      <c r="A315" s="146" t="str">
        <f>IF(分析!C315&lt;&gt;"",ROW()-2,"")</f>
        <v/>
      </c>
      <c r="B315" s="147" t="str">
        <f>IF(分析!C315&lt;&gt;"",HYPERLINK("https://kabutan.jp/stock/?code="&amp;分析!C315,"株探"),"")</f>
        <v/>
      </c>
      <c r="C315" s="148" t="str">
        <f>IF(分析!C315&lt;&gt;"",分析!C315,"")</f>
        <v/>
      </c>
      <c r="D315" s="149" t="str">
        <f>IF(分析!D315&lt;&gt;"",分析!D315,"")</f>
        <v/>
      </c>
      <c r="E315" s="150" t="str">
        <f>IF(分析!E315&lt;&gt;"",分析!E315,"")</f>
        <v/>
      </c>
      <c r="F315" s="151" t="str">
        <f>IF(分析!F315&lt;&gt;"",分析!F315,"")</f>
        <v/>
      </c>
      <c r="G315" s="151" t="str">
        <f>IF(分析!H315&lt;&gt;"",分析!H315,"")</f>
        <v/>
      </c>
      <c r="H315" s="151" t="str">
        <f>IF(分析!I315&lt;&gt;"",分析!I315,"")</f>
        <v/>
      </c>
      <c r="I315" s="151" t="str">
        <f>IF(分析!J315&lt;&gt;"",分析!J315,"")</f>
        <v/>
      </c>
      <c r="J315" s="151" t="str">
        <f>IF(分析!AB315&lt;&gt;"",分析!AB315,"")</f>
        <v/>
      </c>
      <c r="K315" s="151" t="str">
        <f>IF(分析!AC315&lt;&gt;"",分析!AC315,"")</f>
        <v/>
      </c>
      <c r="L315" s="151" t="str">
        <f>IF(分析!K315&lt;&gt;"",分析!K315,"")</f>
        <v/>
      </c>
      <c r="M315" s="146" t="str">
        <f>IF(分析!P315&lt;&gt;"",分析!P315,"")</f>
        <v/>
      </c>
      <c r="N315" s="152" t="str">
        <f>IF(分析!O315&lt;&gt;"",分析!O315,"")</f>
        <v/>
      </c>
      <c r="O315" s="153" t="str">
        <f>IF(分析!X315&lt;&gt;"",分析!X315,"")</f>
        <v/>
      </c>
      <c r="P315" s="154" t="str">
        <f>IF(分析!L315&lt;&gt;"",分析!L315,"")</f>
        <v/>
      </c>
      <c r="Q315" s="151" t="str">
        <f>IF(分析!S315&lt;&gt;"",分析!S315,"")</f>
        <v/>
      </c>
      <c r="R315" s="151" t="str">
        <f>IF(分析!R315&lt;&gt;"",分析!R315,"")</f>
        <v/>
      </c>
      <c r="S315" s="146" t="str">
        <f>IF(分析!AA315&lt;&gt;"",分析!AA315,"")</f>
        <v/>
      </c>
      <c r="T315" s="155" t="str">
        <f>IF(分析!Z315&lt;&gt;"",分析!Z315,"")</f>
        <v/>
      </c>
      <c r="U315" s="146" t="str">
        <f>IF(分析!V315&lt;&gt;"",分析!V315,"")</f>
        <v/>
      </c>
      <c r="V315" s="156" t="str">
        <f>IF(分析!W315&lt;&gt;"",分析!W315,"")</f>
        <v/>
      </c>
      <c r="W315" s="157" t="str">
        <f>IF(分析!AD315&lt;&gt;"",分析!AD315,"")</f>
        <v/>
      </c>
      <c r="X315" s="158" t="str">
        <f>IF(分析!AE315&lt;&gt;"",分析!AE315,"")</f>
        <v/>
      </c>
      <c r="Y315" s="159" t="str">
        <f>IF(分析!T315&lt;&gt;"",分析!T315,"")</f>
        <v/>
      </c>
      <c r="Z315" s="145" t="str">
        <f>IF(分析!Y315&lt;&gt;"",分析!Y315,"")</f>
        <v/>
      </c>
    </row>
    <row r="316" spans="1:26" ht="21.9" customHeight="1">
      <c r="A316" s="131" t="str">
        <f>IF(分析!C316&lt;&gt;"",ROW()-2,"")</f>
        <v/>
      </c>
      <c r="B316" s="132" t="str">
        <f>IF(分析!C316&lt;&gt;"",HYPERLINK("https://kabutan.jp/stock/?code="&amp;分析!C316,"株探"),"")</f>
        <v/>
      </c>
      <c r="C316" s="133" t="str">
        <f>IF(分析!C316&lt;&gt;"",分析!C316,"")</f>
        <v/>
      </c>
      <c r="D316" s="134" t="str">
        <f>IF(分析!D316&lt;&gt;"",分析!D316,"")</f>
        <v/>
      </c>
      <c r="E316" s="135" t="str">
        <f>IF(分析!E316&lt;&gt;"",分析!E316,"")</f>
        <v/>
      </c>
      <c r="F316" s="136" t="str">
        <f>IF(分析!F316&lt;&gt;"",分析!F316,"")</f>
        <v/>
      </c>
      <c r="G316" s="136" t="str">
        <f>IF(分析!H316&lt;&gt;"",分析!H316,"")</f>
        <v/>
      </c>
      <c r="H316" s="136" t="str">
        <f>IF(分析!I316&lt;&gt;"",分析!I316,"")</f>
        <v/>
      </c>
      <c r="I316" s="136" t="str">
        <f>IF(分析!J316&lt;&gt;"",分析!J316,"")</f>
        <v/>
      </c>
      <c r="J316" s="136" t="str">
        <f>IF(分析!AB316&lt;&gt;"",分析!AB316,"")</f>
        <v/>
      </c>
      <c r="K316" s="136" t="str">
        <f>IF(分析!AC316&lt;&gt;"",分析!AC316,"")</f>
        <v/>
      </c>
      <c r="L316" s="136" t="str">
        <f>IF(分析!K316&lt;&gt;"",分析!K316,"")</f>
        <v/>
      </c>
      <c r="M316" s="131" t="str">
        <f>IF(分析!P316&lt;&gt;"",分析!P316,"")</f>
        <v/>
      </c>
      <c r="N316" s="137" t="str">
        <f>IF(分析!O316&lt;&gt;"",分析!O316,"")</f>
        <v/>
      </c>
      <c r="O316" s="138" t="str">
        <f>IF(分析!X316&lt;&gt;"",分析!X316,"")</f>
        <v/>
      </c>
      <c r="P316" s="139" t="str">
        <f>IF(分析!L316&lt;&gt;"",分析!L316,"")</f>
        <v/>
      </c>
      <c r="Q316" s="136" t="str">
        <f>IF(分析!S316&lt;&gt;"",分析!S316,"")</f>
        <v/>
      </c>
      <c r="R316" s="136" t="str">
        <f>IF(分析!R316&lt;&gt;"",分析!R316,"")</f>
        <v/>
      </c>
      <c r="S316" s="131" t="str">
        <f>IF(分析!AA316&lt;&gt;"",分析!AA316,"")</f>
        <v/>
      </c>
      <c r="T316" s="140" t="str">
        <f>IF(分析!Z316&lt;&gt;"",分析!Z316,"")</f>
        <v/>
      </c>
      <c r="U316" s="131" t="str">
        <f>IF(分析!V316&lt;&gt;"",分析!V316,"")</f>
        <v/>
      </c>
      <c r="V316" s="141" t="str">
        <f>IF(分析!W316&lt;&gt;"",分析!W316,"")</f>
        <v/>
      </c>
      <c r="W316" s="142" t="str">
        <f>IF(分析!AD316&lt;&gt;"",分析!AD316,"")</f>
        <v/>
      </c>
      <c r="X316" s="143" t="str">
        <f>IF(分析!AE316&lt;&gt;"",分析!AE316,"")</f>
        <v/>
      </c>
      <c r="Y316" s="144" t="str">
        <f>IF(分析!T316&lt;&gt;"",分析!T316,"")</f>
        <v/>
      </c>
      <c r="Z316" s="145" t="str">
        <f>IF(分析!Y316&lt;&gt;"",分析!Y316,"")</f>
        <v/>
      </c>
    </row>
    <row r="317" spans="1:26" ht="21.9" customHeight="1">
      <c r="A317" s="146" t="str">
        <f>IF(分析!C317&lt;&gt;"",ROW()-2,"")</f>
        <v/>
      </c>
      <c r="B317" s="147" t="str">
        <f>IF(分析!C317&lt;&gt;"",HYPERLINK("https://kabutan.jp/stock/?code="&amp;分析!C317,"株探"),"")</f>
        <v/>
      </c>
      <c r="C317" s="148" t="str">
        <f>IF(分析!C317&lt;&gt;"",分析!C317,"")</f>
        <v/>
      </c>
      <c r="D317" s="149" t="str">
        <f>IF(分析!D317&lt;&gt;"",分析!D317,"")</f>
        <v/>
      </c>
      <c r="E317" s="150" t="str">
        <f>IF(分析!E317&lt;&gt;"",分析!E317,"")</f>
        <v/>
      </c>
      <c r="F317" s="151" t="str">
        <f>IF(分析!F317&lt;&gt;"",分析!F317,"")</f>
        <v/>
      </c>
      <c r="G317" s="151" t="str">
        <f>IF(分析!H317&lt;&gt;"",分析!H317,"")</f>
        <v/>
      </c>
      <c r="H317" s="151" t="str">
        <f>IF(分析!I317&lt;&gt;"",分析!I317,"")</f>
        <v/>
      </c>
      <c r="I317" s="151" t="str">
        <f>IF(分析!J317&lt;&gt;"",分析!J317,"")</f>
        <v/>
      </c>
      <c r="J317" s="151" t="str">
        <f>IF(分析!AB317&lt;&gt;"",分析!AB317,"")</f>
        <v/>
      </c>
      <c r="K317" s="151" t="str">
        <f>IF(分析!AC317&lt;&gt;"",分析!AC317,"")</f>
        <v/>
      </c>
      <c r="L317" s="151" t="str">
        <f>IF(分析!K317&lt;&gt;"",分析!K317,"")</f>
        <v/>
      </c>
      <c r="M317" s="146" t="str">
        <f>IF(分析!P317&lt;&gt;"",分析!P317,"")</f>
        <v/>
      </c>
      <c r="N317" s="152" t="str">
        <f>IF(分析!O317&lt;&gt;"",分析!O317,"")</f>
        <v/>
      </c>
      <c r="O317" s="153" t="str">
        <f>IF(分析!X317&lt;&gt;"",分析!X317,"")</f>
        <v/>
      </c>
      <c r="P317" s="154" t="str">
        <f>IF(分析!L317&lt;&gt;"",分析!L317,"")</f>
        <v/>
      </c>
      <c r="Q317" s="151" t="str">
        <f>IF(分析!S317&lt;&gt;"",分析!S317,"")</f>
        <v/>
      </c>
      <c r="R317" s="151" t="str">
        <f>IF(分析!R317&lt;&gt;"",分析!R317,"")</f>
        <v/>
      </c>
      <c r="S317" s="146" t="str">
        <f>IF(分析!AA317&lt;&gt;"",分析!AA317,"")</f>
        <v/>
      </c>
      <c r="T317" s="155" t="str">
        <f>IF(分析!Z317&lt;&gt;"",分析!Z317,"")</f>
        <v/>
      </c>
      <c r="U317" s="146" t="str">
        <f>IF(分析!V317&lt;&gt;"",分析!V317,"")</f>
        <v/>
      </c>
      <c r="V317" s="156" t="str">
        <f>IF(分析!W317&lt;&gt;"",分析!W317,"")</f>
        <v/>
      </c>
      <c r="W317" s="157" t="str">
        <f>IF(分析!AD317&lt;&gt;"",分析!AD317,"")</f>
        <v/>
      </c>
      <c r="X317" s="158" t="str">
        <f>IF(分析!AE317&lt;&gt;"",分析!AE317,"")</f>
        <v/>
      </c>
      <c r="Y317" s="159" t="str">
        <f>IF(分析!T317&lt;&gt;"",分析!T317,"")</f>
        <v/>
      </c>
      <c r="Z317" s="145" t="str">
        <f>IF(分析!Y317&lt;&gt;"",分析!Y317,"")</f>
        <v/>
      </c>
    </row>
    <row r="318" spans="1:26" ht="21.9" customHeight="1">
      <c r="A318" s="131" t="str">
        <f>IF(分析!C318&lt;&gt;"",ROW()-2,"")</f>
        <v/>
      </c>
      <c r="B318" s="132" t="str">
        <f>IF(分析!C318&lt;&gt;"",HYPERLINK("https://kabutan.jp/stock/?code="&amp;分析!C318,"株探"),"")</f>
        <v/>
      </c>
      <c r="C318" s="133" t="str">
        <f>IF(分析!C318&lt;&gt;"",分析!C318,"")</f>
        <v/>
      </c>
      <c r="D318" s="134" t="str">
        <f>IF(分析!D318&lt;&gt;"",分析!D318,"")</f>
        <v/>
      </c>
      <c r="E318" s="135" t="str">
        <f>IF(分析!E318&lt;&gt;"",分析!E318,"")</f>
        <v/>
      </c>
      <c r="F318" s="136" t="str">
        <f>IF(分析!F318&lt;&gt;"",分析!F318,"")</f>
        <v/>
      </c>
      <c r="G318" s="136" t="str">
        <f>IF(分析!H318&lt;&gt;"",分析!H318,"")</f>
        <v/>
      </c>
      <c r="H318" s="136" t="str">
        <f>IF(分析!I318&lt;&gt;"",分析!I318,"")</f>
        <v/>
      </c>
      <c r="I318" s="136" t="str">
        <f>IF(分析!J318&lt;&gt;"",分析!J318,"")</f>
        <v/>
      </c>
      <c r="J318" s="136" t="str">
        <f>IF(分析!AB318&lt;&gt;"",分析!AB318,"")</f>
        <v/>
      </c>
      <c r="K318" s="136" t="str">
        <f>IF(分析!AC318&lt;&gt;"",分析!AC318,"")</f>
        <v/>
      </c>
      <c r="L318" s="136" t="str">
        <f>IF(分析!K318&lt;&gt;"",分析!K318,"")</f>
        <v/>
      </c>
      <c r="M318" s="131" t="str">
        <f>IF(分析!P318&lt;&gt;"",分析!P318,"")</f>
        <v/>
      </c>
      <c r="N318" s="137" t="str">
        <f>IF(分析!O318&lt;&gt;"",分析!O318,"")</f>
        <v/>
      </c>
      <c r="O318" s="138" t="str">
        <f>IF(分析!X318&lt;&gt;"",分析!X318,"")</f>
        <v/>
      </c>
      <c r="P318" s="139" t="str">
        <f>IF(分析!L318&lt;&gt;"",分析!L318,"")</f>
        <v/>
      </c>
      <c r="Q318" s="136" t="str">
        <f>IF(分析!S318&lt;&gt;"",分析!S318,"")</f>
        <v/>
      </c>
      <c r="R318" s="136" t="str">
        <f>IF(分析!R318&lt;&gt;"",分析!R318,"")</f>
        <v/>
      </c>
      <c r="S318" s="131" t="str">
        <f>IF(分析!AA318&lt;&gt;"",分析!AA318,"")</f>
        <v/>
      </c>
      <c r="T318" s="140" t="str">
        <f>IF(分析!Z318&lt;&gt;"",分析!Z318,"")</f>
        <v/>
      </c>
      <c r="U318" s="131" t="str">
        <f>IF(分析!V318&lt;&gt;"",分析!V318,"")</f>
        <v/>
      </c>
      <c r="V318" s="141" t="str">
        <f>IF(分析!W318&lt;&gt;"",分析!W318,"")</f>
        <v/>
      </c>
      <c r="W318" s="142" t="str">
        <f>IF(分析!AD318&lt;&gt;"",分析!AD318,"")</f>
        <v/>
      </c>
      <c r="X318" s="143" t="str">
        <f>IF(分析!AE318&lt;&gt;"",分析!AE318,"")</f>
        <v/>
      </c>
      <c r="Y318" s="144" t="str">
        <f>IF(分析!T318&lt;&gt;"",分析!T318,"")</f>
        <v/>
      </c>
      <c r="Z318" s="145" t="str">
        <f>IF(分析!Y318&lt;&gt;"",分析!Y318,"")</f>
        <v/>
      </c>
    </row>
    <row r="319" spans="1:26" ht="21.9" customHeight="1">
      <c r="A319" s="146" t="str">
        <f>IF(分析!C319&lt;&gt;"",ROW()-2,"")</f>
        <v/>
      </c>
      <c r="B319" s="147" t="str">
        <f>IF(分析!C319&lt;&gt;"",HYPERLINK("https://kabutan.jp/stock/?code="&amp;分析!C319,"株探"),"")</f>
        <v/>
      </c>
      <c r="C319" s="148" t="str">
        <f>IF(分析!C319&lt;&gt;"",分析!C319,"")</f>
        <v/>
      </c>
      <c r="D319" s="149" t="str">
        <f>IF(分析!D319&lt;&gt;"",分析!D319,"")</f>
        <v/>
      </c>
      <c r="E319" s="150" t="str">
        <f>IF(分析!E319&lt;&gt;"",分析!E319,"")</f>
        <v/>
      </c>
      <c r="F319" s="151" t="str">
        <f>IF(分析!F319&lt;&gt;"",分析!F319,"")</f>
        <v/>
      </c>
      <c r="G319" s="151" t="str">
        <f>IF(分析!H319&lt;&gt;"",分析!H319,"")</f>
        <v/>
      </c>
      <c r="H319" s="151" t="str">
        <f>IF(分析!I319&lt;&gt;"",分析!I319,"")</f>
        <v/>
      </c>
      <c r="I319" s="151" t="str">
        <f>IF(分析!J319&lt;&gt;"",分析!J319,"")</f>
        <v/>
      </c>
      <c r="J319" s="151" t="str">
        <f>IF(分析!AB319&lt;&gt;"",分析!AB319,"")</f>
        <v/>
      </c>
      <c r="K319" s="151" t="str">
        <f>IF(分析!AC319&lt;&gt;"",分析!AC319,"")</f>
        <v/>
      </c>
      <c r="L319" s="151" t="str">
        <f>IF(分析!K319&lt;&gt;"",分析!K319,"")</f>
        <v/>
      </c>
      <c r="M319" s="146" t="str">
        <f>IF(分析!P319&lt;&gt;"",分析!P319,"")</f>
        <v/>
      </c>
      <c r="N319" s="152" t="str">
        <f>IF(分析!O319&lt;&gt;"",分析!O319,"")</f>
        <v/>
      </c>
      <c r="O319" s="153" t="str">
        <f>IF(分析!X319&lt;&gt;"",分析!X319,"")</f>
        <v/>
      </c>
      <c r="P319" s="154" t="str">
        <f>IF(分析!L319&lt;&gt;"",分析!L319,"")</f>
        <v/>
      </c>
      <c r="Q319" s="151" t="str">
        <f>IF(分析!S319&lt;&gt;"",分析!S319,"")</f>
        <v/>
      </c>
      <c r="R319" s="151" t="str">
        <f>IF(分析!R319&lt;&gt;"",分析!R319,"")</f>
        <v/>
      </c>
      <c r="S319" s="146" t="str">
        <f>IF(分析!AA319&lt;&gt;"",分析!AA319,"")</f>
        <v/>
      </c>
      <c r="T319" s="155" t="str">
        <f>IF(分析!Z319&lt;&gt;"",分析!Z319,"")</f>
        <v/>
      </c>
      <c r="U319" s="146" t="str">
        <f>IF(分析!V319&lt;&gt;"",分析!V319,"")</f>
        <v/>
      </c>
      <c r="V319" s="156" t="str">
        <f>IF(分析!W319&lt;&gt;"",分析!W319,"")</f>
        <v/>
      </c>
      <c r="W319" s="157" t="str">
        <f>IF(分析!AD319&lt;&gt;"",分析!AD319,"")</f>
        <v/>
      </c>
      <c r="X319" s="158" t="str">
        <f>IF(分析!AE319&lt;&gt;"",分析!AE319,"")</f>
        <v/>
      </c>
      <c r="Y319" s="159" t="str">
        <f>IF(分析!T319&lt;&gt;"",分析!T319,"")</f>
        <v/>
      </c>
      <c r="Z319" s="145" t="str">
        <f>IF(分析!Y319&lt;&gt;"",分析!Y319,"")</f>
        <v/>
      </c>
    </row>
    <row r="320" spans="1:26" ht="21.9" customHeight="1">
      <c r="A320" s="131" t="str">
        <f>IF(分析!C320&lt;&gt;"",ROW()-2,"")</f>
        <v/>
      </c>
      <c r="B320" s="132" t="str">
        <f>IF(分析!C320&lt;&gt;"",HYPERLINK("https://kabutan.jp/stock/?code="&amp;分析!C320,"株探"),"")</f>
        <v/>
      </c>
      <c r="C320" s="133" t="str">
        <f>IF(分析!C320&lt;&gt;"",分析!C320,"")</f>
        <v/>
      </c>
      <c r="D320" s="134" t="str">
        <f>IF(分析!D320&lt;&gt;"",分析!D320,"")</f>
        <v/>
      </c>
      <c r="E320" s="135" t="str">
        <f>IF(分析!E320&lt;&gt;"",分析!E320,"")</f>
        <v/>
      </c>
      <c r="F320" s="136" t="str">
        <f>IF(分析!F320&lt;&gt;"",分析!F320,"")</f>
        <v/>
      </c>
      <c r="G320" s="136" t="str">
        <f>IF(分析!H320&lt;&gt;"",分析!H320,"")</f>
        <v/>
      </c>
      <c r="H320" s="136" t="str">
        <f>IF(分析!I320&lt;&gt;"",分析!I320,"")</f>
        <v/>
      </c>
      <c r="I320" s="136" t="str">
        <f>IF(分析!J320&lt;&gt;"",分析!J320,"")</f>
        <v/>
      </c>
      <c r="J320" s="136" t="str">
        <f>IF(分析!AB320&lt;&gt;"",分析!AB320,"")</f>
        <v/>
      </c>
      <c r="K320" s="136" t="str">
        <f>IF(分析!AC320&lt;&gt;"",分析!AC320,"")</f>
        <v/>
      </c>
      <c r="L320" s="136" t="str">
        <f>IF(分析!K320&lt;&gt;"",分析!K320,"")</f>
        <v/>
      </c>
      <c r="M320" s="131" t="str">
        <f>IF(分析!P320&lt;&gt;"",分析!P320,"")</f>
        <v/>
      </c>
      <c r="N320" s="137" t="str">
        <f>IF(分析!O320&lt;&gt;"",分析!O320,"")</f>
        <v/>
      </c>
      <c r="O320" s="138" t="str">
        <f>IF(分析!X320&lt;&gt;"",分析!X320,"")</f>
        <v/>
      </c>
      <c r="P320" s="139" t="str">
        <f>IF(分析!L320&lt;&gt;"",分析!L320,"")</f>
        <v/>
      </c>
      <c r="Q320" s="136" t="str">
        <f>IF(分析!S320&lt;&gt;"",分析!S320,"")</f>
        <v/>
      </c>
      <c r="R320" s="136" t="str">
        <f>IF(分析!R320&lt;&gt;"",分析!R320,"")</f>
        <v/>
      </c>
      <c r="S320" s="131" t="str">
        <f>IF(分析!AA320&lt;&gt;"",分析!AA320,"")</f>
        <v/>
      </c>
      <c r="T320" s="140" t="str">
        <f>IF(分析!Z320&lt;&gt;"",分析!Z320,"")</f>
        <v/>
      </c>
      <c r="U320" s="131" t="str">
        <f>IF(分析!V320&lt;&gt;"",分析!V320,"")</f>
        <v/>
      </c>
      <c r="V320" s="141" t="str">
        <f>IF(分析!W320&lt;&gt;"",分析!W320,"")</f>
        <v/>
      </c>
      <c r="W320" s="142" t="str">
        <f>IF(分析!AD320&lt;&gt;"",分析!AD320,"")</f>
        <v/>
      </c>
      <c r="X320" s="143" t="str">
        <f>IF(分析!AE320&lt;&gt;"",分析!AE320,"")</f>
        <v/>
      </c>
      <c r="Y320" s="144" t="str">
        <f>IF(分析!T320&lt;&gt;"",分析!T320,"")</f>
        <v/>
      </c>
      <c r="Z320" s="145" t="str">
        <f>IF(分析!Y320&lt;&gt;"",分析!Y320,"")</f>
        <v/>
      </c>
    </row>
    <row r="321" spans="1:26" ht="21.9" customHeight="1">
      <c r="A321" s="146" t="str">
        <f>IF(分析!C321&lt;&gt;"",ROW()-2,"")</f>
        <v/>
      </c>
      <c r="B321" s="147" t="str">
        <f>IF(分析!C321&lt;&gt;"",HYPERLINK("https://kabutan.jp/stock/?code="&amp;分析!C321,"株探"),"")</f>
        <v/>
      </c>
      <c r="C321" s="148" t="str">
        <f>IF(分析!C321&lt;&gt;"",分析!C321,"")</f>
        <v/>
      </c>
      <c r="D321" s="149" t="str">
        <f>IF(分析!D321&lt;&gt;"",分析!D321,"")</f>
        <v/>
      </c>
      <c r="E321" s="150" t="str">
        <f>IF(分析!E321&lt;&gt;"",分析!E321,"")</f>
        <v/>
      </c>
      <c r="F321" s="151" t="str">
        <f>IF(分析!F321&lt;&gt;"",分析!F321,"")</f>
        <v/>
      </c>
      <c r="G321" s="151" t="str">
        <f>IF(分析!H321&lt;&gt;"",分析!H321,"")</f>
        <v/>
      </c>
      <c r="H321" s="151" t="str">
        <f>IF(分析!I321&lt;&gt;"",分析!I321,"")</f>
        <v/>
      </c>
      <c r="I321" s="151" t="str">
        <f>IF(分析!J321&lt;&gt;"",分析!J321,"")</f>
        <v/>
      </c>
      <c r="J321" s="151" t="str">
        <f>IF(分析!AB321&lt;&gt;"",分析!AB321,"")</f>
        <v/>
      </c>
      <c r="K321" s="151" t="str">
        <f>IF(分析!AC321&lt;&gt;"",分析!AC321,"")</f>
        <v/>
      </c>
      <c r="L321" s="151" t="str">
        <f>IF(分析!K321&lt;&gt;"",分析!K321,"")</f>
        <v/>
      </c>
      <c r="M321" s="146" t="str">
        <f>IF(分析!P321&lt;&gt;"",分析!P321,"")</f>
        <v/>
      </c>
      <c r="N321" s="152" t="str">
        <f>IF(分析!O321&lt;&gt;"",分析!O321,"")</f>
        <v/>
      </c>
      <c r="O321" s="153" t="str">
        <f>IF(分析!X321&lt;&gt;"",分析!X321,"")</f>
        <v/>
      </c>
      <c r="P321" s="154" t="str">
        <f>IF(分析!L321&lt;&gt;"",分析!L321,"")</f>
        <v/>
      </c>
      <c r="Q321" s="151" t="str">
        <f>IF(分析!S321&lt;&gt;"",分析!S321,"")</f>
        <v/>
      </c>
      <c r="R321" s="151" t="str">
        <f>IF(分析!R321&lt;&gt;"",分析!R321,"")</f>
        <v/>
      </c>
      <c r="S321" s="146" t="str">
        <f>IF(分析!AA321&lt;&gt;"",分析!AA321,"")</f>
        <v/>
      </c>
      <c r="T321" s="155" t="str">
        <f>IF(分析!Z321&lt;&gt;"",分析!Z321,"")</f>
        <v/>
      </c>
      <c r="U321" s="146" t="str">
        <f>IF(分析!V321&lt;&gt;"",分析!V321,"")</f>
        <v/>
      </c>
      <c r="V321" s="156" t="str">
        <f>IF(分析!W321&lt;&gt;"",分析!W321,"")</f>
        <v/>
      </c>
      <c r="W321" s="157" t="str">
        <f>IF(分析!AD321&lt;&gt;"",分析!AD321,"")</f>
        <v/>
      </c>
      <c r="X321" s="158" t="str">
        <f>IF(分析!AE321&lt;&gt;"",分析!AE321,"")</f>
        <v/>
      </c>
      <c r="Y321" s="159" t="str">
        <f>IF(分析!T321&lt;&gt;"",分析!T321,"")</f>
        <v/>
      </c>
      <c r="Z321" s="145" t="str">
        <f>IF(分析!Y321&lt;&gt;"",分析!Y321,"")</f>
        <v/>
      </c>
    </row>
    <row r="322" spans="1:26" ht="21.9" customHeight="1">
      <c r="A322" s="131" t="str">
        <f>IF(分析!C322&lt;&gt;"",ROW()-2,"")</f>
        <v/>
      </c>
      <c r="B322" s="132" t="str">
        <f>IF(分析!C322&lt;&gt;"",HYPERLINK("https://kabutan.jp/stock/?code="&amp;分析!C322,"株探"),"")</f>
        <v/>
      </c>
      <c r="C322" s="133" t="str">
        <f>IF(分析!C322&lt;&gt;"",分析!C322,"")</f>
        <v/>
      </c>
      <c r="D322" s="134" t="str">
        <f>IF(分析!D322&lt;&gt;"",分析!D322,"")</f>
        <v/>
      </c>
      <c r="E322" s="135" t="str">
        <f>IF(分析!E322&lt;&gt;"",分析!E322,"")</f>
        <v/>
      </c>
      <c r="F322" s="136" t="str">
        <f>IF(分析!F322&lt;&gt;"",分析!F322,"")</f>
        <v/>
      </c>
      <c r="G322" s="136" t="str">
        <f>IF(分析!H322&lt;&gt;"",分析!H322,"")</f>
        <v/>
      </c>
      <c r="H322" s="136" t="str">
        <f>IF(分析!I322&lt;&gt;"",分析!I322,"")</f>
        <v/>
      </c>
      <c r="I322" s="136" t="str">
        <f>IF(分析!J322&lt;&gt;"",分析!J322,"")</f>
        <v/>
      </c>
      <c r="J322" s="136" t="str">
        <f>IF(分析!AB322&lt;&gt;"",分析!AB322,"")</f>
        <v/>
      </c>
      <c r="K322" s="136" t="str">
        <f>IF(分析!AC322&lt;&gt;"",分析!AC322,"")</f>
        <v/>
      </c>
      <c r="L322" s="136" t="str">
        <f>IF(分析!K322&lt;&gt;"",分析!K322,"")</f>
        <v/>
      </c>
      <c r="M322" s="131" t="str">
        <f>IF(分析!P322&lt;&gt;"",分析!P322,"")</f>
        <v/>
      </c>
      <c r="N322" s="137" t="str">
        <f>IF(分析!O322&lt;&gt;"",分析!O322,"")</f>
        <v/>
      </c>
      <c r="O322" s="138" t="str">
        <f>IF(分析!X322&lt;&gt;"",分析!X322,"")</f>
        <v/>
      </c>
      <c r="P322" s="139" t="str">
        <f>IF(分析!L322&lt;&gt;"",分析!L322,"")</f>
        <v/>
      </c>
      <c r="Q322" s="136" t="str">
        <f>IF(分析!S322&lt;&gt;"",分析!S322,"")</f>
        <v/>
      </c>
      <c r="R322" s="136" t="str">
        <f>IF(分析!R322&lt;&gt;"",分析!R322,"")</f>
        <v/>
      </c>
      <c r="S322" s="131" t="str">
        <f>IF(分析!AA322&lt;&gt;"",分析!AA322,"")</f>
        <v/>
      </c>
      <c r="T322" s="140" t="str">
        <f>IF(分析!Z322&lt;&gt;"",分析!Z322,"")</f>
        <v/>
      </c>
      <c r="U322" s="131" t="str">
        <f>IF(分析!V322&lt;&gt;"",分析!V322,"")</f>
        <v/>
      </c>
      <c r="V322" s="141" t="str">
        <f>IF(分析!W322&lt;&gt;"",分析!W322,"")</f>
        <v/>
      </c>
      <c r="W322" s="142" t="str">
        <f>IF(分析!AD322&lt;&gt;"",分析!AD322,"")</f>
        <v/>
      </c>
      <c r="X322" s="143" t="str">
        <f>IF(分析!AE322&lt;&gt;"",分析!AE322,"")</f>
        <v/>
      </c>
      <c r="Y322" s="144" t="str">
        <f>IF(分析!T322&lt;&gt;"",分析!T322,"")</f>
        <v/>
      </c>
      <c r="Z322" s="145" t="str">
        <f>IF(分析!Y322&lt;&gt;"",分析!Y322,"")</f>
        <v/>
      </c>
    </row>
    <row r="323" spans="1:26" ht="21.9" customHeight="1">
      <c r="A323" s="146" t="str">
        <f>IF(分析!C323&lt;&gt;"",ROW()-2,"")</f>
        <v/>
      </c>
      <c r="B323" s="147" t="str">
        <f>IF(分析!C323&lt;&gt;"",HYPERLINK("https://kabutan.jp/stock/?code="&amp;分析!C323,"株探"),"")</f>
        <v/>
      </c>
      <c r="C323" s="148" t="str">
        <f>IF(分析!C323&lt;&gt;"",分析!C323,"")</f>
        <v/>
      </c>
      <c r="D323" s="149" t="str">
        <f>IF(分析!D323&lt;&gt;"",分析!D323,"")</f>
        <v/>
      </c>
      <c r="E323" s="150" t="str">
        <f>IF(分析!E323&lt;&gt;"",分析!E323,"")</f>
        <v/>
      </c>
      <c r="F323" s="151" t="str">
        <f>IF(分析!F323&lt;&gt;"",分析!F323,"")</f>
        <v/>
      </c>
      <c r="G323" s="151" t="str">
        <f>IF(分析!H323&lt;&gt;"",分析!H323,"")</f>
        <v/>
      </c>
      <c r="H323" s="151" t="str">
        <f>IF(分析!I323&lt;&gt;"",分析!I323,"")</f>
        <v/>
      </c>
      <c r="I323" s="151" t="str">
        <f>IF(分析!J323&lt;&gt;"",分析!J323,"")</f>
        <v/>
      </c>
      <c r="J323" s="151" t="str">
        <f>IF(分析!AB323&lt;&gt;"",分析!AB323,"")</f>
        <v/>
      </c>
      <c r="K323" s="151" t="str">
        <f>IF(分析!AC323&lt;&gt;"",分析!AC323,"")</f>
        <v/>
      </c>
      <c r="L323" s="151" t="str">
        <f>IF(分析!K323&lt;&gt;"",分析!K323,"")</f>
        <v/>
      </c>
      <c r="M323" s="146" t="str">
        <f>IF(分析!P323&lt;&gt;"",分析!P323,"")</f>
        <v/>
      </c>
      <c r="N323" s="152" t="str">
        <f>IF(分析!O323&lt;&gt;"",分析!O323,"")</f>
        <v/>
      </c>
      <c r="O323" s="153" t="str">
        <f>IF(分析!X323&lt;&gt;"",分析!X323,"")</f>
        <v/>
      </c>
      <c r="P323" s="154" t="str">
        <f>IF(分析!L323&lt;&gt;"",分析!L323,"")</f>
        <v/>
      </c>
      <c r="Q323" s="151" t="str">
        <f>IF(分析!S323&lt;&gt;"",分析!S323,"")</f>
        <v/>
      </c>
      <c r="R323" s="151" t="str">
        <f>IF(分析!R323&lt;&gt;"",分析!R323,"")</f>
        <v/>
      </c>
      <c r="S323" s="146" t="str">
        <f>IF(分析!AA323&lt;&gt;"",分析!AA323,"")</f>
        <v/>
      </c>
      <c r="T323" s="155" t="str">
        <f>IF(分析!Z323&lt;&gt;"",分析!Z323,"")</f>
        <v/>
      </c>
      <c r="U323" s="146" t="str">
        <f>IF(分析!V323&lt;&gt;"",分析!V323,"")</f>
        <v/>
      </c>
      <c r="V323" s="156" t="str">
        <f>IF(分析!W323&lt;&gt;"",分析!W323,"")</f>
        <v/>
      </c>
      <c r="W323" s="157" t="str">
        <f>IF(分析!AD323&lt;&gt;"",分析!AD323,"")</f>
        <v/>
      </c>
      <c r="X323" s="158" t="str">
        <f>IF(分析!AE323&lt;&gt;"",分析!AE323,"")</f>
        <v/>
      </c>
      <c r="Y323" s="159" t="str">
        <f>IF(分析!T323&lt;&gt;"",分析!T323,"")</f>
        <v/>
      </c>
      <c r="Z323" s="145" t="str">
        <f>IF(分析!Y323&lt;&gt;"",分析!Y323,"")</f>
        <v/>
      </c>
    </row>
    <row r="324" spans="1:26" ht="21.9" customHeight="1">
      <c r="A324" s="131" t="str">
        <f>IF(分析!C324&lt;&gt;"",ROW()-2,"")</f>
        <v/>
      </c>
      <c r="B324" s="132" t="str">
        <f>IF(分析!C324&lt;&gt;"",HYPERLINK("https://kabutan.jp/stock/?code="&amp;分析!C324,"株探"),"")</f>
        <v/>
      </c>
      <c r="C324" s="133" t="str">
        <f>IF(分析!C324&lt;&gt;"",分析!C324,"")</f>
        <v/>
      </c>
      <c r="D324" s="134" t="str">
        <f>IF(分析!D324&lt;&gt;"",分析!D324,"")</f>
        <v/>
      </c>
      <c r="E324" s="135" t="str">
        <f>IF(分析!E324&lt;&gt;"",分析!E324,"")</f>
        <v/>
      </c>
      <c r="F324" s="136" t="str">
        <f>IF(分析!F324&lt;&gt;"",分析!F324,"")</f>
        <v/>
      </c>
      <c r="G324" s="136" t="str">
        <f>IF(分析!H324&lt;&gt;"",分析!H324,"")</f>
        <v/>
      </c>
      <c r="H324" s="136" t="str">
        <f>IF(分析!I324&lt;&gt;"",分析!I324,"")</f>
        <v/>
      </c>
      <c r="I324" s="136" t="str">
        <f>IF(分析!J324&lt;&gt;"",分析!J324,"")</f>
        <v/>
      </c>
      <c r="J324" s="136" t="str">
        <f>IF(分析!AB324&lt;&gt;"",分析!AB324,"")</f>
        <v/>
      </c>
      <c r="K324" s="136" t="str">
        <f>IF(分析!AC324&lt;&gt;"",分析!AC324,"")</f>
        <v/>
      </c>
      <c r="L324" s="136" t="str">
        <f>IF(分析!K324&lt;&gt;"",分析!K324,"")</f>
        <v/>
      </c>
      <c r="M324" s="131" t="str">
        <f>IF(分析!P324&lt;&gt;"",分析!P324,"")</f>
        <v/>
      </c>
      <c r="N324" s="137" t="str">
        <f>IF(分析!O324&lt;&gt;"",分析!O324,"")</f>
        <v/>
      </c>
      <c r="O324" s="138" t="str">
        <f>IF(分析!X324&lt;&gt;"",分析!X324,"")</f>
        <v/>
      </c>
      <c r="P324" s="139" t="str">
        <f>IF(分析!L324&lt;&gt;"",分析!L324,"")</f>
        <v/>
      </c>
      <c r="Q324" s="136" t="str">
        <f>IF(分析!S324&lt;&gt;"",分析!S324,"")</f>
        <v/>
      </c>
      <c r="R324" s="136" t="str">
        <f>IF(分析!R324&lt;&gt;"",分析!R324,"")</f>
        <v/>
      </c>
      <c r="S324" s="131" t="str">
        <f>IF(分析!AA324&lt;&gt;"",分析!AA324,"")</f>
        <v/>
      </c>
      <c r="T324" s="140" t="str">
        <f>IF(分析!Z324&lt;&gt;"",分析!Z324,"")</f>
        <v/>
      </c>
      <c r="U324" s="131" t="str">
        <f>IF(分析!V324&lt;&gt;"",分析!V324,"")</f>
        <v/>
      </c>
      <c r="V324" s="141" t="str">
        <f>IF(分析!W324&lt;&gt;"",分析!W324,"")</f>
        <v/>
      </c>
      <c r="W324" s="142" t="str">
        <f>IF(分析!AD324&lt;&gt;"",分析!AD324,"")</f>
        <v/>
      </c>
      <c r="X324" s="143" t="str">
        <f>IF(分析!AE324&lt;&gt;"",分析!AE324,"")</f>
        <v/>
      </c>
      <c r="Y324" s="144" t="str">
        <f>IF(分析!T324&lt;&gt;"",分析!T324,"")</f>
        <v/>
      </c>
      <c r="Z324" s="145" t="str">
        <f>IF(分析!Y324&lt;&gt;"",分析!Y324,"")</f>
        <v/>
      </c>
    </row>
    <row r="325" spans="1:26" ht="21.9" customHeight="1">
      <c r="A325" s="146" t="str">
        <f>IF(分析!C325&lt;&gt;"",ROW()-2,"")</f>
        <v/>
      </c>
      <c r="B325" s="147" t="str">
        <f>IF(分析!C325&lt;&gt;"",HYPERLINK("https://kabutan.jp/stock/?code="&amp;分析!C325,"株探"),"")</f>
        <v/>
      </c>
      <c r="C325" s="148" t="str">
        <f>IF(分析!C325&lt;&gt;"",分析!C325,"")</f>
        <v/>
      </c>
      <c r="D325" s="149" t="str">
        <f>IF(分析!D325&lt;&gt;"",分析!D325,"")</f>
        <v/>
      </c>
      <c r="E325" s="150" t="str">
        <f>IF(分析!E325&lt;&gt;"",分析!E325,"")</f>
        <v/>
      </c>
      <c r="F325" s="151" t="str">
        <f>IF(分析!F325&lt;&gt;"",分析!F325,"")</f>
        <v/>
      </c>
      <c r="G325" s="151" t="str">
        <f>IF(分析!H325&lt;&gt;"",分析!H325,"")</f>
        <v/>
      </c>
      <c r="H325" s="151" t="str">
        <f>IF(分析!I325&lt;&gt;"",分析!I325,"")</f>
        <v/>
      </c>
      <c r="I325" s="151" t="str">
        <f>IF(分析!J325&lt;&gt;"",分析!J325,"")</f>
        <v/>
      </c>
      <c r="J325" s="151" t="str">
        <f>IF(分析!AB325&lt;&gt;"",分析!AB325,"")</f>
        <v/>
      </c>
      <c r="K325" s="151" t="str">
        <f>IF(分析!AC325&lt;&gt;"",分析!AC325,"")</f>
        <v/>
      </c>
      <c r="L325" s="151" t="str">
        <f>IF(分析!K325&lt;&gt;"",分析!K325,"")</f>
        <v/>
      </c>
      <c r="M325" s="146" t="str">
        <f>IF(分析!P325&lt;&gt;"",分析!P325,"")</f>
        <v/>
      </c>
      <c r="N325" s="152" t="str">
        <f>IF(分析!O325&lt;&gt;"",分析!O325,"")</f>
        <v/>
      </c>
      <c r="O325" s="153" t="str">
        <f>IF(分析!X325&lt;&gt;"",分析!X325,"")</f>
        <v/>
      </c>
      <c r="P325" s="154" t="str">
        <f>IF(分析!L325&lt;&gt;"",分析!L325,"")</f>
        <v/>
      </c>
      <c r="Q325" s="151" t="str">
        <f>IF(分析!S325&lt;&gt;"",分析!S325,"")</f>
        <v/>
      </c>
      <c r="R325" s="151" t="str">
        <f>IF(分析!R325&lt;&gt;"",分析!R325,"")</f>
        <v/>
      </c>
      <c r="S325" s="146" t="str">
        <f>IF(分析!AA325&lt;&gt;"",分析!AA325,"")</f>
        <v/>
      </c>
      <c r="T325" s="155" t="str">
        <f>IF(分析!Z325&lt;&gt;"",分析!Z325,"")</f>
        <v/>
      </c>
      <c r="U325" s="146" t="str">
        <f>IF(分析!V325&lt;&gt;"",分析!V325,"")</f>
        <v/>
      </c>
      <c r="V325" s="156" t="str">
        <f>IF(分析!W325&lt;&gt;"",分析!W325,"")</f>
        <v/>
      </c>
      <c r="W325" s="157" t="str">
        <f>IF(分析!AD325&lt;&gt;"",分析!AD325,"")</f>
        <v/>
      </c>
      <c r="X325" s="158" t="str">
        <f>IF(分析!AE325&lt;&gt;"",分析!AE325,"")</f>
        <v/>
      </c>
      <c r="Y325" s="159" t="str">
        <f>IF(分析!T325&lt;&gt;"",分析!T325,"")</f>
        <v/>
      </c>
      <c r="Z325" s="145" t="str">
        <f>IF(分析!Y325&lt;&gt;"",分析!Y325,"")</f>
        <v/>
      </c>
    </row>
    <row r="326" spans="1:26" ht="21.9" customHeight="1">
      <c r="A326" s="131" t="str">
        <f>IF(分析!C326&lt;&gt;"",ROW()-2,"")</f>
        <v/>
      </c>
      <c r="B326" s="132" t="str">
        <f>IF(分析!C326&lt;&gt;"",HYPERLINK("https://kabutan.jp/stock/?code="&amp;分析!C326,"株探"),"")</f>
        <v/>
      </c>
      <c r="C326" s="133" t="str">
        <f>IF(分析!C326&lt;&gt;"",分析!C326,"")</f>
        <v/>
      </c>
      <c r="D326" s="134" t="str">
        <f>IF(分析!D326&lt;&gt;"",分析!D326,"")</f>
        <v/>
      </c>
      <c r="E326" s="135" t="str">
        <f>IF(分析!E326&lt;&gt;"",分析!E326,"")</f>
        <v/>
      </c>
      <c r="F326" s="136" t="str">
        <f>IF(分析!F326&lt;&gt;"",分析!F326,"")</f>
        <v/>
      </c>
      <c r="G326" s="136" t="str">
        <f>IF(分析!H326&lt;&gt;"",分析!H326,"")</f>
        <v/>
      </c>
      <c r="H326" s="136" t="str">
        <f>IF(分析!I326&lt;&gt;"",分析!I326,"")</f>
        <v/>
      </c>
      <c r="I326" s="136" t="str">
        <f>IF(分析!J326&lt;&gt;"",分析!J326,"")</f>
        <v/>
      </c>
      <c r="J326" s="136" t="str">
        <f>IF(分析!AB326&lt;&gt;"",分析!AB326,"")</f>
        <v/>
      </c>
      <c r="K326" s="136" t="str">
        <f>IF(分析!AC326&lt;&gt;"",分析!AC326,"")</f>
        <v/>
      </c>
      <c r="L326" s="136" t="str">
        <f>IF(分析!K326&lt;&gt;"",分析!K326,"")</f>
        <v/>
      </c>
      <c r="M326" s="131" t="str">
        <f>IF(分析!P326&lt;&gt;"",分析!P326,"")</f>
        <v/>
      </c>
      <c r="N326" s="137" t="str">
        <f>IF(分析!O326&lt;&gt;"",分析!O326,"")</f>
        <v/>
      </c>
      <c r="O326" s="138" t="str">
        <f>IF(分析!X326&lt;&gt;"",分析!X326,"")</f>
        <v/>
      </c>
      <c r="P326" s="139" t="str">
        <f>IF(分析!L326&lt;&gt;"",分析!L326,"")</f>
        <v/>
      </c>
      <c r="Q326" s="136" t="str">
        <f>IF(分析!S326&lt;&gt;"",分析!S326,"")</f>
        <v/>
      </c>
      <c r="R326" s="136" t="str">
        <f>IF(分析!R326&lt;&gt;"",分析!R326,"")</f>
        <v/>
      </c>
      <c r="S326" s="131" t="str">
        <f>IF(分析!AA326&lt;&gt;"",分析!AA326,"")</f>
        <v/>
      </c>
      <c r="T326" s="140" t="str">
        <f>IF(分析!Z326&lt;&gt;"",分析!Z326,"")</f>
        <v/>
      </c>
      <c r="U326" s="131" t="str">
        <f>IF(分析!V326&lt;&gt;"",分析!V326,"")</f>
        <v/>
      </c>
      <c r="V326" s="141" t="str">
        <f>IF(分析!W326&lt;&gt;"",分析!W326,"")</f>
        <v/>
      </c>
      <c r="W326" s="142" t="str">
        <f>IF(分析!AD326&lt;&gt;"",分析!AD326,"")</f>
        <v/>
      </c>
      <c r="X326" s="143" t="str">
        <f>IF(分析!AE326&lt;&gt;"",分析!AE326,"")</f>
        <v/>
      </c>
      <c r="Y326" s="144" t="str">
        <f>IF(分析!T326&lt;&gt;"",分析!T326,"")</f>
        <v/>
      </c>
      <c r="Z326" s="145" t="str">
        <f>IF(分析!Y326&lt;&gt;"",分析!Y326,"")</f>
        <v/>
      </c>
    </row>
    <row r="327" spans="1:26" ht="21.9" customHeight="1">
      <c r="A327" s="146" t="str">
        <f>IF(分析!C327&lt;&gt;"",ROW()-2,"")</f>
        <v/>
      </c>
      <c r="B327" s="147" t="str">
        <f>IF(分析!C327&lt;&gt;"",HYPERLINK("https://kabutan.jp/stock/?code="&amp;分析!C327,"株探"),"")</f>
        <v/>
      </c>
      <c r="C327" s="148" t="str">
        <f>IF(分析!C327&lt;&gt;"",分析!C327,"")</f>
        <v/>
      </c>
      <c r="D327" s="149" t="str">
        <f>IF(分析!D327&lt;&gt;"",分析!D327,"")</f>
        <v/>
      </c>
      <c r="E327" s="150" t="str">
        <f>IF(分析!E327&lt;&gt;"",分析!E327,"")</f>
        <v/>
      </c>
      <c r="F327" s="151" t="str">
        <f>IF(分析!F327&lt;&gt;"",分析!F327,"")</f>
        <v/>
      </c>
      <c r="G327" s="151" t="str">
        <f>IF(分析!H327&lt;&gt;"",分析!H327,"")</f>
        <v/>
      </c>
      <c r="H327" s="151" t="str">
        <f>IF(分析!I327&lt;&gt;"",分析!I327,"")</f>
        <v/>
      </c>
      <c r="I327" s="151" t="str">
        <f>IF(分析!J327&lt;&gt;"",分析!J327,"")</f>
        <v/>
      </c>
      <c r="J327" s="151" t="str">
        <f>IF(分析!AB327&lt;&gt;"",分析!AB327,"")</f>
        <v/>
      </c>
      <c r="K327" s="151" t="str">
        <f>IF(分析!AC327&lt;&gt;"",分析!AC327,"")</f>
        <v/>
      </c>
      <c r="L327" s="151" t="str">
        <f>IF(分析!K327&lt;&gt;"",分析!K327,"")</f>
        <v/>
      </c>
      <c r="M327" s="146" t="str">
        <f>IF(分析!P327&lt;&gt;"",分析!P327,"")</f>
        <v/>
      </c>
      <c r="N327" s="152" t="str">
        <f>IF(分析!O327&lt;&gt;"",分析!O327,"")</f>
        <v/>
      </c>
      <c r="O327" s="153" t="str">
        <f>IF(分析!X327&lt;&gt;"",分析!X327,"")</f>
        <v/>
      </c>
      <c r="P327" s="154" t="str">
        <f>IF(分析!L327&lt;&gt;"",分析!L327,"")</f>
        <v/>
      </c>
      <c r="Q327" s="151" t="str">
        <f>IF(分析!S327&lt;&gt;"",分析!S327,"")</f>
        <v/>
      </c>
      <c r="R327" s="151" t="str">
        <f>IF(分析!R327&lt;&gt;"",分析!R327,"")</f>
        <v/>
      </c>
      <c r="S327" s="146" t="str">
        <f>IF(分析!AA327&lt;&gt;"",分析!AA327,"")</f>
        <v/>
      </c>
      <c r="T327" s="155" t="str">
        <f>IF(分析!Z327&lt;&gt;"",分析!Z327,"")</f>
        <v/>
      </c>
      <c r="U327" s="146" t="str">
        <f>IF(分析!V327&lt;&gt;"",分析!V327,"")</f>
        <v/>
      </c>
      <c r="V327" s="156" t="str">
        <f>IF(分析!W327&lt;&gt;"",分析!W327,"")</f>
        <v/>
      </c>
      <c r="W327" s="157" t="str">
        <f>IF(分析!AD327&lt;&gt;"",分析!AD327,"")</f>
        <v/>
      </c>
      <c r="X327" s="158" t="str">
        <f>IF(分析!AE327&lt;&gt;"",分析!AE327,"")</f>
        <v/>
      </c>
      <c r="Y327" s="159" t="str">
        <f>IF(分析!T327&lt;&gt;"",分析!T327,"")</f>
        <v/>
      </c>
      <c r="Z327" s="145" t="str">
        <f>IF(分析!Y327&lt;&gt;"",分析!Y327,"")</f>
        <v/>
      </c>
    </row>
    <row r="328" spans="1:26" ht="21.9" customHeight="1">
      <c r="A328" s="131" t="str">
        <f>IF(分析!C328&lt;&gt;"",ROW()-2,"")</f>
        <v/>
      </c>
      <c r="B328" s="132" t="str">
        <f>IF(分析!C328&lt;&gt;"",HYPERLINK("https://kabutan.jp/stock/?code="&amp;分析!C328,"株探"),"")</f>
        <v/>
      </c>
      <c r="C328" s="133" t="str">
        <f>IF(分析!C328&lt;&gt;"",分析!C328,"")</f>
        <v/>
      </c>
      <c r="D328" s="134" t="str">
        <f>IF(分析!D328&lt;&gt;"",分析!D328,"")</f>
        <v/>
      </c>
      <c r="E328" s="135" t="str">
        <f>IF(分析!E328&lt;&gt;"",分析!E328,"")</f>
        <v/>
      </c>
      <c r="F328" s="136" t="str">
        <f>IF(分析!F328&lt;&gt;"",分析!F328,"")</f>
        <v/>
      </c>
      <c r="G328" s="136" t="str">
        <f>IF(分析!H328&lt;&gt;"",分析!H328,"")</f>
        <v/>
      </c>
      <c r="H328" s="136" t="str">
        <f>IF(分析!I328&lt;&gt;"",分析!I328,"")</f>
        <v/>
      </c>
      <c r="I328" s="136" t="str">
        <f>IF(分析!J328&lt;&gt;"",分析!J328,"")</f>
        <v/>
      </c>
      <c r="J328" s="136" t="str">
        <f>IF(分析!AB328&lt;&gt;"",分析!AB328,"")</f>
        <v/>
      </c>
      <c r="K328" s="136" t="str">
        <f>IF(分析!AC328&lt;&gt;"",分析!AC328,"")</f>
        <v/>
      </c>
      <c r="L328" s="136" t="str">
        <f>IF(分析!K328&lt;&gt;"",分析!K328,"")</f>
        <v/>
      </c>
      <c r="M328" s="131" t="str">
        <f>IF(分析!P328&lt;&gt;"",分析!P328,"")</f>
        <v/>
      </c>
      <c r="N328" s="137" t="str">
        <f>IF(分析!O328&lt;&gt;"",分析!O328,"")</f>
        <v/>
      </c>
      <c r="O328" s="138" t="str">
        <f>IF(分析!X328&lt;&gt;"",分析!X328,"")</f>
        <v/>
      </c>
      <c r="P328" s="139" t="str">
        <f>IF(分析!L328&lt;&gt;"",分析!L328,"")</f>
        <v/>
      </c>
      <c r="Q328" s="136" t="str">
        <f>IF(分析!S328&lt;&gt;"",分析!S328,"")</f>
        <v/>
      </c>
      <c r="R328" s="136" t="str">
        <f>IF(分析!R328&lt;&gt;"",分析!R328,"")</f>
        <v/>
      </c>
      <c r="S328" s="131" t="str">
        <f>IF(分析!AA328&lt;&gt;"",分析!AA328,"")</f>
        <v/>
      </c>
      <c r="T328" s="140" t="str">
        <f>IF(分析!Z328&lt;&gt;"",分析!Z328,"")</f>
        <v/>
      </c>
      <c r="U328" s="131" t="str">
        <f>IF(分析!V328&lt;&gt;"",分析!V328,"")</f>
        <v/>
      </c>
      <c r="V328" s="141" t="str">
        <f>IF(分析!W328&lt;&gt;"",分析!W328,"")</f>
        <v/>
      </c>
      <c r="W328" s="142" t="str">
        <f>IF(分析!AD328&lt;&gt;"",分析!AD328,"")</f>
        <v/>
      </c>
      <c r="X328" s="143" t="str">
        <f>IF(分析!AE328&lt;&gt;"",分析!AE328,"")</f>
        <v/>
      </c>
      <c r="Y328" s="144" t="str">
        <f>IF(分析!T328&lt;&gt;"",分析!T328,"")</f>
        <v/>
      </c>
      <c r="Z328" s="145" t="str">
        <f>IF(分析!Y328&lt;&gt;"",分析!Y328,"")</f>
        <v/>
      </c>
    </row>
    <row r="329" spans="1:26" ht="21.9" customHeight="1">
      <c r="A329" s="146" t="str">
        <f>IF(分析!C329&lt;&gt;"",ROW()-2,"")</f>
        <v/>
      </c>
      <c r="B329" s="147" t="str">
        <f>IF(分析!C329&lt;&gt;"",HYPERLINK("https://kabutan.jp/stock/?code="&amp;分析!C329,"株探"),"")</f>
        <v/>
      </c>
      <c r="C329" s="148" t="str">
        <f>IF(分析!C329&lt;&gt;"",分析!C329,"")</f>
        <v/>
      </c>
      <c r="D329" s="149" t="str">
        <f>IF(分析!D329&lt;&gt;"",分析!D329,"")</f>
        <v/>
      </c>
      <c r="E329" s="150" t="str">
        <f>IF(分析!E329&lt;&gt;"",分析!E329,"")</f>
        <v/>
      </c>
      <c r="F329" s="151" t="str">
        <f>IF(分析!F329&lt;&gt;"",分析!F329,"")</f>
        <v/>
      </c>
      <c r="G329" s="151" t="str">
        <f>IF(分析!H329&lt;&gt;"",分析!H329,"")</f>
        <v/>
      </c>
      <c r="H329" s="151" t="str">
        <f>IF(分析!I329&lt;&gt;"",分析!I329,"")</f>
        <v/>
      </c>
      <c r="I329" s="151" t="str">
        <f>IF(分析!J329&lt;&gt;"",分析!J329,"")</f>
        <v/>
      </c>
      <c r="J329" s="151" t="str">
        <f>IF(分析!AB329&lt;&gt;"",分析!AB329,"")</f>
        <v/>
      </c>
      <c r="K329" s="151" t="str">
        <f>IF(分析!AC329&lt;&gt;"",分析!AC329,"")</f>
        <v/>
      </c>
      <c r="L329" s="151" t="str">
        <f>IF(分析!K329&lt;&gt;"",分析!K329,"")</f>
        <v/>
      </c>
      <c r="M329" s="146" t="str">
        <f>IF(分析!P329&lt;&gt;"",分析!P329,"")</f>
        <v/>
      </c>
      <c r="N329" s="152" t="str">
        <f>IF(分析!O329&lt;&gt;"",分析!O329,"")</f>
        <v/>
      </c>
      <c r="O329" s="153" t="str">
        <f>IF(分析!X329&lt;&gt;"",分析!X329,"")</f>
        <v/>
      </c>
      <c r="P329" s="154" t="str">
        <f>IF(分析!L329&lt;&gt;"",分析!L329,"")</f>
        <v/>
      </c>
      <c r="Q329" s="151" t="str">
        <f>IF(分析!S329&lt;&gt;"",分析!S329,"")</f>
        <v/>
      </c>
      <c r="R329" s="151" t="str">
        <f>IF(分析!R329&lt;&gt;"",分析!R329,"")</f>
        <v/>
      </c>
      <c r="S329" s="146" t="str">
        <f>IF(分析!AA329&lt;&gt;"",分析!AA329,"")</f>
        <v/>
      </c>
      <c r="T329" s="155" t="str">
        <f>IF(分析!Z329&lt;&gt;"",分析!Z329,"")</f>
        <v/>
      </c>
      <c r="U329" s="146" t="str">
        <f>IF(分析!V329&lt;&gt;"",分析!V329,"")</f>
        <v/>
      </c>
      <c r="V329" s="156" t="str">
        <f>IF(分析!W329&lt;&gt;"",分析!W329,"")</f>
        <v/>
      </c>
      <c r="W329" s="157" t="str">
        <f>IF(分析!AD329&lt;&gt;"",分析!AD329,"")</f>
        <v/>
      </c>
      <c r="X329" s="158" t="str">
        <f>IF(分析!AE329&lt;&gt;"",分析!AE329,"")</f>
        <v/>
      </c>
      <c r="Y329" s="159" t="str">
        <f>IF(分析!T329&lt;&gt;"",分析!T329,"")</f>
        <v/>
      </c>
      <c r="Z329" s="145" t="str">
        <f>IF(分析!Y329&lt;&gt;"",分析!Y329,"")</f>
        <v/>
      </c>
    </row>
    <row r="330" spans="1:26" ht="21.9" customHeight="1">
      <c r="A330" s="131" t="str">
        <f>IF(分析!C330&lt;&gt;"",ROW()-2,"")</f>
        <v/>
      </c>
      <c r="B330" s="132" t="str">
        <f>IF(分析!C330&lt;&gt;"",HYPERLINK("https://kabutan.jp/stock/?code="&amp;分析!C330,"株探"),"")</f>
        <v/>
      </c>
      <c r="C330" s="133" t="str">
        <f>IF(分析!C330&lt;&gt;"",分析!C330,"")</f>
        <v/>
      </c>
      <c r="D330" s="134" t="str">
        <f>IF(分析!D330&lt;&gt;"",分析!D330,"")</f>
        <v/>
      </c>
      <c r="E330" s="135" t="str">
        <f>IF(分析!E330&lt;&gt;"",分析!E330,"")</f>
        <v/>
      </c>
      <c r="F330" s="136" t="str">
        <f>IF(分析!F330&lt;&gt;"",分析!F330,"")</f>
        <v/>
      </c>
      <c r="G330" s="136" t="str">
        <f>IF(分析!H330&lt;&gt;"",分析!H330,"")</f>
        <v/>
      </c>
      <c r="H330" s="136" t="str">
        <f>IF(分析!I330&lt;&gt;"",分析!I330,"")</f>
        <v/>
      </c>
      <c r="I330" s="136" t="str">
        <f>IF(分析!J330&lt;&gt;"",分析!J330,"")</f>
        <v/>
      </c>
      <c r="J330" s="136" t="str">
        <f>IF(分析!AB330&lt;&gt;"",分析!AB330,"")</f>
        <v/>
      </c>
      <c r="K330" s="136" t="str">
        <f>IF(分析!AC330&lt;&gt;"",分析!AC330,"")</f>
        <v/>
      </c>
      <c r="L330" s="136" t="str">
        <f>IF(分析!K330&lt;&gt;"",分析!K330,"")</f>
        <v/>
      </c>
      <c r="M330" s="131" t="str">
        <f>IF(分析!P330&lt;&gt;"",分析!P330,"")</f>
        <v/>
      </c>
      <c r="N330" s="137" t="str">
        <f>IF(分析!O330&lt;&gt;"",分析!O330,"")</f>
        <v/>
      </c>
      <c r="O330" s="138" t="str">
        <f>IF(分析!X330&lt;&gt;"",分析!X330,"")</f>
        <v/>
      </c>
      <c r="P330" s="139" t="str">
        <f>IF(分析!L330&lt;&gt;"",分析!L330,"")</f>
        <v/>
      </c>
      <c r="Q330" s="136" t="str">
        <f>IF(分析!S330&lt;&gt;"",分析!S330,"")</f>
        <v/>
      </c>
      <c r="R330" s="136" t="str">
        <f>IF(分析!R330&lt;&gt;"",分析!R330,"")</f>
        <v/>
      </c>
      <c r="S330" s="131" t="str">
        <f>IF(分析!AA330&lt;&gt;"",分析!AA330,"")</f>
        <v/>
      </c>
      <c r="T330" s="140" t="str">
        <f>IF(分析!Z330&lt;&gt;"",分析!Z330,"")</f>
        <v/>
      </c>
      <c r="U330" s="131" t="str">
        <f>IF(分析!V330&lt;&gt;"",分析!V330,"")</f>
        <v/>
      </c>
      <c r="V330" s="141" t="str">
        <f>IF(分析!W330&lt;&gt;"",分析!W330,"")</f>
        <v/>
      </c>
      <c r="W330" s="142" t="str">
        <f>IF(分析!AD330&lt;&gt;"",分析!AD330,"")</f>
        <v/>
      </c>
      <c r="X330" s="143" t="str">
        <f>IF(分析!AE330&lt;&gt;"",分析!AE330,"")</f>
        <v/>
      </c>
      <c r="Y330" s="144" t="str">
        <f>IF(分析!T330&lt;&gt;"",分析!T330,"")</f>
        <v/>
      </c>
      <c r="Z330" s="145" t="str">
        <f>IF(分析!Y330&lt;&gt;"",分析!Y330,"")</f>
        <v/>
      </c>
    </row>
    <row r="331" spans="1:26" ht="21.9" customHeight="1">
      <c r="A331" s="146" t="str">
        <f>IF(分析!C331&lt;&gt;"",ROW()-2,"")</f>
        <v/>
      </c>
      <c r="B331" s="147" t="str">
        <f>IF(分析!C331&lt;&gt;"",HYPERLINK("https://kabutan.jp/stock/?code="&amp;分析!C331,"株探"),"")</f>
        <v/>
      </c>
      <c r="C331" s="148" t="str">
        <f>IF(分析!C331&lt;&gt;"",分析!C331,"")</f>
        <v/>
      </c>
      <c r="D331" s="149" t="str">
        <f>IF(分析!D331&lt;&gt;"",分析!D331,"")</f>
        <v/>
      </c>
      <c r="E331" s="150" t="str">
        <f>IF(分析!E331&lt;&gt;"",分析!E331,"")</f>
        <v/>
      </c>
      <c r="F331" s="151" t="str">
        <f>IF(分析!F331&lt;&gt;"",分析!F331,"")</f>
        <v/>
      </c>
      <c r="G331" s="151" t="str">
        <f>IF(分析!H331&lt;&gt;"",分析!H331,"")</f>
        <v/>
      </c>
      <c r="H331" s="151" t="str">
        <f>IF(分析!I331&lt;&gt;"",分析!I331,"")</f>
        <v/>
      </c>
      <c r="I331" s="151" t="str">
        <f>IF(分析!J331&lt;&gt;"",分析!J331,"")</f>
        <v/>
      </c>
      <c r="J331" s="151" t="str">
        <f>IF(分析!AB331&lt;&gt;"",分析!AB331,"")</f>
        <v/>
      </c>
      <c r="K331" s="151" t="str">
        <f>IF(分析!AC331&lt;&gt;"",分析!AC331,"")</f>
        <v/>
      </c>
      <c r="L331" s="151" t="str">
        <f>IF(分析!K331&lt;&gt;"",分析!K331,"")</f>
        <v/>
      </c>
      <c r="M331" s="146" t="str">
        <f>IF(分析!P331&lt;&gt;"",分析!P331,"")</f>
        <v/>
      </c>
      <c r="N331" s="152" t="str">
        <f>IF(分析!O331&lt;&gt;"",分析!O331,"")</f>
        <v/>
      </c>
      <c r="O331" s="153" t="str">
        <f>IF(分析!X331&lt;&gt;"",分析!X331,"")</f>
        <v/>
      </c>
      <c r="P331" s="154" t="str">
        <f>IF(分析!L331&lt;&gt;"",分析!L331,"")</f>
        <v/>
      </c>
      <c r="Q331" s="151" t="str">
        <f>IF(分析!S331&lt;&gt;"",分析!S331,"")</f>
        <v/>
      </c>
      <c r="R331" s="151" t="str">
        <f>IF(分析!R331&lt;&gt;"",分析!R331,"")</f>
        <v/>
      </c>
      <c r="S331" s="146" t="str">
        <f>IF(分析!AA331&lt;&gt;"",分析!AA331,"")</f>
        <v/>
      </c>
      <c r="T331" s="155" t="str">
        <f>IF(分析!Z331&lt;&gt;"",分析!Z331,"")</f>
        <v/>
      </c>
      <c r="U331" s="146" t="str">
        <f>IF(分析!V331&lt;&gt;"",分析!V331,"")</f>
        <v/>
      </c>
      <c r="V331" s="156" t="str">
        <f>IF(分析!W331&lt;&gt;"",分析!W331,"")</f>
        <v/>
      </c>
      <c r="W331" s="157" t="str">
        <f>IF(分析!AD331&lt;&gt;"",分析!AD331,"")</f>
        <v/>
      </c>
      <c r="X331" s="158" t="str">
        <f>IF(分析!AE331&lt;&gt;"",分析!AE331,"")</f>
        <v/>
      </c>
      <c r="Y331" s="159" t="str">
        <f>IF(分析!T331&lt;&gt;"",分析!T331,"")</f>
        <v/>
      </c>
      <c r="Z331" s="145" t="str">
        <f>IF(分析!Y331&lt;&gt;"",分析!Y331,"")</f>
        <v/>
      </c>
    </row>
    <row r="332" spans="1:26" ht="21.9" customHeight="1">
      <c r="A332" s="131" t="str">
        <f>IF(分析!C332&lt;&gt;"",ROW()-2,"")</f>
        <v/>
      </c>
      <c r="B332" s="132" t="str">
        <f>IF(分析!C332&lt;&gt;"",HYPERLINK("https://kabutan.jp/stock/?code="&amp;分析!C332,"株探"),"")</f>
        <v/>
      </c>
      <c r="C332" s="133" t="str">
        <f>IF(分析!C332&lt;&gt;"",分析!C332,"")</f>
        <v/>
      </c>
      <c r="D332" s="134" t="str">
        <f>IF(分析!D332&lt;&gt;"",分析!D332,"")</f>
        <v/>
      </c>
      <c r="E332" s="135" t="str">
        <f>IF(分析!E332&lt;&gt;"",分析!E332,"")</f>
        <v/>
      </c>
      <c r="F332" s="136" t="str">
        <f>IF(分析!F332&lt;&gt;"",分析!F332,"")</f>
        <v/>
      </c>
      <c r="G332" s="136" t="str">
        <f>IF(分析!H332&lt;&gt;"",分析!H332,"")</f>
        <v/>
      </c>
      <c r="H332" s="136" t="str">
        <f>IF(分析!I332&lt;&gt;"",分析!I332,"")</f>
        <v/>
      </c>
      <c r="I332" s="136" t="str">
        <f>IF(分析!J332&lt;&gt;"",分析!J332,"")</f>
        <v/>
      </c>
      <c r="J332" s="136" t="str">
        <f>IF(分析!AB332&lt;&gt;"",分析!AB332,"")</f>
        <v/>
      </c>
      <c r="K332" s="136" t="str">
        <f>IF(分析!AC332&lt;&gt;"",分析!AC332,"")</f>
        <v/>
      </c>
      <c r="L332" s="136" t="str">
        <f>IF(分析!K332&lt;&gt;"",分析!K332,"")</f>
        <v/>
      </c>
      <c r="M332" s="131" t="str">
        <f>IF(分析!P332&lt;&gt;"",分析!P332,"")</f>
        <v/>
      </c>
      <c r="N332" s="137" t="str">
        <f>IF(分析!O332&lt;&gt;"",分析!O332,"")</f>
        <v/>
      </c>
      <c r="O332" s="138" t="str">
        <f>IF(分析!X332&lt;&gt;"",分析!X332,"")</f>
        <v/>
      </c>
      <c r="P332" s="139" t="str">
        <f>IF(分析!L332&lt;&gt;"",分析!L332,"")</f>
        <v/>
      </c>
      <c r="Q332" s="136" t="str">
        <f>IF(分析!S332&lt;&gt;"",分析!S332,"")</f>
        <v/>
      </c>
      <c r="R332" s="136" t="str">
        <f>IF(分析!R332&lt;&gt;"",分析!R332,"")</f>
        <v/>
      </c>
      <c r="S332" s="131" t="str">
        <f>IF(分析!AA332&lt;&gt;"",分析!AA332,"")</f>
        <v/>
      </c>
      <c r="T332" s="140" t="str">
        <f>IF(分析!Z332&lt;&gt;"",分析!Z332,"")</f>
        <v/>
      </c>
      <c r="U332" s="131" t="str">
        <f>IF(分析!V332&lt;&gt;"",分析!V332,"")</f>
        <v/>
      </c>
      <c r="V332" s="141" t="str">
        <f>IF(分析!W332&lt;&gt;"",分析!W332,"")</f>
        <v/>
      </c>
      <c r="W332" s="142" t="str">
        <f>IF(分析!AD332&lt;&gt;"",分析!AD332,"")</f>
        <v/>
      </c>
      <c r="X332" s="143" t="str">
        <f>IF(分析!AE332&lt;&gt;"",分析!AE332,"")</f>
        <v/>
      </c>
      <c r="Y332" s="144" t="str">
        <f>IF(分析!T332&lt;&gt;"",分析!T332,"")</f>
        <v/>
      </c>
      <c r="Z332" s="145" t="str">
        <f>IF(分析!Y332&lt;&gt;"",分析!Y332,"")</f>
        <v/>
      </c>
    </row>
    <row r="333" spans="1:26" ht="21.9" customHeight="1">
      <c r="A333" s="146" t="str">
        <f>IF(分析!C333&lt;&gt;"",ROW()-2,"")</f>
        <v/>
      </c>
      <c r="B333" s="147" t="str">
        <f>IF(分析!C333&lt;&gt;"",HYPERLINK("https://kabutan.jp/stock/?code="&amp;分析!C333,"株探"),"")</f>
        <v/>
      </c>
      <c r="C333" s="148" t="str">
        <f>IF(分析!C333&lt;&gt;"",分析!C333,"")</f>
        <v/>
      </c>
      <c r="D333" s="149" t="str">
        <f>IF(分析!D333&lt;&gt;"",分析!D333,"")</f>
        <v/>
      </c>
      <c r="E333" s="150" t="str">
        <f>IF(分析!E333&lt;&gt;"",分析!E333,"")</f>
        <v/>
      </c>
      <c r="F333" s="151" t="str">
        <f>IF(分析!F333&lt;&gt;"",分析!F333,"")</f>
        <v/>
      </c>
      <c r="G333" s="151" t="str">
        <f>IF(分析!H333&lt;&gt;"",分析!H333,"")</f>
        <v/>
      </c>
      <c r="H333" s="151" t="str">
        <f>IF(分析!I333&lt;&gt;"",分析!I333,"")</f>
        <v/>
      </c>
      <c r="I333" s="151" t="str">
        <f>IF(分析!J333&lt;&gt;"",分析!J333,"")</f>
        <v/>
      </c>
      <c r="J333" s="151" t="str">
        <f>IF(分析!AB333&lt;&gt;"",分析!AB333,"")</f>
        <v/>
      </c>
      <c r="K333" s="151" t="str">
        <f>IF(分析!AC333&lt;&gt;"",分析!AC333,"")</f>
        <v/>
      </c>
      <c r="L333" s="151" t="str">
        <f>IF(分析!K333&lt;&gt;"",分析!K333,"")</f>
        <v/>
      </c>
      <c r="M333" s="146" t="str">
        <f>IF(分析!P333&lt;&gt;"",分析!P333,"")</f>
        <v/>
      </c>
      <c r="N333" s="152" t="str">
        <f>IF(分析!O333&lt;&gt;"",分析!O333,"")</f>
        <v/>
      </c>
      <c r="O333" s="153" t="str">
        <f>IF(分析!X333&lt;&gt;"",分析!X333,"")</f>
        <v/>
      </c>
      <c r="P333" s="154" t="str">
        <f>IF(分析!L333&lt;&gt;"",分析!L333,"")</f>
        <v/>
      </c>
      <c r="Q333" s="151" t="str">
        <f>IF(分析!S333&lt;&gt;"",分析!S333,"")</f>
        <v/>
      </c>
      <c r="R333" s="151" t="str">
        <f>IF(分析!R333&lt;&gt;"",分析!R333,"")</f>
        <v/>
      </c>
      <c r="S333" s="146" t="str">
        <f>IF(分析!AA333&lt;&gt;"",分析!AA333,"")</f>
        <v/>
      </c>
      <c r="T333" s="155" t="str">
        <f>IF(分析!Z333&lt;&gt;"",分析!Z333,"")</f>
        <v/>
      </c>
      <c r="U333" s="146" t="str">
        <f>IF(分析!V333&lt;&gt;"",分析!V333,"")</f>
        <v/>
      </c>
      <c r="V333" s="156" t="str">
        <f>IF(分析!W333&lt;&gt;"",分析!W333,"")</f>
        <v/>
      </c>
      <c r="W333" s="157" t="str">
        <f>IF(分析!AD333&lt;&gt;"",分析!AD333,"")</f>
        <v/>
      </c>
      <c r="X333" s="158" t="str">
        <f>IF(分析!AE333&lt;&gt;"",分析!AE333,"")</f>
        <v/>
      </c>
      <c r="Y333" s="159" t="str">
        <f>IF(分析!T333&lt;&gt;"",分析!T333,"")</f>
        <v/>
      </c>
      <c r="Z333" s="145" t="str">
        <f>IF(分析!Y333&lt;&gt;"",分析!Y333,"")</f>
        <v/>
      </c>
    </row>
    <row r="334" spans="1:26" ht="21.9" customHeight="1">
      <c r="A334" s="131" t="str">
        <f>IF(分析!C334&lt;&gt;"",ROW()-2,"")</f>
        <v/>
      </c>
      <c r="B334" s="132" t="str">
        <f>IF(分析!C334&lt;&gt;"",HYPERLINK("https://kabutan.jp/stock/?code="&amp;分析!C334,"株探"),"")</f>
        <v/>
      </c>
      <c r="C334" s="133" t="str">
        <f>IF(分析!C334&lt;&gt;"",分析!C334,"")</f>
        <v/>
      </c>
      <c r="D334" s="134" t="str">
        <f>IF(分析!D334&lt;&gt;"",分析!D334,"")</f>
        <v/>
      </c>
      <c r="E334" s="135" t="str">
        <f>IF(分析!E334&lt;&gt;"",分析!E334,"")</f>
        <v/>
      </c>
      <c r="F334" s="136" t="str">
        <f>IF(分析!F334&lt;&gt;"",分析!F334,"")</f>
        <v/>
      </c>
      <c r="G334" s="136" t="str">
        <f>IF(分析!H334&lt;&gt;"",分析!H334,"")</f>
        <v/>
      </c>
      <c r="H334" s="136" t="str">
        <f>IF(分析!I334&lt;&gt;"",分析!I334,"")</f>
        <v/>
      </c>
      <c r="I334" s="136" t="str">
        <f>IF(分析!J334&lt;&gt;"",分析!J334,"")</f>
        <v/>
      </c>
      <c r="J334" s="136" t="str">
        <f>IF(分析!AB334&lt;&gt;"",分析!AB334,"")</f>
        <v/>
      </c>
      <c r="K334" s="136" t="str">
        <f>IF(分析!AC334&lt;&gt;"",分析!AC334,"")</f>
        <v/>
      </c>
      <c r="L334" s="136" t="str">
        <f>IF(分析!K334&lt;&gt;"",分析!K334,"")</f>
        <v/>
      </c>
      <c r="M334" s="131" t="str">
        <f>IF(分析!P334&lt;&gt;"",分析!P334,"")</f>
        <v/>
      </c>
      <c r="N334" s="137" t="str">
        <f>IF(分析!O334&lt;&gt;"",分析!O334,"")</f>
        <v/>
      </c>
      <c r="O334" s="138" t="str">
        <f>IF(分析!X334&lt;&gt;"",分析!X334,"")</f>
        <v/>
      </c>
      <c r="P334" s="139" t="str">
        <f>IF(分析!L334&lt;&gt;"",分析!L334,"")</f>
        <v/>
      </c>
      <c r="Q334" s="136" t="str">
        <f>IF(分析!S334&lt;&gt;"",分析!S334,"")</f>
        <v/>
      </c>
      <c r="R334" s="136" t="str">
        <f>IF(分析!R334&lt;&gt;"",分析!R334,"")</f>
        <v/>
      </c>
      <c r="S334" s="131" t="str">
        <f>IF(分析!AA334&lt;&gt;"",分析!AA334,"")</f>
        <v/>
      </c>
      <c r="T334" s="140" t="str">
        <f>IF(分析!Z334&lt;&gt;"",分析!Z334,"")</f>
        <v/>
      </c>
      <c r="U334" s="131" t="str">
        <f>IF(分析!V334&lt;&gt;"",分析!V334,"")</f>
        <v/>
      </c>
      <c r="V334" s="141" t="str">
        <f>IF(分析!W334&lt;&gt;"",分析!W334,"")</f>
        <v/>
      </c>
      <c r="W334" s="142" t="str">
        <f>IF(分析!AD334&lt;&gt;"",分析!AD334,"")</f>
        <v/>
      </c>
      <c r="X334" s="143" t="str">
        <f>IF(分析!AE334&lt;&gt;"",分析!AE334,"")</f>
        <v/>
      </c>
      <c r="Y334" s="144" t="str">
        <f>IF(分析!T334&lt;&gt;"",分析!T334,"")</f>
        <v/>
      </c>
      <c r="Z334" s="145" t="str">
        <f>IF(分析!Y334&lt;&gt;"",分析!Y334,"")</f>
        <v/>
      </c>
    </row>
    <row r="335" spans="1:26" ht="21.9" customHeight="1">
      <c r="A335" s="146" t="str">
        <f>IF(分析!C335&lt;&gt;"",ROW()-2,"")</f>
        <v/>
      </c>
      <c r="B335" s="147" t="str">
        <f>IF(分析!C335&lt;&gt;"",HYPERLINK("https://kabutan.jp/stock/?code="&amp;分析!C335,"株探"),"")</f>
        <v/>
      </c>
      <c r="C335" s="148" t="str">
        <f>IF(分析!C335&lt;&gt;"",分析!C335,"")</f>
        <v/>
      </c>
      <c r="D335" s="149" t="str">
        <f>IF(分析!D335&lt;&gt;"",分析!D335,"")</f>
        <v/>
      </c>
      <c r="E335" s="150" t="str">
        <f>IF(分析!E335&lt;&gt;"",分析!E335,"")</f>
        <v/>
      </c>
      <c r="F335" s="151" t="str">
        <f>IF(分析!F335&lt;&gt;"",分析!F335,"")</f>
        <v/>
      </c>
      <c r="G335" s="151" t="str">
        <f>IF(分析!H335&lt;&gt;"",分析!H335,"")</f>
        <v/>
      </c>
      <c r="H335" s="151" t="str">
        <f>IF(分析!I335&lt;&gt;"",分析!I335,"")</f>
        <v/>
      </c>
      <c r="I335" s="151" t="str">
        <f>IF(分析!J335&lt;&gt;"",分析!J335,"")</f>
        <v/>
      </c>
      <c r="J335" s="151" t="str">
        <f>IF(分析!AB335&lt;&gt;"",分析!AB335,"")</f>
        <v/>
      </c>
      <c r="K335" s="151" t="str">
        <f>IF(分析!AC335&lt;&gt;"",分析!AC335,"")</f>
        <v/>
      </c>
      <c r="L335" s="151" t="str">
        <f>IF(分析!K335&lt;&gt;"",分析!K335,"")</f>
        <v/>
      </c>
      <c r="M335" s="146" t="str">
        <f>IF(分析!P335&lt;&gt;"",分析!P335,"")</f>
        <v/>
      </c>
      <c r="N335" s="152" t="str">
        <f>IF(分析!O335&lt;&gt;"",分析!O335,"")</f>
        <v/>
      </c>
      <c r="O335" s="153" t="str">
        <f>IF(分析!X335&lt;&gt;"",分析!X335,"")</f>
        <v/>
      </c>
      <c r="P335" s="154" t="str">
        <f>IF(分析!L335&lt;&gt;"",分析!L335,"")</f>
        <v/>
      </c>
      <c r="Q335" s="151" t="str">
        <f>IF(分析!S335&lt;&gt;"",分析!S335,"")</f>
        <v/>
      </c>
      <c r="R335" s="151" t="str">
        <f>IF(分析!R335&lt;&gt;"",分析!R335,"")</f>
        <v/>
      </c>
      <c r="S335" s="146" t="str">
        <f>IF(分析!AA335&lt;&gt;"",分析!AA335,"")</f>
        <v/>
      </c>
      <c r="T335" s="155" t="str">
        <f>IF(分析!Z335&lt;&gt;"",分析!Z335,"")</f>
        <v/>
      </c>
      <c r="U335" s="146" t="str">
        <f>IF(分析!V335&lt;&gt;"",分析!V335,"")</f>
        <v/>
      </c>
      <c r="V335" s="156" t="str">
        <f>IF(分析!W335&lt;&gt;"",分析!W335,"")</f>
        <v/>
      </c>
      <c r="W335" s="157" t="str">
        <f>IF(分析!AD335&lt;&gt;"",分析!AD335,"")</f>
        <v/>
      </c>
      <c r="X335" s="158" t="str">
        <f>IF(分析!AE335&lt;&gt;"",分析!AE335,"")</f>
        <v/>
      </c>
      <c r="Y335" s="159" t="str">
        <f>IF(分析!T335&lt;&gt;"",分析!T335,"")</f>
        <v/>
      </c>
      <c r="Z335" s="145" t="str">
        <f>IF(分析!Y335&lt;&gt;"",分析!Y335,"")</f>
        <v/>
      </c>
    </row>
    <row r="336" spans="1:26" ht="21.9" customHeight="1">
      <c r="A336" s="131" t="str">
        <f>IF(分析!C336&lt;&gt;"",ROW()-2,"")</f>
        <v/>
      </c>
      <c r="B336" s="132" t="str">
        <f>IF(分析!C336&lt;&gt;"",HYPERLINK("https://kabutan.jp/stock/?code="&amp;分析!C336,"株探"),"")</f>
        <v/>
      </c>
      <c r="C336" s="133" t="str">
        <f>IF(分析!C336&lt;&gt;"",分析!C336,"")</f>
        <v/>
      </c>
      <c r="D336" s="134" t="str">
        <f>IF(分析!D336&lt;&gt;"",分析!D336,"")</f>
        <v/>
      </c>
      <c r="E336" s="135" t="str">
        <f>IF(分析!E336&lt;&gt;"",分析!E336,"")</f>
        <v/>
      </c>
      <c r="F336" s="136" t="str">
        <f>IF(分析!F336&lt;&gt;"",分析!F336,"")</f>
        <v/>
      </c>
      <c r="G336" s="136" t="str">
        <f>IF(分析!H336&lt;&gt;"",分析!H336,"")</f>
        <v/>
      </c>
      <c r="H336" s="136" t="str">
        <f>IF(分析!I336&lt;&gt;"",分析!I336,"")</f>
        <v/>
      </c>
      <c r="I336" s="136" t="str">
        <f>IF(分析!J336&lt;&gt;"",分析!J336,"")</f>
        <v/>
      </c>
      <c r="J336" s="136" t="str">
        <f>IF(分析!AB336&lt;&gt;"",分析!AB336,"")</f>
        <v/>
      </c>
      <c r="K336" s="136" t="str">
        <f>IF(分析!AC336&lt;&gt;"",分析!AC336,"")</f>
        <v/>
      </c>
      <c r="L336" s="136" t="str">
        <f>IF(分析!K336&lt;&gt;"",分析!K336,"")</f>
        <v/>
      </c>
      <c r="M336" s="131" t="str">
        <f>IF(分析!P336&lt;&gt;"",分析!P336,"")</f>
        <v/>
      </c>
      <c r="N336" s="137" t="str">
        <f>IF(分析!O336&lt;&gt;"",分析!O336,"")</f>
        <v/>
      </c>
      <c r="O336" s="138" t="str">
        <f>IF(分析!X336&lt;&gt;"",分析!X336,"")</f>
        <v/>
      </c>
      <c r="P336" s="139" t="str">
        <f>IF(分析!L336&lt;&gt;"",分析!L336,"")</f>
        <v/>
      </c>
      <c r="Q336" s="136" t="str">
        <f>IF(分析!S336&lt;&gt;"",分析!S336,"")</f>
        <v/>
      </c>
      <c r="R336" s="136" t="str">
        <f>IF(分析!R336&lt;&gt;"",分析!R336,"")</f>
        <v/>
      </c>
      <c r="S336" s="131" t="str">
        <f>IF(分析!AA336&lt;&gt;"",分析!AA336,"")</f>
        <v/>
      </c>
      <c r="T336" s="140" t="str">
        <f>IF(分析!Z336&lt;&gt;"",分析!Z336,"")</f>
        <v/>
      </c>
      <c r="U336" s="131" t="str">
        <f>IF(分析!V336&lt;&gt;"",分析!V336,"")</f>
        <v/>
      </c>
      <c r="V336" s="141" t="str">
        <f>IF(分析!W336&lt;&gt;"",分析!W336,"")</f>
        <v/>
      </c>
      <c r="W336" s="142" t="str">
        <f>IF(分析!AD336&lt;&gt;"",分析!AD336,"")</f>
        <v/>
      </c>
      <c r="X336" s="143" t="str">
        <f>IF(分析!AE336&lt;&gt;"",分析!AE336,"")</f>
        <v/>
      </c>
      <c r="Y336" s="144" t="str">
        <f>IF(分析!T336&lt;&gt;"",分析!T336,"")</f>
        <v/>
      </c>
      <c r="Z336" s="145" t="str">
        <f>IF(分析!Y336&lt;&gt;"",分析!Y336,"")</f>
        <v/>
      </c>
    </row>
    <row r="337" spans="1:26" ht="21.9" customHeight="1">
      <c r="A337" s="146" t="str">
        <f>IF(分析!C337&lt;&gt;"",ROW()-2,"")</f>
        <v/>
      </c>
      <c r="B337" s="147" t="str">
        <f>IF(分析!C337&lt;&gt;"",HYPERLINK("https://kabutan.jp/stock/?code="&amp;分析!C337,"株探"),"")</f>
        <v/>
      </c>
      <c r="C337" s="148" t="str">
        <f>IF(分析!C337&lt;&gt;"",分析!C337,"")</f>
        <v/>
      </c>
      <c r="D337" s="149" t="str">
        <f>IF(分析!D337&lt;&gt;"",分析!D337,"")</f>
        <v/>
      </c>
      <c r="E337" s="150" t="str">
        <f>IF(分析!E337&lt;&gt;"",分析!E337,"")</f>
        <v/>
      </c>
      <c r="F337" s="151" t="str">
        <f>IF(分析!F337&lt;&gt;"",分析!F337,"")</f>
        <v/>
      </c>
      <c r="G337" s="151" t="str">
        <f>IF(分析!H337&lt;&gt;"",分析!H337,"")</f>
        <v/>
      </c>
      <c r="H337" s="151" t="str">
        <f>IF(分析!I337&lt;&gt;"",分析!I337,"")</f>
        <v/>
      </c>
      <c r="I337" s="151" t="str">
        <f>IF(分析!J337&lt;&gt;"",分析!J337,"")</f>
        <v/>
      </c>
      <c r="J337" s="151" t="str">
        <f>IF(分析!AB337&lt;&gt;"",分析!AB337,"")</f>
        <v/>
      </c>
      <c r="K337" s="151" t="str">
        <f>IF(分析!AC337&lt;&gt;"",分析!AC337,"")</f>
        <v/>
      </c>
      <c r="L337" s="151" t="str">
        <f>IF(分析!K337&lt;&gt;"",分析!K337,"")</f>
        <v/>
      </c>
      <c r="M337" s="146" t="str">
        <f>IF(分析!P337&lt;&gt;"",分析!P337,"")</f>
        <v/>
      </c>
      <c r="N337" s="152" t="str">
        <f>IF(分析!O337&lt;&gt;"",分析!O337,"")</f>
        <v/>
      </c>
      <c r="O337" s="153" t="str">
        <f>IF(分析!X337&lt;&gt;"",分析!X337,"")</f>
        <v/>
      </c>
      <c r="P337" s="154" t="str">
        <f>IF(分析!L337&lt;&gt;"",分析!L337,"")</f>
        <v/>
      </c>
      <c r="Q337" s="151" t="str">
        <f>IF(分析!S337&lt;&gt;"",分析!S337,"")</f>
        <v/>
      </c>
      <c r="R337" s="151" t="str">
        <f>IF(分析!R337&lt;&gt;"",分析!R337,"")</f>
        <v/>
      </c>
      <c r="S337" s="146" t="str">
        <f>IF(分析!AA337&lt;&gt;"",分析!AA337,"")</f>
        <v/>
      </c>
      <c r="T337" s="155" t="str">
        <f>IF(分析!Z337&lt;&gt;"",分析!Z337,"")</f>
        <v/>
      </c>
      <c r="U337" s="146" t="str">
        <f>IF(分析!V337&lt;&gt;"",分析!V337,"")</f>
        <v/>
      </c>
      <c r="V337" s="156" t="str">
        <f>IF(分析!W337&lt;&gt;"",分析!W337,"")</f>
        <v/>
      </c>
      <c r="W337" s="157" t="str">
        <f>IF(分析!AD337&lt;&gt;"",分析!AD337,"")</f>
        <v/>
      </c>
      <c r="X337" s="158" t="str">
        <f>IF(分析!AE337&lt;&gt;"",分析!AE337,"")</f>
        <v/>
      </c>
      <c r="Y337" s="159" t="str">
        <f>IF(分析!T337&lt;&gt;"",分析!T337,"")</f>
        <v/>
      </c>
      <c r="Z337" s="145" t="str">
        <f>IF(分析!Y337&lt;&gt;"",分析!Y337,"")</f>
        <v/>
      </c>
    </row>
    <row r="338" spans="1:26" ht="21.9" customHeight="1">
      <c r="A338" s="131" t="str">
        <f>IF(分析!C338&lt;&gt;"",ROW()-2,"")</f>
        <v/>
      </c>
      <c r="B338" s="132" t="str">
        <f>IF(分析!C338&lt;&gt;"",HYPERLINK("https://kabutan.jp/stock/?code="&amp;分析!C338,"株探"),"")</f>
        <v/>
      </c>
      <c r="C338" s="133" t="str">
        <f>IF(分析!C338&lt;&gt;"",分析!C338,"")</f>
        <v/>
      </c>
      <c r="D338" s="134" t="str">
        <f>IF(分析!D338&lt;&gt;"",分析!D338,"")</f>
        <v/>
      </c>
      <c r="E338" s="135" t="str">
        <f>IF(分析!E338&lt;&gt;"",分析!E338,"")</f>
        <v/>
      </c>
      <c r="F338" s="136" t="str">
        <f>IF(分析!F338&lt;&gt;"",分析!F338,"")</f>
        <v/>
      </c>
      <c r="G338" s="136" t="str">
        <f>IF(分析!H338&lt;&gt;"",分析!H338,"")</f>
        <v/>
      </c>
      <c r="H338" s="136" t="str">
        <f>IF(分析!I338&lt;&gt;"",分析!I338,"")</f>
        <v/>
      </c>
      <c r="I338" s="136" t="str">
        <f>IF(分析!J338&lt;&gt;"",分析!J338,"")</f>
        <v/>
      </c>
      <c r="J338" s="136" t="str">
        <f>IF(分析!AB338&lt;&gt;"",分析!AB338,"")</f>
        <v/>
      </c>
      <c r="K338" s="136" t="str">
        <f>IF(分析!AC338&lt;&gt;"",分析!AC338,"")</f>
        <v/>
      </c>
      <c r="L338" s="136" t="str">
        <f>IF(分析!K338&lt;&gt;"",分析!K338,"")</f>
        <v/>
      </c>
      <c r="M338" s="131" t="str">
        <f>IF(分析!P338&lt;&gt;"",分析!P338,"")</f>
        <v/>
      </c>
      <c r="N338" s="137" t="str">
        <f>IF(分析!O338&lt;&gt;"",分析!O338,"")</f>
        <v/>
      </c>
      <c r="O338" s="138" t="str">
        <f>IF(分析!X338&lt;&gt;"",分析!X338,"")</f>
        <v/>
      </c>
      <c r="P338" s="139" t="str">
        <f>IF(分析!L338&lt;&gt;"",分析!L338,"")</f>
        <v/>
      </c>
      <c r="Q338" s="136" t="str">
        <f>IF(分析!S338&lt;&gt;"",分析!S338,"")</f>
        <v/>
      </c>
      <c r="R338" s="136" t="str">
        <f>IF(分析!R338&lt;&gt;"",分析!R338,"")</f>
        <v/>
      </c>
      <c r="S338" s="131" t="str">
        <f>IF(分析!AA338&lt;&gt;"",分析!AA338,"")</f>
        <v/>
      </c>
      <c r="T338" s="140" t="str">
        <f>IF(分析!Z338&lt;&gt;"",分析!Z338,"")</f>
        <v/>
      </c>
      <c r="U338" s="131" t="str">
        <f>IF(分析!V338&lt;&gt;"",分析!V338,"")</f>
        <v/>
      </c>
      <c r="V338" s="141" t="str">
        <f>IF(分析!W338&lt;&gt;"",分析!W338,"")</f>
        <v/>
      </c>
      <c r="W338" s="142" t="str">
        <f>IF(分析!AD338&lt;&gt;"",分析!AD338,"")</f>
        <v/>
      </c>
      <c r="X338" s="143" t="str">
        <f>IF(分析!AE338&lt;&gt;"",分析!AE338,"")</f>
        <v/>
      </c>
      <c r="Y338" s="144" t="str">
        <f>IF(分析!T338&lt;&gt;"",分析!T338,"")</f>
        <v/>
      </c>
      <c r="Z338" s="145" t="str">
        <f>IF(分析!Y338&lt;&gt;"",分析!Y338,"")</f>
        <v/>
      </c>
    </row>
    <row r="339" spans="1:26" ht="21.9" customHeight="1">
      <c r="A339" s="146" t="str">
        <f>IF(分析!C339&lt;&gt;"",ROW()-2,"")</f>
        <v/>
      </c>
      <c r="B339" s="147" t="str">
        <f>IF(分析!C339&lt;&gt;"",HYPERLINK("https://kabutan.jp/stock/?code="&amp;分析!C339,"株探"),"")</f>
        <v/>
      </c>
      <c r="C339" s="148" t="str">
        <f>IF(分析!C339&lt;&gt;"",分析!C339,"")</f>
        <v/>
      </c>
      <c r="D339" s="149" t="str">
        <f>IF(分析!D339&lt;&gt;"",分析!D339,"")</f>
        <v/>
      </c>
      <c r="E339" s="150" t="str">
        <f>IF(分析!E339&lt;&gt;"",分析!E339,"")</f>
        <v/>
      </c>
      <c r="F339" s="151" t="str">
        <f>IF(分析!F339&lt;&gt;"",分析!F339,"")</f>
        <v/>
      </c>
      <c r="G339" s="151" t="str">
        <f>IF(分析!H339&lt;&gt;"",分析!H339,"")</f>
        <v/>
      </c>
      <c r="H339" s="151" t="str">
        <f>IF(分析!I339&lt;&gt;"",分析!I339,"")</f>
        <v/>
      </c>
      <c r="I339" s="151" t="str">
        <f>IF(分析!J339&lt;&gt;"",分析!J339,"")</f>
        <v/>
      </c>
      <c r="J339" s="151" t="str">
        <f>IF(分析!AB339&lt;&gt;"",分析!AB339,"")</f>
        <v/>
      </c>
      <c r="K339" s="151" t="str">
        <f>IF(分析!AC339&lt;&gt;"",分析!AC339,"")</f>
        <v/>
      </c>
      <c r="L339" s="151" t="str">
        <f>IF(分析!K339&lt;&gt;"",分析!K339,"")</f>
        <v/>
      </c>
      <c r="M339" s="146" t="str">
        <f>IF(分析!P339&lt;&gt;"",分析!P339,"")</f>
        <v/>
      </c>
      <c r="N339" s="152" t="str">
        <f>IF(分析!O339&lt;&gt;"",分析!O339,"")</f>
        <v/>
      </c>
      <c r="O339" s="153" t="str">
        <f>IF(分析!X339&lt;&gt;"",分析!X339,"")</f>
        <v/>
      </c>
      <c r="P339" s="154" t="str">
        <f>IF(分析!L339&lt;&gt;"",分析!L339,"")</f>
        <v/>
      </c>
      <c r="Q339" s="151" t="str">
        <f>IF(分析!S339&lt;&gt;"",分析!S339,"")</f>
        <v/>
      </c>
      <c r="R339" s="151" t="str">
        <f>IF(分析!R339&lt;&gt;"",分析!R339,"")</f>
        <v/>
      </c>
      <c r="S339" s="146" t="str">
        <f>IF(分析!AA339&lt;&gt;"",分析!AA339,"")</f>
        <v/>
      </c>
      <c r="T339" s="155" t="str">
        <f>IF(分析!Z339&lt;&gt;"",分析!Z339,"")</f>
        <v/>
      </c>
      <c r="U339" s="146" t="str">
        <f>IF(分析!V339&lt;&gt;"",分析!V339,"")</f>
        <v/>
      </c>
      <c r="V339" s="156" t="str">
        <f>IF(分析!W339&lt;&gt;"",分析!W339,"")</f>
        <v/>
      </c>
      <c r="W339" s="157" t="str">
        <f>IF(分析!AD339&lt;&gt;"",分析!AD339,"")</f>
        <v/>
      </c>
      <c r="X339" s="158" t="str">
        <f>IF(分析!AE339&lt;&gt;"",分析!AE339,"")</f>
        <v/>
      </c>
      <c r="Y339" s="159" t="str">
        <f>IF(分析!T339&lt;&gt;"",分析!T339,"")</f>
        <v/>
      </c>
      <c r="Z339" s="145" t="str">
        <f>IF(分析!Y339&lt;&gt;"",分析!Y339,"")</f>
        <v/>
      </c>
    </row>
    <row r="340" spans="1:26" ht="21.9" customHeight="1">
      <c r="A340" s="131" t="str">
        <f>IF(分析!C340&lt;&gt;"",ROW()-2,"")</f>
        <v/>
      </c>
      <c r="B340" s="132" t="str">
        <f>IF(分析!C340&lt;&gt;"",HYPERLINK("https://kabutan.jp/stock/?code="&amp;分析!C340,"株探"),"")</f>
        <v/>
      </c>
      <c r="C340" s="133" t="str">
        <f>IF(分析!C340&lt;&gt;"",分析!C340,"")</f>
        <v/>
      </c>
      <c r="D340" s="134" t="str">
        <f>IF(分析!D340&lt;&gt;"",分析!D340,"")</f>
        <v/>
      </c>
      <c r="E340" s="135" t="str">
        <f>IF(分析!E340&lt;&gt;"",分析!E340,"")</f>
        <v/>
      </c>
      <c r="F340" s="136" t="str">
        <f>IF(分析!F340&lt;&gt;"",分析!F340,"")</f>
        <v/>
      </c>
      <c r="G340" s="136" t="str">
        <f>IF(分析!H340&lt;&gt;"",分析!H340,"")</f>
        <v/>
      </c>
      <c r="H340" s="136" t="str">
        <f>IF(分析!I340&lt;&gt;"",分析!I340,"")</f>
        <v/>
      </c>
      <c r="I340" s="136" t="str">
        <f>IF(分析!J340&lt;&gt;"",分析!J340,"")</f>
        <v/>
      </c>
      <c r="J340" s="136" t="str">
        <f>IF(分析!AB340&lt;&gt;"",分析!AB340,"")</f>
        <v/>
      </c>
      <c r="K340" s="136" t="str">
        <f>IF(分析!AC340&lt;&gt;"",分析!AC340,"")</f>
        <v/>
      </c>
      <c r="L340" s="136" t="str">
        <f>IF(分析!K340&lt;&gt;"",分析!K340,"")</f>
        <v/>
      </c>
      <c r="M340" s="131" t="str">
        <f>IF(分析!P340&lt;&gt;"",分析!P340,"")</f>
        <v/>
      </c>
      <c r="N340" s="137" t="str">
        <f>IF(分析!O340&lt;&gt;"",分析!O340,"")</f>
        <v/>
      </c>
      <c r="O340" s="138" t="str">
        <f>IF(分析!X340&lt;&gt;"",分析!X340,"")</f>
        <v/>
      </c>
      <c r="P340" s="139" t="str">
        <f>IF(分析!L340&lt;&gt;"",分析!L340,"")</f>
        <v/>
      </c>
      <c r="Q340" s="136" t="str">
        <f>IF(分析!S340&lt;&gt;"",分析!S340,"")</f>
        <v/>
      </c>
      <c r="R340" s="136" t="str">
        <f>IF(分析!R340&lt;&gt;"",分析!R340,"")</f>
        <v/>
      </c>
      <c r="S340" s="131" t="str">
        <f>IF(分析!AA340&lt;&gt;"",分析!AA340,"")</f>
        <v/>
      </c>
      <c r="T340" s="140" t="str">
        <f>IF(分析!Z340&lt;&gt;"",分析!Z340,"")</f>
        <v/>
      </c>
      <c r="U340" s="131" t="str">
        <f>IF(分析!V340&lt;&gt;"",分析!V340,"")</f>
        <v/>
      </c>
      <c r="V340" s="141" t="str">
        <f>IF(分析!W340&lt;&gt;"",分析!W340,"")</f>
        <v/>
      </c>
      <c r="W340" s="142" t="str">
        <f>IF(分析!AD340&lt;&gt;"",分析!AD340,"")</f>
        <v/>
      </c>
      <c r="X340" s="143" t="str">
        <f>IF(分析!AE340&lt;&gt;"",分析!AE340,"")</f>
        <v/>
      </c>
      <c r="Y340" s="144" t="str">
        <f>IF(分析!T340&lt;&gt;"",分析!T340,"")</f>
        <v/>
      </c>
      <c r="Z340" s="145" t="str">
        <f>IF(分析!Y340&lt;&gt;"",分析!Y340,"")</f>
        <v/>
      </c>
    </row>
    <row r="341" spans="1:26" ht="21.9" customHeight="1">
      <c r="A341" s="146" t="str">
        <f>IF(分析!C341&lt;&gt;"",ROW()-2,"")</f>
        <v/>
      </c>
      <c r="B341" s="147" t="str">
        <f>IF(分析!C341&lt;&gt;"",HYPERLINK("https://kabutan.jp/stock/?code="&amp;分析!C341,"株探"),"")</f>
        <v/>
      </c>
      <c r="C341" s="148" t="str">
        <f>IF(分析!C341&lt;&gt;"",分析!C341,"")</f>
        <v/>
      </c>
      <c r="D341" s="149" t="str">
        <f>IF(分析!D341&lt;&gt;"",分析!D341,"")</f>
        <v/>
      </c>
      <c r="E341" s="150" t="str">
        <f>IF(分析!E341&lt;&gt;"",分析!E341,"")</f>
        <v/>
      </c>
      <c r="F341" s="151" t="str">
        <f>IF(分析!F341&lt;&gt;"",分析!F341,"")</f>
        <v/>
      </c>
      <c r="G341" s="151" t="str">
        <f>IF(分析!H341&lt;&gt;"",分析!H341,"")</f>
        <v/>
      </c>
      <c r="H341" s="151" t="str">
        <f>IF(分析!I341&lt;&gt;"",分析!I341,"")</f>
        <v/>
      </c>
      <c r="I341" s="151" t="str">
        <f>IF(分析!J341&lt;&gt;"",分析!J341,"")</f>
        <v/>
      </c>
      <c r="J341" s="151" t="str">
        <f>IF(分析!AB341&lt;&gt;"",分析!AB341,"")</f>
        <v/>
      </c>
      <c r="K341" s="151" t="str">
        <f>IF(分析!AC341&lt;&gt;"",分析!AC341,"")</f>
        <v/>
      </c>
      <c r="L341" s="151" t="str">
        <f>IF(分析!K341&lt;&gt;"",分析!K341,"")</f>
        <v/>
      </c>
      <c r="M341" s="146" t="str">
        <f>IF(分析!P341&lt;&gt;"",分析!P341,"")</f>
        <v/>
      </c>
      <c r="N341" s="152" t="str">
        <f>IF(分析!O341&lt;&gt;"",分析!O341,"")</f>
        <v/>
      </c>
      <c r="O341" s="153" t="str">
        <f>IF(分析!X341&lt;&gt;"",分析!X341,"")</f>
        <v/>
      </c>
      <c r="P341" s="154" t="str">
        <f>IF(分析!L341&lt;&gt;"",分析!L341,"")</f>
        <v/>
      </c>
      <c r="Q341" s="151" t="str">
        <f>IF(分析!S341&lt;&gt;"",分析!S341,"")</f>
        <v/>
      </c>
      <c r="R341" s="151" t="str">
        <f>IF(分析!R341&lt;&gt;"",分析!R341,"")</f>
        <v/>
      </c>
      <c r="S341" s="146" t="str">
        <f>IF(分析!AA341&lt;&gt;"",分析!AA341,"")</f>
        <v/>
      </c>
      <c r="T341" s="155" t="str">
        <f>IF(分析!Z341&lt;&gt;"",分析!Z341,"")</f>
        <v/>
      </c>
      <c r="U341" s="146" t="str">
        <f>IF(分析!V341&lt;&gt;"",分析!V341,"")</f>
        <v/>
      </c>
      <c r="V341" s="156" t="str">
        <f>IF(分析!W341&lt;&gt;"",分析!W341,"")</f>
        <v/>
      </c>
      <c r="W341" s="157" t="str">
        <f>IF(分析!AD341&lt;&gt;"",分析!AD341,"")</f>
        <v/>
      </c>
      <c r="X341" s="158" t="str">
        <f>IF(分析!AE341&lt;&gt;"",分析!AE341,"")</f>
        <v/>
      </c>
      <c r="Y341" s="159" t="str">
        <f>IF(分析!T341&lt;&gt;"",分析!T341,"")</f>
        <v/>
      </c>
      <c r="Z341" s="145" t="str">
        <f>IF(分析!Y341&lt;&gt;"",分析!Y341,"")</f>
        <v/>
      </c>
    </row>
    <row r="342" spans="1:26" ht="21.9" customHeight="1">
      <c r="A342" s="131" t="str">
        <f>IF(分析!C342&lt;&gt;"",ROW()-2,"")</f>
        <v/>
      </c>
      <c r="B342" s="132" t="str">
        <f>IF(分析!C342&lt;&gt;"",HYPERLINK("https://kabutan.jp/stock/?code="&amp;分析!C342,"株探"),"")</f>
        <v/>
      </c>
      <c r="C342" s="133" t="str">
        <f>IF(分析!C342&lt;&gt;"",分析!C342,"")</f>
        <v/>
      </c>
      <c r="D342" s="134" t="str">
        <f>IF(分析!D342&lt;&gt;"",分析!D342,"")</f>
        <v/>
      </c>
      <c r="E342" s="135" t="str">
        <f>IF(分析!E342&lt;&gt;"",分析!E342,"")</f>
        <v/>
      </c>
      <c r="F342" s="136" t="str">
        <f>IF(分析!F342&lt;&gt;"",分析!F342,"")</f>
        <v/>
      </c>
      <c r="G342" s="136" t="str">
        <f>IF(分析!H342&lt;&gt;"",分析!H342,"")</f>
        <v/>
      </c>
      <c r="H342" s="136" t="str">
        <f>IF(分析!I342&lt;&gt;"",分析!I342,"")</f>
        <v/>
      </c>
      <c r="I342" s="136" t="str">
        <f>IF(分析!J342&lt;&gt;"",分析!J342,"")</f>
        <v/>
      </c>
      <c r="J342" s="136" t="str">
        <f>IF(分析!AB342&lt;&gt;"",分析!AB342,"")</f>
        <v/>
      </c>
      <c r="K342" s="136" t="str">
        <f>IF(分析!AC342&lt;&gt;"",分析!AC342,"")</f>
        <v/>
      </c>
      <c r="L342" s="136" t="str">
        <f>IF(分析!K342&lt;&gt;"",分析!K342,"")</f>
        <v/>
      </c>
      <c r="M342" s="131" t="str">
        <f>IF(分析!P342&lt;&gt;"",分析!P342,"")</f>
        <v/>
      </c>
      <c r="N342" s="137" t="str">
        <f>IF(分析!O342&lt;&gt;"",分析!O342,"")</f>
        <v/>
      </c>
      <c r="O342" s="138" t="str">
        <f>IF(分析!X342&lt;&gt;"",分析!X342,"")</f>
        <v/>
      </c>
      <c r="P342" s="139" t="str">
        <f>IF(分析!L342&lt;&gt;"",分析!L342,"")</f>
        <v/>
      </c>
      <c r="Q342" s="136" t="str">
        <f>IF(分析!S342&lt;&gt;"",分析!S342,"")</f>
        <v/>
      </c>
      <c r="R342" s="136" t="str">
        <f>IF(分析!R342&lt;&gt;"",分析!R342,"")</f>
        <v/>
      </c>
      <c r="S342" s="131" t="str">
        <f>IF(分析!AA342&lt;&gt;"",分析!AA342,"")</f>
        <v/>
      </c>
      <c r="T342" s="140" t="str">
        <f>IF(分析!Z342&lt;&gt;"",分析!Z342,"")</f>
        <v/>
      </c>
      <c r="U342" s="131" t="str">
        <f>IF(分析!V342&lt;&gt;"",分析!V342,"")</f>
        <v/>
      </c>
      <c r="V342" s="141" t="str">
        <f>IF(分析!W342&lt;&gt;"",分析!W342,"")</f>
        <v/>
      </c>
      <c r="W342" s="142" t="str">
        <f>IF(分析!AD342&lt;&gt;"",分析!AD342,"")</f>
        <v/>
      </c>
      <c r="X342" s="143" t="str">
        <f>IF(分析!AE342&lt;&gt;"",分析!AE342,"")</f>
        <v/>
      </c>
      <c r="Y342" s="144" t="str">
        <f>IF(分析!T342&lt;&gt;"",分析!T342,"")</f>
        <v/>
      </c>
      <c r="Z342" s="145" t="str">
        <f>IF(分析!Y342&lt;&gt;"",分析!Y342,"")</f>
        <v/>
      </c>
    </row>
    <row r="343" spans="1:26" ht="21.9" customHeight="1">
      <c r="A343" s="146" t="str">
        <f>IF(分析!C343&lt;&gt;"",ROW()-2,"")</f>
        <v/>
      </c>
      <c r="B343" s="147" t="str">
        <f>IF(分析!C343&lt;&gt;"",HYPERLINK("https://kabutan.jp/stock/?code="&amp;分析!C343,"株探"),"")</f>
        <v/>
      </c>
      <c r="C343" s="148" t="str">
        <f>IF(分析!C343&lt;&gt;"",分析!C343,"")</f>
        <v/>
      </c>
      <c r="D343" s="149" t="str">
        <f>IF(分析!D343&lt;&gt;"",分析!D343,"")</f>
        <v/>
      </c>
      <c r="E343" s="150" t="str">
        <f>IF(分析!E343&lt;&gt;"",分析!E343,"")</f>
        <v/>
      </c>
      <c r="F343" s="151" t="str">
        <f>IF(分析!F343&lt;&gt;"",分析!F343,"")</f>
        <v/>
      </c>
      <c r="G343" s="151" t="str">
        <f>IF(分析!H343&lt;&gt;"",分析!H343,"")</f>
        <v/>
      </c>
      <c r="H343" s="151" t="str">
        <f>IF(分析!I343&lt;&gt;"",分析!I343,"")</f>
        <v/>
      </c>
      <c r="I343" s="151" t="str">
        <f>IF(分析!J343&lt;&gt;"",分析!J343,"")</f>
        <v/>
      </c>
      <c r="J343" s="151" t="str">
        <f>IF(分析!AB343&lt;&gt;"",分析!AB343,"")</f>
        <v/>
      </c>
      <c r="K343" s="151" t="str">
        <f>IF(分析!AC343&lt;&gt;"",分析!AC343,"")</f>
        <v/>
      </c>
      <c r="L343" s="151" t="str">
        <f>IF(分析!K343&lt;&gt;"",分析!K343,"")</f>
        <v/>
      </c>
      <c r="M343" s="146" t="str">
        <f>IF(分析!P343&lt;&gt;"",分析!P343,"")</f>
        <v/>
      </c>
      <c r="N343" s="152" t="str">
        <f>IF(分析!O343&lt;&gt;"",分析!O343,"")</f>
        <v/>
      </c>
      <c r="O343" s="153" t="str">
        <f>IF(分析!X343&lt;&gt;"",分析!X343,"")</f>
        <v/>
      </c>
      <c r="P343" s="154" t="str">
        <f>IF(分析!L343&lt;&gt;"",分析!L343,"")</f>
        <v/>
      </c>
      <c r="Q343" s="151" t="str">
        <f>IF(分析!S343&lt;&gt;"",分析!S343,"")</f>
        <v/>
      </c>
      <c r="R343" s="151" t="str">
        <f>IF(分析!R343&lt;&gt;"",分析!R343,"")</f>
        <v/>
      </c>
      <c r="S343" s="146" t="str">
        <f>IF(分析!AA343&lt;&gt;"",分析!AA343,"")</f>
        <v/>
      </c>
      <c r="T343" s="155" t="str">
        <f>IF(分析!Z343&lt;&gt;"",分析!Z343,"")</f>
        <v/>
      </c>
      <c r="U343" s="146" t="str">
        <f>IF(分析!V343&lt;&gt;"",分析!V343,"")</f>
        <v/>
      </c>
      <c r="V343" s="156" t="str">
        <f>IF(分析!W343&lt;&gt;"",分析!W343,"")</f>
        <v/>
      </c>
      <c r="W343" s="157" t="str">
        <f>IF(分析!AD343&lt;&gt;"",分析!AD343,"")</f>
        <v/>
      </c>
      <c r="X343" s="158" t="str">
        <f>IF(分析!AE343&lt;&gt;"",分析!AE343,"")</f>
        <v/>
      </c>
      <c r="Y343" s="159" t="str">
        <f>IF(分析!T343&lt;&gt;"",分析!T343,"")</f>
        <v/>
      </c>
      <c r="Z343" s="145" t="str">
        <f>IF(分析!Y343&lt;&gt;"",分析!Y343,"")</f>
        <v/>
      </c>
    </row>
    <row r="344" spans="1:26" ht="21.9" customHeight="1">
      <c r="A344" s="131" t="str">
        <f>IF(分析!C344&lt;&gt;"",ROW()-2,"")</f>
        <v/>
      </c>
      <c r="B344" s="132" t="str">
        <f>IF(分析!C344&lt;&gt;"",HYPERLINK("https://kabutan.jp/stock/?code="&amp;分析!C344,"株探"),"")</f>
        <v/>
      </c>
      <c r="C344" s="133" t="str">
        <f>IF(分析!C344&lt;&gt;"",分析!C344,"")</f>
        <v/>
      </c>
      <c r="D344" s="134" t="str">
        <f>IF(分析!D344&lt;&gt;"",分析!D344,"")</f>
        <v/>
      </c>
      <c r="E344" s="135" t="str">
        <f>IF(分析!E344&lt;&gt;"",分析!E344,"")</f>
        <v/>
      </c>
      <c r="F344" s="136" t="str">
        <f>IF(分析!F344&lt;&gt;"",分析!F344,"")</f>
        <v/>
      </c>
      <c r="G344" s="136" t="str">
        <f>IF(分析!H344&lt;&gt;"",分析!H344,"")</f>
        <v/>
      </c>
      <c r="H344" s="136" t="str">
        <f>IF(分析!I344&lt;&gt;"",分析!I344,"")</f>
        <v/>
      </c>
      <c r="I344" s="136" t="str">
        <f>IF(分析!J344&lt;&gt;"",分析!J344,"")</f>
        <v/>
      </c>
      <c r="J344" s="136" t="str">
        <f>IF(分析!AB344&lt;&gt;"",分析!AB344,"")</f>
        <v/>
      </c>
      <c r="K344" s="136" t="str">
        <f>IF(分析!AC344&lt;&gt;"",分析!AC344,"")</f>
        <v/>
      </c>
      <c r="L344" s="136" t="str">
        <f>IF(分析!K344&lt;&gt;"",分析!K344,"")</f>
        <v/>
      </c>
      <c r="M344" s="131" t="str">
        <f>IF(分析!P344&lt;&gt;"",分析!P344,"")</f>
        <v/>
      </c>
      <c r="N344" s="137" t="str">
        <f>IF(分析!O344&lt;&gt;"",分析!O344,"")</f>
        <v/>
      </c>
      <c r="O344" s="138" t="str">
        <f>IF(分析!X344&lt;&gt;"",分析!X344,"")</f>
        <v/>
      </c>
      <c r="P344" s="139" t="str">
        <f>IF(分析!L344&lt;&gt;"",分析!L344,"")</f>
        <v/>
      </c>
      <c r="Q344" s="136" t="str">
        <f>IF(分析!S344&lt;&gt;"",分析!S344,"")</f>
        <v/>
      </c>
      <c r="R344" s="136" t="str">
        <f>IF(分析!R344&lt;&gt;"",分析!R344,"")</f>
        <v/>
      </c>
      <c r="S344" s="131" t="str">
        <f>IF(分析!AA344&lt;&gt;"",分析!AA344,"")</f>
        <v/>
      </c>
      <c r="T344" s="140" t="str">
        <f>IF(分析!Z344&lt;&gt;"",分析!Z344,"")</f>
        <v/>
      </c>
      <c r="U344" s="131" t="str">
        <f>IF(分析!V344&lt;&gt;"",分析!V344,"")</f>
        <v/>
      </c>
      <c r="V344" s="141" t="str">
        <f>IF(分析!W344&lt;&gt;"",分析!W344,"")</f>
        <v/>
      </c>
      <c r="W344" s="142" t="str">
        <f>IF(分析!AD344&lt;&gt;"",分析!AD344,"")</f>
        <v/>
      </c>
      <c r="X344" s="143" t="str">
        <f>IF(分析!AE344&lt;&gt;"",分析!AE344,"")</f>
        <v/>
      </c>
      <c r="Y344" s="144" t="str">
        <f>IF(分析!T344&lt;&gt;"",分析!T344,"")</f>
        <v/>
      </c>
      <c r="Z344" s="145" t="str">
        <f>IF(分析!Y344&lt;&gt;"",分析!Y344,"")</f>
        <v/>
      </c>
    </row>
    <row r="345" spans="1:26" ht="21.9" customHeight="1">
      <c r="A345" s="146" t="str">
        <f>IF(分析!C345&lt;&gt;"",ROW()-2,"")</f>
        <v/>
      </c>
      <c r="B345" s="147" t="str">
        <f>IF(分析!C345&lt;&gt;"",HYPERLINK("https://kabutan.jp/stock/?code="&amp;分析!C345,"株探"),"")</f>
        <v/>
      </c>
      <c r="C345" s="148" t="str">
        <f>IF(分析!C345&lt;&gt;"",分析!C345,"")</f>
        <v/>
      </c>
      <c r="D345" s="149" t="str">
        <f>IF(分析!D345&lt;&gt;"",分析!D345,"")</f>
        <v/>
      </c>
      <c r="E345" s="150" t="str">
        <f>IF(分析!E345&lt;&gt;"",分析!E345,"")</f>
        <v/>
      </c>
      <c r="F345" s="151" t="str">
        <f>IF(分析!F345&lt;&gt;"",分析!F345,"")</f>
        <v/>
      </c>
      <c r="G345" s="151" t="str">
        <f>IF(分析!H345&lt;&gt;"",分析!H345,"")</f>
        <v/>
      </c>
      <c r="H345" s="151" t="str">
        <f>IF(分析!I345&lt;&gt;"",分析!I345,"")</f>
        <v/>
      </c>
      <c r="I345" s="151" t="str">
        <f>IF(分析!J345&lt;&gt;"",分析!J345,"")</f>
        <v/>
      </c>
      <c r="J345" s="151" t="str">
        <f>IF(分析!AB345&lt;&gt;"",分析!AB345,"")</f>
        <v/>
      </c>
      <c r="K345" s="151" t="str">
        <f>IF(分析!AC345&lt;&gt;"",分析!AC345,"")</f>
        <v/>
      </c>
      <c r="L345" s="151" t="str">
        <f>IF(分析!K345&lt;&gt;"",分析!K345,"")</f>
        <v/>
      </c>
      <c r="M345" s="146" t="str">
        <f>IF(分析!P345&lt;&gt;"",分析!P345,"")</f>
        <v/>
      </c>
      <c r="N345" s="152" t="str">
        <f>IF(分析!O345&lt;&gt;"",分析!O345,"")</f>
        <v/>
      </c>
      <c r="O345" s="153" t="str">
        <f>IF(分析!X345&lt;&gt;"",分析!X345,"")</f>
        <v/>
      </c>
      <c r="P345" s="154" t="str">
        <f>IF(分析!L345&lt;&gt;"",分析!L345,"")</f>
        <v/>
      </c>
      <c r="Q345" s="151" t="str">
        <f>IF(分析!S345&lt;&gt;"",分析!S345,"")</f>
        <v/>
      </c>
      <c r="R345" s="151" t="str">
        <f>IF(分析!R345&lt;&gt;"",分析!R345,"")</f>
        <v/>
      </c>
      <c r="S345" s="146" t="str">
        <f>IF(分析!AA345&lt;&gt;"",分析!AA345,"")</f>
        <v/>
      </c>
      <c r="T345" s="155" t="str">
        <f>IF(分析!Z345&lt;&gt;"",分析!Z345,"")</f>
        <v/>
      </c>
      <c r="U345" s="146" t="str">
        <f>IF(分析!V345&lt;&gt;"",分析!V345,"")</f>
        <v/>
      </c>
      <c r="V345" s="156" t="str">
        <f>IF(分析!W345&lt;&gt;"",分析!W345,"")</f>
        <v/>
      </c>
      <c r="W345" s="157" t="str">
        <f>IF(分析!AD345&lt;&gt;"",分析!AD345,"")</f>
        <v/>
      </c>
      <c r="X345" s="158" t="str">
        <f>IF(分析!AE345&lt;&gt;"",分析!AE345,"")</f>
        <v/>
      </c>
      <c r="Y345" s="159" t="str">
        <f>IF(分析!T345&lt;&gt;"",分析!T345,"")</f>
        <v/>
      </c>
      <c r="Z345" s="145" t="str">
        <f>IF(分析!Y345&lt;&gt;"",分析!Y345,"")</f>
        <v/>
      </c>
    </row>
    <row r="346" spans="1:26" ht="21.9" customHeight="1">
      <c r="A346" s="131" t="str">
        <f>IF(分析!C346&lt;&gt;"",ROW()-2,"")</f>
        <v/>
      </c>
      <c r="B346" s="132" t="str">
        <f>IF(分析!C346&lt;&gt;"",HYPERLINK("https://kabutan.jp/stock/?code="&amp;分析!C346,"株探"),"")</f>
        <v/>
      </c>
      <c r="C346" s="133" t="str">
        <f>IF(分析!C346&lt;&gt;"",分析!C346,"")</f>
        <v/>
      </c>
      <c r="D346" s="134" t="str">
        <f>IF(分析!D346&lt;&gt;"",分析!D346,"")</f>
        <v/>
      </c>
      <c r="E346" s="135" t="str">
        <f>IF(分析!E346&lt;&gt;"",分析!E346,"")</f>
        <v/>
      </c>
      <c r="F346" s="136" t="str">
        <f>IF(分析!F346&lt;&gt;"",分析!F346,"")</f>
        <v/>
      </c>
      <c r="G346" s="136" t="str">
        <f>IF(分析!H346&lt;&gt;"",分析!H346,"")</f>
        <v/>
      </c>
      <c r="H346" s="136" t="str">
        <f>IF(分析!I346&lt;&gt;"",分析!I346,"")</f>
        <v/>
      </c>
      <c r="I346" s="136" t="str">
        <f>IF(分析!J346&lt;&gt;"",分析!J346,"")</f>
        <v/>
      </c>
      <c r="J346" s="136" t="str">
        <f>IF(分析!AB346&lt;&gt;"",分析!AB346,"")</f>
        <v/>
      </c>
      <c r="K346" s="136" t="str">
        <f>IF(分析!AC346&lt;&gt;"",分析!AC346,"")</f>
        <v/>
      </c>
      <c r="L346" s="136" t="str">
        <f>IF(分析!K346&lt;&gt;"",分析!K346,"")</f>
        <v/>
      </c>
      <c r="M346" s="131" t="str">
        <f>IF(分析!P346&lt;&gt;"",分析!P346,"")</f>
        <v/>
      </c>
      <c r="N346" s="137" t="str">
        <f>IF(分析!O346&lt;&gt;"",分析!O346,"")</f>
        <v/>
      </c>
      <c r="O346" s="138" t="str">
        <f>IF(分析!X346&lt;&gt;"",分析!X346,"")</f>
        <v/>
      </c>
      <c r="P346" s="139" t="str">
        <f>IF(分析!L346&lt;&gt;"",分析!L346,"")</f>
        <v/>
      </c>
      <c r="Q346" s="136" t="str">
        <f>IF(分析!S346&lt;&gt;"",分析!S346,"")</f>
        <v/>
      </c>
      <c r="R346" s="136" t="str">
        <f>IF(分析!R346&lt;&gt;"",分析!R346,"")</f>
        <v/>
      </c>
      <c r="S346" s="131" t="str">
        <f>IF(分析!AA346&lt;&gt;"",分析!AA346,"")</f>
        <v/>
      </c>
      <c r="T346" s="140" t="str">
        <f>IF(分析!Z346&lt;&gt;"",分析!Z346,"")</f>
        <v/>
      </c>
      <c r="U346" s="131" t="str">
        <f>IF(分析!V346&lt;&gt;"",分析!V346,"")</f>
        <v/>
      </c>
      <c r="V346" s="141" t="str">
        <f>IF(分析!W346&lt;&gt;"",分析!W346,"")</f>
        <v/>
      </c>
      <c r="W346" s="142" t="str">
        <f>IF(分析!AD346&lt;&gt;"",分析!AD346,"")</f>
        <v/>
      </c>
      <c r="X346" s="143" t="str">
        <f>IF(分析!AE346&lt;&gt;"",分析!AE346,"")</f>
        <v/>
      </c>
      <c r="Y346" s="144" t="str">
        <f>IF(分析!T346&lt;&gt;"",分析!T346,"")</f>
        <v/>
      </c>
      <c r="Z346" s="145" t="str">
        <f>IF(分析!Y346&lt;&gt;"",分析!Y346,"")</f>
        <v/>
      </c>
    </row>
    <row r="347" spans="1:26" ht="21.9" customHeight="1">
      <c r="A347" s="146" t="str">
        <f>IF(分析!C347&lt;&gt;"",ROW()-2,"")</f>
        <v/>
      </c>
      <c r="B347" s="147" t="str">
        <f>IF(分析!C347&lt;&gt;"",HYPERLINK("https://kabutan.jp/stock/?code="&amp;分析!C347,"株探"),"")</f>
        <v/>
      </c>
      <c r="C347" s="148" t="str">
        <f>IF(分析!C347&lt;&gt;"",分析!C347,"")</f>
        <v/>
      </c>
      <c r="D347" s="149" t="str">
        <f>IF(分析!D347&lt;&gt;"",分析!D347,"")</f>
        <v/>
      </c>
      <c r="E347" s="150" t="str">
        <f>IF(分析!E347&lt;&gt;"",分析!E347,"")</f>
        <v/>
      </c>
      <c r="F347" s="151" t="str">
        <f>IF(分析!F347&lt;&gt;"",分析!F347,"")</f>
        <v/>
      </c>
      <c r="G347" s="151" t="str">
        <f>IF(分析!H347&lt;&gt;"",分析!H347,"")</f>
        <v/>
      </c>
      <c r="H347" s="151" t="str">
        <f>IF(分析!I347&lt;&gt;"",分析!I347,"")</f>
        <v/>
      </c>
      <c r="I347" s="151" t="str">
        <f>IF(分析!J347&lt;&gt;"",分析!J347,"")</f>
        <v/>
      </c>
      <c r="J347" s="151" t="str">
        <f>IF(分析!AB347&lt;&gt;"",分析!AB347,"")</f>
        <v/>
      </c>
      <c r="K347" s="151" t="str">
        <f>IF(分析!AC347&lt;&gt;"",分析!AC347,"")</f>
        <v/>
      </c>
      <c r="L347" s="151" t="str">
        <f>IF(分析!K347&lt;&gt;"",分析!K347,"")</f>
        <v/>
      </c>
      <c r="M347" s="146" t="str">
        <f>IF(分析!P347&lt;&gt;"",分析!P347,"")</f>
        <v/>
      </c>
      <c r="N347" s="152" t="str">
        <f>IF(分析!O347&lt;&gt;"",分析!O347,"")</f>
        <v/>
      </c>
      <c r="O347" s="153" t="str">
        <f>IF(分析!X347&lt;&gt;"",分析!X347,"")</f>
        <v/>
      </c>
      <c r="P347" s="154" t="str">
        <f>IF(分析!L347&lt;&gt;"",分析!L347,"")</f>
        <v/>
      </c>
      <c r="Q347" s="151" t="str">
        <f>IF(分析!S347&lt;&gt;"",分析!S347,"")</f>
        <v/>
      </c>
      <c r="R347" s="151" t="str">
        <f>IF(分析!R347&lt;&gt;"",分析!R347,"")</f>
        <v/>
      </c>
      <c r="S347" s="146" t="str">
        <f>IF(分析!AA347&lt;&gt;"",分析!AA347,"")</f>
        <v/>
      </c>
      <c r="T347" s="155" t="str">
        <f>IF(分析!Z347&lt;&gt;"",分析!Z347,"")</f>
        <v/>
      </c>
      <c r="U347" s="146" t="str">
        <f>IF(分析!V347&lt;&gt;"",分析!V347,"")</f>
        <v/>
      </c>
      <c r="V347" s="156" t="str">
        <f>IF(分析!W347&lt;&gt;"",分析!W347,"")</f>
        <v/>
      </c>
      <c r="W347" s="157" t="str">
        <f>IF(分析!AD347&lt;&gt;"",分析!AD347,"")</f>
        <v/>
      </c>
      <c r="X347" s="158" t="str">
        <f>IF(分析!AE347&lt;&gt;"",分析!AE347,"")</f>
        <v/>
      </c>
      <c r="Y347" s="159" t="str">
        <f>IF(分析!T347&lt;&gt;"",分析!T347,"")</f>
        <v/>
      </c>
      <c r="Z347" s="145" t="str">
        <f>IF(分析!Y347&lt;&gt;"",分析!Y347,"")</f>
        <v/>
      </c>
    </row>
    <row r="348" spans="1:26" ht="21.9" customHeight="1">
      <c r="A348" s="131" t="str">
        <f>IF(分析!C348&lt;&gt;"",ROW()-2,"")</f>
        <v/>
      </c>
      <c r="B348" s="132" t="str">
        <f>IF(分析!C348&lt;&gt;"",HYPERLINK("https://kabutan.jp/stock/?code="&amp;分析!C348,"株探"),"")</f>
        <v/>
      </c>
      <c r="C348" s="133" t="str">
        <f>IF(分析!C348&lt;&gt;"",分析!C348,"")</f>
        <v/>
      </c>
      <c r="D348" s="134" t="str">
        <f>IF(分析!D348&lt;&gt;"",分析!D348,"")</f>
        <v/>
      </c>
      <c r="E348" s="135" t="str">
        <f>IF(分析!E348&lt;&gt;"",分析!E348,"")</f>
        <v/>
      </c>
      <c r="F348" s="136" t="str">
        <f>IF(分析!F348&lt;&gt;"",分析!F348,"")</f>
        <v/>
      </c>
      <c r="G348" s="136" t="str">
        <f>IF(分析!H348&lt;&gt;"",分析!H348,"")</f>
        <v/>
      </c>
      <c r="H348" s="136" t="str">
        <f>IF(分析!I348&lt;&gt;"",分析!I348,"")</f>
        <v/>
      </c>
      <c r="I348" s="136" t="str">
        <f>IF(分析!J348&lt;&gt;"",分析!J348,"")</f>
        <v/>
      </c>
      <c r="J348" s="136" t="str">
        <f>IF(分析!AB348&lt;&gt;"",分析!AB348,"")</f>
        <v/>
      </c>
      <c r="K348" s="136" t="str">
        <f>IF(分析!AC348&lt;&gt;"",分析!AC348,"")</f>
        <v/>
      </c>
      <c r="L348" s="136" t="str">
        <f>IF(分析!K348&lt;&gt;"",分析!K348,"")</f>
        <v/>
      </c>
      <c r="M348" s="131" t="str">
        <f>IF(分析!P348&lt;&gt;"",分析!P348,"")</f>
        <v/>
      </c>
      <c r="N348" s="137" t="str">
        <f>IF(分析!O348&lt;&gt;"",分析!O348,"")</f>
        <v/>
      </c>
      <c r="O348" s="138" t="str">
        <f>IF(分析!X348&lt;&gt;"",分析!X348,"")</f>
        <v/>
      </c>
      <c r="P348" s="139" t="str">
        <f>IF(分析!L348&lt;&gt;"",分析!L348,"")</f>
        <v/>
      </c>
      <c r="Q348" s="136" t="str">
        <f>IF(分析!S348&lt;&gt;"",分析!S348,"")</f>
        <v/>
      </c>
      <c r="R348" s="136" t="str">
        <f>IF(分析!R348&lt;&gt;"",分析!R348,"")</f>
        <v/>
      </c>
      <c r="S348" s="131" t="str">
        <f>IF(分析!AA348&lt;&gt;"",分析!AA348,"")</f>
        <v/>
      </c>
      <c r="T348" s="140" t="str">
        <f>IF(分析!Z348&lt;&gt;"",分析!Z348,"")</f>
        <v/>
      </c>
      <c r="U348" s="131" t="str">
        <f>IF(分析!V348&lt;&gt;"",分析!V348,"")</f>
        <v/>
      </c>
      <c r="V348" s="141" t="str">
        <f>IF(分析!W348&lt;&gt;"",分析!W348,"")</f>
        <v/>
      </c>
      <c r="W348" s="142" t="str">
        <f>IF(分析!AD348&lt;&gt;"",分析!AD348,"")</f>
        <v/>
      </c>
      <c r="X348" s="143" t="str">
        <f>IF(分析!AE348&lt;&gt;"",分析!AE348,"")</f>
        <v/>
      </c>
      <c r="Y348" s="144" t="str">
        <f>IF(分析!T348&lt;&gt;"",分析!T348,"")</f>
        <v/>
      </c>
      <c r="Z348" s="145" t="str">
        <f>IF(分析!Y348&lt;&gt;"",分析!Y348,"")</f>
        <v/>
      </c>
    </row>
    <row r="349" spans="1:26" ht="21.9" customHeight="1">
      <c r="A349" s="146" t="str">
        <f>IF(分析!C349&lt;&gt;"",ROW()-2,"")</f>
        <v/>
      </c>
      <c r="B349" s="147" t="str">
        <f>IF(分析!C349&lt;&gt;"",HYPERLINK("https://kabutan.jp/stock/?code="&amp;分析!C349,"株探"),"")</f>
        <v/>
      </c>
      <c r="C349" s="148" t="str">
        <f>IF(分析!C349&lt;&gt;"",分析!C349,"")</f>
        <v/>
      </c>
      <c r="D349" s="149" t="str">
        <f>IF(分析!D349&lt;&gt;"",分析!D349,"")</f>
        <v/>
      </c>
      <c r="E349" s="150" t="str">
        <f>IF(分析!E349&lt;&gt;"",分析!E349,"")</f>
        <v/>
      </c>
      <c r="F349" s="151" t="str">
        <f>IF(分析!F349&lt;&gt;"",分析!F349,"")</f>
        <v/>
      </c>
      <c r="G349" s="151" t="str">
        <f>IF(分析!H349&lt;&gt;"",分析!H349,"")</f>
        <v/>
      </c>
      <c r="H349" s="151" t="str">
        <f>IF(分析!I349&lt;&gt;"",分析!I349,"")</f>
        <v/>
      </c>
      <c r="I349" s="151" t="str">
        <f>IF(分析!J349&lt;&gt;"",分析!J349,"")</f>
        <v/>
      </c>
      <c r="J349" s="151" t="str">
        <f>IF(分析!AB349&lt;&gt;"",分析!AB349,"")</f>
        <v/>
      </c>
      <c r="K349" s="151" t="str">
        <f>IF(分析!AC349&lt;&gt;"",分析!AC349,"")</f>
        <v/>
      </c>
      <c r="L349" s="151" t="str">
        <f>IF(分析!K349&lt;&gt;"",分析!K349,"")</f>
        <v/>
      </c>
      <c r="M349" s="146" t="str">
        <f>IF(分析!P349&lt;&gt;"",分析!P349,"")</f>
        <v/>
      </c>
      <c r="N349" s="152" t="str">
        <f>IF(分析!O349&lt;&gt;"",分析!O349,"")</f>
        <v/>
      </c>
      <c r="O349" s="153" t="str">
        <f>IF(分析!X349&lt;&gt;"",分析!X349,"")</f>
        <v/>
      </c>
      <c r="P349" s="154" t="str">
        <f>IF(分析!L349&lt;&gt;"",分析!L349,"")</f>
        <v/>
      </c>
      <c r="Q349" s="151" t="str">
        <f>IF(分析!S349&lt;&gt;"",分析!S349,"")</f>
        <v/>
      </c>
      <c r="R349" s="151" t="str">
        <f>IF(分析!R349&lt;&gt;"",分析!R349,"")</f>
        <v/>
      </c>
      <c r="S349" s="146" t="str">
        <f>IF(分析!AA349&lt;&gt;"",分析!AA349,"")</f>
        <v/>
      </c>
      <c r="T349" s="155" t="str">
        <f>IF(分析!Z349&lt;&gt;"",分析!Z349,"")</f>
        <v/>
      </c>
      <c r="U349" s="146" t="str">
        <f>IF(分析!V349&lt;&gt;"",分析!V349,"")</f>
        <v/>
      </c>
      <c r="V349" s="156" t="str">
        <f>IF(分析!W349&lt;&gt;"",分析!W349,"")</f>
        <v/>
      </c>
      <c r="W349" s="157" t="str">
        <f>IF(分析!AD349&lt;&gt;"",分析!AD349,"")</f>
        <v/>
      </c>
      <c r="X349" s="158" t="str">
        <f>IF(分析!AE349&lt;&gt;"",分析!AE349,"")</f>
        <v/>
      </c>
      <c r="Y349" s="159" t="str">
        <f>IF(分析!T349&lt;&gt;"",分析!T349,"")</f>
        <v/>
      </c>
      <c r="Z349" s="145" t="str">
        <f>IF(分析!Y349&lt;&gt;"",分析!Y349,"")</f>
        <v/>
      </c>
    </row>
    <row r="350" spans="1:26" ht="21.9" customHeight="1">
      <c r="A350" s="131" t="str">
        <f>IF(分析!C350&lt;&gt;"",ROW()-2,"")</f>
        <v/>
      </c>
      <c r="B350" s="132" t="str">
        <f>IF(分析!C350&lt;&gt;"",HYPERLINK("https://kabutan.jp/stock/?code="&amp;分析!C350,"株探"),"")</f>
        <v/>
      </c>
      <c r="C350" s="133" t="str">
        <f>IF(分析!C350&lt;&gt;"",分析!C350,"")</f>
        <v/>
      </c>
      <c r="D350" s="134" t="str">
        <f>IF(分析!D350&lt;&gt;"",分析!D350,"")</f>
        <v/>
      </c>
      <c r="E350" s="135" t="str">
        <f>IF(分析!E350&lt;&gt;"",分析!E350,"")</f>
        <v/>
      </c>
      <c r="F350" s="136" t="str">
        <f>IF(分析!F350&lt;&gt;"",分析!F350,"")</f>
        <v/>
      </c>
      <c r="G350" s="136" t="str">
        <f>IF(分析!H350&lt;&gt;"",分析!H350,"")</f>
        <v/>
      </c>
      <c r="H350" s="136" t="str">
        <f>IF(分析!I350&lt;&gt;"",分析!I350,"")</f>
        <v/>
      </c>
      <c r="I350" s="136" t="str">
        <f>IF(分析!J350&lt;&gt;"",分析!J350,"")</f>
        <v/>
      </c>
      <c r="J350" s="136" t="str">
        <f>IF(分析!AB350&lt;&gt;"",分析!AB350,"")</f>
        <v/>
      </c>
      <c r="K350" s="136" t="str">
        <f>IF(分析!AC350&lt;&gt;"",分析!AC350,"")</f>
        <v/>
      </c>
      <c r="L350" s="136" t="str">
        <f>IF(分析!K350&lt;&gt;"",分析!K350,"")</f>
        <v/>
      </c>
      <c r="M350" s="131" t="str">
        <f>IF(分析!P350&lt;&gt;"",分析!P350,"")</f>
        <v/>
      </c>
      <c r="N350" s="137" t="str">
        <f>IF(分析!O350&lt;&gt;"",分析!O350,"")</f>
        <v/>
      </c>
      <c r="O350" s="138" t="str">
        <f>IF(分析!X350&lt;&gt;"",分析!X350,"")</f>
        <v/>
      </c>
      <c r="P350" s="139" t="str">
        <f>IF(分析!L350&lt;&gt;"",分析!L350,"")</f>
        <v/>
      </c>
      <c r="Q350" s="136" t="str">
        <f>IF(分析!S350&lt;&gt;"",分析!S350,"")</f>
        <v/>
      </c>
      <c r="R350" s="136" t="str">
        <f>IF(分析!R350&lt;&gt;"",分析!R350,"")</f>
        <v/>
      </c>
      <c r="S350" s="131" t="str">
        <f>IF(分析!AA350&lt;&gt;"",分析!AA350,"")</f>
        <v/>
      </c>
      <c r="T350" s="140" t="str">
        <f>IF(分析!Z350&lt;&gt;"",分析!Z350,"")</f>
        <v/>
      </c>
      <c r="U350" s="131" t="str">
        <f>IF(分析!V350&lt;&gt;"",分析!V350,"")</f>
        <v/>
      </c>
      <c r="V350" s="141" t="str">
        <f>IF(分析!W350&lt;&gt;"",分析!W350,"")</f>
        <v/>
      </c>
      <c r="W350" s="142" t="str">
        <f>IF(分析!AD350&lt;&gt;"",分析!AD350,"")</f>
        <v/>
      </c>
      <c r="X350" s="143" t="str">
        <f>IF(分析!AE350&lt;&gt;"",分析!AE350,"")</f>
        <v/>
      </c>
      <c r="Y350" s="144" t="str">
        <f>IF(分析!T350&lt;&gt;"",分析!T350,"")</f>
        <v/>
      </c>
      <c r="Z350" s="145" t="str">
        <f>IF(分析!Y350&lt;&gt;"",分析!Y350,"")</f>
        <v/>
      </c>
    </row>
    <row r="351" spans="1:26" ht="21.9" customHeight="1">
      <c r="A351" s="146" t="str">
        <f>IF(分析!C351&lt;&gt;"",ROW()-2,"")</f>
        <v/>
      </c>
      <c r="B351" s="147" t="str">
        <f>IF(分析!C351&lt;&gt;"",HYPERLINK("https://kabutan.jp/stock/?code="&amp;分析!C351,"株探"),"")</f>
        <v/>
      </c>
      <c r="C351" s="148" t="str">
        <f>IF(分析!C351&lt;&gt;"",分析!C351,"")</f>
        <v/>
      </c>
      <c r="D351" s="149" t="str">
        <f>IF(分析!D351&lt;&gt;"",分析!D351,"")</f>
        <v/>
      </c>
      <c r="E351" s="150" t="str">
        <f>IF(分析!E351&lt;&gt;"",分析!E351,"")</f>
        <v/>
      </c>
      <c r="F351" s="151" t="str">
        <f>IF(分析!F351&lt;&gt;"",分析!F351,"")</f>
        <v/>
      </c>
      <c r="G351" s="151" t="str">
        <f>IF(分析!H351&lt;&gt;"",分析!H351,"")</f>
        <v/>
      </c>
      <c r="H351" s="151" t="str">
        <f>IF(分析!I351&lt;&gt;"",分析!I351,"")</f>
        <v/>
      </c>
      <c r="I351" s="151" t="str">
        <f>IF(分析!J351&lt;&gt;"",分析!J351,"")</f>
        <v/>
      </c>
      <c r="J351" s="151" t="str">
        <f>IF(分析!AB351&lt;&gt;"",分析!AB351,"")</f>
        <v/>
      </c>
      <c r="K351" s="151" t="str">
        <f>IF(分析!AC351&lt;&gt;"",分析!AC351,"")</f>
        <v/>
      </c>
      <c r="L351" s="151" t="str">
        <f>IF(分析!K351&lt;&gt;"",分析!K351,"")</f>
        <v/>
      </c>
      <c r="M351" s="146" t="str">
        <f>IF(分析!P351&lt;&gt;"",分析!P351,"")</f>
        <v/>
      </c>
      <c r="N351" s="152" t="str">
        <f>IF(分析!O351&lt;&gt;"",分析!O351,"")</f>
        <v/>
      </c>
      <c r="O351" s="153" t="str">
        <f>IF(分析!X351&lt;&gt;"",分析!X351,"")</f>
        <v/>
      </c>
      <c r="P351" s="154" t="str">
        <f>IF(分析!L351&lt;&gt;"",分析!L351,"")</f>
        <v/>
      </c>
      <c r="Q351" s="151" t="str">
        <f>IF(分析!S351&lt;&gt;"",分析!S351,"")</f>
        <v/>
      </c>
      <c r="R351" s="151" t="str">
        <f>IF(分析!R351&lt;&gt;"",分析!R351,"")</f>
        <v/>
      </c>
      <c r="S351" s="146" t="str">
        <f>IF(分析!AA351&lt;&gt;"",分析!AA351,"")</f>
        <v/>
      </c>
      <c r="T351" s="155" t="str">
        <f>IF(分析!Z351&lt;&gt;"",分析!Z351,"")</f>
        <v/>
      </c>
      <c r="U351" s="146" t="str">
        <f>IF(分析!V351&lt;&gt;"",分析!V351,"")</f>
        <v/>
      </c>
      <c r="V351" s="156" t="str">
        <f>IF(分析!W351&lt;&gt;"",分析!W351,"")</f>
        <v/>
      </c>
      <c r="W351" s="157" t="str">
        <f>IF(分析!AD351&lt;&gt;"",分析!AD351,"")</f>
        <v/>
      </c>
      <c r="X351" s="158" t="str">
        <f>IF(分析!AE351&lt;&gt;"",分析!AE351,"")</f>
        <v/>
      </c>
      <c r="Y351" s="159" t="str">
        <f>IF(分析!T351&lt;&gt;"",分析!T351,"")</f>
        <v/>
      </c>
      <c r="Z351" s="145" t="str">
        <f>IF(分析!Y351&lt;&gt;"",分析!Y351,"")</f>
        <v/>
      </c>
    </row>
    <row r="352" spans="1:26" ht="21.9" customHeight="1">
      <c r="A352" s="131" t="str">
        <f>IF(分析!C352&lt;&gt;"",ROW()-2,"")</f>
        <v/>
      </c>
      <c r="B352" s="132" t="str">
        <f>IF(分析!C352&lt;&gt;"",HYPERLINK("https://kabutan.jp/stock/?code="&amp;分析!C352,"株探"),"")</f>
        <v/>
      </c>
      <c r="C352" s="133" t="str">
        <f>IF(分析!C352&lt;&gt;"",分析!C352,"")</f>
        <v/>
      </c>
      <c r="D352" s="134" t="str">
        <f>IF(分析!D352&lt;&gt;"",分析!D352,"")</f>
        <v/>
      </c>
      <c r="E352" s="135" t="str">
        <f>IF(分析!E352&lt;&gt;"",分析!E352,"")</f>
        <v/>
      </c>
      <c r="F352" s="136" t="str">
        <f>IF(分析!F352&lt;&gt;"",分析!F352,"")</f>
        <v/>
      </c>
      <c r="G352" s="136" t="str">
        <f>IF(分析!H352&lt;&gt;"",分析!H352,"")</f>
        <v/>
      </c>
      <c r="H352" s="136" t="str">
        <f>IF(分析!I352&lt;&gt;"",分析!I352,"")</f>
        <v/>
      </c>
      <c r="I352" s="136" t="str">
        <f>IF(分析!J352&lt;&gt;"",分析!J352,"")</f>
        <v/>
      </c>
      <c r="J352" s="136" t="str">
        <f>IF(分析!AB352&lt;&gt;"",分析!AB352,"")</f>
        <v/>
      </c>
      <c r="K352" s="136" t="str">
        <f>IF(分析!AC352&lt;&gt;"",分析!AC352,"")</f>
        <v/>
      </c>
      <c r="L352" s="136" t="str">
        <f>IF(分析!K352&lt;&gt;"",分析!K352,"")</f>
        <v/>
      </c>
      <c r="M352" s="131" t="str">
        <f>IF(分析!P352&lt;&gt;"",分析!P352,"")</f>
        <v/>
      </c>
      <c r="N352" s="137" t="str">
        <f>IF(分析!O352&lt;&gt;"",分析!O352,"")</f>
        <v/>
      </c>
      <c r="O352" s="138" t="str">
        <f>IF(分析!X352&lt;&gt;"",分析!X352,"")</f>
        <v/>
      </c>
      <c r="P352" s="139" t="str">
        <f>IF(分析!L352&lt;&gt;"",分析!L352,"")</f>
        <v/>
      </c>
      <c r="Q352" s="136" t="str">
        <f>IF(分析!S352&lt;&gt;"",分析!S352,"")</f>
        <v/>
      </c>
      <c r="R352" s="136" t="str">
        <f>IF(分析!R352&lt;&gt;"",分析!R352,"")</f>
        <v/>
      </c>
      <c r="S352" s="131" t="str">
        <f>IF(分析!AA352&lt;&gt;"",分析!AA352,"")</f>
        <v/>
      </c>
      <c r="T352" s="140" t="str">
        <f>IF(分析!Z352&lt;&gt;"",分析!Z352,"")</f>
        <v/>
      </c>
      <c r="U352" s="131" t="str">
        <f>IF(分析!V352&lt;&gt;"",分析!V352,"")</f>
        <v/>
      </c>
      <c r="V352" s="141" t="str">
        <f>IF(分析!W352&lt;&gt;"",分析!W352,"")</f>
        <v/>
      </c>
      <c r="W352" s="142" t="str">
        <f>IF(分析!AD352&lt;&gt;"",分析!AD352,"")</f>
        <v/>
      </c>
      <c r="X352" s="143" t="str">
        <f>IF(分析!AE352&lt;&gt;"",分析!AE352,"")</f>
        <v/>
      </c>
      <c r="Y352" s="144" t="str">
        <f>IF(分析!T352&lt;&gt;"",分析!T352,"")</f>
        <v/>
      </c>
      <c r="Z352" s="145" t="str">
        <f>IF(分析!Y352&lt;&gt;"",分析!Y352,"")</f>
        <v/>
      </c>
    </row>
    <row r="353" spans="1:26" ht="21.9" customHeight="1">
      <c r="A353" s="146" t="str">
        <f>IF(分析!C353&lt;&gt;"",ROW()-2,"")</f>
        <v/>
      </c>
      <c r="B353" s="147" t="str">
        <f>IF(分析!C353&lt;&gt;"",HYPERLINK("https://kabutan.jp/stock/?code="&amp;分析!C353,"株探"),"")</f>
        <v/>
      </c>
      <c r="C353" s="148" t="str">
        <f>IF(分析!C353&lt;&gt;"",分析!C353,"")</f>
        <v/>
      </c>
      <c r="D353" s="149" t="str">
        <f>IF(分析!D353&lt;&gt;"",分析!D353,"")</f>
        <v/>
      </c>
      <c r="E353" s="150" t="str">
        <f>IF(分析!E353&lt;&gt;"",分析!E353,"")</f>
        <v/>
      </c>
      <c r="F353" s="151" t="str">
        <f>IF(分析!F353&lt;&gt;"",分析!F353,"")</f>
        <v/>
      </c>
      <c r="G353" s="151" t="str">
        <f>IF(分析!H353&lt;&gt;"",分析!H353,"")</f>
        <v/>
      </c>
      <c r="H353" s="151" t="str">
        <f>IF(分析!I353&lt;&gt;"",分析!I353,"")</f>
        <v/>
      </c>
      <c r="I353" s="151" t="str">
        <f>IF(分析!J353&lt;&gt;"",分析!J353,"")</f>
        <v/>
      </c>
      <c r="J353" s="151" t="str">
        <f>IF(分析!AB353&lt;&gt;"",分析!AB353,"")</f>
        <v/>
      </c>
      <c r="K353" s="151" t="str">
        <f>IF(分析!AC353&lt;&gt;"",分析!AC353,"")</f>
        <v/>
      </c>
      <c r="L353" s="151" t="str">
        <f>IF(分析!K353&lt;&gt;"",分析!K353,"")</f>
        <v/>
      </c>
      <c r="M353" s="146" t="str">
        <f>IF(分析!P353&lt;&gt;"",分析!P353,"")</f>
        <v/>
      </c>
      <c r="N353" s="152" t="str">
        <f>IF(分析!O353&lt;&gt;"",分析!O353,"")</f>
        <v/>
      </c>
      <c r="O353" s="153" t="str">
        <f>IF(分析!X353&lt;&gt;"",分析!X353,"")</f>
        <v/>
      </c>
      <c r="P353" s="154" t="str">
        <f>IF(分析!L353&lt;&gt;"",分析!L353,"")</f>
        <v/>
      </c>
      <c r="Q353" s="151" t="str">
        <f>IF(分析!S353&lt;&gt;"",分析!S353,"")</f>
        <v/>
      </c>
      <c r="R353" s="151" t="str">
        <f>IF(分析!R353&lt;&gt;"",分析!R353,"")</f>
        <v/>
      </c>
      <c r="S353" s="146" t="str">
        <f>IF(分析!AA353&lt;&gt;"",分析!AA353,"")</f>
        <v/>
      </c>
      <c r="T353" s="155" t="str">
        <f>IF(分析!Z353&lt;&gt;"",分析!Z353,"")</f>
        <v/>
      </c>
      <c r="U353" s="146" t="str">
        <f>IF(分析!V353&lt;&gt;"",分析!V353,"")</f>
        <v/>
      </c>
      <c r="V353" s="156" t="str">
        <f>IF(分析!W353&lt;&gt;"",分析!W353,"")</f>
        <v/>
      </c>
      <c r="W353" s="157" t="str">
        <f>IF(分析!AD353&lt;&gt;"",分析!AD353,"")</f>
        <v/>
      </c>
      <c r="X353" s="158" t="str">
        <f>IF(分析!AE353&lt;&gt;"",分析!AE353,"")</f>
        <v/>
      </c>
      <c r="Y353" s="159" t="str">
        <f>IF(分析!T353&lt;&gt;"",分析!T353,"")</f>
        <v/>
      </c>
      <c r="Z353" s="145" t="str">
        <f>IF(分析!Y353&lt;&gt;"",分析!Y353,"")</f>
        <v/>
      </c>
    </row>
    <row r="354" spans="1:26" ht="21.9" customHeight="1">
      <c r="A354" s="131" t="str">
        <f>IF(分析!C354&lt;&gt;"",ROW()-2,"")</f>
        <v/>
      </c>
      <c r="B354" s="132" t="str">
        <f>IF(分析!C354&lt;&gt;"",HYPERLINK("https://kabutan.jp/stock/?code="&amp;分析!C354,"株探"),"")</f>
        <v/>
      </c>
      <c r="C354" s="133" t="str">
        <f>IF(分析!C354&lt;&gt;"",分析!C354,"")</f>
        <v/>
      </c>
      <c r="D354" s="134" t="str">
        <f>IF(分析!D354&lt;&gt;"",分析!D354,"")</f>
        <v/>
      </c>
      <c r="E354" s="135" t="str">
        <f>IF(分析!E354&lt;&gt;"",分析!E354,"")</f>
        <v/>
      </c>
      <c r="F354" s="136" t="str">
        <f>IF(分析!F354&lt;&gt;"",分析!F354,"")</f>
        <v/>
      </c>
      <c r="G354" s="136" t="str">
        <f>IF(分析!H354&lt;&gt;"",分析!H354,"")</f>
        <v/>
      </c>
      <c r="H354" s="136" t="str">
        <f>IF(分析!I354&lt;&gt;"",分析!I354,"")</f>
        <v/>
      </c>
      <c r="I354" s="136" t="str">
        <f>IF(分析!J354&lt;&gt;"",分析!J354,"")</f>
        <v/>
      </c>
      <c r="J354" s="136" t="str">
        <f>IF(分析!AB354&lt;&gt;"",分析!AB354,"")</f>
        <v/>
      </c>
      <c r="K354" s="136" t="str">
        <f>IF(分析!AC354&lt;&gt;"",分析!AC354,"")</f>
        <v/>
      </c>
      <c r="L354" s="136" t="str">
        <f>IF(分析!K354&lt;&gt;"",分析!K354,"")</f>
        <v/>
      </c>
      <c r="M354" s="131" t="str">
        <f>IF(分析!P354&lt;&gt;"",分析!P354,"")</f>
        <v/>
      </c>
      <c r="N354" s="137" t="str">
        <f>IF(分析!O354&lt;&gt;"",分析!O354,"")</f>
        <v/>
      </c>
      <c r="O354" s="138" t="str">
        <f>IF(分析!X354&lt;&gt;"",分析!X354,"")</f>
        <v/>
      </c>
      <c r="P354" s="139" t="str">
        <f>IF(分析!L354&lt;&gt;"",分析!L354,"")</f>
        <v/>
      </c>
      <c r="Q354" s="136" t="str">
        <f>IF(分析!S354&lt;&gt;"",分析!S354,"")</f>
        <v/>
      </c>
      <c r="R354" s="136" t="str">
        <f>IF(分析!R354&lt;&gt;"",分析!R354,"")</f>
        <v/>
      </c>
      <c r="S354" s="131" t="str">
        <f>IF(分析!AA354&lt;&gt;"",分析!AA354,"")</f>
        <v/>
      </c>
      <c r="T354" s="140" t="str">
        <f>IF(分析!Z354&lt;&gt;"",分析!Z354,"")</f>
        <v/>
      </c>
      <c r="U354" s="131" t="str">
        <f>IF(分析!V354&lt;&gt;"",分析!V354,"")</f>
        <v/>
      </c>
      <c r="V354" s="141" t="str">
        <f>IF(分析!W354&lt;&gt;"",分析!W354,"")</f>
        <v/>
      </c>
      <c r="W354" s="142" t="str">
        <f>IF(分析!AD354&lt;&gt;"",分析!AD354,"")</f>
        <v/>
      </c>
      <c r="X354" s="143" t="str">
        <f>IF(分析!AE354&lt;&gt;"",分析!AE354,"")</f>
        <v/>
      </c>
      <c r="Y354" s="144" t="str">
        <f>IF(分析!T354&lt;&gt;"",分析!T354,"")</f>
        <v/>
      </c>
      <c r="Z354" s="145" t="str">
        <f>IF(分析!Y354&lt;&gt;"",分析!Y354,"")</f>
        <v/>
      </c>
    </row>
    <row r="355" spans="1:26" ht="21.9" customHeight="1">
      <c r="A355" s="146" t="str">
        <f>IF(分析!C355&lt;&gt;"",ROW()-2,"")</f>
        <v/>
      </c>
      <c r="B355" s="147" t="str">
        <f>IF(分析!C355&lt;&gt;"",HYPERLINK("https://kabutan.jp/stock/?code="&amp;分析!C355,"株探"),"")</f>
        <v/>
      </c>
      <c r="C355" s="148" t="str">
        <f>IF(分析!C355&lt;&gt;"",分析!C355,"")</f>
        <v/>
      </c>
      <c r="D355" s="149" t="str">
        <f>IF(分析!D355&lt;&gt;"",分析!D355,"")</f>
        <v/>
      </c>
      <c r="E355" s="150" t="str">
        <f>IF(分析!E355&lt;&gt;"",分析!E355,"")</f>
        <v/>
      </c>
      <c r="F355" s="151" t="str">
        <f>IF(分析!F355&lt;&gt;"",分析!F355,"")</f>
        <v/>
      </c>
      <c r="G355" s="151" t="str">
        <f>IF(分析!H355&lt;&gt;"",分析!H355,"")</f>
        <v/>
      </c>
      <c r="H355" s="151" t="str">
        <f>IF(分析!I355&lt;&gt;"",分析!I355,"")</f>
        <v/>
      </c>
      <c r="I355" s="151" t="str">
        <f>IF(分析!J355&lt;&gt;"",分析!J355,"")</f>
        <v/>
      </c>
      <c r="J355" s="151" t="str">
        <f>IF(分析!AB355&lt;&gt;"",分析!AB355,"")</f>
        <v/>
      </c>
      <c r="K355" s="151" t="str">
        <f>IF(分析!AC355&lt;&gt;"",分析!AC355,"")</f>
        <v/>
      </c>
      <c r="L355" s="151" t="str">
        <f>IF(分析!K355&lt;&gt;"",分析!K355,"")</f>
        <v/>
      </c>
      <c r="M355" s="146" t="str">
        <f>IF(分析!P355&lt;&gt;"",分析!P355,"")</f>
        <v/>
      </c>
      <c r="N355" s="152" t="str">
        <f>IF(分析!O355&lt;&gt;"",分析!O355,"")</f>
        <v/>
      </c>
      <c r="O355" s="153" t="str">
        <f>IF(分析!X355&lt;&gt;"",分析!X355,"")</f>
        <v/>
      </c>
      <c r="P355" s="154" t="str">
        <f>IF(分析!L355&lt;&gt;"",分析!L355,"")</f>
        <v/>
      </c>
      <c r="Q355" s="151" t="str">
        <f>IF(分析!S355&lt;&gt;"",分析!S355,"")</f>
        <v/>
      </c>
      <c r="R355" s="151" t="str">
        <f>IF(分析!R355&lt;&gt;"",分析!R355,"")</f>
        <v/>
      </c>
      <c r="S355" s="146" t="str">
        <f>IF(分析!AA355&lt;&gt;"",分析!AA355,"")</f>
        <v/>
      </c>
      <c r="T355" s="155" t="str">
        <f>IF(分析!Z355&lt;&gt;"",分析!Z355,"")</f>
        <v/>
      </c>
      <c r="U355" s="146" t="str">
        <f>IF(分析!V355&lt;&gt;"",分析!V355,"")</f>
        <v/>
      </c>
      <c r="V355" s="156" t="str">
        <f>IF(分析!W355&lt;&gt;"",分析!W355,"")</f>
        <v/>
      </c>
      <c r="W355" s="157" t="str">
        <f>IF(分析!AD355&lt;&gt;"",分析!AD355,"")</f>
        <v/>
      </c>
      <c r="X355" s="158" t="str">
        <f>IF(分析!AE355&lt;&gt;"",分析!AE355,"")</f>
        <v/>
      </c>
      <c r="Y355" s="159" t="str">
        <f>IF(分析!T355&lt;&gt;"",分析!T355,"")</f>
        <v/>
      </c>
      <c r="Z355" s="145" t="str">
        <f>IF(分析!Y355&lt;&gt;"",分析!Y355,"")</f>
        <v/>
      </c>
    </row>
    <row r="356" spans="1:26" ht="21.9" customHeight="1">
      <c r="A356" s="131" t="str">
        <f>IF(分析!C356&lt;&gt;"",ROW()-2,"")</f>
        <v/>
      </c>
      <c r="B356" s="132" t="str">
        <f>IF(分析!C356&lt;&gt;"",HYPERLINK("https://kabutan.jp/stock/?code="&amp;分析!C356,"株探"),"")</f>
        <v/>
      </c>
      <c r="C356" s="133" t="str">
        <f>IF(分析!C356&lt;&gt;"",分析!C356,"")</f>
        <v/>
      </c>
      <c r="D356" s="134" t="str">
        <f>IF(分析!D356&lt;&gt;"",分析!D356,"")</f>
        <v/>
      </c>
      <c r="E356" s="135" t="str">
        <f>IF(分析!E356&lt;&gt;"",分析!E356,"")</f>
        <v/>
      </c>
      <c r="F356" s="136" t="str">
        <f>IF(分析!F356&lt;&gt;"",分析!F356,"")</f>
        <v/>
      </c>
      <c r="G356" s="136" t="str">
        <f>IF(分析!H356&lt;&gt;"",分析!H356,"")</f>
        <v/>
      </c>
      <c r="H356" s="136" t="str">
        <f>IF(分析!I356&lt;&gt;"",分析!I356,"")</f>
        <v/>
      </c>
      <c r="I356" s="136" t="str">
        <f>IF(分析!J356&lt;&gt;"",分析!J356,"")</f>
        <v/>
      </c>
      <c r="J356" s="136" t="str">
        <f>IF(分析!AB356&lt;&gt;"",分析!AB356,"")</f>
        <v/>
      </c>
      <c r="K356" s="136" t="str">
        <f>IF(分析!AC356&lt;&gt;"",分析!AC356,"")</f>
        <v/>
      </c>
      <c r="L356" s="136" t="str">
        <f>IF(分析!K356&lt;&gt;"",分析!K356,"")</f>
        <v/>
      </c>
      <c r="M356" s="131" t="str">
        <f>IF(分析!P356&lt;&gt;"",分析!P356,"")</f>
        <v/>
      </c>
      <c r="N356" s="137" t="str">
        <f>IF(分析!O356&lt;&gt;"",分析!O356,"")</f>
        <v/>
      </c>
      <c r="O356" s="138" t="str">
        <f>IF(分析!X356&lt;&gt;"",分析!X356,"")</f>
        <v/>
      </c>
      <c r="P356" s="139" t="str">
        <f>IF(分析!L356&lt;&gt;"",分析!L356,"")</f>
        <v/>
      </c>
      <c r="Q356" s="136" t="str">
        <f>IF(分析!S356&lt;&gt;"",分析!S356,"")</f>
        <v/>
      </c>
      <c r="R356" s="136" t="str">
        <f>IF(分析!R356&lt;&gt;"",分析!R356,"")</f>
        <v/>
      </c>
      <c r="S356" s="131" t="str">
        <f>IF(分析!AA356&lt;&gt;"",分析!AA356,"")</f>
        <v/>
      </c>
      <c r="T356" s="140" t="str">
        <f>IF(分析!Z356&lt;&gt;"",分析!Z356,"")</f>
        <v/>
      </c>
      <c r="U356" s="131" t="str">
        <f>IF(分析!V356&lt;&gt;"",分析!V356,"")</f>
        <v/>
      </c>
      <c r="V356" s="141" t="str">
        <f>IF(分析!W356&lt;&gt;"",分析!W356,"")</f>
        <v/>
      </c>
      <c r="W356" s="142" t="str">
        <f>IF(分析!AD356&lt;&gt;"",分析!AD356,"")</f>
        <v/>
      </c>
      <c r="X356" s="143" t="str">
        <f>IF(分析!AE356&lt;&gt;"",分析!AE356,"")</f>
        <v/>
      </c>
      <c r="Y356" s="144" t="str">
        <f>IF(分析!T356&lt;&gt;"",分析!T356,"")</f>
        <v/>
      </c>
      <c r="Z356" s="145" t="str">
        <f>IF(分析!Y356&lt;&gt;"",分析!Y356,"")</f>
        <v/>
      </c>
    </row>
    <row r="357" spans="1:26" ht="21.9" customHeight="1">
      <c r="A357" s="146" t="str">
        <f>IF(分析!C357&lt;&gt;"",ROW()-2,"")</f>
        <v/>
      </c>
      <c r="B357" s="147" t="str">
        <f>IF(分析!C357&lt;&gt;"",HYPERLINK("https://kabutan.jp/stock/?code="&amp;分析!C357,"株探"),"")</f>
        <v/>
      </c>
      <c r="C357" s="148" t="str">
        <f>IF(分析!C357&lt;&gt;"",分析!C357,"")</f>
        <v/>
      </c>
      <c r="D357" s="149" t="str">
        <f>IF(分析!D357&lt;&gt;"",分析!D357,"")</f>
        <v/>
      </c>
      <c r="E357" s="150" t="str">
        <f>IF(分析!E357&lt;&gt;"",分析!E357,"")</f>
        <v/>
      </c>
      <c r="F357" s="151" t="str">
        <f>IF(分析!F357&lt;&gt;"",分析!F357,"")</f>
        <v/>
      </c>
      <c r="G357" s="151" t="str">
        <f>IF(分析!H357&lt;&gt;"",分析!H357,"")</f>
        <v/>
      </c>
      <c r="H357" s="151" t="str">
        <f>IF(分析!I357&lt;&gt;"",分析!I357,"")</f>
        <v/>
      </c>
      <c r="I357" s="151" t="str">
        <f>IF(分析!J357&lt;&gt;"",分析!J357,"")</f>
        <v/>
      </c>
      <c r="J357" s="151" t="str">
        <f>IF(分析!AB357&lt;&gt;"",分析!AB357,"")</f>
        <v/>
      </c>
      <c r="K357" s="151" t="str">
        <f>IF(分析!AC357&lt;&gt;"",分析!AC357,"")</f>
        <v/>
      </c>
      <c r="L357" s="151" t="str">
        <f>IF(分析!K357&lt;&gt;"",分析!K357,"")</f>
        <v/>
      </c>
      <c r="M357" s="146" t="str">
        <f>IF(分析!P357&lt;&gt;"",分析!P357,"")</f>
        <v/>
      </c>
      <c r="N357" s="152" t="str">
        <f>IF(分析!O357&lt;&gt;"",分析!O357,"")</f>
        <v/>
      </c>
      <c r="O357" s="153" t="str">
        <f>IF(分析!X357&lt;&gt;"",分析!X357,"")</f>
        <v/>
      </c>
      <c r="P357" s="154" t="str">
        <f>IF(分析!L357&lt;&gt;"",分析!L357,"")</f>
        <v/>
      </c>
      <c r="Q357" s="151" t="str">
        <f>IF(分析!S357&lt;&gt;"",分析!S357,"")</f>
        <v/>
      </c>
      <c r="R357" s="151" t="str">
        <f>IF(分析!R357&lt;&gt;"",分析!R357,"")</f>
        <v/>
      </c>
      <c r="S357" s="146" t="str">
        <f>IF(分析!AA357&lt;&gt;"",分析!AA357,"")</f>
        <v/>
      </c>
      <c r="T357" s="155" t="str">
        <f>IF(分析!Z357&lt;&gt;"",分析!Z357,"")</f>
        <v/>
      </c>
      <c r="U357" s="146" t="str">
        <f>IF(分析!V357&lt;&gt;"",分析!V357,"")</f>
        <v/>
      </c>
      <c r="V357" s="156" t="str">
        <f>IF(分析!W357&lt;&gt;"",分析!W357,"")</f>
        <v/>
      </c>
      <c r="W357" s="157" t="str">
        <f>IF(分析!AD357&lt;&gt;"",分析!AD357,"")</f>
        <v/>
      </c>
      <c r="X357" s="158" t="str">
        <f>IF(分析!AE357&lt;&gt;"",分析!AE357,"")</f>
        <v/>
      </c>
      <c r="Y357" s="159" t="str">
        <f>IF(分析!T357&lt;&gt;"",分析!T357,"")</f>
        <v/>
      </c>
      <c r="Z357" s="145" t="str">
        <f>IF(分析!Y357&lt;&gt;"",分析!Y357,"")</f>
        <v/>
      </c>
    </row>
    <row r="358" spans="1:26" ht="21.9" customHeight="1">
      <c r="A358" s="131" t="str">
        <f>IF(分析!C358&lt;&gt;"",ROW()-2,"")</f>
        <v/>
      </c>
      <c r="B358" s="132" t="str">
        <f>IF(分析!C358&lt;&gt;"",HYPERLINK("https://kabutan.jp/stock/?code="&amp;分析!C358,"株探"),"")</f>
        <v/>
      </c>
      <c r="C358" s="133" t="str">
        <f>IF(分析!C358&lt;&gt;"",分析!C358,"")</f>
        <v/>
      </c>
      <c r="D358" s="134" t="str">
        <f>IF(分析!D358&lt;&gt;"",分析!D358,"")</f>
        <v/>
      </c>
      <c r="E358" s="135" t="str">
        <f>IF(分析!E358&lt;&gt;"",分析!E358,"")</f>
        <v/>
      </c>
      <c r="F358" s="136" t="str">
        <f>IF(分析!F358&lt;&gt;"",分析!F358,"")</f>
        <v/>
      </c>
      <c r="G358" s="136" t="str">
        <f>IF(分析!H358&lt;&gt;"",分析!H358,"")</f>
        <v/>
      </c>
      <c r="H358" s="136" t="str">
        <f>IF(分析!I358&lt;&gt;"",分析!I358,"")</f>
        <v/>
      </c>
      <c r="I358" s="136" t="str">
        <f>IF(分析!J358&lt;&gt;"",分析!J358,"")</f>
        <v/>
      </c>
      <c r="J358" s="136" t="str">
        <f>IF(分析!AB358&lt;&gt;"",分析!AB358,"")</f>
        <v/>
      </c>
      <c r="K358" s="136" t="str">
        <f>IF(分析!AC358&lt;&gt;"",分析!AC358,"")</f>
        <v/>
      </c>
      <c r="L358" s="136" t="str">
        <f>IF(分析!K358&lt;&gt;"",分析!K358,"")</f>
        <v/>
      </c>
      <c r="M358" s="131" t="str">
        <f>IF(分析!P358&lt;&gt;"",分析!P358,"")</f>
        <v/>
      </c>
      <c r="N358" s="137" t="str">
        <f>IF(分析!O358&lt;&gt;"",分析!O358,"")</f>
        <v/>
      </c>
      <c r="O358" s="138" t="str">
        <f>IF(分析!X358&lt;&gt;"",分析!X358,"")</f>
        <v/>
      </c>
      <c r="P358" s="139" t="str">
        <f>IF(分析!L358&lt;&gt;"",分析!L358,"")</f>
        <v/>
      </c>
      <c r="Q358" s="136" t="str">
        <f>IF(分析!S358&lt;&gt;"",分析!S358,"")</f>
        <v/>
      </c>
      <c r="R358" s="136" t="str">
        <f>IF(分析!R358&lt;&gt;"",分析!R358,"")</f>
        <v/>
      </c>
      <c r="S358" s="131" t="str">
        <f>IF(分析!AA358&lt;&gt;"",分析!AA358,"")</f>
        <v/>
      </c>
      <c r="T358" s="140" t="str">
        <f>IF(分析!Z358&lt;&gt;"",分析!Z358,"")</f>
        <v/>
      </c>
      <c r="U358" s="131" t="str">
        <f>IF(分析!V358&lt;&gt;"",分析!V358,"")</f>
        <v/>
      </c>
      <c r="V358" s="141" t="str">
        <f>IF(分析!W358&lt;&gt;"",分析!W358,"")</f>
        <v/>
      </c>
      <c r="W358" s="142" t="str">
        <f>IF(分析!AD358&lt;&gt;"",分析!AD358,"")</f>
        <v/>
      </c>
      <c r="X358" s="143" t="str">
        <f>IF(分析!AE358&lt;&gt;"",分析!AE358,"")</f>
        <v/>
      </c>
      <c r="Y358" s="144" t="str">
        <f>IF(分析!T358&lt;&gt;"",分析!T358,"")</f>
        <v/>
      </c>
      <c r="Z358" s="145" t="str">
        <f>IF(分析!Y358&lt;&gt;"",分析!Y358,"")</f>
        <v/>
      </c>
    </row>
    <row r="359" spans="1:26" ht="21.9" customHeight="1">
      <c r="A359" s="146" t="str">
        <f>IF(分析!C359&lt;&gt;"",ROW()-2,"")</f>
        <v/>
      </c>
      <c r="B359" s="147" t="str">
        <f>IF(分析!C359&lt;&gt;"",HYPERLINK("https://kabutan.jp/stock/?code="&amp;分析!C359,"株探"),"")</f>
        <v/>
      </c>
      <c r="C359" s="148" t="str">
        <f>IF(分析!C359&lt;&gt;"",分析!C359,"")</f>
        <v/>
      </c>
      <c r="D359" s="149" t="str">
        <f>IF(分析!D359&lt;&gt;"",分析!D359,"")</f>
        <v/>
      </c>
      <c r="E359" s="150" t="str">
        <f>IF(分析!E359&lt;&gt;"",分析!E359,"")</f>
        <v/>
      </c>
      <c r="F359" s="151" t="str">
        <f>IF(分析!F359&lt;&gt;"",分析!F359,"")</f>
        <v/>
      </c>
      <c r="G359" s="151" t="str">
        <f>IF(分析!H359&lt;&gt;"",分析!H359,"")</f>
        <v/>
      </c>
      <c r="H359" s="151" t="str">
        <f>IF(分析!I359&lt;&gt;"",分析!I359,"")</f>
        <v/>
      </c>
      <c r="I359" s="151" t="str">
        <f>IF(分析!J359&lt;&gt;"",分析!J359,"")</f>
        <v/>
      </c>
      <c r="J359" s="151" t="str">
        <f>IF(分析!AB359&lt;&gt;"",分析!AB359,"")</f>
        <v/>
      </c>
      <c r="K359" s="151" t="str">
        <f>IF(分析!AC359&lt;&gt;"",分析!AC359,"")</f>
        <v/>
      </c>
      <c r="L359" s="151" t="str">
        <f>IF(分析!K359&lt;&gt;"",分析!K359,"")</f>
        <v/>
      </c>
      <c r="M359" s="146" t="str">
        <f>IF(分析!P359&lt;&gt;"",分析!P359,"")</f>
        <v/>
      </c>
      <c r="N359" s="152" t="str">
        <f>IF(分析!O359&lt;&gt;"",分析!O359,"")</f>
        <v/>
      </c>
      <c r="O359" s="153" t="str">
        <f>IF(分析!X359&lt;&gt;"",分析!X359,"")</f>
        <v/>
      </c>
      <c r="P359" s="154" t="str">
        <f>IF(分析!L359&lt;&gt;"",分析!L359,"")</f>
        <v/>
      </c>
      <c r="Q359" s="151" t="str">
        <f>IF(分析!S359&lt;&gt;"",分析!S359,"")</f>
        <v/>
      </c>
      <c r="R359" s="151" t="str">
        <f>IF(分析!R359&lt;&gt;"",分析!R359,"")</f>
        <v/>
      </c>
      <c r="S359" s="146" t="str">
        <f>IF(分析!AA359&lt;&gt;"",分析!AA359,"")</f>
        <v/>
      </c>
      <c r="T359" s="155" t="str">
        <f>IF(分析!Z359&lt;&gt;"",分析!Z359,"")</f>
        <v/>
      </c>
      <c r="U359" s="146" t="str">
        <f>IF(分析!V359&lt;&gt;"",分析!V359,"")</f>
        <v/>
      </c>
      <c r="V359" s="156" t="str">
        <f>IF(分析!W359&lt;&gt;"",分析!W359,"")</f>
        <v/>
      </c>
      <c r="W359" s="157" t="str">
        <f>IF(分析!AD359&lt;&gt;"",分析!AD359,"")</f>
        <v/>
      </c>
      <c r="X359" s="158" t="str">
        <f>IF(分析!AE359&lt;&gt;"",分析!AE359,"")</f>
        <v/>
      </c>
      <c r="Y359" s="159" t="str">
        <f>IF(分析!T359&lt;&gt;"",分析!T359,"")</f>
        <v/>
      </c>
      <c r="Z359" s="145" t="str">
        <f>IF(分析!Y359&lt;&gt;"",分析!Y359,"")</f>
        <v/>
      </c>
    </row>
    <row r="360" spans="1:26" ht="21.9" customHeight="1">
      <c r="A360" s="131" t="str">
        <f>IF(分析!C360&lt;&gt;"",ROW()-2,"")</f>
        <v/>
      </c>
      <c r="B360" s="132" t="str">
        <f>IF(分析!C360&lt;&gt;"",HYPERLINK("https://kabutan.jp/stock/?code="&amp;分析!C360,"株探"),"")</f>
        <v/>
      </c>
      <c r="C360" s="133" t="str">
        <f>IF(分析!C360&lt;&gt;"",分析!C360,"")</f>
        <v/>
      </c>
      <c r="D360" s="134" t="str">
        <f>IF(分析!D360&lt;&gt;"",分析!D360,"")</f>
        <v/>
      </c>
      <c r="E360" s="135" t="str">
        <f>IF(分析!E360&lt;&gt;"",分析!E360,"")</f>
        <v/>
      </c>
      <c r="F360" s="136" t="str">
        <f>IF(分析!F360&lt;&gt;"",分析!F360,"")</f>
        <v/>
      </c>
      <c r="G360" s="136" t="str">
        <f>IF(分析!H360&lt;&gt;"",分析!H360,"")</f>
        <v/>
      </c>
      <c r="H360" s="136" t="str">
        <f>IF(分析!I360&lt;&gt;"",分析!I360,"")</f>
        <v/>
      </c>
      <c r="I360" s="136" t="str">
        <f>IF(分析!J360&lt;&gt;"",分析!J360,"")</f>
        <v/>
      </c>
      <c r="J360" s="136" t="str">
        <f>IF(分析!AB360&lt;&gt;"",分析!AB360,"")</f>
        <v/>
      </c>
      <c r="K360" s="136" t="str">
        <f>IF(分析!AC360&lt;&gt;"",分析!AC360,"")</f>
        <v/>
      </c>
      <c r="L360" s="136" t="str">
        <f>IF(分析!K360&lt;&gt;"",分析!K360,"")</f>
        <v/>
      </c>
      <c r="M360" s="131" t="str">
        <f>IF(分析!P360&lt;&gt;"",分析!P360,"")</f>
        <v/>
      </c>
      <c r="N360" s="137" t="str">
        <f>IF(分析!O360&lt;&gt;"",分析!O360,"")</f>
        <v/>
      </c>
      <c r="O360" s="138" t="str">
        <f>IF(分析!X360&lt;&gt;"",分析!X360,"")</f>
        <v/>
      </c>
      <c r="P360" s="139" t="str">
        <f>IF(分析!L360&lt;&gt;"",分析!L360,"")</f>
        <v/>
      </c>
      <c r="Q360" s="136" t="str">
        <f>IF(分析!S360&lt;&gt;"",分析!S360,"")</f>
        <v/>
      </c>
      <c r="R360" s="136" t="str">
        <f>IF(分析!R360&lt;&gt;"",分析!R360,"")</f>
        <v/>
      </c>
      <c r="S360" s="131" t="str">
        <f>IF(分析!AA360&lt;&gt;"",分析!AA360,"")</f>
        <v/>
      </c>
      <c r="T360" s="140" t="str">
        <f>IF(分析!Z360&lt;&gt;"",分析!Z360,"")</f>
        <v/>
      </c>
      <c r="U360" s="131" t="str">
        <f>IF(分析!V360&lt;&gt;"",分析!V360,"")</f>
        <v/>
      </c>
      <c r="V360" s="141" t="str">
        <f>IF(分析!W360&lt;&gt;"",分析!W360,"")</f>
        <v/>
      </c>
      <c r="W360" s="142" t="str">
        <f>IF(分析!AD360&lt;&gt;"",分析!AD360,"")</f>
        <v/>
      </c>
      <c r="X360" s="143" t="str">
        <f>IF(分析!AE360&lt;&gt;"",分析!AE360,"")</f>
        <v/>
      </c>
      <c r="Y360" s="144" t="str">
        <f>IF(分析!T360&lt;&gt;"",分析!T360,"")</f>
        <v/>
      </c>
      <c r="Z360" s="145" t="str">
        <f>IF(分析!Y360&lt;&gt;"",分析!Y360,"")</f>
        <v/>
      </c>
    </row>
    <row r="361" spans="1:26" ht="21.9" customHeight="1">
      <c r="A361" s="146" t="str">
        <f>IF(分析!C361&lt;&gt;"",ROW()-2,"")</f>
        <v/>
      </c>
      <c r="B361" s="147" t="str">
        <f>IF(分析!C361&lt;&gt;"",HYPERLINK("https://kabutan.jp/stock/?code="&amp;分析!C361,"株探"),"")</f>
        <v/>
      </c>
      <c r="C361" s="148" t="str">
        <f>IF(分析!C361&lt;&gt;"",分析!C361,"")</f>
        <v/>
      </c>
      <c r="D361" s="149" t="str">
        <f>IF(分析!D361&lt;&gt;"",分析!D361,"")</f>
        <v/>
      </c>
      <c r="E361" s="150" t="str">
        <f>IF(分析!E361&lt;&gt;"",分析!E361,"")</f>
        <v/>
      </c>
      <c r="F361" s="151" t="str">
        <f>IF(分析!F361&lt;&gt;"",分析!F361,"")</f>
        <v/>
      </c>
      <c r="G361" s="151" t="str">
        <f>IF(分析!H361&lt;&gt;"",分析!H361,"")</f>
        <v/>
      </c>
      <c r="H361" s="151" t="str">
        <f>IF(分析!I361&lt;&gt;"",分析!I361,"")</f>
        <v/>
      </c>
      <c r="I361" s="151" t="str">
        <f>IF(分析!J361&lt;&gt;"",分析!J361,"")</f>
        <v/>
      </c>
      <c r="J361" s="151" t="str">
        <f>IF(分析!AB361&lt;&gt;"",分析!AB361,"")</f>
        <v/>
      </c>
      <c r="K361" s="151" t="str">
        <f>IF(分析!AC361&lt;&gt;"",分析!AC361,"")</f>
        <v/>
      </c>
      <c r="L361" s="151" t="str">
        <f>IF(分析!K361&lt;&gt;"",分析!K361,"")</f>
        <v/>
      </c>
      <c r="M361" s="146" t="str">
        <f>IF(分析!P361&lt;&gt;"",分析!P361,"")</f>
        <v/>
      </c>
      <c r="N361" s="152" t="str">
        <f>IF(分析!O361&lt;&gt;"",分析!O361,"")</f>
        <v/>
      </c>
      <c r="O361" s="153" t="str">
        <f>IF(分析!X361&lt;&gt;"",分析!X361,"")</f>
        <v/>
      </c>
      <c r="P361" s="154" t="str">
        <f>IF(分析!L361&lt;&gt;"",分析!L361,"")</f>
        <v/>
      </c>
      <c r="Q361" s="151" t="str">
        <f>IF(分析!S361&lt;&gt;"",分析!S361,"")</f>
        <v/>
      </c>
      <c r="R361" s="151" t="str">
        <f>IF(分析!R361&lt;&gt;"",分析!R361,"")</f>
        <v/>
      </c>
      <c r="S361" s="146" t="str">
        <f>IF(分析!AA361&lt;&gt;"",分析!AA361,"")</f>
        <v/>
      </c>
      <c r="T361" s="155" t="str">
        <f>IF(分析!Z361&lt;&gt;"",分析!Z361,"")</f>
        <v/>
      </c>
      <c r="U361" s="146" t="str">
        <f>IF(分析!V361&lt;&gt;"",分析!V361,"")</f>
        <v/>
      </c>
      <c r="V361" s="156" t="str">
        <f>IF(分析!W361&lt;&gt;"",分析!W361,"")</f>
        <v/>
      </c>
      <c r="W361" s="157" t="str">
        <f>IF(分析!AD361&lt;&gt;"",分析!AD361,"")</f>
        <v/>
      </c>
      <c r="X361" s="158" t="str">
        <f>IF(分析!AE361&lt;&gt;"",分析!AE361,"")</f>
        <v/>
      </c>
      <c r="Y361" s="159" t="str">
        <f>IF(分析!T361&lt;&gt;"",分析!T361,"")</f>
        <v/>
      </c>
      <c r="Z361" s="145" t="str">
        <f>IF(分析!Y361&lt;&gt;"",分析!Y361,"")</f>
        <v/>
      </c>
    </row>
    <row r="362" spans="1:26" ht="21.9" customHeight="1">
      <c r="A362" s="131" t="str">
        <f>IF(分析!C362&lt;&gt;"",ROW()-2,"")</f>
        <v/>
      </c>
      <c r="B362" s="132" t="str">
        <f>IF(分析!C362&lt;&gt;"",HYPERLINK("https://kabutan.jp/stock/?code="&amp;分析!C362,"株探"),"")</f>
        <v/>
      </c>
      <c r="C362" s="133" t="str">
        <f>IF(分析!C362&lt;&gt;"",分析!C362,"")</f>
        <v/>
      </c>
      <c r="D362" s="134" t="str">
        <f>IF(分析!D362&lt;&gt;"",分析!D362,"")</f>
        <v/>
      </c>
      <c r="E362" s="135" t="str">
        <f>IF(分析!E362&lt;&gt;"",分析!E362,"")</f>
        <v/>
      </c>
      <c r="F362" s="136" t="str">
        <f>IF(分析!F362&lt;&gt;"",分析!F362,"")</f>
        <v/>
      </c>
      <c r="G362" s="136" t="str">
        <f>IF(分析!H362&lt;&gt;"",分析!H362,"")</f>
        <v/>
      </c>
      <c r="H362" s="136" t="str">
        <f>IF(分析!I362&lt;&gt;"",分析!I362,"")</f>
        <v/>
      </c>
      <c r="I362" s="136" t="str">
        <f>IF(分析!J362&lt;&gt;"",分析!J362,"")</f>
        <v/>
      </c>
      <c r="J362" s="136" t="str">
        <f>IF(分析!AB362&lt;&gt;"",分析!AB362,"")</f>
        <v/>
      </c>
      <c r="K362" s="136" t="str">
        <f>IF(分析!AC362&lt;&gt;"",分析!AC362,"")</f>
        <v/>
      </c>
      <c r="L362" s="136" t="str">
        <f>IF(分析!K362&lt;&gt;"",分析!K362,"")</f>
        <v/>
      </c>
      <c r="M362" s="131" t="str">
        <f>IF(分析!P362&lt;&gt;"",分析!P362,"")</f>
        <v/>
      </c>
      <c r="N362" s="137" t="str">
        <f>IF(分析!O362&lt;&gt;"",分析!O362,"")</f>
        <v/>
      </c>
      <c r="O362" s="138" t="str">
        <f>IF(分析!X362&lt;&gt;"",分析!X362,"")</f>
        <v/>
      </c>
      <c r="P362" s="139" t="str">
        <f>IF(分析!L362&lt;&gt;"",分析!L362,"")</f>
        <v/>
      </c>
      <c r="Q362" s="136" t="str">
        <f>IF(分析!S362&lt;&gt;"",分析!S362,"")</f>
        <v/>
      </c>
      <c r="R362" s="136" t="str">
        <f>IF(分析!R362&lt;&gt;"",分析!R362,"")</f>
        <v/>
      </c>
      <c r="S362" s="131" t="str">
        <f>IF(分析!AA362&lt;&gt;"",分析!AA362,"")</f>
        <v/>
      </c>
      <c r="T362" s="140" t="str">
        <f>IF(分析!Z362&lt;&gt;"",分析!Z362,"")</f>
        <v/>
      </c>
      <c r="U362" s="131" t="str">
        <f>IF(分析!V362&lt;&gt;"",分析!V362,"")</f>
        <v/>
      </c>
      <c r="V362" s="141" t="str">
        <f>IF(分析!W362&lt;&gt;"",分析!W362,"")</f>
        <v/>
      </c>
      <c r="W362" s="142" t="str">
        <f>IF(分析!AD362&lt;&gt;"",分析!AD362,"")</f>
        <v/>
      </c>
      <c r="X362" s="143" t="str">
        <f>IF(分析!AE362&lt;&gt;"",分析!AE362,"")</f>
        <v/>
      </c>
      <c r="Y362" s="144" t="str">
        <f>IF(分析!T362&lt;&gt;"",分析!T362,"")</f>
        <v/>
      </c>
      <c r="Z362" s="145" t="str">
        <f>IF(分析!Y362&lt;&gt;"",分析!Y362,"")</f>
        <v/>
      </c>
    </row>
    <row r="363" spans="1:26" ht="21.9" customHeight="1">
      <c r="A363" s="146" t="str">
        <f>IF(分析!C363&lt;&gt;"",ROW()-2,"")</f>
        <v/>
      </c>
      <c r="B363" s="147" t="str">
        <f>IF(分析!C363&lt;&gt;"",HYPERLINK("https://kabutan.jp/stock/?code="&amp;分析!C363,"株探"),"")</f>
        <v/>
      </c>
      <c r="C363" s="148" t="str">
        <f>IF(分析!C363&lt;&gt;"",分析!C363,"")</f>
        <v/>
      </c>
      <c r="D363" s="149" t="str">
        <f>IF(分析!D363&lt;&gt;"",分析!D363,"")</f>
        <v/>
      </c>
      <c r="E363" s="150" t="str">
        <f>IF(分析!E363&lt;&gt;"",分析!E363,"")</f>
        <v/>
      </c>
      <c r="F363" s="151" t="str">
        <f>IF(分析!F363&lt;&gt;"",分析!F363,"")</f>
        <v/>
      </c>
      <c r="G363" s="151" t="str">
        <f>IF(分析!H363&lt;&gt;"",分析!H363,"")</f>
        <v/>
      </c>
      <c r="H363" s="151" t="str">
        <f>IF(分析!I363&lt;&gt;"",分析!I363,"")</f>
        <v/>
      </c>
      <c r="I363" s="151" t="str">
        <f>IF(分析!J363&lt;&gt;"",分析!J363,"")</f>
        <v/>
      </c>
      <c r="J363" s="151" t="str">
        <f>IF(分析!AB363&lt;&gt;"",分析!AB363,"")</f>
        <v/>
      </c>
      <c r="K363" s="151" t="str">
        <f>IF(分析!AC363&lt;&gt;"",分析!AC363,"")</f>
        <v/>
      </c>
      <c r="L363" s="151" t="str">
        <f>IF(分析!K363&lt;&gt;"",分析!K363,"")</f>
        <v/>
      </c>
      <c r="M363" s="146" t="str">
        <f>IF(分析!P363&lt;&gt;"",分析!P363,"")</f>
        <v/>
      </c>
      <c r="N363" s="152" t="str">
        <f>IF(分析!O363&lt;&gt;"",分析!O363,"")</f>
        <v/>
      </c>
      <c r="O363" s="153" t="str">
        <f>IF(分析!X363&lt;&gt;"",分析!X363,"")</f>
        <v/>
      </c>
      <c r="P363" s="154" t="str">
        <f>IF(分析!L363&lt;&gt;"",分析!L363,"")</f>
        <v/>
      </c>
      <c r="Q363" s="151" t="str">
        <f>IF(分析!S363&lt;&gt;"",分析!S363,"")</f>
        <v/>
      </c>
      <c r="R363" s="151" t="str">
        <f>IF(分析!R363&lt;&gt;"",分析!R363,"")</f>
        <v/>
      </c>
      <c r="S363" s="146" t="str">
        <f>IF(分析!AA363&lt;&gt;"",分析!AA363,"")</f>
        <v/>
      </c>
      <c r="T363" s="155" t="str">
        <f>IF(分析!Z363&lt;&gt;"",分析!Z363,"")</f>
        <v/>
      </c>
      <c r="U363" s="146" t="str">
        <f>IF(分析!V363&lt;&gt;"",分析!V363,"")</f>
        <v/>
      </c>
      <c r="V363" s="156" t="str">
        <f>IF(分析!W363&lt;&gt;"",分析!W363,"")</f>
        <v/>
      </c>
      <c r="W363" s="157" t="str">
        <f>IF(分析!AD363&lt;&gt;"",分析!AD363,"")</f>
        <v/>
      </c>
      <c r="X363" s="158" t="str">
        <f>IF(分析!AE363&lt;&gt;"",分析!AE363,"")</f>
        <v/>
      </c>
      <c r="Y363" s="159" t="str">
        <f>IF(分析!T363&lt;&gt;"",分析!T363,"")</f>
        <v/>
      </c>
      <c r="Z363" s="145" t="str">
        <f>IF(分析!Y363&lt;&gt;"",分析!Y363,"")</f>
        <v/>
      </c>
    </row>
    <row r="364" spans="1:26" ht="21.9" customHeight="1">
      <c r="A364" s="131" t="str">
        <f>IF(分析!C364&lt;&gt;"",ROW()-2,"")</f>
        <v/>
      </c>
      <c r="B364" s="132" t="str">
        <f>IF(分析!C364&lt;&gt;"",HYPERLINK("https://kabutan.jp/stock/?code="&amp;分析!C364,"株探"),"")</f>
        <v/>
      </c>
      <c r="C364" s="133" t="str">
        <f>IF(分析!C364&lt;&gt;"",分析!C364,"")</f>
        <v/>
      </c>
      <c r="D364" s="134" t="str">
        <f>IF(分析!D364&lt;&gt;"",分析!D364,"")</f>
        <v/>
      </c>
      <c r="E364" s="135" t="str">
        <f>IF(分析!E364&lt;&gt;"",分析!E364,"")</f>
        <v/>
      </c>
      <c r="F364" s="136" t="str">
        <f>IF(分析!F364&lt;&gt;"",分析!F364,"")</f>
        <v/>
      </c>
      <c r="G364" s="136" t="str">
        <f>IF(分析!H364&lt;&gt;"",分析!H364,"")</f>
        <v/>
      </c>
      <c r="H364" s="136" t="str">
        <f>IF(分析!I364&lt;&gt;"",分析!I364,"")</f>
        <v/>
      </c>
      <c r="I364" s="136" t="str">
        <f>IF(分析!J364&lt;&gt;"",分析!J364,"")</f>
        <v/>
      </c>
      <c r="J364" s="136" t="str">
        <f>IF(分析!AB364&lt;&gt;"",分析!AB364,"")</f>
        <v/>
      </c>
      <c r="K364" s="136" t="str">
        <f>IF(分析!AC364&lt;&gt;"",分析!AC364,"")</f>
        <v/>
      </c>
      <c r="L364" s="136" t="str">
        <f>IF(分析!K364&lt;&gt;"",分析!K364,"")</f>
        <v/>
      </c>
      <c r="M364" s="131" t="str">
        <f>IF(分析!P364&lt;&gt;"",分析!P364,"")</f>
        <v/>
      </c>
      <c r="N364" s="137" t="str">
        <f>IF(分析!O364&lt;&gt;"",分析!O364,"")</f>
        <v/>
      </c>
      <c r="O364" s="138" t="str">
        <f>IF(分析!X364&lt;&gt;"",分析!X364,"")</f>
        <v/>
      </c>
      <c r="P364" s="139" t="str">
        <f>IF(分析!L364&lt;&gt;"",分析!L364,"")</f>
        <v/>
      </c>
      <c r="Q364" s="136" t="str">
        <f>IF(分析!S364&lt;&gt;"",分析!S364,"")</f>
        <v/>
      </c>
      <c r="R364" s="136" t="str">
        <f>IF(分析!R364&lt;&gt;"",分析!R364,"")</f>
        <v/>
      </c>
      <c r="S364" s="131" t="str">
        <f>IF(分析!AA364&lt;&gt;"",分析!AA364,"")</f>
        <v/>
      </c>
      <c r="T364" s="140" t="str">
        <f>IF(分析!Z364&lt;&gt;"",分析!Z364,"")</f>
        <v/>
      </c>
      <c r="U364" s="131" t="str">
        <f>IF(分析!V364&lt;&gt;"",分析!V364,"")</f>
        <v/>
      </c>
      <c r="V364" s="141" t="str">
        <f>IF(分析!W364&lt;&gt;"",分析!W364,"")</f>
        <v/>
      </c>
      <c r="W364" s="142" t="str">
        <f>IF(分析!AD364&lt;&gt;"",分析!AD364,"")</f>
        <v/>
      </c>
      <c r="X364" s="143" t="str">
        <f>IF(分析!AE364&lt;&gt;"",分析!AE364,"")</f>
        <v/>
      </c>
      <c r="Y364" s="144" t="str">
        <f>IF(分析!T364&lt;&gt;"",分析!T364,"")</f>
        <v/>
      </c>
      <c r="Z364" s="145" t="str">
        <f>IF(分析!Y364&lt;&gt;"",分析!Y364,"")</f>
        <v/>
      </c>
    </row>
    <row r="365" spans="1:26" ht="21.9" customHeight="1">
      <c r="A365" s="146" t="str">
        <f>IF(分析!C365&lt;&gt;"",ROW()-2,"")</f>
        <v/>
      </c>
      <c r="B365" s="147" t="str">
        <f>IF(分析!C365&lt;&gt;"",HYPERLINK("https://kabutan.jp/stock/?code="&amp;分析!C365,"株探"),"")</f>
        <v/>
      </c>
      <c r="C365" s="148" t="str">
        <f>IF(分析!C365&lt;&gt;"",分析!C365,"")</f>
        <v/>
      </c>
      <c r="D365" s="149" t="str">
        <f>IF(分析!D365&lt;&gt;"",分析!D365,"")</f>
        <v/>
      </c>
      <c r="E365" s="150" t="str">
        <f>IF(分析!E365&lt;&gt;"",分析!E365,"")</f>
        <v/>
      </c>
      <c r="F365" s="151" t="str">
        <f>IF(分析!F365&lt;&gt;"",分析!F365,"")</f>
        <v/>
      </c>
      <c r="G365" s="151" t="str">
        <f>IF(分析!H365&lt;&gt;"",分析!H365,"")</f>
        <v/>
      </c>
      <c r="H365" s="151" t="str">
        <f>IF(分析!I365&lt;&gt;"",分析!I365,"")</f>
        <v/>
      </c>
      <c r="I365" s="151" t="str">
        <f>IF(分析!J365&lt;&gt;"",分析!J365,"")</f>
        <v/>
      </c>
      <c r="J365" s="151" t="str">
        <f>IF(分析!AB365&lt;&gt;"",分析!AB365,"")</f>
        <v/>
      </c>
      <c r="K365" s="151" t="str">
        <f>IF(分析!AC365&lt;&gt;"",分析!AC365,"")</f>
        <v/>
      </c>
      <c r="L365" s="151" t="str">
        <f>IF(分析!K365&lt;&gt;"",分析!K365,"")</f>
        <v/>
      </c>
      <c r="M365" s="146" t="str">
        <f>IF(分析!P365&lt;&gt;"",分析!P365,"")</f>
        <v/>
      </c>
      <c r="N365" s="152" t="str">
        <f>IF(分析!O365&lt;&gt;"",分析!O365,"")</f>
        <v/>
      </c>
      <c r="O365" s="153" t="str">
        <f>IF(分析!X365&lt;&gt;"",分析!X365,"")</f>
        <v/>
      </c>
      <c r="P365" s="154" t="str">
        <f>IF(分析!L365&lt;&gt;"",分析!L365,"")</f>
        <v/>
      </c>
      <c r="Q365" s="151" t="str">
        <f>IF(分析!S365&lt;&gt;"",分析!S365,"")</f>
        <v/>
      </c>
      <c r="R365" s="151" t="str">
        <f>IF(分析!R365&lt;&gt;"",分析!R365,"")</f>
        <v/>
      </c>
      <c r="S365" s="146" t="str">
        <f>IF(分析!AA365&lt;&gt;"",分析!AA365,"")</f>
        <v/>
      </c>
      <c r="T365" s="155" t="str">
        <f>IF(分析!Z365&lt;&gt;"",分析!Z365,"")</f>
        <v/>
      </c>
      <c r="U365" s="146" t="str">
        <f>IF(分析!V365&lt;&gt;"",分析!V365,"")</f>
        <v/>
      </c>
      <c r="V365" s="156" t="str">
        <f>IF(分析!W365&lt;&gt;"",分析!W365,"")</f>
        <v/>
      </c>
      <c r="W365" s="157" t="str">
        <f>IF(分析!AD365&lt;&gt;"",分析!AD365,"")</f>
        <v/>
      </c>
      <c r="X365" s="158" t="str">
        <f>IF(分析!AE365&lt;&gt;"",分析!AE365,"")</f>
        <v/>
      </c>
      <c r="Y365" s="159" t="str">
        <f>IF(分析!T365&lt;&gt;"",分析!T365,"")</f>
        <v/>
      </c>
      <c r="Z365" s="145" t="str">
        <f>IF(分析!Y365&lt;&gt;"",分析!Y365,"")</f>
        <v/>
      </c>
    </row>
    <row r="366" spans="1:26" ht="21.9" customHeight="1">
      <c r="A366" s="131" t="str">
        <f>IF(分析!C366&lt;&gt;"",ROW()-2,"")</f>
        <v/>
      </c>
      <c r="B366" s="132" t="str">
        <f>IF(分析!C366&lt;&gt;"",HYPERLINK("https://kabutan.jp/stock/?code="&amp;分析!C366,"株探"),"")</f>
        <v/>
      </c>
      <c r="C366" s="133" t="str">
        <f>IF(分析!C366&lt;&gt;"",分析!C366,"")</f>
        <v/>
      </c>
      <c r="D366" s="134" t="str">
        <f>IF(分析!D366&lt;&gt;"",分析!D366,"")</f>
        <v/>
      </c>
      <c r="E366" s="135" t="str">
        <f>IF(分析!E366&lt;&gt;"",分析!E366,"")</f>
        <v/>
      </c>
      <c r="F366" s="136" t="str">
        <f>IF(分析!F366&lt;&gt;"",分析!F366,"")</f>
        <v/>
      </c>
      <c r="G366" s="136" t="str">
        <f>IF(分析!H366&lt;&gt;"",分析!H366,"")</f>
        <v/>
      </c>
      <c r="H366" s="136" t="str">
        <f>IF(分析!I366&lt;&gt;"",分析!I366,"")</f>
        <v/>
      </c>
      <c r="I366" s="136" t="str">
        <f>IF(分析!J366&lt;&gt;"",分析!J366,"")</f>
        <v/>
      </c>
      <c r="J366" s="136" t="str">
        <f>IF(分析!AB366&lt;&gt;"",分析!AB366,"")</f>
        <v/>
      </c>
      <c r="K366" s="136" t="str">
        <f>IF(分析!AC366&lt;&gt;"",分析!AC366,"")</f>
        <v/>
      </c>
      <c r="L366" s="136" t="str">
        <f>IF(分析!K366&lt;&gt;"",分析!K366,"")</f>
        <v/>
      </c>
      <c r="M366" s="131" t="str">
        <f>IF(分析!P366&lt;&gt;"",分析!P366,"")</f>
        <v/>
      </c>
      <c r="N366" s="137" t="str">
        <f>IF(分析!O366&lt;&gt;"",分析!O366,"")</f>
        <v/>
      </c>
      <c r="O366" s="138" t="str">
        <f>IF(分析!X366&lt;&gt;"",分析!X366,"")</f>
        <v/>
      </c>
      <c r="P366" s="139" t="str">
        <f>IF(分析!L366&lt;&gt;"",分析!L366,"")</f>
        <v/>
      </c>
      <c r="Q366" s="136" t="str">
        <f>IF(分析!S366&lt;&gt;"",分析!S366,"")</f>
        <v/>
      </c>
      <c r="R366" s="136" t="str">
        <f>IF(分析!R366&lt;&gt;"",分析!R366,"")</f>
        <v/>
      </c>
      <c r="S366" s="131" t="str">
        <f>IF(分析!AA366&lt;&gt;"",分析!AA366,"")</f>
        <v/>
      </c>
      <c r="T366" s="140" t="str">
        <f>IF(分析!Z366&lt;&gt;"",分析!Z366,"")</f>
        <v/>
      </c>
      <c r="U366" s="131" t="str">
        <f>IF(分析!V366&lt;&gt;"",分析!V366,"")</f>
        <v/>
      </c>
      <c r="V366" s="141" t="str">
        <f>IF(分析!W366&lt;&gt;"",分析!W366,"")</f>
        <v/>
      </c>
      <c r="W366" s="142" t="str">
        <f>IF(分析!AD366&lt;&gt;"",分析!AD366,"")</f>
        <v/>
      </c>
      <c r="X366" s="143" t="str">
        <f>IF(分析!AE366&lt;&gt;"",分析!AE366,"")</f>
        <v/>
      </c>
      <c r="Y366" s="144" t="str">
        <f>IF(分析!T366&lt;&gt;"",分析!T366,"")</f>
        <v/>
      </c>
      <c r="Z366" s="145" t="str">
        <f>IF(分析!Y366&lt;&gt;"",分析!Y366,"")</f>
        <v/>
      </c>
    </row>
    <row r="367" spans="1:26" ht="21.9" customHeight="1">
      <c r="A367" s="146" t="str">
        <f>IF(分析!C367&lt;&gt;"",ROW()-2,"")</f>
        <v/>
      </c>
      <c r="B367" s="147" t="str">
        <f>IF(分析!C367&lt;&gt;"",HYPERLINK("https://kabutan.jp/stock/?code="&amp;分析!C367,"株探"),"")</f>
        <v/>
      </c>
      <c r="C367" s="148" t="str">
        <f>IF(分析!C367&lt;&gt;"",分析!C367,"")</f>
        <v/>
      </c>
      <c r="D367" s="149" t="str">
        <f>IF(分析!D367&lt;&gt;"",分析!D367,"")</f>
        <v/>
      </c>
      <c r="E367" s="150" t="str">
        <f>IF(分析!E367&lt;&gt;"",分析!E367,"")</f>
        <v/>
      </c>
      <c r="F367" s="151" t="str">
        <f>IF(分析!F367&lt;&gt;"",分析!F367,"")</f>
        <v/>
      </c>
      <c r="G367" s="151" t="str">
        <f>IF(分析!H367&lt;&gt;"",分析!H367,"")</f>
        <v/>
      </c>
      <c r="H367" s="151" t="str">
        <f>IF(分析!I367&lt;&gt;"",分析!I367,"")</f>
        <v/>
      </c>
      <c r="I367" s="151" t="str">
        <f>IF(分析!J367&lt;&gt;"",分析!J367,"")</f>
        <v/>
      </c>
      <c r="J367" s="151" t="str">
        <f>IF(分析!AB367&lt;&gt;"",分析!AB367,"")</f>
        <v/>
      </c>
      <c r="K367" s="151" t="str">
        <f>IF(分析!AC367&lt;&gt;"",分析!AC367,"")</f>
        <v/>
      </c>
      <c r="L367" s="151" t="str">
        <f>IF(分析!K367&lt;&gt;"",分析!K367,"")</f>
        <v/>
      </c>
      <c r="M367" s="146" t="str">
        <f>IF(分析!P367&lt;&gt;"",分析!P367,"")</f>
        <v/>
      </c>
      <c r="N367" s="152" t="str">
        <f>IF(分析!O367&lt;&gt;"",分析!O367,"")</f>
        <v/>
      </c>
      <c r="O367" s="153" t="str">
        <f>IF(分析!X367&lt;&gt;"",分析!X367,"")</f>
        <v/>
      </c>
      <c r="P367" s="154" t="str">
        <f>IF(分析!L367&lt;&gt;"",分析!L367,"")</f>
        <v/>
      </c>
      <c r="Q367" s="151" t="str">
        <f>IF(分析!S367&lt;&gt;"",分析!S367,"")</f>
        <v/>
      </c>
      <c r="R367" s="151" t="str">
        <f>IF(分析!R367&lt;&gt;"",分析!R367,"")</f>
        <v/>
      </c>
      <c r="S367" s="146" t="str">
        <f>IF(分析!AA367&lt;&gt;"",分析!AA367,"")</f>
        <v/>
      </c>
      <c r="T367" s="155" t="str">
        <f>IF(分析!Z367&lt;&gt;"",分析!Z367,"")</f>
        <v/>
      </c>
      <c r="U367" s="146" t="str">
        <f>IF(分析!V367&lt;&gt;"",分析!V367,"")</f>
        <v/>
      </c>
      <c r="V367" s="156" t="str">
        <f>IF(分析!W367&lt;&gt;"",分析!W367,"")</f>
        <v/>
      </c>
      <c r="W367" s="157" t="str">
        <f>IF(分析!AD367&lt;&gt;"",分析!AD367,"")</f>
        <v/>
      </c>
      <c r="X367" s="158" t="str">
        <f>IF(分析!AE367&lt;&gt;"",分析!AE367,"")</f>
        <v/>
      </c>
      <c r="Y367" s="159" t="str">
        <f>IF(分析!T367&lt;&gt;"",分析!T367,"")</f>
        <v/>
      </c>
      <c r="Z367" s="145" t="str">
        <f>IF(分析!Y367&lt;&gt;"",分析!Y367,"")</f>
        <v/>
      </c>
    </row>
    <row r="368" spans="1:26" ht="21.9" customHeight="1">
      <c r="A368" s="131" t="str">
        <f>IF(分析!C368&lt;&gt;"",ROW()-2,"")</f>
        <v/>
      </c>
      <c r="B368" s="132" t="str">
        <f>IF(分析!C368&lt;&gt;"",HYPERLINK("https://kabutan.jp/stock/?code="&amp;分析!C368,"株探"),"")</f>
        <v/>
      </c>
      <c r="C368" s="133" t="str">
        <f>IF(分析!C368&lt;&gt;"",分析!C368,"")</f>
        <v/>
      </c>
      <c r="D368" s="134" t="str">
        <f>IF(分析!D368&lt;&gt;"",分析!D368,"")</f>
        <v/>
      </c>
      <c r="E368" s="135" t="str">
        <f>IF(分析!E368&lt;&gt;"",分析!E368,"")</f>
        <v/>
      </c>
      <c r="F368" s="136" t="str">
        <f>IF(分析!F368&lt;&gt;"",分析!F368,"")</f>
        <v/>
      </c>
      <c r="G368" s="136" t="str">
        <f>IF(分析!H368&lt;&gt;"",分析!H368,"")</f>
        <v/>
      </c>
      <c r="H368" s="136" t="str">
        <f>IF(分析!I368&lt;&gt;"",分析!I368,"")</f>
        <v/>
      </c>
      <c r="I368" s="136" t="str">
        <f>IF(分析!J368&lt;&gt;"",分析!J368,"")</f>
        <v/>
      </c>
      <c r="J368" s="136" t="str">
        <f>IF(分析!AB368&lt;&gt;"",分析!AB368,"")</f>
        <v/>
      </c>
      <c r="K368" s="136" t="str">
        <f>IF(分析!AC368&lt;&gt;"",分析!AC368,"")</f>
        <v/>
      </c>
      <c r="L368" s="136" t="str">
        <f>IF(分析!K368&lt;&gt;"",分析!K368,"")</f>
        <v/>
      </c>
      <c r="M368" s="131" t="str">
        <f>IF(分析!P368&lt;&gt;"",分析!P368,"")</f>
        <v/>
      </c>
      <c r="N368" s="137" t="str">
        <f>IF(分析!O368&lt;&gt;"",分析!O368,"")</f>
        <v/>
      </c>
      <c r="O368" s="138" t="str">
        <f>IF(分析!X368&lt;&gt;"",分析!X368,"")</f>
        <v/>
      </c>
      <c r="P368" s="139" t="str">
        <f>IF(分析!L368&lt;&gt;"",分析!L368,"")</f>
        <v/>
      </c>
      <c r="Q368" s="136" t="str">
        <f>IF(分析!S368&lt;&gt;"",分析!S368,"")</f>
        <v/>
      </c>
      <c r="R368" s="136" t="str">
        <f>IF(分析!R368&lt;&gt;"",分析!R368,"")</f>
        <v/>
      </c>
      <c r="S368" s="131" t="str">
        <f>IF(分析!AA368&lt;&gt;"",分析!AA368,"")</f>
        <v/>
      </c>
      <c r="T368" s="140" t="str">
        <f>IF(分析!Z368&lt;&gt;"",分析!Z368,"")</f>
        <v/>
      </c>
      <c r="U368" s="131" t="str">
        <f>IF(分析!V368&lt;&gt;"",分析!V368,"")</f>
        <v/>
      </c>
      <c r="V368" s="141" t="str">
        <f>IF(分析!W368&lt;&gt;"",分析!W368,"")</f>
        <v/>
      </c>
      <c r="W368" s="142" t="str">
        <f>IF(分析!AD368&lt;&gt;"",分析!AD368,"")</f>
        <v/>
      </c>
      <c r="X368" s="143" t="str">
        <f>IF(分析!AE368&lt;&gt;"",分析!AE368,"")</f>
        <v/>
      </c>
      <c r="Y368" s="144" t="str">
        <f>IF(分析!T368&lt;&gt;"",分析!T368,"")</f>
        <v/>
      </c>
      <c r="Z368" s="145" t="str">
        <f>IF(分析!Y368&lt;&gt;"",分析!Y368,"")</f>
        <v/>
      </c>
    </row>
    <row r="369" spans="1:26" ht="21.9" customHeight="1">
      <c r="A369" s="146" t="str">
        <f>IF(分析!C369&lt;&gt;"",ROW()-2,"")</f>
        <v/>
      </c>
      <c r="B369" s="147" t="str">
        <f>IF(分析!C369&lt;&gt;"",HYPERLINK("https://kabutan.jp/stock/?code="&amp;分析!C369,"株探"),"")</f>
        <v/>
      </c>
      <c r="C369" s="148" t="str">
        <f>IF(分析!C369&lt;&gt;"",分析!C369,"")</f>
        <v/>
      </c>
      <c r="D369" s="149" t="str">
        <f>IF(分析!D369&lt;&gt;"",分析!D369,"")</f>
        <v/>
      </c>
      <c r="E369" s="150" t="str">
        <f>IF(分析!E369&lt;&gt;"",分析!E369,"")</f>
        <v/>
      </c>
      <c r="F369" s="151" t="str">
        <f>IF(分析!F369&lt;&gt;"",分析!F369,"")</f>
        <v/>
      </c>
      <c r="G369" s="151" t="str">
        <f>IF(分析!H369&lt;&gt;"",分析!H369,"")</f>
        <v/>
      </c>
      <c r="H369" s="151" t="str">
        <f>IF(分析!I369&lt;&gt;"",分析!I369,"")</f>
        <v/>
      </c>
      <c r="I369" s="151" t="str">
        <f>IF(分析!J369&lt;&gt;"",分析!J369,"")</f>
        <v/>
      </c>
      <c r="J369" s="151" t="str">
        <f>IF(分析!AB369&lt;&gt;"",分析!AB369,"")</f>
        <v/>
      </c>
      <c r="K369" s="151" t="str">
        <f>IF(分析!AC369&lt;&gt;"",分析!AC369,"")</f>
        <v/>
      </c>
      <c r="L369" s="151" t="str">
        <f>IF(分析!K369&lt;&gt;"",分析!K369,"")</f>
        <v/>
      </c>
      <c r="M369" s="146" t="str">
        <f>IF(分析!P369&lt;&gt;"",分析!P369,"")</f>
        <v/>
      </c>
      <c r="N369" s="152" t="str">
        <f>IF(分析!O369&lt;&gt;"",分析!O369,"")</f>
        <v/>
      </c>
      <c r="O369" s="153" t="str">
        <f>IF(分析!X369&lt;&gt;"",分析!X369,"")</f>
        <v/>
      </c>
      <c r="P369" s="154" t="str">
        <f>IF(分析!L369&lt;&gt;"",分析!L369,"")</f>
        <v/>
      </c>
      <c r="Q369" s="151" t="str">
        <f>IF(分析!S369&lt;&gt;"",分析!S369,"")</f>
        <v/>
      </c>
      <c r="R369" s="151" t="str">
        <f>IF(分析!R369&lt;&gt;"",分析!R369,"")</f>
        <v/>
      </c>
      <c r="S369" s="146" t="str">
        <f>IF(分析!AA369&lt;&gt;"",分析!AA369,"")</f>
        <v/>
      </c>
      <c r="T369" s="155" t="str">
        <f>IF(分析!Z369&lt;&gt;"",分析!Z369,"")</f>
        <v/>
      </c>
      <c r="U369" s="146" t="str">
        <f>IF(分析!V369&lt;&gt;"",分析!V369,"")</f>
        <v/>
      </c>
      <c r="V369" s="156" t="str">
        <f>IF(分析!W369&lt;&gt;"",分析!W369,"")</f>
        <v/>
      </c>
      <c r="W369" s="157" t="str">
        <f>IF(分析!AD369&lt;&gt;"",分析!AD369,"")</f>
        <v/>
      </c>
      <c r="X369" s="158" t="str">
        <f>IF(分析!AE369&lt;&gt;"",分析!AE369,"")</f>
        <v/>
      </c>
      <c r="Y369" s="159" t="str">
        <f>IF(分析!T369&lt;&gt;"",分析!T369,"")</f>
        <v/>
      </c>
      <c r="Z369" s="145" t="str">
        <f>IF(分析!Y369&lt;&gt;"",分析!Y369,"")</f>
        <v/>
      </c>
    </row>
    <row r="370" spans="1:26" ht="21.9" customHeight="1">
      <c r="A370" s="131" t="str">
        <f>IF(分析!C370&lt;&gt;"",ROW()-2,"")</f>
        <v/>
      </c>
      <c r="B370" s="132" t="str">
        <f>IF(分析!C370&lt;&gt;"",HYPERLINK("https://kabutan.jp/stock/?code="&amp;分析!C370,"株探"),"")</f>
        <v/>
      </c>
      <c r="C370" s="133" t="str">
        <f>IF(分析!C370&lt;&gt;"",分析!C370,"")</f>
        <v/>
      </c>
      <c r="D370" s="134" t="str">
        <f>IF(分析!D370&lt;&gt;"",分析!D370,"")</f>
        <v/>
      </c>
      <c r="E370" s="135" t="str">
        <f>IF(分析!E370&lt;&gt;"",分析!E370,"")</f>
        <v/>
      </c>
      <c r="F370" s="136" t="str">
        <f>IF(分析!F370&lt;&gt;"",分析!F370,"")</f>
        <v/>
      </c>
      <c r="G370" s="136" t="str">
        <f>IF(分析!H370&lt;&gt;"",分析!H370,"")</f>
        <v/>
      </c>
      <c r="H370" s="136" t="str">
        <f>IF(分析!I370&lt;&gt;"",分析!I370,"")</f>
        <v/>
      </c>
      <c r="I370" s="136" t="str">
        <f>IF(分析!J370&lt;&gt;"",分析!J370,"")</f>
        <v/>
      </c>
      <c r="J370" s="136" t="str">
        <f>IF(分析!AB370&lt;&gt;"",分析!AB370,"")</f>
        <v/>
      </c>
      <c r="K370" s="136" t="str">
        <f>IF(分析!AC370&lt;&gt;"",分析!AC370,"")</f>
        <v/>
      </c>
      <c r="L370" s="136" t="str">
        <f>IF(分析!K370&lt;&gt;"",分析!K370,"")</f>
        <v/>
      </c>
      <c r="M370" s="131" t="str">
        <f>IF(分析!P370&lt;&gt;"",分析!P370,"")</f>
        <v/>
      </c>
      <c r="N370" s="137" t="str">
        <f>IF(分析!O370&lt;&gt;"",分析!O370,"")</f>
        <v/>
      </c>
      <c r="O370" s="138" t="str">
        <f>IF(分析!X370&lt;&gt;"",分析!X370,"")</f>
        <v/>
      </c>
      <c r="P370" s="139" t="str">
        <f>IF(分析!L370&lt;&gt;"",分析!L370,"")</f>
        <v/>
      </c>
      <c r="Q370" s="136" t="str">
        <f>IF(分析!S370&lt;&gt;"",分析!S370,"")</f>
        <v/>
      </c>
      <c r="R370" s="136" t="str">
        <f>IF(分析!R370&lt;&gt;"",分析!R370,"")</f>
        <v/>
      </c>
      <c r="S370" s="131" t="str">
        <f>IF(分析!AA370&lt;&gt;"",分析!AA370,"")</f>
        <v/>
      </c>
      <c r="T370" s="140" t="str">
        <f>IF(分析!Z370&lt;&gt;"",分析!Z370,"")</f>
        <v/>
      </c>
      <c r="U370" s="131" t="str">
        <f>IF(分析!V370&lt;&gt;"",分析!V370,"")</f>
        <v/>
      </c>
      <c r="V370" s="141" t="str">
        <f>IF(分析!W370&lt;&gt;"",分析!W370,"")</f>
        <v/>
      </c>
      <c r="W370" s="142" t="str">
        <f>IF(分析!AD370&lt;&gt;"",分析!AD370,"")</f>
        <v/>
      </c>
      <c r="X370" s="143" t="str">
        <f>IF(分析!AE370&lt;&gt;"",分析!AE370,"")</f>
        <v/>
      </c>
      <c r="Y370" s="144" t="str">
        <f>IF(分析!T370&lt;&gt;"",分析!T370,"")</f>
        <v/>
      </c>
      <c r="Z370" s="145" t="str">
        <f>IF(分析!Y370&lt;&gt;"",分析!Y370,"")</f>
        <v/>
      </c>
    </row>
    <row r="371" spans="1:26" ht="21.9" customHeight="1">
      <c r="A371" s="146" t="str">
        <f>IF(分析!C371&lt;&gt;"",ROW()-2,"")</f>
        <v/>
      </c>
      <c r="B371" s="147" t="str">
        <f>IF(分析!C371&lt;&gt;"",HYPERLINK("https://kabutan.jp/stock/?code="&amp;分析!C371,"株探"),"")</f>
        <v/>
      </c>
      <c r="C371" s="148" t="str">
        <f>IF(分析!C371&lt;&gt;"",分析!C371,"")</f>
        <v/>
      </c>
      <c r="D371" s="149" t="str">
        <f>IF(分析!D371&lt;&gt;"",分析!D371,"")</f>
        <v/>
      </c>
      <c r="E371" s="150" t="str">
        <f>IF(分析!E371&lt;&gt;"",分析!E371,"")</f>
        <v/>
      </c>
      <c r="F371" s="151" t="str">
        <f>IF(分析!F371&lt;&gt;"",分析!F371,"")</f>
        <v/>
      </c>
      <c r="G371" s="151" t="str">
        <f>IF(分析!H371&lt;&gt;"",分析!H371,"")</f>
        <v/>
      </c>
      <c r="H371" s="151" t="str">
        <f>IF(分析!I371&lt;&gt;"",分析!I371,"")</f>
        <v/>
      </c>
      <c r="I371" s="151" t="str">
        <f>IF(分析!J371&lt;&gt;"",分析!J371,"")</f>
        <v/>
      </c>
      <c r="J371" s="151" t="str">
        <f>IF(分析!AB371&lt;&gt;"",分析!AB371,"")</f>
        <v/>
      </c>
      <c r="K371" s="151" t="str">
        <f>IF(分析!AC371&lt;&gt;"",分析!AC371,"")</f>
        <v/>
      </c>
      <c r="L371" s="151" t="str">
        <f>IF(分析!K371&lt;&gt;"",分析!K371,"")</f>
        <v/>
      </c>
      <c r="M371" s="146" t="str">
        <f>IF(分析!P371&lt;&gt;"",分析!P371,"")</f>
        <v/>
      </c>
      <c r="N371" s="152" t="str">
        <f>IF(分析!O371&lt;&gt;"",分析!O371,"")</f>
        <v/>
      </c>
      <c r="O371" s="153" t="str">
        <f>IF(分析!X371&lt;&gt;"",分析!X371,"")</f>
        <v/>
      </c>
      <c r="P371" s="154" t="str">
        <f>IF(分析!L371&lt;&gt;"",分析!L371,"")</f>
        <v/>
      </c>
      <c r="Q371" s="151" t="str">
        <f>IF(分析!S371&lt;&gt;"",分析!S371,"")</f>
        <v/>
      </c>
      <c r="R371" s="151" t="str">
        <f>IF(分析!R371&lt;&gt;"",分析!R371,"")</f>
        <v/>
      </c>
      <c r="S371" s="146" t="str">
        <f>IF(分析!AA371&lt;&gt;"",分析!AA371,"")</f>
        <v/>
      </c>
      <c r="T371" s="155" t="str">
        <f>IF(分析!Z371&lt;&gt;"",分析!Z371,"")</f>
        <v/>
      </c>
      <c r="U371" s="146" t="str">
        <f>IF(分析!V371&lt;&gt;"",分析!V371,"")</f>
        <v/>
      </c>
      <c r="V371" s="156" t="str">
        <f>IF(分析!W371&lt;&gt;"",分析!W371,"")</f>
        <v/>
      </c>
      <c r="W371" s="157" t="str">
        <f>IF(分析!AD371&lt;&gt;"",分析!AD371,"")</f>
        <v/>
      </c>
      <c r="X371" s="158" t="str">
        <f>IF(分析!AE371&lt;&gt;"",分析!AE371,"")</f>
        <v/>
      </c>
      <c r="Y371" s="159" t="str">
        <f>IF(分析!T371&lt;&gt;"",分析!T371,"")</f>
        <v/>
      </c>
      <c r="Z371" s="145" t="str">
        <f>IF(分析!Y371&lt;&gt;"",分析!Y371,"")</f>
        <v/>
      </c>
    </row>
    <row r="372" spans="1:26" ht="21.9" customHeight="1">
      <c r="A372" s="131" t="str">
        <f>IF(分析!C372&lt;&gt;"",ROW()-2,"")</f>
        <v/>
      </c>
      <c r="B372" s="132" t="str">
        <f>IF(分析!C372&lt;&gt;"",HYPERLINK("https://kabutan.jp/stock/?code="&amp;分析!C372,"株探"),"")</f>
        <v/>
      </c>
      <c r="C372" s="133" t="str">
        <f>IF(分析!C372&lt;&gt;"",分析!C372,"")</f>
        <v/>
      </c>
      <c r="D372" s="134" t="str">
        <f>IF(分析!D372&lt;&gt;"",分析!D372,"")</f>
        <v/>
      </c>
      <c r="E372" s="135" t="str">
        <f>IF(分析!E372&lt;&gt;"",分析!E372,"")</f>
        <v/>
      </c>
      <c r="F372" s="136" t="str">
        <f>IF(分析!F372&lt;&gt;"",分析!F372,"")</f>
        <v/>
      </c>
      <c r="G372" s="136" t="str">
        <f>IF(分析!H372&lt;&gt;"",分析!H372,"")</f>
        <v/>
      </c>
      <c r="H372" s="136" t="str">
        <f>IF(分析!I372&lt;&gt;"",分析!I372,"")</f>
        <v/>
      </c>
      <c r="I372" s="136" t="str">
        <f>IF(分析!J372&lt;&gt;"",分析!J372,"")</f>
        <v/>
      </c>
      <c r="J372" s="136" t="str">
        <f>IF(分析!AB372&lt;&gt;"",分析!AB372,"")</f>
        <v/>
      </c>
      <c r="K372" s="136" t="str">
        <f>IF(分析!AC372&lt;&gt;"",分析!AC372,"")</f>
        <v/>
      </c>
      <c r="L372" s="136" t="str">
        <f>IF(分析!K372&lt;&gt;"",分析!K372,"")</f>
        <v/>
      </c>
      <c r="M372" s="131" t="str">
        <f>IF(分析!P372&lt;&gt;"",分析!P372,"")</f>
        <v/>
      </c>
      <c r="N372" s="137" t="str">
        <f>IF(分析!O372&lt;&gt;"",分析!O372,"")</f>
        <v/>
      </c>
      <c r="O372" s="138" t="str">
        <f>IF(分析!X372&lt;&gt;"",分析!X372,"")</f>
        <v/>
      </c>
      <c r="P372" s="139" t="str">
        <f>IF(分析!L372&lt;&gt;"",分析!L372,"")</f>
        <v/>
      </c>
      <c r="Q372" s="136" t="str">
        <f>IF(分析!S372&lt;&gt;"",分析!S372,"")</f>
        <v/>
      </c>
      <c r="R372" s="136" t="str">
        <f>IF(分析!R372&lt;&gt;"",分析!R372,"")</f>
        <v/>
      </c>
      <c r="S372" s="131" t="str">
        <f>IF(分析!AA372&lt;&gt;"",分析!AA372,"")</f>
        <v/>
      </c>
      <c r="T372" s="140" t="str">
        <f>IF(分析!Z372&lt;&gt;"",分析!Z372,"")</f>
        <v/>
      </c>
      <c r="U372" s="131" t="str">
        <f>IF(分析!V372&lt;&gt;"",分析!V372,"")</f>
        <v/>
      </c>
      <c r="V372" s="141" t="str">
        <f>IF(分析!W372&lt;&gt;"",分析!W372,"")</f>
        <v/>
      </c>
      <c r="W372" s="142" t="str">
        <f>IF(分析!AD372&lt;&gt;"",分析!AD372,"")</f>
        <v/>
      </c>
      <c r="X372" s="143" t="str">
        <f>IF(分析!AE372&lt;&gt;"",分析!AE372,"")</f>
        <v/>
      </c>
      <c r="Y372" s="144" t="str">
        <f>IF(分析!T372&lt;&gt;"",分析!T372,"")</f>
        <v/>
      </c>
      <c r="Z372" s="145" t="str">
        <f>IF(分析!Y372&lt;&gt;"",分析!Y372,"")</f>
        <v/>
      </c>
    </row>
    <row r="373" spans="1:26" ht="21.9" customHeight="1">
      <c r="A373" s="146" t="str">
        <f>IF(分析!C373&lt;&gt;"",ROW()-2,"")</f>
        <v/>
      </c>
      <c r="B373" s="147" t="str">
        <f>IF(分析!C373&lt;&gt;"",HYPERLINK("https://kabutan.jp/stock/?code="&amp;分析!C373,"株探"),"")</f>
        <v/>
      </c>
      <c r="C373" s="148" t="str">
        <f>IF(分析!C373&lt;&gt;"",分析!C373,"")</f>
        <v/>
      </c>
      <c r="D373" s="149" t="str">
        <f>IF(分析!D373&lt;&gt;"",分析!D373,"")</f>
        <v/>
      </c>
      <c r="E373" s="150" t="str">
        <f>IF(分析!E373&lt;&gt;"",分析!E373,"")</f>
        <v/>
      </c>
      <c r="F373" s="151" t="str">
        <f>IF(分析!F373&lt;&gt;"",分析!F373,"")</f>
        <v/>
      </c>
      <c r="G373" s="151" t="str">
        <f>IF(分析!H373&lt;&gt;"",分析!H373,"")</f>
        <v/>
      </c>
      <c r="H373" s="151" t="str">
        <f>IF(分析!I373&lt;&gt;"",分析!I373,"")</f>
        <v/>
      </c>
      <c r="I373" s="151" t="str">
        <f>IF(分析!J373&lt;&gt;"",分析!J373,"")</f>
        <v/>
      </c>
      <c r="J373" s="151" t="str">
        <f>IF(分析!AB373&lt;&gt;"",分析!AB373,"")</f>
        <v/>
      </c>
      <c r="K373" s="151" t="str">
        <f>IF(分析!AC373&lt;&gt;"",分析!AC373,"")</f>
        <v/>
      </c>
      <c r="L373" s="151" t="str">
        <f>IF(分析!K373&lt;&gt;"",分析!K373,"")</f>
        <v/>
      </c>
      <c r="M373" s="146" t="str">
        <f>IF(分析!P373&lt;&gt;"",分析!P373,"")</f>
        <v/>
      </c>
      <c r="N373" s="152" t="str">
        <f>IF(分析!O373&lt;&gt;"",分析!O373,"")</f>
        <v/>
      </c>
      <c r="O373" s="153" t="str">
        <f>IF(分析!X373&lt;&gt;"",分析!X373,"")</f>
        <v/>
      </c>
      <c r="P373" s="154" t="str">
        <f>IF(分析!L373&lt;&gt;"",分析!L373,"")</f>
        <v/>
      </c>
      <c r="Q373" s="151" t="str">
        <f>IF(分析!S373&lt;&gt;"",分析!S373,"")</f>
        <v/>
      </c>
      <c r="R373" s="151" t="str">
        <f>IF(分析!R373&lt;&gt;"",分析!R373,"")</f>
        <v/>
      </c>
      <c r="S373" s="146" t="str">
        <f>IF(分析!AA373&lt;&gt;"",分析!AA373,"")</f>
        <v/>
      </c>
      <c r="T373" s="155" t="str">
        <f>IF(分析!Z373&lt;&gt;"",分析!Z373,"")</f>
        <v/>
      </c>
      <c r="U373" s="146" t="str">
        <f>IF(分析!V373&lt;&gt;"",分析!V373,"")</f>
        <v/>
      </c>
      <c r="V373" s="156" t="str">
        <f>IF(分析!W373&lt;&gt;"",分析!W373,"")</f>
        <v/>
      </c>
      <c r="W373" s="157" t="str">
        <f>IF(分析!AD373&lt;&gt;"",分析!AD373,"")</f>
        <v/>
      </c>
      <c r="X373" s="158" t="str">
        <f>IF(分析!AE373&lt;&gt;"",分析!AE373,"")</f>
        <v/>
      </c>
      <c r="Y373" s="159" t="str">
        <f>IF(分析!T373&lt;&gt;"",分析!T373,"")</f>
        <v/>
      </c>
      <c r="Z373" s="145" t="str">
        <f>IF(分析!Y373&lt;&gt;"",分析!Y373,"")</f>
        <v/>
      </c>
    </row>
    <row r="374" spans="1:26" ht="21.9" customHeight="1">
      <c r="A374" s="131" t="str">
        <f>IF(分析!C374&lt;&gt;"",ROW()-2,"")</f>
        <v/>
      </c>
      <c r="B374" s="132" t="str">
        <f>IF(分析!C374&lt;&gt;"",HYPERLINK("https://kabutan.jp/stock/?code="&amp;分析!C374,"株探"),"")</f>
        <v/>
      </c>
      <c r="C374" s="133" t="str">
        <f>IF(分析!C374&lt;&gt;"",分析!C374,"")</f>
        <v/>
      </c>
      <c r="D374" s="134" t="str">
        <f>IF(分析!D374&lt;&gt;"",分析!D374,"")</f>
        <v/>
      </c>
      <c r="E374" s="135" t="str">
        <f>IF(分析!E374&lt;&gt;"",分析!E374,"")</f>
        <v/>
      </c>
      <c r="F374" s="136" t="str">
        <f>IF(分析!F374&lt;&gt;"",分析!F374,"")</f>
        <v/>
      </c>
      <c r="G374" s="136" t="str">
        <f>IF(分析!H374&lt;&gt;"",分析!H374,"")</f>
        <v/>
      </c>
      <c r="H374" s="136" t="str">
        <f>IF(分析!I374&lt;&gt;"",分析!I374,"")</f>
        <v/>
      </c>
      <c r="I374" s="136" t="str">
        <f>IF(分析!J374&lt;&gt;"",分析!J374,"")</f>
        <v/>
      </c>
      <c r="J374" s="136" t="str">
        <f>IF(分析!AB374&lt;&gt;"",分析!AB374,"")</f>
        <v/>
      </c>
      <c r="K374" s="136" t="str">
        <f>IF(分析!AC374&lt;&gt;"",分析!AC374,"")</f>
        <v/>
      </c>
      <c r="L374" s="136" t="str">
        <f>IF(分析!K374&lt;&gt;"",分析!K374,"")</f>
        <v/>
      </c>
      <c r="M374" s="131" t="str">
        <f>IF(分析!P374&lt;&gt;"",分析!P374,"")</f>
        <v/>
      </c>
      <c r="N374" s="137" t="str">
        <f>IF(分析!O374&lt;&gt;"",分析!O374,"")</f>
        <v/>
      </c>
      <c r="O374" s="138" t="str">
        <f>IF(分析!X374&lt;&gt;"",分析!X374,"")</f>
        <v/>
      </c>
      <c r="P374" s="139" t="str">
        <f>IF(分析!L374&lt;&gt;"",分析!L374,"")</f>
        <v/>
      </c>
      <c r="Q374" s="136" t="str">
        <f>IF(分析!S374&lt;&gt;"",分析!S374,"")</f>
        <v/>
      </c>
      <c r="R374" s="136" t="str">
        <f>IF(分析!R374&lt;&gt;"",分析!R374,"")</f>
        <v/>
      </c>
      <c r="S374" s="131" t="str">
        <f>IF(分析!AA374&lt;&gt;"",分析!AA374,"")</f>
        <v/>
      </c>
      <c r="T374" s="140" t="str">
        <f>IF(分析!Z374&lt;&gt;"",分析!Z374,"")</f>
        <v/>
      </c>
      <c r="U374" s="131" t="str">
        <f>IF(分析!V374&lt;&gt;"",分析!V374,"")</f>
        <v/>
      </c>
      <c r="V374" s="141" t="str">
        <f>IF(分析!W374&lt;&gt;"",分析!W374,"")</f>
        <v/>
      </c>
      <c r="W374" s="142" t="str">
        <f>IF(分析!AD374&lt;&gt;"",分析!AD374,"")</f>
        <v/>
      </c>
      <c r="X374" s="143" t="str">
        <f>IF(分析!AE374&lt;&gt;"",分析!AE374,"")</f>
        <v/>
      </c>
      <c r="Y374" s="144" t="str">
        <f>IF(分析!T374&lt;&gt;"",分析!T374,"")</f>
        <v/>
      </c>
      <c r="Z374" s="145" t="str">
        <f>IF(分析!Y374&lt;&gt;"",分析!Y374,"")</f>
        <v/>
      </c>
    </row>
    <row r="375" spans="1:26" ht="21.9" customHeight="1">
      <c r="A375" s="146" t="str">
        <f>IF(分析!C375&lt;&gt;"",ROW()-2,"")</f>
        <v/>
      </c>
      <c r="B375" s="147" t="str">
        <f>IF(分析!C375&lt;&gt;"",HYPERLINK("https://kabutan.jp/stock/?code="&amp;分析!C375,"株探"),"")</f>
        <v/>
      </c>
      <c r="C375" s="148" t="str">
        <f>IF(分析!C375&lt;&gt;"",分析!C375,"")</f>
        <v/>
      </c>
      <c r="D375" s="149" t="str">
        <f>IF(分析!D375&lt;&gt;"",分析!D375,"")</f>
        <v/>
      </c>
      <c r="E375" s="150" t="str">
        <f>IF(分析!E375&lt;&gt;"",分析!E375,"")</f>
        <v/>
      </c>
      <c r="F375" s="151" t="str">
        <f>IF(分析!F375&lt;&gt;"",分析!F375,"")</f>
        <v/>
      </c>
      <c r="G375" s="151" t="str">
        <f>IF(分析!H375&lt;&gt;"",分析!H375,"")</f>
        <v/>
      </c>
      <c r="H375" s="151" t="str">
        <f>IF(分析!I375&lt;&gt;"",分析!I375,"")</f>
        <v/>
      </c>
      <c r="I375" s="151" t="str">
        <f>IF(分析!J375&lt;&gt;"",分析!J375,"")</f>
        <v/>
      </c>
      <c r="J375" s="151" t="str">
        <f>IF(分析!AB375&lt;&gt;"",分析!AB375,"")</f>
        <v/>
      </c>
      <c r="K375" s="151" t="str">
        <f>IF(分析!AC375&lt;&gt;"",分析!AC375,"")</f>
        <v/>
      </c>
      <c r="L375" s="151" t="str">
        <f>IF(分析!K375&lt;&gt;"",分析!K375,"")</f>
        <v/>
      </c>
      <c r="M375" s="146" t="str">
        <f>IF(分析!P375&lt;&gt;"",分析!P375,"")</f>
        <v/>
      </c>
      <c r="N375" s="152" t="str">
        <f>IF(分析!O375&lt;&gt;"",分析!O375,"")</f>
        <v/>
      </c>
      <c r="O375" s="153" t="str">
        <f>IF(分析!X375&lt;&gt;"",分析!X375,"")</f>
        <v/>
      </c>
      <c r="P375" s="154" t="str">
        <f>IF(分析!L375&lt;&gt;"",分析!L375,"")</f>
        <v/>
      </c>
      <c r="Q375" s="151" t="str">
        <f>IF(分析!S375&lt;&gt;"",分析!S375,"")</f>
        <v/>
      </c>
      <c r="R375" s="151" t="str">
        <f>IF(分析!R375&lt;&gt;"",分析!R375,"")</f>
        <v/>
      </c>
      <c r="S375" s="146" t="str">
        <f>IF(分析!AA375&lt;&gt;"",分析!AA375,"")</f>
        <v/>
      </c>
      <c r="T375" s="155" t="str">
        <f>IF(分析!Z375&lt;&gt;"",分析!Z375,"")</f>
        <v/>
      </c>
      <c r="U375" s="146" t="str">
        <f>IF(分析!V375&lt;&gt;"",分析!V375,"")</f>
        <v/>
      </c>
      <c r="V375" s="156" t="str">
        <f>IF(分析!W375&lt;&gt;"",分析!W375,"")</f>
        <v/>
      </c>
      <c r="W375" s="157" t="str">
        <f>IF(分析!AD375&lt;&gt;"",分析!AD375,"")</f>
        <v/>
      </c>
      <c r="X375" s="158" t="str">
        <f>IF(分析!AE375&lt;&gt;"",分析!AE375,"")</f>
        <v/>
      </c>
      <c r="Y375" s="159" t="str">
        <f>IF(分析!T375&lt;&gt;"",分析!T375,"")</f>
        <v/>
      </c>
      <c r="Z375" s="145" t="str">
        <f>IF(分析!Y375&lt;&gt;"",分析!Y375,"")</f>
        <v/>
      </c>
    </row>
    <row r="376" spans="1:26" ht="21.9" customHeight="1">
      <c r="A376" s="131" t="str">
        <f>IF(分析!C376&lt;&gt;"",ROW()-2,"")</f>
        <v/>
      </c>
      <c r="B376" s="132" t="str">
        <f>IF(分析!C376&lt;&gt;"",HYPERLINK("https://kabutan.jp/stock/?code="&amp;分析!C376,"株探"),"")</f>
        <v/>
      </c>
      <c r="C376" s="133" t="str">
        <f>IF(分析!C376&lt;&gt;"",分析!C376,"")</f>
        <v/>
      </c>
      <c r="D376" s="134" t="str">
        <f>IF(分析!D376&lt;&gt;"",分析!D376,"")</f>
        <v/>
      </c>
      <c r="E376" s="135" t="str">
        <f>IF(分析!E376&lt;&gt;"",分析!E376,"")</f>
        <v/>
      </c>
      <c r="F376" s="136" t="str">
        <f>IF(分析!F376&lt;&gt;"",分析!F376,"")</f>
        <v/>
      </c>
      <c r="G376" s="136" t="str">
        <f>IF(分析!H376&lt;&gt;"",分析!H376,"")</f>
        <v/>
      </c>
      <c r="H376" s="136" t="str">
        <f>IF(分析!I376&lt;&gt;"",分析!I376,"")</f>
        <v/>
      </c>
      <c r="I376" s="136" t="str">
        <f>IF(分析!J376&lt;&gt;"",分析!J376,"")</f>
        <v/>
      </c>
      <c r="J376" s="136" t="str">
        <f>IF(分析!AB376&lt;&gt;"",分析!AB376,"")</f>
        <v/>
      </c>
      <c r="K376" s="136" t="str">
        <f>IF(分析!AC376&lt;&gt;"",分析!AC376,"")</f>
        <v/>
      </c>
      <c r="L376" s="136" t="str">
        <f>IF(分析!K376&lt;&gt;"",分析!K376,"")</f>
        <v/>
      </c>
      <c r="M376" s="131" t="str">
        <f>IF(分析!P376&lt;&gt;"",分析!P376,"")</f>
        <v/>
      </c>
      <c r="N376" s="137" t="str">
        <f>IF(分析!O376&lt;&gt;"",分析!O376,"")</f>
        <v/>
      </c>
      <c r="O376" s="138" t="str">
        <f>IF(分析!X376&lt;&gt;"",分析!X376,"")</f>
        <v/>
      </c>
      <c r="P376" s="139" t="str">
        <f>IF(分析!L376&lt;&gt;"",分析!L376,"")</f>
        <v/>
      </c>
      <c r="Q376" s="136" t="str">
        <f>IF(分析!S376&lt;&gt;"",分析!S376,"")</f>
        <v/>
      </c>
      <c r="R376" s="136" t="str">
        <f>IF(分析!R376&lt;&gt;"",分析!R376,"")</f>
        <v/>
      </c>
      <c r="S376" s="131" t="str">
        <f>IF(分析!AA376&lt;&gt;"",分析!AA376,"")</f>
        <v/>
      </c>
      <c r="T376" s="140" t="str">
        <f>IF(分析!Z376&lt;&gt;"",分析!Z376,"")</f>
        <v/>
      </c>
      <c r="U376" s="131" t="str">
        <f>IF(分析!V376&lt;&gt;"",分析!V376,"")</f>
        <v/>
      </c>
      <c r="V376" s="141" t="str">
        <f>IF(分析!W376&lt;&gt;"",分析!W376,"")</f>
        <v/>
      </c>
      <c r="W376" s="142" t="str">
        <f>IF(分析!AD376&lt;&gt;"",分析!AD376,"")</f>
        <v/>
      </c>
      <c r="X376" s="143" t="str">
        <f>IF(分析!AE376&lt;&gt;"",分析!AE376,"")</f>
        <v/>
      </c>
      <c r="Y376" s="144" t="str">
        <f>IF(分析!T376&lt;&gt;"",分析!T376,"")</f>
        <v/>
      </c>
      <c r="Z376" s="145" t="str">
        <f>IF(分析!Y376&lt;&gt;"",分析!Y376,"")</f>
        <v/>
      </c>
    </row>
    <row r="377" spans="1:26" ht="21.9" customHeight="1">
      <c r="A377" s="146" t="str">
        <f>IF(分析!C377&lt;&gt;"",ROW()-2,"")</f>
        <v/>
      </c>
      <c r="B377" s="147" t="str">
        <f>IF(分析!C377&lt;&gt;"",HYPERLINK("https://kabutan.jp/stock/?code="&amp;分析!C377,"株探"),"")</f>
        <v/>
      </c>
      <c r="C377" s="148" t="str">
        <f>IF(分析!C377&lt;&gt;"",分析!C377,"")</f>
        <v/>
      </c>
      <c r="D377" s="149" t="str">
        <f>IF(分析!D377&lt;&gt;"",分析!D377,"")</f>
        <v/>
      </c>
      <c r="E377" s="150" t="str">
        <f>IF(分析!E377&lt;&gt;"",分析!E377,"")</f>
        <v/>
      </c>
      <c r="F377" s="151" t="str">
        <f>IF(分析!F377&lt;&gt;"",分析!F377,"")</f>
        <v/>
      </c>
      <c r="G377" s="151" t="str">
        <f>IF(分析!H377&lt;&gt;"",分析!H377,"")</f>
        <v/>
      </c>
      <c r="H377" s="151" t="str">
        <f>IF(分析!I377&lt;&gt;"",分析!I377,"")</f>
        <v/>
      </c>
      <c r="I377" s="151" t="str">
        <f>IF(分析!J377&lt;&gt;"",分析!J377,"")</f>
        <v/>
      </c>
      <c r="J377" s="151" t="str">
        <f>IF(分析!AB377&lt;&gt;"",分析!AB377,"")</f>
        <v/>
      </c>
      <c r="K377" s="151" t="str">
        <f>IF(分析!AC377&lt;&gt;"",分析!AC377,"")</f>
        <v/>
      </c>
      <c r="L377" s="151" t="str">
        <f>IF(分析!K377&lt;&gt;"",分析!K377,"")</f>
        <v/>
      </c>
      <c r="M377" s="146" t="str">
        <f>IF(分析!P377&lt;&gt;"",分析!P377,"")</f>
        <v/>
      </c>
      <c r="N377" s="152" t="str">
        <f>IF(分析!O377&lt;&gt;"",分析!O377,"")</f>
        <v/>
      </c>
      <c r="O377" s="153" t="str">
        <f>IF(分析!X377&lt;&gt;"",分析!X377,"")</f>
        <v/>
      </c>
      <c r="P377" s="154" t="str">
        <f>IF(分析!L377&lt;&gt;"",分析!L377,"")</f>
        <v/>
      </c>
      <c r="Q377" s="151" t="str">
        <f>IF(分析!S377&lt;&gt;"",分析!S377,"")</f>
        <v/>
      </c>
      <c r="R377" s="151" t="str">
        <f>IF(分析!R377&lt;&gt;"",分析!R377,"")</f>
        <v/>
      </c>
      <c r="S377" s="146" t="str">
        <f>IF(分析!AA377&lt;&gt;"",分析!AA377,"")</f>
        <v/>
      </c>
      <c r="T377" s="155" t="str">
        <f>IF(分析!Z377&lt;&gt;"",分析!Z377,"")</f>
        <v/>
      </c>
      <c r="U377" s="146" t="str">
        <f>IF(分析!V377&lt;&gt;"",分析!V377,"")</f>
        <v/>
      </c>
      <c r="V377" s="156" t="str">
        <f>IF(分析!W377&lt;&gt;"",分析!W377,"")</f>
        <v/>
      </c>
      <c r="W377" s="157" t="str">
        <f>IF(分析!AD377&lt;&gt;"",分析!AD377,"")</f>
        <v/>
      </c>
      <c r="X377" s="158" t="str">
        <f>IF(分析!AE377&lt;&gt;"",分析!AE377,"")</f>
        <v/>
      </c>
      <c r="Y377" s="159" t="str">
        <f>IF(分析!T377&lt;&gt;"",分析!T377,"")</f>
        <v/>
      </c>
      <c r="Z377" s="145" t="str">
        <f>IF(分析!Y377&lt;&gt;"",分析!Y377,"")</f>
        <v/>
      </c>
    </row>
    <row r="378" spans="1:26" ht="21.9" customHeight="1">
      <c r="A378" s="131" t="str">
        <f>IF(分析!C378&lt;&gt;"",ROW()-2,"")</f>
        <v/>
      </c>
      <c r="B378" s="132" t="str">
        <f>IF(分析!C378&lt;&gt;"",HYPERLINK("https://kabutan.jp/stock/?code="&amp;分析!C378,"株探"),"")</f>
        <v/>
      </c>
      <c r="C378" s="133" t="str">
        <f>IF(分析!C378&lt;&gt;"",分析!C378,"")</f>
        <v/>
      </c>
      <c r="D378" s="134" t="str">
        <f>IF(分析!D378&lt;&gt;"",分析!D378,"")</f>
        <v/>
      </c>
      <c r="E378" s="135" t="str">
        <f>IF(分析!E378&lt;&gt;"",分析!E378,"")</f>
        <v/>
      </c>
      <c r="F378" s="136" t="str">
        <f>IF(分析!F378&lt;&gt;"",分析!F378,"")</f>
        <v/>
      </c>
      <c r="G378" s="136" t="str">
        <f>IF(分析!H378&lt;&gt;"",分析!H378,"")</f>
        <v/>
      </c>
      <c r="H378" s="136" t="str">
        <f>IF(分析!I378&lt;&gt;"",分析!I378,"")</f>
        <v/>
      </c>
      <c r="I378" s="136" t="str">
        <f>IF(分析!J378&lt;&gt;"",分析!J378,"")</f>
        <v/>
      </c>
      <c r="J378" s="136" t="str">
        <f>IF(分析!AB378&lt;&gt;"",分析!AB378,"")</f>
        <v/>
      </c>
      <c r="K378" s="136" t="str">
        <f>IF(分析!AC378&lt;&gt;"",分析!AC378,"")</f>
        <v/>
      </c>
      <c r="L378" s="136" t="str">
        <f>IF(分析!K378&lt;&gt;"",分析!K378,"")</f>
        <v/>
      </c>
      <c r="M378" s="131" t="str">
        <f>IF(分析!P378&lt;&gt;"",分析!P378,"")</f>
        <v/>
      </c>
      <c r="N378" s="137" t="str">
        <f>IF(分析!O378&lt;&gt;"",分析!O378,"")</f>
        <v/>
      </c>
      <c r="O378" s="138" t="str">
        <f>IF(分析!X378&lt;&gt;"",分析!X378,"")</f>
        <v/>
      </c>
      <c r="P378" s="139" t="str">
        <f>IF(分析!L378&lt;&gt;"",分析!L378,"")</f>
        <v/>
      </c>
      <c r="Q378" s="136" t="str">
        <f>IF(分析!S378&lt;&gt;"",分析!S378,"")</f>
        <v/>
      </c>
      <c r="R378" s="136" t="str">
        <f>IF(分析!R378&lt;&gt;"",分析!R378,"")</f>
        <v/>
      </c>
      <c r="S378" s="131" t="str">
        <f>IF(分析!AA378&lt;&gt;"",分析!AA378,"")</f>
        <v/>
      </c>
      <c r="T378" s="140" t="str">
        <f>IF(分析!Z378&lt;&gt;"",分析!Z378,"")</f>
        <v/>
      </c>
      <c r="U378" s="131" t="str">
        <f>IF(分析!V378&lt;&gt;"",分析!V378,"")</f>
        <v/>
      </c>
      <c r="V378" s="141" t="str">
        <f>IF(分析!W378&lt;&gt;"",分析!W378,"")</f>
        <v/>
      </c>
      <c r="W378" s="142" t="str">
        <f>IF(分析!AD378&lt;&gt;"",分析!AD378,"")</f>
        <v/>
      </c>
      <c r="X378" s="143" t="str">
        <f>IF(分析!AE378&lt;&gt;"",分析!AE378,"")</f>
        <v/>
      </c>
      <c r="Y378" s="144" t="str">
        <f>IF(分析!T378&lt;&gt;"",分析!T378,"")</f>
        <v/>
      </c>
      <c r="Z378" s="145" t="str">
        <f>IF(分析!Y378&lt;&gt;"",分析!Y378,"")</f>
        <v/>
      </c>
    </row>
    <row r="379" spans="1:26" ht="21.9" customHeight="1">
      <c r="A379" s="146" t="str">
        <f>IF(分析!C379&lt;&gt;"",ROW()-2,"")</f>
        <v/>
      </c>
      <c r="B379" s="147" t="str">
        <f>IF(分析!C379&lt;&gt;"",HYPERLINK("https://kabutan.jp/stock/?code="&amp;分析!C379,"株探"),"")</f>
        <v/>
      </c>
      <c r="C379" s="148" t="str">
        <f>IF(分析!C379&lt;&gt;"",分析!C379,"")</f>
        <v/>
      </c>
      <c r="D379" s="149" t="str">
        <f>IF(分析!D379&lt;&gt;"",分析!D379,"")</f>
        <v/>
      </c>
      <c r="E379" s="150" t="str">
        <f>IF(分析!E379&lt;&gt;"",分析!E379,"")</f>
        <v/>
      </c>
      <c r="F379" s="151" t="str">
        <f>IF(分析!F379&lt;&gt;"",分析!F379,"")</f>
        <v/>
      </c>
      <c r="G379" s="151" t="str">
        <f>IF(分析!H379&lt;&gt;"",分析!H379,"")</f>
        <v/>
      </c>
      <c r="H379" s="151" t="str">
        <f>IF(分析!I379&lt;&gt;"",分析!I379,"")</f>
        <v/>
      </c>
      <c r="I379" s="151" t="str">
        <f>IF(分析!J379&lt;&gt;"",分析!J379,"")</f>
        <v/>
      </c>
      <c r="J379" s="151" t="str">
        <f>IF(分析!AB379&lt;&gt;"",分析!AB379,"")</f>
        <v/>
      </c>
      <c r="K379" s="151" t="str">
        <f>IF(分析!AC379&lt;&gt;"",分析!AC379,"")</f>
        <v/>
      </c>
      <c r="L379" s="151" t="str">
        <f>IF(分析!K379&lt;&gt;"",分析!K379,"")</f>
        <v/>
      </c>
      <c r="M379" s="146" t="str">
        <f>IF(分析!P379&lt;&gt;"",分析!P379,"")</f>
        <v/>
      </c>
      <c r="N379" s="152" t="str">
        <f>IF(分析!O379&lt;&gt;"",分析!O379,"")</f>
        <v/>
      </c>
      <c r="O379" s="153" t="str">
        <f>IF(分析!X379&lt;&gt;"",分析!X379,"")</f>
        <v/>
      </c>
      <c r="P379" s="154" t="str">
        <f>IF(分析!L379&lt;&gt;"",分析!L379,"")</f>
        <v/>
      </c>
      <c r="Q379" s="151" t="str">
        <f>IF(分析!S379&lt;&gt;"",分析!S379,"")</f>
        <v/>
      </c>
      <c r="R379" s="151" t="str">
        <f>IF(分析!R379&lt;&gt;"",分析!R379,"")</f>
        <v/>
      </c>
      <c r="S379" s="146" t="str">
        <f>IF(分析!AA379&lt;&gt;"",分析!AA379,"")</f>
        <v/>
      </c>
      <c r="T379" s="155" t="str">
        <f>IF(分析!Z379&lt;&gt;"",分析!Z379,"")</f>
        <v/>
      </c>
      <c r="U379" s="146" t="str">
        <f>IF(分析!V379&lt;&gt;"",分析!V379,"")</f>
        <v/>
      </c>
      <c r="V379" s="156" t="str">
        <f>IF(分析!W379&lt;&gt;"",分析!W379,"")</f>
        <v/>
      </c>
      <c r="W379" s="157" t="str">
        <f>IF(分析!AD379&lt;&gt;"",分析!AD379,"")</f>
        <v/>
      </c>
      <c r="X379" s="158" t="str">
        <f>IF(分析!AE379&lt;&gt;"",分析!AE379,"")</f>
        <v/>
      </c>
      <c r="Y379" s="159" t="str">
        <f>IF(分析!T379&lt;&gt;"",分析!T379,"")</f>
        <v/>
      </c>
      <c r="Z379" s="145" t="str">
        <f>IF(分析!Y379&lt;&gt;"",分析!Y379,"")</f>
        <v/>
      </c>
    </row>
    <row r="380" spans="1:26" ht="21.9" customHeight="1">
      <c r="A380" s="131" t="str">
        <f>IF(分析!C380&lt;&gt;"",ROW()-2,"")</f>
        <v/>
      </c>
      <c r="B380" s="132" t="str">
        <f>IF(分析!C380&lt;&gt;"",HYPERLINK("https://kabutan.jp/stock/?code="&amp;分析!C380,"株探"),"")</f>
        <v/>
      </c>
      <c r="C380" s="133" t="str">
        <f>IF(分析!C380&lt;&gt;"",分析!C380,"")</f>
        <v/>
      </c>
      <c r="D380" s="134" t="str">
        <f>IF(分析!D380&lt;&gt;"",分析!D380,"")</f>
        <v/>
      </c>
      <c r="E380" s="135" t="str">
        <f>IF(分析!E380&lt;&gt;"",分析!E380,"")</f>
        <v/>
      </c>
      <c r="F380" s="136" t="str">
        <f>IF(分析!F380&lt;&gt;"",分析!F380,"")</f>
        <v/>
      </c>
      <c r="G380" s="136" t="str">
        <f>IF(分析!H380&lt;&gt;"",分析!H380,"")</f>
        <v/>
      </c>
      <c r="H380" s="136" t="str">
        <f>IF(分析!I380&lt;&gt;"",分析!I380,"")</f>
        <v/>
      </c>
      <c r="I380" s="136" t="str">
        <f>IF(分析!J380&lt;&gt;"",分析!J380,"")</f>
        <v/>
      </c>
      <c r="J380" s="136" t="str">
        <f>IF(分析!AB380&lt;&gt;"",分析!AB380,"")</f>
        <v/>
      </c>
      <c r="K380" s="136" t="str">
        <f>IF(分析!AC380&lt;&gt;"",分析!AC380,"")</f>
        <v/>
      </c>
      <c r="L380" s="136" t="str">
        <f>IF(分析!K380&lt;&gt;"",分析!K380,"")</f>
        <v/>
      </c>
      <c r="M380" s="131" t="str">
        <f>IF(分析!P380&lt;&gt;"",分析!P380,"")</f>
        <v/>
      </c>
      <c r="N380" s="137" t="str">
        <f>IF(分析!O380&lt;&gt;"",分析!O380,"")</f>
        <v/>
      </c>
      <c r="O380" s="138" t="str">
        <f>IF(分析!X380&lt;&gt;"",分析!X380,"")</f>
        <v/>
      </c>
      <c r="P380" s="139" t="str">
        <f>IF(分析!L380&lt;&gt;"",分析!L380,"")</f>
        <v/>
      </c>
      <c r="Q380" s="136" t="str">
        <f>IF(分析!S380&lt;&gt;"",分析!S380,"")</f>
        <v/>
      </c>
      <c r="R380" s="136" t="str">
        <f>IF(分析!R380&lt;&gt;"",分析!R380,"")</f>
        <v/>
      </c>
      <c r="S380" s="131" t="str">
        <f>IF(分析!AA380&lt;&gt;"",分析!AA380,"")</f>
        <v/>
      </c>
      <c r="T380" s="140" t="str">
        <f>IF(分析!Z380&lt;&gt;"",分析!Z380,"")</f>
        <v/>
      </c>
      <c r="U380" s="131" t="str">
        <f>IF(分析!V380&lt;&gt;"",分析!V380,"")</f>
        <v/>
      </c>
      <c r="V380" s="141" t="str">
        <f>IF(分析!W380&lt;&gt;"",分析!W380,"")</f>
        <v/>
      </c>
      <c r="W380" s="142" t="str">
        <f>IF(分析!AD380&lt;&gt;"",分析!AD380,"")</f>
        <v/>
      </c>
      <c r="X380" s="143" t="str">
        <f>IF(分析!AE380&lt;&gt;"",分析!AE380,"")</f>
        <v/>
      </c>
      <c r="Y380" s="144" t="str">
        <f>IF(分析!T380&lt;&gt;"",分析!T380,"")</f>
        <v/>
      </c>
      <c r="Z380" s="145" t="str">
        <f>IF(分析!Y380&lt;&gt;"",分析!Y380,"")</f>
        <v/>
      </c>
    </row>
    <row r="381" spans="1:26" ht="21.9" customHeight="1">
      <c r="A381" s="146" t="str">
        <f>IF(分析!C381&lt;&gt;"",ROW()-2,"")</f>
        <v/>
      </c>
      <c r="B381" s="147" t="str">
        <f>IF(分析!C381&lt;&gt;"",HYPERLINK("https://kabutan.jp/stock/?code="&amp;分析!C381,"株探"),"")</f>
        <v/>
      </c>
      <c r="C381" s="148" t="str">
        <f>IF(分析!C381&lt;&gt;"",分析!C381,"")</f>
        <v/>
      </c>
      <c r="D381" s="149" t="str">
        <f>IF(分析!D381&lt;&gt;"",分析!D381,"")</f>
        <v/>
      </c>
      <c r="E381" s="150" t="str">
        <f>IF(分析!E381&lt;&gt;"",分析!E381,"")</f>
        <v/>
      </c>
      <c r="F381" s="151" t="str">
        <f>IF(分析!F381&lt;&gt;"",分析!F381,"")</f>
        <v/>
      </c>
      <c r="G381" s="151" t="str">
        <f>IF(分析!H381&lt;&gt;"",分析!H381,"")</f>
        <v/>
      </c>
      <c r="H381" s="151" t="str">
        <f>IF(分析!I381&lt;&gt;"",分析!I381,"")</f>
        <v/>
      </c>
      <c r="I381" s="151" t="str">
        <f>IF(分析!J381&lt;&gt;"",分析!J381,"")</f>
        <v/>
      </c>
      <c r="J381" s="151" t="str">
        <f>IF(分析!AB381&lt;&gt;"",分析!AB381,"")</f>
        <v/>
      </c>
      <c r="K381" s="151" t="str">
        <f>IF(分析!AC381&lt;&gt;"",分析!AC381,"")</f>
        <v/>
      </c>
      <c r="L381" s="151" t="str">
        <f>IF(分析!K381&lt;&gt;"",分析!K381,"")</f>
        <v/>
      </c>
      <c r="M381" s="146" t="str">
        <f>IF(分析!P381&lt;&gt;"",分析!P381,"")</f>
        <v/>
      </c>
      <c r="N381" s="152" t="str">
        <f>IF(分析!O381&lt;&gt;"",分析!O381,"")</f>
        <v/>
      </c>
      <c r="O381" s="153" t="str">
        <f>IF(分析!X381&lt;&gt;"",分析!X381,"")</f>
        <v/>
      </c>
      <c r="P381" s="154" t="str">
        <f>IF(分析!L381&lt;&gt;"",分析!L381,"")</f>
        <v/>
      </c>
      <c r="Q381" s="151" t="str">
        <f>IF(分析!S381&lt;&gt;"",分析!S381,"")</f>
        <v/>
      </c>
      <c r="R381" s="151" t="str">
        <f>IF(分析!R381&lt;&gt;"",分析!R381,"")</f>
        <v/>
      </c>
      <c r="S381" s="146" t="str">
        <f>IF(分析!AA381&lt;&gt;"",分析!AA381,"")</f>
        <v/>
      </c>
      <c r="T381" s="155" t="str">
        <f>IF(分析!Z381&lt;&gt;"",分析!Z381,"")</f>
        <v/>
      </c>
      <c r="U381" s="146" t="str">
        <f>IF(分析!V381&lt;&gt;"",分析!V381,"")</f>
        <v/>
      </c>
      <c r="V381" s="156" t="str">
        <f>IF(分析!W381&lt;&gt;"",分析!W381,"")</f>
        <v/>
      </c>
      <c r="W381" s="157" t="str">
        <f>IF(分析!AD381&lt;&gt;"",分析!AD381,"")</f>
        <v/>
      </c>
      <c r="X381" s="158" t="str">
        <f>IF(分析!AE381&lt;&gt;"",分析!AE381,"")</f>
        <v/>
      </c>
      <c r="Y381" s="159" t="str">
        <f>IF(分析!T381&lt;&gt;"",分析!T381,"")</f>
        <v/>
      </c>
      <c r="Z381" s="145" t="str">
        <f>IF(分析!Y381&lt;&gt;"",分析!Y381,"")</f>
        <v/>
      </c>
    </row>
    <row r="382" spans="1:26" ht="21.9" customHeight="1">
      <c r="A382" s="131" t="str">
        <f>IF(分析!C382&lt;&gt;"",ROW()-2,"")</f>
        <v/>
      </c>
      <c r="B382" s="132" t="str">
        <f>IF(分析!C382&lt;&gt;"",HYPERLINK("https://kabutan.jp/stock/?code="&amp;分析!C382,"株探"),"")</f>
        <v/>
      </c>
      <c r="C382" s="133" t="str">
        <f>IF(分析!C382&lt;&gt;"",分析!C382,"")</f>
        <v/>
      </c>
      <c r="D382" s="134" t="str">
        <f>IF(分析!D382&lt;&gt;"",分析!D382,"")</f>
        <v/>
      </c>
      <c r="E382" s="135" t="str">
        <f>IF(分析!E382&lt;&gt;"",分析!E382,"")</f>
        <v/>
      </c>
      <c r="F382" s="136" t="str">
        <f>IF(分析!F382&lt;&gt;"",分析!F382,"")</f>
        <v/>
      </c>
      <c r="G382" s="136" t="str">
        <f>IF(分析!H382&lt;&gt;"",分析!H382,"")</f>
        <v/>
      </c>
      <c r="H382" s="136" t="str">
        <f>IF(分析!I382&lt;&gt;"",分析!I382,"")</f>
        <v/>
      </c>
      <c r="I382" s="136" t="str">
        <f>IF(分析!J382&lt;&gt;"",分析!J382,"")</f>
        <v/>
      </c>
      <c r="J382" s="136" t="str">
        <f>IF(分析!AB382&lt;&gt;"",分析!AB382,"")</f>
        <v/>
      </c>
      <c r="K382" s="136" t="str">
        <f>IF(分析!AC382&lt;&gt;"",分析!AC382,"")</f>
        <v/>
      </c>
      <c r="L382" s="136" t="str">
        <f>IF(分析!K382&lt;&gt;"",分析!K382,"")</f>
        <v/>
      </c>
      <c r="M382" s="131" t="str">
        <f>IF(分析!P382&lt;&gt;"",分析!P382,"")</f>
        <v/>
      </c>
      <c r="N382" s="137" t="str">
        <f>IF(分析!O382&lt;&gt;"",分析!O382,"")</f>
        <v/>
      </c>
      <c r="O382" s="138" t="str">
        <f>IF(分析!X382&lt;&gt;"",分析!X382,"")</f>
        <v/>
      </c>
      <c r="P382" s="139" t="str">
        <f>IF(分析!L382&lt;&gt;"",分析!L382,"")</f>
        <v/>
      </c>
      <c r="Q382" s="136" t="str">
        <f>IF(分析!S382&lt;&gt;"",分析!S382,"")</f>
        <v/>
      </c>
      <c r="R382" s="136" t="str">
        <f>IF(分析!R382&lt;&gt;"",分析!R382,"")</f>
        <v/>
      </c>
      <c r="S382" s="131" t="str">
        <f>IF(分析!AA382&lt;&gt;"",分析!AA382,"")</f>
        <v/>
      </c>
      <c r="T382" s="140" t="str">
        <f>IF(分析!Z382&lt;&gt;"",分析!Z382,"")</f>
        <v/>
      </c>
      <c r="U382" s="131" t="str">
        <f>IF(分析!V382&lt;&gt;"",分析!V382,"")</f>
        <v/>
      </c>
      <c r="V382" s="141" t="str">
        <f>IF(分析!W382&lt;&gt;"",分析!W382,"")</f>
        <v/>
      </c>
      <c r="W382" s="142" t="str">
        <f>IF(分析!AD382&lt;&gt;"",分析!AD382,"")</f>
        <v/>
      </c>
      <c r="X382" s="143" t="str">
        <f>IF(分析!AE382&lt;&gt;"",分析!AE382,"")</f>
        <v/>
      </c>
      <c r="Y382" s="144" t="str">
        <f>IF(分析!T382&lt;&gt;"",分析!T382,"")</f>
        <v/>
      </c>
      <c r="Z382" s="145" t="str">
        <f>IF(分析!Y382&lt;&gt;"",分析!Y382,"")</f>
        <v/>
      </c>
    </row>
    <row r="383" spans="1:26" ht="21.9" customHeight="1">
      <c r="A383" s="146" t="str">
        <f>IF(分析!C383&lt;&gt;"",ROW()-2,"")</f>
        <v/>
      </c>
      <c r="B383" s="147" t="str">
        <f>IF(分析!C383&lt;&gt;"",HYPERLINK("https://kabutan.jp/stock/?code="&amp;分析!C383,"株探"),"")</f>
        <v/>
      </c>
      <c r="C383" s="148" t="str">
        <f>IF(分析!C383&lt;&gt;"",分析!C383,"")</f>
        <v/>
      </c>
      <c r="D383" s="149" t="str">
        <f>IF(分析!D383&lt;&gt;"",分析!D383,"")</f>
        <v/>
      </c>
      <c r="E383" s="150" t="str">
        <f>IF(分析!E383&lt;&gt;"",分析!E383,"")</f>
        <v/>
      </c>
      <c r="F383" s="151" t="str">
        <f>IF(分析!F383&lt;&gt;"",分析!F383,"")</f>
        <v/>
      </c>
      <c r="G383" s="151" t="str">
        <f>IF(分析!H383&lt;&gt;"",分析!H383,"")</f>
        <v/>
      </c>
      <c r="H383" s="151" t="str">
        <f>IF(分析!I383&lt;&gt;"",分析!I383,"")</f>
        <v/>
      </c>
      <c r="I383" s="151" t="str">
        <f>IF(分析!J383&lt;&gt;"",分析!J383,"")</f>
        <v/>
      </c>
      <c r="J383" s="151" t="str">
        <f>IF(分析!AB383&lt;&gt;"",分析!AB383,"")</f>
        <v/>
      </c>
      <c r="K383" s="151" t="str">
        <f>IF(分析!AC383&lt;&gt;"",分析!AC383,"")</f>
        <v/>
      </c>
      <c r="L383" s="151" t="str">
        <f>IF(分析!K383&lt;&gt;"",分析!K383,"")</f>
        <v/>
      </c>
      <c r="M383" s="146" t="str">
        <f>IF(分析!P383&lt;&gt;"",分析!P383,"")</f>
        <v/>
      </c>
      <c r="N383" s="152" t="str">
        <f>IF(分析!O383&lt;&gt;"",分析!O383,"")</f>
        <v/>
      </c>
      <c r="O383" s="153" t="str">
        <f>IF(分析!X383&lt;&gt;"",分析!X383,"")</f>
        <v/>
      </c>
      <c r="P383" s="154" t="str">
        <f>IF(分析!L383&lt;&gt;"",分析!L383,"")</f>
        <v/>
      </c>
      <c r="Q383" s="151" t="str">
        <f>IF(分析!S383&lt;&gt;"",分析!S383,"")</f>
        <v/>
      </c>
      <c r="R383" s="151" t="str">
        <f>IF(分析!R383&lt;&gt;"",分析!R383,"")</f>
        <v/>
      </c>
      <c r="S383" s="146" t="str">
        <f>IF(分析!AA383&lt;&gt;"",分析!AA383,"")</f>
        <v/>
      </c>
      <c r="T383" s="155" t="str">
        <f>IF(分析!Z383&lt;&gt;"",分析!Z383,"")</f>
        <v/>
      </c>
      <c r="U383" s="146" t="str">
        <f>IF(分析!V383&lt;&gt;"",分析!V383,"")</f>
        <v/>
      </c>
      <c r="V383" s="156" t="str">
        <f>IF(分析!W383&lt;&gt;"",分析!W383,"")</f>
        <v/>
      </c>
      <c r="W383" s="157" t="str">
        <f>IF(分析!AD383&lt;&gt;"",分析!AD383,"")</f>
        <v/>
      </c>
      <c r="X383" s="158" t="str">
        <f>IF(分析!AE383&lt;&gt;"",分析!AE383,"")</f>
        <v/>
      </c>
      <c r="Y383" s="159" t="str">
        <f>IF(分析!T383&lt;&gt;"",分析!T383,"")</f>
        <v/>
      </c>
      <c r="Z383" s="145" t="str">
        <f>IF(分析!Y383&lt;&gt;"",分析!Y383,"")</f>
        <v/>
      </c>
    </row>
    <row r="384" spans="1:26" ht="21.9" customHeight="1">
      <c r="A384" s="131" t="str">
        <f>IF(分析!C384&lt;&gt;"",ROW()-2,"")</f>
        <v/>
      </c>
      <c r="B384" s="132" t="str">
        <f>IF(分析!C384&lt;&gt;"",HYPERLINK("https://kabutan.jp/stock/?code="&amp;分析!C384,"株探"),"")</f>
        <v/>
      </c>
      <c r="C384" s="133" t="str">
        <f>IF(分析!C384&lt;&gt;"",分析!C384,"")</f>
        <v/>
      </c>
      <c r="D384" s="134" t="str">
        <f>IF(分析!D384&lt;&gt;"",分析!D384,"")</f>
        <v/>
      </c>
      <c r="E384" s="135" t="str">
        <f>IF(分析!E384&lt;&gt;"",分析!E384,"")</f>
        <v/>
      </c>
      <c r="F384" s="136" t="str">
        <f>IF(分析!F384&lt;&gt;"",分析!F384,"")</f>
        <v/>
      </c>
      <c r="G384" s="136" t="str">
        <f>IF(分析!H384&lt;&gt;"",分析!H384,"")</f>
        <v/>
      </c>
      <c r="H384" s="136" t="str">
        <f>IF(分析!I384&lt;&gt;"",分析!I384,"")</f>
        <v/>
      </c>
      <c r="I384" s="136" t="str">
        <f>IF(分析!J384&lt;&gt;"",分析!J384,"")</f>
        <v/>
      </c>
      <c r="J384" s="136" t="str">
        <f>IF(分析!AB384&lt;&gt;"",分析!AB384,"")</f>
        <v/>
      </c>
      <c r="K384" s="136" t="str">
        <f>IF(分析!AC384&lt;&gt;"",分析!AC384,"")</f>
        <v/>
      </c>
      <c r="L384" s="136" t="str">
        <f>IF(分析!K384&lt;&gt;"",分析!K384,"")</f>
        <v/>
      </c>
      <c r="M384" s="131" t="str">
        <f>IF(分析!P384&lt;&gt;"",分析!P384,"")</f>
        <v/>
      </c>
      <c r="N384" s="137" t="str">
        <f>IF(分析!O384&lt;&gt;"",分析!O384,"")</f>
        <v/>
      </c>
      <c r="O384" s="138" t="str">
        <f>IF(分析!X384&lt;&gt;"",分析!X384,"")</f>
        <v/>
      </c>
      <c r="P384" s="139" t="str">
        <f>IF(分析!L384&lt;&gt;"",分析!L384,"")</f>
        <v/>
      </c>
      <c r="Q384" s="136" t="str">
        <f>IF(分析!S384&lt;&gt;"",分析!S384,"")</f>
        <v/>
      </c>
      <c r="R384" s="136" t="str">
        <f>IF(分析!R384&lt;&gt;"",分析!R384,"")</f>
        <v/>
      </c>
      <c r="S384" s="131" t="str">
        <f>IF(分析!AA384&lt;&gt;"",分析!AA384,"")</f>
        <v/>
      </c>
      <c r="T384" s="140" t="str">
        <f>IF(分析!Z384&lt;&gt;"",分析!Z384,"")</f>
        <v/>
      </c>
      <c r="U384" s="131" t="str">
        <f>IF(分析!V384&lt;&gt;"",分析!V384,"")</f>
        <v/>
      </c>
      <c r="V384" s="141" t="str">
        <f>IF(分析!W384&lt;&gt;"",分析!W384,"")</f>
        <v/>
      </c>
      <c r="W384" s="142" t="str">
        <f>IF(分析!AD384&lt;&gt;"",分析!AD384,"")</f>
        <v/>
      </c>
      <c r="X384" s="143" t="str">
        <f>IF(分析!AE384&lt;&gt;"",分析!AE384,"")</f>
        <v/>
      </c>
      <c r="Y384" s="144" t="str">
        <f>IF(分析!T384&lt;&gt;"",分析!T384,"")</f>
        <v/>
      </c>
      <c r="Z384" s="145" t="str">
        <f>IF(分析!Y384&lt;&gt;"",分析!Y384,"")</f>
        <v/>
      </c>
    </row>
    <row r="385" spans="1:26" ht="21.9" customHeight="1">
      <c r="A385" s="146" t="str">
        <f>IF(分析!C385&lt;&gt;"",ROW()-2,"")</f>
        <v/>
      </c>
      <c r="B385" s="147" t="str">
        <f>IF(分析!C385&lt;&gt;"",HYPERLINK("https://kabutan.jp/stock/?code="&amp;分析!C385,"株探"),"")</f>
        <v/>
      </c>
      <c r="C385" s="148" t="str">
        <f>IF(分析!C385&lt;&gt;"",分析!C385,"")</f>
        <v/>
      </c>
      <c r="D385" s="149" t="str">
        <f>IF(分析!D385&lt;&gt;"",分析!D385,"")</f>
        <v/>
      </c>
      <c r="E385" s="150" t="str">
        <f>IF(分析!E385&lt;&gt;"",分析!E385,"")</f>
        <v/>
      </c>
      <c r="F385" s="151" t="str">
        <f>IF(分析!F385&lt;&gt;"",分析!F385,"")</f>
        <v/>
      </c>
      <c r="G385" s="151" t="str">
        <f>IF(分析!H385&lt;&gt;"",分析!H385,"")</f>
        <v/>
      </c>
      <c r="H385" s="151" t="str">
        <f>IF(分析!I385&lt;&gt;"",分析!I385,"")</f>
        <v/>
      </c>
      <c r="I385" s="151" t="str">
        <f>IF(分析!J385&lt;&gt;"",分析!J385,"")</f>
        <v/>
      </c>
      <c r="J385" s="151" t="str">
        <f>IF(分析!AB385&lt;&gt;"",分析!AB385,"")</f>
        <v/>
      </c>
      <c r="K385" s="151" t="str">
        <f>IF(分析!AC385&lt;&gt;"",分析!AC385,"")</f>
        <v/>
      </c>
      <c r="L385" s="151" t="str">
        <f>IF(分析!K385&lt;&gt;"",分析!K385,"")</f>
        <v/>
      </c>
      <c r="M385" s="146" t="str">
        <f>IF(分析!P385&lt;&gt;"",分析!P385,"")</f>
        <v/>
      </c>
      <c r="N385" s="152" t="str">
        <f>IF(分析!O385&lt;&gt;"",分析!O385,"")</f>
        <v/>
      </c>
      <c r="O385" s="153" t="str">
        <f>IF(分析!X385&lt;&gt;"",分析!X385,"")</f>
        <v/>
      </c>
      <c r="P385" s="154" t="str">
        <f>IF(分析!L385&lt;&gt;"",分析!L385,"")</f>
        <v/>
      </c>
      <c r="Q385" s="151" t="str">
        <f>IF(分析!S385&lt;&gt;"",分析!S385,"")</f>
        <v/>
      </c>
      <c r="R385" s="151" t="str">
        <f>IF(分析!R385&lt;&gt;"",分析!R385,"")</f>
        <v/>
      </c>
      <c r="S385" s="146" t="str">
        <f>IF(分析!AA385&lt;&gt;"",分析!AA385,"")</f>
        <v/>
      </c>
      <c r="T385" s="155" t="str">
        <f>IF(分析!Z385&lt;&gt;"",分析!Z385,"")</f>
        <v/>
      </c>
      <c r="U385" s="146" t="str">
        <f>IF(分析!V385&lt;&gt;"",分析!V385,"")</f>
        <v/>
      </c>
      <c r="V385" s="156" t="str">
        <f>IF(分析!W385&lt;&gt;"",分析!W385,"")</f>
        <v/>
      </c>
      <c r="W385" s="157" t="str">
        <f>IF(分析!AD385&lt;&gt;"",分析!AD385,"")</f>
        <v/>
      </c>
      <c r="X385" s="158" t="str">
        <f>IF(分析!AE385&lt;&gt;"",分析!AE385,"")</f>
        <v/>
      </c>
      <c r="Y385" s="159" t="str">
        <f>IF(分析!T385&lt;&gt;"",分析!T385,"")</f>
        <v/>
      </c>
      <c r="Z385" s="145" t="str">
        <f>IF(分析!Y385&lt;&gt;"",分析!Y385,"")</f>
        <v/>
      </c>
    </row>
    <row r="386" spans="1:26" ht="21.9" customHeight="1">
      <c r="A386" s="131" t="str">
        <f>IF(分析!C386&lt;&gt;"",ROW()-2,"")</f>
        <v/>
      </c>
      <c r="B386" s="132" t="str">
        <f>IF(分析!C386&lt;&gt;"",HYPERLINK("https://kabutan.jp/stock/?code="&amp;分析!C386,"株探"),"")</f>
        <v/>
      </c>
      <c r="C386" s="133" t="str">
        <f>IF(分析!C386&lt;&gt;"",分析!C386,"")</f>
        <v/>
      </c>
      <c r="D386" s="134" t="str">
        <f>IF(分析!D386&lt;&gt;"",分析!D386,"")</f>
        <v/>
      </c>
      <c r="E386" s="135" t="str">
        <f>IF(分析!E386&lt;&gt;"",分析!E386,"")</f>
        <v/>
      </c>
      <c r="F386" s="136" t="str">
        <f>IF(分析!F386&lt;&gt;"",分析!F386,"")</f>
        <v/>
      </c>
      <c r="G386" s="136" t="str">
        <f>IF(分析!H386&lt;&gt;"",分析!H386,"")</f>
        <v/>
      </c>
      <c r="H386" s="136" t="str">
        <f>IF(分析!I386&lt;&gt;"",分析!I386,"")</f>
        <v/>
      </c>
      <c r="I386" s="136" t="str">
        <f>IF(分析!J386&lt;&gt;"",分析!J386,"")</f>
        <v/>
      </c>
      <c r="J386" s="136" t="str">
        <f>IF(分析!AB386&lt;&gt;"",分析!AB386,"")</f>
        <v/>
      </c>
      <c r="K386" s="136" t="str">
        <f>IF(分析!AC386&lt;&gt;"",分析!AC386,"")</f>
        <v/>
      </c>
      <c r="L386" s="136" t="str">
        <f>IF(分析!K386&lt;&gt;"",分析!K386,"")</f>
        <v/>
      </c>
      <c r="M386" s="131" t="str">
        <f>IF(分析!P386&lt;&gt;"",分析!P386,"")</f>
        <v/>
      </c>
      <c r="N386" s="137" t="str">
        <f>IF(分析!O386&lt;&gt;"",分析!O386,"")</f>
        <v/>
      </c>
      <c r="O386" s="138" t="str">
        <f>IF(分析!X386&lt;&gt;"",分析!X386,"")</f>
        <v/>
      </c>
      <c r="P386" s="139" t="str">
        <f>IF(分析!L386&lt;&gt;"",分析!L386,"")</f>
        <v/>
      </c>
      <c r="Q386" s="136" t="str">
        <f>IF(分析!S386&lt;&gt;"",分析!S386,"")</f>
        <v/>
      </c>
      <c r="R386" s="136" t="str">
        <f>IF(分析!R386&lt;&gt;"",分析!R386,"")</f>
        <v/>
      </c>
      <c r="S386" s="131" t="str">
        <f>IF(分析!AA386&lt;&gt;"",分析!AA386,"")</f>
        <v/>
      </c>
      <c r="T386" s="140" t="str">
        <f>IF(分析!Z386&lt;&gt;"",分析!Z386,"")</f>
        <v/>
      </c>
      <c r="U386" s="131" t="str">
        <f>IF(分析!V386&lt;&gt;"",分析!V386,"")</f>
        <v/>
      </c>
      <c r="V386" s="141" t="str">
        <f>IF(分析!W386&lt;&gt;"",分析!W386,"")</f>
        <v/>
      </c>
      <c r="W386" s="142" t="str">
        <f>IF(分析!AD386&lt;&gt;"",分析!AD386,"")</f>
        <v/>
      </c>
      <c r="X386" s="143" t="str">
        <f>IF(分析!AE386&lt;&gt;"",分析!AE386,"")</f>
        <v/>
      </c>
      <c r="Y386" s="144" t="str">
        <f>IF(分析!T386&lt;&gt;"",分析!T386,"")</f>
        <v/>
      </c>
      <c r="Z386" s="145" t="str">
        <f>IF(分析!Y386&lt;&gt;"",分析!Y386,"")</f>
        <v/>
      </c>
    </row>
    <row r="387" spans="1:26" ht="21.9" customHeight="1">
      <c r="A387" s="146" t="str">
        <f>IF(分析!C387&lt;&gt;"",ROW()-2,"")</f>
        <v/>
      </c>
      <c r="B387" s="147" t="str">
        <f>IF(分析!C387&lt;&gt;"",HYPERLINK("https://kabutan.jp/stock/?code="&amp;分析!C387,"株探"),"")</f>
        <v/>
      </c>
      <c r="C387" s="148" t="str">
        <f>IF(分析!C387&lt;&gt;"",分析!C387,"")</f>
        <v/>
      </c>
      <c r="D387" s="149" t="str">
        <f>IF(分析!D387&lt;&gt;"",分析!D387,"")</f>
        <v/>
      </c>
      <c r="E387" s="150" t="str">
        <f>IF(分析!E387&lt;&gt;"",分析!E387,"")</f>
        <v/>
      </c>
      <c r="F387" s="151" t="str">
        <f>IF(分析!F387&lt;&gt;"",分析!F387,"")</f>
        <v/>
      </c>
      <c r="G387" s="151" t="str">
        <f>IF(分析!H387&lt;&gt;"",分析!H387,"")</f>
        <v/>
      </c>
      <c r="H387" s="151" t="str">
        <f>IF(分析!I387&lt;&gt;"",分析!I387,"")</f>
        <v/>
      </c>
      <c r="I387" s="151" t="str">
        <f>IF(分析!J387&lt;&gt;"",分析!J387,"")</f>
        <v/>
      </c>
      <c r="J387" s="151" t="str">
        <f>IF(分析!AB387&lt;&gt;"",分析!AB387,"")</f>
        <v/>
      </c>
      <c r="K387" s="151" t="str">
        <f>IF(分析!AC387&lt;&gt;"",分析!AC387,"")</f>
        <v/>
      </c>
      <c r="L387" s="151" t="str">
        <f>IF(分析!K387&lt;&gt;"",分析!K387,"")</f>
        <v/>
      </c>
      <c r="M387" s="146" t="str">
        <f>IF(分析!P387&lt;&gt;"",分析!P387,"")</f>
        <v/>
      </c>
      <c r="N387" s="152" t="str">
        <f>IF(分析!O387&lt;&gt;"",分析!O387,"")</f>
        <v/>
      </c>
      <c r="O387" s="153" t="str">
        <f>IF(分析!X387&lt;&gt;"",分析!X387,"")</f>
        <v/>
      </c>
      <c r="P387" s="154" t="str">
        <f>IF(分析!L387&lt;&gt;"",分析!L387,"")</f>
        <v/>
      </c>
      <c r="Q387" s="151" t="str">
        <f>IF(分析!S387&lt;&gt;"",分析!S387,"")</f>
        <v/>
      </c>
      <c r="R387" s="151" t="str">
        <f>IF(分析!R387&lt;&gt;"",分析!R387,"")</f>
        <v/>
      </c>
      <c r="S387" s="146" t="str">
        <f>IF(分析!AA387&lt;&gt;"",分析!AA387,"")</f>
        <v/>
      </c>
      <c r="T387" s="155" t="str">
        <f>IF(分析!Z387&lt;&gt;"",分析!Z387,"")</f>
        <v/>
      </c>
      <c r="U387" s="146" t="str">
        <f>IF(分析!V387&lt;&gt;"",分析!V387,"")</f>
        <v/>
      </c>
      <c r="V387" s="156" t="str">
        <f>IF(分析!W387&lt;&gt;"",分析!W387,"")</f>
        <v/>
      </c>
      <c r="W387" s="157" t="str">
        <f>IF(分析!AD387&lt;&gt;"",分析!AD387,"")</f>
        <v/>
      </c>
      <c r="X387" s="158" t="str">
        <f>IF(分析!AE387&lt;&gt;"",分析!AE387,"")</f>
        <v/>
      </c>
      <c r="Y387" s="159" t="str">
        <f>IF(分析!T387&lt;&gt;"",分析!T387,"")</f>
        <v/>
      </c>
      <c r="Z387" s="145" t="str">
        <f>IF(分析!Y387&lt;&gt;"",分析!Y387,"")</f>
        <v/>
      </c>
    </row>
    <row r="388" spans="1:26" ht="21.9" customHeight="1">
      <c r="A388" s="131" t="str">
        <f>IF(分析!C388&lt;&gt;"",ROW()-2,"")</f>
        <v/>
      </c>
      <c r="B388" s="132" t="str">
        <f>IF(分析!C388&lt;&gt;"",HYPERLINK("https://kabutan.jp/stock/?code="&amp;分析!C388,"株探"),"")</f>
        <v/>
      </c>
      <c r="C388" s="133" t="str">
        <f>IF(分析!C388&lt;&gt;"",分析!C388,"")</f>
        <v/>
      </c>
      <c r="D388" s="134" t="str">
        <f>IF(分析!D388&lt;&gt;"",分析!D388,"")</f>
        <v/>
      </c>
      <c r="E388" s="135" t="str">
        <f>IF(分析!E388&lt;&gt;"",分析!E388,"")</f>
        <v/>
      </c>
      <c r="F388" s="136" t="str">
        <f>IF(分析!F388&lt;&gt;"",分析!F388,"")</f>
        <v/>
      </c>
      <c r="G388" s="136" t="str">
        <f>IF(分析!H388&lt;&gt;"",分析!H388,"")</f>
        <v/>
      </c>
      <c r="H388" s="136" t="str">
        <f>IF(分析!I388&lt;&gt;"",分析!I388,"")</f>
        <v/>
      </c>
      <c r="I388" s="136" t="str">
        <f>IF(分析!J388&lt;&gt;"",分析!J388,"")</f>
        <v/>
      </c>
      <c r="J388" s="136" t="str">
        <f>IF(分析!AB388&lt;&gt;"",分析!AB388,"")</f>
        <v/>
      </c>
      <c r="K388" s="136" t="str">
        <f>IF(分析!AC388&lt;&gt;"",分析!AC388,"")</f>
        <v/>
      </c>
      <c r="L388" s="136" t="str">
        <f>IF(分析!K388&lt;&gt;"",分析!K388,"")</f>
        <v/>
      </c>
      <c r="M388" s="131" t="str">
        <f>IF(分析!P388&lt;&gt;"",分析!P388,"")</f>
        <v/>
      </c>
      <c r="N388" s="137" t="str">
        <f>IF(分析!O388&lt;&gt;"",分析!O388,"")</f>
        <v/>
      </c>
      <c r="O388" s="138" t="str">
        <f>IF(分析!X388&lt;&gt;"",分析!X388,"")</f>
        <v/>
      </c>
      <c r="P388" s="139" t="str">
        <f>IF(分析!L388&lt;&gt;"",分析!L388,"")</f>
        <v/>
      </c>
      <c r="Q388" s="136" t="str">
        <f>IF(分析!S388&lt;&gt;"",分析!S388,"")</f>
        <v/>
      </c>
      <c r="R388" s="136" t="str">
        <f>IF(分析!R388&lt;&gt;"",分析!R388,"")</f>
        <v/>
      </c>
      <c r="S388" s="131" t="str">
        <f>IF(分析!AA388&lt;&gt;"",分析!AA388,"")</f>
        <v/>
      </c>
      <c r="T388" s="140" t="str">
        <f>IF(分析!Z388&lt;&gt;"",分析!Z388,"")</f>
        <v/>
      </c>
      <c r="U388" s="131" t="str">
        <f>IF(分析!V388&lt;&gt;"",分析!V388,"")</f>
        <v/>
      </c>
      <c r="V388" s="141" t="str">
        <f>IF(分析!W388&lt;&gt;"",分析!W388,"")</f>
        <v/>
      </c>
      <c r="W388" s="142" t="str">
        <f>IF(分析!AD388&lt;&gt;"",分析!AD388,"")</f>
        <v/>
      </c>
      <c r="X388" s="143" t="str">
        <f>IF(分析!AE388&lt;&gt;"",分析!AE388,"")</f>
        <v/>
      </c>
      <c r="Y388" s="144" t="str">
        <f>IF(分析!T388&lt;&gt;"",分析!T388,"")</f>
        <v/>
      </c>
      <c r="Z388" s="145" t="str">
        <f>IF(分析!Y388&lt;&gt;"",分析!Y388,"")</f>
        <v/>
      </c>
    </row>
    <row r="389" spans="1:26" ht="21.9" customHeight="1">
      <c r="A389" s="146" t="str">
        <f>IF(分析!C389&lt;&gt;"",ROW()-2,"")</f>
        <v/>
      </c>
      <c r="B389" s="147" t="str">
        <f>IF(分析!C389&lt;&gt;"",HYPERLINK("https://kabutan.jp/stock/?code="&amp;分析!C389,"株探"),"")</f>
        <v/>
      </c>
      <c r="C389" s="148" t="str">
        <f>IF(分析!C389&lt;&gt;"",分析!C389,"")</f>
        <v/>
      </c>
      <c r="D389" s="149" t="str">
        <f>IF(分析!D389&lt;&gt;"",分析!D389,"")</f>
        <v/>
      </c>
      <c r="E389" s="150" t="str">
        <f>IF(分析!E389&lt;&gt;"",分析!E389,"")</f>
        <v/>
      </c>
      <c r="F389" s="151" t="str">
        <f>IF(分析!F389&lt;&gt;"",分析!F389,"")</f>
        <v/>
      </c>
      <c r="G389" s="151" t="str">
        <f>IF(分析!H389&lt;&gt;"",分析!H389,"")</f>
        <v/>
      </c>
      <c r="H389" s="151" t="str">
        <f>IF(分析!I389&lt;&gt;"",分析!I389,"")</f>
        <v/>
      </c>
      <c r="I389" s="151" t="str">
        <f>IF(分析!J389&lt;&gt;"",分析!J389,"")</f>
        <v/>
      </c>
      <c r="J389" s="151" t="str">
        <f>IF(分析!AB389&lt;&gt;"",分析!AB389,"")</f>
        <v/>
      </c>
      <c r="K389" s="151" t="str">
        <f>IF(分析!AC389&lt;&gt;"",分析!AC389,"")</f>
        <v/>
      </c>
      <c r="L389" s="151" t="str">
        <f>IF(分析!K389&lt;&gt;"",分析!K389,"")</f>
        <v/>
      </c>
      <c r="M389" s="146" t="str">
        <f>IF(分析!P389&lt;&gt;"",分析!P389,"")</f>
        <v/>
      </c>
      <c r="N389" s="152" t="str">
        <f>IF(分析!O389&lt;&gt;"",分析!O389,"")</f>
        <v/>
      </c>
      <c r="O389" s="153" t="str">
        <f>IF(分析!X389&lt;&gt;"",分析!X389,"")</f>
        <v/>
      </c>
      <c r="P389" s="154" t="str">
        <f>IF(分析!L389&lt;&gt;"",分析!L389,"")</f>
        <v/>
      </c>
      <c r="Q389" s="151" t="str">
        <f>IF(分析!S389&lt;&gt;"",分析!S389,"")</f>
        <v/>
      </c>
      <c r="R389" s="151" t="str">
        <f>IF(分析!R389&lt;&gt;"",分析!R389,"")</f>
        <v/>
      </c>
      <c r="S389" s="146" t="str">
        <f>IF(分析!AA389&lt;&gt;"",分析!AA389,"")</f>
        <v/>
      </c>
      <c r="T389" s="155" t="str">
        <f>IF(分析!Z389&lt;&gt;"",分析!Z389,"")</f>
        <v/>
      </c>
      <c r="U389" s="146" t="str">
        <f>IF(分析!V389&lt;&gt;"",分析!V389,"")</f>
        <v/>
      </c>
      <c r="V389" s="156" t="str">
        <f>IF(分析!W389&lt;&gt;"",分析!W389,"")</f>
        <v/>
      </c>
      <c r="W389" s="157" t="str">
        <f>IF(分析!AD389&lt;&gt;"",分析!AD389,"")</f>
        <v/>
      </c>
      <c r="X389" s="158" t="str">
        <f>IF(分析!AE389&lt;&gt;"",分析!AE389,"")</f>
        <v/>
      </c>
      <c r="Y389" s="159" t="str">
        <f>IF(分析!T389&lt;&gt;"",分析!T389,"")</f>
        <v/>
      </c>
      <c r="Z389" s="145" t="str">
        <f>IF(分析!Y389&lt;&gt;"",分析!Y389,"")</f>
        <v/>
      </c>
    </row>
    <row r="390" spans="1:26" ht="21.9" customHeight="1">
      <c r="A390" s="131" t="str">
        <f>IF(分析!C390&lt;&gt;"",ROW()-2,"")</f>
        <v/>
      </c>
      <c r="B390" s="132" t="str">
        <f>IF(分析!C390&lt;&gt;"",HYPERLINK("https://kabutan.jp/stock/?code="&amp;分析!C390,"株探"),"")</f>
        <v/>
      </c>
      <c r="C390" s="133" t="str">
        <f>IF(分析!C390&lt;&gt;"",分析!C390,"")</f>
        <v/>
      </c>
      <c r="D390" s="134" t="str">
        <f>IF(分析!D390&lt;&gt;"",分析!D390,"")</f>
        <v/>
      </c>
      <c r="E390" s="135" t="str">
        <f>IF(分析!E390&lt;&gt;"",分析!E390,"")</f>
        <v/>
      </c>
      <c r="F390" s="136" t="str">
        <f>IF(分析!F390&lt;&gt;"",分析!F390,"")</f>
        <v/>
      </c>
      <c r="G390" s="136" t="str">
        <f>IF(分析!H390&lt;&gt;"",分析!H390,"")</f>
        <v/>
      </c>
      <c r="H390" s="136" t="str">
        <f>IF(分析!I390&lt;&gt;"",分析!I390,"")</f>
        <v/>
      </c>
      <c r="I390" s="136" t="str">
        <f>IF(分析!J390&lt;&gt;"",分析!J390,"")</f>
        <v/>
      </c>
      <c r="J390" s="136" t="str">
        <f>IF(分析!AB390&lt;&gt;"",分析!AB390,"")</f>
        <v/>
      </c>
      <c r="K390" s="136" t="str">
        <f>IF(分析!AC390&lt;&gt;"",分析!AC390,"")</f>
        <v/>
      </c>
      <c r="L390" s="136" t="str">
        <f>IF(分析!K390&lt;&gt;"",分析!K390,"")</f>
        <v/>
      </c>
      <c r="M390" s="131" t="str">
        <f>IF(分析!P390&lt;&gt;"",分析!P390,"")</f>
        <v/>
      </c>
      <c r="N390" s="137" t="str">
        <f>IF(分析!O390&lt;&gt;"",分析!O390,"")</f>
        <v/>
      </c>
      <c r="O390" s="138" t="str">
        <f>IF(分析!X390&lt;&gt;"",分析!X390,"")</f>
        <v/>
      </c>
      <c r="P390" s="139" t="str">
        <f>IF(分析!L390&lt;&gt;"",分析!L390,"")</f>
        <v/>
      </c>
      <c r="Q390" s="136" t="str">
        <f>IF(分析!S390&lt;&gt;"",分析!S390,"")</f>
        <v/>
      </c>
      <c r="R390" s="136" t="str">
        <f>IF(分析!R390&lt;&gt;"",分析!R390,"")</f>
        <v/>
      </c>
      <c r="S390" s="131" t="str">
        <f>IF(分析!AA390&lt;&gt;"",分析!AA390,"")</f>
        <v/>
      </c>
      <c r="T390" s="140" t="str">
        <f>IF(分析!Z390&lt;&gt;"",分析!Z390,"")</f>
        <v/>
      </c>
      <c r="U390" s="131" t="str">
        <f>IF(分析!V390&lt;&gt;"",分析!V390,"")</f>
        <v/>
      </c>
      <c r="V390" s="141" t="str">
        <f>IF(分析!W390&lt;&gt;"",分析!W390,"")</f>
        <v/>
      </c>
      <c r="W390" s="142" t="str">
        <f>IF(分析!AD390&lt;&gt;"",分析!AD390,"")</f>
        <v/>
      </c>
      <c r="X390" s="143" t="str">
        <f>IF(分析!AE390&lt;&gt;"",分析!AE390,"")</f>
        <v/>
      </c>
      <c r="Y390" s="144" t="str">
        <f>IF(分析!T390&lt;&gt;"",分析!T390,"")</f>
        <v/>
      </c>
      <c r="Z390" s="145" t="str">
        <f>IF(分析!Y390&lt;&gt;"",分析!Y390,"")</f>
        <v/>
      </c>
    </row>
    <row r="391" spans="1:26" ht="21.9" customHeight="1">
      <c r="A391" s="146" t="str">
        <f>IF(分析!C391&lt;&gt;"",ROW()-2,"")</f>
        <v/>
      </c>
      <c r="B391" s="147" t="str">
        <f>IF(分析!C391&lt;&gt;"",HYPERLINK("https://kabutan.jp/stock/?code="&amp;分析!C391,"株探"),"")</f>
        <v/>
      </c>
      <c r="C391" s="148" t="str">
        <f>IF(分析!C391&lt;&gt;"",分析!C391,"")</f>
        <v/>
      </c>
      <c r="D391" s="149" t="str">
        <f>IF(分析!D391&lt;&gt;"",分析!D391,"")</f>
        <v/>
      </c>
      <c r="E391" s="150" t="str">
        <f>IF(分析!E391&lt;&gt;"",分析!E391,"")</f>
        <v/>
      </c>
      <c r="F391" s="151" t="str">
        <f>IF(分析!F391&lt;&gt;"",分析!F391,"")</f>
        <v/>
      </c>
      <c r="G391" s="151" t="str">
        <f>IF(分析!H391&lt;&gt;"",分析!H391,"")</f>
        <v/>
      </c>
      <c r="H391" s="151" t="str">
        <f>IF(分析!I391&lt;&gt;"",分析!I391,"")</f>
        <v/>
      </c>
      <c r="I391" s="151" t="str">
        <f>IF(分析!J391&lt;&gt;"",分析!J391,"")</f>
        <v/>
      </c>
      <c r="J391" s="151" t="str">
        <f>IF(分析!AB391&lt;&gt;"",分析!AB391,"")</f>
        <v/>
      </c>
      <c r="K391" s="151" t="str">
        <f>IF(分析!AC391&lt;&gt;"",分析!AC391,"")</f>
        <v/>
      </c>
      <c r="L391" s="151" t="str">
        <f>IF(分析!K391&lt;&gt;"",分析!K391,"")</f>
        <v/>
      </c>
      <c r="M391" s="146" t="str">
        <f>IF(分析!P391&lt;&gt;"",分析!P391,"")</f>
        <v/>
      </c>
      <c r="N391" s="152" t="str">
        <f>IF(分析!O391&lt;&gt;"",分析!O391,"")</f>
        <v/>
      </c>
      <c r="O391" s="153" t="str">
        <f>IF(分析!X391&lt;&gt;"",分析!X391,"")</f>
        <v/>
      </c>
      <c r="P391" s="154" t="str">
        <f>IF(分析!L391&lt;&gt;"",分析!L391,"")</f>
        <v/>
      </c>
      <c r="Q391" s="151" t="str">
        <f>IF(分析!S391&lt;&gt;"",分析!S391,"")</f>
        <v/>
      </c>
      <c r="R391" s="151" t="str">
        <f>IF(分析!R391&lt;&gt;"",分析!R391,"")</f>
        <v/>
      </c>
      <c r="S391" s="146" t="str">
        <f>IF(分析!AA391&lt;&gt;"",分析!AA391,"")</f>
        <v/>
      </c>
      <c r="T391" s="155" t="str">
        <f>IF(分析!Z391&lt;&gt;"",分析!Z391,"")</f>
        <v/>
      </c>
      <c r="U391" s="146" t="str">
        <f>IF(分析!V391&lt;&gt;"",分析!V391,"")</f>
        <v/>
      </c>
      <c r="V391" s="156" t="str">
        <f>IF(分析!W391&lt;&gt;"",分析!W391,"")</f>
        <v/>
      </c>
      <c r="W391" s="157" t="str">
        <f>IF(分析!AD391&lt;&gt;"",分析!AD391,"")</f>
        <v/>
      </c>
      <c r="X391" s="158" t="str">
        <f>IF(分析!AE391&lt;&gt;"",分析!AE391,"")</f>
        <v/>
      </c>
      <c r="Y391" s="159" t="str">
        <f>IF(分析!T391&lt;&gt;"",分析!T391,"")</f>
        <v/>
      </c>
      <c r="Z391" s="145" t="str">
        <f>IF(分析!Y391&lt;&gt;"",分析!Y391,"")</f>
        <v/>
      </c>
    </row>
    <row r="392" spans="1:26" ht="21.9" customHeight="1">
      <c r="A392" s="131" t="str">
        <f>IF(分析!C392&lt;&gt;"",ROW()-2,"")</f>
        <v/>
      </c>
      <c r="B392" s="132" t="str">
        <f>IF(分析!C392&lt;&gt;"",HYPERLINK("https://kabutan.jp/stock/?code="&amp;分析!C392,"株探"),"")</f>
        <v/>
      </c>
      <c r="C392" s="133" t="str">
        <f>IF(分析!C392&lt;&gt;"",分析!C392,"")</f>
        <v/>
      </c>
      <c r="D392" s="134" t="str">
        <f>IF(分析!D392&lt;&gt;"",分析!D392,"")</f>
        <v/>
      </c>
      <c r="E392" s="135" t="str">
        <f>IF(分析!E392&lt;&gt;"",分析!E392,"")</f>
        <v/>
      </c>
      <c r="F392" s="136" t="str">
        <f>IF(分析!F392&lt;&gt;"",分析!F392,"")</f>
        <v/>
      </c>
      <c r="G392" s="136" t="str">
        <f>IF(分析!H392&lt;&gt;"",分析!H392,"")</f>
        <v/>
      </c>
      <c r="H392" s="136" t="str">
        <f>IF(分析!I392&lt;&gt;"",分析!I392,"")</f>
        <v/>
      </c>
      <c r="I392" s="136" t="str">
        <f>IF(分析!J392&lt;&gt;"",分析!J392,"")</f>
        <v/>
      </c>
      <c r="J392" s="136" t="str">
        <f>IF(分析!AB392&lt;&gt;"",分析!AB392,"")</f>
        <v/>
      </c>
      <c r="K392" s="136" t="str">
        <f>IF(分析!AC392&lt;&gt;"",分析!AC392,"")</f>
        <v/>
      </c>
      <c r="L392" s="136" t="str">
        <f>IF(分析!K392&lt;&gt;"",分析!K392,"")</f>
        <v/>
      </c>
      <c r="M392" s="131" t="str">
        <f>IF(分析!P392&lt;&gt;"",分析!P392,"")</f>
        <v/>
      </c>
      <c r="N392" s="137" t="str">
        <f>IF(分析!O392&lt;&gt;"",分析!O392,"")</f>
        <v/>
      </c>
      <c r="O392" s="138" t="str">
        <f>IF(分析!X392&lt;&gt;"",分析!X392,"")</f>
        <v/>
      </c>
      <c r="P392" s="139" t="str">
        <f>IF(分析!L392&lt;&gt;"",分析!L392,"")</f>
        <v/>
      </c>
      <c r="Q392" s="136" t="str">
        <f>IF(分析!S392&lt;&gt;"",分析!S392,"")</f>
        <v/>
      </c>
      <c r="R392" s="136" t="str">
        <f>IF(分析!R392&lt;&gt;"",分析!R392,"")</f>
        <v/>
      </c>
      <c r="S392" s="131" t="str">
        <f>IF(分析!AA392&lt;&gt;"",分析!AA392,"")</f>
        <v/>
      </c>
      <c r="T392" s="140" t="str">
        <f>IF(分析!Z392&lt;&gt;"",分析!Z392,"")</f>
        <v/>
      </c>
      <c r="U392" s="131" t="str">
        <f>IF(分析!V392&lt;&gt;"",分析!V392,"")</f>
        <v/>
      </c>
      <c r="V392" s="141" t="str">
        <f>IF(分析!W392&lt;&gt;"",分析!W392,"")</f>
        <v/>
      </c>
      <c r="W392" s="142" t="str">
        <f>IF(分析!AD392&lt;&gt;"",分析!AD392,"")</f>
        <v/>
      </c>
      <c r="X392" s="143" t="str">
        <f>IF(分析!AE392&lt;&gt;"",分析!AE392,"")</f>
        <v/>
      </c>
      <c r="Y392" s="144" t="str">
        <f>IF(分析!T392&lt;&gt;"",分析!T392,"")</f>
        <v/>
      </c>
      <c r="Z392" s="145" t="str">
        <f>IF(分析!Y392&lt;&gt;"",分析!Y392,"")</f>
        <v/>
      </c>
    </row>
    <row r="393" spans="1:26" ht="21.9" customHeight="1">
      <c r="A393" s="146" t="str">
        <f>IF(分析!C393&lt;&gt;"",ROW()-2,"")</f>
        <v/>
      </c>
      <c r="B393" s="147" t="str">
        <f>IF(分析!C393&lt;&gt;"",HYPERLINK("https://kabutan.jp/stock/?code="&amp;分析!C393,"株探"),"")</f>
        <v/>
      </c>
      <c r="C393" s="148" t="str">
        <f>IF(分析!C393&lt;&gt;"",分析!C393,"")</f>
        <v/>
      </c>
      <c r="D393" s="149" t="str">
        <f>IF(分析!D393&lt;&gt;"",分析!D393,"")</f>
        <v/>
      </c>
      <c r="E393" s="150" t="str">
        <f>IF(分析!E393&lt;&gt;"",分析!E393,"")</f>
        <v/>
      </c>
      <c r="F393" s="151" t="str">
        <f>IF(分析!F393&lt;&gt;"",分析!F393,"")</f>
        <v/>
      </c>
      <c r="G393" s="151" t="str">
        <f>IF(分析!H393&lt;&gt;"",分析!H393,"")</f>
        <v/>
      </c>
      <c r="H393" s="151" t="str">
        <f>IF(分析!I393&lt;&gt;"",分析!I393,"")</f>
        <v/>
      </c>
      <c r="I393" s="151" t="str">
        <f>IF(分析!J393&lt;&gt;"",分析!J393,"")</f>
        <v/>
      </c>
      <c r="J393" s="151" t="str">
        <f>IF(分析!AB393&lt;&gt;"",分析!AB393,"")</f>
        <v/>
      </c>
      <c r="K393" s="151" t="str">
        <f>IF(分析!AC393&lt;&gt;"",分析!AC393,"")</f>
        <v/>
      </c>
      <c r="L393" s="151" t="str">
        <f>IF(分析!K393&lt;&gt;"",分析!K393,"")</f>
        <v/>
      </c>
      <c r="M393" s="146" t="str">
        <f>IF(分析!P393&lt;&gt;"",分析!P393,"")</f>
        <v/>
      </c>
      <c r="N393" s="152" t="str">
        <f>IF(分析!O393&lt;&gt;"",分析!O393,"")</f>
        <v/>
      </c>
      <c r="O393" s="153" t="str">
        <f>IF(分析!X393&lt;&gt;"",分析!X393,"")</f>
        <v/>
      </c>
      <c r="P393" s="154" t="str">
        <f>IF(分析!L393&lt;&gt;"",分析!L393,"")</f>
        <v/>
      </c>
      <c r="Q393" s="151" t="str">
        <f>IF(分析!S393&lt;&gt;"",分析!S393,"")</f>
        <v/>
      </c>
      <c r="R393" s="151" t="str">
        <f>IF(分析!R393&lt;&gt;"",分析!R393,"")</f>
        <v/>
      </c>
      <c r="S393" s="146" t="str">
        <f>IF(分析!AA393&lt;&gt;"",分析!AA393,"")</f>
        <v/>
      </c>
      <c r="T393" s="155" t="str">
        <f>IF(分析!Z393&lt;&gt;"",分析!Z393,"")</f>
        <v/>
      </c>
      <c r="U393" s="146" t="str">
        <f>IF(分析!V393&lt;&gt;"",分析!V393,"")</f>
        <v/>
      </c>
      <c r="V393" s="156" t="str">
        <f>IF(分析!W393&lt;&gt;"",分析!W393,"")</f>
        <v/>
      </c>
      <c r="W393" s="157" t="str">
        <f>IF(分析!AD393&lt;&gt;"",分析!AD393,"")</f>
        <v/>
      </c>
      <c r="X393" s="158" t="str">
        <f>IF(分析!AE393&lt;&gt;"",分析!AE393,"")</f>
        <v/>
      </c>
      <c r="Y393" s="159" t="str">
        <f>IF(分析!T393&lt;&gt;"",分析!T393,"")</f>
        <v/>
      </c>
      <c r="Z393" s="145" t="str">
        <f>IF(分析!Y393&lt;&gt;"",分析!Y393,"")</f>
        <v/>
      </c>
    </row>
    <row r="394" spans="1:26" ht="21.9" customHeight="1">
      <c r="A394" s="131" t="str">
        <f>IF(分析!C394&lt;&gt;"",ROW()-2,"")</f>
        <v/>
      </c>
      <c r="B394" s="132" t="str">
        <f>IF(分析!C394&lt;&gt;"",HYPERLINK("https://kabutan.jp/stock/?code="&amp;分析!C394,"株探"),"")</f>
        <v/>
      </c>
      <c r="C394" s="133" t="str">
        <f>IF(分析!C394&lt;&gt;"",分析!C394,"")</f>
        <v/>
      </c>
      <c r="D394" s="134" t="str">
        <f>IF(分析!D394&lt;&gt;"",分析!D394,"")</f>
        <v/>
      </c>
      <c r="E394" s="135" t="str">
        <f>IF(分析!E394&lt;&gt;"",分析!E394,"")</f>
        <v/>
      </c>
      <c r="F394" s="136" t="str">
        <f>IF(分析!F394&lt;&gt;"",分析!F394,"")</f>
        <v/>
      </c>
      <c r="G394" s="136" t="str">
        <f>IF(分析!H394&lt;&gt;"",分析!H394,"")</f>
        <v/>
      </c>
      <c r="H394" s="136" t="str">
        <f>IF(分析!I394&lt;&gt;"",分析!I394,"")</f>
        <v/>
      </c>
      <c r="I394" s="136" t="str">
        <f>IF(分析!J394&lt;&gt;"",分析!J394,"")</f>
        <v/>
      </c>
      <c r="J394" s="136" t="str">
        <f>IF(分析!AB394&lt;&gt;"",分析!AB394,"")</f>
        <v/>
      </c>
      <c r="K394" s="136" t="str">
        <f>IF(分析!AC394&lt;&gt;"",分析!AC394,"")</f>
        <v/>
      </c>
      <c r="L394" s="136" t="str">
        <f>IF(分析!K394&lt;&gt;"",分析!K394,"")</f>
        <v/>
      </c>
      <c r="M394" s="131" t="str">
        <f>IF(分析!P394&lt;&gt;"",分析!P394,"")</f>
        <v/>
      </c>
      <c r="N394" s="137" t="str">
        <f>IF(分析!O394&lt;&gt;"",分析!O394,"")</f>
        <v/>
      </c>
      <c r="O394" s="138" t="str">
        <f>IF(分析!X394&lt;&gt;"",分析!X394,"")</f>
        <v/>
      </c>
      <c r="P394" s="139" t="str">
        <f>IF(分析!L394&lt;&gt;"",分析!L394,"")</f>
        <v/>
      </c>
      <c r="Q394" s="136" t="str">
        <f>IF(分析!S394&lt;&gt;"",分析!S394,"")</f>
        <v/>
      </c>
      <c r="R394" s="136" t="str">
        <f>IF(分析!R394&lt;&gt;"",分析!R394,"")</f>
        <v/>
      </c>
      <c r="S394" s="131" t="str">
        <f>IF(分析!AA394&lt;&gt;"",分析!AA394,"")</f>
        <v/>
      </c>
      <c r="T394" s="140" t="str">
        <f>IF(分析!Z394&lt;&gt;"",分析!Z394,"")</f>
        <v/>
      </c>
      <c r="U394" s="131" t="str">
        <f>IF(分析!V394&lt;&gt;"",分析!V394,"")</f>
        <v/>
      </c>
      <c r="V394" s="141" t="str">
        <f>IF(分析!W394&lt;&gt;"",分析!W394,"")</f>
        <v/>
      </c>
      <c r="W394" s="142" t="str">
        <f>IF(分析!AD394&lt;&gt;"",分析!AD394,"")</f>
        <v/>
      </c>
      <c r="X394" s="143" t="str">
        <f>IF(分析!AE394&lt;&gt;"",分析!AE394,"")</f>
        <v/>
      </c>
      <c r="Y394" s="144" t="str">
        <f>IF(分析!T394&lt;&gt;"",分析!T394,"")</f>
        <v/>
      </c>
      <c r="Z394" s="145" t="str">
        <f>IF(分析!Y394&lt;&gt;"",分析!Y394,"")</f>
        <v/>
      </c>
    </row>
    <row r="395" spans="1:26" ht="21.9" customHeight="1">
      <c r="A395" s="146" t="str">
        <f>IF(分析!C395&lt;&gt;"",ROW()-2,"")</f>
        <v/>
      </c>
      <c r="B395" s="147" t="str">
        <f>IF(分析!C395&lt;&gt;"",HYPERLINK("https://kabutan.jp/stock/?code="&amp;分析!C395,"株探"),"")</f>
        <v/>
      </c>
      <c r="C395" s="148" t="str">
        <f>IF(分析!C395&lt;&gt;"",分析!C395,"")</f>
        <v/>
      </c>
      <c r="D395" s="149" t="str">
        <f>IF(分析!D395&lt;&gt;"",分析!D395,"")</f>
        <v/>
      </c>
      <c r="E395" s="150" t="str">
        <f>IF(分析!E395&lt;&gt;"",分析!E395,"")</f>
        <v/>
      </c>
      <c r="F395" s="151" t="str">
        <f>IF(分析!F395&lt;&gt;"",分析!F395,"")</f>
        <v/>
      </c>
      <c r="G395" s="151" t="str">
        <f>IF(分析!H395&lt;&gt;"",分析!H395,"")</f>
        <v/>
      </c>
      <c r="H395" s="151" t="str">
        <f>IF(分析!I395&lt;&gt;"",分析!I395,"")</f>
        <v/>
      </c>
      <c r="I395" s="151" t="str">
        <f>IF(分析!J395&lt;&gt;"",分析!J395,"")</f>
        <v/>
      </c>
      <c r="J395" s="151" t="str">
        <f>IF(分析!AB395&lt;&gt;"",分析!AB395,"")</f>
        <v/>
      </c>
      <c r="K395" s="151" t="str">
        <f>IF(分析!AC395&lt;&gt;"",分析!AC395,"")</f>
        <v/>
      </c>
      <c r="L395" s="151" t="str">
        <f>IF(分析!K395&lt;&gt;"",分析!K395,"")</f>
        <v/>
      </c>
      <c r="M395" s="146" t="str">
        <f>IF(分析!P395&lt;&gt;"",分析!P395,"")</f>
        <v/>
      </c>
      <c r="N395" s="152" t="str">
        <f>IF(分析!O395&lt;&gt;"",分析!O395,"")</f>
        <v/>
      </c>
      <c r="O395" s="153" t="str">
        <f>IF(分析!X395&lt;&gt;"",分析!X395,"")</f>
        <v/>
      </c>
      <c r="P395" s="154" t="str">
        <f>IF(分析!L395&lt;&gt;"",分析!L395,"")</f>
        <v/>
      </c>
      <c r="Q395" s="151" t="str">
        <f>IF(分析!S395&lt;&gt;"",分析!S395,"")</f>
        <v/>
      </c>
      <c r="R395" s="151" t="str">
        <f>IF(分析!R395&lt;&gt;"",分析!R395,"")</f>
        <v/>
      </c>
      <c r="S395" s="146" t="str">
        <f>IF(分析!AA395&lt;&gt;"",分析!AA395,"")</f>
        <v/>
      </c>
      <c r="T395" s="155" t="str">
        <f>IF(分析!Z395&lt;&gt;"",分析!Z395,"")</f>
        <v/>
      </c>
      <c r="U395" s="146" t="str">
        <f>IF(分析!V395&lt;&gt;"",分析!V395,"")</f>
        <v/>
      </c>
      <c r="V395" s="156" t="str">
        <f>IF(分析!W395&lt;&gt;"",分析!W395,"")</f>
        <v/>
      </c>
      <c r="W395" s="157" t="str">
        <f>IF(分析!AD395&lt;&gt;"",分析!AD395,"")</f>
        <v/>
      </c>
      <c r="X395" s="158" t="str">
        <f>IF(分析!AE395&lt;&gt;"",分析!AE395,"")</f>
        <v/>
      </c>
      <c r="Y395" s="159" t="str">
        <f>IF(分析!T395&lt;&gt;"",分析!T395,"")</f>
        <v/>
      </c>
      <c r="Z395" s="145" t="str">
        <f>IF(分析!Y395&lt;&gt;"",分析!Y395,"")</f>
        <v/>
      </c>
    </row>
    <row r="396" spans="1:26" ht="21.9" customHeight="1">
      <c r="A396" s="131" t="str">
        <f>IF(分析!C396&lt;&gt;"",ROW()-2,"")</f>
        <v/>
      </c>
      <c r="B396" s="132" t="str">
        <f>IF(分析!C396&lt;&gt;"",HYPERLINK("https://kabutan.jp/stock/?code="&amp;分析!C396,"株探"),"")</f>
        <v/>
      </c>
      <c r="C396" s="133" t="str">
        <f>IF(分析!C396&lt;&gt;"",分析!C396,"")</f>
        <v/>
      </c>
      <c r="D396" s="134" t="str">
        <f>IF(分析!D396&lt;&gt;"",分析!D396,"")</f>
        <v/>
      </c>
      <c r="E396" s="135" t="str">
        <f>IF(分析!E396&lt;&gt;"",分析!E396,"")</f>
        <v/>
      </c>
      <c r="F396" s="136" t="str">
        <f>IF(分析!F396&lt;&gt;"",分析!F396,"")</f>
        <v/>
      </c>
      <c r="G396" s="136" t="str">
        <f>IF(分析!H396&lt;&gt;"",分析!H396,"")</f>
        <v/>
      </c>
      <c r="H396" s="136" t="str">
        <f>IF(分析!I396&lt;&gt;"",分析!I396,"")</f>
        <v/>
      </c>
      <c r="I396" s="136" t="str">
        <f>IF(分析!J396&lt;&gt;"",分析!J396,"")</f>
        <v/>
      </c>
      <c r="J396" s="136" t="str">
        <f>IF(分析!AB396&lt;&gt;"",分析!AB396,"")</f>
        <v/>
      </c>
      <c r="K396" s="136" t="str">
        <f>IF(分析!AC396&lt;&gt;"",分析!AC396,"")</f>
        <v/>
      </c>
      <c r="L396" s="136" t="str">
        <f>IF(分析!K396&lt;&gt;"",分析!K396,"")</f>
        <v/>
      </c>
      <c r="M396" s="131" t="str">
        <f>IF(分析!P396&lt;&gt;"",分析!P396,"")</f>
        <v/>
      </c>
      <c r="N396" s="137" t="str">
        <f>IF(分析!O396&lt;&gt;"",分析!O396,"")</f>
        <v/>
      </c>
      <c r="O396" s="138" t="str">
        <f>IF(分析!X396&lt;&gt;"",分析!X396,"")</f>
        <v/>
      </c>
      <c r="P396" s="139" t="str">
        <f>IF(分析!L396&lt;&gt;"",分析!L396,"")</f>
        <v/>
      </c>
      <c r="Q396" s="136" t="str">
        <f>IF(分析!S396&lt;&gt;"",分析!S396,"")</f>
        <v/>
      </c>
      <c r="R396" s="136" t="str">
        <f>IF(分析!R396&lt;&gt;"",分析!R396,"")</f>
        <v/>
      </c>
      <c r="S396" s="131" t="str">
        <f>IF(分析!AA396&lt;&gt;"",分析!AA396,"")</f>
        <v/>
      </c>
      <c r="T396" s="140" t="str">
        <f>IF(分析!Z396&lt;&gt;"",分析!Z396,"")</f>
        <v/>
      </c>
      <c r="U396" s="131" t="str">
        <f>IF(分析!V396&lt;&gt;"",分析!V396,"")</f>
        <v/>
      </c>
      <c r="V396" s="141" t="str">
        <f>IF(分析!W396&lt;&gt;"",分析!W396,"")</f>
        <v/>
      </c>
      <c r="W396" s="142" t="str">
        <f>IF(分析!AD396&lt;&gt;"",分析!AD396,"")</f>
        <v/>
      </c>
      <c r="X396" s="143" t="str">
        <f>IF(分析!AE396&lt;&gt;"",分析!AE396,"")</f>
        <v/>
      </c>
      <c r="Y396" s="144" t="str">
        <f>IF(分析!T396&lt;&gt;"",分析!T396,"")</f>
        <v/>
      </c>
      <c r="Z396" s="145" t="str">
        <f>IF(分析!Y396&lt;&gt;"",分析!Y396,"")</f>
        <v/>
      </c>
    </row>
    <row r="397" spans="1:26" ht="21.9" customHeight="1">
      <c r="A397" s="146" t="str">
        <f>IF(分析!C397&lt;&gt;"",ROW()-2,"")</f>
        <v/>
      </c>
      <c r="B397" s="147" t="str">
        <f>IF(分析!C397&lt;&gt;"",HYPERLINK("https://kabutan.jp/stock/?code="&amp;分析!C397,"株探"),"")</f>
        <v/>
      </c>
      <c r="C397" s="148" t="str">
        <f>IF(分析!C397&lt;&gt;"",分析!C397,"")</f>
        <v/>
      </c>
      <c r="D397" s="149" t="str">
        <f>IF(分析!D397&lt;&gt;"",分析!D397,"")</f>
        <v/>
      </c>
      <c r="E397" s="150" t="str">
        <f>IF(分析!E397&lt;&gt;"",分析!E397,"")</f>
        <v/>
      </c>
      <c r="F397" s="151" t="str">
        <f>IF(分析!F397&lt;&gt;"",分析!F397,"")</f>
        <v/>
      </c>
      <c r="G397" s="151" t="str">
        <f>IF(分析!H397&lt;&gt;"",分析!H397,"")</f>
        <v/>
      </c>
      <c r="H397" s="151" t="str">
        <f>IF(分析!I397&lt;&gt;"",分析!I397,"")</f>
        <v/>
      </c>
      <c r="I397" s="151" t="str">
        <f>IF(分析!J397&lt;&gt;"",分析!J397,"")</f>
        <v/>
      </c>
      <c r="J397" s="151" t="str">
        <f>IF(分析!AB397&lt;&gt;"",分析!AB397,"")</f>
        <v/>
      </c>
      <c r="K397" s="151" t="str">
        <f>IF(分析!AC397&lt;&gt;"",分析!AC397,"")</f>
        <v/>
      </c>
      <c r="L397" s="151" t="str">
        <f>IF(分析!K397&lt;&gt;"",分析!K397,"")</f>
        <v/>
      </c>
      <c r="M397" s="146" t="str">
        <f>IF(分析!P397&lt;&gt;"",分析!P397,"")</f>
        <v/>
      </c>
      <c r="N397" s="152" t="str">
        <f>IF(分析!O397&lt;&gt;"",分析!O397,"")</f>
        <v/>
      </c>
      <c r="O397" s="153" t="str">
        <f>IF(分析!X397&lt;&gt;"",分析!X397,"")</f>
        <v/>
      </c>
      <c r="P397" s="154" t="str">
        <f>IF(分析!L397&lt;&gt;"",分析!L397,"")</f>
        <v/>
      </c>
      <c r="Q397" s="151" t="str">
        <f>IF(分析!S397&lt;&gt;"",分析!S397,"")</f>
        <v/>
      </c>
      <c r="R397" s="151" t="str">
        <f>IF(分析!R397&lt;&gt;"",分析!R397,"")</f>
        <v/>
      </c>
      <c r="S397" s="146" t="str">
        <f>IF(分析!AA397&lt;&gt;"",分析!AA397,"")</f>
        <v/>
      </c>
      <c r="T397" s="155" t="str">
        <f>IF(分析!Z397&lt;&gt;"",分析!Z397,"")</f>
        <v/>
      </c>
      <c r="U397" s="146" t="str">
        <f>IF(分析!V397&lt;&gt;"",分析!V397,"")</f>
        <v/>
      </c>
      <c r="V397" s="156" t="str">
        <f>IF(分析!W397&lt;&gt;"",分析!W397,"")</f>
        <v/>
      </c>
      <c r="W397" s="157" t="str">
        <f>IF(分析!AD397&lt;&gt;"",分析!AD397,"")</f>
        <v/>
      </c>
      <c r="X397" s="158" t="str">
        <f>IF(分析!AE397&lt;&gt;"",分析!AE397,"")</f>
        <v/>
      </c>
      <c r="Y397" s="159" t="str">
        <f>IF(分析!T397&lt;&gt;"",分析!T397,"")</f>
        <v/>
      </c>
      <c r="Z397" s="145" t="str">
        <f>IF(分析!Y397&lt;&gt;"",分析!Y397,"")</f>
        <v/>
      </c>
    </row>
    <row r="398" spans="1:26" ht="21.9" customHeight="1">
      <c r="A398" s="131" t="str">
        <f>IF(分析!C398&lt;&gt;"",ROW()-2,"")</f>
        <v/>
      </c>
      <c r="B398" s="132" t="str">
        <f>IF(分析!C398&lt;&gt;"",HYPERLINK("https://kabutan.jp/stock/?code="&amp;分析!C398,"株探"),"")</f>
        <v/>
      </c>
      <c r="C398" s="133" t="str">
        <f>IF(分析!C398&lt;&gt;"",分析!C398,"")</f>
        <v/>
      </c>
      <c r="D398" s="134" t="str">
        <f>IF(分析!D398&lt;&gt;"",分析!D398,"")</f>
        <v/>
      </c>
      <c r="E398" s="135" t="str">
        <f>IF(分析!E398&lt;&gt;"",分析!E398,"")</f>
        <v/>
      </c>
      <c r="F398" s="136" t="str">
        <f>IF(分析!F398&lt;&gt;"",分析!F398,"")</f>
        <v/>
      </c>
      <c r="G398" s="136" t="str">
        <f>IF(分析!H398&lt;&gt;"",分析!H398,"")</f>
        <v/>
      </c>
      <c r="H398" s="136" t="str">
        <f>IF(分析!I398&lt;&gt;"",分析!I398,"")</f>
        <v/>
      </c>
      <c r="I398" s="136" t="str">
        <f>IF(分析!J398&lt;&gt;"",分析!J398,"")</f>
        <v/>
      </c>
      <c r="J398" s="136" t="str">
        <f>IF(分析!AB398&lt;&gt;"",分析!AB398,"")</f>
        <v/>
      </c>
      <c r="K398" s="136" t="str">
        <f>IF(分析!AC398&lt;&gt;"",分析!AC398,"")</f>
        <v/>
      </c>
      <c r="L398" s="136" t="str">
        <f>IF(分析!K398&lt;&gt;"",分析!K398,"")</f>
        <v/>
      </c>
      <c r="M398" s="131" t="str">
        <f>IF(分析!P398&lt;&gt;"",分析!P398,"")</f>
        <v/>
      </c>
      <c r="N398" s="137" t="str">
        <f>IF(分析!O398&lt;&gt;"",分析!O398,"")</f>
        <v/>
      </c>
      <c r="O398" s="138" t="str">
        <f>IF(分析!X398&lt;&gt;"",分析!X398,"")</f>
        <v/>
      </c>
      <c r="P398" s="139" t="str">
        <f>IF(分析!L398&lt;&gt;"",分析!L398,"")</f>
        <v/>
      </c>
      <c r="Q398" s="136" t="str">
        <f>IF(分析!S398&lt;&gt;"",分析!S398,"")</f>
        <v/>
      </c>
      <c r="R398" s="136" t="str">
        <f>IF(分析!R398&lt;&gt;"",分析!R398,"")</f>
        <v/>
      </c>
      <c r="S398" s="131" t="str">
        <f>IF(分析!AA398&lt;&gt;"",分析!AA398,"")</f>
        <v/>
      </c>
      <c r="T398" s="140" t="str">
        <f>IF(分析!Z398&lt;&gt;"",分析!Z398,"")</f>
        <v/>
      </c>
      <c r="U398" s="131" t="str">
        <f>IF(分析!V398&lt;&gt;"",分析!V398,"")</f>
        <v/>
      </c>
      <c r="V398" s="141" t="str">
        <f>IF(分析!W398&lt;&gt;"",分析!W398,"")</f>
        <v/>
      </c>
      <c r="W398" s="142" t="str">
        <f>IF(分析!AD398&lt;&gt;"",分析!AD398,"")</f>
        <v/>
      </c>
      <c r="X398" s="143" t="str">
        <f>IF(分析!AE398&lt;&gt;"",分析!AE398,"")</f>
        <v/>
      </c>
      <c r="Y398" s="144" t="str">
        <f>IF(分析!T398&lt;&gt;"",分析!T398,"")</f>
        <v/>
      </c>
      <c r="Z398" s="145" t="str">
        <f>IF(分析!Y398&lt;&gt;"",分析!Y398,"")</f>
        <v/>
      </c>
    </row>
    <row r="399" spans="1:26" ht="21.9" customHeight="1">
      <c r="A399" s="146" t="str">
        <f>IF(分析!C399&lt;&gt;"",ROW()-2,"")</f>
        <v/>
      </c>
      <c r="B399" s="147" t="str">
        <f>IF(分析!C399&lt;&gt;"",HYPERLINK("https://kabutan.jp/stock/?code="&amp;分析!C399,"株探"),"")</f>
        <v/>
      </c>
      <c r="C399" s="148" t="str">
        <f>IF(分析!C399&lt;&gt;"",分析!C399,"")</f>
        <v/>
      </c>
      <c r="D399" s="149" t="str">
        <f>IF(分析!D399&lt;&gt;"",分析!D399,"")</f>
        <v/>
      </c>
      <c r="E399" s="150" t="str">
        <f>IF(分析!E399&lt;&gt;"",分析!E399,"")</f>
        <v/>
      </c>
      <c r="F399" s="151" t="str">
        <f>IF(分析!F399&lt;&gt;"",分析!F399,"")</f>
        <v/>
      </c>
      <c r="G399" s="151" t="str">
        <f>IF(分析!H399&lt;&gt;"",分析!H399,"")</f>
        <v/>
      </c>
      <c r="H399" s="151" t="str">
        <f>IF(分析!I399&lt;&gt;"",分析!I399,"")</f>
        <v/>
      </c>
      <c r="I399" s="151" t="str">
        <f>IF(分析!J399&lt;&gt;"",分析!J399,"")</f>
        <v/>
      </c>
      <c r="J399" s="151" t="str">
        <f>IF(分析!AB399&lt;&gt;"",分析!AB399,"")</f>
        <v/>
      </c>
      <c r="K399" s="151" t="str">
        <f>IF(分析!AC399&lt;&gt;"",分析!AC399,"")</f>
        <v/>
      </c>
      <c r="L399" s="151" t="str">
        <f>IF(分析!K399&lt;&gt;"",分析!K399,"")</f>
        <v/>
      </c>
      <c r="M399" s="146" t="str">
        <f>IF(分析!P399&lt;&gt;"",分析!P399,"")</f>
        <v/>
      </c>
      <c r="N399" s="152" t="str">
        <f>IF(分析!O399&lt;&gt;"",分析!O399,"")</f>
        <v/>
      </c>
      <c r="O399" s="153" t="str">
        <f>IF(分析!X399&lt;&gt;"",分析!X399,"")</f>
        <v/>
      </c>
      <c r="P399" s="154" t="str">
        <f>IF(分析!L399&lt;&gt;"",分析!L399,"")</f>
        <v/>
      </c>
      <c r="Q399" s="151" t="str">
        <f>IF(分析!S399&lt;&gt;"",分析!S399,"")</f>
        <v/>
      </c>
      <c r="R399" s="151" t="str">
        <f>IF(分析!R399&lt;&gt;"",分析!R399,"")</f>
        <v/>
      </c>
      <c r="S399" s="146" t="str">
        <f>IF(分析!AA399&lt;&gt;"",分析!AA399,"")</f>
        <v/>
      </c>
      <c r="T399" s="155" t="str">
        <f>IF(分析!Z399&lt;&gt;"",分析!Z399,"")</f>
        <v/>
      </c>
      <c r="U399" s="146" t="str">
        <f>IF(分析!V399&lt;&gt;"",分析!V399,"")</f>
        <v/>
      </c>
      <c r="V399" s="156" t="str">
        <f>IF(分析!W399&lt;&gt;"",分析!W399,"")</f>
        <v/>
      </c>
      <c r="W399" s="157" t="str">
        <f>IF(分析!AD399&lt;&gt;"",分析!AD399,"")</f>
        <v/>
      </c>
      <c r="X399" s="158" t="str">
        <f>IF(分析!AE399&lt;&gt;"",分析!AE399,"")</f>
        <v/>
      </c>
      <c r="Y399" s="159" t="str">
        <f>IF(分析!T399&lt;&gt;"",分析!T399,"")</f>
        <v/>
      </c>
      <c r="Z399" s="145" t="str">
        <f>IF(分析!Y399&lt;&gt;"",分析!Y399,"")</f>
        <v/>
      </c>
    </row>
    <row r="400" spans="1:26" ht="21.9" customHeight="1">
      <c r="A400" s="131" t="str">
        <f>IF(分析!C400&lt;&gt;"",ROW()-2,"")</f>
        <v/>
      </c>
      <c r="B400" s="132" t="str">
        <f>IF(分析!C400&lt;&gt;"",HYPERLINK("https://kabutan.jp/stock/?code="&amp;分析!C400,"株探"),"")</f>
        <v/>
      </c>
      <c r="C400" s="133" t="str">
        <f>IF(分析!C400&lt;&gt;"",分析!C400,"")</f>
        <v/>
      </c>
      <c r="D400" s="134" t="str">
        <f>IF(分析!D400&lt;&gt;"",分析!D400,"")</f>
        <v/>
      </c>
      <c r="E400" s="135" t="str">
        <f>IF(分析!E400&lt;&gt;"",分析!E400,"")</f>
        <v/>
      </c>
      <c r="F400" s="136" t="str">
        <f>IF(分析!F400&lt;&gt;"",分析!F400,"")</f>
        <v/>
      </c>
      <c r="G400" s="136" t="str">
        <f>IF(分析!H400&lt;&gt;"",分析!H400,"")</f>
        <v/>
      </c>
      <c r="H400" s="136" t="str">
        <f>IF(分析!I400&lt;&gt;"",分析!I400,"")</f>
        <v/>
      </c>
      <c r="I400" s="136" t="str">
        <f>IF(分析!J400&lt;&gt;"",分析!J400,"")</f>
        <v/>
      </c>
      <c r="J400" s="136" t="str">
        <f>IF(分析!AB400&lt;&gt;"",分析!AB400,"")</f>
        <v/>
      </c>
      <c r="K400" s="136" t="str">
        <f>IF(分析!AC400&lt;&gt;"",分析!AC400,"")</f>
        <v/>
      </c>
      <c r="L400" s="136" t="str">
        <f>IF(分析!K400&lt;&gt;"",分析!K400,"")</f>
        <v/>
      </c>
      <c r="M400" s="131" t="str">
        <f>IF(分析!P400&lt;&gt;"",分析!P400,"")</f>
        <v/>
      </c>
      <c r="N400" s="137" t="str">
        <f>IF(分析!O400&lt;&gt;"",分析!O400,"")</f>
        <v/>
      </c>
      <c r="O400" s="138" t="str">
        <f>IF(分析!X400&lt;&gt;"",分析!X400,"")</f>
        <v/>
      </c>
      <c r="P400" s="139" t="str">
        <f>IF(分析!L400&lt;&gt;"",分析!L400,"")</f>
        <v/>
      </c>
      <c r="Q400" s="136" t="str">
        <f>IF(分析!S400&lt;&gt;"",分析!S400,"")</f>
        <v/>
      </c>
      <c r="R400" s="136" t="str">
        <f>IF(分析!R400&lt;&gt;"",分析!R400,"")</f>
        <v/>
      </c>
      <c r="S400" s="131" t="str">
        <f>IF(分析!AA400&lt;&gt;"",分析!AA400,"")</f>
        <v/>
      </c>
      <c r="T400" s="140" t="str">
        <f>IF(分析!Z400&lt;&gt;"",分析!Z400,"")</f>
        <v/>
      </c>
      <c r="U400" s="131" t="str">
        <f>IF(分析!V400&lt;&gt;"",分析!V400,"")</f>
        <v/>
      </c>
      <c r="V400" s="141" t="str">
        <f>IF(分析!W400&lt;&gt;"",分析!W400,"")</f>
        <v/>
      </c>
      <c r="W400" s="142" t="str">
        <f>IF(分析!AD400&lt;&gt;"",分析!AD400,"")</f>
        <v/>
      </c>
      <c r="X400" s="143" t="str">
        <f>IF(分析!AE400&lt;&gt;"",分析!AE400,"")</f>
        <v/>
      </c>
      <c r="Y400" s="144" t="str">
        <f>IF(分析!T400&lt;&gt;"",分析!T400,"")</f>
        <v/>
      </c>
      <c r="Z400" s="145" t="str">
        <f>IF(分析!Y400&lt;&gt;"",分析!Y400,"")</f>
        <v/>
      </c>
    </row>
    <row r="401" spans="1:26" ht="21.9" customHeight="1">
      <c r="A401" s="146" t="str">
        <f>IF(分析!C401&lt;&gt;"",ROW()-2,"")</f>
        <v/>
      </c>
      <c r="B401" s="147" t="str">
        <f>IF(分析!C401&lt;&gt;"",HYPERLINK("https://kabutan.jp/stock/?code="&amp;分析!C401,"株探"),"")</f>
        <v/>
      </c>
      <c r="C401" s="148" t="str">
        <f>IF(分析!C401&lt;&gt;"",分析!C401,"")</f>
        <v/>
      </c>
      <c r="D401" s="149" t="str">
        <f>IF(分析!D401&lt;&gt;"",分析!D401,"")</f>
        <v/>
      </c>
      <c r="E401" s="150" t="str">
        <f>IF(分析!E401&lt;&gt;"",分析!E401,"")</f>
        <v/>
      </c>
      <c r="F401" s="151" t="str">
        <f>IF(分析!F401&lt;&gt;"",分析!F401,"")</f>
        <v/>
      </c>
      <c r="G401" s="151" t="str">
        <f>IF(分析!H401&lt;&gt;"",分析!H401,"")</f>
        <v/>
      </c>
      <c r="H401" s="151" t="str">
        <f>IF(分析!I401&lt;&gt;"",分析!I401,"")</f>
        <v/>
      </c>
      <c r="I401" s="151" t="str">
        <f>IF(分析!J401&lt;&gt;"",分析!J401,"")</f>
        <v/>
      </c>
      <c r="J401" s="151" t="str">
        <f>IF(分析!AB401&lt;&gt;"",分析!AB401,"")</f>
        <v/>
      </c>
      <c r="K401" s="151" t="str">
        <f>IF(分析!AC401&lt;&gt;"",分析!AC401,"")</f>
        <v/>
      </c>
      <c r="L401" s="151" t="str">
        <f>IF(分析!K401&lt;&gt;"",分析!K401,"")</f>
        <v/>
      </c>
      <c r="M401" s="146" t="str">
        <f>IF(分析!P401&lt;&gt;"",分析!P401,"")</f>
        <v/>
      </c>
      <c r="N401" s="152" t="str">
        <f>IF(分析!O401&lt;&gt;"",分析!O401,"")</f>
        <v/>
      </c>
      <c r="O401" s="153" t="str">
        <f>IF(分析!X401&lt;&gt;"",分析!X401,"")</f>
        <v/>
      </c>
      <c r="P401" s="154" t="str">
        <f>IF(分析!L401&lt;&gt;"",分析!L401,"")</f>
        <v/>
      </c>
      <c r="Q401" s="151" t="str">
        <f>IF(分析!S401&lt;&gt;"",分析!S401,"")</f>
        <v/>
      </c>
      <c r="R401" s="151" t="str">
        <f>IF(分析!R401&lt;&gt;"",分析!R401,"")</f>
        <v/>
      </c>
      <c r="S401" s="146" t="str">
        <f>IF(分析!AA401&lt;&gt;"",分析!AA401,"")</f>
        <v/>
      </c>
      <c r="T401" s="155" t="str">
        <f>IF(分析!Z401&lt;&gt;"",分析!Z401,"")</f>
        <v/>
      </c>
      <c r="U401" s="146" t="str">
        <f>IF(分析!V401&lt;&gt;"",分析!V401,"")</f>
        <v/>
      </c>
      <c r="V401" s="156" t="str">
        <f>IF(分析!W401&lt;&gt;"",分析!W401,"")</f>
        <v/>
      </c>
      <c r="W401" s="157" t="str">
        <f>IF(分析!AD401&lt;&gt;"",分析!AD401,"")</f>
        <v/>
      </c>
      <c r="X401" s="158" t="str">
        <f>IF(分析!AE401&lt;&gt;"",分析!AE401,"")</f>
        <v/>
      </c>
      <c r="Y401" s="159" t="str">
        <f>IF(分析!T401&lt;&gt;"",分析!T401,"")</f>
        <v/>
      </c>
      <c r="Z401" s="145" t="str">
        <f>IF(分析!Y401&lt;&gt;"",分析!Y401,"")</f>
        <v/>
      </c>
    </row>
    <row r="402" spans="1:26" ht="21.9" customHeight="1">
      <c r="A402" s="131" t="str">
        <f>IF(分析!C402&lt;&gt;"",ROW()-2,"")</f>
        <v/>
      </c>
      <c r="B402" s="132" t="str">
        <f>IF(分析!C402&lt;&gt;"",HYPERLINK("https://kabutan.jp/stock/?code="&amp;分析!C402,"株探"),"")</f>
        <v/>
      </c>
      <c r="C402" s="133" t="str">
        <f>IF(分析!C402&lt;&gt;"",分析!C402,"")</f>
        <v/>
      </c>
      <c r="D402" s="134" t="str">
        <f>IF(分析!D402&lt;&gt;"",分析!D402,"")</f>
        <v/>
      </c>
      <c r="E402" s="135" t="str">
        <f>IF(分析!E402&lt;&gt;"",分析!E402,"")</f>
        <v/>
      </c>
      <c r="F402" s="136" t="str">
        <f>IF(分析!F402&lt;&gt;"",分析!F402,"")</f>
        <v/>
      </c>
      <c r="G402" s="136" t="str">
        <f>IF(分析!H402&lt;&gt;"",分析!H402,"")</f>
        <v/>
      </c>
      <c r="H402" s="136" t="str">
        <f>IF(分析!I402&lt;&gt;"",分析!I402,"")</f>
        <v/>
      </c>
      <c r="I402" s="136" t="str">
        <f>IF(分析!J402&lt;&gt;"",分析!J402,"")</f>
        <v/>
      </c>
      <c r="J402" s="136" t="str">
        <f>IF(分析!AB402&lt;&gt;"",分析!AB402,"")</f>
        <v/>
      </c>
      <c r="K402" s="136" t="str">
        <f>IF(分析!AC402&lt;&gt;"",分析!AC402,"")</f>
        <v/>
      </c>
      <c r="L402" s="136" t="str">
        <f>IF(分析!K402&lt;&gt;"",分析!K402,"")</f>
        <v/>
      </c>
      <c r="M402" s="131" t="str">
        <f>IF(分析!P402&lt;&gt;"",分析!P402,"")</f>
        <v/>
      </c>
      <c r="N402" s="137" t="str">
        <f>IF(分析!O402&lt;&gt;"",分析!O402,"")</f>
        <v/>
      </c>
      <c r="O402" s="138" t="str">
        <f>IF(分析!X402&lt;&gt;"",分析!X402,"")</f>
        <v/>
      </c>
      <c r="P402" s="139" t="str">
        <f>IF(分析!L402&lt;&gt;"",分析!L402,"")</f>
        <v/>
      </c>
      <c r="Q402" s="136" t="str">
        <f>IF(分析!S402&lt;&gt;"",分析!S402,"")</f>
        <v/>
      </c>
      <c r="R402" s="136" t="str">
        <f>IF(分析!R402&lt;&gt;"",分析!R402,"")</f>
        <v/>
      </c>
      <c r="S402" s="131" t="str">
        <f>IF(分析!AA402&lt;&gt;"",分析!AA402,"")</f>
        <v/>
      </c>
      <c r="T402" s="140" t="str">
        <f>IF(分析!Z402&lt;&gt;"",分析!Z402,"")</f>
        <v/>
      </c>
      <c r="U402" s="131" t="str">
        <f>IF(分析!V402&lt;&gt;"",分析!V402,"")</f>
        <v/>
      </c>
      <c r="V402" s="141" t="str">
        <f>IF(分析!W402&lt;&gt;"",分析!W402,"")</f>
        <v/>
      </c>
      <c r="W402" s="142" t="str">
        <f>IF(分析!AD402&lt;&gt;"",分析!AD402,"")</f>
        <v/>
      </c>
      <c r="X402" s="143" t="str">
        <f>IF(分析!AE402&lt;&gt;"",分析!AE402,"")</f>
        <v/>
      </c>
      <c r="Y402" s="144" t="str">
        <f>IF(分析!T402&lt;&gt;"",分析!T402,"")</f>
        <v/>
      </c>
      <c r="Z402" s="145" t="str">
        <f>IF(分析!Y402&lt;&gt;"",分析!Y402,"")</f>
        <v/>
      </c>
    </row>
    <row r="403" spans="1:26" ht="21.9" customHeight="1">
      <c r="A403" s="146" t="str">
        <f>IF(分析!C403&lt;&gt;"",ROW()-2,"")</f>
        <v/>
      </c>
      <c r="B403" s="147" t="str">
        <f>IF(分析!C403&lt;&gt;"",HYPERLINK("https://kabutan.jp/stock/?code="&amp;分析!C403,"株探"),"")</f>
        <v/>
      </c>
      <c r="C403" s="148" t="str">
        <f>IF(分析!C403&lt;&gt;"",分析!C403,"")</f>
        <v/>
      </c>
      <c r="D403" s="149" t="str">
        <f>IF(分析!D403&lt;&gt;"",分析!D403,"")</f>
        <v/>
      </c>
      <c r="E403" s="150" t="str">
        <f>IF(分析!E403&lt;&gt;"",分析!E403,"")</f>
        <v/>
      </c>
      <c r="F403" s="151" t="str">
        <f>IF(分析!F403&lt;&gt;"",分析!F403,"")</f>
        <v/>
      </c>
      <c r="G403" s="151" t="str">
        <f>IF(分析!H403&lt;&gt;"",分析!H403,"")</f>
        <v/>
      </c>
      <c r="H403" s="151" t="str">
        <f>IF(分析!I403&lt;&gt;"",分析!I403,"")</f>
        <v/>
      </c>
      <c r="I403" s="151" t="str">
        <f>IF(分析!J403&lt;&gt;"",分析!J403,"")</f>
        <v/>
      </c>
      <c r="J403" s="151" t="str">
        <f>IF(分析!AB403&lt;&gt;"",分析!AB403,"")</f>
        <v/>
      </c>
      <c r="K403" s="151" t="str">
        <f>IF(分析!AC403&lt;&gt;"",分析!AC403,"")</f>
        <v/>
      </c>
      <c r="L403" s="151" t="str">
        <f>IF(分析!K403&lt;&gt;"",分析!K403,"")</f>
        <v/>
      </c>
      <c r="M403" s="146" t="str">
        <f>IF(分析!P403&lt;&gt;"",分析!P403,"")</f>
        <v/>
      </c>
      <c r="N403" s="152" t="str">
        <f>IF(分析!O403&lt;&gt;"",分析!O403,"")</f>
        <v/>
      </c>
      <c r="O403" s="153" t="str">
        <f>IF(分析!X403&lt;&gt;"",分析!X403,"")</f>
        <v/>
      </c>
      <c r="P403" s="154" t="str">
        <f>IF(分析!L403&lt;&gt;"",分析!L403,"")</f>
        <v/>
      </c>
      <c r="Q403" s="151" t="str">
        <f>IF(分析!S403&lt;&gt;"",分析!S403,"")</f>
        <v/>
      </c>
      <c r="R403" s="151" t="str">
        <f>IF(分析!R403&lt;&gt;"",分析!R403,"")</f>
        <v/>
      </c>
      <c r="S403" s="146" t="str">
        <f>IF(分析!AA403&lt;&gt;"",分析!AA403,"")</f>
        <v/>
      </c>
      <c r="T403" s="155" t="str">
        <f>IF(分析!Z403&lt;&gt;"",分析!Z403,"")</f>
        <v/>
      </c>
      <c r="U403" s="146" t="str">
        <f>IF(分析!V403&lt;&gt;"",分析!V403,"")</f>
        <v/>
      </c>
      <c r="V403" s="156" t="str">
        <f>IF(分析!W403&lt;&gt;"",分析!W403,"")</f>
        <v/>
      </c>
      <c r="W403" s="157" t="str">
        <f>IF(分析!AD403&lt;&gt;"",分析!AD403,"")</f>
        <v/>
      </c>
      <c r="X403" s="158" t="str">
        <f>IF(分析!AE403&lt;&gt;"",分析!AE403,"")</f>
        <v/>
      </c>
      <c r="Y403" s="159" t="str">
        <f>IF(分析!T403&lt;&gt;"",分析!T403,"")</f>
        <v/>
      </c>
      <c r="Z403" s="145" t="str">
        <f>IF(分析!Y403&lt;&gt;"",分析!Y403,"")</f>
        <v/>
      </c>
    </row>
    <row r="404" spans="1:26" ht="21.9" customHeight="1">
      <c r="A404" s="131" t="str">
        <f>IF(分析!C404&lt;&gt;"",ROW()-2,"")</f>
        <v/>
      </c>
      <c r="B404" s="132" t="str">
        <f>IF(分析!C404&lt;&gt;"",HYPERLINK("https://kabutan.jp/stock/?code="&amp;分析!C404,"株探"),"")</f>
        <v/>
      </c>
      <c r="C404" s="133" t="str">
        <f>IF(分析!C404&lt;&gt;"",分析!C404,"")</f>
        <v/>
      </c>
      <c r="D404" s="134" t="str">
        <f>IF(分析!D404&lt;&gt;"",分析!D404,"")</f>
        <v/>
      </c>
      <c r="E404" s="135" t="str">
        <f>IF(分析!E404&lt;&gt;"",分析!E404,"")</f>
        <v/>
      </c>
      <c r="F404" s="136" t="str">
        <f>IF(分析!F404&lt;&gt;"",分析!F404,"")</f>
        <v/>
      </c>
      <c r="G404" s="136" t="str">
        <f>IF(分析!H404&lt;&gt;"",分析!H404,"")</f>
        <v/>
      </c>
      <c r="H404" s="136" t="str">
        <f>IF(分析!I404&lt;&gt;"",分析!I404,"")</f>
        <v/>
      </c>
      <c r="I404" s="136" t="str">
        <f>IF(分析!J404&lt;&gt;"",分析!J404,"")</f>
        <v/>
      </c>
      <c r="J404" s="136" t="str">
        <f>IF(分析!AB404&lt;&gt;"",分析!AB404,"")</f>
        <v/>
      </c>
      <c r="K404" s="136" t="str">
        <f>IF(分析!AC404&lt;&gt;"",分析!AC404,"")</f>
        <v/>
      </c>
      <c r="L404" s="136" t="str">
        <f>IF(分析!K404&lt;&gt;"",分析!K404,"")</f>
        <v/>
      </c>
      <c r="M404" s="131" t="str">
        <f>IF(分析!P404&lt;&gt;"",分析!P404,"")</f>
        <v/>
      </c>
      <c r="N404" s="137" t="str">
        <f>IF(分析!O404&lt;&gt;"",分析!O404,"")</f>
        <v/>
      </c>
      <c r="O404" s="138" t="str">
        <f>IF(分析!X404&lt;&gt;"",分析!X404,"")</f>
        <v/>
      </c>
      <c r="P404" s="139" t="str">
        <f>IF(分析!L404&lt;&gt;"",分析!L404,"")</f>
        <v/>
      </c>
      <c r="Q404" s="136" t="str">
        <f>IF(分析!S404&lt;&gt;"",分析!S404,"")</f>
        <v/>
      </c>
      <c r="R404" s="136" t="str">
        <f>IF(分析!R404&lt;&gt;"",分析!R404,"")</f>
        <v/>
      </c>
      <c r="S404" s="131" t="str">
        <f>IF(分析!AA404&lt;&gt;"",分析!AA404,"")</f>
        <v/>
      </c>
      <c r="T404" s="140" t="str">
        <f>IF(分析!Z404&lt;&gt;"",分析!Z404,"")</f>
        <v/>
      </c>
      <c r="U404" s="131" t="str">
        <f>IF(分析!V404&lt;&gt;"",分析!V404,"")</f>
        <v/>
      </c>
      <c r="V404" s="141" t="str">
        <f>IF(分析!W404&lt;&gt;"",分析!W404,"")</f>
        <v/>
      </c>
      <c r="W404" s="142" t="str">
        <f>IF(分析!AD404&lt;&gt;"",分析!AD404,"")</f>
        <v/>
      </c>
      <c r="X404" s="143" t="str">
        <f>IF(分析!AE404&lt;&gt;"",分析!AE404,"")</f>
        <v/>
      </c>
      <c r="Y404" s="144" t="str">
        <f>IF(分析!T404&lt;&gt;"",分析!T404,"")</f>
        <v/>
      </c>
      <c r="Z404" s="145" t="str">
        <f>IF(分析!Y404&lt;&gt;"",分析!Y404,"")</f>
        <v/>
      </c>
    </row>
    <row r="405" spans="1:26" ht="21.9" customHeight="1">
      <c r="A405" s="146" t="str">
        <f>IF(分析!C405&lt;&gt;"",ROW()-2,"")</f>
        <v/>
      </c>
      <c r="B405" s="147" t="str">
        <f>IF(分析!C405&lt;&gt;"",HYPERLINK("https://kabutan.jp/stock/?code="&amp;分析!C405,"株探"),"")</f>
        <v/>
      </c>
      <c r="C405" s="148" t="str">
        <f>IF(分析!C405&lt;&gt;"",分析!C405,"")</f>
        <v/>
      </c>
      <c r="D405" s="149" t="str">
        <f>IF(分析!D405&lt;&gt;"",分析!D405,"")</f>
        <v/>
      </c>
      <c r="E405" s="150" t="str">
        <f>IF(分析!E405&lt;&gt;"",分析!E405,"")</f>
        <v/>
      </c>
      <c r="F405" s="151" t="str">
        <f>IF(分析!F405&lt;&gt;"",分析!F405,"")</f>
        <v/>
      </c>
      <c r="G405" s="151" t="str">
        <f>IF(分析!H405&lt;&gt;"",分析!H405,"")</f>
        <v/>
      </c>
      <c r="H405" s="151" t="str">
        <f>IF(分析!I405&lt;&gt;"",分析!I405,"")</f>
        <v/>
      </c>
      <c r="I405" s="151" t="str">
        <f>IF(分析!J405&lt;&gt;"",分析!J405,"")</f>
        <v/>
      </c>
      <c r="J405" s="151" t="str">
        <f>IF(分析!AB405&lt;&gt;"",分析!AB405,"")</f>
        <v/>
      </c>
      <c r="K405" s="151" t="str">
        <f>IF(分析!AC405&lt;&gt;"",分析!AC405,"")</f>
        <v/>
      </c>
      <c r="L405" s="151" t="str">
        <f>IF(分析!K405&lt;&gt;"",分析!K405,"")</f>
        <v/>
      </c>
      <c r="M405" s="146" t="str">
        <f>IF(分析!P405&lt;&gt;"",分析!P405,"")</f>
        <v/>
      </c>
      <c r="N405" s="152" t="str">
        <f>IF(分析!O405&lt;&gt;"",分析!O405,"")</f>
        <v/>
      </c>
      <c r="O405" s="153" t="str">
        <f>IF(分析!X405&lt;&gt;"",分析!X405,"")</f>
        <v/>
      </c>
      <c r="P405" s="154" t="str">
        <f>IF(分析!L405&lt;&gt;"",分析!L405,"")</f>
        <v/>
      </c>
      <c r="Q405" s="151" t="str">
        <f>IF(分析!S405&lt;&gt;"",分析!S405,"")</f>
        <v/>
      </c>
      <c r="R405" s="151" t="str">
        <f>IF(分析!R405&lt;&gt;"",分析!R405,"")</f>
        <v/>
      </c>
      <c r="S405" s="146" t="str">
        <f>IF(分析!AA405&lt;&gt;"",分析!AA405,"")</f>
        <v/>
      </c>
      <c r="T405" s="155" t="str">
        <f>IF(分析!Z405&lt;&gt;"",分析!Z405,"")</f>
        <v/>
      </c>
      <c r="U405" s="146" t="str">
        <f>IF(分析!V405&lt;&gt;"",分析!V405,"")</f>
        <v/>
      </c>
      <c r="V405" s="156" t="str">
        <f>IF(分析!W405&lt;&gt;"",分析!W405,"")</f>
        <v/>
      </c>
      <c r="W405" s="157" t="str">
        <f>IF(分析!AD405&lt;&gt;"",分析!AD405,"")</f>
        <v/>
      </c>
      <c r="X405" s="158" t="str">
        <f>IF(分析!AE405&lt;&gt;"",分析!AE405,"")</f>
        <v/>
      </c>
      <c r="Y405" s="159" t="str">
        <f>IF(分析!T405&lt;&gt;"",分析!T405,"")</f>
        <v/>
      </c>
      <c r="Z405" s="145" t="str">
        <f>IF(分析!Y405&lt;&gt;"",分析!Y405,"")</f>
        <v/>
      </c>
    </row>
    <row r="406" spans="1:26" ht="21.9" customHeight="1">
      <c r="A406" s="131" t="str">
        <f>IF(分析!C406&lt;&gt;"",ROW()-2,"")</f>
        <v/>
      </c>
      <c r="B406" s="132" t="str">
        <f>IF(分析!C406&lt;&gt;"",HYPERLINK("https://kabutan.jp/stock/?code="&amp;分析!C406,"株探"),"")</f>
        <v/>
      </c>
      <c r="C406" s="133" t="str">
        <f>IF(分析!C406&lt;&gt;"",分析!C406,"")</f>
        <v/>
      </c>
      <c r="D406" s="134" t="str">
        <f>IF(分析!D406&lt;&gt;"",分析!D406,"")</f>
        <v/>
      </c>
      <c r="E406" s="135" t="str">
        <f>IF(分析!E406&lt;&gt;"",分析!E406,"")</f>
        <v/>
      </c>
      <c r="F406" s="136" t="str">
        <f>IF(分析!F406&lt;&gt;"",分析!F406,"")</f>
        <v/>
      </c>
      <c r="G406" s="136" t="str">
        <f>IF(分析!H406&lt;&gt;"",分析!H406,"")</f>
        <v/>
      </c>
      <c r="H406" s="136" t="str">
        <f>IF(分析!I406&lt;&gt;"",分析!I406,"")</f>
        <v/>
      </c>
      <c r="I406" s="136" t="str">
        <f>IF(分析!J406&lt;&gt;"",分析!J406,"")</f>
        <v/>
      </c>
      <c r="J406" s="136" t="str">
        <f>IF(分析!AB406&lt;&gt;"",分析!AB406,"")</f>
        <v/>
      </c>
      <c r="K406" s="136" t="str">
        <f>IF(分析!AC406&lt;&gt;"",分析!AC406,"")</f>
        <v/>
      </c>
      <c r="L406" s="136" t="str">
        <f>IF(分析!K406&lt;&gt;"",分析!K406,"")</f>
        <v/>
      </c>
      <c r="M406" s="131" t="str">
        <f>IF(分析!P406&lt;&gt;"",分析!P406,"")</f>
        <v/>
      </c>
      <c r="N406" s="137" t="str">
        <f>IF(分析!O406&lt;&gt;"",分析!O406,"")</f>
        <v/>
      </c>
      <c r="O406" s="138" t="str">
        <f>IF(分析!X406&lt;&gt;"",分析!X406,"")</f>
        <v/>
      </c>
      <c r="P406" s="139" t="str">
        <f>IF(分析!L406&lt;&gt;"",分析!L406,"")</f>
        <v/>
      </c>
      <c r="Q406" s="136" t="str">
        <f>IF(分析!S406&lt;&gt;"",分析!S406,"")</f>
        <v/>
      </c>
      <c r="R406" s="136" t="str">
        <f>IF(分析!R406&lt;&gt;"",分析!R406,"")</f>
        <v/>
      </c>
      <c r="S406" s="131" t="str">
        <f>IF(分析!AA406&lt;&gt;"",分析!AA406,"")</f>
        <v/>
      </c>
      <c r="T406" s="140" t="str">
        <f>IF(分析!Z406&lt;&gt;"",分析!Z406,"")</f>
        <v/>
      </c>
      <c r="U406" s="131" t="str">
        <f>IF(分析!V406&lt;&gt;"",分析!V406,"")</f>
        <v/>
      </c>
      <c r="V406" s="141" t="str">
        <f>IF(分析!W406&lt;&gt;"",分析!W406,"")</f>
        <v/>
      </c>
      <c r="W406" s="142" t="str">
        <f>IF(分析!AD406&lt;&gt;"",分析!AD406,"")</f>
        <v/>
      </c>
      <c r="X406" s="143" t="str">
        <f>IF(分析!AE406&lt;&gt;"",分析!AE406,"")</f>
        <v/>
      </c>
      <c r="Y406" s="144" t="str">
        <f>IF(分析!T406&lt;&gt;"",分析!T406,"")</f>
        <v/>
      </c>
      <c r="Z406" s="145" t="str">
        <f>IF(分析!Y406&lt;&gt;"",分析!Y406,"")</f>
        <v/>
      </c>
    </row>
    <row r="407" spans="1:26" ht="21.9" customHeight="1">
      <c r="A407" s="146" t="str">
        <f>IF(分析!C407&lt;&gt;"",ROW()-2,"")</f>
        <v/>
      </c>
      <c r="B407" s="147" t="str">
        <f>IF(分析!C407&lt;&gt;"",HYPERLINK("https://kabutan.jp/stock/?code="&amp;分析!C407,"株探"),"")</f>
        <v/>
      </c>
      <c r="C407" s="148" t="str">
        <f>IF(分析!C407&lt;&gt;"",分析!C407,"")</f>
        <v/>
      </c>
      <c r="D407" s="149" t="str">
        <f>IF(分析!D407&lt;&gt;"",分析!D407,"")</f>
        <v/>
      </c>
      <c r="E407" s="150" t="str">
        <f>IF(分析!E407&lt;&gt;"",分析!E407,"")</f>
        <v/>
      </c>
      <c r="F407" s="151" t="str">
        <f>IF(分析!F407&lt;&gt;"",分析!F407,"")</f>
        <v/>
      </c>
      <c r="G407" s="151" t="str">
        <f>IF(分析!H407&lt;&gt;"",分析!H407,"")</f>
        <v/>
      </c>
      <c r="H407" s="151" t="str">
        <f>IF(分析!I407&lt;&gt;"",分析!I407,"")</f>
        <v/>
      </c>
      <c r="I407" s="151" t="str">
        <f>IF(分析!J407&lt;&gt;"",分析!J407,"")</f>
        <v/>
      </c>
      <c r="J407" s="151" t="str">
        <f>IF(分析!AB407&lt;&gt;"",分析!AB407,"")</f>
        <v/>
      </c>
      <c r="K407" s="151" t="str">
        <f>IF(分析!AC407&lt;&gt;"",分析!AC407,"")</f>
        <v/>
      </c>
      <c r="L407" s="151" t="str">
        <f>IF(分析!K407&lt;&gt;"",分析!K407,"")</f>
        <v/>
      </c>
      <c r="M407" s="146" t="str">
        <f>IF(分析!P407&lt;&gt;"",分析!P407,"")</f>
        <v/>
      </c>
      <c r="N407" s="152" t="str">
        <f>IF(分析!O407&lt;&gt;"",分析!O407,"")</f>
        <v/>
      </c>
      <c r="O407" s="153" t="str">
        <f>IF(分析!X407&lt;&gt;"",分析!X407,"")</f>
        <v/>
      </c>
      <c r="P407" s="154" t="str">
        <f>IF(分析!L407&lt;&gt;"",分析!L407,"")</f>
        <v/>
      </c>
      <c r="Q407" s="151" t="str">
        <f>IF(分析!S407&lt;&gt;"",分析!S407,"")</f>
        <v/>
      </c>
      <c r="R407" s="151" t="str">
        <f>IF(分析!R407&lt;&gt;"",分析!R407,"")</f>
        <v/>
      </c>
      <c r="S407" s="146" t="str">
        <f>IF(分析!AA407&lt;&gt;"",分析!AA407,"")</f>
        <v/>
      </c>
      <c r="T407" s="155" t="str">
        <f>IF(分析!Z407&lt;&gt;"",分析!Z407,"")</f>
        <v/>
      </c>
      <c r="U407" s="146" t="str">
        <f>IF(分析!V407&lt;&gt;"",分析!V407,"")</f>
        <v/>
      </c>
      <c r="V407" s="156" t="str">
        <f>IF(分析!W407&lt;&gt;"",分析!W407,"")</f>
        <v/>
      </c>
      <c r="W407" s="157" t="str">
        <f>IF(分析!AD407&lt;&gt;"",分析!AD407,"")</f>
        <v/>
      </c>
      <c r="X407" s="158" t="str">
        <f>IF(分析!AE407&lt;&gt;"",分析!AE407,"")</f>
        <v/>
      </c>
      <c r="Y407" s="159" t="str">
        <f>IF(分析!T407&lt;&gt;"",分析!T407,"")</f>
        <v/>
      </c>
      <c r="Z407" s="145" t="str">
        <f>IF(分析!Y407&lt;&gt;"",分析!Y407,"")</f>
        <v/>
      </c>
    </row>
    <row r="408" spans="1:26" ht="21.9" customHeight="1">
      <c r="A408" s="131" t="str">
        <f>IF(分析!C408&lt;&gt;"",ROW()-2,"")</f>
        <v/>
      </c>
      <c r="B408" s="132" t="str">
        <f>IF(分析!C408&lt;&gt;"",HYPERLINK("https://kabutan.jp/stock/?code="&amp;分析!C408,"株探"),"")</f>
        <v/>
      </c>
      <c r="C408" s="133" t="str">
        <f>IF(分析!C408&lt;&gt;"",分析!C408,"")</f>
        <v/>
      </c>
      <c r="D408" s="134" t="str">
        <f>IF(分析!D408&lt;&gt;"",分析!D408,"")</f>
        <v/>
      </c>
      <c r="E408" s="135" t="str">
        <f>IF(分析!E408&lt;&gt;"",分析!E408,"")</f>
        <v/>
      </c>
      <c r="F408" s="136" t="str">
        <f>IF(分析!F408&lt;&gt;"",分析!F408,"")</f>
        <v/>
      </c>
      <c r="G408" s="136" t="str">
        <f>IF(分析!H408&lt;&gt;"",分析!H408,"")</f>
        <v/>
      </c>
      <c r="H408" s="136" t="str">
        <f>IF(分析!I408&lt;&gt;"",分析!I408,"")</f>
        <v/>
      </c>
      <c r="I408" s="136" t="str">
        <f>IF(分析!J408&lt;&gt;"",分析!J408,"")</f>
        <v/>
      </c>
      <c r="J408" s="136" t="str">
        <f>IF(分析!AB408&lt;&gt;"",分析!AB408,"")</f>
        <v/>
      </c>
      <c r="K408" s="136" t="str">
        <f>IF(分析!AC408&lt;&gt;"",分析!AC408,"")</f>
        <v/>
      </c>
      <c r="L408" s="136" t="str">
        <f>IF(分析!K408&lt;&gt;"",分析!K408,"")</f>
        <v/>
      </c>
      <c r="M408" s="131" t="str">
        <f>IF(分析!P408&lt;&gt;"",分析!P408,"")</f>
        <v/>
      </c>
      <c r="N408" s="137" t="str">
        <f>IF(分析!O408&lt;&gt;"",分析!O408,"")</f>
        <v/>
      </c>
      <c r="O408" s="138" t="str">
        <f>IF(分析!X408&lt;&gt;"",分析!X408,"")</f>
        <v/>
      </c>
      <c r="P408" s="139" t="str">
        <f>IF(分析!L408&lt;&gt;"",分析!L408,"")</f>
        <v/>
      </c>
      <c r="Q408" s="136" t="str">
        <f>IF(分析!S408&lt;&gt;"",分析!S408,"")</f>
        <v/>
      </c>
      <c r="R408" s="136" t="str">
        <f>IF(分析!R408&lt;&gt;"",分析!R408,"")</f>
        <v/>
      </c>
      <c r="S408" s="131" t="str">
        <f>IF(分析!AA408&lt;&gt;"",分析!AA408,"")</f>
        <v/>
      </c>
      <c r="T408" s="140" t="str">
        <f>IF(分析!Z408&lt;&gt;"",分析!Z408,"")</f>
        <v/>
      </c>
      <c r="U408" s="131" t="str">
        <f>IF(分析!V408&lt;&gt;"",分析!V408,"")</f>
        <v/>
      </c>
      <c r="V408" s="141" t="str">
        <f>IF(分析!W408&lt;&gt;"",分析!W408,"")</f>
        <v/>
      </c>
      <c r="W408" s="142" t="str">
        <f>IF(分析!AD408&lt;&gt;"",分析!AD408,"")</f>
        <v/>
      </c>
      <c r="X408" s="143" t="str">
        <f>IF(分析!AE408&lt;&gt;"",分析!AE408,"")</f>
        <v/>
      </c>
      <c r="Y408" s="144" t="str">
        <f>IF(分析!T408&lt;&gt;"",分析!T408,"")</f>
        <v/>
      </c>
      <c r="Z408" s="145" t="str">
        <f>IF(分析!Y408&lt;&gt;"",分析!Y408,"")</f>
        <v/>
      </c>
    </row>
    <row r="409" spans="1:26" ht="21.9" customHeight="1">
      <c r="A409" s="146" t="str">
        <f>IF(分析!C409&lt;&gt;"",ROW()-2,"")</f>
        <v/>
      </c>
      <c r="B409" s="147" t="str">
        <f>IF(分析!C409&lt;&gt;"",HYPERLINK("https://kabutan.jp/stock/?code="&amp;分析!C409,"株探"),"")</f>
        <v/>
      </c>
      <c r="C409" s="148" t="str">
        <f>IF(分析!C409&lt;&gt;"",分析!C409,"")</f>
        <v/>
      </c>
      <c r="D409" s="149" t="str">
        <f>IF(分析!D409&lt;&gt;"",分析!D409,"")</f>
        <v/>
      </c>
      <c r="E409" s="150" t="str">
        <f>IF(分析!E409&lt;&gt;"",分析!E409,"")</f>
        <v/>
      </c>
      <c r="F409" s="151" t="str">
        <f>IF(分析!F409&lt;&gt;"",分析!F409,"")</f>
        <v/>
      </c>
      <c r="G409" s="151" t="str">
        <f>IF(分析!H409&lt;&gt;"",分析!H409,"")</f>
        <v/>
      </c>
      <c r="H409" s="151" t="str">
        <f>IF(分析!I409&lt;&gt;"",分析!I409,"")</f>
        <v/>
      </c>
      <c r="I409" s="151" t="str">
        <f>IF(分析!J409&lt;&gt;"",分析!J409,"")</f>
        <v/>
      </c>
      <c r="J409" s="151" t="str">
        <f>IF(分析!AB409&lt;&gt;"",分析!AB409,"")</f>
        <v/>
      </c>
      <c r="K409" s="151" t="str">
        <f>IF(分析!AC409&lt;&gt;"",分析!AC409,"")</f>
        <v/>
      </c>
      <c r="L409" s="151" t="str">
        <f>IF(分析!K409&lt;&gt;"",分析!K409,"")</f>
        <v/>
      </c>
      <c r="M409" s="146" t="str">
        <f>IF(分析!P409&lt;&gt;"",分析!P409,"")</f>
        <v/>
      </c>
      <c r="N409" s="152" t="str">
        <f>IF(分析!O409&lt;&gt;"",分析!O409,"")</f>
        <v/>
      </c>
      <c r="O409" s="153" t="str">
        <f>IF(分析!X409&lt;&gt;"",分析!X409,"")</f>
        <v/>
      </c>
      <c r="P409" s="154" t="str">
        <f>IF(分析!L409&lt;&gt;"",分析!L409,"")</f>
        <v/>
      </c>
      <c r="Q409" s="151" t="str">
        <f>IF(分析!S409&lt;&gt;"",分析!S409,"")</f>
        <v/>
      </c>
      <c r="R409" s="151" t="str">
        <f>IF(分析!R409&lt;&gt;"",分析!R409,"")</f>
        <v/>
      </c>
      <c r="S409" s="146" t="str">
        <f>IF(分析!AA409&lt;&gt;"",分析!AA409,"")</f>
        <v/>
      </c>
      <c r="T409" s="155" t="str">
        <f>IF(分析!Z409&lt;&gt;"",分析!Z409,"")</f>
        <v/>
      </c>
      <c r="U409" s="146" t="str">
        <f>IF(分析!V409&lt;&gt;"",分析!V409,"")</f>
        <v/>
      </c>
      <c r="V409" s="156" t="str">
        <f>IF(分析!W409&lt;&gt;"",分析!W409,"")</f>
        <v/>
      </c>
      <c r="W409" s="157" t="str">
        <f>IF(分析!AD409&lt;&gt;"",分析!AD409,"")</f>
        <v/>
      </c>
      <c r="X409" s="158" t="str">
        <f>IF(分析!AE409&lt;&gt;"",分析!AE409,"")</f>
        <v/>
      </c>
      <c r="Y409" s="159" t="str">
        <f>IF(分析!T409&lt;&gt;"",分析!T409,"")</f>
        <v/>
      </c>
      <c r="Z409" s="145" t="str">
        <f>IF(分析!Y409&lt;&gt;"",分析!Y409,"")</f>
        <v/>
      </c>
    </row>
    <row r="410" spans="1:26" ht="21.9" customHeight="1">
      <c r="A410" s="131" t="str">
        <f>IF(分析!C410&lt;&gt;"",ROW()-2,"")</f>
        <v/>
      </c>
      <c r="B410" s="132" t="str">
        <f>IF(分析!C410&lt;&gt;"",HYPERLINK("https://kabutan.jp/stock/?code="&amp;分析!C410,"株探"),"")</f>
        <v/>
      </c>
      <c r="C410" s="133" t="str">
        <f>IF(分析!C410&lt;&gt;"",分析!C410,"")</f>
        <v/>
      </c>
      <c r="D410" s="134" t="str">
        <f>IF(分析!D410&lt;&gt;"",分析!D410,"")</f>
        <v/>
      </c>
      <c r="E410" s="135" t="str">
        <f>IF(分析!E410&lt;&gt;"",分析!E410,"")</f>
        <v/>
      </c>
      <c r="F410" s="136" t="str">
        <f>IF(分析!F410&lt;&gt;"",分析!F410,"")</f>
        <v/>
      </c>
      <c r="G410" s="136" t="str">
        <f>IF(分析!H410&lt;&gt;"",分析!H410,"")</f>
        <v/>
      </c>
      <c r="H410" s="136" t="str">
        <f>IF(分析!I410&lt;&gt;"",分析!I410,"")</f>
        <v/>
      </c>
      <c r="I410" s="136" t="str">
        <f>IF(分析!J410&lt;&gt;"",分析!J410,"")</f>
        <v/>
      </c>
      <c r="J410" s="136" t="str">
        <f>IF(分析!AB410&lt;&gt;"",分析!AB410,"")</f>
        <v/>
      </c>
      <c r="K410" s="136" t="str">
        <f>IF(分析!AC410&lt;&gt;"",分析!AC410,"")</f>
        <v/>
      </c>
      <c r="L410" s="136" t="str">
        <f>IF(分析!K410&lt;&gt;"",分析!K410,"")</f>
        <v/>
      </c>
      <c r="M410" s="131" t="str">
        <f>IF(分析!P410&lt;&gt;"",分析!P410,"")</f>
        <v/>
      </c>
      <c r="N410" s="137" t="str">
        <f>IF(分析!O410&lt;&gt;"",分析!O410,"")</f>
        <v/>
      </c>
      <c r="O410" s="138" t="str">
        <f>IF(分析!X410&lt;&gt;"",分析!X410,"")</f>
        <v/>
      </c>
      <c r="P410" s="139" t="str">
        <f>IF(分析!L410&lt;&gt;"",分析!L410,"")</f>
        <v/>
      </c>
      <c r="Q410" s="136" t="str">
        <f>IF(分析!S410&lt;&gt;"",分析!S410,"")</f>
        <v/>
      </c>
      <c r="R410" s="136" t="str">
        <f>IF(分析!R410&lt;&gt;"",分析!R410,"")</f>
        <v/>
      </c>
      <c r="S410" s="131" t="str">
        <f>IF(分析!AA410&lt;&gt;"",分析!AA410,"")</f>
        <v/>
      </c>
      <c r="T410" s="140" t="str">
        <f>IF(分析!Z410&lt;&gt;"",分析!Z410,"")</f>
        <v/>
      </c>
      <c r="U410" s="131" t="str">
        <f>IF(分析!V410&lt;&gt;"",分析!V410,"")</f>
        <v/>
      </c>
      <c r="V410" s="141" t="str">
        <f>IF(分析!W410&lt;&gt;"",分析!W410,"")</f>
        <v/>
      </c>
      <c r="W410" s="142" t="str">
        <f>IF(分析!AD410&lt;&gt;"",分析!AD410,"")</f>
        <v/>
      </c>
      <c r="X410" s="143" t="str">
        <f>IF(分析!AE410&lt;&gt;"",分析!AE410,"")</f>
        <v/>
      </c>
      <c r="Y410" s="144" t="str">
        <f>IF(分析!T410&lt;&gt;"",分析!T410,"")</f>
        <v/>
      </c>
      <c r="Z410" s="145" t="str">
        <f>IF(分析!Y410&lt;&gt;"",分析!Y410,"")</f>
        <v/>
      </c>
    </row>
    <row r="411" spans="1:26" ht="21.9" customHeight="1">
      <c r="A411" s="146" t="str">
        <f>IF(分析!C411&lt;&gt;"",ROW()-2,"")</f>
        <v/>
      </c>
      <c r="B411" s="147" t="str">
        <f>IF(分析!C411&lt;&gt;"",HYPERLINK("https://kabutan.jp/stock/?code="&amp;分析!C411,"株探"),"")</f>
        <v/>
      </c>
      <c r="C411" s="148" t="str">
        <f>IF(分析!C411&lt;&gt;"",分析!C411,"")</f>
        <v/>
      </c>
      <c r="D411" s="149" t="str">
        <f>IF(分析!D411&lt;&gt;"",分析!D411,"")</f>
        <v/>
      </c>
      <c r="E411" s="150" t="str">
        <f>IF(分析!E411&lt;&gt;"",分析!E411,"")</f>
        <v/>
      </c>
      <c r="F411" s="151" t="str">
        <f>IF(分析!F411&lt;&gt;"",分析!F411,"")</f>
        <v/>
      </c>
      <c r="G411" s="151" t="str">
        <f>IF(分析!H411&lt;&gt;"",分析!H411,"")</f>
        <v/>
      </c>
      <c r="H411" s="151" t="str">
        <f>IF(分析!I411&lt;&gt;"",分析!I411,"")</f>
        <v/>
      </c>
      <c r="I411" s="151" t="str">
        <f>IF(分析!J411&lt;&gt;"",分析!J411,"")</f>
        <v/>
      </c>
      <c r="J411" s="151" t="str">
        <f>IF(分析!AB411&lt;&gt;"",分析!AB411,"")</f>
        <v/>
      </c>
      <c r="K411" s="151" t="str">
        <f>IF(分析!AC411&lt;&gt;"",分析!AC411,"")</f>
        <v/>
      </c>
      <c r="L411" s="151" t="str">
        <f>IF(分析!K411&lt;&gt;"",分析!K411,"")</f>
        <v/>
      </c>
      <c r="M411" s="146" t="str">
        <f>IF(分析!P411&lt;&gt;"",分析!P411,"")</f>
        <v/>
      </c>
      <c r="N411" s="152" t="str">
        <f>IF(分析!O411&lt;&gt;"",分析!O411,"")</f>
        <v/>
      </c>
      <c r="O411" s="153" t="str">
        <f>IF(分析!X411&lt;&gt;"",分析!X411,"")</f>
        <v/>
      </c>
      <c r="P411" s="154" t="str">
        <f>IF(分析!L411&lt;&gt;"",分析!L411,"")</f>
        <v/>
      </c>
      <c r="Q411" s="151" t="str">
        <f>IF(分析!S411&lt;&gt;"",分析!S411,"")</f>
        <v/>
      </c>
      <c r="R411" s="151" t="str">
        <f>IF(分析!R411&lt;&gt;"",分析!R411,"")</f>
        <v/>
      </c>
      <c r="S411" s="146" t="str">
        <f>IF(分析!AA411&lt;&gt;"",分析!AA411,"")</f>
        <v/>
      </c>
      <c r="T411" s="155" t="str">
        <f>IF(分析!Z411&lt;&gt;"",分析!Z411,"")</f>
        <v/>
      </c>
      <c r="U411" s="146" t="str">
        <f>IF(分析!V411&lt;&gt;"",分析!V411,"")</f>
        <v/>
      </c>
      <c r="V411" s="156" t="str">
        <f>IF(分析!W411&lt;&gt;"",分析!W411,"")</f>
        <v/>
      </c>
      <c r="W411" s="157" t="str">
        <f>IF(分析!AD411&lt;&gt;"",分析!AD411,"")</f>
        <v/>
      </c>
      <c r="X411" s="158" t="str">
        <f>IF(分析!AE411&lt;&gt;"",分析!AE411,"")</f>
        <v/>
      </c>
      <c r="Y411" s="159" t="str">
        <f>IF(分析!T411&lt;&gt;"",分析!T411,"")</f>
        <v/>
      </c>
      <c r="Z411" s="145" t="str">
        <f>IF(分析!Y411&lt;&gt;"",分析!Y411,"")</f>
        <v/>
      </c>
    </row>
    <row r="412" spans="1:26" ht="21.9" customHeight="1">
      <c r="A412" s="131" t="str">
        <f>IF(分析!C412&lt;&gt;"",ROW()-2,"")</f>
        <v/>
      </c>
      <c r="B412" s="132" t="str">
        <f>IF(分析!C412&lt;&gt;"",HYPERLINK("https://kabutan.jp/stock/?code="&amp;分析!C412,"株探"),"")</f>
        <v/>
      </c>
      <c r="C412" s="133" t="str">
        <f>IF(分析!C412&lt;&gt;"",分析!C412,"")</f>
        <v/>
      </c>
      <c r="D412" s="134" t="str">
        <f>IF(分析!D412&lt;&gt;"",分析!D412,"")</f>
        <v/>
      </c>
      <c r="E412" s="135" t="str">
        <f>IF(分析!E412&lt;&gt;"",分析!E412,"")</f>
        <v/>
      </c>
      <c r="F412" s="136" t="str">
        <f>IF(分析!F412&lt;&gt;"",分析!F412,"")</f>
        <v/>
      </c>
      <c r="G412" s="136" t="str">
        <f>IF(分析!H412&lt;&gt;"",分析!H412,"")</f>
        <v/>
      </c>
      <c r="H412" s="136" t="str">
        <f>IF(分析!I412&lt;&gt;"",分析!I412,"")</f>
        <v/>
      </c>
      <c r="I412" s="136" t="str">
        <f>IF(分析!J412&lt;&gt;"",分析!J412,"")</f>
        <v/>
      </c>
      <c r="J412" s="136" t="str">
        <f>IF(分析!AB412&lt;&gt;"",分析!AB412,"")</f>
        <v/>
      </c>
      <c r="K412" s="136" t="str">
        <f>IF(分析!AC412&lt;&gt;"",分析!AC412,"")</f>
        <v/>
      </c>
      <c r="L412" s="136" t="str">
        <f>IF(分析!K412&lt;&gt;"",分析!K412,"")</f>
        <v/>
      </c>
      <c r="M412" s="131" t="str">
        <f>IF(分析!P412&lt;&gt;"",分析!P412,"")</f>
        <v/>
      </c>
      <c r="N412" s="137" t="str">
        <f>IF(分析!O412&lt;&gt;"",分析!O412,"")</f>
        <v/>
      </c>
      <c r="O412" s="138" t="str">
        <f>IF(分析!X412&lt;&gt;"",分析!X412,"")</f>
        <v/>
      </c>
      <c r="P412" s="139" t="str">
        <f>IF(分析!L412&lt;&gt;"",分析!L412,"")</f>
        <v/>
      </c>
      <c r="Q412" s="136" t="str">
        <f>IF(分析!S412&lt;&gt;"",分析!S412,"")</f>
        <v/>
      </c>
      <c r="R412" s="136" t="str">
        <f>IF(分析!R412&lt;&gt;"",分析!R412,"")</f>
        <v/>
      </c>
      <c r="S412" s="131" t="str">
        <f>IF(分析!AA412&lt;&gt;"",分析!AA412,"")</f>
        <v/>
      </c>
      <c r="T412" s="140" t="str">
        <f>IF(分析!Z412&lt;&gt;"",分析!Z412,"")</f>
        <v/>
      </c>
      <c r="U412" s="131" t="str">
        <f>IF(分析!V412&lt;&gt;"",分析!V412,"")</f>
        <v/>
      </c>
      <c r="V412" s="141" t="str">
        <f>IF(分析!W412&lt;&gt;"",分析!W412,"")</f>
        <v/>
      </c>
      <c r="W412" s="142" t="str">
        <f>IF(分析!AD412&lt;&gt;"",分析!AD412,"")</f>
        <v/>
      </c>
      <c r="X412" s="143" t="str">
        <f>IF(分析!AE412&lt;&gt;"",分析!AE412,"")</f>
        <v/>
      </c>
      <c r="Y412" s="144" t="str">
        <f>IF(分析!T412&lt;&gt;"",分析!T412,"")</f>
        <v/>
      </c>
      <c r="Z412" s="145" t="str">
        <f>IF(分析!Y412&lt;&gt;"",分析!Y412,"")</f>
        <v/>
      </c>
    </row>
    <row r="413" spans="1:26" ht="21.9" customHeight="1">
      <c r="A413" s="146" t="str">
        <f>IF(分析!C413&lt;&gt;"",ROW()-2,"")</f>
        <v/>
      </c>
      <c r="B413" s="147" t="str">
        <f>IF(分析!C413&lt;&gt;"",HYPERLINK("https://kabutan.jp/stock/?code="&amp;分析!C413,"株探"),"")</f>
        <v/>
      </c>
      <c r="C413" s="148" t="str">
        <f>IF(分析!C413&lt;&gt;"",分析!C413,"")</f>
        <v/>
      </c>
      <c r="D413" s="149" t="str">
        <f>IF(分析!D413&lt;&gt;"",分析!D413,"")</f>
        <v/>
      </c>
      <c r="E413" s="150" t="str">
        <f>IF(分析!E413&lt;&gt;"",分析!E413,"")</f>
        <v/>
      </c>
      <c r="F413" s="151" t="str">
        <f>IF(分析!F413&lt;&gt;"",分析!F413,"")</f>
        <v/>
      </c>
      <c r="G413" s="151" t="str">
        <f>IF(分析!H413&lt;&gt;"",分析!H413,"")</f>
        <v/>
      </c>
      <c r="H413" s="151" t="str">
        <f>IF(分析!I413&lt;&gt;"",分析!I413,"")</f>
        <v/>
      </c>
      <c r="I413" s="151" t="str">
        <f>IF(分析!J413&lt;&gt;"",分析!J413,"")</f>
        <v/>
      </c>
      <c r="J413" s="151" t="str">
        <f>IF(分析!AB413&lt;&gt;"",分析!AB413,"")</f>
        <v/>
      </c>
      <c r="K413" s="151" t="str">
        <f>IF(分析!AC413&lt;&gt;"",分析!AC413,"")</f>
        <v/>
      </c>
      <c r="L413" s="151" t="str">
        <f>IF(分析!K413&lt;&gt;"",分析!K413,"")</f>
        <v/>
      </c>
      <c r="M413" s="146" t="str">
        <f>IF(分析!P413&lt;&gt;"",分析!P413,"")</f>
        <v/>
      </c>
      <c r="N413" s="152" t="str">
        <f>IF(分析!O413&lt;&gt;"",分析!O413,"")</f>
        <v/>
      </c>
      <c r="O413" s="153" t="str">
        <f>IF(分析!X413&lt;&gt;"",分析!X413,"")</f>
        <v/>
      </c>
      <c r="P413" s="154" t="str">
        <f>IF(分析!L413&lt;&gt;"",分析!L413,"")</f>
        <v/>
      </c>
      <c r="Q413" s="151" t="str">
        <f>IF(分析!S413&lt;&gt;"",分析!S413,"")</f>
        <v/>
      </c>
      <c r="R413" s="151" t="str">
        <f>IF(分析!R413&lt;&gt;"",分析!R413,"")</f>
        <v/>
      </c>
      <c r="S413" s="146" t="str">
        <f>IF(分析!AA413&lt;&gt;"",分析!AA413,"")</f>
        <v/>
      </c>
      <c r="T413" s="155" t="str">
        <f>IF(分析!Z413&lt;&gt;"",分析!Z413,"")</f>
        <v/>
      </c>
      <c r="U413" s="146" t="str">
        <f>IF(分析!V413&lt;&gt;"",分析!V413,"")</f>
        <v/>
      </c>
      <c r="V413" s="156" t="str">
        <f>IF(分析!W413&lt;&gt;"",分析!W413,"")</f>
        <v/>
      </c>
      <c r="W413" s="157" t="str">
        <f>IF(分析!AD413&lt;&gt;"",分析!AD413,"")</f>
        <v/>
      </c>
      <c r="X413" s="158" t="str">
        <f>IF(分析!AE413&lt;&gt;"",分析!AE413,"")</f>
        <v/>
      </c>
      <c r="Y413" s="159" t="str">
        <f>IF(分析!T413&lt;&gt;"",分析!T413,"")</f>
        <v/>
      </c>
      <c r="Z413" s="145" t="str">
        <f>IF(分析!Y413&lt;&gt;"",分析!Y413,"")</f>
        <v/>
      </c>
    </row>
    <row r="414" spans="1:26" ht="21.9" customHeight="1">
      <c r="A414" s="131" t="str">
        <f>IF(分析!C414&lt;&gt;"",ROW()-2,"")</f>
        <v/>
      </c>
      <c r="B414" s="132" t="str">
        <f>IF(分析!C414&lt;&gt;"",HYPERLINK("https://kabutan.jp/stock/?code="&amp;分析!C414,"株探"),"")</f>
        <v/>
      </c>
      <c r="C414" s="133" t="str">
        <f>IF(分析!C414&lt;&gt;"",分析!C414,"")</f>
        <v/>
      </c>
      <c r="D414" s="134" t="str">
        <f>IF(分析!D414&lt;&gt;"",分析!D414,"")</f>
        <v/>
      </c>
      <c r="E414" s="135" t="str">
        <f>IF(分析!E414&lt;&gt;"",分析!E414,"")</f>
        <v/>
      </c>
      <c r="F414" s="136" t="str">
        <f>IF(分析!F414&lt;&gt;"",分析!F414,"")</f>
        <v/>
      </c>
      <c r="G414" s="136" t="str">
        <f>IF(分析!H414&lt;&gt;"",分析!H414,"")</f>
        <v/>
      </c>
      <c r="H414" s="136" t="str">
        <f>IF(分析!I414&lt;&gt;"",分析!I414,"")</f>
        <v/>
      </c>
      <c r="I414" s="136" t="str">
        <f>IF(分析!J414&lt;&gt;"",分析!J414,"")</f>
        <v/>
      </c>
      <c r="J414" s="136" t="str">
        <f>IF(分析!AB414&lt;&gt;"",分析!AB414,"")</f>
        <v/>
      </c>
      <c r="K414" s="136" t="str">
        <f>IF(分析!AC414&lt;&gt;"",分析!AC414,"")</f>
        <v/>
      </c>
      <c r="L414" s="136" t="str">
        <f>IF(分析!K414&lt;&gt;"",分析!K414,"")</f>
        <v/>
      </c>
      <c r="M414" s="131" t="str">
        <f>IF(分析!P414&lt;&gt;"",分析!P414,"")</f>
        <v/>
      </c>
      <c r="N414" s="137" t="str">
        <f>IF(分析!O414&lt;&gt;"",分析!O414,"")</f>
        <v/>
      </c>
      <c r="O414" s="138" t="str">
        <f>IF(分析!X414&lt;&gt;"",分析!X414,"")</f>
        <v/>
      </c>
      <c r="P414" s="139" t="str">
        <f>IF(分析!L414&lt;&gt;"",分析!L414,"")</f>
        <v/>
      </c>
      <c r="Q414" s="136" t="str">
        <f>IF(分析!S414&lt;&gt;"",分析!S414,"")</f>
        <v/>
      </c>
      <c r="R414" s="136" t="str">
        <f>IF(分析!R414&lt;&gt;"",分析!R414,"")</f>
        <v/>
      </c>
      <c r="S414" s="131" t="str">
        <f>IF(分析!AA414&lt;&gt;"",分析!AA414,"")</f>
        <v/>
      </c>
      <c r="T414" s="140" t="str">
        <f>IF(分析!Z414&lt;&gt;"",分析!Z414,"")</f>
        <v/>
      </c>
      <c r="U414" s="131" t="str">
        <f>IF(分析!V414&lt;&gt;"",分析!V414,"")</f>
        <v/>
      </c>
      <c r="V414" s="141" t="str">
        <f>IF(分析!W414&lt;&gt;"",分析!W414,"")</f>
        <v/>
      </c>
      <c r="W414" s="142" t="str">
        <f>IF(分析!AD414&lt;&gt;"",分析!AD414,"")</f>
        <v/>
      </c>
      <c r="X414" s="143" t="str">
        <f>IF(分析!AE414&lt;&gt;"",分析!AE414,"")</f>
        <v/>
      </c>
      <c r="Y414" s="144" t="str">
        <f>IF(分析!T414&lt;&gt;"",分析!T414,"")</f>
        <v/>
      </c>
      <c r="Z414" s="145" t="str">
        <f>IF(分析!Y414&lt;&gt;"",分析!Y414,"")</f>
        <v/>
      </c>
    </row>
    <row r="415" spans="1:26" ht="21.9" customHeight="1">
      <c r="A415" s="146" t="str">
        <f>IF(分析!C415&lt;&gt;"",ROW()-2,"")</f>
        <v/>
      </c>
      <c r="B415" s="147" t="str">
        <f>IF(分析!C415&lt;&gt;"",HYPERLINK("https://kabutan.jp/stock/?code="&amp;分析!C415,"株探"),"")</f>
        <v/>
      </c>
      <c r="C415" s="148" t="str">
        <f>IF(分析!C415&lt;&gt;"",分析!C415,"")</f>
        <v/>
      </c>
      <c r="D415" s="149" t="str">
        <f>IF(分析!D415&lt;&gt;"",分析!D415,"")</f>
        <v/>
      </c>
      <c r="E415" s="150" t="str">
        <f>IF(分析!E415&lt;&gt;"",分析!E415,"")</f>
        <v/>
      </c>
      <c r="F415" s="151" t="str">
        <f>IF(分析!F415&lt;&gt;"",分析!F415,"")</f>
        <v/>
      </c>
      <c r="G415" s="151" t="str">
        <f>IF(分析!H415&lt;&gt;"",分析!H415,"")</f>
        <v/>
      </c>
      <c r="H415" s="151" t="str">
        <f>IF(分析!I415&lt;&gt;"",分析!I415,"")</f>
        <v/>
      </c>
      <c r="I415" s="151" t="str">
        <f>IF(分析!J415&lt;&gt;"",分析!J415,"")</f>
        <v/>
      </c>
      <c r="J415" s="151" t="str">
        <f>IF(分析!AB415&lt;&gt;"",分析!AB415,"")</f>
        <v/>
      </c>
      <c r="K415" s="151" t="str">
        <f>IF(分析!AC415&lt;&gt;"",分析!AC415,"")</f>
        <v/>
      </c>
      <c r="L415" s="151" t="str">
        <f>IF(分析!K415&lt;&gt;"",分析!K415,"")</f>
        <v/>
      </c>
      <c r="M415" s="146" t="str">
        <f>IF(分析!P415&lt;&gt;"",分析!P415,"")</f>
        <v/>
      </c>
      <c r="N415" s="152" t="str">
        <f>IF(分析!O415&lt;&gt;"",分析!O415,"")</f>
        <v/>
      </c>
      <c r="O415" s="153" t="str">
        <f>IF(分析!X415&lt;&gt;"",分析!X415,"")</f>
        <v/>
      </c>
      <c r="P415" s="154" t="str">
        <f>IF(分析!L415&lt;&gt;"",分析!L415,"")</f>
        <v/>
      </c>
      <c r="Q415" s="151" t="str">
        <f>IF(分析!S415&lt;&gt;"",分析!S415,"")</f>
        <v/>
      </c>
      <c r="R415" s="151" t="str">
        <f>IF(分析!R415&lt;&gt;"",分析!R415,"")</f>
        <v/>
      </c>
      <c r="S415" s="146" t="str">
        <f>IF(分析!AA415&lt;&gt;"",分析!AA415,"")</f>
        <v/>
      </c>
      <c r="T415" s="155" t="str">
        <f>IF(分析!Z415&lt;&gt;"",分析!Z415,"")</f>
        <v/>
      </c>
      <c r="U415" s="146" t="str">
        <f>IF(分析!V415&lt;&gt;"",分析!V415,"")</f>
        <v/>
      </c>
      <c r="V415" s="156" t="str">
        <f>IF(分析!W415&lt;&gt;"",分析!W415,"")</f>
        <v/>
      </c>
      <c r="W415" s="157" t="str">
        <f>IF(分析!AD415&lt;&gt;"",分析!AD415,"")</f>
        <v/>
      </c>
      <c r="X415" s="158" t="str">
        <f>IF(分析!AE415&lt;&gt;"",分析!AE415,"")</f>
        <v/>
      </c>
      <c r="Y415" s="159" t="str">
        <f>IF(分析!T415&lt;&gt;"",分析!T415,"")</f>
        <v/>
      </c>
      <c r="Z415" s="145" t="str">
        <f>IF(分析!Y415&lt;&gt;"",分析!Y415,"")</f>
        <v/>
      </c>
    </row>
    <row r="416" spans="1:26" ht="21.9" customHeight="1">
      <c r="A416" s="131" t="str">
        <f>IF(分析!C416&lt;&gt;"",ROW()-2,"")</f>
        <v/>
      </c>
      <c r="B416" s="132" t="str">
        <f>IF(分析!C416&lt;&gt;"",HYPERLINK("https://kabutan.jp/stock/?code="&amp;分析!C416,"株探"),"")</f>
        <v/>
      </c>
      <c r="C416" s="133" t="str">
        <f>IF(分析!C416&lt;&gt;"",分析!C416,"")</f>
        <v/>
      </c>
      <c r="D416" s="134" t="str">
        <f>IF(分析!D416&lt;&gt;"",分析!D416,"")</f>
        <v/>
      </c>
      <c r="E416" s="135" t="str">
        <f>IF(分析!E416&lt;&gt;"",分析!E416,"")</f>
        <v/>
      </c>
      <c r="F416" s="136" t="str">
        <f>IF(分析!F416&lt;&gt;"",分析!F416,"")</f>
        <v/>
      </c>
      <c r="G416" s="136" t="str">
        <f>IF(分析!H416&lt;&gt;"",分析!H416,"")</f>
        <v/>
      </c>
      <c r="H416" s="136" t="str">
        <f>IF(分析!I416&lt;&gt;"",分析!I416,"")</f>
        <v/>
      </c>
      <c r="I416" s="136" t="str">
        <f>IF(分析!J416&lt;&gt;"",分析!J416,"")</f>
        <v/>
      </c>
      <c r="J416" s="136" t="str">
        <f>IF(分析!AB416&lt;&gt;"",分析!AB416,"")</f>
        <v/>
      </c>
      <c r="K416" s="136" t="str">
        <f>IF(分析!AC416&lt;&gt;"",分析!AC416,"")</f>
        <v/>
      </c>
      <c r="L416" s="136" t="str">
        <f>IF(分析!K416&lt;&gt;"",分析!K416,"")</f>
        <v/>
      </c>
      <c r="M416" s="131" t="str">
        <f>IF(分析!P416&lt;&gt;"",分析!P416,"")</f>
        <v/>
      </c>
      <c r="N416" s="137" t="str">
        <f>IF(分析!O416&lt;&gt;"",分析!O416,"")</f>
        <v/>
      </c>
      <c r="O416" s="138" t="str">
        <f>IF(分析!X416&lt;&gt;"",分析!X416,"")</f>
        <v/>
      </c>
      <c r="P416" s="139" t="str">
        <f>IF(分析!L416&lt;&gt;"",分析!L416,"")</f>
        <v/>
      </c>
      <c r="Q416" s="136" t="str">
        <f>IF(分析!S416&lt;&gt;"",分析!S416,"")</f>
        <v/>
      </c>
      <c r="R416" s="136" t="str">
        <f>IF(分析!R416&lt;&gt;"",分析!R416,"")</f>
        <v/>
      </c>
      <c r="S416" s="131" t="str">
        <f>IF(分析!AA416&lt;&gt;"",分析!AA416,"")</f>
        <v/>
      </c>
      <c r="T416" s="140" t="str">
        <f>IF(分析!Z416&lt;&gt;"",分析!Z416,"")</f>
        <v/>
      </c>
      <c r="U416" s="131" t="str">
        <f>IF(分析!V416&lt;&gt;"",分析!V416,"")</f>
        <v/>
      </c>
      <c r="V416" s="141" t="str">
        <f>IF(分析!W416&lt;&gt;"",分析!W416,"")</f>
        <v/>
      </c>
      <c r="W416" s="142" t="str">
        <f>IF(分析!AD416&lt;&gt;"",分析!AD416,"")</f>
        <v/>
      </c>
      <c r="X416" s="143" t="str">
        <f>IF(分析!AE416&lt;&gt;"",分析!AE416,"")</f>
        <v/>
      </c>
      <c r="Y416" s="144" t="str">
        <f>IF(分析!T416&lt;&gt;"",分析!T416,"")</f>
        <v/>
      </c>
      <c r="Z416" s="145" t="str">
        <f>IF(分析!Y416&lt;&gt;"",分析!Y416,"")</f>
        <v/>
      </c>
    </row>
    <row r="417" spans="1:26" ht="21.9" customHeight="1">
      <c r="A417" s="146" t="str">
        <f>IF(分析!C417&lt;&gt;"",ROW()-2,"")</f>
        <v/>
      </c>
      <c r="B417" s="147" t="str">
        <f>IF(分析!C417&lt;&gt;"",HYPERLINK("https://kabutan.jp/stock/?code="&amp;分析!C417,"株探"),"")</f>
        <v/>
      </c>
      <c r="C417" s="148" t="str">
        <f>IF(分析!C417&lt;&gt;"",分析!C417,"")</f>
        <v/>
      </c>
      <c r="D417" s="149" t="str">
        <f>IF(分析!D417&lt;&gt;"",分析!D417,"")</f>
        <v/>
      </c>
      <c r="E417" s="150" t="str">
        <f>IF(分析!E417&lt;&gt;"",分析!E417,"")</f>
        <v/>
      </c>
      <c r="F417" s="151" t="str">
        <f>IF(分析!F417&lt;&gt;"",分析!F417,"")</f>
        <v/>
      </c>
      <c r="G417" s="151" t="str">
        <f>IF(分析!H417&lt;&gt;"",分析!H417,"")</f>
        <v/>
      </c>
      <c r="H417" s="151" t="str">
        <f>IF(分析!I417&lt;&gt;"",分析!I417,"")</f>
        <v/>
      </c>
      <c r="I417" s="151" t="str">
        <f>IF(分析!J417&lt;&gt;"",分析!J417,"")</f>
        <v/>
      </c>
      <c r="J417" s="151" t="str">
        <f>IF(分析!AB417&lt;&gt;"",分析!AB417,"")</f>
        <v/>
      </c>
      <c r="K417" s="151" t="str">
        <f>IF(分析!AC417&lt;&gt;"",分析!AC417,"")</f>
        <v/>
      </c>
      <c r="L417" s="151" t="str">
        <f>IF(分析!K417&lt;&gt;"",分析!K417,"")</f>
        <v/>
      </c>
      <c r="M417" s="146" t="str">
        <f>IF(分析!P417&lt;&gt;"",分析!P417,"")</f>
        <v/>
      </c>
      <c r="N417" s="152" t="str">
        <f>IF(分析!O417&lt;&gt;"",分析!O417,"")</f>
        <v/>
      </c>
      <c r="O417" s="153" t="str">
        <f>IF(分析!X417&lt;&gt;"",分析!X417,"")</f>
        <v/>
      </c>
      <c r="P417" s="154" t="str">
        <f>IF(分析!L417&lt;&gt;"",分析!L417,"")</f>
        <v/>
      </c>
      <c r="Q417" s="151" t="str">
        <f>IF(分析!S417&lt;&gt;"",分析!S417,"")</f>
        <v/>
      </c>
      <c r="R417" s="151" t="str">
        <f>IF(分析!R417&lt;&gt;"",分析!R417,"")</f>
        <v/>
      </c>
      <c r="S417" s="146" t="str">
        <f>IF(分析!AA417&lt;&gt;"",分析!AA417,"")</f>
        <v/>
      </c>
      <c r="T417" s="155" t="str">
        <f>IF(分析!Z417&lt;&gt;"",分析!Z417,"")</f>
        <v/>
      </c>
      <c r="U417" s="146" t="str">
        <f>IF(分析!V417&lt;&gt;"",分析!V417,"")</f>
        <v/>
      </c>
      <c r="V417" s="156" t="str">
        <f>IF(分析!W417&lt;&gt;"",分析!W417,"")</f>
        <v/>
      </c>
      <c r="W417" s="157" t="str">
        <f>IF(分析!AD417&lt;&gt;"",分析!AD417,"")</f>
        <v/>
      </c>
      <c r="X417" s="158" t="str">
        <f>IF(分析!AE417&lt;&gt;"",分析!AE417,"")</f>
        <v/>
      </c>
      <c r="Y417" s="159" t="str">
        <f>IF(分析!T417&lt;&gt;"",分析!T417,"")</f>
        <v/>
      </c>
      <c r="Z417" s="145" t="str">
        <f>IF(分析!Y417&lt;&gt;"",分析!Y417,"")</f>
        <v/>
      </c>
    </row>
    <row r="418" spans="1:26" ht="21.9" customHeight="1">
      <c r="A418" s="131" t="str">
        <f>IF(分析!C418&lt;&gt;"",ROW()-2,"")</f>
        <v/>
      </c>
      <c r="B418" s="132" t="str">
        <f>IF(分析!C418&lt;&gt;"",HYPERLINK("https://kabutan.jp/stock/?code="&amp;分析!C418,"株探"),"")</f>
        <v/>
      </c>
      <c r="C418" s="133" t="str">
        <f>IF(分析!C418&lt;&gt;"",分析!C418,"")</f>
        <v/>
      </c>
      <c r="D418" s="134" t="str">
        <f>IF(分析!D418&lt;&gt;"",分析!D418,"")</f>
        <v/>
      </c>
      <c r="E418" s="135" t="str">
        <f>IF(分析!E418&lt;&gt;"",分析!E418,"")</f>
        <v/>
      </c>
      <c r="F418" s="136" t="str">
        <f>IF(分析!F418&lt;&gt;"",分析!F418,"")</f>
        <v/>
      </c>
      <c r="G418" s="136" t="str">
        <f>IF(分析!H418&lt;&gt;"",分析!H418,"")</f>
        <v/>
      </c>
      <c r="H418" s="136" t="str">
        <f>IF(分析!I418&lt;&gt;"",分析!I418,"")</f>
        <v/>
      </c>
      <c r="I418" s="136" t="str">
        <f>IF(分析!J418&lt;&gt;"",分析!J418,"")</f>
        <v/>
      </c>
      <c r="J418" s="136" t="str">
        <f>IF(分析!AB418&lt;&gt;"",分析!AB418,"")</f>
        <v/>
      </c>
      <c r="K418" s="136" t="str">
        <f>IF(分析!AC418&lt;&gt;"",分析!AC418,"")</f>
        <v/>
      </c>
      <c r="L418" s="136" t="str">
        <f>IF(分析!K418&lt;&gt;"",分析!K418,"")</f>
        <v/>
      </c>
      <c r="M418" s="131" t="str">
        <f>IF(分析!P418&lt;&gt;"",分析!P418,"")</f>
        <v/>
      </c>
      <c r="N418" s="137" t="str">
        <f>IF(分析!O418&lt;&gt;"",分析!O418,"")</f>
        <v/>
      </c>
      <c r="O418" s="138" t="str">
        <f>IF(分析!X418&lt;&gt;"",分析!X418,"")</f>
        <v/>
      </c>
      <c r="P418" s="139" t="str">
        <f>IF(分析!L418&lt;&gt;"",分析!L418,"")</f>
        <v/>
      </c>
      <c r="Q418" s="136" t="str">
        <f>IF(分析!S418&lt;&gt;"",分析!S418,"")</f>
        <v/>
      </c>
      <c r="R418" s="136" t="str">
        <f>IF(分析!R418&lt;&gt;"",分析!R418,"")</f>
        <v/>
      </c>
      <c r="S418" s="131" t="str">
        <f>IF(分析!AA418&lt;&gt;"",分析!AA418,"")</f>
        <v/>
      </c>
      <c r="T418" s="140" t="str">
        <f>IF(分析!Z418&lt;&gt;"",分析!Z418,"")</f>
        <v/>
      </c>
      <c r="U418" s="131" t="str">
        <f>IF(分析!V418&lt;&gt;"",分析!V418,"")</f>
        <v/>
      </c>
      <c r="V418" s="141" t="str">
        <f>IF(分析!W418&lt;&gt;"",分析!W418,"")</f>
        <v/>
      </c>
      <c r="W418" s="142" t="str">
        <f>IF(分析!AD418&lt;&gt;"",分析!AD418,"")</f>
        <v/>
      </c>
      <c r="X418" s="143" t="str">
        <f>IF(分析!AE418&lt;&gt;"",分析!AE418,"")</f>
        <v/>
      </c>
      <c r="Y418" s="144" t="str">
        <f>IF(分析!T418&lt;&gt;"",分析!T418,"")</f>
        <v/>
      </c>
      <c r="Z418" s="145" t="str">
        <f>IF(分析!Y418&lt;&gt;"",分析!Y418,"")</f>
        <v/>
      </c>
    </row>
    <row r="419" spans="1:26" ht="21.9" customHeight="1">
      <c r="A419" s="146" t="str">
        <f>IF(分析!C419&lt;&gt;"",ROW()-2,"")</f>
        <v/>
      </c>
      <c r="B419" s="147" t="str">
        <f>IF(分析!C419&lt;&gt;"",HYPERLINK("https://kabutan.jp/stock/?code="&amp;分析!C419,"株探"),"")</f>
        <v/>
      </c>
      <c r="C419" s="148" t="str">
        <f>IF(分析!C419&lt;&gt;"",分析!C419,"")</f>
        <v/>
      </c>
      <c r="D419" s="149" t="str">
        <f>IF(分析!D419&lt;&gt;"",分析!D419,"")</f>
        <v/>
      </c>
      <c r="E419" s="150" t="str">
        <f>IF(分析!E419&lt;&gt;"",分析!E419,"")</f>
        <v/>
      </c>
      <c r="F419" s="151" t="str">
        <f>IF(分析!F419&lt;&gt;"",分析!F419,"")</f>
        <v/>
      </c>
      <c r="G419" s="151" t="str">
        <f>IF(分析!H419&lt;&gt;"",分析!H419,"")</f>
        <v/>
      </c>
      <c r="H419" s="151" t="str">
        <f>IF(分析!I419&lt;&gt;"",分析!I419,"")</f>
        <v/>
      </c>
      <c r="I419" s="151" t="str">
        <f>IF(分析!J419&lt;&gt;"",分析!J419,"")</f>
        <v/>
      </c>
      <c r="J419" s="151" t="str">
        <f>IF(分析!AB419&lt;&gt;"",分析!AB419,"")</f>
        <v/>
      </c>
      <c r="K419" s="151" t="str">
        <f>IF(分析!AC419&lt;&gt;"",分析!AC419,"")</f>
        <v/>
      </c>
      <c r="L419" s="151" t="str">
        <f>IF(分析!K419&lt;&gt;"",分析!K419,"")</f>
        <v/>
      </c>
      <c r="M419" s="146" t="str">
        <f>IF(分析!P419&lt;&gt;"",分析!P419,"")</f>
        <v/>
      </c>
      <c r="N419" s="152" t="str">
        <f>IF(分析!O419&lt;&gt;"",分析!O419,"")</f>
        <v/>
      </c>
      <c r="O419" s="153" t="str">
        <f>IF(分析!X419&lt;&gt;"",分析!X419,"")</f>
        <v/>
      </c>
      <c r="P419" s="154" t="str">
        <f>IF(分析!L419&lt;&gt;"",分析!L419,"")</f>
        <v/>
      </c>
      <c r="Q419" s="151" t="str">
        <f>IF(分析!S419&lt;&gt;"",分析!S419,"")</f>
        <v/>
      </c>
      <c r="R419" s="151" t="str">
        <f>IF(分析!R419&lt;&gt;"",分析!R419,"")</f>
        <v/>
      </c>
      <c r="S419" s="146" t="str">
        <f>IF(分析!AA419&lt;&gt;"",分析!AA419,"")</f>
        <v/>
      </c>
      <c r="T419" s="155" t="str">
        <f>IF(分析!Z419&lt;&gt;"",分析!Z419,"")</f>
        <v/>
      </c>
      <c r="U419" s="146" t="str">
        <f>IF(分析!V419&lt;&gt;"",分析!V419,"")</f>
        <v/>
      </c>
      <c r="V419" s="156" t="str">
        <f>IF(分析!W419&lt;&gt;"",分析!W419,"")</f>
        <v/>
      </c>
      <c r="W419" s="157" t="str">
        <f>IF(分析!AD419&lt;&gt;"",分析!AD419,"")</f>
        <v/>
      </c>
      <c r="X419" s="158" t="str">
        <f>IF(分析!AE419&lt;&gt;"",分析!AE419,"")</f>
        <v/>
      </c>
      <c r="Y419" s="159" t="str">
        <f>IF(分析!T419&lt;&gt;"",分析!T419,"")</f>
        <v/>
      </c>
      <c r="Z419" s="145" t="str">
        <f>IF(分析!Y419&lt;&gt;"",分析!Y419,"")</f>
        <v/>
      </c>
    </row>
    <row r="420" spans="1:26" ht="21.9" customHeight="1">
      <c r="A420" s="131" t="str">
        <f>IF(分析!C420&lt;&gt;"",ROW()-2,"")</f>
        <v/>
      </c>
      <c r="B420" s="132" t="str">
        <f>IF(分析!C420&lt;&gt;"",HYPERLINK("https://kabutan.jp/stock/?code="&amp;分析!C420,"株探"),"")</f>
        <v/>
      </c>
      <c r="C420" s="133" t="str">
        <f>IF(分析!C420&lt;&gt;"",分析!C420,"")</f>
        <v/>
      </c>
      <c r="D420" s="134" t="str">
        <f>IF(分析!D420&lt;&gt;"",分析!D420,"")</f>
        <v/>
      </c>
      <c r="E420" s="135" t="str">
        <f>IF(分析!E420&lt;&gt;"",分析!E420,"")</f>
        <v/>
      </c>
      <c r="F420" s="136" t="str">
        <f>IF(分析!F420&lt;&gt;"",分析!F420,"")</f>
        <v/>
      </c>
      <c r="G420" s="136" t="str">
        <f>IF(分析!H420&lt;&gt;"",分析!H420,"")</f>
        <v/>
      </c>
      <c r="H420" s="136" t="str">
        <f>IF(分析!I420&lt;&gt;"",分析!I420,"")</f>
        <v/>
      </c>
      <c r="I420" s="136" t="str">
        <f>IF(分析!J420&lt;&gt;"",分析!J420,"")</f>
        <v/>
      </c>
      <c r="J420" s="136" t="str">
        <f>IF(分析!AB420&lt;&gt;"",分析!AB420,"")</f>
        <v/>
      </c>
      <c r="K420" s="136" t="str">
        <f>IF(分析!AC420&lt;&gt;"",分析!AC420,"")</f>
        <v/>
      </c>
      <c r="L420" s="136" t="str">
        <f>IF(分析!K420&lt;&gt;"",分析!K420,"")</f>
        <v/>
      </c>
      <c r="M420" s="131" t="str">
        <f>IF(分析!P420&lt;&gt;"",分析!P420,"")</f>
        <v/>
      </c>
      <c r="N420" s="137" t="str">
        <f>IF(分析!O420&lt;&gt;"",分析!O420,"")</f>
        <v/>
      </c>
      <c r="O420" s="138" t="str">
        <f>IF(分析!X420&lt;&gt;"",分析!X420,"")</f>
        <v/>
      </c>
      <c r="P420" s="139" t="str">
        <f>IF(分析!L420&lt;&gt;"",分析!L420,"")</f>
        <v/>
      </c>
      <c r="Q420" s="136" t="str">
        <f>IF(分析!S420&lt;&gt;"",分析!S420,"")</f>
        <v/>
      </c>
      <c r="R420" s="136" t="str">
        <f>IF(分析!R420&lt;&gt;"",分析!R420,"")</f>
        <v/>
      </c>
      <c r="S420" s="131" t="str">
        <f>IF(分析!AA420&lt;&gt;"",分析!AA420,"")</f>
        <v/>
      </c>
      <c r="T420" s="140" t="str">
        <f>IF(分析!Z420&lt;&gt;"",分析!Z420,"")</f>
        <v/>
      </c>
      <c r="U420" s="131" t="str">
        <f>IF(分析!V420&lt;&gt;"",分析!V420,"")</f>
        <v/>
      </c>
      <c r="V420" s="141" t="str">
        <f>IF(分析!W420&lt;&gt;"",分析!W420,"")</f>
        <v/>
      </c>
      <c r="W420" s="142" t="str">
        <f>IF(分析!AD420&lt;&gt;"",分析!AD420,"")</f>
        <v/>
      </c>
      <c r="X420" s="143" t="str">
        <f>IF(分析!AE420&lt;&gt;"",分析!AE420,"")</f>
        <v/>
      </c>
      <c r="Y420" s="144" t="str">
        <f>IF(分析!T420&lt;&gt;"",分析!T420,"")</f>
        <v/>
      </c>
      <c r="Z420" s="145" t="str">
        <f>IF(分析!Y420&lt;&gt;"",分析!Y420,"")</f>
        <v/>
      </c>
    </row>
    <row r="421" spans="1:26" ht="21.9" customHeight="1">
      <c r="A421" s="146" t="str">
        <f>IF(分析!C421&lt;&gt;"",ROW()-2,"")</f>
        <v/>
      </c>
      <c r="B421" s="147" t="str">
        <f>IF(分析!C421&lt;&gt;"",HYPERLINK("https://kabutan.jp/stock/?code="&amp;分析!C421,"株探"),"")</f>
        <v/>
      </c>
      <c r="C421" s="148" t="str">
        <f>IF(分析!C421&lt;&gt;"",分析!C421,"")</f>
        <v/>
      </c>
      <c r="D421" s="149" t="str">
        <f>IF(分析!D421&lt;&gt;"",分析!D421,"")</f>
        <v/>
      </c>
      <c r="E421" s="150" t="str">
        <f>IF(分析!E421&lt;&gt;"",分析!E421,"")</f>
        <v/>
      </c>
      <c r="F421" s="151" t="str">
        <f>IF(分析!F421&lt;&gt;"",分析!F421,"")</f>
        <v/>
      </c>
      <c r="G421" s="151" t="str">
        <f>IF(分析!H421&lt;&gt;"",分析!H421,"")</f>
        <v/>
      </c>
      <c r="H421" s="151" t="str">
        <f>IF(分析!I421&lt;&gt;"",分析!I421,"")</f>
        <v/>
      </c>
      <c r="I421" s="151" t="str">
        <f>IF(分析!J421&lt;&gt;"",分析!J421,"")</f>
        <v/>
      </c>
      <c r="J421" s="151" t="str">
        <f>IF(分析!AB421&lt;&gt;"",分析!AB421,"")</f>
        <v/>
      </c>
      <c r="K421" s="151" t="str">
        <f>IF(分析!AC421&lt;&gt;"",分析!AC421,"")</f>
        <v/>
      </c>
      <c r="L421" s="151" t="str">
        <f>IF(分析!K421&lt;&gt;"",分析!K421,"")</f>
        <v/>
      </c>
      <c r="M421" s="146" t="str">
        <f>IF(分析!P421&lt;&gt;"",分析!P421,"")</f>
        <v/>
      </c>
      <c r="N421" s="152" t="str">
        <f>IF(分析!O421&lt;&gt;"",分析!O421,"")</f>
        <v/>
      </c>
      <c r="O421" s="153" t="str">
        <f>IF(分析!X421&lt;&gt;"",分析!X421,"")</f>
        <v/>
      </c>
      <c r="P421" s="154" t="str">
        <f>IF(分析!L421&lt;&gt;"",分析!L421,"")</f>
        <v/>
      </c>
      <c r="Q421" s="151" t="str">
        <f>IF(分析!S421&lt;&gt;"",分析!S421,"")</f>
        <v/>
      </c>
      <c r="R421" s="151" t="str">
        <f>IF(分析!R421&lt;&gt;"",分析!R421,"")</f>
        <v/>
      </c>
      <c r="S421" s="146" t="str">
        <f>IF(分析!AA421&lt;&gt;"",分析!AA421,"")</f>
        <v/>
      </c>
      <c r="T421" s="155" t="str">
        <f>IF(分析!Z421&lt;&gt;"",分析!Z421,"")</f>
        <v/>
      </c>
      <c r="U421" s="146" t="str">
        <f>IF(分析!V421&lt;&gt;"",分析!V421,"")</f>
        <v/>
      </c>
      <c r="V421" s="156" t="str">
        <f>IF(分析!W421&lt;&gt;"",分析!W421,"")</f>
        <v/>
      </c>
      <c r="W421" s="157" t="str">
        <f>IF(分析!AD421&lt;&gt;"",分析!AD421,"")</f>
        <v/>
      </c>
      <c r="X421" s="158" t="str">
        <f>IF(分析!AE421&lt;&gt;"",分析!AE421,"")</f>
        <v/>
      </c>
      <c r="Y421" s="159" t="str">
        <f>IF(分析!T421&lt;&gt;"",分析!T421,"")</f>
        <v/>
      </c>
      <c r="Z421" s="145" t="str">
        <f>IF(分析!Y421&lt;&gt;"",分析!Y421,"")</f>
        <v/>
      </c>
    </row>
    <row r="422" spans="1:26" ht="21.9" customHeight="1">
      <c r="A422" s="131" t="str">
        <f>IF(分析!C422&lt;&gt;"",ROW()-2,"")</f>
        <v/>
      </c>
      <c r="B422" s="132" t="str">
        <f>IF(分析!C422&lt;&gt;"",HYPERLINK("https://kabutan.jp/stock/?code="&amp;分析!C422,"株探"),"")</f>
        <v/>
      </c>
      <c r="C422" s="133" t="str">
        <f>IF(分析!C422&lt;&gt;"",分析!C422,"")</f>
        <v/>
      </c>
      <c r="D422" s="134" t="str">
        <f>IF(分析!D422&lt;&gt;"",分析!D422,"")</f>
        <v/>
      </c>
      <c r="E422" s="135" t="str">
        <f>IF(分析!E422&lt;&gt;"",分析!E422,"")</f>
        <v/>
      </c>
      <c r="F422" s="136" t="str">
        <f>IF(分析!F422&lt;&gt;"",分析!F422,"")</f>
        <v/>
      </c>
      <c r="G422" s="136" t="str">
        <f>IF(分析!H422&lt;&gt;"",分析!H422,"")</f>
        <v/>
      </c>
      <c r="H422" s="136" t="str">
        <f>IF(分析!I422&lt;&gt;"",分析!I422,"")</f>
        <v/>
      </c>
      <c r="I422" s="136" t="str">
        <f>IF(分析!J422&lt;&gt;"",分析!J422,"")</f>
        <v/>
      </c>
      <c r="J422" s="136" t="str">
        <f>IF(分析!AB422&lt;&gt;"",分析!AB422,"")</f>
        <v/>
      </c>
      <c r="K422" s="136" t="str">
        <f>IF(分析!AC422&lt;&gt;"",分析!AC422,"")</f>
        <v/>
      </c>
      <c r="L422" s="136" t="str">
        <f>IF(分析!K422&lt;&gt;"",分析!K422,"")</f>
        <v/>
      </c>
      <c r="M422" s="131" t="str">
        <f>IF(分析!P422&lt;&gt;"",分析!P422,"")</f>
        <v/>
      </c>
      <c r="N422" s="137" t="str">
        <f>IF(分析!O422&lt;&gt;"",分析!O422,"")</f>
        <v/>
      </c>
      <c r="O422" s="138" t="str">
        <f>IF(分析!X422&lt;&gt;"",分析!X422,"")</f>
        <v/>
      </c>
      <c r="P422" s="139" t="str">
        <f>IF(分析!L422&lt;&gt;"",分析!L422,"")</f>
        <v/>
      </c>
      <c r="Q422" s="136" t="str">
        <f>IF(分析!S422&lt;&gt;"",分析!S422,"")</f>
        <v/>
      </c>
      <c r="R422" s="136" t="str">
        <f>IF(分析!R422&lt;&gt;"",分析!R422,"")</f>
        <v/>
      </c>
      <c r="S422" s="131" t="str">
        <f>IF(分析!AA422&lt;&gt;"",分析!AA422,"")</f>
        <v/>
      </c>
      <c r="T422" s="140" t="str">
        <f>IF(分析!Z422&lt;&gt;"",分析!Z422,"")</f>
        <v/>
      </c>
      <c r="U422" s="131" t="str">
        <f>IF(分析!V422&lt;&gt;"",分析!V422,"")</f>
        <v/>
      </c>
      <c r="V422" s="141" t="str">
        <f>IF(分析!W422&lt;&gt;"",分析!W422,"")</f>
        <v/>
      </c>
      <c r="W422" s="142" t="str">
        <f>IF(分析!AD422&lt;&gt;"",分析!AD422,"")</f>
        <v/>
      </c>
      <c r="X422" s="143" t="str">
        <f>IF(分析!AE422&lt;&gt;"",分析!AE422,"")</f>
        <v/>
      </c>
      <c r="Y422" s="144" t="str">
        <f>IF(分析!T422&lt;&gt;"",分析!T422,"")</f>
        <v/>
      </c>
      <c r="Z422" s="145" t="str">
        <f>IF(分析!Y422&lt;&gt;"",分析!Y422,"")</f>
        <v/>
      </c>
    </row>
    <row r="423" spans="1:26" ht="21.9" customHeight="1">
      <c r="A423" s="146" t="str">
        <f>IF(分析!C423&lt;&gt;"",ROW()-2,"")</f>
        <v/>
      </c>
      <c r="B423" s="147" t="str">
        <f>IF(分析!C423&lt;&gt;"",HYPERLINK("https://kabutan.jp/stock/?code="&amp;分析!C423,"株探"),"")</f>
        <v/>
      </c>
      <c r="C423" s="148" t="str">
        <f>IF(分析!C423&lt;&gt;"",分析!C423,"")</f>
        <v/>
      </c>
      <c r="D423" s="149" t="str">
        <f>IF(分析!D423&lt;&gt;"",分析!D423,"")</f>
        <v/>
      </c>
      <c r="E423" s="150" t="str">
        <f>IF(分析!E423&lt;&gt;"",分析!E423,"")</f>
        <v/>
      </c>
      <c r="F423" s="151" t="str">
        <f>IF(分析!F423&lt;&gt;"",分析!F423,"")</f>
        <v/>
      </c>
      <c r="G423" s="151" t="str">
        <f>IF(分析!H423&lt;&gt;"",分析!H423,"")</f>
        <v/>
      </c>
      <c r="H423" s="151" t="str">
        <f>IF(分析!I423&lt;&gt;"",分析!I423,"")</f>
        <v/>
      </c>
      <c r="I423" s="151" t="str">
        <f>IF(分析!J423&lt;&gt;"",分析!J423,"")</f>
        <v/>
      </c>
      <c r="J423" s="151" t="str">
        <f>IF(分析!AB423&lt;&gt;"",分析!AB423,"")</f>
        <v/>
      </c>
      <c r="K423" s="151" t="str">
        <f>IF(分析!AC423&lt;&gt;"",分析!AC423,"")</f>
        <v/>
      </c>
      <c r="L423" s="151" t="str">
        <f>IF(分析!K423&lt;&gt;"",分析!K423,"")</f>
        <v/>
      </c>
      <c r="M423" s="146" t="str">
        <f>IF(分析!P423&lt;&gt;"",分析!P423,"")</f>
        <v/>
      </c>
      <c r="N423" s="152" t="str">
        <f>IF(分析!O423&lt;&gt;"",分析!O423,"")</f>
        <v/>
      </c>
      <c r="O423" s="153" t="str">
        <f>IF(分析!X423&lt;&gt;"",分析!X423,"")</f>
        <v/>
      </c>
      <c r="P423" s="154" t="str">
        <f>IF(分析!L423&lt;&gt;"",分析!L423,"")</f>
        <v/>
      </c>
      <c r="Q423" s="151" t="str">
        <f>IF(分析!S423&lt;&gt;"",分析!S423,"")</f>
        <v/>
      </c>
      <c r="R423" s="151" t="str">
        <f>IF(分析!R423&lt;&gt;"",分析!R423,"")</f>
        <v/>
      </c>
      <c r="S423" s="146" t="str">
        <f>IF(分析!AA423&lt;&gt;"",分析!AA423,"")</f>
        <v/>
      </c>
      <c r="T423" s="155" t="str">
        <f>IF(分析!Z423&lt;&gt;"",分析!Z423,"")</f>
        <v/>
      </c>
      <c r="U423" s="146" t="str">
        <f>IF(分析!V423&lt;&gt;"",分析!V423,"")</f>
        <v/>
      </c>
      <c r="V423" s="156" t="str">
        <f>IF(分析!W423&lt;&gt;"",分析!W423,"")</f>
        <v/>
      </c>
      <c r="W423" s="157" t="str">
        <f>IF(分析!AD423&lt;&gt;"",分析!AD423,"")</f>
        <v/>
      </c>
      <c r="X423" s="158" t="str">
        <f>IF(分析!AE423&lt;&gt;"",分析!AE423,"")</f>
        <v/>
      </c>
      <c r="Y423" s="159" t="str">
        <f>IF(分析!T423&lt;&gt;"",分析!T423,"")</f>
        <v/>
      </c>
      <c r="Z423" s="145" t="str">
        <f>IF(分析!Y423&lt;&gt;"",分析!Y423,"")</f>
        <v/>
      </c>
    </row>
    <row r="424" spans="1:26" ht="21.9" customHeight="1">
      <c r="A424" s="131" t="str">
        <f>IF(分析!C424&lt;&gt;"",ROW()-2,"")</f>
        <v/>
      </c>
      <c r="B424" s="132" t="str">
        <f>IF(分析!C424&lt;&gt;"",HYPERLINK("https://kabutan.jp/stock/?code="&amp;分析!C424,"株探"),"")</f>
        <v/>
      </c>
      <c r="C424" s="133" t="str">
        <f>IF(分析!C424&lt;&gt;"",分析!C424,"")</f>
        <v/>
      </c>
      <c r="D424" s="134" t="str">
        <f>IF(分析!D424&lt;&gt;"",分析!D424,"")</f>
        <v/>
      </c>
      <c r="E424" s="135" t="str">
        <f>IF(分析!E424&lt;&gt;"",分析!E424,"")</f>
        <v/>
      </c>
      <c r="F424" s="136" t="str">
        <f>IF(分析!F424&lt;&gt;"",分析!F424,"")</f>
        <v/>
      </c>
      <c r="G424" s="136" t="str">
        <f>IF(分析!H424&lt;&gt;"",分析!H424,"")</f>
        <v/>
      </c>
      <c r="H424" s="136" t="str">
        <f>IF(分析!I424&lt;&gt;"",分析!I424,"")</f>
        <v/>
      </c>
      <c r="I424" s="136" t="str">
        <f>IF(分析!J424&lt;&gt;"",分析!J424,"")</f>
        <v/>
      </c>
      <c r="J424" s="136" t="str">
        <f>IF(分析!AB424&lt;&gt;"",分析!AB424,"")</f>
        <v/>
      </c>
      <c r="K424" s="136" t="str">
        <f>IF(分析!AC424&lt;&gt;"",分析!AC424,"")</f>
        <v/>
      </c>
      <c r="L424" s="136" t="str">
        <f>IF(分析!K424&lt;&gt;"",分析!K424,"")</f>
        <v/>
      </c>
      <c r="M424" s="131" t="str">
        <f>IF(分析!P424&lt;&gt;"",分析!P424,"")</f>
        <v/>
      </c>
      <c r="N424" s="137" t="str">
        <f>IF(分析!O424&lt;&gt;"",分析!O424,"")</f>
        <v/>
      </c>
      <c r="O424" s="138" t="str">
        <f>IF(分析!X424&lt;&gt;"",分析!X424,"")</f>
        <v/>
      </c>
      <c r="P424" s="139" t="str">
        <f>IF(分析!L424&lt;&gt;"",分析!L424,"")</f>
        <v/>
      </c>
      <c r="Q424" s="136" t="str">
        <f>IF(分析!S424&lt;&gt;"",分析!S424,"")</f>
        <v/>
      </c>
      <c r="R424" s="136" t="str">
        <f>IF(分析!R424&lt;&gt;"",分析!R424,"")</f>
        <v/>
      </c>
      <c r="S424" s="131" t="str">
        <f>IF(分析!AA424&lt;&gt;"",分析!AA424,"")</f>
        <v/>
      </c>
      <c r="T424" s="140" t="str">
        <f>IF(分析!Z424&lt;&gt;"",分析!Z424,"")</f>
        <v/>
      </c>
      <c r="U424" s="131" t="str">
        <f>IF(分析!V424&lt;&gt;"",分析!V424,"")</f>
        <v/>
      </c>
      <c r="V424" s="141" t="str">
        <f>IF(分析!W424&lt;&gt;"",分析!W424,"")</f>
        <v/>
      </c>
      <c r="W424" s="142" t="str">
        <f>IF(分析!AD424&lt;&gt;"",分析!AD424,"")</f>
        <v/>
      </c>
      <c r="X424" s="143" t="str">
        <f>IF(分析!AE424&lt;&gt;"",分析!AE424,"")</f>
        <v/>
      </c>
      <c r="Y424" s="144" t="str">
        <f>IF(分析!T424&lt;&gt;"",分析!T424,"")</f>
        <v/>
      </c>
      <c r="Z424" s="145" t="str">
        <f>IF(分析!Y424&lt;&gt;"",分析!Y424,"")</f>
        <v/>
      </c>
    </row>
    <row r="425" spans="1:26" ht="21.9" customHeight="1">
      <c r="A425" s="146" t="str">
        <f>IF(分析!C425&lt;&gt;"",ROW()-2,"")</f>
        <v/>
      </c>
      <c r="B425" s="147" t="str">
        <f>IF(分析!C425&lt;&gt;"",HYPERLINK("https://kabutan.jp/stock/?code="&amp;分析!C425,"株探"),"")</f>
        <v/>
      </c>
      <c r="C425" s="148" t="str">
        <f>IF(分析!C425&lt;&gt;"",分析!C425,"")</f>
        <v/>
      </c>
      <c r="D425" s="149" t="str">
        <f>IF(分析!D425&lt;&gt;"",分析!D425,"")</f>
        <v/>
      </c>
      <c r="E425" s="150" t="str">
        <f>IF(分析!E425&lt;&gt;"",分析!E425,"")</f>
        <v/>
      </c>
      <c r="F425" s="151" t="str">
        <f>IF(分析!F425&lt;&gt;"",分析!F425,"")</f>
        <v/>
      </c>
      <c r="G425" s="151" t="str">
        <f>IF(分析!H425&lt;&gt;"",分析!H425,"")</f>
        <v/>
      </c>
      <c r="H425" s="151" t="str">
        <f>IF(分析!I425&lt;&gt;"",分析!I425,"")</f>
        <v/>
      </c>
      <c r="I425" s="151" t="str">
        <f>IF(分析!J425&lt;&gt;"",分析!J425,"")</f>
        <v/>
      </c>
      <c r="J425" s="151" t="str">
        <f>IF(分析!AB425&lt;&gt;"",分析!AB425,"")</f>
        <v/>
      </c>
      <c r="K425" s="151" t="str">
        <f>IF(分析!AC425&lt;&gt;"",分析!AC425,"")</f>
        <v/>
      </c>
      <c r="L425" s="151" t="str">
        <f>IF(分析!K425&lt;&gt;"",分析!K425,"")</f>
        <v/>
      </c>
      <c r="M425" s="146" t="str">
        <f>IF(分析!P425&lt;&gt;"",分析!P425,"")</f>
        <v/>
      </c>
      <c r="N425" s="152" t="str">
        <f>IF(分析!O425&lt;&gt;"",分析!O425,"")</f>
        <v/>
      </c>
      <c r="O425" s="153" t="str">
        <f>IF(分析!X425&lt;&gt;"",分析!X425,"")</f>
        <v/>
      </c>
      <c r="P425" s="154" t="str">
        <f>IF(分析!L425&lt;&gt;"",分析!L425,"")</f>
        <v/>
      </c>
      <c r="Q425" s="151" t="str">
        <f>IF(分析!S425&lt;&gt;"",分析!S425,"")</f>
        <v/>
      </c>
      <c r="R425" s="151" t="str">
        <f>IF(分析!R425&lt;&gt;"",分析!R425,"")</f>
        <v/>
      </c>
      <c r="S425" s="146" t="str">
        <f>IF(分析!AA425&lt;&gt;"",分析!AA425,"")</f>
        <v/>
      </c>
      <c r="T425" s="155" t="str">
        <f>IF(分析!Z425&lt;&gt;"",分析!Z425,"")</f>
        <v/>
      </c>
      <c r="U425" s="146" t="str">
        <f>IF(分析!V425&lt;&gt;"",分析!V425,"")</f>
        <v/>
      </c>
      <c r="V425" s="156" t="str">
        <f>IF(分析!W425&lt;&gt;"",分析!W425,"")</f>
        <v/>
      </c>
      <c r="W425" s="157" t="str">
        <f>IF(分析!AD425&lt;&gt;"",分析!AD425,"")</f>
        <v/>
      </c>
      <c r="X425" s="158" t="str">
        <f>IF(分析!AE425&lt;&gt;"",分析!AE425,"")</f>
        <v/>
      </c>
      <c r="Y425" s="159" t="str">
        <f>IF(分析!T425&lt;&gt;"",分析!T425,"")</f>
        <v/>
      </c>
      <c r="Z425" s="145" t="str">
        <f>IF(分析!Y425&lt;&gt;"",分析!Y425,"")</f>
        <v/>
      </c>
    </row>
    <row r="426" spans="1:26" ht="21.9" customHeight="1">
      <c r="A426" s="131" t="str">
        <f>IF(分析!C426&lt;&gt;"",ROW()-2,"")</f>
        <v/>
      </c>
      <c r="B426" s="132" t="str">
        <f>IF(分析!C426&lt;&gt;"",HYPERLINK("https://kabutan.jp/stock/?code="&amp;分析!C426,"株探"),"")</f>
        <v/>
      </c>
      <c r="C426" s="133" t="str">
        <f>IF(分析!C426&lt;&gt;"",分析!C426,"")</f>
        <v/>
      </c>
      <c r="D426" s="134" t="str">
        <f>IF(分析!D426&lt;&gt;"",分析!D426,"")</f>
        <v/>
      </c>
      <c r="E426" s="135" t="str">
        <f>IF(分析!E426&lt;&gt;"",分析!E426,"")</f>
        <v/>
      </c>
      <c r="F426" s="136" t="str">
        <f>IF(分析!F426&lt;&gt;"",分析!F426,"")</f>
        <v/>
      </c>
      <c r="G426" s="136" t="str">
        <f>IF(分析!H426&lt;&gt;"",分析!H426,"")</f>
        <v/>
      </c>
      <c r="H426" s="136" t="str">
        <f>IF(分析!I426&lt;&gt;"",分析!I426,"")</f>
        <v/>
      </c>
      <c r="I426" s="136" t="str">
        <f>IF(分析!J426&lt;&gt;"",分析!J426,"")</f>
        <v/>
      </c>
      <c r="J426" s="136" t="str">
        <f>IF(分析!AB426&lt;&gt;"",分析!AB426,"")</f>
        <v/>
      </c>
      <c r="K426" s="136" t="str">
        <f>IF(分析!AC426&lt;&gt;"",分析!AC426,"")</f>
        <v/>
      </c>
      <c r="L426" s="136" t="str">
        <f>IF(分析!K426&lt;&gt;"",分析!K426,"")</f>
        <v/>
      </c>
      <c r="M426" s="131" t="str">
        <f>IF(分析!P426&lt;&gt;"",分析!P426,"")</f>
        <v/>
      </c>
      <c r="N426" s="137" t="str">
        <f>IF(分析!O426&lt;&gt;"",分析!O426,"")</f>
        <v/>
      </c>
      <c r="O426" s="138" t="str">
        <f>IF(分析!X426&lt;&gt;"",分析!X426,"")</f>
        <v/>
      </c>
      <c r="P426" s="139" t="str">
        <f>IF(分析!L426&lt;&gt;"",分析!L426,"")</f>
        <v/>
      </c>
      <c r="Q426" s="136" t="str">
        <f>IF(分析!S426&lt;&gt;"",分析!S426,"")</f>
        <v/>
      </c>
      <c r="R426" s="136" t="str">
        <f>IF(分析!R426&lt;&gt;"",分析!R426,"")</f>
        <v/>
      </c>
      <c r="S426" s="131" t="str">
        <f>IF(分析!AA426&lt;&gt;"",分析!AA426,"")</f>
        <v/>
      </c>
      <c r="T426" s="140" t="str">
        <f>IF(分析!Z426&lt;&gt;"",分析!Z426,"")</f>
        <v/>
      </c>
      <c r="U426" s="131" t="str">
        <f>IF(分析!V426&lt;&gt;"",分析!V426,"")</f>
        <v/>
      </c>
      <c r="V426" s="141" t="str">
        <f>IF(分析!W426&lt;&gt;"",分析!W426,"")</f>
        <v/>
      </c>
      <c r="W426" s="142" t="str">
        <f>IF(分析!AD426&lt;&gt;"",分析!AD426,"")</f>
        <v/>
      </c>
      <c r="X426" s="143" t="str">
        <f>IF(分析!AE426&lt;&gt;"",分析!AE426,"")</f>
        <v/>
      </c>
      <c r="Y426" s="144" t="str">
        <f>IF(分析!T426&lt;&gt;"",分析!T426,"")</f>
        <v/>
      </c>
      <c r="Z426" s="145" t="str">
        <f>IF(分析!Y426&lt;&gt;"",分析!Y426,"")</f>
        <v/>
      </c>
    </row>
    <row r="427" spans="1:26" ht="21.9" customHeight="1">
      <c r="A427" s="146" t="str">
        <f>IF(分析!C427&lt;&gt;"",ROW()-2,"")</f>
        <v/>
      </c>
      <c r="B427" s="147" t="str">
        <f>IF(分析!C427&lt;&gt;"",HYPERLINK("https://kabutan.jp/stock/?code="&amp;分析!C427,"株探"),"")</f>
        <v/>
      </c>
      <c r="C427" s="148" t="str">
        <f>IF(分析!C427&lt;&gt;"",分析!C427,"")</f>
        <v/>
      </c>
      <c r="D427" s="149" t="str">
        <f>IF(分析!D427&lt;&gt;"",分析!D427,"")</f>
        <v/>
      </c>
      <c r="E427" s="150" t="str">
        <f>IF(分析!E427&lt;&gt;"",分析!E427,"")</f>
        <v/>
      </c>
      <c r="F427" s="151" t="str">
        <f>IF(分析!F427&lt;&gt;"",分析!F427,"")</f>
        <v/>
      </c>
      <c r="G427" s="151" t="str">
        <f>IF(分析!H427&lt;&gt;"",分析!H427,"")</f>
        <v/>
      </c>
      <c r="H427" s="151" t="str">
        <f>IF(分析!I427&lt;&gt;"",分析!I427,"")</f>
        <v/>
      </c>
      <c r="I427" s="151" t="str">
        <f>IF(分析!J427&lt;&gt;"",分析!J427,"")</f>
        <v/>
      </c>
      <c r="J427" s="151" t="str">
        <f>IF(分析!AB427&lt;&gt;"",分析!AB427,"")</f>
        <v/>
      </c>
      <c r="K427" s="151" t="str">
        <f>IF(分析!AC427&lt;&gt;"",分析!AC427,"")</f>
        <v/>
      </c>
      <c r="L427" s="151" t="str">
        <f>IF(分析!K427&lt;&gt;"",分析!K427,"")</f>
        <v/>
      </c>
      <c r="M427" s="146" t="str">
        <f>IF(分析!P427&lt;&gt;"",分析!P427,"")</f>
        <v/>
      </c>
      <c r="N427" s="152" t="str">
        <f>IF(分析!O427&lt;&gt;"",分析!O427,"")</f>
        <v/>
      </c>
      <c r="O427" s="153" t="str">
        <f>IF(分析!X427&lt;&gt;"",分析!X427,"")</f>
        <v/>
      </c>
      <c r="P427" s="154" t="str">
        <f>IF(分析!L427&lt;&gt;"",分析!L427,"")</f>
        <v/>
      </c>
      <c r="Q427" s="151" t="str">
        <f>IF(分析!S427&lt;&gt;"",分析!S427,"")</f>
        <v/>
      </c>
      <c r="R427" s="151" t="str">
        <f>IF(分析!R427&lt;&gt;"",分析!R427,"")</f>
        <v/>
      </c>
      <c r="S427" s="146" t="str">
        <f>IF(分析!AA427&lt;&gt;"",分析!AA427,"")</f>
        <v/>
      </c>
      <c r="T427" s="155" t="str">
        <f>IF(分析!Z427&lt;&gt;"",分析!Z427,"")</f>
        <v/>
      </c>
      <c r="U427" s="146" t="str">
        <f>IF(分析!V427&lt;&gt;"",分析!V427,"")</f>
        <v/>
      </c>
      <c r="V427" s="156" t="str">
        <f>IF(分析!W427&lt;&gt;"",分析!W427,"")</f>
        <v/>
      </c>
      <c r="W427" s="157" t="str">
        <f>IF(分析!AD427&lt;&gt;"",分析!AD427,"")</f>
        <v/>
      </c>
      <c r="X427" s="158" t="str">
        <f>IF(分析!AE427&lt;&gt;"",分析!AE427,"")</f>
        <v/>
      </c>
      <c r="Y427" s="159" t="str">
        <f>IF(分析!T427&lt;&gt;"",分析!T427,"")</f>
        <v/>
      </c>
      <c r="Z427" s="145" t="str">
        <f>IF(分析!Y427&lt;&gt;"",分析!Y427,"")</f>
        <v/>
      </c>
    </row>
    <row r="428" spans="1:26" ht="21.9" customHeight="1">
      <c r="A428" s="131" t="str">
        <f>IF(分析!C428&lt;&gt;"",ROW()-2,"")</f>
        <v/>
      </c>
      <c r="B428" s="132" t="str">
        <f>IF(分析!C428&lt;&gt;"",HYPERLINK("https://kabutan.jp/stock/?code="&amp;分析!C428,"株探"),"")</f>
        <v/>
      </c>
      <c r="C428" s="133" t="str">
        <f>IF(分析!C428&lt;&gt;"",分析!C428,"")</f>
        <v/>
      </c>
      <c r="D428" s="134" t="str">
        <f>IF(分析!D428&lt;&gt;"",分析!D428,"")</f>
        <v/>
      </c>
      <c r="E428" s="135" t="str">
        <f>IF(分析!E428&lt;&gt;"",分析!E428,"")</f>
        <v/>
      </c>
      <c r="F428" s="136" t="str">
        <f>IF(分析!F428&lt;&gt;"",分析!F428,"")</f>
        <v/>
      </c>
      <c r="G428" s="136" t="str">
        <f>IF(分析!H428&lt;&gt;"",分析!H428,"")</f>
        <v/>
      </c>
      <c r="H428" s="136" t="str">
        <f>IF(分析!I428&lt;&gt;"",分析!I428,"")</f>
        <v/>
      </c>
      <c r="I428" s="136" t="str">
        <f>IF(分析!J428&lt;&gt;"",分析!J428,"")</f>
        <v/>
      </c>
      <c r="J428" s="136" t="str">
        <f>IF(分析!AB428&lt;&gt;"",分析!AB428,"")</f>
        <v/>
      </c>
      <c r="K428" s="136" t="str">
        <f>IF(分析!AC428&lt;&gt;"",分析!AC428,"")</f>
        <v/>
      </c>
      <c r="L428" s="136" t="str">
        <f>IF(分析!K428&lt;&gt;"",分析!K428,"")</f>
        <v/>
      </c>
      <c r="M428" s="131" t="str">
        <f>IF(分析!P428&lt;&gt;"",分析!P428,"")</f>
        <v/>
      </c>
      <c r="N428" s="137" t="str">
        <f>IF(分析!O428&lt;&gt;"",分析!O428,"")</f>
        <v/>
      </c>
      <c r="O428" s="138" t="str">
        <f>IF(分析!X428&lt;&gt;"",分析!X428,"")</f>
        <v/>
      </c>
      <c r="P428" s="139" t="str">
        <f>IF(分析!L428&lt;&gt;"",分析!L428,"")</f>
        <v/>
      </c>
      <c r="Q428" s="136" t="str">
        <f>IF(分析!S428&lt;&gt;"",分析!S428,"")</f>
        <v/>
      </c>
      <c r="R428" s="136" t="str">
        <f>IF(分析!R428&lt;&gt;"",分析!R428,"")</f>
        <v/>
      </c>
      <c r="S428" s="131" t="str">
        <f>IF(分析!AA428&lt;&gt;"",分析!AA428,"")</f>
        <v/>
      </c>
      <c r="T428" s="140" t="str">
        <f>IF(分析!Z428&lt;&gt;"",分析!Z428,"")</f>
        <v/>
      </c>
      <c r="U428" s="131" t="str">
        <f>IF(分析!V428&lt;&gt;"",分析!V428,"")</f>
        <v/>
      </c>
      <c r="V428" s="141" t="str">
        <f>IF(分析!W428&lt;&gt;"",分析!W428,"")</f>
        <v/>
      </c>
      <c r="W428" s="142" t="str">
        <f>IF(分析!AD428&lt;&gt;"",分析!AD428,"")</f>
        <v/>
      </c>
      <c r="X428" s="143" t="str">
        <f>IF(分析!AE428&lt;&gt;"",分析!AE428,"")</f>
        <v/>
      </c>
      <c r="Y428" s="144" t="str">
        <f>IF(分析!T428&lt;&gt;"",分析!T428,"")</f>
        <v/>
      </c>
      <c r="Z428" s="145" t="str">
        <f>IF(分析!Y428&lt;&gt;"",分析!Y428,"")</f>
        <v/>
      </c>
    </row>
    <row r="429" spans="1:26" ht="21.9" customHeight="1">
      <c r="A429" s="146" t="str">
        <f>IF(分析!C429&lt;&gt;"",ROW()-2,"")</f>
        <v/>
      </c>
      <c r="B429" s="147" t="str">
        <f>IF(分析!C429&lt;&gt;"",HYPERLINK("https://kabutan.jp/stock/?code="&amp;分析!C429,"株探"),"")</f>
        <v/>
      </c>
      <c r="C429" s="148" t="str">
        <f>IF(分析!C429&lt;&gt;"",分析!C429,"")</f>
        <v/>
      </c>
      <c r="D429" s="149" t="str">
        <f>IF(分析!D429&lt;&gt;"",分析!D429,"")</f>
        <v/>
      </c>
      <c r="E429" s="150" t="str">
        <f>IF(分析!E429&lt;&gt;"",分析!E429,"")</f>
        <v/>
      </c>
      <c r="F429" s="151" t="str">
        <f>IF(分析!F429&lt;&gt;"",分析!F429,"")</f>
        <v/>
      </c>
      <c r="G429" s="151" t="str">
        <f>IF(分析!H429&lt;&gt;"",分析!H429,"")</f>
        <v/>
      </c>
      <c r="H429" s="151" t="str">
        <f>IF(分析!I429&lt;&gt;"",分析!I429,"")</f>
        <v/>
      </c>
      <c r="I429" s="151" t="str">
        <f>IF(分析!J429&lt;&gt;"",分析!J429,"")</f>
        <v/>
      </c>
      <c r="J429" s="151" t="str">
        <f>IF(分析!AB429&lt;&gt;"",分析!AB429,"")</f>
        <v/>
      </c>
      <c r="K429" s="151" t="str">
        <f>IF(分析!AC429&lt;&gt;"",分析!AC429,"")</f>
        <v/>
      </c>
      <c r="L429" s="151" t="str">
        <f>IF(分析!K429&lt;&gt;"",分析!K429,"")</f>
        <v/>
      </c>
      <c r="M429" s="146" t="str">
        <f>IF(分析!P429&lt;&gt;"",分析!P429,"")</f>
        <v/>
      </c>
      <c r="N429" s="152" t="str">
        <f>IF(分析!O429&lt;&gt;"",分析!O429,"")</f>
        <v/>
      </c>
      <c r="O429" s="153" t="str">
        <f>IF(分析!X429&lt;&gt;"",分析!X429,"")</f>
        <v/>
      </c>
      <c r="P429" s="154" t="str">
        <f>IF(分析!L429&lt;&gt;"",分析!L429,"")</f>
        <v/>
      </c>
      <c r="Q429" s="151" t="str">
        <f>IF(分析!S429&lt;&gt;"",分析!S429,"")</f>
        <v/>
      </c>
      <c r="R429" s="151" t="str">
        <f>IF(分析!R429&lt;&gt;"",分析!R429,"")</f>
        <v/>
      </c>
      <c r="S429" s="146" t="str">
        <f>IF(分析!AA429&lt;&gt;"",分析!AA429,"")</f>
        <v/>
      </c>
      <c r="T429" s="155" t="str">
        <f>IF(分析!Z429&lt;&gt;"",分析!Z429,"")</f>
        <v/>
      </c>
      <c r="U429" s="146" t="str">
        <f>IF(分析!V429&lt;&gt;"",分析!V429,"")</f>
        <v/>
      </c>
      <c r="V429" s="156" t="str">
        <f>IF(分析!W429&lt;&gt;"",分析!W429,"")</f>
        <v/>
      </c>
      <c r="W429" s="157" t="str">
        <f>IF(分析!AD429&lt;&gt;"",分析!AD429,"")</f>
        <v/>
      </c>
      <c r="X429" s="158" t="str">
        <f>IF(分析!AE429&lt;&gt;"",分析!AE429,"")</f>
        <v/>
      </c>
      <c r="Y429" s="159" t="str">
        <f>IF(分析!T429&lt;&gt;"",分析!T429,"")</f>
        <v/>
      </c>
      <c r="Z429" s="145" t="str">
        <f>IF(分析!Y429&lt;&gt;"",分析!Y429,"")</f>
        <v/>
      </c>
    </row>
    <row r="430" spans="1:26" ht="21.9" customHeight="1">
      <c r="A430" s="131" t="str">
        <f>IF(分析!C430&lt;&gt;"",ROW()-2,"")</f>
        <v/>
      </c>
      <c r="B430" s="132" t="str">
        <f>IF(分析!C430&lt;&gt;"",HYPERLINK("https://kabutan.jp/stock/?code="&amp;分析!C430,"株探"),"")</f>
        <v/>
      </c>
      <c r="C430" s="133" t="str">
        <f>IF(分析!C430&lt;&gt;"",分析!C430,"")</f>
        <v/>
      </c>
      <c r="D430" s="134" t="str">
        <f>IF(分析!D430&lt;&gt;"",分析!D430,"")</f>
        <v/>
      </c>
      <c r="E430" s="135" t="str">
        <f>IF(分析!E430&lt;&gt;"",分析!E430,"")</f>
        <v/>
      </c>
      <c r="F430" s="136" t="str">
        <f>IF(分析!F430&lt;&gt;"",分析!F430,"")</f>
        <v/>
      </c>
      <c r="G430" s="136" t="str">
        <f>IF(分析!H430&lt;&gt;"",分析!H430,"")</f>
        <v/>
      </c>
      <c r="H430" s="136" t="str">
        <f>IF(分析!I430&lt;&gt;"",分析!I430,"")</f>
        <v/>
      </c>
      <c r="I430" s="136" t="str">
        <f>IF(分析!J430&lt;&gt;"",分析!J430,"")</f>
        <v/>
      </c>
      <c r="J430" s="136" t="str">
        <f>IF(分析!AB430&lt;&gt;"",分析!AB430,"")</f>
        <v/>
      </c>
      <c r="K430" s="136" t="str">
        <f>IF(分析!AC430&lt;&gt;"",分析!AC430,"")</f>
        <v/>
      </c>
      <c r="L430" s="136" t="str">
        <f>IF(分析!K430&lt;&gt;"",分析!K430,"")</f>
        <v/>
      </c>
      <c r="M430" s="131" t="str">
        <f>IF(分析!P430&lt;&gt;"",分析!P430,"")</f>
        <v/>
      </c>
      <c r="N430" s="137" t="str">
        <f>IF(分析!O430&lt;&gt;"",分析!O430,"")</f>
        <v/>
      </c>
      <c r="O430" s="138" t="str">
        <f>IF(分析!X430&lt;&gt;"",分析!X430,"")</f>
        <v/>
      </c>
      <c r="P430" s="139" t="str">
        <f>IF(分析!L430&lt;&gt;"",分析!L430,"")</f>
        <v/>
      </c>
      <c r="Q430" s="136" t="str">
        <f>IF(分析!S430&lt;&gt;"",分析!S430,"")</f>
        <v/>
      </c>
      <c r="R430" s="136" t="str">
        <f>IF(分析!R430&lt;&gt;"",分析!R430,"")</f>
        <v/>
      </c>
      <c r="S430" s="131" t="str">
        <f>IF(分析!AA430&lt;&gt;"",分析!AA430,"")</f>
        <v/>
      </c>
      <c r="T430" s="140" t="str">
        <f>IF(分析!Z430&lt;&gt;"",分析!Z430,"")</f>
        <v/>
      </c>
      <c r="U430" s="131" t="str">
        <f>IF(分析!V430&lt;&gt;"",分析!V430,"")</f>
        <v/>
      </c>
      <c r="V430" s="141" t="str">
        <f>IF(分析!W430&lt;&gt;"",分析!W430,"")</f>
        <v/>
      </c>
      <c r="W430" s="142" t="str">
        <f>IF(分析!AD430&lt;&gt;"",分析!AD430,"")</f>
        <v/>
      </c>
      <c r="X430" s="143" t="str">
        <f>IF(分析!AE430&lt;&gt;"",分析!AE430,"")</f>
        <v/>
      </c>
      <c r="Y430" s="144" t="str">
        <f>IF(分析!T430&lt;&gt;"",分析!T430,"")</f>
        <v/>
      </c>
      <c r="Z430" s="145" t="str">
        <f>IF(分析!Y430&lt;&gt;"",分析!Y430,"")</f>
        <v/>
      </c>
    </row>
    <row r="431" spans="1:26" ht="21.9" customHeight="1">
      <c r="A431" s="146" t="str">
        <f>IF(分析!C431&lt;&gt;"",ROW()-2,"")</f>
        <v/>
      </c>
      <c r="B431" s="147" t="str">
        <f>IF(分析!C431&lt;&gt;"",HYPERLINK("https://kabutan.jp/stock/?code="&amp;分析!C431,"株探"),"")</f>
        <v/>
      </c>
      <c r="C431" s="148" t="str">
        <f>IF(分析!C431&lt;&gt;"",分析!C431,"")</f>
        <v/>
      </c>
      <c r="D431" s="149" t="str">
        <f>IF(分析!D431&lt;&gt;"",分析!D431,"")</f>
        <v/>
      </c>
      <c r="E431" s="150" t="str">
        <f>IF(分析!E431&lt;&gt;"",分析!E431,"")</f>
        <v/>
      </c>
      <c r="F431" s="151" t="str">
        <f>IF(分析!F431&lt;&gt;"",分析!F431,"")</f>
        <v/>
      </c>
      <c r="G431" s="151" t="str">
        <f>IF(分析!H431&lt;&gt;"",分析!H431,"")</f>
        <v/>
      </c>
      <c r="H431" s="151" t="str">
        <f>IF(分析!I431&lt;&gt;"",分析!I431,"")</f>
        <v/>
      </c>
      <c r="I431" s="151" t="str">
        <f>IF(分析!J431&lt;&gt;"",分析!J431,"")</f>
        <v/>
      </c>
      <c r="J431" s="151" t="str">
        <f>IF(分析!AB431&lt;&gt;"",分析!AB431,"")</f>
        <v/>
      </c>
      <c r="K431" s="151" t="str">
        <f>IF(分析!AC431&lt;&gt;"",分析!AC431,"")</f>
        <v/>
      </c>
      <c r="L431" s="151" t="str">
        <f>IF(分析!K431&lt;&gt;"",分析!K431,"")</f>
        <v/>
      </c>
      <c r="M431" s="146" t="str">
        <f>IF(分析!P431&lt;&gt;"",分析!P431,"")</f>
        <v/>
      </c>
      <c r="N431" s="152" t="str">
        <f>IF(分析!O431&lt;&gt;"",分析!O431,"")</f>
        <v/>
      </c>
      <c r="O431" s="153" t="str">
        <f>IF(分析!X431&lt;&gt;"",分析!X431,"")</f>
        <v/>
      </c>
      <c r="P431" s="154" t="str">
        <f>IF(分析!L431&lt;&gt;"",分析!L431,"")</f>
        <v/>
      </c>
      <c r="Q431" s="151" t="str">
        <f>IF(分析!S431&lt;&gt;"",分析!S431,"")</f>
        <v/>
      </c>
      <c r="R431" s="151" t="str">
        <f>IF(分析!R431&lt;&gt;"",分析!R431,"")</f>
        <v/>
      </c>
      <c r="S431" s="146" t="str">
        <f>IF(分析!AA431&lt;&gt;"",分析!AA431,"")</f>
        <v/>
      </c>
      <c r="T431" s="155" t="str">
        <f>IF(分析!Z431&lt;&gt;"",分析!Z431,"")</f>
        <v/>
      </c>
      <c r="U431" s="146" t="str">
        <f>IF(分析!V431&lt;&gt;"",分析!V431,"")</f>
        <v/>
      </c>
      <c r="V431" s="156" t="str">
        <f>IF(分析!W431&lt;&gt;"",分析!W431,"")</f>
        <v/>
      </c>
      <c r="W431" s="157" t="str">
        <f>IF(分析!AD431&lt;&gt;"",分析!AD431,"")</f>
        <v/>
      </c>
      <c r="X431" s="158" t="str">
        <f>IF(分析!AE431&lt;&gt;"",分析!AE431,"")</f>
        <v/>
      </c>
      <c r="Y431" s="159" t="str">
        <f>IF(分析!T431&lt;&gt;"",分析!T431,"")</f>
        <v/>
      </c>
      <c r="Z431" s="145" t="str">
        <f>IF(分析!Y431&lt;&gt;"",分析!Y431,"")</f>
        <v/>
      </c>
    </row>
    <row r="432" spans="1:26" ht="21.9" customHeight="1">
      <c r="A432" s="131" t="str">
        <f>IF(分析!C432&lt;&gt;"",ROW()-2,"")</f>
        <v/>
      </c>
      <c r="B432" s="132" t="str">
        <f>IF(分析!C432&lt;&gt;"",HYPERLINK("https://kabutan.jp/stock/?code="&amp;分析!C432,"株探"),"")</f>
        <v/>
      </c>
      <c r="C432" s="133" t="str">
        <f>IF(分析!C432&lt;&gt;"",分析!C432,"")</f>
        <v/>
      </c>
      <c r="D432" s="134" t="str">
        <f>IF(分析!D432&lt;&gt;"",分析!D432,"")</f>
        <v/>
      </c>
      <c r="E432" s="135" t="str">
        <f>IF(分析!E432&lt;&gt;"",分析!E432,"")</f>
        <v/>
      </c>
      <c r="F432" s="136" t="str">
        <f>IF(分析!F432&lt;&gt;"",分析!F432,"")</f>
        <v/>
      </c>
      <c r="G432" s="136" t="str">
        <f>IF(分析!H432&lt;&gt;"",分析!H432,"")</f>
        <v/>
      </c>
      <c r="H432" s="136" t="str">
        <f>IF(分析!I432&lt;&gt;"",分析!I432,"")</f>
        <v/>
      </c>
      <c r="I432" s="136" t="str">
        <f>IF(分析!J432&lt;&gt;"",分析!J432,"")</f>
        <v/>
      </c>
      <c r="J432" s="136" t="str">
        <f>IF(分析!AB432&lt;&gt;"",分析!AB432,"")</f>
        <v/>
      </c>
      <c r="K432" s="136" t="str">
        <f>IF(分析!AC432&lt;&gt;"",分析!AC432,"")</f>
        <v/>
      </c>
      <c r="L432" s="136" t="str">
        <f>IF(分析!K432&lt;&gt;"",分析!K432,"")</f>
        <v/>
      </c>
      <c r="M432" s="131" t="str">
        <f>IF(分析!P432&lt;&gt;"",分析!P432,"")</f>
        <v/>
      </c>
      <c r="N432" s="137" t="str">
        <f>IF(分析!O432&lt;&gt;"",分析!O432,"")</f>
        <v/>
      </c>
      <c r="O432" s="138" t="str">
        <f>IF(分析!X432&lt;&gt;"",分析!X432,"")</f>
        <v/>
      </c>
      <c r="P432" s="139" t="str">
        <f>IF(分析!L432&lt;&gt;"",分析!L432,"")</f>
        <v/>
      </c>
      <c r="Q432" s="136" t="str">
        <f>IF(分析!S432&lt;&gt;"",分析!S432,"")</f>
        <v/>
      </c>
      <c r="R432" s="136" t="str">
        <f>IF(分析!R432&lt;&gt;"",分析!R432,"")</f>
        <v/>
      </c>
      <c r="S432" s="131" t="str">
        <f>IF(分析!AA432&lt;&gt;"",分析!AA432,"")</f>
        <v/>
      </c>
      <c r="T432" s="140" t="str">
        <f>IF(分析!Z432&lt;&gt;"",分析!Z432,"")</f>
        <v/>
      </c>
      <c r="U432" s="131" t="str">
        <f>IF(分析!V432&lt;&gt;"",分析!V432,"")</f>
        <v/>
      </c>
      <c r="V432" s="141" t="str">
        <f>IF(分析!W432&lt;&gt;"",分析!W432,"")</f>
        <v/>
      </c>
      <c r="W432" s="142" t="str">
        <f>IF(分析!AD432&lt;&gt;"",分析!AD432,"")</f>
        <v/>
      </c>
      <c r="X432" s="143" t="str">
        <f>IF(分析!AE432&lt;&gt;"",分析!AE432,"")</f>
        <v/>
      </c>
      <c r="Y432" s="144" t="str">
        <f>IF(分析!T432&lt;&gt;"",分析!T432,"")</f>
        <v/>
      </c>
      <c r="Z432" s="145" t="str">
        <f>IF(分析!Y432&lt;&gt;"",分析!Y432,"")</f>
        <v/>
      </c>
    </row>
    <row r="433" spans="1:26" ht="21.9" customHeight="1">
      <c r="A433" s="146" t="str">
        <f>IF(分析!C433&lt;&gt;"",ROW()-2,"")</f>
        <v/>
      </c>
      <c r="B433" s="147" t="str">
        <f>IF(分析!C433&lt;&gt;"",HYPERLINK("https://kabutan.jp/stock/?code="&amp;分析!C433,"株探"),"")</f>
        <v/>
      </c>
      <c r="C433" s="148" t="str">
        <f>IF(分析!C433&lt;&gt;"",分析!C433,"")</f>
        <v/>
      </c>
      <c r="D433" s="149" t="str">
        <f>IF(分析!D433&lt;&gt;"",分析!D433,"")</f>
        <v/>
      </c>
      <c r="E433" s="150" t="str">
        <f>IF(分析!E433&lt;&gt;"",分析!E433,"")</f>
        <v/>
      </c>
      <c r="F433" s="151" t="str">
        <f>IF(分析!F433&lt;&gt;"",分析!F433,"")</f>
        <v/>
      </c>
      <c r="G433" s="151" t="str">
        <f>IF(分析!H433&lt;&gt;"",分析!H433,"")</f>
        <v/>
      </c>
      <c r="H433" s="151" t="str">
        <f>IF(分析!I433&lt;&gt;"",分析!I433,"")</f>
        <v/>
      </c>
      <c r="I433" s="151" t="str">
        <f>IF(分析!J433&lt;&gt;"",分析!J433,"")</f>
        <v/>
      </c>
      <c r="J433" s="151" t="str">
        <f>IF(分析!AB433&lt;&gt;"",分析!AB433,"")</f>
        <v/>
      </c>
      <c r="K433" s="151" t="str">
        <f>IF(分析!AC433&lt;&gt;"",分析!AC433,"")</f>
        <v/>
      </c>
      <c r="L433" s="151" t="str">
        <f>IF(分析!K433&lt;&gt;"",分析!K433,"")</f>
        <v/>
      </c>
      <c r="M433" s="146" t="str">
        <f>IF(分析!P433&lt;&gt;"",分析!P433,"")</f>
        <v/>
      </c>
      <c r="N433" s="152" t="str">
        <f>IF(分析!O433&lt;&gt;"",分析!O433,"")</f>
        <v/>
      </c>
      <c r="O433" s="153" t="str">
        <f>IF(分析!X433&lt;&gt;"",分析!X433,"")</f>
        <v/>
      </c>
      <c r="P433" s="154" t="str">
        <f>IF(分析!L433&lt;&gt;"",分析!L433,"")</f>
        <v/>
      </c>
      <c r="Q433" s="151" t="str">
        <f>IF(分析!S433&lt;&gt;"",分析!S433,"")</f>
        <v/>
      </c>
      <c r="R433" s="151" t="str">
        <f>IF(分析!R433&lt;&gt;"",分析!R433,"")</f>
        <v/>
      </c>
      <c r="S433" s="146" t="str">
        <f>IF(分析!AA433&lt;&gt;"",分析!AA433,"")</f>
        <v/>
      </c>
      <c r="T433" s="155" t="str">
        <f>IF(分析!Z433&lt;&gt;"",分析!Z433,"")</f>
        <v/>
      </c>
      <c r="U433" s="146" t="str">
        <f>IF(分析!V433&lt;&gt;"",分析!V433,"")</f>
        <v/>
      </c>
      <c r="V433" s="156" t="str">
        <f>IF(分析!W433&lt;&gt;"",分析!W433,"")</f>
        <v/>
      </c>
      <c r="W433" s="157" t="str">
        <f>IF(分析!AD433&lt;&gt;"",分析!AD433,"")</f>
        <v/>
      </c>
      <c r="X433" s="158" t="str">
        <f>IF(分析!AE433&lt;&gt;"",分析!AE433,"")</f>
        <v/>
      </c>
      <c r="Y433" s="159" t="str">
        <f>IF(分析!T433&lt;&gt;"",分析!T433,"")</f>
        <v/>
      </c>
      <c r="Z433" s="145" t="str">
        <f>IF(分析!Y433&lt;&gt;"",分析!Y433,"")</f>
        <v/>
      </c>
    </row>
    <row r="434" spans="1:26" ht="21.9" customHeight="1">
      <c r="A434" s="131" t="str">
        <f>IF(分析!C434&lt;&gt;"",ROW()-2,"")</f>
        <v/>
      </c>
      <c r="B434" s="132" t="str">
        <f>IF(分析!C434&lt;&gt;"",HYPERLINK("https://kabutan.jp/stock/?code="&amp;分析!C434,"株探"),"")</f>
        <v/>
      </c>
      <c r="C434" s="133" t="str">
        <f>IF(分析!C434&lt;&gt;"",分析!C434,"")</f>
        <v/>
      </c>
      <c r="D434" s="134" t="str">
        <f>IF(分析!D434&lt;&gt;"",分析!D434,"")</f>
        <v/>
      </c>
      <c r="E434" s="135" t="str">
        <f>IF(分析!E434&lt;&gt;"",分析!E434,"")</f>
        <v/>
      </c>
      <c r="F434" s="136" t="str">
        <f>IF(分析!F434&lt;&gt;"",分析!F434,"")</f>
        <v/>
      </c>
      <c r="G434" s="136" t="str">
        <f>IF(分析!H434&lt;&gt;"",分析!H434,"")</f>
        <v/>
      </c>
      <c r="H434" s="136" t="str">
        <f>IF(分析!I434&lt;&gt;"",分析!I434,"")</f>
        <v/>
      </c>
      <c r="I434" s="136" t="str">
        <f>IF(分析!J434&lt;&gt;"",分析!J434,"")</f>
        <v/>
      </c>
      <c r="J434" s="136" t="str">
        <f>IF(分析!AB434&lt;&gt;"",分析!AB434,"")</f>
        <v/>
      </c>
      <c r="K434" s="136" t="str">
        <f>IF(分析!AC434&lt;&gt;"",分析!AC434,"")</f>
        <v/>
      </c>
      <c r="L434" s="136" t="str">
        <f>IF(分析!K434&lt;&gt;"",分析!K434,"")</f>
        <v/>
      </c>
      <c r="M434" s="131" t="str">
        <f>IF(分析!P434&lt;&gt;"",分析!P434,"")</f>
        <v/>
      </c>
      <c r="N434" s="137" t="str">
        <f>IF(分析!O434&lt;&gt;"",分析!O434,"")</f>
        <v/>
      </c>
      <c r="O434" s="138" t="str">
        <f>IF(分析!X434&lt;&gt;"",分析!X434,"")</f>
        <v/>
      </c>
      <c r="P434" s="139" t="str">
        <f>IF(分析!L434&lt;&gt;"",分析!L434,"")</f>
        <v/>
      </c>
      <c r="Q434" s="136" t="str">
        <f>IF(分析!S434&lt;&gt;"",分析!S434,"")</f>
        <v/>
      </c>
      <c r="R434" s="136" t="str">
        <f>IF(分析!R434&lt;&gt;"",分析!R434,"")</f>
        <v/>
      </c>
      <c r="S434" s="131" t="str">
        <f>IF(分析!AA434&lt;&gt;"",分析!AA434,"")</f>
        <v/>
      </c>
      <c r="T434" s="140" t="str">
        <f>IF(分析!Z434&lt;&gt;"",分析!Z434,"")</f>
        <v/>
      </c>
      <c r="U434" s="131" t="str">
        <f>IF(分析!V434&lt;&gt;"",分析!V434,"")</f>
        <v/>
      </c>
      <c r="V434" s="141" t="str">
        <f>IF(分析!W434&lt;&gt;"",分析!W434,"")</f>
        <v/>
      </c>
      <c r="W434" s="142" t="str">
        <f>IF(分析!AD434&lt;&gt;"",分析!AD434,"")</f>
        <v/>
      </c>
      <c r="X434" s="143" t="str">
        <f>IF(分析!AE434&lt;&gt;"",分析!AE434,"")</f>
        <v/>
      </c>
      <c r="Y434" s="144" t="str">
        <f>IF(分析!T434&lt;&gt;"",分析!T434,"")</f>
        <v/>
      </c>
      <c r="Z434" s="145" t="str">
        <f>IF(分析!Y434&lt;&gt;"",分析!Y434,"")</f>
        <v/>
      </c>
    </row>
    <row r="435" spans="1:26" ht="21.9" customHeight="1">
      <c r="A435" s="146" t="str">
        <f>IF(分析!C435&lt;&gt;"",ROW()-2,"")</f>
        <v/>
      </c>
      <c r="B435" s="147" t="str">
        <f>IF(分析!C435&lt;&gt;"",HYPERLINK("https://kabutan.jp/stock/?code="&amp;分析!C435,"株探"),"")</f>
        <v/>
      </c>
      <c r="C435" s="148" t="str">
        <f>IF(分析!C435&lt;&gt;"",分析!C435,"")</f>
        <v/>
      </c>
      <c r="D435" s="149" t="str">
        <f>IF(分析!D435&lt;&gt;"",分析!D435,"")</f>
        <v/>
      </c>
      <c r="E435" s="150" t="str">
        <f>IF(分析!E435&lt;&gt;"",分析!E435,"")</f>
        <v/>
      </c>
      <c r="F435" s="151" t="str">
        <f>IF(分析!F435&lt;&gt;"",分析!F435,"")</f>
        <v/>
      </c>
      <c r="G435" s="151" t="str">
        <f>IF(分析!H435&lt;&gt;"",分析!H435,"")</f>
        <v/>
      </c>
      <c r="H435" s="151" t="str">
        <f>IF(分析!I435&lt;&gt;"",分析!I435,"")</f>
        <v/>
      </c>
      <c r="I435" s="151" t="str">
        <f>IF(分析!J435&lt;&gt;"",分析!J435,"")</f>
        <v/>
      </c>
      <c r="J435" s="151" t="str">
        <f>IF(分析!AB435&lt;&gt;"",分析!AB435,"")</f>
        <v/>
      </c>
      <c r="K435" s="151" t="str">
        <f>IF(分析!AC435&lt;&gt;"",分析!AC435,"")</f>
        <v/>
      </c>
      <c r="L435" s="151" t="str">
        <f>IF(分析!K435&lt;&gt;"",分析!K435,"")</f>
        <v/>
      </c>
      <c r="M435" s="146" t="str">
        <f>IF(分析!P435&lt;&gt;"",分析!P435,"")</f>
        <v/>
      </c>
      <c r="N435" s="152" t="str">
        <f>IF(分析!O435&lt;&gt;"",分析!O435,"")</f>
        <v/>
      </c>
      <c r="O435" s="153" t="str">
        <f>IF(分析!X435&lt;&gt;"",分析!X435,"")</f>
        <v/>
      </c>
      <c r="P435" s="154" t="str">
        <f>IF(分析!L435&lt;&gt;"",分析!L435,"")</f>
        <v/>
      </c>
      <c r="Q435" s="151" t="str">
        <f>IF(分析!S435&lt;&gt;"",分析!S435,"")</f>
        <v/>
      </c>
      <c r="R435" s="151" t="str">
        <f>IF(分析!R435&lt;&gt;"",分析!R435,"")</f>
        <v/>
      </c>
      <c r="S435" s="146" t="str">
        <f>IF(分析!AA435&lt;&gt;"",分析!AA435,"")</f>
        <v/>
      </c>
      <c r="T435" s="155" t="str">
        <f>IF(分析!Z435&lt;&gt;"",分析!Z435,"")</f>
        <v/>
      </c>
      <c r="U435" s="146" t="str">
        <f>IF(分析!V435&lt;&gt;"",分析!V435,"")</f>
        <v/>
      </c>
      <c r="V435" s="156" t="str">
        <f>IF(分析!W435&lt;&gt;"",分析!W435,"")</f>
        <v/>
      </c>
      <c r="W435" s="157" t="str">
        <f>IF(分析!AD435&lt;&gt;"",分析!AD435,"")</f>
        <v/>
      </c>
      <c r="X435" s="158" t="str">
        <f>IF(分析!AE435&lt;&gt;"",分析!AE435,"")</f>
        <v/>
      </c>
      <c r="Y435" s="159" t="str">
        <f>IF(分析!T435&lt;&gt;"",分析!T435,"")</f>
        <v/>
      </c>
      <c r="Z435" s="145" t="str">
        <f>IF(分析!Y435&lt;&gt;"",分析!Y435,"")</f>
        <v/>
      </c>
    </row>
    <row r="436" spans="1:26" ht="21.9" customHeight="1">
      <c r="A436" s="131" t="str">
        <f>IF(分析!C436&lt;&gt;"",ROW()-2,"")</f>
        <v/>
      </c>
      <c r="B436" s="132" t="str">
        <f>IF(分析!C436&lt;&gt;"",HYPERLINK("https://kabutan.jp/stock/?code="&amp;分析!C436,"株探"),"")</f>
        <v/>
      </c>
      <c r="C436" s="133" t="str">
        <f>IF(分析!C436&lt;&gt;"",分析!C436,"")</f>
        <v/>
      </c>
      <c r="D436" s="134" t="str">
        <f>IF(分析!D436&lt;&gt;"",分析!D436,"")</f>
        <v/>
      </c>
      <c r="E436" s="135" t="str">
        <f>IF(分析!E436&lt;&gt;"",分析!E436,"")</f>
        <v/>
      </c>
      <c r="F436" s="136" t="str">
        <f>IF(分析!F436&lt;&gt;"",分析!F436,"")</f>
        <v/>
      </c>
      <c r="G436" s="136" t="str">
        <f>IF(分析!H436&lt;&gt;"",分析!H436,"")</f>
        <v/>
      </c>
      <c r="H436" s="136" t="str">
        <f>IF(分析!I436&lt;&gt;"",分析!I436,"")</f>
        <v/>
      </c>
      <c r="I436" s="136" t="str">
        <f>IF(分析!J436&lt;&gt;"",分析!J436,"")</f>
        <v/>
      </c>
      <c r="J436" s="136" t="str">
        <f>IF(分析!AB436&lt;&gt;"",分析!AB436,"")</f>
        <v/>
      </c>
      <c r="K436" s="136" t="str">
        <f>IF(分析!AC436&lt;&gt;"",分析!AC436,"")</f>
        <v/>
      </c>
      <c r="L436" s="136" t="str">
        <f>IF(分析!K436&lt;&gt;"",分析!K436,"")</f>
        <v/>
      </c>
      <c r="M436" s="131" t="str">
        <f>IF(分析!P436&lt;&gt;"",分析!P436,"")</f>
        <v/>
      </c>
      <c r="N436" s="137" t="str">
        <f>IF(分析!O436&lt;&gt;"",分析!O436,"")</f>
        <v/>
      </c>
      <c r="O436" s="138" t="str">
        <f>IF(分析!X436&lt;&gt;"",分析!X436,"")</f>
        <v/>
      </c>
      <c r="P436" s="139" t="str">
        <f>IF(分析!L436&lt;&gt;"",分析!L436,"")</f>
        <v/>
      </c>
      <c r="Q436" s="136" t="str">
        <f>IF(分析!S436&lt;&gt;"",分析!S436,"")</f>
        <v/>
      </c>
      <c r="R436" s="136" t="str">
        <f>IF(分析!R436&lt;&gt;"",分析!R436,"")</f>
        <v/>
      </c>
      <c r="S436" s="131" t="str">
        <f>IF(分析!AA436&lt;&gt;"",分析!AA436,"")</f>
        <v/>
      </c>
      <c r="T436" s="140" t="str">
        <f>IF(分析!Z436&lt;&gt;"",分析!Z436,"")</f>
        <v/>
      </c>
      <c r="U436" s="131" t="str">
        <f>IF(分析!V436&lt;&gt;"",分析!V436,"")</f>
        <v/>
      </c>
      <c r="V436" s="141" t="str">
        <f>IF(分析!W436&lt;&gt;"",分析!W436,"")</f>
        <v/>
      </c>
      <c r="W436" s="142" t="str">
        <f>IF(分析!AD436&lt;&gt;"",分析!AD436,"")</f>
        <v/>
      </c>
      <c r="X436" s="143" t="str">
        <f>IF(分析!AE436&lt;&gt;"",分析!AE436,"")</f>
        <v/>
      </c>
      <c r="Y436" s="144" t="str">
        <f>IF(分析!T436&lt;&gt;"",分析!T436,"")</f>
        <v/>
      </c>
      <c r="Z436" s="145" t="str">
        <f>IF(分析!Y436&lt;&gt;"",分析!Y436,"")</f>
        <v/>
      </c>
    </row>
    <row r="437" spans="1:26" ht="21.9" customHeight="1">
      <c r="A437" s="146" t="str">
        <f>IF(分析!C437&lt;&gt;"",ROW()-2,"")</f>
        <v/>
      </c>
      <c r="B437" s="147" t="str">
        <f>IF(分析!C437&lt;&gt;"",HYPERLINK("https://kabutan.jp/stock/?code="&amp;分析!C437,"株探"),"")</f>
        <v/>
      </c>
      <c r="C437" s="148" t="str">
        <f>IF(分析!C437&lt;&gt;"",分析!C437,"")</f>
        <v/>
      </c>
      <c r="D437" s="149" t="str">
        <f>IF(分析!D437&lt;&gt;"",分析!D437,"")</f>
        <v/>
      </c>
      <c r="E437" s="150" t="str">
        <f>IF(分析!E437&lt;&gt;"",分析!E437,"")</f>
        <v/>
      </c>
      <c r="F437" s="151" t="str">
        <f>IF(分析!F437&lt;&gt;"",分析!F437,"")</f>
        <v/>
      </c>
      <c r="G437" s="151" t="str">
        <f>IF(分析!H437&lt;&gt;"",分析!H437,"")</f>
        <v/>
      </c>
      <c r="H437" s="151" t="str">
        <f>IF(分析!I437&lt;&gt;"",分析!I437,"")</f>
        <v/>
      </c>
      <c r="I437" s="151" t="str">
        <f>IF(分析!J437&lt;&gt;"",分析!J437,"")</f>
        <v/>
      </c>
      <c r="J437" s="151" t="str">
        <f>IF(分析!AB437&lt;&gt;"",分析!AB437,"")</f>
        <v/>
      </c>
      <c r="K437" s="151" t="str">
        <f>IF(分析!AC437&lt;&gt;"",分析!AC437,"")</f>
        <v/>
      </c>
      <c r="L437" s="151" t="str">
        <f>IF(分析!K437&lt;&gt;"",分析!K437,"")</f>
        <v/>
      </c>
      <c r="M437" s="146" t="str">
        <f>IF(分析!P437&lt;&gt;"",分析!P437,"")</f>
        <v/>
      </c>
      <c r="N437" s="152" t="str">
        <f>IF(分析!O437&lt;&gt;"",分析!O437,"")</f>
        <v/>
      </c>
      <c r="O437" s="153" t="str">
        <f>IF(分析!X437&lt;&gt;"",分析!X437,"")</f>
        <v/>
      </c>
      <c r="P437" s="154" t="str">
        <f>IF(分析!L437&lt;&gt;"",分析!L437,"")</f>
        <v/>
      </c>
      <c r="Q437" s="151" t="str">
        <f>IF(分析!S437&lt;&gt;"",分析!S437,"")</f>
        <v/>
      </c>
      <c r="R437" s="151" t="str">
        <f>IF(分析!R437&lt;&gt;"",分析!R437,"")</f>
        <v/>
      </c>
      <c r="S437" s="146" t="str">
        <f>IF(分析!AA437&lt;&gt;"",分析!AA437,"")</f>
        <v/>
      </c>
      <c r="T437" s="155" t="str">
        <f>IF(分析!Z437&lt;&gt;"",分析!Z437,"")</f>
        <v/>
      </c>
      <c r="U437" s="146" t="str">
        <f>IF(分析!V437&lt;&gt;"",分析!V437,"")</f>
        <v/>
      </c>
      <c r="V437" s="156" t="str">
        <f>IF(分析!W437&lt;&gt;"",分析!W437,"")</f>
        <v/>
      </c>
      <c r="W437" s="157" t="str">
        <f>IF(分析!AD437&lt;&gt;"",分析!AD437,"")</f>
        <v/>
      </c>
      <c r="X437" s="158" t="str">
        <f>IF(分析!AE437&lt;&gt;"",分析!AE437,"")</f>
        <v/>
      </c>
      <c r="Y437" s="159" t="str">
        <f>IF(分析!T437&lt;&gt;"",分析!T437,"")</f>
        <v/>
      </c>
      <c r="Z437" s="145" t="str">
        <f>IF(分析!Y437&lt;&gt;"",分析!Y437,"")</f>
        <v/>
      </c>
    </row>
    <row r="438" spans="1:26" ht="21.9" customHeight="1">
      <c r="A438" s="131" t="str">
        <f>IF(分析!C438&lt;&gt;"",ROW()-2,"")</f>
        <v/>
      </c>
      <c r="B438" s="132" t="str">
        <f>IF(分析!C438&lt;&gt;"",HYPERLINK("https://kabutan.jp/stock/?code="&amp;分析!C438,"株探"),"")</f>
        <v/>
      </c>
      <c r="C438" s="133" t="str">
        <f>IF(分析!C438&lt;&gt;"",分析!C438,"")</f>
        <v/>
      </c>
      <c r="D438" s="134" t="str">
        <f>IF(分析!D438&lt;&gt;"",分析!D438,"")</f>
        <v/>
      </c>
      <c r="E438" s="135" t="str">
        <f>IF(分析!E438&lt;&gt;"",分析!E438,"")</f>
        <v/>
      </c>
      <c r="F438" s="136" t="str">
        <f>IF(分析!F438&lt;&gt;"",分析!F438,"")</f>
        <v/>
      </c>
      <c r="G438" s="136" t="str">
        <f>IF(分析!H438&lt;&gt;"",分析!H438,"")</f>
        <v/>
      </c>
      <c r="H438" s="136" t="str">
        <f>IF(分析!I438&lt;&gt;"",分析!I438,"")</f>
        <v/>
      </c>
      <c r="I438" s="136" t="str">
        <f>IF(分析!J438&lt;&gt;"",分析!J438,"")</f>
        <v/>
      </c>
      <c r="J438" s="136" t="str">
        <f>IF(分析!AB438&lt;&gt;"",分析!AB438,"")</f>
        <v/>
      </c>
      <c r="K438" s="136" t="str">
        <f>IF(分析!AC438&lt;&gt;"",分析!AC438,"")</f>
        <v/>
      </c>
      <c r="L438" s="136" t="str">
        <f>IF(分析!K438&lt;&gt;"",分析!K438,"")</f>
        <v/>
      </c>
      <c r="M438" s="131" t="str">
        <f>IF(分析!P438&lt;&gt;"",分析!P438,"")</f>
        <v/>
      </c>
      <c r="N438" s="137" t="str">
        <f>IF(分析!O438&lt;&gt;"",分析!O438,"")</f>
        <v/>
      </c>
      <c r="O438" s="138" t="str">
        <f>IF(分析!X438&lt;&gt;"",分析!X438,"")</f>
        <v/>
      </c>
      <c r="P438" s="139" t="str">
        <f>IF(分析!L438&lt;&gt;"",分析!L438,"")</f>
        <v/>
      </c>
      <c r="Q438" s="136" t="str">
        <f>IF(分析!S438&lt;&gt;"",分析!S438,"")</f>
        <v/>
      </c>
      <c r="R438" s="136" t="str">
        <f>IF(分析!R438&lt;&gt;"",分析!R438,"")</f>
        <v/>
      </c>
      <c r="S438" s="131" t="str">
        <f>IF(分析!AA438&lt;&gt;"",分析!AA438,"")</f>
        <v/>
      </c>
      <c r="T438" s="140" t="str">
        <f>IF(分析!Z438&lt;&gt;"",分析!Z438,"")</f>
        <v/>
      </c>
      <c r="U438" s="131" t="str">
        <f>IF(分析!V438&lt;&gt;"",分析!V438,"")</f>
        <v/>
      </c>
      <c r="V438" s="141" t="str">
        <f>IF(分析!W438&lt;&gt;"",分析!W438,"")</f>
        <v/>
      </c>
      <c r="W438" s="142" t="str">
        <f>IF(分析!AD438&lt;&gt;"",分析!AD438,"")</f>
        <v/>
      </c>
      <c r="X438" s="143" t="str">
        <f>IF(分析!AE438&lt;&gt;"",分析!AE438,"")</f>
        <v/>
      </c>
      <c r="Y438" s="144" t="str">
        <f>IF(分析!T438&lt;&gt;"",分析!T438,"")</f>
        <v/>
      </c>
      <c r="Z438" s="145" t="str">
        <f>IF(分析!Y438&lt;&gt;"",分析!Y438,"")</f>
        <v/>
      </c>
    </row>
    <row r="439" spans="1:26" ht="21.9" customHeight="1">
      <c r="A439" s="146" t="str">
        <f>IF(分析!C439&lt;&gt;"",ROW()-2,"")</f>
        <v/>
      </c>
      <c r="B439" s="147" t="str">
        <f>IF(分析!C439&lt;&gt;"",HYPERLINK("https://kabutan.jp/stock/?code="&amp;分析!C439,"株探"),"")</f>
        <v/>
      </c>
      <c r="C439" s="148" t="str">
        <f>IF(分析!C439&lt;&gt;"",分析!C439,"")</f>
        <v/>
      </c>
      <c r="D439" s="149" t="str">
        <f>IF(分析!D439&lt;&gt;"",分析!D439,"")</f>
        <v/>
      </c>
      <c r="E439" s="150" t="str">
        <f>IF(分析!E439&lt;&gt;"",分析!E439,"")</f>
        <v/>
      </c>
      <c r="F439" s="151" t="str">
        <f>IF(分析!F439&lt;&gt;"",分析!F439,"")</f>
        <v/>
      </c>
      <c r="G439" s="151" t="str">
        <f>IF(分析!H439&lt;&gt;"",分析!H439,"")</f>
        <v/>
      </c>
      <c r="H439" s="151" t="str">
        <f>IF(分析!I439&lt;&gt;"",分析!I439,"")</f>
        <v/>
      </c>
      <c r="I439" s="151" t="str">
        <f>IF(分析!J439&lt;&gt;"",分析!J439,"")</f>
        <v/>
      </c>
      <c r="J439" s="151" t="str">
        <f>IF(分析!AB439&lt;&gt;"",分析!AB439,"")</f>
        <v/>
      </c>
      <c r="K439" s="151" t="str">
        <f>IF(分析!AC439&lt;&gt;"",分析!AC439,"")</f>
        <v/>
      </c>
      <c r="L439" s="151" t="str">
        <f>IF(分析!K439&lt;&gt;"",分析!K439,"")</f>
        <v/>
      </c>
      <c r="M439" s="146" t="str">
        <f>IF(分析!P439&lt;&gt;"",分析!P439,"")</f>
        <v/>
      </c>
      <c r="N439" s="152" t="str">
        <f>IF(分析!O439&lt;&gt;"",分析!O439,"")</f>
        <v/>
      </c>
      <c r="O439" s="153" t="str">
        <f>IF(分析!X439&lt;&gt;"",分析!X439,"")</f>
        <v/>
      </c>
      <c r="P439" s="154" t="str">
        <f>IF(分析!L439&lt;&gt;"",分析!L439,"")</f>
        <v/>
      </c>
      <c r="Q439" s="151" t="str">
        <f>IF(分析!S439&lt;&gt;"",分析!S439,"")</f>
        <v/>
      </c>
      <c r="R439" s="151" t="str">
        <f>IF(分析!R439&lt;&gt;"",分析!R439,"")</f>
        <v/>
      </c>
      <c r="S439" s="146" t="str">
        <f>IF(分析!AA439&lt;&gt;"",分析!AA439,"")</f>
        <v/>
      </c>
      <c r="T439" s="155" t="str">
        <f>IF(分析!Z439&lt;&gt;"",分析!Z439,"")</f>
        <v/>
      </c>
      <c r="U439" s="146" t="str">
        <f>IF(分析!V439&lt;&gt;"",分析!V439,"")</f>
        <v/>
      </c>
      <c r="V439" s="156" t="str">
        <f>IF(分析!W439&lt;&gt;"",分析!W439,"")</f>
        <v/>
      </c>
      <c r="W439" s="157" t="str">
        <f>IF(分析!AD439&lt;&gt;"",分析!AD439,"")</f>
        <v/>
      </c>
      <c r="X439" s="158" t="str">
        <f>IF(分析!AE439&lt;&gt;"",分析!AE439,"")</f>
        <v/>
      </c>
      <c r="Y439" s="159" t="str">
        <f>IF(分析!T439&lt;&gt;"",分析!T439,"")</f>
        <v/>
      </c>
      <c r="Z439" s="145" t="str">
        <f>IF(分析!Y439&lt;&gt;"",分析!Y439,"")</f>
        <v/>
      </c>
    </row>
    <row r="440" spans="1:26" ht="21.9" customHeight="1">
      <c r="A440" s="131" t="str">
        <f>IF(分析!C440&lt;&gt;"",ROW()-2,"")</f>
        <v/>
      </c>
      <c r="B440" s="132" t="str">
        <f>IF(分析!C440&lt;&gt;"",HYPERLINK("https://kabutan.jp/stock/?code="&amp;分析!C440,"株探"),"")</f>
        <v/>
      </c>
      <c r="C440" s="133" t="str">
        <f>IF(分析!C440&lt;&gt;"",分析!C440,"")</f>
        <v/>
      </c>
      <c r="D440" s="134" t="str">
        <f>IF(分析!D440&lt;&gt;"",分析!D440,"")</f>
        <v/>
      </c>
      <c r="E440" s="135" t="str">
        <f>IF(分析!E440&lt;&gt;"",分析!E440,"")</f>
        <v/>
      </c>
      <c r="F440" s="136" t="str">
        <f>IF(分析!F440&lt;&gt;"",分析!F440,"")</f>
        <v/>
      </c>
      <c r="G440" s="136" t="str">
        <f>IF(分析!H440&lt;&gt;"",分析!H440,"")</f>
        <v/>
      </c>
      <c r="H440" s="136" t="str">
        <f>IF(分析!I440&lt;&gt;"",分析!I440,"")</f>
        <v/>
      </c>
      <c r="I440" s="136" t="str">
        <f>IF(分析!J440&lt;&gt;"",分析!J440,"")</f>
        <v/>
      </c>
      <c r="J440" s="136" t="str">
        <f>IF(分析!AB440&lt;&gt;"",分析!AB440,"")</f>
        <v/>
      </c>
      <c r="K440" s="136" t="str">
        <f>IF(分析!AC440&lt;&gt;"",分析!AC440,"")</f>
        <v/>
      </c>
      <c r="L440" s="136" t="str">
        <f>IF(分析!K440&lt;&gt;"",分析!K440,"")</f>
        <v/>
      </c>
      <c r="M440" s="131" t="str">
        <f>IF(分析!P440&lt;&gt;"",分析!P440,"")</f>
        <v/>
      </c>
      <c r="N440" s="137" t="str">
        <f>IF(分析!O440&lt;&gt;"",分析!O440,"")</f>
        <v/>
      </c>
      <c r="O440" s="138" t="str">
        <f>IF(分析!X440&lt;&gt;"",分析!X440,"")</f>
        <v/>
      </c>
      <c r="P440" s="139" t="str">
        <f>IF(分析!L440&lt;&gt;"",分析!L440,"")</f>
        <v/>
      </c>
      <c r="Q440" s="136" t="str">
        <f>IF(分析!S440&lt;&gt;"",分析!S440,"")</f>
        <v/>
      </c>
      <c r="R440" s="136" t="str">
        <f>IF(分析!R440&lt;&gt;"",分析!R440,"")</f>
        <v/>
      </c>
      <c r="S440" s="131" t="str">
        <f>IF(分析!AA440&lt;&gt;"",分析!AA440,"")</f>
        <v/>
      </c>
      <c r="T440" s="140" t="str">
        <f>IF(分析!Z440&lt;&gt;"",分析!Z440,"")</f>
        <v/>
      </c>
      <c r="U440" s="131" t="str">
        <f>IF(分析!V440&lt;&gt;"",分析!V440,"")</f>
        <v/>
      </c>
      <c r="V440" s="141" t="str">
        <f>IF(分析!W440&lt;&gt;"",分析!W440,"")</f>
        <v/>
      </c>
      <c r="W440" s="142" t="str">
        <f>IF(分析!AD440&lt;&gt;"",分析!AD440,"")</f>
        <v/>
      </c>
      <c r="X440" s="143" t="str">
        <f>IF(分析!AE440&lt;&gt;"",分析!AE440,"")</f>
        <v/>
      </c>
      <c r="Y440" s="144" t="str">
        <f>IF(分析!T440&lt;&gt;"",分析!T440,"")</f>
        <v/>
      </c>
      <c r="Z440" s="145" t="str">
        <f>IF(分析!Y440&lt;&gt;"",分析!Y440,"")</f>
        <v/>
      </c>
    </row>
    <row r="441" spans="1:26" ht="21.9" customHeight="1">
      <c r="A441" s="146" t="str">
        <f>IF(分析!C441&lt;&gt;"",ROW()-2,"")</f>
        <v/>
      </c>
      <c r="B441" s="147" t="str">
        <f>IF(分析!C441&lt;&gt;"",HYPERLINK("https://kabutan.jp/stock/?code="&amp;分析!C441,"株探"),"")</f>
        <v/>
      </c>
      <c r="C441" s="148" t="str">
        <f>IF(分析!C441&lt;&gt;"",分析!C441,"")</f>
        <v/>
      </c>
      <c r="D441" s="149" t="str">
        <f>IF(分析!D441&lt;&gt;"",分析!D441,"")</f>
        <v/>
      </c>
      <c r="E441" s="150" t="str">
        <f>IF(分析!E441&lt;&gt;"",分析!E441,"")</f>
        <v/>
      </c>
      <c r="F441" s="151" t="str">
        <f>IF(分析!F441&lt;&gt;"",分析!F441,"")</f>
        <v/>
      </c>
      <c r="G441" s="151" t="str">
        <f>IF(分析!H441&lt;&gt;"",分析!H441,"")</f>
        <v/>
      </c>
      <c r="H441" s="151" t="str">
        <f>IF(分析!I441&lt;&gt;"",分析!I441,"")</f>
        <v/>
      </c>
      <c r="I441" s="151" t="str">
        <f>IF(分析!J441&lt;&gt;"",分析!J441,"")</f>
        <v/>
      </c>
      <c r="J441" s="151" t="str">
        <f>IF(分析!AB441&lt;&gt;"",分析!AB441,"")</f>
        <v/>
      </c>
      <c r="K441" s="151" t="str">
        <f>IF(分析!AC441&lt;&gt;"",分析!AC441,"")</f>
        <v/>
      </c>
      <c r="L441" s="151" t="str">
        <f>IF(分析!K441&lt;&gt;"",分析!K441,"")</f>
        <v/>
      </c>
      <c r="M441" s="146" t="str">
        <f>IF(分析!P441&lt;&gt;"",分析!P441,"")</f>
        <v/>
      </c>
      <c r="N441" s="152" t="str">
        <f>IF(分析!O441&lt;&gt;"",分析!O441,"")</f>
        <v/>
      </c>
      <c r="O441" s="153" t="str">
        <f>IF(分析!X441&lt;&gt;"",分析!X441,"")</f>
        <v/>
      </c>
      <c r="P441" s="154" t="str">
        <f>IF(分析!L441&lt;&gt;"",分析!L441,"")</f>
        <v/>
      </c>
      <c r="Q441" s="151" t="str">
        <f>IF(分析!S441&lt;&gt;"",分析!S441,"")</f>
        <v/>
      </c>
      <c r="R441" s="151" t="str">
        <f>IF(分析!R441&lt;&gt;"",分析!R441,"")</f>
        <v/>
      </c>
      <c r="S441" s="146" t="str">
        <f>IF(分析!AA441&lt;&gt;"",分析!AA441,"")</f>
        <v/>
      </c>
      <c r="T441" s="155" t="str">
        <f>IF(分析!Z441&lt;&gt;"",分析!Z441,"")</f>
        <v/>
      </c>
      <c r="U441" s="146" t="str">
        <f>IF(分析!V441&lt;&gt;"",分析!V441,"")</f>
        <v/>
      </c>
      <c r="V441" s="156" t="str">
        <f>IF(分析!W441&lt;&gt;"",分析!W441,"")</f>
        <v/>
      </c>
      <c r="W441" s="157" t="str">
        <f>IF(分析!AD441&lt;&gt;"",分析!AD441,"")</f>
        <v/>
      </c>
      <c r="X441" s="158" t="str">
        <f>IF(分析!AE441&lt;&gt;"",分析!AE441,"")</f>
        <v/>
      </c>
      <c r="Y441" s="159" t="str">
        <f>IF(分析!T441&lt;&gt;"",分析!T441,"")</f>
        <v/>
      </c>
      <c r="Z441" s="145" t="str">
        <f>IF(分析!Y441&lt;&gt;"",分析!Y441,"")</f>
        <v/>
      </c>
    </row>
    <row r="442" spans="1:26" ht="21.9" customHeight="1">
      <c r="A442" s="131" t="str">
        <f>IF(分析!C442&lt;&gt;"",ROW()-2,"")</f>
        <v/>
      </c>
      <c r="B442" s="132" t="str">
        <f>IF(分析!C442&lt;&gt;"",HYPERLINK("https://kabutan.jp/stock/?code="&amp;分析!C442,"株探"),"")</f>
        <v/>
      </c>
      <c r="C442" s="133" t="str">
        <f>IF(分析!C442&lt;&gt;"",分析!C442,"")</f>
        <v/>
      </c>
      <c r="D442" s="134" t="str">
        <f>IF(分析!D442&lt;&gt;"",分析!D442,"")</f>
        <v/>
      </c>
      <c r="E442" s="135" t="str">
        <f>IF(分析!E442&lt;&gt;"",分析!E442,"")</f>
        <v/>
      </c>
      <c r="F442" s="136" t="str">
        <f>IF(分析!F442&lt;&gt;"",分析!F442,"")</f>
        <v/>
      </c>
      <c r="G442" s="136" t="str">
        <f>IF(分析!H442&lt;&gt;"",分析!H442,"")</f>
        <v/>
      </c>
      <c r="H442" s="136" t="str">
        <f>IF(分析!I442&lt;&gt;"",分析!I442,"")</f>
        <v/>
      </c>
      <c r="I442" s="136" t="str">
        <f>IF(分析!J442&lt;&gt;"",分析!J442,"")</f>
        <v/>
      </c>
      <c r="J442" s="136" t="str">
        <f>IF(分析!AB442&lt;&gt;"",分析!AB442,"")</f>
        <v/>
      </c>
      <c r="K442" s="136" t="str">
        <f>IF(分析!AC442&lt;&gt;"",分析!AC442,"")</f>
        <v/>
      </c>
      <c r="L442" s="136" t="str">
        <f>IF(分析!K442&lt;&gt;"",分析!K442,"")</f>
        <v/>
      </c>
      <c r="M442" s="131" t="str">
        <f>IF(分析!P442&lt;&gt;"",分析!P442,"")</f>
        <v/>
      </c>
      <c r="N442" s="137" t="str">
        <f>IF(分析!O442&lt;&gt;"",分析!O442,"")</f>
        <v/>
      </c>
      <c r="O442" s="138" t="str">
        <f>IF(分析!X442&lt;&gt;"",分析!X442,"")</f>
        <v/>
      </c>
      <c r="P442" s="139" t="str">
        <f>IF(分析!L442&lt;&gt;"",分析!L442,"")</f>
        <v/>
      </c>
      <c r="Q442" s="136" t="str">
        <f>IF(分析!S442&lt;&gt;"",分析!S442,"")</f>
        <v/>
      </c>
      <c r="R442" s="136" t="str">
        <f>IF(分析!R442&lt;&gt;"",分析!R442,"")</f>
        <v/>
      </c>
      <c r="S442" s="131" t="str">
        <f>IF(分析!AA442&lt;&gt;"",分析!AA442,"")</f>
        <v/>
      </c>
      <c r="T442" s="140" t="str">
        <f>IF(分析!Z442&lt;&gt;"",分析!Z442,"")</f>
        <v/>
      </c>
      <c r="U442" s="131" t="str">
        <f>IF(分析!V442&lt;&gt;"",分析!V442,"")</f>
        <v/>
      </c>
      <c r="V442" s="141" t="str">
        <f>IF(分析!W442&lt;&gt;"",分析!W442,"")</f>
        <v/>
      </c>
      <c r="W442" s="142" t="str">
        <f>IF(分析!AD442&lt;&gt;"",分析!AD442,"")</f>
        <v/>
      </c>
      <c r="X442" s="143" t="str">
        <f>IF(分析!AE442&lt;&gt;"",分析!AE442,"")</f>
        <v/>
      </c>
      <c r="Y442" s="144" t="str">
        <f>IF(分析!T442&lt;&gt;"",分析!T442,"")</f>
        <v/>
      </c>
      <c r="Z442" s="145" t="str">
        <f>IF(分析!Y442&lt;&gt;"",分析!Y442,"")</f>
        <v/>
      </c>
    </row>
    <row r="443" spans="1:26" ht="21.9" customHeight="1">
      <c r="A443" s="146" t="str">
        <f>IF(分析!C443&lt;&gt;"",ROW()-2,"")</f>
        <v/>
      </c>
      <c r="B443" s="147" t="str">
        <f>IF(分析!C443&lt;&gt;"",HYPERLINK("https://kabutan.jp/stock/?code="&amp;分析!C443,"株探"),"")</f>
        <v/>
      </c>
      <c r="C443" s="148" t="str">
        <f>IF(分析!C443&lt;&gt;"",分析!C443,"")</f>
        <v/>
      </c>
      <c r="D443" s="149" t="str">
        <f>IF(分析!D443&lt;&gt;"",分析!D443,"")</f>
        <v/>
      </c>
      <c r="E443" s="150" t="str">
        <f>IF(分析!E443&lt;&gt;"",分析!E443,"")</f>
        <v/>
      </c>
      <c r="F443" s="151" t="str">
        <f>IF(分析!F443&lt;&gt;"",分析!F443,"")</f>
        <v/>
      </c>
      <c r="G443" s="151" t="str">
        <f>IF(分析!H443&lt;&gt;"",分析!H443,"")</f>
        <v/>
      </c>
      <c r="H443" s="151" t="str">
        <f>IF(分析!I443&lt;&gt;"",分析!I443,"")</f>
        <v/>
      </c>
      <c r="I443" s="151" t="str">
        <f>IF(分析!J443&lt;&gt;"",分析!J443,"")</f>
        <v/>
      </c>
      <c r="J443" s="151" t="str">
        <f>IF(分析!AB443&lt;&gt;"",分析!AB443,"")</f>
        <v/>
      </c>
      <c r="K443" s="151" t="str">
        <f>IF(分析!AC443&lt;&gt;"",分析!AC443,"")</f>
        <v/>
      </c>
      <c r="L443" s="151" t="str">
        <f>IF(分析!K443&lt;&gt;"",分析!K443,"")</f>
        <v/>
      </c>
      <c r="M443" s="146" t="str">
        <f>IF(分析!P443&lt;&gt;"",分析!P443,"")</f>
        <v/>
      </c>
      <c r="N443" s="152" t="str">
        <f>IF(分析!O443&lt;&gt;"",分析!O443,"")</f>
        <v/>
      </c>
      <c r="O443" s="153" t="str">
        <f>IF(分析!X443&lt;&gt;"",分析!X443,"")</f>
        <v/>
      </c>
      <c r="P443" s="154" t="str">
        <f>IF(分析!L443&lt;&gt;"",分析!L443,"")</f>
        <v/>
      </c>
      <c r="Q443" s="151" t="str">
        <f>IF(分析!S443&lt;&gt;"",分析!S443,"")</f>
        <v/>
      </c>
      <c r="R443" s="151" t="str">
        <f>IF(分析!R443&lt;&gt;"",分析!R443,"")</f>
        <v/>
      </c>
      <c r="S443" s="146" t="str">
        <f>IF(分析!AA443&lt;&gt;"",分析!AA443,"")</f>
        <v/>
      </c>
      <c r="T443" s="155" t="str">
        <f>IF(分析!Z443&lt;&gt;"",分析!Z443,"")</f>
        <v/>
      </c>
      <c r="U443" s="146" t="str">
        <f>IF(分析!V443&lt;&gt;"",分析!V443,"")</f>
        <v/>
      </c>
      <c r="V443" s="156" t="str">
        <f>IF(分析!W443&lt;&gt;"",分析!W443,"")</f>
        <v/>
      </c>
      <c r="W443" s="157" t="str">
        <f>IF(分析!AD443&lt;&gt;"",分析!AD443,"")</f>
        <v/>
      </c>
      <c r="X443" s="158" t="str">
        <f>IF(分析!AE443&lt;&gt;"",分析!AE443,"")</f>
        <v/>
      </c>
      <c r="Y443" s="159" t="str">
        <f>IF(分析!T443&lt;&gt;"",分析!T443,"")</f>
        <v/>
      </c>
      <c r="Z443" s="145" t="str">
        <f>IF(分析!Y443&lt;&gt;"",分析!Y443,"")</f>
        <v/>
      </c>
    </row>
    <row r="444" spans="1:26" ht="21.9" customHeight="1">
      <c r="A444" s="131" t="str">
        <f>IF(分析!C444&lt;&gt;"",ROW()-2,"")</f>
        <v/>
      </c>
      <c r="B444" s="132" t="str">
        <f>IF(分析!C444&lt;&gt;"",HYPERLINK("https://kabutan.jp/stock/?code="&amp;分析!C444,"株探"),"")</f>
        <v/>
      </c>
      <c r="C444" s="133" t="str">
        <f>IF(分析!C444&lt;&gt;"",分析!C444,"")</f>
        <v/>
      </c>
      <c r="D444" s="134" t="str">
        <f>IF(分析!D444&lt;&gt;"",分析!D444,"")</f>
        <v/>
      </c>
      <c r="E444" s="135" t="str">
        <f>IF(分析!E444&lt;&gt;"",分析!E444,"")</f>
        <v/>
      </c>
      <c r="F444" s="136" t="str">
        <f>IF(分析!F444&lt;&gt;"",分析!F444,"")</f>
        <v/>
      </c>
      <c r="G444" s="136" t="str">
        <f>IF(分析!H444&lt;&gt;"",分析!H444,"")</f>
        <v/>
      </c>
      <c r="H444" s="136" t="str">
        <f>IF(分析!I444&lt;&gt;"",分析!I444,"")</f>
        <v/>
      </c>
      <c r="I444" s="136" t="str">
        <f>IF(分析!J444&lt;&gt;"",分析!J444,"")</f>
        <v/>
      </c>
      <c r="J444" s="136" t="str">
        <f>IF(分析!AB444&lt;&gt;"",分析!AB444,"")</f>
        <v/>
      </c>
      <c r="K444" s="136" t="str">
        <f>IF(分析!AC444&lt;&gt;"",分析!AC444,"")</f>
        <v/>
      </c>
      <c r="L444" s="136" t="str">
        <f>IF(分析!K444&lt;&gt;"",分析!K444,"")</f>
        <v/>
      </c>
      <c r="M444" s="131" t="str">
        <f>IF(分析!P444&lt;&gt;"",分析!P444,"")</f>
        <v/>
      </c>
      <c r="N444" s="137" t="str">
        <f>IF(分析!O444&lt;&gt;"",分析!O444,"")</f>
        <v/>
      </c>
      <c r="O444" s="138" t="str">
        <f>IF(分析!X444&lt;&gt;"",分析!X444,"")</f>
        <v/>
      </c>
      <c r="P444" s="139" t="str">
        <f>IF(分析!L444&lt;&gt;"",分析!L444,"")</f>
        <v/>
      </c>
      <c r="Q444" s="136" t="str">
        <f>IF(分析!S444&lt;&gt;"",分析!S444,"")</f>
        <v/>
      </c>
      <c r="R444" s="136" t="str">
        <f>IF(分析!R444&lt;&gt;"",分析!R444,"")</f>
        <v/>
      </c>
      <c r="S444" s="131" t="str">
        <f>IF(分析!AA444&lt;&gt;"",分析!AA444,"")</f>
        <v/>
      </c>
      <c r="T444" s="140" t="str">
        <f>IF(分析!Z444&lt;&gt;"",分析!Z444,"")</f>
        <v/>
      </c>
      <c r="U444" s="131" t="str">
        <f>IF(分析!V444&lt;&gt;"",分析!V444,"")</f>
        <v/>
      </c>
      <c r="V444" s="141" t="str">
        <f>IF(分析!W444&lt;&gt;"",分析!W444,"")</f>
        <v/>
      </c>
      <c r="W444" s="142" t="str">
        <f>IF(分析!AD444&lt;&gt;"",分析!AD444,"")</f>
        <v/>
      </c>
      <c r="X444" s="143" t="str">
        <f>IF(分析!AE444&lt;&gt;"",分析!AE444,"")</f>
        <v/>
      </c>
      <c r="Y444" s="144" t="str">
        <f>IF(分析!T444&lt;&gt;"",分析!T444,"")</f>
        <v/>
      </c>
      <c r="Z444" s="145" t="str">
        <f>IF(分析!Y444&lt;&gt;"",分析!Y444,"")</f>
        <v/>
      </c>
    </row>
    <row r="445" spans="1:26" ht="21.9" customHeight="1">
      <c r="A445" s="146" t="str">
        <f>IF(分析!C445&lt;&gt;"",ROW()-2,"")</f>
        <v/>
      </c>
      <c r="B445" s="147" t="str">
        <f>IF(分析!C445&lt;&gt;"",HYPERLINK("https://kabutan.jp/stock/?code="&amp;分析!C445,"株探"),"")</f>
        <v/>
      </c>
      <c r="C445" s="148" t="str">
        <f>IF(分析!C445&lt;&gt;"",分析!C445,"")</f>
        <v/>
      </c>
      <c r="D445" s="149" t="str">
        <f>IF(分析!D445&lt;&gt;"",分析!D445,"")</f>
        <v/>
      </c>
      <c r="E445" s="150" t="str">
        <f>IF(分析!E445&lt;&gt;"",分析!E445,"")</f>
        <v/>
      </c>
      <c r="F445" s="151" t="str">
        <f>IF(分析!F445&lt;&gt;"",分析!F445,"")</f>
        <v/>
      </c>
      <c r="G445" s="151" t="str">
        <f>IF(分析!H445&lt;&gt;"",分析!H445,"")</f>
        <v/>
      </c>
      <c r="H445" s="151" t="str">
        <f>IF(分析!I445&lt;&gt;"",分析!I445,"")</f>
        <v/>
      </c>
      <c r="I445" s="151" t="str">
        <f>IF(分析!J445&lt;&gt;"",分析!J445,"")</f>
        <v/>
      </c>
      <c r="J445" s="151" t="str">
        <f>IF(分析!AB445&lt;&gt;"",分析!AB445,"")</f>
        <v/>
      </c>
      <c r="K445" s="151" t="str">
        <f>IF(分析!AC445&lt;&gt;"",分析!AC445,"")</f>
        <v/>
      </c>
      <c r="L445" s="151" t="str">
        <f>IF(分析!K445&lt;&gt;"",分析!K445,"")</f>
        <v/>
      </c>
      <c r="M445" s="146" t="str">
        <f>IF(分析!P445&lt;&gt;"",分析!P445,"")</f>
        <v/>
      </c>
      <c r="N445" s="152" t="str">
        <f>IF(分析!O445&lt;&gt;"",分析!O445,"")</f>
        <v/>
      </c>
      <c r="O445" s="153" t="str">
        <f>IF(分析!X445&lt;&gt;"",分析!X445,"")</f>
        <v/>
      </c>
      <c r="P445" s="154" t="str">
        <f>IF(分析!L445&lt;&gt;"",分析!L445,"")</f>
        <v/>
      </c>
      <c r="Q445" s="151" t="str">
        <f>IF(分析!S445&lt;&gt;"",分析!S445,"")</f>
        <v/>
      </c>
      <c r="R445" s="151" t="str">
        <f>IF(分析!R445&lt;&gt;"",分析!R445,"")</f>
        <v/>
      </c>
      <c r="S445" s="146" t="str">
        <f>IF(分析!AA445&lt;&gt;"",分析!AA445,"")</f>
        <v/>
      </c>
      <c r="T445" s="155" t="str">
        <f>IF(分析!Z445&lt;&gt;"",分析!Z445,"")</f>
        <v/>
      </c>
      <c r="U445" s="146" t="str">
        <f>IF(分析!V445&lt;&gt;"",分析!V445,"")</f>
        <v/>
      </c>
      <c r="V445" s="156" t="str">
        <f>IF(分析!W445&lt;&gt;"",分析!W445,"")</f>
        <v/>
      </c>
      <c r="W445" s="157" t="str">
        <f>IF(分析!AD445&lt;&gt;"",分析!AD445,"")</f>
        <v/>
      </c>
      <c r="X445" s="158" t="str">
        <f>IF(分析!AE445&lt;&gt;"",分析!AE445,"")</f>
        <v/>
      </c>
      <c r="Y445" s="159" t="str">
        <f>IF(分析!T445&lt;&gt;"",分析!T445,"")</f>
        <v/>
      </c>
      <c r="Z445" s="145" t="str">
        <f>IF(分析!Y445&lt;&gt;"",分析!Y445,"")</f>
        <v/>
      </c>
    </row>
    <row r="446" spans="1:26" ht="21.9" customHeight="1">
      <c r="A446" s="131" t="str">
        <f>IF(分析!C446&lt;&gt;"",ROW()-2,"")</f>
        <v/>
      </c>
      <c r="B446" s="132" t="str">
        <f>IF(分析!C446&lt;&gt;"",HYPERLINK("https://kabutan.jp/stock/?code="&amp;分析!C446,"株探"),"")</f>
        <v/>
      </c>
      <c r="C446" s="133" t="str">
        <f>IF(分析!C446&lt;&gt;"",分析!C446,"")</f>
        <v/>
      </c>
      <c r="D446" s="134" t="str">
        <f>IF(分析!D446&lt;&gt;"",分析!D446,"")</f>
        <v/>
      </c>
      <c r="E446" s="135" t="str">
        <f>IF(分析!E446&lt;&gt;"",分析!E446,"")</f>
        <v/>
      </c>
      <c r="F446" s="136" t="str">
        <f>IF(分析!F446&lt;&gt;"",分析!F446,"")</f>
        <v/>
      </c>
      <c r="G446" s="136" t="str">
        <f>IF(分析!H446&lt;&gt;"",分析!H446,"")</f>
        <v/>
      </c>
      <c r="H446" s="136" t="str">
        <f>IF(分析!I446&lt;&gt;"",分析!I446,"")</f>
        <v/>
      </c>
      <c r="I446" s="136" t="str">
        <f>IF(分析!J446&lt;&gt;"",分析!J446,"")</f>
        <v/>
      </c>
      <c r="J446" s="136" t="str">
        <f>IF(分析!AB446&lt;&gt;"",分析!AB446,"")</f>
        <v/>
      </c>
      <c r="K446" s="136" t="str">
        <f>IF(分析!AC446&lt;&gt;"",分析!AC446,"")</f>
        <v/>
      </c>
      <c r="L446" s="136" t="str">
        <f>IF(分析!K446&lt;&gt;"",分析!K446,"")</f>
        <v/>
      </c>
      <c r="M446" s="131" t="str">
        <f>IF(分析!P446&lt;&gt;"",分析!P446,"")</f>
        <v/>
      </c>
      <c r="N446" s="137" t="str">
        <f>IF(分析!O446&lt;&gt;"",分析!O446,"")</f>
        <v/>
      </c>
      <c r="O446" s="138" t="str">
        <f>IF(分析!X446&lt;&gt;"",分析!X446,"")</f>
        <v/>
      </c>
      <c r="P446" s="139" t="str">
        <f>IF(分析!L446&lt;&gt;"",分析!L446,"")</f>
        <v/>
      </c>
      <c r="Q446" s="136" t="str">
        <f>IF(分析!S446&lt;&gt;"",分析!S446,"")</f>
        <v/>
      </c>
      <c r="R446" s="136" t="str">
        <f>IF(分析!R446&lt;&gt;"",分析!R446,"")</f>
        <v/>
      </c>
      <c r="S446" s="131" t="str">
        <f>IF(分析!AA446&lt;&gt;"",分析!AA446,"")</f>
        <v/>
      </c>
      <c r="T446" s="140" t="str">
        <f>IF(分析!Z446&lt;&gt;"",分析!Z446,"")</f>
        <v/>
      </c>
      <c r="U446" s="131" t="str">
        <f>IF(分析!V446&lt;&gt;"",分析!V446,"")</f>
        <v/>
      </c>
      <c r="V446" s="141" t="str">
        <f>IF(分析!W446&lt;&gt;"",分析!W446,"")</f>
        <v/>
      </c>
      <c r="W446" s="142" t="str">
        <f>IF(分析!AD446&lt;&gt;"",分析!AD446,"")</f>
        <v/>
      </c>
      <c r="X446" s="143" t="str">
        <f>IF(分析!AE446&lt;&gt;"",分析!AE446,"")</f>
        <v/>
      </c>
      <c r="Y446" s="144" t="str">
        <f>IF(分析!T446&lt;&gt;"",分析!T446,"")</f>
        <v/>
      </c>
      <c r="Z446" s="145" t="str">
        <f>IF(分析!Y446&lt;&gt;"",分析!Y446,"")</f>
        <v/>
      </c>
    </row>
    <row r="447" spans="1:26" ht="21.9" customHeight="1">
      <c r="A447" s="146" t="str">
        <f>IF(分析!C447&lt;&gt;"",ROW()-2,"")</f>
        <v/>
      </c>
      <c r="B447" s="147" t="str">
        <f>IF(分析!C447&lt;&gt;"",HYPERLINK("https://kabutan.jp/stock/?code="&amp;分析!C447,"株探"),"")</f>
        <v/>
      </c>
      <c r="C447" s="148" t="str">
        <f>IF(分析!C447&lt;&gt;"",分析!C447,"")</f>
        <v/>
      </c>
      <c r="D447" s="149" t="str">
        <f>IF(分析!D447&lt;&gt;"",分析!D447,"")</f>
        <v/>
      </c>
      <c r="E447" s="150" t="str">
        <f>IF(分析!E447&lt;&gt;"",分析!E447,"")</f>
        <v/>
      </c>
      <c r="F447" s="151" t="str">
        <f>IF(分析!F447&lt;&gt;"",分析!F447,"")</f>
        <v/>
      </c>
      <c r="G447" s="151" t="str">
        <f>IF(分析!H447&lt;&gt;"",分析!H447,"")</f>
        <v/>
      </c>
      <c r="H447" s="151" t="str">
        <f>IF(分析!I447&lt;&gt;"",分析!I447,"")</f>
        <v/>
      </c>
      <c r="I447" s="151" t="str">
        <f>IF(分析!J447&lt;&gt;"",分析!J447,"")</f>
        <v/>
      </c>
      <c r="J447" s="151" t="str">
        <f>IF(分析!AB447&lt;&gt;"",分析!AB447,"")</f>
        <v/>
      </c>
      <c r="K447" s="151" t="str">
        <f>IF(分析!AC447&lt;&gt;"",分析!AC447,"")</f>
        <v/>
      </c>
      <c r="L447" s="151" t="str">
        <f>IF(分析!K447&lt;&gt;"",分析!K447,"")</f>
        <v/>
      </c>
      <c r="M447" s="146" t="str">
        <f>IF(分析!P447&lt;&gt;"",分析!P447,"")</f>
        <v/>
      </c>
      <c r="N447" s="152" t="str">
        <f>IF(分析!O447&lt;&gt;"",分析!O447,"")</f>
        <v/>
      </c>
      <c r="O447" s="153" t="str">
        <f>IF(分析!X447&lt;&gt;"",分析!X447,"")</f>
        <v/>
      </c>
      <c r="P447" s="154" t="str">
        <f>IF(分析!L447&lt;&gt;"",分析!L447,"")</f>
        <v/>
      </c>
      <c r="Q447" s="151" t="str">
        <f>IF(分析!S447&lt;&gt;"",分析!S447,"")</f>
        <v/>
      </c>
      <c r="R447" s="151" t="str">
        <f>IF(分析!R447&lt;&gt;"",分析!R447,"")</f>
        <v/>
      </c>
      <c r="S447" s="146" t="str">
        <f>IF(分析!AA447&lt;&gt;"",分析!AA447,"")</f>
        <v/>
      </c>
      <c r="T447" s="155" t="str">
        <f>IF(分析!Z447&lt;&gt;"",分析!Z447,"")</f>
        <v/>
      </c>
      <c r="U447" s="146" t="str">
        <f>IF(分析!V447&lt;&gt;"",分析!V447,"")</f>
        <v/>
      </c>
      <c r="V447" s="156" t="str">
        <f>IF(分析!W447&lt;&gt;"",分析!W447,"")</f>
        <v/>
      </c>
      <c r="W447" s="157" t="str">
        <f>IF(分析!AD447&lt;&gt;"",分析!AD447,"")</f>
        <v/>
      </c>
      <c r="X447" s="158" t="str">
        <f>IF(分析!AE447&lt;&gt;"",分析!AE447,"")</f>
        <v/>
      </c>
      <c r="Y447" s="159" t="str">
        <f>IF(分析!T447&lt;&gt;"",分析!T447,"")</f>
        <v/>
      </c>
      <c r="Z447" s="145" t="str">
        <f>IF(分析!Y447&lt;&gt;"",分析!Y447,"")</f>
        <v/>
      </c>
    </row>
    <row r="448" spans="1:26" ht="21.9" customHeight="1">
      <c r="A448" s="131" t="str">
        <f>IF(分析!C448&lt;&gt;"",ROW()-2,"")</f>
        <v/>
      </c>
      <c r="B448" s="132" t="str">
        <f>IF(分析!C448&lt;&gt;"",HYPERLINK("https://kabutan.jp/stock/?code="&amp;分析!C448,"株探"),"")</f>
        <v/>
      </c>
      <c r="C448" s="133" t="str">
        <f>IF(分析!C448&lt;&gt;"",分析!C448,"")</f>
        <v/>
      </c>
      <c r="D448" s="134" t="str">
        <f>IF(分析!D448&lt;&gt;"",分析!D448,"")</f>
        <v/>
      </c>
      <c r="E448" s="135" t="str">
        <f>IF(分析!E448&lt;&gt;"",分析!E448,"")</f>
        <v/>
      </c>
      <c r="F448" s="136" t="str">
        <f>IF(分析!F448&lt;&gt;"",分析!F448,"")</f>
        <v/>
      </c>
      <c r="G448" s="136" t="str">
        <f>IF(分析!H448&lt;&gt;"",分析!H448,"")</f>
        <v/>
      </c>
      <c r="H448" s="136" t="str">
        <f>IF(分析!I448&lt;&gt;"",分析!I448,"")</f>
        <v/>
      </c>
      <c r="I448" s="136" t="str">
        <f>IF(分析!J448&lt;&gt;"",分析!J448,"")</f>
        <v/>
      </c>
      <c r="J448" s="136" t="str">
        <f>IF(分析!AB448&lt;&gt;"",分析!AB448,"")</f>
        <v/>
      </c>
      <c r="K448" s="136" t="str">
        <f>IF(分析!AC448&lt;&gt;"",分析!AC448,"")</f>
        <v/>
      </c>
      <c r="L448" s="136" t="str">
        <f>IF(分析!K448&lt;&gt;"",分析!K448,"")</f>
        <v/>
      </c>
      <c r="M448" s="131" t="str">
        <f>IF(分析!P448&lt;&gt;"",分析!P448,"")</f>
        <v/>
      </c>
      <c r="N448" s="137" t="str">
        <f>IF(分析!O448&lt;&gt;"",分析!O448,"")</f>
        <v/>
      </c>
      <c r="O448" s="138" t="str">
        <f>IF(分析!X448&lt;&gt;"",分析!X448,"")</f>
        <v/>
      </c>
      <c r="P448" s="139" t="str">
        <f>IF(分析!L448&lt;&gt;"",分析!L448,"")</f>
        <v/>
      </c>
      <c r="Q448" s="136" t="str">
        <f>IF(分析!S448&lt;&gt;"",分析!S448,"")</f>
        <v/>
      </c>
      <c r="R448" s="136" t="str">
        <f>IF(分析!R448&lt;&gt;"",分析!R448,"")</f>
        <v/>
      </c>
      <c r="S448" s="131" t="str">
        <f>IF(分析!AA448&lt;&gt;"",分析!AA448,"")</f>
        <v/>
      </c>
      <c r="T448" s="140" t="str">
        <f>IF(分析!Z448&lt;&gt;"",分析!Z448,"")</f>
        <v/>
      </c>
      <c r="U448" s="131" t="str">
        <f>IF(分析!V448&lt;&gt;"",分析!V448,"")</f>
        <v/>
      </c>
      <c r="V448" s="141" t="str">
        <f>IF(分析!W448&lt;&gt;"",分析!W448,"")</f>
        <v/>
      </c>
      <c r="W448" s="142" t="str">
        <f>IF(分析!AD448&lt;&gt;"",分析!AD448,"")</f>
        <v/>
      </c>
      <c r="X448" s="143" t="str">
        <f>IF(分析!AE448&lt;&gt;"",分析!AE448,"")</f>
        <v/>
      </c>
      <c r="Y448" s="144" t="str">
        <f>IF(分析!T448&lt;&gt;"",分析!T448,"")</f>
        <v/>
      </c>
      <c r="Z448" s="145" t="str">
        <f>IF(分析!Y448&lt;&gt;"",分析!Y448,"")</f>
        <v/>
      </c>
    </row>
    <row r="449" spans="1:26" ht="21.9" customHeight="1">
      <c r="A449" s="146" t="str">
        <f>IF(分析!C449&lt;&gt;"",ROW()-2,"")</f>
        <v/>
      </c>
      <c r="B449" s="147" t="str">
        <f>IF(分析!C449&lt;&gt;"",HYPERLINK("https://kabutan.jp/stock/?code="&amp;分析!C449,"株探"),"")</f>
        <v/>
      </c>
      <c r="C449" s="148" t="str">
        <f>IF(分析!C449&lt;&gt;"",分析!C449,"")</f>
        <v/>
      </c>
      <c r="D449" s="149" t="str">
        <f>IF(分析!D449&lt;&gt;"",分析!D449,"")</f>
        <v/>
      </c>
      <c r="E449" s="150" t="str">
        <f>IF(分析!E449&lt;&gt;"",分析!E449,"")</f>
        <v/>
      </c>
      <c r="F449" s="151" t="str">
        <f>IF(分析!F449&lt;&gt;"",分析!F449,"")</f>
        <v/>
      </c>
      <c r="G449" s="151" t="str">
        <f>IF(分析!H449&lt;&gt;"",分析!H449,"")</f>
        <v/>
      </c>
      <c r="H449" s="151" t="str">
        <f>IF(分析!I449&lt;&gt;"",分析!I449,"")</f>
        <v/>
      </c>
      <c r="I449" s="151" t="str">
        <f>IF(分析!J449&lt;&gt;"",分析!J449,"")</f>
        <v/>
      </c>
      <c r="J449" s="151" t="str">
        <f>IF(分析!AB449&lt;&gt;"",分析!AB449,"")</f>
        <v/>
      </c>
      <c r="K449" s="151" t="str">
        <f>IF(分析!AC449&lt;&gt;"",分析!AC449,"")</f>
        <v/>
      </c>
      <c r="L449" s="151" t="str">
        <f>IF(分析!K449&lt;&gt;"",分析!K449,"")</f>
        <v/>
      </c>
      <c r="M449" s="146" t="str">
        <f>IF(分析!P449&lt;&gt;"",分析!P449,"")</f>
        <v/>
      </c>
      <c r="N449" s="152" t="str">
        <f>IF(分析!O449&lt;&gt;"",分析!O449,"")</f>
        <v/>
      </c>
      <c r="O449" s="153" t="str">
        <f>IF(分析!X449&lt;&gt;"",分析!X449,"")</f>
        <v/>
      </c>
      <c r="P449" s="154" t="str">
        <f>IF(分析!L449&lt;&gt;"",分析!L449,"")</f>
        <v/>
      </c>
      <c r="Q449" s="151" t="str">
        <f>IF(分析!S449&lt;&gt;"",分析!S449,"")</f>
        <v/>
      </c>
      <c r="R449" s="151" t="str">
        <f>IF(分析!R449&lt;&gt;"",分析!R449,"")</f>
        <v/>
      </c>
      <c r="S449" s="146" t="str">
        <f>IF(分析!AA449&lt;&gt;"",分析!AA449,"")</f>
        <v/>
      </c>
      <c r="T449" s="155" t="str">
        <f>IF(分析!Z449&lt;&gt;"",分析!Z449,"")</f>
        <v/>
      </c>
      <c r="U449" s="146" t="str">
        <f>IF(分析!V449&lt;&gt;"",分析!V449,"")</f>
        <v/>
      </c>
      <c r="V449" s="156" t="str">
        <f>IF(分析!W449&lt;&gt;"",分析!W449,"")</f>
        <v/>
      </c>
      <c r="W449" s="157" t="str">
        <f>IF(分析!AD449&lt;&gt;"",分析!AD449,"")</f>
        <v/>
      </c>
      <c r="X449" s="158" t="str">
        <f>IF(分析!AE449&lt;&gt;"",分析!AE449,"")</f>
        <v/>
      </c>
      <c r="Y449" s="159" t="str">
        <f>IF(分析!T449&lt;&gt;"",分析!T449,"")</f>
        <v/>
      </c>
      <c r="Z449" s="145" t="str">
        <f>IF(分析!Y449&lt;&gt;"",分析!Y449,"")</f>
        <v/>
      </c>
    </row>
    <row r="450" spans="1:26" ht="21.9" customHeight="1">
      <c r="A450" s="131" t="str">
        <f>IF(分析!C450&lt;&gt;"",ROW()-2,"")</f>
        <v/>
      </c>
      <c r="B450" s="132" t="str">
        <f>IF(分析!C450&lt;&gt;"",HYPERLINK("https://kabutan.jp/stock/?code="&amp;分析!C450,"株探"),"")</f>
        <v/>
      </c>
      <c r="C450" s="133" t="str">
        <f>IF(分析!C450&lt;&gt;"",分析!C450,"")</f>
        <v/>
      </c>
      <c r="D450" s="134" t="str">
        <f>IF(分析!D450&lt;&gt;"",分析!D450,"")</f>
        <v/>
      </c>
      <c r="E450" s="135" t="str">
        <f>IF(分析!E450&lt;&gt;"",分析!E450,"")</f>
        <v/>
      </c>
      <c r="F450" s="136" t="str">
        <f>IF(分析!F450&lt;&gt;"",分析!F450,"")</f>
        <v/>
      </c>
      <c r="G450" s="136" t="str">
        <f>IF(分析!H450&lt;&gt;"",分析!H450,"")</f>
        <v/>
      </c>
      <c r="H450" s="136" t="str">
        <f>IF(分析!I450&lt;&gt;"",分析!I450,"")</f>
        <v/>
      </c>
      <c r="I450" s="136" t="str">
        <f>IF(分析!J450&lt;&gt;"",分析!J450,"")</f>
        <v/>
      </c>
      <c r="J450" s="136" t="str">
        <f>IF(分析!AB450&lt;&gt;"",分析!AB450,"")</f>
        <v/>
      </c>
      <c r="K450" s="136" t="str">
        <f>IF(分析!AC450&lt;&gt;"",分析!AC450,"")</f>
        <v/>
      </c>
      <c r="L450" s="136" t="str">
        <f>IF(分析!K450&lt;&gt;"",分析!K450,"")</f>
        <v/>
      </c>
      <c r="M450" s="131" t="str">
        <f>IF(分析!P450&lt;&gt;"",分析!P450,"")</f>
        <v/>
      </c>
      <c r="N450" s="137" t="str">
        <f>IF(分析!O450&lt;&gt;"",分析!O450,"")</f>
        <v/>
      </c>
      <c r="O450" s="138" t="str">
        <f>IF(分析!X450&lt;&gt;"",分析!X450,"")</f>
        <v/>
      </c>
      <c r="P450" s="139" t="str">
        <f>IF(分析!L450&lt;&gt;"",分析!L450,"")</f>
        <v/>
      </c>
      <c r="Q450" s="136" t="str">
        <f>IF(分析!S450&lt;&gt;"",分析!S450,"")</f>
        <v/>
      </c>
      <c r="R450" s="136" t="str">
        <f>IF(分析!R450&lt;&gt;"",分析!R450,"")</f>
        <v/>
      </c>
      <c r="S450" s="131" t="str">
        <f>IF(分析!AA450&lt;&gt;"",分析!AA450,"")</f>
        <v/>
      </c>
      <c r="T450" s="140" t="str">
        <f>IF(分析!Z450&lt;&gt;"",分析!Z450,"")</f>
        <v/>
      </c>
      <c r="U450" s="131" t="str">
        <f>IF(分析!V450&lt;&gt;"",分析!V450,"")</f>
        <v/>
      </c>
      <c r="V450" s="141" t="str">
        <f>IF(分析!W450&lt;&gt;"",分析!W450,"")</f>
        <v/>
      </c>
      <c r="W450" s="142" t="str">
        <f>IF(分析!AD450&lt;&gt;"",分析!AD450,"")</f>
        <v/>
      </c>
      <c r="X450" s="143" t="str">
        <f>IF(分析!AE450&lt;&gt;"",分析!AE450,"")</f>
        <v/>
      </c>
      <c r="Y450" s="144" t="str">
        <f>IF(分析!T450&lt;&gt;"",分析!T450,"")</f>
        <v/>
      </c>
      <c r="Z450" s="145" t="str">
        <f>IF(分析!Y450&lt;&gt;"",分析!Y450,"")</f>
        <v/>
      </c>
    </row>
    <row r="451" spans="1:26" ht="21.9" customHeight="1">
      <c r="A451" s="146" t="str">
        <f>IF(分析!C451&lt;&gt;"",ROW()-2,"")</f>
        <v/>
      </c>
      <c r="B451" s="147" t="str">
        <f>IF(分析!C451&lt;&gt;"",HYPERLINK("https://kabutan.jp/stock/?code="&amp;分析!C451,"株探"),"")</f>
        <v/>
      </c>
      <c r="C451" s="148" t="str">
        <f>IF(分析!C451&lt;&gt;"",分析!C451,"")</f>
        <v/>
      </c>
      <c r="D451" s="149" t="str">
        <f>IF(分析!D451&lt;&gt;"",分析!D451,"")</f>
        <v/>
      </c>
      <c r="E451" s="150" t="str">
        <f>IF(分析!E451&lt;&gt;"",分析!E451,"")</f>
        <v/>
      </c>
      <c r="F451" s="151" t="str">
        <f>IF(分析!F451&lt;&gt;"",分析!F451,"")</f>
        <v/>
      </c>
      <c r="G451" s="151" t="str">
        <f>IF(分析!H451&lt;&gt;"",分析!H451,"")</f>
        <v/>
      </c>
      <c r="H451" s="151" t="str">
        <f>IF(分析!I451&lt;&gt;"",分析!I451,"")</f>
        <v/>
      </c>
      <c r="I451" s="151" t="str">
        <f>IF(分析!J451&lt;&gt;"",分析!J451,"")</f>
        <v/>
      </c>
      <c r="J451" s="151" t="str">
        <f>IF(分析!AB451&lt;&gt;"",分析!AB451,"")</f>
        <v/>
      </c>
      <c r="K451" s="151" t="str">
        <f>IF(分析!AC451&lt;&gt;"",分析!AC451,"")</f>
        <v/>
      </c>
      <c r="L451" s="151" t="str">
        <f>IF(分析!K451&lt;&gt;"",分析!K451,"")</f>
        <v/>
      </c>
      <c r="M451" s="146" t="str">
        <f>IF(分析!P451&lt;&gt;"",分析!P451,"")</f>
        <v/>
      </c>
      <c r="N451" s="152" t="str">
        <f>IF(分析!O451&lt;&gt;"",分析!O451,"")</f>
        <v/>
      </c>
      <c r="O451" s="153" t="str">
        <f>IF(分析!X451&lt;&gt;"",分析!X451,"")</f>
        <v/>
      </c>
      <c r="P451" s="154" t="str">
        <f>IF(分析!L451&lt;&gt;"",分析!L451,"")</f>
        <v/>
      </c>
      <c r="Q451" s="151" t="str">
        <f>IF(分析!S451&lt;&gt;"",分析!S451,"")</f>
        <v/>
      </c>
      <c r="R451" s="151" t="str">
        <f>IF(分析!R451&lt;&gt;"",分析!R451,"")</f>
        <v/>
      </c>
      <c r="S451" s="146" t="str">
        <f>IF(分析!AA451&lt;&gt;"",分析!AA451,"")</f>
        <v/>
      </c>
      <c r="T451" s="155" t="str">
        <f>IF(分析!Z451&lt;&gt;"",分析!Z451,"")</f>
        <v/>
      </c>
      <c r="U451" s="146" t="str">
        <f>IF(分析!V451&lt;&gt;"",分析!V451,"")</f>
        <v/>
      </c>
      <c r="V451" s="156" t="str">
        <f>IF(分析!W451&lt;&gt;"",分析!W451,"")</f>
        <v/>
      </c>
      <c r="W451" s="157" t="str">
        <f>IF(分析!AD451&lt;&gt;"",分析!AD451,"")</f>
        <v/>
      </c>
      <c r="X451" s="158" t="str">
        <f>IF(分析!AE451&lt;&gt;"",分析!AE451,"")</f>
        <v/>
      </c>
      <c r="Y451" s="159" t="str">
        <f>IF(分析!T451&lt;&gt;"",分析!T451,"")</f>
        <v/>
      </c>
      <c r="Z451" s="145" t="str">
        <f>IF(分析!Y451&lt;&gt;"",分析!Y451,"")</f>
        <v/>
      </c>
    </row>
    <row r="452" spans="1:26" ht="21.9" customHeight="1">
      <c r="A452" s="131" t="str">
        <f>IF(分析!C452&lt;&gt;"",ROW()-2,"")</f>
        <v/>
      </c>
      <c r="B452" s="132" t="str">
        <f>IF(分析!C452&lt;&gt;"",HYPERLINK("https://kabutan.jp/stock/?code="&amp;分析!C452,"株探"),"")</f>
        <v/>
      </c>
      <c r="C452" s="133" t="str">
        <f>IF(分析!C452&lt;&gt;"",分析!C452,"")</f>
        <v/>
      </c>
      <c r="D452" s="134" t="str">
        <f>IF(分析!D452&lt;&gt;"",分析!D452,"")</f>
        <v/>
      </c>
      <c r="E452" s="135" t="str">
        <f>IF(分析!E452&lt;&gt;"",分析!E452,"")</f>
        <v/>
      </c>
      <c r="F452" s="136" t="str">
        <f>IF(分析!F452&lt;&gt;"",分析!F452,"")</f>
        <v/>
      </c>
      <c r="G452" s="136" t="str">
        <f>IF(分析!H452&lt;&gt;"",分析!H452,"")</f>
        <v/>
      </c>
      <c r="H452" s="136" t="str">
        <f>IF(分析!I452&lt;&gt;"",分析!I452,"")</f>
        <v/>
      </c>
      <c r="I452" s="136" t="str">
        <f>IF(分析!J452&lt;&gt;"",分析!J452,"")</f>
        <v/>
      </c>
      <c r="J452" s="136" t="str">
        <f>IF(分析!AB452&lt;&gt;"",分析!AB452,"")</f>
        <v/>
      </c>
      <c r="K452" s="136" t="str">
        <f>IF(分析!AC452&lt;&gt;"",分析!AC452,"")</f>
        <v/>
      </c>
      <c r="L452" s="136" t="str">
        <f>IF(分析!K452&lt;&gt;"",分析!K452,"")</f>
        <v/>
      </c>
      <c r="M452" s="131" t="str">
        <f>IF(分析!P452&lt;&gt;"",分析!P452,"")</f>
        <v/>
      </c>
      <c r="N452" s="137" t="str">
        <f>IF(分析!O452&lt;&gt;"",分析!O452,"")</f>
        <v/>
      </c>
      <c r="O452" s="138" t="str">
        <f>IF(分析!X452&lt;&gt;"",分析!X452,"")</f>
        <v/>
      </c>
      <c r="P452" s="139" t="str">
        <f>IF(分析!L452&lt;&gt;"",分析!L452,"")</f>
        <v/>
      </c>
      <c r="Q452" s="136" t="str">
        <f>IF(分析!S452&lt;&gt;"",分析!S452,"")</f>
        <v/>
      </c>
      <c r="R452" s="136" t="str">
        <f>IF(分析!R452&lt;&gt;"",分析!R452,"")</f>
        <v/>
      </c>
      <c r="S452" s="131" t="str">
        <f>IF(分析!AA452&lt;&gt;"",分析!AA452,"")</f>
        <v/>
      </c>
      <c r="T452" s="140" t="str">
        <f>IF(分析!Z452&lt;&gt;"",分析!Z452,"")</f>
        <v/>
      </c>
      <c r="U452" s="131" t="str">
        <f>IF(分析!V452&lt;&gt;"",分析!V452,"")</f>
        <v/>
      </c>
      <c r="V452" s="141" t="str">
        <f>IF(分析!W452&lt;&gt;"",分析!W452,"")</f>
        <v/>
      </c>
      <c r="W452" s="142" t="str">
        <f>IF(分析!AD452&lt;&gt;"",分析!AD452,"")</f>
        <v/>
      </c>
      <c r="X452" s="143" t="str">
        <f>IF(分析!AE452&lt;&gt;"",分析!AE452,"")</f>
        <v/>
      </c>
      <c r="Y452" s="144" t="str">
        <f>IF(分析!T452&lt;&gt;"",分析!T452,"")</f>
        <v/>
      </c>
      <c r="Z452" s="145" t="str">
        <f>IF(分析!Y452&lt;&gt;"",分析!Y452,"")</f>
        <v/>
      </c>
    </row>
    <row r="453" spans="1:26" ht="21.9" customHeight="1">
      <c r="A453" s="146" t="str">
        <f>IF(分析!C453&lt;&gt;"",ROW()-2,"")</f>
        <v/>
      </c>
      <c r="B453" s="147" t="str">
        <f>IF(分析!C453&lt;&gt;"",HYPERLINK("https://kabutan.jp/stock/?code="&amp;分析!C453,"株探"),"")</f>
        <v/>
      </c>
      <c r="C453" s="148" t="str">
        <f>IF(分析!C453&lt;&gt;"",分析!C453,"")</f>
        <v/>
      </c>
      <c r="D453" s="149" t="str">
        <f>IF(分析!D453&lt;&gt;"",分析!D453,"")</f>
        <v/>
      </c>
      <c r="E453" s="150" t="str">
        <f>IF(分析!E453&lt;&gt;"",分析!E453,"")</f>
        <v/>
      </c>
      <c r="F453" s="151" t="str">
        <f>IF(分析!F453&lt;&gt;"",分析!F453,"")</f>
        <v/>
      </c>
      <c r="G453" s="151" t="str">
        <f>IF(分析!H453&lt;&gt;"",分析!H453,"")</f>
        <v/>
      </c>
      <c r="H453" s="151" t="str">
        <f>IF(分析!I453&lt;&gt;"",分析!I453,"")</f>
        <v/>
      </c>
      <c r="I453" s="151" t="str">
        <f>IF(分析!J453&lt;&gt;"",分析!J453,"")</f>
        <v/>
      </c>
      <c r="J453" s="151" t="str">
        <f>IF(分析!AB453&lt;&gt;"",分析!AB453,"")</f>
        <v/>
      </c>
      <c r="K453" s="151" t="str">
        <f>IF(分析!AC453&lt;&gt;"",分析!AC453,"")</f>
        <v/>
      </c>
      <c r="L453" s="151" t="str">
        <f>IF(分析!K453&lt;&gt;"",分析!K453,"")</f>
        <v/>
      </c>
      <c r="M453" s="146" t="str">
        <f>IF(分析!P453&lt;&gt;"",分析!P453,"")</f>
        <v/>
      </c>
      <c r="N453" s="152" t="str">
        <f>IF(分析!O453&lt;&gt;"",分析!O453,"")</f>
        <v/>
      </c>
      <c r="O453" s="153" t="str">
        <f>IF(分析!X453&lt;&gt;"",分析!X453,"")</f>
        <v/>
      </c>
      <c r="P453" s="154" t="str">
        <f>IF(分析!L453&lt;&gt;"",分析!L453,"")</f>
        <v/>
      </c>
      <c r="Q453" s="151" t="str">
        <f>IF(分析!S453&lt;&gt;"",分析!S453,"")</f>
        <v/>
      </c>
      <c r="R453" s="151" t="str">
        <f>IF(分析!R453&lt;&gt;"",分析!R453,"")</f>
        <v/>
      </c>
      <c r="S453" s="146" t="str">
        <f>IF(分析!AA453&lt;&gt;"",分析!AA453,"")</f>
        <v/>
      </c>
      <c r="T453" s="155" t="str">
        <f>IF(分析!Z453&lt;&gt;"",分析!Z453,"")</f>
        <v/>
      </c>
      <c r="U453" s="146" t="str">
        <f>IF(分析!V453&lt;&gt;"",分析!V453,"")</f>
        <v/>
      </c>
      <c r="V453" s="156" t="str">
        <f>IF(分析!W453&lt;&gt;"",分析!W453,"")</f>
        <v/>
      </c>
      <c r="W453" s="157" t="str">
        <f>IF(分析!AD453&lt;&gt;"",分析!AD453,"")</f>
        <v/>
      </c>
      <c r="X453" s="158" t="str">
        <f>IF(分析!AE453&lt;&gt;"",分析!AE453,"")</f>
        <v/>
      </c>
      <c r="Y453" s="159" t="str">
        <f>IF(分析!T453&lt;&gt;"",分析!T453,"")</f>
        <v/>
      </c>
      <c r="Z453" s="145" t="str">
        <f>IF(分析!Y453&lt;&gt;"",分析!Y453,"")</f>
        <v/>
      </c>
    </row>
    <row r="454" spans="1:26" ht="21.9" customHeight="1">
      <c r="A454" s="131" t="str">
        <f>IF(分析!C454&lt;&gt;"",ROW()-2,"")</f>
        <v/>
      </c>
      <c r="B454" s="132" t="str">
        <f>IF(分析!C454&lt;&gt;"",HYPERLINK("https://kabutan.jp/stock/?code="&amp;分析!C454,"株探"),"")</f>
        <v/>
      </c>
      <c r="C454" s="133" t="str">
        <f>IF(分析!C454&lt;&gt;"",分析!C454,"")</f>
        <v/>
      </c>
      <c r="D454" s="134" t="str">
        <f>IF(分析!D454&lt;&gt;"",分析!D454,"")</f>
        <v/>
      </c>
      <c r="E454" s="135" t="str">
        <f>IF(分析!E454&lt;&gt;"",分析!E454,"")</f>
        <v/>
      </c>
      <c r="F454" s="136" t="str">
        <f>IF(分析!F454&lt;&gt;"",分析!F454,"")</f>
        <v/>
      </c>
      <c r="G454" s="136" t="str">
        <f>IF(分析!H454&lt;&gt;"",分析!H454,"")</f>
        <v/>
      </c>
      <c r="H454" s="136" t="str">
        <f>IF(分析!I454&lt;&gt;"",分析!I454,"")</f>
        <v/>
      </c>
      <c r="I454" s="136" t="str">
        <f>IF(分析!J454&lt;&gt;"",分析!J454,"")</f>
        <v/>
      </c>
      <c r="J454" s="136" t="str">
        <f>IF(分析!AB454&lt;&gt;"",分析!AB454,"")</f>
        <v/>
      </c>
      <c r="K454" s="136" t="str">
        <f>IF(分析!AC454&lt;&gt;"",分析!AC454,"")</f>
        <v/>
      </c>
      <c r="L454" s="136" t="str">
        <f>IF(分析!K454&lt;&gt;"",分析!K454,"")</f>
        <v/>
      </c>
      <c r="M454" s="131" t="str">
        <f>IF(分析!P454&lt;&gt;"",分析!P454,"")</f>
        <v/>
      </c>
      <c r="N454" s="137" t="str">
        <f>IF(分析!O454&lt;&gt;"",分析!O454,"")</f>
        <v/>
      </c>
      <c r="O454" s="138" t="str">
        <f>IF(分析!X454&lt;&gt;"",分析!X454,"")</f>
        <v/>
      </c>
      <c r="P454" s="139" t="str">
        <f>IF(分析!L454&lt;&gt;"",分析!L454,"")</f>
        <v/>
      </c>
      <c r="Q454" s="136" t="str">
        <f>IF(分析!S454&lt;&gt;"",分析!S454,"")</f>
        <v/>
      </c>
      <c r="R454" s="136" t="str">
        <f>IF(分析!R454&lt;&gt;"",分析!R454,"")</f>
        <v/>
      </c>
      <c r="S454" s="131" t="str">
        <f>IF(分析!AA454&lt;&gt;"",分析!AA454,"")</f>
        <v/>
      </c>
      <c r="T454" s="140" t="str">
        <f>IF(分析!Z454&lt;&gt;"",分析!Z454,"")</f>
        <v/>
      </c>
      <c r="U454" s="131" t="str">
        <f>IF(分析!V454&lt;&gt;"",分析!V454,"")</f>
        <v/>
      </c>
      <c r="V454" s="141" t="str">
        <f>IF(分析!W454&lt;&gt;"",分析!W454,"")</f>
        <v/>
      </c>
      <c r="W454" s="142" t="str">
        <f>IF(分析!AD454&lt;&gt;"",分析!AD454,"")</f>
        <v/>
      </c>
      <c r="X454" s="143" t="str">
        <f>IF(分析!AE454&lt;&gt;"",分析!AE454,"")</f>
        <v/>
      </c>
      <c r="Y454" s="144" t="str">
        <f>IF(分析!T454&lt;&gt;"",分析!T454,"")</f>
        <v/>
      </c>
      <c r="Z454" s="145" t="str">
        <f>IF(分析!Y454&lt;&gt;"",分析!Y454,"")</f>
        <v/>
      </c>
    </row>
    <row r="455" spans="1:26" ht="21.9" customHeight="1">
      <c r="A455" s="146" t="str">
        <f>IF(分析!C455&lt;&gt;"",ROW()-2,"")</f>
        <v/>
      </c>
      <c r="B455" s="147" t="str">
        <f>IF(分析!C455&lt;&gt;"",HYPERLINK("https://kabutan.jp/stock/?code="&amp;分析!C455,"株探"),"")</f>
        <v/>
      </c>
      <c r="C455" s="148" t="str">
        <f>IF(分析!C455&lt;&gt;"",分析!C455,"")</f>
        <v/>
      </c>
      <c r="D455" s="149" t="str">
        <f>IF(分析!D455&lt;&gt;"",分析!D455,"")</f>
        <v/>
      </c>
      <c r="E455" s="150" t="str">
        <f>IF(分析!E455&lt;&gt;"",分析!E455,"")</f>
        <v/>
      </c>
      <c r="F455" s="151" t="str">
        <f>IF(分析!F455&lt;&gt;"",分析!F455,"")</f>
        <v/>
      </c>
      <c r="G455" s="151" t="str">
        <f>IF(分析!H455&lt;&gt;"",分析!H455,"")</f>
        <v/>
      </c>
      <c r="H455" s="151" t="str">
        <f>IF(分析!I455&lt;&gt;"",分析!I455,"")</f>
        <v/>
      </c>
      <c r="I455" s="151" t="str">
        <f>IF(分析!J455&lt;&gt;"",分析!J455,"")</f>
        <v/>
      </c>
      <c r="J455" s="151" t="str">
        <f>IF(分析!AB455&lt;&gt;"",分析!AB455,"")</f>
        <v/>
      </c>
      <c r="K455" s="151" t="str">
        <f>IF(分析!AC455&lt;&gt;"",分析!AC455,"")</f>
        <v/>
      </c>
      <c r="L455" s="151" t="str">
        <f>IF(分析!K455&lt;&gt;"",分析!K455,"")</f>
        <v/>
      </c>
      <c r="M455" s="146" t="str">
        <f>IF(分析!P455&lt;&gt;"",分析!P455,"")</f>
        <v/>
      </c>
      <c r="N455" s="152" t="str">
        <f>IF(分析!O455&lt;&gt;"",分析!O455,"")</f>
        <v/>
      </c>
      <c r="O455" s="153" t="str">
        <f>IF(分析!X455&lt;&gt;"",分析!X455,"")</f>
        <v/>
      </c>
      <c r="P455" s="154" t="str">
        <f>IF(分析!L455&lt;&gt;"",分析!L455,"")</f>
        <v/>
      </c>
      <c r="Q455" s="151" t="str">
        <f>IF(分析!S455&lt;&gt;"",分析!S455,"")</f>
        <v/>
      </c>
      <c r="R455" s="151" t="str">
        <f>IF(分析!R455&lt;&gt;"",分析!R455,"")</f>
        <v/>
      </c>
      <c r="S455" s="146" t="str">
        <f>IF(分析!AA455&lt;&gt;"",分析!AA455,"")</f>
        <v/>
      </c>
      <c r="T455" s="155" t="str">
        <f>IF(分析!Z455&lt;&gt;"",分析!Z455,"")</f>
        <v/>
      </c>
      <c r="U455" s="146" t="str">
        <f>IF(分析!V455&lt;&gt;"",分析!V455,"")</f>
        <v/>
      </c>
      <c r="V455" s="156" t="str">
        <f>IF(分析!W455&lt;&gt;"",分析!W455,"")</f>
        <v/>
      </c>
      <c r="W455" s="157" t="str">
        <f>IF(分析!AD455&lt;&gt;"",分析!AD455,"")</f>
        <v/>
      </c>
      <c r="X455" s="158" t="str">
        <f>IF(分析!AE455&lt;&gt;"",分析!AE455,"")</f>
        <v/>
      </c>
      <c r="Y455" s="159" t="str">
        <f>IF(分析!T455&lt;&gt;"",分析!T455,"")</f>
        <v/>
      </c>
      <c r="Z455" s="145" t="str">
        <f>IF(分析!Y455&lt;&gt;"",分析!Y455,"")</f>
        <v/>
      </c>
    </row>
    <row r="456" spans="1:26" ht="21.9" customHeight="1">
      <c r="A456" s="131" t="str">
        <f>IF(分析!C456&lt;&gt;"",ROW()-2,"")</f>
        <v/>
      </c>
      <c r="B456" s="132" t="str">
        <f>IF(分析!C456&lt;&gt;"",HYPERLINK("https://kabutan.jp/stock/?code="&amp;分析!C456,"株探"),"")</f>
        <v/>
      </c>
      <c r="C456" s="133" t="str">
        <f>IF(分析!C456&lt;&gt;"",分析!C456,"")</f>
        <v/>
      </c>
      <c r="D456" s="134" t="str">
        <f>IF(分析!D456&lt;&gt;"",分析!D456,"")</f>
        <v/>
      </c>
      <c r="E456" s="135" t="str">
        <f>IF(分析!E456&lt;&gt;"",分析!E456,"")</f>
        <v/>
      </c>
      <c r="F456" s="136" t="str">
        <f>IF(分析!F456&lt;&gt;"",分析!F456,"")</f>
        <v/>
      </c>
      <c r="G456" s="136" t="str">
        <f>IF(分析!H456&lt;&gt;"",分析!H456,"")</f>
        <v/>
      </c>
      <c r="H456" s="136" t="str">
        <f>IF(分析!I456&lt;&gt;"",分析!I456,"")</f>
        <v/>
      </c>
      <c r="I456" s="136" t="str">
        <f>IF(分析!J456&lt;&gt;"",分析!J456,"")</f>
        <v/>
      </c>
      <c r="J456" s="136" t="str">
        <f>IF(分析!AB456&lt;&gt;"",分析!AB456,"")</f>
        <v/>
      </c>
      <c r="K456" s="136" t="str">
        <f>IF(分析!AC456&lt;&gt;"",分析!AC456,"")</f>
        <v/>
      </c>
      <c r="L456" s="136" t="str">
        <f>IF(分析!K456&lt;&gt;"",分析!K456,"")</f>
        <v/>
      </c>
      <c r="M456" s="131" t="str">
        <f>IF(分析!P456&lt;&gt;"",分析!P456,"")</f>
        <v/>
      </c>
      <c r="N456" s="137" t="str">
        <f>IF(分析!O456&lt;&gt;"",分析!O456,"")</f>
        <v/>
      </c>
      <c r="O456" s="138" t="str">
        <f>IF(分析!X456&lt;&gt;"",分析!X456,"")</f>
        <v/>
      </c>
      <c r="P456" s="139" t="str">
        <f>IF(分析!L456&lt;&gt;"",分析!L456,"")</f>
        <v/>
      </c>
      <c r="Q456" s="136" t="str">
        <f>IF(分析!S456&lt;&gt;"",分析!S456,"")</f>
        <v/>
      </c>
      <c r="R456" s="136" t="str">
        <f>IF(分析!R456&lt;&gt;"",分析!R456,"")</f>
        <v/>
      </c>
      <c r="S456" s="131" t="str">
        <f>IF(分析!AA456&lt;&gt;"",分析!AA456,"")</f>
        <v/>
      </c>
      <c r="T456" s="140" t="str">
        <f>IF(分析!Z456&lt;&gt;"",分析!Z456,"")</f>
        <v/>
      </c>
      <c r="U456" s="131" t="str">
        <f>IF(分析!V456&lt;&gt;"",分析!V456,"")</f>
        <v/>
      </c>
      <c r="V456" s="141" t="str">
        <f>IF(分析!W456&lt;&gt;"",分析!W456,"")</f>
        <v/>
      </c>
      <c r="W456" s="142" t="str">
        <f>IF(分析!AD456&lt;&gt;"",分析!AD456,"")</f>
        <v/>
      </c>
      <c r="X456" s="143" t="str">
        <f>IF(分析!AE456&lt;&gt;"",分析!AE456,"")</f>
        <v/>
      </c>
      <c r="Y456" s="144" t="str">
        <f>IF(分析!T456&lt;&gt;"",分析!T456,"")</f>
        <v/>
      </c>
      <c r="Z456" s="145" t="str">
        <f>IF(分析!Y456&lt;&gt;"",分析!Y456,"")</f>
        <v/>
      </c>
    </row>
    <row r="457" spans="1:26" ht="21.9" customHeight="1">
      <c r="A457" s="146" t="str">
        <f>IF(分析!C457&lt;&gt;"",ROW()-2,"")</f>
        <v/>
      </c>
      <c r="B457" s="147" t="str">
        <f>IF(分析!C457&lt;&gt;"",HYPERLINK("https://kabutan.jp/stock/?code="&amp;分析!C457,"株探"),"")</f>
        <v/>
      </c>
      <c r="C457" s="148" t="str">
        <f>IF(分析!C457&lt;&gt;"",分析!C457,"")</f>
        <v/>
      </c>
      <c r="D457" s="149" t="str">
        <f>IF(分析!D457&lt;&gt;"",分析!D457,"")</f>
        <v/>
      </c>
      <c r="E457" s="150" t="str">
        <f>IF(分析!E457&lt;&gt;"",分析!E457,"")</f>
        <v/>
      </c>
      <c r="F457" s="151" t="str">
        <f>IF(分析!F457&lt;&gt;"",分析!F457,"")</f>
        <v/>
      </c>
      <c r="G457" s="151" t="str">
        <f>IF(分析!H457&lt;&gt;"",分析!H457,"")</f>
        <v/>
      </c>
      <c r="H457" s="151" t="str">
        <f>IF(分析!I457&lt;&gt;"",分析!I457,"")</f>
        <v/>
      </c>
      <c r="I457" s="151" t="str">
        <f>IF(分析!J457&lt;&gt;"",分析!J457,"")</f>
        <v/>
      </c>
      <c r="J457" s="151" t="str">
        <f>IF(分析!AB457&lt;&gt;"",分析!AB457,"")</f>
        <v/>
      </c>
      <c r="K457" s="151" t="str">
        <f>IF(分析!AC457&lt;&gt;"",分析!AC457,"")</f>
        <v/>
      </c>
      <c r="L457" s="151" t="str">
        <f>IF(分析!K457&lt;&gt;"",分析!K457,"")</f>
        <v/>
      </c>
      <c r="M457" s="146" t="str">
        <f>IF(分析!P457&lt;&gt;"",分析!P457,"")</f>
        <v/>
      </c>
      <c r="N457" s="152" t="str">
        <f>IF(分析!O457&lt;&gt;"",分析!O457,"")</f>
        <v/>
      </c>
      <c r="O457" s="153" t="str">
        <f>IF(分析!X457&lt;&gt;"",分析!X457,"")</f>
        <v/>
      </c>
      <c r="P457" s="154" t="str">
        <f>IF(分析!L457&lt;&gt;"",分析!L457,"")</f>
        <v/>
      </c>
      <c r="Q457" s="151" t="str">
        <f>IF(分析!S457&lt;&gt;"",分析!S457,"")</f>
        <v/>
      </c>
      <c r="R457" s="151" t="str">
        <f>IF(分析!R457&lt;&gt;"",分析!R457,"")</f>
        <v/>
      </c>
      <c r="S457" s="146" t="str">
        <f>IF(分析!AA457&lt;&gt;"",分析!AA457,"")</f>
        <v/>
      </c>
      <c r="T457" s="155" t="str">
        <f>IF(分析!Z457&lt;&gt;"",分析!Z457,"")</f>
        <v/>
      </c>
      <c r="U457" s="146" t="str">
        <f>IF(分析!V457&lt;&gt;"",分析!V457,"")</f>
        <v/>
      </c>
      <c r="V457" s="156" t="str">
        <f>IF(分析!W457&lt;&gt;"",分析!W457,"")</f>
        <v/>
      </c>
      <c r="W457" s="157" t="str">
        <f>IF(分析!AD457&lt;&gt;"",分析!AD457,"")</f>
        <v/>
      </c>
      <c r="X457" s="158" t="str">
        <f>IF(分析!AE457&lt;&gt;"",分析!AE457,"")</f>
        <v/>
      </c>
      <c r="Y457" s="159" t="str">
        <f>IF(分析!T457&lt;&gt;"",分析!T457,"")</f>
        <v/>
      </c>
      <c r="Z457" s="145" t="str">
        <f>IF(分析!Y457&lt;&gt;"",分析!Y457,"")</f>
        <v/>
      </c>
    </row>
    <row r="458" spans="1:26" ht="21.9" customHeight="1">
      <c r="A458" s="131" t="str">
        <f>IF(分析!C458&lt;&gt;"",ROW()-2,"")</f>
        <v/>
      </c>
      <c r="B458" s="132" t="str">
        <f>IF(分析!C458&lt;&gt;"",HYPERLINK("https://kabutan.jp/stock/?code="&amp;分析!C458,"株探"),"")</f>
        <v/>
      </c>
      <c r="C458" s="133" t="str">
        <f>IF(分析!C458&lt;&gt;"",分析!C458,"")</f>
        <v/>
      </c>
      <c r="D458" s="134" t="str">
        <f>IF(分析!D458&lt;&gt;"",分析!D458,"")</f>
        <v/>
      </c>
      <c r="E458" s="135" t="str">
        <f>IF(分析!E458&lt;&gt;"",分析!E458,"")</f>
        <v/>
      </c>
      <c r="F458" s="136" t="str">
        <f>IF(分析!F458&lt;&gt;"",分析!F458,"")</f>
        <v/>
      </c>
      <c r="G458" s="136" t="str">
        <f>IF(分析!H458&lt;&gt;"",分析!H458,"")</f>
        <v/>
      </c>
      <c r="H458" s="136" t="str">
        <f>IF(分析!I458&lt;&gt;"",分析!I458,"")</f>
        <v/>
      </c>
      <c r="I458" s="136" t="str">
        <f>IF(分析!J458&lt;&gt;"",分析!J458,"")</f>
        <v/>
      </c>
      <c r="J458" s="136" t="str">
        <f>IF(分析!AB458&lt;&gt;"",分析!AB458,"")</f>
        <v/>
      </c>
      <c r="K458" s="136" t="str">
        <f>IF(分析!AC458&lt;&gt;"",分析!AC458,"")</f>
        <v/>
      </c>
      <c r="L458" s="136" t="str">
        <f>IF(分析!K458&lt;&gt;"",分析!K458,"")</f>
        <v/>
      </c>
      <c r="M458" s="131" t="str">
        <f>IF(分析!P458&lt;&gt;"",分析!P458,"")</f>
        <v/>
      </c>
      <c r="N458" s="137" t="str">
        <f>IF(分析!O458&lt;&gt;"",分析!O458,"")</f>
        <v/>
      </c>
      <c r="O458" s="138" t="str">
        <f>IF(分析!X458&lt;&gt;"",分析!X458,"")</f>
        <v/>
      </c>
      <c r="P458" s="139" t="str">
        <f>IF(分析!L458&lt;&gt;"",分析!L458,"")</f>
        <v/>
      </c>
      <c r="Q458" s="136" t="str">
        <f>IF(分析!S458&lt;&gt;"",分析!S458,"")</f>
        <v/>
      </c>
      <c r="R458" s="136" t="str">
        <f>IF(分析!R458&lt;&gt;"",分析!R458,"")</f>
        <v/>
      </c>
      <c r="S458" s="131" t="str">
        <f>IF(分析!AA458&lt;&gt;"",分析!AA458,"")</f>
        <v/>
      </c>
      <c r="T458" s="140" t="str">
        <f>IF(分析!Z458&lt;&gt;"",分析!Z458,"")</f>
        <v/>
      </c>
      <c r="U458" s="131" t="str">
        <f>IF(分析!V458&lt;&gt;"",分析!V458,"")</f>
        <v/>
      </c>
      <c r="V458" s="141" t="str">
        <f>IF(分析!W458&lt;&gt;"",分析!W458,"")</f>
        <v/>
      </c>
      <c r="W458" s="142" t="str">
        <f>IF(分析!AD458&lt;&gt;"",分析!AD458,"")</f>
        <v/>
      </c>
      <c r="X458" s="143" t="str">
        <f>IF(分析!AE458&lt;&gt;"",分析!AE458,"")</f>
        <v/>
      </c>
      <c r="Y458" s="144" t="str">
        <f>IF(分析!T458&lt;&gt;"",分析!T458,"")</f>
        <v/>
      </c>
      <c r="Z458" s="145" t="str">
        <f>IF(分析!Y458&lt;&gt;"",分析!Y458,"")</f>
        <v/>
      </c>
    </row>
    <row r="459" spans="1:26" ht="21.9" customHeight="1">
      <c r="A459" s="146" t="str">
        <f>IF(分析!C459&lt;&gt;"",ROW()-2,"")</f>
        <v/>
      </c>
      <c r="B459" s="147" t="str">
        <f>IF(分析!C459&lt;&gt;"",HYPERLINK("https://kabutan.jp/stock/?code="&amp;分析!C459,"株探"),"")</f>
        <v/>
      </c>
      <c r="C459" s="148" t="str">
        <f>IF(分析!C459&lt;&gt;"",分析!C459,"")</f>
        <v/>
      </c>
      <c r="D459" s="149" t="str">
        <f>IF(分析!D459&lt;&gt;"",分析!D459,"")</f>
        <v/>
      </c>
      <c r="E459" s="150" t="str">
        <f>IF(分析!E459&lt;&gt;"",分析!E459,"")</f>
        <v/>
      </c>
      <c r="F459" s="151" t="str">
        <f>IF(分析!F459&lt;&gt;"",分析!F459,"")</f>
        <v/>
      </c>
      <c r="G459" s="151" t="str">
        <f>IF(分析!H459&lt;&gt;"",分析!H459,"")</f>
        <v/>
      </c>
      <c r="H459" s="151" t="str">
        <f>IF(分析!I459&lt;&gt;"",分析!I459,"")</f>
        <v/>
      </c>
      <c r="I459" s="151" t="str">
        <f>IF(分析!J459&lt;&gt;"",分析!J459,"")</f>
        <v/>
      </c>
      <c r="J459" s="151" t="str">
        <f>IF(分析!AB459&lt;&gt;"",分析!AB459,"")</f>
        <v/>
      </c>
      <c r="K459" s="151" t="str">
        <f>IF(分析!AC459&lt;&gt;"",分析!AC459,"")</f>
        <v/>
      </c>
      <c r="L459" s="151" t="str">
        <f>IF(分析!K459&lt;&gt;"",分析!K459,"")</f>
        <v/>
      </c>
      <c r="M459" s="146" t="str">
        <f>IF(分析!P459&lt;&gt;"",分析!P459,"")</f>
        <v/>
      </c>
      <c r="N459" s="152" t="str">
        <f>IF(分析!O459&lt;&gt;"",分析!O459,"")</f>
        <v/>
      </c>
      <c r="O459" s="153" t="str">
        <f>IF(分析!X459&lt;&gt;"",分析!X459,"")</f>
        <v/>
      </c>
      <c r="P459" s="154" t="str">
        <f>IF(分析!L459&lt;&gt;"",分析!L459,"")</f>
        <v/>
      </c>
      <c r="Q459" s="151" t="str">
        <f>IF(分析!S459&lt;&gt;"",分析!S459,"")</f>
        <v/>
      </c>
      <c r="R459" s="151" t="str">
        <f>IF(分析!R459&lt;&gt;"",分析!R459,"")</f>
        <v/>
      </c>
      <c r="S459" s="146" t="str">
        <f>IF(分析!AA459&lt;&gt;"",分析!AA459,"")</f>
        <v/>
      </c>
      <c r="T459" s="155" t="str">
        <f>IF(分析!Z459&lt;&gt;"",分析!Z459,"")</f>
        <v/>
      </c>
      <c r="U459" s="146" t="str">
        <f>IF(分析!V459&lt;&gt;"",分析!V459,"")</f>
        <v/>
      </c>
      <c r="V459" s="156" t="str">
        <f>IF(分析!W459&lt;&gt;"",分析!W459,"")</f>
        <v/>
      </c>
      <c r="W459" s="157" t="str">
        <f>IF(分析!AD459&lt;&gt;"",分析!AD459,"")</f>
        <v/>
      </c>
      <c r="X459" s="158" t="str">
        <f>IF(分析!AE459&lt;&gt;"",分析!AE459,"")</f>
        <v/>
      </c>
      <c r="Y459" s="159" t="str">
        <f>IF(分析!T459&lt;&gt;"",分析!T459,"")</f>
        <v/>
      </c>
      <c r="Z459" s="145" t="str">
        <f>IF(分析!Y459&lt;&gt;"",分析!Y459,"")</f>
        <v/>
      </c>
    </row>
    <row r="460" spans="1:26" ht="21.9" customHeight="1">
      <c r="A460" s="131" t="str">
        <f>IF(分析!C460&lt;&gt;"",ROW()-2,"")</f>
        <v/>
      </c>
      <c r="B460" s="132" t="str">
        <f>IF(分析!C460&lt;&gt;"",HYPERLINK("https://kabutan.jp/stock/?code="&amp;分析!C460,"株探"),"")</f>
        <v/>
      </c>
      <c r="C460" s="133" t="str">
        <f>IF(分析!C460&lt;&gt;"",分析!C460,"")</f>
        <v/>
      </c>
      <c r="D460" s="134" t="str">
        <f>IF(分析!D460&lt;&gt;"",分析!D460,"")</f>
        <v/>
      </c>
      <c r="E460" s="135" t="str">
        <f>IF(分析!E460&lt;&gt;"",分析!E460,"")</f>
        <v/>
      </c>
      <c r="F460" s="136" t="str">
        <f>IF(分析!F460&lt;&gt;"",分析!F460,"")</f>
        <v/>
      </c>
      <c r="G460" s="136" t="str">
        <f>IF(分析!H460&lt;&gt;"",分析!H460,"")</f>
        <v/>
      </c>
      <c r="H460" s="136" t="str">
        <f>IF(分析!I460&lt;&gt;"",分析!I460,"")</f>
        <v/>
      </c>
      <c r="I460" s="136" t="str">
        <f>IF(分析!J460&lt;&gt;"",分析!J460,"")</f>
        <v/>
      </c>
      <c r="J460" s="136" t="str">
        <f>IF(分析!AB460&lt;&gt;"",分析!AB460,"")</f>
        <v/>
      </c>
      <c r="K460" s="136" t="str">
        <f>IF(分析!AC460&lt;&gt;"",分析!AC460,"")</f>
        <v/>
      </c>
      <c r="L460" s="136" t="str">
        <f>IF(分析!K460&lt;&gt;"",分析!K460,"")</f>
        <v/>
      </c>
      <c r="M460" s="131" t="str">
        <f>IF(分析!P460&lt;&gt;"",分析!P460,"")</f>
        <v/>
      </c>
      <c r="N460" s="137" t="str">
        <f>IF(分析!O460&lt;&gt;"",分析!O460,"")</f>
        <v/>
      </c>
      <c r="O460" s="138" t="str">
        <f>IF(分析!X460&lt;&gt;"",分析!X460,"")</f>
        <v/>
      </c>
      <c r="P460" s="139" t="str">
        <f>IF(分析!L460&lt;&gt;"",分析!L460,"")</f>
        <v/>
      </c>
      <c r="Q460" s="136" t="str">
        <f>IF(分析!S460&lt;&gt;"",分析!S460,"")</f>
        <v/>
      </c>
      <c r="R460" s="136" t="str">
        <f>IF(分析!R460&lt;&gt;"",分析!R460,"")</f>
        <v/>
      </c>
      <c r="S460" s="131" t="str">
        <f>IF(分析!AA460&lt;&gt;"",分析!AA460,"")</f>
        <v/>
      </c>
      <c r="T460" s="140" t="str">
        <f>IF(分析!Z460&lt;&gt;"",分析!Z460,"")</f>
        <v/>
      </c>
      <c r="U460" s="131" t="str">
        <f>IF(分析!V460&lt;&gt;"",分析!V460,"")</f>
        <v/>
      </c>
      <c r="V460" s="141" t="str">
        <f>IF(分析!W460&lt;&gt;"",分析!W460,"")</f>
        <v/>
      </c>
      <c r="W460" s="142" t="str">
        <f>IF(分析!AD460&lt;&gt;"",分析!AD460,"")</f>
        <v/>
      </c>
      <c r="X460" s="143" t="str">
        <f>IF(分析!AE460&lt;&gt;"",分析!AE460,"")</f>
        <v/>
      </c>
      <c r="Y460" s="144" t="str">
        <f>IF(分析!T460&lt;&gt;"",分析!T460,"")</f>
        <v/>
      </c>
      <c r="Z460" s="145" t="str">
        <f>IF(分析!Y460&lt;&gt;"",分析!Y460,"")</f>
        <v/>
      </c>
    </row>
    <row r="461" spans="1:26" ht="21.9" customHeight="1">
      <c r="A461" s="146" t="str">
        <f>IF(分析!C461&lt;&gt;"",ROW()-2,"")</f>
        <v/>
      </c>
      <c r="B461" s="147" t="str">
        <f>IF(分析!C461&lt;&gt;"",HYPERLINK("https://kabutan.jp/stock/?code="&amp;分析!C461,"株探"),"")</f>
        <v/>
      </c>
      <c r="C461" s="148" t="str">
        <f>IF(分析!C461&lt;&gt;"",分析!C461,"")</f>
        <v/>
      </c>
      <c r="D461" s="149" t="str">
        <f>IF(分析!D461&lt;&gt;"",分析!D461,"")</f>
        <v/>
      </c>
      <c r="E461" s="150" t="str">
        <f>IF(分析!E461&lt;&gt;"",分析!E461,"")</f>
        <v/>
      </c>
      <c r="F461" s="151" t="str">
        <f>IF(分析!F461&lt;&gt;"",分析!F461,"")</f>
        <v/>
      </c>
      <c r="G461" s="151" t="str">
        <f>IF(分析!H461&lt;&gt;"",分析!H461,"")</f>
        <v/>
      </c>
      <c r="H461" s="151" t="str">
        <f>IF(分析!I461&lt;&gt;"",分析!I461,"")</f>
        <v/>
      </c>
      <c r="I461" s="151" t="str">
        <f>IF(分析!J461&lt;&gt;"",分析!J461,"")</f>
        <v/>
      </c>
      <c r="J461" s="151" t="str">
        <f>IF(分析!AB461&lt;&gt;"",分析!AB461,"")</f>
        <v/>
      </c>
      <c r="K461" s="151" t="str">
        <f>IF(分析!AC461&lt;&gt;"",分析!AC461,"")</f>
        <v/>
      </c>
      <c r="L461" s="151" t="str">
        <f>IF(分析!K461&lt;&gt;"",分析!K461,"")</f>
        <v/>
      </c>
      <c r="M461" s="146" t="str">
        <f>IF(分析!P461&lt;&gt;"",分析!P461,"")</f>
        <v/>
      </c>
      <c r="N461" s="152" t="str">
        <f>IF(分析!O461&lt;&gt;"",分析!O461,"")</f>
        <v/>
      </c>
      <c r="O461" s="153" t="str">
        <f>IF(分析!X461&lt;&gt;"",分析!X461,"")</f>
        <v/>
      </c>
      <c r="P461" s="154" t="str">
        <f>IF(分析!L461&lt;&gt;"",分析!L461,"")</f>
        <v/>
      </c>
      <c r="Q461" s="151" t="str">
        <f>IF(分析!S461&lt;&gt;"",分析!S461,"")</f>
        <v/>
      </c>
      <c r="R461" s="151" t="str">
        <f>IF(分析!R461&lt;&gt;"",分析!R461,"")</f>
        <v/>
      </c>
      <c r="S461" s="146" t="str">
        <f>IF(分析!AA461&lt;&gt;"",分析!AA461,"")</f>
        <v/>
      </c>
      <c r="T461" s="155" t="str">
        <f>IF(分析!Z461&lt;&gt;"",分析!Z461,"")</f>
        <v/>
      </c>
      <c r="U461" s="146" t="str">
        <f>IF(分析!V461&lt;&gt;"",分析!V461,"")</f>
        <v/>
      </c>
      <c r="V461" s="156" t="str">
        <f>IF(分析!W461&lt;&gt;"",分析!W461,"")</f>
        <v/>
      </c>
      <c r="W461" s="157" t="str">
        <f>IF(分析!AD461&lt;&gt;"",分析!AD461,"")</f>
        <v/>
      </c>
      <c r="X461" s="158" t="str">
        <f>IF(分析!AE461&lt;&gt;"",分析!AE461,"")</f>
        <v/>
      </c>
      <c r="Y461" s="159" t="str">
        <f>IF(分析!T461&lt;&gt;"",分析!T461,"")</f>
        <v/>
      </c>
      <c r="Z461" s="145" t="str">
        <f>IF(分析!Y461&lt;&gt;"",分析!Y461,"")</f>
        <v/>
      </c>
    </row>
    <row r="462" spans="1:26" ht="21.9" customHeight="1">
      <c r="A462" s="131" t="str">
        <f>IF(分析!C462&lt;&gt;"",ROW()-2,"")</f>
        <v/>
      </c>
      <c r="B462" s="132" t="str">
        <f>IF(分析!C462&lt;&gt;"",HYPERLINK("https://kabutan.jp/stock/?code="&amp;分析!C462,"株探"),"")</f>
        <v/>
      </c>
      <c r="C462" s="133" t="str">
        <f>IF(分析!C462&lt;&gt;"",分析!C462,"")</f>
        <v/>
      </c>
      <c r="D462" s="134" t="str">
        <f>IF(分析!D462&lt;&gt;"",分析!D462,"")</f>
        <v/>
      </c>
      <c r="E462" s="135" t="str">
        <f>IF(分析!E462&lt;&gt;"",分析!E462,"")</f>
        <v/>
      </c>
      <c r="F462" s="136" t="str">
        <f>IF(分析!F462&lt;&gt;"",分析!F462,"")</f>
        <v/>
      </c>
      <c r="G462" s="136" t="str">
        <f>IF(分析!H462&lt;&gt;"",分析!H462,"")</f>
        <v/>
      </c>
      <c r="H462" s="136" t="str">
        <f>IF(分析!I462&lt;&gt;"",分析!I462,"")</f>
        <v/>
      </c>
      <c r="I462" s="136" t="str">
        <f>IF(分析!J462&lt;&gt;"",分析!J462,"")</f>
        <v/>
      </c>
      <c r="J462" s="136" t="str">
        <f>IF(分析!AB462&lt;&gt;"",分析!AB462,"")</f>
        <v/>
      </c>
      <c r="K462" s="136" t="str">
        <f>IF(分析!AC462&lt;&gt;"",分析!AC462,"")</f>
        <v/>
      </c>
      <c r="L462" s="136" t="str">
        <f>IF(分析!K462&lt;&gt;"",分析!K462,"")</f>
        <v/>
      </c>
      <c r="M462" s="131" t="str">
        <f>IF(分析!P462&lt;&gt;"",分析!P462,"")</f>
        <v/>
      </c>
      <c r="N462" s="137" t="str">
        <f>IF(分析!O462&lt;&gt;"",分析!O462,"")</f>
        <v/>
      </c>
      <c r="O462" s="138" t="str">
        <f>IF(分析!X462&lt;&gt;"",分析!X462,"")</f>
        <v/>
      </c>
      <c r="P462" s="139" t="str">
        <f>IF(分析!L462&lt;&gt;"",分析!L462,"")</f>
        <v/>
      </c>
      <c r="Q462" s="136" t="str">
        <f>IF(分析!S462&lt;&gt;"",分析!S462,"")</f>
        <v/>
      </c>
      <c r="R462" s="136" t="str">
        <f>IF(分析!R462&lt;&gt;"",分析!R462,"")</f>
        <v/>
      </c>
      <c r="S462" s="131" t="str">
        <f>IF(分析!AA462&lt;&gt;"",分析!AA462,"")</f>
        <v/>
      </c>
      <c r="T462" s="140" t="str">
        <f>IF(分析!Z462&lt;&gt;"",分析!Z462,"")</f>
        <v/>
      </c>
      <c r="U462" s="131" t="str">
        <f>IF(分析!V462&lt;&gt;"",分析!V462,"")</f>
        <v/>
      </c>
      <c r="V462" s="141" t="str">
        <f>IF(分析!W462&lt;&gt;"",分析!W462,"")</f>
        <v/>
      </c>
      <c r="W462" s="142" t="str">
        <f>IF(分析!AD462&lt;&gt;"",分析!AD462,"")</f>
        <v/>
      </c>
      <c r="X462" s="143" t="str">
        <f>IF(分析!AE462&lt;&gt;"",分析!AE462,"")</f>
        <v/>
      </c>
      <c r="Y462" s="144" t="str">
        <f>IF(分析!T462&lt;&gt;"",分析!T462,"")</f>
        <v/>
      </c>
      <c r="Z462" s="145" t="str">
        <f>IF(分析!Y462&lt;&gt;"",分析!Y462,"")</f>
        <v/>
      </c>
    </row>
    <row r="463" spans="1:26" ht="21.9" customHeight="1">
      <c r="A463" s="146" t="str">
        <f>IF(分析!C463&lt;&gt;"",ROW()-2,"")</f>
        <v/>
      </c>
      <c r="B463" s="147" t="str">
        <f>IF(分析!C463&lt;&gt;"",HYPERLINK("https://kabutan.jp/stock/?code="&amp;分析!C463,"株探"),"")</f>
        <v/>
      </c>
      <c r="C463" s="148" t="str">
        <f>IF(分析!C463&lt;&gt;"",分析!C463,"")</f>
        <v/>
      </c>
      <c r="D463" s="149" t="str">
        <f>IF(分析!D463&lt;&gt;"",分析!D463,"")</f>
        <v/>
      </c>
      <c r="E463" s="150" t="str">
        <f>IF(分析!E463&lt;&gt;"",分析!E463,"")</f>
        <v/>
      </c>
      <c r="F463" s="151" t="str">
        <f>IF(分析!F463&lt;&gt;"",分析!F463,"")</f>
        <v/>
      </c>
      <c r="G463" s="151" t="str">
        <f>IF(分析!H463&lt;&gt;"",分析!H463,"")</f>
        <v/>
      </c>
      <c r="H463" s="151" t="str">
        <f>IF(分析!I463&lt;&gt;"",分析!I463,"")</f>
        <v/>
      </c>
      <c r="I463" s="151" t="str">
        <f>IF(分析!J463&lt;&gt;"",分析!J463,"")</f>
        <v/>
      </c>
      <c r="J463" s="151" t="str">
        <f>IF(分析!AB463&lt;&gt;"",分析!AB463,"")</f>
        <v/>
      </c>
      <c r="K463" s="151" t="str">
        <f>IF(分析!AC463&lt;&gt;"",分析!AC463,"")</f>
        <v/>
      </c>
      <c r="L463" s="151" t="str">
        <f>IF(分析!K463&lt;&gt;"",分析!K463,"")</f>
        <v/>
      </c>
      <c r="M463" s="146" t="str">
        <f>IF(分析!P463&lt;&gt;"",分析!P463,"")</f>
        <v/>
      </c>
      <c r="N463" s="152" t="str">
        <f>IF(分析!O463&lt;&gt;"",分析!O463,"")</f>
        <v/>
      </c>
      <c r="O463" s="153" t="str">
        <f>IF(分析!X463&lt;&gt;"",分析!X463,"")</f>
        <v/>
      </c>
      <c r="P463" s="154" t="str">
        <f>IF(分析!L463&lt;&gt;"",分析!L463,"")</f>
        <v/>
      </c>
      <c r="Q463" s="151" t="str">
        <f>IF(分析!S463&lt;&gt;"",分析!S463,"")</f>
        <v/>
      </c>
      <c r="R463" s="151" t="str">
        <f>IF(分析!R463&lt;&gt;"",分析!R463,"")</f>
        <v/>
      </c>
      <c r="S463" s="146" t="str">
        <f>IF(分析!AA463&lt;&gt;"",分析!AA463,"")</f>
        <v/>
      </c>
      <c r="T463" s="155" t="str">
        <f>IF(分析!Z463&lt;&gt;"",分析!Z463,"")</f>
        <v/>
      </c>
      <c r="U463" s="146" t="str">
        <f>IF(分析!V463&lt;&gt;"",分析!V463,"")</f>
        <v/>
      </c>
      <c r="V463" s="156" t="str">
        <f>IF(分析!W463&lt;&gt;"",分析!W463,"")</f>
        <v/>
      </c>
      <c r="W463" s="157" t="str">
        <f>IF(分析!AD463&lt;&gt;"",分析!AD463,"")</f>
        <v/>
      </c>
      <c r="X463" s="158" t="str">
        <f>IF(分析!AE463&lt;&gt;"",分析!AE463,"")</f>
        <v/>
      </c>
      <c r="Y463" s="159" t="str">
        <f>IF(分析!T463&lt;&gt;"",分析!T463,"")</f>
        <v/>
      </c>
      <c r="Z463" s="145" t="str">
        <f>IF(分析!Y463&lt;&gt;"",分析!Y463,"")</f>
        <v/>
      </c>
    </row>
    <row r="464" spans="1:26" ht="21.9" customHeight="1">
      <c r="A464" s="131" t="str">
        <f>IF(分析!C464&lt;&gt;"",ROW()-2,"")</f>
        <v/>
      </c>
      <c r="B464" s="132" t="str">
        <f>IF(分析!C464&lt;&gt;"",HYPERLINK("https://kabutan.jp/stock/?code="&amp;分析!C464,"株探"),"")</f>
        <v/>
      </c>
      <c r="C464" s="133" t="str">
        <f>IF(分析!C464&lt;&gt;"",分析!C464,"")</f>
        <v/>
      </c>
      <c r="D464" s="134" t="str">
        <f>IF(分析!D464&lt;&gt;"",分析!D464,"")</f>
        <v/>
      </c>
      <c r="E464" s="135" t="str">
        <f>IF(分析!E464&lt;&gt;"",分析!E464,"")</f>
        <v/>
      </c>
      <c r="F464" s="136" t="str">
        <f>IF(分析!F464&lt;&gt;"",分析!F464,"")</f>
        <v/>
      </c>
      <c r="G464" s="136" t="str">
        <f>IF(分析!H464&lt;&gt;"",分析!H464,"")</f>
        <v/>
      </c>
      <c r="H464" s="136" t="str">
        <f>IF(分析!I464&lt;&gt;"",分析!I464,"")</f>
        <v/>
      </c>
      <c r="I464" s="136" t="str">
        <f>IF(分析!J464&lt;&gt;"",分析!J464,"")</f>
        <v/>
      </c>
      <c r="J464" s="136" t="str">
        <f>IF(分析!AB464&lt;&gt;"",分析!AB464,"")</f>
        <v/>
      </c>
      <c r="K464" s="136" t="str">
        <f>IF(分析!AC464&lt;&gt;"",分析!AC464,"")</f>
        <v/>
      </c>
      <c r="L464" s="136" t="str">
        <f>IF(分析!K464&lt;&gt;"",分析!K464,"")</f>
        <v/>
      </c>
      <c r="M464" s="131" t="str">
        <f>IF(分析!P464&lt;&gt;"",分析!P464,"")</f>
        <v/>
      </c>
      <c r="N464" s="137" t="str">
        <f>IF(分析!O464&lt;&gt;"",分析!O464,"")</f>
        <v/>
      </c>
      <c r="O464" s="138" t="str">
        <f>IF(分析!X464&lt;&gt;"",分析!X464,"")</f>
        <v/>
      </c>
      <c r="P464" s="139" t="str">
        <f>IF(分析!L464&lt;&gt;"",分析!L464,"")</f>
        <v/>
      </c>
      <c r="Q464" s="136" t="str">
        <f>IF(分析!S464&lt;&gt;"",分析!S464,"")</f>
        <v/>
      </c>
      <c r="R464" s="136" t="str">
        <f>IF(分析!R464&lt;&gt;"",分析!R464,"")</f>
        <v/>
      </c>
      <c r="S464" s="131" t="str">
        <f>IF(分析!AA464&lt;&gt;"",分析!AA464,"")</f>
        <v/>
      </c>
      <c r="T464" s="140" t="str">
        <f>IF(分析!Z464&lt;&gt;"",分析!Z464,"")</f>
        <v/>
      </c>
      <c r="U464" s="131" t="str">
        <f>IF(分析!V464&lt;&gt;"",分析!V464,"")</f>
        <v/>
      </c>
      <c r="V464" s="141" t="str">
        <f>IF(分析!W464&lt;&gt;"",分析!W464,"")</f>
        <v/>
      </c>
      <c r="W464" s="142" t="str">
        <f>IF(分析!AD464&lt;&gt;"",分析!AD464,"")</f>
        <v/>
      </c>
      <c r="X464" s="143" t="str">
        <f>IF(分析!AE464&lt;&gt;"",分析!AE464,"")</f>
        <v/>
      </c>
      <c r="Y464" s="144" t="str">
        <f>IF(分析!T464&lt;&gt;"",分析!T464,"")</f>
        <v/>
      </c>
      <c r="Z464" s="145" t="str">
        <f>IF(分析!Y464&lt;&gt;"",分析!Y464,"")</f>
        <v/>
      </c>
    </row>
    <row r="465" spans="1:26" ht="21.9" customHeight="1">
      <c r="A465" s="146" t="str">
        <f>IF(分析!C465&lt;&gt;"",ROW()-2,"")</f>
        <v/>
      </c>
      <c r="B465" s="147" t="str">
        <f>IF(分析!C465&lt;&gt;"",HYPERLINK("https://kabutan.jp/stock/?code="&amp;分析!C465,"株探"),"")</f>
        <v/>
      </c>
      <c r="C465" s="148" t="str">
        <f>IF(分析!C465&lt;&gt;"",分析!C465,"")</f>
        <v/>
      </c>
      <c r="D465" s="149" t="str">
        <f>IF(分析!D465&lt;&gt;"",分析!D465,"")</f>
        <v/>
      </c>
      <c r="E465" s="150" t="str">
        <f>IF(分析!E465&lt;&gt;"",分析!E465,"")</f>
        <v/>
      </c>
      <c r="F465" s="151" t="str">
        <f>IF(分析!F465&lt;&gt;"",分析!F465,"")</f>
        <v/>
      </c>
      <c r="G465" s="151" t="str">
        <f>IF(分析!H465&lt;&gt;"",分析!H465,"")</f>
        <v/>
      </c>
      <c r="H465" s="151" t="str">
        <f>IF(分析!I465&lt;&gt;"",分析!I465,"")</f>
        <v/>
      </c>
      <c r="I465" s="151" t="str">
        <f>IF(分析!J465&lt;&gt;"",分析!J465,"")</f>
        <v/>
      </c>
      <c r="J465" s="151" t="str">
        <f>IF(分析!AB465&lt;&gt;"",分析!AB465,"")</f>
        <v/>
      </c>
      <c r="K465" s="151" t="str">
        <f>IF(分析!AC465&lt;&gt;"",分析!AC465,"")</f>
        <v/>
      </c>
      <c r="L465" s="151" t="str">
        <f>IF(分析!K465&lt;&gt;"",分析!K465,"")</f>
        <v/>
      </c>
      <c r="M465" s="146" t="str">
        <f>IF(分析!P465&lt;&gt;"",分析!P465,"")</f>
        <v/>
      </c>
      <c r="N465" s="152" t="str">
        <f>IF(分析!O465&lt;&gt;"",分析!O465,"")</f>
        <v/>
      </c>
      <c r="O465" s="153" t="str">
        <f>IF(分析!X465&lt;&gt;"",分析!X465,"")</f>
        <v/>
      </c>
      <c r="P465" s="154" t="str">
        <f>IF(分析!L465&lt;&gt;"",分析!L465,"")</f>
        <v/>
      </c>
      <c r="Q465" s="151" t="str">
        <f>IF(分析!S465&lt;&gt;"",分析!S465,"")</f>
        <v/>
      </c>
      <c r="R465" s="151" t="str">
        <f>IF(分析!R465&lt;&gt;"",分析!R465,"")</f>
        <v/>
      </c>
      <c r="S465" s="146" t="str">
        <f>IF(分析!AA465&lt;&gt;"",分析!AA465,"")</f>
        <v/>
      </c>
      <c r="T465" s="155" t="str">
        <f>IF(分析!Z465&lt;&gt;"",分析!Z465,"")</f>
        <v/>
      </c>
      <c r="U465" s="146" t="str">
        <f>IF(分析!V465&lt;&gt;"",分析!V465,"")</f>
        <v/>
      </c>
      <c r="V465" s="156" t="str">
        <f>IF(分析!W465&lt;&gt;"",分析!W465,"")</f>
        <v/>
      </c>
      <c r="W465" s="157" t="str">
        <f>IF(分析!AD465&lt;&gt;"",分析!AD465,"")</f>
        <v/>
      </c>
      <c r="X465" s="158" t="str">
        <f>IF(分析!AE465&lt;&gt;"",分析!AE465,"")</f>
        <v/>
      </c>
      <c r="Y465" s="159" t="str">
        <f>IF(分析!T465&lt;&gt;"",分析!T465,"")</f>
        <v/>
      </c>
      <c r="Z465" s="145" t="str">
        <f>IF(分析!Y465&lt;&gt;"",分析!Y465,"")</f>
        <v/>
      </c>
    </row>
    <row r="466" spans="1:26" ht="21.9" customHeight="1">
      <c r="A466" s="131" t="str">
        <f>IF(分析!C466&lt;&gt;"",ROW()-2,"")</f>
        <v/>
      </c>
      <c r="B466" s="132" t="str">
        <f>IF(分析!C466&lt;&gt;"",HYPERLINK("https://kabutan.jp/stock/?code="&amp;分析!C466,"株探"),"")</f>
        <v/>
      </c>
      <c r="C466" s="133" t="str">
        <f>IF(分析!C466&lt;&gt;"",分析!C466,"")</f>
        <v/>
      </c>
      <c r="D466" s="134" t="str">
        <f>IF(分析!D466&lt;&gt;"",分析!D466,"")</f>
        <v/>
      </c>
      <c r="E466" s="135" t="str">
        <f>IF(分析!E466&lt;&gt;"",分析!E466,"")</f>
        <v/>
      </c>
      <c r="F466" s="136" t="str">
        <f>IF(分析!F466&lt;&gt;"",分析!F466,"")</f>
        <v/>
      </c>
      <c r="G466" s="136" t="str">
        <f>IF(分析!H466&lt;&gt;"",分析!H466,"")</f>
        <v/>
      </c>
      <c r="H466" s="136" t="str">
        <f>IF(分析!I466&lt;&gt;"",分析!I466,"")</f>
        <v/>
      </c>
      <c r="I466" s="136" t="str">
        <f>IF(分析!J466&lt;&gt;"",分析!J466,"")</f>
        <v/>
      </c>
      <c r="J466" s="136" t="str">
        <f>IF(分析!AB466&lt;&gt;"",分析!AB466,"")</f>
        <v/>
      </c>
      <c r="K466" s="136" t="str">
        <f>IF(分析!AC466&lt;&gt;"",分析!AC466,"")</f>
        <v/>
      </c>
      <c r="L466" s="136" t="str">
        <f>IF(分析!K466&lt;&gt;"",分析!K466,"")</f>
        <v/>
      </c>
      <c r="M466" s="131" t="str">
        <f>IF(分析!P466&lt;&gt;"",分析!P466,"")</f>
        <v/>
      </c>
      <c r="N466" s="137" t="str">
        <f>IF(分析!O466&lt;&gt;"",分析!O466,"")</f>
        <v/>
      </c>
      <c r="O466" s="138" t="str">
        <f>IF(分析!X466&lt;&gt;"",分析!X466,"")</f>
        <v/>
      </c>
      <c r="P466" s="139" t="str">
        <f>IF(分析!L466&lt;&gt;"",分析!L466,"")</f>
        <v/>
      </c>
      <c r="Q466" s="136" t="str">
        <f>IF(分析!S466&lt;&gt;"",分析!S466,"")</f>
        <v/>
      </c>
      <c r="R466" s="136" t="str">
        <f>IF(分析!R466&lt;&gt;"",分析!R466,"")</f>
        <v/>
      </c>
      <c r="S466" s="131" t="str">
        <f>IF(分析!AA466&lt;&gt;"",分析!AA466,"")</f>
        <v/>
      </c>
      <c r="T466" s="140" t="str">
        <f>IF(分析!Z466&lt;&gt;"",分析!Z466,"")</f>
        <v/>
      </c>
      <c r="U466" s="131" t="str">
        <f>IF(分析!V466&lt;&gt;"",分析!V466,"")</f>
        <v/>
      </c>
      <c r="V466" s="141" t="str">
        <f>IF(分析!W466&lt;&gt;"",分析!W466,"")</f>
        <v/>
      </c>
      <c r="W466" s="142" t="str">
        <f>IF(分析!AD466&lt;&gt;"",分析!AD466,"")</f>
        <v/>
      </c>
      <c r="X466" s="143" t="str">
        <f>IF(分析!AE466&lt;&gt;"",分析!AE466,"")</f>
        <v/>
      </c>
      <c r="Y466" s="144" t="str">
        <f>IF(分析!T466&lt;&gt;"",分析!T466,"")</f>
        <v/>
      </c>
      <c r="Z466" s="145" t="str">
        <f>IF(分析!Y466&lt;&gt;"",分析!Y466,"")</f>
        <v/>
      </c>
    </row>
    <row r="467" spans="1:26" ht="21.9" customHeight="1">
      <c r="A467" s="146" t="str">
        <f>IF(分析!C467&lt;&gt;"",ROW()-2,"")</f>
        <v/>
      </c>
      <c r="B467" s="147" t="str">
        <f>IF(分析!C467&lt;&gt;"",HYPERLINK("https://kabutan.jp/stock/?code="&amp;分析!C467,"株探"),"")</f>
        <v/>
      </c>
      <c r="C467" s="148" t="str">
        <f>IF(分析!C467&lt;&gt;"",分析!C467,"")</f>
        <v/>
      </c>
      <c r="D467" s="149" t="str">
        <f>IF(分析!D467&lt;&gt;"",分析!D467,"")</f>
        <v/>
      </c>
      <c r="E467" s="150" t="str">
        <f>IF(分析!E467&lt;&gt;"",分析!E467,"")</f>
        <v/>
      </c>
      <c r="F467" s="151" t="str">
        <f>IF(分析!F467&lt;&gt;"",分析!F467,"")</f>
        <v/>
      </c>
      <c r="G467" s="151" t="str">
        <f>IF(分析!H467&lt;&gt;"",分析!H467,"")</f>
        <v/>
      </c>
      <c r="H467" s="151" t="str">
        <f>IF(分析!I467&lt;&gt;"",分析!I467,"")</f>
        <v/>
      </c>
      <c r="I467" s="151" t="str">
        <f>IF(分析!J467&lt;&gt;"",分析!J467,"")</f>
        <v/>
      </c>
      <c r="J467" s="151" t="str">
        <f>IF(分析!AB467&lt;&gt;"",分析!AB467,"")</f>
        <v/>
      </c>
      <c r="K467" s="151" t="str">
        <f>IF(分析!AC467&lt;&gt;"",分析!AC467,"")</f>
        <v/>
      </c>
      <c r="L467" s="151" t="str">
        <f>IF(分析!K467&lt;&gt;"",分析!K467,"")</f>
        <v/>
      </c>
      <c r="M467" s="146" t="str">
        <f>IF(分析!P467&lt;&gt;"",分析!P467,"")</f>
        <v/>
      </c>
      <c r="N467" s="152" t="str">
        <f>IF(分析!O467&lt;&gt;"",分析!O467,"")</f>
        <v/>
      </c>
      <c r="O467" s="153" t="str">
        <f>IF(分析!X467&lt;&gt;"",分析!X467,"")</f>
        <v/>
      </c>
      <c r="P467" s="154" t="str">
        <f>IF(分析!L467&lt;&gt;"",分析!L467,"")</f>
        <v/>
      </c>
      <c r="Q467" s="151" t="str">
        <f>IF(分析!S467&lt;&gt;"",分析!S467,"")</f>
        <v/>
      </c>
      <c r="R467" s="151" t="str">
        <f>IF(分析!R467&lt;&gt;"",分析!R467,"")</f>
        <v/>
      </c>
      <c r="S467" s="146" t="str">
        <f>IF(分析!AA467&lt;&gt;"",分析!AA467,"")</f>
        <v/>
      </c>
      <c r="T467" s="155" t="str">
        <f>IF(分析!Z467&lt;&gt;"",分析!Z467,"")</f>
        <v/>
      </c>
      <c r="U467" s="146" t="str">
        <f>IF(分析!V467&lt;&gt;"",分析!V467,"")</f>
        <v/>
      </c>
      <c r="V467" s="156" t="str">
        <f>IF(分析!W467&lt;&gt;"",分析!W467,"")</f>
        <v/>
      </c>
      <c r="W467" s="157" t="str">
        <f>IF(分析!AD467&lt;&gt;"",分析!AD467,"")</f>
        <v/>
      </c>
      <c r="X467" s="158" t="str">
        <f>IF(分析!AE467&lt;&gt;"",分析!AE467,"")</f>
        <v/>
      </c>
      <c r="Y467" s="159" t="str">
        <f>IF(分析!T467&lt;&gt;"",分析!T467,"")</f>
        <v/>
      </c>
      <c r="Z467" s="145" t="str">
        <f>IF(分析!Y467&lt;&gt;"",分析!Y467,"")</f>
        <v/>
      </c>
    </row>
    <row r="468" spans="1:26" ht="21.9" customHeight="1">
      <c r="A468" s="131" t="str">
        <f>IF(分析!C468&lt;&gt;"",ROW()-2,"")</f>
        <v/>
      </c>
      <c r="B468" s="132" t="str">
        <f>IF(分析!C468&lt;&gt;"",HYPERLINK("https://kabutan.jp/stock/?code="&amp;分析!C468,"株探"),"")</f>
        <v/>
      </c>
      <c r="C468" s="133" t="str">
        <f>IF(分析!C468&lt;&gt;"",分析!C468,"")</f>
        <v/>
      </c>
      <c r="D468" s="134" t="str">
        <f>IF(分析!D468&lt;&gt;"",分析!D468,"")</f>
        <v/>
      </c>
      <c r="E468" s="135" t="str">
        <f>IF(分析!E468&lt;&gt;"",分析!E468,"")</f>
        <v/>
      </c>
      <c r="F468" s="136" t="str">
        <f>IF(分析!F468&lt;&gt;"",分析!F468,"")</f>
        <v/>
      </c>
      <c r="G468" s="136" t="str">
        <f>IF(分析!H468&lt;&gt;"",分析!H468,"")</f>
        <v/>
      </c>
      <c r="H468" s="136" t="str">
        <f>IF(分析!I468&lt;&gt;"",分析!I468,"")</f>
        <v/>
      </c>
      <c r="I468" s="136" t="str">
        <f>IF(分析!J468&lt;&gt;"",分析!J468,"")</f>
        <v/>
      </c>
      <c r="J468" s="136" t="str">
        <f>IF(分析!AB468&lt;&gt;"",分析!AB468,"")</f>
        <v/>
      </c>
      <c r="K468" s="136" t="str">
        <f>IF(分析!AC468&lt;&gt;"",分析!AC468,"")</f>
        <v/>
      </c>
      <c r="L468" s="136" t="str">
        <f>IF(分析!K468&lt;&gt;"",分析!K468,"")</f>
        <v/>
      </c>
      <c r="M468" s="131" t="str">
        <f>IF(分析!P468&lt;&gt;"",分析!P468,"")</f>
        <v/>
      </c>
      <c r="N468" s="137" t="str">
        <f>IF(分析!O468&lt;&gt;"",分析!O468,"")</f>
        <v/>
      </c>
      <c r="O468" s="138" t="str">
        <f>IF(分析!X468&lt;&gt;"",分析!X468,"")</f>
        <v/>
      </c>
      <c r="P468" s="139" t="str">
        <f>IF(分析!L468&lt;&gt;"",分析!L468,"")</f>
        <v/>
      </c>
      <c r="Q468" s="136" t="str">
        <f>IF(分析!S468&lt;&gt;"",分析!S468,"")</f>
        <v/>
      </c>
      <c r="R468" s="136" t="str">
        <f>IF(分析!R468&lt;&gt;"",分析!R468,"")</f>
        <v/>
      </c>
      <c r="S468" s="131" t="str">
        <f>IF(分析!AA468&lt;&gt;"",分析!AA468,"")</f>
        <v/>
      </c>
      <c r="T468" s="140" t="str">
        <f>IF(分析!Z468&lt;&gt;"",分析!Z468,"")</f>
        <v/>
      </c>
      <c r="U468" s="131" t="str">
        <f>IF(分析!V468&lt;&gt;"",分析!V468,"")</f>
        <v/>
      </c>
      <c r="V468" s="141" t="str">
        <f>IF(分析!W468&lt;&gt;"",分析!W468,"")</f>
        <v/>
      </c>
      <c r="W468" s="142" t="str">
        <f>IF(分析!AD468&lt;&gt;"",分析!AD468,"")</f>
        <v/>
      </c>
      <c r="X468" s="143" t="str">
        <f>IF(分析!AE468&lt;&gt;"",分析!AE468,"")</f>
        <v/>
      </c>
      <c r="Y468" s="144" t="str">
        <f>IF(分析!T468&lt;&gt;"",分析!T468,"")</f>
        <v/>
      </c>
      <c r="Z468" s="145" t="str">
        <f>IF(分析!Y468&lt;&gt;"",分析!Y468,"")</f>
        <v/>
      </c>
    </row>
    <row r="469" spans="1:26" ht="21.9" customHeight="1">
      <c r="A469" s="146" t="str">
        <f>IF(分析!C469&lt;&gt;"",ROW()-2,"")</f>
        <v/>
      </c>
      <c r="B469" s="147" t="str">
        <f>IF(分析!C469&lt;&gt;"",HYPERLINK("https://kabutan.jp/stock/?code="&amp;分析!C469,"株探"),"")</f>
        <v/>
      </c>
      <c r="C469" s="148" t="str">
        <f>IF(分析!C469&lt;&gt;"",分析!C469,"")</f>
        <v/>
      </c>
      <c r="D469" s="149" t="str">
        <f>IF(分析!D469&lt;&gt;"",分析!D469,"")</f>
        <v/>
      </c>
      <c r="E469" s="150" t="str">
        <f>IF(分析!E469&lt;&gt;"",分析!E469,"")</f>
        <v/>
      </c>
      <c r="F469" s="151" t="str">
        <f>IF(分析!F469&lt;&gt;"",分析!F469,"")</f>
        <v/>
      </c>
      <c r="G469" s="151" t="str">
        <f>IF(分析!H469&lt;&gt;"",分析!H469,"")</f>
        <v/>
      </c>
      <c r="H469" s="151" t="str">
        <f>IF(分析!I469&lt;&gt;"",分析!I469,"")</f>
        <v/>
      </c>
      <c r="I469" s="151" t="str">
        <f>IF(分析!J469&lt;&gt;"",分析!J469,"")</f>
        <v/>
      </c>
      <c r="J469" s="151" t="str">
        <f>IF(分析!AB469&lt;&gt;"",分析!AB469,"")</f>
        <v/>
      </c>
      <c r="K469" s="151" t="str">
        <f>IF(分析!AC469&lt;&gt;"",分析!AC469,"")</f>
        <v/>
      </c>
      <c r="L469" s="151" t="str">
        <f>IF(分析!K469&lt;&gt;"",分析!K469,"")</f>
        <v/>
      </c>
      <c r="M469" s="146" t="str">
        <f>IF(分析!P469&lt;&gt;"",分析!P469,"")</f>
        <v/>
      </c>
      <c r="N469" s="152" t="str">
        <f>IF(分析!O469&lt;&gt;"",分析!O469,"")</f>
        <v/>
      </c>
      <c r="O469" s="153" t="str">
        <f>IF(分析!X469&lt;&gt;"",分析!X469,"")</f>
        <v/>
      </c>
      <c r="P469" s="154" t="str">
        <f>IF(分析!L469&lt;&gt;"",分析!L469,"")</f>
        <v/>
      </c>
      <c r="Q469" s="151" t="str">
        <f>IF(分析!S469&lt;&gt;"",分析!S469,"")</f>
        <v/>
      </c>
      <c r="R469" s="151" t="str">
        <f>IF(分析!R469&lt;&gt;"",分析!R469,"")</f>
        <v/>
      </c>
      <c r="S469" s="146" t="str">
        <f>IF(分析!AA469&lt;&gt;"",分析!AA469,"")</f>
        <v/>
      </c>
      <c r="T469" s="155" t="str">
        <f>IF(分析!Z469&lt;&gt;"",分析!Z469,"")</f>
        <v/>
      </c>
      <c r="U469" s="146" t="str">
        <f>IF(分析!V469&lt;&gt;"",分析!V469,"")</f>
        <v/>
      </c>
      <c r="V469" s="156" t="str">
        <f>IF(分析!W469&lt;&gt;"",分析!W469,"")</f>
        <v/>
      </c>
      <c r="W469" s="157" t="str">
        <f>IF(分析!AD469&lt;&gt;"",分析!AD469,"")</f>
        <v/>
      </c>
      <c r="X469" s="158" t="str">
        <f>IF(分析!AE469&lt;&gt;"",分析!AE469,"")</f>
        <v/>
      </c>
      <c r="Y469" s="159" t="str">
        <f>IF(分析!T469&lt;&gt;"",分析!T469,"")</f>
        <v/>
      </c>
      <c r="Z469" s="145" t="str">
        <f>IF(分析!Y469&lt;&gt;"",分析!Y469,"")</f>
        <v/>
      </c>
    </row>
    <row r="470" spans="1:26" ht="21.9" customHeight="1">
      <c r="A470" s="131" t="str">
        <f>IF(分析!C470&lt;&gt;"",ROW()-2,"")</f>
        <v/>
      </c>
      <c r="B470" s="132" t="str">
        <f>IF(分析!C470&lt;&gt;"",HYPERLINK("https://kabutan.jp/stock/?code="&amp;分析!C470,"株探"),"")</f>
        <v/>
      </c>
      <c r="C470" s="133" t="str">
        <f>IF(分析!C470&lt;&gt;"",分析!C470,"")</f>
        <v/>
      </c>
      <c r="D470" s="134" t="str">
        <f>IF(分析!D470&lt;&gt;"",分析!D470,"")</f>
        <v/>
      </c>
      <c r="E470" s="135" t="str">
        <f>IF(分析!E470&lt;&gt;"",分析!E470,"")</f>
        <v/>
      </c>
      <c r="F470" s="136" t="str">
        <f>IF(分析!F470&lt;&gt;"",分析!F470,"")</f>
        <v/>
      </c>
      <c r="G470" s="136" t="str">
        <f>IF(分析!H470&lt;&gt;"",分析!H470,"")</f>
        <v/>
      </c>
      <c r="H470" s="136" t="str">
        <f>IF(分析!I470&lt;&gt;"",分析!I470,"")</f>
        <v/>
      </c>
      <c r="I470" s="136" t="str">
        <f>IF(分析!J470&lt;&gt;"",分析!J470,"")</f>
        <v/>
      </c>
      <c r="J470" s="136" t="str">
        <f>IF(分析!AB470&lt;&gt;"",分析!AB470,"")</f>
        <v/>
      </c>
      <c r="K470" s="136" t="str">
        <f>IF(分析!AC470&lt;&gt;"",分析!AC470,"")</f>
        <v/>
      </c>
      <c r="L470" s="136" t="str">
        <f>IF(分析!K470&lt;&gt;"",分析!K470,"")</f>
        <v/>
      </c>
      <c r="M470" s="131" t="str">
        <f>IF(分析!P470&lt;&gt;"",分析!P470,"")</f>
        <v/>
      </c>
      <c r="N470" s="137" t="str">
        <f>IF(分析!O470&lt;&gt;"",分析!O470,"")</f>
        <v/>
      </c>
      <c r="O470" s="138" t="str">
        <f>IF(分析!X470&lt;&gt;"",分析!X470,"")</f>
        <v/>
      </c>
      <c r="P470" s="139" t="str">
        <f>IF(分析!L470&lt;&gt;"",分析!L470,"")</f>
        <v/>
      </c>
      <c r="Q470" s="136" t="str">
        <f>IF(分析!S470&lt;&gt;"",分析!S470,"")</f>
        <v/>
      </c>
      <c r="R470" s="136" t="str">
        <f>IF(分析!R470&lt;&gt;"",分析!R470,"")</f>
        <v/>
      </c>
      <c r="S470" s="131" t="str">
        <f>IF(分析!AA470&lt;&gt;"",分析!AA470,"")</f>
        <v/>
      </c>
      <c r="T470" s="140" t="str">
        <f>IF(分析!Z470&lt;&gt;"",分析!Z470,"")</f>
        <v/>
      </c>
      <c r="U470" s="131" t="str">
        <f>IF(分析!V470&lt;&gt;"",分析!V470,"")</f>
        <v/>
      </c>
      <c r="V470" s="141" t="str">
        <f>IF(分析!W470&lt;&gt;"",分析!W470,"")</f>
        <v/>
      </c>
      <c r="W470" s="142" t="str">
        <f>IF(分析!AD470&lt;&gt;"",分析!AD470,"")</f>
        <v/>
      </c>
      <c r="X470" s="143" t="str">
        <f>IF(分析!AE470&lt;&gt;"",分析!AE470,"")</f>
        <v/>
      </c>
      <c r="Y470" s="144" t="str">
        <f>IF(分析!T470&lt;&gt;"",分析!T470,"")</f>
        <v/>
      </c>
      <c r="Z470" s="145" t="str">
        <f>IF(分析!Y470&lt;&gt;"",分析!Y470,"")</f>
        <v/>
      </c>
    </row>
    <row r="471" spans="1:26" ht="21.9" customHeight="1">
      <c r="A471" s="146" t="str">
        <f>IF(分析!C471&lt;&gt;"",ROW()-2,"")</f>
        <v/>
      </c>
      <c r="B471" s="147" t="str">
        <f>IF(分析!C471&lt;&gt;"",HYPERLINK("https://kabutan.jp/stock/?code="&amp;分析!C471,"株探"),"")</f>
        <v/>
      </c>
      <c r="C471" s="148" t="str">
        <f>IF(分析!C471&lt;&gt;"",分析!C471,"")</f>
        <v/>
      </c>
      <c r="D471" s="149" t="str">
        <f>IF(分析!D471&lt;&gt;"",分析!D471,"")</f>
        <v/>
      </c>
      <c r="E471" s="150" t="str">
        <f>IF(分析!E471&lt;&gt;"",分析!E471,"")</f>
        <v/>
      </c>
      <c r="F471" s="151" t="str">
        <f>IF(分析!F471&lt;&gt;"",分析!F471,"")</f>
        <v/>
      </c>
      <c r="G471" s="151" t="str">
        <f>IF(分析!H471&lt;&gt;"",分析!H471,"")</f>
        <v/>
      </c>
      <c r="H471" s="151" t="str">
        <f>IF(分析!I471&lt;&gt;"",分析!I471,"")</f>
        <v/>
      </c>
      <c r="I471" s="151" t="str">
        <f>IF(分析!J471&lt;&gt;"",分析!J471,"")</f>
        <v/>
      </c>
      <c r="J471" s="151" t="str">
        <f>IF(分析!AB471&lt;&gt;"",分析!AB471,"")</f>
        <v/>
      </c>
      <c r="K471" s="151" t="str">
        <f>IF(分析!AC471&lt;&gt;"",分析!AC471,"")</f>
        <v/>
      </c>
      <c r="L471" s="151" t="str">
        <f>IF(分析!K471&lt;&gt;"",分析!K471,"")</f>
        <v/>
      </c>
      <c r="M471" s="146" t="str">
        <f>IF(分析!P471&lt;&gt;"",分析!P471,"")</f>
        <v/>
      </c>
      <c r="N471" s="152" t="str">
        <f>IF(分析!O471&lt;&gt;"",分析!O471,"")</f>
        <v/>
      </c>
      <c r="O471" s="153" t="str">
        <f>IF(分析!X471&lt;&gt;"",分析!X471,"")</f>
        <v/>
      </c>
      <c r="P471" s="154" t="str">
        <f>IF(分析!L471&lt;&gt;"",分析!L471,"")</f>
        <v/>
      </c>
      <c r="Q471" s="151" t="str">
        <f>IF(分析!S471&lt;&gt;"",分析!S471,"")</f>
        <v/>
      </c>
      <c r="R471" s="151" t="str">
        <f>IF(分析!R471&lt;&gt;"",分析!R471,"")</f>
        <v/>
      </c>
      <c r="S471" s="146" t="str">
        <f>IF(分析!AA471&lt;&gt;"",分析!AA471,"")</f>
        <v/>
      </c>
      <c r="T471" s="155" t="str">
        <f>IF(分析!Z471&lt;&gt;"",分析!Z471,"")</f>
        <v/>
      </c>
      <c r="U471" s="146" t="str">
        <f>IF(分析!V471&lt;&gt;"",分析!V471,"")</f>
        <v/>
      </c>
      <c r="V471" s="156" t="str">
        <f>IF(分析!W471&lt;&gt;"",分析!W471,"")</f>
        <v/>
      </c>
      <c r="W471" s="157" t="str">
        <f>IF(分析!AD471&lt;&gt;"",分析!AD471,"")</f>
        <v/>
      </c>
      <c r="X471" s="158" t="str">
        <f>IF(分析!AE471&lt;&gt;"",分析!AE471,"")</f>
        <v/>
      </c>
      <c r="Y471" s="159" t="str">
        <f>IF(分析!T471&lt;&gt;"",分析!T471,"")</f>
        <v/>
      </c>
      <c r="Z471" s="145" t="str">
        <f>IF(分析!Y471&lt;&gt;"",分析!Y471,"")</f>
        <v/>
      </c>
    </row>
    <row r="472" spans="1:26" ht="21.9" customHeight="1">
      <c r="A472" s="131" t="str">
        <f>IF(分析!C472&lt;&gt;"",ROW()-2,"")</f>
        <v/>
      </c>
      <c r="B472" s="132" t="str">
        <f>IF(分析!C472&lt;&gt;"",HYPERLINK("https://kabutan.jp/stock/?code="&amp;分析!C472,"株探"),"")</f>
        <v/>
      </c>
      <c r="C472" s="133" t="str">
        <f>IF(分析!C472&lt;&gt;"",分析!C472,"")</f>
        <v/>
      </c>
      <c r="D472" s="134" t="str">
        <f>IF(分析!D472&lt;&gt;"",分析!D472,"")</f>
        <v/>
      </c>
      <c r="E472" s="135" t="str">
        <f>IF(分析!E472&lt;&gt;"",分析!E472,"")</f>
        <v/>
      </c>
      <c r="F472" s="136" t="str">
        <f>IF(分析!F472&lt;&gt;"",分析!F472,"")</f>
        <v/>
      </c>
      <c r="G472" s="136" t="str">
        <f>IF(分析!H472&lt;&gt;"",分析!H472,"")</f>
        <v/>
      </c>
      <c r="H472" s="136" t="str">
        <f>IF(分析!I472&lt;&gt;"",分析!I472,"")</f>
        <v/>
      </c>
      <c r="I472" s="136" t="str">
        <f>IF(分析!J472&lt;&gt;"",分析!J472,"")</f>
        <v/>
      </c>
      <c r="J472" s="136" t="str">
        <f>IF(分析!AB472&lt;&gt;"",分析!AB472,"")</f>
        <v/>
      </c>
      <c r="K472" s="136" t="str">
        <f>IF(分析!AC472&lt;&gt;"",分析!AC472,"")</f>
        <v/>
      </c>
      <c r="L472" s="136" t="str">
        <f>IF(分析!K472&lt;&gt;"",分析!K472,"")</f>
        <v/>
      </c>
      <c r="M472" s="131" t="str">
        <f>IF(分析!P472&lt;&gt;"",分析!P472,"")</f>
        <v/>
      </c>
      <c r="N472" s="137" t="str">
        <f>IF(分析!O472&lt;&gt;"",分析!O472,"")</f>
        <v/>
      </c>
      <c r="O472" s="138" t="str">
        <f>IF(分析!X472&lt;&gt;"",分析!X472,"")</f>
        <v/>
      </c>
      <c r="P472" s="139" t="str">
        <f>IF(分析!L472&lt;&gt;"",分析!L472,"")</f>
        <v/>
      </c>
      <c r="Q472" s="136" t="str">
        <f>IF(分析!S472&lt;&gt;"",分析!S472,"")</f>
        <v/>
      </c>
      <c r="R472" s="136" t="str">
        <f>IF(分析!R472&lt;&gt;"",分析!R472,"")</f>
        <v/>
      </c>
      <c r="S472" s="131" t="str">
        <f>IF(分析!AA472&lt;&gt;"",分析!AA472,"")</f>
        <v/>
      </c>
      <c r="T472" s="140" t="str">
        <f>IF(分析!Z472&lt;&gt;"",分析!Z472,"")</f>
        <v/>
      </c>
      <c r="U472" s="131" t="str">
        <f>IF(分析!V472&lt;&gt;"",分析!V472,"")</f>
        <v/>
      </c>
      <c r="V472" s="141" t="str">
        <f>IF(分析!W472&lt;&gt;"",分析!W472,"")</f>
        <v/>
      </c>
      <c r="W472" s="142" t="str">
        <f>IF(分析!AD472&lt;&gt;"",分析!AD472,"")</f>
        <v/>
      </c>
      <c r="X472" s="143" t="str">
        <f>IF(分析!AE472&lt;&gt;"",分析!AE472,"")</f>
        <v/>
      </c>
      <c r="Y472" s="144" t="str">
        <f>IF(分析!T472&lt;&gt;"",分析!T472,"")</f>
        <v/>
      </c>
      <c r="Z472" s="145" t="str">
        <f>IF(分析!Y472&lt;&gt;"",分析!Y472,"")</f>
        <v/>
      </c>
    </row>
    <row r="473" spans="1:26" ht="21.9" customHeight="1">
      <c r="A473" s="146" t="str">
        <f>IF(分析!C473&lt;&gt;"",ROW()-2,"")</f>
        <v/>
      </c>
      <c r="B473" s="147" t="str">
        <f>IF(分析!C473&lt;&gt;"",HYPERLINK("https://kabutan.jp/stock/?code="&amp;分析!C473,"株探"),"")</f>
        <v/>
      </c>
      <c r="C473" s="148" t="str">
        <f>IF(分析!C473&lt;&gt;"",分析!C473,"")</f>
        <v/>
      </c>
      <c r="D473" s="149" t="str">
        <f>IF(分析!D473&lt;&gt;"",分析!D473,"")</f>
        <v/>
      </c>
      <c r="E473" s="150" t="str">
        <f>IF(分析!E473&lt;&gt;"",分析!E473,"")</f>
        <v/>
      </c>
      <c r="F473" s="151" t="str">
        <f>IF(分析!F473&lt;&gt;"",分析!F473,"")</f>
        <v/>
      </c>
      <c r="G473" s="151" t="str">
        <f>IF(分析!H473&lt;&gt;"",分析!H473,"")</f>
        <v/>
      </c>
      <c r="H473" s="151" t="str">
        <f>IF(分析!I473&lt;&gt;"",分析!I473,"")</f>
        <v/>
      </c>
      <c r="I473" s="151" t="str">
        <f>IF(分析!J473&lt;&gt;"",分析!J473,"")</f>
        <v/>
      </c>
      <c r="J473" s="151" t="str">
        <f>IF(分析!AB473&lt;&gt;"",分析!AB473,"")</f>
        <v/>
      </c>
      <c r="K473" s="151" t="str">
        <f>IF(分析!AC473&lt;&gt;"",分析!AC473,"")</f>
        <v/>
      </c>
      <c r="L473" s="151" t="str">
        <f>IF(分析!K473&lt;&gt;"",分析!K473,"")</f>
        <v/>
      </c>
      <c r="M473" s="146" t="str">
        <f>IF(分析!P473&lt;&gt;"",分析!P473,"")</f>
        <v/>
      </c>
      <c r="N473" s="152" t="str">
        <f>IF(分析!O473&lt;&gt;"",分析!O473,"")</f>
        <v/>
      </c>
      <c r="O473" s="153" t="str">
        <f>IF(分析!X473&lt;&gt;"",分析!X473,"")</f>
        <v/>
      </c>
      <c r="P473" s="154" t="str">
        <f>IF(分析!L473&lt;&gt;"",分析!L473,"")</f>
        <v/>
      </c>
      <c r="Q473" s="151" t="str">
        <f>IF(分析!S473&lt;&gt;"",分析!S473,"")</f>
        <v/>
      </c>
      <c r="R473" s="151" t="str">
        <f>IF(分析!R473&lt;&gt;"",分析!R473,"")</f>
        <v/>
      </c>
      <c r="S473" s="146" t="str">
        <f>IF(分析!AA473&lt;&gt;"",分析!AA473,"")</f>
        <v/>
      </c>
      <c r="T473" s="155" t="str">
        <f>IF(分析!Z473&lt;&gt;"",分析!Z473,"")</f>
        <v/>
      </c>
      <c r="U473" s="146" t="str">
        <f>IF(分析!V473&lt;&gt;"",分析!V473,"")</f>
        <v/>
      </c>
      <c r="V473" s="156" t="str">
        <f>IF(分析!W473&lt;&gt;"",分析!W473,"")</f>
        <v/>
      </c>
      <c r="W473" s="157" t="str">
        <f>IF(分析!AD473&lt;&gt;"",分析!AD473,"")</f>
        <v/>
      </c>
      <c r="X473" s="158" t="str">
        <f>IF(分析!AE473&lt;&gt;"",分析!AE473,"")</f>
        <v/>
      </c>
      <c r="Y473" s="159" t="str">
        <f>IF(分析!T473&lt;&gt;"",分析!T473,"")</f>
        <v/>
      </c>
      <c r="Z473" s="145" t="str">
        <f>IF(分析!Y473&lt;&gt;"",分析!Y473,"")</f>
        <v/>
      </c>
    </row>
    <row r="474" spans="1:26" ht="21.9" customHeight="1">
      <c r="A474" s="131" t="str">
        <f>IF(分析!C474&lt;&gt;"",ROW()-2,"")</f>
        <v/>
      </c>
      <c r="B474" s="132" t="str">
        <f>IF(分析!C474&lt;&gt;"",HYPERLINK("https://kabutan.jp/stock/?code="&amp;分析!C474,"株探"),"")</f>
        <v/>
      </c>
      <c r="C474" s="133" t="str">
        <f>IF(分析!C474&lt;&gt;"",分析!C474,"")</f>
        <v/>
      </c>
      <c r="D474" s="134" t="str">
        <f>IF(分析!D474&lt;&gt;"",分析!D474,"")</f>
        <v/>
      </c>
      <c r="E474" s="135" t="str">
        <f>IF(分析!E474&lt;&gt;"",分析!E474,"")</f>
        <v/>
      </c>
      <c r="F474" s="136" t="str">
        <f>IF(分析!F474&lt;&gt;"",分析!F474,"")</f>
        <v/>
      </c>
      <c r="G474" s="136" t="str">
        <f>IF(分析!H474&lt;&gt;"",分析!H474,"")</f>
        <v/>
      </c>
      <c r="H474" s="136" t="str">
        <f>IF(分析!I474&lt;&gt;"",分析!I474,"")</f>
        <v/>
      </c>
      <c r="I474" s="136" t="str">
        <f>IF(分析!J474&lt;&gt;"",分析!J474,"")</f>
        <v/>
      </c>
      <c r="J474" s="136" t="str">
        <f>IF(分析!AB474&lt;&gt;"",分析!AB474,"")</f>
        <v/>
      </c>
      <c r="K474" s="136" t="str">
        <f>IF(分析!AC474&lt;&gt;"",分析!AC474,"")</f>
        <v/>
      </c>
      <c r="L474" s="136" t="str">
        <f>IF(分析!K474&lt;&gt;"",分析!K474,"")</f>
        <v/>
      </c>
      <c r="M474" s="131" t="str">
        <f>IF(分析!P474&lt;&gt;"",分析!P474,"")</f>
        <v/>
      </c>
      <c r="N474" s="137" t="str">
        <f>IF(分析!O474&lt;&gt;"",分析!O474,"")</f>
        <v/>
      </c>
      <c r="O474" s="138" t="str">
        <f>IF(分析!X474&lt;&gt;"",分析!X474,"")</f>
        <v/>
      </c>
      <c r="P474" s="139" t="str">
        <f>IF(分析!L474&lt;&gt;"",分析!L474,"")</f>
        <v/>
      </c>
      <c r="Q474" s="136" t="str">
        <f>IF(分析!S474&lt;&gt;"",分析!S474,"")</f>
        <v/>
      </c>
      <c r="R474" s="136" t="str">
        <f>IF(分析!R474&lt;&gt;"",分析!R474,"")</f>
        <v/>
      </c>
      <c r="S474" s="131" t="str">
        <f>IF(分析!AA474&lt;&gt;"",分析!AA474,"")</f>
        <v/>
      </c>
      <c r="T474" s="140" t="str">
        <f>IF(分析!Z474&lt;&gt;"",分析!Z474,"")</f>
        <v/>
      </c>
      <c r="U474" s="131" t="str">
        <f>IF(分析!V474&lt;&gt;"",分析!V474,"")</f>
        <v/>
      </c>
      <c r="V474" s="141" t="str">
        <f>IF(分析!W474&lt;&gt;"",分析!W474,"")</f>
        <v/>
      </c>
      <c r="W474" s="142" t="str">
        <f>IF(分析!AD474&lt;&gt;"",分析!AD474,"")</f>
        <v/>
      </c>
      <c r="X474" s="143" t="str">
        <f>IF(分析!AE474&lt;&gt;"",分析!AE474,"")</f>
        <v/>
      </c>
      <c r="Y474" s="144" t="str">
        <f>IF(分析!T474&lt;&gt;"",分析!T474,"")</f>
        <v/>
      </c>
      <c r="Z474" s="145" t="str">
        <f>IF(分析!Y474&lt;&gt;"",分析!Y474,"")</f>
        <v/>
      </c>
    </row>
    <row r="475" spans="1:26" ht="21.9" customHeight="1">
      <c r="A475" s="146" t="str">
        <f>IF(分析!C475&lt;&gt;"",ROW()-2,"")</f>
        <v/>
      </c>
      <c r="B475" s="147" t="str">
        <f>IF(分析!C475&lt;&gt;"",HYPERLINK("https://kabutan.jp/stock/?code="&amp;分析!C475,"株探"),"")</f>
        <v/>
      </c>
      <c r="C475" s="148" t="str">
        <f>IF(分析!C475&lt;&gt;"",分析!C475,"")</f>
        <v/>
      </c>
      <c r="D475" s="149" t="str">
        <f>IF(分析!D475&lt;&gt;"",分析!D475,"")</f>
        <v/>
      </c>
      <c r="E475" s="150" t="str">
        <f>IF(分析!E475&lt;&gt;"",分析!E475,"")</f>
        <v/>
      </c>
      <c r="F475" s="151" t="str">
        <f>IF(分析!F475&lt;&gt;"",分析!F475,"")</f>
        <v/>
      </c>
      <c r="G475" s="151" t="str">
        <f>IF(分析!H475&lt;&gt;"",分析!H475,"")</f>
        <v/>
      </c>
      <c r="H475" s="151" t="str">
        <f>IF(分析!I475&lt;&gt;"",分析!I475,"")</f>
        <v/>
      </c>
      <c r="I475" s="151" t="str">
        <f>IF(分析!J475&lt;&gt;"",分析!J475,"")</f>
        <v/>
      </c>
      <c r="J475" s="151" t="str">
        <f>IF(分析!AB475&lt;&gt;"",分析!AB475,"")</f>
        <v/>
      </c>
      <c r="K475" s="151" t="str">
        <f>IF(分析!AC475&lt;&gt;"",分析!AC475,"")</f>
        <v/>
      </c>
      <c r="L475" s="151" t="str">
        <f>IF(分析!K475&lt;&gt;"",分析!K475,"")</f>
        <v/>
      </c>
      <c r="M475" s="146" t="str">
        <f>IF(分析!P475&lt;&gt;"",分析!P475,"")</f>
        <v/>
      </c>
      <c r="N475" s="152" t="str">
        <f>IF(分析!O475&lt;&gt;"",分析!O475,"")</f>
        <v/>
      </c>
      <c r="O475" s="153" t="str">
        <f>IF(分析!X475&lt;&gt;"",分析!X475,"")</f>
        <v/>
      </c>
      <c r="P475" s="154" t="str">
        <f>IF(分析!L475&lt;&gt;"",分析!L475,"")</f>
        <v/>
      </c>
      <c r="Q475" s="151" t="str">
        <f>IF(分析!S475&lt;&gt;"",分析!S475,"")</f>
        <v/>
      </c>
      <c r="R475" s="151" t="str">
        <f>IF(分析!R475&lt;&gt;"",分析!R475,"")</f>
        <v/>
      </c>
      <c r="S475" s="146" t="str">
        <f>IF(分析!AA475&lt;&gt;"",分析!AA475,"")</f>
        <v/>
      </c>
      <c r="T475" s="155" t="str">
        <f>IF(分析!Z475&lt;&gt;"",分析!Z475,"")</f>
        <v/>
      </c>
      <c r="U475" s="146" t="str">
        <f>IF(分析!V475&lt;&gt;"",分析!V475,"")</f>
        <v/>
      </c>
      <c r="V475" s="156" t="str">
        <f>IF(分析!W475&lt;&gt;"",分析!W475,"")</f>
        <v/>
      </c>
      <c r="W475" s="157" t="str">
        <f>IF(分析!AD475&lt;&gt;"",分析!AD475,"")</f>
        <v/>
      </c>
      <c r="X475" s="158" t="str">
        <f>IF(分析!AE475&lt;&gt;"",分析!AE475,"")</f>
        <v/>
      </c>
      <c r="Y475" s="159" t="str">
        <f>IF(分析!T475&lt;&gt;"",分析!T475,"")</f>
        <v/>
      </c>
      <c r="Z475" s="145" t="str">
        <f>IF(分析!Y475&lt;&gt;"",分析!Y475,"")</f>
        <v/>
      </c>
    </row>
    <row r="476" spans="1:26" ht="21.9" customHeight="1">
      <c r="A476" s="131" t="str">
        <f>IF(分析!C476&lt;&gt;"",ROW()-2,"")</f>
        <v/>
      </c>
      <c r="B476" s="132" t="str">
        <f>IF(分析!C476&lt;&gt;"",HYPERLINK("https://kabutan.jp/stock/?code="&amp;分析!C476,"株探"),"")</f>
        <v/>
      </c>
      <c r="C476" s="133" t="str">
        <f>IF(分析!C476&lt;&gt;"",分析!C476,"")</f>
        <v/>
      </c>
      <c r="D476" s="134" t="str">
        <f>IF(分析!D476&lt;&gt;"",分析!D476,"")</f>
        <v/>
      </c>
      <c r="E476" s="135" t="str">
        <f>IF(分析!E476&lt;&gt;"",分析!E476,"")</f>
        <v/>
      </c>
      <c r="F476" s="136" t="str">
        <f>IF(分析!F476&lt;&gt;"",分析!F476,"")</f>
        <v/>
      </c>
      <c r="G476" s="136" t="str">
        <f>IF(分析!H476&lt;&gt;"",分析!H476,"")</f>
        <v/>
      </c>
      <c r="H476" s="136" t="str">
        <f>IF(分析!I476&lt;&gt;"",分析!I476,"")</f>
        <v/>
      </c>
      <c r="I476" s="136" t="str">
        <f>IF(分析!J476&lt;&gt;"",分析!J476,"")</f>
        <v/>
      </c>
      <c r="J476" s="136" t="str">
        <f>IF(分析!AB476&lt;&gt;"",分析!AB476,"")</f>
        <v/>
      </c>
      <c r="K476" s="136" t="str">
        <f>IF(分析!AC476&lt;&gt;"",分析!AC476,"")</f>
        <v/>
      </c>
      <c r="L476" s="136" t="str">
        <f>IF(分析!K476&lt;&gt;"",分析!K476,"")</f>
        <v/>
      </c>
      <c r="M476" s="131" t="str">
        <f>IF(分析!P476&lt;&gt;"",分析!P476,"")</f>
        <v/>
      </c>
      <c r="N476" s="137" t="str">
        <f>IF(分析!O476&lt;&gt;"",分析!O476,"")</f>
        <v/>
      </c>
      <c r="O476" s="138" t="str">
        <f>IF(分析!X476&lt;&gt;"",分析!X476,"")</f>
        <v/>
      </c>
      <c r="P476" s="139" t="str">
        <f>IF(分析!L476&lt;&gt;"",分析!L476,"")</f>
        <v/>
      </c>
      <c r="Q476" s="136" t="str">
        <f>IF(分析!S476&lt;&gt;"",分析!S476,"")</f>
        <v/>
      </c>
      <c r="R476" s="136" t="str">
        <f>IF(分析!R476&lt;&gt;"",分析!R476,"")</f>
        <v/>
      </c>
      <c r="S476" s="131" t="str">
        <f>IF(分析!AA476&lt;&gt;"",分析!AA476,"")</f>
        <v/>
      </c>
      <c r="T476" s="140" t="str">
        <f>IF(分析!Z476&lt;&gt;"",分析!Z476,"")</f>
        <v/>
      </c>
      <c r="U476" s="131" t="str">
        <f>IF(分析!V476&lt;&gt;"",分析!V476,"")</f>
        <v/>
      </c>
      <c r="V476" s="141" t="str">
        <f>IF(分析!W476&lt;&gt;"",分析!W476,"")</f>
        <v/>
      </c>
      <c r="W476" s="142" t="str">
        <f>IF(分析!AD476&lt;&gt;"",分析!AD476,"")</f>
        <v/>
      </c>
      <c r="X476" s="143" t="str">
        <f>IF(分析!AE476&lt;&gt;"",分析!AE476,"")</f>
        <v/>
      </c>
      <c r="Y476" s="144" t="str">
        <f>IF(分析!T476&lt;&gt;"",分析!T476,"")</f>
        <v/>
      </c>
      <c r="Z476" s="145" t="str">
        <f>IF(分析!Y476&lt;&gt;"",分析!Y476,"")</f>
        <v/>
      </c>
    </row>
    <row r="477" spans="1:26" ht="21.9" customHeight="1">
      <c r="A477" s="146" t="str">
        <f>IF(分析!C477&lt;&gt;"",ROW()-2,"")</f>
        <v/>
      </c>
      <c r="B477" s="147" t="str">
        <f>IF(分析!C477&lt;&gt;"",HYPERLINK("https://kabutan.jp/stock/?code="&amp;分析!C477,"株探"),"")</f>
        <v/>
      </c>
      <c r="C477" s="148" t="str">
        <f>IF(分析!C477&lt;&gt;"",分析!C477,"")</f>
        <v/>
      </c>
      <c r="D477" s="149" t="str">
        <f>IF(分析!D477&lt;&gt;"",分析!D477,"")</f>
        <v/>
      </c>
      <c r="E477" s="150" t="str">
        <f>IF(分析!E477&lt;&gt;"",分析!E477,"")</f>
        <v/>
      </c>
      <c r="F477" s="151" t="str">
        <f>IF(分析!F477&lt;&gt;"",分析!F477,"")</f>
        <v/>
      </c>
      <c r="G477" s="151" t="str">
        <f>IF(分析!H477&lt;&gt;"",分析!H477,"")</f>
        <v/>
      </c>
      <c r="H477" s="151" t="str">
        <f>IF(分析!I477&lt;&gt;"",分析!I477,"")</f>
        <v/>
      </c>
      <c r="I477" s="151" t="str">
        <f>IF(分析!J477&lt;&gt;"",分析!J477,"")</f>
        <v/>
      </c>
      <c r="J477" s="151" t="str">
        <f>IF(分析!AB477&lt;&gt;"",分析!AB477,"")</f>
        <v/>
      </c>
      <c r="K477" s="151" t="str">
        <f>IF(分析!AC477&lt;&gt;"",分析!AC477,"")</f>
        <v/>
      </c>
      <c r="L477" s="151" t="str">
        <f>IF(分析!K477&lt;&gt;"",分析!K477,"")</f>
        <v/>
      </c>
      <c r="M477" s="146" t="str">
        <f>IF(分析!P477&lt;&gt;"",分析!P477,"")</f>
        <v/>
      </c>
      <c r="N477" s="152" t="str">
        <f>IF(分析!O477&lt;&gt;"",分析!O477,"")</f>
        <v/>
      </c>
      <c r="O477" s="153" t="str">
        <f>IF(分析!X477&lt;&gt;"",分析!X477,"")</f>
        <v/>
      </c>
      <c r="P477" s="154" t="str">
        <f>IF(分析!L477&lt;&gt;"",分析!L477,"")</f>
        <v/>
      </c>
      <c r="Q477" s="151" t="str">
        <f>IF(分析!S477&lt;&gt;"",分析!S477,"")</f>
        <v/>
      </c>
      <c r="R477" s="151" t="str">
        <f>IF(分析!R477&lt;&gt;"",分析!R477,"")</f>
        <v/>
      </c>
      <c r="S477" s="146" t="str">
        <f>IF(分析!AA477&lt;&gt;"",分析!AA477,"")</f>
        <v/>
      </c>
      <c r="T477" s="155" t="str">
        <f>IF(分析!Z477&lt;&gt;"",分析!Z477,"")</f>
        <v/>
      </c>
      <c r="U477" s="146" t="str">
        <f>IF(分析!V477&lt;&gt;"",分析!V477,"")</f>
        <v/>
      </c>
      <c r="V477" s="156" t="str">
        <f>IF(分析!W477&lt;&gt;"",分析!W477,"")</f>
        <v/>
      </c>
      <c r="W477" s="157" t="str">
        <f>IF(分析!AD477&lt;&gt;"",分析!AD477,"")</f>
        <v/>
      </c>
      <c r="X477" s="158" t="str">
        <f>IF(分析!AE477&lt;&gt;"",分析!AE477,"")</f>
        <v/>
      </c>
      <c r="Y477" s="159" t="str">
        <f>IF(分析!T477&lt;&gt;"",分析!T477,"")</f>
        <v/>
      </c>
      <c r="Z477" s="145" t="str">
        <f>IF(分析!Y477&lt;&gt;"",分析!Y477,"")</f>
        <v/>
      </c>
    </row>
    <row r="478" spans="1:26" ht="21.9" customHeight="1">
      <c r="A478" s="131" t="str">
        <f>IF(分析!C478&lt;&gt;"",ROW()-2,"")</f>
        <v/>
      </c>
      <c r="B478" s="132" t="str">
        <f>IF(分析!C478&lt;&gt;"",HYPERLINK("https://kabutan.jp/stock/?code="&amp;分析!C478,"株探"),"")</f>
        <v/>
      </c>
      <c r="C478" s="133" t="str">
        <f>IF(分析!C478&lt;&gt;"",分析!C478,"")</f>
        <v/>
      </c>
      <c r="D478" s="134" t="str">
        <f>IF(分析!D478&lt;&gt;"",分析!D478,"")</f>
        <v/>
      </c>
      <c r="E478" s="135" t="str">
        <f>IF(分析!E478&lt;&gt;"",分析!E478,"")</f>
        <v/>
      </c>
      <c r="F478" s="136" t="str">
        <f>IF(分析!F478&lt;&gt;"",分析!F478,"")</f>
        <v/>
      </c>
      <c r="G478" s="136" t="str">
        <f>IF(分析!H478&lt;&gt;"",分析!H478,"")</f>
        <v/>
      </c>
      <c r="H478" s="136" t="str">
        <f>IF(分析!I478&lt;&gt;"",分析!I478,"")</f>
        <v/>
      </c>
      <c r="I478" s="136" t="str">
        <f>IF(分析!J478&lt;&gt;"",分析!J478,"")</f>
        <v/>
      </c>
      <c r="J478" s="136" t="str">
        <f>IF(分析!AB478&lt;&gt;"",分析!AB478,"")</f>
        <v/>
      </c>
      <c r="K478" s="136" t="str">
        <f>IF(分析!AC478&lt;&gt;"",分析!AC478,"")</f>
        <v/>
      </c>
      <c r="L478" s="136" t="str">
        <f>IF(分析!K478&lt;&gt;"",分析!K478,"")</f>
        <v/>
      </c>
      <c r="M478" s="131" t="str">
        <f>IF(分析!P478&lt;&gt;"",分析!P478,"")</f>
        <v/>
      </c>
      <c r="N478" s="137" t="str">
        <f>IF(分析!O478&lt;&gt;"",分析!O478,"")</f>
        <v/>
      </c>
      <c r="O478" s="138" t="str">
        <f>IF(分析!X478&lt;&gt;"",分析!X478,"")</f>
        <v/>
      </c>
      <c r="P478" s="139" t="str">
        <f>IF(分析!L478&lt;&gt;"",分析!L478,"")</f>
        <v/>
      </c>
      <c r="Q478" s="136" t="str">
        <f>IF(分析!S478&lt;&gt;"",分析!S478,"")</f>
        <v/>
      </c>
      <c r="R478" s="136" t="str">
        <f>IF(分析!R478&lt;&gt;"",分析!R478,"")</f>
        <v/>
      </c>
      <c r="S478" s="131" t="str">
        <f>IF(分析!AA478&lt;&gt;"",分析!AA478,"")</f>
        <v/>
      </c>
      <c r="T478" s="140" t="str">
        <f>IF(分析!Z478&lt;&gt;"",分析!Z478,"")</f>
        <v/>
      </c>
      <c r="U478" s="131" t="str">
        <f>IF(分析!V478&lt;&gt;"",分析!V478,"")</f>
        <v/>
      </c>
      <c r="V478" s="141" t="str">
        <f>IF(分析!W478&lt;&gt;"",分析!W478,"")</f>
        <v/>
      </c>
      <c r="W478" s="142" t="str">
        <f>IF(分析!AD478&lt;&gt;"",分析!AD478,"")</f>
        <v/>
      </c>
      <c r="X478" s="143" t="str">
        <f>IF(分析!AE478&lt;&gt;"",分析!AE478,"")</f>
        <v/>
      </c>
      <c r="Y478" s="144" t="str">
        <f>IF(分析!T478&lt;&gt;"",分析!T478,"")</f>
        <v/>
      </c>
      <c r="Z478" s="145" t="str">
        <f>IF(分析!Y478&lt;&gt;"",分析!Y478,"")</f>
        <v/>
      </c>
    </row>
    <row r="479" spans="1:26" ht="21.9" customHeight="1">
      <c r="A479" s="146" t="str">
        <f>IF(分析!C479&lt;&gt;"",ROW()-2,"")</f>
        <v/>
      </c>
      <c r="B479" s="147" t="str">
        <f>IF(分析!C479&lt;&gt;"",HYPERLINK("https://kabutan.jp/stock/?code="&amp;分析!C479,"株探"),"")</f>
        <v/>
      </c>
      <c r="C479" s="148" t="str">
        <f>IF(分析!C479&lt;&gt;"",分析!C479,"")</f>
        <v/>
      </c>
      <c r="D479" s="149" t="str">
        <f>IF(分析!D479&lt;&gt;"",分析!D479,"")</f>
        <v/>
      </c>
      <c r="E479" s="150" t="str">
        <f>IF(分析!E479&lt;&gt;"",分析!E479,"")</f>
        <v/>
      </c>
      <c r="F479" s="151" t="str">
        <f>IF(分析!F479&lt;&gt;"",分析!F479,"")</f>
        <v/>
      </c>
      <c r="G479" s="151" t="str">
        <f>IF(分析!H479&lt;&gt;"",分析!H479,"")</f>
        <v/>
      </c>
      <c r="H479" s="151" t="str">
        <f>IF(分析!I479&lt;&gt;"",分析!I479,"")</f>
        <v/>
      </c>
      <c r="I479" s="151" t="str">
        <f>IF(分析!J479&lt;&gt;"",分析!J479,"")</f>
        <v/>
      </c>
      <c r="J479" s="151" t="str">
        <f>IF(分析!AB479&lt;&gt;"",分析!AB479,"")</f>
        <v/>
      </c>
      <c r="K479" s="151" t="str">
        <f>IF(分析!AC479&lt;&gt;"",分析!AC479,"")</f>
        <v/>
      </c>
      <c r="L479" s="151" t="str">
        <f>IF(分析!K479&lt;&gt;"",分析!K479,"")</f>
        <v/>
      </c>
      <c r="M479" s="146" t="str">
        <f>IF(分析!P479&lt;&gt;"",分析!P479,"")</f>
        <v/>
      </c>
      <c r="N479" s="152" t="str">
        <f>IF(分析!O479&lt;&gt;"",分析!O479,"")</f>
        <v/>
      </c>
      <c r="O479" s="153" t="str">
        <f>IF(分析!X479&lt;&gt;"",分析!X479,"")</f>
        <v/>
      </c>
      <c r="P479" s="154" t="str">
        <f>IF(分析!L479&lt;&gt;"",分析!L479,"")</f>
        <v/>
      </c>
      <c r="Q479" s="151" t="str">
        <f>IF(分析!S479&lt;&gt;"",分析!S479,"")</f>
        <v/>
      </c>
      <c r="R479" s="151" t="str">
        <f>IF(分析!R479&lt;&gt;"",分析!R479,"")</f>
        <v/>
      </c>
      <c r="S479" s="146" t="str">
        <f>IF(分析!AA479&lt;&gt;"",分析!AA479,"")</f>
        <v/>
      </c>
      <c r="T479" s="155" t="str">
        <f>IF(分析!Z479&lt;&gt;"",分析!Z479,"")</f>
        <v/>
      </c>
      <c r="U479" s="146" t="str">
        <f>IF(分析!V479&lt;&gt;"",分析!V479,"")</f>
        <v/>
      </c>
      <c r="V479" s="156" t="str">
        <f>IF(分析!W479&lt;&gt;"",分析!W479,"")</f>
        <v/>
      </c>
      <c r="W479" s="157" t="str">
        <f>IF(分析!AD479&lt;&gt;"",分析!AD479,"")</f>
        <v/>
      </c>
      <c r="X479" s="158" t="str">
        <f>IF(分析!AE479&lt;&gt;"",分析!AE479,"")</f>
        <v/>
      </c>
      <c r="Y479" s="159" t="str">
        <f>IF(分析!T479&lt;&gt;"",分析!T479,"")</f>
        <v/>
      </c>
      <c r="Z479" s="145" t="str">
        <f>IF(分析!Y479&lt;&gt;"",分析!Y479,"")</f>
        <v/>
      </c>
    </row>
    <row r="480" spans="1:26" ht="21.9" customHeight="1">
      <c r="A480" s="131" t="str">
        <f>IF(分析!C480&lt;&gt;"",ROW()-2,"")</f>
        <v/>
      </c>
      <c r="B480" s="132" t="str">
        <f>IF(分析!C480&lt;&gt;"",HYPERLINK("https://kabutan.jp/stock/?code="&amp;分析!C480,"株探"),"")</f>
        <v/>
      </c>
      <c r="C480" s="133" t="str">
        <f>IF(分析!C480&lt;&gt;"",分析!C480,"")</f>
        <v/>
      </c>
      <c r="D480" s="134" t="str">
        <f>IF(分析!D480&lt;&gt;"",分析!D480,"")</f>
        <v/>
      </c>
      <c r="E480" s="135" t="str">
        <f>IF(分析!E480&lt;&gt;"",分析!E480,"")</f>
        <v/>
      </c>
      <c r="F480" s="136" t="str">
        <f>IF(分析!F480&lt;&gt;"",分析!F480,"")</f>
        <v/>
      </c>
      <c r="G480" s="136" t="str">
        <f>IF(分析!H480&lt;&gt;"",分析!H480,"")</f>
        <v/>
      </c>
      <c r="H480" s="136" t="str">
        <f>IF(分析!I480&lt;&gt;"",分析!I480,"")</f>
        <v/>
      </c>
      <c r="I480" s="136" t="str">
        <f>IF(分析!J480&lt;&gt;"",分析!J480,"")</f>
        <v/>
      </c>
      <c r="J480" s="136" t="str">
        <f>IF(分析!AB480&lt;&gt;"",分析!AB480,"")</f>
        <v/>
      </c>
      <c r="K480" s="136" t="str">
        <f>IF(分析!AC480&lt;&gt;"",分析!AC480,"")</f>
        <v/>
      </c>
      <c r="L480" s="136" t="str">
        <f>IF(分析!K480&lt;&gt;"",分析!K480,"")</f>
        <v/>
      </c>
      <c r="M480" s="131" t="str">
        <f>IF(分析!P480&lt;&gt;"",分析!P480,"")</f>
        <v/>
      </c>
      <c r="N480" s="137" t="str">
        <f>IF(分析!O480&lt;&gt;"",分析!O480,"")</f>
        <v/>
      </c>
      <c r="O480" s="138" t="str">
        <f>IF(分析!X480&lt;&gt;"",分析!X480,"")</f>
        <v/>
      </c>
      <c r="P480" s="139" t="str">
        <f>IF(分析!L480&lt;&gt;"",分析!L480,"")</f>
        <v/>
      </c>
      <c r="Q480" s="136" t="str">
        <f>IF(分析!S480&lt;&gt;"",分析!S480,"")</f>
        <v/>
      </c>
      <c r="R480" s="136" t="str">
        <f>IF(分析!R480&lt;&gt;"",分析!R480,"")</f>
        <v/>
      </c>
      <c r="S480" s="131" t="str">
        <f>IF(分析!AA480&lt;&gt;"",分析!AA480,"")</f>
        <v/>
      </c>
      <c r="T480" s="140" t="str">
        <f>IF(分析!Z480&lt;&gt;"",分析!Z480,"")</f>
        <v/>
      </c>
      <c r="U480" s="131" t="str">
        <f>IF(分析!V480&lt;&gt;"",分析!V480,"")</f>
        <v/>
      </c>
      <c r="V480" s="141" t="str">
        <f>IF(分析!W480&lt;&gt;"",分析!W480,"")</f>
        <v/>
      </c>
      <c r="W480" s="142" t="str">
        <f>IF(分析!AD480&lt;&gt;"",分析!AD480,"")</f>
        <v/>
      </c>
      <c r="X480" s="143" t="str">
        <f>IF(分析!AE480&lt;&gt;"",分析!AE480,"")</f>
        <v/>
      </c>
      <c r="Y480" s="144" t="str">
        <f>IF(分析!T480&lt;&gt;"",分析!T480,"")</f>
        <v/>
      </c>
      <c r="Z480" s="145" t="str">
        <f>IF(分析!Y480&lt;&gt;"",分析!Y480,"")</f>
        <v/>
      </c>
    </row>
    <row r="481" spans="1:26" ht="21.9" customHeight="1">
      <c r="A481" s="146" t="str">
        <f>IF(分析!C481&lt;&gt;"",ROW()-2,"")</f>
        <v/>
      </c>
      <c r="B481" s="147" t="str">
        <f>IF(分析!C481&lt;&gt;"",HYPERLINK("https://kabutan.jp/stock/?code="&amp;分析!C481,"株探"),"")</f>
        <v/>
      </c>
      <c r="C481" s="148" t="str">
        <f>IF(分析!C481&lt;&gt;"",分析!C481,"")</f>
        <v/>
      </c>
      <c r="D481" s="149" t="str">
        <f>IF(分析!D481&lt;&gt;"",分析!D481,"")</f>
        <v/>
      </c>
      <c r="E481" s="150" t="str">
        <f>IF(分析!E481&lt;&gt;"",分析!E481,"")</f>
        <v/>
      </c>
      <c r="F481" s="151" t="str">
        <f>IF(分析!F481&lt;&gt;"",分析!F481,"")</f>
        <v/>
      </c>
      <c r="G481" s="151" t="str">
        <f>IF(分析!H481&lt;&gt;"",分析!H481,"")</f>
        <v/>
      </c>
      <c r="H481" s="151" t="str">
        <f>IF(分析!I481&lt;&gt;"",分析!I481,"")</f>
        <v/>
      </c>
      <c r="I481" s="151" t="str">
        <f>IF(分析!J481&lt;&gt;"",分析!J481,"")</f>
        <v/>
      </c>
      <c r="J481" s="151" t="str">
        <f>IF(分析!AB481&lt;&gt;"",分析!AB481,"")</f>
        <v/>
      </c>
      <c r="K481" s="151" t="str">
        <f>IF(分析!AC481&lt;&gt;"",分析!AC481,"")</f>
        <v/>
      </c>
      <c r="L481" s="151" t="str">
        <f>IF(分析!K481&lt;&gt;"",分析!K481,"")</f>
        <v/>
      </c>
      <c r="M481" s="146" t="str">
        <f>IF(分析!P481&lt;&gt;"",分析!P481,"")</f>
        <v/>
      </c>
      <c r="N481" s="152" t="str">
        <f>IF(分析!O481&lt;&gt;"",分析!O481,"")</f>
        <v/>
      </c>
      <c r="O481" s="153" t="str">
        <f>IF(分析!X481&lt;&gt;"",分析!X481,"")</f>
        <v/>
      </c>
      <c r="P481" s="154" t="str">
        <f>IF(分析!L481&lt;&gt;"",分析!L481,"")</f>
        <v/>
      </c>
      <c r="Q481" s="151" t="str">
        <f>IF(分析!S481&lt;&gt;"",分析!S481,"")</f>
        <v/>
      </c>
      <c r="R481" s="151" t="str">
        <f>IF(分析!R481&lt;&gt;"",分析!R481,"")</f>
        <v/>
      </c>
      <c r="S481" s="146" t="str">
        <f>IF(分析!AA481&lt;&gt;"",分析!AA481,"")</f>
        <v/>
      </c>
      <c r="T481" s="155" t="str">
        <f>IF(分析!Z481&lt;&gt;"",分析!Z481,"")</f>
        <v/>
      </c>
      <c r="U481" s="146" t="str">
        <f>IF(分析!V481&lt;&gt;"",分析!V481,"")</f>
        <v/>
      </c>
      <c r="V481" s="156" t="str">
        <f>IF(分析!W481&lt;&gt;"",分析!W481,"")</f>
        <v/>
      </c>
      <c r="W481" s="157" t="str">
        <f>IF(分析!AD481&lt;&gt;"",分析!AD481,"")</f>
        <v/>
      </c>
      <c r="X481" s="158" t="str">
        <f>IF(分析!AE481&lt;&gt;"",分析!AE481,"")</f>
        <v/>
      </c>
      <c r="Y481" s="159" t="str">
        <f>IF(分析!T481&lt;&gt;"",分析!T481,"")</f>
        <v/>
      </c>
      <c r="Z481" s="145" t="str">
        <f>IF(分析!Y481&lt;&gt;"",分析!Y481,"")</f>
        <v/>
      </c>
    </row>
    <row r="482" spans="1:26" ht="21.9" customHeight="1">
      <c r="A482" s="131" t="str">
        <f>IF(分析!C482&lt;&gt;"",ROW()-2,"")</f>
        <v/>
      </c>
      <c r="B482" s="132" t="str">
        <f>IF(分析!C482&lt;&gt;"",HYPERLINK("https://kabutan.jp/stock/?code="&amp;分析!C482,"株探"),"")</f>
        <v/>
      </c>
      <c r="C482" s="133" t="str">
        <f>IF(分析!C482&lt;&gt;"",分析!C482,"")</f>
        <v/>
      </c>
      <c r="D482" s="134" t="str">
        <f>IF(分析!D482&lt;&gt;"",分析!D482,"")</f>
        <v/>
      </c>
      <c r="E482" s="135" t="str">
        <f>IF(分析!E482&lt;&gt;"",分析!E482,"")</f>
        <v/>
      </c>
      <c r="F482" s="136" t="str">
        <f>IF(分析!F482&lt;&gt;"",分析!F482,"")</f>
        <v/>
      </c>
      <c r="G482" s="136" t="str">
        <f>IF(分析!H482&lt;&gt;"",分析!H482,"")</f>
        <v/>
      </c>
      <c r="H482" s="136" t="str">
        <f>IF(分析!I482&lt;&gt;"",分析!I482,"")</f>
        <v/>
      </c>
      <c r="I482" s="136" t="str">
        <f>IF(分析!J482&lt;&gt;"",分析!J482,"")</f>
        <v/>
      </c>
      <c r="J482" s="136" t="str">
        <f>IF(分析!AB482&lt;&gt;"",分析!AB482,"")</f>
        <v/>
      </c>
      <c r="K482" s="136" t="str">
        <f>IF(分析!AC482&lt;&gt;"",分析!AC482,"")</f>
        <v/>
      </c>
      <c r="L482" s="136" t="str">
        <f>IF(分析!K482&lt;&gt;"",分析!K482,"")</f>
        <v/>
      </c>
      <c r="M482" s="131" t="str">
        <f>IF(分析!P482&lt;&gt;"",分析!P482,"")</f>
        <v/>
      </c>
      <c r="N482" s="137" t="str">
        <f>IF(分析!O482&lt;&gt;"",分析!O482,"")</f>
        <v/>
      </c>
      <c r="O482" s="138" t="str">
        <f>IF(分析!X482&lt;&gt;"",分析!X482,"")</f>
        <v/>
      </c>
      <c r="P482" s="139" t="str">
        <f>IF(分析!L482&lt;&gt;"",分析!L482,"")</f>
        <v/>
      </c>
      <c r="Q482" s="136" t="str">
        <f>IF(分析!S482&lt;&gt;"",分析!S482,"")</f>
        <v/>
      </c>
      <c r="R482" s="136" t="str">
        <f>IF(分析!R482&lt;&gt;"",分析!R482,"")</f>
        <v/>
      </c>
      <c r="S482" s="131" t="str">
        <f>IF(分析!AA482&lt;&gt;"",分析!AA482,"")</f>
        <v/>
      </c>
      <c r="T482" s="140" t="str">
        <f>IF(分析!Z482&lt;&gt;"",分析!Z482,"")</f>
        <v/>
      </c>
      <c r="U482" s="131" t="str">
        <f>IF(分析!V482&lt;&gt;"",分析!V482,"")</f>
        <v/>
      </c>
      <c r="V482" s="141" t="str">
        <f>IF(分析!W482&lt;&gt;"",分析!W482,"")</f>
        <v/>
      </c>
      <c r="W482" s="142" t="str">
        <f>IF(分析!AD482&lt;&gt;"",分析!AD482,"")</f>
        <v/>
      </c>
      <c r="X482" s="143" t="str">
        <f>IF(分析!AE482&lt;&gt;"",分析!AE482,"")</f>
        <v/>
      </c>
      <c r="Y482" s="144" t="str">
        <f>IF(分析!T482&lt;&gt;"",分析!T482,"")</f>
        <v/>
      </c>
      <c r="Z482" s="145" t="str">
        <f>IF(分析!Y482&lt;&gt;"",分析!Y482,"")</f>
        <v/>
      </c>
    </row>
    <row r="483" spans="1:26" ht="21.9" customHeight="1">
      <c r="A483" s="146" t="str">
        <f>IF(分析!C483&lt;&gt;"",ROW()-2,"")</f>
        <v/>
      </c>
      <c r="B483" s="147" t="str">
        <f>IF(分析!C483&lt;&gt;"",HYPERLINK("https://kabutan.jp/stock/?code="&amp;分析!C483,"株探"),"")</f>
        <v/>
      </c>
      <c r="C483" s="148" t="str">
        <f>IF(分析!C483&lt;&gt;"",分析!C483,"")</f>
        <v/>
      </c>
      <c r="D483" s="149" t="str">
        <f>IF(分析!D483&lt;&gt;"",分析!D483,"")</f>
        <v/>
      </c>
      <c r="E483" s="150" t="str">
        <f>IF(分析!E483&lt;&gt;"",分析!E483,"")</f>
        <v/>
      </c>
      <c r="F483" s="151" t="str">
        <f>IF(分析!F483&lt;&gt;"",分析!F483,"")</f>
        <v/>
      </c>
      <c r="G483" s="151" t="str">
        <f>IF(分析!H483&lt;&gt;"",分析!H483,"")</f>
        <v/>
      </c>
      <c r="H483" s="151" t="str">
        <f>IF(分析!I483&lt;&gt;"",分析!I483,"")</f>
        <v/>
      </c>
      <c r="I483" s="151" t="str">
        <f>IF(分析!J483&lt;&gt;"",分析!J483,"")</f>
        <v/>
      </c>
      <c r="J483" s="151" t="str">
        <f>IF(分析!AB483&lt;&gt;"",分析!AB483,"")</f>
        <v/>
      </c>
      <c r="K483" s="151" t="str">
        <f>IF(分析!AC483&lt;&gt;"",分析!AC483,"")</f>
        <v/>
      </c>
      <c r="L483" s="151" t="str">
        <f>IF(分析!K483&lt;&gt;"",分析!K483,"")</f>
        <v/>
      </c>
      <c r="M483" s="146" t="str">
        <f>IF(分析!P483&lt;&gt;"",分析!P483,"")</f>
        <v/>
      </c>
      <c r="N483" s="152" t="str">
        <f>IF(分析!O483&lt;&gt;"",分析!O483,"")</f>
        <v/>
      </c>
      <c r="O483" s="153" t="str">
        <f>IF(分析!X483&lt;&gt;"",分析!X483,"")</f>
        <v/>
      </c>
      <c r="P483" s="154" t="str">
        <f>IF(分析!L483&lt;&gt;"",分析!L483,"")</f>
        <v/>
      </c>
      <c r="Q483" s="151" t="str">
        <f>IF(分析!S483&lt;&gt;"",分析!S483,"")</f>
        <v/>
      </c>
      <c r="R483" s="151" t="str">
        <f>IF(分析!R483&lt;&gt;"",分析!R483,"")</f>
        <v/>
      </c>
      <c r="S483" s="146" t="str">
        <f>IF(分析!AA483&lt;&gt;"",分析!AA483,"")</f>
        <v/>
      </c>
      <c r="T483" s="155" t="str">
        <f>IF(分析!Z483&lt;&gt;"",分析!Z483,"")</f>
        <v/>
      </c>
      <c r="U483" s="146" t="str">
        <f>IF(分析!V483&lt;&gt;"",分析!V483,"")</f>
        <v/>
      </c>
      <c r="V483" s="156" t="str">
        <f>IF(分析!W483&lt;&gt;"",分析!W483,"")</f>
        <v/>
      </c>
      <c r="W483" s="157" t="str">
        <f>IF(分析!AD483&lt;&gt;"",分析!AD483,"")</f>
        <v/>
      </c>
      <c r="X483" s="158" t="str">
        <f>IF(分析!AE483&lt;&gt;"",分析!AE483,"")</f>
        <v/>
      </c>
      <c r="Y483" s="159" t="str">
        <f>IF(分析!T483&lt;&gt;"",分析!T483,"")</f>
        <v/>
      </c>
      <c r="Z483" s="145" t="str">
        <f>IF(分析!Y483&lt;&gt;"",分析!Y483,"")</f>
        <v/>
      </c>
    </row>
    <row r="484" spans="1:26" ht="21.9" customHeight="1">
      <c r="A484" s="131" t="str">
        <f>IF(分析!C484&lt;&gt;"",ROW()-2,"")</f>
        <v/>
      </c>
      <c r="B484" s="132" t="str">
        <f>IF(分析!C484&lt;&gt;"",HYPERLINK("https://kabutan.jp/stock/?code="&amp;分析!C484,"株探"),"")</f>
        <v/>
      </c>
      <c r="C484" s="133" t="str">
        <f>IF(分析!C484&lt;&gt;"",分析!C484,"")</f>
        <v/>
      </c>
      <c r="D484" s="134" t="str">
        <f>IF(分析!D484&lt;&gt;"",分析!D484,"")</f>
        <v/>
      </c>
      <c r="E484" s="135" t="str">
        <f>IF(分析!E484&lt;&gt;"",分析!E484,"")</f>
        <v/>
      </c>
      <c r="F484" s="136" t="str">
        <f>IF(分析!F484&lt;&gt;"",分析!F484,"")</f>
        <v/>
      </c>
      <c r="G484" s="136" t="str">
        <f>IF(分析!H484&lt;&gt;"",分析!H484,"")</f>
        <v/>
      </c>
      <c r="H484" s="136" t="str">
        <f>IF(分析!I484&lt;&gt;"",分析!I484,"")</f>
        <v/>
      </c>
      <c r="I484" s="136" t="str">
        <f>IF(分析!J484&lt;&gt;"",分析!J484,"")</f>
        <v/>
      </c>
      <c r="J484" s="136" t="str">
        <f>IF(分析!AB484&lt;&gt;"",分析!AB484,"")</f>
        <v/>
      </c>
      <c r="K484" s="136" t="str">
        <f>IF(分析!AC484&lt;&gt;"",分析!AC484,"")</f>
        <v/>
      </c>
      <c r="L484" s="136" t="str">
        <f>IF(分析!K484&lt;&gt;"",分析!K484,"")</f>
        <v/>
      </c>
      <c r="M484" s="131" t="str">
        <f>IF(分析!P484&lt;&gt;"",分析!P484,"")</f>
        <v/>
      </c>
      <c r="N484" s="137" t="str">
        <f>IF(分析!O484&lt;&gt;"",分析!O484,"")</f>
        <v/>
      </c>
      <c r="O484" s="138" t="str">
        <f>IF(分析!X484&lt;&gt;"",分析!X484,"")</f>
        <v/>
      </c>
      <c r="P484" s="139" t="str">
        <f>IF(分析!L484&lt;&gt;"",分析!L484,"")</f>
        <v/>
      </c>
      <c r="Q484" s="136" t="str">
        <f>IF(分析!S484&lt;&gt;"",分析!S484,"")</f>
        <v/>
      </c>
      <c r="R484" s="136" t="str">
        <f>IF(分析!R484&lt;&gt;"",分析!R484,"")</f>
        <v/>
      </c>
      <c r="S484" s="131" t="str">
        <f>IF(分析!AA484&lt;&gt;"",分析!AA484,"")</f>
        <v/>
      </c>
      <c r="T484" s="140" t="str">
        <f>IF(分析!Z484&lt;&gt;"",分析!Z484,"")</f>
        <v/>
      </c>
      <c r="U484" s="131" t="str">
        <f>IF(分析!V484&lt;&gt;"",分析!V484,"")</f>
        <v/>
      </c>
      <c r="V484" s="141" t="str">
        <f>IF(分析!W484&lt;&gt;"",分析!W484,"")</f>
        <v/>
      </c>
      <c r="W484" s="142" t="str">
        <f>IF(分析!AD484&lt;&gt;"",分析!AD484,"")</f>
        <v/>
      </c>
      <c r="X484" s="143" t="str">
        <f>IF(分析!AE484&lt;&gt;"",分析!AE484,"")</f>
        <v/>
      </c>
      <c r="Y484" s="144" t="str">
        <f>IF(分析!T484&lt;&gt;"",分析!T484,"")</f>
        <v/>
      </c>
      <c r="Z484" s="145" t="str">
        <f>IF(分析!Y484&lt;&gt;"",分析!Y484,"")</f>
        <v/>
      </c>
    </row>
    <row r="485" spans="1:26" ht="21.9" customHeight="1">
      <c r="A485" s="146" t="str">
        <f>IF(分析!C485&lt;&gt;"",ROW()-2,"")</f>
        <v/>
      </c>
      <c r="B485" s="147" t="str">
        <f>IF(分析!C485&lt;&gt;"",HYPERLINK("https://kabutan.jp/stock/?code="&amp;分析!C485,"株探"),"")</f>
        <v/>
      </c>
      <c r="C485" s="148" t="str">
        <f>IF(分析!C485&lt;&gt;"",分析!C485,"")</f>
        <v/>
      </c>
      <c r="D485" s="149" t="str">
        <f>IF(分析!D485&lt;&gt;"",分析!D485,"")</f>
        <v/>
      </c>
      <c r="E485" s="150" t="str">
        <f>IF(分析!E485&lt;&gt;"",分析!E485,"")</f>
        <v/>
      </c>
      <c r="F485" s="151" t="str">
        <f>IF(分析!F485&lt;&gt;"",分析!F485,"")</f>
        <v/>
      </c>
      <c r="G485" s="151" t="str">
        <f>IF(分析!H485&lt;&gt;"",分析!H485,"")</f>
        <v/>
      </c>
      <c r="H485" s="151" t="str">
        <f>IF(分析!I485&lt;&gt;"",分析!I485,"")</f>
        <v/>
      </c>
      <c r="I485" s="151" t="str">
        <f>IF(分析!J485&lt;&gt;"",分析!J485,"")</f>
        <v/>
      </c>
      <c r="J485" s="151" t="str">
        <f>IF(分析!AB485&lt;&gt;"",分析!AB485,"")</f>
        <v/>
      </c>
      <c r="K485" s="151" t="str">
        <f>IF(分析!AC485&lt;&gt;"",分析!AC485,"")</f>
        <v/>
      </c>
      <c r="L485" s="151" t="str">
        <f>IF(分析!K485&lt;&gt;"",分析!K485,"")</f>
        <v/>
      </c>
      <c r="M485" s="146" t="str">
        <f>IF(分析!P485&lt;&gt;"",分析!P485,"")</f>
        <v/>
      </c>
      <c r="N485" s="152" t="str">
        <f>IF(分析!O485&lt;&gt;"",分析!O485,"")</f>
        <v/>
      </c>
      <c r="O485" s="153" t="str">
        <f>IF(分析!X485&lt;&gt;"",分析!X485,"")</f>
        <v/>
      </c>
      <c r="P485" s="154" t="str">
        <f>IF(分析!L485&lt;&gt;"",分析!L485,"")</f>
        <v/>
      </c>
      <c r="Q485" s="151" t="str">
        <f>IF(分析!S485&lt;&gt;"",分析!S485,"")</f>
        <v/>
      </c>
      <c r="R485" s="151" t="str">
        <f>IF(分析!R485&lt;&gt;"",分析!R485,"")</f>
        <v/>
      </c>
      <c r="S485" s="146" t="str">
        <f>IF(分析!AA485&lt;&gt;"",分析!AA485,"")</f>
        <v/>
      </c>
      <c r="T485" s="155" t="str">
        <f>IF(分析!Z485&lt;&gt;"",分析!Z485,"")</f>
        <v/>
      </c>
      <c r="U485" s="146" t="str">
        <f>IF(分析!V485&lt;&gt;"",分析!V485,"")</f>
        <v/>
      </c>
      <c r="V485" s="156" t="str">
        <f>IF(分析!W485&lt;&gt;"",分析!W485,"")</f>
        <v/>
      </c>
      <c r="W485" s="157" t="str">
        <f>IF(分析!AD485&lt;&gt;"",分析!AD485,"")</f>
        <v/>
      </c>
      <c r="X485" s="158" t="str">
        <f>IF(分析!AE485&lt;&gt;"",分析!AE485,"")</f>
        <v/>
      </c>
      <c r="Y485" s="159" t="str">
        <f>IF(分析!T485&lt;&gt;"",分析!T485,"")</f>
        <v/>
      </c>
      <c r="Z485" s="145" t="str">
        <f>IF(分析!Y485&lt;&gt;"",分析!Y485,"")</f>
        <v/>
      </c>
    </row>
    <row r="486" spans="1:26" ht="21.9" customHeight="1">
      <c r="A486" s="131" t="str">
        <f>IF(分析!C486&lt;&gt;"",ROW()-2,"")</f>
        <v/>
      </c>
      <c r="B486" s="132" t="str">
        <f>IF(分析!C486&lt;&gt;"",HYPERLINK("https://kabutan.jp/stock/?code="&amp;分析!C486,"株探"),"")</f>
        <v/>
      </c>
      <c r="C486" s="133" t="str">
        <f>IF(分析!C486&lt;&gt;"",分析!C486,"")</f>
        <v/>
      </c>
      <c r="D486" s="134" t="str">
        <f>IF(分析!D486&lt;&gt;"",分析!D486,"")</f>
        <v/>
      </c>
      <c r="E486" s="135" t="str">
        <f>IF(分析!E486&lt;&gt;"",分析!E486,"")</f>
        <v/>
      </c>
      <c r="F486" s="136" t="str">
        <f>IF(分析!F486&lt;&gt;"",分析!F486,"")</f>
        <v/>
      </c>
      <c r="G486" s="136" t="str">
        <f>IF(分析!H486&lt;&gt;"",分析!H486,"")</f>
        <v/>
      </c>
      <c r="H486" s="136" t="str">
        <f>IF(分析!I486&lt;&gt;"",分析!I486,"")</f>
        <v/>
      </c>
      <c r="I486" s="136" t="str">
        <f>IF(分析!J486&lt;&gt;"",分析!J486,"")</f>
        <v/>
      </c>
      <c r="J486" s="136" t="str">
        <f>IF(分析!AB486&lt;&gt;"",分析!AB486,"")</f>
        <v/>
      </c>
      <c r="K486" s="136" t="str">
        <f>IF(分析!AC486&lt;&gt;"",分析!AC486,"")</f>
        <v/>
      </c>
      <c r="L486" s="136" t="str">
        <f>IF(分析!K486&lt;&gt;"",分析!K486,"")</f>
        <v/>
      </c>
      <c r="M486" s="131" t="str">
        <f>IF(分析!P486&lt;&gt;"",分析!P486,"")</f>
        <v/>
      </c>
      <c r="N486" s="137" t="str">
        <f>IF(分析!O486&lt;&gt;"",分析!O486,"")</f>
        <v/>
      </c>
      <c r="O486" s="138" t="str">
        <f>IF(分析!X486&lt;&gt;"",分析!X486,"")</f>
        <v/>
      </c>
      <c r="P486" s="139" t="str">
        <f>IF(分析!L486&lt;&gt;"",分析!L486,"")</f>
        <v/>
      </c>
      <c r="Q486" s="136" t="str">
        <f>IF(分析!S486&lt;&gt;"",分析!S486,"")</f>
        <v/>
      </c>
      <c r="R486" s="136" t="str">
        <f>IF(分析!R486&lt;&gt;"",分析!R486,"")</f>
        <v/>
      </c>
      <c r="S486" s="131" t="str">
        <f>IF(分析!AA486&lt;&gt;"",分析!AA486,"")</f>
        <v/>
      </c>
      <c r="T486" s="140" t="str">
        <f>IF(分析!Z486&lt;&gt;"",分析!Z486,"")</f>
        <v/>
      </c>
      <c r="U486" s="131" t="str">
        <f>IF(分析!V486&lt;&gt;"",分析!V486,"")</f>
        <v/>
      </c>
      <c r="V486" s="141" t="str">
        <f>IF(分析!W486&lt;&gt;"",分析!W486,"")</f>
        <v/>
      </c>
      <c r="W486" s="142" t="str">
        <f>IF(分析!AD486&lt;&gt;"",分析!AD486,"")</f>
        <v/>
      </c>
      <c r="X486" s="143" t="str">
        <f>IF(分析!AE486&lt;&gt;"",分析!AE486,"")</f>
        <v/>
      </c>
      <c r="Y486" s="144" t="str">
        <f>IF(分析!T486&lt;&gt;"",分析!T486,"")</f>
        <v/>
      </c>
      <c r="Z486" s="145" t="str">
        <f>IF(分析!Y486&lt;&gt;"",分析!Y486,"")</f>
        <v/>
      </c>
    </row>
    <row r="487" spans="1:26" ht="21.9" customHeight="1">
      <c r="A487" s="146" t="str">
        <f>IF(分析!C487&lt;&gt;"",ROW()-2,"")</f>
        <v/>
      </c>
      <c r="B487" s="147" t="str">
        <f>IF(分析!C487&lt;&gt;"",HYPERLINK("https://kabutan.jp/stock/?code="&amp;分析!C487,"株探"),"")</f>
        <v/>
      </c>
      <c r="C487" s="148" t="str">
        <f>IF(分析!C487&lt;&gt;"",分析!C487,"")</f>
        <v/>
      </c>
      <c r="D487" s="149" t="str">
        <f>IF(分析!D487&lt;&gt;"",分析!D487,"")</f>
        <v/>
      </c>
      <c r="E487" s="150" t="str">
        <f>IF(分析!E487&lt;&gt;"",分析!E487,"")</f>
        <v/>
      </c>
      <c r="F487" s="151" t="str">
        <f>IF(分析!F487&lt;&gt;"",分析!F487,"")</f>
        <v/>
      </c>
      <c r="G487" s="151" t="str">
        <f>IF(分析!H487&lt;&gt;"",分析!H487,"")</f>
        <v/>
      </c>
      <c r="H487" s="151" t="str">
        <f>IF(分析!I487&lt;&gt;"",分析!I487,"")</f>
        <v/>
      </c>
      <c r="I487" s="151" t="str">
        <f>IF(分析!J487&lt;&gt;"",分析!J487,"")</f>
        <v/>
      </c>
      <c r="J487" s="151" t="str">
        <f>IF(分析!AB487&lt;&gt;"",分析!AB487,"")</f>
        <v/>
      </c>
      <c r="K487" s="151" t="str">
        <f>IF(分析!AC487&lt;&gt;"",分析!AC487,"")</f>
        <v/>
      </c>
      <c r="L487" s="151" t="str">
        <f>IF(分析!K487&lt;&gt;"",分析!K487,"")</f>
        <v/>
      </c>
      <c r="M487" s="146" t="str">
        <f>IF(分析!P487&lt;&gt;"",分析!P487,"")</f>
        <v/>
      </c>
      <c r="N487" s="152" t="str">
        <f>IF(分析!O487&lt;&gt;"",分析!O487,"")</f>
        <v/>
      </c>
      <c r="O487" s="153" t="str">
        <f>IF(分析!X487&lt;&gt;"",分析!X487,"")</f>
        <v/>
      </c>
      <c r="P487" s="154" t="str">
        <f>IF(分析!L487&lt;&gt;"",分析!L487,"")</f>
        <v/>
      </c>
      <c r="Q487" s="151" t="str">
        <f>IF(分析!S487&lt;&gt;"",分析!S487,"")</f>
        <v/>
      </c>
      <c r="R487" s="151" t="str">
        <f>IF(分析!R487&lt;&gt;"",分析!R487,"")</f>
        <v/>
      </c>
      <c r="S487" s="146" t="str">
        <f>IF(分析!AA487&lt;&gt;"",分析!AA487,"")</f>
        <v/>
      </c>
      <c r="T487" s="155" t="str">
        <f>IF(分析!Z487&lt;&gt;"",分析!Z487,"")</f>
        <v/>
      </c>
      <c r="U487" s="146" t="str">
        <f>IF(分析!V487&lt;&gt;"",分析!V487,"")</f>
        <v/>
      </c>
      <c r="V487" s="156" t="str">
        <f>IF(分析!W487&lt;&gt;"",分析!W487,"")</f>
        <v/>
      </c>
      <c r="W487" s="157" t="str">
        <f>IF(分析!AD487&lt;&gt;"",分析!AD487,"")</f>
        <v/>
      </c>
      <c r="X487" s="158" t="str">
        <f>IF(分析!AE487&lt;&gt;"",分析!AE487,"")</f>
        <v/>
      </c>
      <c r="Y487" s="159" t="str">
        <f>IF(分析!T487&lt;&gt;"",分析!T487,"")</f>
        <v/>
      </c>
      <c r="Z487" s="145" t="str">
        <f>IF(分析!Y487&lt;&gt;"",分析!Y487,"")</f>
        <v/>
      </c>
    </row>
    <row r="488" spans="1:26" ht="21.9" customHeight="1">
      <c r="A488" s="131" t="str">
        <f>IF(分析!C488&lt;&gt;"",ROW()-2,"")</f>
        <v/>
      </c>
      <c r="B488" s="132" t="str">
        <f>IF(分析!C488&lt;&gt;"",HYPERLINK("https://kabutan.jp/stock/?code="&amp;分析!C488,"株探"),"")</f>
        <v/>
      </c>
      <c r="C488" s="133" t="str">
        <f>IF(分析!C488&lt;&gt;"",分析!C488,"")</f>
        <v/>
      </c>
      <c r="D488" s="134" t="str">
        <f>IF(分析!D488&lt;&gt;"",分析!D488,"")</f>
        <v/>
      </c>
      <c r="E488" s="135" t="str">
        <f>IF(分析!E488&lt;&gt;"",分析!E488,"")</f>
        <v/>
      </c>
      <c r="F488" s="136" t="str">
        <f>IF(分析!F488&lt;&gt;"",分析!F488,"")</f>
        <v/>
      </c>
      <c r="G488" s="136" t="str">
        <f>IF(分析!H488&lt;&gt;"",分析!H488,"")</f>
        <v/>
      </c>
      <c r="H488" s="136" t="str">
        <f>IF(分析!I488&lt;&gt;"",分析!I488,"")</f>
        <v/>
      </c>
      <c r="I488" s="136" t="str">
        <f>IF(分析!J488&lt;&gt;"",分析!J488,"")</f>
        <v/>
      </c>
      <c r="J488" s="136" t="str">
        <f>IF(分析!AB488&lt;&gt;"",分析!AB488,"")</f>
        <v/>
      </c>
      <c r="K488" s="136" t="str">
        <f>IF(分析!AC488&lt;&gt;"",分析!AC488,"")</f>
        <v/>
      </c>
      <c r="L488" s="136" t="str">
        <f>IF(分析!K488&lt;&gt;"",分析!K488,"")</f>
        <v/>
      </c>
      <c r="M488" s="131" t="str">
        <f>IF(分析!P488&lt;&gt;"",分析!P488,"")</f>
        <v/>
      </c>
      <c r="N488" s="137" t="str">
        <f>IF(分析!O488&lt;&gt;"",分析!O488,"")</f>
        <v/>
      </c>
      <c r="O488" s="138" t="str">
        <f>IF(分析!X488&lt;&gt;"",分析!X488,"")</f>
        <v/>
      </c>
      <c r="P488" s="139" t="str">
        <f>IF(分析!L488&lt;&gt;"",分析!L488,"")</f>
        <v/>
      </c>
      <c r="Q488" s="136" t="str">
        <f>IF(分析!S488&lt;&gt;"",分析!S488,"")</f>
        <v/>
      </c>
      <c r="R488" s="136" t="str">
        <f>IF(分析!R488&lt;&gt;"",分析!R488,"")</f>
        <v/>
      </c>
      <c r="S488" s="131" t="str">
        <f>IF(分析!AA488&lt;&gt;"",分析!AA488,"")</f>
        <v/>
      </c>
      <c r="T488" s="140" t="str">
        <f>IF(分析!Z488&lt;&gt;"",分析!Z488,"")</f>
        <v/>
      </c>
      <c r="U488" s="131" t="str">
        <f>IF(分析!V488&lt;&gt;"",分析!V488,"")</f>
        <v/>
      </c>
      <c r="V488" s="141" t="str">
        <f>IF(分析!W488&lt;&gt;"",分析!W488,"")</f>
        <v/>
      </c>
      <c r="W488" s="142" t="str">
        <f>IF(分析!AD488&lt;&gt;"",分析!AD488,"")</f>
        <v/>
      </c>
      <c r="X488" s="143" t="str">
        <f>IF(分析!AE488&lt;&gt;"",分析!AE488,"")</f>
        <v/>
      </c>
      <c r="Y488" s="144" t="str">
        <f>IF(分析!T488&lt;&gt;"",分析!T488,"")</f>
        <v/>
      </c>
      <c r="Z488" s="145" t="str">
        <f>IF(分析!Y488&lt;&gt;"",分析!Y488,"")</f>
        <v/>
      </c>
    </row>
    <row r="489" spans="1:26" ht="21.9" customHeight="1">
      <c r="A489" s="146" t="str">
        <f>IF(分析!C489&lt;&gt;"",ROW()-2,"")</f>
        <v/>
      </c>
      <c r="B489" s="147" t="str">
        <f>IF(分析!C489&lt;&gt;"",HYPERLINK("https://kabutan.jp/stock/?code="&amp;分析!C489,"株探"),"")</f>
        <v/>
      </c>
      <c r="C489" s="148" t="str">
        <f>IF(分析!C489&lt;&gt;"",分析!C489,"")</f>
        <v/>
      </c>
      <c r="D489" s="149" t="str">
        <f>IF(分析!D489&lt;&gt;"",分析!D489,"")</f>
        <v/>
      </c>
      <c r="E489" s="150" t="str">
        <f>IF(分析!E489&lt;&gt;"",分析!E489,"")</f>
        <v/>
      </c>
      <c r="F489" s="151" t="str">
        <f>IF(分析!F489&lt;&gt;"",分析!F489,"")</f>
        <v/>
      </c>
      <c r="G489" s="151" t="str">
        <f>IF(分析!H489&lt;&gt;"",分析!H489,"")</f>
        <v/>
      </c>
      <c r="H489" s="151" t="str">
        <f>IF(分析!I489&lt;&gt;"",分析!I489,"")</f>
        <v/>
      </c>
      <c r="I489" s="151" t="str">
        <f>IF(分析!J489&lt;&gt;"",分析!J489,"")</f>
        <v/>
      </c>
      <c r="J489" s="151" t="str">
        <f>IF(分析!AB489&lt;&gt;"",分析!AB489,"")</f>
        <v/>
      </c>
      <c r="K489" s="151" t="str">
        <f>IF(分析!AC489&lt;&gt;"",分析!AC489,"")</f>
        <v/>
      </c>
      <c r="L489" s="151" t="str">
        <f>IF(分析!K489&lt;&gt;"",分析!K489,"")</f>
        <v/>
      </c>
      <c r="M489" s="146" t="str">
        <f>IF(分析!P489&lt;&gt;"",分析!P489,"")</f>
        <v/>
      </c>
      <c r="N489" s="152" t="str">
        <f>IF(分析!O489&lt;&gt;"",分析!O489,"")</f>
        <v/>
      </c>
      <c r="O489" s="153" t="str">
        <f>IF(分析!X489&lt;&gt;"",分析!X489,"")</f>
        <v/>
      </c>
      <c r="P489" s="154" t="str">
        <f>IF(分析!L489&lt;&gt;"",分析!L489,"")</f>
        <v/>
      </c>
      <c r="Q489" s="151" t="str">
        <f>IF(分析!S489&lt;&gt;"",分析!S489,"")</f>
        <v/>
      </c>
      <c r="R489" s="151" t="str">
        <f>IF(分析!R489&lt;&gt;"",分析!R489,"")</f>
        <v/>
      </c>
      <c r="S489" s="146" t="str">
        <f>IF(分析!AA489&lt;&gt;"",分析!AA489,"")</f>
        <v/>
      </c>
      <c r="T489" s="155" t="str">
        <f>IF(分析!Z489&lt;&gt;"",分析!Z489,"")</f>
        <v/>
      </c>
      <c r="U489" s="146" t="str">
        <f>IF(分析!V489&lt;&gt;"",分析!V489,"")</f>
        <v/>
      </c>
      <c r="V489" s="156" t="str">
        <f>IF(分析!W489&lt;&gt;"",分析!W489,"")</f>
        <v/>
      </c>
      <c r="W489" s="157" t="str">
        <f>IF(分析!AD489&lt;&gt;"",分析!AD489,"")</f>
        <v/>
      </c>
      <c r="X489" s="158" t="str">
        <f>IF(分析!AE489&lt;&gt;"",分析!AE489,"")</f>
        <v/>
      </c>
      <c r="Y489" s="159" t="str">
        <f>IF(分析!T489&lt;&gt;"",分析!T489,"")</f>
        <v/>
      </c>
      <c r="Z489" s="145" t="str">
        <f>IF(分析!Y489&lt;&gt;"",分析!Y489,"")</f>
        <v/>
      </c>
    </row>
    <row r="490" spans="1:26" ht="21.9" customHeight="1">
      <c r="A490" s="131" t="str">
        <f>IF(分析!C490&lt;&gt;"",ROW()-2,"")</f>
        <v/>
      </c>
      <c r="B490" s="132" t="str">
        <f>IF(分析!C490&lt;&gt;"",HYPERLINK("https://kabutan.jp/stock/?code="&amp;分析!C490,"株探"),"")</f>
        <v/>
      </c>
      <c r="C490" s="133" t="str">
        <f>IF(分析!C490&lt;&gt;"",分析!C490,"")</f>
        <v/>
      </c>
      <c r="D490" s="134" t="str">
        <f>IF(分析!D490&lt;&gt;"",分析!D490,"")</f>
        <v/>
      </c>
      <c r="E490" s="135" t="str">
        <f>IF(分析!E490&lt;&gt;"",分析!E490,"")</f>
        <v/>
      </c>
      <c r="F490" s="136" t="str">
        <f>IF(分析!F490&lt;&gt;"",分析!F490,"")</f>
        <v/>
      </c>
      <c r="G490" s="136" t="str">
        <f>IF(分析!H490&lt;&gt;"",分析!H490,"")</f>
        <v/>
      </c>
      <c r="H490" s="136" t="str">
        <f>IF(分析!I490&lt;&gt;"",分析!I490,"")</f>
        <v/>
      </c>
      <c r="I490" s="136" t="str">
        <f>IF(分析!J490&lt;&gt;"",分析!J490,"")</f>
        <v/>
      </c>
      <c r="J490" s="136" t="str">
        <f>IF(分析!AB490&lt;&gt;"",分析!AB490,"")</f>
        <v/>
      </c>
      <c r="K490" s="136" t="str">
        <f>IF(分析!AC490&lt;&gt;"",分析!AC490,"")</f>
        <v/>
      </c>
      <c r="L490" s="136" t="str">
        <f>IF(分析!K490&lt;&gt;"",分析!K490,"")</f>
        <v/>
      </c>
      <c r="M490" s="131" t="str">
        <f>IF(分析!P490&lt;&gt;"",分析!P490,"")</f>
        <v/>
      </c>
      <c r="N490" s="137" t="str">
        <f>IF(分析!O490&lt;&gt;"",分析!O490,"")</f>
        <v/>
      </c>
      <c r="O490" s="138" t="str">
        <f>IF(分析!X490&lt;&gt;"",分析!X490,"")</f>
        <v/>
      </c>
      <c r="P490" s="139" t="str">
        <f>IF(分析!L490&lt;&gt;"",分析!L490,"")</f>
        <v/>
      </c>
      <c r="Q490" s="136" t="str">
        <f>IF(分析!S490&lt;&gt;"",分析!S490,"")</f>
        <v/>
      </c>
      <c r="R490" s="136" t="str">
        <f>IF(分析!R490&lt;&gt;"",分析!R490,"")</f>
        <v/>
      </c>
      <c r="S490" s="131" t="str">
        <f>IF(分析!AA490&lt;&gt;"",分析!AA490,"")</f>
        <v/>
      </c>
      <c r="T490" s="140" t="str">
        <f>IF(分析!Z490&lt;&gt;"",分析!Z490,"")</f>
        <v/>
      </c>
      <c r="U490" s="131" t="str">
        <f>IF(分析!V490&lt;&gt;"",分析!V490,"")</f>
        <v/>
      </c>
      <c r="V490" s="141" t="str">
        <f>IF(分析!W490&lt;&gt;"",分析!W490,"")</f>
        <v/>
      </c>
      <c r="W490" s="142" t="str">
        <f>IF(分析!AD490&lt;&gt;"",分析!AD490,"")</f>
        <v/>
      </c>
      <c r="X490" s="143" t="str">
        <f>IF(分析!AE490&lt;&gt;"",分析!AE490,"")</f>
        <v/>
      </c>
      <c r="Y490" s="144" t="str">
        <f>IF(分析!T490&lt;&gt;"",分析!T490,"")</f>
        <v/>
      </c>
      <c r="Z490" s="145" t="str">
        <f>IF(分析!Y490&lt;&gt;"",分析!Y490,"")</f>
        <v/>
      </c>
    </row>
    <row r="491" spans="1:26" ht="21.9" customHeight="1">
      <c r="A491" s="146" t="str">
        <f>IF(分析!C491&lt;&gt;"",ROW()-2,"")</f>
        <v/>
      </c>
      <c r="B491" s="147" t="str">
        <f>IF(分析!C491&lt;&gt;"",HYPERLINK("https://kabutan.jp/stock/?code="&amp;分析!C491,"株探"),"")</f>
        <v/>
      </c>
      <c r="C491" s="148" t="str">
        <f>IF(分析!C491&lt;&gt;"",分析!C491,"")</f>
        <v/>
      </c>
      <c r="D491" s="149" t="str">
        <f>IF(分析!D491&lt;&gt;"",分析!D491,"")</f>
        <v/>
      </c>
      <c r="E491" s="150" t="str">
        <f>IF(分析!E491&lt;&gt;"",分析!E491,"")</f>
        <v/>
      </c>
      <c r="F491" s="151" t="str">
        <f>IF(分析!F491&lt;&gt;"",分析!F491,"")</f>
        <v/>
      </c>
      <c r="G491" s="151" t="str">
        <f>IF(分析!H491&lt;&gt;"",分析!H491,"")</f>
        <v/>
      </c>
      <c r="H491" s="151" t="str">
        <f>IF(分析!I491&lt;&gt;"",分析!I491,"")</f>
        <v/>
      </c>
      <c r="I491" s="151" t="str">
        <f>IF(分析!J491&lt;&gt;"",分析!J491,"")</f>
        <v/>
      </c>
      <c r="J491" s="151" t="str">
        <f>IF(分析!AB491&lt;&gt;"",分析!AB491,"")</f>
        <v/>
      </c>
      <c r="K491" s="151" t="str">
        <f>IF(分析!AC491&lt;&gt;"",分析!AC491,"")</f>
        <v/>
      </c>
      <c r="L491" s="151" t="str">
        <f>IF(分析!K491&lt;&gt;"",分析!K491,"")</f>
        <v/>
      </c>
      <c r="M491" s="146" t="str">
        <f>IF(分析!P491&lt;&gt;"",分析!P491,"")</f>
        <v/>
      </c>
      <c r="N491" s="152" t="str">
        <f>IF(分析!O491&lt;&gt;"",分析!O491,"")</f>
        <v/>
      </c>
      <c r="O491" s="153" t="str">
        <f>IF(分析!X491&lt;&gt;"",分析!X491,"")</f>
        <v/>
      </c>
      <c r="P491" s="154" t="str">
        <f>IF(分析!L491&lt;&gt;"",分析!L491,"")</f>
        <v/>
      </c>
      <c r="Q491" s="151" t="str">
        <f>IF(分析!S491&lt;&gt;"",分析!S491,"")</f>
        <v/>
      </c>
      <c r="R491" s="151" t="str">
        <f>IF(分析!R491&lt;&gt;"",分析!R491,"")</f>
        <v/>
      </c>
      <c r="S491" s="146" t="str">
        <f>IF(分析!AA491&lt;&gt;"",分析!AA491,"")</f>
        <v/>
      </c>
      <c r="T491" s="155" t="str">
        <f>IF(分析!Z491&lt;&gt;"",分析!Z491,"")</f>
        <v/>
      </c>
      <c r="U491" s="146" t="str">
        <f>IF(分析!V491&lt;&gt;"",分析!V491,"")</f>
        <v/>
      </c>
      <c r="V491" s="156" t="str">
        <f>IF(分析!W491&lt;&gt;"",分析!W491,"")</f>
        <v/>
      </c>
      <c r="W491" s="157" t="str">
        <f>IF(分析!AD491&lt;&gt;"",分析!AD491,"")</f>
        <v/>
      </c>
      <c r="X491" s="158" t="str">
        <f>IF(分析!AE491&lt;&gt;"",分析!AE491,"")</f>
        <v/>
      </c>
      <c r="Y491" s="159" t="str">
        <f>IF(分析!T491&lt;&gt;"",分析!T491,"")</f>
        <v/>
      </c>
      <c r="Z491" s="145" t="str">
        <f>IF(分析!Y491&lt;&gt;"",分析!Y491,"")</f>
        <v/>
      </c>
    </row>
    <row r="492" spans="1:26" ht="21.9" customHeight="1">
      <c r="A492" s="131" t="str">
        <f>IF(分析!C492&lt;&gt;"",ROW()-2,"")</f>
        <v/>
      </c>
      <c r="B492" s="132" t="str">
        <f>IF(分析!C492&lt;&gt;"",HYPERLINK("https://kabutan.jp/stock/?code="&amp;分析!C492,"株探"),"")</f>
        <v/>
      </c>
      <c r="C492" s="133" t="str">
        <f>IF(分析!C492&lt;&gt;"",分析!C492,"")</f>
        <v/>
      </c>
      <c r="D492" s="134" t="str">
        <f>IF(分析!D492&lt;&gt;"",分析!D492,"")</f>
        <v/>
      </c>
      <c r="E492" s="135" t="str">
        <f>IF(分析!E492&lt;&gt;"",分析!E492,"")</f>
        <v/>
      </c>
      <c r="F492" s="136" t="str">
        <f>IF(分析!F492&lt;&gt;"",分析!F492,"")</f>
        <v/>
      </c>
      <c r="G492" s="136" t="str">
        <f>IF(分析!H492&lt;&gt;"",分析!H492,"")</f>
        <v/>
      </c>
      <c r="H492" s="136" t="str">
        <f>IF(分析!I492&lt;&gt;"",分析!I492,"")</f>
        <v/>
      </c>
      <c r="I492" s="136" t="str">
        <f>IF(分析!J492&lt;&gt;"",分析!J492,"")</f>
        <v/>
      </c>
      <c r="J492" s="136" t="str">
        <f>IF(分析!AB492&lt;&gt;"",分析!AB492,"")</f>
        <v/>
      </c>
      <c r="K492" s="136" t="str">
        <f>IF(分析!AC492&lt;&gt;"",分析!AC492,"")</f>
        <v/>
      </c>
      <c r="L492" s="136" t="str">
        <f>IF(分析!K492&lt;&gt;"",分析!K492,"")</f>
        <v/>
      </c>
      <c r="M492" s="131" t="str">
        <f>IF(分析!P492&lt;&gt;"",分析!P492,"")</f>
        <v/>
      </c>
      <c r="N492" s="137" t="str">
        <f>IF(分析!O492&lt;&gt;"",分析!O492,"")</f>
        <v/>
      </c>
      <c r="O492" s="138" t="str">
        <f>IF(分析!X492&lt;&gt;"",分析!X492,"")</f>
        <v/>
      </c>
      <c r="P492" s="139" t="str">
        <f>IF(分析!L492&lt;&gt;"",分析!L492,"")</f>
        <v/>
      </c>
      <c r="Q492" s="136" t="str">
        <f>IF(分析!S492&lt;&gt;"",分析!S492,"")</f>
        <v/>
      </c>
      <c r="R492" s="136" t="str">
        <f>IF(分析!R492&lt;&gt;"",分析!R492,"")</f>
        <v/>
      </c>
      <c r="S492" s="131" t="str">
        <f>IF(分析!AA492&lt;&gt;"",分析!AA492,"")</f>
        <v/>
      </c>
      <c r="T492" s="140" t="str">
        <f>IF(分析!Z492&lt;&gt;"",分析!Z492,"")</f>
        <v/>
      </c>
      <c r="U492" s="131" t="str">
        <f>IF(分析!V492&lt;&gt;"",分析!V492,"")</f>
        <v/>
      </c>
      <c r="V492" s="141" t="str">
        <f>IF(分析!W492&lt;&gt;"",分析!W492,"")</f>
        <v/>
      </c>
      <c r="W492" s="142" t="str">
        <f>IF(分析!AD492&lt;&gt;"",分析!AD492,"")</f>
        <v/>
      </c>
      <c r="X492" s="143" t="str">
        <f>IF(分析!AE492&lt;&gt;"",分析!AE492,"")</f>
        <v/>
      </c>
      <c r="Y492" s="144" t="str">
        <f>IF(分析!T492&lt;&gt;"",分析!T492,"")</f>
        <v/>
      </c>
      <c r="Z492" s="145" t="str">
        <f>IF(分析!Y492&lt;&gt;"",分析!Y492,"")</f>
        <v/>
      </c>
    </row>
    <row r="493" spans="1:26" ht="21.9" customHeight="1">
      <c r="A493" s="146" t="str">
        <f>IF(分析!C493&lt;&gt;"",ROW()-2,"")</f>
        <v/>
      </c>
      <c r="B493" s="147" t="str">
        <f>IF(分析!C493&lt;&gt;"",HYPERLINK("https://kabutan.jp/stock/?code="&amp;分析!C493,"株探"),"")</f>
        <v/>
      </c>
      <c r="C493" s="148" t="str">
        <f>IF(分析!C493&lt;&gt;"",分析!C493,"")</f>
        <v/>
      </c>
      <c r="D493" s="149" t="str">
        <f>IF(分析!D493&lt;&gt;"",分析!D493,"")</f>
        <v/>
      </c>
      <c r="E493" s="150" t="str">
        <f>IF(分析!E493&lt;&gt;"",分析!E493,"")</f>
        <v/>
      </c>
      <c r="F493" s="151" t="str">
        <f>IF(分析!F493&lt;&gt;"",分析!F493,"")</f>
        <v/>
      </c>
      <c r="G493" s="151" t="str">
        <f>IF(分析!H493&lt;&gt;"",分析!H493,"")</f>
        <v/>
      </c>
      <c r="H493" s="151" t="str">
        <f>IF(分析!I493&lt;&gt;"",分析!I493,"")</f>
        <v/>
      </c>
      <c r="I493" s="151" t="str">
        <f>IF(分析!J493&lt;&gt;"",分析!J493,"")</f>
        <v/>
      </c>
      <c r="J493" s="151" t="str">
        <f>IF(分析!AB493&lt;&gt;"",分析!AB493,"")</f>
        <v/>
      </c>
      <c r="K493" s="151" t="str">
        <f>IF(分析!AC493&lt;&gt;"",分析!AC493,"")</f>
        <v/>
      </c>
      <c r="L493" s="151" t="str">
        <f>IF(分析!K493&lt;&gt;"",分析!K493,"")</f>
        <v/>
      </c>
      <c r="M493" s="146" t="str">
        <f>IF(分析!P493&lt;&gt;"",分析!P493,"")</f>
        <v/>
      </c>
      <c r="N493" s="152" t="str">
        <f>IF(分析!O493&lt;&gt;"",分析!O493,"")</f>
        <v/>
      </c>
      <c r="O493" s="153" t="str">
        <f>IF(分析!X493&lt;&gt;"",分析!X493,"")</f>
        <v/>
      </c>
      <c r="P493" s="154" t="str">
        <f>IF(分析!L493&lt;&gt;"",分析!L493,"")</f>
        <v/>
      </c>
      <c r="Q493" s="151" t="str">
        <f>IF(分析!S493&lt;&gt;"",分析!S493,"")</f>
        <v/>
      </c>
      <c r="R493" s="151" t="str">
        <f>IF(分析!R493&lt;&gt;"",分析!R493,"")</f>
        <v/>
      </c>
      <c r="S493" s="146" t="str">
        <f>IF(分析!AA493&lt;&gt;"",分析!AA493,"")</f>
        <v/>
      </c>
      <c r="T493" s="155" t="str">
        <f>IF(分析!Z493&lt;&gt;"",分析!Z493,"")</f>
        <v/>
      </c>
      <c r="U493" s="146" t="str">
        <f>IF(分析!V493&lt;&gt;"",分析!V493,"")</f>
        <v/>
      </c>
      <c r="V493" s="156" t="str">
        <f>IF(分析!W493&lt;&gt;"",分析!W493,"")</f>
        <v/>
      </c>
      <c r="W493" s="157" t="str">
        <f>IF(分析!AD493&lt;&gt;"",分析!AD493,"")</f>
        <v/>
      </c>
      <c r="X493" s="158" t="str">
        <f>IF(分析!AE493&lt;&gt;"",分析!AE493,"")</f>
        <v/>
      </c>
      <c r="Y493" s="159" t="str">
        <f>IF(分析!T493&lt;&gt;"",分析!T493,"")</f>
        <v/>
      </c>
      <c r="Z493" s="145" t="str">
        <f>IF(分析!Y493&lt;&gt;"",分析!Y493,"")</f>
        <v/>
      </c>
    </row>
    <row r="494" spans="1:26" ht="21.9" customHeight="1">
      <c r="A494" s="131" t="str">
        <f>IF(分析!C494&lt;&gt;"",ROW()-2,"")</f>
        <v/>
      </c>
      <c r="B494" s="132" t="str">
        <f>IF(分析!C494&lt;&gt;"",HYPERLINK("https://kabutan.jp/stock/?code="&amp;分析!C494,"株探"),"")</f>
        <v/>
      </c>
      <c r="C494" s="133" t="str">
        <f>IF(分析!C494&lt;&gt;"",分析!C494,"")</f>
        <v/>
      </c>
      <c r="D494" s="134" t="str">
        <f>IF(分析!D494&lt;&gt;"",分析!D494,"")</f>
        <v/>
      </c>
      <c r="E494" s="135" t="str">
        <f>IF(分析!E494&lt;&gt;"",分析!E494,"")</f>
        <v/>
      </c>
      <c r="F494" s="136" t="str">
        <f>IF(分析!F494&lt;&gt;"",分析!F494,"")</f>
        <v/>
      </c>
      <c r="G494" s="136" t="str">
        <f>IF(分析!H494&lt;&gt;"",分析!H494,"")</f>
        <v/>
      </c>
      <c r="H494" s="136" t="str">
        <f>IF(分析!I494&lt;&gt;"",分析!I494,"")</f>
        <v/>
      </c>
      <c r="I494" s="136" t="str">
        <f>IF(分析!J494&lt;&gt;"",分析!J494,"")</f>
        <v/>
      </c>
      <c r="J494" s="136" t="str">
        <f>IF(分析!AB494&lt;&gt;"",分析!AB494,"")</f>
        <v/>
      </c>
      <c r="K494" s="136" t="str">
        <f>IF(分析!AC494&lt;&gt;"",分析!AC494,"")</f>
        <v/>
      </c>
      <c r="L494" s="136" t="str">
        <f>IF(分析!K494&lt;&gt;"",分析!K494,"")</f>
        <v/>
      </c>
      <c r="M494" s="131" t="str">
        <f>IF(分析!P494&lt;&gt;"",分析!P494,"")</f>
        <v/>
      </c>
      <c r="N494" s="137" t="str">
        <f>IF(分析!O494&lt;&gt;"",分析!O494,"")</f>
        <v/>
      </c>
      <c r="O494" s="138" t="str">
        <f>IF(分析!X494&lt;&gt;"",分析!X494,"")</f>
        <v/>
      </c>
      <c r="P494" s="139" t="str">
        <f>IF(分析!L494&lt;&gt;"",分析!L494,"")</f>
        <v/>
      </c>
      <c r="Q494" s="136" t="str">
        <f>IF(分析!S494&lt;&gt;"",分析!S494,"")</f>
        <v/>
      </c>
      <c r="R494" s="136" t="str">
        <f>IF(分析!R494&lt;&gt;"",分析!R494,"")</f>
        <v/>
      </c>
      <c r="S494" s="131" t="str">
        <f>IF(分析!AA494&lt;&gt;"",分析!AA494,"")</f>
        <v/>
      </c>
      <c r="T494" s="140" t="str">
        <f>IF(分析!Z494&lt;&gt;"",分析!Z494,"")</f>
        <v/>
      </c>
      <c r="U494" s="131" t="str">
        <f>IF(分析!V494&lt;&gt;"",分析!V494,"")</f>
        <v/>
      </c>
      <c r="V494" s="141" t="str">
        <f>IF(分析!W494&lt;&gt;"",分析!W494,"")</f>
        <v/>
      </c>
      <c r="W494" s="142" t="str">
        <f>IF(分析!AD494&lt;&gt;"",分析!AD494,"")</f>
        <v/>
      </c>
      <c r="X494" s="143" t="str">
        <f>IF(分析!AE494&lt;&gt;"",分析!AE494,"")</f>
        <v/>
      </c>
      <c r="Y494" s="144" t="str">
        <f>IF(分析!T494&lt;&gt;"",分析!T494,"")</f>
        <v/>
      </c>
      <c r="Z494" s="145" t="str">
        <f>IF(分析!Y494&lt;&gt;"",分析!Y494,"")</f>
        <v/>
      </c>
    </row>
    <row r="495" spans="1:26" ht="21.9" customHeight="1">
      <c r="A495" s="146" t="str">
        <f>IF(分析!C495&lt;&gt;"",ROW()-2,"")</f>
        <v/>
      </c>
      <c r="B495" s="147" t="str">
        <f>IF(分析!C495&lt;&gt;"",HYPERLINK("https://kabutan.jp/stock/?code="&amp;分析!C495,"株探"),"")</f>
        <v/>
      </c>
      <c r="C495" s="148" t="str">
        <f>IF(分析!C495&lt;&gt;"",分析!C495,"")</f>
        <v/>
      </c>
      <c r="D495" s="149" t="str">
        <f>IF(分析!D495&lt;&gt;"",分析!D495,"")</f>
        <v/>
      </c>
      <c r="E495" s="150" t="str">
        <f>IF(分析!E495&lt;&gt;"",分析!E495,"")</f>
        <v/>
      </c>
      <c r="F495" s="151" t="str">
        <f>IF(分析!F495&lt;&gt;"",分析!F495,"")</f>
        <v/>
      </c>
      <c r="G495" s="151" t="str">
        <f>IF(分析!H495&lt;&gt;"",分析!H495,"")</f>
        <v/>
      </c>
      <c r="H495" s="151" t="str">
        <f>IF(分析!I495&lt;&gt;"",分析!I495,"")</f>
        <v/>
      </c>
      <c r="I495" s="151" t="str">
        <f>IF(分析!J495&lt;&gt;"",分析!J495,"")</f>
        <v/>
      </c>
      <c r="J495" s="151" t="str">
        <f>IF(分析!AB495&lt;&gt;"",分析!AB495,"")</f>
        <v/>
      </c>
      <c r="K495" s="151" t="str">
        <f>IF(分析!AC495&lt;&gt;"",分析!AC495,"")</f>
        <v/>
      </c>
      <c r="L495" s="151" t="str">
        <f>IF(分析!K495&lt;&gt;"",分析!K495,"")</f>
        <v/>
      </c>
      <c r="M495" s="146" t="str">
        <f>IF(分析!P495&lt;&gt;"",分析!P495,"")</f>
        <v/>
      </c>
      <c r="N495" s="152" t="str">
        <f>IF(分析!O495&lt;&gt;"",分析!O495,"")</f>
        <v/>
      </c>
      <c r="O495" s="153" t="str">
        <f>IF(分析!X495&lt;&gt;"",分析!X495,"")</f>
        <v/>
      </c>
      <c r="P495" s="154" t="str">
        <f>IF(分析!L495&lt;&gt;"",分析!L495,"")</f>
        <v/>
      </c>
      <c r="Q495" s="151" t="str">
        <f>IF(分析!S495&lt;&gt;"",分析!S495,"")</f>
        <v/>
      </c>
      <c r="R495" s="151" t="str">
        <f>IF(分析!R495&lt;&gt;"",分析!R495,"")</f>
        <v/>
      </c>
      <c r="S495" s="146" t="str">
        <f>IF(分析!AA495&lt;&gt;"",分析!AA495,"")</f>
        <v/>
      </c>
      <c r="T495" s="155" t="str">
        <f>IF(分析!Z495&lt;&gt;"",分析!Z495,"")</f>
        <v/>
      </c>
      <c r="U495" s="146" t="str">
        <f>IF(分析!V495&lt;&gt;"",分析!V495,"")</f>
        <v/>
      </c>
      <c r="V495" s="156" t="str">
        <f>IF(分析!W495&lt;&gt;"",分析!W495,"")</f>
        <v/>
      </c>
      <c r="W495" s="157" t="str">
        <f>IF(分析!AD495&lt;&gt;"",分析!AD495,"")</f>
        <v/>
      </c>
      <c r="X495" s="158" t="str">
        <f>IF(分析!AE495&lt;&gt;"",分析!AE495,"")</f>
        <v/>
      </c>
      <c r="Y495" s="159" t="str">
        <f>IF(分析!T495&lt;&gt;"",分析!T495,"")</f>
        <v/>
      </c>
      <c r="Z495" s="145" t="str">
        <f>IF(分析!Y495&lt;&gt;"",分析!Y495,"")</f>
        <v/>
      </c>
    </row>
    <row r="496" spans="1:26" ht="21.9" customHeight="1">
      <c r="A496" s="131" t="str">
        <f>IF(分析!C496&lt;&gt;"",ROW()-2,"")</f>
        <v/>
      </c>
      <c r="B496" s="132" t="str">
        <f>IF(分析!C496&lt;&gt;"",HYPERLINK("https://kabutan.jp/stock/?code="&amp;分析!C496,"株探"),"")</f>
        <v/>
      </c>
      <c r="C496" s="133" t="str">
        <f>IF(分析!C496&lt;&gt;"",分析!C496,"")</f>
        <v/>
      </c>
      <c r="D496" s="134" t="str">
        <f>IF(分析!D496&lt;&gt;"",分析!D496,"")</f>
        <v/>
      </c>
      <c r="E496" s="135" t="str">
        <f>IF(分析!E496&lt;&gt;"",分析!E496,"")</f>
        <v/>
      </c>
      <c r="F496" s="136" t="str">
        <f>IF(分析!F496&lt;&gt;"",分析!F496,"")</f>
        <v/>
      </c>
      <c r="G496" s="136" t="str">
        <f>IF(分析!H496&lt;&gt;"",分析!H496,"")</f>
        <v/>
      </c>
      <c r="H496" s="136" t="str">
        <f>IF(分析!I496&lt;&gt;"",分析!I496,"")</f>
        <v/>
      </c>
      <c r="I496" s="136" t="str">
        <f>IF(分析!J496&lt;&gt;"",分析!J496,"")</f>
        <v/>
      </c>
      <c r="J496" s="136" t="str">
        <f>IF(分析!AB496&lt;&gt;"",分析!AB496,"")</f>
        <v/>
      </c>
      <c r="K496" s="136" t="str">
        <f>IF(分析!AC496&lt;&gt;"",分析!AC496,"")</f>
        <v/>
      </c>
      <c r="L496" s="136" t="str">
        <f>IF(分析!K496&lt;&gt;"",分析!K496,"")</f>
        <v/>
      </c>
      <c r="M496" s="131" t="str">
        <f>IF(分析!P496&lt;&gt;"",分析!P496,"")</f>
        <v/>
      </c>
      <c r="N496" s="137" t="str">
        <f>IF(分析!O496&lt;&gt;"",分析!O496,"")</f>
        <v/>
      </c>
      <c r="O496" s="138" t="str">
        <f>IF(分析!X496&lt;&gt;"",分析!X496,"")</f>
        <v/>
      </c>
      <c r="P496" s="139" t="str">
        <f>IF(分析!L496&lt;&gt;"",分析!L496,"")</f>
        <v/>
      </c>
      <c r="Q496" s="136" t="str">
        <f>IF(分析!S496&lt;&gt;"",分析!S496,"")</f>
        <v/>
      </c>
      <c r="R496" s="136" t="str">
        <f>IF(分析!R496&lt;&gt;"",分析!R496,"")</f>
        <v/>
      </c>
      <c r="S496" s="131" t="str">
        <f>IF(分析!AA496&lt;&gt;"",分析!AA496,"")</f>
        <v/>
      </c>
      <c r="T496" s="140" t="str">
        <f>IF(分析!Z496&lt;&gt;"",分析!Z496,"")</f>
        <v/>
      </c>
      <c r="U496" s="131" t="str">
        <f>IF(分析!V496&lt;&gt;"",分析!V496,"")</f>
        <v/>
      </c>
      <c r="V496" s="141" t="str">
        <f>IF(分析!W496&lt;&gt;"",分析!W496,"")</f>
        <v/>
      </c>
      <c r="W496" s="142" t="str">
        <f>IF(分析!AD496&lt;&gt;"",分析!AD496,"")</f>
        <v/>
      </c>
      <c r="X496" s="143" t="str">
        <f>IF(分析!AE496&lt;&gt;"",分析!AE496,"")</f>
        <v/>
      </c>
      <c r="Y496" s="144" t="str">
        <f>IF(分析!T496&lt;&gt;"",分析!T496,"")</f>
        <v/>
      </c>
      <c r="Z496" s="145" t="str">
        <f>IF(分析!Y496&lt;&gt;"",分析!Y496,"")</f>
        <v/>
      </c>
    </row>
    <row r="497" spans="1:26" ht="21.9" customHeight="1">
      <c r="A497" s="146" t="str">
        <f>IF(分析!C497&lt;&gt;"",ROW()-2,"")</f>
        <v/>
      </c>
      <c r="B497" s="147" t="str">
        <f>IF(分析!C497&lt;&gt;"",HYPERLINK("https://kabutan.jp/stock/?code="&amp;分析!C497,"株探"),"")</f>
        <v/>
      </c>
      <c r="C497" s="148" t="str">
        <f>IF(分析!C497&lt;&gt;"",分析!C497,"")</f>
        <v/>
      </c>
      <c r="D497" s="149" t="str">
        <f>IF(分析!D497&lt;&gt;"",分析!D497,"")</f>
        <v/>
      </c>
      <c r="E497" s="150" t="str">
        <f>IF(分析!E497&lt;&gt;"",分析!E497,"")</f>
        <v/>
      </c>
      <c r="F497" s="151" t="str">
        <f>IF(分析!F497&lt;&gt;"",分析!F497,"")</f>
        <v/>
      </c>
      <c r="G497" s="151" t="str">
        <f>IF(分析!H497&lt;&gt;"",分析!H497,"")</f>
        <v/>
      </c>
      <c r="H497" s="151" t="str">
        <f>IF(分析!I497&lt;&gt;"",分析!I497,"")</f>
        <v/>
      </c>
      <c r="I497" s="151" t="str">
        <f>IF(分析!J497&lt;&gt;"",分析!J497,"")</f>
        <v/>
      </c>
      <c r="J497" s="151" t="str">
        <f>IF(分析!AB497&lt;&gt;"",分析!AB497,"")</f>
        <v/>
      </c>
      <c r="K497" s="151" t="str">
        <f>IF(分析!AC497&lt;&gt;"",分析!AC497,"")</f>
        <v/>
      </c>
      <c r="L497" s="151" t="str">
        <f>IF(分析!K497&lt;&gt;"",分析!K497,"")</f>
        <v/>
      </c>
      <c r="M497" s="146" t="str">
        <f>IF(分析!P497&lt;&gt;"",分析!P497,"")</f>
        <v/>
      </c>
      <c r="N497" s="152" t="str">
        <f>IF(分析!O497&lt;&gt;"",分析!O497,"")</f>
        <v/>
      </c>
      <c r="O497" s="153" t="str">
        <f>IF(分析!X497&lt;&gt;"",分析!X497,"")</f>
        <v/>
      </c>
      <c r="P497" s="154" t="str">
        <f>IF(分析!L497&lt;&gt;"",分析!L497,"")</f>
        <v/>
      </c>
      <c r="Q497" s="151" t="str">
        <f>IF(分析!S497&lt;&gt;"",分析!S497,"")</f>
        <v/>
      </c>
      <c r="R497" s="151" t="str">
        <f>IF(分析!R497&lt;&gt;"",分析!R497,"")</f>
        <v/>
      </c>
      <c r="S497" s="146" t="str">
        <f>IF(分析!AA497&lt;&gt;"",分析!AA497,"")</f>
        <v/>
      </c>
      <c r="T497" s="155" t="str">
        <f>IF(分析!Z497&lt;&gt;"",分析!Z497,"")</f>
        <v/>
      </c>
      <c r="U497" s="146" t="str">
        <f>IF(分析!V497&lt;&gt;"",分析!V497,"")</f>
        <v/>
      </c>
      <c r="V497" s="156" t="str">
        <f>IF(分析!W497&lt;&gt;"",分析!W497,"")</f>
        <v/>
      </c>
      <c r="W497" s="157" t="str">
        <f>IF(分析!AD497&lt;&gt;"",分析!AD497,"")</f>
        <v/>
      </c>
      <c r="X497" s="158" t="str">
        <f>IF(分析!AE497&lt;&gt;"",分析!AE497,"")</f>
        <v/>
      </c>
      <c r="Y497" s="159" t="str">
        <f>IF(分析!T497&lt;&gt;"",分析!T497,"")</f>
        <v/>
      </c>
      <c r="Z497" s="145" t="str">
        <f>IF(分析!Y497&lt;&gt;"",分析!Y497,"")</f>
        <v/>
      </c>
    </row>
    <row r="498" spans="1:26" ht="21.9" customHeight="1">
      <c r="A498" s="131" t="str">
        <f>IF(分析!C498&lt;&gt;"",ROW()-2,"")</f>
        <v/>
      </c>
      <c r="B498" s="132" t="str">
        <f>IF(分析!C498&lt;&gt;"",HYPERLINK("https://kabutan.jp/stock/?code="&amp;分析!C498,"株探"),"")</f>
        <v/>
      </c>
      <c r="C498" s="133" t="str">
        <f>IF(分析!C498&lt;&gt;"",分析!C498,"")</f>
        <v/>
      </c>
      <c r="D498" s="134" t="str">
        <f>IF(分析!D498&lt;&gt;"",分析!D498,"")</f>
        <v/>
      </c>
      <c r="E498" s="135" t="str">
        <f>IF(分析!E498&lt;&gt;"",分析!E498,"")</f>
        <v/>
      </c>
      <c r="F498" s="136" t="str">
        <f>IF(分析!F498&lt;&gt;"",分析!F498,"")</f>
        <v/>
      </c>
      <c r="G498" s="136" t="str">
        <f>IF(分析!H498&lt;&gt;"",分析!H498,"")</f>
        <v/>
      </c>
      <c r="H498" s="136" t="str">
        <f>IF(分析!I498&lt;&gt;"",分析!I498,"")</f>
        <v/>
      </c>
      <c r="I498" s="136" t="str">
        <f>IF(分析!J498&lt;&gt;"",分析!J498,"")</f>
        <v/>
      </c>
      <c r="J498" s="136" t="str">
        <f>IF(分析!AB498&lt;&gt;"",分析!AB498,"")</f>
        <v/>
      </c>
      <c r="K498" s="136" t="str">
        <f>IF(分析!AC498&lt;&gt;"",分析!AC498,"")</f>
        <v/>
      </c>
      <c r="L498" s="136" t="str">
        <f>IF(分析!K498&lt;&gt;"",分析!K498,"")</f>
        <v/>
      </c>
      <c r="M498" s="131" t="str">
        <f>IF(分析!P498&lt;&gt;"",分析!P498,"")</f>
        <v/>
      </c>
      <c r="N498" s="137" t="str">
        <f>IF(分析!O498&lt;&gt;"",分析!O498,"")</f>
        <v/>
      </c>
      <c r="O498" s="138" t="str">
        <f>IF(分析!X498&lt;&gt;"",分析!X498,"")</f>
        <v/>
      </c>
      <c r="P498" s="139" t="str">
        <f>IF(分析!L498&lt;&gt;"",分析!L498,"")</f>
        <v/>
      </c>
      <c r="Q498" s="136" t="str">
        <f>IF(分析!S498&lt;&gt;"",分析!S498,"")</f>
        <v/>
      </c>
      <c r="R498" s="136" t="str">
        <f>IF(分析!R498&lt;&gt;"",分析!R498,"")</f>
        <v/>
      </c>
      <c r="S498" s="131" t="str">
        <f>IF(分析!AA498&lt;&gt;"",分析!AA498,"")</f>
        <v/>
      </c>
      <c r="T498" s="140" t="str">
        <f>IF(分析!Z498&lt;&gt;"",分析!Z498,"")</f>
        <v/>
      </c>
      <c r="U498" s="131" t="str">
        <f>IF(分析!V498&lt;&gt;"",分析!V498,"")</f>
        <v/>
      </c>
      <c r="V498" s="141" t="str">
        <f>IF(分析!W498&lt;&gt;"",分析!W498,"")</f>
        <v/>
      </c>
      <c r="W498" s="142" t="str">
        <f>IF(分析!AD498&lt;&gt;"",分析!AD498,"")</f>
        <v/>
      </c>
      <c r="X498" s="143" t="str">
        <f>IF(分析!AE498&lt;&gt;"",分析!AE498,"")</f>
        <v/>
      </c>
      <c r="Y498" s="144" t="str">
        <f>IF(分析!T498&lt;&gt;"",分析!T498,"")</f>
        <v/>
      </c>
      <c r="Z498" s="145" t="str">
        <f>IF(分析!Y498&lt;&gt;"",分析!Y498,"")</f>
        <v/>
      </c>
    </row>
    <row r="499" spans="1:26" ht="21.9" customHeight="1">
      <c r="A499" s="146" t="str">
        <f>IF(分析!C499&lt;&gt;"",ROW()-2,"")</f>
        <v/>
      </c>
      <c r="B499" s="147" t="str">
        <f>IF(分析!C499&lt;&gt;"",HYPERLINK("https://kabutan.jp/stock/?code="&amp;分析!C499,"株探"),"")</f>
        <v/>
      </c>
      <c r="C499" s="148" t="str">
        <f>IF(分析!C499&lt;&gt;"",分析!C499,"")</f>
        <v/>
      </c>
      <c r="D499" s="149" t="str">
        <f>IF(分析!D499&lt;&gt;"",分析!D499,"")</f>
        <v/>
      </c>
      <c r="E499" s="150" t="str">
        <f>IF(分析!E499&lt;&gt;"",分析!E499,"")</f>
        <v/>
      </c>
      <c r="F499" s="151" t="str">
        <f>IF(分析!F499&lt;&gt;"",分析!F499,"")</f>
        <v/>
      </c>
      <c r="G499" s="151" t="str">
        <f>IF(分析!H499&lt;&gt;"",分析!H499,"")</f>
        <v/>
      </c>
      <c r="H499" s="151" t="str">
        <f>IF(分析!I499&lt;&gt;"",分析!I499,"")</f>
        <v/>
      </c>
      <c r="I499" s="151" t="str">
        <f>IF(分析!J499&lt;&gt;"",分析!J499,"")</f>
        <v/>
      </c>
      <c r="J499" s="151" t="str">
        <f>IF(分析!AB499&lt;&gt;"",分析!AB499,"")</f>
        <v/>
      </c>
      <c r="K499" s="151" t="str">
        <f>IF(分析!AC499&lt;&gt;"",分析!AC499,"")</f>
        <v/>
      </c>
      <c r="L499" s="151" t="str">
        <f>IF(分析!K499&lt;&gt;"",分析!K499,"")</f>
        <v/>
      </c>
      <c r="M499" s="146" t="str">
        <f>IF(分析!P499&lt;&gt;"",分析!P499,"")</f>
        <v/>
      </c>
      <c r="N499" s="152" t="str">
        <f>IF(分析!O499&lt;&gt;"",分析!O499,"")</f>
        <v/>
      </c>
      <c r="O499" s="153" t="str">
        <f>IF(分析!X499&lt;&gt;"",分析!X499,"")</f>
        <v/>
      </c>
      <c r="P499" s="154" t="str">
        <f>IF(分析!L499&lt;&gt;"",分析!L499,"")</f>
        <v/>
      </c>
      <c r="Q499" s="151" t="str">
        <f>IF(分析!S499&lt;&gt;"",分析!S499,"")</f>
        <v/>
      </c>
      <c r="R499" s="151" t="str">
        <f>IF(分析!R499&lt;&gt;"",分析!R499,"")</f>
        <v/>
      </c>
      <c r="S499" s="146" t="str">
        <f>IF(分析!AA499&lt;&gt;"",分析!AA499,"")</f>
        <v/>
      </c>
      <c r="T499" s="155" t="str">
        <f>IF(分析!Z499&lt;&gt;"",分析!Z499,"")</f>
        <v/>
      </c>
      <c r="U499" s="146" t="str">
        <f>IF(分析!V499&lt;&gt;"",分析!V499,"")</f>
        <v/>
      </c>
      <c r="V499" s="156" t="str">
        <f>IF(分析!W499&lt;&gt;"",分析!W499,"")</f>
        <v/>
      </c>
      <c r="W499" s="157" t="str">
        <f>IF(分析!AD499&lt;&gt;"",分析!AD499,"")</f>
        <v/>
      </c>
      <c r="X499" s="158" t="str">
        <f>IF(分析!AE499&lt;&gt;"",分析!AE499,"")</f>
        <v/>
      </c>
      <c r="Y499" s="159" t="str">
        <f>IF(分析!T499&lt;&gt;"",分析!T499,"")</f>
        <v/>
      </c>
      <c r="Z499" s="145" t="str">
        <f>IF(分析!Y499&lt;&gt;"",分析!Y499,"")</f>
        <v/>
      </c>
    </row>
    <row r="500" spans="1:26" ht="21.9" customHeight="1">
      <c r="A500" s="131" t="str">
        <f>IF(分析!C500&lt;&gt;"",ROW()-2,"")</f>
        <v/>
      </c>
      <c r="B500" s="132" t="str">
        <f>IF(分析!C500&lt;&gt;"",HYPERLINK("https://kabutan.jp/stock/?code="&amp;分析!C500,"株探"),"")</f>
        <v/>
      </c>
      <c r="C500" s="133" t="str">
        <f>IF(分析!C500&lt;&gt;"",分析!C500,"")</f>
        <v/>
      </c>
      <c r="D500" s="134" t="str">
        <f>IF(分析!D500&lt;&gt;"",分析!D500,"")</f>
        <v/>
      </c>
      <c r="E500" s="135" t="str">
        <f>IF(分析!E500&lt;&gt;"",分析!E500,"")</f>
        <v/>
      </c>
      <c r="F500" s="136" t="str">
        <f>IF(分析!F500&lt;&gt;"",分析!F500,"")</f>
        <v/>
      </c>
      <c r="G500" s="136" t="str">
        <f>IF(分析!H500&lt;&gt;"",分析!H500,"")</f>
        <v/>
      </c>
      <c r="H500" s="136" t="str">
        <f>IF(分析!I500&lt;&gt;"",分析!I500,"")</f>
        <v/>
      </c>
      <c r="I500" s="136" t="str">
        <f>IF(分析!J500&lt;&gt;"",分析!J500,"")</f>
        <v/>
      </c>
      <c r="J500" s="136" t="str">
        <f>IF(分析!AB500&lt;&gt;"",分析!AB500,"")</f>
        <v/>
      </c>
      <c r="K500" s="136" t="str">
        <f>IF(分析!AC500&lt;&gt;"",分析!AC500,"")</f>
        <v/>
      </c>
      <c r="L500" s="136" t="str">
        <f>IF(分析!K500&lt;&gt;"",分析!K500,"")</f>
        <v/>
      </c>
      <c r="M500" s="131" t="str">
        <f>IF(分析!P500&lt;&gt;"",分析!P500,"")</f>
        <v/>
      </c>
      <c r="N500" s="137" t="str">
        <f>IF(分析!O500&lt;&gt;"",分析!O500,"")</f>
        <v/>
      </c>
      <c r="O500" s="138" t="str">
        <f>IF(分析!X500&lt;&gt;"",分析!X500,"")</f>
        <v/>
      </c>
      <c r="P500" s="139" t="str">
        <f>IF(分析!L500&lt;&gt;"",分析!L500,"")</f>
        <v/>
      </c>
      <c r="Q500" s="136" t="str">
        <f>IF(分析!S500&lt;&gt;"",分析!S500,"")</f>
        <v/>
      </c>
      <c r="R500" s="136" t="str">
        <f>IF(分析!R500&lt;&gt;"",分析!R500,"")</f>
        <v/>
      </c>
      <c r="S500" s="131" t="str">
        <f>IF(分析!AA500&lt;&gt;"",分析!AA500,"")</f>
        <v/>
      </c>
      <c r="T500" s="140" t="str">
        <f>IF(分析!Z500&lt;&gt;"",分析!Z500,"")</f>
        <v/>
      </c>
      <c r="U500" s="131" t="str">
        <f>IF(分析!V500&lt;&gt;"",分析!V500,"")</f>
        <v/>
      </c>
      <c r="V500" s="141" t="str">
        <f>IF(分析!W500&lt;&gt;"",分析!W500,"")</f>
        <v/>
      </c>
      <c r="W500" s="142" t="str">
        <f>IF(分析!AD500&lt;&gt;"",分析!AD500,"")</f>
        <v/>
      </c>
      <c r="X500" s="143" t="str">
        <f>IF(分析!AE500&lt;&gt;"",分析!AE500,"")</f>
        <v/>
      </c>
      <c r="Y500" s="144" t="str">
        <f>IF(分析!T500&lt;&gt;"",分析!T500,"")</f>
        <v/>
      </c>
      <c r="Z500" s="145" t="str">
        <f>IF(分析!Y500&lt;&gt;"",分析!Y500,"")</f>
        <v/>
      </c>
    </row>
    <row r="501" spans="1:26" ht="21.9" customHeight="1">
      <c r="A501" s="146" t="str">
        <f>IF(分析!C501&lt;&gt;"",ROW()-2,"")</f>
        <v/>
      </c>
      <c r="B501" s="147" t="str">
        <f>IF(分析!C501&lt;&gt;"",HYPERLINK("https://kabutan.jp/stock/?code="&amp;分析!C501,"株探"),"")</f>
        <v/>
      </c>
      <c r="C501" s="148" t="str">
        <f>IF(分析!C501&lt;&gt;"",分析!C501,"")</f>
        <v/>
      </c>
      <c r="D501" s="149" t="str">
        <f>IF(分析!D501&lt;&gt;"",分析!D501,"")</f>
        <v/>
      </c>
      <c r="E501" s="150" t="str">
        <f>IF(分析!E501&lt;&gt;"",分析!E501,"")</f>
        <v/>
      </c>
      <c r="F501" s="151" t="str">
        <f>IF(分析!F501&lt;&gt;"",分析!F501,"")</f>
        <v/>
      </c>
      <c r="G501" s="151" t="str">
        <f>IF(分析!H501&lt;&gt;"",分析!H501,"")</f>
        <v/>
      </c>
      <c r="H501" s="151" t="str">
        <f>IF(分析!I501&lt;&gt;"",分析!I501,"")</f>
        <v/>
      </c>
      <c r="I501" s="151" t="str">
        <f>IF(分析!J501&lt;&gt;"",分析!J501,"")</f>
        <v/>
      </c>
      <c r="J501" s="151" t="str">
        <f>IF(分析!AB501&lt;&gt;"",分析!AB501,"")</f>
        <v/>
      </c>
      <c r="K501" s="151" t="str">
        <f>IF(分析!AC501&lt;&gt;"",分析!AC501,"")</f>
        <v/>
      </c>
      <c r="L501" s="151" t="str">
        <f>IF(分析!K501&lt;&gt;"",分析!K501,"")</f>
        <v/>
      </c>
      <c r="M501" s="146" t="str">
        <f>IF(分析!P501&lt;&gt;"",分析!P501,"")</f>
        <v/>
      </c>
      <c r="N501" s="152" t="str">
        <f>IF(分析!O501&lt;&gt;"",分析!O501,"")</f>
        <v/>
      </c>
      <c r="O501" s="153" t="str">
        <f>IF(分析!X501&lt;&gt;"",分析!X501,"")</f>
        <v/>
      </c>
      <c r="P501" s="154" t="str">
        <f>IF(分析!L501&lt;&gt;"",分析!L501,"")</f>
        <v/>
      </c>
      <c r="Q501" s="151" t="str">
        <f>IF(分析!S501&lt;&gt;"",分析!S501,"")</f>
        <v/>
      </c>
      <c r="R501" s="151" t="str">
        <f>IF(分析!R501&lt;&gt;"",分析!R501,"")</f>
        <v/>
      </c>
      <c r="S501" s="146" t="str">
        <f>IF(分析!AA501&lt;&gt;"",分析!AA501,"")</f>
        <v/>
      </c>
      <c r="T501" s="155" t="str">
        <f>IF(分析!Z501&lt;&gt;"",分析!Z501,"")</f>
        <v/>
      </c>
      <c r="U501" s="146" t="str">
        <f>IF(分析!V501&lt;&gt;"",分析!V501,"")</f>
        <v/>
      </c>
      <c r="V501" s="156" t="str">
        <f>IF(分析!W501&lt;&gt;"",分析!W501,"")</f>
        <v/>
      </c>
      <c r="W501" s="157" t="str">
        <f>IF(分析!AD501&lt;&gt;"",分析!AD501,"")</f>
        <v/>
      </c>
      <c r="X501" s="158" t="str">
        <f>IF(分析!AE501&lt;&gt;"",分析!AE501,"")</f>
        <v/>
      </c>
      <c r="Y501" s="159" t="str">
        <f>IF(分析!T501&lt;&gt;"",分析!T501,"")</f>
        <v/>
      </c>
      <c r="Z501" s="145" t="str">
        <f>IF(分析!Y501&lt;&gt;"",分析!Y501,"")</f>
        <v/>
      </c>
    </row>
    <row r="502" spans="1:26" ht="21.9" customHeight="1">
      <c r="A502" s="131" t="str">
        <f>IF(分析!C502&lt;&gt;"",ROW()-2,"")</f>
        <v/>
      </c>
      <c r="B502" s="132" t="str">
        <f>IF(分析!C502&lt;&gt;"",HYPERLINK("https://kabutan.jp/stock/?code="&amp;分析!C502,"株探"),"")</f>
        <v/>
      </c>
      <c r="C502" s="133" t="str">
        <f>IF(分析!C502&lt;&gt;"",分析!C502,"")</f>
        <v/>
      </c>
      <c r="D502" s="134" t="str">
        <f>IF(分析!D502&lt;&gt;"",分析!D502,"")</f>
        <v/>
      </c>
      <c r="E502" s="135" t="str">
        <f>IF(分析!E502&lt;&gt;"",分析!E502,"")</f>
        <v/>
      </c>
      <c r="F502" s="136" t="str">
        <f>IF(分析!F502&lt;&gt;"",分析!F502,"")</f>
        <v/>
      </c>
      <c r="G502" s="136" t="str">
        <f>IF(分析!H502&lt;&gt;"",分析!H502,"")</f>
        <v/>
      </c>
      <c r="H502" s="136" t="str">
        <f>IF(分析!I502&lt;&gt;"",分析!I502,"")</f>
        <v/>
      </c>
      <c r="I502" s="136" t="str">
        <f>IF(分析!J502&lt;&gt;"",分析!J502,"")</f>
        <v/>
      </c>
      <c r="J502" s="136" t="str">
        <f>IF(分析!AB502&lt;&gt;"",分析!AB502,"")</f>
        <v/>
      </c>
      <c r="K502" s="136" t="str">
        <f>IF(分析!AC502&lt;&gt;"",分析!AC502,"")</f>
        <v/>
      </c>
      <c r="L502" s="136" t="str">
        <f>IF(分析!K502&lt;&gt;"",分析!K502,"")</f>
        <v/>
      </c>
      <c r="M502" s="131" t="str">
        <f>IF(分析!P502&lt;&gt;"",分析!P502,"")</f>
        <v/>
      </c>
      <c r="N502" s="137" t="str">
        <f>IF(分析!O502&lt;&gt;"",分析!O502,"")</f>
        <v/>
      </c>
      <c r="O502" s="138" t="str">
        <f>IF(分析!X502&lt;&gt;"",分析!X502,"")</f>
        <v/>
      </c>
      <c r="P502" s="139" t="str">
        <f>IF(分析!L502&lt;&gt;"",分析!L502,"")</f>
        <v/>
      </c>
      <c r="Q502" s="136" t="str">
        <f>IF(分析!S502&lt;&gt;"",分析!S502,"")</f>
        <v/>
      </c>
      <c r="R502" s="136" t="str">
        <f>IF(分析!R502&lt;&gt;"",分析!R502,"")</f>
        <v/>
      </c>
      <c r="S502" s="131" t="str">
        <f>IF(分析!AA502&lt;&gt;"",分析!AA502,"")</f>
        <v/>
      </c>
      <c r="T502" s="140" t="str">
        <f>IF(分析!Z502&lt;&gt;"",分析!Z502,"")</f>
        <v/>
      </c>
      <c r="U502" s="131" t="str">
        <f>IF(分析!V502&lt;&gt;"",分析!V502,"")</f>
        <v/>
      </c>
      <c r="V502" s="141" t="str">
        <f>IF(分析!W502&lt;&gt;"",分析!W502,"")</f>
        <v/>
      </c>
      <c r="W502" s="142" t="str">
        <f>IF(分析!AD502&lt;&gt;"",分析!AD502,"")</f>
        <v/>
      </c>
      <c r="X502" s="143" t="str">
        <f>IF(分析!AE502&lt;&gt;"",分析!AE502,"")</f>
        <v/>
      </c>
      <c r="Y502" s="144" t="str">
        <f>IF(分析!T502&lt;&gt;"",分析!T502,"")</f>
        <v/>
      </c>
      <c r="Z502" s="145" t="str">
        <f>IF(分析!Y502&lt;&gt;"",分析!Y502,"")</f>
        <v/>
      </c>
    </row>
  </sheetData>
  <autoFilter ref="A2:Z502" xr:uid="{00000000-0009-0000-0000-000002000000}">
    <sortState xmlns:xlrd2="http://schemas.microsoft.com/office/spreadsheetml/2017/richdata2" ref="A3:Z502">
      <sortCondition descending="1" ref="Z2:Z502"/>
    </sortState>
  </autoFilter>
  <mergeCells count="1">
    <mergeCell ref="A1:Z1"/>
  </mergeCells>
  <phoneticPr fontId="16"/>
  <conditionalFormatting sqref="Z3:Z502">
    <cfRule type="containsText" dxfId="37" priority="1" stopIfTrue="1" operator="containsText" text="★強い買い">
      <formula>NOT(ISERROR(SEARCH("★強い買い",Z3)))</formula>
    </cfRule>
    <cfRule type="containsText" dxfId="36" priority="2" stopIfTrue="1" operator="containsText" text="★逆張り候補">
      <formula>NOT(ISERROR(SEARCH("★逆張り候補",Z3)))</formula>
    </cfRule>
    <cfRule type="containsText" dxfId="35" priority="3" stopIfTrue="1" operator="containsText" text="◎押し目買い">
      <formula>NOT(ISERROR(SEARCH("◎押し目買い",Z3)))</formula>
    </cfRule>
    <cfRule type="containsText" dxfId="34" priority="4" stopIfTrue="1" operator="containsText" text="◎反発確認">
      <formula>NOT(ISERROR(SEARCH("◎反発確認",Z3)))</formula>
    </cfRule>
    <cfRule type="containsText" dxfId="33" priority="5" stopIfTrue="1" operator="containsText" text="○買い候補">
      <formula>NOT(ISERROR(SEARCH("○買い候補",Z3)))</formula>
    </cfRule>
    <cfRule type="containsText" dxfId="32" priority="6" stopIfTrue="1" operator="containsText" text="○逆張り候補">
      <formula>NOT(ISERROR(SEARCH("○逆張り候補",Z3)))</formula>
    </cfRule>
    <cfRule type="containsText" dxfId="31" priority="7" stopIfTrue="1" operator="containsText" text="△要注意">
      <formula>NOT(ISERROR(SEARCH("△要注意",Z3)))</formula>
    </cfRule>
    <cfRule type="containsText" dxfId="30" priority="8" stopIfTrue="1" operator="containsText" text="△">
      <formula>NOT(ISERROR(SEARCH("△",Z3)))</formula>
    </cfRule>
    <cfRule type="containsText" dxfId="29" priority="9" stopIfTrue="1" operator="containsText" text="様子見">
      <formula>NOT(ISERROR(SEARCH("様子見",Z3)))</formula>
    </cfRule>
    <cfRule type="containsText" dxfId="28" priority="10" stopIfTrue="1" operator="containsText" text="見送り">
      <formula>NOT(ISERROR(SEARCH("見送り",Z3)))</formula>
    </cfRule>
  </conditionalFormatting>
  <conditionalFormatting sqref="Y3:Y502">
    <cfRule type="dataBar" priority="11">
      <dataBar>
        <cfvo type="num" val="0"/>
        <cfvo type="num" val="21"/>
        <color rgb="FFFF8C00"/>
      </dataBar>
    </cfRule>
  </conditionalFormatting>
  <conditionalFormatting sqref="T3:T502">
    <cfRule type="cellIs" dxfId="27" priority="12" stopIfTrue="1" operator="greaterThan">
      <formula>0</formula>
    </cfRule>
    <cfRule type="cellIs" dxfId="26" priority="13" stopIfTrue="1" operator="lessThan">
      <formula>0</formula>
    </cfRule>
  </conditionalFormatting>
  <conditionalFormatting sqref="S3:S502">
    <cfRule type="containsText" dxfId="25" priority="14" stopIfTrue="1" operator="containsText" text="上昇▲">
      <formula>NOT(ISERROR(SEARCH("上昇▲",S3)))</formula>
    </cfRule>
    <cfRule type="containsText" dxfId="24" priority="15" stopIfTrue="1" operator="containsText" text="下落▼">
      <formula>NOT(ISERROR(SEARCH("下落▼",S3)))</formula>
    </cfRule>
  </conditionalFormatting>
  <conditionalFormatting sqref="U3:U502">
    <cfRule type="containsText" dxfId="23" priority="16" stopIfTrue="1" operator="containsText" text="年初来高値更新">
      <formula>NOT(ISERROR(SEARCH("年初来高値更新",U3)))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B0F0"/>
  </sheetPr>
  <dimension ref="A1:AL206"/>
  <sheetViews>
    <sheetView zoomScale="161" zoomScaleNormal="161" workbookViewId="0">
      <pane xSplit="4" ySplit="2" topLeftCell="S135" activePane="bottomRight" state="frozen"/>
      <selection activeCell="C162" sqref="C162"/>
      <selection pane="topRight" activeCell="C162" sqref="C162"/>
      <selection pane="bottomLeft" activeCell="C162" sqref="C162"/>
      <selection pane="bottomRight" activeCell="A81" sqref="A81:XFD81"/>
    </sheetView>
  </sheetViews>
  <sheetFormatPr defaultColWidth="9" defaultRowHeight="21"/>
  <cols>
    <col min="1" max="1" width="7.6640625" style="1" customWidth="1"/>
    <col min="2" max="2" width="10.6640625" style="1" customWidth="1"/>
    <col min="3" max="3" width="7.6640625" style="160" customWidth="1"/>
    <col min="4" max="4" width="16.6640625" style="161" customWidth="1"/>
    <col min="5" max="12" width="9.6640625" style="1" customWidth="1"/>
    <col min="13" max="14" width="11.6640625" style="1" customWidth="1"/>
    <col min="15" max="15" width="9.6640625" style="1" customWidth="1"/>
    <col min="16" max="17" width="11.6640625" style="1" customWidth="1"/>
    <col min="18" max="19" width="9.6640625" style="1" customWidth="1"/>
    <col min="20" max="20" width="7.6640625" style="1" customWidth="1"/>
    <col min="21" max="22" width="13.6640625" style="1" customWidth="1"/>
    <col min="23" max="24" width="7.6640625" style="1" customWidth="1"/>
    <col min="25" max="25" width="15.6640625" style="1" bestFit="1" customWidth="1"/>
    <col min="26" max="26" width="8.6640625" style="1" customWidth="1"/>
    <col min="27" max="27" width="10.6640625" style="1" customWidth="1"/>
    <col min="28" max="31" width="12.6640625" style="1" customWidth="1"/>
    <col min="32" max="32" width="9" style="1" customWidth="1"/>
    <col min="33" max="16384" width="9" style="1"/>
  </cols>
  <sheetData>
    <row r="1" spans="1:38" ht="36" customHeight="1">
      <c r="A1" s="534" t="s">
        <v>553</v>
      </c>
      <c r="B1" s="526"/>
      <c r="C1" s="526"/>
      <c r="D1" s="526"/>
      <c r="E1" s="526"/>
      <c r="F1" s="526"/>
      <c r="G1" s="526"/>
      <c r="H1" s="526"/>
      <c r="I1" s="526"/>
      <c r="J1" s="526"/>
      <c r="K1" s="526"/>
      <c r="L1" s="526"/>
      <c r="M1" s="526"/>
      <c r="N1" s="526"/>
      <c r="O1" s="526"/>
      <c r="P1" s="526"/>
      <c r="Q1" s="526"/>
      <c r="R1" s="526"/>
      <c r="S1" s="526"/>
      <c r="T1" s="526"/>
      <c r="U1" s="526"/>
      <c r="V1" s="526"/>
      <c r="W1" s="526"/>
      <c r="X1" s="526"/>
      <c r="Y1" s="526"/>
      <c r="Z1" s="526"/>
      <c r="AA1" s="526"/>
      <c r="AB1" s="162"/>
      <c r="AC1" s="162"/>
      <c r="AD1" s="162"/>
      <c r="AE1" s="162"/>
      <c r="AK1" s="370" t="s">
        <v>554</v>
      </c>
      <c r="AL1" s="370" t="s">
        <v>555</v>
      </c>
    </row>
    <row r="2" spans="1:38" ht="32.1" customHeight="1" thickBot="1">
      <c r="A2" s="163" t="s">
        <v>556</v>
      </c>
      <c r="B2" s="164" t="s">
        <v>522</v>
      </c>
      <c r="C2" s="164" t="s">
        <v>523</v>
      </c>
      <c r="D2" s="164" t="s">
        <v>524</v>
      </c>
      <c r="E2" s="164" t="s">
        <v>525</v>
      </c>
      <c r="F2" s="164" t="s">
        <v>543</v>
      </c>
      <c r="G2" s="164" t="s">
        <v>557</v>
      </c>
      <c r="H2" s="164" t="s">
        <v>526</v>
      </c>
      <c r="I2" s="164" t="s">
        <v>527</v>
      </c>
      <c r="J2" s="164" t="s">
        <v>528</v>
      </c>
      <c r="K2" s="164" t="s">
        <v>546</v>
      </c>
      <c r="L2" s="164" t="s">
        <v>558</v>
      </c>
      <c r="M2" s="164" t="s">
        <v>559</v>
      </c>
      <c r="N2" s="164" t="s">
        <v>560</v>
      </c>
      <c r="O2" s="164" t="s">
        <v>532</v>
      </c>
      <c r="P2" s="164" t="s">
        <v>547</v>
      </c>
      <c r="Q2" s="164" t="s">
        <v>561</v>
      </c>
      <c r="R2" s="164" t="s">
        <v>535</v>
      </c>
      <c r="S2" s="164" t="s">
        <v>562</v>
      </c>
      <c r="T2" s="164" t="s">
        <v>551</v>
      </c>
      <c r="U2" s="164" t="s">
        <v>563</v>
      </c>
      <c r="V2" s="164" t="s">
        <v>534</v>
      </c>
      <c r="W2" s="164" t="s">
        <v>529</v>
      </c>
      <c r="X2" s="164" t="s">
        <v>533</v>
      </c>
      <c r="Y2" s="164" t="s">
        <v>552</v>
      </c>
      <c r="Z2" s="164" t="s">
        <v>564</v>
      </c>
      <c r="AA2" s="165" t="s">
        <v>549</v>
      </c>
      <c r="AB2" s="403" t="s">
        <v>544</v>
      </c>
      <c r="AC2" s="403" t="s">
        <v>545</v>
      </c>
      <c r="AD2" s="403" t="s">
        <v>530</v>
      </c>
      <c r="AE2" s="403" t="s">
        <v>531</v>
      </c>
      <c r="AF2" s="365" t="s">
        <v>565</v>
      </c>
      <c r="AG2" s="365" t="s">
        <v>566</v>
      </c>
      <c r="AH2" s="366" t="s">
        <v>567</v>
      </c>
      <c r="AI2" s="366" t="s">
        <v>568</v>
      </c>
      <c r="AK2" s="371">
        <f>COUNT(終値!$E$5:$CZ$5)</f>
        <v>43</v>
      </c>
      <c r="AL2" s="371">
        <f>MIN(25,AK2)</f>
        <v>25</v>
      </c>
    </row>
    <row r="3" spans="1:38" s="177" customFormat="1" ht="18" customHeight="1">
      <c r="A3" s="166" t="str">
        <f>IF(銘柄管理!B5&lt;&gt;"",HYPERLINK("https://kabutan.jp/stock/?code="&amp;銘柄管理!B5,"株探"),"")</f>
        <v>株探</v>
      </c>
      <c r="B3" s="167"/>
      <c r="C3" s="168" t="str">
        <f>IF(銘柄管理!B5="","",銘柄管理!B5)</f>
        <v>TOPX</v>
      </c>
      <c r="D3" s="106" t="str">
        <f>IF(銘柄管理!C5="","",銘柄管理!C5)</f>
        <v/>
      </c>
      <c r="E3" s="169" t="str">
        <f>IF(C3&lt;&gt;"",_xll.RssMarket(C3,"現在値"),"")</f>
        <v/>
      </c>
      <c r="F3" s="169" t="str">
        <f>IF(C3&lt;&gt;"",_xll.RssMarket(C3,"始値"),"")</f>
        <v/>
      </c>
      <c r="G3" s="169" t="str">
        <f>IF(C3&lt;&gt;"",終値!C5,"")</f>
        <v/>
      </c>
      <c r="H3" s="169" t="str">
        <f>IF(C3&lt;&gt;"",_xll.RssMarket(C3,"高値"),"")</f>
        <v/>
      </c>
      <c r="I3" s="169" t="str">
        <f>IF(C3&lt;&gt;"",_xll.RssMarket(C3,"安値"),"")</f>
        <v/>
      </c>
      <c r="J3" s="169" t="str">
        <f>IF(C3&lt;&gt;"",_xll.RssMarket(C3,"出来高"),"")</f>
        <v/>
      </c>
      <c r="K3" s="169" t="str">
        <f>IF(C3&lt;&gt;"",_xll.RssMarket(C3,"年初来高値"),"")</f>
        <v/>
      </c>
      <c r="L3" s="170" t="str">
        <f t="shared" ref="L3:L66" si="0">IF(AND(E3&lt;&gt;"",K3&lt;&gt;"",K3&lt;&gt;0),(E3-K3)/K3*100,"")</f>
        <v/>
      </c>
      <c r="M3" s="169">
        <f>IF(C3&lt;&gt;"",IFERROR(AVERAGE(出来高!E5:H5),""),"")</f>
        <v>266106.75</v>
      </c>
      <c r="N3" s="169">
        <f>IF(C3&lt;&gt;"",IFERROR(AVERAGE(出来高!E5:AB5),""),"")</f>
        <v>266986.16666666669</v>
      </c>
      <c r="O3" s="171" t="str">
        <f t="shared" ref="O3:O66" si="1">IF(AND(J3&lt;&gt;"",M3&lt;&gt;"",M3&lt;&gt;0),J3/M3,"")</f>
        <v/>
      </c>
      <c r="P3" s="166" t="str">
        <f t="shared" ref="P3:P66" si="2">IF(O3="","",IF(O3&gt;=2,"急増↑↑",IF(O3&gt;=1.5,"増加↑",IF(O3&gt;=1,"普通→","減少↓"))))</f>
        <v/>
      </c>
      <c r="Q3" s="166" t="str">
        <f t="shared" ref="Q3:Q66" si="3">IF(E3="","",IF(AND(E3&gt;G3,O3&gt;=1.5),"買い▲",IF(E3&lt;G3,"様子見▼","中立→")))</f>
        <v/>
      </c>
      <c r="R3" s="169" t="str">
        <f>IF(E3&lt;&gt;"",ROUND(E3*1.05,0),"")</f>
        <v/>
      </c>
      <c r="S3" s="169" t="str">
        <f>IF(E3&lt;&gt;"",ROUND(E3*0.95,0),"")</f>
        <v/>
      </c>
      <c r="T3" s="166">
        <f t="shared" ref="T3:T66" si="4">IF(C3="","",IFERROR(IF(O3&gt;=2,3,IF(O3&gt;=1.5,2,IF(O3&gt;=1,1,0)))+IF(E3&gt;G3,1,0)+IF(L3&gt;=-5,1,0)+IF(Q3="買い▲",2,0)+IF(W3&lt;=30,3,IF(W3&lt;=40,2,IF(AND(W3&gt;=40,W3&lt;=60),1,0)))+IF(X3&gt;0,1,0)+IF(V3="年初来高値更新●",3,IF(V3="高値圏",2,0))+IF(AD3="パーフェクト▲",3,IF(AD3="上昇トレンド▲",2,0))+IF(AE3="25日線押し目●",2,IF(AE3="5日線押し目○",1,0))+IF(P3="急増↑↑",2,IF(P3="増加↑",1,0))+N(AI3),0))</f>
        <v>0</v>
      </c>
      <c r="U3" s="166"/>
      <c r="V3" s="166" t="str">
        <f t="shared" ref="V3:V66" si="5">IF(AND(H3&lt;&gt;"",K3&lt;&gt;""),IF(H3&gt;=K3,"年初来高値更新●",IF(H3&gt;=K3*0.95,"高値圏","通常")),"")</f>
        <v/>
      </c>
      <c r="W3" s="172"/>
      <c r="X3" s="173"/>
      <c r="Y3" s="1" t="e">
        <f>IF(T3="","",IF(銘柄管理!$F$5="下落▼",IF(AND(AD3="パーフェクト▲",OR(AE3="25日線押し目●",AE3="5日線押し目○")),"★逆張り候補",IF(AND(AD3="上昇トレンド▲",OR(AE3="25日線押し目●",AE3="5日線押し目○")),"○逆張り候補",IF(W3&lt;=30,IF(Z3&gt;0,"◎反発確認",IF(Z3&lt;-5,"△要注意・様子見","△売られ過ぎ注目")),"相場下落・見送り"))),IF(AND(T3&gt;=12,AD3="パーフェクト▲"),"★強い買い",IF(AND(T3&gt;=12,AD3="上昇トレンド▲"),"★強い買い",IF(AND(T3&gt;=8,OR(AE3="25日線押し目●",AE3="5日線押し目○")),"◎押し目買い",IF(T3&gt;=10,"○買い候補",IF(T3&gt;=6,"△注目",IF(T3&gt;=3,"様子見","見送り"))))))))</f>
        <v>#VALUE!</v>
      </c>
      <c r="Z3" s="174"/>
      <c r="AA3" s="166"/>
      <c r="AB3" s="404">
        <f>IF(C3="","",IFERROR(((終値!E5*0.333)+(終値!F5*0.222)+(終値!G5*0.148)+(終値!H5*0.099)+(終値!I5*0.066)+(終値!J5*0.044)+(終値!K5*0.029)+(終値!L5*0.019)+(終値!M5*0.013)+(終値!N5*0.009))/(0.333+0.222+0.148+0.099+0.066+0.044+0.029+0.019+0.013+0.009),""))</f>
        <v>4005.8288900203661</v>
      </c>
      <c r="AC3" s="404">
        <f>IF(C3="","",IFERROR(SUMPRODUCT((終値!E5:AC5),({0.077,0.071,0.065,0.06,0.055,0.051,0.047,0.043,0.039,0.036,0.033,0.031,0.028,0.026,0.024,0.022,0.02,0.018,0.017,0.016,0.014,0.013,0.012,0.011,0.01}))/SUM({0.077,0.071,0.065,0.06,0.055,0.051,0.047,0.043,0.039,0.036,0.033,0.031,0.028,0.026,0.024,0.022,0.02,0.018,0.017,0.016,0.014,0.013,0.012,0.011,0.01}),""))</f>
        <v>4017.2885458879605</v>
      </c>
      <c r="AD3" s="405" t="str">
        <f t="shared" ref="AD3:AD34" si="6">IF(OR(C3="",AB3="",AC3=""),"",IF(AND(E3&gt;AB3,AB3&gt;AC3),"パーフェクト▲",IF(E3&gt;AC3,"上昇トレンド▲",IF(AND(E3&lt;AB3,AB3&lt;AC3),"下降トレンド▼","もみ合い→"))))</f>
        <v>上昇トレンド▲</v>
      </c>
      <c r="AE3" s="405" t="e">
        <f t="shared" ref="AE3:AE34" si="7">IF(OR(C3="",AB3="",AC3=""),"",IF(AND(ABS(E3-AC3)/AC3&lt;=0.02,E3&gt;AC3),"25日押し目★",IF(AND(ABS(E3-AB3)/AB3&lt;=0.01,E3&gt;AB3),"5日押し目○","なし")))</f>
        <v>#VALUE!</v>
      </c>
      <c r="AF3" s="368">
        <f t="array" ref="AF3">IF(C3="","",IFERROR((INDEX(終値!$E:$E,MATCH(TEXT(C3,"0"),終値!$A:$A,0))-INDEX(終値!$E:$CZ,MATCH(TEXT(C3,"0"),終値!$A:$A,0),$AL$2))/INDEX(終値!$E:$CZ,MATCH(TEXT(C3,"0"),終値!$A:$A,0),$AL$2)*100,""))</f>
        <v>2.31989243802786</v>
      </c>
      <c r="AG3" s="368">
        <f t="array" ref="AG3">IFERROR((終値!$E$5-INDEX(終値!$E$5:$CZ$5,1,$AL$2))/INDEX(終値!$E$5:$CZ$5,1,$AL$2)*100,"")</f>
        <v>2.31989243802786</v>
      </c>
      <c r="AH3" s="369">
        <f t="shared" ref="AH3:AH66" si="8">IF(OR(AF3="",AG3=""),"",AF3-AG3)</f>
        <v>0</v>
      </c>
      <c r="AI3" s="367">
        <f t="shared" ref="AI3:AI66" si="9">IF(AH3="","",IF(AH3&gt;5,3,IF(AH3&gt;0,1,IF(AH3&gt;-3,-1,-2))))</f>
        <v>-1</v>
      </c>
    </row>
    <row r="4" spans="1:38" s="177" customFormat="1" ht="18" customHeight="1">
      <c r="A4" s="166" t="str">
        <f>IF(銘柄管理!B189&lt;&gt;"",HYPERLINK("https://kabutan.jp/stock/?code="&amp;銘柄管理!B189,"株探"),"")</f>
        <v>株探</v>
      </c>
      <c r="B4" s="167"/>
      <c r="C4" s="168" t="str">
        <f>IF(銘柄管理!B189="","",銘柄管理!B189)</f>
        <v>9064</v>
      </c>
      <c r="D4" s="106" t="str">
        <f>IF(銘柄管理!C189="","",銘柄管理!C189)</f>
        <v/>
      </c>
      <c r="E4" s="169" t="str">
        <f>IF(C4&lt;&gt;"",_xll.RssMarket(C4,"現在値"),"")</f>
        <v/>
      </c>
      <c r="F4" s="169" t="str">
        <f>IF(C4&lt;&gt;"",_xll.RssMarket(C4,"始値"),"")</f>
        <v/>
      </c>
      <c r="G4" s="168">
        <f>IF(C4&lt;&gt;"",終値!F189,"")</f>
        <v>1970.5</v>
      </c>
      <c r="H4" s="169" t="str">
        <f>IF(C4&lt;&gt;"",_xll.RssMarket(C4,"高値"),"")</f>
        <v/>
      </c>
      <c r="I4" s="169" t="str">
        <f>IF(C4&lt;&gt;"",_xll.RssMarket(C4,"安値"),"")</f>
        <v/>
      </c>
      <c r="J4" s="169" t="str">
        <f>IF(C4&lt;&gt;"",_xll.RssMarket(C4,"出来高"),"")</f>
        <v/>
      </c>
      <c r="K4" s="169" t="str">
        <f>IF(C4&lt;&gt;"",_xll.RssMarket(C4,"年初来高値"),"")</f>
        <v/>
      </c>
      <c r="L4" s="170" t="str">
        <f t="shared" si="0"/>
        <v/>
      </c>
      <c r="M4" s="169">
        <f>IF(C4&lt;&gt;"",IFERROR(AVERAGE(出来高!E189:I189),""),"")</f>
        <v>1018300</v>
      </c>
      <c r="N4" s="169">
        <f>IF(C4&lt;&gt;"",IFERROR(AVERAGE(出来高!E189:AC189),""),"")</f>
        <v>1221220</v>
      </c>
      <c r="O4" s="171" t="str">
        <f t="shared" si="1"/>
        <v/>
      </c>
      <c r="P4" s="166" t="str">
        <f t="shared" si="2"/>
        <v/>
      </c>
      <c r="Q4" s="166" t="str">
        <f t="shared" si="3"/>
        <v/>
      </c>
      <c r="R4" s="169" t="str">
        <f t="shared" ref="R4:R67" si="10">IF(E4&lt;&gt;"",ROUND(E4*1.08,0),"")</f>
        <v/>
      </c>
      <c r="S4" s="169" t="str">
        <f t="shared" ref="S4:S67" si="11">IF(E4&lt;&gt;"",ROUND(E4*0.96,0),"")</f>
        <v/>
      </c>
      <c r="T4" s="166">
        <f t="shared" si="4"/>
        <v>0</v>
      </c>
      <c r="U4" s="166" t="str">
        <f t="shared" ref="U4:U67" si="12">IF(T4="","",IF(AND(T4&gt;=3,O4&gt;=1.5),"有効",IF(T4&gt;=3,"要確認","除外")))</f>
        <v>除外</v>
      </c>
      <c r="V4" s="166" t="str">
        <f t="shared" si="5"/>
        <v/>
      </c>
      <c r="W4" s="172">
        <f t="array" ref="W4">IF(C4&lt;&gt;"",IFERROR(100-100/(1+SUMPRODUCT((終値!F189:R189&gt;終値!G189:S189)*( 終値!F189:R189-終値!G189:S189))/SUMPRODUCT((終値!F189:R189&lt;終値!G189:S189)*(終値!G189:S189-終値!F189:R189))),50),"")</f>
        <v>75.27910685805422</v>
      </c>
      <c r="X4" s="173">
        <f>IF(C4&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26.492794709420423</v>
      </c>
      <c r="Y4" s="1" t="e">
        <f>IF(T4="","",IF(銘柄管理!$F$5="下落▼",IF(AND(AD4="パーフェクト▲",OR(AE4="25日線押し目●",AE4="5日線押し目○")),"★逆張り候補",IF(AND(AD4="上昇トレンド▲",OR(AE4="25日線押し目●",AE4="5日線押し目○")),"○逆張り候補",IF(W4&lt;=30,IF(Z4&gt;0,"◎反発確認",IF(Z4&lt;-5,"△要注意・様子見","△売られ過ぎ注目")),"相場下落・見送り"))),IF(AND(T4&gt;=12,AD4="パーフェクト▲"),"★強い買い",IF(AND(T4&gt;=12,AD4="上昇トレンド▲"),"★強い買い",IF(AND(T4&gt;=8,OR(AE4="25日線押し目●",AE4="5日線押し目○")),"◎押し目買い",IF(T4&gt;=10,"○買い候補",IF(T4&gt;=6,"△注目",IF(T4&gt;=3,"様子見","見送り"))))))))</f>
        <v>#VALUE!</v>
      </c>
      <c r="Z4" s="174" t="str">
        <f t="shared" ref="Z4:Z67" si="13">IF(AND(E4&lt;&gt;"",G4&lt;&gt;"",G4&lt;&gt;0),(E4-G4)/G4*100,"")</f>
        <v/>
      </c>
      <c r="AA4" s="166" t="str">
        <f t="shared" ref="AA4:AA67" si="14">IF(OR(C4="",E4="",E4=0),"",IF(E4&gt;G4,"上昇▲",IF(E4&lt;G4,"下落▼","横ばい→")))</f>
        <v/>
      </c>
      <c r="AB4" s="406">
        <f>IF(C4="","",IFERROR(((終値!E6*0.333)+(終値!F6*0.222)+(終値!G6*0.148)+(終値!H6*0.099)+(終値!I6*0.066)+(終値!J6*0.044)+(終値!K6*0.029)+(終値!L6*0.019)+(終値!M6*0.013)+(終値!N6*0.009))/(0.333+0.222+0.148+0.099+0.066+0.044+0.029+0.019+0.013+0.009),""))</f>
        <v>50906.975560081468</v>
      </c>
      <c r="AC4" s="406">
        <f>IF(C4="","",IFERROR(SUMPRODUCT((終値!E6:AC6),({0.077,0.071,0.065,0.06,0.055,0.051,0.047,0.043,0.039,0.036,0.033,0.031,0.028,0.026,0.024,0.022,0.02,0.018,0.017,0.016,0.014,0.013,0.012,0.011,0.01}))/SUM({0.077,0.071,0.065,0.06,0.055,0.051,0.047,0.043,0.039,0.036,0.033,0.031,0.028,0.026,0.024,0.022,0.02,0.018,0.017,0.016,0.014,0.013,0.012,0.011,0.01}),""))</f>
        <v>48810.8939213349</v>
      </c>
      <c r="AD4" s="407" t="str">
        <f t="shared" si="6"/>
        <v>パーフェクト▲</v>
      </c>
      <c r="AE4" s="407" t="e">
        <f t="shared" si="7"/>
        <v>#VALUE!</v>
      </c>
      <c r="AF4" s="368">
        <f t="array" ref="AF4">IF(C4="","",IFERROR((INDEX(終値!$E:$E,MATCH(TEXT(C4,"0"),終値!$A:$A,0))-INDEX(終値!$E:$CZ,MATCH(TEXT(C4,"0"),終値!$A:$A,0),$AL$2))/INDEX(終値!$E:$CZ,MATCH(TEXT(C4,"0"),終値!$A:$A,0),$AL$2)*100,""))</f>
        <v>11.743375174337517</v>
      </c>
      <c r="AG4" s="368">
        <f t="array" ref="AG4">IFERROR((終値!$E$5-INDEX(終値!$E$5:$CZ$5,1,$AL$2))/INDEX(終値!$E$5:$CZ$5,1,$AL$2)*100,"")</f>
        <v>2.31989243802786</v>
      </c>
      <c r="AH4" s="369">
        <f t="shared" si="8"/>
        <v>9.4234827363096567</v>
      </c>
      <c r="AI4" s="367">
        <f t="shared" si="9"/>
        <v>3</v>
      </c>
    </row>
    <row r="5" spans="1:38" s="177" customFormat="1" ht="18" customHeight="1">
      <c r="A5" s="166" t="str">
        <f>IF(銘柄管理!B190&lt;&gt;"",HYPERLINK("https://kabutan.jp/stock/?code="&amp;銘柄管理!B190,"株探"),"")</f>
        <v>株探</v>
      </c>
      <c r="B5" s="167"/>
      <c r="C5" s="168" t="str">
        <f>IF(銘柄管理!B190="","",銘柄管理!B190)</f>
        <v>7181</v>
      </c>
      <c r="D5" s="106" t="str">
        <f>IF(銘柄管理!C190="","",銘柄管理!C190)</f>
        <v/>
      </c>
      <c r="E5" s="169" t="str">
        <f>IF(C5&lt;&gt;"",_xll.RssMarket(C5,"現在値"),"")</f>
        <v/>
      </c>
      <c r="F5" s="169" t="str">
        <f>IF(C5&lt;&gt;"",_xll.RssMarket(C5,"始値"),"")</f>
        <v/>
      </c>
      <c r="G5" s="168">
        <f>IF(C5&lt;&gt;"",終値!F190,"")</f>
        <v>1672.5</v>
      </c>
      <c r="H5" s="169" t="str">
        <f>IF(C5&lt;&gt;"",_xll.RssMarket(C5,"高値"),"")</f>
        <v/>
      </c>
      <c r="I5" s="169" t="str">
        <f>IF(C5&lt;&gt;"",_xll.RssMarket(C5,"安値"),"")</f>
        <v/>
      </c>
      <c r="J5" s="169" t="str">
        <f>IF(C5&lt;&gt;"",_xll.RssMarket(C5,"出来高"),"")</f>
        <v/>
      </c>
      <c r="K5" s="169" t="str">
        <f>IF(C5&lt;&gt;"",_xll.RssMarket(C5,"年初来高値"),"")</f>
        <v/>
      </c>
      <c r="L5" s="170" t="str">
        <f t="shared" si="0"/>
        <v/>
      </c>
      <c r="M5" s="169">
        <f>IF(C5&lt;&gt;"",IFERROR(AVERAGE(出来高!E190:I190),""),"")</f>
        <v>1803220</v>
      </c>
      <c r="N5" s="169">
        <f>IF(C5&lt;&gt;"",IFERROR(AVERAGE(出来高!E190:AC190),""),"")</f>
        <v>2246904</v>
      </c>
      <c r="O5" s="171" t="str">
        <f t="shared" si="1"/>
        <v/>
      </c>
      <c r="P5" s="166" t="str">
        <f t="shared" si="2"/>
        <v/>
      </c>
      <c r="Q5" s="166" t="str">
        <f t="shared" si="3"/>
        <v/>
      </c>
      <c r="R5" s="169" t="str">
        <f t="shared" si="10"/>
        <v/>
      </c>
      <c r="S5" s="169" t="str">
        <f t="shared" si="11"/>
        <v/>
      </c>
      <c r="T5" s="166">
        <f t="shared" si="4"/>
        <v>0</v>
      </c>
      <c r="U5" s="166" t="str">
        <f t="shared" si="12"/>
        <v>除外</v>
      </c>
      <c r="V5" s="166" t="str">
        <f t="shared" si="5"/>
        <v/>
      </c>
      <c r="W5" s="172">
        <f t="array" ref="W5">IF(C5&lt;&gt;"",IFERROR(100-100/(1+SUMPRODUCT((終値!F190:R190&gt;終値!G190:S190)*( 終値!F190:R190-終値!G190:S190))/SUMPRODUCT((終値!F190:R190&lt;終値!G190:S190)*(終値!G190:S190-終値!F190:R190))),50),"")</f>
        <v>83.389261744966447</v>
      </c>
      <c r="X5" s="173">
        <f>IF(C5&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20.255425113139381</v>
      </c>
      <c r="Y5" s="1" t="e">
        <f>IF(T5="","",IF(銘柄管理!$F$5="下落▼",IF(AND(AD5="パーフェクト▲",OR(AE5="25日線押し目●",AE5="5日線押し目○")),"★逆張り候補",IF(AND(AD5="上昇トレンド▲",OR(AE5="25日線押し目●",AE5="5日線押し目○")),"○逆張り候補",IF(W5&lt;=30,IF(Z5&gt;0,"◎反発確認",IF(Z5&lt;-5,"△要注意・様子見","△売られ過ぎ注目")),"相場下落・見送り"))),IF(AND(T5&gt;=12,AD5="パーフェクト▲"),"★強い買い",IF(AND(T5&gt;=12,AD5="上昇トレンド▲"),"★強い買い",IF(AND(T5&gt;=8,OR(AE5="25日線押し目●",AE5="5日線押し目○")),"◎押し目買い",IF(T5&gt;=10,"○買い候補",IF(T5&gt;=6,"△注目",IF(T5&gt;=3,"様子見","見送り"))))))))</f>
        <v>#VALUE!</v>
      </c>
      <c r="Z5" s="174" t="str">
        <f t="shared" si="13"/>
        <v/>
      </c>
      <c r="AA5" s="166" t="str">
        <f t="shared" si="14"/>
        <v/>
      </c>
      <c r="AB5" s="408">
        <f>IF(C5="","",IFERROR(((終値!E7*0.333)+(終値!F7*0.222)+(終値!G7*0.148)+(終値!H7*0.099)+(終値!I7*0.066)+(終値!J7*0.044)+(終値!K7*0.029)+(終値!L7*0.019)+(終値!M7*0.013)+(終値!N7*0.009))/(0.333+0.222+0.148+0.099+0.066+0.044+0.029+0.019+0.013+0.009),""))</f>
        <v>1748.7057026476575</v>
      </c>
      <c r="AC5" s="408">
        <f>IF(C5="","",IFERROR(SUMPRODUCT((終値!E7:AC7),({0.077,0.071,0.065,0.06,0.055,0.051,0.047,0.043,0.039,0.036,0.033,0.031,0.028,0.026,0.024,0.022,0.02,0.018,0.017,0.016,0.014,0.013,0.012,0.011,0.01}))/SUM({0.077,0.071,0.065,0.06,0.055,0.051,0.047,0.043,0.039,0.036,0.033,0.031,0.028,0.026,0.024,0.022,0.02,0.018,0.017,0.016,0.014,0.013,0.012,0.011,0.01}),""))</f>
        <v>1731.6817640047666</v>
      </c>
      <c r="AD5" s="409" t="str">
        <f t="shared" si="6"/>
        <v>パーフェクト▲</v>
      </c>
      <c r="AE5" s="409" t="e">
        <f t="shared" si="7"/>
        <v>#VALUE!</v>
      </c>
      <c r="AF5" s="368">
        <f t="array" ref="AF5">IF(C5="","",IFERROR((INDEX(終値!$E:$E,MATCH(TEXT(C5,"0"),終値!$A:$A,0))-INDEX(終値!$E:$CZ,MATCH(TEXT(C5,"0"),終値!$A:$A,0),$AL$2))/INDEX(終値!$E:$CZ,MATCH(TEXT(C5,"0"),終値!$A:$A,0),$AL$2)*100,""))</f>
        <v>10.687285223367697</v>
      </c>
      <c r="AG5" s="368">
        <f t="array" ref="AG5">IFERROR((終値!$E$5-INDEX(終値!$E$5:$CZ$5,1,$AL$2))/INDEX(終値!$E$5:$CZ$5,1,$AL$2)*100,"")</f>
        <v>2.31989243802786</v>
      </c>
      <c r="AH5" s="369">
        <f t="shared" si="8"/>
        <v>8.3673927853398364</v>
      </c>
      <c r="AI5" s="367">
        <f t="shared" si="9"/>
        <v>3</v>
      </c>
    </row>
    <row r="6" spans="1:38" s="177" customFormat="1" ht="18" customHeight="1">
      <c r="A6" s="166" t="str">
        <f>IF(銘柄管理!B191&lt;&gt;"",HYPERLINK("https://kabutan.jp/stock/?code="&amp;銘柄管理!B191,"株探"),"")</f>
        <v>株探</v>
      </c>
      <c r="B6" s="167"/>
      <c r="C6" s="168" t="str">
        <f>IF(銘柄管理!B191="","",銘柄管理!B191)</f>
        <v>6485</v>
      </c>
      <c r="D6" s="106" t="str">
        <f>IF(銘柄管理!C191="","",銘柄管理!C191)</f>
        <v/>
      </c>
      <c r="E6" s="169" t="str">
        <f>IF(C6&lt;&gt;"",_xll.RssMarket(C6,"現在値"),"")</f>
        <v/>
      </c>
      <c r="F6" s="169" t="str">
        <f>IF(C6&lt;&gt;"",_xll.RssMarket(C6,"始値"),"")</f>
        <v/>
      </c>
      <c r="G6" s="168">
        <f>IF(C6&lt;&gt;"",終値!F191,"")</f>
        <v>1554</v>
      </c>
      <c r="H6" s="169" t="str">
        <f>IF(C6&lt;&gt;"",_xll.RssMarket(C6,"高値"),"")</f>
        <v/>
      </c>
      <c r="I6" s="169" t="str">
        <f>IF(C6&lt;&gt;"",_xll.RssMarket(C6,"安値"),"")</f>
        <v/>
      </c>
      <c r="J6" s="169" t="str">
        <f>IF(C6&lt;&gt;"",_xll.RssMarket(C6,"出来高"),"")</f>
        <v/>
      </c>
      <c r="K6" s="169" t="str">
        <f>IF(C6&lt;&gt;"",_xll.RssMarket(C6,"年初来高値"),"")</f>
        <v/>
      </c>
      <c r="L6" s="170" t="str">
        <f t="shared" si="0"/>
        <v/>
      </c>
      <c r="M6" s="169">
        <f>IF(C6&lt;&gt;"",IFERROR(AVERAGE(出来高!E191:I191),""),"")</f>
        <v>25020</v>
      </c>
      <c r="N6" s="169">
        <f>IF(C6&lt;&gt;"",IFERROR(AVERAGE(出来高!E191:AC191),""),"")</f>
        <v>22560</v>
      </c>
      <c r="O6" s="171" t="str">
        <f t="shared" si="1"/>
        <v/>
      </c>
      <c r="P6" s="166" t="str">
        <f t="shared" si="2"/>
        <v/>
      </c>
      <c r="Q6" s="166" t="str">
        <f t="shared" si="3"/>
        <v/>
      </c>
      <c r="R6" s="169" t="str">
        <f t="shared" si="10"/>
        <v/>
      </c>
      <c r="S6" s="169" t="str">
        <f t="shared" si="11"/>
        <v/>
      </c>
      <c r="T6" s="166">
        <f t="shared" si="4"/>
        <v>0</v>
      </c>
      <c r="U6" s="166" t="str">
        <f t="shared" si="12"/>
        <v>除外</v>
      </c>
      <c r="V6" s="166" t="str">
        <f t="shared" si="5"/>
        <v/>
      </c>
      <c r="W6" s="172">
        <f t="array" ref="W6">IF(C6&lt;&gt;"",IFERROR(100-100/(1+SUMPRODUCT((終値!F191:R191&gt;終値!G191:S191)*( 終値!F191:R191-終値!G191:S191))/SUMPRODUCT((終値!F191:R191&lt;終値!G191:S191)*(終値!G191:S191-終値!F191:R191))),50),"")</f>
        <v>68.783068783068785</v>
      </c>
      <c r="X6" s="173">
        <f>IF(C6&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11.304737719860668</v>
      </c>
      <c r="Y6" s="1" t="e">
        <f>IF(T6="","",IF(銘柄管理!$F$5="下落▼",IF(AND(AD6="パーフェクト▲",OR(AE6="25日線押し目●",AE6="5日線押し目○")),"★逆張り候補",IF(AND(AD6="上昇トレンド▲",OR(AE6="25日線押し目●",AE6="5日線押し目○")),"○逆張り候補",IF(W6&lt;=30,IF(Z6&gt;0,"◎反発確認",IF(Z6&lt;-5,"△要注意・様子見","△売られ過ぎ注目")),"相場下落・見送り"))),IF(AND(T6&gt;=12,AD6="パーフェクト▲"),"★強い買い",IF(AND(T6&gt;=12,AD6="上昇トレンド▲"),"★強い買い",IF(AND(T6&gt;=8,OR(AE6="25日線押し目●",AE6="5日線押し目○")),"◎押し目買い",IF(T6&gt;=10,"○買い候補",IF(T6&gt;=6,"△注目",IF(T6&gt;=3,"様子見","見送り"))))))))</f>
        <v>#VALUE!</v>
      </c>
      <c r="Z6" s="174" t="str">
        <f t="shared" si="13"/>
        <v/>
      </c>
      <c r="AA6" s="166" t="str">
        <f t="shared" si="14"/>
        <v/>
      </c>
      <c r="AB6" s="406">
        <f>IF(C6="","",IFERROR(((終値!E8*0.333)+(終値!F8*0.222)+(終値!G8*0.148)+(終値!H8*0.099)+(終値!I8*0.066)+(終値!J8*0.044)+(終値!K8*0.029)+(終値!L8*0.019)+(終値!M8*0.013)+(終値!N8*0.009))/(0.333+0.222+0.148+0.099+0.066+0.044+0.029+0.019+0.013+0.009),""))</f>
        <v>7157.755600814663</v>
      </c>
      <c r="AC6" s="406">
        <f>IF(C6="","",IFERROR(SUMPRODUCT((終値!E8:AC8),({0.077,0.071,0.065,0.06,0.055,0.051,0.047,0.043,0.039,0.036,0.033,0.031,0.028,0.026,0.024,0.022,0.02,0.018,0.017,0.016,0.014,0.013,0.012,0.011,0.01}))/SUM({0.077,0.071,0.065,0.06,0.055,0.051,0.047,0.043,0.039,0.036,0.033,0.031,0.028,0.026,0.024,0.022,0.02,0.018,0.017,0.016,0.014,0.013,0.012,0.011,0.01}),""))</f>
        <v>7554.6376638855745</v>
      </c>
      <c r="AD6" s="407" t="str">
        <f t="shared" si="6"/>
        <v>上昇トレンド▲</v>
      </c>
      <c r="AE6" s="407" t="e">
        <f t="shared" si="7"/>
        <v>#VALUE!</v>
      </c>
      <c r="AF6" s="368">
        <f t="array" ref="AF6">IF(C6="","",IFERROR((INDEX(終値!$E:$E,MATCH(TEXT(C6,"0"),終値!$A:$A,0))-INDEX(終値!$E:$CZ,MATCH(TEXT(C6,"0"),終値!$A:$A,0),$AL$2))/INDEX(終値!$E:$CZ,MATCH(TEXT(C6,"0"),終値!$A:$A,0),$AL$2)*100,""))</f>
        <v>6.3414634146341466</v>
      </c>
      <c r="AG6" s="368">
        <f t="array" ref="AG6">IFERROR((終値!$E$5-INDEX(終値!$E$5:$CZ$5,1,$AL$2))/INDEX(終値!$E$5:$CZ$5,1,$AL$2)*100,"")</f>
        <v>2.31989243802786</v>
      </c>
      <c r="AH6" s="369">
        <f t="shared" si="8"/>
        <v>4.0215709766062862</v>
      </c>
      <c r="AI6" s="367">
        <f t="shared" si="9"/>
        <v>1</v>
      </c>
    </row>
    <row r="7" spans="1:38" s="177" customFormat="1" ht="18" customHeight="1">
      <c r="A7" s="166" t="str">
        <f>IF(銘柄管理!B142&lt;&gt;"",HYPERLINK("https://kabutan.jp/stock/?code="&amp;銘柄管理!B142,"株探"),"")</f>
        <v>株探</v>
      </c>
      <c r="B7" s="167"/>
      <c r="C7" s="168" t="str">
        <f>IF(銘柄管理!B142="","",銘柄管理!B142)</f>
        <v>4568</v>
      </c>
      <c r="D7" s="106" t="str">
        <f>IF(銘柄管理!C142="","",銘柄管理!C142)</f>
        <v/>
      </c>
      <c r="E7" s="169" t="str">
        <f>IF(C7&lt;&gt;"",_xll.RssMarket(C7,"現在値"),"")</f>
        <v/>
      </c>
      <c r="F7" s="169" t="str">
        <f>IF(C7&lt;&gt;"",_xll.RssMarket(C7,"始値"),"")</f>
        <v/>
      </c>
      <c r="G7" s="168">
        <f>IF(C7&lt;&gt;"",終値!F142,"")</f>
        <v>2677</v>
      </c>
      <c r="H7" s="169" t="str">
        <f>IF(C7&lt;&gt;"",_xll.RssMarket(C7,"高値"),"")</f>
        <v/>
      </c>
      <c r="I7" s="169" t="str">
        <f>IF(C7&lt;&gt;"",_xll.RssMarket(C7,"安値"),"")</f>
        <v/>
      </c>
      <c r="J7" s="169" t="str">
        <f>IF(C7&lt;&gt;"",_xll.RssMarket(C7,"出来高"),"")</f>
        <v/>
      </c>
      <c r="K7" s="169" t="str">
        <f>IF(C7&lt;&gt;"",_xll.RssMarket(C7,"年初来高値"),"")</f>
        <v/>
      </c>
      <c r="L7" s="170" t="str">
        <f t="shared" si="0"/>
        <v/>
      </c>
      <c r="M7" s="169">
        <f>IF(C7&lt;&gt;"",IFERROR(AVERAGE(出来高!E142:I142),""),"")</f>
        <v>5579420</v>
      </c>
      <c r="N7" s="169">
        <f>IF(C7&lt;&gt;"",IFERROR(AVERAGE(出来高!E142:AC142),""),"")</f>
        <v>6632368</v>
      </c>
      <c r="O7" s="171" t="str">
        <f t="shared" si="1"/>
        <v/>
      </c>
      <c r="P7" s="166" t="str">
        <f t="shared" si="2"/>
        <v/>
      </c>
      <c r="Q7" s="166" t="str">
        <f t="shared" si="3"/>
        <v/>
      </c>
      <c r="R7" s="169" t="str">
        <f t="shared" si="10"/>
        <v/>
      </c>
      <c r="S7" s="169" t="str">
        <f t="shared" si="11"/>
        <v/>
      </c>
      <c r="T7" s="166">
        <f t="shared" si="4"/>
        <v>0</v>
      </c>
      <c r="U7" s="166" t="str">
        <f t="shared" si="12"/>
        <v>除外</v>
      </c>
      <c r="V7" s="166" t="str">
        <f t="shared" si="5"/>
        <v/>
      </c>
      <c r="W7" s="172">
        <f t="array" ref="W7">IF(C7&lt;&gt;"",IFERROR(100-100/(1+SUMPRODUCT((終値!F142:R142&gt;終値!G142:S142)*( 終値!F142:R142-終値!G142:S142))/SUMPRODUCT((終値!F142:R142&lt;終値!G142:S142)*(終値!G142:S142-終値!F142:R142))),50),"")</f>
        <v>62.628571428571426</v>
      </c>
      <c r="X7" s="173">
        <f>IF(C7&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26.727356222561866</v>
      </c>
      <c r="Y7" s="1" t="e">
        <f>IF(T7="","",IF(銘柄管理!$F$5="下落▼",IF(AND(AD7="パーフェクト▲",OR(AE7="25日線押し目●",AE7="5日線押し目○")),"★逆張り候補",IF(AND(AD7="上昇トレンド▲",OR(AE7="25日線押し目●",AE7="5日線押し目○")),"○逆張り候補",IF(W7&lt;=30,IF(Z7&gt;0,"◎反発確認",IF(Z7&lt;-5,"△要注意・様子見","△売られ過ぎ注目")),"相場下落・見送り"))),IF(AND(T7&gt;=12,AD7="パーフェクト▲"),"★強い買い",IF(AND(T7&gt;=12,AD7="上昇トレンド▲"),"★強い買い",IF(AND(T7&gt;=8,OR(AE7="25日線押し目●",AE7="5日線押し目○")),"◎押し目買い",IF(T7&gt;=10,"○買い候補",IF(T7&gt;=6,"△注目",IF(T7&gt;=3,"様子見","見送り"))))))))</f>
        <v>#VALUE!</v>
      </c>
      <c r="Z7" s="174" t="str">
        <f t="shared" si="13"/>
        <v/>
      </c>
      <c r="AA7" s="166" t="str">
        <f t="shared" si="14"/>
        <v/>
      </c>
      <c r="AB7" s="408">
        <f>IF(C7="","",IFERROR(((終値!E9*0.333)+(終値!F9*0.222)+(終値!G9*0.148)+(終値!H9*0.099)+(終値!I9*0.066)+(終値!J9*0.044)+(終値!K9*0.029)+(終値!L9*0.019)+(終値!M9*0.013)+(終値!N9*0.009))/(0.333+0.222+0.148+0.099+0.066+0.044+0.029+0.019+0.013+0.009),""))</f>
        <v>4108.5458248472496</v>
      </c>
      <c r="AC7" s="408">
        <f>IF(C7="","",IFERROR(SUMPRODUCT((終値!E9:AC9),({0.077,0.071,0.065,0.06,0.055,0.051,0.047,0.043,0.039,0.036,0.033,0.031,0.028,0.026,0.024,0.022,0.02,0.018,0.017,0.016,0.014,0.013,0.012,0.011,0.01}))/SUM({0.077,0.071,0.065,0.06,0.055,0.051,0.047,0.043,0.039,0.036,0.033,0.031,0.028,0.026,0.024,0.022,0.02,0.018,0.017,0.016,0.014,0.013,0.012,0.011,0.01}),""))</f>
        <v>4316.2562574493431</v>
      </c>
      <c r="AD7" s="409" t="str">
        <f t="shared" si="6"/>
        <v>上昇トレンド▲</v>
      </c>
      <c r="AE7" s="409" t="e">
        <f t="shared" si="7"/>
        <v>#VALUE!</v>
      </c>
      <c r="AF7" s="368">
        <f t="array" ref="AF7">IF(C7="","",IFERROR((INDEX(終値!$E:$E,MATCH(TEXT(C7,"0"),終値!$A:$A,0))-INDEX(終値!$E:$CZ,MATCH(TEXT(C7,"0"),終値!$A:$A,0),$AL$2))/INDEX(終値!$E:$CZ,MATCH(TEXT(C7,"0"),終値!$A:$A,0),$AL$2)*100,""))</f>
        <v>10.381649199129919</v>
      </c>
      <c r="AG7" s="368">
        <f t="array" ref="AG7">IFERROR((終値!$E$5-INDEX(終値!$E$5:$CZ$5,1,$AL$2))/INDEX(終値!$E$5:$CZ$5,1,$AL$2)*100,"")</f>
        <v>2.31989243802786</v>
      </c>
      <c r="AH7" s="369">
        <f t="shared" si="8"/>
        <v>8.0617567611020586</v>
      </c>
      <c r="AI7" s="367">
        <f t="shared" si="9"/>
        <v>3</v>
      </c>
    </row>
    <row r="8" spans="1:38" s="177" customFormat="1" ht="18" customHeight="1">
      <c r="A8" s="166" t="str">
        <f>IF(銘柄管理!B65&lt;&gt;"",HYPERLINK("https://kabutan.jp/stock/?code="&amp;銘柄管理!B65,"株探"),"")</f>
        <v>株探</v>
      </c>
      <c r="B8" s="167"/>
      <c r="C8" s="168">
        <f>IF(銘柄管理!B65="","",銘柄管理!B65)</f>
        <v>9984</v>
      </c>
      <c r="D8" s="106" t="str">
        <f>IF(銘柄管理!C65="","",銘柄管理!C65)</f>
        <v/>
      </c>
      <c r="E8" s="169" t="str">
        <f>IF(C8&lt;&gt;"",_xll.RssMarket(C8,"現在値"),"")</f>
        <v/>
      </c>
      <c r="F8" s="169" t="str">
        <f>IF(C8&lt;&gt;"",_xll.RssMarket(C8,"始値"),"")</f>
        <v/>
      </c>
      <c r="G8" s="168">
        <f>IF(C8&lt;&gt;"",終値!F65,"")</f>
        <v>6360</v>
      </c>
      <c r="H8" s="169" t="str">
        <f>IF(C8&lt;&gt;"",_xll.RssMarket(C8,"高値"),"")</f>
        <v/>
      </c>
      <c r="I8" s="169" t="str">
        <f>IF(C8&lt;&gt;"",_xll.RssMarket(C8,"安値"),"")</f>
        <v/>
      </c>
      <c r="J8" s="169" t="str">
        <f>IF(C8&lt;&gt;"",_xll.RssMarket(C8,"出来高"),"")</f>
        <v/>
      </c>
      <c r="K8" s="169" t="str">
        <f>IF(C8&lt;&gt;"",_xll.RssMarket(C8,"年初来高値"),"")</f>
        <v/>
      </c>
      <c r="L8" s="170" t="str">
        <f t="shared" si="0"/>
        <v/>
      </c>
      <c r="M8" s="169">
        <f>IF(C8&lt;&gt;"",IFERROR(AVERAGE(出来高!E65:I65),""),"")</f>
        <v>59833020</v>
      </c>
      <c r="N8" s="169">
        <f>IF(C8&lt;&gt;"",IFERROR(AVERAGE(出来高!E65:AC65),""),"")</f>
        <v>57732600</v>
      </c>
      <c r="O8" s="171" t="str">
        <f t="shared" si="1"/>
        <v/>
      </c>
      <c r="P8" s="166" t="str">
        <f t="shared" si="2"/>
        <v/>
      </c>
      <c r="Q8" s="166" t="str">
        <f t="shared" si="3"/>
        <v/>
      </c>
      <c r="R8" s="169" t="str">
        <f t="shared" si="10"/>
        <v/>
      </c>
      <c r="S8" s="169" t="str">
        <f t="shared" si="11"/>
        <v/>
      </c>
      <c r="T8" s="166">
        <f t="shared" si="4"/>
        <v>0</v>
      </c>
      <c r="U8" s="166" t="str">
        <f t="shared" si="12"/>
        <v>除外</v>
      </c>
      <c r="V8" s="166" t="str">
        <f t="shared" si="5"/>
        <v/>
      </c>
      <c r="W8" s="172">
        <f t="array" ref="W8">IF(C8&lt;&gt;"",IFERROR(100-100/(1+SUMPRODUCT((終値!F65:R65&gt;終値!G65:S65)*( 終値!F65:R65-終値!G65:S65))/SUMPRODUCT((終値!F65:R65&lt;終値!G65:S65)*(終値!G65:S65-終値!F65:R65))),50),"")</f>
        <v>37.391882900864942</v>
      </c>
      <c r="X8" s="173">
        <f>IF(C8&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-88.509797443866773</v>
      </c>
      <c r="Y8" s="1" t="e">
        <f>IF(T8="","",IF(銘柄管理!$F$5="下落▼",IF(AND(AD8="パーフェクト▲",OR(AE8="25日線押し目●",AE8="5日線押し目○")),"★逆張り候補",IF(AND(AD8="上昇トレンド▲",OR(AE8="25日線押し目●",AE8="5日線押し目○")),"○逆張り候補",IF(W8&lt;=30,IF(Z8&gt;0,"◎反発確認",IF(Z8&lt;-5,"△要注意・様子見","△売られ過ぎ注目")),"相場下落・見送り"))),IF(AND(T8&gt;=12,AD8="パーフェクト▲"),"★強い買い",IF(AND(T8&gt;=12,AD8="上昇トレンド▲"),"★強い買い",IF(AND(T8&gt;=8,OR(AE8="25日線押し目●",AE8="5日線押し目○")),"◎押し目買い",IF(T8&gt;=10,"○買い候補",IF(T8&gt;=6,"△注目",IF(T8&gt;=3,"様子見","見送り"))))))))</f>
        <v>#VALUE!</v>
      </c>
      <c r="Z8" s="174" t="str">
        <f t="shared" si="13"/>
        <v/>
      </c>
      <c r="AA8" s="166" t="str">
        <f t="shared" si="14"/>
        <v/>
      </c>
      <c r="AB8" s="406">
        <f>IF(C8="","",IFERROR(((終値!E10*0.333)+(終値!F10*0.222)+(終値!G10*0.148)+(終値!H10*0.099)+(終値!I10*0.066)+(終値!J10*0.044)+(終値!K10*0.029)+(終値!L10*0.019)+(終値!M10*0.013)+(終値!N10*0.009))/(0.333+0.222+0.148+0.099+0.066+0.044+0.029+0.019+0.013+0.009),""))</f>
        <v>8251.9287169042727</v>
      </c>
      <c r="AC8" s="406">
        <f>IF(C8="","",IFERROR(SUMPRODUCT((終値!E10:AC10),({0.077,0.071,0.065,0.06,0.055,0.051,0.047,0.043,0.039,0.036,0.033,0.031,0.028,0.026,0.024,0.022,0.02,0.018,0.017,0.016,0.014,0.013,0.012,0.011,0.01}))/SUM({0.077,0.071,0.065,0.06,0.055,0.051,0.047,0.043,0.039,0.036,0.033,0.031,0.028,0.026,0.024,0.022,0.02,0.018,0.017,0.016,0.014,0.013,0.012,0.011,0.01}),""))</f>
        <v>8630.6710369487446</v>
      </c>
      <c r="AD8" s="407" t="str">
        <f t="shared" si="6"/>
        <v>上昇トレンド▲</v>
      </c>
      <c r="AE8" s="407" t="e">
        <f t="shared" si="7"/>
        <v>#VALUE!</v>
      </c>
      <c r="AF8" s="368">
        <f t="array" ref="AF8">IF(C8="","",IFERROR((INDEX(終値!$E:$E,MATCH(TEXT(C8,"0"),終値!$A:$A,0))-INDEX(終値!$E:$CZ,MATCH(TEXT(C8,"0"),終値!$A:$A,0),$AL$2))/INDEX(終値!$E:$CZ,MATCH(TEXT(C8,"0"),終値!$A:$A,0),$AL$2)*100,""))</f>
        <v>-22.24770642201835</v>
      </c>
      <c r="AG8" s="368">
        <f t="array" ref="AG8">IFERROR((終値!$E$5-INDEX(終値!$E$5:$CZ$5,1,$AL$2))/INDEX(終値!$E$5:$CZ$5,1,$AL$2)*100,"")</f>
        <v>2.31989243802786</v>
      </c>
      <c r="AH8" s="369">
        <f t="shared" si="8"/>
        <v>-24.567598860046211</v>
      </c>
      <c r="AI8" s="367">
        <f t="shared" si="9"/>
        <v>-2</v>
      </c>
    </row>
    <row r="9" spans="1:38" s="177" customFormat="1" ht="18" customHeight="1">
      <c r="A9" s="166" t="str">
        <f>IF(銘柄管理!B116&lt;&gt;"",HYPERLINK("https://kabutan.jp/stock/?code="&amp;銘柄管理!B116,"株探"),"")</f>
        <v>株探</v>
      </c>
      <c r="B9" s="167"/>
      <c r="C9" s="168">
        <f>IF(銘柄管理!B116="","",銘柄管理!B116)</f>
        <v>9882</v>
      </c>
      <c r="D9" s="106" t="str">
        <f>IF(銘柄管理!C116="","",銘柄管理!C116)</f>
        <v/>
      </c>
      <c r="E9" s="169" t="str">
        <f>IF(C9&lt;&gt;"",_xll.RssMarket(C9,"現在値"),"")</f>
        <v/>
      </c>
      <c r="F9" s="169" t="str">
        <f>IF(C9&lt;&gt;"",_xll.RssMarket(C9,"始値"),"")</f>
        <v/>
      </c>
      <c r="G9" s="168">
        <f>IF(C9&lt;&gt;"",終値!F116,"")</f>
        <v>1812</v>
      </c>
      <c r="H9" s="169" t="str">
        <f>IF(C9&lt;&gt;"",_xll.RssMarket(C9,"高値"),"")</f>
        <v/>
      </c>
      <c r="I9" s="169" t="str">
        <f>IF(C9&lt;&gt;"",_xll.RssMarket(C9,"安値"),"")</f>
        <v/>
      </c>
      <c r="J9" s="169" t="str">
        <f>IF(C9&lt;&gt;"",_xll.RssMarket(C9,"出来高"),"")</f>
        <v/>
      </c>
      <c r="K9" s="169" t="str">
        <f>IF(C9&lt;&gt;"",_xll.RssMarket(C9,"年初来高値"),"")</f>
        <v/>
      </c>
      <c r="L9" s="170" t="str">
        <f t="shared" si="0"/>
        <v/>
      </c>
      <c r="M9" s="169">
        <f>IF(C9&lt;&gt;"",IFERROR(AVERAGE(出来高!E116:I116),""),"")</f>
        <v>197820</v>
      </c>
      <c r="N9" s="169">
        <f>IF(C9&lt;&gt;"",IFERROR(AVERAGE(出来高!E116:AC116),""),"")</f>
        <v>196584</v>
      </c>
      <c r="O9" s="171" t="str">
        <f t="shared" si="1"/>
        <v/>
      </c>
      <c r="P9" s="166" t="str">
        <f t="shared" si="2"/>
        <v/>
      </c>
      <c r="Q9" s="166" t="str">
        <f t="shared" si="3"/>
        <v/>
      </c>
      <c r="R9" s="169" t="str">
        <f t="shared" si="10"/>
        <v/>
      </c>
      <c r="S9" s="169" t="str">
        <f t="shared" si="11"/>
        <v/>
      </c>
      <c r="T9" s="166">
        <f t="shared" si="4"/>
        <v>0</v>
      </c>
      <c r="U9" s="166" t="str">
        <f t="shared" si="12"/>
        <v>除外</v>
      </c>
      <c r="V9" s="166" t="str">
        <f t="shared" si="5"/>
        <v/>
      </c>
      <c r="W9" s="172">
        <f t="array" ref="W9">IF(C9&lt;&gt;"",IFERROR(100-100/(1+SUMPRODUCT((終値!F116:R116&gt;終値!G116:S116)*( 終値!F116:R116-終値!G116:S116))/SUMPRODUCT((終値!F116:R116&lt;終値!G116:S116)*(終値!G116:S116-終値!F116:R116))),50),"")</f>
        <v>65.217391304347828</v>
      </c>
      <c r="X9" s="173">
        <f>IF(C9&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11.044226811919998</v>
      </c>
      <c r="Y9" s="1" t="e">
        <f>IF(T9="","",IF(銘柄管理!$F$5="下落▼",IF(AND(AD9="パーフェクト▲",OR(AE9="25日線押し目●",AE9="5日線押し目○")),"★逆張り候補",IF(AND(AD9="上昇トレンド▲",OR(AE9="25日線押し目●",AE9="5日線押し目○")),"○逆張り候補",IF(W9&lt;=30,IF(Z9&gt;0,"◎反発確認",IF(Z9&lt;-5,"△要注意・様子見","△売られ過ぎ注目")),"相場下落・見送り"))),IF(AND(T9&gt;=12,AD9="パーフェクト▲"),"★強い買い",IF(AND(T9&gt;=12,AD9="上昇トレンド▲"),"★強い買い",IF(AND(T9&gt;=8,OR(AE9="25日線押し目●",AE9="5日線押し目○")),"◎押し目買い",IF(T9&gt;=10,"○買い候補",IF(T9&gt;=6,"△注目",IF(T9&gt;=3,"様子見","見送り"))))))))</f>
        <v>#VALUE!</v>
      </c>
      <c r="Z9" s="174" t="str">
        <f t="shared" si="13"/>
        <v/>
      </c>
      <c r="AA9" s="166" t="str">
        <f t="shared" si="14"/>
        <v/>
      </c>
      <c r="AB9" s="408">
        <f>IF(C9="","",IFERROR(((終値!E11*0.333)+(終値!F11*0.222)+(終値!G11*0.148)+(終値!H11*0.099)+(終値!I11*0.066)+(終値!J11*0.044)+(終値!K11*0.029)+(終値!L11*0.019)+(終値!M11*0.013)+(終値!N11*0.009))/(0.333+0.222+0.148+0.099+0.066+0.044+0.029+0.019+0.013+0.009),""))</f>
        <v>4345.7912423625257</v>
      </c>
      <c r="AC9" s="408">
        <f>IF(C9="","",IFERROR(SUMPRODUCT((終値!E11:AC11),({0.077,0.071,0.065,0.06,0.055,0.051,0.047,0.043,0.039,0.036,0.033,0.031,0.028,0.026,0.024,0.022,0.02,0.018,0.017,0.016,0.014,0.013,0.012,0.011,0.01}))/SUM({0.077,0.071,0.065,0.06,0.055,0.051,0.047,0.043,0.039,0.036,0.033,0.031,0.028,0.026,0.024,0.022,0.02,0.018,0.017,0.016,0.014,0.013,0.012,0.011,0.01}),""))</f>
        <v>4171.205005959474</v>
      </c>
      <c r="AD9" s="409" t="str">
        <f t="shared" si="6"/>
        <v>パーフェクト▲</v>
      </c>
      <c r="AE9" s="409" t="e">
        <f t="shared" si="7"/>
        <v>#VALUE!</v>
      </c>
      <c r="AF9" s="368">
        <f t="array" ref="AF9">IF(C9="","",IFERROR((INDEX(終値!$E:$E,MATCH(TEXT(C9,"0"),終値!$A:$A,0))-INDEX(終値!$E:$CZ,MATCH(TEXT(C9,"0"),終値!$A:$A,0),$AL$2))/INDEX(終値!$E:$CZ,MATCH(TEXT(C9,"0"),終値!$A:$A,0),$AL$2)*100,""))</f>
        <v>9.5009019843656048</v>
      </c>
      <c r="AG9" s="368">
        <f t="array" ref="AG9">IFERROR((終値!$E$5-INDEX(終値!$E$5:$CZ$5,1,$AL$2))/INDEX(終値!$E$5:$CZ$5,1,$AL$2)*100,"")</f>
        <v>2.31989243802786</v>
      </c>
      <c r="AH9" s="369">
        <f t="shared" si="8"/>
        <v>7.1810095463377444</v>
      </c>
      <c r="AI9" s="367">
        <f t="shared" si="9"/>
        <v>3</v>
      </c>
    </row>
    <row r="10" spans="1:38" s="177" customFormat="1" ht="18" customHeight="1">
      <c r="A10" s="166" t="str">
        <f>IF(銘柄管理!B166&lt;&gt;"",HYPERLINK("https://kabutan.jp/stock/?code="&amp;銘柄管理!B166,"株探"),"")</f>
        <v>株探</v>
      </c>
      <c r="B10" s="167"/>
      <c r="C10" s="168">
        <f>IF(銘柄管理!B166="","",銘柄管理!B166)</f>
        <v>9733</v>
      </c>
      <c r="D10" s="106" t="str">
        <f>IF(銘柄管理!C166="","",銘柄管理!C166)</f>
        <v/>
      </c>
      <c r="E10" s="169" t="str">
        <f>IF(C10&lt;&gt;"",_xll.RssMarket(C10,"現在値"),"")</f>
        <v/>
      </c>
      <c r="F10" s="169" t="str">
        <f>IF(C10&lt;&gt;"",_xll.RssMarket(C10,"始値"),"")</f>
        <v/>
      </c>
      <c r="G10" s="168">
        <f>IF(C10&lt;&gt;"",終値!F166,"")</f>
        <v>2351</v>
      </c>
      <c r="H10" s="169" t="str">
        <f>IF(C10&lt;&gt;"",_xll.RssMarket(C10,"高値"),"")</f>
        <v/>
      </c>
      <c r="I10" s="169" t="str">
        <f>IF(C10&lt;&gt;"",_xll.RssMarket(C10,"安値"),"")</f>
        <v/>
      </c>
      <c r="J10" s="169" t="str">
        <f>IF(C10&lt;&gt;"",_xll.RssMarket(C10,"出来高"),"")</f>
        <v/>
      </c>
      <c r="K10" s="169" t="str">
        <f>IF(C10&lt;&gt;"",_xll.RssMarket(C10,"年初来高値"),"")</f>
        <v/>
      </c>
      <c r="L10" s="170" t="str">
        <f t="shared" si="0"/>
        <v/>
      </c>
      <c r="M10" s="169">
        <f>IF(C10&lt;&gt;"",IFERROR(AVERAGE(出来高!E166:I166),""),"")</f>
        <v>15080</v>
      </c>
      <c r="N10" s="169">
        <f>IF(C10&lt;&gt;"",IFERROR(AVERAGE(出来高!E166:AC166),""),"")</f>
        <v>25340</v>
      </c>
      <c r="O10" s="171" t="str">
        <f t="shared" si="1"/>
        <v/>
      </c>
      <c r="P10" s="166" t="str">
        <f t="shared" si="2"/>
        <v/>
      </c>
      <c r="Q10" s="166" t="str">
        <f t="shared" si="3"/>
        <v/>
      </c>
      <c r="R10" s="169" t="str">
        <f t="shared" si="10"/>
        <v/>
      </c>
      <c r="S10" s="169" t="str">
        <f t="shared" si="11"/>
        <v/>
      </c>
      <c r="T10" s="166">
        <f t="shared" si="4"/>
        <v>0</v>
      </c>
      <c r="U10" s="166" t="str">
        <f t="shared" si="12"/>
        <v>除外</v>
      </c>
      <c r="V10" s="166" t="str">
        <f t="shared" si="5"/>
        <v/>
      </c>
      <c r="W10" s="172">
        <f t="array" ref="W10">IF(C10&lt;&gt;"",IFERROR(100-100/(1+SUMPRODUCT((終値!F166:R166&gt;終値!G166:S166)*( 終値!F166:R166-終値!G166:S166))/SUMPRODUCT((終値!F166:R166&lt;終値!G166:S166)*(終値!G166:S166-終値!F166:R166))),50),"")</f>
        <v>70.383275261324044</v>
      </c>
      <c r="X10" s="173">
        <f>IF(C10&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20.074387336361269</v>
      </c>
      <c r="Y10" s="1" t="e">
        <f>IF(T10="","",IF(銘柄管理!$F$5="下落▼",IF(AND(AD10="パーフェクト▲",OR(AE10="25日線押し目●",AE10="5日線押し目○")),"★逆張り候補",IF(AND(AD10="上昇トレンド▲",OR(AE10="25日線押し目●",AE10="5日線押し目○")),"○逆張り候補",IF(W10&lt;=30,IF(Z10&gt;0,"◎反発確認",IF(Z10&lt;-5,"△要注意・様子見","△売られ過ぎ注目")),"相場下落・見送り"))),IF(AND(T10&gt;=12,AD10="パーフェクト▲"),"★強い買い",IF(AND(T10&gt;=12,AD10="上昇トレンド▲"),"★強い買い",IF(AND(T10&gt;=8,OR(AE10="25日線押し目●",AE10="5日線押し目○")),"◎押し目買い",IF(T10&gt;=10,"○買い候補",IF(T10&gt;=6,"△注目",IF(T10&gt;=3,"様子見","見送り"))))))))</f>
        <v>#VALUE!</v>
      </c>
      <c r="Z10" s="174" t="str">
        <f t="shared" si="13"/>
        <v/>
      </c>
      <c r="AA10" s="166" t="str">
        <f t="shared" si="14"/>
        <v/>
      </c>
      <c r="AB10" s="406">
        <f>IF(C10="","",IFERROR(((終値!E12*0.333)+(終値!F12*0.222)+(終値!G12*0.148)+(終値!H12*0.099)+(終値!I12*0.066)+(終値!J12*0.044)+(終値!K12*0.029)+(終値!L12*0.019)+(終値!M12*0.013)+(終値!N12*0.009))/(0.333+0.222+0.148+0.099+0.066+0.044+0.029+0.019+0.013+0.009),""))</f>
        <v>3422.0091649694496</v>
      </c>
      <c r="AC10" s="406">
        <f>IF(C10="","",IFERROR(SUMPRODUCT((終値!E12:AC12),({0.077,0.071,0.065,0.06,0.055,0.051,0.047,0.043,0.039,0.036,0.033,0.031,0.028,0.026,0.024,0.022,0.02,0.018,0.017,0.016,0.014,0.013,0.012,0.011,0.01}))/SUM({0.077,0.071,0.065,0.06,0.055,0.051,0.047,0.043,0.039,0.036,0.033,0.031,0.028,0.026,0.024,0.022,0.02,0.018,0.017,0.016,0.014,0.013,0.012,0.011,0.01}),""))</f>
        <v>3383.3492252681758</v>
      </c>
      <c r="AD10" s="407" t="str">
        <f t="shared" si="6"/>
        <v>パーフェクト▲</v>
      </c>
      <c r="AE10" s="407" t="e">
        <f t="shared" si="7"/>
        <v>#VALUE!</v>
      </c>
      <c r="AF10" s="368">
        <f t="array" ref="AF10">IF(C10="","",IFERROR((INDEX(終値!$E:$E,MATCH(TEXT(C10,"0"),終値!$A:$A,0))-INDEX(終値!$E:$CZ,MATCH(TEXT(C10,"0"),終値!$A:$A,0),$AL$2))/INDEX(終値!$E:$CZ,MATCH(TEXT(C10,"0"),終値!$A:$A,0),$AL$2)*100,""))</f>
        <v>5.6715063520871141</v>
      </c>
      <c r="AG10" s="368">
        <f t="array" ref="AG10">IFERROR((終値!$E$5-INDEX(終値!$E$5:$CZ$5,1,$AL$2))/INDEX(終値!$E$5:$CZ$5,1,$AL$2)*100,"")</f>
        <v>2.31989243802786</v>
      </c>
      <c r="AH10" s="369">
        <f t="shared" si="8"/>
        <v>3.351613914059254</v>
      </c>
      <c r="AI10" s="367">
        <f t="shared" si="9"/>
        <v>1</v>
      </c>
    </row>
    <row r="11" spans="1:38" s="177" customFormat="1" ht="18" customHeight="1">
      <c r="A11" s="166" t="str">
        <f>IF(銘柄管理!B162&lt;&gt;"",HYPERLINK("https://kabutan.jp/stock/?code="&amp;銘柄管理!B162,"株探"),"")</f>
        <v>株探</v>
      </c>
      <c r="B11" s="167"/>
      <c r="C11" s="168">
        <f>IF(銘柄管理!B162="","",銘柄管理!B162)</f>
        <v>9687</v>
      </c>
      <c r="D11" s="106" t="str">
        <f>IF(銘柄管理!C162="","",銘柄管理!C162)</f>
        <v/>
      </c>
      <c r="E11" s="169" t="str">
        <f>IF(C11&lt;&gt;"",_xll.RssMarket(C11,"現在値"),"")</f>
        <v/>
      </c>
      <c r="F11" s="169" t="str">
        <f>IF(C11&lt;&gt;"",_xll.RssMarket(C11,"始値"),"")</f>
        <v/>
      </c>
      <c r="G11" s="168">
        <f>IF(C11&lt;&gt;"",終値!F162,"")</f>
        <v>4395</v>
      </c>
      <c r="H11" s="169" t="str">
        <f>IF(C11&lt;&gt;"",_xll.RssMarket(C11,"高値"),"")</f>
        <v/>
      </c>
      <c r="I11" s="169" t="str">
        <f>IF(C11&lt;&gt;"",_xll.RssMarket(C11,"安値"),"")</f>
        <v/>
      </c>
      <c r="J11" s="169" t="str">
        <f>IF(C11&lt;&gt;"",_xll.RssMarket(C11,"出来高"),"")</f>
        <v/>
      </c>
      <c r="K11" s="169" t="str">
        <f>IF(C11&lt;&gt;"",_xll.RssMarket(C11,"年初来高値"),"")</f>
        <v/>
      </c>
      <c r="L11" s="170" t="str">
        <f t="shared" si="0"/>
        <v/>
      </c>
      <c r="M11" s="169">
        <f>IF(C11&lt;&gt;"",IFERROR(AVERAGE(出来高!E162:I162),""),"")</f>
        <v>1540</v>
      </c>
      <c r="N11" s="169">
        <f>IF(C11&lt;&gt;"",IFERROR(AVERAGE(出来高!E162:AC162),""),"")</f>
        <v>1344</v>
      </c>
      <c r="O11" s="171" t="str">
        <f t="shared" si="1"/>
        <v/>
      </c>
      <c r="P11" s="166" t="str">
        <f t="shared" si="2"/>
        <v/>
      </c>
      <c r="Q11" s="166" t="str">
        <f t="shared" si="3"/>
        <v/>
      </c>
      <c r="R11" s="169" t="str">
        <f t="shared" si="10"/>
        <v/>
      </c>
      <c r="S11" s="169" t="str">
        <f t="shared" si="11"/>
        <v/>
      </c>
      <c r="T11" s="166">
        <f t="shared" si="4"/>
        <v>0</v>
      </c>
      <c r="U11" s="166" t="str">
        <f t="shared" si="12"/>
        <v>除外</v>
      </c>
      <c r="V11" s="166" t="str">
        <f t="shared" si="5"/>
        <v/>
      </c>
      <c r="W11" s="172">
        <f t="array" ref="W11">IF(C11&lt;&gt;"",IFERROR(100-100/(1+SUMPRODUCT((終値!F162:R162&gt;終値!G162:S162)*( 終値!F162:R162-終値!G162:S162))/SUMPRODUCT((終値!F162:R162&lt;終値!G162:S162)*(終値!G162:S162-終値!F162:R162))),50),"")</f>
        <v>61.111111111111107</v>
      </c>
      <c r="X11" s="173">
        <f>IF(C11&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5.1921477159203278</v>
      </c>
      <c r="Y11" s="1" t="e">
        <f>IF(T11="","",IF(銘柄管理!$F$5="下落▼",IF(AND(AD11="パーフェクト▲",OR(AE11="25日線押し目●",AE11="5日線押し目○")),"★逆張り候補",IF(AND(AD11="上昇トレンド▲",OR(AE11="25日線押し目●",AE11="5日線押し目○")),"○逆張り候補",IF(W11&lt;=30,IF(Z11&gt;0,"◎反発確認",IF(Z11&lt;-5,"△要注意・様子見","△売られ過ぎ注目")),"相場下落・見送り"))),IF(AND(T11&gt;=12,AD11="パーフェクト▲"),"★強い買い",IF(AND(T11&gt;=12,AD11="上昇トレンド▲"),"★強い買い",IF(AND(T11&gt;=8,OR(AE11="25日線押し目●",AE11="5日線押し目○")),"◎押し目買い",IF(T11&gt;=10,"○買い候補",IF(T11&gt;=6,"△注目",IF(T11&gt;=3,"様子見","見送り"))))))))</f>
        <v>#VALUE!</v>
      </c>
      <c r="Z11" s="174" t="str">
        <f t="shared" si="13"/>
        <v/>
      </c>
      <c r="AA11" s="166" t="str">
        <f t="shared" si="14"/>
        <v/>
      </c>
      <c r="AB11" s="408">
        <f>IF(C11="","",IFERROR(((終値!E13*0.333)+(終値!F13*0.222)+(終値!G13*0.148)+(終値!H13*0.099)+(終値!I13*0.066)+(終値!J13*0.044)+(終値!K13*0.029)+(終値!L13*0.019)+(終値!M13*0.013)+(終値!N13*0.009))/(0.333+0.222+0.148+0.099+0.066+0.044+0.029+0.019+0.013+0.009),""))</f>
        <v>2694.2953156822805</v>
      </c>
      <c r="AC11" s="408">
        <f>IF(C11="","",IFERROR(SUMPRODUCT((終値!E13:AC13),({0.077,0.071,0.065,0.06,0.055,0.051,0.047,0.043,0.039,0.036,0.033,0.031,0.028,0.026,0.024,0.022,0.02,0.018,0.017,0.016,0.014,0.013,0.012,0.011,0.01}))/SUM({0.077,0.071,0.065,0.06,0.055,0.051,0.047,0.043,0.039,0.036,0.033,0.031,0.028,0.026,0.024,0.022,0.02,0.018,0.017,0.016,0.014,0.013,0.012,0.011,0.01}),""))</f>
        <v>2764.5673420738963</v>
      </c>
      <c r="AD11" s="409" t="str">
        <f t="shared" si="6"/>
        <v>上昇トレンド▲</v>
      </c>
      <c r="AE11" s="409" t="e">
        <f t="shared" si="7"/>
        <v>#VALUE!</v>
      </c>
      <c r="AF11" s="368">
        <f t="array" ref="AF11">IF(C11="","",IFERROR((INDEX(終値!$E:$E,MATCH(TEXT(C11,"0"),終値!$A:$A,0))-INDEX(終値!$E:$CZ,MATCH(TEXT(C11,"0"),終値!$A:$A,0),$AL$2))/INDEX(終値!$E:$CZ,MATCH(TEXT(C11,"0"),終値!$A:$A,0),$AL$2)*100,""))</f>
        <v>0.11494252873563218</v>
      </c>
      <c r="AG11" s="368">
        <f t="array" ref="AG11">IFERROR((終値!$E$5-INDEX(終値!$E$5:$CZ$5,1,$AL$2))/INDEX(終値!$E$5:$CZ$5,1,$AL$2)*100,"")</f>
        <v>2.31989243802786</v>
      </c>
      <c r="AH11" s="369">
        <f t="shared" si="8"/>
        <v>-2.2049499092922278</v>
      </c>
      <c r="AI11" s="367">
        <f t="shared" si="9"/>
        <v>-1</v>
      </c>
    </row>
    <row r="12" spans="1:38" s="177" customFormat="1" ht="18" customHeight="1">
      <c r="A12" s="166" t="str">
        <f>IF(銘柄管理!B167&lt;&gt;"",HYPERLINK("https://kabutan.jp/stock/?code="&amp;銘柄管理!B167,"株探"),"")</f>
        <v>株探</v>
      </c>
      <c r="B12" s="167"/>
      <c r="C12" s="168">
        <f>IF(銘柄管理!B167="","",銘柄管理!B167)</f>
        <v>9551</v>
      </c>
      <c r="D12" s="106" t="str">
        <f>IF(銘柄管理!C167="","",銘柄管理!C167)</f>
        <v/>
      </c>
      <c r="E12" s="169" t="str">
        <f>IF(C12&lt;&gt;"",_xll.RssMarket(C12,"現在値"),"")</f>
        <v/>
      </c>
      <c r="F12" s="169" t="str">
        <f>IF(C12&lt;&gt;"",_xll.RssMarket(C12,"始値"),"")</f>
        <v/>
      </c>
      <c r="G12" s="168">
        <f>IF(C12&lt;&gt;"",終値!F167,"")</f>
        <v>3230</v>
      </c>
      <c r="H12" s="169" t="str">
        <f>IF(C12&lt;&gt;"",_xll.RssMarket(C12,"高値"),"")</f>
        <v/>
      </c>
      <c r="I12" s="169" t="str">
        <f>IF(C12&lt;&gt;"",_xll.RssMarket(C12,"安値"),"")</f>
        <v/>
      </c>
      <c r="J12" s="169" t="str">
        <f>IF(C12&lt;&gt;"",_xll.RssMarket(C12,"出来高"),"")</f>
        <v/>
      </c>
      <c r="K12" s="169" t="str">
        <f>IF(C12&lt;&gt;"",_xll.RssMarket(C12,"年初来高値"),"")</f>
        <v/>
      </c>
      <c r="L12" s="170" t="str">
        <f t="shared" si="0"/>
        <v/>
      </c>
      <c r="M12" s="169">
        <f>IF(C12&lt;&gt;"",IFERROR(AVERAGE(出来高!E167:I167),""),"")</f>
        <v>102260</v>
      </c>
      <c r="N12" s="169">
        <f>IF(C12&lt;&gt;"",IFERROR(AVERAGE(出来高!E167:AC167),""),"")</f>
        <v>112000</v>
      </c>
      <c r="O12" s="171" t="str">
        <f t="shared" si="1"/>
        <v/>
      </c>
      <c r="P12" s="166" t="str">
        <f t="shared" si="2"/>
        <v/>
      </c>
      <c r="Q12" s="166" t="str">
        <f t="shared" si="3"/>
        <v/>
      </c>
      <c r="R12" s="169" t="str">
        <f t="shared" si="10"/>
        <v/>
      </c>
      <c r="S12" s="169" t="str">
        <f t="shared" si="11"/>
        <v/>
      </c>
      <c r="T12" s="166">
        <f t="shared" si="4"/>
        <v>0</v>
      </c>
      <c r="U12" s="166" t="str">
        <f t="shared" si="12"/>
        <v>除外</v>
      </c>
      <c r="V12" s="166" t="str">
        <f t="shared" si="5"/>
        <v/>
      </c>
      <c r="W12" s="172">
        <f t="array" ref="W12">IF(C12&lt;&gt;"",IFERROR(100-100/(1+SUMPRODUCT((終値!F167:R167&gt;終値!G167:S167)*( 終値!F167:R167-終値!G167:S167))/SUMPRODUCT((終値!F167:R167&lt;終値!G167:S167)*(終値!G167:S167-終値!F167:R167))),50),"")</f>
        <v>32.919254658385086</v>
      </c>
      <c r="X12" s="173">
        <f>IF(C12&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-37.232246983945515</v>
      </c>
      <c r="Y12" s="1" t="e">
        <f>IF(T12="","",IF(銘柄管理!$F$5="下落▼",IF(AND(AD12="パーフェクト▲",OR(AE12="25日線押し目●",AE12="5日線押し目○")),"★逆張り候補",IF(AND(AD12="上昇トレンド▲",OR(AE12="25日線押し目●",AE12="5日線押し目○")),"○逆張り候補",IF(W12&lt;=30,IF(Z12&gt;0,"◎反発確認",IF(Z12&lt;-5,"△要注意・様子見","△売られ過ぎ注目")),"相場下落・見送り"))),IF(AND(T12&gt;=12,AD12="パーフェクト▲"),"★強い買い",IF(AND(T12&gt;=12,AD12="上昇トレンド▲"),"★強い買い",IF(AND(T12&gt;=8,OR(AE12="25日線押し目●",AE12="5日線押し目○")),"◎押し目買い",IF(T12&gt;=10,"○買い候補",IF(T12&gt;=6,"△注目",IF(T12&gt;=3,"様子見","見送り"))))))))</f>
        <v>#VALUE!</v>
      </c>
      <c r="Z12" s="174" t="str">
        <f t="shared" si="13"/>
        <v/>
      </c>
      <c r="AA12" s="166" t="str">
        <f t="shared" si="14"/>
        <v/>
      </c>
      <c r="AB12" s="406">
        <f>IF(C12="","",IFERROR(((終値!E14*0.333)+(終値!F14*0.222)+(終値!G14*0.148)+(終値!H14*0.099)+(終値!I14*0.066)+(終値!J14*0.044)+(終値!K14*0.029)+(終値!L14*0.019)+(終値!M14*0.013)+(終値!N14*0.009))/(0.333+0.222+0.148+0.099+0.066+0.044+0.029+0.019+0.013+0.009),""))</f>
        <v>4980.3747454175136</v>
      </c>
      <c r="AC12" s="406">
        <f>IF(C12="","",IFERROR(SUMPRODUCT((終値!E14:AC14),({0.077,0.071,0.065,0.06,0.055,0.051,0.047,0.043,0.039,0.036,0.033,0.031,0.028,0.026,0.024,0.022,0.02,0.018,0.017,0.016,0.014,0.013,0.012,0.011,0.01}))/SUM({0.077,0.071,0.065,0.06,0.055,0.051,0.047,0.043,0.039,0.036,0.033,0.031,0.028,0.026,0.024,0.022,0.02,0.018,0.017,0.016,0.014,0.013,0.012,0.011,0.01}),""))</f>
        <v>4885.8974970202617</v>
      </c>
      <c r="AD12" s="407" t="str">
        <f t="shared" si="6"/>
        <v>パーフェクト▲</v>
      </c>
      <c r="AE12" s="407" t="e">
        <f t="shared" si="7"/>
        <v>#VALUE!</v>
      </c>
      <c r="AF12" s="368">
        <f t="array" ref="AF12">IF(C12="","",IFERROR((INDEX(終値!$E:$E,MATCH(TEXT(C12,"0"),終値!$A:$A,0))-INDEX(終値!$E:$CZ,MATCH(TEXT(C12,"0"),終値!$A:$A,0),$AL$2))/INDEX(終値!$E:$CZ,MATCH(TEXT(C12,"0"),終値!$A:$A,0),$AL$2)*100,""))</f>
        <v>-5.0228310502283104</v>
      </c>
      <c r="AG12" s="368">
        <f t="array" ref="AG12">IFERROR((終値!$E$5-INDEX(終値!$E$5:$CZ$5,1,$AL$2))/INDEX(終値!$E$5:$CZ$5,1,$AL$2)*100,"")</f>
        <v>2.31989243802786</v>
      </c>
      <c r="AH12" s="369">
        <f t="shared" si="8"/>
        <v>-7.3427234882561709</v>
      </c>
      <c r="AI12" s="367">
        <f t="shared" si="9"/>
        <v>-2</v>
      </c>
    </row>
    <row r="13" spans="1:38" s="177" customFormat="1" ht="18" customHeight="1">
      <c r="A13" s="166" t="str">
        <f>IF(銘柄管理!B185&lt;&gt;"",HYPERLINK("https://kabutan.jp/stock/?code="&amp;銘柄管理!B185,"株探"),"")</f>
        <v>株探</v>
      </c>
      <c r="B13" s="167"/>
      <c r="C13" s="168">
        <f>IF(銘柄管理!B185="","",銘柄管理!B185)</f>
        <v>9536</v>
      </c>
      <c r="D13" s="106" t="str">
        <f>IF(銘柄管理!C185="","",銘柄管理!C185)</f>
        <v/>
      </c>
      <c r="E13" s="169" t="str">
        <f>IF(C13&lt;&gt;"",_xll.RssMarket(C13,"現在値"),"")</f>
        <v/>
      </c>
      <c r="F13" s="169" t="str">
        <f>IF(C13&lt;&gt;"",_xll.RssMarket(C13,"始値"),"")</f>
        <v/>
      </c>
      <c r="G13" s="168">
        <f>IF(C13&lt;&gt;"",終値!F185,"")</f>
        <v>2333</v>
      </c>
      <c r="H13" s="169" t="str">
        <f>IF(C13&lt;&gt;"",_xll.RssMarket(C13,"高値"),"")</f>
        <v/>
      </c>
      <c r="I13" s="169" t="str">
        <f>IF(C13&lt;&gt;"",_xll.RssMarket(C13,"安値"),"")</f>
        <v/>
      </c>
      <c r="J13" s="169" t="str">
        <f>IF(C13&lt;&gt;"",_xll.RssMarket(C13,"出来高"),"")</f>
        <v/>
      </c>
      <c r="K13" s="169" t="str">
        <f>IF(C13&lt;&gt;"",_xll.RssMarket(C13,"年初来高値"),"")</f>
        <v/>
      </c>
      <c r="L13" s="170" t="str">
        <f t="shared" si="0"/>
        <v/>
      </c>
      <c r="M13" s="169">
        <f>IF(C13&lt;&gt;"",IFERROR(AVERAGE(出来高!E185:I185),""),"")</f>
        <v>62440</v>
      </c>
      <c r="N13" s="169">
        <f>IF(C13&lt;&gt;"",IFERROR(AVERAGE(出来高!E185:AC185),""),"")</f>
        <v>70616</v>
      </c>
      <c r="O13" s="171" t="str">
        <f t="shared" si="1"/>
        <v/>
      </c>
      <c r="P13" s="166" t="str">
        <f t="shared" si="2"/>
        <v/>
      </c>
      <c r="Q13" s="166" t="str">
        <f t="shared" si="3"/>
        <v/>
      </c>
      <c r="R13" s="169" t="str">
        <f t="shared" si="10"/>
        <v/>
      </c>
      <c r="S13" s="169" t="str">
        <f t="shared" si="11"/>
        <v/>
      </c>
      <c r="T13" s="166">
        <f t="shared" si="4"/>
        <v>0</v>
      </c>
      <c r="U13" s="166" t="str">
        <f t="shared" si="12"/>
        <v>除外</v>
      </c>
      <c r="V13" s="166" t="str">
        <f t="shared" si="5"/>
        <v/>
      </c>
      <c r="W13" s="172">
        <f t="array" ref="W13">IF(C13&lt;&gt;"",IFERROR(100-100/(1+SUMPRODUCT((終値!F185:R185&gt;終値!G185:S185)*( 終値!F185:R185-終値!G185:S185))/SUMPRODUCT((終値!F185:R185&lt;終値!G185:S185)*(終値!G185:S185-終値!F185:R185))),50),"")</f>
        <v>66.472303206997083</v>
      </c>
      <c r="X13" s="173">
        <f>IF(C13&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13.993251445835085</v>
      </c>
      <c r="Y13" s="1" t="e">
        <f>IF(T13="","",IF(銘柄管理!$F$5="下落▼",IF(AND(AD13="パーフェクト▲",OR(AE13="25日線押し目●",AE13="5日線押し目○")),"★逆張り候補",IF(AND(AD13="上昇トレンド▲",OR(AE13="25日線押し目●",AE13="5日線押し目○")),"○逆張り候補",IF(W13&lt;=30,IF(Z13&gt;0,"◎反発確認",IF(Z13&lt;-5,"△要注意・様子見","△売られ過ぎ注目")),"相場下落・見送り"))),IF(AND(T13&gt;=12,AD13="パーフェクト▲"),"★強い買い",IF(AND(T13&gt;=12,AD13="上昇トレンド▲"),"★強い買い",IF(AND(T13&gt;=8,OR(AE13="25日線押し目●",AE13="5日線押し目○")),"◎押し目買い",IF(T13&gt;=10,"○買い候補",IF(T13&gt;=6,"△注目",IF(T13&gt;=3,"様子見","見送り"))))))))</f>
        <v>#VALUE!</v>
      </c>
      <c r="Z13" s="174" t="str">
        <f t="shared" si="13"/>
        <v/>
      </c>
      <c r="AA13" s="166" t="str">
        <f t="shared" si="14"/>
        <v/>
      </c>
      <c r="AB13" s="408">
        <f>IF(C13="","",IFERROR(((終値!E15*0.333)+(終値!F15*0.222)+(終値!G15*0.148)+(終値!H15*0.099)+(終値!I15*0.066)+(終値!J15*0.044)+(終値!K15*0.029)+(終値!L15*0.019)+(終値!M15*0.013)+(終値!N15*0.009))/(0.333+0.222+0.148+0.099+0.066+0.044+0.029+0.019+0.013+0.009),""))</f>
        <v>3841.4419551934816</v>
      </c>
      <c r="AC13" s="408">
        <f>IF(C13="","",IFERROR(SUMPRODUCT((終値!E15:AC15),({0.077,0.071,0.065,0.06,0.055,0.051,0.047,0.043,0.039,0.036,0.033,0.031,0.028,0.026,0.024,0.022,0.02,0.018,0.017,0.016,0.014,0.013,0.012,0.011,0.01}))/SUM({0.077,0.071,0.065,0.06,0.055,0.051,0.047,0.043,0.039,0.036,0.033,0.031,0.028,0.026,0.024,0.022,0.02,0.018,0.017,0.016,0.014,0.013,0.012,0.011,0.01}),""))</f>
        <v>3810.1156138259826</v>
      </c>
      <c r="AD13" s="409" t="str">
        <f t="shared" si="6"/>
        <v>パーフェクト▲</v>
      </c>
      <c r="AE13" s="409" t="e">
        <f t="shared" si="7"/>
        <v>#VALUE!</v>
      </c>
      <c r="AF13" s="368">
        <f t="array" ref="AF13">IF(C13="","",IFERROR((INDEX(終値!$E:$E,MATCH(TEXT(C13,"0"),終値!$A:$A,0))-INDEX(終値!$E:$CZ,MATCH(TEXT(C13,"0"),終値!$A:$A,0),$AL$2))/INDEX(終値!$E:$CZ,MATCH(TEXT(C13,"0"),終値!$A:$A,0),$AL$2)*100,""))</f>
        <v>6.232813932172319</v>
      </c>
      <c r="AG13" s="368">
        <f t="array" ref="AG13">IFERROR((終値!$E$5-INDEX(終値!$E$5:$CZ$5,1,$AL$2))/INDEX(終値!$E$5:$CZ$5,1,$AL$2)*100,"")</f>
        <v>2.31989243802786</v>
      </c>
      <c r="AH13" s="369">
        <f t="shared" si="8"/>
        <v>3.912921494144459</v>
      </c>
      <c r="AI13" s="367">
        <f t="shared" si="9"/>
        <v>1</v>
      </c>
    </row>
    <row r="14" spans="1:38" s="177" customFormat="1" ht="18" customHeight="1">
      <c r="A14" s="166" t="str">
        <f>IF(銘柄管理!B127&lt;&gt;"",HYPERLINK("https://kabutan.jp/stock/?code="&amp;銘柄管理!B127,"株探"),"")</f>
        <v>株探</v>
      </c>
      <c r="B14" s="167"/>
      <c r="C14" s="168">
        <f>IF(銘柄管理!B127="","",銘柄管理!B127)</f>
        <v>9532</v>
      </c>
      <c r="D14" s="106" t="str">
        <f>IF(銘柄管理!C127="","",銘柄管理!C127)</f>
        <v/>
      </c>
      <c r="E14" s="169" t="str">
        <f>IF(C14&lt;&gt;"",_xll.RssMarket(C14,"現在値"),"")</f>
        <v/>
      </c>
      <c r="F14" s="169" t="str">
        <f>IF(C14&lt;&gt;"",_xll.RssMarket(C14,"始値"),"")</f>
        <v/>
      </c>
      <c r="G14" s="168">
        <f>IF(C14&lt;&gt;"",終値!F127,"")</f>
        <v>5392</v>
      </c>
      <c r="H14" s="169" t="str">
        <f>IF(C14&lt;&gt;"",_xll.RssMarket(C14,"高値"),"")</f>
        <v/>
      </c>
      <c r="I14" s="169" t="str">
        <f>IF(C14&lt;&gt;"",_xll.RssMarket(C14,"安値"),"")</f>
        <v/>
      </c>
      <c r="J14" s="169" t="str">
        <f>IF(C14&lt;&gt;"",_xll.RssMarket(C14,"出来高"),"")</f>
        <v/>
      </c>
      <c r="K14" s="169" t="str">
        <f>IF(C14&lt;&gt;"",_xll.RssMarket(C14,"年初来高値"),"")</f>
        <v/>
      </c>
      <c r="L14" s="170" t="str">
        <f t="shared" si="0"/>
        <v/>
      </c>
      <c r="M14" s="169">
        <f>IF(C14&lt;&gt;"",IFERROR(AVERAGE(出来高!E127:I127),""),"")</f>
        <v>722940</v>
      </c>
      <c r="N14" s="169">
        <f>IF(C14&lt;&gt;"",IFERROR(AVERAGE(出来高!E127:AC127),""),"")</f>
        <v>836312</v>
      </c>
      <c r="O14" s="171" t="str">
        <f t="shared" si="1"/>
        <v/>
      </c>
      <c r="P14" s="166" t="str">
        <f t="shared" si="2"/>
        <v/>
      </c>
      <c r="Q14" s="166" t="str">
        <f t="shared" si="3"/>
        <v/>
      </c>
      <c r="R14" s="169" t="str">
        <f t="shared" si="10"/>
        <v/>
      </c>
      <c r="S14" s="169" t="str">
        <f t="shared" si="11"/>
        <v/>
      </c>
      <c r="T14" s="166">
        <f t="shared" si="4"/>
        <v>0</v>
      </c>
      <c r="U14" s="166" t="str">
        <f t="shared" si="12"/>
        <v>除外</v>
      </c>
      <c r="V14" s="166" t="str">
        <f t="shared" si="5"/>
        <v/>
      </c>
      <c r="W14" s="172">
        <f t="array" ref="W14">IF(C14&lt;&gt;"",IFERROR(100-100/(1+SUMPRODUCT((終値!F127:R127&gt;終値!G127:S127)*( 終値!F127:R127-終値!G127:S127))/SUMPRODUCT((終値!F127:R127&lt;終値!G127:S127)*(終値!G127:S127-終値!F127:R127))),50),"")</f>
        <v>52.075471698113205</v>
      </c>
      <c r="X14" s="173">
        <f>IF(C14&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-10.327616333450351</v>
      </c>
      <c r="Y14" s="1" t="e">
        <f>IF(T14="","",IF(銘柄管理!$F$5="下落▼",IF(AND(AD14="パーフェクト▲",OR(AE14="25日線押し目●",AE14="5日線押し目○")),"★逆張り候補",IF(AND(AD14="上昇トレンド▲",OR(AE14="25日線押し目●",AE14="5日線押し目○")),"○逆張り候補",IF(W14&lt;=30,IF(Z14&gt;0,"◎反発確認",IF(Z14&lt;-5,"△要注意・様子見","△売られ過ぎ注目")),"相場下落・見送り"))),IF(AND(T14&gt;=12,AD14="パーフェクト▲"),"★強い買い",IF(AND(T14&gt;=12,AD14="上昇トレンド▲"),"★強い買い",IF(AND(T14&gt;=8,OR(AE14="25日線押し目●",AE14="5日線押し目○")),"◎押し目買い",IF(T14&gt;=10,"○買い候補",IF(T14&gt;=6,"△注目",IF(T14&gt;=3,"様子見","見送り"))))))))</f>
        <v>#VALUE!</v>
      </c>
      <c r="Z14" s="174" t="str">
        <f t="shared" si="13"/>
        <v/>
      </c>
      <c r="AA14" s="166" t="str">
        <f t="shared" si="14"/>
        <v/>
      </c>
      <c r="AB14" s="406">
        <f>IF(C14="","",IFERROR(((終値!E16*0.333)+(終値!F16*0.222)+(終値!G16*0.148)+(終値!H16*0.099)+(終値!I16*0.066)+(終値!J16*0.044)+(終値!K16*0.029)+(終値!L16*0.019)+(終値!M16*0.013)+(終値!N16*0.009))/(0.333+0.222+0.148+0.099+0.066+0.044+0.029+0.019+0.013+0.009),""))</f>
        <v>4481.9368635437868</v>
      </c>
      <c r="AC14" s="406">
        <f>IF(C14="","",IFERROR(SUMPRODUCT((終値!E16:AC16),({0.077,0.071,0.065,0.06,0.055,0.051,0.047,0.043,0.039,0.036,0.033,0.031,0.028,0.026,0.024,0.022,0.02,0.018,0.017,0.016,0.014,0.013,0.012,0.011,0.01}))/SUM({0.077,0.071,0.065,0.06,0.055,0.051,0.047,0.043,0.039,0.036,0.033,0.031,0.028,0.026,0.024,0.022,0.02,0.018,0.017,0.016,0.014,0.013,0.012,0.011,0.01}),""))</f>
        <v>4476.8379022645995</v>
      </c>
      <c r="AD14" s="407" t="str">
        <f t="shared" si="6"/>
        <v>パーフェクト▲</v>
      </c>
      <c r="AE14" s="407" t="e">
        <f t="shared" si="7"/>
        <v>#VALUE!</v>
      </c>
      <c r="AF14" s="368">
        <f t="array" ref="AF14">IF(C14="","",IFERROR((INDEX(終値!$E:$E,MATCH(TEXT(C14,"0"),終値!$A:$A,0))-INDEX(終値!$E:$CZ,MATCH(TEXT(C14,"0"),終値!$A:$A,0),$AL$2))/INDEX(終値!$E:$CZ,MATCH(TEXT(C14,"0"),終値!$A:$A,0),$AL$2)*100,""))</f>
        <v>-2.7012327773749094</v>
      </c>
      <c r="AG14" s="368">
        <f t="array" ref="AG14">IFERROR((終値!$E$5-INDEX(終値!$E$5:$CZ$5,1,$AL$2))/INDEX(終値!$E$5:$CZ$5,1,$AL$2)*100,"")</f>
        <v>2.31989243802786</v>
      </c>
      <c r="AH14" s="369">
        <f t="shared" si="8"/>
        <v>-5.021125215402769</v>
      </c>
      <c r="AI14" s="367">
        <f t="shared" si="9"/>
        <v>-2</v>
      </c>
    </row>
    <row r="15" spans="1:38" s="177" customFormat="1" ht="18" customHeight="1">
      <c r="A15" s="166" t="str">
        <f>IF(銘柄管理!B115&lt;&gt;"",HYPERLINK("https://kabutan.jp/stock/?code="&amp;銘柄管理!B115,"株探"),"")</f>
        <v>株探</v>
      </c>
      <c r="B15" s="167"/>
      <c r="C15" s="168">
        <f>IF(銘柄管理!B115="","",銘柄管理!B115)</f>
        <v>9531</v>
      </c>
      <c r="D15" s="106" t="str">
        <f>IF(銘柄管理!C115="","",銘柄管理!C115)</f>
        <v/>
      </c>
      <c r="E15" s="169" t="str">
        <f>IF(C15&lt;&gt;"",_xll.RssMarket(C15,"現在値"),"")</f>
        <v/>
      </c>
      <c r="F15" s="169" t="str">
        <f>IF(C15&lt;&gt;"",_xll.RssMarket(C15,"始値"),"")</f>
        <v/>
      </c>
      <c r="G15" s="168">
        <f>IF(C15&lt;&gt;"",終値!F115,"")</f>
        <v>6072</v>
      </c>
      <c r="H15" s="169" t="str">
        <f>IF(C15&lt;&gt;"",_xll.RssMarket(C15,"高値"),"")</f>
        <v/>
      </c>
      <c r="I15" s="169" t="str">
        <f>IF(C15&lt;&gt;"",_xll.RssMarket(C15,"安値"),"")</f>
        <v/>
      </c>
      <c r="J15" s="169" t="str">
        <f>IF(C15&lt;&gt;"",_xll.RssMarket(C15,"出来高"),"")</f>
        <v/>
      </c>
      <c r="K15" s="169" t="str">
        <f>IF(C15&lt;&gt;"",_xll.RssMarket(C15,"年初来高値"),"")</f>
        <v/>
      </c>
      <c r="L15" s="170" t="str">
        <f t="shared" si="0"/>
        <v/>
      </c>
      <c r="M15" s="169">
        <f>IF(C15&lt;&gt;"",IFERROR(AVERAGE(出来高!E115:I115),""),"")</f>
        <v>1077960</v>
      </c>
      <c r="N15" s="169">
        <f>IF(C15&lt;&gt;"",IFERROR(AVERAGE(出来高!E115:AC115),""),"")</f>
        <v>1032880</v>
      </c>
      <c r="O15" s="171" t="str">
        <f t="shared" si="1"/>
        <v/>
      </c>
      <c r="P15" s="166" t="str">
        <f t="shared" si="2"/>
        <v/>
      </c>
      <c r="Q15" s="166" t="str">
        <f t="shared" si="3"/>
        <v/>
      </c>
      <c r="R15" s="169" t="str">
        <f t="shared" si="10"/>
        <v/>
      </c>
      <c r="S15" s="169" t="str">
        <f t="shared" si="11"/>
        <v/>
      </c>
      <c r="T15" s="166">
        <f t="shared" si="4"/>
        <v>0</v>
      </c>
      <c r="U15" s="166" t="str">
        <f t="shared" si="12"/>
        <v>除外</v>
      </c>
      <c r="V15" s="166" t="str">
        <f t="shared" si="5"/>
        <v/>
      </c>
      <c r="W15" s="172">
        <f t="array" ref="W15">IF(C15&lt;&gt;"",IFERROR(100-100/(1+SUMPRODUCT((終値!F115:R115&gt;終値!G115:S115)*( 終値!F115:R115-終値!G115:S115))/SUMPRODUCT((終値!F115:R115&lt;終値!G115:S115)*(終値!G115:S115-終値!F115:R115))),50),"")</f>
        <v>50.233100233100231</v>
      </c>
      <c r="X15" s="173">
        <f>IF(C15&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-19.539307193546847</v>
      </c>
      <c r="Y15" s="1" t="e">
        <f>IF(T15="","",IF(銘柄管理!$F$5="下落▼",IF(AND(AD15="パーフェクト▲",OR(AE15="25日線押し目●",AE15="5日線押し目○")),"★逆張り候補",IF(AND(AD15="上昇トレンド▲",OR(AE15="25日線押し目●",AE15="5日線押し目○")),"○逆張り候補",IF(W15&lt;=30,IF(Z15&gt;0,"◎反発確認",IF(Z15&lt;-5,"△要注意・様子見","△売られ過ぎ注目")),"相場下落・見送り"))),IF(AND(T15&gt;=12,AD15="パーフェクト▲"),"★強い買い",IF(AND(T15&gt;=12,AD15="上昇トレンド▲"),"★強い買い",IF(AND(T15&gt;=8,OR(AE15="25日線押し目●",AE15="5日線押し目○")),"◎押し目買い",IF(T15&gt;=10,"○買い候補",IF(T15&gt;=6,"△注目",IF(T15&gt;=3,"様子見","見送り"))))))))</f>
        <v>#VALUE!</v>
      </c>
      <c r="Z15" s="174" t="str">
        <f t="shared" si="13"/>
        <v/>
      </c>
      <c r="AA15" s="166" t="str">
        <f t="shared" si="14"/>
        <v/>
      </c>
      <c r="AB15" s="408">
        <f>IF(C15="","",IFERROR(((終値!E17*0.333)+(終値!F17*0.222)+(終値!G17*0.148)+(終値!H17*0.099)+(終値!I17*0.066)+(終値!J17*0.044)+(終値!K17*0.029)+(終値!L17*0.019)+(終値!M17*0.013)+(終値!N17*0.009))/(0.333+0.222+0.148+0.099+0.066+0.044+0.029+0.019+0.013+0.009),""))</f>
        <v>6536.0641547861496</v>
      </c>
      <c r="AC15" s="408">
        <f>IF(C15="","",IFERROR(SUMPRODUCT((終値!E17:AC17),({0.077,0.071,0.065,0.06,0.055,0.051,0.047,0.043,0.039,0.036,0.033,0.031,0.028,0.026,0.024,0.022,0.02,0.018,0.017,0.016,0.014,0.013,0.012,0.011,0.01}))/SUM({0.077,0.071,0.065,0.06,0.055,0.051,0.047,0.043,0.039,0.036,0.033,0.031,0.028,0.026,0.024,0.022,0.02,0.018,0.017,0.016,0.014,0.013,0.012,0.011,0.01}),""))</f>
        <v>6979.0858164481497</v>
      </c>
      <c r="AD15" s="409" t="str">
        <f t="shared" si="6"/>
        <v>上昇トレンド▲</v>
      </c>
      <c r="AE15" s="409" t="e">
        <f t="shared" si="7"/>
        <v>#VALUE!</v>
      </c>
      <c r="AF15" s="368">
        <f t="array" ref="AF15">IF(C15="","",IFERROR((INDEX(終値!$E:$E,MATCH(TEXT(C15,"0"),終値!$A:$A,0))-INDEX(終値!$E:$CZ,MATCH(TEXT(C15,"0"),終値!$A:$A,0),$AL$2))/INDEX(終値!$E:$CZ,MATCH(TEXT(C15,"0"),終値!$A:$A,0),$AL$2)*100,""))</f>
        <v>-3.5493582633497072</v>
      </c>
      <c r="AG15" s="368">
        <f t="array" ref="AG15">IFERROR((終値!$E$5-INDEX(終値!$E$5:$CZ$5,1,$AL$2))/INDEX(終値!$E$5:$CZ$5,1,$AL$2)*100,"")</f>
        <v>2.31989243802786</v>
      </c>
      <c r="AH15" s="369">
        <f t="shared" si="8"/>
        <v>-5.8692507013775668</v>
      </c>
      <c r="AI15" s="367">
        <f t="shared" si="9"/>
        <v>-2</v>
      </c>
    </row>
    <row r="16" spans="1:38" s="177" customFormat="1" ht="18" customHeight="1">
      <c r="A16" s="166" t="str">
        <f>IF(銘柄管理!B186&lt;&gt;"",HYPERLINK("https://kabutan.jp/stock/?code="&amp;銘柄管理!B186,"株探"),"")</f>
        <v>株探</v>
      </c>
      <c r="B16" s="167"/>
      <c r="C16" s="168">
        <f>IF(銘柄管理!B186="","",銘柄管理!B186)</f>
        <v>9506</v>
      </c>
      <c r="D16" s="106" t="str">
        <f>IF(銘柄管理!C186="","",銘柄管理!C186)</f>
        <v/>
      </c>
      <c r="E16" s="169" t="str">
        <f>IF(C16&lt;&gt;"",_xll.RssMarket(C16,"現在値"),"")</f>
        <v/>
      </c>
      <c r="F16" s="169" t="str">
        <f>IF(C16&lt;&gt;"",_xll.RssMarket(C16,"始値"),"")</f>
        <v/>
      </c>
      <c r="G16" s="168">
        <f>IF(C16&lt;&gt;"",終値!F186,"")</f>
        <v>1127.5</v>
      </c>
      <c r="H16" s="169" t="str">
        <f>IF(C16&lt;&gt;"",_xll.RssMarket(C16,"高値"),"")</f>
        <v/>
      </c>
      <c r="I16" s="169" t="str">
        <f>IF(C16&lt;&gt;"",_xll.RssMarket(C16,"安値"),"")</f>
        <v/>
      </c>
      <c r="J16" s="169" t="str">
        <f>IF(C16&lt;&gt;"",_xll.RssMarket(C16,"出来高"),"")</f>
        <v/>
      </c>
      <c r="K16" s="169" t="str">
        <f>IF(C16&lt;&gt;"",_xll.RssMarket(C16,"年初来高値"),"")</f>
        <v/>
      </c>
      <c r="L16" s="170" t="str">
        <f t="shared" si="0"/>
        <v/>
      </c>
      <c r="M16" s="169">
        <f>IF(C16&lt;&gt;"",IFERROR(AVERAGE(出来高!E186:I186),""),"")</f>
        <v>2451140</v>
      </c>
      <c r="N16" s="169">
        <f>IF(C16&lt;&gt;"",IFERROR(AVERAGE(出来高!E186:AC186),""),"")</f>
        <v>2187396</v>
      </c>
      <c r="O16" s="171" t="str">
        <f t="shared" si="1"/>
        <v/>
      </c>
      <c r="P16" s="166" t="str">
        <f t="shared" si="2"/>
        <v/>
      </c>
      <c r="Q16" s="166" t="str">
        <f t="shared" si="3"/>
        <v/>
      </c>
      <c r="R16" s="169" t="str">
        <f t="shared" si="10"/>
        <v/>
      </c>
      <c r="S16" s="169" t="str">
        <f t="shared" si="11"/>
        <v/>
      </c>
      <c r="T16" s="166">
        <f t="shared" si="4"/>
        <v>0</v>
      </c>
      <c r="U16" s="166" t="str">
        <f t="shared" si="12"/>
        <v>除外</v>
      </c>
      <c r="V16" s="166" t="str">
        <f t="shared" si="5"/>
        <v/>
      </c>
      <c r="W16" s="172">
        <f t="array" ref="W16">IF(C16&lt;&gt;"",IFERROR(100-100/(1+SUMPRODUCT((終値!F186:R186&gt;終値!G186:S186)*( 終値!F186:R186-終値!G186:S186))/SUMPRODUCT((終値!F186:R186&lt;終値!G186:S186)*(終値!G186:S186-終値!F186:R186))),50),"")</f>
        <v>86.147186147186147</v>
      </c>
      <c r="X16" s="173">
        <f>IF(C16&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10.777464486007602</v>
      </c>
      <c r="Y16" s="1" t="e">
        <f>IF(T16="","",IF(銘柄管理!$F$5="下落▼",IF(AND(AD16="パーフェクト▲",OR(AE16="25日線押し目●",AE16="5日線押し目○")),"★逆張り候補",IF(AND(AD16="上昇トレンド▲",OR(AE16="25日線押し目●",AE16="5日線押し目○")),"○逆張り候補",IF(W16&lt;=30,IF(Z16&gt;0,"◎反発確認",IF(Z16&lt;-5,"△要注意・様子見","△売られ過ぎ注目")),"相場下落・見送り"))),IF(AND(T16&gt;=12,AD16="パーフェクト▲"),"★強い買い",IF(AND(T16&gt;=12,AD16="上昇トレンド▲"),"★強い買い",IF(AND(T16&gt;=8,OR(AE16="25日線押し目●",AE16="5日線押し目○")),"◎押し目買い",IF(T16&gt;=10,"○買い候補",IF(T16&gt;=6,"△注目",IF(T16&gt;=3,"様子見","見送り"))))))))</f>
        <v>#VALUE!</v>
      </c>
      <c r="Z16" s="174" t="str">
        <f t="shared" si="13"/>
        <v/>
      </c>
      <c r="AA16" s="166" t="str">
        <f t="shared" si="14"/>
        <v/>
      </c>
      <c r="AB16" s="406">
        <f>IF(C16="","",IFERROR(((終値!E18*0.333)+(終値!F18*0.222)+(終値!G18*0.148)+(終値!H18*0.099)+(終値!I18*0.066)+(終値!J18*0.044)+(終値!K18*0.029)+(終値!L18*0.019)+(終値!M18*0.013)+(終値!N18*0.009))/(0.333+0.222+0.148+0.099+0.066+0.044+0.029+0.019+0.013+0.009),""))</f>
        <v>1683.211812627291</v>
      </c>
      <c r="AC16" s="406">
        <f>IF(C16="","",IFERROR(SUMPRODUCT((終値!E18:AC18),({0.077,0.071,0.065,0.06,0.055,0.051,0.047,0.043,0.039,0.036,0.033,0.031,0.028,0.026,0.024,0.022,0.02,0.018,0.017,0.016,0.014,0.013,0.012,0.011,0.01}))/SUM({0.077,0.071,0.065,0.06,0.055,0.051,0.047,0.043,0.039,0.036,0.033,0.031,0.028,0.026,0.024,0.022,0.02,0.018,0.017,0.016,0.014,0.013,0.012,0.011,0.01}),""))</f>
        <v>1652.9713945172814</v>
      </c>
      <c r="AD16" s="407" t="str">
        <f t="shared" si="6"/>
        <v>パーフェクト▲</v>
      </c>
      <c r="AE16" s="407" t="e">
        <f t="shared" si="7"/>
        <v>#VALUE!</v>
      </c>
      <c r="AF16" s="368">
        <f t="array" ref="AF16">IF(C16="","",IFERROR((INDEX(終値!$E:$E,MATCH(TEXT(C16,"0"),終値!$A:$A,0))-INDEX(終値!$E:$CZ,MATCH(TEXT(C16,"0"),終値!$A:$A,0),$AL$2))/INDEX(終値!$E:$CZ,MATCH(TEXT(C16,"0"),終値!$A:$A,0),$AL$2)*100,""))</f>
        <v>11.972180824639841</v>
      </c>
      <c r="AG16" s="368">
        <f t="array" ref="AG16">IFERROR((終値!$E$5-INDEX(終値!$E$5:$CZ$5,1,$AL$2))/INDEX(終値!$E$5:$CZ$5,1,$AL$2)*100,"")</f>
        <v>2.31989243802786</v>
      </c>
      <c r="AH16" s="369">
        <f t="shared" si="8"/>
        <v>9.6522883866119802</v>
      </c>
      <c r="AI16" s="367">
        <f t="shared" si="9"/>
        <v>3</v>
      </c>
    </row>
    <row r="17" spans="1:35" s="177" customFormat="1" ht="18" customHeight="1">
      <c r="A17" s="166" t="str">
        <f>IF(銘柄管理!B181&lt;&gt;"",HYPERLINK("https://kabutan.jp/stock/?code="&amp;銘柄管理!B181,"株探"),"")</f>
        <v>株探</v>
      </c>
      <c r="B17" s="167"/>
      <c r="C17" s="168">
        <f>IF(銘柄管理!B181="","",銘柄管理!B181)</f>
        <v>9505</v>
      </c>
      <c r="D17" s="106" t="str">
        <f>IF(銘柄管理!C181="","",銘柄管理!C181)</f>
        <v/>
      </c>
      <c r="E17" s="169" t="str">
        <f>IF(C17&lt;&gt;"",_xll.RssMarket(C17,"現在値"),"")</f>
        <v/>
      </c>
      <c r="F17" s="169" t="str">
        <f>IF(C17&lt;&gt;"",_xll.RssMarket(C17,"始値"),"")</f>
        <v/>
      </c>
      <c r="G17" s="168">
        <f>IF(C17&lt;&gt;"",終値!F181,"")</f>
        <v>910.4</v>
      </c>
      <c r="H17" s="169" t="str">
        <f>IF(C17&lt;&gt;"",_xll.RssMarket(C17,"高値"),"")</f>
        <v/>
      </c>
      <c r="I17" s="169" t="str">
        <f>IF(C17&lt;&gt;"",_xll.RssMarket(C17,"安値"),"")</f>
        <v/>
      </c>
      <c r="J17" s="169" t="str">
        <f>IF(C17&lt;&gt;"",_xll.RssMarket(C17,"出来高"),"")</f>
        <v/>
      </c>
      <c r="K17" s="169" t="str">
        <f>IF(C17&lt;&gt;"",_xll.RssMarket(C17,"年初来高値"),"")</f>
        <v/>
      </c>
      <c r="L17" s="170" t="str">
        <f t="shared" si="0"/>
        <v/>
      </c>
      <c r="M17" s="169">
        <f>IF(C17&lt;&gt;"",IFERROR(AVERAGE(出来高!E181:I181),""),"")</f>
        <v>802300</v>
      </c>
      <c r="N17" s="169">
        <f>IF(C17&lt;&gt;"",IFERROR(AVERAGE(出来高!E181:AC181),""),"")</f>
        <v>807604</v>
      </c>
      <c r="O17" s="171" t="str">
        <f t="shared" si="1"/>
        <v/>
      </c>
      <c r="P17" s="166" t="str">
        <f t="shared" si="2"/>
        <v/>
      </c>
      <c r="Q17" s="166" t="str">
        <f t="shared" si="3"/>
        <v/>
      </c>
      <c r="R17" s="169" t="str">
        <f t="shared" si="10"/>
        <v/>
      </c>
      <c r="S17" s="169" t="str">
        <f t="shared" si="11"/>
        <v/>
      </c>
      <c r="T17" s="166">
        <f t="shared" si="4"/>
        <v>0</v>
      </c>
      <c r="U17" s="166" t="str">
        <f t="shared" si="12"/>
        <v>除外</v>
      </c>
      <c r="V17" s="166" t="str">
        <f t="shared" si="5"/>
        <v/>
      </c>
      <c r="W17" s="172">
        <f t="array" ref="W17">IF(C17&lt;&gt;"",IFERROR(100-100/(1+SUMPRODUCT((終値!F181:R181&gt;終値!G181:S181)*( 終値!F181:R181-終値!G181:S181))/SUMPRODUCT((終値!F181:R181&lt;終値!G181:S181)*(終値!G181:S181-終値!F181:R181))),50),"")</f>
        <v>66.717557251908403</v>
      </c>
      <c r="X17" s="173">
        <f>IF(C17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7.189456254801371</v>
      </c>
      <c r="Y17" s="1" t="e">
        <f>IF(T17="","",IF(銘柄管理!$F$5="下落▼",IF(AND(AD17="パーフェクト▲",OR(AE17="25日線押し目●",AE17="5日線押し目○")),"★逆張り候補",IF(AND(AD17="上昇トレンド▲",OR(AE17="25日線押し目●",AE17="5日線押し目○")),"○逆張り候補",IF(W17&lt;=30,IF(Z17&gt;0,"◎反発確認",IF(Z17&lt;-5,"△要注意・様子見","△売られ過ぎ注目")),"相場下落・見送り"))),IF(AND(T17&gt;=12,AD17="パーフェクト▲"),"★強い買い",IF(AND(T17&gt;=12,AD17="上昇トレンド▲"),"★強い買い",IF(AND(T17&gt;=8,OR(AE17="25日線押し目●",AE17="5日線押し目○")),"◎押し目買い",IF(T17&gt;=10,"○買い候補",IF(T17&gt;=6,"△注目",IF(T17&gt;=3,"様子見","見送り"))))))))</f>
        <v>#VALUE!</v>
      </c>
      <c r="Z17" s="174" t="str">
        <f t="shared" si="13"/>
        <v/>
      </c>
      <c r="AA17" s="166" t="str">
        <f t="shared" si="14"/>
        <v/>
      </c>
      <c r="AB17" s="408">
        <f>IF(C17="","",IFERROR(((終値!E19*0.333)+(終値!F19*0.222)+(終値!G19*0.148)+(終値!H19*0.099)+(終値!I19*0.066)+(終値!J19*0.044)+(終値!K19*0.029)+(終値!L19*0.019)+(終値!M19*0.013)+(終値!N19*0.009))/(0.333+0.222+0.148+0.099+0.066+0.044+0.029+0.019+0.013+0.009),""))</f>
        <v>8273.8747454175136</v>
      </c>
      <c r="AC17" s="408">
        <f>IF(C17="","",IFERROR(SUMPRODUCT((終値!E19:AC19),({0.077,0.071,0.065,0.06,0.055,0.051,0.047,0.043,0.039,0.036,0.033,0.031,0.028,0.026,0.024,0.022,0.02,0.018,0.017,0.016,0.014,0.013,0.012,0.011,0.01}))/SUM({0.077,0.071,0.065,0.06,0.055,0.051,0.047,0.043,0.039,0.036,0.033,0.031,0.028,0.026,0.024,0.022,0.02,0.018,0.017,0.016,0.014,0.013,0.012,0.011,0.01}),""))</f>
        <v>8087.6448152562562</v>
      </c>
      <c r="AD17" s="409" t="str">
        <f t="shared" si="6"/>
        <v>パーフェクト▲</v>
      </c>
      <c r="AE17" s="409" t="e">
        <f t="shared" si="7"/>
        <v>#VALUE!</v>
      </c>
      <c r="AF17" s="368">
        <f t="array" ref="AF17">IF(C17="","",IFERROR((INDEX(終値!$E:$E,MATCH(TEXT(C17,"0"),終値!$A:$A,0))-INDEX(終値!$E:$CZ,MATCH(TEXT(C17,"0"),終値!$A:$A,0),$AL$2))/INDEX(終値!$E:$CZ,MATCH(TEXT(C17,"0"),終値!$A:$A,0),$AL$2)*100,""))</f>
        <v>9.1323652946117875</v>
      </c>
      <c r="AG17" s="368">
        <f t="array" ref="AG17">IFERROR((終値!$E$5-INDEX(終値!$E$5:$CZ$5,1,$AL$2))/INDEX(終値!$E$5:$CZ$5,1,$AL$2)*100,"")</f>
        <v>2.31989243802786</v>
      </c>
      <c r="AH17" s="369">
        <f t="shared" si="8"/>
        <v>6.812472856583927</v>
      </c>
      <c r="AI17" s="367">
        <f t="shared" si="9"/>
        <v>3</v>
      </c>
    </row>
    <row r="18" spans="1:35" s="177" customFormat="1" ht="18" customHeight="1">
      <c r="A18" s="166" t="str">
        <f>IF(銘柄管理!B114&lt;&gt;"",HYPERLINK("https://kabutan.jp/stock/?code="&amp;銘柄管理!B114,"株探"),"")</f>
        <v>株探</v>
      </c>
      <c r="B18" s="167"/>
      <c r="C18" s="168">
        <f>IF(銘柄管理!B114="","",銘柄管理!B114)</f>
        <v>9501</v>
      </c>
      <c r="D18" s="106" t="str">
        <f>IF(銘柄管理!C114="","",銘柄管理!C114)</f>
        <v/>
      </c>
      <c r="E18" s="169" t="str">
        <f>IF(C18&lt;&gt;"",_xll.RssMarket(C18,"現在値"),"")</f>
        <v/>
      </c>
      <c r="F18" s="169" t="str">
        <f>IF(C18&lt;&gt;"",_xll.RssMarket(C18,"始値"),"")</f>
        <v/>
      </c>
      <c r="G18" s="168">
        <f>IF(C18&lt;&gt;"",終値!F114,"")</f>
        <v>508.7</v>
      </c>
      <c r="H18" s="169" t="str">
        <f>IF(C18&lt;&gt;"",_xll.RssMarket(C18,"高値"),"")</f>
        <v/>
      </c>
      <c r="I18" s="169" t="str">
        <f>IF(C18&lt;&gt;"",_xll.RssMarket(C18,"安値"),"")</f>
        <v/>
      </c>
      <c r="J18" s="169" t="str">
        <f>IF(C18&lt;&gt;"",_xll.RssMarket(C18,"出来高"),"")</f>
        <v/>
      </c>
      <c r="K18" s="169" t="str">
        <f>IF(C18&lt;&gt;"",_xll.RssMarket(C18,"年初来高値"),"")</f>
        <v/>
      </c>
      <c r="L18" s="170" t="str">
        <f t="shared" si="0"/>
        <v/>
      </c>
      <c r="M18" s="169">
        <f>IF(C18&lt;&gt;"",IFERROR(AVERAGE(出来高!E114:I114),""),"")</f>
        <v>34916220</v>
      </c>
      <c r="N18" s="169">
        <f>IF(C18&lt;&gt;"",IFERROR(AVERAGE(出来高!E114:AC114),""),"")</f>
        <v>35520532</v>
      </c>
      <c r="O18" s="171" t="str">
        <f t="shared" si="1"/>
        <v/>
      </c>
      <c r="P18" s="166" t="str">
        <f t="shared" si="2"/>
        <v/>
      </c>
      <c r="Q18" s="166" t="str">
        <f t="shared" si="3"/>
        <v/>
      </c>
      <c r="R18" s="169" t="str">
        <f t="shared" si="10"/>
        <v/>
      </c>
      <c r="S18" s="169" t="str">
        <f t="shared" si="11"/>
        <v/>
      </c>
      <c r="T18" s="166">
        <f t="shared" si="4"/>
        <v>0</v>
      </c>
      <c r="U18" s="166" t="str">
        <f t="shared" si="12"/>
        <v>除外</v>
      </c>
      <c r="V18" s="166" t="str">
        <f t="shared" si="5"/>
        <v/>
      </c>
      <c r="W18" s="172">
        <f t="array" ref="W18">IF(C18&lt;&gt;"",IFERROR(100-100/(1+SUMPRODUCT((終値!F114:R114&gt;終値!G114:S114)*( 終値!F114:R114-終値!G114:S114))/SUMPRODUCT((終値!F114:R114&lt;終値!G114:S114)*(終値!G114:S114-終値!F114:R114))),50),"")</f>
        <v>64.929424538545092</v>
      </c>
      <c r="X18" s="173">
        <f>IF(C18&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1.477606780794531</v>
      </c>
      <c r="Y18" s="1" t="e">
        <f>IF(T18="","",IF(銘柄管理!$F$5="下落▼",IF(AND(AD18="パーフェクト▲",OR(AE18="25日線押し目●",AE18="5日線押し目○")),"★逆張り候補",IF(AND(AD18="上昇トレンド▲",OR(AE18="25日線押し目●",AE18="5日線押し目○")),"○逆張り候補",IF(W18&lt;=30,IF(Z18&gt;0,"◎反発確認",IF(Z18&lt;-5,"△要注意・様子見","△売られ過ぎ注目")),"相場下落・見送り"))),IF(AND(T18&gt;=12,AD18="パーフェクト▲"),"★強い買い",IF(AND(T18&gt;=12,AD18="上昇トレンド▲"),"★強い買い",IF(AND(T18&gt;=8,OR(AE18="25日線押し目●",AE18="5日線押し目○")),"◎押し目買い",IF(T18&gt;=10,"○買い候補",IF(T18&gt;=6,"△注目",IF(T18&gt;=3,"様子見","見送り"))))))))</f>
        <v>#VALUE!</v>
      </c>
      <c r="Z18" s="174" t="str">
        <f t="shared" si="13"/>
        <v/>
      </c>
      <c r="AA18" s="166" t="str">
        <f t="shared" si="14"/>
        <v/>
      </c>
      <c r="AB18" s="406">
        <f>IF(C18="","",IFERROR(((終値!E20*0.333)+(終値!F20*0.222)+(終値!G20*0.148)+(終値!H20*0.099)+(終値!I20*0.066)+(終値!J20*0.044)+(終値!K20*0.029)+(終値!L20*0.019)+(終値!M20*0.013)+(終値!N20*0.009))/(0.333+0.222+0.148+0.099+0.066+0.044+0.029+0.019+0.013+0.009),""))</f>
        <v>2271.4012219959268</v>
      </c>
      <c r="AC18" s="406">
        <f>IF(C18="","",IFERROR(SUMPRODUCT((終値!E20:AC20),({0.077,0.071,0.065,0.06,0.055,0.051,0.047,0.043,0.039,0.036,0.033,0.031,0.028,0.026,0.024,0.022,0.02,0.018,0.017,0.016,0.014,0.013,0.012,0.011,0.01}))/SUM({0.077,0.071,0.065,0.06,0.055,0.051,0.047,0.043,0.039,0.036,0.033,0.031,0.028,0.026,0.024,0.022,0.02,0.018,0.017,0.016,0.014,0.013,0.012,0.011,0.01}),""))</f>
        <v>2246.07389749702</v>
      </c>
      <c r="AD18" s="407" t="str">
        <f t="shared" si="6"/>
        <v>パーフェクト▲</v>
      </c>
      <c r="AE18" s="407" t="e">
        <f t="shared" si="7"/>
        <v>#VALUE!</v>
      </c>
      <c r="AF18" s="368">
        <f t="array" ref="AF18">IF(C18="","",IFERROR((INDEX(終値!$E:$E,MATCH(TEXT(C18,"0"),終値!$A:$A,0))-INDEX(終値!$E:$CZ,MATCH(TEXT(C18,"0"),終値!$A:$A,0),$AL$2))/INDEX(終値!$E:$CZ,MATCH(TEXT(C18,"0"),終値!$A:$A,0),$AL$2)*100,""))</f>
        <v>-5.3791557713858715</v>
      </c>
      <c r="AG18" s="368">
        <f t="array" ref="AG18">IFERROR((終値!$E$5-INDEX(終値!$E$5:$CZ$5,1,$AL$2))/INDEX(終値!$E$5:$CZ$5,1,$AL$2)*100,"")</f>
        <v>2.31989243802786</v>
      </c>
      <c r="AH18" s="369">
        <f t="shared" si="8"/>
        <v>-7.699048209413732</v>
      </c>
      <c r="AI18" s="367">
        <f t="shared" si="9"/>
        <v>-2</v>
      </c>
    </row>
    <row r="19" spans="1:35" s="177" customFormat="1" ht="18" customHeight="1">
      <c r="A19" s="166" t="str">
        <f>IF(銘柄管理!B113&lt;&gt;"",HYPERLINK("https://kabutan.jp/stock/?code="&amp;銘柄管理!B113,"株探"),"")</f>
        <v>株探</v>
      </c>
      <c r="B19" s="167"/>
      <c r="C19" s="168">
        <f>IF(銘柄管理!B113="","",銘柄管理!B113)</f>
        <v>9449</v>
      </c>
      <c r="D19" s="106" t="str">
        <f>IF(銘柄管理!C113="","",銘柄管理!C113)</f>
        <v/>
      </c>
      <c r="E19" s="169" t="str">
        <f>IF(C19&lt;&gt;"",_xll.RssMarket(C19,"現在値"),"")</f>
        <v/>
      </c>
      <c r="F19" s="169" t="str">
        <f>IF(C19&lt;&gt;"",_xll.RssMarket(C19,"始値"),"")</f>
        <v/>
      </c>
      <c r="G19" s="168">
        <f>IF(C19&lt;&gt;"",終値!F113,"")</f>
        <v>4038</v>
      </c>
      <c r="H19" s="169" t="str">
        <f>IF(C19&lt;&gt;"",_xll.RssMarket(C19,"高値"),"")</f>
        <v/>
      </c>
      <c r="I19" s="169" t="str">
        <f>IF(C19&lt;&gt;"",_xll.RssMarket(C19,"安値"),"")</f>
        <v/>
      </c>
      <c r="J19" s="169" t="str">
        <f>IF(C19&lt;&gt;"",_xll.RssMarket(C19,"出来高"),"")</f>
        <v/>
      </c>
      <c r="K19" s="169" t="str">
        <f>IF(C19&lt;&gt;"",_xll.RssMarket(C19,"年初来高値"),"")</f>
        <v/>
      </c>
      <c r="L19" s="170" t="str">
        <f t="shared" si="0"/>
        <v/>
      </c>
      <c r="M19" s="169">
        <f>IF(C19&lt;&gt;"",IFERROR(AVERAGE(出来高!E113:I113),""),"")</f>
        <v>494480</v>
      </c>
      <c r="N19" s="169">
        <f>IF(C19&lt;&gt;"",IFERROR(AVERAGE(出来高!E113:AC113),""),"")</f>
        <v>514160</v>
      </c>
      <c r="O19" s="171" t="str">
        <f t="shared" si="1"/>
        <v/>
      </c>
      <c r="P19" s="166" t="str">
        <f t="shared" si="2"/>
        <v/>
      </c>
      <c r="Q19" s="166" t="str">
        <f t="shared" si="3"/>
        <v/>
      </c>
      <c r="R19" s="169" t="str">
        <f t="shared" si="10"/>
        <v/>
      </c>
      <c r="S19" s="169" t="str">
        <f t="shared" si="11"/>
        <v/>
      </c>
      <c r="T19" s="166">
        <f t="shared" si="4"/>
        <v>0</v>
      </c>
      <c r="U19" s="166" t="str">
        <f t="shared" si="12"/>
        <v>除外</v>
      </c>
      <c r="V19" s="166" t="str">
        <f t="shared" si="5"/>
        <v/>
      </c>
      <c r="W19" s="172">
        <f t="array" ref="W19">IF(C19&lt;&gt;"",IFERROR(100-100/(1+SUMPRODUCT((終値!F113:R113&gt;終値!G113:S113)*( 終値!F113:R113-終値!G113:S113))/SUMPRODUCT((終値!F113:R113&lt;終値!G113:S113)*(終値!G113:S113-終値!F113:R113))),50),"")</f>
        <v>92.020725388601036</v>
      </c>
      <c r="X19" s="173">
        <f>IF(C19&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105.42852224376293</v>
      </c>
      <c r="Y19" s="1" t="e">
        <f>IF(T19="","",IF(銘柄管理!$F$5="下落▼",IF(AND(AD19="パーフェクト▲",OR(AE19="25日線押し目●",AE19="5日線押し目○")),"★逆張り候補",IF(AND(AD19="上昇トレンド▲",OR(AE19="25日線押し目●",AE19="5日線押し目○")),"○逆張り候補",IF(W19&lt;=30,IF(Z19&gt;0,"◎反発確認",IF(Z19&lt;-5,"△要注意・様子見","△売られ過ぎ注目")),"相場下落・見送り"))),IF(AND(T19&gt;=12,AD19="パーフェクト▲"),"★強い買い",IF(AND(T19&gt;=12,AD19="上昇トレンド▲"),"★強い買い",IF(AND(T19&gt;=8,OR(AE19="25日線押し目●",AE19="5日線押し目○")),"◎押し目買い",IF(T19&gt;=10,"○買い候補",IF(T19&gt;=6,"△注目",IF(T19&gt;=3,"様子見","見送り"))))))))</f>
        <v>#VALUE!</v>
      </c>
      <c r="Z19" s="174" t="str">
        <f t="shared" si="13"/>
        <v/>
      </c>
      <c r="AA19" s="166" t="str">
        <f t="shared" si="14"/>
        <v/>
      </c>
      <c r="AB19" s="408">
        <f>IF(C19="","",IFERROR(((終値!E21*0.333)+(終値!F21*0.222)+(終値!G21*0.148)+(終値!H21*0.099)+(終値!I21*0.066)+(終値!J21*0.044)+(終値!K21*0.029)+(終値!L21*0.019)+(終値!M21*0.013)+(終値!N21*0.009))/(0.333+0.222+0.148+0.099+0.066+0.044+0.029+0.019+0.013+0.009),""))</f>
        <v>7820.4490835030538</v>
      </c>
      <c r="AC19" s="408">
        <f>IF(C19="","",IFERROR(SUMPRODUCT((終値!E21:AC21),({0.077,0.071,0.065,0.06,0.055,0.051,0.047,0.043,0.039,0.036,0.033,0.031,0.028,0.026,0.024,0.022,0.02,0.018,0.017,0.016,0.014,0.013,0.012,0.011,0.01}))/SUM({0.077,0.071,0.065,0.06,0.055,0.051,0.047,0.043,0.039,0.036,0.033,0.031,0.028,0.026,0.024,0.022,0.02,0.018,0.017,0.016,0.014,0.013,0.012,0.011,0.01}),""))</f>
        <v>8175.7091775923691</v>
      </c>
      <c r="AD19" s="409" t="str">
        <f t="shared" si="6"/>
        <v>上昇トレンド▲</v>
      </c>
      <c r="AE19" s="409" t="e">
        <f t="shared" si="7"/>
        <v>#VALUE!</v>
      </c>
      <c r="AF19" s="368">
        <f t="array" ref="AF19">IF(C19="","",IFERROR((INDEX(終値!$E:$E,MATCH(TEXT(C19,"0"),終値!$A:$A,0))-INDEX(終値!$E:$CZ,MATCH(TEXT(C19,"0"),終値!$A:$A,0),$AL$2))/INDEX(終値!$E:$CZ,MATCH(TEXT(C19,"0"),終値!$A:$A,0),$AL$2)*100,""))</f>
        <v>25.572755417956657</v>
      </c>
      <c r="AG19" s="368">
        <f t="array" ref="AG19">IFERROR((終値!$E$5-INDEX(終値!$E$5:$CZ$5,1,$AL$2))/INDEX(終値!$E$5:$CZ$5,1,$AL$2)*100,"")</f>
        <v>2.31989243802786</v>
      </c>
      <c r="AH19" s="369">
        <f t="shared" si="8"/>
        <v>23.252862979928796</v>
      </c>
      <c r="AI19" s="367">
        <f t="shared" si="9"/>
        <v>3</v>
      </c>
    </row>
    <row r="20" spans="1:35" s="177" customFormat="1" ht="18" customHeight="1">
      <c r="A20" s="166" t="str">
        <f>IF(銘柄管理!B70&lt;&gt;"",HYPERLINK("https://kabutan.jp/stock/?code="&amp;銘柄管理!B70,"株探"),"")</f>
        <v>株探</v>
      </c>
      <c r="B20" s="167"/>
      <c r="C20" s="168">
        <f>IF(銘柄管理!B70="","",銘柄管理!B70)</f>
        <v>9424</v>
      </c>
      <c r="D20" s="106" t="str">
        <f>IF(銘柄管理!C70="","",銘柄管理!C70)</f>
        <v/>
      </c>
      <c r="E20" s="169" t="str">
        <f>IF(C20&lt;&gt;"",_xll.RssMarket(C20,"現在値"),"")</f>
        <v/>
      </c>
      <c r="F20" s="169" t="str">
        <f>IF(C20&lt;&gt;"",_xll.RssMarket(C20,"始値"),"")</f>
        <v/>
      </c>
      <c r="G20" s="168">
        <f>IF(C20&lt;&gt;"",終値!F70,"")</f>
        <v>118</v>
      </c>
      <c r="H20" s="169" t="str">
        <f>IF(C20&lt;&gt;"",_xll.RssMarket(C20,"高値"),"")</f>
        <v/>
      </c>
      <c r="I20" s="169" t="str">
        <f>IF(C20&lt;&gt;"",_xll.RssMarket(C20,"安値"),"")</f>
        <v/>
      </c>
      <c r="J20" s="169" t="str">
        <f>IF(C20&lt;&gt;"",_xll.RssMarket(C20,"出来高"),"")</f>
        <v/>
      </c>
      <c r="K20" s="169" t="str">
        <f>IF(C20&lt;&gt;"",_xll.RssMarket(C20,"年初来高値"),"")</f>
        <v/>
      </c>
      <c r="L20" s="170" t="str">
        <f t="shared" si="0"/>
        <v/>
      </c>
      <c r="M20" s="169">
        <f>IF(C20&lt;&gt;"",IFERROR(AVERAGE(出来高!E70:I70),""),"")</f>
        <v>1281800</v>
      </c>
      <c r="N20" s="169">
        <f>IF(C20&lt;&gt;"",IFERROR(AVERAGE(出来高!E70:AC70),""),"")</f>
        <v>1555844</v>
      </c>
      <c r="O20" s="171" t="str">
        <f t="shared" si="1"/>
        <v/>
      </c>
      <c r="P20" s="166" t="str">
        <f t="shared" si="2"/>
        <v/>
      </c>
      <c r="Q20" s="166" t="str">
        <f t="shared" si="3"/>
        <v/>
      </c>
      <c r="R20" s="169" t="str">
        <f t="shared" si="10"/>
        <v/>
      </c>
      <c r="S20" s="169" t="str">
        <f t="shared" si="11"/>
        <v/>
      </c>
      <c r="T20" s="166">
        <f t="shared" si="4"/>
        <v>0</v>
      </c>
      <c r="U20" s="166" t="str">
        <f t="shared" si="12"/>
        <v>除外</v>
      </c>
      <c r="V20" s="166" t="str">
        <f t="shared" si="5"/>
        <v/>
      </c>
      <c r="W20" s="172">
        <f t="array" ref="W20">IF(C20&lt;&gt;"",IFERROR(100-100/(1+SUMPRODUCT((終値!F70:R70&gt;終値!G70:S70)*( 終値!F70:R70-終値!G70:S70))/SUMPRODUCT((終値!F70:R70&lt;終値!G70:S70)*(終値!G70:S70-終値!F70:R70))),50),"")</f>
        <v>55.172413793103452</v>
      </c>
      <c r="X20" s="173">
        <f>IF(C20&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-6.5654615724355381E-3</v>
      </c>
      <c r="Y20" s="1" t="e">
        <f>IF(T20="","",IF(銘柄管理!$F$5="下落▼",IF(AND(AD20="パーフェクト▲",OR(AE20="25日線押し目●",AE20="5日線押し目○")),"★逆張り候補",IF(AND(AD20="上昇トレンド▲",OR(AE20="25日線押し目●",AE20="5日線押し目○")),"○逆張り候補",IF(W20&lt;=30,IF(Z20&gt;0,"◎反発確認",IF(Z20&lt;-5,"△要注意・様子見","△売られ過ぎ注目")),"相場下落・見送り"))),IF(AND(T20&gt;=12,AD20="パーフェクト▲"),"★強い買い",IF(AND(T20&gt;=12,AD20="上昇トレンド▲"),"★強い買い",IF(AND(T20&gt;=8,OR(AE20="25日線押し目●",AE20="5日線押し目○")),"◎押し目買い",IF(T20&gt;=10,"○買い候補",IF(T20&gt;=6,"△注目",IF(T20&gt;=3,"様子見","見送り"))))))))</f>
        <v>#VALUE!</v>
      </c>
      <c r="Z20" s="174" t="str">
        <f t="shared" si="13"/>
        <v/>
      </c>
      <c r="AA20" s="166" t="str">
        <f t="shared" si="14"/>
        <v/>
      </c>
      <c r="AB20" s="406">
        <f>IF(C20="","",IFERROR(((終値!E22*0.333)+(終値!F22*0.222)+(終値!G22*0.148)+(終値!H22*0.099)+(終値!I22*0.066)+(終値!J22*0.044)+(終値!K22*0.029)+(終値!L22*0.019)+(終値!M22*0.013)+(終値!N22*0.009))/(0.333+0.222+0.148+0.099+0.066+0.044+0.029+0.019+0.013+0.009),""))</f>
        <v>4501.377800407332</v>
      </c>
      <c r="AC20" s="406">
        <f>IF(C20="","",IFERROR(SUMPRODUCT((終値!E22:AC22),({0.077,0.071,0.065,0.06,0.055,0.051,0.047,0.043,0.039,0.036,0.033,0.031,0.028,0.026,0.024,0.022,0.02,0.018,0.017,0.016,0.014,0.013,0.012,0.011,0.01}))/SUM({0.077,0.071,0.065,0.06,0.055,0.051,0.047,0.043,0.039,0.036,0.033,0.031,0.028,0.026,0.024,0.022,0.02,0.018,0.017,0.016,0.014,0.013,0.012,0.011,0.01}),""))</f>
        <v>4463.0143027413569</v>
      </c>
      <c r="AD20" s="407" t="str">
        <f t="shared" si="6"/>
        <v>パーフェクト▲</v>
      </c>
      <c r="AE20" s="407" t="e">
        <f t="shared" si="7"/>
        <v>#VALUE!</v>
      </c>
      <c r="AF20" s="368">
        <f t="array" ref="AF20">IF(C20="","",IFERROR((INDEX(終値!$E:$E,MATCH(TEXT(C20,"0"),終値!$A:$A,0))-INDEX(終値!$E:$CZ,MATCH(TEXT(C20,"0"),終値!$A:$A,0),$AL$2))/INDEX(終値!$E:$CZ,MATCH(TEXT(C20,"0"),終値!$A:$A,0),$AL$2)*100,""))</f>
        <v>-1.7391304347826086</v>
      </c>
      <c r="AG20" s="368">
        <f t="array" ref="AG20">IFERROR((終値!$E$5-INDEX(終値!$E$5:$CZ$5,1,$AL$2))/INDEX(終値!$E$5:$CZ$5,1,$AL$2)*100,"")</f>
        <v>2.31989243802786</v>
      </c>
      <c r="AH20" s="369">
        <f t="shared" si="8"/>
        <v>-4.0590228728104689</v>
      </c>
      <c r="AI20" s="367">
        <f t="shared" si="9"/>
        <v>-2</v>
      </c>
    </row>
    <row r="21" spans="1:35" s="177" customFormat="1" ht="18" customHeight="1">
      <c r="A21" s="166" t="str">
        <f>IF(銘柄管理!B126&lt;&gt;"",HYPERLINK("https://kabutan.jp/stock/?code="&amp;銘柄管理!B126,"株探"),"")</f>
        <v>株探</v>
      </c>
      <c r="B21" s="167"/>
      <c r="C21" s="168">
        <f>IF(銘柄管理!B126="","",銘柄管理!B126)</f>
        <v>9416</v>
      </c>
      <c r="D21" s="106" t="str">
        <f>IF(銘柄管理!C126="","",銘柄管理!C126)</f>
        <v/>
      </c>
      <c r="E21" s="169" t="str">
        <f>IF(C21&lt;&gt;"",_xll.RssMarket(C21,"現在値"),"")</f>
        <v/>
      </c>
      <c r="F21" s="169" t="str">
        <f>IF(C21&lt;&gt;"",_xll.RssMarket(C21,"始値"),"")</f>
        <v/>
      </c>
      <c r="G21" s="168">
        <f>IF(C21&lt;&gt;"",終値!F126,"")</f>
        <v>1014</v>
      </c>
      <c r="H21" s="169" t="str">
        <f>IF(C21&lt;&gt;"",_xll.RssMarket(C21,"高値"),"")</f>
        <v/>
      </c>
      <c r="I21" s="169" t="str">
        <f>IF(C21&lt;&gt;"",_xll.RssMarket(C21,"安値"),"")</f>
        <v/>
      </c>
      <c r="J21" s="169" t="str">
        <f>IF(C21&lt;&gt;"",_xll.RssMarket(C21,"出来高"),"")</f>
        <v/>
      </c>
      <c r="K21" s="169" t="str">
        <f>IF(C21&lt;&gt;"",_xll.RssMarket(C21,"年初来高値"),"")</f>
        <v/>
      </c>
      <c r="L21" s="170" t="str">
        <f t="shared" si="0"/>
        <v/>
      </c>
      <c r="M21" s="169">
        <f>IF(C21&lt;&gt;"",IFERROR(AVERAGE(出来高!E126:I126),""),"")</f>
        <v>252020</v>
      </c>
      <c r="N21" s="169">
        <f>IF(C21&lt;&gt;"",IFERROR(AVERAGE(出来高!E126:AC126),""),"")</f>
        <v>447220</v>
      </c>
      <c r="O21" s="171" t="str">
        <f t="shared" si="1"/>
        <v/>
      </c>
      <c r="P21" s="166" t="str">
        <f t="shared" si="2"/>
        <v/>
      </c>
      <c r="Q21" s="166" t="str">
        <f t="shared" si="3"/>
        <v/>
      </c>
      <c r="R21" s="169" t="str">
        <f t="shared" si="10"/>
        <v/>
      </c>
      <c r="S21" s="169" t="str">
        <f t="shared" si="11"/>
        <v/>
      </c>
      <c r="T21" s="166">
        <f t="shared" si="4"/>
        <v>0</v>
      </c>
      <c r="U21" s="166" t="str">
        <f t="shared" si="12"/>
        <v>除外</v>
      </c>
      <c r="V21" s="166" t="str">
        <f t="shared" si="5"/>
        <v/>
      </c>
      <c r="W21" s="172">
        <f t="array" ref="W21">IF(C21&lt;&gt;"",IFERROR(100-100/(1+SUMPRODUCT((終値!F126:R126&gt;終値!G126:S126)*( 終値!F126:R126-終値!G126:S126))/SUMPRODUCT((終値!F126:R126&lt;終値!G126:S126)*(終値!G126:S126-終値!F126:R126))),50),"")</f>
        <v>68.571428571428569</v>
      </c>
      <c r="X21" s="173">
        <f>IF(C21&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1.8327508866059361</v>
      </c>
      <c r="Y21" s="1" t="e">
        <f>IF(T21="","",IF(銘柄管理!$F$5="下落▼",IF(AND(AD21="パーフェクト▲",OR(AE21="25日線押し目●",AE21="5日線押し目○")),"★逆張り候補",IF(AND(AD21="上昇トレンド▲",OR(AE21="25日線押し目●",AE21="5日線押し目○")),"○逆張り候補",IF(W21&lt;=30,IF(Z21&gt;0,"◎反発確認",IF(Z21&lt;-5,"△要注意・様子見","△売られ過ぎ注目")),"相場下落・見送り"))),IF(AND(T21&gt;=12,AD21="パーフェクト▲"),"★強い買い",IF(AND(T21&gt;=12,AD21="上昇トレンド▲"),"★強い買い",IF(AND(T21&gt;=8,OR(AE21="25日線押し目●",AE21="5日線押し目○")),"◎押し目買い",IF(T21&gt;=10,"○買い候補",IF(T21&gt;=6,"△注目",IF(T21&gt;=3,"様子見","見送り"))))))))</f>
        <v>#VALUE!</v>
      </c>
      <c r="Z21" s="174" t="str">
        <f t="shared" si="13"/>
        <v/>
      </c>
      <c r="AA21" s="166" t="str">
        <f t="shared" si="14"/>
        <v/>
      </c>
      <c r="AB21" s="408">
        <f>IF(C21="","",IFERROR(((終値!E23*0.333)+(終値!F23*0.222)+(終値!G23*0.148)+(終値!H23*0.099)+(終値!I23*0.066)+(終値!J23*0.044)+(終値!K23*0.029)+(終値!L23*0.019)+(終値!M23*0.013)+(終値!N23*0.009))/(0.333+0.222+0.148+0.099+0.066+0.044+0.029+0.019+0.013+0.009),""))</f>
        <v>4916.1832993890002</v>
      </c>
      <c r="AC21" s="408">
        <f>IF(C21="","",IFERROR(SUMPRODUCT((終値!E23:AC23),({0.077,0.071,0.065,0.06,0.055,0.051,0.047,0.043,0.039,0.036,0.033,0.031,0.028,0.026,0.024,0.022,0.02,0.018,0.017,0.016,0.014,0.013,0.012,0.011,0.01}))/SUM({0.077,0.071,0.065,0.06,0.055,0.051,0.047,0.043,0.039,0.036,0.033,0.031,0.028,0.026,0.024,0.022,0.02,0.018,0.017,0.016,0.014,0.013,0.012,0.011,0.01}),""))</f>
        <v>4874.9594755661474</v>
      </c>
      <c r="AD21" s="409" t="str">
        <f t="shared" si="6"/>
        <v>パーフェクト▲</v>
      </c>
      <c r="AE21" s="409" t="e">
        <f t="shared" si="7"/>
        <v>#VALUE!</v>
      </c>
      <c r="AF21" s="368">
        <f t="array" ref="AF21">IF(C21="","",IFERROR((INDEX(終値!$E:$E,MATCH(TEXT(C21,"0"),終値!$A:$A,0))-INDEX(終値!$E:$CZ,MATCH(TEXT(C21,"0"),終値!$A:$A,0),$AL$2))/INDEX(終値!$E:$CZ,MATCH(TEXT(C21,"0"),終値!$A:$A,0),$AL$2)*100,""))</f>
        <v>-3.2007759456838021</v>
      </c>
      <c r="AG21" s="368">
        <f t="array" ref="AG21">IFERROR((終値!$E$5-INDEX(終値!$E$5:$CZ$5,1,$AL$2))/INDEX(終値!$E$5:$CZ$5,1,$AL$2)*100,"")</f>
        <v>2.31989243802786</v>
      </c>
      <c r="AH21" s="369">
        <f t="shared" si="8"/>
        <v>-5.5206683837116621</v>
      </c>
      <c r="AI21" s="367">
        <f t="shared" si="9"/>
        <v>-2</v>
      </c>
    </row>
    <row r="22" spans="1:35" s="177" customFormat="1" ht="18" customHeight="1">
      <c r="A22" s="166" t="str">
        <f>IF(銘柄管理!B56&lt;&gt;"",HYPERLINK("https://kabutan.jp/stock/?code="&amp;銘柄管理!B56,"株探"),"")</f>
        <v>株探</v>
      </c>
      <c r="B22" s="167"/>
      <c r="C22" s="168">
        <f>IF(銘柄管理!B56="","",銘柄管理!B56)</f>
        <v>9412</v>
      </c>
      <c r="D22" s="106" t="str">
        <f>IF(銘柄管理!C56="","",銘柄管理!C56)</f>
        <v/>
      </c>
      <c r="E22" s="169" t="str">
        <f>IF(C22&lt;&gt;"",_xll.RssMarket(C22,"現在値"),"")</f>
        <v/>
      </c>
      <c r="F22" s="169" t="str">
        <f>IF(C22&lt;&gt;"",_xll.RssMarket(C22,"始値"),"")</f>
        <v/>
      </c>
      <c r="G22" s="168">
        <f>IF(C22&lt;&gt;"",終値!F56,"")</f>
        <v>2435</v>
      </c>
      <c r="H22" s="169" t="str">
        <f>IF(C22&lt;&gt;"",_xll.RssMarket(C22,"高値"),"")</f>
        <v/>
      </c>
      <c r="I22" s="169" t="str">
        <f>IF(C22&lt;&gt;"",_xll.RssMarket(C22,"安値"),"")</f>
        <v/>
      </c>
      <c r="J22" s="169" t="str">
        <f>IF(C22&lt;&gt;"",_xll.RssMarket(C22,"出来高"),"")</f>
        <v/>
      </c>
      <c r="K22" s="169" t="str">
        <f>IF(C22&lt;&gt;"",_xll.RssMarket(C22,"年初来高値"),"")</f>
        <v/>
      </c>
      <c r="L22" s="170" t="str">
        <f t="shared" si="0"/>
        <v/>
      </c>
      <c r="M22" s="169">
        <f>IF(C22&lt;&gt;"",IFERROR(AVERAGE(出来高!E56:I56),""),"")</f>
        <v>2108640</v>
      </c>
      <c r="N22" s="169">
        <f>IF(C22&lt;&gt;"",IFERROR(AVERAGE(出来高!E56:AC56),""),"")</f>
        <v>3596484</v>
      </c>
      <c r="O22" s="171" t="str">
        <f t="shared" si="1"/>
        <v/>
      </c>
      <c r="P22" s="166" t="str">
        <f t="shared" si="2"/>
        <v/>
      </c>
      <c r="Q22" s="166" t="str">
        <f t="shared" si="3"/>
        <v/>
      </c>
      <c r="R22" s="169" t="str">
        <f t="shared" si="10"/>
        <v/>
      </c>
      <c r="S22" s="169" t="str">
        <f t="shared" si="11"/>
        <v/>
      </c>
      <c r="T22" s="166">
        <f t="shared" si="4"/>
        <v>0</v>
      </c>
      <c r="U22" s="166" t="str">
        <f t="shared" si="12"/>
        <v>除外</v>
      </c>
      <c r="V22" s="166" t="str">
        <f t="shared" si="5"/>
        <v/>
      </c>
      <c r="W22" s="172">
        <f t="array" ref="W22">IF(C22&lt;&gt;"",IFERROR(100-100/(1+SUMPRODUCT((終値!F56:R56&gt;終値!G56:S56)*( 終値!F56:R56-終値!G56:S56))/SUMPRODUCT((終値!F56:R56&lt;終値!G56:S56)*(終値!G56:S56-終値!F56:R56))),50),"")</f>
        <v>42.220019821605554</v>
      </c>
      <c r="X22" s="173">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-70.851155672486129</v>
      </c>
      <c r="Y22" s="1" t="e">
        <f>IF(T22="","",IF(銘柄管理!$F$5="下落▼",IF(AND(AD22="パーフェクト▲",OR(AE22="25日線押し目●",AE22="5日線押し目○")),"★逆張り候補",IF(AND(AD22="上昇トレンド▲",OR(AE22="25日線押し目●",AE22="5日線押し目○")),"○逆張り候補",IF(W22&lt;=30,IF(Z22&gt;0,"◎反発確認",IF(Z22&lt;-5,"△要注意・様子見","△売られ過ぎ注目")),"相場下落・見送り"))),IF(AND(T22&gt;=12,AD22="パーフェクト▲"),"★強い買い",IF(AND(T22&gt;=12,AD22="上昇トレンド▲"),"★強い買い",IF(AND(T22&gt;=8,OR(AE22="25日線押し目●",AE22="5日線押し目○")),"◎押し目買い",IF(T22&gt;=10,"○買い候補",IF(T22&gt;=6,"△注目",IF(T22&gt;=3,"様子見","見送り"))))))))</f>
        <v>#VALUE!</v>
      </c>
      <c r="Z22" s="174" t="str">
        <f t="shared" si="13"/>
        <v/>
      </c>
      <c r="AA22" s="166" t="str">
        <f t="shared" si="14"/>
        <v/>
      </c>
      <c r="AB22" s="406">
        <f>IF(C22="","",IFERROR(((終値!E24*0.333)+(終値!F24*0.222)+(終値!G24*0.148)+(終値!H24*0.099)+(終値!I24*0.066)+(終値!J24*0.044)+(終値!K24*0.029)+(終値!L24*0.019)+(終値!M24*0.013)+(終値!N24*0.009))/(0.333+0.222+0.148+0.099+0.066+0.044+0.029+0.019+0.013+0.009),""))</f>
        <v>1253.9429735234214</v>
      </c>
      <c r="AC22" s="406">
        <f>IF(C22="","",IFERROR(SUMPRODUCT((終値!E24:AC24),({0.077,0.071,0.065,0.06,0.055,0.051,0.047,0.043,0.039,0.036,0.033,0.031,0.028,0.026,0.024,0.022,0.02,0.018,0.017,0.016,0.014,0.013,0.012,0.011,0.01}))/SUM({0.077,0.071,0.065,0.06,0.055,0.051,0.047,0.043,0.039,0.036,0.033,0.031,0.028,0.026,0.024,0.022,0.02,0.018,0.017,0.016,0.014,0.013,0.012,0.011,0.01}),""))</f>
        <v>1245.0297973778302</v>
      </c>
      <c r="AD22" s="407" t="str">
        <f t="shared" si="6"/>
        <v>パーフェクト▲</v>
      </c>
      <c r="AE22" s="407" t="e">
        <f t="shared" si="7"/>
        <v>#VALUE!</v>
      </c>
      <c r="AF22" s="368">
        <f t="array" ref="AF22">IF(C22="","",IFERROR((INDEX(終値!$E:$E,MATCH(TEXT(C22,"0"),終値!$A:$A,0))-INDEX(終値!$E:$CZ,MATCH(TEXT(C22,"0"),終値!$A:$A,0),$AL$2))/INDEX(終値!$E:$CZ,MATCH(TEXT(C22,"0"),終値!$A:$A,0),$AL$2)*100,""))</f>
        <v>-34.849785407725321</v>
      </c>
      <c r="AG22" s="368">
        <f t="array" ref="AG22">IFERROR((終値!$E$5-INDEX(終値!$E$5:$CZ$5,1,$AL$2))/INDEX(終値!$E$5:$CZ$5,1,$AL$2)*100,"")</f>
        <v>2.31989243802786</v>
      </c>
      <c r="AH22" s="369">
        <f t="shared" si="8"/>
        <v>-37.169677845753178</v>
      </c>
      <c r="AI22" s="367">
        <f t="shared" si="9"/>
        <v>-2</v>
      </c>
    </row>
    <row r="23" spans="1:35" s="177" customFormat="1" ht="18" customHeight="1">
      <c r="A23" s="166" t="str">
        <f>IF(銘柄管理!B119&lt;&gt;"",HYPERLINK("https://kabutan.jp/stock/?code="&amp;銘柄管理!B119,"株探"),"")</f>
        <v>株探</v>
      </c>
      <c r="B23" s="167"/>
      <c r="C23" s="168">
        <f>IF(銘柄管理!B119="","",銘柄管理!B119)</f>
        <v>9404</v>
      </c>
      <c r="D23" s="106" t="str">
        <f>IF(銘柄管理!C119="","",銘柄管理!C119)</f>
        <v/>
      </c>
      <c r="E23" s="169" t="str">
        <f>IF(C23&lt;&gt;"",_xll.RssMarket(C23,"現在値"),"")</f>
        <v/>
      </c>
      <c r="F23" s="169" t="str">
        <f>IF(C23&lt;&gt;"",_xll.RssMarket(C23,"始値"),"")</f>
        <v/>
      </c>
      <c r="G23" s="168">
        <f>IF(C23&lt;&gt;"",終値!F119,"")</f>
        <v>2868.5</v>
      </c>
      <c r="H23" s="169" t="str">
        <f>IF(C23&lt;&gt;"",_xll.RssMarket(C23,"高値"),"")</f>
        <v/>
      </c>
      <c r="I23" s="169" t="str">
        <f>IF(C23&lt;&gt;"",_xll.RssMarket(C23,"安値"),"")</f>
        <v/>
      </c>
      <c r="J23" s="169" t="str">
        <f>IF(C23&lt;&gt;"",_xll.RssMarket(C23,"出来高"),"")</f>
        <v/>
      </c>
      <c r="K23" s="169" t="str">
        <f>IF(C23&lt;&gt;"",_xll.RssMarket(C23,"年初来高値"),"")</f>
        <v/>
      </c>
      <c r="L23" s="170" t="str">
        <f t="shared" si="0"/>
        <v/>
      </c>
      <c r="M23" s="169">
        <f>IF(C23&lt;&gt;"",IFERROR(AVERAGE(出来高!E119:I119),""),"")</f>
        <v>489620</v>
      </c>
      <c r="N23" s="169">
        <f>IF(C23&lt;&gt;"",IFERROR(AVERAGE(出来高!E119:AC119),""),"")</f>
        <v>534904</v>
      </c>
      <c r="O23" s="171" t="str">
        <f t="shared" si="1"/>
        <v/>
      </c>
      <c r="P23" s="166" t="str">
        <f t="shared" si="2"/>
        <v/>
      </c>
      <c r="Q23" s="166" t="str">
        <f t="shared" si="3"/>
        <v/>
      </c>
      <c r="R23" s="169" t="str">
        <f t="shared" si="10"/>
        <v/>
      </c>
      <c r="S23" s="169" t="str">
        <f t="shared" si="11"/>
        <v/>
      </c>
      <c r="T23" s="166">
        <f t="shared" si="4"/>
        <v>0</v>
      </c>
      <c r="U23" s="166" t="str">
        <f t="shared" si="12"/>
        <v>除外</v>
      </c>
      <c r="V23" s="166" t="str">
        <f t="shared" si="5"/>
        <v/>
      </c>
      <c r="W23" s="172">
        <f t="array" ref="W23">IF(C23&lt;&gt;"",IFERROR(100-100/(1+SUMPRODUCT((終値!F119:R119&gt;終値!G119:S119)*( 終値!F119:R119-終値!G119:S119))/SUMPRODUCT((終値!F119:R119&lt;終値!G119:S119)*(終値!G119:S119-終値!F119:R119))),50),"")</f>
        <v>78.145695364238406</v>
      </c>
      <c r="X23" s="173">
        <f>IF(C23&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19.818315428736241</v>
      </c>
      <c r="Y23" s="1" t="e">
        <f>IF(T23="","",IF(銘柄管理!$F$5="下落▼",IF(AND(AD23="パーフェクト▲",OR(AE23="25日線押し目●",AE23="5日線押し目○")),"★逆張り候補",IF(AND(AD23="上昇トレンド▲",OR(AE23="25日線押し目●",AE23="5日線押し目○")),"○逆張り候補",IF(W23&lt;=30,IF(Z23&gt;0,"◎反発確認",IF(Z23&lt;-5,"△要注意・様子見","△売られ過ぎ注目")),"相場下落・見送り"))),IF(AND(T23&gt;=12,AD23="パーフェクト▲"),"★強い買い",IF(AND(T23&gt;=12,AD23="上昇トレンド▲"),"★強い買い",IF(AND(T23&gt;=8,OR(AE23="25日線押し目●",AE23="5日線押し目○")),"◎押し目買い",IF(T23&gt;=10,"○買い候補",IF(T23&gt;=6,"△注目",IF(T23&gt;=3,"様子見","見送り"))))))))</f>
        <v>#VALUE!</v>
      </c>
      <c r="Z23" s="174" t="str">
        <f t="shared" si="13"/>
        <v/>
      </c>
      <c r="AA23" s="166" t="str">
        <f t="shared" si="14"/>
        <v/>
      </c>
      <c r="AB23" s="408">
        <f>IF(C23="","",IFERROR(((終値!E25*0.333)+(終値!F25*0.222)+(終値!G25*0.148)+(終値!H25*0.099)+(終値!I25*0.066)+(終値!J25*0.044)+(終値!K25*0.029)+(終値!L25*0.019)+(終値!M25*0.013)+(終値!N25*0.009))/(0.333+0.222+0.148+0.099+0.066+0.044+0.029+0.019+0.013+0.009),""))</f>
        <v>1553.3268839103869</v>
      </c>
      <c r="AC23" s="408">
        <f>IF(C23="","",IFERROR(SUMPRODUCT((終値!E25:AC25),({0.077,0.071,0.065,0.06,0.055,0.051,0.047,0.043,0.039,0.036,0.033,0.031,0.028,0.026,0.024,0.022,0.02,0.018,0.017,0.016,0.014,0.013,0.012,0.011,0.01}))/SUM({0.077,0.071,0.065,0.06,0.055,0.051,0.047,0.043,0.039,0.036,0.033,0.031,0.028,0.026,0.024,0.022,0.02,0.018,0.017,0.016,0.014,0.013,0.012,0.011,0.01}),""))</f>
        <v>2884.4737783075079</v>
      </c>
      <c r="AD23" s="409" t="str">
        <f t="shared" si="6"/>
        <v>上昇トレンド▲</v>
      </c>
      <c r="AE23" s="409" t="e">
        <f t="shared" si="7"/>
        <v>#VALUE!</v>
      </c>
      <c r="AF23" s="368">
        <f t="array" ref="AF23">IF(C23="","",IFERROR((INDEX(終値!$E:$E,MATCH(TEXT(C23,"0"),終値!$A:$A,0))-INDEX(終値!$E:$CZ,MATCH(TEXT(C23,"0"),終値!$A:$A,0),$AL$2))/INDEX(終値!$E:$CZ,MATCH(TEXT(C23,"0"),終値!$A:$A,0),$AL$2)*100,""))</f>
        <v>2.3194977328217647</v>
      </c>
      <c r="AG23" s="368">
        <f t="array" ref="AG23">IFERROR((終値!$E$5-INDEX(終値!$E$5:$CZ$5,1,$AL$2))/INDEX(終値!$E$5:$CZ$5,1,$AL$2)*100,"")</f>
        <v>2.31989243802786</v>
      </c>
      <c r="AH23" s="369">
        <f t="shared" si="8"/>
        <v>-3.9470520609530269E-4</v>
      </c>
      <c r="AI23" s="367">
        <f t="shared" si="9"/>
        <v>-1</v>
      </c>
    </row>
    <row r="24" spans="1:35" s="177" customFormat="1" ht="18" customHeight="1">
      <c r="A24" s="166" t="str">
        <f>IF(銘柄管理!B112&lt;&gt;"",HYPERLINK("https://kabutan.jp/stock/?code="&amp;銘柄管理!B112,"株探"),"")</f>
        <v>株探</v>
      </c>
      <c r="B24" s="167"/>
      <c r="C24" s="168">
        <f>IF(銘柄管理!B112="","",銘柄管理!B112)</f>
        <v>9348</v>
      </c>
      <c r="D24" s="106" t="str">
        <f>IF(銘柄管理!C112="","",銘柄管理!C112)</f>
        <v/>
      </c>
      <c r="E24" s="169" t="str">
        <f>IF(C24&lt;&gt;"",_xll.RssMarket(C24,"現在値"),"")</f>
        <v/>
      </c>
      <c r="F24" s="169" t="str">
        <f>IF(C24&lt;&gt;"",_xll.RssMarket(C24,"始値"),"")</f>
        <v/>
      </c>
      <c r="G24" s="168">
        <f>IF(C24&lt;&gt;"",終値!F112,"")</f>
        <v>449</v>
      </c>
      <c r="H24" s="169" t="str">
        <f>IF(C24&lt;&gt;"",_xll.RssMarket(C24,"高値"),"")</f>
        <v/>
      </c>
      <c r="I24" s="169" t="str">
        <f>IF(C24&lt;&gt;"",_xll.RssMarket(C24,"安値"),"")</f>
        <v/>
      </c>
      <c r="J24" s="169" t="str">
        <f>IF(C24&lt;&gt;"",_xll.RssMarket(C24,"出来高"),"")</f>
        <v/>
      </c>
      <c r="K24" s="169" t="str">
        <f>IF(C24&lt;&gt;"",_xll.RssMarket(C24,"年初来高値"),"")</f>
        <v/>
      </c>
      <c r="L24" s="170" t="str">
        <f t="shared" si="0"/>
        <v/>
      </c>
      <c r="M24" s="169">
        <f>IF(C24&lt;&gt;"",IFERROR(AVERAGE(出来高!E112:I112),""),"")</f>
        <v>3719040</v>
      </c>
      <c r="N24" s="169">
        <f>IF(C24&lt;&gt;"",IFERROR(AVERAGE(出来高!E112:AC112),""),"")</f>
        <v>2279624</v>
      </c>
      <c r="O24" s="171" t="str">
        <f t="shared" si="1"/>
        <v/>
      </c>
      <c r="P24" s="166" t="str">
        <f t="shared" si="2"/>
        <v/>
      </c>
      <c r="Q24" s="166" t="str">
        <f t="shared" si="3"/>
        <v/>
      </c>
      <c r="R24" s="169" t="str">
        <f t="shared" si="10"/>
        <v/>
      </c>
      <c r="S24" s="169" t="str">
        <f t="shared" si="11"/>
        <v/>
      </c>
      <c r="T24" s="166">
        <f t="shared" si="4"/>
        <v>0</v>
      </c>
      <c r="U24" s="166" t="str">
        <f t="shared" si="12"/>
        <v>除外</v>
      </c>
      <c r="V24" s="166" t="str">
        <f t="shared" si="5"/>
        <v/>
      </c>
      <c r="W24" s="172">
        <f t="array" ref="W24">IF(C24&lt;&gt;"",IFERROR(100-100/(1+SUMPRODUCT((終値!F112:R112&gt;終値!G112:S112)*( 終値!F112:R112-終値!G112:S112))/SUMPRODUCT((終値!F112:R112&lt;終値!G112:S112)*(終値!G112:S112-終値!F112:R112))),50),"")</f>
        <v>51.304347826086961</v>
      </c>
      <c r="X24" s="173">
        <f>IF(C24&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-3.6936661903605454</v>
      </c>
      <c r="Y24" s="1" t="e">
        <f>IF(T24="","",IF(銘柄管理!$F$5="下落▼",IF(AND(AD24="パーフェクト▲",OR(AE24="25日線押し目●",AE24="5日線押し目○")),"★逆張り候補",IF(AND(AD24="上昇トレンド▲",OR(AE24="25日線押し目●",AE24="5日線押し目○")),"○逆張り候補",IF(W24&lt;=30,IF(Z24&gt;0,"◎反発確認",IF(Z24&lt;-5,"△要注意・様子見","△売られ過ぎ注目")),"相場下落・見送り"))),IF(AND(T24&gt;=12,AD24="パーフェクト▲"),"★強い買い",IF(AND(T24&gt;=12,AD24="上昇トレンド▲"),"★強い買い",IF(AND(T24&gt;=8,OR(AE24="25日線押し目●",AE24="5日線押し目○")),"◎押し目買い",IF(T24&gt;=10,"○買い候補",IF(T24&gt;=6,"△注目",IF(T24&gt;=3,"様子見","見送り"))))))))</f>
        <v>#VALUE!</v>
      </c>
      <c r="Z24" s="174" t="str">
        <f t="shared" si="13"/>
        <v/>
      </c>
      <c r="AA24" s="166" t="str">
        <f t="shared" si="14"/>
        <v/>
      </c>
      <c r="AB24" s="406">
        <f>IF(C24="","",IFERROR(((終値!E26*0.333)+(終値!F26*0.222)+(終値!G26*0.148)+(終値!H26*0.099)+(終値!I26*0.066)+(終値!J26*0.044)+(終値!K26*0.029)+(終値!L26*0.019)+(終値!M26*0.013)+(終値!N26*0.009))/(0.333+0.222+0.148+0.099+0.066+0.044+0.029+0.019+0.013+0.009),""))</f>
        <v>6384.3319755600805</v>
      </c>
      <c r="AC24" s="406">
        <f>IF(C24="","",IFERROR(SUMPRODUCT((終値!E26:AC26),({0.077,0.071,0.065,0.06,0.055,0.051,0.047,0.043,0.039,0.036,0.033,0.031,0.028,0.026,0.024,0.022,0.02,0.018,0.017,0.016,0.014,0.013,0.012,0.011,0.01}))/SUM({0.077,0.071,0.065,0.06,0.055,0.051,0.047,0.043,0.039,0.036,0.033,0.031,0.028,0.026,0.024,0.022,0.02,0.018,0.017,0.016,0.014,0.013,0.012,0.011,0.01}),""))</f>
        <v>6330.9678188319413</v>
      </c>
      <c r="AD24" s="407" t="str">
        <f t="shared" si="6"/>
        <v>パーフェクト▲</v>
      </c>
      <c r="AE24" s="407" t="e">
        <f t="shared" si="7"/>
        <v>#VALUE!</v>
      </c>
      <c r="AF24" s="368">
        <f t="array" ref="AF24">IF(C24="","",IFERROR((INDEX(終値!$E:$E,MATCH(TEXT(C24,"0"),終値!$A:$A,0))-INDEX(終値!$E:$CZ,MATCH(TEXT(C24,"0"),終値!$A:$A,0),$AL$2))/INDEX(終値!$E:$CZ,MATCH(TEXT(C24,"0"),終値!$A:$A,0),$AL$2)*100,""))</f>
        <v>-31.270903010033447</v>
      </c>
      <c r="AG24" s="368">
        <f t="array" ref="AG24">IFERROR((終値!$E$5-INDEX(終値!$E$5:$CZ$5,1,$AL$2))/INDEX(終値!$E$5:$CZ$5,1,$AL$2)*100,"")</f>
        <v>2.31989243802786</v>
      </c>
      <c r="AH24" s="369">
        <f t="shared" si="8"/>
        <v>-33.590795448061307</v>
      </c>
      <c r="AI24" s="367">
        <f t="shared" si="9"/>
        <v>-2</v>
      </c>
    </row>
    <row r="25" spans="1:35" s="177" customFormat="1" ht="18" customHeight="1">
      <c r="A25" s="166" t="str">
        <f>IF(銘柄管理!B111&lt;&gt;"",HYPERLINK("https://kabutan.jp/stock/?code="&amp;銘柄管理!B111,"株探"),"")</f>
        <v>株探</v>
      </c>
      <c r="B25" s="167"/>
      <c r="C25" s="168">
        <f>IF(銘柄管理!B111="","",銘柄管理!B111)</f>
        <v>9227</v>
      </c>
      <c r="D25" s="106" t="str">
        <f>IF(銘柄管理!C111="","",銘柄管理!C111)</f>
        <v/>
      </c>
      <c r="E25" s="169" t="str">
        <f>IF(C25&lt;&gt;"",_xll.RssMarket(C25,"現在値"),"")</f>
        <v/>
      </c>
      <c r="F25" s="169" t="str">
        <f>IF(C25&lt;&gt;"",_xll.RssMarket(C25,"始値"),"")</f>
        <v/>
      </c>
      <c r="G25" s="168">
        <f>IF(C25&lt;&gt;"",終値!F111,"")</f>
        <v>844</v>
      </c>
      <c r="H25" s="169" t="str">
        <f>IF(C25&lt;&gt;"",_xll.RssMarket(C25,"高値"),"")</f>
        <v/>
      </c>
      <c r="I25" s="169" t="str">
        <f>IF(C25&lt;&gt;"",_xll.RssMarket(C25,"安値"),"")</f>
        <v/>
      </c>
      <c r="J25" s="169" t="str">
        <f>IF(C25&lt;&gt;"",_xll.RssMarket(C25,"出来高"),"")</f>
        <v/>
      </c>
      <c r="K25" s="169" t="str">
        <f>IF(C25&lt;&gt;"",_xll.RssMarket(C25,"年初来高値"),"")</f>
        <v/>
      </c>
      <c r="L25" s="170" t="str">
        <f t="shared" si="0"/>
        <v/>
      </c>
      <c r="M25" s="169">
        <f>IF(C25&lt;&gt;"",IFERROR(AVERAGE(出来高!E111:I111),""),"")</f>
        <v>169100</v>
      </c>
      <c r="N25" s="169">
        <f>IF(C25&lt;&gt;"",IFERROR(AVERAGE(出来高!E111:AC111),""),"")</f>
        <v>151620</v>
      </c>
      <c r="O25" s="171" t="str">
        <f t="shared" si="1"/>
        <v/>
      </c>
      <c r="P25" s="166" t="str">
        <f t="shared" si="2"/>
        <v/>
      </c>
      <c r="Q25" s="166" t="str">
        <f t="shared" si="3"/>
        <v/>
      </c>
      <c r="R25" s="169" t="str">
        <f t="shared" si="10"/>
        <v/>
      </c>
      <c r="S25" s="169" t="str">
        <f t="shared" si="11"/>
        <v/>
      </c>
      <c r="T25" s="166">
        <f t="shared" si="4"/>
        <v>0</v>
      </c>
      <c r="U25" s="166" t="str">
        <f t="shared" si="12"/>
        <v>除外</v>
      </c>
      <c r="V25" s="166" t="str">
        <f t="shared" si="5"/>
        <v/>
      </c>
      <c r="W25" s="172">
        <f t="array" ref="W25">IF(C25&lt;&gt;"",IFERROR(100-100/(1+SUMPRODUCT((終値!F111:R111&gt;終値!G111:S111)*( 終値!F111:R111-終値!G111:S111))/SUMPRODUCT((終値!F111:R111&lt;終値!G111:S111)*(終値!G111:S111-終値!F111:R111))),50),"")</f>
        <v>40.370370370370367</v>
      </c>
      <c r="X25" s="173">
        <f>IF(C25&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-7.2282905918266351</v>
      </c>
      <c r="Y25" s="1" t="e">
        <f>IF(T25="","",IF(銘柄管理!$F$5="下落▼",IF(AND(AD25="パーフェクト▲",OR(AE25="25日線押し目●",AE25="5日線押し目○")),"★逆張り候補",IF(AND(AD25="上昇トレンド▲",OR(AE25="25日線押し目●",AE25="5日線押し目○")),"○逆張り候補",IF(W25&lt;=30,IF(Z25&gt;0,"◎反発確認",IF(Z25&lt;-5,"△要注意・様子見","△売られ過ぎ注目")),"相場下落・見送り"))),IF(AND(T25&gt;=12,AD25="パーフェクト▲"),"★強い買い",IF(AND(T25&gt;=12,AD25="上昇トレンド▲"),"★強い買い",IF(AND(T25&gt;=8,OR(AE25="25日線押し目●",AE25="5日線押し目○")),"◎押し目買い",IF(T25&gt;=10,"○買い候補",IF(T25&gt;=6,"△注目",IF(T25&gt;=3,"様子見","見送り"))))))))</f>
        <v>#VALUE!</v>
      </c>
      <c r="Z25" s="174" t="str">
        <f t="shared" si="13"/>
        <v/>
      </c>
      <c r="AA25" s="166" t="str">
        <f t="shared" si="14"/>
        <v/>
      </c>
      <c r="AB25" s="408">
        <f>IF(C25="","",IFERROR(((終値!E27*0.333)+(終値!F27*0.222)+(終値!G27*0.148)+(終値!H27*0.099)+(終値!I27*0.066)+(終値!J27*0.044)+(終値!K27*0.029)+(終値!L27*0.019)+(終値!M27*0.013)+(終値!N27*0.009))/(0.333+0.222+0.148+0.099+0.066+0.044+0.029+0.019+0.013+0.009),""))</f>
        <v>1691.6751527494903</v>
      </c>
      <c r="AC25" s="408">
        <f>IF(C25="","",IFERROR(SUMPRODUCT((終値!E27:AC27),({0.077,0.071,0.065,0.06,0.055,0.051,0.047,0.043,0.039,0.036,0.033,0.031,0.028,0.026,0.024,0.022,0.02,0.018,0.017,0.016,0.014,0.013,0.012,0.011,0.01}))/SUM({0.077,0.071,0.065,0.06,0.055,0.051,0.047,0.043,0.039,0.036,0.033,0.031,0.028,0.026,0.024,0.022,0.02,0.018,0.017,0.016,0.014,0.013,0.012,0.011,0.01}),""))</f>
        <v>1666.1209773539922</v>
      </c>
      <c r="AD25" s="409" t="str">
        <f t="shared" si="6"/>
        <v>パーフェクト▲</v>
      </c>
      <c r="AE25" s="409" t="e">
        <f t="shared" si="7"/>
        <v>#VALUE!</v>
      </c>
      <c r="AF25" s="368">
        <f t="array" ref="AF25">IF(C25="","",IFERROR((INDEX(終値!$E:$E,MATCH(TEXT(C25,"0"),終値!$A:$A,0))-INDEX(終値!$E:$CZ,MATCH(TEXT(C25,"0"),終値!$A:$A,0),$AL$2))/INDEX(終値!$E:$CZ,MATCH(TEXT(C25,"0"),終値!$A:$A,0),$AL$2)*100,""))</f>
        <v>-13.303269447576099</v>
      </c>
      <c r="AG25" s="368">
        <f t="array" ref="AG25">IFERROR((終値!$E$5-INDEX(終値!$E$5:$CZ$5,1,$AL$2))/INDEX(終値!$E$5:$CZ$5,1,$AL$2)*100,"")</f>
        <v>2.31989243802786</v>
      </c>
      <c r="AH25" s="369">
        <f t="shared" si="8"/>
        <v>-15.62316188560396</v>
      </c>
      <c r="AI25" s="367">
        <f t="shared" si="9"/>
        <v>-2</v>
      </c>
    </row>
    <row r="26" spans="1:35" s="177" customFormat="1" ht="18" customHeight="1">
      <c r="A26" s="166" t="str">
        <f>IF(銘柄管理!B74&lt;&gt;"",HYPERLINK("https://kabutan.jp/stock/?code="&amp;銘柄管理!B74,"株探"),"")</f>
        <v>株探</v>
      </c>
      <c r="B26" s="167"/>
      <c r="C26" s="168">
        <f>IF(銘柄管理!B74="","",銘柄管理!B74)</f>
        <v>9202</v>
      </c>
      <c r="D26" s="106" t="str">
        <f>IF(銘柄管理!C74="","",銘柄管理!C74)</f>
        <v/>
      </c>
      <c r="E26" s="169" t="str">
        <f>IF(C26&lt;&gt;"",_xll.RssMarket(C26,"現在値"),"")</f>
        <v/>
      </c>
      <c r="F26" s="169" t="str">
        <f>IF(C26&lt;&gt;"",_xll.RssMarket(C26,"始値"),"")</f>
        <v/>
      </c>
      <c r="G26" s="168">
        <f>IF(C26&lt;&gt;"",終値!F74,"")</f>
        <v>3004</v>
      </c>
      <c r="H26" s="169" t="str">
        <f>IF(C26&lt;&gt;"",_xll.RssMarket(C26,"高値"),"")</f>
        <v/>
      </c>
      <c r="I26" s="169" t="str">
        <f>IF(C26&lt;&gt;"",_xll.RssMarket(C26,"安値"),"")</f>
        <v/>
      </c>
      <c r="J26" s="169" t="str">
        <f>IF(C26&lt;&gt;"",_xll.RssMarket(C26,"出来高"),"")</f>
        <v/>
      </c>
      <c r="K26" s="169" t="str">
        <f>IF(C26&lt;&gt;"",_xll.RssMarket(C26,"年初来高値"),"")</f>
        <v/>
      </c>
      <c r="L26" s="170" t="str">
        <f t="shared" si="0"/>
        <v/>
      </c>
      <c r="M26" s="169">
        <f>IF(C26&lt;&gt;"",IFERROR(AVERAGE(出来高!E74:I74),""),"")</f>
        <v>2009680</v>
      </c>
      <c r="N26" s="169">
        <f>IF(C26&lt;&gt;"",IFERROR(AVERAGE(出来高!E74:AC74),""),"")</f>
        <v>2359512</v>
      </c>
      <c r="O26" s="171" t="str">
        <f t="shared" si="1"/>
        <v/>
      </c>
      <c r="P26" s="166" t="str">
        <f t="shared" si="2"/>
        <v/>
      </c>
      <c r="Q26" s="166" t="str">
        <f t="shared" si="3"/>
        <v/>
      </c>
      <c r="R26" s="169" t="str">
        <f t="shared" si="10"/>
        <v/>
      </c>
      <c r="S26" s="169" t="str">
        <f t="shared" si="11"/>
        <v/>
      </c>
      <c r="T26" s="166">
        <f t="shared" si="4"/>
        <v>0</v>
      </c>
      <c r="U26" s="166" t="str">
        <f t="shared" si="12"/>
        <v>除外</v>
      </c>
      <c r="V26" s="166" t="str">
        <f t="shared" si="5"/>
        <v/>
      </c>
      <c r="W26" s="172">
        <f t="array" ref="W26">IF(C26&lt;&gt;"",IFERROR(100-100/(1+SUMPRODUCT((終値!F74:R74&gt;終値!G74:S74)*( 終値!F74:R74-終値!G74:S74))/SUMPRODUCT((終値!F74:R74&lt;終値!G74:S74)*(終値!G74:S74-終値!F74:R74))),50),"")</f>
        <v>51.18343195266273</v>
      </c>
      <c r="X26" s="173">
        <f>IF(C26&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13.739124897010697</v>
      </c>
      <c r="Y26" s="1" t="e">
        <f>IF(T26="","",IF(銘柄管理!$F$5="下落▼",IF(AND(AD26="パーフェクト▲",OR(AE26="25日線押し目●",AE26="5日線押し目○")),"★逆張り候補",IF(AND(AD26="上昇トレンド▲",OR(AE26="25日線押し目●",AE26="5日線押し目○")),"○逆張り候補",IF(W26&lt;=30,IF(Z26&gt;0,"◎反発確認",IF(Z26&lt;-5,"△要注意・様子見","△売られ過ぎ注目")),"相場下落・見送り"))),IF(AND(T26&gt;=12,AD26="パーフェクト▲"),"★強い買い",IF(AND(T26&gt;=12,AD26="上昇トレンド▲"),"★強い買い",IF(AND(T26&gt;=8,OR(AE26="25日線押し目●",AE26="5日線押し目○")),"◎押し目買い",IF(T26&gt;=10,"○買い候補",IF(T26&gt;=6,"△注目",IF(T26&gt;=3,"様子見","見送り"))))))))</f>
        <v>#VALUE!</v>
      </c>
      <c r="Z26" s="174" t="str">
        <f t="shared" si="13"/>
        <v/>
      </c>
      <c r="AA26" s="166" t="str">
        <f t="shared" si="14"/>
        <v/>
      </c>
      <c r="AB26" s="406">
        <f>IF(C26="","",IFERROR(((終値!E28*0.333)+(終値!F28*0.222)+(終値!G28*0.148)+(終値!H28*0.099)+(終値!I28*0.066)+(終値!J28*0.044)+(終値!K28*0.029)+(終値!L28*0.019)+(終値!M28*0.013)+(終値!N28*0.009))/(0.333+0.222+0.148+0.099+0.066+0.044+0.029+0.019+0.013+0.009),""))</f>
        <v>4690.2240325865559</v>
      </c>
      <c r="AC26" s="406">
        <f>IF(C26="","",IFERROR(SUMPRODUCT((終値!E28:AC28),({0.077,0.071,0.065,0.06,0.055,0.051,0.047,0.043,0.039,0.036,0.033,0.031,0.028,0.026,0.024,0.022,0.02,0.018,0.017,0.016,0.014,0.013,0.012,0.011,0.01}))/SUM({0.077,0.071,0.065,0.06,0.055,0.051,0.047,0.043,0.039,0.036,0.033,0.031,0.028,0.026,0.024,0.022,0.02,0.018,0.017,0.016,0.014,0.013,0.012,0.011,0.01}),""))</f>
        <v>4530.4743742550645</v>
      </c>
      <c r="AD26" s="407" t="str">
        <f t="shared" si="6"/>
        <v>パーフェクト▲</v>
      </c>
      <c r="AE26" s="407" t="e">
        <f t="shared" si="7"/>
        <v>#VALUE!</v>
      </c>
      <c r="AF26" s="368">
        <f t="array" ref="AF26">IF(C26="","",IFERROR((INDEX(終値!$E:$E,MATCH(TEXT(C26,"0"),終値!$A:$A,0))-INDEX(終値!$E:$CZ,MATCH(TEXT(C26,"0"),終値!$A:$A,0),$AL$2))/INDEX(終値!$E:$CZ,MATCH(TEXT(C26,"0"),終値!$A:$A,0),$AL$2)*100,""))</f>
        <v>8.145766345123258</v>
      </c>
      <c r="AG26" s="368">
        <f t="array" ref="AG26">IFERROR((終値!$E$5-INDEX(終値!$E$5:$CZ$5,1,$AL$2))/INDEX(終値!$E$5:$CZ$5,1,$AL$2)*100,"")</f>
        <v>2.31989243802786</v>
      </c>
      <c r="AH26" s="369">
        <f t="shared" si="8"/>
        <v>5.8258739070953975</v>
      </c>
      <c r="AI26" s="367">
        <f t="shared" si="9"/>
        <v>3</v>
      </c>
    </row>
    <row r="27" spans="1:35" s="177" customFormat="1" ht="18" customHeight="1">
      <c r="A27" s="166" t="str">
        <f>IF(銘柄管理!B206&lt;&gt;"",HYPERLINK("https://kabutan.jp/stock/?code="&amp;銘柄管理!B206,"株探"),"")</f>
        <v>株探</v>
      </c>
      <c r="B27" s="167"/>
      <c r="C27" s="168">
        <f>IF(銘柄管理!B206="","",銘柄管理!B206)</f>
        <v>9101</v>
      </c>
      <c r="D27" s="106" t="str">
        <f>IF(銘柄管理!C206="","",銘柄管理!C206)</f>
        <v/>
      </c>
      <c r="E27" s="169" t="str">
        <f>IF(C27&lt;&gt;"",_xll.RssMarket(C27,"現在値"),"")</f>
        <v/>
      </c>
      <c r="F27" s="169" t="str">
        <f>IF(C27&lt;&gt;"",_xll.RssMarket(C27,"始値"),"")</f>
        <v/>
      </c>
      <c r="G27" s="168">
        <f>IF(C27&lt;&gt;"",終値!F206,"")</f>
        <v>5614</v>
      </c>
      <c r="H27" s="169" t="str">
        <f>IF(C27&lt;&gt;"",_xll.RssMarket(C27,"高値"),"")</f>
        <v/>
      </c>
      <c r="I27" s="169" t="str">
        <f>IF(C27&lt;&gt;"",_xll.RssMarket(C27,"安値"),"")</f>
        <v/>
      </c>
      <c r="J27" s="169" t="str">
        <f>IF(C27&lt;&gt;"",_xll.RssMarket(C27,"出来高"),"")</f>
        <v/>
      </c>
      <c r="K27" s="169" t="str">
        <f>IF(C27&lt;&gt;"",_xll.RssMarket(C27,"年初来高値"),"")</f>
        <v/>
      </c>
      <c r="L27" s="170" t="str">
        <f t="shared" si="0"/>
        <v/>
      </c>
      <c r="M27" s="169">
        <f>IF(C27&lt;&gt;"",IFERROR(AVERAGE(出来高!E206:I206),""),"")</f>
        <v>2746360</v>
      </c>
      <c r="N27" s="169">
        <f>IF(C27&lt;&gt;"",IFERROR(AVERAGE(出来高!E206:AC206),""),"")</f>
        <v>2870928</v>
      </c>
      <c r="O27" s="171" t="str">
        <f t="shared" si="1"/>
        <v/>
      </c>
      <c r="P27" s="166" t="str">
        <f t="shared" si="2"/>
        <v/>
      </c>
      <c r="Q27" s="166" t="str">
        <f t="shared" si="3"/>
        <v/>
      </c>
      <c r="R27" s="169" t="str">
        <f t="shared" si="10"/>
        <v/>
      </c>
      <c r="S27" s="169" t="str">
        <f t="shared" si="11"/>
        <v/>
      </c>
      <c r="T27" s="166">
        <f t="shared" si="4"/>
        <v>0</v>
      </c>
      <c r="U27" s="166" t="str">
        <f t="shared" si="12"/>
        <v>除外</v>
      </c>
      <c r="V27" s="166" t="str">
        <f t="shared" si="5"/>
        <v/>
      </c>
      <c r="W27" s="172">
        <f t="array" ref="W27">IF(C27&lt;&gt;"",IFERROR(100-100/(1+SUMPRODUCT((終値!F206:R206&gt;終値!G206:S206)*( 終値!F206:R206-終値!G206:S206))/SUMPRODUCT((終値!F206:R206&lt;終値!G206:S206)*(終値!G206:S206-終値!F206:R206))),50),"")</f>
        <v>66.194523135033052</v>
      </c>
      <c r="X27" s="173">
        <f>IF(C27&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24.280091864721726</v>
      </c>
      <c r="Y27" s="1" t="e">
        <f>IF(T27="","",IF(銘柄管理!$F$5="下落▼",IF(AND(AD27="パーフェクト▲",OR(AE27="25日線押し目●",AE27="5日線押し目○")),"★逆張り候補",IF(AND(AD27="上昇トレンド▲",OR(AE27="25日線押し目●",AE27="5日線押し目○")),"○逆張り候補",IF(W27&lt;=30,IF(Z27&gt;0,"◎反発確認",IF(Z27&lt;-5,"△要注意・様子見","△売られ過ぎ注目")),"相場下落・見送り"))),IF(AND(T27&gt;=12,AD27="パーフェクト▲"),"★強い買い",IF(AND(T27&gt;=12,AD27="上昇トレンド▲"),"★強い買い",IF(AND(T27&gt;=8,OR(AE27="25日線押し目●",AE27="5日線押し目○")),"◎押し目買い",IF(T27&gt;=10,"○買い候補",IF(T27&gt;=6,"△注目",IF(T27&gt;=3,"様子見","見送り"))))))))</f>
        <v>#VALUE!</v>
      </c>
      <c r="Z27" s="174" t="str">
        <f t="shared" si="13"/>
        <v/>
      </c>
      <c r="AA27" s="166" t="str">
        <f t="shared" si="14"/>
        <v/>
      </c>
      <c r="AB27" s="408">
        <f>IF(C27="","",IFERROR(((終値!E29*0.333)+(終値!F29*0.222)+(終値!G29*0.148)+(終値!H29*0.099)+(終値!I29*0.066)+(終値!J29*0.044)+(終値!K29*0.029)+(終値!L29*0.019)+(終値!M29*0.013)+(終値!N29*0.009))/(0.333+0.222+0.148+0.099+0.066+0.044+0.029+0.019+0.013+0.009),""))</f>
        <v>1257.6364562118124</v>
      </c>
      <c r="AC27" s="408">
        <f>IF(C27="","",IFERROR(SUMPRODUCT((終値!E29:AC29),({0.077,0.071,0.065,0.06,0.055,0.051,0.047,0.043,0.039,0.036,0.033,0.031,0.028,0.026,0.024,0.022,0.02,0.018,0.017,0.016,0.014,0.013,0.012,0.011,0.01}))/SUM({0.077,0.071,0.065,0.06,0.055,0.051,0.047,0.043,0.039,0.036,0.033,0.031,0.028,0.026,0.024,0.022,0.02,0.018,0.017,0.016,0.014,0.013,0.012,0.011,0.01}),""))</f>
        <v>1241.0941597139447</v>
      </c>
      <c r="AD27" s="409" t="str">
        <f t="shared" si="6"/>
        <v>パーフェクト▲</v>
      </c>
      <c r="AE27" s="409" t="e">
        <f t="shared" si="7"/>
        <v>#VALUE!</v>
      </c>
      <c r="AF27" s="368">
        <f t="array" ref="AF27">IF(C27="","",IFERROR((INDEX(終値!$E:$E,MATCH(TEXT(C27,"0"),終値!$A:$A,0))-INDEX(終値!$E:$CZ,MATCH(TEXT(C27,"0"),終値!$A:$A,0),$AL$2))/INDEX(終値!$E:$CZ,MATCH(TEXT(C27,"0"),終値!$A:$A,0),$AL$2)*100,""))</f>
        <v>1.0626992561105209</v>
      </c>
      <c r="AG27" s="368">
        <f t="array" ref="AG27">IFERROR((終値!$E$5-INDEX(終値!$E$5:$CZ$5,1,$AL$2))/INDEX(終値!$E$5:$CZ$5,1,$AL$2)*100,"")</f>
        <v>2.31989243802786</v>
      </c>
      <c r="AH27" s="369">
        <f t="shared" si="8"/>
        <v>-1.2571931819173392</v>
      </c>
      <c r="AI27" s="367">
        <f t="shared" si="9"/>
        <v>-1</v>
      </c>
    </row>
    <row r="28" spans="1:35" s="177" customFormat="1" ht="18" customHeight="1">
      <c r="A28" s="166" t="str">
        <f>IF(銘柄管理!B110&lt;&gt;"",HYPERLINK("https://kabutan.jp/stock/?code="&amp;銘柄管理!B110,"株探"),"")</f>
        <v>株探</v>
      </c>
      <c r="B28" s="167"/>
      <c r="C28" s="168">
        <f>IF(銘柄管理!B110="","",銘柄管理!B110)</f>
        <v>9069</v>
      </c>
      <c r="D28" s="106" t="str">
        <f>IF(銘柄管理!C110="","",銘柄管理!C110)</f>
        <v/>
      </c>
      <c r="E28" s="169" t="str">
        <f>IF(C28&lt;&gt;"",_xll.RssMarket(C28,"現在値"),"")</f>
        <v/>
      </c>
      <c r="F28" s="169" t="str">
        <f>IF(C28&lt;&gt;"",_xll.RssMarket(C28,"始値"),"")</f>
        <v/>
      </c>
      <c r="G28" s="168">
        <f>IF(C28&lt;&gt;"",終値!F110,"")</f>
        <v>2132</v>
      </c>
      <c r="H28" s="169" t="str">
        <f>IF(C28&lt;&gt;"",_xll.RssMarket(C28,"高値"),"")</f>
        <v/>
      </c>
      <c r="I28" s="169" t="str">
        <f>IF(C28&lt;&gt;"",_xll.RssMarket(C28,"安値"),"")</f>
        <v/>
      </c>
      <c r="J28" s="169" t="str">
        <f>IF(C28&lt;&gt;"",_xll.RssMarket(C28,"出来高"),"")</f>
        <v/>
      </c>
      <c r="K28" s="169" t="str">
        <f>IF(C28&lt;&gt;"",_xll.RssMarket(C28,"年初来高値"),"")</f>
        <v/>
      </c>
      <c r="L28" s="170" t="str">
        <f t="shared" si="0"/>
        <v/>
      </c>
      <c r="M28" s="169">
        <f>IF(C28&lt;&gt;"",IFERROR(AVERAGE(出来高!E110:I110),""),"")</f>
        <v>428840</v>
      </c>
      <c r="N28" s="169">
        <f>IF(C28&lt;&gt;"",IFERROR(AVERAGE(出来高!E110:AC110),""),"")</f>
        <v>366748</v>
      </c>
      <c r="O28" s="171" t="str">
        <f t="shared" si="1"/>
        <v/>
      </c>
      <c r="P28" s="166" t="str">
        <f t="shared" si="2"/>
        <v/>
      </c>
      <c r="Q28" s="166" t="str">
        <f t="shared" si="3"/>
        <v/>
      </c>
      <c r="R28" s="169" t="str">
        <f t="shared" si="10"/>
        <v/>
      </c>
      <c r="S28" s="169" t="str">
        <f t="shared" si="11"/>
        <v/>
      </c>
      <c r="T28" s="166">
        <f t="shared" si="4"/>
        <v>0</v>
      </c>
      <c r="U28" s="166" t="str">
        <f t="shared" si="12"/>
        <v>除外</v>
      </c>
      <c r="V28" s="166" t="str">
        <f t="shared" si="5"/>
        <v/>
      </c>
      <c r="W28" s="172">
        <f t="array" ref="W28">IF(C28&lt;&gt;"",IFERROR(100-100/(1+SUMPRODUCT((終値!F110:R110&gt;終値!G110:S110)*( 終値!F110:R110-終値!G110:S110))/SUMPRODUCT((終値!F110:R110&lt;終値!G110:S110)*(終値!G110:S110-終値!F110:R110))),50),"")</f>
        <v>83.333333333333329</v>
      </c>
      <c r="X28" s="173">
        <f>IF(C28&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28.964168580515206</v>
      </c>
      <c r="Y28" s="1" t="e">
        <f>IF(T28="","",IF(銘柄管理!$F$5="下落▼",IF(AND(AD28="パーフェクト▲",OR(AE28="25日線押し目●",AE28="5日線押し目○")),"★逆張り候補",IF(AND(AD28="上昇トレンド▲",OR(AE28="25日線押し目●",AE28="5日線押し目○")),"○逆張り候補",IF(W28&lt;=30,IF(Z28&gt;0,"◎反発確認",IF(Z28&lt;-5,"△要注意・様子見","△売られ過ぎ注目")),"相場下落・見送り"))),IF(AND(T28&gt;=12,AD28="パーフェクト▲"),"★強い買い",IF(AND(T28&gt;=12,AD28="上昇トレンド▲"),"★強い買い",IF(AND(T28&gt;=8,OR(AE28="25日線押し目●",AE28="5日線押し目○")),"◎押し目買い",IF(T28&gt;=10,"○買い候補",IF(T28&gt;=6,"△注目",IF(T28&gt;=3,"様子見","見送り"))))))))</f>
        <v>#VALUE!</v>
      </c>
      <c r="Z28" s="174" t="str">
        <f t="shared" si="13"/>
        <v/>
      </c>
      <c r="AA28" s="166" t="str">
        <f t="shared" si="14"/>
        <v/>
      </c>
      <c r="AB28" s="406">
        <f>IF(C28="","",IFERROR(((終値!E30*0.333)+(終値!F30*0.222)+(終値!G30*0.148)+(終値!H30*0.099)+(終値!I30*0.066)+(終値!J30*0.044)+(終値!K30*0.029)+(終値!L30*0.019)+(終値!M30*0.013)+(終値!N30*0.009))/(0.333+0.222+0.148+0.099+0.066+0.044+0.029+0.019+0.013+0.009),""))</f>
        <v>4222.2708757637483</v>
      </c>
      <c r="AC28" s="406">
        <f>IF(C28="","",IFERROR(SUMPRODUCT((終値!E30:AC30),({0.077,0.071,0.065,0.06,0.055,0.051,0.047,0.043,0.039,0.036,0.033,0.031,0.028,0.026,0.024,0.022,0.02,0.018,0.017,0.016,0.014,0.013,0.012,0.011,0.01}))/SUM({0.077,0.071,0.065,0.06,0.055,0.051,0.047,0.043,0.039,0.036,0.033,0.031,0.028,0.026,0.024,0.022,0.02,0.018,0.017,0.016,0.014,0.013,0.012,0.011,0.01}),""))</f>
        <v>4536.9845053635263</v>
      </c>
      <c r="AD28" s="407" t="str">
        <f t="shared" si="6"/>
        <v>上昇トレンド▲</v>
      </c>
      <c r="AE28" s="407" t="e">
        <f t="shared" si="7"/>
        <v>#VALUE!</v>
      </c>
      <c r="AF28" s="368">
        <f t="array" ref="AF28">IF(C28="","",IFERROR((INDEX(終値!$E:$E,MATCH(TEXT(C28,"0"),終値!$A:$A,0))-INDEX(終値!$E:$CZ,MATCH(TEXT(C28,"0"),終値!$A:$A,0),$AL$2))/INDEX(終値!$E:$CZ,MATCH(TEXT(C28,"0"),終値!$A:$A,0),$AL$2)*100,""))</f>
        <v>12.419974391805377</v>
      </c>
      <c r="AG28" s="368">
        <f t="array" ref="AG28">IFERROR((終値!$E$5-INDEX(終値!$E$5:$CZ$5,1,$AL$2))/INDEX(終値!$E$5:$CZ$5,1,$AL$2)*100,"")</f>
        <v>2.31989243802786</v>
      </c>
      <c r="AH28" s="369">
        <f t="shared" si="8"/>
        <v>10.100081953777517</v>
      </c>
      <c r="AI28" s="367">
        <f t="shared" si="9"/>
        <v>3</v>
      </c>
    </row>
    <row r="29" spans="1:35" s="177" customFormat="1" ht="18" customHeight="1">
      <c r="A29" s="166" t="str">
        <f>IF(銘柄管理!B184&lt;&gt;"",HYPERLINK("https://kabutan.jp/stock/?code="&amp;銘柄管理!B184,"株探"),"")</f>
        <v>株探</v>
      </c>
      <c r="B29" s="167"/>
      <c r="C29" s="168">
        <f>IF(銘柄管理!B184="","",銘柄管理!B184)</f>
        <v>9022</v>
      </c>
      <c r="D29" s="106" t="str">
        <f>IF(銘柄管理!C184="","",銘柄管理!C184)</f>
        <v/>
      </c>
      <c r="E29" s="169" t="str">
        <f>IF(C29&lt;&gt;"",_xll.RssMarket(C29,"現在値"),"")</f>
        <v/>
      </c>
      <c r="F29" s="169" t="str">
        <f>IF(C29&lt;&gt;"",_xll.RssMarket(C29,"始値"),"")</f>
        <v/>
      </c>
      <c r="G29" s="168">
        <f>IF(C29&lt;&gt;"",終値!F184,"")</f>
        <v>3694</v>
      </c>
      <c r="H29" s="169" t="str">
        <f>IF(C29&lt;&gt;"",_xll.RssMarket(C29,"高値"),"")</f>
        <v/>
      </c>
      <c r="I29" s="169" t="str">
        <f>IF(C29&lt;&gt;"",_xll.RssMarket(C29,"安値"),"")</f>
        <v/>
      </c>
      <c r="J29" s="169" t="str">
        <f>IF(C29&lt;&gt;"",_xll.RssMarket(C29,"出来高"),"")</f>
        <v/>
      </c>
      <c r="K29" s="169" t="str">
        <f>IF(C29&lt;&gt;"",_xll.RssMarket(C29,"年初来高値"),"")</f>
        <v/>
      </c>
      <c r="L29" s="170" t="str">
        <f t="shared" si="0"/>
        <v/>
      </c>
      <c r="M29" s="169">
        <f>IF(C29&lt;&gt;"",IFERROR(AVERAGE(出来高!E184:I184),""),"")</f>
        <v>2814420</v>
      </c>
      <c r="N29" s="169">
        <f>IF(C29&lt;&gt;"",IFERROR(AVERAGE(出来高!E184:AC184),""),"")</f>
        <v>3305996</v>
      </c>
      <c r="O29" s="171" t="str">
        <f t="shared" si="1"/>
        <v/>
      </c>
      <c r="P29" s="166" t="str">
        <f t="shared" si="2"/>
        <v/>
      </c>
      <c r="Q29" s="166" t="str">
        <f t="shared" si="3"/>
        <v/>
      </c>
      <c r="R29" s="169" t="str">
        <f t="shared" si="10"/>
        <v/>
      </c>
      <c r="S29" s="169" t="str">
        <f t="shared" si="11"/>
        <v/>
      </c>
      <c r="T29" s="166">
        <f t="shared" si="4"/>
        <v>0</v>
      </c>
      <c r="U29" s="166" t="str">
        <f t="shared" si="12"/>
        <v>除外</v>
      </c>
      <c r="V29" s="166" t="str">
        <f t="shared" si="5"/>
        <v/>
      </c>
      <c r="W29" s="172">
        <f t="array" ref="W29">IF(C29&lt;&gt;"",IFERROR(100-100/(1+SUMPRODUCT((終値!F184:R184&gt;終値!G184:S184)*( 終値!F184:R184-終値!G184:S184))/SUMPRODUCT((終値!F184:R184&lt;終値!G184:S184)*(終値!G184:S184-終値!F184:R184))),50),"")</f>
        <v>76.30402384500745</v>
      </c>
      <c r="X29" s="173">
        <f>IF(C29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47.208530522730598</v>
      </c>
      <c r="Y29" s="1" t="e">
        <f>IF(T29="","",IF(銘柄管理!$F$5="下落▼",IF(AND(AD29="パーフェクト▲",OR(AE29="25日線押し目●",AE29="5日線押し目○")),"★逆張り候補",IF(AND(AD29="上昇トレンド▲",OR(AE29="25日線押し目●",AE29="5日線押し目○")),"○逆張り候補",IF(W29&lt;=30,IF(Z29&gt;0,"◎反発確認",IF(Z29&lt;-5,"△要注意・様子見","△売られ過ぎ注目")),"相場下落・見送り"))),IF(AND(T29&gt;=12,AD29="パーフェクト▲"),"★強い買い",IF(AND(T29&gt;=12,AD29="上昇トレンド▲"),"★強い買い",IF(AND(T29&gt;=8,OR(AE29="25日線押し目●",AE29="5日線押し目○")),"◎押し目買い",IF(T29&gt;=10,"○買い候補",IF(T29&gt;=6,"△注目",IF(T29&gt;=3,"様子見","見送り"))))))))</f>
        <v>#VALUE!</v>
      </c>
      <c r="Z29" s="174" t="str">
        <f t="shared" si="13"/>
        <v/>
      </c>
      <c r="AA29" s="166" t="str">
        <f t="shared" si="14"/>
        <v/>
      </c>
      <c r="AB29" s="408">
        <f>IF(C29="","",IFERROR(((終値!E31*0.333)+(終値!F31*0.222)+(終値!G31*0.148)+(終値!H31*0.099)+(終値!I31*0.066)+(終値!J31*0.044)+(終値!K31*0.029)+(終値!L31*0.019)+(終値!M31*0.013)+(終値!N31*0.009))/(0.333+0.222+0.148+0.099+0.066+0.044+0.029+0.019+0.013+0.009),""))</f>
        <v>6583.6140529531567</v>
      </c>
      <c r="AC29" s="408">
        <f>IF(C29="","",IFERROR(SUMPRODUCT((終値!E31:AC31),({0.077,0.071,0.065,0.06,0.055,0.051,0.047,0.043,0.039,0.036,0.033,0.031,0.028,0.026,0.024,0.022,0.02,0.018,0.017,0.016,0.014,0.013,0.012,0.011,0.01}))/SUM({0.077,0.071,0.065,0.06,0.055,0.051,0.047,0.043,0.039,0.036,0.033,0.031,0.028,0.026,0.024,0.022,0.02,0.018,0.017,0.016,0.014,0.013,0.012,0.011,0.01}),""))</f>
        <v>6363.7640047675786</v>
      </c>
      <c r="AD29" s="409" t="str">
        <f t="shared" si="6"/>
        <v>パーフェクト▲</v>
      </c>
      <c r="AE29" s="409" t="e">
        <f t="shared" si="7"/>
        <v>#VALUE!</v>
      </c>
      <c r="AF29" s="368">
        <f t="array" ref="AF29">IF(C29="","",IFERROR((INDEX(終値!$E:$E,MATCH(TEXT(C29,"0"),終値!$A:$A,0))-INDEX(終値!$E:$CZ,MATCH(TEXT(C29,"0"),終値!$A:$A,0),$AL$2))/INDEX(終値!$E:$CZ,MATCH(TEXT(C29,"0"),終値!$A:$A,0),$AL$2)*100,""))</f>
        <v>10.960518562168533</v>
      </c>
      <c r="AG29" s="368">
        <f t="array" ref="AG29">IFERROR((終値!$E$5-INDEX(終値!$E$5:$CZ$5,1,$AL$2))/INDEX(終値!$E$5:$CZ$5,1,$AL$2)*100,"")</f>
        <v>2.31989243802786</v>
      </c>
      <c r="AH29" s="369">
        <f t="shared" si="8"/>
        <v>8.6406261241406721</v>
      </c>
      <c r="AI29" s="367">
        <f t="shared" si="9"/>
        <v>3</v>
      </c>
    </row>
    <row r="30" spans="1:35" s="177" customFormat="1" ht="18" customHeight="1">
      <c r="A30" s="166" t="str">
        <f>IF(銘柄管理!B109&lt;&gt;"",HYPERLINK("https://kabutan.jp/stock/?code="&amp;銘柄管理!B109,"株探"),"")</f>
        <v>株探</v>
      </c>
      <c r="B30" s="167"/>
      <c r="C30" s="168">
        <f>IF(銘柄管理!B109="","",銘柄管理!B109)</f>
        <v>9020</v>
      </c>
      <c r="D30" s="106" t="str">
        <f>IF(銘柄管理!C109="","",銘柄管理!C109)</f>
        <v/>
      </c>
      <c r="E30" s="169" t="str">
        <f>IF(C30&lt;&gt;"",_xll.RssMarket(C30,"現在値"),"")</f>
        <v/>
      </c>
      <c r="F30" s="169" t="str">
        <f>IF(C30&lt;&gt;"",_xll.RssMarket(C30,"始値"),"")</f>
        <v/>
      </c>
      <c r="G30" s="168">
        <f>IF(C30&lt;&gt;"",終値!F109,"")</f>
        <v>3580</v>
      </c>
      <c r="H30" s="169" t="str">
        <f>IF(C30&lt;&gt;"",_xll.RssMarket(C30,"高値"),"")</f>
        <v/>
      </c>
      <c r="I30" s="169" t="str">
        <f>IF(C30&lt;&gt;"",_xll.RssMarket(C30,"安値"),"")</f>
        <v/>
      </c>
      <c r="J30" s="169" t="str">
        <f>IF(C30&lt;&gt;"",_xll.RssMarket(C30,"出来高"),"")</f>
        <v/>
      </c>
      <c r="K30" s="169" t="str">
        <f>IF(C30&lt;&gt;"",_xll.RssMarket(C30,"年初来高値"),"")</f>
        <v/>
      </c>
      <c r="L30" s="170" t="str">
        <f t="shared" si="0"/>
        <v/>
      </c>
      <c r="M30" s="169">
        <f>IF(C30&lt;&gt;"",IFERROR(AVERAGE(出来高!E109:I109),""),"")</f>
        <v>2871520</v>
      </c>
      <c r="N30" s="169">
        <f>IF(C30&lt;&gt;"",IFERROR(AVERAGE(出来高!E109:AC109),""),"")</f>
        <v>2956728</v>
      </c>
      <c r="O30" s="171" t="str">
        <f t="shared" si="1"/>
        <v/>
      </c>
      <c r="P30" s="166" t="str">
        <f t="shared" si="2"/>
        <v/>
      </c>
      <c r="Q30" s="166" t="str">
        <f t="shared" si="3"/>
        <v/>
      </c>
      <c r="R30" s="169" t="str">
        <f t="shared" si="10"/>
        <v/>
      </c>
      <c r="S30" s="169" t="str">
        <f t="shared" si="11"/>
        <v/>
      </c>
      <c r="T30" s="166">
        <f t="shared" si="4"/>
        <v>0</v>
      </c>
      <c r="U30" s="166" t="str">
        <f t="shared" si="12"/>
        <v>除外</v>
      </c>
      <c r="V30" s="166" t="str">
        <f t="shared" si="5"/>
        <v/>
      </c>
      <c r="W30" s="172">
        <f t="array" ref="W30">IF(C30&lt;&gt;"",IFERROR(100-100/(1+SUMPRODUCT((終値!F109:R109&gt;終値!G109:S109)*( 終値!F109:R109-終値!G109:S109))/SUMPRODUCT((終値!F109:R109&lt;終値!G109:S109)*(終値!G109:S109-終値!F109:R109))),50),"")</f>
        <v>67.50369276218612</v>
      </c>
      <c r="X30" s="173">
        <f>IF(C30&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26.190798403114968</v>
      </c>
      <c r="Y30" s="1" t="e">
        <f>IF(T30="","",IF(銘柄管理!$F$5="下落▼",IF(AND(AD30="パーフェクト▲",OR(AE30="25日線押し目●",AE30="5日線押し目○")),"★逆張り候補",IF(AND(AD30="上昇トレンド▲",OR(AE30="25日線押し目●",AE30="5日線押し目○")),"○逆張り候補",IF(W30&lt;=30,IF(Z30&gt;0,"◎反発確認",IF(Z30&lt;-5,"△要注意・様子見","△売られ過ぎ注目")),"相場下落・見送り"))),IF(AND(T30&gt;=12,AD30="パーフェクト▲"),"★強い買い",IF(AND(T30&gt;=12,AD30="上昇トレンド▲"),"★強い買い",IF(AND(T30&gt;=8,OR(AE30="25日線押し目●",AE30="5日線押し目○")),"◎押し目買い",IF(T30&gt;=10,"○買い候補",IF(T30&gt;=6,"△注目",IF(T30&gt;=3,"様子見","見送り"))))))))</f>
        <v>#VALUE!</v>
      </c>
      <c r="Z30" s="174" t="str">
        <f t="shared" si="13"/>
        <v/>
      </c>
      <c r="AA30" s="166" t="str">
        <f t="shared" si="14"/>
        <v/>
      </c>
      <c r="AB30" s="406">
        <f>IF(C30="","",IFERROR(((終値!E32*0.333)+(終値!F32*0.222)+(終値!G32*0.148)+(終値!H32*0.099)+(終値!I32*0.066)+(終値!J32*0.044)+(終値!K32*0.029)+(終値!L32*0.019)+(終値!M32*0.013)+(終値!N32*0.009))/(0.333+0.222+0.148+0.099+0.066+0.044+0.029+0.019+0.013+0.009),""))</f>
        <v>1395.8299389002036</v>
      </c>
      <c r="AC30" s="406">
        <f>IF(C30="","",IFERROR(SUMPRODUCT((終値!E32:AC32),({0.077,0.071,0.065,0.06,0.055,0.051,0.047,0.043,0.039,0.036,0.033,0.031,0.028,0.026,0.024,0.022,0.02,0.018,0.017,0.016,0.014,0.013,0.012,0.011,0.01}))/SUM({0.077,0.071,0.065,0.06,0.055,0.051,0.047,0.043,0.039,0.036,0.033,0.031,0.028,0.026,0.024,0.022,0.02,0.018,0.017,0.016,0.014,0.013,0.012,0.011,0.01}),""))</f>
        <v>1318.7580452920142</v>
      </c>
      <c r="AD30" s="407" t="str">
        <f t="shared" si="6"/>
        <v>パーフェクト▲</v>
      </c>
      <c r="AE30" s="407" t="e">
        <f t="shared" si="7"/>
        <v>#VALUE!</v>
      </c>
      <c r="AF30" s="368">
        <f t="array" ref="AF30">IF(C30="","",IFERROR((INDEX(終値!$E:$E,MATCH(TEXT(C30,"0"),終値!$A:$A,0))-INDEX(終値!$E:$CZ,MATCH(TEXT(C30,"0"),終値!$A:$A,0),$AL$2))/INDEX(終値!$E:$CZ,MATCH(TEXT(C30,"0"),終値!$A:$A,0),$AL$2)*100,""))</f>
        <v>7.66488413547237</v>
      </c>
      <c r="AG30" s="368">
        <f t="array" ref="AG30">IFERROR((終値!$E$5-INDEX(終値!$E$5:$CZ$5,1,$AL$2))/INDEX(終値!$E$5:$CZ$5,1,$AL$2)*100,"")</f>
        <v>2.31989243802786</v>
      </c>
      <c r="AH30" s="369">
        <f t="shared" si="8"/>
        <v>5.3449916974445095</v>
      </c>
      <c r="AI30" s="367">
        <f t="shared" si="9"/>
        <v>3</v>
      </c>
    </row>
    <row r="31" spans="1:35" s="177" customFormat="1" ht="18" customHeight="1">
      <c r="A31" s="166" t="str">
        <f>IF(銘柄管理!B125&lt;&gt;"",HYPERLINK("https://kabutan.jp/stock/?code="&amp;銘柄管理!B125,"株探"),"")</f>
        <v>株探</v>
      </c>
      <c r="B31" s="167"/>
      <c r="C31" s="168">
        <f>IF(銘柄管理!B125="","",銘柄管理!B125)</f>
        <v>8934</v>
      </c>
      <c r="D31" s="106" t="str">
        <f>IF(銘柄管理!C125="","",銘柄管理!C125)</f>
        <v/>
      </c>
      <c r="E31" s="169" t="str">
        <f>IF(C31&lt;&gt;"",_xll.RssMarket(C31,"現在値"),"")</f>
        <v/>
      </c>
      <c r="F31" s="169" t="str">
        <f>IF(C31&lt;&gt;"",_xll.RssMarket(C31,"始値"),"")</f>
        <v/>
      </c>
      <c r="G31" s="168">
        <f>IF(C31&lt;&gt;"",終値!F125,"")</f>
        <v>2533</v>
      </c>
      <c r="H31" s="169" t="str">
        <f>IF(C31&lt;&gt;"",_xll.RssMarket(C31,"高値"),"")</f>
        <v/>
      </c>
      <c r="I31" s="169" t="str">
        <f>IF(C31&lt;&gt;"",_xll.RssMarket(C31,"安値"),"")</f>
        <v/>
      </c>
      <c r="J31" s="169" t="str">
        <f>IF(C31&lt;&gt;"",_xll.RssMarket(C31,"出来高"),"")</f>
        <v/>
      </c>
      <c r="K31" s="169" t="str">
        <f>IF(C31&lt;&gt;"",_xll.RssMarket(C31,"年初来高値"),"")</f>
        <v/>
      </c>
      <c r="L31" s="170" t="str">
        <f t="shared" si="0"/>
        <v/>
      </c>
      <c r="M31" s="169">
        <f>IF(C31&lt;&gt;"",IFERROR(AVERAGE(出来高!E125:I125),""),"")</f>
        <v>111400</v>
      </c>
      <c r="N31" s="169">
        <f>IF(C31&lt;&gt;"",IFERROR(AVERAGE(出来高!E125:AC125),""),"")</f>
        <v>122848</v>
      </c>
      <c r="O31" s="171" t="str">
        <f t="shared" si="1"/>
        <v/>
      </c>
      <c r="P31" s="166" t="str">
        <f t="shared" si="2"/>
        <v/>
      </c>
      <c r="Q31" s="166" t="str">
        <f t="shared" si="3"/>
        <v/>
      </c>
      <c r="R31" s="169" t="str">
        <f t="shared" si="10"/>
        <v/>
      </c>
      <c r="S31" s="169" t="str">
        <f t="shared" si="11"/>
        <v/>
      </c>
      <c r="T31" s="166">
        <f t="shared" si="4"/>
        <v>0</v>
      </c>
      <c r="U31" s="166" t="str">
        <f t="shared" si="12"/>
        <v>除外</v>
      </c>
      <c r="V31" s="166" t="str">
        <f t="shared" si="5"/>
        <v/>
      </c>
      <c r="W31" s="172">
        <f t="array" ref="W31">IF(C31&lt;&gt;"",IFERROR(100-100/(1+SUMPRODUCT((終値!F125:R125&gt;終値!G125:S125)*( 終値!F125:R125-終値!G125:S125))/SUMPRODUCT((終値!F125:R125&lt;終値!G125:S125)*(終値!G125:S125-終値!F125:R125))),50),"")</f>
        <v>69.444444444444443</v>
      </c>
      <c r="X31" s="173">
        <f>IF(C31&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19.651533002441283</v>
      </c>
      <c r="Y31" s="1" t="e">
        <f>IF(T31="","",IF(銘柄管理!$F$5="下落▼",IF(AND(AD31="パーフェクト▲",OR(AE31="25日線押し目●",AE31="5日線押し目○")),"★逆張り候補",IF(AND(AD31="上昇トレンド▲",OR(AE31="25日線押し目●",AE31="5日線押し目○")),"○逆張り候補",IF(W31&lt;=30,IF(Z31&gt;0,"◎反発確認",IF(Z31&lt;-5,"△要注意・様子見","△売られ過ぎ注目")),"相場下落・見送り"))),IF(AND(T31&gt;=12,AD31="パーフェクト▲"),"★強い買い",IF(AND(T31&gt;=12,AD31="上昇トレンド▲"),"★強い買い",IF(AND(T31&gt;=8,OR(AE31="25日線押し目●",AE31="5日線押し目○")),"◎押し目買い",IF(T31&gt;=10,"○買い候補",IF(T31&gt;=6,"△注目",IF(T31&gt;=3,"様子見","見送り"))))))))</f>
        <v>#VALUE!</v>
      </c>
      <c r="Z31" s="174" t="str">
        <f t="shared" si="13"/>
        <v/>
      </c>
      <c r="AA31" s="166" t="str">
        <f t="shared" si="14"/>
        <v/>
      </c>
      <c r="AB31" s="408">
        <f>IF(C31="","",IFERROR(((終値!E33*0.333)+(終値!F33*0.222)+(終値!G33*0.148)+(終値!H33*0.099)+(終値!I33*0.066)+(終値!J33*0.044)+(終値!K33*0.029)+(終値!L33*0.019)+(終値!M33*0.013)+(終値!N33*0.009))/(0.333+0.222+0.148+0.099+0.066+0.044+0.029+0.019+0.013+0.009),""))</f>
        <v>1798.7866598778</v>
      </c>
      <c r="AC31" s="408">
        <f>IF(C31="","",IFERROR(SUMPRODUCT((終値!E33:AC33),({0.077,0.071,0.065,0.06,0.055,0.051,0.047,0.043,0.039,0.036,0.033,0.031,0.028,0.026,0.024,0.022,0.02,0.018,0.017,0.016,0.014,0.013,0.012,0.011,0.01}))/SUM({0.077,0.071,0.065,0.06,0.055,0.051,0.047,0.043,0.039,0.036,0.033,0.031,0.028,0.026,0.024,0.022,0.02,0.018,0.017,0.016,0.014,0.013,0.012,0.011,0.01}),""))</f>
        <v>1707.5005959475559</v>
      </c>
      <c r="AD31" s="409" t="str">
        <f t="shared" si="6"/>
        <v>パーフェクト▲</v>
      </c>
      <c r="AE31" s="409" t="e">
        <f t="shared" si="7"/>
        <v>#VALUE!</v>
      </c>
      <c r="AF31" s="368">
        <f t="array" ref="AF31">IF(C31="","",IFERROR((INDEX(終値!$E:$E,MATCH(TEXT(C31,"0"),終値!$A:$A,0))-INDEX(終値!$E:$CZ,MATCH(TEXT(C31,"0"),終値!$A:$A,0),$AL$2))/INDEX(終値!$E:$CZ,MATCH(TEXT(C31,"0"),終値!$A:$A,0),$AL$2)*100,""))</f>
        <v>9.8857644991212652</v>
      </c>
      <c r="AG31" s="368">
        <f t="array" ref="AG31">IFERROR((終値!$E$5-INDEX(終値!$E$5:$CZ$5,1,$AL$2))/INDEX(終値!$E$5:$CZ$5,1,$AL$2)*100,"")</f>
        <v>2.31989243802786</v>
      </c>
      <c r="AH31" s="369">
        <f t="shared" si="8"/>
        <v>7.5658720610934047</v>
      </c>
      <c r="AI31" s="367">
        <f t="shared" si="9"/>
        <v>3</v>
      </c>
    </row>
    <row r="32" spans="1:35" s="177" customFormat="1" ht="18" customHeight="1">
      <c r="A32" s="166" t="str">
        <f>IF(銘柄管理!B161&lt;&gt;"",HYPERLINK("https://kabutan.jp/stock/?code="&amp;銘柄管理!B161,"株探"),"")</f>
        <v>株探</v>
      </c>
      <c r="B32" s="167"/>
      <c r="C32" s="168">
        <f>IF(銘柄管理!B161="","",銘柄管理!B161)</f>
        <v>8892</v>
      </c>
      <c r="D32" s="106" t="str">
        <f>IF(銘柄管理!C161="","",銘柄管理!C161)</f>
        <v/>
      </c>
      <c r="E32" s="169" t="str">
        <f>IF(C32&lt;&gt;"",_xll.RssMarket(C32,"現在値"),"")</f>
        <v/>
      </c>
      <c r="F32" s="169" t="str">
        <f>IF(C32&lt;&gt;"",_xll.RssMarket(C32,"始値"),"")</f>
        <v/>
      </c>
      <c r="G32" s="168">
        <f>IF(C32&lt;&gt;"",終値!F161,"")</f>
        <v>1115</v>
      </c>
      <c r="H32" s="169" t="str">
        <f>IF(C32&lt;&gt;"",_xll.RssMarket(C32,"高値"),"")</f>
        <v/>
      </c>
      <c r="I32" s="169" t="str">
        <f>IF(C32&lt;&gt;"",_xll.RssMarket(C32,"安値"),"")</f>
        <v/>
      </c>
      <c r="J32" s="169" t="str">
        <f>IF(C32&lt;&gt;"",_xll.RssMarket(C32,"出来高"),"")</f>
        <v/>
      </c>
      <c r="K32" s="169" t="str">
        <f>IF(C32&lt;&gt;"",_xll.RssMarket(C32,"年初来高値"),"")</f>
        <v/>
      </c>
      <c r="L32" s="170" t="str">
        <f t="shared" si="0"/>
        <v/>
      </c>
      <c r="M32" s="169">
        <f>IF(C32&lt;&gt;"",IFERROR(AVERAGE(出来高!E161:I161),""),"")</f>
        <v>133000</v>
      </c>
      <c r="N32" s="169">
        <f>IF(C32&lt;&gt;"",IFERROR(AVERAGE(出来高!E161:AC161),""),"")</f>
        <v>153208</v>
      </c>
      <c r="O32" s="171" t="str">
        <f t="shared" si="1"/>
        <v/>
      </c>
      <c r="P32" s="166" t="str">
        <f t="shared" si="2"/>
        <v/>
      </c>
      <c r="Q32" s="166" t="str">
        <f t="shared" si="3"/>
        <v/>
      </c>
      <c r="R32" s="169" t="str">
        <f t="shared" si="10"/>
        <v/>
      </c>
      <c r="S32" s="169" t="str">
        <f t="shared" si="11"/>
        <v/>
      </c>
      <c r="T32" s="166">
        <f t="shared" si="4"/>
        <v>0</v>
      </c>
      <c r="U32" s="166" t="str">
        <f t="shared" si="12"/>
        <v>除外</v>
      </c>
      <c r="V32" s="166" t="str">
        <f t="shared" si="5"/>
        <v/>
      </c>
      <c r="W32" s="172">
        <f t="array" ref="W32">IF(C32&lt;&gt;"",IFERROR(100-100/(1+SUMPRODUCT((終値!F161:R161&gt;終値!G161:S161)*( 終値!F161:R161-終値!G161:S161))/SUMPRODUCT((終値!F161:R161&lt;終値!G161:S161)*(終値!G161:S161-終値!F161:R161))),50),"")</f>
        <v>84.782608695652172</v>
      </c>
      <c r="X32" s="173">
        <f>IF(C32&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6.1799760387525566</v>
      </c>
      <c r="Y32" s="1" t="e">
        <f>IF(T32="","",IF(銘柄管理!$F$5="下落▼",IF(AND(AD32="パーフェクト▲",OR(AE32="25日線押し目●",AE32="5日線押し目○")),"★逆張り候補",IF(AND(AD32="上昇トレンド▲",OR(AE32="25日線押し目●",AE32="5日線押し目○")),"○逆張り候補",IF(W32&lt;=30,IF(Z32&gt;0,"◎反発確認",IF(Z32&lt;-5,"△要注意・様子見","△売られ過ぎ注目")),"相場下落・見送り"))),IF(AND(T32&gt;=12,AD32="パーフェクト▲"),"★強い買い",IF(AND(T32&gt;=12,AD32="上昇トレンド▲"),"★強い買い",IF(AND(T32&gt;=8,OR(AE32="25日線押し目●",AE32="5日線押し目○")),"◎押し目買い",IF(T32&gt;=10,"○買い候補",IF(T32&gt;=6,"△注目",IF(T32&gt;=3,"様子見","見送り"))))))))</f>
        <v>#VALUE!</v>
      </c>
      <c r="Z32" s="174" t="str">
        <f t="shared" si="13"/>
        <v/>
      </c>
      <c r="AA32" s="166" t="str">
        <f t="shared" si="14"/>
        <v/>
      </c>
      <c r="AB32" s="406">
        <f>IF(C32="","",IFERROR(((終値!E34*0.333)+(終値!F34*0.222)+(終値!G34*0.148)+(終値!H34*0.099)+(終値!I34*0.066)+(終値!J34*0.044)+(終値!K34*0.029)+(終値!L34*0.019)+(終値!M34*0.013)+(終値!N34*0.009))/(0.333+0.222+0.148+0.099+0.066+0.044+0.029+0.019+0.013+0.009),""))</f>
        <v>3945.9256619144594</v>
      </c>
      <c r="AC32" s="406">
        <f>IF(C32="","",IFERROR(SUMPRODUCT((終値!E34:AC34),({0.077,0.071,0.065,0.06,0.055,0.051,0.047,0.043,0.039,0.036,0.033,0.031,0.028,0.026,0.024,0.022,0.02,0.018,0.017,0.016,0.014,0.013,0.012,0.011,0.01}))/SUM({0.077,0.071,0.065,0.06,0.055,0.051,0.047,0.043,0.039,0.036,0.033,0.031,0.028,0.026,0.024,0.022,0.02,0.018,0.017,0.016,0.014,0.013,0.012,0.011,0.01}),""))</f>
        <v>4020.1013110846243</v>
      </c>
      <c r="AD32" s="407" t="str">
        <f t="shared" si="6"/>
        <v>上昇トレンド▲</v>
      </c>
      <c r="AE32" s="407" t="e">
        <f t="shared" si="7"/>
        <v>#VALUE!</v>
      </c>
      <c r="AF32" s="368">
        <f t="array" ref="AF32">IF(C32="","",IFERROR((INDEX(終値!$E:$E,MATCH(TEXT(C32,"0"),終値!$A:$A,0))-INDEX(終値!$E:$CZ,MATCH(TEXT(C32,"0"),終値!$A:$A,0),$AL$2))/INDEX(終値!$E:$CZ,MATCH(TEXT(C32,"0"),終値!$A:$A,0),$AL$2)*100,""))</f>
        <v>1.0110294117647058</v>
      </c>
      <c r="AG32" s="368">
        <f t="array" ref="AG32">IFERROR((終値!$E$5-INDEX(終値!$E$5:$CZ$5,1,$AL$2))/INDEX(終値!$E$5:$CZ$5,1,$AL$2)*100,"")</f>
        <v>2.31989243802786</v>
      </c>
      <c r="AH32" s="369">
        <f t="shared" si="8"/>
        <v>-1.3088630262631542</v>
      </c>
      <c r="AI32" s="367">
        <f t="shared" si="9"/>
        <v>-1</v>
      </c>
    </row>
    <row r="33" spans="1:35" s="177" customFormat="1" ht="18" customHeight="1">
      <c r="A33" s="166" t="str">
        <f>IF(銘柄管理!B124&lt;&gt;"",HYPERLINK("https://kabutan.jp/stock/?code="&amp;銘柄管理!B124,"株探"),"")</f>
        <v>株探</v>
      </c>
      <c r="B33" s="167"/>
      <c r="C33" s="168">
        <f>IF(銘柄管理!B124="","",銘柄管理!B124)</f>
        <v>8801</v>
      </c>
      <c r="D33" s="106" t="str">
        <f>IF(銘柄管理!C124="","",銘柄管理!C124)</f>
        <v/>
      </c>
      <c r="E33" s="169" t="str">
        <f>IF(C33&lt;&gt;"",_xll.RssMarket(C33,"現在値"),"")</f>
        <v/>
      </c>
      <c r="F33" s="169" t="str">
        <f>IF(C33&lt;&gt;"",_xll.RssMarket(C33,"始値"),"")</f>
        <v/>
      </c>
      <c r="G33" s="168">
        <f>IF(C33&lt;&gt;"",終値!F124,"")</f>
        <v>1554</v>
      </c>
      <c r="H33" s="169" t="str">
        <f>IF(C33&lt;&gt;"",_xll.RssMarket(C33,"高値"),"")</f>
        <v/>
      </c>
      <c r="I33" s="169" t="str">
        <f>IF(C33&lt;&gt;"",_xll.RssMarket(C33,"安値"),"")</f>
        <v/>
      </c>
      <c r="J33" s="169" t="str">
        <f>IF(C33&lt;&gt;"",_xll.RssMarket(C33,"出来高"),"")</f>
        <v/>
      </c>
      <c r="K33" s="169" t="str">
        <f>IF(C33&lt;&gt;"",_xll.RssMarket(C33,"年初来高値"),"")</f>
        <v/>
      </c>
      <c r="L33" s="170" t="str">
        <f t="shared" si="0"/>
        <v/>
      </c>
      <c r="M33" s="169">
        <f>IF(C33&lt;&gt;"",IFERROR(AVERAGE(出来高!E124:I124),""),"")</f>
        <v>7082940</v>
      </c>
      <c r="N33" s="169">
        <f>IF(C33&lt;&gt;"",IFERROR(AVERAGE(出来高!E124:AC124),""),"")</f>
        <v>10558908</v>
      </c>
      <c r="O33" s="171" t="str">
        <f t="shared" si="1"/>
        <v/>
      </c>
      <c r="P33" s="166" t="str">
        <f t="shared" si="2"/>
        <v/>
      </c>
      <c r="Q33" s="166" t="str">
        <f t="shared" si="3"/>
        <v/>
      </c>
      <c r="R33" s="169" t="str">
        <f t="shared" si="10"/>
        <v/>
      </c>
      <c r="S33" s="169" t="str">
        <f t="shared" si="11"/>
        <v/>
      </c>
      <c r="T33" s="166">
        <f t="shared" si="4"/>
        <v>0</v>
      </c>
      <c r="U33" s="166" t="str">
        <f t="shared" si="12"/>
        <v>除外</v>
      </c>
      <c r="V33" s="166" t="str">
        <f t="shared" si="5"/>
        <v/>
      </c>
      <c r="W33" s="172">
        <f t="array" ref="W33">IF(C33&lt;&gt;"",IFERROR(100-100/(1+SUMPRODUCT((終値!F124:R124&gt;終値!G124:S124)*( 終値!F124:R124-終値!G124:S124))/SUMPRODUCT((終値!F124:R124&lt;終値!G124:S124)*(終値!G124:S124-終値!F124:R124))),50),"")</f>
        <v>65.73705179282868</v>
      </c>
      <c r="X33" s="173">
        <f>IF(C33&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6.2471859464496902</v>
      </c>
      <c r="Y33" s="1" t="e">
        <f>IF(T33="","",IF(銘柄管理!$F$5="下落▼",IF(AND(AD33="パーフェクト▲",OR(AE33="25日線押し目●",AE33="5日線押し目○")),"★逆張り候補",IF(AND(AD33="上昇トレンド▲",OR(AE33="25日線押し目●",AE33="5日線押し目○")),"○逆張り候補",IF(W33&lt;=30,IF(Z33&gt;0,"◎反発確認",IF(Z33&lt;-5,"△要注意・様子見","△売られ過ぎ注目")),"相場下落・見送り"))),IF(AND(T33&gt;=12,AD33="パーフェクト▲"),"★強い買い",IF(AND(T33&gt;=12,AD33="上昇トレンド▲"),"★強い買い",IF(AND(T33&gt;=8,OR(AE33="25日線押し目●",AE33="5日線押し目○")),"◎押し目買い",IF(T33&gt;=10,"○買い候補",IF(T33&gt;=6,"△注目",IF(T33&gt;=3,"様子見","見送り"))))))))</f>
        <v>#VALUE!</v>
      </c>
      <c r="Z33" s="174" t="str">
        <f t="shared" si="13"/>
        <v/>
      </c>
      <c r="AA33" s="166" t="str">
        <f t="shared" si="14"/>
        <v/>
      </c>
      <c r="AB33" s="408">
        <f>IF(C33="","",IFERROR(((終値!E35*0.333)+(終値!F35*0.222)+(終値!G35*0.148)+(終値!H35*0.099)+(終値!I35*0.066)+(終値!J35*0.044)+(終値!K35*0.029)+(終値!L35*0.019)+(終値!M35*0.013)+(終値!N35*0.009))/(0.333+0.222+0.148+0.099+0.066+0.044+0.029+0.019+0.013+0.009),""))</f>
        <v>2314.2153767820773</v>
      </c>
      <c r="AC33" s="408">
        <f>IF(C33="","",IFERROR(SUMPRODUCT((終値!E35:AC35),({0.077,0.071,0.065,0.06,0.055,0.051,0.047,0.043,0.039,0.036,0.033,0.031,0.028,0.026,0.024,0.022,0.02,0.018,0.017,0.016,0.014,0.013,0.012,0.011,0.01}))/SUM({0.077,0.071,0.065,0.06,0.055,0.051,0.047,0.043,0.039,0.036,0.033,0.031,0.028,0.026,0.024,0.022,0.02,0.018,0.017,0.016,0.014,0.013,0.012,0.011,0.01}),""))</f>
        <v>2252.2205005959472</v>
      </c>
      <c r="AD33" s="409" t="str">
        <f t="shared" si="6"/>
        <v>パーフェクト▲</v>
      </c>
      <c r="AE33" s="409" t="e">
        <f t="shared" si="7"/>
        <v>#VALUE!</v>
      </c>
      <c r="AF33" s="368">
        <f t="array" ref="AF33">IF(C33="","",IFERROR((INDEX(終値!$E:$E,MATCH(TEXT(C33,"0"),終値!$A:$A,0))-INDEX(終値!$E:$CZ,MATCH(TEXT(C33,"0"),終値!$A:$A,0),$AL$2))/INDEX(終値!$E:$CZ,MATCH(TEXT(C33,"0"),終値!$A:$A,0),$AL$2)*100,""))</f>
        <v>5.0940170940170937</v>
      </c>
      <c r="AG33" s="368">
        <f t="array" ref="AG33">IFERROR((終値!$E$5-INDEX(終値!$E$5:$CZ$5,1,$AL$2))/INDEX(終値!$E$5:$CZ$5,1,$AL$2)*100,"")</f>
        <v>2.31989243802786</v>
      </c>
      <c r="AH33" s="369">
        <f t="shared" si="8"/>
        <v>2.7741246559892336</v>
      </c>
      <c r="AI33" s="367">
        <f t="shared" si="9"/>
        <v>1</v>
      </c>
    </row>
    <row r="34" spans="1:35" s="177" customFormat="1" ht="18" customHeight="1">
      <c r="A34" s="166" t="str">
        <f>IF(銘柄管理!B23&lt;&gt;"",HYPERLINK("https://kabutan.jp/stock/?code="&amp;銘柄管理!B23,"株探"),"")</f>
        <v>株探</v>
      </c>
      <c r="B34" s="167"/>
      <c r="C34" s="168">
        <f>IF(銘柄管理!B23="","",銘柄管理!B23)</f>
        <v>8795</v>
      </c>
      <c r="D34" s="106" t="str">
        <f>IF(銘柄管理!C23="","",銘柄管理!C23)</f>
        <v/>
      </c>
      <c r="E34" s="169" t="str">
        <f>IF(C34&lt;&gt;"",_xll.RssMarket(C34,"現在値"),"")</f>
        <v/>
      </c>
      <c r="F34" s="169" t="str">
        <f>IF(C34&lt;&gt;"",_xll.RssMarket(C34,"始値"),"")</f>
        <v/>
      </c>
      <c r="G34" s="168">
        <f>IF(C34&lt;&gt;"",終値!F23,"")</f>
        <v>5050</v>
      </c>
      <c r="H34" s="169" t="str">
        <f>IF(C34&lt;&gt;"",_xll.RssMarket(C34,"高値"),"")</f>
        <v/>
      </c>
      <c r="I34" s="169" t="str">
        <f>IF(C34&lt;&gt;"",_xll.RssMarket(C34,"安値"),"")</f>
        <v/>
      </c>
      <c r="J34" s="169" t="str">
        <f>IF(C34&lt;&gt;"",_xll.RssMarket(C34,"出来高"),"")</f>
        <v/>
      </c>
      <c r="K34" s="169" t="str">
        <f>IF(C34&lt;&gt;"",_xll.RssMarket(C34,"年初来高値"),"")</f>
        <v/>
      </c>
      <c r="L34" s="170" t="str">
        <f t="shared" si="0"/>
        <v/>
      </c>
      <c r="M34" s="169">
        <f>IF(C34&lt;&gt;"",IFERROR(AVERAGE(出来高!E23:I23),""),"")</f>
        <v>1222580</v>
      </c>
      <c r="N34" s="169">
        <f>IF(C34&lt;&gt;"",IFERROR(AVERAGE(出来高!E23:AC23),""),"")</f>
        <v>1943060</v>
      </c>
      <c r="O34" s="171" t="str">
        <f t="shared" si="1"/>
        <v/>
      </c>
      <c r="P34" s="166" t="str">
        <f t="shared" si="2"/>
        <v/>
      </c>
      <c r="Q34" s="166" t="str">
        <f t="shared" si="3"/>
        <v/>
      </c>
      <c r="R34" s="169" t="str">
        <f t="shared" si="10"/>
        <v/>
      </c>
      <c r="S34" s="169" t="str">
        <f t="shared" si="11"/>
        <v/>
      </c>
      <c r="T34" s="166">
        <f t="shared" si="4"/>
        <v>0</v>
      </c>
      <c r="U34" s="166" t="str">
        <f t="shared" si="12"/>
        <v>除外</v>
      </c>
      <c r="V34" s="166" t="str">
        <f t="shared" si="5"/>
        <v/>
      </c>
      <c r="W34" s="172">
        <f t="array" ref="W34">IF(C34&lt;&gt;"",IFERROR(100-100/(1+SUMPRODUCT((終値!F23:R23&gt;終値!G23:S23)*( 終値!F23:R23-終値!G23:S23))/SUMPRODUCT((終値!F23:R23&lt;終値!G23:S23)*(終値!G23:S23-終値!F23:R23))),50),"")</f>
        <v>76.470588235294116</v>
      </c>
      <c r="X34" s="173">
        <f>IF(C34&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30.417258069011041</v>
      </c>
      <c r="Y34" s="1" t="e">
        <f>IF(T34="","",IF(銘柄管理!$F$5="下落▼",IF(AND(AD34="パーフェクト▲",OR(AE34="25日線押し目●",AE34="5日線押し目○")),"★逆張り候補",IF(AND(AD34="上昇トレンド▲",OR(AE34="25日線押し目●",AE34="5日線押し目○")),"○逆張り候補",IF(W34&lt;=30,IF(Z34&gt;0,"◎反発確認",IF(Z34&lt;-5,"△要注意・様子見","△売られ過ぎ注目")),"相場下落・見送り"))),IF(AND(T34&gt;=12,AD34="パーフェクト▲"),"★強い買い",IF(AND(T34&gt;=12,AD34="上昇トレンド▲"),"★強い買い",IF(AND(T34&gt;=8,OR(AE34="25日線押し目●",AE34="5日線押し目○")),"◎押し目買い",IF(T34&gt;=10,"○買い候補",IF(T34&gt;=6,"△注目",IF(T34&gt;=3,"様子見","見送り"))))))))</f>
        <v>#VALUE!</v>
      </c>
      <c r="Z34" s="174" t="str">
        <f t="shared" si="13"/>
        <v/>
      </c>
      <c r="AA34" s="166" t="str">
        <f t="shared" si="14"/>
        <v/>
      </c>
      <c r="AB34" s="406">
        <f>IF(C34="","",IFERROR(((終値!E36*0.333)+(終値!F36*0.222)+(終値!G36*0.148)+(終値!H36*0.099)+(終値!I36*0.066)+(終値!J36*0.044)+(終値!K36*0.029)+(終値!L36*0.019)+(終値!M36*0.013)+(終値!N36*0.009))/(0.333+0.222+0.148+0.099+0.066+0.044+0.029+0.019+0.013+0.009),""))</f>
        <v>1873.3116089613034</v>
      </c>
      <c r="AC34" s="406">
        <f>IF(C34="","",IFERROR(SUMPRODUCT((終値!E36:AC36),({0.077,0.071,0.065,0.06,0.055,0.051,0.047,0.043,0.039,0.036,0.033,0.031,0.028,0.026,0.024,0.022,0.02,0.018,0.017,0.016,0.014,0.013,0.012,0.011,0.01}))/SUM({0.077,0.071,0.065,0.06,0.055,0.051,0.047,0.043,0.039,0.036,0.033,0.031,0.028,0.026,0.024,0.022,0.02,0.018,0.017,0.016,0.014,0.013,0.012,0.011,0.01}),""))</f>
        <v>1823.476758045291</v>
      </c>
      <c r="AD34" s="407" t="str">
        <f t="shared" si="6"/>
        <v>パーフェクト▲</v>
      </c>
      <c r="AE34" s="407" t="e">
        <f t="shared" si="7"/>
        <v>#VALUE!</v>
      </c>
      <c r="AF34" s="368">
        <f t="array" ref="AF34">IF(C34="","",IFERROR((INDEX(終値!$E:$E,MATCH(TEXT(C34,"0"),終値!$A:$A,0))-INDEX(終値!$E:$CZ,MATCH(TEXT(C34,"0"),終値!$A:$A,0),$AL$2))/INDEX(終値!$E:$CZ,MATCH(TEXT(C34,"0"),終値!$A:$A,0),$AL$2)*100,""))</f>
        <v>9.0557451649601806</v>
      </c>
      <c r="AG34" s="368">
        <f t="array" ref="AG34">IFERROR((終値!$E$5-INDEX(終値!$E$5:$CZ$5,1,$AL$2))/INDEX(終値!$E$5:$CZ$5,1,$AL$2)*100,"")</f>
        <v>2.31989243802786</v>
      </c>
      <c r="AH34" s="369">
        <f t="shared" si="8"/>
        <v>6.7358527269323201</v>
      </c>
      <c r="AI34" s="367">
        <f t="shared" si="9"/>
        <v>3</v>
      </c>
    </row>
    <row r="35" spans="1:35" s="177" customFormat="1" ht="18" customHeight="1">
      <c r="A35" s="166" t="str">
        <f>IF(銘柄管理!B52&lt;&gt;"",HYPERLINK("https://kabutan.jp/stock/?code="&amp;銘柄管理!B52,"株探"),"")</f>
        <v>株探</v>
      </c>
      <c r="B35" s="167"/>
      <c r="C35" s="168">
        <f>IF(銘柄管理!B52="","",銘柄管理!B52)</f>
        <v>8766</v>
      </c>
      <c r="D35" s="106" t="str">
        <f>IF(銘柄管理!C52="","",銘柄管理!C52)</f>
        <v/>
      </c>
      <c r="E35" s="169" t="str">
        <f>IF(C35&lt;&gt;"",_xll.RssMarket(C35,"現在値"),"")</f>
        <v/>
      </c>
      <c r="F35" s="169" t="str">
        <f>IF(C35&lt;&gt;"",_xll.RssMarket(C35,"始値"),"")</f>
        <v/>
      </c>
      <c r="G35" s="168">
        <f>IF(C35&lt;&gt;"",終値!F52,"")</f>
        <v>7772</v>
      </c>
      <c r="H35" s="169" t="str">
        <f>IF(C35&lt;&gt;"",_xll.RssMarket(C35,"高値"),"")</f>
        <v/>
      </c>
      <c r="I35" s="169" t="str">
        <f>IF(C35&lt;&gt;"",_xll.RssMarket(C35,"安値"),"")</f>
        <v/>
      </c>
      <c r="J35" s="169" t="str">
        <f>IF(C35&lt;&gt;"",_xll.RssMarket(C35,"出来高"),"")</f>
        <v/>
      </c>
      <c r="K35" s="169" t="str">
        <f>IF(C35&lt;&gt;"",_xll.RssMarket(C35,"年初来高値"),"")</f>
        <v/>
      </c>
      <c r="L35" s="170" t="str">
        <f t="shared" si="0"/>
        <v/>
      </c>
      <c r="M35" s="169">
        <f>IF(C35&lt;&gt;"",IFERROR(AVERAGE(出来高!E52:I52),""),"")</f>
        <v>4697180</v>
      </c>
      <c r="N35" s="169">
        <f>IF(C35&lt;&gt;"",IFERROR(AVERAGE(出来高!E52:AC52),""),"")</f>
        <v>5773944</v>
      </c>
      <c r="O35" s="171" t="str">
        <f t="shared" si="1"/>
        <v/>
      </c>
      <c r="P35" s="166" t="str">
        <f t="shared" si="2"/>
        <v/>
      </c>
      <c r="Q35" s="166" t="str">
        <f t="shared" si="3"/>
        <v/>
      </c>
      <c r="R35" s="169" t="str">
        <f t="shared" si="10"/>
        <v/>
      </c>
      <c r="S35" s="169" t="str">
        <f t="shared" si="11"/>
        <v/>
      </c>
      <c r="T35" s="166">
        <f t="shared" si="4"/>
        <v>0</v>
      </c>
      <c r="U35" s="166" t="str">
        <f t="shared" si="12"/>
        <v>除外</v>
      </c>
      <c r="V35" s="166" t="str">
        <f t="shared" si="5"/>
        <v/>
      </c>
      <c r="W35" s="172">
        <f t="array" ref="W35">IF(C35&lt;&gt;"",IFERROR(100-100/(1+SUMPRODUCT((終値!F52:R52&gt;終値!G52:S52)*( 終値!F52:R52-終値!G52:S52))/SUMPRODUCT((終値!F52:R52&lt;終値!G52:S52)*(終値!G52:S52-終値!F52:R52))),50),"")</f>
        <v>73.811983471074385</v>
      </c>
      <c r="X35" s="173">
        <f>IF(C35&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81.08896508901762</v>
      </c>
      <c r="Y35" s="1" t="e">
        <f>IF(T35="","",IF(銘柄管理!$F$5="下落▼",IF(AND(AD35="パーフェクト▲",OR(AE35="25日線押し目●",AE35="5日線押し目○")),"★逆張り候補",IF(AND(AD35="上昇トレンド▲",OR(AE35="25日線押し目●",AE35="5日線押し目○")),"○逆張り候補",IF(W35&lt;=30,IF(Z35&gt;0,"◎反発確認",IF(Z35&lt;-5,"△要注意・様子見","△売られ過ぎ注目")),"相場下落・見送り"))),IF(AND(T35&gt;=12,AD35="パーフェクト▲"),"★強い買い",IF(AND(T35&gt;=12,AD35="上昇トレンド▲"),"★強い買い",IF(AND(T35&gt;=8,OR(AE35="25日線押し目●",AE35="5日線押し目○")),"◎押し目買い",IF(T35&gt;=10,"○買い候補",IF(T35&gt;=6,"△注目",IF(T35&gt;=3,"様子見","見送り"))))))))</f>
        <v>#VALUE!</v>
      </c>
      <c r="Z35" s="174" t="str">
        <f t="shared" si="13"/>
        <v/>
      </c>
      <c r="AA35" s="166" t="str">
        <f t="shared" si="14"/>
        <v/>
      </c>
      <c r="AB35" s="408">
        <f>IF(C35="","",IFERROR(((終値!E37*0.333)+(終値!F37*0.222)+(終値!G37*0.148)+(終値!H37*0.099)+(終値!I37*0.066)+(終値!J37*0.044)+(終値!K37*0.029)+(終値!L37*0.019)+(終値!M37*0.013)+(終値!N37*0.009))/(0.333+0.222+0.148+0.099+0.066+0.044+0.029+0.019+0.013+0.009),""))</f>
        <v>1535.4582484725049</v>
      </c>
      <c r="AC35" s="408">
        <f>IF(C35="","",IFERROR(SUMPRODUCT((終値!E37:AC37),({0.077,0.071,0.065,0.06,0.055,0.051,0.047,0.043,0.039,0.036,0.033,0.031,0.028,0.026,0.024,0.022,0.02,0.018,0.017,0.016,0.014,0.013,0.012,0.011,0.01}))/SUM({0.077,0.071,0.065,0.06,0.055,0.051,0.047,0.043,0.039,0.036,0.033,0.031,0.028,0.026,0.024,0.022,0.02,0.018,0.017,0.016,0.014,0.013,0.012,0.011,0.01}),""))</f>
        <v>1508.6382598331338</v>
      </c>
      <c r="AD35" s="409" t="str">
        <f t="shared" ref="AD35:AD66" si="15">IF(OR(C35="",AB35="",AC35=""),"",IF(AND(E35&gt;AB35,AB35&gt;AC35),"パーフェクト▲",IF(E35&gt;AC35,"上昇トレンド▲",IF(AND(E35&lt;AB35,AB35&lt;AC35),"下降トレンド▼","もみ合い→"))))</f>
        <v>パーフェクト▲</v>
      </c>
      <c r="AE35" s="409" t="e">
        <f t="shared" ref="AE35:AE66" si="16">IF(OR(C35="",AB35="",AC35=""),"",IF(AND(ABS(E35-AC35)/AC35&lt;=0.02,E35&gt;AC35),"25日押し目★",IF(AND(ABS(E35-AB35)/AB35&lt;=0.01,E35&gt;AB35),"5日押し目○","なし")))</f>
        <v>#VALUE!</v>
      </c>
      <c r="AF35" s="368">
        <f t="array" ref="AF35">IF(C35="","",IFERROR((INDEX(終値!$E:$E,MATCH(TEXT(C35,"0"),終値!$A:$A,0))-INDEX(終値!$E:$CZ,MATCH(TEXT(C35,"0"),終値!$A:$A,0),$AL$2))/INDEX(終値!$E:$CZ,MATCH(TEXT(C35,"0"),終値!$A:$A,0),$AL$2)*100,""))</f>
        <v>4.0652654867256635</v>
      </c>
      <c r="AG35" s="368">
        <f t="array" ref="AG35">IFERROR((終値!$E$5-INDEX(終値!$E$5:$CZ$5,1,$AL$2))/INDEX(終値!$E$5:$CZ$5,1,$AL$2)*100,"")</f>
        <v>2.31989243802786</v>
      </c>
      <c r="AH35" s="369">
        <f t="shared" si="8"/>
        <v>1.7453730486978034</v>
      </c>
      <c r="AI35" s="367">
        <f t="shared" si="9"/>
        <v>1</v>
      </c>
    </row>
    <row r="36" spans="1:35" s="177" customFormat="1" ht="18" customHeight="1">
      <c r="A36" s="166" t="str">
        <f>IF(銘柄管理!B43&lt;&gt;"",HYPERLINK("https://kabutan.jp/stock/?code="&amp;銘柄管理!B43,"株探"),"")</f>
        <v>株探</v>
      </c>
      <c r="B36" s="167"/>
      <c r="C36" s="168">
        <f>IF(銘柄管理!B43="","",銘柄管理!B43)</f>
        <v>8750</v>
      </c>
      <c r="D36" s="106" t="str">
        <f>IF(銘柄管理!C43="","",銘柄管理!C43)</f>
        <v/>
      </c>
      <c r="E36" s="169" t="str">
        <f>IF(C36&lt;&gt;"",_xll.RssMarket(C36,"現在値"),"")</f>
        <v/>
      </c>
      <c r="F36" s="169" t="str">
        <f>IF(C36&lt;&gt;"",_xll.RssMarket(C36,"始値"),"")</f>
        <v/>
      </c>
      <c r="G36" s="168">
        <f>IF(C36&lt;&gt;"",終値!F43,"")</f>
        <v>1884</v>
      </c>
      <c r="H36" s="169" t="str">
        <f>IF(C36&lt;&gt;"",_xll.RssMarket(C36,"高値"),"")</f>
        <v/>
      </c>
      <c r="I36" s="169" t="str">
        <f>IF(C36&lt;&gt;"",_xll.RssMarket(C36,"安値"),"")</f>
        <v/>
      </c>
      <c r="J36" s="169" t="str">
        <f>IF(C36&lt;&gt;"",_xll.RssMarket(C36,"出来高"),"")</f>
        <v/>
      </c>
      <c r="K36" s="169" t="str">
        <f>IF(C36&lt;&gt;"",_xll.RssMarket(C36,"年初来高値"),"")</f>
        <v/>
      </c>
      <c r="L36" s="170" t="str">
        <f t="shared" si="0"/>
        <v/>
      </c>
      <c r="M36" s="169">
        <f>IF(C36&lt;&gt;"",IFERROR(AVERAGE(出来高!E43:I43),""),"")</f>
        <v>10022520</v>
      </c>
      <c r="N36" s="169">
        <f>IF(C36&lt;&gt;"",IFERROR(AVERAGE(出来高!E43:AC43),""),"")</f>
        <v>10250340</v>
      </c>
      <c r="O36" s="171" t="str">
        <f t="shared" si="1"/>
        <v/>
      </c>
      <c r="P36" s="166" t="str">
        <f t="shared" si="2"/>
        <v/>
      </c>
      <c r="Q36" s="166" t="str">
        <f t="shared" si="3"/>
        <v/>
      </c>
      <c r="R36" s="169" t="str">
        <f t="shared" si="10"/>
        <v/>
      </c>
      <c r="S36" s="169" t="str">
        <f t="shared" si="11"/>
        <v/>
      </c>
      <c r="T36" s="166">
        <f t="shared" si="4"/>
        <v>0</v>
      </c>
      <c r="U36" s="166" t="str">
        <f t="shared" si="12"/>
        <v>除外</v>
      </c>
      <c r="V36" s="166" t="str">
        <f t="shared" si="5"/>
        <v/>
      </c>
      <c r="W36" s="172">
        <f t="array" ref="W36">IF(C36&lt;&gt;"",IFERROR(100-100/(1+SUMPRODUCT((終値!F43:R43&gt;終値!G43:S43)*( 終値!F43:R43-終値!G43:S43))/SUMPRODUCT((終値!F43:R43&lt;終値!G43:S43)*(終値!G43:S43-終値!F43:R43))),50),"")</f>
        <v>79.799666110183637</v>
      </c>
      <c r="X36" s="173">
        <f>IF(C36&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14.64799553413286</v>
      </c>
      <c r="Y36" s="1" t="e">
        <f>IF(T36="","",IF(銘柄管理!$F$5="下落▼",IF(AND(AD36="パーフェクト▲",OR(AE36="25日線押し目●",AE36="5日線押し目○")),"★逆張り候補",IF(AND(AD36="上昇トレンド▲",OR(AE36="25日線押し目●",AE36="5日線押し目○")),"○逆張り候補",IF(W36&lt;=30,IF(Z36&gt;0,"◎反発確認",IF(Z36&lt;-5,"△要注意・様子見","△売られ過ぎ注目")),"相場下落・見送り"))),IF(AND(T36&gt;=12,AD36="パーフェクト▲"),"★強い買い",IF(AND(T36&gt;=12,AD36="上昇トレンド▲"),"★強い買い",IF(AND(T36&gt;=8,OR(AE36="25日線押し目●",AE36="5日線押し目○")),"◎押し目買い",IF(T36&gt;=10,"○買い候補",IF(T36&gt;=6,"△注目",IF(T36&gt;=3,"様子見","見送り"))))))))</f>
        <v>#VALUE!</v>
      </c>
      <c r="Z36" s="174" t="str">
        <f t="shared" si="13"/>
        <v/>
      </c>
      <c r="AA36" s="166" t="str">
        <f t="shared" si="14"/>
        <v/>
      </c>
      <c r="AB36" s="406">
        <f>IF(C36="","",IFERROR(((終値!E38*0.333)+(終値!F38*0.222)+(終値!G38*0.148)+(終値!H38*0.099)+(終値!I38*0.066)+(終値!J38*0.044)+(終値!K38*0.029)+(終値!L38*0.019)+(終値!M38*0.013)+(終値!N38*0.009))/(0.333+0.222+0.148+0.099+0.066+0.044+0.029+0.019+0.013+0.009),""))</f>
        <v>1913.1787169042766</v>
      </c>
      <c r="AC36" s="406">
        <f>IF(C36="","",IFERROR(SUMPRODUCT((終値!E38:AC38),({0.077,0.071,0.065,0.06,0.055,0.051,0.047,0.043,0.039,0.036,0.033,0.031,0.028,0.026,0.024,0.022,0.02,0.018,0.017,0.016,0.014,0.013,0.012,0.011,0.01}))/SUM({0.077,0.071,0.065,0.06,0.055,0.051,0.047,0.043,0.039,0.036,0.033,0.031,0.028,0.026,0.024,0.022,0.02,0.018,0.017,0.016,0.014,0.013,0.012,0.011,0.01}),""))</f>
        <v>1898.429082240762</v>
      </c>
      <c r="AD36" s="407" t="str">
        <f t="shared" si="15"/>
        <v>パーフェクト▲</v>
      </c>
      <c r="AE36" s="407" t="e">
        <f t="shared" si="16"/>
        <v>#VALUE!</v>
      </c>
      <c r="AF36" s="368">
        <f t="array" ref="AF36">IF(C36="","",IFERROR((INDEX(終値!$E:$E,MATCH(TEXT(C36,"0"),終値!$A:$A,0))-INDEX(終値!$E:$CZ,MATCH(TEXT(C36,"0"),終値!$A:$A,0),$AL$2))/INDEX(終値!$E:$CZ,MATCH(TEXT(C36,"0"),終値!$A:$A,0),$AL$2)*100,""))</f>
        <v>7.8860569715142423</v>
      </c>
      <c r="AG36" s="368">
        <f t="array" ref="AG36">IFERROR((終値!$E$5-INDEX(終値!$E$5:$CZ$5,1,$AL$2))/INDEX(終値!$E$5:$CZ$5,1,$AL$2)*100,"")</f>
        <v>2.31989243802786</v>
      </c>
      <c r="AH36" s="369">
        <f t="shared" si="8"/>
        <v>5.5661645334863827</v>
      </c>
      <c r="AI36" s="367">
        <f t="shared" si="9"/>
        <v>3</v>
      </c>
    </row>
    <row r="37" spans="1:35" s="177" customFormat="1" ht="18" customHeight="1">
      <c r="A37" s="166" t="str">
        <f>IF(銘柄管理!B22&lt;&gt;"",HYPERLINK("https://kabutan.jp/stock/?code="&amp;銘柄管理!B22,"株探"),"")</f>
        <v>株探</v>
      </c>
      <c r="B37" s="167"/>
      <c r="C37" s="168">
        <f>IF(銘柄管理!B22="","",銘柄管理!B22)</f>
        <v>8725</v>
      </c>
      <c r="D37" s="106" t="str">
        <f>IF(銘柄管理!C22="","",銘柄管理!C22)</f>
        <v/>
      </c>
      <c r="E37" s="169" t="str">
        <f>IF(C37&lt;&gt;"",_xll.RssMarket(C37,"現在値"),"")</f>
        <v/>
      </c>
      <c r="F37" s="169" t="str">
        <f>IF(C37&lt;&gt;"",_xll.RssMarket(C37,"始値"),"")</f>
        <v/>
      </c>
      <c r="G37" s="168">
        <f>IF(C37&lt;&gt;"",終値!F22,"")</f>
        <v>4574</v>
      </c>
      <c r="H37" s="169" t="str">
        <f>IF(C37&lt;&gt;"",_xll.RssMarket(C37,"高値"),"")</f>
        <v/>
      </c>
      <c r="I37" s="169" t="str">
        <f>IF(C37&lt;&gt;"",_xll.RssMarket(C37,"安値"),"")</f>
        <v/>
      </c>
      <c r="J37" s="169" t="str">
        <f>IF(C37&lt;&gt;"",_xll.RssMarket(C37,"出来高"),"")</f>
        <v/>
      </c>
      <c r="K37" s="169" t="str">
        <f>IF(C37&lt;&gt;"",_xll.RssMarket(C37,"年初来高値"),"")</f>
        <v/>
      </c>
      <c r="L37" s="170" t="str">
        <f t="shared" si="0"/>
        <v/>
      </c>
      <c r="M37" s="169">
        <f>IF(C37&lt;&gt;"",IFERROR(AVERAGE(出来高!E22:I22),""),"")</f>
        <v>3834380</v>
      </c>
      <c r="N37" s="169">
        <f>IF(C37&lt;&gt;"",IFERROR(AVERAGE(出来高!E22:AC22),""),"")</f>
        <v>4822452</v>
      </c>
      <c r="O37" s="171" t="str">
        <f t="shared" si="1"/>
        <v/>
      </c>
      <c r="P37" s="166" t="str">
        <f t="shared" si="2"/>
        <v/>
      </c>
      <c r="Q37" s="166" t="str">
        <f t="shared" si="3"/>
        <v/>
      </c>
      <c r="R37" s="169" t="str">
        <f t="shared" si="10"/>
        <v/>
      </c>
      <c r="S37" s="169" t="str">
        <f t="shared" si="11"/>
        <v/>
      </c>
      <c r="T37" s="166">
        <f t="shared" si="4"/>
        <v>0</v>
      </c>
      <c r="U37" s="166" t="str">
        <f t="shared" si="12"/>
        <v>除外</v>
      </c>
      <c r="V37" s="166" t="str">
        <f t="shared" si="5"/>
        <v/>
      </c>
      <c r="W37" s="172">
        <f t="array" ref="W37">IF(C37&lt;&gt;"",IFERROR(100-100/(1+SUMPRODUCT((終値!F22:R22&gt;終値!G22:S22)*( 終値!F22:R22-終値!G22:S22))/SUMPRODUCT((終値!F22:R22&lt;終値!G22:S22)*(終値!G22:S22-終値!F22:R22))),50),"")</f>
        <v>75.474683544303801</v>
      </c>
      <c r="X37" s="173">
        <f>IF(C37&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9.1235576482959004</v>
      </c>
      <c r="Y37" s="1" t="e">
        <f>IF(T37="","",IF(銘柄管理!$F$5="下落▼",IF(AND(AD37="パーフェクト▲",OR(AE37="25日線押し目●",AE37="5日線押し目○")),"★逆張り候補",IF(AND(AD37="上昇トレンド▲",OR(AE37="25日線押し目●",AE37="5日線押し目○")),"○逆張り候補",IF(W37&lt;=30,IF(Z37&gt;0,"◎反発確認",IF(Z37&lt;-5,"△要注意・様子見","△売られ過ぎ注目")),"相場下落・見送り"))),IF(AND(T37&gt;=12,AD37="パーフェクト▲"),"★強い買い",IF(AND(T37&gt;=12,AD37="上昇トレンド▲"),"★強い買い",IF(AND(T37&gt;=8,OR(AE37="25日線押し目●",AE37="5日線押し目○")),"◎押し目買い",IF(T37&gt;=10,"○買い候補",IF(T37&gt;=6,"△注目",IF(T37&gt;=3,"様子見","見送り"))))))))</f>
        <v>#VALUE!</v>
      </c>
      <c r="Z37" s="174" t="str">
        <f t="shared" si="13"/>
        <v/>
      </c>
      <c r="AA37" s="166" t="str">
        <f t="shared" si="14"/>
        <v/>
      </c>
      <c r="AB37" s="408">
        <f>IF(C37="","",IFERROR(((終値!E39*0.333)+(終値!F39*0.222)+(終値!G39*0.148)+(終値!H39*0.099)+(終値!I39*0.066)+(終値!J39*0.044)+(終値!K39*0.029)+(終値!L39*0.019)+(終値!M39*0.013)+(終値!N39*0.009))/(0.333+0.222+0.148+0.099+0.066+0.044+0.029+0.019+0.013+0.009),""))</f>
        <v>1391.4898167006106</v>
      </c>
      <c r="AC37" s="408">
        <f>IF(C37="","",IFERROR(SUMPRODUCT((終値!E39:AC39),({0.077,0.071,0.065,0.06,0.055,0.051,0.047,0.043,0.039,0.036,0.033,0.031,0.028,0.026,0.024,0.022,0.02,0.018,0.017,0.016,0.014,0.013,0.012,0.011,0.01}))/SUM({0.077,0.071,0.065,0.06,0.055,0.051,0.047,0.043,0.039,0.036,0.033,0.031,0.028,0.026,0.024,0.022,0.02,0.018,0.017,0.016,0.014,0.013,0.012,0.011,0.01}),""))</f>
        <v>1355.251489868891</v>
      </c>
      <c r="AD37" s="409" t="str">
        <f t="shared" si="15"/>
        <v>パーフェクト▲</v>
      </c>
      <c r="AE37" s="409" t="e">
        <f t="shared" si="16"/>
        <v>#VALUE!</v>
      </c>
      <c r="AF37" s="368">
        <f t="array" ref="AF37">IF(C37="","",IFERROR((INDEX(終値!$E:$E,MATCH(TEXT(C37,"0"),終値!$A:$A,0))-INDEX(終値!$E:$CZ,MATCH(TEXT(C37,"0"),終値!$A:$A,0),$AL$2))/INDEX(終値!$E:$CZ,MATCH(TEXT(C37,"0"),終値!$A:$A,0),$AL$2)*100,""))</f>
        <v>1.8400726942298953</v>
      </c>
      <c r="AG37" s="368">
        <f t="array" ref="AG37">IFERROR((終値!$E$5-INDEX(終値!$E$5:$CZ$5,1,$AL$2))/INDEX(終値!$E$5:$CZ$5,1,$AL$2)*100,"")</f>
        <v>2.31989243802786</v>
      </c>
      <c r="AH37" s="369">
        <f t="shared" si="8"/>
        <v>-0.47981974379796477</v>
      </c>
      <c r="AI37" s="367">
        <f t="shared" si="9"/>
        <v>-1</v>
      </c>
    </row>
    <row r="38" spans="1:35" s="177" customFormat="1" ht="18" customHeight="1">
      <c r="A38" s="166" t="str">
        <f>IF(銘柄管理!B164&lt;&gt;"",HYPERLINK("https://kabutan.jp/stock/?code="&amp;銘柄管理!B164,"株探"),"")</f>
        <v>株探</v>
      </c>
      <c r="B38" s="167"/>
      <c r="C38" s="168">
        <f>IF(銘柄管理!B164="","",銘柄管理!B164)</f>
        <v>8704</v>
      </c>
      <c r="D38" s="106" t="str">
        <f>IF(銘柄管理!C164="","",銘柄管理!C164)</f>
        <v/>
      </c>
      <c r="E38" s="169" t="str">
        <f>IF(C38&lt;&gt;"",_xll.RssMarket(C38,"現在値"),"")</f>
        <v/>
      </c>
      <c r="F38" s="169" t="str">
        <f>IF(C38&lt;&gt;"",_xll.RssMarket(C38,"始値"),"")</f>
        <v/>
      </c>
      <c r="G38" s="168">
        <f>IF(C38&lt;&gt;"",終値!F164,"")</f>
        <v>1312</v>
      </c>
      <c r="H38" s="169" t="str">
        <f>IF(C38&lt;&gt;"",_xll.RssMarket(C38,"高値"),"")</f>
        <v/>
      </c>
      <c r="I38" s="169" t="str">
        <f>IF(C38&lt;&gt;"",_xll.RssMarket(C38,"安値"),"")</f>
        <v/>
      </c>
      <c r="J38" s="169" t="str">
        <f>IF(C38&lt;&gt;"",_xll.RssMarket(C38,"出来高"),"")</f>
        <v/>
      </c>
      <c r="K38" s="169" t="str">
        <f>IF(C38&lt;&gt;"",_xll.RssMarket(C38,"年初来高値"),"")</f>
        <v/>
      </c>
      <c r="L38" s="170" t="str">
        <f t="shared" si="0"/>
        <v/>
      </c>
      <c r="M38" s="169">
        <f>IF(C38&lt;&gt;"",IFERROR(AVERAGE(出来高!E164:I164),""),"")</f>
        <v>91020</v>
      </c>
      <c r="N38" s="169">
        <f>IF(C38&lt;&gt;"",IFERROR(AVERAGE(出来高!E164:AC164),""),"")</f>
        <v>93032</v>
      </c>
      <c r="O38" s="171" t="str">
        <f t="shared" si="1"/>
        <v/>
      </c>
      <c r="P38" s="166" t="str">
        <f t="shared" si="2"/>
        <v/>
      </c>
      <c r="Q38" s="166" t="str">
        <f t="shared" si="3"/>
        <v/>
      </c>
      <c r="R38" s="169" t="str">
        <f t="shared" si="10"/>
        <v/>
      </c>
      <c r="S38" s="169" t="str">
        <f t="shared" si="11"/>
        <v/>
      </c>
      <c r="T38" s="166">
        <f t="shared" si="4"/>
        <v>0</v>
      </c>
      <c r="U38" s="166" t="str">
        <f t="shared" si="12"/>
        <v>除外</v>
      </c>
      <c r="V38" s="166" t="str">
        <f t="shared" si="5"/>
        <v/>
      </c>
      <c r="W38" s="172">
        <f t="array" ref="W38">IF(C38&lt;&gt;"",IFERROR(100-100/(1+SUMPRODUCT((終値!F164:R164&gt;終値!G164:S164)*( 終値!F164:R164-終値!G164:S164))/SUMPRODUCT((終値!F164:R164&lt;終値!G164:S164)*(終値!G164:S164-終値!F164:R164))),50),"")</f>
        <v>68.249258160237389</v>
      </c>
      <c r="X38" s="173">
        <f>IF(C38&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14.993876348816002</v>
      </c>
      <c r="Y38" s="1" t="e">
        <f>IF(T38="","",IF(銘柄管理!$F$5="下落▼",IF(AND(AD38="パーフェクト▲",OR(AE38="25日線押し目●",AE38="5日線押し目○")),"★逆張り候補",IF(AND(AD38="上昇トレンド▲",OR(AE38="25日線押し目●",AE38="5日線押し目○")),"○逆張り候補",IF(W38&lt;=30,IF(Z38&gt;0,"◎反発確認",IF(Z38&lt;-5,"△要注意・様子見","△売られ過ぎ注目")),"相場下落・見送り"))),IF(AND(T38&gt;=12,AD38="パーフェクト▲"),"★強い買い",IF(AND(T38&gt;=12,AD38="上昇トレンド▲"),"★強い買い",IF(AND(T38&gt;=8,OR(AE38="25日線押し目●",AE38="5日線押し目○")),"◎押し目買い",IF(T38&gt;=10,"○買い候補",IF(T38&gt;=6,"△注目",IF(T38&gt;=3,"様子見","見送り"))))))))</f>
        <v>#VALUE!</v>
      </c>
      <c r="Z38" s="174" t="str">
        <f t="shared" si="13"/>
        <v/>
      </c>
      <c r="AA38" s="166" t="str">
        <f t="shared" si="14"/>
        <v/>
      </c>
      <c r="AB38" s="406">
        <f>IF(C38="","",IFERROR(((終値!E40*0.333)+(終値!F40*0.222)+(終値!G40*0.148)+(終値!H40*0.099)+(終値!I40*0.066)+(終値!J40*0.044)+(終値!K40*0.029)+(終値!L40*0.019)+(終値!M40*0.013)+(終値!N40*0.009))/(0.333+0.222+0.148+0.099+0.066+0.044+0.029+0.019+0.013+0.009),""))</f>
        <v>1551.9083503054987</v>
      </c>
      <c r="AC38" s="406">
        <f>IF(C38="","",IFERROR(SUMPRODUCT((終値!E40:AC40),({0.077,0.071,0.065,0.06,0.055,0.051,0.047,0.043,0.039,0.036,0.033,0.031,0.028,0.026,0.024,0.022,0.02,0.018,0.017,0.016,0.014,0.013,0.012,0.011,0.01}))/SUM({0.077,0.071,0.065,0.06,0.055,0.051,0.047,0.043,0.039,0.036,0.033,0.031,0.028,0.026,0.024,0.022,0.02,0.018,0.017,0.016,0.014,0.013,0.012,0.011,0.01}),""))</f>
        <v>1491.8218116805713</v>
      </c>
      <c r="AD38" s="407" t="str">
        <f t="shared" si="15"/>
        <v>パーフェクト▲</v>
      </c>
      <c r="AE38" s="407" t="e">
        <f t="shared" si="16"/>
        <v>#VALUE!</v>
      </c>
      <c r="AF38" s="368">
        <f t="array" ref="AF38">IF(C38="","",IFERROR((INDEX(終値!$E:$E,MATCH(TEXT(C38,"0"),終値!$A:$A,0))-INDEX(終値!$E:$CZ,MATCH(TEXT(C38,"0"),終値!$A:$A,0),$AL$2))/INDEX(終値!$E:$CZ,MATCH(TEXT(C38,"0"),終値!$A:$A,0),$AL$2)*100,""))</f>
        <v>10.301953818827709</v>
      </c>
      <c r="AG38" s="368">
        <f t="array" ref="AG38">IFERROR((終値!$E$5-INDEX(終値!$E$5:$CZ$5,1,$AL$2))/INDEX(終値!$E$5:$CZ$5,1,$AL$2)*100,"")</f>
        <v>2.31989243802786</v>
      </c>
      <c r="AH38" s="369">
        <f t="shared" si="8"/>
        <v>7.9820613807998484</v>
      </c>
      <c r="AI38" s="367">
        <f t="shared" si="9"/>
        <v>3</v>
      </c>
    </row>
    <row r="39" spans="1:35" s="177" customFormat="1" ht="18" customHeight="1">
      <c r="A39" s="166" t="str">
        <f>IF(銘柄管理!B54&lt;&gt;"",HYPERLINK("https://kabutan.jp/stock/?code="&amp;銘柄管理!B54,"株探"),"")</f>
        <v>株探</v>
      </c>
      <c r="B39" s="167"/>
      <c r="C39" s="168">
        <f>IF(銘柄管理!B54="","",銘柄管理!B54)</f>
        <v>8630</v>
      </c>
      <c r="D39" s="106" t="str">
        <f>IF(銘柄管理!C54="","",銘柄管理!C54)</f>
        <v/>
      </c>
      <c r="E39" s="169" t="str">
        <f>IF(C39&lt;&gt;"",_xll.RssMarket(C39,"現在値"),"")</f>
        <v/>
      </c>
      <c r="F39" s="169" t="str">
        <f>IF(C39&lt;&gt;"",_xll.RssMarket(C39,"始値"),"")</f>
        <v/>
      </c>
      <c r="G39" s="168">
        <f>IF(C39&lt;&gt;"",終値!F54,"")</f>
        <v>6637</v>
      </c>
      <c r="H39" s="169" t="str">
        <f>IF(C39&lt;&gt;"",_xll.RssMarket(C39,"高値"),"")</f>
        <v/>
      </c>
      <c r="I39" s="169" t="str">
        <f>IF(C39&lt;&gt;"",_xll.RssMarket(C39,"安値"),"")</f>
        <v/>
      </c>
      <c r="J39" s="169" t="str">
        <f>IF(C39&lt;&gt;"",_xll.RssMarket(C39,"出来高"),"")</f>
        <v/>
      </c>
      <c r="K39" s="169" t="str">
        <f>IF(C39&lt;&gt;"",_xll.RssMarket(C39,"年初来高値"),"")</f>
        <v/>
      </c>
      <c r="L39" s="170" t="str">
        <f t="shared" si="0"/>
        <v/>
      </c>
      <c r="M39" s="169">
        <f>IF(C39&lt;&gt;"",IFERROR(AVERAGE(出来高!E54:I54),""),"")</f>
        <v>2835940</v>
      </c>
      <c r="N39" s="169">
        <f>IF(C39&lt;&gt;"",IFERROR(AVERAGE(出来高!E54:AC54),""),"")</f>
        <v>2541404</v>
      </c>
      <c r="O39" s="171" t="str">
        <f t="shared" si="1"/>
        <v/>
      </c>
      <c r="P39" s="166" t="str">
        <f t="shared" si="2"/>
        <v/>
      </c>
      <c r="Q39" s="166" t="str">
        <f t="shared" si="3"/>
        <v/>
      </c>
      <c r="R39" s="169" t="str">
        <f t="shared" si="10"/>
        <v/>
      </c>
      <c r="S39" s="169" t="str">
        <f t="shared" si="11"/>
        <v/>
      </c>
      <c r="T39" s="166">
        <f t="shared" si="4"/>
        <v>0</v>
      </c>
      <c r="U39" s="166" t="str">
        <f t="shared" si="12"/>
        <v>除外</v>
      </c>
      <c r="V39" s="166" t="str">
        <f t="shared" si="5"/>
        <v/>
      </c>
      <c r="W39" s="172">
        <f t="array" ref="W39">IF(C39&lt;&gt;"",IFERROR(100-100/(1+SUMPRODUCT((終値!F54:R54&gt;終値!G54:S54)*( 終値!F54:R54-終値!G54:S54))/SUMPRODUCT((終値!F54:R54&lt;終値!G54:S54)*(終値!G54:S54-終値!F54:R54))),50),"")</f>
        <v>73.835125448028677</v>
      </c>
      <c r="X39" s="173">
        <f>IF(C39&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62.06414808210593</v>
      </c>
      <c r="Y39" s="1" t="e">
        <f>IF(T39="","",IF(銘柄管理!$F$5="下落▼",IF(AND(AD39="パーフェクト▲",OR(AE39="25日線押し目●",AE39="5日線押し目○")),"★逆張り候補",IF(AND(AD39="上昇トレンド▲",OR(AE39="25日線押し目●",AE39="5日線押し目○")),"○逆張り候補",IF(W39&lt;=30,IF(Z39&gt;0,"◎反発確認",IF(Z39&lt;-5,"△要注意・様子見","△売られ過ぎ注目")),"相場下落・見送り"))),IF(AND(T39&gt;=12,AD39="パーフェクト▲"),"★強い買い",IF(AND(T39&gt;=12,AD39="上昇トレンド▲"),"★強い買い",IF(AND(T39&gt;=8,OR(AE39="25日線押し目●",AE39="5日線押し目○")),"◎押し目買い",IF(T39&gt;=10,"○買い候補",IF(T39&gt;=6,"△注目",IF(T39&gt;=3,"様子見","見送り"))))))))</f>
        <v>#VALUE!</v>
      </c>
      <c r="Z39" s="174" t="str">
        <f t="shared" si="13"/>
        <v/>
      </c>
      <c r="AA39" s="166" t="str">
        <f t="shared" si="14"/>
        <v/>
      </c>
      <c r="AB39" s="408">
        <f>IF(C39="","",IFERROR(((終値!E41*0.333)+(終値!F41*0.222)+(終値!G41*0.148)+(終値!H41*0.099)+(終値!I41*0.066)+(終値!J41*0.044)+(終値!K41*0.029)+(終値!L41*0.019)+(終値!M41*0.013)+(終値!N41*0.009))/(0.333+0.222+0.148+0.099+0.066+0.044+0.029+0.019+0.013+0.009),""))</f>
        <v>828.12443991853354</v>
      </c>
      <c r="AC39" s="408">
        <f>IF(C39="","",IFERROR(SUMPRODUCT((終値!E41:AC41),({0.077,0.071,0.065,0.06,0.055,0.051,0.047,0.043,0.039,0.036,0.033,0.031,0.028,0.026,0.024,0.022,0.02,0.018,0.017,0.016,0.014,0.013,0.012,0.011,0.01}))/SUM({0.077,0.071,0.065,0.06,0.055,0.051,0.047,0.043,0.039,0.036,0.033,0.031,0.028,0.026,0.024,0.022,0.02,0.018,0.017,0.016,0.014,0.013,0.012,0.011,0.01}),""))</f>
        <v>812.83825983313432</v>
      </c>
      <c r="AD39" s="409" t="str">
        <f t="shared" si="15"/>
        <v>パーフェクト▲</v>
      </c>
      <c r="AE39" s="409" t="e">
        <f t="shared" si="16"/>
        <v>#VALUE!</v>
      </c>
      <c r="AF39" s="368">
        <f t="array" ref="AF39">IF(C39="","",IFERROR((INDEX(終値!$E:$E,MATCH(TEXT(C39,"0"),終値!$A:$A,0))-INDEX(終値!$E:$CZ,MATCH(TEXT(C39,"0"),終値!$A:$A,0),$AL$2))/INDEX(終値!$E:$CZ,MATCH(TEXT(C39,"0"),終値!$A:$A,0),$AL$2)*100,""))</f>
        <v>10.647530040053404</v>
      </c>
      <c r="AG39" s="368">
        <f t="array" ref="AG39">IFERROR((終値!$E$5-INDEX(終値!$E$5:$CZ$5,1,$AL$2))/INDEX(終値!$E$5:$CZ$5,1,$AL$2)*100,"")</f>
        <v>2.31989243802786</v>
      </c>
      <c r="AH39" s="369">
        <f t="shared" si="8"/>
        <v>8.3276376020255434</v>
      </c>
      <c r="AI39" s="367">
        <f t="shared" si="9"/>
        <v>3</v>
      </c>
    </row>
    <row r="40" spans="1:35" s="177" customFormat="1" ht="18" customHeight="1">
      <c r="A40" s="166" t="str">
        <f>IF(銘柄管理!B40&lt;&gt;"",HYPERLINK("https://kabutan.jp/stock/?code="&amp;銘柄管理!B40,"株探"),"")</f>
        <v>株探</v>
      </c>
      <c r="B40" s="167"/>
      <c r="C40" s="168">
        <f>IF(銘柄管理!B40="","",銘柄管理!B40)</f>
        <v>8604</v>
      </c>
      <c r="D40" s="106" t="str">
        <f>IF(銘柄管理!C40="","",銘柄管理!C40)</f>
        <v/>
      </c>
      <c r="E40" s="169" t="str">
        <f>IF(C40&lt;&gt;"",_xll.RssMarket(C40,"現在値"),"")</f>
        <v/>
      </c>
      <c r="F40" s="169" t="str">
        <f>IF(C40&lt;&gt;"",_xll.RssMarket(C40,"始値"),"")</f>
        <v/>
      </c>
      <c r="G40" s="168">
        <f>IF(C40&lt;&gt;"",終値!F40,"")</f>
        <v>1626</v>
      </c>
      <c r="H40" s="169" t="str">
        <f>IF(C40&lt;&gt;"",_xll.RssMarket(C40,"高値"),"")</f>
        <v/>
      </c>
      <c r="I40" s="169" t="str">
        <f>IF(C40&lt;&gt;"",_xll.RssMarket(C40,"安値"),"")</f>
        <v/>
      </c>
      <c r="J40" s="169" t="str">
        <f>IF(C40&lt;&gt;"",_xll.RssMarket(C40,"出来高"),"")</f>
        <v/>
      </c>
      <c r="K40" s="169" t="str">
        <f>IF(C40&lt;&gt;"",_xll.RssMarket(C40,"年初来高値"),"")</f>
        <v/>
      </c>
      <c r="L40" s="170" t="str">
        <f t="shared" si="0"/>
        <v/>
      </c>
      <c r="M40" s="169">
        <f>IF(C40&lt;&gt;"",IFERROR(AVERAGE(出来高!E40:I40),""),"")</f>
        <v>10830480</v>
      </c>
      <c r="N40" s="169">
        <f>IF(C40&lt;&gt;"",IFERROR(AVERAGE(出来高!E40:AC40),""),"")</f>
        <v>10356856</v>
      </c>
      <c r="O40" s="171" t="str">
        <f t="shared" si="1"/>
        <v/>
      </c>
      <c r="P40" s="166" t="str">
        <f t="shared" si="2"/>
        <v/>
      </c>
      <c r="Q40" s="166" t="str">
        <f t="shared" si="3"/>
        <v/>
      </c>
      <c r="R40" s="169" t="str">
        <f t="shared" si="10"/>
        <v/>
      </c>
      <c r="S40" s="169" t="str">
        <f t="shared" si="11"/>
        <v/>
      </c>
      <c r="T40" s="166">
        <f t="shared" si="4"/>
        <v>0</v>
      </c>
      <c r="U40" s="166" t="str">
        <f t="shared" si="12"/>
        <v>除外</v>
      </c>
      <c r="V40" s="166" t="str">
        <f t="shared" si="5"/>
        <v/>
      </c>
      <c r="W40" s="172">
        <f t="array" ref="W40">IF(C40&lt;&gt;"",IFERROR(100-100/(1+SUMPRODUCT((終値!F40:R40&gt;終値!G40:S40)*( 終値!F40:R40-終値!G40:S40))/SUMPRODUCT((終値!F40:R40&lt;終値!G40:S40)*(終値!G40:S40-終値!F40:R40))),50),"")</f>
        <v>89.719626168224295</v>
      </c>
      <c r="X40" s="173">
        <f>IF(C40&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21.214487997485094</v>
      </c>
      <c r="Y40" s="1" t="e">
        <f>IF(T40="","",IF(銘柄管理!$F$5="下落▼",IF(AND(AD40="パーフェクト▲",OR(AE40="25日線押し目●",AE40="5日線押し目○")),"★逆張り候補",IF(AND(AD40="上昇トレンド▲",OR(AE40="25日線押し目●",AE40="5日線押し目○")),"○逆張り候補",IF(W40&lt;=30,IF(Z40&gt;0,"◎反発確認",IF(Z40&lt;-5,"△要注意・様子見","△売られ過ぎ注目")),"相場下落・見送り"))),IF(AND(T40&gt;=12,AD40="パーフェクト▲"),"★強い買い",IF(AND(T40&gt;=12,AD40="上昇トレンド▲"),"★強い買い",IF(AND(T40&gt;=8,OR(AE40="25日線押し目●",AE40="5日線押し目○")),"◎押し目買い",IF(T40&gt;=10,"○買い候補",IF(T40&gt;=6,"△注目",IF(T40&gt;=3,"様子見","見送り"))))))))</f>
        <v>#VALUE!</v>
      </c>
      <c r="Z40" s="174" t="str">
        <f t="shared" si="13"/>
        <v/>
      </c>
      <c r="AA40" s="166" t="str">
        <f t="shared" si="14"/>
        <v/>
      </c>
      <c r="AB40" s="406">
        <f>IF(C40="","",IFERROR(((終値!E42*0.333)+(終値!F42*0.222)+(終値!G42*0.148)+(終値!H42*0.099)+(終値!I42*0.066)+(終値!J42*0.044)+(終値!K42*0.029)+(終値!L42*0.019)+(終値!M42*0.013)+(終値!N42*0.009))/(0.333+0.222+0.148+0.099+0.066+0.044+0.029+0.019+0.013+0.009),""))</f>
        <v>3603.5336048879835</v>
      </c>
      <c r="AC40" s="406">
        <f>IF(C40="","",IFERROR(SUMPRODUCT((終値!E42:AC42),({0.077,0.071,0.065,0.06,0.055,0.051,0.047,0.043,0.039,0.036,0.033,0.031,0.028,0.026,0.024,0.022,0.02,0.018,0.017,0.016,0.014,0.013,0.012,0.011,0.01}))/SUM({0.077,0.071,0.065,0.06,0.055,0.051,0.047,0.043,0.039,0.036,0.033,0.031,0.028,0.026,0.024,0.022,0.02,0.018,0.017,0.016,0.014,0.013,0.012,0.011,0.01}),""))</f>
        <v>3571.1632896305109</v>
      </c>
      <c r="AD40" s="407" t="str">
        <f t="shared" si="15"/>
        <v>パーフェクト▲</v>
      </c>
      <c r="AE40" s="407" t="e">
        <f t="shared" si="16"/>
        <v>#VALUE!</v>
      </c>
      <c r="AF40" s="368">
        <f t="array" ref="AF40">IF(C40="","",IFERROR((INDEX(終値!$E:$E,MATCH(TEXT(C40,"0"),終値!$A:$A,0))-INDEX(終値!$E:$CZ,MATCH(TEXT(C40,"0"),終値!$A:$A,0),$AL$2))/INDEX(終値!$E:$CZ,MATCH(TEXT(C40,"0"),終値!$A:$A,0),$AL$2)*100,""))</f>
        <v>11.805810959911732</v>
      </c>
      <c r="AG40" s="368">
        <f t="array" ref="AG40">IFERROR((終値!$E$5-INDEX(終値!$E$5:$CZ$5,1,$AL$2))/INDEX(終値!$E$5:$CZ$5,1,$AL$2)*100,"")</f>
        <v>2.31989243802786</v>
      </c>
      <c r="AH40" s="369">
        <f t="shared" si="8"/>
        <v>9.4859185218838711</v>
      </c>
      <c r="AI40" s="367">
        <f t="shared" si="9"/>
        <v>3</v>
      </c>
    </row>
    <row r="41" spans="1:35" s="177" customFormat="1" ht="18" customHeight="1">
      <c r="A41" s="166" t="str">
        <f>IF(銘柄管理!B33&lt;&gt;"",HYPERLINK("https://kabutan.jp/stock/?code="&amp;銘柄管理!B33,"株探"),"")</f>
        <v>株探</v>
      </c>
      <c r="B41" s="167"/>
      <c r="C41" s="168">
        <f>IF(銘柄管理!B33="","",銘柄管理!B33)</f>
        <v>8601</v>
      </c>
      <c r="D41" s="106" t="str">
        <f>IF(銘柄管理!C33="","",銘柄管理!C33)</f>
        <v/>
      </c>
      <c r="E41" s="169" t="str">
        <f>IF(C41&lt;&gt;"",_xll.RssMarket(C41,"現在値"),"")</f>
        <v/>
      </c>
      <c r="F41" s="169" t="str">
        <f>IF(C41&lt;&gt;"",_xll.RssMarket(C41,"始値"),"")</f>
        <v/>
      </c>
      <c r="G41" s="168">
        <f>IF(C41&lt;&gt;"",終値!F33,"")</f>
        <v>1879</v>
      </c>
      <c r="H41" s="169" t="str">
        <f>IF(C41&lt;&gt;"",_xll.RssMarket(C41,"高値"),"")</f>
        <v/>
      </c>
      <c r="I41" s="169" t="str">
        <f>IF(C41&lt;&gt;"",_xll.RssMarket(C41,"安値"),"")</f>
        <v/>
      </c>
      <c r="J41" s="169" t="str">
        <f>IF(C41&lt;&gt;"",_xll.RssMarket(C41,"出来高"),"")</f>
        <v/>
      </c>
      <c r="K41" s="169" t="str">
        <f>IF(C41&lt;&gt;"",_xll.RssMarket(C41,"年初来高値"),"")</f>
        <v/>
      </c>
      <c r="L41" s="170" t="str">
        <f t="shared" si="0"/>
        <v/>
      </c>
      <c r="M41" s="169">
        <f>IF(C41&lt;&gt;"",IFERROR(AVERAGE(出来高!E33:I33),""),"")</f>
        <v>4921120</v>
      </c>
      <c r="N41" s="169">
        <f>IF(C41&lt;&gt;"",IFERROR(AVERAGE(出来高!E33:AC33),""),"")</f>
        <v>4901716</v>
      </c>
      <c r="O41" s="171" t="str">
        <f t="shared" si="1"/>
        <v/>
      </c>
      <c r="P41" s="166" t="str">
        <f t="shared" si="2"/>
        <v/>
      </c>
      <c r="Q41" s="166" t="str">
        <f t="shared" si="3"/>
        <v/>
      </c>
      <c r="R41" s="169" t="str">
        <f t="shared" si="10"/>
        <v/>
      </c>
      <c r="S41" s="169" t="str">
        <f t="shared" si="11"/>
        <v/>
      </c>
      <c r="T41" s="166">
        <f t="shared" si="4"/>
        <v>0</v>
      </c>
      <c r="U41" s="166" t="str">
        <f t="shared" si="12"/>
        <v>除外</v>
      </c>
      <c r="V41" s="166" t="str">
        <f t="shared" si="5"/>
        <v/>
      </c>
      <c r="W41" s="172">
        <f t="array" ref="W41">IF(C41&lt;&gt;"",IFERROR(100-100/(1+SUMPRODUCT((終値!F33:R33&gt;終値!G33:S33)*( 終値!F33:R33-終値!G33:S33))/SUMPRODUCT((終値!F33:R33&lt;終値!G33:S33)*(終値!G33:S33-終値!F33:R33))),50),"")</f>
        <v>87.942332896461338</v>
      </c>
      <c r="X41" s="173">
        <f>IF(C41&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30.528226111392769</v>
      </c>
      <c r="Y41" s="1" t="e">
        <f>IF(T41="","",IF(銘柄管理!$F$5="下落▼",IF(AND(AD41="パーフェクト▲",OR(AE41="25日線押し目●",AE41="5日線押し目○")),"★逆張り候補",IF(AND(AD41="上昇トレンド▲",OR(AE41="25日線押し目●",AE41="5日線押し目○")),"○逆張り候補",IF(W41&lt;=30,IF(Z41&gt;0,"◎反発確認",IF(Z41&lt;-5,"△要注意・様子見","△売られ過ぎ注目")),"相場下落・見送り"))),IF(AND(T41&gt;=12,AD41="パーフェクト▲"),"★強い買い",IF(AND(T41&gt;=12,AD41="上昇トレンド▲"),"★強い買い",IF(AND(T41&gt;=8,OR(AE41="25日線押し目●",AE41="5日線押し目○")),"◎押し目買い",IF(T41&gt;=10,"○買い候補",IF(T41&gt;=6,"△注目",IF(T41&gt;=3,"様子見","見送り"))))))))</f>
        <v>#VALUE!</v>
      </c>
      <c r="Z41" s="174" t="str">
        <f t="shared" si="13"/>
        <v/>
      </c>
      <c r="AA41" s="166" t="str">
        <f t="shared" si="14"/>
        <v/>
      </c>
      <c r="AB41" s="408">
        <f>IF(C41="","",IFERROR(((終値!E43*0.333)+(終値!F43*0.222)+(終値!G43*0.148)+(終値!H43*0.099)+(終値!I43*0.066)+(終値!J43*0.044)+(終値!K43*0.029)+(終値!L43*0.019)+(終値!M43*0.013)+(終値!N43*0.009))/(0.333+0.222+0.148+0.099+0.066+0.044+0.029+0.019+0.013+0.009),""))</f>
        <v>1841.607942973523</v>
      </c>
      <c r="AC41" s="408">
        <f>IF(C41="","",IFERROR(SUMPRODUCT((終値!E43:AC43),({0.077,0.071,0.065,0.06,0.055,0.051,0.047,0.043,0.039,0.036,0.033,0.031,0.028,0.026,0.024,0.022,0.02,0.018,0.017,0.016,0.014,0.013,0.012,0.011,0.01}))/SUM({0.077,0.071,0.065,0.06,0.055,0.051,0.047,0.043,0.039,0.036,0.033,0.031,0.028,0.026,0.024,0.022,0.02,0.018,0.017,0.016,0.014,0.013,0.012,0.011,0.01}),""))</f>
        <v>1819.3146603098921</v>
      </c>
      <c r="AD41" s="409" t="str">
        <f t="shared" si="15"/>
        <v>パーフェクト▲</v>
      </c>
      <c r="AE41" s="409" t="e">
        <f t="shared" si="16"/>
        <v>#VALUE!</v>
      </c>
      <c r="AF41" s="368">
        <f t="array" ref="AF41">IF(C41="","",IFERROR((INDEX(終値!$E:$E,MATCH(TEXT(C41,"0"),終値!$A:$A,0))-INDEX(終値!$E:$CZ,MATCH(TEXT(C41,"0"),終値!$A:$A,0),$AL$2))/INDEX(終値!$E:$CZ,MATCH(TEXT(C41,"0"),終値!$A:$A,0),$AL$2)*100,""))</f>
        <v>15.890589384565287</v>
      </c>
      <c r="AG41" s="368">
        <f t="array" ref="AG41">IFERROR((終値!$E$5-INDEX(終値!$E$5:$CZ$5,1,$AL$2))/INDEX(終値!$E$5:$CZ$5,1,$AL$2)*100,"")</f>
        <v>2.31989243802786</v>
      </c>
      <c r="AH41" s="369">
        <f t="shared" si="8"/>
        <v>13.570696946537426</v>
      </c>
      <c r="AI41" s="367">
        <f t="shared" si="9"/>
        <v>3</v>
      </c>
    </row>
    <row r="42" spans="1:35" s="177" customFormat="1" ht="18" customHeight="1">
      <c r="A42" s="166" t="str">
        <f>IF(銘柄管理!B39&lt;&gt;"",HYPERLINK("https://kabutan.jp/stock/?code="&amp;銘柄管理!B39,"株探"),"")</f>
        <v>株探</v>
      </c>
      <c r="B42" s="167"/>
      <c r="C42" s="168">
        <f>IF(銘柄管理!B39="","",銘柄管理!B39)</f>
        <v>8593</v>
      </c>
      <c r="D42" s="106" t="str">
        <f>IF(銘柄管理!C39="","",銘柄管理!C39)</f>
        <v/>
      </c>
      <c r="E42" s="169" t="str">
        <f>IF(C42&lt;&gt;"",_xll.RssMarket(C42,"現在値"),"")</f>
        <v/>
      </c>
      <c r="F42" s="169" t="str">
        <f>IF(C42&lt;&gt;"",_xll.RssMarket(C42,"始値"),"")</f>
        <v/>
      </c>
      <c r="G42" s="168">
        <f>IF(C42&lt;&gt;"",終値!F39,"")</f>
        <v>1414</v>
      </c>
      <c r="H42" s="169" t="str">
        <f>IF(C42&lt;&gt;"",_xll.RssMarket(C42,"高値"),"")</f>
        <v/>
      </c>
      <c r="I42" s="169" t="str">
        <f>IF(C42&lt;&gt;"",_xll.RssMarket(C42,"安値"),"")</f>
        <v/>
      </c>
      <c r="J42" s="169" t="str">
        <f>IF(C42&lt;&gt;"",_xll.RssMarket(C42,"出来高"),"")</f>
        <v/>
      </c>
      <c r="K42" s="169" t="str">
        <f>IF(C42&lt;&gt;"",_xll.RssMarket(C42,"年初来高値"),"")</f>
        <v/>
      </c>
      <c r="L42" s="170" t="str">
        <f t="shared" si="0"/>
        <v/>
      </c>
      <c r="M42" s="169">
        <f>IF(C42&lt;&gt;"",IFERROR(AVERAGE(出来高!E39:I39),""),"")</f>
        <v>3961740</v>
      </c>
      <c r="N42" s="169">
        <f>IF(C42&lt;&gt;"",IFERROR(AVERAGE(出来高!E39:AC39),""),"")</f>
        <v>4150128</v>
      </c>
      <c r="O42" s="171" t="str">
        <f t="shared" si="1"/>
        <v/>
      </c>
      <c r="P42" s="166" t="str">
        <f t="shared" si="2"/>
        <v/>
      </c>
      <c r="Q42" s="166" t="str">
        <f t="shared" si="3"/>
        <v/>
      </c>
      <c r="R42" s="169" t="str">
        <f t="shared" si="10"/>
        <v/>
      </c>
      <c r="S42" s="169" t="str">
        <f t="shared" si="11"/>
        <v/>
      </c>
      <c r="T42" s="166">
        <f t="shared" si="4"/>
        <v>0</v>
      </c>
      <c r="U42" s="166" t="str">
        <f t="shared" si="12"/>
        <v>除外</v>
      </c>
      <c r="V42" s="166" t="str">
        <f t="shared" si="5"/>
        <v/>
      </c>
      <c r="W42" s="172">
        <f t="array" ref="W42">IF(C42&lt;&gt;"",IFERROR(100-100/(1+SUMPRODUCT((終値!F39:R39&gt;終値!G39:S39)*( 終値!F39:R39-終値!G39:S39))/SUMPRODUCT((終値!F39:R39&lt;終値!G39:S39)*(終値!G39:S39-終値!F39:R39))),50),"")</f>
        <v>81.76638176638177</v>
      </c>
      <c r="X42" s="173">
        <f>IF(C42&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12.128388705575844</v>
      </c>
      <c r="Y42" s="1" t="e">
        <f>IF(T42="","",IF(銘柄管理!$F$5="下落▼",IF(AND(AD42="パーフェクト▲",OR(AE42="25日線押し目●",AE42="5日線押し目○")),"★逆張り候補",IF(AND(AD42="上昇トレンド▲",OR(AE42="25日線押し目●",AE42="5日線押し目○")),"○逆張り候補",IF(W42&lt;=30,IF(Z42&gt;0,"◎反発確認",IF(Z42&lt;-5,"△要注意・様子見","△売られ過ぎ注目")),"相場下落・見送り"))),IF(AND(T42&gt;=12,AD42="パーフェクト▲"),"★強い買い",IF(AND(T42&gt;=12,AD42="上昇トレンド▲"),"★強い買い",IF(AND(T42&gt;=8,OR(AE42="25日線押し目●",AE42="5日線押し目○")),"◎押し目買い",IF(T42&gt;=10,"○買い候補",IF(T42&gt;=6,"△注目",IF(T42&gt;=3,"様子見","見送り"))))))))</f>
        <v>#VALUE!</v>
      </c>
      <c r="Z42" s="174" t="str">
        <f t="shared" si="13"/>
        <v/>
      </c>
      <c r="AA42" s="166" t="str">
        <f t="shared" si="14"/>
        <v/>
      </c>
      <c r="AB42" s="406">
        <f>IF(C42="","",IFERROR(((終値!E44*0.333)+(終値!F44*0.222)+(終値!G44*0.148)+(終値!H44*0.099)+(終値!I44*0.066)+(終値!J44*0.044)+(終値!K44*0.029)+(終値!L44*0.019)+(終値!M44*0.013)+(終値!N44*0.009))/(0.333+0.222+0.148+0.099+0.066+0.044+0.029+0.019+0.013+0.009),""))</f>
        <v>1154.3615071283093</v>
      </c>
      <c r="AC42" s="406">
        <f>IF(C42="","",IFERROR(SUMPRODUCT((終値!E44:AC44),({0.077,0.071,0.065,0.06,0.055,0.051,0.047,0.043,0.039,0.036,0.033,0.031,0.028,0.026,0.024,0.022,0.02,0.018,0.017,0.016,0.014,0.013,0.012,0.011,0.01}))/SUM({0.077,0.071,0.065,0.06,0.055,0.051,0.047,0.043,0.039,0.036,0.033,0.031,0.028,0.026,0.024,0.022,0.02,0.018,0.017,0.016,0.014,0.013,0.012,0.011,0.01}),""))</f>
        <v>1150.6108462455297</v>
      </c>
      <c r="AD42" s="407" t="str">
        <f t="shared" si="15"/>
        <v>パーフェクト▲</v>
      </c>
      <c r="AE42" s="407" t="e">
        <f t="shared" si="16"/>
        <v>#VALUE!</v>
      </c>
      <c r="AF42" s="368">
        <f t="array" ref="AF42">IF(C42="","",IFERROR((INDEX(終値!$E:$E,MATCH(TEXT(C42,"0"),終値!$A:$A,0))-INDEX(終値!$E:$CZ,MATCH(TEXT(C42,"0"),終値!$A:$A,0),$AL$2))/INDEX(終値!$E:$CZ,MATCH(TEXT(C42,"0"),終値!$A:$A,0),$AL$2)*100,""))</f>
        <v>7.0465922217943771</v>
      </c>
      <c r="AG42" s="368">
        <f t="array" ref="AG42">IFERROR((終値!$E$5-INDEX(終値!$E$5:$CZ$5,1,$AL$2))/INDEX(終値!$E$5:$CZ$5,1,$AL$2)*100,"")</f>
        <v>2.31989243802786</v>
      </c>
      <c r="AH42" s="369">
        <f t="shared" si="8"/>
        <v>4.7266997837665166</v>
      </c>
      <c r="AI42" s="367">
        <f t="shared" si="9"/>
        <v>1</v>
      </c>
    </row>
    <row r="43" spans="1:35" s="177" customFormat="1" ht="18" customHeight="1">
      <c r="A43" s="166" t="str">
        <f>IF(銘柄管理!B26&lt;&gt;"",HYPERLINK("https://kabutan.jp/stock/?code="&amp;銘柄管理!B26,"株探"),"")</f>
        <v>株探</v>
      </c>
      <c r="B43" s="167"/>
      <c r="C43" s="168">
        <f>IF(銘柄管理!B26="","",銘柄管理!B26)</f>
        <v>8591</v>
      </c>
      <c r="D43" s="106" t="str">
        <f>IF(銘柄管理!C26="","",銘柄管理!C26)</f>
        <v/>
      </c>
      <c r="E43" s="169" t="str">
        <f>IF(C43&lt;&gt;"",_xll.RssMarket(C43,"現在値"),"")</f>
        <v/>
      </c>
      <c r="F43" s="169" t="str">
        <f>IF(C43&lt;&gt;"",_xll.RssMarket(C43,"始値"),"")</f>
        <v/>
      </c>
      <c r="G43" s="168">
        <f>IF(C43&lt;&gt;"",終値!F26,"")</f>
        <v>6593</v>
      </c>
      <c r="H43" s="169" t="str">
        <f>IF(C43&lt;&gt;"",_xll.RssMarket(C43,"高値"),"")</f>
        <v/>
      </c>
      <c r="I43" s="169" t="str">
        <f>IF(C43&lt;&gt;"",_xll.RssMarket(C43,"安値"),"")</f>
        <v/>
      </c>
      <c r="J43" s="169" t="str">
        <f>IF(C43&lt;&gt;"",_xll.RssMarket(C43,"出来高"),"")</f>
        <v/>
      </c>
      <c r="K43" s="169" t="str">
        <f>IF(C43&lt;&gt;"",_xll.RssMarket(C43,"年初来高値"),"")</f>
        <v/>
      </c>
      <c r="L43" s="170" t="str">
        <f t="shared" si="0"/>
        <v/>
      </c>
      <c r="M43" s="169">
        <f>IF(C43&lt;&gt;"",IFERROR(AVERAGE(出来高!E26:I26),""),"")</f>
        <v>2931780</v>
      </c>
      <c r="N43" s="169">
        <f>IF(C43&lt;&gt;"",IFERROR(AVERAGE(出来高!E26:AC26),""),"")</f>
        <v>3282088</v>
      </c>
      <c r="O43" s="171" t="str">
        <f t="shared" si="1"/>
        <v/>
      </c>
      <c r="P43" s="166" t="str">
        <f t="shared" si="2"/>
        <v/>
      </c>
      <c r="Q43" s="166" t="str">
        <f t="shared" si="3"/>
        <v/>
      </c>
      <c r="R43" s="169" t="str">
        <f t="shared" si="10"/>
        <v/>
      </c>
      <c r="S43" s="169" t="str">
        <f t="shared" si="11"/>
        <v/>
      </c>
      <c r="T43" s="166">
        <f t="shared" si="4"/>
        <v>0</v>
      </c>
      <c r="U43" s="166" t="str">
        <f t="shared" si="12"/>
        <v>除外</v>
      </c>
      <c r="V43" s="166" t="str">
        <f t="shared" si="5"/>
        <v/>
      </c>
      <c r="W43" s="172">
        <f t="array" ref="W43">IF(C43&lt;&gt;"",IFERROR(100-100/(1+SUMPRODUCT((終値!F26:R26&gt;終値!G26:S26)*( 終値!F26:R26-終値!G26:S26))/SUMPRODUCT((終値!F26:R26&lt;終値!G26:S26)*(終値!G26:S26-終値!F26:R26))),50),"")</f>
        <v>81.92771084337349</v>
      </c>
      <c r="X43" s="173">
        <f>IF(C43&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27.177229649860237</v>
      </c>
      <c r="Y43" s="1" t="e">
        <f>IF(T43="","",IF(銘柄管理!$F$5="下落▼",IF(AND(AD43="パーフェクト▲",OR(AE43="25日線押し目●",AE43="5日線押し目○")),"★逆張り候補",IF(AND(AD43="上昇トレンド▲",OR(AE43="25日線押し目●",AE43="5日線押し目○")),"○逆張り候補",IF(W43&lt;=30,IF(Z43&gt;0,"◎反発確認",IF(Z43&lt;-5,"△要注意・様子見","△売られ過ぎ注目")),"相場下落・見送り"))),IF(AND(T43&gt;=12,AD43="パーフェクト▲"),"★強い買い",IF(AND(T43&gt;=12,AD43="上昇トレンド▲"),"★強い買い",IF(AND(T43&gt;=8,OR(AE43="25日線押し目●",AE43="5日線押し目○")),"◎押し目買い",IF(T43&gt;=10,"○買い候補",IF(T43&gt;=6,"△注目",IF(T43&gt;=3,"様子見","見送り"))))))))</f>
        <v>#VALUE!</v>
      </c>
      <c r="Z43" s="174" t="str">
        <f t="shared" si="13"/>
        <v/>
      </c>
      <c r="AA43" s="166" t="str">
        <f t="shared" si="14"/>
        <v/>
      </c>
      <c r="AB43" s="408">
        <f>IF(C43="","",IFERROR(((終値!E45*0.333)+(終値!F45*0.222)+(終値!G45*0.148)+(終値!H45*0.099)+(終値!I45*0.066)+(終値!J45*0.044)+(終値!K45*0.029)+(終値!L45*0.019)+(終値!M45*0.013)+(終値!N45*0.009))/(0.333+0.222+0.148+0.099+0.066+0.044+0.029+0.019+0.013+0.009),""))</f>
        <v>3539.5346232179213</v>
      </c>
      <c r="AC43" s="408">
        <f>IF(C43="","",IFERROR(SUMPRODUCT((終値!E45:AC45),({0.077,0.071,0.065,0.06,0.055,0.051,0.047,0.043,0.039,0.036,0.033,0.031,0.028,0.026,0.024,0.022,0.02,0.018,0.017,0.016,0.014,0.013,0.012,0.011,0.01}))/SUM({0.077,0.071,0.065,0.06,0.055,0.051,0.047,0.043,0.039,0.036,0.033,0.031,0.028,0.026,0.024,0.022,0.02,0.018,0.017,0.016,0.014,0.013,0.012,0.011,0.01}),""))</f>
        <v>3395.5554231227643</v>
      </c>
      <c r="AD43" s="409" t="str">
        <f t="shared" si="15"/>
        <v>パーフェクト▲</v>
      </c>
      <c r="AE43" s="409" t="e">
        <f t="shared" si="16"/>
        <v>#VALUE!</v>
      </c>
      <c r="AF43" s="368">
        <f t="array" ref="AF43">IF(C43="","",IFERROR((INDEX(終値!$E:$E,MATCH(TEXT(C43,"0"),終値!$A:$A,0))-INDEX(終値!$E:$CZ,MATCH(TEXT(C43,"0"),終値!$A:$A,0),$AL$2))/INDEX(終値!$E:$CZ,MATCH(TEXT(C43,"0"),終値!$A:$A,0),$AL$2)*100,""))</f>
        <v>1.6718570726110473</v>
      </c>
      <c r="AG43" s="368">
        <f t="array" ref="AG43">IFERROR((終値!$E$5-INDEX(終値!$E$5:$CZ$5,1,$AL$2))/INDEX(終値!$E$5:$CZ$5,1,$AL$2)*100,"")</f>
        <v>2.31989243802786</v>
      </c>
      <c r="AH43" s="369">
        <f t="shared" si="8"/>
        <v>-0.64803536541681273</v>
      </c>
      <c r="AI43" s="367">
        <f t="shared" si="9"/>
        <v>-1</v>
      </c>
    </row>
    <row r="44" spans="1:35" s="177" customFormat="1" ht="18" customHeight="1">
      <c r="A44" s="166" t="str">
        <f>IF(銘柄管理!B47&lt;&gt;"",HYPERLINK("https://kabutan.jp/stock/?code="&amp;銘柄管理!B47,"株探"),"")</f>
        <v>株探</v>
      </c>
      <c r="B44" s="167"/>
      <c r="C44" s="168">
        <f>IF(銘柄管理!B47="","",銘柄管理!B47)</f>
        <v>8572</v>
      </c>
      <c r="D44" s="106" t="str">
        <f>IF(銘柄管理!C47="","",銘柄管理!C47)</f>
        <v/>
      </c>
      <c r="E44" s="169" t="str">
        <f>IF(C44&lt;&gt;"",_xll.RssMarket(C44,"現在値"),"")</f>
        <v/>
      </c>
      <c r="F44" s="169" t="str">
        <f>IF(C44&lt;&gt;"",_xll.RssMarket(C44,"始値"),"")</f>
        <v/>
      </c>
      <c r="G44" s="168">
        <f>IF(C44&lt;&gt;"",終値!F47,"")</f>
        <v>488.5</v>
      </c>
      <c r="H44" s="169" t="str">
        <f>IF(C44&lt;&gt;"",_xll.RssMarket(C44,"高値"),"")</f>
        <v/>
      </c>
      <c r="I44" s="169" t="str">
        <f>IF(C44&lt;&gt;"",_xll.RssMarket(C44,"安値"),"")</f>
        <v/>
      </c>
      <c r="J44" s="169" t="str">
        <f>IF(C44&lt;&gt;"",_xll.RssMarket(C44,"出来高"),"")</f>
        <v/>
      </c>
      <c r="K44" s="169" t="str">
        <f>IF(C44&lt;&gt;"",_xll.RssMarket(C44,"年初来高値"),"")</f>
        <v/>
      </c>
      <c r="L44" s="170" t="str">
        <f t="shared" si="0"/>
        <v/>
      </c>
      <c r="M44" s="169">
        <f>IF(C44&lt;&gt;"",IFERROR(AVERAGE(出来高!E47:I47),""),"")</f>
        <v>1014120</v>
      </c>
      <c r="N44" s="169">
        <f>IF(C44&lt;&gt;"",IFERROR(AVERAGE(出来高!E47:AC47),""),"")</f>
        <v>1328868</v>
      </c>
      <c r="O44" s="171" t="str">
        <f t="shared" si="1"/>
        <v/>
      </c>
      <c r="P44" s="166" t="str">
        <f t="shared" si="2"/>
        <v/>
      </c>
      <c r="Q44" s="166" t="str">
        <f t="shared" si="3"/>
        <v/>
      </c>
      <c r="R44" s="169" t="str">
        <f t="shared" si="10"/>
        <v/>
      </c>
      <c r="S44" s="169" t="str">
        <f t="shared" si="11"/>
        <v/>
      </c>
      <c r="T44" s="166">
        <f t="shared" si="4"/>
        <v>0</v>
      </c>
      <c r="U44" s="166" t="str">
        <f t="shared" si="12"/>
        <v>除外</v>
      </c>
      <c r="V44" s="166" t="str">
        <f t="shared" si="5"/>
        <v/>
      </c>
      <c r="W44" s="172">
        <f t="array" ref="W44">IF(C44&lt;&gt;"",IFERROR(100-100/(1+SUMPRODUCT((終値!F47:R47&gt;終値!G47:S47)*( 終値!F47:R47-終値!G47:S47))/SUMPRODUCT((終値!F47:R47&lt;終値!G47:S47)*(終値!G47:S47-終値!F47:R47))),50),"")</f>
        <v>87.852112676056365</v>
      </c>
      <c r="X44" s="173">
        <f>IF(C44&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5.3765000656746906</v>
      </c>
      <c r="Y44" s="1" t="e">
        <f>IF(T44="","",IF(銘柄管理!$F$5="下落▼",IF(AND(AD44="パーフェクト▲",OR(AE44="25日線押し目●",AE44="5日線押し目○")),"★逆張り候補",IF(AND(AD44="上昇トレンド▲",OR(AE44="25日線押し目●",AE44="5日線押し目○")),"○逆張り候補",IF(W44&lt;=30,IF(Z44&gt;0,"◎反発確認",IF(Z44&lt;-5,"△要注意・様子見","△売られ過ぎ注目")),"相場下落・見送り"))),IF(AND(T44&gt;=12,AD44="パーフェクト▲"),"★強い買い",IF(AND(T44&gt;=12,AD44="上昇トレンド▲"),"★強い買い",IF(AND(T44&gt;=8,OR(AE44="25日線押し目●",AE44="5日線押し目○")),"◎押し目買い",IF(T44&gt;=10,"○買い候補",IF(T44&gt;=6,"△注目",IF(T44&gt;=3,"様子見","見送り"))))))))</f>
        <v>#VALUE!</v>
      </c>
      <c r="Z44" s="174" t="str">
        <f t="shared" si="13"/>
        <v/>
      </c>
      <c r="AA44" s="166" t="str">
        <f t="shared" si="14"/>
        <v/>
      </c>
      <c r="AB44" s="406">
        <f>IF(C44="","",IFERROR(((終値!E46*0.333)+(終値!F46*0.222)+(終値!G46*0.148)+(終値!H46*0.099)+(終値!I46*0.066)+(終値!J46*0.044)+(終値!K46*0.029)+(終値!L46*0.019)+(終値!M46*0.013)+(終値!N46*0.009))/(0.333+0.222+0.148+0.099+0.066+0.044+0.029+0.019+0.013+0.009),""))</f>
        <v>571.45947046843173</v>
      </c>
      <c r="AC44" s="406">
        <f>IF(C44="","",IFERROR(SUMPRODUCT((終値!E46:AC46),({0.077,0.071,0.065,0.06,0.055,0.051,0.047,0.043,0.039,0.036,0.033,0.031,0.028,0.026,0.024,0.022,0.02,0.018,0.017,0.016,0.014,0.013,0.012,0.011,0.01}))/SUM({0.077,0.071,0.065,0.06,0.055,0.051,0.047,0.043,0.039,0.036,0.033,0.031,0.028,0.026,0.024,0.022,0.02,0.018,0.017,0.016,0.014,0.013,0.012,0.011,0.01}),""))</f>
        <v>556.40572109654329</v>
      </c>
      <c r="AD44" s="407" t="str">
        <f t="shared" si="15"/>
        <v>パーフェクト▲</v>
      </c>
      <c r="AE44" s="407" t="e">
        <f t="shared" si="16"/>
        <v>#VALUE!</v>
      </c>
      <c r="AF44" s="368">
        <f t="array" ref="AF44">IF(C44="","",IFERROR((INDEX(終値!$E:$E,MATCH(TEXT(C44,"0"),終値!$A:$A,0))-INDEX(終値!$E:$CZ,MATCH(TEXT(C44,"0"),終値!$A:$A,0),$AL$2))/INDEX(終値!$E:$CZ,MATCH(TEXT(C44,"0"),終値!$A:$A,0),$AL$2)*100,""))</f>
        <v>8.3967756381549474</v>
      </c>
      <c r="AG44" s="368">
        <f t="array" ref="AG44">IFERROR((終値!$E$5-INDEX(終値!$E$5:$CZ$5,1,$AL$2))/INDEX(終値!$E$5:$CZ$5,1,$AL$2)*100,"")</f>
        <v>2.31989243802786</v>
      </c>
      <c r="AH44" s="369">
        <f t="shared" si="8"/>
        <v>6.0768832001270869</v>
      </c>
      <c r="AI44" s="367">
        <f t="shared" si="9"/>
        <v>3</v>
      </c>
    </row>
    <row r="45" spans="1:35" s="177" customFormat="1" ht="18" customHeight="1">
      <c r="A45" s="166" t="str">
        <f>IF(銘柄管理!B37&lt;&gt;"",HYPERLINK("https://kabutan.jp/stock/?code="&amp;銘柄管理!B37,"株探"),"")</f>
        <v>株探</v>
      </c>
      <c r="B45" s="167"/>
      <c r="C45" s="168">
        <f>IF(銘柄管理!B37="","",銘柄管理!B37)</f>
        <v>8570</v>
      </c>
      <c r="D45" s="106" t="str">
        <f>IF(銘柄管理!C37="","",銘柄管理!C37)</f>
        <v/>
      </c>
      <c r="E45" s="169" t="str">
        <f>IF(C45&lt;&gt;"",_xll.RssMarket(C45,"現在値"),"")</f>
        <v/>
      </c>
      <c r="F45" s="169" t="str">
        <f>IF(C45&lt;&gt;"",_xll.RssMarket(C45,"始値"),"")</f>
        <v/>
      </c>
      <c r="G45" s="168">
        <f>IF(C45&lt;&gt;"",終値!F37,"")</f>
        <v>1542.5</v>
      </c>
      <c r="H45" s="169" t="str">
        <f>IF(C45&lt;&gt;"",_xll.RssMarket(C45,"高値"),"")</f>
        <v/>
      </c>
      <c r="I45" s="169" t="str">
        <f>IF(C45&lt;&gt;"",_xll.RssMarket(C45,"安値"),"")</f>
        <v/>
      </c>
      <c r="J45" s="169" t="str">
        <f>IF(C45&lt;&gt;"",_xll.RssMarket(C45,"出来高"),"")</f>
        <v/>
      </c>
      <c r="K45" s="169" t="str">
        <f>IF(C45&lt;&gt;"",_xll.RssMarket(C45,"年初来高値"),"")</f>
        <v/>
      </c>
      <c r="L45" s="170" t="str">
        <f t="shared" si="0"/>
        <v/>
      </c>
      <c r="M45" s="169">
        <f>IF(C45&lt;&gt;"",IFERROR(AVERAGE(出来高!E37:I37),""),"")</f>
        <v>642660</v>
      </c>
      <c r="N45" s="169">
        <f>IF(C45&lt;&gt;"",IFERROR(AVERAGE(出来高!E37:AC37),""),"")</f>
        <v>536156</v>
      </c>
      <c r="O45" s="171" t="str">
        <f t="shared" si="1"/>
        <v/>
      </c>
      <c r="P45" s="166" t="str">
        <f t="shared" si="2"/>
        <v/>
      </c>
      <c r="Q45" s="166" t="str">
        <f t="shared" si="3"/>
        <v/>
      </c>
      <c r="R45" s="169" t="str">
        <f t="shared" si="10"/>
        <v/>
      </c>
      <c r="S45" s="169" t="str">
        <f t="shared" si="11"/>
        <v/>
      </c>
      <c r="T45" s="166">
        <f t="shared" si="4"/>
        <v>0</v>
      </c>
      <c r="U45" s="166" t="str">
        <f t="shared" si="12"/>
        <v>除外</v>
      </c>
      <c r="V45" s="166" t="str">
        <f t="shared" si="5"/>
        <v/>
      </c>
      <c r="W45" s="172">
        <f t="array" ref="W45">IF(C45&lt;&gt;"",IFERROR(100-100/(1+SUMPRODUCT((終値!F37:R37&gt;終値!G37:S37)*( 終値!F37:R37-終値!G37:S37))/SUMPRODUCT((終値!F37:R37&lt;終値!G37:S37)*(終値!G37:S37-終値!F37:R37))),50),"")</f>
        <v>77.5</v>
      </c>
      <c r="X45" s="173">
        <f>IF(C45&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10.174115085635776</v>
      </c>
      <c r="Y45" s="1" t="e">
        <f>IF(T45="","",IF(銘柄管理!$F$5="下落▼",IF(AND(AD45="パーフェクト▲",OR(AE45="25日線押し目●",AE45="5日線押し目○")),"★逆張り候補",IF(AND(AD45="上昇トレンド▲",OR(AE45="25日線押し目●",AE45="5日線押し目○")),"○逆張り候補",IF(W45&lt;=30,IF(Z45&gt;0,"◎反発確認",IF(Z45&lt;-5,"△要注意・様子見","△売られ過ぎ注目")),"相場下落・見送り"))),IF(AND(T45&gt;=12,AD45="パーフェクト▲"),"★強い買い",IF(AND(T45&gt;=12,AD45="上昇トレンド▲"),"★強い買い",IF(AND(T45&gt;=8,OR(AE45="25日線押し目●",AE45="5日線押し目○")),"◎押し目買い",IF(T45&gt;=10,"○買い候補",IF(T45&gt;=6,"△注目",IF(T45&gt;=3,"様子見","見送り"))))))))</f>
        <v>#VALUE!</v>
      </c>
      <c r="Z45" s="174" t="str">
        <f t="shared" si="13"/>
        <v/>
      </c>
      <c r="AA45" s="166" t="str">
        <f t="shared" si="14"/>
        <v/>
      </c>
      <c r="AB45" s="408">
        <f>IF(C45="","",IFERROR(((終値!E47*0.333)+(終値!F47*0.222)+(終値!G47*0.148)+(終値!H47*0.099)+(終値!I47*0.066)+(終値!J47*0.044)+(終値!K47*0.029)+(終値!L47*0.019)+(終値!M47*0.013)+(終値!N47*0.009))/(0.333+0.222+0.148+0.099+0.066+0.044+0.029+0.019+0.013+0.009),""))</f>
        <v>484.25417515274944</v>
      </c>
      <c r="AC45" s="408">
        <f>IF(C45="","",IFERROR(SUMPRODUCT((終値!E47:AC47),({0.077,0.071,0.065,0.06,0.055,0.051,0.047,0.043,0.039,0.036,0.033,0.031,0.028,0.026,0.024,0.022,0.02,0.018,0.017,0.016,0.014,0.013,0.012,0.011,0.01}))/SUM({0.077,0.071,0.065,0.06,0.055,0.051,0.047,0.043,0.039,0.036,0.033,0.031,0.028,0.026,0.024,0.022,0.02,0.018,0.017,0.016,0.014,0.013,0.012,0.011,0.01}),""))</f>
        <v>470.63945172824771</v>
      </c>
      <c r="AD45" s="409" t="str">
        <f t="shared" si="15"/>
        <v>パーフェクト▲</v>
      </c>
      <c r="AE45" s="409" t="e">
        <f t="shared" si="16"/>
        <v>#VALUE!</v>
      </c>
      <c r="AF45" s="368">
        <f t="array" ref="AF45">IF(C45="","",IFERROR((INDEX(終値!$E:$E,MATCH(TEXT(C45,"0"),終値!$A:$A,0))-INDEX(終値!$E:$CZ,MATCH(TEXT(C45,"0"),終値!$A:$A,0),$AL$2))/INDEX(終値!$E:$CZ,MATCH(TEXT(C45,"0"),終値!$A:$A,0),$AL$2)*100,""))</f>
        <v>4.4816968867601776</v>
      </c>
      <c r="AG45" s="368">
        <f t="array" ref="AG45">IFERROR((終値!$E$5-INDEX(終値!$E$5:$CZ$5,1,$AL$2))/INDEX(終値!$E$5:$CZ$5,1,$AL$2)*100,"")</f>
        <v>2.31989243802786</v>
      </c>
      <c r="AH45" s="369">
        <f t="shared" si="8"/>
        <v>2.1618044487323176</v>
      </c>
      <c r="AI45" s="367">
        <f t="shared" si="9"/>
        <v>1</v>
      </c>
    </row>
    <row r="46" spans="1:35" s="177" customFormat="1" ht="18" customHeight="1">
      <c r="A46" s="166" t="str">
        <f>IF(銘柄管理!B108&lt;&gt;"",HYPERLINK("https://kabutan.jp/stock/?code="&amp;銘柄管理!B108,"株探"),"")</f>
        <v>株探</v>
      </c>
      <c r="B46" s="167"/>
      <c r="C46" s="168">
        <f>IF(銘柄管理!B108="","",銘柄管理!B108)</f>
        <v>8424</v>
      </c>
      <c r="D46" s="106" t="str">
        <f>IF(銘柄管理!C108="","",銘柄管理!C108)</f>
        <v/>
      </c>
      <c r="E46" s="169" t="str">
        <f>IF(C46&lt;&gt;"",_xll.RssMarket(C46,"現在値"),"")</f>
        <v/>
      </c>
      <c r="F46" s="169" t="str">
        <f>IF(C46&lt;&gt;"",_xll.RssMarket(C46,"始値"),"")</f>
        <v/>
      </c>
      <c r="G46" s="168">
        <f>IF(C46&lt;&gt;"",終値!F108,"")</f>
        <v>4361</v>
      </c>
      <c r="H46" s="169" t="str">
        <f>IF(C46&lt;&gt;"",_xll.RssMarket(C46,"高値"),"")</f>
        <v/>
      </c>
      <c r="I46" s="169" t="str">
        <f>IF(C46&lt;&gt;"",_xll.RssMarket(C46,"安値"),"")</f>
        <v/>
      </c>
      <c r="J46" s="169" t="str">
        <f>IF(C46&lt;&gt;"",_xll.RssMarket(C46,"出来高"),"")</f>
        <v/>
      </c>
      <c r="K46" s="169" t="str">
        <f>IF(C46&lt;&gt;"",_xll.RssMarket(C46,"年初来高値"),"")</f>
        <v/>
      </c>
      <c r="L46" s="170" t="str">
        <f t="shared" si="0"/>
        <v/>
      </c>
      <c r="M46" s="169">
        <f>IF(C46&lt;&gt;"",IFERROR(AVERAGE(出来高!E108:I108),""),"")</f>
        <v>128120</v>
      </c>
      <c r="N46" s="169">
        <f>IF(C46&lt;&gt;"",IFERROR(AVERAGE(出来高!E108:AC108),""),"")</f>
        <v>160680</v>
      </c>
      <c r="O46" s="171" t="str">
        <f t="shared" si="1"/>
        <v/>
      </c>
      <c r="P46" s="166" t="str">
        <f t="shared" si="2"/>
        <v/>
      </c>
      <c r="Q46" s="166" t="str">
        <f t="shared" si="3"/>
        <v/>
      </c>
      <c r="R46" s="169" t="str">
        <f t="shared" si="10"/>
        <v/>
      </c>
      <c r="S46" s="169" t="str">
        <f t="shared" si="11"/>
        <v/>
      </c>
      <c r="T46" s="166">
        <f t="shared" si="4"/>
        <v>0</v>
      </c>
      <c r="U46" s="166" t="str">
        <f t="shared" si="12"/>
        <v>除外</v>
      </c>
      <c r="V46" s="166" t="str">
        <f t="shared" si="5"/>
        <v/>
      </c>
      <c r="W46" s="172">
        <f t="array" ref="W46">IF(C46&lt;&gt;"",IFERROR(100-100/(1+SUMPRODUCT((終値!F108:R108&gt;終値!G108:S108)*( 終値!F108:R108-終値!G108:S108))/SUMPRODUCT((終値!F108:R108&lt;終値!G108:S108)*(終値!G108:S108-終値!F108:R108))),50),"")</f>
        <v>76.012461059190031</v>
      </c>
      <c r="X46" s="173">
        <f>IF(C46&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12.376004521593131</v>
      </c>
      <c r="Y46" s="1" t="e">
        <f>IF(T46="","",IF(銘柄管理!$F$5="下落▼",IF(AND(AD46="パーフェクト▲",OR(AE46="25日線押し目●",AE46="5日線押し目○")),"★逆張り候補",IF(AND(AD46="上昇トレンド▲",OR(AE46="25日線押し目●",AE46="5日線押し目○")),"○逆張り候補",IF(W46&lt;=30,IF(Z46&gt;0,"◎反発確認",IF(Z46&lt;-5,"△要注意・様子見","△売られ過ぎ注目")),"相場下落・見送り"))),IF(AND(T46&gt;=12,AD46="パーフェクト▲"),"★強い買い",IF(AND(T46&gt;=12,AD46="上昇トレンド▲"),"★強い買い",IF(AND(T46&gt;=8,OR(AE46="25日線押し目●",AE46="5日線押し目○")),"◎押し目買い",IF(T46&gt;=10,"○買い候補",IF(T46&gt;=6,"△注目",IF(T46&gt;=3,"様子見","見送り"))))))))</f>
        <v>#VALUE!</v>
      </c>
      <c r="Z46" s="174" t="str">
        <f t="shared" si="13"/>
        <v/>
      </c>
      <c r="AA46" s="166" t="str">
        <f t="shared" si="14"/>
        <v/>
      </c>
      <c r="AB46" s="406">
        <f>IF(C46="","",IFERROR(((終値!E48*0.333)+(終値!F48*0.222)+(終値!G48*0.148)+(終値!H48*0.099)+(終値!I48*0.066)+(終値!J48*0.044)+(終値!K48*0.029)+(終値!L48*0.019)+(終値!M48*0.013)+(終値!N48*0.009))/(0.333+0.222+0.148+0.099+0.066+0.044+0.029+0.019+0.013+0.009),""))</f>
        <v>1425.2958248472501</v>
      </c>
      <c r="AC46" s="406">
        <f>IF(C46="","",IFERROR(SUMPRODUCT((終値!E48:AC48),({0.077,0.071,0.065,0.06,0.055,0.051,0.047,0.043,0.039,0.036,0.033,0.031,0.028,0.026,0.024,0.022,0.02,0.018,0.017,0.016,0.014,0.013,0.012,0.011,0.01}))/SUM({0.077,0.071,0.065,0.06,0.055,0.051,0.047,0.043,0.039,0.036,0.033,0.031,0.028,0.026,0.024,0.022,0.02,0.018,0.017,0.016,0.014,0.013,0.012,0.011,0.01}),""))</f>
        <v>1417.7622169249103</v>
      </c>
      <c r="AD46" s="407" t="str">
        <f t="shared" si="15"/>
        <v>パーフェクト▲</v>
      </c>
      <c r="AE46" s="407" t="e">
        <f t="shared" si="16"/>
        <v>#VALUE!</v>
      </c>
      <c r="AF46" s="368">
        <f t="array" ref="AF46">IF(C46="","",IFERROR((INDEX(終値!$E:$E,MATCH(TEXT(C46,"0"),終値!$A:$A,0))-INDEX(終値!$E:$CZ,MATCH(TEXT(C46,"0"),終値!$A:$A,0),$AL$2))/INDEX(終値!$E:$CZ,MATCH(TEXT(C46,"0"),終値!$A:$A,0),$AL$2)*100,""))</f>
        <v>3.6498091603053435</v>
      </c>
      <c r="AG46" s="368">
        <f t="array" ref="AG46">IFERROR((終値!$E$5-INDEX(終値!$E$5:$CZ$5,1,$AL$2))/INDEX(終値!$E$5:$CZ$5,1,$AL$2)*100,"")</f>
        <v>2.31989243802786</v>
      </c>
      <c r="AH46" s="369">
        <f t="shared" si="8"/>
        <v>1.3299167222774835</v>
      </c>
      <c r="AI46" s="367">
        <f t="shared" si="9"/>
        <v>1</v>
      </c>
    </row>
    <row r="47" spans="1:35" s="177" customFormat="1" ht="18" customHeight="1">
      <c r="A47" s="166" t="str">
        <f>IF(銘柄管理!B19&lt;&gt;"",HYPERLINK("https://kabutan.jp/stock/?code="&amp;銘柄管理!B19,"株探"),"")</f>
        <v>株探</v>
      </c>
      <c r="B47" s="167"/>
      <c r="C47" s="168">
        <f>IF(銘柄管理!B19="","",銘柄管理!B19)</f>
        <v>8411</v>
      </c>
      <c r="D47" s="106" t="str">
        <f>IF(銘柄管理!C19="","",銘柄管理!C19)</f>
        <v/>
      </c>
      <c r="E47" s="169" t="str">
        <f>IF(C47&lt;&gt;"",_xll.RssMarket(C47,"現在値"),"")</f>
        <v/>
      </c>
      <c r="F47" s="169" t="str">
        <f>IF(C47&lt;&gt;"",_xll.RssMarket(C47,"始値"),"")</f>
        <v/>
      </c>
      <c r="G47" s="168">
        <f>IF(C47&lt;&gt;"",終値!F19,"")</f>
        <v>8624</v>
      </c>
      <c r="H47" s="169" t="str">
        <f>IF(C47&lt;&gt;"",_xll.RssMarket(C47,"高値"),"")</f>
        <v/>
      </c>
      <c r="I47" s="169" t="str">
        <f>IF(C47&lt;&gt;"",_xll.RssMarket(C47,"安値"),"")</f>
        <v/>
      </c>
      <c r="J47" s="169" t="str">
        <f>IF(C47&lt;&gt;"",_xll.RssMarket(C47,"出来高"),"")</f>
        <v/>
      </c>
      <c r="K47" s="169" t="str">
        <f>IF(C47&lt;&gt;"",_xll.RssMarket(C47,"年初来高値"),"")</f>
        <v/>
      </c>
      <c r="L47" s="170" t="str">
        <f t="shared" si="0"/>
        <v/>
      </c>
      <c r="M47" s="169">
        <f>IF(C47&lt;&gt;"",IFERROR(AVERAGE(出来高!E19:I19),""),"")</f>
        <v>9773960</v>
      </c>
      <c r="N47" s="169">
        <f>IF(C47&lt;&gt;"",IFERROR(AVERAGE(出来高!E19:AC19),""),"")</f>
        <v>9309644</v>
      </c>
      <c r="O47" s="171" t="str">
        <f t="shared" si="1"/>
        <v/>
      </c>
      <c r="P47" s="166" t="str">
        <f t="shared" si="2"/>
        <v/>
      </c>
      <c r="Q47" s="166" t="str">
        <f t="shared" si="3"/>
        <v/>
      </c>
      <c r="R47" s="169" t="str">
        <f t="shared" si="10"/>
        <v/>
      </c>
      <c r="S47" s="169" t="str">
        <f t="shared" si="11"/>
        <v/>
      </c>
      <c r="T47" s="166">
        <f t="shared" si="4"/>
        <v>0</v>
      </c>
      <c r="U47" s="166" t="str">
        <f t="shared" si="12"/>
        <v>除外</v>
      </c>
      <c r="V47" s="166" t="str">
        <f t="shared" si="5"/>
        <v/>
      </c>
      <c r="W47" s="172">
        <f t="array" ref="W47">IF(C47&lt;&gt;"",IFERROR(100-100/(1+SUMPRODUCT((終値!F19:R19&gt;終値!G19:S19)*( 終値!F19:R19-終値!G19:S19))/SUMPRODUCT((終値!F19:R19&lt;終値!G19:S19)*(終値!G19:S19-終値!F19:R19))),50),"")</f>
        <v>85.816733067729089</v>
      </c>
      <c r="X47" s="173">
        <f>IF(C47&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81.773263705080353</v>
      </c>
      <c r="Y47" s="1" t="e">
        <f>IF(T47="","",IF(銘柄管理!$F$5="下落▼",IF(AND(AD47="パーフェクト▲",OR(AE47="25日線押し目●",AE47="5日線押し目○")),"★逆張り候補",IF(AND(AD47="上昇トレンド▲",OR(AE47="25日線押し目●",AE47="5日線押し目○")),"○逆張り候補",IF(W47&lt;=30,IF(Z47&gt;0,"◎反発確認",IF(Z47&lt;-5,"△要注意・様子見","△売られ過ぎ注目")),"相場下落・見送り"))),IF(AND(T47&gt;=12,AD47="パーフェクト▲"),"★強い買い",IF(AND(T47&gt;=12,AD47="上昇トレンド▲"),"★強い買い",IF(AND(T47&gt;=8,OR(AE47="25日線押し目●",AE47="5日線押し目○")),"◎押し目買い",IF(T47&gt;=10,"○買い候補",IF(T47&gt;=6,"△注目",IF(T47&gt;=3,"様子見","見送り"))))))))</f>
        <v>#VALUE!</v>
      </c>
      <c r="Z47" s="174" t="str">
        <f t="shared" si="13"/>
        <v/>
      </c>
      <c r="AA47" s="166" t="str">
        <f t="shared" si="14"/>
        <v/>
      </c>
      <c r="AB47" s="408">
        <f>IF(C47="","",IFERROR(((終値!E49*0.333)+(終値!F49*0.222)+(終値!G49*0.148)+(終値!H49*0.099)+(終値!I49*0.066)+(終値!J49*0.044)+(終値!K49*0.029)+(終値!L49*0.019)+(終値!M49*0.013)+(終値!N49*0.009))/(0.333+0.222+0.148+0.099+0.066+0.044+0.029+0.019+0.013+0.009),""))</f>
        <v>3724.0957230142558</v>
      </c>
      <c r="AC47" s="408">
        <f>IF(C47="","",IFERROR(SUMPRODUCT((終値!E49:AC49),({0.077,0.071,0.065,0.06,0.055,0.051,0.047,0.043,0.039,0.036,0.033,0.031,0.028,0.026,0.024,0.022,0.02,0.018,0.017,0.016,0.014,0.013,0.012,0.011,0.01}))/SUM({0.077,0.071,0.065,0.06,0.055,0.051,0.047,0.043,0.039,0.036,0.033,0.031,0.028,0.026,0.024,0.022,0.02,0.018,0.017,0.016,0.014,0.013,0.012,0.011,0.01}),""))</f>
        <v>3723.2336114421914</v>
      </c>
      <c r="AD47" s="409" t="str">
        <f t="shared" si="15"/>
        <v>パーフェクト▲</v>
      </c>
      <c r="AE47" s="409" t="e">
        <f t="shared" si="16"/>
        <v>#VALUE!</v>
      </c>
      <c r="AF47" s="368">
        <f t="array" ref="AF47">IF(C47="","",IFERROR((INDEX(終値!$E:$E,MATCH(TEXT(C47,"0"),終値!$A:$A,0))-INDEX(終値!$E:$CZ,MATCH(TEXT(C47,"0"),終値!$A:$A,0),$AL$2))/INDEX(終値!$E:$CZ,MATCH(TEXT(C47,"0"),終値!$A:$A,0),$AL$2)*100,""))</f>
        <v>4.8664374504099444</v>
      </c>
      <c r="AG47" s="368">
        <f t="array" ref="AG47">IFERROR((終値!$E$5-INDEX(終値!$E$5:$CZ$5,1,$AL$2))/INDEX(終値!$E$5:$CZ$5,1,$AL$2)*100,"")</f>
        <v>2.31989243802786</v>
      </c>
      <c r="AH47" s="369">
        <f t="shared" si="8"/>
        <v>2.5465450123820843</v>
      </c>
      <c r="AI47" s="367">
        <f t="shared" si="9"/>
        <v>1</v>
      </c>
    </row>
    <row r="48" spans="1:35" s="177" customFormat="1" ht="18" customHeight="1">
      <c r="A48" s="166" t="str">
        <f>IF(銘柄管理!B123&lt;&gt;"",HYPERLINK("https://kabutan.jp/stock/?code="&amp;銘柄管理!B123,"株探"),"")</f>
        <v>株探</v>
      </c>
      <c r="B48" s="167"/>
      <c r="C48" s="168">
        <f>IF(銘柄管理!B123="","",銘柄管理!B123)</f>
        <v>8359</v>
      </c>
      <c r="D48" s="106" t="str">
        <f>IF(銘柄管理!C123="","",銘柄管理!C123)</f>
        <v/>
      </c>
      <c r="E48" s="169" t="str">
        <f>IF(C48&lt;&gt;"",_xll.RssMarket(C48,"現在値"),"")</f>
        <v/>
      </c>
      <c r="F48" s="169" t="str">
        <f>IF(C48&lt;&gt;"",_xll.RssMarket(C48,"始値"),"")</f>
        <v/>
      </c>
      <c r="G48" s="168">
        <f>IF(C48&lt;&gt;"",終値!F123,"")</f>
        <v>2638</v>
      </c>
      <c r="H48" s="169" t="str">
        <f>IF(C48&lt;&gt;"",_xll.RssMarket(C48,"高値"),"")</f>
        <v/>
      </c>
      <c r="I48" s="169" t="str">
        <f>IF(C48&lt;&gt;"",_xll.RssMarket(C48,"安値"),"")</f>
        <v/>
      </c>
      <c r="J48" s="169" t="str">
        <f>IF(C48&lt;&gt;"",_xll.RssMarket(C48,"出来高"),"")</f>
        <v/>
      </c>
      <c r="K48" s="169" t="str">
        <f>IF(C48&lt;&gt;"",_xll.RssMarket(C48,"年初来高値"),"")</f>
        <v/>
      </c>
      <c r="L48" s="170" t="str">
        <f t="shared" si="0"/>
        <v/>
      </c>
      <c r="M48" s="169">
        <f>IF(C48&lt;&gt;"",IFERROR(AVERAGE(出来高!E123:I123),""),"")</f>
        <v>1405740</v>
      </c>
      <c r="N48" s="169">
        <f>IF(C48&lt;&gt;"",IFERROR(AVERAGE(出来高!E123:AC123),""),"")</f>
        <v>1416692</v>
      </c>
      <c r="O48" s="171" t="str">
        <f t="shared" si="1"/>
        <v/>
      </c>
      <c r="P48" s="166" t="str">
        <f t="shared" si="2"/>
        <v/>
      </c>
      <c r="Q48" s="166" t="str">
        <f t="shared" si="3"/>
        <v/>
      </c>
      <c r="R48" s="169" t="str">
        <f t="shared" si="10"/>
        <v/>
      </c>
      <c r="S48" s="169" t="str">
        <f t="shared" si="11"/>
        <v/>
      </c>
      <c r="T48" s="166">
        <f t="shared" si="4"/>
        <v>0</v>
      </c>
      <c r="U48" s="166" t="str">
        <f t="shared" si="12"/>
        <v>除外</v>
      </c>
      <c r="V48" s="166" t="str">
        <f t="shared" si="5"/>
        <v/>
      </c>
      <c r="W48" s="172">
        <f t="array" ref="W48">IF(C48&lt;&gt;"",IFERROR(100-100/(1+SUMPRODUCT((終値!F123:R123&gt;終値!G123:S123)*( 終値!F123:R123-終値!G123:S123))/SUMPRODUCT((終値!F123:R123&lt;終値!G123:S123)*(終値!G123:S123-終値!F123:R123))),50),"")</f>
        <v>91.027496382054991</v>
      </c>
      <c r="X48" s="173">
        <f>IF(C48&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30.378494182831218</v>
      </c>
      <c r="Y48" s="1" t="e">
        <f>IF(T48="","",IF(銘柄管理!$F$5="下落▼",IF(AND(AD48="パーフェクト▲",OR(AE48="25日線押し目●",AE48="5日線押し目○")),"★逆張り候補",IF(AND(AD48="上昇トレンド▲",OR(AE48="25日線押し目●",AE48="5日線押し目○")),"○逆張り候補",IF(W48&lt;=30,IF(Z48&gt;0,"◎反発確認",IF(Z48&lt;-5,"△要注意・様子見","△売られ過ぎ注目")),"相場下落・見送り"))),IF(AND(T48&gt;=12,AD48="パーフェクト▲"),"★強い買い",IF(AND(T48&gt;=12,AD48="上昇トレンド▲"),"★強い買い",IF(AND(T48&gt;=8,OR(AE48="25日線押し目●",AE48="5日線押し目○")),"◎押し目買い",IF(T48&gt;=10,"○買い候補",IF(T48&gt;=6,"△注目",IF(T48&gt;=3,"様子見","見送り"))))))))</f>
        <v>#VALUE!</v>
      </c>
      <c r="Z48" s="174" t="str">
        <f t="shared" si="13"/>
        <v/>
      </c>
      <c r="AA48" s="166" t="str">
        <f t="shared" si="14"/>
        <v/>
      </c>
      <c r="AB48" s="406">
        <f>IF(C48="","",IFERROR(((終値!E50*0.333)+(終値!F50*0.222)+(終値!G50*0.148)+(終値!H50*0.099)+(終値!I50*0.066)+(終値!J50*0.044)+(終値!K50*0.029)+(終値!L50*0.019)+(終値!M50*0.013)+(終値!N50*0.009))/(0.333+0.222+0.148+0.099+0.066+0.044+0.029+0.019+0.013+0.009),""))</f>
        <v>6884.5916496944983</v>
      </c>
      <c r="AC48" s="406">
        <f>IF(C48="","",IFERROR(SUMPRODUCT((終値!E50:AC50),({0.077,0.071,0.065,0.06,0.055,0.051,0.047,0.043,0.039,0.036,0.033,0.031,0.028,0.026,0.024,0.022,0.02,0.018,0.017,0.016,0.014,0.013,0.012,0.011,0.01}))/SUM({0.077,0.071,0.065,0.06,0.055,0.051,0.047,0.043,0.039,0.036,0.033,0.031,0.028,0.026,0.024,0.022,0.02,0.018,0.017,0.016,0.014,0.013,0.012,0.011,0.01}),""))</f>
        <v>6708.5625744934441</v>
      </c>
      <c r="AD48" s="407" t="str">
        <f t="shared" si="15"/>
        <v>パーフェクト▲</v>
      </c>
      <c r="AE48" s="407" t="e">
        <f t="shared" si="16"/>
        <v>#VALUE!</v>
      </c>
      <c r="AF48" s="368">
        <f t="array" ref="AF48">IF(C48="","",IFERROR((INDEX(終値!$E:$E,MATCH(TEXT(C48,"0"),終値!$A:$A,0))-INDEX(終値!$E:$CZ,MATCH(TEXT(C48,"0"),終値!$A:$A,0),$AL$2))/INDEX(終値!$E:$CZ,MATCH(TEXT(C48,"0"),終値!$A:$A,0),$AL$2)*100,""))</f>
        <v>3.192606595253098</v>
      </c>
      <c r="AG48" s="368">
        <f t="array" ref="AG48">IFERROR((終値!$E$5-INDEX(終値!$E$5:$CZ$5,1,$AL$2))/INDEX(終値!$E$5:$CZ$5,1,$AL$2)*100,"")</f>
        <v>2.31989243802786</v>
      </c>
      <c r="AH48" s="369">
        <f t="shared" si="8"/>
        <v>0.87271415722523793</v>
      </c>
      <c r="AI48" s="367">
        <f t="shared" si="9"/>
        <v>1</v>
      </c>
    </row>
    <row r="49" spans="1:35" s="177" customFormat="1" ht="18" customHeight="1">
      <c r="A49" s="166" t="str">
        <f>IF(銘柄管理!B122&lt;&gt;"",HYPERLINK("https://kabutan.jp/stock/?code="&amp;銘柄管理!B122,"株探"),"")</f>
        <v>株探</v>
      </c>
      <c r="B49" s="167"/>
      <c r="C49" s="168">
        <f>IF(銘柄管理!B122="","",銘柄管理!B122)</f>
        <v>8334</v>
      </c>
      <c r="D49" s="106" t="str">
        <f>IF(銘柄管理!C122="","",銘柄管理!C122)</f>
        <v/>
      </c>
      <c r="E49" s="169" t="str">
        <f>IF(C49&lt;&gt;"",_xll.RssMarket(C49,"現在値"),"")</f>
        <v/>
      </c>
      <c r="F49" s="169" t="str">
        <f>IF(C49&lt;&gt;"",_xll.RssMarket(C49,"始値"),"")</f>
        <v/>
      </c>
      <c r="G49" s="168">
        <f>IF(C49&lt;&gt;"",終値!F122,"")</f>
        <v>2621</v>
      </c>
      <c r="H49" s="169" t="str">
        <f>IF(C49&lt;&gt;"",_xll.RssMarket(C49,"高値"),"")</f>
        <v/>
      </c>
      <c r="I49" s="169" t="str">
        <f>IF(C49&lt;&gt;"",_xll.RssMarket(C49,"安値"),"")</f>
        <v/>
      </c>
      <c r="J49" s="169" t="str">
        <f>IF(C49&lt;&gt;"",_xll.RssMarket(C49,"出来高"),"")</f>
        <v/>
      </c>
      <c r="K49" s="169" t="str">
        <f>IF(C49&lt;&gt;"",_xll.RssMarket(C49,"年初来高値"),"")</f>
        <v/>
      </c>
      <c r="L49" s="170" t="str">
        <f t="shared" si="0"/>
        <v/>
      </c>
      <c r="M49" s="169">
        <f>IF(C49&lt;&gt;"",IFERROR(AVERAGE(出来高!E122:I122),""),"")</f>
        <v>979020</v>
      </c>
      <c r="N49" s="169">
        <f>IF(C49&lt;&gt;"",IFERROR(AVERAGE(出来高!E122:AC122),""),"")</f>
        <v>898704</v>
      </c>
      <c r="O49" s="171" t="str">
        <f t="shared" si="1"/>
        <v/>
      </c>
      <c r="P49" s="166" t="str">
        <f t="shared" si="2"/>
        <v/>
      </c>
      <c r="Q49" s="166" t="str">
        <f t="shared" si="3"/>
        <v/>
      </c>
      <c r="R49" s="169" t="str">
        <f t="shared" si="10"/>
        <v/>
      </c>
      <c r="S49" s="169" t="str">
        <f t="shared" si="11"/>
        <v/>
      </c>
      <c r="T49" s="166">
        <f t="shared" si="4"/>
        <v>0</v>
      </c>
      <c r="U49" s="166" t="str">
        <f t="shared" si="12"/>
        <v>除外</v>
      </c>
      <c r="V49" s="166" t="str">
        <f t="shared" si="5"/>
        <v/>
      </c>
      <c r="W49" s="172">
        <f t="array" ref="W49">IF(C49&lt;&gt;"",IFERROR(100-100/(1+SUMPRODUCT((終値!F122:R122&gt;終値!G122:S122)*( 終値!F122:R122-終値!G122:S122))/SUMPRODUCT((終値!F122:R122&lt;終値!G122:S122)*(終値!G122:S122-終値!F122:R122))),50),"")</f>
        <v>95.352323838080963</v>
      </c>
      <c r="X49" s="173">
        <f>IF(C49&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29.452865598097105</v>
      </c>
      <c r="Y49" s="1" t="e">
        <f>IF(T49="","",IF(銘柄管理!$F$5="下落▼",IF(AND(AD49="パーフェクト▲",OR(AE49="25日線押し目●",AE49="5日線押し目○")),"★逆張り候補",IF(AND(AD49="上昇トレンド▲",OR(AE49="25日線押し目●",AE49="5日線押し目○")),"○逆張り候補",IF(W49&lt;=30,IF(Z49&gt;0,"◎反発確認",IF(Z49&lt;-5,"△要注意・様子見","△売られ過ぎ注目")),"相場下落・見送り"))),IF(AND(T49&gt;=12,AD49="パーフェクト▲"),"★強い買い",IF(AND(T49&gt;=12,AD49="上昇トレンド▲"),"★強い買い",IF(AND(T49&gt;=8,OR(AE49="25日線押し目●",AE49="5日線押し目○")),"◎押し目買い",IF(T49&gt;=10,"○買い候補",IF(T49&gt;=6,"△注目",IF(T49&gt;=3,"様子見","見送り"))))))))</f>
        <v>#VALUE!</v>
      </c>
      <c r="Z49" s="174" t="str">
        <f t="shared" si="13"/>
        <v/>
      </c>
      <c r="AA49" s="166" t="str">
        <f t="shared" si="14"/>
        <v/>
      </c>
      <c r="AB49" s="408">
        <f>IF(C49="","",IFERROR(((終値!E51*0.333)+(終値!F51*0.222)+(終値!G51*0.148)+(終値!H51*0.099)+(終値!I51*0.066)+(終値!J51*0.044)+(終値!K51*0.029)+(終値!L51*0.019)+(終値!M51*0.013)+(終値!N51*0.009))/(0.333+0.222+0.148+0.099+0.066+0.044+0.029+0.019+0.013+0.009),""))</f>
        <v>2519.3910386965376</v>
      </c>
      <c r="AC49" s="408">
        <f>IF(C49="","",IFERROR(SUMPRODUCT((終値!E51:AC51),({0.077,0.071,0.065,0.06,0.055,0.051,0.047,0.043,0.039,0.036,0.033,0.031,0.028,0.026,0.024,0.022,0.02,0.018,0.017,0.016,0.014,0.013,0.012,0.011,0.01}))/SUM({0.077,0.071,0.065,0.06,0.055,0.051,0.047,0.043,0.039,0.036,0.033,0.031,0.028,0.026,0.024,0.022,0.02,0.018,0.017,0.016,0.014,0.013,0.012,0.011,0.01}),""))</f>
        <v>2427.0429082240753</v>
      </c>
      <c r="AD49" s="409" t="str">
        <f t="shared" si="15"/>
        <v>パーフェクト▲</v>
      </c>
      <c r="AE49" s="409" t="e">
        <f t="shared" si="16"/>
        <v>#VALUE!</v>
      </c>
      <c r="AF49" s="368">
        <f t="array" ref="AF49">IF(C49="","",IFERROR((INDEX(終値!$E:$E,MATCH(TEXT(C49,"0"),終値!$A:$A,0))-INDEX(終値!$E:$CZ,MATCH(TEXT(C49,"0"),終値!$A:$A,0),$AL$2))/INDEX(終値!$E:$CZ,MATCH(TEXT(C49,"0"),終値!$A:$A,0),$AL$2)*100,""))</f>
        <v>5.3393860786856893</v>
      </c>
      <c r="AG49" s="368">
        <f t="array" ref="AG49">IFERROR((終値!$E$5-INDEX(終値!$E$5:$CZ$5,1,$AL$2))/INDEX(終値!$E$5:$CZ$5,1,$AL$2)*100,"")</f>
        <v>2.31989243802786</v>
      </c>
      <c r="AH49" s="369">
        <f t="shared" si="8"/>
        <v>3.0194936406578292</v>
      </c>
      <c r="AI49" s="367">
        <f t="shared" si="9"/>
        <v>1</v>
      </c>
    </row>
    <row r="50" spans="1:35" s="177" customFormat="1" ht="18" customHeight="1">
      <c r="A50" s="166" t="str">
        <f>IF(銘柄管理!B50&lt;&gt;"",HYPERLINK("https://kabutan.jp/stock/?code="&amp;銘柄管理!B50,"株探"),"")</f>
        <v>株探</v>
      </c>
      <c r="B50" s="167"/>
      <c r="C50" s="168">
        <f>IF(銘柄管理!B50="","",銘柄管理!B50)</f>
        <v>8316</v>
      </c>
      <c r="D50" s="106" t="str">
        <f>IF(銘柄管理!C50="","",銘柄管理!C50)</f>
        <v/>
      </c>
      <c r="E50" s="169" t="str">
        <f>IF(C50&lt;&gt;"",_xll.RssMarket(C50,"現在値"),"")</f>
        <v/>
      </c>
      <c r="F50" s="169" t="str">
        <f>IF(C50&lt;&gt;"",_xll.RssMarket(C50,"始値"),"")</f>
        <v/>
      </c>
      <c r="G50" s="168">
        <f>IF(C50&lt;&gt;"",終値!F50,"")</f>
        <v>7121</v>
      </c>
      <c r="H50" s="169" t="str">
        <f>IF(C50&lt;&gt;"",_xll.RssMarket(C50,"高値"),"")</f>
        <v/>
      </c>
      <c r="I50" s="169" t="str">
        <f>IF(C50&lt;&gt;"",_xll.RssMarket(C50,"安値"),"")</f>
        <v/>
      </c>
      <c r="J50" s="169" t="str">
        <f>IF(C50&lt;&gt;"",_xll.RssMarket(C50,"出来高"),"")</f>
        <v/>
      </c>
      <c r="K50" s="169" t="str">
        <f>IF(C50&lt;&gt;"",_xll.RssMarket(C50,"年初来高値"),"")</f>
        <v/>
      </c>
      <c r="L50" s="170" t="str">
        <f t="shared" si="0"/>
        <v/>
      </c>
      <c r="M50" s="169">
        <f>IF(C50&lt;&gt;"",IFERROR(AVERAGE(出来高!E50:I50),""),"")</f>
        <v>13423160</v>
      </c>
      <c r="N50" s="169">
        <f>IF(C50&lt;&gt;"",IFERROR(AVERAGE(出来高!E50:AC50),""),"")</f>
        <v>12984864</v>
      </c>
      <c r="O50" s="171" t="str">
        <f t="shared" si="1"/>
        <v/>
      </c>
      <c r="P50" s="166" t="str">
        <f t="shared" si="2"/>
        <v/>
      </c>
      <c r="Q50" s="166" t="str">
        <f t="shared" si="3"/>
        <v/>
      </c>
      <c r="R50" s="169" t="str">
        <f t="shared" si="10"/>
        <v/>
      </c>
      <c r="S50" s="169" t="str">
        <f t="shared" si="11"/>
        <v/>
      </c>
      <c r="T50" s="166">
        <f t="shared" si="4"/>
        <v>0</v>
      </c>
      <c r="U50" s="166" t="str">
        <f t="shared" si="12"/>
        <v>除外</v>
      </c>
      <c r="V50" s="166" t="str">
        <f t="shared" si="5"/>
        <v/>
      </c>
      <c r="W50" s="172">
        <f t="array" ref="W50">IF(C50&lt;&gt;"",IFERROR(100-100/(1+SUMPRODUCT((終値!F50:R50&gt;終値!G50:S50)*( 終値!F50:R50-終値!G50:S50))/SUMPRODUCT((終値!F50:R50&lt;終値!G50:S50)*(終値!G50:S50-終値!F50:R50))),50),"")</f>
        <v>93.975903614457835</v>
      </c>
      <c r="X50" s="173">
        <f>IF(C50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75.427754050925614</v>
      </c>
      <c r="Y50" s="1" t="e">
        <f>IF(T50="","",IF(銘柄管理!$F$5="下落▼",IF(AND(AD50="パーフェクト▲",OR(AE50="25日線押し目●",AE50="5日線押し目○")),"★逆張り候補",IF(AND(AD50="上昇トレンド▲",OR(AE50="25日線押し目●",AE50="5日線押し目○")),"○逆張り候補",IF(W50&lt;=30,IF(Z50&gt;0,"◎反発確認",IF(Z50&lt;-5,"△要注意・様子見","△売られ過ぎ注目")),"相場下落・見送り"))),IF(AND(T50&gt;=12,AD50="パーフェクト▲"),"★強い買い",IF(AND(T50&gt;=12,AD50="上昇トレンド▲"),"★強い買い",IF(AND(T50&gt;=8,OR(AE50="25日線押し目●",AE50="5日線押し目○")),"◎押し目買い",IF(T50&gt;=10,"○買い候補",IF(T50&gt;=6,"△注目",IF(T50&gt;=3,"様子見","見送り"))))))))</f>
        <v>#VALUE!</v>
      </c>
      <c r="Z50" s="174" t="str">
        <f t="shared" si="13"/>
        <v/>
      </c>
      <c r="AA50" s="166" t="str">
        <f t="shared" si="14"/>
        <v/>
      </c>
      <c r="AB50" s="406">
        <f>IF(C50="","",IFERROR(((終値!E52*0.333)+(終値!F52*0.222)+(終値!G52*0.148)+(終値!H52*0.099)+(終値!I52*0.066)+(終値!J52*0.044)+(終値!K52*0.029)+(終値!L52*0.019)+(終値!M52*0.013)+(終値!N52*0.009))/(0.333+0.222+0.148+0.099+0.066+0.044+0.029+0.019+0.013+0.009),""))</f>
        <v>7651.877800407332</v>
      </c>
      <c r="AC50" s="406">
        <f>IF(C50="","",IFERROR(SUMPRODUCT((終値!E52:AC52),({0.077,0.071,0.065,0.06,0.055,0.051,0.047,0.043,0.039,0.036,0.033,0.031,0.028,0.026,0.024,0.022,0.02,0.018,0.017,0.016,0.014,0.013,0.012,0.011,0.01}))/SUM({0.077,0.071,0.065,0.06,0.055,0.051,0.047,0.043,0.039,0.036,0.033,0.031,0.028,0.026,0.024,0.022,0.02,0.018,0.017,0.016,0.014,0.013,0.012,0.011,0.01}),""))</f>
        <v>7493.5947556614983</v>
      </c>
      <c r="AD50" s="407" t="str">
        <f t="shared" si="15"/>
        <v>パーフェクト▲</v>
      </c>
      <c r="AE50" s="407" t="e">
        <f t="shared" si="16"/>
        <v>#VALUE!</v>
      </c>
      <c r="AF50" s="368">
        <f t="array" ref="AF50">IF(C50="","",IFERROR((INDEX(終値!$E:$E,MATCH(TEXT(C50,"0"),終値!$A:$A,0))-INDEX(終値!$E:$CZ,MATCH(TEXT(C50,"0"),終値!$A:$A,0),$AL$2))/INDEX(終値!$E:$CZ,MATCH(TEXT(C50,"0"),終値!$A:$A,0),$AL$2)*100,""))</f>
        <v>8.3507980009672735</v>
      </c>
      <c r="AG50" s="368">
        <f t="array" ref="AG50">IFERROR((終値!$E$5-INDEX(終値!$E$5:$CZ$5,1,$AL$2))/INDEX(終値!$E$5:$CZ$5,1,$AL$2)*100,"")</f>
        <v>2.31989243802786</v>
      </c>
      <c r="AH50" s="369">
        <f t="shared" si="8"/>
        <v>6.030905562939413</v>
      </c>
      <c r="AI50" s="367">
        <f t="shared" si="9"/>
        <v>3</v>
      </c>
    </row>
    <row r="51" spans="1:35" s="177" customFormat="1" ht="18" customHeight="1">
      <c r="A51" s="166" t="str">
        <f>IF(銘柄管理!B31&lt;&gt;"",HYPERLINK("https://kabutan.jp/stock/?code="&amp;銘柄管理!B31,"株探"),"")</f>
        <v>株探</v>
      </c>
      <c r="B51" s="167"/>
      <c r="C51" s="168">
        <f>IF(銘柄管理!B31="","",銘柄管理!B31)</f>
        <v>8309</v>
      </c>
      <c r="D51" s="106" t="str">
        <f>IF(銘柄管理!C31="","",銘柄管理!C31)</f>
        <v/>
      </c>
      <c r="E51" s="169" t="str">
        <f>IF(C51&lt;&gt;"",_xll.RssMarket(C51,"現在値"),"")</f>
        <v/>
      </c>
      <c r="F51" s="169" t="str">
        <f>IF(C51&lt;&gt;"",_xll.RssMarket(C51,"始値"),"")</f>
        <v/>
      </c>
      <c r="G51" s="168">
        <f>IF(C51&lt;&gt;"",終値!F31,"")</f>
        <v>6757</v>
      </c>
      <c r="H51" s="169" t="str">
        <f>IF(C51&lt;&gt;"",_xll.RssMarket(C51,"高値"),"")</f>
        <v/>
      </c>
      <c r="I51" s="169" t="str">
        <f>IF(C51&lt;&gt;"",_xll.RssMarket(C51,"安値"),"")</f>
        <v/>
      </c>
      <c r="J51" s="169" t="str">
        <f>IF(C51&lt;&gt;"",_xll.RssMarket(C51,"出来高"),"")</f>
        <v/>
      </c>
      <c r="K51" s="169" t="str">
        <f>IF(C51&lt;&gt;"",_xll.RssMarket(C51,"年初来高値"),"")</f>
        <v/>
      </c>
      <c r="L51" s="170" t="str">
        <f t="shared" si="0"/>
        <v/>
      </c>
      <c r="M51" s="169">
        <f>IF(C51&lt;&gt;"",IFERROR(AVERAGE(出来高!E31:I31),""),"")</f>
        <v>2207420</v>
      </c>
      <c r="N51" s="169">
        <f>IF(C51&lt;&gt;"",IFERROR(AVERAGE(出来高!E31:AC31),""),"")</f>
        <v>2816288</v>
      </c>
      <c r="O51" s="171" t="str">
        <f t="shared" si="1"/>
        <v/>
      </c>
      <c r="P51" s="166" t="str">
        <f t="shared" si="2"/>
        <v/>
      </c>
      <c r="Q51" s="166" t="str">
        <f t="shared" si="3"/>
        <v/>
      </c>
      <c r="R51" s="169" t="str">
        <f t="shared" si="10"/>
        <v/>
      </c>
      <c r="S51" s="169" t="str">
        <f t="shared" si="11"/>
        <v/>
      </c>
      <c r="T51" s="166">
        <f t="shared" si="4"/>
        <v>0</v>
      </c>
      <c r="U51" s="166" t="str">
        <f t="shared" si="12"/>
        <v>除外</v>
      </c>
      <c r="V51" s="166" t="str">
        <f t="shared" si="5"/>
        <v/>
      </c>
      <c r="W51" s="172">
        <f t="array" ref="W51">IF(C51&lt;&gt;"",IFERROR(100-100/(1+SUMPRODUCT((終値!F31:R31&gt;終値!G31:S31)*( 終値!F31:R31-終値!G31:S31))/SUMPRODUCT((終値!F31:R31&lt;終値!G31:S31)*(終値!G31:S31-終値!F31:R31))),50),"")</f>
        <v>96.642685851318944</v>
      </c>
      <c r="X51" s="173">
        <f>IF(C51&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90.749614908514559</v>
      </c>
      <c r="Y51" s="1" t="e">
        <f>IF(T51="","",IF(銘柄管理!$F$5="下落▼",IF(AND(AD51="パーフェクト▲",OR(AE51="25日線押し目●",AE51="5日線押し目○")),"★逆張り候補",IF(AND(AD51="上昇トレンド▲",OR(AE51="25日線押し目●",AE51="5日線押し目○")),"○逆張り候補",IF(W51&lt;=30,IF(Z51&gt;0,"◎反発確認",IF(Z51&lt;-5,"△要注意・様子見","△売られ過ぎ注目")),"相場下落・見送り"))),IF(AND(T51&gt;=12,AD51="パーフェクト▲"),"★強い買い",IF(AND(T51&gt;=12,AD51="上昇トレンド▲"),"★強い買い",IF(AND(T51&gt;=8,OR(AE51="25日線押し目●",AE51="5日線押し目○")),"◎押し目買い",IF(T51&gt;=10,"○買い候補",IF(T51&gt;=6,"△注目",IF(T51&gt;=3,"様子見","見送り"))))))))</f>
        <v>#VALUE!</v>
      </c>
      <c r="Z51" s="174" t="str">
        <f t="shared" si="13"/>
        <v/>
      </c>
      <c r="AA51" s="166" t="str">
        <f t="shared" si="14"/>
        <v/>
      </c>
      <c r="AB51" s="408">
        <f>IF(C51="","",IFERROR(((終値!E53*0.333)+(終値!F53*0.222)+(終値!G53*0.148)+(終値!H53*0.099)+(終値!I53*0.066)+(終値!J53*0.044)+(終値!K53*0.029)+(終値!L53*0.019)+(終値!M53*0.013)+(終値!N53*0.009))/(0.333+0.222+0.148+0.099+0.066+0.044+0.029+0.019+0.013+0.009),""))</f>
        <v>6355.7698574338074</v>
      </c>
      <c r="AC51" s="408">
        <f>IF(C51="","",IFERROR(SUMPRODUCT((終値!E53:AC53),({0.077,0.071,0.065,0.06,0.055,0.051,0.047,0.043,0.039,0.036,0.033,0.031,0.028,0.026,0.024,0.022,0.02,0.018,0.017,0.016,0.014,0.013,0.012,0.011,0.01}))/SUM({0.077,0.071,0.065,0.06,0.055,0.051,0.047,0.043,0.039,0.036,0.033,0.031,0.028,0.026,0.024,0.022,0.02,0.018,0.017,0.016,0.014,0.013,0.012,0.011,0.01}),""))</f>
        <v>6712.7437425506523</v>
      </c>
      <c r="AD51" s="409" t="str">
        <f t="shared" si="15"/>
        <v>上昇トレンド▲</v>
      </c>
      <c r="AE51" s="409" t="e">
        <f t="shared" si="16"/>
        <v>#VALUE!</v>
      </c>
      <c r="AF51" s="368">
        <f t="array" ref="AF51">IF(C51="","",IFERROR((INDEX(終値!$E:$E,MATCH(TEXT(C51,"0"),終値!$A:$A,0))-INDEX(終値!$E:$CZ,MATCH(TEXT(C51,"0"),終値!$A:$A,0),$AL$2))/INDEX(終値!$E:$CZ,MATCH(TEXT(C51,"0"),終値!$A:$A,0),$AL$2)*100,""))</f>
        <v>11.475976494987902</v>
      </c>
      <c r="AG51" s="368">
        <f t="array" ref="AG51">IFERROR((終値!$E$5-INDEX(終値!$E$5:$CZ$5,1,$AL$2))/INDEX(終値!$E$5:$CZ$5,1,$AL$2)*100,"")</f>
        <v>2.31989243802786</v>
      </c>
      <c r="AH51" s="369">
        <f t="shared" si="8"/>
        <v>9.1560840569600419</v>
      </c>
      <c r="AI51" s="367">
        <f t="shared" si="9"/>
        <v>3</v>
      </c>
    </row>
    <row r="52" spans="1:35" s="177" customFormat="1" ht="18" customHeight="1">
      <c r="A52" s="166" t="str">
        <f>IF(銘柄管理!B35&lt;&gt;"",HYPERLINK("https://kabutan.jp/stock/?code="&amp;銘柄管理!B35,"株探"),"")</f>
        <v>株探</v>
      </c>
      <c r="B52" s="167"/>
      <c r="C52" s="168">
        <f>IF(銘柄管理!B35="","",銘柄管理!B35)</f>
        <v>8308</v>
      </c>
      <c r="D52" s="106" t="str">
        <f>IF(銘柄管理!C35="","",銘柄管理!C35)</f>
        <v/>
      </c>
      <c r="E52" s="169" t="str">
        <f>IF(C52&lt;&gt;"",_xll.RssMarket(C52,"現在値"),"")</f>
        <v/>
      </c>
      <c r="F52" s="169" t="str">
        <f>IF(C52&lt;&gt;"",_xll.RssMarket(C52,"始値"),"")</f>
        <v/>
      </c>
      <c r="G52" s="168">
        <f>IF(C52&lt;&gt;"",終値!F35,"")</f>
        <v>2379.5</v>
      </c>
      <c r="H52" s="169" t="str">
        <f>IF(C52&lt;&gt;"",_xll.RssMarket(C52,"高値"),"")</f>
        <v/>
      </c>
      <c r="I52" s="169" t="str">
        <f>IF(C52&lt;&gt;"",_xll.RssMarket(C52,"安値"),"")</f>
        <v/>
      </c>
      <c r="J52" s="169" t="str">
        <f>IF(C52&lt;&gt;"",_xll.RssMarket(C52,"出来高"),"")</f>
        <v/>
      </c>
      <c r="K52" s="169" t="str">
        <f>IF(C52&lt;&gt;"",_xll.RssMarket(C52,"年初来高値"),"")</f>
        <v/>
      </c>
      <c r="L52" s="170" t="str">
        <f t="shared" si="0"/>
        <v/>
      </c>
      <c r="M52" s="169">
        <f>IF(C52&lt;&gt;"",IFERROR(AVERAGE(出来高!E35:I35),""),"")</f>
        <v>8151200</v>
      </c>
      <c r="N52" s="169">
        <f>IF(C52&lt;&gt;"",IFERROR(AVERAGE(出来高!E35:AC35),""),"")</f>
        <v>9425236</v>
      </c>
      <c r="O52" s="171" t="str">
        <f t="shared" si="1"/>
        <v/>
      </c>
      <c r="P52" s="166" t="str">
        <f t="shared" si="2"/>
        <v/>
      </c>
      <c r="Q52" s="166" t="str">
        <f t="shared" si="3"/>
        <v/>
      </c>
      <c r="R52" s="169" t="str">
        <f t="shared" si="10"/>
        <v/>
      </c>
      <c r="S52" s="169" t="str">
        <f t="shared" si="11"/>
        <v/>
      </c>
      <c r="T52" s="166">
        <f t="shared" si="4"/>
        <v>0</v>
      </c>
      <c r="U52" s="166" t="str">
        <f t="shared" si="12"/>
        <v>除外</v>
      </c>
      <c r="V52" s="166" t="str">
        <f t="shared" si="5"/>
        <v/>
      </c>
      <c r="W52" s="172">
        <f t="array" ref="W52">IF(C52&lt;&gt;"",IFERROR(100-100/(1+SUMPRODUCT((終値!F35:R35&gt;終値!G35:S35)*( 終値!F35:R35-終値!G35:S35))/SUMPRODUCT((終値!F35:R35&lt;終値!G35:S35)*(終値!G35:S35-終値!F35:R35))),50),"")</f>
        <v>90.014684287812045</v>
      </c>
      <c r="X52" s="173">
        <f>IF(C52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28.528518661514681</v>
      </c>
      <c r="Y52" s="1" t="e">
        <f>IF(T52="","",IF(銘柄管理!$F$5="下落▼",IF(AND(AD52="パーフェクト▲",OR(AE52="25日線押し目●",AE52="5日線押し目○")),"★逆張り候補",IF(AND(AD52="上昇トレンド▲",OR(AE52="25日線押し目●",AE52="5日線押し目○")),"○逆張り候補",IF(W52&lt;=30,IF(Z52&gt;0,"◎反発確認",IF(Z52&lt;-5,"△要注意・様子見","△売られ過ぎ注目")),"相場下落・見送り"))),IF(AND(T52&gt;=12,AD52="パーフェクト▲"),"★強い買い",IF(AND(T52&gt;=12,AD52="上昇トレンド▲"),"★強い買い",IF(AND(T52&gt;=8,OR(AE52="25日線押し目●",AE52="5日線押し目○")),"◎押し目買い",IF(T52&gt;=10,"○買い候補",IF(T52&gt;=6,"△注目",IF(T52&gt;=3,"様子見","見送り"))))))))</f>
        <v>#VALUE!</v>
      </c>
      <c r="Z52" s="174" t="str">
        <f t="shared" si="13"/>
        <v/>
      </c>
      <c r="AA52" s="166" t="str">
        <f t="shared" si="14"/>
        <v/>
      </c>
      <c r="AB52" s="406">
        <f>IF(C52="","",IFERROR(((終値!E54*0.333)+(終値!F54*0.222)+(終値!G54*0.148)+(終値!H54*0.099)+(終値!I54*0.066)+(終値!J54*0.044)+(終値!K54*0.029)+(終値!L54*0.019)+(終値!M54*0.013)+(終値!N54*0.009))/(0.333+0.222+0.148+0.099+0.066+0.044+0.029+0.019+0.013+0.009),""))</f>
        <v>6606.0702647657827</v>
      </c>
      <c r="AC52" s="406">
        <f>IF(C52="","",IFERROR(SUMPRODUCT((終値!E54:AC54),({0.077,0.071,0.065,0.06,0.055,0.051,0.047,0.043,0.039,0.036,0.033,0.031,0.028,0.026,0.024,0.022,0.02,0.018,0.017,0.016,0.014,0.013,0.012,0.011,0.01}))/SUM({0.077,0.071,0.065,0.06,0.055,0.051,0.047,0.043,0.039,0.036,0.033,0.031,0.028,0.026,0.024,0.022,0.02,0.018,0.017,0.016,0.014,0.013,0.012,0.011,0.01}),""))</f>
        <v>6470.0798569725839</v>
      </c>
      <c r="AD52" s="407" t="str">
        <f t="shared" si="15"/>
        <v>パーフェクト▲</v>
      </c>
      <c r="AE52" s="407" t="e">
        <f t="shared" si="16"/>
        <v>#VALUE!</v>
      </c>
      <c r="AF52" s="368">
        <f t="array" ref="AF52">IF(C52="","",IFERROR((INDEX(終値!$E:$E,MATCH(TEXT(C52,"0"),終値!$A:$A,0))-INDEX(終値!$E:$CZ,MATCH(TEXT(C52,"0"),終値!$A:$A,0),$AL$2))/INDEX(終値!$E:$CZ,MATCH(TEXT(C52,"0"),終値!$A:$A,0),$AL$2)*100,""))</f>
        <v>6.6650683289379051</v>
      </c>
      <c r="AG52" s="368">
        <f t="array" ref="AG52">IFERROR((終値!$E$5-INDEX(終値!$E$5:$CZ$5,1,$AL$2))/INDEX(終値!$E$5:$CZ$5,1,$AL$2)*100,"")</f>
        <v>2.31989243802786</v>
      </c>
      <c r="AH52" s="369">
        <f t="shared" si="8"/>
        <v>4.3451758909100455</v>
      </c>
      <c r="AI52" s="367">
        <f t="shared" si="9"/>
        <v>1</v>
      </c>
    </row>
    <row r="53" spans="1:35" s="177" customFormat="1" ht="18" customHeight="1">
      <c r="A53" s="166" t="str">
        <f>IF(銘柄管理!B45&lt;&gt;"",HYPERLINK("https://kabutan.jp/stock/?code="&amp;銘柄管理!B45,"株探"),"")</f>
        <v>株探</v>
      </c>
      <c r="B53" s="167"/>
      <c r="C53" s="168">
        <f>IF(銘柄管理!B45="","",銘柄管理!B45)</f>
        <v>8306</v>
      </c>
      <c r="D53" s="106" t="str">
        <f>IF(銘柄管理!C45="","",銘柄管理!C45)</f>
        <v/>
      </c>
      <c r="E53" s="169" t="str">
        <f>IF(C53&lt;&gt;"",_xll.RssMarket(C53,"現在値"),"")</f>
        <v/>
      </c>
      <c r="F53" s="169" t="str">
        <f>IF(C53&lt;&gt;"",_xll.RssMarket(C53,"始値"),"")</f>
        <v/>
      </c>
      <c r="G53" s="168">
        <f>IF(C53&lt;&gt;"",終値!F45,"")</f>
        <v>3697</v>
      </c>
      <c r="H53" s="169" t="str">
        <f>IF(C53&lt;&gt;"",_xll.RssMarket(C53,"高値"),"")</f>
        <v/>
      </c>
      <c r="I53" s="169" t="str">
        <f>IF(C53&lt;&gt;"",_xll.RssMarket(C53,"安値"),"")</f>
        <v/>
      </c>
      <c r="J53" s="169" t="str">
        <f>IF(C53&lt;&gt;"",_xll.RssMarket(C53,"出来高"),"")</f>
        <v/>
      </c>
      <c r="K53" s="169" t="str">
        <f>IF(C53&lt;&gt;"",_xll.RssMarket(C53,"年初来高値"),"")</f>
        <v/>
      </c>
      <c r="L53" s="170" t="str">
        <f t="shared" si="0"/>
        <v/>
      </c>
      <c r="M53" s="169">
        <f>IF(C53&lt;&gt;"",IFERROR(AVERAGE(出来高!E45:I45),""),"")</f>
        <v>48333380</v>
      </c>
      <c r="N53" s="169">
        <f>IF(C53&lt;&gt;"",IFERROR(AVERAGE(出来高!E45:AC45),""),"")</f>
        <v>37821528</v>
      </c>
      <c r="O53" s="171" t="str">
        <f t="shared" si="1"/>
        <v/>
      </c>
      <c r="P53" s="166" t="str">
        <f t="shared" si="2"/>
        <v/>
      </c>
      <c r="Q53" s="166" t="str">
        <f t="shared" si="3"/>
        <v/>
      </c>
      <c r="R53" s="169" t="str">
        <f t="shared" si="10"/>
        <v/>
      </c>
      <c r="S53" s="169" t="str">
        <f t="shared" si="11"/>
        <v/>
      </c>
      <c r="T53" s="166">
        <f t="shared" si="4"/>
        <v>0</v>
      </c>
      <c r="U53" s="166" t="str">
        <f t="shared" si="12"/>
        <v>除外</v>
      </c>
      <c r="V53" s="166" t="str">
        <f t="shared" si="5"/>
        <v/>
      </c>
      <c r="W53" s="172">
        <f t="array" ref="W53">IF(C53&lt;&gt;"",IFERROR(100-100/(1+SUMPRODUCT((終値!F45:R45&gt;終値!G45:S45)*( 終値!F45:R45-終値!G45:S45))/SUMPRODUCT((終値!F45:R45&lt;終値!G45:S45)*(終値!G45:S45-終値!F45:R45))),50),"")</f>
        <v>90.13840830449827</v>
      </c>
      <c r="X53" s="173">
        <f>IF(C53&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43.723195841411325</v>
      </c>
      <c r="Y53" s="1" t="e">
        <f>IF(T53="","",IF(銘柄管理!$F$5="下落▼",IF(AND(AD53="パーフェクト▲",OR(AE53="25日線押し目●",AE53="5日線押し目○")),"★逆張り候補",IF(AND(AD53="上昇トレンド▲",OR(AE53="25日線押し目●",AE53="5日線押し目○")),"○逆張り候補",IF(W53&lt;=30,IF(Z53&gt;0,"◎反発確認",IF(Z53&lt;-5,"△要注意・様子見","△売られ過ぎ注目")),"相場下落・見送り"))),IF(AND(T53&gt;=12,AD53="パーフェクト▲"),"★強い買い",IF(AND(T53&gt;=12,AD53="上昇トレンド▲"),"★強い買い",IF(AND(T53&gt;=8,OR(AE53="25日線押し目●",AE53="5日線押し目○")),"◎押し目買い",IF(T53&gt;=10,"○買い候補",IF(T53&gt;=6,"△注目",IF(T53&gt;=3,"様子見","見送り"))))))))</f>
        <v>#VALUE!</v>
      </c>
      <c r="Z53" s="174" t="str">
        <f t="shared" si="13"/>
        <v/>
      </c>
      <c r="AA53" s="166" t="str">
        <f t="shared" si="14"/>
        <v/>
      </c>
      <c r="AB53" s="408">
        <f>IF(C53="","",IFERROR(((終値!E55*0.333)+(終値!F55*0.222)+(終値!G55*0.148)+(終値!H55*0.099)+(終値!I55*0.066)+(終値!J55*0.044)+(終値!K55*0.029)+(終値!L55*0.019)+(終値!M55*0.013)+(終値!N55*0.009))/(0.333+0.222+0.148+0.099+0.066+0.044+0.029+0.019+0.013+0.009),""))</f>
        <v>4036.9877800407326</v>
      </c>
      <c r="AC53" s="408">
        <f>IF(C53="","",IFERROR(SUMPRODUCT((終値!E55:AC55),({0.077,0.071,0.065,0.06,0.055,0.051,0.047,0.043,0.039,0.036,0.033,0.031,0.028,0.026,0.024,0.022,0.02,0.018,0.017,0.016,0.014,0.013,0.012,0.011,0.01}))/SUM({0.077,0.071,0.065,0.06,0.055,0.051,0.047,0.043,0.039,0.036,0.033,0.031,0.028,0.026,0.024,0.022,0.02,0.018,0.017,0.016,0.014,0.013,0.012,0.011,0.01}),""))</f>
        <v>4057.0488676996411</v>
      </c>
      <c r="AD53" s="409" t="str">
        <f t="shared" si="15"/>
        <v>上昇トレンド▲</v>
      </c>
      <c r="AE53" s="409" t="e">
        <f t="shared" si="16"/>
        <v>#VALUE!</v>
      </c>
      <c r="AF53" s="368">
        <f t="array" ref="AF53">IF(C53="","",IFERROR((INDEX(終値!$E:$E,MATCH(TEXT(C53,"0"),終値!$A:$A,0))-INDEX(終値!$E:$CZ,MATCH(TEXT(C53,"0"),終値!$A:$A,0),$AL$2))/INDEX(終値!$E:$CZ,MATCH(TEXT(C53,"0"),終値!$A:$A,0),$AL$2)*100,""))</f>
        <v>9.6275252525252526</v>
      </c>
      <c r="AG53" s="368">
        <f t="array" ref="AG53">IFERROR((終値!$E$5-INDEX(終値!$E$5:$CZ$5,1,$AL$2))/INDEX(終値!$E$5:$CZ$5,1,$AL$2)*100,"")</f>
        <v>2.31989243802786</v>
      </c>
      <c r="AH53" s="369">
        <f t="shared" si="8"/>
        <v>7.3076328144973921</v>
      </c>
      <c r="AI53" s="367">
        <f t="shared" si="9"/>
        <v>3</v>
      </c>
    </row>
    <row r="54" spans="1:35" s="177" customFormat="1" ht="18" customHeight="1">
      <c r="A54" s="166" t="str">
        <f>IF(銘柄管理!B172&lt;&gt;"",HYPERLINK("https://kabutan.jp/stock/?code="&amp;銘柄管理!B172,"株探"),"")</f>
        <v>株探</v>
      </c>
      <c r="B54" s="167"/>
      <c r="C54" s="168">
        <f>IF(銘柄管理!B172="","",銘柄管理!B172)</f>
        <v>8303</v>
      </c>
      <c r="D54" s="106" t="str">
        <f>IF(銘柄管理!C172="","",銘柄管理!C172)</f>
        <v/>
      </c>
      <c r="E54" s="169" t="str">
        <f>IF(C54&lt;&gt;"",_xll.RssMarket(C54,"現在値"),"")</f>
        <v/>
      </c>
      <c r="F54" s="169" t="str">
        <f>IF(C54&lt;&gt;"",_xll.RssMarket(C54,"始値"),"")</f>
        <v/>
      </c>
      <c r="G54" s="168">
        <f>IF(C54&lt;&gt;"",終値!F172,"")</f>
        <v>1472</v>
      </c>
      <c r="H54" s="169" t="str">
        <f>IF(C54&lt;&gt;"",_xll.RssMarket(C54,"高値"),"")</f>
        <v/>
      </c>
      <c r="I54" s="169" t="str">
        <f>IF(C54&lt;&gt;"",_xll.RssMarket(C54,"安値"),"")</f>
        <v/>
      </c>
      <c r="J54" s="169" t="str">
        <f>IF(C54&lt;&gt;"",_xll.RssMarket(C54,"出来高"),"")</f>
        <v/>
      </c>
      <c r="K54" s="169" t="str">
        <f>IF(C54&lt;&gt;"",_xll.RssMarket(C54,"年初来高値"),"")</f>
        <v/>
      </c>
      <c r="L54" s="170" t="str">
        <f t="shared" si="0"/>
        <v/>
      </c>
      <c r="M54" s="169">
        <f>IF(C54&lt;&gt;"",IFERROR(AVERAGE(出来高!E172:I172),""),"")</f>
        <v>2768460</v>
      </c>
      <c r="N54" s="169">
        <f>IF(C54&lt;&gt;"",IFERROR(AVERAGE(出来高!E172:AC172),""),"")</f>
        <v>4284620</v>
      </c>
      <c r="O54" s="171" t="str">
        <f t="shared" si="1"/>
        <v/>
      </c>
      <c r="P54" s="166" t="str">
        <f t="shared" si="2"/>
        <v/>
      </c>
      <c r="Q54" s="166" t="str">
        <f t="shared" si="3"/>
        <v/>
      </c>
      <c r="R54" s="169" t="str">
        <f t="shared" si="10"/>
        <v/>
      </c>
      <c r="S54" s="169" t="str">
        <f t="shared" si="11"/>
        <v/>
      </c>
      <c r="T54" s="166">
        <f t="shared" si="4"/>
        <v>0</v>
      </c>
      <c r="U54" s="166" t="str">
        <f t="shared" si="12"/>
        <v>除外</v>
      </c>
      <c r="V54" s="166" t="str">
        <f t="shared" si="5"/>
        <v/>
      </c>
      <c r="W54" s="172">
        <f t="array" ref="W54">IF(C54&lt;&gt;"",IFERROR(100-100/(1+SUMPRODUCT((終値!F172:R172&gt;終値!G172:S172)*( 終値!F172:R172-終値!G172:S172))/SUMPRODUCT((終値!F172:R172&lt;終値!G172:S172)*(終値!G172:S172-終値!F172:R172))),50),"")</f>
        <v>64.365671641791039</v>
      </c>
      <c r="X54" s="173">
        <f>IF(C54&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3.6091779142570886</v>
      </c>
      <c r="Y54" s="1" t="e">
        <f>IF(T54="","",IF(銘柄管理!$F$5="下落▼",IF(AND(AD54="パーフェクト▲",OR(AE54="25日線押し目●",AE54="5日線押し目○")),"★逆張り候補",IF(AND(AD54="上昇トレンド▲",OR(AE54="25日線押し目●",AE54="5日線押し目○")),"○逆張り候補",IF(W54&lt;=30,IF(Z54&gt;0,"◎反発確認",IF(Z54&lt;-5,"△要注意・様子見","△売られ過ぎ注目")),"相場下落・見送り"))),IF(AND(T54&gt;=12,AD54="パーフェクト▲"),"★強い買い",IF(AND(T54&gt;=12,AD54="上昇トレンド▲"),"★強い買い",IF(AND(T54&gt;=8,OR(AE54="25日線押し目●",AE54="5日線押し目○")),"◎押し目買い",IF(T54&gt;=10,"○買い候補",IF(T54&gt;=6,"△注目",IF(T54&gt;=3,"様子見","見送り"))))))))</f>
        <v>#VALUE!</v>
      </c>
      <c r="Z54" s="174" t="str">
        <f t="shared" si="13"/>
        <v/>
      </c>
      <c r="AA54" s="166" t="str">
        <f t="shared" si="14"/>
        <v/>
      </c>
      <c r="AB54" s="406">
        <f>IF(C54="","",IFERROR(((終値!E56*0.333)+(終値!F56*0.222)+(終値!G56*0.148)+(終値!H56*0.099)+(終値!I56*0.066)+(終値!J56*0.044)+(終値!K56*0.029)+(終値!L56*0.019)+(終値!M56*0.013)+(終値!N56*0.009))/(0.333+0.222+0.148+0.099+0.066+0.044+0.029+0.019+0.013+0.009),""))</f>
        <v>2420.289205702647</v>
      </c>
      <c r="AC54" s="406">
        <f>IF(C54="","",IFERROR(SUMPRODUCT((終値!E56:AC56),({0.077,0.071,0.065,0.06,0.055,0.051,0.047,0.043,0.039,0.036,0.033,0.031,0.028,0.026,0.024,0.022,0.02,0.018,0.017,0.016,0.014,0.013,0.012,0.011,0.01}))/SUM({0.077,0.071,0.065,0.06,0.055,0.051,0.047,0.043,0.039,0.036,0.033,0.031,0.028,0.026,0.024,0.022,0.02,0.018,0.017,0.016,0.014,0.013,0.012,0.011,0.01}),""))</f>
        <v>2642.5935637663874</v>
      </c>
      <c r="AD54" s="407" t="str">
        <f t="shared" si="15"/>
        <v>上昇トレンド▲</v>
      </c>
      <c r="AE54" s="407" t="e">
        <f t="shared" si="16"/>
        <v>#VALUE!</v>
      </c>
      <c r="AF54" s="368">
        <f t="array" ref="AF54">IF(C54="","",IFERROR((INDEX(終値!$E:$E,MATCH(TEXT(C54,"0"),終値!$A:$A,0))-INDEX(終値!$E:$CZ,MATCH(TEXT(C54,"0"),終値!$A:$A,0),$AL$2))/INDEX(終値!$E:$CZ,MATCH(TEXT(C54,"0"),終値!$A:$A,0),$AL$2)*100,""))</f>
        <v>1.1490125673249552</v>
      </c>
      <c r="AG54" s="368">
        <f t="array" ref="AG54">IFERROR((終値!$E$5-INDEX(終値!$E$5:$CZ$5,1,$AL$2))/INDEX(終値!$E$5:$CZ$5,1,$AL$2)*100,"")</f>
        <v>2.31989243802786</v>
      </c>
      <c r="AH54" s="369">
        <f t="shared" si="8"/>
        <v>-1.1708798707029049</v>
      </c>
      <c r="AI54" s="367">
        <f t="shared" si="9"/>
        <v>-1</v>
      </c>
    </row>
    <row r="55" spans="1:35" s="177" customFormat="1" ht="18" customHeight="1">
      <c r="A55" s="166" t="str">
        <f>IF(銘柄管理!B63&lt;&gt;"",HYPERLINK("https://kabutan.jp/stock/?code="&amp;銘柄管理!B63,"株探"),"")</f>
        <v>株探</v>
      </c>
      <c r="B55" s="167"/>
      <c r="C55" s="168">
        <f>IF(銘柄管理!B63="","",銘柄管理!B63)</f>
        <v>8281</v>
      </c>
      <c r="D55" s="106" t="str">
        <f>IF(銘柄管理!C63="","",銘柄管理!C63)</f>
        <v/>
      </c>
      <c r="E55" s="169" t="str">
        <f>IF(C55&lt;&gt;"",_xll.RssMarket(C55,"現在値"),"")</f>
        <v/>
      </c>
      <c r="F55" s="169" t="str">
        <f>IF(C55&lt;&gt;"",_xll.RssMarket(C55,"始値"),"")</f>
        <v/>
      </c>
      <c r="G55" s="168">
        <f>IF(C55&lt;&gt;"",終値!F63,"")</f>
        <v>1095</v>
      </c>
      <c r="H55" s="169" t="str">
        <f>IF(C55&lt;&gt;"",_xll.RssMarket(C55,"高値"),"")</f>
        <v/>
      </c>
      <c r="I55" s="169" t="str">
        <f>IF(C55&lt;&gt;"",_xll.RssMarket(C55,"安値"),"")</f>
        <v/>
      </c>
      <c r="J55" s="169" t="str">
        <f>IF(C55&lt;&gt;"",_xll.RssMarket(C55,"出来高"),"")</f>
        <v/>
      </c>
      <c r="K55" s="169" t="str">
        <f>IF(C55&lt;&gt;"",_xll.RssMarket(C55,"年初来高値"),"")</f>
        <v/>
      </c>
      <c r="L55" s="170" t="str">
        <f t="shared" si="0"/>
        <v/>
      </c>
      <c r="M55" s="169">
        <f>IF(C55&lt;&gt;"",IFERROR(AVERAGE(出来高!E63:I63),""),"")</f>
        <v>78300</v>
      </c>
      <c r="N55" s="169">
        <f>IF(C55&lt;&gt;"",IFERROR(AVERAGE(出来高!E63:AC63),""),"")</f>
        <v>88604</v>
      </c>
      <c r="O55" s="171" t="str">
        <f t="shared" si="1"/>
        <v/>
      </c>
      <c r="P55" s="166" t="str">
        <f t="shared" si="2"/>
        <v/>
      </c>
      <c r="Q55" s="166" t="str">
        <f t="shared" si="3"/>
        <v/>
      </c>
      <c r="R55" s="169" t="str">
        <f t="shared" si="10"/>
        <v/>
      </c>
      <c r="S55" s="169" t="str">
        <f t="shared" si="11"/>
        <v/>
      </c>
      <c r="T55" s="166">
        <f t="shared" si="4"/>
        <v>0</v>
      </c>
      <c r="U55" s="166" t="str">
        <f t="shared" si="12"/>
        <v>除外</v>
      </c>
      <c r="V55" s="166" t="str">
        <f t="shared" si="5"/>
        <v/>
      </c>
      <c r="W55" s="172">
        <f t="array" ref="W55">IF(C55&lt;&gt;"",IFERROR(100-100/(1+SUMPRODUCT((終値!F63:R63&gt;終値!G63:S63)*( 終値!F63:R63-終値!G63:S63))/SUMPRODUCT((終値!F63:R63&lt;終値!G63:S63)*(終値!G63:S63-終値!F63:R63))),50),"")</f>
        <v>71.140939597315437</v>
      </c>
      <c r="X55" s="173">
        <f>IF(C55&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7.7077862115361313</v>
      </c>
      <c r="Y55" s="1" t="e">
        <f>IF(T55="","",IF(銘柄管理!$F$5="下落▼",IF(AND(AD55="パーフェクト▲",OR(AE55="25日線押し目●",AE55="5日線押し目○")),"★逆張り候補",IF(AND(AD55="上昇トレンド▲",OR(AE55="25日線押し目●",AE55="5日線押し目○")),"○逆張り候補",IF(W55&lt;=30,IF(Z55&gt;0,"◎反発確認",IF(Z55&lt;-5,"△要注意・様子見","△売られ過ぎ注目")),"相場下落・見送り"))),IF(AND(T55&gt;=12,AD55="パーフェクト▲"),"★強い買い",IF(AND(T55&gt;=12,AD55="上昇トレンド▲"),"★強い買い",IF(AND(T55&gt;=8,OR(AE55="25日線押し目●",AE55="5日線押し目○")),"◎押し目買い",IF(T55&gt;=10,"○買い候補",IF(T55&gt;=6,"△注目",IF(T55&gt;=3,"様子見","見送り"))))))))</f>
        <v>#VALUE!</v>
      </c>
      <c r="Z55" s="174" t="str">
        <f t="shared" si="13"/>
        <v/>
      </c>
      <c r="AA55" s="166" t="str">
        <f t="shared" si="14"/>
        <v/>
      </c>
      <c r="AB55" s="408">
        <f>IF(C55="","",IFERROR(((終値!E57*0.333)+(終値!F57*0.222)+(終値!G57*0.148)+(終値!H57*0.099)+(終値!I57*0.066)+(終値!J57*0.044)+(終値!K57*0.029)+(終値!L57*0.019)+(終値!M57*0.013)+(終値!N57*0.009))/(0.333+0.222+0.148+0.099+0.066+0.044+0.029+0.019+0.013+0.009),""))</f>
        <v>1555.5417515274949</v>
      </c>
      <c r="AC55" s="408">
        <f>IF(C55="","",IFERROR(SUMPRODUCT((終値!E57:AC57),({0.077,0.071,0.065,0.06,0.055,0.051,0.047,0.043,0.039,0.036,0.033,0.031,0.028,0.026,0.024,0.022,0.02,0.018,0.017,0.016,0.014,0.013,0.012,0.011,0.01}))/SUM({0.077,0.071,0.065,0.06,0.055,0.051,0.047,0.043,0.039,0.036,0.033,0.031,0.028,0.026,0.024,0.022,0.02,0.018,0.017,0.016,0.014,0.013,0.012,0.011,0.01}),""))</f>
        <v>1589.4707985697253</v>
      </c>
      <c r="AD55" s="409" t="str">
        <f t="shared" si="15"/>
        <v>上昇トレンド▲</v>
      </c>
      <c r="AE55" s="409" t="e">
        <f t="shared" si="16"/>
        <v>#VALUE!</v>
      </c>
      <c r="AF55" s="368">
        <f t="array" ref="AF55">IF(C55="","",IFERROR((INDEX(終値!$E:$E,MATCH(TEXT(C55,"0"),終値!$A:$A,0))-INDEX(終値!$E:$CZ,MATCH(TEXT(C55,"0"),終値!$A:$A,0),$AL$2))/INDEX(終値!$E:$CZ,MATCH(TEXT(C55,"0"),終値!$A:$A,0),$AL$2)*100,""))</f>
        <v>8.2444228903976722</v>
      </c>
      <c r="AG55" s="368">
        <f t="array" ref="AG55">IFERROR((終値!$E$5-INDEX(終値!$E$5:$CZ$5,1,$AL$2))/INDEX(終値!$E$5:$CZ$5,1,$AL$2)*100,"")</f>
        <v>2.31989243802786</v>
      </c>
      <c r="AH55" s="369">
        <f t="shared" si="8"/>
        <v>5.9245304523698117</v>
      </c>
      <c r="AI55" s="367">
        <f t="shared" si="9"/>
        <v>3</v>
      </c>
    </row>
    <row r="56" spans="1:35" s="177" customFormat="1" ht="18" customHeight="1">
      <c r="A56" s="166" t="str">
        <f>IF(銘柄管理!B169&lt;&gt;"",HYPERLINK("https://kabutan.jp/stock/?code="&amp;銘柄管理!B169,"株探"),"")</f>
        <v>株探</v>
      </c>
      <c r="B56" s="167"/>
      <c r="C56" s="168">
        <f>IF(銘柄管理!B169="","",銘柄管理!B169)</f>
        <v>8103</v>
      </c>
      <c r="D56" s="106" t="str">
        <f>IF(銘柄管理!C169="","",銘柄管理!C169)</f>
        <v/>
      </c>
      <c r="E56" s="169" t="str">
        <f>IF(C56&lt;&gt;"",_xll.RssMarket(C56,"現在値"),"")</f>
        <v/>
      </c>
      <c r="F56" s="169" t="str">
        <f>IF(C56&lt;&gt;"",_xll.RssMarket(C56,"始値"),"")</f>
        <v/>
      </c>
      <c r="G56" s="168">
        <f>IF(C56&lt;&gt;"",終値!F169,"")</f>
        <v>917</v>
      </c>
      <c r="H56" s="169" t="str">
        <f>IF(C56&lt;&gt;"",_xll.RssMarket(C56,"高値"),"")</f>
        <v/>
      </c>
      <c r="I56" s="169" t="str">
        <f>IF(C56&lt;&gt;"",_xll.RssMarket(C56,"安値"),"")</f>
        <v/>
      </c>
      <c r="J56" s="169" t="str">
        <f>IF(C56&lt;&gt;"",_xll.RssMarket(C56,"出来高"),"")</f>
        <v/>
      </c>
      <c r="K56" s="169" t="str">
        <f>IF(C56&lt;&gt;"",_xll.RssMarket(C56,"年初来高値"),"")</f>
        <v/>
      </c>
      <c r="L56" s="170" t="str">
        <f t="shared" si="0"/>
        <v/>
      </c>
      <c r="M56" s="169">
        <f>IF(C56&lt;&gt;"",IFERROR(AVERAGE(出来高!E169:I169),""),"")</f>
        <v>169880</v>
      </c>
      <c r="N56" s="169">
        <f>IF(C56&lt;&gt;"",IFERROR(AVERAGE(出来高!E169:AC169),""),"")</f>
        <v>183172</v>
      </c>
      <c r="O56" s="171" t="str">
        <f t="shared" si="1"/>
        <v/>
      </c>
      <c r="P56" s="166" t="str">
        <f t="shared" si="2"/>
        <v/>
      </c>
      <c r="Q56" s="166" t="str">
        <f t="shared" si="3"/>
        <v/>
      </c>
      <c r="R56" s="169" t="str">
        <f t="shared" si="10"/>
        <v/>
      </c>
      <c r="S56" s="169" t="str">
        <f t="shared" si="11"/>
        <v/>
      </c>
      <c r="T56" s="166">
        <f t="shared" si="4"/>
        <v>0</v>
      </c>
      <c r="U56" s="166" t="str">
        <f t="shared" si="12"/>
        <v>除外</v>
      </c>
      <c r="V56" s="166" t="str">
        <f t="shared" si="5"/>
        <v/>
      </c>
      <c r="W56" s="172">
        <f t="array" ref="W56">IF(C56&lt;&gt;"",IFERROR(100-100/(1+SUMPRODUCT((終値!F169:R169&gt;終値!G169:S169)*( 終値!F169:R169-終値!G169:S169))/SUMPRODUCT((終値!F169:R169&lt;終値!G169:S169)*(終値!G169:S169-終値!F169:R169))),50),"")</f>
        <v>76.923076923076934</v>
      </c>
      <c r="X56" s="173">
        <f>IF(C56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5.686195216507258</v>
      </c>
      <c r="Y56" s="1" t="e">
        <f>IF(T56="","",IF(銘柄管理!$F$5="下落▼",IF(AND(AD56="パーフェクト▲",OR(AE56="25日線押し目●",AE56="5日線押し目○")),"★逆張り候補",IF(AND(AD56="上昇トレンド▲",OR(AE56="25日線押し目●",AE56="5日線押し目○")),"○逆張り候補",IF(W56&lt;=30,IF(Z56&gt;0,"◎反発確認",IF(Z56&lt;-5,"△要注意・様子見","△売られ過ぎ注目")),"相場下落・見送り"))),IF(AND(T56&gt;=12,AD56="パーフェクト▲"),"★強い買い",IF(AND(T56&gt;=12,AD56="上昇トレンド▲"),"★強い買い",IF(AND(T56&gt;=8,OR(AE56="25日線押し目●",AE56="5日線押し目○")),"◎押し目買い",IF(T56&gt;=10,"○買い候補",IF(T56&gt;=6,"△注目",IF(T56&gt;=3,"様子見","見送り"))))))))</f>
        <v>#VALUE!</v>
      </c>
      <c r="Z56" s="174" t="str">
        <f t="shared" si="13"/>
        <v/>
      </c>
      <c r="AA56" s="166" t="str">
        <f t="shared" si="14"/>
        <v/>
      </c>
      <c r="AB56" s="406">
        <f>IF(C56="","",IFERROR(((終値!E58*0.333)+(終値!F58*0.222)+(終値!G58*0.148)+(終値!H58*0.099)+(終値!I58*0.066)+(終値!J58*0.044)+(終値!K58*0.029)+(終値!L58*0.019)+(終値!M58*0.013)+(終値!N58*0.009))/(0.333+0.222+0.148+0.099+0.066+0.044+0.029+0.019+0.013+0.009),""))</f>
        <v>4108.5346232179227</v>
      </c>
      <c r="AC56" s="406">
        <f>IF(C56="","",IFERROR(SUMPRODUCT((終値!E58:AC58),({0.077,0.071,0.065,0.06,0.055,0.051,0.047,0.043,0.039,0.036,0.033,0.031,0.028,0.026,0.024,0.022,0.02,0.018,0.017,0.016,0.014,0.013,0.012,0.011,0.01}))/SUM({0.077,0.071,0.065,0.06,0.055,0.051,0.047,0.043,0.039,0.036,0.033,0.031,0.028,0.026,0.024,0.022,0.02,0.018,0.017,0.016,0.014,0.013,0.012,0.011,0.01}),""))</f>
        <v>4042.1573301549452</v>
      </c>
      <c r="AD56" s="407" t="str">
        <f t="shared" si="15"/>
        <v>パーフェクト▲</v>
      </c>
      <c r="AE56" s="407" t="e">
        <f t="shared" si="16"/>
        <v>#VALUE!</v>
      </c>
      <c r="AF56" s="368">
        <f t="array" ref="AF56">IF(C56="","",IFERROR((INDEX(終値!$E:$E,MATCH(TEXT(C56,"0"),終値!$A:$A,0))-INDEX(終値!$E:$CZ,MATCH(TEXT(C56,"0"),終値!$A:$A,0),$AL$2))/INDEX(終値!$E:$CZ,MATCH(TEXT(C56,"0"),終値!$A:$A,0),$AL$2)*100,""))</f>
        <v>1.8202502844141069</v>
      </c>
      <c r="AG56" s="368">
        <f t="array" ref="AG56">IFERROR((終値!$E$5-INDEX(終値!$E$5:$CZ$5,1,$AL$2))/INDEX(終値!$E$5:$CZ$5,1,$AL$2)*100,"")</f>
        <v>2.31989243802786</v>
      </c>
      <c r="AH56" s="369">
        <f t="shared" si="8"/>
        <v>-0.49964215361375319</v>
      </c>
      <c r="AI56" s="367">
        <f t="shared" si="9"/>
        <v>-1</v>
      </c>
    </row>
    <row r="57" spans="1:35" s="177" customFormat="1" ht="18" customHeight="1">
      <c r="A57" s="166" t="str">
        <f>IF(銘柄管理!B182&lt;&gt;"",HYPERLINK("https://kabutan.jp/stock/?code="&amp;銘柄管理!B182,"株探"),"")</f>
        <v>株探</v>
      </c>
      <c r="B57" s="167"/>
      <c r="C57" s="168">
        <f>IF(銘柄管理!B182="","",銘柄管理!B182)</f>
        <v>8091</v>
      </c>
      <c r="D57" s="106" t="str">
        <f>IF(銘柄管理!C182="","",銘柄管理!C182)</f>
        <v/>
      </c>
      <c r="E57" s="169" t="str">
        <f>IF(C57&lt;&gt;"",_xll.RssMarket(C57,"現在値"),"")</f>
        <v/>
      </c>
      <c r="F57" s="169" t="str">
        <f>IF(C57&lt;&gt;"",_xll.RssMarket(C57,"始値"),"")</f>
        <v/>
      </c>
      <c r="G57" s="168">
        <f>IF(C57&lt;&gt;"",終値!F182,"")</f>
        <v>2323</v>
      </c>
      <c r="H57" s="169" t="str">
        <f>IF(C57&lt;&gt;"",_xll.RssMarket(C57,"高値"),"")</f>
        <v/>
      </c>
      <c r="I57" s="169" t="str">
        <f>IF(C57&lt;&gt;"",_xll.RssMarket(C57,"安値"),"")</f>
        <v/>
      </c>
      <c r="J57" s="169" t="str">
        <f>IF(C57&lt;&gt;"",_xll.RssMarket(C57,"出来高"),"")</f>
        <v/>
      </c>
      <c r="K57" s="169" t="str">
        <f>IF(C57&lt;&gt;"",_xll.RssMarket(C57,"年初来高値"),"")</f>
        <v/>
      </c>
      <c r="L57" s="170" t="str">
        <f t="shared" si="0"/>
        <v/>
      </c>
      <c r="M57" s="169">
        <f>IF(C57&lt;&gt;"",IFERROR(AVERAGE(出来高!E182:I182),""),"")</f>
        <v>14520</v>
      </c>
      <c r="N57" s="169">
        <f>IF(C57&lt;&gt;"",IFERROR(AVERAGE(出来高!E182:AC182),""),"")</f>
        <v>17008</v>
      </c>
      <c r="O57" s="171" t="str">
        <f t="shared" si="1"/>
        <v/>
      </c>
      <c r="P57" s="166" t="str">
        <f t="shared" si="2"/>
        <v/>
      </c>
      <c r="Q57" s="166" t="str">
        <f t="shared" si="3"/>
        <v/>
      </c>
      <c r="R57" s="169" t="str">
        <f t="shared" si="10"/>
        <v/>
      </c>
      <c r="S57" s="169" t="str">
        <f t="shared" si="11"/>
        <v/>
      </c>
      <c r="T57" s="166">
        <f t="shared" si="4"/>
        <v>0</v>
      </c>
      <c r="U57" s="166" t="str">
        <f t="shared" si="12"/>
        <v>除外</v>
      </c>
      <c r="V57" s="166" t="str">
        <f t="shared" si="5"/>
        <v/>
      </c>
      <c r="W57" s="172">
        <f t="array" ref="W57">IF(C57&lt;&gt;"",IFERROR(100-100/(1+SUMPRODUCT((終値!F182:R182&gt;終値!G182:S182)*( 終値!F182:R182-終値!G182:S182))/SUMPRODUCT((終値!F182:R182&lt;終値!G182:S182)*(終値!G182:S182-終値!F182:R182))),50),"")</f>
        <v>57.615894039735096</v>
      </c>
      <c r="X57" s="173">
        <f>IF(C57&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7.0013194607531659</v>
      </c>
      <c r="Y57" s="1" t="e">
        <f>IF(T57="","",IF(銘柄管理!$F$5="下落▼",IF(AND(AD57="パーフェクト▲",OR(AE57="25日線押し目●",AE57="5日線押し目○")),"★逆張り候補",IF(AND(AD57="上昇トレンド▲",OR(AE57="25日線押し目●",AE57="5日線押し目○")),"○逆張り候補",IF(W57&lt;=30,IF(Z57&gt;0,"◎反発確認",IF(Z57&lt;-5,"△要注意・様子見","△売られ過ぎ注目")),"相場下落・見送り"))),IF(AND(T57&gt;=12,AD57="パーフェクト▲"),"★強い買い",IF(AND(T57&gt;=12,AD57="上昇トレンド▲"),"★強い買い",IF(AND(T57&gt;=8,OR(AE57="25日線押し目●",AE57="5日線押し目○")),"◎押し目買い",IF(T57&gt;=10,"○買い候補",IF(T57&gt;=6,"△注目",IF(T57&gt;=3,"様子見","見送り"))))))))</f>
        <v>#VALUE!</v>
      </c>
      <c r="Z57" s="174" t="str">
        <f t="shared" si="13"/>
        <v/>
      </c>
      <c r="AA57" s="166" t="str">
        <f t="shared" si="14"/>
        <v/>
      </c>
      <c r="AB57" s="408">
        <f>IF(C57="","",IFERROR(((終値!E59*0.333)+(終値!F59*0.222)+(終値!G59*0.148)+(終値!H59*0.099)+(終値!I59*0.066)+(終値!J59*0.044)+(終値!K59*0.029)+(終値!L59*0.019)+(終値!M59*0.013)+(終値!N59*0.009))/(0.333+0.222+0.148+0.099+0.066+0.044+0.029+0.019+0.013+0.009),""))</f>
        <v>2568.0957230142562</v>
      </c>
      <c r="AC57" s="408">
        <f>IF(C57="","",IFERROR(SUMPRODUCT((終値!E59:AC59),({0.077,0.071,0.065,0.06,0.055,0.051,0.047,0.043,0.039,0.036,0.033,0.031,0.028,0.026,0.024,0.022,0.02,0.018,0.017,0.016,0.014,0.013,0.012,0.011,0.01}))/SUM({0.077,0.071,0.065,0.06,0.055,0.051,0.047,0.043,0.039,0.036,0.033,0.031,0.028,0.026,0.024,0.022,0.02,0.018,0.017,0.016,0.014,0.013,0.012,0.011,0.01}),""))</f>
        <v>2732.0965435041703</v>
      </c>
      <c r="AD57" s="409" t="str">
        <f t="shared" si="15"/>
        <v>上昇トレンド▲</v>
      </c>
      <c r="AE57" s="409" t="e">
        <f t="shared" si="16"/>
        <v>#VALUE!</v>
      </c>
      <c r="AF57" s="368">
        <f t="array" ref="AF57">IF(C57="","",IFERROR((INDEX(終値!$E:$E,MATCH(TEXT(C57,"0"),終値!$A:$A,0))-INDEX(終値!$E:$CZ,MATCH(TEXT(C57,"0"),終値!$A:$A,0),$AL$2))/INDEX(終値!$E:$CZ,MATCH(TEXT(C57,"0"),終値!$A:$A,0),$AL$2)*100,""))</f>
        <v>6.4827586206896548</v>
      </c>
      <c r="AG57" s="368">
        <f t="array" ref="AG57">IFERROR((終値!$E$5-INDEX(終値!$E$5:$CZ$5,1,$AL$2))/INDEX(終値!$E$5:$CZ$5,1,$AL$2)*100,"")</f>
        <v>2.31989243802786</v>
      </c>
      <c r="AH57" s="369">
        <f t="shared" si="8"/>
        <v>4.1628661826617943</v>
      </c>
      <c r="AI57" s="367">
        <f t="shared" si="9"/>
        <v>1</v>
      </c>
    </row>
    <row r="58" spans="1:35" s="177" customFormat="1" ht="18" customHeight="1">
      <c r="A58" s="166" t="str">
        <f>IF(銘柄管理!B16&lt;&gt;"",HYPERLINK("https://kabutan.jp/stock/?code="&amp;銘柄管理!B16,"株探"),"")</f>
        <v>株探</v>
      </c>
      <c r="B58" s="167"/>
      <c r="C58" s="168">
        <f>IF(銘柄管理!B16="","",銘柄管理!B16)</f>
        <v>8058</v>
      </c>
      <c r="D58" s="106" t="str">
        <f>IF(銘柄管理!C16="","",銘柄管理!C16)</f>
        <v/>
      </c>
      <c r="E58" s="169" t="str">
        <f>IF(C58&lt;&gt;"",_xll.RssMarket(C58,"現在値"),"")</f>
        <v/>
      </c>
      <c r="F58" s="169" t="str">
        <f>IF(C58&lt;&gt;"",_xll.RssMarket(C58,"始値"),"")</f>
        <v/>
      </c>
      <c r="G58" s="168">
        <f>IF(C58&lt;&gt;"",終値!F16,"")</f>
        <v>4585</v>
      </c>
      <c r="H58" s="169" t="str">
        <f>IF(C58&lt;&gt;"",_xll.RssMarket(C58,"高値"),"")</f>
        <v/>
      </c>
      <c r="I58" s="169" t="str">
        <f>IF(C58&lt;&gt;"",_xll.RssMarket(C58,"安値"),"")</f>
        <v/>
      </c>
      <c r="J58" s="169" t="str">
        <f>IF(C58&lt;&gt;"",_xll.RssMarket(C58,"出来高"),"")</f>
        <v/>
      </c>
      <c r="K58" s="169" t="str">
        <f>IF(C58&lt;&gt;"",_xll.RssMarket(C58,"年初来高値"),"")</f>
        <v/>
      </c>
      <c r="L58" s="170" t="str">
        <f t="shared" si="0"/>
        <v/>
      </c>
      <c r="M58" s="169">
        <f>IF(C58&lt;&gt;"",IFERROR(AVERAGE(出来高!E16:I16),""),"")</f>
        <v>7008040</v>
      </c>
      <c r="N58" s="169">
        <f>IF(C58&lt;&gt;"",IFERROR(AVERAGE(出来高!E16:AC16),""),"")</f>
        <v>8664516</v>
      </c>
      <c r="O58" s="171" t="str">
        <f t="shared" si="1"/>
        <v/>
      </c>
      <c r="P58" s="166" t="str">
        <f t="shared" si="2"/>
        <v/>
      </c>
      <c r="Q58" s="166" t="str">
        <f t="shared" si="3"/>
        <v/>
      </c>
      <c r="R58" s="169" t="str">
        <f t="shared" si="10"/>
        <v/>
      </c>
      <c r="S58" s="169" t="str">
        <f t="shared" si="11"/>
        <v/>
      </c>
      <c r="T58" s="166">
        <f t="shared" si="4"/>
        <v>0</v>
      </c>
      <c r="U58" s="166" t="str">
        <f t="shared" si="12"/>
        <v>除外</v>
      </c>
      <c r="V58" s="166" t="str">
        <f t="shared" si="5"/>
        <v/>
      </c>
      <c r="W58" s="172">
        <f t="array" ref="W58">IF(C58&lt;&gt;"",IFERROR(100-100/(1+SUMPRODUCT((終値!F16:R16&gt;終値!G16:S16)*( 終値!F16:R16-終値!G16:S16))/SUMPRODUCT((終値!F16:R16&lt;終値!G16:S16)*(終値!G16:S16-終値!F16:R16))),50),"")</f>
        <v>67.75431861804222</v>
      </c>
      <c r="X58" s="173">
        <f>IF(C58&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-9.0675850484967668</v>
      </c>
      <c r="Y58" s="1" t="e">
        <f>IF(T58="","",IF(銘柄管理!$F$5="下落▼",IF(AND(AD58="パーフェクト▲",OR(AE58="25日線押し目●",AE58="5日線押し目○")),"★逆張り候補",IF(AND(AD58="上昇トレンド▲",OR(AE58="25日線押し目●",AE58="5日線押し目○")),"○逆張り候補",IF(W58&lt;=30,IF(Z58&gt;0,"◎反発確認",IF(Z58&lt;-5,"△要注意・様子見","△売られ過ぎ注目")),"相場下落・見送り"))),IF(AND(T58&gt;=12,AD58="パーフェクト▲"),"★強い買い",IF(AND(T58&gt;=12,AD58="上昇トレンド▲"),"★強い買い",IF(AND(T58&gt;=8,OR(AE58="25日線押し目●",AE58="5日線押し目○")),"◎押し目買い",IF(T58&gt;=10,"○買い候補",IF(T58&gt;=6,"△注目",IF(T58&gt;=3,"様子見","見送り"))))))))</f>
        <v>#VALUE!</v>
      </c>
      <c r="Z58" s="174" t="str">
        <f t="shared" si="13"/>
        <v/>
      </c>
      <c r="AA58" s="166" t="str">
        <f t="shared" si="14"/>
        <v/>
      </c>
      <c r="AB58" s="406">
        <f>IF(C58="","",IFERROR(((終値!E60*0.333)+(終値!F60*0.222)+(終値!G60*0.148)+(終値!H60*0.099)+(終値!I60*0.066)+(終値!J60*0.044)+(終値!K60*0.029)+(終値!L60*0.019)+(終値!M60*0.013)+(終値!N60*0.009))/(0.333+0.222+0.148+0.099+0.066+0.044+0.029+0.019+0.013+0.009),""))</f>
        <v>3408.911405295315</v>
      </c>
      <c r="AC58" s="406">
        <f>IF(C58="","",IFERROR(SUMPRODUCT((終値!E60:AC60),({0.077,0.071,0.065,0.06,0.055,0.051,0.047,0.043,0.039,0.036,0.033,0.031,0.028,0.026,0.024,0.022,0.02,0.018,0.017,0.016,0.014,0.013,0.012,0.011,0.01}))/SUM({0.077,0.071,0.065,0.06,0.055,0.051,0.047,0.043,0.039,0.036,0.033,0.031,0.028,0.026,0.024,0.022,0.02,0.018,0.017,0.016,0.014,0.013,0.012,0.011,0.01}),""))</f>
        <v>3414.3373063170434</v>
      </c>
      <c r="AD58" s="407" t="str">
        <f t="shared" si="15"/>
        <v>上昇トレンド▲</v>
      </c>
      <c r="AE58" s="407" t="e">
        <f t="shared" si="16"/>
        <v>#VALUE!</v>
      </c>
      <c r="AF58" s="368">
        <f t="array" ref="AF58">IF(C58="","",IFERROR((INDEX(終値!$E:$E,MATCH(TEXT(C58,"0"),終値!$A:$A,0))-INDEX(終値!$E:$CZ,MATCH(TEXT(C58,"0"),終値!$A:$A,0),$AL$2))/INDEX(終値!$E:$CZ,MATCH(TEXT(C58,"0"),終値!$A:$A,0),$AL$2)*100,""))</f>
        <v>-7.9867577074280982</v>
      </c>
      <c r="AG58" s="368">
        <f t="array" ref="AG58">IFERROR((終値!$E$5-INDEX(終値!$E$5:$CZ$5,1,$AL$2))/INDEX(終値!$E$5:$CZ$5,1,$AL$2)*100,"")</f>
        <v>2.31989243802786</v>
      </c>
      <c r="AH58" s="369">
        <f t="shared" si="8"/>
        <v>-10.306650145455958</v>
      </c>
      <c r="AI58" s="367">
        <f t="shared" si="9"/>
        <v>-2</v>
      </c>
    </row>
    <row r="59" spans="1:35" s="177" customFormat="1" ht="18" customHeight="1">
      <c r="A59" s="166" t="str">
        <f>IF(銘柄管理!B25&lt;&gt;"",HYPERLINK("https://kabutan.jp/stock/?code="&amp;銘柄管理!B25,"株探"),"")</f>
        <v>株探</v>
      </c>
      <c r="B59" s="167"/>
      <c r="C59" s="168">
        <f>IF(銘柄管理!B25="","",銘柄管理!B25)</f>
        <v>8053</v>
      </c>
      <c r="D59" s="106" t="str">
        <f>IF(銘柄管理!C25="","",銘柄管理!C25)</f>
        <v/>
      </c>
      <c r="E59" s="169" t="str">
        <f>IF(C59&lt;&gt;"",_xll.RssMarket(C59,"現在値"),"")</f>
        <v/>
      </c>
      <c r="F59" s="169" t="str">
        <f>IF(C59&lt;&gt;"",_xll.RssMarket(C59,"始値"),"")</f>
        <v/>
      </c>
      <c r="G59" s="168">
        <f>IF(C59&lt;&gt;"",終値!F25,"")</f>
        <v>1590</v>
      </c>
      <c r="H59" s="169" t="str">
        <f>IF(C59&lt;&gt;"",_xll.RssMarket(C59,"高値"),"")</f>
        <v/>
      </c>
      <c r="I59" s="169" t="str">
        <f>IF(C59&lt;&gt;"",_xll.RssMarket(C59,"安値"),"")</f>
        <v/>
      </c>
      <c r="J59" s="169" t="str">
        <f>IF(C59&lt;&gt;"",_xll.RssMarket(C59,"出来高"),"")</f>
        <v/>
      </c>
      <c r="K59" s="169" t="str">
        <f>IF(C59&lt;&gt;"",_xll.RssMarket(C59,"年初来高値"),"")</f>
        <v/>
      </c>
      <c r="L59" s="170" t="str">
        <f t="shared" si="0"/>
        <v/>
      </c>
      <c r="M59" s="169">
        <f>IF(C59&lt;&gt;"",IFERROR(AVERAGE(出来高!E25:I25),""),"")</f>
        <v>11689620</v>
      </c>
      <c r="N59" s="169">
        <f>IF(C59&lt;&gt;"",IFERROR(AVERAGE(出来高!E25:AC25),""),"")</f>
        <v>8142032</v>
      </c>
      <c r="O59" s="171" t="str">
        <f t="shared" si="1"/>
        <v/>
      </c>
      <c r="P59" s="166" t="str">
        <f t="shared" si="2"/>
        <v/>
      </c>
      <c r="Q59" s="166" t="str">
        <f t="shared" si="3"/>
        <v/>
      </c>
      <c r="R59" s="169" t="str">
        <f t="shared" si="10"/>
        <v/>
      </c>
      <c r="S59" s="169" t="str">
        <f t="shared" si="11"/>
        <v/>
      </c>
      <c r="T59" s="166">
        <f t="shared" si="4"/>
        <v>0</v>
      </c>
      <c r="U59" s="166" t="str">
        <f t="shared" si="12"/>
        <v>除外</v>
      </c>
      <c r="V59" s="166" t="str">
        <f t="shared" si="5"/>
        <v/>
      </c>
      <c r="W59" s="172">
        <f t="array" ref="W59">IF(C59&lt;&gt;"",IFERROR(100-100/(1+SUMPRODUCT((終値!F25:R25&gt;終値!G25:S25)*( 終値!F25:R25-終値!G25:S25))/SUMPRODUCT((終値!F25:R25&lt;終値!G25:S25)*(終値!G25:S25-終値!F25:R25))),50),"")</f>
        <v>3.4606205250596673</v>
      </c>
      <c r="X59" s="173">
        <f>IF(C59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-769.86097102758572</v>
      </c>
      <c r="Y59" s="1" t="e">
        <f>IF(T59="","",IF(銘柄管理!$F$5="下落▼",IF(AND(AD59="パーフェクト▲",OR(AE59="25日線押し目●",AE59="5日線押し目○")),"★逆張り候補",IF(AND(AD59="上昇トレンド▲",OR(AE59="25日線押し目●",AE59="5日線押し目○")),"○逆張り候補",IF(W59&lt;=30,IF(Z59&gt;0,"◎反発確認",IF(Z59&lt;-5,"△要注意・様子見","△売られ過ぎ注目")),"相場下落・見送り"))),IF(AND(T59&gt;=12,AD59="パーフェクト▲"),"★強い買い",IF(AND(T59&gt;=12,AD59="上昇トレンド▲"),"★強い買い",IF(AND(T59&gt;=8,OR(AE59="25日線押し目●",AE59="5日線押し目○")),"◎押し目買い",IF(T59&gt;=10,"○買い候補",IF(T59&gt;=6,"△注目",IF(T59&gt;=3,"様子見","見送り"))))))))</f>
        <v>#VALUE!</v>
      </c>
      <c r="Z59" s="174" t="str">
        <f t="shared" si="13"/>
        <v/>
      </c>
      <c r="AA59" s="166" t="str">
        <f t="shared" si="14"/>
        <v/>
      </c>
      <c r="AB59" s="408">
        <f>IF(C59="","",IFERROR(((終値!E61*0.333)+(終値!F61*0.222)+(終値!G61*0.148)+(終値!H61*0.099)+(終値!I61*0.066)+(終値!J61*0.044)+(終値!K61*0.029)+(終値!L61*0.019)+(終値!M61*0.013)+(終値!N61*0.009))/(0.333+0.222+0.148+0.099+0.066+0.044+0.029+0.019+0.013+0.009),""))</f>
        <v>1731.4867617107941</v>
      </c>
      <c r="AC59" s="408">
        <f>IF(C59="","",IFERROR(SUMPRODUCT((終値!E61:AC61),({0.077,0.071,0.065,0.06,0.055,0.051,0.047,0.043,0.039,0.036,0.033,0.031,0.028,0.026,0.024,0.022,0.02,0.018,0.017,0.016,0.014,0.013,0.012,0.011,0.01}))/SUM({0.077,0.071,0.065,0.06,0.055,0.051,0.047,0.043,0.039,0.036,0.033,0.031,0.028,0.026,0.024,0.022,0.02,0.018,0.017,0.016,0.014,0.013,0.012,0.011,0.01}),""))</f>
        <v>1742.3593563766383</v>
      </c>
      <c r="AD59" s="409" t="str">
        <f t="shared" si="15"/>
        <v>上昇トレンド▲</v>
      </c>
      <c r="AE59" s="409" t="e">
        <f t="shared" si="16"/>
        <v>#VALUE!</v>
      </c>
      <c r="AF59" s="368">
        <f t="array" ref="AF59">IF(C59="","",IFERROR((INDEX(終値!$E:$E,MATCH(TEXT(C59,"0"),終値!$A:$A,0))-INDEX(終値!$E:$CZ,MATCH(TEXT(C59,"0"),終値!$A:$A,0),$AL$2))/INDEX(終値!$E:$CZ,MATCH(TEXT(C59,"0"),終値!$A:$A,0),$AL$2)*100,""))</f>
        <v>-77.871967261034783</v>
      </c>
      <c r="AG59" s="368">
        <f t="array" ref="AG59">IFERROR((終値!$E$5-INDEX(終値!$E$5:$CZ$5,1,$AL$2))/INDEX(終値!$E$5:$CZ$5,1,$AL$2)*100,"")</f>
        <v>2.31989243802786</v>
      </c>
      <c r="AH59" s="369">
        <f t="shared" si="8"/>
        <v>-80.191859699062647</v>
      </c>
      <c r="AI59" s="367">
        <f t="shared" si="9"/>
        <v>-2</v>
      </c>
    </row>
    <row r="60" spans="1:35" s="177" customFormat="1" ht="18" customHeight="1">
      <c r="A60" s="166" t="str">
        <f>IF(銘柄管理!B198&lt;&gt;"",HYPERLINK("https://kabutan.jp/stock/?code="&amp;銘柄管理!B198,"株探"),"")</f>
        <v>株探</v>
      </c>
      <c r="B60" s="167"/>
      <c r="C60" s="168">
        <f>IF(銘柄管理!B198="","",銘柄管理!B198)</f>
        <v>8035</v>
      </c>
      <c r="D60" s="106" t="str">
        <f>IF(銘柄管理!C198="","",銘柄管理!C198)</f>
        <v/>
      </c>
      <c r="E60" s="169" t="str">
        <f>IF(C60&lt;&gt;"",_xll.RssMarket(C60,"現在値"),"")</f>
        <v/>
      </c>
      <c r="F60" s="169" t="str">
        <f>IF(C60&lt;&gt;"",_xll.RssMarket(C60,"始値"),"")</f>
        <v/>
      </c>
      <c r="G60" s="168">
        <f>IF(C60&lt;&gt;"",終値!F198,"")</f>
        <v>74240</v>
      </c>
      <c r="H60" s="169" t="str">
        <f>IF(C60&lt;&gt;"",_xll.RssMarket(C60,"高値"),"")</f>
        <v/>
      </c>
      <c r="I60" s="169" t="str">
        <f>IF(C60&lt;&gt;"",_xll.RssMarket(C60,"安値"),"")</f>
        <v/>
      </c>
      <c r="J60" s="169" t="str">
        <f>IF(C60&lt;&gt;"",_xll.RssMarket(C60,"出来高"),"")</f>
        <v/>
      </c>
      <c r="K60" s="169" t="str">
        <f>IF(C60&lt;&gt;"",_xll.RssMarket(C60,"年初来高値"),"")</f>
        <v/>
      </c>
      <c r="L60" s="170" t="str">
        <f t="shared" si="0"/>
        <v/>
      </c>
      <c r="M60" s="169">
        <f>IF(C60&lt;&gt;"",IFERROR(AVERAGE(出来高!E198:I198),""),"")</f>
        <v>4365880</v>
      </c>
      <c r="N60" s="169">
        <f>IF(C60&lt;&gt;"",IFERROR(AVERAGE(出来高!E198:AC198),""),"")</f>
        <v>4696264</v>
      </c>
      <c r="O60" s="171" t="str">
        <f t="shared" si="1"/>
        <v/>
      </c>
      <c r="P60" s="166" t="str">
        <f t="shared" si="2"/>
        <v/>
      </c>
      <c r="Q60" s="166" t="str">
        <f t="shared" si="3"/>
        <v/>
      </c>
      <c r="R60" s="169" t="str">
        <f t="shared" si="10"/>
        <v/>
      </c>
      <c r="S60" s="169" t="str">
        <f t="shared" si="11"/>
        <v/>
      </c>
      <c r="T60" s="166">
        <f t="shared" si="4"/>
        <v>0</v>
      </c>
      <c r="U60" s="166" t="str">
        <f t="shared" si="12"/>
        <v>除外</v>
      </c>
      <c r="V60" s="166" t="str">
        <f t="shared" si="5"/>
        <v/>
      </c>
      <c r="W60" s="172">
        <f t="array" ref="W60">IF(C60&lt;&gt;"",IFERROR(100-100/(1+SUMPRODUCT((終値!F198:R198&gt;終値!G198:S198)*( 終値!F198:R198-終値!G198:S198))/SUMPRODUCT((終値!F198:R198&lt;終値!G198:S198)*(終値!G198:S198-終値!F198:R198))),50),"")</f>
        <v>48.213125406107864</v>
      </c>
      <c r="X60" s="173">
        <f>IF(C60&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-196.06024542366504</v>
      </c>
      <c r="Y60" s="1" t="e">
        <f>IF(T60="","",IF(銘柄管理!$F$5="下落▼",IF(AND(AD60="パーフェクト▲",OR(AE60="25日線押し目●",AE60="5日線押し目○")),"★逆張り候補",IF(AND(AD60="上昇トレンド▲",OR(AE60="25日線押し目●",AE60="5日線押し目○")),"○逆張り候補",IF(W60&lt;=30,IF(Z60&gt;0,"◎反発確認",IF(Z60&lt;-5,"△要注意・様子見","△売られ過ぎ注目")),"相場下落・見送り"))),IF(AND(T60&gt;=12,AD60="パーフェクト▲"),"★強い買い",IF(AND(T60&gt;=12,AD60="上昇トレンド▲"),"★強い買い",IF(AND(T60&gt;=8,OR(AE60="25日線押し目●",AE60="5日線押し目○")),"◎押し目買い",IF(T60&gt;=10,"○買い候補",IF(T60&gt;=6,"△注目",IF(T60&gt;=3,"様子見","見送り"))))))))</f>
        <v>#VALUE!</v>
      </c>
      <c r="Z60" s="174" t="str">
        <f t="shared" si="13"/>
        <v/>
      </c>
      <c r="AA60" s="166" t="str">
        <f t="shared" si="14"/>
        <v/>
      </c>
      <c r="AB60" s="406">
        <f>IF(C60="","",IFERROR(((終値!E62*0.333)+(終値!F62*0.222)+(終値!G62*0.148)+(終値!H62*0.099)+(終値!I62*0.066)+(終値!J62*0.044)+(終値!K62*0.029)+(終値!L62*0.019)+(終値!M62*0.013)+(終値!N62*0.009))/(0.333+0.222+0.148+0.099+0.066+0.044+0.029+0.019+0.013+0.009),""))</f>
        <v>2998.0631364562109</v>
      </c>
      <c r="AC60" s="406">
        <f>IF(C60="","",IFERROR(SUMPRODUCT((終値!E62:AC62),({0.077,0.071,0.065,0.06,0.055,0.051,0.047,0.043,0.039,0.036,0.033,0.031,0.028,0.026,0.024,0.022,0.02,0.018,0.017,0.016,0.014,0.013,0.012,0.011,0.01}))/SUM({0.077,0.071,0.065,0.06,0.055,0.051,0.047,0.043,0.039,0.036,0.033,0.031,0.028,0.026,0.024,0.022,0.02,0.018,0.017,0.016,0.014,0.013,0.012,0.011,0.01}),""))</f>
        <v>3015.3039332538724</v>
      </c>
      <c r="AD60" s="407" t="str">
        <f t="shared" si="15"/>
        <v>上昇トレンド▲</v>
      </c>
      <c r="AE60" s="407" t="e">
        <f t="shared" si="16"/>
        <v>#VALUE!</v>
      </c>
      <c r="AF60" s="368">
        <f t="array" ref="AF60">IF(C60="","",IFERROR((INDEX(終値!$E:$E,MATCH(TEXT(C60,"0"),終値!$A:$A,0))-INDEX(終値!$E:$CZ,MATCH(TEXT(C60,"0"),終値!$A:$A,0),$AL$2))/INDEX(終値!$E:$CZ,MATCH(TEXT(C60,"0"),終値!$A:$A,0),$AL$2)*100,""))</f>
        <v>18.320610687022899</v>
      </c>
      <c r="AG60" s="368">
        <f t="array" ref="AG60">IFERROR((終値!$E$5-INDEX(終値!$E$5:$CZ$5,1,$AL$2))/INDEX(終値!$E$5:$CZ$5,1,$AL$2)*100,"")</f>
        <v>2.31989243802786</v>
      </c>
      <c r="AH60" s="369">
        <f t="shared" si="8"/>
        <v>16.000718248995039</v>
      </c>
      <c r="AI60" s="367">
        <f t="shared" si="9"/>
        <v>3</v>
      </c>
    </row>
    <row r="61" spans="1:35" s="177" customFormat="1" ht="18" customHeight="1">
      <c r="A61" s="166" t="str">
        <f>IF(銘柄管理!B204&lt;&gt;"",HYPERLINK("https://kabutan.jp/stock/?code="&amp;銘柄管理!B204,"株探"),"")</f>
        <v>株探</v>
      </c>
      <c r="B61" s="167"/>
      <c r="C61" s="168">
        <f>IF(銘柄管理!B204="","",銘柄管理!B204)</f>
        <v>8015</v>
      </c>
      <c r="D61" s="106" t="str">
        <f>IF(銘柄管理!C204="","",銘柄管理!C204)</f>
        <v/>
      </c>
      <c r="E61" s="169" t="str">
        <f>IF(C61&lt;&gt;"",_xll.RssMarket(C61,"現在値"),"")</f>
        <v/>
      </c>
      <c r="F61" s="169" t="str">
        <f>IF(C61&lt;&gt;"",_xll.RssMarket(C61,"始値"),"")</f>
        <v/>
      </c>
      <c r="G61" s="168">
        <f>IF(C61&lt;&gt;"",終値!F204,"")</f>
        <v>6223</v>
      </c>
      <c r="H61" s="169" t="str">
        <f>IF(C61&lt;&gt;"",_xll.RssMarket(C61,"高値"),"")</f>
        <v/>
      </c>
      <c r="I61" s="169" t="str">
        <f>IF(C61&lt;&gt;"",_xll.RssMarket(C61,"安値"),"")</f>
        <v/>
      </c>
      <c r="J61" s="169" t="str">
        <f>IF(C61&lt;&gt;"",_xll.RssMarket(C61,"出来高"),"")</f>
        <v/>
      </c>
      <c r="K61" s="169" t="str">
        <f>IF(C61&lt;&gt;"",_xll.RssMarket(C61,"年初来高値"),"")</f>
        <v/>
      </c>
      <c r="L61" s="170" t="str">
        <f t="shared" si="0"/>
        <v/>
      </c>
      <c r="M61" s="169">
        <f>IF(C61&lt;&gt;"",IFERROR(AVERAGE(出来高!E204:I204),""),"")</f>
        <v>2215320</v>
      </c>
      <c r="N61" s="169">
        <f>IF(C61&lt;&gt;"",IFERROR(AVERAGE(出来高!E204:AC204),""),"")</f>
        <v>2190424</v>
      </c>
      <c r="O61" s="171" t="str">
        <f t="shared" si="1"/>
        <v/>
      </c>
      <c r="P61" s="166" t="str">
        <f t="shared" si="2"/>
        <v/>
      </c>
      <c r="Q61" s="166" t="str">
        <f t="shared" si="3"/>
        <v/>
      </c>
      <c r="R61" s="169" t="str">
        <f t="shared" si="10"/>
        <v/>
      </c>
      <c r="S61" s="169" t="str">
        <f t="shared" si="11"/>
        <v/>
      </c>
      <c r="T61" s="166">
        <f t="shared" si="4"/>
        <v>0</v>
      </c>
      <c r="U61" s="166" t="str">
        <f t="shared" si="12"/>
        <v>除外</v>
      </c>
      <c r="V61" s="166" t="str">
        <f t="shared" si="5"/>
        <v/>
      </c>
      <c r="W61" s="172">
        <f t="array" ref="W61">IF(C61&lt;&gt;"",IFERROR(100-100/(1+SUMPRODUCT((終値!F204:R204&gt;終値!G204:S204)*( 終値!F204:R204-終値!G204:S204))/SUMPRODUCT((終値!F204:R204&lt;終値!G204:S204)*(終値!G204:S204-終値!F204:R204))),50),"")</f>
        <v>63.748458692971639</v>
      </c>
      <c r="X61" s="173">
        <f>IF(C61&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2.6023029864018099</v>
      </c>
      <c r="Y61" s="1" t="e">
        <f>IF(T61="","",IF(銘柄管理!$F$5="下落▼",IF(AND(AD61="パーフェクト▲",OR(AE61="25日線押し目●",AE61="5日線押し目○")),"★逆張り候補",IF(AND(AD61="上昇トレンド▲",OR(AE61="25日線押し目●",AE61="5日線押し目○")),"○逆張り候補",IF(W61&lt;=30,IF(Z61&gt;0,"◎反発確認",IF(Z61&lt;-5,"△要注意・様子見","△売られ過ぎ注目")),"相場下落・見送り"))),IF(AND(T61&gt;=12,AD61="パーフェクト▲"),"★強い買い",IF(AND(T61&gt;=12,AD61="上昇トレンド▲"),"★強い買い",IF(AND(T61&gt;=8,OR(AE61="25日線押し目●",AE61="5日線押し目○")),"◎押し目買い",IF(T61&gt;=10,"○買い候補",IF(T61&gt;=6,"△注目",IF(T61&gt;=3,"様子見","見送り"))))))))</f>
        <v>#VALUE!</v>
      </c>
      <c r="Z61" s="174" t="str">
        <f t="shared" si="13"/>
        <v/>
      </c>
      <c r="AA61" s="166" t="str">
        <f t="shared" si="14"/>
        <v/>
      </c>
      <c r="AB61" s="408">
        <f>IF(C61="","",IFERROR(((終値!E63*0.333)+(終値!F63*0.222)+(終値!G63*0.148)+(終値!H63*0.099)+(終値!I63*0.066)+(終値!J63*0.044)+(終値!K63*0.029)+(終値!L63*0.019)+(終値!M63*0.013)+(終値!N63*0.009))/(0.333+0.222+0.148+0.099+0.066+0.044+0.029+0.019+0.013+0.009),""))</f>
        <v>1099.4989816700609</v>
      </c>
      <c r="AC61" s="408">
        <f>IF(C61="","",IFERROR(SUMPRODUCT((終値!E63:AC63),({0.077,0.071,0.065,0.06,0.055,0.051,0.047,0.043,0.039,0.036,0.033,0.031,0.028,0.026,0.024,0.022,0.02,0.018,0.017,0.016,0.014,0.013,0.012,0.011,0.01}))/SUM({0.077,0.071,0.065,0.06,0.055,0.051,0.047,0.043,0.039,0.036,0.033,0.031,0.028,0.026,0.024,0.022,0.02,0.018,0.017,0.016,0.014,0.013,0.012,0.011,0.01}),""))</f>
        <v>1076.5148986889151</v>
      </c>
      <c r="AD61" s="409" t="str">
        <f t="shared" si="15"/>
        <v>パーフェクト▲</v>
      </c>
      <c r="AE61" s="409" t="e">
        <f t="shared" si="16"/>
        <v>#VALUE!</v>
      </c>
      <c r="AF61" s="368">
        <f t="array" ref="AF61">IF(C61="","",IFERROR((INDEX(終値!$E:$E,MATCH(TEXT(C61,"0"),終値!$A:$A,0))-INDEX(終値!$E:$CZ,MATCH(TEXT(C61,"0"),終値!$A:$A,0),$AL$2))/INDEX(終値!$E:$CZ,MATCH(TEXT(C61,"0"),終値!$A:$A,0),$AL$2)*100,""))</f>
        <v>-1.4436334144363341</v>
      </c>
      <c r="AG61" s="368">
        <f t="array" ref="AG61">IFERROR((終値!$E$5-INDEX(終値!$E$5:$CZ$5,1,$AL$2))/INDEX(終値!$E$5:$CZ$5,1,$AL$2)*100,"")</f>
        <v>2.31989243802786</v>
      </c>
      <c r="AH61" s="369">
        <f t="shared" si="8"/>
        <v>-3.7635258524641939</v>
      </c>
      <c r="AI61" s="367">
        <f t="shared" si="9"/>
        <v>-2</v>
      </c>
    </row>
    <row r="62" spans="1:35" s="177" customFormat="1" ht="18" customHeight="1">
      <c r="A62" s="166" t="str">
        <f>IF(銘柄管理!B14&lt;&gt;"",HYPERLINK("https://kabutan.jp/stock/?code="&amp;銘柄管理!B14,"株探"),"")</f>
        <v>株探</v>
      </c>
      <c r="B62" s="167"/>
      <c r="C62" s="168">
        <f>IF(銘柄管理!B14="","",銘柄管理!B14)</f>
        <v>8002</v>
      </c>
      <c r="D62" s="106" t="str">
        <f>IF(銘柄管理!C14="","",銘柄管理!C14)</f>
        <v/>
      </c>
      <c r="E62" s="169" t="str">
        <f>IF(C62&lt;&gt;"",_xll.RssMarket(C62,"現在値"),"")</f>
        <v/>
      </c>
      <c r="F62" s="169" t="str">
        <f>IF(C62&lt;&gt;"",_xll.RssMarket(C62,"始値"),"")</f>
        <v/>
      </c>
      <c r="G62" s="168">
        <f>IF(C62&lt;&gt;"",終値!F14,"")</f>
        <v>5110</v>
      </c>
      <c r="H62" s="169" t="str">
        <f>IF(C62&lt;&gt;"",_xll.RssMarket(C62,"高値"),"")</f>
        <v/>
      </c>
      <c r="I62" s="169" t="str">
        <f>IF(C62&lt;&gt;"",_xll.RssMarket(C62,"安値"),"")</f>
        <v/>
      </c>
      <c r="J62" s="169" t="str">
        <f>IF(C62&lt;&gt;"",_xll.RssMarket(C62,"出来高"),"")</f>
        <v/>
      </c>
      <c r="K62" s="169" t="str">
        <f>IF(C62&lt;&gt;"",_xll.RssMarket(C62,"年初来高値"),"")</f>
        <v/>
      </c>
      <c r="L62" s="170" t="str">
        <f t="shared" si="0"/>
        <v/>
      </c>
      <c r="M62" s="169">
        <f>IF(C62&lt;&gt;"",IFERROR(AVERAGE(出来高!E14:I14),""),"")</f>
        <v>3803540</v>
      </c>
      <c r="N62" s="169">
        <f>IF(C62&lt;&gt;"",IFERROR(AVERAGE(出来高!E14:AC14),""),"")</f>
        <v>4320544</v>
      </c>
      <c r="O62" s="171" t="str">
        <f t="shared" si="1"/>
        <v/>
      </c>
      <c r="P62" s="166" t="str">
        <f t="shared" si="2"/>
        <v/>
      </c>
      <c r="Q62" s="166" t="str">
        <f t="shared" si="3"/>
        <v/>
      </c>
      <c r="R62" s="169" t="str">
        <f t="shared" si="10"/>
        <v/>
      </c>
      <c r="S62" s="169" t="str">
        <f t="shared" si="11"/>
        <v/>
      </c>
      <c r="T62" s="166">
        <f t="shared" si="4"/>
        <v>0</v>
      </c>
      <c r="U62" s="166" t="str">
        <f t="shared" si="12"/>
        <v>除外</v>
      </c>
      <c r="V62" s="166" t="str">
        <f t="shared" si="5"/>
        <v/>
      </c>
      <c r="W62" s="172">
        <f t="array" ref="W62">IF(C62&lt;&gt;"",IFERROR(100-100/(1+SUMPRODUCT((終値!F14:R14&gt;終値!G14:S14)*( 終値!F14:R14-終値!G14:S14))/SUMPRODUCT((終値!F14:R14&lt;終値!G14:S14)*(終値!G14:S14-終値!F14:R14))),50),"")</f>
        <v>77.307274701411501</v>
      </c>
      <c r="X62" s="173">
        <f>IF(C62&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28.263699107224056</v>
      </c>
      <c r="Y62" s="1" t="e">
        <f>IF(T62="","",IF(銘柄管理!$F$5="下落▼",IF(AND(AD62="パーフェクト▲",OR(AE62="25日線押し目●",AE62="5日線押し目○")),"★逆張り候補",IF(AND(AD62="上昇トレンド▲",OR(AE62="25日線押し目●",AE62="5日線押し目○")),"○逆張り候補",IF(W62&lt;=30,IF(Z62&gt;0,"◎反発確認",IF(Z62&lt;-5,"△要注意・様子見","△売られ過ぎ注目")),"相場下落・見送り"))),IF(AND(T62&gt;=12,AD62="パーフェクト▲"),"★強い買い",IF(AND(T62&gt;=12,AD62="上昇トレンド▲"),"★強い買い",IF(AND(T62&gt;=8,OR(AE62="25日線押し目●",AE62="5日線押し目○")),"◎押し目買い",IF(T62&gt;=10,"○買い候補",IF(T62&gt;=6,"△注目",IF(T62&gt;=3,"様子見","見送り"))))))))</f>
        <v>#VALUE!</v>
      </c>
      <c r="Z62" s="174" t="str">
        <f t="shared" si="13"/>
        <v/>
      </c>
      <c r="AA62" s="166" t="str">
        <f t="shared" si="14"/>
        <v/>
      </c>
      <c r="AB62" s="406">
        <f>IF(C62="","",IFERROR(((終値!E64*0.333)+(終値!F64*0.222)+(終値!G64*0.148)+(終値!H64*0.099)+(終値!I64*0.066)+(終値!J64*0.044)+(終値!K64*0.029)+(終値!L64*0.019)+(終値!M64*0.013)+(終値!N64*0.009))/(0.333+0.222+0.148+0.099+0.066+0.044+0.029+0.019+0.013+0.009),""))</f>
        <v>3844.6710794297342</v>
      </c>
      <c r="AC62" s="406">
        <f>IF(C62="","",IFERROR(SUMPRODUCT((終値!E64:AC64),({0.077,0.071,0.065,0.06,0.055,0.051,0.047,0.043,0.039,0.036,0.033,0.031,0.028,0.026,0.024,0.022,0.02,0.018,0.017,0.016,0.014,0.013,0.012,0.011,0.01}))/SUM({0.077,0.071,0.065,0.06,0.055,0.051,0.047,0.043,0.039,0.036,0.033,0.031,0.028,0.026,0.024,0.022,0.02,0.018,0.017,0.016,0.014,0.013,0.012,0.011,0.01}),""))</f>
        <v>3787.5423122765183</v>
      </c>
      <c r="AD62" s="407" t="str">
        <f t="shared" si="15"/>
        <v>パーフェクト▲</v>
      </c>
      <c r="AE62" s="407" t="e">
        <f t="shared" si="16"/>
        <v>#VALUE!</v>
      </c>
      <c r="AF62" s="368">
        <f t="array" ref="AF62">IF(C62="","",IFERROR((INDEX(終値!$E:$E,MATCH(TEXT(C62,"0"),終値!$A:$A,0))-INDEX(終値!$E:$CZ,MATCH(TEXT(C62,"0"),終値!$A:$A,0),$AL$2))/INDEX(終値!$E:$CZ,MATCH(TEXT(C62,"0"),終値!$A:$A,0),$AL$2)*100,""))</f>
        <v>2.4229979466119098</v>
      </c>
      <c r="AG62" s="368">
        <f t="array" ref="AG62">IFERROR((終値!$E$5-INDEX(終値!$E$5:$CZ$5,1,$AL$2))/INDEX(終値!$E$5:$CZ$5,1,$AL$2)*100,"")</f>
        <v>2.31989243802786</v>
      </c>
      <c r="AH62" s="369">
        <f t="shared" si="8"/>
        <v>0.10310550858404977</v>
      </c>
      <c r="AI62" s="367">
        <f t="shared" si="9"/>
        <v>1</v>
      </c>
    </row>
    <row r="63" spans="1:35" s="177" customFormat="1" ht="18" customHeight="1">
      <c r="A63" s="166" t="str">
        <f>IF(銘柄管理!B171&lt;&gt;"",HYPERLINK("https://kabutan.jp/stock/?code="&amp;銘柄管理!B171,"株探"),"")</f>
        <v>株探</v>
      </c>
      <c r="B63" s="167"/>
      <c r="C63" s="168">
        <f>IF(銘柄管理!B171="","",銘柄管理!B171)</f>
        <v>7981</v>
      </c>
      <c r="D63" s="106" t="str">
        <f>IF(銘柄管理!C171="","",銘柄管理!C171)</f>
        <v/>
      </c>
      <c r="E63" s="169" t="str">
        <f>IF(C63&lt;&gt;"",_xll.RssMarket(C63,"現在値"),"")</f>
        <v/>
      </c>
      <c r="F63" s="169" t="str">
        <f>IF(C63&lt;&gt;"",_xll.RssMarket(C63,"始値"),"")</f>
        <v/>
      </c>
      <c r="G63" s="168">
        <f>IF(C63&lt;&gt;"",終値!F171,"")</f>
        <v>3125</v>
      </c>
      <c r="H63" s="169" t="str">
        <f>IF(C63&lt;&gt;"",_xll.RssMarket(C63,"高値"),"")</f>
        <v/>
      </c>
      <c r="I63" s="169" t="str">
        <f>IF(C63&lt;&gt;"",_xll.RssMarket(C63,"安値"),"")</f>
        <v/>
      </c>
      <c r="J63" s="169" t="str">
        <f>IF(C63&lt;&gt;"",_xll.RssMarket(C63,"出来高"),"")</f>
        <v/>
      </c>
      <c r="K63" s="169" t="str">
        <f>IF(C63&lt;&gt;"",_xll.RssMarket(C63,"年初来高値"),"")</f>
        <v/>
      </c>
      <c r="L63" s="170" t="str">
        <f t="shared" si="0"/>
        <v/>
      </c>
      <c r="M63" s="169">
        <f>IF(C63&lt;&gt;"",IFERROR(AVERAGE(出来高!E171:I171),""),"")</f>
        <v>114420</v>
      </c>
      <c r="N63" s="169">
        <f>IF(C63&lt;&gt;"",IFERROR(AVERAGE(出来高!E171:AC171),""),"")</f>
        <v>104892</v>
      </c>
      <c r="O63" s="171" t="str">
        <f t="shared" si="1"/>
        <v/>
      </c>
      <c r="P63" s="166" t="str">
        <f t="shared" si="2"/>
        <v/>
      </c>
      <c r="Q63" s="166" t="str">
        <f t="shared" si="3"/>
        <v/>
      </c>
      <c r="R63" s="169" t="str">
        <f t="shared" si="10"/>
        <v/>
      </c>
      <c r="S63" s="169" t="str">
        <f t="shared" si="11"/>
        <v/>
      </c>
      <c r="T63" s="166">
        <f t="shared" si="4"/>
        <v>0</v>
      </c>
      <c r="U63" s="166" t="str">
        <f t="shared" si="12"/>
        <v>除外</v>
      </c>
      <c r="V63" s="166" t="str">
        <f t="shared" si="5"/>
        <v/>
      </c>
      <c r="W63" s="172">
        <f t="array" ref="W63">IF(C63&lt;&gt;"",IFERROR(100-100/(1+SUMPRODUCT((終値!F171:R171&gt;終値!G171:S171)*( 終値!F171:R171-終値!G171:S171))/SUMPRODUCT((終値!F171:R171&lt;終値!G171:S171)*(終値!G171:S171-終値!F171:R171))),50),"")</f>
        <v>56.962025316455694</v>
      </c>
      <c r="X63" s="173">
        <f>IF(C63&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7.4852132829705624</v>
      </c>
      <c r="Y63" s="1" t="e">
        <f>IF(T63="","",IF(銘柄管理!$F$5="下落▼",IF(AND(AD63="パーフェクト▲",OR(AE63="25日線押し目●",AE63="5日線押し目○")),"★逆張り候補",IF(AND(AD63="上昇トレンド▲",OR(AE63="25日線押し目●",AE63="5日線押し目○")),"○逆張り候補",IF(W63&lt;=30,IF(Z63&gt;0,"◎反発確認",IF(Z63&lt;-5,"△要注意・様子見","△売られ過ぎ注目")),"相場下落・見送り"))),IF(AND(T63&gt;=12,AD63="パーフェクト▲"),"★強い買い",IF(AND(T63&gt;=12,AD63="上昇トレンド▲"),"★強い買い",IF(AND(T63&gt;=8,OR(AE63="25日線押し目●",AE63="5日線押し目○")),"◎押し目買い",IF(T63&gt;=10,"○買い候補",IF(T63&gt;=6,"△注目",IF(T63&gt;=3,"様子見","見送り"))))))))</f>
        <v>#VALUE!</v>
      </c>
      <c r="Z63" s="174" t="str">
        <f t="shared" si="13"/>
        <v/>
      </c>
      <c r="AA63" s="166" t="str">
        <f t="shared" si="14"/>
        <v/>
      </c>
      <c r="AB63" s="408">
        <f>IF(C63="","",IFERROR(((終値!E65*0.333)+(終値!F65*0.222)+(終値!G65*0.148)+(終値!H65*0.099)+(終値!I65*0.066)+(終値!J65*0.044)+(終値!K65*0.029)+(終値!L65*0.019)+(終値!M65*0.013)+(終値!N65*0.009))/(0.333+0.222+0.148+0.099+0.066+0.044+0.029+0.019+0.013+0.009),""))</f>
        <v>6019.865580448065</v>
      </c>
      <c r="AC63" s="408">
        <f>IF(C63="","",IFERROR(SUMPRODUCT((終値!E65:AC65),({0.077,0.071,0.065,0.06,0.055,0.051,0.047,0.043,0.039,0.036,0.033,0.031,0.028,0.026,0.024,0.022,0.02,0.018,0.017,0.016,0.014,0.013,0.012,0.011,0.01}))/SUM({0.077,0.071,0.065,0.06,0.055,0.051,0.047,0.043,0.039,0.036,0.033,0.031,0.028,0.026,0.024,0.022,0.02,0.018,0.017,0.016,0.014,0.013,0.012,0.011,0.01}),""))</f>
        <v>6236.1299165673399</v>
      </c>
      <c r="AD63" s="409" t="str">
        <f t="shared" si="15"/>
        <v>上昇トレンド▲</v>
      </c>
      <c r="AE63" s="409" t="e">
        <f t="shared" si="16"/>
        <v>#VALUE!</v>
      </c>
      <c r="AF63" s="368">
        <f t="array" ref="AF63">IF(C63="","",IFERROR((INDEX(終値!$E:$E,MATCH(TEXT(C63,"0"),終値!$A:$A,0))-INDEX(終値!$E:$CZ,MATCH(TEXT(C63,"0"),終値!$A:$A,0),$AL$2))/INDEX(終値!$E:$CZ,MATCH(TEXT(C63,"0"),終値!$A:$A,0),$AL$2)*100,""))</f>
        <v>3.840924541128484</v>
      </c>
      <c r="AG63" s="368">
        <f t="array" ref="AG63">IFERROR((終値!$E$5-INDEX(終値!$E$5:$CZ$5,1,$AL$2))/INDEX(終値!$E$5:$CZ$5,1,$AL$2)*100,"")</f>
        <v>2.31989243802786</v>
      </c>
      <c r="AH63" s="369">
        <f t="shared" si="8"/>
        <v>1.521032103100624</v>
      </c>
      <c r="AI63" s="367">
        <f t="shared" si="9"/>
        <v>1</v>
      </c>
    </row>
    <row r="64" spans="1:35" s="177" customFormat="1" ht="18" customHeight="1">
      <c r="A64" s="166" t="str">
        <f>IF(銘柄管理!B75&lt;&gt;"",HYPERLINK("https://kabutan.jp/stock/?code="&amp;銘柄管理!B75,"株探"),"")</f>
        <v>株探</v>
      </c>
      <c r="B64" s="167"/>
      <c r="C64" s="168">
        <f>IF(銘柄管理!B75="","",銘柄管理!B75)</f>
        <v>7846</v>
      </c>
      <c r="D64" s="106" t="str">
        <f>IF(銘柄管理!C75="","",銘柄管理!C75)</f>
        <v/>
      </c>
      <c r="E64" s="169" t="str">
        <f>IF(C64&lt;&gt;"",_xll.RssMarket(C64,"現在値"),"")</f>
        <v/>
      </c>
      <c r="F64" s="169" t="str">
        <f>IF(C64&lt;&gt;"",_xll.RssMarket(C64,"始値"),"")</f>
        <v/>
      </c>
      <c r="G64" s="168">
        <f>IF(C64&lt;&gt;"",終値!F75,"")</f>
        <v>1790</v>
      </c>
      <c r="H64" s="169" t="str">
        <f>IF(C64&lt;&gt;"",_xll.RssMarket(C64,"高値"),"")</f>
        <v/>
      </c>
      <c r="I64" s="169" t="str">
        <f>IF(C64&lt;&gt;"",_xll.RssMarket(C64,"安値"),"")</f>
        <v/>
      </c>
      <c r="J64" s="169" t="str">
        <f>IF(C64&lt;&gt;"",_xll.RssMarket(C64,"出来高"),"")</f>
        <v/>
      </c>
      <c r="K64" s="169" t="str">
        <f>IF(C64&lt;&gt;"",_xll.RssMarket(C64,"年初来高値"),"")</f>
        <v/>
      </c>
      <c r="L64" s="170" t="str">
        <f t="shared" si="0"/>
        <v/>
      </c>
      <c r="M64" s="169">
        <f>IF(C64&lt;&gt;"",IFERROR(AVERAGE(出来高!E75:I75),""),"")</f>
        <v>184300</v>
      </c>
      <c r="N64" s="169">
        <f>IF(C64&lt;&gt;"",IFERROR(AVERAGE(出来高!E75:AC75),""),"")</f>
        <v>157916</v>
      </c>
      <c r="O64" s="171" t="str">
        <f t="shared" si="1"/>
        <v/>
      </c>
      <c r="P64" s="166" t="str">
        <f t="shared" si="2"/>
        <v/>
      </c>
      <c r="Q64" s="166" t="str">
        <f t="shared" si="3"/>
        <v/>
      </c>
      <c r="R64" s="169" t="str">
        <f t="shared" si="10"/>
        <v/>
      </c>
      <c r="S64" s="169" t="str">
        <f t="shared" si="11"/>
        <v/>
      </c>
      <c r="T64" s="166">
        <f t="shared" si="4"/>
        <v>0</v>
      </c>
      <c r="U64" s="166" t="str">
        <f t="shared" si="12"/>
        <v>除外</v>
      </c>
      <c r="V64" s="166" t="str">
        <f t="shared" si="5"/>
        <v/>
      </c>
      <c r="W64" s="172">
        <f t="array" ref="W64">IF(C64&lt;&gt;"",IFERROR(100-100/(1+SUMPRODUCT((終値!F75:R75&gt;終値!G75:S75)*( 終値!F75:R75-終値!G75:S75))/SUMPRODUCT((終値!F75:R75&lt;終値!G75:S75)*(終値!G75:S75-終値!F75:R75))),50),"")</f>
        <v>4.503148097454158</v>
      </c>
      <c r="X64" s="173">
        <f>IF(C64&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-434.60692706944269</v>
      </c>
      <c r="Y64" s="1" t="e">
        <f>IF(T64="","",IF(銘柄管理!$F$5="下落▼",IF(AND(AD64="パーフェクト▲",OR(AE64="25日線押し目●",AE64="5日線押し目○")),"★逆張り候補",IF(AND(AD64="上昇トレンド▲",OR(AE64="25日線押し目●",AE64="5日線押し目○")),"○逆張り候補",IF(W64&lt;=30,IF(Z64&gt;0,"◎反発確認",IF(Z64&lt;-5,"△要注意・様子見","△売られ過ぎ注目")),"相場下落・見送り"))),IF(AND(T64&gt;=12,AD64="パーフェクト▲"),"★強い買い",IF(AND(T64&gt;=12,AD64="上昇トレンド▲"),"★強い買い",IF(AND(T64&gt;=8,OR(AE64="25日線押し目●",AE64="5日線押し目○")),"◎押し目買い",IF(T64&gt;=10,"○買い候補",IF(T64&gt;=6,"△注目",IF(T64&gt;=3,"様子見","見送り"))))))))</f>
        <v>#VALUE!</v>
      </c>
      <c r="Z64" s="174" t="str">
        <f t="shared" si="13"/>
        <v/>
      </c>
      <c r="AA64" s="166" t="str">
        <f t="shared" si="14"/>
        <v/>
      </c>
      <c r="AB64" s="406">
        <f>IF(C64="","",IFERROR(((終値!E66*0.333)+(終値!F66*0.222)+(終値!G66*0.148)+(終値!H66*0.099)+(終値!I66*0.066)+(終値!J66*0.044)+(終値!K66*0.029)+(終値!L66*0.019)+(終値!M66*0.013)+(終値!N66*0.009))/(0.333+0.222+0.148+0.099+0.066+0.044+0.029+0.019+0.013+0.009),""))</f>
        <v>7341.7759674134404</v>
      </c>
      <c r="AC64" s="406">
        <f>IF(C64="","",IFERROR(SUMPRODUCT((終値!E66:AC66),({0.077,0.071,0.065,0.06,0.055,0.051,0.047,0.043,0.039,0.036,0.033,0.031,0.028,0.026,0.024,0.022,0.02,0.018,0.017,0.016,0.014,0.013,0.012,0.011,0.01}))/SUM({0.077,0.071,0.065,0.06,0.055,0.051,0.047,0.043,0.039,0.036,0.033,0.031,0.028,0.026,0.024,0.022,0.02,0.018,0.017,0.016,0.014,0.013,0.012,0.011,0.01}),""))</f>
        <v>7214.7401668653147</v>
      </c>
      <c r="AD64" s="407" t="str">
        <f t="shared" si="15"/>
        <v>パーフェクト▲</v>
      </c>
      <c r="AE64" s="407" t="e">
        <f t="shared" si="16"/>
        <v>#VALUE!</v>
      </c>
      <c r="AF64" s="368">
        <f t="array" ref="AF64">IF(C64="","",IFERROR((INDEX(終値!$E:$E,MATCH(TEXT(C64,"0"),終値!$A:$A,0))-INDEX(終値!$E:$CZ,MATCH(TEXT(C64,"0"),終値!$A:$A,0),$AL$2))/INDEX(終値!$E:$CZ,MATCH(TEXT(C64,"0"),終値!$A:$A,0),$AL$2)*100,""))</f>
        <v>-63.015384615384619</v>
      </c>
      <c r="AG64" s="368">
        <f t="array" ref="AG64">IFERROR((終値!$E$5-INDEX(終値!$E$5:$CZ$5,1,$AL$2))/INDEX(終値!$E$5:$CZ$5,1,$AL$2)*100,"")</f>
        <v>2.31989243802786</v>
      </c>
      <c r="AH64" s="369">
        <f t="shared" si="8"/>
        <v>-65.335277053412483</v>
      </c>
      <c r="AI64" s="367">
        <f t="shared" si="9"/>
        <v>-2</v>
      </c>
    </row>
    <row r="65" spans="1:35" s="177" customFormat="1" ht="18" customHeight="1">
      <c r="A65" s="166" t="str">
        <f>IF(銘柄管理!B73&lt;&gt;"",HYPERLINK("https://kabutan.jp/stock/?code="&amp;銘柄管理!B73,"株探"),"")</f>
        <v>株探</v>
      </c>
      <c r="B65" s="167"/>
      <c r="C65" s="168">
        <f>IF(銘柄管理!B73="","",銘柄管理!B73)</f>
        <v>7806</v>
      </c>
      <c r="D65" s="106" t="str">
        <f>IF(銘柄管理!C73="","",銘柄管理!C73)</f>
        <v/>
      </c>
      <c r="E65" s="169" t="str">
        <f>IF(C65&lt;&gt;"",_xll.RssMarket(C65,"現在値"),"")</f>
        <v/>
      </c>
      <c r="F65" s="169" t="str">
        <f>IF(C65&lt;&gt;"",_xll.RssMarket(C65,"始値"),"")</f>
        <v/>
      </c>
      <c r="G65" s="168">
        <f>IF(C65&lt;&gt;"",終値!F73,"")</f>
        <v>7700</v>
      </c>
      <c r="H65" s="169" t="str">
        <f>IF(C65&lt;&gt;"",_xll.RssMarket(C65,"高値"),"")</f>
        <v/>
      </c>
      <c r="I65" s="169" t="str">
        <f>IF(C65&lt;&gt;"",_xll.RssMarket(C65,"安値"),"")</f>
        <v/>
      </c>
      <c r="J65" s="169" t="str">
        <f>IF(C65&lt;&gt;"",_xll.RssMarket(C65,"出来高"),"")</f>
        <v/>
      </c>
      <c r="K65" s="169" t="str">
        <f>IF(C65&lt;&gt;"",_xll.RssMarket(C65,"年初来高値"),"")</f>
        <v/>
      </c>
      <c r="L65" s="170" t="str">
        <f t="shared" si="0"/>
        <v/>
      </c>
      <c r="M65" s="169">
        <f>IF(C65&lt;&gt;"",IFERROR(AVERAGE(出来高!E73:I73),""),"")</f>
        <v>131320</v>
      </c>
      <c r="N65" s="169">
        <f>IF(C65&lt;&gt;"",IFERROR(AVERAGE(出来高!E73:AC73),""),"")</f>
        <v>107892</v>
      </c>
      <c r="O65" s="171" t="str">
        <f t="shared" si="1"/>
        <v/>
      </c>
      <c r="P65" s="166" t="str">
        <f t="shared" si="2"/>
        <v/>
      </c>
      <c r="Q65" s="166" t="str">
        <f t="shared" si="3"/>
        <v/>
      </c>
      <c r="R65" s="169" t="str">
        <f t="shared" si="10"/>
        <v/>
      </c>
      <c r="S65" s="169" t="str">
        <f t="shared" si="11"/>
        <v/>
      </c>
      <c r="T65" s="166">
        <f t="shared" si="4"/>
        <v>0</v>
      </c>
      <c r="U65" s="166" t="str">
        <f t="shared" si="12"/>
        <v>除外</v>
      </c>
      <c r="V65" s="166" t="str">
        <f t="shared" si="5"/>
        <v/>
      </c>
      <c r="W65" s="172">
        <f t="array" ref="W65">IF(C65&lt;&gt;"",IFERROR(100-100/(1+SUMPRODUCT((終値!F73:R73&gt;終値!G73:S73)*( 終値!F73:R73-終値!G73:S73))/SUMPRODUCT((終値!F73:R73&lt;終値!G73:S73)*(終値!G73:S73-終値!F73:R73))),50),"")</f>
        <v>54.509803921568626</v>
      </c>
      <c r="X65" s="173">
        <f>IF(C65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36.039209676840073</v>
      </c>
      <c r="Y65" s="1" t="e">
        <f>IF(T65="","",IF(銘柄管理!$F$5="下落▼",IF(AND(AD65="パーフェクト▲",OR(AE65="25日線押し目●",AE65="5日線押し目○")),"★逆張り候補",IF(AND(AD65="上昇トレンド▲",OR(AE65="25日線押し目●",AE65="5日線押し目○")),"○逆張り候補",IF(W65&lt;=30,IF(Z65&gt;0,"◎反発確認",IF(Z65&lt;-5,"△要注意・様子見","△売られ過ぎ注目")),"相場下落・見送り"))),IF(AND(T65&gt;=12,AD65="パーフェクト▲"),"★強い買い",IF(AND(T65&gt;=12,AD65="上昇トレンド▲"),"★強い買い",IF(AND(T65&gt;=8,OR(AE65="25日線押し目●",AE65="5日線押し目○")),"◎押し目買い",IF(T65&gt;=10,"○買い候補",IF(T65&gt;=6,"△注目",IF(T65&gt;=3,"様子見","見送り"))))))))</f>
        <v>#VALUE!</v>
      </c>
      <c r="Z65" s="174" t="str">
        <f t="shared" si="13"/>
        <v/>
      </c>
      <c r="AA65" s="166" t="str">
        <f t="shared" si="14"/>
        <v/>
      </c>
      <c r="AB65" s="408">
        <f>IF(C65="","",IFERROR(((終値!E67*0.333)+(終値!F67*0.222)+(終値!G67*0.148)+(終値!H67*0.099)+(終値!I67*0.066)+(終値!J67*0.044)+(終値!K67*0.029)+(終値!L67*0.019)+(終値!M67*0.013)+(終値!N67*0.009))/(0.333+0.222+0.148+0.099+0.066+0.044+0.029+0.019+0.013+0.009),""))</f>
        <v>2102.4526476578408</v>
      </c>
      <c r="AC65" s="408">
        <f>IF(C65="","",IFERROR(SUMPRODUCT((終値!E67:AC67),({0.077,0.071,0.065,0.06,0.055,0.051,0.047,0.043,0.039,0.036,0.033,0.031,0.028,0.026,0.024,0.022,0.02,0.018,0.017,0.016,0.014,0.013,0.012,0.011,0.01}))/SUM({0.077,0.071,0.065,0.06,0.055,0.051,0.047,0.043,0.039,0.036,0.033,0.031,0.028,0.026,0.024,0.022,0.02,0.018,0.017,0.016,0.014,0.013,0.012,0.011,0.01}),""))</f>
        <v>2104.7848629320611</v>
      </c>
      <c r="AD65" s="409" t="str">
        <f t="shared" si="15"/>
        <v>上昇トレンド▲</v>
      </c>
      <c r="AE65" s="409" t="e">
        <f t="shared" si="16"/>
        <v>#VALUE!</v>
      </c>
      <c r="AF65" s="368">
        <f t="array" ref="AF65">IF(C65="","",IFERROR((INDEX(終値!$E:$E,MATCH(TEXT(C65,"0"),終値!$A:$A,0))-INDEX(終値!$E:$CZ,MATCH(TEXT(C65,"0"),終値!$A:$A,0),$AL$2))/INDEX(終値!$E:$CZ,MATCH(TEXT(C65,"0"),終値!$A:$A,0),$AL$2)*100,""))</f>
        <v>10.846953937592868</v>
      </c>
      <c r="AG65" s="368">
        <f t="array" ref="AG65">IFERROR((終値!$E$5-INDEX(終値!$E$5:$CZ$5,1,$AL$2))/INDEX(終値!$E$5:$CZ$5,1,$AL$2)*100,"")</f>
        <v>2.31989243802786</v>
      </c>
      <c r="AH65" s="369">
        <f t="shared" si="8"/>
        <v>8.5270614995650078</v>
      </c>
      <c r="AI65" s="367">
        <f t="shared" si="9"/>
        <v>3</v>
      </c>
    </row>
    <row r="66" spans="1:35" s="177" customFormat="1" ht="18" customHeight="1">
      <c r="A66" s="166" t="str">
        <f>IF(銘柄管理!B136&lt;&gt;"",HYPERLINK("https://kabutan.jp/stock/?code="&amp;銘柄管理!B136,"株探"),"")</f>
        <v>株探</v>
      </c>
      <c r="B66" s="167"/>
      <c r="C66" s="168">
        <f>IF(銘柄管理!B136="","",銘柄管理!B136)</f>
        <v>7794</v>
      </c>
      <c r="D66" s="106" t="str">
        <f>IF(銘柄管理!C136="","",銘柄管理!C136)</f>
        <v/>
      </c>
      <c r="E66" s="169" t="str">
        <f>IF(C66&lt;&gt;"",_xll.RssMarket(C66,"現在値"),"")</f>
        <v/>
      </c>
      <c r="F66" s="169" t="str">
        <f>IF(C66&lt;&gt;"",_xll.RssMarket(C66,"始値"),"")</f>
        <v/>
      </c>
      <c r="G66" s="168">
        <f>IF(C66&lt;&gt;"",終値!F136,"")</f>
        <v>1023</v>
      </c>
      <c r="H66" s="169" t="str">
        <f>IF(C66&lt;&gt;"",_xll.RssMarket(C66,"高値"),"")</f>
        <v/>
      </c>
      <c r="I66" s="169" t="str">
        <f>IF(C66&lt;&gt;"",_xll.RssMarket(C66,"安値"),"")</f>
        <v/>
      </c>
      <c r="J66" s="169" t="str">
        <f>IF(C66&lt;&gt;"",_xll.RssMarket(C66,"出来高"),"")</f>
        <v/>
      </c>
      <c r="K66" s="169" t="str">
        <f>IF(C66&lt;&gt;"",_xll.RssMarket(C66,"年初来高値"),"")</f>
        <v/>
      </c>
      <c r="L66" s="170" t="str">
        <f t="shared" si="0"/>
        <v/>
      </c>
      <c r="M66" s="169">
        <f>IF(C66&lt;&gt;"",IFERROR(AVERAGE(出来高!E136:I136),""),"")</f>
        <v>334580</v>
      </c>
      <c r="N66" s="169">
        <f>IF(C66&lt;&gt;"",IFERROR(AVERAGE(出来高!E136:AC136),""),"")</f>
        <v>364292</v>
      </c>
      <c r="O66" s="171" t="str">
        <f t="shared" si="1"/>
        <v/>
      </c>
      <c r="P66" s="166" t="str">
        <f t="shared" si="2"/>
        <v/>
      </c>
      <c r="Q66" s="166" t="str">
        <f t="shared" si="3"/>
        <v/>
      </c>
      <c r="R66" s="169" t="str">
        <f t="shared" si="10"/>
        <v/>
      </c>
      <c r="S66" s="169" t="str">
        <f t="shared" si="11"/>
        <v/>
      </c>
      <c r="T66" s="166">
        <f t="shared" si="4"/>
        <v>0</v>
      </c>
      <c r="U66" s="166" t="str">
        <f t="shared" si="12"/>
        <v>除外</v>
      </c>
      <c r="V66" s="166" t="str">
        <f t="shared" si="5"/>
        <v/>
      </c>
      <c r="W66" s="172">
        <f t="array" ref="W66">IF(C66&lt;&gt;"",IFERROR(100-100/(1+SUMPRODUCT((終値!F136:R136&gt;終値!G136:S136)*( 終値!F136:R136-終値!G136:S136))/SUMPRODUCT((終値!F136:R136&lt;終値!G136:S136)*(終値!G136:S136-終値!F136:R136))),50),"")</f>
        <v>47.109207708779444</v>
      </c>
      <c r="X66" s="173">
        <f>IF(C66&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-8.6758345639009349</v>
      </c>
      <c r="Y66" s="1" t="e">
        <f>IF(T66="","",IF(銘柄管理!$F$5="下落▼",IF(AND(AD66="パーフェクト▲",OR(AE66="25日線押し目●",AE66="5日線押し目○")),"★逆張り候補",IF(AND(AD66="上昇トレンド▲",OR(AE66="25日線押し目●",AE66="5日線押し目○")),"○逆張り候補",IF(W66&lt;=30,IF(Z66&gt;0,"◎反発確認",IF(Z66&lt;-5,"△要注意・様子見","△売られ過ぎ注目")),"相場下落・見送り"))),IF(AND(T66&gt;=12,AD66="パーフェクト▲"),"★強い買い",IF(AND(T66&gt;=12,AD66="上昇トレンド▲"),"★強い買い",IF(AND(T66&gt;=8,OR(AE66="25日線押し目●",AE66="5日線押し目○")),"◎押し目買い",IF(T66&gt;=10,"○買い候補",IF(T66&gt;=6,"△注目",IF(T66&gt;=3,"様子見","見送り"))))))))</f>
        <v>#VALUE!</v>
      </c>
      <c r="Z66" s="174" t="str">
        <f t="shared" si="13"/>
        <v/>
      </c>
      <c r="AA66" s="166" t="str">
        <f t="shared" si="14"/>
        <v/>
      </c>
      <c r="AB66" s="406">
        <f>IF(C66="","",IFERROR(((終値!E68*0.333)+(終値!F68*0.222)+(終値!G68*0.148)+(終値!H68*0.099)+(終値!I68*0.066)+(終値!J68*0.044)+(終値!K68*0.029)+(終値!L68*0.019)+(終値!M68*0.013)+(終値!N68*0.009))/(0.333+0.222+0.148+0.099+0.066+0.044+0.029+0.019+0.013+0.009),""))</f>
        <v>5604.9877800407321</v>
      </c>
      <c r="AC66" s="406">
        <f>IF(C66="","",IFERROR(SUMPRODUCT((終値!E68:AC68),({0.077,0.071,0.065,0.06,0.055,0.051,0.047,0.043,0.039,0.036,0.033,0.031,0.028,0.026,0.024,0.022,0.02,0.018,0.017,0.016,0.014,0.013,0.012,0.011,0.01}))/SUM({0.077,0.071,0.065,0.06,0.055,0.051,0.047,0.043,0.039,0.036,0.033,0.031,0.028,0.026,0.024,0.022,0.02,0.018,0.017,0.016,0.014,0.013,0.012,0.011,0.01}),""))</f>
        <v>5784.7890345649566</v>
      </c>
      <c r="AD66" s="407" t="str">
        <f t="shared" si="15"/>
        <v>上昇トレンド▲</v>
      </c>
      <c r="AE66" s="407" t="e">
        <f t="shared" si="16"/>
        <v>#VALUE!</v>
      </c>
      <c r="AF66" s="368">
        <f t="array" ref="AF66">IF(C66="","",IFERROR((INDEX(終値!$E:$E,MATCH(TEXT(C66,"0"),終値!$A:$A,0))-INDEX(終値!$E:$CZ,MATCH(TEXT(C66,"0"),終値!$A:$A,0),$AL$2))/INDEX(終値!$E:$CZ,MATCH(TEXT(C66,"0"),終値!$A:$A,0),$AL$2)*100,""))</f>
        <v>-17.747747747747749</v>
      </c>
      <c r="AG66" s="368">
        <f t="array" ref="AG66">IFERROR((終値!$E$5-INDEX(終値!$E$5:$CZ$5,1,$AL$2))/INDEX(終値!$E$5:$CZ$5,1,$AL$2)*100,"")</f>
        <v>2.31989243802786</v>
      </c>
      <c r="AH66" s="369">
        <f t="shared" si="8"/>
        <v>-20.067640185775609</v>
      </c>
      <c r="AI66" s="367">
        <f t="shared" si="9"/>
        <v>-2</v>
      </c>
    </row>
    <row r="67" spans="1:35" s="177" customFormat="1" ht="18" customHeight="1">
      <c r="A67" s="166" t="str">
        <f>IF(銘柄管理!B93&lt;&gt;"",HYPERLINK("https://kabutan.jp/stock/?code="&amp;銘柄管理!B93,"株探"),"")</f>
        <v>株探</v>
      </c>
      <c r="B67" s="167"/>
      <c r="C67" s="168">
        <f>IF(銘柄管理!B93="","",銘柄管理!B93)</f>
        <v>7746</v>
      </c>
      <c r="D67" s="106" t="str">
        <f>IF(銘柄管理!C93="","",銘柄管理!C93)</f>
        <v/>
      </c>
      <c r="E67" s="169" t="str">
        <f>IF(C67&lt;&gt;"",_xll.RssMarket(C67,"現在値"),"")</f>
        <v/>
      </c>
      <c r="F67" s="169" t="str">
        <f>IF(C67&lt;&gt;"",_xll.RssMarket(C67,"始値"),"")</f>
        <v/>
      </c>
      <c r="G67" s="168">
        <f>IF(C67&lt;&gt;"",終値!F93,"")</f>
        <v>802</v>
      </c>
      <c r="H67" s="169" t="str">
        <f>IF(C67&lt;&gt;"",_xll.RssMarket(C67,"高値"),"")</f>
        <v/>
      </c>
      <c r="I67" s="169" t="str">
        <f>IF(C67&lt;&gt;"",_xll.RssMarket(C67,"安値"),"")</f>
        <v/>
      </c>
      <c r="J67" s="169" t="str">
        <f>IF(C67&lt;&gt;"",_xll.RssMarket(C67,"出来高"),"")</f>
        <v/>
      </c>
      <c r="K67" s="169" t="str">
        <f>IF(C67&lt;&gt;"",_xll.RssMarket(C67,"年初来高値"),"")</f>
        <v/>
      </c>
      <c r="L67" s="170" t="str">
        <f t="shared" ref="L67:L130" si="17">IF(AND(E67&lt;&gt;"",K67&lt;&gt;"",K67&lt;&gt;0),(E67-K67)/K67*100,"")</f>
        <v/>
      </c>
      <c r="M67" s="169">
        <f>IF(C67&lt;&gt;"",IFERROR(AVERAGE(出来高!E93:I93),""),"")</f>
        <v>394980</v>
      </c>
      <c r="N67" s="169">
        <f>IF(C67&lt;&gt;"",IFERROR(AVERAGE(出来高!E93:AC93),""),"")</f>
        <v>1664412</v>
      </c>
      <c r="O67" s="171" t="str">
        <f t="shared" ref="O67:O130" si="18">IF(AND(J67&lt;&gt;"",M67&lt;&gt;"",M67&lt;&gt;0),J67/M67,"")</f>
        <v/>
      </c>
      <c r="P67" s="166" t="str">
        <f t="shared" ref="P67:P130" si="19">IF(O67="","",IF(O67&gt;=2,"急増↑↑",IF(O67&gt;=1.5,"増加↑",IF(O67&gt;=1,"普通→","減少↓"))))</f>
        <v/>
      </c>
      <c r="Q67" s="166" t="str">
        <f t="shared" ref="Q67:Q130" si="20">IF(E67="","",IF(AND(E67&gt;G67,O67&gt;=1.5),"買い▲",IF(E67&lt;G67,"様子見▼","中立→")))</f>
        <v/>
      </c>
      <c r="R67" s="169" t="str">
        <f t="shared" si="10"/>
        <v/>
      </c>
      <c r="S67" s="169" t="str">
        <f t="shared" si="11"/>
        <v/>
      </c>
      <c r="T67" s="166">
        <f t="shared" ref="T67:T130" si="21">IF(C67="","",IFERROR(IF(O67&gt;=2,3,IF(O67&gt;=1.5,2,IF(O67&gt;=1,1,0)))+IF(E67&gt;G67,1,0)+IF(L67&gt;=-5,1,0)+IF(Q67="買い▲",2,0)+IF(W67&lt;=30,3,IF(W67&lt;=40,2,IF(AND(W67&gt;=40,W67&lt;=60),1,0)))+IF(X67&gt;0,1,0)+IF(V67="年初来高値更新●",3,IF(V67="高値圏",2,0))+IF(AD67="パーフェクト▲",3,IF(AD67="上昇トレンド▲",2,0))+IF(AE67="25日線押し目●",2,IF(AE67="5日線押し目○",1,0))+IF(P67="急増↑↑",2,IF(P67="増加↑",1,0))+N(AI67),0))</f>
        <v>0</v>
      </c>
      <c r="U67" s="166" t="str">
        <f t="shared" si="12"/>
        <v>除外</v>
      </c>
      <c r="V67" s="166" t="str">
        <f t="shared" ref="V67:V130" si="22">IF(AND(H67&lt;&gt;"",K67&lt;&gt;""),IF(H67&gt;=K67,"年初来高値更新●",IF(H67&gt;=K67*0.95,"高値圏","通常")),"")</f>
        <v/>
      </c>
      <c r="W67" s="172">
        <f t="array" ref="W67">IF(C67&lt;&gt;"",IFERROR(100-100/(1+SUMPRODUCT((終値!F93:R93&gt;終値!G93:S93)*( 終値!F93:R93-終値!G93:S93))/SUMPRODUCT((終値!F93:R93&lt;終値!G93:S93)*(終値!G93:S93-終値!F93:R93))),50),"")</f>
        <v>54.545454545454547</v>
      </c>
      <c r="X67" s="173">
        <f>IF(C67&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-3.6554854142863178</v>
      </c>
      <c r="Y67" s="1" t="e">
        <f>IF(T67="","",IF(銘柄管理!$F$5="下落▼",IF(AND(AD67="パーフェクト▲",OR(AE67="25日線押し目●",AE67="5日線押し目○")),"★逆張り候補",IF(AND(AD67="上昇トレンド▲",OR(AE67="25日線押し目●",AE67="5日線押し目○")),"○逆張り候補",IF(W67&lt;=30,IF(Z67&gt;0,"◎反発確認",IF(Z67&lt;-5,"△要注意・様子見","△売られ過ぎ注目")),"相場下落・見送り"))),IF(AND(T67&gt;=12,AD67="パーフェクト▲"),"★強い買い",IF(AND(T67&gt;=12,AD67="上昇トレンド▲"),"★強い買い",IF(AND(T67&gt;=8,OR(AE67="25日線押し目●",AE67="5日線押し目○")),"◎押し目買い",IF(T67&gt;=10,"○買い候補",IF(T67&gt;=6,"△注目",IF(T67&gt;=3,"様子見","見送り"))))))))</f>
        <v>#VALUE!</v>
      </c>
      <c r="Z67" s="174" t="str">
        <f t="shared" si="13"/>
        <v/>
      </c>
      <c r="AA67" s="166" t="str">
        <f t="shared" si="14"/>
        <v/>
      </c>
      <c r="AB67" s="408">
        <f>IF(C67="","",IFERROR(((終値!E69*0.333)+(終値!F69*0.222)+(終値!G69*0.148)+(終値!H69*0.099)+(終値!I69*0.066)+(終値!J69*0.044)+(終値!K69*0.029)+(終値!L69*0.019)+(終値!M69*0.013)+(終値!N69*0.009))/(0.333+0.222+0.148+0.099+0.066+0.044+0.029+0.019+0.013+0.009),""))</f>
        <v>3820.7851323828913</v>
      </c>
      <c r="AC67" s="408">
        <f>IF(C67="","",IFERROR(SUMPRODUCT((終値!E69:AC69),({0.077,0.071,0.065,0.06,0.055,0.051,0.047,0.043,0.039,0.036,0.033,0.031,0.028,0.026,0.024,0.022,0.02,0.018,0.017,0.016,0.014,0.013,0.012,0.011,0.01}))/SUM({0.077,0.071,0.065,0.06,0.055,0.051,0.047,0.043,0.039,0.036,0.033,0.031,0.028,0.026,0.024,0.022,0.02,0.018,0.017,0.016,0.014,0.013,0.012,0.011,0.01}),""))</f>
        <v>4142.8963051251467</v>
      </c>
      <c r="AD67" s="409" t="str">
        <f t="shared" ref="AD67:AD98" si="23">IF(OR(C67="",AB67="",AC67=""),"",IF(AND(E67&gt;AB67,AB67&gt;AC67),"パーフェクト▲",IF(E67&gt;AC67,"上昇トレンド▲",IF(AND(E67&lt;AB67,AB67&lt;AC67),"下降トレンド▼","もみ合い→"))))</f>
        <v>上昇トレンド▲</v>
      </c>
      <c r="AE67" s="409" t="e">
        <f t="shared" ref="AE67:AE98" si="24">IF(OR(C67="",AB67="",AC67=""),"",IF(AND(ABS(E67-AC67)/AC67&lt;=0.02,E67&gt;AC67),"25日押し目★",IF(AND(ABS(E67-AB67)/AB67&lt;=0.01,E67&gt;AB67),"5日押し目○","なし")))</f>
        <v>#VALUE!</v>
      </c>
      <c r="AF67" s="368">
        <f t="array" ref="AF67">IF(C67="","",IFERROR((INDEX(終値!$E:$E,MATCH(TEXT(C67,"0"),終値!$A:$A,0))-INDEX(終値!$E:$CZ,MATCH(TEXT(C67,"0"),終値!$A:$A,0),$AL$2))/INDEX(終値!$E:$CZ,MATCH(TEXT(C67,"0"),終値!$A:$A,0),$AL$2)*100,""))</f>
        <v>1.3774104683195594</v>
      </c>
      <c r="AG67" s="368">
        <f t="array" ref="AG67">IFERROR((終値!$E$5-INDEX(終値!$E$5:$CZ$5,1,$AL$2))/INDEX(終値!$E$5:$CZ$5,1,$AL$2)*100,"")</f>
        <v>2.31989243802786</v>
      </c>
      <c r="AH67" s="369">
        <f t="shared" ref="AH67:AH130" si="25">IF(OR(AF67="",AG67=""),"",AF67-AG67)</f>
        <v>-0.94248196970830067</v>
      </c>
      <c r="AI67" s="367">
        <f t="shared" ref="AI67:AI130" si="26">IF(AH67="","",IF(AH67&gt;5,3,IF(AH67&gt;0,1,IF(AH67&gt;-3,-1,-2))))</f>
        <v>-1</v>
      </c>
    </row>
    <row r="68" spans="1:35" s="177" customFormat="1" ht="18" customHeight="1">
      <c r="A68" s="166" t="str">
        <f>IF(銘柄管理!B107&lt;&gt;"",HYPERLINK("https://kabutan.jp/stock/?code="&amp;銘柄管理!B107,"株探"),"")</f>
        <v>株探</v>
      </c>
      <c r="B68" s="167"/>
      <c r="C68" s="168">
        <f>IF(銘柄管理!B107="","",銘柄管理!B107)</f>
        <v>7729</v>
      </c>
      <c r="D68" s="106" t="str">
        <f>IF(銘柄管理!C107="","",銘柄管理!C107)</f>
        <v/>
      </c>
      <c r="E68" s="169" t="str">
        <f>IF(C68&lt;&gt;"",_xll.RssMarket(C68,"現在値"),"")</f>
        <v/>
      </c>
      <c r="F68" s="169" t="str">
        <f>IF(C68&lt;&gt;"",_xll.RssMarket(C68,"始値"),"")</f>
        <v/>
      </c>
      <c r="G68" s="168">
        <f>IF(C68&lt;&gt;"",終値!F107,"")</f>
        <v>19210</v>
      </c>
      <c r="H68" s="169" t="str">
        <f>IF(C68&lt;&gt;"",_xll.RssMarket(C68,"高値"),"")</f>
        <v/>
      </c>
      <c r="I68" s="169" t="str">
        <f>IF(C68&lt;&gt;"",_xll.RssMarket(C68,"安値"),"")</f>
        <v/>
      </c>
      <c r="J68" s="169" t="str">
        <f>IF(C68&lt;&gt;"",_xll.RssMarket(C68,"出来高"),"")</f>
        <v/>
      </c>
      <c r="K68" s="169" t="str">
        <f>IF(C68&lt;&gt;"",_xll.RssMarket(C68,"年初来高値"),"")</f>
        <v/>
      </c>
      <c r="L68" s="170" t="str">
        <f t="shared" si="17"/>
        <v/>
      </c>
      <c r="M68" s="169">
        <f>IF(C68&lt;&gt;"",IFERROR(AVERAGE(出来高!E107:I107),""),"")</f>
        <v>516760</v>
      </c>
      <c r="N68" s="169">
        <f>IF(C68&lt;&gt;"",IFERROR(AVERAGE(出来高!E107:AC107),""),"")</f>
        <v>468424</v>
      </c>
      <c r="O68" s="171" t="str">
        <f t="shared" si="18"/>
        <v/>
      </c>
      <c r="P68" s="166" t="str">
        <f t="shared" si="19"/>
        <v/>
      </c>
      <c r="Q68" s="166" t="str">
        <f t="shared" si="20"/>
        <v/>
      </c>
      <c r="R68" s="169" t="str">
        <f t="shared" ref="R68:R131" si="27">IF(E68&lt;&gt;"",ROUND(E68*1.08,0),"")</f>
        <v/>
      </c>
      <c r="S68" s="169" t="str">
        <f t="shared" ref="S68:S131" si="28">IF(E68&lt;&gt;"",ROUND(E68*0.96,0),"")</f>
        <v/>
      </c>
      <c r="T68" s="166">
        <f t="shared" si="21"/>
        <v>0</v>
      </c>
      <c r="U68" s="166" t="str">
        <f t="shared" ref="U68:U131" si="29">IF(T68="","",IF(AND(T68&gt;=3,O68&gt;=1.5),"有効",IF(T68&gt;=3,"要確認","除外")))</f>
        <v>除外</v>
      </c>
      <c r="V68" s="166" t="str">
        <f t="shared" si="22"/>
        <v/>
      </c>
      <c r="W68" s="172">
        <f t="array" ref="W68">IF(C68&lt;&gt;"",IFERROR(100-100/(1+SUMPRODUCT((終値!F107:R107&gt;終値!G107:S107)*( 終値!F107:R107-終値!G107:S107))/SUMPRODUCT((終値!F107:R107&lt;終値!G107:S107)*(終値!G107:S107-終値!F107:R107))),50),"")</f>
        <v>49.377828054298647</v>
      </c>
      <c r="X68" s="173">
        <f>IF(C68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-162.14975581020917</v>
      </c>
      <c r="Y68" s="1" t="e">
        <f>IF(T68="","",IF(銘柄管理!$F$5="下落▼",IF(AND(AD68="パーフェクト▲",OR(AE68="25日線押し目●",AE68="5日線押し目○")),"★逆張り候補",IF(AND(AD68="上昇トレンド▲",OR(AE68="25日線押し目●",AE68="5日線押し目○")),"○逆張り候補",IF(W68&lt;=30,IF(Z68&gt;0,"◎反発確認",IF(Z68&lt;-5,"△要注意・様子見","△売られ過ぎ注目")),"相場下落・見送り"))),IF(AND(T68&gt;=12,AD68="パーフェクト▲"),"★強い買い",IF(AND(T68&gt;=12,AD68="上昇トレンド▲"),"★強い買い",IF(AND(T68&gt;=8,OR(AE68="25日線押し目●",AE68="5日線押し目○")),"◎押し目買い",IF(T68&gt;=10,"○買い候補",IF(T68&gt;=6,"△注目",IF(T68&gt;=3,"様子見","見送り"))))))))</f>
        <v>#VALUE!</v>
      </c>
      <c r="Z68" s="174" t="str">
        <f t="shared" ref="Z68:Z131" si="30">IF(AND(E68&lt;&gt;"",G68&lt;&gt;"",G68&lt;&gt;0),(E68-G68)/G68*100,"")</f>
        <v/>
      </c>
      <c r="AA68" s="166" t="str">
        <f t="shared" ref="AA68:AA131" si="31">IF(OR(C68="",E68="",E68=0),"",IF(E68&gt;G68,"上昇▲",IF(E68&lt;G68,"下落▼","横ばい→")))</f>
        <v/>
      </c>
      <c r="AB68" s="406">
        <f>IF(C68="","",IFERROR(((終値!E70*0.333)+(終値!F70*0.222)+(終値!G70*0.148)+(終値!H70*0.099)+(終値!I70*0.066)+(終値!J70*0.044)+(終値!K70*0.029)+(終値!L70*0.019)+(終値!M70*0.013)+(終値!N70*0.009))/(0.333+0.222+0.148+0.099+0.066+0.044+0.029+0.019+0.013+0.009),""))</f>
        <v>114.39816700610994</v>
      </c>
      <c r="AC68" s="406">
        <f>IF(C68="","",IFERROR(SUMPRODUCT((終値!E70:AC70),({0.077,0.071,0.065,0.06,0.055,0.051,0.047,0.043,0.039,0.036,0.033,0.031,0.028,0.026,0.024,0.022,0.02,0.018,0.017,0.016,0.014,0.013,0.012,0.011,0.01}))/SUM({0.077,0.071,0.065,0.06,0.055,0.051,0.047,0.043,0.039,0.036,0.033,0.031,0.028,0.026,0.024,0.022,0.02,0.018,0.017,0.016,0.014,0.013,0.012,0.011,0.01}),""))</f>
        <v>112.57806912991653</v>
      </c>
      <c r="AD68" s="407" t="str">
        <f t="shared" si="23"/>
        <v>パーフェクト▲</v>
      </c>
      <c r="AE68" s="407" t="e">
        <f t="shared" si="24"/>
        <v>#VALUE!</v>
      </c>
      <c r="AF68" s="368">
        <f t="array" ref="AF68">IF(C68="","",IFERROR((INDEX(終値!$E:$E,MATCH(TEXT(C68,"0"),終値!$A:$A,0))-INDEX(終値!$E:$CZ,MATCH(TEXT(C68,"0"),終値!$A:$A,0),$AL$2))/INDEX(終値!$E:$CZ,MATCH(TEXT(C68,"0"),終値!$A:$A,0),$AL$2)*100,""))</f>
        <v>0.76809453471196454</v>
      </c>
      <c r="AG68" s="368">
        <f t="array" ref="AG68">IFERROR((終値!$E$5-INDEX(終値!$E$5:$CZ$5,1,$AL$2))/INDEX(終値!$E$5:$CZ$5,1,$AL$2)*100,"")</f>
        <v>2.31989243802786</v>
      </c>
      <c r="AH68" s="369">
        <f t="shared" si="25"/>
        <v>-1.5517979033158955</v>
      </c>
      <c r="AI68" s="367">
        <f t="shared" si="26"/>
        <v>-1</v>
      </c>
    </row>
    <row r="69" spans="1:35" s="177" customFormat="1" ht="18" customHeight="1">
      <c r="A69" s="166" t="str">
        <f>IF(銘柄管理!B121&lt;&gt;"",HYPERLINK("https://kabutan.jp/stock/?code="&amp;銘柄管理!B121,"株探"),"")</f>
        <v>株探</v>
      </c>
      <c r="B69" s="167"/>
      <c r="C69" s="168">
        <f>IF(銘柄管理!B121="","",銘柄管理!B121)</f>
        <v>7685</v>
      </c>
      <c r="D69" s="106" t="str">
        <f>IF(銘柄管理!C121="","",銘柄管理!C121)</f>
        <v/>
      </c>
      <c r="E69" s="169" t="str">
        <f>IF(C69&lt;&gt;"",_xll.RssMarket(C69,"現在値"),"")</f>
        <v/>
      </c>
      <c r="F69" s="169" t="str">
        <f>IF(C69&lt;&gt;"",_xll.RssMarket(C69,"始値"),"")</f>
        <v/>
      </c>
      <c r="G69" s="168">
        <f>IF(C69&lt;&gt;"",終値!F121,"")</f>
        <v>3585</v>
      </c>
      <c r="H69" s="169" t="str">
        <f>IF(C69&lt;&gt;"",_xll.RssMarket(C69,"高値"),"")</f>
        <v/>
      </c>
      <c r="I69" s="169" t="str">
        <f>IF(C69&lt;&gt;"",_xll.RssMarket(C69,"安値"),"")</f>
        <v/>
      </c>
      <c r="J69" s="169" t="str">
        <f>IF(C69&lt;&gt;"",_xll.RssMarket(C69,"出来高"),"")</f>
        <v/>
      </c>
      <c r="K69" s="169" t="str">
        <f>IF(C69&lt;&gt;"",_xll.RssMarket(C69,"年初来高値"),"")</f>
        <v/>
      </c>
      <c r="L69" s="170" t="str">
        <f t="shared" si="17"/>
        <v/>
      </c>
      <c r="M69" s="169">
        <f>IF(C69&lt;&gt;"",IFERROR(AVERAGE(出来高!E121:I121),""),"")</f>
        <v>245080</v>
      </c>
      <c r="N69" s="169">
        <f>IF(C69&lt;&gt;"",IFERROR(AVERAGE(出来高!E121:AC121),""),"")</f>
        <v>327060</v>
      </c>
      <c r="O69" s="171" t="str">
        <f t="shared" si="18"/>
        <v/>
      </c>
      <c r="P69" s="166" t="str">
        <f t="shared" si="19"/>
        <v/>
      </c>
      <c r="Q69" s="166" t="str">
        <f t="shared" si="20"/>
        <v/>
      </c>
      <c r="R69" s="169" t="str">
        <f t="shared" si="27"/>
        <v/>
      </c>
      <c r="S69" s="169" t="str">
        <f t="shared" si="28"/>
        <v/>
      </c>
      <c r="T69" s="166">
        <f t="shared" si="21"/>
        <v>0</v>
      </c>
      <c r="U69" s="166" t="str">
        <f t="shared" si="29"/>
        <v>除外</v>
      </c>
      <c r="V69" s="166" t="str">
        <f t="shared" si="22"/>
        <v/>
      </c>
      <c r="W69" s="172">
        <f t="array" ref="W69">IF(C69&lt;&gt;"",IFERROR(100-100/(1+SUMPRODUCT((終値!F121:R121&gt;終値!G121:S121)*( 終値!F121:R121-終値!G121:S121))/SUMPRODUCT((終値!F121:R121&lt;終値!G121:S121)*(終値!G121:S121-終値!F121:R121))),50),"")</f>
        <v>54.794520547945204</v>
      </c>
      <c r="X69" s="173">
        <f>IF(C69&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-1.2784340806952059</v>
      </c>
      <c r="Y69" s="1" t="e">
        <f>IF(T69="","",IF(銘柄管理!$F$5="下落▼",IF(AND(AD69="パーフェクト▲",OR(AE69="25日線押し目●",AE69="5日線押し目○")),"★逆張り候補",IF(AND(AD69="上昇トレンド▲",OR(AE69="25日線押し目●",AE69="5日線押し目○")),"○逆張り候補",IF(W69&lt;=30,IF(Z69&gt;0,"◎反発確認",IF(Z69&lt;-5,"△要注意・様子見","△売られ過ぎ注目")),"相場下落・見送り"))),IF(AND(T69&gt;=12,AD69="パーフェクト▲"),"★強い買い",IF(AND(T69&gt;=12,AD69="上昇トレンド▲"),"★強い買い",IF(AND(T69&gt;=8,OR(AE69="25日線押し目●",AE69="5日線押し目○")),"◎押し目買い",IF(T69&gt;=10,"○買い候補",IF(T69&gt;=6,"△注目",IF(T69&gt;=3,"様子見","見送り"))))))))</f>
        <v>#VALUE!</v>
      </c>
      <c r="Z69" s="174" t="str">
        <f t="shared" si="30"/>
        <v/>
      </c>
      <c r="AA69" s="166" t="str">
        <f t="shared" si="31"/>
        <v/>
      </c>
      <c r="AB69" s="408">
        <f>IF(C69="","",IFERROR(((終値!E71*0.333)+(終値!F71*0.222)+(終値!G71*0.148)+(終値!H71*0.099)+(終値!I71*0.066)+(終値!J71*0.044)+(終値!K71*0.029)+(終値!L71*0.019)+(終値!M71*0.013)+(終値!N71*0.009))/(0.333+0.222+0.148+0.099+0.066+0.044+0.029+0.019+0.013+0.009),""))</f>
        <v>2385.0692464358444</v>
      </c>
      <c r="AC69" s="408">
        <f>IF(C69="","",IFERROR(SUMPRODUCT((終値!E71:AC71),({0.077,0.071,0.065,0.06,0.055,0.051,0.047,0.043,0.039,0.036,0.033,0.031,0.028,0.026,0.024,0.022,0.02,0.018,0.017,0.016,0.014,0.013,0.012,0.011,0.01}))/SUM({0.077,0.071,0.065,0.06,0.055,0.051,0.047,0.043,0.039,0.036,0.033,0.031,0.028,0.026,0.024,0.022,0.02,0.018,0.017,0.016,0.014,0.013,0.012,0.011,0.01}),""))</f>
        <v>2324.0262216924898</v>
      </c>
      <c r="AD69" s="409" t="str">
        <f t="shared" si="23"/>
        <v>パーフェクト▲</v>
      </c>
      <c r="AE69" s="409" t="e">
        <f t="shared" si="24"/>
        <v>#VALUE!</v>
      </c>
      <c r="AF69" s="368">
        <f t="array" ref="AF69">IF(C69="","",IFERROR((INDEX(終値!$E:$E,MATCH(TEXT(C69,"0"),終値!$A:$A,0))-INDEX(終値!$E:$CZ,MATCH(TEXT(C69,"0"),終値!$A:$A,0),$AL$2))/INDEX(終値!$E:$CZ,MATCH(TEXT(C69,"0"),終値!$A:$A,0),$AL$2)*100,""))</f>
        <v>-5.160390516039052</v>
      </c>
      <c r="AG69" s="368">
        <f t="array" ref="AG69">IFERROR((終値!$E$5-INDEX(終値!$E$5:$CZ$5,1,$AL$2))/INDEX(終値!$E$5:$CZ$5,1,$AL$2)*100,"")</f>
        <v>2.31989243802786</v>
      </c>
      <c r="AH69" s="369">
        <f t="shared" si="25"/>
        <v>-7.4802829540669116</v>
      </c>
      <c r="AI69" s="367">
        <f t="shared" si="26"/>
        <v>-2</v>
      </c>
    </row>
    <row r="70" spans="1:35" s="177" customFormat="1" ht="18" customHeight="1">
      <c r="A70" s="166" t="str">
        <f>IF(銘柄管理!B152&lt;&gt;"",HYPERLINK("https://kabutan.jp/stock/?code="&amp;銘柄管理!B152,"株探"),"")</f>
        <v>株探</v>
      </c>
      <c r="B70" s="167"/>
      <c r="C70" s="168">
        <f>IF(銘柄管理!B152="","",銘柄管理!B152)</f>
        <v>7381</v>
      </c>
      <c r="D70" s="106" t="str">
        <f>IF(銘柄管理!C152="","",銘柄管理!C152)</f>
        <v/>
      </c>
      <c r="E70" s="169" t="str">
        <f>IF(C70&lt;&gt;"",_xll.RssMarket(C70,"現在値"),"")</f>
        <v/>
      </c>
      <c r="F70" s="169" t="str">
        <f>IF(C70&lt;&gt;"",_xll.RssMarket(C70,"始値"),"")</f>
        <v/>
      </c>
      <c r="G70" s="168">
        <f>IF(C70&lt;&gt;"",終値!F152,"")</f>
        <v>1123</v>
      </c>
      <c r="H70" s="169" t="str">
        <f>IF(C70&lt;&gt;"",_xll.RssMarket(C70,"高値"),"")</f>
        <v/>
      </c>
      <c r="I70" s="169" t="str">
        <f>IF(C70&lt;&gt;"",_xll.RssMarket(C70,"安値"),"")</f>
        <v/>
      </c>
      <c r="J70" s="169" t="str">
        <f>IF(C70&lt;&gt;"",_xll.RssMarket(C70,"出来高"),"")</f>
        <v/>
      </c>
      <c r="K70" s="169" t="str">
        <f>IF(C70&lt;&gt;"",_xll.RssMarket(C70,"年初来高値"),"")</f>
        <v/>
      </c>
      <c r="L70" s="170" t="str">
        <f t="shared" si="17"/>
        <v/>
      </c>
      <c r="M70" s="169">
        <f>IF(C70&lt;&gt;"",IFERROR(AVERAGE(出来高!E152:I152),""),"")</f>
        <v>583600</v>
      </c>
      <c r="N70" s="169">
        <f>IF(C70&lt;&gt;"",IFERROR(AVERAGE(出来高!E152:AC152),""),"")</f>
        <v>498668</v>
      </c>
      <c r="O70" s="171" t="str">
        <f t="shared" si="18"/>
        <v/>
      </c>
      <c r="P70" s="166" t="str">
        <f t="shared" si="19"/>
        <v/>
      </c>
      <c r="Q70" s="166" t="str">
        <f t="shared" si="20"/>
        <v/>
      </c>
      <c r="R70" s="169" t="str">
        <f t="shared" si="27"/>
        <v/>
      </c>
      <c r="S70" s="169" t="str">
        <f t="shared" si="28"/>
        <v/>
      </c>
      <c r="T70" s="166">
        <f t="shared" si="21"/>
        <v>0</v>
      </c>
      <c r="U70" s="166" t="str">
        <f t="shared" si="29"/>
        <v>除外</v>
      </c>
      <c r="V70" s="166" t="str">
        <f t="shared" si="22"/>
        <v/>
      </c>
      <c r="W70" s="172">
        <f t="array" ref="W70">IF(C70&lt;&gt;"",IFERROR(100-100/(1+SUMPRODUCT((終値!F152:R152&gt;終値!G152:S152)*( 終値!F152:R152-終値!G152:S152))/SUMPRODUCT((終値!F152:R152&lt;終値!G152:S152)*(終値!G152:S152-終値!F152:R152))),50),"")</f>
        <v>83.397683397683394</v>
      </c>
      <c r="X70" s="173">
        <f>IF(C70&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14.02768479416045</v>
      </c>
      <c r="Y70" s="1" t="e">
        <f>IF(T70="","",IF(銘柄管理!$F$5="下落▼",IF(AND(AD70="パーフェクト▲",OR(AE70="25日線押し目●",AE70="5日線押し目○")),"★逆張り候補",IF(AND(AD70="上昇トレンド▲",OR(AE70="25日線押し目●",AE70="5日線押し目○")),"○逆張り候補",IF(W70&lt;=30,IF(Z70&gt;0,"◎反発確認",IF(Z70&lt;-5,"△要注意・様子見","△売られ過ぎ注目")),"相場下落・見送り"))),IF(AND(T70&gt;=12,AD70="パーフェクト▲"),"★強い買い",IF(AND(T70&gt;=12,AD70="上昇トレンド▲"),"★強い買い",IF(AND(T70&gt;=8,OR(AE70="25日線押し目●",AE70="5日線押し目○")),"◎押し目買い",IF(T70&gt;=10,"○買い候補",IF(T70&gt;=6,"△注目",IF(T70&gt;=3,"様子見","見送り"))))))))</f>
        <v>#VALUE!</v>
      </c>
      <c r="Z70" s="174" t="str">
        <f t="shared" si="30"/>
        <v/>
      </c>
      <c r="AA70" s="166" t="str">
        <f t="shared" si="31"/>
        <v/>
      </c>
      <c r="AB70" s="406">
        <f>IF(C70="","",IFERROR(((終値!E72*0.333)+(終値!F72*0.222)+(終値!G72*0.148)+(終値!H72*0.099)+(終値!I72*0.066)+(終値!J72*0.044)+(終値!K72*0.029)+(終値!L72*0.019)+(終値!M72*0.013)+(終値!N72*0.009))/(0.333+0.222+0.148+0.099+0.066+0.044+0.029+0.019+0.013+0.009),""))</f>
        <v>2388.8951120162933</v>
      </c>
      <c r="AC70" s="406">
        <f>IF(C70="","",IFERROR(SUMPRODUCT((終値!E72:AC72),({0.077,0.071,0.065,0.06,0.055,0.051,0.047,0.043,0.039,0.036,0.033,0.031,0.028,0.026,0.024,0.022,0.02,0.018,0.017,0.016,0.014,0.013,0.012,0.011,0.01}))/SUM({0.077,0.071,0.065,0.06,0.055,0.051,0.047,0.043,0.039,0.036,0.033,0.031,0.028,0.026,0.024,0.022,0.02,0.018,0.017,0.016,0.014,0.013,0.012,0.011,0.01}),""))</f>
        <v>2315.4052443384976</v>
      </c>
      <c r="AD70" s="407" t="str">
        <f t="shared" si="23"/>
        <v>パーフェクト▲</v>
      </c>
      <c r="AE70" s="407" t="e">
        <f t="shared" si="24"/>
        <v>#VALUE!</v>
      </c>
      <c r="AF70" s="368">
        <f t="array" ref="AF70">IF(C70="","",IFERROR((INDEX(終値!$E:$E,MATCH(TEXT(C70,"0"),終値!$A:$A,0))-INDEX(終値!$E:$CZ,MATCH(TEXT(C70,"0"),終値!$A:$A,0),$AL$2))/INDEX(終値!$E:$CZ,MATCH(TEXT(C70,"0"),終値!$A:$A,0),$AL$2)*100,""))</f>
        <v>3.67504835589942</v>
      </c>
      <c r="AG70" s="368">
        <f t="array" ref="AG70">IFERROR((終値!$E$5-INDEX(終値!$E$5:$CZ$5,1,$AL$2))/INDEX(終値!$E$5:$CZ$5,1,$AL$2)*100,"")</f>
        <v>2.31989243802786</v>
      </c>
      <c r="AH70" s="369">
        <f t="shared" si="25"/>
        <v>1.35515591787156</v>
      </c>
      <c r="AI70" s="367">
        <f t="shared" si="26"/>
        <v>1</v>
      </c>
    </row>
    <row r="71" spans="1:35" s="177" customFormat="1" ht="18" customHeight="1">
      <c r="A71" s="166" t="str">
        <f>IF(銘柄管理!B149&lt;&gt;"",HYPERLINK("https://kabutan.jp/stock/?code="&amp;銘柄管理!B149,"株探"),"")</f>
        <v>株探</v>
      </c>
      <c r="B71" s="167"/>
      <c r="C71" s="168">
        <f>IF(銘柄管理!B149="","",銘柄管理!B149)</f>
        <v>7375</v>
      </c>
      <c r="D71" s="106" t="str">
        <f>IF(銘柄管理!C149="","",銘柄管理!C149)</f>
        <v/>
      </c>
      <c r="E71" s="169" t="str">
        <f>IF(C71&lt;&gt;"",_xll.RssMarket(C71,"現在値"),"")</f>
        <v/>
      </c>
      <c r="F71" s="169" t="str">
        <f>IF(C71&lt;&gt;"",_xll.RssMarket(C71,"始値"),"")</f>
        <v/>
      </c>
      <c r="G71" s="168">
        <f>IF(C71&lt;&gt;"",終値!F149,"")</f>
        <v>1305</v>
      </c>
      <c r="H71" s="169" t="str">
        <f>IF(C71&lt;&gt;"",_xll.RssMarket(C71,"高値"),"")</f>
        <v/>
      </c>
      <c r="I71" s="169" t="str">
        <f>IF(C71&lt;&gt;"",_xll.RssMarket(C71,"安値"),"")</f>
        <v/>
      </c>
      <c r="J71" s="169" t="str">
        <f>IF(C71&lt;&gt;"",_xll.RssMarket(C71,"出来高"),"")</f>
        <v/>
      </c>
      <c r="K71" s="169" t="str">
        <f>IF(C71&lt;&gt;"",_xll.RssMarket(C71,"年初来高値"),"")</f>
        <v/>
      </c>
      <c r="L71" s="170" t="str">
        <f t="shared" si="17"/>
        <v/>
      </c>
      <c r="M71" s="169">
        <f>IF(C71&lt;&gt;"",IFERROR(AVERAGE(出来高!E149:I149),""),"")</f>
        <v>54700</v>
      </c>
      <c r="N71" s="169">
        <f>IF(C71&lt;&gt;"",IFERROR(AVERAGE(出来高!E149:AC149),""),"")</f>
        <v>44552</v>
      </c>
      <c r="O71" s="171" t="str">
        <f t="shared" si="18"/>
        <v/>
      </c>
      <c r="P71" s="166" t="str">
        <f t="shared" si="19"/>
        <v/>
      </c>
      <c r="Q71" s="166" t="str">
        <f t="shared" si="20"/>
        <v/>
      </c>
      <c r="R71" s="169" t="str">
        <f t="shared" si="27"/>
        <v/>
      </c>
      <c r="S71" s="169" t="str">
        <f t="shared" si="28"/>
        <v/>
      </c>
      <c r="T71" s="166">
        <f t="shared" si="21"/>
        <v>0</v>
      </c>
      <c r="U71" s="166" t="str">
        <f t="shared" si="29"/>
        <v>除外</v>
      </c>
      <c r="V71" s="166" t="str">
        <f t="shared" si="22"/>
        <v/>
      </c>
      <c r="W71" s="172">
        <f t="array" ref="W71">IF(C71&lt;&gt;"",IFERROR(100-100/(1+SUMPRODUCT((終値!F149:R149&gt;終値!G149:S149)*( 終値!F149:R149-終値!G149:S149))/SUMPRODUCT((終値!F149:R149&lt;終値!G149:S149)*(終値!G149:S149-終値!F149:R149))),50),"")</f>
        <v>41.104294478527599</v>
      </c>
      <c r="X71" s="173">
        <f>IF(C71&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-17.128041426689379</v>
      </c>
      <c r="Y71" s="1" t="e">
        <f>IF(T71="","",IF(銘柄管理!$F$5="下落▼",IF(AND(AD71="パーフェクト▲",OR(AE71="25日線押し目●",AE71="5日線押し目○")),"★逆張り候補",IF(AND(AD71="上昇トレンド▲",OR(AE71="25日線押し目●",AE71="5日線押し目○")),"○逆張り候補",IF(W71&lt;=30,IF(Z71&gt;0,"◎反発確認",IF(Z71&lt;-5,"△要注意・様子見","△売られ過ぎ注目")),"相場下落・見送り"))),IF(AND(T71&gt;=12,AD71="パーフェクト▲"),"★強い買い",IF(AND(T71&gt;=12,AD71="上昇トレンド▲"),"★強い買い",IF(AND(T71&gt;=8,OR(AE71="25日線押し目●",AE71="5日線押し目○")),"◎押し目買い",IF(T71&gt;=10,"○買い候補",IF(T71&gt;=6,"△注目",IF(T71&gt;=3,"様子見","見送り"))))))))</f>
        <v>#VALUE!</v>
      </c>
      <c r="Z71" s="174" t="str">
        <f t="shared" si="30"/>
        <v/>
      </c>
      <c r="AA71" s="166" t="str">
        <f t="shared" si="31"/>
        <v/>
      </c>
      <c r="AB71" s="408">
        <f>IF(C71="","",IFERROR(((終値!E73*0.333)+(終値!F73*0.222)+(終値!G73*0.148)+(終値!H73*0.099)+(終値!I73*0.066)+(終値!J73*0.044)+(終値!K73*0.029)+(終値!L73*0.019)+(終値!M73*0.013)+(終値!N73*0.009))/(0.333+0.222+0.148+0.099+0.066+0.044+0.029+0.019+0.013+0.009),""))</f>
        <v>7527.7087576374724</v>
      </c>
      <c r="AC71" s="408">
        <f>IF(C71="","",IFERROR(SUMPRODUCT((終値!E73:AC73),({0.077,0.071,0.065,0.06,0.055,0.051,0.047,0.043,0.039,0.036,0.033,0.031,0.028,0.026,0.024,0.022,0.02,0.018,0.017,0.016,0.014,0.013,0.012,0.011,0.01}))/SUM({0.077,0.071,0.065,0.06,0.055,0.051,0.047,0.043,0.039,0.036,0.033,0.031,0.028,0.026,0.024,0.022,0.02,0.018,0.017,0.016,0.014,0.013,0.012,0.011,0.01}),""))</f>
        <v>7549.9046483909387</v>
      </c>
      <c r="AD71" s="409" t="str">
        <f t="shared" si="23"/>
        <v>上昇トレンド▲</v>
      </c>
      <c r="AE71" s="409" t="e">
        <f t="shared" si="24"/>
        <v>#VALUE!</v>
      </c>
      <c r="AF71" s="368">
        <f t="array" ref="AF71">IF(C71="","",IFERROR((INDEX(終値!$E:$E,MATCH(TEXT(C71,"0"),終値!$A:$A,0))-INDEX(終値!$E:$CZ,MATCH(TEXT(C71,"0"),終値!$A:$A,0),$AL$2))/INDEX(終値!$E:$CZ,MATCH(TEXT(C71,"0"),終値!$A:$A,0),$AL$2)*100,""))</f>
        <v>-17.409470752089138</v>
      </c>
      <c r="AG71" s="368">
        <f t="array" ref="AG71">IFERROR((終値!$E$5-INDEX(終値!$E$5:$CZ$5,1,$AL$2))/INDEX(終値!$E$5:$CZ$5,1,$AL$2)*100,"")</f>
        <v>2.31989243802786</v>
      </c>
      <c r="AH71" s="369">
        <f t="shared" si="25"/>
        <v>-19.729363190116999</v>
      </c>
      <c r="AI71" s="367">
        <f t="shared" si="26"/>
        <v>-2</v>
      </c>
    </row>
    <row r="72" spans="1:35" s="177" customFormat="1" ht="18" customHeight="1">
      <c r="A72" s="166" t="str">
        <f>IF(銘柄管理!B177&lt;&gt;"",HYPERLINK("https://kabutan.jp/stock/?code="&amp;銘柄管理!B177,"株探"),"")</f>
        <v>株探</v>
      </c>
      <c r="B72" s="167"/>
      <c r="C72" s="168">
        <f>IF(銘柄管理!B177="","",銘柄管理!B177)</f>
        <v>7236</v>
      </c>
      <c r="D72" s="106" t="str">
        <f>IF(銘柄管理!C177="","",銘柄管理!C177)</f>
        <v/>
      </c>
      <c r="E72" s="169" t="str">
        <f>IF(C72&lt;&gt;"",_xll.RssMarket(C72,"現在値"),"")</f>
        <v/>
      </c>
      <c r="F72" s="169" t="str">
        <f>IF(C72&lt;&gt;"",_xll.RssMarket(C72,"始値"),"")</f>
        <v/>
      </c>
      <c r="G72" s="168">
        <f>IF(C72&lt;&gt;"",終値!F177,"")</f>
        <v>1530</v>
      </c>
      <c r="H72" s="169" t="str">
        <f>IF(C72&lt;&gt;"",_xll.RssMarket(C72,"高値"),"")</f>
        <v/>
      </c>
      <c r="I72" s="169" t="str">
        <f>IF(C72&lt;&gt;"",_xll.RssMarket(C72,"安値"),"")</f>
        <v/>
      </c>
      <c r="J72" s="169" t="str">
        <f>IF(C72&lt;&gt;"",_xll.RssMarket(C72,"出来高"),"")</f>
        <v/>
      </c>
      <c r="K72" s="169" t="str">
        <f>IF(C72&lt;&gt;"",_xll.RssMarket(C72,"年初来高値"),"")</f>
        <v/>
      </c>
      <c r="L72" s="170" t="str">
        <f t="shared" si="17"/>
        <v/>
      </c>
      <c r="M72" s="169">
        <f>IF(C72&lt;&gt;"",IFERROR(AVERAGE(出来高!E177:I177),""),"")</f>
        <v>287800</v>
      </c>
      <c r="N72" s="169">
        <f>IF(C72&lt;&gt;"",IFERROR(AVERAGE(出来高!E177:AC177),""),"")</f>
        <v>168424</v>
      </c>
      <c r="O72" s="171" t="str">
        <f t="shared" si="18"/>
        <v/>
      </c>
      <c r="P72" s="166" t="str">
        <f t="shared" si="19"/>
        <v/>
      </c>
      <c r="Q72" s="166" t="str">
        <f t="shared" si="20"/>
        <v/>
      </c>
      <c r="R72" s="169" t="str">
        <f t="shared" si="27"/>
        <v/>
      </c>
      <c r="S72" s="169" t="str">
        <f t="shared" si="28"/>
        <v/>
      </c>
      <c r="T72" s="166">
        <f t="shared" si="21"/>
        <v>0</v>
      </c>
      <c r="U72" s="166" t="str">
        <f t="shared" si="29"/>
        <v>除外</v>
      </c>
      <c r="V72" s="166" t="str">
        <f t="shared" si="22"/>
        <v/>
      </c>
      <c r="W72" s="172">
        <f t="array" ref="W72">IF(C72&lt;&gt;"",IFERROR(100-100/(1+SUMPRODUCT((終値!F177:R177&gt;終値!G177:S177)*( 終値!F177:R177-終値!G177:S177))/SUMPRODUCT((終値!F177:R177&lt;終値!G177:S177)*(終値!G177:S177-終値!F177:R177))),50),"")</f>
        <v>3.3934103069557864</v>
      </c>
      <c r="X72" s="173">
        <f>IF(C72&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-1765.0291574954529</v>
      </c>
      <c r="Y72" s="1" t="e">
        <f>IF(T72="","",IF(銘柄管理!$F$5="下落▼",IF(AND(AD72="パーフェクト▲",OR(AE72="25日線押し目●",AE72="5日線押し目○")),"★逆張り候補",IF(AND(AD72="上昇トレンド▲",OR(AE72="25日線押し目●",AE72="5日線押し目○")),"○逆張り候補",IF(W72&lt;=30,IF(Z72&gt;0,"◎反発確認",IF(Z72&lt;-5,"△要注意・様子見","△売られ過ぎ注目")),"相場下落・見送り"))),IF(AND(T72&gt;=12,AD72="パーフェクト▲"),"★強い買い",IF(AND(T72&gt;=12,AD72="上昇トレンド▲"),"★強い買い",IF(AND(T72&gt;=8,OR(AE72="25日線押し目●",AE72="5日線押し目○")),"◎押し目買い",IF(T72&gt;=10,"○買い候補",IF(T72&gt;=6,"△注目",IF(T72&gt;=3,"様子見","見送り"))))))))</f>
        <v>#VALUE!</v>
      </c>
      <c r="Z72" s="174" t="str">
        <f t="shared" si="30"/>
        <v/>
      </c>
      <c r="AA72" s="166" t="str">
        <f t="shared" si="31"/>
        <v/>
      </c>
      <c r="AB72" s="406">
        <f>IF(C72="","",IFERROR(((終値!E74*0.333)+(終値!F74*0.222)+(終値!G74*0.148)+(終値!H74*0.099)+(終値!I74*0.066)+(終値!J74*0.044)+(終値!K74*0.029)+(終値!L74*0.019)+(終値!M74*0.013)+(終値!N74*0.009))/(0.333+0.222+0.148+0.099+0.066+0.044+0.029+0.019+0.013+0.009),""))</f>
        <v>3031.4093686354372</v>
      </c>
      <c r="AC72" s="406">
        <f>IF(C72="","",IFERROR(SUMPRODUCT((終値!E74:AC74),({0.077,0.071,0.065,0.06,0.055,0.051,0.047,0.043,0.039,0.036,0.033,0.031,0.028,0.026,0.024,0.022,0.02,0.018,0.017,0.016,0.014,0.013,0.012,0.011,0.01}))/SUM({0.077,0.071,0.065,0.06,0.055,0.051,0.047,0.043,0.039,0.036,0.033,0.031,0.028,0.026,0.024,0.022,0.02,0.018,0.017,0.016,0.014,0.013,0.012,0.011,0.01}),""))</f>
        <v>3020.8349225268162</v>
      </c>
      <c r="AD72" s="407" t="str">
        <f t="shared" si="23"/>
        <v>パーフェクト▲</v>
      </c>
      <c r="AE72" s="407" t="e">
        <f t="shared" si="24"/>
        <v>#VALUE!</v>
      </c>
      <c r="AF72" s="368">
        <f t="array" ref="AF72">IF(C72="","",IFERROR((INDEX(終値!$E:$E,MATCH(TEXT(C72,"0"),終値!$A:$A,0))-INDEX(終値!$E:$CZ,MATCH(TEXT(C72,"0"),終値!$A:$A,0),$AL$2))/INDEX(終値!$E:$CZ,MATCH(TEXT(C72,"0"),終値!$A:$A,0),$AL$2)*100,""))</f>
        <v>-89.45195729537366</v>
      </c>
      <c r="AG72" s="368">
        <f t="array" ref="AG72">IFERROR((終値!$E$5-INDEX(終値!$E$5:$CZ$5,1,$AL$2))/INDEX(終値!$E$5:$CZ$5,1,$AL$2)*100,"")</f>
        <v>2.31989243802786</v>
      </c>
      <c r="AH72" s="369">
        <f t="shared" si="25"/>
        <v>-91.771849733401524</v>
      </c>
      <c r="AI72" s="367">
        <f t="shared" si="26"/>
        <v>-2</v>
      </c>
    </row>
    <row r="73" spans="1:35" s="177" customFormat="1" ht="18" customHeight="1">
      <c r="A73" s="166" t="str">
        <f>IF(銘柄管理!B77&lt;&gt;"",HYPERLINK("https://kabutan.jp/stock/?code="&amp;銘柄管理!B77,"株探"),"")</f>
        <v>株探</v>
      </c>
      <c r="B73" s="167"/>
      <c r="C73" s="168">
        <f>IF(銘柄管理!B77="","",銘柄管理!B77)</f>
        <v>7203</v>
      </c>
      <c r="D73" s="106" t="str">
        <f>IF(銘柄管理!C77="","",銘柄管理!C77)</f>
        <v/>
      </c>
      <c r="E73" s="169" t="str">
        <f>IF(C73&lt;&gt;"",_xll.RssMarket(C73,"現在値"),"")</f>
        <v/>
      </c>
      <c r="F73" s="169" t="str">
        <f>IF(C73&lt;&gt;"",_xll.RssMarket(C73,"始値"),"")</f>
        <v/>
      </c>
      <c r="G73" s="168">
        <f>IF(C73&lt;&gt;"",終値!F77,"")</f>
        <v>2875.5</v>
      </c>
      <c r="H73" s="169" t="str">
        <f>IF(C73&lt;&gt;"",_xll.RssMarket(C73,"高値"),"")</f>
        <v/>
      </c>
      <c r="I73" s="169" t="str">
        <f>IF(C73&lt;&gt;"",_xll.RssMarket(C73,"安値"),"")</f>
        <v/>
      </c>
      <c r="J73" s="169" t="str">
        <f>IF(C73&lt;&gt;"",_xll.RssMarket(C73,"出来高"),"")</f>
        <v/>
      </c>
      <c r="K73" s="169" t="str">
        <f>IF(C73&lt;&gt;"",_xll.RssMarket(C73,"年初来高値"),"")</f>
        <v/>
      </c>
      <c r="L73" s="170" t="str">
        <f t="shared" si="17"/>
        <v/>
      </c>
      <c r="M73" s="169">
        <f>IF(C73&lt;&gt;"",IFERROR(AVERAGE(出来高!E77:I77),""),"")</f>
        <v>24799300</v>
      </c>
      <c r="N73" s="169">
        <f>IF(C73&lt;&gt;"",IFERROR(AVERAGE(出来高!E77:AC77),""),"")</f>
        <v>26616732</v>
      </c>
      <c r="O73" s="171" t="str">
        <f t="shared" si="18"/>
        <v/>
      </c>
      <c r="P73" s="166" t="str">
        <f t="shared" si="19"/>
        <v/>
      </c>
      <c r="Q73" s="166" t="str">
        <f t="shared" si="20"/>
        <v/>
      </c>
      <c r="R73" s="169" t="str">
        <f t="shared" si="27"/>
        <v/>
      </c>
      <c r="S73" s="169" t="str">
        <f t="shared" si="28"/>
        <v/>
      </c>
      <c r="T73" s="166">
        <f t="shared" si="21"/>
        <v>0</v>
      </c>
      <c r="U73" s="166" t="str">
        <f t="shared" si="29"/>
        <v>除外</v>
      </c>
      <c r="V73" s="166" t="str">
        <f t="shared" si="22"/>
        <v/>
      </c>
      <c r="W73" s="172">
        <f t="array" ref="W73">IF(C73&lt;&gt;"",IFERROR(100-100/(1+SUMPRODUCT((終値!F77:R77&gt;終値!G77:S77)*( 終値!F77:R77-終値!G77:S77))/SUMPRODUCT((終値!F77:R77&lt;終値!G77:S77)*(終値!G77:S77-終値!F77:R77))),50),"")</f>
        <v>61.139896373056992</v>
      </c>
      <c r="X73" s="173">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17.896102913958657</v>
      </c>
      <c r="Y73" s="1" t="e">
        <f>IF(T73="","",IF(銘柄管理!$F$5="下落▼",IF(AND(AD73="パーフェクト▲",OR(AE73="25日線押し目●",AE73="5日線押し目○")),"★逆張り候補",IF(AND(AD73="上昇トレンド▲",OR(AE73="25日線押し目●",AE73="5日線押し目○")),"○逆張り候補",IF(W73&lt;=30,IF(Z73&gt;0,"◎反発確認",IF(Z73&lt;-5,"△要注意・様子見","△売られ過ぎ注目")),"相場下落・見送り"))),IF(AND(T73&gt;=12,AD73="パーフェクト▲"),"★強い買い",IF(AND(T73&gt;=12,AD73="上昇トレンド▲"),"★強い買い",IF(AND(T73&gt;=8,OR(AE73="25日線押し目●",AE73="5日線押し目○")),"◎押し目買い",IF(T73&gt;=10,"○買い候補",IF(T73&gt;=6,"△注目",IF(T73&gt;=3,"様子見","見送り"))))))))</f>
        <v>#VALUE!</v>
      </c>
      <c r="Z73" s="174" t="str">
        <f t="shared" si="30"/>
        <v/>
      </c>
      <c r="AA73" s="166" t="str">
        <f t="shared" si="31"/>
        <v/>
      </c>
      <c r="AB73" s="408">
        <f>IF(C73="","",IFERROR(((終値!E75*0.333)+(終値!F75*0.222)+(終値!G75*0.148)+(終値!H75*0.099)+(終値!I75*0.066)+(終値!J75*0.044)+(終値!K75*0.029)+(終値!L75*0.019)+(終値!M75*0.013)+(終値!N75*0.009))/(0.333+0.222+0.148+0.099+0.066+0.044+0.029+0.019+0.013+0.009),""))</f>
        <v>1782.7403258655802</v>
      </c>
      <c r="AC73" s="408">
        <f>IF(C73="","",IFERROR(SUMPRODUCT((終値!E75:AC75),({0.077,0.071,0.065,0.06,0.055,0.051,0.047,0.043,0.039,0.036,0.033,0.031,0.028,0.026,0.024,0.022,0.02,0.018,0.017,0.016,0.014,0.013,0.012,0.011,0.01}))/SUM({0.077,0.071,0.065,0.06,0.055,0.051,0.047,0.043,0.039,0.036,0.033,0.031,0.028,0.026,0.024,0.022,0.02,0.018,0.017,0.016,0.014,0.013,0.012,0.011,0.01}),""))</f>
        <v>2539.1877234803333</v>
      </c>
      <c r="AD73" s="409" t="str">
        <f t="shared" si="23"/>
        <v>上昇トレンド▲</v>
      </c>
      <c r="AE73" s="409" t="e">
        <f t="shared" si="24"/>
        <v>#VALUE!</v>
      </c>
      <c r="AF73" s="368">
        <f t="array" ref="AF73">IF(C73="","",IFERROR((INDEX(終値!$E:$E,MATCH(TEXT(C73,"0"),終値!$A:$A,0))-INDEX(終値!$E:$CZ,MATCH(TEXT(C73,"0"),終値!$A:$A,0),$AL$2))/INDEX(終値!$E:$CZ,MATCH(TEXT(C73,"0"),終値!$A:$A,0),$AL$2)*100,""))</f>
        <v>3.0383795309168442</v>
      </c>
      <c r="AG73" s="368">
        <f t="array" ref="AG73">IFERROR((終値!$E$5-INDEX(終値!$E$5:$CZ$5,1,$AL$2))/INDEX(終値!$E$5:$CZ$5,1,$AL$2)*100,"")</f>
        <v>2.31989243802786</v>
      </c>
      <c r="AH73" s="369">
        <f t="shared" si="25"/>
        <v>0.71848709288898416</v>
      </c>
      <c r="AI73" s="367">
        <f t="shared" si="26"/>
        <v>1</v>
      </c>
    </row>
    <row r="74" spans="1:35" s="177" customFormat="1" ht="18" customHeight="1">
      <c r="A74" s="166" t="str">
        <f>IF(銘柄管理!B85&lt;&gt;"",HYPERLINK("https://kabutan.jp/stock/?code="&amp;銘柄管理!B85,"株探"),"")</f>
        <v>株探</v>
      </c>
      <c r="B74" s="167"/>
      <c r="C74" s="168">
        <f>IF(銘柄管理!B85="","",銘柄管理!B85)</f>
        <v>7182</v>
      </c>
      <c r="D74" s="106" t="str">
        <f>IF(銘柄管理!C85="","",銘柄管理!C85)</f>
        <v/>
      </c>
      <c r="E74" s="169" t="str">
        <f>IF(C74&lt;&gt;"",_xll.RssMarket(C74,"現在値"),"")</f>
        <v/>
      </c>
      <c r="F74" s="169" t="str">
        <f>IF(C74&lt;&gt;"",_xll.RssMarket(C74,"始値"),"")</f>
        <v/>
      </c>
      <c r="G74" s="168">
        <f>IF(C74&lt;&gt;"",終値!F85,"")</f>
        <v>3350</v>
      </c>
      <c r="H74" s="169" t="str">
        <f>IF(C74&lt;&gt;"",_xll.RssMarket(C74,"高値"),"")</f>
        <v/>
      </c>
      <c r="I74" s="169" t="str">
        <f>IF(C74&lt;&gt;"",_xll.RssMarket(C74,"安値"),"")</f>
        <v/>
      </c>
      <c r="J74" s="169" t="str">
        <f>IF(C74&lt;&gt;"",_xll.RssMarket(C74,"出来高"),"")</f>
        <v/>
      </c>
      <c r="K74" s="169" t="str">
        <f>IF(C74&lt;&gt;"",_xll.RssMarket(C74,"年初来高値"),"")</f>
        <v/>
      </c>
      <c r="L74" s="170" t="str">
        <f t="shared" si="17"/>
        <v/>
      </c>
      <c r="M74" s="169">
        <f>IF(C74&lt;&gt;"",IFERROR(AVERAGE(出来高!E85:I85),""),"")</f>
        <v>5823120</v>
      </c>
      <c r="N74" s="169">
        <f>IF(C74&lt;&gt;"",IFERROR(AVERAGE(出来高!E85:AC85),""),"")</f>
        <v>6149504</v>
      </c>
      <c r="O74" s="171" t="str">
        <f t="shared" si="18"/>
        <v/>
      </c>
      <c r="P74" s="166" t="str">
        <f t="shared" si="19"/>
        <v/>
      </c>
      <c r="Q74" s="166" t="str">
        <f t="shared" si="20"/>
        <v/>
      </c>
      <c r="R74" s="169" t="str">
        <f t="shared" si="27"/>
        <v/>
      </c>
      <c r="S74" s="169" t="str">
        <f t="shared" si="28"/>
        <v/>
      </c>
      <c r="T74" s="166">
        <f t="shared" si="21"/>
        <v>0</v>
      </c>
      <c r="U74" s="166" t="str">
        <f t="shared" si="29"/>
        <v>除外</v>
      </c>
      <c r="V74" s="166" t="str">
        <f t="shared" si="22"/>
        <v/>
      </c>
      <c r="W74" s="172">
        <f t="array" ref="W74">IF(C74&lt;&gt;"",IFERROR(100-100/(1+SUMPRODUCT((終値!F85:R85&gt;終値!G85:S85)*( 終値!F85:R85-終値!G85:S85))/SUMPRODUCT((終値!F85:R85&lt;終値!G85:S85)*(終値!G85:S85-終値!F85:R85))),50),"")</f>
        <v>84.863523573200993</v>
      </c>
      <c r="X74" s="173">
        <f>IF(C74&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23.129134011837323</v>
      </c>
      <c r="Y74" s="1" t="e">
        <f>IF(T74="","",IF(銘柄管理!$F$5="下落▼",IF(AND(AD74="パーフェクト▲",OR(AE74="25日線押し目●",AE74="5日線押し目○")),"★逆張り候補",IF(AND(AD74="上昇トレンド▲",OR(AE74="25日線押し目●",AE74="5日線押し目○")),"○逆張り候補",IF(W74&lt;=30,IF(Z74&gt;0,"◎反発確認",IF(Z74&lt;-5,"△要注意・様子見","△売られ過ぎ注目")),"相場下落・見送り"))),IF(AND(T74&gt;=12,AD74="パーフェクト▲"),"★強い買い",IF(AND(T74&gt;=12,AD74="上昇トレンド▲"),"★強い買い",IF(AND(T74&gt;=8,OR(AE74="25日線押し目●",AE74="5日線押し目○")),"◎押し目買い",IF(T74&gt;=10,"○買い候補",IF(T74&gt;=6,"△注目",IF(T74&gt;=3,"様子見","見送り"))))))))</f>
        <v>#VALUE!</v>
      </c>
      <c r="Z74" s="174" t="str">
        <f t="shared" si="30"/>
        <v/>
      </c>
      <c r="AA74" s="166" t="str">
        <f t="shared" si="31"/>
        <v/>
      </c>
      <c r="AB74" s="406">
        <f>IF(C74="","",IFERROR(((終値!E76*0.333)+(終値!F76*0.222)+(終値!G76*0.148)+(終値!H76*0.099)+(終値!I76*0.066)+(終値!J76*0.044)+(終値!K76*0.029)+(終値!L76*0.019)+(終値!M76*0.013)+(終値!N76*0.009))/(0.333+0.222+0.148+0.099+0.066+0.044+0.029+0.019+0.013+0.009),""))</f>
        <v>5511.9276985743372</v>
      </c>
      <c r="AC74" s="406">
        <f>IF(C74="","",IFERROR(SUMPRODUCT((終値!E76:AC76),({0.077,0.071,0.065,0.06,0.055,0.051,0.047,0.043,0.039,0.036,0.033,0.031,0.028,0.026,0.024,0.022,0.02,0.018,0.017,0.016,0.014,0.013,0.012,0.011,0.01}))/SUM({0.077,0.071,0.065,0.06,0.055,0.051,0.047,0.043,0.039,0.036,0.033,0.031,0.028,0.026,0.024,0.022,0.02,0.018,0.017,0.016,0.014,0.013,0.012,0.011,0.01}),""))</f>
        <v>5674.8355184743732</v>
      </c>
      <c r="AD74" s="407" t="str">
        <f t="shared" si="23"/>
        <v>上昇トレンド▲</v>
      </c>
      <c r="AE74" s="407" t="e">
        <f t="shared" si="24"/>
        <v>#VALUE!</v>
      </c>
      <c r="AF74" s="368">
        <f t="array" ref="AF74">IF(C74="","",IFERROR((INDEX(終値!$E:$E,MATCH(TEXT(C74,"0"),終値!$A:$A,0))-INDEX(終値!$E:$CZ,MATCH(TEXT(C74,"0"),終値!$A:$A,0),$AL$2))/INDEX(終値!$E:$CZ,MATCH(TEXT(C74,"0"),終値!$A:$A,0),$AL$2)*100,""))</f>
        <v>-1.1331444759206799</v>
      </c>
      <c r="AG74" s="368">
        <f t="array" ref="AG74">IFERROR((終値!$E$5-INDEX(終値!$E$5:$CZ$5,1,$AL$2))/INDEX(終値!$E$5:$CZ$5,1,$AL$2)*100,"")</f>
        <v>2.31989243802786</v>
      </c>
      <c r="AH74" s="369">
        <f t="shared" si="25"/>
        <v>-3.45303691394854</v>
      </c>
      <c r="AI74" s="367">
        <f t="shared" si="26"/>
        <v>-2</v>
      </c>
    </row>
    <row r="75" spans="1:35" s="177" customFormat="1" ht="18" customHeight="1">
      <c r="A75" s="166" t="str">
        <f>IF(銘柄管理!B82&lt;&gt;"",HYPERLINK("https://kabutan.jp/stock/?code="&amp;銘柄管理!B82,"株探"),"")</f>
        <v>株探</v>
      </c>
      <c r="B75" s="167"/>
      <c r="C75" s="168">
        <f>IF(銘柄管理!B82="","",銘柄管理!B82)</f>
        <v>7167</v>
      </c>
      <c r="D75" s="106" t="str">
        <f>IF(銘柄管理!C82="","",銘柄管理!C82)</f>
        <v/>
      </c>
      <c r="E75" s="169" t="str">
        <f>IF(C75&lt;&gt;"",_xll.RssMarket(C75,"現在値"),"")</f>
        <v/>
      </c>
      <c r="F75" s="169" t="str">
        <f>IF(C75&lt;&gt;"",_xll.RssMarket(C75,"始値"),"")</f>
        <v/>
      </c>
      <c r="G75" s="168">
        <f>IF(C75&lt;&gt;"",終値!F82,"")</f>
        <v>1531.5</v>
      </c>
      <c r="H75" s="169" t="str">
        <f>IF(C75&lt;&gt;"",_xll.RssMarket(C75,"高値"),"")</f>
        <v/>
      </c>
      <c r="I75" s="169" t="str">
        <f>IF(C75&lt;&gt;"",_xll.RssMarket(C75,"安値"),"")</f>
        <v/>
      </c>
      <c r="J75" s="169" t="str">
        <f>IF(C75&lt;&gt;"",_xll.RssMarket(C75,"出来高"),"")</f>
        <v/>
      </c>
      <c r="K75" s="169" t="str">
        <f>IF(C75&lt;&gt;"",_xll.RssMarket(C75,"年初来高値"),"")</f>
        <v/>
      </c>
      <c r="L75" s="170" t="str">
        <f t="shared" si="17"/>
        <v/>
      </c>
      <c r="M75" s="169">
        <f>IF(C75&lt;&gt;"",IFERROR(AVERAGE(出来高!E82:I82),""),"")</f>
        <v>3499060</v>
      </c>
      <c r="N75" s="169">
        <f>IF(C75&lt;&gt;"",IFERROR(AVERAGE(出来高!E82:AC82),""),"")</f>
        <v>2775724</v>
      </c>
      <c r="O75" s="171" t="str">
        <f t="shared" si="18"/>
        <v/>
      </c>
      <c r="P75" s="166" t="str">
        <f t="shared" si="19"/>
        <v/>
      </c>
      <c r="Q75" s="166" t="str">
        <f t="shared" si="20"/>
        <v/>
      </c>
      <c r="R75" s="169" t="str">
        <f t="shared" si="27"/>
        <v/>
      </c>
      <c r="S75" s="169" t="str">
        <f t="shared" si="28"/>
        <v/>
      </c>
      <c r="T75" s="166">
        <f t="shared" si="21"/>
        <v>0</v>
      </c>
      <c r="U75" s="166" t="str">
        <f t="shared" si="29"/>
        <v>除外</v>
      </c>
      <c r="V75" s="166" t="str">
        <f t="shared" si="22"/>
        <v/>
      </c>
      <c r="W75" s="172">
        <f t="array" ref="W75">IF(C75&lt;&gt;"",IFERROR(100-100/(1+SUMPRODUCT((終値!F82:R82&gt;終値!G82:S82)*( 終値!F82:R82-終値!G82:S82))/SUMPRODUCT((終値!F82:R82&lt;終値!G82:S82)*(終値!G82:S82-終値!F82:R82))),50),"")</f>
        <v>81.856540084388186</v>
      </c>
      <c r="X75" s="173">
        <f>IF(C75&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17.212446117044237</v>
      </c>
      <c r="Y75" s="1" t="e">
        <f>IF(T75="","",IF(銘柄管理!$F$5="下落▼",IF(AND(AD75="パーフェクト▲",OR(AE75="25日線押し目●",AE75="5日線押し目○")),"★逆張り候補",IF(AND(AD75="上昇トレンド▲",OR(AE75="25日線押し目●",AE75="5日線押し目○")),"○逆張り候補",IF(W75&lt;=30,IF(Z75&gt;0,"◎反発確認",IF(Z75&lt;-5,"△要注意・様子見","△売られ過ぎ注目")),"相場下落・見送り"))),IF(AND(T75&gt;=12,AD75="パーフェクト▲"),"★強い買い",IF(AND(T75&gt;=12,AD75="上昇トレンド▲"),"★強い買い",IF(AND(T75&gt;=8,OR(AE75="25日線押し目●",AE75="5日線押し目○")),"◎押し目買い",IF(T75&gt;=10,"○買い候補",IF(T75&gt;=6,"△注目",IF(T75&gt;=3,"様子見","見送り"))))))))</f>
        <v>#VALUE!</v>
      </c>
      <c r="Z75" s="174" t="str">
        <f t="shared" si="30"/>
        <v/>
      </c>
      <c r="AA75" s="166" t="str">
        <f t="shared" si="31"/>
        <v/>
      </c>
      <c r="AB75" s="408">
        <f>IF(C75="","",IFERROR(((終値!E77*0.333)+(終値!F77*0.222)+(終値!G77*0.148)+(終値!H77*0.099)+(終値!I77*0.066)+(終値!J77*0.044)+(終値!K77*0.029)+(終値!L77*0.019)+(終値!M77*0.013)+(終値!N77*0.009))/(0.333+0.222+0.148+0.099+0.066+0.044+0.029+0.019+0.013+0.009),""))</f>
        <v>2867.2510183299378</v>
      </c>
      <c r="AC75" s="408">
        <f>IF(C75="","",IFERROR(SUMPRODUCT((終値!E77:AC77),({0.077,0.071,0.065,0.06,0.055,0.051,0.047,0.043,0.039,0.036,0.033,0.031,0.028,0.026,0.024,0.022,0.02,0.018,0.017,0.016,0.014,0.013,0.012,0.011,0.01}))/SUM({0.077,0.071,0.065,0.06,0.055,0.051,0.047,0.043,0.039,0.036,0.033,0.031,0.028,0.026,0.024,0.022,0.02,0.018,0.017,0.016,0.014,0.013,0.012,0.011,0.01}),""))</f>
        <v>2825.0286054827166</v>
      </c>
      <c r="AD75" s="409" t="str">
        <f t="shared" si="23"/>
        <v>パーフェクト▲</v>
      </c>
      <c r="AE75" s="409" t="e">
        <f t="shared" si="24"/>
        <v>#VALUE!</v>
      </c>
      <c r="AF75" s="368">
        <f t="array" ref="AF75">IF(C75="","",IFERROR((INDEX(終値!$E:$E,MATCH(TEXT(C75,"0"),終値!$A:$A,0))-INDEX(終値!$E:$CZ,MATCH(TEXT(C75,"0"),終値!$A:$A,0),$AL$2))/INDEX(終値!$E:$CZ,MATCH(TEXT(C75,"0"),終値!$A:$A,0),$AL$2)*100,""))</f>
        <v>5.8212829069336305</v>
      </c>
      <c r="AG75" s="368">
        <f t="array" ref="AG75">IFERROR((終値!$E$5-INDEX(終値!$E$5:$CZ$5,1,$AL$2))/INDEX(終値!$E$5:$CZ$5,1,$AL$2)*100,"")</f>
        <v>2.31989243802786</v>
      </c>
      <c r="AH75" s="369">
        <f t="shared" si="25"/>
        <v>3.5013904689057704</v>
      </c>
      <c r="AI75" s="367">
        <f t="shared" si="26"/>
        <v>1</v>
      </c>
    </row>
    <row r="76" spans="1:35" s="177" customFormat="1" ht="18" customHeight="1">
      <c r="A76" s="166" t="str">
        <f>IF(銘柄管理!B106&lt;&gt;"",HYPERLINK("https://kabutan.jp/stock/?code="&amp;銘柄管理!B106,"株探"),"")</f>
        <v>株探</v>
      </c>
      <c r="B76" s="167"/>
      <c r="C76" s="168">
        <f>IF(銘柄管理!B106="","",銘柄管理!B106)</f>
        <v>7021</v>
      </c>
      <c r="D76" s="106" t="str">
        <f>IF(銘柄管理!C106="","",銘柄管理!C106)</f>
        <v/>
      </c>
      <c r="E76" s="169" t="str">
        <f>IF(C76&lt;&gt;"",_xll.RssMarket(C76,"現在値"),"")</f>
        <v/>
      </c>
      <c r="F76" s="169" t="str">
        <f>IF(C76&lt;&gt;"",_xll.RssMarket(C76,"始値"),"")</f>
        <v/>
      </c>
      <c r="G76" s="168">
        <f>IF(C76&lt;&gt;"",終値!F106,"")</f>
        <v>1846</v>
      </c>
      <c r="H76" s="169" t="str">
        <f>IF(C76&lt;&gt;"",_xll.RssMarket(C76,"高値"),"")</f>
        <v/>
      </c>
      <c r="I76" s="169" t="str">
        <f>IF(C76&lt;&gt;"",_xll.RssMarket(C76,"安値"),"")</f>
        <v/>
      </c>
      <c r="J76" s="169" t="str">
        <f>IF(C76&lt;&gt;"",_xll.RssMarket(C76,"出来高"),"")</f>
        <v/>
      </c>
      <c r="K76" s="169" t="str">
        <f>IF(C76&lt;&gt;"",_xll.RssMarket(C76,"年初来高値"),"")</f>
        <v/>
      </c>
      <c r="L76" s="170" t="str">
        <f t="shared" si="17"/>
        <v/>
      </c>
      <c r="M76" s="169">
        <f>IF(C76&lt;&gt;"",IFERROR(AVERAGE(出来高!E106:I106),""),"")</f>
        <v>1480</v>
      </c>
      <c r="N76" s="169">
        <f>IF(C76&lt;&gt;"",IFERROR(AVERAGE(出来高!E106:AC106),""),"")</f>
        <v>1368</v>
      </c>
      <c r="O76" s="171" t="str">
        <f t="shared" si="18"/>
        <v/>
      </c>
      <c r="P76" s="166" t="str">
        <f t="shared" si="19"/>
        <v/>
      </c>
      <c r="Q76" s="166" t="str">
        <f t="shared" si="20"/>
        <v/>
      </c>
      <c r="R76" s="169" t="str">
        <f t="shared" si="27"/>
        <v/>
      </c>
      <c r="S76" s="169" t="str">
        <f t="shared" si="28"/>
        <v/>
      </c>
      <c r="T76" s="166">
        <f t="shared" si="21"/>
        <v>0</v>
      </c>
      <c r="U76" s="166" t="str">
        <f t="shared" si="29"/>
        <v>除外</v>
      </c>
      <c r="V76" s="166" t="str">
        <f t="shared" si="22"/>
        <v/>
      </c>
      <c r="W76" s="172">
        <f t="array" ref="W76">IF(C76&lt;&gt;"",IFERROR(100-100/(1+SUMPRODUCT((終値!F106:R106&gt;終値!G106:S106)*( 終値!F106:R106-終値!G106:S106))/SUMPRODUCT((終値!F106:R106&lt;終値!G106:S106)*(終値!G106:S106-終値!F106:R106))),50),"")</f>
        <v>65.895953757225442</v>
      </c>
      <c r="X76" s="173">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8.6543788981805392</v>
      </c>
      <c r="Y76" s="1" t="e">
        <f>IF(T76="","",IF(銘柄管理!$F$5="下落▼",IF(AND(AD76="パーフェクト▲",OR(AE76="25日線押し目●",AE76="5日線押し目○")),"★逆張り候補",IF(AND(AD76="上昇トレンド▲",OR(AE76="25日線押し目●",AE76="5日線押し目○")),"○逆張り候補",IF(W76&lt;=30,IF(Z76&gt;0,"◎反発確認",IF(Z76&lt;-5,"△要注意・様子見","△売られ過ぎ注目")),"相場下落・見送り"))),IF(AND(T76&gt;=12,AD76="パーフェクト▲"),"★強い買い",IF(AND(T76&gt;=12,AD76="上昇トレンド▲"),"★強い買い",IF(AND(T76&gt;=8,OR(AE76="25日線押し目●",AE76="5日線押し目○")),"◎押し目買い",IF(T76&gt;=10,"○買い候補",IF(T76&gt;=6,"△注目",IF(T76&gt;=3,"様子見","見送り"))))))))</f>
        <v>#VALUE!</v>
      </c>
      <c r="Z76" s="174" t="str">
        <f t="shared" si="30"/>
        <v/>
      </c>
      <c r="AA76" s="166" t="str">
        <f t="shared" si="31"/>
        <v/>
      </c>
      <c r="AB76" s="406">
        <f>IF(C76="","",IFERROR(((終値!E78*0.333)+(終値!F78*0.222)+(終値!G78*0.148)+(終値!H78*0.099)+(終値!I78*0.066)+(終値!J78*0.044)+(終値!K78*0.029)+(終値!L78*0.019)+(終値!M78*0.013)+(終値!N78*0.009))/(0.333+0.222+0.148+0.099+0.066+0.044+0.029+0.019+0.013+0.009),""))</f>
        <v>6862.0193482688383</v>
      </c>
      <c r="AC76" s="406">
        <f>IF(C76="","",IFERROR(SUMPRODUCT((終値!E78:AC78),({0.077,0.071,0.065,0.06,0.055,0.051,0.047,0.043,0.039,0.036,0.033,0.031,0.028,0.026,0.024,0.022,0.02,0.018,0.017,0.016,0.014,0.013,0.012,0.011,0.01}))/SUM({0.077,0.071,0.065,0.06,0.055,0.051,0.047,0.043,0.039,0.036,0.033,0.031,0.028,0.026,0.024,0.022,0.02,0.018,0.017,0.016,0.014,0.013,0.012,0.011,0.01}),""))</f>
        <v>7093.7365911799752</v>
      </c>
      <c r="AD76" s="407" t="str">
        <f t="shared" si="23"/>
        <v>上昇トレンド▲</v>
      </c>
      <c r="AE76" s="407" t="e">
        <f t="shared" si="24"/>
        <v>#VALUE!</v>
      </c>
      <c r="AF76" s="368">
        <f t="array" ref="AF76">IF(C76="","",IFERROR((INDEX(終値!$E:$E,MATCH(TEXT(C76,"0"),終値!$A:$A,0))-INDEX(終値!$E:$CZ,MATCH(TEXT(C76,"0"),終値!$A:$A,0),$AL$2))/INDEX(終値!$E:$CZ,MATCH(TEXT(C76,"0"),終値!$A:$A,0),$AL$2)*100,""))</f>
        <v>5.8356940509915018</v>
      </c>
      <c r="AG76" s="368">
        <f t="array" ref="AG76">IFERROR((終値!$E$5-INDEX(終値!$E$5:$CZ$5,1,$AL$2))/INDEX(終値!$E$5:$CZ$5,1,$AL$2)*100,"")</f>
        <v>2.31989243802786</v>
      </c>
      <c r="AH76" s="369">
        <f t="shared" si="25"/>
        <v>3.5158016129636418</v>
      </c>
      <c r="AI76" s="367">
        <f t="shared" si="26"/>
        <v>1</v>
      </c>
    </row>
    <row r="77" spans="1:35" s="177" customFormat="1" ht="18" customHeight="1">
      <c r="A77" s="166" t="str">
        <f>IF(銘柄管理!B207&lt;&gt;"",HYPERLINK("https://kabutan.jp/stock/?code="&amp;銘柄管理!B207,"株探"),"")</f>
        <v>株探</v>
      </c>
      <c r="B77" s="167"/>
      <c r="C77" s="168">
        <f>IF(銘柄管理!B207="","",銘柄管理!B207)</f>
        <v>7011</v>
      </c>
      <c r="D77" s="106" t="str">
        <f>IF(銘柄管理!C207="","",銘柄管理!C207)</f>
        <v/>
      </c>
      <c r="E77" s="169" t="str">
        <f>IF(C77&lt;&gt;"",_xll.RssMarket(C77,"現在値"),"")</f>
        <v/>
      </c>
      <c r="F77" s="169" t="str">
        <f>IF(C77&lt;&gt;"",_xll.RssMarket(C77,"始値"),"")</f>
        <v/>
      </c>
      <c r="G77" s="168">
        <f>IF(C77&lt;&gt;"",終値!F207,"")</f>
        <v>3828</v>
      </c>
      <c r="H77" s="169" t="str">
        <f>IF(C77&lt;&gt;"",_xll.RssMarket(C77,"高値"),"")</f>
        <v/>
      </c>
      <c r="I77" s="169" t="str">
        <f>IF(C77&lt;&gt;"",_xll.RssMarket(C77,"安値"),"")</f>
        <v/>
      </c>
      <c r="J77" s="169" t="str">
        <f>IF(C77&lt;&gt;"",_xll.RssMarket(C77,"出来高"),"")</f>
        <v/>
      </c>
      <c r="K77" s="169" t="str">
        <f>IF(C77&lt;&gt;"",_xll.RssMarket(C77,"年初来高値"),"")</f>
        <v/>
      </c>
      <c r="L77" s="170" t="str">
        <f t="shared" si="17"/>
        <v/>
      </c>
      <c r="M77" s="169">
        <f>IF(C77&lt;&gt;"",IFERROR(AVERAGE(出来高!E207:I207),""),"")</f>
        <v>16288680</v>
      </c>
      <c r="N77" s="169">
        <f>IF(C77&lt;&gt;"",IFERROR(AVERAGE(出来高!E207:AC207),""),"")</f>
        <v>20248016</v>
      </c>
      <c r="O77" s="171" t="str">
        <f t="shared" si="18"/>
        <v/>
      </c>
      <c r="P77" s="166" t="str">
        <f t="shared" si="19"/>
        <v/>
      </c>
      <c r="Q77" s="166" t="str">
        <f t="shared" si="20"/>
        <v/>
      </c>
      <c r="R77" s="169" t="str">
        <f t="shared" si="27"/>
        <v/>
      </c>
      <c r="S77" s="169" t="str">
        <f t="shared" si="28"/>
        <v/>
      </c>
      <c r="T77" s="166">
        <f t="shared" si="21"/>
        <v>0</v>
      </c>
      <c r="U77" s="166" t="str">
        <f t="shared" si="29"/>
        <v>除外</v>
      </c>
      <c r="V77" s="166" t="str">
        <f t="shared" si="22"/>
        <v/>
      </c>
      <c r="W77" s="172">
        <f t="array" ref="W77">IF(C77&lt;&gt;"",IFERROR(100-100/(1+SUMPRODUCT((終値!F207:R207&gt;終値!G207:S207)*( 終値!F207:R207-終値!G207:S207))/SUMPRODUCT((終値!F207:R207&lt;終値!G207:S207)*(終値!G207:S207-終値!F207:R207))),50),"")</f>
        <v>59.849906191369612</v>
      </c>
      <c r="X77" s="173">
        <f>IF(C77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12.484100796453276</v>
      </c>
      <c r="Y77" s="1" t="e">
        <f>IF(T77="","",IF(銘柄管理!$F$5="下落▼",IF(AND(AD77="パーフェクト▲",OR(AE77="25日線押し目●",AE77="5日線押し目○")),"★逆張り候補",IF(AND(AD77="上昇トレンド▲",OR(AE77="25日線押し目●",AE77="5日線押し目○")),"○逆張り候補",IF(W77&lt;=30,IF(Z77&gt;0,"◎反発確認",IF(Z77&lt;-5,"△要注意・様子見","△売られ過ぎ注目")),"相場下落・見送り"))),IF(AND(T77&gt;=12,AD77="パーフェクト▲"),"★強い買い",IF(AND(T77&gt;=12,AD77="上昇トレンド▲"),"★強い買い",IF(AND(T77&gt;=8,OR(AE77="25日線押し目●",AE77="5日線押し目○")),"◎押し目買い",IF(T77&gt;=10,"○買い候補",IF(T77&gt;=6,"△注目",IF(T77&gt;=3,"様子見","見送り"))))))))</f>
        <v>#VALUE!</v>
      </c>
      <c r="Z77" s="174" t="str">
        <f t="shared" si="30"/>
        <v/>
      </c>
      <c r="AA77" s="166" t="str">
        <f t="shared" si="31"/>
        <v/>
      </c>
      <c r="AB77" s="408">
        <f>IF(C77="","",IFERROR(((終値!E79*0.333)+(終値!F79*0.222)+(終値!G79*0.148)+(終値!H79*0.099)+(終値!I79*0.066)+(終値!J79*0.044)+(終値!K79*0.029)+(終値!L79*0.019)+(終値!M79*0.013)+(終値!N79*0.009))/(0.333+0.222+0.148+0.099+0.066+0.044+0.029+0.019+0.013+0.009),""))</f>
        <v>4099.5417515274949</v>
      </c>
      <c r="AC77" s="408">
        <f>IF(C77="","",IFERROR(SUMPRODUCT((終値!E79:AC79),({0.077,0.071,0.065,0.06,0.055,0.051,0.047,0.043,0.039,0.036,0.033,0.031,0.028,0.026,0.024,0.022,0.02,0.018,0.017,0.016,0.014,0.013,0.012,0.011,0.01}))/SUM({0.077,0.071,0.065,0.06,0.055,0.051,0.047,0.043,0.039,0.036,0.033,0.031,0.028,0.026,0.024,0.022,0.02,0.018,0.017,0.016,0.014,0.013,0.012,0.011,0.01}),""))</f>
        <v>4462.0882002383778</v>
      </c>
      <c r="AD77" s="409" t="str">
        <f t="shared" si="23"/>
        <v>上昇トレンド▲</v>
      </c>
      <c r="AE77" s="409" t="e">
        <f t="shared" si="24"/>
        <v>#VALUE!</v>
      </c>
      <c r="AF77" s="368">
        <f t="array" ref="AF77">IF(C77="","",IFERROR((INDEX(終値!$E:$E,MATCH(TEXT(C77,"0"),終値!$A:$A,0))-INDEX(終値!$E:$CZ,MATCH(TEXT(C77,"0"),終値!$A:$A,0),$AL$2))/INDEX(終値!$E:$CZ,MATCH(TEXT(C77,"0"),終値!$A:$A,0),$AL$2)*100,""))</f>
        <v>-0.48661800486618007</v>
      </c>
      <c r="AG77" s="368">
        <f t="array" ref="AG77">IFERROR((終値!$E$5-INDEX(終値!$E$5:$CZ$5,1,$AL$2))/INDEX(終値!$E$5:$CZ$5,1,$AL$2)*100,"")</f>
        <v>2.31989243802786</v>
      </c>
      <c r="AH77" s="369">
        <f t="shared" si="25"/>
        <v>-2.8065104428940399</v>
      </c>
      <c r="AI77" s="367">
        <f t="shared" si="26"/>
        <v>-1</v>
      </c>
    </row>
    <row r="78" spans="1:35" s="177" customFormat="1" ht="18" customHeight="1">
      <c r="A78" s="166" t="str">
        <f>IF(銘柄管理!B154&lt;&gt;"",HYPERLINK("https://kabutan.jp/stock/?code="&amp;銘柄管理!B154,"株探"),"")</f>
        <v>株探</v>
      </c>
      <c r="B78" s="167"/>
      <c r="C78" s="168">
        <f>IF(銘柄管理!B154="","",銘柄管理!B154)</f>
        <v>6981</v>
      </c>
      <c r="D78" s="106" t="str">
        <f>IF(銘柄管理!C154="","",銘柄管理!C154)</f>
        <v/>
      </c>
      <c r="E78" s="169" t="str">
        <f>IF(C78&lt;&gt;"",_xll.RssMarket(C78,"現在値"),"")</f>
        <v/>
      </c>
      <c r="F78" s="169" t="str">
        <f>IF(C78&lt;&gt;"",_xll.RssMarket(C78,"始値"),"")</f>
        <v/>
      </c>
      <c r="G78" s="168">
        <f>IF(C78&lt;&gt;"",終値!F154,"")</f>
        <v>9100</v>
      </c>
      <c r="H78" s="169" t="str">
        <f>IF(C78&lt;&gt;"",_xll.RssMarket(C78,"高値"),"")</f>
        <v/>
      </c>
      <c r="I78" s="169" t="str">
        <f>IF(C78&lt;&gt;"",_xll.RssMarket(C78,"安値"),"")</f>
        <v/>
      </c>
      <c r="J78" s="169" t="str">
        <f>IF(C78&lt;&gt;"",_xll.RssMarket(C78,"出来高"),"")</f>
        <v/>
      </c>
      <c r="K78" s="169" t="str">
        <f>IF(C78&lt;&gt;"",_xll.RssMarket(C78,"年初来高値"),"")</f>
        <v/>
      </c>
      <c r="L78" s="170" t="str">
        <f t="shared" si="17"/>
        <v/>
      </c>
      <c r="M78" s="169">
        <f>IF(C78&lt;&gt;"",IFERROR(AVERAGE(出来高!E154:I154),""),"")</f>
        <v>35496480</v>
      </c>
      <c r="N78" s="169">
        <f>IF(C78&lt;&gt;"",IFERROR(AVERAGE(出来高!E154:AC154),""),"")</f>
        <v>32281744</v>
      </c>
      <c r="O78" s="171" t="str">
        <f t="shared" si="18"/>
        <v/>
      </c>
      <c r="P78" s="166" t="str">
        <f t="shared" si="19"/>
        <v/>
      </c>
      <c r="Q78" s="166" t="str">
        <f t="shared" si="20"/>
        <v/>
      </c>
      <c r="R78" s="169" t="str">
        <f t="shared" si="27"/>
        <v/>
      </c>
      <c r="S78" s="169" t="str">
        <f t="shared" si="28"/>
        <v/>
      </c>
      <c r="T78" s="166">
        <f t="shared" si="21"/>
        <v>0</v>
      </c>
      <c r="U78" s="166" t="str">
        <f t="shared" si="29"/>
        <v>除外</v>
      </c>
      <c r="V78" s="166" t="str">
        <f t="shared" si="22"/>
        <v/>
      </c>
      <c r="W78" s="172">
        <f t="array" ref="W78">IF(C78&lt;&gt;"",IFERROR(100-100/(1+SUMPRODUCT((終値!F154:R154&gt;終値!G154:S154)*( 終値!F154:R154-終値!G154:S154))/SUMPRODUCT((終値!F154:R154&lt;終値!G154:S154)*(終値!G154:S154-終値!F154:R154))),50),"")</f>
        <v>37.882973380210949</v>
      </c>
      <c r="X78" s="173">
        <f>IF(C78&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-247.58681176090977</v>
      </c>
      <c r="Y78" s="1" t="e">
        <f>IF(T78="","",IF(銘柄管理!$F$5="下落▼",IF(AND(AD78="パーフェクト▲",OR(AE78="25日線押し目●",AE78="5日線押し目○")),"★逆張り候補",IF(AND(AD78="上昇トレンド▲",OR(AE78="25日線押し目●",AE78="5日線押し目○")),"○逆張り候補",IF(W78&lt;=30,IF(Z78&gt;0,"◎反発確認",IF(Z78&lt;-5,"△要注意・様子見","△売られ過ぎ注目")),"相場下落・見送り"))),IF(AND(T78&gt;=12,AD78="パーフェクト▲"),"★強い買い",IF(AND(T78&gt;=12,AD78="上昇トレンド▲"),"★強い買い",IF(AND(T78&gt;=8,OR(AE78="25日線押し目●",AE78="5日線押し目○")),"◎押し目買い",IF(T78&gt;=10,"○買い候補",IF(T78&gt;=6,"△注目",IF(T78&gt;=3,"様子見","見送り"))))))))</f>
        <v>#VALUE!</v>
      </c>
      <c r="Z78" s="174" t="str">
        <f t="shared" si="30"/>
        <v/>
      </c>
      <c r="AA78" s="166" t="str">
        <f t="shared" si="31"/>
        <v/>
      </c>
      <c r="AB78" s="406">
        <f>IF(C78="","",IFERROR(((終値!E80*0.333)+(終値!F80*0.222)+(終値!G80*0.148)+(終値!H80*0.099)+(終値!I80*0.066)+(終値!J80*0.044)+(終値!K80*0.029)+(終値!L80*0.019)+(終値!M80*0.013)+(終値!N80*0.009))/(0.333+0.222+0.148+0.099+0.066+0.044+0.029+0.019+0.013+0.009),""))</f>
        <v>5631.364562118124</v>
      </c>
      <c r="AC78" s="406">
        <f>IF(C78="","",IFERROR(SUMPRODUCT((終値!E80:AC80),({0.077,0.071,0.065,0.06,0.055,0.051,0.047,0.043,0.039,0.036,0.033,0.031,0.028,0.026,0.024,0.022,0.02,0.018,0.017,0.016,0.014,0.013,0.012,0.011,0.01}))/SUM({0.077,0.071,0.065,0.06,0.055,0.051,0.047,0.043,0.039,0.036,0.033,0.031,0.028,0.026,0.024,0.022,0.02,0.018,0.017,0.016,0.014,0.013,0.012,0.011,0.01}),""))</f>
        <v>5647.5208581644774</v>
      </c>
      <c r="AD78" s="407" t="str">
        <f t="shared" si="23"/>
        <v>上昇トレンド▲</v>
      </c>
      <c r="AE78" s="407" t="e">
        <f t="shared" si="24"/>
        <v>#VALUE!</v>
      </c>
      <c r="AF78" s="368">
        <f t="array" ref="AF78">IF(C78="","",IFERROR((INDEX(終値!$E:$E,MATCH(TEXT(C78,"0"),終値!$A:$A,0))-INDEX(終値!$E:$CZ,MATCH(TEXT(C78,"0"),終値!$A:$A,0),$AL$2))/INDEX(終値!$E:$CZ,MATCH(TEXT(C78,"0"),終値!$A:$A,0),$AL$2)*100,""))</f>
        <v>-21.279009798865395</v>
      </c>
      <c r="AG78" s="368">
        <f t="array" ref="AG78">IFERROR((終値!$E$5-INDEX(終値!$E$5:$CZ$5,1,$AL$2))/INDEX(終値!$E$5:$CZ$5,1,$AL$2)*100,"")</f>
        <v>2.31989243802786</v>
      </c>
      <c r="AH78" s="369">
        <f t="shared" si="25"/>
        <v>-23.598902236893256</v>
      </c>
      <c r="AI78" s="367">
        <f t="shared" si="26"/>
        <v>-2</v>
      </c>
    </row>
    <row r="79" spans="1:35" s="177" customFormat="1" ht="18" customHeight="1">
      <c r="A79" s="166" t="str">
        <f>IF(銘柄管理!B78&lt;&gt;"",HYPERLINK("https://kabutan.jp/stock/?code="&amp;銘柄管理!B78,"株探"),"")</f>
        <v>株探</v>
      </c>
      <c r="B79" s="167"/>
      <c r="C79" s="168">
        <f>IF(銘柄管理!B78="","",銘柄管理!B78)</f>
        <v>6954</v>
      </c>
      <c r="D79" s="106" t="str">
        <f>IF(銘柄管理!C78="","",銘柄管理!C78)</f>
        <v/>
      </c>
      <c r="E79" s="169" t="str">
        <f>IF(C79&lt;&gt;"",_xll.RssMarket(C79,"現在値"),"")</f>
        <v/>
      </c>
      <c r="F79" s="169" t="str">
        <f>IF(C79&lt;&gt;"",_xll.RssMarket(C79,"始値"),"")</f>
        <v/>
      </c>
      <c r="G79" s="168">
        <f>IF(C79&lt;&gt;"",終値!F78,"")</f>
        <v>7008</v>
      </c>
      <c r="H79" s="169" t="str">
        <f>IF(C79&lt;&gt;"",_xll.RssMarket(C79,"高値"),"")</f>
        <v/>
      </c>
      <c r="I79" s="169" t="str">
        <f>IF(C79&lt;&gt;"",_xll.RssMarket(C79,"安値"),"")</f>
        <v/>
      </c>
      <c r="J79" s="169" t="str">
        <f>IF(C79&lt;&gt;"",_xll.RssMarket(C79,"出来高"),"")</f>
        <v/>
      </c>
      <c r="K79" s="169" t="str">
        <f>IF(C79&lt;&gt;"",_xll.RssMarket(C79,"年初来高値"),"")</f>
        <v/>
      </c>
      <c r="L79" s="170" t="str">
        <f t="shared" si="17"/>
        <v/>
      </c>
      <c r="M79" s="169">
        <f>IF(C79&lt;&gt;"",IFERROR(AVERAGE(出来高!E78:I78),""),"")</f>
        <v>5544340</v>
      </c>
      <c r="N79" s="169">
        <f>IF(C79&lt;&gt;"",IFERROR(AVERAGE(出来高!E78:AC78),""),"")</f>
        <v>5741900</v>
      </c>
      <c r="O79" s="171" t="str">
        <f t="shared" si="18"/>
        <v/>
      </c>
      <c r="P79" s="166" t="str">
        <f t="shared" si="19"/>
        <v/>
      </c>
      <c r="Q79" s="166" t="str">
        <f t="shared" si="20"/>
        <v/>
      </c>
      <c r="R79" s="169" t="str">
        <f t="shared" si="27"/>
        <v/>
      </c>
      <c r="S79" s="169" t="str">
        <f t="shared" si="28"/>
        <v/>
      </c>
      <c r="T79" s="166">
        <f t="shared" si="21"/>
        <v>0</v>
      </c>
      <c r="U79" s="166" t="str">
        <f t="shared" si="29"/>
        <v>除外</v>
      </c>
      <c r="V79" s="166" t="str">
        <f t="shared" si="22"/>
        <v/>
      </c>
      <c r="W79" s="172">
        <f t="array" ref="W79">IF(C79&lt;&gt;"",IFERROR(100-100/(1+SUMPRODUCT((終値!F78:R78&gt;終値!G78:S78)*( 終値!F78:R78-終値!G78:S78))/SUMPRODUCT((終値!F78:R78&lt;終値!G78:S78)*(終値!G78:S78-終値!F78:R78))),50),"")</f>
        <v>44.009612083762448</v>
      </c>
      <c r="X79" s="173">
        <f>IF(C79&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-55.338874537788797</v>
      </c>
      <c r="Y79" s="1" t="e">
        <f>IF(T79="","",IF(銘柄管理!$F$5="下落▼",IF(AND(AD79="パーフェクト▲",OR(AE79="25日線押し目●",AE79="5日線押し目○")),"★逆張り候補",IF(AND(AD79="上昇トレンド▲",OR(AE79="25日線押し目●",AE79="5日線押し目○")),"○逆張り候補",IF(W79&lt;=30,IF(Z79&gt;0,"◎反発確認",IF(Z79&lt;-5,"△要注意・様子見","△売られ過ぎ注目")),"相場下落・見送り"))),IF(AND(T79&gt;=12,AD79="パーフェクト▲"),"★強い買い",IF(AND(T79&gt;=12,AD79="上昇トレンド▲"),"★強い買い",IF(AND(T79&gt;=8,OR(AE79="25日線押し目●",AE79="5日線押し目○")),"◎押し目買い",IF(T79&gt;=10,"○買い候補",IF(T79&gt;=6,"△注目",IF(T79&gt;=3,"様子見","見送り"))))))))</f>
        <v>#VALUE!</v>
      </c>
      <c r="Z79" s="174" t="str">
        <f t="shared" si="30"/>
        <v/>
      </c>
      <c r="AA79" s="166" t="str">
        <f t="shared" si="31"/>
        <v/>
      </c>
      <c r="AB79" s="408">
        <f>IF(C79="","",IFERROR(((終値!E81*0.333)+(終値!F81*0.222)+(終値!G81*0.148)+(終値!H81*0.099)+(終値!I81*0.066)+(終値!J81*0.044)+(終値!K81*0.029)+(終値!L81*0.019)+(終値!M81*0.013)+(終値!N81*0.009))/(0.333+0.222+0.148+0.099+0.066+0.044+0.029+0.019+0.013+0.009),""))</f>
        <v>5526.1181262729106</v>
      </c>
      <c r="AC79" s="408">
        <f>IF(C79="","",IFERROR(SUMPRODUCT((終値!E81:AC81),({0.077,0.071,0.065,0.06,0.055,0.051,0.047,0.043,0.039,0.036,0.033,0.031,0.028,0.026,0.024,0.022,0.02,0.018,0.017,0.016,0.014,0.013,0.012,0.011,0.01}))/SUM({0.077,0.071,0.065,0.06,0.055,0.051,0.047,0.043,0.039,0.036,0.033,0.031,0.028,0.026,0.024,0.022,0.02,0.018,0.017,0.016,0.014,0.013,0.012,0.011,0.01}),""))</f>
        <v>5523.0512514898683</v>
      </c>
      <c r="AD79" s="409" t="str">
        <f t="shared" si="23"/>
        <v>パーフェクト▲</v>
      </c>
      <c r="AE79" s="409" t="e">
        <f t="shared" si="24"/>
        <v>#VALUE!</v>
      </c>
      <c r="AF79" s="368">
        <f t="array" ref="AF79">IF(C79="","",IFERROR((INDEX(終値!$E:$E,MATCH(TEXT(C79,"0"),終値!$A:$A,0))-INDEX(終値!$E:$CZ,MATCH(TEXT(C79,"0"),終値!$A:$A,0),$AL$2))/INDEX(終値!$E:$CZ,MATCH(TEXT(C79,"0"),終値!$A:$A,0),$AL$2)*100,""))</f>
        <v>-6.8883277216610557</v>
      </c>
      <c r="AG79" s="368">
        <f t="array" ref="AG79">IFERROR((終値!$E$5-INDEX(終値!$E$5:$CZ$5,1,$AL$2))/INDEX(終値!$E$5:$CZ$5,1,$AL$2)*100,"")</f>
        <v>2.31989243802786</v>
      </c>
      <c r="AH79" s="369">
        <f t="shared" si="25"/>
        <v>-9.2082201596889153</v>
      </c>
      <c r="AI79" s="367">
        <f t="shared" si="26"/>
        <v>-2</v>
      </c>
    </row>
    <row r="80" spans="1:35" s="177" customFormat="1" ht="18" customHeight="1">
      <c r="A80" s="166" t="str">
        <f>IF(銘柄管理!B105&lt;&gt;"",HYPERLINK("https://kabutan.jp/stock/?code="&amp;銘柄管理!B105,"株探"),"")</f>
        <v>株探</v>
      </c>
      <c r="B80" s="167"/>
      <c r="C80" s="168">
        <f>IF(銘柄管理!B105="","",銘柄管理!B105)</f>
        <v>6925</v>
      </c>
      <c r="D80" s="106" t="str">
        <f>IF(銘柄管理!C105="","",銘柄管理!C105)</f>
        <v/>
      </c>
      <c r="E80" s="169" t="str">
        <f>IF(C80&lt;&gt;"",_xll.RssMarket(C80,"現在値"),"")</f>
        <v/>
      </c>
      <c r="F80" s="169" t="str">
        <f>IF(C80&lt;&gt;"",_xll.RssMarket(C80,"始値"),"")</f>
        <v/>
      </c>
      <c r="G80" s="168">
        <f>IF(C80&lt;&gt;"",終値!F105,"")</f>
        <v>4235</v>
      </c>
      <c r="H80" s="169" t="str">
        <f>IF(C80&lt;&gt;"",_xll.RssMarket(C80,"高値"),"")</f>
        <v/>
      </c>
      <c r="I80" s="169" t="str">
        <f>IF(C80&lt;&gt;"",_xll.RssMarket(C80,"安値"),"")</f>
        <v/>
      </c>
      <c r="J80" s="169" t="str">
        <f>IF(C80&lt;&gt;"",_xll.RssMarket(C80,"出来高"),"")</f>
        <v/>
      </c>
      <c r="K80" s="169" t="str">
        <f>IF(C80&lt;&gt;"",_xll.RssMarket(C80,"年初来高値"),"")</f>
        <v/>
      </c>
      <c r="L80" s="170" t="str">
        <f t="shared" si="17"/>
        <v/>
      </c>
      <c r="M80" s="169">
        <f>IF(C80&lt;&gt;"",IFERROR(AVERAGE(出来高!E105:I105),""),"")</f>
        <v>429140</v>
      </c>
      <c r="N80" s="169">
        <f>IF(C80&lt;&gt;"",IFERROR(AVERAGE(出来高!E105:AC105),""),"")</f>
        <v>491084</v>
      </c>
      <c r="O80" s="171" t="str">
        <f t="shared" si="18"/>
        <v/>
      </c>
      <c r="P80" s="166" t="str">
        <f t="shared" si="19"/>
        <v/>
      </c>
      <c r="Q80" s="166" t="str">
        <f t="shared" si="20"/>
        <v/>
      </c>
      <c r="R80" s="169" t="str">
        <f t="shared" si="27"/>
        <v/>
      </c>
      <c r="S80" s="169" t="str">
        <f t="shared" si="28"/>
        <v/>
      </c>
      <c r="T80" s="166">
        <f t="shared" si="21"/>
        <v>0</v>
      </c>
      <c r="U80" s="166" t="str">
        <f t="shared" si="29"/>
        <v>除外</v>
      </c>
      <c r="V80" s="166" t="str">
        <f t="shared" si="22"/>
        <v/>
      </c>
      <c r="W80" s="172">
        <f t="array" ref="W80">IF(C80&lt;&gt;"",IFERROR(100-100/(1+SUMPRODUCT((終値!F105:R105&gt;終値!G105:S105)*( 終値!F105:R105-終値!G105:S105))/SUMPRODUCT((終値!F105:R105&lt;終値!G105:S105)*(終値!G105:S105-終値!F105:R105))),50),"")</f>
        <v>43.472022955523677</v>
      </c>
      <c r="X80" s="173">
        <f>IF(C80&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-33.461303778473848</v>
      </c>
      <c r="Y80" s="1" t="e">
        <f>IF(T80="","",IF(銘柄管理!$F$5="下落▼",IF(AND(AD80="パーフェクト▲",OR(AE80="25日線押し目●",AE80="5日線押し目○")),"★逆張り候補",IF(AND(AD80="上昇トレンド▲",OR(AE80="25日線押し目●",AE80="5日線押し目○")),"○逆張り候補",IF(W80&lt;=30,IF(Z80&gt;0,"◎反発確認",IF(Z80&lt;-5,"△要注意・様子見","△売られ過ぎ注目")),"相場下落・見送り"))),IF(AND(T80&gt;=12,AD80="パーフェクト▲"),"★強い買い",IF(AND(T80&gt;=12,AD80="上昇トレンド▲"),"★強い買い",IF(AND(T80&gt;=8,OR(AE80="25日線押し目●",AE80="5日線押し目○")),"◎押し目買い",IF(T80&gt;=10,"○買い候補",IF(T80&gt;=6,"△注目",IF(T80&gt;=3,"様子見","見送り"))))))))</f>
        <v>#VALUE!</v>
      </c>
      <c r="Z80" s="174" t="str">
        <f t="shared" si="30"/>
        <v/>
      </c>
      <c r="AA80" s="166" t="str">
        <f t="shared" si="31"/>
        <v/>
      </c>
      <c r="AB80" s="406">
        <f>IF(C80="","",IFERROR(((終値!E82*0.333)+(終値!F82*0.222)+(終値!G82*0.148)+(終値!H82*0.099)+(終値!I82*0.066)+(終値!J82*0.044)+(終値!K82*0.029)+(終値!L82*0.019)+(終値!M82*0.013)+(終値!N82*0.009))/(0.333+0.222+0.148+0.099+0.066+0.044+0.029+0.019+0.013+0.009),""))</f>
        <v>1496.6089613034619</v>
      </c>
      <c r="AC80" s="406">
        <f>IF(C80="","",IFERROR(SUMPRODUCT((終値!E82:AC82),({0.077,0.071,0.065,0.06,0.055,0.051,0.047,0.043,0.039,0.036,0.033,0.031,0.028,0.026,0.024,0.022,0.02,0.018,0.017,0.016,0.014,0.013,0.012,0.011,0.01}))/SUM({0.077,0.071,0.065,0.06,0.055,0.051,0.047,0.043,0.039,0.036,0.033,0.031,0.028,0.026,0.024,0.022,0.02,0.018,0.017,0.016,0.014,0.013,0.012,0.011,0.01}),""))</f>
        <v>1476.6531585220496</v>
      </c>
      <c r="AD80" s="407" t="str">
        <f t="shared" si="23"/>
        <v>パーフェクト▲</v>
      </c>
      <c r="AE80" s="407" t="e">
        <f t="shared" si="24"/>
        <v>#VALUE!</v>
      </c>
      <c r="AF80" s="368">
        <f t="array" ref="AF80">IF(C80="","",IFERROR((INDEX(終値!$E:$E,MATCH(TEXT(C80,"0"),終値!$A:$A,0))-INDEX(終値!$E:$CZ,MATCH(TEXT(C80,"0"),終値!$A:$A,0),$AL$2))/INDEX(終値!$E:$CZ,MATCH(TEXT(C80,"0"),終値!$A:$A,0),$AL$2)*100,""))</f>
        <v>-3.8229376257545273</v>
      </c>
      <c r="AG80" s="368">
        <f t="array" ref="AG80">IFERROR((終値!$E$5-INDEX(終値!$E$5:$CZ$5,1,$AL$2))/INDEX(終値!$E$5:$CZ$5,1,$AL$2)*100,"")</f>
        <v>2.31989243802786</v>
      </c>
      <c r="AH80" s="369">
        <f t="shared" si="25"/>
        <v>-6.1428300637823874</v>
      </c>
      <c r="AI80" s="367">
        <f t="shared" si="26"/>
        <v>-2</v>
      </c>
    </row>
    <row r="81" spans="1:35" s="177" customFormat="1" ht="18" customHeight="1">
      <c r="A81" s="166" t="str">
        <f>IF(銘柄管理!B199&lt;&gt;"",HYPERLINK("https://kabutan.jp/stock/?code="&amp;銘柄管理!B199,"株探"),"")</f>
        <v>株探</v>
      </c>
      <c r="B81" s="167"/>
      <c r="C81" s="168">
        <f>IF(銘柄管理!B199="","",銘柄管理!B199)</f>
        <v>6920</v>
      </c>
      <c r="D81" s="106" t="str">
        <f>IF(銘柄管理!C199="","",銘柄管理!C199)</f>
        <v/>
      </c>
      <c r="E81" s="169" t="str">
        <f>IF(C81&lt;&gt;"",_xll.RssMarket(C81,"現在値"),"")</f>
        <v/>
      </c>
      <c r="F81" s="169" t="str">
        <f>IF(C81&lt;&gt;"",_xll.RssMarket(C81,"始値"),"")</f>
        <v/>
      </c>
      <c r="G81" s="168">
        <f>IF(C81&lt;&gt;"",終値!F199,"")</f>
        <v>49690</v>
      </c>
      <c r="H81" s="169" t="str">
        <f>IF(C81&lt;&gt;"",_xll.RssMarket(C81,"高値"),"")</f>
        <v/>
      </c>
      <c r="I81" s="169" t="str">
        <f>IF(C81&lt;&gt;"",_xll.RssMarket(C81,"安値"),"")</f>
        <v/>
      </c>
      <c r="J81" s="169" t="str">
        <f>IF(C81&lt;&gt;"",_xll.RssMarket(C81,"出来高"),"")</f>
        <v/>
      </c>
      <c r="K81" s="169" t="str">
        <f>IF(C81&lt;&gt;"",_xll.RssMarket(C81,"年初来高値"),"")</f>
        <v/>
      </c>
      <c r="L81" s="170" t="str">
        <f t="shared" si="17"/>
        <v/>
      </c>
      <c r="M81" s="169">
        <f>IF(C81&lt;&gt;"",IFERROR(AVERAGE(出来高!E199:I199),""),"")</f>
        <v>4445280</v>
      </c>
      <c r="N81" s="169">
        <f>IF(C81&lt;&gt;"",IFERROR(AVERAGE(出来高!E199:AC199),""),"")</f>
        <v>3874060</v>
      </c>
      <c r="O81" s="171" t="str">
        <f t="shared" si="18"/>
        <v/>
      </c>
      <c r="P81" s="166" t="str">
        <f t="shared" si="19"/>
        <v/>
      </c>
      <c r="Q81" s="166" t="str">
        <f t="shared" si="20"/>
        <v/>
      </c>
      <c r="R81" s="169" t="str">
        <f t="shared" si="27"/>
        <v/>
      </c>
      <c r="S81" s="169" t="str">
        <f t="shared" si="28"/>
        <v/>
      </c>
      <c r="T81" s="166">
        <f t="shared" si="21"/>
        <v>0</v>
      </c>
      <c r="U81" s="166" t="str">
        <f t="shared" si="29"/>
        <v>除外</v>
      </c>
      <c r="V81" s="166" t="str">
        <f t="shared" si="22"/>
        <v/>
      </c>
      <c r="W81" s="172">
        <f t="array" ref="W81">IF(C81&lt;&gt;"",IFERROR(100-100/(1+SUMPRODUCT((終値!F199:R199&gt;終値!G199:S199)*( 終値!F199:R199-終値!G199:S199))/SUMPRODUCT((終値!F199:R199&lt;終値!G199:S199)*(終値!G199:S199-終値!F199:R199))),50),"")</f>
        <v>42.086167800453509</v>
      </c>
      <c r="X81" s="173">
        <f>IF(C81&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-821.07393756541569</v>
      </c>
      <c r="Y81" s="1" t="e">
        <f>IF(T81="","",IF(銘柄管理!$F$5="下落▼",IF(AND(AD81="パーフェクト▲",OR(AE81="25日線押し目●",AE81="5日線押し目○")),"★逆張り候補",IF(AND(AD81="上昇トレンド▲",OR(AE81="25日線押し目●",AE81="5日線押し目○")),"○逆張り候補",IF(W81&lt;=30,IF(Z81&gt;0,"◎反発確認",IF(Z81&lt;-5,"△要注意・様子見","△売られ過ぎ注目")),"相場下落・見送り"))),IF(AND(T81&gt;=12,AD81="パーフェクト▲"),"★強い買い",IF(AND(T81&gt;=12,AD81="上昇トレンド▲"),"★強い買い",IF(AND(T81&gt;=8,OR(AE81="25日線押し目●",AE81="5日線押し目○")),"◎押し目買い",IF(T81&gt;=10,"○買い候補",IF(T81&gt;=6,"△注目",IF(T81&gt;=3,"様子見","見送り"))))))))</f>
        <v>#VALUE!</v>
      </c>
      <c r="Z81" s="174" t="str">
        <f t="shared" si="30"/>
        <v/>
      </c>
      <c r="AA81" s="166" t="str">
        <f t="shared" si="31"/>
        <v/>
      </c>
      <c r="AB81" s="408">
        <f>IF(C81="","",IFERROR(((終値!E83*0.333)+(終値!F83*0.222)+(終値!G83*0.148)+(終値!H83*0.099)+(終値!I83*0.066)+(終値!J83*0.044)+(終値!K83*0.029)+(終値!L83*0.019)+(終値!M83*0.013)+(終値!N83*0.009))/(0.333+0.222+0.148+0.099+0.066+0.044+0.029+0.019+0.013+0.009),""))</f>
        <v>4572.2158859470474</v>
      </c>
      <c r="AC81" s="408">
        <f>IF(C81="","",IFERROR(SUMPRODUCT((終値!E83:AC83),({0.077,0.071,0.065,0.06,0.055,0.051,0.047,0.043,0.039,0.036,0.033,0.031,0.028,0.026,0.024,0.022,0.02,0.018,0.017,0.016,0.014,0.013,0.012,0.011,0.01}))/SUM({0.077,0.071,0.065,0.06,0.055,0.051,0.047,0.043,0.039,0.036,0.033,0.031,0.028,0.026,0.024,0.022,0.02,0.018,0.017,0.016,0.014,0.013,0.012,0.011,0.01}),""))</f>
        <v>4482.9713945172807</v>
      </c>
      <c r="AD81" s="409" t="str">
        <f t="shared" si="23"/>
        <v>パーフェクト▲</v>
      </c>
      <c r="AE81" s="409" t="e">
        <f t="shared" si="24"/>
        <v>#VALUE!</v>
      </c>
      <c r="AF81" s="368">
        <f t="array" ref="AF81">IF(C81="","",IFERROR((INDEX(終値!$E:$E,MATCH(TEXT(C81,"0"),終値!$A:$A,0))-INDEX(終値!$E:$CZ,MATCH(TEXT(C81,"0"),終値!$A:$A,0),$AL$2))/INDEX(終値!$E:$CZ,MATCH(TEXT(C81,"0"),終値!$A:$A,0),$AL$2)*100,""))</f>
        <v>3.050430504305043</v>
      </c>
      <c r="AG81" s="368">
        <f t="array" ref="AG81">IFERROR((終値!$E$5-INDEX(終値!$E$5:$CZ$5,1,$AL$2))/INDEX(終値!$E$5:$CZ$5,1,$AL$2)*100,"")</f>
        <v>2.31989243802786</v>
      </c>
      <c r="AH81" s="369">
        <f t="shared" si="25"/>
        <v>0.73053806627718298</v>
      </c>
      <c r="AI81" s="367">
        <f t="shared" si="26"/>
        <v>1</v>
      </c>
    </row>
    <row r="82" spans="1:35" s="177" customFormat="1" ht="18" customHeight="1">
      <c r="A82" s="166" t="str">
        <f>IF(銘柄管理!B195&lt;&gt;"",HYPERLINK("https://kabutan.jp/stock/?code="&amp;銘柄管理!B195,"株探"),"")</f>
        <v>株探</v>
      </c>
      <c r="B82" s="167"/>
      <c r="C82" s="168">
        <f>IF(銘柄管理!B195="","",銘柄管理!B195)</f>
        <v>6890</v>
      </c>
      <c r="D82" s="106" t="str">
        <f>IF(銘柄管理!C195="","",銘柄管理!C195)</f>
        <v/>
      </c>
      <c r="E82" s="169" t="str">
        <f>IF(C82&lt;&gt;"",_xll.RssMarket(C82,"現在値"),"")</f>
        <v/>
      </c>
      <c r="F82" s="169" t="str">
        <f>IF(C82&lt;&gt;"",_xll.RssMarket(C82,"始値"),"")</f>
        <v/>
      </c>
      <c r="G82" s="168">
        <f>IF(C82&lt;&gt;"",終値!F195,"")</f>
        <v>8260</v>
      </c>
      <c r="H82" s="169" t="str">
        <f>IF(C82&lt;&gt;"",_xll.RssMarket(C82,"高値"),"")</f>
        <v/>
      </c>
      <c r="I82" s="169" t="str">
        <f>IF(C82&lt;&gt;"",_xll.RssMarket(C82,"安値"),"")</f>
        <v/>
      </c>
      <c r="J82" s="169" t="str">
        <f>IF(C82&lt;&gt;"",_xll.RssMarket(C82,"出来高"),"")</f>
        <v/>
      </c>
      <c r="K82" s="169" t="str">
        <f>IF(C82&lt;&gt;"",_xll.RssMarket(C82,"年初来高値"),"")</f>
        <v/>
      </c>
      <c r="L82" s="170" t="str">
        <f t="shared" si="17"/>
        <v/>
      </c>
      <c r="M82" s="169">
        <f>IF(C82&lt;&gt;"",IFERROR(AVERAGE(出来高!E195:I195),""),"")</f>
        <v>1526480</v>
      </c>
      <c r="N82" s="169">
        <f>IF(C82&lt;&gt;"",IFERROR(AVERAGE(出来高!E195:AC195),""),"")</f>
        <v>1157632</v>
      </c>
      <c r="O82" s="171" t="str">
        <f t="shared" si="18"/>
        <v/>
      </c>
      <c r="P82" s="166" t="str">
        <f t="shared" si="19"/>
        <v/>
      </c>
      <c r="Q82" s="166" t="str">
        <f t="shared" si="20"/>
        <v/>
      </c>
      <c r="R82" s="169" t="str">
        <f t="shared" si="27"/>
        <v/>
      </c>
      <c r="S82" s="169" t="str">
        <f t="shared" si="28"/>
        <v/>
      </c>
      <c r="T82" s="166">
        <f t="shared" si="21"/>
        <v>0</v>
      </c>
      <c r="U82" s="166" t="str">
        <f t="shared" si="29"/>
        <v>除外</v>
      </c>
      <c r="V82" s="166" t="str">
        <f t="shared" si="22"/>
        <v/>
      </c>
      <c r="W82" s="172">
        <f t="array" ref="W82">IF(C82&lt;&gt;"",IFERROR(100-100/(1+SUMPRODUCT((終値!F195:R195&gt;終値!G195:S195)*( 終値!F195:R195-終値!G195:S195))/SUMPRODUCT((終値!F195:R195&lt;終値!G195:S195)*(終値!G195:S195-終値!F195:R195))),50),"")</f>
        <v>38.505747126436781</v>
      </c>
      <c r="X82" s="173">
        <f>IF(C82&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-246.4926623653173</v>
      </c>
      <c r="Y82" s="1" t="e">
        <f>IF(T82="","",IF(銘柄管理!$F$5="下落▼",IF(AND(AD82="パーフェクト▲",OR(AE82="25日線押し目●",AE82="5日線押し目○")),"★逆張り候補",IF(AND(AD82="上昇トレンド▲",OR(AE82="25日線押し目●",AE82="5日線押し目○")),"○逆張り候補",IF(W82&lt;=30,IF(Z82&gt;0,"◎反発確認",IF(Z82&lt;-5,"△要注意・様子見","△売られ過ぎ注目")),"相場下落・見送り"))),IF(AND(T82&gt;=12,AD82="パーフェクト▲"),"★強い買い",IF(AND(T82&gt;=12,AD82="上昇トレンド▲"),"★強い買い",IF(AND(T82&gt;=8,OR(AE82="25日線押し目●",AE82="5日線押し目○")),"◎押し目買い",IF(T82&gt;=10,"○買い候補",IF(T82&gt;=6,"△注目",IF(T82&gt;=3,"様子見","見送り"))))))))</f>
        <v>#VALUE!</v>
      </c>
      <c r="Z82" s="174" t="str">
        <f t="shared" si="30"/>
        <v/>
      </c>
      <c r="AA82" s="166" t="str">
        <f t="shared" si="31"/>
        <v/>
      </c>
      <c r="AB82" s="406">
        <f>IF(C82="","",IFERROR(((終値!E84*0.333)+(終値!F84*0.222)+(終値!G84*0.148)+(終値!H84*0.099)+(終値!I84*0.066)+(終値!J84*0.044)+(終値!K84*0.029)+(終値!L84*0.019)+(終値!M84*0.013)+(終値!N84*0.009))/(0.333+0.222+0.148+0.099+0.066+0.044+0.029+0.019+0.013+0.009),""))</f>
        <v>1668.1644602851316</v>
      </c>
      <c r="AC82" s="406">
        <f>IF(C82="","",IFERROR(SUMPRODUCT((終値!E84:AC84),({0.077,0.071,0.065,0.06,0.055,0.051,0.047,0.043,0.039,0.036,0.033,0.031,0.028,0.026,0.024,0.022,0.02,0.018,0.017,0.016,0.014,0.013,0.012,0.011,0.01}))/SUM({0.077,0.071,0.065,0.06,0.055,0.051,0.047,0.043,0.039,0.036,0.033,0.031,0.028,0.026,0.024,0.022,0.02,0.018,0.017,0.016,0.014,0.013,0.012,0.011,0.01}),""))</f>
        <v>1621.0917759237182</v>
      </c>
      <c r="AD82" s="407" t="str">
        <f t="shared" si="23"/>
        <v>パーフェクト▲</v>
      </c>
      <c r="AE82" s="407" t="e">
        <f t="shared" si="24"/>
        <v>#VALUE!</v>
      </c>
      <c r="AF82" s="368">
        <f t="array" ref="AF82">IF(C82="","",IFERROR((INDEX(終値!$E:$E,MATCH(TEXT(C82,"0"),終値!$A:$A,0))-INDEX(終値!$E:$CZ,MATCH(TEXT(C82,"0"),終値!$A:$A,0),$AL$2))/INDEX(終値!$E:$CZ,MATCH(TEXT(C82,"0"),終値!$A:$A,0),$AL$2)*100,""))</f>
        <v>-11.040609137055837</v>
      </c>
      <c r="AG82" s="368">
        <f t="array" ref="AG82">IFERROR((終値!$E$5-INDEX(終値!$E$5:$CZ$5,1,$AL$2))/INDEX(終値!$E$5:$CZ$5,1,$AL$2)*100,"")</f>
        <v>2.31989243802786</v>
      </c>
      <c r="AH82" s="369">
        <f t="shared" si="25"/>
        <v>-13.360501575083697</v>
      </c>
      <c r="AI82" s="367">
        <f t="shared" si="26"/>
        <v>-2</v>
      </c>
    </row>
    <row r="83" spans="1:35" s="177" customFormat="1" ht="18" customHeight="1">
      <c r="A83" s="166" t="str">
        <f>IF(銘柄管理!B158&lt;&gt;"",HYPERLINK("https://kabutan.jp/stock/?code="&amp;銘柄管理!B158,"株探"),"")</f>
        <v>株探</v>
      </c>
      <c r="B83" s="167"/>
      <c r="C83" s="168">
        <f>IF(銘柄管理!B158="","",銘柄管理!B158)</f>
        <v>6857</v>
      </c>
      <c r="D83" s="106" t="str">
        <f>IF(銘柄管理!C158="","",銘柄管理!C158)</f>
        <v/>
      </c>
      <c r="E83" s="169" t="str">
        <f>IF(C83&lt;&gt;"",_xll.RssMarket(C83,"現在値"),"")</f>
        <v/>
      </c>
      <c r="F83" s="169" t="str">
        <f>IF(C83&lt;&gt;"",_xll.RssMarket(C83,"始値"),"")</f>
        <v/>
      </c>
      <c r="G83" s="168">
        <f>IF(C83&lt;&gt;"",終値!F158,"")</f>
        <v>31510</v>
      </c>
      <c r="H83" s="169" t="str">
        <f>IF(C83&lt;&gt;"",_xll.RssMarket(C83,"高値"),"")</f>
        <v/>
      </c>
      <c r="I83" s="169" t="str">
        <f>IF(C83&lt;&gt;"",_xll.RssMarket(C83,"安値"),"")</f>
        <v/>
      </c>
      <c r="J83" s="169" t="str">
        <f>IF(C83&lt;&gt;"",_xll.RssMarket(C83,"出来高"),"")</f>
        <v/>
      </c>
      <c r="K83" s="169" t="str">
        <f>IF(C83&lt;&gt;"",_xll.RssMarket(C83,"年初来高値"),"")</f>
        <v/>
      </c>
      <c r="L83" s="170" t="str">
        <f t="shared" si="17"/>
        <v/>
      </c>
      <c r="M83" s="169">
        <f>IF(C83&lt;&gt;"",IFERROR(AVERAGE(出来高!E158:I158),""),"")</f>
        <v>8857080</v>
      </c>
      <c r="N83" s="169">
        <f>IF(C83&lt;&gt;"",IFERROR(AVERAGE(出来高!E158:AC158),""),"")</f>
        <v>8742944</v>
      </c>
      <c r="O83" s="171" t="str">
        <f t="shared" si="18"/>
        <v/>
      </c>
      <c r="P83" s="166" t="str">
        <f t="shared" si="19"/>
        <v/>
      </c>
      <c r="Q83" s="166" t="str">
        <f t="shared" si="20"/>
        <v/>
      </c>
      <c r="R83" s="169" t="str">
        <f t="shared" si="27"/>
        <v/>
      </c>
      <c r="S83" s="169" t="str">
        <f t="shared" si="28"/>
        <v/>
      </c>
      <c r="T83" s="166">
        <f t="shared" si="21"/>
        <v>0</v>
      </c>
      <c r="U83" s="166" t="str">
        <f t="shared" si="29"/>
        <v>除外</v>
      </c>
      <c r="V83" s="166" t="str">
        <f t="shared" si="22"/>
        <v/>
      </c>
      <c r="W83" s="172">
        <f t="array" ref="W83">IF(C83&lt;&gt;"",IFERROR(100-100/(1+SUMPRODUCT((終値!F158:R158&gt;終値!G158:S158)*( 終値!F158:R158-終値!G158:S158))/SUMPRODUCT((終値!F158:R158&lt;終値!G158:S158)*(終値!G158:S158-終値!F158:R158))),50),"")</f>
        <v>36.793020457280385</v>
      </c>
      <c r="X83" s="173">
        <f>IF(C83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-313.160048798145</v>
      </c>
      <c r="Y83" s="1" t="e">
        <f>IF(T83="","",IF(銘柄管理!$F$5="下落▼",IF(AND(AD83="パーフェクト▲",OR(AE83="25日線押し目●",AE83="5日線押し目○")),"★逆張り候補",IF(AND(AD83="上昇トレンド▲",OR(AE83="25日線押し目●",AE83="5日線押し目○")),"○逆張り候補",IF(W83&lt;=30,IF(Z83&gt;0,"◎反発確認",IF(Z83&lt;-5,"△要注意・様子見","△売られ過ぎ注目")),"相場下落・見送り"))),IF(AND(T83&gt;=12,AD83="パーフェクト▲"),"★強い買い",IF(AND(T83&gt;=12,AD83="上昇トレンド▲"),"★強い買い",IF(AND(T83&gt;=8,OR(AE83="25日線押し目●",AE83="5日線押し目○")),"◎押し目買い",IF(T83&gt;=10,"○買い候補",IF(T83&gt;=6,"△注目",IF(T83&gt;=3,"様子見","見送り"))))))))</f>
        <v>#VALUE!</v>
      </c>
      <c r="Z83" s="174" t="str">
        <f t="shared" si="30"/>
        <v/>
      </c>
      <c r="AA83" s="166" t="str">
        <f t="shared" si="31"/>
        <v/>
      </c>
      <c r="AB83" s="408">
        <f>IF(C83="","",IFERROR(((終値!E85*0.333)+(終値!F85*0.222)+(終値!G85*0.148)+(終値!H85*0.099)+(終値!I85*0.066)+(終値!J85*0.044)+(終値!K85*0.029)+(終値!L85*0.019)+(終値!M85*0.013)+(終値!N85*0.009))/(0.333+0.222+0.148+0.099+0.066+0.044+0.029+0.019+0.013+0.009),""))</f>
        <v>3253.9124236252542</v>
      </c>
      <c r="AC83" s="408">
        <f>IF(C83="","",IFERROR(SUMPRODUCT((終値!E85:AC85),({0.077,0.071,0.065,0.06,0.055,0.051,0.047,0.043,0.039,0.036,0.033,0.031,0.028,0.026,0.024,0.022,0.02,0.018,0.017,0.016,0.014,0.013,0.012,0.011,0.01}))/SUM({0.077,0.071,0.065,0.06,0.055,0.051,0.047,0.043,0.039,0.036,0.033,0.031,0.028,0.026,0.024,0.022,0.02,0.018,0.017,0.016,0.014,0.013,0.012,0.011,0.01}),""))</f>
        <v>3220.9713945172812</v>
      </c>
      <c r="AD83" s="409" t="str">
        <f t="shared" si="23"/>
        <v>パーフェクト▲</v>
      </c>
      <c r="AE83" s="409" t="e">
        <f t="shared" si="24"/>
        <v>#VALUE!</v>
      </c>
      <c r="AF83" s="368">
        <f t="array" ref="AF83">IF(C83="","",IFERROR((INDEX(終値!$E:$E,MATCH(TEXT(C83,"0"),終値!$A:$A,0))-INDEX(終値!$E:$CZ,MATCH(TEXT(C83,"0"),終値!$A:$A,0),$AL$2))/INDEX(終値!$E:$CZ,MATCH(TEXT(C83,"0"),終値!$A:$A,0),$AL$2)*100,""))</f>
        <v>2.764804782365029</v>
      </c>
      <c r="AG83" s="368">
        <f t="array" ref="AG83">IFERROR((終値!$E$5-INDEX(終値!$E$5:$CZ$5,1,$AL$2))/INDEX(終値!$E$5:$CZ$5,1,$AL$2)*100,"")</f>
        <v>2.31989243802786</v>
      </c>
      <c r="AH83" s="369">
        <f t="shared" si="25"/>
        <v>0.44491234433716897</v>
      </c>
      <c r="AI83" s="367">
        <f t="shared" si="26"/>
        <v>1</v>
      </c>
    </row>
    <row r="84" spans="1:35" s="177" customFormat="1" ht="18" customHeight="1">
      <c r="A84" s="166" t="str">
        <f>IF(銘柄管理!B81&lt;&gt;"",HYPERLINK("https://kabutan.jp/stock/?code="&amp;銘柄管理!B81,"株探"),"")</f>
        <v>株探</v>
      </c>
      <c r="B84" s="167"/>
      <c r="C84" s="168">
        <f>IF(銘柄管理!B81="","",銘柄管理!B81)</f>
        <v>6841</v>
      </c>
      <c r="D84" s="106" t="str">
        <f>IF(銘柄管理!C81="","",銘柄管理!C81)</f>
        <v/>
      </c>
      <c r="E84" s="169" t="str">
        <f>IF(C84&lt;&gt;"",_xll.RssMarket(C84,"現在値"),"")</f>
        <v/>
      </c>
      <c r="F84" s="169" t="str">
        <f>IF(C84&lt;&gt;"",_xll.RssMarket(C84,"始値"),"")</f>
        <v/>
      </c>
      <c r="G84" s="168">
        <f>IF(C84&lt;&gt;"",終値!F81,"")</f>
        <v>5600</v>
      </c>
      <c r="H84" s="169" t="str">
        <f>IF(C84&lt;&gt;"",_xll.RssMarket(C84,"高値"),"")</f>
        <v/>
      </c>
      <c r="I84" s="169" t="str">
        <f>IF(C84&lt;&gt;"",_xll.RssMarket(C84,"安値"),"")</f>
        <v/>
      </c>
      <c r="J84" s="169" t="str">
        <f>IF(C84&lt;&gt;"",_xll.RssMarket(C84,"出来高"),"")</f>
        <v/>
      </c>
      <c r="K84" s="169" t="str">
        <f>IF(C84&lt;&gt;"",_xll.RssMarket(C84,"年初来高値"),"")</f>
        <v/>
      </c>
      <c r="L84" s="170" t="str">
        <f t="shared" si="17"/>
        <v/>
      </c>
      <c r="M84" s="169">
        <f>IF(C84&lt;&gt;"",IFERROR(AVERAGE(出来高!E81:I81),""),"")</f>
        <v>1137200</v>
      </c>
      <c r="N84" s="169">
        <f>IF(C84&lt;&gt;"",IFERROR(AVERAGE(出来高!E81:AC81),""),"")</f>
        <v>1184444</v>
      </c>
      <c r="O84" s="171" t="str">
        <f t="shared" si="18"/>
        <v/>
      </c>
      <c r="P84" s="166" t="str">
        <f t="shared" si="19"/>
        <v/>
      </c>
      <c r="Q84" s="166" t="str">
        <f t="shared" si="20"/>
        <v/>
      </c>
      <c r="R84" s="169" t="str">
        <f t="shared" si="27"/>
        <v/>
      </c>
      <c r="S84" s="169" t="str">
        <f t="shared" si="28"/>
        <v/>
      </c>
      <c r="T84" s="166">
        <f t="shared" si="21"/>
        <v>0</v>
      </c>
      <c r="U84" s="166" t="str">
        <f t="shared" si="29"/>
        <v>除外</v>
      </c>
      <c r="V84" s="166" t="str">
        <f t="shared" si="22"/>
        <v/>
      </c>
      <c r="W84" s="172">
        <f t="array" ref="W84">IF(C84&lt;&gt;"",IFERROR(100-100/(1+SUMPRODUCT((終値!F81:R81&gt;終値!G81:S81)*( 終値!F81:R81-終値!G81:S81))/SUMPRODUCT((終値!F81:R81&lt;終値!G81:S81)*(終値!G81:S81-終値!F81:R81))),50),"")</f>
        <v>50.790067720090292</v>
      </c>
      <c r="X84" s="173">
        <f>IF(C84&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18.530459044975032</v>
      </c>
      <c r="Y84" s="1" t="e">
        <f>IF(T84="","",IF(銘柄管理!$F$5="下落▼",IF(AND(AD84="パーフェクト▲",OR(AE84="25日線押し目●",AE84="5日線押し目○")),"★逆張り候補",IF(AND(AD84="上昇トレンド▲",OR(AE84="25日線押し目●",AE84="5日線押し目○")),"○逆張り候補",IF(W84&lt;=30,IF(Z84&gt;0,"◎反発確認",IF(Z84&lt;-5,"△要注意・様子見","△売られ過ぎ注目")),"相場下落・見送り"))),IF(AND(T84&gt;=12,AD84="パーフェクト▲"),"★強い買い",IF(AND(T84&gt;=12,AD84="上昇トレンド▲"),"★強い買い",IF(AND(T84&gt;=8,OR(AE84="25日線押し目●",AE84="5日線押し目○")),"◎押し目買い",IF(T84&gt;=10,"○買い候補",IF(T84&gt;=6,"△注目",IF(T84&gt;=3,"様子見","見送り"))))))))</f>
        <v>#VALUE!</v>
      </c>
      <c r="Z84" s="174" t="str">
        <f t="shared" si="30"/>
        <v/>
      </c>
      <c r="AA84" s="166" t="str">
        <f t="shared" si="31"/>
        <v/>
      </c>
      <c r="AB84" s="406">
        <f>IF(C84="","",IFERROR(((終値!E86*0.333)+(終値!F86*0.222)+(終値!G86*0.148)+(終値!H86*0.099)+(終値!I86*0.066)+(終値!J86*0.044)+(終値!K86*0.029)+(終値!L86*0.019)+(終値!M86*0.013)+(終値!N86*0.009))/(0.333+0.222+0.148+0.099+0.066+0.044+0.029+0.019+0.013+0.009),""))</f>
        <v>2284.3859470468424</v>
      </c>
      <c r="AC84" s="406">
        <f>IF(C84="","",IFERROR(SUMPRODUCT((終値!E86:AC86),({0.077,0.071,0.065,0.06,0.055,0.051,0.047,0.043,0.039,0.036,0.033,0.031,0.028,0.026,0.024,0.022,0.02,0.018,0.017,0.016,0.014,0.013,0.012,0.011,0.01}))/SUM({0.077,0.071,0.065,0.06,0.055,0.051,0.047,0.043,0.039,0.036,0.033,0.031,0.028,0.026,0.024,0.022,0.02,0.018,0.017,0.016,0.014,0.013,0.012,0.011,0.01}),""))</f>
        <v>2423.6674612634083</v>
      </c>
      <c r="AD84" s="407" t="str">
        <f t="shared" si="23"/>
        <v>上昇トレンド▲</v>
      </c>
      <c r="AE84" s="407" t="e">
        <f t="shared" si="24"/>
        <v>#VALUE!</v>
      </c>
      <c r="AF84" s="368">
        <f t="array" ref="AF84">IF(C84="","",IFERROR((INDEX(終値!$E:$E,MATCH(TEXT(C84,"0"),終値!$A:$A,0))-INDEX(終値!$E:$CZ,MATCH(TEXT(C84,"0"),終値!$A:$A,0),$AL$2))/INDEX(終値!$E:$CZ,MATCH(TEXT(C84,"0"),終値!$A:$A,0),$AL$2)*100,""))</f>
        <v>10.665857113944547</v>
      </c>
      <c r="AG84" s="368">
        <f t="array" ref="AG84">IFERROR((終値!$E$5-INDEX(終値!$E$5:$CZ$5,1,$AL$2))/INDEX(終値!$E$5:$CZ$5,1,$AL$2)*100,"")</f>
        <v>2.31989243802786</v>
      </c>
      <c r="AH84" s="369">
        <f t="shared" si="25"/>
        <v>8.3459646759166866</v>
      </c>
      <c r="AI84" s="367">
        <f t="shared" si="26"/>
        <v>3</v>
      </c>
    </row>
    <row r="85" spans="1:35" s="177" customFormat="1" ht="18" customHeight="1">
      <c r="A85" s="166" t="str">
        <f>IF(銘柄管理!B148&lt;&gt;"",HYPERLINK("https://kabutan.jp/stock/?code="&amp;銘柄管理!B148,"株探"),"")</f>
        <v>株探</v>
      </c>
      <c r="B85" s="167"/>
      <c r="C85" s="168">
        <f>IF(銘柄管理!B148="","",銘柄管理!B148)</f>
        <v>6838</v>
      </c>
      <c r="D85" s="106" t="str">
        <f>IF(銘柄管理!C148="","",銘柄管理!C148)</f>
        <v/>
      </c>
      <c r="E85" s="169" t="str">
        <f>IF(C85&lt;&gt;"",_xll.RssMarket(C85,"現在値"),"")</f>
        <v/>
      </c>
      <c r="F85" s="169" t="str">
        <f>IF(C85&lt;&gt;"",_xll.RssMarket(C85,"始値"),"")</f>
        <v/>
      </c>
      <c r="G85" s="168">
        <f>IF(C85&lt;&gt;"",終値!F148,"")</f>
        <v>1496</v>
      </c>
      <c r="H85" s="169" t="str">
        <f>IF(C85&lt;&gt;"",_xll.RssMarket(C85,"高値"),"")</f>
        <v/>
      </c>
      <c r="I85" s="169" t="str">
        <f>IF(C85&lt;&gt;"",_xll.RssMarket(C85,"安値"),"")</f>
        <v/>
      </c>
      <c r="J85" s="169" t="str">
        <f>IF(C85&lt;&gt;"",_xll.RssMarket(C85,"出来高"),"")</f>
        <v/>
      </c>
      <c r="K85" s="169" t="str">
        <f>IF(C85&lt;&gt;"",_xll.RssMarket(C85,"年初来高値"),"")</f>
        <v/>
      </c>
      <c r="L85" s="170" t="str">
        <f t="shared" si="17"/>
        <v/>
      </c>
      <c r="M85" s="169">
        <f>IF(C85&lt;&gt;"",IFERROR(AVERAGE(出来高!E148:I148),""),"")</f>
        <v>295980</v>
      </c>
      <c r="N85" s="169">
        <f>IF(C85&lt;&gt;"",IFERROR(AVERAGE(出来高!E148:AC148),""),"")</f>
        <v>418756</v>
      </c>
      <c r="O85" s="171" t="str">
        <f t="shared" si="18"/>
        <v/>
      </c>
      <c r="P85" s="166" t="str">
        <f t="shared" si="19"/>
        <v/>
      </c>
      <c r="Q85" s="166" t="str">
        <f t="shared" si="20"/>
        <v/>
      </c>
      <c r="R85" s="169" t="str">
        <f t="shared" si="27"/>
        <v/>
      </c>
      <c r="S85" s="169" t="str">
        <f t="shared" si="28"/>
        <v/>
      </c>
      <c r="T85" s="166">
        <f t="shared" si="21"/>
        <v>0</v>
      </c>
      <c r="U85" s="166" t="str">
        <f t="shared" si="29"/>
        <v>除外</v>
      </c>
      <c r="V85" s="166" t="str">
        <f t="shared" si="22"/>
        <v/>
      </c>
      <c r="W85" s="172">
        <f t="array" ref="W85">IF(C85&lt;&gt;"",IFERROR(100-100/(1+SUMPRODUCT((終値!F148:R148&gt;終値!G148:S148)*( 終値!F148:R148-終値!G148:S148))/SUMPRODUCT((終値!F148:R148&lt;終値!G148:S148)*(終値!G148:S148-終値!F148:R148))),50),"")</f>
        <v>11.316113161131611</v>
      </c>
      <c r="X85" s="173">
        <f>IF(C85&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-78.007164492773427</v>
      </c>
      <c r="Y85" s="1" t="e">
        <f>IF(T85="","",IF(銘柄管理!$F$5="下落▼",IF(AND(AD85="パーフェクト▲",OR(AE85="25日線押し目●",AE85="5日線押し目○")),"★逆張り候補",IF(AND(AD85="上昇トレンド▲",OR(AE85="25日線押し目●",AE85="5日線押し目○")),"○逆張り候補",IF(W85&lt;=30,IF(Z85&gt;0,"◎反発確認",IF(Z85&lt;-5,"△要注意・様子見","△売られ過ぎ注目")),"相場下落・見送り"))),IF(AND(T85&gt;=12,AD85="パーフェクト▲"),"★強い買い",IF(AND(T85&gt;=12,AD85="上昇トレンド▲"),"★強い買い",IF(AND(T85&gt;=8,OR(AE85="25日線押し目●",AE85="5日線押し目○")),"◎押し目買い",IF(T85&gt;=10,"○買い候補",IF(T85&gt;=6,"△注目",IF(T85&gt;=3,"様子見","見送り"))))))))</f>
        <v>#VALUE!</v>
      </c>
      <c r="Z85" s="174" t="str">
        <f t="shared" si="30"/>
        <v/>
      </c>
      <c r="AA85" s="166" t="str">
        <f t="shared" si="31"/>
        <v/>
      </c>
      <c r="AB85" s="408">
        <f>IF(C85="","",IFERROR(((終値!E87*0.333)+(終値!F87*0.222)+(終値!G87*0.148)+(終値!H87*0.099)+(終値!I87*0.066)+(終値!J87*0.044)+(終値!K87*0.029)+(終値!L87*0.019)+(終値!M87*0.013)+(終値!N87*0.009))/(0.333+0.222+0.148+0.099+0.066+0.044+0.029+0.019+0.013+0.009),""))</f>
        <v>6197.5916496945001</v>
      </c>
      <c r="AC85" s="408">
        <f>IF(C85="","",IFERROR(SUMPRODUCT((終値!E87:AC87),({0.077,0.071,0.065,0.06,0.055,0.051,0.047,0.043,0.039,0.036,0.033,0.031,0.028,0.026,0.024,0.022,0.02,0.018,0.017,0.016,0.014,0.013,0.012,0.011,0.01}))/SUM({0.077,0.071,0.065,0.06,0.055,0.051,0.047,0.043,0.039,0.036,0.033,0.031,0.028,0.026,0.024,0.022,0.02,0.018,0.017,0.016,0.014,0.013,0.012,0.011,0.01}),""))</f>
        <v>6116.4636471990452</v>
      </c>
      <c r="AD85" s="409" t="str">
        <f t="shared" si="23"/>
        <v>パーフェクト▲</v>
      </c>
      <c r="AE85" s="409" t="e">
        <f t="shared" si="24"/>
        <v>#VALUE!</v>
      </c>
      <c r="AF85" s="368">
        <f t="array" ref="AF85">IF(C85="","",IFERROR((INDEX(終値!$E:$E,MATCH(TEXT(C85,"0"),終値!$A:$A,0))-INDEX(終値!$E:$CZ,MATCH(TEXT(C85,"0"),終値!$A:$A,0),$AL$2))/INDEX(終値!$E:$CZ,MATCH(TEXT(C85,"0"),終値!$A:$A,0),$AL$2)*100,""))</f>
        <v>-37.049180327868854</v>
      </c>
      <c r="AG85" s="368">
        <f t="array" ref="AG85">IFERROR((終値!$E$5-INDEX(終値!$E$5:$CZ$5,1,$AL$2))/INDEX(終値!$E$5:$CZ$5,1,$AL$2)*100,"")</f>
        <v>2.31989243802786</v>
      </c>
      <c r="AH85" s="369">
        <f t="shared" si="25"/>
        <v>-39.369072765896711</v>
      </c>
      <c r="AI85" s="367">
        <f t="shared" si="26"/>
        <v>-2</v>
      </c>
    </row>
    <row r="86" spans="1:35" s="177" customFormat="1" ht="18" customHeight="1">
      <c r="A86" s="166" t="str">
        <f>IF(銘柄管理!B145&lt;&gt;"",HYPERLINK("https://kabutan.jp/stock/?code="&amp;銘柄管理!B145,"株探"),"")</f>
        <v>株探</v>
      </c>
      <c r="B86" s="167"/>
      <c r="C86" s="168">
        <f>IF(銘柄管理!B145="","",銘柄管理!B145)</f>
        <v>6787</v>
      </c>
      <c r="D86" s="106" t="str">
        <f>IF(銘柄管理!C145="","",銘柄管理!C145)</f>
        <v/>
      </c>
      <c r="E86" s="169" t="str">
        <f>IF(C86&lt;&gt;"",_xll.RssMarket(C86,"現在値"),"")</f>
        <v/>
      </c>
      <c r="F86" s="169" t="str">
        <f>IF(C86&lt;&gt;"",_xll.RssMarket(C86,"始値"),"")</f>
        <v/>
      </c>
      <c r="G86" s="168">
        <f>IF(C86&lt;&gt;"",終値!F145,"")</f>
        <v>26930</v>
      </c>
      <c r="H86" s="169" t="str">
        <f>IF(C86&lt;&gt;"",_xll.RssMarket(C86,"高値"),"")</f>
        <v/>
      </c>
      <c r="I86" s="169" t="str">
        <f>IF(C86&lt;&gt;"",_xll.RssMarket(C86,"安値"),"")</f>
        <v/>
      </c>
      <c r="J86" s="169" t="str">
        <f>IF(C86&lt;&gt;"",_xll.RssMarket(C86,"出来高"),"")</f>
        <v/>
      </c>
      <c r="K86" s="169" t="str">
        <f>IF(C86&lt;&gt;"",_xll.RssMarket(C86,"年初来高値"),"")</f>
        <v/>
      </c>
      <c r="L86" s="170" t="str">
        <f t="shared" si="17"/>
        <v/>
      </c>
      <c r="M86" s="169">
        <f>IF(C86&lt;&gt;"",IFERROR(AVERAGE(出来高!E145:I145),""),"")</f>
        <v>419960</v>
      </c>
      <c r="N86" s="169">
        <f>IF(C86&lt;&gt;"",IFERROR(AVERAGE(出来高!E145:AC145),""),"")</f>
        <v>547468</v>
      </c>
      <c r="O86" s="171" t="str">
        <f t="shared" si="18"/>
        <v/>
      </c>
      <c r="P86" s="166" t="str">
        <f t="shared" si="19"/>
        <v/>
      </c>
      <c r="Q86" s="166" t="str">
        <f t="shared" si="20"/>
        <v/>
      </c>
      <c r="R86" s="169" t="str">
        <f t="shared" si="27"/>
        <v/>
      </c>
      <c r="S86" s="169" t="str">
        <f t="shared" si="28"/>
        <v/>
      </c>
      <c r="T86" s="166">
        <f t="shared" si="21"/>
        <v>0</v>
      </c>
      <c r="U86" s="166" t="str">
        <f t="shared" si="29"/>
        <v>除外</v>
      </c>
      <c r="V86" s="166" t="str">
        <f t="shared" si="22"/>
        <v/>
      </c>
      <c r="W86" s="172">
        <f t="array" ref="W86">IF(C86&lt;&gt;"",IFERROR(100-100/(1+SUMPRODUCT((終値!F145:R145&gt;終値!G145:S145)*( 終値!F145:R145-終値!G145:S145))/SUMPRODUCT((終値!F145:R145&lt;終値!G145:S145)*(終値!G145:S145-終値!F145:R145))),50),"")</f>
        <v>29.84524686809138</v>
      </c>
      <c r="X86" s="173">
        <f>IF(C86&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-1217.4144539661429</v>
      </c>
      <c r="Y86" s="1" t="e">
        <f>IF(T86="","",IF(銘柄管理!$F$5="下落▼",IF(AND(AD86="パーフェクト▲",OR(AE86="25日線押し目●",AE86="5日線押し目○")),"★逆張り候補",IF(AND(AD86="上昇トレンド▲",OR(AE86="25日線押し目●",AE86="5日線押し目○")),"○逆張り候補",IF(W86&lt;=30,IF(Z86&gt;0,"◎反発確認",IF(Z86&lt;-5,"△要注意・様子見","△売られ過ぎ注目")),"相場下落・見送り"))),IF(AND(T86&gt;=12,AD86="パーフェクト▲"),"★強い買い",IF(AND(T86&gt;=12,AD86="上昇トレンド▲"),"★強い買い",IF(AND(T86&gt;=8,OR(AE86="25日線押し目●",AE86="5日線押し目○")),"◎押し目買い",IF(T86&gt;=10,"○買い候補",IF(T86&gt;=6,"△注目",IF(T86&gt;=3,"様子見","見送り"))))))))</f>
        <v>#VALUE!</v>
      </c>
      <c r="Z86" s="174" t="str">
        <f t="shared" si="30"/>
        <v/>
      </c>
      <c r="AA86" s="166" t="str">
        <f t="shared" si="31"/>
        <v/>
      </c>
      <c r="AB86" s="406">
        <f>IF(C86="","",IFERROR(((終値!E88*0.333)+(終値!F88*0.222)+(終値!G88*0.148)+(終値!H88*0.099)+(終値!I88*0.066)+(終値!J88*0.044)+(終値!K88*0.029)+(終値!L88*0.019)+(終値!M88*0.013)+(終値!N88*0.009))/(0.333+0.222+0.148+0.099+0.066+0.044+0.029+0.019+0.013+0.009),""))</f>
        <v>1781.5264765784111</v>
      </c>
      <c r="AC86" s="406">
        <f>IF(C86="","",IFERROR(SUMPRODUCT((終値!E88:AC88),({0.077,0.071,0.065,0.06,0.055,0.051,0.047,0.043,0.039,0.036,0.033,0.031,0.028,0.026,0.024,0.022,0.02,0.018,0.017,0.016,0.014,0.013,0.012,0.011,0.01}))/SUM({0.077,0.071,0.065,0.06,0.055,0.051,0.047,0.043,0.039,0.036,0.033,0.031,0.028,0.026,0.024,0.022,0.02,0.018,0.017,0.016,0.014,0.013,0.012,0.011,0.01}),""))</f>
        <v>1744.3939213349215</v>
      </c>
      <c r="AD86" s="407" t="str">
        <f t="shared" si="23"/>
        <v>パーフェクト▲</v>
      </c>
      <c r="AE86" s="407" t="e">
        <f t="shared" si="24"/>
        <v>#VALUE!</v>
      </c>
      <c r="AF86" s="368">
        <f t="array" ref="AF86">IF(C86="","",IFERROR((INDEX(終値!$E:$E,MATCH(TEXT(C86,"0"),終値!$A:$A,0))-INDEX(終値!$E:$CZ,MATCH(TEXT(C86,"0"),終値!$A:$A,0),$AL$2))/INDEX(終値!$E:$CZ,MATCH(TEXT(C86,"0"),終値!$A:$A,0),$AL$2)*100,""))</f>
        <v>-36.432584269662918</v>
      </c>
      <c r="AG86" s="368">
        <f t="array" ref="AG86">IFERROR((終値!$E$5-INDEX(終値!$E$5:$CZ$5,1,$AL$2))/INDEX(終値!$E$5:$CZ$5,1,$AL$2)*100,"")</f>
        <v>2.31989243802786</v>
      </c>
      <c r="AH86" s="369">
        <f t="shared" si="25"/>
        <v>-38.752476707690775</v>
      </c>
      <c r="AI86" s="367">
        <f t="shared" si="26"/>
        <v>-2</v>
      </c>
    </row>
    <row r="87" spans="1:35" s="177" customFormat="1" ht="18" customHeight="1">
      <c r="A87" s="166" t="str">
        <f>IF(銘柄管理!B144&lt;&gt;"",HYPERLINK("https://kabutan.jp/stock/?code="&amp;銘柄管理!B144,"株探"),"")</f>
        <v>株探</v>
      </c>
      <c r="B87" s="167"/>
      <c r="C87" s="168">
        <f>IF(銘柄管理!B144="","",銘柄管理!B144)</f>
        <v>6777</v>
      </c>
      <c r="D87" s="106" t="str">
        <f>IF(銘柄管理!C144="","",銘柄管理!C144)</f>
        <v/>
      </c>
      <c r="E87" s="169" t="str">
        <f>IF(C87&lt;&gt;"",_xll.RssMarket(C87,"現在値"),"")</f>
        <v/>
      </c>
      <c r="F87" s="169" t="str">
        <f>IF(C87&lt;&gt;"",_xll.RssMarket(C87,"始値"),"")</f>
        <v/>
      </c>
      <c r="G87" s="168">
        <f>IF(C87&lt;&gt;"",終値!F144,"")</f>
        <v>21850</v>
      </c>
      <c r="H87" s="169" t="str">
        <f>IF(C87&lt;&gt;"",_xll.RssMarket(C87,"高値"),"")</f>
        <v/>
      </c>
      <c r="I87" s="169" t="str">
        <f>IF(C87&lt;&gt;"",_xll.RssMarket(C87,"安値"),"")</f>
        <v/>
      </c>
      <c r="J87" s="169" t="str">
        <f>IF(C87&lt;&gt;"",_xll.RssMarket(C87,"出来高"),"")</f>
        <v/>
      </c>
      <c r="K87" s="169" t="str">
        <f>IF(C87&lt;&gt;"",_xll.RssMarket(C87,"年初来高値"),"")</f>
        <v/>
      </c>
      <c r="L87" s="170" t="str">
        <f t="shared" si="17"/>
        <v/>
      </c>
      <c r="M87" s="169">
        <f>IF(C87&lt;&gt;"",IFERROR(AVERAGE(出来高!E144:I144),""),"")</f>
        <v>127620</v>
      </c>
      <c r="N87" s="169">
        <f>IF(C87&lt;&gt;"",IFERROR(AVERAGE(出来高!E144:AC144),""),"")</f>
        <v>141052</v>
      </c>
      <c r="O87" s="171" t="str">
        <f t="shared" si="18"/>
        <v/>
      </c>
      <c r="P87" s="166" t="str">
        <f t="shared" si="19"/>
        <v/>
      </c>
      <c r="Q87" s="166" t="str">
        <f t="shared" si="20"/>
        <v/>
      </c>
      <c r="R87" s="169" t="str">
        <f t="shared" si="27"/>
        <v/>
      </c>
      <c r="S87" s="169" t="str">
        <f t="shared" si="28"/>
        <v/>
      </c>
      <c r="T87" s="166">
        <f t="shared" si="21"/>
        <v>0</v>
      </c>
      <c r="U87" s="166" t="str">
        <f t="shared" si="29"/>
        <v>除外</v>
      </c>
      <c r="V87" s="166" t="str">
        <f t="shared" si="22"/>
        <v/>
      </c>
      <c r="W87" s="172">
        <f t="array" ref="W87">IF(C87&lt;&gt;"",IFERROR(100-100/(1+SUMPRODUCT((終値!F144:R144&gt;終値!G144:S144)*( 終値!F144:R144-終値!G144:S144))/SUMPRODUCT((終値!F144:R144&lt;終値!G144:S144)*(終値!G144:S144-終値!F144:R144))),50),"")</f>
        <v>18.655967903711144</v>
      </c>
      <c r="X87" s="173">
        <f>IF(C87&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-957.55830105994028</v>
      </c>
      <c r="Y87" s="1" t="e">
        <f>IF(T87="","",IF(銘柄管理!$F$5="下落▼",IF(AND(AD87="パーフェクト▲",OR(AE87="25日線押し目●",AE87="5日線押し目○")),"★逆張り候補",IF(AND(AD87="上昇トレンド▲",OR(AE87="25日線押し目●",AE87="5日線押し目○")),"○逆張り候補",IF(W87&lt;=30,IF(Z87&gt;0,"◎反発確認",IF(Z87&lt;-5,"△要注意・様子見","△売られ過ぎ注目")),"相場下落・見送り"))),IF(AND(T87&gt;=12,AD87="パーフェクト▲"),"★強い買い",IF(AND(T87&gt;=12,AD87="上昇トレンド▲"),"★強い買い",IF(AND(T87&gt;=8,OR(AE87="25日線押し目●",AE87="5日線押し目○")),"◎押し目買い",IF(T87&gt;=10,"○買い候補",IF(T87&gt;=6,"△注目",IF(T87&gt;=3,"様子見","見送り"))))))))</f>
        <v>#VALUE!</v>
      </c>
      <c r="Z87" s="174" t="str">
        <f t="shared" si="30"/>
        <v/>
      </c>
      <c r="AA87" s="166" t="str">
        <f t="shared" si="31"/>
        <v/>
      </c>
      <c r="AB87" s="408">
        <f>IF(C87="","",IFERROR(((終値!E89*0.333)+(終値!F89*0.222)+(終値!G89*0.148)+(終値!H89*0.099)+(終値!I89*0.066)+(終値!J89*0.044)+(終値!K89*0.029)+(終値!L89*0.019)+(終値!M89*0.013)+(終値!N89*0.009))/(0.333+0.222+0.148+0.099+0.066+0.044+0.029+0.019+0.013+0.009),""))</f>
        <v>2063.9012219959263</v>
      </c>
      <c r="AC87" s="408">
        <f>IF(C87="","",IFERROR(SUMPRODUCT((終値!E89:AC89),({0.077,0.071,0.065,0.06,0.055,0.051,0.047,0.043,0.039,0.036,0.033,0.031,0.028,0.026,0.024,0.022,0.02,0.018,0.017,0.016,0.014,0.013,0.012,0.011,0.01}))/SUM({0.077,0.071,0.065,0.06,0.055,0.051,0.047,0.043,0.039,0.036,0.033,0.031,0.028,0.026,0.024,0.022,0.02,0.018,0.017,0.016,0.014,0.013,0.012,0.011,0.01}),""))</f>
        <v>2065.892729439809</v>
      </c>
      <c r="AD87" s="409" t="str">
        <f t="shared" si="23"/>
        <v>上昇トレンド▲</v>
      </c>
      <c r="AE87" s="409" t="e">
        <f t="shared" si="24"/>
        <v>#VALUE!</v>
      </c>
      <c r="AF87" s="368">
        <f t="array" ref="AF87">IF(C87="","",IFERROR((INDEX(終値!$E:$E,MATCH(TEXT(C87,"0"),終値!$A:$A,0))-INDEX(終値!$E:$CZ,MATCH(TEXT(C87,"0"),終値!$A:$A,0),$AL$2))/INDEX(終値!$E:$CZ,MATCH(TEXT(C87,"0"),終値!$A:$A,0),$AL$2)*100,""))</f>
        <v>-25.983313468414782</v>
      </c>
      <c r="AG87" s="368">
        <f t="array" ref="AG87">IFERROR((終値!$E$5-INDEX(終値!$E$5:$CZ$5,1,$AL$2))/INDEX(終値!$E$5:$CZ$5,1,$AL$2)*100,"")</f>
        <v>2.31989243802786</v>
      </c>
      <c r="AH87" s="369">
        <f t="shared" si="25"/>
        <v>-28.303205906442642</v>
      </c>
      <c r="AI87" s="367">
        <f t="shared" si="26"/>
        <v>-2</v>
      </c>
    </row>
    <row r="88" spans="1:35" s="177" customFormat="1" ht="18" customHeight="1">
      <c r="A88" s="166" t="str">
        <f>IF(銘柄管理!B205&lt;&gt;"",HYPERLINK("https://kabutan.jp/stock/?code="&amp;銘柄管理!B205,"株探"),"")</f>
        <v>株探</v>
      </c>
      <c r="B88" s="167"/>
      <c r="C88" s="168">
        <f>IF(銘柄管理!B205="","",銘柄管理!B205)</f>
        <v>6758</v>
      </c>
      <c r="D88" s="106" t="str">
        <f>IF(銘柄管理!C205="","",銘柄管理!C205)</f>
        <v/>
      </c>
      <c r="E88" s="169" t="str">
        <f>IF(C88&lt;&gt;"",_xll.RssMarket(C88,"現在値"),"")</f>
        <v/>
      </c>
      <c r="F88" s="169" t="str">
        <f>IF(C88&lt;&gt;"",_xll.RssMarket(C88,"始値"),"")</f>
        <v/>
      </c>
      <c r="G88" s="168">
        <f>IF(C88&lt;&gt;"",終値!F205,"")</f>
        <v>3389</v>
      </c>
      <c r="H88" s="169" t="str">
        <f>IF(C88&lt;&gt;"",_xll.RssMarket(C88,"高値"),"")</f>
        <v/>
      </c>
      <c r="I88" s="169" t="str">
        <f>IF(C88&lt;&gt;"",_xll.RssMarket(C88,"安値"),"")</f>
        <v/>
      </c>
      <c r="J88" s="169" t="str">
        <f>IF(C88&lt;&gt;"",_xll.RssMarket(C88,"出来高"),"")</f>
        <v/>
      </c>
      <c r="K88" s="169" t="str">
        <f>IF(C88&lt;&gt;"",_xll.RssMarket(C88,"年初来高値"),"")</f>
        <v/>
      </c>
      <c r="L88" s="170" t="str">
        <f t="shared" si="17"/>
        <v/>
      </c>
      <c r="M88" s="169">
        <f>IF(C88&lt;&gt;"",IFERROR(AVERAGE(出来高!E205:I205),""),"")</f>
        <v>15357420</v>
      </c>
      <c r="N88" s="169">
        <f>IF(C88&lt;&gt;"",IFERROR(AVERAGE(出来高!E205:AC205),""),"")</f>
        <v>19181932</v>
      </c>
      <c r="O88" s="171" t="str">
        <f t="shared" si="18"/>
        <v/>
      </c>
      <c r="P88" s="166" t="str">
        <f t="shared" si="19"/>
        <v/>
      </c>
      <c r="Q88" s="166" t="str">
        <f t="shared" si="20"/>
        <v/>
      </c>
      <c r="R88" s="169" t="str">
        <f t="shared" si="27"/>
        <v/>
      </c>
      <c r="S88" s="169" t="str">
        <f t="shared" si="28"/>
        <v/>
      </c>
      <c r="T88" s="166">
        <f t="shared" si="21"/>
        <v>0</v>
      </c>
      <c r="U88" s="166" t="str">
        <f t="shared" si="29"/>
        <v>除外</v>
      </c>
      <c r="V88" s="166" t="str">
        <f t="shared" si="22"/>
        <v/>
      </c>
      <c r="W88" s="172">
        <f t="array" ref="W88">IF(C88&lt;&gt;"",IFERROR(100-100/(1+SUMPRODUCT((終値!F205:R205&gt;終値!G205:S205)*( 終値!F205:R205-終値!G205:S205))/SUMPRODUCT((終値!F205:R205&lt;終値!G205:S205)*(終値!G205:S205-終値!F205:R205))),50),"")</f>
        <v>67.64705882352942</v>
      </c>
      <c r="X88" s="173">
        <f>IF(C88&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23.780607310171945</v>
      </c>
      <c r="Y88" s="1" t="e">
        <f>IF(T88="","",IF(銘柄管理!$F$5="下落▼",IF(AND(AD88="パーフェクト▲",OR(AE88="25日線押し目●",AE88="5日線押し目○")),"★逆張り候補",IF(AND(AD88="上昇トレンド▲",OR(AE88="25日線押し目●",AE88="5日線押し目○")),"○逆張り候補",IF(W88&lt;=30,IF(Z88&gt;0,"◎反発確認",IF(Z88&lt;-5,"△要注意・様子見","△売られ過ぎ注目")),"相場下落・見送り"))),IF(AND(T88&gt;=12,AD88="パーフェクト▲"),"★強い買い",IF(AND(T88&gt;=12,AD88="上昇トレンド▲"),"★強い買い",IF(AND(T88&gt;=8,OR(AE88="25日線押し目●",AE88="5日線押し目○")),"◎押し目買い",IF(T88&gt;=10,"○買い候補",IF(T88&gt;=6,"△注目",IF(T88&gt;=3,"様子見","見送り"))))))))</f>
        <v>#VALUE!</v>
      </c>
      <c r="Z88" s="174" t="str">
        <f t="shared" si="30"/>
        <v/>
      </c>
      <c r="AA88" s="166" t="str">
        <f t="shared" si="31"/>
        <v/>
      </c>
      <c r="AB88" s="406">
        <f>IF(C88="","",IFERROR(((終値!E90*0.333)+(終値!F90*0.222)+(終値!G90*0.148)+(終値!H90*0.099)+(終値!I90*0.066)+(終値!J90*0.044)+(終値!K90*0.029)+(終値!L90*0.019)+(終値!M90*0.013)+(終値!N90*0.009))/(0.333+0.222+0.148+0.099+0.066+0.044+0.029+0.019+0.013+0.009),""))</f>
        <v>4608.2535641547847</v>
      </c>
      <c r="AC88" s="406">
        <f>IF(C88="","",IFERROR(SUMPRODUCT((終値!E90:AC90),({0.077,0.071,0.065,0.06,0.055,0.051,0.047,0.043,0.039,0.036,0.033,0.031,0.028,0.026,0.024,0.022,0.02,0.018,0.017,0.016,0.014,0.013,0.012,0.011,0.01}))/SUM({0.077,0.071,0.065,0.06,0.055,0.051,0.047,0.043,0.039,0.036,0.033,0.031,0.028,0.026,0.024,0.022,0.02,0.018,0.017,0.016,0.014,0.013,0.012,0.011,0.01}),""))</f>
        <v>4625.6328963051228</v>
      </c>
      <c r="AD88" s="407" t="str">
        <f t="shared" si="23"/>
        <v>上昇トレンド▲</v>
      </c>
      <c r="AE88" s="407" t="e">
        <f t="shared" si="24"/>
        <v>#VALUE!</v>
      </c>
      <c r="AF88" s="368">
        <f t="array" ref="AF88">IF(C88="","",IFERROR((INDEX(終値!$E:$E,MATCH(TEXT(C88,"0"),終値!$A:$A,0))-INDEX(終値!$E:$CZ,MATCH(TEXT(C88,"0"),終値!$A:$A,0),$AL$2))/INDEX(終値!$E:$CZ,MATCH(TEXT(C88,"0"),終値!$A:$A,0),$AL$2)*100,""))</f>
        <v>-1.0832383124287344</v>
      </c>
      <c r="AG88" s="368">
        <f t="array" ref="AG88">IFERROR((終値!$E$5-INDEX(終値!$E$5:$CZ$5,1,$AL$2))/INDEX(終値!$E$5:$CZ$5,1,$AL$2)*100,"")</f>
        <v>2.31989243802786</v>
      </c>
      <c r="AH88" s="369">
        <f t="shared" si="25"/>
        <v>-3.4031307504565946</v>
      </c>
      <c r="AI88" s="367">
        <f t="shared" si="26"/>
        <v>-2</v>
      </c>
    </row>
    <row r="89" spans="1:35" s="177" customFormat="1" ht="18" customHeight="1">
      <c r="A89" s="166" t="str">
        <f>IF(銘柄管理!B155&lt;&gt;"",HYPERLINK("https://kabutan.jp/stock/?code="&amp;銘柄管理!B155,"株探"),"")</f>
        <v>株探</v>
      </c>
      <c r="B89" s="167"/>
      <c r="C89" s="168">
        <f>IF(銘柄管理!B155="","",銘柄管理!B155)</f>
        <v>6754</v>
      </c>
      <c r="D89" s="106" t="str">
        <f>IF(銘柄管理!C155="","",銘柄管理!C155)</f>
        <v/>
      </c>
      <c r="E89" s="169" t="str">
        <f>IF(C89&lt;&gt;"",_xll.RssMarket(C89,"現在値"),"")</f>
        <v/>
      </c>
      <c r="F89" s="169" t="str">
        <f>IF(C89&lt;&gt;"",_xll.RssMarket(C89,"始値"),"")</f>
        <v/>
      </c>
      <c r="G89" s="168">
        <f>IF(C89&lt;&gt;"",終値!F155,"")</f>
        <v>4092</v>
      </c>
      <c r="H89" s="169" t="str">
        <f>IF(C89&lt;&gt;"",_xll.RssMarket(C89,"高値"),"")</f>
        <v/>
      </c>
      <c r="I89" s="169" t="str">
        <f>IF(C89&lt;&gt;"",_xll.RssMarket(C89,"安値"),"")</f>
        <v/>
      </c>
      <c r="J89" s="169" t="str">
        <f>IF(C89&lt;&gt;"",_xll.RssMarket(C89,"出来高"),"")</f>
        <v/>
      </c>
      <c r="K89" s="169" t="str">
        <f>IF(C89&lt;&gt;"",_xll.RssMarket(C89,"年初来高値"),"")</f>
        <v/>
      </c>
      <c r="L89" s="170" t="str">
        <f t="shared" si="17"/>
        <v/>
      </c>
      <c r="M89" s="169">
        <f>IF(C89&lt;&gt;"",IFERROR(AVERAGE(出来高!E155:I155),""),"")</f>
        <v>1198680</v>
      </c>
      <c r="N89" s="169">
        <f>IF(C89&lt;&gt;"",IFERROR(AVERAGE(出来高!E155:AC155),""),"")</f>
        <v>1586184</v>
      </c>
      <c r="O89" s="171" t="str">
        <f t="shared" si="18"/>
        <v/>
      </c>
      <c r="P89" s="166" t="str">
        <f t="shared" si="19"/>
        <v/>
      </c>
      <c r="Q89" s="166" t="str">
        <f t="shared" si="20"/>
        <v/>
      </c>
      <c r="R89" s="169" t="str">
        <f t="shared" si="27"/>
        <v/>
      </c>
      <c r="S89" s="169" t="str">
        <f t="shared" si="28"/>
        <v/>
      </c>
      <c r="T89" s="166">
        <f t="shared" si="21"/>
        <v>0</v>
      </c>
      <c r="U89" s="166" t="str">
        <f t="shared" si="29"/>
        <v>除外</v>
      </c>
      <c r="V89" s="166" t="str">
        <f t="shared" si="22"/>
        <v/>
      </c>
      <c r="W89" s="172">
        <f t="array" ref="W89">IF(C89&lt;&gt;"",IFERROR(100-100/(1+SUMPRODUCT((終値!F155:R155&gt;終値!G155:S155)*( 終値!F155:R155-終値!G155:S155))/SUMPRODUCT((終値!F155:R155&lt;終値!G155:S155)*(終値!G155:S155-終値!F155:R155))),50),"")</f>
        <v>37.678100263852237</v>
      </c>
      <c r="X89" s="173">
        <f>IF(C89&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-45.317793017803069</v>
      </c>
      <c r="Y89" s="1" t="e">
        <f>IF(T89="","",IF(銘柄管理!$F$5="下落▼",IF(AND(AD89="パーフェクト▲",OR(AE89="25日線押し目●",AE89="5日線押し目○")),"★逆張り候補",IF(AND(AD89="上昇トレンド▲",OR(AE89="25日線押し目●",AE89="5日線押し目○")),"○逆張り候補",IF(W89&lt;=30,IF(Z89&gt;0,"◎反発確認",IF(Z89&lt;-5,"△要注意・様子見","△売られ過ぎ注目")),"相場下落・見送り"))),IF(AND(T89&gt;=12,AD89="パーフェクト▲"),"★強い買い",IF(AND(T89&gt;=12,AD89="上昇トレンド▲"),"★強い買い",IF(AND(T89&gt;=8,OR(AE89="25日線押し目●",AE89="5日線押し目○")),"◎押し目買い",IF(T89&gt;=10,"○買い候補",IF(T89&gt;=6,"△注目",IF(T89&gt;=3,"様子見","見送り"))))))))</f>
        <v>#VALUE!</v>
      </c>
      <c r="Z89" s="174" t="str">
        <f t="shared" si="30"/>
        <v/>
      </c>
      <c r="AA89" s="166" t="str">
        <f t="shared" si="31"/>
        <v/>
      </c>
      <c r="AB89" s="408">
        <f>IF(C89="","",IFERROR(((終値!E91*0.333)+(終値!F91*0.222)+(終値!G91*0.148)+(終値!H91*0.099)+(終値!I91*0.066)+(終値!J91*0.044)+(終値!K91*0.029)+(終値!L91*0.019)+(終値!M91*0.013)+(終値!N91*0.009))/(0.333+0.222+0.148+0.099+0.066+0.044+0.029+0.019+0.013+0.009),""))</f>
        <v>4749.9775967413425</v>
      </c>
      <c r="AC89" s="408">
        <f>IF(C89="","",IFERROR(SUMPRODUCT((終値!E91:AC91),({0.077,0.071,0.065,0.06,0.055,0.051,0.047,0.043,0.039,0.036,0.033,0.031,0.028,0.026,0.024,0.022,0.02,0.018,0.017,0.016,0.014,0.013,0.012,0.011,0.01}))/SUM({0.077,0.071,0.065,0.06,0.055,0.051,0.047,0.043,0.039,0.036,0.033,0.031,0.028,0.026,0.024,0.022,0.02,0.018,0.017,0.016,0.014,0.013,0.012,0.011,0.01}),""))</f>
        <v>4702.3539928486271</v>
      </c>
      <c r="AD89" s="409" t="str">
        <f t="shared" si="23"/>
        <v>パーフェクト▲</v>
      </c>
      <c r="AE89" s="409" t="e">
        <f t="shared" si="24"/>
        <v>#VALUE!</v>
      </c>
      <c r="AF89" s="368">
        <f t="array" ref="AF89">IF(C89="","",IFERROR((INDEX(終値!$E:$E,MATCH(TEXT(C89,"0"),終値!$A:$A,0))-INDEX(終値!$E:$CZ,MATCH(TEXT(C89,"0"),終値!$A:$A,0),$AL$2))/INDEX(終値!$E:$CZ,MATCH(TEXT(C89,"0"),終値!$A:$A,0),$AL$2)*100,""))</f>
        <v>-14.406184118060436</v>
      </c>
      <c r="AG89" s="368">
        <f t="array" ref="AG89">IFERROR((終値!$E$5-INDEX(終値!$E$5:$CZ$5,1,$AL$2))/INDEX(終値!$E$5:$CZ$5,1,$AL$2)*100,"")</f>
        <v>2.31989243802786</v>
      </c>
      <c r="AH89" s="369">
        <f t="shared" si="25"/>
        <v>-16.726076556088294</v>
      </c>
      <c r="AI89" s="367">
        <f t="shared" si="26"/>
        <v>-2</v>
      </c>
    </row>
    <row r="90" spans="1:35" s="177" customFormat="1" ht="18" customHeight="1">
      <c r="A90" s="166" t="str">
        <f>IF(銘柄管理!B188&lt;&gt;"",HYPERLINK("https://kabutan.jp/stock/?code="&amp;銘柄管理!B188,"株探"),"")</f>
        <v>株探</v>
      </c>
      <c r="B90" s="167"/>
      <c r="C90" s="168">
        <f>IF(銘柄管理!B188="","",銘柄管理!B188)</f>
        <v>6753</v>
      </c>
      <c r="D90" s="106" t="str">
        <f>IF(銘柄管理!C188="","",銘柄管理!C188)</f>
        <v/>
      </c>
      <c r="E90" s="169" t="str">
        <f>IF(C90&lt;&gt;"",_xll.RssMarket(C90,"現在値"),"")</f>
        <v/>
      </c>
      <c r="F90" s="169" t="str">
        <f>IF(C90&lt;&gt;"",_xll.RssMarket(C90,"始値"),"")</f>
        <v/>
      </c>
      <c r="G90" s="168">
        <f>IF(C90&lt;&gt;"",終値!F188,"")</f>
        <v>637</v>
      </c>
      <c r="H90" s="169" t="str">
        <f>IF(C90&lt;&gt;"",_xll.RssMarket(C90,"高値"),"")</f>
        <v/>
      </c>
      <c r="I90" s="169" t="str">
        <f>IF(C90&lt;&gt;"",_xll.RssMarket(C90,"安値"),"")</f>
        <v/>
      </c>
      <c r="J90" s="169" t="str">
        <f>IF(C90&lt;&gt;"",_xll.RssMarket(C90,"出来高"),"")</f>
        <v/>
      </c>
      <c r="K90" s="169" t="str">
        <f>IF(C90&lt;&gt;"",_xll.RssMarket(C90,"年初来高値"),"")</f>
        <v/>
      </c>
      <c r="L90" s="170" t="str">
        <f t="shared" si="17"/>
        <v/>
      </c>
      <c r="M90" s="169">
        <f>IF(C90&lt;&gt;"",IFERROR(AVERAGE(出来高!E188:I188),""),"")</f>
        <v>2752540</v>
      </c>
      <c r="N90" s="169">
        <f>IF(C90&lt;&gt;"",IFERROR(AVERAGE(出来高!E188:AC188),""),"")</f>
        <v>4357312</v>
      </c>
      <c r="O90" s="171" t="str">
        <f t="shared" si="18"/>
        <v/>
      </c>
      <c r="P90" s="166" t="str">
        <f t="shared" si="19"/>
        <v/>
      </c>
      <c r="Q90" s="166" t="str">
        <f t="shared" si="20"/>
        <v/>
      </c>
      <c r="R90" s="169" t="str">
        <f t="shared" si="27"/>
        <v/>
      </c>
      <c r="S90" s="169" t="str">
        <f t="shared" si="28"/>
        <v/>
      </c>
      <c r="T90" s="166">
        <f t="shared" si="21"/>
        <v>0</v>
      </c>
      <c r="U90" s="166" t="str">
        <f t="shared" si="29"/>
        <v>除外</v>
      </c>
      <c r="V90" s="166" t="str">
        <f t="shared" si="22"/>
        <v/>
      </c>
      <c r="W90" s="172">
        <f t="array" ref="W90">IF(C90&lt;&gt;"",IFERROR(100-100/(1+SUMPRODUCT((終値!F188:R188&gt;終値!G188:S188)*( 終値!F188:R188-終値!G188:S188))/SUMPRODUCT((終値!F188:R188&lt;終値!G188:S188)*(終値!G188:S188-終値!F188:R188))),50),"")</f>
        <v>65.92920353982305</v>
      </c>
      <c r="X90" s="173">
        <f>IF(C90&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4.2604318995061021</v>
      </c>
      <c r="Y90" s="1" t="e">
        <f>IF(T90="","",IF(銘柄管理!$F$5="下落▼",IF(AND(AD90="パーフェクト▲",OR(AE90="25日線押し目●",AE90="5日線押し目○")),"★逆張り候補",IF(AND(AD90="上昇トレンド▲",OR(AE90="25日線押し目●",AE90="5日線押し目○")),"○逆張り候補",IF(W90&lt;=30,IF(Z90&gt;0,"◎反発確認",IF(Z90&lt;-5,"△要注意・様子見","△売られ過ぎ注目")),"相場下落・見送り"))),IF(AND(T90&gt;=12,AD90="パーフェクト▲"),"★強い買い",IF(AND(T90&gt;=12,AD90="上昇トレンド▲"),"★強い買い",IF(AND(T90&gt;=8,OR(AE90="25日線押し目●",AE90="5日線押し目○")),"◎押し目買い",IF(T90&gt;=10,"○買い候補",IF(T90&gt;=6,"△注目",IF(T90&gt;=3,"様子見","見送り"))))))))</f>
        <v>#VALUE!</v>
      </c>
      <c r="Z90" s="174" t="str">
        <f t="shared" si="30"/>
        <v/>
      </c>
      <c r="AA90" s="166" t="str">
        <f t="shared" si="31"/>
        <v/>
      </c>
      <c r="AB90" s="406">
        <f>IF(C90="","",IFERROR(((終値!E92*0.333)+(終値!F92*0.222)+(終値!G92*0.148)+(終値!H92*0.099)+(終値!I92*0.066)+(終値!J92*0.044)+(終値!K92*0.029)+(終値!L92*0.019)+(終値!M92*0.013)+(終値!N92*0.009))/(0.333+0.222+0.148+0.099+0.066+0.044+0.029+0.019+0.013+0.009),""))</f>
        <v>7712.8523421588588</v>
      </c>
      <c r="AC90" s="406">
        <f>IF(C90="","",IFERROR(SUMPRODUCT((終値!E92:AC92),({0.077,0.071,0.065,0.06,0.055,0.051,0.047,0.043,0.039,0.036,0.033,0.031,0.028,0.026,0.024,0.022,0.02,0.018,0.017,0.016,0.014,0.013,0.012,0.011,0.01}))/SUM({0.077,0.071,0.065,0.06,0.055,0.051,0.047,0.043,0.039,0.036,0.033,0.031,0.028,0.026,0.024,0.022,0.02,0.018,0.017,0.016,0.014,0.013,0.012,0.011,0.01}),""))</f>
        <v>8033.5184743742529</v>
      </c>
      <c r="AD90" s="407" t="str">
        <f t="shared" si="23"/>
        <v>上昇トレンド▲</v>
      </c>
      <c r="AE90" s="407" t="e">
        <f t="shared" si="24"/>
        <v>#VALUE!</v>
      </c>
      <c r="AF90" s="368">
        <f t="array" ref="AF90">IF(C90="","",IFERROR((INDEX(終値!$E:$E,MATCH(TEXT(C90,"0"),終値!$A:$A,0))-INDEX(終値!$E:$CZ,MATCH(TEXT(C90,"0"),終値!$A:$A,0),$AL$2))/INDEX(終値!$E:$CZ,MATCH(TEXT(C90,"0"),終値!$A:$A,0),$AL$2)*100,""))</f>
        <v>-4.5496043822276464</v>
      </c>
      <c r="AG90" s="368">
        <f t="array" ref="AG90">IFERROR((終値!$E$5-INDEX(終値!$E$5:$CZ$5,1,$AL$2))/INDEX(終値!$E$5:$CZ$5,1,$AL$2)*100,"")</f>
        <v>2.31989243802786</v>
      </c>
      <c r="AH90" s="369">
        <f t="shared" si="25"/>
        <v>-6.869496820255506</v>
      </c>
      <c r="AI90" s="367">
        <f t="shared" si="26"/>
        <v>-2</v>
      </c>
    </row>
    <row r="91" spans="1:35" s="177" customFormat="1" ht="18" customHeight="1">
      <c r="A91" s="166" t="str">
        <f>IF(銘柄管理!B120&lt;&gt;"",HYPERLINK("https://kabutan.jp/stock/?code="&amp;銘柄管理!B120,"株探"),"")</f>
        <v>株探</v>
      </c>
      <c r="B91" s="167"/>
      <c r="C91" s="168">
        <f>IF(銘柄管理!B120="","",銘柄管理!B120)</f>
        <v>6744</v>
      </c>
      <c r="D91" s="106" t="str">
        <f>IF(銘柄管理!C120="","",銘柄管理!C120)</f>
        <v/>
      </c>
      <c r="E91" s="169" t="str">
        <f>IF(C91&lt;&gt;"",_xll.RssMarket(C91,"現在値"),"")</f>
        <v/>
      </c>
      <c r="F91" s="169" t="str">
        <f>IF(C91&lt;&gt;"",_xll.RssMarket(C91,"始値"),"")</f>
        <v/>
      </c>
      <c r="G91" s="168">
        <f>IF(C91&lt;&gt;"",終値!F120,"")</f>
        <v>4350</v>
      </c>
      <c r="H91" s="169" t="str">
        <f>IF(C91&lt;&gt;"",_xll.RssMarket(C91,"高値"),"")</f>
        <v/>
      </c>
      <c r="I91" s="169" t="str">
        <f>IF(C91&lt;&gt;"",_xll.RssMarket(C91,"安値"),"")</f>
        <v/>
      </c>
      <c r="J91" s="169" t="str">
        <f>IF(C91&lt;&gt;"",_xll.RssMarket(C91,"出来高"),"")</f>
        <v/>
      </c>
      <c r="K91" s="169" t="str">
        <f>IF(C91&lt;&gt;"",_xll.RssMarket(C91,"年初来高値"),"")</f>
        <v/>
      </c>
      <c r="L91" s="170" t="str">
        <f t="shared" si="17"/>
        <v/>
      </c>
      <c r="M91" s="169">
        <f>IF(C91&lt;&gt;"",IFERROR(AVERAGE(出来高!E120:I120),""),"")</f>
        <v>71080</v>
      </c>
      <c r="N91" s="169">
        <f>IF(C91&lt;&gt;"",IFERROR(AVERAGE(出来高!E120:AC120),""),"")</f>
        <v>78392</v>
      </c>
      <c r="O91" s="171" t="str">
        <f t="shared" si="18"/>
        <v/>
      </c>
      <c r="P91" s="166" t="str">
        <f t="shared" si="19"/>
        <v/>
      </c>
      <c r="Q91" s="166" t="str">
        <f t="shared" si="20"/>
        <v/>
      </c>
      <c r="R91" s="169" t="str">
        <f t="shared" si="27"/>
        <v/>
      </c>
      <c r="S91" s="169" t="str">
        <f t="shared" si="28"/>
        <v/>
      </c>
      <c r="T91" s="166">
        <f t="shared" si="21"/>
        <v>0</v>
      </c>
      <c r="U91" s="166" t="str">
        <f t="shared" si="29"/>
        <v>除外</v>
      </c>
      <c r="V91" s="166" t="str">
        <f t="shared" si="22"/>
        <v/>
      </c>
      <c r="W91" s="172">
        <f t="array" ref="W91">IF(C91&lt;&gt;"",IFERROR(100-100/(1+SUMPRODUCT((終値!F120:R120&gt;終値!G120:S120)*( 終値!F120:R120-終値!G120:S120))/SUMPRODUCT((終値!F120:R120&lt;終値!G120:S120)*(終値!G120:S120-終値!F120:R120))),50),"")</f>
        <v>64.429530201342288</v>
      </c>
      <c r="X91" s="173">
        <f>IF(C91&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13.306731837017651</v>
      </c>
      <c r="Y91" s="1" t="e">
        <f>IF(T91="","",IF(銘柄管理!$F$5="下落▼",IF(AND(AD91="パーフェクト▲",OR(AE91="25日線押し目●",AE91="5日線押し目○")),"★逆張り候補",IF(AND(AD91="上昇トレンド▲",OR(AE91="25日線押し目●",AE91="5日線押し目○")),"○逆張り候補",IF(W91&lt;=30,IF(Z91&gt;0,"◎反発確認",IF(Z91&lt;-5,"△要注意・様子見","△売られ過ぎ注目")),"相場下落・見送り"))),IF(AND(T91&gt;=12,AD91="パーフェクト▲"),"★強い買い",IF(AND(T91&gt;=12,AD91="上昇トレンド▲"),"★強い買い",IF(AND(T91&gt;=8,OR(AE91="25日線押し目●",AE91="5日線押し目○")),"◎押し目買い",IF(T91&gt;=10,"○買い候補",IF(T91&gt;=6,"△注目",IF(T91&gt;=3,"様子見","見送り"))))))))</f>
        <v>#VALUE!</v>
      </c>
      <c r="Z91" s="174" t="str">
        <f t="shared" si="30"/>
        <v/>
      </c>
      <c r="AA91" s="166" t="str">
        <f t="shared" si="31"/>
        <v/>
      </c>
      <c r="AB91" s="408">
        <f>IF(C91="","",IFERROR(((終値!E93*0.333)+(終値!F93*0.222)+(終値!G93*0.148)+(終値!H93*0.099)+(終値!I93*0.066)+(終値!J93*0.044)+(終値!K93*0.029)+(終値!L93*0.019)+(終値!M93*0.013)+(終値!N93*0.009))/(0.333+0.222+0.148+0.099+0.066+0.044+0.029+0.019+0.013+0.009),""))</f>
        <v>776.0824847250509</v>
      </c>
      <c r="AC91" s="408">
        <f>IF(C91="","",IFERROR(SUMPRODUCT((終値!E93:AC93),({0.077,0.071,0.065,0.06,0.055,0.051,0.047,0.043,0.039,0.036,0.033,0.031,0.028,0.026,0.024,0.022,0.02,0.018,0.017,0.016,0.014,0.013,0.012,0.011,0.01}))/SUM({0.077,0.071,0.065,0.06,0.055,0.051,0.047,0.043,0.039,0.036,0.033,0.031,0.028,0.026,0.024,0.022,0.02,0.018,0.017,0.016,0.014,0.013,0.012,0.011,0.01}),""))</f>
        <v>805.83909415971368</v>
      </c>
      <c r="AD91" s="409" t="str">
        <f t="shared" si="23"/>
        <v>上昇トレンド▲</v>
      </c>
      <c r="AE91" s="409" t="e">
        <f t="shared" si="24"/>
        <v>#VALUE!</v>
      </c>
      <c r="AF91" s="368">
        <f t="array" ref="AF91">IF(C91="","",IFERROR((INDEX(終値!$E:$E,MATCH(TEXT(C91,"0"),終値!$A:$A,0))-INDEX(終値!$E:$CZ,MATCH(TEXT(C91,"0"),終値!$A:$A,0),$AL$2))/INDEX(終値!$E:$CZ,MATCH(TEXT(C91,"0"),終値!$A:$A,0),$AL$2)*100,""))</f>
        <v>-4.0091638029782359</v>
      </c>
      <c r="AG91" s="368">
        <f t="array" ref="AG91">IFERROR((終値!$E$5-INDEX(終値!$E$5:$CZ$5,1,$AL$2))/INDEX(終値!$E$5:$CZ$5,1,$AL$2)*100,"")</f>
        <v>2.31989243802786</v>
      </c>
      <c r="AH91" s="369">
        <f t="shared" si="25"/>
        <v>-6.3290562410060964</v>
      </c>
      <c r="AI91" s="367">
        <f t="shared" si="26"/>
        <v>-2</v>
      </c>
    </row>
    <row r="92" spans="1:35" s="177" customFormat="1" ht="18" customHeight="1">
      <c r="A92" s="166" t="str">
        <f>IF(銘柄管理!B140&lt;&gt;"",HYPERLINK("https://kabutan.jp/stock/?code="&amp;銘柄管理!B140,"株探"),"")</f>
        <v>株探</v>
      </c>
      <c r="B92" s="167"/>
      <c r="C92" s="168">
        <f>IF(銘柄管理!B140="","",銘柄管理!B140)</f>
        <v>6740</v>
      </c>
      <c r="D92" s="106" t="str">
        <f>IF(銘柄管理!C140="","",銘柄管理!C140)</f>
        <v/>
      </c>
      <c r="E92" s="169" t="str">
        <f>IF(C92&lt;&gt;"",_xll.RssMarket(C92,"現在値"),"")</f>
        <v/>
      </c>
      <c r="F92" s="169" t="str">
        <f>IF(C92&lt;&gt;"",_xll.RssMarket(C92,"始値"),"")</f>
        <v/>
      </c>
      <c r="G92" s="168">
        <f>IF(C92&lt;&gt;"",終値!F140,"")</f>
        <v>50</v>
      </c>
      <c r="H92" s="169" t="str">
        <f>IF(C92&lt;&gt;"",_xll.RssMarket(C92,"高値"),"")</f>
        <v/>
      </c>
      <c r="I92" s="169" t="str">
        <f>IF(C92&lt;&gt;"",_xll.RssMarket(C92,"安値"),"")</f>
        <v/>
      </c>
      <c r="J92" s="169" t="str">
        <f>IF(C92&lt;&gt;"",_xll.RssMarket(C92,"出来高"),"")</f>
        <v/>
      </c>
      <c r="K92" s="169" t="str">
        <f>IF(C92&lt;&gt;"",_xll.RssMarket(C92,"年初来高値"),"")</f>
        <v/>
      </c>
      <c r="L92" s="170" t="str">
        <f t="shared" si="17"/>
        <v/>
      </c>
      <c r="M92" s="169">
        <f>IF(C92&lt;&gt;"",IFERROR(AVERAGE(出来高!E140:I140),""),"")</f>
        <v>27709940</v>
      </c>
      <c r="N92" s="169">
        <f>IF(C92&lt;&gt;"",IFERROR(AVERAGE(出来高!E140:AC140),""),"")</f>
        <v>59056724</v>
      </c>
      <c r="O92" s="171" t="str">
        <f t="shared" si="18"/>
        <v/>
      </c>
      <c r="P92" s="166" t="str">
        <f t="shared" si="19"/>
        <v/>
      </c>
      <c r="Q92" s="166" t="str">
        <f t="shared" si="20"/>
        <v/>
      </c>
      <c r="R92" s="169" t="str">
        <f t="shared" si="27"/>
        <v/>
      </c>
      <c r="S92" s="169" t="str">
        <f t="shared" si="28"/>
        <v/>
      </c>
      <c r="T92" s="166">
        <f t="shared" si="21"/>
        <v>0</v>
      </c>
      <c r="U92" s="166" t="str">
        <f t="shared" si="29"/>
        <v>除外</v>
      </c>
      <c r="V92" s="166" t="str">
        <f t="shared" si="22"/>
        <v/>
      </c>
      <c r="W92" s="172">
        <f t="array" ref="W92">IF(C92&lt;&gt;"",IFERROR(100-100/(1+SUMPRODUCT((終値!F140:R140&gt;終値!G140:S140)*( 終値!F140:R140-終値!G140:S140))/SUMPRODUCT((終値!F140:R140&lt;終値!G140:S140)*(終値!G140:S140-終値!F140:R140))),50),"")</f>
        <v>51.162790697674417</v>
      </c>
      <c r="X92" s="173">
        <f>IF(C92&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-0.48625412455867689</v>
      </c>
      <c r="Y92" s="1" t="e">
        <f>IF(T92="","",IF(銘柄管理!$F$5="下落▼",IF(AND(AD92="パーフェクト▲",OR(AE92="25日線押し目●",AE92="5日線押し目○")),"★逆張り候補",IF(AND(AD92="上昇トレンド▲",OR(AE92="25日線押し目●",AE92="5日線押し目○")),"○逆張り候補",IF(W92&lt;=30,IF(Z92&gt;0,"◎反発確認",IF(Z92&lt;-5,"△要注意・様子見","△売られ過ぎ注目")),"相場下落・見送り"))),IF(AND(T92&gt;=12,AD92="パーフェクト▲"),"★強い買い",IF(AND(T92&gt;=12,AD92="上昇トレンド▲"),"★強い買い",IF(AND(T92&gt;=8,OR(AE92="25日線押し目●",AE92="5日線押し目○")),"◎押し目買い",IF(T92&gt;=10,"○買い候補",IF(T92&gt;=6,"△注目",IF(T92&gt;=3,"様子見","見送り"))))))))</f>
        <v>#VALUE!</v>
      </c>
      <c r="Z92" s="174" t="str">
        <f t="shared" si="30"/>
        <v/>
      </c>
      <c r="AA92" s="166" t="str">
        <f t="shared" si="31"/>
        <v/>
      </c>
      <c r="AB92" s="406">
        <f>IF(C92="","",IFERROR(((終値!E94*0.333)+(終値!F94*0.222)+(終値!G94*0.148)+(終値!H94*0.099)+(終値!I94*0.066)+(終値!J94*0.044)+(終値!K94*0.029)+(終値!L94*0.019)+(終値!M94*0.013)+(終値!N94*0.009))/(0.333+0.222+0.148+0.099+0.066+0.044+0.029+0.019+0.013+0.009),""))</f>
        <v>1850.9831975560078</v>
      </c>
      <c r="AC92" s="406">
        <f>IF(C92="","",IFERROR(SUMPRODUCT((終値!E94:AC94),({0.077,0.071,0.065,0.06,0.055,0.051,0.047,0.043,0.039,0.036,0.033,0.031,0.028,0.026,0.024,0.022,0.02,0.018,0.017,0.016,0.014,0.013,0.012,0.011,0.01}))/SUM({0.077,0.071,0.065,0.06,0.055,0.051,0.047,0.043,0.039,0.036,0.033,0.031,0.028,0.026,0.024,0.022,0.02,0.018,0.017,0.016,0.014,0.013,0.012,0.011,0.01}),""))</f>
        <v>1828.528605482717</v>
      </c>
      <c r="AD92" s="407" t="str">
        <f t="shared" si="23"/>
        <v>パーフェクト▲</v>
      </c>
      <c r="AE92" s="407" t="e">
        <f t="shared" si="24"/>
        <v>#VALUE!</v>
      </c>
      <c r="AF92" s="368">
        <f t="array" ref="AF92">IF(C92="","",IFERROR((INDEX(終値!$E:$E,MATCH(TEXT(C92,"0"),終値!$A:$A,0))-INDEX(終値!$E:$CZ,MATCH(TEXT(C92,"0"),終値!$A:$A,0),$AL$2))/INDEX(終値!$E:$CZ,MATCH(TEXT(C92,"0"),終値!$A:$A,0),$AL$2)*100,""))</f>
        <v>-17.857142857142858</v>
      </c>
      <c r="AG92" s="368">
        <f t="array" ref="AG92">IFERROR((終値!$E$5-INDEX(終値!$E$5:$CZ$5,1,$AL$2))/INDEX(終値!$E$5:$CZ$5,1,$AL$2)*100,"")</f>
        <v>2.31989243802786</v>
      </c>
      <c r="AH92" s="369">
        <f t="shared" si="25"/>
        <v>-20.177035295170718</v>
      </c>
      <c r="AI92" s="367">
        <f t="shared" si="26"/>
        <v>-2</v>
      </c>
    </row>
    <row r="93" spans="1:35" s="177" customFormat="1" ht="18" customHeight="1">
      <c r="A93" s="166" t="str">
        <f>IF(銘柄管理!B11&lt;&gt;"",HYPERLINK("https://kabutan.jp/stock/?code="&amp;銘柄管理!B11,"株探"),"")</f>
        <v>株探</v>
      </c>
      <c r="B93" s="167"/>
      <c r="C93" s="168">
        <f>IF(銘柄管理!B11="","",銘柄管理!B11)</f>
        <v>6701</v>
      </c>
      <c r="D93" s="106" t="str">
        <f>IF(銘柄管理!C11="","",銘柄管理!C11)</f>
        <v/>
      </c>
      <c r="E93" s="169" t="str">
        <f>IF(C93&lt;&gt;"",_xll.RssMarket(C93,"現在値"),"")</f>
        <v/>
      </c>
      <c r="F93" s="169" t="str">
        <f>IF(C93&lt;&gt;"",_xll.RssMarket(C93,"始値"),"")</f>
        <v/>
      </c>
      <c r="G93" s="168">
        <f>IF(C93&lt;&gt;"",終値!F11,"")</f>
        <v>4270</v>
      </c>
      <c r="H93" s="169" t="str">
        <f>IF(C93&lt;&gt;"",_xll.RssMarket(C93,"高値"),"")</f>
        <v/>
      </c>
      <c r="I93" s="169" t="str">
        <f>IF(C93&lt;&gt;"",_xll.RssMarket(C93,"安値"),"")</f>
        <v/>
      </c>
      <c r="J93" s="169" t="str">
        <f>IF(C93&lt;&gt;"",_xll.RssMarket(C93,"出来高"),"")</f>
        <v/>
      </c>
      <c r="K93" s="169" t="str">
        <f>IF(C93&lt;&gt;"",_xll.RssMarket(C93,"年初来高値"),"")</f>
        <v/>
      </c>
      <c r="L93" s="170" t="str">
        <f t="shared" si="17"/>
        <v/>
      </c>
      <c r="M93" s="169">
        <f>IF(C93&lt;&gt;"",IFERROR(AVERAGE(出来高!E11:I11),""),"")</f>
        <v>6799960</v>
      </c>
      <c r="N93" s="169">
        <f>IF(C93&lt;&gt;"",IFERROR(AVERAGE(出来高!E11:AC11),""),"")</f>
        <v>7310028</v>
      </c>
      <c r="O93" s="171" t="str">
        <f t="shared" si="18"/>
        <v/>
      </c>
      <c r="P93" s="166" t="str">
        <f t="shared" si="19"/>
        <v/>
      </c>
      <c r="Q93" s="166" t="str">
        <f t="shared" si="20"/>
        <v/>
      </c>
      <c r="R93" s="169" t="str">
        <f t="shared" si="27"/>
        <v/>
      </c>
      <c r="S93" s="169" t="str">
        <f t="shared" si="28"/>
        <v/>
      </c>
      <c r="T93" s="166">
        <f t="shared" si="21"/>
        <v>0</v>
      </c>
      <c r="U93" s="166" t="str">
        <f t="shared" si="29"/>
        <v>除外</v>
      </c>
      <c r="V93" s="166" t="str">
        <f t="shared" si="22"/>
        <v/>
      </c>
      <c r="W93" s="172">
        <f t="array" ref="W93">IF(C93&lt;&gt;"",IFERROR(100-100/(1+SUMPRODUCT((終値!F11:R11&gt;終値!G11:S11)*( 終値!F11:R11-終値!G11:S11))/SUMPRODUCT((終値!F11:R11&lt;終値!G11:S11)*(終値!G11:S11-終値!F11:R11))),50),"")</f>
        <v>69.535415079969539</v>
      </c>
      <c r="X93" s="173">
        <f>IF(C93&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75.088797917520424</v>
      </c>
      <c r="Y93" s="1" t="e">
        <f>IF(T93="","",IF(銘柄管理!$F$5="下落▼",IF(AND(AD93="パーフェクト▲",OR(AE93="25日線押し目●",AE93="5日線押し目○")),"★逆張り候補",IF(AND(AD93="上昇トレンド▲",OR(AE93="25日線押し目●",AE93="5日線押し目○")),"○逆張り候補",IF(W93&lt;=30,IF(Z93&gt;0,"◎反発確認",IF(Z93&lt;-5,"△要注意・様子見","△売られ過ぎ注目")),"相場下落・見送り"))),IF(AND(T93&gt;=12,AD93="パーフェクト▲"),"★強い買い",IF(AND(T93&gt;=12,AD93="上昇トレンド▲"),"★強い買い",IF(AND(T93&gt;=8,OR(AE93="25日線押し目●",AE93="5日線押し目○")),"◎押し目買い",IF(T93&gt;=10,"○買い候補",IF(T93&gt;=6,"△注目",IF(T93&gt;=3,"様子見","見送り"))))))))</f>
        <v>#VALUE!</v>
      </c>
      <c r="Z93" s="174" t="str">
        <f t="shared" si="30"/>
        <v/>
      </c>
      <c r="AA93" s="166" t="str">
        <f t="shared" si="31"/>
        <v/>
      </c>
      <c r="AB93" s="408">
        <f>IF(C93="","",IFERROR(((終値!E95*0.333)+(終値!F95*0.222)+(終値!G95*0.148)+(終値!H95*0.099)+(終値!I95*0.066)+(終値!J95*0.044)+(終値!K95*0.029)+(終値!L95*0.019)+(終値!M95*0.013)+(終値!N95*0.009))/(0.333+0.222+0.148+0.099+0.066+0.044+0.029+0.019+0.013+0.009),""))</f>
        <v>1284.0692464358449</v>
      </c>
      <c r="AC93" s="408">
        <f>IF(C93="","",IFERROR(SUMPRODUCT((終値!E95:AC95),({0.077,0.071,0.065,0.06,0.055,0.051,0.047,0.043,0.039,0.036,0.033,0.031,0.028,0.026,0.024,0.022,0.02,0.018,0.017,0.016,0.014,0.013,0.012,0.011,0.01}))/SUM({0.077,0.071,0.065,0.06,0.055,0.051,0.047,0.043,0.039,0.036,0.033,0.031,0.028,0.026,0.024,0.022,0.02,0.018,0.017,0.016,0.014,0.013,0.012,0.011,0.01}),""))</f>
        <v>1292.3706793802137</v>
      </c>
      <c r="AD93" s="409" t="str">
        <f t="shared" si="23"/>
        <v>上昇トレンド▲</v>
      </c>
      <c r="AE93" s="409" t="e">
        <f t="shared" si="24"/>
        <v>#VALUE!</v>
      </c>
      <c r="AF93" s="368">
        <f t="array" ref="AF93">IF(C93="","",IFERROR((INDEX(終値!$E:$E,MATCH(TEXT(C93,"0"),終値!$A:$A,0))-INDEX(終値!$E:$CZ,MATCH(TEXT(C93,"0"),終値!$A:$A,0),$AL$2))/INDEX(終値!$E:$CZ,MATCH(TEXT(C93,"0"),終値!$A:$A,0),$AL$2)*100,""))</f>
        <v>6.298828125</v>
      </c>
      <c r="AG93" s="368">
        <f t="array" ref="AG93">IFERROR((終値!$E$5-INDEX(終値!$E$5:$CZ$5,1,$AL$2))/INDEX(終値!$E$5:$CZ$5,1,$AL$2)*100,"")</f>
        <v>2.31989243802786</v>
      </c>
      <c r="AH93" s="369">
        <f t="shared" si="25"/>
        <v>3.97893568697214</v>
      </c>
      <c r="AI93" s="367">
        <f t="shared" si="26"/>
        <v>1</v>
      </c>
    </row>
    <row r="94" spans="1:35" s="177" customFormat="1" ht="18" customHeight="1">
      <c r="A94" s="166" t="str">
        <f>IF(銘柄管理!B141&lt;&gt;"",HYPERLINK("https://kabutan.jp/stock/?code="&amp;銘柄管理!B141,"株探"),"")</f>
        <v>株探</v>
      </c>
      <c r="B94" s="167"/>
      <c r="C94" s="168">
        <f>IF(銘柄管理!B141="","",銘柄管理!B141)</f>
        <v>6613</v>
      </c>
      <c r="D94" s="106" t="str">
        <f>IF(銘柄管理!C141="","",銘柄管理!C141)</f>
        <v/>
      </c>
      <c r="E94" s="169" t="str">
        <f>IF(C94&lt;&gt;"",_xll.RssMarket(C94,"現在値"),"")</f>
        <v/>
      </c>
      <c r="F94" s="169" t="str">
        <f>IF(C94&lt;&gt;"",_xll.RssMarket(C94,"始値"),"")</f>
        <v/>
      </c>
      <c r="G94" s="168">
        <f>IF(C94&lt;&gt;"",終値!F141,"")</f>
        <v>2384</v>
      </c>
      <c r="H94" s="169" t="str">
        <f>IF(C94&lt;&gt;"",_xll.RssMarket(C94,"高値"),"")</f>
        <v/>
      </c>
      <c r="I94" s="169" t="str">
        <f>IF(C94&lt;&gt;"",_xll.RssMarket(C94,"安値"),"")</f>
        <v/>
      </c>
      <c r="J94" s="169" t="str">
        <f>IF(C94&lt;&gt;"",_xll.RssMarket(C94,"出来高"),"")</f>
        <v/>
      </c>
      <c r="K94" s="169" t="str">
        <f>IF(C94&lt;&gt;"",_xll.RssMarket(C94,"年初来高値"),"")</f>
        <v/>
      </c>
      <c r="L94" s="170" t="str">
        <f t="shared" si="17"/>
        <v/>
      </c>
      <c r="M94" s="169">
        <f>IF(C94&lt;&gt;"",IFERROR(AVERAGE(出来高!E141:I141),""),"")</f>
        <v>3297280</v>
      </c>
      <c r="N94" s="169">
        <f>IF(C94&lt;&gt;"",IFERROR(AVERAGE(出来高!E141:AC141),""),"")</f>
        <v>4127484</v>
      </c>
      <c r="O94" s="171" t="str">
        <f t="shared" si="18"/>
        <v/>
      </c>
      <c r="P94" s="166" t="str">
        <f t="shared" si="19"/>
        <v/>
      </c>
      <c r="Q94" s="166" t="str">
        <f t="shared" si="20"/>
        <v/>
      </c>
      <c r="R94" s="169" t="str">
        <f t="shared" si="27"/>
        <v/>
      </c>
      <c r="S94" s="169" t="str">
        <f t="shared" si="28"/>
        <v/>
      </c>
      <c r="T94" s="166">
        <f t="shared" si="21"/>
        <v>0</v>
      </c>
      <c r="U94" s="166" t="str">
        <f t="shared" si="29"/>
        <v>除外</v>
      </c>
      <c r="V94" s="166" t="str">
        <f t="shared" si="22"/>
        <v/>
      </c>
      <c r="W94" s="172">
        <f t="array" ref="W94">IF(C94&lt;&gt;"",IFERROR(100-100/(1+SUMPRODUCT((終値!F141:R141&gt;終値!G141:S141)*( 終値!F141:R141-終値!G141:S141))/SUMPRODUCT((終値!F141:R141&lt;終値!G141:S141)*(終値!G141:S141-終値!F141:R141))),50),"")</f>
        <v>15.298804780876495</v>
      </c>
      <c r="X94" s="173">
        <f>IF(C94&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-66.365894626232148</v>
      </c>
      <c r="Y94" s="1" t="e">
        <f>IF(T94="","",IF(銘柄管理!$F$5="下落▼",IF(AND(AD94="パーフェクト▲",OR(AE94="25日線押し目●",AE94="5日線押し目○")),"★逆張り候補",IF(AND(AD94="上昇トレンド▲",OR(AE94="25日線押し目●",AE94="5日線押し目○")),"○逆張り候補",IF(W94&lt;=30,IF(Z94&gt;0,"◎反発確認",IF(Z94&lt;-5,"△要注意・様子見","△売られ過ぎ注目")),"相場下落・見送り"))),IF(AND(T94&gt;=12,AD94="パーフェクト▲"),"★強い買い",IF(AND(T94&gt;=12,AD94="上昇トレンド▲"),"★強い買い",IF(AND(T94&gt;=8,OR(AE94="25日線押し目●",AE94="5日線押し目○")),"◎押し目買い",IF(T94&gt;=10,"○買い候補",IF(T94&gt;=6,"△注目",IF(T94&gt;=3,"様子見","見送り"))))))))</f>
        <v>#VALUE!</v>
      </c>
      <c r="Z94" s="174" t="str">
        <f t="shared" si="30"/>
        <v/>
      </c>
      <c r="AA94" s="166" t="str">
        <f t="shared" si="31"/>
        <v/>
      </c>
      <c r="AB94" s="406">
        <f>IF(C94="","",IFERROR(((終値!E96*0.333)+(終値!F96*0.222)+(終値!G96*0.148)+(終値!H96*0.099)+(終値!I96*0.066)+(終値!J96*0.044)+(終値!K96*0.029)+(終値!L96*0.019)+(終値!M96*0.013)+(終値!N96*0.009))/(0.333+0.222+0.148+0.099+0.066+0.044+0.029+0.019+0.013+0.009),""))</f>
        <v>17970.157841140524</v>
      </c>
      <c r="AC94" s="406">
        <f>IF(C94="","",IFERROR(SUMPRODUCT((終値!E96:AC96),({0.077,0.071,0.065,0.06,0.055,0.051,0.047,0.043,0.039,0.036,0.033,0.031,0.028,0.026,0.024,0.022,0.02,0.018,0.017,0.016,0.014,0.013,0.012,0.011,0.01}))/SUM({0.077,0.071,0.065,0.06,0.055,0.051,0.047,0.043,0.039,0.036,0.033,0.031,0.028,0.026,0.024,0.022,0.02,0.018,0.017,0.016,0.014,0.013,0.012,0.011,0.01}),""))</f>
        <v>20775.143027413582</v>
      </c>
      <c r="AD94" s="407" t="str">
        <f t="shared" si="23"/>
        <v>上昇トレンド▲</v>
      </c>
      <c r="AE94" s="407" t="e">
        <f t="shared" si="24"/>
        <v>#VALUE!</v>
      </c>
      <c r="AF94" s="368">
        <f t="array" ref="AF94">IF(C94="","",IFERROR((INDEX(終値!$E:$E,MATCH(TEXT(C94,"0"),終値!$A:$A,0))-INDEX(終値!$E:$CZ,MATCH(TEXT(C94,"0"),終値!$A:$A,0),$AL$2))/INDEX(終値!$E:$CZ,MATCH(TEXT(C94,"0"),終値!$A:$A,0),$AL$2)*100,""))</f>
        <v>-31.284046692607003</v>
      </c>
      <c r="AG94" s="368">
        <f t="array" ref="AG94">IFERROR((終値!$E$5-INDEX(終値!$E$5:$CZ$5,1,$AL$2))/INDEX(終値!$E$5:$CZ$5,1,$AL$2)*100,"")</f>
        <v>2.31989243802786</v>
      </c>
      <c r="AH94" s="369">
        <f t="shared" si="25"/>
        <v>-33.603939130634863</v>
      </c>
      <c r="AI94" s="367">
        <f t="shared" si="26"/>
        <v>-2</v>
      </c>
    </row>
    <row r="95" spans="1:35" s="177" customFormat="1" ht="18" customHeight="1">
      <c r="A95" s="166" t="str">
        <f>IF(銘柄管理!B143&lt;&gt;"",HYPERLINK("https://kabutan.jp/stock/?code="&amp;銘柄管理!B143,"株探"),"")</f>
        <v>株探</v>
      </c>
      <c r="B95" s="167"/>
      <c r="C95" s="168">
        <f>IF(銘柄管理!B143="","",銘柄管理!B143)</f>
        <v>6522</v>
      </c>
      <c r="D95" s="106" t="str">
        <f>IF(銘柄管理!C143="","",銘柄管理!C143)</f>
        <v/>
      </c>
      <c r="E95" s="169" t="str">
        <f>IF(C95&lt;&gt;"",_xll.RssMarket(C95,"現在値"),"")</f>
        <v/>
      </c>
      <c r="F95" s="169" t="str">
        <f>IF(C95&lt;&gt;"",_xll.RssMarket(C95,"始値"),"")</f>
        <v/>
      </c>
      <c r="G95" s="168">
        <f>IF(C95&lt;&gt;"",終値!F143,"")</f>
        <v>1899</v>
      </c>
      <c r="H95" s="169" t="str">
        <f>IF(C95&lt;&gt;"",_xll.RssMarket(C95,"高値"),"")</f>
        <v/>
      </c>
      <c r="I95" s="169" t="str">
        <f>IF(C95&lt;&gt;"",_xll.RssMarket(C95,"安値"),"")</f>
        <v/>
      </c>
      <c r="J95" s="169" t="str">
        <f>IF(C95&lt;&gt;"",_xll.RssMarket(C95,"出来高"),"")</f>
        <v/>
      </c>
      <c r="K95" s="169" t="str">
        <f>IF(C95&lt;&gt;"",_xll.RssMarket(C95,"年初来高値"),"")</f>
        <v/>
      </c>
      <c r="L95" s="170" t="str">
        <f t="shared" si="17"/>
        <v/>
      </c>
      <c r="M95" s="169">
        <f>IF(C95&lt;&gt;"",IFERROR(AVERAGE(出来高!E143:I143),""),"")</f>
        <v>1765380</v>
      </c>
      <c r="N95" s="169">
        <f>IF(C95&lt;&gt;"",IFERROR(AVERAGE(出来高!E143:AC143),""),"")</f>
        <v>2700932</v>
      </c>
      <c r="O95" s="171" t="str">
        <f t="shared" si="18"/>
        <v/>
      </c>
      <c r="P95" s="166" t="str">
        <f t="shared" si="19"/>
        <v/>
      </c>
      <c r="Q95" s="166" t="str">
        <f t="shared" si="20"/>
        <v/>
      </c>
      <c r="R95" s="169" t="str">
        <f t="shared" si="27"/>
        <v/>
      </c>
      <c r="S95" s="169" t="str">
        <f t="shared" si="28"/>
        <v/>
      </c>
      <c r="T95" s="166">
        <f t="shared" si="21"/>
        <v>0</v>
      </c>
      <c r="U95" s="166" t="str">
        <f t="shared" si="29"/>
        <v>除外</v>
      </c>
      <c r="V95" s="166" t="str">
        <f t="shared" si="22"/>
        <v/>
      </c>
      <c r="W95" s="172">
        <f t="array" ref="W95">IF(C95&lt;&gt;"",IFERROR(100-100/(1+SUMPRODUCT((終値!F143:R143&gt;終値!G143:S143)*( 終値!F143:R143-終値!G143:S143))/SUMPRODUCT((終値!F143:R143&lt;終値!G143:S143)*(終値!G143:S143-終値!F143:R143))),50),"")</f>
        <v>65.419580419580427</v>
      </c>
      <c r="X95" s="173">
        <f>IF(C95&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131.74677299304722</v>
      </c>
      <c r="Y95" s="1" t="e">
        <f>IF(T95="","",IF(銘柄管理!$F$5="下落▼",IF(AND(AD95="パーフェクト▲",OR(AE95="25日線押し目●",AE95="5日線押し目○")),"★逆張り候補",IF(AND(AD95="上昇トレンド▲",OR(AE95="25日線押し目●",AE95="5日線押し目○")),"○逆張り候補",IF(W95&lt;=30,IF(Z95&gt;0,"◎反発確認",IF(Z95&lt;-5,"△要注意・様子見","△売られ過ぎ注目")),"相場下落・見送り"))),IF(AND(T95&gt;=12,AD95="パーフェクト▲"),"★強い買い",IF(AND(T95&gt;=12,AD95="上昇トレンド▲"),"★強い買い",IF(AND(T95&gt;=8,OR(AE95="25日線押し目●",AE95="5日線押し目○")),"◎押し目買い",IF(T95&gt;=10,"○買い候補",IF(T95&gt;=6,"△注目",IF(T95&gt;=3,"様子見","見送り"))))))))</f>
        <v>#VALUE!</v>
      </c>
      <c r="Z95" s="174" t="str">
        <f t="shared" si="30"/>
        <v/>
      </c>
      <c r="AA95" s="166" t="str">
        <f t="shared" si="31"/>
        <v/>
      </c>
      <c r="AB95" s="408">
        <f>IF(C95="","",IFERROR(((終値!E97*0.333)+(終値!F97*0.222)+(終値!G97*0.148)+(終値!H97*0.099)+(終値!I97*0.066)+(終値!J97*0.044)+(終値!K97*0.029)+(終値!L97*0.019)+(終値!M97*0.013)+(終値!N97*0.009))/(0.333+0.222+0.148+0.099+0.066+0.044+0.029+0.019+0.013+0.009),""))</f>
        <v>4567.3788187372702</v>
      </c>
      <c r="AC95" s="408">
        <f>IF(C95="","",IFERROR(SUMPRODUCT((終値!E97:AC97),({0.077,0.071,0.065,0.06,0.055,0.051,0.047,0.043,0.039,0.036,0.033,0.031,0.028,0.026,0.024,0.022,0.02,0.018,0.017,0.016,0.014,0.013,0.012,0.011,0.01}))/SUM({0.077,0.071,0.065,0.06,0.055,0.051,0.047,0.043,0.039,0.036,0.033,0.031,0.028,0.026,0.024,0.022,0.02,0.018,0.017,0.016,0.014,0.013,0.012,0.011,0.01}),""))</f>
        <v>4824.7794994040514</v>
      </c>
      <c r="AD95" s="409" t="str">
        <f t="shared" si="23"/>
        <v>上昇トレンド▲</v>
      </c>
      <c r="AE95" s="409" t="e">
        <f t="shared" si="24"/>
        <v>#VALUE!</v>
      </c>
      <c r="AF95" s="368">
        <f t="array" ref="AF95">IF(C95="","",IFERROR((INDEX(終値!$E:$E,MATCH(TEXT(C95,"0"),終値!$A:$A,0))-INDEX(終値!$E:$CZ,MATCH(TEXT(C95,"0"),終値!$A:$A,0),$AL$2))/INDEX(終値!$E:$CZ,MATCH(TEXT(C95,"0"),終値!$A:$A,0),$AL$2)*100,""))</f>
        <v>75.100401606425706</v>
      </c>
      <c r="AG95" s="368">
        <f t="array" ref="AG95">IFERROR((終値!$E$5-INDEX(終値!$E$5:$CZ$5,1,$AL$2))/INDEX(終値!$E$5:$CZ$5,1,$AL$2)*100,"")</f>
        <v>2.31989243802786</v>
      </c>
      <c r="AH95" s="369">
        <f t="shared" si="25"/>
        <v>72.780509168397842</v>
      </c>
      <c r="AI95" s="367">
        <f t="shared" si="26"/>
        <v>3</v>
      </c>
    </row>
    <row r="96" spans="1:35" s="177" customFormat="1" ht="18" customHeight="1">
      <c r="A96" s="166" t="str">
        <f>IF(銘柄管理!B151&lt;&gt;"",HYPERLINK("https://kabutan.jp/stock/?code="&amp;銘柄管理!B151,"株探"),"")</f>
        <v>株探</v>
      </c>
      <c r="B96" s="167"/>
      <c r="C96" s="168">
        <f>IF(銘柄管理!B151="","",銘柄管理!B151)</f>
        <v>6516</v>
      </c>
      <c r="D96" s="106" t="str">
        <f>IF(銘柄管理!C151="","",銘柄管理!C151)</f>
        <v/>
      </c>
      <c r="E96" s="169" t="str">
        <f>IF(C96&lt;&gt;"",_xll.RssMarket(C96,"現在値"),"")</f>
        <v/>
      </c>
      <c r="F96" s="169" t="str">
        <f>IF(C96&lt;&gt;"",_xll.RssMarket(C96,"始値"),"")</f>
        <v/>
      </c>
      <c r="G96" s="168">
        <f>IF(C96&lt;&gt;"",終値!F151,"")</f>
        <v>5930</v>
      </c>
      <c r="H96" s="169" t="str">
        <f>IF(C96&lt;&gt;"",_xll.RssMarket(C96,"高値"),"")</f>
        <v/>
      </c>
      <c r="I96" s="169" t="str">
        <f>IF(C96&lt;&gt;"",_xll.RssMarket(C96,"安値"),"")</f>
        <v/>
      </c>
      <c r="J96" s="169" t="str">
        <f>IF(C96&lt;&gt;"",_xll.RssMarket(C96,"出来高"),"")</f>
        <v/>
      </c>
      <c r="K96" s="169" t="str">
        <f>IF(C96&lt;&gt;"",_xll.RssMarket(C96,"年初来高値"),"")</f>
        <v/>
      </c>
      <c r="L96" s="170" t="str">
        <f t="shared" si="17"/>
        <v/>
      </c>
      <c r="M96" s="169">
        <f>IF(C96&lt;&gt;"",IFERROR(AVERAGE(出来高!E151:I151),""),"")</f>
        <v>114600</v>
      </c>
      <c r="N96" s="169">
        <f>IF(C96&lt;&gt;"",IFERROR(AVERAGE(出来高!E151:AC151),""),"")</f>
        <v>142832</v>
      </c>
      <c r="O96" s="171" t="str">
        <f t="shared" si="18"/>
        <v/>
      </c>
      <c r="P96" s="166" t="str">
        <f t="shared" si="19"/>
        <v/>
      </c>
      <c r="Q96" s="166" t="str">
        <f t="shared" si="20"/>
        <v/>
      </c>
      <c r="R96" s="169" t="str">
        <f t="shared" si="27"/>
        <v/>
      </c>
      <c r="S96" s="169" t="str">
        <f t="shared" si="28"/>
        <v/>
      </c>
      <c r="T96" s="166">
        <f t="shared" si="21"/>
        <v>0</v>
      </c>
      <c r="U96" s="166" t="str">
        <f t="shared" si="29"/>
        <v>除外</v>
      </c>
      <c r="V96" s="166" t="str">
        <f t="shared" si="22"/>
        <v/>
      </c>
      <c r="W96" s="172">
        <f t="array" ref="W96">IF(C96&lt;&gt;"",IFERROR(100-100/(1+SUMPRODUCT((終値!F151:R151&gt;終値!G151:S151)*( 終値!F151:R151-終値!G151:S151))/SUMPRODUCT((終値!F151:R151&lt;終値!G151:S151)*(終値!G151:S151-終値!F151:R151))),50),"")</f>
        <v>17.741935483870975</v>
      </c>
      <c r="X96" s="173">
        <f>IF(C96&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-143.93282889997045</v>
      </c>
      <c r="Y96" s="1" t="e">
        <f>IF(T96="","",IF(銘柄管理!$F$5="下落▼",IF(AND(AD96="パーフェクト▲",OR(AE96="25日線押し目●",AE96="5日線押し目○")),"★逆張り候補",IF(AND(AD96="上昇トレンド▲",OR(AE96="25日線押し目●",AE96="5日線押し目○")),"○逆張り候補",IF(W96&lt;=30,IF(Z96&gt;0,"◎反発確認",IF(Z96&lt;-5,"△要注意・様子見","△売られ過ぎ注目")),"相場下落・見送り"))),IF(AND(T96&gt;=12,AD96="パーフェクト▲"),"★強い買い",IF(AND(T96&gt;=12,AD96="上昇トレンド▲"),"★強い買い",IF(AND(T96&gt;=8,OR(AE96="25日線押し目●",AE96="5日線押し目○")),"◎押し目買い",IF(T96&gt;=10,"○買い候補",IF(T96&gt;=6,"△注目",IF(T96&gt;=3,"様子見","見送り"))))))))</f>
        <v>#VALUE!</v>
      </c>
      <c r="Z96" s="174" t="str">
        <f t="shared" si="30"/>
        <v/>
      </c>
      <c r="AA96" s="166" t="str">
        <f t="shared" si="31"/>
        <v/>
      </c>
      <c r="AB96" s="406">
        <f>IF(C96="","",IFERROR(((終値!E98*0.333)+(終値!F98*0.222)+(終値!G98*0.148)+(終値!H98*0.099)+(終値!I98*0.066)+(終値!J98*0.044)+(終値!K98*0.029)+(終値!L98*0.019)+(終値!M98*0.013)+(終値!N98*0.009))/(0.333+0.222+0.148+0.099+0.066+0.044+0.029+0.019+0.013+0.009),""))</f>
        <v>1185.2265784114052</v>
      </c>
      <c r="AC96" s="406">
        <f>IF(C96="","",IFERROR(SUMPRODUCT((終値!E98:AC98),({0.077,0.071,0.065,0.06,0.055,0.051,0.047,0.043,0.039,0.036,0.033,0.031,0.028,0.026,0.024,0.022,0.02,0.018,0.017,0.016,0.014,0.013,0.012,0.011,0.01}))/SUM({0.077,0.071,0.065,0.06,0.055,0.051,0.047,0.043,0.039,0.036,0.033,0.031,0.028,0.026,0.024,0.022,0.02,0.018,0.017,0.016,0.014,0.013,0.012,0.011,0.01}),""))</f>
        <v>1147.3450536352796</v>
      </c>
      <c r="AD96" s="407" t="str">
        <f t="shared" si="23"/>
        <v>パーフェクト▲</v>
      </c>
      <c r="AE96" s="407" t="e">
        <f t="shared" si="24"/>
        <v>#VALUE!</v>
      </c>
      <c r="AF96" s="368">
        <f t="array" ref="AF96">IF(C96="","",IFERROR((INDEX(終値!$E:$E,MATCH(TEXT(C96,"0"),終値!$A:$A,0))-INDEX(終値!$E:$CZ,MATCH(TEXT(C96,"0"),終値!$A:$A,0),$AL$2))/INDEX(終値!$E:$CZ,MATCH(TEXT(C96,"0"),終値!$A:$A,0),$AL$2)*100,""))</f>
        <v>-15.109034267912772</v>
      </c>
      <c r="AG96" s="368">
        <f t="array" ref="AG96">IFERROR((終値!$E$5-INDEX(終値!$E$5:$CZ$5,1,$AL$2))/INDEX(終値!$E$5:$CZ$5,1,$AL$2)*100,"")</f>
        <v>2.31989243802786</v>
      </c>
      <c r="AH96" s="369">
        <f t="shared" si="25"/>
        <v>-17.428926705940633</v>
      </c>
      <c r="AI96" s="367">
        <f t="shared" si="26"/>
        <v>-2</v>
      </c>
    </row>
    <row r="97" spans="1:35" s="177" customFormat="1" ht="18" customHeight="1">
      <c r="A97" s="166" t="str">
        <f>IF(銘柄管理!B183&lt;&gt;"",HYPERLINK("https://kabutan.jp/stock/?code="&amp;銘柄管理!B183,"株探"),"")</f>
        <v>株探</v>
      </c>
      <c r="B97" s="167"/>
      <c r="C97" s="168">
        <f>IF(銘柄管理!B183="","",銘柄管理!B183)</f>
        <v>6507</v>
      </c>
      <c r="D97" s="106" t="str">
        <f>IF(銘柄管理!C183="","",銘柄管理!C183)</f>
        <v/>
      </c>
      <c r="E97" s="169" t="str">
        <f>IF(C97&lt;&gt;"",_xll.RssMarket(C97,"現在値"),"")</f>
        <v/>
      </c>
      <c r="F97" s="169" t="str">
        <f>IF(C97&lt;&gt;"",_xll.RssMarket(C97,"始値"),"")</f>
        <v/>
      </c>
      <c r="G97" s="168">
        <f>IF(C97&lt;&gt;"",終値!F183,"")</f>
        <v>14910</v>
      </c>
      <c r="H97" s="169" t="str">
        <f>IF(C97&lt;&gt;"",_xll.RssMarket(C97,"高値"),"")</f>
        <v/>
      </c>
      <c r="I97" s="169" t="str">
        <f>IF(C97&lt;&gt;"",_xll.RssMarket(C97,"安値"),"")</f>
        <v/>
      </c>
      <c r="J97" s="169" t="str">
        <f>IF(C97&lt;&gt;"",_xll.RssMarket(C97,"出来高"),"")</f>
        <v/>
      </c>
      <c r="K97" s="169" t="str">
        <f>IF(C97&lt;&gt;"",_xll.RssMarket(C97,"年初来高値"),"")</f>
        <v/>
      </c>
      <c r="L97" s="170" t="str">
        <f t="shared" si="17"/>
        <v/>
      </c>
      <c r="M97" s="169">
        <f>IF(C97&lt;&gt;"",IFERROR(AVERAGE(出来高!E183:I183),""),"")</f>
        <v>140520</v>
      </c>
      <c r="N97" s="169">
        <f>IF(C97&lt;&gt;"",IFERROR(AVERAGE(出来高!E183:AC183),""),"")</f>
        <v>164388</v>
      </c>
      <c r="O97" s="171" t="str">
        <f t="shared" si="18"/>
        <v/>
      </c>
      <c r="P97" s="166" t="str">
        <f t="shared" si="19"/>
        <v/>
      </c>
      <c r="Q97" s="166" t="str">
        <f t="shared" si="20"/>
        <v/>
      </c>
      <c r="R97" s="169" t="str">
        <f t="shared" si="27"/>
        <v/>
      </c>
      <c r="S97" s="169" t="str">
        <f t="shared" si="28"/>
        <v/>
      </c>
      <c r="T97" s="166">
        <f t="shared" si="21"/>
        <v>0</v>
      </c>
      <c r="U97" s="166" t="str">
        <f t="shared" si="29"/>
        <v>除外</v>
      </c>
      <c r="V97" s="166" t="str">
        <f t="shared" si="22"/>
        <v/>
      </c>
      <c r="W97" s="172">
        <f t="array" ref="W97">IF(C97&lt;&gt;"",IFERROR(100-100/(1+SUMPRODUCT((終値!F183:R183&gt;終値!G183:S183)*( 終値!F183:R183-終値!G183:S183))/SUMPRODUCT((終値!F183:R183&lt;終値!G183:S183)*(終値!G183:S183-終値!F183:R183))),50),"")</f>
        <v>43.863912515188339</v>
      </c>
      <c r="X97" s="173">
        <f>IF(C97&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-124.48740044340047</v>
      </c>
      <c r="Y97" s="1" t="e">
        <f>IF(T97="","",IF(銘柄管理!$F$5="下落▼",IF(AND(AD97="パーフェクト▲",OR(AE97="25日線押し目●",AE97="5日線押し目○")),"★逆張り候補",IF(AND(AD97="上昇トレンド▲",OR(AE97="25日線押し目●",AE97="5日線押し目○")),"○逆張り候補",IF(W97&lt;=30,IF(Z97&gt;0,"◎反発確認",IF(Z97&lt;-5,"△要注意・様子見","△売られ過ぎ注目")),"相場下落・見送り"))),IF(AND(T97&gt;=12,AD97="パーフェクト▲"),"★強い買い",IF(AND(T97&gt;=12,AD97="上昇トレンド▲"),"★強い買い",IF(AND(T97&gt;=8,OR(AE97="25日線押し目●",AE97="5日線押し目○")),"◎押し目買い",IF(T97&gt;=10,"○買い候補",IF(T97&gt;=6,"△注目",IF(T97&gt;=3,"様子見","見送り"))))))))</f>
        <v>#VALUE!</v>
      </c>
      <c r="Z97" s="174" t="str">
        <f t="shared" si="30"/>
        <v/>
      </c>
      <c r="AA97" s="166" t="str">
        <f t="shared" si="31"/>
        <v/>
      </c>
      <c r="AB97" s="408">
        <f>IF(C97="","",IFERROR(((終値!E99*0.333)+(終値!F99*0.222)+(終値!G99*0.148)+(終値!H99*0.099)+(終値!I99*0.066)+(終値!J99*0.044)+(終値!K99*0.029)+(終値!L99*0.019)+(終値!M99*0.013)+(終値!N99*0.009))/(0.333+0.222+0.148+0.099+0.066+0.044+0.029+0.019+0.013+0.009),""))</f>
        <v>4345.4134419551929</v>
      </c>
      <c r="AC97" s="408">
        <f>IF(C97="","",IFERROR(SUMPRODUCT((終値!E99:AC99),({0.077,0.071,0.065,0.06,0.055,0.051,0.047,0.043,0.039,0.036,0.033,0.031,0.028,0.026,0.024,0.022,0.02,0.018,0.017,0.016,0.014,0.013,0.012,0.011,0.01}))/SUM({0.077,0.071,0.065,0.06,0.055,0.051,0.047,0.043,0.039,0.036,0.033,0.031,0.028,0.026,0.024,0.022,0.02,0.018,0.017,0.016,0.014,0.013,0.012,0.011,0.01}),""))</f>
        <v>4183.1597139451706</v>
      </c>
      <c r="AD97" s="409" t="str">
        <f t="shared" si="23"/>
        <v>パーフェクト▲</v>
      </c>
      <c r="AE97" s="409" t="e">
        <f t="shared" si="24"/>
        <v>#VALUE!</v>
      </c>
      <c r="AF97" s="368">
        <f t="array" ref="AF97">IF(C97="","",IFERROR((INDEX(終値!$E:$E,MATCH(TEXT(C97,"0"),終値!$A:$A,0))-INDEX(終値!$E:$CZ,MATCH(TEXT(C97,"0"),終値!$A:$A,0),$AL$2))/INDEX(終値!$E:$CZ,MATCH(TEXT(C97,"0"),終値!$A:$A,0),$AL$2)*100,""))</f>
        <v>-4.8489107519325367</v>
      </c>
      <c r="AG97" s="368">
        <f t="array" ref="AG97">IFERROR((終値!$E$5-INDEX(終値!$E$5:$CZ$5,1,$AL$2))/INDEX(終値!$E$5:$CZ$5,1,$AL$2)*100,"")</f>
        <v>2.31989243802786</v>
      </c>
      <c r="AH97" s="369">
        <f t="shared" si="25"/>
        <v>-7.1688031899603963</v>
      </c>
      <c r="AI97" s="367">
        <f t="shared" si="26"/>
        <v>-2</v>
      </c>
    </row>
    <row r="98" spans="1:35" s="177" customFormat="1" ht="18" customHeight="1">
      <c r="A98" s="166" t="str">
        <f>IF(銘柄管理!B201&lt;&gt;"",HYPERLINK("https://kabutan.jp/stock/?code="&amp;銘柄管理!B201,"株探"),"")</f>
        <v>株探</v>
      </c>
      <c r="B98" s="167"/>
      <c r="C98" s="168">
        <f>IF(銘柄管理!B201="","",銘柄管理!B201)</f>
        <v>6506</v>
      </c>
      <c r="D98" s="106" t="str">
        <f>IF(銘柄管理!C201="","",銘柄管理!C201)</f>
        <v/>
      </c>
      <c r="E98" s="169" t="str">
        <f>IF(C98&lt;&gt;"",_xll.RssMarket(C98,"現在値"),"")</f>
        <v/>
      </c>
      <c r="F98" s="169" t="str">
        <f>IF(C98&lt;&gt;"",_xll.RssMarket(C98,"始値"),"")</f>
        <v/>
      </c>
      <c r="G98" s="168">
        <f>IF(C98&lt;&gt;"",終値!F201,"")</f>
        <v>5490</v>
      </c>
      <c r="H98" s="169" t="str">
        <f>IF(C98&lt;&gt;"",_xll.RssMarket(C98,"高値"),"")</f>
        <v/>
      </c>
      <c r="I98" s="169" t="str">
        <f>IF(C98&lt;&gt;"",_xll.RssMarket(C98,"安値"),"")</f>
        <v/>
      </c>
      <c r="J98" s="169" t="str">
        <f>IF(C98&lt;&gt;"",_xll.RssMarket(C98,"出来高"),"")</f>
        <v/>
      </c>
      <c r="K98" s="169" t="str">
        <f>IF(C98&lt;&gt;"",_xll.RssMarket(C98,"年初来高値"),"")</f>
        <v/>
      </c>
      <c r="L98" s="170" t="str">
        <f t="shared" si="17"/>
        <v/>
      </c>
      <c r="M98" s="169">
        <f>IF(C98&lt;&gt;"",IFERROR(AVERAGE(出来高!E201:I201),""),"")</f>
        <v>13507660</v>
      </c>
      <c r="N98" s="169">
        <f>IF(C98&lt;&gt;"",IFERROR(AVERAGE(出来高!E201:AC201),""),"")</f>
        <v>6673440</v>
      </c>
      <c r="O98" s="171" t="str">
        <f t="shared" si="18"/>
        <v/>
      </c>
      <c r="P98" s="166" t="str">
        <f t="shared" si="19"/>
        <v/>
      </c>
      <c r="Q98" s="166" t="str">
        <f t="shared" si="20"/>
        <v/>
      </c>
      <c r="R98" s="169" t="str">
        <f t="shared" si="27"/>
        <v/>
      </c>
      <c r="S98" s="169" t="str">
        <f t="shared" si="28"/>
        <v/>
      </c>
      <c r="T98" s="166">
        <f t="shared" si="21"/>
        <v>0</v>
      </c>
      <c r="U98" s="166" t="str">
        <f t="shared" si="29"/>
        <v>除外</v>
      </c>
      <c r="V98" s="166" t="str">
        <f t="shared" si="22"/>
        <v/>
      </c>
      <c r="W98" s="172">
        <f t="array" ref="W98">IF(C98&lt;&gt;"",IFERROR(100-100/(1+SUMPRODUCT((終値!F201:R201&gt;終値!G201:S201)*( 終値!F201:R201-終値!G201:S201))/SUMPRODUCT((終値!F201:R201&lt;終値!G201:S201)*(終値!G201:S201-終値!F201:R201))),50),"")</f>
        <v>31.043535331437312</v>
      </c>
      <c r="X98" s="173">
        <f>IF(C98&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-150.88709157415633</v>
      </c>
      <c r="Y98" s="1" t="e">
        <f>IF(T98="","",IF(銘柄管理!$F$5="下落▼",IF(AND(AD98="パーフェクト▲",OR(AE98="25日線押し目●",AE98="5日線押し目○")),"★逆張り候補",IF(AND(AD98="上昇トレンド▲",OR(AE98="25日線押し目●",AE98="5日線押し目○")),"○逆張り候補",IF(W98&lt;=30,IF(Z98&gt;0,"◎反発確認",IF(Z98&lt;-5,"△要注意・様子見","△売られ過ぎ注目")),"相場下落・見送り"))),IF(AND(T98&gt;=12,AD98="パーフェクト▲"),"★強い買い",IF(AND(T98&gt;=12,AD98="上昇トレンド▲"),"★強い買い",IF(AND(T98&gt;=8,OR(AE98="25日線押し目●",AE98="5日線押し目○")),"◎押し目買い",IF(T98&gt;=10,"○買い候補",IF(T98&gt;=6,"△注目",IF(T98&gt;=3,"様子見","見送り"))))))))</f>
        <v>#VALUE!</v>
      </c>
      <c r="Z98" s="174" t="str">
        <f t="shared" si="30"/>
        <v/>
      </c>
      <c r="AA98" s="166" t="str">
        <f t="shared" si="31"/>
        <v/>
      </c>
      <c r="AB98" s="406">
        <f>IF(C98="","",IFERROR(((終値!E100*0.333)+(終値!F100*0.222)+(終値!G100*0.148)+(終値!H100*0.099)+(終値!I100*0.066)+(終値!J100*0.044)+(終値!K100*0.029)+(終値!L100*0.019)+(終値!M100*0.013)+(終値!N100*0.009))/(0.333+0.222+0.148+0.099+0.066+0.044+0.029+0.019+0.013+0.009),""))</f>
        <v>2418.9098778004068</v>
      </c>
      <c r="AC98" s="406">
        <f>IF(C98="","",IFERROR(SUMPRODUCT((終値!E100:AC100),({0.077,0.071,0.065,0.06,0.055,0.051,0.047,0.043,0.039,0.036,0.033,0.031,0.028,0.026,0.024,0.022,0.02,0.018,0.017,0.016,0.014,0.013,0.012,0.011,0.01}))/SUM({0.077,0.071,0.065,0.06,0.055,0.051,0.047,0.043,0.039,0.036,0.033,0.031,0.028,0.026,0.024,0.022,0.02,0.018,0.017,0.016,0.014,0.013,0.012,0.011,0.01}),""))</f>
        <v>2391.6036948748497</v>
      </c>
      <c r="AD98" s="407" t="str">
        <f t="shared" si="23"/>
        <v>パーフェクト▲</v>
      </c>
      <c r="AE98" s="407" t="e">
        <f t="shared" si="24"/>
        <v>#VALUE!</v>
      </c>
      <c r="AF98" s="368">
        <f t="array" ref="AF98">IF(C98="","",IFERROR((INDEX(終値!$E:$E,MATCH(TEXT(C98,"0"),終値!$A:$A,0))-INDEX(終値!$E:$CZ,MATCH(TEXT(C98,"0"),終値!$A:$A,0),$AL$2))/INDEX(終値!$E:$CZ,MATCH(TEXT(C98,"0"),終値!$A:$A,0),$AL$2)*100,""))</f>
        <v>-20.373540856031127</v>
      </c>
      <c r="AG98" s="368">
        <f t="array" ref="AG98">IFERROR((終値!$E$5-INDEX(終値!$E$5:$CZ$5,1,$AL$2))/INDEX(終値!$E$5:$CZ$5,1,$AL$2)*100,"")</f>
        <v>2.31989243802786</v>
      </c>
      <c r="AH98" s="369">
        <f t="shared" si="25"/>
        <v>-22.693433294058988</v>
      </c>
      <c r="AI98" s="367">
        <f t="shared" si="26"/>
        <v>-2</v>
      </c>
    </row>
    <row r="99" spans="1:35" s="177" customFormat="1" ht="18" customHeight="1">
      <c r="A99" s="166" t="str">
        <f>IF(銘柄管理!B68&lt;&gt;"",HYPERLINK("https://kabutan.jp/stock/?code="&amp;銘柄管理!B68,"株探"),"")</f>
        <v>株探</v>
      </c>
      <c r="B99" s="167"/>
      <c r="C99" s="168">
        <f>IF(銘柄管理!B68="","",銘柄管理!B68)</f>
        <v>6503</v>
      </c>
      <c r="D99" s="106" t="str">
        <f>IF(銘柄管理!C68="","",銘柄管理!C68)</f>
        <v/>
      </c>
      <c r="E99" s="169" t="str">
        <f>IF(C99&lt;&gt;"",_xll.RssMarket(C99,"現在値"),"")</f>
        <v/>
      </c>
      <c r="F99" s="169" t="str">
        <f>IF(C99&lt;&gt;"",_xll.RssMarket(C99,"始値"),"")</f>
        <v/>
      </c>
      <c r="G99" s="168">
        <f>IF(C99&lt;&gt;"",終値!F68,"")</f>
        <v>5764</v>
      </c>
      <c r="H99" s="169" t="str">
        <f>IF(C99&lt;&gt;"",_xll.RssMarket(C99,"高値"),"")</f>
        <v/>
      </c>
      <c r="I99" s="169" t="str">
        <f>IF(C99&lt;&gt;"",_xll.RssMarket(C99,"安値"),"")</f>
        <v/>
      </c>
      <c r="J99" s="169" t="str">
        <f>IF(C99&lt;&gt;"",_xll.RssMarket(C99,"出来高"),"")</f>
        <v/>
      </c>
      <c r="K99" s="169" t="str">
        <f>IF(C99&lt;&gt;"",_xll.RssMarket(C99,"年初来高値"),"")</f>
        <v/>
      </c>
      <c r="L99" s="170" t="str">
        <f t="shared" si="17"/>
        <v/>
      </c>
      <c r="M99" s="169">
        <f>IF(C99&lt;&gt;"",IFERROR(AVERAGE(出来高!E68:I68),""),"")</f>
        <v>5258660</v>
      </c>
      <c r="N99" s="169">
        <f>IF(C99&lt;&gt;"",IFERROR(AVERAGE(出来高!E68:AC68),""),"")</f>
        <v>5471636</v>
      </c>
      <c r="O99" s="171" t="str">
        <f t="shared" si="18"/>
        <v/>
      </c>
      <c r="P99" s="166" t="str">
        <f t="shared" si="19"/>
        <v/>
      </c>
      <c r="Q99" s="166" t="str">
        <f t="shared" si="20"/>
        <v/>
      </c>
      <c r="R99" s="169" t="str">
        <f t="shared" si="27"/>
        <v/>
      </c>
      <c r="S99" s="169" t="str">
        <f t="shared" si="28"/>
        <v/>
      </c>
      <c r="T99" s="166">
        <f t="shared" si="21"/>
        <v>0</v>
      </c>
      <c r="U99" s="166" t="str">
        <f t="shared" si="29"/>
        <v>除外</v>
      </c>
      <c r="V99" s="166" t="str">
        <f t="shared" si="22"/>
        <v/>
      </c>
      <c r="W99" s="172">
        <f t="array" ref="W99">IF(C99&lt;&gt;"",IFERROR(100-100/(1+SUMPRODUCT((終値!F68:R68&gt;終値!G68:S68)*( 終値!F68:R68-終値!G68:S68))/SUMPRODUCT((終値!F68:R68&lt;終値!G68:S68)*(終値!G68:S68-終値!F68:R68))),50),"")</f>
        <v>42.259414225941427</v>
      </c>
      <c r="X99" s="173">
        <f>IF(C99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-37.291662520544378</v>
      </c>
      <c r="Y99" s="1" t="e">
        <f>IF(T99="","",IF(銘柄管理!$F$5="下落▼",IF(AND(AD99="パーフェクト▲",OR(AE99="25日線押し目●",AE99="5日線押し目○")),"★逆張り候補",IF(AND(AD99="上昇トレンド▲",OR(AE99="25日線押し目●",AE99="5日線押し目○")),"○逆張り候補",IF(W99&lt;=30,IF(Z99&gt;0,"◎反発確認",IF(Z99&lt;-5,"△要注意・様子見","△売られ過ぎ注目")),"相場下落・見送り"))),IF(AND(T99&gt;=12,AD99="パーフェクト▲"),"★強い買い",IF(AND(T99&gt;=12,AD99="上昇トレンド▲"),"★強い買い",IF(AND(T99&gt;=8,OR(AE99="25日線押し目●",AE99="5日線押し目○")),"◎押し目買い",IF(T99&gt;=10,"○買い候補",IF(T99&gt;=6,"△注目",IF(T99&gt;=3,"様子見","見送り"))))))))</f>
        <v>#VALUE!</v>
      </c>
      <c r="Z99" s="174" t="str">
        <f t="shared" si="30"/>
        <v/>
      </c>
      <c r="AA99" s="166" t="str">
        <f t="shared" si="31"/>
        <v/>
      </c>
      <c r="AB99" s="408">
        <f>IF(C99="","",IFERROR(((終値!E101*0.333)+(終値!F101*0.222)+(終値!G101*0.148)+(終値!H101*0.099)+(終値!I101*0.066)+(終値!J101*0.044)+(終値!K101*0.029)+(終値!L101*0.019)+(終値!M101*0.013)+(終値!N101*0.009))/(0.333+0.222+0.148+0.099+0.066+0.044+0.029+0.019+0.013+0.009),""))</f>
        <v>2674.6196537678215</v>
      </c>
      <c r="AC99" s="408">
        <f>IF(C99="","",IFERROR(SUMPRODUCT((終値!E101:AC101),({0.077,0.071,0.065,0.06,0.055,0.051,0.047,0.043,0.039,0.036,0.033,0.031,0.028,0.026,0.024,0.022,0.02,0.018,0.017,0.016,0.014,0.013,0.012,0.011,0.01}))/SUM({0.077,0.071,0.065,0.06,0.055,0.051,0.047,0.043,0.039,0.036,0.033,0.031,0.028,0.026,0.024,0.022,0.02,0.018,0.017,0.016,0.014,0.013,0.012,0.011,0.01}),""))</f>
        <v>2542.0071513706794</v>
      </c>
      <c r="AD99" s="409" t="str">
        <f t="shared" ref="AD99:AD130" si="32">IF(OR(C99="",AB99="",AC99=""),"",IF(AND(E99&gt;AB99,AB99&gt;AC99),"パーフェクト▲",IF(E99&gt;AC99,"上昇トレンド▲",IF(AND(E99&lt;AB99,AB99&lt;AC99),"下降トレンド▼","もみ合い→"))))</f>
        <v>パーフェクト▲</v>
      </c>
      <c r="AE99" s="409" t="e">
        <f t="shared" ref="AE99:AE130" si="33">IF(OR(C99="",AB99="",AC99=""),"",IF(AND(ABS(E99-AC99)/AC99&lt;=0.02,E99&gt;AC99),"25日押し目★",IF(AND(ABS(E99-AB99)/AB99&lt;=0.01,E99&gt;AB99),"5日押し目○","なし")))</f>
        <v>#VALUE!</v>
      </c>
      <c r="AF99" s="368">
        <f t="array" ref="AF99">IF(C99="","",IFERROR((INDEX(終値!$E:$E,MATCH(TEXT(C99,"0"),終値!$A:$A,0))-INDEX(終値!$E:$CZ,MATCH(TEXT(C99,"0"),終値!$A:$A,0),$AL$2))/INDEX(終値!$E:$CZ,MATCH(TEXT(C99,"0"),終値!$A:$A,0),$AL$2)*100,""))</f>
        <v>-5.2575864502470013</v>
      </c>
      <c r="AG99" s="368">
        <f t="array" ref="AG99">IFERROR((終値!$E$5-INDEX(終値!$E$5:$CZ$5,1,$AL$2))/INDEX(終値!$E$5:$CZ$5,1,$AL$2)*100,"")</f>
        <v>2.31989243802786</v>
      </c>
      <c r="AH99" s="369">
        <f t="shared" si="25"/>
        <v>-7.5774788882748609</v>
      </c>
      <c r="AI99" s="367">
        <f t="shared" si="26"/>
        <v>-2</v>
      </c>
    </row>
    <row r="100" spans="1:35" s="177" customFormat="1" ht="18" customHeight="1">
      <c r="A100" s="166" t="str">
        <f>IF(銘柄管理!B91&lt;&gt;"",HYPERLINK("https://kabutan.jp/stock/?code="&amp;銘柄管理!B91,"株探"),"")</f>
        <v>株探</v>
      </c>
      <c r="B100" s="167"/>
      <c r="C100" s="168">
        <f>IF(銘柄管理!B91="","",銘柄管理!B91)</f>
        <v>6501</v>
      </c>
      <c r="D100" s="106" t="str">
        <f>IF(銘柄管理!C91="","",銘柄管理!C91)</f>
        <v/>
      </c>
      <c r="E100" s="169" t="str">
        <f>IF(C100&lt;&gt;"",_xll.RssMarket(C100,"現在値"),"")</f>
        <v/>
      </c>
      <c r="F100" s="169" t="str">
        <f>IF(C100&lt;&gt;"",_xll.RssMarket(C100,"始値"),"")</f>
        <v/>
      </c>
      <c r="G100" s="168">
        <f>IF(C100&lt;&gt;"",終値!F91,"")</f>
        <v>4796</v>
      </c>
      <c r="H100" s="169" t="str">
        <f>IF(C100&lt;&gt;"",_xll.RssMarket(C100,"高値"),"")</f>
        <v/>
      </c>
      <c r="I100" s="169" t="str">
        <f>IF(C100&lt;&gt;"",_xll.RssMarket(C100,"安値"),"")</f>
        <v/>
      </c>
      <c r="J100" s="169" t="str">
        <f>IF(C100&lt;&gt;"",_xll.RssMarket(C100,"出来高"),"")</f>
        <v/>
      </c>
      <c r="K100" s="169" t="str">
        <f>IF(C100&lt;&gt;"",_xll.RssMarket(C100,"年初来高値"),"")</f>
        <v/>
      </c>
      <c r="L100" s="170" t="str">
        <f t="shared" si="17"/>
        <v/>
      </c>
      <c r="M100" s="169">
        <f>IF(C100&lt;&gt;"",IFERROR(AVERAGE(出来高!E91:I91),""),"")</f>
        <v>11138520</v>
      </c>
      <c r="N100" s="169">
        <f>IF(C100&lt;&gt;"",IFERROR(AVERAGE(出来高!E91:AC91),""),"")</f>
        <v>12633204</v>
      </c>
      <c r="O100" s="171" t="str">
        <f t="shared" si="18"/>
        <v/>
      </c>
      <c r="P100" s="166" t="str">
        <f t="shared" si="19"/>
        <v/>
      </c>
      <c r="Q100" s="166" t="str">
        <f t="shared" si="20"/>
        <v/>
      </c>
      <c r="R100" s="169" t="str">
        <f t="shared" si="27"/>
        <v/>
      </c>
      <c r="S100" s="169" t="str">
        <f t="shared" si="28"/>
        <v/>
      </c>
      <c r="T100" s="166">
        <f t="shared" si="21"/>
        <v>0</v>
      </c>
      <c r="U100" s="166" t="str">
        <f t="shared" si="29"/>
        <v>除外</v>
      </c>
      <c r="V100" s="166" t="str">
        <f t="shared" si="22"/>
        <v/>
      </c>
      <c r="W100" s="172">
        <f t="array" ref="W100">IF(C100&lt;&gt;"",IFERROR(100-100/(1+SUMPRODUCT((終値!F91:R91&gt;終値!G91:S91)*( 終値!F91:R91-終値!G91:S91))/SUMPRODUCT((終値!F91:R91&lt;終値!G91:S91)*(終値!G91:S91-終値!F91:R91))),50),"")</f>
        <v>66.047745358090182</v>
      </c>
      <c r="X100" s="173">
        <f>IF(C100&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11.914322617110884</v>
      </c>
      <c r="Y100" s="1" t="e">
        <f>IF(T100="","",IF(銘柄管理!$F$5="下落▼",IF(AND(AD100="パーフェクト▲",OR(AE100="25日線押し目●",AE100="5日線押し目○")),"★逆張り候補",IF(AND(AD100="上昇トレンド▲",OR(AE100="25日線押し目●",AE100="5日線押し目○")),"○逆張り候補",IF(W100&lt;=30,IF(Z100&gt;0,"◎反発確認",IF(Z100&lt;-5,"△要注意・様子見","△売られ過ぎ注目")),"相場下落・見送り"))),IF(AND(T100&gt;=12,AD100="パーフェクト▲"),"★強い買い",IF(AND(T100&gt;=12,AD100="上昇トレンド▲"),"★強い買い",IF(AND(T100&gt;=8,OR(AE100="25日線押し目●",AE100="5日線押し目○")),"◎押し目買い",IF(T100&gt;=10,"○買い候補",IF(T100&gt;=6,"△注目",IF(T100&gt;=3,"様子見","見送り"))))))))</f>
        <v>#VALUE!</v>
      </c>
      <c r="Z100" s="174" t="str">
        <f t="shared" si="30"/>
        <v/>
      </c>
      <c r="AA100" s="166" t="str">
        <f t="shared" si="31"/>
        <v/>
      </c>
      <c r="AB100" s="406">
        <f>IF(C100="","",IFERROR(((終値!E102*0.333)+(終値!F102*0.222)+(終値!G102*0.148)+(終値!H102*0.099)+(終値!I102*0.066)+(終値!J102*0.044)+(終値!K102*0.029)+(終値!L102*0.019)+(終値!M102*0.013)+(終値!N102*0.009))/(0.333+0.222+0.148+0.099+0.066+0.044+0.029+0.019+0.013+0.009),""))</f>
        <v>2417.1267820773928</v>
      </c>
      <c r="AC100" s="406">
        <f>IF(C100="","",IFERROR(SUMPRODUCT((終値!E102:AC102),({0.077,0.071,0.065,0.06,0.055,0.051,0.047,0.043,0.039,0.036,0.033,0.031,0.028,0.026,0.024,0.022,0.02,0.018,0.017,0.016,0.014,0.013,0.012,0.011,0.01}))/SUM({0.077,0.071,0.065,0.06,0.055,0.051,0.047,0.043,0.039,0.036,0.033,0.031,0.028,0.026,0.024,0.022,0.02,0.018,0.017,0.016,0.014,0.013,0.012,0.011,0.01}),""))</f>
        <v>4869.1400476758026</v>
      </c>
      <c r="AD100" s="407" t="str">
        <f t="shared" si="32"/>
        <v>上昇トレンド▲</v>
      </c>
      <c r="AE100" s="407" t="e">
        <f t="shared" si="33"/>
        <v>#VALUE!</v>
      </c>
      <c r="AF100" s="368">
        <f t="array" ref="AF100">IF(C100="","",IFERROR((INDEX(終値!$E:$E,MATCH(TEXT(C100,"0"),終値!$A:$A,0))-INDEX(終値!$E:$CZ,MATCH(TEXT(C100,"0"),終値!$A:$A,0),$AL$2))/INDEX(終値!$E:$CZ,MATCH(TEXT(C100,"0"),終値!$A:$A,0),$AL$2)*100,""))</f>
        <v>-6.2413039157225203</v>
      </c>
      <c r="AG100" s="368">
        <f t="array" ref="AG100">IFERROR((終値!$E$5-INDEX(終値!$E$5:$CZ$5,1,$AL$2))/INDEX(終値!$E$5:$CZ$5,1,$AL$2)*100,"")</f>
        <v>2.31989243802786</v>
      </c>
      <c r="AH100" s="369">
        <f t="shared" si="25"/>
        <v>-8.5611963537503808</v>
      </c>
      <c r="AI100" s="367">
        <f t="shared" si="26"/>
        <v>-2</v>
      </c>
    </row>
    <row r="101" spans="1:35" s="177" customFormat="1" ht="18" customHeight="1">
      <c r="A101" s="166" t="str">
        <f>IF(銘柄管理!B79&lt;&gt;"",HYPERLINK("https://kabutan.jp/stock/?code="&amp;銘柄管理!B79,"株探"),"")</f>
        <v>株探</v>
      </c>
      <c r="B101" s="167"/>
      <c r="C101" s="168">
        <f>IF(銘柄管理!B79="","",銘柄管理!B79)</f>
        <v>6479</v>
      </c>
      <c r="D101" s="106" t="str">
        <f>IF(銘柄管理!C79="","",銘柄管理!C79)</f>
        <v/>
      </c>
      <c r="E101" s="169" t="str">
        <f>IF(C101&lt;&gt;"",_xll.RssMarket(C101,"現在値"),"")</f>
        <v/>
      </c>
      <c r="F101" s="169" t="str">
        <f>IF(C101&lt;&gt;"",_xll.RssMarket(C101,"始値"),"")</f>
        <v/>
      </c>
      <c r="G101" s="168">
        <f>IF(C101&lt;&gt;"",終値!F79,"")</f>
        <v>4185</v>
      </c>
      <c r="H101" s="169" t="str">
        <f>IF(C101&lt;&gt;"",_xll.RssMarket(C101,"高値"),"")</f>
        <v/>
      </c>
      <c r="I101" s="169" t="str">
        <f>IF(C101&lt;&gt;"",_xll.RssMarket(C101,"安値"),"")</f>
        <v/>
      </c>
      <c r="J101" s="169" t="str">
        <f>IF(C101&lt;&gt;"",_xll.RssMarket(C101,"出来高"),"")</f>
        <v/>
      </c>
      <c r="K101" s="169" t="str">
        <f>IF(C101&lt;&gt;"",_xll.RssMarket(C101,"年初来高値"),"")</f>
        <v/>
      </c>
      <c r="L101" s="170" t="str">
        <f t="shared" si="17"/>
        <v/>
      </c>
      <c r="M101" s="169">
        <f>IF(C101&lt;&gt;"",IFERROR(AVERAGE(出来高!E79:I79),""),"")</f>
        <v>3276940</v>
      </c>
      <c r="N101" s="169">
        <f>IF(C101&lt;&gt;"",IFERROR(AVERAGE(出来高!E79:AC79),""),"")</f>
        <v>3934296</v>
      </c>
      <c r="O101" s="171" t="str">
        <f t="shared" si="18"/>
        <v/>
      </c>
      <c r="P101" s="166" t="str">
        <f t="shared" si="19"/>
        <v/>
      </c>
      <c r="Q101" s="166" t="str">
        <f t="shared" si="20"/>
        <v/>
      </c>
      <c r="R101" s="169" t="str">
        <f t="shared" si="27"/>
        <v/>
      </c>
      <c r="S101" s="169" t="str">
        <f t="shared" si="28"/>
        <v/>
      </c>
      <c r="T101" s="166">
        <f t="shared" si="21"/>
        <v>0</v>
      </c>
      <c r="U101" s="166" t="str">
        <f t="shared" si="29"/>
        <v>除外</v>
      </c>
      <c r="V101" s="166" t="str">
        <f t="shared" si="22"/>
        <v/>
      </c>
      <c r="W101" s="172">
        <f t="array" ref="W101">IF(C101&lt;&gt;"",IFERROR(100-100/(1+SUMPRODUCT((終値!F79:R79&gt;終値!G79:S79)*( 終値!F79:R79-終値!G79:S79))/SUMPRODUCT((終値!F79:R79&lt;終値!G79:S79)*(終値!G79:S79-終値!F79:R79))),50),"")</f>
        <v>24.007839294463494</v>
      </c>
      <c r="X101" s="173">
        <f>IF(C101&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-95.076904859514798</v>
      </c>
      <c r="Y101" s="1" t="e">
        <f>IF(T101="","",IF(銘柄管理!$F$5="下落▼",IF(AND(AD101="パーフェクト▲",OR(AE101="25日線押し目●",AE101="5日線押し目○")),"★逆張り候補",IF(AND(AD101="上昇トレンド▲",OR(AE101="25日線押し目●",AE101="5日線押し目○")),"○逆張り候補",IF(W101&lt;=30,IF(Z101&gt;0,"◎反発確認",IF(Z101&lt;-5,"△要注意・様子見","△売られ過ぎ注目")),"相場下落・見送り"))),IF(AND(T101&gt;=12,AD101="パーフェクト▲"),"★強い買い",IF(AND(T101&gt;=12,AD101="上昇トレンド▲"),"★強い買い",IF(AND(T101&gt;=8,OR(AE101="25日線押し目●",AE101="5日線押し目○")),"◎押し目買い",IF(T101&gt;=10,"○買い候補",IF(T101&gt;=6,"△注目",IF(T101&gt;=3,"様子見","見送り"))))))))</f>
        <v>#VALUE!</v>
      </c>
      <c r="Z101" s="174" t="str">
        <f t="shared" si="30"/>
        <v/>
      </c>
      <c r="AA101" s="166" t="str">
        <f t="shared" si="31"/>
        <v/>
      </c>
      <c r="AB101" s="408">
        <f>IF(C101="","",IFERROR(((終値!E103*0.333)+(終値!F103*0.222)+(終値!G103*0.148)+(終値!H103*0.099)+(終値!I103*0.066)+(終値!J103*0.044)+(終値!K103*0.029)+(終値!L103*0.019)+(終値!M103*0.013)+(終値!N103*0.009))/(0.333+0.222+0.148+0.099+0.066+0.044+0.029+0.019+0.013+0.009),""))</f>
        <v>4841.3635437881858</v>
      </c>
      <c r="AC101" s="408">
        <f>IF(C101="","",IFERROR(SUMPRODUCT((終値!E103:AC103),({0.077,0.071,0.065,0.06,0.055,0.051,0.047,0.043,0.039,0.036,0.033,0.031,0.028,0.026,0.024,0.022,0.02,0.018,0.017,0.016,0.014,0.013,0.012,0.011,0.01}))/SUM({0.077,0.071,0.065,0.06,0.055,0.051,0.047,0.043,0.039,0.036,0.033,0.031,0.028,0.026,0.024,0.022,0.02,0.018,0.017,0.016,0.014,0.013,0.012,0.011,0.01}),""))</f>
        <v>5226.4910607866495</v>
      </c>
      <c r="AD101" s="409" t="str">
        <f t="shared" si="32"/>
        <v>上昇トレンド▲</v>
      </c>
      <c r="AE101" s="409" t="e">
        <f t="shared" si="33"/>
        <v>#VALUE!</v>
      </c>
      <c r="AF101" s="368">
        <f t="array" ref="AF101">IF(C101="","",IFERROR((INDEX(終値!$E:$E,MATCH(TEXT(C101,"0"),終値!$A:$A,0))-INDEX(終値!$E:$CZ,MATCH(TEXT(C101,"0"),終値!$A:$A,0),$AL$2))/INDEX(終値!$E:$CZ,MATCH(TEXT(C101,"0"),終値!$A:$A,0),$AL$2)*100,""))</f>
        <v>-15.948086229652441</v>
      </c>
      <c r="AG101" s="368">
        <f t="array" ref="AG101">IFERROR((終値!$E$5-INDEX(終値!$E$5:$CZ$5,1,$AL$2))/INDEX(終値!$E$5:$CZ$5,1,$AL$2)*100,"")</f>
        <v>2.31989243802786</v>
      </c>
      <c r="AH101" s="369">
        <f t="shared" si="25"/>
        <v>-18.2679786676803</v>
      </c>
      <c r="AI101" s="367">
        <f t="shared" si="26"/>
        <v>-2</v>
      </c>
    </row>
    <row r="102" spans="1:35" s="177" customFormat="1" ht="18" customHeight="1">
      <c r="A102" s="166" t="str">
        <f>IF(銘柄管理!B178&lt;&gt;"",HYPERLINK("https://kabutan.jp/stock/?code="&amp;銘柄管理!B178,"株探"),"")</f>
        <v>株探</v>
      </c>
      <c r="B102" s="167"/>
      <c r="C102" s="168">
        <f>IF(銘柄管理!B178="","",銘柄管理!B178)</f>
        <v>6436</v>
      </c>
      <c r="D102" s="106" t="str">
        <f>IF(銘柄管理!C178="","",銘柄管理!C178)</f>
        <v/>
      </c>
      <c r="E102" s="169" t="str">
        <f>IF(C102&lt;&gt;"",_xll.RssMarket(C102,"現在値"),"")</f>
        <v/>
      </c>
      <c r="F102" s="169" t="str">
        <f>IF(C102&lt;&gt;"",_xll.RssMarket(C102,"始値"),"")</f>
        <v/>
      </c>
      <c r="G102" s="168">
        <f>IF(C102&lt;&gt;"",終値!F178,"")</f>
        <v>3777</v>
      </c>
      <c r="H102" s="169" t="str">
        <f>IF(C102&lt;&gt;"",_xll.RssMarket(C102,"高値"),"")</f>
        <v/>
      </c>
      <c r="I102" s="169" t="str">
        <f>IF(C102&lt;&gt;"",_xll.RssMarket(C102,"安値"),"")</f>
        <v/>
      </c>
      <c r="J102" s="169" t="str">
        <f>IF(C102&lt;&gt;"",_xll.RssMarket(C102,"出来高"),"")</f>
        <v/>
      </c>
      <c r="K102" s="169" t="str">
        <f>IF(C102&lt;&gt;"",_xll.RssMarket(C102,"年初来高値"),"")</f>
        <v/>
      </c>
      <c r="L102" s="170" t="str">
        <f t="shared" si="17"/>
        <v/>
      </c>
      <c r="M102" s="169">
        <f>IF(C102&lt;&gt;"",IFERROR(AVERAGE(出来高!E178:I178),""),"")</f>
        <v>247340</v>
      </c>
      <c r="N102" s="169">
        <f>IF(C102&lt;&gt;"",IFERROR(AVERAGE(出来高!E178:AC178),""),"")</f>
        <v>222992</v>
      </c>
      <c r="O102" s="171" t="str">
        <f t="shared" si="18"/>
        <v/>
      </c>
      <c r="P102" s="166" t="str">
        <f t="shared" si="19"/>
        <v/>
      </c>
      <c r="Q102" s="166" t="str">
        <f t="shared" si="20"/>
        <v/>
      </c>
      <c r="R102" s="169" t="str">
        <f t="shared" si="27"/>
        <v/>
      </c>
      <c r="S102" s="169" t="str">
        <f t="shared" si="28"/>
        <v/>
      </c>
      <c r="T102" s="166">
        <f t="shared" si="21"/>
        <v>0</v>
      </c>
      <c r="U102" s="166" t="str">
        <f t="shared" si="29"/>
        <v>除外</v>
      </c>
      <c r="V102" s="166" t="str">
        <f t="shared" si="22"/>
        <v/>
      </c>
      <c r="W102" s="172">
        <f t="array" ref="W102">IF(C102&lt;&gt;"",IFERROR(100-100/(1+SUMPRODUCT((終値!F178:R178&gt;終値!G178:S178)*( 終値!F178:R178-終値!G178:S178))/SUMPRODUCT((終値!F178:R178&lt;終値!G178:S178)*(終値!G178:S178-終値!F178:R178))),50),"")</f>
        <v>74.635568513119537</v>
      </c>
      <c r="X102" s="173">
        <f>IF(C102&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23.441967608533105</v>
      </c>
      <c r="Y102" s="1" t="e">
        <f>IF(T102="","",IF(銘柄管理!$F$5="下落▼",IF(AND(AD102="パーフェクト▲",OR(AE102="25日線押し目●",AE102="5日線押し目○")),"★逆張り候補",IF(AND(AD102="上昇トレンド▲",OR(AE102="25日線押し目●",AE102="5日線押し目○")),"○逆張り候補",IF(W102&lt;=30,IF(Z102&gt;0,"◎反発確認",IF(Z102&lt;-5,"△要注意・様子見","△売られ過ぎ注目")),"相場下落・見送り"))),IF(AND(T102&gt;=12,AD102="パーフェクト▲"),"★強い買い",IF(AND(T102&gt;=12,AD102="上昇トレンド▲"),"★強い買い",IF(AND(T102&gt;=8,OR(AE102="25日線押し目●",AE102="5日線押し目○")),"◎押し目買い",IF(T102&gt;=10,"○買い候補",IF(T102&gt;=6,"△注目",IF(T102&gt;=3,"様子見","見送り"))))))))</f>
        <v>#VALUE!</v>
      </c>
      <c r="Z102" s="174" t="str">
        <f t="shared" si="30"/>
        <v/>
      </c>
      <c r="AA102" s="166" t="str">
        <f t="shared" si="31"/>
        <v/>
      </c>
      <c r="AB102" s="406">
        <f>IF(C102="","",IFERROR(((終値!E104*0.333)+(終値!F104*0.222)+(終値!G104*0.148)+(終値!H104*0.099)+(終値!I104*0.066)+(終値!J104*0.044)+(終値!K104*0.029)+(終値!L104*0.019)+(終値!M104*0.013)+(終値!N104*0.009))/(0.333+0.222+0.148+0.099+0.066+0.044+0.029+0.019+0.013+0.009),""))</f>
        <v>2351.0926680244393</v>
      </c>
      <c r="AC102" s="406">
        <f>IF(C102="","",IFERROR(SUMPRODUCT((終値!E104:AC104),({0.077,0.071,0.065,0.06,0.055,0.051,0.047,0.043,0.039,0.036,0.033,0.031,0.028,0.026,0.024,0.022,0.02,0.018,0.017,0.016,0.014,0.013,0.012,0.011,0.01}))/SUM({0.077,0.071,0.065,0.06,0.055,0.051,0.047,0.043,0.039,0.036,0.033,0.031,0.028,0.026,0.024,0.022,0.02,0.018,0.017,0.016,0.014,0.013,0.012,0.011,0.01}),""))</f>
        <v>2290.2765196662685</v>
      </c>
      <c r="AD102" s="407" t="str">
        <f t="shared" si="32"/>
        <v>パーフェクト▲</v>
      </c>
      <c r="AE102" s="407" t="e">
        <f t="shared" si="33"/>
        <v>#VALUE!</v>
      </c>
      <c r="AF102" s="368">
        <f t="array" ref="AF102">IF(C102="","",IFERROR((INDEX(終値!$E:$E,MATCH(TEXT(C102,"0"),終値!$A:$A,0))-INDEX(終値!$E:$CZ,MATCH(TEXT(C102,"0"),終値!$A:$A,0),$AL$2))/INDEX(終値!$E:$CZ,MATCH(TEXT(C102,"0"),終値!$A:$A,0),$AL$2)*100,""))</f>
        <v>6.3447501403705777</v>
      </c>
      <c r="AG102" s="368">
        <f t="array" ref="AG102">IFERROR((終値!$E$5-INDEX(終値!$E$5:$CZ$5,1,$AL$2))/INDEX(終値!$E$5:$CZ$5,1,$AL$2)*100,"")</f>
        <v>2.31989243802786</v>
      </c>
      <c r="AH102" s="369">
        <f t="shared" si="25"/>
        <v>4.0248577023427181</v>
      </c>
      <c r="AI102" s="367">
        <f t="shared" si="26"/>
        <v>1</v>
      </c>
    </row>
    <row r="103" spans="1:35" s="177" customFormat="1" ht="18" customHeight="1">
      <c r="A103" s="166" t="str">
        <f>IF(銘柄管理!B147&lt;&gt;"",HYPERLINK("https://kabutan.jp/stock/?code="&amp;銘柄管理!B147,"株探"),"")</f>
        <v>株探</v>
      </c>
      <c r="B103" s="167"/>
      <c r="C103" s="168">
        <f>IF(銘柄管理!B147="","",銘柄管理!B147)</f>
        <v>6387</v>
      </c>
      <c r="D103" s="106" t="str">
        <f>IF(銘柄管理!C147="","",銘柄管理!C147)</f>
        <v/>
      </c>
      <c r="E103" s="169" t="str">
        <f>IF(C103&lt;&gt;"",_xll.RssMarket(C103,"現在値"),"")</f>
        <v/>
      </c>
      <c r="F103" s="169" t="str">
        <f>IF(C103&lt;&gt;"",_xll.RssMarket(C103,"始値"),"")</f>
        <v/>
      </c>
      <c r="G103" s="168">
        <f>IF(C103&lt;&gt;"",終値!F147,"")</f>
        <v>12450</v>
      </c>
      <c r="H103" s="169" t="str">
        <f>IF(C103&lt;&gt;"",_xll.RssMarket(C103,"高値"),"")</f>
        <v/>
      </c>
      <c r="I103" s="169" t="str">
        <f>IF(C103&lt;&gt;"",_xll.RssMarket(C103,"安値"),"")</f>
        <v/>
      </c>
      <c r="J103" s="169" t="str">
        <f>IF(C103&lt;&gt;"",_xll.RssMarket(C103,"出来高"),"")</f>
        <v/>
      </c>
      <c r="K103" s="169" t="str">
        <f>IF(C103&lt;&gt;"",_xll.RssMarket(C103,"年初来高値"),"")</f>
        <v/>
      </c>
      <c r="L103" s="170" t="str">
        <f t="shared" si="17"/>
        <v/>
      </c>
      <c r="M103" s="169">
        <f>IF(C103&lt;&gt;"",IFERROR(AVERAGE(出来高!E147:I147),""),"")</f>
        <v>121240</v>
      </c>
      <c r="N103" s="169">
        <f>IF(C103&lt;&gt;"",IFERROR(AVERAGE(出来高!E147:AC147),""),"")</f>
        <v>138768</v>
      </c>
      <c r="O103" s="171" t="str">
        <f t="shared" si="18"/>
        <v/>
      </c>
      <c r="P103" s="166" t="str">
        <f t="shared" si="19"/>
        <v/>
      </c>
      <c r="Q103" s="166" t="str">
        <f t="shared" si="20"/>
        <v/>
      </c>
      <c r="R103" s="169" t="str">
        <f t="shared" si="27"/>
        <v/>
      </c>
      <c r="S103" s="169" t="str">
        <f t="shared" si="28"/>
        <v/>
      </c>
      <c r="T103" s="166">
        <f t="shared" si="21"/>
        <v>0</v>
      </c>
      <c r="U103" s="166" t="str">
        <f t="shared" si="29"/>
        <v>除外</v>
      </c>
      <c r="V103" s="166" t="str">
        <f t="shared" si="22"/>
        <v/>
      </c>
      <c r="W103" s="172">
        <f t="array" ref="W103">IF(C103&lt;&gt;"",IFERROR(100-100/(1+SUMPRODUCT((終値!F147:R147&gt;終値!G147:S147)*( 終値!F147:R147-終値!G147:S147))/SUMPRODUCT((終値!F147:R147&lt;終値!G147:S147)*(終値!G147:S147-終値!F147:R147))),50),"")</f>
        <v>36.652835408022128</v>
      </c>
      <c r="X103" s="173">
        <f>IF(C103&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-355.78007395347959</v>
      </c>
      <c r="Y103" s="1" t="e">
        <f>IF(T103="","",IF(銘柄管理!$F$5="下落▼",IF(AND(AD103="パーフェクト▲",OR(AE103="25日線押し目●",AE103="5日線押し目○")),"★逆張り候補",IF(AND(AD103="上昇トレンド▲",OR(AE103="25日線押し目●",AE103="5日線押し目○")),"○逆張り候補",IF(W103&lt;=30,IF(Z103&gt;0,"◎反発確認",IF(Z103&lt;-5,"△要注意・様子見","△売られ過ぎ注目")),"相場下落・見送り"))),IF(AND(T103&gt;=12,AD103="パーフェクト▲"),"★強い買い",IF(AND(T103&gt;=12,AD103="上昇トレンド▲"),"★強い買い",IF(AND(T103&gt;=8,OR(AE103="25日線押し目●",AE103="5日線押し目○")),"◎押し目買い",IF(T103&gt;=10,"○買い候補",IF(T103&gt;=6,"△注目",IF(T103&gt;=3,"様子見","見送り"))))))))</f>
        <v>#VALUE!</v>
      </c>
      <c r="Z103" s="174" t="str">
        <f t="shared" si="30"/>
        <v/>
      </c>
      <c r="AA103" s="166" t="str">
        <f t="shared" si="31"/>
        <v/>
      </c>
      <c r="AB103" s="408">
        <f>IF(C103="","",IFERROR(((終値!E105*0.333)+(終値!F105*0.222)+(終値!G105*0.148)+(終値!H105*0.099)+(終値!I105*0.066)+(終値!J105*0.044)+(終値!K105*0.029)+(終値!L105*0.019)+(終値!M105*0.013)+(終値!N105*0.009))/(0.333+0.222+0.148+0.099+0.066+0.044+0.029+0.019+0.013+0.009),""))</f>
        <v>4091.9837067209764</v>
      </c>
      <c r="AC103" s="408">
        <f>IF(C103="","",IFERROR(SUMPRODUCT((終値!E105:AC105),({0.077,0.071,0.065,0.06,0.055,0.051,0.047,0.043,0.039,0.036,0.033,0.031,0.028,0.026,0.024,0.022,0.02,0.018,0.017,0.016,0.014,0.013,0.012,0.011,0.01}))/SUM({0.077,0.071,0.065,0.06,0.055,0.051,0.047,0.043,0.039,0.036,0.033,0.031,0.028,0.026,0.024,0.022,0.02,0.018,0.017,0.016,0.014,0.013,0.012,0.011,0.01}),""))</f>
        <v>4314.7413587604269</v>
      </c>
      <c r="AD103" s="409" t="str">
        <f t="shared" si="32"/>
        <v>上昇トレンド▲</v>
      </c>
      <c r="AE103" s="409" t="e">
        <f t="shared" si="33"/>
        <v>#VALUE!</v>
      </c>
      <c r="AF103" s="368">
        <f t="array" ref="AF103">IF(C103="","",IFERROR((INDEX(終値!$E:$E,MATCH(TEXT(C103,"0"),終値!$A:$A,0))-INDEX(終値!$E:$CZ,MATCH(TEXT(C103,"0"),終値!$A:$A,0),$AL$2))/INDEX(終値!$E:$CZ,MATCH(TEXT(C103,"0"),終値!$A:$A,0),$AL$2)*100,""))</f>
        <v>-21.214511041009466</v>
      </c>
      <c r="AG103" s="368">
        <f t="array" ref="AG103">IFERROR((終値!$E$5-INDEX(終値!$E$5:$CZ$5,1,$AL$2))/INDEX(終値!$E$5:$CZ$5,1,$AL$2)*100,"")</f>
        <v>2.31989243802786</v>
      </c>
      <c r="AH103" s="369">
        <f t="shared" si="25"/>
        <v>-23.534403479037326</v>
      </c>
      <c r="AI103" s="367">
        <f t="shared" si="26"/>
        <v>-2</v>
      </c>
    </row>
    <row r="104" spans="1:35" s="177" customFormat="1" ht="18" customHeight="1">
      <c r="A104" s="166" t="str">
        <f>IF(銘柄管理!B128&lt;&gt;"",HYPERLINK("https://kabutan.jp/stock/?code="&amp;銘柄管理!B128,"株探"),"")</f>
        <v>株探</v>
      </c>
      <c r="B104" s="167"/>
      <c r="C104" s="168">
        <f>IF(銘柄管理!B128="","",銘柄管理!B128)</f>
        <v>6330</v>
      </c>
      <c r="D104" s="106" t="str">
        <f>IF(銘柄管理!C128="","",銘柄管理!C128)</f>
        <v/>
      </c>
      <c r="E104" s="169" t="str">
        <f>IF(C104&lt;&gt;"",_xll.RssMarket(C104,"現在値"),"")</f>
        <v/>
      </c>
      <c r="F104" s="169" t="str">
        <f>IF(C104&lt;&gt;"",_xll.RssMarket(C104,"始値"),"")</f>
        <v/>
      </c>
      <c r="G104" s="168">
        <f>IF(C104&lt;&gt;"",終値!F128,"")</f>
        <v>1956</v>
      </c>
      <c r="H104" s="169" t="str">
        <f>IF(C104&lt;&gt;"",_xll.RssMarket(C104,"高値"),"")</f>
        <v/>
      </c>
      <c r="I104" s="169" t="str">
        <f>IF(C104&lt;&gt;"",_xll.RssMarket(C104,"安値"),"")</f>
        <v/>
      </c>
      <c r="J104" s="169" t="str">
        <f>IF(C104&lt;&gt;"",_xll.RssMarket(C104,"出来高"),"")</f>
        <v/>
      </c>
      <c r="K104" s="169" t="str">
        <f>IF(C104&lt;&gt;"",_xll.RssMarket(C104,"年初来高値"),"")</f>
        <v/>
      </c>
      <c r="L104" s="170" t="str">
        <f t="shared" si="17"/>
        <v/>
      </c>
      <c r="M104" s="169">
        <f>IF(C104&lt;&gt;"",IFERROR(AVERAGE(出来高!E128:I128),""),"")</f>
        <v>1456440</v>
      </c>
      <c r="N104" s="169">
        <f>IF(C104&lt;&gt;"",IFERROR(AVERAGE(出来高!E128:AC128),""),"")</f>
        <v>1509376</v>
      </c>
      <c r="O104" s="171" t="str">
        <f t="shared" si="18"/>
        <v/>
      </c>
      <c r="P104" s="166" t="str">
        <f t="shared" si="19"/>
        <v/>
      </c>
      <c r="Q104" s="166" t="str">
        <f t="shared" si="20"/>
        <v/>
      </c>
      <c r="R104" s="169" t="str">
        <f t="shared" si="27"/>
        <v/>
      </c>
      <c r="S104" s="169" t="str">
        <f t="shared" si="28"/>
        <v/>
      </c>
      <c r="T104" s="166">
        <f t="shared" si="21"/>
        <v>0</v>
      </c>
      <c r="U104" s="166" t="str">
        <f t="shared" si="29"/>
        <v>除外</v>
      </c>
      <c r="V104" s="166" t="str">
        <f t="shared" si="22"/>
        <v/>
      </c>
      <c r="W104" s="172">
        <f t="array" ref="W104">IF(C104&lt;&gt;"",IFERROR(100-100/(1+SUMPRODUCT((終値!F128:R128&gt;終値!G128:S128)*( 終値!F128:R128-終値!G128:S128))/SUMPRODUCT((終値!F128:R128&lt;終値!G128:S128)*(終値!G128:S128-終値!F128:R128))),50),"")</f>
        <v>49.947753396029256</v>
      </c>
      <c r="X104" s="173">
        <f>IF(C104&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-11.818033824366012</v>
      </c>
      <c r="Y104" s="1" t="e">
        <f>IF(T104="","",IF(銘柄管理!$F$5="下落▼",IF(AND(AD104="パーフェクト▲",OR(AE104="25日線押し目●",AE104="5日線押し目○")),"★逆張り候補",IF(AND(AD104="上昇トレンド▲",OR(AE104="25日線押し目●",AE104="5日線押し目○")),"○逆張り候補",IF(W104&lt;=30,IF(Z104&gt;0,"◎反発確認",IF(Z104&lt;-5,"△要注意・様子見","△売られ過ぎ注目")),"相場下落・見送り"))),IF(AND(T104&gt;=12,AD104="パーフェクト▲"),"★強い買い",IF(AND(T104&gt;=12,AD104="上昇トレンド▲"),"★強い買い",IF(AND(T104&gt;=8,OR(AE104="25日線押し目●",AE104="5日線押し目○")),"◎押し目買い",IF(T104&gt;=10,"○買い候補",IF(T104&gt;=6,"△注目",IF(T104&gt;=3,"様子見","見送り"))))))))</f>
        <v>#VALUE!</v>
      </c>
      <c r="Z104" s="174" t="str">
        <f t="shared" si="30"/>
        <v/>
      </c>
      <c r="AA104" s="166" t="str">
        <f t="shared" si="31"/>
        <v/>
      </c>
      <c r="AB104" s="406">
        <f>IF(C104="","",IFERROR(((終値!E106*0.333)+(終値!F106*0.222)+(終値!G106*0.148)+(終値!H106*0.099)+(終値!I106*0.066)+(終値!J106*0.044)+(終値!K106*0.029)+(終値!L106*0.019)+(終値!M106*0.013)+(終値!N106*0.009))/(0.333+0.222+0.148+0.099+0.066+0.044+0.029+0.019+0.013+0.009),""))</f>
        <v>1850.1568228105903</v>
      </c>
      <c r="AC104" s="406">
        <f>IF(C104="","",IFERROR(SUMPRODUCT((終値!E106:AC106),({0.077,0.071,0.065,0.06,0.055,0.051,0.047,0.043,0.039,0.036,0.033,0.031,0.028,0.026,0.024,0.022,0.02,0.018,0.017,0.016,0.014,0.013,0.012,0.011,0.01}))/SUM({0.077,0.071,0.065,0.06,0.055,0.051,0.047,0.043,0.039,0.036,0.033,0.031,0.028,0.026,0.024,0.022,0.02,0.018,0.017,0.016,0.014,0.013,0.012,0.011,0.01}),""))</f>
        <v>1820.3766388557804</v>
      </c>
      <c r="AD104" s="407" t="str">
        <f t="shared" si="32"/>
        <v>パーフェクト▲</v>
      </c>
      <c r="AE104" s="407" t="e">
        <f t="shared" si="33"/>
        <v>#VALUE!</v>
      </c>
      <c r="AF104" s="368">
        <f t="array" ref="AF104">IF(C104="","",IFERROR((INDEX(終値!$E:$E,MATCH(TEXT(C104,"0"),終値!$A:$A,0))-INDEX(終値!$E:$CZ,MATCH(TEXT(C104,"0"),終値!$A:$A,0),$AL$2))/INDEX(終値!$E:$CZ,MATCH(TEXT(C104,"0"),終値!$A:$A,0),$AL$2)*100,""))</f>
        <v>-11.654894046417761</v>
      </c>
      <c r="AG104" s="368">
        <f t="array" ref="AG104">IFERROR((終値!$E$5-INDEX(終値!$E$5:$CZ$5,1,$AL$2))/INDEX(終値!$E$5:$CZ$5,1,$AL$2)*100,"")</f>
        <v>2.31989243802786</v>
      </c>
      <c r="AH104" s="369">
        <f t="shared" si="25"/>
        <v>-13.974786484445621</v>
      </c>
      <c r="AI104" s="367">
        <f t="shared" si="26"/>
        <v>-2</v>
      </c>
    </row>
    <row r="105" spans="1:35" s="177" customFormat="1" ht="18" customHeight="1">
      <c r="A105" s="166" t="str">
        <f>IF(銘柄管理!B133&lt;&gt;"",HYPERLINK("https://kabutan.jp/stock/?code="&amp;銘柄管理!B133,"株探"),"")</f>
        <v>株探</v>
      </c>
      <c r="B105" s="167"/>
      <c r="C105" s="168">
        <f>IF(銘柄管理!B133="","",銘柄管理!B133)</f>
        <v>6327</v>
      </c>
      <c r="D105" s="106" t="str">
        <f>IF(銘柄管理!C133="","",銘柄管理!C133)</f>
        <v/>
      </c>
      <c r="E105" s="169" t="str">
        <f>IF(C105&lt;&gt;"",_xll.RssMarket(C105,"現在値"),"")</f>
        <v/>
      </c>
      <c r="F105" s="169" t="str">
        <f>IF(C105&lt;&gt;"",_xll.RssMarket(C105,"始値"),"")</f>
        <v/>
      </c>
      <c r="G105" s="168">
        <f>IF(C105&lt;&gt;"",終値!F133,"")</f>
        <v>5220</v>
      </c>
      <c r="H105" s="169" t="str">
        <f>IF(C105&lt;&gt;"",_xll.RssMarket(C105,"高値"),"")</f>
        <v/>
      </c>
      <c r="I105" s="169" t="str">
        <f>IF(C105&lt;&gt;"",_xll.RssMarket(C105,"安値"),"")</f>
        <v/>
      </c>
      <c r="J105" s="169" t="str">
        <f>IF(C105&lt;&gt;"",_xll.RssMarket(C105,"出来高"),"")</f>
        <v/>
      </c>
      <c r="K105" s="169" t="str">
        <f>IF(C105&lt;&gt;"",_xll.RssMarket(C105,"年初来高値"),"")</f>
        <v/>
      </c>
      <c r="L105" s="170" t="str">
        <f t="shared" si="17"/>
        <v/>
      </c>
      <c r="M105" s="169">
        <f>IF(C105&lt;&gt;"",IFERROR(AVERAGE(出来高!E133:I133),""),"")</f>
        <v>934820</v>
      </c>
      <c r="N105" s="169">
        <f>IF(C105&lt;&gt;"",IFERROR(AVERAGE(出来高!E133:AC133),""),"")</f>
        <v>989596</v>
      </c>
      <c r="O105" s="171" t="str">
        <f t="shared" si="18"/>
        <v/>
      </c>
      <c r="P105" s="166" t="str">
        <f t="shared" si="19"/>
        <v/>
      </c>
      <c r="Q105" s="166" t="str">
        <f t="shared" si="20"/>
        <v/>
      </c>
      <c r="R105" s="169" t="str">
        <f t="shared" si="27"/>
        <v/>
      </c>
      <c r="S105" s="169" t="str">
        <f t="shared" si="28"/>
        <v/>
      </c>
      <c r="T105" s="166">
        <f t="shared" si="21"/>
        <v>0</v>
      </c>
      <c r="U105" s="166" t="str">
        <f t="shared" si="29"/>
        <v>除外</v>
      </c>
      <c r="V105" s="166" t="str">
        <f t="shared" si="22"/>
        <v/>
      </c>
      <c r="W105" s="172">
        <f t="array" ref="W105">IF(C105&lt;&gt;"",IFERROR(100-100/(1+SUMPRODUCT((終値!F133:R133&gt;終値!G133:S133)*( 終値!F133:R133-終値!G133:S133))/SUMPRODUCT((終値!F133:R133&lt;終値!G133:S133)*(終値!G133:S133-終値!F133:R133))),50),"")</f>
        <v>41.67664670658683</v>
      </c>
      <c r="X105" s="173">
        <f>IF(C105&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-39.41681028820949</v>
      </c>
      <c r="Y105" s="1" t="e">
        <f>IF(T105="","",IF(銘柄管理!$F$5="下落▼",IF(AND(AD105="パーフェクト▲",OR(AE105="25日線押し目●",AE105="5日線押し目○")),"★逆張り候補",IF(AND(AD105="上昇トレンド▲",OR(AE105="25日線押し目●",AE105="5日線押し目○")),"○逆張り候補",IF(W105&lt;=30,IF(Z105&gt;0,"◎反発確認",IF(Z105&lt;-5,"△要注意・様子見","△売られ過ぎ注目")),"相場下落・見送り"))),IF(AND(T105&gt;=12,AD105="パーフェクト▲"),"★強い買い",IF(AND(T105&gt;=12,AD105="上昇トレンド▲"),"★強い買い",IF(AND(T105&gt;=8,OR(AE105="25日線押し目●",AE105="5日線押し目○")),"◎押し目買い",IF(T105&gt;=10,"○買い候補",IF(T105&gt;=6,"△注目",IF(T105&gt;=3,"様子見","見送り"))))))))</f>
        <v>#VALUE!</v>
      </c>
      <c r="Z105" s="174" t="str">
        <f t="shared" si="30"/>
        <v/>
      </c>
      <c r="AA105" s="166" t="str">
        <f t="shared" si="31"/>
        <v/>
      </c>
      <c r="AB105" s="408">
        <f>IF(C105="","",IFERROR(((終値!E107*0.333)+(終値!F107*0.222)+(終値!G107*0.148)+(終値!H107*0.099)+(終値!I107*0.066)+(終値!J107*0.044)+(終値!K107*0.029)+(終値!L107*0.019)+(終値!M107*0.013)+(終値!N107*0.009))/(0.333+0.222+0.148+0.099+0.066+0.044+0.029+0.019+0.013+0.009),""))</f>
        <v>18148.492871690429</v>
      </c>
      <c r="AC105" s="408">
        <f>IF(C105="","",IFERROR(SUMPRODUCT((終値!E107:AC107),({0.077,0.071,0.065,0.06,0.055,0.051,0.047,0.043,0.039,0.036,0.033,0.031,0.028,0.026,0.024,0.022,0.02,0.018,0.017,0.016,0.014,0.013,0.012,0.011,0.01}))/SUM({0.077,0.071,0.065,0.06,0.055,0.051,0.047,0.043,0.039,0.036,0.033,0.031,0.028,0.026,0.024,0.022,0.02,0.018,0.017,0.016,0.014,0.013,0.012,0.011,0.01}),""))</f>
        <v>18714.433849821209</v>
      </c>
      <c r="AD105" s="409" t="str">
        <f t="shared" si="32"/>
        <v>上昇トレンド▲</v>
      </c>
      <c r="AE105" s="409" t="e">
        <f t="shared" si="33"/>
        <v>#VALUE!</v>
      </c>
      <c r="AF105" s="368">
        <f t="array" ref="AF105">IF(C105="","",IFERROR((INDEX(終値!$E:$E,MATCH(TEXT(C105,"0"),終値!$A:$A,0))-INDEX(終値!$E:$CZ,MATCH(TEXT(C105,"0"),終値!$A:$A,0),$AL$2))/INDEX(終値!$E:$CZ,MATCH(TEXT(C105,"0"),終値!$A:$A,0),$AL$2)*100,""))</f>
        <v>9.0655509065550905</v>
      </c>
      <c r="AG105" s="368">
        <f t="array" ref="AG105">IFERROR((終値!$E$5-INDEX(終値!$E$5:$CZ$5,1,$AL$2))/INDEX(終値!$E$5:$CZ$5,1,$AL$2)*100,"")</f>
        <v>2.31989243802786</v>
      </c>
      <c r="AH105" s="369">
        <f t="shared" si="25"/>
        <v>6.7456584685272301</v>
      </c>
      <c r="AI105" s="367">
        <f t="shared" si="26"/>
        <v>3</v>
      </c>
    </row>
    <row r="106" spans="1:35" s="177" customFormat="1" ht="18" customHeight="1">
      <c r="A106" s="166" t="str">
        <f>IF(銘柄管理!B90&lt;&gt;"",HYPERLINK("https://kabutan.jp/stock/?code="&amp;銘柄管理!B90,"株探"),"")</f>
        <v>株探</v>
      </c>
      <c r="B106" s="167"/>
      <c r="C106" s="168">
        <f>IF(銘柄管理!B90="","",銘柄管理!B90)</f>
        <v>6323</v>
      </c>
      <c r="D106" s="106" t="str">
        <f>IF(銘柄管理!C90="","",銘柄管理!C90)</f>
        <v/>
      </c>
      <c r="E106" s="169" t="str">
        <f>IF(C106&lt;&gt;"",_xll.RssMarket(C106,"現在値"),"")</f>
        <v/>
      </c>
      <c r="F106" s="169" t="str">
        <f>IF(C106&lt;&gt;"",_xll.RssMarket(C106,"始値"),"")</f>
        <v/>
      </c>
      <c r="G106" s="168">
        <f>IF(C106&lt;&gt;"",終値!F90,"")</f>
        <v>4950</v>
      </c>
      <c r="H106" s="169" t="str">
        <f>IF(C106&lt;&gt;"",_xll.RssMarket(C106,"高値"),"")</f>
        <v/>
      </c>
      <c r="I106" s="169" t="str">
        <f>IF(C106&lt;&gt;"",_xll.RssMarket(C106,"安値"),"")</f>
        <v/>
      </c>
      <c r="J106" s="169" t="str">
        <f>IF(C106&lt;&gt;"",_xll.RssMarket(C106,"出来高"),"")</f>
        <v/>
      </c>
      <c r="K106" s="169" t="str">
        <f>IF(C106&lt;&gt;"",_xll.RssMarket(C106,"年初来高値"),"")</f>
        <v/>
      </c>
      <c r="L106" s="170" t="str">
        <f t="shared" si="17"/>
        <v/>
      </c>
      <c r="M106" s="169">
        <f>IF(C106&lt;&gt;"",IFERROR(AVERAGE(出来高!E90:I90),""),"")</f>
        <v>5165220</v>
      </c>
      <c r="N106" s="169">
        <f>IF(C106&lt;&gt;"",IFERROR(AVERAGE(出来高!E90:AC90),""),"")</f>
        <v>2530224</v>
      </c>
      <c r="O106" s="171" t="str">
        <f t="shared" si="18"/>
        <v/>
      </c>
      <c r="P106" s="166" t="str">
        <f t="shared" si="19"/>
        <v/>
      </c>
      <c r="Q106" s="166" t="str">
        <f t="shared" si="20"/>
        <v/>
      </c>
      <c r="R106" s="169" t="str">
        <f t="shared" si="27"/>
        <v/>
      </c>
      <c r="S106" s="169" t="str">
        <f t="shared" si="28"/>
        <v/>
      </c>
      <c r="T106" s="166">
        <f t="shared" si="21"/>
        <v>0</v>
      </c>
      <c r="U106" s="166" t="str">
        <f t="shared" si="29"/>
        <v>除外</v>
      </c>
      <c r="V106" s="166" t="str">
        <f t="shared" si="22"/>
        <v/>
      </c>
      <c r="W106" s="172">
        <f t="array" ref="W106">IF(C106&lt;&gt;"",IFERROR(100-100/(1+SUMPRODUCT((終値!F90:R90&gt;終値!G90:S90)*( 終値!F90:R90-終値!G90:S90))/SUMPRODUCT((終値!F90:R90&lt;終値!G90:S90)*(終値!G90:S90-終値!F90:R90))),50),"")</f>
        <v>51.844660194174757</v>
      </c>
      <c r="X106" s="173">
        <f>IF(C106&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16.965391519628611</v>
      </c>
      <c r="Y106" s="1" t="e">
        <f>IF(T106="","",IF(銘柄管理!$F$5="下落▼",IF(AND(AD106="パーフェクト▲",OR(AE106="25日線押し目●",AE106="5日線押し目○")),"★逆張り候補",IF(AND(AD106="上昇トレンド▲",OR(AE106="25日線押し目●",AE106="5日線押し目○")),"○逆張り候補",IF(W106&lt;=30,IF(Z106&gt;0,"◎反発確認",IF(Z106&lt;-5,"△要注意・様子見","△売られ過ぎ注目")),"相場下落・見送り"))),IF(AND(T106&gt;=12,AD106="パーフェクト▲"),"★強い買い",IF(AND(T106&gt;=12,AD106="上昇トレンド▲"),"★強い買い",IF(AND(T106&gt;=8,OR(AE106="25日線押し目●",AE106="5日線押し目○")),"◎押し目買い",IF(T106&gt;=10,"○買い候補",IF(T106&gt;=6,"△注目",IF(T106&gt;=3,"様子見","見送り"))))))))</f>
        <v>#VALUE!</v>
      </c>
      <c r="Z106" s="174" t="str">
        <f t="shared" si="30"/>
        <v/>
      </c>
      <c r="AA106" s="166" t="str">
        <f t="shared" si="31"/>
        <v/>
      </c>
      <c r="AB106" s="406">
        <f>IF(C106="","",IFERROR(((終値!E108*0.333)+(終値!F108*0.222)+(終値!G108*0.148)+(終値!H108*0.099)+(終値!I108*0.066)+(終値!J108*0.044)+(終値!K108*0.029)+(終値!L108*0.019)+(終値!M108*0.013)+(終値!N108*0.009))/(0.333+0.222+0.148+0.099+0.066+0.044+0.029+0.019+0.013+0.009),""))</f>
        <v>4322.7443991853352</v>
      </c>
      <c r="AC106" s="406">
        <f>IF(C106="","",IFERROR(SUMPRODUCT((終値!E108:AC108),({0.077,0.071,0.065,0.06,0.055,0.051,0.047,0.043,0.039,0.036,0.033,0.031,0.028,0.026,0.024,0.022,0.02,0.018,0.017,0.016,0.014,0.013,0.012,0.011,0.01}))/SUM({0.077,0.071,0.065,0.06,0.055,0.051,0.047,0.043,0.039,0.036,0.033,0.031,0.028,0.026,0.024,0.022,0.02,0.018,0.017,0.016,0.014,0.013,0.012,0.011,0.01}),""))</f>
        <v>4262.4326579261015</v>
      </c>
      <c r="AD106" s="407" t="str">
        <f t="shared" si="32"/>
        <v>パーフェクト▲</v>
      </c>
      <c r="AE106" s="407" t="e">
        <f t="shared" si="33"/>
        <v>#VALUE!</v>
      </c>
      <c r="AF106" s="368">
        <f t="array" ref="AF106">IF(C106="","",IFERROR((INDEX(終値!$E:$E,MATCH(TEXT(C106,"0"),終値!$A:$A,0))-INDEX(終値!$E:$CZ,MATCH(TEXT(C106,"0"),終値!$A:$A,0),$AL$2))/INDEX(終値!$E:$CZ,MATCH(TEXT(C106,"0"),終値!$A:$A,0),$AL$2)*100,""))</f>
        <v>11.69457128361238</v>
      </c>
      <c r="AG106" s="368">
        <f t="array" ref="AG106">IFERROR((終値!$E$5-INDEX(終値!$E$5:$CZ$5,1,$AL$2))/INDEX(終値!$E$5:$CZ$5,1,$AL$2)*100,"")</f>
        <v>2.31989243802786</v>
      </c>
      <c r="AH106" s="369">
        <f t="shared" si="25"/>
        <v>9.3746788455845191</v>
      </c>
      <c r="AI106" s="367">
        <f t="shared" si="26"/>
        <v>3</v>
      </c>
    </row>
    <row r="107" spans="1:35" s="177" customFormat="1" ht="18" customHeight="1">
      <c r="A107" s="166" t="str">
        <f>IF(銘柄管理!B203&lt;&gt;"",HYPERLINK("https://kabutan.jp/stock/?code="&amp;銘柄管理!B203,"株探"),"")</f>
        <v>株探</v>
      </c>
      <c r="B107" s="167"/>
      <c r="C107" s="168">
        <f>IF(銘柄管理!B203="","",銘柄管理!B203)</f>
        <v>6305</v>
      </c>
      <c r="D107" s="106" t="str">
        <f>IF(銘柄管理!C203="","",銘柄管理!C203)</f>
        <v/>
      </c>
      <c r="E107" s="169" t="str">
        <f>IF(C107&lt;&gt;"",_xll.RssMarket(C107,"現在値"),"")</f>
        <v/>
      </c>
      <c r="F107" s="169" t="str">
        <f>IF(C107&lt;&gt;"",_xll.RssMarket(C107,"始値"),"")</f>
        <v/>
      </c>
      <c r="G107" s="168">
        <f>IF(C107&lt;&gt;"",終値!F203,"")</f>
        <v>5249</v>
      </c>
      <c r="H107" s="169" t="str">
        <f>IF(C107&lt;&gt;"",_xll.RssMarket(C107,"高値"),"")</f>
        <v/>
      </c>
      <c r="I107" s="169" t="str">
        <f>IF(C107&lt;&gt;"",_xll.RssMarket(C107,"安値"),"")</f>
        <v/>
      </c>
      <c r="J107" s="169" t="str">
        <f>IF(C107&lt;&gt;"",_xll.RssMarket(C107,"出来高"),"")</f>
        <v/>
      </c>
      <c r="K107" s="169" t="str">
        <f>IF(C107&lt;&gt;"",_xll.RssMarket(C107,"年初来高値"),"")</f>
        <v/>
      </c>
      <c r="L107" s="170" t="str">
        <f t="shared" si="17"/>
        <v/>
      </c>
      <c r="M107" s="169">
        <f>IF(C107&lt;&gt;"",IFERROR(AVERAGE(出来高!E203:I203),""),"")</f>
        <v>688400</v>
      </c>
      <c r="N107" s="169">
        <f>IF(C107&lt;&gt;"",IFERROR(AVERAGE(出来高!E203:AC203),""),"")</f>
        <v>794456</v>
      </c>
      <c r="O107" s="171" t="str">
        <f t="shared" si="18"/>
        <v/>
      </c>
      <c r="P107" s="166" t="str">
        <f t="shared" si="19"/>
        <v/>
      </c>
      <c r="Q107" s="166" t="str">
        <f t="shared" si="20"/>
        <v/>
      </c>
      <c r="R107" s="169" t="str">
        <f t="shared" si="27"/>
        <v/>
      </c>
      <c r="S107" s="169" t="str">
        <f t="shared" si="28"/>
        <v/>
      </c>
      <c r="T107" s="166">
        <f t="shared" si="21"/>
        <v>0</v>
      </c>
      <c r="U107" s="166" t="str">
        <f t="shared" si="29"/>
        <v>除外</v>
      </c>
      <c r="V107" s="166" t="str">
        <f t="shared" si="22"/>
        <v/>
      </c>
      <c r="W107" s="172">
        <f t="array" ref="W107">IF(C107&lt;&gt;"",IFERROR(100-100/(1+SUMPRODUCT((終値!F203:R203&gt;終値!G203:S203)*( 終値!F203:R203-終値!G203:S203))/SUMPRODUCT((終値!F203:R203&lt;終値!G203:S203)*(終値!G203:S203-終値!F203:R203))),50),"")</f>
        <v>47.732696897374701</v>
      </c>
      <c r="X107" s="173">
        <f>IF(C107&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-17.866682720433346</v>
      </c>
      <c r="Y107" s="1" t="e">
        <f>IF(T107="","",IF(銘柄管理!$F$5="下落▼",IF(AND(AD107="パーフェクト▲",OR(AE107="25日線押し目●",AE107="5日線押し目○")),"★逆張り候補",IF(AND(AD107="上昇トレンド▲",OR(AE107="25日線押し目●",AE107="5日線押し目○")),"○逆張り候補",IF(W107&lt;=30,IF(Z107&gt;0,"◎反発確認",IF(Z107&lt;-5,"△要注意・様子見","△売られ過ぎ注目")),"相場下落・見送り"))),IF(AND(T107&gt;=12,AD107="パーフェクト▲"),"★強い買い",IF(AND(T107&gt;=12,AD107="上昇トレンド▲"),"★強い買い",IF(AND(T107&gt;=8,OR(AE107="25日線押し目●",AE107="5日線押し目○")),"◎押し目買い",IF(T107&gt;=10,"○買い候補",IF(T107&gt;=6,"△注目",IF(T107&gt;=3,"様子見","見送り"))))))))</f>
        <v>#VALUE!</v>
      </c>
      <c r="Z107" s="174" t="str">
        <f t="shared" si="30"/>
        <v/>
      </c>
      <c r="AA107" s="166" t="str">
        <f t="shared" si="31"/>
        <v/>
      </c>
      <c r="AB107" s="408">
        <f>IF(C107="","",IFERROR(((終値!E109*0.333)+(終値!F109*0.222)+(終値!G109*0.148)+(終値!H109*0.099)+(終値!I109*0.066)+(終値!J109*0.044)+(終値!K109*0.029)+(終値!L109*0.019)+(終値!M109*0.013)+(終値!N109*0.009))/(0.333+0.222+0.148+0.099+0.066+0.044+0.029+0.019+0.013+0.009),""))</f>
        <v>3572.070264765784</v>
      </c>
      <c r="AC107" s="408">
        <f>IF(C107="","",IFERROR(SUMPRODUCT((終値!E109:AC109),({0.077,0.071,0.065,0.06,0.055,0.051,0.047,0.043,0.039,0.036,0.033,0.031,0.028,0.026,0.024,0.022,0.02,0.018,0.017,0.016,0.014,0.013,0.012,0.011,0.01}))/SUM({0.077,0.071,0.065,0.06,0.055,0.051,0.047,0.043,0.039,0.036,0.033,0.031,0.028,0.026,0.024,0.022,0.02,0.018,0.017,0.016,0.014,0.013,0.012,0.011,0.01}),""))</f>
        <v>3477.9296781883172</v>
      </c>
      <c r="AD107" s="409" t="str">
        <f t="shared" si="32"/>
        <v>パーフェクト▲</v>
      </c>
      <c r="AE107" s="409" t="e">
        <f t="shared" si="33"/>
        <v>#VALUE!</v>
      </c>
      <c r="AF107" s="368">
        <f t="array" ref="AF107">IF(C107="","",IFERROR((INDEX(終値!$E:$E,MATCH(TEXT(C107,"0"),終値!$A:$A,0))-INDEX(終値!$E:$CZ,MATCH(TEXT(C107,"0"),終値!$A:$A,0),$AL$2))/INDEX(終値!$E:$CZ,MATCH(TEXT(C107,"0"),終値!$A:$A,0),$AL$2)*100,""))</f>
        <v>-5.558633425669437</v>
      </c>
      <c r="AG107" s="368">
        <f t="array" ref="AG107">IFERROR((終値!$E$5-INDEX(終値!$E$5:$CZ$5,1,$AL$2))/INDEX(終値!$E$5:$CZ$5,1,$AL$2)*100,"")</f>
        <v>2.31989243802786</v>
      </c>
      <c r="AH107" s="369">
        <f t="shared" si="25"/>
        <v>-7.8785258636972966</v>
      </c>
      <c r="AI107" s="367">
        <f t="shared" si="26"/>
        <v>-2</v>
      </c>
    </row>
    <row r="108" spans="1:35" s="177" customFormat="1" ht="18" customHeight="1">
      <c r="A108" s="166" t="str">
        <f>IF(銘柄管理!B30&lt;&gt;"",HYPERLINK("https://kabutan.jp/stock/?code="&amp;銘柄管理!B30,"株探"),"")</f>
        <v>株探</v>
      </c>
      <c r="B108" s="167"/>
      <c r="C108" s="168">
        <f>IF(銘柄管理!B30="","",銘柄管理!B30)</f>
        <v>6254</v>
      </c>
      <c r="D108" s="106" t="str">
        <f>IF(銘柄管理!C30="","",銘柄管理!C30)</f>
        <v/>
      </c>
      <c r="E108" s="169" t="str">
        <f>IF(C108&lt;&gt;"",_xll.RssMarket(C108,"現在値"),"")</f>
        <v/>
      </c>
      <c r="F108" s="169" t="str">
        <f>IF(C108&lt;&gt;"",_xll.RssMarket(C108,"始値"),"")</f>
        <v/>
      </c>
      <c r="G108" s="168">
        <f>IF(C108&lt;&gt;"",終値!F30,"")</f>
        <v>4385</v>
      </c>
      <c r="H108" s="169" t="str">
        <f>IF(C108&lt;&gt;"",_xll.RssMarket(C108,"高値"),"")</f>
        <v/>
      </c>
      <c r="I108" s="169" t="str">
        <f>IF(C108&lt;&gt;"",_xll.RssMarket(C108,"安値"),"")</f>
        <v/>
      </c>
      <c r="J108" s="169" t="str">
        <f>IF(C108&lt;&gt;"",_xll.RssMarket(C108,"出来高"),"")</f>
        <v/>
      </c>
      <c r="K108" s="169" t="str">
        <f>IF(C108&lt;&gt;"",_xll.RssMarket(C108,"年初来高値"),"")</f>
        <v/>
      </c>
      <c r="L108" s="170" t="str">
        <f t="shared" si="17"/>
        <v/>
      </c>
      <c r="M108" s="169">
        <f>IF(C108&lt;&gt;"",IFERROR(AVERAGE(出来高!E30:I30),""),"")</f>
        <v>867960</v>
      </c>
      <c r="N108" s="169">
        <f>IF(C108&lt;&gt;"",IFERROR(AVERAGE(出来高!E30:AC30),""),"")</f>
        <v>975188</v>
      </c>
      <c r="O108" s="171" t="str">
        <f t="shared" si="18"/>
        <v/>
      </c>
      <c r="P108" s="166" t="str">
        <f t="shared" si="19"/>
        <v/>
      </c>
      <c r="Q108" s="166" t="str">
        <f t="shared" si="20"/>
        <v/>
      </c>
      <c r="R108" s="169" t="str">
        <f t="shared" si="27"/>
        <v/>
      </c>
      <c r="S108" s="169" t="str">
        <f t="shared" si="28"/>
        <v/>
      </c>
      <c r="T108" s="166">
        <f t="shared" si="21"/>
        <v>0</v>
      </c>
      <c r="U108" s="166" t="str">
        <f t="shared" si="29"/>
        <v>除外</v>
      </c>
      <c r="V108" s="166" t="str">
        <f t="shared" si="22"/>
        <v/>
      </c>
      <c r="W108" s="172">
        <f t="array" ref="W108">IF(C108&lt;&gt;"",IFERROR(100-100/(1+SUMPRODUCT((終値!F30:R30&gt;終値!G30:S30)*( 終値!F30:R30-終値!G30:S30))/SUMPRODUCT((終値!F30:R30&lt;終値!G30:S30)*(終値!G30:S30-終値!F30:R30))),50),"")</f>
        <v>41.062801932367151</v>
      </c>
      <c r="X108" s="173">
        <f>IF(C108&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-70.386215913928936</v>
      </c>
      <c r="Y108" s="1" t="e">
        <f>IF(T108="","",IF(銘柄管理!$F$5="下落▼",IF(AND(AD108="パーフェクト▲",OR(AE108="25日線押し目●",AE108="5日線押し目○")),"★逆張り候補",IF(AND(AD108="上昇トレンド▲",OR(AE108="25日線押し目●",AE108="5日線押し目○")),"○逆張り候補",IF(W108&lt;=30,IF(Z108&gt;0,"◎反発確認",IF(Z108&lt;-5,"△要注意・様子見","△売られ過ぎ注目")),"相場下落・見送り"))),IF(AND(T108&gt;=12,AD108="パーフェクト▲"),"★強い買い",IF(AND(T108&gt;=12,AD108="上昇トレンド▲"),"★強い買い",IF(AND(T108&gt;=8,OR(AE108="25日線押し目●",AE108="5日線押し目○")),"◎押し目買い",IF(T108&gt;=10,"○買い候補",IF(T108&gt;=6,"△注目",IF(T108&gt;=3,"様子見","見送り"))))))))</f>
        <v>#VALUE!</v>
      </c>
      <c r="Z108" s="174" t="str">
        <f t="shared" si="30"/>
        <v/>
      </c>
      <c r="AA108" s="166" t="str">
        <f t="shared" si="31"/>
        <v/>
      </c>
      <c r="AB108" s="406">
        <f>IF(C108="","",IFERROR(((終値!E110*0.333)+(終値!F110*0.222)+(終値!G110*0.148)+(終値!H110*0.099)+(終値!I110*0.066)+(終値!J110*0.044)+(終値!K110*0.029)+(終値!L110*0.019)+(終値!M110*0.013)+(終値!N110*0.009))/(0.333+0.222+0.148+0.099+0.066+0.044+0.029+0.019+0.013+0.009),""))</f>
        <v>2128.173116089612</v>
      </c>
      <c r="AC108" s="406">
        <f>IF(C108="","",IFERROR(SUMPRODUCT((終値!E110:AC110),({0.077,0.071,0.065,0.06,0.055,0.051,0.047,0.043,0.039,0.036,0.033,0.031,0.028,0.026,0.024,0.022,0.02,0.018,0.017,0.016,0.014,0.013,0.012,0.011,0.01}))/SUM({0.077,0.071,0.065,0.06,0.055,0.051,0.047,0.043,0.039,0.036,0.033,0.031,0.028,0.026,0.024,0.022,0.02,0.018,0.017,0.016,0.014,0.013,0.012,0.011,0.01}),""))</f>
        <v>2018.0095351609059</v>
      </c>
      <c r="AD108" s="407" t="str">
        <f t="shared" si="32"/>
        <v>パーフェクト▲</v>
      </c>
      <c r="AE108" s="407" t="e">
        <f t="shared" si="33"/>
        <v>#VALUE!</v>
      </c>
      <c r="AF108" s="368">
        <f t="array" ref="AF108">IF(C108="","",IFERROR((INDEX(終値!$E:$E,MATCH(TEXT(C108,"0"),終値!$A:$A,0))-INDEX(終値!$E:$CZ,MATCH(TEXT(C108,"0"),終値!$A:$A,0),$AL$2))/INDEX(終値!$E:$CZ,MATCH(TEXT(C108,"0"),終値!$A:$A,0),$AL$2)*100,""))</f>
        <v>-4.10958904109589</v>
      </c>
      <c r="AG108" s="368">
        <f t="array" ref="AG108">IFERROR((終値!$E$5-INDEX(終値!$E$5:$CZ$5,1,$AL$2))/INDEX(終値!$E$5:$CZ$5,1,$AL$2)*100,"")</f>
        <v>2.31989243802786</v>
      </c>
      <c r="AH108" s="369">
        <f t="shared" si="25"/>
        <v>-6.4294814791237496</v>
      </c>
      <c r="AI108" s="367">
        <f t="shared" si="26"/>
        <v>-2</v>
      </c>
    </row>
    <row r="109" spans="1:35" s="177" customFormat="1" ht="18" customHeight="1">
      <c r="A109" s="166" t="str">
        <f>IF(銘柄管理!B135&lt;&gt;"",HYPERLINK("https://kabutan.jp/stock/?code="&amp;銘柄管理!B135,"株探"),"")</f>
        <v>株探</v>
      </c>
      <c r="B109" s="167"/>
      <c r="C109" s="168">
        <f>IF(銘柄管理!B135="","",銘柄管理!B135)</f>
        <v>6232</v>
      </c>
      <c r="D109" s="106" t="str">
        <f>IF(銘柄管理!C135="","",銘柄管理!C135)</f>
        <v/>
      </c>
      <c r="E109" s="169" t="str">
        <f>IF(C109&lt;&gt;"",_xll.RssMarket(C109,"現在値"),"")</f>
        <v/>
      </c>
      <c r="F109" s="169" t="str">
        <f>IF(C109&lt;&gt;"",_xll.RssMarket(C109,"始値"),"")</f>
        <v/>
      </c>
      <c r="G109" s="168">
        <f>IF(C109&lt;&gt;"",終値!F135,"")</f>
        <v>1805</v>
      </c>
      <c r="H109" s="169" t="str">
        <f>IF(C109&lt;&gt;"",_xll.RssMarket(C109,"高値"),"")</f>
        <v/>
      </c>
      <c r="I109" s="169" t="str">
        <f>IF(C109&lt;&gt;"",_xll.RssMarket(C109,"安値"),"")</f>
        <v/>
      </c>
      <c r="J109" s="169" t="str">
        <f>IF(C109&lt;&gt;"",_xll.RssMarket(C109,"出来高"),"")</f>
        <v/>
      </c>
      <c r="K109" s="169" t="str">
        <f>IF(C109&lt;&gt;"",_xll.RssMarket(C109,"年初来高値"),"")</f>
        <v/>
      </c>
      <c r="L109" s="170" t="str">
        <f t="shared" si="17"/>
        <v/>
      </c>
      <c r="M109" s="169">
        <f>IF(C109&lt;&gt;"",IFERROR(AVERAGE(出来高!E135:I135),""),"")</f>
        <v>633480</v>
      </c>
      <c r="N109" s="169">
        <f>IF(C109&lt;&gt;"",IFERROR(AVERAGE(出来高!E135:AC135),""),"")</f>
        <v>662284</v>
      </c>
      <c r="O109" s="171" t="str">
        <f t="shared" si="18"/>
        <v/>
      </c>
      <c r="P109" s="166" t="str">
        <f t="shared" si="19"/>
        <v/>
      </c>
      <c r="Q109" s="166" t="str">
        <f t="shared" si="20"/>
        <v/>
      </c>
      <c r="R109" s="169" t="str">
        <f t="shared" si="27"/>
        <v/>
      </c>
      <c r="S109" s="169" t="str">
        <f t="shared" si="28"/>
        <v/>
      </c>
      <c r="T109" s="166">
        <f t="shared" si="21"/>
        <v>0</v>
      </c>
      <c r="U109" s="166" t="str">
        <f t="shared" si="29"/>
        <v>除外</v>
      </c>
      <c r="V109" s="166" t="str">
        <f t="shared" si="22"/>
        <v/>
      </c>
      <c r="W109" s="172">
        <f t="array" ref="W109">IF(C109&lt;&gt;"",IFERROR(100-100/(1+SUMPRODUCT((終値!F135:R135&gt;終値!G135:S135)*( 終値!F135:R135-終値!G135:S135))/SUMPRODUCT((終値!F135:R135&lt;終値!G135:S135)*(終値!G135:S135-終値!F135:R135))),50),"")</f>
        <v>50.35868005738881</v>
      </c>
      <c r="X109" s="173">
        <f>IF(C109&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-10.725950190853609</v>
      </c>
      <c r="Y109" s="1" t="e">
        <f>IF(T109="","",IF(銘柄管理!$F$5="下落▼",IF(AND(AD109="パーフェクト▲",OR(AE109="25日線押し目●",AE109="5日線押し目○")),"★逆張り候補",IF(AND(AD109="上昇トレンド▲",OR(AE109="25日線押し目●",AE109="5日線押し目○")),"○逆張り候補",IF(W109&lt;=30,IF(Z109&gt;0,"◎反発確認",IF(Z109&lt;-5,"△要注意・様子見","△売られ過ぎ注目")),"相場下落・見送り"))),IF(AND(T109&gt;=12,AD109="パーフェクト▲"),"★強い買い",IF(AND(T109&gt;=12,AD109="上昇トレンド▲"),"★強い買い",IF(AND(T109&gt;=8,OR(AE109="25日線押し目●",AE109="5日線押し目○")),"◎押し目買い",IF(T109&gt;=10,"○買い候補",IF(T109&gt;=6,"△注目",IF(T109&gt;=3,"様子見","見送り"))))))))</f>
        <v>#VALUE!</v>
      </c>
      <c r="Z109" s="174" t="str">
        <f t="shared" si="30"/>
        <v/>
      </c>
      <c r="AA109" s="166" t="str">
        <f t="shared" si="31"/>
        <v/>
      </c>
      <c r="AB109" s="408">
        <f>IF(C109="","",IFERROR(((終値!E111*0.333)+(終値!F111*0.222)+(終値!G111*0.148)+(終値!H111*0.099)+(終値!I111*0.066)+(終値!J111*0.044)+(終値!K111*0.029)+(終値!L111*0.019)+(終値!M111*0.013)+(終値!N111*0.009))/(0.333+0.222+0.148+0.099+0.066+0.044+0.029+0.019+0.013+0.009),""))</f>
        <v>825.71486761710776</v>
      </c>
      <c r="AC109" s="408">
        <f>IF(C109="","",IFERROR(SUMPRODUCT((終値!E111:AC111),({0.077,0.071,0.065,0.06,0.055,0.051,0.047,0.043,0.039,0.036,0.033,0.031,0.028,0.026,0.024,0.022,0.02,0.018,0.017,0.016,0.014,0.013,0.012,0.011,0.01}))/SUM({0.077,0.071,0.065,0.06,0.055,0.051,0.047,0.043,0.039,0.036,0.033,0.031,0.028,0.026,0.024,0.022,0.02,0.018,0.017,0.016,0.014,0.013,0.012,0.011,0.01}),""))</f>
        <v>876.25029797377795</v>
      </c>
      <c r="AD109" s="409" t="str">
        <f t="shared" si="32"/>
        <v>上昇トレンド▲</v>
      </c>
      <c r="AE109" s="409" t="e">
        <f t="shared" si="33"/>
        <v>#VALUE!</v>
      </c>
      <c r="AF109" s="368">
        <f t="array" ref="AF109">IF(C109="","",IFERROR((INDEX(終値!$E:$E,MATCH(TEXT(C109,"0"),終値!$A:$A,0))-INDEX(終値!$E:$CZ,MATCH(TEXT(C109,"0"),終値!$A:$A,0),$AL$2))/INDEX(終値!$E:$CZ,MATCH(TEXT(C109,"0"),終値!$A:$A,0),$AL$2)*100,""))</f>
        <v>-17.925925925925927</v>
      </c>
      <c r="AG109" s="368">
        <f t="array" ref="AG109">IFERROR((終値!$E$5-INDEX(終値!$E$5:$CZ$5,1,$AL$2))/INDEX(終値!$E$5:$CZ$5,1,$AL$2)*100,"")</f>
        <v>2.31989243802786</v>
      </c>
      <c r="AH109" s="369">
        <f t="shared" si="25"/>
        <v>-20.245818363953788</v>
      </c>
      <c r="AI109" s="367">
        <f t="shared" si="26"/>
        <v>-2</v>
      </c>
    </row>
    <row r="110" spans="1:35" s="177" customFormat="1" ht="18" customHeight="1">
      <c r="A110" s="166" t="str">
        <f>IF(銘柄管理!B132&lt;&gt;"",HYPERLINK("https://kabutan.jp/stock/?code="&amp;銘柄管理!B132,"株探"),"")</f>
        <v>株探</v>
      </c>
      <c r="B110" s="167"/>
      <c r="C110" s="168">
        <f>IF(銘柄管理!B132="","",銘柄管理!B132)</f>
        <v>6227</v>
      </c>
      <c r="D110" s="106" t="str">
        <f>IF(銘柄管理!C132="","",銘柄管理!C132)</f>
        <v/>
      </c>
      <c r="E110" s="169" t="str">
        <f>IF(C110&lt;&gt;"",_xll.RssMarket(C110,"現在値"),"")</f>
        <v/>
      </c>
      <c r="F110" s="169" t="str">
        <f>IF(C110&lt;&gt;"",_xll.RssMarket(C110,"始値"),"")</f>
        <v/>
      </c>
      <c r="G110" s="168">
        <f>IF(C110&lt;&gt;"",終値!F132,"")</f>
        <v>7400</v>
      </c>
      <c r="H110" s="169" t="str">
        <f>IF(C110&lt;&gt;"",_xll.RssMarket(C110,"高値"),"")</f>
        <v/>
      </c>
      <c r="I110" s="169" t="str">
        <f>IF(C110&lt;&gt;"",_xll.RssMarket(C110,"安値"),"")</f>
        <v/>
      </c>
      <c r="J110" s="169" t="str">
        <f>IF(C110&lt;&gt;"",_xll.RssMarket(C110,"出来高"),"")</f>
        <v/>
      </c>
      <c r="K110" s="169" t="str">
        <f>IF(C110&lt;&gt;"",_xll.RssMarket(C110,"年初来高値"),"")</f>
        <v/>
      </c>
      <c r="L110" s="170" t="str">
        <f t="shared" si="17"/>
        <v/>
      </c>
      <c r="M110" s="169">
        <f>IF(C110&lt;&gt;"",IFERROR(AVERAGE(出来高!E132:I132),""),"")</f>
        <v>2100840</v>
      </c>
      <c r="N110" s="169">
        <f>IF(C110&lt;&gt;"",IFERROR(AVERAGE(出来高!E132:AC132),""),"")</f>
        <v>1509216</v>
      </c>
      <c r="O110" s="171" t="str">
        <f t="shared" si="18"/>
        <v/>
      </c>
      <c r="P110" s="166" t="str">
        <f t="shared" si="19"/>
        <v/>
      </c>
      <c r="Q110" s="166" t="str">
        <f t="shared" si="20"/>
        <v/>
      </c>
      <c r="R110" s="169" t="str">
        <f t="shared" si="27"/>
        <v/>
      </c>
      <c r="S110" s="169" t="str">
        <f t="shared" si="28"/>
        <v/>
      </c>
      <c r="T110" s="166">
        <f t="shared" si="21"/>
        <v>0</v>
      </c>
      <c r="U110" s="166" t="str">
        <f t="shared" si="29"/>
        <v>除外</v>
      </c>
      <c r="V110" s="166" t="str">
        <f t="shared" si="22"/>
        <v/>
      </c>
      <c r="W110" s="172">
        <f t="array" ref="W110">IF(C110&lt;&gt;"",IFERROR(100-100/(1+SUMPRODUCT((終値!F132:R132&gt;終値!G132:S132)*( 終値!F132:R132-終値!G132:S132))/SUMPRODUCT((終値!F132:R132&lt;終値!G132:S132)*(終値!G132:S132-終値!F132:R132))),50),"")</f>
        <v>50.07633587786259</v>
      </c>
      <c r="X110" s="173">
        <f>IF(C110&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-16.762325912774031</v>
      </c>
      <c r="Y110" s="1" t="e">
        <f>IF(T110="","",IF(銘柄管理!$F$5="下落▼",IF(AND(AD110="パーフェクト▲",OR(AE110="25日線押し目●",AE110="5日線押し目○")),"★逆張り候補",IF(AND(AD110="上昇トレンド▲",OR(AE110="25日線押し目●",AE110="5日線押し目○")),"○逆張り候補",IF(W110&lt;=30,IF(Z110&gt;0,"◎反発確認",IF(Z110&lt;-5,"△要注意・様子見","△売られ過ぎ注目")),"相場下落・見送り"))),IF(AND(T110&gt;=12,AD110="パーフェクト▲"),"★強い買い",IF(AND(T110&gt;=12,AD110="上昇トレンド▲"),"★強い買い",IF(AND(T110&gt;=8,OR(AE110="25日線押し目●",AE110="5日線押し目○")),"◎押し目買い",IF(T110&gt;=10,"○買い候補",IF(T110&gt;=6,"△注目",IF(T110&gt;=3,"様子見","見送り"))))))))</f>
        <v>#VALUE!</v>
      </c>
      <c r="Z110" s="174" t="str">
        <f t="shared" si="30"/>
        <v/>
      </c>
      <c r="AA110" s="166" t="str">
        <f t="shared" si="31"/>
        <v/>
      </c>
      <c r="AB110" s="406">
        <f>IF(C110="","",IFERROR(((終値!E112*0.333)+(終値!F112*0.222)+(終値!G112*0.148)+(終値!H112*0.099)+(終値!I112*0.066)+(終値!J112*0.044)+(終値!K112*0.029)+(終値!L112*0.019)+(終値!M112*0.013)+(終値!N112*0.009))/(0.333+0.222+0.148+0.099+0.066+0.044+0.029+0.019+0.013+0.009),""))</f>
        <v>435.72708757637463</v>
      </c>
      <c r="AC110" s="406">
        <f>IF(C110="","",IFERROR(SUMPRODUCT((終値!E112:AC112),({0.077,0.071,0.065,0.06,0.055,0.051,0.047,0.043,0.039,0.036,0.033,0.031,0.028,0.026,0.024,0.022,0.02,0.018,0.017,0.016,0.014,0.013,0.012,0.011,0.01}))/SUM({0.077,0.071,0.065,0.06,0.055,0.051,0.047,0.043,0.039,0.036,0.033,0.031,0.028,0.026,0.024,0.022,0.02,0.018,0.017,0.016,0.014,0.013,0.012,0.011,0.01}),""))</f>
        <v>451.57330154946339</v>
      </c>
      <c r="AD110" s="407" t="str">
        <f t="shared" si="32"/>
        <v>上昇トレンド▲</v>
      </c>
      <c r="AE110" s="407" t="e">
        <f t="shared" si="33"/>
        <v>#VALUE!</v>
      </c>
      <c r="AF110" s="368">
        <f t="array" ref="AF110">IF(C110="","",IFERROR((INDEX(終値!$E:$E,MATCH(TEXT(C110,"0"),終値!$A:$A,0))-INDEX(終値!$E:$CZ,MATCH(TEXT(C110,"0"),終値!$A:$A,0),$AL$2))/INDEX(終値!$E:$CZ,MATCH(TEXT(C110,"0"),終値!$A:$A,0),$AL$2)*100,""))</f>
        <v>-1.41643059490085</v>
      </c>
      <c r="AG110" s="368">
        <f t="array" ref="AG110">IFERROR((終値!$E$5-INDEX(終値!$E$5:$CZ$5,1,$AL$2))/INDEX(終値!$E$5:$CZ$5,1,$AL$2)*100,"")</f>
        <v>2.31989243802786</v>
      </c>
      <c r="AH110" s="369">
        <f t="shared" si="25"/>
        <v>-3.73632303292871</v>
      </c>
      <c r="AI110" s="367">
        <f t="shared" si="26"/>
        <v>-2</v>
      </c>
    </row>
    <row r="111" spans="1:35" s="177" customFormat="1" ht="18" customHeight="1">
      <c r="A111" s="166" t="str">
        <f>IF(銘柄管理!B57&lt;&gt;"",HYPERLINK("https://kabutan.jp/stock/?code="&amp;銘柄管理!B57,"株探"),"")</f>
        <v>株探</v>
      </c>
      <c r="B111" s="167"/>
      <c r="C111" s="168">
        <f>IF(銘柄管理!B57="","",銘柄管理!B57)</f>
        <v>6203</v>
      </c>
      <c r="D111" s="106" t="str">
        <f>IF(銘柄管理!C57="","",銘柄管理!C57)</f>
        <v/>
      </c>
      <c r="E111" s="169" t="str">
        <f>IF(C111&lt;&gt;"",_xll.RssMarket(C111,"現在値"),"")</f>
        <v/>
      </c>
      <c r="F111" s="169" t="str">
        <f>IF(C111&lt;&gt;"",_xll.RssMarket(C111,"始値"),"")</f>
        <v/>
      </c>
      <c r="G111" s="168">
        <f>IF(C111&lt;&gt;"",終値!F57,"")</f>
        <v>1650</v>
      </c>
      <c r="H111" s="169" t="str">
        <f>IF(C111&lt;&gt;"",_xll.RssMarket(C111,"高値"),"")</f>
        <v/>
      </c>
      <c r="I111" s="169" t="str">
        <f>IF(C111&lt;&gt;"",_xll.RssMarket(C111,"安値"),"")</f>
        <v/>
      </c>
      <c r="J111" s="169" t="str">
        <f>IF(C111&lt;&gt;"",_xll.RssMarket(C111,"出来高"),"")</f>
        <v/>
      </c>
      <c r="K111" s="169" t="str">
        <f>IF(C111&lt;&gt;"",_xll.RssMarket(C111,"年初来高値"),"")</f>
        <v/>
      </c>
      <c r="L111" s="170" t="str">
        <f t="shared" si="17"/>
        <v/>
      </c>
      <c r="M111" s="169">
        <f>IF(C111&lt;&gt;"",IFERROR(AVERAGE(出来高!E57:I57),""),"")</f>
        <v>422160</v>
      </c>
      <c r="N111" s="169">
        <f>IF(C111&lt;&gt;"",IFERROR(AVERAGE(出来高!E57:AC57),""),"")</f>
        <v>429880</v>
      </c>
      <c r="O111" s="171" t="str">
        <f t="shared" si="18"/>
        <v/>
      </c>
      <c r="P111" s="166" t="str">
        <f t="shared" si="19"/>
        <v/>
      </c>
      <c r="Q111" s="166" t="str">
        <f t="shared" si="20"/>
        <v/>
      </c>
      <c r="R111" s="169" t="str">
        <f t="shared" si="27"/>
        <v/>
      </c>
      <c r="S111" s="169" t="str">
        <f t="shared" si="28"/>
        <v/>
      </c>
      <c r="T111" s="166">
        <f t="shared" si="21"/>
        <v>0</v>
      </c>
      <c r="U111" s="166" t="str">
        <f t="shared" si="29"/>
        <v>除外</v>
      </c>
      <c r="V111" s="166" t="str">
        <f t="shared" si="22"/>
        <v/>
      </c>
      <c r="W111" s="172">
        <f t="array" ref="W111">IF(C111&lt;&gt;"",IFERROR(100-100/(1+SUMPRODUCT((終値!F57:R57&gt;終値!G57:S57)*( 終値!F57:R57-終値!G57:S57))/SUMPRODUCT((終値!F57:R57&lt;終値!G57:S57)*(終値!G57:S57-終値!F57:R57))),50),"")</f>
        <v>56.424581005586589</v>
      </c>
      <c r="X111" s="173">
        <f>IF(C111&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-5.2579933847844131</v>
      </c>
      <c r="Y111" s="1" t="e">
        <f>IF(T111="","",IF(銘柄管理!$F$5="下落▼",IF(AND(AD111="パーフェクト▲",OR(AE111="25日線押し目●",AE111="5日線押し目○")),"★逆張り候補",IF(AND(AD111="上昇トレンド▲",OR(AE111="25日線押し目●",AE111="5日線押し目○")),"○逆張り候補",IF(W111&lt;=30,IF(Z111&gt;0,"◎反発確認",IF(Z111&lt;-5,"△要注意・様子見","△売られ過ぎ注目")),"相場下落・見送り"))),IF(AND(T111&gt;=12,AD111="パーフェクト▲"),"★強い買い",IF(AND(T111&gt;=12,AD111="上昇トレンド▲"),"★強い買い",IF(AND(T111&gt;=8,OR(AE111="25日線押し目●",AE111="5日線押し目○")),"◎押し目買い",IF(T111&gt;=10,"○買い候補",IF(T111&gt;=6,"△注目",IF(T111&gt;=3,"様子見","見送り"))))))))</f>
        <v>#VALUE!</v>
      </c>
      <c r="Z111" s="174" t="str">
        <f t="shared" si="30"/>
        <v/>
      </c>
      <c r="AA111" s="166" t="str">
        <f t="shared" si="31"/>
        <v/>
      </c>
      <c r="AB111" s="408">
        <f>IF(C111="","",IFERROR(((終値!E113*0.333)+(終値!F113*0.222)+(終値!G113*0.148)+(終値!H113*0.099)+(終値!I113*0.066)+(終値!J113*0.044)+(終値!K113*0.029)+(終値!L113*0.019)+(終値!M113*0.013)+(終値!N113*0.009))/(0.333+0.222+0.148+0.099+0.066+0.044+0.029+0.019+0.013+0.009),""))</f>
        <v>3981.5916496945001</v>
      </c>
      <c r="AC111" s="408">
        <f>IF(C111="","",IFERROR(SUMPRODUCT((終値!E113:AC113),({0.077,0.071,0.065,0.06,0.055,0.051,0.047,0.043,0.039,0.036,0.033,0.031,0.028,0.026,0.024,0.022,0.02,0.018,0.017,0.016,0.014,0.013,0.012,0.011,0.01}))/SUM({0.077,0.071,0.065,0.06,0.055,0.051,0.047,0.043,0.039,0.036,0.033,0.031,0.028,0.026,0.024,0.022,0.02,0.018,0.017,0.016,0.014,0.013,0.012,0.011,0.01}),""))</f>
        <v>3659.5184743742548</v>
      </c>
      <c r="AD111" s="409" t="str">
        <f t="shared" si="32"/>
        <v>パーフェクト▲</v>
      </c>
      <c r="AE111" s="409" t="e">
        <f t="shared" si="33"/>
        <v>#VALUE!</v>
      </c>
      <c r="AF111" s="368">
        <f t="array" ref="AF111">IF(C111="","",IFERROR((INDEX(終値!$E:$E,MATCH(TEXT(C111,"0"),終値!$A:$A,0))-INDEX(終値!$E:$CZ,MATCH(TEXT(C111,"0"),終値!$A:$A,0),$AL$2))/INDEX(終値!$E:$CZ,MATCH(TEXT(C111,"0"),終値!$A:$A,0),$AL$2)*100,""))</f>
        <v>-20.557103064066855</v>
      </c>
      <c r="AG111" s="368">
        <f t="array" ref="AG111">IFERROR((終値!$E$5-INDEX(終値!$E$5:$CZ$5,1,$AL$2))/INDEX(終値!$E$5:$CZ$5,1,$AL$2)*100,"")</f>
        <v>2.31989243802786</v>
      </c>
      <c r="AH111" s="369">
        <f t="shared" si="25"/>
        <v>-22.876995502094715</v>
      </c>
      <c r="AI111" s="367">
        <f t="shared" si="26"/>
        <v>-2</v>
      </c>
    </row>
    <row r="112" spans="1:35" s="177" customFormat="1" ht="18" customHeight="1">
      <c r="A112" s="166" t="str">
        <f>IF(銘柄管理!B104&lt;&gt;"",HYPERLINK("https://kabutan.jp/stock/?code="&amp;銘柄管理!B104,"株探"),"")</f>
        <v>株探</v>
      </c>
      <c r="B112" s="167"/>
      <c r="C112" s="168">
        <f>IF(銘柄管理!B104="","",銘柄管理!B104)</f>
        <v>6178</v>
      </c>
      <c r="D112" s="106" t="str">
        <f>IF(銘柄管理!C104="","",銘柄管理!C104)</f>
        <v/>
      </c>
      <c r="E112" s="169" t="str">
        <f>IF(C112&lt;&gt;"",_xll.RssMarket(C112,"現在値"),"")</f>
        <v/>
      </c>
      <c r="F112" s="169" t="str">
        <f>IF(C112&lt;&gt;"",_xll.RssMarket(C112,"始値"),"")</f>
        <v/>
      </c>
      <c r="G112" s="168">
        <f>IF(C112&lt;&gt;"",終値!F104,"")</f>
        <v>2407.5</v>
      </c>
      <c r="H112" s="169" t="str">
        <f>IF(C112&lt;&gt;"",_xll.RssMarket(C112,"高値"),"")</f>
        <v/>
      </c>
      <c r="I112" s="169" t="str">
        <f>IF(C112&lt;&gt;"",_xll.RssMarket(C112,"安値"),"")</f>
        <v/>
      </c>
      <c r="J112" s="169" t="str">
        <f>IF(C112&lt;&gt;"",_xll.RssMarket(C112,"出来高"),"")</f>
        <v/>
      </c>
      <c r="K112" s="169" t="str">
        <f>IF(C112&lt;&gt;"",_xll.RssMarket(C112,"年初来高値"),"")</f>
        <v/>
      </c>
      <c r="L112" s="170" t="str">
        <f t="shared" si="17"/>
        <v/>
      </c>
      <c r="M112" s="169">
        <f>IF(C112&lt;&gt;"",IFERROR(AVERAGE(出来高!E104:I104),""),"")</f>
        <v>5625120</v>
      </c>
      <c r="N112" s="169">
        <f>IF(C112&lt;&gt;"",IFERROR(AVERAGE(出来高!E104:AC104),""),"")</f>
        <v>5662272</v>
      </c>
      <c r="O112" s="171" t="str">
        <f t="shared" si="18"/>
        <v/>
      </c>
      <c r="P112" s="166" t="str">
        <f t="shared" si="19"/>
        <v/>
      </c>
      <c r="Q112" s="166" t="str">
        <f t="shared" si="20"/>
        <v/>
      </c>
      <c r="R112" s="169" t="str">
        <f t="shared" si="27"/>
        <v/>
      </c>
      <c r="S112" s="169" t="str">
        <f t="shared" si="28"/>
        <v/>
      </c>
      <c r="T112" s="166">
        <f t="shared" si="21"/>
        <v>0</v>
      </c>
      <c r="U112" s="166" t="str">
        <f t="shared" si="29"/>
        <v>除外</v>
      </c>
      <c r="V112" s="166" t="str">
        <f t="shared" si="22"/>
        <v/>
      </c>
      <c r="W112" s="172">
        <f t="array" ref="W112">IF(C112&lt;&gt;"",IFERROR(100-100/(1+SUMPRODUCT((終値!F104:R104&gt;終値!G104:S104)*( 終値!F104:R104-終値!G104:S104))/SUMPRODUCT((終値!F104:R104&lt;終値!G104:S104)*(終値!G104:S104-終値!F104:R104))),50),"")</f>
        <v>78.940568475452196</v>
      </c>
      <c r="X112" s="173">
        <f>IF(C112&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21.874870143567932</v>
      </c>
      <c r="Y112" s="1" t="e">
        <f>IF(T112="","",IF(銘柄管理!$F$5="下落▼",IF(AND(AD112="パーフェクト▲",OR(AE112="25日線押し目●",AE112="5日線押し目○")),"★逆張り候補",IF(AND(AD112="上昇トレンド▲",OR(AE112="25日線押し目●",AE112="5日線押し目○")),"○逆張り候補",IF(W112&lt;=30,IF(Z112&gt;0,"◎反発確認",IF(Z112&lt;-5,"△要注意・様子見","△売られ過ぎ注目")),"相場下落・見送り"))),IF(AND(T112&gt;=12,AD112="パーフェクト▲"),"★強い買い",IF(AND(T112&gt;=12,AD112="上昇トレンド▲"),"★強い買い",IF(AND(T112&gt;=8,OR(AE112="25日線押し目●",AE112="5日線押し目○")),"◎押し目買い",IF(T112&gt;=10,"○買い候補",IF(T112&gt;=6,"△注目",IF(T112&gt;=3,"様子見","見送り"))))))))</f>
        <v>#VALUE!</v>
      </c>
      <c r="Z112" s="174" t="str">
        <f t="shared" si="30"/>
        <v/>
      </c>
      <c r="AA112" s="166" t="str">
        <f t="shared" si="31"/>
        <v/>
      </c>
      <c r="AB112" s="406">
        <f>IF(C112="","",IFERROR(((終値!E114*0.333)+(終値!F114*0.222)+(終値!G114*0.148)+(終値!H114*0.099)+(終値!I114*0.066)+(終値!J114*0.044)+(終値!K114*0.029)+(終値!L114*0.019)+(終値!M114*0.013)+(終値!N114*0.009))/(0.333+0.222+0.148+0.099+0.066+0.044+0.029+0.019+0.013+0.009),""))</f>
        <v>498.88533604887971</v>
      </c>
      <c r="AC112" s="406">
        <f>IF(C112="","",IFERROR(SUMPRODUCT((終値!E114:AC114),({0.077,0.071,0.065,0.06,0.055,0.051,0.047,0.043,0.039,0.036,0.033,0.031,0.028,0.026,0.024,0.022,0.02,0.018,0.017,0.016,0.014,0.013,0.012,0.011,0.01}))/SUM({0.077,0.071,0.065,0.06,0.055,0.051,0.047,0.043,0.039,0.036,0.033,0.031,0.028,0.026,0.024,0.022,0.02,0.018,0.017,0.016,0.014,0.013,0.012,0.011,0.01}),""))</f>
        <v>484.81203814064344</v>
      </c>
      <c r="AD112" s="407" t="str">
        <f t="shared" si="32"/>
        <v>パーフェクト▲</v>
      </c>
      <c r="AE112" s="407" t="e">
        <f t="shared" si="33"/>
        <v>#VALUE!</v>
      </c>
      <c r="AF112" s="368">
        <f t="array" ref="AF112">IF(C112="","",IFERROR((INDEX(終値!$E:$E,MATCH(TEXT(C112,"0"),終値!$A:$A,0))-INDEX(終値!$E:$CZ,MATCH(TEXT(C112,"0"),終値!$A:$A,0),$AL$2))/INDEX(終値!$E:$CZ,MATCH(TEXT(C112,"0"),終値!$A:$A,0),$AL$2)*100,""))</f>
        <v>5.6235827664399096</v>
      </c>
      <c r="AG112" s="368">
        <f t="array" ref="AG112">IFERROR((終値!$E$5-INDEX(終値!$E$5:$CZ$5,1,$AL$2))/INDEX(終値!$E$5:$CZ$5,1,$AL$2)*100,"")</f>
        <v>2.31989243802786</v>
      </c>
      <c r="AH112" s="369">
        <f t="shared" si="25"/>
        <v>3.3036903284120496</v>
      </c>
      <c r="AI112" s="367">
        <f t="shared" si="26"/>
        <v>1</v>
      </c>
    </row>
    <row r="113" spans="1:35" s="177" customFormat="1" ht="18" customHeight="1">
      <c r="A113" s="166" t="str">
        <f>IF(銘柄管理!B197&lt;&gt;"",HYPERLINK("https://kabutan.jp/stock/?code="&amp;銘柄管理!B197,"株探"),"")</f>
        <v>株探</v>
      </c>
      <c r="B113" s="167"/>
      <c r="C113" s="168">
        <f>IF(銘柄管理!B197="","",銘柄管理!B197)</f>
        <v>6146</v>
      </c>
      <c r="D113" s="106" t="str">
        <f>IF(銘柄管理!C197="","",銘柄管理!C197)</f>
        <v/>
      </c>
      <c r="E113" s="169" t="str">
        <f>IF(C113&lt;&gt;"",_xll.RssMarket(C113,"現在値"),"")</f>
        <v/>
      </c>
      <c r="F113" s="169" t="str">
        <f>IF(C113&lt;&gt;"",_xll.RssMarket(C113,"始値"),"")</f>
        <v/>
      </c>
      <c r="G113" s="168">
        <f>IF(C113&lt;&gt;"",終値!F197,"")</f>
        <v>73550</v>
      </c>
      <c r="H113" s="169" t="str">
        <f>IF(C113&lt;&gt;"",_xll.RssMarket(C113,"高値"),"")</f>
        <v/>
      </c>
      <c r="I113" s="169" t="str">
        <f>IF(C113&lt;&gt;"",_xll.RssMarket(C113,"安値"),"")</f>
        <v/>
      </c>
      <c r="J113" s="169" t="str">
        <f>IF(C113&lt;&gt;"",_xll.RssMarket(C113,"出来高"),"")</f>
        <v/>
      </c>
      <c r="K113" s="169" t="str">
        <f>IF(C113&lt;&gt;"",_xll.RssMarket(C113,"年初来高値"),"")</f>
        <v/>
      </c>
      <c r="L113" s="170" t="str">
        <f t="shared" si="17"/>
        <v/>
      </c>
      <c r="M113" s="169">
        <f>IF(C113&lt;&gt;"",IFERROR(AVERAGE(出来高!E197:I197),""),"")</f>
        <v>1308180</v>
      </c>
      <c r="N113" s="169">
        <f>IF(C113&lt;&gt;"",IFERROR(AVERAGE(出来高!E197:AC197),""),"")</f>
        <v>1788772</v>
      </c>
      <c r="O113" s="171" t="str">
        <f t="shared" si="18"/>
        <v/>
      </c>
      <c r="P113" s="166" t="str">
        <f t="shared" si="19"/>
        <v/>
      </c>
      <c r="Q113" s="166" t="str">
        <f t="shared" si="20"/>
        <v/>
      </c>
      <c r="R113" s="169" t="str">
        <f t="shared" si="27"/>
        <v/>
      </c>
      <c r="S113" s="169" t="str">
        <f t="shared" si="28"/>
        <v/>
      </c>
      <c r="T113" s="166">
        <f t="shared" si="21"/>
        <v>0</v>
      </c>
      <c r="U113" s="166" t="str">
        <f t="shared" si="29"/>
        <v>除外</v>
      </c>
      <c r="V113" s="166" t="str">
        <f t="shared" si="22"/>
        <v/>
      </c>
      <c r="W113" s="172">
        <f t="array" ref="W113">IF(C113&lt;&gt;"",IFERROR(100-100/(1+SUMPRODUCT((終値!F197:R197&gt;終値!G197:S197)*( 終値!F197:R197-終値!G197:S197))/SUMPRODUCT((終値!F197:R197&lt;終値!G197:S197)*(終値!G197:S197-終値!F197:R197))),50),"")</f>
        <v>34.956395348837219</v>
      </c>
      <c r="X113" s="173">
        <f>IF(C113&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-1604.3127261292684</v>
      </c>
      <c r="Y113" s="1" t="e">
        <f>IF(T113="","",IF(銘柄管理!$F$5="下落▼",IF(AND(AD113="パーフェクト▲",OR(AE113="25日線押し目●",AE113="5日線押し目○")),"★逆張り候補",IF(AND(AD113="上昇トレンド▲",OR(AE113="25日線押し目●",AE113="5日線押し目○")),"○逆張り候補",IF(W113&lt;=30,IF(Z113&gt;0,"◎反発確認",IF(Z113&lt;-5,"△要注意・様子見","△売られ過ぎ注目")),"相場下落・見送り"))),IF(AND(T113&gt;=12,AD113="パーフェクト▲"),"★強い買い",IF(AND(T113&gt;=12,AD113="上昇トレンド▲"),"★強い買い",IF(AND(T113&gt;=8,OR(AE113="25日線押し目●",AE113="5日線押し目○")),"◎押し目買い",IF(T113&gt;=10,"○買い候補",IF(T113&gt;=6,"△注目",IF(T113&gt;=3,"様子見","見送り"))))))))</f>
        <v>#VALUE!</v>
      </c>
      <c r="Z113" s="174" t="str">
        <f t="shared" si="30"/>
        <v/>
      </c>
      <c r="AA113" s="166" t="str">
        <f t="shared" si="31"/>
        <v/>
      </c>
      <c r="AB113" s="408">
        <f>IF(C113="","",IFERROR(((終値!E115*0.333)+(終値!F115*0.222)+(終値!G115*0.148)+(終値!H115*0.099)+(終値!I115*0.066)+(終値!J115*0.044)+(終値!K115*0.029)+(終値!L115*0.019)+(終値!M115*0.013)+(終値!N115*0.009))/(0.333+0.222+0.148+0.099+0.066+0.044+0.029+0.019+0.013+0.009),""))</f>
        <v>6050.2118126272899</v>
      </c>
      <c r="AC113" s="408">
        <f>IF(C113="","",IFERROR(SUMPRODUCT((終値!E115:AC115),({0.077,0.071,0.065,0.06,0.055,0.051,0.047,0.043,0.039,0.036,0.033,0.031,0.028,0.026,0.024,0.022,0.02,0.018,0.017,0.016,0.014,0.013,0.012,0.011,0.01}))/SUM({0.077,0.071,0.065,0.06,0.055,0.051,0.047,0.043,0.039,0.036,0.033,0.031,0.028,0.026,0.024,0.022,0.02,0.018,0.017,0.016,0.014,0.013,0.012,0.011,0.01}),""))</f>
        <v>6084.493444576874</v>
      </c>
      <c r="AD113" s="409" t="str">
        <f t="shared" si="32"/>
        <v>上昇トレンド▲</v>
      </c>
      <c r="AE113" s="409" t="e">
        <f t="shared" si="33"/>
        <v>#VALUE!</v>
      </c>
      <c r="AF113" s="368">
        <f t="array" ref="AF113">IF(C113="","",IFERROR((INDEX(終値!$E:$E,MATCH(TEXT(C113,"0"),終値!$A:$A,0))-INDEX(終値!$E:$CZ,MATCH(TEXT(C113,"0"),終値!$A:$A,0),$AL$2))/INDEX(終値!$E:$CZ,MATCH(TEXT(C113,"0"),終値!$A:$A,0),$AL$2)*100,""))</f>
        <v>-7.5363973736797023</v>
      </c>
      <c r="AG113" s="368">
        <f t="array" ref="AG113">IFERROR((終値!$E$5-INDEX(終値!$E$5:$CZ$5,1,$AL$2))/INDEX(終値!$E$5:$CZ$5,1,$AL$2)*100,"")</f>
        <v>2.31989243802786</v>
      </c>
      <c r="AH113" s="369">
        <f t="shared" si="25"/>
        <v>-9.8562898117075619</v>
      </c>
      <c r="AI113" s="367">
        <f t="shared" si="26"/>
        <v>-2</v>
      </c>
    </row>
    <row r="114" spans="1:35" s="177" customFormat="1" ht="18" customHeight="1">
      <c r="A114" s="166" t="str">
        <f>IF(銘柄管理!B92&lt;&gt;"",HYPERLINK("https://kabutan.jp/stock/?code="&amp;銘柄管理!B92,"株探"),"")</f>
        <v>株探</v>
      </c>
      <c r="B114" s="167"/>
      <c r="C114" s="168">
        <f>IF(銘柄管理!B92="","",銘柄管理!B92)</f>
        <v>6134</v>
      </c>
      <c r="D114" s="106" t="str">
        <f>IF(銘柄管理!C92="","",銘柄管理!C92)</f>
        <v/>
      </c>
      <c r="E114" s="169" t="str">
        <f>IF(C114&lt;&gt;"",_xll.RssMarket(C114,"現在値"),"")</f>
        <v/>
      </c>
      <c r="F114" s="169" t="str">
        <f>IF(C114&lt;&gt;"",_xll.RssMarket(C114,"始値"),"")</f>
        <v/>
      </c>
      <c r="G114" s="168">
        <f>IF(C114&lt;&gt;"",終値!F92,"")</f>
        <v>8020</v>
      </c>
      <c r="H114" s="169" t="str">
        <f>IF(C114&lt;&gt;"",_xll.RssMarket(C114,"高値"),"")</f>
        <v/>
      </c>
      <c r="I114" s="169" t="str">
        <f>IF(C114&lt;&gt;"",_xll.RssMarket(C114,"安値"),"")</f>
        <v/>
      </c>
      <c r="J114" s="169" t="str">
        <f>IF(C114&lt;&gt;"",_xll.RssMarket(C114,"出来高"),"")</f>
        <v/>
      </c>
      <c r="K114" s="169" t="str">
        <f>IF(C114&lt;&gt;"",_xll.RssMarket(C114,"年初来高値"),"")</f>
        <v/>
      </c>
      <c r="L114" s="170" t="str">
        <f t="shared" si="17"/>
        <v/>
      </c>
      <c r="M114" s="169">
        <f>IF(C114&lt;&gt;"",IFERROR(AVERAGE(出来高!E92:I92),""),"")</f>
        <v>867640</v>
      </c>
      <c r="N114" s="169">
        <f>IF(C114&lt;&gt;"",IFERROR(AVERAGE(出来高!E92:AC92),""),"")</f>
        <v>763384</v>
      </c>
      <c r="O114" s="171" t="str">
        <f t="shared" si="18"/>
        <v/>
      </c>
      <c r="P114" s="166" t="str">
        <f t="shared" si="19"/>
        <v/>
      </c>
      <c r="Q114" s="166" t="str">
        <f t="shared" si="20"/>
        <v/>
      </c>
      <c r="R114" s="169" t="str">
        <f t="shared" si="27"/>
        <v/>
      </c>
      <c r="S114" s="169" t="str">
        <f t="shared" si="28"/>
        <v/>
      </c>
      <c r="T114" s="166">
        <f t="shared" si="21"/>
        <v>0</v>
      </c>
      <c r="U114" s="166" t="str">
        <f t="shared" si="29"/>
        <v>除外</v>
      </c>
      <c r="V114" s="166" t="str">
        <f t="shared" si="22"/>
        <v/>
      </c>
      <c r="W114" s="172">
        <f t="array" ref="W114">IF(C114&lt;&gt;"",IFERROR(100-100/(1+SUMPRODUCT((終値!F92:R92&gt;終値!G92:S92)*( 終値!F92:R92-終値!G92:S92))/SUMPRODUCT((終値!F92:R92&lt;終値!G92:S92)*(終値!G92:S92-終値!F92:R92))),50),"")</f>
        <v>45.50618786772165</v>
      </c>
      <c r="X114" s="173">
        <f>IF(C114&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-37.2526279757476</v>
      </c>
      <c r="Y114" s="1" t="e">
        <f>IF(T114="","",IF(銘柄管理!$F$5="下落▼",IF(AND(AD114="パーフェクト▲",OR(AE114="25日線押し目●",AE114="5日線押し目○")),"★逆張り候補",IF(AND(AD114="上昇トレンド▲",OR(AE114="25日線押し目●",AE114="5日線押し目○")),"○逆張り候補",IF(W114&lt;=30,IF(Z114&gt;0,"◎反発確認",IF(Z114&lt;-5,"△要注意・様子見","△売られ過ぎ注目")),"相場下落・見送り"))),IF(AND(T114&gt;=12,AD114="パーフェクト▲"),"★強い買い",IF(AND(T114&gt;=12,AD114="上昇トレンド▲"),"★強い買い",IF(AND(T114&gt;=8,OR(AE114="25日線押し目●",AE114="5日線押し目○")),"◎押し目買い",IF(T114&gt;=10,"○買い候補",IF(T114&gt;=6,"△注目",IF(T114&gt;=3,"様子見","見送り"))))))))</f>
        <v>#VALUE!</v>
      </c>
      <c r="Z114" s="174" t="str">
        <f t="shared" si="30"/>
        <v/>
      </c>
      <c r="AA114" s="166" t="str">
        <f t="shared" si="31"/>
        <v/>
      </c>
      <c r="AB114" s="406">
        <f>IF(C114="","",IFERROR(((終値!E116*0.333)+(終値!F116*0.222)+(終値!G116*0.148)+(終値!H116*0.099)+(終値!I116*0.066)+(終値!J116*0.044)+(終値!K116*0.029)+(終値!L116*0.019)+(終値!M116*0.013)+(終値!N116*0.009))/(0.333+0.222+0.148+0.099+0.066+0.044+0.029+0.019+0.013+0.009),""))</f>
        <v>1817.4511201629327</v>
      </c>
      <c r="AC114" s="406">
        <f>IF(C114="","",IFERROR(SUMPRODUCT((終値!E116:AC116),({0.077,0.071,0.065,0.06,0.055,0.051,0.047,0.043,0.039,0.036,0.033,0.031,0.028,0.026,0.024,0.022,0.02,0.018,0.017,0.016,0.014,0.013,0.012,0.011,0.01}))/SUM({0.077,0.071,0.065,0.06,0.055,0.051,0.047,0.043,0.039,0.036,0.033,0.031,0.028,0.026,0.024,0.022,0.02,0.018,0.017,0.016,0.014,0.013,0.012,0.011,0.01}),""))</f>
        <v>1789.6030989272936</v>
      </c>
      <c r="AD114" s="407" t="str">
        <f t="shared" si="32"/>
        <v>パーフェクト▲</v>
      </c>
      <c r="AE114" s="407" t="e">
        <f t="shared" si="33"/>
        <v>#VALUE!</v>
      </c>
      <c r="AF114" s="368">
        <f t="array" ref="AF114">IF(C114="","",IFERROR((INDEX(終値!$E:$E,MATCH(TEXT(C114,"0"),終値!$A:$A,0))-INDEX(終値!$E:$CZ,MATCH(TEXT(C114,"0"),終値!$A:$A,0),$AL$2))/INDEX(終値!$E:$CZ,MATCH(TEXT(C114,"0"),終値!$A:$A,0),$AL$2)*100,""))</f>
        <v>1.5777715721865402</v>
      </c>
      <c r="AG114" s="368">
        <f t="array" ref="AG114">IFERROR((終値!$E$5-INDEX(終値!$E$5:$CZ$5,1,$AL$2))/INDEX(終値!$E$5:$CZ$5,1,$AL$2)*100,"")</f>
        <v>2.31989243802786</v>
      </c>
      <c r="AH114" s="369">
        <f t="shared" si="25"/>
        <v>-0.74212086584131987</v>
      </c>
      <c r="AI114" s="367">
        <f t="shared" si="26"/>
        <v>-1</v>
      </c>
    </row>
    <row r="115" spans="1:35" s="177" customFormat="1" ht="18" customHeight="1">
      <c r="A115" s="166" t="str">
        <f>IF(銘柄管理!B137&lt;&gt;"",HYPERLINK("https://kabutan.jp/stock/?code="&amp;銘柄管理!B137,"株探"),"")</f>
        <v>株探</v>
      </c>
      <c r="B115" s="167"/>
      <c r="C115" s="168">
        <f>IF(銘柄管理!B137="","",銘柄管理!B137)</f>
        <v>6085</v>
      </c>
      <c r="D115" s="106" t="str">
        <f>IF(銘柄管理!C137="","",銘柄管理!C137)</f>
        <v/>
      </c>
      <c r="E115" s="169" t="str">
        <f>IF(C115&lt;&gt;"",_xll.RssMarket(C115,"現在値"),"")</f>
        <v/>
      </c>
      <c r="F115" s="169" t="str">
        <f>IF(C115&lt;&gt;"",_xll.RssMarket(C115,"始値"),"")</f>
        <v/>
      </c>
      <c r="G115" s="168">
        <f>IF(C115&lt;&gt;"",終値!F137,"")</f>
        <v>202</v>
      </c>
      <c r="H115" s="169" t="str">
        <f>IF(C115&lt;&gt;"",_xll.RssMarket(C115,"高値"),"")</f>
        <v/>
      </c>
      <c r="I115" s="169" t="str">
        <f>IF(C115&lt;&gt;"",_xll.RssMarket(C115,"安値"),"")</f>
        <v/>
      </c>
      <c r="J115" s="169" t="str">
        <f>IF(C115&lt;&gt;"",_xll.RssMarket(C115,"出来高"),"")</f>
        <v/>
      </c>
      <c r="K115" s="169" t="str">
        <f>IF(C115&lt;&gt;"",_xll.RssMarket(C115,"年初来高値"),"")</f>
        <v/>
      </c>
      <c r="L115" s="170" t="str">
        <f t="shared" si="17"/>
        <v/>
      </c>
      <c r="M115" s="169">
        <f>IF(C115&lt;&gt;"",IFERROR(AVERAGE(出来高!E137:I137),""),"")</f>
        <v>2809060</v>
      </c>
      <c r="N115" s="169">
        <f>IF(C115&lt;&gt;"",IFERROR(AVERAGE(出来高!E137:AC137),""),"")</f>
        <v>3120800</v>
      </c>
      <c r="O115" s="171" t="str">
        <f t="shared" si="18"/>
        <v/>
      </c>
      <c r="P115" s="166" t="str">
        <f t="shared" si="19"/>
        <v/>
      </c>
      <c r="Q115" s="166" t="str">
        <f t="shared" si="20"/>
        <v/>
      </c>
      <c r="R115" s="169" t="str">
        <f t="shared" si="27"/>
        <v/>
      </c>
      <c r="S115" s="169" t="str">
        <f t="shared" si="28"/>
        <v/>
      </c>
      <c r="T115" s="166">
        <f t="shared" si="21"/>
        <v>0</v>
      </c>
      <c r="U115" s="166" t="str">
        <f t="shared" si="29"/>
        <v>除外</v>
      </c>
      <c r="V115" s="166" t="str">
        <f t="shared" si="22"/>
        <v/>
      </c>
      <c r="W115" s="172">
        <f t="array" ref="W115">IF(C115&lt;&gt;"",IFERROR(100-100/(1+SUMPRODUCT((終値!F137:R137&gt;終値!G137:S137)*( 終値!F137:R137-終値!G137:S137))/SUMPRODUCT((終値!F137:R137&lt;終値!G137:S137)*(終値!G137:S137-終値!F137:R137))),50),"")</f>
        <v>26.213592233009706</v>
      </c>
      <c r="X115" s="173">
        <f>IF(C115&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-18.240209521610893</v>
      </c>
      <c r="Y115" s="1" t="e">
        <f>IF(T115="","",IF(銘柄管理!$F$5="下落▼",IF(AND(AD115="パーフェクト▲",OR(AE115="25日線押し目●",AE115="5日線押し目○")),"★逆張り候補",IF(AND(AD115="上昇トレンド▲",OR(AE115="25日線押し目●",AE115="5日線押し目○")),"○逆張り候補",IF(W115&lt;=30,IF(Z115&gt;0,"◎反発確認",IF(Z115&lt;-5,"△要注意・様子見","△売られ過ぎ注目")),"相場下落・見送り"))),IF(AND(T115&gt;=12,AD115="パーフェクト▲"),"★強い買い",IF(AND(T115&gt;=12,AD115="上昇トレンド▲"),"★強い買い",IF(AND(T115&gt;=8,OR(AE115="25日線押し目●",AE115="5日線押し目○")),"◎押し目買い",IF(T115&gt;=10,"○買い候補",IF(T115&gt;=6,"△注目",IF(T115&gt;=3,"様子見","見送り"))))))))</f>
        <v>#VALUE!</v>
      </c>
      <c r="Z115" s="174" t="str">
        <f t="shared" si="30"/>
        <v/>
      </c>
      <c r="AA115" s="166" t="str">
        <f t="shared" si="31"/>
        <v/>
      </c>
      <c r="AB115" s="408">
        <f>IF(C115="","",IFERROR(((終値!E117*0.333)+(終値!F117*0.222)+(終値!G117*0.148)+(終値!H117*0.099)+(終値!I117*0.066)+(終値!J117*0.044)+(終値!K117*0.029)+(終値!L117*0.019)+(終値!M117*0.013)+(終値!N117*0.009))/(0.333+0.222+0.148+0.099+0.066+0.044+0.029+0.019+0.013+0.009),""))</f>
        <v>5551.7993890020352</v>
      </c>
      <c r="AC115" s="408">
        <f>IF(C115="","",IFERROR(SUMPRODUCT((終値!E117:AC117),({0.077,0.071,0.065,0.06,0.055,0.051,0.047,0.043,0.039,0.036,0.033,0.031,0.028,0.026,0.024,0.022,0.02,0.018,0.017,0.016,0.014,0.013,0.012,0.011,0.01}))/SUM({0.077,0.071,0.065,0.06,0.055,0.051,0.047,0.043,0.039,0.036,0.033,0.031,0.028,0.026,0.024,0.022,0.02,0.018,0.017,0.016,0.014,0.013,0.012,0.011,0.01}),""))</f>
        <v>5415.206197854588</v>
      </c>
      <c r="AD115" s="409" t="str">
        <f t="shared" si="32"/>
        <v>パーフェクト▲</v>
      </c>
      <c r="AE115" s="409" t="e">
        <f t="shared" si="33"/>
        <v>#VALUE!</v>
      </c>
      <c r="AF115" s="368">
        <f t="array" ref="AF115">IF(C115="","",IFERROR((INDEX(終値!$E:$E,MATCH(TEXT(C115,"0"),終値!$A:$A,0))-INDEX(終値!$E:$CZ,MATCH(TEXT(C115,"0"),終値!$A:$A,0),$AL$2))/INDEX(終値!$E:$CZ,MATCH(TEXT(C115,"0"),終値!$A:$A,0),$AL$2)*100,""))</f>
        <v>-51.249999999999993</v>
      </c>
      <c r="AG115" s="368">
        <f t="array" ref="AG115">IFERROR((終値!$E$5-INDEX(終値!$E$5:$CZ$5,1,$AL$2))/INDEX(終値!$E$5:$CZ$5,1,$AL$2)*100,"")</f>
        <v>2.31989243802786</v>
      </c>
      <c r="AH115" s="369">
        <f t="shared" si="25"/>
        <v>-53.56989243802785</v>
      </c>
      <c r="AI115" s="367">
        <f t="shared" si="26"/>
        <v>-2</v>
      </c>
    </row>
    <row r="116" spans="1:35" s="177" customFormat="1" ht="18" customHeight="1">
      <c r="A116" s="166" t="str">
        <f>IF(銘柄管理!B72&lt;&gt;"",HYPERLINK("https://kabutan.jp/stock/?code="&amp;銘柄管理!B72,"株探"),"")</f>
        <v>株探</v>
      </c>
      <c r="B116" s="167"/>
      <c r="C116" s="168">
        <f>IF(銘柄管理!B72="","",銘柄管理!B72)</f>
        <v>6027</v>
      </c>
      <c r="D116" s="106" t="str">
        <f>IF(銘柄管理!C72="","",銘柄管理!C72)</f>
        <v/>
      </c>
      <c r="E116" s="169" t="str">
        <f>IF(C116&lt;&gt;"",_xll.RssMarket(C116,"現在値"),"")</f>
        <v/>
      </c>
      <c r="F116" s="169" t="str">
        <f>IF(C116&lt;&gt;"",_xll.RssMarket(C116,"始値"),"")</f>
        <v/>
      </c>
      <c r="G116" s="168">
        <f>IF(C116&lt;&gt;"",終値!F72,"")</f>
        <v>2391</v>
      </c>
      <c r="H116" s="169" t="str">
        <f>IF(C116&lt;&gt;"",_xll.RssMarket(C116,"高値"),"")</f>
        <v/>
      </c>
      <c r="I116" s="169" t="str">
        <f>IF(C116&lt;&gt;"",_xll.RssMarket(C116,"安値"),"")</f>
        <v/>
      </c>
      <c r="J116" s="169" t="str">
        <f>IF(C116&lt;&gt;"",_xll.RssMarket(C116,"出来高"),"")</f>
        <v/>
      </c>
      <c r="K116" s="169" t="str">
        <f>IF(C116&lt;&gt;"",_xll.RssMarket(C116,"年初来高値"),"")</f>
        <v/>
      </c>
      <c r="L116" s="170" t="str">
        <f t="shared" si="17"/>
        <v/>
      </c>
      <c r="M116" s="169">
        <f>IF(C116&lt;&gt;"",IFERROR(AVERAGE(出来高!E72:I72),""),"")</f>
        <v>64260</v>
      </c>
      <c r="N116" s="169">
        <f>IF(C116&lt;&gt;"",IFERROR(AVERAGE(出来高!E72:AC72),""),"")</f>
        <v>93792</v>
      </c>
      <c r="O116" s="171" t="str">
        <f t="shared" si="18"/>
        <v/>
      </c>
      <c r="P116" s="166" t="str">
        <f t="shared" si="19"/>
        <v/>
      </c>
      <c r="Q116" s="166" t="str">
        <f t="shared" si="20"/>
        <v/>
      </c>
      <c r="R116" s="169" t="str">
        <f t="shared" si="27"/>
        <v/>
      </c>
      <c r="S116" s="169" t="str">
        <f t="shared" si="28"/>
        <v/>
      </c>
      <c r="T116" s="166">
        <f t="shared" si="21"/>
        <v>0</v>
      </c>
      <c r="U116" s="166" t="str">
        <f t="shared" si="29"/>
        <v>除外</v>
      </c>
      <c r="V116" s="166" t="str">
        <f t="shared" si="22"/>
        <v/>
      </c>
      <c r="W116" s="172">
        <f t="array" ref="W116">IF(C116&lt;&gt;"",IFERROR(100-100/(1+SUMPRODUCT((終値!F72:R72&gt;終値!G72:S72)*( 終値!F72:R72-終値!G72:S72))/SUMPRODUCT((終値!F72:R72&lt;終値!G72:S72)*(終値!G72:S72-終値!F72:R72))),50),"")</f>
        <v>75.065616797900262</v>
      </c>
      <c r="X116" s="173">
        <f>IF(C116&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40.969636481598172</v>
      </c>
      <c r="Y116" s="1" t="e">
        <f>IF(T116="","",IF(銘柄管理!$F$5="下落▼",IF(AND(AD116="パーフェクト▲",OR(AE116="25日線押し目●",AE116="5日線押し目○")),"★逆張り候補",IF(AND(AD116="上昇トレンド▲",OR(AE116="25日線押し目●",AE116="5日線押し目○")),"○逆張り候補",IF(W116&lt;=30,IF(Z116&gt;0,"◎反発確認",IF(Z116&lt;-5,"△要注意・様子見","△売られ過ぎ注目")),"相場下落・見送り"))),IF(AND(T116&gt;=12,AD116="パーフェクト▲"),"★強い買い",IF(AND(T116&gt;=12,AD116="上昇トレンド▲"),"★強い買い",IF(AND(T116&gt;=8,OR(AE116="25日線押し目●",AE116="5日線押し目○")),"◎押し目買い",IF(T116&gt;=10,"○買い候補",IF(T116&gt;=6,"△注目",IF(T116&gt;=3,"様子見","見送り"))))))))</f>
        <v>#VALUE!</v>
      </c>
      <c r="Z116" s="174" t="str">
        <f t="shared" si="30"/>
        <v/>
      </c>
      <c r="AA116" s="166" t="str">
        <f t="shared" si="31"/>
        <v/>
      </c>
      <c r="AB116" s="406">
        <f>IF(C116="","",IFERROR(((終値!E118*0.333)+(終値!F118*0.222)+(終値!G118*0.148)+(終値!H118*0.099)+(終値!I118*0.066)+(終値!J118*0.044)+(終値!K118*0.029)+(終値!L118*0.019)+(終値!M118*0.013)+(終値!N118*0.009))/(0.333+0.222+0.148+0.099+0.066+0.044+0.029+0.019+0.013+0.009),""))</f>
        <v>4608.572301425661</v>
      </c>
      <c r="AC116" s="406">
        <f>IF(C116="","",IFERROR(SUMPRODUCT((終値!E118:AC118),({0.077,0.071,0.065,0.06,0.055,0.051,0.047,0.043,0.039,0.036,0.033,0.031,0.028,0.026,0.024,0.022,0.02,0.018,0.017,0.016,0.014,0.013,0.012,0.011,0.01}))/SUM({0.077,0.071,0.065,0.06,0.055,0.051,0.047,0.043,0.039,0.036,0.033,0.031,0.028,0.026,0.024,0.022,0.02,0.018,0.017,0.016,0.014,0.013,0.012,0.011,0.01}),""))</f>
        <v>4633.8116805721083</v>
      </c>
      <c r="AD116" s="407" t="str">
        <f t="shared" si="32"/>
        <v>上昇トレンド▲</v>
      </c>
      <c r="AE116" s="407" t="e">
        <f t="shared" si="33"/>
        <v>#VALUE!</v>
      </c>
      <c r="AF116" s="368">
        <f t="array" ref="AF116">IF(C116="","",IFERROR((INDEX(終値!$E:$E,MATCH(TEXT(C116,"0"),終値!$A:$A,0))-INDEX(終値!$E:$CZ,MATCH(TEXT(C116,"0"),終値!$A:$A,0),$AL$2))/INDEX(終値!$E:$CZ,MATCH(TEXT(C116,"0"),終値!$A:$A,0),$AL$2)*100,""))</f>
        <v>8.1447963800904972</v>
      </c>
      <c r="AG116" s="368">
        <f t="array" ref="AG116">IFERROR((終値!$E$5-INDEX(終値!$E$5:$CZ$5,1,$AL$2))/INDEX(終値!$E$5:$CZ$5,1,$AL$2)*100,"")</f>
        <v>2.31989243802786</v>
      </c>
      <c r="AH116" s="369">
        <f t="shared" si="25"/>
        <v>5.8249039420626367</v>
      </c>
      <c r="AI116" s="367">
        <f t="shared" si="26"/>
        <v>3</v>
      </c>
    </row>
    <row r="117" spans="1:35" s="177" customFormat="1" ht="18" customHeight="1">
      <c r="A117" s="166" t="str">
        <f>IF(銘柄管理!B42&lt;&gt;"",HYPERLINK("https://kabutan.jp/stock/?code="&amp;銘柄管理!B42,"株探"),"")</f>
        <v>株探</v>
      </c>
      <c r="B117" s="167"/>
      <c r="C117" s="168">
        <f>IF(銘柄管理!B42="","",銘柄管理!B42)</f>
        <v>5947</v>
      </c>
      <c r="D117" s="106" t="str">
        <f>IF(銘柄管理!C42="","",銘柄管理!C42)</f>
        <v/>
      </c>
      <c r="E117" s="169" t="str">
        <f>IF(C117&lt;&gt;"",_xll.RssMarket(C117,"現在値"),"")</f>
        <v/>
      </c>
      <c r="F117" s="169" t="str">
        <f>IF(C117&lt;&gt;"",_xll.RssMarket(C117,"始値"),"")</f>
        <v/>
      </c>
      <c r="G117" s="168">
        <f>IF(C117&lt;&gt;"",終値!F42,"")</f>
        <v>3592</v>
      </c>
      <c r="H117" s="169" t="str">
        <f>IF(C117&lt;&gt;"",_xll.RssMarket(C117,"高値"),"")</f>
        <v/>
      </c>
      <c r="I117" s="169" t="str">
        <f>IF(C117&lt;&gt;"",_xll.RssMarket(C117,"安値"),"")</f>
        <v/>
      </c>
      <c r="J117" s="169" t="str">
        <f>IF(C117&lt;&gt;"",_xll.RssMarket(C117,"出来高"),"")</f>
        <v/>
      </c>
      <c r="K117" s="169" t="str">
        <f>IF(C117&lt;&gt;"",_xll.RssMarket(C117,"年初来高値"),"")</f>
        <v/>
      </c>
      <c r="L117" s="170" t="str">
        <f t="shared" si="17"/>
        <v/>
      </c>
      <c r="M117" s="169">
        <f>IF(C117&lt;&gt;"",IFERROR(AVERAGE(出来高!E42:I42),""),"")</f>
        <v>279260</v>
      </c>
      <c r="N117" s="169">
        <f>IF(C117&lt;&gt;"",IFERROR(AVERAGE(出来高!E42:AC42),""),"")</f>
        <v>359996</v>
      </c>
      <c r="O117" s="171" t="str">
        <f t="shared" si="18"/>
        <v/>
      </c>
      <c r="P117" s="166" t="str">
        <f t="shared" si="19"/>
        <v/>
      </c>
      <c r="Q117" s="166" t="str">
        <f t="shared" si="20"/>
        <v/>
      </c>
      <c r="R117" s="169" t="str">
        <f t="shared" si="27"/>
        <v/>
      </c>
      <c r="S117" s="169" t="str">
        <f t="shared" si="28"/>
        <v/>
      </c>
      <c r="T117" s="166">
        <f t="shared" si="21"/>
        <v>0</v>
      </c>
      <c r="U117" s="166" t="str">
        <f t="shared" si="29"/>
        <v>除外</v>
      </c>
      <c r="V117" s="166" t="str">
        <f t="shared" si="22"/>
        <v/>
      </c>
      <c r="W117" s="172">
        <f t="array" ref="W117">IF(C117&lt;&gt;"",IFERROR(100-100/(1+SUMPRODUCT((終値!F42:R42&gt;終値!G42:S42)*( 終値!F42:R42-終値!G42:S42))/SUMPRODUCT((終値!F42:R42&lt;終値!G42:S42)*(終値!G42:S42-終値!F42:R42))),50),"")</f>
        <v>58.193979933110363</v>
      </c>
      <c r="X117" s="173">
        <f>IF(C117&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12.498845720609552</v>
      </c>
      <c r="Y117" s="1" t="e">
        <f>IF(T117="","",IF(銘柄管理!$F$5="下落▼",IF(AND(AD117="パーフェクト▲",OR(AE117="25日線押し目●",AE117="5日線押し目○")),"★逆張り候補",IF(AND(AD117="上昇トレンド▲",OR(AE117="25日線押し目●",AE117="5日線押し目○")),"○逆張り候補",IF(W117&lt;=30,IF(Z117&gt;0,"◎反発確認",IF(Z117&lt;-5,"△要注意・様子見","△売られ過ぎ注目")),"相場下落・見送り"))),IF(AND(T117&gt;=12,AD117="パーフェクト▲"),"★強い買い",IF(AND(T117&gt;=12,AD117="上昇トレンド▲"),"★強い買い",IF(AND(T117&gt;=8,OR(AE117="25日線押し目●",AE117="5日線押し目○")),"◎押し目買い",IF(T117&gt;=10,"○買い候補",IF(T117&gt;=6,"△注目",IF(T117&gt;=3,"様子見","見送り"))))))))</f>
        <v>#VALUE!</v>
      </c>
      <c r="Z117" s="174" t="str">
        <f t="shared" si="30"/>
        <v/>
      </c>
      <c r="AA117" s="166" t="str">
        <f t="shared" si="31"/>
        <v/>
      </c>
      <c r="AB117" s="408">
        <f>IF(C117="","",IFERROR(((終値!E119*0.333)+(終値!F119*0.222)+(終値!G119*0.148)+(終値!H119*0.099)+(終値!I119*0.066)+(終値!J119*0.044)+(終値!K119*0.029)+(終値!L119*0.019)+(終値!M119*0.013)+(終値!N119*0.009))/(0.333+0.222+0.148+0.099+0.066+0.044+0.029+0.019+0.013+0.009),""))</f>
        <v>2898.0020366598765</v>
      </c>
      <c r="AC117" s="408">
        <f>IF(C117="","",IFERROR(SUMPRODUCT((終値!E119:AC119),({0.077,0.071,0.065,0.06,0.055,0.051,0.047,0.043,0.039,0.036,0.033,0.031,0.028,0.026,0.024,0.022,0.02,0.018,0.017,0.016,0.014,0.013,0.012,0.011,0.01}))/SUM({0.077,0.071,0.065,0.06,0.055,0.051,0.047,0.043,0.039,0.036,0.033,0.031,0.028,0.026,0.024,0.022,0.02,0.018,0.017,0.016,0.014,0.013,0.012,0.011,0.01}),""))</f>
        <v>2853.9445768772339</v>
      </c>
      <c r="AD117" s="409" t="str">
        <f t="shared" si="32"/>
        <v>パーフェクト▲</v>
      </c>
      <c r="AE117" s="409" t="e">
        <f t="shared" si="33"/>
        <v>#VALUE!</v>
      </c>
      <c r="AF117" s="368">
        <f t="array" ref="AF117">IF(C117="","",IFERROR((INDEX(終値!$E:$E,MATCH(TEXT(C117,"0"),終値!$A:$A,0))-INDEX(終値!$E:$CZ,MATCH(TEXT(C117,"0"),終値!$A:$A,0),$AL$2))/INDEX(終値!$E:$CZ,MATCH(TEXT(C117,"0"),終値!$A:$A,0),$AL$2)*100,""))</f>
        <v>3.6571428571428575</v>
      </c>
      <c r="AG117" s="368">
        <f t="array" ref="AG117">IFERROR((終値!$E$5-INDEX(終値!$E$5:$CZ$5,1,$AL$2))/INDEX(終値!$E$5:$CZ$5,1,$AL$2)*100,"")</f>
        <v>2.31989243802786</v>
      </c>
      <c r="AH117" s="369">
        <f t="shared" si="25"/>
        <v>1.3372504191149974</v>
      </c>
      <c r="AI117" s="367">
        <f t="shared" si="26"/>
        <v>1</v>
      </c>
    </row>
    <row r="118" spans="1:35" s="177" customFormat="1" ht="18" customHeight="1">
      <c r="A118" s="166" t="str">
        <f>IF(銘柄管理!B36&lt;&gt;"",HYPERLINK("https://kabutan.jp/stock/?code="&amp;銘柄管理!B36,"株探"),"")</f>
        <v>株探</v>
      </c>
      <c r="B118" s="167"/>
      <c r="C118" s="168">
        <f>IF(銘柄管理!B36="","",銘柄管理!B36)</f>
        <v>5938</v>
      </c>
      <c r="D118" s="106" t="str">
        <f>IF(銘柄管理!C36="","",銘柄管理!C36)</f>
        <v/>
      </c>
      <c r="E118" s="169" t="str">
        <f>IF(C118&lt;&gt;"",_xll.RssMarket(C118,"現在値"),"")</f>
        <v/>
      </c>
      <c r="F118" s="169" t="str">
        <f>IF(C118&lt;&gt;"",_xll.RssMarket(C118,"始値"),"")</f>
        <v/>
      </c>
      <c r="G118" s="168">
        <f>IF(C118&lt;&gt;"",終値!F36,"")</f>
        <v>1889</v>
      </c>
      <c r="H118" s="169" t="str">
        <f>IF(C118&lt;&gt;"",_xll.RssMarket(C118,"高値"),"")</f>
        <v/>
      </c>
      <c r="I118" s="169" t="str">
        <f>IF(C118&lt;&gt;"",_xll.RssMarket(C118,"安値"),"")</f>
        <v/>
      </c>
      <c r="J118" s="169" t="str">
        <f>IF(C118&lt;&gt;"",_xll.RssMarket(C118,"出来高"),"")</f>
        <v/>
      </c>
      <c r="K118" s="169" t="str">
        <f>IF(C118&lt;&gt;"",_xll.RssMarket(C118,"年初来高値"),"")</f>
        <v/>
      </c>
      <c r="L118" s="170" t="str">
        <f t="shared" si="17"/>
        <v/>
      </c>
      <c r="M118" s="169">
        <f>IF(C118&lt;&gt;"",IFERROR(AVERAGE(出来高!E36:I36),""),"")</f>
        <v>1619500</v>
      </c>
      <c r="N118" s="169">
        <f>IF(C118&lt;&gt;"",IFERROR(AVERAGE(出来高!E36:AC36),""),"")</f>
        <v>2017732</v>
      </c>
      <c r="O118" s="171" t="str">
        <f t="shared" si="18"/>
        <v/>
      </c>
      <c r="P118" s="166" t="str">
        <f t="shared" si="19"/>
        <v/>
      </c>
      <c r="Q118" s="166" t="str">
        <f t="shared" si="20"/>
        <v/>
      </c>
      <c r="R118" s="169" t="str">
        <f t="shared" si="27"/>
        <v/>
      </c>
      <c r="S118" s="169" t="str">
        <f t="shared" si="28"/>
        <v/>
      </c>
      <c r="T118" s="166">
        <f t="shared" si="21"/>
        <v>0</v>
      </c>
      <c r="U118" s="166" t="str">
        <f t="shared" si="29"/>
        <v>除外</v>
      </c>
      <c r="V118" s="166" t="str">
        <f t="shared" si="22"/>
        <v/>
      </c>
      <c r="W118" s="172">
        <f t="array" ref="W118">IF(C118&lt;&gt;"",IFERROR(100-100/(1+SUMPRODUCT((終値!F36:R36&gt;終値!G36:S36)*( 終値!F36:R36-終値!G36:S36))/SUMPRODUCT((終値!F36:R36&lt;終値!G36:S36)*(終値!G36:S36-終値!F36:R36))),50),"")</f>
        <v>79.069767441860463</v>
      </c>
      <c r="X118" s="173">
        <f>IF(C118&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21.411396120826112</v>
      </c>
      <c r="Y118" s="1" t="e">
        <f>IF(T118="","",IF(銘柄管理!$F$5="下落▼",IF(AND(AD118="パーフェクト▲",OR(AE118="25日線押し目●",AE118="5日線押し目○")),"★逆張り候補",IF(AND(AD118="上昇トレンド▲",OR(AE118="25日線押し目●",AE118="5日線押し目○")),"○逆張り候補",IF(W118&lt;=30,IF(Z118&gt;0,"◎反発確認",IF(Z118&lt;-5,"△要注意・様子見","△売られ過ぎ注目")),"相場下落・見送り"))),IF(AND(T118&gt;=12,AD118="パーフェクト▲"),"★強い買い",IF(AND(T118&gt;=12,AD118="上昇トレンド▲"),"★強い買い",IF(AND(T118&gt;=8,OR(AE118="25日線押し目●",AE118="5日線押し目○")),"◎押し目買い",IF(T118&gt;=10,"○買い候補",IF(T118&gt;=6,"△注目",IF(T118&gt;=3,"様子見","見送り"))))))))</f>
        <v>#VALUE!</v>
      </c>
      <c r="Z118" s="174" t="str">
        <f t="shared" si="30"/>
        <v/>
      </c>
      <c r="AA118" s="166" t="str">
        <f t="shared" si="31"/>
        <v/>
      </c>
      <c r="AB118" s="406">
        <f>IF(C118="","",IFERROR(((終値!E120*0.333)+(終値!F120*0.222)+(終値!G120*0.148)+(終値!H120*0.099)+(終値!I120*0.066)+(終値!J120*0.044)+(終値!K120*0.029)+(終値!L120*0.019)+(終値!M120*0.013)+(終値!N120*0.009))/(0.333+0.222+0.148+0.099+0.066+0.044+0.029+0.019+0.013+0.009),""))</f>
        <v>4262.4439918533599</v>
      </c>
      <c r="AC118" s="406">
        <f>IF(C118="","",IFERROR(SUMPRODUCT((終値!E120:AC120),({0.077,0.071,0.065,0.06,0.055,0.051,0.047,0.043,0.039,0.036,0.033,0.031,0.028,0.026,0.024,0.022,0.02,0.018,0.017,0.016,0.014,0.013,0.012,0.011,0.01}))/SUM({0.077,0.071,0.065,0.06,0.055,0.051,0.047,0.043,0.039,0.036,0.033,0.031,0.028,0.026,0.024,0.022,0.02,0.018,0.017,0.016,0.014,0.013,0.012,0.011,0.01}),""))</f>
        <v>4244.6245530393317</v>
      </c>
      <c r="AD118" s="407" t="str">
        <f t="shared" si="32"/>
        <v>パーフェクト▲</v>
      </c>
      <c r="AE118" s="407" t="e">
        <f t="shared" si="33"/>
        <v>#VALUE!</v>
      </c>
      <c r="AF118" s="368">
        <f t="array" ref="AF118">IF(C118="","",IFERROR((INDEX(終値!$E:$E,MATCH(TEXT(C118,"0"),終値!$A:$A,0))-INDEX(終値!$E:$CZ,MATCH(TEXT(C118,"0"),終値!$A:$A,0),$AL$2))/INDEX(終値!$E:$CZ,MATCH(TEXT(C118,"0"),終値!$A:$A,0),$AL$2)*100,""))</f>
        <v>9.6198830409356724</v>
      </c>
      <c r="AG118" s="368">
        <f t="array" ref="AG118">IFERROR((終値!$E$5-INDEX(終値!$E$5:$CZ$5,1,$AL$2))/INDEX(終値!$E$5:$CZ$5,1,$AL$2)*100,"")</f>
        <v>2.31989243802786</v>
      </c>
      <c r="AH118" s="369">
        <f t="shared" si="25"/>
        <v>7.2999906029078119</v>
      </c>
      <c r="AI118" s="367">
        <f t="shared" si="26"/>
        <v>3</v>
      </c>
    </row>
    <row r="119" spans="1:35" s="177" customFormat="1" ht="18" customHeight="1">
      <c r="A119" s="166" t="str">
        <f>IF(銘柄管理!B49&lt;&gt;"",HYPERLINK("https://kabutan.jp/stock/?code="&amp;銘柄管理!B49,"株探"),"")</f>
        <v>株探</v>
      </c>
      <c r="B119" s="167"/>
      <c r="C119" s="168">
        <f>IF(銘柄管理!B49="","",銘柄管理!B49)</f>
        <v>5929</v>
      </c>
      <c r="D119" s="106" t="str">
        <f>IF(銘柄管理!C49="","",銘柄管理!C49)</f>
        <v/>
      </c>
      <c r="E119" s="169" t="str">
        <f>IF(C119&lt;&gt;"",_xll.RssMarket(C119,"現在値"),"")</f>
        <v/>
      </c>
      <c r="F119" s="169" t="str">
        <f>IF(C119&lt;&gt;"",_xll.RssMarket(C119,"始値"),"")</f>
        <v/>
      </c>
      <c r="G119" s="168">
        <f>IF(C119&lt;&gt;"",終値!F49,"")</f>
        <v>3708</v>
      </c>
      <c r="H119" s="169" t="str">
        <f>IF(C119&lt;&gt;"",_xll.RssMarket(C119,"高値"),"")</f>
        <v/>
      </c>
      <c r="I119" s="169" t="str">
        <f>IF(C119&lt;&gt;"",_xll.RssMarket(C119,"安値"),"")</f>
        <v/>
      </c>
      <c r="J119" s="169" t="str">
        <f>IF(C119&lt;&gt;"",_xll.RssMarket(C119,"出来高"),"")</f>
        <v/>
      </c>
      <c r="K119" s="169" t="str">
        <f>IF(C119&lt;&gt;"",_xll.RssMarket(C119,"年初来高値"),"")</f>
        <v/>
      </c>
      <c r="L119" s="170" t="str">
        <f t="shared" si="17"/>
        <v/>
      </c>
      <c r="M119" s="169">
        <f>IF(C119&lt;&gt;"",IFERROR(AVERAGE(出来高!E49:I49),""),"")</f>
        <v>529360</v>
      </c>
      <c r="N119" s="169">
        <f>IF(C119&lt;&gt;"",IFERROR(AVERAGE(出来高!E49:AC49),""),"")</f>
        <v>601696</v>
      </c>
      <c r="O119" s="171" t="str">
        <f t="shared" si="18"/>
        <v/>
      </c>
      <c r="P119" s="166" t="str">
        <f t="shared" si="19"/>
        <v/>
      </c>
      <c r="Q119" s="166" t="str">
        <f t="shared" si="20"/>
        <v/>
      </c>
      <c r="R119" s="169" t="str">
        <f t="shared" si="27"/>
        <v/>
      </c>
      <c r="S119" s="169" t="str">
        <f t="shared" si="28"/>
        <v/>
      </c>
      <c r="T119" s="166">
        <f t="shared" si="21"/>
        <v>0</v>
      </c>
      <c r="U119" s="166" t="str">
        <f t="shared" si="29"/>
        <v>除外</v>
      </c>
      <c r="V119" s="166" t="str">
        <f t="shared" si="22"/>
        <v/>
      </c>
      <c r="W119" s="172">
        <f t="array" ref="W119">IF(C119&lt;&gt;"",IFERROR(100-100/(1+SUMPRODUCT((終値!F49:R49&gt;終値!G49:S49)*( 終値!F49:R49-終値!G49:S49))/SUMPRODUCT((終値!F49:R49&lt;終値!G49:S49)*(終値!G49:S49-終値!F49:R49))),50),"")</f>
        <v>46.917293233082709</v>
      </c>
      <c r="X119" s="173">
        <f>IF(C119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4.2008744661466153</v>
      </c>
      <c r="Y119" s="1" t="e">
        <f>IF(T119="","",IF(銘柄管理!$F$5="下落▼",IF(AND(AD119="パーフェクト▲",OR(AE119="25日線押し目●",AE119="5日線押し目○")),"★逆張り候補",IF(AND(AD119="上昇トレンド▲",OR(AE119="25日線押し目●",AE119="5日線押し目○")),"○逆張り候補",IF(W119&lt;=30,IF(Z119&gt;0,"◎反発確認",IF(Z119&lt;-5,"△要注意・様子見","△売られ過ぎ注目")),"相場下落・見送り"))),IF(AND(T119&gt;=12,AD119="パーフェクト▲"),"★強い買い",IF(AND(T119&gt;=12,AD119="上昇トレンド▲"),"★強い買い",IF(AND(T119&gt;=8,OR(AE119="25日線押し目●",AE119="5日線押し目○")),"◎押し目買い",IF(T119&gt;=10,"○買い候補",IF(T119&gt;=6,"△注目",IF(T119&gt;=3,"様子見","見送り"))))))))</f>
        <v>#VALUE!</v>
      </c>
      <c r="Z119" s="174" t="str">
        <f t="shared" si="30"/>
        <v/>
      </c>
      <c r="AA119" s="166" t="str">
        <f t="shared" si="31"/>
        <v/>
      </c>
      <c r="AB119" s="408">
        <f>IF(C119="","",IFERROR(((終値!E121*0.333)+(終値!F121*0.222)+(終値!G121*0.148)+(終値!H121*0.099)+(終値!I121*0.066)+(終値!J121*0.044)+(終値!K121*0.029)+(終値!L121*0.019)+(終値!M121*0.013)+(終値!N121*0.009))/(0.333+0.222+0.148+0.099+0.066+0.044+0.029+0.019+0.013+0.009),""))</f>
        <v>3503.5437881873718</v>
      </c>
      <c r="AC119" s="408">
        <f>IF(C119="","",IFERROR(SUMPRODUCT((終値!E121:AC121),({0.077,0.071,0.065,0.06,0.055,0.051,0.047,0.043,0.039,0.036,0.033,0.031,0.028,0.026,0.024,0.022,0.02,0.018,0.017,0.016,0.014,0.013,0.012,0.011,0.01}))/SUM({0.077,0.071,0.065,0.06,0.055,0.051,0.047,0.043,0.039,0.036,0.033,0.031,0.028,0.026,0.024,0.022,0.02,0.018,0.017,0.016,0.014,0.013,0.012,0.011,0.01}),""))</f>
        <v>3511.7640047675795</v>
      </c>
      <c r="AD119" s="409" t="str">
        <f t="shared" si="32"/>
        <v>上昇トレンド▲</v>
      </c>
      <c r="AE119" s="409" t="e">
        <f t="shared" si="33"/>
        <v>#VALUE!</v>
      </c>
      <c r="AF119" s="368">
        <f t="array" ref="AF119">IF(C119="","",IFERROR((INDEX(終値!$E:$E,MATCH(TEXT(C119,"0"),終値!$A:$A,0))-INDEX(終値!$E:$CZ,MATCH(TEXT(C119,"0"),終値!$A:$A,0),$AL$2))/INDEX(終値!$E:$CZ,MATCH(TEXT(C119,"0"),終値!$A:$A,0),$AL$2)*100,""))</f>
        <v>6.5008479366873946</v>
      </c>
      <c r="AG119" s="368">
        <f t="array" ref="AG119">IFERROR((終値!$E$5-INDEX(終値!$E$5:$CZ$5,1,$AL$2))/INDEX(終値!$E$5:$CZ$5,1,$AL$2)*100,"")</f>
        <v>2.31989243802786</v>
      </c>
      <c r="AH119" s="369">
        <f t="shared" si="25"/>
        <v>4.1809554986595341</v>
      </c>
      <c r="AI119" s="367">
        <f t="shared" si="26"/>
        <v>1</v>
      </c>
    </row>
    <row r="120" spans="1:35" s="177" customFormat="1" ht="18" customHeight="1">
      <c r="A120" s="166" t="str">
        <f>IF(銘柄管理!B55&lt;&gt;"",HYPERLINK("https://kabutan.jp/stock/?code="&amp;銘柄管理!B55,"株探"),"")</f>
        <v>株探</v>
      </c>
      <c r="B120" s="167"/>
      <c r="C120" s="168">
        <f>IF(銘柄管理!B55="","",銘柄管理!B55)</f>
        <v>5901</v>
      </c>
      <c r="D120" s="106" t="str">
        <f>IF(銘柄管理!C55="","",銘柄管理!C55)</f>
        <v/>
      </c>
      <c r="E120" s="169" t="str">
        <f>IF(C120&lt;&gt;"",_xll.RssMarket(C120,"現在値"),"")</f>
        <v/>
      </c>
      <c r="F120" s="169" t="str">
        <f>IF(C120&lt;&gt;"",_xll.RssMarket(C120,"始値"),"")</f>
        <v/>
      </c>
      <c r="G120" s="168">
        <f>IF(C120&lt;&gt;"",終値!F55,"")</f>
        <v>4027</v>
      </c>
      <c r="H120" s="169" t="str">
        <f>IF(C120&lt;&gt;"",_xll.RssMarket(C120,"高値"),"")</f>
        <v/>
      </c>
      <c r="I120" s="169" t="str">
        <f>IF(C120&lt;&gt;"",_xll.RssMarket(C120,"安値"),"")</f>
        <v/>
      </c>
      <c r="J120" s="169" t="str">
        <f>IF(C120&lt;&gt;"",_xll.RssMarket(C120,"出来高"),"")</f>
        <v/>
      </c>
      <c r="K120" s="169" t="str">
        <f>IF(C120&lt;&gt;"",_xll.RssMarket(C120,"年初来高値"),"")</f>
        <v/>
      </c>
      <c r="L120" s="170" t="str">
        <f t="shared" si="17"/>
        <v/>
      </c>
      <c r="M120" s="169">
        <f>IF(C120&lt;&gt;"",IFERROR(AVERAGE(出来高!E55:I55),""),"")</f>
        <v>199680</v>
      </c>
      <c r="N120" s="169">
        <f>IF(C120&lt;&gt;"",IFERROR(AVERAGE(出来高!E55:AC55),""),"")</f>
        <v>237288</v>
      </c>
      <c r="O120" s="171" t="str">
        <f t="shared" si="18"/>
        <v/>
      </c>
      <c r="P120" s="166" t="str">
        <f t="shared" si="19"/>
        <v/>
      </c>
      <c r="Q120" s="166" t="str">
        <f t="shared" si="20"/>
        <v/>
      </c>
      <c r="R120" s="169" t="str">
        <f t="shared" si="27"/>
        <v/>
      </c>
      <c r="S120" s="169" t="str">
        <f t="shared" si="28"/>
        <v/>
      </c>
      <c r="T120" s="166">
        <f t="shared" si="21"/>
        <v>0</v>
      </c>
      <c r="U120" s="166" t="str">
        <f t="shared" si="29"/>
        <v>除外</v>
      </c>
      <c r="V120" s="166" t="str">
        <f t="shared" si="22"/>
        <v/>
      </c>
      <c r="W120" s="172">
        <f t="array" ref="W120">IF(C120&lt;&gt;"",IFERROR(100-100/(1+SUMPRODUCT((終値!F55:R55&gt;終値!G55:S55)*( 終値!F55:R55-終値!G55:S55))/SUMPRODUCT((終値!F55:R55&lt;終値!G55:S55)*(終値!G55:S55-終値!F55:R55))),50),"")</f>
        <v>40.186915887850468</v>
      </c>
      <c r="X120" s="173">
        <f>IF(C120&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-4.4640541476428552</v>
      </c>
      <c r="Y120" s="1" t="e">
        <f>IF(T120="","",IF(銘柄管理!$F$5="下落▼",IF(AND(AD120="パーフェクト▲",OR(AE120="25日線押し目●",AE120="5日線押し目○")),"★逆張り候補",IF(AND(AD120="上昇トレンド▲",OR(AE120="25日線押し目●",AE120="5日線押し目○")),"○逆張り候補",IF(W120&lt;=30,IF(Z120&gt;0,"◎反発確認",IF(Z120&lt;-5,"△要注意・様子見","△売られ過ぎ注目")),"相場下落・見送り"))),IF(AND(T120&gt;=12,AD120="パーフェクト▲"),"★強い買い",IF(AND(T120&gt;=12,AD120="上昇トレンド▲"),"★強い買い",IF(AND(T120&gt;=8,OR(AE120="25日線押し目●",AE120="5日線押し目○")),"◎押し目買い",IF(T120&gt;=10,"○買い候補",IF(T120&gt;=6,"△注目",IF(T120&gt;=3,"様子見","見送り"))))))))</f>
        <v>#VALUE!</v>
      </c>
      <c r="Z120" s="174" t="str">
        <f t="shared" si="30"/>
        <v/>
      </c>
      <c r="AA120" s="166" t="str">
        <f t="shared" si="31"/>
        <v/>
      </c>
      <c r="AB120" s="406">
        <f>IF(C120="","",IFERROR(((終値!E122*0.333)+(終値!F122*0.222)+(終値!G122*0.148)+(終値!H122*0.099)+(終値!I122*0.066)+(終値!J122*0.044)+(終値!K122*0.029)+(終値!L122*0.019)+(終値!M122*0.013)+(終値!N122*0.009))/(0.333+0.222+0.148+0.099+0.066+0.044+0.029+0.019+0.013+0.009),""))</f>
        <v>2513.8915478615068</v>
      </c>
      <c r="AC120" s="406">
        <f>IF(C120="","",IFERROR(SUMPRODUCT((終値!E122:AC122),({0.077,0.071,0.065,0.06,0.055,0.051,0.047,0.043,0.039,0.036,0.033,0.031,0.028,0.026,0.024,0.022,0.02,0.018,0.017,0.016,0.014,0.013,0.012,0.011,0.01}))/SUM({0.077,0.071,0.065,0.06,0.055,0.051,0.047,0.043,0.039,0.036,0.033,0.031,0.028,0.026,0.024,0.022,0.02,0.018,0.017,0.016,0.014,0.013,0.012,0.011,0.01}),""))</f>
        <v>2440.805125148986</v>
      </c>
      <c r="AD120" s="407" t="str">
        <f t="shared" si="32"/>
        <v>パーフェクト▲</v>
      </c>
      <c r="AE120" s="407" t="e">
        <f t="shared" si="33"/>
        <v>#VALUE!</v>
      </c>
      <c r="AF120" s="368">
        <f t="array" ref="AF120">IF(C120="","",IFERROR((INDEX(終値!$E:$E,MATCH(TEXT(C120,"0"),終値!$A:$A,0))-INDEX(終値!$E:$CZ,MATCH(TEXT(C120,"0"),終値!$A:$A,0),$AL$2))/INDEX(終値!$E:$CZ,MATCH(TEXT(C120,"0"),終値!$A:$A,0),$AL$2)*100,""))</f>
        <v>5.4919312857886515</v>
      </c>
      <c r="AG120" s="368">
        <f t="array" ref="AG120">IFERROR((終値!$E$5-INDEX(終値!$E$5:$CZ$5,1,$AL$2))/INDEX(終値!$E$5:$CZ$5,1,$AL$2)*100,"")</f>
        <v>2.31989243802786</v>
      </c>
      <c r="AH120" s="369">
        <f t="shared" si="25"/>
        <v>3.1720388477607915</v>
      </c>
      <c r="AI120" s="367">
        <f t="shared" si="26"/>
        <v>1</v>
      </c>
    </row>
    <row r="121" spans="1:35" s="177" customFormat="1" ht="18" customHeight="1">
      <c r="A121" s="166" t="str">
        <f>IF(銘柄管理!B89&lt;&gt;"",HYPERLINK("https://kabutan.jp/stock/?code="&amp;銘柄管理!B89,"株探"),"")</f>
        <v>株探</v>
      </c>
      <c r="B121" s="167"/>
      <c r="C121" s="168">
        <f>IF(銘柄管理!B89="","",銘柄管理!B89)</f>
        <v>5892</v>
      </c>
      <c r="D121" s="106" t="str">
        <f>IF(銘柄管理!C89="","",銘柄管理!C89)</f>
        <v/>
      </c>
      <c r="E121" s="169" t="str">
        <f>IF(C121&lt;&gt;"",_xll.RssMarket(C121,"現在値"),"")</f>
        <v/>
      </c>
      <c r="F121" s="169" t="str">
        <f>IF(C121&lt;&gt;"",_xll.RssMarket(C121,"始値"),"")</f>
        <v/>
      </c>
      <c r="G121" s="168">
        <f>IF(C121&lt;&gt;"",終値!F89,"")</f>
        <v>2093</v>
      </c>
      <c r="H121" s="169" t="str">
        <f>IF(C121&lt;&gt;"",_xll.RssMarket(C121,"高値"),"")</f>
        <v/>
      </c>
      <c r="I121" s="169" t="str">
        <f>IF(C121&lt;&gt;"",_xll.RssMarket(C121,"安値"),"")</f>
        <v/>
      </c>
      <c r="J121" s="169" t="str">
        <f>IF(C121&lt;&gt;"",_xll.RssMarket(C121,"出来高"),"")</f>
        <v/>
      </c>
      <c r="K121" s="169" t="str">
        <f>IF(C121&lt;&gt;"",_xll.RssMarket(C121,"年初来高値"),"")</f>
        <v/>
      </c>
      <c r="L121" s="170" t="str">
        <f t="shared" si="17"/>
        <v/>
      </c>
      <c r="M121" s="169">
        <f>IF(C121&lt;&gt;"",IFERROR(AVERAGE(出来高!E89:I89),""),"")</f>
        <v>65860</v>
      </c>
      <c r="N121" s="169">
        <f>IF(C121&lt;&gt;"",IFERROR(AVERAGE(出来高!E89:AC89),""),"")</f>
        <v>56900</v>
      </c>
      <c r="O121" s="171" t="str">
        <f t="shared" si="18"/>
        <v/>
      </c>
      <c r="P121" s="166" t="str">
        <f t="shared" si="19"/>
        <v/>
      </c>
      <c r="Q121" s="166" t="str">
        <f t="shared" si="20"/>
        <v/>
      </c>
      <c r="R121" s="169" t="str">
        <f t="shared" si="27"/>
        <v/>
      </c>
      <c r="S121" s="169" t="str">
        <f t="shared" si="28"/>
        <v/>
      </c>
      <c r="T121" s="166">
        <f t="shared" si="21"/>
        <v>0</v>
      </c>
      <c r="U121" s="166" t="str">
        <f t="shared" si="29"/>
        <v>除外</v>
      </c>
      <c r="V121" s="166" t="str">
        <f t="shared" si="22"/>
        <v/>
      </c>
      <c r="W121" s="172">
        <f t="array" ref="W121">IF(C121&lt;&gt;"",IFERROR(100-100/(1+SUMPRODUCT((終値!F89:R89&gt;終値!G89:S89)*( 終値!F89:R89-終値!G89:S89))/SUMPRODUCT((終値!F89:R89&lt;終値!G89:S89)*(終値!G89:S89-終値!F89:R89))),50),"")</f>
        <v>60.696517412935329</v>
      </c>
      <c r="X121" s="173">
        <f>IF(C121&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2.8819908533314447</v>
      </c>
      <c r="Y121" s="1" t="e">
        <f>IF(T121="","",IF(銘柄管理!$F$5="下落▼",IF(AND(AD121="パーフェクト▲",OR(AE121="25日線押し目●",AE121="5日線押し目○")),"★逆張り候補",IF(AND(AD121="上昇トレンド▲",OR(AE121="25日線押し目●",AE121="5日線押し目○")),"○逆張り候補",IF(W121&lt;=30,IF(Z121&gt;0,"◎反発確認",IF(Z121&lt;-5,"△要注意・様子見","△売られ過ぎ注目")),"相場下落・見送り"))),IF(AND(T121&gt;=12,AD121="パーフェクト▲"),"★強い買い",IF(AND(T121&gt;=12,AD121="上昇トレンド▲"),"★強い買い",IF(AND(T121&gt;=8,OR(AE121="25日線押し目●",AE121="5日線押し目○")),"◎押し目買い",IF(T121&gt;=10,"○買い候補",IF(T121&gt;=6,"△注目",IF(T121&gt;=3,"様子見","見送り"))))))))</f>
        <v>#VALUE!</v>
      </c>
      <c r="Z121" s="174" t="str">
        <f t="shared" si="30"/>
        <v/>
      </c>
      <c r="AA121" s="166" t="str">
        <f t="shared" si="31"/>
        <v/>
      </c>
      <c r="AB121" s="408">
        <f>IF(C121="","",IFERROR(((終値!E123*0.333)+(終値!F123*0.222)+(終値!G123*0.148)+(終値!H123*0.099)+(終値!I123*0.066)+(終値!J123*0.044)+(終値!K123*0.029)+(終値!L123*0.019)+(終値!M123*0.013)+(終値!N123*0.009))/(0.333+0.222+0.148+0.099+0.066+0.044+0.029+0.019+0.013+0.009),""))</f>
        <v>2547.0397148676161</v>
      </c>
      <c r="AC121" s="408">
        <f>IF(C121="","",IFERROR(SUMPRODUCT((終値!E123:AC123),({0.077,0.071,0.065,0.06,0.055,0.051,0.047,0.043,0.039,0.036,0.033,0.031,0.028,0.026,0.024,0.022,0.02,0.018,0.017,0.016,0.014,0.013,0.012,0.011,0.01}))/SUM({0.077,0.071,0.065,0.06,0.055,0.051,0.047,0.043,0.039,0.036,0.033,0.031,0.028,0.026,0.024,0.022,0.02,0.018,0.017,0.016,0.014,0.013,0.012,0.011,0.01}),""))</f>
        <v>2487.6620977353982</v>
      </c>
      <c r="AD121" s="409" t="str">
        <f t="shared" si="32"/>
        <v>パーフェクト▲</v>
      </c>
      <c r="AE121" s="409" t="e">
        <f t="shared" si="33"/>
        <v>#VALUE!</v>
      </c>
      <c r="AF121" s="368">
        <f t="array" ref="AF121">IF(C121="","",IFERROR((INDEX(終値!$E:$E,MATCH(TEXT(C121,"0"),終値!$A:$A,0))-INDEX(終値!$E:$CZ,MATCH(TEXT(C121,"0"),終値!$A:$A,0),$AL$2))/INDEX(終値!$E:$CZ,MATCH(TEXT(C121,"0"),終値!$A:$A,0),$AL$2)*100,""))</f>
        <v>-8.8539325842696623</v>
      </c>
      <c r="AG121" s="368">
        <f t="array" ref="AG121">IFERROR((終値!$E$5-INDEX(終値!$E$5:$CZ$5,1,$AL$2))/INDEX(終値!$E$5:$CZ$5,1,$AL$2)*100,"")</f>
        <v>2.31989243802786</v>
      </c>
      <c r="AH121" s="369">
        <f t="shared" si="25"/>
        <v>-11.173825022297523</v>
      </c>
      <c r="AI121" s="367">
        <f t="shared" si="26"/>
        <v>-2</v>
      </c>
    </row>
    <row r="122" spans="1:35" s="177" customFormat="1" ht="18" customHeight="1">
      <c r="A122" s="166" t="str">
        <f>IF(銘柄管理!B62&lt;&gt;"",HYPERLINK("https://kabutan.jp/stock/?code="&amp;銘柄管理!B62,"株探"),"")</f>
        <v>株探</v>
      </c>
      <c r="B122" s="167"/>
      <c r="C122" s="168">
        <f>IF(銘柄管理!B62="","",銘柄管理!B62)</f>
        <v>5857</v>
      </c>
      <c r="D122" s="106" t="str">
        <f>IF(銘柄管理!C62="","",銘柄管理!C62)</f>
        <v/>
      </c>
      <c r="E122" s="169" t="str">
        <f>IF(C122&lt;&gt;"",_xll.RssMarket(C122,"現在値"),"")</f>
        <v/>
      </c>
      <c r="F122" s="169" t="str">
        <f>IF(C122&lt;&gt;"",_xll.RssMarket(C122,"始値"),"")</f>
        <v/>
      </c>
      <c r="G122" s="168">
        <f>IF(C122&lt;&gt;"",終値!F62,"")</f>
        <v>3085</v>
      </c>
      <c r="H122" s="169" t="str">
        <f>IF(C122&lt;&gt;"",_xll.RssMarket(C122,"高値"),"")</f>
        <v/>
      </c>
      <c r="I122" s="169" t="str">
        <f>IF(C122&lt;&gt;"",_xll.RssMarket(C122,"安値"),"")</f>
        <v/>
      </c>
      <c r="J122" s="169" t="str">
        <f>IF(C122&lt;&gt;"",_xll.RssMarket(C122,"出来高"),"")</f>
        <v/>
      </c>
      <c r="K122" s="169" t="str">
        <f>IF(C122&lt;&gt;"",_xll.RssMarket(C122,"年初来高値"),"")</f>
        <v/>
      </c>
      <c r="L122" s="170" t="str">
        <f t="shared" si="17"/>
        <v/>
      </c>
      <c r="M122" s="169">
        <f>IF(C122&lt;&gt;"",IFERROR(AVERAGE(出来高!E62:I62),""),"")</f>
        <v>768620</v>
      </c>
      <c r="N122" s="169">
        <f>IF(C122&lt;&gt;"",IFERROR(AVERAGE(出来高!E62:AC62),""),"")</f>
        <v>685452</v>
      </c>
      <c r="O122" s="171" t="str">
        <f t="shared" si="18"/>
        <v/>
      </c>
      <c r="P122" s="166" t="str">
        <f t="shared" si="19"/>
        <v/>
      </c>
      <c r="Q122" s="166" t="str">
        <f t="shared" si="20"/>
        <v/>
      </c>
      <c r="R122" s="169" t="str">
        <f t="shared" si="27"/>
        <v/>
      </c>
      <c r="S122" s="169" t="str">
        <f t="shared" si="28"/>
        <v/>
      </c>
      <c r="T122" s="166">
        <f t="shared" si="21"/>
        <v>0</v>
      </c>
      <c r="U122" s="166" t="str">
        <f t="shared" si="29"/>
        <v>除外</v>
      </c>
      <c r="V122" s="166" t="str">
        <f t="shared" si="22"/>
        <v/>
      </c>
      <c r="W122" s="172">
        <f t="array" ref="W122">IF(C122&lt;&gt;"",IFERROR(100-100/(1+SUMPRODUCT((終値!F62:R62&gt;終値!G62:S62)*( 終値!F62:R62-終値!G62:S62))/SUMPRODUCT((終値!F62:R62&lt;終値!G62:S62)*(終値!G62:S62-終値!F62:R62))),50),"")</f>
        <v>49.684741488020173</v>
      </c>
      <c r="X122" s="173">
        <f>IF(C122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-11.322857916165958</v>
      </c>
      <c r="Y122" s="1" t="e">
        <f>IF(T122="","",IF(銘柄管理!$F$5="下落▼",IF(AND(AD122="パーフェクト▲",OR(AE122="25日線押し目●",AE122="5日線押し目○")),"★逆張り候補",IF(AND(AD122="上昇トレンド▲",OR(AE122="25日線押し目●",AE122="5日線押し目○")),"○逆張り候補",IF(W122&lt;=30,IF(Z122&gt;0,"◎反発確認",IF(Z122&lt;-5,"△要注意・様子見","△売られ過ぎ注目")),"相場下落・見送り"))),IF(AND(T122&gt;=12,AD122="パーフェクト▲"),"★強い買い",IF(AND(T122&gt;=12,AD122="上昇トレンド▲"),"★強い買い",IF(AND(T122&gt;=8,OR(AE122="25日線押し目●",AE122="5日線押し目○")),"◎押し目買い",IF(T122&gt;=10,"○買い候補",IF(T122&gt;=6,"△注目",IF(T122&gt;=3,"様子見","見送り"))))))))</f>
        <v>#VALUE!</v>
      </c>
      <c r="Z122" s="174" t="str">
        <f t="shared" si="30"/>
        <v/>
      </c>
      <c r="AA122" s="166" t="str">
        <f t="shared" si="31"/>
        <v/>
      </c>
      <c r="AB122" s="406">
        <f>IF(C122="","",IFERROR(((終値!E124*0.333)+(終値!F124*0.222)+(終値!G124*0.148)+(終値!H124*0.099)+(終値!I124*0.066)+(終値!J124*0.044)+(終値!K124*0.029)+(終値!L124*0.019)+(終値!M124*0.013)+(終値!N124*0.009))/(0.333+0.222+0.148+0.099+0.066+0.044+0.029+0.019+0.013+0.009),""))</f>
        <v>1537.7016293279019</v>
      </c>
      <c r="AC122" s="406">
        <f>IF(C122="","",IFERROR(SUMPRODUCT((終値!E124:AC124),({0.077,0.071,0.065,0.06,0.055,0.051,0.047,0.043,0.039,0.036,0.033,0.031,0.028,0.026,0.024,0.022,0.02,0.018,0.017,0.016,0.014,0.013,0.012,0.011,0.01}))/SUM({0.077,0.071,0.065,0.06,0.055,0.051,0.047,0.043,0.039,0.036,0.033,0.031,0.028,0.026,0.024,0.022,0.02,0.018,0.017,0.016,0.014,0.013,0.012,0.011,0.01}),""))</f>
        <v>1520.7365911799754</v>
      </c>
      <c r="AD122" s="407" t="str">
        <f t="shared" si="32"/>
        <v>パーフェクト▲</v>
      </c>
      <c r="AE122" s="407" t="e">
        <f t="shared" si="33"/>
        <v>#VALUE!</v>
      </c>
      <c r="AF122" s="368">
        <f t="array" ref="AF122">IF(C122="","",IFERROR((INDEX(終値!$E:$E,MATCH(TEXT(C122,"0"),終値!$A:$A,0))-INDEX(終値!$E:$CZ,MATCH(TEXT(C122,"0"),終値!$A:$A,0),$AL$2))/INDEX(終値!$E:$CZ,MATCH(TEXT(C122,"0"),終値!$A:$A,0),$AL$2)*100,""))</f>
        <v>-7.7044025157232703</v>
      </c>
      <c r="AG122" s="368">
        <f t="array" ref="AG122">IFERROR((終値!$E$5-INDEX(終値!$E$5:$CZ$5,1,$AL$2))/INDEX(終値!$E$5:$CZ$5,1,$AL$2)*100,"")</f>
        <v>2.31989243802786</v>
      </c>
      <c r="AH122" s="369">
        <f t="shared" si="25"/>
        <v>-10.024294953751131</v>
      </c>
      <c r="AI122" s="367">
        <f t="shared" si="26"/>
        <v>-2</v>
      </c>
    </row>
    <row r="123" spans="1:35" s="177" customFormat="1" ht="18" customHeight="1">
      <c r="A123" s="166" t="str">
        <f>IF(銘柄管理!B118&lt;&gt;"",HYPERLINK("https://kabutan.jp/stock/?code="&amp;銘柄管理!B118,"株探"),"")</f>
        <v>株探</v>
      </c>
      <c r="B123" s="167"/>
      <c r="C123" s="168">
        <f>IF(銘柄管理!B118="","",銘柄管理!B118)</f>
        <v>5844</v>
      </c>
      <c r="D123" s="106" t="str">
        <f>IF(銘柄管理!C118="","",銘柄管理!C118)</f>
        <v/>
      </c>
      <c r="E123" s="169" t="str">
        <f>IF(C123&lt;&gt;"",_xll.RssMarket(C123,"現在値"),"")</f>
        <v/>
      </c>
      <c r="F123" s="169" t="str">
        <f>IF(C123&lt;&gt;"",_xll.RssMarket(C123,"始値"),"")</f>
        <v/>
      </c>
      <c r="G123" s="168">
        <f>IF(C123&lt;&gt;"",終値!F118,"")</f>
        <v>4770</v>
      </c>
      <c r="H123" s="169" t="str">
        <f>IF(C123&lt;&gt;"",_xll.RssMarket(C123,"高値"),"")</f>
        <v/>
      </c>
      <c r="I123" s="169" t="str">
        <f>IF(C123&lt;&gt;"",_xll.RssMarket(C123,"安値"),"")</f>
        <v/>
      </c>
      <c r="J123" s="169" t="str">
        <f>IF(C123&lt;&gt;"",_xll.RssMarket(C123,"出来高"),"")</f>
        <v/>
      </c>
      <c r="K123" s="169" t="str">
        <f>IF(C123&lt;&gt;"",_xll.RssMarket(C123,"年初来高値"),"")</f>
        <v/>
      </c>
      <c r="L123" s="170" t="str">
        <f t="shared" si="17"/>
        <v/>
      </c>
      <c r="M123" s="169">
        <f>IF(C123&lt;&gt;"",IFERROR(AVERAGE(出来高!E118:I118),""),"")</f>
        <v>798040</v>
      </c>
      <c r="N123" s="169">
        <f>IF(C123&lt;&gt;"",IFERROR(AVERAGE(出来高!E118:AC118),""),"")</f>
        <v>1116060</v>
      </c>
      <c r="O123" s="171" t="str">
        <f t="shared" si="18"/>
        <v/>
      </c>
      <c r="P123" s="166" t="str">
        <f t="shared" si="19"/>
        <v/>
      </c>
      <c r="Q123" s="166" t="str">
        <f t="shared" si="20"/>
        <v/>
      </c>
      <c r="R123" s="169" t="str">
        <f t="shared" si="27"/>
        <v/>
      </c>
      <c r="S123" s="169" t="str">
        <f t="shared" si="28"/>
        <v/>
      </c>
      <c r="T123" s="166">
        <f t="shared" si="21"/>
        <v>0</v>
      </c>
      <c r="U123" s="166" t="str">
        <f t="shared" si="29"/>
        <v>除外</v>
      </c>
      <c r="V123" s="166" t="str">
        <f t="shared" si="22"/>
        <v/>
      </c>
      <c r="W123" s="172">
        <f t="array" ref="W123">IF(C123&lt;&gt;"",IFERROR(100-100/(1+SUMPRODUCT((終値!F118:R118&gt;終値!G118:S118)*( 終値!F118:R118-終値!G118:S118))/SUMPRODUCT((終値!F118:R118&lt;終値!G118:S118)*(終値!G118:S118-終値!F118:R118))),50),"")</f>
        <v>66.256830601092901</v>
      </c>
      <c r="X123" s="173">
        <f>IF(C123&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12.096814188879762</v>
      </c>
      <c r="Y123" s="1" t="e">
        <f>IF(T123="","",IF(銘柄管理!$F$5="下落▼",IF(AND(AD123="パーフェクト▲",OR(AE123="25日線押し目●",AE123="5日線押し目○")),"★逆張り候補",IF(AND(AD123="上昇トレンド▲",OR(AE123="25日線押し目●",AE123="5日線押し目○")),"○逆張り候補",IF(W123&lt;=30,IF(Z123&gt;0,"◎反発確認",IF(Z123&lt;-5,"△要注意・様子見","△売られ過ぎ注目")),"相場下落・見送り"))),IF(AND(T123&gt;=12,AD123="パーフェクト▲"),"★強い買い",IF(AND(T123&gt;=12,AD123="上昇トレンド▲"),"★強い買い",IF(AND(T123&gt;=8,OR(AE123="25日線押し目●",AE123="5日線押し目○")),"◎押し目買い",IF(T123&gt;=10,"○買い候補",IF(T123&gt;=6,"△注目",IF(T123&gt;=3,"様子見","見送り"))))))))</f>
        <v>#VALUE!</v>
      </c>
      <c r="Z123" s="174" t="str">
        <f t="shared" si="30"/>
        <v/>
      </c>
      <c r="AA123" s="166" t="str">
        <f t="shared" si="31"/>
        <v/>
      </c>
      <c r="AB123" s="408">
        <f>IF(C123="","",IFERROR(((終値!E125*0.333)+(終値!F125*0.222)+(終値!G125*0.148)+(終値!H125*0.099)+(終値!I125*0.066)+(終値!J125*0.044)+(終値!K125*0.029)+(終値!L125*0.019)+(終値!M125*0.013)+(終値!N125*0.009))/(0.333+0.222+0.148+0.099+0.066+0.044+0.029+0.019+0.013+0.009),""))</f>
        <v>2504.27698574338</v>
      </c>
      <c r="AC123" s="408">
        <f>IF(C123="","",IFERROR(SUMPRODUCT((終値!E125:AC125),({0.077,0.071,0.065,0.06,0.055,0.051,0.047,0.043,0.039,0.036,0.033,0.031,0.028,0.026,0.024,0.022,0.02,0.018,0.017,0.016,0.014,0.013,0.012,0.011,0.01}))/SUM({0.077,0.071,0.065,0.06,0.055,0.051,0.047,0.043,0.039,0.036,0.033,0.031,0.028,0.026,0.024,0.022,0.02,0.018,0.017,0.016,0.014,0.013,0.012,0.011,0.01}),""))</f>
        <v>2454.747318235994</v>
      </c>
      <c r="AD123" s="409" t="str">
        <f t="shared" si="32"/>
        <v>パーフェクト▲</v>
      </c>
      <c r="AE123" s="409" t="e">
        <f t="shared" si="33"/>
        <v>#VALUE!</v>
      </c>
      <c r="AF123" s="368">
        <f t="array" ref="AF123">IF(C123="","",IFERROR((INDEX(終値!$E:$E,MATCH(TEXT(C123,"0"),終値!$A:$A,0))-INDEX(終値!$E:$CZ,MATCH(TEXT(C123,"0"),終値!$A:$A,0),$AL$2))/INDEX(終値!$E:$CZ,MATCH(TEXT(C123,"0"),終値!$A:$A,0),$AL$2)*100,""))</f>
        <v>-4.1748633879781423</v>
      </c>
      <c r="AG123" s="368">
        <f t="array" ref="AG123">IFERROR((終値!$E$5-INDEX(終値!$E$5:$CZ$5,1,$AL$2))/INDEX(終値!$E$5:$CZ$5,1,$AL$2)*100,"")</f>
        <v>2.31989243802786</v>
      </c>
      <c r="AH123" s="369">
        <f t="shared" si="25"/>
        <v>-6.4947558260060028</v>
      </c>
      <c r="AI123" s="367">
        <f t="shared" si="26"/>
        <v>-2</v>
      </c>
    </row>
    <row r="124" spans="1:35" s="177" customFormat="1" ht="18" customHeight="1">
      <c r="A124" s="166" t="str">
        <f>IF(銘柄管理!B117&lt;&gt;"",HYPERLINK("https://kabutan.jp/stock/?code="&amp;銘柄管理!B117,"株探"),"")</f>
        <v>株探</v>
      </c>
      <c r="B124" s="167"/>
      <c r="C124" s="168">
        <f>IF(銘柄管理!B117="","",銘柄管理!B117)</f>
        <v>5838</v>
      </c>
      <c r="D124" s="106" t="str">
        <f>IF(銘柄管理!C117="","",銘柄管理!C117)</f>
        <v/>
      </c>
      <c r="E124" s="169" t="str">
        <f>IF(C124&lt;&gt;"",_xll.RssMarket(C124,"現在値"),"")</f>
        <v/>
      </c>
      <c r="F124" s="169" t="str">
        <f>IF(C124&lt;&gt;"",_xll.RssMarket(C124,"始値"),"")</f>
        <v/>
      </c>
      <c r="G124" s="168">
        <f>IF(C124&lt;&gt;"",終値!F117,"")</f>
        <v>5680</v>
      </c>
      <c r="H124" s="169" t="str">
        <f>IF(C124&lt;&gt;"",_xll.RssMarket(C124,"高値"),"")</f>
        <v/>
      </c>
      <c r="I124" s="169" t="str">
        <f>IF(C124&lt;&gt;"",_xll.RssMarket(C124,"安値"),"")</f>
        <v/>
      </c>
      <c r="J124" s="169" t="str">
        <f>IF(C124&lt;&gt;"",_xll.RssMarket(C124,"出来高"),"")</f>
        <v/>
      </c>
      <c r="K124" s="169" t="str">
        <f>IF(C124&lt;&gt;"",_xll.RssMarket(C124,"年初来高値"),"")</f>
        <v/>
      </c>
      <c r="L124" s="170" t="str">
        <f t="shared" si="17"/>
        <v/>
      </c>
      <c r="M124" s="169">
        <f>IF(C124&lt;&gt;"",IFERROR(AVERAGE(出来高!E117:I117),""),"")</f>
        <v>1101260</v>
      </c>
      <c r="N124" s="169">
        <f>IF(C124&lt;&gt;"",IFERROR(AVERAGE(出来高!E117:AC117),""),"")</f>
        <v>1321644</v>
      </c>
      <c r="O124" s="171" t="str">
        <f t="shared" si="18"/>
        <v/>
      </c>
      <c r="P124" s="166" t="str">
        <f t="shared" si="19"/>
        <v/>
      </c>
      <c r="Q124" s="166" t="str">
        <f t="shared" si="20"/>
        <v/>
      </c>
      <c r="R124" s="169" t="str">
        <f t="shared" si="27"/>
        <v/>
      </c>
      <c r="S124" s="169" t="str">
        <f t="shared" si="28"/>
        <v/>
      </c>
      <c r="T124" s="166">
        <f t="shared" si="21"/>
        <v>0</v>
      </c>
      <c r="U124" s="166" t="str">
        <f t="shared" si="29"/>
        <v>除外</v>
      </c>
      <c r="V124" s="166" t="str">
        <f t="shared" si="22"/>
        <v/>
      </c>
      <c r="W124" s="172">
        <f t="array" ref="W124">IF(C124&lt;&gt;"",IFERROR(100-100/(1+SUMPRODUCT((終値!F117:R117&gt;終値!G117:S117)*( 終値!F117:R117-終値!G117:S117))/SUMPRODUCT((終値!F117:R117&lt;終値!G117:S117)*(終値!G117:S117-終値!F117:R117))),50),"")</f>
        <v>78.764805414551603</v>
      </c>
      <c r="X124" s="173">
        <f>IF(C124&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82.517133088416813</v>
      </c>
      <c r="Y124" s="1" t="e">
        <f>IF(T124="","",IF(銘柄管理!$F$5="下落▼",IF(AND(AD124="パーフェクト▲",OR(AE124="25日線押し目●",AE124="5日線押し目○")),"★逆張り候補",IF(AND(AD124="上昇トレンド▲",OR(AE124="25日線押し目●",AE124="5日線押し目○")),"○逆張り候補",IF(W124&lt;=30,IF(Z124&gt;0,"◎反発確認",IF(Z124&lt;-5,"△要注意・様子見","△売られ過ぎ注目")),"相場下落・見送り"))),IF(AND(T124&gt;=12,AD124="パーフェクト▲"),"★強い買い",IF(AND(T124&gt;=12,AD124="上昇トレンド▲"),"★強い買い",IF(AND(T124&gt;=8,OR(AE124="25日線押し目●",AE124="5日線押し目○")),"◎押し目買い",IF(T124&gt;=10,"○買い候補",IF(T124&gt;=6,"△注目",IF(T124&gt;=3,"様子見","見送り"))))))))</f>
        <v>#VALUE!</v>
      </c>
      <c r="Z124" s="174" t="str">
        <f t="shared" si="30"/>
        <v/>
      </c>
      <c r="AA124" s="166" t="str">
        <f t="shared" si="31"/>
        <v/>
      </c>
      <c r="AB124" s="406">
        <f>IF(C124="","",IFERROR(((終値!E126*0.333)+(終値!F126*0.222)+(終値!G126*0.148)+(終値!H126*0.099)+(終値!I126*0.066)+(終値!J126*0.044)+(終値!K126*0.029)+(終値!L126*0.019)+(終値!M126*0.013)+(終値!N126*0.009))/(0.333+0.222+0.148+0.099+0.066+0.044+0.029+0.019+0.013+0.009),""))</f>
        <v>1008.0244399185333</v>
      </c>
      <c r="AC124" s="406">
        <f>IF(C124="","",IFERROR(SUMPRODUCT((終値!E126:AC126),({0.077,0.071,0.065,0.06,0.055,0.051,0.047,0.043,0.039,0.036,0.033,0.031,0.028,0.026,0.024,0.022,0.02,0.018,0.017,0.016,0.014,0.013,0.012,0.011,0.01}))/SUM({0.077,0.071,0.065,0.06,0.055,0.051,0.047,0.043,0.039,0.036,0.033,0.031,0.028,0.026,0.024,0.022,0.02,0.018,0.017,0.016,0.014,0.013,0.012,0.011,0.01}),""))</f>
        <v>1001.9415971394511</v>
      </c>
      <c r="AD124" s="407" t="str">
        <f t="shared" si="32"/>
        <v>パーフェクト▲</v>
      </c>
      <c r="AE124" s="407" t="e">
        <f t="shared" si="33"/>
        <v>#VALUE!</v>
      </c>
      <c r="AF124" s="368">
        <f t="array" ref="AF124">IF(C124="","",IFERROR((INDEX(終値!$E:$E,MATCH(TEXT(C124,"0"),終値!$A:$A,0))-INDEX(終値!$E:$CZ,MATCH(TEXT(C124,"0"),終値!$A:$A,0),$AL$2))/INDEX(終値!$E:$CZ,MATCH(TEXT(C124,"0"),終値!$A:$A,0),$AL$2)*100,""))</f>
        <v>5.4747474747474749</v>
      </c>
      <c r="AG124" s="368">
        <f t="array" ref="AG124">IFERROR((終値!$E$5-INDEX(終値!$E$5:$CZ$5,1,$AL$2))/INDEX(終値!$E$5:$CZ$5,1,$AL$2)*100,"")</f>
        <v>2.31989243802786</v>
      </c>
      <c r="AH124" s="369">
        <f t="shared" si="25"/>
        <v>3.1548550367196149</v>
      </c>
      <c r="AI124" s="367">
        <f t="shared" si="26"/>
        <v>1</v>
      </c>
    </row>
    <row r="125" spans="1:35" s="177" customFormat="1" ht="18" customHeight="1">
      <c r="A125" s="166" t="str">
        <f>IF(銘柄管理!B103&lt;&gt;"",HYPERLINK("https://kabutan.jp/stock/?code="&amp;銘柄管理!B103,"株探"),"")</f>
        <v>株探</v>
      </c>
      <c r="B125" s="167"/>
      <c r="C125" s="168">
        <f>IF(銘柄管理!B103="","",銘柄管理!B103)</f>
        <v>5803</v>
      </c>
      <c r="D125" s="106" t="str">
        <f>IF(銘柄管理!C103="","",銘柄管理!C103)</f>
        <v/>
      </c>
      <c r="E125" s="169" t="str">
        <f>IF(C125&lt;&gt;"",_xll.RssMarket(C125,"現在値"),"")</f>
        <v/>
      </c>
      <c r="F125" s="169" t="str">
        <f>IF(C125&lt;&gt;"",_xll.RssMarket(C125,"始値"),"")</f>
        <v/>
      </c>
      <c r="G125" s="168">
        <f>IF(C125&lt;&gt;"",終値!F103,"")</f>
        <v>5145</v>
      </c>
      <c r="H125" s="169" t="str">
        <f>IF(C125&lt;&gt;"",_xll.RssMarket(C125,"高値"),"")</f>
        <v/>
      </c>
      <c r="I125" s="169" t="str">
        <f>IF(C125&lt;&gt;"",_xll.RssMarket(C125,"安値"),"")</f>
        <v/>
      </c>
      <c r="J125" s="169" t="str">
        <f>IF(C125&lt;&gt;"",_xll.RssMarket(C125,"出来高"),"")</f>
        <v/>
      </c>
      <c r="K125" s="169" t="str">
        <f>IF(C125&lt;&gt;"",_xll.RssMarket(C125,"年初来高値"),"")</f>
        <v/>
      </c>
      <c r="L125" s="170" t="str">
        <f t="shared" si="17"/>
        <v/>
      </c>
      <c r="M125" s="169">
        <f>IF(C125&lt;&gt;"",IFERROR(AVERAGE(出来高!E103:I103),""),"")</f>
        <v>41582880</v>
      </c>
      <c r="N125" s="169">
        <f>IF(C125&lt;&gt;"",IFERROR(AVERAGE(出来高!E103:AC103),""),"")</f>
        <v>47317728</v>
      </c>
      <c r="O125" s="171" t="str">
        <f t="shared" si="18"/>
        <v/>
      </c>
      <c r="P125" s="166" t="str">
        <f t="shared" si="19"/>
        <v/>
      </c>
      <c r="Q125" s="166" t="str">
        <f t="shared" si="20"/>
        <v/>
      </c>
      <c r="R125" s="169" t="str">
        <f t="shared" si="27"/>
        <v/>
      </c>
      <c r="S125" s="169" t="str">
        <f t="shared" si="28"/>
        <v/>
      </c>
      <c r="T125" s="166">
        <f t="shared" si="21"/>
        <v>0</v>
      </c>
      <c r="U125" s="166" t="str">
        <f t="shared" si="29"/>
        <v>除外</v>
      </c>
      <c r="V125" s="166" t="str">
        <f t="shared" si="22"/>
        <v/>
      </c>
      <c r="W125" s="172">
        <f t="array" ref="W125">IF(C125&lt;&gt;"",IFERROR(100-100/(1+SUMPRODUCT((終値!F103:R103&gt;終値!G103:S103)*( 終値!F103:R103-終値!G103:S103))/SUMPRODUCT((終値!F103:R103&lt;終値!G103:S103)*(終値!G103:S103-終値!F103:R103))),50),"")</f>
        <v>30.667864630128776</v>
      </c>
      <c r="X125" s="173">
        <f>IF(C125&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-116.98870199292196</v>
      </c>
      <c r="Y125" s="1" t="e">
        <f>IF(T125="","",IF(銘柄管理!$F$5="下落▼",IF(AND(AD125="パーフェクト▲",OR(AE125="25日線押し目●",AE125="5日線押し目○")),"★逆張り候補",IF(AND(AD125="上昇トレンド▲",OR(AE125="25日線押し目●",AE125="5日線押し目○")),"○逆張り候補",IF(W125&lt;=30,IF(Z125&gt;0,"◎反発確認",IF(Z125&lt;-5,"△要注意・様子見","△売られ過ぎ注目")),"相場下落・見送り"))),IF(AND(T125&gt;=12,AD125="パーフェクト▲"),"★強い買い",IF(AND(T125&gt;=12,AD125="上昇トレンド▲"),"★強い買い",IF(AND(T125&gt;=8,OR(AE125="25日線押し目●",AE125="5日線押し目○")),"◎押し目買い",IF(T125&gt;=10,"○買い候補",IF(T125&gt;=6,"△注目",IF(T125&gt;=3,"様子見","見送り"))))))))</f>
        <v>#VALUE!</v>
      </c>
      <c r="Z125" s="174" t="str">
        <f t="shared" si="30"/>
        <v/>
      </c>
      <c r="AA125" s="166" t="str">
        <f t="shared" si="31"/>
        <v/>
      </c>
      <c r="AB125" s="408">
        <f>IF(C125="","",IFERROR(((終値!E127*0.333)+(終値!F127*0.222)+(終値!G127*0.148)+(終値!H127*0.099)+(終値!I127*0.066)+(終値!J127*0.044)+(終値!K127*0.029)+(終値!L127*0.019)+(終値!M127*0.013)+(終値!N127*0.009))/(0.333+0.222+0.148+0.099+0.066+0.044+0.029+0.019+0.013+0.009),""))</f>
        <v>5376.2576374745404</v>
      </c>
      <c r="AC125" s="408">
        <f>IF(C125="","",IFERROR(SUMPRODUCT((終値!E127:AC127),({0.077,0.071,0.065,0.06,0.055,0.051,0.047,0.043,0.039,0.036,0.033,0.031,0.028,0.026,0.024,0.022,0.02,0.018,0.017,0.016,0.014,0.013,0.012,0.011,0.01}))/SUM({0.077,0.071,0.065,0.06,0.055,0.051,0.047,0.043,0.039,0.036,0.033,0.031,0.028,0.026,0.024,0.022,0.02,0.018,0.017,0.016,0.014,0.013,0.012,0.011,0.01}),""))</f>
        <v>5406.0262216924903</v>
      </c>
      <c r="AD125" s="409" t="str">
        <f t="shared" si="32"/>
        <v>上昇トレンド▲</v>
      </c>
      <c r="AE125" s="409" t="e">
        <f t="shared" si="33"/>
        <v>#VALUE!</v>
      </c>
      <c r="AF125" s="368">
        <f t="array" ref="AF125">IF(C125="","",IFERROR((INDEX(終値!$E:$E,MATCH(TEXT(C125,"0"),終値!$A:$A,0))-INDEX(終値!$E:$CZ,MATCH(TEXT(C125,"0"),終値!$A:$A,0),$AL$2))/INDEX(終値!$E:$CZ,MATCH(TEXT(C125,"0"),終値!$A:$A,0),$AL$2)*100,""))</f>
        <v>1.6132697114292205</v>
      </c>
      <c r="AG125" s="368">
        <f t="array" ref="AG125">IFERROR((終値!$E$5-INDEX(終値!$E$5:$CZ$5,1,$AL$2))/INDEX(終値!$E$5:$CZ$5,1,$AL$2)*100,"")</f>
        <v>2.31989243802786</v>
      </c>
      <c r="AH125" s="369">
        <f t="shared" si="25"/>
        <v>-0.70662272659863956</v>
      </c>
      <c r="AI125" s="367">
        <f t="shared" si="26"/>
        <v>-1</v>
      </c>
    </row>
    <row r="126" spans="1:35" s="177" customFormat="1" ht="18" customHeight="1">
      <c r="A126" s="166" t="str">
        <f>IF(銘柄管理!B102&lt;&gt;"",HYPERLINK("https://kabutan.jp/stock/?code="&amp;銘柄管理!B102,"株探"),"")</f>
        <v>株探</v>
      </c>
      <c r="B126" s="167"/>
      <c r="C126" s="168">
        <f>IF(銘柄管理!B102="","",銘柄管理!B102)</f>
        <v>5802</v>
      </c>
      <c r="D126" s="106" t="str">
        <f>IF(銘柄管理!C102="","",銘柄管理!C102)</f>
        <v/>
      </c>
      <c r="E126" s="169" t="str">
        <f>IF(C126&lt;&gt;"",_xll.RssMarket(C126,"現在値"),"")</f>
        <v/>
      </c>
      <c r="F126" s="169" t="str">
        <f>IF(C126&lt;&gt;"",_xll.RssMarket(C126,"始値"),"")</f>
        <v/>
      </c>
      <c r="G126" s="168">
        <f>IF(C126&lt;&gt;"",終値!F102,"")</f>
        <v>2532</v>
      </c>
      <c r="H126" s="169" t="str">
        <f>IF(C126&lt;&gt;"",_xll.RssMarket(C126,"高値"),"")</f>
        <v/>
      </c>
      <c r="I126" s="169" t="str">
        <f>IF(C126&lt;&gt;"",_xll.RssMarket(C126,"安値"),"")</f>
        <v/>
      </c>
      <c r="J126" s="169" t="str">
        <f>IF(C126&lt;&gt;"",_xll.RssMarket(C126,"出来高"),"")</f>
        <v/>
      </c>
      <c r="K126" s="169" t="str">
        <f>IF(C126&lt;&gt;"",_xll.RssMarket(C126,"年初来高値"),"")</f>
        <v/>
      </c>
      <c r="L126" s="170" t="str">
        <f t="shared" si="17"/>
        <v/>
      </c>
      <c r="M126" s="169">
        <f>IF(C126&lt;&gt;"",IFERROR(AVERAGE(出来高!E102:I102),""),"")</f>
        <v>20525300</v>
      </c>
      <c r="N126" s="169">
        <f>IF(C126&lt;&gt;"",IFERROR(AVERAGE(出来高!E102:AC102),""),"")</f>
        <v>14894068</v>
      </c>
      <c r="O126" s="171" t="str">
        <f t="shared" si="18"/>
        <v/>
      </c>
      <c r="P126" s="166" t="str">
        <f t="shared" si="19"/>
        <v/>
      </c>
      <c r="Q126" s="166" t="str">
        <f t="shared" si="20"/>
        <v/>
      </c>
      <c r="R126" s="169" t="str">
        <f t="shared" si="27"/>
        <v/>
      </c>
      <c r="S126" s="169" t="str">
        <f t="shared" si="28"/>
        <v/>
      </c>
      <c r="T126" s="166">
        <f t="shared" si="21"/>
        <v>0</v>
      </c>
      <c r="U126" s="166" t="str">
        <f t="shared" si="29"/>
        <v>除外</v>
      </c>
      <c r="V126" s="166" t="str">
        <f t="shared" si="22"/>
        <v/>
      </c>
      <c r="W126" s="172">
        <f t="array" ref="W126">IF(C126&lt;&gt;"",IFERROR(100-100/(1+SUMPRODUCT((終値!F102:R102&gt;終値!G102:S102)*( 終値!F102:R102-終値!G102:S102))/SUMPRODUCT((終値!F102:R102&lt;終値!G102:S102)*(終値!G102:S102-終値!F102:R102))),50),"")</f>
        <v>3.1512402277772509</v>
      </c>
      <c r="X126" s="173">
        <f>IF(C126&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-1336.7607716158709</v>
      </c>
      <c r="Y126" s="1" t="e">
        <f>IF(T126="","",IF(銘柄管理!$F$5="下落▼",IF(AND(AD126="パーフェクト▲",OR(AE126="25日線押し目●",AE126="5日線押し目○")),"★逆張り候補",IF(AND(AD126="上昇トレンド▲",OR(AE126="25日線押し目●",AE126="5日線押し目○")),"○逆張り候補",IF(W126&lt;=30,IF(Z126&gt;0,"◎反発確認",IF(Z126&lt;-5,"△要注意・様子見","△売られ過ぎ注目")),"相場下落・見送り"))),IF(AND(T126&gt;=12,AD126="パーフェクト▲"),"★強い買い",IF(AND(T126&gt;=12,AD126="上昇トレンド▲"),"★強い買い",IF(AND(T126&gt;=8,OR(AE126="25日線押し目●",AE126="5日線押し目○")),"◎押し目買い",IF(T126&gt;=10,"○買い候補",IF(T126&gt;=6,"△注目",IF(T126&gt;=3,"様子見","見送り"))))))))</f>
        <v>#VALUE!</v>
      </c>
      <c r="Z126" s="174" t="str">
        <f t="shared" si="30"/>
        <v/>
      </c>
      <c r="AA126" s="166" t="str">
        <f t="shared" si="31"/>
        <v/>
      </c>
      <c r="AB126" s="406">
        <f>IF(C126="","",IFERROR(((終値!E128*0.333)+(終値!F128*0.222)+(終値!G128*0.148)+(終値!H128*0.099)+(終値!I128*0.066)+(終値!J128*0.044)+(終値!K128*0.029)+(終値!L128*0.019)+(終値!M128*0.013)+(終値!N128*0.009))/(0.333+0.222+0.148+0.099+0.066+0.044+0.029+0.019+0.013+0.009),""))</f>
        <v>1891.8788187372706</v>
      </c>
      <c r="AC126" s="406">
        <f>IF(C126="","",IFERROR(SUMPRODUCT((終値!E128:AC128),({0.077,0.071,0.065,0.06,0.055,0.051,0.047,0.043,0.039,0.036,0.033,0.031,0.028,0.026,0.024,0.022,0.02,0.018,0.017,0.016,0.014,0.013,0.012,0.011,0.01}))/SUM({0.077,0.071,0.065,0.06,0.055,0.051,0.047,0.043,0.039,0.036,0.033,0.031,0.028,0.026,0.024,0.022,0.02,0.018,0.017,0.016,0.014,0.013,0.012,0.011,0.01}),""))</f>
        <v>1969.1930870083422</v>
      </c>
      <c r="AD126" s="407" t="str">
        <f t="shared" si="32"/>
        <v>上昇トレンド▲</v>
      </c>
      <c r="AE126" s="407" t="e">
        <f t="shared" si="33"/>
        <v>#VALUE!</v>
      </c>
      <c r="AF126" s="368">
        <f t="array" ref="AF126">IF(C126="","",IFERROR((INDEX(終値!$E:$E,MATCH(TEXT(C126,"0"),終値!$A:$A,0))-INDEX(終値!$E:$CZ,MATCH(TEXT(C126,"0"),終値!$A:$A,0),$AL$2))/INDEX(終値!$E:$CZ,MATCH(TEXT(C126,"0"),終値!$A:$A,0),$AL$2)*100,""))</f>
        <v>-81.474464579901152</v>
      </c>
      <c r="AG126" s="368">
        <f t="array" ref="AG126">IFERROR((終値!$E$5-INDEX(終値!$E$5:$CZ$5,1,$AL$2))/INDEX(終値!$E$5:$CZ$5,1,$AL$2)*100,"")</f>
        <v>2.31989243802786</v>
      </c>
      <c r="AH126" s="369">
        <f t="shared" si="25"/>
        <v>-83.794357017929016</v>
      </c>
      <c r="AI126" s="367">
        <f t="shared" si="26"/>
        <v>-2</v>
      </c>
    </row>
    <row r="127" spans="1:35" s="177" customFormat="1" ht="18" customHeight="1">
      <c r="A127" s="166" t="str">
        <f>IF(銘柄管理!B200&lt;&gt;"",HYPERLINK("https://kabutan.jp/stock/?code="&amp;銘柄管理!B200,"株探"),"")</f>
        <v>株探</v>
      </c>
      <c r="B127" s="167"/>
      <c r="C127" s="168">
        <f>IF(銘柄管理!B200="","",銘柄管理!B200)</f>
        <v>5801</v>
      </c>
      <c r="D127" s="106" t="str">
        <f>IF(銘柄管理!C200="","",銘柄管理!C200)</f>
        <v/>
      </c>
      <c r="E127" s="169" t="str">
        <f>IF(C127&lt;&gt;"",_xll.RssMarket(C127,"現在値"),"")</f>
        <v/>
      </c>
      <c r="F127" s="169" t="str">
        <f>IF(C127&lt;&gt;"",_xll.RssMarket(C127,"始値"),"")</f>
        <v/>
      </c>
      <c r="G127" s="168">
        <f>IF(C127&lt;&gt;"",終値!F200,"")</f>
        <v>3766</v>
      </c>
      <c r="H127" s="169" t="str">
        <f>IF(C127&lt;&gt;"",_xll.RssMarket(C127,"高値"),"")</f>
        <v/>
      </c>
      <c r="I127" s="169" t="str">
        <f>IF(C127&lt;&gt;"",_xll.RssMarket(C127,"安値"),"")</f>
        <v/>
      </c>
      <c r="J127" s="169" t="str">
        <f>IF(C127&lt;&gt;"",_xll.RssMarket(C127,"出来高"),"")</f>
        <v/>
      </c>
      <c r="K127" s="169" t="str">
        <f>IF(C127&lt;&gt;"",_xll.RssMarket(C127,"年初来高値"),"")</f>
        <v/>
      </c>
      <c r="L127" s="170" t="str">
        <f t="shared" si="17"/>
        <v/>
      </c>
      <c r="M127" s="169">
        <f>IF(C127&lt;&gt;"",IFERROR(AVERAGE(出来高!E200:I200),""),"")</f>
        <v>18705400</v>
      </c>
      <c r="N127" s="169">
        <f>IF(C127&lt;&gt;"",IFERROR(AVERAGE(出来高!E200:AC200),""),"")</f>
        <v>12693696</v>
      </c>
      <c r="O127" s="171" t="str">
        <f t="shared" si="18"/>
        <v/>
      </c>
      <c r="P127" s="166" t="str">
        <f t="shared" si="19"/>
        <v/>
      </c>
      <c r="Q127" s="166" t="str">
        <f t="shared" si="20"/>
        <v/>
      </c>
      <c r="R127" s="169" t="str">
        <f t="shared" si="27"/>
        <v/>
      </c>
      <c r="S127" s="169" t="str">
        <f t="shared" si="28"/>
        <v/>
      </c>
      <c r="T127" s="166">
        <f t="shared" si="21"/>
        <v>0</v>
      </c>
      <c r="U127" s="166" t="str">
        <f t="shared" si="29"/>
        <v>除外</v>
      </c>
      <c r="V127" s="166" t="str">
        <f t="shared" si="22"/>
        <v/>
      </c>
      <c r="W127" s="172">
        <f t="array" ref="W127">IF(C127&lt;&gt;"",IFERROR(100-100/(1+SUMPRODUCT((終値!F200:R200&gt;終値!G200:S200)*( 終値!F200:R200-終値!G200:S200))/SUMPRODUCT((終値!F200:R200&lt;終値!G200:S200)*(終値!G200:S200-終値!F200:R200))),50),"")</f>
        <v>1.6043117188155378</v>
      </c>
      <c r="X127" s="173">
        <f>IF(C127&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-6059.7051512703019</v>
      </c>
      <c r="Y127" s="1" t="e">
        <f>IF(T127="","",IF(銘柄管理!$F$5="下落▼",IF(AND(AD127="パーフェクト▲",OR(AE127="25日線押し目●",AE127="5日線押し目○")),"★逆張り候補",IF(AND(AD127="上昇トレンド▲",OR(AE127="25日線押し目●",AE127="5日線押し目○")),"○逆張り候補",IF(W127&lt;=30,IF(Z127&gt;0,"◎反発確認",IF(Z127&lt;-5,"△要注意・様子見","△売られ過ぎ注目")),"相場下落・見送り"))),IF(AND(T127&gt;=12,AD127="パーフェクト▲"),"★強い買い",IF(AND(T127&gt;=12,AD127="上昇トレンド▲"),"★強い買い",IF(AND(T127&gt;=8,OR(AE127="25日線押し目●",AE127="5日線押し目○")),"◎押し目買い",IF(T127&gt;=10,"○買い候補",IF(T127&gt;=6,"△注目",IF(T127&gt;=3,"様子見","見送り"))))))))</f>
        <v>#VALUE!</v>
      </c>
      <c r="Z127" s="174" t="str">
        <f t="shared" si="30"/>
        <v/>
      </c>
      <c r="AA127" s="166" t="str">
        <f t="shared" si="31"/>
        <v/>
      </c>
      <c r="AB127" s="408">
        <f>IF(C127="","",IFERROR(((終値!E129*0.333)+(終値!F129*0.222)+(終値!G129*0.148)+(終値!H129*0.099)+(終値!I129*0.066)+(終値!J129*0.044)+(終値!K129*0.029)+(終値!L129*0.019)+(終値!M129*0.013)+(終値!N129*0.009))/(0.333+0.222+0.148+0.099+0.066+0.044+0.029+0.019+0.013+0.009),""))</f>
        <v>1875.9531568228103</v>
      </c>
      <c r="AC127" s="408">
        <f>IF(C127="","",IFERROR(SUMPRODUCT((終値!E129:AC129),({0.077,0.071,0.065,0.06,0.055,0.051,0.047,0.043,0.039,0.036,0.033,0.031,0.028,0.026,0.024,0.022,0.02,0.018,0.017,0.016,0.014,0.013,0.012,0.011,0.01}))/SUM({0.077,0.071,0.065,0.06,0.055,0.051,0.047,0.043,0.039,0.036,0.033,0.031,0.028,0.026,0.024,0.022,0.02,0.018,0.017,0.016,0.014,0.013,0.012,0.011,0.01}),""))</f>
        <v>1973.0441001191891</v>
      </c>
      <c r="AD127" s="409" t="str">
        <f t="shared" si="32"/>
        <v>上昇トレンド▲</v>
      </c>
      <c r="AE127" s="409" t="e">
        <f t="shared" si="33"/>
        <v>#VALUE!</v>
      </c>
      <c r="AF127" s="368">
        <f t="array" ref="AF127">IF(C127="","",IFERROR((INDEX(終値!$E:$E,MATCH(TEXT(C127,"0"),終値!$A:$A,0))-INDEX(終値!$E:$CZ,MATCH(TEXT(C127,"0"),終値!$A:$A,0),$AL$2))/INDEX(終値!$E:$CZ,MATCH(TEXT(C127,"0"),終値!$A:$A,0),$AL$2)*100,""))</f>
        <v>-92.792752982766231</v>
      </c>
      <c r="AG127" s="368">
        <f t="array" ref="AG127">IFERROR((終値!$E$5-INDEX(終値!$E$5:$CZ$5,1,$AL$2))/INDEX(終値!$E$5:$CZ$5,1,$AL$2)*100,"")</f>
        <v>2.31989243802786</v>
      </c>
      <c r="AH127" s="369">
        <f t="shared" si="25"/>
        <v>-95.112645420794095</v>
      </c>
      <c r="AI127" s="367">
        <f t="shared" si="26"/>
        <v>-2</v>
      </c>
    </row>
    <row r="128" spans="1:35" s="177" customFormat="1" ht="18" customHeight="1">
      <c r="A128" s="166" t="str">
        <f>IF(銘柄管理!B10&lt;&gt;"",HYPERLINK("https://kabutan.jp/stock/?code="&amp;銘柄管理!B10,"株探"),"")</f>
        <v>株探</v>
      </c>
      <c r="B128" s="167"/>
      <c r="C128" s="168">
        <f>IF(銘柄管理!B10="","",銘柄管理!B10)</f>
        <v>5714</v>
      </c>
      <c r="D128" s="106" t="str">
        <f>IF(銘柄管理!C10="","",銘柄管理!C10)</f>
        <v/>
      </c>
      <c r="E128" s="169" t="str">
        <f>IF(C128&lt;&gt;"",_xll.RssMarket(C128,"現在値"),"")</f>
        <v/>
      </c>
      <c r="F128" s="169" t="str">
        <f>IF(C128&lt;&gt;"",_xll.RssMarket(C128,"始値"),"")</f>
        <v/>
      </c>
      <c r="G128" s="168">
        <f>IF(C128&lt;&gt;"",終値!F10,"")</f>
        <v>8443</v>
      </c>
      <c r="H128" s="169" t="str">
        <f>IF(C128&lt;&gt;"",_xll.RssMarket(C128,"高値"),"")</f>
        <v/>
      </c>
      <c r="I128" s="169" t="str">
        <f>IF(C128&lt;&gt;"",_xll.RssMarket(C128,"安値"),"")</f>
        <v/>
      </c>
      <c r="J128" s="169" t="str">
        <f>IF(C128&lt;&gt;"",_xll.RssMarket(C128,"出来高"),"")</f>
        <v/>
      </c>
      <c r="K128" s="169" t="str">
        <f>IF(C128&lt;&gt;"",_xll.RssMarket(C128,"年初来高値"),"")</f>
        <v/>
      </c>
      <c r="L128" s="170" t="str">
        <f t="shared" si="17"/>
        <v/>
      </c>
      <c r="M128" s="169">
        <f>IF(C128&lt;&gt;"",IFERROR(AVERAGE(出来高!E10:I10),""),"")</f>
        <v>426880</v>
      </c>
      <c r="N128" s="169">
        <f>IF(C128&lt;&gt;"",IFERROR(AVERAGE(出来高!E10:AC10),""),"")</f>
        <v>434424</v>
      </c>
      <c r="O128" s="171" t="str">
        <f t="shared" si="18"/>
        <v/>
      </c>
      <c r="P128" s="166" t="str">
        <f t="shared" si="19"/>
        <v/>
      </c>
      <c r="Q128" s="166" t="str">
        <f t="shared" si="20"/>
        <v/>
      </c>
      <c r="R128" s="169" t="str">
        <f t="shared" si="27"/>
        <v/>
      </c>
      <c r="S128" s="169" t="str">
        <f t="shared" si="28"/>
        <v/>
      </c>
      <c r="T128" s="166">
        <f t="shared" si="21"/>
        <v>0</v>
      </c>
      <c r="U128" s="166" t="str">
        <f t="shared" si="29"/>
        <v>除外</v>
      </c>
      <c r="V128" s="166" t="str">
        <f t="shared" si="22"/>
        <v/>
      </c>
      <c r="W128" s="172">
        <f t="array" ref="W128">IF(C128&lt;&gt;"",IFERROR(100-100/(1+SUMPRODUCT((終値!F10:R10&gt;終値!G10:S10)*( 終値!F10:R10-終値!G10:S10))/SUMPRODUCT((終値!F10:R10&lt;終値!G10:S10)*(終値!G10:S10-終値!F10:R10))),50),"")</f>
        <v>41.140776699029125</v>
      </c>
      <c r="X128" s="173">
        <f>IF(C128&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-125.19187705729928</v>
      </c>
      <c r="Y128" s="1" t="e">
        <f>IF(T128="","",IF(銘柄管理!$F$5="下落▼",IF(AND(AD128="パーフェクト▲",OR(AE128="25日線押し目●",AE128="5日線押し目○")),"★逆張り候補",IF(AND(AD128="上昇トレンド▲",OR(AE128="25日線押し目●",AE128="5日線押し目○")),"○逆張り候補",IF(W128&lt;=30,IF(Z128&gt;0,"◎反発確認",IF(Z128&lt;-5,"△要注意・様子見","△売られ過ぎ注目")),"相場下落・見送り"))),IF(AND(T128&gt;=12,AD128="パーフェクト▲"),"★強い買い",IF(AND(T128&gt;=12,AD128="上昇トレンド▲"),"★強い買い",IF(AND(T128&gt;=8,OR(AE128="25日線押し目●",AE128="5日線押し目○")),"◎押し目買い",IF(T128&gt;=10,"○買い候補",IF(T128&gt;=6,"△注目",IF(T128&gt;=3,"様子見","見送り"))))))))</f>
        <v>#VALUE!</v>
      </c>
      <c r="Z128" s="174" t="str">
        <f t="shared" si="30"/>
        <v/>
      </c>
      <c r="AA128" s="166" t="str">
        <f t="shared" si="31"/>
        <v/>
      </c>
      <c r="AB128" s="406">
        <f>IF(C128="","",IFERROR(((終値!E130*0.333)+(終値!F130*0.222)+(終値!G130*0.148)+(終値!H130*0.099)+(終値!I130*0.066)+(終値!J130*0.044)+(終値!K130*0.029)+(終値!L130*0.019)+(終値!M130*0.013)+(終値!N130*0.009))/(0.333+0.222+0.148+0.099+0.066+0.044+0.029+0.019+0.013+0.009),""))</f>
        <v>7273.889002036658</v>
      </c>
      <c r="AC128" s="406">
        <f>IF(C128="","",IFERROR(SUMPRODUCT((終値!E130:AC130),({0.077,0.071,0.065,0.06,0.055,0.051,0.047,0.043,0.039,0.036,0.033,0.031,0.028,0.026,0.024,0.022,0.02,0.018,0.017,0.016,0.014,0.013,0.012,0.011,0.01}))/SUM({0.077,0.071,0.065,0.06,0.055,0.051,0.047,0.043,0.039,0.036,0.033,0.031,0.028,0.026,0.024,0.022,0.02,0.018,0.017,0.016,0.014,0.013,0.012,0.011,0.01}),""))</f>
        <v>7389.5840286054799</v>
      </c>
      <c r="AD128" s="407" t="str">
        <f t="shared" si="32"/>
        <v>上昇トレンド▲</v>
      </c>
      <c r="AE128" s="407" t="e">
        <f t="shared" si="33"/>
        <v>#VALUE!</v>
      </c>
      <c r="AF128" s="368">
        <f t="array" ref="AF128">IF(C128="","",IFERROR((INDEX(終値!$E:$E,MATCH(TEXT(C128,"0"),終値!$A:$A,0))-INDEX(終値!$E:$CZ,MATCH(TEXT(C128,"0"),終値!$A:$A,0),$AL$2))/INDEX(終値!$E:$CZ,MATCH(TEXT(C128,"0"),終値!$A:$A,0),$AL$2)*100,""))</f>
        <v>-14.162255590364047</v>
      </c>
      <c r="AG128" s="368">
        <f t="array" ref="AG128">IFERROR((終値!$E$5-INDEX(終値!$E$5:$CZ$5,1,$AL$2))/INDEX(終値!$E$5:$CZ$5,1,$AL$2)*100,"")</f>
        <v>2.31989243802786</v>
      </c>
      <c r="AH128" s="369">
        <f t="shared" si="25"/>
        <v>-16.482148028391908</v>
      </c>
      <c r="AI128" s="367">
        <f t="shared" si="26"/>
        <v>-2</v>
      </c>
    </row>
    <row r="129" spans="1:35" s="177" customFormat="1" ht="18" customHeight="1">
      <c r="A129" s="166" t="str">
        <f>IF(銘柄管理!B8&lt;&gt;"",HYPERLINK("https://kabutan.jp/stock/?code="&amp;銘柄管理!B8,"株探"),"")</f>
        <v>株探</v>
      </c>
      <c r="B129" s="167"/>
      <c r="C129" s="168">
        <f>IF(銘柄管理!B8="","",銘柄管理!B8)</f>
        <v>5713</v>
      </c>
      <c r="D129" s="106" t="str">
        <f>IF(銘柄管理!C8="","",銘柄管理!C8)</f>
        <v/>
      </c>
      <c r="E129" s="169" t="str">
        <f>IF(C129&lt;&gt;"",_xll.RssMarket(C129,"現在値"),"")</f>
        <v/>
      </c>
      <c r="F129" s="169" t="str">
        <f>IF(C129&lt;&gt;"",_xll.RssMarket(C129,"始値"),"")</f>
        <v/>
      </c>
      <c r="G129" s="168">
        <f>IF(C129&lt;&gt;"",終値!F8,"")</f>
        <v>7404</v>
      </c>
      <c r="H129" s="169" t="str">
        <f>IF(C129&lt;&gt;"",_xll.RssMarket(C129,"高値"),"")</f>
        <v/>
      </c>
      <c r="I129" s="169" t="str">
        <f>IF(C129&lt;&gt;"",_xll.RssMarket(C129,"安値"),"")</f>
        <v/>
      </c>
      <c r="J129" s="169" t="str">
        <f>IF(C129&lt;&gt;"",_xll.RssMarket(C129,"出来高"),"")</f>
        <v/>
      </c>
      <c r="K129" s="169" t="str">
        <f>IF(C129&lt;&gt;"",_xll.RssMarket(C129,"年初来高値"),"")</f>
        <v/>
      </c>
      <c r="L129" s="170" t="str">
        <f t="shared" si="17"/>
        <v/>
      </c>
      <c r="M129" s="169">
        <f>IF(C129&lt;&gt;"",IFERROR(AVERAGE(出来高!F8:J8),""),"")</f>
        <v>2418660</v>
      </c>
      <c r="N129" s="169">
        <f>IF(C129&lt;&gt;"",IFERROR(AVERAGE(出来高!F8:AD8),""),"")</f>
        <v>2888592</v>
      </c>
      <c r="O129" s="171" t="str">
        <f t="shared" si="18"/>
        <v/>
      </c>
      <c r="P129" s="166" t="str">
        <f t="shared" si="19"/>
        <v/>
      </c>
      <c r="Q129" s="166" t="str">
        <f t="shared" si="20"/>
        <v/>
      </c>
      <c r="R129" s="169" t="str">
        <f t="shared" si="27"/>
        <v/>
      </c>
      <c r="S129" s="169" t="str">
        <f t="shared" si="28"/>
        <v/>
      </c>
      <c r="T129" s="166">
        <f t="shared" si="21"/>
        <v>0</v>
      </c>
      <c r="U129" s="166" t="str">
        <f t="shared" si="29"/>
        <v>除外</v>
      </c>
      <c r="V129" s="166" t="str">
        <f t="shared" si="22"/>
        <v/>
      </c>
      <c r="W129" s="172">
        <f t="array" ref="W129">IF(C129&lt;&gt;"",IFERROR(100-100/(1+SUMPRODUCT((終値!F8:R8&gt;終値!G8:S8)*( 終値!F8:R8-終値!G8:S8))/SUMPRODUCT((終値!F8:R8&lt;終値!G8:S8)*(終値!G8:S8-終値!F8:R8))),50),"")</f>
        <v>44.079885877318112</v>
      </c>
      <c r="X129" s="173">
        <f>IF(C129&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-135.02461401294931</v>
      </c>
      <c r="Y129" s="1" t="e">
        <f>IF(T129="","",IF(銘柄管理!$F$5="下落▼",IF(AND(AD129="パーフェクト▲",OR(AE129="25日線押し目●",AE129="5日線押し目○")),"★逆張り候補",IF(AND(AD129="上昇トレンド▲",OR(AE129="25日線押し目●",AE129="5日線押し目○")),"○逆張り候補",IF(W129&lt;=30,IF(Z129&gt;0,"◎反発確認",IF(Z129&lt;-5,"△要注意・様子見","△売られ過ぎ注目")),"相場下落・見送り"))),IF(AND(T129&gt;=12,AD129="パーフェクト▲"),"★強い買い",IF(AND(T129&gt;=12,AD129="上昇トレンド▲"),"★強い買い",IF(AND(T129&gt;=8,OR(AE129="25日線押し目●",AE129="5日線押し目○")),"◎押し目買い",IF(T129&gt;=10,"○買い候補",IF(T129&gt;=6,"△注目",IF(T129&gt;=3,"様子見","見送り"))))))))</f>
        <v>#VALUE!</v>
      </c>
      <c r="Z129" s="174" t="str">
        <f t="shared" si="30"/>
        <v/>
      </c>
      <c r="AA129" s="166" t="str">
        <f t="shared" si="31"/>
        <v/>
      </c>
      <c r="AB129" s="408">
        <f>IF(C129="","",IFERROR(((終値!E131*0.333)+(終値!F131*0.222)+(終値!G131*0.148)+(終値!H131*0.099)+(終値!I131*0.066)+(終値!J131*0.044)+(終値!K131*0.029)+(終値!L131*0.019)+(終値!M131*0.013)+(終値!N131*0.009))/(0.333+0.222+0.148+0.099+0.066+0.044+0.029+0.019+0.013+0.009),""))</f>
        <v>2551.3788187372706</v>
      </c>
      <c r="AC129" s="408">
        <f>IF(C129="","",IFERROR(SUMPRODUCT((終値!E131:AC131),({0.077,0.071,0.065,0.06,0.055,0.051,0.047,0.043,0.039,0.036,0.033,0.031,0.028,0.026,0.024,0.022,0.02,0.018,0.017,0.016,0.014,0.013,0.012,0.011,0.01}))/SUM({0.077,0.071,0.065,0.06,0.055,0.051,0.047,0.043,0.039,0.036,0.033,0.031,0.028,0.026,0.024,0.022,0.02,0.018,0.017,0.016,0.014,0.013,0.012,0.011,0.01}),""))</f>
        <v>2632.0977353992839</v>
      </c>
      <c r="AD129" s="409" t="str">
        <f t="shared" si="32"/>
        <v>上昇トレンド▲</v>
      </c>
      <c r="AE129" s="409" t="e">
        <f t="shared" si="33"/>
        <v>#VALUE!</v>
      </c>
      <c r="AF129" s="368">
        <f t="array" ref="AF129">IF(C129="","",IFERROR((INDEX(終値!$E:$E,MATCH(TEXT(C129,"0"),終値!$A:$A,0))-INDEX(終値!$E:$CZ,MATCH(TEXT(C129,"0"),終値!$A:$A,0),$AL$2))/INDEX(終値!$E:$CZ,MATCH(TEXT(C129,"0"),終値!$A:$A,0),$AL$2)*100,""))</f>
        <v>-15.032516258129064</v>
      </c>
      <c r="AG129" s="368">
        <f t="array" ref="AG129">IFERROR((終値!$E$5-INDEX(終値!$E$5:$CZ$5,1,$AL$2))/INDEX(終値!$E$5:$CZ$5,1,$AL$2)*100,"")</f>
        <v>2.31989243802786</v>
      </c>
      <c r="AH129" s="369">
        <f t="shared" si="25"/>
        <v>-17.352408696156925</v>
      </c>
      <c r="AI129" s="367">
        <f t="shared" si="26"/>
        <v>-2</v>
      </c>
    </row>
    <row r="130" spans="1:35" s="177" customFormat="1" ht="18" customHeight="1">
      <c r="A130" s="166" t="str">
        <f>IF(銘柄管理!B9&lt;&gt;"",HYPERLINK("https://kabutan.jp/stock/?code="&amp;銘柄管理!B9,"株探"),"")</f>
        <v>株探</v>
      </c>
      <c r="B130" s="167"/>
      <c r="C130" s="168">
        <f>IF(銘柄管理!B9="","",銘柄管理!B9)</f>
        <v>5711</v>
      </c>
      <c r="D130" s="106" t="str">
        <f>IF(銘柄管理!C9="","",銘柄管理!C9)</f>
        <v/>
      </c>
      <c r="E130" s="169" t="str">
        <f>IF(C130&lt;&gt;"",_xll.RssMarket(C130,"現在値"),"")</f>
        <v/>
      </c>
      <c r="F130" s="169" t="str">
        <f>IF(C130&lt;&gt;"",_xll.RssMarket(C130,"始値"),"")</f>
        <v/>
      </c>
      <c r="G130" s="168">
        <f>IF(C130&lt;&gt;"",終値!F9,"")</f>
        <v>4242</v>
      </c>
      <c r="H130" s="169" t="str">
        <f>IF(C130&lt;&gt;"",_xll.RssMarket(C130,"高値"),"")</f>
        <v/>
      </c>
      <c r="I130" s="169" t="str">
        <f>IF(C130&lt;&gt;"",_xll.RssMarket(C130,"安値"),"")</f>
        <v/>
      </c>
      <c r="J130" s="169" t="str">
        <f>IF(C130&lt;&gt;"",_xll.RssMarket(C130,"出来高"),"")</f>
        <v/>
      </c>
      <c r="K130" s="169" t="str">
        <f>IF(C130&lt;&gt;"",_xll.RssMarket(C130,"年初来高値"),"")</f>
        <v/>
      </c>
      <c r="L130" s="170" t="str">
        <f t="shared" si="17"/>
        <v/>
      </c>
      <c r="M130" s="169">
        <f>IF(C130&lt;&gt;"",IFERROR(AVERAGE(出来高!E9:I9),""),"")</f>
        <v>2000760</v>
      </c>
      <c r="N130" s="169">
        <f>IF(C130&lt;&gt;"",IFERROR(AVERAGE(出来高!E9:AC9),""),"")</f>
        <v>1334616</v>
      </c>
      <c r="O130" s="171" t="str">
        <f t="shared" si="18"/>
        <v/>
      </c>
      <c r="P130" s="166" t="str">
        <f t="shared" si="19"/>
        <v/>
      </c>
      <c r="Q130" s="166" t="str">
        <f t="shared" si="20"/>
        <v/>
      </c>
      <c r="R130" s="169" t="str">
        <f t="shared" si="27"/>
        <v/>
      </c>
      <c r="S130" s="169" t="str">
        <f t="shared" si="28"/>
        <v/>
      </c>
      <c r="T130" s="166">
        <f t="shared" si="21"/>
        <v>0</v>
      </c>
      <c r="U130" s="166" t="str">
        <f t="shared" si="29"/>
        <v>除外</v>
      </c>
      <c r="V130" s="166" t="str">
        <f t="shared" si="22"/>
        <v/>
      </c>
      <c r="W130" s="172">
        <f t="array" ref="W130">IF(C130&lt;&gt;"",IFERROR(100-100/(1+SUMPRODUCT((終値!F9:R9&gt;終値!G9:S9)*( 終値!F9:R9-終値!G9:S9))/SUMPRODUCT((終値!F9:R9&lt;終値!G9:S9)*(終値!G9:S9-終値!F9:R9))),50),"")</f>
        <v>43.715469613259664</v>
      </c>
      <c r="X130" s="173">
        <f>IF(C130&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-66.569979183166652</v>
      </c>
      <c r="Y130" s="1" t="e">
        <f>IF(T130="","",IF(銘柄管理!$F$5="下落▼",IF(AND(AD130="パーフェクト▲",OR(AE130="25日線押し目●",AE130="5日線押し目○")),"★逆張り候補",IF(AND(AD130="上昇トレンド▲",OR(AE130="25日線押し目●",AE130="5日線押し目○")),"○逆張り候補",IF(W130&lt;=30,IF(Z130&gt;0,"◎反発確認",IF(Z130&lt;-5,"△要注意・様子見","△売られ過ぎ注目")),"相場下落・見送り"))),IF(AND(T130&gt;=12,AD130="パーフェクト▲"),"★強い買い",IF(AND(T130&gt;=12,AD130="上昇トレンド▲"),"★強い買い",IF(AND(T130&gt;=8,OR(AE130="25日線押し目●",AE130="5日線押し目○")),"◎押し目買い",IF(T130&gt;=10,"○買い候補",IF(T130&gt;=6,"△注目",IF(T130&gt;=3,"様子見","見送り"))))))))</f>
        <v>#VALUE!</v>
      </c>
      <c r="Z130" s="174" t="str">
        <f t="shared" si="30"/>
        <v/>
      </c>
      <c r="AA130" s="166" t="str">
        <f t="shared" si="31"/>
        <v/>
      </c>
      <c r="AB130" s="406">
        <f>IF(C130="","",IFERROR(((終値!E132*0.333)+(終値!F132*0.222)+(終値!G132*0.148)+(終値!H132*0.099)+(終値!I132*0.066)+(終値!J132*0.044)+(終値!K132*0.029)+(終値!L132*0.019)+(終値!M132*0.013)+(終値!N132*0.009))/(0.333+0.222+0.148+0.099+0.066+0.044+0.029+0.019+0.013+0.009),""))</f>
        <v>7203.116089613035</v>
      </c>
      <c r="AC130" s="406">
        <f>IF(C130="","",IFERROR(SUMPRODUCT((終値!E132:AC132),({0.077,0.071,0.065,0.06,0.055,0.051,0.047,0.043,0.039,0.036,0.033,0.031,0.028,0.026,0.024,0.022,0.02,0.018,0.017,0.016,0.014,0.013,0.012,0.011,0.01}))/SUM({0.077,0.071,0.065,0.06,0.055,0.051,0.047,0.043,0.039,0.036,0.033,0.031,0.028,0.026,0.024,0.022,0.02,0.018,0.017,0.016,0.014,0.013,0.012,0.011,0.01}),""))</f>
        <v>7065.2681764004737</v>
      </c>
      <c r="AD130" s="407" t="str">
        <f t="shared" si="32"/>
        <v>パーフェクト▲</v>
      </c>
      <c r="AE130" s="407" t="e">
        <f t="shared" si="33"/>
        <v>#VALUE!</v>
      </c>
      <c r="AF130" s="368">
        <f t="array" ref="AF130">IF(C130="","",IFERROR((INDEX(終値!$E:$E,MATCH(TEXT(C130,"0"),終値!$A:$A,0))-INDEX(終値!$E:$CZ,MATCH(TEXT(C130,"0"),終値!$A:$A,0),$AL$2))/INDEX(終値!$E:$CZ,MATCH(TEXT(C130,"0"),終値!$A:$A,0),$AL$2)*100,""))</f>
        <v>-13.601741022850925</v>
      </c>
      <c r="AG130" s="368">
        <f t="array" ref="AG130">IFERROR((終値!$E$5-INDEX(終値!$E$5:$CZ$5,1,$AL$2))/INDEX(終値!$E$5:$CZ$5,1,$AL$2)*100,"")</f>
        <v>2.31989243802786</v>
      </c>
      <c r="AH130" s="369">
        <f t="shared" si="25"/>
        <v>-15.921633460878786</v>
      </c>
      <c r="AI130" s="367">
        <f t="shared" si="26"/>
        <v>-2</v>
      </c>
    </row>
    <row r="131" spans="1:35" s="177" customFormat="1" ht="18" customHeight="1">
      <c r="A131" s="166" t="str">
        <f>IF(銘柄管理!B6&lt;&gt;"",HYPERLINK("https://kabutan.jp/stock/?code="&amp;銘柄管理!B6,"株探"),"")</f>
        <v>株探</v>
      </c>
      <c r="B131" s="167"/>
      <c r="C131" s="168">
        <f>IF(銘柄管理!B6="","",銘柄管理!B6)</f>
        <v>5706</v>
      </c>
      <c r="D131" s="106" t="str">
        <f>IF(銘柄管理!C6="","",銘柄管理!C6)</f>
        <v/>
      </c>
      <c r="E131" s="169" t="str">
        <f>IF(C131&lt;&gt;"",_xll.RssMarket(C131,"現在値"),"")</f>
        <v/>
      </c>
      <c r="F131" s="169" t="str">
        <f>IF(C131&lt;&gt;"",_xll.RssMarket(C131,"始値"),"")</f>
        <v/>
      </c>
      <c r="G131" s="168">
        <f>IF(C131&lt;&gt;"",終値!F6,"")</f>
        <v>53840</v>
      </c>
      <c r="H131" s="169" t="str">
        <f>IF(C131&lt;&gt;"",_xll.RssMarket(C131,"高値"),"")</f>
        <v/>
      </c>
      <c r="I131" s="169" t="str">
        <f>IF(C131&lt;&gt;"",_xll.RssMarket(C131,"安値"),"")</f>
        <v/>
      </c>
      <c r="J131" s="169" t="str">
        <f>IF(C131&lt;&gt;"",_xll.RssMarket(C131,"出来高"),"")</f>
        <v/>
      </c>
      <c r="K131" s="169" t="str">
        <f>IF(C131&lt;&gt;"",_xll.RssMarket(C131,"年初来高値"),"")</f>
        <v/>
      </c>
      <c r="L131" s="170" t="str">
        <f t="shared" ref="L131:L194" si="34">IF(AND(E131&lt;&gt;"",K131&lt;&gt;"",K131&lt;&gt;0),(E131-K131)/K131*100,"")</f>
        <v/>
      </c>
      <c r="M131" s="169">
        <f>IF(C131&lt;&gt;"",IFERROR(AVERAGE(出来高!F6:J6),""),"")</f>
        <v>1164080</v>
      </c>
      <c r="N131" s="169">
        <f>IF(C131&lt;&gt;"",IFERROR(AVERAGE(出来高!F6:AD6),""),"")</f>
        <v>1727308</v>
      </c>
      <c r="O131" s="171" t="str">
        <f t="shared" ref="O131:O194" si="35">IF(AND(J131&lt;&gt;"",M131&lt;&gt;"",M131&lt;&gt;0),J131/M131,"")</f>
        <v/>
      </c>
      <c r="P131" s="166" t="str">
        <f t="shared" ref="P131:P194" si="36">IF(O131="","",IF(O131&gt;=2,"急増↑↑",IF(O131&gt;=1.5,"増加↑",IF(O131&gt;=1,"普通→","減少↓"))))</f>
        <v/>
      </c>
      <c r="Q131" s="166" t="str">
        <f t="shared" ref="Q131:Q194" si="37">IF(E131="","",IF(AND(E131&gt;G131,O131&gt;=1.5),"買い▲",IF(E131&lt;G131,"様子見▼","中立→")))</f>
        <v/>
      </c>
      <c r="R131" s="169" t="str">
        <f t="shared" si="27"/>
        <v/>
      </c>
      <c r="S131" s="169" t="str">
        <f t="shared" si="28"/>
        <v/>
      </c>
      <c r="T131" s="166">
        <f t="shared" ref="T131:T194" si="38">IF(C131="","",IFERROR(IF(O131&gt;=2,3,IF(O131&gt;=1.5,2,IF(O131&gt;=1,1,0)))+IF(E131&gt;G131,1,0)+IF(L131&gt;=-5,1,0)+IF(Q131="買い▲",2,0)+IF(W131&lt;=30,3,IF(W131&lt;=40,2,IF(AND(W131&gt;=40,W131&lt;=60),1,0)))+IF(X131&gt;0,1,0)+IF(V131="年初来高値更新●",3,IF(V131="高値圏",2,0))+IF(AD131="パーフェクト▲",3,IF(AD131="上昇トレンド▲",2,0))+IF(AE131="25日線押し目●",2,IF(AE131="5日線押し目○",1,0))+IF(P131="急増↑↑",2,IF(P131="増加↑",1,0))+N(AI131),0))</f>
        <v>0</v>
      </c>
      <c r="U131" s="166" t="str">
        <f t="shared" si="29"/>
        <v>除外</v>
      </c>
      <c r="V131" s="166" t="str">
        <f t="shared" ref="V131:V194" si="39">IF(AND(H131&lt;&gt;"",K131&lt;&gt;""),IF(H131&gt;=K131,"年初来高値更新●",IF(H131&gt;=K131*0.95,"高値圏","通常")),"")</f>
        <v/>
      </c>
      <c r="W131" s="172">
        <f t="array" ref="W131">IF(C131&lt;&gt;"",IFERROR(100-100/(1+SUMPRODUCT((終値!F6:R6&gt;終値!G6:S6)*( 終値!F6:R6-終値!G6:S6))/SUMPRODUCT((終値!F6:R6&lt;終値!G6:S6)*(終値!G6:S6-終値!F6:R6))),50),"")</f>
        <v>54.322058398381031</v>
      </c>
      <c r="X131" s="173">
        <f>IF(C131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460.74972436604003</v>
      </c>
      <c r="Y131" s="1" t="e">
        <f>IF(T131="","",IF(銘柄管理!$F$5="下落▼",IF(AND(AD131="パーフェクト▲",OR(AE131="25日線押し目●",AE131="5日線押し目○")),"★逆張り候補",IF(AND(AD131="上昇トレンド▲",OR(AE131="25日線押し目●",AE131="5日線押し目○")),"○逆張り候補",IF(W131&lt;=30,IF(Z131&gt;0,"◎反発確認",IF(Z131&lt;-5,"△要注意・様子見","△売られ過ぎ注目")),"相場下落・見送り"))),IF(AND(T131&gt;=12,AD131="パーフェクト▲"),"★強い買い",IF(AND(T131&gt;=12,AD131="上昇トレンド▲"),"★強い買い",IF(AND(T131&gt;=8,OR(AE131="25日線押し目●",AE131="5日線押し目○")),"◎押し目買い",IF(T131&gt;=10,"○買い候補",IF(T131&gt;=6,"△注目",IF(T131&gt;=3,"様子見","見送り"))))))))</f>
        <v>#VALUE!</v>
      </c>
      <c r="Z131" s="174" t="str">
        <f t="shared" si="30"/>
        <v/>
      </c>
      <c r="AA131" s="166" t="str">
        <f t="shared" si="31"/>
        <v/>
      </c>
      <c r="AB131" s="408">
        <f>IF(C131="","",IFERROR(((終値!E133*0.333)+(終値!F133*0.222)+(終値!G133*0.148)+(終値!H133*0.099)+(終値!I133*0.066)+(終値!J133*0.044)+(終値!K133*0.029)+(終値!L133*0.019)+(終値!M133*0.013)+(終値!N133*0.009))/(0.333+0.222+0.148+0.099+0.066+0.044+0.029+0.019+0.013+0.009),""))</f>
        <v>4926.3543788187353</v>
      </c>
      <c r="AC131" s="408">
        <f>IF(C131="","",IFERROR(SUMPRODUCT((終値!E133:AC133),({0.077,0.071,0.065,0.06,0.055,0.051,0.047,0.043,0.039,0.036,0.033,0.031,0.028,0.026,0.024,0.022,0.02,0.018,0.017,0.016,0.014,0.013,0.012,0.011,0.01}))/SUM({0.077,0.071,0.065,0.06,0.055,0.051,0.047,0.043,0.039,0.036,0.033,0.031,0.028,0.026,0.024,0.022,0.02,0.018,0.017,0.016,0.014,0.013,0.012,0.011,0.01}),""))</f>
        <v>5745.8343265792591</v>
      </c>
      <c r="AD131" s="409" t="str">
        <f t="shared" ref="AD131:AD162" si="40">IF(OR(C131="",AB131="",AC131=""),"",IF(AND(E131&gt;AB131,AB131&gt;AC131),"パーフェクト▲",IF(E131&gt;AC131,"上昇トレンド▲",IF(AND(E131&lt;AB131,AB131&lt;AC131),"下降トレンド▼","もみ合い→"))))</f>
        <v>上昇トレンド▲</v>
      </c>
      <c r="AE131" s="409" t="e">
        <f t="shared" ref="AE131:AE162" si="41">IF(OR(C131="",AB131="",AC131=""),"",IF(AND(ABS(E131-AC131)/AC131&lt;=0.02,E131&gt;AC131),"25日押し目★",IF(AND(ABS(E131-AB131)/AB131&lt;=0.01,E131&gt;AB131),"5日押し目○","なし")))</f>
        <v>#VALUE!</v>
      </c>
      <c r="AF131" s="368">
        <f t="array" ref="AF131">IF(C131="","",IFERROR((INDEX(終値!$E:$E,MATCH(TEXT(C131,"0"),終値!$A:$A,0))-INDEX(終値!$E:$CZ,MATCH(TEXT(C131,"0"),終値!$A:$A,0),$AL$2))/INDEX(終値!$E:$CZ,MATCH(TEXT(C131,"0"),終値!$A:$A,0),$AL$2)*100,""))</f>
        <v>29.508625196027182</v>
      </c>
      <c r="AG131" s="368">
        <f t="array" ref="AG131">IFERROR((終値!$E$5-INDEX(終値!$E$5:$CZ$5,1,$AL$2))/INDEX(終値!$E$5:$CZ$5,1,$AL$2)*100,"")</f>
        <v>2.31989243802786</v>
      </c>
      <c r="AH131" s="369">
        <f t="shared" ref="AH131:AH194" si="42">IF(OR(AF131="",AG131=""),"",AF131-AG131)</f>
        <v>27.188732757999322</v>
      </c>
      <c r="AI131" s="367">
        <f t="shared" ref="AI131:AI194" si="43">IF(AH131="","",IF(AH131&gt;5,3,IF(AH131&gt;0,1,IF(AH131&gt;-3,-1,-2))))</f>
        <v>3</v>
      </c>
    </row>
    <row r="132" spans="1:35" s="177" customFormat="1" ht="18" customHeight="1">
      <c r="A132" s="166" t="str">
        <f>IF(銘柄管理!B13&lt;&gt;"",HYPERLINK("https://kabutan.jp/stock/?code="&amp;銘柄管理!B13,"株探"),"")</f>
        <v>株探</v>
      </c>
      <c r="B132" s="167"/>
      <c r="C132" s="168">
        <f>IF(銘柄管理!B13="","",銘柄管理!B13)</f>
        <v>5703</v>
      </c>
      <c r="D132" s="106" t="str">
        <f>IF(銘柄管理!C13="","",銘柄管理!C13)</f>
        <v/>
      </c>
      <c r="E132" s="169" t="str">
        <f>IF(C132&lt;&gt;"",_xll.RssMarket(C132,"現在値"),"")</f>
        <v/>
      </c>
      <c r="F132" s="169" t="str">
        <f>IF(C132&lt;&gt;"",_xll.RssMarket(C132,"始値"),"")</f>
        <v/>
      </c>
      <c r="G132" s="168">
        <f>IF(C132&lt;&gt;"",終値!F13,"")</f>
        <v>2750</v>
      </c>
      <c r="H132" s="169" t="str">
        <f>IF(C132&lt;&gt;"",_xll.RssMarket(C132,"高値"),"")</f>
        <v/>
      </c>
      <c r="I132" s="169" t="str">
        <f>IF(C132&lt;&gt;"",_xll.RssMarket(C132,"安値"),"")</f>
        <v/>
      </c>
      <c r="J132" s="169" t="str">
        <f>IF(C132&lt;&gt;"",_xll.RssMarket(C132,"出来高"),"")</f>
        <v/>
      </c>
      <c r="K132" s="169" t="str">
        <f>IF(C132&lt;&gt;"",_xll.RssMarket(C132,"年初来高値"),"")</f>
        <v/>
      </c>
      <c r="L132" s="170" t="str">
        <f t="shared" si="34"/>
        <v/>
      </c>
      <c r="M132" s="169">
        <f>IF(C132&lt;&gt;"",IFERROR(AVERAGE(出来高!E13:I13),""),"")</f>
        <v>352160</v>
      </c>
      <c r="N132" s="169">
        <f>IF(C132&lt;&gt;"",IFERROR(AVERAGE(出来高!E13:AC13),""),"")</f>
        <v>324512</v>
      </c>
      <c r="O132" s="171" t="str">
        <f t="shared" si="35"/>
        <v/>
      </c>
      <c r="P132" s="166" t="str">
        <f t="shared" si="36"/>
        <v/>
      </c>
      <c r="Q132" s="166" t="str">
        <f t="shared" si="37"/>
        <v/>
      </c>
      <c r="R132" s="169" t="str">
        <f t="shared" ref="R132:R195" si="44">IF(E132&lt;&gt;"",ROUND(E132*1.08,0),"")</f>
        <v/>
      </c>
      <c r="S132" s="169" t="str">
        <f t="shared" ref="S132:S195" si="45">IF(E132&lt;&gt;"",ROUND(E132*0.96,0),"")</f>
        <v/>
      </c>
      <c r="T132" s="166">
        <f t="shared" si="38"/>
        <v>0</v>
      </c>
      <c r="U132" s="166" t="str">
        <f t="shared" ref="U132:U195" si="46">IF(T132="","",IF(AND(T132&gt;=3,O132&gt;=1.5),"有効",IF(T132&gt;=3,"要確認","除外")))</f>
        <v>除外</v>
      </c>
      <c r="V132" s="166" t="str">
        <f t="shared" si="39"/>
        <v/>
      </c>
      <c r="W132" s="172">
        <f t="array" ref="W132">IF(C132&lt;&gt;"",IFERROR(100-100/(1+SUMPRODUCT((終値!F13:R13&gt;終値!G13:S13)*( 終値!F13:R13-終値!G13:S13))/SUMPRODUCT((終値!F13:R13&lt;終値!G13:S13)*(終値!G13:S13-終値!F13:R13))),50),"")</f>
        <v>42.913385826771652</v>
      </c>
      <c r="X132" s="173">
        <f>IF(C132&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-34.216309967799134</v>
      </c>
      <c r="Y132" s="1" t="e">
        <f>IF(T132="","",IF(銘柄管理!$F$5="下落▼",IF(AND(AD132="パーフェクト▲",OR(AE132="25日線押し目●",AE132="5日線押し目○")),"★逆張り候補",IF(AND(AD132="上昇トレンド▲",OR(AE132="25日線押し目●",AE132="5日線押し目○")),"○逆張り候補",IF(W132&lt;=30,IF(Z132&gt;0,"◎反発確認",IF(Z132&lt;-5,"△要注意・様子見","△売られ過ぎ注目")),"相場下落・見送り"))),IF(AND(T132&gt;=12,AD132="パーフェクト▲"),"★強い買い",IF(AND(T132&gt;=12,AD132="上昇トレンド▲"),"★強い買い",IF(AND(T132&gt;=8,OR(AE132="25日線押し目●",AE132="5日線押し目○")),"◎押し目買い",IF(T132&gt;=10,"○買い候補",IF(T132&gt;=6,"△注目",IF(T132&gt;=3,"様子見","見送り"))))))))</f>
        <v>#VALUE!</v>
      </c>
      <c r="Z132" s="174" t="str">
        <f t="shared" ref="Z132:Z195" si="47">IF(AND(E132&lt;&gt;"",G132&lt;&gt;"",G132&lt;&gt;0),(E132-G132)/G132*100,"")</f>
        <v/>
      </c>
      <c r="AA132" s="166" t="str">
        <f t="shared" ref="AA132:AA195" si="48">IF(OR(C132="",E132="",E132=0),"",IF(E132&gt;G132,"上昇▲",IF(E132&lt;G132,"下落▼","横ばい→")))</f>
        <v/>
      </c>
      <c r="AB132" s="406">
        <f>IF(C132="","",IFERROR(((終値!E134*0.333)+(終値!F134*0.222)+(終値!G134*0.148)+(終値!H134*0.099)+(終値!I134*0.066)+(終値!J134*0.044)+(終値!K134*0.029)+(終値!L134*0.019)+(終値!M134*0.013)+(終値!N134*0.009))/(0.333+0.222+0.148+0.099+0.066+0.044+0.029+0.019+0.013+0.009),""))</f>
        <v>3338.2993890020362</v>
      </c>
      <c r="AC132" s="406">
        <f>IF(C132="","",IFERROR(SUMPRODUCT((終値!E134:AC134),({0.077,0.071,0.065,0.06,0.055,0.051,0.047,0.043,0.039,0.036,0.033,0.031,0.028,0.026,0.024,0.022,0.02,0.018,0.017,0.016,0.014,0.013,0.012,0.011,0.01}))/SUM({0.077,0.071,0.065,0.06,0.055,0.051,0.047,0.043,0.039,0.036,0.033,0.031,0.028,0.026,0.024,0.022,0.02,0.018,0.017,0.016,0.014,0.013,0.012,0.011,0.01}),""))</f>
        <v>8025.393325387362</v>
      </c>
      <c r="AD132" s="407" t="str">
        <f t="shared" si="40"/>
        <v>上昇トレンド▲</v>
      </c>
      <c r="AE132" s="407" t="e">
        <f t="shared" si="41"/>
        <v>#VALUE!</v>
      </c>
      <c r="AF132" s="368">
        <f t="array" ref="AF132">IF(C132="","",IFERROR((INDEX(終値!$E:$E,MATCH(TEXT(C132,"0"),終値!$A:$A,0))-INDEX(終値!$E:$CZ,MATCH(TEXT(C132,"0"),終値!$A:$A,0),$AL$2))/INDEX(終値!$E:$CZ,MATCH(TEXT(C132,"0"),終値!$A:$A,0),$AL$2)*100,""))</f>
        <v>-15.853269537480063</v>
      </c>
      <c r="AG132" s="368">
        <f t="array" ref="AG132">IFERROR((終値!$E$5-INDEX(終値!$E$5:$CZ$5,1,$AL$2))/INDEX(終値!$E$5:$CZ$5,1,$AL$2)*100,"")</f>
        <v>2.31989243802786</v>
      </c>
      <c r="AH132" s="369">
        <f t="shared" si="42"/>
        <v>-18.173161975507924</v>
      </c>
      <c r="AI132" s="367">
        <f t="shared" si="43"/>
        <v>-2</v>
      </c>
    </row>
    <row r="133" spans="1:35" s="177" customFormat="1" ht="18" customHeight="1">
      <c r="A133" s="166" t="str">
        <f>IF(銘柄管理!B20&lt;&gt;"",HYPERLINK("https://kabutan.jp/stock/?code="&amp;銘柄管理!B20,"株探"),"")</f>
        <v>株探</v>
      </c>
      <c r="B133" s="167"/>
      <c r="C133" s="168">
        <f>IF(銘柄管理!B20="","",銘柄管理!B20)</f>
        <v>5541</v>
      </c>
      <c r="D133" s="106" t="str">
        <f>IF(銘柄管理!C20="","",銘柄管理!C20)</f>
        <v/>
      </c>
      <c r="E133" s="169" t="str">
        <f>IF(C133&lt;&gt;"",_xll.RssMarket(C133,"現在値"),"")</f>
        <v/>
      </c>
      <c r="F133" s="169" t="str">
        <f>IF(C133&lt;&gt;"",_xll.RssMarket(C133,"始値"),"")</f>
        <v/>
      </c>
      <c r="G133" s="168">
        <f>IF(C133&lt;&gt;"",終値!F20,"")</f>
        <v>2295</v>
      </c>
      <c r="H133" s="169" t="str">
        <f>IF(C133&lt;&gt;"",_xll.RssMarket(C133,"高値"),"")</f>
        <v/>
      </c>
      <c r="I133" s="169" t="str">
        <f>IF(C133&lt;&gt;"",_xll.RssMarket(C133,"安値"),"")</f>
        <v/>
      </c>
      <c r="J133" s="169" t="str">
        <f>IF(C133&lt;&gt;"",_xll.RssMarket(C133,"出来高"),"")</f>
        <v/>
      </c>
      <c r="K133" s="169" t="str">
        <f>IF(C133&lt;&gt;"",_xll.RssMarket(C133,"年初来高値"),"")</f>
        <v/>
      </c>
      <c r="L133" s="170" t="str">
        <f t="shared" si="34"/>
        <v/>
      </c>
      <c r="M133" s="169">
        <f>IF(C133&lt;&gt;"",IFERROR(AVERAGE(出来高!E20:I20),""),"")</f>
        <v>171840</v>
      </c>
      <c r="N133" s="169">
        <f>IF(C133&lt;&gt;"",IFERROR(AVERAGE(出来高!E20:AC20),""),"")</f>
        <v>194108</v>
      </c>
      <c r="O133" s="171" t="str">
        <f t="shared" si="35"/>
        <v/>
      </c>
      <c r="P133" s="166" t="str">
        <f t="shared" si="36"/>
        <v/>
      </c>
      <c r="Q133" s="166" t="str">
        <f t="shared" si="37"/>
        <v/>
      </c>
      <c r="R133" s="169" t="str">
        <f t="shared" si="44"/>
        <v/>
      </c>
      <c r="S133" s="169" t="str">
        <f t="shared" si="45"/>
        <v/>
      </c>
      <c r="T133" s="166">
        <f t="shared" si="38"/>
        <v>0</v>
      </c>
      <c r="U133" s="166" t="str">
        <f t="shared" si="46"/>
        <v>除外</v>
      </c>
      <c r="V133" s="166" t="str">
        <f t="shared" si="39"/>
        <v/>
      </c>
      <c r="W133" s="172">
        <f t="array" ref="W133">IF(C133&lt;&gt;"",IFERROR(100-100/(1+SUMPRODUCT((終値!F20:R20&gt;終値!G20:S20)*( 終値!F20:R20-終値!G20:S20))/SUMPRODUCT((終値!F20:R20&lt;終値!G20:S20)*(終値!G20:S20-終値!F20:R20))),50),"")</f>
        <v>63.30472103004292</v>
      </c>
      <c r="X133" s="173">
        <f>IF(C133&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10.555331775719424</v>
      </c>
      <c r="Y133" s="1" t="e">
        <f>IF(T133="","",IF(銘柄管理!$F$5="下落▼",IF(AND(AD133="パーフェクト▲",OR(AE133="25日線押し目●",AE133="5日線押し目○")),"★逆張り候補",IF(AND(AD133="上昇トレンド▲",OR(AE133="25日線押し目●",AE133="5日線押し目○")),"○逆張り候補",IF(W133&lt;=30,IF(Z133&gt;0,"◎反発確認",IF(Z133&lt;-5,"△要注意・様子見","△売られ過ぎ注目")),"相場下落・見送り"))),IF(AND(T133&gt;=12,AD133="パーフェクト▲"),"★強い買い",IF(AND(T133&gt;=12,AD133="上昇トレンド▲"),"★強い買い",IF(AND(T133&gt;=8,OR(AE133="25日線押し目●",AE133="5日線押し目○")),"◎押し目買い",IF(T133&gt;=10,"○買い候補",IF(T133&gt;=6,"△注目",IF(T133&gt;=3,"様子見","見送り"))))))))</f>
        <v>#VALUE!</v>
      </c>
      <c r="Z133" s="174" t="str">
        <f t="shared" si="47"/>
        <v/>
      </c>
      <c r="AA133" s="166" t="str">
        <f t="shared" si="48"/>
        <v/>
      </c>
      <c r="AB133" s="408">
        <f>IF(C133="","",IFERROR(((終値!E135*0.333)+(終値!F135*0.222)+(終値!G135*0.148)+(終値!H135*0.099)+(終値!I135*0.066)+(終値!J135*0.044)+(終値!K135*0.029)+(終値!L135*0.019)+(終値!M135*0.013)+(終値!N135*0.009))/(0.333+0.222+0.148+0.099+0.066+0.044+0.029+0.019+0.013+0.009),""))</f>
        <v>1734.0234215885944</v>
      </c>
      <c r="AC133" s="408">
        <f>IF(C133="","",IFERROR(SUMPRODUCT((終値!E135:AC135),({0.077,0.071,0.065,0.06,0.055,0.051,0.047,0.043,0.039,0.036,0.033,0.031,0.028,0.026,0.024,0.022,0.02,0.018,0.017,0.016,0.014,0.013,0.012,0.011,0.01}))/SUM({0.077,0.071,0.065,0.06,0.055,0.051,0.047,0.043,0.039,0.036,0.033,0.031,0.028,0.026,0.024,0.022,0.02,0.018,0.017,0.016,0.014,0.013,0.012,0.011,0.01}),""))</f>
        <v>1775.0083432657916</v>
      </c>
      <c r="AD133" s="409" t="str">
        <f t="shared" si="40"/>
        <v>上昇トレンド▲</v>
      </c>
      <c r="AE133" s="409" t="e">
        <f t="shared" si="41"/>
        <v>#VALUE!</v>
      </c>
      <c r="AF133" s="368">
        <f t="array" ref="AF133">IF(C133="","",IFERROR((INDEX(終値!$E:$E,MATCH(TEXT(C133,"0"),終値!$A:$A,0))-INDEX(終値!$E:$CZ,MATCH(TEXT(C133,"0"),終値!$A:$A,0),$AL$2))/INDEX(終値!$E:$CZ,MATCH(TEXT(C133,"0"),終値!$A:$A,0),$AL$2)*100,""))</f>
        <v>3.2272727272727271</v>
      </c>
      <c r="AG133" s="368">
        <f t="array" ref="AG133">IFERROR((終値!$E$5-INDEX(終値!$E$5:$CZ$5,1,$AL$2))/INDEX(終値!$E$5:$CZ$5,1,$AL$2)*100,"")</f>
        <v>2.31989243802786</v>
      </c>
      <c r="AH133" s="369">
        <f t="shared" si="42"/>
        <v>0.90738028924486702</v>
      </c>
      <c r="AI133" s="367">
        <f t="shared" si="43"/>
        <v>1</v>
      </c>
    </row>
    <row r="134" spans="1:35" s="177" customFormat="1" ht="18" customHeight="1">
      <c r="A134" s="166" t="str">
        <f>IF(銘柄管理!B51&lt;&gt;"",HYPERLINK("https://kabutan.jp/stock/?code="&amp;銘柄管理!B51,"株探"),"")</f>
        <v>株探</v>
      </c>
      <c r="B134" s="167"/>
      <c r="C134" s="168">
        <f>IF(銘柄管理!B51="","",銘柄管理!B51)</f>
        <v>5449</v>
      </c>
      <c r="D134" s="106" t="str">
        <f>IF(銘柄管理!C51="","",銘柄管理!C51)</f>
        <v/>
      </c>
      <c r="E134" s="169" t="str">
        <f>IF(C134&lt;&gt;"",_xll.RssMarket(C134,"現在値"),"")</f>
        <v/>
      </c>
      <c r="F134" s="169" t="str">
        <f>IF(C134&lt;&gt;"",_xll.RssMarket(C134,"始値"),"")</f>
        <v/>
      </c>
      <c r="G134" s="168">
        <f>IF(C134&lt;&gt;"",終値!F51,"")</f>
        <v>2537</v>
      </c>
      <c r="H134" s="169" t="str">
        <f>IF(C134&lt;&gt;"",_xll.RssMarket(C134,"高値"),"")</f>
        <v/>
      </c>
      <c r="I134" s="169" t="str">
        <f>IF(C134&lt;&gt;"",_xll.RssMarket(C134,"安値"),"")</f>
        <v/>
      </c>
      <c r="J134" s="169" t="str">
        <f>IF(C134&lt;&gt;"",_xll.RssMarket(C134,"出来高"),"")</f>
        <v/>
      </c>
      <c r="K134" s="169" t="str">
        <f>IF(C134&lt;&gt;"",_xll.RssMarket(C134,"年初来高値"),"")</f>
        <v/>
      </c>
      <c r="L134" s="170" t="str">
        <f t="shared" si="34"/>
        <v/>
      </c>
      <c r="M134" s="169">
        <f>IF(C134&lt;&gt;"",IFERROR(AVERAGE(出来高!E51:I51),""),"")</f>
        <v>24580</v>
      </c>
      <c r="N134" s="169">
        <f>IF(C134&lt;&gt;"",IFERROR(AVERAGE(出来高!E51:AC51),""),"")</f>
        <v>38964</v>
      </c>
      <c r="O134" s="171" t="str">
        <f t="shared" si="35"/>
        <v/>
      </c>
      <c r="P134" s="166" t="str">
        <f t="shared" si="36"/>
        <v/>
      </c>
      <c r="Q134" s="166" t="str">
        <f t="shared" si="37"/>
        <v/>
      </c>
      <c r="R134" s="169" t="str">
        <f t="shared" si="44"/>
        <v/>
      </c>
      <c r="S134" s="169" t="str">
        <f t="shared" si="45"/>
        <v/>
      </c>
      <c r="T134" s="166">
        <f t="shared" si="38"/>
        <v>0</v>
      </c>
      <c r="U134" s="166" t="str">
        <f t="shared" si="46"/>
        <v>除外</v>
      </c>
      <c r="V134" s="166" t="str">
        <f t="shared" si="39"/>
        <v/>
      </c>
      <c r="W134" s="172">
        <f t="array" ref="W134">IF(C134&lt;&gt;"",IFERROR(100-100/(1+SUMPRODUCT((終値!F51:R51&gt;終値!G51:S51)*( 終値!F51:R51-終値!G51:S51))/SUMPRODUCT((終値!F51:R51&lt;終値!G51:S51)*(終値!G51:S51-終値!F51:R51))),50),"")</f>
        <v>68.306801736613608</v>
      </c>
      <c r="X134" s="173">
        <f>IF(C134&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27.706056782586984</v>
      </c>
      <c r="Y134" s="1" t="e">
        <f>IF(T134="","",IF(銘柄管理!$F$5="下落▼",IF(AND(AD134="パーフェクト▲",OR(AE134="25日線押し目●",AE134="5日線押し目○")),"★逆張り候補",IF(AND(AD134="上昇トレンド▲",OR(AE134="25日線押し目●",AE134="5日線押し目○")),"○逆張り候補",IF(W134&lt;=30,IF(Z134&gt;0,"◎反発確認",IF(Z134&lt;-5,"△要注意・様子見","△売られ過ぎ注目")),"相場下落・見送り"))),IF(AND(T134&gt;=12,AD134="パーフェクト▲"),"★強い買い",IF(AND(T134&gt;=12,AD134="上昇トレンド▲"),"★強い買い",IF(AND(T134&gt;=8,OR(AE134="25日線押し目●",AE134="5日線押し目○")),"◎押し目買い",IF(T134&gt;=10,"○買い候補",IF(T134&gt;=6,"△注目",IF(T134&gt;=3,"様子見","見送り"))))))))</f>
        <v>#VALUE!</v>
      </c>
      <c r="Z134" s="174" t="str">
        <f t="shared" si="47"/>
        <v/>
      </c>
      <c r="AA134" s="166" t="str">
        <f t="shared" si="48"/>
        <v/>
      </c>
      <c r="AB134" s="406">
        <f>IF(C134="","",IFERROR(((終値!E136*0.333)+(終値!F136*0.222)+(終値!G136*0.148)+(終値!H136*0.099)+(終値!I136*0.066)+(終値!J136*0.044)+(終値!K136*0.029)+(終値!L136*0.019)+(終値!M136*0.013)+(終値!N136*0.009))/(0.333+0.222+0.148+0.099+0.066+0.044+0.029+0.019+0.013+0.009),""))</f>
        <v>1002.478615071283</v>
      </c>
      <c r="AC134" s="406">
        <f>IF(C134="","",IFERROR(SUMPRODUCT((終値!E136:AC136),({0.077,0.071,0.065,0.06,0.055,0.051,0.047,0.043,0.039,0.036,0.033,0.031,0.028,0.026,0.024,0.022,0.02,0.018,0.017,0.016,0.014,0.013,0.012,0.011,0.01}))/SUM({0.077,0.071,0.065,0.06,0.055,0.051,0.047,0.043,0.039,0.036,0.033,0.031,0.028,0.026,0.024,0.022,0.02,0.018,0.017,0.016,0.014,0.013,0.012,0.011,0.01}),""))</f>
        <v>1083.974970202622</v>
      </c>
      <c r="AD134" s="407" t="str">
        <f t="shared" si="40"/>
        <v>上昇トレンド▲</v>
      </c>
      <c r="AE134" s="407" t="e">
        <f t="shared" si="41"/>
        <v>#VALUE!</v>
      </c>
      <c r="AF134" s="368">
        <f t="array" ref="AF134">IF(C134="","",IFERROR((INDEX(終値!$E:$E,MATCH(TEXT(C134,"0"),終値!$A:$A,0))-INDEX(終値!$E:$CZ,MATCH(TEXT(C134,"0"),終値!$A:$A,0),$AL$2))/INDEX(終値!$E:$CZ,MATCH(TEXT(C134,"0"),終値!$A:$A,0),$AL$2)*100,""))</f>
        <v>10.583623693379792</v>
      </c>
      <c r="AG134" s="368">
        <f t="array" ref="AG134">IFERROR((終値!$E$5-INDEX(終値!$E$5:$CZ$5,1,$AL$2))/INDEX(終値!$E$5:$CZ$5,1,$AL$2)*100,"")</f>
        <v>2.31989243802786</v>
      </c>
      <c r="AH134" s="369">
        <f t="shared" si="42"/>
        <v>8.2637312553519315</v>
      </c>
      <c r="AI134" s="367">
        <f t="shared" si="43"/>
        <v>3</v>
      </c>
    </row>
    <row r="135" spans="1:35" s="177" customFormat="1" ht="18" customHeight="1">
      <c r="A135" s="166" t="str">
        <f>IF(銘柄管理!B180&lt;&gt;"",HYPERLINK("https://kabutan.jp/stock/?code="&amp;銘柄管理!B180,"株探"),"")</f>
        <v>株探</v>
      </c>
      <c r="B135" s="167"/>
      <c r="C135" s="168">
        <f>IF(銘柄管理!B180="","",銘柄管理!B180)</f>
        <v>5440</v>
      </c>
      <c r="D135" s="106" t="str">
        <f>IF(銘柄管理!C180="","",銘柄管理!C180)</f>
        <v/>
      </c>
      <c r="E135" s="169" t="str">
        <f>IF(C135&lt;&gt;"",_xll.RssMarket(C135,"現在値"),"")</f>
        <v/>
      </c>
      <c r="F135" s="169" t="str">
        <f>IF(C135&lt;&gt;"",_xll.RssMarket(C135,"始値"),"")</f>
        <v/>
      </c>
      <c r="G135" s="168">
        <f>IF(C135&lt;&gt;"",終値!F180,"")</f>
        <v>1844</v>
      </c>
      <c r="H135" s="169" t="str">
        <f>IF(C135&lt;&gt;"",_xll.RssMarket(C135,"高値"),"")</f>
        <v/>
      </c>
      <c r="I135" s="169" t="str">
        <f>IF(C135&lt;&gt;"",_xll.RssMarket(C135,"安値"),"")</f>
        <v/>
      </c>
      <c r="J135" s="169" t="str">
        <f>IF(C135&lt;&gt;"",_xll.RssMarket(C135,"出来高"),"")</f>
        <v/>
      </c>
      <c r="K135" s="169" t="str">
        <f>IF(C135&lt;&gt;"",_xll.RssMarket(C135,"年初来高値"),"")</f>
        <v/>
      </c>
      <c r="L135" s="170" t="str">
        <f t="shared" si="34"/>
        <v/>
      </c>
      <c r="M135" s="169">
        <f>IF(C135&lt;&gt;"",IFERROR(AVERAGE(出来高!E180:I180),""),"")</f>
        <v>93140</v>
      </c>
      <c r="N135" s="169">
        <f>IF(C135&lt;&gt;"",IFERROR(AVERAGE(出来高!E180:AC180),""),"")</f>
        <v>128320</v>
      </c>
      <c r="O135" s="171" t="str">
        <f t="shared" si="35"/>
        <v/>
      </c>
      <c r="P135" s="166" t="str">
        <f t="shared" si="36"/>
        <v/>
      </c>
      <c r="Q135" s="166" t="str">
        <f t="shared" si="37"/>
        <v/>
      </c>
      <c r="R135" s="169" t="str">
        <f t="shared" si="44"/>
        <v/>
      </c>
      <c r="S135" s="169" t="str">
        <f t="shared" si="45"/>
        <v/>
      </c>
      <c r="T135" s="166">
        <f t="shared" si="38"/>
        <v>0</v>
      </c>
      <c r="U135" s="166" t="str">
        <f t="shared" si="46"/>
        <v>除外</v>
      </c>
      <c r="V135" s="166" t="str">
        <f t="shared" si="39"/>
        <v/>
      </c>
      <c r="W135" s="172">
        <f t="array" ref="W135">IF(C135&lt;&gt;"",IFERROR(100-100/(1+SUMPRODUCT((終値!F180:R180&gt;終値!G180:S180)*( 終値!F180:R180-終値!G180:S180))/SUMPRODUCT((終値!F180:R180&lt;終値!G180:S180)*(終値!G180:S180-終値!F180:R180))),50),"")</f>
        <v>80.176211453744486</v>
      </c>
      <c r="X135" s="173">
        <f>IF(C135&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12.365377190643812</v>
      </c>
      <c r="Y135" s="1" t="e">
        <f>IF(T135="","",IF(銘柄管理!$F$5="下落▼",IF(AND(AD135="パーフェクト▲",OR(AE135="25日線押し目●",AE135="5日線押し目○")),"★逆張り候補",IF(AND(AD135="上昇トレンド▲",OR(AE135="25日線押し目●",AE135="5日線押し目○")),"○逆張り候補",IF(W135&lt;=30,IF(Z135&gt;0,"◎反発確認",IF(Z135&lt;-5,"△要注意・様子見","△売られ過ぎ注目")),"相場下落・見送り"))),IF(AND(T135&gt;=12,AD135="パーフェクト▲"),"★強い買い",IF(AND(T135&gt;=12,AD135="上昇トレンド▲"),"★強い買い",IF(AND(T135&gt;=8,OR(AE135="25日線押し目●",AE135="5日線押し目○")),"◎押し目買い",IF(T135&gt;=10,"○買い候補",IF(T135&gt;=6,"△注目",IF(T135&gt;=3,"様子見","見送り"))))))))</f>
        <v>#VALUE!</v>
      </c>
      <c r="Z135" s="174" t="str">
        <f t="shared" si="47"/>
        <v/>
      </c>
      <c r="AA135" s="166" t="str">
        <f t="shared" si="48"/>
        <v/>
      </c>
      <c r="AB135" s="408">
        <f>IF(C135="","",IFERROR(((終値!E137*0.333)+(終値!F137*0.222)+(終値!G137*0.148)+(終値!H137*0.099)+(終値!I137*0.066)+(終値!J137*0.044)+(終値!K137*0.029)+(終値!L137*0.019)+(終値!M137*0.013)+(終値!N137*0.009))/(0.333+0.222+0.148+0.099+0.066+0.044+0.029+0.019+0.013+0.009),""))</f>
        <v>192.2016293279022</v>
      </c>
      <c r="AC135" s="408">
        <f>IF(C135="","",IFERROR(SUMPRODUCT((終値!E137:AC137),({0.077,0.071,0.065,0.06,0.055,0.051,0.047,0.043,0.039,0.036,0.033,0.031,0.028,0.026,0.024,0.022,0.02,0.018,0.017,0.016,0.014,0.013,0.012,0.011,0.01}))/SUM({0.077,0.071,0.065,0.06,0.055,0.051,0.047,0.043,0.039,0.036,0.033,0.031,0.028,0.026,0.024,0.022,0.02,0.018,0.017,0.016,0.014,0.013,0.012,0.011,0.01}),""))</f>
        <v>244.66269368295579</v>
      </c>
      <c r="AD135" s="409" t="str">
        <f t="shared" si="40"/>
        <v>上昇トレンド▲</v>
      </c>
      <c r="AE135" s="409" t="e">
        <f t="shared" si="41"/>
        <v>#VALUE!</v>
      </c>
      <c r="AF135" s="368">
        <f t="array" ref="AF135">IF(C135="","",IFERROR((INDEX(終値!$E:$E,MATCH(TEXT(C135,"0"),終値!$A:$A,0))-INDEX(終値!$E:$CZ,MATCH(TEXT(C135,"0"),終値!$A:$A,0),$AL$2))/INDEX(終値!$E:$CZ,MATCH(TEXT(C135,"0"),終値!$A:$A,0),$AL$2)*100,""))</f>
        <v>5.1487414187643026</v>
      </c>
      <c r="AG135" s="368">
        <f t="array" ref="AG135">IFERROR((終値!$E$5-INDEX(終値!$E$5:$CZ$5,1,$AL$2))/INDEX(終値!$E$5:$CZ$5,1,$AL$2)*100,"")</f>
        <v>2.31989243802786</v>
      </c>
      <c r="AH135" s="369">
        <f t="shared" si="42"/>
        <v>2.8288489807364425</v>
      </c>
      <c r="AI135" s="367">
        <f t="shared" si="43"/>
        <v>1</v>
      </c>
    </row>
    <row r="136" spans="1:35" s="177" customFormat="1" ht="18" customHeight="1">
      <c r="A136" s="166" t="str">
        <f>IF(銘柄管理!B7&lt;&gt;"",HYPERLINK("https://kabutan.jp/stock/?code="&amp;銘柄管理!B7,"株探"),"")</f>
        <v>株探</v>
      </c>
      <c r="B136" s="167"/>
      <c r="C136" s="168">
        <f>IF(銘柄管理!B7="","",銘柄管理!B7)</f>
        <v>5423</v>
      </c>
      <c r="D136" s="106" t="str">
        <f>IF(銘柄管理!C7="","",銘柄管理!C7)</f>
        <v/>
      </c>
      <c r="E136" s="169" t="str">
        <f>IF(C136&lt;&gt;"",_xll.RssMarket(C136,"現在値"),"")</f>
        <v/>
      </c>
      <c r="F136" s="169" t="str">
        <f>IF(C136&lt;&gt;"",_xll.RssMarket(C136,"始値"),"")</f>
        <v/>
      </c>
      <c r="G136" s="168">
        <f>IF(C136&lt;&gt;"",終値!F7,"")</f>
        <v>1767</v>
      </c>
      <c r="H136" s="169" t="str">
        <f>IF(C136&lt;&gt;"",_xll.RssMarket(C136,"高値"),"")</f>
        <v/>
      </c>
      <c r="I136" s="169" t="str">
        <f>IF(C136&lt;&gt;"",_xll.RssMarket(C136,"安値"),"")</f>
        <v/>
      </c>
      <c r="J136" s="169" t="str">
        <f>IF(C136&lt;&gt;"",_xll.RssMarket(C136,"出来高"),"")</f>
        <v/>
      </c>
      <c r="K136" s="169" t="str">
        <f>IF(C136&lt;&gt;"",_xll.RssMarket(C136,"年初来高値"),"")</f>
        <v/>
      </c>
      <c r="L136" s="170" t="str">
        <f t="shared" si="34"/>
        <v/>
      </c>
      <c r="M136" s="169">
        <f>IF(C136&lt;&gt;"",IFERROR(AVERAGE(出来高!F7:J7),""),"")</f>
        <v>288540</v>
      </c>
      <c r="N136" s="169">
        <f>IF(C136&lt;&gt;"",IFERROR(AVERAGE(出来高!F7:AD7),""),"")</f>
        <v>283160</v>
      </c>
      <c r="O136" s="171" t="str">
        <f t="shared" si="35"/>
        <v/>
      </c>
      <c r="P136" s="166" t="str">
        <f t="shared" si="36"/>
        <v/>
      </c>
      <c r="Q136" s="166" t="str">
        <f t="shared" si="37"/>
        <v/>
      </c>
      <c r="R136" s="169" t="str">
        <f t="shared" si="44"/>
        <v/>
      </c>
      <c r="S136" s="169" t="str">
        <f t="shared" si="45"/>
        <v/>
      </c>
      <c r="T136" s="166">
        <f t="shared" si="38"/>
        <v>0</v>
      </c>
      <c r="U136" s="166" t="str">
        <f t="shared" si="46"/>
        <v>除外</v>
      </c>
      <c r="V136" s="166" t="str">
        <f t="shared" si="39"/>
        <v/>
      </c>
      <c r="W136" s="172">
        <f t="array" ref="W136">IF(C136&lt;&gt;"",IFERROR(100-100/(1+SUMPRODUCT((終値!F7:R7&gt;終値!G7:S7)*( 終値!F7:R7-終値!G7:S7))/SUMPRODUCT((終値!F7:R7&lt;終値!G7:S7)*(終値!G7:S7-終値!F7:R7))),50),"")</f>
        <v>76.646706586826355</v>
      </c>
      <c r="X136" s="173">
        <f>IF(C136&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4.5107487292982569</v>
      </c>
      <c r="Y136" s="1" t="e">
        <f>IF(T136="","",IF(銘柄管理!$F$5="下落▼",IF(AND(AD136="パーフェクト▲",OR(AE136="25日線押し目●",AE136="5日線押し目○")),"★逆張り候補",IF(AND(AD136="上昇トレンド▲",OR(AE136="25日線押し目●",AE136="5日線押し目○")),"○逆張り候補",IF(W136&lt;=30,IF(Z136&gt;0,"◎反発確認",IF(Z136&lt;-5,"△要注意・様子見","△売られ過ぎ注目")),"相場下落・見送り"))),IF(AND(T136&gt;=12,AD136="パーフェクト▲"),"★強い買い",IF(AND(T136&gt;=12,AD136="上昇トレンド▲"),"★強い買い",IF(AND(T136&gt;=8,OR(AE136="25日線押し目●",AE136="5日線押し目○")),"◎押し目買い",IF(T136&gt;=10,"○買い候補",IF(T136&gt;=6,"△注目",IF(T136&gt;=3,"様子見","見送り"))))))))</f>
        <v>#VALUE!</v>
      </c>
      <c r="Z136" s="174" t="str">
        <f t="shared" si="47"/>
        <v/>
      </c>
      <c r="AA136" s="166" t="str">
        <f t="shared" si="48"/>
        <v/>
      </c>
      <c r="AB136" s="406">
        <f>IF(C136="","",IFERROR(((終値!E138*0.333)+(終値!F138*0.222)+(終値!G138*0.148)+(終値!H138*0.099)+(終値!I138*0.066)+(終値!J138*0.044)+(終値!K138*0.029)+(終値!L138*0.019)+(終値!M138*0.013)+(終値!N138*0.009))/(0.333+0.222+0.148+0.099+0.066+0.044+0.029+0.019+0.013+0.009),""))</f>
        <v>908.26985743380828</v>
      </c>
      <c r="AC136" s="406">
        <f>IF(C136="","",IFERROR(SUMPRODUCT((終値!E138:AC138),({0.077,0.071,0.065,0.06,0.055,0.051,0.047,0.043,0.039,0.036,0.033,0.031,0.028,0.026,0.024,0.022,0.02,0.018,0.017,0.016,0.014,0.013,0.012,0.011,0.01}))/SUM({0.077,0.071,0.065,0.06,0.055,0.051,0.047,0.043,0.039,0.036,0.033,0.031,0.028,0.026,0.024,0.022,0.02,0.018,0.017,0.016,0.014,0.013,0.012,0.011,0.01}),""))</f>
        <v>990.49702026221644</v>
      </c>
      <c r="AD136" s="407" t="str">
        <f t="shared" si="40"/>
        <v>上昇トレンド▲</v>
      </c>
      <c r="AE136" s="407" t="e">
        <f t="shared" si="41"/>
        <v>#VALUE!</v>
      </c>
      <c r="AF136" s="368">
        <f t="array" ref="AF136">IF(C136="","",IFERROR((INDEX(終値!$E:$E,MATCH(TEXT(C136,"0"),終値!$A:$A,0))-INDEX(終値!$E:$CZ,MATCH(TEXT(C136,"0"),終値!$A:$A,0),$AL$2))/INDEX(終値!$E:$CZ,MATCH(TEXT(C136,"0"),終値!$A:$A,0),$AL$2)*100,""))</f>
        <v>2.8840494408475572</v>
      </c>
      <c r="AG136" s="368">
        <f t="array" ref="AG136">IFERROR((終値!$E$5-INDEX(終値!$E$5:$CZ$5,1,$AL$2))/INDEX(終値!$E$5:$CZ$5,1,$AL$2)*100,"")</f>
        <v>2.31989243802786</v>
      </c>
      <c r="AH136" s="369">
        <f t="shared" si="42"/>
        <v>0.56415700281969716</v>
      </c>
      <c r="AI136" s="367">
        <f t="shared" si="43"/>
        <v>1</v>
      </c>
    </row>
    <row r="137" spans="1:35" s="177" customFormat="1" ht="18" customHeight="1">
      <c r="A137" s="166" t="str">
        <f>IF(銘柄管理!B84&lt;&gt;"",HYPERLINK("https://kabutan.jp/stock/?code="&amp;銘柄管理!B84,"株探"),"")</f>
        <v>株探</v>
      </c>
      <c r="B137" s="167"/>
      <c r="C137" s="168">
        <f>IF(銘柄管理!B84="","",銘柄管理!B84)</f>
        <v>5411</v>
      </c>
      <c r="D137" s="106" t="str">
        <f>IF(銘柄管理!C84="","",銘柄管理!C84)</f>
        <v/>
      </c>
      <c r="E137" s="169" t="str">
        <f>IF(C137&lt;&gt;"",_xll.RssMarket(C137,"現在値"),"")</f>
        <v/>
      </c>
      <c r="F137" s="169" t="str">
        <f>IF(C137&lt;&gt;"",_xll.RssMarket(C137,"始値"),"")</f>
        <v/>
      </c>
      <c r="G137" s="168">
        <f>IF(C137&lt;&gt;"",終値!F84,"")</f>
        <v>1679</v>
      </c>
      <c r="H137" s="169" t="str">
        <f>IF(C137&lt;&gt;"",_xll.RssMarket(C137,"高値"),"")</f>
        <v/>
      </c>
      <c r="I137" s="169" t="str">
        <f>IF(C137&lt;&gt;"",_xll.RssMarket(C137,"安値"),"")</f>
        <v/>
      </c>
      <c r="J137" s="169" t="str">
        <f>IF(C137&lt;&gt;"",_xll.RssMarket(C137,"出来高"),"")</f>
        <v/>
      </c>
      <c r="K137" s="169" t="str">
        <f>IF(C137&lt;&gt;"",_xll.RssMarket(C137,"年初来高値"),"")</f>
        <v/>
      </c>
      <c r="L137" s="170" t="str">
        <f t="shared" si="34"/>
        <v/>
      </c>
      <c r="M137" s="169">
        <f>IF(C137&lt;&gt;"",IFERROR(AVERAGE(出来高!E84:I84),""),"")</f>
        <v>4412340</v>
      </c>
      <c r="N137" s="169">
        <f>IF(C137&lt;&gt;"",IFERROR(AVERAGE(出来高!E84:AC84),""),"")</f>
        <v>4913964</v>
      </c>
      <c r="O137" s="171" t="str">
        <f t="shared" si="35"/>
        <v/>
      </c>
      <c r="P137" s="166" t="str">
        <f t="shared" si="36"/>
        <v/>
      </c>
      <c r="Q137" s="166" t="str">
        <f t="shared" si="37"/>
        <v/>
      </c>
      <c r="R137" s="169" t="str">
        <f t="shared" si="44"/>
        <v/>
      </c>
      <c r="S137" s="169" t="str">
        <f t="shared" si="45"/>
        <v/>
      </c>
      <c r="T137" s="166">
        <f t="shared" si="38"/>
        <v>0</v>
      </c>
      <c r="U137" s="166" t="str">
        <f t="shared" si="46"/>
        <v>除外</v>
      </c>
      <c r="V137" s="166" t="str">
        <f t="shared" si="39"/>
        <v/>
      </c>
      <c r="W137" s="172">
        <f t="array" ref="W137">IF(C137&lt;&gt;"",IFERROR(100-100/(1+SUMPRODUCT((終値!F84:R84&gt;終値!G84:S84)*( 終値!F84:R84-終値!G84:S84))/SUMPRODUCT((終値!F84:R84&lt;終値!G84:S84)*(終値!G84:S84-終値!F84:R84))),50),"")</f>
        <v>79.820627802690581</v>
      </c>
      <c r="X137" s="173">
        <f>IF(C137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12.004216104984607</v>
      </c>
      <c r="Y137" s="1" t="e">
        <f>IF(T137="","",IF(銘柄管理!$F$5="下落▼",IF(AND(AD137="パーフェクト▲",OR(AE137="25日線押し目●",AE137="5日線押し目○")),"★逆張り候補",IF(AND(AD137="上昇トレンド▲",OR(AE137="25日線押し目●",AE137="5日線押し目○")),"○逆張り候補",IF(W137&lt;=30,IF(Z137&gt;0,"◎反発確認",IF(Z137&lt;-5,"△要注意・様子見","△売られ過ぎ注目")),"相場下落・見送り"))),IF(AND(T137&gt;=12,AD137="パーフェクト▲"),"★強い買い",IF(AND(T137&gt;=12,AD137="上昇トレンド▲"),"★強い買い",IF(AND(T137&gt;=8,OR(AE137="25日線押し目●",AE137="5日線押し目○")),"◎押し目買い",IF(T137&gt;=10,"○買い候補",IF(T137&gt;=6,"△注目",IF(T137&gt;=3,"様子見","見送り"))))))))</f>
        <v>#VALUE!</v>
      </c>
      <c r="Z137" s="174" t="str">
        <f t="shared" si="47"/>
        <v/>
      </c>
      <c r="AA137" s="166" t="str">
        <f t="shared" si="48"/>
        <v/>
      </c>
      <c r="AB137" s="408">
        <f>IF(C137="","",IFERROR(((終値!E139*0.333)+(終値!F139*0.222)+(終値!G139*0.148)+(終値!H139*0.099)+(終値!I139*0.066)+(終値!J139*0.044)+(終値!K139*0.029)+(終値!L139*0.019)+(終値!M139*0.013)+(終値!N139*0.009))/(0.333+0.222+0.148+0.099+0.066+0.044+0.029+0.019+0.013+0.009),""))</f>
        <v>544.38594704684306</v>
      </c>
      <c r="AC137" s="408">
        <f>IF(C137="","",IFERROR(SUMPRODUCT((終値!E139:AC139),({0.077,0.071,0.065,0.06,0.055,0.051,0.047,0.043,0.039,0.036,0.033,0.031,0.028,0.026,0.024,0.022,0.02,0.018,0.017,0.016,0.014,0.013,0.012,0.011,0.01}))/SUM({0.077,0.071,0.065,0.06,0.055,0.051,0.047,0.043,0.039,0.036,0.033,0.031,0.028,0.026,0.024,0.022,0.02,0.018,0.017,0.016,0.014,0.013,0.012,0.011,0.01}),""))</f>
        <v>573.97497020262188</v>
      </c>
      <c r="AD137" s="409" t="str">
        <f t="shared" si="40"/>
        <v>上昇トレンド▲</v>
      </c>
      <c r="AE137" s="409" t="e">
        <f t="shared" si="41"/>
        <v>#VALUE!</v>
      </c>
      <c r="AF137" s="368">
        <f t="array" ref="AF137">IF(C137="","",IFERROR((INDEX(終値!$E:$E,MATCH(TEXT(C137,"0"),終値!$A:$A,0))-INDEX(終値!$E:$CZ,MATCH(TEXT(C137,"0"),終値!$A:$A,0),$AL$2))/INDEX(終値!$E:$CZ,MATCH(TEXT(C137,"0"),終値!$A:$A,0),$AL$2)*100,""))</f>
        <v>7.4367088607594933</v>
      </c>
      <c r="AG137" s="368">
        <f t="array" ref="AG137">IFERROR((終値!$E$5-INDEX(終値!$E$5:$CZ$5,1,$AL$2))/INDEX(終値!$E$5:$CZ$5,1,$AL$2)*100,"")</f>
        <v>2.31989243802786</v>
      </c>
      <c r="AH137" s="369">
        <f t="shared" si="42"/>
        <v>5.1168164227316328</v>
      </c>
      <c r="AI137" s="367">
        <f t="shared" si="43"/>
        <v>3</v>
      </c>
    </row>
    <row r="138" spans="1:35" s="177" customFormat="1" ht="18" customHeight="1">
      <c r="A138" s="166" t="str">
        <f>IF(銘柄管理!B179&lt;&gt;"",HYPERLINK("https://kabutan.jp/stock/?code="&amp;銘柄管理!B179,"株探"),"")</f>
        <v>株探</v>
      </c>
      <c r="B138" s="167"/>
      <c r="C138" s="168">
        <f>IF(銘柄管理!B179="","",銘柄管理!B179)</f>
        <v>5410</v>
      </c>
      <c r="D138" s="106" t="str">
        <f>IF(銘柄管理!C179="","",銘柄管理!C179)</f>
        <v/>
      </c>
      <c r="E138" s="169" t="str">
        <f>IF(C138&lt;&gt;"",_xll.RssMarket(C138,"現在値"),"")</f>
        <v/>
      </c>
      <c r="F138" s="169" t="str">
        <f>IF(C138&lt;&gt;"",_xll.RssMarket(C138,"始値"),"")</f>
        <v/>
      </c>
      <c r="G138" s="168">
        <f>IF(C138&lt;&gt;"",終値!F179,"")</f>
        <v>2693</v>
      </c>
      <c r="H138" s="169" t="str">
        <f>IF(C138&lt;&gt;"",_xll.RssMarket(C138,"高値"),"")</f>
        <v/>
      </c>
      <c r="I138" s="169" t="str">
        <f>IF(C138&lt;&gt;"",_xll.RssMarket(C138,"安値"),"")</f>
        <v/>
      </c>
      <c r="J138" s="169" t="str">
        <f>IF(C138&lt;&gt;"",_xll.RssMarket(C138,"出来高"),"")</f>
        <v/>
      </c>
      <c r="K138" s="169" t="str">
        <f>IF(C138&lt;&gt;"",_xll.RssMarket(C138,"年初来高値"),"")</f>
        <v/>
      </c>
      <c r="L138" s="170" t="str">
        <f t="shared" si="34"/>
        <v/>
      </c>
      <c r="M138" s="169">
        <f>IF(C138&lt;&gt;"",IFERROR(AVERAGE(出来高!E179:I179),""),"")</f>
        <v>86600</v>
      </c>
      <c r="N138" s="169">
        <f>IF(C138&lt;&gt;"",IFERROR(AVERAGE(出来高!E179:AC179),""),"")</f>
        <v>96960</v>
      </c>
      <c r="O138" s="171" t="str">
        <f t="shared" si="35"/>
        <v/>
      </c>
      <c r="P138" s="166" t="str">
        <f t="shared" si="36"/>
        <v/>
      </c>
      <c r="Q138" s="166" t="str">
        <f t="shared" si="37"/>
        <v/>
      </c>
      <c r="R138" s="169" t="str">
        <f t="shared" si="44"/>
        <v/>
      </c>
      <c r="S138" s="169" t="str">
        <f t="shared" si="45"/>
        <v/>
      </c>
      <c r="T138" s="166">
        <f t="shared" si="38"/>
        <v>0</v>
      </c>
      <c r="U138" s="166" t="str">
        <f t="shared" si="46"/>
        <v>除外</v>
      </c>
      <c r="V138" s="166" t="str">
        <f t="shared" si="39"/>
        <v/>
      </c>
      <c r="W138" s="172">
        <f t="array" ref="W138">IF(C138&lt;&gt;"",IFERROR(100-100/(1+SUMPRODUCT((終値!F179:R179&gt;終値!G179:S179)*( 終値!F179:R179-終値!G179:S179))/SUMPRODUCT((終値!F179:R179&lt;終値!G179:S179)*(終値!G179:S179-終値!F179:R179))),50),"")</f>
        <v>70.192307692307693</v>
      </c>
      <c r="X138" s="173">
        <f>IF(C138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13.642157467591005</v>
      </c>
      <c r="Y138" s="1" t="e">
        <f>IF(T138="","",IF(銘柄管理!$F$5="下落▼",IF(AND(AD138="パーフェクト▲",OR(AE138="25日線押し目●",AE138="5日線押し目○")),"★逆張り候補",IF(AND(AD138="上昇トレンド▲",OR(AE138="25日線押し目●",AE138="5日線押し目○")),"○逆張り候補",IF(W138&lt;=30,IF(Z138&gt;0,"◎反発確認",IF(Z138&lt;-5,"△要注意・様子見","△売られ過ぎ注目")),"相場下落・見送り"))),IF(AND(T138&gt;=12,AD138="パーフェクト▲"),"★強い買い",IF(AND(T138&gt;=12,AD138="上昇トレンド▲"),"★強い買い",IF(AND(T138&gt;=8,OR(AE138="25日線押し目●",AE138="5日線押し目○")),"◎押し目買い",IF(T138&gt;=10,"○買い候補",IF(T138&gt;=6,"△注目",IF(T138&gt;=3,"様子見","見送り"))))))))</f>
        <v>#VALUE!</v>
      </c>
      <c r="Z138" s="174" t="str">
        <f t="shared" si="47"/>
        <v/>
      </c>
      <c r="AA138" s="166" t="str">
        <f t="shared" si="48"/>
        <v/>
      </c>
      <c r="AB138" s="406">
        <f>IF(C138="","",IFERROR(((終値!E140*0.333)+(終値!F140*0.222)+(終値!G140*0.148)+(終値!H140*0.099)+(終値!I140*0.066)+(終値!J140*0.044)+(終値!K140*0.029)+(終値!L140*0.019)+(終値!M140*0.013)+(終値!N140*0.009))/(0.333+0.222+0.148+0.099+0.066+0.044+0.029+0.019+0.013+0.009),""))</f>
        <v>49.383910386965361</v>
      </c>
      <c r="AC138" s="406">
        <f>IF(C138="","",IFERROR(SUMPRODUCT((終値!E140:AC140),({0.077,0.071,0.065,0.06,0.055,0.051,0.047,0.043,0.039,0.036,0.033,0.031,0.028,0.026,0.024,0.022,0.02,0.018,0.017,0.016,0.014,0.013,0.012,0.011,0.01}))/SUM({0.077,0.071,0.065,0.06,0.055,0.051,0.047,0.043,0.039,0.036,0.033,0.031,0.028,0.026,0.024,0.022,0.02,0.018,0.017,0.016,0.014,0.013,0.012,0.011,0.01}),""))</f>
        <v>52.29320619785458</v>
      </c>
      <c r="AD138" s="407" t="str">
        <f t="shared" si="40"/>
        <v>上昇トレンド▲</v>
      </c>
      <c r="AE138" s="407" t="e">
        <f t="shared" si="41"/>
        <v>#VALUE!</v>
      </c>
      <c r="AF138" s="368">
        <f t="array" ref="AF138">IF(C138="","",IFERROR((INDEX(終値!$E:$E,MATCH(TEXT(C138,"0"),終値!$A:$A,0))-INDEX(終値!$E:$CZ,MATCH(TEXT(C138,"0"),終値!$A:$A,0),$AL$2))/INDEX(終値!$E:$CZ,MATCH(TEXT(C138,"0"),終値!$A:$A,0),$AL$2)*100,""))</f>
        <v>5.6521739130434785</v>
      </c>
      <c r="AG138" s="368">
        <f t="array" ref="AG138">IFERROR((終値!$E$5-INDEX(終値!$E$5:$CZ$5,1,$AL$2))/INDEX(終値!$E$5:$CZ$5,1,$AL$2)*100,"")</f>
        <v>2.31989243802786</v>
      </c>
      <c r="AH138" s="369">
        <f t="shared" si="42"/>
        <v>3.3322814750156184</v>
      </c>
      <c r="AI138" s="367">
        <f t="shared" si="43"/>
        <v>1</v>
      </c>
    </row>
    <row r="139" spans="1:35" s="177" customFormat="1" ht="18" customHeight="1">
      <c r="A139" s="166" t="str">
        <f>IF(銘柄管理!B38&lt;&gt;"",HYPERLINK("https://kabutan.jp/stock/?code="&amp;銘柄管理!B38,"株探"),"")</f>
        <v>株探</v>
      </c>
      <c r="B139" s="167"/>
      <c r="C139" s="168">
        <f>IF(銘柄管理!B38="","",銘柄管理!B38)</f>
        <v>5406</v>
      </c>
      <c r="D139" s="106" t="str">
        <f>IF(銘柄管理!C38="","",銘柄管理!C38)</f>
        <v/>
      </c>
      <c r="E139" s="169" t="str">
        <f>IF(C139&lt;&gt;"",_xll.RssMarket(C139,"現在値"),"")</f>
        <v/>
      </c>
      <c r="F139" s="169" t="str">
        <f>IF(C139&lt;&gt;"",_xll.RssMarket(C139,"始値"),"")</f>
        <v/>
      </c>
      <c r="G139" s="168">
        <f>IF(C139&lt;&gt;"",終値!F38,"")</f>
        <v>1936.5</v>
      </c>
      <c r="H139" s="169" t="str">
        <f>IF(C139&lt;&gt;"",_xll.RssMarket(C139,"高値"),"")</f>
        <v/>
      </c>
      <c r="I139" s="169" t="str">
        <f>IF(C139&lt;&gt;"",_xll.RssMarket(C139,"安値"),"")</f>
        <v/>
      </c>
      <c r="J139" s="169" t="str">
        <f>IF(C139&lt;&gt;"",_xll.RssMarket(C139,"出来高"),"")</f>
        <v/>
      </c>
      <c r="K139" s="169" t="str">
        <f>IF(C139&lt;&gt;"",_xll.RssMarket(C139,"年初来高値"),"")</f>
        <v/>
      </c>
      <c r="L139" s="170" t="str">
        <f t="shared" si="34"/>
        <v/>
      </c>
      <c r="M139" s="169">
        <f>IF(C139&lt;&gt;"",IFERROR(AVERAGE(出来高!E38:I38),""),"")</f>
        <v>2161220</v>
      </c>
      <c r="N139" s="169">
        <f>IF(C139&lt;&gt;"",IFERROR(AVERAGE(出来高!E38:AC38),""),"")</f>
        <v>1981324</v>
      </c>
      <c r="O139" s="171" t="str">
        <f t="shared" si="35"/>
        <v/>
      </c>
      <c r="P139" s="166" t="str">
        <f t="shared" si="36"/>
        <v/>
      </c>
      <c r="Q139" s="166" t="str">
        <f t="shared" si="37"/>
        <v/>
      </c>
      <c r="R139" s="169" t="str">
        <f t="shared" si="44"/>
        <v/>
      </c>
      <c r="S139" s="169" t="str">
        <f t="shared" si="45"/>
        <v/>
      </c>
      <c r="T139" s="166">
        <f t="shared" si="38"/>
        <v>0</v>
      </c>
      <c r="U139" s="166" t="str">
        <f t="shared" si="46"/>
        <v>除外</v>
      </c>
      <c r="V139" s="166" t="str">
        <f t="shared" si="39"/>
        <v/>
      </c>
      <c r="W139" s="172">
        <f t="array" ref="W139">IF(C139&lt;&gt;"",IFERROR(100-100/(1+SUMPRODUCT((終値!F38:R38&gt;終値!G38:S38)*( 終値!F38:R38-終値!G38:S38))/SUMPRODUCT((終値!F38:R38&lt;終値!G38:S38)*(終値!G38:S38-終値!F38:R38))),50),"")</f>
        <v>61.041292639138241</v>
      </c>
      <c r="X139" s="173">
        <f>IF(C139&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-0.46389891696708219</v>
      </c>
      <c r="Y139" s="1" t="e">
        <f>IF(T139="","",IF(銘柄管理!$F$5="下落▼",IF(AND(AD139="パーフェクト▲",OR(AE139="25日線押し目●",AE139="5日線押し目○")),"★逆張り候補",IF(AND(AD139="上昇トレンド▲",OR(AE139="25日線押し目●",AE139="5日線押し目○")),"○逆張り候補",IF(W139&lt;=30,IF(Z139&gt;0,"◎反発確認",IF(Z139&lt;-5,"△要注意・様子見","△売られ過ぎ注目")),"相場下落・見送り"))),IF(AND(T139&gt;=12,AD139="パーフェクト▲"),"★強い買い",IF(AND(T139&gt;=12,AD139="上昇トレンド▲"),"★強い買い",IF(AND(T139&gt;=8,OR(AE139="25日線押し目●",AE139="5日線押し目○")),"◎押し目買い",IF(T139&gt;=10,"○買い候補",IF(T139&gt;=6,"△注目",IF(T139&gt;=3,"様子見","見送り"))))))))</f>
        <v>#VALUE!</v>
      </c>
      <c r="Z139" s="174" t="str">
        <f t="shared" si="47"/>
        <v/>
      </c>
      <c r="AA139" s="166" t="str">
        <f t="shared" si="48"/>
        <v/>
      </c>
      <c r="AB139" s="408">
        <f>IF(C139="","",IFERROR(((終値!E141*0.333)+(終値!F141*0.222)+(終値!G141*0.148)+(終値!H141*0.099)+(終値!I141*0.066)+(終値!J141*0.044)+(終値!K141*0.029)+(終値!L141*0.019)+(終値!M141*0.013)+(終値!N141*0.009))/(0.333+0.222+0.148+0.099+0.066+0.044+0.029+0.019+0.013+0.009),""))</f>
        <v>2230.1374745417506</v>
      </c>
      <c r="AC139" s="408">
        <f>IF(C139="","",IFERROR(SUMPRODUCT((終値!E141:AC141),({0.077,0.071,0.065,0.06,0.055,0.051,0.047,0.043,0.039,0.036,0.033,0.031,0.028,0.026,0.024,0.022,0.02,0.018,0.017,0.016,0.014,0.013,0.012,0.011,0.01}))/SUM({0.077,0.071,0.065,0.06,0.055,0.051,0.047,0.043,0.039,0.036,0.033,0.031,0.028,0.026,0.024,0.022,0.02,0.018,0.017,0.016,0.014,0.013,0.012,0.011,0.01}),""))</f>
        <v>2536.7735399284857</v>
      </c>
      <c r="AD139" s="409" t="str">
        <f t="shared" si="40"/>
        <v>上昇トレンド▲</v>
      </c>
      <c r="AE139" s="409" t="e">
        <f t="shared" si="41"/>
        <v>#VALUE!</v>
      </c>
      <c r="AF139" s="368">
        <f t="array" ref="AF139">IF(C139="","",IFERROR((INDEX(終値!$E:$E,MATCH(TEXT(C139,"0"),終値!$A:$A,0))-INDEX(終値!$E:$CZ,MATCH(TEXT(C139,"0"),終値!$A:$A,0),$AL$2))/INDEX(終値!$E:$CZ,MATCH(TEXT(C139,"0"),終値!$A:$A,0),$AL$2)*100,""))</f>
        <v>-7.7499354172048576E-2</v>
      </c>
      <c r="AG139" s="368">
        <f t="array" ref="AG139">IFERROR((終値!$E$5-INDEX(終値!$E$5:$CZ$5,1,$AL$2))/INDEX(終値!$E$5:$CZ$5,1,$AL$2)*100,"")</f>
        <v>2.31989243802786</v>
      </c>
      <c r="AH139" s="369">
        <f t="shared" si="42"/>
        <v>-2.3973917921999086</v>
      </c>
      <c r="AI139" s="367">
        <f t="shared" si="43"/>
        <v>-1</v>
      </c>
    </row>
    <row r="140" spans="1:35" s="177" customFormat="1" ht="18" customHeight="1">
      <c r="A140" s="166" t="str">
        <f>IF(銘柄管理!B46&lt;&gt;"",HYPERLINK("https://kabutan.jp/stock/?code="&amp;銘柄管理!B46,"株探"),"")</f>
        <v>株探</v>
      </c>
      <c r="B140" s="167"/>
      <c r="C140" s="168">
        <f>IF(銘柄管理!B46="","",銘柄管理!B46)</f>
        <v>5401</v>
      </c>
      <c r="D140" s="106" t="str">
        <f>IF(銘柄管理!C46="","",銘柄管理!C46)</f>
        <v/>
      </c>
      <c r="E140" s="169" t="str">
        <f>IF(C140&lt;&gt;"",_xll.RssMarket(C140,"現在値"),"")</f>
        <v/>
      </c>
      <c r="F140" s="169" t="str">
        <f>IF(C140&lt;&gt;"",_xll.RssMarket(C140,"始値"),"")</f>
        <v/>
      </c>
      <c r="G140" s="168">
        <f>IF(C140&lt;&gt;"",終値!F46,"")</f>
        <v>574.29999999999995</v>
      </c>
      <c r="H140" s="169" t="str">
        <f>IF(C140&lt;&gt;"",_xll.RssMarket(C140,"高値"),"")</f>
        <v/>
      </c>
      <c r="I140" s="169" t="str">
        <f>IF(C140&lt;&gt;"",_xll.RssMarket(C140,"安値"),"")</f>
        <v/>
      </c>
      <c r="J140" s="169" t="str">
        <f>IF(C140&lt;&gt;"",_xll.RssMarket(C140,"出来高"),"")</f>
        <v/>
      </c>
      <c r="K140" s="169" t="str">
        <f>IF(C140&lt;&gt;"",_xll.RssMarket(C140,"年初来高値"),"")</f>
        <v/>
      </c>
      <c r="L140" s="170" t="str">
        <f t="shared" si="34"/>
        <v/>
      </c>
      <c r="M140" s="169">
        <f>IF(C140&lt;&gt;"",IFERROR(AVERAGE(出来高!E46:I46),""),"")</f>
        <v>32003960</v>
      </c>
      <c r="N140" s="169">
        <f>IF(C140&lt;&gt;"",IFERROR(AVERAGE(出来高!E46:AC46),""),"")</f>
        <v>27950252</v>
      </c>
      <c r="O140" s="171" t="str">
        <f t="shared" si="35"/>
        <v/>
      </c>
      <c r="P140" s="166" t="str">
        <f t="shared" si="36"/>
        <v/>
      </c>
      <c r="Q140" s="166" t="str">
        <f t="shared" si="37"/>
        <v/>
      </c>
      <c r="R140" s="169" t="str">
        <f t="shared" si="44"/>
        <v/>
      </c>
      <c r="S140" s="169" t="str">
        <f t="shared" si="45"/>
        <v/>
      </c>
      <c r="T140" s="166">
        <f t="shared" si="38"/>
        <v>0</v>
      </c>
      <c r="U140" s="166" t="str">
        <f t="shared" si="46"/>
        <v>除外</v>
      </c>
      <c r="V140" s="166" t="str">
        <f t="shared" si="39"/>
        <v/>
      </c>
      <c r="W140" s="172">
        <f t="array" ref="W140">IF(C140&lt;&gt;"",IFERROR(100-100/(1+SUMPRODUCT((終値!F46:R46&gt;終値!G46:S46)*( 終値!F46:R46-終値!G46:S46))/SUMPRODUCT((終値!F46:R46&lt;終値!G46:S46)*(終値!G46:S46-終値!F46:R46))),50),"")</f>
        <v>66.384522370012036</v>
      </c>
      <c r="X140" s="173">
        <f>IF(C140&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2.4199988855234551</v>
      </c>
      <c r="Y140" s="1" t="e">
        <f>IF(T140="","",IF(銘柄管理!$F$5="下落▼",IF(AND(AD140="パーフェクト▲",OR(AE140="25日線押し目●",AE140="5日線押し目○")),"★逆張り候補",IF(AND(AD140="上昇トレンド▲",OR(AE140="25日線押し目●",AE140="5日線押し目○")),"○逆張り候補",IF(W140&lt;=30,IF(Z140&gt;0,"◎反発確認",IF(Z140&lt;-5,"△要注意・様子見","△売られ過ぎ注目")),"相場下落・見送り"))),IF(AND(T140&gt;=12,AD140="パーフェクト▲"),"★強い買い",IF(AND(T140&gt;=12,AD140="上昇トレンド▲"),"★強い買い",IF(AND(T140&gt;=8,OR(AE140="25日線押し目●",AE140="5日線押し目○")),"◎押し目買い",IF(T140&gt;=10,"○買い候補",IF(T140&gt;=6,"△注目",IF(T140&gt;=3,"様子見","見送り"))))))))</f>
        <v>#VALUE!</v>
      </c>
      <c r="Z140" s="174" t="str">
        <f t="shared" si="47"/>
        <v/>
      </c>
      <c r="AA140" s="166" t="str">
        <f t="shared" si="48"/>
        <v/>
      </c>
      <c r="AB140" s="406">
        <f>IF(C140="","",IFERROR(((終値!E142*0.333)+(終値!F142*0.222)+(終値!G142*0.148)+(終値!H142*0.099)+(終値!I142*0.066)+(終値!J142*0.044)+(終値!K142*0.029)+(終値!L142*0.019)+(終値!M142*0.013)+(終値!N142*0.009))/(0.333+0.222+0.148+0.099+0.066+0.044+0.029+0.019+0.013+0.009),""))</f>
        <v>2725.6558044806511</v>
      </c>
      <c r="AC140" s="406">
        <f>IF(C140="","",IFERROR(SUMPRODUCT((終値!E142:AC142),({0.077,0.071,0.065,0.06,0.055,0.051,0.047,0.043,0.039,0.036,0.033,0.031,0.028,0.026,0.024,0.022,0.02,0.018,0.017,0.016,0.014,0.013,0.012,0.011,0.01}))/SUM({0.077,0.071,0.065,0.06,0.055,0.051,0.047,0.043,0.039,0.036,0.033,0.031,0.028,0.026,0.024,0.022,0.02,0.018,0.017,0.016,0.014,0.013,0.012,0.011,0.01}),""))</f>
        <v>2655.8533969010723</v>
      </c>
      <c r="AD140" s="407" t="str">
        <f t="shared" si="40"/>
        <v>パーフェクト▲</v>
      </c>
      <c r="AE140" s="407" t="e">
        <f t="shared" si="41"/>
        <v>#VALUE!</v>
      </c>
      <c r="AF140" s="368">
        <f t="array" ref="AF140">IF(C140="","",IFERROR((INDEX(終値!$E:$E,MATCH(TEXT(C140,"0"),終値!$A:$A,0))-INDEX(終値!$E:$CZ,MATCH(TEXT(C140,"0"),終値!$A:$A,0),$AL$2))/INDEX(終値!$E:$CZ,MATCH(TEXT(C140,"0"),終値!$A:$A,0),$AL$2)*100,""))</f>
        <v>7.0566727605118871</v>
      </c>
      <c r="AG140" s="368">
        <f t="array" ref="AG140">IFERROR((終値!$E$5-INDEX(終値!$E$5:$CZ$5,1,$AL$2))/INDEX(終値!$E$5:$CZ$5,1,$AL$2)*100,"")</f>
        <v>2.31989243802786</v>
      </c>
      <c r="AH140" s="369">
        <f t="shared" si="42"/>
        <v>4.7367803224840266</v>
      </c>
      <c r="AI140" s="367">
        <f t="shared" si="43"/>
        <v>1</v>
      </c>
    </row>
    <row r="141" spans="1:35" ht="18" customHeight="1">
      <c r="A141" s="166" t="str">
        <f>IF(銘柄管理!B17&lt;&gt;"",HYPERLINK("https://kabutan.jp/stock/?code="&amp;銘柄管理!B17,"株探"),"")</f>
        <v>株探</v>
      </c>
      <c r="B141" s="167"/>
      <c r="C141" s="168">
        <f>IF(銘柄管理!B17="","",銘柄管理!B17)</f>
        <v>5333</v>
      </c>
      <c r="D141" s="106" t="str">
        <f>IF(銘柄管理!C17="","",銘柄管理!C17)</f>
        <v/>
      </c>
      <c r="E141" s="169" t="str">
        <f>IF(C141&lt;&gt;"",_xll.RssMarket(C141,"現在値"),"")</f>
        <v/>
      </c>
      <c r="F141" s="169" t="str">
        <f>IF(C141&lt;&gt;"",_xll.RssMarket(C141,"始値"),"")</f>
        <v/>
      </c>
      <c r="G141" s="168">
        <f>IF(C141&lt;&gt;"",終値!F17,"")</f>
        <v>6759</v>
      </c>
      <c r="H141" s="169" t="str">
        <f>IF(C141&lt;&gt;"",_xll.RssMarket(C141,"高値"),"")</f>
        <v/>
      </c>
      <c r="I141" s="169" t="str">
        <f>IF(C141&lt;&gt;"",_xll.RssMarket(C141,"安値"),"")</f>
        <v/>
      </c>
      <c r="J141" s="169" t="str">
        <f>IF(C141&lt;&gt;"",_xll.RssMarket(C141,"出来高"),"")</f>
        <v/>
      </c>
      <c r="K141" s="169" t="str">
        <f>IF(C141&lt;&gt;"",_xll.RssMarket(C141,"年初来高値"),"")</f>
        <v/>
      </c>
      <c r="L141" s="170" t="str">
        <f t="shared" si="34"/>
        <v/>
      </c>
      <c r="M141" s="169">
        <f>IF(C141&lt;&gt;"",IFERROR(AVERAGE(出来高!E17:I17),""),"")</f>
        <v>1811860</v>
      </c>
      <c r="N141" s="169">
        <f>IF(C141&lt;&gt;"",IFERROR(AVERAGE(出来高!E17:AC17),""),"")</f>
        <v>1927940</v>
      </c>
      <c r="O141" s="171" t="str">
        <f t="shared" si="35"/>
        <v/>
      </c>
      <c r="P141" s="166" t="str">
        <f t="shared" si="36"/>
        <v/>
      </c>
      <c r="Q141" s="166" t="str">
        <f t="shared" si="37"/>
        <v/>
      </c>
      <c r="R141" s="169" t="str">
        <f t="shared" si="44"/>
        <v/>
      </c>
      <c r="S141" s="169" t="str">
        <f t="shared" si="45"/>
        <v/>
      </c>
      <c r="T141" s="166">
        <f t="shared" si="38"/>
        <v>0</v>
      </c>
      <c r="U141" s="166" t="str">
        <f t="shared" si="46"/>
        <v>除外</v>
      </c>
      <c r="V141" s="166" t="str">
        <f t="shared" si="39"/>
        <v/>
      </c>
      <c r="W141" s="172">
        <f t="array" ref="W141">IF(C141&lt;&gt;"",IFERROR(100-100/(1+SUMPRODUCT((終値!F17:R17&gt;終値!G17:S17)*( 終値!F17:R17-終値!G17:S17))/SUMPRODUCT((終値!F17:R17&lt;終値!G17:S17)*(終値!G17:S17-終値!F17:R17))),50),"")</f>
        <v>27.093802345058634</v>
      </c>
      <c r="X141" s="173">
        <f>IF(C141&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-83.811756932641401</v>
      </c>
      <c r="Y141" s="1" t="e">
        <f>IF(T141="","",IF(銘柄管理!$F$5="下落▼",IF(AND(AD141="パーフェクト▲",OR(AE141="25日線押し目●",AE141="5日線押し目○")),"★逆張り候補",IF(AND(AD141="上昇トレンド▲",OR(AE141="25日線押し目●",AE141="5日線押し目○")),"○逆張り候補",IF(W141&lt;=30,IF(Z141&gt;0,"◎反発確認",IF(Z141&lt;-5,"△要注意・様子見","△売られ過ぎ注目")),"相場下落・見送り"))),IF(AND(T141&gt;=12,AD141="パーフェクト▲"),"★強い買い",IF(AND(T141&gt;=12,AD141="上昇トレンド▲"),"★強い買い",IF(AND(T141&gt;=8,OR(AE141="25日線押し目●",AE141="5日線押し目○")),"◎押し目買い",IF(T141&gt;=10,"○買い候補",IF(T141&gt;=6,"△注目",IF(T141&gt;=3,"様子見","見送り"))))))))</f>
        <v>#VALUE!</v>
      </c>
      <c r="Z141" s="174" t="str">
        <f t="shared" si="47"/>
        <v/>
      </c>
      <c r="AA141" s="166" t="str">
        <f t="shared" si="48"/>
        <v/>
      </c>
      <c r="AB141" s="408">
        <f>IF(C141="","",IFERROR(((終値!E143*0.333)+(終値!F143*0.222)+(終値!G143*0.148)+(終値!H143*0.099)+(終値!I143*0.066)+(終値!J143*0.044)+(終値!K143*0.029)+(終値!L143*0.019)+(終値!M143*0.013)+(終値!N143*0.009))/(0.333+0.222+0.148+0.099+0.066+0.044+0.029+0.019+0.013+0.009),""))</f>
        <v>1717.8981670061094</v>
      </c>
      <c r="AC141" s="408">
        <f>IF(C141="","",IFERROR(SUMPRODUCT((終値!E143:AC143),({0.077,0.071,0.065,0.06,0.055,0.051,0.047,0.043,0.039,0.036,0.033,0.031,0.028,0.026,0.024,0.022,0.02,0.018,0.017,0.016,0.014,0.013,0.012,0.011,0.01}))/SUM({0.077,0.071,0.065,0.06,0.055,0.051,0.047,0.043,0.039,0.036,0.033,0.031,0.028,0.026,0.024,0.022,0.02,0.018,0.017,0.016,0.014,0.013,0.012,0.011,0.01}),""))</f>
        <v>1582.3825983313457</v>
      </c>
      <c r="AD141" s="409" t="str">
        <f t="shared" si="40"/>
        <v>パーフェクト▲</v>
      </c>
      <c r="AE141" s="409" t="e">
        <f t="shared" si="41"/>
        <v>#VALUE!</v>
      </c>
      <c r="AF141" s="368">
        <f t="array" ref="AF141">IF(C141="","",IFERROR((INDEX(終値!$E:$E,MATCH(TEXT(C141,"0"),終値!$A:$A,0))-INDEX(終値!$E:$CZ,MATCH(TEXT(C141,"0"),終値!$A:$A,0),$AL$2))/INDEX(終値!$E:$CZ,MATCH(TEXT(C141,"0"),終値!$A:$A,0),$AL$2)*100,""))</f>
        <v>-1.428102429415627</v>
      </c>
      <c r="AG141" s="368">
        <f t="array" ref="AG141">IFERROR((終値!$E$5-INDEX(終値!$E$5:$CZ$5,1,$AL$2))/INDEX(終値!$E$5:$CZ$5,1,$AL$2)*100,"")</f>
        <v>2.31989243802786</v>
      </c>
      <c r="AH141" s="369">
        <f t="shared" si="42"/>
        <v>-3.7479948674434871</v>
      </c>
      <c r="AI141" s="367">
        <f t="shared" si="43"/>
        <v>-2</v>
      </c>
    </row>
    <row r="142" spans="1:35" ht="18" customHeight="1">
      <c r="A142" s="166" t="str">
        <f>IF(銘柄管理!B21&lt;&gt;"",HYPERLINK("https://kabutan.jp/stock/?code="&amp;銘柄管理!B21,"株探"),"")</f>
        <v>株探</v>
      </c>
      <c r="B142" s="167"/>
      <c r="C142" s="168">
        <f>IF(銘柄管理!B21="","",銘柄管理!B21)</f>
        <v>5332</v>
      </c>
      <c r="D142" s="106" t="str">
        <f>IF(銘柄管理!C21="","",銘柄管理!C21)</f>
        <v/>
      </c>
      <c r="E142" s="169" t="str">
        <f>IF(C142&lt;&gt;"",_xll.RssMarket(C142,"現在値"),"")</f>
        <v/>
      </c>
      <c r="F142" s="169" t="str">
        <f>IF(C142&lt;&gt;"",_xll.RssMarket(C142,"始値"),"")</f>
        <v/>
      </c>
      <c r="G142" s="168">
        <f>IF(C142&lt;&gt;"",終値!F21,"")</f>
        <v>7946</v>
      </c>
      <c r="H142" s="169" t="str">
        <f>IF(C142&lt;&gt;"",_xll.RssMarket(C142,"高値"),"")</f>
        <v/>
      </c>
      <c r="I142" s="169" t="str">
        <f>IF(C142&lt;&gt;"",_xll.RssMarket(C142,"安値"),"")</f>
        <v/>
      </c>
      <c r="J142" s="169" t="str">
        <f>IF(C142&lt;&gt;"",_xll.RssMarket(C142,"出来高"),"")</f>
        <v/>
      </c>
      <c r="K142" s="169" t="str">
        <f>IF(C142&lt;&gt;"",_xll.RssMarket(C142,"年初来高値"),"")</f>
        <v/>
      </c>
      <c r="L142" s="170" t="str">
        <f t="shared" si="34"/>
        <v/>
      </c>
      <c r="M142" s="169">
        <f>IF(C142&lt;&gt;"",IFERROR(AVERAGE(出来高!E21:I21),""),"")</f>
        <v>1229900</v>
      </c>
      <c r="N142" s="169">
        <f>IF(C142&lt;&gt;"",IFERROR(AVERAGE(出来高!E21:AC21),""),"")</f>
        <v>1393936</v>
      </c>
      <c r="O142" s="171" t="str">
        <f t="shared" si="35"/>
        <v/>
      </c>
      <c r="P142" s="166" t="str">
        <f t="shared" si="36"/>
        <v/>
      </c>
      <c r="Q142" s="166" t="str">
        <f t="shared" si="37"/>
        <v/>
      </c>
      <c r="R142" s="169" t="str">
        <f t="shared" si="44"/>
        <v/>
      </c>
      <c r="S142" s="169" t="str">
        <f t="shared" si="45"/>
        <v/>
      </c>
      <c r="T142" s="166">
        <f t="shared" si="38"/>
        <v>0</v>
      </c>
      <c r="U142" s="166" t="str">
        <f t="shared" si="46"/>
        <v>除外</v>
      </c>
      <c r="V142" s="166" t="str">
        <f t="shared" si="39"/>
        <v/>
      </c>
      <c r="W142" s="172">
        <f t="array" ref="W142">IF(C142&lt;&gt;"",IFERROR(100-100/(1+SUMPRODUCT((終値!F21:R21&gt;終値!G21:S21)*( 終値!F21:R21-終値!G21:S21))/SUMPRODUCT((終値!F21:R21&lt;終値!G21:S21)*(終値!G21:S21-終値!F21:R21))),50),"")</f>
        <v>27.686350435624391</v>
      </c>
      <c r="X142" s="173">
        <f>IF(C142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-87.325220208644168</v>
      </c>
      <c r="Y142" s="1" t="e">
        <f>IF(T142="","",IF(銘柄管理!$F$5="下落▼",IF(AND(AD142="パーフェクト▲",OR(AE142="25日線押し目●",AE142="5日線押し目○")),"★逆張り候補",IF(AND(AD142="上昇トレンド▲",OR(AE142="25日線押し目●",AE142="5日線押し目○")),"○逆張り候補",IF(W142&lt;=30,IF(Z142&gt;0,"◎反発確認",IF(Z142&lt;-5,"△要注意・様子見","△売られ過ぎ注目")),"相場下落・見送り"))),IF(AND(T142&gt;=12,AD142="パーフェクト▲"),"★強い買い",IF(AND(T142&gt;=12,AD142="上昇トレンド▲"),"★強い買い",IF(AND(T142&gt;=8,OR(AE142="25日線押し目●",AE142="5日線押し目○")),"◎押し目買い",IF(T142&gt;=10,"○買い候補",IF(T142&gt;=6,"△注目",IF(T142&gt;=3,"様子見","見送り"))))))))</f>
        <v>#VALUE!</v>
      </c>
      <c r="Z142" s="174" t="str">
        <f t="shared" si="47"/>
        <v/>
      </c>
      <c r="AA142" s="166" t="str">
        <f t="shared" si="48"/>
        <v/>
      </c>
      <c r="AB142" s="406">
        <f>IF(C142="","",IFERROR(((終値!E144*0.333)+(終値!F144*0.222)+(終値!G144*0.148)+(終値!H144*0.099)+(終値!I144*0.066)+(終値!J144*0.044)+(終値!K144*0.029)+(終値!L144*0.019)+(終値!M144*0.013)+(終値!N144*0.009))/(0.333+0.222+0.148+0.099+0.066+0.044+0.029+0.019+0.013+0.009),""))</f>
        <v>20407.85132382892</v>
      </c>
      <c r="AC142" s="406">
        <f>IF(C142="","",IFERROR(SUMPRODUCT((終値!E144:AC144),({0.077,0.071,0.065,0.06,0.055,0.051,0.047,0.043,0.039,0.036,0.033,0.031,0.028,0.026,0.024,0.022,0.02,0.018,0.017,0.016,0.014,0.013,0.012,0.011,0.01}))/SUM({0.077,0.071,0.065,0.06,0.055,0.051,0.047,0.043,0.039,0.036,0.033,0.031,0.028,0.026,0.024,0.022,0.02,0.018,0.017,0.016,0.014,0.013,0.012,0.011,0.01}),""))</f>
        <v>23048.641239570916</v>
      </c>
      <c r="AD142" s="407" t="str">
        <f t="shared" si="40"/>
        <v>上昇トレンド▲</v>
      </c>
      <c r="AE142" s="407" t="e">
        <f t="shared" si="41"/>
        <v>#VALUE!</v>
      </c>
      <c r="AF142" s="368">
        <f t="array" ref="AF142">IF(C142="","",IFERROR((INDEX(終値!$E:$E,MATCH(TEXT(C142,"0"),終値!$A:$A,0))-INDEX(終値!$E:$CZ,MATCH(TEXT(C142,"0"),終値!$A:$A,0),$AL$2))/INDEX(終値!$E:$CZ,MATCH(TEXT(C142,"0"),終値!$A:$A,0),$AL$2)*100,""))</f>
        <v>-2.7792275574112733</v>
      </c>
      <c r="AG142" s="368">
        <f t="array" ref="AG142">IFERROR((終値!$E$5-INDEX(終値!$E$5:$CZ$5,1,$AL$2))/INDEX(終値!$E$5:$CZ$5,1,$AL$2)*100,"")</f>
        <v>2.31989243802786</v>
      </c>
      <c r="AH142" s="369">
        <f t="shared" si="42"/>
        <v>-5.0991199954391337</v>
      </c>
      <c r="AI142" s="367">
        <f t="shared" si="43"/>
        <v>-2</v>
      </c>
    </row>
    <row r="143" spans="1:35" ht="18" customHeight="1">
      <c r="A143" s="166" t="str">
        <f>IF(銘柄管理!B193&lt;&gt;"",HYPERLINK("https://kabutan.jp/stock/?code="&amp;銘柄管理!B193,"株探"),"")</f>
        <v>株探</v>
      </c>
      <c r="B143" s="167"/>
      <c r="C143" s="168">
        <f>IF(銘柄管理!B193="","",銘柄管理!B193)</f>
        <v>5243</v>
      </c>
      <c r="D143" s="106" t="str">
        <f>IF(銘柄管理!C193="","",銘柄管理!C193)</f>
        <v/>
      </c>
      <c r="E143" s="169" t="str">
        <f>IF(C143&lt;&gt;"",_xll.RssMarket(C143,"現在値"),"")</f>
        <v/>
      </c>
      <c r="F143" s="169" t="str">
        <f>IF(C143&lt;&gt;"",_xll.RssMarket(C143,"始値"),"")</f>
        <v/>
      </c>
      <c r="G143" s="168">
        <f>IF(C143&lt;&gt;"",終値!F193,"")</f>
        <v>2144</v>
      </c>
      <c r="H143" s="169" t="str">
        <f>IF(C143&lt;&gt;"",_xll.RssMarket(C143,"高値"),"")</f>
        <v/>
      </c>
      <c r="I143" s="169" t="str">
        <f>IF(C143&lt;&gt;"",_xll.RssMarket(C143,"安値"),"")</f>
        <v/>
      </c>
      <c r="J143" s="169" t="str">
        <f>IF(C143&lt;&gt;"",_xll.RssMarket(C143,"出来高"),"")</f>
        <v/>
      </c>
      <c r="K143" s="169" t="str">
        <f>IF(C143&lt;&gt;"",_xll.RssMarket(C143,"年初来高値"),"")</f>
        <v/>
      </c>
      <c r="L143" s="170" t="str">
        <f t="shared" si="34"/>
        <v/>
      </c>
      <c r="M143" s="169">
        <f>IF(C143&lt;&gt;"",IFERROR(AVERAGE(出来高!E193:I193),""),"")</f>
        <v>619520</v>
      </c>
      <c r="N143" s="169">
        <f>IF(C143&lt;&gt;"",IFERROR(AVERAGE(出来高!E193:AC193),""),"")</f>
        <v>545228</v>
      </c>
      <c r="O143" s="171" t="str">
        <f t="shared" si="35"/>
        <v/>
      </c>
      <c r="P143" s="166" t="str">
        <f t="shared" si="36"/>
        <v/>
      </c>
      <c r="Q143" s="166" t="str">
        <f t="shared" si="37"/>
        <v/>
      </c>
      <c r="R143" s="169" t="str">
        <f t="shared" si="44"/>
        <v/>
      </c>
      <c r="S143" s="169" t="str">
        <f t="shared" si="45"/>
        <v/>
      </c>
      <c r="T143" s="166">
        <f t="shared" si="38"/>
        <v>0</v>
      </c>
      <c r="U143" s="166" t="str">
        <f t="shared" si="46"/>
        <v>除外</v>
      </c>
      <c r="V143" s="166" t="str">
        <f t="shared" si="39"/>
        <v/>
      </c>
      <c r="W143" s="172">
        <f t="array" ref="W143">IF(C143&lt;&gt;"",IFERROR(100-100/(1+SUMPRODUCT((終値!F193:R193&gt;終値!G193:S193)*( 終値!F193:R193-終値!G193:S193))/SUMPRODUCT((終値!F193:R193&lt;終値!G193:S193)*(終値!G193:S193-終値!F193:R193))),50),"")</f>
        <v>64.868804664723029</v>
      </c>
      <c r="X143" s="173">
        <f>IF(C143&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57.799859894364317</v>
      </c>
      <c r="Y143" s="1" t="e">
        <f>IF(T143="","",IF(銘柄管理!$F$5="下落▼",IF(AND(AD143="パーフェクト▲",OR(AE143="25日線押し目●",AE143="5日線押し目○")),"★逆張り候補",IF(AND(AD143="上昇トレンド▲",OR(AE143="25日線押し目●",AE143="5日線押し目○")),"○逆張り候補",IF(W143&lt;=30,IF(Z143&gt;0,"◎反発確認",IF(Z143&lt;-5,"△要注意・様子見","△売られ過ぎ注目")),"相場下落・見送り"))),IF(AND(T143&gt;=12,AD143="パーフェクト▲"),"★強い買い",IF(AND(T143&gt;=12,AD143="上昇トレンド▲"),"★強い買い",IF(AND(T143&gt;=8,OR(AE143="25日線押し目●",AE143="5日線押し目○")),"◎押し目買い",IF(T143&gt;=10,"○買い候補",IF(T143&gt;=6,"△注目",IF(T143&gt;=3,"様子見","見送り"))))))))</f>
        <v>#VALUE!</v>
      </c>
      <c r="Z143" s="174" t="str">
        <f t="shared" si="47"/>
        <v/>
      </c>
      <c r="AA143" s="166" t="str">
        <f t="shared" si="48"/>
        <v/>
      </c>
      <c r="AB143" s="408">
        <f>IF(C143="","",IFERROR(((終値!E145*0.333)+(終値!F145*0.222)+(終値!G145*0.148)+(終値!H145*0.099)+(終値!I145*0.066)+(終値!J145*0.044)+(終値!K145*0.029)+(終値!L145*0.019)+(終値!M145*0.013)+(終値!N145*0.009))/(0.333+0.222+0.148+0.099+0.066+0.044+0.029+0.019+0.013+0.009),""))</f>
        <v>25098.380855397147</v>
      </c>
      <c r="AC143" s="408">
        <f>IF(C143="","",IFERROR(SUMPRODUCT((終値!E145:AC145),({0.077,0.071,0.065,0.06,0.055,0.051,0.047,0.043,0.039,0.036,0.033,0.031,0.028,0.026,0.024,0.022,0.02,0.018,0.017,0.016,0.014,0.013,0.012,0.011,0.01}))/SUM({0.077,0.071,0.065,0.06,0.055,0.051,0.047,0.043,0.039,0.036,0.033,0.031,0.028,0.026,0.024,0.022,0.02,0.018,0.017,0.016,0.014,0.013,0.012,0.011,0.01}),""))</f>
        <v>28400.822407628115</v>
      </c>
      <c r="AD143" s="409" t="str">
        <f t="shared" si="40"/>
        <v>上昇トレンド▲</v>
      </c>
      <c r="AE143" s="409" t="e">
        <f t="shared" si="41"/>
        <v>#VALUE!</v>
      </c>
      <c r="AF143" s="368">
        <f t="array" ref="AF143">IF(C143="","",IFERROR((INDEX(終値!$E:$E,MATCH(TEXT(C143,"0"),終値!$A:$A,0))-INDEX(終値!$E:$CZ,MATCH(TEXT(C143,"0"),終値!$A:$A,0),$AL$2))/INDEX(終値!$E:$CZ,MATCH(TEXT(C143,"0"),終値!$A:$A,0),$AL$2)*100,""))</f>
        <v>10.930735930735931</v>
      </c>
      <c r="AG143" s="368">
        <f t="array" ref="AG143">IFERROR((終値!$E$5-INDEX(終値!$E$5:$CZ$5,1,$AL$2))/INDEX(終値!$E$5:$CZ$5,1,$AL$2)*100,"")</f>
        <v>2.31989243802786</v>
      </c>
      <c r="AH143" s="369">
        <f t="shared" si="42"/>
        <v>8.6108434927080708</v>
      </c>
      <c r="AI143" s="367">
        <f t="shared" si="43"/>
        <v>3</v>
      </c>
    </row>
    <row r="144" spans="1:35" ht="18" customHeight="1">
      <c r="A144" s="166" t="str">
        <f>IF(銘柄管理!B34&lt;&gt;"",HYPERLINK("https://kabutan.jp/stock/?code="&amp;銘柄管理!B34,"株探"),"")</f>
        <v>株探</v>
      </c>
      <c r="B144" s="167"/>
      <c r="C144" s="168">
        <f>IF(銘柄管理!B34="","",銘柄管理!B34)</f>
        <v>5233</v>
      </c>
      <c r="D144" s="106" t="str">
        <f>IF(銘柄管理!C34="","",銘柄管理!C34)</f>
        <v/>
      </c>
      <c r="E144" s="169" t="str">
        <f>IF(C144&lt;&gt;"",_xll.RssMarket(C144,"現在値"),"")</f>
        <v/>
      </c>
      <c r="F144" s="169" t="str">
        <f>IF(C144&lt;&gt;"",_xll.RssMarket(C144,"始値"),"")</f>
        <v/>
      </c>
      <c r="G144" s="168">
        <f>IF(C144&lt;&gt;"",終値!F34,"")</f>
        <v>3984</v>
      </c>
      <c r="H144" s="169" t="str">
        <f>IF(C144&lt;&gt;"",_xll.RssMarket(C144,"高値"),"")</f>
        <v/>
      </c>
      <c r="I144" s="169" t="str">
        <f>IF(C144&lt;&gt;"",_xll.RssMarket(C144,"安値"),"")</f>
        <v/>
      </c>
      <c r="J144" s="169" t="str">
        <f>IF(C144&lt;&gt;"",_xll.RssMarket(C144,"出来高"),"")</f>
        <v/>
      </c>
      <c r="K144" s="169" t="str">
        <f>IF(C144&lt;&gt;"",_xll.RssMarket(C144,"年初来高値"),"")</f>
        <v/>
      </c>
      <c r="L144" s="170" t="str">
        <f t="shared" si="34"/>
        <v/>
      </c>
      <c r="M144" s="169">
        <f>IF(C144&lt;&gt;"",IFERROR(AVERAGE(出来高!E34:I34),""),"")</f>
        <v>489640</v>
      </c>
      <c r="N144" s="169">
        <f>IF(C144&lt;&gt;"",IFERROR(AVERAGE(出来高!E34:AC34),""),"")</f>
        <v>597688</v>
      </c>
      <c r="O144" s="171" t="str">
        <f t="shared" si="35"/>
        <v/>
      </c>
      <c r="P144" s="166" t="str">
        <f t="shared" si="36"/>
        <v/>
      </c>
      <c r="Q144" s="166" t="str">
        <f t="shared" si="37"/>
        <v/>
      </c>
      <c r="R144" s="169" t="str">
        <f t="shared" si="44"/>
        <v/>
      </c>
      <c r="S144" s="169" t="str">
        <f t="shared" si="45"/>
        <v/>
      </c>
      <c r="T144" s="166">
        <f t="shared" si="38"/>
        <v>0</v>
      </c>
      <c r="U144" s="166" t="str">
        <f t="shared" si="46"/>
        <v>除外</v>
      </c>
      <c r="V144" s="166" t="str">
        <f t="shared" si="39"/>
        <v/>
      </c>
      <c r="W144" s="172">
        <f t="array" ref="W144">IF(C144&lt;&gt;"",IFERROR(100-100/(1+SUMPRODUCT((終値!F34:R34&gt;終値!G34:S34)*( 終値!F34:R34-終値!G34:S34))/SUMPRODUCT((終値!F34:R34&lt;終値!G34:S34)*(終値!G34:S34-終値!F34:R34))),50),"")</f>
        <v>44.026548672566371</v>
      </c>
      <c r="X144" s="173">
        <f>IF(C144&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-32.386605980758304</v>
      </c>
      <c r="Y144" s="1" t="e">
        <f>IF(T144="","",IF(銘柄管理!$F$5="下落▼",IF(AND(AD144="パーフェクト▲",OR(AE144="25日線押し目●",AE144="5日線押し目○")),"★逆張り候補",IF(AND(AD144="上昇トレンド▲",OR(AE144="25日線押し目●",AE144="5日線押し目○")),"○逆張り候補",IF(W144&lt;=30,IF(Z144&gt;0,"◎反発確認",IF(Z144&lt;-5,"△要注意・様子見","△売られ過ぎ注目")),"相場下落・見送り"))),IF(AND(T144&gt;=12,AD144="パーフェクト▲"),"★強い買い",IF(AND(T144&gt;=12,AD144="上昇トレンド▲"),"★強い買い",IF(AND(T144&gt;=8,OR(AE144="25日線押し目●",AE144="5日線押し目○")),"◎押し目買い",IF(T144&gt;=10,"○買い候補",IF(T144&gt;=6,"△注目",IF(T144&gt;=3,"様子見","見送り"))))))))</f>
        <v>#VALUE!</v>
      </c>
      <c r="Z144" s="174" t="str">
        <f t="shared" si="47"/>
        <v/>
      </c>
      <c r="AA144" s="166" t="str">
        <f t="shared" si="48"/>
        <v/>
      </c>
      <c r="AB144" s="406">
        <f>IF(C144="","",IFERROR(((終値!E146*0.333)+(終値!F146*0.222)+(終値!G146*0.148)+(終値!H146*0.099)+(終値!I146*0.066)+(終値!J146*0.044)+(終値!K146*0.029)+(終値!L146*0.019)+(終値!M146*0.013)+(終値!N146*0.009))/(0.333+0.222+0.148+0.099+0.066+0.044+0.029+0.019+0.013+0.009),""))</f>
        <v>318.58961303462314</v>
      </c>
      <c r="AC144" s="406">
        <f>IF(C144="","",IFERROR(SUMPRODUCT((終値!E146:AC146),({0.077,0.071,0.065,0.06,0.055,0.051,0.047,0.043,0.039,0.036,0.033,0.031,0.028,0.026,0.024,0.022,0.02,0.018,0.017,0.016,0.014,0.013,0.012,0.011,0.01}))/SUM({0.077,0.071,0.065,0.06,0.055,0.051,0.047,0.043,0.039,0.036,0.033,0.031,0.028,0.026,0.024,0.022,0.02,0.018,0.017,0.016,0.014,0.013,0.012,0.011,0.01}),""))</f>
        <v>316.83075089392128</v>
      </c>
      <c r="AD144" s="407" t="str">
        <f t="shared" si="40"/>
        <v>パーフェクト▲</v>
      </c>
      <c r="AE144" s="407" t="e">
        <f t="shared" si="41"/>
        <v>#VALUE!</v>
      </c>
      <c r="AF144" s="368">
        <f t="array" ref="AF144">IF(C144="","",IFERROR((INDEX(終値!$E:$E,MATCH(TEXT(C144,"0"),終値!$A:$A,0))-INDEX(終値!$E:$CZ,MATCH(TEXT(C144,"0"),終値!$A:$A,0),$AL$2))/INDEX(終値!$E:$CZ,MATCH(TEXT(C144,"0"),終値!$A:$A,0),$AL$2)*100,""))</f>
        <v>-8.0656506447831173</v>
      </c>
      <c r="AG144" s="368">
        <f t="array" ref="AG144">IFERROR((終値!$E$5-INDEX(終値!$E$5:$CZ$5,1,$AL$2))/INDEX(終値!$E$5:$CZ$5,1,$AL$2)*100,"")</f>
        <v>2.31989243802786</v>
      </c>
      <c r="AH144" s="369">
        <f t="shared" si="42"/>
        <v>-10.385543082810978</v>
      </c>
      <c r="AI144" s="367">
        <f t="shared" si="43"/>
        <v>-2</v>
      </c>
    </row>
    <row r="145" spans="1:35" ht="18" customHeight="1">
      <c r="A145" s="166" t="str">
        <f>IF(銘柄管理!B53&lt;&gt;"",HYPERLINK("https://kabutan.jp/stock/?code="&amp;銘柄管理!B53,"株探"),"")</f>
        <v>株探</v>
      </c>
      <c r="B145" s="167"/>
      <c r="C145" s="168">
        <f>IF(銘柄管理!B53="","",銘柄管理!B53)</f>
        <v>5201</v>
      </c>
      <c r="D145" s="106" t="str">
        <f>IF(銘柄管理!C53="","",銘柄管理!C53)</f>
        <v/>
      </c>
      <c r="E145" s="169" t="str">
        <f>IF(C145&lt;&gt;"",_xll.RssMarket(C145,"現在値"),"")</f>
        <v/>
      </c>
      <c r="F145" s="169" t="str">
        <f>IF(C145&lt;&gt;"",_xll.RssMarket(C145,"始値"),"")</f>
        <v/>
      </c>
      <c r="G145" s="168">
        <f>IF(C145&lt;&gt;"",終値!F53,"")</f>
        <v>6516</v>
      </c>
      <c r="H145" s="169" t="str">
        <f>IF(C145&lt;&gt;"",_xll.RssMarket(C145,"高値"),"")</f>
        <v/>
      </c>
      <c r="I145" s="169" t="str">
        <f>IF(C145&lt;&gt;"",_xll.RssMarket(C145,"安値"),"")</f>
        <v/>
      </c>
      <c r="J145" s="169" t="str">
        <f>IF(C145&lt;&gt;"",_xll.RssMarket(C145,"出来高"),"")</f>
        <v/>
      </c>
      <c r="K145" s="169" t="str">
        <f>IF(C145&lt;&gt;"",_xll.RssMarket(C145,"年初来高値"),"")</f>
        <v/>
      </c>
      <c r="L145" s="170" t="str">
        <f t="shared" si="34"/>
        <v/>
      </c>
      <c r="M145" s="169">
        <f>IF(C145&lt;&gt;"",IFERROR(AVERAGE(出来高!E53:I53),""),"")</f>
        <v>1292000</v>
      </c>
      <c r="N145" s="169">
        <f>IF(C145&lt;&gt;"",IFERROR(AVERAGE(出来高!E53:AC53),""),"")</f>
        <v>1317324</v>
      </c>
      <c r="O145" s="171" t="str">
        <f t="shared" si="35"/>
        <v/>
      </c>
      <c r="P145" s="166" t="str">
        <f t="shared" si="36"/>
        <v/>
      </c>
      <c r="Q145" s="166" t="str">
        <f t="shared" si="37"/>
        <v/>
      </c>
      <c r="R145" s="169" t="str">
        <f t="shared" si="44"/>
        <v/>
      </c>
      <c r="S145" s="169" t="str">
        <f t="shared" si="45"/>
        <v/>
      </c>
      <c r="T145" s="166">
        <f t="shared" si="38"/>
        <v>0</v>
      </c>
      <c r="U145" s="166" t="str">
        <f t="shared" si="46"/>
        <v>除外</v>
      </c>
      <c r="V145" s="166" t="str">
        <f t="shared" si="39"/>
        <v/>
      </c>
      <c r="W145" s="172">
        <f t="array" ref="W145">IF(C145&lt;&gt;"",IFERROR(100-100/(1+SUMPRODUCT((終値!F53:R53&gt;終値!G53:S53)*( 終値!F53:R53-終値!G53:S53))/SUMPRODUCT((終値!F53:R53&lt;終値!G53:S53)*(終値!G53:S53-終値!F53:R53))),50),"")</f>
        <v>25.651041666666671</v>
      </c>
      <c r="X145" s="173">
        <f>IF(C145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-126.01528823152148</v>
      </c>
      <c r="Y145" s="1" t="e">
        <f>IF(T145="","",IF(銘柄管理!$F$5="下落▼",IF(AND(AD145="パーフェクト▲",OR(AE145="25日線押し目●",AE145="5日線押し目○")),"★逆張り候補",IF(AND(AD145="上昇トレンド▲",OR(AE145="25日線押し目●",AE145="5日線押し目○")),"○逆張り候補",IF(W145&lt;=30,IF(Z145&gt;0,"◎反発確認",IF(Z145&lt;-5,"△要注意・様子見","△売られ過ぎ注目")),"相場下落・見送り"))),IF(AND(T145&gt;=12,AD145="パーフェクト▲"),"★強い買い",IF(AND(T145&gt;=12,AD145="上昇トレンド▲"),"★強い買い",IF(AND(T145&gt;=8,OR(AE145="25日線押し目●",AE145="5日線押し目○")),"◎押し目買い",IF(T145&gt;=10,"○買い候補",IF(T145&gt;=6,"△注目",IF(T145&gt;=3,"様子見","見送り"))))))))</f>
        <v>#VALUE!</v>
      </c>
      <c r="Z145" s="174" t="str">
        <f t="shared" si="47"/>
        <v/>
      </c>
      <c r="AA145" s="166" t="str">
        <f t="shared" si="48"/>
        <v/>
      </c>
      <c r="AB145" s="408">
        <f>IF(C145="","",IFERROR(((終値!E147*0.333)+(終値!F147*0.222)+(終値!G147*0.148)+(終値!H147*0.099)+(終値!I147*0.066)+(終値!J147*0.044)+(終値!K147*0.029)+(終値!L147*0.019)+(終値!M147*0.013)+(終値!N147*0.009))/(0.333+0.222+0.148+0.099+0.066+0.044+0.029+0.019+0.013+0.009),""))</f>
        <v>11601.812627291241</v>
      </c>
      <c r="AC145" s="408">
        <f>IF(C145="","",IFERROR(SUMPRODUCT((終値!E147:AC147),({0.077,0.071,0.065,0.06,0.055,0.051,0.047,0.043,0.039,0.036,0.033,0.031,0.028,0.026,0.024,0.022,0.02,0.018,0.017,0.016,0.014,0.013,0.012,0.011,0.01}))/SUM({0.077,0.071,0.065,0.06,0.055,0.051,0.047,0.043,0.039,0.036,0.033,0.031,0.028,0.026,0.024,0.022,0.02,0.018,0.017,0.016,0.014,0.013,0.012,0.011,0.01}),""))</f>
        <v>12797.282479141833</v>
      </c>
      <c r="AD145" s="409" t="str">
        <f t="shared" si="40"/>
        <v>上昇トレンド▲</v>
      </c>
      <c r="AE145" s="409" t="e">
        <f t="shared" si="41"/>
        <v>#VALUE!</v>
      </c>
      <c r="AF145" s="368">
        <f t="array" ref="AF145">IF(C145="","",IFERROR((INDEX(終値!$E:$E,MATCH(TEXT(C145,"0"),終値!$A:$A,0))-INDEX(終値!$E:$CZ,MATCH(TEXT(C145,"0"),終値!$A:$A,0),$AL$2))/INDEX(終値!$E:$CZ,MATCH(TEXT(C145,"0"),終値!$A:$A,0),$AL$2)*100,""))</f>
        <v>-14.957028001108954</v>
      </c>
      <c r="AG145" s="368">
        <f t="array" ref="AG145">IFERROR((終値!$E$5-INDEX(終値!$E$5:$CZ$5,1,$AL$2))/INDEX(終値!$E$5:$CZ$5,1,$AL$2)*100,"")</f>
        <v>2.31989243802786</v>
      </c>
      <c r="AH145" s="369">
        <f t="shared" si="42"/>
        <v>-17.276920439136813</v>
      </c>
      <c r="AI145" s="367">
        <f t="shared" si="43"/>
        <v>-2</v>
      </c>
    </row>
    <row r="146" spans="1:35" ht="18" customHeight="1">
      <c r="A146" s="166" t="str">
        <f>IF(銘柄管理!B15&lt;&gt;"",HYPERLINK("https://kabutan.jp/stock/?code="&amp;銘柄管理!B15,"株探"),"")</f>
        <v>株探</v>
      </c>
      <c r="B146" s="167"/>
      <c r="C146" s="168">
        <f>IF(銘柄管理!B15="","",銘柄管理!B15)</f>
        <v>5021</v>
      </c>
      <c r="D146" s="106" t="str">
        <f>IF(銘柄管理!C15="","",銘柄管理!C15)</f>
        <v/>
      </c>
      <c r="E146" s="169" t="str">
        <f>IF(C146&lt;&gt;"",_xll.RssMarket(C146,"現在値"),"")</f>
        <v/>
      </c>
      <c r="F146" s="169" t="str">
        <f>IF(C146&lt;&gt;"",_xll.RssMarket(C146,"始値"),"")</f>
        <v/>
      </c>
      <c r="G146" s="168">
        <f>IF(C146&lt;&gt;"",終値!F15,"")</f>
        <v>3867</v>
      </c>
      <c r="H146" s="169" t="str">
        <f>IF(C146&lt;&gt;"",_xll.RssMarket(C146,"高値"),"")</f>
        <v/>
      </c>
      <c r="I146" s="169" t="str">
        <f>IF(C146&lt;&gt;"",_xll.RssMarket(C146,"安値"),"")</f>
        <v/>
      </c>
      <c r="J146" s="169" t="str">
        <f>IF(C146&lt;&gt;"",_xll.RssMarket(C146,"出来高"),"")</f>
        <v/>
      </c>
      <c r="K146" s="169" t="str">
        <f>IF(C146&lt;&gt;"",_xll.RssMarket(C146,"年初来高値"),"")</f>
        <v/>
      </c>
      <c r="L146" s="170" t="str">
        <f t="shared" si="34"/>
        <v/>
      </c>
      <c r="M146" s="169">
        <f>IF(C146&lt;&gt;"",IFERROR(AVERAGE(出来高!E15:I15),""),"")</f>
        <v>720240</v>
      </c>
      <c r="N146" s="169">
        <f>IF(C146&lt;&gt;"",IFERROR(AVERAGE(出来高!E15:AC15),""),"")</f>
        <v>696584</v>
      </c>
      <c r="O146" s="171" t="str">
        <f t="shared" si="35"/>
        <v/>
      </c>
      <c r="P146" s="166" t="str">
        <f t="shared" si="36"/>
        <v/>
      </c>
      <c r="Q146" s="166" t="str">
        <f t="shared" si="37"/>
        <v/>
      </c>
      <c r="R146" s="169" t="str">
        <f t="shared" si="44"/>
        <v/>
      </c>
      <c r="S146" s="169" t="str">
        <f t="shared" si="45"/>
        <v/>
      </c>
      <c r="T146" s="166">
        <f t="shared" si="38"/>
        <v>0</v>
      </c>
      <c r="U146" s="166" t="str">
        <f t="shared" si="46"/>
        <v>除外</v>
      </c>
      <c r="V146" s="166" t="str">
        <f t="shared" si="39"/>
        <v/>
      </c>
      <c r="W146" s="172">
        <f t="array" ref="W146">IF(C146&lt;&gt;"",IFERROR(100-100/(1+SUMPRODUCT((終値!F15:R15&gt;終値!G15:S15)*( 終値!F15:R15-終値!G15:S15))/SUMPRODUCT((終値!F15:R15&lt;終値!G15:S15)*(終値!G15:S15-終値!F15:R15))),50),"")</f>
        <v>69.10891089108911</v>
      </c>
      <c r="X146" s="173">
        <f>IF(C146&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25.312146999472134</v>
      </c>
      <c r="Y146" s="1" t="e">
        <f>IF(T146="","",IF(銘柄管理!$F$5="下落▼",IF(AND(AD146="パーフェクト▲",OR(AE146="25日線押し目●",AE146="5日線押し目○")),"★逆張り候補",IF(AND(AD146="上昇トレンド▲",OR(AE146="25日線押し目●",AE146="5日線押し目○")),"○逆張り候補",IF(W146&lt;=30,IF(Z146&gt;0,"◎反発確認",IF(Z146&lt;-5,"△要注意・様子見","△売られ過ぎ注目")),"相場下落・見送り"))),IF(AND(T146&gt;=12,AD146="パーフェクト▲"),"★強い買い",IF(AND(T146&gt;=12,AD146="上昇トレンド▲"),"★強い買い",IF(AND(T146&gt;=8,OR(AE146="25日線押し目●",AE146="5日線押し目○")),"◎押し目買い",IF(T146&gt;=10,"○買い候補",IF(T146&gt;=6,"△注目",IF(T146&gt;=3,"様子見","見送り"))))))))</f>
        <v>#VALUE!</v>
      </c>
      <c r="Z146" s="174" t="str">
        <f t="shared" si="47"/>
        <v/>
      </c>
      <c r="AA146" s="166" t="str">
        <f t="shared" si="48"/>
        <v/>
      </c>
      <c r="AB146" s="406">
        <f>IF(C146="","",IFERROR(((終値!E148*0.333)+(終値!F148*0.222)+(終値!G148*0.148)+(終値!H148*0.099)+(終値!I148*0.066)+(終値!J148*0.044)+(終値!K148*0.029)+(終値!L148*0.019)+(終値!M148*0.013)+(終値!N148*0.009))/(0.333+0.222+0.148+0.099+0.066+0.044+0.029+0.019+0.013+0.009),""))</f>
        <v>1448.2657841140526</v>
      </c>
      <c r="AC146" s="406">
        <f>IF(C146="","",IFERROR(SUMPRODUCT((終値!E148:AC148),({0.077,0.071,0.065,0.06,0.055,0.051,0.047,0.043,0.039,0.036,0.033,0.031,0.028,0.026,0.024,0.022,0.02,0.018,0.017,0.016,0.014,0.013,0.012,0.011,0.01}))/SUM({0.077,0.071,0.065,0.06,0.055,0.051,0.047,0.043,0.039,0.036,0.033,0.031,0.028,0.026,0.024,0.022,0.02,0.018,0.017,0.016,0.014,0.013,0.012,0.011,0.01}),""))</f>
        <v>1668.3039332538729</v>
      </c>
      <c r="AD146" s="407" t="str">
        <f t="shared" si="40"/>
        <v>上昇トレンド▲</v>
      </c>
      <c r="AE146" s="407" t="e">
        <f t="shared" si="41"/>
        <v>#VALUE!</v>
      </c>
      <c r="AF146" s="368">
        <f t="array" ref="AF146">IF(C146="","",IFERROR((INDEX(終値!$E:$E,MATCH(TEXT(C146,"0"),終値!$A:$A,0))-INDEX(終値!$E:$CZ,MATCH(TEXT(C146,"0"),終値!$A:$A,0),$AL$2))/INDEX(終値!$E:$CZ,MATCH(TEXT(C146,"0"),終値!$A:$A,0),$AL$2)*100,""))</f>
        <v>5.2983825989960955</v>
      </c>
      <c r="AG146" s="368">
        <f t="array" ref="AG146">IFERROR((終値!$E$5-INDEX(終値!$E$5:$CZ$5,1,$AL$2))/INDEX(終値!$E$5:$CZ$5,1,$AL$2)*100,"")</f>
        <v>2.31989243802786</v>
      </c>
      <c r="AH146" s="369">
        <f t="shared" si="42"/>
        <v>2.9784901609682355</v>
      </c>
      <c r="AI146" s="367">
        <f t="shared" si="43"/>
        <v>1</v>
      </c>
    </row>
    <row r="147" spans="1:35" ht="18" customHeight="1">
      <c r="A147" s="166" t="str">
        <f>IF(銘柄管理!B29&lt;&gt;"",HYPERLINK("https://kabutan.jp/stock/?code="&amp;銘柄管理!B29,"株探"),"")</f>
        <v>株探</v>
      </c>
      <c r="B147" s="167"/>
      <c r="C147" s="168">
        <f>IF(銘柄管理!B29="","",銘柄管理!B29)</f>
        <v>5020</v>
      </c>
      <c r="D147" s="106" t="str">
        <f>IF(銘柄管理!C29="","",銘柄管理!C29)</f>
        <v/>
      </c>
      <c r="E147" s="169" t="str">
        <f>IF(C147&lt;&gt;"",_xll.RssMarket(C147,"現在値"),"")</f>
        <v/>
      </c>
      <c r="F147" s="169" t="str">
        <f>IF(C147&lt;&gt;"",_xll.RssMarket(C147,"始値"),"")</f>
        <v/>
      </c>
      <c r="G147" s="168">
        <f>IF(C147&lt;&gt;"",終値!F29,"")</f>
        <v>1283</v>
      </c>
      <c r="H147" s="169" t="str">
        <f>IF(C147&lt;&gt;"",_xll.RssMarket(C147,"高値"),"")</f>
        <v/>
      </c>
      <c r="I147" s="169" t="str">
        <f>IF(C147&lt;&gt;"",_xll.RssMarket(C147,"安値"),"")</f>
        <v/>
      </c>
      <c r="J147" s="169" t="str">
        <f>IF(C147&lt;&gt;"",_xll.RssMarket(C147,"出来高"),"")</f>
        <v/>
      </c>
      <c r="K147" s="169" t="str">
        <f>IF(C147&lt;&gt;"",_xll.RssMarket(C147,"年初来高値"),"")</f>
        <v/>
      </c>
      <c r="L147" s="170" t="str">
        <f t="shared" si="34"/>
        <v/>
      </c>
      <c r="M147" s="169">
        <f>IF(C147&lt;&gt;"",IFERROR(AVERAGE(出来高!E29:I29),""),"")</f>
        <v>6100860</v>
      </c>
      <c r="N147" s="169">
        <f>IF(C147&lt;&gt;"",IFERROR(AVERAGE(出来高!E29:AC29),""),"")</f>
        <v>7649384</v>
      </c>
      <c r="O147" s="171" t="str">
        <f t="shared" si="35"/>
        <v/>
      </c>
      <c r="P147" s="166" t="str">
        <f t="shared" si="36"/>
        <v/>
      </c>
      <c r="Q147" s="166" t="str">
        <f t="shared" si="37"/>
        <v/>
      </c>
      <c r="R147" s="169" t="str">
        <f t="shared" si="44"/>
        <v/>
      </c>
      <c r="S147" s="169" t="str">
        <f t="shared" si="45"/>
        <v/>
      </c>
      <c r="T147" s="166">
        <f t="shared" si="38"/>
        <v>0</v>
      </c>
      <c r="U147" s="166" t="str">
        <f t="shared" si="46"/>
        <v>除外</v>
      </c>
      <c r="V147" s="166" t="str">
        <f t="shared" si="39"/>
        <v/>
      </c>
      <c r="W147" s="172">
        <f t="array" ref="W147">IF(C147&lt;&gt;"",IFERROR(100-100/(1+SUMPRODUCT((終値!F29:R29&gt;終値!G29:S29)*( 終値!F29:R29-終値!G29:S29))/SUMPRODUCT((終値!F29:R29&lt;終値!G29:S29)*(終値!G29:S29-終値!F29:R29))),50),"")</f>
        <v>77.38095238095238</v>
      </c>
      <c r="X147" s="173">
        <f>IF(C147&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4.83623959656029</v>
      </c>
      <c r="Y147" s="1" t="e">
        <f>IF(T147="","",IF(銘柄管理!$F$5="下落▼",IF(AND(AD147="パーフェクト▲",OR(AE147="25日線押し目●",AE147="5日線押し目○")),"★逆張り候補",IF(AND(AD147="上昇トレンド▲",OR(AE147="25日線押し目●",AE147="5日線押し目○")),"○逆張り候補",IF(W147&lt;=30,IF(Z147&gt;0,"◎反発確認",IF(Z147&lt;-5,"△要注意・様子見","△売られ過ぎ注目")),"相場下落・見送り"))),IF(AND(T147&gt;=12,AD147="パーフェクト▲"),"★強い買い",IF(AND(T147&gt;=12,AD147="上昇トレンド▲"),"★強い買い",IF(AND(T147&gt;=8,OR(AE147="25日線押し目●",AE147="5日線押し目○")),"◎押し目買い",IF(T147&gt;=10,"○買い候補",IF(T147&gt;=6,"△注目",IF(T147&gt;=3,"様子見","見送り"))))))))</f>
        <v>#VALUE!</v>
      </c>
      <c r="Z147" s="174" t="str">
        <f t="shared" si="47"/>
        <v/>
      </c>
      <c r="AA147" s="166" t="str">
        <f t="shared" si="48"/>
        <v/>
      </c>
      <c r="AB147" s="408">
        <f>IF(C147="","",IFERROR(((終値!E149*0.333)+(終値!F149*0.222)+(終値!G149*0.148)+(終値!H149*0.099)+(終値!I149*0.066)+(終値!J149*0.044)+(終値!K149*0.029)+(終値!L149*0.019)+(終値!M149*0.013)+(終値!N149*0.009))/(0.333+0.222+0.148+0.099+0.066+0.044+0.029+0.019+0.013+0.009),""))</f>
        <v>1241.9847250509158</v>
      </c>
      <c r="AC147" s="408">
        <f>IF(C147="","",IFERROR(SUMPRODUCT((終値!E149:AC149),({0.077,0.071,0.065,0.06,0.055,0.051,0.047,0.043,0.039,0.036,0.033,0.031,0.028,0.026,0.024,0.022,0.02,0.018,0.017,0.016,0.014,0.013,0.012,0.011,0.01}))/SUM({0.077,0.071,0.065,0.06,0.055,0.051,0.047,0.043,0.039,0.036,0.033,0.031,0.028,0.026,0.024,0.022,0.02,0.018,0.017,0.016,0.014,0.013,0.012,0.011,0.01}),""))</f>
        <v>1274.2348033373057</v>
      </c>
      <c r="AD147" s="409" t="str">
        <f t="shared" si="40"/>
        <v>上昇トレンド▲</v>
      </c>
      <c r="AE147" s="409" t="e">
        <f t="shared" si="41"/>
        <v>#VALUE!</v>
      </c>
      <c r="AF147" s="368">
        <f t="array" ref="AF147">IF(C147="","",IFERROR((INDEX(終値!$E:$E,MATCH(TEXT(C147,"0"),終値!$A:$A,0))-INDEX(終値!$E:$CZ,MATCH(TEXT(C147,"0"),終値!$A:$A,0),$AL$2))/INDEX(終値!$E:$CZ,MATCH(TEXT(C147,"0"),終値!$A:$A,0),$AL$2)*100,""))</f>
        <v>-0.52</v>
      </c>
      <c r="AG147" s="368">
        <f t="array" ref="AG147">IFERROR((終値!$E$5-INDEX(終値!$E$5:$CZ$5,1,$AL$2))/INDEX(終値!$E$5:$CZ$5,1,$AL$2)*100,"")</f>
        <v>2.31989243802786</v>
      </c>
      <c r="AH147" s="369">
        <f t="shared" si="42"/>
        <v>-2.8398924380278601</v>
      </c>
      <c r="AI147" s="367">
        <f t="shared" si="43"/>
        <v>-1</v>
      </c>
    </row>
    <row r="148" spans="1:35" ht="18" customHeight="1">
      <c r="A148" s="166" t="str">
        <f>IF(銘柄管理!B24&lt;&gt;"",HYPERLINK("https://kabutan.jp/stock/?code="&amp;銘柄管理!B24,"株探"),"")</f>
        <v>株探</v>
      </c>
      <c r="B148" s="167"/>
      <c r="C148" s="168">
        <f>IF(銘柄管理!B24="","",銘柄管理!B24)</f>
        <v>5019</v>
      </c>
      <c r="D148" s="106" t="str">
        <f>IF(銘柄管理!C24="","",銘柄管理!C24)</f>
        <v/>
      </c>
      <c r="E148" s="169" t="str">
        <f>IF(C148&lt;&gt;"",_xll.RssMarket(C148,"現在値"),"")</f>
        <v/>
      </c>
      <c r="F148" s="169" t="str">
        <f>IF(C148&lt;&gt;"",_xll.RssMarket(C148,"始値"),"")</f>
        <v/>
      </c>
      <c r="G148" s="168">
        <f>IF(C148&lt;&gt;"",終値!F24,"")</f>
        <v>1279.5</v>
      </c>
      <c r="H148" s="169" t="str">
        <f>IF(C148&lt;&gt;"",_xll.RssMarket(C148,"高値"),"")</f>
        <v/>
      </c>
      <c r="I148" s="169" t="str">
        <f>IF(C148&lt;&gt;"",_xll.RssMarket(C148,"安値"),"")</f>
        <v/>
      </c>
      <c r="J148" s="169" t="str">
        <f>IF(C148&lt;&gt;"",_xll.RssMarket(C148,"出来高"),"")</f>
        <v/>
      </c>
      <c r="K148" s="169" t="str">
        <f>IF(C148&lt;&gt;"",_xll.RssMarket(C148,"年初来高値"),"")</f>
        <v/>
      </c>
      <c r="L148" s="170" t="str">
        <f t="shared" si="34"/>
        <v/>
      </c>
      <c r="M148" s="169">
        <f>IF(C148&lt;&gt;"",IFERROR(AVERAGE(出来高!E24:I24),""),"")</f>
        <v>3331060</v>
      </c>
      <c r="N148" s="169">
        <f>IF(C148&lt;&gt;"",IFERROR(AVERAGE(出来高!E24:AC24),""),"")</f>
        <v>4146024</v>
      </c>
      <c r="O148" s="171" t="str">
        <f t="shared" si="35"/>
        <v/>
      </c>
      <c r="P148" s="166" t="str">
        <f t="shared" si="36"/>
        <v/>
      </c>
      <c r="Q148" s="166" t="str">
        <f t="shared" si="37"/>
        <v/>
      </c>
      <c r="R148" s="169" t="str">
        <f t="shared" si="44"/>
        <v/>
      </c>
      <c r="S148" s="169" t="str">
        <f t="shared" si="45"/>
        <v/>
      </c>
      <c r="T148" s="166">
        <f t="shared" si="38"/>
        <v>0</v>
      </c>
      <c r="U148" s="166" t="str">
        <f t="shared" si="46"/>
        <v>除外</v>
      </c>
      <c r="V148" s="166" t="str">
        <f t="shared" si="39"/>
        <v/>
      </c>
      <c r="W148" s="172">
        <f t="array" ref="W148">IF(C148&lt;&gt;"",IFERROR(100-100/(1+SUMPRODUCT((終値!F24:R24&gt;終値!G24:S24)*( 終値!F24:R24-終値!G24:S24))/SUMPRODUCT((終値!F24:R24&lt;終値!G24:S24)*(終値!G24:S24-終値!F24:R24))),50),"")</f>
        <v>71.341463414634148</v>
      </c>
      <c r="X148" s="173">
        <f>IF(C148&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-0.55317645747618371</v>
      </c>
      <c r="Y148" s="1" t="e">
        <f>IF(T148="","",IF(銘柄管理!$F$5="下落▼",IF(AND(AD148="パーフェクト▲",OR(AE148="25日線押し目●",AE148="5日線押し目○")),"★逆張り候補",IF(AND(AD148="上昇トレンド▲",OR(AE148="25日線押し目●",AE148="5日線押し目○")),"○逆張り候補",IF(W148&lt;=30,IF(Z148&gt;0,"◎反発確認",IF(Z148&lt;-5,"△要注意・様子見","△売られ過ぎ注目")),"相場下落・見送り"))),IF(AND(T148&gt;=12,AD148="パーフェクト▲"),"★強い買い",IF(AND(T148&gt;=12,AD148="上昇トレンド▲"),"★強い買い",IF(AND(T148&gt;=8,OR(AE148="25日線押し目●",AE148="5日線押し目○")),"◎押し目買い",IF(T148&gt;=10,"○買い候補",IF(T148&gt;=6,"△注目",IF(T148&gt;=3,"様子見","見送り"))))))))</f>
        <v>#VALUE!</v>
      </c>
      <c r="Z148" s="174" t="str">
        <f t="shared" si="47"/>
        <v/>
      </c>
      <c r="AA148" s="166" t="str">
        <f t="shared" si="48"/>
        <v/>
      </c>
      <c r="AB148" s="406">
        <f>IF(C148="","",IFERROR(((終値!E150*0.333)+(終値!F150*0.222)+(終値!G150*0.148)+(終値!H150*0.099)+(終値!I150*0.066)+(終値!J150*0.044)+(終値!K150*0.029)+(終値!L150*0.019)+(終値!M150*0.013)+(終値!N150*0.009))/(0.333+0.222+0.148+0.099+0.066+0.044+0.029+0.019+0.013+0.009),""))</f>
        <v>5022.9124236252546</v>
      </c>
      <c r="AC148" s="406">
        <f>IF(C148="","",IFERROR(SUMPRODUCT((終値!E150:AC150),({0.077,0.071,0.065,0.06,0.055,0.051,0.047,0.043,0.039,0.036,0.033,0.031,0.028,0.026,0.024,0.022,0.02,0.018,0.017,0.016,0.014,0.013,0.012,0.011,0.01}))/SUM({0.077,0.071,0.065,0.06,0.055,0.051,0.047,0.043,0.039,0.036,0.033,0.031,0.028,0.026,0.024,0.022,0.02,0.018,0.017,0.016,0.014,0.013,0.012,0.011,0.01}),""))</f>
        <v>4814.5244338498187</v>
      </c>
      <c r="AD148" s="407" t="str">
        <f t="shared" si="40"/>
        <v>パーフェクト▲</v>
      </c>
      <c r="AE148" s="407" t="e">
        <f t="shared" si="41"/>
        <v>#VALUE!</v>
      </c>
      <c r="AF148" s="368">
        <f t="array" ref="AF148">IF(C148="","",IFERROR((INDEX(終値!$E:$E,MATCH(TEXT(C148,"0"),終値!$A:$A,0))-INDEX(終値!$E:$CZ,MATCH(TEXT(C148,"0"),終値!$A:$A,0),$AL$2))/INDEX(終値!$E:$CZ,MATCH(TEXT(C148,"0"),終値!$A:$A,0),$AL$2)*100,""))</f>
        <v>-7.9718205413422325</v>
      </c>
      <c r="AG148" s="368">
        <f t="array" ref="AG148">IFERROR((終値!$E$5-INDEX(終値!$E$5:$CZ$5,1,$AL$2))/INDEX(終値!$E$5:$CZ$5,1,$AL$2)*100,"")</f>
        <v>2.31989243802786</v>
      </c>
      <c r="AH148" s="369">
        <f t="shared" si="42"/>
        <v>-10.291712979370093</v>
      </c>
      <c r="AI148" s="367">
        <f t="shared" si="43"/>
        <v>-2</v>
      </c>
    </row>
    <row r="149" spans="1:35" ht="18" customHeight="1">
      <c r="A149" s="166" t="str">
        <f>IF(銘柄管理!B69&lt;&gt;"",HYPERLINK("https://kabutan.jp/stock/?code="&amp;銘柄管理!B69,"株探"),"")</f>
        <v>株探</v>
      </c>
      <c r="B149" s="167"/>
      <c r="C149" s="168">
        <f>IF(銘柄管理!B69="","",銘柄管理!B69)</f>
        <v>4980</v>
      </c>
      <c r="D149" s="106" t="str">
        <f>IF(銘柄管理!C69="","",銘柄管理!C69)</f>
        <v/>
      </c>
      <c r="E149" s="169" t="str">
        <f>IF(C149&lt;&gt;"",_xll.RssMarket(C149,"現在値"),"")</f>
        <v/>
      </c>
      <c r="F149" s="169" t="str">
        <f>IF(C149&lt;&gt;"",_xll.RssMarket(C149,"始値"),"")</f>
        <v/>
      </c>
      <c r="G149" s="168">
        <f>IF(C149&lt;&gt;"",終値!F69,"")</f>
        <v>3941</v>
      </c>
      <c r="H149" s="169" t="str">
        <f>IF(C149&lt;&gt;"",_xll.RssMarket(C149,"高値"),"")</f>
        <v/>
      </c>
      <c r="I149" s="169" t="str">
        <f>IF(C149&lt;&gt;"",_xll.RssMarket(C149,"安値"),"")</f>
        <v/>
      </c>
      <c r="J149" s="169" t="str">
        <f>IF(C149&lt;&gt;"",_xll.RssMarket(C149,"出来高"),"")</f>
        <v/>
      </c>
      <c r="K149" s="169" t="str">
        <f>IF(C149&lt;&gt;"",_xll.RssMarket(C149,"年初来高値"),"")</f>
        <v/>
      </c>
      <c r="L149" s="170" t="str">
        <f t="shared" si="34"/>
        <v/>
      </c>
      <c r="M149" s="169">
        <f>IF(C149&lt;&gt;"",IFERROR(AVERAGE(出来高!E69:I69),""),"")</f>
        <v>1453600</v>
      </c>
      <c r="N149" s="169">
        <f>IF(C149&lt;&gt;"",IFERROR(AVERAGE(出来高!E69:AC69),""),"")</f>
        <v>2279800</v>
      </c>
      <c r="O149" s="171" t="str">
        <f t="shared" si="35"/>
        <v/>
      </c>
      <c r="P149" s="166" t="str">
        <f t="shared" si="36"/>
        <v/>
      </c>
      <c r="Q149" s="166" t="str">
        <f t="shared" si="37"/>
        <v/>
      </c>
      <c r="R149" s="169" t="str">
        <f t="shared" si="44"/>
        <v/>
      </c>
      <c r="S149" s="169" t="str">
        <f t="shared" si="45"/>
        <v/>
      </c>
      <c r="T149" s="166">
        <f t="shared" si="38"/>
        <v>0</v>
      </c>
      <c r="U149" s="166" t="str">
        <f t="shared" si="46"/>
        <v>除外</v>
      </c>
      <c r="V149" s="166" t="str">
        <f t="shared" si="39"/>
        <v/>
      </c>
      <c r="W149" s="172">
        <f t="array" ref="W149">IF(C149&lt;&gt;"",IFERROR(100-100/(1+SUMPRODUCT((終値!F69:R69&gt;終値!G69:S69)*( 終値!F69:R69-終値!G69:S69))/SUMPRODUCT((終値!F69:R69&lt;終値!G69:S69)*(終値!G69:S69-終値!F69:R69))),50),"")</f>
        <v>21.578947368421055</v>
      </c>
      <c r="X149" s="173">
        <f>IF(C149&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-105.62248496451457</v>
      </c>
      <c r="Y149" s="1" t="e">
        <f>IF(T149="","",IF(銘柄管理!$F$5="下落▼",IF(AND(AD149="パーフェクト▲",OR(AE149="25日線押し目●",AE149="5日線押し目○")),"★逆張り候補",IF(AND(AD149="上昇トレンド▲",OR(AE149="25日線押し目●",AE149="5日線押し目○")),"○逆張り候補",IF(W149&lt;=30,IF(Z149&gt;0,"◎反発確認",IF(Z149&lt;-5,"△要注意・様子見","△売られ過ぎ注目")),"相場下落・見送り"))),IF(AND(T149&gt;=12,AD149="パーフェクト▲"),"★強い買い",IF(AND(T149&gt;=12,AD149="上昇トレンド▲"),"★強い買い",IF(AND(T149&gt;=8,OR(AE149="25日線押し目●",AE149="5日線押し目○")),"◎押し目買い",IF(T149&gt;=10,"○買い候補",IF(T149&gt;=6,"△注目",IF(T149&gt;=3,"様子見","見送り"))))))))</f>
        <v>#VALUE!</v>
      </c>
      <c r="Z149" s="174" t="str">
        <f t="shared" si="47"/>
        <v/>
      </c>
      <c r="AA149" s="166" t="str">
        <f t="shared" si="48"/>
        <v/>
      </c>
      <c r="AB149" s="408">
        <f>IF(C149="","",IFERROR(((終値!E151*0.333)+(終値!F151*0.222)+(終値!G151*0.148)+(終値!H151*0.099)+(終値!I151*0.066)+(終値!J151*0.044)+(終値!K151*0.029)+(終値!L151*0.019)+(終値!M151*0.013)+(終値!N151*0.009))/(0.333+0.222+0.148+0.099+0.066+0.044+0.029+0.019+0.013+0.009),""))</f>
        <v>5786.9857433808547</v>
      </c>
      <c r="AC149" s="408">
        <f>IF(C149="","",IFERROR(SUMPRODUCT((終値!E151:AC151),({0.077,0.071,0.065,0.06,0.055,0.051,0.047,0.043,0.039,0.036,0.033,0.031,0.028,0.026,0.024,0.022,0.02,0.018,0.017,0.016,0.014,0.013,0.012,0.011,0.01}))/SUM({0.077,0.071,0.065,0.06,0.055,0.051,0.047,0.043,0.039,0.036,0.033,0.031,0.028,0.026,0.024,0.022,0.02,0.018,0.017,0.016,0.014,0.013,0.012,0.011,0.01}),""))</f>
        <v>6246.4362336114382</v>
      </c>
      <c r="AD149" s="409" t="str">
        <f t="shared" si="40"/>
        <v>上昇トレンド▲</v>
      </c>
      <c r="AE149" s="409" t="e">
        <f t="shared" si="41"/>
        <v>#VALUE!</v>
      </c>
      <c r="AF149" s="368">
        <f t="array" ref="AF149">IF(C149="","",IFERROR((INDEX(終値!$E:$E,MATCH(TEXT(C149,"0"),終値!$A:$A,0))-INDEX(終値!$E:$CZ,MATCH(TEXT(C149,"0"),終値!$A:$A,0),$AL$2))/INDEX(終値!$E:$CZ,MATCH(TEXT(C149,"0"),終値!$A:$A,0),$AL$2)*100,""))</f>
        <v>-10.48469387755102</v>
      </c>
      <c r="AG149" s="368">
        <f t="array" ref="AG149">IFERROR((終値!$E$5-INDEX(終値!$E$5:$CZ$5,1,$AL$2))/INDEX(終値!$E$5:$CZ$5,1,$AL$2)*100,"")</f>
        <v>2.31989243802786</v>
      </c>
      <c r="AH149" s="369">
        <f t="shared" si="42"/>
        <v>-12.804586315578881</v>
      </c>
      <c r="AI149" s="367">
        <f t="shared" si="43"/>
        <v>-2</v>
      </c>
    </row>
    <row r="150" spans="1:35" ht="18" customHeight="1">
      <c r="A150" s="166" t="str">
        <f>IF(銘柄管理!B196&lt;&gt;"",HYPERLINK("https://kabutan.jp/stock/?code="&amp;銘柄管理!B196,"株探"),"")</f>
        <v>株探</v>
      </c>
      <c r="B150" s="167"/>
      <c r="C150" s="168">
        <f>IF(銘柄管理!B196="","",銘柄管理!B196)</f>
        <v>4966</v>
      </c>
      <c r="D150" s="106" t="str">
        <f>IF(銘柄管理!C196="","",銘柄管理!C196)</f>
        <v/>
      </c>
      <c r="E150" s="169" t="str">
        <f>IF(C150&lt;&gt;"",_xll.RssMarket(C150,"現在値"),"")</f>
        <v/>
      </c>
      <c r="F150" s="169" t="str">
        <f>IF(C150&lt;&gt;"",_xll.RssMarket(C150,"始値"),"")</f>
        <v/>
      </c>
      <c r="G150" s="168">
        <f>IF(C150&lt;&gt;"",終値!F196,"")</f>
        <v>25250</v>
      </c>
      <c r="H150" s="169" t="str">
        <f>IF(C150&lt;&gt;"",_xll.RssMarket(C150,"高値"),"")</f>
        <v/>
      </c>
      <c r="I150" s="169" t="str">
        <f>IF(C150&lt;&gt;"",_xll.RssMarket(C150,"安値"),"")</f>
        <v/>
      </c>
      <c r="J150" s="169" t="str">
        <f>IF(C150&lt;&gt;"",_xll.RssMarket(C150,"出来高"),"")</f>
        <v/>
      </c>
      <c r="K150" s="169" t="str">
        <f>IF(C150&lt;&gt;"",_xll.RssMarket(C150,"年初来高値"),"")</f>
        <v/>
      </c>
      <c r="L150" s="170" t="str">
        <f t="shared" si="34"/>
        <v/>
      </c>
      <c r="M150" s="169">
        <f>IF(C150&lt;&gt;"",IFERROR(AVERAGE(出来高!E196:I196),""),"")</f>
        <v>69180</v>
      </c>
      <c r="N150" s="169">
        <f>IF(C150&lt;&gt;"",IFERROR(AVERAGE(出来高!E196:AC196),""),"")</f>
        <v>61804</v>
      </c>
      <c r="O150" s="171" t="str">
        <f t="shared" si="35"/>
        <v/>
      </c>
      <c r="P150" s="166" t="str">
        <f t="shared" si="36"/>
        <v/>
      </c>
      <c r="Q150" s="166" t="str">
        <f t="shared" si="37"/>
        <v/>
      </c>
      <c r="R150" s="169" t="str">
        <f t="shared" si="44"/>
        <v/>
      </c>
      <c r="S150" s="169" t="str">
        <f t="shared" si="45"/>
        <v/>
      </c>
      <c r="T150" s="166">
        <f t="shared" si="38"/>
        <v>0</v>
      </c>
      <c r="U150" s="166" t="str">
        <f t="shared" si="46"/>
        <v>除外</v>
      </c>
      <c r="V150" s="166" t="str">
        <f t="shared" si="39"/>
        <v/>
      </c>
      <c r="W150" s="172">
        <f t="array" ref="W150">IF(C150&lt;&gt;"",IFERROR(100-100/(1+SUMPRODUCT((終値!F196:R196&gt;終値!G196:S196)*( 終値!F196:R196-終値!G196:S196))/SUMPRODUCT((終値!F196:R196&lt;終値!G196:S196)*(終値!G196:S196-終値!F196:R196))),50),"")</f>
        <v>39.587073608617594</v>
      </c>
      <c r="X150" s="173">
        <f>IF(C150&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-333.75706001059007</v>
      </c>
      <c r="Y150" s="1" t="e">
        <f>IF(T150="","",IF(銘柄管理!$F$5="下落▼",IF(AND(AD150="パーフェクト▲",OR(AE150="25日線押し目●",AE150="5日線押し目○")),"★逆張り候補",IF(AND(AD150="上昇トレンド▲",OR(AE150="25日線押し目●",AE150="5日線押し目○")),"○逆張り候補",IF(W150&lt;=30,IF(Z150&gt;0,"◎反発確認",IF(Z150&lt;-5,"△要注意・様子見","△売られ過ぎ注目")),"相場下落・見送り"))),IF(AND(T150&gt;=12,AD150="パーフェクト▲"),"★強い買い",IF(AND(T150&gt;=12,AD150="上昇トレンド▲"),"★強い買い",IF(AND(T150&gt;=8,OR(AE150="25日線押し目●",AE150="5日線押し目○")),"◎押し目買い",IF(T150&gt;=10,"○買い候補",IF(T150&gt;=6,"△注目",IF(T150&gt;=3,"様子見","見送り"))))))))</f>
        <v>#VALUE!</v>
      </c>
      <c r="Z150" s="174" t="str">
        <f t="shared" si="47"/>
        <v/>
      </c>
      <c r="AA150" s="166" t="str">
        <f t="shared" si="48"/>
        <v/>
      </c>
      <c r="AB150" s="406">
        <f>IF(C150="","",IFERROR(((終値!E152*0.333)+(終値!F152*0.222)+(終値!G152*0.148)+(終値!H152*0.099)+(終値!I152*0.066)+(終値!J152*0.044)+(終値!K152*0.029)+(終値!L152*0.019)+(終値!M152*0.013)+(終値!N152*0.009))/(0.333+0.222+0.148+0.099+0.066+0.044+0.029+0.019+0.013+0.009),""))</f>
        <v>1074.9327902240325</v>
      </c>
      <c r="AC150" s="406">
        <f>IF(C150="","",IFERROR(SUMPRODUCT((終値!E152:AC152),({0.077,0.071,0.065,0.06,0.055,0.051,0.047,0.043,0.039,0.036,0.033,0.031,0.028,0.026,0.024,0.022,0.02,0.018,0.017,0.016,0.014,0.013,0.012,0.011,0.01}))/SUM({0.077,0.071,0.065,0.06,0.055,0.051,0.047,0.043,0.039,0.036,0.033,0.031,0.028,0.026,0.024,0.022,0.02,0.018,0.017,0.016,0.014,0.013,0.012,0.011,0.01}),""))</f>
        <v>1036.5601907032178</v>
      </c>
      <c r="AD150" s="407" t="str">
        <f t="shared" si="40"/>
        <v>パーフェクト▲</v>
      </c>
      <c r="AE150" s="407" t="e">
        <f t="shared" si="41"/>
        <v>#VALUE!</v>
      </c>
      <c r="AF150" s="368">
        <f t="array" ref="AF150">IF(C150="","",IFERROR((INDEX(終値!$E:$E,MATCH(TEXT(C150,"0"),終値!$A:$A,0))-INDEX(終値!$E:$CZ,MATCH(TEXT(C150,"0"),終値!$A:$A,0),$AL$2))/INDEX(終値!$E:$CZ,MATCH(TEXT(C150,"0"),終値!$A:$A,0),$AL$2)*100,""))</f>
        <v>5.5045871559633035</v>
      </c>
      <c r="AG150" s="368">
        <f t="array" ref="AG150">IFERROR((終値!$E$5-INDEX(終値!$E$5:$CZ$5,1,$AL$2))/INDEX(終値!$E$5:$CZ$5,1,$AL$2)*100,"")</f>
        <v>2.31989243802786</v>
      </c>
      <c r="AH150" s="369">
        <f t="shared" si="42"/>
        <v>3.1846947179354435</v>
      </c>
      <c r="AI150" s="367">
        <f t="shared" si="43"/>
        <v>1</v>
      </c>
    </row>
    <row r="151" spans="1:35" ht="18" customHeight="1">
      <c r="A151" s="166" t="str">
        <f>IF(銘柄管理!B146&lt;&gt;"",HYPERLINK("https://kabutan.jp/stock/?code="&amp;銘柄管理!B146,"株探"),"")</f>
        <v>株探</v>
      </c>
      <c r="B151" s="167"/>
      <c r="C151" s="168">
        <f>IF(銘柄管理!B146="","",銘柄管理!B146)</f>
        <v>4888</v>
      </c>
      <c r="D151" s="106" t="str">
        <f>IF(銘柄管理!C146="","",銘柄管理!C146)</f>
        <v/>
      </c>
      <c r="E151" s="169" t="str">
        <f>IF(C151&lt;&gt;"",_xll.RssMarket(C151,"現在値"),"")</f>
        <v/>
      </c>
      <c r="F151" s="169" t="str">
        <f>IF(C151&lt;&gt;"",_xll.RssMarket(C151,"始値"),"")</f>
        <v/>
      </c>
      <c r="G151" s="168">
        <f>IF(C151&lt;&gt;"",終値!F146,"")</f>
        <v>337</v>
      </c>
      <c r="H151" s="169" t="str">
        <f>IF(C151&lt;&gt;"",_xll.RssMarket(C151,"高値"),"")</f>
        <v/>
      </c>
      <c r="I151" s="169" t="str">
        <f>IF(C151&lt;&gt;"",_xll.RssMarket(C151,"安値"),"")</f>
        <v/>
      </c>
      <c r="J151" s="169" t="str">
        <f>IF(C151&lt;&gt;"",_xll.RssMarket(C151,"出来高"),"")</f>
        <v/>
      </c>
      <c r="K151" s="169" t="str">
        <f>IF(C151&lt;&gt;"",_xll.RssMarket(C151,"年初来高値"),"")</f>
        <v/>
      </c>
      <c r="L151" s="170" t="str">
        <f t="shared" si="34"/>
        <v/>
      </c>
      <c r="M151" s="169">
        <f>IF(C151&lt;&gt;"",IFERROR(AVERAGE(出来高!E146:I146),""),"")</f>
        <v>279340</v>
      </c>
      <c r="N151" s="169">
        <f>IF(C151&lt;&gt;"",IFERROR(AVERAGE(出来高!E146:AC146),""),"")</f>
        <v>421684</v>
      </c>
      <c r="O151" s="171" t="str">
        <f t="shared" si="35"/>
        <v/>
      </c>
      <c r="P151" s="166" t="str">
        <f t="shared" si="36"/>
        <v/>
      </c>
      <c r="Q151" s="166" t="str">
        <f t="shared" si="37"/>
        <v/>
      </c>
      <c r="R151" s="169" t="str">
        <f t="shared" si="44"/>
        <v/>
      </c>
      <c r="S151" s="169" t="str">
        <f t="shared" si="45"/>
        <v/>
      </c>
      <c r="T151" s="166">
        <f t="shared" si="38"/>
        <v>0</v>
      </c>
      <c r="U151" s="166" t="str">
        <f t="shared" si="46"/>
        <v>除外</v>
      </c>
      <c r="V151" s="166" t="str">
        <f t="shared" si="39"/>
        <v/>
      </c>
      <c r="W151" s="172">
        <f t="array" ref="W151">IF(C151&lt;&gt;"",IFERROR(100-100/(1+SUMPRODUCT((終値!F146:R146&gt;終値!G146:S146)*( 終値!F146:R146-終値!G146:S146))/SUMPRODUCT((終値!F146:R146&lt;終値!G146:S146)*(終値!G146:S146-終値!F146:R146))),50),"")</f>
        <v>64.367816091954026</v>
      </c>
      <c r="X151" s="173">
        <f>IF(C151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-0.41793869582352272</v>
      </c>
      <c r="Y151" s="1" t="e">
        <f>IF(T151="","",IF(銘柄管理!$F$5="下落▼",IF(AND(AD151="パーフェクト▲",OR(AE151="25日線押し目●",AE151="5日線押し目○")),"★逆張り候補",IF(AND(AD151="上昇トレンド▲",OR(AE151="25日線押し目●",AE151="5日線押し目○")),"○逆張り候補",IF(W151&lt;=30,IF(Z151&gt;0,"◎反発確認",IF(Z151&lt;-5,"△要注意・様子見","△売られ過ぎ注目")),"相場下落・見送り"))),IF(AND(T151&gt;=12,AD151="パーフェクト▲"),"★強い買い",IF(AND(T151&gt;=12,AD151="上昇トレンド▲"),"★強い買い",IF(AND(T151&gt;=8,OR(AE151="25日線押し目●",AE151="5日線押し目○")),"◎押し目買い",IF(T151&gt;=10,"○買い候補",IF(T151&gt;=6,"△注目",IF(T151&gt;=3,"様子見","見送り"))))))))</f>
        <v>#VALUE!</v>
      </c>
      <c r="Z151" s="174" t="str">
        <f t="shared" si="47"/>
        <v/>
      </c>
      <c r="AA151" s="166" t="str">
        <f t="shared" si="48"/>
        <v/>
      </c>
      <c r="AB151" s="408">
        <f>IF(C151="","",IFERROR(((終値!E153*0.333)+(終値!F153*0.222)+(終値!G153*0.148)+(終値!H153*0.099)+(終値!I153*0.066)+(終値!J153*0.044)+(終値!K153*0.029)+(終値!L153*0.019)+(終値!M153*0.013)+(終値!N153*0.009))/(0.333+0.222+0.148+0.099+0.066+0.044+0.029+0.019+0.013+0.009),""))</f>
        <v>4234.4704684317712</v>
      </c>
      <c r="AC151" s="408">
        <f>IF(C151="","",IFERROR(SUMPRODUCT((終値!E153:AC153),({0.077,0.071,0.065,0.06,0.055,0.051,0.047,0.043,0.039,0.036,0.033,0.031,0.028,0.026,0.024,0.022,0.02,0.018,0.017,0.016,0.014,0.013,0.012,0.011,0.01}))/SUM({0.077,0.071,0.065,0.06,0.055,0.051,0.047,0.043,0.039,0.036,0.033,0.031,0.028,0.026,0.024,0.022,0.02,0.018,0.017,0.016,0.014,0.013,0.012,0.011,0.01}),""))</f>
        <v>3884.4147794994019</v>
      </c>
      <c r="AD151" s="409" t="str">
        <f t="shared" si="40"/>
        <v>パーフェクト▲</v>
      </c>
      <c r="AE151" s="409" t="e">
        <f t="shared" si="41"/>
        <v>#VALUE!</v>
      </c>
      <c r="AF151" s="368">
        <f t="array" ref="AF151">IF(C151="","",IFERROR((INDEX(終値!$E:$E,MATCH(TEXT(C151,"0"),終値!$A:$A,0))-INDEX(終値!$E:$CZ,MATCH(TEXT(C151,"0"),終値!$A:$A,0),$AL$2))/INDEX(終値!$E:$CZ,MATCH(TEXT(C151,"0"),終値!$A:$A,0),$AL$2)*100,""))</f>
        <v>1.6666666666666667</v>
      </c>
      <c r="AG151" s="368">
        <f t="array" ref="AG151">IFERROR((終値!$E$5-INDEX(終値!$E$5:$CZ$5,1,$AL$2))/INDEX(終値!$E$5:$CZ$5,1,$AL$2)*100,"")</f>
        <v>2.31989243802786</v>
      </c>
      <c r="AH151" s="369">
        <f t="shared" si="42"/>
        <v>-0.65322577136119331</v>
      </c>
      <c r="AI151" s="367">
        <f t="shared" si="43"/>
        <v>-1</v>
      </c>
    </row>
    <row r="152" spans="1:35" ht="18" customHeight="1">
      <c r="A152" s="166" t="str">
        <f>IF(銘柄管理!B192&lt;&gt;"",HYPERLINK("https://kabutan.jp/stock/?code="&amp;銘柄管理!B192,"株探"),"")</f>
        <v>株探</v>
      </c>
      <c r="B152" s="167"/>
      <c r="C152" s="168">
        <f>IF(銘柄管理!B192="","",銘柄管理!B192)</f>
        <v>4887</v>
      </c>
      <c r="D152" s="106" t="str">
        <f>IF(銘柄管理!C192="","",銘柄管理!C192)</f>
        <v/>
      </c>
      <c r="E152" s="169" t="str">
        <f>IF(C152&lt;&gt;"",_xll.RssMarket(C152,"現在値"),"")</f>
        <v/>
      </c>
      <c r="F152" s="169" t="str">
        <f>IF(C152&lt;&gt;"",_xll.RssMarket(C152,"始値"),"")</f>
        <v/>
      </c>
      <c r="G152" s="168">
        <f>IF(C152&lt;&gt;"",終値!F192,"")</f>
        <v>1693.5</v>
      </c>
      <c r="H152" s="169" t="str">
        <f>IF(C152&lt;&gt;"",_xll.RssMarket(C152,"高値"),"")</f>
        <v/>
      </c>
      <c r="I152" s="169" t="str">
        <f>IF(C152&lt;&gt;"",_xll.RssMarket(C152,"安値"),"")</f>
        <v/>
      </c>
      <c r="J152" s="169" t="str">
        <f>IF(C152&lt;&gt;"",_xll.RssMarket(C152,"出来高"),"")</f>
        <v/>
      </c>
      <c r="K152" s="169" t="str">
        <f>IF(C152&lt;&gt;"",_xll.RssMarket(C152,"年初来高値"),"")</f>
        <v/>
      </c>
      <c r="L152" s="170" t="str">
        <f t="shared" si="34"/>
        <v/>
      </c>
      <c r="M152" s="169">
        <f>IF(C152&lt;&gt;"",IFERROR(AVERAGE(出来高!E192:I192),""),"")</f>
        <v>402420</v>
      </c>
      <c r="N152" s="169">
        <f>IF(C152&lt;&gt;"",IFERROR(AVERAGE(出来高!E192:AC192),""),"")</f>
        <v>517504</v>
      </c>
      <c r="O152" s="171" t="str">
        <f t="shared" si="35"/>
        <v/>
      </c>
      <c r="P152" s="166" t="str">
        <f t="shared" si="36"/>
        <v/>
      </c>
      <c r="Q152" s="166" t="str">
        <f t="shared" si="37"/>
        <v/>
      </c>
      <c r="R152" s="169" t="str">
        <f t="shared" si="44"/>
        <v/>
      </c>
      <c r="S152" s="169" t="str">
        <f t="shared" si="45"/>
        <v/>
      </c>
      <c r="T152" s="166">
        <f t="shared" si="38"/>
        <v>0</v>
      </c>
      <c r="U152" s="166" t="str">
        <f t="shared" si="46"/>
        <v>除外</v>
      </c>
      <c r="V152" s="166" t="str">
        <f t="shared" si="39"/>
        <v/>
      </c>
      <c r="W152" s="172">
        <f t="array" ref="W152">IF(C152&lt;&gt;"",IFERROR(100-100/(1+SUMPRODUCT((終値!F192:R192&gt;終値!G192:S192)*( 終値!F192:R192-終値!G192:S192))/SUMPRODUCT((終値!F192:R192&lt;終値!G192:S192)*(終値!G192:S192-終値!F192:R192))),50),"")</f>
        <v>57.543859649122808</v>
      </c>
      <c r="X152" s="173">
        <f>IF(C152&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4.6030423222516674</v>
      </c>
      <c r="Y152" s="1" t="e">
        <f>IF(T152="","",IF(銘柄管理!$F$5="下落▼",IF(AND(AD152="パーフェクト▲",OR(AE152="25日線押し目●",AE152="5日線押し目○")),"★逆張り候補",IF(AND(AD152="上昇トレンド▲",OR(AE152="25日線押し目●",AE152="5日線押し目○")),"○逆張り候補",IF(W152&lt;=30,IF(Z152&gt;0,"◎反発確認",IF(Z152&lt;-5,"△要注意・様子見","△売られ過ぎ注目")),"相場下落・見送り"))),IF(AND(T152&gt;=12,AD152="パーフェクト▲"),"★強い買い",IF(AND(T152&gt;=12,AD152="上昇トレンド▲"),"★強い買い",IF(AND(T152&gt;=8,OR(AE152="25日線押し目●",AE152="5日線押し目○")),"◎押し目買い",IF(T152&gt;=10,"○買い候補",IF(T152&gt;=6,"△注目",IF(T152&gt;=3,"様子見","見送り"))))))))</f>
        <v>#VALUE!</v>
      </c>
      <c r="Z152" s="174" t="str">
        <f t="shared" si="47"/>
        <v/>
      </c>
      <c r="AA152" s="166" t="str">
        <f t="shared" si="48"/>
        <v/>
      </c>
      <c r="AB152" s="406">
        <f>IF(C152="","",IFERROR(((終値!E154*0.333)+(終値!F154*0.222)+(終値!G154*0.148)+(終値!H154*0.099)+(終値!I154*0.066)+(終値!J154*0.044)+(終値!K154*0.029)+(終値!L154*0.019)+(終値!M154*0.013)+(終値!N154*0.009))/(0.333+0.222+0.148+0.099+0.066+0.044+0.029+0.019+0.013+0.009),""))</f>
        <v>8816.9623217922599</v>
      </c>
      <c r="AC152" s="406">
        <f>IF(C152="","",IFERROR(SUMPRODUCT((終値!E154:AC154),({0.077,0.071,0.065,0.06,0.055,0.051,0.047,0.043,0.039,0.036,0.033,0.031,0.028,0.026,0.024,0.022,0.02,0.018,0.017,0.016,0.014,0.013,0.012,0.011,0.01}))/SUM({0.077,0.071,0.065,0.06,0.055,0.051,0.047,0.043,0.039,0.036,0.033,0.031,0.028,0.026,0.024,0.022,0.02,0.018,0.017,0.016,0.014,0.013,0.012,0.011,0.01}),""))</f>
        <v>9980.8545887961827</v>
      </c>
      <c r="AD152" s="407" t="str">
        <f t="shared" si="40"/>
        <v>上昇トレンド▲</v>
      </c>
      <c r="AE152" s="407" t="e">
        <f t="shared" si="41"/>
        <v>#VALUE!</v>
      </c>
      <c r="AF152" s="368">
        <f t="array" ref="AF152">IF(C152="","",IFERROR((INDEX(終値!$E:$E,MATCH(TEXT(C152,"0"),終値!$A:$A,0))-INDEX(終値!$E:$CZ,MATCH(TEXT(C152,"0"),終値!$A:$A,0),$AL$2))/INDEX(終値!$E:$CZ,MATCH(TEXT(C152,"0"),終値!$A:$A,0),$AL$2)*100,""))</f>
        <v>-1.8394160583941606</v>
      </c>
      <c r="AG152" s="368">
        <f t="array" ref="AG152">IFERROR((終値!$E$5-INDEX(終値!$E$5:$CZ$5,1,$AL$2))/INDEX(終値!$E$5:$CZ$5,1,$AL$2)*100,"")</f>
        <v>2.31989243802786</v>
      </c>
      <c r="AH152" s="369">
        <f t="shared" si="42"/>
        <v>-4.1593084964220211</v>
      </c>
      <c r="AI152" s="367">
        <f t="shared" si="43"/>
        <v>-2</v>
      </c>
    </row>
    <row r="153" spans="1:35" ht="18" customHeight="1">
      <c r="A153" s="166" t="str">
        <f>IF(銘柄管理!B165&lt;&gt;"",HYPERLINK("https://kabutan.jp/stock/?code="&amp;銘柄管理!B165,"株探"),"")</f>
        <v>株探</v>
      </c>
      <c r="B153" s="167"/>
      <c r="C153" s="168">
        <f>IF(銘柄管理!B165="","",銘柄管理!B165)</f>
        <v>4733</v>
      </c>
      <c r="D153" s="106" t="str">
        <f>IF(銘柄管理!C165="","",銘柄管理!C165)</f>
        <v/>
      </c>
      <c r="E153" s="169" t="str">
        <f>IF(C153&lt;&gt;"",_xll.RssMarket(C153,"現在値"),"")</f>
        <v/>
      </c>
      <c r="F153" s="169" t="str">
        <f>IF(C153&lt;&gt;"",_xll.RssMarket(C153,"始値"),"")</f>
        <v/>
      </c>
      <c r="G153" s="168">
        <f>IF(C153&lt;&gt;"",終値!F165,"")</f>
        <v>6483</v>
      </c>
      <c r="H153" s="169" t="str">
        <f>IF(C153&lt;&gt;"",_xll.RssMarket(C153,"高値"),"")</f>
        <v/>
      </c>
      <c r="I153" s="169" t="str">
        <f>IF(C153&lt;&gt;"",_xll.RssMarket(C153,"安値"),"")</f>
        <v/>
      </c>
      <c r="J153" s="169" t="str">
        <f>IF(C153&lt;&gt;"",_xll.RssMarket(C153,"出来高"),"")</f>
        <v/>
      </c>
      <c r="K153" s="169" t="str">
        <f>IF(C153&lt;&gt;"",_xll.RssMarket(C153,"年初来高値"),"")</f>
        <v/>
      </c>
      <c r="L153" s="170" t="str">
        <f t="shared" si="34"/>
        <v/>
      </c>
      <c r="M153" s="169">
        <f>IF(C153&lt;&gt;"",IFERROR(AVERAGE(出来高!E165:I165),""),"")</f>
        <v>159480</v>
      </c>
      <c r="N153" s="169">
        <f>IF(C153&lt;&gt;"",IFERROR(AVERAGE(出来高!E165:AC165),""),"")</f>
        <v>219984</v>
      </c>
      <c r="O153" s="171" t="str">
        <f t="shared" si="35"/>
        <v/>
      </c>
      <c r="P153" s="166" t="str">
        <f t="shared" si="36"/>
        <v/>
      </c>
      <c r="Q153" s="166" t="str">
        <f t="shared" si="37"/>
        <v/>
      </c>
      <c r="R153" s="169" t="str">
        <f t="shared" si="44"/>
        <v/>
      </c>
      <c r="S153" s="169" t="str">
        <f t="shared" si="45"/>
        <v/>
      </c>
      <c r="T153" s="166">
        <f t="shared" si="38"/>
        <v>0</v>
      </c>
      <c r="U153" s="166" t="str">
        <f t="shared" si="46"/>
        <v>除外</v>
      </c>
      <c r="V153" s="166" t="str">
        <f t="shared" si="39"/>
        <v/>
      </c>
      <c r="W153" s="172">
        <f t="array" ref="W153">IF(C153&lt;&gt;"",IFERROR(100-100/(1+SUMPRODUCT((終値!F165:R165&gt;終値!G165:S165)*( 終値!F165:R165-終値!G165:S165))/SUMPRODUCT((終値!F165:R165&lt;終値!G165:S165)*(終値!G165:S165-終値!F165:R165))),50),"")</f>
        <v>82.20338983050847</v>
      </c>
      <c r="X153" s="173">
        <f>IF(C153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112.17079951759115</v>
      </c>
      <c r="Y153" s="1" t="e">
        <f>IF(T153="","",IF(銘柄管理!$F$5="下落▼",IF(AND(AD153="パーフェクト▲",OR(AE153="25日線押し目●",AE153="5日線押し目○")),"★逆張り候補",IF(AND(AD153="上昇トレンド▲",OR(AE153="25日線押し目●",AE153="5日線押し目○")),"○逆張り候補",IF(W153&lt;=30,IF(Z153&gt;0,"◎反発確認",IF(Z153&lt;-5,"△要注意・様子見","△売られ過ぎ注目")),"相場下落・見送り"))),IF(AND(T153&gt;=12,AD153="パーフェクト▲"),"★強い買い",IF(AND(T153&gt;=12,AD153="上昇トレンド▲"),"★強い買い",IF(AND(T153&gt;=8,OR(AE153="25日線押し目●",AE153="5日線押し目○")),"◎押し目買い",IF(T153&gt;=10,"○買い候補",IF(T153&gt;=6,"△注目",IF(T153&gt;=3,"様子見","見送り"))))))))</f>
        <v>#VALUE!</v>
      </c>
      <c r="Z153" s="174" t="str">
        <f t="shared" si="47"/>
        <v/>
      </c>
      <c r="AA153" s="166" t="str">
        <f t="shared" si="48"/>
        <v/>
      </c>
      <c r="AB153" s="408">
        <f>IF(C153="","",IFERROR(((終値!E155*0.333)+(終値!F155*0.222)+(終値!G155*0.148)+(終値!H155*0.099)+(終値!I155*0.066)+(終値!J155*0.044)+(終値!K155*0.029)+(終値!L155*0.019)+(終値!M155*0.013)+(終値!N155*0.009))/(0.333+0.222+0.148+0.099+0.066+0.044+0.029+0.019+0.013+0.009),""))</f>
        <v>3950.4164969450094</v>
      </c>
      <c r="AC153" s="408">
        <f>IF(C153="","",IFERROR(SUMPRODUCT((終値!E155:AC155),({0.077,0.071,0.065,0.06,0.055,0.051,0.047,0.043,0.039,0.036,0.033,0.031,0.028,0.026,0.024,0.022,0.02,0.018,0.017,0.016,0.014,0.013,0.012,0.011,0.01}))/SUM({0.077,0.071,0.065,0.06,0.055,0.051,0.047,0.043,0.039,0.036,0.033,0.031,0.028,0.026,0.024,0.022,0.02,0.018,0.017,0.016,0.014,0.013,0.012,0.011,0.01}),""))</f>
        <v>4178.2586412395704</v>
      </c>
      <c r="AD153" s="409" t="str">
        <f t="shared" si="40"/>
        <v>上昇トレンド▲</v>
      </c>
      <c r="AE153" s="409" t="e">
        <f t="shared" si="41"/>
        <v>#VALUE!</v>
      </c>
      <c r="AF153" s="368">
        <f t="array" ref="AF153">IF(C153="","",IFERROR((INDEX(終値!$E:$E,MATCH(TEXT(C153,"0"),終値!$A:$A,0))-INDEX(終値!$E:$CZ,MATCH(TEXT(C153,"0"),終値!$A:$A,0),$AL$2))/INDEX(終値!$E:$CZ,MATCH(TEXT(C153,"0"),終値!$A:$A,0),$AL$2)*100,""))</f>
        <v>9.8026206667772442</v>
      </c>
      <c r="AG153" s="368">
        <f t="array" ref="AG153">IFERROR((終値!$E$5-INDEX(終値!$E$5:$CZ$5,1,$AL$2))/INDEX(終値!$E$5:$CZ$5,1,$AL$2)*100,"")</f>
        <v>2.31989243802786</v>
      </c>
      <c r="AH153" s="369">
        <f t="shared" si="42"/>
        <v>7.4827282287493837</v>
      </c>
      <c r="AI153" s="367">
        <f t="shared" si="43"/>
        <v>3</v>
      </c>
    </row>
    <row r="154" spans="1:35" ht="18" customHeight="1">
      <c r="A154" s="166" t="str">
        <f>IF(銘柄管理!B170&lt;&gt;"",HYPERLINK("https://kabutan.jp/stock/?code="&amp;銘柄管理!B170,"株探"),"")</f>
        <v>株探</v>
      </c>
      <c r="B154" s="167"/>
      <c r="C154" s="168">
        <f>IF(銘柄管理!B170="","",銘柄管理!B170)</f>
        <v>4709</v>
      </c>
      <c r="D154" s="106" t="str">
        <f>IF(銘柄管理!C170="","",銘柄管理!C170)</f>
        <v/>
      </c>
      <c r="E154" s="169" t="str">
        <f>IF(C154&lt;&gt;"",_xll.RssMarket(C154,"現在値"),"")</f>
        <v/>
      </c>
      <c r="F154" s="169" t="str">
        <f>IF(C154&lt;&gt;"",_xll.RssMarket(C154,"始値"),"")</f>
        <v/>
      </c>
      <c r="G154" s="168">
        <f>IF(C154&lt;&gt;"",終値!F170,"")</f>
        <v>1127</v>
      </c>
      <c r="H154" s="169" t="str">
        <f>IF(C154&lt;&gt;"",_xll.RssMarket(C154,"高値"),"")</f>
        <v/>
      </c>
      <c r="I154" s="169" t="str">
        <f>IF(C154&lt;&gt;"",_xll.RssMarket(C154,"安値"),"")</f>
        <v/>
      </c>
      <c r="J154" s="169" t="str">
        <f>IF(C154&lt;&gt;"",_xll.RssMarket(C154,"出来高"),"")</f>
        <v/>
      </c>
      <c r="K154" s="169" t="str">
        <f>IF(C154&lt;&gt;"",_xll.RssMarket(C154,"年初来高値"),"")</f>
        <v/>
      </c>
      <c r="L154" s="170" t="str">
        <f t="shared" si="34"/>
        <v/>
      </c>
      <c r="M154" s="169">
        <f>IF(C154&lt;&gt;"",IFERROR(AVERAGE(出来高!E170:I170),""),"")</f>
        <v>58060</v>
      </c>
      <c r="N154" s="169">
        <f>IF(C154&lt;&gt;"",IFERROR(AVERAGE(出来高!E170:AC170),""),"")</f>
        <v>65164</v>
      </c>
      <c r="O154" s="171" t="str">
        <f t="shared" si="35"/>
        <v/>
      </c>
      <c r="P154" s="166" t="str">
        <f t="shared" si="36"/>
        <v/>
      </c>
      <c r="Q154" s="166" t="str">
        <f t="shared" si="37"/>
        <v/>
      </c>
      <c r="R154" s="169" t="str">
        <f t="shared" si="44"/>
        <v/>
      </c>
      <c r="S154" s="169" t="str">
        <f t="shared" si="45"/>
        <v/>
      </c>
      <c r="T154" s="166">
        <f t="shared" si="38"/>
        <v>0</v>
      </c>
      <c r="U154" s="166" t="str">
        <f t="shared" si="46"/>
        <v>除外</v>
      </c>
      <c r="V154" s="166" t="str">
        <f t="shared" si="39"/>
        <v/>
      </c>
      <c r="W154" s="172">
        <f t="array" ref="W154">IF(C154&lt;&gt;"",IFERROR(100-100/(1+SUMPRODUCT((終値!F170:R170&gt;終値!G170:S170)*( 終値!F170:R170-終値!G170:S170))/SUMPRODUCT((終値!F170:R170&lt;終値!G170:S170)*(終値!G170:S170-終値!F170:R170))),50),"")</f>
        <v>76.923076923076934</v>
      </c>
      <c r="X154" s="173">
        <f>IF(C154&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7.4804449150017263</v>
      </c>
      <c r="Y154" s="1" t="e">
        <f>IF(T154="","",IF(銘柄管理!$F$5="下落▼",IF(AND(AD154="パーフェクト▲",OR(AE154="25日線押し目●",AE154="5日線押し目○")),"★逆張り候補",IF(AND(AD154="上昇トレンド▲",OR(AE154="25日線押し目●",AE154="5日線押し目○")),"○逆張り候補",IF(W154&lt;=30,IF(Z154&gt;0,"◎反発確認",IF(Z154&lt;-5,"△要注意・様子見","△売られ過ぎ注目")),"相場下落・見送り"))),IF(AND(T154&gt;=12,AD154="パーフェクト▲"),"★強い買い",IF(AND(T154&gt;=12,AD154="上昇トレンド▲"),"★強い買い",IF(AND(T154&gt;=8,OR(AE154="25日線押し目●",AE154="5日線押し目○")),"◎押し目買い",IF(T154&gt;=10,"○買い候補",IF(T154&gt;=6,"△注目",IF(T154&gt;=3,"様子見","見送り"))))))))</f>
        <v>#VALUE!</v>
      </c>
      <c r="Z154" s="174" t="str">
        <f t="shared" si="47"/>
        <v/>
      </c>
      <c r="AA154" s="166" t="str">
        <f t="shared" si="48"/>
        <v/>
      </c>
      <c r="AB154" s="406">
        <f>IF(C154="","",IFERROR(((終値!E156*0.333)+(終値!F156*0.222)+(終値!G156*0.148)+(終値!H156*0.099)+(終値!I156*0.066)+(終値!J156*0.044)+(終値!K156*0.029)+(終値!L156*0.019)+(終値!M156*0.013)+(終値!N156*0.009))/(0.333+0.222+0.148+0.099+0.066+0.044+0.029+0.019+0.013+0.009),""))</f>
        <v>2564.3054989816696</v>
      </c>
      <c r="AC154" s="406">
        <f>IF(C154="","",IFERROR(SUMPRODUCT((終値!E156:AC156),({0.077,0.071,0.065,0.06,0.055,0.051,0.047,0.043,0.039,0.036,0.033,0.031,0.028,0.026,0.024,0.022,0.02,0.018,0.017,0.016,0.014,0.013,0.012,0.011,0.01}))/SUM({0.077,0.071,0.065,0.06,0.055,0.051,0.047,0.043,0.039,0.036,0.033,0.031,0.028,0.026,0.024,0.022,0.02,0.018,0.017,0.016,0.014,0.013,0.012,0.011,0.01}),""))</f>
        <v>2627.4314660309892</v>
      </c>
      <c r="AD154" s="407" t="str">
        <f t="shared" si="40"/>
        <v>上昇トレンド▲</v>
      </c>
      <c r="AE154" s="407" t="e">
        <f t="shared" si="41"/>
        <v>#VALUE!</v>
      </c>
      <c r="AF154" s="368">
        <f t="array" ref="AF154">IF(C154="","",IFERROR((INDEX(終値!$E:$E,MATCH(TEXT(C154,"0"),終値!$A:$A,0))-INDEX(終値!$E:$CZ,MATCH(TEXT(C154,"0"),終値!$A:$A,0),$AL$2))/INDEX(終値!$E:$CZ,MATCH(TEXT(C154,"0"),終値!$A:$A,0),$AL$2)*100,""))</f>
        <v>9.0998043052837563</v>
      </c>
      <c r="AG154" s="368">
        <f t="array" ref="AG154">IFERROR((終値!$E$5-INDEX(終値!$E$5:$CZ$5,1,$AL$2))/INDEX(終値!$E$5:$CZ$5,1,$AL$2)*100,"")</f>
        <v>2.31989243802786</v>
      </c>
      <c r="AH154" s="369">
        <f t="shared" si="42"/>
        <v>6.7799118672558958</v>
      </c>
      <c r="AI154" s="367">
        <f t="shared" si="43"/>
        <v>3</v>
      </c>
    </row>
    <row r="155" spans="1:35" ht="18" customHeight="1">
      <c r="A155" s="166" t="str">
        <f>IF(銘柄管理!B58&lt;&gt;"",HYPERLINK("https://kabutan.jp/stock/?code="&amp;銘柄管理!B58,"株探"),"")</f>
        <v>株探</v>
      </c>
      <c r="B155" s="167"/>
      <c r="C155" s="168">
        <f>IF(銘柄管理!B58="","",銘柄管理!B58)</f>
        <v>4676</v>
      </c>
      <c r="D155" s="106" t="str">
        <f>IF(銘柄管理!C58="","",銘柄管理!C58)</f>
        <v/>
      </c>
      <c r="E155" s="169" t="str">
        <f>IF(C155&lt;&gt;"",_xll.RssMarket(C155,"現在値"),"")</f>
        <v/>
      </c>
      <c r="F155" s="169" t="str">
        <f>IF(C155&lt;&gt;"",_xll.RssMarket(C155,"始値"),"")</f>
        <v/>
      </c>
      <c r="G155" s="168">
        <f>IF(C155&lt;&gt;"",終値!F58,"")</f>
        <v>4186</v>
      </c>
      <c r="H155" s="169" t="str">
        <f>IF(C155&lt;&gt;"",_xll.RssMarket(C155,"高値"),"")</f>
        <v/>
      </c>
      <c r="I155" s="169" t="str">
        <f>IF(C155&lt;&gt;"",_xll.RssMarket(C155,"安値"),"")</f>
        <v/>
      </c>
      <c r="J155" s="169" t="str">
        <f>IF(C155&lt;&gt;"",_xll.RssMarket(C155,"出来高"),"")</f>
        <v/>
      </c>
      <c r="K155" s="169" t="str">
        <f>IF(C155&lt;&gt;"",_xll.RssMarket(C155,"年初来高値"),"")</f>
        <v/>
      </c>
      <c r="L155" s="170" t="str">
        <f t="shared" si="34"/>
        <v/>
      </c>
      <c r="M155" s="169">
        <f>IF(C155&lt;&gt;"",IFERROR(AVERAGE(出来高!E58:I58),""),"")</f>
        <v>574800</v>
      </c>
      <c r="N155" s="169">
        <f>IF(C155&lt;&gt;"",IFERROR(AVERAGE(出来高!E58:AC58),""),"")</f>
        <v>652904</v>
      </c>
      <c r="O155" s="171" t="str">
        <f t="shared" si="35"/>
        <v/>
      </c>
      <c r="P155" s="166" t="str">
        <f t="shared" si="36"/>
        <v/>
      </c>
      <c r="Q155" s="166" t="str">
        <f t="shared" si="37"/>
        <v/>
      </c>
      <c r="R155" s="169" t="str">
        <f t="shared" si="44"/>
        <v/>
      </c>
      <c r="S155" s="169" t="str">
        <f t="shared" si="45"/>
        <v/>
      </c>
      <c r="T155" s="166">
        <f t="shared" si="38"/>
        <v>0</v>
      </c>
      <c r="U155" s="166" t="str">
        <f t="shared" si="46"/>
        <v>除外</v>
      </c>
      <c r="V155" s="166" t="str">
        <f t="shared" si="39"/>
        <v/>
      </c>
      <c r="W155" s="172">
        <f t="array" ref="W155">IF(C155&lt;&gt;"",IFERROR(100-100/(1+SUMPRODUCT((終値!F58:R58&gt;終値!G58:S58)*( 終値!F58:R58-終値!G58:S58))/SUMPRODUCT((終値!F58:R58&lt;終値!G58:S58)*(終値!G58:S58-終値!F58:R58))),50),"")</f>
        <v>66.068515497553022</v>
      </c>
      <c r="X155" s="173">
        <f>IF(C155&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24.30890904676744</v>
      </c>
      <c r="Y155" s="1" t="e">
        <f>IF(T155="","",IF(銘柄管理!$F$5="下落▼",IF(AND(AD155="パーフェクト▲",OR(AE155="25日線押し目●",AE155="5日線押し目○")),"★逆張り候補",IF(AND(AD155="上昇トレンド▲",OR(AE155="25日線押し目●",AE155="5日線押し目○")),"○逆張り候補",IF(W155&lt;=30,IF(Z155&gt;0,"◎反発確認",IF(Z155&lt;-5,"△要注意・様子見","△売られ過ぎ注目")),"相場下落・見送り"))),IF(AND(T155&gt;=12,AD155="パーフェクト▲"),"★強い買い",IF(AND(T155&gt;=12,AD155="上昇トレンド▲"),"★強い買い",IF(AND(T155&gt;=8,OR(AE155="25日線押し目●",AE155="5日線押し目○")),"◎押し目買い",IF(T155&gt;=10,"○買い候補",IF(T155&gt;=6,"△注目",IF(T155&gt;=3,"様子見","見送り"))))))))</f>
        <v>#VALUE!</v>
      </c>
      <c r="Z155" s="174" t="str">
        <f t="shared" si="47"/>
        <v/>
      </c>
      <c r="AA155" s="166" t="str">
        <f t="shared" si="48"/>
        <v/>
      </c>
      <c r="AB155" s="408">
        <f>IF(C155="","",IFERROR(((終値!E157*0.333)+(終値!F157*0.222)+(終値!G157*0.148)+(終値!H157*0.099)+(終値!I157*0.066)+(終値!J157*0.044)+(終値!K157*0.029)+(終値!L157*0.019)+(終値!M157*0.013)+(終値!N157*0.009))/(0.333+0.222+0.148+0.099+0.066+0.044+0.029+0.019+0.013+0.009),""))</f>
        <v>6081.7545824847239</v>
      </c>
      <c r="AC155" s="408">
        <f>IF(C155="","",IFERROR(SUMPRODUCT((終値!E157:AC157),({0.077,0.071,0.065,0.06,0.055,0.051,0.047,0.043,0.039,0.036,0.033,0.031,0.028,0.026,0.024,0.022,0.02,0.018,0.017,0.016,0.014,0.013,0.012,0.011,0.01}))/SUM({0.077,0.071,0.065,0.06,0.055,0.051,0.047,0.043,0.039,0.036,0.033,0.031,0.028,0.026,0.024,0.022,0.02,0.018,0.017,0.016,0.014,0.013,0.012,0.011,0.01}),""))</f>
        <v>5980.7771156138206</v>
      </c>
      <c r="AD155" s="409" t="str">
        <f t="shared" si="40"/>
        <v>パーフェクト▲</v>
      </c>
      <c r="AE155" s="409" t="e">
        <f t="shared" si="41"/>
        <v>#VALUE!</v>
      </c>
      <c r="AF155" s="368">
        <f t="array" ref="AF155">IF(C155="","",IFERROR((INDEX(終値!$E:$E,MATCH(TEXT(C155,"0"),終値!$A:$A,0))-INDEX(終値!$E:$CZ,MATCH(TEXT(C155,"0"),終値!$A:$A,0),$AL$2))/INDEX(終値!$E:$CZ,MATCH(TEXT(C155,"0"),終値!$A:$A,0),$AL$2)*100,""))</f>
        <v>-2.4218939210462582</v>
      </c>
      <c r="AG155" s="368">
        <f t="array" ref="AG155">IFERROR((終値!$E$5-INDEX(終値!$E$5:$CZ$5,1,$AL$2))/INDEX(終値!$E$5:$CZ$5,1,$AL$2)*100,"")</f>
        <v>2.31989243802786</v>
      </c>
      <c r="AH155" s="369">
        <f t="shared" si="42"/>
        <v>-4.7417863590741183</v>
      </c>
      <c r="AI155" s="367">
        <f t="shared" si="43"/>
        <v>-2</v>
      </c>
    </row>
    <row r="156" spans="1:35" ht="18" customHeight="1">
      <c r="A156" s="166" t="str">
        <f>IF(銘柄管理!B101&lt;&gt;"",HYPERLINK("https://kabutan.jp/stock/?code="&amp;銘柄管理!B101,"株探"),"")</f>
        <v>株探</v>
      </c>
      <c r="B156" s="167"/>
      <c r="C156" s="168">
        <f>IF(銘柄管理!B101="","",銘柄管理!B101)</f>
        <v>4661</v>
      </c>
      <c r="D156" s="106" t="str">
        <f>IF(銘柄管理!C101="","",銘柄管理!C101)</f>
        <v/>
      </c>
      <c r="E156" s="169" t="str">
        <f>IF(C156&lt;&gt;"",_xll.RssMarket(C156,"現在値"),"")</f>
        <v/>
      </c>
      <c r="F156" s="169" t="str">
        <f>IF(C156&lt;&gt;"",_xll.RssMarket(C156,"始値"),"")</f>
        <v/>
      </c>
      <c r="G156" s="168">
        <f>IF(C156&lt;&gt;"",終値!F101,"")</f>
        <v>2622</v>
      </c>
      <c r="H156" s="169" t="str">
        <f>IF(C156&lt;&gt;"",_xll.RssMarket(C156,"高値"),"")</f>
        <v/>
      </c>
      <c r="I156" s="169" t="str">
        <f>IF(C156&lt;&gt;"",_xll.RssMarket(C156,"安値"),"")</f>
        <v/>
      </c>
      <c r="J156" s="169" t="str">
        <f>IF(C156&lt;&gt;"",_xll.RssMarket(C156,"出来高"),"")</f>
        <v/>
      </c>
      <c r="K156" s="169" t="str">
        <f>IF(C156&lt;&gt;"",_xll.RssMarket(C156,"年初来高値"),"")</f>
        <v/>
      </c>
      <c r="L156" s="170" t="str">
        <f t="shared" si="34"/>
        <v/>
      </c>
      <c r="M156" s="169">
        <f>IF(C156&lt;&gt;"",IFERROR(AVERAGE(出来高!E101:I101),""),"")</f>
        <v>7066600</v>
      </c>
      <c r="N156" s="169">
        <f>IF(C156&lt;&gt;"",IFERROR(AVERAGE(出来高!E101:AC101),""),"")</f>
        <v>5702704</v>
      </c>
      <c r="O156" s="171" t="str">
        <f t="shared" si="35"/>
        <v/>
      </c>
      <c r="P156" s="166" t="str">
        <f t="shared" si="36"/>
        <v/>
      </c>
      <c r="Q156" s="166" t="str">
        <f t="shared" si="37"/>
        <v/>
      </c>
      <c r="R156" s="169" t="str">
        <f t="shared" si="44"/>
        <v/>
      </c>
      <c r="S156" s="169" t="str">
        <f t="shared" si="45"/>
        <v/>
      </c>
      <c r="T156" s="166">
        <f t="shared" si="38"/>
        <v>0</v>
      </c>
      <c r="U156" s="166" t="str">
        <f t="shared" si="46"/>
        <v>除外</v>
      </c>
      <c r="V156" s="166" t="str">
        <f t="shared" si="39"/>
        <v/>
      </c>
      <c r="W156" s="172">
        <f t="array" ref="W156">IF(C156&lt;&gt;"",IFERROR(100-100/(1+SUMPRODUCT((終値!F101:R101&gt;終値!G101:S101)*( 終値!F101:R101-終値!G101:S101))/SUMPRODUCT((終値!F101:R101&lt;終値!G101:S101)*(終値!G101:S101-終値!F101:R101))),50),"")</f>
        <v>67.669753086419746</v>
      </c>
      <c r="X156" s="173">
        <f>IF(C156&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45.279874939798447</v>
      </c>
      <c r="Y156" s="1" t="e">
        <f>IF(T156="","",IF(銘柄管理!$F$5="下落▼",IF(AND(AD156="パーフェクト▲",OR(AE156="25日線押し目●",AE156="5日線押し目○")),"★逆張り候補",IF(AND(AD156="上昇トレンド▲",OR(AE156="25日線押し目●",AE156="5日線押し目○")),"○逆張り候補",IF(W156&lt;=30,IF(Z156&gt;0,"◎反発確認",IF(Z156&lt;-5,"△要注意・様子見","△売られ過ぎ注目")),"相場下落・見送り"))),IF(AND(T156&gt;=12,AD156="パーフェクト▲"),"★強い買い",IF(AND(T156&gt;=12,AD156="上昇トレンド▲"),"★強い買い",IF(AND(T156&gt;=8,OR(AE156="25日線押し目●",AE156="5日線押し目○")),"◎押し目買い",IF(T156&gt;=10,"○買い候補",IF(T156&gt;=6,"△注目",IF(T156&gt;=3,"様子見","見送り"))))))))</f>
        <v>#VALUE!</v>
      </c>
      <c r="Z156" s="174" t="str">
        <f t="shared" si="47"/>
        <v/>
      </c>
      <c r="AA156" s="166" t="str">
        <f t="shared" si="48"/>
        <v/>
      </c>
      <c r="AB156" s="406">
        <f>IF(C156="","",IFERROR(((終値!E158*0.333)+(終値!F158*0.222)+(終値!G158*0.148)+(終値!H158*0.099)+(終値!I158*0.066)+(終値!J158*0.044)+(終値!K158*0.029)+(終値!L158*0.019)+(終値!M158*0.013)+(終値!N158*0.009))/(0.333+0.222+0.148+0.099+0.066+0.044+0.029+0.019+0.013+0.009),""))</f>
        <v>29192.917515274945</v>
      </c>
      <c r="AC156" s="406">
        <f>IF(C156="","",IFERROR(SUMPRODUCT((終値!E158:AC158),({0.077,0.071,0.065,0.06,0.055,0.051,0.047,0.043,0.039,0.036,0.033,0.031,0.028,0.026,0.024,0.022,0.02,0.018,0.017,0.016,0.014,0.013,0.012,0.011,0.01}))/SUM({0.077,0.071,0.065,0.06,0.055,0.051,0.047,0.043,0.039,0.036,0.033,0.031,0.028,0.026,0.024,0.022,0.02,0.018,0.017,0.016,0.014,0.013,0.012,0.011,0.01}),""))</f>
        <v>29910.947556614999</v>
      </c>
      <c r="AD156" s="407" t="str">
        <f t="shared" si="40"/>
        <v>上昇トレンド▲</v>
      </c>
      <c r="AE156" s="407" t="e">
        <f t="shared" si="41"/>
        <v>#VALUE!</v>
      </c>
      <c r="AF156" s="368">
        <f t="array" ref="AF156">IF(C156="","",IFERROR((INDEX(終値!$E:$E,MATCH(TEXT(C156,"0"),終値!$A:$A,0))-INDEX(終値!$E:$CZ,MATCH(TEXT(C156,"0"),終値!$A:$A,0),$AL$2))/INDEX(終値!$E:$CZ,MATCH(TEXT(C156,"0"),終値!$A:$A,0),$AL$2)*100,""))</f>
        <v>22.95045045045045</v>
      </c>
      <c r="AG156" s="368">
        <f t="array" ref="AG156">IFERROR((終値!$E$5-INDEX(終値!$E$5:$CZ$5,1,$AL$2))/INDEX(終値!$E$5:$CZ$5,1,$AL$2)*100,"")</f>
        <v>2.31989243802786</v>
      </c>
      <c r="AH156" s="369">
        <f t="shared" si="42"/>
        <v>20.63055801242259</v>
      </c>
      <c r="AI156" s="367">
        <f t="shared" si="43"/>
        <v>3</v>
      </c>
    </row>
    <row r="157" spans="1:35" ht="18" customHeight="1">
      <c r="A157" s="166" t="str">
        <f>IF(銘柄管理!B64&lt;&gt;"",HYPERLINK("https://kabutan.jp/stock/?code="&amp;銘柄管理!B64,"株探"),"")</f>
        <v>株探</v>
      </c>
      <c r="B157" s="167"/>
      <c r="C157" s="168">
        <f>IF(銘柄管理!B64="","",銘柄管理!B64)</f>
        <v>4540</v>
      </c>
      <c r="D157" s="106" t="str">
        <f>IF(銘柄管理!C64="","",銘柄管理!C64)</f>
        <v/>
      </c>
      <c r="E157" s="169" t="str">
        <f>IF(C157&lt;&gt;"",_xll.RssMarket(C157,"現在値"),"")</f>
        <v/>
      </c>
      <c r="F157" s="169" t="str">
        <f>IF(C157&lt;&gt;"",_xll.RssMarket(C157,"始値"),"")</f>
        <v/>
      </c>
      <c r="G157" s="168">
        <f>IF(C157&lt;&gt;"",終値!F64,"")</f>
        <v>3855</v>
      </c>
      <c r="H157" s="169" t="str">
        <f>IF(C157&lt;&gt;"",_xll.RssMarket(C157,"高値"),"")</f>
        <v/>
      </c>
      <c r="I157" s="169" t="str">
        <f>IF(C157&lt;&gt;"",_xll.RssMarket(C157,"安値"),"")</f>
        <v/>
      </c>
      <c r="J157" s="169" t="str">
        <f>IF(C157&lt;&gt;"",_xll.RssMarket(C157,"出来高"),"")</f>
        <v/>
      </c>
      <c r="K157" s="169" t="str">
        <f>IF(C157&lt;&gt;"",_xll.RssMarket(C157,"年初来高値"),"")</f>
        <v/>
      </c>
      <c r="L157" s="170" t="str">
        <f t="shared" si="34"/>
        <v/>
      </c>
      <c r="M157" s="169">
        <f>IF(C157&lt;&gt;"",IFERROR(AVERAGE(出来高!E64:I64),""),"")</f>
        <v>336640</v>
      </c>
      <c r="N157" s="169">
        <f>IF(C157&lt;&gt;"",IFERROR(AVERAGE(出来高!E64:AC64),""),"")</f>
        <v>294132</v>
      </c>
      <c r="O157" s="171" t="str">
        <f t="shared" si="35"/>
        <v/>
      </c>
      <c r="P157" s="166" t="str">
        <f t="shared" si="36"/>
        <v/>
      </c>
      <c r="Q157" s="166" t="str">
        <f t="shared" si="37"/>
        <v/>
      </c>
      <c r="R157" s="169" t="str">
        <f t="shared" si="44"/>
        <v/>
      </c>
      <c r="S157" s="169" t="str">
        <f t="shared" si="45"/>
        <v/>
      </c>
      <c r="T157" s="166">
        <f t="shared" si="38"/>
        <v>0</v>
      </c>
      <c r="U157" s="166" t="str">
        <f t="shared" si="46"/>
        <v>除外</v>
      </c>
      <c r="V157" s="166" t="str">
        <f t="shared" si="39"/>
        <v/>
      </c>
      <c r="W157" s="172">
        <f t="array" ref="W157">IF(C157&lt;&gt;"",IFERROR(100-100/(1+SUMPRODUCT((終値!F64:R64&gt;終値!G64:S64)*( 終値!F64:R64-終値!G64:S64))/SUMPRODUCT((終値!F64:R64&lt;終値!G64:S64)*(終値!G64:S64-終値!F64:R64))),50),"")</f>
        <v>74.382716049382722</v>
      </c>
      <c r="X157" s="173">
        <f>IF(C157&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15.405092362253981</v>
      </c>
      <c r="Y157" s="1" t="e">
        <f>IF(T157="","",IF(銘柄管理!$F$5="下落▼",IF(AND(AD157="パーフェクト▲",OR(AE157="25日線押し目●",AE157="5日線押し目○")),"★逆張り候補",IF(AND(AD157="上昇トレンド▲",OR(AE157="25日線押し目●",AE157="5日線押し目○")),"○逆張り候補",IF(W157&lt;=30,IF(Z157&gt;0,"◎反発確認",IF(Z157&lt;-5,"△要注意・様子見","△売られ過ぎ注目")),"相場下落・見送り"))),IF(AND(T157&gt;=12,AD157="パーフェクト▲"),"★強い買い",IF(AND(T157&gt;=12,AD157="上昇トレンド▲"),"★強い買い",IF(AND(T157&gt;=8,OR(AE157="25日線押し目●",AE157="5日線押し目○")),"◎押し目買い",IF(T157&gt;=10,"○買い候補",IF(T157&gt;=6,"△注目",IF(T157&gt;=3,"様子見","見送り"))))))))</f>
        <v>#VALUE!</v>
      </c>
      <c r="Z157" s="174" t="str">
        <f t="shared" si="47"/>
        <v/>
      </c>
      <c r="AA157" s="166" t="str">
        <f t="shared" si="48"/>
        <v/>
      </c>
      <c r="AB157" s="408">
        <f>IF(C157="","",IFERROR(((終値!E159*0.333)+(終値!F159*0.222)+(終値!G159*0.148)+(終値!H159*0.099)+(終値!I159*0.066)+(終値!J159*0.044)+(終値!K159*0.029)+(終値!L159*0.019)+(終値!M159*0.013)+(終値!N159*0.009))/(0.333+0.222+0.148+0.099+0.066+0.044+0.029+0.019+0.013+0.009),""))</f>
        <v>7543.584521384927</v>
      </c>
      <c r="AC157" s="408">
        <f>IF(C157="","",IFERROR(SUMPRODUCT((終値!E159:AC159),({0.077,0.071,0.065,0.06,0.055,0.051,0.047,0.043,0.039,0.036,0.033,0.031,0.028,0.026,0.024,0.022,0.02,0.018,0.017,0.016,0.014,0.013,0.012,0.011,0.01}))/SUM({0.077,0.071,0.065,0.06,0.055,0.051,0.047,0.043,0.039,0.036,0.033,0.031,0.028,0.026,0.024,0.022,0.02,0.018,0.017,0.016,0.014,0.013,0.012,0.011,0.01}),""))</f>
        <v>8604.8748510131063</v>
      </c>
      <c r="AD157" s="409" t="str">
        <f t="shared" si="40"/>
        <v>上昇トレンド▲</v>
      </c>
      <c r="AE157" s="409" t="e">
        <f t="shared" si="41"/>
        <v>#VALUE!</v>
      </c>
      <c r="AF157" s="368">
        <f t="array" ref="AF157">IF(C157="","",IFERROR((INDEX(終値!$E:$E,MATCH(TEXT(C157,"0"),終値!$A:$A,0))-INDEX(終値!$E:$CZ,MATCH(TEXT(C157,"0"),終値!$A:$A,0),$AL$2))/INDEX(終値!$E:$CZ,MATCH(TEXT(C157,"0"),終値!$A:$A,0),$AL$2)*100,""))</f>
        <v>3.6618201400107702</v>
      </c>
      <c r="AG157" s="368">
        <f t="array" ref="AG157">IFERROR((終値!$E$5-INDEX(終値!$E$5:$CZ$5,1,$AL$2))/INDEX(終値!$E$5:$CZ$5,1,$AL$2)*100,"")</f>
        <v>2.31989243802786</v>
      </c>
      <c r="AH157" s="369">
        <f t="shared" si="42"/>
        <v>1.3419277019829101</v>
      </c>
      <c r="AI157" s="367">
        <f t="shared" si="43"/>
        <v>1</v>
      </c>
    </row>
    <row r="158" spans="1:35" ht="18" customHeight="1">
      <c r="A158" s="166" t="str">
        <f>IF(銘柄管理!B67&lt;&gt;"",HYPERLINK("https://kabutan.jp/stock/?code="&amp;銘柄管理!B67,"株探"),"")</f>
        <v>株探</v>
      </c>
      <c r="B158" s="167"/>
      <c r="C158" s="168">
        <f>IF(銘柄管理!B67="","",銘柄管理!B67)</f>
        <v>4536</v>
      </c>
      <c r="D158" s="106" t="str">
        <f>IF(銘柄管理!C67="","",銘柄管理!C67)</f>
        <v/>
      </c>
      <c r="E158" s="169" t="str">
        <f>IF(C158&lt;&gt;"",_xll.RssMarket(C158,"現在値"),"")</f>
        <v/>
      </c>
      <c r="F158" s="169" t="str">
        <f>IF(C158&lt;&gt;"",_xll.RssMarket(C158,"始値"),"")</f>
        <v/>
      </c>
      <c r="G158" s="168">
        <f>IF(C158&lt;&gt;"",終値!F67,"")</f>
        <v>2101</v>
      </c>
      <c r="H158" s="169" t="str">
        <f>IF(C158&lt;&gt;"",_xll.RssMarket(C158,"高値"),"")</f>
        <v/>
      </c>
      <c r="I158" s="169" t="str">
        <f>IF(C158&lt;&gt;"",_xll.RssMarket(C158,"安値"),"")</f>
        <v/>
      </c>
      <c r="J158" s="169" t="str">
        <f>IF(C158&lt;&gt;"",_xll.RssMarket(C158,"出来高"),"")</f>
        <v/>
      </c>
      <c r="K158" s="169" t="str">
        <f>IF(C158&lt;&gt;"",_xll.RssMarket(C158,"年初来高値"),"")</f>
        <v/>
      </c>
      <c r="L158" s="170" t="str">
        <f t="shared" si="34"/>
        <v/>
      </c>
      <c r="M158" s="169">
        <f>IF(C158&lt;&gt;"",IFERROR(AVERAGE(出来高!E67:I67),""),"")</f>
        <v>1131800</v>
      </c>
      <c r="N158" s="169">
        <f>IF(C158&lt;&gt;"",IFERROR(AVERAGE(出来高!E67:AC67),""),"")</f>
        <v>1241680</v>
      </c>
      <c r="O158" s="171" t="str">
        <f t="shared" si="35"/>
        <v/>
      </c>
      <c r="P158" s="166" t="str">
        <f t="shared" si="36"/>
        <v/>
      </c>
      <c r="Q158" s="166" t="str">
        <f t="shared" si="37"/>
        <v/>
      </c>
      <c r="R158" s="169" t="str">
        <f t="shared" si="44"/>
        <v/>
      </c>
      <c r="S158" s="169" t="str">
        <f t="shared" si="45"/>
        <v/>
      </c>
      <c r="T158" s="166">
        <f t="shared" si="38"/>
        <v>0</v>
      </c>
      <c r="U158" s="166" t="str">
        <f t="shared" si="46"/>
        <v>除外</v>
      </c>
      <c r="V158" s="166" t="str">
        <f t="shared" si="39"/>
        <v/>
      </c>
      <c r="W158" s="172">
        <f t="array" ref="W158">IF(C158&lt;&gt;"",IFERROR(100-100/(1+SUMPRODUCT((終値!F67:R67&gt;終値!G67:S67)*( 終値!F67:R67-終値!G67:S67))/SUMPRODUCT((終値!F67:R67&lt;終値!G67:S67)*(終値!G67:S67-終値!F67:R67))),50),"")</f>
        <v>45.559210526315788</v>
      </c>
      <c r="X158" s="173">
        <f>IF(C158&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15.502735443144502</v>
      </c>
      <c r="Y158" s="1" t="e">
        <f>IF(T158="","",IF(銘柄管理!$F$5="下落▼",IF(AND(AD158="パーフェクト▲",OR(AE158="25日線押し目●",AE158="5日線押し目○")),"★逆張り候補",IF(AND(AD158="上昇トレンド▲",OR(AE158="25日線押し目●",AE158="5日線押し目○")),"○逆張り候補",IF(W158&lt;=30,IF(Z158&gt;0,"◎反発確認",IF(Z158&lt;-5,"△要注意・様子見","△売られ過ぎ注目")),"相場下落・見送り"))),IF(AND(T158&gt;=12,AD158="パーフェクト▲"),"★強い買い",IF(AND(T158&gt;=12,AD158="上昇トレンド▲"),"★強い買い",IF(AND(T158&gt;=8,OR(AE158="25日線押し目●",AE158="5日線押し目○")),"◎押し目買い",IF(T158&gt;=10,"○買い候補",IF(T158&gt;=6,"△注目",IF(T158&gt;=3,"様子見","見送り"))))))))</f>
        <v>#VALUE!</v>
      </c>
      <c r="Z158" s="174" t="str">
        <f t="shared" si="47"/>
        <v/>
      </c>
      <c r="AA158" s="166" t="str">
        <f t="shared" si="48"/>
        <v/>
      </c>
      <c r="AB158" s="406">
        <f>IF(C158="","",IFERROR(((終値!E160*0.333)+(終値!F160*0.222)+(終値!G160*0.148)+(終値!H160*0.099)+(終値!I160*0.066)+(終値!J160*0.044)+(終値!K160*0.029)+(終値!L160*0.019)+(終値!M160*0.013)+(終値!N160*0.009))/(0.333+0.222+0.148+0.099+0.066+0.044+0.029+0.019+0.013+0.009),""))</f>
        <v>1049.9246435845214</v>
      </c>
      <c r="AC158" s="406">
        <f>IF(C158="","",IFERROR(SUMPRODUCT((終値!E160:AC160),({0.077,0.071,0.065,0.06,0.055,0.051,0.047,0.043,0.039,0.036,0.033,0.031,0.028,0.026,0.024,0.022,0.02,0.018,0.017,0.016,0.014,0.013,0.012,0.011,0.01}))/SUM({0.077,0.071,0.065,0.06,0.055,0.051,0.047,0.043,0.039,0.036,0.033,0.031,0.028,0.026,0.024,0.022,0.02,0.018,0.017,0.016,0.014,0.013,0.012,0.011,0.01}),""))</f>
        <v>1008.2979737783073</v>
      </c>
      <c r="AD158" s="407" t="str">
        <f t="shared" si="40"/>
        <v>パーフェクト▲</v>
      </c>
      <c r="AE158" s="407" t="e">
        <f t="shared" si="41"/>
        <v>#VALUE!</v>
      </c>
      <c r="AF158" s="368">
        <f t="array" ref="AF158">IF(C158="","",IFERROR((INDEX(終値!$E:$E,MATCH(TEXT(C158,"0"),終値!$A:$A,0))-INDEX(終値!$E:$CZ,MATCH(TEXT(C158,"0"),終値!$A:$A,0),$AL$2))/INDEX(終値!$E:$CZ,MATCH(TEXT(C158,"0"),終値!$A:$A,0),$AL$2)*100,""))</f>
        <v>4.5291709314227226</v>
      </c>
      <c r="AG158" s="368">
        <f t="array" ref="AG158">IFERROR((終値!$E$5-INDEX(終値!$E$5:$CZ$5,1,$AL$2))/INDEX(終値!$E$5:$CZ$5,1,$AL$2)*100,"")</f>
        <v>2.31989243802786</v>
      </c>
      <c r="AH158" s="369">
        <f t="shared" si="42"/>
        <v>2.2092784933948626</v>
      </c>
      <c r="AI158" s="367">
        <f t="shared" si="43"/>
        <v>1</v>
      </c>
    </row>
    <row r="159" spans="1:35" ht="18" customHeight="1">
      <c r="A159" s="166" t="str">
        <f>IF(銘柄管理!B100&lt;&gt;"",HYPERLINK("https://kabutan.jp/stock/?code="&amp;銘柄管理!B100,"株探"),"")</f>
        <v>株探</v>
      </c>
      <c r="B159" s="167"/>
      <c r="C159" s="168">
        <f>IF(銘柄管理!B100="","",銘柄管理!B100)</f>
        <v>4528</v>
      </c>
      <c r="D159" s="106" t="str">
        <f>IF(銘柄管理!C100="","",銘柄管理!C100)</f>
        <v/>
      </c>
      <c r="E159" s="169" t="str">
        <f>IF(C159&lt;&gt;"",_xll.RssMarket(C159,"現在値"),"")</f>
        <v/>
      </c>
      <c r="F159" s="169" t="str">
        <f>IF(C159&lt;&gt;"",_xll.RssMarket(C159,"始値"),"")</f>
        <v/>
      </c>
      <c r="G159" s="168">
        <f>IF(C159&lt;&gt;"",終値!F100,"")</f>
        <v>2388.5</v>
      </c>
      <c r="H159" s="169" t="str">
        <f>IF(C159&lt;&gt;"",_xll.RssMarket(C159,"高値"),"")</f>
        <v/>
      </c>
      <c r="I159" s="169" t="str">
        <f>IF(C159&lt;&gt;"",_xll.RssMarket(C159,"安値"),"")</f>
        <v/>
      </c>
      <c r="J159" s="169" t="str">
        <f>IF(C159&lt;&gt;"",_xll.RssMarket(C159,"出来高"),"")</f>
        <v/>
      </c>
      <c r="K159" s="169" t="str">
        <f>IF(C159&lt;&gt;"",_xll.RssMarket(C159,"年初来高値"),"")</f>
        <v/>
      </c>
      <c r="L159" s="170" t="str">
        <f t="shared" si="34"/>
        <v/>
      </c>
      <c r="M159" s="169">
        <f>IF(C159&lt;&gt;"",IFERROR(AVERAGE(出来高!E100:I100),""),"")</f>
        <v>1479140</v>
      </c>
      <c r="N159" s="169">
        <f>IF(C159&lt;&gt;"",IFERROR(AVERAGE(出来高!E100:AC100),""),"")</f>
        <v>1514496</v>
      </c>
      <c r="O159" s="171" t="str">
        <f t="shared" si="35"/>
        <v/>
      </c>
      <c r="P159" s="166" t="str">
        <f t="shared" si="36"/>
        <v/>
      </c>
      <c r="Q159" s="166" t="str">
        <f t="shared" si="37"/>
        <v/>
      </c>
      <c r="R159" s="169" t="str">
        <f t="shared" si="44"/>
        <v/>
      </c>
      <c r="S159" s="169" t="str">
        <f t="shared" si="45"/>
        <v/>
      </c>
      <c r="T159" s="166">
        <f t="shared" si="38"/>
        <v>0</v>
      </c>
      <c r="U159" s="166" t="str">
        <f t="shared" si="46"/>
        <v>除外</v>
      </c>
      <c r="V159" s="166" t="str">
        <f t="shared" si="39"/>
        <v/>
      </c>
      <c r="W159" s="172">
        <f t="array" ref="W159">IF(C159&lt;&gt;"",IFERROR(100-100/(1+SUMPRODUCT((終値!F100:R100&gt;終値!G100:S100)*( 終値!F100:R100-終値!G100:S100))/SUMPRODUCT((終値!F100:R100&lt;終値!G100:S100)*(終値!G100:S100-終値!F100:R100))),50),"")</f>
        <v>56.045340050377831</v>
      </c>
      <c r="X159" s="173">
        <f>IF(C159&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15.586936144467472</v>
      </c>
      <c r="Y159" s="1" t="e">
        <f>IF(T159="","",IF(銘柄管理!$F$5="下落▼",IF(AND(AD159="パーフェクト▲",OR(AE159="25日線押し目●",AE159="5日線押し目○")),"★逆張り候補",IF(AND(AD159="上昇トレンド▲",OR(AE159="25日線押し目●",AE159="5日線押し目○")),"○逆張り候補",IF(W159&lt;=30,IF(Z159&gt;0,"◎反発確認",IF(Z159&lt;-5,"△要注意・様子見","△売られ過ぎ注目")),"相場下落・見送り"))),IF(AND(T159&gt;=12,AD159="パーフェクト▲"),"★強い買い",IF(AND(T159&gt;=12,AD159="上昇トレンド▲"),"★強い買い",IF(AND(T159&gt;=8,OR(AE159="25日線押し目●",AE159="5日線押し目○")),"◎押し目買い",IF(T159&gt;=10,"○買い候補",IF(T159&gt;=6,"△注目",IF(T159&gt;=3,"様子見","見送り"))))))))</f>
        <v>#VALUE!</v>
      </c>
      <c r="Z159" s="174" t="str">
        <f t="shared" si="47"/>
        <v/>
      </c>
      <c r="AA159" s="166" t="str">
        <f t="shared" si="48"/>
        <v/>
      </c>
      <c r="AB159" s="408">
        <f>IF(C159="","",IFERROR(((終値!E161*0.333)+(終値!F161*0.222)+(終値!G161*0.148)+(終値!H161*0.099)+(終値!I161*0.066)+(終値!J161*0.044)+(終値!K161*0.029)+(終値!L161*0.019)+(終値!M161*0.013)+(終値!N161*0.009))/(0.333+0.222+0.148+0.099+0.066+0.044+0.029+0.019+0.013+0.009),""))</f>
        <v>1108.9215885947046</v>
      </c>
      <c r="AC159" s="408">
        <f>IF(C159="","",IFERROR(SUMPRODUCT((終値!E161:AC161),({0.077,0.071,0.065,0.06,0.055,0.051,0.047,0.043,0.039,0.036,0.033,0.031,0.028,0.026,0.024,0.022,0.02,0.018,0.017,0.016,0.014,0.013,0.012,0.011,0.01}))/SUM({0.077,0.071,0.065,0.06,0.055,0.051,0.047,0.043,0.039,0.036,0.033,0.031,0.028,0.026,0.024,0.022,0.02,0.018,0.017,0.016,0.014,0.013,0.012,0.011,0.01}),""))</f>
        <v>1094.4290822407622</v>
      </c>
      <c r="AD159" s="409" t="str">
        <f t="shared" si="40"/>
        <v>パーフェクト▲</v>
      </c>
      <c r="AE159" s="409" t="e">
        <f t="shared" si="41"/>
        <v>#VALUE!</v>
      </c>
      <c r="AF159" s="368">
        <f t="array" ref="AF159">IF(C159="","",IFERROR((INDEX(終値!$E:$E,MATCH(TEXT(C159,"0"),終値!$A:$A,0))-INDEX(終値!$E:$CZ,MATCH(TEXT(C159,"0"),終値!$A:$A,0),$AL$2))/INDEX(終値!$E:$CZ,MATCH(TEXT(C159,"0"),終値!$A:$A,0),$AL$2)*100,""))</f>
        <v>7.8959074733096086</v>
      </c>
      <c r="AG159" s="368">
        <f t="array" ref="AG159">IFERROR((終値!$E$5-INDEX(終値!$E$5:$CZ$5,1,$AL$2))/INDEX(終値!$E$5:$CZ$5,1,$AL$2)*100,"")</f>
        <v>2.31989243802786</v>
      </c>
      <c r="AH159" s="369">
        <f t="shared" si="42"/>
        <v>5.576015035281749</v>
      </c>
      <c r="AI159" s="367">
        <f t="shared" si="43"/>
        <v>3</v>
      </c>
    </row>
    <row r="160" spans="1:35" ht="18" customHeight="1">
      <c r="A160" s="166" t="str">
        <f>IF(銘柄管理!B99&lt;&gt;"",HYPERLINK("https://kabutan.jp/stock/?code="&amp;銘柄管理!B99,"株探"),"")</f>
        <v>株探</v>
      </c>
      <c r="B160" s="167"/>
      <c r="C160" s="168">
        <f>IF(銘柄管理!B99="","",銘柄管理!B99)</f>
        <v>4523</v>
      </c>
      <c r="D160" s="106" t="str">
        <f>IF(銘柄管理!C99="","",銘柄管理!C99)</f>
        <v/>
      </c>
      <c r="E160" s="169" t="str">
        <f>IF(C160&lt;&gt;"",_xll.RssMarket(C160,"現在値"),"")</f>
        <v/>
      </c>
      <c r="F160" s="169" t="str">
        <f>IF(C160&lt;&gt;"",_xll.RssMarket(C160,"始値"),"")</f>
        <v/>
      </c>
      <c r="G160" s="168">
        <f>IF(C160&lt;&gt;"",終値!F99,"")</f>
        <v>4256</v>
      </c>
      <c r="H160" s="169" t="str">
        <f>IF(C160&lt;&gt;"",_xll.RssMarket(C160,"高値"),"")</f>
        <v/>
      </c>
      <c r="I160" s="169" t="str">
        <f>IF(C160&lt;&gt;"",_xll.RssMarket(C160,"安値"),"")</f>
        <v/>
      </c>
      <c r="J160" s="169" t="str">
        <f>IF(C160&lt;&gt;"",_xll.RssMarket(C160,"出来高"),"")</f>
        <v/>
      </c>
      <c r="K160" s="169" t="str">
        <f>IF(C160&lt;&gt;"",_xll.RssMarket(C160,"年初来高値"),"")</f>
        <v/>
      </c>
      <c r="L160" s="170" t="str">
        <f t="shared" si="34"/>
        <v/>
      </c>
      <c r="M160" s="169">
        <f>IF(C160&lt;&gt;"",IFERROR(AVERAGE(出来高!E99:I99),""),"")</f>
        <v>1796120</v>
      </c>
      <c r="N160" s="169">
        <f>IF(C160&lt;&gt;"",IFERROR(AVERAGE(出来高!E99:AC99),""),"")</f>
        <v>1807420</v>
      </c>
      <c r="O160" s="171" t="str">
        <f t="shared" si="35"/>
        <v/>
      </c>
      <c r="P160" s="166" t="str">
        <f t="shared" si="36"/>
        <v/>
      </c>
      <c r="Q160" s="166" t="str">
        <f t="shared" si="37"/>
        <v/>
      </c>
      <c r="R160" s="169" t="str">
        <f t="shared" si="44"/>
        <v/>
      </c>
      <c r="S160" s="169" t="str">
        <f t="shared" si="45"/>
        <v/>
      </c>
      <c r="T160" s="166">
        <f t="shared" si="38"/>
        <v>0</v>
      </c>
      <c r="U160" s="166" t="str">
        <f t="shared" si="46"/>
        <v>除外</v>
      </c>
      <c r="V160" s="166" t="str">
        <f t="shared" si="39"/>
        <v/>
      </c>
      <c r="W160" s="172">
        <f t="array" ref="W160">IF(C160&lt;&gt;"",IFERROR(100-100/(1+SUMPRODUCT((終値!F99:R99&gt;終値!G99:S99)*( 終値!F99:R99-終値!G99:S99))/SUMPRODUCT((終値!F99:R99&lt;終値!G99:S99)*(終値!G99:S99-終値!F99:R99))),50),"")</f>
        <v>68.427370948379348</v>
      </c>
      <c r="X160" s="173">
        <f>IF(C160&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63.541106277292783</v>
      </c>
      <c r="Y160" s="1" t="e">
        <f>IF(T160="","",IF(銘柄管理!$F$5="下落▼",IF(AND(AD160="パーフェクト▲",OR(AE160="25日線押し目●",AE160="5日線押し目○")),"★逆張り候補",IF(AND(AD160="上昇トレンド▲",OR(AE160="25日線押し目●",AE160="5日線押し目○")),"○逆張り候補",IF(W160&lt;=30,IF(Z160&gt;0,"◎反発確認",IF(Z160&lt;-5,"△要注意・様子見","△売られ過ぎ注目")),"相場下落・見送り"))),IF(AND(T160&gt;=12,AD160="パーフェクト▲"),"★強い買い",IF(AND(T160&gt;=12,AD160="上昇トレンド▲"),"★強い買い",IF(AND(T160&gt;=8,OR(AE160="25日線押し目●",AE160="5日線押し目○")),"◎押し目買い",IF(T160&gt;=10,"○買い候補",IF(T160&gt;=6,"△注目",IF(T160&gt;=3,"様子見","見送り"))))))))</f>
        <v>#VALUE!</v>
      </c>
      <c r="Z160" s="174" t="str">
        <f t="shared" si="47"/>
        <v/>
      </c>
      <c r="AA160" s="166" t="str">
        <f t="shared" si="48"/>
        <v/>
      </c>
      <c r="AB160" s="406">
        <f>IF(C160="","",IFERROR(((終値!E162*0.333)+(終値!F162*0.222)+(終値!G162*0.148)+(終値!H162*0.099)+(終値!I162*0.066)+(終値!J162*0.044)+(終値!K162*0.029)+(終値!L162*0.019)+(終値!M162*0.013)+(終値!N162*0.009))/(0.333+0.222+0.148+0.099+0.066+0.044+0.029+0.019+0.013+0.009),""))</f>
        <v>4373.7525458248465</v>
      </c>
      <c r="AC160" s="406">
        <f>IF(C160="","",IFERROR(SUMPRODUCT((終値!E162:AC162),({0.077,0.071,0.065,0.06,0.055,0.051,0.047,0.043,0.039,0.036,0.033,0.031,0.028,0.026,0.024,0.022,0.02,0.018,0.017,0.016,0.014,0.013,0.012,0.011,0.01}))/SUM({0.077,0.071,0.065,0.06,0.055,0.051,0.047,0.043,0.039,0.036,0.033,0.031,0.028,0.026,0.024,0.022,0.02,0.018,0.017,0.016,0.014,0.013,0.012,0.011,0.01}),""))</f>
        <v>4355.2741358760422</v>
      </c>
      <c r="AD160" s="407" t="str">
        <f t="shared" si="40"/>
        <v>パーフェクト▲</v>
      </c>
      <c r="AE160" s="407" t="e">
        <f t="shared" si="41"/>
        <v>#VALUE!</v>
      </c>
      <c r="AF160" s="368">
        <f t="array" ref="AF160">IF(C160="","",IFERROR((INDEX(終値!$E:$E,MATCH(TEXT(C160,"0"),終値!$A:$A,0))-INDEX(終値!$E:$CZ,MATCH(TEXT(C160,"0"),終値!$A:$A,0),$AL$2))/INDEX(終値!$E:$CZ,MATCH(TEXT(C160,"0"),終値!$A:$A,0),$AL$2)*100,""))</f>
        <v>16.920651602732526</v>
      </c>
      <c r="AG160" s="368">
        <f t="array" ref="AG160">IFERROR((終値!$E$5-INDEX(終値!$E$5:$CZ$5,1,$AL$2))/INDEX(終値!$E$5:$CZ$5,1,$AL$2)*100,"")</f>
        <v>2.31989243802786</v>
      </c>
      <c r="AH160" s="369">
        <f t="shared" si="42"/>
        <v>14.600759164704666</v>
      </c>
      <c r="AI160" s="367">
        <f t="shared" si="43"/>
        <v>3</v>
      </c>
    </row>
    <row r="161" spans="1:35" ht="18" customHeight="1">
      <c r="A161" s="166" t="str">
        <f>IF(銘柄管理!B130&lt;&gt;"",HYPERLINK("https://kabutan.jp/stock/?code="&amp;銘柄管理!B130,"株探"),"")</f>
        <v>株探</v>
      </c>
      <c r="B161" s="167"/>
      <c r="C161" s="168">
        <f>IF(銘柄管理!B130="","",銘柄管理!B130)</f>
        <v>4519</v>
      </c>
      <c r="D161" s="106" t="str">
        <f>IF(銘柄管理!C130="","",銘柄管理!C130)</f>
        <v/>
      </c>
      <c r="E161" s="169" t="str">
        <f>IF(C161&lt;&gt;"",_xll.RssMarket(C161,"現在値"),"")</f>
        <v/>
      </c>
      <c r="F161" s="169" t="str">
        <f>IF(C161&lt;&gt;"",_xll.RssMarket(C161,"始値"),"")</f>
        <v/>
      </c>
      <c r="G161" s="168">
        <f>IF(C161&lt;&gt;"",終値!F130,"")</f>
        <v>7128</v>
      </c>
      <c r="H161" s="169" t="str">
        <f>IF(C161&lt;&gt;"",_xll.RssMarket(C161,"高値"),"")</f>
        <v/>
      </c>
      <c r="I161" s="169" t="str">
        <f>IF(C161&lt;&gt;"",_xll.RssMarket(C161,"安値"),"")</f>
        <v/>
      </c>
      <c r="J161" s="169" t="str">
        <f>IF(C161&lt;&gt;"",_xll.RssMarket(C161,"出来高"),"")</f>
        <v/>
      </c>
      <c r="K161" s="169" t="str">
        <f>IF(C161&lt;&gt;"",_xll.RssMarket(C161,"年初来高値"),"")</f>
        <v/>
      </c>
      <c r="L161" s="170" t="str">
        <f t="shared" si="34"/>
        <v/>
      </c>
      <c r="M161" s="169">
        <f>IF(C161&lt;&gt;"",IFERROR(AVERAGE(出来高!E130:I130),""),"")</f>
        <v>2397100</v>
      </c>
      <c r="N161" s="169">
        <f>IF(C161&lt;&gt;"",IFERROR(AVERAGE(出来高!E130:AC130),""),"")</f>
        <v>2320132</v>
      </c>
      <c r="O161" s="171" t="str">
        <f t="shared" si="35"/>
        <v/>
      </c>
      <c r="P161" s="166" t="str">
        <f t="shared" si="36"/>
        <v/>
      </c>
      <c r="Q161" s="166" t="str">
        <f t="shared" si="37"/>
        <v/>
      </c>
      <c r="R161" s="169" t="str">
        <f t="shared" si="44"/>
        <v/>
      </c>
      <c r="S161" s="169" t="str">
        <f t="shared" si="45"/>
        <v/>
      </c>
      <c r="T161" s="166">
        <f t="shared" si="38"/>
        <v>0</v>
      </c>
      <c r="U161" s="166" t="str">
        <f t="shared" si="46"/>
        <v>除外</v>
      </c>
      <c r="V161" s="166" t="str">
        <f t="shared" si="39"/>
        <v/>
      </c>
      <c r="W161" s="172">
        <f t="array" ref="W161">IF(C161&lt;&gt;"",IFERROR(100-100/(1+SUMPRODUCT((終値!F130:R130&gt;終値!G130:S130)*( 終値!F130:R130-終値!G130:S130))/SUMPRODUCT((終値!F130:R130&lt;終値!G130:S130)*(終値!G130:S130-終値!F130:R130))),50),"")</f>
        <v>36.62714097496707</v>
      </c>
      <c r="X161" s="173">
        <f>IF(C161&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-33.77833457385259</v>
      </c>
      <c r="Y161" s="1" t="e">
        <f>IF(T161="","",IF(銘柄管理!$F$5="下落▼",IF(AND(AD161="パーフェクト▲",OR(AE161="25日線押し目●",AE161="5日線押し目○")),"★逆張り候補",IF(AND(AD161="上昇トレンド▲",OR(AE161="25日線押し目●",AE161="5日線押し目○")),"○逆張り候補",IF(W161&lt;=30,IF(Z161&gt;0,"◎反発確認",IF(Z161&lt;-5,"△要注意・様子見","△売られ過ぎ注目")),"相場下落・見送り"))),IF(AND(T161&gt;=12,AD161="パーフェクト▲"),"★強い買い",IF(AND(T161&gt;=12,AD161="上昇トレンド▲"),"★強い買い",IF(AND(T161&gt;=8,OR(AE161="25日線押し目●",AE161="5日線押し目○")),"◎押し目買い",IF(T161&gt;=10,"○買い候補",IF(T161&gt;=6,"△注目",IF(T161&gt;=3,"様子見","見送り"))))))))</f>
        <v>#VALUE!</v>
      </c>
      <c r="Z161" s="174" t="str">
        <f t="shared" si="47"/>
        <v/>
      </c>
      <c r="AA161" s="166" t="str">
        <f t="shared" si="48"/>
        <v/>
      </c>
      <c r="AB161" s="408">
        <f>IF(C161="","",IFERROR(((終値!E163*0.333)+(終値!F163*0.222)+(終値!G163*0.148)+(終値!H163*0.099)+(終値!I163*0.066)+(終値!J163*0.044)+(終値!K163*0.029)+(終値!L163*0.019)+(終値!M163*0.013)+(終値!N163*0.009))/(0.333+0.222+0.148+0.099+0.066+0.044+0.029+0.019+0.013+0.009),""))</f>
        <v>1595.7647657841139</v>
      </c>
      <c r="AC161" s="408">
        <f>IF(C161="","",IFERROR(SUMPRODUCT((終値!E163:AC163),({0.077,0.071,0.065,0.06,0.055,0.051,0.047,0.043,0.039,0.036,0.033,0.031,0.028,0.026,0.024,0.022,0.02,0.018,0.017,0.016,0.014,0.013,0.012,0.011,0.01}))/SUM({0.077,0.071,0.065,0.06,0.055,0.051,0.047,0.043,0.039,0.036,0.033,0.031,0.028,0.026,0.024,0.022,0.02,0.018,0.017,0.016,0.014,0.013,0.012,0.011,0.01}),""))</f>
        <v>1637.6889153754464</v>
      </c>
      <c r="AD161" s="409" t="str">
        <f t="shared" si="40"/>
        <v>上昇トレンド▲</v>
      </c>
      <c r="AE161" s="409" t="e">
        <f t="shared" si="41"/>
        <v>#VALUE!</v>
      </c>
      <c r="AF161" s="368">
        <f t="array" ref="AF161">IF(C161="","",IFERROR((INDEX(終値!$E:$E,MATCH(TEXT(C161,"0"),終値!$A:$A,0))-INDEX(終値!$E:$CZ,MATCH(TEXT(C161,"0"),終値!$A:$A,0),$AL$2))/INDEX(終値!$E:$CZ,MATCH(TEXT(C161,"0"),終値!$A:$A,0),$AL$2)*100,""))</f>
        <v>-1.8754186202277294</v>
      </c>
      <c r="AG161" s="368">
        <f t="array" ref="AG161">IFERROR((終値!$E$5-INDEX(終値!$E$5:$CZ$5,1,$AL$2))/INDEX(終値!$E$5:$CZ$5,1,$AL$2)*100,"")</f>
        <v>2.31989243802786</v>
      </c>
      <c r="AH161" s="369">
        <f t="shared" si="42"/>
        <v>-4.195311058255589</v>
      </c>
      <c r="AI161" s="367">
        <f t="shared" si="43"/>
        <v>-2</v>
      </c>
    </row>
    <row r="162" spans="1:35" ht="18" customHeight="1">
      <c r="A162" s="166" t="str">
        <f>IF(銘柄管理!B139&lt;&gt;"",HYPERLINK("https://kabutan.jp/stock/?code="&amp;銘柄管理!B139,"株探"),"")</f>
        <v>株探</v>
      </c>
      <c r="B162" s="167"/>
      <c r="C162" s="168">
        <f>IF(銘柄管理!B139="","",銘柄管理!B139)</f>
        <v>4422</v>
      </c>
      <c r="D162" s="106" t="str">
        <f>IF(銘柄管理!C139="","",銘柄管理!C139)</f>
        <v/>
      </c>
      <c r="E162" s="169" t="str">
        <f>IF(C162&lt;&gt;"",_xll.RssMarket(C162,"現在値"),"")</f>
        <v/>
      </c>
      <c r="F162" s="169" t="str">
        <f>IF(C162&lt;&gt;"",_xll.RssMarket(C162,"始値"),"")</f>
        <v/>
      </c>
      <c r="G162" s="168">
        <f>IF(C162&lt;&gt;"",終値!F139,"")</f>
        <v>565</v>
      </c>
      <c r="H162" s="169" t="str">
        <f>IF(C162&lt;&gt;"",_xll.RssMarket(C162,"高値"),"")</f>
        <v/>
      </c>
      <c r="I162" s="169" t="str">
        <f>IF(C162&lt;&gt;"",_xll.RssMarket(C162,"安値"),"")</f>
        <v/>
      </c>
      <c r="J162" s="169" t="str">
        <f>IF(C162&lt;&gt;"",_xll.RssMarket(C162,"出来高"),"")</f>
        <v/>
      </c>
      <c r="K162" s="169" t="str">
        <f>IF(C162&lt;&gt;"",_xll.RssMarket(C162,"年初来高値"),"")</f>
        <v/>
      </c>
      <c r="L162" s="170" t="str">
        <f t="shared" si="34"/>
        <v/>
      </c>
      <c r="M162" s="169">
        <f>IF(C162&lt;&gt;"",IFERROR(AVERAGE(出来高!E139:I139),""),"")</f>
        <v>68240</v>
      </c>
      <c r="N162" s="169">
        <f>IF(C162&lt;&gt;"",IFERROR(AVERAGE(出来高!E139:AC139),""),"")</f>
        <v>146272</v>
      </c>
      <c r="O162" s="171" t="str">
        <f t="shared" si="35"/>
        <v/>
      </c>
      <c r="P162" s="166" t="str">
        <f t="shared" si="36"/>
        <v/>
      </c>
      <c r="Q162" s="166" t="str">
        <f t="shared" si="37"/>
        <v/>
      </c>
      <c r="R162" s="169" t="str">
        <f t="shared" si="44"/>
        <v/>
      </c>
      <c r="S162" s="169" t="str">
        <f t="shared" si="45"/>
        <v/>
      </c>
      <c r="T162" s="166">
        <f t="shared" si="38"/>
        <v>0</v>
      </c>
      <c r="U162" s="166" t="str">
        <f t="shared" si="46"/>
        <v>除外</v>
      </c>
      <c r="V162" s="166" t="str">
        <f t="shared" si="39"/>
        <v/>
      </c>
      <c r="W162" s="172">
        <f t="array" ref="W162">IF(C162&lt;&gt;"",IFERROR(100-100/(1+SUMPRODUCT((終値!F139:R139&gt;終値!G139:S139)*( 終値!F139:R139-終値!G139:S139))/SUMPRODUCT((終値!F139:R139&lt;終値!G139:S139)*(終値!G139:S139-終値!F139:R139))),50),"")</f>
        <v>49.468085106382979</v>
      </c>
      <c r="X162" s="173">
        <f>IF(C162&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-8.7587396861154048</v>
      </c>
      <c r="Y162" s="1" t="e">
        <f>IF(T162="","",IF(銘柄管理!$F$5="下落▼",IF(AND(AD162="パーフェクト▲",OR(AE162="25日線押し目●",AE162="5日線押し目○")),"★逆張り候補",IF(AND(AD162="上昇トレンド▲",OR(AE162="25日線押し目●",AE162="5日線押し目○")),"○逆張り候補",IF(W162&lt;=30,IF(Z162&gt;0,"◎反発確認",IF(Z162&lt;-5,"△要注意・様子見","△売られ過ぎ注目")),"相場下落・見送り"))),IF(AND(T162&gt;=12,AD162="パーフェクト▲"),"★強い買い",IF(AND(T162&gt;=12,AD162="上昇トレンド▲"),"★強い買い",IF(AND(T162&gt;=8,OR(AE162="25日線押し目●",AE162="5日線押し目○")),"◎押し目買い",IF(T162&gt;=10,"○買い候補",IF(T162&gt;=6,"△注目",IF(T162&gt;=3,"様子見","見送り"))))))))</f>
        <v>#VALUE!</v>
      </c>
      <c r="Z162" s="174" t="str">
        <f t="shared" si="47"/>
        <v/>
      </c>
      <c r="AA162" s="166" t="str">
        <f t="shared" si="48"/>
        <v/>
      </c>
      <c r="AB162" s="406">
        <f>IF(C162="","",IFERROR(((終値!E164*0.333)+(終値!F164*0.222)+(終値!G164*0.148)+(終値!H164*0.099)+(終値!I164*0.066)+(終値!J164*0.044)+(終値!K164*0.029)+(終値!L164*0.019)+(終値!M164*0.013)+(終値!N164*0.009))/(0.333+0.222+0.148+0.099+0.066+0.044+0.029+0.019+0.013+0.009),""))</f>
        <v>1261.1089613034624</v>
      </c>
      <c r="AC162" s="406">
        <f>IF(C162="","",IFERROR(SUMPRODUCT((終値!E164:AC164),({0.077,0.071,0.065,0.06,0.055,0.051,0.047,0.043,0.039,0.036,0.033,0.031,0.028,0.026,0.024,0.022,0.02,0.018,0.017,0.016,0.014,0.013,0.012,0.011,0.01}))/SUM({0.077,0.071,0.065,0.06,0.055,0.051,0.047,0.043,0.039,0.036,0.033,0.031,0.028,0.026,0.024,0.022,0.02,0.018,0.017,0.016,0.014,0.013,0.012,0.011,0.01}),""))</f>
        <v>1223.3969010727055</v>
      </c>
      <c r="AD162" s="407" t="str">
        <f t="shared" si="40"/>
        <v>パーフェクト▲</v>
      </c>
      <c r="AE162" s="407" t="e">
        <f t="shared" si="41"/>
        <v>#VALUE!</v>
      </c>
      <c r="AF162" s="368">
        <f t="array" ref="AF162">IF(C162="","",IFERROR((INDEX(終値!$E:$E,MATCH(TEXT(C162,"0"),終値!$A:$A,0))-INDEX(終値!$E:$CZ,MATCH(TEXT(C162,"0"),終値!$A:$A,0),$AL$2))/INDEX(終値!$E:$CZ,MATCH(TEXT(C162,"0"),終値!$A:$A,0),$AL$2)*100,""))</f>
        <v>-43.497267759562838</v>
      </c>
      <c r="AG162" s="368">
        <f t="array" ref="AG162">IFERROR((終値!$E$5-INDEX(終値!$E$5:$CZ$5,1,$AL$2))/INDEX(終値!$E$5:$CZ$5,1,$AL$2)*100,"")</f>
        <v>2.31989243802786</v>
      </c>
      <c r="AH162" s="369">
        <f t="shared" si="42"/>
        <v>-45.817160197590695</v>
      </c>
      <c r="AI162" s="367">
        <f t="shared" si="43"/>
        <v>-2</v>
      </c>
    </row>
    <row r="163" spans="1:35" ht="18" customHeight="1">
      <c r="A163" s="166" t="str">
        <f>IF(銘柄管理!B153&lt;&gt;"",HYPERLINK("https://kabutan.jp/stock/?code="&amp;銘柄管理!B153,"株探"),"")</f>
        <v>株探</v>
      </c>
      <c r="B163" s="167"/>
      <c r="C163" s="168">
        <f>IF(銘柄管理!B153="","",銘柄管理!B153)</f>
        <v>4417</v>
      </c>
      <c r="D163" s="106" t="str">
        <f>IF(銘柄管理!C153="","",銘柄管理!C153)</f>
        <v/>
      </c>
      <c r="E163" s="169" t="str">
        <f>IF(C163&lt;&gt;"",_xll.RssMarket(C163,"現在値"),"")</f>
        <v/>
      </c>
      <c r="F163" s="169" t="str">
        <f>IF(C163&lt;&gt;"",_xll.RssMarket(C163,"始値"),"")</f>
        <v/>
      </c>
      <c r="G163" s="168">
        <f>IF(C163&lt;&gt;"",終値!F153,"")</f>
        <v>4365</v>
      </c>
      <c r="H163" s="169" t="str">
        <f>IF(C163&lt;&gt;"",_xll.RssMarket(C163,"高値"),"")</f>
        <v/>
      </c>
      <c r="I163" s="169" t="str">
        <f>IF(C163&lt;&gt;"",_xll.RssMarket(C163,"安値"),"")</f>
        <v/>
      </c>
      <c r="J163" s="169" t="str">
        <f>IF(C163&lt;&gt;"",_xll.RssMarket(C163,"出来高"),"")</f>
        <v/>
      </c>
      <c r="K163" s="169" t="str">
        <f>IF(C163&lt;&gt;"",_xll.RssMarket(C163,"年初来高値"),"")</f>
        <v/>
      </c>
      <c r="L163" s="170" t="str">
        <f t="shared" si="34"/>
        <v/>
      </c>
      <c r="M163" s="169">
        <f>IF(C163&lt;&gt;"",IFERROR(AVERAGE(出来高!E153:I153),""),"")</f>
        <v>67780</v>
      </c>
      <c r="N163" s="169">
        <f>IF(C163&lt;&gt;"",IFERROR(AVERAGE(出来高!E153:AC153),""),"")</f>
        <v>76492</v>
      </c>
      <c r="O163" s="171" t="str">
        <f t="shared" si="35"/>
        <v/>
      </c>
      <c r="P163" s="166" t="str">
        <f t="shared" si="36"/>
        <v/>
      </c>
      <c r="Q163" s="166" t="str">
        <f t="shared" si="37"/>
        <v/>
      </c>
      <c r="R163" s="169" t="str">
        <f t="shared" si="44"/>
        <v/>
      </c>
      <c r="S163" s="169" t="str">
        <f t="shared" si="45"/>
        <v/>
      </c>
      <c r="T163" s="166">
        <f t="shared" si="38"/>
        <v>0</v>
      </c>
      <c r="U163" s="166" t="str">
        <f t="shared" si="46"/>
        <v>除外</v>
      </c>
      <c r="V163" s="166" t="str">
        <f t="shared" si="39"/>
        <v/>
      </c>
      <c r="W163" s="172">
        <f t="array" ref="W163">IF(C163&lt;&gt;"",IFERROR(100-100/(1+SUMPRODUCT((終値!F153:R153&gt;終値!G153:S153)*( 終値!F153:R153-終値!G153:S153))/SUMPRODUCT((終値!F153:R153&lt;終値!G153:S153)*(終値!G153:S153-終値!F153:R153))),50),"")</f>
        <v>74.709976798143856</v>
      </c>
      <c r="X163" s="173">
        <f>IF(C163&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139.39515958907714</v>
      </c>
      <c r="Y163" s="1" t="e">
        <f>IF(T163="","",IF(銘柄管理!$F$5="下落▼",IF(AND(AD163="パーフェクト▲",OR(AE163="25日線押し目●",AE163="5日線押し目○")),"★逆張り候補",IF(AND(AD163="上昇トレンド▲",OR(AE163="25日線押し目●",AE163="5日線押し目○")),"○逆張り候補",IF(W163&lt;=30,IF(Z163&gt;0,"◎反発確認",IF(Z163&lt;-5,"△要注意・様子見","△売られ過ぎ注目")),"相場下落・見送り"))),IF(AND(T163&gt;=12,AD163="パーフェクト▲"),"★強い買い",IF(AND(T163&gt;=12,AD163="上昇トレンド▲"),"★強い買い",IF(AND(T163&gt;=8,OR(AE163="25日線押し目●",AE163="5日線押し目○")),"◎押し目買い",IF(T163&gt;=10,"○買い候補",IF(T163&gt;=6,"△注目",IF(T163&gt;=3,"様子見","見送り"))))))))</f>
        <v>#VALUE!</v>
      </c>
      <c r="Z163" s="174" t="str">
        <f t="shared" si="47"/>
        <v/>
      </c>
      <c r="AA163" s="166" t="str">
        <f t="shared" si="48"/>
        <v/>
      </c>
      <c r="AB163" s="408">
        <f>IF(C163="","",IFERROR(((終値!E165*0.333)+(終値!F165*0.222)+(終値!G165*0.148)+(終値!H165*0.099)+(終値!I165*0.066)+(終値!J165*0.044)+(終値!K165*0.029)+(終値!L165*0.019)+(終値!M165*0.013)+(終値!N165*0.009))/(0.333+0.222+0.148+0.099+0.066+0.044+0.029+0.019+0.013+0.009),""))</f>
        <v>6567.6323828920549</v>
      </c>
      <c r="AC163" s="408">
        <f>IF(C163="","",IFERROR(SUMPRODUCT((終値!E165:AC165),({0.077,0.071,0.065,0.06,0.055,0.051,0.047,0.043,0.039,0.036,0.033,0.031,0.028,0.026,0.024,0.022,0.02,0.018,0.017,0.016,0.014,0.013,0.012,0.011,0.01}))/SUM({0.077,0.071,0.065,0.06,0.055,0.051,0.047,0.043,0.039,0.036,0.033,0.031,0.028,0.026,0.024,0.022,0.02,0.018,0.017,0.016,0.014,0.013,0.012,0.011,0.01}),""))</f>
        <v>6309.5733015494616</v>
      </c>
      <c r="AD163" s="409" t="str">
        <f t="shared" ref="AD163:AD194" si="49">IF(OR(C163="",AB163="",AC163=""),"",IF(AND(E163&gt;AB163,AB163&gt;AC163),"パーフェクト▲",IF(E163&gt;AC163,"上昇トレンド▲",IF(AND(E163&lt;AB163,AB163&lt;AC163),"下降トレンド▼","もみ合い→"))))</f>
        <v>パーフェクト▲</v>
      </c>
      <c r="AE163" s="409" t="e">
        <f t="shared" ref="AE163:AE194" si="50">IF(OR(C163="",AB163="",AC163=""),"",IF(AND(ABS(E163-AC163)/AC163&lt;=0.02,E163&gt;AC163),"25日押し目★",IF(AND(ABS(E163-AB163)/AB163&lt;=0.01,E163&gt;AB163),"5日押し目○","なし")))</f>
        <v>#VALUE!</v>
      </c>
      <c r="AF163" s="368">
        <f t="array" ref="AF163">IF(C163="","",IFERROR((INDEX(終値!$E:$E,MATCH(TEXT(C163,"0"),終値!$A:$A,0))-INDEX(終値!$E:$CZ,MATCH(TEXT(C163,"0"),終値!$A:$A,0),$AL$2))/INDEX(終値!$E:$CZ,MATCH(TEXT(C163,"0"),終値!$A:$A,0),$AL$2)*100,""))</f>
        <v>38.632750397456277</v>
      </c>
      <c r="AG163" s="368">
        <f t="array" ref="AG163">IFERROR((終値!$E$5-INDEX(終値!$E$5:$CZ$5,1,$AL$2))/INDEX(終値!$E$5:$CZ$5,1,$AL$2)*100,"")</f>
        <v>2.31989243802786</v>
      </c>
      <c r="AH163" s="369">
        <f t="shared" si="42"/>
        <v>36.31285795942842</v>
      </c>
      <c r="AI163" s="367">
        <f t="shared" si="43"/>
        <v>3</v>
      </c>
    </row>
    <row r="164" spans="1:35" ht="18" customHeight="1">
      <c r="A164" s="166" t="str">
        <f>IF(銘柄管理!B173&lt;&gt;"",HYPERLINK("https://kabutan.jp/stock/?code="&amp;銘柄管理!B173,"株探"),"")</f>
        <v>株探</v>
      </c>
      <c r="B164" s="167"/>
      <c r="C164" s="168">
        <f>IF(銘柄管理!B173="","",銘柄管理!B173)</f>
        <v>4382</v>
      </c>
      <c r="D164" s="106" t="str">
        <f>IF(銘柄管理!C173="","",銘柄管理!C173)</f>
        <v/>
      </c>
      <c r="E164" s="169" t="str">
        <f>IF(C164&lt;&gt;"",_xll.RssMarket(C164,"現在値"),"")</f>
        <v/>
      </c>
      <c r="F164" s="169" t="str">
        <f>IF(C164&lt;&gt;"",_xll.RssMarket(C164,"始値"),"")</f>
        <v/>
      </c>
      <c r="G164" s="168">
        <f>IF(C164&lt;&gt;"",終値!F173,"")</f>
        <v>724</v>
      </c>
      <c r="H164" s="169" t="str">
        <f>IF(C164&lt;&gt;"",_xll.RssMarket(C164,"高値"),"")</f>
        <v/>
      </c>
      <c r="I164" s="169" t="str">
        <f>IF(C164&lt;&gt;"",_xll.RssMarket(C164,"安値"),"")</f>
        <v/>
      </c>
      <c r="J164" s="169" t="str">
        <f>IF(C164&lt;&gt;"",_xll.RssMarket(C164,"出来高"),"")</f>
        <v/>
      </c>
      <c r="K164" s="169" t="str">
        <f>IF(C164&lt;&gt;"",_xll.RssMarket(C164,"年初来高値"),"")</f>
        <v/>
      </c>
      <c r="L164" s="170" t="str">
        <f t="shared" si="34"/>
        <v/>
      </c>
      <c r="M164" s="169">
        <f>IF(C164&lt;&gt;"",IFERROR(AVERAGE(出来高!E173:I173),""),"")</f>
        <v>74020</v>
      </c>
      <c r="N164" s="169">
        <f>IF(C164&lt;&gt;"",IFERROR(AVERAGE(出来高!E173:AC173),""),"")</f>
        <v>58416</v>
      </c>
      <c r="O164" s="171" t="str">
        <f t="shared" si="35"/>
        <v/>
      </c>
      <c r="P164" s="166" t="str">
        <f t="shared" si="36"/>
        <v/>
      </c>
      <c r="Q164" s="166" t="str">
        <f t="shared" si="37"/>
        <v/>
      </c>
      <c r="R164" s="169" t="str">
        <f t="shared" si="44"/>
        <v/>
      </c>
      <c r="S164" s="169" t="str">
        <f t="shared" si="45"/>
        <v/>
      </c>
      <c r="T164" s="166">
        <f t="shared" si="38"/>
        <v>0</v>
      </c>
      <c r="U164" s="166" t="str">
        <f t="shared" si="46"/>
        <v>除外</v>
      </c>
      <c r="V164" s="166" t="str">
        <f t="shared" si="39"/>
        <v/>
      </c>
      <c r="W164" s="172">
        <f t="array" ref="W164">IF(C164&lt;&gt;"",IFERROR(100-100/(1+SUMPRODUCT((終値!F173:R173&gt;終値!G173:S173)*( 終値!F173:R173-終値!G173:S173))/SUMPRODUCT((終値!F173:R173&lt;終値!G173:S173)*(終値!G173:S173-終値!F173:R173))),50),"")</f>
        <v>53.333333333333329</v>
      </c>
      <c r="X164" s="173">
        <f>IF(C164&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-4.215826364537179</v>
      </c>
      <c r="Y164" s="1" t="e">
        <f>IF(T164="","",IF(銘柄管理!$F$5="下落▼",IF(AND(AD164="パーフェクト▲",OR(AE164="25日線押し目●",AE164="5日線押し目○")),"★逆張り候補",IF(AND(AD164="上昇トレンド▲",OR(AE164="25日線押し目●",AE164="5日線押し目○")),"○逆張り候補",IF(W164&lt;=30,IF(Z164&gt;0,"◎反発確認",IF(Z164&lt;-5,"△要注意・様子見","△売られ過ぎ注目")),"相場下落・見送り"))),IF(AND(T164&gt;=12,AD164="パーフェクト▲"),"★強い買い",IF(AND(T164&gt;=12,AD164="上昇トレンド▲"),"★強い買い",IF(AND(T164&gt;=8,OR(AE164="25日線押し目●",AE164="5日線押し目○")),"◎押し目買い",IF(T164&gt;=10,"○買い候補",IF(T164&gt;=6,"△注目",IF(T164&gt;=3,"様子見","見送り"))))))))</f>
        <v>#VALUE!</v>
      </c>
      <c r="Z164" s="174" t="str">
        <f t="shared" si="47"/>
        <v/>
      </c>
      <c r="AA164" s="166" t="str">
        <f t="shared" si="48"/>
        <v/>
      </c>
      <c r="AB164" s="406">
        <f>IF(C164="","",IFERROR(((終値!E166*0.333)+(終値!F166*0.222)+(終値!G166*0.148)+(終値!H166*0.099)+(終値!I166*0.066)+(終値!J166*0.044)+(終値!K166*0.029)+(終値!L166*0.019)+(終値!M166*0.013)+(終値!N166*0.009))/(0.333+0.222+0.148+0.099+0.066+0.044+0.029+0.019+0.013+0.009),""))</f>
        <v>2348.0224032586552</v>
      </c>
      <c r="AC164" s="406">
        <f>IF(C164="","",IFERROR(SUMPRODUCT((終値!E166:AC166),({0.077,0.071,0.065,0.06,0.055,0.051,0.047,0.043,0.039,0.036,0.033,0.031,0.028,0.026,0.024,0.022,0.02,0.018,0.017,0.016,0.014,0.013,0.012,0.011,0.01}))/SUM({0.077,0.071,0.065,0.06,0.055,0.051,0.047,0.043,0.039,0.036,0.033,0.031,0.028,0.026,0.024,0.022,0.02,0.018,0.017,0.016,0.014,0.013,0.012,0.011,0.01}),""))</f>
        <v>2315.8533969010723</v>
      </c>
      <c r="AD164" s="407" t="str">
        <f t="shared" si="49"/>
        <v>パーフェクト▲</v>
      </c>
      <c r="AE164" s="407" t="e">
        <f t="shared" si="50"/>
        <v>#VALUE!</v>
      </c>
      <c r="AF164" s="368">
        <f t="array" ref="AF164">IF(C164="","",IFERROR((INDEX(終値!$E:$E,MATCH(TEXT(C164,"0"),終値!$A:$A,0))-INDEX(終値!$E:$CZ,MATCH(TEXT(C164,"0"),終値!$A:$A,0),$AL$2))/INDEX(終値!$E:$CZ,MATCH(TEXT(C164,"0"),終値!$A:$A,0),$AL$2)*100,""))</f>
        <v>1.002865329512894</v>
      </c>
      <c r="AG164" s="368">
        <f t="array" ref="AG164">IFERROR((終値!$E$5-INDEX(終値!$E$5:$CZ$5,1,$AL$2))/INDEX(終値!$E$5:$CZ$5,1,$AL$2)*100,"")</f>
        <v>2.31989243802786</v>
      </c>
      <c r="AH164" s="369">
        <f t="shared" si="42"/>
        <v>-1.3170271085149661</v>
      </c>
      <c r="AI164" s="367">
        <f t="shared" si="43"/>
        <v>-1</v>
      </c>
    </row>
    <row r="165" spans="1:35" ht="18" customHeight="1">
      <c r="A165" s="166" t="str">
        <f>IF(銘柄管理!B160&lt;&gt;"",HYPERLINK("https://kabutan.jp/stock/?code="&amp;銘柄管理!B160,"株探"),"")</f>
        <v>株探</v>
      </c>
      <c r="B165" s="167"/>
      <c r="C165" s="168">
        <f>IF(銘柄管理!B160="","",銘柄管理!B160)</f>
        <v>4373</v>
      </c>
      <c r="D165" s="106" t="str">
        <f>IF(銘柄管理!C160="","",銘柄管理!C160)</f>
        <v/>
      </c>
      <c r="E165" s="169" t="str">
        <f>IF(C165&lt;&gt;"",_xll.RssMarket(C165,"現在値"),"")</f>
        <v/>
      </c>
      <c r="F165" s="169" t="str">
        <f>IF(C165&lt;&gt;"",_xll.RssMarket(C165,"始値"),"")</f>
        <v/>
      </c>
      <c r="G165" s="168">
        <f>IF(C165&lt;&gt;"",終値!F160,"")</f>
        <v>1032</v>
      </c>
      <c r="H165" s="169" t="str">
        <f>IF(C165&lt;&gt;"",_xll.RssMarket(C165,"高値"),"")</f>
        <v/>
      </c>
      <c r="I165" s="169" t="str">
        <f>IF(C165&lt;&gt;"",_xll.RssMarket(C165,"安値"),"")</f>
        <v/>
      </c>
      <c r="J165" s="169" t="str">
        <f>IF(C165&lt;&gt;"",_xll.RssMarket(C165,"出来高"),"")</f>
        <v/>
      </c>
      <c r="K165" s="169" t="str">
        <f>IF(C165&lt;&gt;"",_xll.RssMarket(C165,"年初来高値"),"")</f>
        <v/>
      </c>
      <c r="L165" s="170" t="str">
        <f t="shared" si="34"/>
        <v/>
      </c>
      <c r="M165" s="169">
        <f>IF(C165&lt;&gt;"",IFERROR(AVERAGE(出来高!E160:I160),""),"")</f>
        <v>800900</v>
      </c>
      <c r="N165" s="169">
        <f>IF(C165&lt;&gt;"",IFERROR(AVERAGE(出来高!E160:AC160),""),"")</f>
        <v>983164</v>
      </c>
      <c r="O165" s="171" t="str">
        <f t="shared" si="35"/>
        <v/>
      </c>
      <c r="P165" s="166" t="str">
        <f t="shared" si="36"/>
        <v/>
      </c>
      <c r="Q165" s="166" t="str">
        <f t="shared" si="37"/>
        <v/>
      </c>
      <c r="R165" s="169" t="str">
        <f t="shared" si="44"/>
        <v/>
      </c>
      <c r="S165" s="169" t="str">
        <f t="shared" si="45"/>
        <v/>
      </c>
      <c r="T165" s="166">
        <f t="shared" si="38"/>
        <v>0</v>
      </c>
      <c r="U165" s="166" t="str">
        <f t="shared" si="46"/>
        <v>除外</v>
      </c>
      <c r="V165" s="166" t="str">
        <f t="shared" si="39"/>
        <v/>
      </c>
      <c r="W165" s="172">
        <f t="array" ref="W165">IF(C165&lt;&gt;"",IFERROR(100-100/(1+SUMPRODUCT((終値!F160:R160&gt;終値!G160:S160)*( 終値!F160:R160-終値!G160:S160))/SUMPRODUCT((終値!F160:R160&lt;終値!G160:S160)*(終値!G160:S160-終値!F160:R160))),50),"")</f>
        <v>73.2</v>
      </c>
      <c r="X165" s="173">
        <f>IF(C165&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14.954161177206174</v>
      </c>
      <c r="Y165" s="1" t="e">
        <f>IF(T165="","",IF(銘柄管理!$F$5="下落▼",IF(AND(AD165="パーフェクト▲",OR(AE165="25日線押し目●",AE165="5日線押し目○")),"★逆張り候補",IF(AND(AD165="上昇トレンド▲",OR(AE165="25日線押し目●",AE165="5日線押し目○")),"○逆張り候補",IF(W165&lt;=30,IF(Z165&gt;0,"◎反発確認",IF(Z165&lt;-5,"△要注意・様子見","△売られ過ぎ注目")),"相場下落・見送り"))),IF(AND(T165&gt;=12,AD165="パーフェクト▲"),"★強い買い",IF(AND(T165&gt;=12,AD165="上昇トレンド▲"),"★強い買い",IF(AND(T165&gt;=8,OR(AE165="25日線押し目●",AE165="5日線押し目○")),"◎押し目買い",IF(T165&gt;=10,"○買い候補",IF(T165&gt;=6,"△注目",IF(T165&gt;=3,"様子見","見送り"))))))))</f>
        <v>#VALUE!</v>
      </c>
      <c r="Z165" s="174" t="str">
        <f t="shared" si="47"/>
        <v/>
      </c>
      <c r="AA165" s="166" t="str">
        <f t="shared" si="48"/>
        <v/>
      </c>
      <c r="AB165" s="408">
        <f>IF(C165="","",IFERROR(((終値!E167*0.333)+(終値!F167*0.222)+(終値!G167*0.148)+(終値!H167*0.099)+(終値!I167*0.066)+(終値!J167*0.044)+(終値!K167*0.029)+(終値!L167*0.019)+(終値!M167*0.013)+(終値!N167*0.009))/(0.333+0.222+0.148+0.099+0.066+0.044+0.029+0.019+0.013+0.009),""))</f>
        <v>3185.7586558044804</v>
      </c>
      <c r="AC165" s="408">
        <f>IF(C165="","",IFERROR(SUMPRODUCT((終値!E167:AC167),({0.077,0.071,0.065,0.06,0.055,0.051,0.047,0.043,0.039,0.036,0.033,0.031,0.028,0.026,0.024,0.022,0.02,0.018,0.017,0.016,0.014,0.013,0.012,0.011,0.01}))/SUM({0.077,0.071,0.065,0.06,0.055,0.051,0.047,0.043,0.039,0.036,0.033,0.031,0.028,0.026,0.024,0.022,0.02,0.018,0.017,0.016,0.014,0.013,0.012,0.011,0.01}),""))</f>
        <v>3286.6567342073877</v>
      </c>
      <c r="AD165" s="409" t="str">
        <f t="shared" si="49"/>
        <v>上昇トレンド▲</v>
      </c>
      <c r="AE165" s="409" t="e">
        <f t="shared" si="50"/>
        <v>#VALUE!</v>
      </c>
      <c r="AF165" s="368">
        <f t="array" ref="AF165">IF(C165="","",IFERROR((INDEX(終値!$E:$E,MATCH(TEXT(C165,"0"),終値!$A:$A,0))-INDEX(終値!$E:$CZ,MATCH(TEXT(C165,"0"),終値!$A:$A,0),$AL$2))/INDEX(終値!$E:$CZ,MATCH(TEXT(C165,"0"),終値!$A:$A,0),$AL$2)*100,""))</f>
        <v>0.37383177570093462</v>
      </c>
      <c r="AG165" s="368">
        <f t="array" ref="AG165">IFERROR((終値!$E$5-INDEX(終値!$E$5:$CZ$5,1,$AL$2))/INDEX(終値!$E$5:$CZ$5,1,$AL$2)*100,"")</f>
        <v>2.31989243802786</v>
      </c>
      <c r="AH165" s="369">
        <f t="shared" si="42"/>
        <v>-1.9460606623269254</v>
      </c>
      <c r="AI165" s="367">
        <f t="shared" si="43"/>
        <v>-1</v>
      </c>
    </row>
    <row r="166" spans="1:35" ht="18" customHeight="1">
      <c r="A166" s="166" t="str">
        <f>IF(銘柄管理!B150&lt;&gt;"",HYPERLINK("https://kabutan.jp/stock/?code="&amp;銘柄管理!B150,"株探"),"")</f>
        <v>株探</v>
      </c>
      <c r="B166" s="167"/>
      <c r="C166" s="168">
        <f>IF(銘柄管理!B150="","",銘柄管理!B150)</f>
        <v>4307</v>
      </c>
      <c r="D166" s="106" t="str">
        <f>IF(銘柄管理!C150="","",銘柄管理!C150)</f>
        <v/>
      </c>
      <c r="E166" s="169" t="str">
        <f>IF(C166&lt;&gt;"",_xll.RssMarket(C166,"現在値"),"")</f>
        <v/>
      </c>
      <c r="F166" s="169" t="str">
        <f>IF(C166&lt;&gt;"",_xll.RssMarket(C166,"始値"),"")</f>
        <v/>
      </c>
      <c r="G166" s="168">
        <f>IF(C166&lt;&gt;"",終値!F150,"")</f>
        <v>4936</v>
      </c>
      <c r="H166" s="169" t="str">
        <f>IF(C166&lt;&gt;"",_xll.RssMarket(C166,"高値"),"")</f>
        <v/>
      </c>
      <c r="I166" s="169" t="str">
        <f>IF(C166&lt;&gt;"",_xll.RssMarket(C166,"安値"),"")</f>
        <v/>
      </c>
      <c r="J166" s="169" t="str">
        <f>IF(C166&lt;&gt;"",_xll.RssMarket(C166,"出来高"),"")</f>
        <v/>
      </c>
      <c r="K166" s="169" t="str">
        <f>IF(C166&lt;&gt;"",_xll.RssMarket(C166,"年初来高値"),"")</f>
        <v/>
      </c>
      <c r="L166" s="170" t="str">
        <f t="shared" si="34"/>
        <v/>
      </c>
      <c r="M166" s="169">
        <f>IF(C166&lt;&gt;"",IFERROR(AVERAGE(出来高!E150:I150),""),"")</f>
        <v>2640220</v>
      </c>
      <c r="N166" s="169">
        <f>IF(C166&lt;&gt;"",IFERROR(AVERAGE(出来高!E150:AC150),""),"")</f>
        <v>2543636</v>
      </c>
      <c r="O166" s="171" t="str">
        <f t="shared" si="35"/>
        <v/>
      </c>
      <c r="P166" s="166" t="str">
        <f t="shared" si="36"/>
        <v/>
      </c>
      <c r="Q166" s="166" t="str">
        <f t="shared" si="37"/>
        <v/>
      </c>
      <c r="R166" s="169" t="str">
        <f t="shared" si="44"/>
        <v/>
      </c>
      <c r="S166" s="169" t="str">
        <f t="shared" si="45"/>
        <v/>
      </c>
      <c r="T166" s="166">
        <f t="shared" si="38"/>
        <v>0</v>
      </c>
      <c r="U166" s="166" t="str">
        <f t="shared" si="46"/>
        <v>除外</v>
      </c>
      <c r="V166" s="166" t="str">
        <f t="shared" si="39"/>
        <v/>
      </c>
      <c r="W166" s="172">
        <f t="array" ref="W166">IF(C166&lt;&gt;"",IFERROR(100-100/(1+SUMPRODUCT((終値!F150:R150&gt;終値!G150:S150)*( 終値!F150:R150-終値!G150:S150))/SUMPRODUCT((終値!F150:R150&lt;終値!G150:S150)*(終値!G150:S150-終値!F150:R150))),50),"")</f>
        <v>75.093773443360845</v>
      </c>
      <c r="X166" s="173">
        <f>IF(C166&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90.413556414409868</v>
      </c>
      <c r="Y166" s="1" t="e">
        <f>IF(T166="","",IF(銘柄管理!$F$5="下落▼",IF(AND(AD166="パーフェクト▲",OR(AE166="25日線押し目●",AE166="5日線押し目○")),"★逆張り候補",IF(AND(AD166="上昇トレンド▲",OR(AE166="25日線押し目●",AE166="5日線押し目○")),"○逆張り候補",IF(W166&lt;=30,IF(Z166&gt;0,"◎反発確認",IF(Z166&lt;-5,"△要注意・様子見","△売られ過ぎ注目")),"相場下落・見送り"))),IF(AND(T166&gt;=12,AD166="パーフェクト▲"),"★強い買い",IF(AND(T166&gt;=12,AD166="上昇トレンド▲"),"★強い買い",IF(AND(T166&gt;=8,OR(AE166="25日線押し目●",AE166="5日線押し目○")),"◎押し目買い",IF(T166&gt;=10,"○買い候補",IF(T166&gt;=6,"△注目",IF(T166&gt;=3,"様子見","見送り"))))))))</f>
        <v>#VALUE!</v>
      </c>
      <c r="Z166" s="174" t="str">
        <f t="shared" si="47"/>
        <v/>
      </c>
      <c r="AA166" s="166" t="str">
        <f t="shared" si="48"/>
        <v/>
      </c>
      <c r="AB166" s="406">
        <f>IF(C166="","",IFERROR(((終値!E168*0.333)+(終値!F168*0.222)+(終値!G168*0.148)+(終値!H168*0.099)+(終値!I168*0.066)+(終値!J168*0.044)+(終値!K168*0.029)+(終値!L168*0.019)+(終値!M168*0.013)+(終値!N168*0.009))/(0.333+0.222+0.148+0.099+0.066+0.044+0.029+0.019+0.013+0.009),""))</f>
        <v>1989.7647657841133</v>
      </c>
      <c r="AC166" s="406">
        <f>IF(C166="","",IFERROR(SUMPRODUCT((終値!E168:AC168),({0.077,0.071,0.065,0.06,0.055,0.051,0.047,0.043,0.039,0.036,0.033,0.031,0.028,0.026,0.024,0.022,0.02,0.018,0.017,0.016,0.014,0.013,0.012,0.011,0.01}))/SUM({0.077,0.071,0.065,0.06,0.055,0.051,0.047,0.043,0.039,0.036,0.033,0.031,0.028,0.026,0.024,0.022,0.02,0.018,0.017,0.016,0.014,0.013,0.012,0.011,0.01}),""))</f>
        <v>1984.972586412395</v>
      </c>
      <c r="AD166" s="407" t="str">
        <f t="shared" si="49"/>
        <v>パーフェクト▲</v>
      </c>
      <c r="AE166" s="407" t="e">
        <f t="shared" si="50"/>
        <v>#VALUE!</v>
      </c>
      <c r="AF166" s="368">
        <f t="array" ref="AF166">IF(C166="","",IFERROR((INDEX(終値!$E:$E,MATCH(TEXT(C166,"0"),終値!$A:$A,0))-INDEX(終値!$E:$CZ,MATCH(TEXT(C166,"0"),終値!$A:$A,0),$AL$2))/INDEX(終値!$E:$CZ,MATCH(TEXT(C166,"0"),終値!$A:$A,0),$AL$2)*100,""))</f>
        <v>8.0229836135347945</v>
      </c>
      <c r="AG166" s="368">
        <f t="array" ref="AG166">IFERROR((終値!$E$5-INDEX(終値!$E$5:$CZ$5,1,$AL$2))/INDEX(終値!$E$5:$CZ$5,1,$AL$2)*100,"")</f>
        <v>2.31989243802786</v>
      </c>
      <c r="AH166" s="369">
        <f t="shared" si="42"/>
        <v>5.703091175506934</v>
      </c>
      <c r="AI166" s="367">
        <f t="shared" si="43"/>
        <v>3</v>
      </c>
    </row>
    <row r="167" spans="1:35" ht="18" customHeight="1">
      <c r="A167" s="166" t="str">
        <f>IF(銘柄管理!B98&lt;&gt;"",HYPERLINK("https://kabutan.jp/stock/?code="&amp;銘柄管理!B98,"株探"),"")</f>
        <v>株探</v>
      </c>
      <c r="B167" s="167"/>
      <c r="C167" s="168">
        <f>IF(銘柄管理!B98="","",銘柄管理!B98)</f>
        <v>4188</v>
      </c>
      <c r="D167" s="106" t="str">
        <f>IF(銘柄管理!C98="","",銘柄管理!C98)</f>
        <v/>
      </c>
      <c r="E167" s="169" t="str">
        <f>IF(C167&lt;&gt;"",_xll.RssMarket(C167,"現在値"),"")</f>
        <v/>
      </c>
      <c r="F167" s="169" t="str">
        <f>IF(C167&lt;&gt;"",_xll.RssMarket(C167,"始値"),"")</f>
        <v/>
      </c>
      <c r="G167" s="168">
        <f>IF(C167&lt;&gt;"",終値!F98,"")</f>
        <v>1222</v>
      </c>
      <c r="H167" s="169" t="str">
        <f>IF(C167&lt;&gt;"",_xll.RssMarket(C167,"高値"),"")</f>
        <v/>
      </c>
      <c r="I167" s="169" t="str">
        <f>IF(C167&lt;&gt;"",_xll.RssMarket(C167,"安値"),"")</f>
        <v/>
      </c>
      <c r="J167" s="169" t="str">
        <f>IF(C167&lt;&gt;"",_xll.RssMarket(C167,"出来高"),"")</f>
        <v/>
      </c>
      <c r="K167" s="169" t="str">
        <f>IF(C167&lt;&gt;"",_xll.RssMarket(C167,"年初来高値"),"")</f>
        <v/>
      </c>
      <c r="L167" s="170" t="str">
        <f t="shared" si="34"/>
        <v/>
      </c>
      <c r="M167" s="169">
        <f>IF(C167&lt;&gt;"",IFERROR(AVERAGE(出来高!E98:I98),""),"")</f>
        <v>5208140</v>
      </c>
      <c r="N167" s="169">
        <f>IF(C167&lt;&gt;"",IFERROR(AVERAGE(出来高!E98:AC98),""),"")</f>
        <v>6291588</v>
      </c>
      <c r="O167" s="171" t="str">
        <f t="shared" si="35"/>
        <v/>
      </c>
      <c r="P167" s="166" t="str">
        <f t="shared" si="36"/>
        <v/>
      </c>
      <c r="Q167" s="166" t="str">
        <f t="shared" si="37"/>
        <v/>
      </c>
      <c r="R167" s="169" t="str">
        <f t="shared" si="44"/>
        <v/>
      </c>
      <c r="S167" s="169" t="str">
        <f t="shared" si="45"/>
        <v/>
      </c>
      <c r="T167" s="166">
        <f t="shared" si="38"/>
        <v>0</v>
      </c>
      <c r="U167" s="166" t="str">
        <f t="shared" si="46"/>
        <v>除外</v>
      </c>
      <c r="V167" s="166" t="str">
        <f t="shared" si="39"/>
        <v/>
      </c>
      <c r="W167" s="172">
        <f t="array" ref="W167">IF(C167&lt;&gt;"",IFERROR(100-100/(1+SUMPRODUCT((終値!F98:R98&gt;終値!G98:S98)*( 終値!F98:R98-終値!G98:S98))/SUMPRODUCT((終値!F98:R98&lt;終値!G98:S98)*(終値!G98:S98-終値!F98:R98))),50),"")</f>
        <v>76.254826254826256</v>
      </c>
      <c r="X167" s="173">
        <f>IF(C167&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14.719297163258943</v>
      </c>
      <c r="Y167" s="1" t="e">
        <f>IF(T167="","",IF(銘柄管理!$F$5="下落▼",IF(AND(AD167="パーフェクト▲",OR(AE167="25日線押し目●",AE167="5日線押し目○")),"★逆張り候補",IF(AND(AD167="上昇トレンド▲",OR(AE167="25日線押し目●",AE167="5日線押し目○")),"○逆張り候補",IF(W167&lt;=30,IF(Z167&gt;0,"◎反発確認",IF(Z167&lt;-5,"△要注意・様子見","△売られ過ぎ注目")),"相場下落・見送り"))),IF(AND(T167&gt;=12,AD167="パーフェクト▲"),"★強い買い",IF(AND(T167&gt;=12,AD167="上昇トレンド▲"),"★強い買い",IF(AND(T167&gt;=8,OR(AE167="25日線押し目●",AE167="5日線押し目○")),"◎押し目買い",IF(T167&gt;=10,"○買い候補",IF(T167&gt;=6,"△注目",IF(T167&gt;=3,"様子見","見送り"))))))))</f>
        <v>#VALUE!</v>
      </c>
      <c r="Z167" s="174" t="str">
        <f t="shared" si="47"/>
        <v/>
      </c>
      <c r="AA167" s="166" t="str">
        <f t="shared" si="48"/>
        <v/>
      </c>
      <c r="AB167" s="408">
        <f>IF(C167="","",IFERROR(((終値!E169*0.333)+(終値!F169*0.222)+(終値!G169*0.148)+(終値!H169*0.099)+(終値!I169*0.066)+(終値!J169*0.044)+(終値!K169*0.029)+(終値!L169*0.019)+(終値!M169*0.013)+(終値!N169*0.009))/(0.333+0.222+0.148+0.099+0.066+0.044+0.029+0.019+0.013+0.009),""))</f>
        <v>904.40224032586536</v>
      </c>
      <c r="AC167" s="408">
        <f>IF(C167="","",IFERROR(SUMPRODUCT((終値!E169:AC169),({0.077,0.071,0.065,0.06,0.055,0.051,0.047,0.043,0.039,0.036,0.033,0.031,0.028,0.026,0.024,0.022,0.02,0.018,0.017,0.016,0.014,0.013,0.012,0.011,0.01}))/SUM({0.077,0.071,0.065,0.06,0.055,0.051,0.047,0.043,0.039,0.036,0.033,0.031,0.028,0.026,0.024,0.022,0.02,0.018,0.017,0.016,0.014,0.013,0.012,0.011,0.01}),""))</f>
        <v>892.51609058402823</v>
      </c>
      <c r="AD167" s="409" t="str">
        <f t="shared" si="49"/>
        <v>パーフェクト▲</v>
      </c>
      <c r="AE167" s="409" t="e">
        <f t="shared" si="50"/>
        <v>#VALUE!</v>
      </c>
      <c r="AF167" s="368">
        <f t="array" ref="AF167">IF(C167="","",IFERROR((INDEX(終値!$E:$E,MATCH(TEXT(C167,"0"),終値!$A:$A,0))-INDEX(終値!$E:$CZ,MATCH(TEXT(C167,"0"),終値!$A:$A,0),$AL$2))/INDEX(終値!$E:$CZ,MATCH(TEXT(C167,"0"),終値!$A:$A,0),$AL$2)*100,""))</f>
        <v>9.8777046095954848</v>
      </c>
      <c r="AG167" s="368">
        <f t="array" ref="AG167">IFERROR((終値!$E$5-INDEX(終値!$E$5:$CZ$5,1,$AL$2))/INDEX(終値!$E$5:$CZ$5,1,$AL$2)*100,"")</f>
        <v>2.31989243802786</v>
      </c>
      <c r="AH167" s="369">
        <f t="shared" si="42"/>
        <v>7.5578121715676243</v>
      </c>
      <c r="AI167" s="367">
        <f t="shared" si="43"/>
        <v>3</v>
      </c>
    </row>
    <row r="168" spans="1:35" ht="18" customHeight="1">
      <c r="A168" s="166" t="str">
        <f>IF(銘柄管理!B97&lt;&gt;"",HYPERLINK("https://kabutan.jp/stock/?code="&amp;銘柄管理!B97,"株探"),"")</f>
        <v>株探</v>
      </c>
      <c r="B168" s="167"/>
      <c r="C168" s="168">
        <f>IF(銘柄管理!B97="","",銘柄管理!B97)</f>
        <v>4182</v>
      </c>
      <c r="D168" s="106" t="str">
        <f>IF(銘柄管理!C97="","",銘柄管理!C97)</f>
        <v/>
      </c>
      <c r="E168" s="169" t="str">
        <f>IF(C168&lt;&gt;"",_xll.RssMarket(C168,"現在値"),"")</f>
        <v/>
      </c>
      <c r="F168" s="169" t="str">
        <f>IF(C168&lt;&gt;"",_xll.RssMarket(C168,"始値"),"")</f>
        <v/>
      </c>
      <c r="G168" s="168">
        <f>IF(C168&lt;&gt;"",終値!F97,"")</f>
        <v>4762</v>
      </c>
      <c r="H168" s="169" t="str">
        <f>IF(C168&lt;&gt;"",_xll.RssMarket(C168,"高値"),"")</f>
        <v/>
      </c>
      <c r="I168" s="169" t="str">
        <f>IF(C168&lt;&gt;"",_xll.RssMarket(C168,"安値"),"")</f>
        <v/>
      </c>
      <c r="J168" s="169" t="str">
        <f>IF(C168&lt;&gt;"",_xll.RssMarket(C168,"出来高"),"")</f>
        <v/>
      </c>
      <c r="K168" s="169" t="str">
        <f>IF(C168&lt;&gt;"",_xll.RssMarket(C168,"年初来高値"),"")</f>
        <v/>
      </c>
      <c r="L168" s="170" t="str">
        <f t="shared" si="34"/>
        <v/>
      </c>
      <c r="M168" s="169">
        <f>IF(C168&lt;&gt;"",IFERROR(AVERAGE(出来高!E97:I97),""),"")</f>
        <v>959580</v>
      </c>
      <c r="N168" s="169">
        <f>IF(C168&lt;&gt;"",IFERROR(AVERAGE(出来高!E97:AC97),""),"")</f>
        <v>1182404</v>
      </c>
      <c r="O168" s="171" t="str">
        <f t="shared" si="35"/>
        <v/>
      </c>
      <c r="P168" s="166" t="str">
        <f t="shared" si="36"/>
        <v/>
      </c>
      <c r="Q168" s="166" t="str">
        <f t="shared" si="37"/>
        <v/>
      </c>
      <c r="R168" s="169" t="str">
        <f t="shared" si="44"/>
        <v/>
      </c>
      <c r="S168" s="169" t="str">
        <f t="shared" si="45"/>
        <v/>
      </c>
      <c r="T168" s="166">
        <f t="shared" si="38"/>
        <v>0</v>
      </c>
      <c r="U168" s="166" t="str">
        <f t="shared" si="46"/>
        <v>除外</v>
      </c>
      <c r="V168" s="166" t="str">
        <f t="shared" si="39"/>
        <v/>
      </c>
      <c r="W168" s="172">
        <f t="array" ref="W168">IF(C168&lt;&gt;"",IFERROR(100-100/(1+SUMPRODUCT((終値!F97:R97&gt;終値!G97:S97)*( 終値!F97:R97-終値!G97:S97))/SUMPRODUCT((終値!F97:R97&lt;終値!G97:S97)*(終値!G97:S97-終値!F97:R97))),50),"")</f>
        <v>33.900441083805916</v>
      </c>
      <c r="X168" s="173">
        <f>IF(C168&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-85.765577796440084</v>
      </c>
      <c r="Y168" s="1" t="e">
        <f>IF(T168="","",IF(銘柄管理!$F$5="下落▼",IF(AND(AD168="パーフェクト▲",OR(AE168="25日線押し目●",AE168="5日線押し目○")),"★逆張り候補",IF(AND(AD168="上昇トレンド▲",OR(AE168="25日線押し目●",AE168="5日線押し目○")),"○逆張り候補",IF(W168&lt;=30,IF(Z168&gt;0,"◎反発確認",IF(Z168&lt;-5,"△要注意・様子見","△売られ過ぎ注目")),"相場下落・見送り"))),IF(AND(T168&gt;=12,AD168="パーフェクト▲"),"★強い買い",IF(AND(T168&gt;=12,AD168="上昇トレンド▲"),"★強い買い",IF(AND(T168&gt;=8,OR(AE168="25日線押し目●",AE168="5日線押し目○")),"◎押し目買い",IF(T168&gt;=10,"○買い候補",IF(T168&gt;=6,"△注目",IF(T168&gt;=3,"様子見","見送り"))))))))</f>
        <v>#VALUE!</v>
      </c>
      <c r="Z168" s="174" t="str">
        <f t="shared" si="47"/>
        <v/>
      </c>
      <c r="AA168" s="166" t="str">
        <f t="shared" si="48"/>
        <v/>
      </c>
      <c r="AB168" s="406">
        <f>IF(C168="","",IFERROR(((終値!E170*0.333)+(終値!F170*0.222)+(終値!G170*0.148)+(終値!H170*0.099)+(終値!I170*0.066)+(終値!J170*0.044)+(終値!K170*0.029)+(終値!L170*0.019)+(終値!M170*0.013)+(終値!N170*0.009))/(0.333+0.222+0.148+0.099+0.066+0.044+0.029+0.019+0.013+0.009),""))</f>
        <v>1112.0254582484722</v>
      </c>
      <c r="AC168" s="406">
        <f>IF(C168="","",IFERROR(SUMPRODUCT((終値!E170:AC170),({0.077,0.071,0.065,0.06,0.055,0.051,0.047,0.043,0.039,0.036,0.033,0.031,0.028,0.026,0.024,0.022,0.02,0.018,0.017,0.016,0.014,0.013,0.012,0.011,0.01}))/SUM({0.077,0.071,0.065,0.06,0.055,0.051,0.047,0.043,0.039,0.036,0.033,0.031,0.028,0.026,0.024,0.022,0.02,0.018,0.017,0.016,0.014,0.013,0.012,0.011,0.01}),""))</f>
        <v>1086.7723480333727</v>
      </c>
      <c r="AD168" s="407" t="str">
        <f t="shared" si="49"/>
        <v>パーフェクト▲</v>
      </c>
      <c r="AE168" s="407" t="e">
        <f t="shared" si="50"/>
        <v>#VALUE!</v>
      </c>
      <c r="AF168" s="368">
        <f t="array" ref="AF168">IF(C168="","",IFERROR((INDEX(終値!$E:$E,MATCH(TEXT(C168,"0"),終値!$A:$A,0))-INDEX(終値!$E:$CZ,MATCH(TEXT(C168,"0"),終値!$A:$A,0),$AL$2))/INDEX(終値!$E:$CZ,MATCH(TEXT(C168,"0"),終値!$A:$A,0),$AL$2)*100,""))</f>
        <v>-7.3582887700534751</v>
      </c>
      <c r="AG168" s="368">
        <f t="array" ref="AG168">IFERROR((終値!$E$5-INDEX(終値!$E$5:$CZ$5,1,$AL$2))/INDEX(終値!$E$5:$CZ$5,1,$AL$2)*100,"")</f>
        <v>2.31989243802786</v>
      </c>
      <c r="AH168" s="369">
        <f t="shared" si="42"/>
        <v>-9.6781812080813356</v>
      </c>
      <c r="AI168" s="367">
        <f t="shared" si="43"/>
        <v>-2</v>
      </c>
    </row>
    <row r="169" spans="1:35" ht="18" customHeight="1">
      <c r="A169" s="166" t="str">
        <f>IF(銘柄管理!B157&lt;&gt;"",HYPERLINK("https://kabutan.jp/stock/?code="&amp;銘柄管理!B157,"株探"),"")</f>
        <v>株探</v>
      </c>
      <c r="B169" s="167"/>
      <c r="C169" s="168">
        <f>IF(銘柄管理!B157="","",銘柄管理!B157)</f>
        <v>4091</v>
      </c>
      <c r="D169" s="106" t="str">
        <f>IF(銘柄管理!C157="","",銘柄管理!C157)</f>
        <v/>
      </c>
      <c r="E169" s="169" t="str">
        <f>IF(C169&lt;&gt;"",_xll.RssMarket(C169,"現在値"),"")</f>
        <v/>
      </c>
      <c r="F169" s="169" t="str">
        <f>IF(C169&lt;&gt;"",_xll.RssMarket(C169,"始値"),"")</f>
        <v/>
      </c>
      <c r="G169" s="168">
        <f>IF(C169&lt;&gt;"",終値!F157,"")</f>
        <v>6152</v>
      </c>
      <c r="H169" s="169" t="str">
        <f>IF(C169&lt;&gt;"",_xll.RssMarket(C169,"高値"),"")</f>
        <v/>
      </c>
      <c r="I169" s="169" t="str">
        <f>IF(C169&lt;&gt;"",_xll.RssMarket(C169,"安値"),"")</f>
        <v/>
      </c>
      <c r="J169" s="169" t="str">
        <f>IF(C169&lt;&gt;"",_xll.RssMarket(C169,"出来高"),"")</f>
        <v/>
      </c>
      <c r="K169" s="169" t="str">
        <f>IF(C169&lt;&gt;"",_xll.RssMarket(C169,"年初来高値"),"")</f>
        <v/>
      </c>
      <c r="L169" s="170" t="str">
        <f t="shared" si="34"/>
        <v/>
      </c>
      <c r="M169" s="169">
        <f>IF(C169&lt;&gt;"",IFERROR(AVERAGE(出来高!E157:I157),""),"")</f>
        <v>443100</v>
      </c>
      <c r="N169" s="169">
        <f>IF(C169&lt;&gt;"",IFERROR(AVERAGE(出来高!E157:AC157),""),"")</f>
        <v>535444</v>
      </c>
      <c r="O169" s="171" t="str">
        <f t="shared" si="35"/>
        <v/>
      </c>
      <c r="P169" s="166" t="str">
        <f t="shared" si="36"/>
        <v/>
      </c>
      <c r="Q169" s="166" t="str">
        <f t="shared" si="37"/>
        <v/>
      </c>
      <c r="R169" s="169" t="str">
        <f t="shared" si="44"/>
        <v/>
      </c>
      <c r="S169" s="169" t="str">
        <f t="shared" si="45"/>
        <v/>
      </c>
      <c r="T169" s="166">
        <f t="shared" si="38"/>
        <v>0</v>
      </c>
      <c r="U169" s="166" t="str">
        <f t="shared" si="46"/>
        <v>除外</v>
      </c>
      <c r="V169" s="166" t="str">
        <f t="shared" si="39"/>
        <v/>
      </c>
      <c r="W169" s="172">
        <f t="array" ref="W169">IF(C169&lt;&gt;"",IFERROR(100-100/(1+SUMPRODUCT((終値!F157:R157&gt;終値!G157:S157)*( 終値!F157:R157-終値!G157:S157))/SUMPRODUCT((終値!F157:R157&lt;終値!G157:S157)*(終値!G157:S157-終値!F157:R157))),50),"")</f>
        <v>73.275024295432459</v>
      </c>
      <c r="X169" s="173">
        <f>IF(C169&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71.682849796412484</v>
      </c>
      <c r="Y169" s="1" t="e">
        <f>IF(T169="","",IF(銘柄管理!$F$5="下落▼",IF(AND(AD169="パーフェクト▲",OR(AE169="25日線押し目●",AE169="5日線押し目○")),"★逆張り候補",IF(AND(AD169="上昇トレンド▲",OR(AE169="25日線押し目●",AE169="5日線押し目○")),"○逆張り候補",IF(W169&lt;=30,IF(Z169&gt;0,"◎反発確認",IF(Z169&lt;-5,"△要注意・様子見","△売られ過ぎ注目")),"相場下落・見送り"))),IF(AND(T169&gt;=12,AD169="パーフェクト▲"),"★強い買い",IF(AND(T169&gt;=12,AD169="上昇トレンド▲"),"★強い買い",IF(AND(T169&gt;=8,OR(AE169="25日線押し目●",AE169="5日線押し目○")),"◎押し目買い",IF(T169&gt;=10,"○買い候補",IF(T169&gt;=6,"△注目",IF(T169&gt;=3,"様子見","見送り"))))))))</f>
        <v>#VALUE!</v>
      </c>
      <c r="Z169" s="174" t="str">
        <f t="shared" si="47"/>
        <v/>
      </c>
      <c r="AA169" s="166" t="str">
        <f t="shared" si="48"/>
        <v/>
      </c>
      <c r="AB169" s="408">
        <f>IF(C169="","",IFERROR(((終値!E171*0.333)+(終値!F171*0.222)+(終値!G171*0.148)+(終値!H171*0.099)+(終値!I171*0.066)+(終値!J171*0.044)+(終値!K171*0.029)+(終値!L171*0.019)+(終値!M171*0.013)+(終値!N171*0.009))/(0.333+0.222+0.148+0.099+0.066+0.044+0.029+0.019+0.013+0.009),""))</f>
        <v>3079.4806517311599</v>
      </c>
      <c r="AC169" s="408">
        <f>IF(C169="","",IFERROR(SUMPRODUCT((終値!E171:AC171),({0.077,0.071,0.065,0.06,0.055,0.051,0.047,0.043,0.039,0.036,0.033,0.031,0.028,0.026,0.024,0.022,0.02,0.018,0.017,0.016,0.014,0.013,0.012,0.011,0.01}))/SUM({0.077,0.071,0.065,0.06,0.055,0.051,0.047,0.043,0.039,0.036,0.033,0.031,0.028,0.026,0.024,0.022,0.02,0.018,0.017,0.016,0.014,0.013,0.012,0.011,0.01}),""))</f>
        <v>3064.8653158522034</v>
      </c>
      <c r="AD169" s="409" t="str">
        <f t="shared" si="49"/>
        <v>パーフェクト▲</v>
      </c>
      <c r="AE169" s="409" t="e">
        <f t="shared" si="50"/>
        <v>#VALUE!</v>
      </c>
      <c r="AF169" s="368">
        <f t="array" ref="AF169">IF(C169="","",IFERROR((INDEX(終値!$E:$E,MATCH(TEXT(C169,"0"),終値!$A:$A,0))-INDEX(終値!$E:$CZ,MATCH(TEXT(C169,"0"),終値!$A:$A,0),$AL$2))/INDEX(終値!$E:$CZ,MATCH(TEXT(C169,"0"),終値!$A:$A,0),$AL$2)*100,""))</f>
        <v>10.599926389400073</v>
      </c>
      <c r="AG169" s="368">
        <f t="array" ref="AG169">IFERROR((終値!$E$5-INDEX(終値!$E$5:$CZ$5,1,$AL$2))/INDEX(終値!$E$5:$CZ$5,1,$AL$2)*100,"")</f>
        <v>2.31989243802786</v>
      </c>
      <c r="AH169" s="369">
        <f t="shared" si="42"/>
        <v>8.2800339513722125</v>
      </c>
      <c r="AI169" s="367">
        <f t="shared" si="43"/>
        <v>3</v>
      </c>
    </row>
    <row r="170" spans="1:35" ht="18" customHeight="1">
      <c r="A170" s="166" t="str">
        <f>IF(銘柄管理!B156&lt;&gt;"",HYPERLINK("https://kabutan.jp/stock/?code="&amp;銘柄管理!B156,"株探"),"")</f>
        <v>株探</v>
      </c>
      <c r="B170" s="167"/>
      <c r="C170" s="168">
        <f>IF(銘柄管理!B156="","",銘柄管理!B156)</f>
        <v>4088</v>
      </c>
      <c r="D170" s="106" t="str">
        <f>IF(銘柄管理!C156="","",銘柄管理!C156)</f>
        <v/>
      </c>
      <c r="E170" s="169" t="str">
        <f>IF(C170&lt;&gt;"",_xll.RssMarket(C170,"現在値"),"")</f>
        <v/>
      </c>
      <c r="F170" s="169" t="str">
        <f>IF(C170&lt;&gt;"",_xll.RssMarket(C170,"始値"),"")</f>
        <v/>
      </c>
      <c r="G170" s="168">
        <f>IF(C170&lt;&gt;"",終値!F156,"")</f>
        <v>2574</v>
      </c>
      <c r="H170" s="169" t="str">
        <f>IF(C170&lt;&gt;"",_xll.RssMarket(C170,"高値"),"")</f>
        <v/>
      </c>
      <c r="I170" s="169" t="str">
        <f>IF(C170&lt;&gt;"",_xll.RssMarket(C170,"安値"),"")</f>
        <v/>
      </c>
      <c r="J170" s="169" t="str">
        <f>IF(C170&lt;&gt;"",_xll.RssMarket(C170,"出来高"),"")</f>
        <v/>
      </c>
      <c r="K170" s="169" t="str">
        <f>IF(C170&lt;&gt;"",_xll.RssMarket(C170,"年初来高値"),"")</f>
        <v/>
      </c>
      <c r="L170" s="170" t="str">
        <f t="shared" si="34"/>
        <v/>
      </c>
      <c r="M170" s="169">
        <f>IF(C170&lt;&gt;"",IFERROR(AVERAGE(出来高!E156:I156),""),"")</f>
        <v>736920</v>
      </c>
      <c r="N170" s="169">
        <f>IF(C170&lt;&gt;"",IFERROR(AVERAGE(出来高!E156:AC156),""),"")</f>
        <v>1089208</v>
      </c>
      <c r="O170" s="171" t="str">
        <f t="shared" si="35"/>
        <v/>
      </c>
      <c r="P170" s="166" t="str">
        <f t="shared" si="36"/>
        <v/>
      </c>
      <c r="Q170" s="166" t="str">
        <f t="shared" si="37"/>
        <v/>
      </c>
      <c r="R170" s="169" t="str">
        <f t="shared" si="44"/>
        <v/>
      </c>
      <c r="S170" s="169" t="str">
        <f t="shared" si="45"/>
        <v/>
      </c>
      <c r="T170" s="166">
        <f t="shared" si="38"/>
        <v>0</v>
      </c>
      <c r="U170" s="166" t="str">
        <f t="shared" si="46"/>
        <v>除外</v>
      </c>
      <c r="V170" s="166" t="str">
        <f t="shared" si="39"/>
        <v/>
      </c>
      <c r="W170" s="172">
        <f t="array" ref="W170">IF(C170&lt;&gt;"",IFERROR(100-100/(1+SUMPRODUCT((終値!F156:R156&gt;終値!G156:S156)*( 終値!F156:R156-終値!G156:S156))/SUMPRODUCT((終値!F156:R156&lt;終値!G156:S156)*(終値!G156:S156-終値!F156:R156))),50),"")</f>
        <v>17.351598173515981</v>
      </c>
      <c r="X170" s="173">
        <f>IF(C170&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-8.4531282961625038</v>
      </c>
      <c r="Y170" s="1" t="e">
        <f>IF(T170="","",IF(銘柄管理!$F$5="下落▼",IF(AND(AD170="パーフェクト▲",OR(AE170="25日線押し目●",AE170="5日線押し目○")),"★逆張り候補",IF(AND(AD170="上昇トレンド▲",OR(AE170="25日線押し目●",AE170="5日線押し目○")),"○逆張り候補",IF(W170&lt;=30,IF(Z170&gt;0,"◎反発確認",IF(Z170&lt;-5,"△要注意・様子見","△売られ過ぎ注目")),"相場下落・見送り"))),IF(AND(T170&gt;=12,AD170="パーフェクト▲"),"★強い買い",IF(AND(T170&gt;=12,AD170="上昇トレンド▲"),"★強い買い",IF(AND(T170&gt;=8,OR(AE170="25日線押し目●",AE170="5日線押し目○")),"◎押し目買い",IF(T170&gt;=10,"○買い候補",IF(T170&gt;=6,"△注目",IF(T170&gt;=3,"様子見","見送り"))))))))</f>
        <v>#VALUE!</v>
      </c>
      <c r="Z170" s="174" t="str">
        <f t="shared" si="47"/>
        <v/>
      </c>
      <c r="AA170" s="166" t="str">
        <f t="shared" si="48"/>
        <v/>
      </c>
      <c r="AB170" s="406">
        <f>IF(C170="","",IFERROR(((終値!E172*0.333)+(終値!F172*0.222)+(終値!G172*0.148)+(終値!H172*0.099)+(終値!I172*0.066)+(終値!J172*0.044)+(終値!K172*0.029)+(終値!L172*0.019)+(終値!M172*0.013)+(終値!N172*0.009))/(0.333+0.222+0.148+0.099+0.066+0.044+0.029+0.019+0.013+0.009),""))</f>
        <v>1440.2759674134418</v>
      </c>
      <c r="AC170" s="406">
        <f>IF(C170="","",IFERROR(SUMPRODUCT((終値!E172:AC172),({0.077,0.071,0.065,0.06,0.055,0.051,0.047,0.043,0.039,0.036,0.033,0.031,0.028,0.026,0.024,0.022,0.02,0.018,0.017,0.016,0.014,0.013,0.012,0.011,0.01}))/SUM({0.077,0.071,0.065,0.06,0.055,0.051,0.047,0.043,0.039,0.036,0.033,0.031,0.028,0.026,0.024,0.022,0.02,0.018,0.017,0.016,0.014,0.013,0.012,0.011,0.01}),""))</f>
        <v>1433.3760429082233</v>
      </c>
      <c r="AD170" s="407" t="str">
        <f t="shared" si="49"/>
        <v>パーフェクト▲</v>
      </c>
      <c r="AE170" s="407" t="e">
        <f t="shared" si="50"/>
        <v>#VALUE!</v>
      </c>
      <c r="AF170" s="368">
        <f t="array" ref="AF170">IF(C170="","",IFERROR((INDEX(終値!$E:$E,MATCH(TEXT(C170,"0"),終値!$A:$A,0))-INDEX(終値!$E:$CZ,MATCH(TEXT(C170,"0"),終値!$A:$A,0),$AL$2))/INDEX(終値!$E:$CZ,MATCH(TEXT(C170,"0"),終値!$A:$A,0),$AL$2)*100,""))</f>
        <v>2.3076923076923079</v>
      </c>
      <c r="AG170" s="368">
        <f t="array" ref="AG170">IFERROR((終値!$E$5-INDEX(終値!$E$5:$CZ$5,1,$AL$2))/INDEX(終値!$E$5:$CZ$5,1,$AL$2)*100,"")</f>
        <v>2.31989243802786</v>
      </c>
      <c r="AH170" s="369">
        <f t="shared" si="42"/>
        <v>-1.2200130335552117E-2</v>
      </c>
      <c r="AI170" s="367">
        <f t="shared" si="43"/>
        <v>-1</v>
      </c>
    </row>
    <row r="171" spans="1:35" ht="18" customHeight="1">
      <c r="A171" s="166" t="str">
        <f>IF(銘柄管理!B129&lt;&gt;"",HYPERLINK("https://kabutan.jp/stock/?code="&amp;銘柄管理!B129,"株探"),"")</f>
        <v>株探</v>
      </c>
      <c r="B171" s="167"/>
      <c r="C171" s="168">
        <f>IF(銘柄管理!B129="","",銘柄管理!B129)</f>
        <v>4082</v>
      </c>
      <c r="D171" s="106" t="str">
        <f>IF(銘柄管理!C129="","",銘柄管理!C129)</f>
        <v/>
      </c>
      <c r="E171" s="169" t="str">
        <f>IF(C171&lt;&gt;"",_xll.RssMarket(C171,"現在値"),"")</f>
        <v/>
      </c>
      <c r="F171" s="169" t="str">
        <f>IF(C171&lt;&gt;"",_xll.RssMarket(C171,"始値"),"")</f>
        <v/>
      </c>
      <c r="G171" s="168">
        <f>IF(C171&lt;&gt;"",終値!F129,"")</f>
        <v>1948</v>
      </c>
      <c r="H171" s="169" t="str">
        <f>IF(C171&lt;&gt;"",_xll.RssMarket(C171,"高値"),"")</f>
        <v/>
      </c>
      <c r="I171" s="169" t="str">
        <f>IF(C171&lt;&gt;"",_xll.RssMarket(C171,"安値"),"")</f>
        <v/>
      </c>
      <c r="J171" s="169" t="str">
        <f>IF(C171&lt;&gt;"",_xll.RssMarket(C171,"出来高"),"")</f>
        <v/>
      </c>
      <c r="K171" s="169" t="str">
        <f>IF(C171&lt;&gt;"",_xll.RssMarket(C171,"年初来高値"),"")</f>
        <v/>
      </c>
      <c r="L171" s="170" t="str">
        <f t="shared" si="34"/>
        <v/>
      </c>
      <c r="M171" s="169">
        <f>IF(C171&lt;&gt;"",IFERROR(AVERAGE(出来高!E129:I129),""),"")</f>
        <v>186900</v>
      </c>
      <c r="N171" s="169">
        <f>IF(C171&lt;&gt;"",IFERROR(AVERAGE(出来高!E129:AC129),""),"")</f>
        <v>216484</v>
      </c>
      <c r="O171" s="171" t="str">
        <f t="shared" si="35"/>
        <v/>
      </c>
      <c r="P171" s="166" t="str">
        <f t="shared" si="36"/>
        <v/>
      </c>
      <c r="Q171" s="166" t="str">
        <f t="shared" si="37"/>
        <v/>
      </c>
      <c r="R171" s="169" t="str">
        <f t="shared" si="44"/>
        <v/>
      </c>
      <c r="S171" s="169" t="str">
        <f t="shared" si="45"/>
        <v/>
      </c>
      <c r="T171" s="166">
        <f t="shared" si="38"/>
        <v>0</v>
      </c>
      <c r="U171" s="166" t="str">
        <f t="shared" si="46"/>
        <v>除外</v>
      </c>
      <c r="V171" s="166" t="str">
        <f t="shared" si="39"/>
        <v/>
      </c>
      <c r="W171" s="172">
        <f t="array" ref="W171">IF(C171&lt;&gt;"",IFERROR(100-100/(1+SUMPRODUCT((終値!F129:R129&gt;終値!G129:S129)*( 終値!F129:R129-終値!G129:S129))/SUMPRODUCT((終値!F129:R129&lt;終値!G129:S129)*(終値!G129:S129-終値!F129:R129))),50),"")</f>
        <v>30.54474708171206</v>
      </c>
      <c r="X171" s="173">
        <f>IF(C171&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-20.744936096704123</v>
      </c>
      <c r="Y171" s="1" t="e">
        <f>IF(T171="","",IF(銘柄管理!$F$5="下落▼",IF(AND(AD171="パーフェクト▲",OR(AE171="25日線押し目●",AE171="5日線押し目○")),"★逆張り候補",IF(AND(AD171="上昇トレンド▲",OR(AE171="25日線押し目●",AE171="5日線押し目○")),"○逆張り候補",IF(W171&lt;=30,IF(Z171&gt;0,"◎反発確認",IF(Z171&lt;-5,"△要注意・様子見","△売られ過ぎ注目")),"相場下落・見送り"))),IF(AND(T171&gt;=12,AD171="パーフェクト▲"),"★強い買い",IF(AND(T171&gt;=12,AD171="上昇トレンド▲"),"★強い買い",IF(AND(T171&gt;=8,OR(AE171="25日線押し目●",AE171="5日線押し目○")),"◎押し目買い",IF(T171&gt;=10,"○買い候補",IF(T171&gt;=6,"△注目",IF(T171&gt;=3,"様子見","見送り"))))))))</f>
        <v>#VALUE!</v>
      </c>
      <c r="Z171" s="174" t="str">
        <f t="shared" si="47"/>
        <v/>
      </c>
      <c r="AA171" s="166" t="str">
        <f t="shared" si="48"/>
        <v/>
      </c>
      <c r="AB171" s="408">
        <f>IF(C171="","",IFERROR(((終値!E173*0.333)+(終値!F173*0.222)+(終値!G173*0.148)+(終値!H173*0.099)+(終値!I173*0.066)+(終値!J173*0.044)+(終値!K173*0.029)+(終値!L173*0.019)+(終値!M173*0.013)+(終値!N173*0.009))/(0.333+0.222+0.148+0.099+0.066+0.044+0.029+0.019+0.013+0.009),""))</f>
        <v>708.85743380855388</v>
      </c>
      <c r="AC171" s="408">
        <f>IF(C171="","",IFERROR(SUMPRODUCT((終値!E173:AC173),({0.077,0.071,0.065,0.06,0.055,0.051,0.047,0.043,0.039,0.036,0.033,0.031,0.028,0.026,0.024,0.022,0.02,0.018,0.017,0.016,0.014,0.013,0.012,0.011,0.01}))/SUM({0.077,0.071,0.065,0.06,0.055,0.051,0.047,0.043,0.039,0.036,0.033,0.031,0.028,0.026,0.024,0.022,0.02,0.018,0.017,0.016,0.014,0.013,0.012,0.011,0.01}),""))</f>
        <v>719.69845053635265</v>
      </c>
      <c r="AD171" s="409" t="str">
        <f t="shared" si="49"/>
        <v>上昇トレンド▲</v>
      </c>
      <c r="AE171" s="409" t="e">
        <f t="shared" si="50"/>
        <v>#VALUE!</v>
      </c>
      <c r="AF171" s="368">
        <f t="array" ref="AF171">IF(C171="","",IFERROR((INDEX(終値!$E:$E,MATCH(TEXT(C171,"0"),終値!$A:$A,0))-INDEX(終値!$E:$CZ,MATCH(TEXT(C171,"0"),終値!$A:$A,0),$AL$2))/INDEX(終値!$E:$CZ,MATCH(TEXT(C171,"0"),終値!$A:$A,0),$AL$2)*100,""))</f>
        <v>-12.449392712550607</v>
      </c>
      <c r="AG171" s="368">
        <f t="array" ref="AG171">IFERROR((終値!$E$5-INDEX(終値!$E$5:$CZ$5,1,$AL$2))/INDEX(終値!$E$5:$CZ$5,1,$AL$2)*100,"")</f>
        <v>2.31989243802786</v>
      </c>
      <c r="AH171" s="369">
        <f t="shared" si="42"/>
        <v>-14.769285150578467</v>
      </c>
      <c r="AI171" s="367">
        <f t="shared" si="43"/>
        <v>-2</v>
      </c>
    </row>
    <row r="172" spans="1:35" ht="18" customHeight="1">
      <c r="A172" s="166" t="str">
        <f>IF(銘柄管理!B66&lt;&gt;"",HYPERLINK("https://kabutan.jp/stock/?code="&amp;銘柄管理!B66,"株探"),"")</f>
        <v>株探</v>
      </c>
      <c r="B172" s="167"/>
      <c r="C172" s="168">
        <f>IF(銘柄管理!B66="","",銘柄管理!B66)</f>
        <v>4063</v>
      </c>
      <c r="D172" s="106" t="str">
        <f>IF(銘柄管理!C66="","",銘柄管理!C66)</f>
        <v/>
      </c>
      <c r="E172" s="169" t="str">
        <f>IF(C172&lt;&gt;"",_xll.RssMarket(C172,"現在値"),"")</f>
        <v/>
      </c>
      <c r="F172" s="169" t="str">
        <f>IF(C172&lt;&gt;"",_xll.RssMarket(C172,"始値"),"")</f>
        <v/>
      </c>
      <c r="G172" s="168">
        <f>IF(C172&lt;&gt;"",終値!F66,"")</f>
        <v>7690</v>
      </c>
      <c r="H172" s="169" t="str">
        <f>IF(C172&lt;&gt;"",_xll.RssMarket(C172,"高値"),"")</f>
        <v/>
      </c>
      <c r="I172" s="169" t="str">
        <f>IF(C172&lt;&gt;"",_xll.RssMarket(C172,"安値"),"")</f>
        <v/>
      </c>
      <c r="J172" s="169" t="str">
        <f>IF(C172&lt;&gt;"",_xll.RssMarket(C172,"出来高"),"")</f>
        <v/>
      </c>
      <c r="K172" s="169" t="str">
        <f>IF(C172&lt;&gt;"",_xll.RssMarket(C172,"年初来高値"),"")</f>
        <v/>
      </c>
      <c r="L172" s="170" t="str">
        <f t="shared" si="34"/>
        <v/>
      </c>
      <c r="M172" s="169">
        <f>IF(C172&lt;&gt;"",IFERROR(AVERAGE(出来高!E66:I66),""),"")</f>
        <v>7236820</v>
      </c>
      <c r="N172" s="169">
        <f>IF(C172&lt;&gt;"",IFERROR(AVERAGE(出来高!E66:AC66),""),"")</f>
        <v>7324432</v>
      </c>
      <c r="O172" s="171" t="str">
        <f t="shared" si="35"/>
        <v/>
      </c>
      <c r="P172" s="166" t="str">
        <f t="shared" si="36"/>
        <v/>
      </c>
      <c r="Q172" s="166" t="str">
        <f t="shared" si="37"/>
        <v/>
      </c>
      <c r="R172" s="169" t="str">
        <f t="shared" si="44"/>
        <v/>
      </c>
      <c r="S172" s="169" t="str">
        <f t="shared" si="45"/>
        <v/>
      </c>
      <c r="T172" s="166">
        <f t="shared" si="38"/>
        <v>0</v>
      </c>
      <c r="U172" s="166" t="str">
        <f t="shared" si="46"/>
        <v>除外</v>
      </c>
      <c r="V172" s="166" t="str">
        <f t="shared" si="39"/>
        <v/>
      </c>
      <c r="W172" s="172">
        <f t="array" ref="W172">IF(C172&lt;&gt;"",IFERROR(100-100/(1+SUMPRODUCT((終値!F66:R66&gt;終値!G66:S66)*( 終値!F66:R66-終値!G66:S66))/SUMPRODUCT((終値!F66:R66&lt;終値!G66:S66)*(終値!G66:S66-終値!F66:R66))),50),"")</f>
        <v>59.775524981897178</v>
      </c>
      <c r="X172" s="173">
        <f>IF(C172&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30.035104024457723</v>
      </c>
      <c r="Y172" s="1" t="e">
        <f>IF(T172="","",IF(銘柄管理!$F$5="下落▼",IF(AND(AD172="パーフェクト▲",OR(AE172="25日線押し目●",AE172="5日線押し目○")),"★逆張り候補",IF(AND(AD172="上昇トレンド▲",OR(AE172="25日線押し目●",AE172="5日線押し目○")),"○逆張り候補",IF(W172&lt;=30,IF(Z172&gt;0,"◎反発確認",IF(Z172&lt;-5,"△要注意・様子見","△売られ過ぎ注目")),"相場下落・見送り"))),IF(AND(T172&gt;=12,AD172="パーフェクト▲"),"★強い買い",IF(AND(T172&gt;=12,AD172="上昇トレンド▲"),"★強い買い",IF(AND(T172&gt;=8,OR(AE172="25日線押し目●",AE172="5日線押し目○")),"◎押し目買い",IF(T172&gt;=10,"○買い候補",IF(T172&gt;=6,"△注目",IF(T172&gt;=3,"様子見","見送り"))))))))</f>
        <v>#VALUE!</v>
      </c>
      <c r="Z172" s="174" t="str">
        <f t="shared" si="47"/>
        <v/>
      </c>
      <c r="AA172" s="166" t="str">
        <f t="shared" si="48"/>
        <v/>
      </c>
      <c r="AB172" s="406">
        <f>IF(C172="","",IFERROR(((終値!E174*0.333)+(終値!F174*0.222)+(終値!G174*0.148)+(終値!H174*0.099)+(終値!I174*0.066)+(終値!J174*0.044)+(終値!K174*0.029)+(終値!L174*0.019)+(終値!M174*0.013)+(終値!N174*0.009))/(0.333+0.222+0.148+0.099+0.066+0.044+0.029+0.019+0.013+0.009),""))</f>
        <v>3800.6629327902219</v>
      </c>
      <c r="AC172" s="406">
        <f>IF(C172="","",IFERROR(SUMPRODUCT((終値!E174:AC174),({0.077,0.071,0.065,0.06,0.055,0.051,0.047,0.043,0.039,0.036,0.033,0.031,0.028,0.026,0.024,0.022,0.02,0.018,0.017,0.016,0.014,0.013,0.012,0.011,0.01}))/SUM({0.077,0.071,0.065,0.06,0.055,0.051,0.047,0.043,0.039,0.036,0.033,0.031,0.028,0.026,0.024,0.022,0.02,0.018,0.017,0.016,0.014,0.013,0.012,0.011,0.01}),""))</f>
        <v>3578.5530393325357</v>
      </c>
      <c r="AD172" s="407" t="str">
        <f t="shared" si="49"/>
        <v>パーフェクト▲</v>
      </c>
      <c r="AE172" s="407" t="e">
        <f t="shared" si="50"/>
        <v>#VALUE!</v>
      </c>
      <c r="AF172" s="368">
        <f t="array" ref="AF172">IF(C172="","",IFERROR((INDEX(終値!$E:$E,MATCH(TEXT(C172,"0"),終値!$A:$A,0))-INDEX(終値!$E:$CZ,MATCH(TEXT(C172,"0"),終値!$A:$A,0),$AL$2))/INDEX(終値!$E:$CZ,MATCH(TEXT(C172,"0"),終値!$A:$A,0),$AL$2)*100,""))</f>
        <v>4.2838408859099522</v>
      </c>
      <c r="AG172" s="368">
        <f t="array" ref="AG172">IFERROR((終値!$E$5-INDEX(終値!$E$5:$CZ$5,1,$AL$2))/INDEX(終値!$E$5:$CZ$5,1,$AL$2)*100,"")</f>
        <v>2.31989243802786</v>
      </c>
      <c r="AH172" s="369">
        <f t="shared" si="42"/>
        <v>1.9639484478820921</v>
      </c>
      <c r="AI172" s="367">
        <f t="shared" si="43"/>
        <v>1</v>
      </c>
    </row>
    <row r="173" spans="1:35" ht="18" customHeight="1">
      <c r="A173" s="166" t="str">
        <f>IF(銘柄管理!B96&lt;&gt;"",HYPERLINK("https://kabutan.jp/stock/?code="&amp;銘柄管理!B96,"株探"),"")</f>
        <v>株探</v>
      </c>
      <c r="B173" s="167"/>
      <c r="C173" s="168">
        <f>IF(銘柄管理!B96="","",銘柄管理!B96)</f>
        <v>4062</v>
      </c>
      <c r="D173" s="106" t="str">
        <f>IF(銘柄管理!C96="","",銘柄管理!C96)</f>
        <v/>
      </c>
      <c r="E173" s="169" t="str">
        <f>IF(C173&lt;&gt;"",_xll.RssMarket(C173,"現在値"),"")</f>
        <v/>
      </c>
      <c r="F173" s="169" t="str">
        <f>IF(C173&lt;&gt;"",_xll.RssMarket(C173,"始値"),"")</f>
        <v/>
      </c>
      <c r="G173" s="168">
        <f>IF(C173&lt;&gt;"",終値!F96,"")</f>
        <v>19340</v>
      </c>
      <c r="H173" s="169" t="str">
        <f>IF(C173&lt;&gt;"",_xll.RssMarket(C173,"高値"),"")</f>
        <v/>
      </c>
      <c r="I173" s="169" t="str">
        <f>IF(C173&lt;&gt;"",_xll.RssMarket(C173,"安値"),"")</f>
        <v/>
      </c>
      <c r="J173" s="169" t="str">
        <f>IF(C173&lt;&gt;"",_xll.RssMarket(C173,"出来高"),"")</f>
        <v/>
      </c>
      <c r="K173" s="169" t="str">
        <f>IF(C173&lt;&gt;"",_xll.RssMarket(C173,"年初来高値"),"")</f>
        <v/>
      </c>
      <c r="L173" s="170" t="str">
        <f t="shared" si="34"/>
        <v/>
      </c>
      <c r="M173" s="169">
        <f>IF(C173&lt;&gt;"",IFERROR(AVERAGE(出来高!E96:I96),""),"")</f>
        <v>9024960</v>
      </c>
      <c r="N173" s="169">
        <f>IF(C173&lt;&gt;"",IFERROR(AVERAGE(出来高!E96:AC96),""),"")</f>
        <v>9269872</v>
      </c>
      <c r="O173" s="171" t="str">
        <f t="shared" si="35"/>
        <v/>
      </c>
      <c r="P173" s="166" t="str">
        <f t="shared" si="36"/>
        <v/>
      </c>
      <c r="Q173" s="166" t="str">
        <f t="shared" si="37"/>
        <v/>
      </c>
      <c r="R173" s="169" t="str">
        <f t="shared" si="44"/>
        <v/>
      </c>
      <c r="S173" s="169" t="str">
        <f t="shared" si="45"/>
        <v/>
      </c>
      <c r="T173" s="166">
        <f t="shared" si="38"/>
        <v>0</v>
      </c>
      <c r="U173" s="166" t="str">
        <f t="shared" si="46"/>
        <v>除外</v>
      </c>
      <c r="V173" s="166" t="str">
        <f t="shared" si="39"/>
        <v/>
      </c>
      <c r="W173" s="172">
        <f t="array" ref="W173">IF(C173&lt;&gt;"",IFERROR(100-100/(1+SUMPRODUCT((終値!F96:R96&gt;終値!G96:S96)*( 終値!F96:R96-終値!G96:S96))/SUMPRODUCT((終値!F96:R96&lt;終値!G96:S96)*(終値!G96:S96-終値!F96:R96))),50),"")</f>
        <v>33.297491039426532</v>
      </c>
      <c r="X173" s="173">
        <f>IF(C173&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-798.32681231814058</v>
      </c>
      <c r="Y173" s="1" t="e">
        <f>IF(T173="","",IF(銘柄管理!$F$5="下落▼",IF(AND(AD173="パーフェクト▲",OR(AE173="25日線押し目●",AE173="5日線押し目○")),"★逆張り候補",IF(AND(AD173="上昇トレンド▲",OR(AE173="25日線押し目●",AE173="5日線押し目○")),"○逆張り候補",IF(W173&lt;=30,IF(Z173&gt;0,"◎反発確認",IF(Z173&lt;-5,"△要注意・様子見","△売られ過ぎ注目")),"相場下落・見送り"))),IF(AND(T173&gt;=12,AD173="パーフェクト▲"),"★強い買い",IF(AND(T173&gt;=12,AD173="上昇トレンド▲"),"★強い買い",IF(AND(T173&gt;=8,OR(AE173="25日線押し目●",AE173="5日線押し目○")),"◎押し目買い",IF(T173&gt;=10,"○買い候補",IF(T173&gt;=6,"△注目",IF(T173&gt;=3,"様子見","見送り"))))))))</f>
        <v>#VALUE!</v>
      </c>
      <c r="Z173" s="174" t="str">
        <f t="shared" si="47"/>
        <v/>
      </c>
      <c r="AA173" s="166" t="str">
        <f t="shared" si="48"/>
        <v/>
      </c>
      <c r="AB173" s="408">
        <f>IF(C173="","",IFERROR(((終値!E175*0.333)+(終値!F175*0.222)+(終値!G175*0.148)+(終値!H175*0.099)+(終値!I175*0.066)+(終値!J175*0.044)+(終値!K175*0.029)+(終値!L175*0.019)+(終値!M175*0.013)+(終値!N175*0.009))/(0.333+0.222+0.148+0.099+0.066+0.044+0.029+0.019+0.013+0.009),""))</f>
        <v>6144.6751527494916</v>
      </c>
      <c r="AC173" s="408">
        <f>IF(C173="","",IFERROR(SUMPRODUCT((終値!E175:AC175),({0.077,0.071,0.065,0.06,0.055,0.051,0.047,0.043,0.039,0.036,0.033,0.031,0.028,0.026,0.024,0.022,0.02,0.018,0.017,0.016,0.014,0.013,0.012,0.011,0.01}))/SUM({0.077,0.071,0.065,0.06,0.055,0.051,0.047,0.043,0.039,0.036,0.033,0.031,0.028,0.026,0.024,0.022,0.02,0.018,0.017,0.016,0.014,0.013,0.012,0.011,0.01}),""))</f>
        <v>6407.2276519666248</v>
      </c>
      <c r="AD173" s="409" t="str">
        <f t="shared" si="49"/>
        <v>上昇トレンド▲</v>
      </c>
      <c r="AE173" s="409" t="e">
        <f t="shared" si="50"/>
        <v>#VALUE!</v>
      </c>
      <c r="AF173" s="368">
        <f t="array" ref="AF173">IF(C173="","",IFERROR((INDEX(終値!$E:$E,MATCH(TEXT(C173,"0"),終値!$A:$A,0))-INDEX(終値!$E:$CZ,MATCH(TEXT(C173,"0"),終値!$A:$A,0),$AL$2))/INDEX(終値!$E:$CZ,MATCH(TEXT(C173,"0"),終値!$A:$A,0),$AL$2)*100,""))</f>
        <v>-9.8563218390804597</v>
      </c>
      <c r="AG173" s="368">
        <f t="array" ref="AG173">IFERROR((終値!$E$5-INDEX(終値!$E$5:$CZ$5,1,$AL$2))/INDEX(終値!$E$5:$CZ$5,1,$AL$2)*100,"")</f>
        <v>2.31989243802786</v>
      </c>
      <c r="AH173" s="369">
        <f t="shared" si="42"/>
        <v>-12.17621427710832</v>
      </c>
      <c r="AI173" s="367">
        <f t="shared" si="43"/>
        <v>-2</v>
      </c>
    </row>
    <row r="174" spans="1:35" ht="18" customHeight="1">
      <c r="A174" s="166" t="str">
        <f>IF(銘柄管理!B61&lt;&gt;"",HYPERLINK("https://kabutan.jp/stock/?code="&amp;銘柄管理!B61,"株探"),"")</f>
        <v>株探</v>
      </c>
      <c r="B174" s="167"/>
      <c r="C174" s="168">
        <f>IF(銘柄管理!B61="","",銘柄管理!B61)</f>
        <v>4045</v>
      </c>
      <c r="D174" s="106" t="str">
        <f>IF(銘柄管理!C61="","",銘柄管理!C61)</f>
        <v/>
      </c>
      <c r="E174" s="169" t="str">
        <f>IF(C174&lt;&gt;"",_xll.RssMarket(C174,"現在値"),"")</f>
        <v/>
      </c>
      <c r="F174" s="169" t="str">
        <f>IF(C174&lt;&gt;"",_xll.RssMarket(C174,"始値"),"")</f>
        <v/>
      </c>
      <c r="G174" s="168">
        <f>IF(C174&lt;&gt;"",終値!F61,"")</f>
        <v>1745</v>
      </c>
      <c r="H174" s="169" t="str">
        <f>IF(C174&lt;&gt;"",_xll.RssMarket(C174,"高値"),"")</f>
        <v/>
      </c>
      <c r="I174" s="169" t="str">
        <f>IF(C174&lt;&gt;"",_xll.RssMarket(C174,"安値"),"")</f>
        <v/>
      </c>
      <c r="J174" s="169" t="str">
        <f>IF(C174&lt;&gt;"",_xll.RssMarket(C174,"出来高"),"")</f>
        <v/>
      </c>
      <c r="K174" s="169" t="str">
        <f>IF(C174&lt;&gt;"",_xll.RssMarket(C174,"年初来高値"),"")</f>
        <v/>
      </c>
      <c r="L174" s="170" t="str">
        <f t="shared" si="34"/>
        <v/>
      </c>
      <c r="M174" s="169">
        <f>IF(C174&lt;&gt;"",IFERROR(AVERAGE(出来高!E61:I61),""),"")</f>
        <v>217560</v>
      </c>
      <c r="N174" s="169">
        <f>IF(C174&lt;&gt;"",IFERROR(AVERAGE(出来高!E61:AC61),""),"")</f>
        <v>258704</v>
      </c>
      <c r="O174" s="171" t="str">
        <f t="shared" si="35"/>
        <v/>
      </c>
      <c r="P174" s="166" t="str">
        <f t="shared" si="36"/>
        <v/>
      </c>
      <c r="Q174" s="166" t="str">
        <f t="shared" si="37"/>
        <v/>
      </c>
      <c r="R174" s="169" t="str">
        <f t="shared" si="44"/>
        <v/>
      </c>
      <c r="S174" s="169" t="str">
        <f t="shared" si="45"/>
        <v/>
      </c>
      <c r="T174" s="166">
        <f t="shared" si="38"/>
        <v>0</v>
      </c>
      <c r="U174" s="166" t="str">
        <f t="shared" si="46"/>
        <v>除外</v>
      </c>
      <c r="V174" s="166" t="str">
        <f t="shared" si="39"/>
        <v/>
      </c>
      <c r="W174" s="172">
        <f t="array" ref="W174">IF(C174&lt;&gt;"",IFERROR(100-100/(1+SUMPRODUCT((終値!F61:R61&gt;終値!G61:S61)*( 終値!F61:R61-終値!G61:S61))/SUMPRODUCT((終値!F61:R61&lt;終値!G61:S61)*(終値!G61:S61-終値!F61:R61))),50),"")</f>
        <v>41.457858769931669</v>
      </c>
      <c r="X174" s="173">
        <f>IF(C174&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-3.3560384733259525</v>
      </c>
      <c r="Y174" s="1" t="e">
        <f>IF(T174="","",IF(銘柄管理!$F$5="下落▼",IF(AND(AD174="パーフェクト▲",OR(AE174="25日線押し目●",AE174="5日線押し目○")),"★逆張り候補",IF(AND(AD174="上昇トレンド▲",OR(AE174="25日線押し目●",AE174="5日線押し目○")),"○逆張り候補",IF(W174&lt;=30,IF(Z174&gt;0,"◎反発確認",IF(Z174&lt;-5,"△要注意・様子見","△売られ過ぎ注目")),"相場下落・見送り"))),IF(AND(T174&gt;=12,AD174="パーフェクト▲"),"★強い買い",IF(AND(T174&gt;=12,AD174="上昇トレンド▲"),"★強い買い",IF(AND(T174&gt;=8,OR(AE174="25日線押し目●",AE174="5日線押し目○")),"◎押し目買い",IF(T174&gt;=10,"○買い候補",IF(T174&gt;=6,"△注目",IF(T174&gt;=3,"様子見","見送り"))))))))</f>
        <v>#VALUE!</v>
      </c>
      <c r="Z174" s="174" t="str">
        <f t="shared" si="47"/>
        <v/>
      </c>
      <c r="AA174" s="166" t="str">
        <f t="shared" si="48"/>
        <v/>
      </c>
      <c r="AB174" s="406">
        <f>IF(C174="","",IFERROR(((終値!E176*0.333)+(終値!F176*0.222)+(終値!G176*0.148)+(終値!H176*0.099)+(終値!I176*0.066)+(終値!J176*0.044)+(終値!K176*0.029)+(終値!L176*0.019)+(終値!M176*0.013)+(終値!N176*0.009))/(0.333+0.222+0.148+0.099+0.066+0.044+0.029+0.019+0.013+0.009),""))</f>
        <v>2543.9979633401222</v>
      </c>
      <c r="AC174" s="406">
        <f>IF(C174="","",IFERROR(SUMPRODUCT((終値!E176:AC176),({0.077,0.071,0.065,0.06,0.055,0.051,0.047,0.043,0.039,0.036,0.033,0.031,0.028,0.026,0.024,0.022,0.02,0.018,0.017,0.016,0.014,0.013,0.012,0.011,0.01}))/SUM({0.077,0.071,0.065,0.06,0.055,0.051,0.047,0.043,0.039,0.036,0.033,0.031,0.028,0.026,0.024,0.022,0.02,0.018,0.017,0.016,0.014,0.013,0.012,0.011,0.01}),""))</f>
        <v>2633.5637663885564</v>
      </c>
      <c r="AD174" s="407" t="str">
        <f t="shared" si="49"/>
        <v>上昇トレンド▲</v>
      </c>
      <c r="AE174" s="407" t="e">
        <f t="shared" si="50"/>
        <v>#VALUE!</v>
      </c>
      <c r="AF174" s="368">
        <f t="array" ref="AF174">IF(C174="","",IFERROR((INDEX(終値!$E:$E,MATCH(TEXT(C174,"0"),終値!$A:$A,0))-INDEX(終値!$E:$CZ,MATCH(TEXT(C174,"0"),終値!$A:$A,0),$AL$2))/INDEX(終値!$E:$CZ,MATCH(TEXT(C174,"0"),終値!$A:$A,0),$AL$2)*100,""))</f>
        <v>0.20348837209302326</v>
      </c>
      <c r="AG174" s="368">
        <f t="array" ref="AG174">IFERROR((終値!$E$5-INDEX(終値!$E$5:$CZ$5,1,$AL$2))/INDEX(終値!$E$5:$CZ$5,1,$AL$2)*100,"")</f>
        <v>2.31989243802786</v>
      </c>
      <c r="AH174" s="369">
        <f t="shared" si="42"/>
        <v>-2.1164040659348369</v>
      </c>
      <c r="AI174" s="367">
        <f t="shared" si="43"/>
        <v>-1</v>
      </c>
    </row>
    <row r="175" spans="1:35" ht="18" customHeight="1">
      <c r="A175" s="166" t="str">
        <f>IF(銘柄管理!B95&lt;&gt;"",HYPERLINK("https://kabutan.jp/stock/?code="&amp;銘柄管理!B95,"株探"),"")</f>
        <v>株探</v>
      </c>
      <c r="B175" s="167"/>
      <c r="C175" s="168">
        <f>IF(銘柄管理!B95="","",銘柄管理!B95)</f>
        <v>4008</v>
      </c>
      <c r="D175" s="106" t="str">
        <f>IF(銘柄管理!C95="","",銘柄管理!C95)</f>
        <v/>
      </c>
      <c r="E175" s="169" t="str">
        <f>IF(C175&lt;&gt;"",_xll.RssMarket(C175,"現在値"),"")</f>
        <v/>
      </c>
      <c r="F175" s="169" t="str">
        <f>IF(C175&lt;&gt;"",_xll.RssMarket(C175,"始値"),"")</f>
        <v/>
      </c>
      <c r="G175" s="168">
        <f>IF(C175&lt;&gt;"",終値!F95,"")</f>
        <v>1314</v>
      </c>
      <c r="H175" s="169" t="str">
        <f>IF(C175&lt;&gt;"",_xll.RssMarket(C175,"高値"),"")</f>
        <v/>
      </c>
      <c r="I175" s="169" t="str">
        <f>IF(C175&lt;&gt;"",_xll.RssMarket(C175,"安値"),"")</f>
        <v/>
      </c>
      <c r="J175" s="169" t="str">
        <f>IF(C175&lt;&gt;"",_xll.RssMarket(C175,"出来高"),"")</f>
        <v/>
      </c>
      <c r="K175" s="169" t="str">
        <f>IF(C175&lt;&gt;"",_xll.RssMarket(C175,"年初来高値"),"")</f>
        <v/>
      </c>
      <c r="L175" s="170" t="str">
        <f t="shared" si="34"/>
        <v/>
      </c>
      <c r="M175" s="169">
        <f>IF(C175&lt;&gt;"",IFERROR(AVERAGE(出来高!E95:I95),""),"")</f>
        <v>157600</v>
      </c>
      <c r="N175" s="169">
        <f>IF(C175&lt;&gt;"",IFERROR(AVERAGE(出来高!E95:AC95),""),"")</f>
        <v>175152</v>
      </c>
      <c r="O175" s="171" t="str">
        <f t="shared" si="35"/>
        <v/>
      </c>
      <c r="P175" s="166" t="str">
        <f t="shared" si="36"/>
        <v/>
      </c>
      <c r="Q175" s="166" t="str">
        <f t="shared" si="37"/>
        <v/>
      </c>
      <c r="R175" s="169" t="str">
        <f t="shared" si="44"/>
        <v/>
      </c>
      <c r="S175" s="169" t="str">
        <f t="shared" si="45"/>
        <v/>
      </c>
      <c r="T175" s="166">
        <f t="shared" si="38"/>
        <v>0</v>
      </c>
      <c r="U175" s="166" t="str">
        <f t="shared" si="46"/>
        <v>除外</v>
      </c>
      <c r="V175" s="166" t="str">
        <f t="shared" si="39"/>
        <v/>
      </c>
      <c r="W175" s="172">
        <f t="array" ref="W175">IF(C175&lt;&gt;"",IFERROR(100-100/(1+SUMPRODUCT((終値!F95:R95&gt;終値!G95:S95)*( 終値!F95:R95-終値!G95:S95))/SUMPRODUCT((終値!F95:R95&lt;終値!G95:S95)*(終値!G95:S95-終値!F95:R95))),50),"")</f>
        <v>53.795379537953799</v>
      </c>
      <c r="X175" s="173">
        <f>IF(C175&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-0.88402676336045261</v>
      </c>
      <c r="Y175" s="1" t="e">
        <f>IF(T175="","",IF(銘柄管理!$F$5="下落▼",IF(AND(AD175="パーフェクト▲",OR(AE175="25日線押し目●",AE175="5日線押し目○")),"★逆張り候補",IF(AND(AD175="上昇トレンド▲",OR(AE175="25日線押し目●",AE175="5日線押し目○")),"○逆張り候補",IF(W175&lt;=30,IF(Z175&gt;0,"◎反発確認",IF(Z175&lt;-5,"△要注意・様子見","△売られ過ぎ注目")),"相場下落・見送り"))),IF(AND(T175&gt;=12,AD175="パーフェクト▲"),"★強い買い",IF(AND(T175&gt;=12,AD175="上昇トレンド▲"),"★強い買い",IF(AND(T175&gt;=8,OR(AE175="25日線押し目●",AE175="5日線押し目○")),"◎押し目買い",IF(T175&gt;=10,"○買い候補",IF(T175&gt;=6,"△注目",IF(T175&gt;=3,"様子見","見送り"))))))))</f>
        <v>#VALUE!</v>
      </c>
      <c r="Z175" s="174" t="str">
        <f t="shared" si="47"/>
        <v/>
      </c>
      <c r="AA175" s="166" t="str">
        <f t="shared" si="48"/>
        <v/>
      </c>
      <c r="AB175" s="408">
        <f>IF(C175="","",IFERROR(((終値!E177*0.333)+(終値!F177*0.222)+(終値!G177*0.148)+(終値!H177*0.099)+(終値!I177*0.066)+(終値!J177*0.044)+(終値!K177*0.029)+(終値!L177*0.019)+(終値!M177*0.013)+(終値!N177*0.009))/(0.333+0.222+0.148+0.099+0.066+0.044+0.029+0.019+0.013+0.009),""))</f>
        <v>1497.3329938900201</v>
      </c>
      <c r="AC175" s="408">
        <f>IF(C175="","",IFERROR(SUMPRODUCT((終値!E177:AC177),({0.077,0.071,0.065,0.06,0.055,0.051,0.047,0.043,0.039,0.036,0.033,0.031,0.028,0.026,0.024,0.022,0.02,0.018,0.017,0.016,0.014,0.013,0.012,0.011,0.01}))/SUM({0.077,0.071,0.065,0.06,0.055,0.051,0.047,0.043,0.039,0.036,0.033,0.031,0.028,0.026,0.024,0.022,0.02,0.018,0.017,0.016,0.014,0.013,0.012,0.011,0.01}),""))</f>
        <v>4639.3384982121552</v>
      </c>
      <c r="AD175" s="409" t="str">
        <f t="shared" si="49"/>
        <v>上昇トレンド▲</v>
      </c>
      <c r="AE175" s="409" t="e">
        <f t="shared" si="50"/>
        <v>#VALUE!</v>
      </c>
      <c r="AF175" s="368">
        <f t="array" ref="AF175">IF(C175="","",IFERROR((INDEX(終値!$E:$E,MATCH(TEXT(C175,"0"),終値!$A:$A,0))-INDEX(終値!$E:$CZ,MATCH(TEXT(C175,"0"),終値!$A:$A,0),$AL$2))/INDEX(終値!$E:$CZ,MATCH(TEXT(C175,"0"),終値!$A:$A,0),$AL$2)*100,""))</f>
        <v>1.1164274322169059</v>
      </c>
      <c r="AG175" s="368">
        <f t="array" ref="AG175">IFERROR((終値!$E$5-INDEX(終値!$E$5:$CZ$5,1,$AL$2))/INDEX(終値!$E$5:$CZ$5,1,$AL$2)*100,"")</f>
        <v>2.31989243802786</v>
      </c>
      <c r="AH175" s="369">
        <f t="shared" si="42"/>
        <v>-1.2034650058109542</v>
      </c>
      <c r="AI175" s="367">
        <f t="shared" si="43"/>
        <v>-1</v>
      </c>
    </row>
    <row r="176" spans="1:35" ht="18" customHeight="1">
      <c r="A176" s="166" t="str">
        <f>IF(銘柄管理!B48&lt;&gt;"",HYPERLINK("https://kabutan.jp/stock/?code="&amp;銘柄管理!B48,"株探"),"")</f>
        <v>株探</v>
      </c>
      <c r="B176" s="167"/>
      <c r="C176" s="168">
        <f>IF(銘柄管理!B48="","",銘柄管理!B48)</f>
        <v>3941</v>
      </c>
      <c r="D176" s="106" t="str">
        <f>IF(銘柄管理!C48="","",銘柄管理!C48)</f>
        <v/>
      </c>
      <c r="E176" s="169" t="str">
        <f>IF(C176&lt;&gt;"",_xll.RssMarket(C176,"現在値"),"")</f>
        <v/>
      </c>
      <c r="F176" s="169" t="str">
        <f>IF(C176&lt;&gt;"",_xll.RssMarket(C176,"始値"),"")</f>
        <v/>
      </c>
      <c r="G176" s="168">
        <f>IF(C176&lt;&gt;"",終値!F48,"")</f>
        <v>1435.5</v>
      </c>
      <c r="H176" s="169" t="str">
        <f>IF(C176&lt;&gt;"",_xll.RssMarket(C176,"高値"),"")</f>
        <v/>
      </c>
      <c r="I176" s="169" t="str">
        <f>IF(C176&lt;&gt;"",_xll.RssMarket(C176,"安値"),"")</f>
        <v/>
      </c>
      <c r="J176" s="169" t="str">
        <f>IF(C176&lt;&gt;"",_xll.RssMarket(C176,"出来高"),"")</f>
        <v/>
      </c>
      <c r="K176" s="169" t="str">
        <f>IF(C176&lt;&gt;"",_xll.RssMarket(C176,"年初来高値"),"")</f>
        <v/>
      </c>
      <c r="L176" s="170" t="str">
        <f t="shared" si="34"/>
        <v/>
      </c>
      <c r="M176" s="169">
        <f>IF(C176&lt;&gt;"",IFERROR(AVERAGE(出来高!E48:I48),""),"")</f>
        <v>869820</v>
      </c>
      <c r="N176" s="169">
        <f>IF(C176&lt;&gt;"",IFERROR(AVERAGE(出来高!E48:AC48),""),"")</f>
        <v>861332</v>
      </c>
      <c r="O176" s="171" t="str">
        <f t="shared" si="35"/>
        <v/>
      </c>
      <c r="P176" s="166" t="str">
        <f t="shared" si="36"/>
        <v/>
      </c>
      <c r="Q176" s="166" t="str">
        <f t="shared" si="37"/>
        <v/>
      </c>
      <c r="R176" s="169" t="str">
        <f t="shared" si="44"/>
        <v/>
      </c>
      <c r="S176" s="169" t="str">
        <f t="shared" si="45"/>
        <v/>
      </c>
      <c r="T176" s="166">
        <f t="shared" si="38"/>
        <v>0</v>
      </c>
      <c r="U176" s="166" t="str">
        <f t="shared" si="46"/>
        <v>除外</v>
      </c>
      <c r="V176" s="166" t="str">
        <f t="shared" si="39"/>
        <v/>
      </c>
      <c r="W176" s="172">
        <f t="array" ref="W176">IF(C176&lt;&gt;"",IFERROR(100-100/(1+SUMPRODUCT((終値!F48:R48&gt;終値!G48:S48)*( 終値!F48:R48-終値!G48:S48))/SUMPRODUCT((終値!F48:R48&lt;終値!G48:S48)*(終値!G48:S48-終値!F48:R48))),50),"")</f>
        <v>57.777777777777771</v>
      </c>
      <c r="X176" s="173">
        <f>IF(C176&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1.83661274722499</v>
      </c>
      <c r="Y176" s="1" t="e">
        <f>IF(T176="","",IF(銘柄管理!$F$5="下落▼",IF(AND(AD176="パーフェクト▲",OR(AE176="25日線押し目●",AE176="5日線押し目○")),"★逆張り候補",IF(AND(AD176="上昇トレンド▲",OR(AE176="25日線押し目●",AE176="5日線押し目○")),"○逆張り候補",IF(W176&lt;=30,IF(Z176&gt;0,"◎反発確認",IF(Z176&lt;-5,"△要注意・様子見","△売られ過ぎ注目")),"相場下落・見送り"))),IF(AND(T176&gt;=12,AD176="パーフェクト▲"),"★強い買い",IF(AND(T176&gt;=12,AD176="上昇トレンド▲"),"★強い買い",IF(AND(T176&gt;=8,OR(AE176="25日線押し目●",AE176="5日線押し目○")),"◎押し目買い",IF(T176&gt;=10,"○買い候補",IF(T176&gt;=6,"△注目",IF(T176&gt;=3,"様子見","見送り"))))))))</f>
        <v>#VALUE!</v>
      </c>
      <c r="Z176" s="174" t="str">
        <f t="shared" si="47"/>
        <v/>
      </c>
      <c r="AA176" s="166" t="str">
        <f t="shared" si="48"/>
        <v/>
      </c>
      <c r="AB176" s="406">
        <f>IF(C176="","",IFERROR(((終値!E178*0.333)+(終値!F178*0.222)+(終値!G178*0.148)+(終値!H178*0.099)+(終値!I178*0.066)+(終値!J178*0.044)+(終値!K178*0.029)+(終値!L178*0.019)+(終値!M178*0.013)+(終値!N178*0.009))/(0.333+0.222+0.148+0.099+0.066+0.044+0.029+0.019+0.013+0.009),""))</f>
        <v>3763.50916496945</v>
      </c>
      <c r="AC176" s="406">
        <f>IF(C176="","",IFERROR(SUMPRODUCT((終値!E178:AC178),({0.077,0.071,0.065,0.06,0.055,0.051,0.047,0.043,0.039,0.036,0.033,0.031,0.028,0.026,0.024,0.022,0.02,0.018,0.017,0.016,0.014,0.013,0.012,0.011,0.01}))/SUM({0.077,0.071,0.065,0.06,0.055,0.051,0.047,0.043,0.039,0.036,0.033,0.031,0.028,0.026,0.024,0.022,0.02,0.018,0.017,0.016,0.014,0.013,0.012,0.011,0.01}),""))</f>
        <v>3697.9106078665059</v>
      </c>
      <c r="AD176" s="407" t="str">
        <f t="shared" si="49"/>
        <v>パーフェクト▲</v>
      </c>
      <c r="AE176" s="407" t="e">
        <f t="shared" si="50"/>
        <v>#VALUE!</v>
      </c>
      <c r="AF176" s="368">
        <f t="array" ref="AF176">IF(C176="","",IFERROR((INDEX(終値!$E:$E,MATCH(TEXT(C176,"0"),終値!$A:$A,0))-INDEX(終値!$E:$CZ,MATCH(TEXT(C176,"0"),終値!$A:$A,0),$AL$2))/INDEX(終値!$E:$CZ,MATCH(TEXT(C176,"0"),終値!$A:$A,0),$AL$2)*100,""))</f>
        <v>3.8475499092558985</v>
      </c>
      <c r="AG176" s="368">
        <f t="array" ref="AG176">IFERROR((終値!$E$5-INDEX(終値!$E$5:$CZ$5,1,$AL$2))/INDEX(終値!$E$5:$CZ$5,1,$AL$2)*100,"")</f>
        <v>2.31989243802786</v>
      </c>
      <c r="AH176" s="369">
        <f t="shared" si="42"/>
        <v>1.5276574712280384</v>
      </c>
      <c r="AI176" s="367">
        <f t="shared" si="43"/>
        <v>1</v>
      </c>
    </row>
    <row r="177" spans="1:35" ht="18" customHeight="1">
      <c r="A177" s="166" t="str">
        <f>IF(銘柄管理!B159&lt;&gt;"",HYPERLINK("https://kabutan.jp/stock/?code="&amp;銘柄管理!B159,"株探"),"")</f>
        <v>株探</v>
      </c>
      <c r="B177" s="167"/>
      <c r="C177" s="168">
        <f>IF(銘柄管理!B159="","",銘柄管理!B159)</f>
        <v>3891</v>
      </c>
      <c r="D177" s="106" t="str">
        <f>IF(銘柄管理!C159="","",銘柄管理!C159)</f>
        <v/>
      </c>
      <c r="E177" s="169" t="str">
        <f>IF(C177&lt;&gt;"",_xll.RssMarket(C177,"現在値"),"")</f>
        <v/>
      </c>
      <c r="F177" s="169" t="str">
        <f>IF(C177&lt;&gt;"",_xll.RssMarket(C177,"始値"),"")</f>
        <v/>
      </c>
      <c r="G177" s="168">
        <f>IF(C177&lt;&gt;"",終値!F159,"")</f>
        <v>7920</v>
      </c>
      <c r="H177" s="169" t="str">
        <f>IF(C177&lt;&gt;"",_xll.RssMarket(C177,"高値"),"")</f>
        <v/>
      </c>
      <c r="I177" s="169" t="str">
        <f>IF(C177&lt;&gt;"",_xll.RssMarket(C177,"安値"),"")</f>
        <v/>
      </c>
      <c r="J177" s="169" t="str">
        <f>IF(C177&lt;&gt;"",_xll.RssMarket(C177,"出来高"),"")</f>
        <v/>
      </c>
      <c r="K177" s="169" t="str">
        <f>IF(C177&lt;&gt;"",_xll.RssMarket(C177,"年初来高値"),"")</f>
        <v/>
      </c>
      <c r="L177" s="170" t="str">
        <f t="shared" si="34"/>
        <v/>
      </c>
      <c r="M177" s="169">
        <f>IF(C177&lt;&gt;"",IFERROR(AVERAGE(出来高!E159:I159),""),"")</f>
        <v>164180</v>
      </c>
      <c r="N177" s="169">
        <f>IF(C177&lt;&gt;"",IFERROR(AVERAGE(出来高!E159:AC159),""),"")</f>
        <v>240912</v>
      </c>
      <c r="O177" s="171" t="str">
        <f t="shared" si="35"/>
        <v/>
      </c>
      <c r="P177" s="166" t="str">
        <f t="shared" si="36"/>
        <v/>
      </c>
      <c r="Q177" s="166" t="str">
        <f t="shared" si="37"/>
        <v/>
      </c>
      <c r="R177" s="169" t="str">
        <f t="shared" si="44"/>
        <v/>
      </c>
      <c r="S177" s="169" t="str">
        <f t="shared" si="45"/>
        <v/>
      </c>
      <c r="T177" s="166">
        <f t="shared" si="38"/>
        <v>0</v>
      </c>
      <c r="U177" s="166" t="str">
        <f t="shared" si="46"/>
        <v>除外</v>
      </c>
      <c r="V177" s="166" t="str">
        <f t="shared" si="39"/>
        <v/>
      </c>
      <c r="W177" s="172">
        <f t="array" ref="W177">IF(C177&lt;&gt;"",IFERROR(100-100/(1+SUMPRODUCT((終値!F159:R159&gt;終値!G159:S159)*( 終値!F159:R159-終値!G159:S159))/SUMPRODUCT((終値!F159:R159&lt;終値!G159:S159)*(終値!G159:S159-終値!F159:R159))),50),"")</f>
        <v>25.44031311154599</v>
      </c>
      <c r="X177" s="173">
        <f>IF(C177&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-322.84808489127772</v>
      </c>
      <c r="Y177" s="1" t="e">
        <f>IF(T177="","",IF(銘柄管理!$F$5="下落▼",IF(AND(AD177="パーフェクト▲",OR(AE177="25日線押し目●",AE177="5日線押し目○")),"★逆張り候補",IF(AND(AD177="上昇トレンド▲",OR(AE177="25日線押し目●",AE177="5日線押し目○")),"○逆張り候補",IF(W177&lt;=30,IF(Z177&gt;0,"◎反発確認",IF(Z177&lt;-5,"△要注意・様子見","△売られ過ぎ注目")),"相場下落・見送り"))),IF(AND(T177&gt;=12,AD177="パーフェクト▲"),"★強い買い",IF(AND(T177&gt;=12,AD177="上昇トレンド▲"),"★強い買い",IF(AND(T177&gt;=8,OR(AE177="25日線押し目●",AE177="5日線押し目○")),"◎押し目買い",IF(T177&gt;=10,"○買い候補",IF(T177&gt;=6,"△注目",IF(T177&gt;=3,"様子見","見送り"))))))))</f>
        <v>#VALUE!</v>
      </c>
      <c r="Z177" s="174" t="str">
        <f t="shared" si="47"/>
        <v/>
      </c>
      <c r="AA177" s="166" t="str">
        <f t="shared" si="48"/>
        <v/>
      </c>
      <c r="AB177" s="408">
        <f>IF(C177="","",IFERROR(((終値!E179*0.333)+(終値!F179*0.222)+(終値!G179*0.148)+(終値!H179*0.099)+(終値!I179*0.066)+(終値!J179*0.044)+(終値!K179*0.029)+(終値!L179*0.019)+(終値!M179*0.013)+(終値!N179*0.009))/(0.333+0.222+0.148+0.099+0.066+0.044+0.029+0.019+0.013+0.009),""))</f>
        <v>2681.0407331975553</v>
      </c>
      <c r="AC177" s="408">
        <f>IF(C177="","",IFERROR(SUMPRODUCT((終値!E179:AC179),({0.077,0.071,0.065,0.06,0.055,0.051,0.047,0.043,0.039,0.036,0.033,0.031,0.028,0.026,0.024,0.022,0.02,0.018,0.017,0.016,0.014,0.013,0.012,0.011,0.01}))/SUM({0.077,0.071,0.065,0.06,0.055,0.051,0.047,0.043,0.039,0.036,0.033,0.031,0.028,0.026,0.024,0.022,0.02,0.018,0.017,0.016,0.014,0.013,0.012,0.011,0.01}),""))</f>
        <v>2641.9547079856961</v>
      </c>
      <c r="AD177" s="409" t="str">
        <f t="shared" si="49"/>
        <v>パーフェクト▲</v>
      </c>
      <c r="AE177" s="409" t="e">
        <f t="shared" si="50"/>
        <v>#VALUE!</v>
      </c>
      <c r="AF177" s="368">
        <f t="array" ref="AF177">IF(C177="","",IFERROR((INDEX(終値!$E:$E,MATCH(TEXT(C177,"0"),終値!$A:$A,0))-INDEX(終値!$E:$CZ,MATCH(TEXT(C177,"0"),終値!$A:$A,0),$AL$2))/INDEX(終値!$E:$CZ,MATCH(TEXT(C177,"0"),終値!$A:$A,0),$AL$2)*100,""))</f>
        <v>-23.119469026548671</v>
      </c>
      <c r="AG177" s="368">
        <f t="array" ref="AG177">IFERROR((終値!$E$5-INDEX(終値!$E$5:$CZ$5,1,$AL$2))/INDEX(終値!$E$5:$CZ$5,1,$AL$2)*100,"")</f>
        <v>2.31989243802786</v>
      </c>
      <c r="AH177" s="369">
        <f t="shared" si="42"/>
        <v>-25.439361464576532</v>
      </c>
      <c r="AI177" s="367">
        <f t="shared" si="43"/>
        <v>-2</v>
      </c>
    </row>
    <row r="178" spans="1:35" ht="18" customHeight="1">
      <c r="A178" s="166" t="str">
        <f>IF(銘柄管理!B32&lt;&gt;"",HYPERLINK("https://kabutan.jp/stock/?code="&amp;銘柄管理!B32,"株探"),"")</f>
        <v>株探</v>
      </c>
      <c r="B178" s="167"/>
      <c r="C178" s="168">
        <f>IF(銘柄管理!B32="","",銘柄管理!B32)</f>
        <v>3863</v>
      </c>
      <c r="D178" s="106" t="str">
        <f>IF(銘柄管理!C32="","",銘柄管理!C32)</f>
        <v/>
      </c>
      <c r="E178" s="169" t="str">
        <f>IF(C178&lt;&gt;"",_xll.RssMarket(C178,"現在値"),"")</f>
        <v/>
      </c>
      <c r="F178" s="169" t="str">
        <f>IF(C178&lt;&gt;"",_xll.RssMarket(C178,"始値"),"")</f>
        <v/>
      </c>
      <c r="G178" s="168">
        <f>IF(C178&lt;&gt;"",終値!F32,"")</f>
        <v>1403</v>
      </c>
      <c r="H178" s="169" t="str">
        <f>IF(C178&lt;&gt;"",_xll.RssMarket(C178,"高値"),"")</f>
        <v/>
      </c>
      <c r="I178" s="169" t="str">
        <f>IF(C178&lt;&gt;"",_xll.RssMarket(C178,"安値"),"")</f>
        <v/>
      </c>
      <c r="J178" s="169" t="str">
        <f>IF(C178&lt;&gt;"",_xll.RssMarket(C178,"出来高"),"")</f>
        <v/>
      </c>
      <c r="K178" s="169" t="str">
        <f>IF(C178&lt;&gt;"",_xll.RssMarket(C178,"年初来高値"),"")</f>
        <v/>
      </c>
      <c r="L178" s="170" t="str">
        <f t="shared" si="34"/>
        <v/>
      </c>
      <c r="M178" s="169">
        <f>IF(C178&lt;&gt;"",IFERROR(AVERAGE(出来高!E32:I32),""),"")</f>
        <v>668940</v>
      </c>
      <c r="N178" s="169">
        <f>IF(C178&lt;&gt;"",IFERROR(AVERAGE(出来高!E32:AC32),""),"")</f>
        <v>787840</v>
      </c>
      <c r="O178" s="171" t="str">
        <f t="shared" si="35"/>
        <v/>
      </c>
      <c r="P178" s="166" t="str">
        <f t="shared" si="36"/>
        <v/>
      </c>
      <c r="Q178" s="166" t="str">
        <f t="shared" si="37"/>
        <v/>
      </c>
      <c r="R178" s="169" t="str">
        <f t="shared" si="44"/>
        <v/>
      </c>
      <c r="S178" s="169" t="str">
        <f t="shared" si="45"/>
        <v/>
      </c>
      <c r="T178" s="166">
        <f t="shared" si="38"/>
        <v>0</v>
      </c>
      <c r="U178" s="166" t="str">
        <f t="shared" si="46"/>
        <v>除外</v>
      </c>
      <c r="V178" s="166" t="str">
        <f t="shared" si="39"/>
        <v/>
      </c>
      <c r="W178" s="172">
        <f t="array" ref="W178">IF(C178&lt;&gt;"",IFERROR(100-100/(1+SUMPRODUCT((終値!F32:R32&gt;終値!G32:S32)*( 終値!F32:R32-終値!G32:S32))/SUMPRODUCT((終値!F32:R32&lt;終値!G32:S32)*(終値!G32:S32-終値!F32:R32))),50),"")</f>
        <v>83.404255319148945</v>
      </c>
      <c r="X178" s="173">
        <f>IF(C178&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23.220355916080507</v>
      </c>
      <c r="Y178" s="1" t="e">
        <f>IF(T178="","",IF(銘柄管理!$F$5="下落▼",IF(AND(AD178="パーフェクト▲",OR(AE178="25日線押し目●",AE178="5日線押し目○")),"★逆張り候補",IF(AND(AD178="上昇トレンド▲",OR(AE178="25日線押し目●",AE178="5日線押し目○")),"○逆張り候補",IF(W178&lt;=30,IF(Z178&gt;0,"◎反発確認",IF(Z178&lt;-5,"△要注意・様子見","△売られ過ぎ注目")),"相場下落・見送り"))),IF(AND(T178&gt;=12,AD178="パーフェクト▲"),"★強い買い",IF(AND(T178&gt;=12,AD178="上昇トレンド▲"),"★強い買い",IF(AND(T178&gt;=8,OR(AE178="25日線押し目●",AE178="5日線押し目○")),"◎押し目買い",IF(T178&gt;=10,"○買い候補",IF(T178&gt;=6,"△注目",IF(T178&gt;=3,"様子見","見送り"))))))))</f>
        <v>#VALUE!</v>
      </c>
      <c r="Z178" s="174" t="str">
        <f t="shared" si="47"/>
        <v/>
      </c>
      <c r="AA178" s="166" t="str">
        <f t="shared" si="48"/>
        <v/>
      </c>
      <c r="AB178" s="406">
        <f>IF(C178="","",IFERROR(((終値!E180*0.333)+(終値!F180*0.222)+(終値!G180*0.148)+(終値!H180*0.099)+(終値!I180*0.066)+(終値!J180*0.044)+(終値!K180*0.029)+(終値!L180*0.019)+(終値!M180*0.013)+(終値!N180*0.009))/(0.333+0.222+0.148+0.099+0.066+0.044+0.029+0.019+0.013+0.009),""))</f>
        <v>1827.1700610997959</v>
      </c>
      <c r="AC178" s="406">
        <f>IF(C178="","",IFERROR(SUMPRODUCT((終値!E180:AC180),({0.077,0.071,0.065,0.06,0.055,0.051,0.047,0.043,0.039,0.036,0.033,0.031,0.028,0.026,0.024,0.022,0.02,0.018,0.017,0.016,0.014,0.013,0.012,0.011,0.01}))/SUM({0.077,0.071,0.065,0.06,0.055,0.051,0.047,0.043,0.039,0.036,0.033,0.031,0.028,0.026,0.024,0.022,0.02,0.018,0.017,0.016,0.014,0.013,0.012,0.011,0.01}),""))</f>
        <v>1784.88200238379</v>
      </c>
      <c r="AD178" s="407" t="str">
        <f t="shared" si="49"/>
        <v>パーフェクト▲</v>
      </c>
      <c r="AE178" s="407" t="e">
        <f t="shared" si="50"/>
        <v>#VALUE!</v>
      </c>
      <c r="AF178" s="368">
        <f t="array" ref="AF178">IF(C178="","",IFERROR((INDEX(終値!$E:$E,MATCH(TEXT(C178,"0"),終値!$A:$A,0))-INDEX(終値!$E:$CZ,MATCH(TEXT(C178,"0"),終値!$A:$A,0),$AL$2))/INDEX(終値!$E:$CZ,MATCH(TEXT(C178,"0"),終値!$A:$A,0),$AL$2)*100,""))</f>
        <v>16.520351157222667</v>
      </c>
      <c r="AG178" s="368">
        <f t="array" ref="AG178">IFERROR((終値!$E$5-INDEX(終値!$E$5:$CZ$5,1,$AL$2))/INDEX(終値!$E$5:$CZ$5,1,$AL$2)*100,"")</f>
        <v>2.31989243802786</v>
      </c>
      <c r="AH178" s="369">
        <f t="shared" si="42"/>
        <v>14.200458719194806</v>
      </c>
      <c r="AI178" s="367">
        <f t="shared" si="43"/>
        <v>3</v>
      </c>
    </row>
    <row r="179" spans="1:35" ht="18" customHeight="1">
      <c r="A179" s="166" t="str">
        <f>IF(銘柄管理!B41&lt;&gt;"",HYPERLINK("https://kabutan.jp/stock/?code="&amp;銘柄管理!B41,"株探"),"")</f>
        <v>株探</v>
      </c>
      <c r="B179" s="167"/>
      <c r="C179" s="168">
        <f>IF(銘柄管理!B41="","",銘柄管理!B41)</f>
        <v>3861</v>
      </c>
      <c r="D179" s="106" t="str">
        <f>IF(銘柄管理!C41="","",銘柄管理!C41)</f>
        <v/>
      </c>
      <c r="E179" s="169" t="str">
        <f>IF(C179&lt;&gt;"",_xll.RssMarket(C179,"現在値"),"")</f>
        <v/>
      </c>
      <c r="F179" s="169" t="str">
        <f>IF(C179&lt;&gt;"",_xll.RssMarket(C179,"始値"),"")</f>
        <v/>
      </c>
      <c r="G179" s="168">
        <f>IF(C179&lt;&gt;"",終値!F41,"")</f>
        <v>827.5</v>
      </c>
      <c r="H179" s="169" t="str">
        <f>IF(C179&lt;&gt;"",_xll.RssMarket(C179,"高値"),"")</f>
        <v/>
      </c>
      <c r="I179" s="169" t="str">
        <f>IF(C179&lt;&gt;"",_xll.RssMarket(C179,"安値"),"")</f>
        <v/>
      </c>
      <c r="J179" s="169" t="str">
        <f>IF(C179&lt;&gt;"",_xll.RssMarket(C179,"出来高"),"")</f>
        <v/>
      </c>
      <c r="K179" s="169" t="str">
        <f>IF(C179&lt;&gt;"",_xll.RssMarket(C179,"年初来高値"),"")</f>
        <v/>
      </c>
      <c r="L179" s="170" t="str">
        <f t="shared" si="34"/>
        <v/>
      </c>
      <c r="M179" s="169">
        <f>IF(C179&lt;&gt;"",IFERROR(AVERAGE(出来高!E41:I41),""),"")</f>
        <v>2881000</v>
      </c>
      <c r="N179" s="169">
        <f>IF(C179&lt;&gt;"",IFERROR(AVERAGE(出来高!E41:AC41),""),"")</f>
        <v>4083156</v>
      </c>
      <c r="O179" s="171" t="str">
        <f t="shared" si="35"/>
        <v/>
      </c>
      <c r="P179" s="166" t="str">
        <f t="shared" si="36"/>
        <v/>
      </c>
      <c r="Q179" s="166" t="str">
        <f t="shared" si="37"/>
        <v/>
      </c>
      <c r="R179" s="169" t="str">
        <f t="shared" si="44"/>
        <v/>
      </c>
      <c r="S179" s="169" t="str">
        <f t="shared" si="45"/>
        <v/>
      </c>
      <c r="T179" s="166">
        <f t="shared" si="38"/>
        <v>0</v>
      </c>
      <c r="U179" s="166" t="str">
        <f t="shared" si="46"/>
        <v>除外</v>
      </c>
      <c r="V179" s="166" t="str">
        <f t="shared" si="39"/>
        <v/>
      </c>
      <c r="W179" s="172">
        <f t="array" ref="W179">IF(C179&lt;&gt;"",IFERROR(100-100/(1+SUMPRODUCT((終値!F41:R41&gt;終値!G41:S41)*( 終値!F41:R41-終値!G41:S41))/SUMPRODUCT((終値!F41:R41&lt;終値!G41:S41)*(終値!G41:S41-終値!F41:R41))),50),"")</f>
        <v>73.858921161825762</v>
      </c>
      <c r="X179" s="173">
        <f>IF(C179&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5.4107855468303114</v>
      </c>
      <c r="Y179" s="1" t="e">
        <f>IF(T179="","",IF(銘柄管理!$F$5="下落▼",IF(AND(AD179="パーフェクト▲",OR(AE179="25日線押し目●",AE179="5日線押し目○")),"★逆張り候補",IF(AND(AD179="上昇トレンド▲",OR(AE179="25日線押し目●",AE179="5日線押し目○")),"○逆張り候補",IF(W179&lt;=30,IF(Z179&gt;0,"◎反発確認",IF(Z179&lt;-5,"△要注意・様子見","△売られ過ぎ注目")),"相場下落・見送り"))),IF(AND(T179&gt;=12,AD179="パーフェクト▲"),"★強い買い",IF(AND(T179&gt;=12,AD179="上昇トレンド▲"),"★強い買い",IF(AND(T179&gt;=8,OR(AE179="25日線押し目●",AE179="5日線押し目○")),"◎押し目買い",IF(T179&gt;=10,"○買い候補",IF(T179&gt;=6,"△注目",IF(T179&gt;=3,"様子見","見送り"))))))))</f>
        <v>#VALUE!</v>
      </c>
      <c r="Z179" s="174" t="str">
        <f t="shared" si="47"/>
        <v/>
      </c>
      <c r="AA179" s="166" t="str">
        <f t="shared" si="48"/>
        <v/>
      </c>
      <c r="AB179" s="408">
        <f>IF(C179="","",IFERROR(((終値!E181*0.333)+(終値!F181*0.222)+(終値!G181*0.148)+(終値!H181*0.099)+(終値!I181*0.066)+(終値!J181*0.044)+(終値!K181*0.029)+(終値!L181*0.019)+(終値!M181*0.013)+(終値!N181*0.009))/(0.333+0.222+0.148+0.099+0.066+0.044+0.029+0.019+0.013+0.009),""))</f>
        <v>905.27810590631361</v>
      </c>
      <c r="AC179" s="408">
        <f>IF(C179="","",IFERROR(SUMPRODUCT((終値!E181:AC181),({0.077,0.071,0.065,0.06,0.055,0.051,0.047,0.043,0.039,0.036,0.033,0.031,0.028,0.026,0.024,0.022,0.02,0.018,0.017,0.016,0.014,0.013,0.012,0.011,0.01}))/SUM({0.077,0.071,0.065,0.06,0.055,0.051,0.047,0.043,0.039,0.036,0.033,0.031,0.028,0.026,0.024,0.022,0.02,0.018,0.017,0.016,0.014,0.013,0.012,0.011,0.01}),""))</f>
        <v>888.1249106078659</v>
      </c>
      <c r="AD179" s="409" t="str">
        <f t="shared" si="49"/>
        <v>パーフェクト▲</v>
      </c>
      <c r="AE179" s="409" t="e">
        <f t="shared" si="50"/>
        <v>#VALUE!</v>
      </c>
      <c r="AF179" s="368">
        <f t="array" ref="AF179">IF(C179="","",IFERROR((INDEX(終値!$E:$E,MATCH(TEXT(C179,"0"),終値!$A:$A,0))-INDEX(終値!$E:$CZ,MATCH(TEXT(C179,"0"),終値!$A:$A,0),$AL$2))/INDEX(終値!$E:$CZ,MATCH(TEXT(C179,"0"),終値!$A:$A,0),$AL$2)*100,""))</f>
        <v>7.2636433512682466</v>
      </c>
      <c r="AG179" s="368">
        <f t="array" ref="AG179">IFERROR((終値!$E$5-INDEX(終値!$E$5:$CZ$5,1,$AL$2))/INDEX(終値!$E$5:$CZ$5,1,$AL$2)*100,"")</f>
        <v>2.31989243802786</v>
      </c>
      <c r="AH179" s="369">
        <f t="shared" si="42"/>
        <v>4.9437509132403861</v>
      </c>
      <c r="AI179" s="367">
        <f t="shared" si="43"/>
        <v>1</v>
      </c>
    </row>
    <row r="180" spans="1:35" ht="18" customHeight="1">
      <c r="A180" s="166" t="str">
        <f>IF(銘柄管理!B71&lt;&gt;"",HYPERLINK("https://kabutan.jp/stock/?code="&amp;銘柄管理!B71,"株探"),"")</f>
        <v>株探</v>
      </c>
      <c r="B180" s="167"/>
      <c r="C180" s="168">
        <f>IF(銘柄管理!B71="","",銘柄管理!B71)</f>
        <v>3854</v>
      </c>
      <c r="D180" s="106" t="str">
        <f>IF(銘柄管理!C71="","",銘柄管理!C71)</f>
        <v/>
      </c>
      <c r="E180" s="169" t="str">
        <f>IF(C180&lt;&gt;"",_xll.RssMarket(C180,"現在値"),"")</f>
        <v/>
      </c>
      <c r="F180" s="169" t="str">
        <f>IF(C180&lt;&gt;"",_xll.RssMarket(C180,"始値"),"")</f>
        <v/>
      </c>
      <c r="G180" s="168">
        <f>IF(C180&lt;&gt;"",終値!F71,"")</f>
        <v>2400</v>
      </c>
      <c r="H180" s="169" t="str">
        <f>IF(C180&lt;&gt;"",_xll.RssMarket(C180,"高値"),"")</f>
        <v/>
      </c>
      <c r="I180" s="169" t="str">
        <f>IF(C180&lt;&gt;"",_xll.RssMarket(C180,"安値"),"")</f>
        <v/>
      </c>
      <c r="J180" s="169" t="str">
        <f>IF(C180&lt;&gt;"",_xll.RssMarket(C180,"出来高"),"")</f>
        <v/>
      </c>
      <c r="K180" s="169" t="str">
        <f>IF(C180&lt;&gt;"",_xll.RssMarket(C180,"年初来高値"),"")</f>
        <v/>
      </c>
      <c r="L180" s="170" t="str">
        <f t="shared" si="34"/>
        <v/>
      </c>
      <c r="M180" s="169">
        <f>IF(C180&lt;&gt;"",IFERROR(AVERAGE(出来高!E71:I71),""),"")</f>
        <v>74920</v>
      </c>
      <c r="N180" s="169">
        <f>IF(C180&lt;&gt;"",IFERROR(AVERAGE(出来高!E71:AC71),""),"")</f>
        <v>87620</v>
      </c>
      <c r="O180" s="171" t="str">
        <f t="shared" si="35"/>
        <v/>
      </c>
      <c r="P180" s="166" t="str">
        <f t="shared" si="36"/>
        <v/>
      </c>
      <c r="Q180" s="166" t="str">
        <f t="shared" si="37"/>
        <v/>
      </c>
      <c r="R180" s="169" t="str">
        <f t="shared" si="44"/>
        <v/>
      </c>
      <c r="S180" s="169" t="str">
        <f t="shared" si="45"/>
        <v/>
      </c>
      <c r="T180" s="166">
        <f t="shared" si="38"/>
        <v>0</v>
      </c>
      <c r="U180" s="166" t="str">
        <f t="shared" si="46"/>
        <v>除外</v>
      </c>
      <c r="V180" s="166" t="str">
        <f t="shared" si="39"/>
        <v/>
      </c>
      <c r="W180" s="172">
        <f t="array" ref="W180">IF(C180&lt;&gt;"",IFERROR(100-100/(1+SUMPRODUCT((終値!F71:R71&gt;終値!G71:S71)*( 終値!F71:R71-終値!G71:S71))/SUMPRODUCT((終値!F71:R71&lt;終値!G71:S71)*(終値!G71:S71-終値!F71:R71))),50),"")</f>
        <v>78.464818763326221</v>
      </c>
      <c r="X180" s="173">
        <f>IF(C180&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29.643172437401063</v>
      </c>
      <c r="Y180" s="1" t="e">
        <f>IF(T180="","",IF(銘柄管理!$F$5="下落▼",IF(AND(AD180="パーフェクト▲",OR(AE180="25日線押し目●",AE180="5日線押し目○")),"★逆張り候補",IF(AND(AD180="上昇トレンド▲",OR(AE180="25日線押し目●",AE180="5日線押し目○")),"○逆張り候補",IF(W180&lt;=30,IF(Z180&gt;0,"◎反発確認",IF(Z180&lt;-5,"△要注意・様子見","△売られ過ぎ注目")),"相場下落・見送り"))),IF(AND(T180&gt;=12,AD180="パーフェクト▲"),"★強い買い",IF(AND(T180&gt;=12,AD180="上昇トレンド▲"),"★強い買い",IF(AND(T180&gt;=8,OR(AE180="25日線押し目●",AE180="5日線押し目○")),"◎押し目買い",IF(T180&gt;=10,"○買い候補",IF(T180&gt;=6,"△注目",IF(T180&gt;=3,"様子見","見送り"))))))))</f>
        <v>#VALUE!</v>
      </c>
      <c r="Z180" s="174" t="str">
        <f t="shared" si="47"/>
        <v/>
      </c>
      <c r="AA180" s="166" t="str">
        <f t="shared" si="48"/>
        <v/>
      </c>
      <c r="AB180" s="406">
        <f>IF(C180="","",IFERROR(((終値!E182*0.333)+(終値!F182*0.222)+(終値!G182*0.148)+(終値!H182*0.099)+(終値!I182*0.066)+(終値!J182*0.044)+(終値!K182*0.029)+(終値!L182*0.019)+(終値!M182*0.013)+(終値!N182*0.009))/(0.333+0.222+0.148+0.099+0.066+0.044+0.029+0.019+0.013+0.009),""))</f>
        <v>2304.2270875763743</v>
      </c>
      <c r="AC180" s="406">
        <f>IF(C180="","",IFERROR(SUMPRODUCT((終値!E182:AC182),({0.077,0.071,0.065,0.06,0.055,0.051,0.047,0.043,0.039,0.036,0.033,0.031,0.028,0.026,0.024,0.022,0.02,0.018,0.017,0.016,0.014,0.013,0.012,0.011,0.01}))/SUM({0.077,0.071,0.065,0.06,0.055,0.051,0.047,0.043,0.039,0.036,0.033,0.031,0.028,0.026,0.024,0.022,0.02,0.018,0.017,0.016,0.014,0.013,0.012,0.011,0.01}),""))</f>
        <v>2283.0595947556603</v>
      </c>
      <c r="AD180" s="407" t="str">
        <f t="shared" si="49"/>
        <v>パーフェクト▲</v>
      </c>
      <c r="AE180" s="407" t="e">
        <f t="shared" si="50"/>
        <v>#VALUE!</v>
      </c>
      <c r="AF180" s="368">
        <f t="array" ref="AF180">IF(C180="","",IFERROR((INDEX(終値!$E:$E,MATCH(TEXT(C180,"0"),終値!$A:$A,0))-INDEX(終値!$E:$CZ,MATCH(TEXT(C180,"0"),終値!$A:$A,0),$AL$2))/INDEX(終値!$E:$CZ,MATCH(TEXT(C180,"0"),終値!$A:$A,0),$AL$2)*100,""))</f>
        <v>-3.6080360803608031</v>
      </c>
      <c r="AG180" s="368">
        <f t="array" ref="AG180">IFERROR((終値!$E$5-INDEX(終値!$E$5:$CZ$5,1,$AL$2))/INDEX(終値!$E$5:$CZ$5,1,$AL$2)*100,"")</f>
        <v>2.31989243802786</v>
      </c>
      <c r="AH180" s="369">
        <f t="shared" si="42"/>
        <v>-5.9279285183886632</v>
      </c>
      <c r="AI180" s="367">
        <f t="shared" si="43"/>
        <v>-2</v>
      </c>
    </row>
    <row r="181" spans="1:35" ht="18" customHeight="1">
      <c r="A181" s="166" t="str">
        <f>IF(銘柄管理!B28&lt;&gt;"",HYPERLINK("https://kabutan.jp/stock/?code="&amp;銘柄管理!B28,"株探"),"")</f>
        <v>株探</v>
      </c>
      <c r="B181" s="167"/>
      <c r="C181" s="168">
        <f>IF(銘柄管理!B28="","",銘柄管理!B28)</f>
        <v>3436</v>
      </c>
      <c r="D181" s="106" t="str">
        <f>IF(銘柄管理!C28="","",銘柄管理!C28)</f>
        <v/>
      </c>
      <c r="E181" s="169" t="str">
        <f>IF(C181&lt;&gt;"",_xll.RssMarket(C181,"現在値"),"")</f>
        <v/>
      </c>
      <c r="F181" s="169" t="str">
        <f>IF(C181&lt;&gt;"",_xll.RssMarket(C181,"始値"),"")</f>
        <v/>
      </c>
      <c r="G181" s="168">
        <f>IF(C181&lt;&gt;"",終値!F28,"")</f>
        <v>5074</v>
      </c>
      <c r="H181" s="169" t="str">
        <f>IF(C181&lt;&gt;"",_xll.RssMarket(C181,"高値"),"")</f>
        <v/>
      </c>
      <c r="I181" s="169" t="str">
        <f>IF(C181&lt;&gt;"",_xll.RssMarket(C181,"安値"),"")</f>
        <v/>
      </c>
      <c r="J181" s="169" t="str">
        <f>IF(C181&lt;&gt;"",_xll.RssMarket(C181,"出来高"),"")</f>
        <v/>
      </c>
      <c r="K181" s="169" t="str">
        <f>IF(C181&lt;&gt;"",_xll.RssMarket(C181,"年初来高値"),"")</f>
        <v/>
      </c>
      <c r="L181" s="170" t="str">
        <f t="shared" si="34"/>
        <v/>
      </c>
      <c r="M181" s="169">
        <f>IF(C181&lt;&gt;"",IFERROR(AVERAGE(出来高!E28:I28),""),"")</f>
        <v>27426240</v>
      </c>
      <c r="N181" s="169">
        <f>IF(C181&lt;&gt;"",IFERROR(AVERAGE(出来高!E28:AC28),""),"")</f>
        <v>18307656</v>
      </c>
      <c r="O181" s="171" t="str">
        <f t="shared" si="35"/>
        <v/>
      </c>
      <c r="P181" s="166" t="str">
        <f t="shared" si="36"/>
        <v/>
      </c>
      <c r="Q181" s="166" t="str">
        <f t="shared" si="37"/>
        <v/>
      </c>
      <c r="R181" s="169" t="str">
        <f t="shared" si="44"/>
        <v/>
      </c>
      <c r="S181" s="169" t="str">
        <f t="shared" si="45"/>
        <v/>
      </c>
      <c r="T181" s="166">
        <f t="shared" si="38"/>
        <v>0</v>
      </c>
      <c r="U181" s="166" t="str">
        <f t="shared" si="46"/>
        <v>除外</v>
      </c>
      <c r="V181" s="166" t="str">
        <f t="shared" si="39"/>
        <v/>
      </c>
      <c r="W181" s="172">
        <f t="array" ref="W181">IF(C181&lt;&gt;"",IFERROR(100-100/(1+SUMPRODUCT((終値!F28:R28&gt;終値!G28:S28)*( 終値!F28:R28-終値!G28:S28))/SUMPRODUCT((終値!F28:R28&lt;終値!G28:S28)*(終値!G28:S28-終値!F28:R28))),50),"")</f>
        <v>67.777777777777771</v>
      </c>
      <c r="X181" s="173">
        <f>IF(C181&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147.50018309259485</v>
      </c>
      <c r="Y181" s="1" t="e">
        <f>IF(T181="","",IF(銘柄管理!$F$5="下落▼",IF(AND(AD181="パーフェクト▲",OR(AE181="25日線押し目●",AE181="5日線押し目○")),"★逆張り候補",IF(AND(AD181="上昇トレンド▲",OR(AE181="25日線押し目●",AE181="5日線押し目○")),"○逆張り候補",IF(W181&lt;=30,IF(Z181&gt;0,"◎反発確認",IF(Z181&lt;-5,"△要注意・様子見","△売られ過ぎ注目")),"相場下落・見送り"))),IF(AND(T181&gt;=12,AD181="パーフェクト▲"),"★強い買い",IF(AND(T181&gt;=12,AD181="上昇トレンド▲"),"★強い買い",IF(AND(T181&gt;=8,OR(AE181="25日線押し目●",AE181="5日線押し目○")),"◎押し目買い",IF(T181&gt;=10,"○買い候補",IF(T181&gt;=6,"△注目",IF(T181&gt;=3,"様子見","見送り"))))))))</f>
        <v>#VALUE!</v>
      </c>
      <c r="Z181" s="174" t="str">
        <f t="shared" si="47"/>
        <v/>
      </c>
      <c r="AA181" s="166" t="str">
        <f t="shared" si="48"/>
        <v/>
      </c>
      <c r="AB181" s="408">
        <f>IF(C181="","",IFERROR(((終値!E183*0.333)+(終値!F183*0.222)+(終値!G183*0.148)+(終値!H183*0.099)+(終値!I183*0.066)+(終値!J183*0.044)+(終値!K183*0.029)+(終値!L183*0.019)+(終値!M183*0.013)+(終値!N183*0.009))/(0.333+0.222+0.148+0.099+0.066+0.044+0.029+0.019+0.013+0.009),""))</f>
        <v>14306.76171079429</v>
      </c>
      <c r="AC181" s="408">
        <f>IF(C181="","",IFERROR(SUMPRODUCT((終値!E183:AC183),({0.077,0.071,0.065,0.06,0.055,0.051,0.047,0.043,0.039,0.036,0.033,0.031,0.028,0.026,0.024,0.022,0.02,0.018,0.017,0.016,0.014,0.013,0.012,0.011,0.01}))/SUM({0.077,0.071,0.065,0.06,0.055,0.051,0.047,0.043,0.039,0.036,0.033,0.031,0.028,0.026,0.024,0.022,0.02,0.018,0.017,0.016,0.014,0.013,0.012,0.011,0.01}),""))</f>
        <v>14979.833134684141</v>
      </c>
      <c r="AD181" s="409" t="str">
        <f t="shared" si="49"/>
        <v>上昇トレンド▲</v>
      </c>
      <c r="AE181" s="409" t="e">
        <f t="shared" si="50"/>
        <v>#VALUE!</v>
      </c>
      <c r="AF181" s="368">
        <f t="array" ref="AF181">IF(C181="","",IFERROR((INDEX(終値!$E:$E,MATCH(TEXT(C181,"0"),終値!$A:$A,0))-INDEX(終値!$E:$CZ,MATCH(TEXT(C181,"0"),終値!$A:$A,0),$AL$2))/INDEX(終値!$E:$CZ,MATCH(TEXT(C181,"0"),終値!$A:$A,0),$AL$2)*100,""))</f>
        <v>11.130039750141965</v>
      </c>
      <c r="AG181" s="368">
        <f t="array" ref="AG181">IFERROR((終値!$E$5-INDEX(終値!$E$5:$CZ$5,1,$AL$2))/INDEX(終値!$E$5:$CZ$5,1,$AL$2)*100,"")</f>
        <v>2.31989243802786</v>
      </c>
      <c r="AH181" s="369">
        <f t="shared" si="42"/>
        <v>8.8101473121141041</v>
      </c>
      <c r="AI181" s="367">
        <f t="shared" si="43"/>
        <v>3</v>
      </c>
    </row>
    <row r="182" spans="1:35" ht="18" customHeight="1">
      <c r="A182" s="166" t="str">
        <f>IF(銘柄管理!B94&lt;&gt;"",HYPERLINK("https://kabutan.jp/stock/?code="&amp;銘柄管理!B94,"株探"),"")</f>
        <v>株探</v>
      </c>
      <c r="B182" s="167"/>
      <c r="C182" s="168">
        <f>IF(銘柄管理!B94="","",銘柄管理!B94)</f>
        <v>3407</v>
      </c>
      <c r="D182" s="106" t="str">
        <f>IF(銘柄管理!C94="","",銘柄管理!C94)</f>
        <v/>
      </c>
      <c r="E182" s="169" t="str">
        <f>IF(C182&lt;&gt;"",_xll.RssMarket(C182,"現在値"),"")</f>
        <v/>
      </c>
      <c r="F182" s="169" t="str">
        <f>IF(C182&lt;&gt;"",_xll.RssMarket(C182,"始値"),"")</f>
        <v/>
      </c>
      <c r="G182" s="168">
        <f>IF(C182&lt;&gt;"",終値!F94,"")</f>
        <v>1887.5</v>
      </c>
      <c r="H182" s="169" t="str">
        <f>IF(C182&lt;&gt;"",_xll.RssMarket(C182,"高値"),"")</f>
        <v/>
      </c>
      <c r="I182" s="169" t="str">
        <f>IF(C182&lt;&gt;"",_xll.RssMarket(C182,"安値"),"")</f>
        <v/>
      </c>
      <c r="J182" s="169" t="str">
        <f>IF(C182&lt;&gt;"",_xll.RssMarket(C182,"出来高"),"")</f>
        <v/>
      </c>
      <c r="K182" s="169" t="str">
        <f>IF(C182&lt;&gt;"",_xll.RssMarket(C182,"年初来高値"),"")</f>
        <v/>
      </c>
      <c r="L182" s="170" t="str">
        <f t="shared" si="34"/>
        <v/>
      </c>
      <c r="M182" s="169">
        <f>IF(C182&lt;&gt;"",IFERROR(AVERAGE(出来高!E94:I94),""),"")</f>
        <v>4608560</v>
      </c>
      <c r="N182" s="169">
        <f>IF(C182&lt;&gt;"",IFERROR(AVERAGE(出来高!E94:AC94),""),"")</f>
        <v>4688732</v>
      </c>
      <c r="O182" s="171" t="str">
        <f t="shared" si="35"/>
        <v/>
      </c>
      <c r="P182" s="166" t="str">
        <f t="shared" si="36"/>
        <v/>
      </c>
      <c r="Q182" s="166" t="str">
        <f t="shared" si="37"/>
        <v/>
      </c>
      <c r="R182" s="169" t="str">
        <f t="shared" si="44"/>
        <v/>
      </c>
      <c r="S182" s="169" t="str">
        <f t="shared" si="45"/>
        <v/>
      </c>
      <c r="T182" s="166">
        <f t="shared" si="38"/>
        <v>0</v>
      </c>
      <c r="U182" s="166" t="str">
        <f t="shared" si="46"/>
        <v>除外</v>
      </c>
      <c r="V182" s="166" t="str">
        <f t="shared" si="39"/>
        <v/>
      </c>
      <c r="W182" s="172">
        <f t="array" ref="W182">IF(C182&lt;&gt;"",IFERROR(100-100/(1+SUMPRODUCT((終値!F94:R94&gt;終値!G94:S94)*( 終値!F94:R94-終値!G94:S94))/SUMPRODUCT((終値!F94:R94&lt;終値!G94:S94)*(終値!G94:S94-終値!F94:R94))),50),"")</f>
        <v>64.829821717990285</v>
      </c>
      <c r="X182" s="173">
        <f>IF(C182&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9.3121211276913982</v>
      </c>
      <c r="Y182" s="1" t="e">
        <f>IF(T182="","",IF(銘柄管理!$F$5="下落▼",IF(AND(AD182="パーフェクト▲",OR(AE182="25日線押し目●",AE182="5日線押し目○")),"★逆張り候補",IF(AND(AD182="上昇トレンド▲",OR(AE182="25日線押し目●",AE182="5日線押し目○")),"○逆張り候補",IF(W182&lt;=30,IF(Z182&gt;0,"◎反発確認",IF(Z182&lt;-5,"△要注意・様子見","△売られ過ぎ注目")),"相場下落・見送り"))),IF(AND(T182&gt;=12,AD182="パーフェクト▲"),"★強い買い",IF(AND(T182&gt;=12,AD182="上昇トレンド▲"),"★強い買い",IF(AND(T182&gt;=8,OR(AE182="25日線押し目●",AE182="5日線押し目○")),"◎押し目買い",IF(T182&gt;=10,"○買い候補",IF(T182&gt;=6,"△注目",IF(T182&gt;=3,"様子見","見送り"))))))))</f>
        <v>#VALUE!</v>
      </c>
      <c r="Z182" s="174" t="str">
        <f t="shared" si="47"/>
        <v/>
      </c>
      <c r="AA182" s="166" t="str">
        <f t="shared" si="48"/>
        <v/>
      </c>
      <c r="AB182" s="406">
        <f>IF(C182="","",IFERROR(((終値!E184*0.333)+(終値!F184*0.222)+(終値!G184*0.148)+(終値!H184*0.099)+(終値!I184*0.066)+(終値!J184*0.044)+(終値!K184*0.029)+(終値!L184*0.019)+(終値!M184*0.013)+(終値!N184*0.009))/(0.333+0.222+0.148+0.099+0.066+0.044+0.029+0.019+0.013+0.009),""))</f>
        <v>3702.3818737270863</v>
      </c>
      <c r="AC182" s="406">
        <f>IF(C182="","",IFERROR(SUMPRODUCT((終値!E184:AC184),({0.077,0.071,0.065,0.06,0.055,0.051,0.047,0.043,0.039,0.036,0.033,0.031,0.028,0.026,0.024,0.022,0.02,0.018,0.017,0.016,0.014,0.013,0.012,0.011,0.01}))/SUM({0.077,0.071,0.065,0.06,0.055,0.051,0.047,0.043,0.039,0.036,0.033,0.031,0.028,0.026,0.024,0.022,0.02,0.018,0.017,0.016,0.014,0.013,0.012,0.011,0.01}),""))</f>
        <v>3555.3075089392119</v>
      </c>
      <c r="AD182" s="407" t="str">
        <f t="shared" si="49"/>
        <v>パーフェクト▲</v>
      </c>
      <c r="AE182" s="407" t="e">
        <f t="shared" si="50"/>
        <v>#VALUE!</v>
      </c>
      <c r="AF182" s="368">
        <f t="array" ref="AF182">IF(C182="","",IFERROR((INDEX(終値!$E:$E,MATCH(TEXT(C182,"0"),終値!$A:$A,0))-INDEX(終値!$E:$CZ,MATCH(TEXT(C182,"0"),終値!$A:$A,0),$AL$2))/INDEX(終値!$E:$CZ,MATCH(TEXT(C182,"0"),終値!$A:$A,0),$AL$2)*100,""))</f>
        <v>2.406940945983767</v>
      </c>
      <c r="AG182" s="368">
        <f t="array" ref="AG182">IFERROR((終値!$E$5-INDEX(終値!$E$5:$CZ$5,1,$AL$2))/INDEX(終値!$E$5:$CZ$5,1,$AL$2)*100,"")</f>
        <v>2.31989243802786</v>
      </c>
      <c r="AH182" s="369">
        <f t="shared" si="42"/>
        <v>8.7048507955906906E-2</v>
      </c>
      <c r="AI182" s="367">
        <f t="shared" si="43"/>
        <v>1</v>
      </c>
    </row>
    <row r="183" spans="1:35" ht="18" customHeight="1">
      <c r="A183" s="166" t="str">
        <f>IF(銘柄管理!B44&lt;&gt;"",HYPERLINK("https://kabutan.jp/stock/?code="&amp;銘柄管理!B44,"株探"),"")</f>
        <v>株探</v>
      </c>
      <c r="B183" s="167"/>
      <c r="C183" s="168">
        <f>IF(銘柄管理!B44="","",銘柄管理!B44)</f>
        <v>3402</v>
      </c>
      <c r="D183" s="106" t="str">
        <f>IF(銘柄管理!C44="","",銘柄管理!C44)</f>
        <v/>
      </c>
      <c r="E183" s="169" t="str">
        <f>IF(C183&lt;&gt;"",_xll.RssMarket(C183,"現在値"),"")</f>
        <v/>
      </c>
      <c r="F183" s="169" t="str">
        <f>IF(C183&lt;&gt;"",_xll.RssMarket(C183,"始値"),"")</f>
        <v/>
      </c>
      <c r="G183" s="168">
        <f>IF(C183&lt;&gt;"",終値!F44,"")</f>
        <v>1172</v>
      </c>
      <c r="H183" s="169" t="str">
        <f>IF(C183&lt;&gt;"",_xll.RssMarket(C183,"高値"),"")</f>
        <v/>
      </c>
      <c r="I183" s="169" t="str">
        <f>IF(C183&lt;&gt;"",_xll.RssMarket(C183,"安値"),"")</f>
        <v/>
      </c>
      <c r="J183" s="169" t="str">
        <f>IF(C183&lt;&gt;"",_xll.RssMarket(C183,"出来高"),"")</f>
        <v/>
      </c>
      <c r="K183" s="169" t="str">
        <f>IF(C183&lt;&gt;"",_xll.RssMarket(C183,"年初来高値"),"")</f>
        <v/>
      </c>
      <c r="L183" s="170" t="str">
        <f t="shared" si="34"/>
        <v/>
      </c>
      <c r="M183" s="169">
        <f>IF(C183&lt;&gt;"",IFERROR(AVERAGE(出来高!E44:I44),""),"")</f>
        <v>4467000</v>
      </c>
      <c r="N183" s="169">
        <f>IF(C183&lt;&gt;"",IFERROR(AVERAGE(出来高!E44:AC44),""),"")</f>
        <v>4375548</v>
      </c>
      <c r="O183" s="171" t="str">
        <f t="shared" si="35"/>
        <v/>
      </c>
      <c r="P183" s="166" t="str">
        <f t="shared" si="36"/>
        <v/>
      </c>
      <c r="Q183" s="166" t="str">
        <f t="shared" si="37"/>
        <v/>
      </c>
      <c r="R183" s="169" t="str">
        <f t="shared" si="44"/>
        <v/>
      </c>
      <c r="S183" s="169" t="str">
        <f t="shared" si="45"/>
        <v/>
      </c>
      <c r="T183" s="166">
        <f t="shared" si="38"/>
        <v>0</v>
      </c>
      <c r="U183" s="166" t="str">
        <f t="shared" si="46"/>
        <v>除外</v>
      </c>
      <c r="V183" s="166" t="str">
        <f t="shared" si="39"/>
        <v/>
      </c>
      <c r="W183" s="172">
        <f t="array" ref="W183">IF(C183&lt;&gt;"",IFERROR(100-100/(1+SUMPRODUCT((終値!F44:R44&gt;終値!G44:S44)*( 終値!F44:R44-終値!G44:S44))/SUMPRODUCT((終値!F44:R44&lt;終値!G44:S44)*(終値!G44:S44-終値!F44:R44))),50),"")</f>
        <v>57.575757575757578</v>
      </c>
      <c r="X183" s="173">
        <f>IF(C183&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0.79859416730687371</v>
      </c>
      <c r="Y183" s="1" t="e">
        <f>IF(T183="","",IF(銘柄管理!$F$5="下落▼",IF(AND(AD183="パーフェクト▲",OR(AE183="25日線押し目●",AE183="5日線押し目○")),"★逆張り候補",IF(AND(AD183="上昇トレンド▲",OR(AE183="25日線押し目●",AE183="5日線押し目○")),"○逆張り候補",IF(W183&lt;=30,IF(Z183&gt;0,"◎反発確認",IF(Z183&lt;-5,"△要注意・様子見","△売られ過ぎ注目")),"相場下落・見送り"))),IF(AND(T183&gt;=12,AD183="パーフェクト▲"),"★強い買い",IF(AND(T183&gt;=12,AD183="上昇トレンド▲"),"★強い買い",IF(AND(T183&gt;=8,OR(AE183="25日線押し目●",AE183="5日線押し目○")),"◎押し目買い",IF(T183&gt;=10,"○買い候補",IF(T183&gt;=6,"△注目",IF(T183&gt;=3,"様子見","見送り"))))))))</f>
        <v>#VALUE!</v>
      </c>
      <c r="Z183" s="174" t="str">
        <f t="shared" si="47"/>
        <v/>
      </c>
      <c r="AA183" s="166" t="str">
        <f t="shared" si="48"/>
        <v/>
      </c>
      <c r="AB183" s="408">
        <f>IF(C183="","",IFERROR(((終値!E185*0.333)+(終値!F185*0.222)+(終値!G185*0.148)+(終値!H185*0.099)+(終値!I185*0.066)+(終値!J185*0.044)+(終値!K185*0.029)+(終値!L185*0.019)+(終値!M185*0.013)+(終値!N185*0.009))/(0.333+0.222+0.148+0.099+0.066+0.044+0.029+0.019+0.013+0.009),""))</f>
        <v>2317.8044806517305</v>
      </c>
      <c r="AC183" s="408">
        <f>IF(C183="","",IFERROR(SUMPRODUCT((終値!E185:AC185),({0.077,0.071,0.065,0.06,0.055,0.051,0.047,0.043,0.039,0.036,0.033,0.031,0.028,0.026,0.024,0.022,0.02,0.018,0.017,0.016,0.014,0.013,0.012,0.011,0.01}))/SUM({0.077,0.071,0.065,0.06,0.055,0.051,0.047,0.043,0.039,0.036,0.033,0.031,0.028,0.026,0.024,0.022,0.02,0.018,0.017,0.016,0.014,0.013,0.012,0.011,0.01}),""))</f>
        <v>2283.3897497020248</v>
      </c>
      <c r="AD183" s="409" t="str">
        <f t="shared" si="49"/>
        <v>パーフェクト▲</v>
      </c>
      <c r="AE183" s="409" t="e">
        <f t="shared" si="50"/>
        <v>#VALUE!</v>
      </c>
      <c r="AF183" s="368">
        <f t="array" ref="AF183">IF(C183="","",IFERROR((INDEX(終値!$E:$E,MATCH(TEXT(C183,"0"),終値!$A:$A,0))-INDEX(終値!$E:$CZ,MATCH(TEXT(C183,"0"),終値!$A:$A,0),$AL$2))/INDEX(終値!$E:$CZ,MATCH(TEXT(C183,"0"),終値!$A:$A,0),$AL$2)*100,""))</f>
        <v>2.4074899687917966</v>
      </c>
      <c r="AG183" s="368">
        <f t="array" ref="AG183">IFERROR((終値!$E$5-INDEX(終値!$E$5:$CZ$5,1,$AL$2))/INDEX(終値!$E$5:$CZ$5,1,$AL$2)*100,"")</f>
        <v>2.31989243802786</v>
      </c>
      <c r="AH183" s="369">
        <f t="shared" si="42"/>
        <v>8.7597530763936504E-2</v>
      </c>
      <c r="AI183" s="367">
        <f t="shared" si="43"/>
        <v>1</v>
      </c>
    </row>
    <row r="184" spans="1:35" ht="18" customHeight="1">
      <c r="A184" s="166" t="str">
        <f>IF(銘柄管理!B27&lt;&gt;"",HYPERLINK("https://kabutan.jp/stock/?code="&amp;銘柄管理!B27,"株探"),"")</f>
        <v>株探</v>
      </c>
      <c r="B184" s="167"/>
      <c r="C184" s="168">
        <f>IF(銘柄管理!B27="","",銘柄管理!B27)</f>
        <v>3401</v>
      </c>
      <c r="D184" s="106" t="str">
        <f>IF(銘柄管理!C27="","",銘柄管理!C27)</f>
        <v/>
      </c>
      <c r="E184" s="169" t="str">
        <f>IF(C184&lt;&gt;"",_xll.RssMarket(C184,"現在値"),"")</f>
        <v/>
      </c>
      <c r="F184" s="169" t="str">
        <f>IF(C184&lt;&gt;"",_xll.RssMarket(C184,"始値"),"")</f>
        <v/>
      </c>
      <c r="G184" s="168">
        <f>IF(C184&lt;&gt;"",終値!F27,"")</f>
        <v>1722</v>
      </c>
      <c r="H184" s="169" t="str">
        <f>IF(C184&lt;&gt;"",_xll.RssMarket(C184,"高値"),"")</f>
        <v/>
      </c>
      <c r="I184" s="169" t="str">
        <f>IF(C184&lt;&gt;"",_xll.RssMarket(C184,"安値"),"")</f>
        <v/>
      </c>
      <c r="J184" s="169" t="str">
        <f>IF(C184&lt;&gt;"",_xll.RssMarket(C184,"出来高"),"")</f>
        <v/>
      </c>
      <c r="K184" s="169" t="str">
        <f>IF(C184&lt;&gt;"",_xll.RssMarket(C184,"年初来高値"),"")</f>
        <v/>
      </c>
      <c r="L184" s="170" t="str">
        <f t="shared" si="34"/>
        <v/>
      </c>
      <c r="M184" s="169">
        <f>IF(C184&lt;&gt;"",IFERROR(AVERAGE(出来高!E27:I27),""),"")</f>
        <v>777120</v>
      </c>
      <c r="N184" s="169">
        <f>IF(C184&lt;&gt;"",IFERROR(AVERAGE(出来高!E27:AC27),""),"")</f>
        <v>801996</v>
      </c>
      <c r="O184" s="171" t="str">
        <f t="shared" si="35"/>
        <v/>
      </c>
      <c r="P184" s="166" t="str">
        <f t="shared" si="36"/>
        <v/>
      </c>
      <c r="Q184" s="166" t="str">
        <f t="shared" si="37"/>
        <v/>
      </c>
      <c r="R184" s="169" t="str">
        <f t="shared" si="44"/>
        <v/>
      </c>
      <c r="S184" s="169" t="str">
        <f t="shared" si="45"/>
        <v/>
      </c>
      <c r="T184" s="166">
        <f t="shared" si="38"/>
        <v>0</v>
      </c>
      <c r="U184" s="166" t="str">
        <f t="shared" si="46"/>
        <v>除外</v>
      </c>
      <c r="V184" s="166" t="str">
        <f t="shared" si="39"/>
        <v/>
      </c>
      <c r="W184" s="172">
        <f t="array" ref="W184">IF(C184&lt;&gt;"",IFERROR(100-100/(1+SUMPRODUCT((終値!F27:R27&gt;終値!G27:S27)*( 終値!F27:R27-終値!G27:S27))/SUMPRODUCT((終値!F27:R27&lt;終値!G27:S27)*(終値!G27:S27-終値!F27:R27))),50),"")</f>
        <v>65.217391304347828</v>
      </c>
      <c r="X184" s="173">
        <f>IF(C184&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11.074774417985736</v>
      </c>
      <c r="Y184" s="1" t="e">
        <f>IF(T184="","",IF(銘柄管理!$F$5="下落▼",IF(AND(AD184="パーフェクト▲",OR(AE184="25日線押し目●",AE184="5日線押し目○")),"★逆張り候補",IF(AND(AD184="上昇トレンド▲",OR(AE184="25日線押し目●",AE184="5日線押し目○")),"○逆張り候補",IF(W184&lt;=30,IF(Z184&gt;0,"◎反発確認",IF(Z184&lt;-5,"△要注意・様子見","△売られ過ぎ注目")),"相場下落・見送り"))),IF(AND(T184&gt;=12,AD184="パーフェクト▲"),"★強い買い",IF(AND(T184&gt;=12,AD184="上昇トレンド▲"),"★強い買い",IF(AND(T184&gt;=8,OR(AE184="25日線押し目●",AE184="5日線押し目○")),"◎押し目買い",IF(T184&gt;=10,"○買い候補",IF(T184&gt;=6,"△注目",IF(T184&gt;=3,"様子見","見送り"))))))))</f>
        <v>#VALUE!</v>
      </c>
      <c r="Z184" s="174" t="str">
        <f t="shared" si="47"/>
        <v/>
      </c>
      <c r="AA184" s="166" t="str">
        <f t="shared" si="48"/>
        <v/>
      </c>
      <c r="AB184" s="406">
        <f>IF(C184="","",IFERROR(((終値!E186*0.333)+(終値!F186*0.222)+(終値!G186*0.148)+(終値!H186*0.099)+(終値!I186*0.066)+(終値!J186*0.044)+(終値!K186*0.029)+(終値!L186*0.019)+(終値!M186*0.013)+(終値!N186*0.009))/(0.333+0.222+0.148+0.099+0.066+0.044+0.029+0.019+0.013+0.009),""))</f>
        <v>1112.6853360488794</v>
      </c>
      <c r="AC184" s="406">
        <f>IF(C184="","",IFERROR(SUMPRODUCT((終値!E186:AC186),({0.077,0.071,0.065,0.06,0.055,0.051,0.047,0.043,0.039,0.036,0.033,0.031,0.028,0.026,0.024,0.022,0.02,0.018,0.017,0.016,0.014,0.013,0.012,0.011,0.01}))/SUM({0.077,0.071,0.065,0.06,0.055,0.051,0.047,0.043,0.039,0.036,0.033,0.031,0.028,0.026,0.024,0.022,0.02,0.018,0.017,0.016,0.014,0.013,0.012,0.011,0.01}),""))</f>
        <v>1079.3730631704409</v>
      </c>
      <c r="AD184" s="407" t="str">
        <f t="shared" si="49"/>
        <v>パーフェクト▲</v>
      </c>
      <c r="AE184" s="407" t="e">
        <f t="shared" si="50"/>
        <v>#VALUE!</v>
      </c>
      <c r="AF184" s="368">
        <f t="array" ref="AF184">IF(C184="","",IFERROR((INDEX(終値!$E:$E,MATCH(TEXT(C184,"0"),終値!$A:$A,0))-INDEX(終値!$E:$CZ,MATCH(TEXT(C184,"0"),終値!$A:$A,0),$AL$2))/INDEX(終値!$E:$CZ,MATCH(TEXT(C184,"0"),終値!$A:$A,0),$AL$2)*100,""))</f>
        <v>5.4982817869415808</v>
      </c>
      <c r="AG184" s="368">
        <f t="array" ref="AG184">IFERROR((終値!$E$5-INDEX(終値!$E$5:$CZ$5,1,$AL$2))/INDEX(終値!$E$5:$CZ$5,1,$AL$2)*100,"")</f>
        <v>2.31989243802786</v>
      </c>
      <c r="AH184" s="369">
        <f t="shared" si="42"/>
        <v>3.1783893489137207</v>
      </c>
      <c r="AI184" s="367">
        <f t="shared" si="43"/>
        <v>1</v>
      </c>
    </row>
    <row r="185" spans="1:35" ht="18" customHeight="1">
      <c r="A185" s="166" t="str">
        <f>IF(銘柄管理!B134&lt;&gt;"",HYPERLINK("https://kabutan.jp/stock/?code="&amp;銘柄管理!B134,"株探"),"")</f>
        <v>株探</v>
      </c>
      <c r="B185" s="167"/>
      <c r="C185" s="168">
        <f>IF(銘柄管理!B134="","",銘柄管理!B134)</f>
        <v>3110</v>
      </c>
      <c r="D185" s="106" t="str">
        <f>IF(銘柄管理!C134="","",銘柄管理!C134)</f>
        <v/>
      </c>
      <c r="E185" s="169" t="str">
        <f>IF(C185&lt;&gt;"",_xll.RssMarket(C185,"現在値"),"")</f>
        <v/>
      </c>
      <c r="F185" s="169" t="str">
        <f>IF(C185&lt;&gt;"",_xll.RssMarket(C185,"始値"),"")</f>
        <v/>
      </c>
      <c r="G185" s="168">
        <f>IF(C185&lt;&gt;"",終値!F134,"")</f>
        <v>3555</v>
      </c>
      <c r="H185" s="169" t="str">
        <f>IF(C185&lt;&gt;"",_xll.RssMarket(C185,"高値"),"")</f>
        <v/>
      </c>
      <c r="I185" s="169" t="str">
        <f>IF(C185&lt;&gt;"",_xll.RssMarket(C185,"安値"),"")</f>
        <v/>
      </c>
      <c r="J185" s="169" t="str">
        <f>IF(C185&lt;&gt;"",_xll.RssMarket(C185,"出来高"),"")</f>
        <v/>
      </c>
      <c r="K185" s="169" t="str">
        <f>IF(C185&lt;&gt;"",_xll.RssMarket(C185,"年初来高値"),"")</f>
        <v/>
      </c>
      <c r="L185" s="170" t="str">
        <f t="shared" si="34"/>
        <v/>
      </c>
      <c r="M185" s="169">
        <f>IF(C185&lt;&gt;"",IFERROR(AVERAGE(出来高!E134:I134),""),"")</f>
        <v>4628460</v>
      </c>
      <c r="N185" s="169">
        <f>IF(C185&lt;&gt;"",IFERROR(AVERAGE(出来高!E134:AC134),""),"")</f>
        <v>4157848</v>
      </c>
      <c r="O185" s="171" t="str">
        <f t="shared" si="35"/>
        <v/>
      </c>
      <c r="P185" s="166" t="str">
        <f t="shared" si="36"/>
        <v/>
      </c>
      <c r="Q185" s="166" t="str">
        <f t="shared" si="37"/>
        <v/>
      </c>
      <c r="R185" s="169" t="str">
        <f t="shared" si="44"/>
        <v/>
      </c>
      <c r="S185" s="169" t="str">
        <f t="shared" si="45"/>
        <v/>
      </c>
      <c r="T185" s="166">
        <f t="shared" si="38"/>
        <v>0</v>
      </c>
      <c r="U185" s="166" t="str">
        <f t="shared" si="46"/>
        <v>除外</v>
      </c>
      <c r="V185" s="166" t="str">
        <f t="shared" si="39"/>
        <v/>
      </c>
      <c r="W185" s="172">
        <f t="array" ref="W185">IF(C185&lt;&gt;"",IFERROR(100-100/(1+SUMPRODUCT((終値!F134:R134&gt;終値!G134:S134)*( 終値!F134:R134-終値!G134:S134))/SUMPRODUCT((終値!F134:R134&lt;終値!G134:S134)*(終値!G134:S134-終値!F134:R134))),50),"")</f>
        <v>3.3191489361702224</v>
      </c>
      <c r="X185" s="173">
        <f>IF(C185&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-2636.1541102297006</v>
      </c>
      <c r="Y185" s="1" t="e">
        <f>IF(T185="","",IF(銘柄管理!$F$5="下落▼",IF(AND(AD185="パーフェクト▲",OR(AE185="25日線押し目●",AE185="5日線押し目○")),"★逆張り候補",IF(AND(AD185="上昇トレンド▲",OR(AE185="25日線押し目●",AE185="5日線押し目○")),"○逆張り候補",IF(W185&lt;=30,IF(Z185&gt;0,"◎反発確認",IF(Z185&lt;-5,"△要注意・様子見","△売られ過ぎ注目")),"相場下落・見送り"))),IF(AND(T185&gt;=12,AD185="パーフェクト▲"),"★強い買い",IF(AND(T185&gt;=12,AD185="上昇トレンド▲"),"★強い買い",IF(AND(T185&gt;=8,OR(AE185="25日線押し目●",AE185="5日線押し目○")),"◎押し目買い",IF(T185&gt;=10,"○買い候補",IF(T185&gt;=6,"△注目",IF(T185&gt;=3,"様子見","見送り"))))))))</f>
        <v>#VALUE!</v>
      </c>
      <c r="Z185" s="174" t="str">
        <f t="shared" si="47"/>
        <v/>
      </c>
      <c r="AA185" s="166" t="str">
        <f t="shared" si="48"/>
        <v/>
      </c>
      <c r="AB185" s="408">
        <f>IF(C185="","",IFERROR(((終値!E187*0.333)+(終値!F187*0.222)+(終値!G187*0.148)+(終値!H187*0.099)+(終値!I187*0.066)+(終値!J187*0.044)+(終値!K187*0.029)+(終値!L187*0.019)+(終値!M187*0.013)+(終値!N187*0.009))/(0.333+0.222+0.148+0.099+0.066+0.044+0.029+0.019+0.013+0.009),""))</f>
        <v>675.18289205702627</v>
      </c>
      <c r="AC185" s="408">
        <f>IF(C185="","",IFERROR(SUMPRODUCT((終値!E187:AC187),({0.077,0.071,0.065,0.06,0.055,0.051,0.047,0.043,0.039,0.036,0.033,0.031,0.028,0.026,0.024,0.022,0.02,0.018,0.017,0.016,0.014,0.013,0.012,0.011,0.01}))/SUM({0.077,0.071,0.065,0.06,0.055,0.051,0.047,0.043,0.039,0.036,0.033,0.031,0.028,0.026,0.024,0.022,0.02,0.018,0.017,0.016,0.014,0.013,0.012,0.011,0.01}),""))</f>
        <v>659.56150178784253</v>
      </c>
      <c r="AD185" s="409" t="str">
        <f t="shared" si="49"/>
        <v>パーフェクト▲</v>
      </c>
      <c r="AE185" s="409" t="e">
        <f t="shared" si="50"/>
        <v>#VALUE!</v>
      </c>
      <c r="AF185" s="368">
        <f t="array" ref="AF185">IF(C185="","",IFERROR((INDEX(終値!$E:$E,MATCH(TEXT(C185,"0"),終値!$A:$A,0))-INDEX(終値!$E:$CZ,MATCH(TEXT(C185,"0"),終値!$A:$A,0),$AL$2))/INDEX(終値!$E:$CZ,MATCH(TEXT(C185,"0"),終値!$A:$A,0),$AL$2)*100,""))</f>
        <v>-85.012345679012341</v>
      </c>
      <c r="AG185" s="368">
        <f t="array" ref="AG185">IFERROR((終値!$E$5-INDEX(終値!$E$5:$CZ$5,1,$AL$2))/INDEX(終値!$E$5:$CZ$5,1,$AL$2)*100,"")</f>
        <v>2.31989243802786</v>
      </c>
      <c r="AH185" s="369">
        <f t="shared" si="42"/>
        <v>-87.332238117040205</v>
      </c>
      <c r="AI185" s="367">
        <f t="shared" si="43"/>
        <v>-2</v>
      </c>
    </row>
    <row r="186" spans="1:35" ht="18" customHeight="1">
      <c r="A186" s="166" t="str">
        <f>IF(銘柄管理!B60&lt;&gt;"",HYPERLINK("https://kabutan.jp/stock/?code="&amp;銘柄管理!B60,"株探"),"")</f>
        <v>株探</v>
      </c>
      <c r="B186" s="167"/>
      <c r="C186" s="168">
        <f>IF(銘柄管理!B60="","",銘柄管理!B60)</f>
        <v>3107</v>
      </c>
      <c r="D186" s="106" t="str">
        <f>IF(銘柄管理!C60="","",銘柄管理!C60)</f>
        <v/>
      </c>
      <c r="E186" s="169" t="str">
        <f>IF(C186&lt;&gt;"",_xll.RssMarket(C186,"現在値"),"")</f>
        <v/>
      </c>
      <c r="F186" s="169" t="str">
        <f>IF(C186&lt;&gt;"",_xll.RssMarket(C186,"始値"),"")</f>
        <v/>
      </c>
      <c r="G186" s="168">
        <f>IF(C186&lt;&gt;"",終値!F60,"")</f>
        <v>3454</v>
      </c>
      <c r="H186" s="169" t="str">
        <f>IF(C186&lt;&gt;"",_xll.RssMarket(C186,"高値"),"")</f>
        <v/>
      </c>
      <c r="I186" s="169" t="str">
        <f>IF(C186&lt;&gt;"",_xll.RssMarket(C186,"安値"),"")</f>
        <v/>
      </c>
      <c r="J186" s="169" t="str">
        <f>IF(C186&lt;&gt;"",_xll.RssMarket(C186,"出来高"),"")</f>
        <v/>
      </c>
      <c r="K186" s="169" t="str">
        <f>IF(C186&lt;&gt;"",_xll.RssMarket(C186,"年初来高値"),"")</f>
        <v/>
      </c>
      <c r="L186" s="170" t="str">
        <f t="shared" si="34"/>
        <v/>
      </c>
      <c r="M186" s="169">
        <f>IF(C186&lt;&gt;"",IFERROR(AVERAGE(出来高!E60:I60),""),"")</f>
        <v>318900</v>
      </c>
      <c r="N186" s="169">
        <f>IF(C186&lt;&gt;"",IFERROR(AVERAGE(出来高!E60:AC60),""),"")</f>
        <v>300364</v>
      </c>
      <c r="O186" s="171" t="str">
        <f t="shared" si="35"/>
        <v/>
      </c>
      <c r="P186" s="166" t="str">
        <f t="shared" si="36"/>
        <v/>
      </c>
      <c r="Q186" s="166" t="str">
        <f t="shared" si="37"/>
        <v/>
      </c>
      <c r="R186" s="169" t="str">
        <f t="shared" si="44"/>
        <v/>
      </c>
      <c r="S186" s="169" t="str">
        <f t="shared" si="45"/>
        <v/>
      </c>
      <c r="T186" s="166">
        <f t="shared" si="38"/>
        <v>0</v>
      </c>
      <c r="U186" s="166" t="str">
        <f t="shared" si="46"/>
        <v>除外</v>
      </c>
      <c r="V186" s="166" t="str">
        <f t="shared" si="39"/>
        <v/>
      </c>
      <c r="W186" s="172">
        <f t="array" ref="W186">IF(C186&lt;&gt;"",IFERROR(100-100/(1+SUMPRODUCT((終値!F60:R60&gt;終値!G60:S60)*( 終値!F60:R60-終値!G60:S60))/SUMPRODUCT((終値!F60:R60&lt;終値!G60:S60)*(終値!G60:S60-終値!F60:R60))),50),"")</f>
        <v>55.702479338842977</v>
      </c>
      <c r="X186" s="173">
        <f>IF(C186&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1.8897205449802641</v>
      </c>
      <c r="Y186" s="1" t="e">
        <f>IF(T186="","",IF(銘柄管理!$F$5="下落▼",IF(AND(AD186="パーフェクト▲",OR(AE186="25日線押し目●",AE186="5日線押し目○")),"★逆張り候補",IF(AND(AD186="上昇トレンド▲",OR(AE186="25日線押し目●",AE186="5日線押し目○")),"○逆張り候補",IF(W186&lt;=30,IF(Z186&gt;0,"◎反発確認",IF(Z186&lt;-5,"△要注意・様子見","△売られ過ぎ注目")),"相場下落・見送り"))),IF(AND(T186&gt;=12,AD186="パーフェクト▲"),"★強い買い",IF(AND(T186&gt;=12,AD186="上昇トレンド▲"),"★強い買い",IF(AND(T186&gt;=8,OR(AE186="25日線押し目●",AE186="5日線押し目○")),"◎押し目買い",IF(T186&gt;=10,"○買い候補",IF(T186&gt;=6,"△注目",IF(T186&gt;=3,"様子見","見送り"))))))))</f>
        <v>#VALUE!</v>
      </c>
      <c r="Z186" s="174" t="str">
        <f t="shared" si="47"/>
        <v/>
      </c>
      <c r="AA186" s="166" t="str">
        <f t="shared" si="48"/>
        <v/>
      </c>
      <c r="AB186" s="406">
        <f>IF(C186="","",IFERROR(((終値!E188*0.333)+(終値!F188*0.222)+(終値!G188*0.148)+(終値!H188*0.099)+(終値!I188*0.066)+(終値!J188*0.044)+(終値!K188*0.029)+(終値!L188*0.019)+(終値!M188*0.013)+(終値!N188*0.009))/(0.333+0.222+0.148+0.099+0.066+0.044+0.029+0.019+0.013+0.009),""))</f>
        <v>636.51079429735216</v>
      </c>
      <c r="AC186" s="406">
        <f>IF(C186="","",IFERROR(SUMPRODUCT((終値!E188:AC188),({0.077,0.071,0.065,0.06,0.055,0.051,0.047,0.043,0.039,0.036,0.033,0.031,0.028,0.026,0.024,0.022,0.02,0.018,0.017,0.016,0.014,0.013,0.012,0.011,0.01}))/SUM({0.077,0.071,0.065,0.06,0.055,0.051,0.047,0.043,0.039,0.036,0.033,0.031,0.028,0.026,0.024,0.022,0.02,0.018,0.017,0.016,0.014,0.013,0.012,0.011,0.01}),""))</f>
        <v>632.37461263408773</v>
      </c>
      <c r="AD186" s="407" t="str">
        <f t="shared" si="49"/>
        <v>パーフェクト▲</v>
      </c>
      <c r="AE186" s="407" t="e">
        <f t="shared" si="50"/>
        <v>#VALUE!</v>
      </c>
      <c r="AF186" s="368">
        <f t="array" ref="AF186">IF(C186="","",IFERROR((INDEX(終値!$E:$E,MATCH(TEXT(C186,"0"),終値!$A:$A,0))-INDEX(終値!$E:$CZ,MATCH(TEXT(C186,"0"),終値!$A:$A,0),$AL$2))/INDEX(終値!$E:$CZ,MATCH(TEXT(C186,"0"),終値!$A:$A,0),$AL$2)*100,""))</f>
        <v>-3.1133961725221364</v>
      </c>
      <c r="AG186" s="368">
        <f t="array" ref="AG186">IFERROR((終値!$E$5-INDEX(終値!$E$5:$CZ$5,1,$AL$2))/INDEX(終値!$E$5:$CZ$5,1,$AL$2)*100,"")</f>
        <v>2.31989243802786</v>
      </c>
      <c r="AH186" s="369">
        <f t="shared" si="42"/>
        <v>-5.4332886105499965</v>
      </c>
      <c r="AI186" s="367">
        <f t="shared" si="43"/>
        <v>-2</v>
      </c>
    </row>
    <row r="187" spans="1:35" ht="18" customHeight="1">
      <c r="A187" s="166" t="str">
        <f>IF(銘柄管理!B138&lt;&gt;"",HYPERLINK("https://kabutan.jp/stock/?code="&amp;銘柄管理!B138,"株探"),"")</f>
        <v>株探</v>
      </c>
      <c r="B187" s="167"/>
      <c r="C187" s="168">
        <f>IF(銘柄管理!B138="","",銘柄管理!B138)</f>
        <v>3103</v>
      </c>
      <c r="D187" s="106" t="str">
        <f>IF(銘柄管理!C138="","",銘柄管理!C138)</f>
        <v/>
      </c>
      <c r="E187" s="169" t="str">
        <f>IF(C187&lt;&gt;"",_xll.RssMarket(C187,"現在値"),"")</f>
        <v/>
      </c>
      <c r="F187" s="169" t="str">
        <f>IF(C187&lt;&gt;"",_xll.RssMarket(C187,"始値"),"")</f>
        <v/>
      </c>
      <c r="G187" s="168">
        <f>IF(C187&lt;&gt;"",終値!F138,"")</f>
        <v>971</v>
      </c>
      <c r="H187" s="169" t="str">
        <f>IF(C187&lt;&gt;"",_xll.RssMarket(C187,"高値"),"")</f>
        <v/>
      </c>
      <c r="I187" s="169" t="str">
        <f>IF(C187&lt;&gt;"",_xll.RssMarket(C187,"安値"),"")</f>
        <v/>
      </c>
      <c r="J187" s="169" t="str">
        <f>IF(C187&lt;&gt;"",_xll.RssMarket(C187,"出来高"),"")</f>
        <v/>
      </c>
      <c r="K187" s="169" t="str">
        <f>IF(C187&lt;&gt;"",_xll.RssMarket(C187,"年初来高値"),"")</f>
        <v/>
      </c>
      <c r="L187" s="170" t="str">
        <f t="shared" si="34"/>
        <v/>
      </c>
      <c r="M187" s="169">
        <f>IF(C187&lt;&gt;"",IFERROR(AVERAGE(出来高!E138:I138),""),"")</f>
        <v>2869400</v>
      </c>
      <c r="N187" s="169">
        <f>IF(C187&lt;&gt;"",IFERROR(AVERAGE(出来高!E138:AC138),""),"")</f>
        <v>3802560</v>
      </c>
      <c r="O187" s="171" t="str">
        <f t="shared" si="35"/>
        <v/>
      </c>
      <c r="P187" s="166" t="str">
        <f t="shared" si="36"/>
        <v/>
      </c>
      <c r="Q187" s="166" t="str">
        <f t="shared" si="37"/>
        <v/>
      </c>
      <c r="R187" s="169" t="str">
        <f t="shared" si="44"/>
        <v/>
      </c>
      <c r="S187" s="169" t="str">
        <f t="shared" si="45"/>
        <v/>
      </c>
      <c r="T187" s="166">
        <f t="shared" si="38"/>
        <v>0</v>
      </c>
      <c r="U187" s="166" t="str">
        <f t="shared" si="46"/>
        <v>除外</v>
      </c>
      <c r="V187" s="166" t="str">
        <f t="shared" si="39"/>
        <v/>
      </c>
      <c r="W187" s="172">
        <f t="array" ref="W187">IF(C187&lt;&gt;"",IFERROR(100-100/(1+SUMPRODUCT((終値!F138:R138&gt;終値!G138:S138)*( 終値!F138:R138-終値!G138:S138))/SUMPRODUCT((終値!F138:R138&lt;終値!G138:S138)*(終値!G138:S138-終値!F138:R138))),50),"")</f>
        <v>36.134453781512612</v>
      </c>
      <c r="X187" s="173">
        <f>IF(C187&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-28.792583953924122</v>
      </c>
      <c r="Y187" s="1" t="e">
        <f>IF(T187="","",IF(銘柄管理!$F$5="下落▼",IF(AND(AD187="パーフェクト▲",OR(AE187="25日線押し目●",AE187="5日線押し目○")),"★逆張り候補",IF(AND(AD187="上昇トレンド▲",OR(AE187="25日線押し目●",AE187="5日線押し目○")),"○逆張り候補",IF(W187&lt;=30,IF(Z187&gt;0,"◎反発確認",IF(Z187&lt;-5,"△要注意・様子見","△売られ過ぎ注目")),"相場下落・見送り"))),IF(AND(T187&gt;=12,AD187="パーフェクト▲"),"★強い買い",IF(AND(T187&gt;=12,AD187="上昇トレンド▲"),"★強い買い",IF(AND(T187&gt;=8,OR(AE187="25日線押し目●",AE187="5日線押し目○")),"◎押し目買い",IF(T187&gt;=10,"○買い候補",IF(T187&gt;=6,"△注目",IF(T187&gt;=3,"様子見","見送り"))))))))</f>
        <v>#VALUE!</v>
      </c>
      <c r="Z187" s="174" t="str">
        <f t="shared" si="47"/>
        <v/>
      </c>
      <c r="AA187" s="166" t="str">
        <f t="shared" si="48"/>
        <v/>
      </c>
      <c r="AB187" s="408">
        <f>IF(C187="","",IFERROR(((終値!E189*0.333)+(終値!F189*0.222)+(終値!G189*0.148)+(終値!H189*0.099)+(終値!I189*0.066)+(終値!J189*0.044)+(終値!K189*0.029)+(終値!L189*0.019)+(終値!M189*0.013)+(終値!N189*0.009))/(0.333+0.222+0.148+0.099+0.066+0.044+0.029+0.019+0.013+0.009),""))</f>
        <v>1973.6059063136456</v>
      </c>
      <c r="AC187" s="408">
        <f>IF(C187="","",IFERROR(SUMPRODUCT((終値!E189:AC189),({0.077,0.071,0.065,0.06,0.055,0.051,0.047,0.043,0.039,0.036,0.033,0.031,0.028,0.026,0.024,0.022,0.02,0.018,0.017,0.016,0.014,0.013,0.012,0.011,0.01}))/SUM({0.077,0.071,0.065,0.06,0.055,0.051,0.047,0.043,0.039,0.036,0.033,0.031,0.028,0.026,0.024,0.022,0.02,0.018,0.017,0.016,0.014,0.013,0.012,0.011,0.01}),""))</f>
        <v>1906.2628128724666</v>
      </c>
      <c r="AD187" s="409" t="str">
        <f t="shared" si="49"/>
        <v>パーフェクト▲</v>
      </c>
      <c r="AE187" s="409" t="e">
        <f t="shared" si="50"/>
        <v>#VALUE!</v>
      </c>
      <c r="AF187" s="368">
        <f t="array" ref="AF187">IF(C187="","",IFERROR((INDEX(終値!$E:$E,MATCH(TEXT(C187,"0"),終値!$A:$A,0))-INDEX(終値!$E:$CZ,MATCH(TEXT(C187,"0"),終値!$A:$A,0),$AL$2))/INDEX(終値!$E:$CZ,MATCH(TEXT(C187,"0"),終値!$A:$A,0),$AL$2)*100,""))</f>
        <v>-28.929765886287623</v>
      </c>
      <c r="AG187" s="368">
        <f t="array" ref="AG187">IFERROR((終値!$E$5-INDEX(終値!$E$5:$CZ$5,1,$AL$2))/INDEX(終値!$E$5:$CZ$5,1,$AL$2)*100,"")</f>
        <v>2.31989243802786</v>
      </c>
      <c r="AH187" s="369">
        <f t="shared" si="42"/>
        <v>-31.249658324315483</v>
      </c>
      <c r="AI187" s="367">
        <f t="shared" si="43"/>
        <v>-2</v>
      </c>
    </row>
    <row r="188" spans="1:35" ht="18" customHeight="1">
      <c r="A188" s="166" t="str">
        <f>IF(銘柄管理!B88&lt;&gt;"",HYPERLINK("https://kabutan.jp/stock/?code="&amp;銘柄管理!B88,"株探"),"")</f>
        <v>株探</v>
      </c>
      <c r="B188" s="167"/>
      <c r="C188" s="168">
        <f>IF(銘柄管理!B88="","",銘柄管理!B88)</f>
        <v>3003</v>
      </c>
      <c r="D188" s="106" t="str">
        <f>IF(銘柄管理!C88="","",銘柄管理!C88)</f>
        <v/>
      </c>
      <c r="E188" s="169" t="str">
        <f>IF(C188&lt;&gt;"",_xll.RssMarket(C188,"現在値"),"")</f>
        <v/>
      </c>
      <c r="F188" s="169" t="str">
        <f>IF(C188&lt;&gt;"",_xll.RssMarket(C188,"始値"),"")</f>
        <v/>
      </c>
      <c r="G188" s="168">
        <f>IF(C188&lt;&gt;"",終値!F88,"")</f>
        <v>1792.5</v>
      </c>
      <c r="H188" s="169" t="str">
        <f>IF(C188&lt;&gt;"",_xll.RssMarket(C188,"高値"),"")</f>
        <v/>
      </c>
      <c r="I188" s="169" t="str">
        <f>IF(C188&lt;&gt;"",_xll.RssMarket(C188,"安値"),"")</f>
        <v/>
      </c>
      <c r="J188" s="169" t="str">
        <f>IF(C188&lt;&gt;"",_xll.RssMarket(C188,"出来高"),"")</f>
        <v/>
      </c>
      <c r="K188" s="169" t="str">
        <f>IF(C188&lt;&gt;"",_xll.RssMarket(C188,"年初来高値"),"")</f>
        <v/>
      </c>
      <c r="L188" s="170" t="str">
        <f t="shared" si="34"/>
        <v/>
      </c>
      <c r="M188" s="169">
        <f>IF(C188&lt;&gt;"",IFERROR(AVERAGE(出来高!E88:I88),""),"")</f>
        <v>2494080</v>
      </c>
      <c r="N188" s="169">
        <f>IF(C188&lt;&gt;"",IFERROR(AVERAGE(出来高!E88:AC88),""),"")</f>
        <v>2730044</v>
      </c>
      <c r="O188" s="171" t="str">
        <f t="shared" si="35"/>
        <v/>
      </c>
      <c r="P188" s="166" t="str">
        <f t="shared" si="36"/>
        <v/>
      </c>
      <c r="Q188" s="166" t="str">
        <f t="shared" si="37"/>
        <v/>
      </c>
      <c r="R188" s="169" t="str">
        <f t="shared" si="44"/>
        <v/>
      </c>
      <c r="S188" s="169" t="str">
        <f t="shared" si="45"/>
        <v/>
      </c>
      <c r="T188" s="166">
        <f t="shared" si="38"/>
        <v>0</v>
      </c>
      <c r="U188" s="166" t="str">
        <f t="shared" si="46"/>
        <v>除外</v>
      </c>
      <c r="V188" s="166" t="str">
        <f t="shared" si="39"/>
        <v/>
      </c>
      <c r="W188" s="172">
        <f t="array" ref="W188">IF(C188&lt;&gt;"",IFERROR(100-100/(1+SUMPRODUCT((終値!F88:R88&gt;終値!G88:S88)*( 終値!F88:R88-終値!G88:S88))/SUMPRODUCT((終値!F88:R88&lt;終値!G88:S88)*(終値!G88:S88-終値!F88:R88))),50),"")</f>
        <v>67.552182163187865</v>
      </c>
      <c r="X188" s="173">
        <f>IF(C188&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11.004799215090088</v>
      </c>
      <c r="Y188" s="1" t="e">
        <f>IF(T188="","",IF(銘柄管理!$F$5="下落▼",IF(AND(AD188="パーフェクト▲",OR(AE188="25日線押し目●",AE188="5日線押し目○")),"★逆張り候補",IF(AND(AD188="上昇トレンド▲",OR(AE188="25日線押し目●",AE188="5日線押し目○")),"○逆張り候補",IF(W188&lt;=30,IF(Z188&gt;0,"◎反発確認",IF(Z188&lt;-5,"△要注意・様子見","△売られ過ぎ注目")),"相場下落・見送り"))),IF(AND(T188&gt;=12,AD188="パーフェクト▲"),"★強い買い",IF(AND(T188&gt;=12,AD188="上昇トレンド▲"),"★強い買い",IF(AND(T188&gt;=8,OR(AE188="25日線押し目●",AE188="5日線押し目○")),"◎押し目買い",IF(T188&gt;=10,"○買い候補",IF(T188&gt;=6,"△注目",IF(T188&gt;=3,"様子見","見送り"))))))))</f>
        <v>#VALUE!</v>
      </c>
      <c r="Z188" s="174" t="str">
        <f t="shared" si="47"/>
        <v/>
      </c>
      <c r="AA188" s="166" t="str">
        <f t="shared" si="48"/>
        <v/>
      </c>
      <c r="AB188" s="406">
        <f>IF(C188="","",IFERROR(((終値!E190*0.333)+(終値!F190*0.222)+(終値!G190*0.148)+(終値!H190*0.099)+(終値!I190*0.066)+(終値!J190*0.044)+(終値!K190*0.029)+(終値!L190*0.019)+(終値!M190*0.013)+(終値!N190*0.009))/(0.333+0.222+0.148+0.099+0.066+0.044+0.029+0.019+0.013+0.009),""))</f>
        <v>1636.376782077393</v>
      </c>
      <c r="AC188" s="406">
        <f>IF(C188="","",IFERROR(SUMPRODUCT((終値!E190:AC190),({0.077,0.071,0.065,0.06,0.055,0.051,0.047,0.043,0.039,0.036,0.033,0.031,0.028,0.026,0.024,0.022,0.02,0.018,0.017,0.016,0.014,0.013,0.012,0.011,0.01}))/SUM({0.077,0.071,0.065,0.06,0.055,0.051,0.047,0.043,0.039,0.036,0.033,0.031,0.028,0.026,0.024,0.022,0.02,0.018,0.017,0.016,0.014,0.013,0.012,0.011,0.01}),""))</f>
        <v>1591.3194278903447</v>
      </c>
      <c r="AD188" s="407" t="str">
        <f t="shared" si="49"/>
        <v>パーフェクト▲</v>
      </c>
      <c r="AE188" s="407" t="e">
        <f t="shared" si="50"/>
        <v>#VALUE!</v>
      </c>
      <c r="AF188" s="368">
        <f t="array" ref="AF188">IF(C188="","",IFERROR((INDEX(終値!$E:$E,MATCH(TEXT(C188,"0"),終値!$A:$A,0))-INDEX(終値!$E:$CZ,MATCH(TEXT(C188,"0"),終値!$A:$A,0),$AL$2))/INDEX(終値!$E:$CZ,MATCH(TEXT(C188,"0"),終値!$A:$A,0),$AL$2)*100,""))</f>
        <v>6.6785927251043526</v>
      </c>
      <c r="AG188" s="368">
        <f t="array" ref="AG188">IFERROR((終値!$E$5-INDEX(終値!$E$5:$CZ$5,1,$AL$2))/INDEX(終値!$E$5:$CZ$5,1,$AL$2)*100,"")</f>
        <v>2.31989243802786</v>
      </c>
      <c r="AH188" s="369">
        <f t="shared" si="42"/>
        <v>4.358700287076493</v>
      </c>
      <c r="AI188" s="367">
        <f t="shared" si="43"/>
        <v>1</v>
      </c>
    </row>
    <row r="189" spans="1:35" ht="18" customHeight="1">
      <c r="A189" s="166" t="str">
        <f>IF(銘柄管理!B87&lt;&gt;"",HYPERLINK("https://kabutan.jp/stock/?code="&amp;銘柄管理!B87,"株探"),"")</f>
        <v>株探</v>
      </c>
      <c r="B189" s="167"/>
      <c r="C189" s="168">
        <f>IF(銘柄管理!B87="","",銘柄管理!B87)</f>
        <v>2914</v>
      </c>
      <c r="D189" s="106" t="str">
        <f>IF(銘柄管理!C87="","",銘柄管理!C87)</f>
        <v/>
      </c>
      <c r="E189" s="169" t="str">
        <f>IF(C189&lt;&gt;"",_xll.RssMarket(C189,"現在値"),"")</f>
        <v/>
      </c>
      <c r="F189" s="169" t="str">
        <f>IF(C189&lt;&gt;"",_xll.RssMarket(C189,"始値"),"")</f>
        <v/>
      </c>
      <c r="G189" s="168">
        <f>IF(C189&lt;&gt;"",終値!F87,"")</f>
        <v>6110</v>
      </c>
      <c r="H189" s="169" t="str">
        <f>IF(C189&lt;&gt;"",_xll.RssMarket(C189,"高値"),"")</f>
        <v/>
      </c>
      <c r="I189" s="169" t="str">
        <f>IF(C189&lt;&gt;"",_xll.RssMarket(C189,"安値"),"")</f>
        <v/>
      </c>
      <c r="J189" s="169" t="str">
        <f>IF(C189&lt;&gt;"",_xll.RssMarket(C189,"出来高"),"")</f>
        <v/>
      </c>
      <c r="K189" s="169" t="str">
        <f>IF(C189&lt;&gt;"",_xll.RssMarket(C189,"年初来高値"),"")</f>
        <v/>
      </c>
      <c r="L189" s="170" t="str">
        <f t="shared" si="34"/>
        <v/>
      </c>
      <c r="M189" s="169">
        <f>IF(C189&lt;&gt;"",IFERROR(AVERAGE(出来高!E87:I87),""),"")</f>
        <v>4030440</v>
      </c>
      <c r="N189" s="169">
        <f>IF(C189&lt;&gt;"",IFERROR(AVERAGE(出来高!E87:AC87),""),"")</f>
        <v>4854740</v>
      </c>
      <c r="O189" s="171" t="str">
        <f t="shared" si="35"/>
        <v/>
      </c>
      <c r="P189" s="166" t="str">
        <f t="shared" si="36"/>
        <v/>
      </c>
      <c r="Q189" s="166" t="str">
        <f t="shared" si="37"/>
        <v/>
      </c>
      <c r="R189" s="169" t="str">
        <f t="shared" si="44"/>
        <v/>
      </c>
      <c r="S189" s="169" t="str">
        <f t="shared" si="45"/>
        <v/>
      </c>
      <c r="T189" s="166">
        <f t="shared" si="38"/>
        <v>0</v>
      </c>
      <c r="U189" s="166" t="str">
        <f t="shared" si="46"/>
        <v>除外</v>
      </c>
      <c r="V189" s="166" t="str">
        <f t="shared" si="39"/>
        <v/>
      </c>
      <c r="W189" s="172">
        <f t="array" ref="W189">IF(C189&lt;&gt;"",IFERROR(100-100/(1+SUMPRODUCT((終値!F87:R87&gt;終値!G87:S87)*( 終値!F87:R87-終値!G87:S87))/SUMPRODUCT((終値!F87:R87&lt;終値!G87:S87)*(終値!G87:S87-終値!F87:R87))),50),"")</f>
        <v>62.776025236593057</v>
      </c>
      <c r="X189" s="173">
        <f>IF(C189&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21.694000533357212</v>
      </c>
      <c r="Y189" s="1" t="e">
        <f>IF(T189="","",IF(銘柄管理!$F$5="下落▼",IF(AND(AD189="パーフェクト▲",OR(AE189="25日線押し目●",AE189="5日線押し目○")),"★逆張り候補",IF(AND(AD189="上昇トレンド▲",OR(AE189="25日線押し目●",AE189="5日線押し目○")),"○逆張り候補",IF(W189&lt;=30,IF(Z189&gt;0,"◎反発確認",IF(Z189&lt;-5,"△要注意・様子見","△売られ過ぎ注目")),"相場下落・見送り"))),IF(AND(T189&gt;=12,AD189="パーフェクト▲"),"★強い買い",IF(AND(T189&gt;=12,AD189="上昇トレンド▲"),"★強い買い",IF(AND(T189&gt;=8,OR(AE189="25日線押し目●",AE189="5日線押し目○")),"◎押し目買い",IF(T189&gt;=10,"○買い候補",IF(T189&gt;=6,"△注目",IF(T189&gt;=3,"様子見","見送り"))))))))</f>
        <v>#VALUE!</v>
      </c>
      <c r="Z189" s="174" t="str">
        <f t="shared" si="47"/>
        <v/>
      </c>
      <c r="AA189" s="166" t="str">
        <f t="shared" si="48"/>
        <v/>
      </c>
      <c r="AB189" s="408">
        <f>IF(C189="","",IFERROR(((終値!E191*0.333)+(終値!F191*0.222)+(終値!G191*0.148)+(終値!H191*0.099)+(終値!I191*0.066)+(終値!J191*0.044)+(終値!K191*0.029)+(終値!L191*0.019)+(終値!M191*0.013)+(終値!N191*0.009))/(0.333+0.222+0.148+0.099+0.066+0.044+0.029+0.019+0.013+0.009),""))</f>
        <v>1539.6649694501014</v>
      </c>
      <c r="AC189" s="408">
        <f>IF(C189="","",IFERROR(SUMPRODUCT((終値!E191:AC191),({0.077,0.071,0.065,0.06,0.055,0.051,0.047,0.043,0.039,0.036,0.033,0.031,0.028,0.026,0.024,0.022,0.02,0.018,0.017,0.016,0.014,0.013,0.012,0.011,0.01}))/SUM({0.077,0.071,0.065,0.06,0.055,0.051,0.047,0.043,0.039,0.036,0.033,0.031,0.028,0.026,0.024,0.022,0.02,0.018,0.017,0.016,0.014,0.013,0.012,0.011,0.01}),""))</f>
        <v>1516.8748510131099</v>
      </c>
      <c r="AD189" s="409" t="str">
        <f t="shared" si="49"/>
        <v>パーフェクト▲</v>
      </c>
      <c r="AE189" s="409" t="e">
        <f t="shared" si="50"/>
        <v>#VALUE!</v>
      </c>
      <c r="AF189" s="368">
        <f t="array" ref="AF189">IF(C189="","",IFERROR((INDEX(終値!$E:$E,MATCH(TEXT(C189,"0"),終値!$A:$A,0))-INDEX(終値!$E:$CZ,MATCH(TEXT(C189,"0"),終値!$A:$A,0),$AL$2))/INDEX(終値!$E:$CZ,MATCH(TEXT(C189,"0"),終値!$A:$A,0),$AL$2)*100,""))</f>
        <v>3.4555827220863895</v>
      </c>
      <c r="AG189" s="368">
        <f t="array" ref="AG189">IFERROR((終値!$E$5-INDEX(終値!$E$5:$CZ$5,1,$AL$2))/INDEX(終値!$E$5:$CZ$5,1,$AL$2)*100,"")</f>
        <v>2.31989243802786</v>
      </c>
      <c r="AH189" s="369">
        <f t="shared" si="42"/>
        <v>1.1356902840585295</v>
      </c>
      <c r="AI189" s="367">
        <f t="shared" si="43"/>
        <v>1</v>
      </c>
    </row>
    <row r="190" spans="1:35" ht="18" customHeight="1">
      <c r="A190" s="166" t="str">
        <f>IF(銘柄管理!B76&lt;&gt;"",HYPERLINK("https://kabutan.jp/stock/?code="&amp;銘柄管理!B76,"株探"),"")</f>
        <v>株探</v>
      </c>
      <c r="B190" s="167"/>
      <c r="C190" s="168">
        <f>IF(銘柄管理!B76="","",銘柄管理!B76)</f>
        <v>2802</v>
      </c>
      <c r="D190" s="106" t="str">
        <f>IF(銘柄管理!C76="","",銘柄管理!C76)</f>
        <v/>
      </c>
      <c r="E190" s="169" t="str">
        <f>IF(C190&lt;&gt;"",_xll.RssMarket(C190,"現在値"),"")</f>
        <v/>
      </c>
      <c r="F190" s="169" t="str">
        <f>IF(C190&lt;&gt;"",_xll.RssMarket(C190,"始値"),"")</f>
        <v/>
      </c>
      <c r="G190" s="168">
        <f>IF(C190&lt;&gt;"",終値!F76,"")</f>
        <v>5606</v>
      </c>
      <c r="H190" s="169" t="str">
        <f>IF(C190&lt;&gt;"",_xll.RssMarket(C190,"高値"),"")</f>
        <v/>
      </c>
      <c r="I190" s="169" t="str">
        <f>IF(C190&lt;&gt;"",_xll.RssMarket(C190,"安値"),"")</f>
        <v/>
      </c>
      <c r="J190" s="169" t="str">
        <f>IF(C190&lt;&gt;"",_xll.RssMarket(C190,"出来高"),"")</f>
        <v/>
      </c>
      <c r="K190" s="169" t="str">
        <f>IF(C190&lt;&gt;"",_xll.RssMarket(C190,"年初来高値"),"")</f>
        <v/>
      </c>
      <c r="L190" s="170" t="str">
        <f t="shared" si="34"/>
        <v/>
      </c>
      <c r="M190" s="169">
        <f>IF(C190&lt;&gt;"",IFERROR(AVERAGE(出来高!E76:I76),""),"")</f>
        <v>3436840</v>
      </c>
      <c r="N190" s="169">
        <f>IF(C190&lt;&gt;"",IFERROR(AVERAGE(出来高!E76:AC76),""),"")</f>
        <v>5282248</v>
      </c>
      <c r="O190" s="171" t="str">
        <f t="shared" si="35"/>
        <v/>
      </c>
      <c r="P190" s="166" t="str">
        <f t="shared" si="36"/>
        <v/>
      </c>
      <c r="Q190" s="166" t="str">
        <f t="shared" si="37"/>
        <v/>
      </c>
      <c r="R190" s="169" t="str">
        <f t="shared" si="44"/>
        <v/>
      </c>
      <c r="S190" s="169" t="str">
        <f t="shared" si="45"/>
        <v/>
      </c>
      <c r="T190" s="166">
        <f t="shared" si="38"/>
        <v>0</v>
      </c>
      <c r="U190" s="166" t="str">
        <f t="shared" si="46"/>
        <v>除外</v>
      </c>
      <c r="V190" s="166" t="str">
        <f t="shared" si="39"/>
        <v/>
      </c>
      <c r="W190" s="172">
        <f t="array" ref="W190">IF(C190&lt;&gt;"",IFERROR(100-100/(1+SUMPRODUCT((終値!F76:R76&gt;終値!G76:S76)*( 終値!F76:R76-終値!G76:S76))/SUMPRODUCT((終値!F76:R76&lt;終値!G76:S76)*(終値!G76:S76-終値!F76:R76))),50),"")</f>
        <v>45.258019525801956</v>
      </c>
      <c r="X190" s="173">
        <f>IF(C190&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6.3080692090034063</v>
      </c>
      <c r="Y190" s="1" t="e">
        <f>IF(T190="","",IF(銘柄管理!$F$5="下落▼",IF(AND(AD190="パーフェクト▲",OR(AE190="25日線押し目●",AE190="5日線押し目○")),"★逆張り候補",IF(AND(AD190="上昇トレンド▲",OR(AE190="25日線押し目●",AE190="5日線押し目○")),"○逆張り候補",IF(W190&lt;=30,IF(Z190&gt;0,"◎反発確認",IF(Z190&lt;-5,"△要注意・様子見","△売られ過ぎ注目")),"相場下落・見送り"))),IF(AND(T190&gt;=12,AD190="パーフェクト▲"),"★強い買い",IF(AND(T190&gt;=12,AD190="上昇トレンド▲"),"★強い買い",IF(AND(T190&gt;=8,OR(AE190="25日線押し目●",AE190="5日線押し目○")),"◎押し目買い",IF(T190&gt;=10,"○買い候補",IF(T190&gt;=6,"△注目",IF(T190&gt;=3,"様子見","見送り"))))))))</f>
        <v>#VALUE!</v>
      </c>
      <c r="Z190" s="174" t="str">
        <f t="shared" si="47"/>
        <v/>
      </c>
      <c r="AA190" s="166" t="str">
        <f t="shared" si="48"/>
        <v/>
      </c>
      <c r="AB190" s="406">
        <f>IF(C190="","",IFERROR(((終値!E192*0.333)+(終値!F192*0.222)+(終値!G192*0.148)+(終値!H192*0.099)+(終値!I192*0.066)+(終値!J192*0.044)+(終値!K192*0.029)+(終値!L192*0.019)+(終値!M192*0.013)+(終値!N192*0.009))/(0.333+0.222+0.148+0.099+0.066+0.044+0.029+0.019+0.013+0.009),""))</f>
        <v>1683.7734215885944</v>
      </c>
      <c r="AC190" s="406">
        <f>IF(C190="","",IFERROR(SUMPRODUCT((終値!E192:AC192),({0.077,0.071,0.065,0.06,0.055,0.051,0.047,0.043,0.039,0.036,0.033,0.031,0.028,0.026,0.024,0.022,0.02,0.018,0.017,0.016,0.014,0.013,0.012,0.011,0.01}))/SUM({0.077,0.071,0.065,0.06,0.055,0.051,0.047,0.043,0.039,0.036,0.033,0.031,0.028,0.026,0.024,0.022,0.02,0.018,0.017,0.016,0.014,0.013,0.012,0.011,0.01}),""))</f>
        <v>1682.5053635280092</v>
      </c>
      <c r="AD190" s="407" t="str">
        <f t="shared" si="49"/>
        <v>パーフェクト▲</v>
      </c>
      <c r="AE190" s="407" t="e">
        <f t="shared" si="50"/>
        <v>#VALUE!</v>
      </c>
      <c r="AF190" s="368">
        <f t="array" ref="AF190">IF(C190="","",IFERROR((INDEX(終値!$E:$E,MATCH(TEXT(C190,"0"),終値!$A:$A,0))-INDEX(終値!$E:$CZ,MATCH(TEXT(C190,"0"),終値!$A:$A,0),$AL$2))/INDEX(終値!$E:$CZ,MATCH(TEXT(C190,"0"),終値!$A:$A,0),$AL$2)*100,""))</f>
        <v>8.0732417811069492</v>
      </c>
      <c r="AG190" s="368">
        <f t="array" ref="AG190">IFERROR((終値!$E$5-INDEX(終値!$E$5:$CZ$5,1,$AL$2))/INDEX(終値!$E$5:$CZ$5,1,$AL$2)*100,"")</f>
        <v>2.31989243802786</v>
      </c>
      <c r="AH190" s="369">
        <f t="shared" si="42"/>
        <v>5.7533493430790887</v>
      </c>
      <c r="AI190" s="367">
        <f t="shared" si="43"/>
        <v>3</v>
      </c>
    </row>
    <row r="191" spans="1:35" ht="18" customHeight="1">
      <c r="A191" s="166" t="str">
        <f>IF(銘柄管理!B202&lt;&gt;"",HYPERLINK("https://kabutan.jp/stock/?code="&amp;銘柄管理!B202,"株探"),"")</f>
        <v>株探</v>
      </c>
      <c r="B191" s="167"/>
      <c r="C191" s="168">
        <f>IF(銘柄管理!B202="","",銘柄管理!B202)</f>
        <v>2768</v>
      </c>
      <c r="D191" s="106" t="str">
        <f>IF(銘柄管理!C202="","",銘柄管理!C202)</f>
        <v/>
      </c>
      <c r="E191" s="169" t="str">
        <f>IF(C191&lt;&gt;"",_xll.RssMarket(C191,"現在値"),"")</f>
        <v/>
      </c>
      <c r="F191" s="169" t="str">
        <f>IF(C191&lt;&gt;"",_xll.RssMarket(C191,"始値"),"")</f>
        <v/>
      </c>
      <c r="G191" s="168">
        <f>IF(C191&lt;&gt;"",終値!F202,"")</f>
        <v>5220</v>
      </c>
      <c r="H191" s="169" t="str">
        <f>IF(C191&lt;&gt;"",_xll.RssMarket(C191,"高値"),"")</f>
        <v/>
      </c>
      <c r="I191" s="169" t="str">
        <f>IF(C191&lt;&gt;"",_xll.RssMarket(C191,"安値"),"")</f>
        <v/>
      </c>
      <c r="J191" s="169" t="str">
        <f>IF(C191&lt;&gt;"",_xll.RssMarket(C191,"出来高"),"")</f>
        <v/>
      </c>
      <c r="K191" s="169" t="str">
        <f>IF(C191&lt;&gt;"",_xll.RssMarket(C191,"年初来高値"),"")</f>
        <v/>
      </c>
      <c r="L191" s="170" t="str">
        <f t="shared" si="34"/>
        <v/>
      </c>
      <c r="M191" s="169">
        <f>IF(C191&lt;&gt;"",IFERROR(AVERAGE(出来高!E202:I202),""),"")</f>
        <v>1300500</v>
      </c>
      <c r="N191" s="169">
        <f>IF(C191&lt;&gt;"",IFERROR(AVERAGE(出来高!E202:AC202),""),"")</f>
        <v>1124952</v>
      </c>
      <c r="O191" s="171" t="str">
        <f t="shared" si="35"/>
        <v/>
      </c>
      <c r="P191" s="166" t="str">
        <f t="shared" si="36"/>
        <v/>
      </c>
      <c r="Q191" s="166" t="str">
        <f t="shared" si="37"/>
        <v/>
      </c>
      <c r="R191" s="169" t="str">
        <f t="shared" si="44"/>
        <v/>
      </c>
      <c r="S191" s="169" t="str">
        <f t="shared" si="45"/>
        <v/>
      </c>
      <c r="T191" s="166">
        <f t="shared" si="38"/>
        <v>0</v>
      </c>
      <c r="U191" s="166" t="str">
        <f t="shared" si="46"/>
        <v>除外</v>
      </c>
      <c r="V191" s="166" t="str">
        <f t="shared" si="39"/>
        <v/>
      </c>
      <c r="W191" s="172">
        <f t="array" ref="W191">IF(C191&lt;&gt;"",IFERROR(100-100/(1+SUMPRODUCT((終値!F202:R202&gt;終値!G202:S202)*( 終値!F202:R202-終値!G202:S202))/SUMPRODUCT((終値!F202:R202&lt;終値!G202:S202)*(終値!G202:S202-終値!F202:R202))),50),"")</f>
        <v>49.034749034749034</v>
      </c>
      <c r="X191" s="173">
        <f>IF(C191&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-13.294152181785648</v>
      </c>
      <c r="Y191" s="1" t="e">
        <f>IF(T191="","",IF(銘柄管理!$F$5="下落▼",IF(AND(AD191="パーフェクト▲",OR(AE191="25日線押し目●",AE191="5日線押し目○")),"★逆張り候補",IF(AND(AD191="上昇トレンド▲",OR(AE191="25日線押し目●",AE191="5日線押し目○")),"○逆張り候補",IF(W191&lt;=30,IF(Z191&gt;0,"◎反発確認",IF(Z191&lt;-5,"△要注意・様子見","△売られ過ぎ注目")),"相場下落・見送り"))),IF(AND(T191&gt;=12,AD191="パーフェクト▲"),"★強い買い",IF(AND(T191&gt;=12,AD191="上昇トレンド▲"),"★強い買い",IF(AND(T191&gt;=8,OR(AE191="25日線押し目●",AE191="5日線押し目○")),"◎押し目買い",IF(T191&gt;=10,"○買い候補",IF(T191&gt;=6,"△注目",IF(T191&gt;=3,"様子見","見送り"))))))))</f>
        <v>#VALUE!</v>
      </c>
      <c r="Z191" s="174" t="str">
        <f t="shared" si="47"/>
        <v/>
      </c>
      <c r="AA191" s="166" t="str">
        <f t="shared" si="48"/>
        <v/>
      </c>
      <c r="AB191" s="408">
        <f>IF(C191="","",IFERROR(((終値!E193*0.333)+(終値!F193*0.222)+(終値!G193*0.148)+(終値!H193*0.099)+(終値!I193*0.066)+(終値!J193*0.044)+(終値!K193*0.029)+(終値!L193*0.019)+(終値!M193*0.013)+(終値!N193*0.009))/(0.333+0.222+0.148+0.099+0.066+0.044+0.029+0.019+0.013+0.009),""))</f>
        <v>2101.7617107942974</v>
      </c>
      <c r="AC191" s="408">
        <f>IF(C191="","",IFERROR(SUMPRODUCT((終値!E193:AC193),({0.077,0.071,0.065,0.06,0.055,0.051,0.047,0.043,0.039,0.036,0.033,0.031,0.028,0.026,0.024,0.022,0.02,0.018,0.017,0.016,0.014,0.013,0.012,0.011,0.01}))/SUM({0.077,0.071,0.065,0.06,0.055,0.051,0.047,0.043,0.039,0.036,0.033,0.031,0.028,0.026,0.024,0.022,0.02,0.018,0.017,0.016,0.014,0.013,0.012,0.011,0.01}),""))</f>
        <v>2000.6972586412389</v>
      </c>
      <c r="AD191" s="409" t="str">
        <f t="shared" si="49"/>
        <v>パーフェクト▲</v>
      </c>
      <c r="AE191" s="409" t="e">
        <f t="shared" si="50"/>
        <v>#VALUE!</v>
      </c>
      <c r="AF191" s="368">
        <f t="array" ref="AF191">IF(C191="","",IFERROR((INDEX(終値!$E:$E,MATCH(TEXT(C191,"0"),終値!$A:$A,0))-INDEX(終値!$E:$CZ,MATCH(TEXT(C191,"0"),終値!$A:$A,0),$AL$2))/INDEX(終値!$E:$CZ,MATCH(TEXT(C191,"0"),終値!$A:$A,0),$AL$2)*100,""))</f>
        <v>-2.2924292043922172</v>
      </c>
      <c r="AG191" s="368">
        <f t="array" ref="AG191">IFERROR((終値!$E$5-INDEX(終値!$E$5:$CZ$5,1,$AL$2))/INDEX(終値!$E$5:$CZ$5,1,$AL$2)*100,"")</f>
        <v>2.31989243802786</v>
      </c>
      <c r="AH191" s="369">
        <f t="shared" si="42"/>
        <v>-4.6123216424200777</v>
      </c>
      <c r="AI191" s="367">
        <f t="shared" si="43"/>
        <v>-2</v>
      </c>
    </row>
    <row r="192" spans="1:35" ht="18" customHeight="1">
      <c r="A192" s="166" t="str">
        <f>IF(銘柄管理!B194&lt;&gt;"",HYPERLINK("https://kabutan.jp/stock/?code="&amp;銘柄管理!B194,"株探"),"")</f>
        <v>株探</v>
      </c>
      <c r="B192" s="167"/>
      <c r="C192" s="168">
        <f>IF(銘柄管理!B194="","",銘柄管理!B194)</f>
        <v>2702</v>
      </c>
      <c r="D192" s="106" t="str">
        <f>IF(銘柄管理!C194="","",銘柄管理!C194)</f>
        <v/>
      </c>
      <c r="E192" s="169" t="str">
        <f>IF(C192&lt;&gt;"",_xll.RssMarket(C192,"現在値"),"")</f>
        <v/>
      </c>
      <c r="F192" s="169" t="str">
        <f>IF(C192&lt;&gt;"",_xll.RssMarket(C192,"始値"),"")</f>
        <v/>
      </c>
      <c r="G192" s="168">
        <f>IF(C192&lt;&gt;"",終値!F194,"")</f>
        <v>7580</v>
      </c>
      <c r="H192" s="169" t="str">
        <f>IF(C192&lt;&gt;"",_xll.RssMarket(C192,"高値"),"")</f>
        <v/>
      </c>
      <c r="I192" s="169" t="str">
        <f>IF(C192&lt;&gt;"",_xll.RssMarket(C192,"安値"),"")</f>
        <v/>
      </c>
      <c r="J192" s="169" t="str">
        <f>IF(C192&lt;&gt;"",_xll.RssMarket(C192,"出来高"),"")</f>
        <v/>
      </c>
      <c r="K192" s="169" t="str">
        <f>IF(C192&lt;&gt;"",_xll.RssMarket(C192,"年初来高値"),"")</f>
        <v/>
      </c>
      <c r="L192" s="170" t="str">
        <f t="shared" si="34"/>
        <v/>
      </c>
      <c r="M192" s="169">
        <f>IF(C192&lt;&gt;"",IFERROR(AVERAGE(出来高!E194:I194),""),"")</f>
        <v>491360</v>
      </c>
      <c r="N192" s="169">
        <f>IF(C192&lt;&gt;"",IFERROR(AVERAGE(出来高!E194:AC194),""),"")</f>
        <v>917672</v>
      </c>
      <c r="O192" s="171" t="str">
        <f t="shared" si="35"/>
        <v/>
      </c>
      <c r="P192" s="166" t="str">
        <f t="shared" si="36"/>
        <v/>
      </c>
      <c r="Q192" s="166" t="str">
        <f t="shared" si="37"/>
        <v/>
      </c>
      <c r="R192" s="169" t="str">
        <f t="shared" si="44"/>
        <v/>
      </c>
      <c r="S192" s="169" t="str">
        <f t="shared" si="45"/>
        <v/>
      </c>
      <c r="T192" s="166">
        <f t="shared" si="38"/>
        <v>0</v>
      </c>
      <c r="U192" s="166" t="str">
        <f t="shared" si="46"/>
        <v>除外</v>
      </c>
      <c r="V192" s="166" t="str">
        <f t="shared" si="39"/>
        <v/>
      </c>
      <c r="W192" s="172">
        <f t="array" ref="W192">IF(C192&lt;&gt;"",IFERROR(100-100/(1+SUMPRODUCT((終値!F194:R194&gt;終値!G194:S194)*( 終値!F194:R194-終値!G194:S194))/SUMPRODUCT((終値!F194:R194&lt;終値!G194:S194)*(終値!G194:S194-終値!F194:R194))),50),"")</f>
        <v>56.428571428571423</v>
      </c>
      <c r="X192" s="173">
        <f>IF(C192&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47.708078761658726</v>
      </c>
      <c r="Y192" s="1" t="e">
        <f>IF(T192="","",IF(銘柄管理!$F$5="下落▼",IF(AND(AD192="パーフェクト▲",OR(AE192="25日線押し目●",AE192="5日線押し目○")),"★逆張り候補",IF(AND(AD192="上昇トレンド▲",OR(AE192="25日線押し目●",AE192="5日線押し目○")),"○逆張り候補",IF(W192&lt;=30,IF(Z192&gt;0,"◎反発確認",IF(Z192&lt;-5,"△要注意・様子見","△売られ過ぎ注目")),"相場下落・見送り"))),IF(AND(T192&gt;=12,AD192="パーフェクト▲"),"★強い買い",IF(AND(T192&gt;=12,AD192="上昇トレンド▲"),"★強い買い",IF(AND(T192&gt;=8,OR(AE192="25日線押し目●",AE192="5日線押し目○")),"◎押し目買い",IF(T192&gt;=10,"○買い候補",IF(T192&gt;=6,"△注目",IF(T192&gt;=3,"様子見","見送り"))))))))</f>
        <v>#VALUE!</v>
      </c>
      <c r="Z192" s="174" t="str">
        <f t="shared" si="47"/>
        <v/>
      </c>
      <c r="AA192" s="166" t="str">
        <f t="shared" si="48"/>
        <v/>
      </c>
      <c r="AB192" s="406">
        <f>IF(C192="","",IFERROR(((終値!E194*0.333)+(終値!F194*0.222)+(終値!G194*0.148)+(終値!H194*0.099)+(終値!I194*0.066)+(終値!J194*0.044)+(終値!K194*0.029)+(終値!L194*0.019)+(終値!M194*0.013)+(終値!N194*0.009))/(0.333+0.222+0.148+0.099+0.066+0.044+0.029+0.019+0.013+0.009),""))</f>
        <v>7657.7902240325848</v>
      </c>
      <c r="AC192" s="406">
        <f>IF(C192="","",IFERROR(SUMPRODUCT((終値!E194:AC194),({0.077,0.071,0.065,0.06,0.055,0.051,0.047,0.043,0.039,0.036,0.033,0.031,0.028,0.026,0.024,0.022,0.02,0.018,0.017,0.016,0.014,0.013,0.012,0.011,0.01}))/SUM({0.077,0.071,0.065,0.06,0.055,0.051,0.047,0.043,0.039,0.036,0.033,0.031,0.028,0.026,0.024,0.022,0.02,0.018,0.017,0.016,0.014,0.013,0.012,0.011,0.01}),""))</f>
        <v>7572.1096543504154</v>
      </c>
      <c r="AD192" s="407" t="str">
        <f t="shared" si="49"/>
        <v>パーフェクト▲</v>
      </c>
      <c r="AE192" s="407" t="e">
        <f t="shared" si="50"/>
        <v>#VALUE!</v>
      </c>
      <c r="AF192" s="368">
        <f t="array" ref="AF192">IF(C192="","",IFERROR((INDEX(終値!$E:$E,MATCH(TEXT(C192,"0"),終値!$A:$A,0))-INDEX(終値!$E:$CZ,MATCH(TEXT(C192,"0"),終値!$A:$A,0),$AL$2))/INDEX(終値!$E:$CZ,MATCH(TEXT(C192,"0"),終値!$A:$A,0),$AL$2)*100,""))</f>
        <v>2.6917900403768504</v>
      </c>
      <c r="AG192" s="368">
        <f t="array" ref="AG192">IFERROR((終値!$E$5-INDEX(終値!$E$5:$CZ$5,1,$AL$2))/INDEX(終値!$E$5:$CZ$5,1,$AL$2)*100,"")</f>
        <v>2.31989243802786</v>
      </c>
      <c r="AH192" s="369">
        <f t="shared" si="42"/>
        <v>0.37189760234899039</v>
      </c>
      <c r="AI192" s="367">
        <f t="shared" si="43"/>
        <v>1</v>
      </c>
    </row>
    <row r="193" spans="1:35" ht="18" customHeight="1">
      <c r="A193" s="166" t="str">
        <f>IF(銘柄管理!B168&lt;&gt;"",HYPERLINK("https://kabutan.jp/stock/?code="&amp;銘柄管理!B168,"株探"),"")</f>
        <v>株探</v>
      </c>
      <c r="B193" s="167"/>
      <c r="C193" s="168">
        <f>IF(銘柄管理!B168="","",銘柄管理!B168)</f>
        <v>2359</v>
      </c>
      <c r="D193" s="106" t="str">
        <f>IF(銘柄管理!C168="","",銘柄管理!C168)</f>
        <v/>
      </c>
      <c r="E193" s="169" t="str">
        <f>IF(C193&lt;&gt;"",_xll.RssMarket(C193,"現在値"),"")</f>
        <v/>
      </c>
      <c r="F193" s="169" t="str">
        <f>IF(C193&lt;&gt;"",_xll.RssMarket(C193,"始値"),"")</f>
        <v/>
      </c>
      <c r="G193" s="168">
        <f>IF(C193&lt;&gt;"",終値!F168,"")</f>
        <v>2010</v>
      </c>
      <c r="H193" s="169" t="str">
        <f>IF(C193&lt;&gt;"",_xll.RssMarket(C193,"高値"),"")</f>
        <v/>
      </c>
      <c r="I193" s="169" t="str">
        <f>IF(C193&lt;&gt;"",_xll.RssMarket(C193,"安値"),"")</f>
        <v/>
      </c>
      <c r="J193" s="169" t="str">
        <f>IF(C193&lt;&gt;"",_xll.RssMarket(C193,"出来高"),"")</f>
        <v/>
      </c>
      <c r="K193" s="169" t="str">
        <f>IF(C193&lt;&gt;"",_xll.RssMarket(C193,"年初来高値"),"")</f>
        <v/>
      </c>
      <c r="L193" s="170" t="str">
        <f t="shared" si="34"/>
        <v/>
      </c>
      <c r="M193" s="169">
        <f>IF(C193&lt;&gt;"",IFERROR(AVERAGE(出来高!E168:I168),""),"")</f>
        <v>19080</v>
      </c>
      <c r="N193" s="169">
        <f>IF(C193&lt;&gt;"",IFERROR(AVERAGE(出来高!E168:AC168),""),"")</f>
        <v>21580</v>
      </c>
      <c r="O193" s="171" t="str">
        <f t="shared" si="35"/>
        <v/>
      </c>
      <c r="P193" s="166" t="str">
        <f t="shared" si="36"/>
        <v/>
      </c>
      <c r="Q193" s="166" t="str">
        <f t="shared" si="37"/>
        <v/>
      </c>
      <c r="R193" s="169" t="str">
        <f t="shared" si="44"/>
        <v/>
      </c>
      <c r="S193" s="169" t="str">
        <f t="shared" si="45"/>
        <v/>
      </c>
      <c r="T193" s="166">
        <f t="shared" si="38"/>
        <v>0</v>
      </c>
      <c r="U193" s="166" t="str">
        <f t="shared" si="46"/>
        <v>除外</v>
      </c>
      <c r="V193" s="166" t="str">
        <f t="shared" si="39"/>
        <v/>
      </c>
      <c r="W193" s="172">
        <f t="array" ref="W193">IF(C193&lt;&gt;"",IFERROR(100-100/(1+SUMPRODUCT((終値!F168:R168&gt;終値!G168:S168)*( 終値!F168:R168-終値!G168:S168))/SUMPRODUCT((終値!F168:R168&lt;終値!G168:S168)*(終値!G168:S168-終値!F168:R168))),50),"")</f>
        <v>51.231527093596064</v>
      </c>
      <c r="X193" s="173">
        <f>IF(C193&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-4.8825003283718615</v>
      </c>
      <c r="Y193" s="1" t="e">
        <f>IF(T193="","",IF(銘柄管理!$F$5="下落▼",IF(AND(AD193="パーフェクト▲",OR(AE193="25日線押し目●",AE193="5日線押し目○")),"★逆張り候補",IF(AND(AD193="上昇トレンド▲",OR(AE193="25日線押し目●",AE193="5日線押し目○")),"○逆張り候補",IF(W193&lt;=30,IF(Z193&gt;0,"◎反発確認",IF(Z193&lt;-5,"△要注意・様子見","△売られ過ぎ注目")),"相場下落・見送り"))),IF(AND(T193&gt;=12,AD193="パーフェクト▲"),"★強い買い",IF(AND(T193&gt;=12,AD193="上昇トレンド▲"),"★強い買い",IF(AND(T193&gt;=8,OR(AE193="25日線押し目●",AE193="5日線押し目○")),"◎押し目買い",IF(T193&gt;=10,"○買い候補",IF(T193&gt;=6,"△注目",IF(T193&gt;=3,"様子見","見送り"))))))))</f>
        <v>#VALUE!</v>
      </c>
      <c r="Z193" s="174" t="str">
        <f t="shared" si="47"/>
        <v/>
      </c>
      <c r="AA193" s="166" t="str">
        <f t="shared" si="48"/>
        <v/>
      </c>
      <c r="AB193" s="408">
        <f>IF(C193="","",IFERROR(((終値!E195*0.333)+(終値!F195*0.222)+(終値!G195*0.148)+(終値!H195*0.099)+(終値!I195*0.066)+(終値!J195*0.044)+(終値!K195*0.029)+(終値!L195*0.019)+(終値!M195*0.013)+(終値!N195*0.009))/(0.333+0.222+0.148+0.099+0.066+0.044+0.029+0.019+0.013+0.009),""))</f>
        <v>7908.2382892057021</v>
      </c>
      <c r="AC193" s="408">
        <f>IF(C193="","",IFERROR(SUMPRODUCT((終値!E195:AC195),({0.077,0.071,0.065,0.06,0.055,0.051,0.047,0.043,0.039,0.036,0.033,0.031,0.028,0.026,0.024,0.022,0.02,0.018,0.017,0.016,0.014,0.013,0.012,0.011,0.01}))/SUM({0.077,0.071,0.065,0.06,0.055,0.051,0.047,0.043,0.039,0.036,0.033,0.031,0.028,0.026,0.024,0.022,0.02,0.018,0.017,0.016,0.014,0.013,0.012,0.011,0.01}),""))</f>
        <v>8760.6436233611421</v>
      </c>
      <c r="AD193" s="409" t="str">
        <f t="shared" si="49"/>
        <v>上昇トレンド▲</v>
      </c>
      <c r="AE193" s="409" t="e">
        <f t="shared" si="50"/>
        <v>#VALUE!</v>
      </c>
      <c r="AF193" s="368">
        <f t="array" ref="AF193">IF(C193="","",IFERROR((INDEX(終値!$E:$E,MATCH(TEXT(C193,"0"),終値!$A:$A,0))-INDEX(終値!$E:$CZ,MATCH(TEXT(C193,"0"),終値!$A:$A,0),$AL$2))/INDEX(終値!$E:$CZ,MATCH(TEXT(C193,"0"),終値!$A:$A,0),$AL$2)*100,""))</f>
        <v>-4.9447911665866542</v>
      </c>
      <c r="AG193" s="368">
        <f t="array" ref="AG193">IFERROR((終値!$E$5-INDEX(終値!$E$5:$CZ$5,1,$AL$2))/INDEX(終値!$E$5:$CZ$5,1,$AL$2)*100,"")</f>
        <v>2.31989243802786</v>
      </c>
      <c r="AH193" s="369">
        <f t="shared" si="42"/>
        <v>-7.2646836046145147</v>
      </c>
      <c r="AI193" s="367">
        <f t="shared" si="43"/>
        <v>-2</v>
      </c>
    </row>
    <row r="194" spans="1:35" ht="18" customHeight="1">
      <c r="A194" s="166" t="str">
        <f>IF(銘柄管理!B174&lt;&gt;"",HYPERLINK("https://kabutan.jp/stock/?code="&amp;銘柄管理!B174,"株探"),"")</f>
        <v>株探</v>
      </c>
      <c r="B194" s="167"/>
      <c r="C194" s="168">
        <f>IF(銘柄管理!B174="","",銘柄管理!B174)</f>
        <v>2327</v>
      </c>
      <c r="D194" s="106" t="str">
        <f>IF(銘柄管理!C174="","",銘柄管理!C174)</f>
        <v/>
      </c>
      <c r="E194" s="169" t="str">
        <f>IF(C194&lt;&gt;"",_xll.RssMarket(C194,"現在値"),"")</f>
        <v/>
      </c>
      <c r="F194" s="169" t="str">
        <f>IF(C194&lt;&gt;"",_xll.RssMarket(C194,"始値"),"")</f>
        <v/>
      </c>
      <c r="G194" s="168">
        <f>IF(C194&lt;&gt;"",終値!F174,"")</f>
        <v>3780</v>
      </c>
      <c r="H194" s="169" t="str">
        <f>IF(C194&lt;&gt;"",_xll.RssMarket(C194,"高値"),"")</f>
        <v/>
      </c>
      <c r="I194" s="169" t="str">
        <f>IF(C194&lt;&gt;"",_xll.RssMarket(C194,"安値"),"")</f>
        <v/>
      </c>
      <c r="J194" s="169" t="str">
        <f>IF(C194&lt;&gt;"",_xll.RssMarket(C194,"出来高"),"")</f>
        <v/>
      </c>
      <c r="K194" s="169" t="str">
        <f>IF(C194&lt;&gt;"",_xll.RssMarket(C194,"年初来高値"),"")</f>
        <v/>
      </c>
      <c r="L194" s="170" t="str">
        <f t="shared" si="34"/>
        <v/>
      </c>
      <c r="M194" s="169">
        <f>IF(C194&lt;&gt;"",IFERROR(AVERAGE(出来高!E174:I174),""),"")</f>
        <v>234960</v>
      </c>
      <c r="N194" s="169">
        <f>IF(C194&lt;&gt;"",IFERROR(AVERAGE(出来高!E174:AC174),""),"")</f>
        <v>321176</v>
      </c>
      <c r="O194" s="171" t="str">
        <f t="shared" si="35"/>
        <v/>
      </c>
      <c r="P194" s="166" t="str">
        <f t="shared" si="36"/>
        <v/>
      </c>
      <c r="Q194" s="166" t="str">
        <f t="shared" si="37"/>
        <v/>
      </c>
      <c r="R194" s="169" t="str">
        <f t="shared" si="44"/>
        <v/>
      </c>
      <c r="S194" s="169" t="str">
        <f t="shared" si="45"/>
        <v/>
      </c>
      <c r="T194" s="166">
        <f t="shared" si="38"/>
        <v>0</v>
      </c>
      <c r="U194" s="166" t="str">
        <f t="shared" si="46"/>
        <v>除外</v>
      </c>
      <c r="V194" s="166" t="str">
        <f t="shared" si="39"/>
        <v/>
      </c>
      <c r="W194" s="172">
        <f t="array" ref="W194">IF(C194&lt;&gt;"",IFERROR(100-100/(1+SUMPRODUCT((終値!F174:R174&gt;終値!G174:S174)*( 終値!F174:R174-終値!G174:S174))/SUMPRODUCT((終値!F174:R174&lt;終値!G174:S174)*(終値!G174:S174-終値!F174:R174))),50),"")</f>
        <v>79.664570230607964</v>
      </c>
      <c r="X194" s="173">
        <f>IF(C194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83.393593351351683</v>
      </c>
      <c r="Y194" s="1" t="e">
        <f>IF(T194="","",IF(銘柄管理!$F$5="下落▼",IF(AND(AD194="パーフェクト▲",OR(AE194="25日線押し目●",AE194="5日線押し目○")),"★逆張り候補",IF(AND(AD194="上昇トレンド▲",OR(AE194="25日線押し目●",AE194="5日線押し目○")),"○逆張り候補",IF(W194&lt;=30,IF(Z194&gt;0,"◎反発確認",IF(Z194&lt;-5,"△要注意・様子見","△売られ過ぎ注目")),"相場下落・見送り"))),IF(AND(T194&gt;=12,AD194="パーフェクト▲"),"★強い買い",IF(AND(T194&gt;=12,AD194="上昇トレンド▲"),"★強い買い",IF(AND(T194&gt;=8,OR(AE194="25日線押し目●",AE194="5日線押し目○")),"◎押し目買い",IF(T194&gt;=10,"○買い候補",IF(T194&gt;=6,"△注目",IF(T194&gt;=3,"様子見","見送り"))))))))</f>
        <v>#VALUE!</v>
      </c>
      <c r="Z194" s="174" t="str">
        <f t="shared" si="47"/>
        <v/>
      </c>
      <c r="AA194" s="166" t="str">
        <f t="shared" si="48"/>
        <v/>
      </c>
      <c r="AB194" s="406">
        <f>IF(C194="","",IFERROR(((終値!E196*0.333)+(終値!F196*0.222)+(終値!G196*0.148)+(終値!H196*0.099)+(終値!I196*0.066)+(終値!J196*0.044)+(終値!K196*0.029)+(終値!L196*0.019)+(終値!M196*0.013)+(終値!N196*0.009))/(0.333+0.222+0.148+0.099+0.066+0.044+0.029+0.019+0.013+0.009),""))</f>
        <v>24032.963340122194</v>
      </c>
      <c r="AC194" s="406">
        <f>IF(C194="","",IFERROR(SUMPRODUCT((終値!E196:AC196),({0.077,0.071,0.065,0.06,0.055,0.051,0.047,0.043,0.039,0.036,0.033,0.031,0.028,0.026,0.024,0.022,0.02,0.018,0.017,0.016,0.014,0.013,0.012,0.011,0.01}))/SUM({0.077,0.071,0.065,0.06,0.055,0.051,0.047,0.043,0.039,0.036,0.033,0.031,0.028,0.026,0.024,0.022,0.02,0.018,0.017,0.016,0.014,0.013,0.012,0.011,0.01}),""))</f>
        <v>25203.194278903444</v>
      </c>
      <c r="AD194" s="407" t="str">
        <f t="shared" si="49"/>
        <v>上昇トレンド▲</v>
      </c>
      <c r="AE194" s="407" t="e">
        <f t="shared" si="50"/>
        <v>#VALUE!</v>
      </c>
      <c r="AF194" s="368">
        <f t="array" ref="AF194">IF(C194="","",IFERROR((INDEX(終値!$E:$E,MATCH(TEXT(C194,"0"),終値!$A:$A,0))-INDEX(終値!$E:$CZ,MATCH(TEXT(C194,"0"),終値!$A:$A,0),$AL$2))/INDEX(終値!$E:$CZ,MATCH(TEXT(C194,"0"),終値!$A:$A,0),$AL$2)*100,""))</f>
        <v>14.914645103324348</v>
      </c>
      <c r="AG194" s="368">
        <f t="array" ref="AG194">IFERROR((終値!$E$5-INDEX(終値!$E$5:$CZ$5,1,$AL$2))/INDEX(終値!$E$5:$CZ$5,1,$AL$2)*100,"")</f>
        <v>2.31989243802786</v>
      </c>
      <c r="AH194" s="369">
        <f t="shared" si="42"/>
        <v>12.594752665296488</v>
      </c>
      <c r="AI194" s="367">
        <f t="shared" si="43"/>
        <v>3</v>
      </c>
    </row>
    <row r="195" spans="1:35" ht="18" customHeight="1">
      <c r="A195" s="166" t="str">
        <f>IF(銘柄管理!B131&lt;&gt;"",HYPERLINK("https://kabutan.jp/stock/?code="&amp;銘柄管理!B131,"株探"),"")</f>
        <v>株探</v>
      </c>
      <c r="B195" s="167"/>
      <c r="C195" s="168">
        <f>IF(銘柄管理!B131="","",銘柄管理!B131)</f>
        <v>2160</v>
      </c>
      <c r="D195" s="106" t="str">
        <f>IF(銘柄管理!C131="","",銘柄管理!C131)</f>
        <v/>
      </c>
      <c r="E195" s="169" t="str">
        <f>IF(C195&lt;&gt;"",_xll.RssMarket(C195,"現在値"),"")</f>
        <v/>
      </c>
      <c r="F195" s="169" t="str">
        <f>IF(C195&lt;&gt;"",_xll.RssMarket(C195,"始値"),"")</f>
        <v/>
      </c>
      <c r="G195" s="168">
        <f>IF(C195&lt;&gt;"",終値!F131,"")</f>
        <v>2602</v>
      </c>
      <c r="H195" s="169" t="str">
        <f>IF(C195&lt;&gt;"",_xll.RssMarket(C195,"高値"),"")</f>
        <v/>
      </c>
      <c r="I195" s="169" t="str">
        <f>IF(C195&lt;&gt;"",_xll.RssMarket(C195,"安値"),"")</f>
        <v/>
      </c>
      <c r="J195" s="169" t="str">
        <f>IF(C195&lt;&gt;"",_xll.RssMarket(C195,"出来高"),"")</f>
        <v/>
      </c>
      <c r="K195" s="169" t="str">
        <f>IF(C195&lt;&gt;"",_xll.RssMarket(C195,"年初来高値"),"")</f>
        <v/>
      </c>
      <c r="L195" s="170" t="str">
        <f t="shared" ref="L195:L206" si="51">IF(AND(E195&lt;&gt;"",K195&lt;&gt;"",K195&lt;&gt;0),(E195-K195)/K195*100,"")</f>
        <v/>
      </c>
      <c r="M195" s="169">
        <f>IF(C195&lt;&gt;"",IFERROR(AVERAGE(出来高!E131:I131),""),"")</f>
        <v>642080</v>
      </c>
      <c r="N195" s="169">
        <f>IF(C195&lt;&gt;"",IFERROR(AVERAGE(出来高!E131:AC131),""),"")</f>
        <v>918356</v>
      </c>
      <c r="O195" s="171" t="str">
        <f t="shared" ref="O195:O206" si="52">IF(AND(J195&lt;&gt;"",M195&lt;&gt;"",M195&lt;&gt;0),J195/M195,"")</f>
        <v/>
      </c>
      <c r="P195" s="166" t="str">
        <f t="shared" ref="P195:P206" si="53">IF(O195="","",IF(O195&gt;=2,"急増↑↑",IF(O195&gt;=1.5,"増加↑",IF(O195&gt;=1,"普通→","減少↓"))))</f>
        <v/>
      </c>
      <c r="Q195" s="166" t="str">
        <f t="shared" ref="Q195:Q206" si="54">IF(E195="","",IF(AND(E195&gt;G195,O195&gt;=1.5),"買い▲",IF(E195&lt;G195,"様子見▼","中立→")))</f>
        <v/>
      </c>
      <c r="R195" s="169" t="str">
        <f t="shared" si="44"/>
        <v/>
      </c>
      <c r="S195" s="169" t="str">
        <f t="shared" si="45"/>
        <v/>
      </c>
      <c r="T195" s="166">
        <f t="shared" ref="T195:T206" si="55">IF(C195="","",IFERROR(IF(O195&gt;=2,3,IF(O195&gt;=1.5,2,IF(O195&gt;=1,1,0)))+IF(E195&gt;G195,1,0)+IF(L195&gt;=-5,1,0)+IF(Q195="買い▲",2,0)+IF(W195&lt;=30,3,IF(W195&lt;=40,2,IF(AND(W195&gt;=40,W195&lt;=60),1,0)))+IF(X195&gt;0,1,0)+IF(V195="年初来高値更新●",3,IF(V195="高値圏",2,0))+IF(AD195="パーフェクト▲",3,IF(AD195="上昇トレンド▲",2,0))+IF(AE195="25日線押し目●",2,IF(AE195="5日線押し目○",1,0))+IF(P195="急増↑↑",2,IF(P195="増加↑",1,0))+N(AI195),0))</f>
        <v>0</v>
      </c>
      <c r="U195" s="166" t="str">
        <f t="shared" si="46"/>
        <v>除外</v>
      </c>
      <c r="V195" s="166" t="str">
        <f t="shared" ref="V195:V206" si="56">IF(AND(H195&lt;&gt;"",K195&lt;&gt;""),IF(H195&gt;=K195,"年初来高値更新●",IF(H195&gt;=K195*0.95,"高値圏","通常")),"")</f>
        <v/>
      </c>
      <c r="W195" s="172">
        <f t="array" ref="W195">IF(C195&lt;&gt;"",IFERROR(100-100/(1+SUMPRODUCT((終値!F131:R131&gt;終値!G131:S131)*( 終値!F131:R131-終値!G131:S131))/SUMPRODUCT((終値!F131:R131&lt;終値!G131:S131)*(終値!G131:S131-終値!F131:R131))),50),"")</f>
        <v>51.077586206896548</v>
      </c>
      <c r="X195" s="173">
        <f>IF(C195&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0.76777490755875988</v>
      </c>
      <c r="Y195" s="1" t="e">
        <f>IF(T195="","",IF(銘柄管理!$F$5="下落▼",IF(AND(AD195="パーフェクト▲",OR(AE195="25日線押し目●",AE195="5日線押し目○")),"★逆張り候補",IF(AND(AD195="上昇トレンド▲",OR(AE195="25日線押し目●",AE195="5日線押し目○")),"○逆張り候補",IF(W195&lt;=30,IF(Z195&gt;0,"◎反発確認",IF(Z195&lt;-5,"△要注意・様子見","△売られ過ぎ注目")),"相場下落・見送り"))),IF(AND(T195&gt;=12,AD195="パーフェクト▲"),"★強い買い",IF(AND(T195&gt;=12,AD195="上昇トレンド▲"),"★強い買い",IF(AND(T195&gt;=8,OR(AE195="25日線押し目●",AE195="5日線押し目○")),"◎押し目買い",IF(T195&gt;=10,"○買い候補",IF(T195&gt;=6,"△注目",IF(T195&gt;=3,"様子見","見送り"))))))))</f>
        <v>#VALUE!</v>
      </c>
      <c r="Z195" s="174" t="str">
        <f t="shared" si="47"/>
        <v/>
      </c>
      <c r="AA195" s="166" t="str">
        <f t="shared" si="48"/>
        <v/>
      </c>
      <c r="AB195" s="408">
        <f>IF(C195="","",IFERROR(((終値!E197*0.333)+(終値!F197*0.222)+(終値!G197*0.148)+(終値!H197*0.099)+(終値!I197*0.066)+(終値!J197*0.044)+(終値!K197*0.029)+(終値!L197*0.019)+(終値!M197*0.013)+(終値!N197*0.009))/(0.333+0.222+0.148+0.099+0.066+0.044+0.029+0.019+0.013+0.009),""))</f>
        <v>69861.150712830931</v>
      </c>
      <c r="AC195" s="408">
        <f>IF(C195="","",IFERROR(SUMPRODUCT((終値!E197:AC197),({0.077,0.071,0.065,0.06,0.055,0.051,0.047,0.043,0.039,0.036,0.033,0.031,0.028,0.026,0.024,0.022,0.02,0.018,0.017,0.016,0.014,0.013,0.012,0.011,0.01}))/SUM({0.077,0.071,0.065,0.06,0.055,0.051,0.047,0.043,0.039,0.036,0.033,0.031,0.028,0.026,0.024,0.022,0.02,0.018,0.017,0.016,0.014,0.013,0.012,0.011,0.01}),""))</f>
        <v>75302.514898688882</v>
      </c>
      <c r="AD195" s="409" t="str">
        <f t="shared" ref="AD195:AD202" si="57">IF(OR(C195="",AB195="",AC195=""),"",IF(AND(E195&gt;AB195,AB195&gt;AC195),"パーフェクト▲",IF(E195&gt;AC195,"上昇トレンド▲",IF(AND(E195&lt;AB195,AB195&lt;AC195),"下降トレンド▼","もみ合い→"))))</f>
        <v>上昇トレンド▲</v>
      </c>
      <c r="AE195" s="409" t="e">
        <f t="shared" ref="AE195:AE202" si="58">IF(OR(C195="",AB195="",AC195=""),"",IF(AND(ABS(E195-AC195)/AC195&lt;=0.02,E195&gt;AC195),"25日押し目★",IF(AND(ABS(E195-AB195)/AB195&lt;=0.01,E195&gt;AB195),"5日押し目○","なし")))</f>
        <v>#VALUE!</v>
      </c>
      <c r="AF195" s="368">
        <f t="array" ref="AF195">IF(C195="","",IFERROR((INDEX(終値!$E:$E,MATCH(TEXT(C195,"0"),終値!$A:$A,0))-INDEX(終値!$E:$CZ,MATCH(TEXT(C195,"0"),終値!$A:$A,0),$AL$2))/INDEX(終値!$E:$CZ,MATCH(TEXT(C195,"0"),終値!$A:$A,0),$AL$2)*100,""))</f>
        <v>-13.167259786476867</v>
      </c>
      <c r="AG195" s="368">
        <f t="array" ref="AG195">IFERROR((終値!$E$5-INDEX(終値!$E$5:$CZ$5,1,$AL$2))/INDEX(終値!$E$5:$CZ$5,1,$AL$2)*100,"")</f>
        <v>2.31989243802786</v>
      </c>
      <c r="AH195" s="369">
        <f t="shared" ref="AH195:AH206" si="59">IF(OR(AF195="",AG195=""),"",AF195-AG195)</f>
        <v>-15.487152224504728</v>
      </c>
      <c r="AI195" s="367">
        <f t="shared" ref="AI195:AI206" si="60">IF(AH195="","",IF(AH195&gt;5,3,IF(AH195&gt;0,1,IF(AH195&gt;-3,-1,-2))))</f>
        <v>-2</v>
      </c>
    </row>
    <row r="196" spans="1:35" ht="18" customHeight="1">
      <c r="A196" s="166" t="str">
        <f>IF(銘柄管理!B187&lt;&gt;"",HYPERLINK("https://kabutan.jp/stock/?code="&amp;銘柄管理!B187,"株探"),"")</f>
        <v>株探</v>
      </c>
      <c r="B196" s="167"/>
      <c r="C196" s="168">
        <f>IF(銘柄管理!B187="","",銘柄管理!B187)</f>
        <v>2127</v>
      </c>
      <c r="D196" s="106" t="str">
        <f>IF(銘柄管理!C187="","",銘柄管理!C187)</f>
        <v/>
      </c>
      <c r="E196" s="169" t="str">
        <f>IF(C196&lt;&gt;"",_xll.RssMarket(C196,"現在値"),"")</f>
        <v/>
      </c>
      <c r="F196" s="169" t="str">
        <f>IF(C196&lt;&gt;"",_xll.RssMarket(C196,"始値"),"")</f>
        <v/>
      </c>
      <c r="G196" s="168">
        <f>IF(C196&lt;&gt;"",終値!F187,"")</f>
        <v>678.7</v>
      </c>
      <c r="H196" s="169" t="str">
        <f>IF(C196&lt;&gt;"",_xll.RssMarket(C196,"高値"),"")</f>
        <v/>
      </c>
      <c r="I196" s="169" t="str">
        <f>IF(C196&lt;&gt;"",_xll.RssMarket(C196,"安値"),"")</f>
        <v/>
      </c>
      <c r="J196" s="169" t="str">
        <f>IF(C196&lt;&gt;"",_xll.RssMarket(C196,"出来高"),"")</f>
        <v/>
      </c>
      <c r="K196" s="169" t="str">
        <f>IF(C196&lt;&gt;"",_xll.RssMarket(C196,"年初来高値"),"")</f>
        <v/>
      </c>
      <c r="L196" s="170" t="str">
        <f t="shared" si="51"/>
        <v/>
      </c>
      <c r="M196" s="169">
        <f>IF(C196&lt;&gt;"",IFERROR(AVERAGE(出来高!E187:I187),""),"")</f>
        <v>1051980</v>
      </c>
      <c r="N196" s="169">
        <f>IF(C196&lt;&gt;"",IFERROR(AVERAGE(出来高!E187:AC187),""),"")</f>
        <v>1597452</v>
      </c>
      <c r="O196" s="171" t="str">
        <f t="shared" si="52"/>
        <v/>
      </c>
      <c r="P196" s="166" t="str">
        <f t="shared" si="53"/>
        <v/>
      </c>
      <c r="Q196" s="166" t="str">
        <f t="shared" si="54"/>
        <v/>
      </c>
      <c r="R196" s="169" t="str">
        <f t="shared" ref="R196:R206" si="61">IF(E196&lt;&gt;"",ROUND(E196*1.08,0),"")</f>
        <v/>
      </c>
      <c r="S196" s="169" t="str">
        <f t="shared" ref="S196:S206" si="62">IF(E196&lt;&gt;"",ROUND(E196*0.96,0),"")</f>
        <v/>
      </c>
      <c r="T196" s="166">
        <f t="shared" si="55"/>
        <v>0</v>
      </c>
      <c r="U196" s="166" t="str">
        <f t="shared" ref="U196:U206" si="63">IF(T196="","",IF(AND(T196&gt;=3,O196&gt;=1.5),"有効",IF(T196&gt;=3,"要確認","除外")))</f>
        <v>除外</v>
      </c>
      <c r="V196" s="166" t="str">
        <f t="shared" si="56"/>
        <v/>
      </c>
      <c r="W196" s="172">
        <f t="array" ref="W196">IF(C196&lt;&gt;"",IFERROR(100-100/(1+SUMPRODUCT((終値!F187:R187&gt;終値!G187:S187)*( 終値!F187:R187-終値!G187:S187))/SUMPRODUCT((終値!F187:R187&lt;終値!G187:S187)*(終値!G187:S187-終値!F187:R187))),50),"")</f>
        <v>81.228668941979549</v>
      </c>
      <c r="X196" s="173">
        <f>IF(C196&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6.568566584009659</v>
      </c>
      <c r="Y196" s="1" t="e">
        <f>IF(T196="","",IF(銘柄管理!$F$5="下落▼",IF(AND(AD196="パーフェクト▲",OR(AE196="25日線押し目●",AE196="5日線押し目○")),"★逆張り候補",IF(AND(AD196="上昇トレンド▲",OR(AE196="25日線押し目●",AE196="5日線押し目○")),"○逆張り候補",IF(W196&lt;=30,IF(Z196&gt;0,"◎反発確認",IF(Z196&lt;-5,"△要注意・様子見","△売られ過ぎ注目")),"相場下落・見送り"))),IF(AND(T196&gt;=12,AD196="パーフェクト▲"),"★強い買い",IF(AND(T196&gt;=12,AD196="上昇トレンド▲"),"★強い買い",IF(AND(T196&gt;=8,OR(AE196="25日線押し目●",AE196="5日線押し目○")),"◎押し目買い",IF(T196&gt;=10,"○買い候補",IF(T196&gt;=6,"△注目",IF(T196&gt;=3,"様子見","見送り"))))))))</f>
        <v>#VALUE!</v>
      </c>
      <c r="Z196" s="174" t="str">
        <f t="shared" ref="Z196:Z206" si="64">IF(AND(E196&lt;&gt;"",G196&lt;&gt;"",G196&lt;&gt;0),(E196-G196)/G196*100,"")</f>
        <v/>
      </c>
      <c r="AA196" s="166" t="str">
        <f t="shared" ref="AA196:AA206" si="65">IF(OR(C196="",E196="",E196=0),"",IF(E196&gt;G196,"上昇▲",IF(E196&lt;G196,"下落▼","横ばい→")))</f>
        <v/>
      </c>
      <c r="AB196" s="406">
        <f>IF(C196="","",IFERROR(((終値!E198*0.333)+(終値!F198*0.222)+(終値!G198*0.148)+(終値!H198*0.099)+(終値!I198*0.066)+(終値!J198*0.044)+(終値!K198*0.029)+(終値!L198*0.019)+(終値!M198*0.013)+(終値!N198*0.009))/(0.333+0.222+0.148+0.099+0.066+0.044+0.029+0.019+0.013+0.009),""))</f>
        <v>69879.317718940947</v>
      </c>
      <c r="AC196" s="406">
        <f>IF(C196="","",IFERROR(SUMPRODUCT((終値!E198:AC198),({0.077,0.071,0.065,0.06,0.055,0.051,0.047,0.043,0.039,0.036,0.033,0.031,0.028,0.026,0.024,0.022,0.02,0.018,0.017,0.016,0.014,0.013,0.012,0.011,0.01}))/SUM({0.077,0.071,0.065,0.06,0.055,0.051,0.047,0.043,0.039,0.036,0.033,0.031,0.028,0.026,0.024,0.022,0.02,0.018,0.017,0.016,0.014,0.013,0.012,0.011,0.01}),""))</f>
        <v>71600.071513706775</v>
      </c>
      <c r="AD196" s="407" t="str">
        <f t="shared" si="57"/>
        <v>上昇トレンド▲</v>
      </c>
      <c r="AE196" s="407" t="e">
        <f t="shared" si="58"/>
        <v>#VALUE!</v>
      </c>
      <c r="AF196" s="368">
        <f t="array" ref="AF196">IF(C196="","",IFERROR((INDEX(終値!$E:$E,MATCH(TEXT(C196,"0"),終値!$A:$A,0))-INDEX(終値!$E:$CZ,MATCH(TEXT(C196,"0"),終値!$A:$A,0),$AL$2))/INDEX(終値!$E:$CZ,MATCH(TEXT(C196,"0"),終値!$A:$A,0),$AL$2)*100,""))</f>
        <v>6.2095117712118935</v>
      </c>
      <c r="AG196" s="368">
        <f t="array" ref="AG196">IFERROR((終値!$E$5-INDEX(終値!$E$5:$CZ$5,1,$AL$2))/INDEX(終値!$E$5:$CZ$5,1,$AL$2)*100,"")</f>
        <v>2.31989243802786</v>
      </c>
      <c r="AH196" s="369">
        <f t="shared" si="59"/>
        <v>3.8896193331840334</v>
      </c>
      <c r="AI196" s="367">
        <f t="shared" si="60"/>
        <v>1</v>
      </c>
    </row>
    <row r="197" spans="1:35" ht="18" customHeight="1">
      <c r="A197" s="166" t="str">
        <f>IF(銘柄管理!B86&lt;&gt;"",HYPERLINK("https://kabutan.jp/stock/?code="&amp;銘柄管理!B86,"株探"),"")</f>
        <v>株探</v>
      </c>
      <c r="B197" s="167"/>
      <c r="C197" s="168">
        <f>IF(銘柄管理!B86="","",銘柄管理!B86)</f>
        <v>1963</v>
      </c>
      <c r="D197" s="106" t="str">
        <f>IF(銘柄管理!C86="","",銘柄管理!C86)</f>
        <v/>
      </c>
      <c r="E197" s="169" t="str">
        <f>IF(C197&lt;&gt;"",_xll.RssMarket(C197,"現在値"),"")</f>
        <v/>
      </c>
      <c r="F197" s="169" t="str">
        <f>IF(C197&lt;&gt;"",_xll.RssMarket(C197,"始値"),"")</f>
        <v/>
      </c>
      <c r="G197" s="168">
        <f>IF(C197&lt;&gt;"",終値!F86,"")</f>
        <v>2325</v>
      </c>
      <c r="H197" s="169" t="str">
        <f>IF(C197&lt;&gt;"",_xll.RssMarket(C197,"高値"),"")</f>
        <v/>
      </c>
      <c r="I197" s="169" t="str">
        <f>IF(C197&lt;&gt;"",_xll.RssMarket(C197,"安値"),"")</f>
        <v/>
      </c>
      <c r="J197" s="169" t="str">
        <f>IF(C197&lt;&gt;"",_xll.RssMarket(C197,"出来高"),"")</f>
        <v/>
      </c>
      <c r="K197" s="169" t="str">
        <f>IF(C197&lt;&gt;"",_xll.RssMarket(C197,"年初来高値"),"")</f>
        <v/>
      </c>
      <c r="L197" s="170" t="str">
        <f t="shared" si="51"/>
        <v/>
      </c>
      <c r="M197" s="169">
        <f>IF(C197&lt;&gt;"",IFERROR(AVERAGE(出来高!E86:I86),""),"")</f>
        <v>1755700</v>
      </c>
      <c r="N197" s="169">
        <f>IF(C197&lt;&gt;"",IFERROR(AVERAGE(出来高!E86:AC86),""),"")</f>
        <v>1674636</v>
      </c>
      <c r="O197" s="171" t="str">
        <f t="shared" si="52"/>
        <v/>
      </c>
      <c r="P197" s="166" t="str">
        <f t="shared" si="53"/>
        <v/>
      </c>
      <c r="Q197" s="166" t="str">
        <f t="shared" si="54"/>
        <v/>
      </c>
      <c r="R197" s="169" t="str">
        <f t="shared" si="61"/>
        <v/>
      </c>
      <c r="S197" s="169" t="str">
        <f t="shared" si="62"/>
        <v/>
      </c>
      <c r="T197" s="166">
        <f t="shared" si="55"/>
        <v>0</v>
      </c>
      <c r="U197" s="166" t="str">
        <f t="shared" si="63"/>
        <v>除外</v>
      </c>
      <c r="V197" s="166" t="str">
        <f t="shared" si="56"/>
        <v/>
      </c>
      <c r="W197" s="172">
        <f t="array" ref="W197">IF(C197&lt;&gt;"",IFERROR(100-100/(1+SUMPRODUCT((終値!F86:R86&gt;終値!G86:S86)*( 終値!F86:R86-終値!G86:S86))/SUMPRODUCT((終値!F86:R86&lt;終値!G86:S86)*(終値!G86:S86-終値!F86:R86))),50),"")</f>
        <v>27.195767195767189</v>
      </c>
      <c r="X197" s="173">
        <f>IF(C197&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-43.085318163182365</v>
      </c>
      <c r="Y197" s="1" t="e">
        <f>IF(T197="","",IF(銘柄管理!$F$5="下落▼",IF(AND(AD197="パーフェクト▲",OR(AE197="25日線押し目●",AE197="5日線押し目○")),"★逆張り候補",IF(AND(AD197="上昇トレンド▲",OR(AE197="25日線押し目●",AE197="5日線押し目○")),"○逆張り候補",IF(W197&lt;=30,IF(Z197&gt;0,"◎反発確認",IF(Z197&lt;-5,"△要注意・様子見","△売られ過ぎ注目")),"相場下落・見送り"))),IF(AND(T197&gt;=12,AD197="パーフェクト▲"),"★強い買い",IF(AND(T197&gt;=12,AD197="上昇トレンド▲"),"★強い買い",IF(AND(T197&gt;=8,OR(AE197="25日線押し目●",AE197="5日線押し目○")),"◎押し目買い",IF(T197&gt;=10,"○買い候補",IF(T197&gt;=6,"△注目",IF(T197&gt;=3,"様子見","見送り"))))))))</f>
        <v>#VALUE!</v>
      </c>
      <c r="Z197" s="174" t="str">
        <f t="shared" si="64"/>
        <v/>
      </c>
      <c r="AA197" s="166" t="str">
        <f t="shared" si="65"/>
        <v/>
      </c>
      <c r="AB197" s="408">
        <f>IF(C197="","",IFERROR(((終値!E199*0.333)+(終値!F199*0.222)+(終値!G199*0.148)+(終値!H199*0.099)+(終値!I199*0.066)+(終値!J199*0.044)+(終値!K199*0.029)+(終値!L199*0.019)+(終値!M199*0.013)+(終値!N199*0.009))/(0.333+0.222+0.148+0.099+0.066+0.044+0.029+0.019+0.013+0.009),""))</f>
        <v>44878.21792260692</v>
      </c>
      <c r="AC197" s="408">
        <f>IF(C197="","",IFERROR(SUMPRODUCT((終値!E199:AC199),({0.077,0.071,0.065,0.06,0.055,0.051,0.047,0.043,0.039,0.036,0.033,0.031,0.028,0.026,0.024,0.022,0.02,0.018,0.017,0.016,0.014,0.013,0.012,0.011,0.01}))/SUM({0.077,0.071,0.065,0.06,0.055,0.051,0.047,0.043,0.039,0.036,0.033,0.031,0.028,0.026,0.024,0.022,0.02,0.018,0.017,0.016,0.014,0.013,0.012,0.011,0.01}),""))</f>
        <v>46931.179976162071</v>
      </c>
      <c r="AD197" s="409" t="str">
        <f t="shared" si="57"/>
        <v>上昇トレンド▲</v>
      </c>
      <c r="AE197" s="409" t="e">
        <f t="shared" si="58"/>
        <v>#VALUE!</v>
      </c>
      <c r="AF197" s="368">
        <f t="array" ref="AF197">IF(C197="","",IFERROR((INDEX(終値!$E:$E,MATCH(TEXT(C197,"0"),終値!$A:$A,0))-INDEX(終値!$E:$CZ,MATCH(TEXT(C197,"0"),終値!$A:$A,0),$AL$2))/INDEX(終値!$E:$CZ,MATCH(TEXT(C197,"0"),終値!$A:$A,0),$AL$2)*100,""))</f>
        <v>-14.017961733697772</v>
      </c>
      <c r="AG197" s="368">
        <f t="array" ref="AG197">IFERROR((終値!$E$5-INDEX(終値!$E$5:$CZ$5,1,$AL$2))/INDEX(終値!$E$5:$CZ$5,1,$AL$2)*100,"")</f>
        <v>2.31989243802786</v>
      </c>
      <c r="AH197" s="369">
        <f t="shared" si="59"/>
        <v>-16.337854171725631</v>
      </c>
      <c r="AI197" s="367">
        <f t="shared" si="60"/>
        <v>-2</v>
      </c>
    </row>
    <row r="198" spans="1:35" ht="18" customHeight="1">
      <c r="A198" s="166" t="str">
        <f>IF(銘柄管理!B59&lt;&gt;"",HYPERLINK("https://kabutan.jp/stock/?code="&amp;銘柄管理!B59,"株探"),"")</f>
        <v>株探</v>
      </c>
      <c r="B198" s="167"/>
      <c r="C198" s="168">
        <f>IF(銘柄管理!B59="","",銘柄管理!B59)</f>
        <v>1961</v>
      </c>
      <c r="D198" s="106" t="str">
        <f>IF(銘柄管理!C59="","",銘柄管理!C59)</f>
        <v/>
      </c>
      <c r="E198" s="169" t="str">
        <f>IF(C198&lt;&gt;"",_xll.RssMarket(C198,"現在値"),"")</f>
        <v/>
      </c>
      <c r="F198" s="169" t="str">
        <f>IF(C198&lt;&gt;"",_xll.RssMarket(C198,"始値"),"")</f>
        <v/>
      </c>
      <c r="G198" s="168">
        <f>IF(C198&lt;&gt;"",終値!F59,"")</f>
        <v>2628</v>
      </c>
      <c r="H198" s="169" t="str">
        <f>IF(C198&lt;&gt;"",_xll.RssMarket(C198,"高値"),"")</f>
        <v/>
      </c>
      <c r="I198" s="169" t="str">
        <f>IF(C198&lt;&gt;"",_xll.RssMarket(C198,"安値"),"")</f>
        <v/>
      </c>
      <c r="J198" s="169" t="str">
        <f>IF(C198&lt;&gt;"",_xll.RssMarket(C198,"出来高"),"")</f>
        <v/>
      </c>
      <c r="K198" s="169" t="str">
        <f>IF(C198&lt;&gt;"",_xll.RssMarket(C198,"年初来高値"),"")</f>
        <v/>
      </c>
      <c r="L198" s="170" t="str">
        <f t="shared" si="51"/>
        <v/>
      </c>
      <c r="M198" s="169">
        <f>IF(C198&lt;&gt;"",IFERROR(AVERAGE(出来高!E59:I59),""),"")</f>
        <v>748100</v>
      </c>
      <c r="N198" s="169">
        <f>IF(C198&lt;&gt;"",IFERROR(AVERAGE(出来高!E59:AC59),""),"")</f>
        <v>659088</v>
      </c>
      <c r="O198" s="171" t="str">
        <f t="shared" si="52"/>
        <v/>
      </c>
      <c r="P198" s="166" t="str">
        <f t="shared" si="53"/>
        <v/>
      </c>
      <c r="Q198" s="166" t="str">
        <f t="shared" si="54"/>
        <v/>
      </c>
      <c r="R198" s="169" t="str">
        <f t="shared" si="61"/>
        <v/>
      </c>
      <c r="S198" s="169" t="str">
        <f t="shared" si="62"/>
        <v/>
      </c>
      <c r="T198" s="166">
        <f t="shared" si="55"/>
        <v>0</v>
      </c>
      <c r="U198" s="166" t="str">
        <f t="shared" si="63"/>
        <v>除外</v>
      </c>
      <c r="V198" s="166" t="str">
        <f t="shared" si="56"/>
        <v/>
      </c>
      <c r="W198" s="172">
        <f t="array" ref="W198">IF(C198&lt;&gt;"",IFERROR(100-100/(1+SUMPRODUCT((終値!F59:R59&gt;終値!G59:S59)*( 終値!F59:R59-終値!G59:S59))/SUMPRODUCT((終値!F59:R59&lt;終値!G59:S59)*(終値!G59:S59-終値!F59:R59))),50),"")</f>
        <v>22.782037239868558</v>
      </c>
      <c r="X198" s="173">
        <f>IF(C198&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-50.825021194956207</v>
      </c>
      <c r="Y198" s="1" t="e">
        <f>IF(T198="","",IF(銘柄管理!$F$5="下落▼",IF(AND(AD198="パーフェクト▲",OR(AE198="25日線押し目●",AE198="5日線押し目○")),"★逆張り候補",IF(AND(AD198="上昇トレンド▲",OR(AE198="25日線押し目●",AE198="5日線押し目○")),"○逆張り候補",IF(W198&lt;=30,IF(Z198&gt;0,"◎反発確認",IF(Z198&lt;-5,"△要注意・様子見","△売られ過ぎ注目")),"相場下落・見送り"))),IF(AND(T198&gt;=12,AD198="パーフェクト▲"),"★強い買い",IF(AND(T198&gt;=12,AD198="上昇トレンド▲"),"★強い買い",IF(AND(T198&gt;=8,OR(AE198="25日線押し目●",AE198="5日線押し目○")),"◎押し目買い",IF(T198&gt;=10,"○買い候補",IF(T198&gt;=6,"△注目",IF(T198&gt;=3,"様子見","見送り"))))))))</f>
        <v>#VALUE!</v>
      </c>
      <c r="Z198" s="174" t="str">
        <f t="shared" si="64"/>
        <v/>
      </c>
      <c r="AA198" s="166" t="str">
        <f t="shared" si="65"/>
        <v/>
      </c>
      <c r="AB198" s="406">
        <f>IF(C198="","",IFERROR(((終値!E200*0.333)+(終値!F200*0.222)+(終値!G200*0.148)+(終値!H200*0.099)+(終値!I200*0.066)+(終値!J200*0.044)+(終値!K200*0.029)+(終値!L200*0.019)+(終値!M200*0.013)+(終値!N200*0.009))/(0.333+0.222+0.148+0.099+0.066+0.044+0.029+0.019+0.013+0.009),""))</f>
        <v>3528.1629327902233</v>
      </c>
      <c r="AC198" s="406">
        <f>IF(C198="","",IFERROR(SUMPRODUCT((終値!E200:AC200),({0.077,0.071,0.065,0.06,0.055,0.051,0.047,0.043,0.039,0.036,0.033,0.031,0.028,0.026,0.024,0.022,0.02,0.018,0.017,0.016,0.014,0.013,0.012,0.011,0.01}))/SUM({0.077,0.071,0.065,0.06,0.055,0.051,0.047,0.043,0.039,0.036,0.033,0.031,0.028,0.026,0.024,0.022,0.02,0.018,0.017,0.016,0.014,0.013,0.012,0.011,0.01}),""))</f>
        <v>14426.138259833131</v>
      </c>
      <c r="AD198" s="407" t="str">
        <f t="shared" si="57"/>
        <v>上昇トレンド▲</v>
      </c>
      <c r="AE198" s="407" t="e">
        <f t="shared" si="58"/>
        <v>#VALUE!</v>
      </c>
      <c r="AF198" s="368">
        <f t="array" ref="AF198">IF(C198="","",IFERROR((INDEX(終値!$E:$E,MATCH(TEXT(C198,"0"),終値!$A:$A,0))-INDEX(終値!$E:$CZ,MATCH(TEXT(C198,"0"),終値!$A:$A,0),$AL$2))/INDEX(終値!$E:$CZ,MATCH(TEXT(C198,"0"),終値!$A:$A,0),$AL$2)*100,""))</f>
        <v>6.8339100346020771</v>
      </c>
      <c r="AG198" s="368">
        <f t="array" ref="AG198">IFERROR((終値!$E$5-INDEX(終値!$E$5:$CZ$5,1,$AL$2))/INDEX(終値!$E$5:$CZ$5,1,$AL$2)*100,"")</f>
        <v>2.31989243802786</v>
      </c>
      <c r="AH198" s="369">
        <f t="shared" si="59"/>
        <v>4.5140175965742166</v>
      </c>
      <c r="AI198" s="367">
        <f t="shared" si="60"/>
        <v>1</v>
      </c>
    </row>
    <row r="199" spans="1:35" ht="18" customHeight="1">
      <c r="A199" s="166" t="str">
        <f>IF(銘柄管理!B175&lt;&gt;"",HYPERLINK("https://kabutan.jp/stock/?code="&amp;銘柄管理!B175,"株探"),"")</f>
        <v>株探</v>
      </c>
      <c r="B199" s="167"/>
      <c r="C199" s="168">
        <f>IF(銘柄管理!B175="","",銘柄管理!B175)</f>
        <v>1942</v>
      </c>
      <c r="D199" s="106" t="str">
        <f>IF(銘柄管理!C175="","",銘柄管理!C175)</f>
        <v/>
      </c>
      <c r="E199" s="169" t="str">
        <f>IF(C199&lt;&gt;"",_xll.RssMarket(C199,"現在値"),"")</f>
        <v/>
      </c>
      <c r="F199" s="169" t="str">
        <f>IF(C199&lt;&gt;"",_xll.RssMarket(C199,"始値"),"")</f>
        <v/>
      </c>
      <c r="G199" s="168">
        <f>IF(C199&lt;&gt;"",終値!F175,"")</f>
        <v>6330</v>
      </c>
      <c r="H199" s="169" t="str">
        <f>IF(C199&lt;&gt;"",_xll.RssMarket(C199,"高値"),"")</f>
        <v/>
      </c>
      <c r="I199" s="169" t="str">
        <f>IF(C199&lt;&gt;"",_xll.RssMarket(C199,"安値"),"")</f>
        <v/>
      </c>
      <c r="J199" s="169" t="str">
        <f>IF(C199&lt;&gt;"",_xll.RssMarket(C199,"出来高"),"")</f>
        <v/>
      </c>
      <c r="K199" s="169" t="str">
        <f>IF(C199&lt;&gt;"",_xll.RssMarket(C199,"年初来高値"),"")</f>
        <v/>
      </c>
      <c r="L199" s="170" t="str">
        <f t="shared" si="51"/>
        <v/>
      </c>
      <c r="M199" s="169">
        <f>IF(C199&lt;&gt;"",IFERROR(AVERAGE(出来高!E175:I175),""),"")</f>
        <v>964060</v>
      </c>
      <c r="N199" s="169">
        <f>IF(C199&lt;&gt;"",IFERROR(AVERAGE(出来高!E175:AC175),""),"")</f>
        <v>925852</v>
      </c>
      <c r="O199" s="171" t="str">
        <f t="shared" si="52"/>
        <v/>
      </c>
      <c r="P199" s="166" t="str">
        <f t="shared" si="53"/>
        <v/>
      </c>
      <c r="Q199" s="166" t="str">
        <f t="shared" si="54"/>
        <v/>
      </c>
      <c r="R199" s="169" t="str">
        <f t="shared" si="61"/>
        <v/>
      </c>
      <c r="S199" s="169" t="str">
        <f t="shared" si="62"/>
        <v/>
      </c>
      <c r="T199" s="166">
        <f t="shared" si="55"/>
        <v>0</v>
      </c>
      <c r="U199" s="166" t="str">
        <f t="shared" si="63"/>
        <v>除外</v>
      </c>
      <c r="V199" s="166" t="str">
        <f t="shared" si="56"/>
        <v/>
      </c>
      <c r="W199" s="172">
        <f t="array" ref="W199">IF(C199&lt;&gt;"",IFERROR(100-100/(1+SUMPRODUCT((終値!F175:R175&gt;終値!G175:S175)*( 終値!F175:R175-終値!G175:S175))/SUMPRODUCT((終値!F175:R175&lt;終値!G175:S175)*(終値!G175:S175-終値!F175:R175))),50),"")</f>
        <v>37.981779957953748</v>
      </c>
      <c r="X199" s="173">
        <f>IF(C199&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-47.827530757563181</v>
      </c>
      <c r="Y199" s="1" t="e">
        <f>IF(T199="","",IF(銘柄管理!$F$5="下落▼",IF(AND(AD199="パーフェクト▲",OR(AE199="25日線押し目●",AE199="5日線押し目○")),"★逆張り候補",IF(AND(AD199="上昇トレンド▲",OR(AE199="25日線押し目●",AE199="5日線押し目○")),"○逆張り候補",IF(W199&lt;=30,IF(Z199&gt;0,"◎反発確認",IF(Z199&lt;-5,"△要注意・様子見","△売られ過ぎ注目")),"相場下落・見送り"))),IF(AND(T199&gt;=12,AD199="パーフェクト▲"),"★強い買い",IF(AND(T199&gt;=12,AD199="上昇トレンド▲"),"★強い買い",IF(AND(T199&gt;=8,OR(AE199="25日線押し目●",AE199="5日線押し目○")),"◎押し目買い",IF(T199&gt;=10,"○買い候補",IF(T199&gt;=6,"△注目",IF(T199&gt;=3,"様子見","見送り"))))))))</f>
        <v>#VALUE!</v>
      </c>
      <c r="Z199" s="174" t="str">
        <f t="shared" si="64"/>
        <v/>
      </c>
      <c r="AA199" s="166" t="str">
        <f t="shared" si="65"/>
        <v/>
      </c>
      <c r="AB199" s="408">
        <f>IF(C199="","",IFERROR(((終値!E201*0.333)+(終値!F201*0.222)+(終値!G201*0.148)+(終値!H201*0.099)+(終値!I201*0.066)+(終値!J201*0.044)+(終値!K201*0.029)+(終値!L201*0.019)+(終値!M201*0.013)+(終値!N201*0.009))/(0.333+0.222+0.148+0.099+0.066+0.044+0.029+0.019+0.013+0.009),""))</f>
        <v>5674.0325865580453</v>
      </c>
      <c r="AC199" s="408">
        <f>IF(C199="","",IFERROR(SUMPRODUCT((終値!E201:AC201),({0.077,0.071,0.065,0.06,0.055,0.051,0.047,0.043,0.039,0.036,0.033,0.031,0.028,0.026,0.024,0.022,0.02,0.018,0.017,0.016,0.014,0.013,0.012,0.011,0.01}))/SUM({0.077,0.071,0.065,0.06,0.055,0.051,0.047,0.043,0.039,0.036,0.033,0.031,0.028,0.026,0.024,0.022,0.02,0.018,0.017,0.016,0.014,0.013,0.012,0.011,0.01}),""))</f>
        <v>6500.1191895113188</v>
      </c>
      <c r="AD199" s="409" t="str">
        <f t="shared" si="57"/>
        <v>上昇トレンド▲</v>
      </c>
      <c r="AE199" s="409" t="e">
        <f t="shared" si="58"/>
        <v>#VALUE!</v>
      </c>
      <c r="AF199" s="368">
        <f t="array" ref="AF199">IF(C199="","",IFERROR((INDEX(終値!$E:$E,MATCH(TEXT(C199,"0"),終値!$A:$A,0))-INDEX(終値!$E:$CZ,MATCH(TEXT(C199,"0"),終値!$A:$A,0),$AL$2))/INDEX(終値!$E:$CZ,MATCH(TEXT(C199,"0"),終値!$A:$A,0),$AL$2)*100,""))</f>
        <v>1.7406440382941688</v>
      </c>
      <c r="AG199" s="368">
        <f t="array" ref="AG199">IFERROR((終値!$E$5-INDEX(終値!$E$5:$CZ$5,1,$AL$2))/INDEX(終値!$E$5:$CZ$5,1,$AL$2)*100,"")</f>
        <v>2.31989243802786</v>
      </c>
      <c r="AH199" s="369">
        <f t="shared" si="59"/>
        <v>-0.57924839973369124</v>
      </c>
      <c r="AI199" s="367">
        <f t="shared" si="60"/>
        <v>-1</v>
      </c>
    </row>
    <row r="200" spans="1:35" ht="18" customHeight="1">
      <c r="A200" s="166" t="str">
        <f>IF(銘柄管理!B176&lt;&gt;"",HYPERLINK("https://kabutan.jp/stock/?code="&amp;銘柄管理!B176,"株探"),"")</f>
        <v>株探</v>
      </c>
      <c r="B200" s="167"/>
      <c r="C200" s="168">
        <f>IF(銘柄管理!B176="","",銘柄管理!B176)</f>
        <v>1938</v>
      </c>
      <c r="D200" s="106" t="str">
        <f>IF(銘柄管理!C176="","",銘柄管理!C176)</f>
        <v/>
      </c>
      <c r="E200" s="169" t="str">
        <f>IF(C200&lt;&gt;"",_xll.RssMarket(C200,"現在値"),"")</f>
        <v/>
      </c>
      <c r="F200" s="169" t="str">
        <f>IF(C200&lt;&gt;"",_xll.RssMarket(C200,"始値"),"")</f>
        <v/>
      </c>
      <c r="G200" s="168">
        <f>IF(C200&lt;&gt;"",終値!F176,"")</f>
        <v>2588</v>
      </c>
      <c r="H200" s="169" t="str">
        <f>IF(C200&lt;&gt;"",_xll.RssMarket(C200,"高値"),"")</f>
        <v/>
      </c>
      <c r="I200" s="169" t="str">
        <f>IF(C200&lt;&gt;"",_xll.RssMarket(C200,"安値"),"")</f>
        <v/>
      </c>
      <c r="J200" s="169" t="str">
        <f>IF(C200&lt;&gt;"",_xll.RssMarket(C200,"出来高"),"")</f>
        <v/>
      </c>
      <c r="K200" s="169" t="str">
        <f>IF(C200&lt;&gt;"",_xll.RssMarket(C200,"年初来高値"),"")</f>
        <v/>
      </c>
      <c r="L200" s="170" t="str">
        <f t="shared" si="51"/>
        <v/>
      </c>
      <c r="M200" s="169">
        <f>IF(C200&lt;&gt;"",IFERROR(AVERAGE(出来高!E176:I176),""),"")</f>
        <v>84980</v>
      </c>
      <c r="N200" s="169">
        <f>IF(C200&lt;&gt;"",IFERROR(AVERAGE(出来高!E176:AC176),""),"")</f>
        <v>66524</v>
      </c>
      <c r="O200" s="171" t="str">
        <f t="shared" si="52"/>
        <v/>
      </c>
      <c r="P200" s="166" t="str">
        <f t="shared" si="53"/>
        <v/>
      </c>
      <c r="Q200" s="166" t="str">
        <f t="shared" si="54"/>
        <v/>
      </c>
      <c r="R200" s="169" t="str">
        <f t="shared" si="61"/>
        <v/>
      </c>
      <c r="S200" s="169" t="str">
        <f t="shared" si="62"/>
        <v/>
      </c>
      <c r="T200" s="166">
        <f t="shared" si="55"/>
        <v>0</v>
      </c>
      <c r="U200" s="166" t="str">
        <f t="shared" si="63"/>
        <v>除外</v>
      </c>
      <c r="V200" s="166" t="str">
        <f t="shared" si="56"/>
        <v/>
      </c>
      <c r="W200" s="172">
        <f t="array" ref="W200">IF(C200&lt;&gt;"",IFERROR(100-100/(1+SUMPRODUCT((終値!F176:R176&gt;終値!G176:S176)*( 終値!F176:R176-終値!G176:S176))/SUMPRODUCT((終値!F176:R176&lt;終値!G176:S176)*(終値!G176:S176-終値!F176:R176))),50),"")</f>
        <v>37.280701754385966</v>
      </c>
      <c r="X200" s="173">
        <f>IF(C200&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-26.495366961339187</v>
      </c>
      <c r="Y200" s="1" t="e">
        <f>IF(T200="","",IF(銘柄管理!$F$5="下落▼",IF(AND(AD200="パーフェクト▲",OR(AE200="25日線押し目●",AE200="5日線押し目○")),"★逆張り候補",IF(AND(AD200="上昇トレンド▲",OR(AE200="25日線押し目●",AE200="5日線押し目○")),"○逆張り候補",IF(W200&lt;=30,IF(Z200&gt;0,"◎反発確認",IF(Z200&lt;-5,"△要注意・様子見","△売られ過ぎ注目")),"相場下落・見送り"))),IF(AND(T200&gt;=12,AD200="パーフェクト▲"),"★強い買い",IF(AND(T200&gt;=12,AD200="上昇トレンド▲"),"★強い買い",IF(AND(T200&gt;=8,OR(AE200="25日線押し目●",AE200="5日線押し目○")),"◎押し目買い",IF(T200&gt;=10,"○買い候補",IF(T200&gt;=6,"△注目",IF(T200&gt;=3,"様子見","見送り"))))))))</f>
        <v>#VALUE!</v>
      </c>
      <c r="Z200" s="174" t="str">
        <f t="shared" si="64"/>
        <v/>
      </c>
      <c r="AA200" s="166" t="str">
        <f t="shared" si="65"/>
        <v/>
      </c>
      <c r="AB200" s="406">
        <f>IF(C200="","",IFERROR(((終値!E202*0.333)+(終値!F202*0.222)+(終値!G202*0.148)+(終値!H202*0.099)+(終値!I202*0.066)+(終値!J202*0.044)+(終値!K202*0.029)+(終値!L202*0.019)+(終値!M202*0.013)+(終値!N202*0.009))/(0.333+0.222+0.148+0.099+0.066+0.044+0.029+0.019+0.013+0.009),""))</f>
        <v>5128.0651731160897</v>
      </c>
      <c r="AC200" s="406">
        <f>IF(C200="","",IFERROR(SUMPRODUCT((終値!E202:AC202),({0.077,0.071,0.065,0.06,0.055,0.051,0.047,0.043,0.039,0.036,0.033,0.031,0.028,0.026,0.024,0.022,0.02,0.018,0.017,0.016,0.014,0.013,0.012,0.011,0.01}))/SUM({0.077,0.071,0.065,0.06,0.055,0.051,0.047,0.043,0.039,0.036,0.033,0.031,0.028,0.026,0.024,0.022,0.02,0.018,0.017,0.016,0.014,0.013,0.012,0.011,0.01}),""))</f>
        <v>5173.114421930868</v>
      </c>
      <c r="AD200" s="407" t="str">
        <f t="shared" si="57"/>
        <v>上昇トレンド▲</v>
      </c>
      <c r="AE200" s="407" t="e">
        <f t="shared" si="58"/>
        <v>#VALUE!</v>
      </c>
      <c r="AF200" s="368">
        <f t="array" ref="AF200">IF(C200="","",IFERROR((INDEX(終値!$E:$E,MATCH(TEXT(C200,"0"),終値!$A:$A,0))-INDEX(終値!$E:$CZ,MATCH(TEXT(C200,"0"),終値!$A:$A,0),$AL$2))/INDEX(終値!$E:$CZ,MATCH(TEXT(C200,"0"),終値!$A:$A,0),$AL$2)*100,""))</f>
        <v>-8.7198515769944329</v>
      </c>
      <c r="AG200" s="368">
        <f t="array" ref="AG200">IFERROR((終値!$E$5-INDEX(終値!$E$5:$CZ$5,1,$AL$2))/INDEX(終値!$E$5:$CZ$5,1,$AL$2)*100,"")</f>
        <v>2.31989243802786</v>
      </c>
      <c r="AH200" s="369">
        <f t="shared" si="59"/>
        <v>-11.039744015022293</v>
      </c>
      <c r="AI200" s="367">
        <f t="shared" si="60"/>
        <v>-2</v>
      </c>
    </row>
    <row r="201" spans="1:35" ht="18" customHeight="1">
      <c r="A201" s="166" t="str">
        <f>IF(銘柄管理!B163&lt;&gt;"",HYPERLINK("https://kabutan.jp/stock/?code="&amp;銘柄管理!B163,"株探"),"")</f>
        <v>株探</v>
      </c>
      <c r="B201" s="167"/>
      <c r="C201" s="168">
        <f>IF(銘柄管理!B163="","",銘柄管理!B163)</f>
        <v>1930</v>
      </c>
      <c r="D201" s="106" t="str">
        <f>IF(銘柄管理!C163="","",銘柄管理!C163)</f>
        <v/>
      </c>
      <c r="E201" s="169" t="str">
        <f>IF(C201&lt;&gt;"",_xll.RssMarket(C201,"現在値"),"")</f>
        <v/>
      </c>
      <c r="F201" s="169" t="str">
        <f>IF(C201&lt;&gt;"",_xll.RssMarket(C201,"始値"),"")</f>
        <v/>
      </c>
      <c r="G201" s="168">
        <f>IF(C201&lt;&gt;"",終値!F163,"")</f>
        <v>1614</v>
      </c>
      <c r="H201" s="169" t="str">
        <f>IF(C201&lt;&gt;"",_xll.RssMarket(C201,"高値"),"")</f>
        <v/>
      </c>
      <c r="I201" s="169" t="str">
        <f>IF(C201&lt;&gt;"",_xll.RssMarket(C201,"安値"),"")</f>
        <v/>
      </c>
      <c r="J201" s="169" t="str">
        <f>IF(C201&lt;&gt;"",_xll.RssMarket(C201,"出来高"),"")</f>
        <v/>
      </c>
      <c r="K201" s="169" t="str">
        <f>IF(C201&lt;&gt;"",_xll.RssMarket(C201,"年初来高値"),"")</f>
        <v/>
      </c>
      <c r="L201" s="170" t="str">
        <f t="shared" si="51"/>
        <v/>
      </c>
      <c r="M201" s="169">
        <f>IF(C201&lt;&gt;"",IFERROR(AVERAGE(出来高!E163:I163),""),"")</f>
        <v>60380</v>
      </c>
      <c r="N201" s="169">
        <f>IF(C201&lt;&gt;"",IFERROR(AVERAGE(出来高!E163:AC163),""),"")</f>
        <v>55820</v>
      </c>
      <c r="O201" s="171" t="str">
        <f t="shared" si="52"/>
        <v/>
      </c>
      <c r="P201" s="166" t="str">
        <f t="shared" si="53"/>
        <v/>
      </c>
      <c r="Q201" s="166" t="str">
        <f t="shared" si="54"/>
        <v/>
      </c>
      <c r="R201" s="169" t="str">
        <f t="shared" si="61"/>
        <v/>
      </c>
      <c r="S201" s="169" t="str">
        <f t="shared" si="62"/>
        <v/>
      </c>
      <c r="T201" s="166">
        <f t="shared" si="55"/>
        <v>0</v>
      </c>
      <c r="U201" s="166" t="str">
        <f t="shared" si="63"/>
        <v>除外</v>
      </c>
      <c r="V201" s="166" t="str">
        <f t="shared" si="56"/>
        <v/>
      </c>
      <c r="W201" s="172">
        <f t="array" ref="W201">IF(C201&lt;&gt;"",IFERROR(100-100/(1+SUMPRODUCT((終値!F163:R163&gt;終値!G163:S163)*( 終値!F163:R163-終値!G163:S163))/SUMPRODUCT((終値!F163:R163&lt;終値!G163:S163)*(終値!G163:S163-終値!F163:R163))),50),"")</f>
        <v>31.660231660231659</v>
      </c>
      <c r="X201" s="173">
        <f>IF(C201&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-12.768164974386991</v>
      </c>
      <c r="Y201" s="1" t="e">
        <f>IF(T201="","",IF(銘柄管理!$F$5="下落▼",IF(AND(AD201="パーフェクト▲",OR(AE201="25日線押し目●",AE201="5日線押し目○")),"★逆張り候補",IF(AND(AD201="上昇トレンド▲",OR(AE201="25日線押し目●",AE201="5日線押し目○")),"○逆張り候補",IF(W201&lt;=30,IF(Z201&gt;0,"◎反発確認",IF(Z201&lt;-5,"△要注意・様子見","△売られ過ぎ注目")),"相場下落・見送り"))),IF(AND(T201&gt;=12,AD201="パーフェクト▲"),"★強い買い",IF(AND(T201&gt;=12,AD201="上昇トレンド▲"),"★強い買い",IF(AND(T201&gt;=8,OR(AE201="25日線押し目●",AE201="5日線押し目○")),"◎押し目買い",IF(T201&gt;=10,"○買い候補",IF(T201&gt;=6,"△注目",IF(T201&gt;=3,"様子見","見送り"))))))))</f>
        <v>#VALUE!</v>
      </c>
      <c r="Z201" s="174" t="str">
        <f t="shared" si="64"/>
        <v/>
      </c>
      <c r="AA201" s="166" t="str">
        <f t="shared" si="65"/>
        <v/>
      </c>
      <c r="AB201" s="408">
        <f>IF(C201="","",IFERROR(((終値!E203*0.333)+(終値!F203*0.222)+(終値!G203*0.148)+(終値!H203*0.099)+(終値!I203*0.066)+(終値!J203*0.044)+(終値!K203*0.029)+(終値!L203*0.019)+(終値!M203*0.013)+(終値!N203*0.009))/(0.333+0.222+0.148+0.099+0.066+0.044+0.029+0.019+0.013+0.009),""))</f>
        <v>5198.4918533604878</v>
      </c>
      <c r="AC201" s="408">
        <f>IF(C201="","",IFERROR(SUMPRODUCT((終値!E203:AC203),({0.077,0.071,0.065,0.06,0.055,0.051,0.047,0.043,0.039,0.036,0.033,0.031,0.028,0.026,0.024,0.022,0.02,0.018,0.017,0.016,0.014,0.013,0.012,0.011,0.01}))/SUM({0.077,0.071,0.065,0.06,0.055,0.051,0.047,0.043,0.039,0.036,0.033,0.031,0.028,0.026,0.024,0.022,0.02,0.018,0.017,0.016,0.014,0.013,0.012,0.011,0.01}),""))</f>
        <v>5268.7032181168024</v>
      </c>
      <c r="AD201" s="409" t="str">
        <f t="shared" si="57"/>
        <v>上昇トレンド▲</v>
      </c>
      <c r="AE201" s="409" t="e">
        <f t="shared" si="58"/>
        <v>#VALUE!</v>
      </c>
      <c r="AF201" s="368">
        <f t="array" ref="AF201">IF(C201="","",IFERROR((INDEX(終値!$E:$E,MATCH(TEXT(C201,"0"),終値!$A:$A,0))-INDEX(終値!$E:$CZ,MATCH(TEXT(C201,"0"),終値!$A:$A,0),$AL$2))/INDEX(終値!$E:$CZ,MATCH(TEXT(C201,"0"),終値!$A:$A,0),$AL$2)*100,""))</f>
        <v>-0.94816687737041727</v>
      </c>
      <c r="AG201" s="368">
        <f t="array" ref="AG201">IFERROR((終値!$E$5-INDEX(終値!$E$5:$CZ$5,1,$AL$2))/INDEX(終値!$E$5:$CZ$5,1,$AL$2)*100,"")</f>
        <v>2.31989243802786</v>
      </c>
      <c r="AH201" s="369">
        <f t="shared" si="59"/>
        <v>-3.2680593153982773</v>
      </c>
      <c r="AI201" s="367">
        <f t="shared" si="60"/>
        <v>-2</v>
      </c>
    </row>
    <row r="202" spans="1:35" ht="18" customHeight="1">
      <c r="A202" s="166" t="str">
        <f>IF(銘柄管理!B83&lt;&gt;"",HYPERLINK("https://kabutan.jp/stock/?code="&amp;銘柄管理!B83,"株探"),"")</f>
        <v>株探</v>
      </c>
      <c r="B202" s="167"/>
      <c r="C202" s="168">
        <f>IF(銘柄管理!B83="","",銘柄管理!B83)</f>
        <v>1925</v>
      </c>
      <c r="D202" s="106" t="str">
        <f>IF(銘柄管理!C83="","",銘柄管理!C83)</f>
        <v/>
      </c>
      <c r="E202" s="169" t="str">
        <f>IF(C202&lt;&gt;"",_xll.RssMarket(C202,"現在値"),"")</f>
        <v/>
      </c>
      <c r="F202" s="169" t="str">
        <f>IF(C202&lt;&gt;"",_xll.RssMarket(C202,"始値"),"")</f>
        <v/>
      </c>
      <c r="G202" s="168">
        <f>IF(C202&lt;&gt;"",終値!F83,"")</f>
        <v>4600</v>
      </c>
      <c r="H202" s="169" t="str">
        <f>IF(C202&lt;&gt;"",_xll.RssMarket(C202,"高値"),"")</f>
        <v/>
      </c>
      <c r="I202" s="169" t="str">
        <f>IF(C202&lt;&gt;"",_xll.RssMarket(C202,"安値"),"")</f>
        <v/>
      </c>
      <c r="J202" s="169" t="str">
        <f>IF(C202&lt;&gt;"",_xll.RssMarket(C202,"出来高"),"")</f>
        <v/>
      </c>
      <c r="K202" s="169" t="str">
        <f>IF(C202&lt;&gt;"",_xll.RssMarket(C202,"年初来高値"),"")</f>
        <v/>
      </c>
      <c r="L202" s="170" t="str">
        <f t="shared" si="51"/>
        <v/>
      </c>
      <c r="M202" s="169">
        <f>IF(C202&lt;&gt;"",IFERROR(AVERAGE(出来高!E83:I83),""),"")</f>
        <v>1878780</v>
      </c>
      <c r="N202" s="169">
        <f>IF(C202&lt;&gt;"",IFERROR(AVERAGE(出来高!E83:AC83),""),"")</f>
        <v>2147840</v>
      </c>
      <c r="O202" s="171" t="str">
        <f t="shared" si="52"/>
        <v/>
      </c>
      <c r="P202" s="166" t="str">
        <f t="shared" si="53"/>
        <v/>
      </c>
      <c r="Q202" s="166" t="str">
        <f t="shared" si="54"/>
        <v/>
      </c>
      <c r="R202" s="169" t="str">
        <f t="shared" si="61"/>
        <v/>
      </c>
      <c r="S202" s="169" t="str">
        <f t="shared" si="62"/>
        <v/>
      </c>
      <c r="T202" s="166">
        <f t="shared" si="55"/>
        <v>0</v>
      </c>
      <c r="U202" s="166" t="str">
        <f t="shared" si="63"/>
        <v>除外</v>
      </c>
      <c r="V202" s="166" t="str">
        <f t="shared" si="56"/>
        <v/>
      </c>
      <c r="W202" s="172">
        <f t="array" ref="W202">IF(C202&lt;&gt;"",IFERROR(100-100/(1+SUMPRODUCT((終値!F83:R83&gt;終値!G83:S83)*( 終値!F83:R83-終値!G83:S83))/SUMPRODUCT((終値!F83:R83&lt;終値!G83:S83)*(終値!G83:S83-終値!F83:R83))),50),"")</f>
        <v>75.670103092783506</v>
      </c>
      <c r="X202" s="173">
        <f>IF(C202&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32.383079458206339</v>
      </c>
      <c r="Y202" s="1" t="e">
        <f>IF(T202="","",IF(銘柄管理!$F$5="下落▼",IF(AND(AD202="パーフェクト▲",OR(AE202="25日線押し目●",AE202="5日線押し目○")),"★逆張り候補",IF(AND(AD202="上昇トレンド▲",OR(AE202="25日線押し目●",AE202="5日線押し目○")),"○逆張り候補",IF(W202&lt;=30,IF(Z202&gt;0,"◎反発確認",IF(Z202&lt;-5,"△要注意・様子見","△売られ過ぎ注目")),"相場下落・見送り"))),IF(AND(T202&gt;=12,AD202="パーフェクト▲"),"★強い買い",IF(AND(T202&gt;=12,AD202="上昇トレンド▲"),"★強い買い",IF(AND(T202&gt;=8,OR(AE202="25日線押し目●",AE202="5日線押し目○")),"◎押し目買い",IF(T202&gt;=10,"○買い候補",IF(T202&gt;=6,"△注目",IF(T202&gt;=3,"様子見","見送り"))))))))</f>
        <v>#VALUE!</v>
      </c>
      <c r="Z202" s="174" t="str">
        <f t="shared" si="64"/>
        <v/>
      </c>
      <c r="AA202" s="166" t="str">
        <f t="shared" si="65"/>
        <v/>
      </c>
      <c r="AB202" s="406">
        <f>IF(C202="","",IFERROR(((終値!E204*0.333)+(終値!F204*0.222)+(終値!G204*0.148)+(終値!H204*0.099)+(終値!I204*0.066)+(終値!J204*0.044)+(終値!K204*0.029)+(終値!L204*0.019)+(終値!M204*0.013)+(終値!N204*0.009))/(0.333+0.222+0.148+0.099+0.066+0.044+0.029+0.019+0.013+0.009),""))</f>
        <v>6112.206720977596</v>
      </c>
      <c r="AC202" s="406">
        <f>IF(C202="","",IFERROR(SUMPRODUCT((終値!E204:AC204),({0.077,0.071,0.065,0.06,0.055,0.051,0.047,0.043,0.039,0.036,0.033,0.031,0.028,0.026,0.024,0.022,0.02,0.018,0.017,0.016,0.014,0.013,0.012,0.011,0.01}))/SUM({0.077,0.071,0.065,0.06,0.055,0.051,0.047,0.043,0.039,0.036,0.033,0.031,0.028,0.026,0.024,0.022,0.02,0.018,0.017,0.016,0.014,0.013,0.012,0.011,0.01}),""))</f>
        <v>6109.8665077473161</v>
      </c>
      <c r="AD202" s="407" t="str">
        <f t="shared" si="57"/>
        <v>パーフェクト▲</v>
      </c>
      <c r="AE202" s="407" t="e">
        <f t="shared" si="58"/>
        <v>#VALUE!</v>
      </c>
      <c r="AF202" s="368">
        <f t="array" ref="AF202">IF(C202="","",IFERROR((INDEX(終値!$E:$E,MATCH(TEXT(C202,"0"),終値!$A:$A,0))-INDEX(終値!$E:$CZ,MATCH(TEXT(C202,"0"),終値!$A:$A,0),$AL$2))/INDEX(終値!$E:$CZ,MATCH(TEXT(C202,"0"),終値!$A:$A,0),$AL$2)*100,""))</f>
        <v>7.8371381501529767</v>
      </c>
      <c r="AG202" s="368">
        <f t="array" ref="AG202">IFERROR((終値!$E$5-INDEX(終値!$E$5:$CZ$5,1,$AL$2))/INDEX(終値!$E$5:$CZ$5,1,$AL$2)*100,"")</f>
        <v>2.31989243802786</v>
      </c>
      <c r="AH202" s="369">
        <f t="shared" si="59"/>
        <v>5.5172457121251171</v>
      </c>
      <c r="AI202" s="367">
        <f t="shared" si="60"/>
        <v>3</v>
      </c>
    </row>
    <row r="203" spans="1:35" ht="23.25" customHeight="1">
      <c r="A203" s="166" t="str">
        <f>IF(銘柄管理!B80&lt;&gt;"",HYPERLINK("https://kabutan.jp/stock/?code="&amp;銘柄管理!B80,"株探"),"")</f>
        <v>株探</v>
      </c>
      <c r="B203" s="167"/>
      <c r="C203" s="168">
        <f>IF(銘柄管理!B80="","",銘柄管理!B80)</f>
        <v>1833</v>
      </c>
      <c r="D203" s="106" t="str">
        <f>IF(銘柄管理!C80="","",銘柄管理!C80)</f>
        <v/>
      </c>
      <c r="E203" s="169" t="str">
        <f>IF(C203&lt;&gt;"",_xll.RssMarket(C203,"現在値"),"")</f>
        <v/>
      </c>
      <c r="F203" s="169" t="str">
        <f>IF(C203&lt;&gt;"",_xll.RssMarket(C203,"始値"),"")</f>
        <v/>
      </c>
      <c r="G203" s="168">
        <f>IF(C203&lt;&gt;"",終値!F80,"")</f>
        <v>5680</v>
      </c>
      <c r="H203" s="169" t="str">
        <f>IF(C203&lt;&gt;"",_xll.RssMarket(C203,"高値"),"")</f>
        <v/>
      </c>
      <c r="I203" s="169" t="str">
        <f>IF(C203&lt;&gt;"",_xll.RssMarket(C203,"安値"),"")</f>
        <v/>
      </c>
      <c r="J203" s="169" t="str">
        <f>IF(C203&lt;&gt;"",_xll.RssMarket(C203,"出来高"),"")</f>
        <v/>
      </c>
      <c r="K203" s="169" t="str">
        <f>IF(C203&lt;&gt;"",_xll.RssMarket(C203,"年初来高値"),"")</f>
        <v/>
      </c>
      <c r="L203" s="170" t="str">
        <f t="shared" si="51"/>
        <v/>
      </c>
      <c r="M203" s="169">
        <f>IF(C203&lt;&gt;"",IFERROR(AVERAGE(出来高!E80:I80),""),"")</f>
        <v>102240</v>
      </c>
      <c r="N203" s="169">
        <f>IF(C203&lt;&gt;"",IFERROR(AVERAGE(出来高!E80:AC80),""),"")</f>
        <v>92608</v>
      </c>
      <c r="O203" s="171" t="str">
        <f t="shared" si="52"/>
        <v/>
      </c>
      <c r="P203" s="166" t="str">
        <f t="shared" si="53"/>
        <v/>
      </c>
      <c r="Q203" s="166" t="str">
        <f t="shared" si="54"/>
        <v/>
      </c>
      <c r="R203" s="169" t="str">
        <f t="shared" si="61"/>
        <v/>
      </c>
      <c r="S203" s="169" t="str">
        <f t="shared" si="62"/>
        <v/>
      </c>
      <c r="T203" s="166">
        <f t="shared" si="55"/>
        <v>0</v>
      </c>
      <c r="U203" s="166" t="str">
        <f t="shared" si="63"/>
        <v>除外</v>
      </c>
      <c r="V203" s="166" t="str">
        <f t="shared" si="56"/>
        <v/>
      </c>
      <c r="W203" s="172">
        <f t="array" ref="W203">IF(C203&lt;&gt;"",IFERROR(100-100/(1+SUMPRODUCT((終値!F80:R80&gt;終値!G80:S80)*( 終値!F80:R80-終値!G80:S80))/SUMPRODUCT((終値!F80:R80&lt;終値!G80:S80)*(終値!G80:S80-終値!F80:R80))),50),"")</f>
        <v>56.164383561643838</v>
      </c>
      <c r="X203" s="173">
        <f>IF(C203&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-0.62860463542710932</v>
      </c>
      <c r="Y203" s="1" t="e">
        <f>IF(T203="","",IF(銘柄管理!$F$5="下落▼",IF(AND(AD203="パーフェクト▲",OR(AE203="25日線押し目●",AE203="5日線押し目○")),"★逆張り候補",IF(AND(AD203="上昇トレンド▲",OR(AE203="25日線押し目●",AE203="5日線押し目○")),"○逆張り候補",IF(W203&lt;=30,IF(Z203&gt;0,"◎反発確認",IF(Z203&lt;-5,"△要注意・様子見","△売られ過ぎ注目")),"相場下落・見送り"))),IF(AND(T203&gt;=12,AD203="パーフェクト▲"),"★強い買い",IF(AND(T203&gt;=12,AD203="上昇トレンド▲"),"★強い買い",IF(AND(T203&gt;=8,OR(AE203="25日線押し目●",AE203="5日線押し目○")),"◎押し目買い",IF(T203&gt;=10,"○買い候補",IF(T203&gt;=6,"△注目",IF(T203&gt;=3,"様子見","見送り"))))))))</f>
        <v>#VALUE!</v>
      </c>
      <c r="Z203" s="174" t="str">
        <f t="shared" si="64"/>
        <v/>
      </c>
      <c r="AA203" s="166" t="str">
        <f t="shared" si="65"/>
        <v/>
      </c>
      <c r="AB203" s="175">
        <f>IF(OR(C203="",C203="TOPX",終値!E115=""),"",IFERROR(((終値!E115*0.333)+(終値!F115*0.222)+(終値!G115*0.148)+(終値!H115*0.099)+(終値!I115*0.066))/(0.333+0.222+0.148+0.099+0.066),""))</f>
        <v>6043.4861751152066</v>
      </c>
      <c r="AC203" s="175">
        <f>IF(OR(C203="",C203="TOPX",終値!E115=""),"",IFERROR(SUMPRODUCT((終値!E115:AC115),{0.077,0.071,0.065,0.06,0.055,0.051,0.047,0.043,0.039,0.036,0.033,0.031,0.028,0.026,0.024,0.022,0.02,0.018,0.017,0.016,0.014,0.013,0.012,0.011,0.01})/SUM({0.077,0.071,0.065,0.06,0.055,0.051,0.047,0.043,0.039,0.036,0.033,0.031,0.028,0.026,0.024,0.022,0.02,0.018,0.017,0.016,0.014,0.013,0.012,0.011,0.01}),""))</f>
        <v>6084.493444576874</v>
      </c>
      <c r="AD203" s="176" t="str">
        <f>IF(OR(C203="",AB203="",AC203="",AB203=0,AC203=0),"",IF(AND(E203&gt;AB203,AB203&gt;AC203),"パーフェクト▲",IF(E203&gt;AC203,"上昇トレンド▲",IF(AND(E203&lt;AB203,AB203&lt;AC203),"下降トレンド▼","もみ合い→"))))</f>
        <v>上昇トレンド▲</v>
      </c>
      <c r="AE203" s="176" t="e">
        <f>IF(OR(C203="",AB203="",AC203=""),"",IF(AND(ABS(E203-AC203)/AC203&lt;=0.02,E203&gt;AC203),"25日線押し目●",IF(AND(ABS(E203-AB203)/AB203&lt;=0.01,E203&gt;AB203),"5日線押し目○","なし")))</f>
        <v>#VALUE!</v>
      </c>
      <c r="AF203" s="368">
        <f t="array" ref="AF203">IF(C203="","",IFERROR((INDEX(終値!$E:$E,MATCH(TEXT(C203,"0"),終値!$A:$A,0))-INDEX(終値!$E:$CZ,MATCH(TEXT(C203,"0"),終値!$A:$A,0),$AL$2))/INDEX(終値!$E:$CZ,MATCH(TEXT(C203,"0"),終値!$A:$A,0),$AL$2)*100,""))</f>
        <v>2.0036429872495445</v>
      </c>
      <c r="AG203" s="368">
        <f t="array" ref="AG203">IFERROR((終値!$E$5-INDEX(終値!$E$5:$CZ$5,1,$AL$2))/INDEX(終値!$E$5:$CZ$5,1,$AL$2)*100,"")</f>
        <v>2.31989243802786</v>
      </c>
      <c r="AH203" s="369">
        <f t="shared" si="59"/>
        <v>-0.31624945077831557</v>
      </c>
      <c r="AI203" s="367">
        <f t="shared" si="60"/>
        <v>-1</v>
      </c>
    </row>
    <row r="204" spans="1:35" ht="23.25" customHeight="1">
      <c r="A204" s="166" t="str">
        <f>IF(銘柄管理!B208&lt;&gt;"",HYPERLINK("https://kabutan.jp/stock/?code="&amp;銘柄管理!B208,"株探"),"")</f>
        <v>株探</v>
      </c>
      <c r="B204" s="167"/>
      <c r="C204" s="168">
        <f>IF(銘柄管理!B208="","",銘柄管理!B208)</f>
        <v>1812</v>
      </c>
      <c r="D204" s="106" t="str">
        <f>IF(銘柄管理!C208="","",銘柄管理!C208)</f>
        <v/>
      </c>
      <c r="E204" s="169" t="str">
        <f>IF(C204&lt;&gt;"",_xll.RssMarket(C204,"現在値"),"")</f>
        <v/>
      </c>
      <c r="F204" s="169" t="str">
        <f>IF(C204&lt;&gt;"",_xll.RssMarket(C204,"始値"),"")</f>
        <v/>
      </c>
      <c r="G204" s="168">
        <f>IF(C204&lt;&gt;"",終値!F208,"")</f>
        <v>5715</v>
      </c>
      <c r="H204" s="169" t="str">
        <f>IF(C204&lt;&gt;"",_xll.RssMarket(C204,"高値"),"")</f>
        <v/>
      </c>
      <c r="I204" s="169" t="str">
        <f>IF(C204&lt;&gt;"",_xll.RssMarket(C204,"安値"),"")</f>
        <v/>
      </c>
      <c r="J204" s="169" t="str">
        <f>IF(C204&lt;&gt;"",_xll.RssMarket(C204,"出来高"),"")</f>
        <v/>
      </c>
      <c r="K204" s="169" t="str">
        <f>IF(C204&lt;&gt;"",_xll.RssMarket(C204,"年初来高値"),"")</f>
        <v/>
      </c>
      <c r="L204" s="170" t="str">
        <f t="shared" si="51"/>
        <v/>
      </c>
      <c r="M204" s="169">
        <f>IF(C204&lt;&gt;"",IFERROR(AVERAGE(出来高!E208:I208),""),"")</f>
        <v>1595400</v>
      </c>
      <c r="N204" s="169">
        <f>IF(C204&lt;&gt;"",IFERROR(AVERAGE(出来高!E208:AC208),""),"")</f>
        <v>1855620</v>
      </c>
      <c r="O204" s="171" t="str">
        <f t="shared" si="52"/>
        <v/>
      </c>
      <c r="P204" s="166" t="str">
        <f t="shared" si="53"/>
        <v/>
      </c>
      <c r="Q204" s="166" t="str">
        <f t="shared" si="54"/>
        <v/>
      </c>
      <c r="R204" s="169" t="str">
        <f t="shared" si="61"/>
        <v/>
      </c>
      <c r="S204" s="169" t="str">
        <f t="shared" si="62"/>
        <v/>
      </c>
      <c r="T204" s="166">
        <f t="shared" si="55"/>
        <v>0</v>
      </c>
      <c r="U204" s="166" t="str">
        <f t="shared" si="63"/>
        <v>除外</v>
      </c>
      <c r="V204" s="166" t="str">
        <f t="shared" si="56"/>
        <v/>
      </c>
      <c r="W204" s="172">
        <f t="array" ref="W204">IF(C204&lt;&gt;"",IFERROR(100-100/(1+SUMPRODUCT((終値!F208:R208&gt;終値!G208:S208)*( 終値!F208:R208-終値!G208:S208))/SUMPRODUCT((終値!F208:R208&lt;終値!G208:S208)*(終値!G208:S208-終値!F208:R208))),50),"")</f>
        <v>51.629254163649534</v>
      </c>
      <c r="X204" s="173">
        <f>IF(C204&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-7.995494330099973</v>
      </c>
      <c r="Y204" s="1" t="e">
        <f>IF(T204="","",IF(銘柄管理!$F$5="下落▼",IF(AND(AD204="パーフェクト▲",OR(AE204="25日線押し目●",AE204="5日線押し目○")),"★逆張り候補",IF(AND(AD204="上昇トレンド▲",OR(AE204="25日線押し目●",AE204="5日線押し目○")),"○逆張り候補",IF(W204&lt;=30,IF(Z204&gt;0,"◎反発確認",IF(Z204&lt;-5,"△要注意・様子見","△売られ過ぎ注目")),"相場下落・見送り"))),IF(AND(T204&gt;=12,AD204="パーフェクト▲"),"★強い買い",IF(AND(T204&gt;=12,AD204="上昇トレンド▲"),"★強い買い",IF(AND(T204&gt;=8,OR(AE204="25日線押し目●",AE204="5日線押し目○")),"◎押し目買い",IF(T204&gt;=10,"○買い候補",IF(T204&gt;=6,"△注目",IF(T204&gt;=3,"様子見","見送り"))))))))</f>
        <v>#VALUE!</v>
      </c>
      <c r="Z204" s="174" t="str">
        <f t="shared" si="64"/>
        <v/>
      </c>
      <c r="AA204" s="166" t="str">
        <f t="shared" si="65"/>
        <v/>
      </c>
      <c r="AB204" s="175">
        <f>IF(OR(C204="",C204="TOPX",終値!E122=""),"",IFERROR(((終値!E122*0.333)+(終値!F122*0.222)+(終値!G122*0.148)+(終値!H122*0.099)+(終値!I122*0.066))/(0.333+0.222+0.148+0.099+0.066),""))</f>
        <v>2518.5529953917053</v>
      </c>
      <c r="AC204" s="175">
        <f>IF(OR(C204="",C204="TOPX",終値!E122=""),"",IFERROR(SUMPRODUCT((終値!E122:AC122),{0.077,0.071,0.065,0.06,0.055,0.051,0.047,0.043,0.039,0.036,0.033,0.031,0.028,0.026,0.024,0.022,0.02,0.018,0.017,0.016,0.014,0.013,0.012,0.011,0.01})/SUM({0.077,0.071,0.065,0.06,0.055,0.051,0.047,0.043,0.039,0.036,0.033,0.031,0.028,0.026,0.024,0.022,0.02,0.018,0.017,0.016,0.014,0.013,0.012,0.011,0.01}),""))</f>
        <v>2440.805125148986</v>
      </c>
      <c r="AD204" s="176" t="str">
        <f>IF(OR(C204="",AB204="",AC204="",AB204=0,AC204=0),"",IF(AND(E204&gt;AB204,AB204&gt;AC204),"パーフェクト▲",IF(E204&gt;AC204,"上昇トレンド▲",IF(AND(E204&lt;AB204,AB204&lt;AC204),"下降トレンド▼","もみ合い→"))))</f>
        <v>パーフェクト▲</v>
      </c>
      <c r="AE204" s="176" t="e">
        <f>IF(OR(C204="",AB204="",AC204=""),"",IF(AND(ABS(E204-AC204)/AC204&lt;=0.02,E204&gt;AC204),"25日線押し目●",IF(AND(ABS(E204-AB204)/AB204&lt;=0.01,E204&gt;AB204),"5日線押し目○","なし")))</f>
        <v>#VALUE!</v>
      </c>
      <c r="AF204" s="368">
        <f t="array" ref="AF204">IF(C204="","",IFERROR((INDEX(終値!$E:$E,MATCH(TEXT(C204,"0"),終値!$A:$A,0))-INDEX(終値!$E:$CZ,MATCH(TEXT(C204,"0"),終値!$A:$A,0),$AL$2))/INDEX(終値!$E:$CZ,MATCH(TEXT(C204,"0"),終値!$A:$A,0),$AL$2)*100,""))</f>
        <v>2.467074754219996</v>
      </c>
      <c r="AG204" s="368">
        <f t="array" ref="AG204">IFERROR((終値!$E$5-INDEX(終値!$E$5:$CZ$5,1,$AL$2))/INDEX(終値!$E$5:$CZ$5,1,$AL$2)*100,"")</f>
        <v>2.31989243802786</v>
      </c>
      <c r="AH204" s="369">
        <f t="shared" si="59"/>
        <v>0.14718231619213595</v>
      </c>
      <c r="AI204" s="367">
        <f t="shared" si="60"/>
        <v>1</v>
      </c>
    </row>
    <row r="205" spans="1:35" ht="14.25" customHeight="1">
      <c r="A205" s="166" t="str">
        <f>IF(銘柄管理!B18&lt;&gt;"",HYPERLINK("https://kabutan.jp/stock/?code="&amp;銘柄管理!B18,"株探"),"")</f>
        <v>株探</v>
      </c>
      <c r="B205" s="167"/>
      <c r="C205" s="168">
        <f>IF(銘柄管理!B18="","",銘柄管理!B18)</f>
        <v>1662</v>
      </c>
      <c r="D205" s="106" t="str">
        <f>IF(銘柄管理!C18="","",銘柄管理!C18)</f>
        <v/>
      </c>
      <c r="E205" s="169" t="str">
        <f>IF(C205&lt;&gt;"",_xll.RssMarket(C205,"現在値"),"")</f>
        <v/>
      </c>
      <c r="F205" s="169" t="str">
        <f>IF(C205&lt;&gt;"",_xll.RssMarket(C205,"始値"),"")</f>
        <v/>
      </c>
      <c r="G205" s="168">
        <f>IF(C205&lt;&gt;"",終値!F18,"")</f>
        <v>1705</v>
      </c>
      <c r="H205" s="169" t="str">
        <f>IF(C205&lt;&gt;"",_xll.RssMarket(C205,"高値"),"")</f>
        <v/>
      </c>
      <c r="I205" s="169" t="str">
        <f>IF(C205&lt;&gt;"",_xll.RssMarket(C205,"安値"),"")</f>
        <v/>
      </c>
      <c r="J205" s="169" t="str">
        <f>IF(C205&lt;&gt;"",_xll.RssMarket(C205,"出来高"),"")</f>
        <v/>
      </c>
      <c r="K205" s="169" t="str">
        <f>IF(C205&lt;&gt;"",_xll.RssMarket(C205,"年初来高値"),"")</f>
        <v/>
      </c>
      <c r="L205" s="170" t="str">
        <f t="shared" si="51"/>
        <v/>
      </c>
      <c r="M205" s="169">
        <f>IF(C205&lt;&gt;"",IFERROR(AVERAGE(出来高!E18:I18),""),"")</f>
        <v>1478140</v>
      </c>
      <c r="N205" s="169">
        <f>IF(C205&lt;&gt;"",IFERROR(AVERAGE(出来高!E18:AC18),""),"")</f>
        <v>1361648</v>
      </c>
      <c r="O205" s="171" t="str">
        <f t="shared" si="52"/>
        <v/>
      </c>
      <c r="P205" s="166" t="str">
        <f t="shared" si="53"/>
        <v/>
      </c>
      <c r="Q205" s="166" t="str">
        <f t="shared" si="54"/>
        <v/>
      </c>
      <c r="R205" s="169" t="str">
        <f t="shared" si="61"/>
        <v/>
      </c>
      <c r="S205" s="169" t="str">
        <f t="shared" si="62"/>
        <v/>
      </c>
      <c r="T205" s="166">
        <f t="shared" si="55"/>
        <v>0</v>
      </c>
      <c r="U205" s="166" t="str">
        <f t="shared" si="63"/>
        <v>除外</v>
      </c>
      <c r="V205" s="166" t="str">
        <f t="shared" si="56"/>
        <v/>
      </c>
      <c r="W205" s="172">
        <f t="array" ref="W205">IF(C205&lt;&gt;"",IFERROR(100-100/(1+SUMPRODUCT((終値!F18:R18&gt;終値!G18:S18)*( 終値!F18:R18-終値!G18:S18))/SUMPRODUCT((終値!F18:R18&lt;終値!G18:S18)*(終値!G18:S18-終値!F18:R18))),50),"")</f>
        <v>71.935483870967744</v>
      </c>
      <c r="X205" s="173">
        <f>IF(C205&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8.5506091808999827</v>
      </c>
      <c r="Y205" s="1" t="e">
        <f>IF(T205="","",IF(銘柄管理!$F$5="下落▼",IF(AND(AD205="パーフェクト▲",OR(AE205="25日線押し目●",AE205="5日線押し目○")),"★逆張り候補",IF(AND(AD205="上昇トレンド▲",OR(AE205="25日線押し目●",AE205="5日線押し目○")),"○逆張り候補",IF(W205&lt;=30,IF(Z205&gt;0,"◎反発確認",IF(Z205&lt;-5,"△要注意・様子見","△売られ過ぎ注目")),"相場下落・見送り"))),IF(AND(T205&gt;=12,AD205="パーフェクト▲"),"★強い買い",IF(AND(T205&gt;=12,AD205="上昇トレンド▲"),"★強い買い",IF(AND(T205&gt;=8,OR(AE205="25日線押し目●",AE205="5日線押し目○")),"◎押し目買い",IF(T205&gt;=10,"○買い候補",IF(T205&gt;=6,"△注目",IF(T205&gt;=3,"様子見","見送り"))))))))</f>
        <v>#VALUE!</v>
      </c>
      <c r="Z205" s="174" t="str">
        <f t="shared" si="64"/>
        <v/>
      </c>
      <c r="AA205" s="166" t="str">
        <f t="shared" si="65"/>
        <v/>
      </c>
      <c r="AB205" s="175">
        <f>IF(OR(C205="",C205="TOPX",終値!E130=""),"",IFERROR(((終値!E130*0.333)+(終値!F130*0.222)+(終値!G130*0.148)+(終値!H130*0.099)+(終値!I130*0.066))/(0.333+0.222+0.148+0.099+0.066),""))</f>
        <v>7254.3237327188926</v>
      </c>
      <c r="AC205" s="175">
        <f>IF(OR(C205="",C205="TOPX",終値!E130=""),"",IFERROR(SUMPRODUCT((終値!E130:AC130),{0.077,0.071,0.065,0.06,0.055,0.051,0.047,0.043,0.039,0.036,0.033,0.031,0.028,0.026,0.024,0.022,0.02,0.018,0.017,0.016,0.014,0.013,0.012,0.011,0.01})/SUM({0.077,0.071,0.065,0.06,0.055,0.051,0.047,0.043,0.039,0.036,0.033,0.031,0.028,0.026,0.024,0.022,0.02,0.018,0.017,0.016,0.014,0.013,0.012,0.011,0.01}),""))</f>
        <v>7389.5840286054799</v>
      </c>
      <c r="AD205" s="176" t="str">
        <f>IF(OR(C205="",AB205="",AC205="",AB205=0,AC205=0),"",IF(AND(E205&gt;AB205,AB205&gt;AC205),"パーフェクト▲",IF(E205&gt;AC205,"上昇トレンド▲",IF(AND(E205&lt;AB205,AB205&lt;AC205),"下降トレンド▼","もみ合い→"))))</f>
        <v>上昇トレンド▲</v>
      </c>
      <c r="AE205" s="176" t="e">
        <f>IF(OR(C205="",AB205="",AC205=""),"",IF(AND(ABS(E205-AC205)/AC205&lt;=0.02,E205&gt;AC205),"25日線押し目●",IF(AND(ABS(E205-AB205)/AB205&lt;=0.01,E205&gt;AB205),"5日線押し目○","なし")))</f>
        <v>#VALUE!</v>
      </c>
      <c r="AF205" s="368">
        <f t="array" ref="AF205">IF(C205="","",IFERROR((INDEX(終値!$E:$E,MATCH(TEXT(C205,"0"),終値!$A:$A,0))-INDEX(終値!$E:$CZ,MATCH(TEXT(C205,"0"),終値!$A:$A,0),$AL$2))/INDEX(終値!$E:$CZ,MATCH(TEXT(C205,"0"),終値!$A:$A,0),$AL$2)*100,""))</f>
        <v>-4.0369088811995386</v>
      </c>
      <c r="AG205" s="368">
        <f t="array" ref="AG205">IFERROR((終値!$E$5-INDEX(終値!$E$5:$CZ$5,1,$AL$2))/INDEX(終値!$E$5:$CZ$5,1,$AL$2)*100,"")</f>
        <v>2.31989243802786</v>
      </c>
      <c r="AH205" s="369">
        <f t="shared" si="59"/>
        <v>-6.3568013192273991</v>
      </c>
      <c r="AI205" s="367">
        <f t="shared" si="60"/>
        <v>-2</v>
      </c>
    </row>
    <row r="206" spans="1:35" ht="14.25" customHeight="1">
      <c r="A206" s="166" t="str">
        <f>IF(銘柄管理!B12&lt;&gt;"",HYPERLINK("https://kabutan.jp/stock/?code="&amp;銘柄管理!B12,"株探"),"")</f>
        <v>株探</v>
      </c>
      <c r="B206" s="167"/>
      <c r="C206" s="168">
        <f>IF(銘柄管理!B12="","",銘柄管理!B12)</f>
        <v>1605</v>
      </c>
      <c r="D206" s="106" t="str">
        <f>IF(銘柄管理!C12="","",銘柄管理!C12)</f>
        <v/>
      </c>
      <c r="E206" s="169" t="str">
        <f>IF(C206&lt;&gt;"",_xll.RssMarket(C206,"現在値"),"")</f>
        <v/>
      </c>
      <c r="F206" s="169" t="str">
        <f>IF(C206&lt;&gt;"",_xll.RssMarket(C206,"始値"),"")</f>
        <v/>
      </c>
      <c r="G206" s="168">
        <f>IF(C206&lt;&gt;"",終値!F12,"")</f>
        <v>3450</v>
      </c>
      <c r="H206" s="169" t="str">
        <f>IF(C206&lt;&gt;"",_xll.RssMarket(C206,"高値"),"")</f>
        <v/>
      </c>
      <c r="I206" s="169" t="str">
        <f>IF(C206&lt;&gt;"",_xll.RssMarket(C206,"安値"),"")</f>
        <v/>
      </c>
      <c r="J206" s="169" t="str">
        <f>IF(C206&lt;&gt;"",_xll.RssMarket(C206,"出来高"),"")</f>
        <v/>
      </c>
      <c r="K206" s="169" t="str">
        <f>IF(C206&lt;&gt;"",_xll.RssMarket(C206,"年初来高値"),"")</f>
        <v/>
      </c>
      <c r="L206" s="170" t="str">
        <f t="shared" si="51"/>
        <v/>
      </c>
      <c r="M206" s="169">
        <f>IF(C206&lt;&gt;"",IFERROR(AVERAGE(出来高!E12:I12),""),"")</f>
        <v>4571120</v>
      </c>
      <c r="N206" s="169">
        <f>IF(C206&lt;&gt;"",IFERROR(AVERAGE(出来高!E12:AC12),""),"")</f>
        <v>5005676</v>
      </c>
      <c r="O206" s="171" t="str">
        <f t="shared" si="52"/>
        <v/>
      </c>
      <c r="P206" s="166" t="str">
        <f t="shared" si="53"/>
        <v/>
      </c>
      <c r="Q206" s="166" t="str">
        <f t="shared" si="54"/>
        <v/>
      </c>
      <c r="R206" s="169" t="str">
        <f t="shared" si="61"/>
        <v/>
      </c>
      <c r="S206" s="169" t="str">
        <f t="shared" si="62"/>
        <v/>
      </c>
      <c r="T206" s="166">
        <f t="shared" si="55"/>
        <v>0</v>
      </c>
      <c r="U206" s="166" t="str">
        <f t="shared" si="63"/>
        <v>除外</v>
      </c>
      <c r="V206" s="166" t="str">
        <f t="shared" si="56"/>
        <v/>
      </c>
      <c r="W206" s="172">
        <f t="array" ref="W206">IF(C206&lt;&gt;"",IFERROR(100-100/(1+SUMPRODUCT((終値!F12:R12&gt;終値!G12:S12)*( 終値!F12:R12-終値!G12:S12))/SUMPRODUCT((終値!F12:R12&lt;終値!G12:S12)*(終値!G12:S12-終値!F12:R12))),50),"")</f>
        <v>61.058344640434193</v>
      </c>
      <c r="X206" s="173">
        <f>IF(C206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-0.64156639693510442</v>
      </c>
      <c r="Y206" s="1" t="e">
        <f>IF(T206="","",IF(銘柄管理!$F$5="下落▼",IF(AND(AD206="パーフェクト▲",OR(AE206="25日線押し目●",AE206="5日線押し目○")),"★逆張り候補",IF(AND(AD206="上昇トレンド▲",OR(AE206="25日線押し目●",AE206="5日線押し目○")),"○逆張り候補",IF(W206&lt;=30,IF(Z206&gt;0,"◎反発確認",IF(Z206&lt;-5,"△要注意・様子見","△売られ過ぎ注目")),"相場下落・見送り"))),IF(AND(T206&gt;=12,AD206="パーフェクト▲"),"★強い買い",IF(AND(T206&gt;=12,AD206="上昇トレンド▲"),"★強い買い",IF(AND(T206&gt;=8,OR(AE206="25日線押し目●",AE206="5日線押し目○")),"◎押し目買い",IF(T206&gt;=10,"○買い候補",IF(T206&gt;=6,"△注目",IF(T206&gt;=3,"様子見","見送り"))))))))</f>
        <v>#VALUE!</v>
      </c>
      <c r="Z206" s="174" t="str">
        <f t="shared" si="64"/>
        <v/>
      </c>
      <c r="AA206" s="166" t="str">
        <f t="shared" si="65"/>
        <v/>
      </c>
      <c r="AB206" s="175">
        <f>IF(OR(C206="",C206="TOPX",終値!E202=""),"",IFERROR(((終値!E202*0.333)+(終値!F202*0.222)+(終値!G202*0.148)+(終値!H202*0.099)+(終値!I202*0.066))/(0.333+0.222+0.148+0.099+0.066),""))</f>
        <v>5118.1129032258068</v>
      </c>
      <c r="AC206" s="175">
        <f>IF(OR(C206="",C206="TOPX",終値!E202=""),"",IFERROR(SUMPRODUCT((終値!E202:AC202),{0.077,0.071,0.065,0.06,0.055,0.051,0.047,0.043,0.039,0.036,0.033,0.031,0.028,0.026,0.024,0.022,0.02,0.018,0.017,0.016,0.014,0.013,0.012,0.011,0.01})/SUM({0.077,0.071,0.065,0.06,0.055,0.051,0.047,0.043,0.039,0.036,0.033,0.031,0.028,0.026,0.024,0.022,0.02,0.018,0.017,0.016,0.014,0.013,0.012,0.011,0.01}),""))</f>
        <v>5173.114421930868</v>
      </c>
      <c r="AD206" s="176" t="str">
        <f>IF(OR(C206="",AB206="",AC206="",AB206=0,AC206=0),"",IF(AND(E206&gt;AB206,AB206&gt;AC206),"パーフェクト▲",IF(E206&gt;AC206,"上昇トレンド▲",IF(AND(E206&lt;AB206,AB206&lt;AC206),"下降トレンド▼","もみ合い→"))))</f>
        <v>上昇トレンド▲</v>
      </c>
      <c r="AE206" s="176" t="e">
        <f>IF(OR(C206="",AB206="",AC206=""),"",IF(AND(ABS(E206-AC206)/AC206&lt;=0.02,E206&gt;AC206),"25日線押し目●",IF(AND(ABS(E206-AB206)/AB206&lt;=0.01,E206&gt;AB206),"5日線押し目○","なし")))</f>
        <v>#VALUE!</v>
      </c>
      <c r="AF206" s="368">
        <f t="array" ref="AF206">IF(C206="","",IFERROR((INDEX(終値!$E:$E,MATCH(TEXT(C206,"0"),終値!$A:$A,0))-INDEX(終値!$E:$CZ,MATCH(TEXT(C206,"0"),終値!$A:$A,0),$AL$2))/INDEX(終値!$E:$CZ,MATCH(TEXT(C206,"0"),終値!$A:$A,0),$AL$2)*100,""))</f>
        <v>-6.5915957154627849</v>
      </c>
      <c r="AG206" s="368">
        <f t="array" ref="AG206">IFERROR((終値!$E$5-INDEX(終値!$E$5:$CZ$5,1,$AL$2))/INDEX(終値!$E$5:$CZ$5,1,$AL$2)*100,"")</f>
        <v>2.31989243802786</v>
      </c>
      <c r="AH206" s="369">
        <f t="shared" si="59"/>
        <v>-8.9114881534906445</v>
      </c>
      <c r="AI206" s="367">
        <f t="shared" si="60"/>
        <v>-2</v>
      </c>
    </row>
  </sheetData>
  <autoFilter ref="A2:AA204" xr:uid="{00000000-0009-0000-0000-000003000000}">
    <sortState xmlns:xlrd2="http://schemas.microsoft.com/office/spreadsheetml/2017/richdata2" ref="A3:AA206">
      <sortCondition descending="1" ref="C2:C204"/>
    </sortState>
  </autoFilter>
  <mergeCells count="1">
    <mergeCell ref="A1:AA1"/>
  </mergeCells>
  <phoneticPr fontId="16"/>
  <conditionalFormatting sqref="Q3:Q206">
    <cfRule type="cellIs" dxfId="22" priority="1" stopIfTrue="1" operator="equal">
      <formula>"""買い▲"""</formula>
    </cfRule>
    <cfRule type="cellIs" dxfId="21" priority="2" stopIfTrue="1" operator="equal">
      <formula>"""様子見▼"""</formula>
    </cfRule>
  </conditionalFormatting>
  <conditionalFormatting sqref="T3:T206">
    <cfRule type="cellIs" dxfId="20" priority="6" stopIfTrue="1" operator="greaterThanOrEqual">
      <formula>AND(T3&gt;=5,T3&lt;&gt;"")</formula>
    </cfRule>
    <cfRule type="cellIs" dxfId="19" priority="7" stopIfTrue="1" operator="greaterThanOrEqual">
      <formula>AND(T3&gt;=3,T3&lt;&gt;"")</formula>
    </cfRule>
  </conditionalFormatting>
  <conditionalFormatting sqref="AA3:AA206">
    <cfRule type="cellIs" dxfId="18" priority="8" stopIfTrue="1" operator="equal">
      <formula>"""上昇▲"""</formula>
    </cfRule>
    <cfRule type="cellIs" dxfId="17" priority="9" stopIfTrue="1" operator="equal">
      <formula>"""下落▼"""</formula>
    </cfRule>
  </conditionalFormatting>
  <conditionalFormatting sqref="Z3:Z206">
    <cfRule type="cellIs" dxfId="16" priority="10" stopIfTrue="1" operator="greaterThan">
      <formula>0</formula>
    </cfRule>
    <cfRule type="cellIs" dxfId="15" priority="11" stopIfTrue="1" operator="lessThan">
      <formula>0</formula>
    </cfRule>
  </conditionalFormatting>
  <conditionalFormatting sqref="AD203:AD206">
    <cfRule type="cellIs" dxfId="14" priority="12" stopIfTrue="1" operator="equal">
      <formula>"""パーフェクト▲"""</formula>
    </cfRule>
    <cfRule type="cellIs" dxfId="13" priority="13" stopIfTrue="1" operator="equal">
      <formula>"""上昇トレンド▲"""</formula>
    </cfRule>
    <cfRule type="cellIs" dxfId="12" priority="14" stopIfTrue="1" operator="equal">
      <formula>"""下降トレンド▼"""</formula>
    </cfRule>
  </conditionalFormatting>
  <conditionalFormatting sqref="AE203:AE206">
    <cfRule type="cellIs" dxfId="11" priority="15" stopIfTrue="1" operator="equal">
      <formula>"""25日押し目★"""</formula>
    </cfRule>
    <cfRule type="cellIs" dxfId="10" priority="16" stopIfTrue="1" operator="equal">
      <formula>"""5日押し目○"""</formula>
    </cfRule>
  </conditionalFormatting>
  <conditionalFormatting sqref="AD3:AD202">
    <cfRule type="cellIs" dxfId="9" priority="17" stopIfTrue="1" operator="equal">
      <formula>"""パーフェクト▲"""</formula>
    </cfRule>
    <cfRule type="cellIs" dxfId="8" priority="18" stopIfTrue="1" operator="equal">
      <formula>"""上昇トレンド▲"""</formula>
    </cfRule>
    <cfRule type="cellIs" dxfId="7" priority="19" stopIfTrue="1" operator="equal">
      <formula>"""下降トレンド▼"""</formula>
    </cfRule>
  </conditionalFormatting>
  <conditionalFormatting sqref="AE3:AE202">
    <cfRule type="cellIs" dxfId="6" priority="20" stopIfTrue="1" operator="equal">
      <formula>"""25日押し目★"""</formula>
    </cfRule>
    <cfRule type="cellIs" dxfId="5" priority="21" stopIfTrue="1" operator="equal">
      <formula>"""5日押し目○"""</formula>
    </cfRule>
  </conditionalFormatting>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AU206"/>
  <sheetViews>
    <sheetView workbookViewId="0">
      <selection activeCell="A10" sqref="A10"/>
    </sheetView>
  </sheetViews>
  <sheetFormatPr defaultRowHeight="13.2"/>
  <cols>
    <col min="1" max="1" width="10.6640625" customWidth="1"/>
    <col min="3" max="3" width="8.88671875" style="479"/>
    <col min="4" max="4" width="20" customWidth="1"/>
    <col min="25" max="25" width="16.6640625" customWidth="1"/>
  </cols>
  <sheetData>
    <row r="1" spans="1:47" ht="27.9" customHeight="1">
      <c r="A1" s="472" t="s">
        <v>1101</v>
      </c>
      <c r="B1" s="475" t="s">
        <v>1102</v>
      </c>
      <c r="C1" s="476"/>
      <c r="D1" s="473"/>
      <c r="E1" s="473"/>
      <c r="F1" s="473"/>
      <c r="G1" s="473"/>
      <c r="H1" s="473"/>
      <c r="I1" s="473"/>
      <c r="J1" s="473"/>
      <c r="K1" s="473"/>
      <c r="L1" s="473"/>
      <c r="M1" s="473"/>
      <c r="N1" s="473"/>
      <c r="O1" s="473"/>
      <c r="P1" s="473"/>
      <c r="Q1" s="473"/>
      <c r="R1" s="473"/>
      <c r="S1" s="473"/>
      <c r="T1" s="473"/>
      <c r="U1" s="473"/>
      <c r="V1" s="473"/>
      <c r="W1" s="473"/>
      <c r="X1" s="473"/>
      <c r="Y1" s="473"/>
      <c r="Z1" s="473"/>
      <c r="AA1" s="473"/>
      <c r="AB1" s="473"/>
      <c r="AC1" s="473"/>
      <c r="AD1" s="473"/>
      <c r="AE1" s="473"/>
      <c r="AF1" s="473"/>
      <c r="AG1" s="473"/>
      <c r="AH1" s="473"/>
      <c r="AI1" s="473"/>
      <c r="AJ1" s="473"/>
      <c r="AK1" s="473"/>
      <c r="AL1" s="473"/>
      <c r="AM1" s="474" t="s">
        <v>554</v>
      </c>
      <c r="AN1" s="474" t="s">
        <v>555</v>
      </c>
      <c r="AO1" s="473"/>
      <c r="AP1" s="473"/>
      <c r="AQ1" s="473"/>
      <c r="AR1" s="473"/>
      <c r="AS1" s="473"/>
      <c r="AT1" s="473"/>
      <c r="AU1" s="473"/>
    </row>
    <row r="2" spans="1:47" ht="18" customHeight="1">
      <c r="A2" s="319" t="s">
        <v>556</v>
      </c>
      <c r="B2" s="319" t="s">
        <v>522</v>
      </c>
      <c r="C2" s="319" t="s">
        <v>523</v>
      </c>
      <c r="D2" s="319" t="s">
        <v>524</v>
      </c>
      <c r="E2" s="320" t="s">
        <v>525</v>
      </c>
      <c r="F2" s="321" t="s">
        <v>543</v>
      </c>
      <c r="G2" s="321" t="s">
        <v>557</v>
      </c>
      <c r="H2" s="321" t="s">
        <v>526</v>
      </c>
      <c r="I2" s="321" t="s">
        <v>527</v>
      </c>
      <c r="J2" s="321" t="s">
        <v>528</v>
      </c>
      <c r="K2" s="321" t="s">
        <v>546</v>
      </c>
      <c r="L2" s="321" t="s">
        <v>558</v>
      </c>
      <c r="M2" s="322" t="s">
        <v>559</v>
      </c>
      <c r="N2" s="322" t="s">
        <v>560</v>
      </c>
      <c r="O2" s="322" t="s">
        <v>532</v>
      </c>
      <c r="P2" s="322" t="s">
        <v>547</v>
      </c>
      <c r="Q2" s="322" t="s">
        <v>561</v>
      </c>
      <c r="R2" s="323" t="s">
        <v>535</v>
      </c>
      <c r="S2" s="323" t="s">
        <v>562</v>
      </c>
      <c r="T2" s="378" t="s">
        <v>551</v>
      </c>
      <c r="U2" s="324" t="s">
        <v>563</v>
      </c>
      <c r="V2" s="324" t="s">
        <v>569</v>
      </c>
      <c r="W2" s="324" t="s">
        <v>529</v>
      </c>
      <c r="X2" s="324" t="s">
        <v>533</v>
      </c>
      <c r="Y2" s="325" t="s">
        <v>552</v>
      </c>
      <c r="Z2" s="324" t="s">
        <v>564</v>
      </c>
      <c r="AA2" s="324" t="s">
        <v>549</v>
      </c>
      <c r="AB2" s="326" t="s">
        <v>544</v>
      </c>
      <c r="AC2" s="326" t="s">
        <v>545</v>
      </c>
      <c r="AD2" s="326" t="s">
        <v>530</v>
      </c>
      <c r="AE2" s="326" t="s">
        <v>570</v>
      </c>
      <c r="AF2" s="326" t="s">
        <v>571</v>
      </c>
      <c r="AI2" s="372" t="s">
        <v>565</v>
      </c>
      <c r="AJ2" s="372" t="s">
        <v>566</v>
      </c>
      <c r="AK2" s="373" t="s">
        <v>567</v>
      </c>
      <c r="AL2" s="373" t="s">
        <v>568</v>
      </c>
      <c r="AM2" s="374">
        <f>COUNT(終値!$E$5:$CZ$5)</f>
        <v>43</v>
      </c>
      <c r="AN2" s="374">
        <f>MIN(25,AM2)</f>
        <v>25</v>
      </c>
      <c r="AO2" s="373" t="s">
        <v>572</v>
      </c>
      <c r="AP2" s="373" t="s">
        <v>573</v>
      </c>
      <c r="AQ2" s="373" t="s">
        <v>574</v>
      </c>
      <c r="AR2" s="373" t="s">
        <v>575</v>
      </c>
      <c r="AS2" s="373" t="s">
        <v>576</v>
      </c>
      <c r="AT2" s="373" t="s">
        <v>577</v>
      </c>
      <c r="AU2" s="373" t="s">
        <v>578</v>
      </c>
    </row>
    <row r="3" spans="1:47" ht="14.25" customHeight="1">
      <c r="A3" s="327" t="str">
        <f>IF(銘柄管理!B141&lt;&gt;"",HYPERLINK("https://kabutan.jp/stock/?code="&amp;銘柄管理!B141,"株探"),"")</f>
        <v>株探</v>
      </c>
      <c r="B3" s="328"/>
      <c r="C3" s="477">
        <f>IF(銘柄管理!B141="","",銘柄管理!B141)</f>
        <v>6613</v>
      </c>
      <c r="D3" s="328" t="str">
        <f>IF(銘柄管理!C141="","",銘柄管理!C141)</f>
        <v/>
      </c>
      <c r="E3" s="329" t="str">
        <f>IF(C3&lt;&gt;"",_xll.RssMarket(C3,"現在値"),"")</f>
        <v/>
      </c>
      <c r="F3" s="329" t="str">
        <f>IF(C3&lt;&gt;"",_xll.RssMarket(C3,"始値"),"")</f>
        <v/>
      </c>
      <c r="G3" s="328">
        <f>IF(C3&lt;&gt;"",終値!F141,"")</f>
        <v>2384</v>
      </c>
      <c r="H3" s="329" t="str">
        <f>IF(C3&lt;&gt;"",_xll.RssMarket(C3,"高値"),"")</f>
        <v/>
      </c>
      <c r="I3" s="329" t="str">
        <f>IF(C3&lt;&gt;"",_xll.RssMarket(C3,"安値"),"")</f>
        <v/>
      </c>
      <c r="J3" s="329" t="str">
        <f>IF(C3&lt;&gt;"",_xll.RssMarket(C3,"出来高"),"")</f>
        <v/>
      </c>
      <c r="K3" s="329" t="str">
        <f>IF(C3&lt;&gt;"",_xll.RssMarket(C3,"年初来高値"),"")</f>
        <v/>
      </c>
      <c r="L3" s="330" t="str">
        <f t="shared" ref="L3:L66" si="0">IF(AND(E3&lt;&gt;"",K3&lt;&gt;"",K3&lt;&gt;0),(E3-K3)/K3*100,"")</f>
        <v/>
      </c>
      <c r="M3" s="329">
        <f>IF(C3&lt;&gt;"",IFERROR(AVERAGE(出来高!E141:I141),""),"")</f>
        <v>3297280</v>
      </c>
      <c r="N3" s="329">
        <f>IF(C3&lt;&gt;"",IFERROR(AVERAGE(出来高!E141:AC141),""),"")</f>
        <v>4127484</v>
      </c>
      <c r="O3" s="331" t="str">
        <f t="shared" ref="O3:O66" si="1">IF(AND(J3&lt;&gt;"",M3&lt;&gt;"",M3&lt;&gt;0),J3/M3,"")</f>
        <v/>
      </c>
      <c r="P3" s="328" t="str">
        <f t="shared" ref="P3:P66" si="2">IF(O3="","",IF(O3&gt;=2,"急増↑↑",IF(O3&gt;=1.5,"増加↑",IF(O3&gt;=1,"普通→","減少↓"))))</f>
        <v/>
      </c>
      <c r="Q3" s="328" t="str">
        <f t="shared" ref="Q3:Q66" si="3">IF(E3="","",IF(AND(E3&lt;G3,O3&gt;=1.5),"売り▼",IF(E3&gt;G3,"様子見▲","中立→")))</f>
        <v/>
      </c>
      <c r="R3" s="329" t="str">
        <f t="shared" ref="R3:R66" si="4">IF(E3&lt;&gt;"",ROUND(E3*0.92,0),"")</f>
        <v/>
      </c>
      <c r="S3" s="329" t="str">
        <f t="shared" ref="S3:S66" si="5">IF(E3&lt;&gt;"",ROUND(E3*1.04,0),"")</f>
        <v/>
      </c>
      <c r="T3" s="328">
        <f t="shared" ref="T3:T66" si="6">IF(C3="","",IFERROR(IF(W3&gt;=70,3,IF(W3&gt;=60,2,IF(W3&gt;=50,1,0)))+IF(X3&lt;0,2,0)+IF(AD3="下降トレンド▼",3,IF(AD3="もみ合い→",1,0))+IF(V3="年初来安値圏●",3,IF(V3="安値圏",2,0))+IF(Q3="売り▼",2,0)+IF(P3="急増↑↑",2,IF(P3="増加↑",1,0))+IF(Z3&lt;0,1,0)+IF(L3&lt;=-30,2,IF(L3&lt;=-15,1,0))+IF(AE3="25日戻り売り★",2,IF(AE3="5日戻り売り○",1,0))+N(AL3)+N(AP3)+N(AU3),0))</f>
        <v>0</v>
      </c>
      <c r="U3" s="328" t="str">
        <f t="shared" ref="U3:U66" si="7">IF(T3="","",IF(AND(T3&gt;=3,O3&gt;=1.5),"有効",IF(T3&gt;=3,"要確認","除外")))</f>
        <v>除外</v>
      </c>
      <c r="V3" s="328" t="str">
        <f t="shared" ref="V3:V66" si="8">IF(AND(I3&lt;&gt;"",K3&lt;&gt;""),IF(I3&lt;=K3*0.6,"年初来安値圏●",IF(I3&lt;=K3*0.75,"安値圏","通常")),"")</f>
        <v/>
      </c>
      <c r="W3" s="332">
        <f t="array" ref="W3">IFERROR(100-100/(1+SUMPRODUCT((終値!F141:R141&gt;終値!G141:S141)*(終値!F141:R141-終値!G141:S141))/SUMPRODUCT((終値!F141:R141&lt;終値!G141:S141)*(終値!G141:S141-終値!F141:R141))),50)</f>
        <v>15.298804780876495</v>
      </c>
      <c r="X3" s="333">
        <f>IF(C3&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-66.365894626232148</v>
      </c>
      <c r="Y3" s="328" t="e">
        <f t="shared" ref="Y3:Y66" si="9">IF(AF3="","",AF3&amp;" | "&amp;AD3&amp;IF(AE3&lt;&gt;"なし"," "&amp;AE3,"")&amp;IF(X3&lt;0," MACD-"," MACD+")&amp;" RSI:"&amp;TEXT(W3,"0.0")&amp;IF(W3&gt;=70," [過熱]",IF(W3&lt;=30," [売られ過ぎ]",""))&amp;" 前日比:"&amp;TEXT(Z3,"+0.0;-0.0;0.0")&amp;"%"&amp;IF(V3="年初来安値圏●"," [年初来安値圏]",IF(V3="安値圏"," [安値圏]",""))&amp;IF(OR(AO3="通常",AO3="-"),""," ["&amp;AO3&amp;"]")&amp;IF(OR(AT3="通常",AT3="-"),"","前日["&amp;AT3&amp;"]")&amp;" ["&amp;T3&amp;"点]")</f>
        <v>#VALUE!</v>
      </c>
      <c r="Z3" s="334" t="str">
        <f t="shared" ref="Z3:Z66" si="10">IF(AND(E3&lt;&gt;"",G3&lt;&gt;"",G3&lt;&gt;0),(E3-G3)/G3*100,"")</f>
        <v/>
      </c>
      <c r="AA3" s="328" t="str">
        <f t="shared" ref="AA3:AA66" si="11">IF(OR(C3="",E3="",E3=0),"",IF(E3&gt;G3,"上昇▲",IF(E3&lt;G3,"下落▼","横ばい→")))</f>
        <v/>
      </c>
      <c r="AB3" s="329">
        <f>IF(OR(C3="",C3="TOPX",終値!E141=""),"",IFERROR(((終値!E141*0.333)+(終値!F141*0.222)+(終値!G141*0.148)+(終値!H141*0.099)+(終値!I141*0.066))/(0.333+0.222+0.148+0.099+0.066),""))</f>
        <v>2181.4642857142853</v>
      </c>
      <c r="AC3" s="329">
        <f>IF(OR(C3="",C3="TOPX",終値!E141=""),"",IFERROR(SUMPRODUCT((終値!E141:AC141),{0.077,0.071,0.065,0.06,0.055,0.051,0.047,0.043,0.039,0.036,0.033,0.031,0.028,0.026,0.024,0.022,0.02,0.018,0.017,0.016,0.014,0.013,0.012,0.011,0.01})/SUM({0.077,0.071,0.065,0.06,0.055,0.051,0.047,0.043,0.039,0.036,0.033,0.031,0.028,0.026,0.024,0.022,0.02,0.018,0.017,0.016,0.014,0.013,0.012,0.011,0.01}),""))</f>
        <v>2536.7735399284857</v>
      </c>
      <c r="AD3" s="328" t="str">
        <f t="shared" ref="AD3:AD66" si="12">IF(OR(C3="",AB3="",AC3="",AB3=0,AC3=0),"",IF(AND(E3&gt;AB3,AB3&gt;AC3),"パーフェクト▲",IF(E3&gt;AC3,"上昇トレンド▲",IF(AND(E3&lt;AB3,AB3&lt;AC3),"下降トレンド▼","もみ合い→"))))</f>
        <v>上昇トレンド▲</v>
      </c>
      <c r="AE3" s="328" t="e">
        <f t="shared" ref="AE3:AE66" si="13">IF(OR(C3="",AB3="",AC3=""),"",IF(AND(ABS(E3-AC3)/AC3&lt;=0.02,E3&lt;AC3),"25日戻り売り★",IF(AND(ABS(E3-AB3)/AB3&lt;=0.01,E3&lt;AB3),"5日戻り売り○","なし")))</f>
        <v>#VALUE!</v>
      </c>
      <c r="AF3" t="e">
        <f>IF(T3="","",IF(銘柄管理!$F$5="上昇▲",IF(AND(AD3="下降トレンド▼",OR(AE3="25日戻り売り★",AE3="5日戻り売り○")),"★逆張り売り",IF(AND(AD3="もみ合い→",OR(AE3="25日戻り売り★",AE3="5日戻り売り○")),"○逆張り売り",IF(W3&gt;=70,IF(Z3&lt;0,"◎反落確認","△過熱・様子見"),"相場上昇・見送り"))),IF(AND(T3&gt;=12,AD3="下降トレンド▼"),"★強い売り",IF(T3&gt;=12,"★強い売り",IF(AND(T3&gt;=8,OR(AE3="25日戻り売り★",AE3="5日戻り売り○")),"◎戻り売り",IF(T3&gt;=10,"○売り候補",IF(T3&gt;=6,"△注目",IF(T3&gt;=3,"様子見","見送り"))))))))</f>
        <v>#VALUE!</v>
      </c>
      <c r="AG3">
        <f t="shared" ref="AG3:AG66" si="14">IF(AND(T3&gt;=7,C3&lt;&gt;""),T3,0)</f>
        <v>0</v>
      </c>
      <c r="AH3">
        <f t="shared" ref="AH3:AH66" si="15">IF(AG3&gt;0,AG3*10000-ROW(A3),0)</f>
        <v>0</v>
      </c>
      <c r="AI3" s="376">
        <f t="array" ref="AI3">IF(C3="","",IFERROR((INDEX(終値!$E:$E,MATCH(TEXT(C3,"0"),終値!$A:$A,0))-INDEX(終値!$E:$CZ,MATCH(TEXT(C3,"0"),終値!$A:$A,0),$AN$2))/INDEX(終値!$E:$CZ,MATCH(TEXT(C3,"0"),終値!$A:$A,0),$AN$2)*100,""))</f>
        <v>-31.284046692607003</v>
      </c>
      <c r="AJ3" s="376">
        <f t="array" ref="AJ3">IFERROR((終値!$E$5-INDEX(終値!$E$5:$CZ$5,1,$AN$2))/INDEX(終値!$E$5:$CZ$5,1,$AN$2)*100,"")</f>
        <v>2.31989243802786</v>
      </c>
      <c r="AK3" s="377">
        <f t="shared" ref="AK3:AK66" si="16">IF(OR(AI3="",AJ3=""),"",AI3-AJ3)</f>
        <v>-33.603939130634863</v>
      </c>
      <c r="AL3" s="375">
        <f t="shared" ref="AL3:AL66" si="17">IF(AK3="","",IF(AK3&lt;-5,3,IF(AK3&lt;0,1,IF(AK3&lt;3,-1,-2))))</f>
        <v>3</v>
      </c>
      <c r="AO3" s="379" t="e">
        <f t="shared" ref="AO3:AO66" si="18">IF(OR($C3="",$E3="",$F3="",$H3="",$I3="",$H3-$I3&lt;=0),"-",IF(AND($H3-MAX($F3,$E3)&gt;=ABS($E3-$F3)*2,MIN($F3,$E3)-$I3&lt;=ABS($E3-$F3)*0.5,ABS($E3-$F3)&gt;0),"上ヒゲ陰線▼",IF(AND($E3&lt;$F3,ABS($E3-$F3)&gt;=($H3-$I3)*0.7),"大陰線▼",IF(AND(MIN($F3,$E3)-$I3&gt;=($H3-$I3)*0.5,$H3-MAX($F3,$E3)&lt;=($H3-$I3)*0.2),"長い下ヒゲ(反発警戒)","通常"))))</f>
        <v>#VALUE!</v>
      </c>
      <c r="AP3" s="380" t="e">
        <f t="shared" ref="AP3:AP66" si="19">IF($AO3="上ヒゲ陰線▼",2,IF($AO3="大陰線▼",2,IF($AO3="長い下ヒゲ(反発警戒)",-2,0)))</f>
        <v>#VALUE!</v>
      </c>
      <c r="AQ3">
        <f>IF(C3&lt;&gt;"",始値!F141,"")</f>
        <v>2402</v>
      </c>
      <c r="AR3">
        <f>IF(C3&lt;&gt;"",高値!F141,"")</f>
        <v>2456</v>
      </c>
      <c r="AS3">
        <f>IF(C3&lt;&gt;"",安値!F141,"")</f>
        <v>2370</v>
      </c>
      <c r="AT3" t="str">
        <f t="shared" ref="AT3:AT66" si="20">IF(OR(C3="",AQ3="",AR3="",AS3="",AR3-AS3&lt;=0),"-",IF(AND(AR3-MAX(G3,AQ3)&gt;=ABS(G3-AQ3)*2,MIN(G3,AQ3)-AS3&lt;=ABS(G3-AQ3)*0.5,ABS(G3-AQ3)&gt;0),"上ヒゲ陰線▼",IF(AND(G3&lt;AQ3,ABS(G3-AQ3)&gt;=(AR3-AS3)*0.7),"大陰線▼",IF(AND(MIN(G3,AQ3)-AS3&gt;=(AR3-AS3)*0.5,AR3-MAX(G3,AQ3)&lt;=(AR3-AS3)*0.2),"長い下ヒゲ(反発)","通常"))))</f>
        <v>通常</v>
      </c>
      <c r="AU3">
        <f t="shared" ref="AU3:AU66" si="21">IF(AT3="上ヒゲ陰線▼",2,IF(AT3="大陰線▼",2,IF(AT3="長い下ヒゲ(反発)",-2,0)))</f>
        <v>0</v>
      </c>
    </row>
    <row r="4" spans="1:47" ht="14.25" customHeight="1">
      <c r="A4" s="335" t="str">
        <f>IF(銘柄管理!B28&lt;&gt;"",HYPERLINK("https://kabutan.jp/stock/?code="&amp;銘柄管理!B28,"株探"),"")</f>
        <v>株探</v>
      </c>
      <c r="B4" s="215"/>
      <c r="C4" s="478">
        <f>IF(銘柄管理!B28="","",銘柄管理!B28)</f>
        <v>3436</v>
      </c>
      <c r="D4" s="215" t="str">
        <f>IF(銘柄管理!C28="","",銘柄管理!C28)</f>
        <v/>
      </c>
      <c r="E4" s="336" t="str">
        <f>IF(C4&lt;&gt;"",_xll.RssMarket(C4,"現在値"),"")</f>
        <v/>
      </c>
      <c r="F4" s="336" t="str">
        <f>IF(C4&lt;&gt;"",_xll.RssMarket(C4,"始値"),"")</f>
        <v/>
      </c>
      <c r="G4" s="215">
        <f>IF(C4&lt;&gt;"",終値!F28,"")</f>
        <v>5074</v>
      </c>
      <c r="H4" s="336" t="str">
        <f>IF(C4&lt;&gt;"",_xll.RssMarket(C4,"高値"),"")</f>
        <v/>
      </c>
      <c r="I4" s="336" t="str">
        <f>IF(C4&lt;&gt;"",_xll.RssMarket(C4,"安値"),"")</f>
        <v/>
      </c>
      <c r="J4" s="336" t="str">
        <f>IF(C4&lt;&gt;"",_xll.RssMarket(C4,"出来高"),"")</f>
        <v/>
      </c>
      <c r="K4" s="336" t="str">
        <f>IF(C4&lt;&gt;"",_xll.RssMarket(C4,"年初来高値"),"")</f>
        <v/>
      </c>
      <c r="L4" s="337" t="str">
        <f t="shared" si="0"/>
        <v/>
      </c>
      <c r="M4" s="336">
        <f>IF(C4&lt;&gt;"",IFERROR(AVERAGE(出来高!E28:I28),""),"")</f>
        <v>27426240</v>
      </c>
      <c r="N4" s="336">
        <f>IF(C4&lt;&gt;"",IFERROR(AVERAGE(出来高!E28:AC28),""),"")</f>
        <v>18307656</v>
      </c>
      <c r="O4" s="338" t="str">
        <f t="shared" si="1"/>
        <v/>
      </c>
      <c r="P4" s="215" t="str">
        <f t="shared" si="2"/>
        <v/>
      </c>
      <c r="Q4" s="215" t="str">
        <f t="shared" si="3"/>
        <v/>
      </c>
      <c r="R4" s="336" t="str">
        <f t="shared" si="4"/>
        <v/>
      </c>
      <c r="S4" s="336" t="str">
        <f t="shared" si="5"/>
        <v/>
      </c>
      <c r="T4" s="328">
        <f t="shared" si="6"/>
        <v>0</v>
      </c>
      <c r="U4" s="215" t="str">
        <f t="shared" si="7"/>
        <v>除外</v>
      </c>
      <c r="V4" s="215" t="str">
        <f t="shared" si="8"/>
        <v/>
      </c>
      <c r="W4" s="339">
        <f t="array" ref="W4">IFERROR(100-100/(1+SUMPRODUCT((終値!F28:R28&gt;終値!G28:S28)*(終値!F28:R28-終値!G28:S28))/SUMPRODUCT((終値!F28:R28&lt;終値!G28:S28)*(終値!G28:S28-終値!F28:R28))),50)</f>
        <v>67.777777777777771</v>
      </c>
      <c r="X4" s="340">
        <f>IF(C4&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147.50018309259485</v>
      </c>
      <c r="Y4" s="215" t="e">
        <f t="shared" si="9"/>
        <v>#VALUE!</v>
      </c>
      <c r="Z4" s="341" t="str">
        <f t="shared" si="10"/>
        <v/>
      </c>
      <c r="AA4" s="215" t="str">
        <f t="shared" si="11"/>
        <v/>
      </c>
      <c r="AB4" s="336">
        <f>IF(OR(C4="",C4="TOPX",終値!E28=""),"",IFERROR(((終値!E28*0.333)+(終値!F28*0.222)+(終値!G28*0.148)+(終値!H28*0.099)+(終値!I28*0.066))/(0.333+0.222+0.148+0.099+0.066),""))</f>
        <v>4688.3605990783399</v>
      </c>
      <c r="AC4" s="336">
        <f>IF(OR(C4="",C4="TOPX",終値!E28=""),"",IFERROR(SUMPRODUCT((終値!E28:AC28),{0.077,0.071,0.065,0.06,0.055,0.051,0.047,0.043,0.039,0.036,0.033,0.031,0.028,0.026,0.024,0.022,0.02,0.018,0.017,0.016,0.014,0.013,0.012,0.011,0.01})/SUM({0.077,0.071,0.065,0.06,0.055,0.051,0.047,0.043,0.039,0.036,0.033,0.031,0.028,0.026,0.024,0.022,0.02,0.018,0.017,0.016,0.014,0.013,0.012,0.011,0.01}),""))</f>
        <v>4530.4743742550645</v>
      </c>
      <c r="AD4" s="215" t="str">
        <f t="shared" si="12"/>
        <v>パーフェクト▲</v>
      </c>
      <c r="AE4" s="215" t="e">
        <f t="shared" si="13"/>
        <v>#VALUE!</v>
      </c>
      <c r="AF4" t="e">
        <f>IF(T4="","",IF(銘柄管理!$F$5="上昇▲",IF(AND(AD4="下降トレンド▼",OR(AE4="25日戻り売り★",AE4="5日戻り売り○")),"★逆張り売り",IF(AND(AD4="もみ合い→",OR(AE4="25日戻り売り★",AE4="5日戻り売り○")),"○逆張り売り",IF(W4&gt;=70,IF(Z4&lt;0,"◎反落確認","△過熱・様子見"),"相場上昇・見送り"))),IF(AND(T4&gt;=12,AD4="下降トレンド▼"),"★強い売り",IF(T4&gt;=12,"★強い売り",IF(AND(T4&gt;=8,OR(AE4="25日戻り売り★",AE4="5日戻り売り○")),"◎戻り売り",IF(T4&gt;=10,"○売り候補",IF(T4&gt;=6,"△注目",IF(T4&gt;=3,"様子見","見送り"))))))))</f>
        <v>#VALUE!</v>
      </c>
      <c r="AG4">
        <f t="shared" si="14"/>
        <v>0</v>
      </c>
      <c r="AH4">
        <f t="shared" si="15"/>
        <v>0</v>
      </c>
      <c r="AI4" s="376">
        <f t="array" ref="AI4">IF(C4="","",IFERROR((INDEX(終値!$E:$E,MATCH(TEXT(C4,"0"),終値!$A:$A,0))-INDEX(終値!$E:$CZ,MATCH(TEXT(C4,"0"),終値!$A:$A,0),$AN$2))/INDEX(終値!$E:$CZ,MATCH(TEXT(C4,"0"),終値!$A:$A,0),$AN$2)*100,""))</f>
        <v>11.130039750141965</v>
      </c>
      <c r="AJ4" s="376">
        <f t="array" ref="AJ4">IFERROR((終値!$E$5-INDEX(終値!$E$5:$CZ$5,1,$AN$2))/INDEX(終値!$E$5:$CZ$5,1,$AN$2)*100,"")</f>
        <v>2.31989243802786</v>
      </c>
      <c r="AK4" s="377">
        <f t="shared" si="16"/>
        <v>8.8101473121141041</v>
      </c>
      <c r="AL4" s="375">
        <f t="shared" si="17"/>
        <v>-2</v>
      </c>
      <c r="AO4" s="379" t="e">
        <f t="shared" si="18"/>
        <v>#VALUE!</v>
      </c>
      <c r="AP4" s="380" t="e">
        <f t="shared" si="19"/>
        <v>#VALUE!</v>
      </c>
      <c r="AQ4">
        <f>IF(C4&lt;&gt;"",始値!F28,"")</f>
        <v>5370</v>
      </c>
      <c r="AR4">
        <f>IF(C4&lt;&gt;"",高値!F28,"")</f>
        <v>5490</v>
      </c>
      <c r="AS4">
        <f>IF(C4&lt;&gt;"",安値!F28,"")</f>
        <v>5006</v>
      </c>
      <c r="AT4" t="str">
        <f t="shared" si="20"/>
        <v>通常</v>
      </c>
      <c r="AU4">
        <f t="shared" si="21"/>
        <v>0</v>
      </c>
    </row>
    <row r="5" spans="1:47" ht="14.25" customHeight="1">
      <c r="A5" s="327" t="str">
        <f>IF(銘柄管理!B30&lt;&gt;"",HYPERLINK("https://kabutan.jp/stock/?code="&amp;銘柄管理!B30,"株探"),"")</f>
        <v>株探</v>
      </c>
      <c r="B5" s="328"/>
      <c r="C5" s="477">
        <f>IF(銘柄管理!B30="","",銘柄管理!B30)</f>
        <v>6254</v>
      </c>
      <c r="D5" s="328" t="str">
        <f>IF(銘柄管理!C30="","",銘柄管理!C30)</f>
        <v/>
      </c>
      <c r="E5" s="329" t="str">
        <f>IF(C5&lt;&gt;"",_xll.RssMarket(C5,"現在値"),"")</f>
        <v/>
      </c>
      <c r="F5" s="329" t="str">
        <f>IF(C5&lt;&gt;"",_xll.RssMarket(C5,"始値"),"")</f>
        <v/>
      </c>
      <c r="G5" s="328">
        <f>IF(C5&lt;&gt;"",終値!F30,"")</f>
        <v>4385</v>
      </c>
      <c r="H5" s="329" t="str">
        <f>IF(C5&lt;&gt;"",_xll.RssMarket(C5,"高値"),"")</f>
        <v/>
      </c>
      <c r="I5" s="329" t="str">
        <f>IF(C5&lt;&gt;"",_xll.RssMarket(C5,"安値"),"")</f>
        <v/>
      </c>
      <c r="J5" s="329" t="str">
        <f>IF(C5&lt;&gt;"",_xll.RssMarket(C5,"出来高"),"")</f>
        <v/>
      </c>
      <c r="K5" s="329" t="str">
        <f>IF(C5&lt;&gt;"",_xll.RssMarket(C5,"年初来高値"),"")</f>
        <v/>
      </c>
      <c r="L5" s="330" t="str">
        <f t="shared" si="0"/>
        <v/>
      </c>
      <c r="M5" s="329">
        <f>IF(C5&lt;&gt;"",IFERROR(AVERAGE(出来高!E30:I30),""),"")</f>
        <v>867960</v>
      </c>
      <c r="N5" s="329">
        <f>IF(C5&lt;&gt;"",IFERROR(AVERAGE(出来高!E30:AC30),""),"")</f>
        <v>975188</v>
      </c>
      <c r="O5" s="331" t="str">
        <f t="shared" si="1"/>
        <v/>
      </c>
      <c r="P5" s="328" t="str">
        <f t="shared" si="2"/>
        <v/>
      </c>
      <c r="Q5" s="328" t="str">
        <f t="shared" si="3"/>
        <v/>
      </c>
      <c r="R5" s="329" t="str">
        <f t="shared" si="4"/>
        <v/>
      </c>
      <c r="S5" s="329" t="str">
        <f t="shared" si="5"/>
        <v/>
      </c>
      <c r="T5" s="328">
        <f t="shared" si="6"/>
        <v>0</v>
      </c>
      <c r="U5" s="328" t="str">
        <f t="shared" si="7"/>
        <v>除外</v>
      </c>
      <c r="V5" s="328" t="str">
        <f t="shared" si="8"/>
        <v/>
      </c>
      <c r="W5" s="332">
        <f t="array" ref="W5">IFERROR(100-100/(1+SUMPRODUCT((終値!F30:R30&gt;終値!G30:S30)*(終値!F30:R30-終値!G30:S30))/SUMPRODUCT((終値!F30:R30&lt;終値!G30:S30)*(終値!G30:S30-終値!F30:R30))),50)</f>
        <v>41.062801932367151</v>
      </c>
      <c r="X5" s="333">
        <f>IF(C5&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-70.386215913928936</v>
      </c>
      <c r="Y5" s="328" t="e">
        <f t="shared" si="9"/>
        <v>#VALUE!</v>
      </c>
      <c r="Z5" s="334" t="str">
        <f t="shared" si="10"/>
        <v/>
      </c>
      <c r="AA5" s="328" t="str">
        <f t="shared" si="11"/>
        <v/>
      </c>
      <c r="AB5" s="329">
        <f>IF(OR(C5="",C5="TOPX",終値!E30=""),"",IFERROR(((終値!E30*0.333)+(終値!F30*0.222)+(終値!G30*0.148)+(終値!H30*0.099)+(終値!I30*0.066))/(0.333+0.222+0.148+0.099+0.066),""))</f>
        <v>4190.5933179723506</v>
      </c>
      <c r="AC5" s="329">
        <f>IF(OR(C5="",C5="TOPX",終値!E30=""),"",IFERROR(SUMPRODUCT((終値!E30:AC30),{0.077,0.071,0.065,0.06,0.055,0.051,0.047,0.043,0.039,0.036,0.033,0.031,0.028,0.026,0.024,0.022,0.02,0.018,0.017,0.016,0.014,0.013,0.012,0.011,0.01})/SUM({0.077,0.071,0.065,0.06,0.055,0.051,0.047,0.043,0.039,0.036,0.033,0.031,0.028,0.026,0.024,0.022,0.02,0.018,0.017,0.016,0.014,0.013,0.012,0.011,0.01}),""))</f>
        <v>4536.9845053635263</v>
      </c>
      <c r="AD5" s="328" t="str">
        <f t="shared" si="12"/>
        <v>上昇トレンド▲</v>
      </c>
      <c r="AE5" s="328" t="e">
        <f t="shared" si="13"/>
        <v>#VALUE!</v>
      </c>
      <c r="AF5" t="e">
        <f>IF(T5="","",IF(銘柄管理!$F$5="上昇▲",IF(AND(AD5="下降トレンド▼",OR(AE5="25日戻り売り★",AE5="5日戻り売り○")),"★逆張り売り",IF(AND(AD5="もみ合い→",OR(AE5="25日戻り売り★",AE5="5日戻り売り○")),"○逆張り売り",IF(W5&gt;=70,IF(Z5&lt;0,"◎反落確認","△過熱・様子見"),"相場上昇・見送り"))),IF(AND(T5&gt;=12,AD5="下降トレンド▼"),"★強い売り",IF(T5&gt;=12,"★強い売り",IF(AND(T5&gt;=8,OR(AE5="25日戻り売り★",AE5="5日戻り売り○")),"◎戻り売り",IF(T5&gt;=10,"○売り候補",IF(T5&gt;=6,"△注目",IF(T5&gt;=3,"様子見","見送り"))))))))</f>
        <v>#VALUE!</v>
      </c>
      <c r="AG5">
        <f t="shared" si="14"/>
        <v>0</v>
      </c>
      <c r="AH5">
        <f t="shared" si="15"/>
        <v>0</v>
      </c>
      <c r="AI5" s="376">
        <f t="array" ref="AI5">IF(C5="","",IFERROR((INDEX(終値!$E:$E,MATCH(TEXT(C5,"0"),終値!$A:$A,0))-INDEX(終値!$E:$CZ,MATCH(TEXT(C5,"0"),終値!$A:$A,0),$AN$2))/INDEX(終値!$E:$CZ,MATCH(TEXT(C5,"0"),終値!$A:$A,0),$AN$2)*100,""))</f>
        <v>-4.10958904109589</v>
      </c>
      <c r="AJ5" s="376">
        <f t="array" ref="AJ5">IFERROR((終値!$E$5-INDEX(終値!$E$5:$CZ$5,1,$AN$2))/INDEX(終値!$E$5:$CZ$5,1,$AN$2)*100,"")</f>
        <v>2.31989243802786</v>
      </c>
      <c r="AK5" s="377">
        <f t="shared" si="16"/>
        <v>-6.4294814791237496</v>
      </c>
      <c r="AL5" s="375">
        <f t="shared" si="17"/>
        <v>3</v>
      </c>
      <c r="AO5" s="379" t="e">
        <f t="shared" si="18"/>
        <v>#VALUE!</v>
      </c>
      <c r="AP5" s="380" t="e">
        <f t="shared" si="19"/>
        <v>#VALUE!</v>
      </c>
      <c r="AQ5">
        <f>IF(C5&lt;&gt;"",始値!F30,"")</f>
        <v>4400</v>
      </c>
      <c r="AR5">
        <f>IF(C5&lt;&gt;"",高値!F30,"")</f>
        <v>4415</v>
      </c>
      <c r="AS5">
        <f>IF(C5&lt;&gt;"",安値!F30,"")</f>
        <v>4280</v>
      </c>
      <c r="AT5" t="str">
        <f t="shared" si="20"/>
        <v>長い下ヒゲ(反発)</v>
      </c>
      <c r="AU5">
        <f t="shared" si="21"/>
        <v>-2</v>
      </c>
    </row>
    <row r="6" spans="1:47" ht="14.25" customHeight="1">
      <c r="A6" s="335" t="str">
        <f>IF(銘柄管理!B148&lt;&gt;"",HYPERLINK("https://kabutan.jp/stock/?code="&amp;銘柄管理!B148,"株探"),"")</f>
        <v>株探</v>
      </c>
      <c r="B6" s="215"/>
      <c r="C6" s="478">
        <f>IF(銘柄管理!B148="","",銘柄管理!B148)</f>
        <v>6838</v>
      </c>
      <c r="D6" s="215" t="str">
        <f>IF(銘柄管理!C148="","",銘柄管理!C148)</f>
        <v/>
      </c>
      <c r="E6" s="336" t="str">
        <f>IF(C6&lt;&gt;"",_xll.RssMarket(C6,"現在値"),"")</f>
        <v/>
      </c>
      <c r="F6" s="336" t="str">
        <f>IF(C6&lt;&gt;"",_xll.RssMarket(C6,"始値"),"")</f>
        <v/>
      </c>
      <c r="G6" s="215">
        <f>IF(C6&lt;&gt;"",終値!F148,"")</f>
        <v>1496</v>
      </c>
      <c r="H6" s="336" t="str">
        <f>IF(C6&lt;&gt;"",_xll.RssMarket(C6,"高値"),"")</f>
        <v/>
      </c>
      <c r="I6" s="336" t="str">
        <f>IF(C6&lt;&gt;"",_xll.RssMarket(C6,"安値"),"")</f>
        <v/>
      </c>
      <c r="J6" s="336" t="str">
        <f>IF(C6&lt;&gt;"",_xll.RssMarket(C6,"出来高"),"")</f>
        <v/>
      </c>
      <c r="K6" s="336" t="str">
        <f>IF(C6&lt;&gt;"",_xll.RssMarket(C6,"年初来高値"),"")</f>
        <v/>
      </c>
      <c r="L6" s="337" t="str">
        <f t="shared" si="0"/>
        <v/>
      </c>
      <c r="M6" s="336">
        <f>IF(C6&lt;&gt;"",IFERROR(AVERAGE(出来高!E148:I148),""),"")</f>
        <v>295980</v>
      </c>
      <c r="N6" s="336">
        <f>IF(C6&lt;&gt;"",IFERROR(AVERAGE(出来高!E148:AC148),""),"")</f>
        <v>418756</v>
      </c>
      <c r="O6" s="338" t="str">
        <f t="shared" si="1"/>
        <v/>
      </c>
      <c r="P6" s="215" t="str">
        <f t="shared" si="2"/>
        <v/>
      </c>
      <c r="Q6" s="215" t="str">
        <f t="shared" si="3"/>
        <v/>
      </c>
      <c r="R6" s="336" t="str">
        <f t="shared" si="4"/>
        <v/>
      </c>
      <c r="S6" s="336" t="str">
        <f t="shared" si="5"/>
        <v/>
      </c>
      <c r="T6" s="328">
        <f t="shared" si="6"/>
        <v>0</v>
      </c>
      <c r="U6" s="215" t="str">
        <f t="shared" si="7"/>
        <v>除外</v>
      </c>
      <c r="V6" s="215" t="str">
        <f t="shared" si="8"/>
        <v/>
      </c>
      <c r="W6" s="339">
        <f t="array" ref="W6">IFERROR(100-100/(1+SUMPRODUCT((終値!F148:R148&gt;終値!G148:S148)*(終値!F148:R148-終値!G148:S148))/SUMPRODUCT((終値!F148:R148&lt;終値!G148:S148)*(終値!G148:S148-終値!F148:R148))),50)</f>
        <v>11.316113161131611</v>
      </c>
      <c r="X6" s="340">
        <f>IF(C6&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-78.007164492773427</v>
      </c>
      <c r="Y6" s="215" t="e">
        <f t="shared" si="9"/>
        <v>#VALUE!</v>
      </c>
      <c r="Z6" s="341" t="str">
        <f t="shared" si="10"/>
        <v/>
      </c>
      <c r="AA6" s="215" t="str">
        <f t="shared" si="11"/>
        <v/>
      </c>
      <c r="AB6" s="336">
        <f>IF(OR(C6="",C6="TOPX",終値!E148=""),"",IFERROR(((終値!E148*0.333)+(終値!F148*0.222)+(終値!G148*0.148)+(終値!H148*0.099)+(終値!I148*0.066))/(0.333+0.222+0.148+0.099+0.066),""))</f>
        <v>1428.0967741935481</v>
      </c>
      <c r="AC6" s="336">
        <f>IF(OR(C6="",C6="TOPX",終値!E148=""),"",IFERROR(SUMPRODUCT((終値!E148:AC148),{0.077,0.071,0.065,0.06,0.055,0.051,0.047,0.043,0.039,0.036,0.033,0.031,0.028,0.026,0.024,0.022,0.02,0.018,0.017,0.016,0.014,0.013,0.012,0.011,0.01})/SUM({0.077,0.071,0.065,0.06,0.055,0.051,0.047,0.043,0.039,0.036,0.033,0.031,0.028,0.026,0.024,0.022,0.02,0.018,0.017,0.016,0.014,0.013,0.012,0.011,0.01}),""))</f>
        <v>1668.3039332538729</v>
      </c>
      <c r="AD6" s="215" t="str">
        <f t="shared" si="12"/>
        <v>上昇トレンド▲</v>
      </c>
      <c r="AE6" s="215" t="e">
        <f t="shared" si="13"/>
        <v>#VALUE!</v>
      </c>
      <c r="AF6" t="e">
        <f>IF(T6="","",IF(銘柄管理!$F$5="上昇▲",IF(AND(AD6="下降トレンド▼",OR(AE6="25日戻り売り★",AE6="5日戻り売り○")),"★逆張り売り",IF(AND(AD6="もみ合い→",OR(AE6="25日戻り売り★",AE6="5日戻り売り○")),"○逆張り売り",IF(W6&gt;=70,IF(Z6&lt;0,"◎反落確認","△過熱・様子見"),"相場上昇・見送り"))),IF(AND(T6&gt;=12,AD6="下降トレンド▼"),"★強い売り",IF(T6&gt;=12,"★強い売り",IF(AND(T6&gt;=8,OR(AE6="25日戻り売り★",AE6="5日戻り売り○")),"◎戻り売り",IF(T6&gt;=10,"○売り候補",IF(T6&gt;=6,"△注目",IF(T6&gt;=3,"様子見","見送り"))))))))</f>
        <v>#VALUE!</v>
      </c>
      <c r="AG6">
        <f t="shared" si="14"/>
        <v>0</v>
      </c>
      <c r="AH6">
        <f t="shared" si="15"/>
        <v>0</v>
      </c>
      <c r="AI6" s="376">
        <f t="array" ref="AI6">IF(C6="","",IFERROR((INDEX(終値!$E:$E,MATCH(TEXT(C6,"0"),終値!$A:$A,0))-INDEX(終値!$E:$CZ,MATCH(TEXT(C6,"0"),終値!$A:$A,0),$AN$2))/INDEX(終値!$E:$CZ,MATCH(TEXT(C6,"0"),終値!$A:$A,0),$AN$2)*100,""))</f>
        <v>-37.049180327868854</v>
      </c>
      <c r="AJ6" s="376">
        <f t="array" ref="AJ6">IFERROR((終値!$E$5-INDEX(終値!$E$5:$CZ$5,1,$AN$2))/INDEX(終値!$E$5:$CZ$5,1,$AN$2)*100,"")</f>
        <v>2.31989243802786</v>
      </c>
      <c r="AK6" s="377">
        <f t="shared" si="16"/>
        <v>-39.369072765896711</v>
      </c>
      <c r="AL6" s="375">
        <f t="shared" si="17"/>
        <v>3</v>
      </c>
      <c r="AO6" s="379" t="e">
        <f t="shared" si="18"/>
        <v>#VALUE!</v>
      </c>
      <c r="AP6" s="380" t="e">
        <f t="shared" si="19"/>
        <v>#VALUE!</v>
      </c>
      <c r="AQ6">
        <f>IF(C6&lt;&gt;"",始値!F148,"")</f>
        <v>1451</v>
      </c>
      <c r="AR6">
        <f>IF(C6&lt;&gt;"",高値!F148,"")</f>
        <v>1499</v>
      </c>
      <c r="AS6">
        <f>IF(C6&lt;&gt;"",安値!F148,"")</f>
        <v>1430</v>
      </c>
      <c r="AT6" t="str">
        <f t="shared" si="20"/>
        <v>通常</v>
      </c>
      <c r="AU6">
        <f t="shared" si="21"/>
        <v>0</v>
      </c>
    </row>
    <row r="7" spans="1:47" ht="14.25" customHeight="1">
      <c r="A7" s="327" t="str">
        <f>IF(銘柄管理!B84&lt;&gt;"",HYPERLINK("https://kabutan.jp/stock/?code="&amp;銘柄管理!B84,"株探"),"")</f>
        <v>株探</v>
      </c>
      <c r="B7" s="328"/>
      <c r="C7" s="477">
        <f>IF(銘柄管理!B84="","",銘柄管理!B84)</f>
        <v>5411</v>
      </c>
      <c r="D7" s="328" t="str">
        <f>IF(銘柄管理!C84="","",銘柄管理!C84)</f>
        <v/>
      </c>
      <c r="E7" s="329" t="str">
        <f>IF(C7&lt;&gt;"",_xll.RssMarket(C7,"現在値"),"")</f>
        <v/>
      </c>
      <c r="F7" s="329" t="str">
        <f>IF(C7&lt;&gt;"",_xll.RssMarket(C7,"始値"),"")</f>
        <v/>
      </c>
      <c r="G7" s="328">
        <f>IF(C7&lt;&gt;"",終値!F84,"")</f>
        <v>1679</v>
      </c>
      <c r="H7" s="329" t="str">
        <f>IF(C7&lt;&gt;"",_xll.RssMarket(C7,"高値"),"")</f>
        <v/>
      </c>
      <c r="I7" s="329" t="str">
        <f>IF(C7&lt;&gt;"",_xll.RssMarket(C7,"安値"),"")</f>
        <v/>
      </c>
      <c r="J7" s="329" t="str">
        <f>IF(C7&lt;&gt;"",_xll.RssMarket(C7,"出来高"),"")</f>
        <v/>
      </c>
      <c r="K7" s="329" t="str">
        <f>IF(C7&lt;&gt;"",_xll.RssMarket(C7,"年初来高値"),"")</f>
        <v/>
      </c>
      <c r="L7" s="330" t="str">
        <f t="shared" si="0"/>
        <v/>
      </c>
      <c r="M7" s="329">
        <f>IF(C7&lt;&gt;"",IFERROR(AVERAGE(出来高!E84:I84),""),"")</f>
        <v>4412340</v>
      </c>
      <c r="N7" s="329">
        <f>IF(C7&lt;&gt;"",IFERROR(AVERAGE(出来高!E84:AC84),""),"")</f>
        <v>4913964</v>
      </c>
      <c r="O7" s="331" t="str">
        <f t="shared" si="1"/>
        <v/>
      </c>
      <c r="P7" s="328" t="str">
        <f t="shared" si="2"/>
        <v/>
      </c>
      <c r="Q7" s="328" t="str">
        <f t="shared" si="3"/>
        <v/>
      </c>
      <c r="R7" s="329" t="str">
        <f t="shared" si="4"/>
        <v/>
      </c>
      <c r="S7" s="329" t="str">
        <f t="shared" si="5"/>
        <v/>
      </c>
      <c r="T7" s="328">
        <f t="shared" si="6"/>
        <v>0</v>
      </c>
      <c r="U7" s="328" t="str">
        <f t="shared" si="7"/>
        <v>除外</v>
      </c>
      <c r="V7" s="328" t="str">
        <f t="shared" si="8"/>
        <v/>
      </c>
      <c r="W7" s="332">
        <f t="array" ref="W7">IFERROR(100-100/(1+SUMPRODUCT((終値!F84:R84&gt;終値!G84:S84)*(終値!F84:R84-終値!G84:S84))/SUMPRODUCT((終値!F84:R84&lt;終値!G84:S84)*(終値!G84:S84-終値!F84:R84))),50)</f>
        <v>79.820627802690581</v>
      </c>
      <c r="X7" s="333">
        <f>IF(C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12.004216104984607</v>
      </c>
      <c r="Y7" s="328" t="e">
        <f t="shared" si="9"/>
        <v>#VALUE!</v>
      </c>
      <c r="Z7" s="334" t="str">
        <f t="shared" si="10"/>
        <v/>
      </c>
      <c r="AA7" s="328" t="str">
        <f t="shared" si="11"/>
        <v/>
      </c>
      <c r="AB7" s="329">
        <f>IF(OR(C7="",C7="TOPX",終値!E84=""),"",IFERROR(((終値!E84*0.333)+(終値!F84*0.222)+(終値!G84*0.148)+(終値!H84*0.099)+(終値!I84*0.066))/(0.333+0.222+0.148+0.099+0.066),""))</f>
        <v>1673.6347926267279</v>
      </c>
      <c r="AC7" s="329">
        <f>IF(OR(C7="",C7="TOPX",終値!E84=""),"",IFERROR(SUMPRODUCT((終値!E84:AC84),{0.077,0.071,0.065,0.06,0.055,0.051,0.047,0.043,0.039,0.036,0.033,0.031,0.028,0.026,0.024,0.022,0.02,0.018,0.017,0.016,0.014,0.013,0.012,0.011,0.01})/SUM({0.077,0.071,0.065,0.06,0.055,0.051,0.047,0.043,0.039,0.036,0.033,0.031,0.028,0.026,0.024,0.022,0.02,0.018,0.017,0.016,0.014,0.013,0.012,0.011,0.01}),""))</f>
        <v>1621.0917759237182</v>
      </c>
      <c r="AD7" s="328" t="str">
        <f t="shared" si="12"/>
        <v>パーフェクト▲</v>
      </c>
      <c r="AE7" s="328" t="e">
        <f t="shared" si="13"/>
        <v>#VALUE!</v>
      </c>
      <c r="AF7" t="e">
        <f>IF(T7="","",IF(銘柄管理!$F$5="上昇▲",IF(AND(AD7="下降トレンド▼",OR(AE7="25日戻り売り★",AE7="5日戻り売り○")),"★逆張り売り",IF(AND(AD7="もみ合い→",OR(AE7="25日戻り売り★",AE7="5日戻り売り○")),"○逆張り売り",IF(W7&gt;=70,IF(Z7&lt;0,"◎反落確認","△過熱・様子見"),"相場上昇・見送り"))),IF(AND(T7&gt;=12,AD7="下降トレンド▼"),"★強い売り",IF(T7&gt;=12,"★強い売り",IF(AND(T7&gt;=8,OR(AE7="25日戻り売り★",AE7="5日戻り売り○")),"◎戻り売り",IF(T7&gt;=10,"○売り候補",IF(T7&gt;=6,"△注目",IF(T7&gt;=3,"様子見","見送り"))))))))</f>
        <v>#VALUE!</v>
      </c>
      <c r="AG7">
        <f t="shared" si="14"/>
        <v>0</v>
      </c>
      <c r="AH7">
        <f t="shared" si="15"/>
        <v>0</v>
      </c>
      <c r="AI7" s="376">
        <f t="array" ref="AI7">IF(C7="","",IFERROR((INDEX(終値!$E:$E,MATCH(TEXT(C7,"0"),終値!$A:$A,0))-INDEX(終値!$E:$CZ,MATCH(TEXT(C7,"0"),終値!$A:$A,0),$AN$2))/INDEX(終値!$E:$CZ,MATCH(TEXT(C7,"0"),終値!$A:$A,0),$AN$2)*100,""))</f>
        <v>7.4367088607594933</v>
      </c>
      <c r="AJ7" s="376">
        <f t="array" ref="AJ7">IFERROR((終値!$E$5-INDEX(終値!$E$5:$CZ$5,1,$AN$2))/INDEX(終値!$E$5:$CZ$5,1,$AN$2)*100,"")</f>
        <v>2.31989243802786</v>
      </c>
      <c r="AK7" s="377">
        <f t="shared" si="16"/>
        <v>5.1168164227316328</v>
      </c>
      <c r="AL7" s="375">
        <f t="shared" si="17"/>
        <v>-2</v>
      </c>
      <c r="AO7" s="379" t="e">
        <f t="shared" si="18"/>
        <v>#VALUE!</v>
      </c>
      <c r="AP7" s="380" t="e">
        <f t="shared" si="19"/>
        <v>#VALUE!</v>
      </c>
      <c r="AQ7">
        <f>IF(C7&lt;&gt;"",始値!F84,"")</f>
        <v>1678</v>
      </c>
      <c r="AR7">
        <f>IF(C7&lt;&gt;"",高値!F84,"")</f>
        <v>1688.5</v>
      </c>
      <c r="AS7">
        <f>IF(C7&lt;&gt;"",安値!F84,"")</f>
        <v>1663.5</v>
      </c>
      <c r="AT7" t="str">
        <f t="shared" si="20"/>
        <v>通常</v>
      </c>
      <c r="AU7">
        <f t="shared" si="21"/>
        <v>0</v>
      </c>
    </row>
    <row r="8" spans="1:47" ht="14.25" customHeight="1">
      <c r="A8" s="335" t="str">
        <f>IF(銘柄管理!B112&lt;&gt;"",HYPERLINK("https://kabutan.jp/stock/?code="&amp;銘柄管理!B112,"株探"),"")</f>
        <v>株探</v>
      </c>
      <c r="B8" s="215"/>
      <c r="C8" s="478">
        <f>IF(銘柄管理!B112="","",銘柄管理!B112)</f>
        <v>9348</v>
      </c>
      <c r="D8" s="215" t="str">
        <f>IF(銘柄管理!C112="","",銘柄管理!C112)</f>
        <v/>
      </c>
      <c r="E8" s="336" t="str">
        <f>IF(C8&lt;&gt;"",_xll.RssMarket(C8,"現在値"),"")</f>
        <v/>
      </c>
      <c r="F8" s="336" t="str">
        <f>IF(C8&lt;&gt;"",_xll.RssMarket(C8,"始値"),"")</f>
        <v/>
      </c>
      <c r="G8" s="215">
        <f>IF(C8&lt;&gt;"",終値!F112,"")</f>
        <v>449</v>
      </c>
      <c r="H8" s="336" t="str">
        <f>IF(C8&lt;&gt;"",_xll.RssMarket(C8,"高値"),"")</f>
        <v/>
      </c>
      <c r="I8" s="336" t="str">
        <f>IF(C8&lt;&gt;"",_xll.RssMarket(C8,"安値"),"")</f>
        <v/>
      </c>
      <c r="J8" s="336" t="str">
        <f>IF(C8&lt;&gt;"",_xll.RssMarket(C8,"出来高"),"")</f>
        <v/>
      </c>
      <c r="K8" s="336" t="str">
        <f>IF(C8&lt;&gt;"",_xll.RssMarket(C8,"年初来高値"),"")</f>
        <v/>
      </c>
      <c r="L8" s="337" t="str">
        <f t="shared" si="0"/>
        <v/>
      </c>
      <c r="M8" s="336">
        <f>IF(C8&lt;&gt;"",IFERROR(AVERAGE(出来高!E112:I112),""),"")</f>
        <v>3719040</v>
      </c>
      <c r="N8" s="336">
        <f>IF(C8&lt;&gt;"",IFERROR(AVERAGE(出来高!E112:AC112),""),"")</f>
        <v>2279624</v>
      </c>
      <c r="O8" s="338" t="str">
        <f t="shared" si="1"/>
        <v/>
      </c>
      <c r="P8" s="215" t="str">
        <f t="shared" si="2"/>
        <v/>
      </c>
      <c r="Q8" s="215" t="str">
        <f t="shared" si="3"/>
        <v/>
      </c>
      <c r="R8" s="336" t="str">
        <f t="shared" si="4"/>
        <v/>
      </c>
      <c r="S8" s="336" t="str">
        <f t="shared" si="5"/>
        <v/>
      </c>
      <c r="T8" s="328">
        <f t="shared" si="6"/>
        <v>0</v>
      </c>
      <c r="U8" s="215" t="str">
        <f t="shared" si="7"/>
        <v>除外</v>
      </c>
      <c r="V8" s="215" t="str">
        <f t="shared" si="8"/>
        <v/>
      </c>
      <c r="W8" s="339">
        <f t="array" ref="W8">IFERROR(100-100/(1+SUMPRODUCT((終値!F112:R112&gt;終値!G112:S112)*(終値!F112:R112-終値!G112:S112))/SUMPRODUCT((終値!F112:R112&lt;終値!G112:S112)*(終値!G112:S112-終値!F112:R112))),50)</f>
        <v>51.304347826086961</v>
      </c>
      <c r="X8" s="340">
        <f>IF(C8&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-3.6936661903605454</v>
      </c>
      <c r="Y8" s="215" t="e">
        <f t="shared" si="9"/>
        <v>#VALUE!</v>
      </c>
      <c r="Z8" s="341" t="str">
        <f t="shared" si="10"/>
        <v/>
      </c>
      <c r="AA8" s="215" t="str">
        <f t="shared" si="11"/>
        <v/>
      </c>
      <c r="AB8" s="336">
        <f>IF(OR(C8="",C8="TOPX",終値!E112=""),"",IFERROR(((終値!E112*0.333)+(終値!F112*0.222)+(終値!G112*0.148)+(終値!H112*0.099)+(終値!I112*0.066))/(0.333+0.222+0.148+0.099+0.066),""))</f>
        <v>431.78456221198149</v>
      </c>
      <c r="AC8" s="336">
        <f>IF(OR(C8="",C8="TOPX",終値!E112=""),"",IFERROR(SUMPRODUCT((終値!E112:AC112),{0.077,0.071,0.065,0.06,0.055,0.051,0.047,0.043,0.039,0.036,0.033,0.031,0.028,0.026,0.024,0.022,0.02,0.018,0.017,0.016,0.014,0.013,0.012,0.011,0.01})/SUM({0.077,0.071,0.065,0.06,0.055,0.051,0.047,0.043,0.039,0.036,0.033,0.031,0.028,0.026,0.024,0.022,0.02,0.018,0.017,0.016,0.014,0.013,0.012,0.011,0.01}),""))</f>
        <v>451.57330154946339</v>
      </c>
      <c r="AD8" s="215" t="str">
        <f t="shared" si="12"/>
        <v>上昇トレンド▲</v>
      </c>
      <c r="AE8" s="215" t="e">
        <f t="shared" si="13"/>
        <v>#VALUE!</v>
      </c>
      <c r="AF8" t="e">
        <f>IF(T8="","",IF(銘柄管理!$F$5="上昇▲",IF(AND(AD8="下降トレンド▼",OR(AE8="25日戻り売り★",AE8="5日戻り売り○")),"★逆張り売り",IF(AND(AD8="もみ合い→",OR(AE8="25日戻り売り★",AE8="5日戻り売り○")),"○逆張り売り",IF(W8&gt;=70,IF(Z8&lt;0,"◎反落確認","△過熱・様子見"),"相場上昇・見送り"))),IF(AND(T8&gt;=12,AD8="下降トレンド▼"),"★強い売り",IF(T8&gt;=12,"★強い売り",IF(AND(T8&gt;=8,OR(AE8="25日戻り売り★",AE8="5日戻り売り○")),"◎戻り売り",IF(T8&gt;=10,"○売り候補",IF(T8&gt;=6,"△注目",IF(T8&gt;=3,"様子見","見送り"))))))))</f>
        <v>#VALUE!</v>
      </c>
      <c r="AG8">
        <f t="shared" si="14"/>
        <v>0</v>
      </c>
      <c r="AH8">
        <f t="shared" si="15"/>
        <v>0</v>
      </c>
      <c r="AI8" s="376">
        <f t="array" ref="AI8">IF(C8="","",IFERROR((INDEX(終値!$E:$E,MATCH(TEXT(C8,"0"),終値!$A:$A,0))-INDEX(終値!$E:$CZ,MATCH(TEXT(C8,"0"),終値!$A:$A,0),$AN$2))/INDEX(終値!$E:$CZ,MATCH(TEXT(C8,"0"),終値!$A:$A,0),$AN$2)*100,""))</f>
        <v>-31.270903010033447</v>
      </c>
      <c r="AJ8" s="376">
        <f t="array" ref="AJ8">IFERROR((終値!$E$5-INDEX(終値!$E$5:$CZ$5,1,$AN$2))/INDEX(終値!$E$5:$CZ$5,1,$AN$2)*100,"")</f>
        <v>2.31989243802786</v>
      </c>
      <c r="AK8" s="377">
        <f t="shared" si="16"/>
        <v>-33.590795448061307</v>
      </c>
      <c r="AL8" s="375">
        <f t="shared" si="17"/>
        <v>3</v>
      </c>
      <c r="AO8" s="379" t="e">
        <f t="shared" si="18"/>
        <v>#VALUE!</v>
      </c>
      <c r="AP8" s="380" t="e">
        <f t="shared" si="19"/>
        <v>#VALUE!</v>
      </c>
      <c r="AQ8">
        <f>IF(C8&lt;&gt;"",始値!F112,"")</f>
        <v>440</v>
      </c>
      <c r="AR8">
        <f>IF(C8&lt;&gt;"",高値!F112,"")</f>
        <v>450</v>
      </c>
      <c r="AS8">
        <f>IF(C8&lt;&gt;"",安値!F112,"")</f>
        <v>438</v>
      </c>
      <c r="AT8" t="str">
        <f t="shared" si="20"/>
        <v>通常</v>
      </c>
      <c r="AU8">
        <f t="shared" si="21"/>
        <v>0</v>
      </c>
    </row>
    <row r="9" spans="1:47" ht="14.25" customHeight="1">
      <c r="A9" s="327" t="str">
        <f>IF(銘柄管理!B129&lt;&gt;"",HYPERLINK("https://kabutan.jp/stock/?code="&amp;銘柄管理!B129,"株探"),"")</f>
        <v>株探</v>
      </c>
      <c r="B9" s="328"/>
      <c r="C9" s="477">
        <f>IF(銘柄管理!B129="","",銘柄管理!B129)</f>
        <v>4082</v>
      </c>
      <c r="D9" s="328" t="str">
        <f>IF(銘柄管理!C129="","",銘柄管理!C129)</f>
        <v/>
      </c>
      <c r="E9" s="329" t="str">
        <f>IF(C9&lt;&gt;"",_xll.RssMarket(C9,"現在値"),"")</f>
        <v/>
      </c>
      <c r="F9" s="329" t="str">
        <f>IF(C9&lt;&gt;"",_xll.RssMarket(C9,"始値"),"")</f>
        <v/>
      </c>
      <c r="G9" s="328">
        <f>IF(C9&lt;&gt;"",終値!F129,"")</f>
        <v>1948</v>
      </c>
      <c r="H9" s="329" t="str">
        <f>IF(C9&lt;&gt;"",_xll.RssMarket(C9,"高値"),"")</f>
        <v/>
      </c>
      <c r="I9" s="329" t="str">
        <f>IF(C9&lt;&gt;"",_xll.RssMarket(C9,"安値"),"")</f>
        <v/>
      </c>
      <c r="J9" s="329" t="str">
        <f>IF(C9&lt;&gt;"",_xll.RssMarket(C9,"出来高"),"")</f>
        <v/>
      </c>
      <c r="K9" s="329" t="str">
        <f>IF(C9&lt;&gt;"",_xll.RssMarket(C9,"年初来高値"),"")</f>
        <v/>
      </c>
      <c r="L9" s="330" t="str">
        <f t="shared" si="0"/>
        <v/>
      </c>
      <c r="M9" s="329">
        <f>IF(C9&lt;&gt;"",IFERROR(AVERAGE(出来高!E129:I129),""),"")</f>
        <v>186900</v>
      </c>
      <c r="N9" s="329">
        <f>IF(C9&lt;&gt;"",IFERROR(AVERAGE(出来高!E129:AC129),""),"")</f>
        <v>216484</v>
      </c>
      <c r="O9" s="331" t="str">
        <f t="shared" si="1"/>
        <v/>
      </c>
      <c r="P9" s="328" t="str">
        <f t="shared" si="2"/>
        <v/>
      </c>
      <c r="Q9" s="328" t="str">
        <f t="shared" si="3"/>
        <v/>
      </c>
      <c r="R9" s="329" t="str">
        <f t="shared" si="4"/>
        <v/>
      </c>
      <c r="S9" s="329" t="str">
        <f t="shared" si="5"/>
        <v/>
      </c>
      <c r="T9" s="328">
        <f t="shared" si="6"/>
        <v>0</v>
      </c>
      <c r="U9" s="328" t="str">
        <f t="shared" si="7"/>
        <v>除外</v>
      </c>
      <c r="V9" s="328" t="str">
        <f t="shared" si="8"/>
        <v/>
      </c>
      <c r="W9" s="332">
        <f t="array" ref="W9">IFERROR(100-100/(1+SUMPRODUCT((終値!F129:R129&gt;終値!G129:S129)*(終値!F129:R129-終値!G129:S129))/SUMPRODUCT((終値!F129:R129&lt;終値!G129:S129)*(終値!G129:S129-終値!F129:R129))),50)</f>
        <v>30.54474708171206</v>
      </c>
      <c r="X9" s="333">
        <f>IF(C9&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-20.744936096704123</v>
      </c>
      <c r="Y9" s="328" t="e">
        <f t="shared" si="9"/>
        <v>#VALUE!</v>
      </c>
      <c r="Z9" s="334" t="str">
        <f t="shared" si="10"/>
        <v/>
      </c>
      <c r="AA9" s="328" t="str">
        <f t="shared" si="11"/>
        <v/>
      </c>
      <c r="AB9" s="329">
        <f>IF(OR(C9="",C9="TOPX",終値!E129=""),"",IFERROR(((終値!E129*0.333)+(終値!F129*0.222)+(終値!G129*0.148)+(終値!H129*0.099)+(終値!I129*0.066))/(0.333+0.222+0.148+0.099+0.066),""))</f>
        <v>1858.721198156682</v>
      </c>
      <c r="AC9" s="329">
        <f>IF(OR(C9="",C9="TOPX",終値!E129=""),"",IFERROR(SUMPRODUCT((終値!E129:AC129),{0.077,0.071,0.065,0.06,0.055,0.051,0.047,0.043,0.039,0.036,0.033,0.031,0.028,0.026,0.024,0.022,0.02,0.018,0.017,0.016,0.014,0.013,0.012,0.011,0.01})/SUM({0.077,0.071,0.065,0.06,0.055,0.051,0.047,0.043,0.039,0.036,0.033,0.031,0.028,0.026,0.024,0.022,0.02,0.018,0.017,0.016,0.014,0.013,0.012,0.011,0.01}),""))</f>
        <v>1973.0441001191891</v>
      </c>
      <c r="AD9" s="328" t="str">
        <f t="shared" si="12"/>
        <v>上昇トレンド▲</v>
      </c>
      <c r="AE9" s="328" t="e">
        <f t="shared" si="13"/>
        <v>#VALUE!</v>
      </c>
      <c r="AF9" t="e">
        <f>IF(T9="","",IF(銘柄管理!$F$5="上昇▲",IF(AND(AD9="下降トレンド▼",OR(AE9="25日戻り売り★",AE9="5日戻り売り○")),"★逆張り売り",IF(AND(AD9="もみ合い→",OR(AE9="25日戻り売り★",AE9="5日戻り売り○")),"○逆張り売り",IF(W9&gt;=70,IF(Z9&lt;0,"◎反落確認","△過熱・様子見"),"相場上昇・見送り"))),IF(AND(T9&gt;=12,AD9="下降トレンド▼"),"★強い売り",IF(T9&gt;=12,"★強い売り",IF(AND(T9&gt;=8,OR(AE9="25日戻り売り★",AE9="5日戻り売り○")),"◎戻り売り",IF(T9&gt;=10,"○売り候補",IF(T9&gt;=6,"△注目",IF(T9&gt;=3,"様子見","見送り"))))))))</f>
        <v>#VALUE!</v>
      </c>
      <c r="AG9">
        <f t="shared" si="14"/>
        <v>0</v>
      </c>
      <c r="AH9">
        <f t="shared" si="15"/>
        <v>0</v>
      </c>
      <c r="AI9" s="376">
        <f t="array" ref="AI9">IF(C9="","",IFERROR((INDEX(終値!$E:$E,MATCH(TEXT(C9,"0"),終値!$A:$A,0))-INDEX(終値!$E:$CZ,MATCH(TEXT(C9,"0"),終値!$A:$A,0),$AN$2))/INDEX(終値!$E:$CZ,MATCH(TEXT(C9,"0"),終値!$A:$A,0),$AN$2)*100,""))</f>
        <v>-12.449392712550607</v>
      </c>
      <c r="AJ9" s="376">
        <f t="array" ref="AJ9">IFERROR((終値!$E$5-INDEX(終値!$E$5:$CZ$5,1,$AN$2))/INDEX(終値!$E$5:$CZ$5,1,$AN$2)*100,"")</f>
        <v>2.31989243802786</v>
      </c>
      <c r="AK9" s="377">
        <f t="shared" si="16"/>
        <v>-14.769285150578467</v>
      </c>
      <c r="AL9" s="375">
        <f t="shared" si="17"/>
        <v>3</v>
      </c>
      <c r="AO9" s="379" t="e">
        <f t="shared" si="18"/>
        <v>#VALUE!</v>
      </c>
      <c r="AP9" s="380" t="e">
        <f t="shared" si="19"/>
        <v>#VALUE!</v>
      </c>
      <c r="AQ9">
        <f>IF(C9&lt;&gt;"",始値!F129,"")</f>
        <v>1947</v>
      </c>
      <c r="AR9">
        <f>IF(C9&lt;&gt;"",高値!F129,"")</f>
        <v>1979</v>
      </c>
      <c r="AS9">
        <f>IF(C9&lt;&gt;"",安値!F129,"")</f>
        <v>1914</v>
      </c>
      <c r="AT9" t="str">
        <f t="shared" si="20"/>
        <v>通常</v>
      </c>
      <c r="AU9">
        <f t="shared" si="21"/>
        <v>0</v>
      </c>
    </row>
    <row r="10" spans="1:47" ht="14.25" customHeight="1">
      <c r="A10" s="335" t="str">
        <f>IF(銘柄管理!B145&lt;&gt;"",HYPERLINK("https://kabutan.jp/stock/?code="&amp;銘柄管理!B145,"株探"),"")</f>
        <v>株探</v>
      </c>
      <c r="B10" s="215"/>
      <c r="C10" s="478">
        <f>IF(銘柄管理!B145="","",銘柄管理!B145)</f>
        <v>6787</v>
      </c>
      <c r="D10" s="215" t="str">
        <f>IF(銘柄管理!C145="","",銘柄管理!C145)</f>
        <v/>
      </c>
      <c r="E10" s="336" t="str">
        <f>IF(C10&lt;&gt;"",_xll.RssMarket(C10,"現在値"),"")</f>
        <v/>
      </c>
      <c r="F10" s="336" t="str">
        <f>IF(C10&lt;&gt;"",_xll.RssMarket(C10,"始値"),"")</f>
        <v/>
      </c>
      <c r="G10" s="215">
        <f>IF(C10&lt;&gt;"",終値!F145,"")</f>
        <v>26930</v>
      </c>
      <c r="H10" s="336" t="str">
        <f>IF(C10&lt;&gt;"",_xll.RssMarket(C10,"高値"),"")</f>
        <v/>
      </c>
      <c r="I10" s="336" t="str">
        <f>IF(C10&lt;&gt;"",_xll.RssMarket(C10,"安値"),"")</f>
        <v/>
      </c>
      <c r="J10" s="336" t="str">
        <f>IF(C10&lt;&gt;"",_xll.RssMarket(C10,"出来高"),"")</f>
        <v/>
      </c>
      <c r="K10" s="336" t="str">
        <f>IF(C10&lt;&gt;"",_xll.RssMarket(C10,"年初来高値"),"")</f>
        <v/>
      </c>
      <c r="L10" s="337" t="str">
        <f t="shared" si="0"/>
        <v/>
      </c>
      <c r="M10" s="336">
        <f>IF(C10&lt;&gt;"",IFERROR(AVERAGE(出来高!E145:I145),""),"")</f>
        <v>419960</v>
      </c>
      <c r="N10" s="336">
        <f>IF(C10&lt;&gt;"",IFERROR(AVERAGE(出来高!E145:AC145),""),"")</f>
        <v>547468</v>
      </c>
      <c r="O10" s="338" t="str">
        <f t="shared" si="1"/>
        <v/>
      </c>
      <c r="P10" s="215" t="str">
        <f t="shared" si="2"/>
        <v/>
      </c>
      <c r="Q10" s="215" t="str">
        <f t="shared" si="3"/>
        <v/>
      </c>
      <c r="R10" s="336" t="str">
        <f t="shared" si="4"/>
        <v/>
      </c>
      <c r="S10" s="336" t="str">
        <f t="shared" si="5"/>
        <v/>
      </c>
      <c r="T10" s="328">
        <f t="shared" si="6"/>
        <v>0</v>
      </c>
      <c r="U10" s="215" t="str">
        <f t="shared" si="7"/>
        <v>除外</v>
      </c>
      <c r="V10" s="215" t="str">
        <f t="shared" si="8"/>
        <v/>
      </c>
      <c r="W10" s="339">
        <f t="array" ref="W10">IFERROR(100-100/(1+SUMPRODUCT((終値!F145:R145&gt;終値!G145:S145)*(終値!F145:R145-終値!G145:S145))/SUMPRODUCT((終値!F145:R145&lt;終値!G145:S145)*(終値!G145:S145-終値!F145:R145))),50)</f>
        <v>29.84524686809138</v>
      </c>
      <c r="X10" s="340">
        <f>IF(C10&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-1217.4144539661429</v>
      </c>
      <c r="Y10" s="215" t="e">
        <f t="shared" si="9"/>
        <v>#VALUE!</v>
      </c>
      <c r="Z10" s="341" t="str">
        <f t="shared" si="10"/>
        <v/>
      </c>
      <c r="AA10" s="215" t="str">
        <f t="shared" si="11"/>
        <v/>
      </c>
      <c r="AB10" s="336">
        <f>IF(OR(C10="",C10="TOPX",終値!E145=""),"",IFERROR(((終値!E145*0.333)+(終値!F145*0.222)+(終値!G145*0.148)+(終値!H145*0.099)+(終値!I145*0.066))/(0.333+0.222+0.148+0.099+0.066),""))</f>
        <v>24895.72580645161</v>
      </c>
      <c r="AC10" s="336">
        <f>IF(OR(C10="",C10="TOPX",終値!E145=""),"",IFERROR(SUMPRODUCT((終値!E145:AC145),{0.077,0.071,0.065,0.06,0.055,0.051,0.047,0.043,0.039,0.036,0.033,0.031,0.028,0.026,0.024,0.022,0.02,0.018,0.017,0.016,0.014,0.013,0.012,0.011,0.01})/SUM({0.077,0.071,0.065,0.06,0.055,0.051,0.047,0.043,0.039,0.036,0.033,0.031,0.028,0.026,0.024,0.022,0.02,0.018,0.017,0.016,0.014,0.013,0.012,0.011,0.01}),""))</f>
        <v>28400.822407628115</v>
      </c>
      <c r="AD10" s="215" t="str">
        <f t="shared" si="12"/>
        <v>上昇トレンド▲</v>
      </c>
      <c r="AE10" s="215" t="e">
        <f t="shared" si="13"/>
        <v>#VALUE!</v>
      </c>
      <c r="AF10" t="e">
        <f>IF(T10="","",IF(銘柄管理!$F$5="上昇▲",IF(AND(AD10="下降トレンド▼",OR(AE10="25日戻り売り★",AE10="5日戻り売り○")),"★逆張り売り",IF(AND(AD10="もみ合い→",OR(AE10="25日戻り売り★",AE10="5日戻り売り○")),"○逆張り売り",IF(W10&gt;=70,IF(Z10&lt;0,"◎反落確認","△過熱・様子見"),"相場上昇・見送り"))),IF(AND(T10&gt;=12,AD10="下降トレンド▼"),"★強い売り",IF(T10&gt;=12,"★強い売り",IF(AND(T10&gt;=8,OR(AE10="25日戻り売り★",AE10="5日戻り売り○")),"◎戻り売り",IF(T10&gt;=10,"○売り候補",IF(T10&gt;=6,"△注目",IF(T10&gt;=3,"様子見","見送り"))))))))</f>
        <v>#VALUE!</v>
      </c>
      <c r="AG10">
        <f t="shared" si="14"/>
        <v>0</v>
      </c>
      <c r="AH10">
        <f t="shared" si="15"/>
        <v>0</v>
      </c>
      <c r="AI10" s="376">
        <f t="array" ref="AI10">IF(C10="","",IFERROR((INDEX(終値!$E:$E,MATCH(TEXT(C10,"0"),終値!$A:$A,0))-INDEX(終値!$E:$CZ,MATCH(TEXT(C10,"0"),終値!$A:$A,0),$AN$2))/INDEX(終値!$E:$CZ,MATCH(TEXT(C10,"0"),終値!$A:$A,0),$AN$2)*100,""))</f>
        <v>-36.432584269662918</v>
      </c>
      <c r="AJ10" s="376">
        <f t="array" ref="AJ10">IFERROR((終値!$E$5-INDEX(終値!$E$5:$CZ$5,1,$AN$2))/INDEX(終値!$E$5:$CZ$5,1,$AN$2)*100,"")</f>
        <v>2.31989243802786</v>
      </c>
      <c r="AK10" s="377">
        <f t="shared" si="16"/>
        <v>-38.752476707690775</v>
      </c>
      <c r="AL10" s="375">
        <f t="shared" si="17"/>
        <v>3</v>
      </c>
      <c r="AO10" s="379" t="e">
        <f t="shared" si="18"/>
        <v>#VALUE!</v>
      </c>
      <c r="AP10" s="380" t="e">
        <f t="shared" si="19"/>
        <v>#VALUE!</v>
      </c>
      <c r="AQ10">
        <f>IF(C10&lt;&gt;"",始値!F145,"")</f>
        <v>26200</v>
      </c>
      <c r="AR10">
        <f>IF(C10&lt;&gt;"",高値!F145,"")</f>
        <v>26960</v>
      </c>
      <c r="AS10">
        <f>IF(C10&lt;&gt;"",安値!F145,"")</f>
        <v>25710</v>
      </c>
      <c r="AT10" t="str">
        <f t="shared" si="20"/>
        <v>通常</v>
      </c>
      <c r="AU10">
        <f t="shared" si="21"/>
        <v>0</v>
      </c>
    </row>
    <row r="11" spans="1:47" ht="14.25" customHeight="1">
      <c r="A11" s="327" t="str">
        <f>IF(銘柄管理!B6&lt;&gt;"",HYPERLINK("https://kabutan.jp/stock/?code="&amp;銘柄管理!B6,"株探"),"")</f>
        <v>株探</v>
      </c>
      <c r="B11" s="328"/>
      <c r="C11" s="477">
        <f>IF(銘柄管理!B6="","",銘柄管理!B6)</f>
        <v>5706</v>
      </c>
      <c r="D11" s="328" t="str">
        <f>IF(銘柄管理!C6="","",銘柄管理!C6)</f>
        <v/>
      </c>
      <c r="E11" s="329" t="str">
        <f>IF(C11&lt;&gt;"",_xll.RssMarket(C11,"現在値"),"")</f>
        <v/>
      </c>
      <c r="F11" s="329" t="str">
        <f>IF(C11&lt;&gt;"",_xll.RssMarket(C11,"始値"),"")</f>
        <v/>
      </c>
      <c r="G11" s="328">
        <f>IF(C11&lt;&gt;"",終値!F6,"")</f>
        <v>53840</v>
      </c>
      <c r="H11" s="329" t="str">
        <f>IF(C11&lt;&gt;"",_xll.RssMarket(C11,"高値"),"")</f>
        <v/>
      </c>
      <c r="I11" s="329" t="str">
        <f>IF(C11&lt;&gt;"",_xll.RssMarket(C11,"安値"),"")</f>
        <v/>
      </c>
      <c r="J11" s="329" t="str">
        <f>IF(C11&lt;&gt;"",_xll.RssMarket(C11,"出来高"),"")</f>
        <v/>
      </c>
      <c r="K11" s="329" t="str">
        <f>IF(C11&lt;&gt;"",_xll.RssMarket(C11,"年初来高値"),"")</f>
        <v/>
      </c>
      <c r="L11" s="330" t="str">
        <f t="shared" si="0"/>
        <v/>
      </c>
      <c r="M11" s="329">
        <f>IF(C11&lt;&gt;"",IFERROR(AVERAGE(出来高!E6:I6),""),"")</f>
        <v>1186560</v>
      </c>
      <c r="N11" s="329">
        <f>IF(C11&lt;&gt;"",IFERROR(AVERAGE(出来高!E6:AC6),""),"")</f>
        <v>1720724</v>
      </c>
      <c r="O11" s="331" t="str">
        <f t="shared" si="1"/>
        <v/>
      </c>
      <c r="P11" s="328" t="str">
        <f t="shared" si="2"/>
        <v/>
      </c>
      <c r="Q11" s="328" t="str">
        <f t="shared" si="3"/>
        <v/>
      </c>
      <c r="R11" s="329" t="str">
        <f t="shared" si="4"/>
        <v/>
      </c>
      <c r="S11" s="329" t="str">
        <f t="shared" si="5"/>
        <v/>
      </c>
      <c r="T11" s="328">
        <f t="shared" si="6"/>
        <v>0</v>
      </c>
      <c r="U11" s="328" t="str">
        <f t="shared" si="7"/>
        <v>除外</v>
      </c>
      <c r="V11" s="328" t="str">
        <f t="shared" si="8"/>
        <v/>
      </c>
      <c r="W11" s="332">
        <f t="array" ref="W11">IFERROR(100-100/(1+SUMPRODUCT((終値!F6:R6&gt;終値!G6:S6)*(終値!F6:R6-終値!G6:S6))/SUMPRODUCT((終値!F6:R6&lt;終値!G6:S6)*(終値!G6:S6-終値!F6:R6))),50)</f>
        <v>54.322058398381031</v>
      </c>
      <c r="X11" s="333">
        <f>IF(C11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460.74972436604003</v>
      </c>
      <c r="Y11" s="328" t="e">
        <f t="shared" si="9"/>
        <v>#VALUE!</v>
      </c>
      <c r="Z11" s="334" t="str">
        <f t="shared" si="10"/>
        <v/>
      </c>
      <c r="AA11" s="328" t="str">
        <f t="shared" si="11"/>
        <v/>
      </c>
      <c r="AB11" s="329">
        <f>IF(OR(C11="",C11="TOPX",終値!E6=""),"",IFERROR(((終値!E6*0.333)+(終値!F6*0.222)+(終値!G6*0.148)+(終値!H6*0.099)+(終値!I6*0.066))/(0.333+0.222+0.148+0.099+0.066),""))</f>
        <v>51081.705069124422</v>
      </c>
      <c r="AC11" s="329">
        <f>IF(OR(C11="",C11="TOPX",終値!E6=""),"",IFERROR(SUMPRODUCT((終値!E6:AC6),{0.077,0.071,0.065,0.06,0.055,0.051,0.047,0.043,0.039,0.036,0.033,0.031,0.028,0.026,0.024,0.022,0.02,0.018,0.017,0.016,0.014,0.013,0.012,0.011,0.01})/SUM({0.077,0.071,0.065,0.06,0.055,0.051,0.047,0.043,0.039,0.036,0.033,0.031,0.028,0.026,0.024,0.022,0.02,0.018,0.017,0.016,0.014,0.013,0.012,0.011,0.01}),""))</f>
        <v>48810.8939213349</v>
      </c>
      <c r="AD11" s="328" t="str">
        <f t="shared" si="12"/>
        <v>パーフェクト▲</v>
      </c>
      <c r="AE11" s="328" t="e">
        <f t="shared" si="13"/>
        <v>#VALUE!</v>
      </c>
      <c r="AF11" t="e">
        <f>IF(T11="","",IF(銘柄管理!$F$5="上昇▲",IF(AND(AD11="下降トレンド▼",OR(AE11="25日戻り売り★",AE11="5日戻り売り○")),"★逆張り売り",IF(AND(AD11="もみ合い→",OR(AE11="25日戻り売り★",AE11="5日戻り売り○")),"○逆張り売り",IF(W11&gt;=70,IF(Z11&lt;0,"◎反落確認","△過熱・様子見"),"相場上昇・見送り"))),IF(AND(T11&gt;=12,AD11="下降トレンド▼"),"★強い売り",IF(T11&gt;=12,"★強い売り",IF(AND(T11&gt;=8,OR(AE11="25日戻り売り★",AE11="5日戻り売り○")),"◎戻り売り",IF(T11&gt;=10,"○売り候補",IF(T11&gt;=6,"△注目",IF(T11&gt;=3,"様子見","見送り"))))))))</f>
        <v>#VALUE!</v>
      </c>
      <c r="AG11">
        <f t="shared" si="14"/>
        <v>0</v>
      </c>
      <c r="AH11">
        <f t="shared" si="15"/>
        <v>0</v>
      </c>
      <c r="AI11" s="376">
        <f t="array" ref="AI11">IF(C11="","",IFERROR((INDEX(終値!$E:$E,MATCH(TEXT(C11,"0"),終値!$A:$A,0))-INDEX(終値!$E:$CZ,MATCH(TEXT(C11,"0"),終値!$A:$A,0),$AN$2))/INDEX(終値!$E:$CZ,MATCH(TEXT(C11,"0"),終値!$A:$A,0),$AN$2)*100,""))</f>
        <v>29.508625196027182</v>
      </c>
      <c r="AJ11" s="376">
        <f t="array" ref="AJ11">IFERROR((終値!$E$5-INDEX(終値!$E$5:$CZ$5,1,$AN$2))/INDEX(終値!$E$5:$CZ$5,1,$AN$2)*100,"")</f>
        <v>2.31989243802786</v>
      </c>
      <c r="AK11" s="377">
        <f t="shared" si="16"/>
        <v>27.188732757999322</v>
      </c>
      <c r="AL11" s="375">
        <f t="shared" si="17"/>
        <v>-2</v>
      </c>
      <c r="AO11" s="379" t="e">
        <f t="shared" si="18"/>
        <v>#VALUE!</v>
      </c>
      <c r="AP11" s="380" t="e">
        <f t="shared" si="19"/>
        <v>#VALUE!</v>
      </c>
      <c r="AQ11">
        <f>IF(C11&lt;&gt;"",始値!F6,"")</f>
        <v>35490</v>
      </c>
      <c r="AR11">
        <f>IF(C11&lt;&gt;"",高値!F6,"")</f>
        <v>35830</v>
      </c>
      <c r="AS11">
        <f>IF(C11&lt;&gt;"",安値!F6,"")</f>
        <v>33750</v>
      </c>
      <c r="AT11" t="str">
        <f t="shared" si="20"/>
        <v>長い下ヒゲ(反発)</v>
      </c>
      <c r="AU11">
        <f t="shared" si="21"/>
        <v>-2</v>
      </c>
    </row>
    <row r="12" spans="1:47" ht="14.25" customHeight="1">
      <c r="A12" s="335" t="str">
        <f>IF(銘柄管理!B21&lt;&gt;"",HYPERLINK("https://kabutan.jp/stock/?code="&amp;銘柄管理!B21,"株探"),"")</f>
        <v>株探</v>
      </c>
      <c r="B12" s="215"/>
      <c r="C12" s="478">
        <f>IF(銘柄管理!B21="","",銘柄管理!B21)</f>
        <v>5332</v>
      </c>
      <c r="D12" s="215" t="str">
        <f>IF(銘柄管理!C21="","",銘柄管理!C21)</f>
        <v/>
      </c>
      <c r="E12" s="336" t="str">
        <f>IF(C12&lt;&gt;"",_xll.RssMarket(C12,"現在値"),"")</f>
        <v/>
      </c>
      <c r="F12" s="336" t="str">
        <f>IF(C12&lt;&gt;"",_xll.RssMarket(C12,"始値"),"")</f>
        <v/>
      </c>
      <c r="G12" s="215">
        <f>IF(C12&lt;&gt;"",終値!F21,"")</f>
        <v>7946</v>
      </c>
      <c r="H12" s="336" t="str">
        <f>IF(C12&lt;&gt;"",_xll.RssMarket(C12,"高値"),"")</f>
        <v/>
      </c>
      <c r="I12" s="336" t="str">
        <f>IF(C12&lt;&gt;"",_xll.RssMarket(C12,"安値"),"")</f>
        <v/>
      </c>
      <c r="J12" s="336" t="str">
        <f>IF(C12&lt;&gt;"",_xll.RssMarket(C12,"出来高"),"")</f>
        <v/>
      </c>
      <c r="K12" s="336" t="str">
        <f>IF(C12&lt;&gt;"",_xll.RssMarket(C12,"年初来高値"),"")</f>
        <v/>
      </c>
      <c r="L12" s="337" t="str">
        <f t="shared" si="0"/>
        <v/>
      </c>
      <c r="M12" s="336">
        <f>IF(C12&lt;&gt;"",IFERROR(AVERAGE(出来高!E21:I21),""),"")</f>
        <v>1229900</v>
      </c>
      <c r="N12" s="336">
        <f>IF(C12&lt;&gt;"",IFERROR(AVERAGE(出来高!E21:AC21),""),"")</f>
        <v>1393936</v>
      </c>
      <c r="O12" s="338" t="str">
        <f t="shared" si="1"/>
        <v/>
      </c>
      <c r="P12" s="215" t="str">
        <f t="shared" si="2"/>
        <v/>
      </c>
      <c r="Q12" s="215" t="str">
        <f t="shared" si="3"/>
        <v/>
      </c>
      <c r="R12" s="336" t="str">
        <f t="shared" si="4"/>
        <v/>
      </c>
      <c r="S12" s="336" t="str">
        <f t="shared" si="5"/>
        <v/>
      </c>
      <c r="T12" s="328">
        <f t="shared" si="6"/>
        <v>0</v>
      </c>
      <c r="U12" s="215" t="str">
        <f t="shared" si="7"/>
        <v>除外</v>
      </c>
      <c r="V12" s="215" t="str">
        <f t="shared" si="8"/>
        <v/>
      </c>
      <c r="W12" s="339">
        <f t="array" ref="W12">IFERROR(100-100/(1+SUMPRODUCT((終値!F21:R21&gt;終値!G21:S21)*(終値!F21:R21-終値!G21:S21))/SUMPRODUCT((終値!F21:R21&lt;終値!G21:S21)*(終値!G21:S21-終値!F21:R21))),50)</f>
        <v>27.686350435624391</v>
      </c>
      <c r="X12" s="340">
        <f>IF(C12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-87.325220208644168</v>
      </c>
      <c r="Y12" s="215" t="e">
        <f t="shared" si="9"/>
        <v>#VALUE!</v>
      </c>
      <c r="Z12" s="341" t="str">
        <f t="shared" si="10"/>
        <v/>
      </c>
      <c r="AA12" s="215" t="str">
        <f t="shared" si="11"/>
        <v/>
      </c>
      <c r="AB12" s="336">
        <f>IF(OR(C12="",C12="TOPX",終値!E21=""),"",IFERROR(((終値!E21*0.333)+(終値!F21*0.222)+(終値!G21*0.148)+(終値!H21*0.099)+(終値!I21*0.066))/(0.333+0.222+0.148+0.099+0.066),""))</f>
        <v>7762.6785714285706</v>
      </c>
      <c r="AC12" s="336">
        <f>IF(OR(C12="",C12="TOPX",終値!E21=""),"",IFERROR(SUMPRODUCT((終値!E21:AC21),{0.077,0.071,0.065,0.06,0.055,0.051,0.047,0.043,0.039,0.036,0.033,0.031,0.028,0.026,0.024,0.022,0.02,0.018,0.017,0.016,0.014,0.013,0.012,0.011,0.01})/SUM({0.077,0.071,0.065,0.06,0.055,0.051,0.047,0.043,0.039,0.036,0.033,0.031,0.028,0.026,0.024,0.022,0.02,0.018,0.017,0.016,0.014,0.013,0.012,0.011,0.01}),""))</f>
        <v>8175.7091775923691</v>
      </c>
      <c r="AD12" s="215" t="str">
        <f t="shared" si="12"/>
        <v>上昇トレンド▲</v>
      </c>
      <c r="AE12" s="215" t="e">
        <f t="shared" si="13"/>
        <v>#VALUE!</v>
      </c>
      <c r="AF12" t="e">
        <f>IF(T12="","",IF(銘柄管理!$F$5="上昇▲",IF(AND(AD12="下降トレンド▼",OR(AE12="25日戻り売り★",AE12="5日戻り売り○")),"★逆張り売り",IF(AND(AD12="もみ合い→",OR(AE12="25日戻り売り★",AE12="5日戻り売り○")),"○逆張り売り",IF(W12&gt;=70,IF(Z12&lt;0,"◎反落確認","△過熱・様子見"),"相場上昇・見送り"))),IF(AND(T12&gt;=12,AD12="下降トレンド▼"),"★強い売り",IF(T12&gt;=12,"★強い売り",IF(AND(T12&gt;=8,OR(AE12="25日戻り売り★",AE12="5日戻り売り○")),"◎戻り売り",IF(T12&gt;=10,"○売り候補",IF(T12&gt;=6,"△注目",IF(T12&gt;=3,"様子見","見送り"))))))))</f>
        <v>#VALUE!</v>
      </c>
      <c r="AG12">
        <f t="shared" si="14"/>
        <v>0</v>
      </c>
      <c r="AH12">
        <f t="shared" si="15"/>
        <v>0</v>
      </c>
      <c r="AI12" s="376">
        <f t="array" ref="AI12">IF(C12="","",IFERROR((INDEX(終値!$E:$E,MATCH(TEXT(C12,"0"),終値!$A:$A,0))-INDEX(終値!$E:$CZ,MATCH(TEXT(C12,"0"),終値!$A:$A,0),$AN$2))/INDEX(終値!$E:$CZ,MATCH(TEXT(C12,"0"),終値!$A:$A,0),$AN$2)*100,""))</f>
        <v>-2.7792275574112733</v>
      </c>
      <c r="AJ12" s="376">
        <f t="array" ref="AJ12">IFERROR((終値!$E$5-INDEX(終値!$E$5:$CZ$5,1,$AN$2))/INDEX(終値!$E$5:$CZ$5,1,$AN$2)*100,"")</f>
        <v>2.31989243802786</v>
      </c>
      <c r="AK12" s="377">
        <f t="shared" si="16"/>
        <v>-5.0991199954391337</v>
      </c>
      <c r="AL12" s="375">
        <f t="shared" si="17"/>
        <v>3</v>
      </c>
      <c r="AO12" s="379" t="e">
        <f t="shared" si="18"/>
        <v>#VALUE!</v>
      </c>
      <c r="AP12" s="380" t="e">
        <f t="shared" si="19"/>
        <v>#VALUE!</v>
      </c>
      <c r="AQ12">
        <f>IF(C12&lt;&gt;"",始値!F21,"")</f>
        <v>8080</v>
      </c>
      <c r="AR12">
        <f>IF(C12&lt;&gt;"",高値!F21,"")</f>
        <v>8088</v>
      </c>
      <c r="AS12">
        <f>IF(C12&lt;&gt;"",安値!F21,"")</f>
        <v>7765</v>
      </c>
      <c r="AT12" t="str">
        <f t="shared" si="20"/>
        <v>長い下ヒゲ(反発)</v>
      </c>
      <c r="AU12">
        <f t="shared" si="21"/>
        <v>-2</v>
      </c>
    </row>
    <row r="13" spans="1:47" ht="14.25" customHeight="1">
      <c r="A13" s="327" t="str">
        <f>IF(銘柄管理!B60&lt;&gt;"",HYPERLINK("https://kabutan.jp/stock/?code="&amp;銘柄管理!B60,"株探"),"")</f>
        <v>株探</v>
      </c>
      <c r="B13" s="328"/>
      <c r="C13" s="477">
        <f>IF(銘柄管理!B60="","",銘柄管理!B60)</f>
        <v>3107</v>
      </c>
      <c r="D13" s="328" t="str">
        <f>IF(銘柄管理!C60="","",銘柄管理!C60)</f>
        <v/>
      </c>
      <c r="E13" s="329" t="str">
        <f>IF(C13&lt;&gt;"",_xll.RssMarket(C13,"現在値"),"")</f>
        <v/>
      </c>
      <c r="F13" s="329" t="str">
        <f>IF(C13&lt;&gt;"",_xll.RssMarket(C13,"始値"),"")</f>
        <v/>
      </c>
      <c r="G13" s="328">
        <f>IF(C13&lt;&gt;"",終値!F60,"")</f>
        <v>3454</v>
      </c>
      <c r="H13" s="329" t="str">
        <f>IF(C13&lt;&gt;"",_xll.RssMarket(C13,"高値"),"")</f>
        <v/>
      </c>
      <c r="I13" s="329" t="str">
        <f>IF(C13&lt;&gt;"",_xll.RssMarket(C13,"安値"),"")</f>
        <v/>
      </c>
      <c r="J13" s="329" t="str">
        <f>IF(C13&lt;&gt;"",_xll.RssMarket(C13,"出来高"),"")</f>
        <v/>
      </c>
      <c r="K13" s="329" t="str">
        <f>IF(C13&lt;&gt;"",_xll.RssMarket(C13,"年初来高値"),"")</f>
        <v/>
      </c>
      <c r="L13" s="330" t="str">
        <f t="shared" si="0"/>
        <v/>
      </c>
      <c r="M13" s="329">
        <f>IF(C13&lt;&gt;"",IFERROR(AVERAGE(出来高!E60:I60),""),"")</f>
        <v>318900</v>
      </c>
      <c r="N13" s="329">
        <f>IF(C13&lt;&gt;"",IFERROR(AVERAGE(出来高!E60:AC60),""),"")</f>
        <v>300364</v>
      </c>
      <c r="O13" s="331" t="str">
        <f t="shared" si="1"/>
        <v/>
      </c>
      <c r="P13" s="328" t="str">
        <f t="shared" si="2"/>
        <v/>
      </c>
      <c r="Q13" s="328" t="str">
        <f t="shared" si="3"/>
        <v/>
      </c>
      <c r="R13" s="329" t="str">
        <f t="shared" si="4"/>
        <v/>
      </c>
      <c r="S13" s="329" t="str">
        <f t="shared" si="5"/>
        <v/>
      </c>
      <c r="T13" s="328">
        <f t="shared" si="6"/>
        <v>0</v>
      </c>
      <c r="U13" s="328" t="str">
        <f t="shared" si="7"/>
        <v>除外</v>
      </c>
      <c r="V13" s="328" t="str">
        <f t="shared" si="8"/>
        <v/>
      </c>
      <c r="W13" s="332">
        <f t="array" ref="W13">IFERROR(100-100/(1+SUMPRODUCT((終値!F60:R60&gt;終値!G60:S60)*(終値!F60:R60-終値!G60:S60))/SUMPRODUCT((終値!F60:R60&lt;終値!G60:S60)*(終値!G60:S60-終値!F60:R60))),50)</f>
        <v>55.702479338842977</v>
      </c>
      <c r="X13" s="333">
        <f>IF(C13&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1.8897205449802641</v>
      </c>
      <c r="Y13" s="328" t="e">
        <f t="shared" si="9"/>
        <v>#VALUE!</v>
      </c>
      <c r="Z13" s="334" t="str">
        <f t="shared" si="10"/>
        <v/>
      </c>
      <c r="AA13" s="328" t="str">
        <f t="shared" si="11"/>
        <v/>
      </c>
      <c r="AB13" s="329">
        <f>IF(OR(C13="",C13="TOPX",終値!E60=""),"",IFERROR(((終値!E60*0.333)+(終値!F60*0.222)+(終値!G60*0.148)+(終値!H60*0.099)+(終値!I60*0.066))/(0.333+0.222+0.148+0.099+0.066),""))</f>
        <v>3405.7914746543775</v>
      </c>
      <c r="AC13" s="329">
        <f>IF(OR(C13="",C13="TOPX",終値!E60=""),"",IFERROR(SUMPRODUCT((終値!E60:AC60),{0.077,0.071,0.065,0.06,0.055,0.051,0.047,0.043,0.039,0.036,0.033,0.031,0.028,0.026,0.024,0.022,0.02,0.018,0.017,0.016,0.014,0.013,0.012,0.011,0.01})/SUM({0.077,0.071,0.065,0.06,0.055,0.051,0.047,0.043,0.039,0.036,0.033,0.031,0.028,0.026,0.024,0.022,0.02,0.018,0.017,0.016,0.014,0.013,0.012,0.011,0.01}),""))</f>
        <v>3414.3373063170434</v>
      </c>
      <c r="AD13" s="328" t="str">
        <f t="shared" si="12"/>
        <v>上昇トレンド▲</v>
      </c>
      <c r="AE13" s="328" t="e">
        <f t="shared" si="13"/>
        <v>#VALUE!</v>
      </c>
      <c r="AF13" t="e">
        <f>IF(T13="","",IF(銘柄管理!$F$5="上昇▲",IF(AND(AD13="下降トレンド▼",OR(AE13="25日戻り売り★",AE13="5日戻り売り○")),"★逆張り売り",IF(AND(AD13="もみ合い→",OR(AE13="25日戻り売り★",AE13="5日戻り売り○")),"○逆張り売り",IF(W13&gt;=70,IF(Z13&lt;0,"◎反落確認","△過熱・様子見"),"相場上昇・見送り"))),IF(AND(T13&gt;=12,AD13="下降トレンド▼"),"★強い売り",IF(T13&gt;=12,"★強い売り",IF(AND(T13&gt;=8,OR(AE13="25日戻り売り★",AE13="5日戻り売り○")),"◎戻り売り",IF(T13&gt;=10,"○売り候補",IF(T13&gt;=6,"△注目",IF(T13&gt;=3,"様子見","見送り"))))))))</f>
        <v>#VALUE!</v>
      </c>
      <c r="AG13">
        <f t="shared" si="14"/>
        <v>0</v>
      </c>
      <c r="AH13">
        <f t="shared" si="15"/>
        <v>0</v>
      </c>
      <c r="AI13" s="376">
        <f t="array" ref="AI13">IF(C13="","",IFERROR((INDEX(終値!$E:$E,MATCH(TEXT(C13,"0"),終値!$A:$A,0))-INDEX(終値!$E:$CZ,MATCH(TEXT(C13,"0"),終値!$A:$A,0),$AN$2))/INDEX(終値!$E:$CZ,MATCH(TEXT(C13,"0"),終値!$A:$A,0),$AN$2)*100,""))</f>
        <v>-3.1133961725221364</v>
      </c>
      <c r="AJ13" s="376">
        <f t="array" ref="AJ13">IFERROR((終値!$E$5-INDEX(終値!$E$5:$CZ$5,1,$AN$2))/INDEX(終値!$E$5:$CZ$5,1,$AN$2)*100,"")</f>
        <v>2.31989243802786</v>
      </c>
      <c r="AK13" s="377">
        <f t="shared" si="16"/>
        <v>-5.4332886105499965</v>
      </c>
      <c r="AL13" s="375">
        <f t="shared" si="17"/>
        <v>3</v>
      </c>
      <c r="AO13" s="379" t="e">
        <f t="shared" si="18"/>
        <v>#VALUE!</v>
      </c>
      <c r="AP13" s="380" t="e">
        <f t="shared" si="19"/>
        <v>#VALUE!</v>
      </c>
      <c r="AQ13">
        <f>IF(C13&lt;&gt;"",始値!F60,"")</f>
        <v>3422</v>
      </c>
      <c r="AR13">
        <f>IF(C13&lt;&gt;"",高値!F60,"")</f>
        <v>3464</v>
      </c>
      <c r="AS13">
        <f>IF(C13&lt;&gt;"",安値!F60,"")</f>
        <v>3377</v>
      </c>
      <c r="AT13" t="str">
        <f t="shared" si="20"/>
        <v>長い下ヒゲ(反発)</v>
      </c>
      <c r="AU13">
        <f t="shared" si="21"/>
        <v>-2</v>
      </c>
    </row>
    <row r="14" spans="1:47" ht="14.25" customHeight="1">
      <c r="A14" s="335" t="str">
        <f>IF(銘柄管理!B66&lt;&gt;"",HYPERLINK("https://kabutan.jp/stock/?code="&amp;銘柄管理!B66,"株探"),"")</f>
        <v>株探</v>
      </c>
      <c r="B14" s="215"/>
      <c r="C14" s="478">
        <f>IF(銘柄管理!B66="","",銘柄管理!B66)</f>
        <v>4063</v>
      </c>
      <c r="D14" s="215" t="str">
        <f>IF(銘柄管理!C66="","",銘柄管理!C66)</f>
        <v/>
      </c>
      <c r="E14" s="336" t="str">
        <f>IF(C14&lt;&gt;"",_xll.RssMarket(C14,"現在値"),"")</f>
        <v/>
      </c>
      <c r="F14" s="336" t="str">
        <f>IF(C14&lt;&gt;"",_xll.RssMarket(C14,"始値"),"")</f>
        <v/>
      </c>
      <c r="G14" s="215">
        <f>IF(C14&lt;&gt;"",終値!F66,"")</f>
        <v>7690</v>
      </c>
      <c r="H14" s="336" t="str">
        <f>IF(C14&lt;&gt;"",_xll.RssMarket(C14,"高値"),"")</f>
        <v/>
      </c>
      <c r="I14" s="336" t="str">
        <f>IF(C14&lt;&gt;"",_xll.RssMarket(C14,"安値"),"")</f>
        <v/>
      </c>
      <c r="J14" s="336" t="str">
        <f>IF(C14&lt;&gt;"",_xll.RssMarket(C14,"出来高"),"")</f>
        <v/>
      </c>
      <c r="K14" s="336" t="str">
        <f>IF(C14&lt;&gt;"",_xll.RssMarket(C14,"年初来高値"),"")</f>
        <v/>
      </c>
      <c r="L14" s="337" t="str">
        <f t="shared" si="0"/>
        <v/>
      </c>
      <c r="M14" s="336">
        <f>IF(C14&lt;&gt;"",IFERROR(AVERAGE(出来高!E66:I66),""),"")</f>
        <v>7236820</v>
      </c>
      <c r="N14" s="336">
        <f>IF(C14&lt;&gt;"",IFERROR(AVERAGE(出来高!E66:AC66),""),"")</f>
        <v>7324432</v>
      </c>
      <c r="O14" s="338" t="str">
        <f t="shared" si="1"/>
        <v/>
      </c>
      <c r="P14" s="215" t="str">
        <f t="shared" si="2"/>
        <v/>
      </c>
      <c r="Q14" s="215" t="str">
        <f t="shared" si="3"/>
        <v/>
      </c>
      <c r="R14" s="336" t="str">
        <f t="shared" si="4"/>
        <v/>
      </c>
      <c r="S14" s="336" t="str">
        <f t="shared" si="5"/>
        <v/>
      </c>
      <c r="T14" s="328">
        <f t="shared" si="6"/>
        <v>0</v>
      </c>
      <c r="U14" s="215" t="str">
        <f t="shared" si="7"/>
        <v>除外</v>
      </c>
      <c r="V14" s="215" t="str">
        <f t="shared" si="8"/>
        <v/>
      </c>
      <c r="W14" s="339">
        <f t="array" ref="W14">IFERROR(100-100/(1+SUMPRODUCT((終値!F66:R66&gt;終値!G66:S66)*(終値!F66:R66-終値!G66:S66))/SUMPRODUCT((終値!F66:R66&lt;終値!G66:S66)*(終値!G66:S66-終値!F66:R66))),50)</f>
        <v>59.775524981897178</v>
      </c>
      <c r="X14" s="340">
        <f>IF(C14&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30.035104024457723</v>
      </c>
      <c r="Y14" s="215" t="e">
        <f t="shared" si="9"/>
        <v>#VALUE!</v>
      </c>
      <c r="Z14" s="341" t="str">
        <f t="shared" si="10"/>
        <v/>
      </c>
      <c r="AA14" s="215" t="str">
        <f t="shared" si="11"/>
        <v/>
      </c>
      <c r="AB14" s="336">
        <f>IF(OR(C14="",C14="TOPX",終値!E66=""),"",IFERROR(((終値!E66*0.333)+(終値!F66*0.222)+(終値!G66*0.148)+(終値!H66*0.099)+(終値!I66*0.066))/(0.333+0.222+0.148+0.099+0.066),""))</f>
        <v>7380.1255760368649</v>
      </c>
      <c r="AC14" s="336">
        <f>IF(OR(C14="",C14="TOPX",終値!E66=""),"",IFERROR(SUMPRODUCT((終値!E66:AC66),{0.077,0.071,0.065,0.06,0.055,0.051,0.047,0.043,0.039,0.036,0.033,0.031,0.028,0.026,0.024,0.022,0.02,0.018,0.017,0.016,0.014,0.013,0.012,0.011,0.01})/SUM({0.077,0.071,0.065,0.06,0.055,0.051,0.047,0.043,0.039,0.036,0.033,0.031,0.028,0.026,0.024,0.022,0.02,0.018,0.017,0.016,0.014,0.013,0.012,0.011,0.01}),""))</f>
        <v>7214.7401668653147</v>
      </c>
      <c r="AD14" s="215" t="str">
        <f t="shared" si="12"/>
        <v>パーフェクト▲</v>
      </c>
      <c r="AE14" s="215" t="e">
        <f t="shared" si="13"/>
        <v>#VALUE!</v>
      </c>
      <c r="AF14" t="e">
        <f>IF(T14="","",IF(銘柄管理!$F$5="上昇▲",IF(AND(AD14="下降トレンド▼",OR(AE14="25日戻り売り★",AE14="5日戻り売り○")),"★逆張り売り",IF(AND(AD14="もみ合い→",OR(AE14="25日戻り売り★",AE14="5日戻り売り○")),"○逆張り売り",IF(W14&gt;=70,IF(Z14&lt;0,"◎反落確認","△過熱・様子見"),"相場上昇・見送り"))),IF(AND(T14&gt;=12,AD14="下降トレンド▼"),"★強い売り",IF(T14&gt;=12,"★強い売り",IF(AND(T14&gt;=8,OR(AE14="25日戻り売り★",AE14="5日戻り売り○")),"◎戻り売り",IF(T14&gt;=10,"○売り候補",IF(T14&gt;=6,"△注目",IF(T14&gt;=3,"様子見","見送り"))))))))</f>
        <v>#VALUE!</v>
      </c>
      <c r="AG14">
        <f t="shared" si="14"/>
        <v>0</v>
      </c>
      <c r="AH14">
        <f t="shared" si="15"/>
        <v>0</v>
      </c>
      <c r="AI14" s="376">
        <f t="array" ref="AI14">IF(C14="","",IFERROR((INDEX(終値!$E:$E,MATCH(TEXT(C14,"0"),終値!$A:$A,0))-INDEX(終値!$E:$CZ,MATCH(TEXT(C14,"0"),終値!$A:$A,0),$AN$2))/INDEX(終値!$E:$CZ,MATCH(TEXT(C14,"0"),終値!$A:$A,0),$AN$2)*100,""))</f>
        <v>4.2838408859099522</v>
      </c>
      <c r="AJ14" s="376">
        <f t="array" ref="AJ14">IFERROR((終値!$E$5-INDEX(終値!$E$5:$CZ$5,1,$AN$2))/INDEX(終値!$E$5:$CZ$5,1,$AN$2)*100,"")</f>
        <v>2.31989243802786</v>
      </c>
      <c r="AK14" s="377">
        <f t="shared" si="16"/>
        <v>1.9639484478820921</v>
      </c>
      <c r="AL14" s="375">
        <f t="shared" si="17"/>
        <v>-1</v>
      </c>
      <c r="AO14" s="379" t="e">
        <f t="shared" si="18"/>
        <v>#VALUE!</v>
      </c>
      <c r="AP14" s="380" t="e">
        <f t="shared" si="19"/>
        <v>#VALUE!</v>
      </c>
      <c r="AQ14">
        <f>IF(C14&lt;&gt;"",始値!F66,"")</f>
        <v>7582</v>
      </c>
      <c r="AR14">
        <f>IF(C14&lt;&gt;"",高値!F66,"")</f>
        <v>7690</v>
      </c>
      <c r="AS14">
        <f>IF(C14&lt;&gt;"",安値!F66,"")</f>
        <v>7482</v>
      </c>
      <c r="AT14" t="str">
        <f t="shared" si="20"/>
        <v>通常</v>
      </c>
      <c r="AU14">
        <f t="shared" si="21"/>
        <v>0</v>
      </c>
    </row>
    <row r="15" spans="1:47" ht="14.25" customHeight="1">
      <c r="A15" s="327" t="str">
        <f>IF(銘柄管理!B70&lt;&gt;"",HYPERLINK("https://kabutan.jp/stock/?code="&amp;銘柄管理!B70,"株探"),"")</f>
        <v>株探</v>
      </c>
      <c r="B15" s="328"/>
      <c r="C15" s="477">
        <f>IF(銘柄管理!B70="","",銘柄管理!B70)</f>
        <v>9424</v>
      </c>
      <c r="D15" s="328" t="str">
        <f>IF(銘柄管理!C70="","",銘柄管理!C70)</f>
        <v/>
      </c>
      <c r="E15" s="329" t="str">
        <f>IF(C15&lt;&gt;"",_xll.RssMarket(C15,"現在値"),"")</f>
        <v/>
      </c>
      <c r="F15" s="329" t="str">
        <f>IF(C15&lt;&gt;"",_xll.RssMarket(C15,"始値"),"")</f>
        <v/>
      </c>
      <c r="G15" s="328">
        <f>IF(C15&lt;&gt;"",終値!F70,"")</f>
        <v>118</v>
      </c>
      <c r="H15" s="329" t="str">
        <f>IF(C15&lt;&gt;"",_xll.RssMarket(C15,"高値"),"")</f>
        <v/>
      </c>
      <c r="I15" s="329" t="str">
        <f>IF(C15&lt;&gt;"",_xll.RssMarket(C15,"安値"),"")</f>
        <v/>
      </c>
      <c r="J15" s="329" t="str">
        <f>IF(C15&lt;&gt;"",_xll.RssMarket(C15,"出来高"),"")</f>
        <v/>
      </c>
      <c r="K15" s="329" t="str">
        <f>IF(C15&lt;&gt;"",_xll.RssMarket(C15,"年初来高値"),"")</f>
        <v/>
      </c>
      <c r="L15" s="330" t="str">
        <f t="shared" si="0"/>
        <v/>
      </c>
      <c r="M15" s="329">
        <f>IF(C15&lt;&gt;"",IFERROR(AVERAGE(出来高!E70:I70),""),"")</f>
        <v>1281800</v>
      </c>
      <c r="N15" s="329">
        <f>IF(C15&lt;&gt;"",IFERROR(AVERAGE(出来高!E70:AC70),""),"")</f>
        <v>1555844</v>
      </c>
      <c r="O15" s="331" t="str">
        <f t="shared" si="1"/>
        <v/>
      </c>
      <c r="P15" s="328" t="str">
        <f t="shared" si="2"/>
        <v/>
      </c>
      <c r="Q15" s="328" t="str">
        <f t="shared" si="3"/>
        <v/>
      </c>
      <c r="R15" s="329" t="str">
        <f t="shared" si="4"/>
        <v/>
      </c>
      <c r="S15" s="329" t="str">
        <f t="shared" si="5"/>
        <v/>
      </c>
      <c r="T15" s="328">
        <f t="shared" si="6"/>
        <v>0</v>
      </c>
      <c r="U15" s="328" t="str">
        <f t="shared" si="7"/>
        <v>除外</v>
      </c>
      <c r="V15" s="328" t="str">
        <f t="shared" si="8"/>
        <v/>
      </c>
      <c r="W15" s="332">
        <f t="array" ref="W15">IFERROR(100-100/(1+SUMPRODUCT((終値!F70:R70&gt;終値!G70:S70)*(終値!F70:R70-終値!G70:S70))/SUMPRODUCT((終値!F70:R70&lt;終値!G70:S70)*(終値!G70:S70-終値!F70:R70))),50)</f>
        <v>55.172413793103452</v>
      </c>
      <c r="X15" s="333">
        <f>IF(C15&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-6.5654615724355381E-3</v>
      </c>
      <c r="Y15" s="328" t="e">
        <f t="shared" si="9"/>
        <v>#VALUE!</v>
      </c>
      <c r="Z15" s="334" t="str">
        <f t="shared" si="10"/>
        <v/>
      </c>
      <c r="AA15" s="328" t="str">
        <f t="shared" si="11"/>
        <v/>
      </c>
      <c r="AB15" s="329">
        <f>IF(OR(C15="",C15="TOPX",終値!E70=""),"",IFERROR(((終値!E70*0.333)+(終値!F70*0.222)+(終値!G70*0.148)+(終値!H70*0.099)+(終値!I70*0.066))/(0.333+0.222+0.148+0.099+0.066),""))</f>
        <v>114.96198156682026</v>
      </c>
      <c r="AC15" s="329">
        <f>IF(OR(C15="",C15="TOPX",終値!E70=""),"",IFERROR(SUMPRODUCT((終値!E70:AC70),{0.077,0.071,0.065,0.06,0.055,0.051,0.047,0.043,0.039,0.036,0.033,0.031,0.028,0.026,0.024,0.022,0.02,0.018,0.017,0.016,0.014,0.013,0.012,0.011,0.01})/SUM({0.077,0.071,0.065,0.06,0.055,0.051,0.047,0.043,0.039,0.036,0.033,0.031,0.028,0.026,0.024,0.022,0.02,0.018,0.017,0.016,0.014,0.013,0.012,0.011,0.01}),""))</f>
        <v>112.57806912991653</v>
      </c>
      <c r="AD15" s="328" t="str">
        <f t="shared" si="12"/>
        <v>パーフェクト▲</v>
      </c>
      <c r="AE15" s="328" t="e">
        <f t="shared" si="13"/>
        <v>#VALUE!</v>
      </c>
      <c r="AF15" t="e">
        <f>IF(T15="","",IF(銘柄管理!$F$5="上昇▲",IF(AND(AD15="下降トレンド▼",OR(AE15="25日戻り売り★",AE15="5日戻り売り○")),"★逆張り売り",IF(AND(AD15="もみ合い→",OR(AE15="25日戻り売り★",AE15="5日戻り売り○")),"○逆張り売り",IF(W15&gt;=70,IF(Z15&lt;0,"◎反落確認","△過熱・様子見"),"相場上昇・見送り"))),IF(AND(T15&gt;=12,AD15="下降トレンド▼"),"★強い売り",IF(T15&gt;=12,"★強い売り",IF(AND(T15&gt;=8,OR(AE15="25日戻り売り★",AE15="5日戻り売り○")),"◎戻り売り",IF(T15&gt;=10,"○売り候補",IF(T15&gt;=6,"△注目",IF(T15&gt;=3,"様子見","見送り"))))))))</f>
        <v>#VALUE!</v>
      </c>
      <c r="AG15">
        <f t="shared" si="14"/>
        <v>0</v>
      </c>
      <c r="AH15">
        <f t="shared" si="15"/>
        <v>0</v>
      </c>
      <c r="AI15" s="376">
        <f t="array" ref="AI15">IF(C15="","",IFERROR((INDEX(終値!$E:$E,MATCH(TEXT(C15,"0"),終値!$A:$A,0))-INDEX(終値!$E:$CZ,MATCH(TEXT(C15,"0"),終値!$A:$A,0),$AN$2))/INDEX(終値!$E:$CZ,MATCH(TEXT(C15,"0"),終値!$A:$A,0),$AN$2)*100,""))</f>
        <v>-1.7391304347826086</v>
      </c>
      <c r="AJ15" s="376">
        <f t="array" ref="AJ15">IFERROR((終値!$E$5-INDEX(終値!$E$5:$CZ$5,1,$AN$2))/INDEX(終値!$E$5:$CZ$5,1,$AN$2)*100,"")</f>
        <v>2.31989243802786</v>
      </c>
      <c r="AK15" s="377">
        <f t="shared" si="16"/>
        <v>-4.0590228728104689</v>
      </c>
      <c r="AL15" s="375">
        <f t="shared" si="17"/>
        <v>1</v>
      </c>
      <c r="AO15" s="379" t="e">
        <f t="shared" si="18"/>
        <v>#VALUE!</v>
      </c>
      <c r="AP15" s="380" t="e">
        <f t="shared" si="19"/>
        <v>#VALUE!</v>
      </c>
      <c r="AQ15">
        <f>IF(C15&lt;&gt;"",始値!F70,"")</f>
        <v>115</v>
      </c>
      <c r="AR15">
        <f>IF(C15&lt;&gt;"",高値!F70,"")</f>
        <v>118</v>
      </c>
      <c r="AS15">
        <f>IF(C15&lt;&gt;"",安値!F70,"")</f>
        <v>115</v>
      </c>
      <c r="AT15" t="str">
        <f t="shared" si="20"/>
        <v>通常</v>
      </c>
      <c r="AU15">
        <f t="shared" si="21"/>
        <v>0</v>
      </c>
    </row>
    <row r="16" spans="1:47" ht="14.25" customHeight="1">
      <c r="A16" s="335" t="str">
        <f>IF(銘柄管理!B78&lt;&gt;"",HYPERLINK("https://kabutan.jp/stock/?code="&amp;銘柄管理!B78,"株探"),"")</f>
        <v>株探</v>
      </c>
      <c r="B16" s="215"/>
      <c r="C16" s="478">
        <f>IF(銘柄管理!B78="","",銘柄管理!B78)</f>
        <v>6954</v>
      </c>
      <c r="D16" s="215" t="str">
        <f>IF(銘柄管理!C78="","",銘柄管理!C78)</f>
        <v/>
      </c>
      <c r="E16" s="336" t="str">
        <f>IF(C16&lt;&gt;"",_xll.RssMarket(C16,"現在値"),"")</f>
        <v/>
      </c>
      <c r="F16" s="336" t="str">
        <f>IF(C16&lt;&gt;"",_xll.RssMarket(C16,"始値"),"")</f>
        <v/>
      </c>
      <c r="G16" s="215">
        <f>IF(C16&lt;&gt;"",終値!F78,"")</f>
        <v>7008</v>
      </c>
      <c r="H16" s="336" t="str">
        <f>IF(C16&lt;&gt;"",_xll.RssMarket(C16,"高値"),"")</f>
        <v/>
      </c>
      <c r="I16" s="336" t="str">
        <f>IF(C16&lt;&gt;"",_xll.RssMarket(C16,"安値"),"")</f>
        <v/>
      </c>
      <c r="J16" s="336" t="str">
        <f>IF(C16&lt;&gt;"",_xll.RssMarket(C16,"出来高"),"")</f>
        <v/>
      </c>
      <c r="K16" s="336" t="str">
        <f>IF(C16&lt;&gt;"",_xll.RssMarket(C16,"年初来高値"),"")</f>
        <v/>
      </c>
      <c r="L16" s="337" t="str">
        <f t="shared" si="0"/>
        <v/>
      </c>
      <c r="M16" s="336">
        <f>IF(C16&lt;&gt;"",IFERROR(AVERAGE(出来高!E78:I78),""),"")</f>
        <v>5544340</v>
      </c>
      <c r="N16" s="336">
        <f>IF(C16&lt;&gt;"",IFERROR(AVERAGE(出来高!E78:AC78),""),"")</f>
        <v>5741900</v>
      </c>
      <c r="O16" s="338" t="str">
        <f t="shared" si="1"/>
        <v/>
      </c>
      <c r="P16" s="215" t="str">
        <f t="shared" si="2"/>
        <v/>
      </c>
      <c r="Q16" s="215" t="str">
        <f t="shared" si="3"/>
        <v/>
      </c>
      <c r="R16" s="336" t="str">
        <f t="shared" si="4"/>
        <v/>
      </c>
      <c r="S16" s="336" t="str">
        <f t="shared" si="5"/>
        <v/>
      </c>
      <c r="T16" s="328">
        <f t="shared" si="6"/>
        <v>0</v>
      </c>
      <c r="U16" s="215" t="str">
        <f t="shared" si="7"/>
        <v>除外</v>
      </c>
      <c r="V16" s="215" t="str">
        <f t="shared" si="8"/>
        <v/>
      </c>
      <c r="W16" s="339">
        <f t="array" ref="W16">IFERROR(100-100/(1+SUMPRODUCT((終値!F78:R78&gt;終値!G78:S78)*(終値!F78:R78-終値!G78:S78))/SUMPRODUCT((終値!F78:R78&lt;終値!G78:S78)*(終値!G78:S78-終値!F78:R78))),50)</f>
        <v>44.009612083762448</v>
      </c>
      <c r="X16" s="340">
        <f>IF(C16&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-55.338874537788797</v>
      </c>
      <c r="Y16" s="215" t="e">
        <f t="shared" si="9"/>
        <v>#VALUE!</v>
      </c>
      <c r="Z16" s="341" t="str">
        <f t="shared" si="10"/>
        <v/>
      </c>
      <c r="AA16" s="215" t="str">
        <f t="shared" si="11"/>
        <v/>
      </c>
      <c r="AB16" s="336">
        <f>IF(OR(C16="",C16="TOPX",終値!E78=""),"",IFERROR(((終値!E78*0.333)+(終値!F78*0.222)+(終値!G78*0.148)+(終値!H78*0.099)+(終値!I78*0.066))/(0.333+0.222+0.148+0.099+0.066),""))</f>
        <v>6842.2903225806449</v>
      </c>
      <c r="AC16" s="336">
        <f>IF(OR(C16="",C16="TOPX",終値!E78=""),"",IFERROR(SUMPRODUCT((終値!E78:AC78),{0.077,0.071,0.065,0.06,0.055,0.051,0.047,0.043,0.039,0.036,0.033,0.031,0.028,0.026,0.024,0.022,0.02,0.018,0.017,0.016,0.014,0.013,0.012,0.011,0.01})/SUM({0.077,0.071,0.065,0.06,0.055,0.051,0.047,0.043,0.039,0.036,0.033,0.031,0.028,0.026,0.024,0.022,0.02,0.018,0.017,0.016,0.014,0.013,0.012,0.011,0.01}),""))</f>
        <v>7093.7365911799752</v>
      </c>
      <c r="AD16" s="215" t="str">
        <f t="shared" si="12"/>
        <v>上昇トレンド▲</v>
      </c>
      <c r="AE16" s="215" t="e">
        <f t="shared" si="13"/>
        <v>#VALUE!</v>
      </c>
      <c r="AF16" t="e">
        <f>IF(T16="","",IF(銘柄管理!$F$5="上昇▲",IF(AND(AD16="下降トレンド▼",OR(AE16="25日戻り売り★",AE16="5日戻り売り○")),"★逆張り売り",IF(AND(AD16="もみ合い→",OR(AE16="25日戻り売り★",AE16="5日戻り売り○")),"○逆張り売り",IF(W16&gt;=70,IF(Z16&lt;0,"◎反落確認","△過熱・様子見"),"相場上昇・見送り"))),IF(AND(T16&gt;=12,AD16="下降トレンド▼"),"★強い売り",IF(T16&gt;=12,"★強い売り",IF(AND(T16&gt;=8,OR(AE16="25日戻り売り★",AE16="5日戻り売り○")),"◎戻り売り",IF(T16&gt;=10,"○売り候補",IF(T16&gt;=6,"△注目",IF(T16&gt;=3,"様子見","見送り"))))))))</f>
        <v>#VALUE!</v>
      </c>
      <c r="AG16">
        <f t="shared" si="14"/>
        <v>0</v>
      </c>
      <c r="AH16">
        <f t="shared" si="15"/>
        <v>0</v>
      </c>
      <c r="AI16" s="376">
        <f t="array" ref="AI16">IF(C16="","",IFERROR((INDEX(終値!$E:$E,MATCH(TEXT(C16,"0"),終値!$A:$A,0))-INDEX(終値!$E:$CZ,MATCH(TEXT(C16,"0"),終値!$A:$A,0),$AN$2))/INDEX(終値!$E:$CZ,MATCH(TEXT(C16,"0"),終値!$A:$A,0),$AN$2)*100,""))</f>
        <v>-6.8883277216610557</v>
      </c>
      <c r="AJ16" s="376">
        <f t="array" ref="AJ16">IFERROR((終値!$E$5-INDEX(終値!$E$5:$CZ$5,1,$AN$2))/INDEX(終値!$E$5:$CZ$5,1,$AN$2)*100,"")</f>
        <v>2.31989243802786</v>
      </c>
      <c r="AK16" s="377">
        <f t="shared" si="16"/>
        <v>-9.2082201596889153</v>
      </c>
      <c r="AL16" s="375">
        <f t="shared" si="17"/>
        <v>3</v>
      </c>
      <c r="AO16" s="379" t="e">
        <f t="shared" si="18"/>
        <v>#VALUE!</v>
      </c>
      <c r="AP16" s="380" t="e">
        <f t="shared" si="19"/>
        <v>#VALUE!</v>
      </c>
      <c r="AQ16">
        <f>IF(C16&lt;&gt;"",始値!F78,"")</f>
        <v>6939</v>
      </c>
      <c r="AR16">
        <f>IF(C16&lt;&gt;"",高値!F78,"")</f>
        <v>7030</v>
      </c>
      <c r="AS16">
        <f>IF(C16&lt;&gt;"",安値!F78,"")</f>
        <v>6792</v>
      </c>
      <c r="AT16" t="str">
        <f t="shared" si="20"/>
        <v>長い下ヒゲ(反発)</v>
      </c>
      <c r="AU16">
        <f t="shared" si="21"/>
        <v>-2</v>
      </c>
    </row>
    <row r="17" spans="1:47" ht="14.25" customHeight="1">
      <c r="A17" s="327" t="str">
        <f>IF(銘柄管理!B100&lt;&gt;"",HYPERLINK("https://kabutan.jp/stock/?code="&amp;銘柄管理!B100,"株探"),"")</f>
        <v>株探</v>
      </c>
      <c r="B17" s="328"/>
      <c r="C17" s="477">
        <f>IF(銘柄管理!B100="","",銘柄管理!B100)</f>
        <v>4528</v>
      </c>
      <c r="D17" s="328" t="str">
        <f>IF(銘柄管理!C100="","",銘柄管理!C100)</f>
        <v/>
      </c>
      <c r="E17" s="329" t="str">
        <f>IF(C17&lt;&gt;"",_xll.RssMarket(C17,"現在値"),"")</f>
        <v/>
      </c>
      <c r="F17" s="329" t="str">
        <f>IF(C17&lt;&gt;"",_xll.RssMarket(C17,"始値"),"")</f>
        <v/>
      </c>
      <c r="G17" s="328">
        <f>IF(C17&lt;&gt;"",終値!F100,"")</f>
        <v>2388.5</v>
      </c>
      <c r="H17" s="329" t="str">
        <f>IF(C17&lt;&gt;"",_xll.RssMarket(C17,"高値"),"")</f>
        <v/>
      </c>
      <c r="I17" s="329" t="str">
        <f>IF(C17&lt;&gt;"",_xll.RssMarket(C17,"安値"),"")</f>
        <v/>
      </c>
      <c r="J17" s="329" t="str">
        <f>IF(C17&lt;&gt;"",_xll.RssMarket(C17,"出来高"),"")</f>
        <v/>
      </c>
      <c r="K17" s="329" t="str">
        <f>IF(C17&lt;&gt;"",_xll.RssMarket(C17,"年初来高値"),"")</f>
        <v/>
      </c>
      <c r="L17" s="330" t="str">
        <f t="shared" si="0"/>
        <v/>
      </c>
      <c r="M17" s="329">
        <f>IF(C17&lt;&gt;"",IFERROR(AVERAGE(出来高!E100:I100),""),"")</f>
        <v>1479140</v>
      </c>
      <c r="N17" s="329">
        <f>IF(C17&lt;&gt;"",IFERROR(AVERAGE(出来高!E100:AC100),""),"")</f>
        <v>1514496</v>
      </c>
      <c r="O17" s="331" t="str">
        <f t="shared" si="1"/>
        <v/>
      </c>
      <c r="P17" s="328" t="str">
        <f t="shared" si="2"/>
        <v/>
      </c>
      <c r="Q17" s="328" t="str">
        <f t="shared" si="3"/>
        <v/>
      </c>
      <c r="R17" s="329" t="str">
        <f t="shared" si="4"/>
        <v/>
      </c>
      <c r="S17" s="329" t="str">
        <f t="shared" si="5"/>
        <v/>
      </c>
      <c r="T17" s="328">
        <f t="shared" si="6"/>
        <v>0</v>
      </c>
      <c r="U17" s="328" t="str">
        <f t="shared" si="7"/>
        <v>除外</v>
      </c>
      <c r="V17" s="328" t="str">
        <f t="shared" si="8"/>
        <v/>
      </c>
      <c r="W17" s="332">
        <f t="array" ref="W17">IFERROR(100-100/(1+SUMPRODUCT((終値!F100:R100&gt;終値!G100:S100)*(終値!F100:R100-終値!G100:S100))/SUMPRODUCT((終値!F100:R100&lt;終値!G100:S100)*(終値!G100:S100-終値!F100:R100))),50)</f>
        <v>56.045340050377831</v>
      </c>
      <c r="X17" s="333">
        <f>IF(C17&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15.586936144467472</v>
      </c>
      <c r="Y17" s="328" t="e">
        <f t="shared" si="9"/>
        <v>#VALUE!</v>
      </c>
      <c r="Z17" s="334" t="str">
        <f t="shared" si="10"/>
        <v/>
      </c>
      <c r="AA17" s="328" t="str">
        <f t="shared" si="11"/>
        <v/>
      </c>
      <c r="AB17" s="329">
        <f>IF(OR(C17="",C17="TOPX",終値!E100=""),"",IFERROR(((終値!E100*0.333)+(終値!F100*0.222)+(終値!G100*0.148)+(終値!H100*0.099)+(終値!I100*0.066))/(0.333+0.222+0.148+0.099+0.066),""))</f>
        <v>2414.5691244239629</v>
      </c>
      <c r="AC17" s="329">
        <f>IF(OR(C17="",C17="TOPX",終値!E100=""),"",IFERROR(SUMPRODUCT((終値!E100:AC100),{0.077,0.071,0.065,0.06,0.055,0.051,0.047,0.043,0.039,0.036,0.033,0.031,0.028,0.026,0.024,0.022,0.02,0.018,0.017,0.016,0.014,0.013,0.012,0.011,0.01})/SUM({0.077,0.071,0.065,0.06,0.055,0.051,0.047,0.043,0.039,0.036,0.033,0.031,0.028,0.026,0.024,0.022,0.02,0.018,0.017,0.016,0.014,0.013,0.012,0.011,0.01}),""))</f>
        <v>2391.6036948748497</v>
      </c>
      <c r="AD17" s="328" t="str">
        <f t="shared" si="12"/>
        <v>パーフェクト▲</v>
      </c>
      <c r="AE17" s="328" t="e">
        <f t="shared" si="13"/>
        <v>#VALUE!</v>
      </c>
      <c r="AF17" t="e">
        <f>IF(T17="","",IF(銘柄管理!$F$5="上昇▲",IF(AND(AD17="下降トレンド▼",OR(AE17="25日戻り売り★",AE17="5日戻り売り○")),"★逆張り売り",IF(AND(AD17="もみ合い→",OR(AE17="25日戻り売り★",AE17="5日戻り売り○")),"○逆張り売り",IF(W17&gt;=70,IF(Z17&lt;0,"◎反落確認","△過熱・様子見"),"相場上昇・見送り"))),IF(AND(T17&gt;=12,AD17="下降トレンド▼"),"★強い売り",IF(T17&gt;=12,"★強い売り",IF(AND(T17&gt;=8,OR(AE17="25日戻り売り★",AE17="5日戻り売り○")),"◎戻り売り",IF(T17&gt;=10,"○売り候補",IF(T17&gt;=6,"△注目",IF(T17&gt;=3,"様子見","見送り"))))))))</f>
        <v>#VALUE!</v>
      </c>
      <c r="AG17">
        <f t="shared" si="14"/>
        <v>0</v>
      </c>
      <c r="AH17">
        <f t="shared" si="15"/>
        <v>0</v>
      </c>
      <c r="AI17" s="376">
        <f t="array" ref="AI17">IF(C17="","",IFERROR((INDEX(終値!$E:$E,MATCH(TEXT(C17,"0"),終値!$A:$A,0))-INDEX(終値!$E:$CZ,MATCH(TEXT(C17,"0"),終値!$A:$A,0),$AN$2))/INDEX(終値!$E:$CZ,MATCH(TEXT(C17,"0"),終値!$A:$A,0),$AN$2)*100,""))</f>
        <v>7.8959074733096086</v>
      </c>
      <c r="AJ17" s="376">
        <f t="array" ref="AJ17">IFERROR((終値!$E$5-INDEX(終値!$E$5:$CZ$5,1,$AN$2))/INDEX(終値!$E$5:$CZ$5,1,$AN$2)*100,"")</f>
        <v>2.31989243802786</v>
      </c>
      <c r="AK17" s="377">
        <f t="shared" si="16"/>
        <v>5.576015035281749</v>
      </c>
      <c r="AL17" s="375">
        <f t="shared" si="17"/>
        <v>-2</v>
      </c>
      <c r="AO17" s="379" t="e">
        <f t="shared" si="18"/>
        <v>#VALUE!</v>
      </c>
      <c r="AP17" s="380" t="e">
        <f t="shared" si="19"/>
        <v>#VALUE!</v>
      </c>
      <c r="AQ17">
        <f>IF(C17&lt;&gt;"",始値!F100,"")</f>
        <v>2382.5</v>
      </c>
      <c r="AR17">
        <f>IF(C17&lt;&gt;"",高値!F100,"")</f>
        <v>2418</v>
      </c>
      <c r="AS17">
        <f>IF(C17&lt;&gt;"",安値!F100,"")</f>
        <v>2364.5</v>
      </c>
      <c r="AT17" t="str">
        <f t="shared" si="20"/>
        <v>通常</v>
      </c>
      <c r="AU17">
        <f t="shared" si="21"/>
        <v>0</v>
      </c>
    </row>
    <row r="18" spans="1:47" ht="14.25" customHeight="1">
      <c r="A18" s="335" t="str">
        <f>IF(銘柄管理!B107&lt;&gt;"",HYPERLINK("https://kabutan.jp/stock/?code="&amp;銘柄管理!B107,"株探"),"")</f>
        <v>株探</v>
      </c>
      <c r="B18" s="215"/>
      <c r="C18" s="478">
        <f>IF(銘柄管理!B107="","",銘柄管理!B107)</f>
        <v>7729</v>
      </c>
      <c r="D18" s="215" t="str">
        <f>IF(銘柄管理!C107="","",銘柄管理!C107)</f>
        <v/>
      </c>
      <c r="E18" s="336" t="str">
        <f>IF(C18&lt;&gt;"",_xll.RssMarket(C18,"現在値"),"")</f>
        <v/>
      </c>
      <c r="F18" s="336" t="str">
        <f>IF(C18&lt;&gt;"",_xll.RssMarket(C18,"始値"),"")</f>
        <v/>
      </c>
      <c r="G18" s="215">
        <f>IF(C18&lt;&gt;"",終値!F107,"")</f>
        <v>19210</v>
      </c>
      <c r="H18" s="336" t="str">
        <f>IF(C18&lt;&gt;"",_xll.RssMarket(C18,"高値"),"")</f>
        <v/>
      </c>
      <c r="I18" s="336" t="str">
        <f>IF(C18&lt;&gt;"",_xll.RssMarket(C18,"安値"),"")</f>
        <v/>
      </c>
      <c r="J18" s="336" t="str">
        <f>IF(C18&lt;&gt;"",_xll.RssMarket(C18,"出来高"),"")</f>
        <v/>
      </c>
      <c r="K18" s="336" t="str">
        <f>IF(C18&lt;&gt;"",_xll.RssMarket(C18,"年初来高値"),"")</f>
        <v/>
      </c>
      <c r="L18" s="337" t="str">
        <f t="shared" si="0"/>
        <v/>
      </c>
      <c r="M18" s="336">
        <f>IF(C18&lt;&gt;"",IFERROR(AVERAGE(出来高!E107:I107),""),"")</f>
        <v>516760</v>
      </c>
      <c r="N18" s="336">
        <f>IF(C18&lt;&gt;"",IFERROR(AVERAGE(出来高!E107:AC107),""),"")</f>
        <v>468424</v>
      </c>
      <c r="O18" s="338" t="str">
        <f t="shared" si="1"/>
        <v/>
      </c>
      <c r="P18" s="215" t="str">
        <f t="shared" si="2"/>
        <v/>
      </c>
      <c r="Q18" s="215" t="str">
        <f t="shared" si="3"/>
        <v/>
      </c>
      <c r="R18" s="336" t="str">
        <f t="shared" si="4"/>
        <v/>
      </c>
      <c r="S18" s="336" t="str">
        <f t="shared" si="5"/>
        <v/>
      </c>
      <c r="T18" s="328">
        <f t="shared" si="6"/>
        <v>0</v>
      </c>
      <c r="U18" s="215" t="str">
        <f t="shared" si="7"/>
        <v>除外</v>
      </c>
      <c r="V18" s="215" t="str">
        <f t="shared" si="8"/>
        <v/>
      </c>
      <c r="W18" s="339">
        <f t="array" ref="W18">IFERROR(100-100/(1+SUMPRODUCT((終値!F107:R107&gt;終値!G107:S107)*(終値!F107:R107-終値!G107:S107))/SUMPRODUCT((終値!F107:R107&lt;終値!G107:S107)*(終値!G107:S107-終値!F107:R107))),50)</f>
        <v>49.377828054298647</v>
      </c>
      <c r="X18" s="340">
        <f>IF(C18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-162.14975581020917</v>
      </c>
      <c r="Y18" s="215" t="e">
        <f t="shared" si="9"/>
        <v>#VALUE!</v>
      </c>
      <c r="Z18" s="341" t="str">
        <f t="shared" si="10"/>
        <v/>
      </c>
      <c r="AA18" s="215" t="str">
        <f t="shared" si="11"/>
        <v/>
      </c>
      <c r="AB18" s="336">
        <f>IF(OR(C18="",C18="TOPX",終値!E107=""),"",IFERROR(((終値!E107*0.333)+(終値!F107*0.222)+(終値!G107*0.148)+(終値!H107*0.099)+(終値!I107*0.066))/(0.333+0.222+0.148+0.099+0.066),""))</f>
        <v>18164.112903225807</v>
      </c>
      <c r="AC18" s="336">
        <f>IF(OR(C18="",C18="TOPX",終値!E107=""),"",IFERROR(SUMPRODUCT((終値!E107:AC107),{0.077,0.071,0.065,0.06,0.055,0.051,0.047,0.043,0.039,0.036,0.033,0.031,0.028,0.026,0.024,0.022,0.02,0.018,0.017,0.016,0.014,0.013,0.012,0.011,0.01})/SUM({0.077,0.071,0.065,0.06,0.055,0.051,0.047,0.043,0.039,0.036,0.033,0.031,0.028,0.026,0.024,0.022,0.02,0.018,0.017,0.016,0.014,0.013,0.012,0.011,0.01}),""))</f>
        <v>18714.433849821209</v>
      </c>
      <c r="AD18" s="215" t="str">
        <f t="shared" si="12"/>
        <v>上昇トレンド▲</v>
      </c>
      <c r="AE18" s="215" t="e">
        <f t="shared" si="13"/>
        <v>#VALUE!</v>
      </c>
      <c r="AF18" t="e">
        <f>IF(T18="","",IF(銘柄管理!$F$5="上昇▲",IF(AND(AD18="下降トレンド▼",OR(AE18="25日戻り売り★",AE18="5日戻り売り○")),"★逆張り売り",IF(AND(AD18="もみ合い→",OR(AE18="25日戻り売り★",AE18="5日戻り売り○")),"○逆張り売り",IF(W18&gt;=70,IF(Z18&lt;0,"◎反落確認","△過熱・様子見"),"相場上昇・見送り"))),IF(AND(T18&gt;=12,AD18="下降トレンド▼"),"★強い売り",IF(T18&gt;=12,"★強い売り",IF(AND(T18&gt;=8,OR(AE18="25日戻り売り★",AE18="5日戻り売り○")),"◎戻り売り",IF(T18&gt;=10,"○売り候補",IF(T18&gt;=6,"△注目",IF(T18&gt;=3,"様子見","見送り"))))))))</f>
        <v>#VALUE!</v>
      </c>
      <c r="AG18">
        <f t="shared" si="14"/>
        <v>0</v>
      </c>
      <c r="AH18">
        <f t="shared" si="15"/>
        <v>0</v>
      </c>
      <c r="AI18" s="376">
        <f t="array" ref="AI18">IF(C18="","",IFERROR((INDEX(終値!$E:$E,MATCH(TEXT(C18,"0"),終値!$A:$A,0))-INDEX(終値!$E:$CZ,MATCH(TEXT(C18,"0"),終値!$A:$A,0),$AN$2))/INDEX(終値!$E:$CZ,MATCH(TEXT(C18,"0"),終値!$A:$A,0),$AN$2)*100,""))</f>
        <v>0.76809453471196454</v>
      </c>
      <c r="AJ18" s="376">
        <f t="array" ref="AJ18">IFERROR((終値!$E$5-INDEX(終値!$E$5:$CZ$5,1,$AN$2))/INDEX(終値!$E$5:$CZ$5,1,$AN$2)*100,"")</f>
        <v>2.31989243802786</v>
      </c>
      <c r="AK18" s="377">
        <f t="shared" si="16"/>
        <v>-1.5517979033158955</v>
      </c>
      <c r="AL18" s="375">
        <f t="shared" si="17"/>
        <v>1</v>
      </c>
      <c r="AO18" s="379" t="e">
        <f t="shared" si="18"/>
        <v>#VALUE!</v>
      </c>
      <c r="AP18" s="380" t="e">
        <f t="shared" si="19"/>
        <v>#VALUE!</v>
      </c>
      <c r="AQ18">
        <f>IF(C18&lt;&gt;"",始値!F107,"")</f>
        <v>18470</v>
      </c>
      <c r="AR18">
        <f>IF(C18&lt;&gt;"",高値!F107,"")</f>
        <v>19210</v>
      </c>
      <c r="AS18">
        <f>IF(C18&lt;&gt;"",安値!F107,"")</f>
        <v>18325</v>
      </c>
      <c r="AT18" t="str">
        <f t="shared" si="20"/>
        <v>通常</v>
      </c>
      <c r="AU18">
        <f t="shared" si="21"/>
        <v>0</v>
      </c>
    </row>
    <row r="19" spans="1:47" ht="14.25" customHeight="1">
      <c r="A19" s="327" t="str">
        <f>IF(銘柄管理!B164&lt;&gt;"",HYPERLINK("https://kabutan.jp/stock/?code="&amp;銘柄管理!B164,"株探"),"")</f>
        <v>株探</v>
      </c>
      <c r="B19" s="328"/>
      <c r="C19" s="477">
        <f>IF(銘柄管理!B164="","",銘柄管理!B164)</f>
        <v>8704</v>
      </c>
      <c r="D19" s="328" t="str">
        <f>IF(銘柄管理!C164="","",銘柄管理!C164)</f>
        <v/>
      </c>
      <c r="E19" s="329" t="str">
        <f>IF(C19&lt;&gt;"",_xll.RssMarket(C19,"現在値"),"")</f>
        <v/>
      </c>
      <c r="F19" s="329" t="str">
        <f>IF(C19&lt;&gt;"",_xll.RssMarket(C19,"始値"),"")</f>
        <v/>
      </c>
      <c r="G19" s="328">
        <f>IF(C19&lt;&gt;"",終値!F164,"")</f>
        <v>1312</v>
      </c>
      <c r="H19" s="329" t="str">
        <f>IF(C19&lt;&gt;"",_xll.RssMarket(C19,"高値"),"")</f>
        <v/>
      </c>
      <c r="I19" s="329" t="str">
        <f>IF(C19&lt;&gt;"",_xll.RssMarket(C19,"安値"),"")</f>
        <v/>
      </c>
      <c r="J19" s="329" t="str">
        <f>IF(C19&lt;&gt;"",_xll.RssMarket(C19,"出来高"),"")</f>
        <v/>
      </c>
      <c r="K19" s="329" t="str">
        <f>IF(C19&lt;&gt;"",_xll.RssMarket(C19,"年初来高値"),"")</f>
        <v/>
      </c>
      <c r="L19" s="330" t="str">
        <f t="shared" si="0"/>
        <v/>
      </c>
      <c r="M19" s="329">
        <f>IF(C19&lt;&gt;"",IFERROR(AVERAGE(出来高!E164:I164),""),"")</f>
        <v>91020</v>
      </c>
      <c r="N19" s="329">
        <f>IF(C19&lt;&gt;"",IFERROR(AVERAGE(出来高!E164:AC164),""),"")</f>
        <v>93032</v>
      </c>
      <c r="O19" s="331" t="str">
        <f t="shared" si="1"/>
        <v/>
      </c>
      <c r="P19" s="328" t="str">
        <f t="shared" si="2"/>
        <v/>
      </c>
      <c r="Q19" s="328" t="str">
        <f t="shared" si="3"/>
        <v/>
      </c>
      <c r="R19" s="329" t="str">
        <f t="shared" si="4"/>
        <v/>
      </c>
      <c r="S19" s="329" t="str">
        <f t="shared" si="5"/>
        <v/>
      </c>
      <c r="T19" s="328">
        <f t="shared" si="6"/>
        <v>0</v>
      </c>
      <c r="U19" s="328" t="str">
        <f t="shared" si="7"/>
        <v>除外</v>
      </c>
      <c r="V19" s="328" t="str">
        <f t="shared" si="8"/>
        <v/>
      </c>
      <c r="W19" s="332">
        <f t="array" ref="W19">IFERROR(100-100/(1+SUMPRODUCT((終値!F164:R164&gt;終値!G164:S164)*(終値!F164:R164-終値!G164:S164))/SUMPRODUCT((終値!F164:R164&lt;終値!G164:S164)*(終値!G164:S164-終値!F164:R164))),50)</f>
        <v>68.249258160237389</v>
      </c>
      <c r="X19" s="333">
        <f>IF(C19&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14.993876348816002</v>
      </c>
      <c r="Y19" s="328" t="e">
        <f t="shared" si="9"/>
        <v>#VALUE!</v>
      </c>
      <c r="Z19" s="334" t="str">
        <f t="shared" si="10"/>
        <v/>
      </c>
      <c r="AA19" s="328" t="str">
        <f t="shared" si="11"/>
        <v/>
      </c>
      <c r="AB19" s="329">
        <f>IF(OR(C19="",C19="TOPX",終値!E164=""),"",IFERROR(((終値!E164*0.333)+(終値!F164*0.222)+(終値!G164*0.148)+(終値!H164*0.099)+(終値!I164*0.066))/(0.333+0.222+0.148+0.099+0.066),""))</f>
        <v>1264.4089861751152</v>
      </c>
      <c r="AC19" s="329">
        <f>IF(OR(C19="",C19="TOPX",終値!E164=""),"",IFERROR(SUMPRODUCT((終値!E164:AC164),{0.077,0.071,0.065,0.06,0.055,0.051,0.047,0.043,0.039,0.036,0.033,0.031,0.028,0.026,0.024,0.022,0.02,0.018,0.017,0.016,0.014,0.013,0.012,0.011,0.01})/SUM({0.077,0.071,0.065,0.06,0.055,0.051,0.047,0.043,0.039,0.036,0.033,0.031,0.028,0.026,0.024,0.022,0.02,0.018,0.017,0.016,0.014,0.013,0.012,0.011,0.01}),""))</f>
        <v>1223.3969010727055</v>
      </c>
      <c r="AD19" s="328" t="str">
        <f t="shared" si="12"/>
        <v>パーフェクト▲</v>
      </c>
      <c r="AE19" s="328" t="e">
        <f t="shared" si="13"/>
        <v>#VALUE!</v>
      </c>
      <c r="AF19" t="e">
        <f>IF(T19="","",IF(銘柄管理!$F$5="上昇▲",IF(AND(AD19="下降トレンド▼",OR(AE19="25日戻り売り★",AE19="5日戻り売り○")),"★逆張り売り",IF(AND(AD19="もみ合い→",OR(AE19="25日戻り売り★",AE19="5日戻り売り○")),"○逆張り売り",IF(W19&gt;=70,IF(Z19&lt;0,"◎反落確認","△過熱・様子見"),"相場上昇・見送り"))),IF(AND(T19&gt;=12,AD19="下降トレンド▼"),"★強い売り",IF(T19&gt;=12,"★強い売り",IF(AND(T19&gt;=8,OR(AE19="25日戻り売り★",AE19="5日戻り売り○")),"◎戻り売り",IF(T19&gt;=10,"○売り候補",IF(T19&gt;=6,"△注目",IF(T19&gt;=3,"様子見","見送り"))))))))</f>
        <v>#VALUE!</v>
      </c>
      <c r="AG19">
        <f t="shared" si="14"/>
        <v>0</v>
      </c>
      <c r="AH19">
        <f t="shared" si="15"/>
        <v>0</v>
      </c>
      <c r="AI19" s="376">
        <f t="array" ref="AI19">IF(C19="","",IFERROR((INDEX(終値!$E:$E,MATCH(TEXT(C19,"0"),終値!$A:$A,0))-INDEX(終値!$E:$CZ,MATCH(TEXT(C19,"0"),終値!$A:$A,0),$AN$2))/INDEX(終値!$E:$CZ,MATCH(TEXT(C19,"0"),終値!$A:$A,0),$AN$2)*100,""))</f>
        <v>10.301953818827709</v>
      </c>
      <c r="AJ19" s="376">
        <f t="array" ref="AJ19">IFERROR((終値!$E$5-INDEX(終値!$E$5:$CZ$5,1,$AN$2))/INDEX(終値!$E$5:$CZ$5,1,$AN$2)*100,"")</f>
        <v>2.31989243802786</v>
      </c>
      <c r="AK19" s="377">
        <f t="shared" si="16"/>
        <v>7.9820613807998484</v>
      </c>
      <c r="AL19" s="375">
        <f t="shared" si="17"/>
        <v>-2</v>
      </c>
      <c r="AO19" s="379" t="e">
        <f t="shared" si="18"/>
        <v>#VALUE!</v>
      </c>
      <c r="AP19" s="380" t="e">
        <f t="shared" si="19"/>
        <v>#VALUE!</v>
      </c>
      <c r="AQ19">
        <f>IF(C19&lt;&gt;"",始値!F164,"")</f>
        <v>1279</v>
      </c>
      <c r="AR19">
        <f>IF(C19&lt;&gt;"",高値!F164,"")</f>
        <v>1314</v>
      </c>
      <c r="AS19">
        <f>IF(C19&lt;&gt;"",安値!F164,"")</f>
        <v>1274</v>
      </c>
      <c r="AT19" t="str">
        <f t="shared" si="20"/>
        <v>通常</v>
      </c>
      <c r="AU19">
        <f t="shared" si="21"/>
        <v>0</v>
      </c>
    </row>
    <row r="20" spans="1:47" ht="14.25" customHeight="1">
      <c r="A20" s="335" t="str">
        <f>IF(銘柄管理!B201&lt;&gt;"",HYPERLINK("https://kabutan.jp/stock/?code="&amp;銘柄管理!B201,"株探"),"")</f>
        <v>株探</v>
      </c>
      <c r="B20" s="215"/>
      <c r="C20" s="478">
        <f>IF(銘柄管理!B201="","",銘柄管理!B201)</f>
        <v>6506</v>
      </c>
      <c r="D20" s="215" t="str">
        <f>IF(銘柄管理!C201="","",銘柄管理!C201)</f>
        <v/>
      </c>
      <c r="E20" s="336" t="str">
        <f>IF(C20&lt;&gt;"",_xll.RssMarket(C20,"現在値"),"")</f>
        <v/>
      </c>
      <c r="F20" s="336" t="str">
        <f>IF(C20&lt;&gt;"",_xll.RssMarket(C20,"始値"),"")</f>
        <v/>
      </c>
      <c r="G20" s="215">
        <f>IF(C20&lt;&gt;"",終値!F201,"")</f>
        <v>5490</v>
      </c>
      <c r="H20" s="336" t="str">
        <f>IF(C20&lt;&gt;"",_xll.RssMarket(C20,"高値"),"")</f>
        <v/>
      </c>
      <c r="I20" s="336" t="str">
        <f>IF(C20&lt;&gt;"",_xll.RssMarket(C20,"安値"),"")</f>
        <v/>
      </c>
      <c r="J20" s="336" t="str">
        <f>IF(C20&lt;&gt;"",_xll.RssMarket(C20,"出来高"),"")</f>
        <v/>
      </c>
      <c r="K20" s="336" t="str">
        <f>IF(C20&lt;&gt;"",_xll.RssMarket(C20,"年初来高値"),"")</f>
        <v/>
      </c>
      <c r="L20" s="337" t="str">
        <f t="shared" si="0"/>
        <v/>
      </c>
      <c r="M20" s="336">
        <f>IF(C20&lt;&gt;"",IFERROR(AVERAGE(出来高!E201:I201),""),"")</f>
        <v>13507660</v>
      </c>
      <c r="N20" s="336">
        <f>IF(C20&lt;&gt;"",IFERROR(AVERAGE(出来高!E201:AC201),""),"")</f>
        <v>6673440</v>
      </c>
      <c r="O20" s="338" t="str">
        <f t="shared" si="1"/>
        <v/>
      </c>
      <c r="P20" s="215" t="str">
        <f t="shared" si="2"/>
        <v/>
      </c>
      <c r="Q20" s="215" t="str">
        <f t="shared" si="3"/>
        <v/>
      </c>
      <c r="R20" s="336" t="str">
        <f t="shared" si="4"/>
        <v/>
      </c>
      <c r="S20" s="336" t="str">
        <f t="shared" si="5"/>
        <v/>
      </c>
      <c r="T20" s="328">
        <f t="shared" si="6"/>
        <v>0</v>
      </c>
      <c r="U20" s="215" t="str">
        <f t="shared" si="7"/>
        <v>除外</v>
      </c>
      <c r="V20" s="215" t="str">
        <f t="shared" si="8"/>
        <v/>
      </c>
      <c r="W20" s="339">
        <f t="array" ref="W20">IFERROR(100-100/(1+SUMPRODUCT((終値!F201:R201&gt;終値!G201:S201)*(終値!F201:R201-終値!G201:S201))/SUMPRODUCT((終値!F201:R201&lt;終値!G201:S201)*(終値!G201:S201-終値!F201:R201))),50)</f>
        <v>31.043535331437312</v>
      </c>
      <c r="X20" s="340">
        <f>IF(C20&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-150.88709157415633</v>
      </c>
      <c r="Y20" s="215" t="e">
        <f t="shared" si="9"/>
        <v>#VALUE!</v>
      </c>
      <c r="Z20" s="341" t="str">
        <f t="shared" si="10"/>
        <v/>
      </c>
      <c r="AA20" s="215" t="str">
        <f t="shared" si="11"/>
        <v/>
      </c>
      <c r="AB20" s="336">
        <f>IF(OR(C20="",C20="TOPX",終値!E201=""),"",IFERROR(((終値!E201*0.333)+(終値!F201*0.222)+(終値!G201*0.148)+(終値!H201*0.099)+(終値!I201*0.066))/(0.333+0.222+0.148+0.099+0.066),""))</f>
        <v>5504.972350230415</v>
      </c>
      <c r="AC20" s="336">
        <f>IF(OR(C20="",C20="TOPX",終値!E201=""),"",IFERROR(SUMPRODUCT((終値!E201:AC201),{0.077,0.071,0.065,0.06,0.055,0.051,0.047,0.043,0.039,0.036,0.033,0.031,0.028,0.026,0.024,0.022,0.02,0.018,0.017,0.016,0.014,0.013,0.012,0.011,0.01})/SUM({0.077,0.071,0.065,0.06,0.055,0.051,0.047,0.043,0.039,0.036,0.033,0.031,0.028,0.026,0.024,0.022,0.02,0.018,0.017,0.016,0.014,0.013,0.012,0.011,0.01}),""))</f>
        <v>6500.1191895113188</v>
      </c>
      <c r="AD20" s="215" t="str">
        <f t="shared" si="12"/>
        <v>上昇トレンド▲</v>
      </c>
      <c r="AE20" s="215" t="e">
        <f t="shared" si="13"/>
        <v>#VALUE!</v>
      </c>
      <c r="AF20" t="e">
        <f>IF(T20="","",IF(銘柄管理!$F$5="上昇▲",IF(AND(AD20="下降トレンド▼",OR(AE20="25日戻り売り★",AE20="5日戻り売り○")),"★逆張り売り",IF(AND(AD20="もみ合い→",OR(AE20="25日戻り売り★",AE20="5日戻り売り○")),"○逆張り売り",IF(W20&gt;=70,IF(Z20&lt;0,"◎反落確認","△過熱・様子見"),"相場上昇・見送り"))),IF(AND(T20&gt;=12,AD20="下降トレンド▼"),"★強い売り",IF(T20&gt;=12,"★強い売り",IF(AND(T20&gt;=8,OR(AE20="25日戻り売り★",AE20="5日戻り売り○")),"◎戻り売り",IF(T20&gt;=10,"○売り候補",IF(T20&gt;=6,"△注目",IF(T20&gt;=3,"様子見","見送り"))))))))</f>
        <v>#VALUE!</v>
      </c>
      <c r="AG20">
        <f t="shared" si="14"/>
        <v>0</v>
      </c>
      <c r="AH20">
        <f t="shared" si="15"/>
        <v>0</v>
      </c>
      <c r="AI20" s="376">
        <f t="array" ref="AI20">IF(C20="","",IFERROR((INDEX(終値!$E:$E,MATCH(TEXT(C20,"0"),終値!$A:$A,0))-INDEX(終値!$E:$CZ,MATCH(TEXT(C20,"0"),終値!$A:$A,0),$AN$2))/INDEX(終値!$E:$CZ,MATCH(TEXT(C20,"0"),終値!$A:$A,0),$AN$2)*100,""))</f>
        <v>-20.373540856031127</v>
      </c>
      <c r="AJ20" s="376">
        <f t="array" ref="AJ20">IFERROR((終値!$E$5-INDEX(終値!$E$5:$CZ$5,1,$AN$2))/INDEX(終値!$E$5:$CZ$5,1,$AN$2)*100,"")</f>
        <v>2.31989243802786</v>
      </c>
      <c r="AK20" s="377">
        <f t="shared" si="16"/>
        <v>-22.693433294058988</v>
      </c>
      <c r="AL20" s="375">
        <f t="shared" si="17"/>
        <v>3</v>
      </c>
      <c r="AO20" s="379" t="e">
        <f t="shared" si="18"/>
        <v>#VALUE!</v>
      </c>
      <c r="AP20" s="380" t="e">
        <f t="shared" si="19"/>
        <v>#VALUE!</v>
      </c>
      <c r="AQ20">
        <f>IF(C20&lt;&gt;"",始値!F201,"")</f>
        <v>5500</v>
      </c>
      <c r="AR20">
        <f>IF(C20&lt;&gt;"",高値!F201,"")</f>
        <v>5569</v>
      </c>
      <c r="AS20">
        <f>IF(C20&lt;&gt;"",安値!F201,"")</f>
        <v>5288</v>
      </c>
      <c r="AT20" t="str">
        <f t="shared" si="20"/>
        <v>通常</v>
      </c>
      <c r="AU20">
        <f t="shared" si="21"/>
        <v>0</v>
      </c>
    </row>
    <row r="21" spans="1:47" ht="14.25" customHeight="1">
      <c r="A21" s="327" t="str">
        <f>IF(銘柄管理!B32&lt;&gt;"",HYPERLINK("https://kabutan.jp/stock/?code="&amp;銘柄管理!B32,"株探"),"")</f>
        <v>株探</v>
      </c>
      <c r="B21" s="328"/>
      <c r="C21" s="477">
        <f>IF(銘柄管理!B32="","",銘柄管理!B32)</f>
        <v>3863</v>
      </c>
      <c r="D21" s="328" t="str">
        <f>IF(銘柄管理!C32="","",銘柄管理!C32)</f>
        <v/>
      </c>
      <c r="E21" s="329" t="str">
        <f>IF(C21&lt;&gt;"",_xll.RssMarket(C21,"現在値"),"")</f>
        <v/>
      </c>
      <c r="F21" s="329" t="str">
        <f>IF(C21&lt;&gt;"",_xll.RssMarket(C21,"始値"),"")</f>
        <v/>
      </c>
      <c r="G21" s="328">
        <f>IF(C21&lt;&gt;"",終値!F32,"")</f>
        <v>1403</v>
      </c>
      <c r="H21" s="329" t="str">
        <f>IF(C21&lt;&gt;"",_xll.RssMarket(C21,"高値"),"")</f>
        <v/>
      </c>
      <c r="I21" s="329" t="str">
        <f>IF(C21&lt;&gt;"",_xll.RssMarket(C21,"安値"),"")</f>
        <v/>
      </c>
      <c r="J21" s="329" t="str">
        <f>IF(C21&lt;&gt;"",_xll.RssMarket(C21,"出来高"),"")</f>
        <v/>
      </c>
      <c r="K21" s="329" t="str">
        <f>IF(C21&lt;&gt;"",_xll.RssMarket(C21,"年初来高値"),"")</f>
        <v/>
      </c>
      <c r="L21" s="330" t="str">
        <f t="shared" si="0"/>
        <v/>
      </c>
      <c r="M21" s="329">
        <f>IF(C21&lt;&gt;"",IFERROR(AVERAGE(出来高!E32:I32),""),"")</f>
        <v>668940</v>
      </c>
      <c r="N21" s="329">
        <f>IF(C21&lt;&gt;"",IFERROR(AVERAGE(出来高!E32:AC32),""),"")</f>
        <v>787840</v>
      </c>
      <c r="O21" s="331" t="str">
        <f t="shared" si="1"/>
        <v/>
      </c>
      <c r="P21" s="328" t="str">
        <f t="shared" si="2"/>
        <v/>
      </c>
      <c r="Q21" s="328" t="str">
        <f t="shared" si="3"/>
        <v/>
      </c>
      <c r="R21" s="329" t="str">
        <f t="shared" si="4"/>
        <v/>
      </c>
      <c r="S21" s="329" t="str">
        <f t="shared" si="5"/>
        <v/>
      </c>
      <c r="T21" s="328">
        <f t="shared" si="6"/>
        <v>0</v>
      </c>
      <c r="U21" s="328" t="str">
        <f t="shared" si="7"/>
        <v>除外</v>
      </c>
      <c r="V21" s="328" t="str">
        <f t="shared" si="8"/>
        <v/>
      </c>
      <c r="W21" s="332">
        <f t="array" ref="W21">IFERROR(100-100/(1+SUMPRODUCT((終値!F32:R32&gt;終値!G32:S32)*(終値!F32:R32-終値!G32:S32))/SUMPRODUCT((終値!F32:R32&lt;終値!G32:S32)*(終値!G32:S32-終値!F32:R32))),50)</f>
        <v>83.404255319148945</v>
      </c>
      <c r="X21" s="333">
        <f>IF(C21&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23.220355916080507</v>
      </c>
      <c r="Y21" s="328" t="e">
        <f t="shared" si="9"/>
        <v>#VALUE!</v>
      </c>
      <c r="Z21" s="334" t="str">
        <f t="shared" si="10"/>
        <v/>
      </c>
      <c r="AA21" s="328" t="str">
        <f t="shared" si="11"/>
        <v/>
      </c>
      <c r="AB21" s="329">
        <f>IF(OR(C21="",C21="TOPX",終値!E32=""),"",IFERROR(((終値!E32*0.333)+(終値!F32*0.222)+(終値!G32*0.148)+(終値!H32*0.099)+(終値!I32*0.066))/(0.333+0.222+0.148+0.099+0.066),""))</f>
        <v>1404.7995391705067</v>
      </c>
      <c r="AC21" s="329">
        <f>IF(OR(C21="",C21="TOPX",終値!E32=""),"",IFERROR(SUMPRODUCT((終値!E32:AC32),{0.077,0.071,0.065,0.06,0.055,0.051,0.047,0.043,0.039,0.036,0.033,0.031,0.028,0.026,0.024,0.022,0.02,0.018,0.017,0.016,0.014,0.013,0.012,0.011,0.01})/SUM({0.077,0.071,0.065,0.06,0.055,0.051,0.047,0.043,0.039,0.036,0.033,0.031,0.028,0.026,0.024,0.022,0.02,0.018,0.017,0.016,0.014,0.013,0.012,0.011,0.01}),""))</f>
        <v>1318.7580452920142</v>
      </c>
      <c r="AD21" s="328" t="str">
        <f t="shared" si="12"/>
        <v>パーフェクト▲</v>
      </c>
      <c r="AE21" s="328" t="e">
        <f t="shared" si="13"/>
        <v>#VALUE!</v>
      </c>
      <c r="AF21" t="e">
        <f>IF(T21="","",IF(銘柄管理!$F$5="上昇▲",IF(AND(AD21="下降トレンド▼",OR(AE21="25日戻り売り★",AE21="5日戻り売り○")),"★逆張り売り",IF(AND(AD21="もみ合い→",OR(AE21="25日戻り売り★",AE21="5日戻り売り○")),"○逆張り売り",IF(W21&gt;=70,IF(Z21&lt;0,"◎反落確認","△過熱・様子見"),"相場上昇・見送り"))),IF(AND(T21&gt;=12,AD21="下降トレンド▼"),"★強い売り",IF(T21&gt;=12,"★強い売り",IF(AND(T21&gt;=8,OR(AE21="25日戻り売り★",AE21="5日戻り売り○")),"◎戻り売り",IF(T21&gt;=10,"○売り候補",IF(T21&gt;=6,"△注目",IF(T21&gt;=3,"様子見","見送り"))))))))</f>
        <v>#VALUE!</v>
      </c>
      <c r="AG21">
        <f t="shared" si="14"/>
        <v>0</v>
      </c>
      <c r="AH21">
        <f t="shared" si="15"/>
        <v>0</v>
      </c>
      <c r="AI21" s="376">
        <f t="array" ref="AI21">IF(C21="","",IFERROR((INDEX(終値!$E:$E,MATCH(TEXT(C21,"0"),終値!$A:$A,0))-INDEX(終値!$E:$CZ,MATCH(TEXT(C21,"0"),終値!$A:$A,0),$AN$2))/INDEX(終値!$E:$CZ,MATCH(TEXT(C21,"0"),終値!$A:$A,0),$AN$2)*100,""))</f>
        <v>16.520351157222667</v>
      </c>
      <c r="AJ21" s="376">
        <f t="array" ref="AJ21">IFERROR((終値!$E$5-INDEX(終値!$E$5:$CZ$5,1,$AN$2))/INDEX(終値!$E$5:$CZ$5,1,$AN$2)*100,"")</f>
        <v>2.31989243802786</v>
      </c>
      <c r="AK21" s="377">
        <f t="shared" si="16"/>
        <v>14.200458719194806</v>
      </c>
      <c r="AL21" s="375">
        <f t="shared" si="17"/>
        <v>-2</v>
      </c>
      <c r="AO21" s="379" t="e">
        <f t="shared" si="18"/>
        <v>#VALUE!</v>
      </c>
      <c r="AP21" s="380" t="e">
        <f t="shared" si="19"/>
        <v>#VALUE!</v>
      </c>
      <c r="AQ21">
        <f>IF(C21&lt;&gt;"",始値!F32,"")</f>
        <v>1378</v>
      </c>
      <c r="AR21">
        <f>IF(C21&lt;&gt;"",高値!F32,"")</f>
        <v>1404</v>
      </c>
      <c r="AS21">
        <f>IF(C21&lt;&gt;"",安値!F32,"")</f>
        <v>1344</v>
      </c>
      <c r="AT21" t="str">
        <f t="shared" si="20"/>
        <v>長い下ヒゲ(反発)</v>
      </c>
      <c r="AU21">
        <f t="shared" si="21"/>
        <v>-2</v>
      </c>
    </row>
    <row r="22" spans="1:47" ht="14.25" customHeight="1">
      <c r="A22" s="335" t="str">
        <f>IF(銘柄管理!B56&lt;&gt;"",HYPERLINK("https://kabutan.jp/stock/?code="&amp;銘柄管理!B56,"株探"),"")</f>
        <v>株探</v>
      </c>
      <c r="B22" s="215"/>
      <c r="C22" s="478">
        <f>IF(銘柄管理!B56="","",銘柄管理!B56)</f>
        <v>9412</v>
      </c>
      <c r="D22" s="215" t="str">
        <f>IF(銘柄管理!C56="","",銘柄管理!C56)</f>
        <v/>
      </c>
      <c r="E22" s="336" t="str">
        <f>IF(C22&lt;&gt;"",_xll.RssMarket(C22,"現在値"),"")</f>
        <v/>
      </c>
      <c r="F22" s="336" t="str">
        <f>IF(C22&lt;&gt;"",_xll.RssMarket(C22,"始値"),"")</f>
        <v/>
      </c>
      <c r="G22" s="215">
        <f>IF(C22&lt;&gt;"",終値!F56,"")</f>
        <v>2435</v>
      </c>
      <c r="H22" s="336" t="str">
        <f>IF(C22&lt;&gt;"",_xll.RssMarket(C22,"高値"),"")</f>
        <v/>
      </c>
      <c r="I22" s="336" t="str">
        <f>IF(C22&lt;&gt;"",_xll.RssMarket(C22,"安値"),"")</f>
        <v/>
      </c>
      <c r="J22" s="336" t="str">
        <f>IF(C22&lt;&gt;"",_xll.RssMarket(C22,"出来高"),"")</f>
        <v/>
      </c>
      <c r="K22" s="336" t="str">
        <f>IF(C22&lt;&gt;"",_xll.RssMarket(C22,"年初来高値"),"")</f>
        <v/>
      </c>
      <c r="L22" s="337" t="str">
        <f t="shared" si="0"/>
        <v/>
      </c>
      <c r="M22" s="336">
        <f>IF(C22&lt;&gt;"",IFERROR(AVERAGE(出来高!E56:I56),""),"")</f>
        <v>2108640</v>
      </c>
      <c r="N22" s="336">
        <f>IF(C22&lt;&gt;"",IFERROR(AVERAGE(出来高!E56:AC56),""),"")</f>
        <v>3596484</v>
      </c>
      <c r="O22" s="338" t="str">
        <f t="shared" si="1"/>
        <v/>
      </c>
      <c r="P22" s="215" t="str">
        <f t="shared" si="2"/>
        <v/>
      </c>
      <c r="Q22" s="215" t="str">
        <f t="shared" si="3"/>
        <v/>
      </c>
      <c r="R22" s="336" t="str">
        <f t="shared" si="4"/>
        <v/>
      </c>
      <c r="S22" s="336" t="str">
        <f t="shared" si="5"/>
        <v/>
      </c>
      <c r="T22" s="328">
        <f t="shared" si="6"/>
        <v>0</v>
      </c>
      <c r="U22" s="215" t="str">
        <f t="shared" si="7"/>
        <v>除外</v>
      </c>
      <c r="V22" s="215" t="str">
        <f t="shared" si="8"/>
        <v/>
      </c>
      <c r="W22" s="339">
        <f t="array" ref="W22">IFERROR(100-100/(1+SUMPRODUCT((終値!F56:R56&gt;終値!G56:S56)*(終値!F56:R56-終値!G56:S56))/SUMPRODUCT((終値!F56:R56&lt;終値!G56:S56)*(終値!G56:S56-終値!F56:R56))),50)</f>
        <v>42.220019821605554</v>
      </c>
      <c r="X22" s="340">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-70.851155672486129</v>
      </c>
      <c r="Y22" s="215" t="e">
        <f t="shared" si="9"/>
        <v>#VALUE!</v>
      </c>
      <c r="Z22" s="341" t="str">
        <f t="shared" si="10"/>
        <v/>
      </c>
      <c r="AA22" s="215" t="str">
        <f t="shared" si="11"/>
        <v/>
      </c>
      <c r="AB22" s="336">
        <f>IF(OR(C22="",C22="TOPX",終値!E56=""),"",IFERROR(((終値!E56*0.333)+(終値!F56*0.222)+(終値!G56*0.148)+(終値!H56*0.099)+(終値!I56*0.066))/(0.333+0.222+0.148+0.099+0.066),""))</f>
        <v>2395.3824884792625</v>
      </c>
      <c r="AC22" s="336">
        <f>IF(OR(C22="",C22="TOPX",終値!E56=""),"",IFERROR(SUMPRODUCT((終値!E56:AC56),{0.077,0.071,0.065,0.06,0.055,0.051,0.047,0.043,0.039,0.036,0.033,0.031,0.028,0.026,0.024,0.022,0.02,0.018,0.017,0.016,0.014,0.013,0.012,0.011,0.01})/SUM({0.077,0.071,0.065,0.06,0.055,0.051,0.047,0.043,0.039,0.036,0.033,0.031,0.028,0.026,0.024,0.022,0.02,0.018,0.017,0.016,0.014,0.013,0.012,0.011,0.01}),""))</f>
        <v>2642.5935637663874</v>
      </c>
      <c r="AD22" s="215" t="str">
        <f t="shared" si="12"/>
        <v>上昇トレンド▲</v>
      </c>
      <c r="AE22" s="215" t="e">
        <f t="shared" si="13"/>
        <v>#VALUE!</v>
      </c>
      <c r="AF22" t="e">
        <f>IF(T22="","",IF(銘柄管理!$F$5="上昇▲",IF(AND(AD22="下降トレンド▼",OR(AE22="25日戻り売り★",AE22="5日戻り売り○")),"★逆張り売り",IF(AND(AD22="もみ合い→",OR(AE22="25日戻り売り★",AE22="5日戻り売り○")),"○逆張り売り",IF(W22&gt;=70,IF(Z22&lt;0,"◎反落確認","△過熱・様子見"),"相場上昇・見送り"))),IF(AND(T22&gt;=12,AD22="下降トレンド▼"),"★強い売り",IF(T22&gt;=12,"★強い売り",IF(AND(T22&gt;=8,OR(AE22="25日戻り売り★",AE22="5日戻り売り○")),"◎戻り売り",IF(T22&gt;=10,"○売り候補",IF(T22&gt;=6,"△注目",IF(T22&gt;=3,"様子見","見送り"))))))))</f>
        <v>#VALUE!</v>
      </c>
      <c r="AG22">
        <f t="shared" si="14"/>
        <v>0</v>
      </c>
      <c r="AH22">
        <f t="shared" si="15"/>
        <v>0</v>
      </c>
      <c r="AI22" s="376">
        <f t="array" ref="AI22">IF(C22="","",IFERROR((INDEX(終値!$E:$E,MATCH(TEXT(C22,"0"),終値!$A:$A,0))-INDEX(終値!$E:$CZ,MATCH(TEXT(C22,"0"),終値!$A:$A,0),$AN$2))/INDEX(終値!$E:$CZ,MATCH(TEXT(C22,"0"),終値!$A:$A,0),$AN$2)*100,""))</f>
        <v>-34.849785407725321</v>
      </c>
      <c r="AJ22" s="376">
        <f t="array" ref="AJ22">IFERROR((終値!$E$5-INDEX(終値!$E$5:$CZ$5,1,$AN$2))/INDEX(終値!$E$5:$CZ$5,1,$AN$2)*100,"")</f>
        <v>2.31989243802786</v>
      </c>
      <c r="AK22" s="377">
        <f t="shared" si="16"/>
        <v>-37.169677845753178</v>
      </c>
      <c r="AL22" s="375">
        <f t="shared" si="17"/>
        <v>3</v>
      </c>
      <c r="AO22" s="379" t="e">
        <f t="shared" si="18"/>
        <v>#VALUE!</v>
      </c>
      <c r="AP22" s="380" t="e">
        <f t="shared" si="19"/>
        <v>#VALUE!</v>
      </c>
      <c r="AQ22">
        <f>IF(C22&lt;&gt;"",始値!F56,"")</f>
        <v>2468</v>
      </c>
      <c r="AR22">
        <f>IF(C22&lt;&gt;"",高値!F56,"")</f>
        <v>2485</v>
      </c>
      <c r="AS22">
        <f>IF(C22&lt;&gt;"",安値!F56,"")</f>
        <v>2417</v>
      </c>
      <c r="AT22" t="str">
        <f t="shared" si="20"/>
        <v>通常</v>
      </c>
      <c r="AU22">
        <f t="shared" si="21"/>
        <v>0</v>
      </c>
    </row>
    <row r="23" spans="1:47" ht="14.25" customHeight="1">
      <c r="A23" s="327" t="str">
        <f>IF(銘柄管理!B76&lt;&gt;"",HYPERLINK("https://kabutan.jp/stock/?code="&amp;銘柄管理!B76,"株探"),"")</f>
        <v>株探</v>
      </c>
      <c r="B23" s="328"/>
      <c r="C23" s="477">
        <f>IF(銘柄管理!B76="","",銘柄管理!B76)</f>
        <v>2802</v>
      </c>
      <c r="D23" s="328" t="str">
        <f>IF(銘柄管理!C76="","",銘柄管理!C76)</f>
        <v/>
      </c>
      <c r="E23" s="329" t="str">
        <f>IF(C23&lt;&gt;"",_xll.RssMarket(C23,"現在値"),"")</f>
        <v/>
      </c>
      <c r="F23" s="329" t="str">
        <f>IF(C23&lt;&gt;"",_xll.RssMarket(C23,"始値"),"")</f>
        <v/>
      </c>
      <c r="G23" s="328">
        <f>IF(C23&lt;&gt;"",終値!F76,"")</f>
        <v>5606</v>
      </c>
      <c r="H23" s="329" t="str">
        <f>IF(C23&lt;&gt;"",_xll.RssMarket(C23,"高値"),"")</f>
        <v/>
      </c>
      <c r="I23" s="329" t="str">
        <f>IF(C23&lt;&gt;"",_xll.RssMarket(C23,"安値"),"")</f>
        <v/>
      </c>
      <c r="J23" s="329" t="str">
        <f>IF(C23&lt;&gt;"",_xll.RssMarket(C23,"出来高"),"")</f>
        <v/>
      </c>
      <c r="K23" s="329" t="str">
        <f>IF(C23&lt;&gt;"",_xll.RssMarket(C23,"年初来高値"),"")</f>
        <v/>
      </c>
      <c r="L23" s="330" t="str">
        <f t="shared" si="0"/>
        <v/>
      </c>
      <c r="M23" s="329">
        <f>IF(C23&lt;&gt;"",IFERROR(AVERAGE(出来高!E76:I76),""),"")</f>
        <v>3436840</v>
      </c>
      <c r="N23" s="329">
        <f>IF(C23&lt;&gt;"",IFERROR(AVERAGE(出来高!E76:AC76),""),"")</f>
        <v>5282248</v>
      </c>
      <c r="O23" s="331" t="str">
        <f t="shared" si="1"/>
        <v/>
      </c>
      <c r="P23" s="328" t="str">
        <f t="shared" si="2"/>
        <v/>
      </c>
      <c r="Q23" s="328" t="str">
        <f t="shared" si="3"/>
        <v/>
      </c>
      <c r="R23" s="329" t="str">
        <f t="shared" si="4"/>
        <v/>
      </c>
      <c r="S23" s="329" t="str">
        <f t="shared" si="5"/>
        <v/>
      </c>
      <c r="T23" s="328">
        <f t="shared" si="6"/>
        <v>0</v>
      </c>
      <c r="U23" s="328" t="str">
        <f t="shared" si="7"/>
        <v>除外</v>
      </c>
      <c r="V23" s="328" t="str">
        <f t="shared" si="8"/>
        <v/>
      </c>
      <c r="W23" s="332">
        <f t="array" ref="W23">IFERROR(100-100/(1+SUMPRODUCT((終値!F76:R76&gt;終値!G76:S76)*(終値!F76:R76-終値!G76:S76))/SUMPRODUCT((終値!F76:R76&lt;終値!G76:S76)*(終値!G76:S76-終値!F76:R76))),50)</f>
        <v>45.258019525801956</v>
      </c>
      <c r="X23" s="333">
        <f>IF(C23&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6.3080692090034063</v>
      </c>
      <c r="Y23" s="328" t="e">
        <f t="shared" si="9"/>
        <v>#VALUE!</v>
      </c>
      <c r="Z23" s="334" t="str">
        <f t="shared" si="10"/>
        <v/>
      </c>
      <c r="AA23" s="328" t="str">
        <f t="shared" si="11"/>
        <v/>
      </c>
      <c r="AB23" s="329">
        <f>IF(OR(C23="",C23="TOPX",終値!E76=""),"",IFERROR(((終値!E76*0.333)+(終値!F76*0.222)+(終値!G76*0.148)+(終値!H76*0.099)+(終値!I76*0.066))/(0.333+0.222+0.148+0.099+0.066),""))</f>
        <v>5466.9965437788014</v>
      </c>
      <c r="AC23" s="329">
        <f>IF(OR(C23="",C23="TOPX",終値!E76=""),"",IFERROR(SUMPRODUCT((終値!E76:AC76),{0.077,0.071,0.065,0.06,0.055,0.051,0.047,0.043,0.039,0.036,0.033,0.031,0.028,0.026,0.024,0.022,0.02,0.018,0.017,0.016,0.014,0.013,0.012,0.011,0.01})/SUM({0.077,0.071,0.065,0.06,0.055,0.051,0.047,0.043,0.039,0.036,0.033,0.031,0.028,0.026,0.024,0.022,0.02,0.018,0.017,0.016,0.014,0.013,0.012,0.011,0.01}),""))</f>
        <v>5674.8355184743732</v>
      </c>
      <c r="AD23" s="328" t="str">
        <f t="shared" si="12"/>
        <v>上昇トレンド▲</v>
      </c>
      <c r="AE23" s="328" t="e">
        <f t="shared" si="13"/>
        <v>#VALUE!</v>
      </c>
      <c r="AF23" t="e">
        <f>IF(T23="","",IF(銘柄管理!$F$5="上昇▲",IF(AND(AD23="下降トレンド▼",OR(AE23="25日戻り売り★",AE23="5日戻り売り○")),"★逆張り売り",IF(AND(AD23="もみ合い→",OR(AE23="25日戻り売り★",AE23="5日戻り売り○")),"○逆張り売り",IF(W23&gt;=70,IF(Z23&lt;0,"◎反落確認","△過熱・様子見"),"相場上昇・見送り"))),IF(AND(T23&gt;=12,AD23="下降トレンド▼"),"★強い売り",IF(T23&gt;=12,"★強い売り",IF(AND(T23&gt;=8,OR(AE23="25日戻り売り★",AE23="5日戻り売り○")),"◎戻り売り",IF(T23&gt;=10,"○売り候補",IF(T23&gt;=6,"△注目",IF(T23&gt;=3,"様子見","見送り"))))))))</f>
        <v>#VALUE!</v>
      </c>
      <c r="AG23">
        <f t="shared" si="14"/>
        <v>0</v>
      </c>
      <c r="AH23">
        <f t="shared" si="15"/>
        <v>0</v>
      </c>
      <c r="AI23" s="376">
        <f t="array" ref="AI23">IF(C23="","",IFERROR((INDEX(終値!$E:$E,MATCH(TEXT(C23,"0"),終値!$A:$A,0))-INDEX(終値!$E:$CZ,MATCH(TEXT(C23,"0"),終値!$A:$A,0),$AN$2))/INDEX(終値!$E:$CZ,MATCH(TEXT(C23,"0"),終値!$A:$A,0),$AN$2)*100,""))</f>
        <v>8.0732417811069492</v>
      </c>
      <c r="AJ23" s="376">
        <f t="array" ref="AJ23">IFERROR((終値!$E$5-INDEX(終値!$E$5:$CZ$5,1,$AN$2))/INDEX(終値!$E$5:$CZ$5,1,$AN$2)*100,"")</f>
        <v>2.31989243802786</v>
      </c>
      <c r="AK23" s="377">
        <f t="shared" si="16"/>
        <v>5.7533493430790887</v>
      </c>
      <c r="AL23" s="375">
        <f t="shared" si="17"/>
        <v>-2</v>
      </c>
      <c r="AO23" s="379" t="e">
        <f t="shared" si="18"/>
        <v>#VALUE!</v>
      </c>
      <c r="AP23" s="380" t="e">
        <f t="shared" si="19"/>
        <v>#VALUE!</v>
      </c>
      <c r="AQ23">
        <f>IF(C23&lt;&gt;"",始値!F76,"")</f>
        <v>5698</v>
      </c>
      <c r="AR23">
        <f>IF(C23&lt;&gt;"",高値!F76,"")</f>
        <v>5700</v>
      </c>
      <c r="AS23">
        <f>IF(C23&lt;&gt;"",安値!F76,"")</f>
        <v>5536</v>
      </c>
      <c r="AT23" t="str">
        <f t="shared" si="20"/>
        <v>通常</v>
      </c>
      <c r="AU23">
        <f t="shared" si="21"/>
        <v>0</v>
      </c>
    </row>
    <row r="24" spans="1:47" ht="14.25" customHeight="1">
      <c r="A24" s="335" t="str">
        <f>IF(銘柄管理!B79&lt;&gt;"",HYPERLINK("https://kabutan.jp/stock/?code="&amp;銘柄管理!B79,"株探"),"")</f>
        <v>株探</v>
      </c>
      <c r="B24" s="215"/>
      <c r="C24" s="478">
        <f>IF(銘柄管理!B79="","",銘柄管理!B79)</f>
        <v>6479</v>
      </c>
      <c r="D24" s="215" t="str">
        <f>IF(銘柄管理!C79="","",銘柄管理!C79)</f>
        <v/>
      </c>
      <c r="E24" s="336" t="str">
        <f>IF(C24&lt;&gt;"",_xll.RssMarket(C24,"現在値"),"")</f>
        <v/>
      </c>
      <c r="F24" s="336" t="str">
        <f>IF(C24&lt;&gt;"",_xll.RssMarket(C24,"始値"),"")</f>
        <v/>
      </c>
      <c r="G24" s="215">
        <f>IF(C24&lt;&gt;"",終値!F79,"")</f>
        <v>4185</v>
      </c>
      <c r="H24" s="336" t="str">
        <f>IF(C24&lt;&gt;"",_xll.RssMarket(C24,"高値"),"")</f>
        <v/>
      </c>
      <c r="I24" s="336" t="str">
        <f>IF(C24&lt;&gt;"",_xll.RssMarket(C24,"安値"),"")</f>
        <v/>
      </c>
      <c r="J24" s="336" t="str">
        <f>IF(C24&lt;&gt;"",_xll.RssMarket(C24,"出来高"),"")</f>
        <v/>
      </c>
      <c r="K24" s="336" t="str">
        <f>IF(C24&lt;&gt;"",_xll.RssMarket(C24,"年初来高値"),"")</f>
        <v/>
      </c>
      <c r="L24" s="337" t="str">
        <f t="shared" si="0"/>
        <v/>
      </c>
      <c r="M24" s="336">
        <f>IF(C24&lt;&gt;"",IFERROR(AVERAGE(出来高!E79:I79),""),"")</f>
        <v>3276940</v>
      </c>
      <c r="N24" s="336">
        <f>IF(C24&lt;&gt;"",IFERROR(AVERAGE(出来高!E79:AC79),""),"")</f>
        <v>3934296</v>
      </c>
      <c r="O24" s="338" t="str">
        <f t="shared" si="1"/>
        <v/>
      </c>
      <c r="P24" s="215" t="str">
        <f t="shared" si="2"/>
        <v/>
      </c>
      <c r="Q24" s="215" t="str">
        <f t="shared" si="3"/>
        <v/>
      </c>
      <c r="R24" s="336" t="str">
        <f t="shared" si="4"/>
        <v/>
      </c>
      <c r="S24" s="336" t="str">
        <f t="shared" si="5"/>
        <v/>
      </c>
      <c r="T24" s="328">
        <f t="shared" si="6"/>
        <v>0</v>
      </c>
      <c r="U24" s="215" t="str">
        <f t="shared" si="7"/>
        <v>除外</v>
      </c>
      <c r="V24" s="215" t="str">
        <f t="shared" si="8"/>
        <v/>
      </c>
      <c r="W24" s="339">
        <f t="array" ref="W24">IFERROR(100-100/(1+SUMPRODUCT((終値!F79:R79&gt;終値!G79:S79)*(終値!F79:R79-終値!G79:S79))/SUMPRODUCT((終値!F79:R79&lt;終値!G79:S79)*(終値!G79:S79-終値!F79:R79))),50)</f>
        <v>24.007839294463494</v>
      </c>
      <c r="X24" s="340">
        <f>IF(C24&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-95.076904859514798</v>
      </c>
      <c r="Y24" s="215" t="e">
        <f t="shared" si="9"/>
        <v>#VALUE!</v>
      </c>
      <c r="Z24" s="341" t="str">
        <f t="shared" si="10"/>
        <v/>
      </c>
      <c r="AA24" s="215" t="str">
        <f t="shared" si="11"/>
        <v/>
      </c>
      <c r="AB24" s="336">
        <f>IF(OR(C24="",C24="TOPX",終値!E79=""),"",IFERROR(((終値!E79*0.333)+(終値!F79*0.222)+(終値!G79*0.148)+(終値!H79*0.099)+(終値!I79*0.066))/(0.333+0.222+0.148+0.099+0.066),""))</f>
        <v>4052.2937788018435</v>
      </c>
      <c r="AC24" s="336">
        <f>IF(OR(C24="",C24="TOPX",終値!E79=""),"",IFERROR(SUMPRODUCT((終値!E79:AC79),{0.077,0.071,0.065,0.06,0.055,0.051,0.047,0.043,0.039,0.036,0.033,0.031,0.028,0.026,0.024,0.022,0.02,0.018,0.017,0.016,0.014,0.013,0.012,0.011,0.01})/SUM({0.077,0.071,0.065,0.06,0.055,0.051,0.047,0.043,0.039,0.036,0.033,0.031,0.028,0.026,0.024,0.022,0.02,0.018,0.017,0.016,0.014,0.013,0.012,0.011,0.01}),""))</f>
        <v>4462.0882002383778</v>
      </c>
      <c r="AD24" s="215" t="str">
        <f t="shared" si="12"/>
        <v>上昇トレンド▲</v>
      </c>
      <c r="AE24" s="215" t="e">
        <f t="shared" si="13"/>
        <v>#VALUE!</v>
      </c>
      <c r="AF24" t="e">
        <f>IF(T24="","",IF(銘柄管理!$F$5="上昇▲",IF(AND(AD24="下降トレンド▼",OR(AE24="25日戻り売り★",AE24="5日戻り売り○")),"★逆張り売り",IF(AND(AD24="もみ合い→",OR(AE24="25日戻り売り★",AE24="5日戻り売り○")),"○逆張り売り",IF(W24&gt;=70,IF(Z24&lt;0,"◎反落確認","△過熱・様子見"),"相場上昇・見送り"))),IF(AND(T24&gt;=12,AD24="下降トレンド▼"),"★強い売り",IF(T24&gt;=12,"★強い売り",IF(AND(T24&gt;=8,OR(AE24="25日戻り売り★",AE24="5日戻り売り○")),"◎戻り売り",IF(T24&gt;=10,"○売り候補",IF(T24&gt;=6,"△注目",IF(T24&gt;=3,"様子見","見送り"))))))))</f>
        <v>#VALUE!</v>
      </c>
      <c r="AG24">
        <f t="shared" si="14"/>
        <v>0</v>
      </c>
      <c r="AH24">
        <f t="shared" si="15"/>
        <v>0</v>
      </c>
      <c r="AI24" s="376">
        <f t="array" ref="AI24">IF(C24="","",IFERROR((INDEX(終値!$E:$E,MATCH(TEXT(C24,"0"),終値!$A:$A,0))-INDEX(終値!$E:$CZ,MATCH(TEXT(C24,"0"),終値!$A:$A,0),$AN$2))/INDEX(終値!$E:$CZ,MATCH(TEXT(C24,"0"),終値!$A:$A,0),$AN$2)*100,""))</f>
        <v>-15.948086229652441</v>
      </c>
      <c r="AJ24" s="376">
        <f t="array" ref="AJ24">IFERROR((終値!$E$5-INDEX(終値!$E$5:$CZ$5,1,$AN$2))/INDEX(終値!$E$5:$CZ$5,1,$AN$2)*100,"")</f>
        <v>2.31989243802786</v>
      </c>
      <c r="AK24" s="377">
        <f t="shared" si="16"/>
        <v>-18.2679786676803</v>
      </c>
      <c r="AL24" s="375">
        <f t="shared" si="17"/>
        <v>3</v>
      </c>
      <c r="AO24" s="379" t="e">
        <f t="shared" si="18"/>
        <v>#VALUE!</v>
      </c>
      <c r="AP24" s="380" t="e">
        <f t="shared" si="19"/>
        <v>#VALUE!</v>
      </c>
      <c r="AQ24">
        <f>IF(C24&lt;&gt;"",始値!F79,"")</f>
        <v>4177</v>
      </c>
      <c r="AR24">
        <f>IF(C24&lt;&gt;"",高値!F79,"")</f>
        <v>4216</v>
      </c>
      <c r="AS24">
        <f>IF(C24&lt;&gt;"",安値!F79,"")</f>
        <v>4120</v>
      </c>
      <c r="AT24" t="str">
        <f t="shared" si="20"/>
        <v>通常</v>
      </c>
      <c r="AU24">
        <f t="shared" si="21"/>
        <v>0</v>
      </c>
    </row>
    <row r="25" spans="1:47" ht="14.25" customHeight="1">
      <c r="A25" s="327" t="str">
        <f>IF(銘柄管理!B92&lt;&gt;"",HYPERLINK("https://kabutan.jp/stock/?code="&amp;銘柄管理!B92,"株探"),"")</f>
        <v>株探</v>
      </c>
      <c r="B25" s="328"/>
      <c r="C25" s="477">
        <f>IF(銘柄管理!B92="","",銘柄管理!B92)</f>
        <v>6134</v>
      </c>
      <c r="D25" s="328" t="str">
        <f>IF(銘柄管理!C92="","",銘柄管理!C92)</f>
        <v/>
      </c>
      <c r="E25" s="329" t="str">
        <f>IF(C25&lt;&gt;"",_xll.RssMarket(C25,"現在値"),"")</f>
        <v/>
      </c>
      <c r="F25" s="329" t="str">
        <f>IF(C25&lt;&gt;"",_xll.RssMarket(C25,"始値"),"")</f>
        <v/>
      </c>
      <c r="G25" s="328">
        <f>IF(C25&lt;&gt;"",終値!F92,"")</f>
        <v>8020</v>
      </c>
      <c r="H25" s="329" t="str">
        <f>IF(C25&lt;&gt;"",_xll.RssMarket(C25,"高値"),"")</f>
        <v/>
      </c>
      <c r="I25" s="329" t="str">
        <f>IF(C25&lt;&gt;"",_xll.RssMarket(C25,"安値"),"")</f>
        <v/>
      </c>
      <c r="J25" s="329" t="str">
        <f>IF(C25&lt;&gt;"",_xll.RssMarket(C25,"出来高"),"")</f>
        <v/>
      </c>
      <c r="K25" s="329" t="str">
        <f>IF(C25&lt;&gt;"",_xll.RssMarket(C25,"年初来高値"),"")</f>
        <v/>
      </c>
      <c r="L25" s="330" t="str">
        <f t="shared" si="0"/>
        <v/>
      </c>
      <c r="M25" s="329">
        <f>IF(C25&lt;&gt;"",IFERROR(AVERAGE(出来高!E92:I92),""),"")</f>
        <v>867640</v>
      </c>
      <c r="N25" s="329">
        <f>IF(C25&lt;&gt;"",IFERROR(AVERAGE(出来高!E92:AC92),""),"")</f>
        <v>763384</v>
      </c>
      <c r="O25" s="331" t="str">
        <f t="shared" si="1"/>
        <v/>
      </c>
      <c r="P25" s="328" t="str">
        <f t="shared" si="2"/>
        <v/>
      </c>
      <c r="Q25" s="328" t="str">
        <f t="shared" si="3"/>
        <v/>
      </c>
      <c r="R25" s="329" t="str">
        <f t="shared" si="4"/>
        <v/>
      </c>
      <c r="S25" s="329" t="str">
        <f t="shared" si="5"/>
        <v/>
      </c>
      <c r="T25" s="328">
        <f t="shared" si="6"/>
        <v>0</v>
      </c>
      <c r="U25" s="328" t="str">
        <f t="shared" si="7"/>
        <v>除外</v>
      </c>
      <c r="V25" s="328" t="str">
        <f t="shared" si="8"/>
        <v/>
      </c>
      <c r="W25" s="332">
        <f t="array" ref="W25">IFERROR(100-100/(1+SUMPRODUCT((終値!F92:R92&gt;終値!G92:S92)*(終値!F92:R92-終値!G92:S92))/SUMPRODUCT((終値!F92:R92&lt;終値!G92:S92)*(終値!G92:S92-終値!F92:R92))),50)</f>
        <v>45.50618786772165</v>
      </c>
      <c r="X25" s="333">
        <f>IF(C25&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-37.2526279757476</v>
      </c>
      <c r="Y25" s="328" t="e">
        <f t="shared" si="9"/>
        <v>#VALUE!</v>
      </c>
      <c r="Z25" s="334" t="str">
        <f t="shared" si="10"/>
        <v/>
      </c>
      <c r="AA25" s="328" t="str">
        <f t="shared" si="11"/>
        <v/>
      </c>
      <c r="AB25" s="329">
        <f>IF(OR(C25="",C25="TOPX",終値!E92=""),"",IFERROR(((終値!E92*0.333)+(終値!F92*0.222)+(終値!G92*0.148)+(終値!H92*0.099)+(終値!I92*0.066))/(0.333+0.222+0.148+0.099+0.066),""))</f>
        <v>7670.0656682027638</v>
      </c>
      <c r="AC25" s="329">
        <f>IF(OR(C25="",C25="TOPX",終値!E92=""),"",IFERROR(SUMPRODUCT((終値!E92:AC92),{0.077,0.071,0.065,0.06,0.055,0.051,0.047,0.043,0.039,0.036,0.033,0.031,0.028,0.026,0.024,0.022,0.02,0.018,0.017,0.016,0.014,0.013,0.012,0.011,0.01})/SUM({0.077,0.071,0.065,0.06,0.055,0.051,0.047,0.043,0.039,0.036,0.033,0.031,0.028,0.026,0.024,0.022,0.02,0.018,0.017,0.016,0.014,0.013,0.012,0.011,0.01}),""))</f>
        <v>8033.5184743742529</v>
      </c>
      <c r="AD25" s="328" t="str">
        <f t="shared" si="12"/>
        <v>上昇トレンド▲</v>
      </c>
      <c r="AE25" s="328" t="e">
        <f t="shared" si="13"/>
        <v>#VALUE!</v>
      </c>
      <c r="AF25" t="e">
        <f>IF(T25="","",IF(銘柄管理!$F$5="上昇▲",IF(AND(AD25="下降トレンド▼",OR(AE25="25日戻り売り★",AE25="5日戻り売り○")),"★逆張り売り",IF(AND(AD25="もみ合い→",OR(AE25="25日戻り売り★",AE25="5日戻り売り○")),"○逆張り売り",IF(W25&gt;=70,IF(Z25&lt;0,"◎反落確認","△過熱・様子見"),"相場上昇・見送り"))),IF(AND(T25&gt;=12,AD25="下降トレンド▼"),"★強い売り",IF(T25&gt;=12,"★強い売り",IF(AND(T25&gt;=8,OR(AE25="25日戻り売り★",AE25="5日戻り売り○")),"◎戻り売り",IF(T25&gt;=10,"○売り候補",IF(T25&gt;=6,"△注目",IF(T25&gt;=3,"様子見","見送り"))))))))</f>
        <v>#VALUE!</v>
      </c>
      <c r="AG25">
        <f t="shared" si="14"/>
        <v>0</v>
      </c>
      <c r="AH25">
        <f t="shared" si="15"/>
        <v>0</v>
      </c>
      <c r="AI25" s="376">
        <f t="array" ref="AI25">IF(C25="","",IFERROR((INDEX(終値!$E:$E,MATCH(TEXT(C25,"0"),終値!$A:$A,0))-INDEX(終値!$E:$CZ,MATCH(TEXT(C25,"0"),終値!$A:$A,0),$AN$2))/INDEX(終値!$E:$CZ,MATCH(TEXT(C25,"0"),終値!$A:$A,0),$AN$2)*100,""))</f>
        <v>1.5777715721865402</v>
      </c>
      <c r="AJ25" s="376">
        <f t="array" ref="AJ25">IFERROR((終値!$E$5-INDEX(終値!$E$5:$CZ$5,1,$AN$2))/INDEX(終値!$E$5:$CZ$5,1,$AN$2)*100,"")</f>
        <v>2.31989243802786</v>
      </c>
      <c r="AK25" s="377">
        <f t="shared" si="16"/>
        <v>-0.74212086584131987</v>
      </c>
      <c r="AL25" s="375">
        <f t="shared" si="17"/>
        <v>1</v>
      </c>
      <c r="AO25" s="379" t="e">
        <f t="shared" si="18"/>
        <v>#VALUE!</v>
      </c>
      <c r="AP25" s="380" t="e">
        <f t="shared" si="19"/>
        <v>#VALUE!</v>
      </c>
      <c r="AQ25">
        <f>IF(C25&lt;&gt;"",始値!F92,"")</f>
        <v>7809</v>
      </c>
      <c r="AR25">
        <f>IF(C25&lt;&gt;"",高値!F92,"")</f>
        <v>8040</v>
      </c>
      <c r="AS25">
        <f>IF(C25&lt;&gt;"",安値!F92,"")</f>
        <v>7696</v>
      </c>
      <c r="AT25" t="str">
        <f t="shared" si="20"/>
        <v>通常</v>
      </c>
      <c r="AU25">
        <f t="shared" si="21"/>
        <v>0</v>
      </c>
    </row>
    <row r="26" spans="1:47" ht="14.25" customHeight="1">
      <c r="A26" s="335" t="str">
        <f>IF(銘柄管理!B123&lt;&gt;"",HYPERLINK("https://kabutan.jp/stock/?code="&amp;銘柄管理!B123,"株探"),"")</f>
        <v>株探</v>
      </c>
      <c r="B26" s="215"/>
      <c r="C26" s="478">
        <f>IF(銘柄管理!B123="","",銘柄管理!B123)</f>
        <v>8359</v>
      </c>
      <c r="D26" s="215" t="str">
        <f>IF(銘柄管理!C123="","",銘柄管理!C123)</f>
        <v/>
      </c>
      <c r="E26" s="336" t="str">
        <f>IF(C26&lt;&gt;"",_xll.RssMarket(C26,"現在値"),"")</f>
        <v/>
      </c>
      <c r="F26" s="336" t="str">
        <f>IF(C26&lt;&gt;"",_xll.RssMarket(C26,"始値"),"")</f>
        <v/>
      </c>
      <c r="G26" s="215">
        <f>IF(C26&lt;&gt;"",終値!F123,"")</f>
        <v>2638</v>
      </c>
      <c r="H26" s="336" t="str">
        <f>IF(C26&lt;&gt;"",_xll.RssMarket(C26,"高値"),"")</f>
        <v/>
      </c>
      <c r="I26" s="336" t="str">
        <f>IF(C26&lt;&gt;"",_xll.RssMarket(C26,"安値"),"")</f>
        <v/>
      </c>
      <c r="J26" s="336" t="str">
        <f>IF(C26&lt;&gt;"",_xll.RssMarket(C26,"出来高"),"")</f>
        <v/>
      </c>
      <c r="K26" s="336" t="str">
        <f>IF(C26&lt;&gt;"",_xll.RssMarket(C26,"年初来高値"),"")</f>
        <v/>
      </c>
      <c r="L26" s="337" t="str">
        <f t="shared" si="0"/>
        <v/>
      </c>
      <c r="M26" s="336">
        <f>IF(C26&lt;&gt;"",IFERROR(AVERAGE(出来高!E123:I123),""),"")</f>
        <v>1405740</v>
      </c>
      <c r="N26" s="336">
        <f>IF(C26&lt;&gt;"",IFERROR(AVERAGE(出来高!E123:AC123),""),"")</f>
        <v>1416692</v>
      </c>
      <c r="O26" s="338" t="str">
        <f t="shared" si="1"/>
        <v/>
      </c>
      <c r="P26" s="215" t="str">
        <f t="shared" si="2"/>
        <v/>
      </c>
      <c r="Q26" s="215" t="str">
        <f t="shared" si="3"/>
        <v/>
      </c>
      <c r="R26" s="336" t="str">
        <f t="shared" si="4"/>
        <v/>
      </c>
      <c r="S26" s="336" t="str">
        <f t="shared" si="5"/>
        <v/>
      </c>
      <c r="T26" s="328">
        <f t="shared" si="6"/>
        <v>0</v>
      </c>
      <c r="U26" s="215" t="str">
        <f t="shared" si="7"/>
        <v>除外</v>
      </c>
      <c r="V26" s="215" t="str">
        <f t="shared" si="8"/>
        <v/>
      </c>
      <c r="W26" s="339">
        <f t="array" ref="W26">IFERROR(100-100/(1+SUMPRODUCT((終値!F123:R123&gt;終値!G123:S123)*(終値!F123:R123-終値!G123:S123))/SUMPRODUCT((終値!F123:R123&lt;終値!G123:S123)*(終値!G123:S123-終値!F123:R123))),50)</f>
        <v>91.027496382054991</v>
      </c>
      <c r="X26" s="340">
        <f>IF(C26&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30.378494182831218</v>
      </c>
      <c r="Y26" s="215" t="e">
        <f t="shared" si="9"/>
        <v>#VALUE!</v>
      </c>
      <c r="Z26" s="341" t="str">
        <f t="shared" si="10"/>
        <v/>
      </c>
      <c r="AA26" s="215" t="str">
        <f t="shared" si="11"/>
        <v/>
      </c>
      <c r="AB26" s="336">
        <f>IF(OR(C26="",C26="TOPX",終値!E123=""),"",IFERROR(((終値!E123*0.333)+(終値!F123*0.222)+(終値!G123*0.148)+(終値!H123*0.099)+(終値!I123*0.066))/(0.333+0.222+0.148+0.099+0.066),""))</f>
        <v>2545.2436635944696</v>
      </c>
      <c r="AC26" s="336">
        <f>IF(OR(C26="",C26="TOPX",終値!E123=""),"",IFERROR(SUMPRODUCT((終値!E123:AC123),{0.077,0.071,0.065,0.06,0.055,0.051,0.047,0.043,0.039,0.036,0.033,0.031,0.028,0.026,0.024,0.022,0.02,0.018,0.017,0.016,0.014,0.013,0.012,0.011,0.01})/SUM({0.077,0.071,0.065,0.06,0.055,0.051,0.047,0.043,0.039,0.036,0.033,0.031,0.028,0.026,0.024,0.022,0.02,0.018,0.017,0.016,0.014,0.013,0.012,0.011,0.01}),""))</f>
        <v>2487.6620977353982</v>
      </c>
      <c r="AD26" s="215" t="str">
        <f t="shared" si="12"/>
        <v>パーフェクト▲</v>
      </c>
      <c r="AE26" s="215" t="e">
        <f t="shared" si="13"/>
        <v>#VALUE!</v>
      </c>
      <c r="AF26" t="e">
        <f>IF(T26="","",IF(銘柄管理!$F$5="上昇▲",IF(AND(AD26="下降トレンド▼",OR(AE26="25日戻り売り★",AE26="5日戻り売り○")),"★逆張り売り",IF(AND(AD26="もみ合い→",OR(AE26="25日戻り売り★",AE26="5日戻り売り○")),"○逆張り売り",IF(W26&gt;=70,IF(Z26&lt;0,"◎反落確認","△過熱・様子見"),"相場上昇・見送り"))),IF(AND(T26&gt;=12,AD26="下降トレンド▼"),"★強い売り",IF(T26&gt;=12,"★強い売り",IF(AND(T26&gt;=8,OR(AE26="25日戻り売り★",AE26="5日戻り売り○")),"◎戻り売り",IF(T26&gt;=10,"○売り候補",IF(T26&gt;=6,"△注目",IF(T26&gt;=3,"様子見","見送り"))))))))</f>
        <v>#VALUE!</v>
      </c>
      <c r="AG26">
        <f t="shared" si="14"/>
        <v>0</v>
      </c>
      <c r="AH26">
        <f t="shared" si="15"/>
        <v>0</v>
      </c>
      <c r="AI26" s="376">
        <f t="array" ref="AI26">IF(C26="","",IFERROR((INDEX(終値!$E:$E,MATCH(TEXT(C26,"0"),終値!$A:$A,0))-INDEX(終値!$E:$CZ,MATCH(TEXT(C26,"0"),終値!$A:$A,0),$AN$2))/INDEX(終値!$E:$CZ,MATCH(TEXT(C26,"0"),終値!$A:$A,0),$AN$2)*100,""))</f>
        <v>3.192606595253098</v>
      </c>
      <c r="AJ26" s="376">
        <f t="array" ref="AJ26">IFERROR((終値!$E$5-INDEX(終値!$E$5:$CZ$5,1,$AN$2))/INDEX(終値!$E$5:$CZ$5,1,$AN$2)*100,"")</f>
        <v>2.31989243802786</v>
      </c>
      <c r="AK26" s="377">
        <f t="shared" si="16"/>
        <v>0.87271415722523793</v>
      </c>
      <c r="AL26" s="375">
        <f t="shared" si="17"/>
        <v>-1</v>
      </c>
      <c r="AO26" s="379" t="e">
        <f t="shared" si="18"/>
        <v>#VALUE!</v>
      </c>
      <c r="AP26" s="380" t="e">
        <f t="shared" si="19"/>
        <v>#VALUE!</v>
      </c>
      <c r="AQ26">
        <f>IF(C26&lt;&gt;"",始値!F123,"")</f>
        <v>2575</v>
      </c>
      <c r="AR26">
        <f>IF(C26&lt;&gt;"",高値!F123,"")</f>
        <v>2638.5</v>
      </c>
      <c r="AS26">
        <f>IF(C26&lt;&gt;"",安値!F123,"")</f>
        <v>2575</v>
      </c>
      <c r="AT26" t="str">
        <f t="shared" si="20"/>
        <v>通常</v>
      </c>
      <c r="AU26">
        <f t="shared" si="21"/>
        <v>0</v>
      </c>
    </row>
    <row r="27" spans="1:47" ht="14.25" customHeight="1">
      <c r="A27" s="327" t="str">
        <f>IF(銘柄管理!B133&lt;&gt;"",HYPERLINK("https://kabutan.jp/stock/?code="&amp;銘柄管理!B133,"株探"),"")</f>
        <v>株探</v>
      </c>
      <c r="B27" s="328"/>
      <c r="C27" s="477">
        <f>IF(銘柄管理!B133="","",銘柄管理!B133)</f>
        <v>6327</v>
      </c>
      <c r="D27" s="328" t="str">
        <f>IF(銘柄管理!C133="","",銘柄管理!C133)</f>
        <v/>
      </c>
      <c r="E27" s="329" t="str">
        <f>IF(C27&lt;&gt;"",_xll.RssMarket(C27,"現在値"),"")</f>
        <v/>
      </c>
      <c r="F27" s="329" t="str">
        <f>IF(C27&lt;&gt;"",_xll.RssMarket(C27,"始値"),"")</f>
        <v/>
      </c>
      <c r="G27" s="328">
        <f>IF(C27&lt;&gt;"",終値!F133,"")</f>
        <v>5220</v>
      </c>
      <c r="H27" s="329" t="str">
        <f>IF(C27&lt;&gt;"",_xll.RssMarket(C27,"高値"),"")</f>
        <v/>
      </c>
      <c r="I27" s="329" t="str">
        <f>IF(C27&lt;&gt;"",_xll.RssMarket(C27,"安値"),"")</f>
        <v/>
      </c>
      <c r="J27" s="329" t="str">
        <f>IF(C27&lt;&gt;"",_xll.RssMarket(C27,"出来高"),"")</f>
        <v/>
      </c>
      <c r="K27" s="329" t="str">
        <f>IF(C27&lt;&gt;"",_xll.RssMarket(C27,"年初来高値"),"")</f>
        <v/>
      </c>
      <c r="L27" s="330" t="str">
        <f t="shared" si="0"/>
        <v/>
      </c>
      <c r="M27" s="329">
        <f>IF(C27&lt;&gt;"",IFERROR(AVERAGE(出来高!E133:I133),""),"")</f>
        <v>934820</v>
      </c>
      <c r="N27" s="329">
        <f>IF(C27&lt;&gt;"",IFERROR(AVERAGE(出来高!E133:AC133),""),"")</f>
        <v>989596</v>
      </c>
      <c r="O27" s="331" t="str">
        <f t="shared" si="1"/>
        <v/>
      </c>
      <c r="P27" s="328" t="str">
        <f t="shared" si="2"/>
        <v/>
      </c>
      <c r="Q27" s="328" t="str">
        <f t="shared" si="3"/>
        <v/>
      </c>
      <c r="R27" s="329" t="str">
        <f t="shared" si="4"/>
        <v/>
      </c>
      <c r="S27" s="329" t="str">
        <f t="shared" si="5"/>
        <v/>
      </c>
      <c r="T27" s="328">
        <f t="shared" si="6"/>
        <v>0</v>
      </c>
      <c r="U27" s="328" t="str">
        <f t="shared" si="7"/>
        <v>除外</v>
      </c>
      <c r="V27" s="328" t="str">
        <f t="shared" si="8"/>
        <v/>
      </c>
      <c r="W27" s="332">
        <f t="array" ref="W27">IFERROR(100-100/(1+SUMPRODUCT((終値!F133:R133&gt;終値!G133:S133)*(終値!F133:R133-終値!G133:S133))/SUMPRODUCT((終値!F133:R133&lt;終値!G133:S133)*(終値!G133:S133-終値!F133:R133))),50)</f>
        <v>41.67664670658683</v>
      </c>
      <c r="X27" s="333">
        <f>IF(C27&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-39.41681028820949</v>
      </c>
      <c r="Y27" s="328" t="e">
        <f t="shared" si="9"/>
        <v>#VALUE!</v>
      </c>
      <c r="Z27" s="334" t="str">
        <f t="shared" si="10"/>
        <v/>
      </c>
      <c r="AA27" s="328" t="str">
        <f t="shared" si="11"/>
        <v/>
      </c>
      <c r="AB27" s="329">
        <f>IF(OR(C27="",C27="TOPX",終値!E133=""),"",IFERROR(((終値!E133*0.333)+(終値!F133*0.222)+(終値!G133*0.148)+(終値!H133*0.099)+(終値!I133*0.066))/(0.333+0.222+0.148+0.099+0.066),""))</f>
        <v>4791.1981566820277</v>
      </c>
      <c r="AC27" s="329">
        <f>IF(OR(C27="",C27="TOPX",終値!E133=""),"",IFERROR(SUMPRODUCT((終値!E133:AC133),{0.077,0.071,0.065,0.06,0.055,0.051,0.047,0.043,0.039,0.036,0.033,0.031,0.028,0.026,0.024,0.022,0.02,0.018,0.017,0.016,0.014,0.013,0.012,0.011,0.01})/SUM({0.077,0.071,0.065,0.06,0.055,0.051,0.047,0.043,0.039,0.036,0.033,0.031,0.028,0.026,0.024,0.022,0.02,0.018,0.017,0.016,0.014,0.013,0.012,0.011,0.01}),""))</f>
        <v>5745.8343265792591</v>
      </c>
      <c r="AD27" s="328" t="str">
        <f t="shared" si="12"/>
        <v>上昇トレンド▲</v>
      </c>
      <c r="AE27" s="328" t="e">
        <f t="shared" si="13"/>
        <v>#VALUE!</v>
      </c>
      <c r="AF27" t="e">
        <f>IF(T27="","",IF(銘柄管理!$F$5="上昇▲",IF(AND(AD27="下降トレンド▼",OR(AE27="25日戻り売り★",AE27="5日戻り売り○")),"★逆張り売り",IF(AND(AD27="もみ合い→",OR(AE27="25日戻り売り★",AE27="5日戻り売り○")),"○逆張り売り",IF(W27&gt;=70,IF(Z27&lt;0,"◎反落確認","△過熱・様子見"),"相場上昇・見送り"))),IF(AND(T27&gt;=12,AD27="下降トレンド▼"),"★強い売り",IF(T27&gt;=12,"★強い売り",IF(AND(T27&gt;=8,OR(AE27="25日戻り売り★",AE27="5日戻り売り○")),"◎戻り売り",IF(T27&gt;=10,"○売り候補",IF(T27&gt;=6,"△注目",IF(T27&gt;=3,"様子見","見送り"))))))))</f>
        <v>#VALUE!</v>
      </c>
      <c r="AG27">
        <f t="shared" si="14"/>
        <v>0</v>
      </c>
      <c r="AH27">
        <f t="shared" si="15"/>
        <v>0</v>
      </c>
      <c r="AI27" s="376">
        <f t="array" ref="AI27">IF(C27="","",IFERROR((INDEX(終値!$E:$E,MATCH(TEXT(C27,"0"),終値!$A:$A,0))-INDEX(終値!$E:$CZ,MATCH(TEXT(C27,"0"),終値!$A:$A,0),$AN$2))/INDEX(終値!$E:$CZ,MATCH(TEXT(C27,"0"),終値!$A:$A,0),$AN$2)*100,""))</f>
        <v>9.0655509065550905</v>
      </c>
      <c r="AJ27" s="376">
        <f t="array" ref="AJ27">IFERROR((終値!$E$5-INDEX(終値!$E$5:$CZ$5,1,$AN$2))/INDEX(終値!$E$5:$CZ$5,1,$AN$2)*100,"")</f>
        <v>2.31989243802786</v>
      </c>
      <c r="AK27" s="377">
        <f t="shared" si="16"/>
        <v>6.7456584685272301</v>
      </c>
      <c r="AL27" s="375">
        <f t="shared" si="17"/>
        <v>-2</v>
      </c>
      <c r="AO27" s="379" t="e">
        <f t="shared" si="18"/>
        <v>#VALUE!</v>
      </c>
      <c r="AP27" s="380" t="e">
        <f t="shared" si="19"/>
        <v>#VALUE!</v>
      </c>
      <c r="AQ27">
        <f>IF(C27&lt;&gt;"",始値!F133,"")</f>
        <v>5500</v>
      </c>
      <c r="AR27">
        <f>IF(C27&lt;&gt;"",高値!F133,"")</f>
        <v>5680</v>
      </c>
      <c r="AS27">
        <f>IF(C27&lt;&gt;"",安値!F133,"")</f>
        <v>5120</v>
      </c>
      <c r="AT27" t="str">
        <f t="shared" si="20"/>
        <v>通常</v>
      </c>
      <c r="AU27">
        <f t="shared" si="21"/>
        <v>0</v>
      </c>
    </row>
    <row r="28" spans="1:47" ht="14.25" customHeight="1">
      <c r="A28" s="335" t="str">
        <f>IF(銘柄管理!B135&lt;&gt;"",HYPERLINK("https://kabutan.jp/stock/?code="&amp;銘柄管理!B135,"株探"),"")</f>
        <v>株探</v>
      </c>
      <c r="B28" s="215"/>
      <c r="C28" s="478">
        <f>IF(銘柄管理!B135="","",銘柄管理!B135)</f>
        <v>6232</v>
      </c>
      <c r="D28" s="215" t="str">
        <f>IF(銘柄管理!C135="","",銘柄管理!C135)</f>
        <v/>
      </c>
      <c r="E28" s="336" t="str">
        <f>IF(C28&lt;&gt;"",_xll.RssMarket(C28,"現在値"),"")</f>
        <v/>
      </c>
      <c r="F28" s="336" t="str">
        <f>IF(C28&lt;&gt;"",_xll.RssMarket(C28,"始値"),"")</f>
        <v/>
      </c>
      <c r="G28" s="215">
        <f>IF(C28&lt;&gt;"",終値!F135,"")</f>
        <v>1805</v>
      </c>
      <c r="H28" s="336" t="str">
        <f>IF(C28&lt;&gt;"",_xll.RssMarket(C28,"高値"),"")</f>
        <v/>
      </c>
      <c r="I28" s="336" t="str">
        <f>IF(C28&lt;&gt;"",_xll.RssMarket(C28,"安値"),"")</f>
        <v/>
      </c>
      <c r="J28" s="336" t="str">
        <f>IF(C28&lt;&gt;"",_xll.RssMarket(C28,"出来高"),"")</f>
        <v/>
      </c>
      <c r="K28" s="336" t="str">
        <f>IF(C28&lt;&gt;"",_xll.RssMarket(C28,"年初来高値"),"")</f>
        <v/>
      </c>
      <c r="L28" s="337" t="str">
        <f t="shared" si="0"/>
        <v/>
      </c>
      <c r="M28" s="336">
        <f>IF(C28&lt;&gt;"",IFERROR(AVERAGE(出来高!E135:I135),""),"")</f>
        <v>633480</v>
      </c>
      <c r="N28" s="336">
        <f>IF(C28&lt;&gt;"",IFERROR(AVERAGE(出来高!E135:AC135),""),"")</f>
        <v>662284</v>
      </c>
      <c r="O28" s="338" t="str">
        <f t="shared" si="1"/>
        <v/>
      </c>
      <c r="P28" s="215" t="str">
        <f t="shared" si="2"/>
        <v/>
      </c>
      <c r="Q28" s="215" t="str">
        <f t="shared" si="3"/>
        <v/>
      </c>
      <c r="R28" s="336" t="str">
        <f t="shared" si="4"/>
        <v/>
      </c>
      <c r="S28" s="336" t="str">
        <f t="shared" si="5"/>
        <v/>
      </c>
      <c r="T28" s="328">
        <f t="shared" si="6"/>
        <v>0</v>
      </c>
      <c r="U28" s="215" t="str">
        <f t="shared" si="7"/>
        <v>除外</v>
      </c>
      <c r="V28" s="215" t="str">
        <f t="shared" si="8"/>
        <v/>
      </c>
      <c r="W28" s="339">
        <f t="array" ref="W28">IFERROR(100-100/(1+SUMPRODUCT((終値!F135:R135&gt;終値!G135:S135)*(終値!F135:R135-終値!G135:S135))/SUMPRODUCT((終値!F135:R135&lt;終値!G135:S135)*(終値!G135:S135-終値!F135:R135))),50)</f>
        <v>50.35868005738881</v>
      </c>
      <c r="X28" s="340">
        <f>IF(C28&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-10.725950190853609</v>
      </c>
      <c r="Y28" s="215" t="e">
        <f t="shared" si="9"/>
        <v>#VALUE!</v>
      </c>
      <c r="Z28" s="341" t="str">
        <f t="shared" si="10"/>
        <v/>
      </c>
      <c r="AA28" s="215" t="str">
        <f t="shared" si="11"/>
        <v/>
      </c>
      <c r="AB28" s="336">
        <f>IF(OR(C28="",C28="TOPX",終値!E135=""),"",IFERROR(((終値!E135*0.333)+(終値!F135*0.222)+(終値!G135*0.148)+(終値!H135*0.099)+(終値!I135*0.066))/(0.333+0.222+0.148+0.099+0.066),""))</f>
        <v>1728.6267281105986</v>
      </c>
      <c r="AC28" s="336">
        <f>IF(OR(C28="",C28="TOPX",終値!E135=""),"",IFERROR(SUMPRODUCT((終値!E135:AC135),{0.077,0.071,0.065,0.06,0.055,0.051,0.047,0.043,0.039,0.036,0.033,0.031,0.028,0.026,0.024,0.022,0.02,0.018,0.017,0.016,0.014,0.013,0.012,0.011,0.01})/SUM({0.077,0.071,0.065,0.06,0.055,0.051,0.047,0.043,0.039,0.036,0.033,0.031,0.028,0.026,0.024,0.022,0.02,0.018,0.017,0.016,0.014,0.013,0.012,0.011,0.01}),""))</f>
        <v>1775.0083432657916</v>
      </c>
      <c r="AD28" s="215" t="str">
        <f t="shared" si="12"/>
        <v>上昇トレンド▲</v>
      </c>
      <c r="AE28" s="215" t="e">
        <f t="shared" si="13"/>
        <v>#VALUE!</v>
      </c>
      <c r="AF28" t="e">
        <f>IF(T28="","",IF(銘柄管理!$F$5="上昇▲",IF(AND(AD28="下降トレンド▼",OR(AE28="25日戻り売り★",AE28="5日戻り売り○")),"★逆張り売り",IF(AND(AD28="もみ合い→",OR(AE28="25日戻り売り★",AE28="5日戻り売り○")),"○逆張り売り",IF(W28&gt;=70,IF(Z28&lt;0,"◎反落確認","△過熱・様子見"),"相場上昇・見送り"))),IF(AND(T28&gt;=12,AD28="下降トレンド▼"),"★強い売り",IF(T28&gt;=12,"★強い売り",IF(AND(T28&gt;=8,OR(AE28="25日戻り売り★",AE28="5日戻り売り○")),"◎戻り売り",IF(T28&gt;=10,"○売り候補",IF(T28&gt;=6,"△注目",IF(T28&gt;=3,"様子見","見送り"))))))))</f>
        <v>#VALUE!</v>
      </c>
      <c r="AG28">
        <f t="shared" si="14"/>
        <v>0</v>
      </c>
      <c r="AH28">
        <f t="shared" si="15"/>
        <v>0</v>
      </c>
      <c r="AI28" s="376">
        <f t="array" ref="AI28">IF(C28="","",IFERROR((INDEX(終値!$E:$E,MATCH(TEXT(C28,"0"),終値!$A:$A,0))-INDEX(終値!$E:$CZ,MATCH(TEXT(C28,"0"),終値!$A:$A,0),$AN$2))/INDEX(終値!$E:$CZ,MATCH(TEXT(C28,"0"),終値!$A:$A,0),$AN$2)*100,""))</f>
        <v>-17.925925925925927</v>
      </c>
      <c r="AJ28" s="376">
        <f t="array" ref="AJ28">IFERROR((終値!$E$5-INDEX(終値!$E$5:$CZ$5,1,$AN$2))/INDEX(終値!$E$5:$CZ$5,1,$AN$2)*100,"")</f>
        <v>2.31989243802786</v>
      </c>
      <c r="AK28" s="377">
        <f t="shared" si="16"/>
        <v>-20.245818363953788</v>
      </c>
      <c r="AL28" s="375">
        <f t="shared" si="17"/>
        <v>3</v>
      </c>
      <c r="AO28" s="379" t="e">
        <f t="shared" si="18"/>
        <v>#VALUE!</v>
      </c>
      <c r="AP28" s="380" t="e">
        <f t="shared" si="19"/>
        <v>#VALUE!</v>
      </c>
      <c r="AQ28">
        <f>IF(C28&lt;&gt;"",始値!F135,"")</f>
        <v>1720</v>
      </c>
      <c r="AR28">
        <f>IF(C28&lt;&gt;"",高値!F135,"")</f>
        <v>1831</v>
      </c>
      <c r="AS28">
        <f>IF(C28&lt;&gt;"",安値!F135,"")</f>
        <v>1700</v>
      </c>
      <c r="AT28" t="str">
        <f t="shared" si="20"/>
        <v>通常</v>
      </c>
      <c r="AU28">
        <f t="shared" si="21"/>
        <v>0</v>
      </c>
    </row>
    <row r="29" spans="1:47" ht="14.25" customHeight="1">
      <c r="A29" s="327" t="str">
        <f>IF(銘柄管理!B151&lt;&gt;"",HYPERLINK("https://kabutan.jp/stock/?code="&amp;銘柄管理!B151,"株探"),"")</f>
        <v>株探</v>
      </c>
      <c r="B29" s="328"/>
      <c r="C29" s="477">
        <f>IF(銘柄管理!B151="","",銘柄管理!B151)</f>
        <v>6516</v>
      </c>
      <c r="D29" s="328" t="str">
        <f>IF(銘柄管理!C151="","",銘柄管理!C151)</f>
        <v/>
      </c>
      <c r="E29" s="329" t="str">
        <f>IF(C29&lt;&gt;"",_xll.RssMarket(C29,"現在値"),"")</f>
        <v/>
      </c>
      <c r="F29" s="329" t="str">
        <f>IF(C29&lt;&gt;"",_xll.RssMarket(C29,"始値"),"")</f>
        <v/>
      </c>
      <c r="G29" s="328">
        <f>IF(C29&lt;&gt;"",終値!F151,"")</f>
        <v>5930</v>
      </c>
      <c r="H29" s="329" t="str">
        <f>IF(C29&lt;&gt;"",_xll.RssMarket(C29,"高値"),"")</f>
        <v/>
      </c>
      <c r="I29" s="329" t="str">
        <f>IF(C29&lt;&gt;"",_xll.RssMarket(C29,"安値"),"")</f>
        <v/>
      </c>
      <c r="J29" s="329" t="str">
        <f>IF(C29&lt;&gt;"",_xll.RssMarket(C29,"出来高"),"")</f>
        <v/>
      </c>
      <c r="K29" s="329" t="str">
        <f>IF(C29&lt;&gt;"",_xll.RssMarket(C29,"年初来高値"),"")</f>
        <v/>
      </c>
      <c r="L29" s="330" t="str">
        <f t="shared" si="0"/>
        <v/>
      </c>
      <c r="M29" s="329">
        <f>IF(C29&lt;&gt;"",IFERROR(AVERAGE(出来高!E151:I151),""),"")</f>
        <v>114600</v>
      </c>
      <c r="N29" s="329">
        <f>IF(C29&lt;&gt;"",IFERROR(AVERAGE(出来高!E151:AC151),""),"")</f>
        <v>142832</v>
      </c>
      <c r="O29" s="331" t="str">
        <f t="shared" si="1"/>
        <v/>
      </c>
      <c r="P29" s="328" t="str">
        <f t="shared" si="2"/>
        <v/>
      </c>
      <c r="Q29" s="328" t="str">
        <f t="shared" si="3"/>
        <v/>
      </c>
      <c r="R29" s="329" t="str">
        <f t="shared" si="4"/>
        <v/>
      </c>
      <c r="S29" s="329" t="str">
        <f t="shared" si="5"/>
        <v/>
      </c>
      <c r="T29" s="328">
        <f t="shared" si="6"/>
        <v>0</v>
      </c>
      <c r="U29" s="328" t="str">
        <f t="shared" si="7"/>
        <v>除外</v>
      </c>
      <c r="V29" s="328" t="str">
        <f t="shared" si="8"/>
        <v/>
      </c>
      <c r="W29" s="332">
        <f t="array" ref="W29">IFERROR(100-100/(1+SUMPRODUCT((終値!F151:R151&gt;終値!G151:S151)*(終値!F151:R151-終値!G151:S151))/SUMPRODUCT((終値!F151:R151&lt;終値!G151:S151)*(終値!G151:S151-終値!F151:R151))),50)</f>
        <v>17.741935483870975</v>
      </c>
      <c r="X29" s="333">
        <f>IF(C29&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-143.93282889997045</v>
      </c>
      <c r="Y29" s="328" t="e">
        <f t="shared" si="9"/>
        <v>#VALUE!</v>
      </c>
      <c r="Z29" s="334" t="str">
        <f t="shared" si="10"/>
        <v/>
      </c>
      <c r="AA29" s="328" t="str">
        <f t="shared" si="11"/>
        <v/>
      </c>
      <c r="AB29" s="329">
        <f>IF(OR(C29="",C29="TOPX",終値!E151=""),"",IFERROR(((終値!E151*0.333)+(終値!F151*0.222)+(終値!G151*0.148)+(終値!H151*0.099)+(終値!I151*0.066))/(0.333+0.222+0.148+0.099+0.066),""))</f>
        <v>5743.0529953917048</v>
      </c>
      <c r="AC29" s="329">
        <f>IF(OR(C29="",C29="TOPX",終値!E151=""),"",IFERROR(SUMPRODUCT((終値!E151:AC151),{0.077,0.071,0.065,0.06,0.055,0.051,0.047,0.043,0.039,0.036,0.033,0.031,0.028,0.026,0.024,0.022,0.02,0.018,0.017,0.016,0.014,0.013,0.012,0.011,0.01})/SUM({0.077,0.071,0.065,0.06,0.055,0.051,0.047,0.043,0.039,0.036,0.033,0.031,0.028,0.026,0.024,0.022,0.02,0.018,0.017,0.016,0.014,0.013,0.012,0.011,0.01}),""))</f>
        <v>6246.4362336114382</v>
      </c>
      <c r="AD29" s="328" t="str">
        <f t="shared" si="12"/>
        <v>上昇トレンド▲</v>
      </c>
      <c r="AE29" s="328" t="e">
        <f t="shared" si="13"/>
        <v>#VALUE!</v>
      </c>
      <c r="AF29" t="e">
        <f>IF(T29="","",IF(銘柄管理!$F$5="上昇▲",IF(AND(AD29="下降トレンド▼",OR(AE29="25日戻り売り★",AE29="5日戻り売り○")),"★逆張り売り",IF(AND(AD29="もみ合い→",OR(AE29="25日戻り売り★",AE29="5日戻り売り○")),"○逆張り売り",IF(W29&gt;=70,IF(Z29&lt;0,"◎反落確認","△過熱・様子見"),"相場上昇・見送り"))),IF(AND(T29&gt;=12,AD29="下降トレンド▼"),"★強い売り",IF(T29&gt;=12,"★強い売り",IF(AND(T29&gt;=8,OR(AE29="25日戻り売り★",AE29="5日戻り売り○")),"◎戻り売り",IF(T29&gt;=10,"○売り候補",IF(T29&gt;=6,"△注目",IF(T29&gt;=3,"様子見","見送り"))))))))</f>
        <v>#VALUE!</v>
      </c>
      <c r="AG29">
        <f t="shared" si="14"/>
        <v>0</v>
      </c>
      <c r="AH29">
        <f t="shared" si="15"/>
        <v>0</v>
      </c>
      <c r="AI29" s="376">
        <f t="array" ref="AI29">IF(C29="","",IFERROR((INDEX(終値!$E:$E,MATCH(TEXT(C29,"0"),終値!$A:$A,0))-INDEX(終値!$E:$CZ,MATCH(TEXT(C29,"0"),終値!$A:$A,0),$AN$2))/INDEX(終値!$E:$CZ,MATCH(TEXT(C29,"0"),終値!$A:$A,0),$AN$2)*100,""))</f>
        <v>-15.109034267912772</v>
      </c>
      <c r="AJ29" s="376">
        <f t="array" ref="AJ29">IFERROR((終値!$E$5-INDEX(終値!$E$5:$CZ$5,1,$AN$2))/INDEX(終値!$E$5:$CZ$5,1,$AN$2)*100,"")</f>
        <v>2.31989243802786</v>
      </c>
      <c r="AK29" s="377">
        <f t="shared" si="16"/>
        <v>-17.428926705940633</v>
      </c>
      <c r="AL29" s="375">
        <f t="shared" si="17"/>
        <v>3</v>
      </c>
      <c r="AO29" s="379" t="e">
        <f t="shared" si="18"/>
        <v>#VALUE!</v>
      </c>
      <c r="AP29" s="380" t="e">
        <f t="shared" si="19"/>
        <v>#VALUE!</v>
      </c>
      <c r="AQ29">
        <f>IF(C29&lt;&gt;"",始値!F151,"")</f>
        <v>5870</v>
      </c>
      <c r="AR29">
        <f>IF(C29&lt;&gt;"",高値!F151,"")</f>
        <v>5960</v>
      </c>
      <c r="AS29">
        <f>IF(C29&lt;&gt;"",安値!F151,"")</f>
        <v>5810</v>
      </c>
      <c r="AT29" t="str">
        <f t="shared" si="20"/>
        <v>通常</v>
      </c>
      <c r="AU29">
        <f t="shared" si="21"/>
        <v>0</v>
      </c>
    </row>
    <row r="30" spans="1:47" ht="14.25" customHeight="1">
      <c r="A30" s="335" t="str">
        <f>IF(銘柄管理!B154&lt;&gt;"",HYPERLINK("https://kabutan.jp/stock/?code="&amp;銘柄管理!B154,"株探"),"")</f>
        <v>株探</v>
      </c>
      <c r="B30" s="215"/>
      <c r="C30" s="478">
        <f>IF(銘柄管理!B154="","",銘柄管理!B154)</f>
        <v>6981</v>
      </c>
      <c r="D30" s="215" t="str">
        <f>IF(銘柄管理!C154="","",銘柄管理!C154)</f>
        <v/>
      </c>
      <c r="E30" s="336" t="str">
        <f>IF(C30&lt;&gt;"",_xll.RssMarket(C30,"現在値"),"")</f>
        <v/>
      </c>
      <c r="F30" s="336" t="str">
        <f>IF(C30&lt;&gt;"",_xll.RssMarket(C30,"始値"),"")</f>
        <v/>
      </c>
      <c r="G30" s="215">
        <f>IF(C30&lt;&gt;"",終値!F154,"")</f>
        <v>9100</v>
      </c>
      <c r="H30" s="336" t="str">
        <f>IF(C30&lt;&gt;"",_xll.RssMarket(C30,"高値"),"")</f>
        <v/>
      </c>
      <c r="I30" s="336" t="str">
        <f>IF(C30&lt;&gt;"",_xll.RssMarket(C30,"安値"),"")</f>
        <v/>
      </c>
      <c r="J30" s="336" t="str">
        <f>IF(C30&lt;&gt;"",_xll.RssMarket(C30,"出来高"),"")</f>
        <v/>
      </c>
      <c r="K30" s="336" t="str">
        <f>IF(C30&lt;&gt;"",_xll.RssMarket(C30,"年初来高値"),"")</f>
        <v/>
      </c>
      <c r="L30" s="337" t="str">
        <f t="shared" si="0"/>
        <v/>
      </c>
      <c r="M30" s="336">
        <f>IF(C30&lt;&gt;"",IFERROR(AVERAGE(出来高!E154:I154),""),"")</f>
        <v>35496480</v>
      </c>
      <c r="N30" s="336">
        <f>IF(C30&lt;&gt;"",IFERROR(AVERAGE(出来高!E154:AC154),""),"")</f>
        <v>32281744</v>
      </c>
      <c r="O30" s="338" t="str">
        <f t="shared" si="1"/>
        <v/>
      </c>
      <c r="P30" s="215" t="str">
        <f t="shared" si="2"/>
        <v/>
      </c>
      <c r="Q30" s="215" t="str">
        <f t="shared" si="3"/>
        <v/>
      </c>
      <c r="R30" s="336" t="str">
        <f t="shared" si="4"/>
        <v/>
      </c>
      <c r="S30" s="336" t="str">
        <f t="shared" si="5"/>
        <v/>
      </c>
      <c r="T30" s="328">
        <f t="shared" si="6"/>
        <v>0</v>
      </c>
      <c r="U30" s="215" t="str">
        <f t="shared" si="7"/>
        <v>除外</v>
      </c>
      <c r="V30" s="215" t="str">
        <f t="shared" si="8"/>
        <v/>
      </c>
      <c r="W30" s="339">
        <f t="array" ref="W30">IFERROR(100-100/(1+SUMPRODUCT((終値!F154:R154&gt;終値!G154:S154)*(終値!F154:R154-終値!G154:S154))/SUMPRODUCT((終値!F154:R154&lt;終値!G154:S154)*(終値!G154:S154-終値!F154:R154))),50)</f>
        <v>37.882973380210949</v>
      </c>
      <c r="X30" s="340">
        <f>IF(C30&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-247.58681176090977</v>
      </c>
      <c r="Y30" s="215" t="e">
        <f t="shared" si="9"/>
        <v>#VALUE!</v>
      </c>
      <c r="Z30" s="341" t="str">
        <f t="shared" si="10"/>
        <v/>
      </c>
      <c r="AA30" s="215" t="str">
        <f t="shared" si="11"/>
        <v/>
      </c>
      <c r="AB30" s="336">
        <f>IF(OR(C30="",C30="TOPX",終値!E154=""),"",IFERROR(((終値!E154*0.333)+(終値!F154*0.222)+(終値!G154*0.148)+(終値!H154*0.099)+(終値!I154*0.066))/(0.333+0.222+0.148+0.099+0.066),""))</f>
        <v>8646.2142857142862</v>
      </c>
      <c r="AC30" s="336">
        <f>IF(OR(C30="",C30="TOPX",終値!E154=""),"",IFERROR(SUMPRODUCT((終値!E154:AC154),{0.077,0.071,0.065,0.06,0.055,0.051,0.047,0.043,0.039,0.036,0.033,0.031,0.028,0.026,0.024,0.022,0.02,0.018,0.017,0.016,0.014,0.013,0.012,0.011,0.01})/SUM({0.077,0.071,0.065,0.06,0.055,0.051,0.047,0.043,0.039,0.036,0.033,0.031,0.028,0.026,0.024,0.022,0.02,0.018,0.017,0.016,0.014,0.013,0.012,0.011,0.01}),""))</f>
        <v>9980.8545887961827</v>
      </c>
      <c r="AD30" s="215" t="str">
        <f t="shared" si="12"/>
        <v>上昇トレンド▲</v>
      </c>
      <c r="AE30" s="215" t="e">
        <f t="shared" si="13"/>
        <v>#VALUE!</v>
      </c>
      <c r="AF30" t="e">
        <f>IF(T30="","",IF(銘柄管理!$F$5="上昇▲",IF(AND(AD30="下降トレンド▼",OR(AE30="25日戻り売り★",AE30="5日戻り売り○")),"★逆張り売り",IF(AND(AD30="もみ合い→",OR(AE30="25日戻り売り★",AE30="5日戻り売り○")),"○逆張り売り",IF(W30&gt;=70,IF(Z30&lt;0,"◎反落確認","△過熱・様子見"),"相場上昇・見送り"))),IF(AND(T30&gt;=12,AD30="下降トレンド▼"),"★強い売り",IF(T30&gt;=12,"★強い売り",IF(AND(T30&gt;=8,OR(AE30="25日戻り売り★",AE30="5日戻り売り○")),"◎戻り売り",IF(T30&gt;=10,"○売り候補",IF(T30&gt;=6,"△注目",IF(T30&gt;=3,"様子見","見送り"))))))))</f>
        <v>#VALUE!</v>
      </c>
      <c r="AG30">
        <f t="shared" si="14"/>
        <v>0</v>
      </c>
      <c r="AH30">
        <f t="shared" si="15"/>
        <v>0</v>
      </c>
      <c r="AI30" s="376">
        <f t="array" ref="AI30">IF(C30="","",IFERROR((INDEX(終値!$E:$E,MATCH(TEXT(C30,"0"),終値!$A:$A,0))-INDEX(終値!$E:$CZ,MATCH(TEXT(C30,"0"),終値!$A:$A,0),$AN$2))/INDEX(終値!$E:$CZ,MATCH(TEXT(C30,"0"),終値!$A:$A,0),$AN$2)*100,""))</f>
        <v>-21.279009798865395</v>
      </c>
      <c r="AJ30" s="376">
        <f t="array" ref="AJ30">IFERROR((終値!$E$5-INDEX(終値!$E$5:$CZ$5,1,$AN$2))/INDEX(終値!$E$5:$CZ$5,1,$AN$2)*100,"")</f>
        <v>2.31989243802786</v>
      </c>
      <c r="AK30" s="377">
        <f t="shared" si="16"/>
        <v>-23.598902236893256</v>
      </c>
      <c r="AL30" s="375">
        <f t="shared" si="17"/>
        <v>3</v>
      </c>
      <c r="AO30" s="379" t="e">
        <f t="shared" si="18"/>
        <v>#VALUE!</v>
      </c>
      <c r="AP30" s="380" t="e">
        <f t="shared" si="19"/>
        <v>#VALUE!</v>
      </c>
      <c r="AQ30">
        <f>IF(C30&lt;&gt;"",始値!F154,"")</f>
        <v>9184</v>
      </c>
      <c r="AR30">
        <f>IF(C30&lt;&gt;"",高値!F154,"")</f>
        <v>9188</v>
      </c>
      <c r="AS30">
        <f>IF(C30&lt;&gt;"",安値!F154,"")</f>
        <v>8745</v>
      </c>
      <c r="AT30" t="str">
        <f t="shared" si="20"/>
        <v>長い下ヒゲ(反発)</v>
      </c>
      <c r="AU30">
        <f t="shared" si="21"/>
        <v>-2</v>
      </c>
    </row>
    <row r="31" spans="1:47" ht="14.25" customHeight="1">
      <c r="A31" s="327" t="str">
        <f>IF(銘柄管理!B155&lt;&gt;"",HYPERLINK("https://kabutan.jp/stock/?code="&amp;銘柄管理!B155,"株探"),"")</f>
        <v>株探</v>
      </c>
      <c r="B31" s="328"/>
      <c r="C31" s="477">
        <f>IF(銘柄管理!B155="","",銘柄管理!B155)</f>
        <v>6754</v>
      </c>
      <c r="D31" s="328" t="str">
        <f>IF(銘柄管理!C155="","",銘柄管理!C155)</f>
        <v/>
      </c>
      <c r="E31" s="329" t="str">
        <f>IF(C31&lt;&gt;"",_xll.RssMarket(C31,"現在値"),"")</f>
        <v/>
      </c>
      <c r="F31" s="329" t="str">
        <f>IF(C31&lt;&gt;"",_xll.RssMarket(C31,"始値"),"")</f>
        <v/>
      </c>
      <c r="G31" s="328">
        <f>IF(C31&lt;&gt;"",終値!F155,"")</f>
        <v>4092</v>
      </c>
      <c r="H31" s="329" t="str">
        <f>IF(C31&lt;&gt;"",_xll.RssMarket(C31,"高値"),"")</f>
        <v/>
      </c>
      <c r="I31" s="329" t="str">
        <f>IF(C31&lt;&gt;"",_xll.RssMarket(C31,"安値"),"")</f>
        <v/>
      </c>
      <c r="J31" s="329" t="str">
        <f>IF(C31&lt;&gt;"",_xll.RssMarket(C31,"出来高"),"")</f>
        <v/>
      </c>
      <c r="K31" s="329" t="str">
        <f>IF(C31&lt;&gt;"",_xll.RssMarket(C31,"年初来高値"),"")</f>
        <v/>
      </c>
      <c r="L31" s="330" t="str">
        <f t="shared" si="0"/>
        <v/>
      </c>
      <c r="M31" s="329">
        <f>IF(C31&lt;&gt;"",IFERROR(AVERAGE(出来高!E155:I155),""),"")</f>
        <v>1198680</v>
      </c>
      <c r="N31" s="329">
        <f>IF(C31&lt;&gt;"",IFERROR(AVERAGE(出来高!E155:AC155),""),"")</f>
        <v>1586184</v>
      </c>
      <c r="O31" s="331" t="str">
        <f t="shared" si="1"/>
        <v/>
      </c>
      <c r="P31" s="328" t="str">
        <f t="shared" si="2"/>
        <v/>
      </c>
      <c r="Q31" s="328" t="str">
        <f t="shared" si="3"/>
        <v/>
      </c>
      <c r="R31" s="329" t="str">
        <f t="shared" si="4"/>
        <v/>
      </c>
      <c r="S31" s="329" t="str">
        <f t="shared" si="5"/>
        <v/>
      </c>
      <c r="T31" s="328">
        <f t="shared" si="6"/>
        <v>0</v>
      </c>
      <c r="U31" s="328" t="str">
        <f t="shared" si="7"/>
        <v>除外</v>
      </c>
      <c r="V31" s="328" t="str">
        <f t="shared" si="8"/>
        <v/>
      </c>
      <c r="W31" s="332">
        <f t="array" ref="W31">IFERROR(100-100/(1+SUMPRODUCT((終値!F155:R155&gt;終値!G155:S155)*(終値!F155:R155-終値!G155:S155))/SUMPRODUCT((終値!F155:R155&lt;終値!G155:S155)*(終値!G155:S155-終値!F155:R155))),50)</f>
        <v>37.678100263852237</v>
      </c>
      <c r="X31" s="333">
        <f>IF(C31&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-45.317793017803069</v>
      </c>
      <c r="Y31" s="328" t="e">
        <f t="shared" si="9"/>
        <v>#VALUE!</v>
      </c>
      <c r="Z31" s="334" t="str">
        <f t="shared" si="10"/>
        <v/>
      </c>
      <c r="AA31" s="328" t="str">
        <f t="shared" si="11"/>
        <v/>
      </c>
      <c r="AB31" s="329">
        <f>IF(OR(C31="",C31="TOPX",終値!E155=""),"",IFERROR(((終値!E155*0.333)+(終値!F155*0.222)+(終値!G155*0.148)+(終値!H155*0.099)+(終値!I155*0.066))/(0.333+0.222+0.148+0.099+0.066),""))</f>
        <v>3922.1555299539168</v>
      </c>
      <c r="AC31" s="329">
        <f>IF(OR(C31="",C31="TOPX",終値!E155=""),"",IFERROR(SUMPRODUCT((終値!E155:AC155),{0.077,0.071,0.065,0.06,0.055,0.051,0.047,0.043,0.039,0.036,0.033,0.031,0.028,0.026,0.024,0.022,0.02,0.018,0.017,0.016,0.014,0.013,0.012,0.011,0.01})/SUM({0.077,0.071,0.065,0.06,0.055,0.051,0.047,0.043,0.039,0.036,0.033,0.031,0.028,0.026,0.024,0.022,0.02,0.018,0.017,0.016,0.014,0.013,0.012,0.011,0.01}),""))</f>
        <v>4178.2586412395704</v>
      </c>
      <c r="AD31" s="328" t="str">
        <f t="shared" si="12"/>
        <v>上昇トレンド▲</v>
      </c>
      <c r="AE31" s="328" t="e">
        <f t="shared" si="13"/>
        <v>#VALUE!</v>
      </c>
      <c r="AF31" t="e">
        <f>IF(T31="","",IF(銘柄管理!$F$5="上昇▲",IF(AND(AD31="下降トレンド▼",OR(AE31="25日戻り売り★",AE31="5日戻り売り○")),"★逆張り売り",IF(AND(AD31="もみ合い→",OR(AE31="25日戻り売り★",AE31="5日戻り売り○")),"○逆張り売り",IF(W31&gt;=70,IF(Z31&lt;0,"◎反落確認","△過熱・様子見"),"相場上昇・見送り"))),IF(AND(T31&gt;=12,AD31="下降トレンド▼"),"★強い売り",IF(T31&gt;=12,"★強い売り",IF(AND(T31&gt;=8,OR(AE31="25日戻り売り★",AE31="5日戻り売り○")),"◎戻り売り",IF(T31&gt;=10,"○売り候補",IF(T31&gt;=6,"△注目",IF(T31&gt;=3,"様子見","見送り"))))))))</f>
        <v>#VALUE!</v>
      </c>
      <c r="AG31">
        <f t="shared" si="14"/>
        <v>0</v>
      </c>
      <c r="AH31">
        <f t="shared" si="15"/>
        <v>0</v>
      </c>
      <c r="AI31" s="376">
        <f t="array" ref="AI31">IF(C31="","",IFERROR((INDEX(終値!$E:$E,MATCH(TEXT(C31,"0"),終値!$A:$A,0))-INDEX(終値!$E:$CZ,MATCH(TEXT(C31,"0"),終値!$A:$A,0),$AN$2))/INDEX(終値!$E:$CZ,MATCH(TEXT(C31,"0"),終値!$A:$A,0),$AN$2)*100,""))</f>
        <v>-14.406184118060436</v>
      </c>
      <c r="AJ31" s="376">
        <f t="array" ref="AJ31">IFERROR((終値!$E$5-INDEX(終値!$E$5:$CZ$5,1,$AN$2))/INDEX(終値!$E$5:$CZ$5,1,$AN$2)*100,"")</f>
        <v>2.31989243802786</v>
      </c>
      <c r="AK31" s="377">
        <f t="shared" si="16"/>
        <v>-16.726076556088294</v>
      </c>
      <c r="AL31" s="375">
        <f t="shared" si="17"/>
        <v>3</v>
      </c>
      <c r="AO31" s="379" t="e">
        <f t="shared" si="18"/>
        <v>#VALUE!</v>
      </c>
      <c r="AP31" s="380" t="e">
        <f t="shared" si="19"/>
        <v>#VALUE!</v>
      </c>
      <c r="AQ31">
        <f>IF(C31&lt;&gt;"",始値!F155,"")</f>
        <v>4103</v>
      </c>
      <c r="AR31">
        <f>IF(C31&lt;&gt;"",高値!F155,"")</f>
        <v>4139</v>
      </c>
      <c r="AS31">
        <f>IF(C31&lt;&gt;"",安値!F155,"")</f>
        <v>4056</v>
      </c>
      <c r="AT31" t="str">
        <f t="shared" si="20"/>
        <v>通常</v>
      </c>
      <c r="AU31">
        <f t="shared" si="21"/>
        <v>0</v>
      </c>
    </row>
    <row r="32" spans="1:47" ht="14.25" customHeight="1">
      <c r="A32" s="335" t="str">
        <f>IF(銘柄管理!B175&lt;&gt;"",HYPERLINK("https://kabutan.jp/stock/?code="&amp;銘柄管理!B175,"株探"),"")</f>
        <v>株探</v>
      </c>
      <c r="B32" s="215"/>
      <c r="C32" s="478">
        <f>IF(銘柄管理!B175="","",銘柄管理!B175)</f>
        <v>1942</v>
      </c>
      <c r="D32" s="215" t="str">
        <f>IF(銘柄管理!C175="","",銘柄管理!C175)</f>
        <v/>
      </c>
      <c r="E32" s="336" t="str">
        <f>IF(C32&lt;&gt;"",_xll.RssMarket(C32,"現在値"),"")</f>
        <v/>
      </c>
      <c r="F32" s="336" t="str">
        <f>IF(C32&lt;&gt;"",_xll.RssMarket(C32,"始値"),"")</f>
        <v/>
      </c>
      <c r="G32" s="215">
        <f>IF(C32&lt;&gt;"",終値!F175,"")</f>
        <v>6330</v>
      </c>
      <c r="H32" s="336" t="str">
        <f>IF(C32&lt;&gt;"",_xll.RssMarket(C32,"高値"),"")</f>
        <v/>
      </c>
      <c r="I32" s="336" t="str">
        <f>IF(C32&lt;&gt;"",_xll.RssMarket(C32,"安値"),"")</f>
        <v/>
      </c>
      <c r="J32" s="336" t="str">
        <f>IF(C32&lt;&gt;"",_xll.RssMarket(C32,"出来高"),"")</f>
        <v/>
      </c>
      <c r="K32" s="336" t="str">
        <f>IF(C32&lt;&gt;"",_xll.RssMarket(C32,"年初来高値"),"")</f>
        <v/>
      </c>
      <c r="L32" s="337" t="str">
        <f t="shared" si="0"/>
        <v/>
      </c>
      <c r="M32" s="336">
        <f>IF(C32&lt;&gt;"",IFERROR(AVERAGE(出来高!E175:I175),""),"")</f>
        <v>964060</v>
      </c>
      <c r="N32" s="336">
        <f>IF(C32&lt;&gt;"",IFERROR(AVERAGE(出来高!E175:AC175),""),"")</f>
        <v>925852</v>
      </c>
      <c r="O32" s="338" t="str">
        <f t="shared" si="1"/>
        <v/>
      </c>
      <c r="P32" s="215" t="str">
        <f t="shared" si="2"/>
        <v/>
      </c>
      <c r="Q32" s="215" t="str">
        <f t="shared" si="3"/>
        <v/>
      </c>
      <c r="R32" s="336" t="str">
        <f t="shared" si="4"/>
        <v/>
      </c>
      <c r="S32" s="336" t="str">
        <f t="shared" si="5"/>
        <v/>
      </c>
      <c r="T32" s="328">
        <f t="shared" si="6"/>
        <v>0</v>
      </c>
      <c r="U32" s="215" t="str">
        <f t="shared" si="7"/>
        <v>除外</v>
      </c>
      <c r="V32" s="215" t="str">
        <f t="shared" si="8"/>
        <v/>
      </c>
      <c r="W32" s="339">
        <f t="array" ref="W32">IFERROR(100-100/(1+SUMPRODUCT((終値!F175:R175&gt;終値!G175:S175)*(終値!F175:R175-終値!G175:S175))/SUMPRODUCT((終値!F175:R175&lt;終値!G175:S175)*(終値!G175:S175-終値!F175:R175))),50)</f>
        <v>37.981779957953748</v>
      </c>
      <c r="X32" s="340">
        <f>IF(C32&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-47.827530757563181</v>
      </c>
      <c r="Y32" s="215" t="e">
        <f t="shared" si="9"/>
        <v>#VALUE!</v>
      </c>
      <c r="Z32" s="341" t="str">
        <f t="shared" si="10"/>
        <v/>
      </c>
      <c r="AA32" s="215" t="str">
        <f t="shared" si="11"/>
        <v/>
      </c>
      <c r="AB32" s="336">
        <f>IF(OR(C32="",C32="TOPX",終値!E175=""),"",IFERROR(((終値!E175*0.333)+(終値!F175*0.222)+(終値!G175*0.148)+(終値!H175*0.099)+(終値!I175*0.066))/(0.333+0.222+0.148+0.099+0.066),""))</f>
        <v>6091.6877880184338</v>
      </c>
      <c r="AC32" s="336">
        <f>IF(OR(C32="",C32="TOPX",終値!E175=""),"",IFERROR(SUMPRODUCT((終値!E175:AC175),{0.077,0.071,0.065,0.06,0.055,0.051,0.047,0.043,0.039,0.036,0.033,0.031,0.028,0.026,0.024,0.022,0.02,0.018,0.017,0.016,0.014,0.013,0.012,0.011,0.01})/SUM({0.077,0.071,0.065,0.06,0.055,0.051,0.047,0.043,0.039,0.036,0.033,0.031,0.028,0.026,0.024,0.022,0.02,0.018,0.017,0.016,0.014,0.013,0.012,0.011,0.01}),""))</f>
        <v>6407.2276519666248</v>
      </c>
      <c r="AD32" s="215" t="str">
        <f t="shared" si="12"/>
        <v>上昇トレンド▲</v>
      </c>
      <c r="AE32" s="215" t="e">
        <f t="shared" si="13"/>
        <v>#VALUE!</v>
      </c>
      <c r="AF32" t="e">
        <f>IF(T32="","",IF(銘柄管理!$F$5="上昇▲",IF(AND(AD32="下降トレンド▼",OR(AE32="25日戻り売り★",AE32="5日戻り売り○")),"★逆張り売り",IF(AND(AD32="もみ合い→",OR(AE32="25日戻り売り★",AE32="5日戻り売り○")),"○逆張り売り",IF(W32&gt;=70,IF(Z32&lt;0,"◎反落確認","△過熱・様子見"),"相場上昇・見送り"))),IF(AND(T32&gt;=12,AD32="下降トレンド▼"),"★強い売り",IF(T32&gt;=12,"★強い売り",IF(AND(T32&gt;=8,OR(AE32="25日戻り売り★",AE32="5日戻り売り○")),"◎戻り売り",IF(T32&gt;=10,"○売り候補",IF(T32&gt;=6,"△注目",IF(T32&gt;=3,"様子見","見送り"))))))))</f>
        <v>#VALUE!</v>
      </c>
      <c r="AG32">
        <f t="shared" si="14"/>
        <v>0</v>
      </c>
      <c r="AH32">
        <f t="shared" si="15"/>
        <v>0</v>
      </c>
      <c r="AI32" s="376">
        <f t="array" ref="AI32">IF(C32="","",IFERROR((INDEX(終値!$E:$E,MATCH(TEXT(C32,"0"),終値!$A:$A,0))-INDEX(終値!$E:$CZ,MATCH(TEXT(C32,"0"),終値!$A:$A,0),$AN$2))/INDEX(終値!$E:$CZ,MATCH(TEXT(C32,"0"),終値!$A:$A,0),$AN$2)*100,""))</f>
        <v>1.7406440382941688</v>
      </c>
      <c r="AJ32" s="376">
        <f t="array" ref="AJ32">IFERROR((終値!$E$5-INDEX(終値!$E$5:$CZ$5,1,$AN$2))/INDEX(終値!$E$5:$CZ$5,1,$AN$2)*100,"")</f>
        <v>2.31989243802786</v>
      </c>
      <c r="AK32" s="377">
        <f t="shared" si="16"/>
        <v>-0.57924839973369124</v>
      </c>
      <c r="AL32" s="375">
        <f t="shared" si="17"/>
        <v>1</v>
      </c>
      <c r="AO32" s="379" t="e">
        <f t="shared" si="18"/>
        <v>#VALUE!</v>
      </c>
      <c r="AP32" s="380" t="e">
        <f t="shared" si="19"/>
        <v>#VALUE!</v>
      </c>
      <c r="AQ32">
        <f>IF(C32&lt;&gt;"",始値!F175,"")</f>
        <v>6244</v>
      </c>
      <c r="AR32">
        <f>IF(C32&lt;&gt;"",高値!F175,"")</f>
        <v>6332</v>
      </c>
      <c r="AS32">
        <f>IF(C32&lt;&gt;"",安値!F175,"")</f>
        <v>6136</v>
      </c>
      <c r="AT32" t="str">
        <f t="shared" si="20"/>
        <v>長い下ヒゲ(反発)</v>
      </c>
      <c r="AU32">
        <f t="shared" si="21"/>
        <v>-2</v>
      </c>
    </row>
    <row r="33" spans="1:47" ht="14.25" customHeight="1">
      <c r="A33" s="327" t="str">
        <f>IF(銘柄管理!B195&lt;&gt;"",HYPERLINK("https://kabutan.jp/stock/?code="&amp;銘柄管理!B195,"株探"),"")</f>
        <v>株探</v>
      </c>
      <c r="B33" s="328"/>
      <c r="C33" s="477">
        <f>IF(銘柄管理!B195="","",銘柄管理!B195)</f>
        <v>6890</v>
      </c>
      <c r="D33" s="328" t="str">
        <f>IF(銘柄管理!C195="","",銘柄管理!C195)</f>
        <v/>
      </c>
      <c r="E33" s="329" t="str">
        <f>IF(C33&lt;&gt;"",_xll.RssMarket(C33,"現在値"),"")</f>
        <v/>
      </c>
      <c r="F33" s="329" t="str">
        <f>IF(C33&lt;&gt;"",_xll.RssMarket(C33,"始値"),"")</f>
        <v/>
      </c>
      <c r="G33" s="328">
        <f>IF(C33&lt;&gt;"",終値!F195,"")</f>
        <v>8260</v>
      </c>
      <c r="H33" s="329" t="str">
        <f>IF(C33&lt;&gt;"",_xll.RssMarket(C33,"高値"),"")</f>
        <v/>
      </c>
      <c r="I33" s="329" t="str">
        <f>IF(C33&lt;&gt;"",_xll.RssMarket(C33,"安値"),"")</f>
        <v/>
      </c>
      <c r="J33" s="329" t="str">
        <f>IF(C33&lt;&gt;"",_xll.RssMarket(C33,"出来高"),"")</f>
        <v/>
      </c>
      <c r="K33" s="329" t="str">
        <f>IF(C33&lt;&gt;"",_xll.RssMarket(C33,"年初来高値"),"")</f>
        <v/>
      </c>
      <c r="L33" s="330" t="str">
        <f t="shared" si="0"/>
        <v/>
      </c>
      <c r="M33" s="329">
        <f>IF(C33&lt;&gt;"",IFERROR(AVERAGE(出来高!E195:I195),""),"")</f>
        <v>1526480</v>
      </c>
      <c r="N33" s="329">
        <f>IF(C33&lt;&gt;"",IFERROR(AVERAGE(出来高!E195:AC195),""),"")</f>
        <v>1157632</v>
      </c>
      <c r="O33" s="331" t="str">
        <f t="shared" si="1"/>
        <v/>
      </c>
      <c r="P33" s="328" t="str">
        <f t="shared" si="2"/>
        <v/>
      </c>
      <c r="Q33" s="328" t="str">
        <f t="shared" si="3"/>
        <v/>
      </c>
      <c r="R33" s="329" t="str">
        <f t="shared" si="4"/>
        <v/>
      </c>
      <c r="S33" s="329" t="str">
        <f t="shared" si="5"/>
        <v/>
      </c>
      <c r="T33" s="328">
        <f t="shared" si="6"/>
        <v>0</v>
      </c>
      <c r="U33" s="328" t="str">
        <f t="shared" si="7"/>
        <v>除外</v>
      </c>
      <c r="V33" s="328" t="str">
        <f t="shared" si="8"/>
        <v/>
      </c>
      <c r="W33" s="332">
        <f t="array" ref="W33">IFERROR(100-100/(1+SUMPRODUCT((終値!F195:R195&gt;終値!G195:S195)*(終値!F195:R195-終値!G195:S195))/SUMPRODUCT((終値!F195:R195&lt;終値!G195:S195)*(終値!G195:S195-終値!F195:R195))),50)</f>
        <v>38.505747126436781</v>
      </c>
      <c r="X33" s="333">
        <f>IF(C33&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-246.4926623653173</v>
      </c>
      <c r="Y33" s="328" t="e">
        <f t="shared" si="9"/>
        <v>#VALUE!</v>
      </c>
      <c r="Z33" s="334" t="str">
        <f t="shared" si="10"/>
        <v/>
      </c>
      <c r="AA33" s="328" t="str">
        <f t="shared" si="11"/>
        <v/>
      </c>
      <c r="AB33" s="329">
        <f>IF(OR(C33="",C33="TOPX",終値!E195=""),"",IFERROR(((終値!E195*0.333)+(終値!F195*0.222)+(終値!G195*0.148)+(終値!H195*0.099)+(終値!I195*0.066))/(0.333+0.222+0.148+0.099+0.066),""))</f>
        <v>7835.6682027649767</v>
      </c>
      <c r="AC33" s="329">
        <f>IF(OR(C33="",C33="TOPX",終値!E195=""),"",IFERROR(SUMPRODUCT((終値!E195:AC195),{0.077,0.071,0.065,0.06,0.055,0.051,0.047,0.043,0.039,0.036,0.033,0.031,0.028,0.026,0.024,0.022,0.02,0.018,0.017,0.016,0.014,0.013,0.012,0.011,0.01})/SUM({0.077,0.071,0.065,0.06,0.055,0.051,0.047,0.043,0.039,0.036,0.033,0.031,0.028,0.026,0.024,0.022,0.02,0.018,0.017,0.016,0.014,0.013,0.012,0.011,0.01}),""))</f>
        <v>8760.6436233611421</v>
      </c>
      <c r="AD33" s="328" t="str">
        <f t="shared" si="12"/>
        <v>上昇トレンド▲</v>
      </c>
      <c r="AE33" s="328" t="e">
        <f t="shared" si="13"/>
        <v>#VALUE!</v>
      </c>
      <c r="AF33" t="e">
        <f>IF(T33="","",IF(銘柄管理!$F$5="上昇▲",IF(AND(AD33="下降トレンド▼",OR(AE33="25日戻り売り★",AE33="5日戻り売り○")),"★逆張り売り",IF(AND(AD33="もみ合い→",OR(AE33="25日戻り売り★",AE33="5日戻り売り○")),"○逆張り売り",IF(W33&gt;=70,IF(Z33&lt;0,"◎反落確認","△過熱・様子見"),"相場上昇・見送り"))),IF(AND(T33&gt;=12,AD33="下降トレンド▼"),"★強い売り",IF(T33&gt;=12,"★強い売り",IF(AND(T33&gt;=8,OR(AE33="25日戻り売り★",AE33="5日戻り売り○")),"◎戻り売り",IF(T33&gt;=10,"○売り候補",IF(T33&gt;=6,"△注目",IF(T33&gt;=3,"様子見","見送り"))))))))</f>
        <v>#VALUE!</v>
      </c>
      <c r="AG33">
        <f t="shared" si="14"/>
        <v>0</v>
      </c>
      <c r="AH33">
        <f t="shared" si="15"/>
        <v>0</v>
      </c>
      <c r="AI33" s="376">
        <f t="array" ref="AI33">IF(C33="","",IFERROR((INDEX(終値!$E:$E,MATCH(TEXT(C33,"0"),終値!$A:$A,0))-INDEX(終値!$E:$CZ,MATCH(TEXT(C33,"0"),終値!$A:$A,0),$AN$2))/INDEX(終値!$E:$CZ,MATCH(TEXT(C33,"0"),終値!$A:$A,0),$AN$2)*100,""))</f>
        <v>-11.040609137055837</v>
      </c>
      <c r="AJ33" s="376">
        <f t="array" ref="AJ33">IFERROR((終値!$E$5-INDEX(終値!$E$5:$CZ$5,1,$AN$2))/INDEX(終値!$E$5:$CZ$5,1,$AN$2)*100,"")</f>
        <v>2.31989243802786</v>
      </c>
      <c r="AK33" s="377">
        <f t="shared" si="16"/>
        <v>-13.360501575083697</v>
      </c>
      <c r="AL33" s="375">
        <f t="shared" si="17"/>
        <v>3</v>
      </c>
      <c r="AO33" s="379" t="e">
        <f t="shared" si="18"/>
        <v>#VALUE!</v>
      </c>
      <c r="AP33" s="380" t="e">
        <f t="shared" si="19"/>
        <v>#VALUE!</v>
      </c>
      <c r="AQ33">
        <f>IF(C33&lt;&gt;"",始値!F195,"")</f>
        <v>8160</v>
      </c>
      <c r="AR33">
        <f>IF(C33&lt;&gt;"",高値!F195,"")</f>
        <v>8260</v>
      </c>
      <c r="AS33">
        <f>IF(C33&lt;&gt;"",安値!F195,"")</f>
        <v>7930</v>
      </c>
      <c r="AT33" t="str">
        <f t="shared" si="20"/>
        <v>長い下ヒゲ(反発)</v>
      </c>
      <c r="AU33">
        <f t="shared" si="21"/>
        <v>-2</v>
      </c>
    </row>
    <row r="34" spans="1:47" ht="14.25" customHeight="1">
      <c r="A34" s="335" t="str">
        <f>IF(銘柄管理!B196&lt;&gt;"",HYPERLINK("https://kabutan.jp/stock/?code="&amp;銘柄管理!B196,"株探"),"")</f>
        <v>株探</v>
      </c>
      <c r="B34" s="215"/>
      <c r="C34" s="478">
        <f>IF(銘柄管理!B196="","",銘柄管理!B196)</f>
        <v>4966</v>
      </c>
      <c r="D34" s="215" t="str">
        <f>IF(銘柄管理!C196="","",銘柄管理!C196)</f>
        <v/>
      </c>
      <c r="E34" s="336" t="str">
        <f>IF(C34&lt;&gt;"",_xll.RssMarket(C34,"現在値"),"")</f>
        <v/>
      </c>
      <c r="F34" s="336" t="str">
        <f>IF(C34&lt;&gt;"",_xll.RssMarket(C34,"始値"),"")</f>
        <v/>
      </c>
      <c r="G34" s="215">
        <f>IF(C34&lt;&gt;"",終値!F196,"")</f>
        <v>25250</v>
      </c>
      <c r="H34" s="336" t="str">
        <f>IF(C34&lt;&gt;"",_xll.RssMarket(C34,"高値"),"")</f>
        <v/>
      </c>
      <c r="I34" s="336" t="str">
        <f>IF(C34&lt;&gt;"",_xll.RssMarket(C34,"安値"),"")</f>
        <v/>
      </c>
      <c r="J34" s="336" t="str">
        <f>IF(C34&lt;&gt;"",_xll.RssMarket(C34,"出来高"),"")</f>
        <v/>
      </c>
      <c r="K34" s="336" t="str">
        <f>IF(C34&lt;&gt;"",_xll.RssMarket(C34,"年初来高値"),"")</f>
        <v/>
      </c>
      <c r="L34" s="337" t="str">
        <f t="shared" si="0"/>
        <v/>
      </c>
      <c r="M34" s="336">
        <f>IF(C34&lt;&gt;"",IFERROR(AVERAGE(出来高!E196:I196),""),"")</f>
        <v>69180</v>
      </c>
      <c r="N34" s="336">
        <f>IF(C34&lt;&gt;"",IFERROR(AVERAGE(出来高!E196:AC196),""),"")</f>
        <v>61804</v>
      </c>
      <c r="O34" s="338" t="str">
        <f t="shared" si="1"/>
        <v/>
      </c>
      <c r="P34" s="215" t="str">
        <f t="shared" si="2"/>
        <v/>
      </c>
      <c r="Q34" s="215" t="str">
        <f t="shared" si="3"/>
        <v/>
      </c>
      <c r="R34" s="336" t="str">
        <f t="shared" si="4"/>
        <v/>
      </c>
      <c r="S34" s="336" t="str">
        <f t="shared" si="5"/>
        <v/>
      </c>
      <c r="T34" s="328">
        <f t="shared" si="6"/>
        <v>0</v>
      </c>
      <c r="U34" s="215" t="str">
        <f t="shared" si="7"/>
        <v>除外</v>
      </c>
      <c r="V34" s="215" t="str">
        <f t="shared" si="8"/>
        <v/>
      </c>
      <c r="W34" s="339">
        <f t="array" ref="W34">IFERROR(100-100/(1+SUMPRODUCT((終値!F196:R196&gt;終値!G196:S196)*(終値!F196:R196-終値!G196:S196))/SUMPRODUCT((終値!F196:R196&lt;終値!G196:S196)*(終値!G196:S196-終値!F196:R196))),50)</f>
        <v>39.587073608617594</v>
      </c>
      <c r="X34" s="340">
        <f>IF(C34&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-333.75706001059007</v>
      </c>
      <c r="Y34" s="215" t="e">
        <f t="shared" si="9"/>
        <v>#VALUE!</v>
      </c>
      <c r="Z34" s="341" t="str">
        <f t="shared" si="10"/>
        <v/>
      </c>
      <c r="AA34" s="215" t="str">
        <f t="shared" si="11"/>
        <v/>
      </c>
      <c r="AB34" s="336">
        <f>IF(OR(C34="",C34="TOPX",終値!E196=""),"",IFERROR(((終値!E196*0.333)+(終値!F196*0.222)+(終値!G196*0.148)+(終値!H196*0.099)+(終値!I196*0.066))/(0.333+0.222+0.148+0.099+0.066),""))</f>
        <v>23937.569124423961</v>
      </c>
      <c r="AC34" s="336">
        <f>IF(OR(C34="",C34="TOPX",終値!E196=""),"",IFERROR(SUMPRODUCT((終値!E196:AC196),{0.077,0.071,0.065,0.06,0.055,0.051,0.047,0.043,0.039,0.036,0.033,0.031,0.028,0.026,0.024,0.022,0.02,0.018,0.017,0.016,0.014,0.013,0.012,0.011,0.01})/SUM({0.077,0.071,0.065,0.06,0.055,0.051,0.047,0.043,0.039,0.036,0.033,0.031,0.028,0.026,0.024,0.022,0.02,0.018,0.017,0.016,0.014,0.013,0.012,0.011,0.01}),""))</f>
        <v>25203.194278903444</v>
      </c>
      <c r="AD34" s="215" t="str">
        <f t="shared" si="12"/>
        <v>上昇トレンド▲</v>
      </c>
      <c r="AE34" s="215" t="e">
        <f t="shared" si="13"/>
        <v>#VALUE!</v>
      </c>
      <c r="AF34" t="e">
        <f>IF(T34="","",IF(銘柄管理!$F$5="上昇▲",IF(AND(AD34="下降トレンド▼",OR(AE34="25日戻り売り★",AE34="5日戻り売り○")),"★逆張り売り",IF(AND(AD34="もみ合い→",OR(AE34="25日戻り売り★",AE34="5日戻り売り○")),"○逆張り売り",IF(W34&gt;=70,IF(Z34&lt;0,"◎反落確認","△過熱・様子見"),"相場上昇・見送り"))),IF(AND(T34&gt;=12,AD34="下降トレンド▼"),"★強い売り",IF(T34&gt;=12,"★強い売り",IF(AND(T34&gt;=8,OR(AE34="25日戻り売り★",AE34="5日戻り売り○")),"◎戻り売り",IF(T34&gt;=10,"○売り候補",IF(T34&gt;=6,"△注目",IF(T34&gt;=3,"様子見","見送り"))))))))</f>
        <v>#VALUE!</v>
      </c>
      <c r="AG34">
        <f t="shared" si="14"/>
        <v>0</v>
      </c>
      <c r="AH34">
        <f t="shared" si="15"/>
        <v>0</v>
      </c>
      <c r="AI34" s="376">
        <f t="array" ref="AI34">IF(C34="","",IFERROR((INDEX(終値!$E:$E,MATCH(TEXT(C34,"0"),終値!$A:$A,0))-INDEX(終値!$E:$CZ,MATCH(TEXT(C34,"0"),終値!$A:$A,0),$AN$2))/INDEX(終値!$E:$CZ,MATCH(TEXT(C34,"0"),終値!$A:$A,0),$AN$2)*100,""))</f>
        <v>5.5045871559633035</v>
      </c>
      <c r="AJ34" s="376">
        <f t="array" ref="AJ34">IFERROR((終値!$E$5-INDEX(終値!$E$5:$CZ$5,1,$AN$2))/INDEX(終値!$E$5:$CZ$5,1,$AN$2)*100,"")</f>
        <v>2.31989243802786</v>
      </c>
      <c r="AK34" s="377">
        <f t="shared" si="16"/>
        <v>3.1846947179354435</v>
      </c>
      <c r="AL34" s="375">
        <f t="shared" si="17"/>
        <v>-2</v>
      </c>
      <c r="AO34" s="379" t="e">
        <f t="shared" si="18"/>
        <v>#VALUE!</v>
      </c>
      <c r="AP34" s="380" t="e">
        <f t="shared" si="19"/>
        <v>#VALUE!</v>
      </c>
      <c r="AQ34">
        <f>IF(C34&lt;&gt;"",始値!F196,"")</f>
        <v>24520</v>
      </c>
      <c r="AR34">
        <f>IF(C34&lt;&gt;"",高値!F196,"")</f>
        <v>25250</v>
      </c>
      <c r="AS34">
        <f>IF(C34&lt;&gt;"",安値!F196,"")</f>
        <v>23870</v>
      </c>
      <c r="AT34" t="str">
        <f t="shared" si="20"/>
        <v>通常</v>
      </c>
      <c r="AU34">
        <f t="shared" si="21"/>
        <v>0</v>
      </c>
    </row>
    <row r="35" spans="1:47" ht="14.25" customHeight="1">
      <c r="A35" s="327" t="str">
        <f>IF(銘柄管理!B198&lt;&gt;"",HYPERLINK("https://kabutan.jp/stock/?code="&amp;銘柄管理!B198,"株探"),"")</f>
        <v>株探</v>
      </c>
      <c r="B35" s="328"/>
      <c r="C35" s="477">
        <f>IF(銘柄管理!B198="","",銘柄管理!B198)</f>
        <v>8035</v>
      </c>
      <c r="D35" s="328" t="str">
        <f>IF(銘柄管理!C198="","",銘柄管理!C198)</f>
        <v/>
      </c>
      <c r="E35" s="329" t="str">
        <f>IF(C35&lt;&gt;"",_xll.RssMarket(C35,"現在値"),"")</f>
        <v/>
      </c>
      <c r="F35" s="329" t="str">
        <f>IF(C35&lt;&gt;"",_xll.RssMarket(C35,"始値"),"")</f>
        <v/>
      </c>
      <c r="G35" s="328">
        <f>IF(C35&lt;&gt;"",終値!F198,"")</f>
        <v>74240</v>
      </c>
      <c r="H35" s="329" t="str">
        <f>IF(C35&lt;&gt;"",_xll.RssMarket(C35,"高値"),"")</f>
        <v/>
      </c>
      <c r="I35" s="329" t="str">
        <f>IF(C35&lt;&gt;"",_xll.RssMarket(C35,"安値"),"")</f>
        <v/>
      </c>
      <c r="J35" s="329" t="str">
        <f>IF(C35&lt;&gt;"",_xll.RssMarket(C35,"出来高"),"")</f>
        <v/>
      </c>
      <c r="K35" s="329" t="str">
        <f>IF(C35&lt;&gt;"",_xll.RssMarket(C35,"年初来高値"),"")</f>
        <v/>
      </c>
      <c r="L35" s="330" t="str">
        <f t="shared" si="0"/>
        <v/>
      </c>
      <c r="M35" s="329">
        <f>IF(C35&lt;&gt;"",IFERROR(AVERAGE(出来高!E198:I198),""),"")</f>
        <v>4365880</v>
      </c>
      <c r="N35" s="329">
        <f>IF(C35&lt;&gt;"",IFERROR(AVERAGE(出来高!E198:AC198),""),"")</f>
        <v>4696264</v>
      </c>
      <c r="O35" s="331" t="str">
        <f t="shared" si="1"/>
        <v/>
      </c>
      <c r="P35" s="328" t="str">
        <f t="shared" si="2"/>
        <v/>
      </c>
      <c r="Q35" s="328" t="str">
        <f t="shared" si="3"/>
        <v/>
      </c>
      <c r="R35" s="329" t="str">
        <f t="shared" si="4"/>
        <v/>
      </c>
      <c r="S35" s="329" t="str">
        <f t="shared" si="5"/>
        <v/>
      </c>
      <c r="T35" s="328">
        <f t="shared" si="6"/>
        <v>0</v>
      </c>
      <c r="U35" s="328" t="str">
        <f t="shared" si="7"/>
        <v>除外</v>
      </c>
      <c r="V35" s="328" t="str">
        <f t="shared" si="8"/>
        <v/>
      </c>
      <c r="W35" s="332">
        <f t="array" ref="W35">IFERROR(100-100/(1+SUMPRODUCT((終値!F198:R198&gt;終値!G198:S198)*(終値!F198:R198-終値!G198:S198))/SUMPRODUCT((終値!F198:R198&lt;終値!G198:S198)*(終値!G198:S198-終値!F198:R198))),50)</f>
        <v>48.213125406107864</v>
      </c>
      <c r="X35" s="333">
        <f>IF(C35&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-196.06024542366504</v>
      </c>
      <c r="Y35" s="328" t="e">
        <f t="shared" si="9"/>
        <v>#VALUE!</v>
      </c>
      <c r="Z35" s="334" t="str">
        <f t="shared" si="10"/>
        <v/>
      </c>
      <c r="AA35" s="328" t="str">
        <f t="shared" si="11"/>
        <v/>
      </c>
      <c r="AB35" s="329">
        <f>IF(OR(C35="",C35="TOPX",終値!E198=""),"",IFERROR(((終値!E198*0.333)+(終値!F198*0.222)+(終値!G198*0.148)+(終値!H198*0.099)+(終値!I198*0.066))/(0.333+0.222+0.148+0.099+0.066),""))</f>
        <v>69769.078341013825</v>
      </c>
      <c r="AC35" s="329">
        <f>IF(OR(C35="",C35="TOPX",終値!E198=""),"",IFERROR(SUMPRODUCT((終値!E198:AC198),{0.077,0.071,0.065,0.06,0.055,0.051,0.047,0.043,0.039,0.036,0.033,0.031,0.028,0.026,0.024,0.022,0.02,0.018,0.017,0.016,0.014,0.013,0.012,0.011,0.01})/SUM({0.077,0.071,0.065,0.06,0.055,0.051,0.047,0.043,0.039,0.036,0.033,0.031,0.028,0.026,0.024,0.022,0.02,0.018,0.017,0.016,0.014,0.013,0.012,0.011,0.01}),""))</f>
        <v>71600.071513706775</v>
      </c>
      <c r="AD35" s="328" t="str">
        <f t="shared" si="12"/>
        <v>上昇トレンド▲</v>
      </c>
      <c r="AE35" s="328" t="e">
        <f t="shared" si="13"/>
        <v>#VALUE!</v>
      </c>
      <c r="AF35" t="e">
        <f>IF(T35="","",IF(銘柄管理!$F$5="上昇▲",IF(AND(AD35="下降トレンド▼",OR(AE35="25日戻り売り★",AE35="5日戻り売り○")),"★逆張り売り",IF(AND(AD35="もみ合い→",OR(AE35="25日戻り売り★",AE35="5日戻り売り○")),"○逆張り売り",IF(W35&gt;=70,IF(Z35&lt;0,"◎反落確認","△過熱・様子見"),"相場上昇・見送り"))),IF(AND(T35&gt;=12,AD35="下降トレンド▼"),"★強い売り",IF(T35&gt;=12,"★強い売り",IF(AND(T35&gt;=8,OR(AE35="25日戻り売り★",AE35="5日戻り売り○")),"◎戻り売り",IF(T35&gt;=10,"○売り候補",IF(T35&gt;=6,"△注目",IF(T35&gt;=3,"様子見","見送り"))))))))</f>
        <v>#VALUE!</v>
      </c>
      <c r="AG35">
        <f t="shared" si="14"/>
        <v>0</v>
      </c>
      <c r="AH35">
        <f t="shared" si="15"/>
        <v>0</v>
      </c>
      <c r="AI35" s="376">
        <f t="array" ref="AI35">IF(C35="","",IFERROR((INDEX(終値!$E:$E,MATCH(TEXT(C35,"0"),終値!$A:$A,0))-INDEX(終値!$E:$CZ,MATCH(TEXT(C35,"0"),終値!$A:$A,0),$AN$2))/INDEX(終値!$E:$CZ,MATCH(TEXT(C35,"0"),終値!$A:$A,0),$AN$2)*100,""))</f>
        <v>18.320610687022899</v>
      </c>
      <c r="AJ35" s="376">
        <f t="array" ref="AJ35">IFERROR((終値!$E$5-INDEX(終値!$E$5:$CZ$5,1,$AN$2))/INDEX(終値!$E$5:$CZ$5,1,$AN$2)*100,"")</f>
        <v>2.31989243802786</v>
      </c>
      <c r="AK35" s="377">
        <f t="shared" si="16"/>
        <v>16.000718248995039</v>
      </c>
      <c r="AL35" s="375">
        <f t="shared" si="17"/>
        <v>-2</v>
      </c>
      <c r="AO35" s="379" t="e">
        <f t="shared" si="18"/>
        <v>#VALUE!</v>
      </c>
      <c r="AP35" s="380" t="e">
        <f t="shared" si="19"/>
        <v>#VALUE!</v>
      </c>
      <c r="AQ35">
        <f>IF(C35&lt;&gt;"",始値!F198,"")</f>
        <v>71900</v>
      </c>
      <c r="AR35">
        <f>IF(C35&lt;&gt;"",高値!F198,"")</f>
        <v>74810</v>
      </c>
      <c r="AS35">
        <f>IF(C35&lt;&gt;"",安値!F198,"")</f>
        <v>70780</v>
      </c>
      <c r="AT35" t="str">
        <f t="shared" si="20"/>
        <v>通常</v>
      </c>
      <c r="AU35">
        <f t="shared" si="21"/>
        <v>0</v>
      </c>
    </row>
    <row r="36" spans="1:47" ht="14.25" customHeight="1">
      <c r="A36" s="335" t="str">
        <f>IF(銘柄管理!B5&lt;&gt;"",HYPERLINK("https://kabutan.jp/stock/?code="&amp;銘柄管理!B5,"株探"),"")</f>
        <v>株探</v>
      </c>
      <c r="B36" s="215"/>
      <c r="C36" s="478" t="str">
        <f>IF(銘柄管理!B5="","",銘柄管理!B5)</f>
        <v>TOPX</v>
      </c>
      <c r="D36" s="215" t="str">
        <f>IF(銘柄管理!C5="","",銘柄管理!C5)</f>
        <v/>
      </c>
      <c r="E36" s="336" t="str">
        <f>IF(C36&lt;&gt;"",_xll.RssMarket(C36,"現在値"),"")</f>
        <v/>
      </c>
      <c r="F36" s="336" t="str">
        <f>IF(C36&lt;&gt;"",_xll.RssMarket(C36,"始値"),"")</f>
        <v/>
      </c>
      <c r="G36" s="215">
        <f>IF(C36&lt;&gt;"",終値!F5,"")</f>
        <v>4088.12</v>
      </c>
      <c r="H36" s="336" t="str">
        <f>IF(C36&lt;&gt;"",_xll.RssMarket(C36,"高値"),"")</f>
        <v/>
      </c>
      <c r="I36" s="336" t="str">
        <f>IF(C36&lt;&gt;"",_xll.RssMarket(C36,"安値"),"")</f>
        <v/>
      </c>
      <c r="J36" s="336" t="str">
        <f>IF(C36&lt;&gt;"",_xll.RssMarket(C36,"出来高"),"")</f>
        <v/>
      </c>
      <c r="K36" s="336" t="str">
        <f>IF(C36&lt;&gt;"",_xll.RssMarket(C36,"年初来高値"),"")</f>
        <v/>
      </c>
      <c r="L36" s="337" t="str">
        <f t="shared" si="0"/>
        <v/>
      </c>
      <c r="M36" s="336">
        <f>IF(C36&lt;&gt;"",IFERROR(AVERAGE(出来高!E5:I5),""),"")</f>
        <v>264368</v>
      </c>
      <c r="N36" s="336">
        <f>IF(C36&lt;&gt;"",IFERROR(AVERAGE(出来高!E5:AC5),""),"")</f>
        <v>266822.68</v>
      </c>
      <c r="O36" s="338" t="str">
        <f t="shared" si="1"/>
        <v/>
      </c>
      <c r="P36" s="215" t="str">
        <f t="shared" si="2"/>
        <v/>
      </c>
      <c r="Q36" s="215" t="str">
        <f t="shared" si="3"/>
        <v/>
      </c>
      <c r="R36" s="336" t="str">
        <f t="shared" si="4"/>
        <v/>
      </c>
      <c r="S36" s="336" t="str">
        <f t="shared" si="5"/>
        <v/>
      </c>
      <c r="T36" s="328">
        <f t="shared" si="6"/>
        <v>0</v>
      </c>
      <c r="U36" s="215" t="str">
        <f t="shared" si="7"/>
        <v>除外</v>
      </c>
      <c r="V36" s="215" t="str">
        <f t="shared" si="8"/>
        <v/>
      </c>
      <c r="W36" s="339">
        <f t="array" ref="W36">IFERROR(100-100/(1+SUMPRODUCT((終値!F5:R5&gt;終値!G5:S5)*(終値!F5:R5-終値!G5:S5))/SUMPRODUCT((終値!F5:R5&lt;終値!G5:S5)*(終値!G5:S5-終値!F5:R5))),50)</f>
        <v>66.72386058981229</v>
      </c>
      <c r="X36" s="340">
        <f>IF(C36&lt;&gt;"",IFERROR(SUMPRODUCT(終値!E5:P5,{0.154,0.132,0.113,0.097,0.083,0.071,0.061,0.052,0.045,0.038,0.033,0.028})/SUMPRODUCT({0.154,0.132,0.113,0.097,0.083,0.071,0.061,0.052,0.045,0.038,0.033,0.028})-SUMPRODUCT(終値!E5:AD5,{0.075,0.065,0.057,0.049,0.043,0.037,0.032,0.028,0.024,0.021,0.018,0.016,0.014,0.012,0.01,0.009,0.008,0.007,0.006,0.005,0.004,0.004,0.003,0.003,0.002,0.002})/SUMPRODUCT({0.075,0.065,0.057,0.049,0.043,0.037,0.032,0.028,0.024,0.021,0.018,0.016,0.014,0.012,0.01,0.009,0.008,0.007,0.006,0.005,0.004,0.004,0.003,0.003,0.002,0.002}),""),"")</f>
        <v>4.2773716660262835</v>
      </c>
      <c r="Y36" s="215" t="e">
        <f t="shared" si="9"/>
        <v>#VALUE!</v>
      </c>
      <c r="Z36" s="341" t="str">
        <f t="shared" si="10"/>
        <v/>
      </c>
      <c r="AA36" s="215" t="str">
        <f t="shared" si="11"/>
        <v/>
      </c>
      <c r="AB36" s="336" t="str">
        <f>IF(OR(C36="",C36="TOPX",終値!E5=""),"",IFERROR(((終値!E5*0.333)+(終値!F5*0.222)+(終値!G5*0.148)+(終値!H5*0.099)+(終値!I5*0.066))/(0.333+0.222+0.148+0.099+0.066),""))</f>
        <v/>
      </c>
      <c r="AC36" s="336" t="str">
        <f>IF(OR(C36="",C36="TOPX",終値!E5=""),"",IFERROR(SUMPRODUCT((終値!E5:AC5),{0.077,0.071,0.065,0.06,0.055,0.051,0.047,0.043,0.039,0.036,0.033,0.031,0.028,0.026,0.024,0.022,0.02,0.018,0.017,0.016,0.014,0.013,0.012,0.011,0.01})/SUM({0.077,0.071,0.065,0.06,0.055,0.051,0.047,0.043,0.039,0.036,0.033,0.031,0.028,0.026,0.024,0.022,0.02,0.018,0.017,0.016,0.014,0.013,0.012,0.011,0.01}),""))</f>
        <v/>
      </c>
      <c r="AD36" s="215" t="str">
        <f t="shared" si="12"/>
        <v/>
      </c>
      <c r="AE36" s="215" t="str">
        <f t="shared" si="13"/>
        <v/>
      </c>
      <c r="AF36" t="str">
        <f>IF(T36="","",IF(銘柄管理!$F$5="上昇▲",IF(AND(AD36="下降トレンド▼",OR(AE36="25日戻り売り★",AE36="5日戻り売り○")),"★逆張り売り",IF(AND(AD36="もみ合い→",OR(AE36="25日戻り売り★",AE36="5日戻り売り○")),"○逆張り売り",IF(W36&gt;=70,IF(Z36&lt;0,"◎反落確認","△過熱・様子見"),"相場上昇・見送り"))),IF(AND(T36&gt;=12,AD36="下降トレンド▼"),"★強い売り",IF(T36&gt;=12,"★強い売り",IF(AND(T36&gt;=8,OR(AE36="25日戻り売り★",AE36="5日戻り売り○")),"◎戻り売り",IF(T36&gt;=10,"○売り候補",IF(T36&gt;=6,"△注目",IF(T36&gt;=3,"様子見","見送り"))))))))</f>
        <v>見送り</v>
      </c>
      <c r="AG36">
        <f t="shared" si="14"/>
        <v>0</v>
      </c>
      <c r="AH36">
        <f t="shared" si="15"/>
        <v>0</v>
      </c>
      <c r="AI36" s="376">
        <f t="array" ref="AI36">IF(C36="","",IFERROR((INDEX(終値!$E:$E,MATCH(TEXT(C36,"0"),終値!$A:$A,0))-INDEX(終値!$E:$CZ,MATCH(TEXT(C36,"0"),終値!$A:$A,0),$AN$2))/INDEX(終値!$E:$CZ,MATCH(TEXT(C36,"0"),終値!$A:$A,0),$AN$2)*100,""))</f>
        <v>2.31989243802786</v>
      </c>
      <c r="AJ36" s="376">
        <f t="array" ref="AJ36">IFERROR((終値!$E$5-INDEX(終値!$E$5:$CZ$5,1,$AN$2))/INDEX(終値!$E$5:$CZ$5,1,$AN$2)*100,"")</f>
        <v>2.31989243802786</v>
      </c>
      <c r="AK36" s="377">
        <f t="shared" si="16"/>
        <v>0</v>
      </c>
      <c r="AL36" s="375">
        <f t="shared" si="17"/>
        <v>-1</v>
      </c>
      <c r="AO36" s="379" t="e">
        <f t="shared" si="18"/>
        <v>#VALUE!</v>
      </c>
      <c r="AP36" s="380" t="e">
        <f t="shared" si="19"/>
        <v>#VALUE!</v>
      </c>
      <c r="AQ36">
        <f>IF(C36&lt;&gt;"",始値!F5,"")</f>
        <v>4064.96</v>
      </c>
      <c r="AR36">
        <f>IF(C36&lt;&gt;"",高値!F5,"")</f>
        <v>4088.12</v>
      </c>
      <c r="AS36">
        <f>IF(C36&lt;&gt;"",安値!F5,"")</f>
        <v>4035.73</v>
      </c>
      <c r="AT36" t="str">
        <f t="shared" si="20"/>
        <v>長い下ヒゲ(反発)</v>
      </c>
      <c r="AU36">
        <f t="shared" si="21"/>
        <v>-2</v>
      </c>
    </row>
    <row r="37" spans="1:47" ht="14.25" customHeight="1">
      <c r="A37" s="327" t="str">
        <f>IF(銘柄管理!B17&lt;&gt;"",HYPERLINK("https://kabutan.jp/stock/?code="&amp;銘柄管理!B17,"株探"),"")</f>
        <v>株探</v>
      </c>
      <c r="B37" s="328"/>
      <c r="C37" s="477">
        <f>IF(銘柄管理!B17="","",銘柄管理!B17)</f>
        <v>5333</v>
      </c>
      <c r="D37" s="328" t="str">
        <f>IF(銘柄管理!C17="","",銘柄管理!C17)</f>
        <v/>
      </c>
      <c r="E37" s="329" t="str">
        <f>IF(C37&lt;&gt;"",_xll.RssMarket(C37,"現在値"),"")</f>
        <v/>
      </c>
      <c r="F37" s="329" t="str">
        <f>IF(C37&lt;&gt;"",_xll.RssMarket(C37,"始値"),"")</f>
        <v/>
      </c>
      <c r="G37" s="328">
        <f>IF(C37&lt;&gt;"",終値!F17,"")</f>
        <v>6759</v>
      </c>
      <c r="H37" s="329" t="str">
        <f>IF(C37&lt;&gt;"",_xll.RssMarket(C37,"高値"),"")</f>
        <v/>
      </c>
      <c r="I37" s="329" t="str">
        <f>IF(C37&lt;&gt;"",_xll.RssMarket(C37,"安値"),"")</f>
        <v/>
      </c>
      <c r="J37" s="329" t="str">
        <f>IF(C37&lt;&gt;"",_xll.RssMarket(C37,"出来高"),"")</f>
        <v/>
      </c>
      <c r="K37" s="329" t="str">
        <f>IF(C37&lt;&gt;"",_xll.RssMarket(C37,"年初来高値"),"")</f>
        <v/>
      </c>
      <c r="L37" s="330" t="str">
        <f t="shared" si="0"/>
        <v/>
      </c>
      <c r="M37" s="329">
        <f>IF(C37&lt;&gt;"",IFERROR(AVERAGE(出来高!E17:I17),""),"")</f>
        <v>1811860</v>
      </c>
      <c r="N37" s="329">
        <f>IF(C37&lt;&gt;"",IFERROR(AVERAGE(出来高!E17:AC17),""),"")</f>
        <v>1927940</v>
      </c>
      <c r="O37" s="331" t="str">
        <f t="shared" si="1"/>
        <v/>
      </c>
      <c r="P37" s="328" t="str">
        <f t="shared" si="2"/>
        <v/>
      </c>
      <c r="Q37" s="328" t="str">
        <f t="shared" si="3"/>
        <v/>
      </c>
      <c r="R37" s="329" t="str">
        <f t="shared" si="4"/>
        <v/>
      </c>
      <c r="S37" s="329" t="str">
        <f t="shared" si="5"/>
        <v/>
      </c>
      <c r="T37" s="328">
        <f t="shared" si="6"/>
        <v>0</v>
      </c>
      <c r="U37" s="328" t="str">
        <f t="shared" si="7"/>
        <v>除外</v>
      </c>
      <c r="V37" s="328" t="str">
        <f t="shared" si="8"/>
        <v/>
      </c>
      <c r="W37" s="332">
        <f t="array" ref="W37">IFERROR(100-100/(1+SUMPRODUCT((終値!F17:R17&gt;終値!G17:S17)*(終値!F17:R17-終値!G17:S17))/SUMPRODUCT((終値!F17:R17&lt;終値!G17:S17)*(終値!G17:S17-終値!F17:R17))),50)</f>
        <v>27.093802345058634</v>
      </c>
      <c r="X37" s="333">
        <f>IF(C37&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-83.811756932641401</v>
      </c>
      <c r="Y37" s="328" t="e">
        <f t="shared" si="9"/>
        <v>#VALUE!</v>
      </c>
      <c r="Z37" s="334" t="str">
        <f t="shared" si="10"/>
        <v/>
      </c>
      <c r="AA37" s="328" t="str">
        <f t="shared" si="11"/>
        <v/>
      </c>
      <c r="AB37" s="329">
        <f>IF(OR(C37="",C37="TOPX",終値!E17=""),"",IFERROR(((終値!E17*0.333)+(終値!F17*0.222)+(終値!G17*0.148)+(終値!H17*0.099)+(終値!I17*0.066))/(0.333+0.222+0.148+0.099+0.066),""))</f>
        <v>6457.6509216589857</v>
      </c>
      <c r="AC37" s="329">
        <f>IF(OR(C37="",C37="TOPX",終値!E17=""),"",IFERROR(SUMPRODUCT((終値!E17:AC17),{0.077,0.071,0.065,0.06,0.055,0.051,0.047,0.043,0.039,0.036,0.033,0.031,0.028,0.026,0.024,0.022,0.02,0.018,0.017,0.016,0.014,0.013,0.012,0.011,0.01})/SUM({0.077,0.071,0.065,0.06,0.055,0.051,0.047,0.043,0.039,0.036,0.033,0.031,0.028,0.026,0.024,0.022,0.02,0.018,0.017,0.016,0.014,0.013,0.012,0.011,0.01}),""))</f>
        <v>6979.0858164481497</v>
      </c>
      <c r="AD37" s="328" t="str">
        <f t="shared" si="12"/>
        <v>上昇トレンド▲</v>
      </c>
      <c r="AE37" s="328" t="e">
        <f t="shared" si="13"/>
        <v>#VALUE!</v>
      </c>
      <c r="AF37" t="e">
        <f>IF(T37="","",IF(銘柄管理!$F$5="上昇▲",IF(AND(AD37="下降トレンド▼",OR(AE37="25日戻り売り★",AE37="5日戻り売り○")),"★逆張り売り",IF(AND(AD37="もみ合い→",OR(AE37="25日戻り売り★",AE37="5日戻り売り○")),"○逆張り売り",IF(W37&gt;=70,IF(Z37&lt;0,"◎反落確認","△過熱・様子見"),"相場上昇・見送り"))),IF(AND(T37&gt;=12,AD37="下降トレンド▼"),"★強い売り",IF(T37&gt;=12,"★強い売り",IF(AND(T37&gt;=8,OR(AE37="25日戻り売り★",AE37="5日戻り売り○")),"◎戻り売り",IF(T37&gt;=10,"○売り候補",IF(T37&gt;=6,"△注目",IF(T37&gt;=3,"様子見","見送り"))))))))</f>
        <v>#VALUE!</v>
      </c>
      <c r="AG37">
        <f t="shared" si="14"/>
        <v>0</v>
      </c>
      <c r="AH37">
        <f t="shared" si="15"/>
        <v>0</v>
      </c>
      <c r="AI37" s="376">
        <f t="array" ref="AI37">IF(C37="","",IFERROR((INDEX(終値!$E:$E,MATCH(TEXT(C37,"0"),終値!$A:$A,0))-INDEX(終値!$E:$CZ,MATCH(TEXT(C37,"0"),終値!$A:$A,0),$AN$2))/INDEX(終値!$E:$CZ,MATCH(TEXT(C37,"0"),終値!$A:$A,0),$AN$2)*100,""))</f>
        <v>-1.428102429415627</v>
      </c>
      <c r="AJ37" s="376">
        <f t="array" ref="AJ37">IFERROR((終値!$E$5-INDEX(終値!$E$5:$CZ$5,1,$AN$2))/INDEX(終値!$E$5:$CZ$5,1,$AN$2)*100,"")</f>
        <v>2.31989243802786</v>
      </c>
      <c r="AK37" s="377">
        <f t="shared" si="16"/>
        <v>-3.7479948674434871</v>
      </c>
      <c r="AL37" s="375">
        <f t="shared" si="17"/>
        <v>1</v>
      </c>
      <c r="AO37" s="379" t="e">
        <f t="shared" si="18"/>
        <v>#VALUE!</v>
      </c>
      <c r="AP37" s="380" t="e">
        <f t="shared" si="19"/>
        <v>#VALUE!</v>
      </c>
      <c r="AQ37">
        <f>IF(C37&lt;&gt;"",始値!F17,"")</f>
        <v>6767</v>
      </c>
      <c r="AR37">
        <f>IF(C37&lt;&gt;"",高値!F17,"")</f>
        <v>6787</v>
      </c>
      <c r="AS37">
        <f>IF(C37&lt;&gt;"",安値!F17,"")</f>
        <v>6607</v>
      </c>
      <c r="AT37" t="str">
        <f t="shared" si="20"/>
        <v>長い下ヒゲ(反発)</v>
      </c>
      <c r="AU37">
        <f t="shared" si="21"/>
        <v>-2</v>
      </c>
    </row>
    <row r="38" spans="1:47" ht="14.25" customHeight="1">
      <c r="A38" s="335" t="str">
        <f>IF(銘柄管理!B47&lt;&gt;"",HYPERLINK("https://kabutan.jp/stock/?code="&amp;銘柄管理!B47,"株探"),"")</f>
        <v>株探</v>
      </c>
      <c r="B38" s="215"/>
      <c r="C38" s="478">
        <f>IF(銘柄管理!B47="","",銘柄管理!B47)</f>
        <v>8572</v>
      </c>
      <c r="D38" s="215" t="str">
        <f>IF(銘柄管理!C47="","",銘柄管理!C47)</f>
        <v/>
      </c>
      <c r="E38" s="336" t="str">
        <f>IF(C38&lt;&gt;"",_xll.RssMarket(C38,"現在値"),"")</f>
        <v/>
      </c>
      <c r="F38" s="336" t="str">
        <f>IF(C38&lt;&gt;"",_xll.RssMarket(C38,"始値"),"")</f>
        <v/>
      </c>
      <c r="G38" s="215">
        <f>IF(C38&lt;&gt;"",終値!F47,"")</f>
        <v>488.5</v>
      </c>
      <c r="H38" s="336" t="str">
        <f>IF(C38&lt;&gt;"",_xll.RssMarket(C38,"高値"),"")</f>
        <v/>
      </c>
      <c r="I38" s="336" t="str">
        <f>IF(C38&lt;&gt;"",_xll.RssMarket(C38,"安値"),"")</f>
        <v/>
      </c>
      <c r="J38" s="336" t="str">
        <f>IF(C38&lt;&gt;"",_xll.RssMarket(C38,"出来高"),"")</f>
        <v/>
      </c>
      <c r="K38" s="336" t="str">
        <f>IF(C38&lt;&gt;"",_xll.RssMarket(C38,"年初来高値"),"")</f>
        <v/>
      </c>
      <c r="L38" s="337" t="str">
        <f t="shared" si="0"/>
        <v/>
      </c>
      <c r="M38" s="336">
        <f>IF(C38&lt;&gt;"",IFERROR(AVERAGE(出来高!E47:I47),""),"")</f>
        <v>1014120</v>
      </c>
      <c r="N38" s="336">
        <f>IF(C38&lt;&gt;"",IFERROR(AVERAGE(出来高!E47:AC47),""),"")</f>
        <v>1328868</v>
      </c>
      <c r="O38" s="338" t="str">
        <f t="shared" si="1"/>
        <v/>
      </c>
      <c r="P38" s="215" t="str">
        <f t="shared" si="2"/>
        <v/>
      </c>
      <c r="Q38" s="215" t="str">
        <f t="shared" si="3"/>
        <v/>
      </c>
      <c r="R38" s="336" t="str">
        <f t="shared" si="4"/>
        <v/>
      </c>
      <c r="S38" s="336" t="str">
        <f t="shared" si="5"/>
        <v/>
      </c>
      <c r="T38" s="328">
        <f t="shared" si="6"/>
        <v>0</v>
      </c>
      <c r="U38" s="215" t="str">
        <f t="shared" si="7"/>
        <v>除外</v>
      </c>
      <c r="V38" s="215" t="str">
        <f t="shared" si="8"/>
        <v/>
      </c>
      <c r="W38" s="339">
        <f t="array" ref="W38">IFERROR(100-100/(1+SUMPRODUCT((終値!F47:R47&gt;終値!G47:S47)*(終値!F47:R47-終値!G47:S47))/SUMPRODUCT((終値!F47:R47&lt;終値!G47:S47)*(終値!G47:S47-終値!F47:R47))),50)</f>
        <v>87.852112676056365</v>
      </c>
      <c r="X38" s="340">
        <f>IF(C38&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5.3765000656746906</v>
      </c>
      <c r="Y38" s="215" t="e">
        <f t="shared" si="9"/>
        <v>#VALUE!</v>
      </c>
      <c r="Z38" s="341" t="str">
        <f t="shared" si="10"/>
        <v/>
      </c>
      <c r="AA38" s="215" t="str">
        <f t="shared" si="11"/>
        <v/>
      </c>
      <c r="AB38" s="336">
        <f>IF(OR(C38="",C38="TOPX",終値!E47=""),"",IFERROR(((終値!E47*0.333)+(終値!F47*0.222)+(終値!G47*0.148)+(終値!H47*0.099)+(終値!I47*0.066))/(0.333+0.222+0.148+0.099+0.066),""))</f>
        <v>484.63421658986169</v>
      </c>
      <c r="AC38" s="336">
        <f>IF(OR(C38="",C38="TOPX",終値!E47=""),"",IFERROR(SUMPRODUCT((終値!E47:AC47),{0.077,0.071,0.065,0.06,0.055,0.051,0.047,0.043,0.039,0.036,0.033,0.031,0.028,0.026,0.024,0.022,0.02,0.018,0.017,0.016,0.014,0.013,0.012,0.011,0.01})/SUM({0.077,0.071,0.065,0.06,0.055,0.051,0.047,0.043,0.039,0.036,0.033,0.031,0.028,0.026,0.024,0.022,0.02,0.018,0.017,0.016,0.014,0.013,0.012,0.011,0.01}),""))</f>
        <v>470.63945172824771</v>
      </c>
      <c r="AD38" s="215" t="str">
        <f t="shared" si="12"/>
        <v>パーフェクト▲</v>
      </c>
      <c r="AE38" s="215" t="e">
        <f t="shared" si="13"/>
        <v>#VALUE!</v>
      </c>
      <c r="AF38" t="e">
        <f>IF(T38="","",IF(銘柄管理!$F$5="上昇▲",IF(AND(AD38="下降トレンド▼",OR(AE38="25日戻り売り★",AE38="5日戻り売り○")),"★逆張り売り",IF(AND(AD38="もみ合い→",OR(AE38="25日戻り売り★",AE38="5日戻り売り○")),"○逆張り売り",IF(W38&gt;=70,IF(Z38&lt;0,"◎反落確認","△過熱・様子見"),"相場上昇・見送り"))),IF(AND(T38&gt;=12,AD38="下降トレンド▼"),"★強い売り",IF(T38&gt;=12,"★強い売り",IF(AND(T38&gt;=8,OR(AE38="25日戻り売り★",AE38="5日戻り売り○")),"◎戻り売り",IF(T38&gt;=10,"○売り候補",IF(T38&gt;=6,"△注目",IF(T38&gt;=3,"様子見","見送り"))))))))</f>
        <v>#VALUE!</v>
      </c>
      <c r="AG38">
        <f t="shared" si="14"/>
        <v>0</v>
      </c>
      <c r="AH38">
        <f t="shared" si="15"/>
        <v>0</v>
      </c>
      <c r="AI38" s="376">
        <f t="array" ref="AI38">IF(C38="","",IFERROR((INDEX(終値!$E:$E,MATCH(TEXT(C38,"0"),終値!$A:$A,0))-INDEX(終値!$E:$CZ,MATCH(TEXT(C38,"0"),終値!$A:$A,0),$AN$2))/INDEX(終値!$E:$CZ,MATCH(TEXT(C38,"0"),終値!$A:$A,0),$AN$2)*100,""))</f>
        <v>8.3967756381549474</v>
      </c>
      <c r="AJ38" s="376">
        <f t="array" ref="AJ38">IFERROR((終値!$E$5-INDEX(終値!$E$5:$CZ$5,1,$AN$2))/INDEX(終値!$E$5:$CZ$5,1,$AN$2)*100,"")</f>
        <v>2.31989243802786</v>
      </c>
      <c r="AK38" s="377">
        <f t="shared" si="16"/>
        <v>6.0768832001270869</v>
      </c>
      <c r="AL38" s="375">
        <f t="shared" si="17"/>
        <v>-2</v>
      </c>
      <c r="AO38" s="379" t="e">
        <f t="shared" si="18"/>
        <v>#VALUE!</v>
      </c>
      <c r="AP38" s="380" t="e">
        <f t="shared" si="19"/>
        <v>#VALUE!</v>
      </c>
      <c r="AQ38">
        <f>IF(C38&lt;&gt;"",始値!F47,"")</f>
        <v>488.9</v>
      </c>
      <c r="AR38">
        <f>IF(C38&lt;&gt;"",高値!F47,"")</f>
        <v>489.5</v>
      </c>
      <c r="AS38">
        <f>IF(C38&lt;&gt;"",安値!F47,"")</f>
        <v>485.6</v>
      </c>
      <c r="AT38" t="str">
        <f t="shared" si="20"/>
        <v>長い下ヒゲ(反発)</v>
      </c>
      <c r="AU38">
        <f t="shared" si="21"/>
        <v>-2</v>
      </c>
    </row>
    <row r="39" spans="1:47" ht="14.25" customHeight="1">
      <c r="A39" s="327" t="str">
        <f>IF(銘柄管理!B68&lt;&gt;"",HYPERLINK("https://kabutan.jp/stock/?code="&amp;銘柄管理!B68,"株探"),"")</f>
        <v>株探</v>
      </c>
      <c r="B39" s="328"/>
      <c r="C39" s="477">
        <f>IF(銘柄管理!B68="","",銘柄管理!B68)</f>
        <v>6503</v>
      </c>
      <c r="D39" s="328" t="str">
        <f>IF(銘柄管理!C68="","",銘柄管理!C68)</f>
        <v/>
      </c>
      <c r="E39" s="329" t="str">
        <f>IF(C39&lt;&gt;"",_xll.RssMarket(C39,"現在値"),"")</f>
        <v/>
      </c>
      <c r="F39" s="329" t="str">
        <f>IF(C39&lt;&gt;"",_xll.RssMarket(C39,"始値"),"")</f>
        <v/>
      </c>
      <c r="G39" s="328">
        <f>IF(C39&lt;&gt;"",終値!F68,"")</f>
        <v>5764</v>
      </c>
      <c r="H39" s="329" t="str">
        <f>IF(C39&lt;&gt;"",_xll.RssMarket(C39,"高値"),"")</f>
        <v/>
      </c>
      <c r="I39" s="329" t="str">
        <f>IF(C39&lt;&gt;"",_xll.RssMarket(C39,"安値"),"")</f>
        <v/>
      </c>
      <c r="J39" s="329" t="str">
        <f>IF(C39&lt;&gt;"",_xll.RssMarket(C39,"出来高"),"")</f>
        <v/>
      </c>
      <c r="K39" s="329" t="str">
        <f>IF(C39&lt;&gt;"",_xll.RssMarket(C39,"年初来高値"),"")</f>
        <v/>
      </c>
      <c r="L39" s="330" t="str">
        <f t="shared" si="0"/>
        <v/>
      </c>
      <c r="M39" s="329">
        <f>IF(C39&lt;&gt;"",IFERROR(AVERAGE(出来高!E68:I68),""),"")</f>
        <v>5258660</v>
      </c>
      <c r="N39" s="329">
        <f>IF(C39&lt;&gt;"",IFERROR(AVERAGE(出来高!E68:AC68),""),"")</f>
        <v>5471636</v>
      </c>
      <c r="O39" s="331" t="str">
        <f t="shared" si="1"/>
        <v/>
      </c>
      <c r="P39" s="328" t="str">
        <f t="shared" si="2"/>
        <v/>
      </c>
      <c r="Q39" s="328" t="str">
        <f t="shared" si="3"/>
        <v/>
      </c>
      <c r="R39" s="329" t="str">
        <f t="shared" si="4"/>
        <v/>
      </c>
      <c r="S39" s="329" t="str">
        <f t="shared" si="5"/>
        <v/>
      </c>
      <c r="T39" s="328">
        <f t="shared" si="6"/>
        <v>0</v>
      </c>
      <c r="U39" s="328" t="str">
        <f t="shared" si="7"/>
        <v>除外</v>
      </c>
      <c r="V39" s="328" t="str">
        <f t="shared" si="8"/>
        <v/>
      </c>
      <c r="W39" s="332">
        <f t="array" ref="W39">IFERROR(100-100/(1+SUMPRODUCT((終値!F68:R68&gt;終値!G68:S68)*(終値!F68:R68-終値!G68:S68))/SUMPRODUCT((終値!F68:R68&lt;終値!G68:S68)*(終値!G68:S68-終値!F68:R68))),50)</f>
        <v>42.259414225941427</v>
      </c>
      <c r="X39" s="333">
        <f>IF(C39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-37.291662520544378</v>
      </c>
      <c r="Y39" s="328" t="e">
        <f t="shared" si="9"/>
        <v>#VALUE!</v>
      </c>
      <c r="Z39" s="334" t="str">
        <f t="shared" si="10"/>
        <v/>
      </c>
      <c r="AA39" s="328" t="str">
        <f t="shared" si="11"/>
        <v/>
      </c>
      <c r="AB39" s="329">
        <f>IF(OR(C39="",C39="TOPX",終値!E68=""),"",IFERROR(((終値!E68*0.333)+(終値!F68*0.222)+(終値!G68*0.148)+(終値!H68*0.099)+(終値!I68*0.066))/(0.333+0.222+0.148+0.099+0.066),""))</f>
        <v>5574.9642857142853</v>
      </c>
      <c r="AC39" s="329">
        <f>IF(OR(C39="",C39="TOPX",終値!E68=""),"",IFERROR(SUMPRODUCT((終値!E68:AC68),{0.077,0.071,0.065,0.06,0.055,0.051,0.047,0.043,0.039,0.036,0.033,0.031,0.028,0.026,0.024,0.022,0.02,0.018,0.017,0.016,0.014,0.013,0.012,0.011,0.01})/SUM({0.077,0.071,0.065,0.06,0.055,0.051,0.047,0.043,0.039,0.036,0.033,0.031,0.028,0.026,0.024,0.022,0.02,0.018,0.017,0.016,0.014,0.013,0.012,0.011,0.01}),""))</f>
        <v>5784.7890345649566</v>
      </c>
      <c r="AD39" s="328" t="str">
        <f t="shared" si="12"/>
        <v>上昇トレンド▲</v>
      </c>
      <c r="AE39" s="328" t="e">
        <f t="shared" si="13"/>
        <v>#VALUE!</v>
      </c>
      <c r="AF39" t="e">
        <f>IF(T39="","",IF(銘柄管理!$F$5="上昇▲",IF(AND(AD39="下降トレンド▼",OR(AE39="25日戻り売り★",AE39="5日戻り売り○")),"★逆張り売り",IF(AND(AD39="もみ合い→",OR(AE39="25日戻り売り★",AE39="5日戻り売り○")),"○逆張り売り",IF(W39&gt;=70,IF(Z39&lt;0,"◎反落確認","△過熱・様子見"),"相場上昇・見送り"))),IF(AND(T39&gt;=12,AD39="下降トレンド▼"),"★強い売り",IF(T39&gt;=12,"★強い売り",IF(AND(T39&gt;=8,OR(AE39="25日戻り売り★",AE39="5日戻り売り○")),"◎戻り売り",IF(T39&gt;=10,"○売り候補",IF(T39&gt;=6,"△注目",IF(T39&gt;=3,"様子見","見送り"))))))))</f>
        <v>#VALUE!</v>
      </c>
      <c r="AG39">
        <f t="shared" si="14"/>
        <v>0</v>
      </c>
      <c r="AH39">
        <f t="shared" si="15"/>
        <v>0</v>
      </c>
      <c r="AI39" s="376">
        <f t="array" ref="AI39">IF(C39="","",IFERROR((INDEX(終値!$E:$E,MATCH(TEXT(C39,"0"),終値!$A:$A,0))-INDEX(終値!$E:$CZ,MATCH(TEXT(C39,"0"),終値!$A:$A,0),$AN$2))/INDEX(終値!$E:$CZ,MATCH(TEXT(C39,"0"),終値!$A:$A,0),$AN$2)*100,""))</f>
        <v>-5.2575864502470013</v>
      </c>
      <c r="AJ39" s="376">
        <f t="array" ref="AJ39">IFERROR((終値!$E$5-INDEX(終値!$E$5:$CZ$5,1,$AN$2))/INDEX(終値!$E$5:$CZ$5,1,$AN$2)*100,"")</f>
        <v>2.31989243802786</v>
      </c>
      <c r="AK39" s="377">
        <f t="shared" si="16"/>
        <v>-7.5774788882748609</v>
      </c>
      <c r="AL39" s="375">
        <f t="shared" si="17"/>
        <v>3</v>
      </c>
      <c r="AO39" s="379" t="e">
        <f t="shared" si="18"/>
        <v>#VALUE!</v>
      </c>
      <c r="AP39" s="380" t="e">
        <f t="shared" si="19"/>
        <v>#VALUE!</v>
      </c>
      <c r="AQ39">
        <f>IF(C39&lt;&gt;"",始値!F68,"")</f>
        <v>5747</v>
      </c>
      <c r="AR39">
        <f>IF(C39&lt;&gt;"",高値!F68,"")</f>
        <v>5769</v>
      </c>
      <c r="AS39">
        <f>IF(C39&lt;&gt;"",安値!F68,"")</f>
        <v>5609</v>
      </c>
      <c r="AT39" t="str">
        <f t="shared" si="20"/>
        <v>長い下ヒゲ(反発)</v>
      </c>
      <c r="AU39">
        <f t="shared" si="21"/>
        <v>-2</v>
      </c>
    </row>
    <row r="40" spans="1:47" ht="14.25" customHeight="1">
      <c r="A40" s="335" t="str">
        <f>IF(銘柄管理!B86&lt;&gt;"",HYPERLINK("https://kabutan.jp/stock/?code="&amp;銘柄管理!B86,"株探"),"")</f>
        <v>株探</v>
      </c>
      <c r="B40" s="215"/>
      <c r="C40" s="478">
        <f>IF(銘柄管理!B86="","",銘柄管理!B86)</f>
        <v>1963</v>
      </c>
      <c r="D40" s="215" t="str">
        <f>IF(銘柄管理!C86="","",銘柄管理!C86)</f>
        <v/>
      </c>
      <c r="E40" s="336" t="str">
        <f>IF(C40&lt;&gt;"",_xll.RssMarket(C40,"現在値"),"")</f>
        <v/>
      </c>
      <c r="F40" s="336" t="str">
        <f>IF(C40&lt;&gt;"",_xll.RssMarket(C40,"始値"),"")</f>
        <v/>
      </c>
      <c r="G40" s="215">
        <f>IF(C40&lt;&gt;"",終値!F86,"")</f>
        <v>2325</v>
      </c>
      <c r="H40" s="336" t="str">
        <f>IF(C40&lt;&gt;"",_xll.RssMarket(C40,"高値"),"")</f>
        <v/>
      </c>
      <c r="I40" s="336" t="str">
        <f>IF(C40&lt;&gt;"",_xll.RssMarket(C40,"安値"),"")</f>
        <v/>
      </c>
      <c r="J40" s="336" t="str">
        <f>IF(C40&lt;&gt;"",_xll.RssMarket(C40,"出来高"),"")</f>
        <v/>
      </c>
      <c r="K40" s="336" t="str">
        <f>IF(C40&lt;&gt;"",_xll.RssMarket(C40,"年初来高値"),"")</f>
        <v/>
      </c>
      <c r="L40" s="337" t="str">
        <f t="shared" si="0"/>
        <v/>
      </c>
      <c r="M40" s="336">
        <f>IF(C40&lt;&gt;"",IFERROR(AVERAGE(出来高!E86:I86),""),"")</f>
        <v>1755700</v>
      </c>
      <c r="N40" s="336">
        <f>IF(C40&lt;&gt;"",IFERROR(AVERAGE(出来高!E86:AC86),""),"")</f>
        <v>1674636</v>
      </c>
      <c r="O40" s="338" t="str">
        <f t="shared" si="1"/>
        <v/>
      </c>
      <c r="P40" s="215" t="str">
        <f t="shared" si="2"/>
        <v/>
      </c>
      <c r="Q40" s="215" t="str">
        <f t="shared" si="3"/>
        <v/>
      </c>
      <c r="R40" s="336" t="str">
        <f t="shared" si="4"/>
        <v/>
      </c>
      <c r="S40" s="336" t="str">
        <f t="shared" si="5"/>
        <v/>
      </c>
      <c r="T40" s="328">
        <f t="shared" si="6"/>
        <v>0</v>
      </c>
      <c r="U40" s="215" t="str">
        <f t="shared" si="7"/>
        <v>除外</v>
      </c>
      <c r="V40" s="215" t="str">
        <f t="shared" si="8"/>
        <v/>
      </c>
      <c r="W40" s="339">
        <f t="array" ref="W40">IFERROR(100-100/(1+SUMPRODUCT((終値!F86:R86&gt;終値!G86:S86)*(終値!F86:R86-終値!G86:S86))/SUMPRODUCT((終値!F86:R86&lt;終値!G86:S86)*(終値!G86:S86-終値!F86:R86))),50)</f>
        <v>27.195767195767189</v>
      </c>
      <c r="X40" s="340">
        <f>IF(C40&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-43.085318163182365</v>
      </c>
      <c r="Y40" s="215" t="e">
        <f t="shared" si="9"/>
        <v>#VALUE!</v>
      </c>
      <c r="Z40" s="341" t="str">
        <f t="shared" si="10"/>
        <v/>
      </c>
      <c r="AA40" s="215" t="str">
        <f t="shared" si="11"/>
        <v/>
      </c>
      <c r="AB40" s="336">
        <f>IF(OR(C40="",C40="TOPX",終値!E86=""),"",IFERROR(((終値!E86*0.333)+(終値!F86*0.222)+(終値!G86*0.148)+(終値!H86*0.099)+(終値!I86*0.066))/(0.333+0.222+0.148+0.099+0.066),""))</f>
        <v>2268.5990783410139</v>
      </c>
      <c r="AC40" s="336">
        <f>IF(OR(C40="",C40="TOPX",終値!E86=""),"",IFERROR(SUMPRODUCT((終値!E86:AC86),{0.077,0.071,0.065,0.06,0.055,0.051,0.047,0.043,0.039,0.036,0.033,0.031,0.028,0.026,0.024,0.022,0.02,0.018,0.017,0.016,0.014,0.013,0.012,0.011,0.01})/SUM({0.077,0.071,0.065,0.06,0.055,0.051,0.047,0.043,0.039,0.036,0.033,0.031,0.028,0.026,0.024,0.022,0.02,0.018,0.017,0.016,0.014,0.013,0.012,0.011,0.01}),""))</f>
        <v>2423.6674612634083</v>
      </c>
      <c r="AD40" s="215" t="str">
        <f t="shared" si="12"/>
        <v>上昇トレンド▲</v>
      </c>
      <c r="AE40" s="215" t="e">
        <f t="shared" si="13"/>
        <v>#VALUE!</v>
      </c>
      <c r="AF40" t="e">
        <f>IF(T40="","",IF(銘柄管理!$F$5="上昇▲",IF(AND(AD40="下降トレンド▼",OR(AE40="25日戻り売り★",AE40="5日戻り売り○")),"★逆張り売り",IF(AND(AD40="もみ合い→",OR(AE40="25日戻り売り★",AE40="5日戻り売り○")),"○逆張り売り",IF(W40&gt;=70,IF(Z40&lt;0,"◎反落確認","△過熱・様子見"),"相場上昇・見送り"))),IF(AND(T40&gt;=12,AD40="下降トレンド▼"),"★強い売り",IF(T40&gt;=12,"★強い売り",IF(AND(T40&gt;=8,OR(AE40="25日戻り売り★",AE40="5日戻り売り○")),"◎戻り売り",IF(T40&gt;=10,"○売り候補",IF(T40&gt;=6,"△注目",IF(T40&gt;=3,"様子見","見送り"))))))))</f>
        <v>#VALUE!</v>
      </c>
      <c r="AG40">
        <f t="shared" si="14"/>
        <v>0</v>
      </c>
      <c r="AH40">
        <f t="shared" si="15"/>
        <v>0</v>
      </c>
      <c r="AI40" s="376">
        <f t="array" ref="AI40">IF(C40="","",IFERROR((INDEX(終値!$E:$E,MATCH(TEXT(C40,"0"),終値!$A:$A,0))-INDEX(終値!$E:$CZ,MATCH(TEXT(C40,"0"),終値!$A:$A,0),$AN$2))/INDEX(終値!$E:$CZ,MATCH(TEXT(C40,"0"),終値!$A:$A,0),$AN$2)*100,""))</f>
        <v>-14.017961733697772</v>
      </c>
      <c r="AJ40" s="376">
        <f t="array" ref="AJ40">IFERROR((終値!$E$5-INDEX(終値!$E$5:$CZ$5,1,$AN$2))/INDEX(終値!$E$5:$CZ$5,1,$AN$2)*100,"")</f>
        <v>2.31989243802786</v>
      </c>
      <c r="AK40" s="377">
        <f t="shared" si="16"/>
        <v>-16.337854171725631</v>
      </c>
      <c r="AL40" s="375">
        <f t="shared" si="17"/>
        <v>3</v>
      </c>
      <c r="AO40" s="379" t="e">
        <f t="shared" si="18"/>
        <v>#VALUE!</v>
      </c>
      <c r="AP40" s="380" t="e">
        <f t="shared" si="19"/>
        <v>#VALUE!</v>
      </c>
      <c r="AQ40">
        <f>IF(C40&lt;&gt;"",始値!F86,"")</f>
        <v>2310</v>
      </c>
      <c r="AR40">
        <f>IF(C40&lt;&gt;"",高値!F86,"")</f>
        <v>2337.5</v>
      </c>
      <c r="AS40">
        <f>IF(C40&lt;&gt;"",安値!F86,"")</f>
        <v>2295</v>
      </c>
      <c r="AT40" t="str">
        <f t="shared" si="20"/>
        <v>通常</v>
      </c>
      <c r="AU40">
        <f t="shared" si="21"/>
        <v>0</v>
      </c>
    </row>
    <row r="41" spans="1:47" ht="14.25" customHeight="1">
      <c r="A41" s="327" t="str">
        <f>IF(銘柄管理!B90&lt;&gt;"",HYPERLINK("https://kabutan.jp/stock/?code="&amp;銘柄管理!B90,"株探"),"")</f>
        <v>株探</v>
      </c>
      <c r="B41" s="328"/>
      <c r="C41" s="477">
        <f>IF(銘柄管理!B90="","",銘柄管理!B90)</f>
        <v>6323</v>
      </c>
      <c r="D41" s="328" t="str">
        <f>IF(銘柄管理!C90="","",銘柄管理!C90)</f>
        <v/>
      </c>
      <c r="E41" s="329" t="str">
        <f>IF(C41&lt;&gt;"",_xll.RssMarket(C41,"現在値"),"")</f>
        <v/>
      </c>
      <c r="F41" s="329" t="str">
        <f>IF(C41&lt;&gt;"",_xll.RssMarket(C41,"始値"),"")</f>
        <v/>
      </c>
      <c r="G41" s="328">
        <f>IF(C41&lt;&gt;"",終値!F90,"")</f>
        <v>4950</v>
      </c>
      <c r="H41" s="329" t="str">
        <f>IF(C41&lt;&gt;"",_xll.RssMarket(C41,"高値"),"")</f>
        <v/>
      </c>
      <c r="I41" s="329" t="str">
        <f>IF(C41&lt;&gt;"",_xll.RssMarket(C41,"安値"),"")</f>
        <v/>
      </c>
      <c r="J41" s="329" t="str">
        <f>IF(C41&lt;&gt;"",_xll.RssMarket(C41,"出来高"),"")</f>
        <v/>
      </c>
      <c r="K41" s="329" t="str">
        <f>IF(C41&lt;&gt;"",_xll.RssMarket(C41,"年初来高値"),"")</f>
        <v/>
      </c>
      <c r="L41" s="330" t="str">
        <f t="shared" si="0"/>
        <v/>
      </c>
      <c r="M41" s="329">
        <f>IF(C41&lt;&gt;"",IFERROR(AVERAGE(出来高!E90:I90),""),"")</f>
        <v>5165220</v>
      </c>
      <c r="N41" s="329">
        <f>IF(C41&lt;&gt;"",IFERROR(AVERAGE(出来高!E90:AC90),""),"")</f>
        <v>2530224</v>
      </c>
      <c r="O41" s="331" t="str">
        <f t="shared" si="1"/>
        <v/>
      </c>
      <c r="P41" s="328" t="str">
        <f t="shared" si="2"/>
        <v/>
      </c>
      <c r="Q41" s="328" t="str">
        <f t="shared" si="3"/>
        <v/>
      </c>
      <c r="R41" s="329" t="str">
        <f t="shared" si="4"/>
        <v/>
      </c>
      <c r="S41" s="329" t="str">
        <f t="shared" si="5"/>
        <v/>
      </c>
      <c r="T41" s="328">
        <f t="shared" si="6"/>
        <v>0</v>
      </c>
      <c r="U41" s="328" t="str">
        <f t="shared" si="7"/>
        <v>除外</v>
      </c>
      <c r="V41" s="328" t="str">
        <f t="shared" si="8"/>
        <v/>
      </c>
      <c r="W41" s="332">
        <f t="array" ref="W41">IFERROR(100-100/(1+SUMPRODUCT((終値!F90:R90&gt;終値!G90:S90)*(終値!F90:R90-終値!G90:S90))/SUMPRODUCT((終値!F90:R90&lt;終値!G90:S90)*(終値!G90:S90-終値!F90:R90))),50)</f>
        <v>51.844660194174757</v>
      </c>
      <c r="X41" s="333">
        <f>IF(C41&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16.965391519628611</v>
      </c>
      <c r="Y41" s="328" t="e">
        <f t="shared" si="9"/>
        <v>#VALUE!</v>
      </c>
      <c r="Z41" s="334" t="str">
        <f t="shared" si="10"/>
        <v/>
      </c>
      <c r="AA41" s="328" t="str">
        <f t="shared" si="11"/>
        <v/>
      </c>
      <c r="AB41" s="329">
        <f>IF(OR(C41="",C41="TOPX",終値!E90=""),"",IFERROR(((終値!E90*0.333)+(終値!F90*0.222)+(終値!G90*0.148)+(終値!H90*0.099)+(終値!I90*0.066))/(0.333+0.222+0.148+0.099+0.066),""))</f>
        <v>4609.2868663594463</v>
      </c>
      <c r="AC41" s="329">
        <f>IF(OR(C41="",C41="TOPX",終値!E90=""),"",IFERROR(SUMPRODUCT((終値!E90:AC90),{0.077,0.071,0.065,0.06,0.055,0.051,0.047,0.043,0.039,0.036,0.033,0.031,0.028,0.026,0.024,0.022,0.02,0.018,0.017,0.016,0.014,0.013,0.012,0.011,0.01})/SUM({0.077,0.071,0.065,0.06,0.055,0.051,0.047,0.043,0.039,0.036,0.033,0.031,0.028,0.026,0.024,0.022,0.02,0.018,0.017,0.016,0.014,0.013,0.012,0.011,0.01}),""))</f>
        <v>4625.6328963051228</v>
      </c>
      <c r="AD41" s="328" t="str">
        <f t="shared" si="12"/>
        <v>上昇トレンド▲</v>
      </c>
      <c r="AE41" s="328" t="e">
        <f t="shared" si="13"/>
        <v>#VALUE!</v>
      </c>
      <c r="AF41" t="e">
        <f>IF(T41="","",IF(銘柄管理!$F$5="上昇▲",IF(AND(AD41="下降トレンド▼",OR(AE41="25日戻り売り★",AE41="5日戻り売り○")),"★逆張り売り",IF(AND(AD41="もみ合い→",OR(AE41="25日戻り売り★",AE41="5日戻り売り○")),"○逆張り売り",IF(W41&gt;=70,IF(Z41&lt;0,"◎反落確認","△過熱・様子見"),"相場上昇・見送り"))),IF(AND(T41&gt;=12,AD41="下降トレンド▼"),"★強い売り",IF(T41&gt;=12,"★強い売り",IF(AND(T41&gt;=8,OR(AE41="25日戻り売り★",AE41="5日戻り売り○")),"◎戻り売り",IF(T41&gt;=10,"○売り候補",IF(T41&gt;=6,"△注目",IF(T41&gt;=3,"様子見","見送り"))))))))</f>
        <v>#VALUE!</v>
      </c>
      <c r="AG41">
        <f t="shared" si="14"/>
        <v>0</v>
      </c>
      <c r="AH41">
        <f t="shared" si="15"/>
        <v>0</v>
      </c>
      <c r="AI41" s="376">
        <f t="array" ref="AI41">IF(C41="","",IFERROR((INDEX(終値!$E:$E,MATCH(TEXT(C41,"0"),終値!$A:$A,0))-INDEX(終値!$E:$CZ,MATCH(TEXT(C41,"0"),終値!$A:$A,0),$AN$2))/INDEX(終値!$E:$CZ,MATCH(TEXT(C41,"0"),終値!$A:$A,0),$AN$2)*100,""))</f>
        <v>11.69457128361238</v>
      </c>
      <c r="AJ41" s="376">
        <f t="array" ref="AJ41">IFERROR((終値!$E$5-INDEX(終値!$E$5:$CZ$5,1,$AN$2))/INDEX(終値!$E$5:$CZ$5,1,$AN$2)*100,"")</f>
        <v>2.31989243802786</v>
      </c>
      <c r="AK41" s="377">
        <f t="shared" si="16"/>
        <v>9.3746788455845191</v>
      </c>
      <c r="AL41" s="375">
        <f t="shared" si="17"/>
        <v>-2</v>
      </c>
      <c r="AO41" s="379" t="e">
        <f t="shared" si="18"/>
        <v>#VALUE!</v>
      </c>
      <c r="AP41" s="380" t="e">
        <f t="shared" si="19"/>
        <v>#VALUE!</v>
      </c>
      <c r="AQ41">
        <f>IF(C41&lt;&gt;"",始値!F90,"")</f>
        <v>4515</v>
      </c>
      <c r="AR41">
        <f>IF(C41&lt;&gt;"",高値!F90,"")</f>
        <v>5149</v>
      </c>
      <c r="AS41">
        <f>IF(C41&lt;&gt;"",安値!F90,"")</f>
        <v>4501</v>
      </c>
      <c r="AT41" t="str">
        <f t="shared" si="20"/>
        <v>通常</v>
      </c>
      <c r="AU41">
        <f t="shared" si="21"/>
        <v>0</v>
      </c>
    </row>
    <row r="42" spans="1:47" ht="14.25" customHeight="1">
      <c r="A42" s="335" t="str">
        <f>IF(銘柄管理!B105&lt;&gt;"",HYPERLINK("https://kabutan.jp/stock/?code="&amp;銘柄管理!B105,"株探"),"")</f>
        <v>株探</v>
      </c>
      <c r="B42" s="215"/>
      <c r="C42" s="478">
        <f>IF(銘柄管理!B105="","",銘柄管理!B105)</f>
        <v>6925</v>
      </c>
      <c r="D42" s="215" t="str">
        <f>IF(銘柄管理!C105="","",銘柄管理!C105)</f>
        <v/>
      </c>
      <c r="E42" s="336" t="str">
        <f>IF(C42&lt;&gt;"",_xll.RssMarket(C42,"現在値"),"")</f>
        <v/>
      </c>
      <c r="F42" s="336" t="str">
        <f>IF(C42&lt;&gt;"",_xll.RssMarket(C42,"始値"),"")</f>
        <v/>
      </c>
      <c r="G42" s="215">
        <f>IF(C42&lt;&gt;"",終値!F105,"")</f>
        <v>4235</v>
      </c>
      <c r="H42" s="336" t="str">
        <f>IF(C42&lt;&gt;"",_xll.RssMarket(C42,"高値"),"")</f>
        <v/>
      </c>
      <c r="I42" s="336" t="str">
        <f>IF(C42&lt;&gt;"",_xll.RssMarket(C42,"安値"),"")</f>
        <v/>
      </c>
      <c r="J42" s="336" t="str">
        <f>IF(C42&lt;&gt;"",_xll.RssMarket(C42,"出来高"),"")</f>
        <v/>
      </c>
      <c r="K42" s="336" t="str">
        <f>IF(C42&lt;&gt;"",_xll.RssMarket(C42,"年初来高値"),"")</f>
        <v/>
      </c>
      <c r="L42" s="337" t="str">
        <f t="shared" si="0"/>
        <v/>
      </c>
      <c r="M42" s="336">
        <f>IF(C42&lt;&gt;"",IFERROR(AVERAGE(出来高!E105:I105),""),"")</f>
        <v>429140</v>
      </c>
      <c r="N42" s="336">
        <f>IF(C42&lt;&gt;"",IFERROR(AVERAGE(出来高!E105:AC105),""),"")</f>
        <v>491084</v>
      </c>
      <c r="O42" s="338" t="str">
        <f t="shared" si="1"/>
        <v/>
      </c>
      <c r="P42" s="215" t="str">
        <f t="shared" si="2"/>
        <v/>
      </c>
      <c r="Q42" s="215" t="str">
        <f t="shared" si="3"/>
        <v/>
      </c>
      <c r="R42" s="336" t="str">
        <f t="shared" si="4"/>
        <v/>
      </c>
      <c r="S42" s="336" t="str">
        <f t="shared" si="5"/>
        <v/>
      </c>
      <c r="T42" s="328">
        <f t="shared" si="6"/>
        <v>0</v>
      </c>
      <c r="U42" s="215" t="str">
        <f t="shared" si="7"/>
        <v>除外</v>
      </c>
      <c r="V42" s="215" t="str">
        <f t="shared" si="8"/>
        <v/>
      </c>
      <c r="W42" s="339">
        <f t="array" ref="W42">IFERROR(100-100/(1+SUMPRODUCT((終値!F105:R105&gt;終値!G105:S105)*(終値!F105:R105-終値!G105:S105))/SUMPRODUCT((終値!F105:R105&lt;終値!G105:S105)*(終値!G105:S105-終値!F105:R105))),50)</f>
        <v>43.472022955523677</v>
      </c>
      <c r="X42" s="340">
        <f>IF(C42&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-33.461303778473848</v>
      </c>
      <c r="Y42" s="215" t="e">
        <f t="shared" si="9"/>
        <v>#VALUE!</v>
      </c>
      <c r="Z42" s="341" t="str">
        <f t="shared" si="10"/>
        <v/>
      </c>
      <c r="AA42" s="215" t="str">
        <f t="shared" si="11"/>
        <v/>
      </c>
      <c r="AB42" s="336">
        <f>IF(OR(C42="",C42="TOPX",終値!E105=""),"",IFERROR(((終値!E105*0.333)+(終値!F105*0.222)+(終値!G105*0.148)+(終値!H105*0.099)+(終値!I105*0.066))/(0.333+0.222+0.148+0.099+0.066),""))</f>
        <v>4057.0887096774186</v>
      </c>
      <c r="AC42" s="336">
        <f>IF(OR(C42="",C42="TOPX",終値!E105=""),"",IFERROR(SUMPRODUCT((終値!E105:AC105),{0.077,0.071,0.065,0.06,0.055,0.051,0.047,0.043,0.039,0.036,0.033,0.031,0.028,0.026,0.024,0.022,0.02,0.018,0.017,0.016,0.014,0.013,0.012,0.011,0.01})/SUM({0.077,0.071,0.065,0.06,0.055,0.051,0.047,0.043,0.039,0.036,0.033,0.031,0.028,0.026,0.024,0.022,0.02,0.018,0.017,0.016,0.014,0.013,0.012,0.011,0.01}),""))</f>
        <v>4314.7413587604269</v>
      </c>
      <c r="AD42" s="215" t="str">
        <f t="shared" si="12"/>
        <v>上昇トレンド▲</v>
      </c>
      <c r="AE42" s="215" t="e">
        <f t="shared" si="13"/>
        <v>#VALUE!</v>
      </c>
      <c r="AF42" t="e">
        <f>IF(T42="","",IF(銘柄管理!$F$5="上昇▲",IF(AND(AD42="下降トレンド▼",OR(AE42="25日戻り売り★",AE42="5日戻り売り○")),"★逆張り売り",IF(AND(AD42="もみ合い→",OR(AE42="25日戻り売り★",AE42="5日戻り売り○")),"○逆張り売り",IF(W42&gt;=70,IF(Z42&lt;0,"◎反落確認","△過熱・様子見"),"相場上昇・見送り"))),IF(AND(T42&gt;=12,AD42="下降トレンド▼"),"★強い売り",IF(T42&gt;=12,"★強い売り",IF(AND(T42&gt;=8,OR(AE42="25日戻り売り★",AE42="5日戻り売り○")),"◎戻り売り",IF(T42&gt;=10,"○売り候補",IF(T42&gt;=6,"△注目",IF(T42&gt;=3,"様子見","見送り"))))))))</f>
        <v>#VALUE!</v>
      </c>
      <c r="AG42">
        <f t="shared" si="14"/>
        <v>0</v>
      </c>
      <c r="AH42">
        <f t="shared" si="15"/>
        <v>0</v>
      </c>
      <c r="AI42" s="376">
        <f t="array" ref="AI42">IF(C42="","",IFERROR((INDEX(終値!$E:$E,MATCH(TEXT(C42,"0"),終値!$A:$A,0))-INDEX(終値!$E:$CZ,MATCH(TEXT(C42,"0"),終値!$A:$A,0),$AN$2))/INDEX(終値!$E:$CZ,MATCH(TEXT(C42,"0"),終値!$A:$A,0),$AN$2)*100,""))</f>
        <v>-3.8229376257545273</v>
      </c>
      <c r="AJ42" s="376">
        <f t="array" ref="AJ42">IFERROR((終値!$E$5-INDEX(終値!$E$5:$CZ$5,1,$AN$2))/INDEX(終値!$E$5:$CZ$5,1,$AN$2)*100,"")</f>
        <v>2.31989243802786</v>
      </c>
      <c r="AK42" s="377">
        <f t="shared" si="16"/>
        <v>-6.1428300637823874</v>
      </c>
      <c r="AL42" s="375">
        <f t="shared" si="17"/>
        <v>3</v>
      </c>
      <c r="AO42" s="379" t="e">
        <f t="shared" si="18"/>
        <v>#VALUE!</v>
      </c>
      <c r="AP42" s="380" t="e">
        <f t="shared" si="19"/>
        <v>#VALUE!</v>
      </c>
      <c r="AQ42">
        <f>IF(C42&lt;&gt;"",始値!F105,"")</f>
        <v>4156</v>
      </c>
      <c r="AR42">
        <f>IF(C42&lt;&gt;"",高値!F105,"")</f>
        <v>4264</v>
      </c>
      <c r="AS42">
        <f>IF(C42&lt;&gt;"",安値!F105,"")</f>
        <v>4126</v>
      </c>
      <c r="AT42" t="str">
        <f t="shared" si="20"/>
        <v>通常</v>
      </c>
      <c r="AU42">
        <f t="shared" si="21"/>
        <v>0</v>
      </c>
    </row>
    <row r="43" spans="1:47" ht="14.25" customHeight="1">
      <c r="A43" s="327" t="str">
        <f>IF(銘柄管理!B159&lt;&gt;"",HYPERLINK("https://kabutan.jp/stock/?code="&amp;銘柄管理!B159,"株探"),"")</f>
        <v>株探</v>
      </c>
      <c r="B43" s="328"/>
      <c r="C43" s="477">
        <f>IF(銘柄管理!B159="","",銘柄管理!B159)</f>
        <v>3891</v>
      </c>
      <c r="D43" s="328" t="str">
        <f>IF(銘柄管理!C159="","",銘柄管理!C159)</f>
        <v/>
      </c>
      <c r="E43" s="329" t="str">
        <f>IF(C43&lt;&gt;"",_xll.RssMarket(C43,"現在値"),"")</f>
        <v/>
      </c>
      <c r="F43" s="329" t="str">
        <f>IF(C43&lt;&gt;"",_xll.RssMarket(C43,"始値"),"")</f>
        <v/>
      </c>
      <c r="G43" s="328">
        <f>IF(C43&lt;&gt;"",終値!F159,"")</f>
        <v>7920</v>
      </c>
      <c r="H43" s="329" t="str">
        <f>IF(C43&lt;&gt;"",_xll.RssMarket(C43,"高値"),"")</f>
        <v/>
      </c>
      <c r="I43" s="329" t="str">
        <f>IF(C43&lt;&gt;"",_xll.RssMarket(C43,"安値"),"")</f>
        <v/>
      </c>
      <c r="J43" s="329" t="str">
        <f>IF(C43&lt;&gt;"",_xll.RssMarket(C43,"出来高"),"")</f>
        <v/>
      </c>
      <c r="K43" s="329" t="str">
        <f>IF(C43&lt;&gt;"",_xll.RssMarket(C43,"年初来高値"),"")</f>
        <v/>
      </c>
      <c r="L43" s="330" t="str">
        <f t="shared" si="0"/>
        <v/>
      </c>
      <c r="M43" s="329">
        <f>IF(C43&lt;&gt;"",IFERROR(AVERAGE(出来高!E159:I159),""),"")</f>
        <v>164180</v>
      </c>
      <c r="N43" s="329">
        <f>IF(C43&lt;&gt;"",IFERROR(AVERAGE(出来高!E159:AC159),""),"")</f>
        <v>240912</v>
      </c>
      <c r="O43" s="331" t="str">
        <f t="shared" si="1"/>
        <v/>
      </c>
      <c r="P43" s="328" t="str">
        <f t="shared" si="2"/>
        <v/>
      </c>
      <c r="Q43" s="328" t="str">
        <f t="shared" si="3"/>
        <v/>
      </c>
      <c r="R43" s="329" t="str">
        <f t="shared" si="4"/>
        <v/>
      </c>
      <c r="S43" s="329" t="str">
        <f t="shared" si="5"/>
        <v/>
      </c>
      <c r="T43" s="328">
        <f t="shared" si="6"/>
        <v>0</v>
      </c>
      <c r="U43" s="328" t="str">
        <f t="shared" si="7"/>
        <v>除外</v>
      </c>
      <c r="V43" s="328" t="str">
        <f t="shared" si="8"/>
        <v/>
      </c>
      <c r="W43" s="332">
        <f t="array" ref="W43">IFERROR(100-100/(1+SUMPRODUCT((終値!F159:R159&gt;終値!G159:S159)*(終値!F159:R159-終値!G159:S159))/SUMPRODUCT((終値!F159:R159&lt;終値!G159:S159)*(終値!G159:S159-終値!F159:R159))),50)</f>
        <v>25.44031311154599</v>
      </c>
      <c r="X43" s="333">
        <f>IF(C43&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-322.84808489127772</v>
      </c>
      <c r="Y43" s="328" t="e">
        <f t="shared" si="9"/>
        <v>#VALUE!</v>
      </c>
      <c r="Z43" s="334" t="str">
        <f t="shared" si="10"/>
        <v/>
      </c>
      <c r="AA43" s="328" t="str">
        <f t="shared" si="11"/>
        <v/>
      </c>
      <c r="AB43" s="329">
        <f>IF(OR(C43="",C43="TOPX",終値!E159=""),"",IFERROR(((終値!E159*0.333)+(終値!F159*0.222)+(終値!G159*0.148)+(終値!H159*0.099)+(終値!I159*0.066))/(0.333+0.222+0.148+0.099+0.066),""))</f>
        <v>7452.29262672811</v>
      </c>
      <c r="AC43" s="329">
        <f>IF(OR(C43="",C43="TOPX",終値!E159=""),"",IFERROR(SUMPRODUCT((終値!E159:AC159),{0.077,0.071,0.065,0.06,0.055,0.051,0.047,0.043,0.039,0.036,0.033,0.031,0.028,0.026,0.024,0.022,0.02,0.018,0.017,0.016,0.014,0.013,0.012,0.011,0.01})/SUM({0.077,0.071,0.065,0.06,0.055,0.051,0.047,0.043,0.039,0.036,0.033,0.031,0.028,0.026,0.024,0.022,0.02,0.018,0.017,0.016,0.014,0.013,0.012,0.011,0.01}),""))</f>
        <v>8604.8748510131063</v>
      </c>
      <c r="AD43" s="328" t="str">
        <f t="shared" si="12"/>
        <v>上昇トレンド▲</v>
      </c>
      <c r="AE43" s="328" t="e">
        <f t="shared" si="13"/>
        <v>#VALUE!</v>
      </c>
      <c r="AF43" t="e">
        <f>IF(T43="","",IF(銘柄管理!$F$5="上昇▲",IF(AND(AD43="下降トレンド▼",OR(AE43="25日戻り売り★",AE43="5日戻り売り○")),"★逆張り売り",IF(AND(AD43="もみ合い→",OR(AE43="25日戻り売り★",AE43="5日戻り売り○")),"○逆張り売り",IF(W43&gt;=70,IF(Z43&lt;0,"◎反落確認","△過熱・様子見"),"相場上昇・見送り"))),IF(AND(T43&gt;=12,AD43="下降トレンド▼"),"★強い売り",IF(T43&gt;=12,"★強い売り",IF(AND(T43&gt;=8,OR(AE43="25日戻り売り★",AE43="5日戻り売り○")),"◎戻り売り",IF(T43&gt;=10,"○売り候補",IF(T43&gt;=6,"△注目",IF(T43&gt;=3,"様子見","見送り"))))))))</f>
        <v>#VALUE!</v>
      </c>
      <c r="AG43">
        <f t="shared" si="14"/>
        <v>0</v>
      </c>
      <c r="AH43">
        <f t="shared" si="15"/>
        <v>0</v>
      </c>
      <c r="AI43" s="376">
        <f t="array" ref="AI43">IF(C43="","",IFERROR((INDEX(終値!$E:$E,MATCH(TEXT(C43,"0"),終値!$A:$A,0))-INDEX(終値!$E:$CZ,MATCH(TEXT(C43,"0"),終値!$A:$A,0),$AN$2))/INDEX(終値!$E:$CZ,MATCH(TEXT(C43,"0"),終値!$A:$A,0),$AN$2)*100,""))</f>
        <v>-23.119469026548671</v>
      </c>
      <c r="AJ43" s="376">
        <f t="array" ref="AJ43">IFERROR((終値!$E$5-INDEX(終値!$E$5:$CZ$5,1,$AN$2))/INDEX(終値!$E$5:$CZ$5,1,$AN$2)*100,"")</f>
        <v>2.31989243802786</v>
      </c>
      <c r="AK43" s="377">
        <f t="shared" si="16"/>
        <v>-25.439361464576532</v>
      </c>
      <c r="AL43" s="375">
        <f t="shared" si="17"/>
        <v>3</v>
      </c>
      <c r="AO43" s="379" t="e">
        <f t="shared" si="18"/>
        <v>#VALUE!</v>
      </c>
      <c r="AP43" s="380" t="e">
        <f t="shared" si="19"/>
        <v>#VALUE!</v>
      </c>
      <c r="AQ43">
        <f>IF(C43&lt;&gt;"",始値!F159,"")</f>
        <v>7670</v>
      </c>
      <c r="AR43">
        <f>IF(C43&lt;&gt;"",高値!F159,"")</f>
        <v>7950</v>
      </c>
      <c r="AS43">
        <f>IF(C43&lt;&gt;"",安値!F159,"")</f>
        <v>7570</v>
      </c>
      <c r="AT43" t="str">
        <f t="shared" si="20"/>
        <v>通常</v>
      </c>
      <c r="AU43">
        <f t="shared" si="21"/>
        <v>0</v>
      </c>
    </row>
    <row r="44" spans="1:47" ht="14.25" customHeight="1">
      <c r="A44" s="335" t="str">
        <f>IF(銘柄管理!B162&lt;&gt;"",HYPERLINK("https://kabutan.jp/stock/?code="&amp;銘柄管理!B162,"株探"),"")</f>
        <v>株探</v>
      </c>
      <c r="B44" s="215"/>
      <c r="C44" s="478">
        <f>IF(銘柄管理!B162="","",銘柄管理!B162)</f>
        <v>9687</v>
      </c>
      <c r="D44" s="215" t="str">
        <f>IF(銘柄管理!C162="","",銘柄管理!C162)</f>
        <v/>
      </c>
      <c r="E44" s="336" t="str">
        <f>IF(C44&lt;&gt;"",_xll.RssMarket(C44,"現在値"),"")</f>
        <v/>
      </c>
      <c r="F44" s="336" t="str">
        <f>IF(C44&lt;&gt;"",_xll.RssMarket(C44,"始値"),"")</f>
        <v/>
      </c>
      <c r="G44" s="215">
        <f>IF(C44&lt;&gt;"",終値!F162,"")</f>
        <v>4395</v>
      </c>
      <c r="H44" s="336" t="str">
        <f>IF(C44&lt;&gt;"",_xll.RssMarket(C44,"高値"),"")</f>
        <v/>
      </c>
      <c r="I44" s="336" t="str">
        <f>IF(C44&lt;&gt;"",_xll.RssMarket(C44,"安値"),"")</f>
        <v/>
      </c>
      <c r="J44" s="336" t="str">
        <f>IF(C44&lt;&gt;"",_xll.RssMarket(C44,"出来高"),"")</f>
        <v/>
      </c>
      <c r="K44" s="336" t="str">
        <f>IF(C44&lt;&gt;"",_xll.RssMarket(C44,"年初来高値"),"")</f>
        <v/>
      </c>
      <c r="L44" s="337" t="str">
        <f t="shared" si="0"/>
        <v/>
      </c>
      <c r="M44" s="336">
        <f>IF(C44&lt;&gt;"",IFERROR(AVERAGE(出来高!E162:I162),""),"")</f>
        <v>1540</v>
      </c>
      <c r="N44" s="336">
        <f>IF(C44&lt;&gt;"",IFERROR(AVERAGE(出来高!E162:AC162),""),"")</f>
        <v>1344</v>
      </c>
      <c r="O44" s="338" t="str">
        <f t="shared" si="1"/>
        <v/>
      </c>
      <c r="P44" s="215" t="str">
        <f t="shared" si="2"/>
        <v/>
      </c>
      <c r="Q44" s="215" t="str">
        <f t="shared" si="3"/>
        <v/>
      </c>
      <c r="R44" s="336" t="str">
        <f t="shared" si="4"/>
        <v/>
      </c>
      <c r="S44" s="336" t="str">
        <f t="shared" si="5"/>
        <v/>
      </c>
      <c r="T44" s="328">
        <f t="shared" si="6"/>
        <v>0</v>
      </c>
      <c r="U44" s="215" t="str">
        <f t="shared" si="7"/>
        <v>除外</v>
      </c>
      <c r="V44" s="215" t="str">
        <f t="shared" si="8"/>
        <v/>
      </c>
      <c r="W44" s="339">
        <f t="array" ref="W44">IFERROR(100-100/(1+SUMPRODUCT((終値!F162:R162&gt;終値!G162:S162)*(終値!F162:R162-終値!G162:S162))/SUMPRODUCT((終値!F162:R162&lt;終値!G162:S162)*(終値!G162:S162-終値!F162:R162))),50)</f>
        <v>61.111111111111107</v>
      </c>
      <c r="X44" s="340">
        <f>IF(C44&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5.1921477159203278</v>
      </c>
      <c r="Y44" s="215" t="e">
        <f t="shared" si="9"/>
        <v>#VALUE!</v>
      </c>
      <c r="Z44" s="341" t="str">
        <f t="shared" si="10"/>
        <v/>
      </c>
      <c r="AA44" s="215" t="str">
        <f t="shared" si="11"/>
        <v/>
      </c>
      <c r="AB44" s="336">
        <f>IF(OR(C44="",C44="TOPX",終値!E162=""),"",IFERROR(((終値!E162*0.333)+(終値!F162*0.222)+(終値!G162*0.148)+(終値!H162*0.099)+(終値!I162*0.066))/(0.333+0.222+0.148+0.099+0.066),""))</f>
        <v>4376.4285714285716</v>
      </c>
      <c r="AC44" s="336">
        <f>IF(OR(C44="",C44="TOPX",終値!E162=""),"",IFERROR(SUMPRODUCT((終値!E162:AC162),{0.077,0.071,0.065,0.06,0.055,0.051,0.047,0.043,0.039,0.036,0.033,0.031,0.028,0.026,0.024,0.022,0.02,0.018,0.017,0.016,0.014,0.013,0.012,0.011,0.01})/SUM({0.077,0.071,0.065,0.06,0.055,0.051,0.047,0.043,0.039,0.036,0.033,0.031,0.028,0.026,0.024,0.022,0.02,0.018,0.017,0.016,0.014,0.013,0.012,0.011,0.01}),""))</f>
        <v>4355.2741358760422</v>
      </c>
      <c r="AD44" s="215" t="str">
        <f t="shared" si="12"/>
        <v>パーフェクト▲</v>
      </c>
      <c r="AE44" s="215" t="e">
        <f t="shared" si="13"/>
        <v>#VALUE!</v>
      </c>
      <c r="AF44" t="e">
        <f>IF(T44="","",IF(銘柄管理!$F$5="上昇▲",IF(AND(AD44="下降トレンド▼",OR(AE44="25日戻り売り★",AE44="5日戻り売り○")),"★逆張り売り",IF(AND(AD44="もみ合い→",OR(AE44="25日戻り売り★",AE44="5日戻り売り○")),"○逆張り売り",IF(W44&gt;=70,IF(Z44&lt;0,"◎反落確認","△過熱・様子見"),"相場上昇・見送り"))),IF(AND(T44&gt;=12,AD44="下降トレンド▼"),"★強い売り",IF(T44&gt;=12,"★強い売り",IF(AND(T44&gt;=8,OR(AE44="25日戻り売り★",AE44="5日戻り売り○")),"◎戻り売り",IF(T44&gt;=10,"○売り候補",IF(T44&gt;=6,"△注目",IF(T44&gt;=3,"様子見","見送り"))))))))</f>
        <v>#VALUE!</v>
      </c>
      <c r="AG44">
        <f t="shared" si="14"/>
        <v>0</v>
      </c>
      <c r="AH44">
        <f t="shared" si="15"/>
        <v>0</v>
      </c>
      <c r="AI44" s="376">
        <f t="array" ref="AI44">IF(C44="","",IFERROR((INDEX(終値!$E:$E,MATCH(TEXT(C44,"0"),終値!$A:$A,0))-INDEX(終値!$E:$CZ,MATCH(TEXT(C44,"0"),終値!$A:$A,0),$AN$2))/INDEX(終値!$E:$CZ,MATCH(TEXT(C44,"0"),終値!$A:$A,0),$AN$2)*100,""))</f>
        <v>0.11494252873563218</v>
      </c>
      <c r="AJ44" s="376">
        <f t="array" ref="AJ44">IFERROR((終値!$E$5-INDEX(終値!$E$5:$CZ$5,1,$AN$2))/INDEX(終値!$E$5:$CZ$5,1,$AN$2)*100,"")</f>
        <v>2.31989243802786</v>
      </c>
      <c r="AK44" s="377">
        <f t="shared" si="16"/>
        <v>-2.2049499092922278</v>
      </c>
      <c r="AL44" s="375">
        <f t="shared" si="17"/>
        <v>1</v>
      </c>
      <c r="AO44" s="379" t="e">
        <f t="shared" si="18"/>
        <v>#VALUE!</v>
      </c>
      <c r="AP44" s="380" t="e">
        <f t="shared" si="19"/>
        <v>#VALUE!</v>
      </c>
      <c r="AQ44">
        <f>IF(C44&lt;&gt;"",始値!F162,"")</f>
        <v>4395</v>
      </c>
      <c r="AR44">
        <f>IF(C44&lt;&gt;"",高値!F162,"")</f>
        <v>4410</v>
      </c>
      <c r="AS44">
        <f>IF(C44&lt;&gt;"",安値!F162,"")</f>
        <v>4395</v>
      </c>
      <c r="AT44" t="str">
        <f t="shared" si="20"/>
        <v>通常</v>
      </c>
      <c r="AU44">
        <f t="shared" si="21"/>
        <v>0</v>
      </c>
    </row>
    <row r="45" spans="1:47" ht="14.25" customHeight="1">
      <c r="A45" s="327" t="str">
        <f>IF(銘柄管理!B200&lt;&gt;"",HYPERLINK("https://kabutan.jp/stock/?code="&amp;銘柄管理!B200,"株探"),"")</f>
        <v>株探</v>
      </c>
      <c r="B45" s="328"/>
      <c r="C45" s="477">
        <f>IF(銘柄管理!B200="","",銘柄管理!B200)</f>
        <v>5801</v>
      </c>
      <c r="D45" s="328" t="str">
        <f>IF(銘柄管理!C200="","",銘柄管理!C200)</f>
        <v/>
      </c>
      <c r="E45" s="329" t="str">
        <f>IF(C45&lt;&gt;"",_xll.RssMarket(C45,"現在値"),"")</f>
        <v/>
      </c>
      <c r="F45" s="329" t="str">
        <f>IF(C45&lt;&gt;"",_xll.RssMarket(C45,"始値"),"")</f>
        <v/>
      </c>
      <c r="G45" s="328">
        <f>IF(C45&lt;&gt;"",終値!F200,"")</f>
        <v>3766</v>
      </c>
      <c r="H45" s="329" t="str">
        <f>IF(C45&lt;&gt;"",_xll.RssMarket(C45,"高値"),"")</f>
        <v/>
      </c>
      <c r="I45" s="329" t="str">
        <f>IF(C45&lt;&gt;"",_xll.RssMarket(C45,"安値"),"")</f>
        <v/>
      </c>
      <c r="J45" s="329" t="str">
        <f>IF(C45&lt;&gt;"",_xll.RssMarket(C45,"出来高"),"")</f>
        <v/>
      </c>
      <c r="K45" s="329" t="str">
        <f>IF(C45&lt;&gt;"",_xll.RssMarket(C45,"年初来高値"),"")</f>
        <v/>
      </c>
      <c r="L45" s="330" t="str">
        <f t="shared" si="0"/>
        <v/>
      </c>
      <c r="M45" s="329">
        <f>IF(C45&lt;&gt;"",IFERROR(AVERAGE(出来高!E200:I200),""),"")</f>
        <v>18705400</v>
      </c>
      <c r="N45" s="329">
        <f>IF(C45&lt;&gt;"",IFERROR(AVERAGE(出来高!E200:AC200),""),"")</f>
        <v>12693696</v>
      </c>
      <c r="O45" s="331" t="str">
        <f t="shared" si="1"/>
        <v/>
      </c>
      <c r="P45" s="328" t="str">
        <f t="shared" si="2"/>
        <v/>
      </c>
      <c r="Q45" s="328" t="str">
        <f t="shared" si="3"/>
        <v/>
      </c>
      <c r="R45" s="329" t="str">
        <f t="shared" si="4"/>
        <v/>
      </c>
      <c r="S45" s="329" t="str">
        <f t="shared" si="5"/>
        <v/>
      </c>
      <c r="T45" s="328">
        <f t="shared" si="6"/>
        <v>0</v>
      </c>
      <c r="U45" s="328" t="str">
        <f t="shared" si="7"/>
        <v>除外</v>
      </c>
      <c r="V45" s="328" t="str">
        <f t="shared" si="8"/>
        <v/>
      </c>
      <c r="W45" s="332">
        <f t="array" ref="W45">IFERROR(100-100/(1+SUMPRODUCT((終値!F200:R200&gt;終値!G200:S200)*(終値!F200:R200-終値!G200:S200))/SUMPRODUCT((終値!F200:R200&lt;終値!G200:S200)*(終値!G200:S200-終値!F200:R200))),50)</f>
        <v>1.6043117188155378</v>
      </c>
      <c r="X45" s="333">
        <f>IF(C45&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-6059.7051512703019</v>
      </c>
      <c r="Y45" s="328" t="e">
        <f t="shared" si="9"/>
        <v>#VALUE!</v>
      </c>
      <c r="Z45" s="334" t="str">
        <f t="shared" si="10"/>
        <v/>
      </c>
      <c r="AA45" s="328" t="str">
        <f t="shared" si="11"/>
        <v/>
      </c>
      <c r="AB45" s="329">
        <f>IF(OR(C45="",C45="TOPX",終値!E200=""),"",IFERROR(((終値!E200*0.333)+(終値!F200*0.222)+(終値!G200*0.148)+(終値!H200*0.099)+(終値!I200*0.066))/(0.333+0.222+0.148+0.099+0.066),""))</f>
        <v>3507.3951612903224</v>
      </c>
      <c r="AC45" s="329">
        <f>IF(OR(C45="",C45="TOPX",終値!E200=""),"",IFERROR(SUMPRODUCT((終値!E200:AC200),{0.077,0.071,0.065,0.06,0.055,0.051,0.047,0.043,0.039,0.036,0.033,0.031,0.028,0.026,0.024,0.022,0.02,0.018,0.017,0.016,0.014,0.013,0.012,0.011,0.01})/SUM({0.077,0.071,0.065,0.06,0.055,0.051,0.047,0.043,0.039,0.036,0.033,0.031,0.028,0.026,0.024,0.022,0.02,0.018,0.017,0.016,0.014,0.013,0.012,0.011,0.01}),""))</f>
        <v>14426.138259833131</v>
      </c>
      <c r="AD45" s="328" t="str">
        <f t="shared" si="12"/>
        <v>上昇トレンド▲</v>
      </c>
      <c r="AE45" s="328" t="e">
        <f t="shared" si="13"/>
        <v>#VALUE!</v>
      </c>
      <c r="AF45" t="e">
        <f>IF(T45="","",IF(銘柄管理!$F$5="上昇▲",IF(AND(AD45="下降トレンド▼",OR(AE45="25日戻り売り★",AE45="5日戻り売り○")),"★逆張り売り",IF(AND(AD45="もみ合い→",OR(AE45="25日戻り売り★",AE45="5日戻り売り○")),"○逆張り売り",IF(W45&gt;=70,IF(Z45&lt;0,"◎反落確認","△過熱・様子見"),"相場上昇・見送り"))),IF(AND(T45&gt;=12,AD45="下降トレンド▼"),"★強い売り",IF(T45&gt;=12,"★強い売り",IF(AND(T45&gt;=8,OR(AE45="25日戻り売り★",AE45="5日戻り売り○")),"◎戻り売り",IF(T45&gt;=10,"○売り候補",IF(T45&gt;=6,"△注目",IF(T45&gt;=3,"様子見","見送り"))))))))</f>
        <v>#VALUE!</v>
      </c>
      <c r="AG45">
        <f t="shared" si="14"/>
        <v>0</v>
      </c>
      <c r="AH45">
        <f t="shared" si="15"/>
        <v>0</v>
      </c>
      <c r="AI45" s="376">
        <f t="array" ref="AI45">IF(C45="","",IFERROR((INDEX(終値!$E:$E,MATCH(TEXT(C45,"0"),終値!$A:$A,0))-INDEX(終値!$E:$CZ,MATCH(TEXT(C45,"0"),終値!$A:$A,0),$AN$2))/INDEX(終値!$E:$CZ,MATCH(TEXT(C45,"0"),終値!$A:$A,0),$AN$2)*100,""))</f>
        <v>-92.792752982766231</v>
      </c>
      <c r="AJ45" s="376">
        <f t="array" ref="AJ45">IFERROR((終値!$E$5-INDEX(終値!$E$5:$CZ$5,1,$AN$2))/INDEX(終値!$E$5:$CZ$5,1,$AN$2)*100,"")</f>
        <v>2.31989243802786</v>
      </c>
      <c r="AK45" s="377">
        <f t="shared" si="16"/>
        <v>-95.112645420794095</v>
      </c>
      <c r="AL45" s="375">
        <f t="shared" si="17"/>
        <v>3</v>
      </c>
      <c r="AO45" s="379" t="e">
        <f t="shared" si="18"/>
        <v>#VALUE!</v>
      </c>
      <c r="AP45" s="380" t="e">
        <f t="shared" si="19"/>
        <v>#VALUE!</v>
      </c>
      <c r="AQ45">
        <f>IF(C45&lt;&gt;"",始値!F200,"")</f>
        <v>3679</v>
      </c>
      <c r="AR45">
        <f>IF(C45&lt;&gt;"",高値!F200,"")</f>
        <v>3793</v>
      </c>
      <c r="AS45">
        <f>IF(C45&lt;&gt;"",安値!F200,"")</f>
        <v>3550</v>
      </c>
      <c r="AT45" t="str">
        <f t="shared" si="20"/>
        <v>長い下ヒゲ(反発)</v>
      </c>
      <c r="AU45">
        <f t="shared" si="21"/>
        <v>-2</v>
      </c>
    </row>
    <row r="46" spans="1:47" ht="14.25" customHeight="1">
      <c r="A46" s="335" t="str">
        <f>IF(銘柄管理!B8&lt;&gt;"",HYPERLINK("https://kabutan.jp/stock/?code="&amp;銘柄管理!B8,"株探"),"")</f>
        <v>株探</v>
      </c>
      <c r="B46" s="215"/>
      <c r="C46" s="478">
        <f>IF(銘柄管理!B8="","",銘柄管理!B8)</f>
        <v>5713</v>
      </c>
      <c r="D46" s="215" t="str">
        <f>IF(銘柄管理!C8="","",銘柄管理!C8)</f>
        <v/>
      </c>
      <c r="E46" s="336" t="str">
        <f>IF(C46&lt;&gt;"",_xll.RssMarket(C46,"現在値"),"")</f>
        <v/>
      </c>
      <c r="F46" s="336" t="str">
        <f>IF(C46&lt;&gt;"",_xll.RssMarket(C46,"始値"),"")</f>
        <v/>
      </c>
      <c r="G46" s="215">
        <f>IF(C46&lt;&gt;"",終値!F8,"")</f>
        <v>7404</v>
      </c>
      <c r="H46" s="336" t="str">
        <f>IF(C46&lt;&gt;"",_xll.RssMarket(C46,"高値"),"")</f>
        <v/>
      </c>
      <c r="I46" s="336" t="str">
        <f>IF(C46&lt;&gt;"",_xll.RssMarket(C46,"安値"),"")</f>
        <v/>
      </c>
      <c r="J46" s="336" t="str">
        <f>IF(C46&lt;&gt;"",_xll.RssMarket(C46,"出来高"),"")</f>
        <v/>
      </c>
      <c r="K46" s="336" t="str">
        <f>IF(C46&lt;&gt;"",_xll.RssMarket(C46,"年初来高値"),"")</f>
        <v/>
      </c>
      <c r="L46" s="337" t="str">
        <f t="shared" si="0"/>
        <v/>
      </c>
      <c r="M46" s="336">
        <f>IF(C46&lt;&gt;"",IFERROR(AVERAGE(出来高!E8:I8),""),"")</f>
        <v>2702980</v>
      </c>
      <c r="N46" s="336">
        <f>IF(C46&lt;&gt;"",IFERROR(AVERAGE(出来高!E8:AC8),""),"")</f>
        <v>2933932</v>
      </c>
      <c r="O46" s="338" t="str">
        <f t="shared" si="1"/>
        <v/>
      </c>
      <c r="P46" s="215" t="str">
        <f t="shared" si="2"/>
        <v/>
      </c>
      <c r="Q46" s="215" t="str">
        <f t="shared" si="3"/>
        <v/>
      </c>
      <c r="R46" s="336" t="str">
        <f t="shared" si="4"/>
        <v/>
      </c>
      <c r="S46" s="336" t="str">
        <f t="shared" si="5"/>
        <v/>
      </c>
      <c r="T46" s="328">
        <f t="shared" si="6"/>
        <v>0</v>
      </c>
      <c r="U46" s="215" t="str">
        <f t="shared" si="7"/>
        <v>除外</v>
      </c>
      <c r="V46" s="215" t="str">
        <f t="shared" si="8"/>
        <v/>
      </c>
      <c r="W46" s="339">
        <f t="array" ref="W46">IFERROR(100-100/(1+SUMPRODUCT((終値!F8:R8&gt;終値!G8:S8)*(終値!F8:R8-終値!G8:S8))/SUMPRODUCT((終値!F8:R8&lt;終値!G8:S8)*(終値!G8:S8-終値!F8:R8))),50)</f>
        <v>44.079885877318112</v>
      </c>
      <c r="X46" s="340">
        <f>IF(C46&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-135.02461401294931</v>
      </c>
      <c r="Y46" s="215" t="e">
        <f t="shared" si="9"/>
        <v>#VALUE!</v>
      </c>
      <c r="Z46" s="341" t="str">
        <f t="shared" si="10"/>
        <v/>
      </c>
      <c r="AA46" s="215" t="str">
        <f t="shared" si="11"/>
        <v/>
      </c>
      <c r="AB46" s="336">
        <f>IF(OR(C46="",C46="TOPX",終値!E8=""),"",IFERROR(((終値!E8*0.333)+(終値!F8*0.222)+(終値!G8*0.148)+(終値!H8*0.099)+(終値!I8*0.066))/(0.333+0.222+0.148+0.099+0.066),""))</f>
        <v>7119.0967741935474</v>
      </c>
      <c r="AC46" s="336">
        <f>IF(OR(C46="",C46="TOPX",終値!E8=""),"",IFERROR(SUMPRODUCT((終値!E8:AC8),{0.077,0.071,0.065,0.06,0.055,0.051,0.047,0.043,0.039,0.036,0.033,0.031,0.028,0.026,0.024,0.022,0.02,0.018,0.017,0.016,0.014,0.013,0.012,0.011,0.01})/SUM({0.077,0.071,0.065,0.06,0.055,0.051,0.047,0.043,0.039,0.036,0.033,0.031,0.028,0.026,0.024,0.022,0.02,0.018,0.017,0.016,0.014,0.013,0.012,0.011,0.01}),""))</f>
        <v>7554.6376638855745</v>
      </c>
      <c r="AD46" s="215" t="str">
        <f t="shared" si="12"/>
        <v>上昇トレンド▲</v>
      </c>
      <c r="AE46" s="215" t="e">
        <f t="shared" si="13"/>
        <v>#VALUE!</v>
      </c>
      <c r="AF46" t="e">
        <f>IF(T46="","",IF(銘柄管理!$F$5="上昇▲",IF(AND(AD46="下降トレンド▼",OR(AE46="25日戻り売り★",AE46="5日戻り売り○")),"★逆張り売り",IF(AND(AD46="もみ合い→",OR(AE46="25日戻り売り★",AE46="5日戻り売り○")),"○逆張り売り",IF(W46&gt;=70,IF(Z46&lt;0,"◎反落確認","△過熱・様子見"),"相場上昇・見送り"))),IF(AND(T46&gt;=12,AD46="下降トレンド▼"),"★強い売り",IF(T46&gt;=12,"★強い売り",IF(AND(T46&gt;=8,OR(AE46="25日戻り売り★",AE46="5日戻り売り○")),"◎戻り売り",IF(T46&gt;=10,"○売り候補",IF(T46&gt;=6,"△注目",IF(T46&gt;=3,"様子見","見送り"))))))))</f>
        <v>#VALUE!</v>
      </c>
      <c r="AG46">
        <f t="shared" si="14"/>
        <v>0</v>
      </c>
      <c r="AH46">
        <f t="shared" si="15"/>
        <v>0</v>
      </c>
      <c r="AI46" s="376">
        <f t="array" ref="AI46">IF(C46="","",IFERROR((INDEX(終値!$E:$E,MATCH(TEXT(C46,"0"),終値!$A:$A,0))-INDEX(終値!$E:$CZ,MATCH(TEXT(C46,"0"),終値!$A:$A,0),$AN$2))/INDEX(終値!$E:$CZ,MATCH(TEXT(C46,"0"),終値!$A:$A,0),$AN$2)*100,""))</f>
        <v>-15.032516258129064</v>
      </c>
      <c r="AJ46" s="376">
        <f t="array" ref="AJ46">IFERROR((終値!$E$5-INDEX(終値!$E$5:$CZ$5,1,$AN$2))/INDEX(終値!$E$5:$CZ$5,1,$AN$2)*100,"")</f>
        <v>2.31989243802786</v>
      </c>
      <c r="AK46" s="377">
        <f t="shared" si="16"/>
        <v>-17.352408696156925</v>
      </c>
      <c r="AL46" s="375">
        <f t="shared" si="17"/>
        <v>3</v>
      </c>
      <c r="AO46" s="379" t="e">
        <f t="shared" si="18"/>
        <v>#VALUE!</v>
      </c>
      <c r="AP46" s="380" t="e">
        <f t="shared" si="19"/>
        <v>#VALUE!</v>
      </c>
      <c r="AQ46">
        <f>IF(C46&lt;&gt;"",始値!F8,"")</f>
        <v>7433</v>
      </c>
      <c r="AR46">
        <f>IF(C46&lt;&gt;"",高値!F8,"")</f>
        <v>7509</v>
      </c>
      <c r="AS46">
        <f>IF(C46&lt;&gt;"",安値!F8,"")</f>
        <v>7261</v>
      </c>
      <c r="AT46" t="str">
        <f t="shared" si="20"/>
        <v>通常</v>
      </c>
      <c r="AU46">
        <f t="shared" si="21"/>
        <v>0</v>
      </c>
    </row>
    <row r="47" spans="1:47" ht="14.25" customHeight="1">
      <c r="A47" s="327" t="str">
        <f>IF(銘柄管理!B10&lt;&gt;"",HYPERLINK("https://kabutan.jp/stock/?code="&amp;銘柄管理!B10,"株探"),"")</f>
        <v>株探</v>
      </c>
      <c r="B47" s="328"/>
      <c r="C47" s="477">
        <f>IF(銘柄管理!B10="","",銘柄管理!B10)</f>
        <v>5714</v>
      </c>
      <c r="D47" s="328" t="str">
        <f>IF(銘柄管理!C10="","",銘柄管理!C10)</f>
        <v/>
      </c>
      <c r="E47" s="329" t="str">
        <f>IF(C47&lt;&gt;"",_xll.RssMarket(C47,"現在値"),"")</f>
        <v/>
      </c>
      <c r="F47" s="329" t="str">
        <f>IF(C47&lt;&gt;"",_xll.RssMarket(C47,"始値"),"")</f>
        <v/>
      </c>
      <c r="G47" s="328">
        <f>IF(C47&lt;&gt;"",終値!F10,"")</f>
        <v>8443</v>
      </c>
      <c r="H47" s="329" t="str">
        <f>IF(C47&lt;&gt;"",_xll.RssMarket(C47,"高値"),"")</f>
        <v/>
      </c>
      <c r="I47" s="329" t="str">
        <f>IF(C47&lt;&gt;"",_xll.RssMarket(C47,"安値"),"")</f>
        <v/>
      </c>
      <c r="J47" s="329" t="str">
        <f>IF(C47&lt;&gt;"",_xll.RssMarket(C47,"出来高"),"")</f>
        <v/>
      </c>
      <c r="K47" s="329" t="str">
        <f>IF(C47&lt;&gt;"",_xll.RssMarket(C47,"年初来高値"),"")</f>
        <v/>
      </c>
      <c r="L47" s="330" t="str">
        <f t="shared" si="0"/>
        <v/>
      </c>
      <c r="M47" s="329">
        <f>IF(C47&lt;&gt;"",IFERROR(AVERAGE(出来高!E10:I10),""),"")</f>
        <v>426880</v>
      </c>
      <c r="N47" s="329">
        <f>IF(C47&lt;&gt;"",IFERROR(AVERAGE(出来高!E10:AC10),""),"")</f>
        <v>434424</v>
      </c>
      <c r="O47" s="331" t="str">
        <f t="shared" si="1"/>
        <v/>
      </c>
      <c r="P47" s="328" t="str">
        <f t="shared" si="2"/>
        <v/>
      </c>
      <c r="Q47" s="328" t="str">
        <f t="shared" si="3"/>
        <v/>
      </c>
      <c r="R47" s="329" t="str">
        <f t="shared" si="4"/>
        <v/>
      </c>
      <c r="S47" s="329" t="str">
        <f t="shared" si="5"/>
        <v/>
      </c>
      <c r="T47" s="328">
        <f t="shared" si="6"/>
        <v>0</v>
      </c>
      <c r="U47" s="328" t="str">
        <f t="shared" si="7"/>
        <v>除外</v>
      </c>
      <c r="V47" s="328" t="str">
        <f t="shared" si="8"/>
        <v/>
      </c>
      <c r="W47" s="332">
        <f t="array" ref="W47">IFERROR(100-100/(1+SUMPRODUCT((終値!F10:R10&gt;終値!G10:S10)*(終値!F10:R10-終値!G10:S10))/SUMPRODUCT((終値!F10:R10&lt;終値!G10:S10)*(終値!G10:S10-終値!F10:R10))),50)</f>
        <v>41.140776699029125</v>
      </c>
      <c r="X47" s="333">
        <f>IF(C47&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-125.19187705729928</v>
      </c>
      <c r="Y47" s="328" t="e">
        <f t="shared" si="9"/>
        <v>#VALUE!</v>
      </c>
      <c r="Z47" s="334" t="str">
        <f t="shared" si="10"/>
        <v/>
      </c>
      <c r="AA47" s="328" t="str">
        <f t="shared" si="11"/>
        <v/>
      </c>
      <c r="AB47" s="329">
        <f>IF(OR(C47="",C47="TOPX",終値!E10=""),"",IFERROR(((終値!E10*0.333)+(終値!F10*0.222)+(終値!G10*0.148)+(終値!H10*0.099)+(終値!I10*0.066))/(0.333+0.222+0.148+0.099+0.066),""))</f>
        <v>8216.0276497695831</v>
      </c>
      <c r="AC47" s="329">
        <f>IF(OR(C47="",C47="TOPX",終値!E10=""),"",IFERROR(SUMPRODUCT((終値!E10:AC10),{0.077,0.071,0.065,0.06,0.055,0.051,0.047,0.043,0.039,0.036,0.033,0.031,0.028,0.026,0.024,0.022,0.02,0.018,0.017,0.016,0.014,0.013,0.012,0.011,0.01})/SUM({0.077,0.071,0.065,0.06,0.055,0.051,0.047,0.043,0.039,0.036,0.033,0.031,0.028,0.026,0.024,0.022,0.02,0.018,0.017,0.016,0.014,0.013,0.012,0.011,0.01}),""))</f>
        <v>8630.6710369487446</v>
      </c>
      <c r="AD47" s="328" t="str">
        <f t="shared" si="12"/>
        <v>上昇トレンド▲</v>
      </c>
      <c r="AE47" s="328" t="e">
        <f t="shared" si="13"/>
        <v>#VALUE!</v>
      </c>
      <c r="AF47" t="e">
        <f>IF(T47="","",IF(銘柄管理!$F$5="上昇▲",IF(AND(AD47="下降トレンド▼",OR(AE47="25日戻り売り★",AE47="5日戻り売り○")),"★逆張り売り",IF(AND(AD47="もみ合い→",OR(AE47="25日戻り売り★",AE47="5日戻り売り○")),"○逆張り売り",IF(W47&gt;=70,IF(Z47&lt;0,"◎反落確認","△過熱・様子見"),"相場上昇・見送り"))),IF(AND(T47&gt;=12,AD47="下降トレンド▼"),"★強い売り",IF(T47&gt;=12,"★強い売り",IF(AND(T47&gt;=8,OR(AE47="25日戻り売り★",AE47="5日戻り売り○")),"◎戻り売り",IF(T47&gt;=10,"○売り候補",IF(T47&gt;=6,"△注目",IF(T47&gt;=3,"様子見","見送り"))))))))</f>
        <v>#VALUE!</v>
      </c>
      <c r="AG47">
        <f t="shared" si="14"/>
        <v>0</v>
      </c>
      <c r="AH47">
        <f t="shared" si="15"/>
        <v>0</v>
      </c>
      <c r="AI47" s="376">
        <f t="array" ref="AI47">IF(C47="","",IFERROR((INDEX(終値!$E:$E,MATCH(TEXT(C47,"0"),終値!$A:$A,0))-INDEX(終値!$E:$CZ,MATCH(TEXT(C47,"0"),終値!$A:$A,0),$AN$2))/INDEX(終値!$E:$CZ,MATCH(TEXT(C47,"0"),終値!$A:$A,0),$AN$2)*100,""))</f>
        <v>-14.162255590364047</v>
      </c>
      <c r="AJ47" s="376">
        <f t="array" ref="AJ47">IFERROR((終値!$E$5-INDEX(終値!$E$5:$CZ$5,1,$AN$2))/INDEX(終値!$E$5:$CZ$5,1,$AN$2)*100,"")</f>
        <v>2.31989243802786</v>
      </c>
      <c r="AK47" s="377">
        <f t="shared" si="16"/>
        <v>-16.482148028391908</v>
      </c>
      <c r="AL47" s="375">
        <f t="shared" si="17"/>
        <v>3</v>
      </c>
      <c r="AO47" s="379" t="e">
        <f t="shared" si="18"/>
        <v>#VALUE!</v>
      </c>
      <c r="AP47" s="380" t="e">
        <f t="shared" si="19"/>
        <v>#VALUE!</v>
      </c>
      <c r="AQ47">
        <f>IF(C47&lt;&gt;"",始値!F10,"")</f>
        <v>8472</v>
      </c>
      <c r="AR47">
        <f>IF(C47&lt;&gt;"",高値!F10,"")</f>
        <v>8530</v>
      </c>
      <c r="AS47">
        <f>IF(C47&lt;&gt;"",安値!F10,"")</f>
        <v>8354</v>
      </c>
      <c r="AT47" t="str">
        <f t="shared" si="20"/>
        <v>通常</v>
      </c>
      <c r="AU47">
        <f t="shared" si="21"/>
        <v>0</v>
      </c>
    </row>
    <row r="48" spans="1:47" ht="14.25" customHeight="1">
      <c r="A48" s="335" t="str">
        <f>IF(銘柄管理!B13&lt;&gt;"",HYPERLINK("https://kabutan.jp/stock/?code="&amp;銘柄管理!B13,"株探"),"")</f>
        <v>株探</v>
      </c>
      <c r="B48" s="215"/>
      <c r="C48" s="478">
        <f>IF(銘柄管理!B13="","",銘柄管理!B13)</f>
        <v>5703</v>
      </c>
      <c r="D48" s="215" t="str">
        <f>IF(銘柄管理!C13="","",銘柄管理!C13)</f>
        <v/>
      </c>
      <c r="E48" s="336" t="str">
        <f>IF(C48&lt;&gt;"",_xll.RssMarket(C48,"現在値"),"")</f>
        <v/>
      </c>
      <c r="F48" s="336" t="str">
        <f>IF(C48&lt;&gt;"",_xll.RssMarket(C48,"始値"),"")</f>
        <v/>
      </c>
      <c r="G48" s="215">
        <f>IF(C48&lt;&gt;"",終値!F13,"")</f>
        <v>2750</v>
      </c>
      <c r="H48" s="336" t="str">
        <f>IF(C48&lt;&gt;"",_xll.RssMarket(C48,"高値"),"")</f>
        <v/>
      </c>
      <c r="I48" s="336" t="str">
        <f>IF(C48&lt;&gt;"",_xll.RssMarket(C48,"安値"),"")</f>
        <v/>
      </c>
      <c r="J48" s="336" t="str">
        <f>IF(C48&lt;&gt;"",_xll.RssMarket(C48,"出来高"),"")</f>
        <v/>
      </c>
      <c r="K48" s="336" t="str">
        <f>IF(C48&lt;&gt;"",_xll.RssMarket(C48,"年初来高値"),"")</f>
        <v/>
      </c>
      <c r="L48" s="337" t="str">
        <f t="shared" si="0"/>
        <v/>
      </c>
      <c r="M48" s="336">
        <f>IF(C48&lt;&gt;"",IFERROR(AVERAGE(出来高!E13:I13),""),"")</f>
        <v>352160</v>
      </c>
      <c r="N48" s="336">
        <f>IF(C48&lt;&gt;"",IFERROR(AVERAGE(出来高!E13:AC13),""),"")</f>
        <v>324512</v>
      </c>
      <c r="O48" s="338" t="str">
        <f t="shared" si="1"/>
        <v/>
      </c>
      <c r="P48" s="215" t="str">
        <f t="shared" si="2"/>
        <v/>
      </c>
      <c r="Q48" s="215" t="str">
        <f t="shared" si="3"/>
        <v/>
      </c>
      <c r="R48" s="336" t="str">
        <f t="shared" si="4"/>
        <v/>
      </c>
      <c r="S48" s="336" t="str">
        <f t="shared" si="5"/>
        <v/>
      </c>
      <c r="T48" s="328">
        <f t="shared" si="6"/>
        <v>0</v>
      </c>
      <c r="U48" s="215" t="str">
        <f t="shared" si="7"/>
        <v>除外</v>
      </c>
      <c r="V48" s="215" t="str">
        <f t="shared" si="8"/>
        <v/>
      </c>
      <c r="W48" s="339">
        <f t="array" ref="W48">IFERROR(100-100/(1+SUMPRODUCT((終値!F13:R13&gt;終値!G13:S13)*(終値!F13:R13-終値!G13:S13))/SUMPRODUCT((終値!F13:R13&lt;終値!G13:S13)*(終値!G13:S13-終値!F13:R13))),50)</f>
        <v>42.913385826771652</v>
      </c>
      <c r="X48" s="340">
        <f>IF(C48&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-34.216309967799134</v>
      </c>
      <c r="Y48" s="215" t="e">
        <f t="shared" si="9"/>
        <v>#VALUE!</v>
      </c>
      <c r="Z48" s="341" t="str">
        <f t="shared" si="10"/>
        <v/>
      </c>
      <c r="AA48" s="215" t="str">
        <f t="shared" si="11"/>
        <v/>
      </c>
      <c r="AB48" s="336">
        <f>IF(OR(C48="",C48="TOPX",終値!E13=""),"",IFERROR(((終値!E13*0.333)+(終値!F13*0.222)+(終値!G13*0.148)+(終値!H13*0.099)+(終値!I13*0.066))/(0.333+0.222+0.148+0.099+0.066),""))</f>
        <v>2697.0299539170501</v>
      </c>
      <c r="AC48" s="336">
        <f>IF(OR(C48="",C48="TOPX",終値!E13=""),"",IFERROR(SUMPRODUCT((終値!E13:AC13),{0.077,0.071,0.065,0.06,0.055,0.051,0.047,0.043,0.039,0.036,0.033,0.031,0.028,0.026,0.024,0.022,0.02,0.018,0.017,0.016,0.014,0.013,0.012,0.011,0.01})/SUM({0.077,0.071,0.065,0.06,0.055,0.051,0.047,0.043,0.039,0.036,0.033,0.031,0.028,0.026,0.024,0.022,0.02,0.018,0.017,0.016,0.014,0.013,0.012,0.011,0.01}),""))</f>
        <v>2764.5673420738963</v>
      </c>
      <c r="AD48" s="215" t="str">
        <f t="shared" si="12"/>
        <v>上昇トレンド▲</v>
      </c>
      <c r="AE48" s="215" t="e">
        <f t="shared" si="13"/>
        <v>#VALUE!</v>
      </c>
      <c r="AF48" t="e">
        <f>IF(T48="","",IF(銘柄管理!$F$5="上昇▲",IF(AND(AD48="下降トレンド▼",OR(AE48="25日戻り売り★",AE48="5日戻り売り○")),"★逆張り売り",IF(AND(AD48="もみ合い→",OR(AE48="25日戻り売り★",AE48="5日戻り売り○")),"○逆張り売り",IF(W48&gt;=70,IF(Z48&lt;0,"◎反落確認","△過熱・様子見"),"相場上昇・見送り"))),IF(AND(T48&gt;=12,AD48="下降トレンド▼"),"★強い売り",IF(T48&gt;=12,"★強い売り",IF(AND(T48&gt;=8,OR(AE48="25日戻り売り★",AE48="5日戻り売り○")),"◎戻り売り",IF(T48&gt;=10,"○売り候補",IF(T48&gt;=6,"△注目",IF(T48&gt;=3,"様子見","見送り"))))))))</f>
        <v>#VALUE!</v>
      </c>
      <c r="AG48">
        <f t="shared" si="14"/>
        <v>0</v>
      </c>
      <c r="AH48">
        <f t="shared" si="15"/>
        <v>0</v>
      </c>
      <c r="AI48" s="376">
        <f t="array" ref="AI48">IF(C48="","",IFERROR((INDEX(終値!$E:$E,MATCH(TEXT(C48,"0"),終値!$A:$A,0))-INDEX(終値!$E:$CZ,MATCH(TEXT(C48,"0"),終値!$A:$A,0),$AN$2))/INDEX(終値!$E:$CZ,MATCH(TEXT(C48,"0"),終値!$A:$A,0),$AN$2)*100,""))</f>
        <v>-15.853269537480063</v>
      </c>
      <c r="AJ48" s="376">
        <f t="array" ref="AJ48">IFERROR((終値!$E$5-INDEX(終値!$E$5:$CZ$5,1,$AN$2))/INDEX(終値!$E$5:$CZ$5,1,$AN$2)*100,"")</f>
        <v>2.31989243802786</v>
      </c>
      <c r="AK48" s="377">
        <f t="shared" si="16"/>
        <v>-18.173161975507924</v>
      </c>
      <c r="AL48" s="375">
        <f t="shared" si="17"/>
        <v>3</v>
      </c>
      <c r="AO48" s="379" t="e">
        <f t="shared" si="18"/>
        <v>#VALUE!</v>
      </c>
      <c r="AP48" s="380" t="e">
        <f t="shared" si="19"/>
        <v>#VALUE!</v>
      </c>
      <c r="AQ48">
        <f>IF(C48&lt;&gt;"",始値!F13,"")</f>
        <v>2798</v>
      </c>
      <c r="AR48">
        <f>IF(C48&lt;&gt;"",高値!F13,"")</f>
        <v>2798</v>
      </c>
      <c r="AS48">
        <f>IF(C48&lt;&gt;"",安値!F13,"")</f>
        <v>2726</v>
      </c>
      <c r="AT48" t="str">
        <f t="shared" si="20"/>
        <v>通常</v>
      </c>
      <c r="AU48">
        <f t="shared" si="21"/>
        <v>0</v>
      </c>
    </row>
    <row r="49" spans="1:47" ht="14.25" customHeight="1">
      <c r="A49" s="327" t="str">
        <f>IF(銘柄管理!B25&lt;&gt;"",HYPERLINK("https://kabutan.jp/stock/?code="&amp;銘柄管理!B25,"株探"),"")</f>
        <v>株探</v>
      </c>
      <c r="B49" s="328"/>
      <c r="C49" s="477">
        <f>IF(銘柄管理!B25="","",銘柄管理!B25)</f>
        <v>8053</v>
      </c>
      <c r="D49" s="328" t="str">
        <f>IF(銘柄管理!C25="","",銘柄管理!C25)</f>
        <v/>
      </c>
      <c r="E49" s="329" t="str">
        <f>IF(C49&lt;&gt;"",_xll.RssMarket(C49,"現在値"),"")</f>
        <v/>
      </c>
      <c r="F49" s="329" t="str">
        <f>IF(C49&lt;&gt;"",_xll.RssMarket(C49,"始値"),"")</f>
        <v/>
      </c>
      <c r="G49" s="328">
        <f>IF(C49&lt;&gt;"",終値!F25,"")</f>
        <v>1590</v>
      </c>
      <c r="H49" s="329" t="str">
        <f>IF(C49&lt;&gt;"",_xll.RssMarket(C49,"高値"),"")</f>
        <v/>
      </c>
      <c r="I49" s="329" t="str">
        <f>IF(C49&lt;&gt;"",_xll.RssMarket(C49,"安値"),"")</f>
        <v/>
      </c>
      <c r="J49" s="329" t="str">
        <f>IF(C49&lt;&gt;"",_xll.RssMarket(C49,"出来高"),"")</f>
        <v/>
      </c>
      <c r="K49" s="329" t="str">
        <f>IF(C49&lt;&gt;"",_xll.RssMarket(C49,"年初来高値"),"")</f>
        <v/>
      </c>
      <c r="L49" s="330" t="str">
        <f t="shared" si="0"/>
        <v/>
      </c>
      <c r="M49" s="329">
        <f>IF(C49&lt;&gt;"",IFERROR(AVERAGE(出来高!E25:I25),""),"")</f>
        <v>11689620</v>
      </c>
      <c r="N49" s="329">
        <f>IF(C49&lt;&gt;"",IFERROR(AVERAGE(出来高!E25:AC25),""),"")</f>
        <v>8142032</v>
      </c>
      <c r="O49" s="331" t="str">
        <f t="shared" si="1"/>
        <v/>
      </c>
      <c r="P49" s="328" t="str">
        <f t="shared" si="2"/>
        <v/>
      </c>
      <c r="Q49" s="328" t="str">
        <f t="shared" si="3"/>
        <v/>
      </c>
      <c r="R49" s="329" t="str">
        <f t="shared" si="4"/>
        <v/>
      </c>
      <c r="S49" s="329" t="str">
        <f t="shared" si="5"/>
        <v/>
      </c>
      <c r="T49" s="328">
        <f t="shared" si="6"/>
        <v>0</v>
      </c>
      <c r="U49" s="328" t="str">
        <f t="shared" si="7"/>
        <v>除外</v>
      </c>
      <c r="V49" s="328" t="str">
        <f t="shared" si="8"/>
        <v/>
      </c>
      <c r="W49" s="332">
        <f t="array" ref="W49">IFERROR(100-100/(1+SUMPRODUCT((終値!F25:R25&gt;終値!G25:S25)*(終値!F25:R25-終値!G25:S25))/SUMPRODUCT((終値!F25:R25&lt;終値!G25:S25)*(終値!G25:S25-終値!F25:R25))),50)</f>
        <v>3.4606205250596673</v>
      </c>
      <c r="X49" s="333">
        <f>IF(C49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-769.86097102758572</v>
      </c>
      <c r="Y49" s="328" t="e">
        <f t="shared" si="9"/>
        <v>#VALUE!</v>
      </c>
      <c r="Z49" s="334" t="str">
        <f t="shared" si="10"/>
        <v/>
      </c>
      <c r="AA49" s="328" t="str">
        <f t="shared" si="11"/>
        <v/>
      </c>
      <c r="AB49" s="329">
        <f>IF(OR(C49="",C49="TOPX",終値!E25=""),"",IFERROR(((終値!E25*0.333)+(終値!F25*0.222)+(終値!G25*0.148)+(終値!H25*0.099)+(終値!I25*0.066))/(0.333+0.222+0.148+0.099+0.066),""))</f>
        <v>1550.4418202764978</v>
      </c>
      <c r="AC49" s="329">
        <f>IF(OR(C49="",C49="TOPX",終値!E25=""),"",IFERROR(SUMPRODUCT((終値!E25:AC25),{0.077,0.071,0.065,0.06,0.055,0.051,0.047,0.043,0.039,0.036,0.033,0.031,0.028,0.026,0.024,0.022,0.02,0.018,0.017,0.016,0.014,0.013,0.012,0.011,0.01})/SUM({0.077,0.071,0.065,0.06,0.055,0.051,0.047,0.043,0.039,0.036,0.033,0.031,0.028,0.026,0.024,0.022,0.02,0.018,0.017,0.016,0.014,0.013,0.012,0.011,0.01}),""))</f>
        <v>2884.4737783075079</v>
      </c>
      <c r="AD49" s="328" t="str">
        <f t="shared" si="12"/>
        <v>上昇トレンド▲</v>
      </c>
      <c r="AE49" s="328" t="e">
        <f t="shared" si="13"/>
        <v>#VALUE!</v>
      </c>
      <c r="AF49" t="e">
        <f>IF(T49="","",IF(銘柄管理!$F$5="上昇▲",IF(AND(AD49="下降トレンド▼",OR(AE49="25日戻り売り★",AE49="5日戻り売り○")),"★逆張り売り",IF(AND(AD49="もみ合い→",OR(AE49="25日戻り売り★",AE49="5日戻り売り○")),"○逆張り売り",IF(W49&gt;=70,IF(Z49&lt;0,"◎反落確認","△過熱・様子見"),"相場上昇・見送り"))),IF(AND(T49&gt;=12,AD49="下降トレンド▼"),"★強い売り",IF(T49&gt;=12,"★強い売り",IF(AND(T49&gt;=8,OR(AE49="25日戻り売り★",AE49="5日戻り売り○")),"◎戻り売り",IF(T49&gt;=10,"○売り候補",IF(T49&gt;=6,"△注目",IF(T49&gt;=3,"様子見","見送り"))))))))</f>
        <v>#VALUE!</v>
      </c>
      <c r="AG49">
        <f t="shared" si="14"/>
        <v>0</v>
      </c>
      <c r="AH49">
        <f t="shared" si="15"/>
        <v>0</v>
      </c>
      <c r="AI49" s="376">
        <f t="array" ref="AI49">IF(C49="","",IFERROR((INDEX(終値!$E:$E,MATCH(TEXT(C49,"0"),終値!$A:$A,0))-INDEX(終値!$E:$CZ,MATCH(TEXT(C49,"0"),終値!$A:$A,0),$AN$2))/INDEX(終値!$E:$CZ,MATCH(TEXT(C49,"0"),終値!$A:$A,0),$AN$2)*100,""))</f>
        <v>-77.871967261034783</v>
      </c>
      <c r="AJ49" s="376">
        <f t="array" ref="AJ49">IFERROR((終値!$E$5-INDEX(終値!$E$5:$CZ$5,1,$AN$2))/INDEX(終値!$E$5:$CZ$5,1,$AN$2)*100,"")</f>
        <v>2.31989243802786</v>
      </c>
      <c r="AK49" s="377">
        <f t="shared" si="16"/>
        <v>-80.191859699062647</v>
      </c>
      <c r="AL49" s="375">
        <f t="shared" si="17"/>
        <v>3</v>
      </c>
      <c r="AO49" s="379" t="e">
        <f t="shared" si="18"/>
        <v>#VALUE!</v>
      </c>
      <c r="AP49" s="380" t="e">
        <f t="shared" si="19"/>
        <v>#VALUE!</v>
      </c>
      <c r="AQ49">
        <f>IF(C49&lt;&gt;"",始値!F25,"")</f>
        <v>1588.5</v>
      </c>
      <c r="AR49">
        <f>IF(C49&lt;&gt;"",高値!F25,"")</f>
        <v>1596.5</v>
      </c>
      <c r="AS49">
        <f>IF(C49&lt;&gt;"",安値!F25,"")</f>
        <v>1575.5</v>
      </c>
      <c r="AT49" t="str">
        <f t="shared" si="20"/>
        <v>通常</v>
      </c>
      <c r="AU49">
        <f t="shared" si="21"/>
        <v>0</v>
      </c>
    </row>
    <row r="50" spans="1:47" ht="14.25" customHeight="1">
      <c r="A50" s="335" t="str">
        <f>IF(銘柄管理!B57&lt;&gt;"",HYPERLINK("https://kabutan.jp/stock/?code="&amp;銘柄管理!B57,"株探"),"")</f>
        <v>株探</v>
      </c>
      <c r="B50" s="215"/>
      <c r="C50" s="478">
        <f>IF(銘柄管理!B57="","",銘柄管理!B57)</f>
        <v>6203</v>
      </c>
      <c r="D50" s="215" t="str">
        <f>IF(銘柄管理!C57="","",銘柄管理!C57)</f>
        <v/>
      </c>
      <c r="E50" s="336" t="str">
        <f>IF(C50&lt;&gt;"",_xll.RssMarket(C50,"現在値"),"")</f>
        <v/>
      </c>
      <c r="F50" s="336" t="str">
        <f>IF(C50&lt;&gt;"",_xll.RssMarket(C50,"始値"),"")</f>
        <v/>
      </c>
      <c r="G50" s="215">
        <f>IF(C50&lt;&gt;"",終値!F57,"")</f>
        <v>1650</v>
      </c>
      <c r="H50" s="336" t="str">
        <f>IF(C50&lt;&gt;"",_xll.RssMarket(C50,"高値"),"")</f>
        <v/>
      </c>
      <c r="I50" s="336" t="str">
        <f>IF(C50&lt;&gt;"",_xll.RssMarket(C50,"安値"),"")</f>
        <v/>
      </c>
      <c r="J50" s="336" t="str">
        <f>IF(C50&lt;&gt;"",_xll.RssMarket(C50,"出来高"),"")</f>
        <v/>
      </c>
      <c r="K50" s="336" t="str">
        <f>IF(C50&lt;&gt;"",_xll.RssMarket(C50,"年初来高値"),"")</f>
        <v/>
      </c>
      <c r="L50" s="337" t="str">
        <f t="shared" si="0"/>
        <v/>
      </c>
      <c r="M50" s="336">
        <f>IF(C50&lt;&gt;"",IFERROR(AVERAGE(出来高!E57:I57),""),"")</f>
        <v>422160</v>
      </c>
      <c r="N50" s="336">
        <f>IF(C50&lt;&gt;"",IFERROR(AVERAGE(出来高!E57:AC57),""),"")</f>
        <v>429880</v>
      </c>
      <c r="O50" s="338" t="str">
        <f t="shared" si="1"/>
        <v/>
      </c>
      <c r="P50" s="215" t="str">
        <f t="shared" si="2"/>
        <v/>
      </c>
      <c r="Q50" s="215" t="str">
        <f t="shared" si="3"/>
        <v/>
      </c>
      <c r="R50" s="336" t="str">
        <f t="shared" si="4"/>
        <v/>
      </c>
      <c r="S50" s="336" t="str">
        <f t="shared" si="5"/>
        <v/>
      </c>
      <c r="T50" s="328">
        <f t="shared" si="6"/>
        <v>0</v>
      </c>
      <c r="U50" s="215" t="str">
        <f t="shared" si="7"/>
        <v>除外</v>
      </c>
      <c r="V50" s="215" t="str">
        <f t="shared" si="8"/>
        <v/>
      </c>
      <c r="W50" s="339">
        <f t="array" ref="W50">IFERROR(100-100/(1+SUMPRODUCT((終値!F57:R57&gt;終値!G57:S57)*(終値!F57:R57-終値!G57:S57))/SUMPRODUCT((終値!F57:R57&lt;終値!G57:S57)*(終値!G57:S57-終値!F57:R57))),50)</f>
        <v>56.424581005586589</v>
      </c>
      <c r="X50" s="340">
        <f>IF(C50&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-5.2579933847844131</v>
      </c>
      <c r="Y50" s="215" t="e">
        <f t="shared" si="9"/>
        <v>#VALUE!</v>
      </c>
      <c r="Z50" s="341" t="str">
        <f t="shared" si="10"/>
        <v/>
      </c>
      <c r="AA50" s="215" t="str">
        <f t="shared" si="11"/>
        <v/>
      </c>
      <c r="AB50" s="336">
        <f>IF(OR(C50="",C50="TOPX",終値!E57=""),"",IFERROR(((終値!E57*0.333)+(終値!F57*0.222)+(終値!G57*0.148)+(終値!H57*0.099)+(終値!I57*0.066))/(0.333+0.222+0.148+0.099+0.066),""))</f>
        <v>1548.4135944700461</v>
      </c>
      <c r="AC50" s="336">
        <f>IF(OR(C50="",C50="TOPX",終値!E57=""),"",IFERROR(SUMPRODUCT((終値!E57:AC57),{0.077,0.071,0.065,0.06,0.055,0.051,0.047,0.043,0.039,0.036,0.033,0.031,0.028,0.026,0.024,0.022,0.02,0.018,0.017,0.016,0.014,0.013,0.012,0.011,0.01})/SUM({0.077,0.071,0.065,0.06,0.055,0.051,0.047,0.043,0.039,0.036,0.033,0.031,0.028,0.026,0.024,0.022,0.02,0.018,0.017,0.016,0.014,0.013,0.012,0.011,0.01}),""))</f>
        <v>1589.4707985697253</v>
      </c>
      <c r="AD50" s="215" t="str">
        <f t="shared" si="12"/>
        <v>上昇トレンド▲</v>
      </c>
      <c r="AE50" s="215" t="e">
        <f t="shared" si="13"/>
        <v>#VALUE!</v>
      </c>
      <c r="AF50" t="e">
        <f>IF(T50="","",IF(銘柄管理!$F$5="上昇▲",IF(AND(AD50="下降トレンド▼",OR(AE50="25日戻り売り★",AE50="5日戻り売り○")),"★逆張り売り",IF(AND(AD50="もみ合い→",OR(AE50="25日戻り売り★",AE50="5日戻り売り○")),"○逆張り売り",IF(W50&gt;=70,IF(Z50&lt;0,"◎反落確認","△過熱・様子見"),"相場上昇・見送り"))),IF(AND(T50&gt;=12,AD50="下降トレンド▼"),"★強い売り",IF(T50&gt;=12,"★強い売り",IF(AND(T50&gt;=8,OR(AE50="25日戻り売り★",AE50="5日戻り売り○")),"◎戻り売り",IF(T50&gt;=10,"○売り候補",IF(T50&gt;=6,"△注目",IF(T50&gt;=3,"様子見","見送り"))))))))</f>
        <v>#VALUE!</v>
      </c>
      <c r="AG50">
        <f t="shared" si="14"/>
        <v>0</v>
      </c>
      <c r="AH50">
        <f t="shared" si="15"/>
        <v>0</v>
      </c>
      <c r="AI50" s="376">
        <f t="array" ref="AI50">IF(C50="","",IFERROR((INDEX(終値!$E:$E,MATCH(TEXT(C50,"0"),終値!$A:$A,0))-INDEX(終値!$E:$CZ,MATCH(TEXT(C50,"0"),終値!$A:$A,0),$AN$2))/INDEX(終値!$E:$CZ,MATCH(TEXT(C50,"0"),終値!$A:$A,0),$AN$2)*100,""))</f>
        <v>-20.557103064066855</v>
      </c>
      <c r="AJ50" s="376">
        <f t="array" ref="AJ50">IFERROR((終値!$E$5-INDEX(終値!$E$5:$CZ$5,1,$AN$2))/INDEX(終値!$E$5:$CZ$5,1,$AN$2)*100,"")</f>
        <v>2.31989243802786</v>
      </c>
      <c r="AK50" s="377">
        <f t="shared" si="16"/>
        <v>-22.876995502094715</v>
      </c>
      <c r="AL50" s="375">
        <f t="shared" si="17"/>
        <v>3</v>
      </c>
      <c r="AO50" s="379" t="e">
        <f t="shared" si="18"/>
        <v>#VALUE!</v>
      </c>
      <c r="AP50" s="380" t="e">
        <f t="shared" si="19"/>
        <v>#VALUE!</v>
      </c>
      <c r="AQ50">
        <f>IF(C50&lt;&gt;"",始値!F57,"")</f>
        <v>1595</v>
      </c>
      <c r="AR50">
        <f>IF(C50&lt;&gt;"",高値!F57,"")</f>
        <v>1686</v>
      </c>
      <c r="AS50">
        <f>IF(C50&lt;&gt;"",安値!F57,"")</f>
        <v>1522</v>
      </c>
      <c r="AT50" t="str">
        <f t="shared" si="20"/>
        <v>通常</v>
      </c>
      <c r="AU50">
        <f t="shared" si="21"/>
        <v>0</v>
      </c>
    </row>
    <row r="51" spans="1:47" ht="14.25" customHeight="1">
      <c r="A51" s="327" t="str">
        <f>IF(銘柄管理!B59&lt;&gt;"",HYPERLINK("https://kabutan.jp/stock/?code="&amp;銘柄管理!B59,"株探"),"")</f>
        <v>株探</v>
      </c>
      <c r="B51" s="328"/>
      <c r="C51" s="477">
        <f>IF(銘柄管理!B59="","",銘柄管理!B59)</f>
        <v>1961</v>
      </c>
      <c r="D51" s="328" t="str">
        <f>IF(銘柄管理!C59="","",銘柄管理!C59)</f>
        <v/>
      </c>
      <c r="E51" s="329" t="str">
        <f>IF(C51&lt;&gt;"",_xll.RssMarket(C51,"現在値"),"")</f>
        <v/>
      </c>
      <c r="F51" s="329" t="str">
        <f>IF(C51&lt;&gt;"",_xll.RssMarket(C51,"始値"),"")</f>
        <v/>
      </c>
      <c r="G51" s="328">
        <f>IF(C51&lt;&gt;"",終値!F59,"")</f>
        <v>2628</v>
      </c>
      <c r="H51" s="329" t="str">
        <f>IF(C51&lt;&gt;"",_xll.RssMarket(C51,"高値"),"")</f>
        <v/>
      </c>
      <c r="I51" s="329" t="str">
        <f>IF(C51&lt;&gt;"",_xll.RssMarket(C51,"安値"),"")</f>
        <v/>
      </c>
      <c r="J51" s="329" t="str">
        <f>IF(C51&lt;&gt;"",_xll.RssMarket(C51,"出来高"),"")</f>
        <v/>
      </c>
      <c r="K51" s="329" t="str">
        <f>IF(C51&lt;&gt;"",_xll.RssMarket(C51,"年初来高値"),"")</f>
        <v/>
      </c>
      <c r="L51" s="330" t="str">
        <f t="shared" si="0"/>
        <v/>
      </c>
      <c r="M51" s="329">
        <f>IF(C51&lt;&gt;"",IFERROR(AVERAGE(出来高!E59:I59),""),"")</f>
        <v>748100</v>
      </c>
      <c r="N51" s="329">
        <f>IF(C51&lt;&gt;"",IFERROR(AVERAGE(出来高!E59:AC59),""),"")</f>
        <v>659088</v>
      </c>
      <c r="O51" s="331" t="str">
        <f t="shared" si="1"/>
        <v/>
      </c>
      <c r="P51" s="328" t="str">
        <f t="shared" si="2"/>
        <v/>
      </c>
      <c r="Q51" s="328" t="str">
        <f t="shared" si="3"/>
        <v/>
      </c>
      <c r="R51" s="329" t="str">
        <f t="shared" si="4"/>
        <v/>
      </c>
      <c r="S51" s="329" t="str">
        <f t="shared" si="5"/>
        <v/>
      </c>
      <c r="T51" s="328">
        <f t="shared" si="6"/>
        <v>0</v>
      </c>
      <c r="U51" s="328" t="str">
        <f t="shared" si="7"/>
        <v>除外</v>
      </c>
      <c r="V51" s="328" t="str">
        <f t="shared" si="8"/>
        <v/>
      </c>
      <c r="W51" s="332">
        <f t="array" ref="W51">IFERROR(100-100/(1+SUMPRODUCT((終値!F59:R59&gt;終値!G59:S59)*(終値!F59:R59-終値!G59:S59))/SUMPRODUCT((終値!F59:R59&lt;終値!G59:S59)*(終値!G59:S59-終値!F59:R59))),50)</f>
        <v>22.782037239868558</v>
      </c>
      <c r="X51" s="333">
        <f>IF(C51&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-50.825021194956207</v>
      </c>
      <c r="Y51" s="328" t="e">
        <f t="shared" si="9"/>
        <v>#VALUE!</v>
      </c>
      <c r="Z51" s="334" t="str">
        <f t="shared" si="10"/>
        <v/>
      </c>
      <c r="AA51" s="328" t="str">
        <f t="shared" si="11"/>
        <v/>
      </c>
      <c r="AB51" s="329">
        <f>IF(OR(C51="",C51="TOPX",終値!E59=""),"",IFERROR(((終値!E59*0.333)+(終値!F59*0.222)+(終値!G59*0.148)+(終値!H59*0.099)+(終値!I59*0.066))/(0.333+0.222+0.148+0.099+0.066),""))</f>
        <v>2547.0898617511521</v>
      </c>
      <c r="AC51" s="329">
        <f>IF(OR(C51="",C51="TOPX",終値!E59=""),"",IFERROR(SUMPRODUCT((終値!E59:AC59),{0.077,0.071,0.065,0.06,0.055,0.051,0.047,0.043,0.039,0.036,0.033,0.031,0.028,0.026,0.024,0.022,0.02,0.018,0.017,0.016,0.014,0.013,0.012,0.011,0.01})/SUM({0.077,0.071,0.065,0.06,0.055,0.051,0.047,0.043,0.039,0.036,0.033,0.031,0.028,0.026,0.024,0.022,0.02,0.018,0.017,0.016,0.014,0.013,0.012,0.011,0.01}),""))</f>
        <v>2732.0965435041703</v>
      </c>
      <c r="AD51" s="328" t="str">
        <f t="shared" si="12"/>
        <v>上昇トレンド▲</v>
      </c>
      <c r="AE51" s="328" t="e">
        <f t="shared" si="13"/>
        <v>#VALUE!</v>
      </c>
      <c r="AF51" t="e">
        <f>IF(T51="","",IF(銘柄管理!$F$5="上昇▲",IF(AND(AD51="下降トレンド▼",OR(AE51="25日戻り売り★",AE51="5日戻り売り○")),"★逆張り売り",IF(AND(AD51="もみ合い→",OR(AE51="25日戻り売り★",AE51="5日戻り売り○")),"○逆張り売り",IF(W51&gt;=70,IF(Z51&lt;0,"◎反落確認","△過熱・様子見"),"相場上昇・見送り"))),IF(AND(T51&gt;=12,AD51="下降トレンド▼"),"★強い売り",IF(T51&gt;=12,"★強い売り",IF(AND(T51&gt;=8,OR(AE51="25日戻り売り★",AE51="5日戻り売り○")),"◎戻り売り",IF(T51&gt;=10,"○売り候補",IF(T51&gt;=6,"△注目",IF(T51&gt;=3,"様子見","見送り"))))))))</f>
        <v>#VALUE!</v>
      </c>
      <c r="AG51">
        <f t="shared" si="14"/>
        <v>0</v>
      </c>
      <c r="AH51">
        <f t="shared" si="15"/>
        <v>0</v>
      </c>
      <c r="AI51" s="376">
        <f t="array" ref="AI51">IF(C51="","",IFERROR((INDEX(終値!$E:$E,MATCH(TEXT(C51,"0"),終値!$A:$A,0))-INDEX(終値!$E:$CZ,MATCH(TEXT(C51,"0"),終値!$A:$A,0),$AN$2))/INDEX(終値!$E:$CZ,MATCH(TEXT(C51,"0"),終値!$A:$A,0),$AN$2)*100,""))</f>
        <v>6.8339100346020771</v>
      </c>
      <c r="AJ51" s="376">
        <f t="array" ref="AJ51">IFERROR((終値!$E$5-INDEX(終値!$E$5:$CZ$5,1,$AN$2))/INDEX(終値!$E$5:$CZ$5,1,$AN$2)*100,"")</f>
        <v>2.31989243802786</v>
      </c>
      <c r="AK51" s="377">
        <f t="shared" si="16"/>
        <v>4.5140175965742166</v>
      </c>
      <c r="AL51" s="375">
        <f t="shared" si="17"/>
        <v>-2</v>
      </c>
      <c r="AO51" s="379" t="e">
        <f t="shared" si="18"/>
        <v>#VALUE!</v>
      </c>
      <c r="AP51" s="380" t="e">
        <f t="shared" si="19"/>
        <v>#VALUE!</v>
      </c>
      <c r="AQ51">
        <f>IF(C51&lt;&gt;"",始値!F59,"")</f>
        <v>2600</v>
      </c>
      <c r="AR51">
        <f>IF(C51&lt;&gt;"",高値!F59,"")</f>
        <v>2651</v>
      </c>
      <c r="AS51">
        <f>IF(C51&lt;&gt;"",安値!F59,"")</f>
        <v>2566</v>
      </c>
      <c r="AT51" t="str">
        <f t="shared" si="20"/>
        <v>通常</v>
      </c>
      <c r="AU51">
        <f t="shared" si="21"/>
        <v>0</v>
      </c>
    </row>
    <row r="52" spans="1:47" ht="14.25" customHeight="1">
      <c r="A52" s="335" t="str">
        <f>IF(銘柄管理!B62&lt;&gt;"",HYPERLINK("https://kabutan.jp/stock/?code="&amp;銘柄管理!B62,"株探"),"")</f>
        <v>株探</v>
      </c>
      <c r="B52" s="215"/>
      <c r="C52" s="478">
        <f>IF(銘柄管理!B62="","",銘柄管理!B62)</f>
        <v>5857</v>
      </c>
      <c r="D52" s="215" t="str">
        <f>IF(銘柄管理!C62="","",銘柄管理!C62)</f>
        <v/>
      </c>
      <c r="E52" s="336" t="str">
        <f>IF(C52&lt;&gt;"",_xll.RssMarket(C52,"現在値"),"")</f>
        <v/>
      </c>
      <c r="F52" s="336" t="str">
        <f>IF(C52&lt;&gt;"",_xll.RssMarket(C52,"始値"),"")</f>
        <v/>
      </c>
      <c r="G52" s="215">
        <f>IF(C52&lt;&gt;"",終値!F62,"")</f>
        <v>3085</v>
      </c>
      <c r="H52" s="336" t="str">
        <f>IF(C52&lt;&gt;"",_xll.RssMarket(C52,"高値"),"")</f>
        <v/>
      </c>
      <c r="I52" s="336" t="str">
        <f>IF(C52&lt;&gt;"",_xll.RssMarket(C52,"安値"),"")</f>
        <v/>
      </c>
      <c r="J52" s="336" t="str">
        <f>IF(C52&lt;&gt;"",_xll.RssMarket(C52,"出来高"),"")</f>
        <v/>
      </c>
      <c r="K52" s="336" t="str">
        <f>IF(C52&lt;&gt;"",_xll.RssMarket(C52,"年初来高値"),"")</f>
        <v/>
      </c>
      <c r="L52" s="337" t="str">
        <f t="shared" si="0"/>
        <v/>
      </c>
      <c r="M52" s="336">
        <f>IF(C52&lt;&gt;"",IFERROR(AVERAGE(出来高!E62:I62),""),"")</f>
        <v>768620</v>
      </c>
      <c r="N52" s="336">
        <f>IF(C52&lt;&gt;"",IFERROR(AVERAGE(出来高!E62:AC62),""),"")</f>
        <v>685452</v>
      </c>
      <c r="O52" s="338" t="str">
        <f t="shared" si="1"/>
        <v/>
      </c>
      <c r="P52" s="215" t="str">
        <f t="shared" si="2"/>
        <v/>
      </c>
      <c r="Q52" s="215" t="str">
        <f t="shared" si="3"/>
        <v/>
      </c>
      <c r="R52" s="336" t="str">
        <f t="shared" si="4"/>
        <v/>
      </c>
      <c r="S52" s="336" t="str">
        <f t="shared" si="5"/>
        <v/>
      </c>
      <c r="T52" s="328">
        <f t="shared" si="6"/>
        <v>0</v>
      </c>
      <c r="U52" s="215" t="str">
        <f t="shared" si="7"/>
        <v>除外</v>
      </c>
      <c r="V52" s="215" t="str">
        <f t="shared" si="8"/>
        <v/>
      </c>
      <c r="W52" s="339">
        <f t="array" ref="W52">IFERROR(100-100/(1+SUMPRODUCT((終値!F62:R62&gt;終値!G62:S62)*(終値!F62:R62-終値!G62:S62))/SUMPRODUCT((終値!F62:R62&lt;終値!G62:S62)*(終値!G62:S62-終値!F62:R62))),50)</f>
        <v>49.684741488020173</v>
      </c>
      <c r="X52" s="340">
        <f>IF(C52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-11.322857916165958</v>
      </c>
      <c r="Y52" s="215" t="e">
        <f t="shared" si="9"/>
        <v>#VALUE!</v>
      </c>
      <c r="Z52" s="341" t="str">
        <f t="shared" si="10"/>
        <v/>
      </c>
      <c r="AA52" s="215" t="str">
        <f t="shared" si="11"/>
        <v/>
      </c>
      <c r="AB52" s="336">
        <f>IF(OR(C52="",C52="TOPX",終値!E62=""),"",IFERROR(((終値!E62*0.333)+(終値!F62*0.222)+(終値!G62*0.148)+(終値!H62*0.099)+(終値!I62*0.066))/(0.333+0.222+0.148+0.099+0.066),""))</f>
        <v>2997.366359447004</v>
      </c>
      <c r="AC52" s="336">
        <f>IF(OR(C52="",C52="TOPX",終値!E62=""),"",IFERROR(SUMPRODUCT((終値!E62:AC62),{0.077,0.071,0.065,0.06,0.055,0.051,0.047,0.043,0.039,0.036,0.033,0.031,0.028,0.026,0.024,0.022,0.02,0.018,0.017,0.016,0.014,0.013,0.012,0.011,0.01})/SUM({0.077,0.071,0.065,0.06,0.055,0.051,0.047,0.043,0.039,0.036,0.033,0.031,0.028,0.026,0.024,0.022,0.02,0.018,0.017,0.016,0.014,0.013,0.012,0.011,0.01}),""))</f>
        <v>3015.3039332538724</v>
      </c>
      <c r="AD52" s="215" t="str">
        <f t="shared" si="12"/>
        <v>上昇トレンド▲</v>
      </c>
      <c r="AE52" s="215" t="e">
        <f t="shared" si="13"/>
        <v>#VALUE!</v>
      </c>
      <c r="AF52" t="e">
        <f>IF(T52="","",IF(銘柄管理!$F$5="上昇▲",IF(AND(AD52="下降トレンド▼",OR(AE52="25日戻り売り★",AE52="5日戻り売り○")),"★逆張り売り",IF(AND(AD52="もみ合い→",OR(AE52="25日戻り売り★",AE52="5日戻り売り○")),"○逆張り売り",IF(W52&gt;=70,IF(Z52&lt;0,"◎反落確認","△過熱・様子見"),"相場上昇・見送り"))),IF(AND(T52&gt;=12,AD52="下降トレンド▼"),"★強い売り",IF(T52&gt;=12,"★強い売り",IF(AND(T52&gt;=8,OR(AE52="25日戻り売り★",AE52="5日戻り売り○")),"◎戻り売り",IF(T52&gt;=10,"○売り候補",IF(T52&gt;=6,"△注目",IF(T52&gt;=3,"様子見","見送り"))))))))</f>
        <v>#VALUE!</v>
      </c>
      <c r="AG52">
        <f t="shared" si="14"/>
        <v>0</v>
      </c>
      <c r="AH52">
        <f t="shared" si="15"/>
        <v>0</v>
      </c>
      <c r="AI52" s="376">
        <f t="array" ref="AI52">IF(C52="","",IFERROR((INDEX(終値!$E:$E,MATCH(TEXT(C52,"0"),終値!$A:$A,0))-INDEX(終値!$E:$CZ,MATCH(TEXT(C52,"0"),終値!$A:$A,0),$AN$2))/INDEX(終値!$E:$CZ,MATCH(TEXT(C52,"0"),終値!$A:$A,0),$AN$2)*100,""))</f>
        <v>-7.7044025157232703</v>
      </c>
      <c r="AJ52" s="376">
        <f t="array" ref="AJ52">IFERROR((終値!$E$5-INDEX(終値!$E$5:$CZ$5,1,$AN$2))/INDEX(終値!$E$5:$CZ$5,1,$AN$2)*100,"")</f>
        <v>2.31989243802786</v>
      </c>
      <c r="AK52" s="377">
        <f t="shared" si="16"/>
        <v>-10.024294953751131</v>
      </c>
      <c r="AL52" s="375">
        <f t="shared" si="17"/>
        <v>3</v>
      </c>
      <c r="AO52" s="379" t="e">
        <f t="shared" si="18"/>
        <v>#VALUE!</v>
      </c>
      <c r="AP52" s="380" t="e">
        <f t="shared" si="19"/>
        <v>#VALUE!</v>
      </c>
      <c r="AQ52">
        <f>IF(C52&lt;&gt;"",始値!F62,"")</f>
        <v>3085</v>
      </c>
      <c r="AR52">
        <f>IF(C52&lt;&gt;"",高値!F62,"")</f>
        <v>3130</v>
      </c>
      <c r="AS52">
        <f>IF(C52&lt;&gt;"",安値!F62,"")</f>
        <v>3030</v>
      </c>
      <c r="AT52" t="str">
        <f t="shared" si="20"/>
        <v>通常</v>
      </c>
      <c r="AU52">
        <f t="shared" si="21"/>
        <v>0</v>
      </c>
    </row>
    <row r="53" spans="1:47" ht="14.25" customHeight="1">
      <c r="A53" s="327" t="str">
        <f>IF(銘柄管理!B65&lt;&gt;"",HYPERLINK("https://kabutan.jp/stock/?code="&amp;銘柄管理!B65,"株探"),"")</f>
        <v>株探</v>
      </c>
      <c r="B53" s="328"/>
      <c r="C53" s="477">
        <f>IF(銘柄管理!B65="","",銘柄管理!B65)</f>
        <v>9984</v>
      </c>
      <c r="D53" s="328" t="str">
        <f>IF(銘柄管理!C65="","",銘柄管理!C65)</f>
        <v/>
      </c>
      <c r="E53" s="329" t="str">
        <f>IF(C53&lt;&gt;"",_xll.RssMarket(C53,"現在値"),"")</f>
        <v/>
      </c>
      <c r="F53" s="329" t="str">
        <f>IF(C53&lt;&gt;"",_xll.RssMarket(C53,"始値"),"")</f>
        <v/>
      </c>
      <c r="G53" s="328">
        <f>IF(C53&lt;&gt;"",終値!F65,"")</f>
        <v>6360</v>
      </c>
      <c r="H53" s="329" t="str">
        <f>IF(C53&lt;&gt;"",_xll.RssMarket(C53,"高値"),"")</f>
        <v/>
      </c>
      <c r="I53" s="329" t="str">
        <f>IF(C53&lt;&gt;"",_xll.RssMarket(C53,"安値"),"")</f>
        <v/>
      </c>
      <c r="J53" s="329" t="str">
        <f>IF(C53&lt;&gt;"",_xll.RssMarket(C53,"出来高"),"")</f>
        <v/>
      </c>
      <c r="K53" s="329" t="str">
        <f>IF(C53&lt;&gt;"",_xll.RssMarket(C53,"年初来高値"),"")</f>
        <v/>
      </c>
      <c r="L53" s="330" t="str">
        <f t="shared" si="0"/>
        <v/>
      </c>
      <c r="M53" s="329">
        <f>IF(C53&lt;&gt;"",IFERROR(AVERAGE(出来高!E65:I65),""),"")</f>
        <v>59833020</v>
      </c>
      <c r="N53" s="329">
        <f>IF(C53&lt;&gt;"",IFERROR(AVERAGE(出来高!E65:AC65),""),"")</f>
        <v>57732600</v>
      </c>
      <c r="O53" s="331" t="str">
        <f t="shared" si="1"/>
        <v/>
      </c>
      <c r="P53" s="328" t="str">
        <f t="shared" si="2"/>
        <v/>
      </c>
      <c r="Q53" s="328" t="str">
        <f t="shared" si="3"/>
        <v/>
      </c>
      <c r="R53" s="329" t="str">
        <f t="shared" si="4"/>
        <v/>
      </c>
      <c r="S53" s="329" t="str">
        <f t="shared" si="5"/>
        <v/>
      </c>
      <c r="T53" s="328">
        <f t="shared" si="6"/>
        <v>0</v>
      </c>
      <c r="U53" s="328" t="str">
        <f t="shared" si="7"/>
        <v>除外</v>
      </c>
      <c r="V53" s="328" t="str">
        <f t="shared" si="8"/>
        <v/>
      </c>
      <c r="W53" s="332">
        <f t="array" ref="W53">IFERROR(100-100/(1+SUMPRODUCT((終値!F65:R65&gt;終値!G65:S65)*(終値!F65:R65-終値!G65:S65))/SUMPRODUCT((終値!F65:R65&lt;終値!G65:S65)*(終値!G65:S65-終値!F65:R65))),50)</f>
        <v>37.391882900864942</v>
      </c>
      <c r="X53" s="333">
        <f>IF(C53&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-88.509797443866773</v>
      </c>
      <c r="Y53" s="328" t="e">
        <f t="shared" si="9"/>
        <v>#VALUE!</v>
      </c>
      <c r="Z53" s="334" t="str">
        <f t="shared" si="10"/>
        <v/>
      </c>
      <c r="AA53" s="328" t="str">
        <f t="shared" si="11"/>
        <v/>
      </c>
      <c r="AB53" s="329">
        <f>IF(OR(C53="",C53="TOPX",終値!E65=""),"",IFERROR(((終値!E65*0.333)+(終値!F65*0.222)+(終値!G65*0.148)+(終値!H65*0.099)+(終値!I65*0.066))/(0.333+0.222+0.148+0.099+0.066),""))</f>
        <v>6038.617511520737</v>
      </c>
      <c r="AC53" s="329">
        <f>IF(OR(C53="",C53="TOPX",終値!E65=""),"",IFERROR(SUMPRODUCT((終値!E65:AC65),{0.077,0.071,0.065,0.06,0.055,0.051,0.047,0.043,0.039,0.036,0.033,0.031,0.028,0.026,0.024,0.022,0.02,0.018,0.017,0.016,0.014,0.013,0.012,0.011,0.01})/SUM({0.077,0.071,0.065,0.06,0.055,0.051,0.047,0.043,0.039,0.036,0.033,0.031,0.028,0.026,0.024,0.022,0.02,0.018,0.017,0.016,0.014,0.013,0.012,0.011,0.01}),""))</f>
        <v>6236.1299165673399</v>
      </c>
      <c r="AD53" s="328" t="str">
        <f t="shared" si="12"/>
        <v>上昇トレンド▲</v>
      </c>
      <c r="AE53" s="328" t="e">
        <f t="shared" si="13"/>
        <v>#VALUE!</v>
      </c>
      <c r="AF53" t="e">
        <f>IF(T53="","",IF(銘柄管理!$F$5="上昇▲",IF(AND(AD53="下降トレンド▼",OR(AE53="25日戻り売り★",AE53="5日戻り売り○")),"★逆張り売り",IF(AND(AD53="もみ合い→",OR(AE53="25日戻り売り★",AE53="5日戻り売り○")),"○逆張り売り",IF(W53&gt;=70,IF(Z53&lt;0,"◎反落確認","△過熱・様子見"),"相場上昇・見送り"))),IF(AND(T53&gt;=12,AD53="下降トレンド▼"),"★強い売り",IF(T53&gt;=12,"★強い売り",IF(AND(T53&gt;=8,OR(AE53="25日戻り売り★",AE53="5日戻り売り○")),"◎戻り売り",IF(T53&gt;=10,"○売り候補",IF(T53&gt;=6,"△注目",IF(T53&gt;=3,"様子見","見送り"))))))))</f>
        <v>#VALUE!</v>
      </c>
      <c r="AG53">
        <f t="shared" si="14"/>
        <v>0</v>
      </c>
      <c r="AH53">
        <f t="shared" si="15"/>
        <v>0</v>
      </c>
      <c r="AI53" s="376">
        <f t="array" ref="AI53">IF(C53="","",IFERROR((INDEX(終値!$E:$E,MATCH(TEXT(C53,"0"),終値!$A:$A,0))-INDEX(終値!$E:$CZ,MATCH(TEXT(C53,"0"),終値!$A:$A,0),$AN$2))/INDEX(終値!$E:$CZ,MATCH(TEXT(C53,"0"),終値!$A:$A,0),$AN$2)*100,""))</f>
        <v>-22.24770642201835</v>
      </c>
      <c r="AJ53" s="376">
        <f t="array" ref="AJ53">IFERROR((終値!$E$5-INDEX(終値!$E$5:$CZ$5,1,$AN$2))/INDEX(終値!$E$5:$CZ$5,1,$AN$2)*100,"")</f>
        <v>2.31989243802786</v>
      </c>
      <c r="AK53" s="377">
        <f t="shared" si="16"/>
        <v>-24.567598860046211</v>
      </c>
      <c r="AL53" s="375">
        <f t="shared" si="17"/>
        <v>3</v>
      </c>
      <c r="AO53" s="379" t="e">
        <f t="shared" si="18"/>
        <v>#VALUE!</v>
      </c>
      <c r="AP53" s="380" t="e">
        <f t="shared" si="19"/>
        <v>#VALUE!</v>
      </c>
      <c r="AQ53">
        <f>IF(C53&lt;&gt;"",始値!F65,"")</f>
        <v>6450</v>
      </c>
      <c r="AR53">
        <f>IF(C53&lt;&gt;"",高値!F65,"")</f>
        <v>6660</v>
      </c>
      <c r="AS53">
        <f>IF(C53&lt;&gt;"",安値!F65,"")</f>
        <v>6311</v>
      </c>
      <c r="AT53" t="str">
        <f t="shared" si="20"/>
        <v>通常</v>
      </c>
      <c r="AU53">
        <f t="shared" si="21"/>
        <v>0</v>
      </c>
    </row>
    <row r="54" spans="1:47" ht="14.25" customHeight="1">
      <c r="A54" s="335" t="str">
        <f>IF(銘柄管理!B71&lt;&gt;"",HYPERLINK("https://kabutan.jp/stock/?code="&amp;銘柄管理!B71,"株探"),"")</f>
        <v>株探</v>
      </c>
      <c r="B54" s="215"/>
      <c r="C54" s="478">
        <f>IF(銘柄管理!B71="","",銘柄管理!B71)</f>
        <v>3854</v>
      </c>
      <c r="D54" s="215" t="str">
        <f>IF(銘柄管理!C71="","",銘柄管理!C71)</f>
        <v/>
      </c>
      <c r="E54" s="336" t="str">
        <f>IF(C54&lt;&gt;"",_xll.RssMarket(C54,"現在値"),"")</f>
        <v/>
      </c>
      <c r="F54" s="336" t="str">
        <f>IF(C54&lt;&gt;"",_xll.RssMarket(C54,"始値"),"")</f>
        <v/>
      </c>
      <c r="G54" s="215">
        <f>IF(C54&lt;&gt;"",終値!F71,"")</f>
        <v>2400</v>
      </c>
      <c r="H54" s="336" t="str">
        <f>IF(C54&lt;&gt;"",_xll.RssMarket(C54,"高値"),"")</f>
        <v/>
      </c>
      <c r="I54" s="336" t="str">
        <f>IF(C54&lt;&gt;"",_xll.RssMarket(C54,"安値"),"")</f>
        <v/>
      </c>
      <c r="J54" s="336" t="str">
        <f>IF(C54&lt;&gt;"",_xll.RssMarket(C54,"出来高"),"")</f>
        <v/>
      </c>
      <c r="K54" s="336" t="str">
        <f>IF(C54&lt;&gt;"",_xll.RssMarket(C54,"年初来高値"),"")</f>
        <v/>
      </c>
      <c r="L54" s="337" t="str">
        <f t="shared" si="0"/>
        <v/>
      </c>
      <c r="M54" s="336">
        <f>IF(C54&lt;&gt;"",IFERROR(AVERAGE(出来高!E71:I71),""),"")</f>
        <v>74920</v>
      </c>
      <c r="N54" s="336">
        <f>IF(C54&lt;&gt;"",IFERROR(AVERAGE(出来高!E71:AC71),""),"")</f>
        <v>87620</v>
      </c>
      <c r="O54" s="338" t="str">
        <f t="shared" si="1"/>
        <v/>
      </c>
      <c r="P54" s="215" t="str">
        <f t="shared" si="2"/>
        <v/>
      </c>
      <c r="Q54" s="215" t="str">
        <f t="shared" si="3"/>
        <v/>
      </c>
      <c r="R54" s="336" t="str">
        <f t="shared" si="4"/>
        <v/>
      </c>
      <c r="S54" s="336" t="str">
        <f t="shared" si="5"/>
        <v/>
      </c>
      <c r="T54" s="328">
        <f t="shared" si="6"/>
        <v>0</v>
      </c>
      <c r="U54" s="215" t="str">
        <f t="shared" si="7"/>
        <v>除外</v>
      </c>
      <c r="V54" s="215" t="str">
        <f t="shared" si="8"/>
        <v/>
      </c>
      <c r="W54" s="339">
        <f t="array" ref="W54">IFERROR(100-100/(1+SUMPRODUCT((終値!F71:R71&gt;終値!G71:S71)*(終値!F71:R71-終値!G71:S71))/SUMPRODUCT((終値!F71:R71&lt;終値!G71:S71)*(終値!G71:S71-終値!F71:R71))),50)</f>
        <v>78.464818763326221</v>
      </c>
      <c r="X54" s="340">
        <f>IF(C54&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29.643172437401063</v>
      </c>
      <c r="Y54" s="215" t="e">
        <f t="shared" si="9"/>
        <v>#VALUE!</v>
      </c>
      <c r="Z54" s="341" t="str">
        <f t="shared" si="10"/>
        <v/>
      </c>
      <c r="AA54" s="215" t="str">
        <f t="shared" si="11"/>
        <v/>
      </c>
      <c r="AB54" s="336">
        <f>IF(OR(C54="",C54="TOPX",終値!E71=""),"",IFERROR(((終値!E71*0.333)+(終値!F71*0.222)+(終値!G71*0.148)+(終値!H71*0.099)+(終値!I71*0.066))/(0.333+0.222+0.148+0.099+0.066),""))</f>
        <v>2381.8041474654374</v>
      </c>
      <c r="AC54" s="336">
        <f>IF(OR(C54="",C54="TOPX",終値!E71=""),"",IFERROR(SUMPRODUCT((終値!E71:AC71),{0.077,0.071,0.065,0.06,0.055,0.051,0.047,0.043,0.039,0.036,0.033,0.031,0.028,0.026,0.024,0.022,0.02,0.018,0.017,0.016,0.014,0.013,0.012,0.011,0.01})/SUM({0.077,0.071,0.065,0.06,0.055,0.051,0.047,0.043,0.039,0.036,0.033,0.031,0.028,0.026,0.024,0.022,0.02,0.018,0.017,0.016,0.014,0.013,0.012,0.011,0.01}),""))</f>
        <v>2324.0262216924898</v>
      </c>
      <c r="AD54" s="215" t="str">
        <f t="shared" si="12"/>
        <v>パーフェクト▲</v>
      </c>
      <c r="AE54" s="215" t="e">
        <f t="shared" si="13"/>
        <v>#VALUE!</v>
      </c>
      <c r="AF54" t="e">
        <f>IF(T54="","",IF(銘柄管理!$F$5="上昇▲",IF(AND(AD54="下降トレンド▼",OR(AE54="25日戻り売り★",AE54="5日戻り売り○")),"★逆張り売り",IF(AND(AD54="もみ合い→",OR(AE54="25日戻り売り★",AE54="5日戻り売り○")),"○逆張り売り",IF(W54&gt;=70,IF(Z54&lt;0,"◎反落確認","△過熱・様子見"),"相場上昇・見送り"))),IF(AND(T54&gt;=12,AD54="下降トレンド▼"),"★強い売り",IF(T54&gt;=12,"★強い売り",IF(AND(T54&gt;=8,OR(AE54="25日戻り売り★",AE54="5日戻り売り○")),"◎戻り売り",IF(T54&gt;=10,"○売り候補",IF(T54&gt;=6,"△注目",IF(T54&gt;=3,"様子見","見送り"))))))))</f>
        <v>#VALUE!</v>
      </c>
      <c r="AG54">
        <f t="shared" si="14"/>
        <v>0</v>
      </c>
      <c r="AH54">
        <f t="shared" si="15"/>
        <v>0</v>
      </c>
      <c r="AI54" s="376">
        <f t="array" ref="AI54">IF(C54="","",IFERROR((INDEX(終値!$E:$E,MATCH(TEXT(C54,"0"),終値!$A:$A,0))-INDEX(終値!$E:$CZ,MATCH(TEXT(C54,"0"),終値!$A:$A,0),$AN$2))/INDEX(終値!$E:$CZ,MATCH(TEXT(C54,"0"),終値!$A:$A,0),$AN$2)*100,""))</f>
        <v>-3.6080360803608031</v>
      </c>
      <c r="AJ54" s="376">
        <f t="array" ref="AJ54">IFERROR((終値!$E$5-INDEX(終値!$E$5:$CZ$5,1,$AN$2))/INDEX(終値!$E$5:$CZ$5,1,$AN$2)*100,"")</f>
        <v>2.31989243802786</v>
      </c>
      <c r="AK54" s="377">
        <f t="shared" si="16"/>
        <v>-5.9279285183886632</v>
      </c>
      <c r="AL54" s="375">
        <f t="shared" si="17"/>
        <v>3</v>
      </c>
      <c r="AO54" s="379" t="e">
        <f t="shared" si="18"/>
        <v>#VALUE!</v>
      </c>
      <c r="AP54" s="380" t="e">
        <f t="shared" si="19"/>
        <v>#VALUE!</v>
      </c>
      <c r="AQ54">
        <f>IF(C54&lt;&gt;"",始値!F71,"")</f>
        <v>2377</v>
      </c>
      <c r="AR54">
        <f>IF(C54&lt;&gt;"",高値!F71,"")</f>
        <v>2414</v>
      </c>
      <c r="AS54">
        <f>IF(C54&lt;&gt;"",安値!F71,"")</f>
        <v>2366</v>
      </c>
      <c r="AT54" t="str">
        <f t="shared" si="20"/>
        <v>通常</v>
      </c>
      <c r="AU54">
        <f t="shared" si="21"/>
        <v>0</v>
      </c>
    </row>
    <row r="55" spans="1:47" ht="14.25" customHeight="1">
      <c r="A55" s="327" t="str">
        <f>IF(銘柄管理!B73&lt;&gt;"",HYPERLINK("https://kabutan.jp/stock/?code="&amp;銘柄管理!B73,"株探"),"")</f>
        <v>株探</v>
      </c>
      <c r="B55" s="328"/>
      <c r="C55" s="477">
        <f>IF(銘柄管理!B73="","",銘柄管理!B73)</f>
        <v>7806</v>
      </c>
      <c r="D55" s="328" t="str">
        <f>IF(銘柄管理!C73="","",銘柄管理!C73)</f>
        <v/>
      </c>
      <c r="E55" s="329" t="str">
        <f>IF(C55&lt;&gt;"",_xll.RssMarket(C55,"現在値"),"")</f>
        <v/>
      </c>
      <c r="F55" s="329" t="str">
        <f>IF(C55&lt;&gt;"",_xll.RssMarket(C55,"始値"),"")</f>
        <v/>
      </c>
      <c r="G55" s="328">
        <f>IF(C55&lt;&gt;"",終値!F73,"")</f>
        <v>7700</v>
      </c>
      <c r="H55" s="329" t="str">
        <f>IF(C55&lt;&gt;"",_xll.RssMarket(C55,"高値"),"")</f>
        <v/>
      </c>
      <c r="I55" s="329" t="str">
        <f>IF(C55&lt;&gt;"",_xll.RssMarket(C55,"安値"),"")</f>
        <v/>
      </c>
      <c r="J55" s="329" t="str">
        <f>IF(C55&lt;&gt;"",_xll.RssMarket(C55,"出来高"),"")</f>
        <v/>
      </c>
      <c r="K55" s="329" t="str">
        <f>IF(C55&lt;&gt;"",_xll.RssMarket(C55,"年初来高値"),"")</f>
        <v/>
      </c>
      <c r="L55" s="330" t="str">
        <f t="shared" si="0"/>
        <v/>
      </c>
      <c r="M55" s="329">
        <f>IF(C55&lt;&gt;"",IFERROR(AVERAGE(出来高!E73:I73),""),"")</f>
        <v>131320</v>
      </c>
      <c r="N55" s="329">
        <f>IF(C55&lt;&gt;"",IFERROR(AVERAGE(出来高!E73:AC73),""),"")</f>
        <v>107892</v>
      </c>
      <c r="O55" s="331" t="str">
        <f t="shared" si="1"/>
        <v/>
      </c>
      <c r="P55" s="328" t="str">
        <f t="shared" si="2"/>
        <v/>
      </c>
      <c r="Q55" s="328" t="str">
        <f t="shared" si="3"/>
        <v/>
      </c>
      <c r="R55" s="329" t="str">
        <f t="shared" si="4"/>
        <v/>
      </c>
      <c r="S55" s="329" t="str">
        <f t="shared" si="5"/>
        <v/>
      </c>
      <c r="T55" s="328">
        <f t="shared" si="6"/>
        <v>0</v>
      </c>
      <c r="U55" s="328" t="str">
        <f t="shared" si="7"/>
        <v>除外</v>
      </c>
      <c r="V55" s="328" t="str">
        <f t="shared" si="8"/>
        <v/>
      </c>
      <c r="W55" s="332">
        <f t="array" ref="W55">IFERROR(100-100/(1+SUMPRODUCT((終値!F73:R73&gt;終値!G73:S73)*(終値!F73:R73-終値!G73:S73))/SUMPRODUCT((終値!F73:R73&lt;終値!G73:S73)*(終値!G73:S73-終値!F73:R73))),50)</f>
        <v>54.509803921568626</v>
      </c>
      <c r="X55" s="333">
        <f>IF(C55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36.039209676840073</v>
      </c>
      <c r="Y55" s="328" t="e">
        <f t="shared" si="9"/>
        <v>#VALUE!</v>
      </c>
      <c r="Z55" s="334" t="str">
        <f t="shared" si="10"/>
        <v/>
      </c>
      <c r="AA55" s="328" t="str">
        <f t="shared" si="11"/>
        <v/>
      </c>
      <c r="AB55" s="329">
        <f>IF(OR(C55="",C55="TOPX",終値!E73=""),"",IFERROR(((終値!E73*0.333)+(終値!F73*0.222)+(終値!G73*0.148)+(終値!H73*0.099)+(終値!I73*0.066))/(0.333+0.222+0.148+0.099+0.066),""))</f>
        <v>7486.0944700460814</v>
      </c>
      <c r="AC55" s="329">
        <f>IF(OR(C55="",C55="TOPX",終値!E73=""),"",IFERROR(SUMPRODUCT((終値!E73:AC73),{0.077,0.071,0.065,0.06,0.055,0.051,0.047,0.043,0.039,0.036,0.033,0.031,0.028,0.026,0.024,0.022,0.02,0.018,0.017,0.016,0.014,0.013,0.012,0.011,0.01})/SUM({0.077,0.071,0.065,0.06,0.055,0.051,0.047,0.043,0.039,0.036,0.033,0.031,0.028,0.026,0.024,0.022,0.02,0.018,0.017,0.016,0.014,0.013,0.012,0.011,0.01}),""))</f>
        <v>7549.9046483909387</v>
      </c>
      <c r="AD55" s="328" t="str">
        <f t="shared" si="12"/>
        <v>上昇トレンド▲</v>
      </c>
      <c r="AE55" s="328" t="e">
        <f t="shared" si="13"/>
        <v>#VALUE!</v>
      </c>
      <c r="AF55" t="e">
        <f>IF(T55="","",IF(銘柄管理!$F$5="上昇▲",IF(AND(AD55="下降トレンド▼",OR(AE55="25日戻り売り★",AE55="5日戻り売り○")),"★逆張り売り",IF(AND(AD55="もみ合い→",OR(AE55="25日戻り売り★",AE55="5日戻り売り○")),"○逆張り売り",IF(W55&gt;=70,IF(Z55&lt;0,"◎反落確認","△過熱・様子見"),"相場上昇・見送り"))),IF(AND(T55&gt;=12,AD55="下降トレンド▼"),"★強い売り",IF(T55&gt;=12,"★強い売り",IF(AND(T55&gt;=8,OR(AE55="25日戻り売り★",AE55="5日戻り売り○")),"◎戻り売り",IF(T55&gt;=10,"○売り候補",IF(T55&gt;=6,"△注目",IF(T55&gt;=3,"様子見","見送り"))))))))</f>
        <v>#VALUE!</v>
      </c>
      <c r="AG55">
        <f t="shared" si="14"/>
        <v>0</v>
      </c>
      <c r="AH55">
        <f t="shared" si="15"/>
        <v>0</v>
      </c>
      <c r="AI55" s="376">
        <f t="array" ref="AI55">IF(C55="","",IFERROR((INDEX(終値!$E:$E,MATCH(TEXT(C55,"0"),終値!$A:$A,0))-INDEX(終値!$E:$CZ,MATCH(TEXT(C55,"0"),終値!$A:$A,0),$AN$2))/INDEX(終値!$E:$CZ,MATCH(TEXT(C55,"0"),終値!$A:$A,0),$AN$2)*100,""))</f>
        <v>10.846953937592868</v>
      </c>
      <c r="AJ55" s="376">
        <f t="array" ref="AJ55">IFERROR((終値!$E$5-INDEX(終値!$E$5:$CZ$5,1,$AN$2))/INDEX(終値!$E$5:$CZ$5,1,$AN$2)*100,"")</f>
        <v>2.31989243802786</v>
      </c>
      <c r="AK55" s="377">
        <f t="shared" si="16"/>
        <v>8.5270614995650078</v>
      </c>
      <c r="AL55" s="375">
        <f t="shared" si="17"/>
        <v>-2</v>
      </c>
      <c r="AO55" s="379" t="e">
        <f t="shared" si="18"/>
        <v>#VALUE!</v>
      </c>
      <c r="AP55" s="380" t="e">
        <f t="shared" si="19"/>
        <v>#VALUE!</v>
      </c>
      <c r="AQ55">
        <f>IF(C55&lt;&gt;"",始値!F73,"")</f>
        <v>7400</v>
      </c>
      <c r="AR55">
        <f>IF(C55&lt;&gt;"",高値!F73,"")</f>
        <v>7730</v>
      </c>
      <c r="AS55">
        <f>IF(C55&lt;&gt;"",安値!F73,"")</f>
        <v>7230</v>
      </c>
      <c r="AT55" t="str">
        <f t="shared" si="20"/>
        <v>通常</v>
      </c>
      <c r="AU55">
        <f t="shared" si="21"/>
        <v>0</v>
      </c>
    </row>
    <row r="56" spans="1:47" ht="14.25" customHeight="1">
      <c r="A56" s="335" t="str">
        <f>IF(銘柄管理!B96&lt;&gt;"",HYPERLINK("https://kabutan.jp/stock/?code="&amp;銘柄管理!B96,"株探"),"")</f>
        <v>株探</v>
      </c>
      <c r="B56" s="215"/>
      <c r="C56" s="478">
        <f>IF(銘柄管理!B96="","",銘柄管理!B96)</f>
        <v>4062</v>
      </c>
      <c r="D56" s="215" t="str">
        <f>IF(銘柄管理!C96="","",銘柄管理!C96)</f>
        <v/>
      </c>
      <c r="E56" s="336" t="str">
        <f>IF(C56&lt;&gt;"",_xll.RssMarket(C56,"現在値"),"")</f>
        <v/>
      </c>
      <c r="F56" s="336" t="str">
        <f>IF(C56&lt;&gt;"",_xll.RssMarket(C56,"始値"),"")</f>
        <v/>
      </c>
      <c r="G56" s="215">
        <f>IF(C56&lt;&gt;"",終値!F96,"")</f>
        <v>19340</v>
      </c>
      <c r="H56" s="336" t="str">
        <f>IF(C56&lt;&gt;"",_xll.RssMarket(C56,"高値"),"")</f>
        <v/>
      </c>
      <c r="I56" s="336" t="str">
        <f>IF(C56&lt;&gt;"",_xll.RssMarket(C56,"安値"),"")</f>
        <v/>
      </c>
      <c r="J56" s="336" t="str">
        <f>IF(C56&lt;&gt;"",_xll.RssMarket(C56,"出来高"),"")</f>
        <v/>
      </c>
      <c r="K56" s="336" t="str">
        <f>IF(C56&lt;&gt;"",_xll.RssMarket(C56,"年初来高値"),"")</f>
        <v/>
      </c>
      <c r="L56" s="337" t="str">
        <f t="shared" si="0"/>
        <v/>
      </c>
      <c r="M56" s="336">
        <f>IF(C56&lt;&gt;"",IFERROR(AVERAGE(出来高!E96:I96),""),"")</f>
        <v>9024960</v>
      </c>
      <c r="N56" s="336">
        <f>IF(C56&lt;&gt;"",IFERROR(AVERAGE(出来高!E96:AC96),""),"")</f>
        <v>9269872</v>
      </c>
      <c r="O56" s="338" t="str">
        <f t="shared" si="1"/>
        <v/>
      </c>
      <c r="P56" s="215" t="str">
        <f t="shared" si="2"/>
        <v/>
      </c>
      <c r="Q56" s="215" t="str">
        <f t="shared" si="3"/>
        <v/>
      </c>
      <c r="R56" s="336" t="str">
        <f t="shared" si="4"/>
        <v/>
      </c>
      <c r="S56" s="336" t="str">
        <f t="shared" si="5"/>
        <v/>
      </c>
      <c r="T56" s="328">
        <f t="shared" si="6"/>
        <v>0</v>
      </c>
      <c r="U56" s="215" t="str">
        <f t="shared" si="7"/>
        <v>除外</v>
      </c>
      <c r="V56" s="215" t="str">
        <f t="shared" si="8"/>
        <v/>
      </c>
      <c r="W56" s="339">
        <f t="array" ref="W56">IFERROR(100-100/(1+SUMPRODUCT((終値!F96:R96&gt;終値!G96:S96)*(終値!F96:R96-終値!G96:S96))/SUMPRODUCT((終値!F96:R96&lt;終値!G96:S96)*(終値!G96:S96-終値!F96:R96))),50)</f>
        <v>33.297491039426532</v>
      </c>
      <c r="X56" s="340">
        <f>IF(C56&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-798.32681231814058</v>
      </c>
      <c r="Y56" s="215" t="e">
        <f t="shared" si="9"/>
        <v>#VALUE!</v>
      </c>
      <c r="Z56" s="341" t="str">
        <f t="shared" si="10"/>
        <v/>
      </c>
      <c r="AA56" s="215" t="str">
        <f t="shared" si="11"/>
        <v/>
      </c>
      <c r="AB56" s="336">
        <f>IF(OR(C56="",C56="TOPX",終値!E96=""),"",IFERROR(((終値!E96*0.333)+(終値!F96*0.222)+(終値!G96*0.148)+(終値!H96*0.099)+(終値!I96*0.066))/(0.333+0.222+0.148+0.099+0.066),""))</f>
        <v>17704.763824884791</v>
      </c>
      <c r="AC56" s="336">
        <f>IF(OR(C56="",C56="TOPX",終値!E96=""),"",IFERROR(SUMPRODUCT((終値!E96:AC96),{0.077,0.071,0.065,0.06,0.055,0.051,0.047,0.043,0.039,0.036,0.033,0.031,0.028,0.026,0.024,0.022,0.02,0.018,0.017,0.016,0.014,0.013,0.012,0.011,0.01})/SUM({0.077,0.071,0.065,0.06,0.055,0.051,0.047,0.043,0.039,0.036,0.033,0.031,0.028,0.026,0.024,0.022,0.02,0.018,0.017,0.016,0.014,0.013,0.012,0.011,0.01}),""))</f>
        <v>20775.143027413582</v>
      </c>
      <c r="AD56" s="215" t="str">
        <f t="shared" si="12"/>
        <v>上昇トレンド▲</v>
      </c>
      <c r="AE56" s="215" t="e">
        <f t="shared" si="13"/>
        <v>#VALUE!</v>
      </c>
      <c r="AF56" t="e">
        <f>IF(T56="","",IF(銘柄管理!$F$5="上昇▲",IF(AND(AD56="下降トレンド▼",OR(AE56="25日戻り売り★",AE56="5日戻り売り○")),"★逆張り売り",IF(AND(AD56="もみ合い→",OR(AE56="25日戻り売り★",AE56="5日戻り売り○")),"○逆張り売り",IF(W56&gt;=70,IF(Z56&lt;0,"◎反落確認","△過熱・様子見"),"相場上昇・見送り"))),IF(AND(T56&gt;=12,AD56="下降トレンド▼"),"★強い売り",IF(T56&gt;=12,"★強い売り",IF(AND(T56&gt;=8,OR(AE56="25日戻り売り★",AE56="5日戻り売り○")),"◎戻り売り",IF(T56&gt;=10,"○売り候補",IF(T56&gt;=6,"△注目",IF(T56&gt;=3,"様子見","見送り"))))))))</f>
        <v>#VALUE!</v>
      </c>
      <c r="AG56">
        <f t="shared" si="14"/>
        <v>0</v>
      </c>
      <c r="AH56">
        <f t="shared" si="15"/>
        <v>0</v>
      </c>
      <c r="AI56" s="376">
        <f t="array" ref="AI56">IF(C56="","",IFERROR((INDEX(終値!$E:$E,MATCH(TEXT(C56,"0"),終値!$A:$A,0))-INDEX(終値!$E:$CZ,MATCH(TEXT(C56,"0"),終値!$A:$A,0),$AN$2))/INDEX(終値!$E:$CZ,MATCH(TEXT(C56,"0"),終値!$A:$A,0),$AN$2)*100,""))</f>
        <v>-9.8563218390804597</v>
      </c>
      <c r="AJ56" s="376">
        <f t="array" ref="AJ56">IFERROR((終値!$E$5-INDEX(終値!$E$5:$CZ$5,1,$AN$2))/INDEX(終値!$E$5:$CZ$5,1,$AN$2)*100,"")</f>
        <v>2.31989243802786</v>
      </c>
      <c r="AK56" s="377">
        <f t="shared" si="16"/>
        <v>-12.17621427710832</v>
      </c>
      <c r="AL56" s="375">
        <f t="shared" si="17"/>
        <v>3</v>
      </c>
      <c r="AO56" s="379" t="e">
        <f t="shared" si="18"/>
        <v>#VALUE!</v>
      </c>
      <c r="AP56" s="380" t="e">
        <f t="shared" si="19"/>
        <v>#VALUE!</v>
      </c>
      <c r="AQ56">
        <f>IF(C56&lt;&gt;"",始値!F96,"")</f>
        <v>18070</v>
      </c>
      <c r="AR56">
        <f>IF(C56&lt;&gt;"",高値!F96,"")</f>
        <v>19455</v>
      </c>
      <c r="AS56">
        <f>IF(C56&lt;&gt;"",安値!F96,"")</f>
        <v>17805</v>
      </c>
      <c r="AT56" t="str">
        <f t="shared" si="20"/>
        <v>通常</v>
      </c>
      <c r="AU56">
        <f t="shared" si="21"/>
        <v>0</v>
      </c>
    </row>
    <row r="57" spans="1:47" ht="14.25" customHeight="1">
      <c r="A57" s="327" t="str">
        <f>IF(銘柄管理!B102&lt;&gt;"",HYPERLINK("https://kabutan.jp/stock/?code="&amp;銘柄管理!B102,"株探"),"")</f>
        <v>株探</v>
      </c>
      <c r="B57" s="328"/>
      <c r="C57" s="477">
        <f>IF(銘柄管理!B102="","",銘柄管理!B102)</f>
        <v>5802</v>
      </c>
      <c r="D57" s="328" t="str">
        <f>IF(銘柄管理!C102="","",銘柄管理!C102)</f>
        <v/>
      </c>
      <c r="E57" s="329" t="str">
        <f>IF(C57&lt;&gt;"",_xll.RssMarket(C57,"現在値"),"")</f>
        <v/>
      </c>
      <c r="F57" s="329" t="str">
        <f>IF(C57&lt;&gt;"",_xll.RssMarket(C57,"始値"),"")</f>
        <v/>
      </c>
      <c r="G57" s="328">
        <f>IF(C57&lt;&gt;"",終値!F102,"")</f>
        <v>2532</v>
      </c>
      <c r="H57" s="329" t="str">
        <f>IF(C57&lt;&gt;"",_xll.RssMarket(C57,"高値"),"")</f>
        <v/>
      </c>
      <c r="I57" s="329" t="str">
        <f>IF(C57&lt;&gt;"",_xll.RssMarket(C57,"安値"),"")</f>
        <v/>
      </c>
      <c r="J57" s="329" t="str">
        <f>IF(C57&lt;&gt;"",_xll.RssMarket(C57,"出来高"),"")</f>
        <v/>
      </c>
      <c r="K57" s="329" t="str">
        <f>IF(C57&lt;&gt;"",_xll.RssMarket(C57,"年初来高値"),"")</f>
        <v/>
      </c>
      <c r="L57" s="330" t="str">
        <f t="shared" si="0"/>
        <v/>
      </c>
      <c r="M57" s="329">
        <f>IF(C57&lt;&gt;"",IFERROR(AVERAGE(出来高!E102:I102),""),"")</f>
        <v>20525300</v>
      </c>
      <c r="N57" s="329">
        <f>IF(C57&lt;&gt;"",IFERROR(AVERAGE(出来高!E102:AC102),""),"")</f>
        <v>14894068</v>
      </c>
      <c r="O57" s="331" t="str">
        <f t="shared" si="1"/>
        <v/>
      </c>
      <c r="P57" s="328" t="str">
        <f t="shared" si="2"/>
        <v/>
      </c>
      <c r="Q57" s="328" t="str">
        <f t="shared" si="3"/>
        <v/>
      </c>
      <c r="R57" s="329" t="str">
        <f t="shared" si="4"/>
        <v/>
      </c>
      <c r="S57" s="329" t="str">
        <f t="shared" si="5"/>
        <v/>
      </c>
      <c r="T57" s="328">
        <f t="shared" si="6"/>
        <v>0</v>
      </c>
      <c r="U57" s="328" t="str">
        <f t="shared" si="7"/>
        <v>除外</v>
      </c>
      <c r="V57" s="328" t="str">
        <f t="shared" si="8"/>
        <v/>
      </c>
      <c r="W57" s="332">
        <f t="array" ref="W57">IFERROR(100-100/(1+SUMPRODUCT((終値!F102:R102&gt;終値!G102:S102)*(終値!F102:R102-終値!G102:S102))/SUMPRODUCT((終値!F102:R102&lt;終値!G102:S102)*(終値!G102:S102-終値!F102:R102))),50)</f>
        <v>3.1512402277772509</v>
      </c>
      <c r="X57" s="333">
        <f>IF(C57&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-1336.7607716158709</v>
      </c>
      <c r="Y57" s="328" t="e">
        <f t="shared" si="9"/>
        <v>#VALUE!</v>
      </c>
      <c r="Z57" s="334" t="str">
        <f t="shared" si="10"/>
        <v/>
      </c>
      <c r="AA57" s="328" t="str">
        <f t="shared" si="11"/>
        <v/>
      </c>
      <c r="AB57" s="329">
        <f>IF(OR(C57="",C57="TOPX",終値!E102=""),"",IFERROR(((終値!E102*0.333)+(終値!F102*0.222)+(終値!G102*0.148)+(終値!H102*0.099)+(終値!I102*0.066))/(0.333+0.222+0.148+0.099+0.066),""))</f>
        <v>2409.4527649769584</v>
      </c>
      <c r="AC57" s="329">
        <f>IF(OR(C57="",C57="TOPX",終値!E102=""),"",IFERROR(SUMPRODUCT((終値!E102:AC102),{0.077,0.071,0.065,0.06,0.055,0.051,0.047,0.043,0.039,0.036,0.033,0.031,0.028,0.026,0.024,0.022,0.02,0.018,0.017,0.016,0.014,0.013,0.012,0.011,0.01})/SUM({0.077,0.071,0.065,0.06,0.055,0.051,0.047,0.043,0.039,0.036,0.033,0.031,0.028,0.026,0.024,0.022,0.02,0.018,0.017,0.016,0.014,0.013,0.012,0.011,0.01}),""))</f>
        <v>4869.1400476758026</v>
      </c>
      <c r="AD57" s="328" t="str">
        <f t="shared" si="12"/>
        <v>上昇トレンド▲</v>
      </c>
      <c r="AE57" s="328" t="e">
        <f t="shared" si="13"/>
        <v>#VALUE!</v>
      </c>
      <c r="AF57" t="e">
        <f>IF(T57="","",IF(銘柄管理!$F$5="上昇▲",IF(AND(AD57="下降トレンド▼",OR(AE57="25日戻り売り★",AE57="5日戻り売り○")),"★逆張り売り",IF(AND(AD57="もみ合い→",OR(AE57="25日戻り売り★",AE57="5日戻り売り○")),"○逆張り売り",IF(W57&gt;=70,IF(Z57&lt;0,"◎反落確認","△過熱・様子見"),"相場上昇・見送り"))),IF(AND(T57&gt;=12,AD57="下降トレンド▼"),"★強い売り",IF(T57&gt;=12,"★強い売り",IF(AND(T57&gt;=8,OR(AE57="25日戻り売り★",AE57="5日戻り売り○")),"◎戻り売り",IF(T57&gt;=10,"○売り候補",IF(T57&gt;=6,"△注目",IF(T57&gt;=3,"様子見","見送り"))))))))</f>
        <v>#VALUE!</v>
      </c>
      <c r="AG57">
        <f t="shared" si="14"/>
        <v>0</v>
      </c>
      <c r="AH57">
        <f t="shared" si="15"/>
        <v>0</v>
      </c>
      <c r="AI57" s="376">
        <f t="array" ref="AI57">IF(C57="","",IFERROR((INDEX(終値!$E:$E,MATCH(TEXT(C57,"0"),終値!$A:$A,0))-INDEX(終値!$E:$CZ,MATCH(TEXT(C57,"0"),終値!$A:$A,0),$AN$2))/INDEX(終値!$E:$CZ,MATCH(TEXT(C57,"0"),終値!$A:$A,0),$AN$2)*100,""))</f>
        <v>-81.474464579901152</v>
      </c>
      <c r="AJ57" s="376">
        <f t="array" ref="AJ57">IFERROR((終値!$E$5-INDEX(終値!$E$5:$CZ$5,1,$AN$2))/INDEX(終値!$E$5:$CZ$5,1,$AN$2)*100,"")</f>
        <v>2.31989243802786</v>
      </c>
      <c r="AK57" s="377">
        <f t="shared" si="16"/>
        <v>-83.794357017929016</v>
      </c>
      <c r="AL57" s="375">
        <f t="shared" si="17"/>
        <v>3</v>
      </c>
      <c r="AO57" s="379" t="e">
        <f t="shared" si="18"/>
        <v>#VALUE!</v>
      </c>
      <c r="AP57" s="380" t="e">
        <f t="shared" si="19"/>
        <v>#VALUE!</v>
      </c>
      <c r="AQ57">
        <f>IF(C57&lt;&gt;"",始値!F102,"")</f>
        <v>2495</v>
      </c>
      <c r="AR57">
        <f>IF(C57&lt;&gt;"",高値!F102,"")</f>
        <v>2538</v>
      </c>
      <c r="AS57">
        <f>IF(C57&lt;&gt;"",安値!F102,"")</f>
        <v>2456.5</v>
      </c>
      <c r="AT57" t="str">
        <f t="shared" si="20"/>
        <v>通常</v>
      </c>
      <c r="AU57">
        <f t="shared" si="21"/>
        <v>0</v>
      </c>
    </row>
    <row r="58" spans="1:47" ht="14.25" customHeight="1">
      <c r="A58" s="335" t="str">
        <f>IF(銘柄管理!B103&lt;&gt;"",HYPERLINK("https://kabutan.jp/stock/?code="&amp;銘柄管理!B103,"株探"),"")</f>
        <v>株探</v>
      </c>
      <c r="B58" s="215"/>
      <c r="C58" s="478">
        <f>IF(銘柄管理!B103="","",銘柄管理!B103)</f>
        <v>5803</v>
      </c>
      <c r="D58" s="215" t="str">
        <f>IF(銘柄管理!C103="","",銘柄管理!C103)</f>
        <v/>
      </c>
      <c r="E58" s="336" t="str">
        <f>IF(C58&lt;&gt;"",_xll.RssMarket(C58,"現在値"),"")</f>
        <v/>
      </c>
      <c r="F58" s="336" t="str">
        <f>IF(C58&lt;&gt;"",_xll.RssMarket(C58,"始値"),"")</f>
        <v/>
      </c>
      <c r="G58" s="215">
        <f>IF(C58&lt;&gt;"",終値!F103,"")</f>
        <v>5145</v>
      </c>
      <c r="H58" s="336" t="str">
        <f>IF(C58&lt;&gt;"",_xll.RssMarket(C58,"高値"),"")</f>
        <v/>
      </c>
      <c r="I58" s="336" t="str">
        <f>IF(C58&lt;&gt;"",_xll.RssMarket(C58,"安値"),"")</f>
        <v/>
      </c>
      <c r="J58" s="336" t="str">
        <f>IF(C58&lt;&gt;"",_xll.RssMarket(C58,"出来高"),"")</f>
        <v/>
      </c>
      <c r="K58" s="336" t="str">
        <f>IF(C58&lt;&gt;"",_xll.RssMarket(C58,"年初来高値"),"")</f>
        <v/>
      </c>
      <c r="L58" s="337" t="str">
        <f t="shared" si="0"/>
        <v/>
      </c>
      <c r="M58" s="336">
        <f>IF(C58&lt;&gt;"",IFERROR(AVERAGE(出来高!E103:I103),""),"")</f>
        <v>41582880</v>
      </c>
      <c r="N58" s="336">
        <f>IF(C58&lt;&gt;"",IFERROR(AVERAGE(出来高!E103:AC103),""),"")</f>
        <v>47317728</v>
      </c>
      <c r="O58" s="338" t="str">
        <f t="shared" si="1"/>
        <v/>
      </c>
      <c r="P58" s="215" t="str">
        <f t="shared" si="2"/>
        <v/>
      </c>
      <c r="Q58" s="215" t="str">
        <f t="shared" si="3"/>
        <v/>
      </c>
      <c r="R58" s="336" t="str">
        <f t="shared" si="4"/>
        <v/>
      </c>
      <c r="S58" s="336" t="str">
        <f t="shared" si="5"/>
        <v/>
      </c>
      <c r="T58" s="328">
        <f t="shared" si="6"/>
        <v>0</v>
      </c>
      <c r="U58" s="215" t="str">
        <f t="shared" si="7"/>
        <v>除外</v>
      </c>
      <c r="V58" s="215" t="str">
        <f t="shared" si="8"/>
        <v/>
      </c>
      <c r="W58" s="339">
        <f t="array" ref="W58">IFERROR(100-100/(1+SUMPRODUCT((終値!F103:R103&gt;終値!G103:S103)*(終値!F103:R103-終値!G103:S103))/SUMPRODUCT((終値!F103:R103&lt;終値!G103:S103)*(終値!G103:S103-終値!F103:R103))),50)</f>
        <v>30.667864630128776</v>
      </c>
      <c r="X58" s="340">
        <f>IF(C58&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-116.98870199292196</v>
      </c>
      <c r="Y58" s="215" t="e">
        <f t="shared" si="9"/>
        <v>#VALUE!</v>
      </c>
      <c r="Z58" s="341" t="str">
        <f t="shared" si="10"/>
        <v/>
      </c>
      <c r="AA58" s="215" t="str">
        <f t="shared" si="11"/>
        <v/>
      </c>
      <c r="AB58" s="336">
        <f>IF(OR(C58="",C58="TOPX",終値!E103=""),"",IFERROR(((終値!E103*0.333)+(終値!F103*0.222)+(終値!G103*0.148)+(終値!H103*0.099)+(終値!I103*0.066))/(0.333+0.222+0.148+0.099+0.066),""))</f>
        <v>4812.6255760368658</v>
      </c>
      <c r="AC58" s="336">
        <f>IF(OR(C58="",C58="TOPX",終値!E103=""),"",IFERROR(SUMPRODUCT((終値!E103:AC103),{0.077,0.071,0.065,0.06,0.055,0.051,0.047,0.043,0.039,0.036,0.033,0.031,0.028,0.026,0.024,0.022,0.02,0.018,0.017,0.016,0.014,0.013,0.012,0.011,0.01})/SUM({0.077,0.071,0.065,0.06,0.055,0.051,0.047,0.043,0.039,0.036,0.033,0.031,0.028,0.026,0.024,0.022,0.02,0.018,0.017,0.016,0.014,0.013,0.012,0.011,0.01}),""))</f>
        <v>5226.4910607866495</v>
      </c>
      <c r="AD58" s="215" t="str">
        <f t="shared" si="12"/>
        <v>上昇トレンド▲</v>
      </c>
      <c r="AE58" s="215" t="e">
        <f t="shared" si="13"/>
        <v>#VALUE!</v>
      </c>
      <c r="AF58" t="e">
        <f>IF(T58="","",IF(銘柄管理!$F$5="上昇▲",IF(AND(AD58="下降トレンド▼",OR(AE58="25日戻り売り★",AE58="5日戻り売り○")),"★逆張り売り",IF(AND(AD58="もみ合い→",OR(AE58="25日戻り売り★",AE58="5日戻り売り○")),"○逆張り売り",IF(W58&gt;=70,IF(Z58&lt;0,"◎反落確認","△過熱・様子見"),"相場上昇・見送り"))),IF(AND(T58&gt;=12,AD58="下降トレンド▼"),"★強い売り",IF(T58&gt;=12,"★強い売り",IF(AND(T58&gt;=8,OR(AE58="25日戻り売り★",AE58="5日戻り売り○")),"◎戻り売り",IF(T58&gt;=10,"○売り候補",IF(T58&gt;=6,"△注目",IF(T58&gt;=3,"様子見","見送り"))))))))</f>
        <v>#VALUE!</v>
      </c>
      <c r="AG58">
        <f t="shared" si="14"/>
        <v>0</v>
      </c>
      <c r="AH58">
        <f t="shared" si="15"/>
        <v>0</v>
      </c>
      <c r="AI58" s="376">
        <f t="array" ref="AI58">IF(C58="","",IFERROR((INDEX(終値!$E:$E,MATCH(TEXT(C58,"0"),終値!$A:$A,0))-INDEX(終値!$E:$CZ,MATCH(TEXT(C58,"0"),終値!$A:$A,0),$AN$2))/INDEX(終値!$E:$CZ,MATCH(TEXT(C58,"0"),終値!$A:$A,0),$AN$2)*100,""))</f>
        <v>1.6132697114292205</v>
      </c>
      <c r="AJ58" s="376">
        <f t="array" ref="AJ58">IFERROR((終値!$E$5-INDEX(終値!$E$5:$CZ$5,1,$AN$2))/INDEX(終値!$E$5:$CZ$5,1,$AN$2)*100,"")</f>
        <v>2.31989243802786</v>
      </c>
      <c r="AK58" s="377">
        <f t="shared" si="16"/>
        <v>-0.70662272659863956</v>
      </c>
      <c r="AL58" s="375">
        <f t="shared" si="17"/>
        <v>1</v>
      </c>
      <c r="AO58" s="379" t="e">
        <f t="shared" si="18"/>
        <v>#VALUE!</v>
      </c>
      <c r="AP58" s="380" t="e">
        <f t="shared" si="19"/>
        <v>#VALUE!</v>
      </c>
      <c r="AQ58">
        <f>IF(C58&lt;&gt;"",始値!F103,"")</f>
        <v>4948</v>
      </c>
      <c r="AR58">
        <f>IF(C58&lt;&gt;"",高値!F103,"")</f>
        <v>5149</v>
      </c>
      <c r="AS58">
        <f>IF(C58&lt;&gt;"",安値!F103,"")</f>
        <v>4834</v>
      </c>
      <c r="AT58" t="str">
        <f t="shared" si="20"/>
        <v>通常</v>
      </c>
      <c r="AU58">
        <f t="shared" si="21"/>
        <v>0</v>
      </c>
    </row>
    <row r="59" spans="1:47" ht="14.25" customHeight="1">
      <c r="A59" s="327" t="str">
        <f>IF(銘柄管理!B104&lt;&gt;"",HYPERLINK("https://kabutan.jp/stock/?code="&amp;銘柄管理!B104,"株探"),"")</f>
        <v>株探</v>
      </c>
      <c r="B59" s="328"/>
      <c r="C59" s="477">
        <f>IF(銘柄管理!B104="","",銘柄管理!B104)</f>
        <v>6178</v>
      </c>
      <c r="D59" s="328" t="str">
        <f>IF(銘柄管理!C104="","",銘柄管理!C104)</f>
        <v/>
      </c>
      <c r="E59" s="329" t="str">
        <f>IF(C59&lt;&gt;"",_xll.RssMarket(C59,"現在値"),"")</f>
        <v/>
      </c>
      <c r="F59" s="329" t="str">
        <f>IF(C59&lt;&gt;"",_xll.RssMarket(C59,"始値"),"")</f>
        <v/>
      </c>
      <c r="G59" s="328">
        <f>IF(C59&lt;&gt;"",終値!F104,"")</f>
        <v>2407.5</v>
      </c>
      <c r="H59" s="329" t="str">
        <f>IF(C59&lt;&gt;"",_xll.RssMarket(C59,"高値"),"")</f>
        <v/>
      </c>
      <c r="I59" s="329" t="str">
        <f>IF(C59&lt;&gt;"",_xll.RssMarket(C59,"安値"),"")</f>
        <v/>
      </c>
      <c r="J59" s="329" t="str">
        <f>IF(C59&lt;&gt;"",_xll.RssMarket(C59,"出来高"),"")</f>
        <v/>
      </c>
      <c r="K59" s="329" t="str">
        <f>IF(C59&lt;&gt;"",_xll.RssMarket(C59,"年初来高値"),"")</f>
        <v/>
      </c>
      <c r="L59" s="330" t="str">
        <f t="shared" si="0"/>
        <v/>
      </c>
      <c r="M59" s="329">
        <f>IF(C59&lt;&gt;"",IFERROR(AVERAGE(出来高!E104:I104),""),"")</f>
        <v>5625120</v>
      </c>
      <c r="N59" s="329">
        <f>IF(C59&lt;&gt;"",IFERROR(AVERAGE(出来高!E104:AC104),""),"")</f>
        <v>5662272</v>
      </c>
      <c r="O59" s="331" t="str">
        <f t="shared" si="1"/>
        <v/>
      </c>
      <c r="P59" s="328" t="str">
        <f t="shared" si="2"/>
        <v/>
      </c>
      <c r="Q59" s="328" t="str">
        <f t="shared" si="3"/>
        <v/>
      </c>
      <c r="R59" s="329" t="str">
        <f t="shared" si="4"/>
        <v/>
      </c>
      <c r="S59" s="329" t="str">
        <f t="shared" si="5"/>
        <v/>
      </c>
      <c r="T59" s="328">
        <f t="shared" si="6"/>
        <v>0</v>
      </c>
      <c r="U59" s="328" t="str">
        <f t="shared" si="7"/>
        <v>除外</v>
      </c>
      <c r="V59" s="328" t="str">
        <f t="shared" si="8"/>
        <v/>
      </c>
      <c r="W59" s="332">
        <f t="array" ref="W59">IFERROR(100-100/(1+SUMPRODUCT((終値!F104:R104&gt;終値!G104:S104)*(終値!F104:R104-終値!G104:S104))/SUMPRODUCT((終値!F104:R104&lt;終値!G104:S104)*(終値!G104:S104-終値!F104:R104))),50)</f>
        <v>78.940568475452196</v>
      </c>
      <c r="X59" s="333">
        <f>IF(C59&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21.874870143567932</v>
      </c>
      <c r="Y59" s="328" t="e">
        <f t="shared" si="9"/>
        <v>#VALUE!</v>
      </c>
      <c r="Z59" s="334" t="str">
        <f t="shared" si="10"/>
        <v/>
      </c>
      <c r="AA59" s="328" t="str">
        <f t="shared" si="11"/>
        <v/>
      </c>
      <c r="AB59" s="329">
        <f>IF(OR(C59="",C59="TOPX",終値!E104=""),"",IFERROR(((終値!E104*0.333)+(終値!F104*0.222)+(終値!G104*0.148)+(終値!H104*0.099)+(終値!I104*0.066))/(0.333+0.222+0.148+0.099+0.066),""))</f>
        <v>2352.9032258064512</v>
      </c>
      <c r="AC59" s="329">
        <f>IF(OR(C59="",C59="TOPX",終値!E104=""),"",IFERROR(SUMPRODUCT((終値!E104:AC104),{0.077,0.071,0.065,0.06,0.055,0.051,0.047,0.043,0.039,0.036,0.033,0.031,0.028,0.026,0.024,0.022,0.02,0.018,0.017,0.016,0.014,0.013,0.012,0.011,0.01})/SUM({0.077,0.071,0.065,0.06,0.055,0.051,0.047,0.043,0.039,0.036,0.033,0.031,0.028,0.026,0.024,0.022,0.02,0.018,0.017,0.016,0.014,0.013,0.012,0.011,0.01}),""))</f>
        <v>2290.2765196662685</v>
      </c>
      <c r="AD59" s="328" t="str">
        <f t="shared" si="12"/>
        <v>パーフェクト▲</v>
      </c>
      <c r="AE59" s="328" t="e">
        <f t="shared" si="13"/>
        <v>#VALUE!</v>
      </c>
      <c r="AF59" t="e">
        <f>IF(T59="","",IF(銘柄管理!$F$5="上昇▲",IF(AND(AD59="下降トレンド▼",OR(AE59="25日戻り売り★",AE59="5日戻り売り○")),"★逆張り売り",IF(AND(AD59="もみ合い→",OR(AE59="25日戻り売り★",AE59="5日戻り売り○")),"○逆張り売り",IF(W59&gt;=70,IF(Z59&lt;0,"◎反落確認","△過熱・様子見"),"相場上昇・見送り"))),IF(AND(T59&gt;=12,AD59="下降トレンド▼"),"★強い売り",IF(T59&gt;=12,"★強い売り",IF(AND(T59&gt;=8,OR(AE59="25日戻り売り★",AE59="5日戻り売り○")),"◎戻り売り",IF(T59&gt;=10,"○売り候補",IF(T59&gt;=6,"△注目",IF(T59&gt;=3,"様子見","見送り"))))))))</f>
        <v>#VALUE!</v>
      </c>
      <c r="AG59">
        <f t="shared" si="14"/>
        <v>0</v>
      </c>
      <c r="AH59">
        <f t="shared" si="15"/>
        <v>0</v>
      </c>
      <c r="AI59" s="376">
        <f t="array" ref="AI59">IF(C59="","",IFERROR((INDEX(終値!$E:$E,MATCH(TEXT(C59,"0"),終値!$A:$A,0))-INDEX(終値!$E:$CZ,MATCH(TEXT(C59,"0"),終値!$A:$A,0),$AN$2))/INDEX(終値!$E:$CZ,MATCH(TEXT(C59,"0"),終値!$A:$A,0),$AN$2)*100,""))</f>
        <v>5.6235827664399096</v>
      </c>
      <c r="AJ59" s="376">
        <f t="array" ref="AJ59">IFERROR((終値!$E$5-INDEX(終値!$E$5:$CZ$5,1,$AN$2))/INDEX(終値!$E$5:$CZ$5,1,$AN$2)*100,"")</f>
        <v>2.31989243802786</v>
      </c>
      <c r="AK59" s="377">
        <f t="shared" si="16"/>
        <v>3.3036903284120496</v>
      </c>
      <c r="AL59" s="375">
        <f t="shared" si="17"/>
        <v>-2</v>
      </c>
      <c r="AO59" s="379" t="e">
        <f t="shared" si="18"/>
        <v>#VALUE!</v>
      </c>
      <c r="AP59" s="380" t="e">
        <f t="shared" si="19"/>
        <v>#VALUE!</v>
      </c>
      <c r="AQ59">
        <f>IF(C59&lt;&gt;"",始値!F104,"")</f>
        <v>2389</v>
      </c>
      <c r="AR59">
        <f>IF(C59&lt;&gt;"",高値!F104,"")</f>
        <v>2417</v>
      </c>
      <c r="AS59">
        <f>IF(C59&lt;&gt;"",安値!F104,"")</f>
        <v>2367.5</v>
      </c>
      <c r="AT59" t="str">
        <f t="shared" si="20"/>
        <v>通常</v>
      </c>
      <c r="AU59">
        <f t="shared" si="21"/>
        <v>0</v>
      </c>
    </row>
    <row r="60" spans="1:47" ht="14.25" customHeight="1">
      <c r="A60" s="335" t="str">
        <f>IF(銘柄管理!B110&lt;&gt;"",HYPERLINK("https://kabutan.jp/stock/?code="&amp;銘柄管理!B110,"株探"),"")</f>
        <v>株探</v>
      </c>
      <c r="B60" s="215"/>
      <c r="C60" s="478">
        <f>IF(銘柄管理!B110="","",銘柄管理!B110)</f>
        <v>9069</v>
      </c>
      <c r="D60" s="215" t="str">
        <f>IF(銘柄管理!C110="","",銘柄管理!C110)</f>
        <v/>
      </c>
      <c r="E60" s="336" t="str">
        <f>IF(C60&lt;&gt;"",_xll.RssMarket(C60,"現在値"),"")</f>
        <v/>
      </c>
      <c r="F60" s="336" t="str">
        <f>IF(C60&lt;&gt;"",_xll.RssMarket(C60,"始値"),"")</f>
        <v/>
      </c>
      <c r="G60" s="215">
        <f>IF(C60&lt;&gt;"",終値!F110,"")</f>
        <v>2132</v>
      </c>
      <c r="H60" s="336" t="str">
        <f>IF(C60&lt;&gt;"",_xll.RssMarket(C60,"高値"),"")</f>
        <v/>
      </c>
      <c r="I60" s="336" t="str">
        <f>IF(C60&lt;&gt;"",_xll.RssMarket(C60,"安値"),"")</f>
        <v/>
      </c>
      <c r="J60" s="336" t="str">
        <f>IF(C60&lt;&gt;"",_xll.RssMarket(C60,"出来高"),"")</f>
        <v/>
      </c>
      <c r="K60" s="336" t="str">
        <f>IF(C60&lt;&gt;"",_xll.RssMarket(C60,"年初来高値"),"")</f>
        <v/>
      </c>
      <c r="L60" s="337" t="str">
        <f t="shared" si="0"/>
        <v/>
      </c>
      <c r="M60" s="336">
        <f>IF(C60&lt;&gt;"",IFERROR(AVERAGE(出来高!E110:I110),""),"")</f>
        <v>428840</v>
      </c>
      <c r="N60" s="336">
        <f>IF(C60&lt;&gt;"",IFERROR(AVERAGE(出来高!E110:AC110),""),"")</f>
        <v>366748</v>
      </c>
      <c r="O60" s="338" t="str">
        <f t="shared" si="1"/>
        <v/>
      </c>
      <c r="P60" s="215" t="str">
        <f t="shared" si="2"/>
        <v/>
      </c>
      <c r="Q60" s="215" t="str">
        <f t="shared" si="3"/>
        <v/>
      </c>
      <c r="R60" s="336" t="str">
        <f t="shared" si="4"/>
        <v/>
      </c>
      <c r="S60" s="336" t="str">
        <f t="shared" si="5"/>
        <v/>
      </c>
      <c r="T60" s="328">
        <f t="shared" si="6"/>
        <v>0</v>
      </c>
      <c r="U60" s="215" t="str">
        <f t="shared" si="7"/>
        <v>除外</v>
      </c>
      <c r="V60" s="215" t="str">
        <f t="shared" si="8"/>
        <v/>
      </c>
      <c r="W60" s="339">
        <f t="array" ref="W60">IFERROR(100-100/(1+SUMPRODUCT((終値!F110:R110&gt;終値!G110:S110)*(終値!F110:R110-終値!G110:S110))/SUMPRODUCT((終値!F110:R110&lt;終値!G110:S110)*(終値!G110:S110-終値!F110:R110))),50)</f>
        <v>83.333333333333329</v>
      </c>
      <c r="X60" s="340">
        <f>IF(C60&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28.964168580515206</v>
      </c>
      <c r="Y60" s="215" t="e">
        <f t="shared" si="9"/>
        <v>#VALUE!</v>
      </c>
      <c r="Z60" s="341" t="str">
        <f t="shared" si="10"/>
        <v/>
      </c>
      <c r="AA60" s="215" t="str">
        <f t="shared" si="11"/>
        <v/>
      </c>
      <c r="AB60" s="336">
        <f>IF(OR(C60="",C60="TOPX",終値!E110=""),"",IFERROR(((終値!E110*0.333)+(終値!F110*0.222)+(終値!G110*0.148)+(終値!H110*0.099)+(終値!I110*0.066))/(0.333+0.222+0.148+0.099+0.066),""))</f>
        <v>2143.7667050691239</v>
      </c>
      <c r="AC60" s="336">
        <f>IF(OR(C60="",C60="TOPX",終値!E110=""),"",IFERROR(SUMPRODUCT((終値!E110:AC110),{0.077,0.071,0.065,0.06,0.055,0.051,0.047,0.043,0.039,0.036,0.033,0.031,0.028,0.026,0.024,0.022,0.02,0.018,0.017,0.016,0.014,0.013,0.012,0.011,0.01})/SUM({0.077,0.071,0.065,0.06,0.055,0.051,0.047,0.043,0.039,0.036,0.033,0.031,0.028,0.026,0.024,0.022,0.02,0.018,0.017,0.016,0.014,0.013,0.012,0.011,0.01}),""))</f>
        <v>2018.0095351609059</v>
      </c>
      <c r="AD60" s="215" t="str">
        <f t="shared" si="12"/>
        <v>パーフェクト▲</v>
      </c>
      <c r="AE60" s="215" t="e">
        <f t="shared" si="13"/>
        <v>#VALUE!</v>
      </c>
      <c r="AF60" t="e">
        <f>IF(T60="","",IF(銘柄管理!$F$5="上昇▲",IF(AND(AD60="下降トレンド▼",OR(AE60="25日戻り売り★",AE60="5日戻り売り○")),"★逆張り売り",IF(AND(AD60="もみ合い→",OR(AE60="25日戻り売り★",AE60="5日戻り売り○")),"○逆張り売り",IF(W60&gt;=70,IF(Z60&lt;0,"◎反落確認","△過熱・様子見"),"相場上昇・見送り"))),IF(AND(T60&gt;=12,AD60="下降トレンド▼"),"★強い売り",IF(T60&gt;=12,"★強い売り",IF(AND(T60&gt;=8,OR(AE60="25日戻り売り★",AE60="5日戻り売り○")),"◎戻り売り",IF(T60&gt;=10,"○売り候補",IF(T60&gt;=6,"△注目",IF(T60&gt;=3,"様子見","見送り"))))))))</f>
        <v>#VALUE!</v>
      </c>
      <c r="AG60">
        <f t="shared" si="14"/>
        <v>0</v>
      </c>
      <c r="AH60">
        <f t="shared" si="15"/>
        <v>0</v>
      </c>
      <c r="AI60" s="376">
        <f t="array" ref="AI60">IF(C60="","",IFERROR((INDEX(終値!$E:$E,MATCH(TEXT(C60,"0"),終値!$A:$A,0))-INDEX(終値!$E:$CZ,MATCH(TEXT(C60,"0"),終値!$A:$A,0),$AN$2))/INDEX(終値!$E:$CZ,MATCH(TEXT(C60,"0"),終値!$A:$A,0),$AN$2)*100,""))</f>
        <v>12.419974391805377</v>
      </c>
      <c r="AJ60" s="376">
        <f t="array" ref="AJ60">IFERROR((終値!$E$5-INDEX(終値!$E$5:$CZ$5,1,$AN$2))/INDEX(終値!$E$5:$CZ$5,1,$AN$2)*100,"")</f>
        <v>2.31989243802786</v>
      </c>
      <c r="AK60" s="377">
        <f t="shared" si="16"/>
        <v>10.100081953777517</v>
      </c>
      <c r="AL60" s="375">
        <f t="shared" si="17"/>
        <v>-2</v>
      </c>
      <c r="AO60" s="379" t="e">
        <f t="shared" si="18"/>
        <v>#VALUE!</v>
      </c>
      <c r="AP60" s="380" t="e">
        <f t="shared" si="19"/>
        <v>#VALUE!</v>
      </c>
      <c r="AQ60">
        <f>IF(C60&lt;&gt;"",始値!F110,"")</f>
        <v>2141.5</v>
      </c>
      <c r="AR60">
        <f>IF(C60&lt;&gt;"",高値!F110,"")</f>
        <v>2145</v>
      </c>
      <c r="AS60">
        <f>IF(C60&lt;&gt;"",安値!F110,"")</f>
        <v>2114</v>
      </c>
      <c r="AT60" t="str">
        <f t="shared" si="20"/>
        <v>長い下ヒゲ(反発)</v>
      </c>
      <c r="AU60">
        <f t="shared" si="21"/>
        <v>-2</v>
      </c>
    </row>
    <row r="61" spans="1:47" ht="14.25" customHeight="1">
      <c r="A61" s="327" t="str">
        <f>IF(銘柄管理!B118&lt;&gt;"",HYPERLINK("https://kabutan.jp/stock/?code="&amp;銘柄管理!B118,"株探"),"")</f>
        <v>株探</v>
      </c>
      <c r="B61" s="328"/>
      <c r="C61" s="477">
        <f>IF(銘柄管理!B118="","",銘柄管理!B118)</f>
        <v>5844</v>
      </c>
      <c r="D61" s="328" t="str">
        <f>IF(銘柄管理!C118="","",銘柄管理!C118)</f>
        <v/>
      </c>
      <c r="E61" s="329" t="str">
        <f>IF(C61&lt;&gt;"",_xll.RssMarket(C61,"現在値"),"")</f>
        <v/>
      </c>
      <c r="F61" s="329" t="str">
        <f>IF(C61&lt;&gt;"",_xll.RssMarket(C61,"始値"),"")</f>
        <v/>
      </c>
      <c r="G61" s="328">
        <f>IF(C61&lt;&gt;"",終値!F118,"")</f>
        <v>4770</v>
      </c>
      <c r="H61" s="329" t="str">
        <f>IF(C61&lt;&gt;"",_xll.RssMarket(C61,"高値"),"")</f>
        <v/>
      </c>
      <c r="I61" s="329" t="str">
        <f>IF(C61&lt;&gt;"",_xll.RssMarket(C61,"安値"),"")</f>
        <v/>
      </c>
      <c r="J61" s="329" t="str">
        <f>IF(C61&lt;&gt;"",_xll.RssMarket(C61,"出来高"),"")</f>
        <v/>
      </c>
      <c r="K61" s="329" t="str">
        <f>IF(C61&lt;&gt;"",_xll.RssMarket(C61,"年初来高値"),"")</f>
        <v/>
      </c>
      <c r="L61" s="330" t="str">
        <f t="shared" si="0"/>
        <v/>
      </c>
      <c r="M61" s="329">
        <f>IF(C61&lt;&gt;"",IFERROR(AVERAGE(出来高!E118:I118),""),"")</f>
        <v>798040</v>
      </c>
      <c r="N61" s="329">
        <f>IF(C61&lt;&gt;"",IFERROR(AVERAGE(出来高!E118:AC118),""),"")</f>
        <v>1116060</v>
      </c>
      <c r="O61" s="331" t="str">
        <f t="shared" si="1"/>
        <v/>
      </c>
      <c r="P61" s="328" t="str">
        <f t="shared" si="2"/>
        <v/>
      </c>
      <c r="Q61" s="328" t="str">
        <f t="shared" si="3"/>
        <v/>
      </c>
      <c r="R61" s="329" t="str">
        <f t="shared" si="4"/>
        <v/>
      </c>
      <c r="S61" s="329" t="str">
        <f t="shared" si="5"/>
        <v/>
      </c>
      <c r="T61" s="328">
        <f t="shared" si="6"/>
        <v>0</v>
      </c>
      <c r="U61" s="328" t="str">
        <f t="shared" si="7"/>
        <v>除外</v>
      </c>
      <c r="V61" s="328" t="str">
        <f t="shared" si="8"/>
        <v/>
      </c>
      <c r="W61" s="332">
        <f t="array" ref="W61">IFERROR(100-100/(1+SUMPRODUCT((終値!F118:R118&gt;終値!G118:S118)*(終値!F118:R118-終値!G118:S118))/SUMPRODUCT((終値!F118:R118&lt;終値!G118:S118)*(終値!G118:S118-終値!F118:R118))),50)</f>
        <v>66.256830601092901</v>
      </c>
      <c r="X61" s="333">
        <f>IF(C61&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12.096814188879762</v>
      </c>
      <c r="Y61" s="328" t="e">
        <f t="shared" si="9"/>
        <v>#VALUE!</v>
      </c>
      <c r="Z61" s="334" t="str">
        <f t="shared" si="10"/>
        <v/>
      </c>
      <c r="AA61" s="328" t="str">
        <f t="shared" si="11"/>
        <v/>
      </c>
      <c r="AB61" s="329">
        <f>IF(OR(C61="",C61="TOPX",終値!E118=""),"",IFERROR(((終値!E118*0.333)+(終値!F118*0.222)+(終値!G118*0.148)+(終値!H118*0.099)+(終値!I118*0.066))/(0.333+0.222+0.148+0.099+0.066),""))</f>
        <v>4588.6129032258059</v>
      </c>
      <c r="AC61" s="329">
        <f>IF(OR(C61="",C61="TOPX",終値!E118=""),"",IFERROR(SUMPRODUCT((終値!E118:AC118),{0.077,0.071,0.065,0.06,0.055,0.051,0.047,0.043,0.039,0.036,0.033,0.031,0.028,0.026,0.024,0.022,0.02,0.018,0.017,0.016,0.014,0.013,0.012,0.011,0.01})/SUM({0.077,0.071,0.065,0.06,0.055,0.051,0.047,0.043,0.039,0.036,0.033,0.031,0.028,0.026,0.024,0.022,0.02,0.018,0.017,0.016,0.014,0.013,0.012,0.011,0.01}),""))</f>
        <v>4633.8116805721083</v>
      </c>
      <c r="AD61" s="328" t="str">
        <f t="shared" si="12"/>
        <v>上昇トレンド▲</v>
      </c>
      <c r="AE61" s="328" t="e">
        <f t="shared" si="13"/>
        <v>#VALUE!</v>
      </c>
      <c r="AF61" t="e">
        <f>IF(T61="","",IF(銘柄管理!$F$5="上昇▲",IF(AND(AD61="下降トレンド▼",OR(AE61="25日戻り売り★",AE61="5日戻り売り○")),"★逆張り売り",IF(AND(AD61="もみ合い→",OR(AE61="25日戻り売り★",AE61="5日戻り売り○")),"○逆張り売り",IF(W61&gt;=70,IF(Z61&lt;0,"◎反落確認","△過熱・様子見"),"相場上昇・見送り"))),IF(AND(T61&gt;=12,AD61="下降トレンド▼"),"★強い売り",IF(T61&gt;=12,"★強い売り",IF(AND(T61&gt;=8,OR(AE61="25日戻り売り★",AE61="5日戻り売り○")),"◎戻り売り",IF(T61&gt;=10,"○売り候補",IF(T61&gt;=6,"△注目",IF(T61&gt;=3,"様子見","見送り"))))))))</f>
        <v>#VALUE!</v>
      </c>
      <c r="AG61">
        <f t="shared" si="14"/>
        <v>0</v>
      </c>
      <c r="AH61">
        <f t="shared" si="15"/>
        <v>0</v>
      </c>
      <c r="AI61" s="376">
        <f t="array" ref="AI61">IF(C61="","",IFERROR((INDEX(終値!$E:$E,MATCH(TEXT(C61,"0"),終値!$A:$A,0))-INDEX(終値!$E:$CZ,MATCH(TEXT(C61,"0"),終値!$A:$A,0),$AN$2))/INDEX(終値!$E:$CZ,MATCH(TEXT(C61,"0"),終値!$A:$A,0),$AN$2)*100,""))</f>
        <v>-4.1748633879781423</v>
      </c>
      <c r="AJ61" s="376">
        <f t="array" ref="AJ61">IFERROR((終値!$E$5-INDEX(終値!$E$5:$CZ$5,1,$AN$2))/INDEX(終値!$E$5:$CZ$5,1,$AN$2)*100,"")</f>
        <v>2.31989243802786</v>
      </c>
      <c r="AK61" s="377">
        <f t="shared" si="16"/>
        <v>-6.4947558260060028</v>
      </c>
      <c r="AL61" s="375">
        <f t="shared" si="17"/>
        <v>3</v>
      </c>
      <c r="AO61" s="379" t="e">
        <f t="shared" si="18"/>
        <v>#VALUE!</v>
      </c>
      <c r="AP61" s="380" t="e">
        <f t="shared" si="19"/>
        <v>#VALUE!</v>
      </c>
      <c r="AQ61">
        <f>IF(C61&lt;&gt;"",始値!F118,"")</f>
        <v>4704</v>
      </c>
      <c r="AR61">
        <f>IF(C61&lt;&gt;"",高値!F118,"")</f>
        <v>4780</v>
      </c>
      <c r="AS61">
        <f>IF(C61&lt;&gt;"",安値!F118,"")</f>
        <v>4697</v>
      </c>
      <c r="AT61" t="str">
        <f t="shared" si="20"/>
        <v>通常</v>
      </c>
      <c r="AU61">
        <f t="shared" si="21"/>
        <v>0</v>
      </c>
    </row>
    <row r="62" spans="1:47" ht="14.25" customHeight="1">
      <c r="A62" s="335" t="str">
        <f>IF(銘柄管理!B147&lt;&gt;"",HYPERLINK("https://kabutan.jp/stock/?code="&amp;銘柄管理!B147,"株探"),"")</f>
        <v>株探</v>
      </c>
      <c r="B62" s="215"/>
      <c r="C62" s="478">
        <f>IF(銘柄管理!B147="","",銘柄管理!B147)</f>
        <v>6387</v>
      </c>
      <c r="D62" s="215" t="str">
        <f>IF(銘柄管理!C147="","",銘柄管理!C147)</f>
        <v/>
      </c>
      <c r="E62" s="336" t="str">
        <f>IF(C62&lt;&gt;"",_xll.RssMarket(C62,"現在値"),"")</f>
        <v/>
      </c>
      <c r="F62" s="336" t="str">
        <f>IF(C62&lt;&gt;"",_xll.RssMarket(C62,"始値"),"")</f>
        <v/>
      </c>
      <c r="G62" s="215">
        <f>IF(C62&lt;&gt;"",終値!F147,"")</f>
        <v>12450</v>
      </c>
      <c r="H62" s="336" t="str">
        <f>IF(C62&lt;&gt;"",_xll.RssMarket(C62,"高値"),"")</f>
        <v/>
      </c>
      <c r="I62" s="336" t="str">
        <f>IF(C62&lt;&gt;"",_xll.RssMarket(C62,"安値"),"")</f>
        <v/>
      </c>
      <c r="J62" s="336" t="str">
        <f>IF(C62&lt;&gt;"",_xll.RssMarket(C62,"出来高"),"")</f>
        <v/>
      </c>
      <c r="K62" s="336" t="str">
        <f>IF(C62&lt;&gt;"",_xll.RssMarket(C62,"年初来高値"),"")</f>
        <v/>
      </c>
      <c r="L62" s="337" t="str">
        <f t="shared" si="0"/>
        <v/>
      </c>
      <c r="M62" s="336">
        <f>IF(C62&lt;&gt;"",IFERROR(AVERAGE(出来高!E147:I147),""),"")</f>
        <v>121240</v>
      </c>
      <c r="N62" s="336">
        <f>IF(C62&lt;&gt;"",IFERROR(AVERAGE(出来高!E147:AC147),""),"")</f>
        <v>138768</v>
      </c>
      <c r="O62" s="338" t="str">
        <f t="shared" si="1"/>
        <v/>
      </c>
      <c r="P62" s="215" t="str">
        <f t="shared" si="2"/>
        <v/>
      </c>
      <c r="Q62" s="215" t="str">
        <f t="shared" si="3"/>
        <v/>
      </c>
      <c r="R62" s="336" t="str">
        <f t="shared" si="4"/>
        <v/>
      </c>
      <c r="S62" s="336" t="str">
        <f t="shared" si="5"/>
        <v/>
      </c>
      <c r="T62" s="328">
        <f t="shared" si="6"/>
        <v>0</v>
      </c>
      <c r="U62" s="215" t="str">
        <f t="shared" si="7"/>
        <v>除外</v>
      </c>
      <c r="V62" s="215" t="str">
        <f t="shared" si="8"/>
        <v/>
      </c>
      <c r="W62" s="339">
        <f t="array" ref="W62">IFERROR(100-100/(1+SUMPRODUCT((終値!F147:R147&gt;終値!G147:S147)*(終値!F147:R147-終値!G147:S147))/SUMPRODUCT((終値!F147:R147&lt;終値!G147:S147)*(終値!G147:S147-終値!F147:R147))),50)</f>
        <v>36.652835408022128</v>
      </c>
      <c r="X62" s="340">
        <f>IF(C62&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-355.78007395347959</v>
      </c>
      <c r="Y62" s="215" t="e">
        <f t="shared" si="9"/>
        <v>#VALUE!</v>
      </c>
      <c r="Z62" s="341" t="str">
        <f t="shared" si="10"/>
        <v/>
      </c>
      <c r="AA62" s="215" t="str">
        <f t="shared" si="11"/>
        <v/>
      </c>
      <c r="AB62" s="336">
        <f>IF(OR(C62="",C62="TOPX",終値!E147=""),"",IFERROR(((終値!E147*0.333)+(終値!F147*0.222)+(終値!G147*0.148)+(終値!H147*0.099)+(終値!I147*0.066))/(0.333+0.222+0.148+0.099+0.066),""))</f>
        <v>11550.702764976957</v>
      </c>
      <c r="AC62" s="336">
        <f>IF(OR(C62="",C62="TOPX",終値!E147=""),"",IFERROR(SUMPRODUCT((終値!E147:AC147),{0.077,0.071,0.065,0.06,0.055,0.051,0.047,0.043,0.039,0.036,0.033,0.031,0.028,0.026,0.024,0.022,0.02,0.018,0.017,0.016,0.014,0.013,0.012,0.011,0.01})/SUM({0.077,0.071,0.065,0.06,0.055,0.051,0.047,0.043,0.039,0.036,0.033,0.031,0.028,0.026,0.024,0.022,0.02,0.018,0.017,0.016,0.014,0.013,0.012,0.011,0.01}),""))</f>
        <v>12797.282479141833</v>
      </c>
      <c r="AD62" s="215" t="str">
        <f t="shared" si="12"/>
        <v>上昇トレンド▲</v>
      </c>
      <c r="AE62" s="215" t="e">
        <f t="shared" si="13"/>
        <v>#VALUE!</v>
      </c>
      <c r="AF62" t="e">
        <f>IF(T62="","",IF(銘柄管理!$F$5="上昇▲",IF(AND(AD62="下降トレンド▼",OR(AE62="25日戻り売り★",AE62="5日戻り売り○")),"★逆張り売り",IF(AND(AD62="もみ合い→",OR(AE62="25日戻り売り★",AE62="5日戻り売り○")),"○逆張り売り",IF(W62&gt;=70,IF(Z62&lt;0,"◎反落確認","△過熱・様子見"),"相場上昇・見送り"))),IF(AND(T62&gt;=12,AD62="下降トレンド▼"),"★強い売り",IF(T62&gt;=12,"★強い売り",IF(AND(T62&gt;=8,OR(AE62="25日戻り売り★",AE62="5日戻り売り○")),"◎戻り売り",IF(T62&gt;=10,"○売り候補",IF(T62&gt;=6,"△注目",IF(T62&gt;=3,"様子見","見送り"))))))))</f>
        <v>#VALUE!</v>
      </c>
      <c r="AG62">
        <f t="shared" si="14"/>
        <v>0</v>
      </c>
      <c r="AH62">
        <f t="shared" si="15"/>
        <v>0</v>
      </c>
      <c r="AI62" s="376">
        <f t="array" ref="AI62">IF(C62="","",IFERROR((INDEX(終値!$E:$E,MATCH(TEXT(C62,"0"),終値!$A:$A,0))-INDEX(終値!$E:$CZ,MATCH(TEXT(C62,"0"),終値!$A:$A,0),$AN$2))/INDEX(終値!$E:$CZ,MATCH(TEXT(C62,"0"),終値!$A:$A,0),$AN$2)*100,""))</f>
        <v>-21.214511041009466</v>
      </c>
      <c r="AJ62" s="376">
        <f t="array" ref="AJ62">IFERROR((終値!$E$5-INDEX(終値!$E$5:$CZ$5,1,$AN$2))/INDEX(終値!$E$5:$CZ$5,1,$AN$2)*100,"")</f>
        <v>2.31989243802786</v>
      </c>
      <c r="AK62" s="377">
        <f t="shared" si="16"/>
        <v>-23.534403479037326</v>
      </c>
      <c r="AL62" s="375">
        <f t="shared" si="17"/>
        <v>3</v>
      </c>
      <c r="AO62" s="379" t="e">
        <f t="shared" si="18"/>
        <v>#VALUE!</v>
      </c>
      <c r="AP62" s="380" t="e">
        <f t="shared" si="19"/>
        <v>#VALUE!</v>
      </c>
      <c r="AQ62">
        <f>IF(C62&lt;&gt;"",始値!F147,"")</f>
        <v>12380</v>
      </c>
      <c r="AR62">
        <f>IF(C62&lt;&gt;"",高値!F147,"")</f>
        <v>12450</v>
      </c>
      <c r="AS62">
        <f>IF(C62&lt;&gt;"",安値!F147,"")</f>
        <v>11900</v>
      </c>
      <c r="AT62" t="str">
        <f t="shared" si="20"/>
        <v>長い下ヒゲ(反発)</v>
      </c>
      <c r="AU62">
        <f t="shared" si="21"/>
        <v>-2</v>
      </c>
    </row>
    <row r="63" spans="1:47" ht="14.25" customHeight="1">
      <c r="A63" s="327" t="str">
        <f>IF(銘柄管理!B152&lt;&gt;"",HYPERLINK("https://kabutan.jp/stock/?code="&amp;銘柄管理!B152,"株探"),"")</f>
        <v>株探</v>
      </c>
      <c r="B63" s="328"/>
      <c r="C63" s="477">
        <f>IF(銘柄管理!B152="","",銘柄管理!B152)</f>
        <v>7381</v>
      </c>
      <c r="D63" s="328" t="str">
        <f>IF(銘柄管理!C152="","",銘柄管理!C152)</f>
        <v/>
      </c>
      <c r="E63" s="329" t="str">
        <f>IF(C63&lt;&gt;"",_xll.RssMarket(C63,"現在値"),"")</f>
        <v/>
      </c>
      <c r="F63" s="329" t="str">
        <f>IF(C63&lt;&gt;"",_xll.RssMarket(C63,"始値"),"")</f>
        <v/>
      </c>
      <c r="G63" s="328">
        <f>IF(C63&lt;&gt;"",終値!F152,"")</f>
        <v>1123</v>
      </c>
      <c r="H63" s="329" t="str">
        <f>IF(C63&lt;&gt;"",_xll.RssMarket(C63,"高値"),"")</f>
        <v/>
      </c>
      <c r="I63" s="329" t="str">
        <f>IF(C63&lt;&gt;"",_xll.RssMarket(C63,"安値"),"")</f>
        <v/>
      </c>
      <c r="J63" s="329" t="str">
        <f>IF(C63&lt;&gt;"",_xll.RssMarket(C63,"出来高"),"")</f>
        <v/>
      </c>
      <c r="K63" s="329" t="str">
        <f>IF(C63&lt;&gt;"",_xll.RssMarket(C63,"年初来高値"),"")</f>
        <v/>
      </c>
      <c r="L63" s="330" t="str">
        <f t="shared" si="0"/>
        <v/>
      </c>
      <c r="M63" s="329">
        <f>IF(C63&lt;&gt;"",IFERROR(AVERAGE(出来高!E152:I152),""),"")</f>
        <v>583600</v>
      </c>
      <c r="N63" s="329">
        <f>IF(C63&lt;&gt;"",IFERROR(AVERAGE(出来高!E152:AC152),""),"")</f>
        <v>498668</v>
      </c>
      <c r="O63" s="331" t="str">
        <f t="shared" si="1"/>
        <v/>
      </c>
      <c r="P63" s="328" t="str">
        <f t="shared" si="2"/>
        <v/>
      </c>
      <c r="Q63" s="328" t="str">
        <f t="shared" si="3"/>
        <v/>
      </c>
      <c r="R63" s="329" t="str">
        <f t="shared" si="4"/>
        <v/>
      </c>
      <c r="S63" s="329" t="str">
        <f t="shared" si="5"/>
        <v/>
      </c>
      <c r="T63" s="328">
        <f t="shared" si="6"/>
        <v>0</v>
      </c>
      <c r="U63" s="328" t="str">
        <f t="shared" si="7"/>
        <v>除外</v>
      </c>
      <c r="V63" s="328" t="str">
        <f t="shared" si="8"/>
        <v/>
      </c>
      <c r="W63" s="332">
        <f t="array" ref="W63">IFERROR(100-100/(1+SUMPRODUCT((終値!F152:R152&gt;終値!G152:S152)*(終値!F152:R152-終値!G152:S152))/SUMPRODUCT((終値!F152:R152&lt;終値!G152:S152)*(終値!G152:S152-終値!F152:R152))),50)</f>
        <v>83.397683397683394</v>
      </c>
      <c r="X63" s="333">
        <f>IF(C63&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14.02768479416045</v>
      </c>
      <c r="Y63" s="328" t="e">
        <f t="shared" si="9"/>
        <v>#VALUE!</v>
      </c>
      <c r="Z63" s="334" t="str">
        <f t="shared" si="10"/>
        <v/>
      </c>
      <c r="AA63" s="328" t="str">
        <f t="shared" si="11"/>
        <v/>
      </c>
      <c r="AB63" s="329">
        <f>IF(OR(C63="",C63="TOPX",終値!E152=""),"",IFERROR(((終値!E152*0.333)+(終値!F152*0.222)+(終値!G152*0.148)+(終値!H152*0.099)+(終値!I152*0.066))/(0.333+0.222+0.148+0.099+0.066),""))</f>
        <v>1077.9930875576038</v>
      </c>
      <c r="AC63" s="329">
        <f>IF(OR(C63="",C63="TOPX",終値!E152=""),"",IFERROR(SUMPRODUCT((終値!E152:AC152),{0.077,0.071,0.065,0.06,0.055,0.051,0.047,0.043,0.039,0.036,0.033,0.031,0.028,0.026,0.024,0.022,0.02,0.018,0.017,0.016,0.014,0.013,0.012,0.011,0.01})/SUM({0.077,0.071,0.065,0.06,0.055,0.051,0.047,0.043,0.039,0.036,0.033,0.031,0.028,0.026,0.024,0.022,0.02,0.018,0.017,0.016,0.014,0.013,0.012,0.011,0.01}),""))</f>
        <v>1036.5601907032178</v>
      </c>
      <c r="AD63" s="328" t="str">
        <f t="shared" si="12"/>
        <v>パーフェクト▲</v>
      </c>
      <c r="AE63" s="328" t="e">
        <f t="shared" si="13"/>
        <v>#VALUE!</v>
      </c>
      <c r="AF63" t="e">
        <f>IF(T63="","",IF(銘柄管理!$F$5="上昇▲",IF(AND(AD63="下降トレンド▼",OR(AE63="25日戻り売り★",AE63="5日戻り売り○")),"★逆張り売り",IF(AND(AD63="もみ合い→",OR(AE63="25日戻り売り★",AE63="5日戻り売り○")),"○逆張り売り",IF(W63&gt;=70,IF(Z63&lt;0,"◎反落確認","△過熱・様子見"),"相場上昇・見送り"))),IF(AND(T63&gt;=12,AD63="下降トレンド▼"),"★強い売り",IF(T63&gt;=12,"★強い売り",IF(AND(T63&gt;=8,OR(AE63="25日戻り売り★",AE63="5日戻り売り○")),"◎戻り売り",IF(T63&gt;=10,"○売り候補",IF(T63&gt;=6,"△注目",IF(T63&gt;=3,"様子見","見送り"))))))))</f>
        <v>#VALUE!</v>
      </c>
      <c r="AG63">
        <f t="shared" si="14"/>
        <v>0</v>
      </c>
      <c r="AH63">
        <f t="shared" si="15"/>
        <v>0</v>
      </c>
      <c r="AI63" s="376">
        <f t="array" ref="AI63">IF(C63="","",IFERROR((INDEX(終値!$E:$E,MATCH(TEXT(C63,"0"),終値!$A:$A,0))-INDEX(終値!$E:$CZ,MATCH(TEXT(C63,"0"),終値!$A:$A,0),$AN$2))/INDEX(終値!$E:$CZ,MATCH(TEXT(C63,"0"),終値!$A:$A,0),$AN$2)*100,""))</f>
        <v>3.67504835589942</v>
      </c>
      <c r="AJ63" s="376">
        <f t="array" ref="AJ63">IFERROR((終値!$E$5-INDEX(終値!$E$5:$CZ$5,1,$AN$2))/INDEX(終値!$E$5:$CZ$5,1,$AN$2)*100,"")</f>
        <v>2.31989243802786</v>
      </c>
      <c r="AK63" s="377">
        <f t="shared" si="16"/>
        <v>1.35515591787156</v>
      </c>
      <c r="AL63" s="375">
        <f t="shared" si="17"/>
        <v>-1</v>
      </c>
      <c r="AO63" s="379" t="e">
        <f t="shared" si="18"/>
        <v>#VALUE!</v>
      </c>
      <c r="AP63" s="380" t="e">
        <f t="shared" si="19"/>
        <v>#VALUE!</v>
      </c>
      <c r="AQ63">
        <f>IF(C63&lt;&gt;"",始値!F152,"")</f>
        <v>1089</v>
      </c>
      <c r="AR63">
        <f>IF(C63&lt;&gt;"",高値!F152,"")</f>
        <v>1126</v>
      </c>
      <c r="AS63">
        <f>IF(C63&lt;&gt;"",安値!F152,"")</f>
        <v>1087</v>
      </c>
      <c r="AT63" t="str">
        <f t="shared" si="20"/>
        <v>通常</v>
      </c>
      <c r="AU63">
        <f t="shared" si="21"/>
        <v>0</v>
      </c>
    </row>
    <row r="64" spans="1:47" ht="14.25" customHeight="1">
      <c r="A64" s="335" t="str">
        <f>IF(銘柄管理!B183&lt;&gt;"",HYPERLINK("https://kabutan.jp/stock/?code="&amp;銘柄管理!B183,"株探"),"")</f>
        <v>株探</v>
      </c>
      <c r="B64" s="215"/>
      <c r="C64" s="478">
        <f>IF(銘柄管理!B183="","",銘柄管理!B183)</f>
        <v>6507</v>
      </c>
      <c r="D64" s="215" t="str">
        <f>IF(銘柄管理!C183="","",銘柄管理!C183)</f>
        <v/>
      </c>
      <c r="E64" s="336" t="str">
        <f>IF(C64&lt;&gt;"",_xll.RssMarket(C64,"現在値"),"")</f>
        <v/>
      </c>
      <c r="F64" s="336" t="str">
        <f>IF(C64&lt;&gt;"",_xll.RssMarket(C64,"始値"),"")</f>
        <v/>
      </c>
      <c r="G64" s="215">
        <f>IF(C64&lt;&gt;"",終値!F183,"")</f>
        <v>14910</v>
      </c>
      <c r="H64" s="336" t="str">
        <f>IF(C64&lt;&gt;"",_xll.RssMarket(C64,"高値"),"")</f>
        <v/>
      </c>
      <c r="I64" s="336" t="str">
        <f>IF(C64&lt;&gt;"",_xll.RssMarket(C64,"安値"),"")</f>
        <v/>
      </c>
      <c r="J64" s="336" t="str">
        <f>IF(C64&lt;&gt;"",_xll.RssMarket(C64,"出来高"),"")</f>
        <v/>
      </c>
      <c r="K64" s="336" t="str">
        <f>IF(C64&lt;&gt;"",_xll.RssMarket(C64,"年初来高値"),"")</f>
        <v/>
      </c>
      <c r="L64" s="337" t="str">
        <f t="shared" si="0"/>
        <v/>
      </c>
      <c r="M64" s="336">
        <f>IF(C64&lt;&gt;"",IFERROR(AVERAGE(出来高!E183:I183),""),"")</f>
        <v>140520</v>
      </c>
      <c r="N64" s="336">
        <f>IF(C64&lt;&gt;"",IFERROR(AVERAGE(出来高!E183:AC183),""),"")</f>
        <v>164388</v>
      </c>
      <c r="O64" s="338" t="str">
        <f t="shared" si="1"/>
        <v/>
      </c>
      <c r="P64" s="215" t="str">
        <f t="shared" si="2"/>
        <v/>
      </c>
      <c r="Q64" s="215" t="str">
        <f t="shared" si="3"/>
        <v/>
      </c>
      <c r="R64" s="336" t="str">
        <f t="shared" si="4"/>
        <v/>
      </c>
      <c r="S64" s="336" t="str">
        <f t="shared" si="5"/>
        <v/>
      </c>
      <c r="T64" s="328">
        <f t="shared" si="6"/>
        <v>0</v>
      </c>
      <c r="U64" s="215" t="str">
        <f t="shared" si="7"/>
        <v>除外</v>
      </c>
      <c r="V64" s="215" t="str">
        <f t="shared" si="8"/>
        <v/>
      </c>
      <c r="W64" s="339">
        <f t="array" ref="W64">IFERROR(100-100/(1+SUMPRODUCT((終値!F183:R183&gt;終値!G183:S183)*(終値!F183:R183-終値!G183:S183))/SUMPRODUCT((終値!F183:R183&lt;終値!G183:S183)*(終値!G183:S183-終値!F183:R183))),50)</f>
        <v>43.863912515188339</v>
      </c>
      <c r="X64" s="340">
        <f>IF(C64&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-124.48740044340047</v>
      </c>
      <c r="Y64" s="215" t="e">
        <f t="shared" si="9"/>
        <v>#VALUE!</v>
      </c>
      <c r="Z64" s="341" t="str">
        <f t="shared" si="10"/>
        <v/>
      </c>
      <c r="AA64" s="215" t="str">
        <f t="shared" si="11"/>
        <v/>
      </c>
      <c r="AB64" s="336">
        <f>IF(OR(C64="",C64="TOPX",終値!E183=""),"",IFERROR(((終値!E183*0.333)+(終値!F183*0.222)+(終値!G183*0.148)+(終値!H183*0.099)+(終値!I183*0.066))/(0.333+0.222+0.148+0.099+0.066),""))</f>
        <v>14200.979262672809</v>
      </c>
      <c r="AC64" s="336">
        <f>IF(OR(C64="",C64="TOPX",終値!E183=""),"",IFERROR(SUMPRODUCT((終値!E183:AC183),{0.077,0.071,0.065,0.06,0.055,0.051,0.047,0.043,0.039,0.036,0.033,0.031,0.028,0.026,0.024,0.022,0.02,0.018,0.017,0.016,0.014,0.013,0.012,0.011,0.01})/SUM({0.077,0.071,0.065,0.06,0.055,0.051,0.047,0.043,0.039,0.036,0.033,0.031,0.028,0.026,0.024,0.022,0.02,0.018,0.017,0.016,0.014,0.013,0.012,0.011,0.01}),""))</f>
        <v>14979.833134684141</v>
      </c>
      <c r="AD64" s="215" t="str">
        <f t="shared" si="12"/>
        <v>上昇トレンド▲</v>
      </c>
      <c r="AE64" s="215" t="e">
        <f t="shared" si="13"/>
        <v>#VALUE!</v>
      </c>
      <c r="AF64" t="e">
        <f>IF(T64="","",IF(銘柄管理!$F$5="上昇▲",IF(AND(AD64="下降トレンド▼",OR(AE64="25日戻り売り★",AE64="5日戻り売り○")),"★逆張り売り",IF(AND(AD64="もみ合い→",OR(AE64="25日戻り売り★",AE64="5日戻り売り○")),"○逆張り売り",IF(W64&gt;=70,IF(Z64&lt;0,"◎反落確認","△過熱・様子見"),"相場上昇・見送り"))),IF(AND(T64&gt;=12,AD64="下降トレンド▼"),"★強い売り",IF(T64&gt;=12,"★強い売り",IF(AND(T64&gt;=8,OR(AE64="25日戻り売り★",AE64="5日戻り売り○")),"◎戻り売り",IF(T64&gt;=10,"○売り候補",IF(T64&gt;=6,"△注目",IF(T64&gt;=3,"様子見","見送り"))))))))</f>
        <v>#VALUE!</v>
      </c>
      <c r="AG64">
        <f t="shared" si="14"/>
        <v>0</v>
      </c>
      <c r="AH64">
        <f t="shared" si="15"/>
        <v>0</v>
      </c>
      <c r="AI64" s="376">
        <f t="array" ref="AI64">IF(C64="","",IFERROR((INDEX(終値!$E:$E,MATCH(TEXT(C64,"0"),終値!$A:$A,0))-INDEX(終値!$E:$CZ,MATCH(TEXT(C64,"0"),終値!$A:$A,0),$AN$2))/INDEX(終値!$E:$CZ,MATCH(TEXT(C64,"0"),終値!$A:$A,0),$AN$2)*100,""))</f>
        <v>-4.8489107519325367</v>
      </c>
      <c r="AJ64" s="376">
        <f t="array" ref="AJ64">IFERROR((終値!$E$5-INDEX(終値!$E$5:$CZ$5,1,$AN$2))/INDEX(終値!$E$5:$CZ$5,1,$AN$2)*100,"")</f>
        <v>2.31989243802786</v>
      </c>
      <c r="AK64" s="377">
        <f t="shared" si="16"/>
        <v>-7.1688031899603963</v>
      </c>
      <c r="AL64" s="375">
        <f t="shared" si="17"/>
        <v>3</v>
      </c>
      <c r="AO64" s="379" t="e">
        <f t="shared" si="18"/>
        <v>#VALUE!</v>
      </c>
      <c r="AP64" s="380" t="e">
        <f t="shared" si="19"/>
        <v>#VALUE!</v>
      </c>
      <c r="AQ64">
        <f>IF(C64&lt;&gt;"",始値!F183,"")</f>
        <v>14450</v>
      </c>
      <c r="AR64">
        <f>IF(C64&lt;&gt;"",高値!F183,"")</f>
        <v>14990</v>
      </c>
      <c r="AS64">
        <f>IF(C64&lt;&gt;"",安値!F183,"")</f>
        <v>14150</v>
      </c>
      <c r="AT64" t="str">
        <f t="shared" si="20"/>
        <v>通常</v>
      </c>
      <c r="AU64">
        <f t="shared" si="21"/>
        <v>0</v>
      </c>
    </row>
    <row r="65" spans="1:47" ht="14.25" customHeight="1">
      <c r="A65" s="327" t="str">
        <f>IF(銘柄管理!B204&lt;&gt;"",HYPERLINK("https://kabutan.jp/stock/?code="&amp;銘柄管理!B204,"株探"),"")</f>
        <v>株探</v>
      </c>
      <c r="B65" s="328"/>
      <c r="C65" s="477">
        <f>IF(銘柄管理!B204="","",銘柄管理!B204)</f>
        <v>8015</v>
      </c>
      <c r="D65" s="328" t="str">
        <f>IF(銘柄管理!C204="","",銘柄管理!C204)</f>
        <v/>
      </c>
      <c r="E65" s="329" t="str">
        <f>IF(C65&lt;&gt;"",_xll.RssMarket(C65,"現在値"),"")</f>
        <v/>
      </c>
      <c r="F65" s="329" t="str">
        <f>IF(C65&lt;&gt;"",_xll.RssMarket(C65,"始値"),"")</f>
        <v/>
      </c>
      <c r="G65" s="328">
        <f>IF(C65&lt;&gt;"",終値!F204,"")</f>
        <v>6223</v>
      </c>
      <c r="H65" s="329" t="str">
        <f>IF(C65&lt;&gt;"",_xll.RssMarket(C65,"高値"),"")</f>
        <v/>
      </c>
      <c r="I65" s="329" t="str">
        <f>IF(C65&lt;&gt;"",_xll.RssMarket(C65,"安値"),"")</f>
        <v/>
      </c>
      <c r="J65" s="329" t="str">
        <f>IF(C65&lt;&gt;"",_xll.RssMarket(C65,"出来高"),"")</f>
        <v/>
      </c>
      <c r="K65" s="329" t="str">
        <f>IF(C65&lt;&gt;"",_xll.RssMarket(C65,"年初来高値"),"")</f>
        <v/>
      </c>
      <c r="L65" s="330" t="str">
        <f t="shared" si="0"/>
        <v/>
      </c>
      <c r="M65" s="329">
        <f>IF(C65&lt;&gt;"",IFERROR(AVERAGE(出来高!E204:I204),""),"")</f>
        <v>2215320</v>
      </c>
      <c r="N65" s="329">
        <f>IF(C65&lt;&gt;"",IFERROR(AVERAGE(出来高!E204:AC204),""),"")</f>
        <v>2190424</v>
      </c>
      <c r="O65" s="331" t="str">
        <f t="shared" si="1"/>
        <v/>
      </c>
      <c r="P65" s="328" t="str">
        <f t="shared" si="2"/>
        <v/>
      </c>
      <c r="Q65" s="328" t="str">
        <f t="shared" si="3"/>
        <v/>
      </c>
      <c r="R65" s="329" t="str">
        <f t="shared" si="4"/>
        <v/>
      </c>
      <c r="S65" s="329" t="str">
        <f t="shared" si="5"/>
        <v/>
      </c>
      <c r="T65" s="328">
        <f t="shared" si="6"/>
        <v>0</v>
      </c>
      <c r="U65" s="328" t="str">
        <f t="shared" si="7"/>
        <v>除外</v>
      </c>
      <c r="V65" s="328" t="str">
        <f t="shared" si="8"/>
        <v/>
      </c>
      <c r="W65" s="332">
        <f t="array" ref="W65">IFERROR(100-100/(1+SUMPRODUCT((終値!F204:R204&gt;終値!G204:S204)*(終値!F204:R204-終値!G204:S204))/SUMPRODUCT((終値!F204:R204&lt;終値!G204:S204)*(終値!G204:S204-終値!F204:R204))),50)</f>
        <v>63.748458692971639</v>
      </c>
      <c r="X65" s="333">
        <f>IF(C65&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2.6023029864018099</v>
      </c>
      <c r="Y65" s="328" t="e">
        <f t="shared" si="9"/>
        <v>#VALUE!</v>
      </c>
      <c r="Z65" s="334" t="str">
        <f t="shared" si="10"/>
        <v/>
      </c>
      <c r="AA65" s="328" t="str">
        <f t="shared" si="11"/>
        <v/>
      </c>
      <c r="AB65" s="329">
        <f>IF(OR(C65="",C65="TOPX",終値!E204=""),"",IFERROR(((終値!E204*0.333)+(終値!F204*0.222)+(終値!G204*0.148)+(終値!H204*0.099)+(終値!I204*0.066))/(0.333+0.222+0.148+0.099+0.066),""))</f>
        <v>6106.0184331797227</v>
      </c>
      <c r="AC65" s="329">
        <f>IF(OR(C65="",C65="TOPX",終値!E204=""),"",IFERROR(SUMPRODUCT((終値!E204:AC204),{0.077,0.071,0.065,0.06,0.055,0.051,0.047,0.043,0.039,0.036,0.033,0.031,0.028,0.026,0.024,0.022,0.02,0.018,0.017,0.016,0.014,0.013,0.012,0.011,0.01})/SUM({0.077,0.071,0.065,0.06,0.055,0.051,0.047,0.043,0.039,0.036,0.033,0.031,0.028,0.026,0.024,0.022,0.02,0.018,0.017,0.016,0.014,0.013,0.012,0.011,0.01}),""))</f>
        <v>6109.8665077473161</v>
      </c>
      <c r="AD65" s="328" t="str">
        <f t="shared" si="12"/>
        <v>上昇トレンド▲</v>
      </c>
      <c r="AE65" s="328" t="e">
        <f t="shared" si="13"/>
        <v>#VALUE!</v>
      </c>
      <c r="AF65" t="e">
        <f>IF(T65="","",IF(銘柄管理!$F$5="上昇▲",IF(AND(AD65="下降トレンド▼",OR(AE65="25日戻り売り★",AE65="5日戻り売り○")),"★逆張り売り",IF(AND(AD65="もみ合い→",OR(AE65="25日戻り売り★",AE65="5日戻り売り○")),"○逆張り売り",IF(W65&gt;=70,IF(Z65&lt;0,"◎反落確認","△過熱・様子見"),"相場上昇・見送り"))),IF(AND(T65&gt;=12,AD65="下降トレンド▼"),"★強い売り",IF(T65&gt;=12,"★強い売り",IF(AND(T65&gt;=8,OR(AE65="25日戻り売り★",AE65="5日戻り売り○")),"◎戻り売り",IF(T65&gt;=10,"○売り候補",IF(T65&gt;=6,"△注目",IF(T65&gt;=3,"様子見","見送り"))))))))</f>
        <v>#VALUE!</v>
      </c>
      <c r="AG65">
        <f t="shared" si="14"/>
        <v>0</v>
      </c>
      <c r="AH65">
        <f t="shared" si="15"/>
        <v>0</v>
      </c>
      <c r="AI65" s="376">
        <f t="array" ref="AI65">IF(C65="","",IFERROR((INDEX(終値!$E:$E,MATCH(TEXT(C65,"0"),終値!$A:$A,0))-INDEX(終値!$E:$CZ,MATCH(TEXT(C65,"0"),終値!$A:$A,0),$AN$2))/INDEX(終値!$E:$CZ,MATCH(TEXT(C65,"0"),終値!$A:$A,0),$AN$2)*100,""))</f>
        <v>-1.4436334144363341</v>
      </c>
      <c r="AJ65" s="376">
        <f t="array" ref="AJ65">IFERROR((終値!$E$5-INDEX(終値!$E$5:$CZ$5,1,$AN$2))/INDEX(終値!$E$5:$CZ$5,1,$AN$2)*100,"")</f>
        <v>2.31989243802786</v>
      </c>
      <c r="AK65" s="377">
        <f t="shared" si="16"/>
        <v>-3.7635258524641939</v>
      </c>
      <c r="AL65" s="375">
        <f t="shared" si="17"/>
        <v>1</v>
      </c>
      <c r="AO65" s="379" t="e">
        <f t="shared" si="18"/>
        <v>#VALUE!</v>
      </c>
      <c r="AP65" s="380" t="e">
        <f t="shared" si="19"/>
        <v>#VALUE!</v>
      </c>
      <c r="AQ65">
        <f>IF(C65&lt;&gt;"",始値!F204,"")</f>
        <v>6102</v>
      </c>
      <c r="AR65">
        <f>IF(C65&lt;&gt;"",高値!F204,"")</f>
        <v>6241</v>
      </c>
      <c r="AS65">
        <f>IF(C65&lt;&gt;"",安値!F204,"")</f>
        <v>6070</v>
      </c>
      <c r="AT65" t="str">
        <f t="shared" si="20"/>
        <v>通常</v>
      </c>
      <c r="AU65">
        <f t="shared" si="21"/>
        <v>0</v>
      </c>
    </row>
    <row r="66" spans="1:47" ht="14.25" customHeight="1">
      <c r="A66" s="335" t="str">
        <f>IF(銘柄管理!B19&lt;&gt;"",HYPERLINK("https://kabutan.jp/stock/?code="&amp;銘柄管理!B19,"株探"),"")</f>
        <v>株探</v>
      </c>
      <c r="B66" s="215"/>
      <c r="C66" s="478">
        <f>IF(銘柄管理!B19="","",銘柄管理!B19)</f>
        <v>8411</v>
      </c>
      <c r="D66" s="215" t="str">
        <f>IF(銘柄管理!C19="","",銘柄管理!C19)</f>
        <v/>
      </c>
      <c r="E66" s="336" t="str">
        <f>IF(C66&lt;&gt;"",_xll.RssMarket(C66,"現在値"),"")</f>
        <v/>
      </c>
      <c r="F66" s="336" t="str">
        <f>IF(C66&lt;&gt;"",_xll.RssMarket(C66,"始値"),"")</f>
        <v/>
      </c>
      <c r="G66" s="215">
        <f>IF(C66&lt;&gt;"",終値!F19,"")</f>
        <v>8624</v>
      </c>
      <c r="H66" s="336" t="str">
        <f>IF(C66&lt;&gt;"",_xll.RssMarket(C66,"高値"),"")</f>
        <v/>
      </c>
      <c r="I66" s="336" t="str">
        <f>IF(C66&lt;&gt;"",_xll.RssMarket(C66,"安値"),"")</f>
        <v/>
      </c>
      <c r="J66" s="336" t="str">
        <f>IF(C66&lt;&gt;"",_xll.RssMarket(C66,"出来高"),"")</f>
        <v/>
      </c>
      <c r="K66" s="336" t="str">
        <f>IF(C66&lt;&gt;"",_xll.RssMarket(C66,"年初来高値"),"")</f>
        <v/>
      </c>
      <c r="L66" s="337" t="str">
        <f t="shared" si="0"/>
        <v/>
      </c>
      <c r="M66" s="336">
        <f>IF(C66&lt;&gt;"",IFERROR(AVERAGE(出来高!E19:I19),""),"")</f>
        <v>9773960</v>
      </c>
      <c r="N66" s="336">
        <f>IF(C66&lt;&gt;"",IFERROR(AVERAGE(出来高!E19:AC19),""),"")</f>
        <v>9309644</v>
      </c>
      <c r="O66" s="338" t="str">
        <f t="shared" si="1"/>
        <v/>
      </c>
      <c r="P66" s="215" t="str">
        <f t="shared" si="2"/>
        <v/>
      </c>
      <c r="Q66" s="215" t="str">
        <f t="shared" si="3"/>
        <v/>
      </c>
      <c r="R66" s="336" t="str">
        <f t="shared" si="4"/>
        <v/>
      </c>
      <c r="S66" s="336" t="str">
        <f t="shared" si="5"/>
        <v/>
      </c>
      <c r="T66" s="328">
        <f t="shared" si="6"/>
        <v>0</v>
      </c>
      <c r="U66" s="215" t="str">
        <f t="shared" si="7"/>
        <v>除外</v>
      </c>
      <c r="V66" s="215" t="str">
        <f t="shared" si="8"/>
        <v/>
      </c>
      <c r="W66" s="339">
        <f t="array" ref="W66">IFERROR(100-100/(1+SUMPRODUCT((終値!F19:R19&gt;終値!G19:S19)*(終値!F19:R19-終値!G19:S19))/SUMPRODUCT((終値!F19:R19&lt;終値!G19:S19)*(終値!G19:S19-終値!F19:R19))),50)</f>
        <v>85.816733067729089</v>
      </c>
      <c r="X66" s="340">
        <f>IF(C66&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81.773263705080353</v>
      </c>
      <c r="Y66" s="215" t="e">
        <f t="shared" si="9"/>
        <v>#VALUE!</v>
      </c>
      <c r="Z66" s="341" t="str">
        <f t="shared" si="10"/>
        <v/>
      </c>
      <c r="AA66" s="215" t="str">
        <f t="shared" si="11"/>
        <v/>
      </c>
      <c r="AB66" s="336">
        <f>IF(OR(C66="",C66="TOPX",終値!E19=""),"",IFERROR(((終値!E19*0.333)+(終値!F19*0.222)+(終値!G19*0.148)+(終値!H19*0.099)+(終値!I19*0.066))/(0.333+0.222+0.148+0.099+0.066),""))</f>
        <v>8285.4873271889392</v>
      </c>
      <c r="AC66" s="336">
        <f>IF(OR(C66="",C66="TOPX",終値!E19=""),"",IFERROR(SUMPRODUCT((終値!E19:AC19),{0.077,0.071,0.065,0.06,0.055,0.051,0.047,0.043,0.039,0.036,0.033,0.031,0.028,0.026,0.024,0.022,0.02,0.018,0.017,0.016,0.014,0.013,0.012,0.011,0.01})/SUM({0.077,0.071,0.065,0.06,0.055,0.051,0.047,0.043,0.039,0.036,0.033,0.031,0.028,0.026,0.024,0.022,0.02,0.018,0.017,0.016,0.014,0.013,0.012,0.011,0.01}),""))</f>
        <v>8087.6448152562562</v>
      </c>
      <c r="AD66" s="215" t="str">
        <f t="shared" si="12"/>
        <v>パーフェクト▲</v>
      </c>
      <c r="AE66" s="215" t="e">
        <f t="shared" si="13"/>
        <v>#VALUE!</v>
      </c>
      <c r="AF66" t="e">
        <f>IF(T66="","",IF(銘柄管理!$F$5="上昇▲",IF(AND(AD66="下降トレンド▼",OR(AE66="25日戻り売り★",AE66="5日戻り売り○")),"★逆張り売り",IF(AND(AD66="もみ合い→",OR(AE66="25日戻り売り★",AE66="5日戻り売り○")),"○逆張り売り",IF(W66&gt;=70,IF(Z66&lt;0,"◎反落確認","△過熱・様子見"),"相場上昇・見送り"))),IF(AND(T66&gt;=12,AD66="下降トレンド▼"),"★強い売り",IF(T66&gt;=12,"★強い売り",IF(AND(T66&gt;=8,OR(AE66="25日戻り売り★",AE66="5日戻り売り○")),"◎戻り売り",IF(T66&gt;=10,"○売り候補",IF(T66&gt;=6,"△注目",IF(T66&gt;=3,"様子見","見送り"))))))))</f>
        <v>#VALUE!</v>
      </c>
      <c r="AG66">
        <f t="shared" si="14"/>
        <v>0</v>
      </c>
      <c r="AH66">
        <f t="shared" si="15"/>
        <v>0</v>
      </c>
      <c r="AI66" s="376">
        <f t="array" ref="AI66">IF(C66="","",IFERROR((INDEX(終値!$E:$E,MATCH(TEXT(C66,"0"),終値!$A:$A,0))-INDEX(終値!$E:$CZ,MATCH(TEXT(C66,"0"),終値!$A:$A,0),$AN$2))/INDEX(終値!$E:$CZ,MATCH(TEXT(C66,"0"),終値!$A:$A,0),$AN$2)*100,""))</f>
        <v>4.8664374504099444</v>
      </c>
      <c r="AJ66" s="376">
        <f t="array" ref="AJ66">IFERROR((終値!$E$5-INDEX(終値!$E$5:$CZ$5,1,$AN$2))/INDEX(終値!$E$5:$CZ$5,1,$AN$2)*100,"")</f>
        <v>2.31989243802786</v>
      </c>
      <c r="AK66" s="377">
        <f t="shared" si="16"/>
        <v>2.5465450123820843</v>
      </c>
      <c r="AL66" s="375">
        <f t="shared" si="17"/>
        <v>-1</v>
      </c>
      <c r="AO66" s="379" t="e">
        <f t="shared" si="18"/>
        <v>#VALUE!</v>
      </c>
      <c r="AP66" s="380" t="e">
        <f t="shared" si="19"/>
        <v>#VALUE!</v>
      </c>
      <c r="AQ66">
        <f>IF(C66&lt;&gt;"",始値!F19,"")</f>
        <v>8580</v>
      </c>
      <c r="AR66">
        <f>IF(C66&lt;&gt;"",高値!F19,"")</f>
        <v>8693</v>
      </c>
      <c r="AS66">
        <f>IF(C66&lt;&gt;"",安値!F19,"")</f>
        <v>8411</v>
      </c>
      <c r="AT66" t="str">
        <f t="shared" si="20"/>
        <v>通常</v>
      </c>
      <c r="AU66">
        <f t="shared" si="21"/>
        <v>0</v>
      </c>
    </row>
    <row r="67" spans="1:47" ht="14.25" customHeight="1">
      <c r="A67" s="327" t="str">
        <f>IF(銘柄管理!B26&lt;&gt;"",HYPERLINK("https://kabutan.jp/stock/?code="&amp;銘柄管理!B26,"株探"),"")</f>
        <v>株探</v>
      </c>
      <c r="B67" s="328"/>
      <c r="C67" s="477">
        <f>IF(銘柄管理!B26="","",銘柄管理!B26)</f>
        <v>8591</v>
      </c>
      <c r="D67" s="328" t="str">
        <f>IF(銘柄管理!C26="","",銘柄管理!C26)</f>
        <v/>
      </c>
      <c r="E67" s="329" t="str">
        <f>IF(C67&lt;&gt;"",_xll.RssMarket(C67,"現在値"),"")</f>
        <v/>
      </c>
      <c r="F67" s="329" t="str">
        <f>IF(C67&lt;&gt;"",_xll.RssMarket(C67,"始値"),"")</f>
        <v/>
      </c>
      <c r="G67" s="328">
        <f>IF(C67&lt;&gt;"",終値!F26,"")</f>
        <v>6593</v>
      </c>
      <c r="H67" s="329" t="str">
        <f>IF(C67&lt;&gt;"",_xll.RssMarket(C67,"高値"),"")</f>
        <v/>
      </c>
      <c r="I67" s="329" t="str">
        <f>IF(C67&lt;&gt;"",_xll.RssMarket(C67,"安値"),"")</f>
        <v/>
      </c>
      <c r="J67" s="329" t="str">
        <f>IF(C67&lt;&gt;"",_xll.RssMarket(C67,"出来高"),"")</f>
        <v/>
      </c>
      <c r="K67" s="329" t="str">
        <f>IF(C67&lt;&gt;"",_xll.RssMarket(C67,"年初来高値"),"")</f>
        <v/>
      </c>
      <c r="L67" s="330" t="str">
        <f t="shared" ref="L67:L130" si="22">IF(AND(E67&lt;&gt;"",K67&lt;&gt;"",K67&lt;&gt;0),(E67-K67)/K67*100,"")</f>
        <v/>
      </c>
      <c r="M67" s="329">
        <f>IF(C67&lt;&gt;"",IFERROR(AVERAGE(出来高!E26:I26),""),"")</f>
        <v>2931780</v>
      </c>
      <c r="N67" s="329">
        <f>IF(C67&lt;&gt;"",IFERROR(AVERAGE(出来高!E26:AC26),""),"")</f>
        <v>3282088</v>
      </c>
      <c r="O67" s="331" t="str">
        <f t="shared" ref="O67:O130" si="23">IF(AND(J67&lt;&gt;"",M67&lt;&gt;"",M67&lt;&gt;0),J67/M67,"")</f>
        <v/>
      </c>
      <c r="P67" s="328" t="str">
        <f t="shared" ref="P67:P130" si="24">IF(O67="","",IF(O67&gt;=2,"急増↑↑",IF(O67&gt;=1.5,"増加↑",IF(O67&gt;=1,"普通→","減少↓"))))</f>
        <v/>
      </c>
      <c r="Q67" s="328" t="str">
        <f t="shared" ref="Q67:Q130" si="25">IF(E67="","",IF(AND(E67&lt;G67,O67&gt;=1.5),"売り▼",IF(E67&gt;G67,"様子見▲","中立→")))</f>
        <v/>
      </c>
      <c r="R67" s="329" t="str">
        <f t="shared" ref="R67:R130" si="26">IF(E67&lt;&gt;"",ROUND(E67*0.92,0),"")</f>
        <v/>
      </c>
      <c r="S67" s="329" t="str">
        <f t="shared" ref="S67:S130" si="27">IF(E67&lt;&gt;"",ROUND(E67*1.04,0),"")</f>
        <v/>
      </c>
      <c r="T67" s="328">
        <f t="shared" ref="T67:T130" si="28">IF(C67="","",IFERROR(IF(W67&gt;=70,3,IF(W67&gt;=60,2,IF(W67&gt;=50,1,0)))+IF(X67&lt;0,2,0)+IF(AD67="下降トレンド▼",3,IF(AD67="もみ合い→",1,0))+IF(V67="年初来安値圏●",3,IF(V67="安値圏",2,0))+IF(Q67="売り▼",2,0)+IF(P67="急増↑↑",2,IF(P67="増加↑",1,0))+IF(Z67&lt;0,1,0)+IF(L67&lt;=-30,2,IF(L67&lt;=-15,1,0))+IF(AE67="25日戻り売り★",2,IF(AE67="5日戻り売り○",1,0))+N(AL67)+N(AP67)+N(AU67),0))</f>
        <v>0</v>
      </c>
      <c r="U67" s="328" t="str">
        <f t="shared" ref="U67:U130" si="29">IF(T67="","",IF(AND(T67&gt;=3,O67&gt;=1.5),"有効",IF(T67&gt;=3,"要確認","除外")))</f>
        <v>除外</v>
      </c>
      <c r="V67" s="328" t="str">
        <f t="shared" ref="V67:V130" si="30">IF(AND(I67&lt;&gt;"",K67&lt;&gt;""),IF(I67&lt;=K67*0.6,"年初来安値圏●",IF(I67&lt;=K67*0.75,"安値圏","通常")),"")</f>
        <v/>
      </c>
      <c r="W67" s="332">
        <f t="array" ref="W67">IFERROR(100-100/(1+SUMPRODUCT((終値!F26:R26&gt;終値!G26:S26)*(終値!F26:R26-終値!G26:S26))/SUMPRODUCT((終値!F26:R26&lt;終値!G26:S26)*(終値!G26:S26-終値!F26:R26))),50)</f>
        <v>81.92771084337349</v>
      </c>
      <c r="X67" s="333">
        <f>IF(C67&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27.177229649860237</v>
      </c>
      <c r="Y67" s="328" t="e">
        <f t="shared" ref="Y67:Y130" si="31">IF(AF67="","",AF67&amp;" | "&amp;AD67&amp;IF(AE67&lt;&gt;"なし"," "&amp;AE67,"")&amp;IF(X67&lt;0," MACD-"," MACD+")&amp;" RSI:"&amp;TEXT(W67,"0.0")&amp;IF(W67&gt;=70," [過熱]",IF(W67&lt;=30," [売られ過ぎ]",""))&amp;" 前日比:"&amp;TEXT(Z67,"+0.0;-0.0;0.0")&amp;"%"&amp;IF(V67="年初来安値圏●"," [年初来安値圏]",IF(V67="安値圏"," [安値圏]",""))&amp;IF(OR(AO67="通常",AO67="-"),""," ["&amp;AO67&amp;"]")&amp;IF(OR(AT67="通常",AT67="-"),"","前日["&amp;AT67&amp;"]")&amp;" ["&amp;T67&amp;"点]")</f>
        <v>#VALUE!</v>
      </c>
      <c r="Z67" s="334" t="str">
        <f t="shared" ref="Z67:Z130" si="32">IF(AND(E67&lt;&gt;"",G67&lt;&gt;"",G67&lt;&gt;0),(E67-G67)/G67*100,"")</f>
        <v/>
      </c>
      <c r="AA67" s="328" t="str">
        <f t="shared" ref="AA67:AA130" si="33">IF(OR(C67="",E67="",E67=0),"",IF(E67&gt;G67,"上昇▲",IF(E67&lt;G67,"下落▼","横ばい→")))</f>
        <v/>
      </c>
      <c r="AB67" s="329">
        <f>IF(OR(C67="",C67="TOPX",終値!E26=""),"",IFERROR(((終値!E26*0.333)+(終値!F26*0.222)+(終値!G26*0.148)+(終値!H26*0.099)+(終値!I26*0.066))/(0.333+0.222+0.148+0.099+0.066),""))</f>
        <v>6383.1198156682021</v>
      </c>
      <c r="AC67" s="329">
        <f>IF(OR(C67="",C67="TOPX",終値!E26=""),"",IFERROR(SUMPRODUCT((終値!E26:AC26),{0.077,0.071,0.065,0.06,0.055,0.051,0.047,0.043,0.039,0.036,0.033,0.031,0.028,0.026,0.024,0.022,0.02,0.018,0.017,0.016,0.014,0.013,0.012,0.011,0.01})/SUM({0.077,0.071,0.065,0.06,0.055,0.051,0.047,0.043,0.039,0.036,0.033,0.031,0.028,0.026,0.024,0.022,0.02,0.018,0.017,0.016,0.014,0.013,0.012,0.011,0.01}),""))</f>
        <v>6330.9678188319413</v>
      </c>
      <c r="AD67" s="328" t="str">
        <f t="shared" ref="AD67:AD130" si="34">IF(OR(C67="",AB67="",AC67="",AB67=0,AC67=0),"",IF(AND(E67&gt;AB67,AB67&gt;AC67),"パーフェクト▲",IF(E67&gt;AC67,"上昇トレンド▲",IF(AND(E67&lt;AB67,AB67&lt;AC67),"下降トレンド▼","もみ合い→"))))</f>
        <v>パーフェクト▲</v>
      </c>
      <c r="AE67" s="328" t="e">
        <f t="shared" ref="AE67:AE130" si="35">IF(OR(C67="",AB67="",AC67=""),"",IF(AND(ABS(E67-AC67)/AC67&lt;=0.02,E67&lt;AC67),"25日戻り売り★",IF(AND(ABS(E67-AB67)/AB67&lt;=0.01,E67&lt;AB67),"5日戻り売り○","なし")))</f>
        <v>#VALUE!</v>
      </c>
      <c r="AF67" t="e">
        <f>IF(T67="","",IF(銘柄管理!$F$5="上昇▲",IF(AND(AD67="下降トレンド▼",OR(AE67="25日戻り売り★",AE67="5日戻り売り○")),"★逆張り売り",IF(AND(AD67="もみ合い→",OR(AE67="25日戻り売り★",AE67="5日戻り売り○")),"○逆張り売り",IF(W67&gt;=70,IF(Z67&lt;0,"◎反落確認","△過熱・様子見"),"相場上昇・見送り"))),IF(AND(T67&gt;=12,AD67="下降トレンド▼"),"★強い売り",IF(T67&gt;=12,"★強い売り",IF(AND(T67&gt;=8,OR(AE67="25日戻り売り★",AE67="5日戻り売り○")),"◎戻り売り",IF(T67&gt;=10,"○売り候補",IF(T67&gt;=6,"△注目",IF(T67&gt;=3,"様子見","見送り"))))))))</f>
        <v>#VALUE!</v>
      </c>
      <c r="AG67">
        <f t="shared" ref="AG67:AG130" si="36">IF(AND(T67&gt;=7,C67&lt;&gt;""),T67,0)</f>
        <v>0</v>
      </c>
      <c r="AH67">
        <f t="shared" ref="AH67:AH130" si="37">IF(AG67&gt;0,AG67*10000-ROW(A67),0)</f>
        <v>0</v>
      </c>
      <c r="AI67" s="376">
        <f t="array" ref="AI67">IF(C67="","",IFERROR((INDEX(終値!$E:$E,MATCH(TEXT(C67,"0"),終値!$A:$A,0))-INDEX(終値!$E:$CZ,MATCH(TEXT(C67,"0"),終値!$A:$A,0),$AN$2))/INDEX(終値!$E:$CZ,MATCH(TEXT(C67,"0"),終値!$A:$A,0),$AN$2)*100,""))</f>
        <v>1.6718570726110473</v>
      </c>
      <c r="AJ67" s="376">
        <f t="array" ref="AJ67">IFERROR((終値!$E$5-INDEX(終値!$E$5:$CZ$5,1,$AN$2))/INDEX(終値!$E$5:$CZ$5,1,$AN$2)*100,"")</f>
        <v>2.31989243802786</v>
      </c>
      <c r="AK67" s="377">
        <f t="shared" ref="AK67:AK130" si="38">IF(OR(AI67="",AJ67=""),"",AI67-AJ67)</f>
        <v>-0.64803536541681273</v>
      </c>
      <c r="AL67" s="375">
        <f t="shared" ref="AL67:AL130" si="39">IF(AK67="","",IF(AK67&lt;-5,3,IF(AK67&lt;0,1,IF(AK67&lt;3,-1,-2))))</f>
        <v>1</v>
      </c>
      <c r="AO67" s="379" t="e">
        <f t="shared" ref="AO67:AO130" si="40">IF(OR($C67="",$E67="",$F67="",$H67="",$I67="",$H67-$I67&lt;=0),"-",IF(AND($H67-MAX($F67,$E67)&gt;=ABS($E67-$F67)*2,MIN($F67,$E67)-$I67&lt;=ABS($E67-$F67)*0.5,ABS($E67-$F67)&gt;0),"上ヒゲ陰線▼",IF(AND($E67&lt;$F67,ABS($E67-$F67)&gt;=($H67-$I67)*0.7),"大陰線▼",IF(AND(MIN($F67,$E67)-$I67&gt;=($H67-$I67)*0.5,$H67-MAX($F67,$E67)&lt;=($H67-$I67)*0.2),"長い下ヒゲ(反発警戒)","通常"))))</f>
        <v>#VALUE!</v>
      </c>
      <c r="AP67" s="380" t="e">
        <f t="shared" ref="AP67:AP130" si="41">IF($AO67="上ヒゲ陰線▼",2,IF($AO67="大陰線▼",2,IF($AO67="長い下ヒゲ(反発警戒)",-2,0)))</f>
        <v>#VALUE!</v>
      </c>
      <c r="AQ67">
        <f>IF(C67&lt;&gt;"",始値!F26,"")</f>
        <v>6555</v>
      </c>
      <c r="AR67">
        <f>IF(C67&lt;&gt;"",高値!F26,"")</f>
        <v>6593</v>
      </c>
      <c r="AS67">
        <f>IF(C67&lt;&gt;"",安値!F26,"")</f>
        <v>6509</v>
      </c>
      <c r="AT67" t="str">
        <f t="shared" ref="AT67:AT130" si="42">IF(OR(C67="",AQ67="",AR67="",AS67="",AR67-AS67&lt;=0),"-",IF(AND(AR67-MAX(G67,AQ67)&gt;=ABS(G67-AQ67)*2,MIN(G67,AQ67)-AS67&lt;=ABS(G67-AQ67)*0.5,ABS(G67-AQ67)&gt;0),"上ヒゲ陰線▼",IF(AND(G67&lt;AQ67,ABS(G67-AQ67)&gt;=(AR67-AS67)*0.7),"大陰線▼",IF(AND(MIN(G67,AQ67)-AS67&gt;=(AR67-AS67)*0.5,AR67-MAX(G67,AQ67)&lt;=(AR67-AS67)*0.2),"長い下ヒゲ(反発)","通常"))))</f>
        <v>長い下ヒゲ(反発)</v>
      </c>
      <c r="AU67">
        <f t="shared" ref="AU67:AU130" si="43">IF(AT67="上ヒゲ陰線▼",2,IF(AT67="大陰線▼",2,IF(AT67="長い下ヒゲ(反発)",-2,0)))</f>
        <v>-2</v>
      </c>
    </row>
    <row r="68" spans="1:47" ht="14.25" customHeight="1">
      <c r="A68" s="335" t="str">
        <f>IF(銘柄管理!B31&lt;&gt;"",HYPERLINK("https://kabutan.jp/stock/?code="&amp;銘柄管理!B31,"株探"),"")</f>
        <v>株探</v>
      </c>
      <c r="B68" s="215"/>
      <c r="C68" s="478">
        <f>IF(銘柄管理!B31="","",銘柄管理!B31)</f>
        <v>8309</v>
      </c>
      <c r="D68" s="215" t="str">
        <f>IF(銘柄管理!C31="","",銘柄管理!C31)</f>
        <v/>
      </c>
      <c r="E68" s="336" t="str">
        <f>IF(C68&lt;&gt;"",_xll.RssMarket(C68,"現在値"),"")</f>
        <v/>
      </c>
      <c r="F68" s="336" t="str">
        <f>IF(C68&lt;&gt;"",_xll.RssMarket(C68,"始値"),"")</f>
        <v/>
      </c>
      <c r="G68" s="215">
        <f>IF(C68&lt;&gt;"",終値!F31,"")</f>
        <v>6757</v>
      </c>
      <c r="H68" s="336" t="str">
        <f>IF(C68&lt;&gt;"",_xll.RssMarket(C68,"高値"),"")</f>
        <v/>
      </c>
      <c r="I68" s="336" t="str">
        <f>IF(C68&lt;&gt;"",_xll.RssMarket(C68,"安値"),"")</f>
        <v/>
      </c>
      <c r="J68" s="336" t="str">
        <f>IF(C68&lt;&gt;"",_xll.RssMarket(C68,"出来高"),"")</f>
        <v/>
      </c>
      <c r="K68" s="336" t="str">
        <f>IF(C68&lt;&gt;"",_xll.RssMarket(C68,"年初来高値"),"")</f>
        <v/>
      </c>
      <c r="L68" s="337" t="str">
        <f t="shared" si="22"/>
        <v/>
      </c>
      <c r="M68" s="336">
        <f>IF(C68&lt;&gt;"",IFERROR(AVERAGE(出来高!E31:I31),""),"")</f>
        <v>2207420</v>
      </c>
      <c r="N68" s="336">
        <f>IF(C68&lt;&gt;"",IFERROR(AVERAGE(出来高!E31:AC31),""),"")</f>
        <v>2816288</v>
      </c>
      <c r="O68" s="338" t="str">
        <f t="shared" si="23"/>
        <v/>
      </c>
      <c r="P68" s="215" t="str">
        <f t="shared" si="24"/>
        <v/>
      </c>
      <c r="Q68" s="215" t="str">
        <f t="shared" si="25"/>
        <v/>
      </c>
      <c r="R68" s="336" t="str">
        <f t="shared" si="26"/>
        <v/>
      </c>
      <c r="S68" s="336" t="str">
        <f t="shared" si="27"/>
        <v/>
      </c>
      <c r="T68" s="328">
        <f t="shared" si="28"/>
        <v>0</v>
      </c>
      <c r="U68" s="215" t="str">
        <f t="shared" si="29"/>
        <v>除外</v>
      </c>
      <c r="V68" s="215" t="str">
        <f t="shared" si="30"/>
        <v/>
      </c>
      <c r="W68" s="339">
        <f t="array" ref="W68">IFERROR(100-100/(1+SUMPRODUCT((終値!F31:R31&gt;終値!G31:S31)*(終値!F31:R31-終値!G31:S31))/SUMPRODUCT((終値!F31:R31&lt;終値!G31:S31)*(終値!G31:S31-終値!F31:R31))),50)</f>
        <v>96.642685851318944</v>
      </c>
      <c r="X68" s="340">
        <f>IF(C68&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90.749614908514559</v>
      </c>
      <c r="Y68" s="215" t="e">
        <f t="shared" si="31"/>
        <v>#VALUE!</v>
      </c>
      <c r="Z68" s="341" t="str">
        <f t="shared" si="32"/>
        <v/>
      </c>
      <c r="AA68" s="215" t="str">
        <f t="shared" si="33"/>
        <v/>
      </c>
      <c r="AB68" s="336">
        <f>IF(OR(C68="",C68="TOPX",終値!E31=""),"",IFERROR(((終値!E31*0.333)+(終値!F31*0.222)+(終値!G31*0.148)+(終値!H31*0.099)+(終値!I31*0.066))/(0.333+0.222+0.148+0.099+0.066),""))</f>
        <v>6592.2718894009213</v>
      </c>
      <c r="AC68" s="336">
        <f>IF(OR(C68="",C68="TOPX",終値!E31=""),"",IFERROR(SUMPRODUCT((終値!E31:AC31),{0.077,0.071,0.065,0.06,0.055,0.051,0.047,0.043,0.039,0.036,0.033,0.031,0.028,0.026,0.024,0.022,0.02,0.018,0.017,0.016,0.014,0.013,0.012,0.011,0.01})/SUM({0.077,0.071,0.065,0.06,0.055,0.051,0.047,0.043,0.039,0.036,0.033,0.031,0.028,0.026,0.024,0.022,0.02,0.018,0.017,0.016,0.014,0.013,0.012,0.011,0.01}),""))</f>
        <v>6363.7640047675786</v>
      </c>
      <c r="AD68" s="215" t="str">
        <f t="shared" si="34"/>
        <v>パーフェクト▲</v>
      </c>
      <c r="AE68" s="215" t="e">
        <f t="shared" si="35"/>
        <v>#VALUE!</v>
      </c>
      <c r="AF68" t="e">
        <f>IF(T68="","",IF(銘柄管理!$F$5="上昇▲",IF(AND(AD68="下降トレンド▼",OR(AE68="25日戻り売り★",AE68="5日戻り売り○")),"★逆張り売り",IF(AND(AD68="もみ合い→",OR(AE68="25日戻り売り★",AE68="5日戻り売り○")),"○逆張り売り",IF(W68&gt;=70,IF(Z68&lt;0,"◎反落確認","△過熱・様子見"),"相場上昇・見送り"))),IF(AND(T68&gt;=12,AD68="下降トレンド▼"),"★強い売り",IF(T68&gt;=12,"★強い売り",IF(AND(T68&gt;=8,OR(AE68="25日戻り売り★",AE68="5日戻り売り○")),"◎戻り売り",IF(T68&gt;=10,"○売り候補",IF(T68&gt;=6,"△注目",IF(T68&gt;=3,"様子見","見送り"))))))))</f>
        <v>#VALUE!</v>
      </c>
      <c r="AG68">
        <f t="shared" si="36"/>
        <v>0</v>
      </c>
      <c r="AH68">
        <f t="shared" si="37"/>
        <v>0</v>
      </c>
      <c r="AI68" s="376">
        <f t="array" ref="AI68">IF(C68="","",IFERROR((INDEX(終値!$E:$E,MATCH(TEXT(C68,"0"),終値!$A:$A,0))-INDEX(終値!$E:$CZ,MATCH(TEXT(C68,"0"),終値!$A:$A,0),$AN$2))/INDEX(終値!$E:$CZ,MATCH(TEXT(C68,"0"),終値!$A:$A,0),$AN$2)*100,""))</f>
        <v>11.475976494987902</v>
      </c>
      <c r="AJ68" s="376">
        <f t="array" ref="AJ68">IFERROR((終値!$E$5-INDEX(終値!$E$5:$CZ$5,1,$AN$2))/INDEX(終値!$E$5:$CZ$5,1,$AN$2)*100,"")</f>
        <v>2.31989243802786</v>
      </c>
      <c r="AK68" s="377">
        <f t="shared" si="38"/>
        <v>9.1560840569600419</v>
      </c>
      <c r="AL68" s="375">
        <f t="shared" si="39"/>
        <v>-2</v>
      </c>
      <c r="AO68" s="379" t="e">
        <f t="shared" si="40"/>
        <v>#VALUE!</v>
      </c>
      <c r="AP68" s="380" t="e">
        <f t="shared" si="41"/>
        <v>#VALUE!</v>
      </c>
      <c r="AQ68">
        <f>IF(C68&lt;&gt;"",始値!F31,"")</f>
        <v>6763</v>
      </c>
      <c r="AR68">
        <f>IF(C68&lt;&gt;"",高値!F31,"")</f>
        <v>6767</v>
      </c>
      <c r="AS68">
        <f>IF(C68&lt;&gt;"",安値!F31,"")</f>
        <v>6662</v>
      </c>
      <c r="AT68" t="str">
        <f t="shared" si="42"/>
        <v>長い下ヒゲ(反発)</v>
      </c>
      <c r="AU68">
        <f t="shared" si="43"/>
        <v>-2</v>
      </c>
    </row>
    <row r="69" spans="1:47" ht="14.25" customHeight="1">
      <c r="A69" s="327" t="str">
        <f>IF(銘柄管理!B49&lt;&gt;"",HYPERLINK("https://kabutan.jp/stock/?code="&amp;銘柄管理!B49,"株探"),"")</f>
        <v>株探</v>
      </c>
      <c r="B69" s="328"/>
      <c r="C69" s="477">
        <f>IF(銘柄管理!B49="","",銘柄管理!B49)</f>
        <v>5929</v>
      </c>
      <c r="D69" s="328" t="str">
        <f>IF(銘柄管理!C49="","",銘柄管理!C49)</f>
        <v/>
      </c>
      <c r="E69" s="329" t="str">
        <f>IF(C69&lt;&gt;"",_xll.RssMarket(C69,"現在値"),"")</f>
        <v/>
      </c>
      <c r="F69" s="329" t="str">
        <f>IF(C69&lt;&gt;"",_xll.RssMarket(C69,"始値"),"")</f>
        <v/>
      </c>
      <c r="G69" s="328">
        <f>IF(C69&lt;&gt;"",終値!F49,"")</f>
        <v>3708</v>
      </c>
      <c r="H69" s="329" t="str">
        <f>IF(C69&lt;&gt;"",_xll.RssMarket(C69,"高値"),"")</f>
        <v/>
      </c>
      <c r="I69" s="329" t="str">
        <f>IF(C69&lt;&gt;"",_xll.RssMarket(C69,"安値"),"")</f>
        <v/>
      </c>
      <c r="J69" s="329" t="str">
        <f>IF(C69&lt;&gt;"",_xll.RssMarket(C69,"出来高"),"")</f>
        <v/>
      </c>
      <c r="K69" s="329" t="str">
        <f>IF(C69&lt;&gt;"",_xll.RssMarket(C69,"年初来高値"),"")</f>
        <v/>
      </c>
      <c r="L69" s="330" t="str">
        <f t="shared" si="22"/>
        <v/>
      </c>
      <c r="M69" s="329">
        <f>IF(C69&lt;&gt;"",IFERROR(AVERAGE(出来高!E49:I49),""),"")</f>
        <v>529360</v>
      </c>
      <c r="N69" s="329">
        <f>IF(C69&lt;&gt;"",IFERROR(AVERAGE(出来高!E49:AC49),""),"")</f>
        <v>601696</v>
      </c>
      <c r="O69" s="331" t="str">
        <f t="shared" si="23"/>
        <v/>
      </c>
      <c r="P69" s="328" t="str">
        <f t="shared" si="24"/>
        <v/>
      </c>
      <c r="Q69" s="328" t="str">
        <f t="shared" si="25"/>
        <v/>
      </c>
      <c r="R69" s="329" t="str">
        <f t="shared" si="26"/>
        <v/>
      </c>
      <c r="S69" s="329" t="str">
        <f t="shared" si="27"/>
        <v/>
      </c>
      <c r="T69" s="328">
        <f t="shared" si="28"/>
        <v>0</v>
      </c>
      <c r="U69" s="328" t="str">
        <f t="shared" si="29"/>
        <v>除外</v>
      </c>
      <c r="V69" s="328" t="str">
        <f t="shared" si="30"/>
        <v/>
      </c>
      <c r="W69" s="332">
        <f t="array" ref="W69">IFERROR(100-100/(1+SUMPRODUCT((終値!F49:R49&gt;終値!G49:S49)*(終値!F49:R49-終値!G49:S49))/SUMPRODUCT((終値!F49:R49&lt;終値!G49:S49)*(終値!G49:S49-終値!F49:R49))),50)</f>
        <v>46.917293233082709</v>
      </c>
      <c r="X69" s="333">
        <f>IF(C69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4.2008744661466153</v>
      </c>
      <c r="Y69" s="328" t="e">
        <f t="shared" si="31"/>
        <v>#VALUE!</v>
      </c>
      <c r="Z69" s="334" t="str">
        <f t="shared" si="32"/>
        <v/>
      </c>
      <c r="AA69" s="328" t="str">
        <f t="shared" si="33"/>
        <v/>
      </c>
      <c r="AB69" s="329">
        <f>IF(OR(C69="",C69="TOPX",終値!E49=""),"",IFERROR(((終値!E49*0.333)+(終値!F49*0.222)+(終値!G49*0.148)+(終値!H49*0.099)+(終値!I49*0.066))/(0.333+0.222+0.148+0.099+0.066),""))</f>
        <v>3719.4147465437782</v>
      </c>
      <c r="AC69" s="329">
        <f>IF(OR(C69="",C69="TOPX",終値!E49=""),"",IFERROR(SUMPRODUCT((終値!E49:AC49),{0.077,0.071,0.065,0.06,0.055,0.051,0.047,0.043,0.039,0.036,0.033,0.031,0.028,0.026,0.024,0.022,0.02,0.018,0.017,0.016,0.014,0.013,0.012,0.011,0.01})/SUM({0.077,0.071,0.065,0.06,0.055,0.051,0.047,0.043,0.039,0.036,0.033,0.031,0.028,0.026,0.024,0.022,0.02,0.018,0.017,0.016,0.014,0.013,0.012,0.011,0.01}),""))</f>
        <v>3723.2336114421914</v>
      </c>
      <c r="AD69" s="328" t="str">
        <f t="shared" si="34"/>
        <v>上昇トレンド▲</v>
      </c>
      <c r="AE69" s="328" t="e">
        <f t="shared" si="35"/>
        <v>#VALUE!</v>
      </c>
      <c r="AF69" t="e">
        <f>IF(T69="","",IF(銘柄管理!$F$5="上昇▲",IF(AND(AD69="下降トレンド▼",OR(AE69="25日戻り売り★",AE69="5日戻り売り○")),"★逆張り売り",IF(AND(AD69="もみ合い→",OR(AE69="25日戻り売り★",AE69="5日戻り売り○")),"○逆張り売り",IF(W69&gt;=70,IF(Z69&lt;0,"◎反落確認","△過熱・様子見"),"相場上昇・見送り"))),IF(AND(T69&gt;=12,AD69="下降トレンド▼"),"★強い売り",IF(T69&gt;=12,"★強い売り",IF(AND(T69&gt;=8,OR(AE69="25日戻り売り★",AE69="5日戻り売り○")),"◎戻り売り",IF(T69&gt;=10,"○売り候補",IF(T69&gt;=6,"△注目",IF(T69&gt;=3,"様子見","見送り"))))))))</f>
        <v>#VALUE!</v>
      </c>
      <c r="AG69">
        <f t="shared" si="36"/>
        <v>0</v>
      </c>
      <c r="AH69">
        <f t="shared" si="37"/>
        <v>0</v>
      </c>
      <c r="AI69" s="376">
        <f t="array" ref="AI69">IF(C69="","",IFERROR((INDEX(終値!$E:$E,MATCH(TEXT(C69,"0"),終値!$A:$A,0))-INDEX(終値!$E:$CZ,MATCH(TEXT(C69,"0"),終値!$A:$A,0),$AN$2))/INDEX(終値!$E:$CZ,MATCH(TEXT(C69,"0"),終値!$A:$A,0),$AN$2)*100,""))</f>
        <v>6.5008479366873946</v>
      </c>
      <c r="AJ69" s="376">
        <f t="array" ref="AJ69">IFERROR((終値!$E$5-INDEX(終値!$E$5:$CZ$5,1,$AN$2))/INDEX(終値!$E$5:$CZ$5,1,$AN$2)*100,"")</f>
        <v>2.31989243802786</v>
      </c>
      <c r="AK69" s="377">
        <f t="shared" si="38"/>
        <v>4.1809554986595341</v>
      </c>
      <c r="AL69" s="375">
        <f t="shared" si="39"/>
        <v>-2</v>
      </c>
      <c r="AO69" s="379" t="e">
        <f t="shared" si="40"/>
        <v>#VALUE!</v>
      </c>
      <c r="AP69" s="380" t="e">
        <f t="shared" si="41"/>
        <v>#VALUE!</v>
      </c>
      <c r="AQ69">
        <f>IF(C69&lt;&gt;"",始値!F49,"")</f>
        <v>3689</v>
      </c>
      <c r="AR69">
        <f>IF(C69&lt;&gt;"",高値!F49,"")</f>
        <v>3735</v>
      </c>
      <c r="AS69">
        <f>IF(C69&lt;&gt;"",安値!F49,"")</f>
        <v>3689</v>
      </c>
      <c r="AT69" t="str">
        <f t="shared" si="42"/>
        <v>通常</v>
      </c>
      <c r="AU69">
        <f t="shared" si="43"/>
        <v>0</v>
      </c>
    </row>
    <row r="70" spans="1:47" ht="14.25" customHeight="1">
      <c r="A70" s="335" t="str">
        <f>IF(銘柄管理!B50&lt;&gt;"",HYPERLINK("https://kabutan.jp/stock/?code="&amp;銘柄管理!B50,"株探"),"")</f>
        <v>株探</v>
      </c>
      <c r="B70" s="215"/>
      <c r="C70" s="478">
        <f>IF(銘柄管理!B50="","",銘柄管理!B50)</f>
        <v>8316</v>
      </c>
      <c r="D70" s="215" t="str">
        <f>IF(銘柄管理!C50="","",銘柄管理!C50)</f>
        <v/>
      </c>
      <c r="E70" s="336" t="str">
        <f>IF(C70&lt;&gt;"",_xll.RssMarket(C70,"現在値"),"")</f>
        <v/>
      </c>
      <c r="F70" s="336" t="str">
        <f>IF(C70&lt;&gt;"",_xll.RssMarket(C70,"始値"),"")</f>
        <v/>
      </c>
      <c r="G70" s="215">
        <f>IF(C70&lt;&gt;"",終値!F50,"")</f>
        <v>7121</v>
      </c>
      <c r="H70" s="336" t="str">
        <f>IF(C70&lt;&gt;"",_xll.RssMarket(C70,"高値"),"")</f>
        <v/>
      </c>
      <c r="I70" s="336" t="str">
        <f>IF(C70&lt;&gt;"",_xll.RssMarket(C70,"安値"),"")</f>
        <v/>
      </c>
      <c r="J70" s="336" t="str">
        <f>IF(C70&lt;&gt;"",_xll.RssMarket(C70,"出来高"),"")</f>
        <v/>
      </c>
      <c r="K70" s="336" t="str">
        <f>IF(C70&lt;&gt;"",_xll.RssMarket(C70,"年初来高値"),"")</f>
        <v/>
      </c>
      <c r="L70" s="337" t="str">
        <f t="shared" si="22"/>
        <v/>
      </c>
      <c r="M70" s="336">
        <f>IF(C70&lt;&gt;"",IFERROR(AVERAGE(出来高!E50:I50),""),"")</f>
        <v>13423160</v>
      </c>
      <c r="N70" s="336">
        <f>IF(C70&lt;&gt;"",IFERROR(AVERAGE(出来高!E50:AC50),""),"")</f>
        <v>12984864</v>
      </c>
      <c r="O70" s="338" t="str">
        <f t="shared" si="23"/>
        <v/>
      </c>
      <c r="P70" s="215" t="str">
        <f t="shared" si="24"/>
        <v/>
      </c>
      <c r="Q70" s="215" t="str">
        <f t="shared" si="25"/>
        <v/>
      </c>
      <c r="R70" s="336" t="str">
        <f t="shared" si="26"/>
        <v/>
      </c>
      <c r="S70" s="336" t="str">
        <f t="shared" si="27"/>
        <v/>
      </c>
      <c r="T70" s="328">
        <f t="shared" si="28"/>
        <v>0</v>
      </c>
      <c r="U70" s="215" t="str">
        <f t="shared" si="29"/>
        <v>除外</v>
      </c>
      <c r="V70" s="215" t="str">
        <f t="shared" si="30"/>
        <v/>
      </c>
      <c r="W70" s="339">
        <f t="array" ref="W70">IFERROR(100-100/(1+SUMPRODUCT((終値!F50:R50&gt;終値!G50:S50)*(終値!F50:R50-終値!G50:S50))/SUMPRODUCT((終値!F50:R50&lt;終値!G50:S50)*(終値!G50:S50-終値!F50:R50))),50)</f>
        <v>93.975903614457835</v>
      </c>
      <c r="X70" s="340">
        <f>IF(C70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75.427754050925614</v>
      </c>
      <c r="Y70" s="215" t="e">
        <f t="shared" si="31"/>
        <v>#VALUE!</v>
      </c>
      <c r="Z70" s="341" t="str">
        <f t="shared" si="32"/>
        <v/>
      </c>
      <c r="AA70" s="215" t="str">
        <f t="shared" si="33"/>
        <v/>
      </c>
      <c r="AB70" s="336">
        <f>IF(OR(C70="",C70="TOPX",終値!E50=""),"",IFERROR(((終値!E50*0.333)+(終値!F50*0.222)+(終値!G50*0.148)+(終値!H50*0.099)+(終値!I50*0.066))/(0.333+0.222+0.148+0.099+0.066),""))</f>
        <v>6895.587557603686</v>
      </c>
      <c r="AC70" s="336">
        <f>IF(OR(C70="",C70="TOPX",終値!E50=""),"",IFERROR(SUMPRODUCT((終値!E50:AC50),{0.077,0.071,0.065,0.06,0.055,0.051,0.047,0.043,0.039,0.036,0.033,0.031,0.028,0.026,0.024,0.022,0.02,0.018,0.017,0.016,0.014,0.013,0.012,0.011,0.01})/SUM({0.077,0.071,0.065,0.06,0.055,0.051,0.047,0.043,0.039,0.036,0.033,0.031,0.028,0.026,0.024,0.022,0.02,0.018,0.017,0.016,0.014,0.013,0.012,0.011,0.01}),""))</f>
        <v>6708.5625744934441</v>
      </c>
      <c r="AD70" s="215" t="str">
        <f t="shared" si="34"/>
        <v>パーフェクト▲</v>
      </c>
      <c r="AE70" s="215" t="e">
        <f t="shared" si="35"/>
        <v>#VALUE!</v>
      </c>
      <c r="AF70" t="e">
        <f>IF(T70="","",IF(銘柄管理!$F$5="上昇▲",IF(AND(AD70="下降トレンド▼",OR(AE70="25日戻り売り★",AE70="5日戻り売り○")),"★逆張り売り",IF(AND(AD70="もみ合い→",OR(AE70="25日戻り売り★",AE70="5日戻り売り○")),"○逆張り売り",IF(W70&gt;=70,IF(Z70&lt;0,"◎反落確認","△過熱・様子見"),"相場上昇・見送り"))),IF(AND(T70&gt;=12,AD70="下降トレンド▼"),"★強い売り",IF(T70&gt;=12,"★強い売り",IF(AND(T70&gt;=8,OR(AE70="25日戻り売り★",AE70="5日戻り売り○")),"◎戻り売り",IF(T70&gt;=10,"○売り候補",IF(T70&gt;=6,"△注目",IF(T70&gt;=3,"様子見","見送り"))))))))</f>
        <v>#VALUE!</v>
      </c>
      <c r="AG70">
        <f t="shared" si="36"/>
        <v>0</v>
      </c>
      <c r="AH70">
        <f t="shared" si="37"/>
        <v>0</v>
      </c>
      <c r="AI70" s="376">
        <f t="array" ref="AI70">IF(C70="","",IFERROR((INDEX(終値!$E:$E,MATCH(TEXT(C70,"0"),終値!$A:$A,0))-INDEX(終値!$E:$CZ,MATCH(TEXT(C70,"0"),終値!$A:$A,0),$AN$2))/INDEX(終値!$E:$CZ,MATCH(TEXT(C70,"0"),終値!$A:$A,0),$AN$2)*100,""))</f>
        <v>8.3507980009672735</v>
      </c>
      <c r="AJ70" s="376">
        <f t="array" ref="AJ70">IFERROR((終値!$E$5-INDEX(終値!$E$5:$CZ$5,1,$AN$2))/INDEX(終値!$E$5:$CZ$5,1,$AN$2)*100,"")</f>
        <v>2.31989243802786</v>
      </c>
      <c r="AK70" s="377">
        <f t="shared" si="38"/>
        <v>6.030905562939413</v>
      </c>
      <c r="AL70" s="375">
        <f t="shared" si="39"/>
        <v>-2</v>
      </c>
      <c r="AO70" s="379" t="e">
        <f t="shared" si="40"/>
        <v>#VALUE!</v>
      </c>
      <c r="AP70" s="380" t="e">
        <f t="shared" si="41"/>
        <v>#VALUE!</v>
      </c>
      <c r="AQ70">
        <f>IF(C70&lt;&gt;"",始値!F50,"")</f>
        <v>7100</v>
      </c>
      <c r="AR70">
        <f>IF(C70&lt;&gt;"",高値!F50,"")</f>
        <v>7137</v>
      </c>
      <c r="AS70">
        <f>IF(C70&lt;&gt;"",安値!F50,"")</f>
        <v>6976</v>
      </c>
      <c r="AT70" t="str">
        <f t="shared" si="42"/>
        <v>長い下ヒゲ(反発)</v>
      </c>
      <c r="AU70">
        <f t="shared" si="43"/>
        <v>-2</v>
      </c>
    </row>
    <row r="71" spans="1:47" ht="14.25" customHeight="1">
      <c r="A71" s="327" t="str">
        <f>IF(銘柄管理!B55&lt;&gt;"",HYPERLINK("https://kabutan.jp/stock/?code="&amp;銘柄管理!B55,"株探"),"")</f>
        <v>株探</v>
      </c>
      <c r="B71" s="328"/>
      <c r="C71" s="477">
        <f>IF(銘柄管理!B55="","",銘柄管理!B55)</f>
        <v>5901</v>
      </c>
      <c r="D71" s="328" t="str">
        <f>IF(銘柄管理!C55="","",銘柄管理!C55)</f>
        <v/>
      </c>
      <c r="E71" s="329" t="str">
        <f>IF(C71&lt;&gt;"",_xll.RssMarket(C71,"現在値"),"")</f>
        <v/>
      </c>
      <c r="F71" s="329" t="str">
        <f>IF(C71&lt;&gt;"",_xll.RssMarket(C71,"始値"),"")</f>
        <v/>
      </c>
      <c r="G71" s="328">
        <f>IF(C71&lt;&gt;"",終値!F55,"")</f>
        <v>4027</v>
      </c>
      <c r="H71" s="329" t="str">
        <f>IF(C71&lt;&gt;"",_xll.RssMarket(C71,"高値"),"")</f>
        <v/>
      </c>
      <c r="I71" s="329" t="str">
        <f>IF(C71&lt;&gt;"",_xll.RssMarket(C71,"安値"),"")</f>
        <v/>
      </c>
      <c r="J71" s="329" t="str">
        <f>IF(C71&lt;&gt;"",_xll.RssMarket(C71,"出来高"),"")</f>
        <v/>
      </c>
      <c r="K71" s="329" t="str">
        <f>IF(C71&lt;&gt;"",_xll.RssMarket(C71,"年初来高値"),"")</f>
        <v/>
      </c>
      <c r="L71" s="330" t="str">
        <f t="shared" si="22"/>
        <v/>
      </c>
      <c r="M71" s="329">
        <f>IF(C71&lt;&gt;"",IFERROR(AVERAGE(出来高!E55:I55),""),"")</f>
        <v>199680</v>
      </c>
      <c r="N71" s="329">
        <f>IF(C71&lt;&gt;"",IFERROR(AVERAGE(出来高!E55:AC55),""),"")</f>
        <v>237288</v>
      </c>
      <c r="O71" s="331" t="str">
        <f t="shared" si="23"/>
        <v/>
      </c>
      <c r="P71" s="328" t="str">
        <f t="shared" si="24"/>
        <v/>
      </c>
      <c r="Q71" s="328" t="str">
        <f t="shared" si="25"/>
        <v/>
      </c>
      <c r="R71" s="329" t="str">
        <f t="shared" si="26"/>
        <v/>
      </c>
      <c r="S71" s="329" t="str">
        <f t="shared" si="27"/>
        <v/>
      </c>
      <c r="T71" s="328">
        <f t="shared" si="28"/>
        <v>0</v>
      </c>
      <c r="U71" s="328" t="str">
        <f t="shared" si="29"/>
        <v>除外</v>
      </c>
      <c r="V71" s="328" t="str">
        <f t="shared" si="30"/>
        <v/>
      </c>
      <c r="W71" s="332">
        <f t="array" ref="W71">IFERROR(100-100/(1+SUMPRODUCT((終値!F55:R55&gt;終値!G55:S55)*(終値!F55:R55-終値!G55:S55))/SUMPRODUCT((終値!F55:R55&lt;終値!G55:S55)*(終値!G55:S55-終値!F55:R55))),50)</f>
        <v>40.186915887850468</v>
      </c>
      <c r="X71" s="333">
        <f>IF(C71&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-4.4640541476428552</v>
      </c>
      <c r="Y71" s="328" t="e">
        <f t="shared" si="31"/>
        <v>#VALUE!</v>
      </c>
      <c r="Z71" s="334" t="str">
        <f t="shared" si="32"/>
        <v/>
      </c>
      <c r="AA71" s="328" t="str">
        <f t="shared" si="33"/>
        <v/>
      </c>
      <c r="AB71" s="329">
        <f>IF(OR(C71="",C71="TOPX",終値!E55=""),"",IFERROR(((終値!E55*0.333)+(終値!F55*0.222)+(終値!G55*0.148)+(終値!H55*0.099)+(終値!I55*0.066))/(0.333+0.222+0.148+0.099+0.066),""))</f>
        <v>4030.0299539170501</v>
      </c>
      <c r="AC71" s="329">
        <f>IF(OR(C71="",C71="TOPX",終値!E55=""),"",IFERROR(SUMPRODUCT((終値!E55:AC55),{0.077,0.071,0.065,0.06,0.055,0.051,0.047,0.043,0.039,0.036,0.033,0.031,0.028,0.026,0.024,0.022,0.02,0.018,0.017,0.016,0.014,0.013,0.012,0.011,0.01})/SUM({0.077,0.071,0.065,0.06,0.055,0.051,0.047,0.043,0.039,0.036,0.033,0.031,0.028,0.026,0.024,0.022,0.02,0.018,0.017,0.016,0.014,0.013,0.012,0.011,0.01}),""))</f>
        <v>4057.0488676996411</v>
      </c>
      <c r="AD71" s="328" t="str">
        <f t="shared" si="34"/>
        <v>上昇トレンド▲</v>
      </c>
      <c r="AE71" s="328" t="e">
        <f t="shared" si="35"/>
        <v>#VALUE!</v>
      </c>
      <c r="AF71" t="e">
        <f>IF(T71="","",IF(銘柄管理!$F$5="上昇▲",IF(AND(AD71="下降トレンド▼",OR(AE71="25日戻り売り★",AE71="5日戻り売り○")),"★逆張り売り",IF(AND(AD71="もみ合い→",OR(AE71="25日戻り売り★",AE71="5日戻り売り○")),"○逆張り売り",IF(W71&gt;=70,IF(Z71&lt;0,"◎反落確認","△過熱・様子見"),"相場上昇・見送り"))),IF(AND(T71&gt;=12,AD71="下降トレンド▼"),"★強い売り",IF(T71&gt;=12,"★強い売り",IF(AND(T71&gt;=8,OR(AE71="25日戻り売り★",AE71="5日戻り売り○")),"◎戻り売り",IF(T71&gt;=10,"○売り候補",IF(T71&gt;=6,"△注目",IF(T71&gt;=3,"様子見","見送り"))))))))</f>
        <v>#VALUE!</v>
      </c>
      <c r="AG71">
        <f t="shared" si="36"/>
        <v>0</v>
      </c>
      <c r="AH71">
        <f t="shared" si="37"/>
        <v>0</v>
      </c>
      <c r="AI71" s="376">
        <f t="array" ref="AI71">IF(C71="","",IFERROR((INDEX(終値!$E:$E,MATCH(TEXT(C71,"0"),終値!$A:$A,0))-INDEX(終値!$E:$CZ,MATCH(TEXT(C71,"0"),終値!$A:$A,0),$AN$2))/INDEX(終値!$E:$CZ,MATCH(TEXT(C71,"0"),終値!$A:$A,0),$AN$2)*100,""))</f>
        <v>5.4919312857886515</v>
      </c>
      <c r="AJ71" s="376">
        <f t="array" ref="AJ71">IFERROR((終値!$E$5-INDEX(終値!$E$5:$CZ$5,1,$AN$2))/INDEX(終値!$E$5:$CZ$5,1,$AN$2)*100,"")</f>
        <v>2.31989243802786</v>
      </c>
      <c r="AK71" s="377">
        <f t="shared" si="38"/>
        <v>3.1720388477607915</v>
      </c>
      <c r="AL71" s="375">
        <f t="shared" si="39"/>
        <v>-2</v>
      </c>
      <c r="AO71" s="379" t="e">
        <f t="shared" si="40"/>
        <v>#VALUE!</v>
      </c>
      <c r="AP71" s="380" t="e">
        <f t="shared" si="41"/>
        <v>#VALUE!</v>
      </c>
      <c r="AQ71">
        <f>IF(C71&lt;&gt;"",始値!F55,"")</f>
        <v>4052</v>
      </c>
      <c r="AR71">
        <f>IF(C71&lt;&gt;"",高値!F55,"")</f>
        <v>4070</v>
      </c>
      <c r="AS71">
        <f>IF(C71&lt;&gt;"",安値!F55,"")</f>
        <v>3991</v>
      </c>
      <c r="AT71" t="str">
        <f t="shared" si="42"/>
        <v>通常</v>
      </c>
      <c r="AU71">
        <f t="shared" si="43"/>
        <v>0</v>
      </c>
    </row>
    <row r="72" spans="1:47" ht="14.25" customHeight="1">
      <c r="A72" s="335" t="str">
        <f>IF(銘柄管理!B69&lt;&gt;"",HYPERLINK("https://kabutan.jp/stock/?code="&amp;銘柄管理!B69,"株探"),"")</f>
        <v>株探</v>
      </c>
      <c r="B72" s="215"/>
      <c r="C72" s="478">
        <f>IF(銘柄管理!B69="","",銘柄管理!B69)</f>
        <v>4980</v>
      </c>
      <c r="D72" s="215" t="str">
        <f>IF(銘柄管理!C69="","",銘柄管理!C69)</f>
        <v/>
      </c>
      <c r="E72" s="336" t="str">
        <f>IF(C72&lt;&gt;"",_xll.RssMarket(C72,"現在値"),"")</f>
        <v/>
      </c>
      <c r="F72" s="336" t="str">
        <f>IF(C72&lt;&gt;"",_xll.RssMarket(C72,"始値"),"")</f>
        <v/>
      </c>
      <c r="G72" s="215">
        <f>IF(C72&lt;&gt;"",終値!F69,"")</f>
        <v>3941</v>
      </c>
      <c r="H72" s="336" t="str">
        <f>IF(C72&lt;&gt;"",_xll.RssMarket(C72,"高値"),"")</f>
        <v/>
      </c>
      <c r="I72" s="336" t="str">
        <f>IF(C72&lt;&gt;"",_xll.RssMarket(C72,"安値"),"")</f>
        <v/>
      </c>
      <c r="J72" s="336" t="str">
        <f>IF(C72&lt;&gt;"",_xll.RssMarket(C72,"出来高"),"")</f>
        <v/>
      </c>
      <c r="K72" s="336" t="str">
        <f>IF(C72&lt;&gt;"",_xll.RssMarket(C72,"年初来高値"),"")</f>
        <v/>
      </c>
      <c r="L72" s="337" t="str">
        <f t="shared" si="22"/>
        <v/>
      </c>
      <c r="M72" s="336">
        <f>IF(C72&lt;&gt;"",IFERROR(AVERAGE(出来高!E69:I69),""),"")</f>
        <v>1453600</v>
      </c>
      <c r="N72" s="336">
        <f>IF(C72&lt;&gt;"",IFERROR(AVERAGE(出来高!E69:AC69),""),"")</f>
        <v>2279800</v>
      </c>
      <c r="O72" s="338" t="str">
        <f t="shared" si="23"/>
        <v/>
      </c>
      <c r="P72" s="215" t="str">
        <f t="shared" si="24"/>
        <v/>
      </c>
      <c r="Q72" s="215" t="str">
        <f t="shared" si="25"/>
        <v/>
      </c>
      <c r="R72" s="336" t="str">
        <f t="shared" si="26"/>
        <v/>
      </c>
      <c r="S72" s="336" t="str">
        <f t="shared" si="27"/>
        <v/>
      </c>
      <c r="T72" s="328">
        <f t="shared" si="28"/>
        <v>0</v>
      </c>
      <c r="U72" s="215" t="str">
        <f t="shared" si="29"/>
        <v>除外</v>
      </c>
      <c r="V72" s="215" t="str">
        <f t="shared" si="30"/>
        <v/>
      </c>
      <c r="W72" s="339">
        <f t="array" ref="W72">IFERROR(100-100/(1+SUMPRODUCT((終値!F69:R69&gt;終値!G69:S69)*(終値!F69:R69-終値!G69:S69))/SUMPRODUCT((終値!F69:R69&lt;終値!G69:S69)*(終値!G69:S69-終値!F69:R69))),50)</f>
        <v>21.578947368421055</v>
      </c>
      <c r="X72" s="340">
        <f>IF(C72&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-105.62248496451457</v>
      </c>
      <c r="Y72" s="215" t="e">
        <f t="shared" si="31"/>
        <v>#VALUE!</v>
      </c>
      <c r="Z72" s="341" t="str">
        <f t="shared" si="32"/>
        <v/>
      </c>
      <c r="AA72" s="215" t="str">
        <f t="shared" si="33"/>
        <v/>
      </c>
      <c r="AB72" s="336">
        <f>IF(OR(C72="",C72="TOPX",終値!E69=""),"",IFERROR(((終値!E69*0.333)+(終値!F69*0.222)+(終値!G69*0.148)+(終値!H69*0.099)+(終値!I69*0.066))/(0.333+0.222+0.148+0.099+0.066),""))</f>
        <v>3786.4504608294928</v>
      </c>
      <c r="AC72" s="336">
        <f>IF(OR(C72="",C72="TOPX",終値!E69=""),"",IFERROR(SUMPRODUCT((終値!E69:AC69),{0.077,0.071,0.065,0.06,0.055,0.051,0.047,0.043,0.039,0.036,0.033,0.031,0.028,0.026,0.024,0.022,0.02,0.018,0.017,0.016,0.014,0.013,0.012,0.011,0.01})/SUM({0.077,0.071,0.065,0.06,0.055,0.051,0.047,0.043,0.039,0.036,0.033,0.031,0.028,0.026,0.024,0.022,0.02,0.018,0.017,0.016,0.014,0.013,0.012,0.011,0.01}),""))</f>
        <v>4142.8963051251467</v>
      </c>
      <c r="AD72" s="215" t="str">
        <f t="shared" si="34"/>
        <v>上昇トレンド▲</v>
      </c>
      <c r="AE72" s="215" t="e">
        <f t="shared" si="35"/>
        <v>#VALUE!</v>
      </c>
      <c r="AF72" t="e">
        <f>IF(T72="","",IF(銘柄管理!$F$5="上昇▲",IF(AND(AD72="下降トレンド▼",OR(AE72="25日戻り売り★",AE72="5日戻り売り○")),"★逆張り売り",IF(AND(AD72="もみ合い→",OR(AE72="25日戻り売り★",AE72="5日戻り売り○")),"○逆張り売り",IF(W72&gt;=70,IF(Z72&lt;0,"◎反落確認","△過熱・様子見"),"相場上昇・見送り"))),IF(AND(T72&gt;=12,AD72="下降トレンド▼"),"★強い売り",IF(T72&gt;=12,"★強い売り",IF(AND(T72&gt;=8,OR(AE72="25日戻り売り★",AE72="5日戻り売り○")),"◎戻り売り",IF(T72&gt;=10,"○売り候補",IF(T72&gt;=6,"△注目",IF(T72&gt;=3,"様子見","見送り"))))))))</f>
        <v>#VALUE!</v>
      </c>
      <c r="AG72">
        <f t="shared" si="36"/>
        <v>0</v>
      </c>
      <c r="AH72">
        <f t="shared" si="37"/>
        <v>0</v>
      </c>
      <c r="AI72" s="376">
        <f t="array" ref="AI72">IF(C72="","",IFERROR((INDEX(終値!$E:$E,MATCH(TEXT(C72,"0"),終値!$A:$A,0))-INDEX(終値!$E:$CZ,MATCH(TEXT(C72,"0"),終値!$A:$A,0),$AN$2))/INDEX(終値!$E:$CZ,MATCH(TEXT(C72,"0"),終値!$A:$A,0),$AN$2)*100,""))</f>
        <v>-10.48469387755102</v>
      </c>
      <c r="AJ72" s="376">
        <f t="array" ref="AJ72">IFERROR((終値!$E$5-INDEX(終値!$E$5:$CZ$5,1,$AN$2))/INDEX(終値!$E$5:$CZ$5,1,$AN$2)*100,"")</f>
        <v>2.31989243802786</v>
      </c>
      <c r="AK72" s="377">
        <f t="shared" si="38"/>
        <v>-12.804586315578881</v>
      </c>
      <c r="AL72" s="375">
        <f t="shared" si="39"/>
        <v>3</v>
      </c>
      <c r="AO72" s="379" t="e">
        <f t="shared" si="40"/>
        <v>#VALUE!</v>
      </c>
      <c r="AP72" s="380" t="e">
        <f t="shared" si="41"/>
        <v>#VALUE!</v>
      </c>
      <c r="AQ72">
        <f>IF(C72&lt;&gt;"",始値!F69,"")</f>
        <v>3950</v>
      </c>
      <c r="AR72">
        <f>IF(C72&lt;&gt;"",高値!F69,"")</f>
        <v>3982</v>
      </c>
      <c r="AS72">
        <f>IF(C72&lt;&gt;"",安値!F69,"")</f>
        <v>3870</v>
      </c>
      <c r="AT72" t="str">
        <f t="shared" si="42"/>
        <v>通常</v>
      </c>
      <c r="AU72">
        <f t="shared" si="43"/>
        <v>0</v>
      </c>
    </row>
    <row r="73" spans="1:47" ht="14.25" customHeight="1">
      <c r="A73" s="327" t="str">
        <f>IF(銘柄管理!B77&lt;&gt;"",HYPERLINK("https://kabutan.jp/stock/?code="&amp;銘柄管理!B77,"株探"),"")</f>
        <v>株探</v>
      </c>
      <c r="B73" s="328"/>
      <c r="C73" s="477">
        <f>IF(銘柄管理!B77="","",銘柄管理!B77)</f>
        <v>7203</v>
      </c>
      <c r="D73" s="328" t="str">
        <f>IF(銘柄管理!C77="","",銘柄管理!C77)</f>
        <v/>
      </c>
      <c r="E73" s="329" t="str">
        <f>IF(C73&lt;&gt;"",_xll.RssMarket(C73,"現在値"),"")</f>
        <v/>
      </c>
      <c r="F73" s="329" t="str">
        <f>IF(C73&lt;&gt;"",_xll.RssMarket(C73,"始値"),"")</f>
        <v/>
      </c>
      <c r="G73" s="328">
        <f>IF(C73&lt;&gt;"",終値!F77,"")</f>
        <v>2875.5</v>
      </c>
      <c r="H73" s="329" t="str">
        <f>IF(C73&lt;&gt;"",_xll.RssMarket(C73,"高値"),"")</f>
        <v/>
      </c>
      <c r="I73" s="329" t="str">
        <f>IF(C73&lt;&gt;"",_xll.RssMarket(C73,"安値"),"")</f>
        <v/>
      </c>
      <c r="J73" s="329" t="str">
        <f>IF(C73&lt;&gt;"",_xll.RssMarket(C73,"出来高"),"")</f>
        <v/>
      </c>
      <c r="K73" s="329" t="str">
        <f>IF(C73&lt;&gt;"",_xll.RssMarket(C73,"年初来高値"),"")</f>
        <v/>
      </c>
      <c r="L73" s="330" t="str">
        <f t="shared" si="22"/>
        <v/>
      </c>
      <c r="M73" s="329">
        <f>IF(C73&lt;&gt;"",IFERROR(AVERAGE(出来高!E77:I77),""),"")</f>
        <v>24799300</v>
      </c>
      <c r="N73" s="329">
        <f>IF(C73&lt;&gt;"",IFERROR(AVERAGE(出来高!E77:AC77),""),"")</f>
        <v>26616732</v>
      </c>
      <c r="O73" s="331" t="str">
        <f t="shared" si="23"/>
        <v/>
      </c>
      <c r="P73" s="328" t="str">
        <f t="shared" si="24"/>
        <v/>
      </c>
      <c r="Q73" s="328" t="str">
        <f t="shared" si="25"/>
        <v/>
      </c>
      <c r="R73" s="329" t="str">
        <f t="shared" si="26"/>
        <v/>
      </c>
      <c r="S73" s="329" t="str">
        <f t="shared" si="27"/>
        <v/>
      </c>
      <c r="T73" s="328">
        <f t="shared" si="28"/>
        <v>0</v>
      </c>
      <c r="U73" s="328" t="str">
        <f t="shared" si="29"/>
        <v>除外</v>
      </c>
      <c r="V73" s="328" t="str">
        <f t="shared" si="30"/>
        <v/>
      </c>
      <c r="W73" s="332">
        <f t="array" ref="W73">IFERROR(100-100/(1+SUMPRODUCT((終値!F77:R77&gt;終値!G77:S77)*(終値!F77:R77-終値!G77:S77))/SUMPRODUCT((終値!F77:R77&lt;終値!G77:S77)*(終値!G77:S77-終値!F77:R77))),50)</f>
        <v>61.139896373056992</v>
      </c>
      <c r="X73" s="333">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17.896102913958657</v>
      </c>
      <c r="Y73" s="328" t="e">
        <f t="shared" si="31"/>
        <v>#VALUE!</v>
      </c>
      <c r="Z73" s="334" t="str">
        <f t="shared" si="32"/>
        <v/>
      </c>
      <c r="AA73" s="328" t="str">
        <f t="shared" si="33"/>
        <v/>
      </c>
      <c r="AB73" s="329">
        <f>IF(OR(C73="",C73="TOPX",終値!E77=""),"",IFERROR(((終値!E77*0.333)+(終値!F77*0.222)+(終値!G77*0.148)+(終値!H77*0.099)+(終値!I77*0.066))/(0.333+0.222+0.148+0.099+0.066),""))</f>
        <v>2866.5650921658985</v>
      </c>
      <c r="AC73" s="329">
        <f>IF(OR(C73="",C73="TOPX",終値!E77=""),"",IFERROR(SUMPRODUCT((終値!E77:AC77),{0.077,0.071,0.065,0.06,0.055,0.051,0.047,0.043,0.039,0.036,0.033,0.031,0.028,0.026,0.024,0.022,0.02,0.018,0.017,0.016,0.014,0.013,0.012,0.011,0.01})/SUM({0.077,0.071,0.065,0.06,0.055,0.051,0.047,0.043,0.039,0.036,0.033,0.031,0.028,0.026,0.024,0.022,0.02,0.018,0.017,0.016,0.014,0.013,0.012,0.011,0.01}),""))</f>
        <v>2825.0286054827166</v>
      </c>
      <c r="AD73" s="328" t="str">
        <f t="shared" si="34"/>
        <v>パーフェクト▲</v>
      </c>
      <c r="AE73" s="328" t="e">
        <f t="shared" si="35"/>
        <v>#VALUE!</v>
      </c>
      <c r="AF73" t="e">
        <f>IF(T73="","",IF(銘柄管理!$F$5="上昇▲",IF(AND(AD73="下降トレンド▼",OR(AE73="25日戻り売り★",AE73="5日戻り売り○")),"★逆張り売り",IF(AND(AD73="もみ合い→",OR(AE73="25日戻り売り★",AE73="5日戻り売り○")),"○逆張り売り",IF(W73&gt;=70,IF(Z73&lt;0,"◎反落確認","△過熱・様子見"),"相場上昇・見送り"))),IF(AND(T73&gt;=12,AD73="下降トレンド▼"),"★強い売り",IF(T73&gt;=12,"★強い売り",IF(AND(T73&gt;=8,OR(AE73="25日戻り売り★",AE73="5日戻り売り○")),"◎戻り売り",IF(T73&gt;=10,"○売り候補",IF(T73&gt;=6,"△注目",IF(T73&gt;=3,"様子見","見送り"))))))))</f>
        <v>#VALUE!</v>
      </c>
      <c r="AG73">
        <f t="shared" si="36"/>
        <v>0</v>
      </c>
      <c r="AH73">
        <f t="shared" si="37"/>
        <v>0</v>
      </c>
      <c r="AI73" s="376">
        <f t="array" ref="AI73">IF(C73="","",IFERROR((INDEX(終値!$E:$E,MATCH(TEXT(C73,"0"),終値!$A:$A,0))-INDEX(終値!$E:$CZ,MATCH(TEXT(C73,"0"),終値!$A:$A,0),$AN$2))/INDEX(終値!$E:$CZ,MATCH(TEXT(C73,"0"),終値!$A:$A,0),$AN$2)*100,""))</f>
        <v>3.0383795309168442</v>
      </c>
      <c r="AJ73" s="376">
        <f t="array" ref="AJ73">IFERROR((終値!$E$5-INDEX(終値!$E$5:$CZ$5,1,$AN$2))/INDEX(終値!$E$5:$CZ$5,1,$AN$2)*100,"")</f>
        <v>2.31989243802786</v>
      </c>
      <c r="AK73" s="377">
        <f t="shared" si="38"/>
        <v>0.71848709288898416</v>
      </c>
      <c r="AL73" s="375">
        <f t="shared" si="39"/>
        <v>-1</v>
      </c>
      <c r="AO73" s="379" t="e">
        <f t="shared" si="40"/>
        <v>#VALUE!</v>
      </c>
      <c r="AP73" s="380" t="e">
        <f t="shared" si="41"/>
        <v>#VALUE!</v>
      </c>
      <c r="AQ73">
        <f>IF(C73&lt;&gt;"",始値!F77,"")</f>
        <v>2857</v>
      </c>
      <c r="AR73">
        <f>IF(C73&lt;&gt;"",高値!F77,"")</f>
        <v>2875.5</v>
      </c>
      <c r="AS73">
        <f>IF(C73&lt;&gt;"",安値!F77,"")</f>
        <v>2837</v>
      </c>
      <c r="AT73" t="str">
        <f t="shared" si="42"/>
        <v>長い下ヒゲ(反発)</v>
      </c>
      <c r="AU73">
        <f t="shared" si="43"/>
        <v>-2</v>
      </c>
    </row>
    <row r="74" spans="1:47" ht="14.25" customHeight="1">
      <c r="A74" s="335" t="str">
        <f>IF(銘柄管理!B89&lt;&gt;"",HYPERLINK("https://kabutan.jp/stock/?code="&amp;銘柄管理!B89,"株探"),"")</f>
        <v>株探</v>
      </c>
      <c r="B74" s="215"/>
      <c r="C74" s="478">
        <f>IF(銘柄管理!B89="","",銘柄管理!B89)</f>
        <v>5892</v>
      </c>
      <c r="D74" s="215" t="str">
        <f>IF(銘柄管理!C89="","",銘柄管理!C89)</f>
        <v/>
      </c>
      <c r="E74" s="336" t="str">
        <f>IF(C74&lt;&gt;"",_xll.RssMarket(C74,"現在値"),"")</f>
        <v/>
      </c>
      <c r="F74" s="336" t="str">
        <f>IF(C74&lt;&gt;"",_xll.RssMarket(C74,"始値"),"")</f>
        <v/>
      </c>
      <c r="G74" s="215">
        <f>IF(C74&lt;&gt;"",終値!F89,"")</f>
        <v>2093</v>
      </c>
      <c r="H74" s="336" t="str">
        <f>IF(C74&lt;&gt;"",_xll.RssMarket(C74,"高値"),"")</f>
        <v/>
      </c>
      <c r="I74" s="336" t="str">
        <f>IF(C74&lt;&gt;"",_xll.RssMarket(C74,"安値"),"")</f>
        <v/>
      </c>
      <c r="J74" s="336" t="str">
        <f>IF(C74&lt;&gt;"",_xll.RssMarket(C74,"出来高"),"")</f>
        <v/>
      </c>
      <c r="K74" s="336" t="str">
        <f>IF(C74&lt;&gt;"",_xll.RssMarket(C74,"年初来高値"),"")</f>
        <v/>
      </c>
      <c r="L74" s="337" t="str">
        <f t="shared" si="22"/>
        <v/>
      </c>
      <c r="M74" s="336">
        <f>IF(C74&lt;&gt;"",IFERROR(AVERAGE(出来高!E89:I89),""),"")</f>
        <v>65860</v>
      </c>
      <c r="N74" s="336">
        <f>IF(C74&lt;&gt;"",IFERROR(AVERAGE(出来高!E89:AC89),""),"")</f>
        <v>56900</v>
      </c>
      <c r="O74" s="338" t="str">
        <f t="shared" si="23"/>
        <v/>
      </c>
      <c r="P74" s="215" t="str">
        <f t="shared" si="24"/>
        <v/>
      </c>
      <c r="Q74" s="215" t="str">
        <f t="shared" si="25"/>
        <v/>
      </c>
      <c r="R74" s="336" t="str">
        <f t="shared" si="26"/>
        <v/>
      </c>
      <c r="S74" s="336" t="str">
        <f t="shared" si="27"/>
        <v/>
      </c>
      <c r="T74" s="328">
        <f t="shared" si="28"/>
        <v>0</v>
      </c>
      <c r="U74" s="215" t="str">
        <f t="shared" si="29"/>
        <v>除外</v>
      </c>
      <c r="V74" s="215" t="str">
        <f t="shared" si="30"/>
        <v/>
      </c>
      <c r="W74" s="339">
        <f t="array" ref="W74">IFERROR(100-100/(1+SUMPRODUCT((終値!F89:R89&gt;終値!G89:S89)*(終値!F89:R89-終値!G89:S89))/SUMPRODUCT((終値!F89:R89&lt;終値!G89:S89)*(終値!G89:S89-終値!F89:R89))),50)</f>
        <v>60.696517412935329</v>
      </c>
      <c r="X74" s="340">
        <f>IF(C74&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2.8819908533314447</v>
      </c>
      <c r="Y74" s="215" t="e">
        <f t="shared" si="31"/>
        <v>#VALUE!</v>
      </c>
      <c r="Z74" s="341" t="str">
        <f t="shared" si="32"/>
        <v/>
      </c>
      <c r="AA74" s="215" t="str">
        <f t="shared" si="33"/>
        <v/>
      </c>
      <c r="AB74" s="336">
        <f>IF(OR(C74="",C74="TOPX",終値!E89=""),"",IFERROR(((終値!E89*0.333)+(終値!F89*0.222)+(終値!G89*0.148)+(終値!H89*0.099)+(終値!I89*0.066))/(0.333+0.222+0.148+0.099+0.066),""))</f>
        <v>2062.0806451612902</v>
      </c>
      <c r="AC74" s="336">
        <f>IF(OR(C74="",C74="TOPX",終値!E89=""),"",IFERROR(SUMPRODUCT((終値!E89:AC89),{0.077,0.071,0.065,0.06,0.055,0.051,0.047,0.043,0.039,0.036,0.033,0.031,0.028,0.026,0.024,0.022,0.02,0.018,0.017,0.016,0.014,0.013,0.012,0.011,0.01})/SUM({0.077,0.071,0.065,0.06,0.055,0.051,0.047,0.043,0.039,0.036,0.033,0.031,0.028,0.026,0.024,0.022,0.02,0.018,0.017,0.016,0.014,0.013,0.012,0.011,0.01}),""))</f>
        <v>2065.892729439809</v>
      </c>
      <c r="AD74" s="215" t="str">
        <f t="shared" si="34"/>
        <v>上昇トレンド▲</v>
      </c>
      <c r="AE74" s="215" t="e">
        <f t="shared" si="35"/>
        <v>#VALUE!</v>
      </c>
      <c r="AF74" t="e">
        <f>IF(T74="","",IF(銘柄管理!$F$5="上昇▲",IF(AND(AD74="下降トレンド▼",OR(AE74="25日戻り売り★",AE74="5日戻り売り○")),"★逆張り売り",IF(AND(AD74="もみ合い→",OR(AE74="25日戻り売り★",AE74="5日戻り売り○")),"○逆張り売り",IF(W74&gt;=70,IF(Z74&lt;0,"◎反落確認","△過熱・様子見"),"相場上昇・見送り"))),IF(AND(T74&gt;=12,AD74="下降トレンド▼"),"★強い売り",IF(T74&gt;=12,"★強い売り",IF(AND(T74&gt;=8,OR(AE74="25日戻り売り★",AE74="5日戻り売り○")),"◎戻り売り",IF(T74&gt;=10,"○売り候補",IF(T74&gt;=6,"△注目",IF(T74&gt;=3,"様子見","見送り"))))))))</f>
        <v>#VALUE!</v>
      </c>
      <c r="AG74">
        <f t="shared" si="36"/>
        <v>0</v>
      </c>
      <c r="AH74">
        <f t="shared" si="37"/>
        <v>0</v>
      </c>
      <c r="AI74" s="376">
        <f t="array" ref="AI74">IF(C74="","",IFERROR((INDEX(終値!$E:$E,MATCH(TEXT(C74,"0"),終値!$A:$A,0))-INDEX(終値!$E:$CZ,MATCH(TEXT(C74,"0"),終値!$A:$A,0),$AN$2))/INDEX(終値!$E:$CZ,MATCH(TEXT(C74,"0"),終値!$A:$A,0),$AN$2)*100,""))</f>
        <v>-8.8539325842696623</v>
      </c>
      <c r="AJ74" s="376">
        <f t="array" ref="AJ74">IFERROR((終値!$E$5-INDEX(終値!$E$5:$CZ$5,1,$AN$2))/INDEX(終値!$E$5:$CZ$5,1,$AN$2)*100,"")</f>
        <v>2.31989243802786</v>
      </c>
      <c r="AK74" s="377">
        <f t="shared" si="38"/>
        <v>-11.173825022297523</v>
      </c>
      <c r="AL74" s="375">
        <f t="shared" si="39"/>
        <v>3</v>
      </c>
      <c r="AO74" s="379" t="e">
        <f t="shared" si="40"/>
        <v>#VALUE!</v>
      </c>
      <c r="AP74" s="380" t="e">
        <f t="shared" si="41"/>
        <v>#VALUE!</v>
      </c>
      <c r="AQ74">
        <f>IF(C74&lt;&gt;"",始値!F89,"")</f>
        <v>2100</v>
      </c>
      <c r="AR74">
        <f>IF(C74&lt;&gt;"",高値!F89,"")</f>
        <v>2118</v>
      </c>
      <c r="AS74">
        <f>IF(C74&lt;&gt;"",安値!F89,"")</f>
        <v>2046</v>
      </c>
      <c r="AT74" t="str">
        <f t="shared" si="42"/>
        <v>通常</v>
      </c>
      <c r="AU74">
        <f t="shared" si="43"/>
        <v>0</v>
      </c>
    </row>
    <row r="75" spans="1:47" ht="14.25" customHeight="1">
      <c r="A75" s="327" t="str">
        <f>IF(銘柄管理!B97&lt;&gt;"",HYPERLINK("https://kabutan.jp/stock/?code="&amp;銘柄管理!B97,"株探"),"")</f>
        <v>株探</v>
      </c>
      <c r="B75" s="328"/>
      <c r="C75" s="477">
        <f>IF(銘柄管理!B97="","",銘柄管理!B97)</f>
        <v>4182</v>
      </c>
      <c r="D75" s="328" t="str">
        <f>IF(銘柄管理!C97="","",銘柄管理!C97)</f>
        <v/>
      </c>
      <c r="E75" s="329" t="str">
        <f>IF(C75&lt;&gt;"",_xll.RssMarket(C75,"現在値"),"")</f>
        <v/>
      </c>
      <c r="F75" s="329" t="str">
        <f>IF(C75&lt;&gt;"",_xll.RssMarket(C75,"始値"),"")</f>
        <v/>
      </c>
      <c r="G75" s="328">
        <f>IF(C75&lt;&gt;"",終値!F97,"")</f>
        <v>4762</v>
      </c>
      <c r="H75" s="329" t="str">
        <f>IF(C75&lt;&gt;"",_xll.RssMarket(C75,"高値"),"")</f>
        <v/>
      </c>
      <c r="I75" s="329" t="str">
        <f>IF(C75&lt;&gt;"",_xll.RssMarket(C75,"安値"),"")</f>
        <v/>
      </c>
      <c r="J75" s="329" t="str">
        <f>IF(C75&lt;&gt;"",_xll.RssMarket(C75,"出来高"),"")</f>
        <v/>
      </c>
      <c r="K75" s="329" t="str">
        <f>IF(C75&lt;&gt;"",_xll.RssMarket(C75,"年初来高値"),"")</f>
        <v/>
      </c>
      <c r="L75" s="330" t="str">
        <f t="shared" si="22"/>
        <v/>
      </c>
      <c r="M75" s="329">
        <f>IF(C75&lt;&gt;"",IFERROR(AVERAGE(出来高!E97:I97),""),"")</f>
        <v>959580</v>
      </c>
      <c r="N75" s="329">
        <f>IF(C75&lt;&gt;"",IFERROR(AVERAGE(出来高!E97:AC97),""),"")</f>
        <v>1182404</v>
      </c>
      <c r="O75" s="331" t="str">
        <f t="shared" si="23"/>
        <v/>
      </c>
      <c r="P75" s="328" t="str">
        <f t="shared" si="24"/>
        <v/>
      </c>
      <c r="Q75" s="328" t="str">
        <f t="shared" si="25"/>
        <v/>
      </c>
      <c r="R75" s="329" t="str">
        <f t="shared" si="26"/>
        <v/>
      </c>
      <c r="S75" s="329" t="str">
        <f t="shared" si="27"/>
        <v/>
      </c>
      <c r="T75" s="328">
        <f t="shared" si="28"/>
        <v>0</v>
      </c>
      <c r="U75" s="328" t="str">
        <f t="shared" si="29"/>
        <v>除外</v>
      </c>
      <c r="V75" s="328" t="str">
        <f t="shared" si="30"/>
        <v/>
      </c>
      <c r="W75" s="332">
        <f t="array" ref="W75">IFERROR(100-100/(1+SUMPRODUCT((終値!F97:R97&gt;終値!G97:S97)*(終値!F97:R97-終値!G97:S97))/SUMPRODUCT((終値!F97:R97&lt;終値!G97:S97)*(終値!G97:S97-終値!F97:R97))),50)</f>
        <v>33.900441083805916</v>
      </c>
      <c r="X75" s="333">
        <f>IF(C75&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-85.765577796440084</v>
      </c>
      <c r="Y75" s="328" t="e">
        <f t="shared" si="31"/>
        <v>#VALUE!</v>
      </c>
      <c r="Z75" s="334" t="str">
        <f t="shared" si="32"/>
        <v/>
      </c>
      <c r="AA75" s="328" t="str">
        <f t="shared" si="33"/>
        <v/>
      </c>
      <c r="AB75" s="329">
        <f>IF(OR(C75="",C75="TOPX",終値!E97=""),"",IFERROR(((終値!E97*0.333)+(終値!F97*0.222)+(終値!G97*0.148)+(終値!H97*0.099)+(終値!I97*0.066))/(0.333+0.222+0.148+0.099+0.066),""))</f>
        <v>4546.2177419354839</v>
      </c>
      <c r="AC75" s="329">
        <f>IF(OR(C75="",C75="TOPX",終値!E97=""),"",IFERROR(SUMPRODUCT((終値!E97:AC97),{0.077,0.071,0.065,0.06,0.055,0.051,0.047,0.043,0.039,0.036,0.033,0.031,0.028,0.026,0.024,0.022,0.02,0.018,0.017,0.016,0.014,0.013,0.012,0.011,0.01})/SUM({0.077,0.071,0.065,0.06,0.055,0.051,0.047,0.043,0.039,0.036,0.033,0.031,0.028,0.026,0.024,0.022,0.02,0.018,0.017,0.016,0.014,0.013,0.012,0.011,0.01}),""))</f>
        <v>4824.7794994040514</v>
      </c>
      <c r="AD75" s="328" t="str">
        <f t="shared" si="34"/>
        <v>上昇トレンド▲</v>
      </c>
      <c r="AE75" s="328" t="e">
        <f t="shared" si="35"/>
        <v>#VALUE!</v>
      </c>
      <c r="AF75" t="e">
        <f>IF(T75="","",IF(銘柄管理!$F$5="上昇▲",IF(AND(AD75="下降トレンド▼",OR(AE75="25日戻り売り★",AE75="5日戻り売り○")),"★逆張り売り",IF(AND(AD75="もみ合い→",OR(AE75="25日戻り売り★",AE75="5日戻り売り○")),"○逆張り売り",IF(W75&gt;=70,IF(Z75&lt;0,"◎反落確認","△過熱・様子見"),"相場上昇・見送り"))),IF(AND(T75&gt;=12,AD75="下降トレンド▼"),"★強い売り",IF(T75&gt;=12,"★強い売り",IF(AND(T75&gt;=8,OR(AE75="25日戻り売り★",AE75="5日戻り売り○")),"◎戻り売り",IF(T75&gt;=10,"○売り候補",IF(T75&gt;=6,"△注目",IF(T75&gt;=3,"様子見","見送り"))))))))</f>
        <v>#VALUE!</v>
      </c>
      <c r="AG75">
        <f t="shared" si="36"/>
        <v>0</v>
      </c>
      <c r="AH75">
        <f t="shared" si="37"/>
        <v>0</v>
      </c>
      <c r="AI75" s="376">
        <f t="array" ref="AI75">IF(C75="","",IFERROR((INDEX(終値!$E:$E,MATCH(TEXT(C75,"0"),終値!$A:$A,0))-INDEX(終値!$E:$CZ,MATCH(TEXT(C75,"0"),終値!$A:$A,0),$AN$2))/INDEX(終値!$E:$CZ,MATCH(TEXT(C75,"0"),終値!$A:$A,0),$AN$2)*100,""))</f>
        <v>-7.3582887700534751</v>
      </c>
      <c r="AJ75" s="376">
        <f t="array" ref="AJ75">IFERROR((終値!$E$5-INDEX(終値!$E$5:$CZ$5,1,$AN$2))/INDEX(終値!$E$5:$CZ$5,1,$AN$2)*100,"")</f>
        <v>2.31989243802786</v>
      </c>
      <c r="AK75" s="377">
        <f t="shared" si="38"/>
        <v>-9.6781812080813356</v>
      </c>
      <c r="AL75" s="375">
        <f t="shared" si="39"/>
        <v>3</v>
      </c>
      <c r="AO75" s="379" t="e">
        <f t="shared" si="40"/>
        <v>#VALUE!</v>
      </c>
      <c r="AP75" s="380" t="e">
        <f t="shared" si="41"/>
        <v>#VALUE!</v>
      </c>
      <c r="AQ75">
        <f>IF(C75&lt;&gt;"",始値!F97,"")</f>
        <v>4703</v>
      </c>
      <c r="AR75">
        <f>IF(C75&lt;&gt;"",高値!F97,"")</f>
        <v>4783</v>
      </c>
      <c r="AS75">
        <f>IF(C75&lt;&gt;"",安値!F97,"")</f>
        <v>4640</v>
      </c>
      <c r="AT75" t="str">
        <f t="shared" si="42"/>
        <v>通常</v>
      </c>
      <c r="AU75">
        <f t="shared" si="43"/>
        <v>0</v>
      </c>
    </row>
    <row r="76" spans="1:47" ht="14.25" customHeight="1">
      <c r="A76" s="335" t="str">
        <f>IF(銘柄管理!B106&lt;&gt;"",HYPERLINK("https://kabutan.jp/stock/?code="&amp;銘柄管理!B106,"株探"),"")</f>
        <v>株探</v>
      </c>
      <c r="B76" s="215"/>
      <c r="C76" s="478">
        <f>IF(銘柄管理!B106="","",銘柄管理!B106)</f>
        <v>7021</v>
      </c>
      <c r="D76" s="215" t="str">
        <f>IF(銘柄管理!C106="","",銘柄管理!C106)</f>
        <v/>
      </c>
      <c r="E76" s="336" t="str">
        <f>IF(C76&lt;&gt;"",_xll.RssMarket(C76,"現在値"),"")</f>
        <v/>
      </c>
      <c r="F76" s="336" t="str">
        <f>IF(C76&lt;&gt;"",_xll.RssMarket(C76,"始値"),"")</f>
        <v/>
      </c>
      <c r="G76" s="215">
        <f>IF(C76&lt;&gt;"",終値!F106,"")</f>
        <v>1846</v>
      </c>
      <c r="H76" s="336" t="str">
        <f>IF(C76&lt;&gt;"",_xll.RssMarket(C76,"高値"),"")</f>
        <v/>
      </c>
      <c r="I76" s="336" t="str">
        <f>IF(C76&lt;&gt;"",_xll.RssMarket(C76,"安値"),"")</f>
        <v/>
      </c>
      <c r="J76" s="336" t="str">
        <f>IF(C76&lt;&gt;"",_xll.RssMarket(C76,"出来高"),"")</f>
        <v/>
      </c>
      <c r="K76" s="336" t="str">
        <f>IF(C76&lt;&gt;"",_xll.RssMarket(C76,"年初来高値"),"")</f>
        <v/>
      </c>
      <c r="L76" s="337" t="str">
        <f t="shared" si="22"/>
        <v/>
      </c>
      <c r="M76" s="336">
        <f>IF(C76&lt;&gt;"",IFERROR(AVERAGE(出来高!E106:I106),""),"")</f>
        <v>1480</v>
      </c>
      <c r="N76" s="336">
        <f>IF(C76&lt;&gt;"",IFERROR(AVERAGE(出来高!E106:AC106),""),"")</f>
        <v>1368</v>
      </c>
      <c r="O76" s="338" t="str">
        <f t="shared" si="23"/>
        <v/>
      </c>
      <c r="P76" s="215" t="str">
        <f t="shared" si="24"/>
        <v/>
      </c>
      <c r="Q76" s="215" t="str">
        <f t="shared" si="25"/>
        <v/>
      </c>
      <c r="R76" s="336" t="str">
        <f t="shared" si="26"/>
        <v/>
      </c>
      <c r="S76" s="336" t="str">
        <f t="shared" si="27"/>
        <v/>
      </c>
      <c r="T76" s="328">
        <f t="shared" si="28"/>
        <v>0</v>
      </c>
      <c r="U76" s="215" t="str">
        <f t="shared" si="29"/>
        <v>除外</v>
      </c>
      <c r="V76" s="215" t="str">
        <f t="shared" si="30"/>
        <v/>
      </c>
      <c r="W76" s="339">
        <f t="array" ref="W76">IFERROR(100-100/(1+SUMPRODUCT((終値!F106:R106&gt;終値!G106:S106)*(終値!F106:R106-終値!G106:S106))/SUMPRODUCT((終値!F106:R106&lt;終値!G106:S106)*(終値!G106:S106-終値!F106:R106))),50)</f>
        <v>65.895953757225442</v>
      </c>
      <c r="X76" s="340">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8.6543788981805392</v>
      </c>
      <c r="Y76" s="215" t="e">
        <f t="shared" si="31"/>
        <v>#VALUE!</v>
      </c>
      <c r="Z76" s="341" t="str">
        <f t="shared" si="32"/>
        <v/>
      </c>
      <c r="AA76" s="215" t="str">
        <f t="shared" si="33"/>
        <v/>
      </c>
      <c r="AB76" s="336">
        <f>IF(OR(C76="",C76="TOPX",終値!E106=""),"",IFERROR(((終値!E106*0.333)+(終値!F106*0.222)+(終値!G106*0.148)+(終値!H106*0.099)+(終値!I106*0.066))/(0.333+0.222+0.148+0.099+0.066),""))</f>
        <v>1853.963133640553</v>
      </c>
      <c r="AC76" s="336">
        <f>IF(OR(C76="",C76="TOPX",終値!E106=""),"",IFERROR(SUMPRODUCT((終値!E106:AC106),{0.077,0.071,0.065,0.06,0.055,0.051,0.047,0.043,0.039,0.036,0.033,0.031,0.028,0.026,0.024,0.022,0.02,0.018,0.017,0.016,0.014,0.013,0.012,0.011,0.01})/SUM({0.077,0.071,0.065,0.06,0.055,0.051,0.047,0.043,0.039,0.036,0.033,0.031,0.028,0.026,0.024,0.022,0.02,0.018,0.017,0.016,0.014,0.013,0.012,0.011,0.01}),""))</f>
        <v>1820.3766388557804</v>
      </c>
      <c r="AD76" s="215" t="str">
        <f t="shared" si="34"/>
        <v>パーフェクト▲</v>
      </c>
      <c r="AE76" s="215" t="e">
        <f t="shared" si="35"/>
        <v>#VALUE!</v>
      </c>
      <c r="AF76" t="e">
        <f>IF(T76="","",IF(銘柄管理!$F$5="上昇▲",IF(AND(AD76="下降トレンド▼",OR(AE76="25日戻り売り★",AE76="5日戻り売り○")),"★逆張り売り",IF(AND(AD76="もみ合い→",OR(AE76="25日戻り売り★",AE76="5日戻り売り○")),"○逆張り売り",IF(W76&gt;=70,IF(Z76&lt;0,"◎反落確認","△過熱・様子見"),"相場上昇・見送り"))),IF(AND(T76&gt;=12,AD76="下降トレンド▼"),"★強い売り",IF(T76&gt;=12,"★強い売り",IF(AND(T76&gt;=8,OR(AE76="25日戻り売り★",AE76="5日戻り売り○")),"◎戻り売り",IF(T76&gt;=10,"○売り候補",IF(T76&gt;=6,"△注目",IF(T76&gt;=3,"様子見","見送り"))))))))</f>
        <v>#VALUE!</v>
      </c>
      <c r="AG76">
        <f t="shared" si="36"/>
        <v>0</v>
      </c>
      <c r="AH76">
        <f t="shared" si="37"/>
        <v>0</v>
      </c>
      <c r="AI76" s="376">
        <f t="array" ref="AI76">IF(C76="","",IFERROR((INDEX(終値!$E:$E,MATCH(TEXT(C76,"0"),終値!$A:$A,0))-INDEX(終値!$E:$CZ,MATCH(TEXT(C76,"0"),終値!$A:$A,0),$AN$2))/INDEX(終値!$E:$CZ,MATCH(TEXT(C76,"0"),終値!$A:$A,0),$AN$2)*100,""))</f>
        <v>5.8356940509915018</v>
      </c>
      <c r="AJ76" s="376">
        <f t="array" ref="AJ76">IFERROR((終値!$E$5-INDEX(終値!$E$5:$CZ$5,1,$AN$2))/INDEX(終値!$E$5:$CZ$5,1,$AN$2)*100,"")</f>
        <v>2.31989243802786</v>
      </c>
      <c r="AK76" s="377">
        <f t="shared" si="38"/>
        <v>3.5158016129636418</v>
      </c>
      <c r="AL76" s="375">
        <f t="shared" si="39"/>
        <v>-2</v>
      </c>
      <c r="AO76" s="379" t="e">
        <f t="shared" si="40"/>
        <v>#VALUE!</v>
      </c>
      <c r="AP76" s="380" t="e">
        <f t="shared" si="41"/>
        <v>#VALUE!</v>
      </c>
      <c r="AQ76">
        <f>IF(C76&lt;&gt;"",始値!F106,"")</f>
        <v>1859</v>
      </c>
      <c r="AR76">
        <f>IF(C76&lt;&gt;"",高値!F106,"")</f>
        <v>1877</v>
      </c>
      <c r="AS76">
        <f>IF(C76&lt;&gt;"",安値!F106,"")</f>
        <v>1836</v>
      </c>
      <c r="AT76" t="str">
        <f t="shared" si="42"/>
        <v>通常</v>
      </c>
      <c r="AU76">
        <f t="shared" si="43"/>
        <v>0</v>
      </c>
    </row>
    <row r="77" spans="1:47" ht="14.25" customHeight="1">
      <c r="A77" s="327" t="str">
        <f>IF(銘柄管理!B113&lt;&gt;"",HYPERLINK("https://kabutan.jp/stock/?code="&amp;銘柄管理!B113,"株探"),"")</f>
        <v>株探</v>
      </c>
      <c r="B77" s="328"/>
      <c r="C77" s="477">
        <f>IF(銘柄管理!B113="","",銘柄管理!B113)</f>
        <v>9449</v>
      </c>
      <c r="D77" s="328" t="str">
        <f>IF(銘柄管理!C113="","",銘柄管理!C113)</f>
        <v/>
      </c>
      <c r="E77" s="329" t="str">
        <f>IF(C77&lt;&gt;"",_xll.RssMarket(C77,"現在値"),"")</f>
        <v/>
      </c>
      <c r="F77" s="329" t="str">
        <f>IF(C77&lt;&gt;"",_xll.RssMarket(C77,"始値"),"")</f>
        <v/>
      </c>
      <c r="G77" s="328">
        <f>IF(C77&lt;&gt;"",終値!F113,"")</f>
        <v>4038</v>
      </c>
      <c r="H77" s="329" t="str">
        <f>IF(C77&lt;&gt;"",_xll.RssMarket(C77,"高値"),"")</f>
        <v/>
      </c>
      <c r="I77" s="329" t="str">
        <f>IF(C77&lt;&gt;"",_xll.RssMarket(C77,"安値"),"")</f>
        <v/>
      </c>
      <c r="J77" s="329" t="str">
        <f>IF(C77&lt;&gt;"",_xll.RssMarket(C77,"出来高"),"")</f>
        <v/>
      </c>
      <c r="K77" s="329" t="str">
        <f>IF(C77&lt;&gt;"",_xll.RssMarket(C77,"年初来高値"),"")</f>
        <v/>
      </c>
      <c r="L77" s="330" t="str">
        <f t="shared" si="22"/>
        <v/>
      </c>
      <c r="M77" s="329">
        <f>IF(C77&lt;&gt;"",IFERROR(AVERAGE(出来高!E113:I113),""),"")</f>
        <v>494480</v>
      </c>
      <c r="N77" s="329">
        <f>IF(C77&lt;&gt;"",IFERROR(AVERAGE(出来高!E113:AC113),""),"")</f>
        <v>514160</v>
      </c>
      <c r="O77" s="331" t="str">
        <f t="shared" si="23"/>
        <v/>
      </c>
      <c r="P77" s="328" t="str">
        <f t="shared" si="24"/>
        <v/>
      </c>
      <c r="Q77" s="328" t="str">
        <f t="shared" si="25"/>
        <v/>
      </c>
      <c r="R77" s="329" t="str">
        <f t="shared" si="26"/>
        <v/>
      </c>
      <c r="S77" s="329" t="str">
        <f t="shared" si="27"/>
        <v/>
      </c>
      <c r="T77" s="328">
        <f t="shared" si="28"/>
        <v>0</v>
      </c>
      <c r="U77" s="328" t="str">
        <f t="shared" si="29"/>
        <v>除外</v>
      </c>
      <c r="V77" s="328" t="str">
        <f t="shared" si="30"/>
        <v/>
      </c>
      <c r="W77" s="332">
        <f t="array" ref="W77">IFERROR(100-100/(1+SUMPRODUCT((終値!F113:R113&gt;終値!G113:S113)*(終値!F113:R113-終値!G113:S113))/SUMPRODUCT((終値!F113:R113&lt;終値!G113:S113)*(終値!G113:S113-終値!F113:R113))),50)</f>
        <v>92.020725388601036</v>
      </c>
      <c r="X77" s="333">
        <f>IF(C77&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105.42852224376293</v>
      </c>
      <c r="Y77" s="328" t="e">
        <f t="shared" si="31"/>
        <v>#VALUE!</v>
      </c>
      <c r="Z77" s="334" t="str">
        <f t="shared" si="32"/>
        <v/>
      </c>
      <c r="AA77" s="328" t="str">
        <f t="shared" si="33"/>
        <v/>
      </c>
      <c r="AB77" s="329">
        <f>IF(OR(C77="",C77="TOPX",終値!E113=""),"",IFERROR(((終値!E113*0.333)+(終値!F113*0.222)+(終値!G113*0.148)+(終値!H113*0.099)+(終値!I113*0.066))/(0.333+0.222+0.148+0.099+0.066),""))</f>
        <v>4012.8064516129029</v>
      </c>
      <c r="AC77" s="329">
        <f>IF(OR(C77="",C77="TOPX",終値!E113=""),"",IFERROR(SUMPRODUCT((終値!E113:AC113),{0.077,0.071,0.065,0.06,0.055,0.051,0.047,0.043,0.039,0.036,0.033,0.031,0.028,0.026,0.024,0.022,0.02,0.018,0.017,0.016,0.014,0.013,0.012,0.011,0.01})/SUM({0.077,0.071,0.065,0.06,0.055,0.051,0.047,0.043,0.039,0.036,0.033,0.031,0.028,0.026,0.024,0.022,0.02,0.018,0.017,0.016,0.014,0.013,0.012,0.011,0.01}),""))</f>
        <v>3659.5184743742548</v>
      </c>
      <c r="AD77" s="328" t="str">
        <f t="shared" si="34"/>
        <v>パーフェクト▲</v>
      </c>
      <c r="AE77" s="328" t="e">
        <f t="shared" si="35"/>
        <v>#VALUE!</v>
      </c>
      <c r="AF77" t="e">
        <f>IF(T77="","",IF(銘柄管理!$F$5="上昇▲",IF(AND(AD77="下降トレンド▼",OR(AE77="25日戻り売り★",AE77="5日戻り売り○")),"★逆張り売り",IF(AND(AD77="もみ合い→",OR(AE77="25日戻り売り★",AE77="5日戻り売り○")),"○逆張り売り",IF(W77&gt;=70,IF(Z77&lt;0,"◎反落確認","△過熱・様子見"),"相場上昇・見送り"))),IF(AND(T77&gt;=12,AD77="下降トレンド▼"),"★強い売り",IF(T77&gt;=12,"★強い売り",IF(AND(T77&gt;=8,OR(AE77="25日戻り売り★",AE77="5日戻り売り○")),"◎戻り売り",IF(T77&gt;=10,"○売り候補",IF(T77&gt;=6,"△注目",IF(T77&gt;=3,"様子見","見送り"))))))))</f>
        <v>#VALUE!</v>
      </c>
      <c r="AG77">
        <f t="shared" si="36"/>
        <v>0</v>
      </c>
      <c r="AH77">
        <f t="shared" si="37"/>
        <v>0</v>
      </c>
      <c r="AI77" s="376">
        <f t="array" ref="AI77">IF(C77="","",IFERROR((INDEX(終値!$E:$E,MATCH(TEXT(C77,"0"),終値!$A:$A,0))-INDEX(終値!$E:$CZ,MATCH(TEXT(C77,"0"),終値!$A:$A,0),$AN$2))/INDEX(終値!$E:$CZ,MATCH(TEXT(C77,"0"),終値!$A:$A,0),$AN$2)*100,""))</f>
        <v>25.572755417956657</v>
      </c>
      <c r="AJ77" s="376">
        <f t="array" ref="AJ77">IFERROR((終値!$E$5-INDEX(終値!$E$5:$CZ$5,1,$AN$2))/INDEX(終値!$E$5:$CZ$5,1,$AN$2)*100,"")</f>
        <v>2.31989243802786</v>
      </c>
      <c r="AK77" s="377">
        <f t="shared" si="38"/>
        <v>23.252862979928796</v>
      </c>
      <c r="AL77" s="375">
        <f t="shared" si="39"/>
        <v>-2</v>
      </c>
      <c r="AO77" s="379" t="e">
        <f t="shared" si="40"/>
        <v>#VALUE!</v>
      </c>
      <c r="AP77" s="380" t="e">
        <f t="shared" si="41"/>
        <v>#VALUE!</v>
      </c>
      <c r="AQ77">
        <f>IF(C77&lt;&gt;"",始値!F113,"")</f>
        <v>4000</v>
      </c>
      <c r="AR77">
        <f>IF(C77&lt;&gt;"",高値!F113,"")</f>
        <v>4058</v>
      </c>
      <c r="AS77">
        <f>IF(C77&lt;&gt;"",安値!F113,"")</f>
        <v>3951</v>
      </c>
      <c r="AT77" t="str">
        <f t="shared" si="42"/>
        <v>通常</v>
      </c>
      <c r="AU77">
        <f t="shared" si="43"/>
        <v>0</v>
      </c>
    </row>
    <row r="78" spans="1:47" ht="14.25" customHeight="1">
      <c r="A78" s="335" t="str">
        <f>IF(銘柄管理!B119&lt;&gt;"",HYPERLINK("https://kabutan.jp/stock/?code="&amp;銘柄管理!B119,"株探"),"")</f>
        <v>株探</v>
      </c>
      <c r="B78" s="215"/>
      <c r="C78" s="478">
        <f>IF(銘柄管理!B119="","",銘柄管理!B119)</f>
        <v>9404</v>
      </c>
      <c r="D78" s="215" t="str">
        <f>IF(銘柄管理!C119="","",銘柄管理!C119)</f>
        <v/>
      </c>
      <c r="E78" s="336" t="str">
        <f>IF(C78&lt;&gt;"",_xll.RssMarket(C78,"現在値"),"")</f>
        <v/>
      </c>
      <c r="F78" s="336" t="str">
        <f>IF(C78&lt;&gt;"",_xll.RssMarket(C78,"始値"),"")</f>
        <v/>
      </c>
      <c r="G78" s="215">
        <f>IF(C78&lt;&gt;"",終値!F119,"")</f>
        <v>2868.5</v>
      </c>
      <c r="H78" s="336" t="str">
        <f>IF(C78&lt;&gt;"",_xll.RssMarket(C78,"高値"),"")</f>
        <v/>
      </c>
      <c r="I78" s="336" t="str">
        <f>IF(C78&lt;&gt;"",_xll.RssMarket(C78,"安値"),"")</f>
        <v/>
      </c>
      <c r="J78" s="336" t="str">
        <f>IF(C78&lt;&gt;"",_xll.RssMarket(C78,"出来高"),"")</f>
        <v/>
      </c>
      <c r="K78" s="336" t="str">
        <f>IF(C78&lt;&gt;"",_xll.RssMarket(C78,"年初来高値"),"")</f>
        <v/>
      </c>
      <c r="L78" s="337" t="str">
        <f t="shared" si="22"/>
        <v/>
      </c>
      <c r="M78" s="336">
        <f>IF(C78&lt;&gt;"",IFERROR(AVERAGE(出来高!E119:I119),""),"")</f>
        <v>489620</v>
      </c>
      <c r="N78" s="336">
        <f>IF(C78&lt;&gt;"",IFERROR(AVERAGE(出来高!E119:AC119),""),"")</f>
        <v>534904</v>
      </c>
      <c r="O78" s="338" t="str">
        <f t="shared" si="23"/>
        <v/>
      </c>
      <c r="P78" s="215" t="str">
        <f t="shared" si="24"/>
        <v/>
      </c>
      <c r="Q78" s="215" t="str">
        <f t="shared" si="25"/>
        <v/>
      </c>
      <c r="R78" s="336" t="str">
        <f t="shared" si="26"/>
        <v/>
      </c>
      <c r="S78" s="336" t="str">
        <f t="shared" si="27"/>
        <v/>
      </c>
      <c r="T78" s="328">
        <f t="shared" si="28"/>
        <v>0</v>
      </c>
      <c r="U78" s="215" t="str">
        <f t="shared" si="29"/>
        <v>除外</v>
      </c>
      <c r="V78" s="215" t="str">
        <f t="shared" si="30"/>
        <v/>
      </c>
      <c r="W78" s="339">
        <f t="array" ref="W78">IFERROR(100-100/(1+SUMPRODUCT((終値!F119:R119&gt;終値!G119:S119)*(終値!F119:R119-終値!G119:S119))/SUMPRODUCT((終値!F119:R119&lt;終値!G119:S119)*(終値!G119:S119-終値!F119:R119))),50)</f>
        <v>78.145695364238406</v>
      </c>
      <c r="X78" s="340">
        <f>IF(C78&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19.818315428736241</v>
      </c>
      <c r="Y78" s="215" t="e">
        <f t="shared" si="31"/>
        <v>#VALUE!</v>
      </c>
      <c r="Z78" s="341" t="str">
        <f t="shared" si="32"/>
        <v/>
      </c>
      <c r="AA78" s="215" t="str">
        <f t="shared" si="33"/>
        <v/>
      </c>
      <c r="AB78" s="336">
        <f>IF(OR(C78="",C78="TOPX",終値!E119=""),"",IFERROR(((終値!E119*0.333)+(終値!F119*0.222)+(終値!G119*0.148)+(終値!H119*0.099)+(終値!I119*0.066))/(0.333+0.222+0.148+0.099+0.066),""))</f>
        <v>2897.4504608294924</v>
      </c>
      <c r="AC78" s="336">
        <f>IF(OR(C78="",C78="TOPX",終値!E119=""),"",IFERROR(SUMPRODUCT((終値!E119:AC119),{0.077,0.071,0.065,0.06,0.055,0.051,0.047,0.043,0.039,0.036,0.033,0.031,0.028,0.026,0.024,0.022,0.02,0.018,0.017,0.016,0.014,0.013,0.012,0.011,0.01})/SUM({0.077,0.071,0.065,0.06,0.055,0.051,0.047,0.043,0.039,0.036,0.033,0.031,0.028,0.026,0.024,0.022,0.02,0.018,0.017,0.016,0.014,0.013,0.012,0.011,0.01}),""))</f>
        <v>2853.9445768772339</v>
      </c>
      <c r="AD78" s="215" t="str">
        <f t="shared" si="34"/>
        <v>パーフェクト▲</v>
      </c>
      <c r="AE78" s="215" t="e">
        <f t="shared" si="35"/>
        <v>#VALUE!</v>
      </c>
      <c r="AF78" t="e">
        <f>IF(T78="","",IF(銘柄管理!$F$5="上昇▲",IF(AND(AD78="下降トレンド▼",OR(AE78="25日戻り売り★",AE78="5日戻り売り○")),"★逆張り売り",IF(AND(AD78="もみ合い→",OR(AE78="25日戻り売り★",AE78="5日戻り売り○")),"○逆張り売り",IF(W78&gt;=70,IF(Z78&lt;0,"◎反落確認","△過熱・様子見"),"相場上昇・見送り"))),IF(AND(T78&gt;=12,AD78="下降トレンド▼"),"★強い売り",IF(T78&gt;=12,"★強い売り",IF(AND(T78&gt;=8,OR(AE78="25日戻り売り★",AE78="5日戻り売り○")),"◎戻り売り",IF(T78&gt;=10,"○売り候補",IF(T78&gt;=6,"△注目",IF(T78&gt;=3,"様子見","見送り"))))))))</f>
        <v>#VALUE!</v>
      </c>
      <c r="AG78">
        <f t="shared" si="36"/>
        <v>0</v>
      </c>
      <c r="AH78">
        <f t="shared" si="37"/>
        <v>0</v>
      </c>
      <c r="AI78" s="376">
        <f t="array" ref="AI78">IF(C78="","",IFERROR((INDEX(終値!$E:$E,MATCH(TEXT(C78,"0"),終値!$A:$A,0))-INDEX(終値!$E:$CZ,MATCH(TEXT(C78,"0"),終値!$A:$A,0),$AN$2))/INDEX(終値!$E:$CZ,MATCH(TEXT(C78,"0"),終値!$A:$A,0),$AN$2)*100,""))</f>
        <v>2.3194977328217647</v>
      </c>
      <c r="AJ78" s="376">
        <f t="array" ref="AJ78">IFERROR((終値!$E$5-INDEX(終値!$E$5:$CZ$5,1,$AN$2))/INDEX(終値!$E$5:$CZ$5,1,$AN$2)*100,"")</f>
        <v>2.31989243802786</v>
      </c>
      <c r="AK78" s="377">
        <f t="shared" si="38"/>
        <v>-3.9470520609530269E-4</v>
      </c>
      <c r="AL78" s="375">
        <f t="shared" si="39"/>
        <v>1</v>
      </c>
      <c r="AO78" s="379" t="e">
        <f t="shared" si="40"/>
        <v>#VALUE!</v>
      </c>
      <c r="AP78" s="380" t="e">
        <f t="shared" si="41"/>
        <v>#VALUE!</v>
      </c>
      <c r="AQ78">
        <f>IF(C78&lt;&gt;"",始値!F119,"")</f>
        <v>2891</v>
      </c>
      <c r="AR78">
        <f>IF(C78&lt;&gt;"",高値!F119,"")</f>
        <v>2900</v>
      </c>
      <c r="AS78">
        <f>IF(C78&lt;&gt;"",安値!F119,"")</f>
        <v>2854</v>
      </c>
      <c r="AT78" t="str">
        <f t="shared" si="42"/>
        <v>通常</v>
      </c>
      <c r="AU78">
        <f t="shared" si="43"/>
        <v>0</v>
      </c>
    </row>
    <row r="79" spans="1:47" ht="14.25" customHeight="1">
      <c r="A79" s="327" t="str">
        <f>IF(銘柄管理!B127&lt;&gt;"",HYPERLINK("https://kabutan.jp/stock/?code="&amp;銘柄管理!B127,"株探"),"")</f>
        <v>株探</v>
      </c>
      <c r="B79" s="328"/>
      <c r="C79" s="477">
        <f>IF(銘柄管理!B127="","",銘柄管理!B127)</f>
        <v>9532</v>
      </c>
      <c r="D79" s="328" t="str">
        <f>IF(銘柄管理!C127="","",銘柄管理!C127)</f>
        <v/>
      </c>
      <c r="E79" s="329" t="str">
        <f>IF(C79&lt;&gt;"",_xll.RssMarket(C79,"現在値"),"")</f>
        <v/>
      </c>
      <c r="F79" s="329" t="str">
        <f>IF(C79&lt;&gt;"",_xll.RssMarket(C79,"始値"),"")</f>
        <v/>
      </c>
      <c r="G79" s="328">
        <f>IF(C79&lt;&gt;"",終値!F127,"")</f>
        <v>5392</v>
      </c>
      <c r="H79" s="329" t="str">
        <f>IF(C79&lt;&gt;"",_xll.RssMarket(C79,"高値"),"")</f>
        <v/>
      </c>
      <c r="I79" s="329" t="str">
        <f>IF(C79&lt;&gt;"",_xll.RssMarket(C79,"安値"),"")</f>
        <v/>
      </c>
      <c r="J79" s="329" t="str">
        <f>IF(C79&lt;&gt;"",_xll.RssMarket(C79,"出来高"),"")</f>
        <v/>
      </c>
      <c r="K79" s="329" t="str">
        <f>IF(C79&lt;&gt;"",_xll.RssMarket(C79,"年初来高値"),"")</f>
        <v/>
      </c>
      <c r="L79" s="330" t="str">
        <f t="shared" si="22"/>
        <v/>
      </c>
      <c r="M79" s="329">
        <f>IF(C79&lt;&gt;"",IFERROR(AVERAGE(出来高!E127:I127),""),"")</f>
        <v>722940</v>
      </c>
      <c r="N79" s="329">
        <f>IF(C79&lt;&gt;"",IFERROR(AVERAGE(出来高!E127:AC127),""),"")</f>
        <v>836312</v>
      </c>
      <c r="O79" s="331" t="str">
        <f t="shared" si="23"/>
        <v/>
      </c>
      <c r="P79" s="328" t="str">
        <f t="shared" si="24"/>
        <v/>
      </c>
      <c r="Q79" s="328" t="str">
        <f t="shared" si="25"/>
        <v/>
      </c>
      <c r="R79" s="329" t="str">
        <f t="shared" si="26"/>
        <v/>
      </c>
      <c r="S79" s="329" t="str">
        <f t="shared" si="27"/>
        <v/>
      </c>
      <c r="T79" s="328">
        <f t="shared" si="28"/>
        <v>0</v>
      </c>
      <c r="U79" s="328" t="str">
        <f t="shared" si="29"/>
        <v>除外</v>
      </c>
      <c r="V79" s="328" t="str">
        <f t="shared" si="30"/>
        <v/>
      </c>
      <c r="W79" s="332">
        <f t="array" ref="W79">IFERROR(100-100/(1+SUMPRODUCT((終値!F127:R127&gt;終値!G127:S127)*(終値!F127:R127-終値!G127:S127))/SUMPRODUCT((終値!F127:R127&lt;終値!G127:S127)*(終値!G127:S127-終値!F127:R127))),50)</f>
        <v>52.075471698113205</v>
      </c>
      <c r="X79" s="333">
        <f>IF(C79&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-10.327616333450351</v>
      </c>
      <c r="Y79" s="328" t="e">
        <f t="shared" si="31"/>
        <v>#VALUE!</v>
      </c>
      <c r="Z79" s="334" t="str">
        <f t="shared" si="32"/>
        <v/>
      </c>
      <c r="AA79" s="328" t="str">
        <f t="shared" si="33"/>
        <v/>
      </c>
      <c r="AB79" s="329">
        <f>IF(OR(C79="",C79="TOPX",終値!E127=""),"",IFERROR(((終値!E127*0.333)+(終値!F127*0.222)+(終値!G127*0.148)+(終値!H127*0.099)+(終値!I127*0.066))/(0.333+0.222+0.148+0.099+0.066),""))</f>
        <v>5367.8917050691234</v>
      </c>
      <c r="AC79" s="329">
        <f>IF(OR(C79="",C79="TOPX",終値!E127=""),"",IFERROR(SUMPRODUCT((終値!E127:AC127),{0.077,0.071,0.065,0.06,0.055,0.051,0.047,0.043,0.039,0.036,0.033,0.031,0.028,0.026,0.024,0.022,0.02,0.018,0.017,0.016,0.014,0.013,0.012,0.011,0.01})/SUM({0.077,0.071,0.065,0.06,0.055,0.051,0.047,0.043,0.039,0.036,0.033,0.031,0.028,0.026,0.024,0.022,0.02,0.018,0.017,0.016,0.014,0.013,0.012,0.011,0.01}),""))</f>
        <v>5406.0262216924903</v>
      </c>
      <c r="AD79" s="328" t="str">
        <f t="shared" si="34"/>
        <v>上昇トレンド▲</v>
      </c>
      <c r="AE79" s="328" t="e">
        <f t="shared" si="35"/>
        <v>#VALUE!</v>
      </c>
      <c r="AF79" t="e">
        <f>IF(T79="","",IF(銘柄管理!$F$5="上昇▲",IF(AND(AD79="下降トレンド▼",OR(AE79="25日戻り売り★",AE79="5日戻り売り○")),"★逆張り売り",IF(AND(AD79="もみ合い→",OR(AE79="25日戻り売り★",AE79="5日戻り売り○")),"○逆張り売り",IF(W79&gt;=70,IF(Z79&lt;0,"◎反落確認","△過熱・様子見"),"相場上昇・見送り"))),IF(AND(T79&gt;=12,AD79="下降トレンド▼"),"★強い売り",IF(T79&gt;=12,"★強い売り",IF(AND(T79&gt;=8,OR(AE79="25日戻り売り★",AE79="5日戻り売り○")),"◎戻り売り",IF(T79&gt;=10,"○売り候補",IF(T79&gt;=6,"△注目",IF(T79&gt;=3,"様子見","見送り"))))))))</f>
        <v>#VALUE!</v>
      </c>
      <c r="AG79">
        <f t="shared" si="36"/>
        <v>0</v>
      </c>
      <c r="AH79">
        <f t="shared" si="37"/>
        <v>0</v>
      </c>
      <c r="AI79" s="376">
        <f t="array" ref="AI79">IF(C79="","",IFERROR((INDEX(終値!$E:$E,MATCH(TEXT(C79,"0"),終値!$A:$A,0))-INDEX(終値!$E:$CZ,MATCH(TEXT(C79,"0"),終値!$A:$A,0),$AN$2))/INDEX(終値!$E:$CZ,MATCH(TEXT(C79,"0"),終値!$A:$A,0),$AN$2)*100,""))</f>
        <v>-2.7012327773749094</v>
      </c>
      <c r="AJ79" s="376">
        <f t="array" ref="AJ79">IFERROR((終値!$E$5-INDEX(終値!$E$5:$CZ$5,1,$AN$2))/INDEX(終値!$E$5:$CZ$5,1,$AN$2)*100,"")</f>
        <v>2.31989243802786</v>
      </c>
      <c r="AK79" s="377">
        <f t="shared" si="38"/>
        <v>-5.021125215402769</v>
      </c>
      <c r="AL79" s="375">
        <f t="shared" si="39"/>
        <v>3</v>
      </c>
      <c r="AO79" s="379" t="e">
        <f t="shared" si="40"/>
        <v>#VALUE!</v>
      </c>
      <c r="AP79" s="380" t="e">
        <f t="shared" si="41"/>
        <v>#VALUE!</v>
      </c>
      <c r="AQ79">
        <f>IF(C79&lt;&gt;"",始値!F127,"")</f>
        <v>5420</v>
      </c>
      <c r="AR79">
        <f>IF(C79&lt;&gt;"",高値!F127,"")</f>
        <v>5422</v>
      </c>
      <c r="AS79">
        <f>IF(C79&lt;&gt;"",安値!F127,"")</f>
        <v>5343</v>
      </c>
      <c r="AT79" t="str">
        <f t="shared" si="42"/>
        <v>長い下ヒゲ(反発)</v>
      </c>
      <c r="AU79">
        <f t="shared" si="43"/>
        <v>-2</v>
      </c>
    </row>
    <row r="80" spans="1:47" ht="14.25" customHeight="1">
      <c r="A80" s="335" t="str">
        <f>IF(銘柄管理!B136&lt;&gt;"",HYPERLINK("https://kabutan.jp/stock/?code="&amp;銘柄管理!B136,"株探"),"")</f>
        <v>株探</v>
      </c>
      <c r="B80" s="215"/>
      <c r="C80" s="478">
        <f>IF(銘柄管理!B136="","",銘柄管理!B136)</f>
        <v>7794</v>
      </c>
      <c r="D80" s="215" t="str">
        <f>IF(銘柄管理!C136="","",銘柄管理!C136)</f>
        <v/>
      </c>
      <c r="E80" s="336" t="str">
        <f>IF(C80&lt;&gt;"",_xll.RssMarket(C80,"現在値"),"")</f>
        <v/>
      </c>
      <c r="F80" s="336" t="str">
        <f>IF(C80&lt;&gt;"",_xll.RssMarket(C80,"始値"),"")</f>
        <v/>
      </c>
      <c r="G80" s="215">
        <f>IF(C80&lt;&gt;"",終値!F136,"")</f>
        <v>1023</v>
      </c>
      <c r="H80" s="336" t="str">
        <f>IF(C80&lt;&gt;"",_xll.RssMarket(C80,"高値"),"")</f>
        <v/>
      </c>
      <c r="I80" s="336" t="str">
        <f>IF(C80&lt;&gt;"",_xll.RssMarket(C80,"安値"),"")</f>
        <v/>
      </c>
      <c r="J80" s="336" t="str">
        <f>IF(C80&lt;&gt;"",_xll.RssMarket(C80,"出来高"),"")</f>
        <v/>
      </c>
      <c r="K80" s="336" t="str">
        <f>IF(C80&lt;&gt;"",_xll.RssMarket(C80,"年初来高値"),"")</f>
        <v/>
      </c>
      <c r="L80" s="337" t="str">
        <f t="shared" si="22"/>
        <v/>
      </c>
      <c r="M80" s="336">
        <f>IF(C80&lt;&gt;"",IFERROR(AVERAGE(出来高!E136:I136),""),"")</f>
        <v>334580</v>
      </c>
      <c r="N80" s="336">
        <f>IF(C80&lt;&gt;"",IFERROR(AVERAGE(出来高!E136:AC136),""),"")</f>
        <v>364292</v>
      </c>
      <c r="O80" s="338" t="str">
        <f t="shared" si="23"/>
        <v/>
      </c>
      <c r="P80" s="215" t="str">
        <f t="shared" si="24"/>
        <v/>
      </c>
      <c r="Q80" s="215" t="str">
        <f t="shared" si="25"/>
        <v/>
      </c>
      <c r="R80" s="336" t="str">
        <f t="shared" si="26"/>
        <v/>
      </c>
      <c r="S80" s="336" t="str">
        <f t="shared" si="27"/>
        <v/>
      </c>
      <c r="T80" s="328">
        <f t="shared" si="28"/>
        <v>0</v>
      </c>
      <c r="U80" s="215" t="str">
        <f t="shared" si="29"/>
        <v>除外</v>
      </c>
      <c r="V80" s="215" t="str">
        <f t="shared" si="30"/>
        <v/>
      </c>
      <c r="W80" s="339">
        <f t="array" ref="W80">IFERROR(100-100/(1+SUMPRODUCT((終値!F136:R136&gt;終値!G136:S136)*(終値!F136:R136-終値!G136:S136))/SUMPRODUCT((終値!F136:R136&lt;終値!G136:S136)*(終値!G136:S136-終値!F136:R136))),50)</f>
        <v>47.109207708779444</v>
      </c>
      <c r="X80" s="340">
        <f>IF(C80&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-8.6758345639009349</v>
      </c>
      <c r="Y80" s="215" t="e">
        <f t="shared" si="31"/>
        <v>#VALUE!</v>
      </c>
      <c r="Z80" s="341" t="str">
        <f t="shared" si="32"/>
        <v/>
      </c>
      <c r="AA80" s="215" t="str">
        <f t="shared" si="33"/>
        <v/>
      </c>
      <c r="AB80" s="336">
        <f>IF(OR(C80="",C80="TOPX",終値!E136=""),"",IFERROR(((終値!E136*0.333)+(終値!F136*0.222)+(終値!G136*0.148)+(終値!H136*0.099)+(終値!I136*0.066))/(0.333+0.222+0.148+0.099+0.066),""))</f>
        <v>987.1290322580644</v>
      </c>
      <c r="AC80" s="336">
        <f>IF(OR(C80="",C80="TOPX",終値!E136=""),"",IFERROR(SUMPRODUCT((終値!E136:AC136),{0.077,0.071,0.065,0.06,0.055,0.051,0.047,0.043,0.039,0.036,0.033,0.031,0.028,0.026,0.024,0.022,0.02,0.018,0.017,0.016,0.014,0.013,0.012,0.011,0.01})/SUM({0.077,0.071,0.065,0.06,0.055,0.051,0.047,0.043,0.039,0.036,0.033,0.031,0.028,0.026,0.024,0.022,0.02,0.018,0.017,0.016,0.014,0.013,0.012,0.011,0.01}),""))</f>
        <v>1083.974970202622</v>
      </c>
      <c r="AD80" s="215" t="str">
        <f t="shared" si="34"/>
        <v>上昇トレンド▲</v>
      </c>
      <c r="AE80" s="215" t="e">
        <f t="shared" si="35"/>
        <v>#VALUE!</v>
      </c>
      <c r="AF80" t="e">
        <f>IF(T80="","",IF(銘柄管理!$F$5="上昇▲",IF(AND(AD80="下降トレンド▼",OR(AE80="25日戻り売り★",AE80="5日戻り売り○")),"★逆張り売り",IF(AND(AD80="もみ合い→",OR(AE80="25日戻り売り★",AE80="5日戻り売り○")),"○逆張り売り",IF(W80&gt;=70,IF(Z80&lt;0,"◎反落確認","△過熱・様子見"),"相場上昇・見送り"))),IF(AND(T80&gt;=12,AD80="下降トレンド▼"),"★強い売り",IF(T80&gt;=12,"★強い売り",IF(AND(T80&gt;=8,OR(AE80="25日戻り売り★",AE80="5日戻り売り○")),"◎戻り売り",IF(T80&gt;=10,"○売り候補",IF(T80&gt;=6,"△注目",IF(T80&gt;=3,"様子見","見送り"))))))))</f>
        <v>#VALUE!</v>
      </c>
      <c r="AG80">
        <f t="shared" si="36"/>
        <v>0</v>
      </c>
      <c r="AH80">
        <f t="shared" si="37"/>
        <v>0</v>
      </c>
      <c r="AI80" s="376">
        <f t="array" ref="AI80">IF(C80="","",IFERROR((INDEX(終値!$E:$E,MATCH(TEXT(C80,"0"),終値!$A:$A,0))-INDEX(終値!$E:$CZ,MATCH(TEXT(C80,"0"),終値!$A:$A,0),$AN$2))/INDEX(終値!$E:$CZ,MATCH(TEXT(C80,"0"),終値!$A:$A,0),$AN$2)*100,""))</f>
        <v>-17.747747747747749</v>
      </c>
      <c r="AJ80" s="376">
        <f t="array" ref="AJ80">IFERROR((終値!$E$5-INDEX(終値!$E$5:$CZ$5,1,$AN$2))/INDEX(終値!$E$5:$CZ$5,1,$AN$2)*100,"")</f>
        <v>2.31989243802786</v>
      </c>
      <c r="AK80" s="377">
        <f t="shared" si="38"/>
        <v>-20.067640185775609</v>
      </c>
      <c r="AL80" s="375">
        <f t="shared" si="39"/>
        <v>3</v>
      </c>
      <c r="AO80" s="379" t="e">
        <f t="shared" si="40"/>
        <v>#VALUE!</v>
      </c>
      <c r="AP80" s="380" t="e">
        <f t="shared" si="41"/>
        <v>#VALUE!</v>
      </c>
      <c r="AQ80">
        <f>IF(C80&lt;&gt;"",始値!F136,"")</f>
        <v>1030</v>
      </c>
      <c r="AR80">
        <f>IF(C80&lt;&gt;"",高値!F136,"")</f>
        <v>1036</v>
      </c>
      <c r="AS80">
        <f>IF(C80&lt;&gt;"",安値!F136,"")</f>
        <v>1003</v>
      </c>
      <c r="AT80" t="str">
        <f t="shared" si="42"/>
        <v>長い下ヒゲ(反発)</v>
      </c>
      <c r="AU80">
        <f t="shared" si="43"/>
        <v>-2</v>
      </c>
    </row>
    <row r="81" spans="1:47" ht="14.25" customHeight="1">
      <c r="A81" s="327" t="str">
        <f>IF(銘柄管理!B138&lt;&gt;"",HYPERLINK("https://kabutan.jp/stock/?code="&amp;銘柄管理!B138,"株探"),"")</f>
        <v>株探</v>
      </c>
      <c r="B81" s="328"/>
      <c r="C81" s="477">
        <f>IF(銘柄管理!B138="","",銘柄管理!B138)</f>
        <v>3103</v>
      </c>
      <c r="D81" s="328" t="str">
        <f>IF(銘柄管理!C138="","",銘柄管理!C138)</f>
        <v/>
      </c>
      <c r="E81" s="329" t="str">
        <f>IF(C81&lt;&gt;"",_xll.RssMarket(C81,"現在値"),"")</f>
        <v/>
      </c>
      <c r="F81" s="329" t="str">
        <f>IF(C81&lt;&gt;"",_xll.RssMarket(C81,"始値"),"")</f>
        <v/>
      </c>
      <c r="G81" s="328">
        <f>IF(C81&lt;&gt;"",終値!F138,"")</f>
        <v>971</v>
      </c>
      <c r="H81" s="329" t="str">
        <f>IF(C81&lt;&gt;"",_xll.RssMarket(C81,"高値"),"")</f>
        <v/>
      </c>
      <c r="I81" s="329" t="str">
        <f>IF(C81&lt;&gt;"",_xll.RssMarket(C81,"安値"),"")</f>
        <v/>
      </c>
      <c r="J81" s="329" t="str">
        <f>IF(C81&lt;&gt;"",_xll.RssMarket(C81,"出来高"),"")</f>
        <v/>
      </c>
      <c r="K81" s="329" t="str">
        <f>IF(C81&lt;&gt;"",_xll.RssMarket(C81,"年初来高値"),"")</f>
        <v/>
      </c>
      <c r="L81" s="330" t="str">
        <f t="shared" si="22"/>
        <v/>
      </c>
      <c r="M81" s="329">
        <f>IF(C81&lt;&gt;"",IFERROR(AVERAGE(出来高!E138:I138),""),"")</f>
        <v>2869400</v>
      </c>
      <c r="N81" s="329">
        <f>IF(C81&lt;&gt;"",IFERROR(AVERAGE(出来高!E138:AC138),""),"")</f>
        <v>3802560</v>
      </c>
      <c r="O81" s="331" t="str">
        <f t="shared" si="23"/>
        <v/>
      </c>
      <c r="P81" s="328" t="str">
        <f t="shared" si="24"/>
        <v/>
      </c>
      <c r="Q81" s="328" t="str">
        <f t="shared" si="25"/>
        <v/>
      </c>
      <c r="R81" s="329" t="str">
        <f t="shared" si="26"/>
        <v/>
      </c>
      <c r="S81" s="329" t="str">
        <f t="shared" si="27"/>
        <v/>
      </c>
      <c r="T81" s="328">
        <f t="shared" si="28"/>
        <v>0</v>
      </c>
      <c r="U81" s="328" t="str">
        <f t="shared" si="29"/>
        <v>除外</v>
      </c>
      <c r="V81" s="328" t="str">
        <f t="shared" si="30"/>
        <v/>
      </c>
      <c r="W81" s="332">
        <f t="array" ref="W81">IFERROR(100-100/(1+SUMPRODUCT((終値!F138:R138&gt;終値!G138:S138)*(終値!F138:R138-終値!G138:S138))/SUMPRODUCT((終値!F138:R138&lt;終値!G138:S138)*(終値!G138:S138-終値!F138:R138))),50)</f>
        <v>36.134453781512612</v>
      </c>
      <c r="X81" s="333">
        <f>IF(C81&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-28.792583953924122</v>
      </c>
      <c r="Y81" s="328" t="e">
        <f t="shared" si="31"/>
        <v>#VALUE!</v>
      </c>
      <c r="Z81" s="334" t="str">
        <f t="shared" si="32"/>
        <v/>
      </c>
      <c r="AA81" s="328" t="str">
        <f t="shared" si="33"/>
        <v/>
      </c>
      <c r="AB81" s="329">
        <f>IF(OR(C81="",C81="TOPX",終値!E138=""),"",IFERROR(((終値!E138*0.333)+(終値!F138*0.222)+(終値!G138*0.148)+(終値!H138*0.099)+(終値!I138*0.066))/(0.333+0.222+0.148+0.099+0.066),""))</f>
        <v>901.21313364055277</v>
      </c>
      <c r="AC81" s="329">
        <f>IF(OR(C81="",C81="TOPX",終値!E138=""),"",IFERROR(SUMPRODUCT((終値!E138:AC138),{0.077,0.071,0.065,0.06,0.055,0.051,0.047,0.043,0.039,0.036,0.033,0.031,0.028,0.026,0.024,0.022,0.02,0.018,0.017,0.016,0.014,0.013,0.012,0.011,0.01})/SUM({0.077,0.071,0.065,0.06,0.055,0.051,0.047,0.043,0.039,0.036,0.033,0.031,0.028,0.026,0.024,0.022,0.02,0.018,0.017,0.016,0.014,0.013,0.012,0.011,0.01}),""))</f>
        <v>990.49702026221644</v>
      </c>
      <c r="AD81" s="328" t="str">
        <f t="shared" si="34"/>
        <v>上昇トレンド▲</v>
      </c>
      <c r="AE81" s="328" t="e">
        <f t="shared" si="35"/>
        <v>#VALUE!</v>
      </c>
      <c r="AF81" t="e">
        <f>IF(T81="","",IF(銘柄管理!$F$5="上昇▲",IF(AND(AD81="下降トレンド▼",OR(AE81="25日戻り売り★",AE81="5日戻り売り○")),"★逆張り売り",IF(AND(AD81="もみ合い→",OR(AE81="25日戻り売り★",AE81="5日戻り売り○")),"○逆張り売り",IF(W81&gt;=70,IF(Z81&lt;0,"◎反落確認","△過熱・様子見"),"相場上昇・見送り"))),IF(AND(T81&gt;=12,AD81="下降トレンド▼"),"★強い売り",IF(T81&gt;=12,"★強い売り",IF(AND(T81&gt;=8,OR(AE81="25日戻り売り★",AE81="5日戻り売り○")),"◎戻り売り",IF(T81&gt;=10,"○売り候補",IF(T81&gt;=6,"△注目",IF(T81&gt;=3,"様子見","見送り"))))))))</f>
        <v>#VALUE!</v>
      </c>
      <c r="AG81">
        <f t="shared" si="36"/>
        <v>0</v>
      </c>
      <c r="AH81">
        <f t="shared" si="37"/>
        <v>0</v>
      </c>
      <c r="AI81" s="376">
        <f t="array" ref="AI81">IF(C81="","",IFERROR((INDEX(終値!$E:$E,MATCH(TEXT(C81,"0"),終値!$A:$A,0))-INDEX(終値!$E:$CZ,MATCH(TEXT(C81,"0"),終値!$A:$A,0),$AN$2))/INDEX(終値!$E:$CZ,MATCH(TEXT(C81,"0"),終値!$A:$A,0),$AN$2)*100,""))</f>
        <v>-28.929765886287623</v>
      </c>
      <c r="AJ81" s="376">
        <f t="array" ref="AJ81">IFERROR((終値!$E$5-INDEX(終値!$E$5:$CZ$5,1,$AN$2))/INDEX(終値!$E$5:$CZ$5,1,$AN$2)*100,"")</f>
        <v>2.31989243802786</v>
      </c>
      <c r="AK81" s="377">
        <f t="shared" si="38"/>
        <v>-31.249658324315483</v>
      </c>
      <c r="AL81" s="375">
        <f t="shared" si="39"/>
        <v>3</v>
      </c>
      <c r="AO81" s="379" t="e">
        <f t="shared" si="40"/>
        <v>#VALUE!</v>
      </c>
      <c r="AP81" s="380" t="e">
        <f t="shared" si="41"/>
        <v>#VALUE!</v>
      </c>
      <c r="AQ81">
        <f>IF(C81&lt;&gt;"",始値!F138,"")</f>
        <v>910</v>
      </c>
      <c r="AR81">
        <f>IF(C81&lt;&gt;"",高値!F138,"")</f>
        <v>982</v>
      </c>
      <c r="AS81">
        <f>IF(C81&lt;&gt;"",安値!F138,"")</f>
        <v>902</v>
      </c>
      <c r="AT81" t="str">
        <f t="shared" si="42"/>
        <v>通常</v>
      </c>
      <c r="AU81">
        <f t="shared" si="43"/>
        <v>0</v>
      </c>
    </row>
    <row r="82" spans="1:47" ht="14.25" customHeight="1">
      <c r="A82" s="335" t="str">
        <f>IF(銘柄管理!B160&lt;&gt;"",HYPERLINK("https://kabutan.jp/stock/?code="&amp;銘柄管理!B160,"株探"),"")</f>
        <v>株探</v>
      </c>
      <c r="B82" s="215"/>
      <c r="C82" s="478">
        <f>IF(銘柄管理!B160="","",銘柄管理!B160)</f>
        <v>4373</v>
      </c>
      <c r="D82" s="215" t="str">
        <f>IF(銘柄管理!C160="","",銘柄管理!C160)</f>
        <v/>
      </c>
      <c r="E82" s="336" t="str">
        <f>IF(C82&lt;&gt;"",_xll.RssMarket(C82,"現在値"),"")</f>
        <v/>
      </c>
      <c r="F82" s="336" t="str">
        <f>IF(C82&lt;&gt;"",_xll.RssMarket(C82,"始値"),"")</f>
        <v/>
      </c>
      <c r="G82" s="215">
        <f>IF(C82&lt;&gt;"",終値!F160,"")</f>
        <v>1032</v>
      </c>
      <c r="H82" s="336" t="str">
        <f>IF(C82&lt;&gt;"",_xll.RssMarket(C82,"高値"),"")</f>
        <v/>
      </c>
      <c r="I82" s="336" t="str">
        <f>IF(C82&lt;&gt;"",_xll.RssMarket(C82,"安値"),"")</f>
        <v/>
      </c>
      <c r="J82" s="336" t="str">
        <f>IF(C82&lt;&gt;"",_xll.RssMarket(C82,"出来高"),"")</f>
        <v/>
      </c>
      <c r="K82" s="336" t="str">
        <f>IF(C82&lt;&gt;"",_xll.RssMarket(C82,"年初来高値"),"")</f>
        <v/>
      </c>
      <c r="L82" s="337" t="str">
        <f t="shared" si="22"/>
        <v/>
      </c>
      <c r="M82" s="336">
        <f>IF(C82&lt;&gt;"",IFERROR(AVERAGE(出来高!E160:I160),""),"")</f>
        <v>800900</v>
      </c>
      <c r="N82" s="336">
        <f>IF(C82&lt;&gt;"",IFERROR(AVERAGE(出来高!E160:AC160),""),"")</f>
        <v>983164</v>
      </c>
      <c r="O82" s="338" t="str">
        <f t="shared" si="23"/>
        <v/>
      </c>
      <c r="P82" s="215" t="str">
        <f t="shared" si="24"/>
        <v/>
      </c>
      <c r="Q82" s="215" t="str">
        <f t="shared" si="25"/>
        <v/>
      </c>
      <c r="R82" s="336" t="str">
        <f t="shared" si="26"/>
        <v/>
      </c>
      <c r="S82" s="336" t="str">
        <f t="shared" si="27"/>
        <v/>
      </c>
      <c r="T82" s="328">
        <f t="shared" si="28"/>
        <v>0</v>
      </c>
      <c r="U82" s="215" t="str">
        <f t="shared" si="29"/>
        <v>除外</v>
      </c>
      <c r="V82" s="215" t="str">
        <f t="shared" si="30"/>
        <v/>
      </c>
      <c r="W82" s="339">
        <f t="array" ref="W82">IFERROR(100-100/(1+SUMPRODUCT((終値!F160:R160&gt;終値!G160:S160)*(終値!F160:R160-終値!G160:S160))/SUMPRODUCT((終値!F160:R160&lt;終値!G160:S160)*(終値!G160:S160-終値!F160:R160))),50)</f>
        <v>73.2</v>
      </c>
      <c r="X82" s="340">
        <f>IF(C82&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14.954161177206174</v>
      </c>
      <c r="Y82" s="215" t="e">
        <f t="shared" si="31"/>
        <v>#VALUE!</v>
      </c>
      <c r="Z82" s="341" t="str">
        <f t="shared" si="32"/>
        <v/>
      </c>
      <c r="AA82" s="215" t="str">
        <f t="shared" si="33"/>
        <v/>
      </c>
      <c r="AB82" s="336">
        <f>IF(OR(C82="",C82="TOPX",終値!E160=""),"",IFERROR(((終値!E160*0.333)+(終値!F160*0.222)+(終値!G160*0.148)+(終値!H160*0.099)+(終値!I160*0.066))/(0.333+0.222+0.148+0.099+0.066),""))</f>
        <v>1051.3375576036867</v>
      </c>
      <c r="AC82" s="336">
        <f>IF(OR(C82="",C82="TOPX",終値!E160=""),"",IFERROR(SUMPRODUCT((終値!E160:AC160),{0.077,0.071,0.065,0.06,0.055,0.051,0.047,0.043,0.039,0.036,0.033,0.031,0.028,0.026,0.024,0.022,0.02,0.018,0.017,0.016,0.014,0.013,0.012,0.011,0.01})/SUM({0.077,0.071,0.065,0.06,0.055,0.051,0.047,0.043,0.039,0.036,0.033,0.031,0.028,0.026,0.024,0.022,0.02,0.018,0.017,0.016,0.014,0.013,0.012,0.011,0.01}),""))</f>
        <v>1008.2979737783073</v>
      </c>
      <c r="AD82" s="215" t="str">
        <f t="shared" si="34"/>
        <v>パーフェクト▲</v>
      </c>
      <c r="AE82" s="215" t="e">
        <f t="shared" si="35"/>
        <v>#VALUE!</v>
      </c>
      <c r="AF82" t="e">
        <f>IF(T82="","",IF(銘柄管理!$F$5="上昇▲",IF(AND(AD82="下降トレンド▼",OR(AE82="25日戻り売り★",AE82="5日戻り売り○")),"★逆張り売り",IF(AND(AD82="もみ合い→",OR(AE82="25日戻り売り★",AE82="5日戻り売り○")),"○逆張り売り",IF(W82&gt;=70,IF(Z82&lt;0,"◎反落確認","△過熱・様子見"),"相場上昇・見送り"))),IF(AND(T82&gt;=12,AD82="下降トレンド▼"),"★強い売り",IF(T82&gt;=12,"★強い売り",IF(AND(T82&gt;=8,OR(AE82="25日戻り売り★",AE82="5日戻り売り○")),"◎戻り売り",IF(T82&gt;=10,"○売り候補",IF(T82&gt;=6,"△注目",IF(T82&gt;=3,"様子見","見送り"))))))))</f>
        <v>#VALUE!</v>
      </c>
      <c r="AG82">
        <f t="shared" si="36"/>
        <v>0</v>
      </c>
      <c r="AH82">
        <f t="shared" si="37"/>
        <v>0</v>
      </c>
      <c r="AI82" s="376">
        <f t="array" ref="AI82">IF(C82="","",IFERROR((INDEX(終値!$E:$E,MATCH(TEXT(C82,"0"),終値!$A:$A,0))-INDEX(終値!$E:$CZ,MATCH(TEXT(C82,"0"),終値!$A:$A,0),$AN$2))/INDEX(終値!$E:$CZ,MATCH(TEXT(C82,"0"),終値!$A:$A,0),$AN$2)*100,""))</f>
        <v>0.37383177570093462</v>
      </c>
      <c r="AJ82" s="376">
        <f t="array" ref="AJ82">IFERROR((終値!$E$5-INDEX(終値!$E$5:$CZ$5,1,$AN$2))/INDEX(終値!$E$5:$CZ$5,1,$AN$2)*100,"")</f>
        <v>2.31989243802786</v>
      </c>
      <c r="AK82" s="377">
        <f t="shared" si="38"/>
        <v>-1.9460606623269254</v>
      </c>
      <c r="AL82" s="375">
        <f t="shared" si="39"/>
        <v>1</v>
      </c>
      <c r="AO82" s="379" t="e">
        <f t="shared" si="40"/>
        <v>#VALUE!</v>
      </c>
      <c r="AP82" s="380" t="e">
        <f t="shared" si="41"/>
        <v>#VALUE!</v>
      </c>
      <c r="AQ82">
        <f>IF(C82&lt;&gt;"",始値!F160,"")</f>
        <v>1034</v>
      </c>
      <c r="AR82">
        <f>IF(C82&lt;&gt;"",高値!F160,"")</f>
        <v>1038</v>
      </c>
      <c r="AS82">
        <f>IF(C82&lt;&gt;"",安値!F160,"")</f>
        <v>1005</v>
      </c>
      <c r="AT82" t="str">
        <f t="shared" si="42"/>
        <v>長い下ヒゲ(反発)</v>
      </c>
      <c r="AU82">
        <f t="shared" si="43"/>
        <v>-2</v>
      </c>
    </row>
    <row r="83" spans="1:47" ht="14.25" customHeight="1">
      <c r="A83" s="327" t="str">
        <f>IF(銘柄管理!B163&lt;&gt;"",HYPERLINK("https://kabutan.jp/stock/?code="&amp;銘柄管理!B163,"株探"),"")</f>
        <v>株探</v>
      </c>
      <c r="B83" s="328"/>
      <c r="C83" s="477">
        <f>IF(銘柄管理!B163="","",銘柄管理!B163)</f>
        <v>1930</v>
      </c>
      <c r="D83" s="328" t="str">
        <f>IF(銘柄管理!C163="","",銘柄管理!C163)</f>
        <v/>
      </c>
      <c r="E83" s="329" t="str">
        <f>IF(C83&lt;&gt;"",_xll.RssMarket(C83,"現在値"),"")</f>
        <v/>
      </c>
      <c r="F83" s="329" t="str">
        <f>IF(C83&lt;&gt;"",_xll.RssMarket(C83,"始値"),"")</f>
        <v/>
      </c>
      <c r="G83" s="328">
        <f>IF(C83&lt;&gt;"",終値!F163,"")</f>
        <v>1614</v>
      </c>
      <c r="H83" s="329" t="str">
        <f>IF(C83&lt;&gt;"",_xll.RssMarket(C83,"高値"),"")</f>
        <v/>
      </c>
      <c r="I83" s="329" t="str">
        <f>IF(C83&lt;&gt;"",_xll.RssMarket(C83,"安値"),"")</f>
        <v/>
      </c>
      <c r="J83" s="329" t="str">
        <f>IF(C83&lt;&gt;"",_xll.RssMarket(C83,"出来高"),"")</f>
        <v/>
      </c>
      <c r="K83" s="329" t="str">
        <f>IF(C83&lt;&gt;"",_xll.RssMarket(C83,"年初来高値"),"")</f>
        <v/>
      </c>
      <c r="L83" s="330" t="str">
        <f t="shared" si="22"/>
        <v/>
      </c>
      <c r="M83" s="329">
        <f>IF(C83&lt;&gt;"",IFERROR(AVERAGE(出来高!E163:I163),""),"")</f>
        <v>60380</v>
      </c>
      <c r="N83" s="329">
        <f>IF(C83&lt;&gt;"",IFERROR(AVERAGE(出来高!E163:AC163),""),"")</f>
        <v>55820</v>
      </c>
      <c r="O83" s="331" t="str">
        <f t="shared" si="23"/>
        <v/>
      </c>
      <c r="P83" s="328" t="str">
        <f t="shared" si="24"/>
        <v/>
      </c>
      <c r="Q83" s="328" t="str">
        <f t="shared" si="25"/>
        <v/>
      </c>
      <c r="R83" s="329" t="str">
        <f t="shared" si="26"/>
        <v/>
      </c>
      <c r="S83" s="329" t="str">
        <f t="shared" si="27"/>
        <v/>
      </c>
      <c r="T83" s="328">
        <f t="shared" si="28"/>
        <v>0</v>
      </c>
      <c r="U83" s="328" t="str">
        <f t="shared" si="29"/>
        <v>除外</v>
      </c>
      <c r="V83" s="328" t="str">
        <f t="shared" si="30"/>
        <v/>
      </c>
      <c r="W83" s="332">
        <f t="array" ref="W83">IFERROR(100-100/(1+SUMPRODUCT((終値!F163:R163&gt;終値!G163:S163)*(終値!F163:R163-終値!G163:S163))/SUMPRODUCT((終値!F163:R163&lt;終値!G163:S163)*(終値!G163:S163-終値!F163:R163))),50)</f>
        <v>31.660231660231659</v>
      </c>
      <c r="X83" s="333">
        <f>IF(C83&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-12.768164974386991</v>
      </c>
      <c r="Y83" s="328" t="e">
        <f t="shared" si="31"/>
        <v>#VALUE!</v>
      </c>
      <c r="Z83" s="334" t="str">
        <f t="shared" si="32"/>
        <v/>
      </c>
      <c r="AA83" s="328" t="str">
        <f t="shared" si="33"/>
        <v/>
      </c>
      <c r="AB83" s="329">
        <f>IF(OR(C83="",C83="TOPX",終値!E163=""),"",IFERROR(((終値!E163*0.333)+(終値!F163*0.222)+(終値!G163*0.148)+(終値!H163*0.099)+(終値!I163*0.066))/(0.333+0.222+0.148+0.099+0.066),""))</f>
        <v>1590.1670506912442</v>
      </c>
      <c r="AC83" s="329">
        <f>IF(OR(C83="",C83="TOPX",終値!E163=""),"",IFERROR(SUMPRODUCT((終値!E163:AC163),{0.077,0.071,0.065,0.06,0.055,0.051,0.047,0.043,0.039,0.036,0.033,0.031,0.028,0.026,0.024,0.022,0.02,0.018,0.017,0.016,0.014,0.013,0.012,0.011,0.01})/SUM({0.077,0.071,0.065,0.06,0.055,0.051,0.047,0.043,0.039,0.036,0.033,0.031,0.028,0.026,0.024,0.022,0.02,0.018,0.017,0.016,0.014,0.013,0.012,0.011,0.01}),""))</f>
        <v>1637.6889153754464</v>
      </c>
      <c r="AD83" s="328" t="str">
        <f t="shared" si="34"/>
        <v>上昇トレンド▲</v>
      </c>
      <c r="AE83" s="328" t="e">
        <f t="shared" si="35"/>
        <v>#VALUE!</v>
      </c>
      <c r="AF83" t="e">
        <f>IF(T83="","",IF(銘柄管理!$F$5="上昇▲",IF(AND(AD83="下降トレンド▼",OR(AE83="25日戻り売り★",AE83="5日戻り売り○")),"★逆張り売り",IF(AND(AD83="もみ合い→",OR(AE83="25日戻り売り★",AE83="5日戻り売り○")),"○逆張り売り",IF(W83&gt;=70,IF(Z83&lt;0,"◎反落確認","△過熱・様子見"),"相場上昇・見送り"))),IF(AND(T83&gt;=12,AD83="下降トレンド▼"),"★強い売り",IF(T83&gt;=12,"★強い売り",IF(AND(T83&gt;=8,OR(AE83="25日戻り売り★",AE83="5日戻り売り○")),"◎戻り売り",IF(T83&gt;=10,"○売り候補",IF(T83&gt;=6,"△注目",IF(T83&gt;=3,"様子見","見送り"))))))))</f>
        <v>#VALUE!</v>
      </c>
      <c r="AG83">
        <f t="shared" si="36"/>
        <v>0</v>
      </c>
      <c r="AH83">
        <f t="shared" si="37"/>
        <v>0</v>
      </c>
      <c r="AI83" s="376">
        <f t="array" ref="AI83">IF(C83="","",IFERROR((INDEX(終値!$E:$E,MATCH(TEXT(C83,"0"),終値!$A:$A,0))-INDEX(終値!$E:$CZ,MATCH(TEXT(C83,"0"),終値!$A:$A,0),$AN$2))/INDEX(終値!$E:$CZ,MATCH(TEXT(C83,"0"),終値!$A:$A,0),$AN$2)*100,""))</f>
        <v>-0.94816687737041727</v>
      </c>
      <c r="AJ83" s="376">
        <f t="array" ref="AJ83">IFERROR((終値!$E$5-INDEX(終値!$E$5:$CZ$5,1,$AN$2))/INDEX(終値!$E$5:$CZ$5,1,$AN$2)*100,"")</f>
        <v>2.31989243802786</v>
      </c>
      <c r="AK83" s="377">
        <f t="shared" si="38"/>
        <v>-3.2680593153982773</v>
      </c>
      <c r="AL83" s="375">
        <f t="shared" si="39"/>
        <v>1</v>
      </c>
      <c r="AO83" s="379" t="e">
        <f t="shared" si="40"/>
        <v>#VALUE!</v>
      </c>
      <c r="AP83" s="380" t="e">
        <f t="shared" si="41"/>
        <v>#VALUE!</v>
      </c>
      <c r="AQ83">
        <f>IF(C83&lt;&gt;"",始値!F163,"")</f>
        <v>1614</v>
      </c>
      <c r="AR83">
        <f>IF(C83&lt;&gt;"",高値!F163,"")</f>
        <v>1617</v>
      </c>
      <c r="AS83">
        <f>IF(C83&lt;&gt;"",安値!F163,"")</f>
        <v>1588</v>
      </c>
      <c r="AT83" t="str">
        <f t="shared" si="42"/>
        <v>長い下ヒゲ(反発)</v>
      </c>
      <c r="AU83">
        <f t="shared" si="43"/>
        <v>-2</v>
      </c>
    </row>
    <row r="84" spans="1:47" ht="14.25" customHeight="1">
      <c r="A84" s="335" t="str">
        <f>IF(銘柄管理!B199&lt;&gt;"",HYPERLINK("https://kabutan.jp/stock/?code="&amp;銘柄管理!B199,"株探"),"")</f>
        <v>株探</v>
      </c>
      <c r="B84" s="215"/>
      <c r="C84" s="478">
        <f>IF(銘柄管理!B199="","",銘柄管理!B199)</f>
        <v>6920</v>
      </c>
      <c r="D84" s="215" t="str">
        <f>IF(銘柄管理!C199="","",銘柄管理!C199)</f>
        <v/>
      </c>
      <c r="E84" s="336" t="str">
        <f>IF(C84&lt;&gt;"",_xll.RssMarket(C84,"現在値"),"")</f>
        <v/>
      </c>
      <c r="F84" s="336" t="str">
        <f>IF(C84&lt;&gt;"",_xll.RssMarket(C84,"始値"),"")</f>
        <v/>
      </c>
      <c r="G84" s="215">
        <f>IF(C84&lt;&gt;"",終値!F199,"")</f>
        <v>49690</v>
      </c>
      <c r="H84" s="336" t="str">
        <f>IF(C84&lt;&gt;"",_xll.RssMarket(C84,"高値"),"")</f>
        <v/>
      </c>
      <c r="I84" s="336" t="str">
        <f>IF(C84&lt;&gt;"",_xll.RssMarket(C84,"安値"),"")</f>
        <v/>
      </c>
      <c r="J84" s="336" t="str">
        <f>IF(C84&lt;&gt;"",_xll.RssMarket(C84,"出来高"),"")</f>
        <v/>
      </c>
      <c r="K84" s="336" t="str">
        <f>IF(C84&lt;&gt;"",_xll.RssMarket(C84,"年初来高値"),"")</f>
        <v/>
      </c>
      <c r="L84" s="337" t="str">
        <f t="shared" si="22"/>
        <v/>
      </c>
      <c r="M84" s="336">
        <f>IF(C84&lt;&gt;"",IFERROR(AVERAGE(出来高!E199:I199),""),"")</f>
        <v>4445280</v>
      </c>
      <c r="N84" s="336">
        <f>IF(C84&lt;&gt;"",IFERROR(AVERAGE(出来高!E199:AC199),""),"")</f>
        <v>3874060</v>
      </c>
      <c r="O84" s="338" t="str">
        <f t="shared" si="23"/>
        <v/>
      </c>
      <c r="P84" s="215" t="str">
        <f t="shared" si="24"/>
        <v/>
      </c>
      <c r="Q84" s="215" t="str">
        <f t="shared" si="25"/>
        <v/>
      </c>
      <c r="R84" s="336" t="str">
        <f t="shared" si="26"/>
        <v/>
      </c>
      <c r="S84" s="336" t="str">
        <f t="shared" si="27"/>
        <v/>
      </c>
      <c r="T84" s="328">
        <f t="shared" si="28"/>
        <v>0</v>
      </c>
      <c r="U84" s="215" t="str">
        <f t="shared" si="29"/>
        <v>除外</v>
      </c>
      <c r="V84" s="215" t="str">
        <f t="shared" si="30"/>
        <v/>
      </c>
      <c r="W84" s="339">
        <f t="array" ref="W84">IFERROR(100-100/(1+SUMPRODUCT((終値!F199:R199&gt;終値!G199:S199)*(終値!F199:R199-終値!G199:S199))/SUMPRODUCT((終値!F199:R199&lt;終値!G199:S199)*(終値!G199:S199-終値!F199:R199))),50)</f>
        <v>42.086167800453509</v>
      </c>
      <c r="X84" s="340">
        <f>IF(C84&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-821.07393756541569</v>
      </c>
      <c r="Y84" s="215" t="e">
        <f t="shared" si="31"/>
        <v>#VALUE!</v>
      </c>
      <c r="Z84" s="341" t="str">
        <f t="shared" si="32"/>
        <v/>
      </c>
      <c r="AA84" s="215" t="str">
        <f t="shared" si="33"/>
        <v/>
      </c>
      <c r="AB84" s="336">
        <f>IF(OR(C84="",C84="TOPX",終値!E199=""),"",IFERROR(((終値!E199*0.333)+(終値!F199*0.222)+(終値!G199*0.148)+(終値!H199*0.099)+(終値!I199*0.066))/(0.333+0.222+0.148+0.099+0.066),""))</f>
        <v>44950.069124423964</v>
      </c>
      <c r="AC84" s="336">
        <f>IF(OR(C84="",C84="TOPX",終値!E199=""),"",IFERROR(SUMPRODUCT((終値!E199:AC199),{0.077,0.071,0.065,0.06,0.055,0.051,0.047,0.043,0.039,0.036,0.033,0.031,0.028,0.026,0.024,0.022,0.02,0.018,0.017,0.016,0.014,0.013,0.012,0.011,0.01})/SUM({0.077,0.071,0.065,0.06,0.055,0.051,0.047,0.043,0.039,0.036,0.033,0.031,0.028,0.026,0.024,0.022,0.02,0.018,0.017,0.016,0.014,0.013,0.012,0.011,0.01}),""))</f>
        <v>46931.179976162071</v>
      </c>
      <c r="AD84" s="215" t="str">
        <f t="shared" si="34"/>
        <v>上昇トレンド▲</v>
      </c>
      <c r="AE84" s="215" t="e">
        <f t="shared" si="35"/>
        <v>#VALUE!</v>
      </c>
      <c r="AF84" t="e">
        <f>IF(T84="","",IF(銘柄管理!$F$5="上昇▲",IF(AND(AD84="下降トレンド▼",OR(AE84="25日戻り売り★",AE84="5日戻り売り○")),"★逆張り売り",IF(AND(AD84="もみ合い→",OR(AE84="25日戻り売り★",AE84="5日戻り売り○")),"○逆張り売り",IF(W84&gt;=70,IF(Z84&lt;0,"◎反落確認","△過熱・様子見"),"相場上昇・見送り"))),IF(AND(T84&gt;=12,AD84="下降トレンド▼"),"★強い売り",IF(T84&gt;=12,"★強い売り",IF(AND(T84&gt;=8,OR(AE84="25日戻り売り★",AE84="5日戻り売り○")),"◎戻り売り",IF(T84&gt;=10,"○売り候補",IF(T84&gt;=6,"△注目",IF(T84&gt;=3,"様子見","見送り"))))))))</f>
        <v>#VALUE!</v>
      </c>
      <c r="AG84">
        <f t="shared" si="36"/>
        <v>0</v>
      </c>
      <c r="AH84">
        <f t="shared" si="37"/>
        <v>0</v>
      </c>
      <c r="AI84" s="376">
        <f t="array" ref="AI84">IF(C84="","",IFERROR((INDEX(終値!$E:$E,MATCH(TEXT(C84,"0"),終値!$A:$A,0))-INDEX(終値!$E:$CZ,MATCH(TEXT(C84,"0"),終値!$A:$A,0),$AN$2))/INDEX(終値!$E:$CZ,MATCH(TEXT(C84,"0"),終値!$A:$A,0),$AN$2)*100,""))</f>
        <v>3.050430504305043</v>
      </c>
      <c r="AJ84" s="376">
        <f t="array" ref="AJ84">IFERROR((終値!$E$5-INDEX(終値!$E$5:$CZ$5,1,$AN$2))/INDEX(終値!$E$5:$CZ$5,1,$AN$2)*100,"")</f>
        <v>2.31989243802786</v>
      </c>
      <c r="AK84" s="377">
        <f t="shared" si="38"/>
        <v>0.73053806627718298</v>
      </c>
      <c r="AL84" s="375">
        <f t="shared" si="39"/>
        <v>-1</v>
      </c>
      <c r="AO84" s="379" t="e">
        <f t="shared" si="40"/>
        <v>#VALUE!</v>
      </c>
      <c r="AP84" s="380" t="e">
        <f t="shared" si="41"/>
        <v>#VALUE!</v>
      </c>
      <c r="AQ84">
        <f>IF(C84&lt;&gt;"",始値!F199,"")</f>
        <v>47060</v>
      </c>
      <c r="AR84">
        <f>IF(C84&lt;&gt;"",高値!F199,"")</f>
        <v>50940</v>
      </c>
      <c r="AS84">
        <f>IF(C84&lt;&gt;"",安値!F199,"")</f>
        <v>46830</v>
      </c>
      <c r="AT84" t="str">
        <f t="shared" si="42"/>
        <v>通常</v>
      </c>
      <c r="AU84">
        <f t="shared" si="43"/>
        <v>0</v>
      </c>
    </row>
    <row r="85" spans="1:47" ht="14.25" customHeight="1">
      <c r="A85" s="327" t="str">
        <f>IF(銘柄管理!B203&lt;&gt;"",HYPERLINK("https://kabutan.jp/stock/?code="&amp;銘柄管理!B203,"株探"),"")</f>
        <v>株探</v>
      </c>
      <c r="B85" s="328"/>
      <c r="C85" s="477">
        <f>IF(銘柄管理!B203="","",銘柄管理!B203)</f>
        <v>6305</v>
      </c>
      <c r="D85" s="328" t="str">
        <f>IF(銘柄管理!C203="","",銘柄管理!C203)</f>
        <v/>
      </c>
      <c r="E85" s="329" t="str">
        <f>IF(C85&lt;&gt;"",_xll.RssMarket(C85,"現在値"),"")</f>
        <v/>
      </c>
      <c r="F85" s="329" t="str">
        <f>IF(C85&lt;&gt;"",_xll.RssMarket(C85,"始値"),"")</f>
        <v/>
      </c>
      <c r="G85" s="328">
        <f>IF(C85&lt;&gt;"",終値!F203,"")</f>
        <v>5249</v>
      </c>
      <c r="H85" s="329" t="str">
        <f>IF(C85&lt;&gt;"",_xll.RssMarket(C85,"高値"),"")</f>
        <v/>
      </c>
      <c r="I85" s="329" t="str">
        <f>IF(C85&lt;&gt;"",_xll.RssMarket(C85,"安値"),"")</f>
        <v/>
      </c>
      <c r="J85" s="329" t="str">
        <f>IF(C85&lt;&gt;"",_xll.RssMarket(C85,"出来高"),"")</f>
        <v/>
      </c>
      <c r="K85" s="329" t="str">
        <f>IF(C85&lt;&gt;"",_xll.RssMarket(C85,"年初来高値"),"")</f>
        <v/>
      </c>
      <c r="L85" s="330" t="str">
        <f t="shared" si="22"/>
        <v/>
      </c>
      <c r="M85" s="329">
        <f>IF(C85&lt;&gt;"",IFERROR(AVERAGE(出来高!E203:I203),""),"")</f>
        <v>688400</v>
      </c>
      <c r="N85" s="329">
        <f>IF(C85&lt;&gt;"",IFERROR(AVERAGE(出来高!E203:AC203),""),"")</f>
        <v>794456</v>
      </c>
      <c r="O85" s="331" t="str">
        <f t="shared" si="23"/>
        <v/>
      </c>
      <c r="P85" s="328" t="str">
        <f t="shared" si="24"/>
        <v/>
      </c>
      <c r="Q85" s="328" t="str">
        <f t="shared" si="25"/>
        <v/>
      </c>
      <c r="R85" s="329" t="str">
        <f t="shared" si="26"/>
        <v/>
      </c>
      <c r="S85" s="329" t="str">
        <f t="shared" si="27"/>
        <v/>
      </c>
      <c r="T85" s="328">
        <f t="shared" si="28"/>
        <v>0</v>
      </c>
      <c r="U85" s="328" t="str">
        <f t="shared" si="29"/>
        <v>除外</v>
      </c>
      <c r="V85" s="328" t="str">
        <f t="shared" si="30"/>
        <v/>
      </c>
      <c r="W85" s="332">
        <f t="array" ref="W85">IFERROR(100-100/(1+SUMPRODUCT((終値!F203:R203&gt;終値!G203:S203)*(終値!F203:R203-終値!G203:S203))/SUMPRODUCT((終値!F203:R203&lt;終値!G203:S203)*(終値!G203:S203-終値!F203:R203))),50)</f>
        <v>47.732696897374701</v>
      </c>
      <c r="X85" s="333">
        <f>IF(C85&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-17.866682720433346</v>
      </c>
      <c r="Y85" s="328" t="e">
        <f t="shared" si="31"/>
        <v>#VALUE!</v>
      </c>
      <c r="Z85" s="334" t="str">
        <f t="shared" si="32"/>
        <v/>
      </c>
      <c r="AA85" s="328" t="str">
        <f t="shared" si="33"/>
        <v/>
      </c>
      <c r="AB85" s="329">
        <f>IF(OR(C85="",C85="TOPX",終値!E203=""),"",IFERROR(((終値!E203*0.333)+(終値!F203*0.222)+(終値!G203*0.148)+(終値!H203*0.099)+(終値!I203*0.066))/(0.333+0.222+0.148+0.099+0.066),""))</f>
        <v>5185.89055299539</v>
      </c>
      <c r="AC85" s="329">
        <f>IF(OR(C85="",C85="TOPX",終値!E203=""),"",IFERROR(SUMPRODUCT((終値!E203:AC203),{0.077,0.071,0.065,0.06,0.055,0.051,0.047,0.043,0.039,0.036,0.033,0.031,0.028,0.026,0.024,0.022,0.02,0.018,0.017,0.016,0.014,0.013,0.012,0.011,0.01})/SUM({0.077,0.071,0.065,0.06,0.055,0.051,0.047,0.043,0.039,0.036,0.033,0.031,0.028,0.026,0.024,0.022,0.02,0.018,0.017,0.016,0.014,0.013,0.012,0.011,0.01}),""))</f>
        <v>5268.7032181168024</v>
      </c>
      <c r="AD85" s="328" t="str">
        <f t="shared" si="34"/>
        <v>上昇トレンド▲</v>
      </c>
      <c r="AE85" s="328" t="e">
        <f t="shared" si="35"/>
        <v>#VALUE!</v>
      </c>
      <c r="AF85" t="e">
        <f>IF(T85="","",IF(銘柄管理!$F$5="上昇▲",IF(AND(AD85="下降トレンド▼",OR(AE85="25日戻り売り★",AE85="5日戻り売り○")),"★逆張り売り",IF(AND(AD85="もみ合い→",OR(AE85="25日戻り売り★",AE85="5日戻り売り○")),"○逆張り売り",IF(W85&gt;=70,IF(Z85&lt;0,"◎反落確認","△過熱・様子見"),"相場上昇・見送り"))),IF(AND(T85&gt;=12,AD85="下降トレンド▼"),"★強い売り",IF(T85&gt;=12,"★強い売り",IF(AND(T85&gt;=8,OR(AE85="25日戻り売り★",AE85="5日戻り売り○")),"◎戻り売り",IF(T85&gt;=10,"○売り候補",IF(T85&gt;=6,"△注目",IF(T85&gt;=3,"様子見","見送り"))))))))</f>
        <v>#VALUE!</v>
      </c>
      <c r="AG85">
        <f t="shared" si="36"/>
        <v>0</v>
      </c>
      <c r="AH85">
        <f t="shared" si="37"/>
        <v>0</v>
      </c>
      <c r="AI85" s="376">
        <f t="array" ref="AI85">IF(C85="","",IFERROR((INDEX(終値!$E:$E,MATCH(TEXT(C85,"0"),終値!$A:$A,0))-INDEX(終値!$E:$CZ,MATCH(TEXT(C85,"0"),終値!$A:$A,0),$AN$2))/INDEX(終値!$E:$CZ,MATCH(TEXT(C85,"0"),終値!$A:$A,0),$AN$2)*100,""))</f>
        <v>-5.558633425669437</v>
      </c>
      <c r="AJ85" s="376">
        <f t="array" ref="AJ85">IFERROR((終値!$E$5-INDEX(終値!$E$5:$CZ$5,1,$AN$2))/INDEX(終値!$E$5:$CZ$5,1,$AN$2)*100,"")</f>
        <v>2.31989243802786</v>
      </c>
      <c r="AK85" s="377">
        <f t="shared" si="38"/>
        <v>-7.8785258636972966</v>
      </c>
      <c r="AL85" s="375">
        <f t="shared" si="39"/>
        <v>3</v>
      </c>
      <c r="AO85" s="379" t="e">
        <f t="shared" si="40"/>
        <v>#VALUE!</v>
      </c>
      <c r="AP85" s="380" t="e">
        <f t="shared" si="41"/>
        <v>#VALUE!</v>
      </c>
      <c r="AQ85">
        <f>IF(C85&lt;&gt;"",始値!F203,"")</f>
        <v>5307</v>
      </c>
      <c r="AR85">
        <f>IF(C85&lt;&gt;"",高値!F203,"")</f>
        <v>5341</v>
      </c>
      <c r="AS85">
        <f>IF(C85&lt;&gt;"",安値!F203,"")</f>
        <v>5189</v>
      </c>
      <c r="AT85" t="str">
        <f t="shared" si="42"/>
        <v>通常</v>
      </c>
      <c r="AU85">
        <f t="shared" si="43"/>
        <v>0</v>
      </c>
    </row>
    <row r="86" spans="1:47" ht="14.25" customHeight="1">
      <c r="A86" s="335" t="str">
        <f>IF(銘柄管理!B205&lt;&gt;"",HYPERLINK("https://kabutan.jp/stock/?code="&amp;銘柄管理!B205,"株探"),"")</f>
        <v>株探</v>
      </c>
      <c r="B86" s="215"/>
      <c r="C86" s="478">
        <f>IF(銘柄管理!B205="","",銘柄管理!B205)</f>
        <v>6758</v>
      </c>
      <c r="D86" s="215" t="str">
        <f>IF(銘柄管理!C205="","",銘柄管理!C205)</f>
        <v/>
      </c>
      <c r="E86" s="336" t="str">
        <f>IF(C86&lt;&gt;"",_xll.RssMarket(C86,"現在値"),"")</f>
        <v/>
      </c>
      <c r="F86" s="336" t="str">
        <f>IF(C86&lt;&gt;"",_xll.RssMarket(C86,"始値"),"")</f>
        <v/>
      </c>
      <c r="G86" s="215">
        <f>IF(C86&lt;&gt;"",終値!F205,"")</f>
        <v>3389</v>
      </c>
      <c r="H86" s="336" t="str">
        <f>IF(C86&lt;&gt;"",_xll.RssMarket(C86,"高値"),"")</f>
        <v/>
      </c>
      <c r="I86" s="336" t="str">
        <f>IF(C86&lt;&gt;"",_xll.RssMarket(C86,"安値"),"")</f>
        <v/>
      </c>
      <c r="J86" s="336" t="str">
        <f>IF(C86&lt;&gt;"",_xll.RssMarket(C86,"出来高"),"")</f>
        <v/>
      </c>
      <c r="K86" s="336" t="str">
        <f>IF(C86&lt;&gt;"",_xll.RssMarket(C86,"年初来高値"),"")</f>
        <v/>
      </c>
      <c r="L86" s="337" t="str">
        <f t="shared" si="22"/>
        <v/>
      </c>
      <c r="M86" s="336">
        <f>IF(C86&lt;&gt;"",IFERROR(AVERAGE(出来高!E205:I205),""),"")</f>
        <v>15357420</v>
      </c>
      <c r="N86" s="336">
        <f>IF(C86&lt;&gt;"",IFERROR(AVERAGE(出来高!E205:AC205),""),"")</f>
        <v>19181932</v>
      </c>
      <c r="O86" s="338" t="str">
        <f t="shared" si="23"/>
        <v/>
      </c>
      <c r="P86" s="215" t="str">
        <f t="shared" si="24"/>
        <v/>
      </c>
      <c r="Q86" s="215" t="str">
        <f t="shared" si="25"/>
        <v/>
      </c>
      <c r="R86" s="336" t="str">
        <f t="shared" si="26"/>
        <v/>
      </c>
      <c r="S86" s="336" t="str">
        <f t="shared" si="27"/>
        <v/>
      </c>
      <c r="T86" s="328">
        <f t="shared" si="28"/>
        <v>0</v>
      </c>
      <c r="U86" s="215" t="str">
        <f t="shared" si="29"/>
        <v>除外</v>
      </c>
      <c r="V86" s="215" t="str">
        <f t="shared" si="30"/>
        <v/>
      </c>
      <c r="W86" s="339">
        <f t="array" ref="W86">IFERROR(100-100/(1+SUMPRODUCT((終値!F205:R205&gt;終値!G205:S205)*(終値!F205:R205-終値!G205:S205))/SUMPRODUCT((終値!F205:R205&lt;終値!G205:S205)*(終値!G205:S205-終値!F205:R205))),50)</f>
        <v>67.64705882352942</v>
      </c>
      <c r="X86" s="340">
        <f>IF(C86&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23.780607310171945</v>
      </c>
      <c r="Y86" s="215" t="e">
        <f t="shared" si="31"/>
        <v>#VALUE!</v>
      </c>
      <c r="Z86" s="341" t="str">
        <f t="shared" si="32"/>
        <v/>
      </c>
      <c r="AA86" s="215" t="str">
        <f t="shared" si="33"/>
        <v/>
      </c>
      <c r="AB86" s="336">
        <f>IF(OR(C86="",C86="TOPX",終値!E205=""),"",IFERROR(((終値!E205*0.333)+(終値!F205*0.222)+(終値!G205*0.148)+(終値!H205*0.099)+(終値!I205*0.066))/(0.333+0.222+0.148+0.099+0.066),""))</f>
        <v>3411.2960829493081</v>
      </c>
      <c r="AC86" s="336">
        <f>IF(OR(C86="",C86="TOPX",終値!E205=""),"",IFERROR(SUMPRODUCT((終値!E205:AC205),{0.077,0.071,0.065,0.06,0.055,0.051,0.047,0.043,0.039,0.036,0.033,0.031,0.028,0.026,0.024,0.022,0.02,0.018,0.017,0.016,0.014,0.013,0.012,0.011,0.01})/SUM({0.077,0.071,0.065,0.06,0.055,0.051,0.047,0.043,0.039,0.036,0.033,0.031,0.028,0.026,0.024,0.022,0.02,0.018,0.017,0.016,0.014,0.013,0.012,0.011,0.01}),""))</f>
        <v>3348.1918951132279</v>
      </c>
      <c r="AD86" s="215" t="str">
        <f t="shared" si="34"/>
        <v>パーフェクト▲</v>
      </c>
      <c r="AE86" s="215" t="e">
        <f t="shared" si="35"/>
        <v>#VALUE!</v>
      </c>
      <c r="AF86" t="e">
        <f>IF(T86="","",IF(銘柄管理!$F$5="上昇▲",IF(AND(AD86="下降トレンド▼",OR(AE86="25日戻り売り★",AE86="5日戻り売り○")),"★逆張り売り",IF(AND(AD86="もみ合い→",OR(AE86="25日戻り売り★",AE86="5日戻り売り○")),"○逆張り売り",IF(W86&gt;=70,IF(Z86&lt;0,"◎反落確認","△過熱・様子見"),"相場上昇・見送り"))),IF(AND(T86&gt;=12,AD86="下降トレンド▼"),"★強い売り",IF(T86&gt;=12,"★強い売り",IF(AND(T86&gt;=8,OR(AE86="25日戻り売り★",AE86="5日戻り売り○")),"◎戻り売り",IF(T86&gt;=10,"○売り候補",IF(T86&gt;=6,"△注目",IF(T86&gt;=3,"様子見","見送り"))))))))</f>
        <v>#VALUE!</v>
      </c>
      <c r="AG86">
        <f t="shared" si="36"/>
        <v>0</v>
      </c>
      <c r="AH86">
        <f t="shared" si="37"/>
        <v>0</v>
      </c>
      <c r="AI86" s="376">
        <f t="array" ref="AI86">IF(C86="","",IFERROR((INDEX(終値!$E:$E,MATCH(TEXT(C86,"0"),終値!$A:$A,0))-INDEX(終値!$E:$CZ,MATCH(TEXT(C86,"0"),終値!$A:$A,0),$AN$2))/INDEX(終値!$E:$CZ,MATCH(TEXT(C86,"0"),終値!$A:$A,0),$AN$2)*100,""))</f>
        <v>-1.0832383124287344</v>
      </c>
      <c r="AJ86" s="376">
        <f t="array" ref="AJ86">IFERROR((終値!$E$5-INDEX(終値!$E$5:$CZ$5,1,$AN$2))/INDEX(終値!$E$5:$CZ$5,1,$AN$2)*100,"")</f>
        <v>2.31989243802786</v>
      </c>
      <c r="AK86" s="377">
        <f t="shared" si="38"/>
        <v>-3.4031307504565946</v>
      </c>
      <c r="AL86" s="375">
        <f t="shared" si="39"/>
        <v>1</v>
      </c>
      <c r="AO86" s="379" t="e">
        <f t="shared" si="40"/>
        <v>#VALUE!</v>
      </c>
      <c r="AP86" s="380" t="e">
        <f t="shared" si="41"/>
        <v>#VALUE!</v>
      </c>
      <c r="AQ86">
        <f>IF(C86&lt;&gt;"",始値!F205,"")</f>
        <v>3380</v>
      </c>
      <c r="AR86">
        <f>IF(C86&lt;&gt;"",高値!F205,"")</f>
        <v>3390</v>
      </c>
      <c r="AS86">
        <f>IF(C86&lt;&gt;"",安値!F205,"")</f>
        <v>3335</v>
      </c>
      <c r="AT86" t="str">
        <f t="shared" si="42"/>
        <v>長い下ヒゲ(反発)</v>
      </c>
      <c r="AU86">
        <f t="shared" si="43"/>
        <v>-2</v>
      </c>
    </row>
    <row r="87" spans="1:47" ht="14.25" customHeight="1">
      <c r="A87" s="327" t="str">
        <f>IF(銘柄管理!B9&lt;&gt;"",HYPERLINK("https://kabutan.jp/stock/?code="&amp;銘柄管理!B9,"株探"),"")</f>
        <v>株探</v>
      </c>
      <c r="B87" s="328"/>
      <c r="C87" s="477">
        <f>IF(銘柄管理!B9="","",銘柄管理!B9)</f>
        <v>5711</v>
      </c>
      <c r="D87" s="328" t="str">
        <f>IF(銘柄管理!C9="","",銘柄管理!C9)</f>
        <v/>
      </c>
      <c r="E87" s="329" t="str">
        <f>IF(C87&lt;&gt;"",_xll.RssMarket(C87,"現在値"),"")</f>
        <v/>
      </c>
      <c r="F87" s="329" t="str">
        <f>IF(C87&lt;&gt;"",_xll.RssMarket(C87,"始値"),"")</f>
        <v/>
      </c>
      <c r="G87" s="328">
        <f>IF(C87&lt;&gt;"",終値!F9,"")</f>
        <v>4242</v>
      </c>
      <c r="H87" s="329" t="str">
        <f>IF(C87&lt;&gt;"",_xll.RssMarket(C87,"高値"),"")</f>
        <v/>
      </c>
      <c r="I87" s="329" t="str">
        <f>IF(C87&lt;&gt;"",_xll.RssMarket(C87,"安値"),"")</f>
        <v/>
      </c>
      <c r="J87" s="329" t="str">
        <f>IF(C87&lt;&gt;"",_xll.RssMarket(C87,"出来高"),"")</f>
        <v/>
      </c>
      <c r="K87" s="329" t="str">
        <f>IF(C87&lt;&gt;"",_xll.RssMarket(C87,"年初来高値"),"")</f>
        <v/>
      </c>
      <c r="L87" s="330" t="str">
        <f t="shared" si="22"/>
        <v/>
      </c>
      <c r="M87" s="329">
        <f>IF(C87&lt;&gt;"",IFERROR(AVERAGE(出来高!E9:I9),""),"")</f>
        <v>2000760</v>
      </c>
      <c r="N87" s="329">
        <f>IF(C87&lt;&gt;"",IFERROR(AVERAGE(出来高!E9:AC9),""),"")</f>
        <v>1334616</v>
      </c>
      <c r="O87" s="331" t="str">
        <f t="shared" si="23"/>
        <v/>
      </c>
      <c r="P87" s="328" t="str">
        <f t="shared" si="24"/>
        <v/>
      </c>
      <c r="Q87" s="328" t="str">
        <f t="shared" si="25"/>
        <v/>
      </c>
      <c r="R87" s="329" t="str">
        <f t="shared" si="26"/>
        <v/>
      </c>
      <c r="S87" s="329" t="str">
        <f t="shared" si="27"/>
        <v/>
      </c>
      <c r="T87" s="328">
        <f t="shared" si="28"/>
        <v>0</v>
      </c>
      <c r="U87" s="328" t="str">
        <f t="shared" si="29"/>
        <v>除外</v>
      </c>
      <c r="V87" s="328" t="str">
        <f t="shared" si="30"/>
        <v/>
      </c>
      <c r="W87" s="332">
        <f t="array" ref="W87">IFERROR(100-100/(1+SUMPRODUCT((終値!F9:R9&gt;終値!G9:S9)*(終値!F9:R9-終値!G9:S9))/SUMPRODUCT((終値!F9:R9&lt;終値!G9:S9)*(終値!G9:S9-終値!F9:R9))),50)</f>
        <v>43.715469613259664</v>
      </c>
      <c r="X87" s="333">
        <f>IF(C87&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-66.569979183166652</v>
      </c>
      <c r="Y87" s="328" t="e">
        <f t="shared" si="31"/>
        <v>#VALUE!</v>
      </c>
      <c r="Z87" s="334" t="str">
        <f t="shared" si="32"/>
        <v/>
      </c>
      <c r="AA87" s="328" t="str">
        <f t="shared" si="33"/>
        <v/>
      </c>
      <c r="AB87" s="329">
        <f>IF(OR(C87="",C87="TOPX",終値!E9=""),"",IFERROR(((終値!E9*0.333)+(終値!F9*0.222)+(終値!G9*0.148)+(終値!H9*0.099)+(終値!I9*0.066))/(0.333+0.222+0.148+0.099+0.066),""))</f>
        <v>4089.6417050691243</v>
      </c>
      <c r="AC87" s="329">
        <f>IF(OR(C87="",C87="TOPX",終値!E9=""),"",IFERROR(SUMPRODUCT((終値!E9:AC9),{0.077,0.071,0.065,0.06,0.055,0.051,0.047,0.043,0.039,0.036,0.033,0.031,0.028,0.026,0.024,0.022,0.02,0.018,0.017,0.016,0.014,0.013,0.012,0.011,0.01})/SUM({0.077,0.071,0.065,0.06,0.055,0.051,0.047,0.043,0.039,0.036,0.033,0.031,0.028,0.026,0.024,0.022,0.02,0.018,0.017,0.016,0.014,0.013,0.012,0.011,0.01}),""))</f>
        <v>4316.2562574493431</v>
      </c>
      <c r="AD87" s="328" t="str">
        <f t="shared" si="34"/>
        <v>上昇トレンド▲</v>
      </c>
      <c r="AE87" s="328" t="e">
        <f t="shared" si="35"/>
        <v>#VALUE!</v>
      </c>
      <c r="AF87" t="e">
        <f>IF(T87="","",IF(銘柄管理!$F$5="上昇▲",IF(AND(AD87="下降トレンド▼",OR(AE87="25日戻り売り★",AE87="5日戻り売り○")),"★逆張り売り",IF(AND(AD87="もみ合い→",OR(AE87="25日戻り売り★",AE87="5日戻り売り○")),"○逆張り売り",IF(W87&gt;=70,IF(Z87&lt;0,"◎反落確認","△過熱・様子見"),"相場上昇・見送り"))),IF(AND(T87&gt;=12,AD87="下降トレンド▼"),"★強い売り",IF(T87&gt;=12,"★強い売り",IF(AND(T87&gt;=8,OR(AE87="25日戻り売り★",AE87="5日戻り売り○")),"◎戻り売り",IF(T87&gt;=10,"○売り候補",IF(T87&gt;=6,"△注目",IF(T87&gt;=3,"様子見","見送り"))))))))</f>
        <v>#VALUE!</v>
      </c>
      <c r="AG87">
        <f t="shared" si="36"/>
        <v>0</v>
      </c>
      <c r="AH87">
        <f t="shared" si="37"/>
        <v>0</v>
      </c>
      <c r="AI87" s="376">
        <f t="array" ref="AI87">IF(C87="","",IFERROR((INDEX(終値!$E:$E,MATCH(TEXT(C87,"0"),終値!$A:$A,0))-INDEX(終値!$E:$CZ,MATCH(TEXT(C87,"0"),終値!$A:$A,0),$AN$2))/INDEX(終値!$E:$CZ,MATCH(TEXT(C87,"0"),終値!$A:$A,0),$AN$2)*100,""))</f>
        <v>-13.601741022850925</v>
      </c>
      <c r="AJ87" s="376">
        <f t="array" ref="AJ87">IFERROR((終値!$E$5-INDEX(終値!$E$5:$CZ$5,1,$AN$2))/INDEX(終値!$E$5:$CZ$5,1,$AN$2)*100,"")</f>
        <v>2.31989243802786</v>
      </c>
      <c r="AK87" s="377">
        <f t="shared" si="38"/>
        <v>-15.921633460878786</v>
      </c>
      <c r="AL87" s="375">
        <f t="shared" si="39"/>
        <v>3</v>
      </c>
      <c r="AO87" s="379" t="e">
        <f t="shared" si="40"/>
        <v>#VALUE!</v>
      </c>
      <c r="AP87" s="380" t="e">
        <f t="shared" si="41"/>
        <v>#VALUE!</v>
      </c>
      <c r="AQ87">
        <f>IF(C87&lt;&gt;"",始値!F9,"")</f>
        <v>4300</v>
      </c>
      <c r="AR87">
        <f>IF(C87&lt;&gt;"",高値!F9,"")</f>
        <v>4313</v>
      </c>
      <c r="AS87">
        <f>IF(C87&lt;&gt;"",安値!F9,"")</f>
        <v>4186</v>
      </c>
      <c r="AT87" t="str">
        <f t="shared" si="42"/>
        <v>通常</v>
      </c>
      <c r="AU87">
        <f t="shared" si="43"/>
        <v>0</v>
      </c>
    </row>
    <row r="88" spans="1:47" ht="14.25" customHeight="1">
      <c r="A88" s="335" t="str">
        <f>IF(銘柄管理!B15&lt;&gt;"",HYPERLINK("https://kabutan.jp/stock/?code="&amp;銘柄管理!B15,"株探"),"")</f>
        <v>株探</v>
      </c>
      <c r="B88" s="215"/>
      <c r="C88" s="478">
        <f>IF(銘柄管理!B15="","",銘柄管理!B15)</f>
        <v>5021</v>
      </c>
      <c r="D88" s="215" t="str">
        <f>IF(銘柄管理!C15="","",銘柄管理!C15)</f>
        <v/>
      </c>
      <c r="E88" s="336" t="str">
        <f>IF(C88&lt;&gt;"",_xll.RssMarket(C88,"現在値"),"")</f>
        <v/>
      </c>
      <c r="F88" s="336" t="str">
        <f>IF(C88&lt;&gt;"",_xll.RssMarket(C88,"始値"),"")</f>
        <v/>
      </c>
      <c r="G88" s="215">
        <f>IF(C88&lt;&gt;"",終値!F15,"")</f>
        <v>3867</v>
      </c>
      <c r="H88" s="336" t="str">
        <f>IF(C88&lt;&gt;"",_xll.RssMarket(C88,"高値"),"")</f>
        <v/>
      </c>
      <c r="I88" s="336" t="str">
        <f>IF(C88&lt;&gt;"",_xll.RssMarket(C88,"安値"),"")</f>
        <v/>
      </c>
      <c r="J88" s="336" t="str">
        <f>IF(C88&lt;&gt;"",_xll.RssMarket(C88,"出来高"),"")</f>
        <v/>
      </c>
      <c r="K88" s="336" t="str">
        <f>IF(C88&lt;&gt;"",_xll.RssMarket(C88,"年初来高値"),"")</f>
        <v/>
      </c>
      <c r="L88" s="337" t="str">
        <f t="shared" si="22"/>
        <v/>
      </c>
      <c r="M88" s="336">
        <f>IF(C88&lt;&gt;"",IFERROR(AVERAGE(出来高!E15:I15),""),"")</f>
        <v>720240</v>
      </c>
      <c r="N88" s="336">
        <f>IF(C88&lt;&gt;"",IFERROR(AVERAGE(出来高!E15:AC15),""),"")</f>
        <v>696584</v>
      </c>
      <c r="O88" s="338" t="str">
        <f t="shared" si="23"/>
        <v/>
      </c>
      <c r="P88" s="215" t="str">
        <f t="shared" si="24"/>
        <v/>
      </c>
      <c r="Q88" s="215" t="str">
        <f t="shared" si="25"/>
        <v/>
      </c>
      <c r="R88" s="336" t="str">
        <f t="shared" si="26"/>
        <v/>
      </c>
      <c r="S88" s="336" t="str">
        <f t="shared" si="27"/>
        <v/>
      </c>
      <c r="T88" s="328">
        <f t="shared" si="28"/>
        <v>0</v>
      </c>
      <c r="U88" s="215" t="str">
        <f t="shared" si="29"/>
        <v>除外</v>
      </c>
      <c r="V88" s="215" t="str">
        <f t="shared" si="30"/>
        <v/>
      </c>
      <c r="W88" s="339">
        <f t="array" ref="W88">IFERROR(100-100/(1+SUMPRODUCT((終値!F15:R15&gt;終値!G15:S15)*(終値!F15:R15-終値!G15:S15))/SUMPRODUCT((終値!F15:R15&lt;終値!G15:S15)*(終値!G15:S15-終値!F15:R15))),50)</f>
        <v>69.10891089108911</v>
      </c>
      <c r="X88" s="340">
        <f>IF(C88&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25.312146999472134</v>
      </c>
      <c r="Y88" s="215" t="e">
        <f t="shared" si="31"/>
        <v>#VALUE!</v>
      </c>
      <c r="Z88" s="341" t="str">
        <f t="shared" si="32"/>
        <v/>
      </c>
      <c r="AA88" s="215" t="str">
        <f t="shared" si="33"/>
        <v/>
      </c>
      <c r="AB88" s="336">
        <f>IF(OR(C88="",C88="TOPX",終値!E15=""),"",IFERROR(((終値!E15*0.333)+(終値!F15*0.222)+(終値!G15*0.148)+(終値!H15*0.099)+(終値!I15*0.066))/(0.333+0.222+0.148+0.099+0.066),""))</f>
        <v>3835.4320276497692</v>
      </c>
      <c r="AC88" s="336">
        <f>IF(OR(C88="",C88="TOPX",終値!E15=""),"",IFERROR(SUMPRODUCT((終値!E15:AC15),{0.077,0.071,0.065,0.06,0.055,0.051,0.047,0.043,0.039,0.036,0.033,0.031,0.028,0.026,0.024,0.022,0.02,0.018,0.017,0.016,0.014,0.013,0.012,0.011,0.01})/SUM({0.077,0.071,0.065,0.06,0.055,0.051,0.047,0.043,0.039,0.036,0.033,0.031,0.028,0.026,0.024,0.022,0.02,0.018,0.017,0.016,0.014,0.013,0.012,0.011,0.01}),""))</f>
        <v>3810.1156138259826</v>
      </c>
      <c r="AD88" s="215" t="str">
        <f t="shared" si="34"/>
        <v>パーフェクト▲</v>
      </c>
      <c r="AE88" s="215" t="e">
        <f t="shared" si="35"/>
        <v>#VALUE!</v>
      </c>
      <c r="AF88" t="e">
        <f>IF(T88="","",IF(銘柄管理!$F$5="上昇▲",IF(AND(AD88="下降トレンド▼",OR(AE88="25日戻り売り★",AE88="5日戻り売り○")),"★逆張り売り",IF(AND(AD88="もみ合い→",OR(AE88="25日戻り売り★",AE88="5日戻り売り○")),"○逆張り売り",IF(W88&gt;=70,IF(Z88&lt;0,"◎反落確認","△過熱・様子見"),"相場上昇・見送り"))),IF(AND(T88&gt;=12,AD88="下降トレンド▼"),"★強い売り",IF(T88&gt;=12,"★強い売り",IF(AND(T88&gt;=8,OR(AE88="25日戻り売り★",AE88="5日戻り売り○")),"◎戻り売り",IF(T88&gt;=10,"○売り候補",IF(T88&gt;=6,"△注目",IF(T88&gt;=3,"様子見","見送り"))))))))</f>
        <v>#VALUE!</v>
      </c>
      <c r="AG88">
        <f t="shared" si="36"/>
        <v>0</v>
      </c>
      <c r="AH88">
        <f t="shared" si="37"/>
        <v>0</v>
      </c>
      <c r="AI88" s="376">
        <f t="array" ref="AI88">IF(C88="","",IFERROR((INDEX(終値!$E:$E,MATCH(TEXT(C88,"0"),終値!$A:$A,0))-INDEX(終値!$E:$CZ,MATCH(TEXT(C88,"0"),終値!$A:$A,0),$AN$2))/INDEX(終値!$E:$CZ,MATCH(TEXT(C88,"0"),終値!$A:$A,0),$AN$2)*100,""))</f>
        <v>5.2983825989960955</v>
      </c>
      <c r="AJ88" s="376">
        <f t="array" ref="AJ88">IFERROR((終値!$E$5-INDEX(終値!$E$5:$CZ$5,1,$AN$2))/INDEX(終値!$E$5:$CZ$5,1,$AN$2)*100,"")</f>
        <v>2.31989243802786</v>
      </c>
      <c r="AK88" s="377">
        <f t="shared" si="38"/>
        <v>2.9784901609682355</v>
      </c>
      <c r="AL88" s="375">
        <f t="shared" si="39"/>
        <v>-1</v>
      </c>
      <c r="AO88" s="379" t="e">
        <f t="shared" si="40"/>
        <v>#VALUE!</v>
      </c>
      <c r="AP88" s="380" t="e">
        <f t="shared" si="41"/>
        <v>#VALUE!</v>
      </c>
      <c r="AQ88">
        <f>IF(C88&lt;&gt;"",始値!F15,"")</f>
        <v>3877</v>
      </c>
      <c r="AR88">
        <f>IF(C88&lt;&gt;"",高値!F15,"")</f>
        <v>3902</v>
      </c>
      <c r="AS88">
        <f>IF(C88&lt;&gt;"",安値!F15,"")</f>
        <v>3843</v>
      </c>
      <c r="AT88" t="str">
        <f t="shared" si="42"/>
        <v>通常</v>
      </c>
      <c r="AU88">
        <f t="shared" si="43"/>
        <v>0</v>
      </c>
    </row>
    <row r="89" spans="1:47" ht="14.25" customHeight="1">
      <c r="A89" s="327" t="str">
        <f>IF(銘柄管理!B16&lt;&gt;"",HYPERLINK("https://kabutan.jp/stock/?code="&amp;銘柄管理!B16,"株探"),"")</f>
        <v>株探</v>
      </c>
      <c r="B89" s="328"/>
      <c r="C89" s="477">
        <f>IF(銘柄管理!B16="","",銘柄管理!B16)</f>
        <v>8058</v>
      </c>
      <c r="D89" s="328" t="str">
        <f>IF(銘柄管理!C16="","",銘柄管理!C16)</f>
        <v/>
      </c>
      <c r="E89" s="329" t="str">
        <f>IF(C89&lt;&gt;"",_xll.RssMarket(C89,"現在値"),"")</f>
        <v/>
      </c>
      <c r="F89" s="329" t="str">
        <f>IF(C89&lt;&gt;"",_xll.RssMarket(C89,"始値"),"")</f>
        <v/>
      </c>
      <c r="G89" s="328">
        <f>IF(C89&lt;&gt;"",終値!F16,"")</f>
        <v>4585</v>
      </c>
      <c r="H89" s="329" t="str">
        <f>IF(C89&lt;&gt;"",_xll.RssMarket(C89,"高値"),"")</f>
        <v/>
      </c>
      <c r="I89" s="329" t="str">
        <f>IF(C89&lt;&gt;"",_xll.RssMarket(C89,"安値"),"")</f>
        <v/>
      </c>
      <c r="J89" s="329" t="str">
        <f>IF(C89&lt;&gt;"",_xll.RssMarket(C89,"出来高"),"")</f>
        <v/>
      </c>
      <c r="K89" s="329" t="str">
        <f>IF(C89&lt;&gt;"",_xll.RssMarket(C89,"年初来高値"),"")</f>
        <v/>
      </c>
      <c r="L89" s="330" t="str">
        <f t="shared" si="22"/>
        <v/>
      </c>
      <c r="M89" s="329">
        <f>IF(C89&lt;&gt;"",IFERROR(AVERAGE(出来高!E16:I16),""),"")</f>
        <v>7008040</v>
      </c>
      <c r="N89" s="329">
        <f>IF(C89&lt;&gt;"",IFERROR(AVERAGE(出来高!E16:AC16),""),"")</f>
        <v>8664516</v>
      </c>
      <c r="O89" s="331" t="str">
        <f t="shared" si="23"/>
        <v/>
      </c>
      <c r="P89" s="328" t="str">
        <f t="shared" si="24"/>
        <v/>
      </c>
      <c r="Q89" s="328" t="str">
        <f t="shared" si="25"/>
        <v/>
      </c>
      <c r="R89" s="329" t="str">
        <f t="shared" si="26"/>
        <v/>
      </c>
      <c r="S89" s="329" t="str">
        <f t="shared" si="27"/>
        <v/>
      </c>
      <c r="T89" s="328">
        <f t="shared" si="28"/>
        <v>0</v>
      </c>
      <c r="U89" s="328" t="str">
        <f t="shared" si="29"/>
        <v>除外</v>
      </c>
      <c r="V89" s="328" t="str">
        <f t="shared" si="30"/>
        <v/>
      </c>
      <c r="W89" s="332">
        <f t="array" ref="W89">IFERROR(100-100/(1+SUMPRODUCT((終値!F16:R16&gt;終値!G16:S16)*(終値!F16:R16-終値!G16:S16))/SUMPRODUCT((終値!F16:R16&lt;終値!G16:S16)*(終値!G16:S16-終値!F16:R16))),50)</f>
        <v>67.75431861804222</v>
      </c>
      <c r="X89" s="333">
        <f>IF(C89&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-9.0675850484967668</v>
      </c>
      <c r="Y89" s="328" t="e">
        <f t="shared" si="31"/>
        <v>#VALUE!</v>
      </c>
      <c r="Z89" s="334" t="str">
        <f t="shared" si="32"/>
        <v/>
      </c>
      <c r="AA89" s="328" t="str">
        <f t="shared" si="33"/>
        <v/>
      </c>
      <c r="AB89" s="329">
        <f>IF(OR(C89="",C89="TOPX",終値!E16=""),"",IFERROR(((終値!E16*0.333)+(終値!F16*0.222)+(終値!G16*0.148)+(終値!H16*0.099)+(終値!I16*0.066))/(0.333+0.222+0.148+0.099+0.066),""))</f>
        <v>4486.9619815668193</v>
      </c>
      <c r="AC89" s="329">
        <f>IF(OR(C89="",C89="TOPX",終値!E16=""),"",IFERROR(SUMPRODUCT((終値!E16:AC16),{0.077,0.071,0.065,0.06,0.055,0.051,0.047,0.043,0.039,0.036,0.033,0.031,0.028,0.026,0.024,0.022,0.02,0.018,0.017,0.016,0.014,0.013,0.012,0.011,0.01})/SUM({0.077,0.071,0.065,0.06,0.055,0.051,0.047,0.043,0.039,0.036,0.033,0.031,0.028,0.026,0.024,0.022,0.02,0.018,0.017,0.016,0.014,0.013,0.012,0.011,0.01}),""))</f>
        <v>4476.8379022645995</v>
      </c>
      <c r="AD89" s="328" t="str">
        <f t="shared" si="34"/>
        <v>パーフェクト▲</v>
      </c>
      <c r="AE89" s="328" t="e">
        <f t="shared" si="35"/>
        <v>#VALUE!</v>
      </c>
      <c r="AF89" t="e">
        <f>IF(T89="","",IF(銘柄管理!$F$5="上昇▲",IF(AND(AD89="下降トレンド▼",OR(AE89="25日戻り売り★",AE89="5日戻り売り○")),"★逆張り売り",IF(AND(AD89="もみ合い→",OR(AE89="25日戻り売り★",AE89="5日戻り売り○")),"○逆張り売り",IF(W89&gt;=70,IF(Z89&lt;0,"◎反落確認","△過熱・様子見"),"相場上昇・見送り"))),IF(AND(T89&gt;=12,AD89="下降トレンド▼"),"★強い売り",IF(T89&gt;=12,"★強い売り",IF(AND(T89&gt;=8,OR(AE89="25日戻り売り★",AE89="5日戻り売り○")),"◎戻り売り",IF(T89&gt;=10,"○売り候補",IF(T89&gt;=6,"△注目",IF(T89&gt;=3,"様子見","見送り"))))))))</f>
        <v>#VALUE!</v>
      </c>
      <c r="AG89">
        <f t="shared" si="36"/>
        <v>0</v>
      </c>
      <c r="AH89">
        <f t="shared" si="37"/>
        <v>0</v>
      </c>
      <c r="AI89" s="376">
        <f t="array" ref="AI89">IF(C89="","",IFERROR((INDEX(終値!$E:$E,MATCH(TEXT(C89,"0"),終値!$A:$A,0))-INDEX(終値!$E:$CZ,MATCH(TEXT(C89,"0"),終値!$A:$A,0),$AN$2))/INDEX(終値!$E:$CZ,MATCH(TEXT(C89,"0"),終値!$A:$A,0),$AN$2)*100,""))</f>
        <v>-7.9867577074280982</v>
      </c>
      <c r="AJ89" s="376">
        <f t="array" ref="AJ89">IFERROR((終値!$E$5-INDEX(終値!$E$5:$CZ$5,1,$AN$2))/INDEX(終値!$E$5:$CZ$5,1,$AN$2)*100,"")</f>
        <v>2.31989243802786</v>
      </c>
      <c r="AK89" s="377">
        <f t="shared" si="38"/>
        <v>-10.306650145455958</v>
      </c>
      <c r="AL89" s="375">
        <f t="shared" si="39"/>
        <v>3</v>
      </c>
      <c r="AO89" s="379" t="e">
        <f t="shared" si="40"/>
        <v>#VALUE!</v>
      </c>
      <c r="AP89" s="380" t="e">
        <f t="shared" si="41"/>
        <v>#VALUE!</v>
      </c>
      <c r="AQ89">
        <f>IF(C89&lt;&gt;"",始値!F16,"")</f>
        <v>4548</v>
      </c>
      <c r="AR89">
        <f>IF(C89&lt;&gt;"",高値!F16,"")</f>
        <v>4606</v>
      </c>
      <c r="AS89">
        <f>IF(C89&lt;&gt;"",安値!F16,"")</f>
        <v>4530</v>
      </c>
      <c r="AT89" t="str">
        <f t="shared" si="42"/>
        <v>通常</v>
      </c>
      <c r="AU89">
        <f t="shared" si="43"/>
        <v>0</v>
      </c>
    </row>
    <row r="90" spans="1:47" ht="14.25" customHeight="1">
      <c r="A90" s="335" t="str">
        <f>IF(銘柄管理!B20&lt;&gt;"",HYPERLINK("https://kabutan.jp/stock/?code="&amp;銘柄管理!B20,"株探"),"")</f>
        <v>株探</v>
      </c>
      <c r="B90" s="215"/>
      <c r="C90" s="478">
        <f>IF(銘柄管理!B20="","",銘柄管理!B20)</f>
        <v>5541</v>
      </c>
      <c r="D90" s="215" t="str">
        <f>IF(銘柄管理!C20="","",銘柄管理!C20)</f>
        <v/>
      </c>
      <c r="E90" s="336" t="str">
        <f>IF(C90&lt;&gt;"",_xll.RssMarket(C90,"現在値"),"")</f>
        <v/>
      </c>
      <c r="F90" s="336" t="str">
        <f>IF(C90&lt;&gt;"",_xll.RssMarket(C90,"始値"),"")</f>
        <v/>
      </c>
      <c r="G90" s="215">
        <f>IF(C90&lt;&gt;"",終値!F20,"")</f>
        <v>2295</v>
      </c>
      <c r="H90" s="336" t="str">
        <f>IF(C90&lt;&gt;"",_xll.RssMarket(C90,"高値"),"")</f>
        <v/>
      </c>
      <c r="I90" s="336" t="str">
        <f>IF(C90&lt;&gt;"",_xll.RssMarket(C90,"安値"),"")</f>
        <v/>
      </c>
      <c r="J90" s="336" t="str">
        <f>IF(C90&lt;&gt;"",_xll.RssMarket(C90,"出来高"),"")</f>
        <v/>
      </c>
      <c r="K90" s="336" t="str">
        <f>IF(C90&lt;&gt;"",_xll.RssMarket(C90,"年初来高値"),"")</f>
        <v/>
      </c>
      <c r="L90" s="337" t="str">
        <f t="shared" si="22"/>
        <v/>
      </c>
      <c r="M90" s="336">
        <f>IF(C90&lt;&gt;"",IFERROR(AVERAGE(出来高!E20:I20),""),"")</f>
        <v>171840</v>
      </c>
      <c r="N90" s="336">
        <f>IF(C90&lt;&gt;"",IFERROR(AVERAGE(出来高!E20:AC20),""),"")</f>
        <v>194108</v>
      </c>
      <c r="O90" s="338" t="str">
        <f t="shared" si="23"/>
        <v/>
      </c>
      <c r="P90" s="215" t="str">
        <f t="shared" si="24"/>
        <v/>
      </c>
      <c r="Q90" s="215" t="str">
        <f t="shared" si="25"/>
        <v/>
      </c>
      <c r="R90" s="336" t="str">
        <f t="shared" si="26"/>
        <v/>
      </c>
      <c r="S90" s="336" t="str">
        <f t="shared" si="27"/>
        <v/>
      </c>
      <c r="T90" s="328">
        <f t="shared" si="28"/>
        <v>0</v>
      </c>
      <c r="U90" s="215" t="str">
        <f t="shared" si="29"/>
        <v>除外</v>
      </c>
      <c r="V90" s="215" t="str">
        <f t="shared" si="30"/>
        <v/>
      </c>
      <c r="W90" s="339">
        <f t="array" ref="W90">IFERROR(100-100/(1+SUMPRODUCT((終値!F20:R20&gt;終値!G20:S20)*(終値!F20:R20-終値!G20:S20))/SUMPRODUCT((終値!F20:R20&lt;終値!G20:S20)*(終値!G20:S20-終値!F20:R20))),50)</f>
        <v>63.30472103004292</v>
      </c>
      <c r="X90" s="340">
        <f>IF(C90&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10.555331775719424</v>
      </c>
      <c r="Y90" s="215" t="e">
        <f t="shared" si="31"/>
        <v>#VALUE!</v>
      </c>
      <c r="Z90" s="341" t="str">
        <f t="shared" si="32"/>
        <v/>
      </c>
      <c r="AA90" s="215" t="str">
        <f t="shared" si="33"/>
        <v/>
      </c>
      <c r="AB90" s="336">
        <f>IF(OR(C90="",C90="TOPX",終値!E20=""),"",IFERROR(((終値!E20*0.333)+(終値!F20*0.222)+(終値!G20*0.148)+(終値!H20*0.099)+(終値!I20*0.066))/(0.333+0.222+0.148+0.099+0.066),""))</f>
        <v>2274.057603686636</v>
      </c>
      <c r="AC90" s="336">
        <f>IF(OR(C90="",C90="TOPX",終値!E20=""),"",IFERROR(SUMPRODUCT((終値!E20:AC20),{0.077,0.071,0.065,0.06,0.055,0.051,0.047,0.043,0.039,0.036,0.033,0.031,0.028,0.026,0.024,0.022,0.02,0.018,0.017,0.016,0.014,0.013,0.012,0.011,0.01})/SUM({0.077,0.071,0.065,0.06,0.055,0.051,0.047,0.043,0.039,0.036,0.033,0.031,0.028,0.026,0.024,0.022,0.02,0.018,0.017,0.016,0.014,0.013,0.012,0.011,0.01}),""))</f>
        <v>2246.07389749702</v>
      </c>
      <c r="AD90" s="215" t="str">
        <f t="shared" si="34"/>
        <v>パーフェクト▲</v>
      </c>
      <c r="AE90" s="215" t="e">
        <f t="shared" si="35"/>
        <v>#VALUE!</v>
      </c>
      <c r="AF90" t="e">
        <f>IF(T90="","",IF(銘柄管理!$F$5="上昇▲",IF(AND(AD90="下降トレンド▼",OR(AE90="25日戻り売り★",AE90="5日戻り売り○")),"★逆張り売り",IF(AND(AD90="もみ合い→",OR(AE90="25日戻り売り★",AE90="5日戻り売り○")),"○逆張り売り",IF(W90&gt;=70,IF(Z90&lt;0,"◎反落確認","△過熱・様子見"),"相場上昇・見送り"))),IF(AND(T90&gt;=12,AD90="下降トレンド▼"),"★強い売り",IF(T90&gt;=12,"★強い売り",IF(AND(T90&gt;=8,OR(AE90="25日戻り売り★",AE90="5日戻り売り○")),"◎戻り売り",IF(T90&gt;=10,"○売り候補",IF(T90&gt;=6,"△注目",IF(T90&gt;=3,"様子見","見送り"))))))))</f>
        <v>#VALUE!</v>
      </c>
      <c r="AG90">
        <f t="shared" si="36"/>
        <v>0</v>
      </c>
      <c r="AH90">
        <f t="shared" si="37"/>
        <v>0</v>
      </c>
      <c r="AI90" s="376">
        <f t="array" ref="AI90">IF(C90="","",IFERROR((INDEX(終値!$E:$E,MATCH(TEXT(C90,"0"),終値!$A:$A,0))-INDEX(終値!$E:$CZ,MATCH(TEXT(C90,"0"),終値!$A:$A,0),$AN$2))/INDEX(終値!$E:$CZ,MATCH(TEXT(C90,"0"),終値!$A:$A,0),$AN$2)*100,""))</f>
        <v>3.2272727272727271</v>
      </c>
      <c r="AJ90" s="376">
        <f t="array" ref="AJ90">IFERROR((終値!$E$5-INDEX(終値!$E$5:$CZ$5,1,$AN$2))/INDEX(終値!$E$5:$CZ$5,1,$AN$2)*100,"")</f>
        <v>2.31989243802786</v>
      </c>
      <c r="AK90" s="377">
        <f t="shared" si="38"/>
        <v>0.90738028924486702</v>
      </c>
      <c r="AL90" s="375">
        <f t="shared" si="39"/>
        <v>-1</v>
      </c>
      <c r="AO90" s="379" t="e">
        <f t="shared" si="40"/>
        <v>#VALUE!</v>
      </c>
      <c r="AP90" s="380" t="e">
        <f t="shared" si="41"/>
        <v>#VALUE!</v>
      </c>
      <c r="AQ90">
        <f>IF(C90&lt;&gt;"",始値!F20,"")</f>
        <v>2300</v>
      </c>
      <c r="AR90">
        <f>IF(C90&lt;&gt;"",高値!F20,"")</f>
        <v>2320</v>
      </c>
      <c r="AS90">
        <f>IF(C90&lt;&gt;"",安値!F20,"")</f>
        <v>2266</v>
      </c>
      <c r="AT90" t="str">
        <f t="shared" si="42"/>
        <v>通常</v>
      </c>
      <c r="AU90">
        <f t="shared" si="43"/>
        <v>0</v>
      </c>
    </row>
    <row r="91" spans="1:47" ht="14.25" customHeight="1">
      <c r="A91" s="327" t="str">
        <f>IF(銘柄管理!B23&lt;&gt;"",HYPERLINK("https://kabutan.jp/stock/?code="&amp;銘柄管理!B23,"株探"),"")</f>
        <v>株探</v>
      </c>
      <c r="B91" s="328"/>
      <c r="C91" s="477">
        <f>IF(銘柄管理!B23="","",銘柄管理!B23)</f>
        <v>8795</v>
      </c>
      <c r="D91" s="328" t="str">
        <f>IF(銘柄管理!C23="","",銘柄管理!C23)</f>
        <v/>
      </c>
      <c r="E91" s="329" t="str">
        <f>IF(C91&lt;&gt;"",_xll.RssMarket(C91,"現在値"),"")</f>
        <v/>
      </c>
      <c r="F91" s="329" t="str">
        <f>IF(C91&lt;&gt;"",_xll.RssMarket(C91,"始値"),"")</f>
        <v/>
      </c>
      <c r="G91" s="328">
        <f>IF(C91&lt;&gt;"",終値!F23,"")</f>
        <v>5050</v>
      </c>
      <c r="H91" s="329" t="str">
        <f>IF(C91&lt;&gt;"",_xll.RssMarket(C91,"高値"),"")</f>
        <v/>
      </c>
      <c r="I91" s="329" t="str">
        <f>IF(C91&lt;&gt;"",_xll.RssMarket(C91,"安値"),"")</f>
        <v/>
      </c>
      <c r="J91" s="329" t="str">
        <f>IF(C91&lt;&gt;"",_xll.RssMarket(C91,"出来高"),"")</f>
        <v/>
      </c>
      <c r="K91" s="329" t="str">
        <f>IF(C91&lt;&gt;"",_xll.RssMarket(C91,"年初来高値"),"")</f>
        <v/>
      </c>
      <c r="L91" s="330" t="str">
        <f t="shared" si="22"/>
        <v/>
      </c>
      <c r="M91" s="329">
        <f>IF(C91&lt;&gt;"",IFERROR(AVERAGE(出来高!E23:I23),""),"")</f>
        <v>1222580</v>
      </c>
      <c r="N91" s="329">
        <f>IF(C91&lt;&gt;"",IFERROR(AVERAGE(出来高!E23:AC23),""),"")</f>
        <v>1943060</v>
      </c>
      <c r="O91" s="331" t="str">
        <f t="shared" si="23"/>
        <v/>
      </c>
      <c r="P91" s="328" t="str">
        <f t="shared" si="24"/>
        <v/>
      </c>
      <c r="Q91" s="328" t="str">
        <f t="shared" si="25"/>
        <v/>
      </c>
      <c r="R91" s="329" t="str">
        <f t="shared" si="26"/>
        <v/>
      </c>
      <c r="S91" s="329" t="str">
        <f t="shared" si="27"/>
        <v/>
      </c>
      <c r="T91" s="328">
        <f t="shared" si="28"/>
        <v>0</v>
      </c>
      <c r="U91" s="328" t="str">
        <f t="shared" si="29"/>
        <v>除外</v>
      </c>
      <c r="V91" s="328" t="str">
        <f t="shared" si="30"/>
        <v/>
      </c>
      <c r="W91" s="332">
        <f t="array" ref="W91">IFERROR(100-100/(1+SUMPRODUCT((終値!F23:R23&gt;終値!G23:S23)*(終値!F23:R23-終値!G23:S23))/SUMPRODUCT((終値!F23:R23&lt;終値!G23:S23)*(終値!G23:S23-終値!F23:R23))),50)</f>
        <v>76.470588235294116</v>
      </c>
      <c r="X91" s="333">
        <f>IF(C91&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30.417258069011041</v>
      </c>
      <c r="Y91" s="328" t="e">
        <f t="shared" si="31"/>
        <v>#VALUE!</v>
      </c>
      <c r="Z91" s="334" t="str">
        <f t="shared" si="32"/>
        <v/>
      </c>
      <c r="AA91" s="328" t="str">
        <f t="shared" si="33"/>
        <v/>
      </c>
      <c r="AB91" s="329">
        <f>IF(OR(C91="",C91="TOPX",終値!E23=""),"",IFERROR(((終値!E23*0.333)+(終値!F23*0.222)+(終値!G23*0.148)+(終値!H23*0.099)+(終値!I23*0.066))/(0.333+0.222+0.148+0.099+0.066),""))</f>
        <v>4910.5910138248828</v>
      </c>
      <c r="AC91" s="329">
        <f>IF(OR(C91="",C91="TOPX",終値!E23=""),"",IFERROR(SUMPRODUCT((終値!E23:AC23),{0.077,0.071,0.065,0.06,0.055,0.051,0.047,0.043,0.039,0.036,0.033,0.031,0.028,0.026,0.024,0.022,0.02,0.018,0.017,0.016,0.014,0.013,0.012,0.011,0.01})/SUM({0.077,0.071,0.065,0.06,0.055,0.051,0.047,0.043,0.039,0.036,0.033,0.031,0.028,0.026,0.024,0.022,0.02,0.018,0.017,0.016,0.014,0.013,0.012,0.011,0.01}),""))</f>
        <v>4874.9594755661474</v>
      </c>
      <c r="AD91" s="328" t="str">
        <f t="shared" si="34"/>
        <v>パーフェクト▲</v>
      </c>
      <c r="AE91" s="328" t="e">
        <f t="shared" si="35"/>
        <v>#VALUE!</v>
      </c>
      <c r="AF91" t="e">
        <f>IF(T91="","",IF(銘柄管理!$F$5="上昇▲",IF(AND(AD91="下降トレンド▼",OR(AE91="25日戻り売り★",AE91="5日戻り売り○")),"★逆張り売り",IF(AND(AD91="もみ合い→",OR(AE91="25日戻り売り★",AE91="5日戻り売り○")),"○逆張り売り",IF(W91&gt;=70,IF(Z91&lt;0,"◎反落確認","△過熱・様子見"),"相場上昇・見送り"))),IF(AND(T91&gt;=12,AD91="下降トレンド▼"),"★強い売り",IF(T91&gt;=12,"★強い売り",IF(AND(T91&gt;=8,OR(AE91="25日戻り売り★",AE91="5日戻り売り○")),"◎戻り売り",IF(T91&gt;=10,"○売り候補",IF(T91&gt;=6,"△注目",IF(T91&gt;=3,"様子見","見送り"))))))))</f>
        <v>#VALUE!</v>
      </c>
      <c r="AG91">
        <f t="shared" si="36"/>
        <v>0</v>
      </c>
      <c r="AH91">
        <f t="shared" si="37"/>
        <v>0</v>
      </c>
      <c r="AI91" s="376">
        <f t="array" ref="AI91">IF(C91="","",IFERROR((INDEX(終値!$E:$E,MATCH(TEXT(C91,"0"),終値!$A:$A,0))-INDEX(終値!$E:$CZ,MATCH(TEXT(C91,"0"),終値!$A:$A,0),$AN$2))/INDEX(終値!$E:$CZ,MATCH(TEXT(C91,"0"),終値!$A:$A,0),$AN$2)*100,""))</f>
        <v>9.0557451649601806</v>
      </c>
      <c r="AJ91" s="376">
        <f t="array" ref="AJ91">IFERROR((終値!$E$5-INDEX(終値!$E$5:$CZ$5,1,$AN$2))/INDEX(終値!$E$5:$CZ$5,1,$AN$2)*100,"")</f>
        <v>2.31989243802786</v>
      </c>
      <c r="AK91" s="377">
        <f t="shared" si="38"/>
        <v>6.7358527269323201</v>
      </c>
      <c r="AL91" s="375">
        <f t="shared" si="39"/>
        <v>-2</v>
      </c>
      <c r="AO91" s="379" t="e">
        <f t="shared" si="40"/>
        <v>#VALUE!</v>
      </c>
      <c r="AP91" s="380" t="e">
        <f t="shared" si="41"/>
        <v>#VALUE!</v>
      </c>
      <c r="AQ91">
        <f>IF(C91&lt;&gt;"",始値!F23,"")</f>
        <v>5007</v>
      </c>
      <c r="AR91">
        <f>IF(C91&lt;&gt;"",高値!F23,"")</f>
        <v>5065</v>
      </c>
      <c r="AS91">
        <f>IF(C91&lt;&gt;"",安値!F23,"")</f>
        <v>4993</v>
      </c>
      <c r="AT91" t="str">
        <f t="shared" si="42"/>
        <v>通常</v>
      </c>
      <c r="AU91">
        <f t="shared" si="43"/>
        <v>0</v>
      </c>
    </row>
    <row r="92" spans="1:47" ht="14.25" customHeight="1">
      <c r="A92" s="335" t="str">
        <f>IF(銘柄管理!B35&lt;&gt;"",HYPERLINK("https://kabutan.jp/stock/?code="&amp;銘柄管理!B35,"株探"),"")</f>
        <v>株探</v>
      </c>
      <c r="B92" s="215"/>
      <c r="C92" s="478">
        <f>IF(銘柄管理!B35="","",銘柄管理!B35)</f>
        <v>8308</v>
      </c>
      <c r="D92" s="215" t="str">
        <f>IF(銘柄管理!C35="","",銘柄管理!C35)</f>
        <v/>
      </c>
      <c r="E92" s="336" t="str">
        <f>IF(C92&lt;&gt;"",_xll.RssMarket(C92,"現在値"),"")</f>
        <v/>
      </c>
      <c r="F92" s="336" t="str">
        <f>IF(C92&lt;&gt;"",_xll.RssMarket(C92,"始値"),"")</f>
        <v/>
      </c>
      <c r="G92" s="215">
        <f>IF(C92&lt;&gt;"",終値!F35,"")</f>
        <v>2379.5</v>
      </c>
      <c r="H92" s="336" t="str">
        <f>IF(C92&lt;&gt;"",_xll.RssMarket(C92,"高値"),"")</f>
        <v/>
      </c>
      <c r="I92" s="336" t="str">
        <f>IF(C92&lt;&gt;"",_xll.RssMarket(C92,"安値"),"")</f>
        <v/>
      </c>
      <c r="J92" s="336" t="str">
        <f>IF(C92&lt;&gt;"",_xll.RssMarket(C92,"出来高"),"")</f>
        <v/>
      </c>
      <c r="K92" s="336" t="str">
        <f>IF(C92&lt;&gt;"",_xll.RssMarket(C92,"年初来高値"),"")</f>
        <v/>
      </c>
      <c r="L92" s="337" t="str">
        <f t="shared" si="22"/>
        <v/>
      </c>
      <c r="M92" s="336">
        <f>IF(C92&lt;&gt;"",IFERROR(AVERAGE(出来高!E35:I35),""),"")</f>
        <v>8151200</v>
      </c>
      <c r="N92" s="336">
        <f>IF(C92&lt;&gt;"",IFERROR(AVERAGE(出来高!E35:AC35),""),"")</f>
        <v>9425236</v>
      </c>
      <c r="O92" s="338" t="str">
        <f t="shared" si="23"/>
        <v/>
      </c>
      <c r="P92" s="215" t="str">
        <f t="shared" si="24"/>
        <v/>
      </c>
      <c r="Q92" s="215" t="str">
        <f t="shared" si="25"/>
        <v/>
      </c>
      <c r="R92" s="336" t="str">
        <f t="shared" si="26"/>
        <v/>
      </c>
      <c r="S92" s="336" t="str">
        <f t="shared" si="27"/>
        <v/>
      </c>
      <c r="T92" s="328">
        <f t="shared" si="28"/>
        <v>0</v>
      </c>
      <c r="U92" s="215" t="str">
        <f t="shared" si="29"/>
        <v>除外</v>
      </c>
      <c r="V92" s="215" t="str">
        <f t="shared" si="30"/>
        <v/>
      </c>
      <c r="W92" s="339">
        <f t="array" ref="W92">IFERROR(100-100/(1+SUMPRODUCT((終値!F35:R35&gt;終値!G35:S35)*(終値!F35:R35-終値!G35:S35))/SUMPRODUCT((終値!F35:R35&lt;終値!G35:S35)*(終値!G35:S35-終値!F35:R35))),50)</f>
        <v>90.014684287812045</v>
      </c>
      <c r="X92" s="340">
        <f>IF(C92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28.528518661514681</v>
      </c>
      <c r="Y92" s="215" t="e">
        <f t="shared" si="31"/>
        <v>#VALUE!</v>
      </c>
      <c r="Z92" s="341" t="str">
        <f t="shared" si="32"/>
        <v/>
      </c>
      <c r="AA92" s="215" t="str">
        <f t="shared" si="33"/>
        <v/>
      </c>
      <c r="AB92" s="336">
        <f>IF(OR(C92="",C92="TOPX",終値!E35=""),"",IFERROR(((終値!E35*0.333)+(終値!F35*0.222)+(終値!G35*0.148)+(終値!H35*0.099)+(終値!I35*0.066))/(0.333+0.222+0.148+0.099+0.066),""))</f>
        <v>2313.13133640553</v>
      </c>
      <c r="AC92" s="336">
        <f>IF(OR(C92="",C92="TOPX",終値!E35=""),"",IFERROR(SUMPRODUCT((終値!E35:AC35),{0.077,0.071,0.065,0.06,0.055,0.051,0.047,0.043,0.039,0.036,0.033,0.031,0.028,0.026,0.024,0.022,0.02,0.018,0.017,0.016,0.014,0.013,0.012,0.011,0.01})/SUM({0.077,0.071,0.065,0.06,0.055,0.051,0.047,0.043,0.039,0.036,0.033,0.031,0.028,0.026,0.024,0.022,0.02,0.018,0.017,0.016,0.014,0.013,0.012,0.011,0.01}),""))</f>
        <v>2252.2205005959472</v>
      </c>
      <c r="AD92" s="215" t="str">
        <f t="shared" si="34"/>
        <v>パーフェクト▲</v>
      </c>
      <c r="AE92" s="215" t="e">
        <f t="shared" si="35"/>
        <v>#VALUE!</v>
      </c>
      <c r="AF92" t="e">
        <f>IF(T92="","",IF(銘柄管理!$F$5="上昇▲",IF(AND(AD92="下降トレンド▼",OR(AE92="25日戻り売り★",AE92="5日戻り売り○")),"★逆張り売り",IF(AND(AD92="もみ合い→",OR(AE92="25日戻り売り★",AE92="5日戻り売り○")),"○逆張り売り",IF(W92&gt;=70,IF(Z92&lt;0,"◎反落確認","△過熱・様子見"),"相場上昇・見送り"))),IF(AND(T92&gt;=12,AD92="下降トレンド▼"),"★強い売り",IF(T92&gt;=12,"★強い売り",IF(AND(T92&gt;=8,OR(AE92="25日戻り売り★",AE92="5日戻り売り○")),"◎戻り売り",IF(T92&gt;=10,"○売り候補",IF(T92&gt;=6,"△注目",IF(T92&gt;=3,"様子見","見送り"))))))))</f>
        <v>#VALUE!</v>
      </c>
      <c r="AG92">
        <f t="shared" si="36"/>
        <v>0</v>
      </c>
      <c r="AH92">
        <f t="shared" si="37"/>
        <v>0</v>
      </c>
      <c r="AI92" s="376">
        <f t="array" ref="AI92">IF(C92="","",IFERROR((INDEX(終値!$E:$E,MATCH(TEXT(C92,"0"),終値!$A:$A,0))-INDEX(終値!$E:$CZ,MATCH(TEXT(C92,"0"),終値!$A:$A,0),$AN$2))/INDEX(終値!$E:$CZ,MATCH(TEXT(C92,"0"),終値!$A:$A,0),$AN$2)*100,""))</f>
        <v>6.6650683289379051</v>
      </c>
      <c r="AJ92" s="376">
        <f t="array" ref="AJ92">IFERROR((終値!$E$5-INDEX(終値!$E$5:$CZ$5,1,$AN$2))/INDEX(終値!$E$5:$CZ$5,1,$AN$2)*100,"")</f>
        <v>2.31989243802786</v>
      </c>
      <c r="AK92" s="377">
        <f t="shared" si="38"/>
        <v>4.3451758909100455</v>
      </c>
      <c r="AL92" s="375">
        <f t="shared" si="39"/>
        <v>-2</v>
      </c>
      <c r="AO92" s="379" t="e">
        <f t="shared" si="40"/>
        <v>#VALUE!</v>
      </c>
      <c r="AP92" s="380" t="e">
        <f t="shared" si="41"/>
        <v>#VALUE!</v>
      </c>
      <c r="AQ92">
        <f>IF(C92&lt;&gt;"",始値!F35,"")</f>
        <v>2384</v>
      </c>
      <c r="AR92">
        <f>IF(C92&lt;&gt;"",高値!F35,"")</f>
        <v>2420.5</v>
      </c>
      <c r="AS92">
        <f>IF(C92&lt;&gt;"",安値!F35,"")</f>
        <v>2358.5</v>
      </c>
      <c r="AT92" t="str">
        <f t="shared" si="42"/>
        <v>通常</v>
      </c>
      <c r="AU92">
        <f t="shared" si="43"/>
        <v>0</v>
      </c>
    </row>
    <row r="93" spans="1:47" ht="14.25" customHeight="1">
      <c r="A93" s="327" t="str">
        <f>IF(銘柄管理!B36&lt;&gt;"",HYPERLINK("https://kabutan.jp/stock/?code="&amp;銘柄管理!B36,"株探"),"")</f>
        <v>株探</v>
      </c>
      <c r="B93" s="328"/>
      <c r="C93" s="477">
        <f>IF(銘柄管理!B36="","",銘柄管理!B36)</f>
        <v>5938</v>
      </c>
      <c r="D93" s="328" t="str">
        <f>IF(銘柄管理!C36="","",銘柄管理!C36)</f>
        <v/>
      </c>
      <c r="E93" s="329" t="str">
        <f>IF(C93&lt;&gt;"",_xll.RssMarket(C93,"現在値"),"")</f>
        <v/>
      </c>
      <c r="F93" s="329" t="str">
        <f>IF(C93&lt;&gt;"",_xll.RssMarket(C93,"始値"),"")</f>
        <v/>
      </c>
      <c r="G93" s="328">
        <f>IF(C93&lt;&gt;"",終値!F36,"")</f>
        <v>1889</v>
      </c>
      <c r="H93" s="329" t="str">
        <f>IF(C93&lt;&gt;"",_xll.RssMarket(C93,"高値"),"")</f>
        <v/>
      </c>
      <c r="I93" s="329" t="str">
        <f>IF(C93&lt;&gt;"",_xll.RssMarket(C93,"安値"),"")</f>
        <v/>
      </c>
      <c r="J93" s="329" t="str">
        <f>IF(C93&lt;&gt;"",_xll.RssMarket(C93,"出来高"),"")</f>
        <v/>
      </c>
      <c r="K93" s="329" t="str">
        <f>IF(C93&lt;&gt;"",_xll.RssMarket(C93,"年初来高値"),"")</f>
        <v/>
      </c>
      <c r="L93" s="330" t="str">
        <f t="shared" si="22"/>
        <v/>
      </c>
      <c r="M93" s="329">
        <f>IF(C93&lt;&gt;"",IFERROR(AVERAGE(出来高!E36:I36),""),"")</f>
        <v>1619500</v>
      </c>
      <c r="N93" s="329">
        <f>IF(C93&lt;&gt;"",IFERROR(AVERAGE(出来高!E36:AC36),""),"")</f>
        <v>2017732</v>
      </c>
      <c r="O93" s="331" t="str">
        <f t="shared" si="23"/>
        <v/>
      </c>
      <c r="P93" s="328" t="str">
        <f t="shared" si="24"/>
        <v/>
      </c>
      <c r="Q93" s="328" t="str">
        <f t="shared" si="25"/>
        <v/>
      </c>
      <c r="R93" s="329" t="str">
        <f t="shared" si="26"/>
        <v/>
      </c>
      <c r="S93" s="329" t="str">
        <f t="shared" si="27"/>
        <v/>
      </c>
      <c r="T93" s="328">
        <f t="shared" si="28"/>
        <v>0</v>
      </c>
      <c r="U93" s="328" t="str">
        <f t="shared" si="29"/>
        <v>除外</v>
      </c>
      <c r="V93" s="328" t="str">
        <f t="shared" si="30"/>
        <v/>
      </c>
      <c r="W93" s="332">
        <f t="array" ref="W93">IFERROR(100-100/(1+SUMPRODUCT((終値!F36:R36&gt;終値!G36:S36)*(終値!F36:R36-終値!G36:S36))/SUMPRODUCT((終値!F36:R36&lt;終値!G36:S36)*(終値!G36:S36-終値!F36:R36))),50)</f>
        <v>79.069767441860463</v>
      </c>
      <c r="X93" s="333">
        <f>IF(C93&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21.411396120826112</v>
      </c>
      <c r="Y93" s="328" t="e">
        <f t="shared" si="31"/>
        <v>#VALUE!</v>
      </c>
      <c r="Z93" s="334" t="str">
        <f t="shared" si="32"/>
        <v/>
      </c>
      <c r="AA93" s="328" t="str">
        <f t="shared" si="33"/>
        <v/>
      </c>
      <c r="AB93" s="329">
        <f>IF(OR(C93="",C93="TOPX",終値!E36=""),"",IFERROR(((終値!E36*0.333)+(終値!F36*0.222)+(終値!G36*0.148)+(終値!H36*0.099)+(終値!I36*0.066))/(0.333+0.222+0.148+0.099+0.066),""))</f>
        <v>1873.7027649769586</v>
      </c>
      <c r="AC93" s="329">
        <f>IF(OR(C93="",C93="TOPX",終値!E36=""),"",IFERROR(SUMPRODUCT((終値!E36:AC36),{0.077,0.071,0.065,0.06,0.055,0.051,0.047,0.043,0.039,0.036,0.033,0.031,0.028,0.026,0.024,0.022,0.02,0.018,0.017,0.016,0.014,0.013,0.012,0.011,0.01})/SUM({0.077,0.071,0.065,0.06,0.055,0.051,0.047,0.043,0.039,0.036,0.033,0.031,0.028,0.026,0.024,0.022,0.02,0.018,0.017,0.016,0.014,0.013,0.012,0.011,0.01}),""))</f>
        <v>1823.476758045291</v>
      </c>
      <c r="AD93" s="328" t="str">
        <f t="shared" si="34"/>
        <v>パーフェクト▲</v>
      </c>
      <c r="AE93" s="328" t="e">
        <f t="shared" si="35"/>
        <v>#VALUE!</v>
      </c>
      <c r="AF93" t="e">
        <f>IF(T93="","",IF(銘柄管理!$F$5="上昇▲",IF(AND(AD93="下降トレンド▼",OR(AE93="25日戻り売り★",AE93="5日戻り売り○")),"★逆張り売り",IF(AND(AD93="もみ合い→",OR(AE93="25日戻り売り★",AE93="5日戻り売り○")),"○逆張り売り",IF(W93&gt;=70,IF(Z93&lt;0,"◎反落確認","△過熱・様子見"),"相場上昇・見送り"))),IF(AND(T93&gt;=12,AD93="下降トレンド▼"),"★強い売り",IF(T93&gt;=12,"★強い売り",IF(AND(T93&gt;=8,OR(AE93="25日戻り売り★",AE93="5日戻り売り○")),"◎戻り売り",IF(T93&gt;=10,"○売り候補",IF(T93&gt;=6,"△注目",IF(T93&gt;=3,"様子見","見送り"))))))))</f>
        <v>#VALUE!</v>
      </c>
      <c r="AG93">
        <f t="shared" si="36"/>
        <v>0</v>
      </c>
      <c r="AH93">
        <f t="shared" si="37"/>
        <v>0</v>
      </c>
      <c r="AI93" s="376">
        <f t="array" ref="AI93">IF(C93="","",IFERROR((INDEX(終値!$E:$E,MATCH(TEXT(C93,"0"),終値!$A:$A,0))-INDEX(終値!$E:$CZ,MATCH(TEXT(C93,"0"),終値!$A:$A,0),$AN$2))/INDEX(終値!$E:$CZ,MATCH(TEXT(C93,"0"),終値!$A:$A,0),$AN$2)*100,""))</f>
        <v>9.6198830409356724</v>
      </c>
      <c r="AJ93" s="376">
        <f t="array" ref="AJ93">IFERROR((終値!$E$5-INDEX(終値!$E$5:$CZ$5,1,$AN$2))/INDEX(終値!$E$5:$CZ$5,1,$AN$2)*100,"")</f>
        <v>2.31989243802786</v>
      </c>
      <c r="AK93" s="377">
        <f t="shared" si="38"/>
        <v>7.2999906029078119</v>
      </c>
      <c r="AL93" s="375">
        <f t="shared" si="39"/>
        <v>-2</v>
      </c>
      <c r="AO93" s="379" t="e">
        <f t="shared" si="40"/>
        <v>#VALUE!</v>
      </c>
      <c r="AP93" s="380" t="e">
        <f t="shared" si="41"/>
        <v>#VALUE!</v>
      </c>
      <c r="AQ93">
        <f>IF(C93&lt;&gt;"",始値!F36,"")</f>
        <v>1886.5</v>
      </c>
      <c r="AR93">
        <f>IF(C93&lt;&gt;"",高値!F36,"")</f>
        <v>1894</v>
      </c>
      <c r="AS93">
        <f>IF(C93&lt;&gt;"",安値!F36,"")</f>
        <v>1870</v>
      </c>
      <c r="AT93" t="str">
        <f t="shared" si="42"/>
        <v>通常</v>
      </c>
      <c r="AU93">
        <f t="shared" si="43"/>
        <v>0</v>
      </c>
    </row>
    <row r="94" spans="1:47" ht="14.25" customHeight="1">
      <c r="A94" s="335" t="str">
        <f>IF(銘柄管理!B37&lt;&gt;"",HYPERLINK("https://kabutan.jp/stock/?code="&amp;銘柄管理!B37,"株探"),"")</f>
        <v>株探</v>
      </c>
      <c r="B94" s="215"/>
      <c r="C94" s="478">
        <f>IF(銘柄管理!B37="","",銘柄管理!B37)</f>
        <v>8570</v>
      </c>
      <c r="D94" s="215" t="str">
        <f>IF(銘柄管理!C37="","",銘柄管理!C37)</f>
        <v/>
      </c>
      <c r="E94" s="336" t="str">
        <f>IF(C94&lt;&gt;"",_xll.RssMarket(C94,"現在値"),"")</f>
        <v/>
      </c>
      <c r="F94" s="336" t="str">
        <f>IF(C94&lt;&gt;"",_xll.RssMarket(C94,"始値"),"")</f>
        <v/>
      </c>
      <c r="G94" s="215">
        <f>IF(C94&lt;&gt;"",終値!F37,"")</f>
        <v>1542.5</v>
      </c>
      <c r="H94" s="336" t="str">
        <f>IF(C94&lt;&gt;"",_xll.RssMarket(C94,"高値"),"")</f>
        <v/>
      </c>
      <c r="I94" s="336" t="str">
        <f>IF(C94&lt;&gt;"",_xll.RssMarket(C94,"安値"),"")</f>
        <v/>
      </c>
      <c r="J94" s="336" t="str">
        <f>IF(C94&lt;&gt;"",_xll.RssMarket(C94,"出来高"),"")</f>
        <v/>
      </c>
      <c r="K94" s="336" t="str">
        <f>IF(C94&lt;&gt;"",_xll.RssMarket(C94,"年初来高値"),"")</f>
        <v/>
      </c>
      <c r="L94" s="337" t="str">
        <f t="shared" si="22"/>
        <v/>
      </c>
      <c r="M94" s="336">
        <f>IF(C94&lt;&gt;"",IFERROR(AVERAGE(出来高!E37:I37),""),"")</f>
        <v>642660</v>
      </c>
      <c r="N94" s="336">
        <f>IF(C94&lt;&gt;"",IFERROR(AVERAGE(出来高!E37:AC37),""),"")</f>
        <v>536156</v>
      </c>
      <c r="O94" s="338" t="str">
        <f t="shared" si="23"/>
        <v/>
      </c>
      <c r="P94" s="215" t="str">
        <f t="shared" si="24"/>
        <v/>
      </c>
      <c r="Q94" s="215" t="str">
        <f t="shared" si="25"/>
        <v/>
      </c>
      <c r="R94" s="336" t="str">
        <f t="shared" si="26"/>
        <v/>
      </c>
      <c r="S94" s="336" t="str">
        <f t="shared" si="27"/>
        <v/>
      </c>
      <c r="T94" s="328">
        <f t="shared" si="28"/>
        <v>0</v>
      </c>
      <c r="U94" s="215" t="str">
        <f t="shared" si="29"/>
        <v>除外</v>
      </c>
      <c r="V94" s="215" t="str">
        <f t="shared" si="30"/>
        <v/>
      </c>
      <c r="W94" s="339">
        <f t="array" ref="W94">IFERROR(100-100/(1+SUMPRODUCT((終値!F37:R37&gt;終値!G37:S37)*(終値!F37:R37-終値!G37:S37))/SUMPRODUCT((終値!F37:R37&lt;終値!G37:S37)*(終値!G37:S37-終値!F37:R37))),50)</f>
        <v>77.5</v>
      </c>
      <c r="X94" s="340">
        <f>IF(C94&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10.174115085635776</v>
      </c>
      <c r="Y94" s="215" t="e">
        <f t="shared" si="31"/>
        <v>#VALUE!</v>
      </c>
      <c r="Z94" s="341" t="str">
        <f t="shared" si="32"/>
        <v/>
      </c>
      <c r="AA94" s="215" t="str">
        <f t="shared" si="33"/>
        <v/>
      </c>
      <c r="AB94" s="336">
        <f>IF(OR(C94="",C94="TOPX",終値!E37=""),"",IFERROR(((終値!E37*0.333)+(終値!F37*0.222)+(終値!G37*0.148)+(終値!H37*0.099)+(終値!I37*0.066))/(0.333+0.222+0.148+0.099+0.066),""))</f>
        <v>1536.9648617511521</v>
      </c>
      <c r="AC94" s="336">
        <f>IF(OR(C94="",C94="TOPX",終値!E37=""),"",IFERROR(SUMPRODUCT((終値!E37:AC37),{0.077,0.071,0.065,0.06,0.055,0.051,0.047,0.043,0.039,0.036,0.033,0.031,0.028,0.026,0.024,0.022,0.02,0.018,0.017,0.016,0.014,0.013,0.012,0.011,0.01})/SUM({0.077,0.071,0.065,0.06,0.055,0.051,0.047,0.043,0.039,0.036,0.033,0.031,0.028,0.026,0.024,0.022,0.02,0.018,0.017,0.016,0.014,0.013,0.012,0.011,0.01}),""))</f>
        <v>1508.6382598331338</v>
      </c>
      <c r="AD94" s="215" t="str">
        <f t="shared" si="34"/>
        <v>パーフェクト▲</v>
      </c>
      <c r="AE94" s="215" t="e">
        <f t="shared" si="35"/>
        <v>#VALUE!</v>
      </c>
      <c r="AF94" t="e">
        <f>IF(T94="","",IF(銘柄管理!$F$5="上昇▲",IF(AND(AD94="下降トレンド▼",OR(AE94="25日戻り売り★",AE94="5日戻り売り○")),"★逆張り売り",IF(AND(AD94="もみ合い→",OR(AE94="25日戻り売り★",AE94="5日戻り売り○")),"○逆張り売り",IF(W94&gt;=70,IF(Z94&lt;0,"◎反落確認","△過熱・様子見"),"相場上昇・見送り"))),IF(AND(T94&gt;=12,AD94="下降トレンド▼"),"★強い売り",IF(T94&gt;=12,"★強い売り",IF(AND(T94&gt;=8,OR(AE94="25日戻り売り★",AE94="5日戻り売り○")),"◎戻り売り",IF(T94&gt;=10,"○売り候補",IF(T94&gt;=6,"△注目",IF(T94&gt;=3,"様子見","見送り"))))))))</f>
        <v>#VALUE!</v>
      </c>
      <c r="AG94">
        <f t="shared" si="36"/>
        <v>0</v>
      </c>
      <c r="AH94">
        <f t="shared" si="37"/>
        <v>0</v>
      </c>
      <c r="AI94" s="376">
        <f t="array" ref="AI94">IF(C94="","",IFERROR((INDEX(終値!$E:$E,MATCH(TEXT(C94,"0"),終値!$A:$A,0))-INDEX(終値!$E:$CZ,MATCH(TEXT(C94,"0"),終値!$A:$A,0),$AN$2))/INDEX(終値!$E:$CZ,MATCH(TEXT(C94,"0"),終値!$A:$A,0),$AN$2)*100,""))</f>
        <v>4.4816968867601776</v>
      </c>
      <c r="AJ94" s="376">
        <f t="array" ref="AJ94">IFERROR((終値!$E$5-INDEX(終値!$E$5:$CZ$5,1,$AN$2))/INDEX(終値!$E$5:$CZ$5,1,$AN$2)*100,"")</f>
        <v>2.31989243802786</v>
      </c>
      <c r="AK94" s="377">
        <f t="shared" si="38"/>
        <v>2.1618044487323176</v>
      </c>
      <c r="AL94" s="375">
        <f t="shared" si="39"/>
        <v>-1</v>
      </c>
      <c r="AO94" s="379" t="e">
        <f t="shared" si="40"/>
        <v>#VALUE!</v>
      </c>
      <c r="AP94" s="380" t="e">
        <f t="shared" si="41"/>
        <v>#VALUE!</v>
      </c>
      <c r="AQ94">
        <f>IF(C94&lt;&gt;"",始値!F37,"")</f>
        <v>1572.5</v>
      </c>
      <c r="AR94">
        <f>IF(C94&lt;&gt;"",高値!F37,"")</f>
        <v>1580.5</v>
      </c>
      <c r="AS94">
        <f>IF(C94&lt;&gt;"",安値!F37,"")</f>
        <v>1535</v>
      </c>
      <c r="AT94" t="str">
        <f t="shared" si="42"/>
        <v>通常</v>
      </c>
      <c r="AU94">
        <f t="shared" si="43"/>
        <v>0</v>
      </c>
    </row>
    <row r="95" spans="1:47" ht="14.25" customHeight="1">
      <c r="A95" s="327" t="str">
        <f>IF(銘柄管理!B38&lt;&gt;"",HYPERLINK("https://kabutan.jp/stock/?code="&amp;銘柄管理!B38,"株探"),"")</f>
        <v>株探</v>
      </c>
      <c r="B95" s="328"/>
      <c r="C95" s="477">
        <f>IF(銘柄管理!B38="","",銘柄管理!B38)</f>
        <v>5406</v>
      </c>
      <c r="D95" s="328" t="str">
        <f>IF(銘柄管理!C38="","",銘柄管理!C38)</f>
        <v/>
      </c>
      <c r="E95" s="329" t="str">
        <f>IF(C95&lt;&gt;"",_xll.RssMarket(C95,"現在値"),"")</f>
        <v/>
      </c>
      <c r="F95" s="329" t="str">
        <f>IF(C95&lt;&gt;"",_xll.RssMarket(C95,"始値"),"")</f>
        <v/>
      </c>
      <c r="G95" s="328">
        <f>IF(C95&lt;&gt;"",終値!F38,"")</f>
        <v>1936.5</v>
      </c>
      <c r="H95" s="329" t="str">
        <f>IF(C95&lt;&gt;"",_xll.RssMarket(C95,"高値"),"")</f>
        <v/>
      </c>
      <c r="I95" s="329" t="str">
        <f>IF(C95&lt;&gt;"",_xll.RssMarket(C95,"安値"),"")</f>
        <v/>
      </c>
      <c r="J95" s="329" t="str">
        <f>IF(C95&lt;&gt;"",_xll.RssMarket(C95,"出来高"),"")</f>
        <v/>
      </c>
      <c r="K95" s="329" t="str">
        <f>IF(C95&lt;&gt;"",_xll.RssMarket(C95,"年初来高値"),"")</f>
        <v/>
      </c>
      <c r="L95" s="330" t="str">
        <f t="shared" si="22"/>
        <v/>
      </c>
      <c r="M95" s="329">
        <f>IF(C95&lt;&gt;"",IFERROR(AVERAGE(出来高!E38:I38),""),"")</f>
        <v>2161220</v>
      </c>
      <c r="N95" s="329">
        <f>IF(C95&lt;&gt;"",IFERROR(AVERAGE(出来高!E38:AC38),""),"")</f>
        <v>1981324</v>
      </c>
      <c r="O95" s="331" t="str">
        <f t="shared" si="23"/>
        <v/>
      </c>
      <c r="P95" s="328" t="str">
        <f t="shared" si="24"/>
        <v/>
      </c>
      <c r="Q95" s="328" t="str">
        <f t="shared" si="25"/>
        <v/>
      </c>
      <c r="R95" s="329" t="str">
        <f t="shared" si="26"/>
        <v/>
      </c>
      <c r="S95" s="329" t="str">
        <f t="shared" si="27"/>
        <v/>
      </c>
      <c r="T95" s="328">
        <f t="shared" si="28"/>
        <v>0</v>
      </c>
      <c r="U95" s="328" t="str">
        <f t="shared" si="29"/>
        <v>除外</v>
      </c>
      <c r="V95" s="328" t="str">
        <f t="shared" si="30"/>
        <v/>
      </c>
      <c r="W95" s="332">
        <f t="array" ref="W95">IFERROR(100-100/(1+SUMPRODUCT((終値!F38:R38&gt;終値!G38:S38)*(終値!F38:R38-終値!G38:S38))/SUMPRODUCT((終値!F38:R38&lt;終値!G38:S38)*(終値!G38:S38-終値!F38:R38))),50)</f>
        <v>61.041292639138241</v>
      </c>
      <c r="X95" s="333">
        <f>IF(C95&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-0.46389891696708219</v>
      </c>
      <c r="Y95" s="328" t="e">
        <f t="shared" si="31"/>
        <v>#VALUE!</v>
      </c>
      <c r="Z95" s="334" t="str">
        <f t="shared" si="32"/>
        <v/>
      </c>
      <c r="AA95" s="328" t="str">
        <f t="shared" si="33"/>
        <v/>
      </c>
      <c r="AB95" s="329">
        <f>IF(OR(C95="",C95="TOPX",終値!E38=""),"",IFERROR(((終値!E38*0.333)+(終値!F38*0.222)+(終値!G38*0.148)+(終値!H38*0.099)+(終値!I38*0.066))/(0.333+0.222+0.148+0.099+0.066),""))</f>
        <v>1916.2482718894007</v>
      </c>
      <c r="AC95" s="329">
        <f>IF(OR(C95="",C95="TOPX",終値!E38=""),"",IFERROR(SUMPRODUCT((終値!E38:AC38),{0.077,0.071,0.065,0.06,0.055,0.051,0.047,0.043,0.039,0.036,0.033,0.031,0.028,0.026,0.024,0.022,0.02,0.018,0.017,0.016,0.014,0.013,0.012,0.011,0.01})/SUM({0.077,0.071,0.065,0.06,0.055,0.051,0.047,0.043,0.039,0.036,0.033,0.031,0.028,0.026,0.024,0.022,0.02,0.018,0.017,0.016,0.014,0.013,0.012,0.011,0.01}),""))</f>
        <v>1898.429082240762</v>
      </c>
      <c r="AD95" s="328" t="str">
        <f t="shared" si="34"/>
        <v>パーフェクト▲</v>
      </c>
      <c r="AE95" s="328" t="e">
        <f t="shared" si="35"/>
        <v>#VALUE!</v>
      </c>
      <c r="AF95" t="e">
        <f>IF(T95="","",IF(銘柄管理!$F$5="上昇▲",IF(AND(AD95="下降トレンド▼",OR(AE95="25日戻り売り★",AE95="5日戻り売り○")),"★逆張り売り",IF(AND(AD95="もみ合い→",OR(AE95="25日戻り売り★",AE95="5日戻り売り○")),"○逆張り売り",IF(W95&gt;=70,IF(Z95&lt;0,"◎反落確認","△過熱・様子見"),"相場上昇・見送り"))),IF(AND(T95&gt;=12,AD95="下降トレンド▼"),"★強い売り",IF(T95&gt;=12,"★強い売り",IF(AND(T95&gt;=8,OR(AE95="25日戻り売り★",AE95="5日戻り売り○")),"◎戻り売り",IF(T95&gt;=10,"○売り候補",IF(T95&gt;=6,"△注目",IF(T95&gt;=3,"様子見","見送り"))))))))</f>
        <v>#VALUE!</v>
      </c>
      <c r="AG95">
        <f t="shared" si="36"/>
        <v>0</v>
      </c>
      <c r="AH95">
        <f t="shared" si="37"/>
        <v>0</v>
      </c>
      <c r="AI95" s="376">
        <f t="array" ref="AI95">IF(C95="","",IFERROR((INDEX(終値!$E:$E,MATCH(TEXT(C95,"0"),終値!$A:$A,0))-INDEX(終値!$E:$CZ,MATCH(TEXT(C95,"0"),終値!$A:$A,0),$AN$2))/INDEX(終値!$E:$CZ,MATCH(TEXT(C95,"0"),終値!$A:$A,0),$AN$2)*100,""))</f>
        <v>-7.7499354172048576E-2</v>
      </c>
      <c r="AJ95" s="376">
        <f t="array" ref="AJ95">IFERROR((終値!$E$5-INDEX(終値!$E$5:$CZ$5,1,$AN$2))/INDEX(終値!$E$5:$CZ$5,1,$AN$2)*100,"")</f>
        <v>2.31989243802786</v>
      </c>
      <c r="AK95" s="377">
        <f t="shared" si="38"/>
        <v>-2.3973917921999086</v>
      </c>
      <c r="AL95" s="375">
        <f t="shared" si="39"/>
        <v>1</v>
      </c>
      <c r="AO95" s="379" t="e">
        <f t="shared" si="40"/>
        <v>#VALUE!</v>
      </c>
      <c r="AP95" s="380" t="e">
        <f t="shared" si="41"/>
        <v>#VALUE!</v>
      </c>
      <c r="AQ95">
        <f>IF(C95&lt;&gt;"",始値!F38,"")</f>
        <v>1925.5</v>
      </c>
      <c r="AR95">
        <f>IF(C95&lt;&gt;"",高値!F38,"")</f>
        <v>1938.5</v>
      </c>
      <c r="AS95">
        <f>IF(C95&lt;&gt;"",安値!F38,"")</f>
        <v>1914.5</v>
      </c>
      <c r="AT95" t="str">
        <f t="shared" si="42"/>
        <v>通常</v>
      </c>
      <c r="AU95">
        <f t="shared" si="43"/>
        <v>0</v>
      </c>
    </row>
    <row r="96" spans="1:47" ht="14.25" customHeight="1">
      <c r="A96" s="335" t="str">
        <f>IF(銘柄管理!B42&lt;&gt;"",HYPERLINK("https://kabutan.jp/stock/?code="&amp;銘柄管理!B42,"株探"),"")</f>
        <v>株探</v>
      </c>
      <c r="B96" s="215"/>
      <c r="C96" s="478">
        <f>IF(銘柄管理!B42="","",銘柄管理!B42)</f>
        <v>5947</v>
      </c>
      <c r="D96" s="215" t="str">
        <f>IF(銘柄管理!C42="","",銘柄管理!C42)</f>
        <v/>
      </c>
      <c r="E96" s="336" t="str">
        <f>IF(C96&lt;&gt;"",_xll.RssMarket(C96,"現在値"),"")</f>
        <v/>
      </c>
      <c r="F96" s="336" t="str">
        <f>IF(C96&lt;&gt;"",_xll.RssMarket(C96,"始値"),"")</f>
        <v/>
      </c>
      <c r="G96" s="215">
        <f>IF(C96&lt;&gt;"",終値!F42,"")</f>
        <v>3592</v>
      </c>
      <c r="H96" s="336" t="str">
        <f>IF(C96&lt;&gt;"",_xll.RssMarket(C96,"高値"),"")</f>
        <v/>
      </c>
      <c r="I96" s="336" t="str">
        <f>IF(C96&lt;&gt;"",_xll.RssMarket(C96,"安値"),"")</f>
        <v/>
      </c>
      <c r="J96" s="336" t="str">
        <f>IF(C96&lt;&gt;"",_xll.RssMarket(C96,"出来高"),"")</f>
        <v/>
      </c>
      <c r="K96" s="336" t="str">
        <f>IF(C96&lt;&gt;"",_xll.RssMarket(C96,"年初来高値"),"")</f>
        <v/>
      </c>
      <c r="L96" s="337" t="str">
        <f t="shared" si="22"/>
        <v/>
      </c>
      <c r="M96" s="336">
        <f>IF(C96&lt;&gt;"",IFERROR(AVERAGE(出来高!E42:I42),""),"")</f>
        <v>279260</v>
      </c>
      <c r="N96" s="336">
        <f>IF(C96&lt;&gt;"",IFERROR(AVERAGE(出来高!E42:AC42),""),"")</f>
        <v>359996</v>
      </c>
      <c r="O96" s="338" t="str">
        <f t="shared" si="23"/>
        <v/>
      </c>
      <c r="P96" s="215" t="str">
        <f t="shared" si="24"/>
        <v/>
      </c>
      <c r="Q96" s="215" t="str">
        <f t="shared" si="25"/>
        <v/>
      </c>
      <c r="R96" s="336" t="str">
        <f t="shared" si="26"/>
        <v/>
      </c>
      <c r="S96" s="336" t="str">
        <f t="shared" si="27"/>
        <v/>
      </c>
      <c r="T96" s="328">
        <f t="shared" si="28"/>
        <v>0</v>
      </c>
      <c r="U96" s="215" t="str">
        <f t="shared" si="29"/>
        <v>除外</v>
      </c>
      <c r="V96" s="215" t="str">
        <f t="shared" si="30"/>
        <v/>
      </c>
      <c r="W96" s="339">
        <f t="array" ref="W96">IFERROR(100-100/(1+SUMPRODUCT((終値!F42:R42&gt;終値!G42:S42)*(終値!F42:R42-終値!G42:S42))/SUMPRODUCT((終値!F42:R42&lt;終値!G42:S42)*(終値!G42:S42-終値!F42:R42))),50)</f>
        <v>58.193979933110363</v>
      </c>
      <c r="X96" s="340">
        <f>IF(C96&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12.498845720609552</v>
      </c>
      <c r="Y96" s="215" t="e">
        <f t="shared" si="31"/>
        <v>#VALUE!</v>
      </c>
      <c r="Z96" s="341" t="str">
        <f t="shared" si="32"/>
        <v/>
      </c>
      <c r="AA96" s="215" t="str">
        <f t="shared" si="33"/>
        <v/>
      </c>
      <c r="AB96" s="336">
        <f>IF(OR(C96="",C96="TOPX",終値!E42=""),"",IFERROR(((終値!E42*0.333)+(終値!F42*0.222)+(終値!G42*0.148)+(終値!H42*0.099)+(終値!I42*0.066))/(0.333+0.222+0.148+0.099+0.066),""))</f>
        <v>3604.0679723502303</v>
      </c>
      <c r="AC96" s="336">
        <f>IF(OR(C96="",C96="TOPX",終値!E42=""),"",IFERROR(SUMPRODUCT((終値!E42:AC42),{0.077,0.071,0.065,0.06,0.055,0.051,0.047,0.043,0.039,0.036,0.033,0.031,0.028,0.026,0.024,0.022,0.02,0.018,0.017,0.016,0.014,0.013,0.012,0.011,0.01})/SUM({0.077,0.071,0.065,0.06,0.055,0.051,0.047,0.043,0.039,0.036,0.033,0.031,0.028,0.026,0.024,0.022,0.02,0.018,0.017,0.016,0.014,0.013,0.012,0.011,0.01}),""))</f>
        <v>3571.1632896305109</v>
      </c>
      <c r="AD96" s="215" t="str">
        <f t="shared" si="34"/>
        <v>パーフェクト▲</v>
      </c>
      <c r="AE96" s="215" t="e">
        <f t="shared" si="35"/>
        <v>#VALUE!</v>
      </c>
      <c r="AF96" t="e">
        <f>IF(T96="","",IF(銘柄管理!$F$5="上昇▲",IF(AND(AD96="下降トレンド▼",OR(AE96="25日戻り売り★",AE96="5日戻り売り○")),"★逆張り売り",IF(AND(AD96="もみ合い→",OR(AE96="25日戻り売り★",AE96="5日戻り売り○")),"○逆張り売り",IF(W96&gt;=70,IF(Z96&lt;0,"◎反落確認","△過熱・様子見"),"相場上昇・見送り"))),IF(AND(T96&gt;=12,AD96="下降トレンド▼"),"★強い売り",IF(T96&gt;=12,"★強い売り",IF(AND(T96&gt;=8,OR(AE96="25日戻り売り★",AE96="5日戻り売り○")),"◎戻り売り",IF(T96&gt;=10,"○売り候補",IF(T96&gt;=6,"△注目",IF(T96&gt;=3,"様子見","見送り"))))))))</f>
        <v>#VALUE!</v>
      </c>
      <c r="AG96">
        <f t="shared" si="36"/>
        <v>0</v>
      </c>
      <c r="AH96">
        <f t="shared" si="37"/>
        <v>0</v>
      </c>
      <c r="AI96" s="376">
        <f t="array" ref="AI96">IF(C96="","",IFERROR((INDEX(終値!$E:$E,MATCH(TEXT(C96,"0"),終値!$A:$A,0))-INDEX(終値!$E:$CZ,MATCH(TEXT(C96,"0"),終値!$A:$A,0),$AN$2))/INDEX(終値!$E:$CZ,MATCH(TEXT(C96,"0"),終値!$A:$A,0),$AN$2)*100,""))</f>
        <v>3.6571428571428575</v>
      </c>
      <c r="AJ96" s="376">
        <f t="array" ref="AJ96">IFERROR((終値!$E$5-INDEX(終値!$E$5:$CZ$5,1,$AN$2))/INDEX(終値!$E$5:$CZ$5,1,$AN$2)*100,"")</f>
        <v>2.31989243802786</v>
      </c>
      <c r="AK96" s="377">
        <f t="shared" si="38"/>
        <v>1.3372504191149974</v>
      </c>
      <c r="AL96" s="375">
        <f t="shared" si="39"/>
        <v>-1</v>
      </c>
      <c r="AO96" s="379" t="e">
        <f t="shared" si="40"/>
        <v>#VALUE!</v>
      </c>
      <c r="AP96" s="380" t="e">
        <f t="shared" si="41"/>
        <v>#VALUE!</v>
      </c>
      <c r="AQ96">
        <f>IF(C96&lt;&gt;"",始値!F42,"")</f>
        <v>3615</v>
      </c>
      <c r="AR96">
        <f>IF(C96&lt;&gt;"",高値!F42,"")</f>
        <v>3638</v>
      </c>
      <c r="AS96">
        <f>IF(C96&lt;&gt;"",安値!F42,"")</f>
        <v>3571</v>
      </c>
      <c r="AT96" t="str">
        <f t="shared" si="42"/>
        <v>通常</v>
      </c>
      <c r="AU96">
        <f t="shared" si="43"/>
        <v>0</v>
      </c>
    </row>
    <row r="97" spans="1:47" ht="14.25" customHeight="1">
      <c r="A97" s="327" t="str">
        <f>IF(銘柄管理!B51&lt;&gt;"",HYPERLINK("https://kabutan.jp/stock/?code="&amp;銘柄管理!B51,"株探"),"")</f>
        <v>株探</v>
      </c>
      <c r="B97" s="328"/>
      <c r="C97" s="477">
        <f>IF(銘柄管理!B51="","",銘柄管理!B51)</f>
        <v>5449</v>
      </c>
      <c r="D97" s="328" t="str">
        <f>IF(銘柄管理!C51="","",銘柄管理!C51)</f>
        <v/>
      </c>
      <c r="E97" s="329" t="str">
        <f>IF(C97&lt;&gt;"",_xll.RssMarket(C97,"現在値"),"")</f>
        <v/>
      </c>
      <c r="F97" s="329" t="str">
        <f>IF(C97&lt;&gt;"",_xll.RssMarket(C97,"始値"),"")</f>
        <v/>
      </c>
      <c r="G97" s="328">
        <f>IF(C97&lt;&gt;"",終値!F51,"")</f>
        <v>2537</v>
      </c>
      <c r="H97" s="329" t="str">
        <f>IF(C97&lt;&gt;"",_xll.RssMarket(C97,"高値"),"")</f>
        <v/>
      </c>
      <c r="I97" s="329" t="str">
        <f>IF(C97&lt;&gt;"",_xll.RssMarket(C97,"安値"),"")</f>
        <v/>
      </c>
      <c r="J97" s="329" t="str">
        <f>IF(C97&lt;&gt;"",_xll.RssMarket(C97,"出来高"),"")</f>
        <v/>
      </c>
      <c r="K97" s="329" t="str">
        <f>IF(C97&lt;&gt;"",_xll.RssMarket(C97,"年初来高値"),"")</f>
        <v/>
      </c>
      <c r="L97" s="330" t="str">
        <f t="shared" si="22"/>
        <v/>
      </c>
      <c r="M97" s="329">
        <f>IF(C97&lt;&gt;"",IFERROR(AVERAGE(出来高!E51:I51),""),"")</f>
        <v>24580</v>
      </c>
      <c r="N97" s="329">
        <f>IF(C97&lt;&gt;"",IFERROR(AVERAGE(出来高!E51:AC51),""),"")</f>
        <v>38964</v>
      </c>
      <c r="O97" s="331" t="str">
        <f t="shared" si="23"/>
        <v/>
      </c>
      <c r="P97" s="328" t="str">
        <f t="shared" si="24"/>
        <v/>
      </c>
      <c r="Q97" s="328" t="str">
        <f t="shared" si="25"/>
        <v/>
      </c>
      <c r="R97" s="329" t="str">
        <f t="shared" si="26"/>
        <v/>
      </c>
      <c r="S97" s="329" t="str">
        <f t="shared" si="27"/>
        <v/>
      </c>
      <c r="T97" s="328">
        <f t="shared" si="28"/>
        <v>0</v>
      </c>
      <c r="U97" s="328" t="str">
        <f t="shared" si="29"/>
        <v>除外</v>
      </c>
      <c r="V97" s="328" t="str">
        <f t="shared" si="30"/>
        <v/>
      </c>
      <c r="W97" s="332">
        <f t="array" ref="W97">IFERROR(100-100/(1+SUMPRODUCT((終値!F51:R51&gt;終値!G51:S51)*(終値!F51:R51-終値!G51:S51))/SUMPRODUCT((終値!F51:R51&lt;終値!G51:S51)*(終値!G51:S51-終値!F51:R51))),50)</f>
        <v>68.306801736613608</v>
      </c>
      <c r="X97" s="333">
        <f>IF(C97&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27.706056782586984</v>
      </c>
      <c r="Y97" s="328" t="e">
        <f t="shared" si="31"/>
        <v>#VALUE!</v>
      </c>
      <c r="Z97" s="334" t="str">
        <f t="shared" si="32"/>
        <v/>
      </c>
      <c r="AA97" s="328" t="str">
        <f t="shared" si="33"/>
        <v/>
      </c>
      <c r="AB97" s="329">
        <f>IF(OR(C97="",C97="TOPX",終値!E51=""),"",IFERROR(((終値!E51*0.333)+(終値!F51*0.222)+(終値!G51*0.148)+(終値!H51*0.099)+(終値!I51*0.066))/(0.333+0.222+0.148+0.099+0.066),""))</f>
        <v>2527.6647465437786</v>
      </c>
      <c r="AC97" s="329">
        <f>IF(OR(C97="",C97="TOPX",終値!E51=""),"",IFERROR(SUMPRODUCT((終値!E51:AC51),{0.077,0.071,0.065,0.06,0.055,0.051,0.047,0.043,0.039,0.036,0.033,0.031,0.028,0.026,0.024,0.022,0.02,0.018,0.017,0.016,0.014,0.013,0.012,0.011,0.01})/SUM({0.077,0.071,0.065,0.06,0.055,0.051,0.047,0.043,0.039,0.036,0.033,0.031,0.028,0.026,0.024,0.022,0.02,0.018,0.017,0.016,0.014,0.013,0.012,0.011,0.01}),""))</f>
        <v>2427.0429082240753</v>
      </c>
      <c r="AD97" s="328" t="str">
        <f t="shared" si="34"/>
        <v>パーフェクト▲</v>
      </c>
      <c r="AE97" s="328" t="e">
        <f t="shared" si="35"/>
        <v>#VALUE!</v>
      </c>
      <c r="AF97" t="e">
        <f>IF(T97="","",IF(銘柄管理!$F$5="上昇▲",IF(AND(AD97="下降トレンド▼",OR(AE97="25日戻り売り★",AE97="5日戻り売り○")),"★逆張り売り",IF(AND(AD97="もみ合い→",OR(AE97="25日戻り売り★",AE97="5日戻り売り○")),"○逆張り売り",IF(W97&gt;=70,IF(Z97&lt;0,"◎反落確認","△過熱・様子見"),"相場上昇・見送り"))),IF(AND(T97&gt;=12,AD97="下降トレンド▼"),"★強い売り",IF(T97&gt;=12,"★強い売り",IF(AND(T97&gt;=8,OR(AE97="25日戻り売り★",AE97="5日戻り売り○")),"◎戻り売り",IF(T97&gt;=10,"○売り候補",IF(T97&gt;=6,"△注目",IF(T97&gt;=3,"様子見","見送り"))))))))</f>
        <v>#VALUE!</v>
      </c>
      <c r="AG97">
        <f t="shared" si="36"/>
        <v>0</v>
      </c>
      <c r="AH97">
        <f t="shared" si="37"/>
        <v>0</v>
      </c>
      <c r="AI97" s="376">
        <f t="array" ref="AI97">IF(C97="","",IFERROR((INDEX(終値!$E:$E,MATCH(TEXT(C97,"0"),終値!$A:$A,0))-INDEX(終値!$E:$CZ,MATCH(TEXT(C97,"0"),終値!$A:$A,0),$AN$2))/INDEX(終値!$E:$CZ,MATCH(TEXT(C97,"0"),終値!$A:$A,0),$AN$2)*100,""))</f>
        <v>10.583623693379792</v>
      </c>
      <c r="AJ97" s="376">
        <f t="array" ref="AJ97">IFERROR((終値!$E$5-INDEX(終値!$E$5:$CZ$5,1,$AN$2))/INDEX(終値!$E$5:$CZ$5,1,$AN$2)*100,"")</f>
        <v>2.31989243802786</v>
      </c>
      <c r="AK97" s="377">
        <f t="shared" si="38"/>
        <v>8.2637312553519315</v>
      </c>
      <c r="AL97" s="375">
        <f t="shared" si="39"/>
        <v>-2</v>
      </c>
      <c r="AO97" s="379" t="e">
        <f t="shared" si="40"/>
        <v>#VALUE!</v>
      </c>
      <c r="AP97" s="380" t="e">
        <f t="shared" si="41"/>
        <v>#VALUE!</v>
      </c>
      <c r="AQ97">
        <f>IF(C97&lt;&gt;"",始値!F51,"")</f>
        <v>2486</v>
      </c>
      <c r="AR97">
        <f>IF(C97&lt;&gt;"",高値!F51,"")</f>
        <v>2549</v>
      </c>
      <c r="AS97">
        <f>IF(C97&lt;&gt;"",安値!F51,"")</f>
        <v>2471</v>
      </c>
      <c r="AT97" t="str">
        <f t="shared" si="42"/>
        <v>通常</v>
      </c>
      <c r="AU97">
        <f t="shared" si="43"/>
        <v>0</v>
      </c>
    </row>
    <row r="98" spans="1:47" ht="14.25" customHeight="1">
      <c r="A98" s="335" t="str">
        <f>IF(銘柄管理!B72&lt;&gt;"",HYPERLINK("https://kabutan.jp/stock/?code="&amp;銘柄管理!B72,"株探"),"")</f>
        <v>株探</v>
      </c>
      <c r="B98" s="215"/>
      <c r="C98" s="478">
        <f>IF(銘柄管理!B72="","",銘柄管理!B72)</f>
        <v>6027</v>
      </c>
      <c r="D98" s="215" t="str">
        <f>IF(銘柄管理!C72="","",銘柄管理!C72)</f>
        <v/>
      </c>
      <c r="E98" s="336" t="str">
        <f>IF(C98&lt;&gt;"",_xll.RssMarket(C98,"現在値"),"")</f>
        <v/>
      </c>
      <c r="F98" s="336" t="str">
        <f>IF(C98&lt;&gt;"",_xll.RssMarket(C98,"始値"),"")</f>
        <v/>
      </c>
      <c r="G98" s="215">
        <f>IF(C98&lt;&gt;"",終値!F72,"")</f>
        <v>2391</v>
      </c>
      <c r="H98" s="336" t="str">
        <f>IF(C98&lt;&gt;"",_xll.RssMarket(C98,"高値"),"")</f>
        <v/>
      </c>
      <c r="I98" s="336" t="str">
        <f>IF(C98&lt;&gt;"",_xll.RssMarket(C98,"安値"),"")</f>
        <v/>
      </c>
      <c r="J98" s="336" t="str">
        <f>IF(C98&lt;&gt;"",_xll.RssMarket(C98,"出来高"),"")</f>
        <v/>
      </c>
      <c r="K98" s="336" t="str">
        <f>IF(C98&lt;&gt;"",_xll.RssMarket(C98,"年初来高値"),"")</f>
        <v/>
      </c>
      <c r="L98" s="337" t="str">
        <f t="shared" si="22"/>
        <v/>
      </c>
      <c r="M98" s="336">
        <f>IF(C98&lt;&gt;"",IFERROR(AVERAGE(出来高!E72:I72),""),"")</f>
        <v>64260</v>
      </c>
      <c r="N98" s="336">
        <f>IF(C98&lt;&gt;"",IFERROR(AVERAGE(出来高!E72:AC72),""),"")</f>
        <v>93792</v>
      </c>
      <c r="O98" s="338" t="str">
        <f t="shared" si="23"/>
        <v/>
      </c>
      <c r="P98" s="215" t="str">
        <f t="shared" si="24"/>
        <v/>
      </c>
      <c r="Q98" s="215" t="str">
        <f t="shared" si="25"/>
        <v/>
      </c>
      <c r="R98" s="336" t="str">
        <f t="shared" si="26"/>
        <v/>
      </c>
      <c r="S98" s="336" t="str">
        <f t="shared" si="27"/>
        <v/>
      </c>
      <c r="T98" s="328">
        <f t="shared" si="28"/>
        <v>0</v>
      </c>
      <c r="U98" s="215" t="str">
        <f t="shared" si="29"/>
        <v>除外</v>
      </c>
      <c r="V98" s="215" t="str">
        <f t="shared" si="30"/>
        <v/>
      </c>
      <c r="W98" s="339">
        <f t="array" ref="W98">IFERROR(100-100/(1+SUMPRODUCT((終値!F72:R72&gt;終値!G72:S72)*(終値!F72:R72-終値!G72:S72))/SUMPRODUCT((終値!F72:R72&lt;終値!G72:S72)*(終値!G72:S72-終値!F72:R72))),50)</f>
        <v>75.065616797900262</v>
      </c>
      <c r="X98" s="340">
        <f>IF(C98&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40.969636481598172</v>
      </c>
      <c r="Y98" s="215" t="e">
        <f t="shared" si="31"/>
        <v>#VALUE!</v>
      </c>
      <c r="Z98" s="341" t="str">
        <f t="shared" si="32"/>
        <v/>
      </c>
      <c r="AA98" s="215" t="str">
        <f t="shared" si="33"/>
        <v/>
      </c>
      <c r="AB98" s="336">
        <f>IF(OR(C98="",C98="TOPX",終値!E72=""),"",IFERROR(((終値!E72*0.333)+(終値!F72*0.222)+(終値!G72*0.148)+(終値!H72*0.099)+(終値!I72*0.066))/(0.333+0.222+0.148+0.099+0.066),""))</f>
        <v>2388.7995391705067</v>
      </c>
      <c r="AC98" s="336">
        <f>IF(OR(C98="",C98="TOPX",終値!E72=""),"",IFERROR(SUMPRODUCT((終値!E72:AC72),{0.077,0.071,0.065,0.06,0.055,0.051,0.047,0.043,0.039,0.036,0.033,0.031,0.028,0.026,0.024,0.022,0.02,0.018,0.017,0.016,0.014,0.013,0.012,0.011,0.01})/SUM({0.077,0.071,0.065,0.06,0.055,0.051,0.047,0.043,0.039,0.036,0.033,0.031,0.028,0.026,0.024,0.022,0.02,0.018,0.017,0.016,0.014,0.013,0.012,0.011,0.01}),""))</f>
        <v>2315.4052443384976</v>
      </c>
      <c r="AD98" s="215" t="str">
        <f t="shared" si="34"/>
        <v>パーフェクト▲</v>
      </c>
      <c r="AE98" s="215" t="e">
        <f t="shared" si="35"/>
        <v>#VALUE!</v>
      </c>
      <c r="AF98" t="e">
        <f>IF(T98="","",IF(銘柄管理!$F$5="上昇▲",IF(AND(AD98="下降トレンド▼",OR(AE98="25日戻り売り★",AE98="5日戻り売り○")),"★逆張り売り",IF(AND(AD98="もみ合い→",OR(AE98="25日戻り売り★",AE98="5日戻り売り○")),"○逆張り売り",IF(W98&gt;=70,IF(Z98&lt;0,"◎反落確認","△過熱・様子見"),"相場上昇・見送り"))),IF(AND(T98&gt;=12,AD98="下降トレンド▼"),"★強い売り",IF(T98&gt;=12,"★強い売り",IF(AND(T98&gt;=8,OR(AE98="25日戻り売り★",AE98="5日戻り売り○")),"◎戻り売り",IF(T98&gt;=10,"○売り候補",IF(T98&gt;=6,"△注目",IF(T98&gt;=3,"様子見","見送り"))))))))</f>
        <v>#VALUE!</v>
      </c>
      <c r="AG98">
        <f t="shared" si="36"/>
        <v>0</v>
      </c>
      <c r="AH98">
        <f t="shared" si="37"/>
        <v>0</v>
      </c>
      <c r="AI98" s="376">
        <f t="array" ref="AI98">IF(C98="","",IFERROR((INDEX(終値!$E:$E,MATCH(TEXT(C98,"0"),終値!$A:$A,0))-INDEX(終値!$E:$CZ,MATCH(TEXT(C98,"0"),終値!$A:$A,0),$AN$2))/INDEX(終値!$E:$CZ,MATCH(TEXT(C98,"0"),終値!$A:$A,0),$AN$2)*100,""))</f>
        <v>8.1447963800904972</v>
      </c>
      <c r="AJ98" s="376">
        <f t="array" ref="AJ98">IFERROR((終値!$E$5-INDEX(終値!$E$5:$CZ$5,1,$AN$2))/INDEX(終値!$E$5:$CZ$5,1,$AN$2)*100,"")</f>
        <v>2.31989243802786</v>
      </c>
      <c r="AK98" s="377">
        <f t="shared" si="38"/>
        <v>5.8249039420626367</v>
      </c>
      <c r="AL98" s="375">
        <f t="shared" si="39"/>
        <v>-2</v>
      </c>
      <c r="AO98" s="379" t="e">
        <f t="shared" si="40"/>
        <v>#VALUE!</v>
      </c>
      <c r="AP98" s="380" t="e">
        <f t="shared" si="41"/>
        <v>#VALUE!</v>
      </c>
      <c r="AQ98">
        <f>IF(C98&lt;&gt;"",始値!F72,"")</f>
        <v>2366</v>
      </c>
      <c r="AR98">
        <f>IF(C98&lt;&gt;"",高値!F72,"")</f>
        <v>2423</v>
      </c>
      <c r="AS98">
        <f>IF(C98&lt;&gt;"",安値!F72,"")</f>
        <v>2360</v>
      </c>
      <c r="AT98" t="str">
        <f t="shared" si="42"/>
        <v>通常</v>
      </c>
      <c r="AU98">
        <f t="shared" si="43"/>
        <v>0</v>
      </c>
    </row>
    <row r="99" spans="1:47" ht="14.25" customHeight="1">
      <c r="A99" s="327" t="str">
        <f>IF(銘柄管理!B74&lt;&gt;"",HYPERLINK("https://kabutan.jp/stock/?code="&amp;銘柄管理!B74,"株探"),"")</f>
        <v>株探</v>
      </c>
      <c r="B99" s="328"/>
      <c r="C99" s="477">
        <f>IF(銘柄管理!B74="","",銘柄管理!B74)</f>
        <v>9202</v>
      </c>
      <c r="D99" s="328" t="str">
        <f>IF(銘柄管理!C74="","",銘柄管理!C74)</f>
        <v/>
      </c>
      <c r="E99" s="329" t="str">
        <f>IF(C99&lt;&gt;"",_xll.RssMarket(C99,"現在値"),"")</f>
        <v/>
      </c>
      <c r="F99" s="329" t="str">
        <f>IF(C99&lt;&gt;"",_xll.RssMarket(C99,"始値"),"")</f>
        <v/>
      </c>
      <c r="G99" s="328">
        <f>IF(C99&lt;&gt;"",終値!F74,"")</f>
        <v>3004</v>
      </c>
      <c r="H99" s="329" t="str">
        <f>IF(C99&lt;&gt;"",_xll.RssMarket(C99,"高値"),"")</f>
        <v/>
      </c>
      <c r="I99" s="329" t="str">
        <f>IF(C99&lt;&gt;"",_xll.RssMarket(C99,"安値"),"")</f>
        <v/>
      </c>
      <c r="J99" s="329" t="str">
        <f>IF(C99&lt;&gt;"",_xll.RssMarket(C99,"出来高"),"")</f>
        <v/>
      </c>
      <c r="K99" s="329" t="str">
        <f>IF(C99&lt;&gt;"",_xll.RssMarket(C99,"年初来高値"),"")</f>
        <v/>
      </c>
      <c r="L99" s="330" t="str">
        <f t="shared" si="22"/>
        <v/>
      </c>
      <c r="M99" s="329">
        <f>IF(C99&lt;&gt;"",IFERROR(AVERAGE(出来高!E74:I74),""),"")</f>
        <v>2009680</v>
      </c>
      <c r="N99" s="329">
        <f>IF(C99&lt;&gt;"",IFERROR(AVERAGE(出来高!E74:AC74),""),"")</f>
        <v>2359512</v>
      </c>
      <c r="O99" s="331" t="str">
        <f t="shared" si="23"/>
        <v/>
      </c>
      <c r="P99" s="328" t="str">
        <f t="shared" si="24"/>
        <v/>
      </c>
      <c r="Q99" s="328" t="str">
        <f t="shared" si="25"/>
        <v/>
      </c>
      <c r="R99" s="329" t="str">
        <f t="shared" si="26"/>
        <v/>
      </c>
      <c r="S99" s="329" t="str">
        <f t="shared" si="27"/>
        <v/>
      </c>
      <c r="T99" s="328">
        <f t="shared" si="28"/>
        <v>0</v>
      </c>
      <c r="U99" s="328" t="str">
        <f t="shared" si="29"/>
        <v>除外</v>
      </c>
      <c r="V99" s="328" t="str">
        <f t="shared" si="30"/>
        <v/>
      </c>
      <c r="W99" s="332">
        <f t="array" ref="W99">IFERROR(100-100/(1+SUMPRODUCT((終値!F74:R74&gt;終値!G74:S74)*(終値!F74:R74-終値!G74:S74))/SUMPRODUCT((終値!F74:R74&lt;終値!G74:S74)*(終値!G74:S74-終値!F74:R74))),50)</f>
        <v>51.18343195266273</v>
      </c>
      <c r="X99" s="333">
        <f>IF(C99&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13.739124897010697</v>
      </c>
      <c r="Y99" s="328" t="e">
        <f t="shared" si="31"/>
        <v>#VALUE!</v>
      </c>
      <c r="Z99" s="334" t="str">
        <f t="shared" si="32"/>
        <v/>
      </c>
      <c r="AA99" s="328" t="str">
        <f t="shared" si="33"/>
        <v/>
      </c>
      <c r="AB99" s="329">
        <f>IF(OR(C99="",C99="TOPX",終値!E74=""),"",IFERROR(((終値!E74*0.333)+(終値!F74*0.222)+(終値!G74*0.148)+(終値!H74*0.099)+(終値!I74*0.066))/(0.333+0.222+0.148+0.099+0.066),""))</f>
        <v>3021.6405529953913</v>
      </c>
      <c r="AC99" s="329">
        <f>IF(OR(C99="",C99="TOPX",終値!E74=""),"",IFERROR(SUMPRODUCT((終値!E74:AC74),{0.077,0.071,0.065,0.06,0.055,0.051,0.047,0.043,0.039,0.036,0.033,0.031,0.028,0.026,0.024,0.022,0.02,0.018,0.017,0.016,0.014,0.013,0.012,0.011,0.01})/SUM({0.077,0.071,0.065,0.06,0.055,0.051,0.047,0.043,0.039,0.036,0.033,0.031,0.028,0.026,0.024,0.022,0.02,0.018,0.017,0.016,0.014,0.013,0.012,0.011,0.01}),""))</f>
        <v>3020.8349225268162</v>
      </c>
      <c r="AD99" s="328" t="str">
        <f t="shared" si="34"/>
        <v>パーフェクト▲</v>
      </c>
      <c r="AE99" s="328" t="e">
        <f t="shared" si="35"/>
        <v>#VALUE!</v>
      </c>
      <c r="AF99" t="e">
        <f>IF(T99="","",IF(銘柄管理!$F$5="上昇▲",IF(AND(AD99="下降トレンド▼",OR(AE99="25日戻り売り★",AE99="5日戻り売り○")),"★逆張り売り",IF(AND(AD99="もみ合い→",OR(AE99="25日戻り売り★",AE99="5日戻り売り○")),"○逆張り売り",IF(W99&gt;=70,IF(Z99&lt;0,"◎反落確認","△過熱・様子見"),"相場上昇・見送り"))),IF(AND(T99&gt;=12,AD99="下降トレンド▼"),"★強い売り",IF(T99&gt;=12,"★強い売り",IF(AND(T99&gt;=8,OR(AE99="25日戻り売り★",AE99="5日戻り売り○")),"◎戻り売り",IF(T99&gt;=10,"○売り候補",IF(T99&gt;=6,"△注目",IF(T99&gt;=3,"様子見","見送り"))))))))</f>
        <v>#VALUE!</v>
      </c>
      <c r="AG99">
        <f t="shared" si="36"/>
        <v>0</v>
      </c>
      <c r="AH99">
        <f t="shared" si="37"/>
        <v>0</v>
      </c>
      <c r="AI99" s="376">
        <f t="array" ref="AI99">IF(C99="","",IFERROR((INDEX(終値!$E:$E,MATCH(TEXT(C99,"0"),終値!$A:$A,0))-INDEX(終値!$E:$CZ,MATCH(TEXT(C99,"0"),終値!$A:$A,0),$AN$2))/INDEX(終値!$E:$CZ,MATCH(TEXT(C99,"0"),終値!$A:$A,0),$AN$2)*100,""))</f>
        <v>8.145766345123258</v>
      </c>
      <c r="AJ99" s="376">
        <f t="array" ref="AJ99">IFERROR((終値!$E$5-INDEX(終値!$E$5:$CZ$5,1,$AN$2))/INDEX(終値!$E$5:$CZ$5,1,$AN$2)*100,"")</f>
        <v>2.31989243802786</v>
      </c>
      <c r="AK99" s="377">
        <f t="shared" si="38"/>
        <v>5.8258739070953975</v>
      </c>
      <c r="AL99" s="375">
        <f t="shared" si="39"/>
        <v>-2</v>
      </c>
      <c r="AO99" s="379" t="e">
        <f t="shared" si="40"/>
        <v>#VALUE!</v>
      </c>
      <c r="AP99" s="380" t="e">
        <f t="shared" si="41"/>
        <v>#VALUE!</v>
      </c>
      <c r="AQ99">
        <f>IF(C99&lt;&gt;"",始値!F74,"")</f>
        <v>3029</v>
      </c>
      <c r="AR99">
        <f>IF(C99&lt;&gt;"",高値!F74,"")</f>
        <v>3057</v>
      </c>
      <c r="AS99">
        <f>IF(C99&lt;&gt;"",安値!F74,"")</f>
        <v>2998</v>
      </c>
      <c r="AT99" t="str">
        <f t="shared" si="42"/>
        <v>通常</v>
      </c>
      <c r="AU99">
        <f t="shared" si="43"/>
        <v>0</v>
      </c>
    </row>
    <row r="100" spans="1:47" ht="14.25" customHeight="1">
      <c r="A100" s="335" t="str">
        <f>IF(銘柄管理!B81&lt;&gt;"",HYPERLINK("https://kabutan.jp/stock/?code="&amp;銘柄管理!B81,"株探"),"")</f>
        <v>株探</v>
      </c>
      <c r="B100" s="215"/>
      <c r="C100" s="478">
        <f>IF(銘柄管理!B81="","",銘柄管理!B81)</f>
        <v>6841</v>
      </c>
      <c r="D100" s="215" t="str">
        <f>IF(銘柄管理!C81="","",銘柄管理!C81)</f>
        <v/>
      </c>
      <c r="E100" s="336" t="str">
        <f>IF(C100&lt;&gt;"",_xll.RssMarket(C100,"現在値"),"")</f>
        <v/>
      </c>
      <c r="F100" s="336" t="str">
        <f>IF(C100&lt;&gt;"",_xll.RssMarket(C100,"始値"),"")</f>
        <v/>
      </c>
      <c r="G100" s="215">
        <f>IF(C100&lt;&gt;"",終値!F81,"")</f>
        <v>5600</v>
      </c>
      <c r="H100" s="336" t="str">
        <f>IF(C100&lt;&gt;"",_xll.RssMarket(C100,"高値"),"")</f>
        <v/>
      </c>
      <c r="I100" s="336" t="str">
        <f>IF(C100&lt;&gt;"",_xll.RssMarket(C100,"安値"),"")</f>
        <v/>
      </c>
      <c r="J100" s="336" t="str">
        <f>IF(C100&lt;&gt;"",_xll.RssMarket(C100,"出来高"),"")</f>
        <v/>
      </c>
      <c r="K100" s="336" t="str">
        <f>IF(C100&lt;&gt;"",_xll.RssMarket(C100,"年初来高値"),"")</f>
        <v/>
      </c>
      <c r="L100" s="337" t="str">
        <f t="shared" si="22"/>
        <v/>
      </c>
      <c r="M100" s="336">
        <f>IF(C100&lt;&gt;"",IFERROR(AVERAGE(出来高!E81:I81),""),"")</f>
        <v>1137200</v>
      </c>
      <c r="N100" s="336">
        <f>IF(C100&lt;&gt;"",IFERROR(AVERAGE(出来高!E81:AC81),""),"")</f>
        <v>1184444</v>
      </c>
      <c r="O100" s="338" t="str">
        <f t="shared" si="23"/>
        <v/>
      </c>
      <c r="P100" s="215" t="str">
        <f t="shared" si="24"/>
        <v/>
      </c>
      <c r="Q100" s="215" t="str">
        <f t="shared" si="25"/>
        <v/>
      </c>
      <c r="R100" s="336" t="str">
        <f t="shared" si="26"/>
        <v/>
      </c>
      <c r="S100" s="336" t="str">
        <f t="shared" si="27"/>
        <v/>
      </c>
      <c r="T100" s="328">
        <f t="shared" si="28"/>
        <v>0</v>
      </c>
      <c r="U100" s="215" t="str">
        <f t="shared" si="29"/>
        <v>除外</v>
      </c>
      <c r="V100" s="215" t="str">
        <f t="shared" si="30"/>
        <v/>
      </c>
      <c r="W100" s="339">
        <f t="array" ref="W100">IFERROR(100-100/(1+SUMPRODUCT((終値!F81:R81&gt;終値!G81:S81)*(終値!F81:R81-終値!G81:S81))/SUMPRODUCT((終値!F81:R81&lt;終値!G81:S81)*(終値!G81:S81-終値!F81:R81))),50)</f>
        <v>50.790067720090292</v>
      </c>
      <c r="X100" s="340">
        <f>IF(C100&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18.530459044975032</v>
      </c>
      <c r="Y100" s="215" t="e">
        <f t="shared" si="31"/>
        <v>#VALUE!</v>
      </c>
      <c r="Z100" s="341" t="str">
        <f t="shared" si="32"/>
        <v/>
      </c>
      <c r="AA100" s="215" t="str">
        <f t="shared" si="33"/>
        <v/>
      </c>
      <c r="AB100" s="336">
        <f>IF(OR(C100="",C100="TOPX",終値!E81=""),"",IFERROR(((終値!E81*0.333)+(終値!F81*0.222)+(終値!G81*0.148)+(終値!H81*0.099)+(終値!I81*0.066))/(0.333+0.222+0.148+0.099+0.066),""))</f>
        <v>5521.452764976958</v>
      </c>
      <c r="AC100" s="336">
        <f>IF(OR(C100="",C100="TOPX",終値!E81=""),"",IFERROR(SUMPRODUCT((終値!E81:AC81),{0.077,0.071,0.065,0.06,0.055,0.051,0.047,0.043,0.039,0.036,0.033,0.031,0.028,0.026,0.024,0.022,0.02,0.018,0.017,0.016,0.014,0.013,0.012,0.011,0.01})/SUM({0.077,0.071,0.065,0.06,0.055,0.051,0.047,0.043,0.039,0.036,0.033,0.031,0.028,0.026,0.024,0.022,0.02,0.018,0.017,0.016,0.014,0.013,0.012,0.011,0.01}),""))</f>
        <v>5523.0512514898683</v>
      </c>
      <c r="AD100" s="215" t="str">
        <f t="shared" si="34"/>
        <v>上昇トレンド▲</v>
      </c>
      <c r="AE100" s="215" t="e">
        <f t="shared" si="35"/>
        <v>#VALUE!</v>
      </c>
      <c r="AF100" t="e">
        <f>IF(T100="","",IF(銘柄管理!$F$5="上昇▲",IF(AND(AD100="下降トレンド▼",OR(AE100="25日戻り売り★",AE100="5日戻り売り○")),"★逆張り売り",IF(AND(AD100="もみ合い→",OR(AE100="25日戻り売り★",AE100="5日戻り売り○")),"○逆張り売り",IF(W100&gt;=70,IF(Z100&lt;0,"◎反落確認","△過熱・様子見"),"相場上昇・見送り"))),IF(AND(T100&gt;=12,AD100="下降トレンド▼"),"★強い売り",IF(T100&gt;=12,"★強い売り",IF(AND(T100&gt;=8,OR(AE100="25日戻り売り★",AE100="5日戻り売り○")),"◎戻り売り",IF(T100&gt;=10,"○売り候補",IF(T100&gt;=6,"△注目",IF(T100&gt;=3,"様子見","見送り"))))))))</f>
        <v>#VALUE!</v>
      </c>
      <c r="AG100">
        <f t="shared" si="36"/>
        <v>0</v>
      </c>
      <c r="AH100">
        <f t="shared" si="37"/>
        <v>0</v>
      </c>
      <c r="AI100" s="376">
        <f t="array" ref="AI100">IF(C100="","",IFERROR((INDEX(終値!$E:$E,MATCH(TEXT(C100,"0"),終値!$A:$A,0))-INDEX(終値!$E:$CZ,MATCH(TEXT(C100,"0"),終値!$A:$A,0),$AN$2))/INDEX(終値!$E:$CZ,MATCH(TEXT(C100,"0"),終値!$A:$A,0),$AN$2)*100,""))</f>
        <v>10.665857113944547</v>
      </c>
      <c r="AJ100" s="376">
        <f t="array" ref="AJ100">IFERROR((終値!$E$5-INDEX(終値!$E$5:$CZ$5,1,$AN$2))/INDEX(終値!$E$5:$CZ$5,1,$AN$2)*100,"")</f>
        <v>2.31989243802786</v>
      </c>
      <c r="AK100" s="377">
        <f t="shared" si="38"/>
        <v>8.3459646759166866</v>
      </c>
      <c r="AL100" s="375">
        <f t="shared" si="39"/>
        <v>-2</v>
      </c>
      <c r="AO100" s="379" t="e">
        <f t="shared" si="40"/>
        <v>#VALUE!</v>
      </c>
      <c r="AP100" s="380" t="e">
        <f t="shared" si="41"/>
        <v>#VALUE!</v>
      </c>
      <c r="AQ100">
        <f>IF(C100&lt;&gt;"",始値!F81,"")</f>
        <v>5528</v>
      </c>
      <c r="AR100">
        <f>IF(C100&lt;&gt;"",高値!F81,"")</f>
        <v>5647</v>
      </c>
      <c r="AS100">
        <f>IF(C100&lt;&gt;"",安値!F81,"")</f>
        <v>5519</v>
      </c>
      <c r="AT100" t="str">
        <f t="shared" si="42"/>
        <v>通常</v>
      </c>
      <c r="AU100">
        <f t="shared" si="43"/>
        <v>0</v>
      </c>
    </row>
    <row r="101" spans="1:47" ht="14.25" customHeight="1">
      <c r="A101" s="327" t="str">
        <f>IF(銘柄管理!B82&lt;&gt;"",HYPERLINK("https://kabutan.jp/stock/?code="&amp;銘柄管理!B82,"株探"),"")</f>
        <v>株探</v>
      </c>
      <c r="B101" s="328"/>
      <c r="C101" s="477">
        <f>IF(銘柄管理!B82="","",銘柄管理!B82)</f>
        <v>7167</v>
      </c>
      <c r="D101" s="328" t="str">
        <f>IF(銘柄管理!C82="","",銘柄管理!C82)</f>
        <v/>
      </c>
      <c r="E101" s="329" t="str">
        <f>IF(C101&lt;&gt;"",_xll.RssMarket(C101,"現在値"),"")</f>
        <v/>
      </c>
      <c r="F101" s="329" t="str">
        <f>IF(C101&lt;&gt;"",_xll.RssMarket(C101,"始値"),"")</f>
        <v/>
      </c>
      <c r="G101" s="328">
        <f>IF(C101&lt;&gt;"",終値!F82,"")</f>
        <v>1531.5</v>
      </c>
      <c r="H101" s="329" t="str">
        <f>IF(C101&lt;&gt;"",_xll.RssMarket(C101,"高値"),"")</f>
        <v/>
      </c>
      <c r="I101" s="329" t="str">
        <f>IF(C101&lt;&gt;"",_xll.RssMarket(C101,"安値"),"")</f>
        <v/>
      </c>
      <c r="J101" s="329" t="str">
        <f>IF(C101&lt;&gt;"",_xll.RssMarket(C101,"出来高"),"")</f>
        <v/>
      </c>
      <c r="K101" s="329" t="str">
        <f>IF(C101&lt;&gt;"",_xll.RssMarket(C101,"年初来高値"),"")</f>
        <v/>
      </c>
      <c r="L101" s="330" t="str">
        <f t="shared" si="22"/>
        <v/>
      </c>
      <c r="M101" s="329">
        <f>IF(C101&lt;&gt;"",IFERROR(AVERAGE(出来高!E82:I82),""),"")</f>
        <v>3499060</v>
      </c>
      <c r="N101" s="329">
        <f>IF(C101&lt;&gt;"",IFERROR(AVERAGE(出来高!E82:AC82),""),"")</f>
        <v>2775724</v>
      </c>
      <c r="O101" s="331" t="str">
        <f t="shared" si="23"/>
        <v/>
      </c>
      <c r="P101" s="328" t="str">
        <f t="shared" si="24"/>
        <v/>
      </c>
      <c r="Q101" s="328" t="str">
        <f t="shared" si="25"/>
        <v/>
      </c>
      <c r="R101" s="329" t="str">
        <f t="shared" si="26"/>
        <v/>
      </c>
      <c r="S101" s="329" t="str">
        <f t="shared" si="27"/>
        <v/>
      </c>
      <c r="T101" s="328">
        <f t="shared" si="28"/>
        <v>0</v>
      </c>
      <c r="U101" s="328" t="str">
        <f t="shared" si="29"/>
        <v>除外</v>
      </c>
      <c r="V101" s="328" t="str">
        <f t="shared" si="30"/>
        <v/>
      </c>
      <c r="W101" s="332">
        <f t="array" ref="W101">IFERROR(100-100/(1+SUMPRODUCT((終値!F82:R82&gt;終値!G82:S82)*(終値!F82:R82-終値!G82:S82))/SUMPRODUCT((終値!F82:R82&lt;終値!G82:S82)*(終値!G82:S82-終値!F82:R82))),50)</f>
        <v>81.856540084388186</v>
      </c>
      <c r="X101" s="333">
        <f>IF(C101&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17.212446117044237</v>
      </c>
      <c r="Y101" s="328" t="e">
        <f t="shared" si="31"/>
        <v>#VALUE!</v>
      </c>
      <c r="Z101" s="334" t="str">
        <f t="shared" si="32"/>
        <v/>
      </c>
      <c r="AA101" s="328" t="str">
        <f t="shared" si="33"/>
        <v/>
      </c>
      <c r="AB101" s="329">
        <f>IF(OR(C101="",C101="TOPX",終値!E82=""),"",IFERROR(((終値!E82*0.333)+(終値!F82*0.222)+(終値!G82*0.148)+(終値!H82*0.099)+(終値!I82*0.066))/(0.333+0.222+0.148+0.099+0.066),""))</f>
        <v>1490.5685483870966</v>
      </c>
      <c r="AC101" s="329">
        <f>IF(OR(C101="",C101="TOPX",終値!E82=""),"",IFERROR(SUMPRODUCT((終値!E82:AC82),{0.077,0.071,0.065,0.06,0.055,0.051,0.047,0.043,0.039,0.036,0.033,0.031,0.028,0.026,0.024,0.022,0.02,0.018,0.017,0.016,0.014,0.013,0.012,0.011,0.01})/SUM({0.077,0.071,0.065,0.06,0.055,0.051,0.047,0.043,0.039,0.036,0.033,0.031,0.028,0.026,0.024,0.022,0.02,0.018,0.017,0.016,0.014,0.013,0.012,0.011,0.01}),""))</f>
        <v>1476.6531585220496</v>
      </c>
      <c r="AD101" s="328" t="str">
        <f t="shared" si="34"/>
        <v>パーフェクト▲</v>
      </c>
      <c r="AE101" s="328" t="e">
        <f t="shared" si="35"/>
        <v>#VALUE!</v>
      </c>
      <c r="AF101" t="e">
        <f>IF(T101="","",IF(銘柄管理!$F$5="上昇▲",IF(AND(AD101="下降トレンド▼",OR(AE101="25日戻り売り★",AE101="5日戻り売り○")),"★逆張り売り",IF(AND(AD101="もみ合い→",OR(AE101="25日戻り売り★",AE101="5日戻り売り○")),"○逆張り売り",IF(W101&gt;=70,IF(Z101&lt;0,"◎反落確認","△過熱・様子見"),"相場上昇・見送り"))),IF(AND(T101&gt;=12,AD101="下降トレンド▼"),"★強い売り",IF(T101&gt;=12,"★強い売り",IF(AND(T101&gt;=8,OR(AE101="25日戻り売り★",AE101="5日戻り売り○")),"◎戻り売り",IF(T101&gt;=10,"○売り候補",IF(T101&gt;=6,"△注目",IF(T101&gt;=3,"様子見","見送り"))))))))</f>
        <v>#VALUE!</v>
      </c>
      <c r="AG101">
        <f t="shared" si="36"/>
        <v>0</v>
      </c>
      <c r="AH101">
        <f t="shared" si="37"/>
        <v>0</v>
      </c>
      <c r="AI101" s="376">
        <f t="array" ref="AI101">IF(C101="","",IFERROR((INDEX(終値!$E:$E,MATCH(TEXT(C101,"0"),終値!$A:$A,0))-INDEX(終値!$E:$CZ,MATCH(TEXT(C101,"0"),終値!$A:$A,0),$AN$2))/INDEX(終値!$E:$CZ,MATCH(TEXT(C101,"0"),終値!$A:$A,0),$AN$2)*100,""))</f>
        <v>5.8212829069336305</v>
      </c>
      <c r="AJ101" s="376">
        <f t="array" ref="AJ101">IFERROR((終値!$E$5-INDEX(終値!$E$5:$CZ$5,1,$AN$2))/INDEX(終値!$E$5:$CZ$5,1,$AN$2)*100,"")</f>
        <v>2.31989243802786</v>
      </c>
      <c r="AK101" s="377">
        <f t="shared" si="38"/>
        <v>3.5013904689057704</v>
      </c>
      <c r="AL101" s="375">
        <f t="shared" si="39"/>
        <v>-2</v>
      </c>
      <c r="AO101" s="379" t="e">
        <f t="shared" si="40"/>
        <v>#VALUE!</v>
      </c>
      <c r="AP101" s="380" t="e">
        <f t="shared" si="41"/>
        <v>#VALUE!</v>
      </c>
      <c r="AQ101">
        <f>IF(C101&lt;&gt;"",始値!F82,"")</f>
        <v>1515</v>
      </c>
      <c r="AR101">
        <f>IF(C101&lt;&gt;"",高値!F82,"")</f>
        <v>1538.5</v>
      </c>
      <c r="AS101">
        <f>IF(C101&lt;&gt;"",安値!F82,"")</f>
        <v>1507</v>
      </c>
      <c r="AT101" t="str">
        <f t="shared" si="42"/>
        <v>通常</v>
      </c>
      <c r="AU101">
        <f t="shared" si="43"/>
        <v>0</v>
      </c>
    </row>
    <row r="102" spans="1:47" ht="14.25" customHeight="1">
      <c r="A102" s="335" t="str">
        <f>IF(銘柄管理!B85&lt;&gt;"",HYPERLINK("https://kabutan.jp/stock/?code="&amp;銘柄管理!B85,"株探"),"")</f>
        <v>株探</v>
      </c>
      <c r="B102" s="215"/>
      <c r="C102" s="478">
        <f>IF(銘柄管理!B85="","",銘柄管理!B85)</f>
        <v>7182</v>
      </c>
      <c r="D102" s="215" t="str">
        <f>IF(銘柄管理!C85="","",銘柄管理!C85)</f>
        <v/>
      </c>
      <c r="E102" s="336" t="str">
        <f>IF(C102&lt;&gt;"",_xll.RssMarket(C102,"現在値"),"")</f>
        <v/>
      </c>
      <c r="F102" s="336" t="str">
        <f>IF(C102&lt;&gt;"",_xll.RssMarket(C102,"始値"),"")</f>
        <v/>
      </c>
      <c r="G102" s="215">
        <f>IF(C102&lt;&gt;"",終値!F85,"")</f>
        <v>3350</v>
      </c>
      <c r="H102" s="336" t="str">
        <f>IF(C102&lt;&gt;"",_xll.RssMarket(C102,"高値"),"")</f>
        <v/>
      </c>
      <c r="I102" s="336" t="str">
        <f>IF(C102&lt;&gt;"",_xll.RssMarket(C102,"安値"),"")</f>
        <v/>
      </c>
      <c r="J102" s="336" t="str">
        <f>IF(C102&lt;&gt;"",_xll.RssMarket(C102,"出来高"),"")</f>
        <v/>
      </c>
      <c r="K102" s="336" t="str">
        <f>IF(C102&lt;&gt;"",_xll.RssMarket(C102,"年初来高値"),"")</f>
        <v/>
      </c>
      <c r="L102" s="337" t="str">
        <f t="shared" si="22"/>
        <v/>
      </c>
      <c r="M102" s="336">
        <f>IF(C102&lt;&gt;"",IFERROR(AVERAGE(出来高!E85:I85),""),"")</f>
        <v>5823120</v>
      </c>
      <c r="N102" s="336">
        <f>IF(C102&lt;&gt;"",IFERROR(AVERAGE(出来高!E85:AC85),""),"")</f>
        <v>6149504</v>
      </c>
      <c r="O102" s="338" t="str">
        <f t="shared" si="23"/>
        <v/>
      </c>
      <c r="P102" s="215" t="str">
        <f t="shared" si="24"/>
        <v/>
      </c>
      <c r="Q102" s="215" t="str">
        <f t="shared" si="25"/>
        <v/>
      </c>
      <c r="R102" s="336" t="str">
        <f t="shared" si="26"/>
        <v/>
      </c>
      <c r="S102" s="336" t="str">
        <f t="shared" si="27"/>
        <v/>
      </c>
      <c r="T102" s="328">
        <f t="shared" si="28"/>
        <v>0</v>
      </c>
      <c r="U102" s="215" t="str">
        <f t="shared" si="29"/>
        <v>除外</v>
      </c>
      <c r="V102" s="215" t="str">
        <f t="shared" si="30"/>
        <v/>
      </c>
      <c r="W102" s="339">
        <f t="array" ref="W102">IFERROR(100-100/(1+SUMPRODUCT((終値!F85:R85&gt;終値!G85:S85)*(終値!F85:R85-終値!G85:S85))/SUMPRODUCT((終値!F85:R85&lt;終値!G85:S85)*(終値!G85:S85-終値!F85:R85))),50)</f>
        <v>84.863523573200993</v>
      </c>
      <c r="X102" s="340">
        <f>IF(C102&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23.129134011837323</v>
      </c>
      <c r="Y102" s="215" t="e">
        <f t="shared" si="31"/>
        <v>#VALUE!</v>
      </c>
      <c r="Z102" s="341" t="str">
        <f t="shared" si="32"/>
        <v/>
      </c>
      <c r="AA102" s="215" t="str">
        <f t="shared" si="33"/>
        <v/>
      </c>
      <c r="AB102" s="336">
        <f>IF(OR(C102="",C102="TOPX",終値!E85=""),"",IFERROR(((終値!E85*0.333)+(終値!F85*0.222)+(終値!G85*0.148)+(終値!H85*0.099)+(終値!I85*0.066))/(0.333+0.222+0.148+0.099+0.066),""))</f>
        <v>3249.3917050691243</v>
      </c>
      <c r="AC102" s="336">
        <f>IF(OR(C102="",C102="TOPX",終値!E85=""),"",IFERROR(SUMPRODUCT((終値!E85:AC85),{0.077,0.071,0.065,0.06,0.055,0.051,0.047,0.043,0.039,0.036,0.033,0.031,0.028,0.026,0.024,0.022,0.02,0.018,0.017,0.016,0.014,0.013,0.012,0.011,0.01})/SUM({0.077,0.071,0.065,0.06,0.055,0.051,0.047,0.043,0.039,0.036,0.033,0.031,0.028,0.026,0.024,0.022,0.02,0.018,0.017,0.016,0.014,0.013,0.012,0.011,0.01}),""))</f>
        <v>3220.9713945172812</v>
      </c>
      <c r="AD102" s="215" t="str">
        <f t="shared" si="34"/>
        <v>パーフェクト▲</v>
      </c>
      <c r="AE102" s="215" t="e">
        <f t="shared" si="35"/>
        <v>#VALUE!</v>
      </c>
      <c r="AF102" t="e">
        <f>IF(T102="","",IF(銘柄管理!$F$5="上昇▲",IF(AND(AD102="下降トレンド▼",OR(AE102="25日戻り売り★",AE102="5日戻り売り○")),"★逆張り売り",IF(AND(AD102="もみ合い→",OR(AE102="25日戻り売り★",AE102="5日戻り売り○")),"○逆張り売り",IF(W102&gt;=70,IF(Z102&lt;0,"◎反落確認","△過熱・様子見"),"相場上昇・見送り"))),IF(AND(T102&gt;=12,AD102="下降トレンド▼"),"★強い売り",IF(T102&gt;=12,"★強い売り",IF(AND(T102&gt;=8,OR(AE102="25日戻り売り★",AE102="5日戻り売り○")),"◎戻り売り",IF(T102&gt;=10,"○売り候補",IF(T102&gt;=6,"△注目",IF(T102&gt;=3,"様子見","見送り"))))))))</f>
        <v>#VALUE!</v>
      </c>
      <c r="AG102">
        <f t="shared" si="36"/>
        <v>0</v>
      </c>
      <c r="AH102">
        <f t="shared" si="37"/>
        <v>0</v>
      </c>
      <c r="AI102" s="376">
        <f t="array" ref="AI102">IF(C102="","",IFERROR((INDEX(終値!$E:$E,MATCH(TEXT(C102,"0"),終値!$A:$A,0))-INDEX(終値!$E:$CZ,MATCH(TEXT(C102,"0"),終値!$A:$A,0),$AN$2))/INDEX(終値!$E:$CZ,MATCH(TEXT(C102,"0"),終値!$A:$A,0),$AN$2)*100,""))</f>
        <v>-1.1331444759206799</v>
      </c>
      <c r="AJ102" s="376">
        <f t="array" ref="AJ102">IFERROR((終値!$E$5-INDEX(終値!$E$5:$CZ$5,1,$AN$2))/INDEX(終値!$E$5:$CZ$5,1,$AN$2)*100,"")</f>
        <v>2.31989243802786</v>
      </c>
      <c r="AK102" s="377">
        <f t="shared" si="38"/>
        <v>-3.45303691394854</v>
      </c>
      <c r="AL102" s="375">
        <f t="shared" si="39"/>
        <v>1</v>
      </c>
      <c r="AO102" s="379" t="e">
        <f t="shared" si="40"/>
        <v>#VALUE!</v>
      </c>
      <c r="AP102" s="380" t="e">
        <f t="shared" si="41"/>
        <v>#VALUE!</v>
      </c>
      <c r="AQ102">
        <f>IF(C102&lt;&gt;"",始値!F85,"")</f>
        <v>3335</v>
      </c>
      <c r="AR102">
        <f>IF(C102&lt;&gt;"",高値!F85,"")</f>
        <v>3352</v>
      </c>
      <c r="AS102">
        <f>IF(C102&lt;&gt;"",安値!F85,"")</f>
        <v>3288</v>
      </c>
      <c r="AT102" t="str">
        <f t="shared" si="42"/>
        <v>長い下ヒゲ(反発)</v>
      </c>
      <c r="AU102">
        <f t="shared" si="43"/>
        <v>-2</v>
      </c>
    </row>
    <row r="103" spans="1:47" ht="14.25" customHeight="1">
      <c r="A103" s="327" t="str">
        <f>IF(銘柄管理!B101&lt;&gt;"",HYPERLINK("https://kabutan.jp/stock/?code="&amp;銘柄管理!B101,"株探"),"")</f>
        <v>株探</v>
      </c>
      <c r="B103" s="328"/>
      <c r="C103" s="477">
        <f>IF(銘柄管理!B101="","",銘柄管理!B101)</f>
        <v>4661</v>
      </c>
      <c r="D103" s="328" t="str">
        <f>IF(銘柄管理!C101="","",銘柄管理!C101)</f>
        <v/>
      </c>
      <c r="E103" s="329" t="str">
        <f>IF(C103&lt;&gt;"",_xll.RssMarket(C103,"現在値"),"")</f>
        <v/>
      </c>
      <c r="F103" s="329" t="str">
        <f>IF(C103&lt;&gt;"",_xll.RssMarket(C103,"始値"),"")</f>
        <v/>
      </c>
      <c r="G103" s="328">
        <f>IF(C103&lt;&gt;"",終値!F101,"")</f>
        <v>2622</v>
      </c>
      <c r="H103" s="329" t="str">
        <f>IF(C103&lt;&gt;"",_xll.RssMarket(C103,"高値"),"")</f>
        <v/>
      </c>
      <c r="I103" s="329" t="str">
        <f>IF(C103&lt;&gt;"",_xll.RssMarket(C103,"安値"),"")</f>
        <v/>
      </c>
      <c r="J103" s="329" t="str">
        <f>IF(C103&lt;&gt;"",_xll.RssMarket(C103,"出来高"),"")</f>
        <v/>
      </c>
      <c r="K103" s="329" t="str">
        <f>IF(C103&lt;&gt;"",_xll.RssMarket(C103,"年初来高値"),"")</f>
        <v/>
      </c>
      <c r="L103" s="330" t="str">
        <f t="shared" si="22"/>
        <v/>
      </c>
      <c r="M103" s="329">
        <f>IF(C103&lt;&gt;"",IFERROR(AVERAGE(出来高!E101:I101),""),"")</f>
        <v>7066600</v>
      </c>
      <c r="N103" s="329">
        <f>IF(C103&lt;&gt;"",IFERROR(AVERAGE(出来高!E101:AC101),""),"")</f>
        <v>5702704</v>
      </c>
      <c r="O103" s="331" t="str">
        <f t="shared" si="23"/>
        <v/>
      </c>
      <c r="P103" s="328" t="str">
        <f t="shared" si="24"/>
        <v/>
      </c>
      <c r="Q103" s="328" t="str">
        <f t="shared" si="25"/>
        <v/>
      </c>
      <c r="R103" s="329" t="str">
        <f t="shared" si="26"/>
        <v/>
      </c>
      <c r="S103" s="329" t="str">
        <f t="shared" si="27"/>
        <v/>
      </c>
      <c r="T103" s="328">
        <f t="shared" si="28"/>
        <v>0</v>
      </c>
      <c r="U103" s="328" t="str">
        <f t="shared" si="29"/>
        <v>除外</v>
      </c>
      <c r="V103" s="328" t="str">
        <f t="shared" si="30"/>
        <v/>
      </c>
      <c r="W103" s="332">
        <f t="array" ref="W103">IFERROR(100-100/(1+SUMPRODUCT((終値!F101:R101&gt;終値!G101:S101)*(終値!F101:R101-終値!G101:S101))/SUMPRODUCT((終値!F101:R101&lt;終値!G101:S101)*(終値!G101:S101-終値!F101:R101))),50)</f>
        <v>67.669753086419746</v>
      </c>
      <c r="X103" s="333">
        <f>IF(C103&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45.279874939798447</v>
      </c>
      <c r="Y103" s="328" t="e">
        <f t="shared" si="31"/>
        <v>#VALUE!</v>
      </c>
      <c r="Z103" s="334" t="str">
        <f t="shared" si="32"/>
        <v/>
      </c>
      <c r="AA103" s="328" t="str">
        <f t="shared" si="33"/>
        <v/>
      </c>
      <c r="AB103" s="329">
        <f>IF(OR(C103="",C103="TOPX",終値!E101=""),"",IFERROR(((終値!E101*0.333)+(終値!F101*0.222)+(終値!G101*0.148)+(終値!H101*0.099)+(終値!I101*0.066))/(0.333+0.222+0.148+0.099+0.066),""))</f>
        <v>2686.875</v>
      </c>
      <c r="AC103" s="329">
        <f>IF(OR(C103="",C103="TOPX",終値!E101=""),"",IFERROR(SUMPRODUCT((終値!E101:AC101),{0.077,0.071,0.065,0.06,0.055,0.051,0.047,0.043,0.039,0.036,0.033,0.031,0.028,0.026,0.024,0.022,0.02,0.018,0.017,0.016,0.014,0.013,0.012,0.011,0.01})/SUM({0.077,0.071,0.065,0.06,0.055,0.051,0.047,0.043,0.039,0.036,0.033,0.031,0.028,0.026,0.024,0.022,0.02,0.018,0.017,0.016,0.014,0.013,0.012,0.011,0.01}),""))</f>
        <v>2542.0071513706794</v>
      </c>
      <c r="AD103" s="328" t="str">
        <f t="shared" si="34"/>
        <v>パーフェクト▲</v>
      </c>
      <c r="AE103" s="328" t="e">
        <f t="shared" si="35"/>
        <v>#VALUE!</v>
      </c>
      <c r="AF103" t="e">
        <f>IF(T103="","",IF(銘柄管理!$F$5="上昇▲",IF(AND(AD103="下降トレンド▼",OR(AE103="25日戻り売り★",AE103="5日戻り売り○")),"★逆張り売り",IF(AND(AD103="もみ合い→",OR(AE103="25日戻り売り★",AE103="5日戻り売り○")),"○逆張り売り",IF(W103&gt;=70,IF(Z103&lt;0,"◎反落確認","△過熱・様子見"),"相場上昇・見送り"))),IF(AND(T103&gt;=12,AD103="下降トレンド▼"),"★強い売り",IF(T103&gt;=12,"★強い売り",IF(AND(T103&gt;=8,OR(AE103="25日戻り売り★",AE103="5日戻り売り○")),"◎戻り売り",IF(T103&gt;=10,"○売り候補",IF(T103&gt;=6,"△注目",IF(T103&gt;=3,"様子見","見送り"))))))))</f>
        <v>#VALUE!</v>
      </c>
      <c r="AG103">
        <f t="shared" si="36"/>
        <v>0</v>
      </c>
      <c r="AH103">
        <f t="shared" si="37"/>
        <v>0</v>
      </c>
      <c r="AI103" s="376">
        <f t="array" ref="AI103">IF(C103="","",IFERROR((INDEX(終値!$E:$E,MATCH(TEXT(C103,"0"),終値!$A:$A,0))-INDEX(終値!$E:$CZ,MATCH(TEXT(C103,"0"),終値!$A:$A,0),$AN$2))/INDEX(終値!$E:$CZ,MATCH(TEXT(C103,"0"),終値!$A:$A,0),$AN$2)*100,""))</f>
        <v>22.95045045045045</v>
      </c>
      <c r="AJ103" s="376">
        <f t="array" ref="AJ103">IFERROR((終値!$E$5-INDEX(終値!$E$5:$CZ$5,1,$AN$2))/INDEX(終値!$E$5:$CZ$5,1,$AN$2)*100,"")</f>
        <v>2.31989243802786</v>
      </c>
      <c r="AK103" s="377">
        <f t="shared" si="38"/>
        <v>20.63055801242259</v>
      </c>
      <c r="AL103" s="375">
        <f t="shared" si="39"/>
        <v>-2</v>
      </c>
      <c r="AO103" s="379" t="e">
        <f t="shared" si="40"/>
        <v>#VALUE!</v>
      </c>
      <c r="AP103" s="380" t="e">
        <f t="shared" si="41"/>
        <v>#VALUE!</v>
      </c>
      <c r="AQ103">
        <f>IF(C103&lt;&gt;"",始値!F101,"")</f>
        <v>2710</v>
      </c>
      <c r="AR103">
        <f>IF(C103&lt;&gt;"",高値!F101,"")</f>
        <v>2726</v>
      </c>
      <c r="AS103">
        <f>IF(C103&lt;&gt;"",安値!F101,"")</f>
        <v>2612.5</v>
      </c>
      <c r="AT103" t="str">
        <f t="shared" si="42"/>
        <v>大陰線▼</v>
      </c>
      <c r="AU103">
        <f t="shared" si="43"/>
        <v>2</v>
      </c>
    </row>
    <row r="104" spans="1:47" ht="14.25" customHeight="1">
      <c r="A104" s="335" t="str">
        <f>IF(銘柄管理!B109&lt;&gt;"",HYPERLINK("https://kabutan.jp/stock/?code="&amp;銘柄管理!B109,"株探"),"")</f>
        <v>株探</v>
      </c>
      <c r="B104" s="215"/>
      <c r="C104" s="478">
        <f>IF(銘柄管理!B109="","",銘柄管理!B109)</f>
        <v>9020</v>
      </c>
      <c r="D104" s="215" t="str">
        <f>IF(銘柄管理!C109="","",銘柄管理!C109)</f>
        <v/>
      </c>
      <c r="E104" s="336" t="str">
        <f>IF(C104&lt;&gt;"",_xll.RssMarket(C104,"現在値"),"")</f>
        <v/>
      </c>
      <c r="F104" s="336" t="str">
        <f>IF(C104&lt;&gt;"",_xll.RssMarket(C104,"始値"),"")</f>
        <v/>
      </c>
      <c r="G104" s="215">
        <f>IF(C104&lt;&gt;"",終値!F109,"")</f>
        <v>3580</v>
      </c>
      <c r="H104" s="336" t="str">
        <f>IF(C104&lt;&gt;"",_xll.RssMarket(C104,"高値"),"")</f>
        <v/>
      </c>
      <c r="I104" s="336" t="str">
        <f>IF(C104&lt;&gt;"",_xll.RssMarket(C104,"安値"),"")</f>
        <v/>
      </c>
      <c r="J104" s="336" t="str">
        <f>IF(C104&lt;&gt;"",_xll.RssMarket(C104,"出来高"),"")</f>
        <v/>
      </c>
      <c r="K104" s="336" t="str">
        <f>IF(C104&lt;&gt;"",_xll.RssMarket(C104,"年初来高値"),"")</f>
        <v/>
      </c>
      <c r="L104" s="337" t="str">
        <f t="shared" si="22"/>
        <v/>
      </c>
      <c r="M104" s="336">
        <f>IF(C104&lt;&gt;"",IFERROR(AVERAGE(出来高!E109:I109),""),"")</f>
        <v>2871520</v>
      </c>
      <c r="N104" s="336">
        <f>IF(C104&lt;&gt;"",IFERROR(AVERAGE(出来高!E109:AC109),""),"")</f>
        <v>2956728</v>
      </c>
      <c r="O104" s="338" t="str">
        <f t="shared" si="23"/>
        <v/>
      </c>
      <c r="P104" s="215" t="str">
        <f t="shared" si="24"/>
        <v/>
      </c>
      <c r="Q104" s="215" t="str">
        <f t="shared" si="25"/>
        <v/>
      </c>
      <c r="R104" s="336" t="str">
        <f t="shared" si="26"/>
        <v/>
      </c>
      <c r="S104" s="336" t="str">
        <f t="shared" si="27"/>
        <v/>
      </c>
      <c r="T104" s="328">
        <f t="shared" si="28"/>
        <v>0</v>
      </c>
      <c r="U104" s="215" t="str">
        <f t="shared" si="29"/>
        <v>除外</v>
      </c>
      <c r="V104" s="215" t="str">
        <f t="shared" si="30"/>
        <v/>
      </c>
      <c r="W104" s="339">
        <f t="array" ref="W104">IFERROR(100-100/(1+SUMPRODUCT((終値!F109:R109&gt;終値!G109:S109)*(終値!F109:R109-終値!G109:S109))/SUMPRODUCT((終値!F109:R109&lt;終値!G109:S109)*(終値!G109:S109-終値!F109:R109))),50)</f>
        <v>67.50369276218612</v>
      </c>
      <c r="X104" s="340">
        <f>IF(C104&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26.190798403114968</v>
      </c>
      <c r="Y104" s="215" t="e">
        <f t="shared" si="31"/>
        <v>#VALUE!</v>
      </c>
      <c r="Z104" s="341" t="str">
        <f t="shared" si="32"/>
        <v/>
      </c>
      <c r="AA104" s="215" t="str">
        <f t="shared" si="33"/>
        <v/>
      </c>
      <c r="AB104" s="336">
        <f>IF(OR(C104="",C104="TOPX",終値!E109=""),"",IFERROR(((終値!E109*0.333)+(終値!F109*0.222)+(終値!G109*0.148)+(終値!H109*0.099)+(終値!I109*0.066))/(0.333+0.222+0.148+0.099+0.066),""))</f>
        <v>3580.807603686636</v>
      </c>
      <c r="AC104" s="336">
        <f>IF(OR(C104="",C104="TOPX",終値!E109=""),"",IFERROR(SUMPRODUCT((終値!E109:AC109),{0.077,0.071,0.065,0.06,0.055,0.051,0.047,0.043,0.039,0.036,0.033,0.031,0.028,0.026,0.024,0.022,0.02,0.018,0.017,0.016,0.014,0.013,0.012,0.011,0.01})/SUM({0.077,0.071,0.065,0.06,0.055,0.051,0.047,0.043,0.039,0.036,0.033,0.031,0.028,0.026,0.024,0.022,0.02,0.018,0.017,0.016,0.014,0.013,0.012,0.011,0.01}),""))</f>
        <v>3477.9296781883172</v>
      </c>
      <c r="AD104" s="215" t="str">
        <f t="shared" si="34"/>
        <v>パーフェクト▲</v>
      </c>
      <c r="AE104" s="215" t="e">
        <f t="shared" si="35"/>
        <v>#VALUE!</v>
      </c>
      <c r="AF104" t="e">
        <f>IF(T104="","",IF(銘柄管理!$F$5="上昇▲",IF(AND(AD104="下降トレンド▼",OR(AE104="25日戻り売り★",AE104="5日戻り売り○")),"★逆張り売り",IF(AND(AD104="もみ合い→",OR(AE104="25日戻り売り★",AE104="5日戻り売り○")),"○逆張り売り",IF(W104&gt;=70,IF(Z104&lt;0,"◎反落確認","△過熱・様子見"),"相場上昇・見送り"))),IF(AND(T104&gt;=12,AD104="下降トレンド▼"),"★強い売り",IF(T104&gt;=12,"★強い売り",IF(AND(T104&gt;=8,OR(AE104="25日戻り売り★",AE104="5日戻り売り○")),"◎戻り売り",IF(T104&gt;=10,"○売り候補",IF(T104&gt;=6,"△注目",IF(T104&gt;=3,"様子見","見送り"))))))))</f>
        <v>#VALUE!</v>
      </c>
      <c r="AG104">
        <f t="shared" si="36"/>
        <v>0</v>
      </c>
      <c r="AH104">
        <f t="shared" si="37"/>
        <v>0</v>
      </c>
      <c r="AI104" s="376">
        <f t="array" ref="AI104">IF(C104="","",IFERROR((INDEX(終値!$E:$E,MATCH(TEXT(C104,"0"),終値!$A:$A,0))-INDEX(終値!$E:$CZ,MATCH(TEXT(C104,"0"),終値!$A:$A,0),$AN$2))/INDEX(終値!$E:$CZ,MATCH(TEXT(C104,"0"),終値!$A:$A,0),$AN$2)*100,""))</f>
        <v>7.66488413547237</v>
      </c>
      <c r="AJ104" s="376">
        <f t="array" ref="AJ104">IFERROR((終値!$E$5-INDEX(終値!$E$5:$CZ$5,1,$AN$2))/INDEX(終値!$E$5:$CZ$5,1,$AN$2)*100,"")</f>
        <v>2.31989243802786</v>
      </c>
      <c r="AK104" s="377">
        <f t="shared" si="38"/>
        <v>5.3449916974445095</v>
      </c>
      <c r="AL104" s="375">
        <f t="shared" si="39"/>
        <v>-2</v>
      </c>
      <c r="AO104" s="379" t="e">
        <f t="shared" si="40"/>
        <v>#VALUE!</v>
      </c>
      <c r="AP104" s="380" t="e">
        <f t="shared" si="41"/>
        <v>#VALUE!</v>
      </c>
      <c r="AQ104">
        <f>IF(C104&lt;&gt;"",始値!F109,"")</f>
        <v>3602</v>
      </c>
      <c r="AR104">
        <f>IF(C104&lt;&gt;"",高値!F109,"")</f>
        <v>3605</v>
      </c>
      <c r="AS104">
        <f>IF(C104&lt;&gt;"",安値!F109,"")</f>
        <v>3531</v>
      </c>
      <c r="AT104" t="str">
        <f t="shared" si="42"/>
        <v>長い下ヒゲ(反発)</v>
      </c>
      <c r="AU104">
        <f t="shared" si="43"/>
        <v>-2</v>
      </c>
    </row>
    <row r="105" spans="1:47" ht="14.25" customHeight="1">
      <c r="A105" s="327" t="str">
        <f>IF(銘柄管理!B114&lt;&gt;"",HYPERLINK("https://kabutan.jp/stock/?code="&amp;銘柄管理!B114,"株探"),"")</f>
        <v>株探</v>
      </c>
      <c r="B105" s="328"/>
      <c r="C105" s="477">
        <f>IF(銘柄管理!B114="","",銘柄管理!B114)</f>
        <v>9501</v>
      </c>
      <c r="D105" s="328" t="str">
        <f>IF(銘柄管理!C114="","",銘柄管理!C114)</f>
        <v/>
      </c>
      <c r="E105" s="329" t="str">
        <f>IF(C105&lt;&gt;"",_xll.RssMarket(C105,"現在値"),"")</f>
        <v/>
      </c>
      <c r="F105" s="329" t="str">
        <f>IF(C105&lt;&gt;"",_xll.RssMarket(C105,"始値"),"")</f>
        <v/>
      </c>
      <c r="G105" s="328">
        <f>IF(C105&lt;&gt;"",終値!F114,"")</f>
        <v>508.7</v>
      </c>
      <c r="H105" s="329" t="str">
        <f>IF(C105&lt;&gt;"",_xll.RssMarket(C105,"高値"),"")</f>
        <v/>
      </c>
      <c r="I105" s="329" t="str">
        <f>IF(C105&lt;&gt;"",_xll.RssMarket(C105,"安値"),"")</f>
        <v/>
      </c>
      <c r="J105" s="329" t="str">
        <f>IF(C105&lt;&gt;"",_xll.RssMarket(C105,"出来高"),"")</f>
        <v/>
      </c>
      <c r="K105" s="329" t="str">
        <f>IF(C105&lt;&gt;"",_xll.RssMarket(C105,"年初来高値"),"")</f>
        <v/>
      </c>
      <c r="L105" s="330" t="str">
        <f t="shared" si="22"/>
        <v/>
      </c>
      <c r="M105" s="329">
        <f>IF(C105&lt;&gt;"",IFERROR(AVERAGE(出来高!E114:I114),""),"")</f>
        <v>34916220</v>
      </c>
      <c r="N105" s="329">
        <f>IF(C105&lt;&gt;"",IFERROR(AVERAGE(出来高!E114:AC114),""),"")</f>
        <v>35520532</v>
      </c>
      <c r="O105" s="331" t="str">
        <f t="shared" si="23"/>
        <v/>
      </c>
      <c r="P105" s="328" t="str">
        <f t="shared" si="24"/>
        <v/>
      </c>
      <c r="Q105" s="328" t="str">
        <f t="shared" si="25"/>
        <v/>
      </c>
      <c r="R105" s="329" t="str">
        <f t="shared" si="26"/>
        <v/>
      </c>
      <c r="S105" s="329" t="str">
        <f t="shared" si="27"/>
        <v/>
      </c>
      <c r="T105" s="328">
        <f t="shared" si="28"/>
        <v>0</v>
      </c>
      <c r="U105" s="328" t="str">
        <f t="shared" si="29"/>
        <v>除外</v>
      </c>
      <c r="V105" s="328" t="str">
        <f t="shared" si="30"/>
        <v/>
      </c>
      <c r="W105" s="332">
        <f t="array" ref="W105">IFERROR(100-100/(1+SUMPRODUCT((終値!F114:R114&gt;終値!G114:S114)*(終値!F114:R114-終値!G114:S114))/SUMPRODUCT((終値!F114:R114&lt;終値!G114:S114)*(終値!G114:S114-終値!F114:R114))),50)</f>
        <v>64.929424538545092</v>
      </c>
      <c r="X105" s="333">
        <f>IF(C105&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1.477606780794531</v>
      </c>
      <c r="Y105" s="328" t="e">
        <f t="shared" si="31"/>
        <v>#VALUE!</v>
      </c>
      <c r="Z105" s="334" t="str">
        <f t="shared" si="32"/>
        <v/>
      </c>
      <c r="AA105" s="328" t="str">
        <f t="shared" si="33"/>
        <v/>
      </c>
      <c r="AB105" s="329">
        <f>IF(OR(C105="",C105="TOPX",終値!E114=""),"",IFERROR(((終値!E114*0.333)+(終値!F114*0.222)+(終値!G114*0.148)+(終値!H114*0.099)+(終値!I114*0.066))/(0.333+0.222+0.148+0.099+0.066),""))</f>
        <v>502.11877880184323</v>
      </c>
      <c r="AC105" s="329">
        <f>IF(OR(C105="",C105="TOPX",終値!E114=""),"",IFERROR(SUMPRODUCT((終値!E114:AC114),{0.077,0.071,0.065,0.06,0.055,0.051,0.047,0.043,0.039,0.036,0.033,0.031,0.028,0.026,0.024,0.022,0.02,0.018,0.017,0.016,0.014,0.013,0.012,0.011,0.01})/SUM({0.077,0.071,0.065,0.06,0.055,0.051,0.047,0.043,0.039,0.036,0.033,0.031,0.028,0.026,0.024,0.022,0.02,0.018,0.017,0.016,0.014,0.013,0.012,0.011,0.01}),""))</f>
        <v>484.81203814064344</v>
      </c>
      <c r="AD105" s="328" t="str">
        <f t="shared" si="34"/>
        <v>パーフェクト▲</v>
      </c>
      <c r="AE105" s="328" t="e">
        <f t="shared" si="35"/>
        <v>#VALUE!</v>
      </c>
      <c r="AF105" t="e">
        <f>IF(T105="","",IF(銘柄管理!$F$5="上昇▲",IF(AND(AD105="下降トレンド▼",OR(AE105="25日戻り売り★",AE105="5日戻り売り○")),"★逆張り売り",IF(AND(AD105="もみ合い→",OR(AE105="25日戻り売り★",AE105="5日戻り売り○")),"○逆張り売り",IF(W105&gt;=70,IF(Z105&lt;0,"◎反落確認","△過熱・様子見"),"相場上昇・見送り"))),IF(AND(T105&gt;=12,AD105="下降トレンド▼"),"★強い売り",IF(T105&gt;=12,"★強い売り",IF(AND(T105&gt;=8,OR(AE105="25日戻り売り★",AE105="5日戻り売り○")),"◎戻り売り",IF(T105&gt;=10,"○売り候補",IF(T105&gt;=6,"△注目",IF(T105&gt;=3,"様子見","見送り"))))))))</f>
        <v>#VALUE!</v>
      </c>
      <c r="AG105">
        <f t="shared" si="36"/>
        <v>0</v>
      </c>
      <c r="AH105">
        <f t="shared" si="37"/>
        <v>0</v>
      </c>
      <c r="AI105" s="376">
        <f t="array" ref="AI105">IF(C105="","",IFERROR((INDEX(終値!$E:$E,MATCH(TEXT(C105,"0"),終値!$A:$A,0))-INDEX(終値!$E:$CZ,MATCH(TEXT(C105,"0"),終値!$A:$A,0),$AN$2))/INDEX(終値!$E:$CZ,MATCH(TEXT(C105,"0"),終値!$A:$A,0),$AN$2)*100,""))</f>
        <v>-5.3791557713858715</v>
      </c>
      <c r="AJ105" s="376">
        <f t="array" ref="AJ105">IFERROR((終値!$E$5-INDEX(終値!$E$5:$CZ$5,1,$AN$2))/INDEX(終値!$E$5:$CZ$5,1,$AN$2)*100,"")</f>
        <v>2.31989243802786</v>
      </c>
      <c r="AK105" s="377">
        <f t="shared" si="38"/>
        <v>-7.699048209413732</v>
      </c>
      <c r="AL105" s="375">
        <f t="shared" si="39"/>
        <v>3</v>
      </c>
      <c r="AO105" s="379" t="e">
        <f t="shared" si="40"/>
        <v>#VALUE!</v>
      </c>
      <c r="AP105" s="380" t="e">
        <f t="shared" si="41"/>
        <v>#VALUE!</v>
      </c>
      <c r="AQ105">
        <f>IF(C105&lt;&gt;"",始値!F114,"")</f>
        <v>505.2</v>
      </c>
      <c r="AR105">
        <f>IF(C105&lt;&gt;"",高値!F114,"")</f>
        <v>516.79999999999995</v>
      </c>
      <c r="AS105">
        <f>IF(C105&lt;&gt;"",安値!F114,"")</f>
        <v>499.7</v>
      </c>
      <c r="AT105" t="str">
        <f t="shared" si="42"/>
        <v>通常</v>
      </c>
      <c r="AU105">
        <f t="shared" si="43"/>
        <v>0</v>
      </c>
    </row>
    <row r="106" spans="1:47" ht="14.25" customHeight="1">
      <c r="A106" s="335" t="str">
        <f>IF(銘柄管理!B120&lt;&gt;"",HYPERLINK("https://kabutan.jp/stock/?code="&amp;銘柄管理!B120,"株探"),"")</f>
        <v>株探</v>
      </c>
      <c r="B106" s="215"/>
      <c r="C106" s="478">
        <f>IF(銘柄管理!B120="","",銘柄管理!B120)</f>
        <v>6744</v>
      </c>
      <c r="D106" s="215" t="str">
        <f>IF(銘柄管理!C120="","",銘柄管理!C120)</f>
        <v/>
      </c>
      <c r="E106" s="336" t="str">
        <f>IF(C106&lt;&gt;"",_xll.RssMarket(C106,"現在値"),"")</f>
        <v/>
      </c>
      <c r="F106" s="336" t="str">
        <f>IF(C106&lt;&gt;"",_xll.RssMarket(C106,"始値"),"")</f>
        <v/>
      </c>
      <c r="G106" s="215">
        <f>IF(C106&lt;&gt;"",終値!F120,"")</f>
        <v>4350</v>
      </c>
      <c r="H106" s="336" t="str">
        <f>IF(C106&lt;&gt;"",_xll.RssMarket(C106,"高値"),"")</f>
        <v/>
      </c>
      <c r="I106" s="336" t="str">
        <f>IF(C106&lt;&gt;"",_xll.RssMarket(C106,"安値"),"")</f>
        <v/>
      </c>
      <c r="J106" s="336" t="str">
        <f>IF(C106&lt;&gt;"",_xll.RssMarket(C106,"出来高"),"")</f>
        <v/>
      </c>
      <c r="K106" s="336" t="str">
        <f>IF(C106&lt;&gt;"",_xll.RssMarket(C106,"年初来高値"),"")</f>
        <v/>
      </c>
      <c r="L106" s="337" t="str">
        <f t="shared" si="22"/>
        <v/>
      </c>
      <c r="M106" s="336">
        <f>IF(C106&lt;&gt;"",IFERROR(AVERAGE(出来高!E120:I120),""),"")</f>
        <v>71080</v>
      </c>
      <c r="N106" s="336">
        <f>IF(C106&lt;&gt;"",IFERROR(AVERAGE(出来高!E120:AC120),""),"")</f>
        <v>78392</v>
      </c>
      <c r="O106" s="338" t="str">
        <f t="shared" si="23"/>
        <v/>
      </c>
      <c r="P106" s="215" t="str">
        <f t="shared" si="24"/>
        <v/>
      </c>
      <c r="Q106" s="215" t="str">
        <f t="shared" si="25"/>
        <v/>
      </c>
      <c r="R106" s="336" t="str">
        <f t="shared" si="26"/>
        <v/>
      </c>
      <c r="S106" s="336" t="str">
        <f t="shared" si="27"/>
        <v/>
      </c>
      <c r="T106" s="328">
        <f t="shared" si="28"/>
        <v>0</v>
      </c>
      <c r="U106" s="215" t="str">
        <f t="shared" si="29"/>
        <v>除外</v>
      </c>
      <c r="V106" s="215" t="str">
        <f t="shared" si="30"/>
        <v/>
      </c>
      <c r="W106" s="339">
        <f t="array" ref="W106">IFERROR(100-100/(1+SUMPRODUCT((終値!F120:R120&gt;終値!G120:S120)*(終値!F120:R120-終値!G120:S120))/SUMPRODUCT((終値!F120:R120&lt;終値!G120:S120)*(終値!G120:S120-終値!F120:R120))),50)</f>
        <v>64.429530201342288</v>
      </c>
      <c r="X106" s="340">
        <f>IF(C106&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13.306731837017651</v>
      </c>
      <c r="Y106" s="215" t="e">
        <f t="shared" si="31"/>
        <v>#VALUE!</v>
      </c>
      <c r="Z106" s="341" t="str">
        <f t="shared" si="32"/>
        <v/>
      </c>
      <c r="AA106" s="215" t="str">
        <f t="shared" si="33"/>
        <v/>
      </c>
      <c r="AB106" s="336">
        <f>IF(OR(C106="",C106="TOPX",終値!E120=""),"",IFERROR(((終値!E120*0.333)+(終値!F120*0.222)+(終値!G120*0.148)+(終値!H120*0.099)+(終値!I120*0.066))/(0.333+0.222+0.148+0.099+0.066),""))</f>
        <v>4254.6486175115206</v>
      </c>
      <c r="AC106" s="336">
        <f>IF(OR(C106="",C106="TOPX",終値!E120=""),"",IFERROR(SUMPRODUCT((終値!E120:AC120),{0.077,0.071,0.065,0.06,0.055,0.051,0.047,0.043,0.039,0.036,0.033,0.031,0.028,0.026,0.024,0.022,0.02,0.018,0.017,0.016,0.014,0.013,0.012,0.011,0.01})/SUM({0.077,0.071,0.065,0.06,0.055,0.051,0.047,0.043,0.039,0.036,0.033,0.031,0.028,0.026,0.024,0.022,0.02,0.018,0.017,0.016,0.014,0.013,0.012,0.011,0.01}),""))</f>
        <v>4244.6245530393317</v>
      </c>
      <c r="AD106" s="215" t="str">
        <f t="shared" si="34"/>
        <v>パーフェクト▲</v>
      </c>
      <c r="AE106" s="215" t="e">
        <f t="shared" si="35"/>
        <v>#VALUE!</v>
      </c>
      <c r="AF106" t="e">
        <f>IF(T106="","",IF(銘柄管理!$F$5="上昇▲",IF(AND(AD106="下降トレンド▼",OR(AE106="25日戻り売り★",AE106="5日戻り売り○")),"★逆張り売り",IF(AND(AD106="もみ合い→",OR(AE106="25日戻り売り★",AE106="5日戻り売り○")),"○逆張り売り",IF(W106&gt;=70,IF(Z106&lt;0,"◎反落確認","△過熱・様子見"),"相場上昇・見送り"))),IF(AND(T106&gt;=12,AD106="下降トレンド▼"),"★強い売り",IF(T106&gt;=12,"★強い売り",IF(AND(T106&gt;=8,OR(AE106="25日戻り売り★",AE106="5日戻り売り○")),"◎戻り売り",IF(T106&gt;=10,"○売り候補",IF(T106&gt;=6,"△注目",IF(T106&gt;=3,"様子見","見送り"))))))))</f>
        <v>#VALUE!</v>
      </c>
      <c r="AG106">
        <f t="shared" si="36"/>
        <v>0</v>
      </c>
      <c r="AH106">
        <f t="shared" si="37"/>
        <v>0</v>
      </c>
      <c r="AI106" s="376">
        <f t="array" ref="AI106">IF(C106="","",IFERROR((INDEX(終値!$E:$E,MATCH(TEXT(C106,"0"),終値!$A:$A,0))-INDEX(終値!$E:$CZ,MATCH(TEXT(C106,"0"),終値!$A:$A,0),$AN$2))/INDEX(終値!$E:$CZ,MATCH(TEXT(C106,"0"),終値!$A:$A,0),$AN$2)*100,""))</f>
        <v>-4.0091638029782359</v>
      </c>
      <c r="AJ106" s="376">
        <f t="array" ref="AJ106">IFERROR((終値!$E$5-INDEX(終値!$E$5:$CZ$5,1,$AN$2))/INDEX(終値!$E$5:$CZ$5,1,$AN$2)*100,"")</f>
        <v>2.31989243802786</v>
      </c>
      <c r="AK106" s="377">
        <f t="shared" si="38"/>
        <v>-6.3290562410060964</v>
      </c>
      <c r="AL106" s="375">
        <f t="shared" si="39"/>
        <v>3</v>
      </c>
      <c r="AO106" s="379" t="e">
        <f t="shared" si="40"/>
        <v>#VALUE!</v>
      </c>
      <c r="AP106" s="380" t="e">
        <f t="shared" si="41"/>
        <v>#VALUE!</v>
      </c>
      <c r="AQ106">
        <f>IF(C106&lt;&gt;"",始値!F120,"")</f>
        <v>4320</v>
      </c>
      <c r="AR106">
        <f>IF(C106&lt;&gt;"",高値!F120,"")</f>
        <v>4350</v>
      </c>
      <c r="AS106">
        <f>IF(C106&lt;&gt;"",安値!F120,"")</f>
        <v>4250</v>
      </c>
      <c r="AT106" t="str">
        <f t="shared" si="42"/>
        <v>長い下ヒゲ(反発)</v>
      </c>
      <c r="AU106">
        <f t="shared" si="43"/>
        <v>-2</v>
      </c>
    </row>
    <row r="107" spans="1:47" ht="14.25" customHeight="1">
      <c r="A107" s="327" t="str">
        <f>IF(銘柄管理!B126&lt;&gt;"",HYPERLINK("https://kabutan.jp/stock/?code="&amp;銘柄管理!B126,"株探"),"")</f>
        <v>株探</v>
      </c>
      <c r="B107" s="328"/>
      <c r="C107" s="477">
        <f>IF(銘柄管理!B126="","",銘柄管理!B126)</f>
        <v>9416</v>
      </c>
      <c r="D107" s="328" t="str">
        <f>IF(銘柄管理!C126="","",銘柄管理!C126)</f>
        <v/>
      </c>
      <c r="E107" s="329" t="str">
        <f>IF(C107&lt;&gt;"",_xll.RssMarket(C107,"現在値"),"")</f>
        <v/>
      </c>
      <c r="F107" s="329" t="str">
        <f>IF(C107&lt;&gt;"",_xll.RssMarket(C107,"始値"),"")</f>
        <v/>
      </c>
      <c r="G107" s="328">
        <f>IF(C107&lt;&gt;"",終値!F126,"")</f>
        <v>1014</v>
      </c>
      <c r="H107" s="329" t="str">
        <f>IF(C107&lt;&gt;"",_xll.RssMarket(C107,"高値"),"")</f>
        <v/>
      </c>
      <c r="I107" s="329" t="str">
        <f>IF(C107&lt;&gt;"",_xll.RssMarket(C107,"安値"),"")</f>
        <v/>
      </c>
      <c r="J107" s="329" t="str">
        <f>IF(C107&lt;&gt;"",_xll.RssMarket(C107,"出来高"),"")</f>
        <v/>
      </c>
      <c r="K107" s="329" t="str">
        <f>IF(C107&lt;&gt;"",_xll.RssMarket(C107,"年初来高値"),"")</f>
        <v/>
      </c>
      <c r="L107" s="330" t="str">
        <f t="shared" si="22"/>
        <v/>
      </c>
      <c r="M107" s="329">
        <f>IF(C107&lt;&gt;"",IFERROR(AVERAGE(出来高!E126:I126),""),"")</f>
        <v>252020</v>
      </c>
      <c r="N107" s="329">
        <f>IF(C107&lt;&gt;"",IFERROR(AVERAGE(出来高!E126:AC126),""),"")</f>
        <v>447220</v>
      </c>
      <c r="O107" s="331" t="str">
        <f t="shared" si="23"/>
        <v/>
      </c>
      <c r="P107" s="328" t="str">
        <f t="shared" si="24"/>
        <v/>
      </c>
      <c r="Q107" s="328" t="str">
        <f t="shared" si="25"/>
        <v/>
      </c>
      <c r="R107" s="329" t="str">
        <f t="shared" si="26"/>
        <v/>
      </c>
      <c r="S107" s="329" t="str">
        <f t="shared" si="27"/>
        <v/>
      </c>
      <c r="T107" s="328">
        <f t="shared" si="28"/>
        <v>0</v>
      </c>
      <c r="U107" s="328" t="str">
        <f t="shared" si="29"/>
        <v>除外</v>
      </c>
      <c r="V107" s="328" t="str">
        <f t="shared" si="30"/>
        <v/>
      </c>
      <c r="W107" s="332">
        <f t="array" ref="W107">IFERROR(100-100/(1+SUMPRODUCT((終値!F126:R126&gt;終値!G126:S126)*(終値!F126:R126-終値!G126:S126))/SUMPRODUCT((終値!F126:R126&lt;終値!G126:S126)*(終値!G126:S126-終値!F126:R126))),50)</f>
        <v>68.571428571428569</v>
      </c>
      <c r="X107" s="333">
        <f>IF(C107&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1.8327508866059361</v>
      </c>
      <c r="Y107" s="328" t="e">
        <f t="shared" si="31"/>
        <v>#VALUE!</v>
      </c>
      <c r="Z107" s="334" t="str">
        <f t="shared" si="32"/>
        <v/>
      </c>
      <c r="AA107" s="328" t="str">
        <f t="shared" si="33"/>
        <v/>
      </c>
      <c r="AB107" s="329">
        <f>IF(OR(C107="",C107="TOPX",終値!E126=""),"",IFERROR(((終値!E126*0.333)+(終値!F126*0.222)+(終値!G126*0.148)+(終値!H126*0.099)+(終値!I126*0.066))/(0.333+0.222+0.148+0.099+0.066),""))</f>
        <v>1008.4308755760366</v>
      </c>
      <c r="AC107" s="329">
        <f>IF(OR(C107="",C107="TOPX",終値!E126=""),"",IFERROR(SUMPRODUCT((終値!E126:AC126),{0.077,0.071,0.065,0.06,0.055,0.051,0.047,0.043,0.039,0.036,0.033,0.031,0.028,0.026,0.024,0.022,0.02,0.018,0.017,0.016,0.014,0.013,0.012,0.011,0.01})/SUM({0.077,0.071,0.065,0.06,0.055,0.051,0.047,0.043,0.039,0.036,0.033,0.031,0.028,0.026,0.024,0.022,0.02,0.018,0.017,0.016,0.014,0.013,0.012,0.011,0.01}),""))</f>
        <v>1001.9415971394511</v>
      </c>
      <c r="AD107" s="328" t="str">
        <f t="shared" si="34"/>
        <v>パーフェクト▲</v>
      </c>
      <c r="AE107" s="328" t="e">
        <f t="shared" si="35"/>
        <v>#VALUE!</v>
      </c>
      <c r="AF107" t="e">
        <f>IF(T107="","",IF(銘柄管理!$F$5="上昇▲",IF(AND(AD107="下降トレンド▼",OR(AE107="25日戻り売り★",AE107="5日戻り売り○")),"★逆張り売り",IF(AND(AD107="もみ合い→",OR(AE107="25日戻り売り★",AE107="5日戻り売り○")),"○逆張り売り",IF(W107&gt;=70,IF(Z107&lt;0,"◎反落確認","△過熱・様子見"),"相場上昇・見送り"))),IF(AND(T107&gt;=12,AD107="下降トレンド▼"),"★強い売り",IF(T107&gt;=12,"★強い売り",IF(AND(T107&gt;=8,OR(AE107="25日戻り売り★",AE107="5日戻り売り○")),"◎戻り売り",IF(T107&gt;=10,"○売り候補",IF(T107&gt;=6,"△注目",IF(T107&gt;=3,"様子見","見送り"))))))))</f>
        <v>#VALUE!</v>
      </c>
      <c r="AG107">
        <f t="shared" si="36"/>
        <v>0</v>
      </c>
      <c r="AH107">
        <f t="shared" si="37"/>
        <v>0</v>
      </c>
      <c r="AI107" s="376">
        <f t="array" ref="AI107">IF(C107="","",IFERROR((INDEX(終値!$E:$E,MATCH(TEXT(C107,"0"),終値!$A:$A,0))-INDEX(終値!$E:$CZ,MATCH(TEXT(C107,"0"),終値!$A:$A,0),$AN$2))/INDEX(終値!$E:$CZ,MATCH(TEXT(C107,"0"),終値!$A:$A,0),$AN$2)*100,""))</f>
        <v>-3.2007759456838021</v>
      </c>
      <c r="AJ107" s="376">
        <f t="array" ref="AJ107">IFERROR((終値!$E$5-INDEX(終値!$E$5:$CZ$5,1,$AN$2))/INDEX(終値!$E$5:$CZ$5,1,$AN$2)*100,"")</f>
        <v>2.31989243802786</v>
      </c>
      <c r="AK107" s="377">
        <f t="shared" si="38"/>
        <v>-5.5206683837116621</v>
      </c>
      <c r="AL107" s="375">
        <f t="shared" si="39"/>
        <v>3</v>
      </c>
      <c r="AO107" s="379" t="e">
        <f t="shared" si="40"/>
        <v>#VALUE!</v>
      </c>
      <c r="AP107" s="380" t="e">
        <f t="shared" si="41"/>
        <v>#VALUE!</v>
      </c>
      <c r="AQ107">
        <f>IF(C107&lt;&gt;"",始値!F126,"")</f>
        <v>1018</v>
      </c>
      <c r="AR107">
        <f>IF(C107&lt;&gt;"",高値!F126,"")</f>
        <v>1024</v>
      </c>
      <c r="AS107">
        <f>IF(C107&lt;&gt;"",安値!F126,"")</f>
        <v>1006</v>
      </c>
      <c r="AT107" t="str">
        <f t="shared" si="42"/>
        <v>通常</v>
      </c>
      <c r="AU107">
        <f t="shared" si="43"/>
        <v>0</v>
      </c>
    </row>
    <row r="108" spans="1:47" ht="14.25" customHeight="1">
      <c r="A108" s="335" t="str">
        <f>IF(銘柄管理!B132&lt;&gt;"",HYPERLINK("https://kabutan.jp/stock/?code="&amp;銘柄管理!B132,"株探"),"")</f>
        <v>株探</v>
      </c>
      <c r="B108" s="215"/>
      <c r="C108" s="478">
        <f>IF(銘柄管理!B132="","",銘柄管理!B132)</f>
        <v>6227</v>
      </c>
      <c r="D108" s="215" t="str">
        <f>IF(銘柄管理!C132="","",銘柄管理!C132)</f>
        <v/>
      </c>
      <c r="E108" s="336" t="str">
        <f>IF(C108&lt;&gt;"",_xll.RssMarket(C108,"現在値"),"")</f>
        <v/>
      </c>
      <c r="F108" s="336" t="str">
        <f>IF(C108&lt;&gt;"",_xll.RssMarket(C108,"始値"),"")</f>
        <v/>
      </c>
      <c r="G108" s="215">
        <f>IF(C108&lt;&gt;"",終値!F132,"")</f>
        <v>7400</v>
      </c>
      <c r="H108" s="336" t="str">
        <f>IF(C108&lt;&gt;"",_xll.RssMarket(C108,"高値"),"")</f>
        <v/>
      </c>
      <c r="I108" s="336" t="str">
        <f>IF(C108&lt;&gt;"",_xll.RssMarket(C108,"安値"),"")</f>
        <v/>
      </c>
      <c r="J108" s="336" t="str">
        <f>IF(C108&lt;&gt;"",_xll.RssMarket(C108,"出来高"),"")</f>
        <v/>
      </c>
      <c r="K108" s="336" t="str">
        <f>IF(C108&lt;&gt;"",_xll.RssMarket(C108,"年初来高値"),"")</f>
        <v/>
      </c>
      <c r="L108" s="337" t="str">
        <f t="shared" si="22"/>
        <v/>
      </c>
      <c r="M108" s="336">
        <f>IF(C108&lt;&gt;"",IFERROR(AVERAGE(出来高!E132:I132),""),"")</f>
        <v>2100840</v>
      </c>
      <c r="N108" s="336">
        <f>IF(C108&lt;&gt;"",IFERROR(AVERAGE(出来高!E132:AC132),""),"")</f>
        <v>1509216</v>
      </c>
      <c r="O108" s="338" t="str">
        <f t="shared" si="23"/>
        <v/>
      </c>
      <c r="P108" s="215" t="str">
        <f t="shared" si="24"/>
        <v/>
      </c>
      <c r="Q108" s="215" t="str">
        <f t="shared" si="25"/>
        <v/>
      </c>
      <c r="R108" s="336" t="str">
        <f t="shared" si="26"/>
        <v/>
      </c>
      <c r="S108" s="336" t="str">
        <f t="shared" si="27"/>
        <v/>
      </c>
      <c r="T108" s="328">
        <f t="shared" si="28"/>
        <v>0</v>
      </c>
      <c r="U108" s="215" t="str">
        <f t="shared" si="29"/>
        <v>除外</v>
      </c>
      <c r="V108" s="215" t="str">
        <f t="shared" si="30"/>
        <v/>
      </c>
      <c r="W108" s="339">
        <f t="array" ref="W108">IFERROR(100-100/(1+SUMPRODUCT((終値!F132:R132&gt;終値!G132:S132)*(終値!F132:R132-終値!G132:S132))/SUMPRODUCT((終値!F132:R132&lt;終値!G132:S132)*(終値!G132:S132-終値!F132:R132))),50)</f>
        <v>50.07633587786259</v>
      </c>
      <c r="X108" s="340">
        <f>IF(C108&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-16.762325912774031</v>
      </c>
      <c r="Y108" s="215" t="e">
        <f t="shared" si="31"/>
        <v>#VALUE!</v>
      </c>
      <c r="Z108" s="341" t="str">
        <f t="shared" si="32"/>
        <v/>
      </c>
      <c r="AA108" s="215" t="str">
        <f t="shared" si="33"/>
        <v/>
      </c>
      <c r="AB108" s="336">
        <f>IF(OR(C108="",C108="TOPX",終値!E132=""),"",IFERROR(((終値!E132*0.333)+(終値!F132*0.222)+(終値!G132*0.148)+(終値!H132*0.099)+(終値!I132*0.066))/(0.333+0.222+0.148+0.099+0.066),""))</f>
        <v>7348.6520737327191</v>
      </c>
      <c r="AC108" s="336">
        <f>IF(OR(C108="",C108="TOPX",終値!E132=""),"",IFERROR(SUMPRODUCT((終値!E132:AC132),{0.077,0.071,0.065,0.06,0.055,0.051,0.047,0.043,0.039,0.036,0.033,0.031,0.028,0.026,0.024,0.022,0.02,0.018,0.017,0.016,0.014,0.013,0.012,0.011,0.01})/SUM({0.077,0.071,0.065,0.06,0.055,0.051,0.047,0.043,0.039,0.036,0.033,0.031,0.028,0.026,0.024,0.022,0.02,0.018,0.017,0.016,0.014,0.013,0.012,0.011,0.01}),""))</f>
        <v>7065.2681764004737</v>
      </c>
      <c r="AD108" s="215" t="str">
        <f t="shared" si="34"/>
        <v>パーフェクト▲</v>
      </c>
      <c r="AE108" s="215" t="e">
        <f t="shared" si="35"/>
        <v>#VALUE!</v>
      </c>
      <c r="AF108" t="e">
        <f>IF(T108="","",IF(銘柄管理!$F$5="上昇▲",IF(AND(AD108="下降トレンド▼",OR(AE108="25日戻り売り★",AE108="5日戻り売り○")),"★逆張り売り",IF(AND(AD108="もみ合い→",OR(AE108="25日戻り売り★",AE108="5日戻り売り○")),"○逆張り売り",IF(W108&gt;=70,IF(Z108&lt;0,"◎反落確認","△過熱・様子見"),"相場上昇・見送り"))),IF(AND(T108&gt;=12,AD108="下降トレンド▼"),"★強い売り",IF(T108&gt;=12,"★強い売り",IF(AND(T108&gt;=8,OR(AE108="25日戻り売り★",AE108="5日戻り売り○")),"◎戻り売り",IF(T108&gt;=10,"○売り候補",IF(T108&gt;=6,"△注目",IF(T108&gt;=3,"様子見","見送り"))))))))</f>
        <v>#VALUE!</v>
      </c>
      <c r="AG108">
        <f t="shared" si="36"/>
        <v>0</v>
      </c>
      <c r="AH108">
        <f t="shared" si="37"/>
        <v>0</v>
      </c>
      <c r="AI108" s="376">
        <f t="array" ref="AI108">IF(C108="","",IFERROR((INDEX(終値!$E:$E,MATCH(TEXT(C108,"0"),終値!$A:$A,0))-INDEX(終値!$E:$CZ,MATCH(TEXT(C108,"0"),終値!$A:$A,0),$AN$2))/INDEX(終値!$E:$CZ,MATCH(TEXT(C108,"0"),終値!$A:$A,0),$AN$2)*100,""))</f>
        <v>-1.41643059490085</v>
      </c>
      <c r="AJ108" s="376">
        <f t="array" ref="AJ108">IFERROR((終値!$E$5-INDEX(終値!$E$5:$CZ$5,1,$AN$2))/INDEX(終値!$E$5:$CZ$5,1,$AN$2)*100,"")</f>
        <v>2.31989243802786</v>
      </c>
      <c r="AK108" s="377">
        <f t="shared" si="38"/>
        <v>-3.73632303292871</v>
      </c>
      <c r="AL108" s="375">
        <f t="shared" si="39"/>
        <v>1</v>
      </c>
      <c r="AO108" s="379" t="e">
        <f t="shared" si="40"/>
        <v>#VALUE!</v>
      </c>
      <c r="AP108" s="380" t="e">
        <f t="shared" si="41"/>
        <v>#VALUE!</v>
      </c>
      <c r="AQ108">
        <f>IF(C108&lt;&gt;"",始値!F132,"")</f>
        <v>8080</v>
      </c>
      <c r="AR108">
        <f>IF(C108&lt;&gt;"",高値!F132,"")</f>
        <v>8150</v>
      </c>
      <c r="AS108">
        <f>IF(C108&lt;&gt;"",安値!F132,"")</f>
        <v>7370</v>
      </c>
      <c r="AT108" t="str">
        <f t="shared" si="42"/>
        <v>大陰線▼</v>
      </c>
      <c r="AU108">
        <f t="shared" si="43"/>
        <v>2</v>
      </c>
    </row>
    <row r="109" spans="1:47" ht="14.25" customHeight="1">
      <c r="A109" s="327" t="str">
        <f>IF(銘柄管理!B134&lt;&gt;"",HYPERLINK("https://kabutan.jp/stock/?code="&amp;銘柄管理!B134,"株探"),"")</f>
        <v>株探</v>
      </c>
      <c r="B109" s="328"/>
      <c r="C109" s="477">
        <f>IF(銘柄管理!B134="","",銘柄管理!B134)</f>
        <v>3110</v>
      </c>
      <c r="D109" s="328" t="str">
        <f>IF(銘柄管理!C134="","",銘柄管理!C134)</f>
        <v/>
      </c>
      <c r="E109" s="329" t="str">
        <f>IF(C109&lt;&gt;"",_xll.RssMarket(C109,"現在値"),"")</f>
        <v/>
      </c>
      <c r="F109" s="329" t="str">
        <f>IF(C109&lt;&gt;"",_xll.RssMarket(C109,"始値"),"")</f>
        <v/>
      </c>
      <c r="G109" s="328">
        <f>IF(C109&lt;&gt;"",終値!F134,"")</f>
        <v>3555</v>
      </c>
      <c r="H109" s="329" t="str">
        <f>IF(C109&lt;&gt;"",_xll.RssMarket(C109,"高値"),"")</f>
        <v/>
      </c>
      <c r="I109" s="329" t="str">
        <f>IF(C109&lt;&gt;"",_xll.RssMarket(C109,"安値"),"")</f>
        <v/>
      </c>
      <c r="J109" s="329" t="str">
        <f>IF(C109&lt;&gt;"",_xll.RssMarket(C109,"出来高"),"")</f>
        <v/>
      </c>
      <c r="K109" s="329" t="str">
        <f>IF(C109&lt;&gt;"",_xll.RssMarket(C109,"年初来高値"),"")</f>
        <v/>
      </c>
      <c r="L109" s="330" t="str">
        <f t="shared" si="22"/>
        <v/>
      </c>
      <c r="M109" s="329">
        <f>IF(C109&lt;&gt;"",IFERROR(AVERAGE(出来高!E134:I134),""),"")</f>
        <v>4628460</v>
      </c>
      <c r="N109" s="329">
        <f>IF(C109&lt;&gt;"",IFERROR(AVERAGE(出来高!E134:AC134),""),"")</f>
        <v>4157848</v>
      </c>
      <c r="O109" s="331" t="str">
        <f t="shared" si="23"/>
        <v/>
      </c>
      <c r="P109" s="328" t="str">
        <f t="shared" si="24"/>
        <v/>
      </c>
      <c r="Q109" s="328" t="str">
        <f t="shared" si="25"/>
        <v/>
      </c>
      <c r="R109" s="329" t="str">
        <f t="shared" si="26"/>
        <v/>
      </c>
      <c r="S109" s="329" t="str">
        <f t="shared" si="27"/>
        <v/>
      </c>
      <c r="T109" s="328">
        <f t="shared" si="28"/>
        <v>0</v>
      </c>
      <c r="U109" s="328" t="str">
        <f t="shared" si="29"/>
        <v>除外</v>
      </c>
      <c r="V109" s="328" t="str">
        <f t="shared" si="30"/>
        <v/>
      </c>
      <c r="W109" s="332">
        <f t="array" ref="W109">IFERROR(100-100/(1+SUMPRODUCT((終値!F134:R134&gt;終値!G134:S134)*(終値!F134:R134-終値!G134:S134))/SUMPRODUCT((終値!F134:R134&lt;終値!G134:S134)*(終値!G134:S134-終値!F134:R134))),50)</f>
        <v>3.3191489361702224</v>
      </c>
      <c r="X109" s="333">
        <f>IF(C109&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-2636.1541102297006</v>
      </c>
      <c r="Y109" s="328" t="e">
        <f t="shared" si="31"/>
        <v>#VALUE!</v>
      </c>
      <c r="Z109" s="334" t="str">
        <f t="shared" si="32"/>
        <v/>
      </c>
      <c r="AA109" s="328" t="str">
        <f t="shared" si="33"/>
        <v/>
      </c>
      <c r="AB109" s="329">
        <f>IF(OR(C109="",C109="TOPX",終値!E134=""),"",IFERROR(((終値!E134*0.333)+(終値!F134*0.222)+(終値!G134*0.148)+(終値!H134*0.099)+(終値!I134*0.066))/(0.333+0.222+0.148+0.099+0.066),""))</f>
        <v>3308.1509216589857</v>
      </c>
      <c r="AC109" s="329">
        <f>IF(OR(C109="",C109="TOPX",終値!E134=""),"",IFERROR(SUMPRODUCT((終値!E134:AC134),{0.077,0.071,0.065,0.06,0.055,0.051,0.047,0.043,0.039,0.036,0.033,0.031,0.028,0.026,0.024,0.022,0.02,0.018,0.017,0.016,0.014,0.013,0.012,0.011,0.01})/SUM({0.077,0.071,0.065,0.06,0.055,0.051,0.047,0.043,0.039,0.036,0.033,0.031,0.028,0.026,0.024,0.022,0.02,0.018,0.017,0.016,0.014,0.013,0.012,0.011,0.01}),""))</f>
        <v>8025.393325387362</v>
      </c>
      <c r="AD109" s="328" t="str">
        <f t="shared" si="34"/>
        <v>上昇トレンド▲</v>
      </c>
      <c r="AE109" s="328" t="e">
        <f t="shared" si="35"/>
        <v>#VALUE!</v>
      </c>
      <c r="AF109" t="e">
        <f>IF(T109="","",IF(銘柄管理!$F$5="上昇▲",IF(AND(AD109="下降トレンド▼",OR(AE109="25日戻り売り★",AE109="5日戻り売り○")),"★逆張り売り",IF(AND(AD109="もみ合い→",OR(AE109="25日戻り売り★",AE109="5日戻り売り○")),"○逆張り売り",IF(W109&gt;=70,IF(Z109&lt;0,"◎反落確認","△過熱・様子見"),"相場上昇・見送り"))),IF(AND(T109&gt;=12,AD109="下降トレンド▼"),"★強い売り",IF(T109&gt;=12,"★強い売り",IF(AND(T109&gt;=8,OR(AE109="25日戻り売り★",AE109="5日戻り売り○")),"◎戻り売り",IF(T109&gt;=10,"○売り候補",IF(T109&gt;=6,"△注目",IF(T109&gt;=3,"様子見","見送り"))))))))</f>
        <v>#VALUE!</v>
      </c>
      <c r="AG109">
        <f t="shared" si="36"/>
        <v>0</v>
      </c>
      <c r="AH109">
        <f t="shared" si="37"/>
        <v>0</v>
      </c>
      <c r="AI109" s="376">
        <f t="array" ref="AI109">IF(C109="","",IFERROR((INDEX(終値!$E:$E,MATCH(TEXT(C109,"0"),終値!$A:$A,0))-INDEX(終値!$E:$CZ,MATCH(TEXT(C109,"0"),終値!$A:$A,0),$AN$2))/INDEX(終値!$E:$CZ,MATCH(TEXT(C109,"0"),終値!$A:$A,0),$AN$2)*100,""))</f>
        <v>-85.012345679012341</v>
      </c>
      <c r="AJ109" s="376">
        <f t="array" ref="AJ109">IFERROR((終値!$E$5-INDEX(終値!$E$5:$CZ$5,1,$AN$2))/INDEX(終値!$E$5:$CZ$5,1,$AN$2)*100,"")</f>
        <v>2.31989243802786</v>
      </c>
      <c r="AK109" s="377">
        <f t="shared" si="38"/>
        <v>-87.332238117040205</v>
      </c>
      <c r="AL109" s="375">
        <f t="shared" si="39"/>
        <v>3</v>
      </c>
      <c r="AO109" s="379" t="e">
        <f t="shared" si="40"/>
        <v>#VALUE!</v>
      </c>
      <c r="AP109" s="380" t="e">
        <f t="shared" si="41"/>
        <v>#VALUE!</v>
      </c>
      <c r="AQ109">
        <f>IF(C109&lt;&gt;"",始値!F134,"")</f>
        <v>3500</v>
      </c>
      <c r="AR109">
        <f>IF(C109&lt;&gt;"",高値!F134,"")</f>
        <v>3625</v>
      </c>
      <c r="AS109">
        <f>IF(C109&lt;&gt;"",安値!F134,"")</f>
        <v>3450</v>
      </c>
      <c r="AT109" t="str">
        <f t="shared" si="42"/>
        <v>通常</v>
      </c>
      <c r="AU109">
        <f t="shared" si="43"/>
        <v>0</v>
      </c>
    </row>
    <row r="110" spans="1:47" ht="14.25" customHeight="1">
      <c r="A110" s="335" t="str">
        <f>IF(銘柄管理!B142&lt;&gt;"",HYPERLINK("https://kabutan.jp/stock/?code="&amp;銘柄管理!B142,"株探"),"")</f>
        <v>株探</v>
      </c>
      <c r="B110" s="215"/>
      <c r="C110" s="478" t="str">
        <f>IF(銘柄管理!B142="","",銘柄管理!B142)</f>
        <v>4568</v>
      </c>
      <c r="D110" s="215" t="str">
        <f>IF(銘柄管理!C142="","",銘柄管理!C142)</f>
        <v/>
      </c>
      <c r="E110" s="336" t="str">
        <f>IF(C110&lt;&gt;"",_xll.RssMarket(C110,"現在値"),"")</f>
        <v/>
      </c>
      <c r="F110" s="336" t="str">
        <f>IF(C110&lt;&gt;"",_xll.RssMarket(C110,"始値"),"")</f>
        <v/>
      </c>
      <c r="G110" s="215">
        <f>IF(C110&lt;&gt;"",終値!F142,"")</f>
        <v>2677</v>
      </c>
      <c r="H110" s="336" t="str">
        <f>IF(C110&lt;&gt;"",_xll.RssMarket(C110,"高値"),"")</f>
        <v/>
      </c>
      <c r="I110" s="336" t="str">
        <f>IF(C110&lt;&gt;"",_xll.RssMarket(C110,"安値"),"")</f>
        <v/>
      </c>
      <c r="J110" s="336" t="str">
        <f>IF(C110&lt;&gt;"",_xll.RssMarket(C110,"出来高"),"")</f>
        <v/>
      </c>
      <c r="K110" s="336" t="str">
        <f>IF(C110&lt;&gt;"",_xll.RssMarket(C110,"年初来高値"),"")</f>
        <v/>
      </c>
      <c r="L110" s="337" t="str">
        <f t="shared" si="22"/>
        <v/>
      </c>
      <c r="M110" s="336">
        <f>IF(C110&lt;&gt;"",IFERROR(AVERAGE(出来高!E142:I142),""),"")</f>
        <v>5579420</v>
      </c>
      <c r="N110" s="336">
        <f>IF(C110&lt;&gt;"",IFERROR(AVERAGE(出来高!E142:AC142),""),"")</f>
        <v>6632368</v>
      </c>
      <c r="O110" s="338" t="str">
        <f t="shared" si="23"/>
        <v/>
      </c>
      <c r="P110" s="215" t="str">
        <f t="shared" si="24"/>
        <v/>
      </c>
      <c r="Q110" s="215" t="str">
        <f t="shared" si="25"/>
        <v/>
      </c>
      <c r="R110" s="336" t="str">
        <f t="shared" si="26"/>
        <v/>
      </c>
      <c r="S110" s="336" t="str">
        <f t="shared" si="27"/>
        <v/>
      </c>
      <c r="T110" s="328">
        <f t="shared" si="28"/>
        <v>0</v>
      </c>
      <c r="U110" s="215" t="str">
        <f t="shared" si="29"/>
        <v>除外</v>
      </c>
      <c r="V110" s="215" t="str">
        <f t="shared" si="30"/>
        <v/>
      </c>
      <c r="W110" s="339">
        <f t="array" ref="W110">IFERROR(100-100/(1+SUMPRODUCT((終値!F142:R142&gt;終値!G142:S142)*(終値!F142:R142-終値!G142:S142))/SUMPRODUCT((終値!F142:R142&lt;終値!G142:S142)*(終値!G142:S142-終値!F142:R142))),50)</f>
        <v>62.628571428571426</v>
      </c>
      <c r="X110" s="340">
        <f>IF(C110&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26.727356222561866</v>
      </c>
      <c r="Y110" s="215" t="e">
        <f t="shared" si="31"/>
        <v>#VALUE!</v>
      </c>
      <c r="Z110" s="341" t="str">
        <f t="shared" si="32"/>
        <v/>
      </c>
      <c r="AA110" s="215" t="str">
        <f t="shared" si="33"/>
        <v/>
      </c>
      <c r="AB110" s="336">
        <f>IF(OR(C110="",C110="TOPX",終値!E142=""),"",IFERROR(((終値!E142*0.333)+(終値!F142*0.222)+(終値!G142*0.148)+(終値!H142*0.099)+(終値!I142*0.066))/(0.333+0.222+0.148+0.099+0.066),""))</f>
        <v>2726.8830645161293</v>
      </c>
      <c r="AC110" s="336">
        <f>IF(OR(C110="",C110="TOPX",終値!E142=""),"",IFERROR(SUMPRODUCT((終値!E142:AC142),{0.077,0.071,0.065,0.06,0.055,0.051,0.047,0.043,0.039,0.036,0.033,0.031,0.028,0.026,0.024,0.022,0.02,0.018,0.017,0.016,0.014,0.013,0.012,0.011,0.01})/SUM({0.077,0.071,0.065,0.06,0.055,0.051,0.047,0.043,0.039,0.036,0.033,0.031,0.028,0.026,0.024,0.022,0.02,0.018,0.017,0.016,0.014,0.013,0.012,0.011,0.01}),""))</f>
        <v>2655.8533969010723</v>
      </c>
      <c r="AD110" s="215" t="str">
        <f t="shared" si="34"/>
        <v>パーフェクト▲</v>
      </c>
      <c r="AE110" s="215" t="e">
        <f t="shared" si="35"/>
        <v>#VALUE!</v>
      </c>
      <c r="AF110" t="e">
        <f>IF(T110="","",IF(銘柄管理!$F$5="上昇▲",IF(AND(AD110="下降トレンド▼",OR(AE110="25日戻り売り★",AE110="5日戻り売り○")),"★逆張り売り",IF(AND(AD110="もみ合い→",OR(AE110="25日戻り売り★",AE110="5日戻り売り○")),"○逆張り売り",IF(W110&gt;=70,IF(Z110&lt;0,"◎反落確認","△過熱・様子見"),"相場上昇・見送り"))),IF(AND(T110&gt;=12,AD110="下降トレンド▼"),"★強い売り",IF(T110&gt;=12,"★強い売り",IF(AND(T110&gt;=8,OR(AE110="25日戻り売り★",AE110="5日戻り売り○")),"◎戻り売り",IF(T110&gt;=10,"○売り候補",IF(T110&gt;=6,"△注目",IF(T110&gt;=3,"様子見","見送り"))))))))</f>
        <v>#VALUE!</v>
      </c>
      <c r="AG110">
        <f t="shared" si="36"/>
        <v>0</v>
      </c>
      <c r="AH110">
        <f t="shared" si="37"/>
        <v>0</v>
      </c>
      <c r="AI110" s="376">
        <f t="array" ref="AI110">IF(C110="","",IFERROR((INDEX(終値!$E:$E,MATCH(TEXT(C110,"0"),終値!$A:$A,0))-INDEX(終値!$E:$CZ,MATCH(TEXT(C110,"0"),終値!$A:$A,0),$AN$2))/INDEX(終値!$E:$CZ,MATCH(TEXT(C110,"0"),終値!$A:$A,0),$AN$2)*100,""))</f>
        <v>10.381649199129919</v>
      </c>
      <c r="AJ110" s="376">
        <f t="array" ref="AJ110">IFERROR((終値!$E$5-INDEX(終値!$E$5:$CZ$5,1,$AN$2))/INDEX(終値!$E$5:$CZ$5,1,$AN$2)*100,"")</f>
        <v>2.31989243802786</v>
      </c>
      <c r="AK110" s="377">
        <f t="shared" si="38"/>
        <v>8.0617567611020586</v>
      </c>
      <c r="AL110" s="375">
        <f t="shared" si="39"/>
        <v>-2</v>
      </c>
      <c r="AO110" s="379" t="e">
        <f t="shared" si="40"/>
        <v>#VALUE!</v>
      </c>
      <c r="AP110" s="380" t="e">
        <f t="shared" si="41"/>
        <v>#VALUE!</v>
      </c>
      <c r="AQ110">
        <f>IF(C110&lt;&gt;"",始値!F142,"")</f>
        <v>2668.5</v>
      </c>
      <c r="AR110">
        <f>IF(C110&lt;&gt;"",高値!F142,"")</f>
        <v>2677</v>
      </c>
      <c r="AS110">
        <f>IF(C110&lt;&gt;"",安値!F142,"")</f>
        <v>2636.5</v>
      </c>
      <c r="AT110" t="str">
        <f t="shared" si="42"/>
        <v>長い下ヒゲ(反発)</v>
      </c>
      <c r="AU110">
        <f t="shared" si="43"/>
        <v>-2</v>
      </c>
    </row>
    <row r="111" spans="1:47" ht="14.25" customHeight="1">
      <c r="A111" s="327" t="str">
        <f>IF(銘柄管理!B143&lt;&gt;"",HYPERLINK("https://kabutan.jp/stock/?code="&amp;銘柄管理!B143,"株探"),"")</f>
        <v>株探</v>
      </c>
      <c r="B111" s="328"/>
      <c r="C111" s="477">
        <f>IF(銘柄管理!B143="","",銘柄管理!B143)</f>
        <v>6522</v>
      </c>
      <c r="D111" s="328" t="str">
        <f>IF(銘柄管理!C143="","",銘柄管理!C143)</f>
        <v/>
      </c>
      <c r="E111" s="329" t="str">
        <f>IF(C111&lt;&gt;"",_xll.RssMarket(C111,"現在値"),"")</f>
        <v/>
      </c>
      <c r="F111" s="329" t="str">
        <f>IF(C111&lt;&gt;"",_xll.RssMarket(C111,"始値"),"")</f>
        <v/>
      </c>
      <c r="G111" s="328">
        <f>IF(C111&lt;&gt;"",終値!F143,"")</f>
        <v>1899</v>
      </c>
      <c r="H111" s="329" t="str">
        <f>IF(C111&lt;&gt;"",_xll.RssMarket(C111,"高値"),"")</f>
        <v/>
      </c>
      <c r="I111" s="329" t="str">
        <f>IF(C111&lt;&gt;"",_xll.RssMarket(C111,"安値"),"")</f>
        <v/>
      </c>
      <c r="J111" s="329" t="str">
        <f>IF(C111&lt;&gt;"",_xll.RssMarket(C111,"出来高"),"")</f>
        <v/>
      </c>
      <c r="K111" s="329" t="str">
        <f>IF(C111&lt;&gt;"",_xll.RssMarket(C111,"年初来高値"),"")</f>
        <v/>
      </c>
      <c r="L111" s="330" t="str">
        <f t="shared" si="22"/>
        <v/>
      </c>
      <c r="M111" s="329">
        <f>IF(C111&lt;&gt;"",IFERROR(AVERAGE(出来高!E143:I143),""),"")</f>
        <v>1765380</v>
      </c>
      <c r="N111" s="329">
        <f>IF(C111&lt;&gt;"",IFERROR(AVERAGE(出来高!E143:AC143),""),"")</f>
        <v>2700932</v>
      </c>
      <c r="O111" s="331" t="str">
        <f t="shared" si="23"/>
        <v/>
      </c>
      <c r="P111" s="328" t="str">
        <f t="shared" si="24"/>
        <v/>
      </c>
      <c r="Q111" s="328" t="str">
        <f t="shared" si="25"/>
        <v/>
      </c>
      <c r="R111" s="329" t="str">
        <f t="shared" si="26"/>
        <v/>
      </c>
      <c r="S111" s="329" t="str">
        <f t="shared" si="27"/>
        <v/>
      </c>
      <c r="T111" s="328">
        <f t="shared" si="28"/>
        <v>0</v>
      </c>
      <c r="U111" s="328" t="str">
        <f t="shared" si="29"/>
        <v>除外</v>
      </c>
      <c r="V111" s="328" t="str">
        <f t="shared" si="30"/>
        <v/>
      </c>
      <c r="W111" s="332">
        <f t="array" ref="W111">IFERROR(100-100/(1+SUMPRODUCT((終値!F143:R143&gt;終値!G143:S143)*(終値!F143:R143-終値!G143:S143))/SUMPRODUCT((終値!F143:R143&lt;終値!G143:S143)*(終値!G143:S143-終値!F143:R143))),50)</f>
        <v>65.419580419580427</v>
      </c>
      <c r="X111" s="333">
        <f>IF(C111&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131.74677299304722</v>
      </c>
      <c r="Y111" s="328" t="e">
        <f t="shared" si="31"/>
        <v>#VALUE!</v>
      </c>
      <c r="Z111" s="334" t="str">
        <f t="shared" si="32"/>
        <v/>
      </c>
      <c r="AA111" s="328" t="str">
        <f t="shared" si="33"/>
        <v/>
      </c>
      <c r="AB111" s="329">
        <f>IF(OR(C111="",C111="TOPX",終値!E143=""),"",IFERROR(((終値!E143*0.333)+(終値!F143*0.222)+(終値!G143*0.148)+(終値!H143*0.099)+(終値!I143*0.066))/(0.333+0.222+0.148+0.099+0.066),""))</f>
        <v>1680.3709677419351</v>
      </c>
      <c r="AC111" s="329">
        <f>IF(OR(C111="",C111="TOPX",終値!E143=""),"",IFERROR(SUMPRODUCT((終値!E143:AC143),{0.077,0.071,0.065,0.06,0.055,0.051,0.047,0.043,0.039,0.036,0.033,0.031,0.028,0.026,0.024,0.022,0.02,0.018,0.017,0.016,0.014,0.013,0.012,0.011,0.01})/SUM({0.077,0.071,0.065,0.06,0.055,0.051,0.047,0.043,0.039,0.036,0.033,0.031,0.028,0.026,0.024,0.022,0.02,0.018,0.017,0.016,0.014,0.013,0.012,0.011,0.01}),""))</f>
        <v>1582.3825983313457</v>
      </c>
      <c r="AD111" s="328" t="str">
        <f t="shared" si="34"/>
        <v>パーフェクト▲</v>
      </c>
      <c r="AE111" s="328" t="e">
        <f t="shared" si="35"/>
        <v>#VALUE!</v>
      </c>
      <c r="AF111" t="e">
        <f>IF(T111="","",IF(銘柄管理!$F$5="上昇▲",IF(AND(AD111="下降トレンド▼",OR(AE111="25日戻り売り★",AE111="5日戻り売り○")),"★逆張り売り",IF(AND(AD111="もみ合い→",OR(AE111="25日戻り売り★",AE111="5日戻り売り○")),"○逆張り売り",IF(W111&gt;=70,IF(Z111&lt;0,"◎反落確認","△過熱・様子見"),"相場上昇・見送り"))),IF(AND(T111&gt;=12,AD111="下降トレンド▼"),"★強い売り",IF(T111&gt;=12,"★強い売り",IF(AND(T111&gt;=8,OR(AE111="25日戻り売り★",AE111="5日戻り売り○")),"◎戻り売り",IF(T111&gt;=10,"○売り候補",IF(T111&gt;=6,"△注目",IF(T111&gt;=3,"様子見","見送り"))))))))</f>
        <v>#VALUE!</v>
      </c>
      <c r="AG111">
        <f t="shared" si="36"/>
        <v>0</v>
      </c>
      <c r="AH111">
        <f t="shared" si="37"/>
        <v>0</v>
      </c>
      <c r="AI111" s="376">
        <f t="array" ref="AI111">IF(C111="","",IFERROR((INDEX(終値!$E:$E,MATCH(TEXT(C111,"0"),終値!$A:$A,0))-INDEX(終値!$E:$CZ,MATCH(TEXT(C111,"0"),終値!$A:$A,0),$AN$2))/INDEX(終値!$E:$CZ,MATCH(TEXT(C111,"0"),終値!$A:$A,0),$AN$2)*100,""))</f>
        <v>75.100401606425706</v>
      </c>
      <c r="AJ111" s="376">
        <f t="array" ref="AJ111">IFERROR((終値!$E$5-INDEX(終値!$E$5:$CZ$5,1,$AN$2))/INDEX(終値!$E$5:$CZ$5,1,$AN$2)*100,"")</f>
        <v>2.31989243802786</v>
      </c>
      <c r="AK111" s="377">
        <f t="shared" si="38"/>
        <v>72.780509168397842</v>
      </c>
      <c r="AL111" s="375">
        <f t="shared" si="39"/>
        <v>-2</v>
      </c>
      <c r="AO111" s="379" t="e">
        <f t="shared" si="40"/>
        <v>#VALUE!</v>
      </c>
      <c r="AP111" s="380" t="e">
        <f t="shared" si="41"/>
        <v>#VALUE!</v>
      </c>
      <c r="AQ111">
        <f>IF(C111&lt;&gt;"",始値!F143,"")</f>
        <v>1770</v>
      </c>
      <c r="AR111">
        <f>IF(C111&lt;&gt;"",高値!F143,"")</f>
        <v>1908</v>
      </c>
      <c r="AS111">
        <f>IF(C111&lt;&gt;"",安値!F143,"")</f>
        <v>1711</v>
      </c>
      <c r="AT111" t="str">
        <f t="shared" si="42"/>
        <v>通常</v>
      </c>
      <c r="AU111">
        <f t="shared" si="43"/>
        <v>0</v>
      </c>
    </row>
    <row r="112" spans="1:47" ht="14.25" customHeight="1">
      <c r="A112" s="335" t="str">
        <f>IF(銘柄管理!B153&lt;&gt;"",HYPERLINK("https://kabutan.jp/stock/?code="&amp;銘柄管理!B153,"株探"),"")</f>
        <v>株探</v>
      </c>
      <c r="B112" s="215"/>
      <c r="C112" s="478">
        <f>IF(銘柄管理!B153="","",銘柄管理!B153)</f>
        <v>4417</v>
      </c>
      <c r="D112" s="215" t="str">
        <f>IF(銘柄管理!C153="","",銘柄管理!C153)</f>
        <v/>
      </c>
      <c r="E112" s="336" t="str">
        <f>IF(C112&lt;&gt;"",_xll.RssMarket(C112,"現在値"),"")</f>
        <v/>
      </c>
      <c r="F112" s="336" t="str">
        <f>IF(C112&lt;&gt;"",_xll.RssMarket(C112,"始値"),"")</f>
        <v/>
      </c>
      <c r="G112" s="215">
        <f>IF(C112&lt;&gt;"",終値!F153,"")</f>
        <v>4365</v>
      </c>
      <c r="H112" s="336" t="str">
        <f>IF(C112&lt;&gt;"",_xll.RssMarket(C112,"高値"),"")</f>
        <v/>
      </c>
      <c r="I112" s="336" t="str">
        <f>IF(C112&lt;&gt;"",_xll.RssMarket(C112,"安値"),"")</f>
        <v/>
      </c>
      <c r="J112" s="336" t="str">
        <f>IF(C112&lt;&gt;"",_xll.RssMarket(C112,"出来高"),"")</f>
        <v/>
      </c>
      <c r="K112" s="336" t="str">
        <f>IF(C112&lt;&gt;"",_xll.RssMarket(C112,"年初来高値"),"")</f>
        <v/>
      </c>
      <c r="L112" s="337" t="str">
        <f t="shared" si="22"/>
        <v/>
      </c>
      <c r="M112" s="336">
        <f>IF(C112&lt;&gt;"",IFERROR(AVERAGE(出来高!E153:I153),""),"")</f>
        <v>67780</v>
      </c>
      <c r="N112" s="336">
        <f>IF(C112&lt;&gt;"",IFERROR(AVERAGE(出来高!E153:AC153),""),"")</f>
        <v>76492</v>
      </c>
      <c r="O112" s="338" t="str">
        <f t="shared" si="23"/>
        <v/>
      </c>
      <c r="P112" s="215" t="str">
        <f t="shared" si="24"/>
        <v/>
      </c>
      <c r="Q112" s="215" t="str">
        <f t="shared" si="25"/>
        <v/>
      </c>
      <c r="R112" s="336" t="str">
        <f t="shared" si="26"/>
        <v/>
      </c>
      <c r="S112" s="336" t="str">
        <f t="shared" si="27"/>
        <v/>
      </c>
      <c r="T112" s="328">
        <f t="shared" si="28"/>
        <v>0</v>
      </c>
      <c r="U112" s="215" t="str">
        <f t="shared" si="29"/>
        <v>除外</v>
      </c>
      <c r="V112" s="215" t="str">
        <f t="shared" si="30"/>
        <v/>
      </c>
      <c r="W112" s="339">
        <f t="array" ref="W112">IFERROR(100-100/(1+SUMPRODUCT((終値!F153:R153&gt;終値!G153:S153)*(終値!F153:R153-終値!G153:S153))/SUMPRODUCT((終値!F153:R153&lt;終値!G153:S153)*(終値!G153:S153-終値!F153:R153))),50)</f>
        <v>74.709976798143856</v>
      </c>
      <c r="X112" s="340">
        <f>IF(C112&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139.39515958907714</v>
      </c>
      <c r="Y112" s="215" t="e">
        <f t="shared" si="31"/>
        <v>#VALUE!</v>
      </c>
      <c r="Z112" s="341" t="str">
        <f t="shared" si="32"/>
        <v/>
      </c>
      <c r="AA112" s="215" t="str">
        <f t="shared" si="33"/>
        <v/>
      </c>
      <c r="AB112" s="336">
        <f>IF(OR(C112="",C112="TOPX",終値!E153=""),"",IFERROR(((終値!E153*0.333)+(終値!F153*0.222)+(終値!G153*0.148)+(終値!H153*0.099)+(終値!I153*0.066))/(0.333+0.222+0.148+0.099+0.066),""))</f>
        <v>4259.1935483870966</v>
      </c>
      <c r="AC112" s="336">
        <f>IF(OR(C112="",C112="TOPX",終値!E153=""),"",IFERROR(SUMPRODUCT((終値!E153:AC153),{0.077,0.071,0.065,0.06,0.055,0.051,0.047,0.043,0.039,0.036,0.033,0.031,0.028,0.026,0.024,0.022,0.02,0.018,0.017,0.016,0.014,0.013,0.012,0.011,0.01})/SUM({0.077,0.071,0.065,0.06,0.055,0.051,0.047,0.043,0.039,0.036,0.033,0.031,0.028,0.026,0.024,0.022,0.02,0.018,0.017,0.016,0.014,0.013,0.012,0.011,0.01}),""))</f>
        <v>3884.4147794994019</v>
      </c>
      <c r="AD112" s="215" t="str">
        <f t="shared" si="34"/>
        <v>パーフェクト▲</v>
      </c>
      <c r="AE112" s="215" t="e">
        <f t="shared" si="35"/>
        <v>#VALUE!</v>
      </c>
      <c r="AF112" t="e">
        <f>IF(T112="","",IF(銘柄管理!$F$5="上昇▲",IF(AND(AD112="下降トレンド▼",OR(AE112="25日戻り売り★",AE112="5日戻り売り○")),"★逆張り売り",IF(AND(AD112="もみ合い→",OR(AE112="25日戻り売り★",AE112="5日戻り売り○")),"○逆張り売り",IF(W112&gt;=70,IF(Z112&lt;0,"◎反落確認","△過熱・様子見"),"相場上昇・見送り"))),IF(AND(T112&gt;=12,AD112="下降トレンド▼"),"★強い売り",IF(T112&gt;=12,"★強い売り",IF(AND(T112&gt;=8,OR(AE112="25日戻り売り★",AE112="5日戻り売り○")),"◎戻り売り",IF(T112&gt;=10,"○売り候補",IF(T112&gt;=6,"△注目",IF(T112&gt;=3,"様子見","見送り"))))))))</f>
        <v>#VALUE!</v>
      </c>
      <c r="AG112">
        <f t="shared" si="36"/>
        <v>0</v>
      </c>
      <c r="AH112">
        <f t="shared" si="37"/>
        <v>0</v>
      </c>
      <c r="AI112" s="376">
        <f t="array" ref="AI112">IF(C112="","",IFERROR((INDEX(終値!$E:$E,MATCH(TEXT(C112,"0"),終値!$A:$A,0))-INDEX(終値!$E:$CZ,MATCH(TEXT(C112,"0"),終値!$A:$A,0),$AN$2))/INDEX(終値!$E:$CZ,MATCH(TEXT(C112,"0"),終値!$A:$A,0),$AN$2)*100,""))</f>
        <v>38.632750397456277</v>
      </c>
      <c r="AJ112" s="376">
        <f t="array" ref="AJ112">IFERROR((終値!$E$5-INDEX(終値!$E$5:$CZ$5,1,$AN$2))/INDEX(終値!$E$5:$CZ$5,1,$AN$2)*100,"")</f>
        <v>2.31989243802786</v>
      </c>
      <c r="AK112" s="377">
        <f t="shared" si="38"/>
        <v>36.31285795942842</v>
      </c>
      <c r="AL112" s="375">
        <f t="shared" si="39"/>
        <v>-2</v>
      </c>
      <c r="AO112" s="379" t="e">
        <f t="shared" si="40"/>
        <v>#VALUE!</v>
      </c>
      <c r="AP112" s="380" t="e">
        <f t="shared" si="41"/>
        <v>#VALUE!</v>
      </c>
      <c r="AQ112">
        <f>IF(C112&lt;&gt;"",始値!F153,"")</f>
        <v>4275</v>
      </c>
      <c r="AR112">
        <f>IF(C112&lt;&gt;"",高値!F153,"")</f>
        <v>4390</v>
      </c>
      <c r="AS112">
        <f>IF(C112&lt;&gt;"",安値!F153,"")</f>
        <v>4180</v>
      </c>
      <c r="AT112" t="str">
        <f t="shared" si="42"/>
        <v>通常</v>
      </c>
      <c r="AU112">
        <f t="shared" si="43"/>
        <v>0</v>
      </c>
    </row>
    <row r="113" spans="1:47" ht="14.25" customHeight="1">
      <c r="A113" s="327" t="str">
        <f>IF(銘柄管理!B158&lt;&gt;"",HYPERLINK("https://kabutan.jp/stock/?code="&amp;銘柄管理!B158,"株探"),"")</f>
        <v>株探</v>
      </c>
      <c r="B113" s="328"/>
      <c r="C113" s="477">
        <f>IF(銘柄管理!B158="","",銘柄管理!B158)</f>
        <v>6857</v>
      </c>
      <c r="D113" s="328" t="str">
        <f>IF(銘柄管理!C158="","",銘柄管理!C158)</f>
        <v/>
      </c>
      <c r="E113" s="329" t="str">
        <f>IF(C113&lt;&gt;"",_xll.RssMarket(C113,"現在値"),"")</f>
        <v/>
      </c>
      <c r="F113" s="329" t="str">
        <f>IF(C113&lt;&gt;"",_xll.RssMarket(C113,"始値"),"")</f>
        <v/>
      </c>
      <c r="G113" s="328">
        <f>IF(C113&lt;&gt;"",終値!F158,"")</f>
        <v>31510</v>
      </c>
      <c r="H113" s="329" t="str">
        <f>IF(C113&lt;&gt;"",_xll.RssMarket(C113,"高値"),"")</f>
        <v/>
      </c>
      <c r="I113" s="329" t="str">
        <f>IF(C113&lt;&gt;"",_xll.RssMarket(C113,"安値"),"")</f>
        <v/>
      </c>
      <c r="J113" s="329" t="str">
        <f>IF(C113&lt;&gt;"",_xll.RssMarket(C113,"出来高"),"")</f>
        <v/>
      </c>
      <c r="K113" s="329" t="str">
        <f>IF(C113&lt;&gt;"",_xll.RssMarket(C113,"年初来高値"),"")</f>
        <v/>
      </c>
      <c r="L113" s="330" t="str">
        <f t="shared" si="22"/>
        <v/>
      </c>
      <c r="M113" s="329">
        <f>IF(C113&lt;&gt;"",IFERROR(AVERAGE(出来高!E158:I158),""),"")</f>
        <v>8857080</v>
      </c>
      <c r="N113" s="329">
        <f>IF(C113&lt;&gt;"",IFERROR(AVERAGE(出来高!E158:AC158),""),"")</f>
        <v>8742944</v>
      </c>
      <c r="O113" s="331" t="str">
        <f t="shared" si="23"/>
        <v/>
      </c>
      <c r="P113" s="328" t="str">
        <f t="shared" si="24"/>
        <v/>
      </c>
      <c r="Q113" s="328" t="str">
        <f t="shared" si="25"/>
        <v/>
      </c>
      <c r="R113" s="329" t="str">
        <f t="shared" si="26"/>
        <v/>
      </c>
      <c r="S113" s="329" t="str">
        <f t="shared" si="27"/>
        <v/>
      </c>
      <c r="T113" s="328">
        <f t="shared" si="28"/>
        <v>0</v>
      </c>
      <c r="U113" s="328" t="str">
        <f t="shared" si="29"/>
        <v>除外</v>
      </c>
      <c r="V113" s="328" t="str">
        <f t="shared" si="30"/>
        <v/>
      </c>
      <c r="W113" s="332">
        <f t="array" ref="W113">IFERROR(100-100/(1+SUMPRODUCT((終値!F158:R158&gt;終値!G158:S158)*(終値!F158:R158-終値!G158:S158))/SUMPRODUCT((終値!F158:R158&lt;終値!G158:S158)*(終値!G158:S158-終値!F158:R158))),50)</f>
        <v>36.793020457280385</v>
      </c>
      <c r="X113" s="333">
        <f>IF(C113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-313.160048798145</v>
      </c>
      <c r="Y113" s="328" t="e">
        <f t="shared" si="31"/>
        <v>#VALUE!</v>
      </c>
      <c r="Z113" s="334" t="str">
        <f t="shared" si="32"/>
        <v/>
      </c>
      <c r="AA113" s="328" t="str">
        <f t="shared" si="33"/>
        <v/>
      </c>
      <c r="AB113" s="329">
        <f>IF(OR(C113="",C113="TOPX",終値!E158=""),"",IFERROR(((終値!E158*0.333)+(終値!F158*0.222)+(終値!G158*0.148)+(終値!H158*0.099)+(終値!I158*0.066))/(0.333+0.222+0.148+0.099+0.066),""))</f>
        <v>29243.139400921656</v>
      </c>
      <c r="AC113" s="329">
        <f>IF(OR(C113="",C113="TOPX",終値!E158=""),"",IFERROR(SUMPRODUCT((終値!E158:AC158),{0.077,0.071,0.065,0.06,0.055,0.051,0.047,0.043,0.039,0.036,0.033,0.031,0.028,0.026,0.024,0.022,0.02,0.018,0.017,0.016,0.014,0.013,0.012,0.011,0.01})/SUM({0.077,0.071,0.065,0.06,0.055,0.051,0.047,0.043,0.039,0.036,0.033,0.031,0.028,0.026,0.024,0.022,0.02,0.018,0.017,0.016,0.014,0.013,0.012,0.011,0.01}),""))</f>
        <v>29910.947556614999</v>
      </c>
      <c r="AD113" s="328" t="str">
        <f t="shared" si="34"/>
        <v>上昇トレンド▲</v>
      </c>
      <c r="AE113" s="328" t="e">
        <f t="shared" si="35"/>
        <v>#VALUE!</v>
      </c>
      <c r="AF113" t="e">
        <f>IF(T113="","",IF(銘柄管理!$F$5="上昇▲",IF(AND(AD113="下降トレンド▼",OR(AE113="25日戻り売り★",AE113="5日戻り売り○")),"★逆張り売り",IF(AND(AD113="もみ合い→",OR(AE113="25日戻り売り★",AE113="5日戻り売り○")),"○逆張り売り",IF(W113&gt;=70,IF(Z113&lt;0,"◎反落確認","△過熱・様子見"),"相場上昇・見送り"))),IF(AND(T113&gt;=12,AD113="下降トレンド▼"),"★強い売り",IF(T113&gt;=12,"★強い売り",IF(AND(T113&gt;=8,OR(AE113="25日戻り売り★",AE113="5日戻り売り○")),"◎戻り売り",IF(T113&gt;=10,"○売り候補",IF(T113&gt;=6,"△注目",IF(T113&gt;=3,"様子見","見送り"))))))))</f>
        <v>#VALUE!</v>
      </c>
      <c r="AG113">
        <f t="shared" si="36"/>
        <v>0</v>
      </c>
      <c r="AH113">
        <f t="shared" si="37"/>
        <v>0</v>
      </c>
      <c r="AI113" s="376">
        <f t="array" ref="AI113">IF(C113="","",IFERROR((INDEX(終値!$E:$E,MATCH(TEXT(C113,"0"),終値!$A:$A,0))-INDEX(終値!$E:$CZ,MATCH(TEXT(C113,"0"),終値!$A:$A,0),$AN$2))/INDEX(終値!$E:$CZ,MATCH(TEXT(C113,"0"),終値!$A:$A,0),$AN$2)*100,""))</f>
        <v>2.764804782365029</v>
      </c>
      <c r="AJ113" s="376">
        <f t="array" ref="AJ113">IFERROR((終値!$E$5-INDEX(終値!$E$5:$CZ$5,1,$AN$2))/INDEX(終値!$E$5:$CZ$5,1,$AN$2)*100,"")</f>
        <v>2.31989243802786</v>
      </c>
      <c r="AK113" s="377">
        <f t="shared" si="38"/>
        <v>0.44491234433716897</v>
      </c>
      <c r="AL113" s="375">
        <f t="shared" si="39"/>
        <v>-1</v>
      </c>
      <c r="AO113" s="379" t="e">
        <f t="shared" si="40"/>
        <v>#VALUE!</v>
      </c>
      <c r="AP113" s="380" t="e">
        <f t="shared" si="41"/>
        <v>#VALUE!</v>
      </c>
      <c r="AQ113">
        <f>IF(C113&lt;&gt;"",始値!F158,"")</f>
        <v>30180</v>
      </c>
      <c r="AR113">
        <f>IF(C113&lt;&gt;"",高値!F158,"")</f>
        <v>31550</v>
      </c>
      <c r="AS113">
        <f>IF(C113&lt;&gt;"",安値!F158,"")</f>
        <v>29730</v>
      </c>
      <c r="AT113" t="str">
        <f t="shared" si="42"/>
        <v>通常</v>
      </c>
      <c r="AU113">
        <f t="shared" si="43"/>
        <v>0</v>
      </c>
    </row>
    <row r="114" spans="1:47" ht="14.25" customHeight="1">
      <c r="A114" s="335" t="str">
        <f>IF(銘柄管理!B161&lt;&gt;"",HYPERLINK("https://kabutan.jp/stock/?code="&amp;銘柄管理!B161,"株探"),"")</f>
        <v>株探</v>
      </c>
      <c r="B114" s="215"/>
      <c r="C114" s="478">
        <f>IF(銘柄管理!B161="","",銘柄管理!B161)</f>
        <v>8892</v>
      </c>
      <c r="D114" s="215" t="str">
        <f>IF(銘柄管理!C161="","",銘柄管理!C161)</f>
        <v/>
      </c>
      <c r="E114" s="336" t="str">
        <f>IF(C114&lt;&gt;"",_xll.RssMarket(C114,"現在値"),"")</f>
        <v/>
      </c>
      <c r="F114" s="336" t="str">
        <f>IF(C114&lt;&gt;"",_xll.RssMarket(C114,"始値"),"")</f>
        <v/>
      </c>
      <c r="G114" s="215">
        <f>IF(C114&lt;&gt;"",終値!F161,"")</f>
        <v>1115</v>
      </c>
      <c r="H114" s="336" t="str">
        <f>IF(C114&lt;&gt;"",_xll.RssMarket(C114,"高値"),"")</f>
        <v/>
      </c>
      <c r="I114" s="336" t="str">
        <f>IF(C114&lt;&gt;"",_xll.RssMarket(C114,"安値"),"")</f>
        <v/>
      </c>
      <c r="J114" s="336" t="str">
        <f>IF(C114&lt;&gt;"",_xll.RssMarket(C114,"出来高"),"")</f>
        <v/>
      </c>
      <c r="K114" s="336" t="str">
        <f>IF(C114&lt;&gt;"",_xll.RssMarket(C114,"年初来高値"),"")</f>
        <v/>
      </c>
      <c r="L114" s="337" t="str">
        <f t="shared" si="22"/>
        <v/>
      </c>
      <c r="M114" s="336">
        <f>IF(C114&lt;&gt;"",IFERROR(AVERAGE(出来高!E161:I161),""),"")</f>
        <v>133000</v>
      </c>
      <c r="N114" s="336">
        <f>IF(C114&lt;&gt;"",IFERROR(AVERAGE(出来高!E161:AC161),""),"")</f>
        <v>153208</v>
      </c>
      <c r="O114" s="338" t="str">
        <f t="shared" si="23"/>
        <v/>
      </c>
      <c r="P114" s="215" t="str">
        <f t="shared" si="24"/>
        <v/>
      </c>
      <c r="Q114" s="215" t="str">
        <f t="shared" si="25"/>
        <v/>
      </c>
      <c r="R114" s="336" t="str">
        <f t="shared" si="26"/>
        <v/>
      </c>
      <c r="S114" s="336" t="str">
        <f t="shared" si="27"/>
        <v/>
      </c>
      <c r="T114" s="328">
        <f t="shared" si="28"/>
        <v>0</v>
      </c>
      <c r="U114" s="215" t="str">
        <f t="shared" si="29"/>
        <v>除外</v>
      </c>
      <c r="V114" s="215" t="str">
        <f t="shared" si="30"/>
        <v/>
      </c>
      <c r="W114" s="339">
        <f t="array" ref="W114">IFERROR(100-100/(1+SUMPRODUCT((終値!F161:R161&gt;終値!G161:S161)*(終値!F161:R161-終値!G161:S161))/SUMPRODUCT((終値!F161:R161&lt;終値!G161:S161)*(終値!G161:S161-終値!F161:R161))),50)</f>
        <v>84.782608695652172</v>
      </c>
      <c r="X114" s="340">
        <f>IF(C114&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6.1799760387525566</v>
      </c>
      <c r="Y114" s="215" t="e">
        <f t="shared" si="31"/>
        <v>#VALUE!</v>
      </c>
      <c r="Z114" s="341" t="str">
        <f t="shared" si="32"/>
        <v/>
      </c>
      <c r="AA114" s="215" t="str">
        <f t="shared" si="33"/>
        <v/>
      </c>
      <c r="AB114" s="336">
        <f>IF(OR(C114="",C114="TOPX",終値!E161=""),"",IFERROR(((終値!E161*0.333)+(終値!F161*0.222)+(終値!G161*0.148)+(終値!H161*0.099)+(終値!I161*0.066))/(0.333+0.222+0.148+0.099+0.066),""))</f>
        <v>1110.1129032258066</v>
      </c>
      <c r="AC114" s="336">
        <f>IF(OR(C114="",C114="TOPX",終値!E161=""),"",IFERROR(SUMPRODUCT((終値!E161:AC161),{0.077,0.071,0.065,0.06,0.055,0.051,0.047,0.043,0.039,0.036,0.033,0.031,0.028,0.026,0.024,0.022,0.02,0.018,0.017,0.016,0.014,0.013,0.012,0.011,0.01})/SUM({0.077,0.071,0.065,0.06,0.055,0.051,0.047,0.043,0.039,0.036,0.033,0.031,0.028,0.026,0.024,0.022,0.02,0.018,0.017,0.016,0.014,0.013,0.012,0.011,0.01}),""))</f>
        <v>1094.4290822407622</v>
      </c>
      <c r="AD114" s="215" t="str">
        <f t="shared" si="34"/>
        <v>パーフェクト▲</v>
      </c>
      <c r="AE114" s="215" t="e">
        <f t="shared" si="35"/>
        <v>#VALUE!</v>
      </c>
      <c r="AF114" t="e">
        <f>IF(T114="","",IF(銘柄管理!$F$5="上昇▲",IF(AND(AD114="下降トレンド▼",OR(AE114="25日戻り売り★",AE114="5日戻り売り○")),"★逆張り売り",IF(AND(AD114="もみ合い→",OR(AE114="25日戻り売り★",AE114="5日戻り売り○")),"○逆張り売り",IF(W114&gt;=70,IF(Z114&lt;0,"◎反落確認","△過熱・様子見"),"相場上昇・見送り"))),IF(AND(T114&gt;=12,AD114="下降トレンド▼"),"★強い売り",IF(T114&gt;=12,"★強い売り",IF(AND(T114&gt;=8,OR(AE114="25日戻り売り★",AE114="5日戻り売り○")),"◎戻り売り",IF(T114&gt;=10,"○売り候補",IF(T114&gt;=6,"△注目",IF(T114&gt;=3,"様子見","見送り"))))))))</f>
        <v>#VALUE!</v>
      </c>
      <c r="AG114">
        <f t="shared" si="36"/>
        <v>0</v>
      </c>
      <c r="AH114">
        <f t="shared" si="37"/>
        <v>0</v>
      </c>
      <c r="AI114" s="376">
        <f t="array" ref="AI114">IF(C114="","",IFERROR((INDEX(終値!$E:$E,MATCH(TEXT(C114,"0"),終値!$A:$A,0))-INDEX(終値!$E:$CZ,MATCH(TEXT(C114,"0"),終値!$A:$A,0),$AN$2))/INDEX(終値!$E:$CZ,MATCH(TEXT(C114,"0"),終値!$A:$A,0),$AN$2)*100,""))</f>
        <v>1.0110294117647058</v>
      </c>
      <c r="AJ114" s="376">
        <f t="array" ref="AJ114">IFERROR((終値!$E$5-INDEX(終値!$E$5:$CZ$5,1,$AN$2))/INDEX(終値!$E$5:$CZ$5,1,$AN$2)*100,"")</f>
        <v>2.31989243802786</v>
      </c>
      <c r="AK114" s="377">
        <f t="shared" si="38"/>
        <v>-1.3088630262631542</v>
      </c>
      <c r="AL114" s="375">
        <f t="shared" si="39"/>
        <v>1</v>
      </c>
      <c r="AO114" s="379" t="e">
        <f t="shared" si="40"/>
        <v>#VALUE!</v>
      </c>
      <c r="AP114" s="380" t="e">
        <f t="shared" si="41"/>
        <v>#VALUE!</v>
      </c>
      <c r="AQ114">
        <f>IF(C114&lt;&gt;"",始値!F161,"")</f>
        <v>1125</v>
      </c>
      <c r="AR114">
        <f>IF(C114&lt;&gt;"",高値!F161,"")</f>
        <v>1130</v>
      </c>
      <c r="AS114">
        <f>IF(C114&lt;&gt;"",安値!F161,"")</f>
        <v>1115</v>
      </c>
      <c r="AT114" t="str">
        <f t="shared" si="42"/>
        <v>通常</v>
      </c>
      <c r="AU114">
        <f t="shared" si="43"/>
        <v>0</v>
      </c>
    </row>
    <row r="115" spans="1:47" ht="14.25" customHeight="1">
      <c r="A115" s="327" t="str">
        <f>IF(銘柄管理!B170&lt;&gt;"",HYPERLINK("https://kabutan.jp/stock/?code="&amp;銘柄管理!B170,"株探"),"")</f>
        <v>株探</v>
      </c>
      <c r="B115" s="328"/>
      <c r="C115" s="477">
        <f>IF(銘柄管理!B170="","",銘柄管理!B170)</f>
        <v>4709</v>
      </c>
      <c r="D115" s="328" t="str">
        <f>IF(銘柄管理!C170="","",銘柄管理!C170)</f>
        <v/>
      </c>
      <c r="E115" s="329" t="str">
        <f>IF(C115&lt;&gt;"",_xll.RssMarket(C115,"現在値"),"")</f>
        <v/>
      </c>
      <c r="F115" s="329" t="str">
        <f>IF(C115&lt;&gt;"",_xll.RssMarket(C115,"始値"),"")</f>
        <v/>
      </c>
      <c r="G115" s="328">
        <f>IF(C115&lt;&gt;"",終値!F170,"")</f>
        <v>1127</v>
      </c>
      <c r="H115" s="329" t="str">
        <f>IF(C115&lt;&gt;"",_xll.RssMarket(C115,"高値"),"")</f>
        <v/>
      </c>
      <c r="I115" s="329" t="str">
        <f>IF(C115&lt;&gt;"",_xll.RssMarket(C115,"安値"),"")</f>
        <v/>
      </c>
      <c r="J115" s="329" t="str">
        <f>IF(C115&lt;&gt;"",_xll.RssMarket(C115,"出来高"),"")</f>
        <v/>
      </c>
      <c r="K115" s="329" t="str">
        <f>IF(C115&lt;&gt;"",_xll.RssMarket(C115,"年初来高値"),"")</f>
        <v/>
      </c>
      <c r="L115" s="330" t="str">
        <f t="shared" si="22"/>
        <v/>
      </c>
      <c r="M115" s="329">
        <f>IF(C115&lt;&gt;"",IFERROR(AVERAGE(出来高!E170:I170),""),"")</f>
        <v>58060</v>
      </c>
      <c r="N115" s="329">
        <f>IF(C115&lt;&gt;"",IFERROR(AVERAGE(出来高!E170:AC170),""),"")</f>
        <v>65164</v>
      </c>
      <c r="O115" s="331" t="str">
        <f t="shared" si="23"/>
        <v/>
      </c>
      <c r="P115" s="328" t="str">
        <f t="shared" si="24"/>
        <v/>
      </c>
      <c r="Q115" s="328" t="str">
        <f t="shared" si="25"/>
        <v/>
      </c>
      <c r="R115" s="329" t="str">
        <f t="shared" si="26"/>
        <v/>
      </c>
      <c r="S115" s="329" t="str">
        <f t="shared" si="27"/>
        <v/>
      </c>
      <c r="T115" s="328">
        <f t="shared" si="28"/>
        <v>0</v>
      </c>
      <c r="U115" s="328" t="str">
        <f t="shared" si="29"/>
        <v>除外</v>
      </c>
      <c r="V115" s="328" t="str">
        <f t="shared" si="30"/>
        <v/>
      </c>
      <c r="W115" s="332">
        <f t="array" ref="W115">IFERROR(100-100/(1+SUMPRODUCT((終値!F170:R170&gt;終値!G170:S170)*(終値!F170:R170-終値!G170:S170))/SUMPRODUCT((終値!F170:R170&lt;終値!G170:S170)*(終値!G170:S170-終値!F170:R170))),50)</f>
        <v>76.923076923076934</v>
      </c>
      <c r="X115" s="333">
        <f>IF(C115&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7.4804449150017263</v>
      </c>
      <c r="Y115" s="328" t="e">
        <f t="shared" si="31"/>
        <v>#VALUE!</v>
      </c>
      <c r="Z115" s="334" t="str">
        <f t="shared" si="32"/>
        <v/>
      </c>
      <c r="AA115" s="328" t="str">
        <f t="shared" si="33"/>
        <v/>
      </c>
      <c r="AB115" s="329">
        <f>IF(OR(C115="",C115="TOPX",終値!E170=""),"",IFERROR(((終値!E170*0.333)+(終値!F170*0.222)+(終値!G170*0.148)+(終値!H170*0.099)+(終値!I170*0.066))/(0.333+0.222+0.148+0.099+0.066),""))</f>
        <v>1115.4112903225807</v>
      </c>
      <c r="AC115" s="329">
        <f>IF(OR(C115="",C115="TOPX",終値!E170=""),"",IFERROR(SUMPRODUCT((終値!E170:AC170),{0.077,0.071,0.065,0.06,0.055,0.051,0.047,0.043,0.039,0.036,0.033,0.031,0.028,0.026,0.024,0.022,0.02,0.018,0.017,0.016,0.014,0.013,0.012,0.011,0.01})/SUM({0.077,0.071,0.065,0.06,0.055,0.051,0.047,0.043,0.039,0.036,0.033,0.031,0.028,0.026,0.024,0.022,0.02,0.018,0.017,0.016,0.014,0.013,0.012,0.011,0.01}),""))</f>
        <v>1086.7723480333727</v>
      </c>
      <c r="AD115" s="328" t="str">
        <f t="shared" si="34"/>
        <v>パーフェクト▲</v>
      </c>
      <c r="AE115" s="328" t="e">
        <f t="shared" si="35"/>
        <v>#VALUE!</v>
      </c>
      <c r="AF115" t="e">
        <f>IF(T115="","",IF(銘柄管理!$F$5="上昇▲",IF(AND(AD115="下降トレンド▼",OR(AE115="25日戻り売り★",AE115="5日戻り売り○")),"★逆張り売り",IF(AND(AD115="もみ合い→",OR(AE115="25日戻り売り★",AE115="5日戻り売り○")),"○逆張り売り",IF(W115&gt;=70,IF(Z115&lt;0,"◎反落確認","△過熱・様子見"),"相場上昇・見送り"))),IF(AND(T115&gt;=12,AD115="下降トレンド▼"),"★強い売り",IF(T115&gt;=12,"★強い売り",IF(AND(T115&gt;=8,OR(AE115="25日戻り売り★",AE115="5日戻り売り○")),"◎戻り売り",IF(T115&gt;=10,"○売り候補",IF(T115&gt;=6,"△注目",IF(T115&gt;=3,"様子見","見送り"))))))))</f>
        <v>#VALUE!</v>
      </c>
      <c r="AG115">
        <f t="shared" si="36"/>
        <v>0</v>
      </c>
      <c r="AH115">
        <f t="shared" si="37"/>
        <v>0</v>
      </c>
      <c r="AI115" s="376">
        <f t="array" ref="AI115">IF(C115="","",IFERROR((INDEX(終値!$E:$E,MATCH(TEXT(C115,"0"),終値!$A:$A,0))-INDEX(終値!$E:$CZ,MATCH(TEXT(C115,"0"),終値!$A:$A,0),$AN$2))/INDEX(終値!$E:$CZ,MATCH(TEXT(C115,"0"),終値!$A:$A,0),$AN$2)*100,""))</f>
        <v>9.0998043052837563</v>
      </c>
      <c r="AJ115" s="376">
        <f t="array" ref="AJ115">IFERROR((終値!$E$5-INDEX(終値!$E$5:$CZ$5,1,$AN$2))/INDEX(終値!$E$5:$CZ$5,1,$AN$2)*100,"")</f>
        <v>2.31989243802786</v>
      </c>
      <c r="AK115" s="377">
        <f t="shared" si="38"/>
        <v>6.7799118672558958</v>
      </c>
      <c r="AL115" s="375">
        <f t="shared" si="39"/>
        <v>-2</v>
      </c>
      <c r="AO115" s="379" t="e">
        <f t="shared" si="40"/>
        <v>#VALUE!</v>
      </c>
      <c r="AP115" s="380" t="e">
        <f t="shared" si="41"/>
        <v>#VALUE!</v>
      </c>
      <c r="AQ115">
        <f>IF(C115&lt;&gt;"",始値!F170,"")</f>
        <v>1114</v>
      </c>
      <c r="AR115">
        <f>IF(C115&lt;&gt;"",高値!F170,"")</f>
        <v>1130</v>
      </c>
      <c r="AS115">
        <f>IF(C115&lt;&gt;"",安値!F170,"")</f>
        <v>1114</v>
      </c>
      <c r="AT115" t="str">
        <f t="shared" si="42"/>
        <v>通常</v>
      </c>
      <c r="AU115">
        <f t="shared" si="43"/>
        <v>0</v>
      </c>
    </row>
    <row r="116" spans="1:47" ht="14.25" customHeight="1">
      <c r="A116" s="335" t="str">
        <f>IF(銘柄管理!B171&lt;&gt;"",HYPERLINK("https://kabutan.jp/stock/?code="&amp;銘柄管理!B171,"株探"),"")</f>
        <v>株探</v>
      </c>
      <c r="B116" s="215"/>
      <c r="C116" s="478">
        <f>IF(銘柄管理!B171="","",銘柄管理!B171)</f>
        <v>7981</v>
      </c>
      <c r="D116" s="215" t="str">
        <f>IF(銘柄管理!C171="","",銘柄管理!C171)</f>
        <v/>
      </c>
      <c r="E116" s="336" t="str">
        <f>IF(C116&lt;&gt;"",_xll.RssMarket(C116,"現在値"),"")</f>
        <v/>
      </c>
      <c r="F116" s="336" t="str">
        <f>IF(C116&lt;&gt;"",_xll.RssMarket(C116,"始値"),"")</f>
        <v/>
      </c>
      <c r="G116" s="215">
        <f>IF(C116&lt;&gt;"",終値!F171,"")</f>
        <v>3125</v>
      </c>
      <c r="H116" s="336" t="str">
        <f>IF(C116&lt;&gt;"",_xll.RssMarket(C116,"高値"),"")</f>
        <v/>
      </c>
      <c r="I116" s="336" t="str">
        <f>IF(C116&lt;&gt;"",_xll.RssMarket(C116,"安値"),"")</f>
        <v/>
      </c>
      <c r="J116" s="336" t="str">
        <f>IF(C116&lt;&gt;"",_xll.RssMarket(C116,"出来高"),"")</f>
        <v/>
      </c>
      <c r="K116" s="336" t="str">
        <f>IF(C116&lt;&gt;"",_xll.RssMarket(C116,"年初来高値"),"")</f>
        <v/>
      </c>
      <c r="L116" s="337" t="str">
        <f t="shared" si="22"/>
        <v/>
      </c>
      <c r="M116" s="336">
        <f>IF(C116&lt;&gt;"",IFERROR(AVERAGE(出来高!E171:I171),""),"")</f>
        <v>114420</v>
      </c>
      <c r="N116" s="336">
        <f>IF(C116&lt;&gt;"",IFERROR(AVERAGE(出来高!E171:AC171),""),"")</f>
        <v>104892</v>
      </c>
      <c r="O116" s="338" t="str">
        <f t="shared" si="23"/>
        <v/>
      </c>
      <c r="P116" s="215" t="str">
        <f t="shared" si="24"/>
        <v/>
      </c>
      <c r="Q116" s="215" t="str">
        <f t="shared" si="25"/>
        <v/>
      </c>
      <c r="R116" s="336" t="str">
        <f t="shared" si="26"/>
        <v/>
      </c>
      <c r="S116" s="336" t="str">
        <f t="shared" si="27"/>
        <v/>
      </c>
      <c r="T116" s="328">
        <f t="shared" si="28"/>
        <v>0</v>
      </c>
      <c r="U116" s="215" t="str">
        <f t="shared" si="29"/>
        <v>除外</v>
      </c>
      <c r="V116" s="215" t="str">
        <f t="shared" si="30"/>
        <v/>
      </c>
      <c r="W116" s="339">
        <f t="array" ref="W116">IFERROR(100-100/(1+SUMPRODUCT((終値!F171:R171&gt;終値!G171:S171)*(終値!F171:R171-終値!G171:S171))/SUMPRODUCT((終値!F171:R171&lt;終値!G171:S171)*(終値!G171:S171-終値!F171:R171))),50)</f>
        <v>56.962025316455694</v>
      </c>
      <c r="X116" s="340">
        <f>IF(C116&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7.4852132829705624</v>
      </c>
      <c r="Y116" s="215" t="e">
        <f t="shared" si="31"/>
        <v>#VALUE!</v>
      </c>
      <c r="Z116" s="341" t="str">
        <f t="shared" si="32"/>
        <v/>
      </c>
      <c r="AA116" s="215" t="str">
        <f t="shared" si="33"/>
        <v/>
      </c>
      <c r="AB116" s="336">
        <f>IF(OR(C116="",C116="TOPX",終値!E171=""),"",IFERROR(((終値!E171*0.333)+(終値!F171*0.222)+(終値!G171*0.148)+(終値!H171*0.099)+(終値!I171*0.066))/(0.333+0.222+0.148+0.099+0.066),""))</f>
        <v>3078.3006912442393</v>
      </c>
      <c r="AC116" s="336">
        <f>IF(OR(C116="",C116="TOPX",終値!E171=""),"",IFERROR(SUMPRODUCT((終値!E171:AC171),{0.077,0.071,0.065,0.06,0.055,0.051,0.047,0.043,0.039,0.036,0.033,0.031,0.028,0.026,0.024,0.022,0.02,0.018,0.017,0.016,0.014,0.013,0.012,0.011,0.01})/SUM({0.077,0.071,0.065,0.06,0.055,0.051,0.047,0.043,0.039,0.036,0.033,0.031,0.028,0.026,0.024,0.022,0.02,0.018,0.017,0.016,0.014,0.013,0.012,0.011,0.01}),""))</f>
        <v>3064.8653158522034</v>
      </c>
      <c r="AD116" s="215" t="str">
        <f t="shared" si="34"/>
        <v>パーフェクト▲</v>
      </c>
      <c r="AE116" s="215" t="e">
        <f t="shared" si="35"/>
        <v>#VALUE!</v>
      </c>
      <c r="AF116" t="e">
        <f>IF(T116="","",IF(銘柄管理!$F$5="上昇▲",IF(AND(AD116="下降トレンド▼",OR(AE116="25日戻り売り★",AE116="5日戻り売り○")),"★逆張り売り",IF(AND(AD116="もみ合い→",OR(AE116="25日戻り売り★",AE116="5日戻り売り○")),"○逆張り売り",IF(W116&gt;=70,IF(Z116&lt;0,"◎反落確認","△過熱・様子見"),"相場上昇・見送り"))),IF(AND(T116&gt;=12,AD116="下降トレンド▼"),"★強い売り",IF(T116&gt;=12,"★強い売り",IF(AND(T116&gt;=8,OR(AE116="25日戻り売り★",AE116="5日戻り売り○")),"◎戻り売り",IF(T116&gt;=10,"○売り候補",IF(T116&gt;=6,"△注目",IF(T116&gt;=3,"様子見","見送り"))))))))</f>
        <v>#VALUE!</v>
      </c>
      <c r="AG116">
        <f t="shared" si="36"/>
        <v>0</v>
      </c>
      <c r="AH116">
        <f t="shared" si="37"/>
        <v>0</v>
      </c>
      <c r="AI116" s="376">
        <f t="array" ref="AI116">IF(C116="","",IFERROR((INDEX(終値!$E:$E,MATCH(TEXT(C116,"0"),終値!$A:$A,0))-INDEX(終値!$E:$CZ,MATCH(TEXT(C116,"0"),終値!$A:$A,0),$AN$2))/INDEX(終値!$E:$CZ,MATCH(TEXT(C116,"0"),終値!$A:$A,0),$AN$2)*100,""))</f>
        <v>3.840924541128484</v>
      </c>
      <c r="AJ116" s="376">
        <f t="array" ref="AJ116">IFERROR((終値!$E$5-INDEX(終値!$E$5:$CZ$5,1,$AN$2))/INDEX(終値!$E$5:$CZ$5,1,$AN$2)*100,"")</f>
        <v>2.31989243802786</v>
      </c>
      <c r="AK116" s="377">
        <f t="shared" si="38"/>
        <v>1.521032103100624</v>
      </c>
      <c r="AL116" s="375">
        <f t="shared" si="39"/>
        <v>-1</v>
      </c>
      <c r="AO116" s="379" t="e">
        <f t="shared" si="40"/>
        <v>#VALUE!</v>
      </c>
      <c r="AP116" s="380" t="e">
        <f t="shared" si="41"/>
        <v>#VALUE!</v>
      </c>
      <c r="AQ116">
        <f>IF(C116&lt;&gt;"",始値!F171,"")</f>
        <v>3105</v>
      </c>
      <c r="AR116">
        <f>IF(C116&lt;&gt;"",高値!F171,"")</f>
        <v>3130</v>
      </c>
      <c r="AS116">
        <f>IF(C116&lt;&gt;"",安値!F171,"")</f>
        <v>3090</v>
      </c>
      <c r="AT116" t="str">
        <f t="shared" si="42"/>
        <v>通常</v>
      </c>
      <c r="AU116">
        <f t="shared" si="43"/>
        <v>0</v>
      </c>
    </row>
    <row r="117" spans="1:47" ht="14.25" customHeight="1">
      <c r="A117" s="327" t="str">
        <f>IF(銘柄管理!B176&lt;&gt;"",HYPERLINK("https://kabutan.jp/stock/?code="&amp;銘柄管理!B176,"株探"),"")</f>
        <v>株探</v>
      </c>
      <c r="B117" s="328"/>
      <c r="C117" s="477">
        <f>IF(銘柄管理!B176="","",銘柄管理!B176)</f>
        <v>1938</v>
      </c>
      <c r="D117" s="328" t="str">
        <f>IF(銘柄管理!C176="","",銘柄管理!C176)</f>
        <v/>
      </c>
      <c r="E117" s="329" t="str">
        <f>IF(C117&lt;&gt;"",_xll.RssMarket(C117,"現在値"),"")</f>
        <v/>
      </c>
      <c r="F117" s="329" t="str">
        <f>IF(C117&lt;&gt;"",_xll.RssMarket(C117,"始値"),"")</f>
        <v/>
      </c>
      <c r="G117" s="328">
        <f>IF(C117&lt;&gt;"",終値!F176,"")</f>
        <v>2588</v>
      </c>
      <c r="H117" s="329" t="str">
        <f>IF(C117&lt;&gt;"",_xll.RssMarket(C117,"高値"),"")</f>
        <v/>
      </c>
      <c r="I117" s="329" t="str">
        <f>IF(C117&lt;&gt;"",_xll.RssMarket(C117,"安値"),"")</f>
        <v/>
      </c>
      <c r="J117" s="329" t="str">
        <f>IF(C117&lt;&gt;"",_xll.RssMarket(C117,"出来高"),"")</f>
        <v/>
      </c>
      <c r="K117" s="329" t="str">
        <f>IF(C117&lt;&gt;"",_xll.RssMarket(C117,"年初来高値"),"")</f>
        <v/>
      </c>
      <c r="L117" s="330" t="str">
        <f t="shared" si="22"/>
        <v/>
      </c>
      <c r="M117" s="329">
        <f>IF(C117&lt;&gt;"",IFERROR(AVERAGE(出来高!E176:I176),""),"")</f>
        <v>84980</v>
      </c>
      <c r="N117" s="329">
        <f>IF(C117&lt;&gt;"",IFERROR(AVERAGE(出来高!E176:AC176),""),"")</f>
        <v>66524</v>
      </c>
      <c r="O117" s="331" t="str">
        <f t="shared" si="23"/>
        <v/>
      </c>
      <c r="P117" s="328" t="str">
        <f t="shared" si="24"/>
        <v/>
      </c>
      <c r="Q117" s="328" t="str">
        <f t="shared" si="25"/>
        <v/>
      </c>
      <c r="R117" s="329" t="str">
        <f t="shared" si="26"/>
        <v/>
      </c>
      <c r="S117" s="329" t="str">
        <f t="shared" si="27"/>
        <v/>
      </c>
      <c r="T117" s="328">
        <f t="shared" si="28"/>
        <v>0</v>
      </c>
      <c r="U117" s="328" t="str">
        <f t="shared" si="29"/>
        <v>除外</v>
      </c>
      <c r="V117" s="328" t="str">
        <f t="shared" si="30"/>
        <v/>
      </c>
      <c r="W117" s="332">
        <f t="array" ref="W117">IFERROR(100-100/(1+SUMPRODUCT((終値!F176:R176&gt;終値!G176:S176)*(終値!F176:R176-終値!G176:S176))/SUMPRODUCT((終値!F176:R176&lt;終値!G176:S176)*(終値!G176:S176-終値!F176:R176))),50)</f>
        <v>37.280701754385966</v>
      </c>
      <c r="X117" s="333">
        <f>IF(C117&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-26.495366961339187</v>
      </c>
      <c r="Y117" s="328" t="e">
        <f t="shared" si="31"/>
        <v>#VALUE!</v>
      </c>
      <c r="Z117" s="334" t="str">
        <f t="shared" si="32"/>
        <v/>
      </c>
      <c r="AA117" s="328" t="str">
        <f t="shared" si="33"/>
        <v/>
      </c>
      <c r="AB117" s="329">
        <f>IF(OR(C117="",C117="TOPX",終値!E176=""),"",IFERROR(((終値!E176*0.333)+(終値!F176*0.222)+(終値!G176*0.148)+(終値!H176*0.099)+(終値!I176*0.066))/(0.333+0.222+0.148+0.099+0.066),""))</f>
        <v>2534.0841013824884</v>
      </c>
      <c r="AC117" s="329">
        <f>IF(OR(C117="",C117="TOPX",終値!E176=""),"",IFERROR(SUMPRODUCT((終値!E176:AC176),{0.077,0.071,0.065,0.06,0.055,0.051,0.047,0.043,0.039,0.036,0.033,0.031,0.028,0.026,0.024,0.022,0.02,0.018,0.017,0.016,0.014,0.013,0.012,0.011,0.01})/SUM({0.077,0.071,0.065,0.06,0.055,0.051,0.047,0.043,0.039,0.036,0.033,0.031,0.028,0.026,0.024,0.022,0.02,0.018,0.017,0.016,0.014,0.013,0.012,0.011,0.01}),""))</f>
        <v>2633.5637663885564</v>
      </c>
      <c r="AD117" s="328" t="str">
        <f t="shared" si="34"/>
        <v>上昇トレンド▲</v>
      </c>
      <c r="AE117" s="328" t="e">
        <f t="shared" si="35"/>
        <v>#VALUE!</v>
      </c>
      <c r="AF117" t="e">
        <f>IF(T117="","",IF(銘柄管理!$F$5="上昇▲",IF(AND(AD117="下降トレンド▼",OR(AE117="25日戻り売り★",AE117="5日戻り売り○")),"★逆張り売り",IF(AND(AD117="もみ合い→",OR(AE117="25日戻り売り★",AE117="5日戻り売り○")),"○逆張り売り",IF(W117&gt;=70,IF(Z117&lt;0,"◎反落確認","△過熱・様子見"),"相場上昇・見送り"))),IF(AND(T117&gt;=12,AD117="下降トレンド▼"),"★強い売り",IF(T117&gt;=12,"★強い売り",IF(AND(T117&gt;=8,OR(AE117="25日戻り売り★",AE117="5日戻り売り○")),"◎戻り売り",IF(T117&gt;=10,"○売り候補",IF(T117&gt;=6,"△注目",IF(T117&gt;=3,"様子見","見送り"))))))))</f>
        <v>#VALUE!</v>
      </c>
      <c r="AG117">
        <f t="shared" si="36"/>
        <v>0</v>
      </c>
      <c r="AH117">
        <f t="shared" si="37"/>
        <v>0</v>
      </c>
      <c r="AI117" s="376">
        <f t="array" ref="AI117">IF(C117="","",IFERROR((INDEX(終値!$E:$E,MATCH(TEXT(C117,"0"),終値!$A:$A,0))-INDEX(終値!$E:$CZ,MATCH(TEXT(C117,"0"),終値!$A:$A,0),$AN$2))/INDEX(終値!$E:$CZ,MATCH(TEXT(C117,"0"),終値!$A:$A,0),$AN$2)*100,""))</f>
        <v>-8.7198515769944329</v>
      </c>
      <c r="AJ117" s="376">
        <f t="array" ref="AJ117">IFERROR((終値!$E$5-INDEX(終値!$E$5:$CZ$5,1,$AN$2))/INDEX(終値!$E$5:$CZ$5,1,$AN$2)*100,"")</f>
        <v>2.31989243802786</v>
      </c>
      <c r="AK117" s="377">
        <f t="shared" si="38"/>
        <v>-11.039744015022293</v>
      </c>
      <c r="AL117" s="375">
        <f t="shared" si="39"/>
        <v>3</v>
      </c>
      <c r="AO117" s="379" t="e">
        <f t="shared" si="40"/>
        <v>#VALUE!</v>
      </c>
      <c r="AP117" s="380" t="e">
        <f t="shared" si="41"/>
        <v>#VALUE!</v>
      </c>
      <c r="AQ117">
        <f>IF(C117&lt;&gt;"",始値!F176,"")</f>
        <v>2577</v>
      </c>
      <c r="AR117">
        <f>IF(C117&lt;&gt;"",高値!F176,"")</f>
        <v>2602</v>
      </c>
      <c r="AS117">
        <f>IF(C117&lt;&gt;"",安値!F176,"")</f>
        <v>2549</v>
      </c>
      <c r="AT117" t="str">
        <f t="shared" si="42"/>
        <v>通常</v>
      </c>
      <c r="AU117">
        <f t="shared" si="43"/>
        <v>0</v>
      </c>
    </row>
    <row r="118" spans="1:47" ht="14.25" customHeight="1">
      <c r="A118" s="335" t="str">
        <f>IF(銘柄管理!B179&lt;&gt;"",HYPERLINK("https://kabutan.jp/stock/?code="&amp;銘柄管理!B179,"株探"),"")</f>
        <v>株探</v>
      </c>
      <c r="B118" s="215"/>
      <c r="C118" s="478">
        <f>IF(銘柄管理!B179="","",銘柄管理!B179)</f>
        <v>5410</v>
      </c>
      <c r="D118" s="215" t="str">
        <f>IF(銘柄管理!C179="","",銘柄管理!C179)</f>
        <v/>
      </c>
      <c r="E118" s="336" t="str">
        <f>IF(C118&lt;&gt;"",_xll.RssMarket(C118,"現在値"),"")</f>
        <v/>
      </c>
      <c r="F118" s="336" t="str">
        <f>IF(C118&lt;&gt;"",_xll.RssMarket(C118,"始値"),"")</f>
        <v/>
      </c>
      <c r="G118" s="215">
        <f>IF(C118&lt;&gt;"",終値!F179,"")</f>
        <v>2693</v>
      </c>
      <c r="H118" s="336" t="str">
        <f>IF(C118&lt;&gt;"",_xll.RssMarket(C118,"高値"),"")</f>
        <v/>
      </c>
      <c r="I118" s="336" t="str">
        <f>IF(C118&lt;&gt;"",_xll.RssMarket(C118,"安値"),"")</f>
        <v/>
      </c>
      <c r="J118" s="336" t="str">
        <f>IF(C118&lt;&gt;"",_xll.RssMarket(C118,"出来高"),"")</f>
        <v/>
      </c>
      <c r="K118" s="336" t="str">
        <f>IF(C118&lt;&gt;"",_xll.RssMarket(C118,"年初来高値"),"")</f>
        <v/>
      </c>
      <c r="L118" s="337" t="str">
        <f t="shared" si="22"/>
        <v/>
      </c>
      <c r="M118" s="336">
        <f>IF(C118&lt;&gt;"",IFERROR(AVERAGE(出来高!E179:I179),""),"")</f>
        <v>86600</v>
      </c>
      <c r="N118" s="336">
        <f>IF(C118&lt;&gt;"",IFERROR(AVERAGE(出来高!E179:AC179),""),"")</f>
        <v>96960</v>
      </c>
      <c r="O118" s="338" t="str">
        <f t="shared" si="23"/>
        <v/>
      </c>
      <c r="P118" s="215" t="str">
        <f t="shared" si="24"/>
        <v/>
      </c>
      <c r="Q118" s="215" t="str">
        <f t="shared" si="25"/>
        <v/>
      </c>
      <c r="R118" s="336" t="str">
        <f t="shared" si="26"/>
        <v/>
      </c>
      <c r="S118" s="336" t="str">
        <f t="shared" si="27"/>
        <v/>
      </c>
      <c r="T118" s="328">
        <f t="shared" si="28"/>
        <v>0</v>
      </c>
      <c r="U118" s="215" t="str">
        <f t="shared" si="29"/>
        <v>除外</v>
      </c>
      <c r="V118" s="215" t="str">
        <f t="shared" si="30"/>
        <v/>
      </c>
      <c r="W118" s="339">
        <f t="array" ref="W118">IFERROR(100-100/(1+SUMPRODUCT((終値!F179:R179&gt;終値!G179:S179)*(終値!F179:R179-終値!G179:S179))/SUMPRODUCT((終値!F179:R179&lt;終値!G179:S179)*(終値!G179:S179-終値!F179:R179))),50)</f>
        <v>70.192307692307693</v>
      </c>
      <c r="X118" s="340">
        <f>IF(C118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13.642157467591005</v>
      </c>
      <c r="Y118" s="215" t="e">
        <f t="shared" si="31"/>
        <v>#VALUE!</v>
      </c>
      <c r="Z118" s="341" t="str">
        <f t="shared" si="32"/>
        <v/>
      </c>
      <c r="AA118" s="215" t="str">
        <f t="shared" si="33"/>
        <v/>
      </c>
      <c r="AB118" s="336">
        <f>IF(OR(C118="",C118="TOPX",終値!E179=""),"",IFERROR(((終値!E179*0.333)+(終値!F179*0.222)+(終値!G179*0.148)+(終値!H179*0.099)+(終値!I179*0.066))/(0.333+0.222+0.148+0.099+0.066),""))</f>
        <v>2683.1670506912437</v>
      </c>
      <c r="AC118" s="336">
        <f>IF(OR(C118="",C118="TOPX",終値!E179=""),"",IFERROR(SUMPRODUCT((終値!E179:AC179),{0.077,0.071,0.065,0.06,0.055,0.051,0.047,0.043,0.039,0.036,0.033,0.031,0.028,0.026,0.024,0.022,0.02,0.018,0.017,0.016,0.014,0.013,0.012,0.011,0.01})/SUM({0.077,0.071,0.065,0.06,0.055,0.051,0.047,0.043,0.039,0.036,0.033,0.031,0.028,0.026,0.024,0.022,0.02,0.018,0.017,0.016,0.014,0.013,0.012,0.011,0.01}),""))</f>
        <v>2641.9547079856961</v>
      </c>
      <c r="AD118" s="215" t="str">
        <f t="shared" si="34"/>
        <v>パーフェクト▲</v>
      </c>
      <c r="AE118" s="215" t="e">
        <f t="shared" si="35"/>
        <v>#VALUE!</v>
      </c>
      <c r="AF118" t="e">
        <f>IF(T118="","",IF(銘柄管理!$F$5="上昇▲",IF(AND(AD118="下降トレンド▼",OR(AE118="25日戻り売り★",AE118="5日戻り売り○")),"★逆張り売り",IF(AND(AD118="もみ合い→",OR(AE118="25日戻り売り★",AE118="5日戻り売り○")),"○逆張り売り",IF(W118&gt;=70,IF(Z118&lt;0,"◎反落確認","△過熱・様子見"),"相場上昇・見送り"))),IF(AND(T118&gt;=12,AD118="下降トレンド▼"),"★強い売り",IF(T118&gt;=12,"★強い売り",IF(AND(T118&gt;=8,OR(AE118="25日戻り売り★",AE118="5日戻り売り○")),"◎戻り売り",IF(T118&gt;=10,"○売り候補",IF(T118&gt;=6,"△注目",IF(T118&gt;=3,"様子見","見送り"))))))))</f>
        <v>#VALUE!</v>
      </c>
      <c r="AG118">
        <f t="shared" si="36"/>
        <v>0</v>
      </c>
      <c r="AH118">
        <f t="shared" si="37"/>
        <v>0</v>
      </c>
      <c r="AI118" s="376">
        <f t="array" ref="AI118">IF(C118="","",IFERROR((INDEX(終値!$E:$E,MATCH(TEXT(C118,"0"),終値!$A:$A,0))-INDEX(終値!$E:$CZ,MATCH(TEXT(C118,"0"),終値!$A:$A,0),$AN$2))/INDEX(終値!$E:$CZ,MATCH(TEXT(C118,"0"),終値!$A:$A,0),$AN$2)*100,""))</f>
        <v>5.6521739130434785</v>
      </c>
      <c r="AJ118" s="376">
        <f t="array" ref="AJ118">IFERROR((終値!$E$5-INDEX(終値!$E$5:$CZ$5,1,$AN$2))/INDEX(終値!$E$5:$CZ$5,1,$AN$2)*100,"")</f>
        <v>2.31989243802786</v>
      </c>
      <c r="AK118" s="377">
        <f t="shared" si="38"/>
        <v>3.3322814750156184</v>
      </c>
      <c r="AL118" s="375">
        <f t="shared" si="39"/>
        <v>-2</v>
      </c>
      <c r="AO118" s="379" t="e">
        <f t="shared" si="40"/>
        <v>#VALUE!</v>
      </c>
      <c r="AP118" s="380" t="e">
        <f t="shared" si="41"/>
        <v>#VALUE!</v>
      </c>
      <c r="AQ118">
        <f>IF(C118&lt;&gt;"",始値!F179,"")</f>
        <v>2697</v>
      </c>
      <c r="AR118">
        <f>IF(C118&lt;&gt;"",高値!F179,"")</f>
        <v>2713</v>
      </c>
      <c r="AS118">
        <f>IF(C118&lt;&gt;"",安値!F179,"")</f>
        <v>2673</v>
      </c>
      <c r="AT118" t="str">
        <f t="shared" si="42"/>
        <v>通常</v>
      </c>
      <c r="AU118">
        <f t="shared" si="43"/>
        <v>0</v>
      </c>
    </row>
    <row r="119" spans="1:47" ht="14.25" customHeight="1">
      <c r="A119" s="327" t="str">
        <f>IF(銘柄管理!B190&lt;&gt;"",HYPERLINK("https://kabutan.jp/stock/?code="&amp;銘柄管理!B190,"株探"),"")</f>
        <v>株探</v>
      </c>
      <c r="B119" s="328"/>
      <c r="C119" s="477" t="str">
        <f>IF(銘柄管理!B190="","",銘柄管理!B190)</f>
        <v>7181</v>
      </c>
      <c r="D119" s="328" t="str">
        <f>IF(銘柄管理!C190="","",銘柄管理!C190)</f>
        <v/>
      </c>
      <c r="E119" s="329" t="str">
        <f>IF(C119&lt;&gt;"",_xll.RssMarket(C119,"現在値"),"")</f>
        <v/>
      </c>
      <c r="F119" s="329" t="str">
        <f>IF(C119&lt;&gt;"",_xll.RssMarket(C119,"始値"),"")</f>
        <v/>
      </c>
      <c r="G119" s="328">
        <f>IF(C119&lt;&gt;"",終値!F190,"")</f>
        <v>1672.5</v>
      </c>
      <c r="H119" s="329" t="str">
        <f>IF(C119&lt;&gt;"",_xll.RssMarket(C119,"高値"),"")</f>
        <v/>
      </c>
      <c r="I119" s="329" t="str">
        <f>IF(C119&lt;&gt;"",_xll.RssMarket(C119,"安値"),"")</f>
        <v/>
      </c>
      <c r="J119" s="329" t="str">
        <f>IF(C119&lt;&gt;"",_xll.RssMarket(C119,"出来高"),"")</f>
        <v/>
      </c>
      <c r="K119" s="329" t="str">
        <f>IF(C119&lt;&gt;"",_xll.RssMarket(C119,"年初来高値"),"")</f>
        <v/>
      </c>
      <c r="L119" s="330" t="str">
        <f t="shared" si="22"/>
        <v/>
      </c>
      <c r="M119" s="329">
        <f>IF(C119&lt;&gt;"",IFERROR(AVERAGE(出来高!E190:I190),""),"")</f>
        <v>1803220</v>
      </c>
      <c r="N119" s="329">
        <f>IF(C119&lt;&gt;"",IFERROR(AVERAGE(出来高!E190:AC190),""),"")</f>
        <v>2246904</v>
      </c>
      <c r="O119" s="331" t="str">
        <f t="shared" si="23"/>
        <v/>
      </c>
      <c r="P119" s="328" t="str">
        <f t="shared" si="24"/>
        <v/>
      </c>
      <c r="Q119" s="328" t="str">
        <f t="shared" si="25"/>
        <v/>
      </c>
      <c r="R119" s="329" t="str">
        <f t="shared" si="26"/>
        <v/>
      </c>
      <c r="S119" s="329" t="str">
        <f t="shared" si="27"/>
        <v/>
      </c>
      <c r="T119" s="328">
        <f t="shared" si="28"/>
        <v>0</v>
      </c>
      <c r="U119" s="328" t="str">
        <f t="shared" si="29"/>
        <v>除外</v>
      </c>
      <c r="V119" s="328" t="str">
        <f t="shared" si="30"/>
        <v/>
      </c>
      <c r="W119" s="332">
        <f t="array" ref="W119">IFERROR(100-100/(1+SUMPRODUCT((終値!F190:R190&gt;終値!G190:S190)*(終値!F190:R190-終値!G190:S190))/SUMPRODUCT((終値!F190:R190&lt;終値!G190:S190)*(終値!G190:S190-終値!F190:R190))),50)</f>
        <v>83.389261744966447</v>
      </c>
      <c r="X119" s="333">
        <f>IF(C119&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20.255425113139381</v>
      </c>
      <c r="Y119" s="328" t="e">
        <f t="shared" si="31"/>
        <v>#VALUE!</v>
      </c>
      <c r="Z119" s="334" t="str">
        <f t="shared" si="32"/>
        <v/>
      </c>
      <c r="AA119" s="328" t="str">
        <f t="shared" si="33"/>
        <v/>
      </c>
      <c r="AB119" s="329">
        <f>IF(OR(C119="",C119="TOPX",終値!E190=""),"",IFERROR(((終値!E190*0.333)+(終値!F190*0.222)+(終値!G190*0.148)+(終値!H190*0.099)+(終値!I190*0.066))/(0.333+0.222+0.148+0.099+0.066),""))</f>
        <v>1636.3179723502303</v>
      </c>
      <c r="AC119" s="329">
        <f>IF(OR(C119="",C119="TOPX",終値!E190=""),"",IFERROR(SUMPRODUCT((終値!E190:AC190),{0.077,0.071,0.065,0.06,0.055,0.051,0.047,0.043,0.039,0.036,0.033,0.031,0.028,0.026,0.024,0.022,0.02,0.018,0.017,0.016,0.014,0.013,0.012,0.011,0.01})/SUM({0.077,0.071,0.065,0.06,0.055,0.051,0.047,0.043,0.039,0.036,0.033,0.031,0.028,0.026,0.024,0.022,0.02,0.018,0.017,0.016,0.014,0.013,0.012,0.011,0.01}),""))</f>
        <v>1591.3194278903447</v>
      </c>
      <c r="AD119" s="328" t="str">
        <f t="shared" si="34"/>
        <v>パーフェクト▲</v>
      </c>
      <c r="AE119" s="328" t="e">
        <f t="shared" si="35"/>
        <v>#VALUE!</v>
      </c>
      <c r="AF119" t="e">
        <f>IF(T119="","",IF(銘柄管理!$F$5="上昇▲",IF(AND(AD119="下降トレンド▼",OR(AE119="25日戻り売り★",AE119="5日戻り売り○")),"★逆張り売り",IF(AND(AD119="もみ合い→",OR(AE119="25日戻り売り★",AE119="5日戻り売り○")),"○逆張り売り",IF(W119&gt;=70,IF(Z119&lt;0,"◎反落確認","△過熱・様子見"),"相場上昇・見送り"))),IF(AND(T119&gt;=12,AD119="下降トレンド▼"),"★強い売り",IF(T119&gt;=12,"★強い売り",IF(AND(T119&gt;=8,OR(AE119="25日戻り売り★",AE119="5日戻り売り○")),"◎戻り売り",IF(T119&gt;=10,"○売り候補",IF(T119&gt;=6,"△注目",IF(T119&gt;=3,"様子見","見送り"))))))))</f>
        <v>#VALUE!</v>
      </c>
      <c r="AG119">
        <f t="shared" si="36"/>
        <v>0</v>
      </c>
      <c r="AH119">
        <f t="shared" si="37"/>
        <v>0</v>
      </c>
      <c r="AI119" s="376">
        <f t="array" ref="AI119">IF(C119="","",IFERROR((INDEX(終値!$E:$E,MATCH(TEXT(C119,"0"),終値!$A:$A,0))-INDEX(終値!$E:$CZ,MATCH(TEXT(C119,"0"),終値!$A:$A,0),$AN$2))/INDEX(終値!$E:$CZ,MATCH(TEXT(C119,"0"),終値!$A:$A,0),$AN$2)*100,""))</f>
        <v>10.687285223367697</v>
      </c>
      <c r="AJ119" s="376">
        <f t="array" ref="AJ119">IFERROR((終値!$E$5-INDEX(終値!$E$5:$CZ$5,1,$AN$2))/INDEX(終値!$E$5:$CZ$5,1,$AN$2)*100,"")</f>
        <v>2.31989243802786</v>
      </c>
      <c r="AK119" s="377">
        <f t="shared" si="38"/>
        <v>8.3673927853398364</v>
      </c>
      <c r="AL119" s="375">
        <f t="shared" si="39"/>
        <v>-2</v>
      </c>
      <c r="AO119" s="379" t="e">
        <f t="shared" si="40"/>
        <v>#VALUE!</v>
      </c>
      <c r="AP119" s="380" t="e">
        <f t="shared" si="41"/>
        <v>#VALUE!</v>
      </c>
      <c r="AQ119">
        <f>IF(C119&lt;&gt;"",始値!F190,"")</f>
        <v>1671</v>
      </c>
      <c r="AR119">
        <f>IF(C119&lt;&gt;"",高値!F190,"")</f>
        <v>1674.5</v>
      </c>
      <c r="AS119">
        <f>IF(C119&lt;&gt;"",安値!F190,"")</f>
        <v>1647</v>
      </c>
      <c r="AT119" t="str">
        <f t="shared" si="42"/>
        <v>長い下ヒゲ(反発)</v>
      </c>
      <c r="AU119">
        <f t="shared" si="43"/>
        <v>-2</v>
      </c>
    </row>
    <row r="120" spans="1:47" ht="14.25" customHeight="1">
      <c r="A120" s="335" t="str">
        <f>IF(銘柄管理!B197&lt;&gt;"",HYPERLINK("https://kabutan.jp/stock/?code="&amp;銘柄管理!B197,"株探"),"")</f>
        <v>株探</v>
      </c>
      <c r="B120" s="215"/>
      <c r="C120" s="478">
        <f>IF(銘柄管理!B197="","",銘柄管理!B197)</f>
        <v>6146</v>
      </c>
      <c r="D120" s="215" t="str">
        <f>IF(銘柄管理!C197="","",銘柄管理!C197)</f>
        <v/>
      </c>
      <c r="E120" s="336" t="str">
        <f>IF(C120&lt;&gt;"",_xll.RssMarket(C120,"現在値"),"")</f>
        <v/>
      </c>
      <c r="F120" s="336" t="str">
        <f>IF(C120&lt;&gt;"",_xll.RssMarket(C120,"始値"),"")</f>
        <v/>
      </c>
      <c r="G120" s="215">
        <f>IF(C120&lt;&gt;"",終値!F197,"")</f>
        <v>73550</v>
      </c>
      <c r="H120" s="336" t="str">
        <f>IF(C120&lt;&gt;"",_xll.RssMarket(C120,"高値"),"")</f>
        <v/>
      </c>
      <c r="I120" s="336" t="str">
        <f>IF(C120&lt;&gt;"",_xll.RssMarket(C120,"安値"),"")</f>
        <v/>
      </c>
      <c r="J120" s="336" t="str">
        <f>IF(C120&lt;&gt;"",_xll.RssMarket(C120,"出来高"),"")</f>
        <v/>
      </c>
      <c r="K120" s="336" t="str">
        <f>IF(C120&lt;&gt;"",_xll.RssMarket(C120,"年初来高値"),"")</f>
        <v/>
      </c>
      <c r="L120" s="337" t="str">
        <f t="shared" si="22"/>
        <v/>
      </c>
      <c r="M120" s="336">
        <f>IF(C120&lt;&gt;"",IFERROR(AVERAGE(出来高!E197:I197),""),"")</f>
        <v>1308180</v>
      </c>
      <c r="N120" s="336">
        <f>IF(C120&lt;&gt;"",IFERROR(AVERAGE(出来高!E197:AC197),""),"")</f>
        <v>1788772</v>
      </c>
      <c r="O120" s="338" t="str">
        <f t="shared" si="23"/>
        <v/>
      </c>
      <c r="P120" s="215" t="str">
        <f t="shared" si="24"/>
        <v/>
      </c>
      <c r="Q120" s="215" t="str">
        <f t="shared" si="25"/>
        <v/>
      </c>
      <c r="R120" s="336" t="str">
        <f t="shared" si="26"/>
        <v/>
      </c>
      <c r="S120" s="336" t="str">
        <f t="shared" si="27"/>
        <v/>
      </c>
      <c r="T120" s="328">
        <f t="shared" si="28"/>
        <v>0</v>
      </c>
      <c r="U120" s="215" t="str">
        <f t="shared" si="29"/>
        <v>除外</v>
      </c>
      <c r="V120" s="215" t="str">
        <f t="shared" si="30"/>
        <v/>
      </c>
      <c r="W120" s="339">
        <f t="array" ref="W120">IFERROR(100-100/(1+SUMPRODUCT((終値!F197:R197&gt;終値!G197:S197)*(終値!F197:R197-終値!G197:S197))/SUMPRODUCT((終値!F197:R197&lt;終値!G197:S197)*(終値!G197:S197-終値!F197:R197))),50)</f>
        <v>34.956395348837219</v>
      </c>
      <c r="X120" s="340">
        <f>IF(C120&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-1604.3127261292684</v>
      </c>
      <c r="Y120" s="215" t="e">
        <f t="shared" si="31"/>
        <v>#VALUE!</v>
      </c>
      <c r="Z120" s="341" t="str">
        <f t="shared" si="32"/>
        <v/>
      </c>
      <c r="AA120" s="215" t="str">
        <f t="shared" si="33"/>
        <v/>
      </c>
      <c r="AB120" s="336">
        <f>IF(OR(C120="",C120="TOPX",終値!E197=""),"",IFERROR(((終値!E197*0.333)+(終値!F197*0.222)+(終値!G197*0.148)+(終値!H197*0.099)+(終値!I197*0.066))/(0.333+0.222+0.148+0.099+0.066),""))</f>
        <v>69480.564516129016</v>
      </c>
      <c r="AC120" s="336">
        <f>IF(OR(C120="",C120="TOPX",終値!E197=""),"",IFERROR(SUMPRODUCT((終値!E197:AC197),{0.077,0.071,0.065,0.06,0.055,0.051,0.047,0.043,0.039,0.036,0.033,0.031,0.028,0.026,0.024,0.022,0.02,0.018,0.017,0.016,0.014,0.013,0.012,0.011,0.01})/SUM({0.077,0.071,0.065,0.06,0.055,0.051,0.047,0.043,0.039,0.036,0.033,0.031,0.028,0.026,0.024,0.022,0.02,0.018,0.017,0.016,0.014,0.013,0.012,0.011,0.01}),""))</f>
        <v>75302.514898688882</v>
      </c>
      <c r="AD120" s="215" t="str">
        <f t="shared" si="34"/>
        <v>上昇トレンド▲</v>
      </c>
      <c r="AE120" s="215" t="e">
        <f t="shared" si="35"/>
        <v>#VALUE!</v>
      </c>
      <c r="AF120" t="e">
        <f>IF(T120="","",IF(銘柄管理!$F$5="上昇▲",IF(AND(AD120="下降トレンド▼",OR(AE120="25日戻り売り★",AE120="5日戻り売り○")),"★逆張り売り",IF(AND(AD120="もみ合い→",OR(AE120="25日戻り売り★",AE120="5日戻り売り○")),"○逆張り売り",IF(W120&gt;=70,IF(Z120&lt;0,"◎反落確認","△過熱・様子見"),"相場上昇・見送り"))),IF(AND(T120&gt;=12,AD120="下降トレンド▼"),"★強い売り",IF(T120&gt;=12,"★強い売り",IF(AND(T120&gt;=8,OR(AE120="25日戻り売り★",AE120="5日戻り売り○")),"◎戻り売り",IF(T120&gt;=10,"○売り候補",IF(T120&gt;=6,"△注目",IF(T120&gt;=3,"様子見","見送り"))))))))</f>
        <v>#VALUE!</v>
      </c>
      <c r="AG120">
        <f t="shared" si="36"/>
        <v>0</v>
      </c>
      <c r="AH120">
        <f t="shared" si="37"/>
        <v>0</v>
      </c>
      <c r="AI120" s="376">
        <f t="array" ref="AI120">IF(C120="","",IFERROR((INDEX(終値!$E:$E,MATCH(TEXT(C120,"0"),終値!$A:$A,0))-INDEX(終値!$E:$CZ,MATCH(TEXT(C120,"0"),終値!$A:$A,0),$AN$2))/INDEX(終値!$E:$CZ,MATCH(TEXT(C120,"0"),終値!$A:$A,0),$AN$2)*100,""))</f>
        <v>-7.5363973736797023</v>
      </c>
      <c r="AJ120" s="376">
        <f t="array" ref="AJ120">IFERROR((終値!$E$5-INDEX(終値!$E$5:$CZ$5,1,$AN$2))/INDEX(終値!$E$5:$CZ$5,1,$AN$2)*100,"")</f>
        <v>2.31989243802786</v>
      </c>
      <c r="AK120" s="377">
        <f t="shared" si="38"/>
        <v>-9.8562898117075619</v>
      </c>
      <c r="AL120" s="375">
        <f t="shared" si="39"/>
        <v>3</v>
      </c>
      <c r="AO120" s="379" t="e">
        <f t="shared" si="40"/>
        <v>#VALUE!</v>
      </c>
      <c r="AP120" s="380" t="e">
        <f t="shared" si="41"/>
        <v>#VALUE!</v>
      </c>
      <c r="AQ120">
        <f>IF(C120&lt;&gt;"",始値!F197,"")</f>
        <v>72150</v>
      </c>
      <c r="AR120">
        <f>IF(C120&lt;&gt;"",高値!F197,"")</f>
        <v>74240</v>
      </c>
      <c r="AS120">
        <f>IF(C120&lt;&gt;"",安値!F197,"")</f>
        <v>71480</v>
      </c>
      <c r="AT120" t="str">
        <f t="shared" si="42"/>
        <v>通常</v>
      </c>
      <c r="AU120">
        <f t="shared" si="43"/>
        <v>0</v>
      </c>
    </row>
    <row r="121" spans="1:47" ht="14.25" customHeight="1">
      <c r="A121" s="327" t="str">
        <f>IF(銘柄管理!B208&lt;&gt;"",HYPERLINK("https://kabutan.jp/stock/?code="&amp;銘柄管理!B208,"株探"),"")</f>
        <v>株探</v>
      </c>
      <c r="B121" s="328"/>
      <c r="C121" s="477">
        <f>IF(銘柄管理!B208="","",銘柄管理!B208)</f>
        <v>1812</v>
      </c>
      <c r="D121" s="328" t="str">
        <f>IF(銘柄管理!C208="","",銘柄管理!C208)</f>
        <v/>
      </c>
      <c r="E121" s="329" t="str">
        <f>IF(C121&lt;&gt;"",_xll.RssMarket(C121,"現在値"),"")</f>
        <v/>
      </c>
      <c r="F121" s="329" t="str">
        <f>IF(C121&lt;&gt;"",_xll.RssMarket(C121,"始値"),"")</f>
        <v/>
      </c>
      <c r="G121" s="328">
        <f>IF(C121&lt;&gt;"",終値!F208,"")</f>
        <v>5715</v>
      </c>
      <c r="H121" s="329" t="str">
        <f>IF(C121&lt;&gt;"",_xll.RssMarket(C121,"高値"),"")</f>
        <v/>
      </c>
      <c r="I121" s="329" t="str">
        <f>IF(C121&lt;&gt;"",_xll.RssMarket(C121,"安値"),"")</f>
        <v/>
      </c>
      <c r="J121" s="329" t="str">
        <f>IF(C121&lt;&gt;"",_xll.RssMarket(C121,"出来高"),"")</f>
        <v/>
      </c>
      <c r="K121" s="329" t="str">
        <f>IF(C121&lt;&gt;"",_xll.RssMarket(C121,"年初来高値"),"")</f>
        <v/>
      </c>
      <c r="L121" s="330" t="str">
        <f t="shared" si="22"/>
        <v/>
      </c>
      <c r="M121" s="329">
        <f>IF(C121&lt;&gt;"",IFERROR(AVERAGE(出来高!E208:I208),""),"")</f>
        <v>1595400</v>
      </c>
      <c r="N121" s="329">
        <f>IF(C121&lt;&gt;"",IFERROR(AVERAGE(出来高!E208:AC208),""),"")</f>
        <v>1855620</v>
      </c>
      <c r="O121" s="331" t="str">
        <f t="shared" si="23"/>
        <v/>
      </c>
      <c r="P121" s="328" t="str">
        <f t="shared" si="24"/>
        <v/>
      </c>
      <c r="Q121" s="328" t="str">
        <f t="shared" si="25"/>
        <v/>
      </c>
      <c r="R121" s="329" t="str">
        <f t="shared" si="26"/>
        <v/>
      </c>
      <c r="S121" s="329" t="str">
        <f t="shared" si="27"/>
        <v/>
      </c>
      <c r="T121" s="328">
        <f t="shared" si="28"/>
        <v>0</v>
      </c>
      <c r="U121" s="328" t="str">
        <f t="shared" si="29"/>
        <v>除外</v>
      </c>
      <c r="V121" s="328" t="str">
        <f t="shared" si="30"/>
        <v/>
      </c>
      <c r="W121" s="332">
        <f t="array" ref="W121">IFERROR(100-100/(1+SUMPRODUCT((終値!F208:R208&gt;終値!G208:S208)*(終値!F208:R208-終値!G208:S208))/SUMPRODUCT((終値!F208:R208&lt;終値!G208:S208)*(終値!G208:S208-終値!F208:R208))),50)</f>
        <v>51.629254163649534</v>
      </c>
      <c r="X121" s="333">
        <f>IF(C121&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-7.995494330099973</v>
      </c>
      <c r="Y121" s="328" t="e">
        <f t="shared" si="31"/>
        <v>#VALUE!</v>
      </c>
      <c r="Z121" s="334" t="str">
        <f t="shared" si="32"/>
        <v/>
      </c>
      <c r="AA121" s="328" t="str">
        <f t="shared" si="33"/>
        <v/>
      </c>
      <c r="AB121" s="329">
        <f>IF(OR(C121="",C121="TOPX",終値!E208=""),"",IFERROR(((終値!E208*0.333)+(終値!F208*0.222)+(終値!G208*0.148)+(終値!H208*0.099)+(終値!I208*0.066))/(0.333+0.222+0.148+0.099+0.066),""))</f>
        <v>5608.5103686635939</v>
      </c>
      <c r="AC121" s="329">
        <f>IF(OR(C121="",C121="TOPX",終値!E208=""),"",IFERROR(SUMPRODUCT((終値!E208:AC208),{0.077,0.071,0.065,0.06,0.055,0.051,0.047,0.043,0.039,0.036,0.033,0.031,0.028,0.026,0.024,0.022,0.02,0.018,0.017,0.016,0.014,0.013,0.012,0.011,0.01})/SUM({0.077,0.071,0.065,0.06,0.055,0.051,0.047,0.043,0.039,0.036,0.033,0.031,0.028,0.026,0.024,0.022,0.02,0.018,0.017,0.016,0.014,0.013,0.012,0.011,0.01}),""))</f>
        <v>5777.9725864123948</v>
      </c>
      <c r="AD121" s="328" t="str">
        <f t="shared" si="34"/>
        <v>上昇トレンド▲</v>
      </c>
      <c r="AE121" s="328" t="e">
        <f t="shared" si="35"/>
        <v>#VALUE!</v>
      </c>
      <c r="AF121" t="e">
        <f>IF(T121="","",IF(銘柄管理!$F$5="上昇▲",IF(AND(AD121="下降トレンド▼",OR(AE121="25日戻り売り★",AE121="5日戻り売り○")),"★逆張り売り",IF(AND(AD121="もみ合い→",OR(AE121="25日戻り売り★",AE121="5日戻り売り○")),"○逆張り売り",IF(W121&gt;=70,IF(Z121&lt;0,"◎反落確認","△過熱・様子見"),"相場上昇・見送り"))),IF(AND(T121&gt;=12,AD121="下降トレンド▼"),"★強い売り",IF(T121&gt;=12,"★強い売り",IF(AND(T121&gt;=8,OR(AE121="25日戻り売り★",AE121="5日戻り売り○")),"◎戻り売り",IF(T121&gt;=10,"○売り候補",IF(T121&gt;=6,"△注目",IF(T121&gt;=3,"様子見","見送り"))))))))</f>
        <v>#VALUE!</v>
      </c>
      <c r="AG121">
        <f t="shared" si="36"/>
        <v>0</v>
      </c>
      <c r="AH121">
        <f t="shared" si="37"/>
        <v>0</v>
      </c>
      <c r="AI121" s="376">
        <f t="array" ref="AI121">IF(C121="","",IFERROR((INDEX(終値!$E:$E,MATCH(TEXT(C121,"0"),終値!$A:$A,0))-INDEX(終値!$E:$CZ,MATCH(TEXT(C121,"0"),終値!$A:$A,0),$AN$2))/INDEX(終値!$E:$CZ,MATCH(TEXT(C121,"0"),終値!$A:$A,0),$AN$2)*100,""))</f>
        <v>2.467074754219996</v>
      </c>
      <c r="AJ121" s="376">
        <f t="array" ref="AJ121">IFERROR((終値!$E$5-INDEX(終値!$E$5:$CZ$5,1,$AN$2))/INDEX(終値!$E$5:$CZ$5,1,$AN$2)*100,"")</f>
        <v>2.31989243802786</v>
      </c>
      <c r="AK121" s="377">
        <f t="shared" si="38"/>
        <v>0.14718231619213595</v>
      </c>
      <c r="AL121" s="375">
        <f t="shared" si="39"/>
        <v>-1</v>
      </c>
      <c r="AO121" s="379" t="e">
        <f t="shared" si="40"/>
        <v>#VALUE!</v>
      </c>
      <c r="AP121" s="380" t="e">
        <f t="shared" si="41"/>
        <v>#VALUE!</v>
      </c>
      <c r="AQ121">
        <f>IF(C121&lt;&gt;"",始値!F208,"")</f>
        <v>5618</v>
      </c>
      <c r="AR121">
        <f>IF(C121&lt;&gt;"",高値!F208,"")</f>
        <v>5726</v>
      </c>
      <c r="AS121">
        <f>IF(C121&lt;&gt;"",安値!F208,"")</f>
        <v>5600</v>
      </c>
      <c r="AT121" t="str">
        <f t="shared" si="42"/>
        <v>通常</v>
      </c>
      <c r="AU121">
        <f t="shared" si="43"/>
        <v>0</v>
      </c>
    </row>
    <row r="122" spans="1:47" ht="14.25" customHeight="1">
      <c r="A122" s="335" t="str">
        <f>IF(銘柄管理!B18&lt;&gt;"",HYPERLINK("https://kabutan.jp/stock/?code="&amp;銘柄管理!B18,"株探"),"")</f>
        <v>株探</v>
      </c>
      <c r="B122" s="215"/>
      <c r="C122" s="478">
        <f>IF(銘柄管理!B18="","",銘柄管理!B18)</f>
        <v>1662</v>
      </c>
      <c r="D122" s="215" t="str">
        <f>IF(銘柄管理!C18="","",銘柄管理!C18)</f>
        <v/>
      </c>
      <c r="E122" s="336" t="str">
        <f>IF(C122&lt;&gt;"",_xll.RssMarket(C122,"現在値"),"")</f>
        <v/>
      </c>
      <c r="F122" s="336" t="str">
        <f>IF(C122&lt;&gt;"",_xll.RssMarket(C122,"始値"),"")</f>
        <v/>
      </c>
      <c r="G122" s="215">
        <f>IF(C122&lt;&gt;"",終値!F18,"")</f>
        <v>1705</v>
      </c>
      <c r="H122" s="336" t="str">
        <f>IF(C122&lt;&gt;"",_xll.RssMarket(C122,"高値"),"")</f>
        <v/>
      </c>
      <c r="I122" s="336" t="str">
        <f>IF(C122&lt;&gt;"",_xll.RssMarket(C122,"安値"),"")</f>
        <v/>
      </c>
      <c r="J122" s="336" t="str">
        <f>IF(C122&lt;&gt;"",_xll.RssMarket(C122,"出来高"),"")</f>
        <v/>
      </c>
      <c r="K122" s="336" t="str">
        <f>IF(C122&lt;&gt;"",_xll.RssMarket(C122,"年初来高値"),"")</f>
        <v/>
      </c>
      <c r="L122" s="337" t="str">
        <f t="shared" si="22"/>
        <v/>
      </c>
      <c r="M122" s="336">
        <f>IF(C122&lt;&gt;"",IFERROR(AVERAGE(出来高!E18:I18),""),"")</f>
        <v>1478140</v>
      </c>
      <c r="N122" s="336">
        <f>IF(C122&lt;&gt;"",IFERROR(AVERAGE(出来高!E18:AC18),""),"")</f>
        <v>1361648</v>
      </c>
      <c r="O122" s="338" t="str">
        <f t="shared" si="23"/>
        <v/>
      </c>
      <c r="P122" s="215" t="str">
        <f t="shared" si="24"/>
        <v/>
      </c>
      <c r="Q122" s="215" t="str">
        <f t="shared" si="25"/>
        <v/>
      </c>
      <c r="R122" s="336" t="str">
        <f t="shared" si="26"/>
        <v/>
      </c>
      <c r="S122" s="336" t="str">
        <f t="shared" si="27"/>
        <v/>
      </c>
      <c r="T122" s="328">
        <f t="shared" si="28"/>
        <v>0</v>
      </c>
      <c r="U122" s="215" t="str">
        <f t="shared" si="29"/>
        <v>除外</v>
      </c>
      <c r="V122" s="215" t="str">
        <f t="shared" si="30"/>
        <v/>
      </c>
      <c r="W122" s="339">
        <f t="array" ref="W122">IFERROR(100-100/(1+SUMPRODUCT((終値!F18:R18&gt;終値!G18:S18)*(終値!F18:R18-終値!G18:S18))/SUMPRODUCT((終値!F18:R18&lt;終値!G18:S18)*(終値!G18:S18-終値!F18:R18))),50)</f>
        <v>71.935483870967744</v>
      </c>
      <c r="X122" s="340">
        <f>IF(C122&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8.5506091808999827</v>
      </c>
      <c r="Y122" s="215" t="e">
        <f t="shared" si="31"/>
        <v>#VALUE!</v>
      </c>
      <c r="Z122" s="341" t="str">
        <f t="shared" si="32"/>
        <v/>
      </c>
      <c r="AA122" s="215" t="str">
        <f t="shared" si="33"/>
        <v/>
      </c>
      <c r="AB122" s="336">
        <f>IF(OR(C122="",C122="TOPX",終値!E18=""),"",IFERROR(((終値!E18*0.333)+(終値!F18*0.222)+(終値!G18*0.148)+(終値!H18*0.099)+(終値!I18*0.066))/(0.333+0.222+0.148+0.099+0.066),""))</f>
        <v>1685.7972350230414</v>
      </c>
      <c r="AC122" s="336">
        <f>IF(OR(C122="",C122="TOPX",終値!E18=""),"",IFERROR(SUMPRODUCT((終値!E18:AC18),{0.077,0.071,0.065,0.06,0.055,0.051,0.047,0.043,0.039,0.036,0.033,0.031,0.028,0.026,0.024,0.022,0.02,0.018,0.017,0.016,0.014,0.013,0.012,0.011,0.01})/SUM({0.077,0.071,0.065,0.06,0.055,0.051,0.047,0.043,0.039,0.036,0.033,0.031,0.028,0.026,0.024,0.022,0.02,0.018,0.017,0.016,0.014,0.013,0.012,0.011,0.01}),""))</f>
        <v>1652.9713945172814</v>
      </c>
      <c r="AD122" s="215" t="str">
        <f t="shared" si="34"/>
        <v>パーフェクト▲</v>
      </c>
      <c r="AE122" s="215" t="e">
        <f t="shared" si="35"/>
        <v>#VALUE!</v>
      </c>
      <c r="AF122" t="e">
        <f>IF(T122="","",IF(銘柄管理!$F$5="上昇▲",IF(AND(AD122="下降トレンド▼",OR(AE122="25日戻り売り★",AE122="5日戻り売り○")),"★逆張り売り",IF(AND(AD122="もみ合い→",OR(AE122="25日戻り売り★",AE122="5日戻り売り○")),"○逆張り売り",IF(W122&gt;=70,IF(Z122&lt;0,"◎反落確認","△過熱・様子見"),"相場上昇・見送り"))),IF(AND(T122&gt;=12,AD122="下降トレンド▼"),"★強い売り",IF(T122&gt;=12,"★強い売り",IF(AND(T122&gt;=8,OR(AE122="25日戻り売り★",AE122="5日戻り売り○")),"◎戻り売り",IF(T122&gt;=10,"○売り候補",IF(T122&gt;=6,"△注目",IF(T122&gt;=3,"様子見","見送り"))))))))</f>
        <v>#VALUE!</v>
      </c>
      <c r="AG122">
        <f t="shared" si="36"/>
        <v>0</v>
      </c>
      <c r="AH122">
        <f t="shared" si="37"/>
        <v>0</v>
      </c>
      <c r="AI122" s="376">
        <f t="array" ref="AI122">IF(C122="","",IFERROR((INDEX(終値!$E:$E,MATCH(TEXT(C122,"0"),終値!$A:$A,0))-INDEX(終値!$E:$CZ,MATCH(TEXT(C122,"0"),終値!$A:$A,0),$AN$2))/INDEX(終値!$E:$CZ,MATCH(TEXT(C122,"0"),終値!$A:$A,0),$AN$2)*100,""))</f>
        <v>-4.0369088811995386</v>
      </c>
      <c r="AJ122" s="376">
        <f t="array" ref="AJ122">IFERROR((終値!$E$5-INDEX(終値!$E$5:$CZ$5,1,$AN$2))/INDEX(終値!$E$5:$CZ$5,1,$AN$2)*100,"")</f>
        <v>2.31989243802786</v>
      </c>
      <c r="AK122" s="377">
        <f t="shared" si="38"/>
        <v>-6.3568013192273991</v>
      </c>
      <c r="AL122" s="375">
        <f t="shared" si="39"/>
        <v>3</v>
      </c>
      <c r="AO122" s="379" t="e">
        <f t="shared" si="40"/>
        <v>#VALUE!</v>
      </c>
      <c r="AP122" s="380" t="e">
        <f t="shared" si="41"/>
        <v>#VALUE!</v>
      </c>
      <c r="AQ122">
        <f>IF(C122&lt;&gt;"",始値!F18,"")</f>
        <v>1728</v>
      </c>
      <c r="AR122">
        <f>IF(C122&lt;&gt;"",高値!F18,"")</f>
        <v>1739</v>
      </c>
      <c r="AS122">
        <f>IF(C122&lt;&gt;"",安値!F18,"")</f>
        <v>1691</v>
      </c>
      <c r="AT122" t="str">
        <f t="shared" si="42"/>
        <v>通常</v>
      </c>
      <c r="AU122">
        <f t="shared" si="43"/>
        <v>0</v>
      </c>
    </row>
    <row r="123" spans="1:47" ht="14.25" customHeight="1">
      <c r="A123" s="327" t="str">
        <f>IF(銘柄管理!B41&lt;&gt;"",HYPERLINK("https://kabutan.jp/stock/?code="&amp;銘柄管理!B41,"株探"),"")</f>
        <v>株探</v>
      </c>
      <c r="B123" s="328"/>
      <c r="C123" s="477">
        <f>IF(銘柄管理!B41="","",銘柄管理!B41)</f>
        <v>3861</v>
      </c>
      <c r="D123" s="328" t="str">
        <f>IF(銘柄管理!C41="","",銘柄管理!C41)</f>
        <v/>
      </c>
      <c r="E123" s="329" t="str">
        <f>IF(C123&lt;&gt;"",_xll.RssMarket(C123,"現在値"),"")</f>
        <v/>
      </c>
      <c r="F123" s="329" t="str">
        <f>IF(C123&lt;&gt;"",_xll.RssMarket(C123,"始値"),"")</f>
        <v/>
      </c>
      <c r="G123" s="328">
        <f>IF(C123&lt;&gt;"",終値!F41,"")</f>
        <v>827.5</v>
      </c>
      <c r="H123" s="329" t="str">
        <f>IF(C123&lt;&gt;"",_xll.RssMarket(C123,"高値"),"")</f>
        <v/>
      </c>
      <c r="I123" s="329" t="str">
        <f>IF(C123&lt;&gt;"",_xll.RssMarket(C123,"安値"),"")</f>
        <v/>
      </c>
      <c r="J123" s="329" t="str">
        <f>IF(C123&lt;&gt;"",_xll.RssMarket(C123,"出来高"),"")</f>
        <v/>
      </c>
      <c r="K123" s="329" t="str">
        <f>IF(C123&lt;&gt;"",_xll.RssMarket(C123,"年初来高値"),"")</f>
        <v/>
      </c>
      <c r="L123" s="330" t="str">
        <f t="shared" si="22"/>
        <v/>
      </c>
      <c r="M123" s="329">
        <f>IF(C123&lt;&gt;"",IFERROR(AVERAGE(出来高!E41:I41),""),"")</f>
        <v>2881000</v>
      </c>
      <c r="N123" s="329">
        <f>IF(C123&lt;&gt;"",IFERROR(AVERAGE(出来高!E41:AC41),""),"")</f>
        <v>4083156</v>
      </c>
      <c r="O123" s="331" t="str">
        <f t="shared" si="23"/>
        <v/>
      </c>
      <c r="P123" s="328" t="str">
        <f t="shared" si="24"/>
        <v/>
      </c>
      <c r="Q123" s="328" t="str">
        <f t="shared" si="25"/>
        <v/>
      </c>
      <c r="R123" s="329" t="str">
        <f t="shared" si="26"/>
        <v/>
      </c>
      <c r="S123" s="329" t="str">
        <f t="shared" si="27"/>
        <v/>
      </c>
      <c r="T123" s="328">
        <f t="shared" si="28"/>
        <v>0</v>
      </c>
      <c r="U123" s="328" t="str">
        <f t="shared" si="29"/>
        <v>除外</v>
      </c>
      <c r="V123" s="328" t="str">
        <f t="shared" si="30"/>
        <v/>
      </c>
      <c r="W123" s="332">
        <f t="array" ref="W123">IFERROR(100-100/(1+SUMPRODUCT((終値!F41:R41&gt;終値!G41:S41)*(終値!F41:R41-終値!G41:S41))/SUMPRODUCT((終値!F41:R41&lt;終値!G41:S41)*(終値!G41:S41-終値!F41:R41))),50)</f>
        <v>73.858921161825762</v>
      </c>
      <c r="X123" s="333">
        <f>IF(C123&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5.4107855468303114</v>
      </c>
      <c r="Y123" s="328" t="e">
        <f t="shared" si="31"/>
        <v>#VALUE!</v>
      </c>
      <c r="Z123" s="334" t="str">
        <f t="shared" si="32"/>
        <v/>
      </c>
      <c r="AA123" s="328" t="str">
        <f t="shared" si="33"/>
        <v/>
      </c>
      <c r="AB123" s="329">
        <f>IF(OR(C123="",C123="TOPX",終値!E41=""),"",IFERROR(((終値!E41*0.333)+(終値!F41*0.222)+(終値!G41*0.148)+(終値!H41*0.099)+(終値!I41*0.066))/(0.333+0.222+0.148+0.099+0.066),""))</f>
        <v>828.57511520737319</v>
      </c>
      <c r="AC123" s="329">
        <f>IF(OR(C123="",C123="TOPX",終値!E41=""),"",IFERROR(SUMPRODUCT((終値!E41:AC41),{0.077,0.071,0.065,0.06,0.055,0.051,0.047,0.043,0.039,0.036,0.033,0.031,0.028,0.026,0.024,0.022,0.02,0.018,0.017,0.016,0.014,0.013,0.012,0.011,0.01})/SUM({0.077,0.071,0.065,0.06,0.055,0.051,0.047,0.043,0.039,0.036,0.033,0.031,0.028,0.026,0.024,0.022,0.02,0.018,0.017,0.016,0.014,0.013,0.012,0.011,0.01}),""))</f>
        <v>812.83825983313432</v>
      </c>
      <c r="AD123" s="328" t="str">
        <f t="shared" si="34"/>
        <v>パーフェクト▲</v>
      </c>
      <c r="AE123" s="328" t="e">
        <f t="shared" si="35"/>
        <v>#VALUE!</v>
      </c>
      <c r="AF123" t="e">
        <f>IF(T123="","",IF(銘柄管理!$F$5="上昇▲",IF(AND(AD123="下降トレンド▼",OR(AE123="25日戻り売り★",AE123="5日戻り売り○")),"★逆張り売り",IF(AND(AD123="もみ合い→",OR(AE123="25日戻り売り★",AE123="5日戻り売り○")),"○逆張り売り",IF(W123&gt;=70,IF(Z123&lt;0,"◎反落確認","△過熱・様子見"),"相場上昇・見送り"))),IF(AND(T123&gt;=12,AD123="下降トレンド▼"),"★強い売り",IF(T123&gt;=12,"★強い売り",IF(AND(T123&gt;=8,OR(AE123="25日戻り売り★",AE123="5日戻り売り○")),"◎戻り売り",IF(T123&gt;=10,"○売り候補",IF(T123&gt;=6,"△注目",IF(T123&gt;=3,"様子見","見送り"))))))))</f>
        <v>#VALUE!</v>
      </c>
      <c r="AG123">
        <f t="shared" si="36"/>
        <v>0</v>
      </c>
      <c r="AH123">
        <f t="shared" si="37"/>
        <v>0</v>
      </c>
      <c r="AI123" s="376">
        <f t="array" ref="AI123">IF(C123="","",IFERROR((INDEX(終値!$E:$E,MATCH(TEXT(C123,"0"),終値!$A:$A,0))-INDEX(終値!$E:$CZ,MATCH(TEXT(C123,"0"),終値!$A:$A,0),$AN$2))/INDEX(終値!$E:$CZ,MATCH(TEXT(C123,"0"),終値!$A:$A,0),$AN$2)*100,""))</f>
        <v>7.2636433512682466</v>
      </c>
      <c r="AJ123" s="376">
        <f t="array" ref="AJ123">IFERROR((終値!$E$5-INDEX(終値!$E$5:$CZ$5,1,$AN$2))/INDEX(終値!$E$5:$CZ$5,1,$AN$2)*100,"")</f>
        <v>2.31989243802786</v>
      </c>
      <c r="AK123" s="377">
        <f t="shared" si="38"/>
        <v>4.9437509132403861</v>
      </c>
      <c r="AL123" s="375">
        <f t="shared" si="39"/>
        <v>-2</v>
      </c>
      <c r="AO123" s="379" t="e">
        <f t="shared" si="40"/>
        <v>#VALUE!</v>
      </c>
      <c r="AP123" s="380" t="e">
        <f t="shared" si="41"/>
        <v>#VALUE!</v>
      </c>
      <c r="AQ123">
        <f>IF(C123&lt;&gt;"",始値!F41,"")</f>
        <v>830</v>
      </c>
      <c r="AR123">
        <f>IF(C123&lt;&gt;"",高値!F41,"")</f>
        <v>831.5</v>
      </c>
      <c r="AS123">
        <f>IF(C123&lt;&gt;"",安値!F41,"")</f>
        <v>821</v>
      </c>
      <c r="AT123" t="str">
        <f t="shared" si="42"/>
        <v>長い下ヒゲ(反発)</v>
      </c>
      <c r="AU123">
        <f t="shared" si="43"/>
        <v>-2</v>
      </c>
    </row>
    <row r="124" spans="1:47" ht="14.25" customHeight="1">
      <c r="A124" s="335" t="str">
        <f>IF(銘柄管理!B64&lt;&gt;"",HYPERLINK("https://kabutan.jp/stock/?code="&amp;銘柄管理!B64,"株探"),"")</f>
        <v>株探</v>
      </c>
      <c r="B124" s="215"/>
      <c r="C124" s="478">
        <f>IF(銘柄管理!B64="","",銘柄管理!B64)</f>
        <v>4540</v>
      </c>
      <c r="D124" s="215" t="str">
        <f>IF(銘柄管理!C64="","",銘柄管理!C64)</f>
        <v/>
      </c>
      <c r="E124" s="336" t="str">
        <f>IF(C124&lt;&gt;"",_xll.RssMarket(C124,"現在値"),"")</f>
        <v/>
      </c>
      <c r="F124" s="336" t="str">
        <f>IF(C124&lt;&gt;"",_xll.RssMarket(C124,"始値"),"")</f>
        <v/>
      </c>
      <c r="G124" s="215">
        <f>IF(C124&lt;&gt;"",終値!F64,"")</f>
        <v>3855</v>
      </c>
      <c r="H124" s="336" t="str">
        <f>IF(C124&lt;&gt;"",_xll.RssMarket(C124,"高値"),"")</f>
        <v/>
      </c>
      <c r="I124" s="336" t="str">
        <f>IF(C124&lt;&gt;"",_xll.RssMarket(C124,"安値"),"")</f>
        <v/>
      </c>
      <c r="J124" s="336" t="str">
        <f>IF(C124&lt;&gt;"",_xll.RssMarket(C124,"出来高"),"")</f>
        <v/>
      </c>
      <c r="K124" s="336" t="str">
        <f>IF(C124&lt;&gt;"",_xll.RssMarket(C124,"年初来高値"),"")</f>
        <v/>
      </c>
      <c r="L124" s="337" t="str">
        <f t="shared" si="22"/>
        <v/>
      </c>
      <c r="M124" s="336">
        <f>IF(C124&lt;&gt;"",IFERROR(AVERAGE(出来高!E64:I64),""),"")</f>
        <v>336640</v>
      </c>
      <c r="N124" s="336">
        <f>IF(C124&lt;&gt;"",IFERROR(AVERAGE(出来高!E64:AC64),""),"")</f>
        <v>294132</v>
      </c>
      <c r="O124" s="338" t="str">
        <f t="shared" si="23"/>
        <v/>
      </c>
      <c r="P124" s="215" t="str">
        <f t="shared" si="24"/>
        <v/>
      </c>
      <c r="Q124" s="215" t="str">
        <f t="shared" si="25"/>
        <v/>
      </c>
      <c r="R124" s="336" t="str">
        <f t="shared" si="26"/>
        <v/>
      </c>
      <c r="S124" s="336" t="str">
        <f t="shared" si="27"/>
        <v/>
      </c>
      <c r="T124" s="328">
        <f t="shared" si="28"/>
        <v>0</v>
      </c>
      <c r="U124" s="215" t="str">
        <f t="shared" si="29"/>
        <v>除外</v>
      </c>
      <c r="V124" s="215" t="str">
        <f t="shared" si="30"/>
        <v/>
      </c>
      <c r="W124" s="339">
        <f t="array" ref="W124">IFERROR(100-100/(1+SUMPRODUCT((終値!F64:R64&gt;終値!G64:S64)*(終値!F64:R64-終値!G64:S64))/SUMPRODUCT((終値!F64:R64&lt;終値!G64:S64)*(終値!G64:S64-終値!F64:R64))),50)</f>
        <v>74.382716049382722</v>
      </c>
      <c r="X124" s="340">
        <f>IF(C124&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15.405092362253981</v>
      </c>
      <c r="Y124" s="215" t="e">
        <f t="shared" si="31"/>
        <v>#VALUE!</v>
      </c>
      <c r="Z124" s="341" t="str">
        <f t="shared" si="32"/>
        <v/>
      </c>
      <c r="AA124" s="215" t="str">
        <f t="shared" si="33"/>
        <v/>
      </c>
      <c r="AB124" s="336">
        <f>IF(OR(C124="",C124="TOPX",終値!E64=""),"",IFERROR(((終値!E64*0.333)+(終値!F64*0.222)+(終値!G64*0.148)+(終値!H64*0.099)+(終値!I64*0.066))/(0.333+0.222+0.148+0.099+0.066),""))</f>
        <v>3852.5679723502299</v>
      </c>
      <c r="AC124" s="336">
        <f>IF(OR(C124="",C124="TOPX",終値!E64=""),"",IFERROR(SUMPRODUCT((終値!E64:AC64),{0.077,0.071,0.065,0.06,0.055,0.051,0.047,0.043,0.039,0.036,0.033,0.031,0.028,0.026,0.024,0.022,0.02,0.018,0.017,0.016,0.014,0.013,0.012,0.011,0.01})/SUM({0.077,0.071,0.065,0.06,0.055,0.051,0.047,0.043,0.039,0.036,0.033,0.031,0.028,0.026,0.024,0.022,0.02,0.018,0.017,0.016,0.014,0.013,0.012,0.011,0.01}),""))</f>
        <v>3787.5423122765183</v>
      </c>
      <c r="AD124" s="215" t="str">
        <f t="shared" si="34"/>
        <v>パーフェクト▲</v>
      </c>
      <c r="AE124" s="215" t="e">
        <f t="shared" si="35"/>
        <v>#VALUE!</v>
      </c>
      <c r="AF124" t="e">
        <f>IF(T124="","",IF(銘柄管理!$F$5="上昇▲",IF(AND(AD124="下降トレンド▼",OR(AE124="25日戻り売り★",AE124="5日戻り売り○")),"★逆張り売り",IF(AND(AD124="もみ合い→",OR(AE124="25日戻り売り★",AE124="5日戻り売り○")),"○逆張り売り",IF(W124&gt;=70,IF(Z124&lt;0,"◎反落確認","△過熱・様子見"),"相場上昇・見送り"))),IF(AND(T124&gt;=12,AD124="下降トレンド▼"),"★強い売り",IF(T124&gt;=12,"★強い売り",IF(AND(T124&gt;=8,OR(AE124="25日戻り売り★",AE124="5日戻り売り○")),"◎戻り売り",IF(T124&gt;=10,"○売り候補",IF(T124&gt;=6,"△注目",IF(T124&gt;=3,"様子見","見送り"))))))))</f>
        <v>#VALUE!</v>
      </c>
      <c r="AG124">
        <f t="shared" si="36"/>
        <v>0</v>
      </c>
      <c r="AH124">
        <f t="shared" si="37"/>
        <v>0</v>
      </c>
      <c r="AI124" s="376">
        <f t="array" ref="AI124">IF(C124="","",IFERROR((INDEX(終値!$E:$E,MATCH(TEXT(C124,"0"),終値!$A:$A,0))-INDEX(終値!$E:$CZ,MATCH(TEXT(C124,"0"),終値!$A:$A,0),$AN$2))/INDEX(終値!$E:$CZ,MATCH(TEXT(C124,"0"),終値!$A:$A,0),$AN$2)*100,""))</f>
        <v>3.6618201400107702</v>
      </c>
      <c r="AJ124" s="376">
        <f t="array" ref="AJ124">IFERROR((終値!$E$5-INDEX(終値!$E$5:$CZ$5,1,$AN$2))/INDEX(終値!$E$5:$CZ$5,1,$AN$2)*100,"")</f>
        <v>2.31989243802786</v>
      </c>
      <c r="AK124" s="377">
        <f t="shared" si="38"/>
        <v>1.3419277019829101</v>
      </c>
      <c r="AL124" s="375">
        <f t="shared" si="39"/>
        <v>-1</v>
      </c>
      <c r="AO124" s="379" t="e">
        <f t="shared" si="40"/>
        <v>#VALUE!</v>
      </c>
      <c r="AP124" s="380" t="e">
        <f t="shared" si="41"/>
        <v>#VALUE!</v>
      </c>
      <c r="AQ124">
        <f>IF(C124&lt;&gt;"",始値!F64,"")</f>
        <v>3879</v>
      </c>
      <c r="AR124">
        <f>IF(C124&lt;&gt;"",高値!F64,"")</f>
        <v>3883</v>
      </c>
      <c r="AS124">
        <f>IF(C124&lt;&gt;"",安値!F64,"")</f>
        <v>3848</v>
      </c>
      <c r="AT124" t="str">
        <f t="shared" si="42"/>
        <v>通常</v>
      </c>
      <c r="AU124">
        <f t="shared" si="43"/>
        <v>0</v>
      </c>
    </row>
    <row r="125" spans="1:47" ht="14.25" customHeight="1">
      <c r="A125" s="327" t="str">
        <f>IF(銘柄管理!B67&lt;&gt;"",HYPERLINK("https://kabutan.jp/stock/?code="&amp;銘柄管理!B67,"株探"),"")</f>
        <v>株探</v>
      </c>
      <c r="B125" s="328"/>
      <c r="C125" s="477">
        <f>IF(銘柄管理!B67="","",銘柄管理!B67)</f>
        <v>4536</v>
      </c>
      <c r="D125" s="328" t="str">
        <f>IF(銘柄管理!C67="","",銘柄管理!C67)</f>
        <v/>
      </c>
      <c r="E125" s="329" t="str">
        <f>IF(C125&lt;&gt;"",_xll.RssMarket(C125,"現在値"),"")</f>
        <v/>
      </c>
      <c r="F125" s="329" t="str">
        <f>IF(C125&lt;&gt;"",_xll.RssMarket(C125,"始値"),"")</f>
        <v/>
      </c>
      <c r="G125" s="328">
        <f>IF(C125&lt;&gt;"",終値!F67,"")</f>
        <v>2101</v>
      </c>
      <c r="H125" s="329" t="str">
        <f>IF(C125&lt;&gt;"",_xll.RssMarket(C125,"高値"),"")</f>
        <v/>
      </c>
      <c r="I125" s="329" t="str">
        <f>IF(C125&lt;&gt;"",_xll.RssMarket(C125,"安値"),"")</f>
        <v/>
      </c>
      <c r="J125" s="329" t="str">
        <f>IF(C125&lt;&gt;"",_xll.RssMarket(C125,"出来高"),"")</f>
        <v/>
      </c>
      <c r="K125" s="329" t="str">
        <f>IF(C125&lt;&gt;"",_xll.RssMarket(C125,"年初来高値"),"")</f>
        <v/>
      </c>
      <c r="L125" s="330" t="str">
        <f t="shared" si="22"/>
        <v/>
      </c>
      <c r="M125" s="329">
        <f>IF(C125&lt;&gt;"",IFERROR(AVERAGE(出来高!E67:I67),""),"")</f>
        <v>1131800</v>
      </c>
      <c r="N125" s="329">
        <f>IF(C125&lt;&gt;"",IFERROR(AVERAGE(出来高!E67:AC67),""),"")</f>
        <v>1241680</v>
      </c>
      <c r="O125" s="331" t="str">
        <f t="shared" si="23"/>
        <v/>
      </c>
      <c r="P125" s="328" t="str">
        <f t="shared" si="24"/>
        <v/>
      </c>
      <c r="Q125" s="328" t="str">
        <f t="shared" si="25"/>
        <v/>
      </c>
      <c r="R125" s="329" t="str">
        <f t="shared" si="26"/>
        <v/>
      </c>
      <c r="S125" s="329" t="str">
        <f t="shared" si="27"/>
        <v/>
      </c>
      <c r="T125" s="328">
        <f t="shared" si="28"/>
        <v>0</v>
      </c>
      <c r="U125" s="328" t="str">
        <f t="shared" si="29"/>
        <v>除外</v>
      </c>
      <c r="V125" s="328" t="str">
        <f t="shared" si="30"/>
        <v/>
      </c>
      <c r="W125" s="332">
        <f t="array" ref="W125">IFERROR(100-100/(1+SUMPRODUCT((終値!F67:R67&gt;終値!G67:S67)*(終値!F67:R67-終値!G67:S67))/SUMPRODUCT((終値!F67:R67&lt;終値!G67:S67)*(終値!G67:S67-終値!F67:R67))),50)</f>
        <v>45.559210526315788</v>
      </c>
      <c r="X125" s="333">
        <f>IF(C125&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15.502735443144502</v>
      </c>
      <c r="Y125" s="328" t="e">
        <f t="shared" si="31"/>
        <v>#VALUE!</v>
      </c>
      <c r="Z125" s="334" t="str">
        <f t="shared" si="32"/>
        <v/>
      </c>
      <c r="AA125" s="328" t="str">
        <f t="shared" si="33"/>
        <v/>
      </c>
      <c r="AB125" s="329">
        <f>IF(OR(C125="",C125="TOPX",終値!E67=""),"",IFERROR(((終値!E67*0.333)+(終値!F67*0.222)+(終値!G67*0.148)+(終値!H67*0.099)+(終値!I67*0.066))/(0.333+0.222+0.148+0.099+0.066),""))</f>
        <v>2091.2782258064517</v>
      </c>
      <c r="AC125" s="329">
        <f>IF(OR(C125="",C125="TOPX",終値!E67=""),"",IFERROR(SUMPRODUCT((終値!E67:AC67),{0.077,0.071,0.065,0.06,0.055,0.051,0.047,0.043,0.039,0.036,0.033,0.031,0.028,0.026,0.024,0.022,0.02,0.018,0.017,0.016,0.014,0.013,0.012,0.011,0.01})/SUM({0.077,0.071,0.065,0.06,0.055,0.051,0.047,0.043,0.039,0.036,0.033,0.031,0.028,0.026,0.024,0.022,0.02,0.018,0.017,0.016,0.014,0.013,0.012,0.011,0.01}),""))</f>
        <v>2104.7848629320611</v>
      </c>
      <c r="AD125" s="328" t="str">
        <f t="shared" si="34"/>
        <v>上昇トレンド▲</v>
      </c>
      <c r="AE125" s="328" t="e">
        <f t="shared" si="35"/>
        <v>#VALUE!</v>
      </c>
      <c r="AF125" t="e">
        <f>IF(T125="","",IF(銘柄管理!$F$5="上昇▲",IF(AND(AD125="下降トレンド▼",OR(AE125="25日戻り売り★",AE125="5日戻り売り○")),"★逆張り売り",IF(AND(AD125="もみ合い→",OR(AE125="25日戻り売り★",AE125="5日戻り売り○")),"○逆張り売り",IF(W125&gt;=70,IF(Z125&lt;0,"◎反落確認","△過熱・様子見"),"相場上昇・見送り"))),IF(AND(T125&gt;=12,AD125="下降トレンド▼"),"★強い売り",IF(T125&gt;=12,"★強い売り",IF(AND(T125&gt;=8,OR(AE125="25日戻り売り★",AE125="5日戻り売り○")),"◎戻り売り",IF(T125&gt;=10,"○売り候補",IF(T125&gt;=6,"△注目",IF(T125&gt;=3,"様子見","見送り"))))))))</f>
        <v>#VALUE!</v>
      </c>
      <c r="AG125">
        <f t="shared" si="36"/>
        <v>0</v>
      </c>
      <c r="AH125">
        <f t="shared" si="37"/>
        <v>0</v>
      </c>
      <c r="AI125" s="376">
        <f t="array" ref="AI125">IF(C125="","",IFERROR((INDEX(終値!$E:$E,MATCH(TEXT(C125,"0"),終値!$A:$A,0))-INDEX(終値!$E:$CZ,MATCH(TEXT(C125,"0"),終値!$A:$A,0),$AN$2))/INDEX(終値!$E:$CZ,MATCH(TEXT(C125,"0"),終値!$A:$A,0),$AN$2)*100,""))</f>
        <v>4.5291709314227226</v>
      </c>
      <c r="AJ125" s="376">
        <f t="array" ref="AJ125">IFERROR((終値!$E$5-INDEX(終値!$E$5:$CZ$5,1,$AN$2))/INDEX(終値!$E$5:$CZ$5,1,$AN$2)*100,"")</f>
        <v>2.31989243802786</v>
      </c>
      <c r="AK125" s="377">
        <f t="shared" si="38"/>
        <v>2.2092784933948626</v>
      </c>
      <c r="AL125" s="375">
        <f t="shared" si="39"/>
        <v>-1</v>
      </c>
      <c r="AO125" s="379" t="e">
        <f t="shared" si="40"/>
        <v>#VALUE!</v>
      </c>
      <c r="AP125" s="380" t="e">
        <f t="shared" si="41"/>
        <v>#VALUE!</v>
      </c>
      <c r="AQ125">
        <f>IF(C125&lt;&gt;"",始値!F67,"")</f>
        <v>2131</v>
      </c>
      <c r="AR125">
        <f>IF(C125&lt;&gt;"",高値!F67,"")</f>
        <v>2132</v>
      </c>
      <c r="AS125">
        <f>IF(C125&lt;&gt;"",安値!F67,"")</f>
        <v>2095</v>
      </c>
      <c r="AT125" t="str">
        <f t="shared" si="42"/>
        <v>大陰線▼</v>
      </c>
      <c r="AU125">
        <f t="shared" si="43"/>
        <v>2</v>
      </c>
    </row>
    <row r="126" spans="1:47" ht="14.25" customHeight="1">
      <c r="A126" s="335" t="str">
        <f>IF(銘柄管理!B91&lt;&gt;"",HYPERLINK("https://kabutan.jp/stock/?code="&amp;銘柄管理!B91,"株探"),"")</f>
        <v>株探</v>
      </c>
      <c r="B126" s="215"/>
      <c r="C126" s="478">
        <f>IF(銘柄管理!B91="","",銘柄管理!B91)</f>
        <v>6501</v>
      </c>
      <c r="D126" s="215" t="str">
        <f>IF(銘柄管理!C91="","",銘柄管理!C91)</f>
        <v/>
      </c>
      <c r="E126" s="336" t="str">
        <f>IF(C126&lt;&gt;"",_xll.RssMarket(C126,"現在値"),"")</f>
        <v/>
      </c>
      <c r="F126" s="336" t="str">
        <f>IF(C126&lt;&gt;"",_xll.RssMarket(C126,"始値"),"")</f>
        <v/>
      </c>
      <c r="G126" s="215">
        <f>IF(C126&lt;&gt;"",終値!F91,"")</f>
        <v>4796</v>
      </c>
      <c r="H126" s="336" t="str">
        <f>IF(C126&lt;&gt;"",_xll.RssMarket(C126,"高値"),"")</f>
        <v/>
      </c>
      <c r="I126" s="336" t="str">
        <f>IF(C126&lt;&gt;"",_xll.RssMarket(C126,"安値"),"")</f>
        <v/>
      </c>
      <c r="J126" s="336" t="str">
        <f>IF(C126&lt;&gt;"",_xll.RssMarket(C126,"出来高"),"")</f>
        <v/>
      </c>
      <c r="K126" s="336" t="str">
        <f>IF(C126&lt;&gt;"",_xll.RssMarket(C126,"年初来高値"),"")</f>
        <v/>
      </c>
      <c r="L126" s="337" t="str">
        <f t="shared" si="22"/>
        <v/>
      </c>
      <c r="M126" s="336">
        <f>IF(C126&lt;&gt;"",IFERROR(AVERAGE(出来高!E91:I91),""),"")</f>
        <v>11138520</v>
      </c>
      <c r="N126" s="336">
        <f>IF(C126&lt;&gt;"",IFERROR(AVERAGE(出来高!E91:AC91),""),"")</f>
        <v>12633204</v>
      </c>
      <c r="O126" s="338" t="str">
        <f t="shared" si="23"/>
        <v/>
      </c>
      <c r="P126" s="215" t="str">
        <f t="shared" si="24"/>
        <v/>
      </c>
      <c r="Q126" s="215" t="str">
        <f t="shared" si="25"/>
        <v/>
      </c>
      <c r="R126" s="336" t="str">
        <f t="shared" si="26"/>
        <v/>
      </c>
      <c r="S126" s="336" t="str">
        <f t="shared" si="27"/>
        <v/>
      </c>
      <c r="T126" s="328">
        <f t="shared" si="28"/>
        <v>0</v>
      </c>
      <c r="U126" s="215" t="str">
        <f t="shared" si="29"/>
        <v>除外</v>
      </c>
      <c r="V126" s="215" t="str">
        <f t="shared" si="30"/>
        <v/>
      </c>
      <c r="W126" s="339">
        <f t="array" ref="W126">IFERROR(100-100/(1+SUMPRODUCT((終値!F91:R91&gt;終値!G91:S91)*(終値!F91:R91-終値!G91:S91))/SUMPRODUCT((終値!F91:R91&lt;終値!G91:S91)*(終値!G91:S91-終値!F91:R91))),50)</f>
        <v>66.047745358090182</v>
      </c>
      <c r="X126" s="340">
        <f>IF(C126&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11.914322617110884</v>
      </c>
      <c r="Y126" s="215" t="e">
        <f t="shared" si="31"/>
        <v>#VALUE!</v>
      </c>
      <c r="Z126" s="341" t="str">
        <f t="shared" si="32"/>
        <v/>
      </c>
      <c r="AA126" s="215" t="str">
        <f t="shared" si="33"/>
        <v/>
      </c>
      <c r="AB126" s="336">
        <f>IF(OR(C126="",C126="TOPX",終値!E91=""),"",IFERROR(((終値!E91*0.333)+(終値!F91*0.222)+(終値!G91*0.148)+(終値!H91*0.099)+(終値!I91*0.066))/(0.333+0.222+0.148+0.099+0.066),""))</f>
        <v>4750.2914746543765</v>
      </c>
      <c r="AC126" s="336">
        <f>IF(OR(C126="",C126="TOPX",終値!E91=""),"",IFERROR(SUMPRODUCT((終値!E91:AC91),{0.077,0.071,0.065,0.06,0.055,0.051,0.047,0.043,0.039,0.036,0.033,0.031,0.028,0.026,0.024,0.022,0.02,0.018,0.017,0.016,0.014,0.013,0.012,0.011,0.01})/SUM({0.077,0.071,0.065,0.06,0.055,0.051,0.047,0.043,0.039,0.036,0.033,0.031,0.028,0.026,0.024,0.022,0.02,0.018,0.017,0.016,0.014,0.013,0.012,0.011,0.01}),""))</f>
        <v>4702.3539928486271</v>
      </c>
      <c r="AD126" s="215" t="str">
        <f t="shared" si="34"/>
        <v>パーフェクト▲</v>
      </c>
      <c r="AE126" s="215" t="e">
        <f t="shared" si="35"/>
        <v>#VALUE!</v>
      </c>
      <c r="AF126" t="e">
        <f>IF(T126="","",IF(銘柄管理!$F$5="上昇▲",IF(AND(AD126="下降トレンド▼",OR(AE126="25日戻り売り★",AE126="5日戻り売り○")),"★逆張り売り",IF(AND(AD126="もみ合い→",OR(AE126="25日戻り売り★",AE126="5日戻り売り○")),"○逆張り売り",IF(W126&gt;=70,IF(Z126&lt;0,"◎反落確認","△過熱・様子見"),"相場上昇・見送り"))),IF(AND(T126&gt;=12,AD126="下降トレンド▼"),"★強い売り",IF(T126&gt;=12,"★強い売り",IF(AND(T126&gt;=8,OR(AE126="25日戻り売り★",AE126="5日戻り売り○")),"◎戻り売り",IF(T126&gt;=10,"○売り候補",IF(T126&gt;=6,"△注目",IF(T126&gt;=3,"様子見","見送り"))))))))</f>
        <v>#VALUE!</v>
      </c>
      <c r="AG126">
        <f t="shared" si="36"/>
        <v>0</v>
      </c>
      <c r="AH126">
        <f t="shared" si="37"/>
        <v>0</v>
      </c>
      <c r="AI126" s="376">
        <f t="array" ref="AI126">IF(C126="","",IFERROR((INDEX(終値!$E:$E,MATCH(TEXT(C126,"0"),終値!$A:$A,0))-INDEX(終値!$E:$CZ,MATCH(TEXT(C126,"0"),終値!$A:$A,0),$AN$2))/INDEX(終値!$E:$CZ,MATCH(TEXT(C126,"0"),終値!$A:$A,0),$AN$2)*100,""))</f>
        <v>-6.2413039157225203</v>
      </c>
      <c r="AJ126" s="376">
        <f t="array" ref="AJ126">IFERROR((終値!$E$5-INDEX(終値!$E$5:$CZ$5,1,$AN$2))/INDEX(終値!$E$5:$CZ$5,1,$AN$2)*100,"")</f>
        <v>2.31989243802786</v>
      </c>
      <c r="AK126" s="377">
        <f t="shared" si="38"/>
        <v>-8.5611963537503808</v>
      </c>
      <c r="AL126" s="375">
        <f t="shared" si="39"/>
        <v>3</v>
      </c>
      <c r="AO126" s="379" t="e">
        <f t="shared" si="40"/>
        <v>#VALUE!</v>
      </c>
      <c r="AP126" s="380" t="e">
        <f t="shared" si="41"/>
        <v>#VALUE!</v>
      </c>
      <c r="AQ126">
        <f>IF(C126&lt;&gt;"",始値!F91,"")</f>
        <v>4795</v>
      </c>
      <c r="AR126">
        <f>IF(C126&lt;&gt;"",高値!F91,"")</f>
        <v>4812</v>
      </c>
      <c r="AS126">
        <f>IF(C126&lt;&gt;"",安値!F91,"")</f>
        <v>4651</v>
      </c>
      <c r="AT126" t="str">
        <f t="shared" si="42"/>
        <v>長い下ヒゲ(反発)</v>
      </c>
      <c r="AU126">
        <f t="shared" si="43"/>
        <v>-2</v>
      </c>
    </row>
    <row r="127" spans="1:47" ht="14.25" customHeight="1">
      <c r="A127" s="327" t="str">
        <f>IF(銘柄管理!B95&lt;&gt;"",HYPERLINK("https://kabutan.jp/stock/?code="&amp;銘柄管理!B95,"株探"),"")</f>
        <v>株探</v>
      </c>
      <c r="B127" s="328"/>
      <c r="C127" s="477">
        <f>IF(銘柄管理!B95="","",銘柄管理!B95)</f>
        <v>4008</v>
      </c>
      <c r="D127" s="328" t="str">
        <f>IF(銘柄管理!C95="","",銘柄管理!C95)</f>
        <v/>
      </c>
      <c r="E127" s="329" t="str">
        <f>IF(C127&lt;&gt;"",_xll.RssMarket(C127,"現在値"),"")</f>
        <v/>
      </c>
      <c r="F127" s="329" t="str">
        <f>IF(C127&lt;&gt;"",_xll.RssMarket(C127,"始値"),"")</f>
        <v/>
      </c>
      <c r="G127" s="328">
        <f>IF(C127&lt;&gt;"",終値!F95,"")</f>
        <v>1314</v>
      </c>
      <c r="H127" s="329" t="str">
        <f>IF(C127&lt;&gt;"",_xll.RssMarket(C127,"高値"),"")</f>
        <v/>
      </c>
      <c r="I127" s="329" t="str">
        <f>IF(C127&lt;&gt;"",_xll.RssMarket(C127,"安値"),"")</f>
        <v/>
      </c>
      <c r="J127" s="329" t="str">
        <f>IF(C127&lt;&gt;"",_xll.RssMarket(C127,"出来高"),"")</f>
        <v/>
      </c>
      <c r="K127" s="329" t="str">
        <f>IF(C127&lt;&gt;"",_xll.RssMarket(C127,"年初来高値"),"")</f>
        <v/>
      </c>
      <c r="L127" s="330" t="str">
        <f t="shared" si="22"/>
        <v/>
      </c>
      <c r="M127" s="329">
        <f>IF(C127&lt;&gt;"",IFERROR(AVERAGE(出来高!E95:I95),""),"")</f>
        <v>157600</v>
      </c>
      <c r="N127" s="329">
        <f>IF(C127&lt;&gt;"",IFERROR(AVERAGE(出来高!E95:AC95),""),"")</f>
        <v>175152</v>
      </c>
      <c r="O127" s="331" t="str">
        <f t="shared" si="23"/>
        <v/>
      </c>
      <c r="P127" s="328" t="str">
        <f t="shared" si="24"/>
        <v/>
      </c>
      <c r="Q127" s="328" t="str">
        <f t="shared" si="25"/>
        <v/>
      </c>
      <c r="R127" s="329" t="str">
        <f t="shared" si="26"/>
        <v/>
      </c>
      <c r="S127" s="329" t="str">
        <f t="shared" si="27"/>
        <v/>
      </c>
      <c r="T127" s="328">
        <f t="shared" si="28"/>
        <v>0</v>
      </c>
      <c r="U127" s="328" t="str">
        <f t="shared" si="29"/>
        <v>除外</v>
      </c>
      <c r="V127" s="328" t="str">
        <f t="shared" si="30"/>
        <v/>
      </c>
      <c r="W127" s="332">
        <f t="array" ref="W127">IFERROR(100-100/(1+SUMPRODUCT((終値!F95:R95&gt;終値!G95:S95)*(終値!F95:R95-終値!G95:S95))/SUMPRODUCT((終値!F95:R95&lt;終値!G95:S95)*(終値!G95:S95-終値!F95:R95))),50)</f>
        <v>53.795379537953799</v>
      </c>
      <c r="X127" s="333">
        <f>IF(C127&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-0.88402676336045261</v>
      </c>
      <c r="Y127" s="328" t="e">
        <f t="shared" si="31"/>
        <v>#VALUE!</v>
      </c>
      <c r="Z127" s="334" t="str">
        <f t="shared" si="32"/>
        <v/>
      </c>
      <c r="AA127" s="328" t="str">
        <f t="shared" si="33"/>
        <v/>
      </c>
      <c r="AB127" s="329">
        <f>IF(OR(C127="",C127="TOPX",終値!E95=""),"",IFERROR(((終値!E95*0.333)+(終値!F95*0.222)+(終値!G95*0.148)+(終値!H95*0.099)+(終値!I95*0.066))/(0.333+0.222+0.148+0.099+0.066),""))</f>
        <v>1281.3721198156679</v>
      </c>
      <c r="AC127" s="329">
        <f>IF(OR(C127="",C127="TOPX",終値!E95=""),"",IFERROR(SUMPRODUCT((終値!E95:AC95),{0.077,0.071,0.065,0.06,0.055,0.051,0.047,0.043,0.039,0.036,0.033,0.031,0.028,0.026,0.024,0.022,0.02,0.018,0.017,0.016,0.014,0.013,0.012,0.011,0.01})/SUM({0.077,0.071,0.065,0.06,0.055,0.051,0.047,0.043,0.039,0.036,0.033,0.031,0.028,0.026,0.024,0.022,0.02,0.018,0.017,0.016,0.014,0.013,0.012,0.011,0.01}),""))</f>
        <v>1292.3706793802137</v>
      </c>
      <c r="AD127" s="328" t="str">
        <f t="shared" si="34"/>
        <v>上昇トレンド▲</v>
      </c>
      <c r="AE127" s="328" t="e">
        <f t="shared" si="35"/>
        <v>#VALUE!</v>
      </c>
      <c r="AF127" t="e">
        <f>IF(T127="","",IF(銘柄管理!$F$5="上昇▲",IF(AND(AD127="下降トレンド▼",OR(AE127="25日戻り売り★",AE127="5日戻り売り○")),"★逆張り売り",IF(AND(AD127="もみ合い→",OR(AE127="25日戻り売り★",AE127="5日戻り売り○")),"○逆張り売り",IF(W127&gt;=70,IF(Z127&lt;0,"◎反落確認","△過熱・様子見"),"相場上昇・見送り"))),IF(AND(T127&gt;=12,AD127="下降トレンド▼"),"★強い売り",IF(T127&gt;=12,"★強い売り",IF(AND(T127&gt;=8,OR(AE127="25日戻り売り★",AE127="5日戻り売り○")),"◎戻り売り",IF(T127&gt;=10,"○売り候補",IF(T127&gt;=6,"△注目",IF(T127&gt;=3,"様子見","見送り"))))))))</f>
        <v>#VALUE!</v>
      </c>
      <c r="AG127">
        <f t="shared" si="36"/>
        <v>0</v>
      </c>
      <c r="AH127">
        <f t="shared" si="37"/>
        <v>0</v>
      </c>
      <c r="AI127" s="376">
        <f t="array" ref="AI127">IF(C127="","",IFERROR((INDEX(終値!$E:$E,MATCH(TEXT(C127,"0"),終値!$A:$A,0))-INDEX(終値!$E:$CZ,MATCH(TEXT(C127,"0"),終値!$A:$A,0),$AN$2))/INDEX(終値!$E:$CZ,MATCH(TEXT(C127,"0"),終値!$A:$A,0),$AN$2)*100,""))</f>
        <v>1.1164274322169059</v>
      </c>
      <c r="AJ127" s="376">
        <f t="array" ref="AJ127">IFERROR((終値!$E$5-INDEX(終値!$E$5:$CZ$5,1,$AN$2))/INDEX(終値!$E$5:$CZ$5,1,$AN$2)*100,"")</f>
        <v>2.31989243802786</v>
      </c>
      <c r="AK127" s="377">
        <f t="shared" si="38"/>
        <v>-1.2034650058109542</v>
      </c>
      <c r="AL127" s="375">
        <f t="shared" si="39"/>
        <v>1</v>
      </c>
      <c r="AO127" s="379" t="e">
        <f t="shared" si="40"/>
        <v>#VALUE!</v>
      </c>
      <c r="AP127" s="380" t="e">
        <f t="shared" si="41"/>
        <v>#VALUE!</v>
      </c>
      <c r="AQ127">
        <f>IF(C127&lt;&gt;"",始値!F95,"")</f>
        <v>1293</v>
      </c>
      <c r="AR127">
        <f>IF(C127&lt;&gt;"",高値!F95,"")</f>
        <v>1318</v>
      </c>
      <c r="AS127">
        <f>IF(C127&lt;&gt;"",安値!F95,"")</f>
        <v>1293</v>
      </c>
      <c r="AT127" t="str">
        <f t="shared" si="42"/>
        <v>通常</v>
      </c>
      <c r="AU127">
        <f t="shared" si="43"/>
        <v>0</v>
      </c>
    </row>
    <row r="128" spans="1:47" ht="14.25" customHeight="1">
      <c r="A128" s="335" t="str">
        <f>IF(銘柄管理!B116&lt;&gt;"",HYPERLINK("https://kabutan.jp/stock/?code="&amp;銘柄管理!B116,"株探"),"")</f>
        <v>株探</v>
      </c>
      <c r="B128" s="215"/>
      <c r="C128" s="478">
        <f>IF(銘柄管理!B116="","",銘柄管理!B116)</f>
        <v>9882</v>
      </c>
      <c r="D128" s="215" t="str">
        <f>IF(銘柄管理!C116="","",銘柄管理!C116)</f>
        <v/>
      </c>
      <c r="E128" s="336" t="str">
        <f>IF(C128&lt;&gt;"",_xll.RssMarket(C128,"現在値"),"")</f>
        <v/>
      </c>
      <c r="F128" s="336" t="str">
        <f>IF(C128&lt;&gt;"",_xll.RssMarket(C128,"始値"),"")</f>
        <v/>
      </c>
      <c r="G128" s="215">
        <f>IF(C128&lt;&gt;"",終値!F116,"")</f>
        <v>1812</v>
      </c>
      <c r="H128" s="336" t="str">
        <f>IF(C128&lt;&gt;"",_xll.RssMarket(C128,"高値"),"")</f>
        <v/>
      </c>
      <c r="I128" s="336" t="str">
        <f>IF(C128&lt;&gt;"",_xll.RssMarket(C128,"安値"),"")</f>
        <v/>
      </c>
      <c r="J128" s="336" t="str">
        <f>IF(C128&lt;&gt;"",_xll.RssMarket(C128,"出来高"),"")</f>
        <v/>
      </c>
      <c r="K128" s="336" t="str">
        <f>IF(C128&lt;&gt;"",_xll.RssMarket(C128,"年初来高値"),"")</f>
        <v/>
      </c>
      <c r="L128" s="337" t="str">
        <f t="shared" si="22"/>
        <v/>
      </c>
      <c r="M128" s="336">
        <f>IF(C128&lt;&gt;"",IFERROR(AVERAGE(出来高!E116:I116),""),"")</f>
        <v>197820</v>
      </c>
      <c r="N128" s="336">
        <f>IF(C128&lt;&gt;"",IFERROR(AVERAGE(出来高!E116:AC116),""),"")</f>
        <v>196584</v>
      </c>
      <c r="O128" s="338" t="str">
        <f t="shared" si="23"/>
        <v/>
      </c>
      <c r="P128" s="215" t="str">
        <f t="shared" si="24"/>
        <v/>
      </c>
      <c r="Q128" s="215" t="str">
        <f t="shared" si="25"/>
        <v/>
      </c>
      <c r="R128" s="336" t="str">
        <f t="shared" si="26"/>
        <v/>
      </c>
      <c r="S128" s="336" t="str">
        <f t="shared" si="27"/>
        <v/>
      </c>
      <c r="T128" s="328">
        <f t="shared" si="28"/>
        <v>0</v>
      </c>
      <c r="U128" s="215" t="str">
        <f t="shared" si="29"/>
        <v>除外</v>
      </c>
      <c r="V128" s="215" t="str">
        <f t="shared" si="30"/>
        <v/>
      </c>
      <c r="W128" s="339">
        <f t="array" ref="W128">IFERROR(100-100/(1+SUMPRODUCT((終値!F116:R116&gt;終値!G116:S116)*(終値!F116:R116-終値!G116:S116))/SUMPRODUCT((終値!F116:R116&lt;終値!G116:S116)*(終値!G116:S116-終値!F116:R116))),50)</f>
        <v>65.217391304347828</v>
      </c>
      <c r="X128" s="340">
        <f>IF(C128&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11.044226811919998</v>
      </c>
      <c r="Y128" s="215" t="e">
        <f t="shared" si="31"/>
        <v>#VALUE!</v>
      </c>
      <c r="Z128" s="341" t="str">
        <f t="shared" si="32"/>
        <v/>
      </c>
      <c r="AA128" s="215" t="str">
        <f t="shared" si="33"/>
        <v/>
      </c>
      <c r="AB128" s="336">
        <f>IF(OR(C128="",C128="TOPX",終値!E116=""),"",IFERROR(((終値!E116*0.333)+(終値!F116*0.222)+(終値!G116*0.148)+(終値!H116*0.099)+(終値!I116*0.066))/(0.333+0.222+0.148+0.099+0.066),""))</f>
        <v>1817.0276497695854</v>
      </c>
      <c r="AC128" s="336">
        <f>IF(OR(C128="",C128="TOPX",終値!E116=""),"",IFERROR(SUMPRODUCT((終値!E116:AC116),{0.077,0.071,0.065,0.06,0.055,0.051,0.047,0.043,0.039,0.036,0.033,0.031,0.028,0.026,0.024,0.022,0.02,0.018,0.017,0.016,0.014,0.013,0.012,0.011,0.01})/SUM({0.077,0.071,0.065,0.06,0.055,0.051,0.047,0.043,0.039,0.036,0.033,0.031,0.028,0.026,0.024,0.022,0.02,0.018,0.017,0.016,0.014,0.013,0.012,0.011,0.01}),""))</f>
        <v>1789.6030989272936</v>
      </c>
      <c r="AD128" s="215" t="str">
        <f t="shared" si="34"/>
        <v>パーフェクト▲</v>
      </c>
      <c r="AE128" s="215" t="e">
        <f t="shared" si="35"/>
        <v>#VALUE!</v>
      </c>
      <c r="AF128" t="e">
        <f>IF(T128="","",IF(銘柄管理!$F$5="上昇▲",IF(AND(AD128="下降トレンド▼",OR(AE128="25日戻り売り★",AE128="5日戻り売り○")),"★逆張り売り",IF(AND(AD128="もみ合い→",OR(AE128="25日戻り売り★",AE128="5日戻り売り○")),"○逆張り売り",IF(W128&gt;=70,IF(Z128&lt;0,"◎反落確認","△過熱・様子見"),"相場上昇・見送り"))),IF(AND(T128&gt;=12,AD128="下降トレンド▼"),"★強い売り",IF(T128&gt;=12,"★強い売り",IF(AND(T128&gt;=8,OR(AE128="25日戻り売り★",AE128="5日戻り売り○")),"◎戻り売り",IF(T128&gt;=10,"○売り候補",IF(T128&gt;=6,"△注目",IF(T128&gt;=3,"様子見","見送り"))))))))</f>
        <v>#VALUE!</v>
      </c>
      <c r="AG128">
        <f t="shared" si="36"/>
        <v>0</v>
      </c>
      <c r="AH128">
        <f t="shared" si="37"/>
        <v>0</v>
      </c>
      <c r="AI128" s="376">
        <f t="array" ref="AI128">IF(C128="","",IFERROR((INDEX(終値!$E:$E,MATCH(TEXT(C128,"0"),終値!$A:$A,0))-INDEX(終値!$E:$CZ,MATCH(TEXT(C128,"0"),終値!$A:$A,0),$AN$2))/INDEX(終値!$E:$CZ,MATCH(TEXT(C128,"0"),終値!$A:$A,0),$AN$2)*100,""))</f>
        <v>9.5009019843656048</v>
      </c>
      <c r="AJ128" s="376">
        <f t="array" ref="AJ128">IFERROR((終値!$E$5-INDEX(終値!$E$5:$CZ$5,1,$AN$2))/INDEX(終値!$E$5:$CZ$5,1,$AN$2)*100,"")</f>
        <v>2.31989243802786</v>
      </c>
      <c r="AK128" s="377">
        <f t="shared" si="38"/>
        <v>7.1810095463377444</v>
      </c>
      <c r="AL128" s="375">
        <f t="shared" si="39"/>
        <v>-2</v>
      </c>
      <c r="AO128" s="379" t="e">
        <f t="shared" si="40"/>
        <v>#VALUE!</v>
      </c>
      <c r="AP128" s="380" t="e">
        <f t="shared" si="41"/>
        <v>#VALUE!</v>
      </c>
      <c r="AQ128">
        <f>IF(C128&lt;&gt;"",始値!F116,"")</f>
        <v>1820</v>
      </c>
      <c r="AR128">
        <f>IF(C128&lt;&gt;"",高値!F116,"")</f>
        <v>1827</v>
      </c>
      <c r="AS128">
        <f>IF(C128&lt;&gt;"",安値!F116,"")</f>
        <v>1809</v>
      </c>
      <c r="AT128" t="str">
        <f t="shared" si="42"/>
        <v>通常</v>
      </c>
      <c r="AU128">
        <f t="shared" si="43"/>
        <v>0</v>
      </c>
    </row>
    <row r="129" spans="1:47" ht="14.25" customHeight="1">
      <c r="A129" s="327" t="str">
        <f>IF(銘柄管理!B124&lt;&gt;"",HYPERLINK("https://kabutan.jp/stock/?code="&amp;銘柄管理!B124,"株探"),"")</f>
        <v>株探</v>
      </c>
      <c r="B129" s="328"/>
      <c r="C129" s="477">
        <f>IF(銘柄管理!B124="","",銘柄管理!B124)</f>
        <v>8801</v>
      </c>
      <c r="D129" s="328" t="str">
        <f>IF(銘柄管理!C124="","",銘柄管理!C124)</f>
        <v/>
      </c>
      <c r="E129" s="329" t="str">
        <f>IF(C129&lt;&gt;"",_xll.RssMarket(C129,"現在値"),"")</f>
        <v/>
      </c>
      <c r="F129" s="329" t="str">
        <f>IF(C129&lt;&gt;"",_xll.RssMarket(C129,"始値"),"")</f>
        <v/>
      </c>
      <c r="G129" s="328">
        <f>IF(C129&lt;&gt;"",終値!F124,"")</f>
        <v>1554</v>
      </c>
      <c r="H129" s="329" t="str">
        <f>IF(C129&lt;&gt;"",_xll.RssMarket(C129,"高値"),"")</f>
        <v/>
      </c>
      <c r="I129" s="329" t="str">
        <f>IF(C129&lt;&gt;"",_xll.RssMarket(C129,"安値"),"")</f>
        <v/>
      </c>
      <c r="J129" s="329" t="str">
        <f>IF(C129&lt;&gt;"",_xll.RssMarket(C129,"出来高"),"")</f>
        <v/>
      </c>
      <c r="K129" s="329" t="str">
        <f>IF(C129&lt;&gt;"",_xll.RssMarket(C129,"年初来高値"),"")</f>
        <v/>
      </c>
      <c r="L129" s="330" t="str">
        <f t="shared" si="22"/>
        <v/>
      </c>
      <c r="M129" s="329">
        <f>IF(C129&lt;&gt;"",IFERROR(AVERAGE(出来高!E124:I124),""),"")</f>
        <v>7082940</v>
      </c>
      <c r="N129" s="329">
        <f>IF(C129&lt;&gt;"",IFERROR(AVERAGE(出来高!E124:AC124),""),"")</f>
        <v>10558908</v>
      </c>
      <c r="O129" s="331" t="str">
        <f t="shared" si="23"/>
        <v/>
      </c>
      <c r="P129" s="328" t="str">
        <f t="shared" si="24"/>
        <v/>
      </c>
      <c r="Q129" s="328" t="str">
        <f t="shared" si="25"/>
        <v/>
      </c>
      <c r="R129" s="329" t="str">
        <f t="shared" si="26"/>
        <v/>
      </c>
      <c r="S129" s="329" t="str">
        <f t="shared" si="27"/>
        <v/>
      </c>
      <c r="T129" s="328">
        <f t="shared" si="28"/>
        <v>0</v>
      </c>
      <c r="U129" s="328" t="str">
        <f t="shared" si="29"/>
        <v>除外</v>
      </c>
      <c r="V129" s="328" t="str">
        <f t="shared" si="30"/>
        <v/>
      </c>
      <c r="W129" s="332">
        <f t="array" ref="W129">IFERROR(100-100/(1+SUMPRODUCT((終値!F124:R124&gt;終値!G124:S124)*(終値!F124:R124-終値!G124:S124))/SUMPRODUCT((終値!F124:R124&lt;終値!G124:S124)*(終値!G124:S124-終値!F124:R124))),50)</f>
        <v>65.73705179282868</v>
      </c>
      <c r="X129" s="333">
        <f>IF(C129&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6.2471859464496902</v>
      </c>
      <c r="Y129" s="328" t="e">
        <f t="shared" si="31"/>
        <v>#VALUE!</v>
      </c>
      <c r="Z129" s="334" t="str">
        <f t="shared" si="32"/>
        <v/>
      </c>
      <c r="AA129" s="328" t="str">
        <f t="shared" si="33"/>
        <v/>
      </c>
      <c r="AB129" s="329">
        <f>IF(OR(C129="",C129="TOPX",終値!E124=""),"",IFERROR(((終値!E124*0.333)+(終値!F124*0.222)+(終値!G124*0.148)+(終値!H124*0.099)+(終値!I124*0.066))/(0.333+0.222+0.148+0.099+0.066),""))</f>
        <v>1538.1129032258061</v>
      </c>
      <c r="AC129" s="329">
        <f>IF(OR(C129="",C129="TOPX",終値!E124=""),"",IFERROR(SUMPRODUCT((終値!E124:AC124),{0.077,0.071,0.065,0.06,0.055,0.051,0.047,0.043,0.039,0.036,0.033,0.031,0.028,0.026,0.024,0.022,0.02,0.018,0.017,0.016,0.014,0.013,0.012,0.011,0.01})/SUM({0.077,0.071,0.065,0.06,0.055,0.051,0.047,0.043,0.039,0.036,0.033,0.031,0.028,0.026,0.024,0.022,0.02,0.018,0.017,0.016,0.014,0.013,0.012,0.011,0.01}),""))</f>
        <v>1520.7365911799754</v>
      </c>
      <c r="AD129" s="328" t="str">
        <f t="shared" si="34"/>
        <v>パーフェクト▲</v>
      </c>
      <c r="AE129" s="328" t="e">
        <f t="shared" si="35"/>
        <v>#VALUE!</v>
      </c>
      <c r="AF129" t="e">
        <f>IF(T129="","",IF(銘柄管理!$F$5="上昇▲",IF(AND(AD129="下降トレンド▼",OR(AE129="25日戻り売り★",AE129="5日戻り売り○")),"★逆張り売り",IF(AND(AD129="もみ合い→",OR(AE129="25日戻り売り★",AE129="5日戻り売り○")),"○逆張り売り",IF(W129&gt;=70,IF(Z129&lt;0,"◎反落確認","△過熱・様子見"),"相場上昇・見送り"))),IF(AND(T129&gt;=12,AD129="下降トレンド▼"),"★強い売り",IF(T129&gt;=12,"★強い売り",IF(AND(T129&gt;=8,OR(AE129="25日戻り売り★",AE129="5日戻り売り○")),"◎戻り売り",IF(T129&gt;=10,"○売り候補",IF(T129&gt;=6,"△注目",IF(T129&gt;=3,"様子見","見送り"))))))))</f>
        <v>#VALUE!</v>
      </c>
      <c r="AG129">
        <f t="shared" si="36"/>
        <v>0</v>
      </c>
      <c r="AH129">
        <f t="shared" si="37"/>
        <v>0</v>
      </c>
      <c r="AI129" s="376">
        <f t="array" ref="AI129">IF(C129="","",IFERROR((INDEX(終値!$E:$E,MATCH(TEXT(C129,"0"),終値!$A:$A,0))-INDEX(終値!$E:$CZ,MATCH(TEXT(C129,"0"),終値!$A:$A,0),$AN$2))/INDEX(終値!$E:$CZ,MATCH(TEXT(C129,"0"),終値!$A:$A,0),$AN$2)*100,""))</f>
        <v>5.0940170940170937</v>
      </c>
      <c r="AJ129" s="376">
        <f t="array" ref="AJ129">IFERROR((終値!$E$5-INDEX(終値!$E$5:$CZ$5,1,$AN$2))/INDEX(終値!$E$5:$CZ$5,1,$AN$2)*100,"")</f>
        <v>2.31989243802786</v>
      </c>
      <c r="AK129" s="377">
        <f t="shared" si="38"/>
        <v>2.7741246559892336</v>
      </c>
      <c r="AL129" s="375">
        <f t="shared" si="39"/>
        <v>-1</v>
      </c>
      <c r="AO129" s="379" t="e">
        <f t="shared" si="40"/>
        <v>#VALUE!</v>
      </c>
      <c r="AP129" s="380" t="e">
        <f t="shared" si="41"/>
        <v>#VALUE!</v>
      </c>
      <c r="AQ129">
        <f>IF(C129&lt;&gt;"",始値!F124,"")</f>
        <v>1553</v>
      </c>
      <c r="AR129">
        <f>IF(C129&lt;&gt;"",高値!F124,"")</f>
        <v>1558</v>
      </c>
      <c r="AS129">
        <f>IF(C129&lt;&gt;"",安値!F124,"")</f>
        <v>1540</v>
      </c>
      <c r="AT129" t="str">
        <f t="shared" si="42"/>
        <v>通常</v>
      </c>
      <c r="AU129">
        <f t="shared" si="43"/>
        <v>0</v>
      </c>
    </row>
    <row r="130" spans="1:47" ht="14.25" customHeight="1">
      <c r="A130" s="335" t="str">
        <f>IF(銘柄管理!B144&lt;&gt;"",HYPERLINK("https://kabutan.jp/stock/?code="&amp;銘柄管理!B144,"株探"),"")</f>
        <v>株探</v>
      </c>
      <c r="B130" s="215"/>
      <c r="C130" s="478">
        <f>IF(銘柄管理!B144="","",銘柄管理!B144)</f>
        <v>6777</v>
      </c>
      <c r="D130" s="215" t="str">
        <f>IF(銘柄管理!C144="","",銘柄管理!C144)</f>
        <v/>
      </c>
      <c r="E130" s="336" t="str">
        <f>IF(C130&lt;&gt;"",_xll.RssMarket(C130,"現在値"),"")</f>
        <v/>
      </c>
      <c r="F130" s="336" t="str">
        <f>IF(C130&lt;&gt;"",_xll.RssMarket(C130,"始値"),"")</f>
        <v/>
      </c>
      <c r="G130" s="215">
        <f>IF(C130&lt;&gt;"",終値!F144,"")</f>
        <v>21850</v>
      </c>
      <c r="H130" s="336" t="str">
        <f>IF(C130&lt;&gt;"",_xll.RssMarket(C130,"高値"),"")</f>
        <v/>
      </c>
      <c r="I130" s="336" t="str">
        <f>IF(C130&lt;&gt;"",_xll.RssMarket(C130,"安値"),"")</f>
        <v/>
      </c>
      <c r="J130" s="336" t="str">
        <f>IF(C130&lt;&gt;"",_xll.RssMarket(C130,"出来高"),"")</f>
        <v/>
      </c>
      <c r="K130" s="336" t="str">
        <f>IF(C130&lt;&gt;"",_xll.RssMarket(C130,"年初来高値"),"")</f>
        <v/>
      </c>
      <c r="L130" s="337" t="str">
        <f t="shared" si="22"/>
        <v/>
      </c>
      <c r="M130" s="336">
        <f>IF(C130&lt;&gt;"",IFERROR(AVERAGE(出来高!E144:I144),""),"")</f>
        <v>127620</v>
      </c>
      <c r="N130" s="336">
        <f>IF(C130&lt;&gt;"",IFERROR(AVERAGE(出来高!E144:AC144),""),"")</f>
        <v>141052</v>
      </c>
      <c r="O130" s="338" t="str">
        <f t="shared" si="23"/>
        <v/>
      </c>
      <c r="P130" s="215" t="str">
        <f t="shared" si="24"/>
        <v/>
      </c>
      <c r="Q130" s="215" t="str">
        <f t="shared" si="25"/>
        <v/>
      </c>
      <c r="R130" s="336" t="str">
        <f t="shared" si="26"/>
        <v/>
      </c>
      <c r="S130" s="336" t="str">
        <f t="shared" si="27"/>
        <v/>
      </c>
      <c r="T130" s="328">
        <f t="shared" si="28"/>
        <v>0</v>
      </c>
      <c r="U130" s="215" t="str">
        <f t="shared" si="29"/>
        <v>除外</v>
      </c>
      <c r="V130" s="215" t="str">
        <f t="shared" si="30"/>
        <v/>
      </c>
      <c r="W130" s="339">
        <f t="array" ref="W130">IFERROR(100-100/(1+SUMPRODUCT((終値!F144:R144&gt;終値!G144:S144)*(終値!F144:R144-終値!G144:S144))/SUMPRODUCT((終値!F144:R144&lt;終値!G144:S144)*(終値!G144:S144-終値!F144:R144))),50)</f>
        <v>18.655967903711144</v>
      </c>
      <c r="X130" s="340">
        <f>IF(C130&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-957.55830105994028</v>
      </c>
      <c r="Y130" s="215" t="e">
        <f t="shared" si="31"/>
        <v>#VALUE!</v>
      </c>
      <c r="Z130" s="341" t="str">
        <f t="shared" si="32"/>
        <v/>
      </c>
      <c r="AA130" s="215" t="str">
        <f t="shared" si="33"/>
        <v/>
      </c>
      <c r="AB130" s="336">
        <f>IF(OR(C130="",C130="TOPX",終値!E144=""),"",IFERROR(((終値!E144*0.333)+(終値!F144*0.222)+(終値!G144*0.148)+(終値!H144*0.099)+(終値!I144*0.066))/(0.333+0.222+0.148+0.099+0.066),""))</f>
        <v>20271.67050691244</v>
      </c>
      <c r="AC130" s="336">
        <f>IF(OR(C130="",C130="TOPX",終値!E144=""),"",IFERROR(SUMPRODUCT((終値!E144:AC144),{0.077,0.071,0.065,0.06,0.055,0.051,0.047,0.043,0.039,0.036,0.033,0.031,0.028,0.026,0.024,0.022,0.02,0.018,0.017,0.016,0.014,0.013,0.012,0.011,0.01})/SUM({0.077,0.071,0.065,0.06,0.055,0.051,0.047,0.043,0.039,0.036,0.033,0.031,0.028,0.026,0.024,0.022,0.02,0.018,0.017,0.016,0.014,0.013,0.012,0.011,0.01}),""))</f>
        <v>23048.641239570916</v>
      </c>
      <c r="AD130" s="215" t="str">
        <f t="shared" si="34"/>
        <v>上昇トレンド▲</v>
      </c>
      <c r="AE130" s="215" t="e">
        <f t="shared" si="35"/>
        <v>#VALUE!</v>
      </c>
      <c r="AF130" t="e">
        <f>IF(T130="","",IF(銘柄管理!$F$5="上昇▲",IF(AND(AD130="下降トレンド▼",OR(AE130="25日戻り売り★",AE130="5日戻り売り○")),"★逆張り売り",IF(AND(AD130="もみ合い→",OR(AE130="25日戻り売り★",AE130="5日戻り売り○")),"○逆張り売り",IF(W130&gt;=70,IF(Z130&lt;0,"◎反落確認","△過熱・様子見"),"相場上昇・見送り"))),IF(AND(T130&gt;=12,AD130="下降トレンド▼"),"★強い売り",IF(T130&gt;=12,"★強い売り",IF(AND(T130&gt;=8,OR(AE130="25日戻り売り★",AE130="5日戻り売り○")),"◎戻り売り",IF(T130&gt;=10,"○売り候補",IF(T130&gt;=6,"△注目",IF(T130&gt;=3,"様子見","見送り"))))))))</f>
        <v>#VALUE!</v>
      </c>
      <c r="AG130">
        <f t="shared" si="36"/>
        <v>0</v>
      </c>
      <c r="AH130">
        <f t="shared" si="37"/>
        <v>0</v>
      </c>
      <c r="AI130" s="376">
        <f t="array" ref="AI130">IF(C130="","",IFERROR((INDEX(終値!$E:$E,MATCH(TEXT(C130,"0"),終値!$A:$A,0))-INDEX(終値!$E:$CZ,MATCH(TEXT(C130,"0"),終値!$A:$A,0),$AN$2))/INDEX(終値!$E:$CZ,MATCH(TEXT(C130,"0"),終値!$A:$A,0),$AN$2)*100,""))</f>
        <v>-25.983313468414782</v>
      </c>
      <c r="AJ130" s="376">
        <f t="array" ref="AJ130">IFERROR((終値!$E$5-INDEX(終値!$E$5:$CZ$5,1,$AN$2))/INDEX(終値!$E$5:$CZ$5,1,$AN$2)*100,"")</f>
        <v>2.31989243802786</v>
      </c>
      <c r="AK130" s="377">
        <f t="shared" si="38"/>
        <v>-28.303205906442642</v>
      </c>
      <c r="AL130" s="375">
        <f t="shared" si="39"/>
        <v>3</v>
      </c>
      <c r="AO130" s="379" t="e">
        <f t="shared" si="40"/>
        <v>#VALUE!</v>
      </c>
      <c r="AP130" s="380" t="e">
        <f t="shared" si="41"/>
        <v>#VALUE!</v>
      </c>
      <c r="AQ130">
        <f>IF(C130&lt;&gt;"",始値!F144,"")</f>
        <v>21220</v>
      </c>
      <c r="AR130">
        <f>IF(C130&lt;&gt;"",高値!F144,"")</f>
        <v>22210</v>
      </c>
      <c r="AS130">
        <f>IF(C130&lt;&gt;"",安値!F144,"")</f>
        <v>21070</v>
      </c>
      <c r="AT130" t="str">
        <f t="shared" si="42"/>
        <v>通常</v>
      </c>
      <c r="AU130">
        <f t="shared" si="43"/>
        <v>0</v>
      </c>
    </row>
    <row r="131" spans="1:47" ht="14.25" customHeight="1">
      <c r="A131" s="327" t="str">
        <f>IF(銘柄管理!B146&lt;&gt;"",HYPERLINK("https://kabutan.jp/stock/?code="&amp;銘柄管理!B146,"株探"),"")</f>
        <v>株探</v>
      </c>
      <c r="B131" s="328"/>
      <c r="C131" s="477">
        <f>IF(銘柄管理!B146="","",銘柄管理!B146)</f>
        <v>4888</v>
      </c>
      <c r="D131" s="328" t="str">
        <f>IF(銘柄管理!C146="","",銘柄管理!C146)</f>
        <v/>
      </c>
      <c r="E131" s="329" t="str">
        <f>IF(C131&lt;&gt;"",_xll.RssMarket(C131,"現在値"),"")</f>
        <v/>
      </c>
      <c r="F131" s="329" t="str">
        <f>IF(C131&lt;&gt;"",_xll.RssMarket(C131,"始値"),"")</f>
        <v/>
      </c>
      <c r="G131" s="328">
        <f>IF(C131&lt;&gt;"",終値!F146,"")</f>
        <v>337</v>
      </c>
      <c r="H131" s="329" t="str">
        <f>IF(C131&lt;&gt;"",_xll.RssMarket(C131,"高値"),"")</f>
        <v/>
      </c>
      <c r="I131" s="329" t="str">
        <f>IF(C131&lt;&gt;"",_xll.RssMarket(C131,"安値"),"")</f>
        <v/>
      </c>
      <c r="J131" s="329" t="str">
        <f>IF(C131&lt;&gt;"",_xll.RssMarket(C131,"出来高"),"")</f>
        <v/>
      </c>
      <c r="K131" s="329" t="str">
        <f>IF(C131&lt;&gt;"",_xll.RssMarket(C131,"年初来高値"),"")</f>
        <v/>
      </c>
      <c r="L131" s="330" t="str">
        <f t="shared" ref="L131:L194" si="44">IF(AND(E131&lt;&gt;"",K131&lt;&gt;"",K131&lt;&gt;0),(E131-K131)/K131*100,"")</f>
        <v/>
      </c>
      <c r="M131" s="329">
        <f>IF(C131&lt;&gt;"",IFERROR(AVERAGE(出来高!E146:I146),""),"")</f>
        <v>279340</v>
      </c>
      <c r="N131" s="329">
        <f>IF(C131&lt;&gt;"",IFERROR(AVERAGE(出来高!E146:AC146),""),"")</f>
        <v>421684</v>
      </c>
      <c r="O131" s="331" t="str">
        <f t="shared" ref="O131:O194" si="45">IF(AND(J131&lt;&gt;"",M131&lt;&gt;"",M131&lt;&gt;0),J131/M131,"")</f>
        <v/>
      </c>
      <c r="P131" s="328" t="str">
        <f t="shared" ref="P131:P194" si="46">IF(O131="","",IF(O131&gt;=2,"急増↑↑",IF(O131&gt;=1.5,"増加↑",IF(O131&gt;=1,"普通→","減少↓"))))</f>
        <v/>
      </c>
      <c r="Q131" s="328" t="str">
        <f t="shared" ref="Q131:Q194" si="47">IF(E131="","",IF(AND(E131&lt;G131,O131&gt;=1.5),"売り▼",IF(E131&gt;G131,"様子見▲","中立→")))</f>
        <v/>
      </c>
      <c r="R131" s="329" t="str">
        <f t="shared" ref="R131:R194" si="48">IF(E131&lt;&gt;"",ROUND(E131*0.92,0),"")</f>
        <v/>
      </c>
      <c r="S131" s="329" t="str">
        <f t="shared" ref="S131:S194" si="49">IF(E131&lt;&gt;"",ROUND(E131*1.04,0),"")</f>
        <v/>
      </c>
      <c r="T131" s="328">
        <f t="shared" ref="T131:T194" si="50">IF(C131="","",IFERROR(IF(W131&gt;=70,3,IF(W131&gt;=60,2,IF(W131&gt;=50,1,0)))+IF(X131&lt;0,2,0)+IF(AD131="下降トレンド▼",3,IF(AD131="もみ合い→",1,0))+IF(V131="年初来安値圏●",3,IF(V131="安値圏",2,0))+IF(Q131="売り▼",2,0)+IF(P131="急増↑↑",2,IF(P131="増加↑",1,0))+IF(Z131&lt;0,1,0)+IF(L131&lt;=-30,2,IF(L131&lt;=-15,1,0))+IF(AE131="25日戻り売り★",2,IF(AE131="5日戻り売り○",1,0))+N(AL131)+N(AP131)+N(AU131),0))</f>
        <v>0</v>
      </c>
      <c r="U131" s="328" t="str">
        <f t="shared" ref="U131:U194" si="51">IF(T131="","",IF(AND(T131&gt;=3,O131&gt;=1.5),"有効",IF(T131&gt;=3,"要確認","除外")))</f>
        <v>除外</v>
      </c>
      <c r="V131" s="328" t="str">
        <f t="shared" ref="V131:V194" si="52">IF(AND(I131&lt;&gt;"",K131&lt;&gt;""),IF(I131&lt;=K131*0.6,"年初来安値圏●",IF(I131&lt;=K131*0.75,"安値圏","通常")),"")</f>
        <v/>
      </c>
      <c r="W131" s="332">
        <f t="array" ref="W131">IFERROR(100-100/(1+SUMPRODUCT((終値!F146:R146&gt;終値!G146:S146)*(終値!F146:R146-終値!G146:S146))/SUMPRODUCT((終値!F146:R146&lt;終値!G146:S146)*(終値!G146:S146-終値!F146:R146))),50)</f>
        <v>64.367816091954026</v>
      </c>
      <c r="X131" s="333">
        <f>IF(C131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-0.41793869582352272</v>
      </c>
      <c r="Y131" s="328" t="e">
        <f t="shared" ref="Y131:Y194" si="53">IF(AF131="","",AF131&amp;" | "&amp;AD131&amp;IF(AE131&lt;&gt;"なし"," "&amp;AE131,"")&amp;IF(X131&lt;0," MACD-"," MACD+")&amp;" RSI:"&amp;TEXT(W131,"0.0")&amp;IF(W131&gt;=70," [過熱]",IF(W131&lt;=30," [売られ過ぎ]",""))&amp;" 前日比:"&amp;TEXT(Z131,"+0.0;-0.0;0.0")&amp;"%"&amp;IF(V131="年初来安値圏●"," [年初来安値圏]",IF(V131="安値圏"," [安値圏]",""))&amp;IF(OR(AO131="通常",AO131="-"),""," ["&amp;AO131&amp;"]")&amp;IF(OR(AT131="通常",AT131="-"),"","前日["&amp;AT131&amp;"]")&amp;" ["&amp;T131&amp;"点]")</f>
        <v>#VALUE!</v>
      </c>
      <c r="Z131" s="334" t="str">
        <f t="shared" ref="Z131:Z194" si="54">IF(AND(E131&lt;&gt;"",G131&lt;&gt;"",G131&lt;&gt;0),(E131-G131)/G131*100,"")</f>
        <v/>
      </c>
      <c r="AA131" s="328" t="str">
        <f t="shared" ref="AA131:AA194" si="55">IF(OR(C131="",E131="",E131=0),"",IF(E131&gt;G131,"上昇▲",IF(E131&lt;G131,"下落▼","横ばい→")))</f>
        <v/>
      </c>
      <c r="AB131" s="329">
        <f>IF(OR(C131="",C131="TOPX",終値!E146=""),"",IFERROR(((終値!E146*0.333)+(終値!F146*0.222)+(終値!G146*0.148)+(終値!H146*0.099)+(終値!I146*0.066))/(0.333+0.222+0.148+0.099+0.066),""))</f>
        <v>320.43433179723507</v>
      </c>
      <c r="AC131" s="329">
        <f>IF(OR(C131="",C131="TOPX",終値!E146=""),"",IFERROR(SUMPRODUCT((終値!E146:AC146),{0.077,0.071,0.065,0.06,0.055,0.051,0.047,0.043,0.039,0.036,0.033,0.031,0.028,0.026,0.024,0.022,0.02,0.018,0.017,0.016,0.014,0.013,0.012,0.011,0.01})/SUM({0.077,0.071,0.065,0.06,0.055,0.051,0.047,0.043,0.039,0.036,0.033,0.031,0.028,0.026,0.024,0.022,0.02,0.018,0.017,0.016,0.014,0.013,0.012,0.011,0.01}),""))</f>
        <v>316.83075089392128</v>
      </c>
      <c r="AD131" s="328" t="str">
        <f t="shared" ref="AD131:AD194" si="56">IF(OR(C131="",AB131="",AC131="",AB131=0,AC131=0),"",IF(AND(E131&gt;AB131,AB131&gt;AC131),"パーフェクト▲",IF(E131&gt;AC131,"上昇トレンド▲",IF(AND(E131&lt;AB131,AB131&lt;AC131),"下降トレンド▼","もみ合い→"))))</f>
        <v>パーフェクト▲</v>
      </c>
      <c r="AE131" s="328" t="e">
        <f t="shared" ref="AE131:AE194" si="57">IF(OR(C131="",AB131="",AC131=""),"",IF(AND(ABS(E131-AC131)/AC131&lt;=0.02,E131&lt;AC131),"25日戻り売り★",IF(AND(ABS(E131-AB131)/AB131&lt;=0.01,E131&lt;AB131),"5日戻り売り○","なし")))</f>
        <v>#VALUE!</v>
      </c>
      <c r="AF131" t="e">
        <f>IF(T131="","",IF(銘柄管理!$F$5="上昇▲",IF(AND(AD131="下降トレンド▼",OR(AE131="25日戻り売り★",AE131="5日戻り売り○")),"★逆張り売り",IF(AND(AD131="もみ合い→",OR(AE131="25日戻り売り★",AE131="5日戻り売り○")),"○逆張り売り",IF(W131&gt;=70,IF(Z131&lt;0,"◎反落確認","△過熱・様子見"),"相場上昇・見送り"))),IF(AND(T131&gt;=12,AD131="下降トレンド▼"),"★強い売り",IF(T131&gt;=12,"★強い売り",IF(AND(T131&gt;=8,OR(AE131="25日戻り売り★",AE131="5日戻り売り○")),"◎戻り売り",IF(T131&gt;=10,"○売り候補",IF(T131&gt;=6,"△注目",IF(T131&gt;=3,"様子見","見送り"))))))))</f>
        <v>#VALUE!</v>
      </c>
      <c r="AG131">
        <f t="shared" ref="AG131:AG194" si="58">IF(AND(T131&gt;=7,C131&lt;&gt;""),T131,0)</f>
        <v>0</v>
      </c>
      <c r="AH131">
        <f t="shared" ref="AH131:AH194" si="59">IF(AG131&gt;0,AG131*10000-ROW(A131),0)</f>
        <v>0</v>
      </c>
      <c r="AI131" s="376">
        <f t="array" ref="AI131">IF(C131="","",IFERROR((INDEX(終値!$E:$E,MATCH(TEXT(C131,"0"),終値!$A:$A,0))-INDEX(終値!$E:$CZ,MATCH(TEXT(C131,"0"),終値!$A:$A,0),$AN$2))/INDEX(終値!$E:$CZ,MATCH(TEXT(C131,"0"),終値!$A:$A,0),$AN$2)*100,""))</f>
        <v>1.6666666666666667</v>
      </c>
      <c r="AJ131" s="376">
        <f t="array" ref="AJ131">IFERROR((終値!$E$5-INDEX(終値!$E$5:$CZ$5,1,$AN$2))/INDEX(終値!$E$5:$CZ$5,1,$AN$2)*100,"")</f>
        <v>2.31989243802786</v>
      </c>
      <c r="AK131" s="377">
        <f t="shared" ref="AK131:AK194" si="60">IF(OR(AI131="",AJ131=""),"",AI131-AJ131)</f>
        <v>-0.65322577136119331</v>
      </c>
      <c r="AL131" s="375">
        <f t="shared" ref="AL131:AL194" si="61">IF(AK131="","",IF(AK131&lt;-5,3,IF(AK131&lt;0,1,IF(AK131&lt;3,-1,-2))))</f>
        <v>1</v>
      </c>
      <c r="AO131" s="379" t="e">
        <f t="shared" ref="AO131:AO194" si="62">IF(OR($C131="",$E131="",$F131="",$H131="",$I131="",$H131-$I131&lt;=0),"-",IF(AND($H131-MAX($F131,$E131)&gt;=ABS($E131-$F131)*2,MIN($F131,$E131)-$I131&lt;=ABS($E131-$F131)*0.5,ABS($E131-$F131)&gt;0),"上ヒゲ陰線▼",IF(AND($E131&lt;$F131,ABS($E131-$F131)&gt;=($H131-$I131)*0.7),"大陰線▼",IF(AND(MIN($F131,$E131)-$I131&gt;=($H131-$I131)*0.5,$H131-MAX($F131,$E131)&lt;=($H131-$I131)*0.2),"長い下ヒゲ(反発警戒)","通常"))))</f>
        <v>#VALUE!</v>
      </c>
      <c r="AP131" s="380" t="e">
        <f t="shared" ref="AP131:AP194" si="63">IF($AO131="上ヒゲ陰線▼",2,IF($AO131="大陰線▼",2,IF($AO131="長い下ヒゲ(反発警戒)",-2,0)))</f>
        <v>#VALUE!</v>
      </c>
      <c r="AQ131">
        <f>IF(C131&lt;&gt;"",始値!F146,"")</f>
        <v>321</v>
      </c>
      <c r="AR131">
        <f>IF(C131&lt;&gt;"",高値!F146,"")</f>
        <v>338</v>
      </c>
      <c r="AS131">
        <f>IF(C131&lt;&gt;"",安値!F146,"")</f>
        <v>320</v>
      </c>
      <c r="AT131" t="str">
        <f t="shared" ref="AT131:AT194" si="64">IF(OR(C131="",AQ131="",AR131="",AS131="",AR131-AS131&lt;=0),"-",IF(AND(AR131-MAX(G131,AQ131)&gt;=ABS(G131-AQ131)*2,MIN(G131,AQ131)-AS131&lt;=ABS(G131-AQ131)*0.5,ABS(G131-AQ131)&gt;0),"上ヒゲ陰線▼",IF(AND(G131&lt;AQ131,ABS(G131-AQ131)&gt;=(AR131-AS131)*0.7),"大陰線▼",IF(AND(MIN(G131,AQ131)-AS131&gt;=(AR131-AS131)*0.5,AR131-MAX(G131,AQ131)&lt;=(AR131-AS131)*0.2),"長い下ヒゲ(反発)","通常"))))</f>
        <v>通常</v>
      </c>
      <c r="AU131">
        <f t="shared" ref="AU131:AU194" si="65">IF(AT131="上ヒゲ陰線▼",2,IF(AT131="大陰線▼",2,IF(AT131="長い下ヒゲ(反発)",-2,0)))</f>
        <v>0</v>
      </c>
    </row>
    <row r="132" spans="1:47" ht="14.25" customHeight="1">
      <c r="A132" s="335" t="str">
        <f>IF(銘柄管理!B156&lt;&gt;"",HYPERLINK("https://kabutan.jp/stock/?code="&amp;銘柄管理!B156,"株探"),"")</f>
        <v>株探</v>
      </c>
      <c r="B132" s="215"/>
      <c r="C132" s="478">
        <f>IF(銘柄管理!B156="","",銘柄管理!B156)</f>
        <v>4088</v>
      </c>
      <c r="D132" s="215" t="str">
        <f>IF(銘柄管理!C156="","",銘柄管理!C156)</f>
        <v/>
      </c>
      <c r="E132" s="336" t="str">
        <f>IF(C132&lt;&gt;"",_xll.RssMarket(C132,"現在値"),"")</f>
        <v/>
      </c>
      <c r="F132" s="336" t="str">
        <f>IF(C132&lt;&gt;"",_xll.RssMarket(C132,"始値"),"")</f>
        <v/>
      </c>
      <c r="G132" s="215">
        <f>IF(C132&lt;&gt;"",終値!F156,"")</f>
        <v>2574</v>
      </c>
      <c r="H132" s="336" t="str">
        <f>IF(C132&lt;&gt;"",_xll.RssMarket(C132,"高値"),"")</f>
        <v/>
      </c>
      <c r="I132" s="336" t="str">
        <f>IF(C132&lt;&gt;"",_xll.RssMarket(C132,"安値"),"")</f>
        <v/>
      </c>
      <c r="J132" s="336" t="str">
        <f>IF(C132&lt;&gt;"",_xll.RssMarket(C132,"出来高"),"")</f>
        <v/>
      </c>
      <c r="K132" s="336" t="str">
        <f>IF(C132&lt;&gt;"",_xll.RssMarket(C132,"年初来高値"),"")</f>
        <v/>
      </c>
      <c r="L132" s="337" t="str">
        <f t="shared" si="44"/>
        <v/>
      </c>
      <c r="M132" s="336">
        <f>IF(C132&lt;&gt;"",IFERROR(AVERAGE(出来高!E156:I156),""),"")</f>
        <v>736920</v>
      </c>
      <c r="N132" s="336">
        <f>IF(C132&lt;&gt;"",IFERROR(AVERAGE(出来高!E156:AC156),""),"")</f>
        <v>1089208</v>
      </c>
      <c r="O132" s="338" t="str">
        <f t="shared" si="45"/>
        <v/>
      </c>
      <c r="P132" s="215" t="str">
        <f t="shared" si="46"/>
        <v/>
      </c>
      <c r="Q132" s="215" t="str">
        <f t="shared" si="47"/>
        <v/>
      </c>
      <c r="R132" s="336" t="str">
        <f t="shared" si="48"/>
        <v/>
      </c>
      <c r="S132" s="336" t="str">
        <f t="shared" si="49"/>
        <v/>
      </c>
      <c r="T132" s="328">
        <f t="shared" si="50"/>
        <v>0</v>
      </c>
      <c r="U132" s="215" t="str">
        <f t="shared" si="51"/>
        <v>除外</v>
      </c>
      <c r="V132" s="215" t="str">
        <f t="shared" si="52"/>
        <v/>
      </c>
      <c r="W132" s="339">
        <f t="array" ref="W132">IFERROR(100-100/(1+SUMPRODUCT((終値!F156:R156&gt;終値!G156:S156)*(終値!F156:R156-終値!G156:S156))/SUMPRODUCT((終値!F156:R156&lt;終値!G156:S156)*(終値!G156:S156-終値!F156:R156))),50)</f>
        <v>17.351598173515981</v>
      </c>
      <c r="X132" s="340">
        <f>IF(C132&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-8.4531282961625038</v>
      </c>
      <c r="Y132" s="215" t="e">
        <f t="shared" si="53"/>
        <v>#VALUE!</v>
      </c>
      <c r="Z132" s="341" t="str">
        <f t="shared" si="54"/>
        <v/>
      </c>
      <c r="AA132" s="215" t="str">
        <f t="shared" si="55"/>
        <v/>
      </c>
      <c r="AB132" s="336">
        <f>IF(OR(C132="",C132="TOPX",終値!E156=""),"",IFERROR(((終値!E156*0.333)+(終値!F156*0.222)+(終値!G156*0.148)+(終値!H156*0.099)+(終値!I156*0.066))/(0.333+0.222+0.148+0.099+0.066),""))</f>
        <v>2548.0817972350228</v>
      </c>
      <c r="AC132" s="336">
        <f>IF(OR(C132="",C132="TOPX",終値!E156=""),"",IFERROR(SUMPRODUCT((終値!E156:AC156),{0.077,0.071,0.065,0.06,0.055,0.051,0.047,0.043,0.039,0.036,0.033,0.031,0.028,0.026,0.024,0.022,0.02,0.018,0.017,0.016,0.014,0.013,0.012,0.011,0.01})/SUM({0.077,0.071,0.065,0.06,0.055,0.051,0.047,0.043,0.039,0.036,0.033,0.031,0.028,0.026,0.024,0.022,0.02,0.018,0.017,0.016,0.014,0.013,0.012,0.011,0.01}),""))</f>
        <v>2627.4314660309892</v>
      </c>
      <c r="AD132" s="215" t="str">
        <f t="shared" si="56"/>
        <v>上昇トレンド▲</v>
      </c>
      <c r="AE132" s="215" t="e">
        <f t="shared" si="57"/>
        <v>#VALUE!</v>
      </c>
      <c r="AF132" t="e">
        <f>IF(T132="","",IF(銘柄管理!$F$5="上昇▲",IF(AND(AD132="下降トレンド▼",OR(AE132="25日戻り売り★",AE132="5日戻り売り○")),"★逆張り売り",IF(AND(AD132="もみ合い→",OR(AE132="25日戻り売り★",AE132="5日戻り売り○")),"○逆張り売り",IF(W132&gt;=70,IF(Z132&lt;0,"◎反落確認","△過熱・様子見"),"相場上昇・見送り"))),IF(AND(T132&gt;=12,AD132="下降トレンド▼"),"★強い売り",IF(T132&gt;=12,"★強い売り",IF(AND(T132&gt;=8,OR(AE132="25日戻り売り★",AE132="5日戻り売り○")),"◎戻り売り",IF(T132&gt;=10,"○売り候補",IF(T132&gt;=6,"△注目",IF(T132&gt;=3,"様子見","見送り"))))))))</f>
        <v>#VALUE!</v>
      </c>
      <c r="AG132">
        <f t="shared" si="58"/>
        <v>0</v>
      </c>
      <c r="AH132">
        <f t="shared" si="59"/>
        <v>0</v>
      </c>
      <c r="AI132" s="376">
        <f t="array" ref="AI132">IF(C132="","",IFERROR((INDEX(終値!$E:$E,MATCH(TEXT(C132,"0"),終値!$A:$A,0))-INDEX(終値!$E:$CZ,MATCH(TEXT(C132,"0"),終値!$A:$A,0),$AN$2))/INDEX(終値!$E:$CZ,MATCH(TEXT(C132,"0"),終値!$A:$A,0),$AN$2)*100,""))</f>
        <v>2.3076923076923079</v>
      </c>
      <c r="AJ132" s="376">
        <f t="array" ref="AJ132">IFERROR((終値!$E$5-INDEX(終値!$E$5:$CZ$5,1,$AN$2))/INDEX(終値!$E$5:$CZ$5,1,$AN$2)*100,"")</f>
        <v>2.31989243802786</v>
      </c>
      <c r="AK132" s="377">
        <f t="shared" si="60"/>
        <v>-1.2200130335552117E-2</v>
      </c>
      <c r="AL132" s="375">
        <f t="shared" si="61"/>
        <v>1</v>
      </c>
      <c r="AO132" s="379" t="e">
        <f t="shared" si="62"/>
        <v>#VALUE!</v>
      </c>
      <c r="AP132" s="380" t="e">
        <f t="shared" si="63"/>
        <v>#VALUE!</v>
      </c>
      <c r="AQ132">
        <f>IF(C132&lt;&gt;"",始値!F156,"")</f>
        <v>2577</v>
      </c>
      <c r="AR132">
        <f>IF(C132&lt;&gt;"",高値!F156,"")</f>
        <v>2588</v>
      </c>
      <c r="AS132">
        <f>IF(C132&lt;&gt;"",安値!F156,"")</f>
        <v>2542</v>
      </c>
      <c r="AT132" t="str">
        <f t="shared" si="64"/>
        <v>通常</v>
      </c>
      <c r="AU132">
        <f t="shared" si="65"/>
        <v>0</v>
      </c>
    </row>
    <row r="133" spans="1:47" ht="14.25" customHeight="1">
      <c r="A133" s="327" t="str">
        <f>IF(銘柄管理!B165&lt;&gt;"",HYPERLINK("https://kabutan.jp/stock/?code="&amp;銘柄管理!B165,"株探"),"")</f>
        <v>株探</v>
      </c>
      <c r="B133" s="328"/>
      <c r="C133" s="477">
        <f>IF(銘柄管理!B165="","",銘柄管理!B165)</f>
        <v>4733</v>
      </c>
      <c r="D133" s="328" t="str">
        <f>IF(銘柄管理!C165="","",銘柄管理!C165)</f>
        <v/>
      </c>
      <c r="E133" s="329" t="str">
        <f>IF(C133&lt;&gt;"",_xll.RssMarket(C133,"現在値"),"")</f>
        <v/>
      </c>
      <c r="F133" s="329" t="str">
        <f>IF(C133&lt;&gt;"",_xll.RssMarket(C133,"始値"),"")</f>
        <v/>
      </c>
      <c r="G133" s="328">
        <f>IF(C133&lt;&gt;"",終値!F165,"")</f>
        <v>6483</v>
      </c>
      <c r="H133" s="329" t="str">
        <f>IF(C133&lt;&gt;"",_xll.RssMarket(C133,"高値"),"")</f>
        <v/>
      </c>
      <c r="I133" s="329" t="str">
        <f>IF(C133&lt;&gt;"",_xll.RssMarket(C133,"安値"),"")</f>
        <v/>
      </c>
      <c r="J133" s="329" t="str">
        <f>IF(C133&lt;&gt;"",_xll.RssMarket(C133,"出来高"),"")</f>
        <v/>
      </c>
      <c r="K133" s="329" t="str">
        <f>IF(C133&lt;&gt;"",_xll.RssMarket(C133,"年初来高値"),"")</f>
        <v/>
      </c>
      <c r="L133" s="330" t="str">
        <f t="shared" si="44"/>
        <v/>
      </c>
      <c r="M133" s="329">
        <f>IF(C133&lt;&gt;"",IFERROR(AVERAGE(出来高!E165:I165),""),"")</f>
        <v>159480</v>
      </c>
      <c r="N133" s="329">
        <f>IF(C133&lt;&gt;"",IFERROR(AVERAGE(出来高!E165:AC165),""),"")</f>
        <v>219984</v>
      </c>
      <c r="O133" s="331" t="str">
        <f t="shared" si="45"/>
        <v/>
      </c>
      <c r="P133" s="328" t="str">
        <f t="shared" si="46"/>
        <v/>
      </c>
      <c r="Q133" s="328" t="str">
        <f t="shared" si="47"/>
        <v/>
      </c>
      <c r="R133" s="329" t="str">
        <f t="shared" si="48"/>
        <v/>
      </c>
      <c r="S133" s="329" t="str">
        <f t="shared" si="49"/>
        <v/>
      </c>
      <c r="T133" s="328">
        <f t="shared" si="50"/>
        <v>0</v>
      </c>
      <c r="U133" s="328" t="str">
        <f t="shared" si="51"/>
        <v>除外</v>
      </c>
      <c r="V133" s="328" t="str">
        <f t="shared" si="52"/>
        <v/>
      </c>
      <c r="W133" s="332">
        <f t="array" ref="W133">IFERROR(100-100/(1+SUMPRODUCT((終値!F165:R165&gt;終値!G165:S165)*(終値!F165:R165-終値!G165:S165))/SUMPRODUCT((終値!F165:R165&lt;終値!G165:S165)*(終値!G165:S165-終値!F165:R165))),50)</f>
        <v>82.20338983050847</v>
      </c>
      <c r="X133" s="333">
        <f>IF(C133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112.17079951759115</v>
      </c>
      <c r="Y133" s="328" t="e">
        <f t="shared" si="53"/>
        <v>#VALUE!</v>
      </c>
      <c r="Z133" s="334" t="str">
        <f t="shared" si="54"/>
        <v/>
      </c>
      <c r="AA133" s="328" t="str">
        <f t="shared" si="55"/>
        <v/>
      </c>
      <c r="AB133" s="329">
        <f>IF(OR(C133="",C133="TOPX",終値!E165=""),"",IFERROR(((終値!E165*0.333)+(終値!F165*0.222)+(終値!G165*0.148)+(終値!H165*0.099)+(終値!I165*0.066))/(0.333+0.222+0.148+0.099+0.066),""))</f>
        <v>6575.4573732718882</v>
      </c>
      <c r="AC133" s="329">
        <f>IF(OR(C133="",C133="TOPX",終値!E165=""),"",IFERROR(SUMPRODUCT((終値!E165:AC165),{0.077,0.071,0.065,0.06,0.055,0.051,0.047,0.043,0.039,0.036,0.033,0.031,0.028,0.026,0.024,0.022,0.02,0.018,0.017,0.016,0.014,0.013,0.012,0.011,0.01})/SUM({0.077,0.071,0.065,0.06,0.055,0.051,0.047,0.043,0.039,0.036,0.033,0.031,0.028,0.026,0.024,0.022,0.02,0.018,0.017,0.016,0.014,0.013,0.012,0.011,0.01}),""))</f>
        <v>6309.5733015494616</v>
      </c>
      <c r="AD133" s="328" t="str">
        <f t="shared" si="56"/>
        <v>パーフェクト▲</v>
      </c>
      <c r="AE133" s="328" t="e">
        <f t="shared" si="57"/>
        <v>#VALUE!</v>
      </c>
      <c r="AF133" t="e">
        <f>IF(T133="","",IF(銘柄管理!$F$5="上昇▲",IF(AND(AD133="下降トレンド▼",OR(AE133="25日戻り売り★",AE133="5日戻り売り○")),"★逆張り売り",IF(AND(AD133="もみ合い→",OR(AE133="25日戻り売り★",AE133="5日戻り売り○")),"○逆張り売り",IF(W133&gt;=70,IF(Z133&lt;0,"◎反落確認","△過熱・様子見"),"相場上昇・見送り"))),IF(AND(T133&gt;=12,AD133="下降トレンド▼"),"★強い売り",IF(T133&gt;=12,"★強い売り",IF(AND(T133&gt;=8,OR(AE133="25日戻り売り★",AE133="5日戻り売り○")),"◎戻り売り",IF(T133&gt;=10,"○売り候補",IF(T133&gt;=6,"△注目",IF(T133&gt;=3,"様子見","見送り"))))))))</f>
        <v>#VALUE!</v>
      </c>
      <c r="AG133">
        <f t="shared" si="58"/>
        <v>0</v>
      </c>
      <c r="AH133">
        <f t="shared" si="59"/>
        <v>0</v>
      </c>
      <c r="AI133" s="376">
        <f t="array" ref="AI133">IF(C133="","",IFERROR((INDEX(終値!$E:$E,MATCH(TEXT(C133,"0"),終値!$A:$A,0))-INDEX(終値!$E:$CZ,MATCH(TEXT(C133,"0"),終値!$A:$A,0),$AN$2))/INDEX(終値!$E:$CZ,MATCH(TEXT(C133,"0"),終値!$A:$A,0),$AN$2)*100,""))</f>
        <v>9.8026206667772442</v>
      </c>
      <c r="AJ133" s="376">
        <f t="array" ref="AJ133">IFERROR((終値!$E$5-INDEX(終値!$E$5:$CZ$5,1,$AN$2))/INDEX(終値!$E$5:$CZ$5,1,$AN$2)*100,"")</f>
        <v>2.31989243802786</v>
      </c>
      <c r="AK133" s="377">
        <f t="shared" si="60"/>
        <v>7.4827282287493837</v>
      </c>
      <c r="AL133" s="375">
        <f t="shared" si="61"/>
        <v>-2</v>
      </c>
      <c r="AO133" s="379" t="e">
        <f t="shared" si="62"/>
        <v>#VALUE!</v>
      </c>
      <c r="AP133" s="380" t="e">
        <f t="shared" si="63"/>
        <v>#VALUE!</v>
      </c>
      <c r="AQ133">
        <f>IF(C133&lt;&gt;"",始値!F165,"")</f>
        <v>6541</v>
      </c>
      <c r="AR133">
        <f>IF(C133&lt;&gt;"",高値!F165,"")</f>
        <v>6554</v>
      </c>
      <c r="AS133">
        <f>IF(C133&lt;&gt;"",安値!F165,"")</f>
        <v>6411</v>
      </c>
      <c r="AT133" t="str">
        <f t="shared" si="64"/>
        <v>長い下ヒゲ(反発)</v>
      </c>
      <c r="AU133">
        <f t="shared" si="65"/>
        <v>-2</v>
      </c>
    </row>
    <row r="134" spans="1:47" ht="14.25" customHeight="1">
      <c r="A134" s="335" t="str">
        <f>IF(銘柄管理!B167&lt;&gt;"",HYPERLINK("https://kabutan.jp/stock/?code="&amp;銘柄管理!B167,"株探"),"")</f>
        <v>株探</v>
      </c>
      <c r="B134" s="215"/>
      <c r="C134" s="478">
        <f>IF(銘柄管理!B167="","",銘柄管理!B167)</f>
        <v>9551</v>
      </c>
      <c r="D134" s="215" t="str">
        <f>IF(銘柄管理!C167="","",銘柄管理!C167)</f>
        <v/>
      </c>
      <c r="E134" s="336" t="str">
        <f>IF(C134&lt;&gt;"",_xll.RssMarket(C134,"現在値"),"")</f>
        <v/>
      </c>
      <c r="F134" s="336" t="str">
        <f>IF(C134&lt;&gt;"",_xll.RssMarket(C134,"始値"),"")</f>
        <v/>
      </c>
      <c r="G134" s="215">
        <f>IF(C134&lt;&gt;"",終値!F167,"")</f>
        <v>3230</v>
      </c>
      <c r="H134" s="336" t="str">
        <f>IF(C134&lt;&gt;"",_xll.RssMarket(C134,"高値"),"")</f>
        <v/>
      </c>
      <c r="I134" s="336" t="str">
        <f>IF(C134&lt;&gt;"",_xll.RssMarket(C134,"安値"),"")</f>
        <v/>
      </c>
      <c r="J134" s="336" t="str">
        <f>IF(C134&lt;&gt;"",_xll.RssMarket(C134,"出来高"),"")</f>
        <v/>
      </c>
      <c r="K134" s="336" t="str">
        <f>IF(C134&lt;&gt;"",_xll.RssMarket(C134,"年初来高値"),"")</f>
        <v/>
      </c>
      <c r="L134" s="337" t="str">
        <f t="shared" si="44"/>
        <v/>
      </c>
      <c r="M134" s="336">
        <f>IF(C134&lt;&gt;"",IFERROR(AVERAGE(出来高!E167:I167),""),"")</f>
        <v>102260</v>
      </c>
      <c r="N134" s="336">
        <f>IF(C134&lt;&gt;"",IFERROR(AVERAGE(出来高!E167:AC167),""),"")</f>
        <v>112000</v>
      </c>
      <c r="O134" s="338" t="str">
        <f t="shared" si="45"/>
        <v/>
      </c>
      <c r="P134" s="215" t="str">
        <f t="shared" si="46"/>
        <v/>
      </c>
      <c r="Q134" s="215" t="str">
        <f t="shared" si="47"/>
        <v/>
      </c>
      <c r="R134" s="336" t="str">
        <f t="shared" si="48"/>
        <v/>
      </c>
      <c r="S134" s="336" t="str">
        <f t="shared" si="49"/>
        <v/>
      </c>
      <c r="T134" s="328">
        <f t="shared" si="50"/>
        <v>0</v>
      </c>
      <c r="U134" s="215" t="str">
        <f t="shared" si="51"/>
        <v>除外</v>
      </c>
      <c r="V134" s="215" t="str">
        <f t="shared" si="52"/>
        <v/>
      </c>
      <c r="W134" s="339">
        <f t="array" ref="W134">IFERROR(100-100/(1+SUMPRODUCT((終値!F167:R167&gt;終値!G167:S167)*(終値!F167:R167-終値!G167:S167))/SUMPRODUCT((終値!F167:R167&lt;終値!G167:S167)*(終値!G167:S167-終値!F167:R167))),50)</f>
        <v>32.919254658385086</v>
      </c>
      <c r="X134" s="340">
        <f>IF(C134&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-37.232246983945515</v>
      </c>
      <c r="Y134" s="215" t="e">
        <f t="shared" si="53"/>
        <v>#VALUE!</v>
      </c>
      <c r="Z134" s="341" t="str">
        <f t="shared" si="54"/>
        <v/>
      </c>
      <c r="AA134" s="215" t="str">
        <f t="shared" si="55"/>
        <v/>
      </c>
      <c r="AB134" s="336">
        <f>IF(OR(C134="",C134="TOPX",終値!E167=""),"",IFERROR(((終値!E167*0.333)+(終値!F167*0.222)+(終値!G167*0.148)+(終値!H167*0.099)+(終値!I167*0.066))/(0.333+0.222+0.148+0.099+0.066),""))</f>
        <v>3175.9504608294933</v>
      </c>
      <c r="AC134" s="336">
        <f>IF(OR(C134="",C134="TOPX",終値!E167=""),"",IFERROR(SUMPRODUCT((終値!E167:AC167),{0.077,0.071,0.065,0.06,0.055,0.051,0.047,0.043,0.039,0.036,0.033,0.031,0.028,0.026,0.024,0.022,0.02,0.018,0.017,0.016,0.014,0.013,0.012,0.011,0.01})/SUM({0.077,0.071,0.065,0.06,0.055,0.051,0.047,0.043,0.039,0.036,0.033,0.031,0.028,0.026,0.024,0.022,0.02,0.018,0.017,0.016,0.014,0.013,0.012,0.011,0.01}),""))</f>
        <v>3286.6567342073877</v>
      </c>
      <c r="AD134" s="215" t="str">
        <f t="shared" si="56"/>
        <v>上昇トレンド▲</v>
      </c>
      <c r="AE134" s="215" t="e">
        <f t="shared" si="57"/>
        <v>#VALUE!</v>
      </c>
      <c r="AF134" t="e">
        <f>IF(T134="","",IF(銘柄管理!$F$5="上昇▲",IF(AND(AD134="下降トレンド▼",OR(AE134="25日戻り売り★",AE134="5日戻り売り○")),"★逆張り売り",IF(AND(AD134="もみ合い→",OR(AE134="25日戻り売り★",AE134="5日戻り売り○")),"○逆張り売り",IF(W134&gt;=70,IF(Z134&lt;0,"◎反落確認","△過熱・様子見"),"相場上昇・見送り"))),IF(AND(T134&gt;=12,AD134="下降トレンド▼"),"★強い売り",IF(T134&gt;=12,"★強い売り",IF(AND(T134&gt;=8,OR(AE134="25日戻り売り★",AE134="5日戻り売り○")),"◎戻り売り",IF(T134&gt;=10,"○売り候補",IF(T134&gt;=6,"△注目",IF(T134&gt;=3,"様子見","見送り"))))))))</f>
        <v>#VALUE!</v>
      </c>
      <c r="AG134">
        <f t="shared" si="58"/>
        <v>0</v>
      </c>
      <c r="AH134">
        <f t="shared" si="59"/>
        <v>0</v>
      </c>
      <c r="AI134" s="376">
        <f t="array" ref="AI134">IF(C134="","",IFERROR((INDEX(終値!$E:$E,MATCH(TEXT(C134,"0"),終値!$A:$A,0))-INDEX(終値!$E:$CZ,MATCH(TEXT(C134,"0"),終値!$A:$A,0),$AN$2))/INDEX(終値!$E:$CZ,MATCH(TEXT(C134,"0"),終値!$A:$A,0),$AN$2)*100,""))</f>
        <v>-5.0228310502283104</v>
      </c>
      <c r="AJ134" s="376">
        <f t="array" ref="AJ134">IFERROR((終値!$E$5-INDEX(終値!$E$5:$CZ$5,1,$AN$2))/INDEX(終値!$E$5:$CZ$5,1,$AN$2)*100,"")</f>
        <v>2.31989243802786</v>
      </c>
      <c r="AK134" s="377">
        <f t="shared" si="60"/>
        <v>-7.3427234882561709</v>
      </c>
      <c r="AL134" s="375">
        <f t="shared" si="61"/>
        <v>3</v>
      </c>
      <c r="AO134" s="379" t="e">
        <f t="shared" si="62"/>
        <v>#VALUE!</v>
      </c>
      <c r="AP134" s="380" t="e">
        <f t="shared" si="63"/>
        <v>#VALUE!</v>
      </c>
      <c r="AQ134">
        <f>IF(C134&lt;&gt;"",始値!F167,"")</f>
        <v>3200</v>
      </c>
      <c r="AR134">
        <f>IF(C134&lt;&gt;"",高値!F167,"")</f>
        <v>3240</v>
      </c>
      <c r="AS134">
        <f>IF(C134&lt;&gt;"",安値!F167,"")</f>
        <v>3175</v>
      </c>
      <c r="AT134" t="str">
        <f t="shared" si="64"/>
        <v>通常</v>
      </c>
      <c r="AU134">
        <f t="shared" si="65"/>
        <v>0</v>
      </c>
    </row>
    <row r="135" spans="1:47" ht="14.25" customHeight="1">
      <c r="A135" s="327" t="str">
        <f>IF(銘柄管理!B168&lt;&gt;"",HYPERLINK("https://kabutan.jp/stock/?code="&amp;銘柄管理!B168,"株探"),"")</f>
        <v>株探</v>
      </c>
      <c r="B135" s="328"/>
      <c r="C135" s="477">
        <f>IF(銘柄管理!B168="","",銘柄管理!B168)</f>
        <v>2359</v>
      </c>
      <c r="D135" s="328" t="str">
        <f>IF(銘柄管理!C168="","",銘柄管理!C168)</f>
        <v/>
      </c>
      <c r="E135" s="329" t="str">
        <f>IF(C135&lt;&gt;"",_xll.RssMarket(C135,"現在値"),"")</f>
        <v/>
      </c>
      <c r="F135" s="329" t="str">
        <f>IF(C135&lt;&gt;"",_xll.RssMarket(C135,"始値"),"")</f>
        <v/>
      </c>
      <c r="G135" s="328">
        <f>IF(C135&lt;&gt;"",終値!F168,"")</f>
        <v>2010</v>
      </c>
      <c r="H135" s="329" t="str">
        <f>IF(C135&lt;&gt;"",_xll.RssMarket(C135,"高値"),"")</f>
        <v/>
      </c>
      <c r="I135" s="329" t="str">
        <f>IF(C135&lt;&gt;"",_xll.RssMarket(C135,"安値"),"")</f>
        <v/>
      </c>
      <c r="J135" s="329" t="str">
        <f>IF(C135&lt;&gt;"",_xll.RssMarket(C135,"出来高"),"")</f>
        <v/>
      </c>
      <c r="K135" s="329" t="str">
        <f>IF(C135&lt;&gt;"",_xll.RssMarket(C135,"年初来高値"),"")</f>
        <v/>
      </c>
      <c r="L135" s="330" t="str">
        <f t="shared" si="44"/>
        <v/>
      </c>
      <c r="M135" s="329">
        <f>IF(C135&lt;&gt;"",IFERROR(AVERAGE(出来高!E168:I168),""),"")</f>
        <v>19080</v>
      </c>
      <c r="N135" s="329">
        <f>IF(C135&lt;&gt;"",IFERROR(AVERAGE(出来高!E168:AC168),""),"")</f>
        <v>21580</v>
      </c>
      <c r="O135" s="331" t="str">
        <f t="shared" si="45"/>
        <v/>
      </c>
      <c r="P135" s="328" t="str">
        <f t="shared" si="46"/>
        <v/>
      </c>
      <c r="Q135" s="328" t="str">
        <f t="shared" si="47"/>
        <v/>
      </c>
      <c r="R135" s="329" t="str">
        <f t="shared" si="48"/>
        <v/>
      </c>
      <c r="S135" s="329" t="str">
        <f t="shared" si="49"/>
        <v/>
      </c>
      <c r="T135" s="328">
        <f t="shared" si="50"/>
        <v>0</v>
      </c>
      <c r="U135" s="328" t="str">
        <f t="shared" si="51"/>
        <v>除外</v>
      </c>
      <c r="V135" s="328" t="str">
        <f t="shared" si="52"/>
        <v/>
      </c>
      <c r="W135" s="332">
        <f t="array" ref="W135">IFERROR(100-100/(1+SUMPRODUCT((終値!F168:R168&gt;終値!G168:S168)*(終値!F168:R168-終値!G168:S168))/SUMPRODUCT((終値!F168:R168&lt;終値!G168:S168)*(終値!G168:S168-終値!F168:R168))),50)</f>
        <v>51.231527093596064</v>
      </c>
      <c r="X135" s="333">
        <f>IF(C135&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-4.8825003283718615</v>
      </c>
      <c r="Y135" s="328" t="e">
        <f t="shared" si="53"/>
        <v>#VALUE!</v>
      </c>
      <c r="Z135" s="334" t="str">
        <f t="shared" si="54"/>
        <v/>
      </c>
      <c r="AA135" s="328" t="str">
        <f t="shared" si="55"/>
        <v/>
      </c>
      <c r="AB135" s="329">
        <f>IF(OR(C135="",C135="TOPX",終値!E168=""),"",IFERROR(((終値!E168*0.333)+(終値!F168*0.222)+(終値!G168*0.148)+(終値!H168*0.099)+(終値!I168*0.066))/(0.333+0.222+0.148+0.099+0.066),""))</f>
        <v>1995.088709677419</v>
      </c>
      <c r="AC135" s="329">
        <f>IF(OR(C135="",C135="TOPX",終値!E168=""),"",IFERROR(SUMPRODUCT((終値!E168:AC168),{0.077,0.071,0.065,0.06,0.055,0.051,0.047,0.043,0.039,0.036,0.033,0.031,0.028,0.026,0.024,0.022,0.02,0.018,0.017,0.016,0.014,0.013,0.012,0.011,0.01})/SUM({0.077,0.071,0.065,0.06,0.055,0.051,0.047,0.043,0.039,0.036,0.033,0.031,0.028,0.026,0.024,0.022,0.02,0.018,0.017,0.016,0.014,0.013,0.012,0.011,0.01}),""))</f>
        <v>1984.972586412395</v>
      </c>
      <c r="AD135" s="328" t="str">
        <f t="shared" si="56"/>
        <v>パーフェクト▲</v>
      </c>
      <c r="AE135" s="328" t="e">
        <f t="shared" si="57"/>
        <v>#VALUE!</v>
      </c>
      <c r="AF135" t="e">
        <f>IF(T135="","",IF(銘柄管理!$F$5="上昇▲",IF(AND(AD135="下降トレンド▼",OR(AE135="25日戻り売り★",AE135="5日戻り売り○")),"★逆張り売り",IF(AND(AD135="もみ合い→",OR(AE135="25日戻り売り★",AE135="5日戻り売り○")),"○逆張り売り",IF(W135&gt;=70,IF(Z135&lt;0,"◎反落確認","△過熱・様子見"),"相場上昇・見送り"))),IF(AND(T135&gt;=12,AD135="下降トレンド▼"),"★強い売り",IF(T135&gt;=12,"★強い売り",IF(AND(T135&gt;=8,OR(AE135="25日戻り売り★",AE135="5日戻り売り○")),"◎戻り売り",IF(T135&gt;=10,"○売り候補",IF(T135&gt;=6,"△注目",IF(T135&gt;=3,"様子見","見送り"))))))))</f>
        <v>#VALUE!</v>
      </c>
      <c r="AG135">
        <f t="shared" si="58"/>
        <v>0</v>
      </c>
      <c r="AH135">
        <f t="shared" si="59"/>
        <v>0</v>
      </c>
      <c r="AI135" s="376">
        <f t="array" ref="AI135">IF(C135="","",IFERROR((INDEX(終値!$E:$E,MATCH(TEXT(C135,"0"),終値!$A:$A,0))-INDEX(終値!$E:$CZ,MATCH(TEXT(C135,"0"),終値!$A:$A,0),$AN$2))/INDEX(終値!$E:$CZ,MATCH(TEXT(C135,"0"),終値!$A:$A,0),$AN$2)*100,""))</f>
        <v>-4.9447911665866542</v>
      </c>
      <c r="AJ135" s="376">
        <f t="array" ref="AJ135">IFERROR((終値!$E$5-INDEX(終値!$E$5:$CZ$5,1,$AN$2))/INDEX(終値!$E$5:$CZ$5,1,$AN$2)*100,"")</f>
        <v>2.31989243802786</v>
      </c>
      <c r="AK135" s="377">
        <f t="shared" si="60"/>
        <v>-7.2646836046145147</v>
      </c>
      <c r="AL135" s="375">
        <f t="shared" si="61"/>
        <v>3</v>
      </c>
      <c r="AO135" s="379" t="e">
        <f t="shared" si="62"/>
        <v>#VALUE!</v>
      </c>
      <c r="AP135" s="380" t="e">
        <f t="shared" si="63"/>
        <v>#VALUE!</v>
      </c>
      <c r="AQ135">
        <f>IF(C135&lt;&gt;"",始値!F168,"")</f>
        <v>2019</v>
      </c>
      <c r="AR135">
        <f>IF(C135&lt;&gt;"",高値!F168,"")</f>
        <v>2022</v>
      </c>
      <c r="AS135">
        <f>IF(C135&lt;&gt;"",安値!F168,"")</f>
        <v>2000</v>
      </c>
      <c r="AT135" t="str">
        <f t="shared" si="64"/>
        <v>通常</v>
      </c>
      <c r="AU135">
        <f t="shared" si="65"/>
        <v>0</v>
      </c>
    </row>
    <row r="136" spans="1:47" ht="14.25" customHeight="1">
      <c r="A136" s="335" t="str">
        <f>IF(銘柄管理!B169&lt;&gt;"",HYPERLINK("https://kabutan.jp/stock/?code="&amp;銘柄管理!B169,"株探"),"")</f>
        <v>株探</v>
      </c>
      <c r="B136" s="215"/>
      <c r="C136" s="478">
        <f>IF(銘柄管理!B169="","",銘柄管理!B169)</f>
        <v>8103</v>
      </c>
      <c r="D136" s="215" t="str">
        <f>IF(銘柄管理!C169="","",銘柄管理!C169)</f>
        <v/>
      </c>
      <c r="E136" s="336" t="str">
        <f>IF(C136&lt;&gt;"",_xll.RssMarket(C136,"現在値"),"")</f>
        <v/>
      </c>
      <c r="F136" s="336" t="str">
        <f>IF(C136&lt;&gt;"",_xll.RssMarket(C136,"始値"),"")</f>
        <v/>
      </c>
      <c r="G136" s="215">
        <f>IF(C136&lt;&gt;"",終値!F169,"")</f>
        <v>917</v>
      </c>
      <c r="H136" s="336" t="str">
        <f>IF(C136&lt;&gt;"",_xll.RssMarket(C136,"高値"),"")</f>
        <v/>
      </c>
      <c r="I136" s="336" t="str">
        <f>IF(C136&lt;&gt;"",_xll.RssMarket(C136,"安値"),"")</f>
        <v/>
      </c>
      <c r="J136" s="336" t="str">
        <f>IF(C136&lt;&gt;"",_xll.RssMarket(C136,"出来高"),"")</f>
        <v/>
      </c>
      <c r="K136" s="336" t="str">
        <f>IF(C136&lt;&gt;"",_xll.RssMarket(C136,"年初来高値"),"")</f>
        <v/>
      </c>
      <c r="L136" s="337" t="str">
        <f t="shared" si="44"/>
        <v/>
      </c>
      <c r="M136" s="336">
        <f>IF(C136&lt;&gt;"",IFERROR(AVERAGE(出来高!E169:I169),""),"")</f>
        <v>169880</v>
      </c>
      <c r="N136" s="336">
        <f>IF(C136&lt;&gt;"",IFERROR(AVERAGE(出来高!E169:AC169),""),"")</f>
        <v>183172</v>
      </c>
      <c r="O136" s="338" t="str">
        <f t="shared" si="45"/>
        <v/>
      </c>
      <c r="P136" s="215" t="str">
        <f t="shared" si="46"/>
        <v/>
      </c>
      <c r="Q136" s="215" t="str">
        <f t="shared" si="47"/>
        <v/>
      </c>
      <c r="R136" s="336" t="str">
        <f t="shared" si="48"/>
        <v/>
      </c>
      <c r="S136" s="336" t="str">
        <f t="shared" si="49"/>
        <v/>
      </c>
      <c r="T136" s="328">
        <f t="shared" si="50"/>
        <v>0</v>
      </c>
      <c r="U136" s="215" t="str">
        <f t="shared" si="51"/>
        <v>除外</v>
      </c>
      <c r="V136" s="215" t="str">
        <f t="shared" si="52"/>
        <v/>
      </c>
      <c r="W136" s="339">
        <f t="array" ref="W136">IFERROR(100-100/(1+SUMPRODUCT((終値!F169:R169&gt;終値!G169:S169)*(終値!F169:R169-終値!G169:S169))/SUMPRODUCT((終値!F169:R169&lt;終値!G169:S169)*(終値!G169:S169-終値!F169:R169))),50)</f>
        <v>76.923076923076934</v>
      </c>
      <c r="X136" s="340">
        <f>IF(C136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5.686195216507258</v>
      </c>
      <c r="Y136" s="215" t="e">
        <f t="shared" si="53"/>
        <v>#VALUE!</v>
      </c>
      <c r="Z136" s="341" t="str">
        <f t="shared" si="54"/>
        <v/>
      </c>
      <c r="AA136" s="215" t="str">
        <f t="shared" si="55"/>
        <v/>
      </c>
      <c r="AB136" s="336">
        <f>IF(OR(C136="",C136="TOPX",終値!E169=""),"",IFERROR(((終値!E169*0.333)+(終値!F169*0.222)+(終値!G169*0.148)+(終値!H169*0.099)+(終値!I169*0.066))/(0.333+0.222+0.148+0.099+0.066),""))</f>
        <v>904.04262672811058</v>
      </c>
      <c r="AC136" s="336">
        <f>IF(OR(C136="",C136="TOPX",終値!E169=""),"",IFERROR(SUMPRODUCT((終値!E169:AC169),{0.077,0.071,0.065,0.06,0.055,0.051,0.047,0.043,0.039,0.036,0.033,0.031,0.028,0.026,0.024,0.022,0.02,0.018,0.017,0.016,0.014,0.013,0.012,0.011,0.01})/SUM({0.077,0.071,0.065,0.06,0.055,0.051,0.047,0.043,0.039,0.036,0.033,0.031,0.028,0.026,0.024,0.022,0.02,0.018,0.017,0.016,0.014,0.013,0.012,0.011,0.01}),""))</f>
        <v>892.51609058402823</v>
      </c>
      <c r="AD136" s="215" t="str">
        <f t="shared" si="56"/>
        <v>パーフェクト▲</v>
      </c>
      <c r="AE136" s="215" t="e">
        <f t="shared" si="57"/>
        <v>#VALUE!</v>
      </c>
      <c r="AF136" t="e">
        <f>IF(T136="","",IF(銘柄管理!$F$5="上昇▲",IF(AND(AD136="下降トレンド▼",OR(AE136="25日戻り売り★",AE136="5日戻り売り○")),"★逆張り売り",IF(AND(AD136="もみ合い→",OR(AE136="25日戻り売り★",AE136="5日戻り売り○")),"○逆張り売り",IF(W136&gt;=70,IF(Z136&lt;0,"◎反落確認","△過熱・様子見"),"相場上昇・見送り"))),IF(AND(T136&gt;=12,AD136="下降トレンド▼"),"★強い売り",IF(T136&gt;=12,"★強い売り",IF(AND(T136&gt;=8,OR(AE136="25日戻り売り★",AE136="5日戻り売り○")),"◎戻り売り",IF(T136&gt;=10,"○売り候補",IF(T136&gt;=6,"△注目",IF(T136&gt;=3,"様子見","見送り"))))))))</f>
        <v>#VALUE!</v>
      </c>
      <c r="AG136">
        <f t="shared" si="58"/>
        <v>0</v>
      </c>
      <c r="AH136">
        <f t="shared" si="59"/>
        <v>0</v>
      </c>
      <c r="AI136" s="376">
        <f t="array" ref="AI136">IF(C136="","",IFERROR((INDEX(終値!$E:$E,MATCH(TEXT(C136,"0"),終値!$A:$A,0))-INDEX(終値!$E:$CZ,MATCH(TEXT(C136,"0"),終値!$A:$A,0),$AN$2))/INDEX(終値!$E:$CZ,MATCH(TEXT(C136,"0"),終値!$A:$A,0),$AN$2)*100,""))</f>
        <v>1.8202502844141069</v>
      </c>
      <c r="AJ136" s="376">
        <f t="array" ref="AJ136">IFERROR((終値!$E$5-INDEX(終値!$E$5:$CZ$5,1,$AN$2))/INDEX(終値!$E$5:$CZ$5,1,$AN$2)*100,"")</f>
        <v>2.31989243802786</v>
      </c>
      <c r="AK136" s="377">
        <f t="shared" si="60"/>
        <v>-0.49964215361375319</v>
      </c>
      <c r="AL136" s="375">
        <f t="shared" si="61"/>
        <v>1</v>
      </c>
      <c r="AO136" s="379" t="e">
        <f t="shared" si="62"/>
        <v>#VALUE!</v>
      </c>
      <c r="AP136" s="380" t="e">
        <f t="shared" si="63"/>
        <v>#VALUE!</v>
      </c>
      <c r="AQ136">
        <f>IF(C136&lt;&gt;"",始値!F169,"")</f>
        <v>908</v>
      </c>
      <c r="AR136">
        <f>IF(C136&lt;&gt;"",高値!F169,"")</f>
        <v>919</v>
      </c>
      <c r="AS136">
        <f>IF(C136&lt;&gt;"",安値!F169,"")</f>
        <v>905</v>
      </c>
      <c r="AT136" t="str">
        <f t="shared" si="64"/>
        <v>通常</v>
      </c>
      <c r="AU136">
        <f t="shared" si="65"/>
        <v>0</v>
      </c>
    </row>
    <row r="137" spans="1:47" ht="14.25" customHeight="1">
      <c r="A137" s="327" t="str">
        <f>IF(銘柄管理!B177&lt;&gt;"",HYPERLINK("https://kabutan.jp/stock/?code="&amp;銘柄管理!B177,"株探"),"")</f>
        <v>株探</v>
      </c>
      <c r="B137" s="328"/>
      <c r="C137" s="477">
        <f>IF(銘柄管理!B177="","",銘柄管理!B177)</f>
        <v>7236</v>
      </c>
      <c r="D137" s="328" t="str">
        <f>IF(銘柄管理!C177="","",銘柄管理!C177)</f>
        <v/>
      </c>
      <c r="E137" s="329" t="str">
        <f>IF(C137&lt;&gt;"",_xll.RssMarket(C137,"現在値"),"")</f>
        <v/>
      </c>
      <c r="F137" s="329" t="str">
        <f>IF(C137&lt;&gt;"",_xll.RssMarket(C137,"始値"),"")</f>
        <v/>
      </c>
      <c r="G137" s="328">
        <f>IF(C137&lt;&gt;"",終値!F177,"")</f>
        <v>1530</v>
      </c>
      <c r="H137" s="329" t="str">
        <f>IF(C137&lt;&gt;"",_xll.RssMarket(C137,"高値"),"")</f>
        <v/>
      </c>
      <c r="I137" s="329" t="str">
        <f>IF(C137&lt;&gt;"",_xll.RssMarket(C137,"安値"),"")</f>
        <v/>
      </c>
      <c r="J137" s="329" t="str">
        <f>IF(C137&lt;&gt;"",_xll.RssMarket(C137,"出来高"),"")</f>
        <v/>
      </c>
      <c r="K137" s="329" t="str">
        <f>IF(C137&lt;&gt;"",_xll.RssMarket(C137,"年初来高値"),"")</f>
        <v/>
      </c>
      <c r="L137" s="330" t="str">
        <f t="shared" si="44"/>
        <v/>
      </c>
      <c r="M137" s="329">
        <f>IF(C137&lt;&gt;"",IFERROR(AVERAGE(出来高!E177:I177),""),"")</f>
        <v>287800</v>
      </c>
      <c r="N137" s="329">
        <f>IF(C137&lt;&gt;"",IFERROR(AVERAGE(出来高!E177:AC177),""),"")</f>
        <v>168424</v>
      </c>
      <c r="O137" s="331" t="str">
        <f t="shared" si="45"/>
        <v/>
      </c>
      <c r="P137" s="328" t="str">
        <f t="shared" si="46"/>
        <v/>
      </c>
      <c r="Q137" s="328" t="str">
        <f t="shared" si="47"/>
        <v/>
      </c>
      <c r="R137" s="329" t="str">
        <f t="shared" si="48"/>
        <v/>
      </c>
      <c r="S137" s="329" t="str">
        <f t="shared" si="49"/>
        <v/>
      </c>
      <c r="T137" s="328">
        <f t="shared" si="50"/>
        <v>0</v>
      </c>
      <c r="U137" s="328" t="str">
        <f t="shared" si="51"/>
        <v>除外</v>
      </c>
      <c r="V137" s="328" t="str">
        <f t="shared" si="52"/>
        <v/>
      </c>
      <c r="W137" s="332">
        <f t="array" ref="W137">IFERROR(100-100/(1+SUMPRODUCT((終値!F177:R177&gt;終値!G177:S177)*(終値!F177:R177-終値!G177:S177))/SUMPRODUCT((終値!F177:R177&lt;終値!G177:S177)*(終値!G177:S177-終値!F177:R177))),50)</f>
        <v>3.3934103069557864</v>
      </c>
      <c r="X137" s="333">
        <f>IF(C137&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-1765.0291574954529</v>
      </c>
      <c r="Y137" s="328" t="e">
        <f t="shared" si="53"/>
        <v>#VALUE!</v>
      </c>
      <c r="Z137" s="334" t="str">
        <f t="shared" si="54"/>
        <v/>
      </c>
      <c r="AA137" s="328" t="str">
        <f t="shared" si="55"/>
        <v/>
      </c>
      <c r="AB137" s="329">
        <f>IF(OR(C137="",C137="TOPX",終値!E177=""),"",IFERROR(((終値!E177*0.333)+(終値!F177*0.222)+(終値!G177*0.148)+(終値!H177*0.099)+(終値!I177*0.066))/(0.333+0.222+0.148+0.099+0.066),""))</f>
        <v>1496.6382488479262</v>
      </c>
      <c r="AC137" s="329">
        <f>IF(OR(C137="",C137="TOPX",終値!E177=""),"",IFERROR(SUMPRODUCT((終値!E177:AC177),{0.077,0.071,0.065,0.06,0.055,0.051,0.047,0.043,0.039,0.036,0.033,0.031,0.028,0.026,0.024,0.022,0.02,0.018,0.017,0.016,0.014,0.013,0.012,0.011,0.01})/SUM({0.077,0.071,0.065,0.06,0.055,0.051,0.047,0.043,0.039,0.036,0.033,0.031,0.028,0.026,0.024,0.022,0.02,0.018,0.017,0.016,0.014,0.013,0.012,0.011,0.01}),""))</f>
        <v>4639.3384982121552</v>
      </c>
      <c r="AD137" s="328" t="str">
        <f t="shared" si="56"/>
        <v>上昇トレンド▲</v>
      </c>
      <c r="AE137" s="328" t="e">
        <f t="shared" si="57"/>
        <v>#VALUE!</v>
      </c>
      <c r="AF137" t="e">
        <f>IF(T137="","",IF(銘柄管理!$F$5="上昇▲",IF(AND(AD137="下降トレンド▼",OR(AE137="25日戻り売り★",AE137="5日戻り売り○")),"★逆張り売り",IF(AND(AD137="もみ合い→",OR(AE137="25日戻り売り★",AE137="5日戻り売り○")),"○逆張り売り",IF(W137&gt;=70,IF(Z137&lt;0,"◎反落確認","△過熱・様子見"),"相場上昇・見送り"))),IF(AND(T137&gt;=12,AD137="下降トレンド▼"),"★強い売り",IF(T137&gt;=12,"★強い売り",IF(AND(T137&gt;=8,OR(AE137="25日戻り売り★",AE137="5日戻り売り○")),"◎戻り売り",IF(T137&gt;=10,"○売り候補",IF(T137&gt;=6,"△注目",IF(T137&gt;=3,"様子見","見送り"))))))))</f>
        <v>#VALUE!</v>
      </c>
      <c r="AG137">
        <f t="shared" si="58"/>
        <v>0</v>
      </c>
      <c r="AH137">
        <f t="shared" si="59"/>
        <v>0</v>
      </c>
      <c r="AI137" s="376">
        <f t="array" ref="AI137">IF(C137="","",IFERROR((INDEX(終値!$E:$E,MATCH(TEXT(C137,"0"),終値!$A:$A,0))-INDEX(終値!$E:$CZ,MATCH(TEXT(C137,"0"),終値!$A:$A,0),$AN$2))/INDEX(終値!$E:$CZ,MATCH(TEXT(C137,"0"),終値!$A:$A,0),$AN$2)*100,""))</f>
        <v>-89.45195729537366</v>
      </c>
      <c r="AJ137" s="376">
        <f t="array" ref="AJ137">IFERROR((終値!$E$5-INDEX(終値!$E$5:$CZ$5,1,$AN$2))/INDEX(終値!$E$5:$CZ$5,1,$AN$2)*100,"")</f>
        <v>2.31989243802786</v>
      </c>
      <c r="AK137" s="377">
        <f t="shared" si="60"/>
        <v>-91.771849733401524</v>
      </c>
      <c r="AL137" s="375">
        <f t="shared" si="61"/>
        <v>3</v>
      </c>
      <c r="AO137" s="379" t="e">
        <f t="shared" si="62"/>
        <v>#VALUE!</v>
      </c>
      <c r="AP137" s="380" t="e">
        <f t="shared" si="63"/>
        <v>#VALUE!</v>
      </c>
      <c r="AQ137">
        <f>IF(C137&lt;&gt;"",始値!F177,"")</f>
        <v>1508</v>
      </c>
      <c r="AR137">
        <f>IF(C137&lt;&gt;"",高値!F177,"")</f>
        <v>1538</v>
      </c>
      <c r="AS137">
        <f>IF(C137&lt;&gt;"",安値!F177,"")</f>
        <v>1503</v>
      </c>
      <c r="AT137" t="str">
        <f t="shared" si="64"/>
        <v>通常</v>
      </c>
      <c r="AU137">
        <f t="shared" si="65"/>
        <v>0</v>
      </c>
    </row>
    <row r="138" spans="1:47" ht="14.25" customHeight="1">
      <c r="A138" s="335" t="str">
        <f>IF(銘柄管理!B193&lt;&gt;"",HYPERLINK("https://kabutan.jp/stock/?code="&amp;銘柄管理!B193,"株探"),"")</f>
        <v>株探</v>
      </c>
      <c r="B138" s="215"/>
      <c r="C138" s="478">
        <f>IF(銘柄管理!B193="","",銘柄管理!B193)</f>
        <v>5243</v>
      </c>
      <c r="D138" s="215" t="str">
        <f>IF(銘柄管理!C193="","",銘柄管理!C193)</f>
        <v/>
      </c>
      <c r="E138" s="336" t="str">
        <f>IF(C138&lt;&gt;"",_xll.RssMarket(C138,"現在値"),"")</f>
        <v/>
      </c>
      <c r="F138" s="336" t="str">
        <f>IF(C138&lt;&gt;"",_xll.RssMarket(C138,"始値"),"")</f>
        <v/>
      </c>
      <c r="G138" s="215">
        <f>IF(C138&lt;&gt;"",終値!F193,"")</f>
        <v>2144</v>
      </c>
      <c r="H138" s="336" t="str">
        <f>IF(C138&lt;&gt;"",_xll.RssMarket(C138,"高値"),"")</f>
        <v/>
      </c>
      <c r="I138" s="336" t="str">
        <f>IF(C138&lt;&gt;"",_xll.RssMarket(C138,"安値"),"")</f>
        <v/>
      </c>
      <c r="J138" s="336" t="str">
        <f>IF(C138&lt;&gt;"",_xll.RssMarket(C138,"出来高"),"")</f>
        <v/>
      </c>
      <c r="K138" s="336" t="str">
        <f>IF(C138&lt;&gt;"",_xll.RssMarket(C138,"年初来高値"),"")</f>
        <v/>
      </c>
      <c r="L138" s="337" t="str">
        <f t="shared" si="44"/>
        <v/>
      </c>
      <c r="M138" s="336">
        <f>IF(C138&lt;&gt;"",IFERROR(AVERAGE(出来高!E193:I193),""),"")</f>
        <v>619520</v>
      </c>
      <c r="N138" s="336">
        <f>IF(C138&lt;&gt;"",IFERROR(AVERAGE(出来高!E193:AC193),""),"")</f>
        <v>545228</v>
      </c>
      <c r="O138" s="338" t="str">
        <f t="shared" si="45"/>
        <v/>
      </c>
      <c r="P138" s="215" t="str">
        <f t="shared" si="46"/>
        <v/>
      </c>
      <c r="Q138" s="215" t="str">
        <f t="shared" si="47"/>
        <v/>
      </c>
      <c r="R138" s="336" t="str">
        <f t="shared" si="48"/>
        <v/>
      </c>
      <c r="S138" s="336" t="str">
        <f t="shared" si="49"/>
        <v/>
      </c>
      <c r="T138" s="328">
        <f t="shared" si="50"/>
        <v>0</v>
      </c>
      <c r="U138" s="215" t="str">
        <f t="shared" si="51"/>
        <v>除外</v>
      </c>
      <c r="V138" s="215" t="str">
        <f t="shared" si="52"/>
        <v/>
      </c>
      <c r="W138" s="339">
        <f t="array" ref="W138">IFERROR(100-100/(1+SUMPRODUCT((終値!F193:R193&gt;終値!G193:S193)*(終値!F193:R193-終値!G193:S193))/SUMPRODUCT((終値!F193:R193&lt;終値!G193:S193)*(終値!G193:S193-終値!F193:R193))),50)</f>
        <v>64.868804664723029</v>
      </c>
      <c r="X138" s="340">
        <f>IF(C138&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57.799859894364317</v>
      </c>
      <c r="Y138" s="215" t="e">
        <f t="shared" si="53"/>
        <v>#VALUE!</v>
      </c>
      <c r="Z138" s="341" t="str">
        <f t="shared" si="54"/>
        <v/>
      </c>
      <c r="AA138" s="215" t="str">
        <f t="shared" si="55"/>
        <v/>
      </c>
      <c r="AB138" s="336">
        <f>IF(OR(C138="",C138="TOPX",終値!E193=""),"",IFERROR(((終値!E193*0.333)+(終値!F193*0.222)+(終値!G193*0.148)+(終値!H193*0.099)+(終値!I193*0.066))/(0.333+0.222+0.148+0.099+0.066),""))</f>
        <v>2098.1198156682026</v>
      </c>
      <c r="AC138" s="336">
        <f>IF(OR(C138="",C138="TOPX",終値!E193=""),"",IFERROR(SUMPRODUCT((終値!E193:AC193),{0.077,0.071,0.065,0.06,0.055,0.051,0.047,0.043,0.039,0.036,0.033,0.031,0.028,0.026,0.024,0.022,0.02,0.018,0.017,0.016,0.014,0.013,0.012,0.011,0.01})/SUM({0.077,0.071,0.065,0.06,0.055,0.051,0.047,0.043,0.039,0.036,0.033,0.031,0.028,0.026,0.024,0.022,0.02,0.018,0.017,0.016,0.014,0.013,0.012,0.011,0.01}),""))</f>
        <v>2000.6972586412389</v>
      </c>
      <c r="AD138" s="215" t="str">
        <f t="shared" si="56"/>
        <v>パーフェクト▲</v>
      </c>
      <c r="AE138" s="215" t="e">
        <f t="shared" si="57"/>
        <v>#VALUE!</v>
      </c>
      <c r="AF138" t="e">
        <f>IF(T138="","",IF(銘柄管理!$F$5="上昇▲",IF(AND(AD138="下降トレンド▼",OR(AE138="25日戻り売り★",AE138="5日戻り売り○")),"★逆張り売り",IF(AND(AD138="もみ合い→",OR(AE138="25日戻り売り★",AE138="5日戻り売り○")),"○逆張り売り",IF(W138&gt;=70,IF(Z138&lt;0,"◎反落確認","△過熱・様子見"),"相場上昇・見送り"))),IF(AND(T138&gt;=12,AD138="下降トレンド▼"),"★強い売り",IF(T138&gt;=12,"★強い売り",IF(AND(T138&gt;=8,OR(AE138="25日戻り売り★",AE138="5日戻り売り○")),"◎戻り売り",IF(T138&gt;=10,"○売り候補",IF(T138&gt;=6,"△注目",IF(T138&gt;=3,"様子見","見送り"))))))))</f>
        <v>#VALUE!</v>
      </c>
      <c r="AG138">
        <f t="shared" si="58"/>
        <v>0</v>
      </c>
      <c r="AH138">
        <f t="shared" si="59"/>
        <v>0</v>
      </c>
      <c r="AI138" s="376">
        <f t="array" ref="AI138">IF(C138="","",IFERROR((INDEX(終値!$E:$E,MATCH(TEXT(C138,"0"),終値!$A:$A,0))-INDEX(終値!$E:$CZ,MATCH(TEXT(C138,"0"),終値!$A:$A,0),$AN$2))/INDEX(終値!$E:$CZ,MATCH(TEXT(C138,"0"),終値!$A:$A,0),$AN$2)*100,""))</f>
        <v>10.930735930735931</v>
      </c>
      <c r="AJ138" s="376">
        <f t="array" ref="AJ138">IFERROR((終値!$E$5-INDEX(終値!$E$5:$CZ$5,1,$AN$2))/INDEX(終値!$E$5:$CZ$5,1,$AN$2)*100,"")</f>
        <v>2.31989243802786</v>
      </c>
      <c r="AK138" s="377">
        <f t="shared" si="60"/>
        <v>8.6108434927080708</v>
      </c>
      <c r="AL138" s="375">
        <f t="shared" si="61"/>
        <v>-2</v>
      </c>
      <c r="AO138" s="379" t="e">
        <f t="shared" si="62"/>
        <v>#VALUE!</v>
      </c>
      <c r="AP138" s="380" t="e">
        <f t="shared" si="63"/>
        <v>#VALUE!</v>
      </c>
      <c r="AQ138">
        <f>IF(C138&lt;&gt;"",始値!F193,"")</f>
        <v>2052</v>
      </c>
      <c r="AR138">
        <f>IF(C138&lt;&gt;"",高値!F193,"")</f>
        <v>2159</v>
      </c>
      <c r="AS138">
        <f>IF(C138&lt;&gt;"",安値!F193,"")</f>
        <v>2040</v>
      </c>
      <c r="AT138" t="str">
        <f t="shared" si="64"/>
        <v>通常</v>
      </c>
      <c r="AU138">
        <f t="shared" si="65"/>
        <v>0</v>
      </c>
    </row>
    <row r="139" spans="1:47" ht="14.25" customHeight="1">
      <c r="A139" s="327" t="str">
        <f>IF(銘柄管理!B11&lt;&gt;"",HYPERLINK("https://kabutan.jp/stock/?code="&amp;銘柄管理!B11,"株探"),"")</f>
        <v>株探</v>
      </c>
      <c r="B139" s="328"/>
      <c r="C139" s="477">
        <f>IF(銘柄管理!B11="","",銘柄管理!B11)</f>
        <v>6701</v>
      </c>
      <c r="D139" s="328" t="str">
        <f>IF(銘柄管理!C11="","",銘柄管理!C11)</f>
        <v/>
      </c>
      <c r="E139" s="329" t="str">
        <f>IF(C139&lt;&gt;"",_xll.RssMarket(C139,"現在値"),"")</f>
        <v/>
      </c>
      <c r="F139" s="329" t="str">
        <f>IF(C139&lt;&gt;"",_xll.RssMarket(C139,"始値"),"")</f>
        <v/>
      </c>
      <c r="G139" s="328">
        <f>IF(C139&lt;&gt;"",終値!F11,"")</f>
        <v>4270</v>
      </c>
      <c r="H139" s="329" t="str">
        <f>IF(C139&lt;&gt;"",_xll.RssMarket(C139,"高値"),"")</f>
        <v/>
      </c>
      <c r="I139" s="329" t="str">
        <f>IF(C139&lt;&gt;"",_xll.RssMarket(C139,"安値"),"")</f>
        <v/>
      </c>
      <c r="J139" s="329" t="str">
        <f>IF(C139&lt;&gt;"",_xll.RssMarket(C139,"出来高"),"")</f>
        <v/>
      </c>
      <c r="K139" s="329" t="str">
        <f>IF(C139&lt;&gt;"",_xll.RssMarket(C139,"年初来高値"),"")</f>
        <v/>
      </c>
      <c r="L139" s="330" t="str">
        <f t="shared" si="44"/>
        <v/>
      </c>
      <c r="M139" s="329">
        <f>IF(C139&lt;&gt;"",IFERROR(AVERAGE(出来高!E11:I11),""),"")</f>
        <v>6799960</v>
      </c>
      <c r="N139" s="329">
        <f>IF(C139&lt;&gt;"",IFERROR(AVERAGE(出来高!E11:AC11),""),"")</f>
        <v>7310028</v>
      </c>
      <c r="O139" s="331" t="str">
        <f t="shared" si="45"/>
        <v/>
      </c>
      <c r="P139" s="328" t="str">
        <f t="shared" si="46"/>
        <v/>
      </c>
      <c r="Q139" s="328" t="str">
        <f t="shared" si="47"/>
        <v/>
      </c>
      <c r="R139" s="329" t="str">
        <f t="shared" si="48"/>
        <v/>
      </c>
      <c r="S139" s="329" t="str">
        <f t="shared" si="49"/>
        <v/>
      </c>
      <c r="T139" s="328">
        <f t="shared" si="50"/>
        <v>0</v>
      </c>
      <c r="U139" s="328" t="str">
        <f t="shared" si="51"/>
        <v>除外</v>
      </c>
      <c r="V139" s="328" t="str">
        <f t="shared" si="52"/>
        <v/>
      </c>
      <c r="W139" s="332">
        <f t="array" ref="W139">IFERROR(100-100/(1+SUMPRODUCT((終値!F11:R11&gt;終値!G11:S11)*(終値!F11:R11-終値!G11:S11))/SUMPRODUCT((終値!F11:R11&lt;終値!G11:S11)*(終値!G11:S11-終値!F11:R11))),50)</f>
        <v>69.535415079969539</v>
      </c>
      <c r="X139" s="333">
        <f>IF(C139&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75.088797917520424</v>
      </c>
      <c r="Y139" s="328" t="e">
        <f t="shared" si="53"/>
        <v>#VALUE!</v>
      </c>
      <c r="Z139" s="334" t="str">
        <f t="shared" si="54"/>
        <v/>
      </c>
      <c r="AA139" s="328" t="str">
        <f t="shared" si="55"/>
        <v/>
      </c>
      <c r="AB139" s="329">
        <f>IF(OR(C139="",C139="TOPX",終値!E11=""),"",IFERROR(((終値!E11*0.333)+(終値!F11*0.222)+(終値!G11*0.148)+(終値!H11*0.099)+(終値!I11*0.066))/(0.333+0.222+0.148+0.099+0.066),""))</f>
        <v>4347.7937788018435</v>
      </c>
      <c r="AC139" s="329">
        <f>IF(OR(C139="",C139="TOPX",終値!E11=""),"",IFERROR(SUMPRODUCT((終値!E11:AC11),{0.077,0.071,0.065,0.06,0.055,0.051,0.047,0.043,0.039,0.036,0.033,0.031,0.028,0.026,0.024,0.022,0.02,0.018,0.017,0.016,0.014,0.013,0.012,0.011,0.01})/SUM({0.077,0.071,0.065,0.06,0.055,0.051,0.047,0.043,0.039,0.036,0.033,0.031,0.028,0.026,0.024,0.022,0.02,0.018,0.017,0.016,0.014,0.013,0.012,0.011,0.01}),""))</f>
        <v>4171.205005959474</v>
      </c>
      <c r="AD139" s="328" t="str">
        <f t="shared" si="56"/>
        <v>パーフェクト▲</v>
      </c>
      <c r="AE139" s="328" t="e">
        <f t="shared" si="57"/>
        <v>#VALUE!</v>
      </c>
      <c r="AF139" t="e">
        <f>IF(T139="","",IF(銘柄管理!$F$5="上昇▲",IF(AND(AD139="下降トレンド▼",OR(AE139="25日戻り売り★",AE139="5日戻り売り○")),"★逆張り売り",IF(AND(AD139="もみ合い→",OR(AE139="25日戻り売り★",AE139="5日戻り売り○")),"○逆張り売り",IF(W139&gt;=70,IF(Z139&lt;0,"◎反落確認","△過熱・様子見"),"相場上昇・見送り"))),IF(AND(T139&gt;=12,AD139="下降トレンド▼"),"★強い売り",IF(T139&gt;=12,"★強い売り",IF(AND(T139&gt;=8,OR(AE139="25日戻り売り★",AE139="5日戻り売り○")),"◎戻り売り",IF(T139&gt;=10,"○売り候補",IF(T139&gt;=6,"△注目",IF(T139&gt;=3,"様子見","見送り"))))))))</f>
        <v>#VALUE!</v>
      </c>
      <c r="AG139">
        <f t="shared" si="58"/>
        <v>0</v>
      </c>
      <c r="AH139">
        <f t="shared" si="59"/>
        <v>0</v>
      </c>
      <c r="AI139" s="376">
        <f t="array" ref="AI139">IF(C139="","",IFERROR((INDEX(終値!$E:$E,MATCH(TEXT(C139,"0"),終値!$A:$A,0))-INDEX(終値!$E:$CZ,MATCH(TEXT(C139,"0"),終値!$A:$A,0),$AN$2))/INDEX(終値!$E:$CZ,MATCH(TEXT(C139,"0"),終値!$A:$A,0),$AN$2)*100,""))</f>
        <v>6.298828125</v>
      </c>
      <c r="AJ139" s="376">
        <f t="array" ref="AJ139">IFERROR((終値!$E$5-INDEX(終値!$E$5:$CZ$5,1,$AN$2))/INDEX(終値!$E$5:$CZ$5,1,$AN$2)*100,"")</f>
        <v>2.31989243802786</v>
      </c>
      <c r="AK139" s="377">
        <f t="shared" si="60"/>
        <v>3.97893568697214</v>
      </c>
      <c r="AL139" s="375">
        <f t="shared" si="61"/>
        <v>-2</v>
      </c>
      <c r="AO139" s="379" t="e">
        <f t="shared" si="62"/>
        <v>#VALUE!</v>
      </c>
      <c r="AP139" s="380" t="e">
        <f t="shared" si="63"/>
        <v>#VALUE!</v>
      </c>
      <c r="AQ139">
        <f>IF(C139&lt;&gt;"",始値!F11,"")</f>
        <v>4267</v>
      </c>
      <c r="AR139">
        <f>IF(C139&lt;&gt;"",高値!F11,"")</f>
        <v>4312</v>
      </c>
      <c r="AS139">
        <f>IF(C139&lt;&gt;"",安値!F11,"")</f>
        <v>4218</v>
      </c>
      <c r="AT139" t="str">
        <f t="shared" si="64"/>
        <v>通常</v>
      </c>
      <c r="AU139">
        <f t="shared" si="65"/>
        <v>0</v>
      </c>
    </row>
    <row r="140" spans="1:47" ht="14.25" customHeight="1">
      <c r="A140" s="335" t="str">
        <f>IF(銘柄管理!B24&lt;&gt;"",HYPERLINK("https://kabutan.jp/stock/?code="&amp;銘柄管理!B24,"株探"),"")</f>
        <v>株探</v>
      </c>
      <c r="B140" s="215"/>
      <c r="C140" s="478">
        <f>IF(銘柄管理!B24="","",銘柄管理!B24)</f>
        <v>5019</v>
      </c>
      <c r="D140" s="215" t="str">
        <f>IF(銘柄管理!C24="","",銘柄管理!C24)</f>
        <v/>
      </c>
      <c r="E140" s="336" t="str">
        <f>IF(C140&lt;&gt;"",_xll.RssMarket(C140,"現在値"),"")</f>
        <v/>
      </c>
      <c r="F140" s="336" t="str">
        <f>IF(C140&lt;&gt;"",_xll.RssMarket(C140,"始値"),"")</f>
        <v/>
      </c>
      <c r="G140" s="215">
        <f>IF(C140&lt;&gt;"",終値!F24,"")</f>
        <v>1279.5</v>
      </c>
      <c r="H140" s="336" t="str">
        <f>IF(C140&lt;&gt;"",_xll.RssMarket(C140,"高値"),"")</f>
        <v/>
      </c>
      <c r="I140" s="336" t="str">
        <f>IF(C140&lt;&gt;"",_xll.RssMarket(C140,"安値"),"")</f>
        <v/>
      </c>
      <c r="J140" s="336" t="str">
        <f>IF(C140&lt;&gt;"",_xll.RssMarket(C140,"出来高"),"")</f>
        <v/>
      </c>
      <c r="K140" s="336" t="str">
        <f>IF(C140&lt;&gt;"",_xll.RssMarket(C140,"年初来高値"),"")</f>
        <v/>
      </c>
      <c r="L140" s="337" t="str">
        <f t="shared" si="44"/>
        <v/>
      </c>
      <c r="M140" s="336">
        <f>IF(C140&lt;&gt;"",IFERROR(AVERAGE(出来高!E24:I24),""),"")</f>
        <v>3331060</v>
      </c>
      <c r="N140" s="336">
        <f>IF(C140&lt;&gt;"",IFERROR(AVERAGE(出来高!E24:AC24),""),"")</f>
        <v>4146024</v>
      </c>
      <c r="O140" s="338" t="str">
        <f t="shared" si="45"/>
        <v/>
      </c>
      <c r="P140" s="215" t="str">
        <f t="shared" si="46"/>
        <v/>
      </c>
      <c r="Q140" s="215" t="str">
        <f t="shared" si="47"/>
        <v/>
      </c>
      <c r="R140" s="336" t="str">
        <f t="shared" si="48"/>
        <v/>
      </c>
      <c r="S140" s="336" t="str">
        <f t="shared" si="49"/>
        <v/>
      </c>
      <c r="T140" s="328">
        <f t="shared" si="50"/>
        <v>0</v>
      </c>
      <c r="U140" s="215" t="str">
        <f t="shared" si="51"/>
        <v>除外</v>
      </c>
      <c r="V140" s="215" t="str">
        <f t="shared" si="52"/>
        <v/>
      </c>
      <c r="W140" s="339">
        <f t="array" ref="W140">IFERROR(100-100/(1+SUMPRODUCT((終値!F24:R24&gt;終値!G24:S24)*(終値!F24:R24-終値!G24:S24))/SUMPRODUCT((終値!F24:R24&lt;終値!G24:S24)*(終値!G24:S24-終値!F24:R24))),50)</f>
        <v>71.341463414634148</v>
      </c>
      <c r="X140" s="340">
        <f>IF(C140&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-0.55317645747618371</v>
      </c>
      <c r="Y140" s="215" t="e">
        <f t="shared" si="53"/>
        <v>#VALUE!</v>
      </c>
      <c r="Z140" s="341" t="str">
        <f t="shared" si="54"/>
        <v/>
      </c>
      <c r="AA140" s="215" t="str">
        <f t="shared" si="55"/>
        <v/>
      </c>
      <c r="AB140" s="336">
        <f>IF(OR(C140="",C140="TOPX",終値!E24=""),"",IFERROR(((終値!E24*0.333)+(終値!F24*0.222)+(終値!G24*0.148)+(終値!H24*0.099)+(終値!I24*0.066))/(0.333+0.222+0.148+0.099+0.066),""))</f>
        <v>1256.4279953917051</v>
      </c>
      <c r="AC140" s="336">
        <f>IF(OR(C140="",C140="TOPX",終値!E24=""),"",IFERROR(SUMPRODUCT((終値!E24:AC24),{0.077,0.071,0.065,0.06,0.055,0.051,0.047,0.043,0.039,0.036,0.033,0.031,0.028,0.026,0.024,0.022,0.02,0.018,0.017,0.016,0.014,0.013,0.012,0.011,0.01})/SUM({0.077,0.071,0.065,0.06,0.055,0.051,0.047,0.043,0.039,0.036,0.033,0.031,0.028,0.026,0.024,0.022,0.02,0.018,0.017,0.016,0.014,0.013,0.012,0.011,0.01}),""))</f>
        <v>1245.0297973778302</v>
      </c>
      <c r="AD140" s="215" t="str">
        <f t="shared" si="56"/>
        <v>パーフェクト▲</v>
      </c>
      <c r="AE140" s="215" t="e">
        <f t="shared" si="57"/>
        <v>#VALUE!</v>
      </c>
      <c r="AF140" t="e">
        <f>IF(T140="","",IF(銘柄管理!$F$5="上昇▲",IF(AND(AD140="下降トレンド▼",OR(AE140="25日戻り売り★",AE140="5日戻り売り○")),"★逆張り売り",IF(AND(AD140="もみ合い→",OR(AE140="25日戻り売り★",AE140="5日戻り売り○")),"○逆張り売り",IF(W140&gt;=70,IF(Z140&lt;0,"◎反落確認","△過熱・様子見"),"相場上昇・見送り"))),IF(AND(T140&gt;=12,AD140="下降トレンド▼"),"★強い売り",IF(T140&gt;=12,"★強い売り",IF(AND(T140&gt;=8,OR(AE140="25日戻り売り★",AE140="5日戻り売り○")),"◎戻り売り",IF(T140&gt;=10,"○売り候補",IF(T140&gt;=6,"△注目",IF(T140&gt;=3,"様子見","見送り"))))))))</f>
        <v>#VALUE!</v>
      </c>
      <c r="AG140">
        <f t="shared" si="58"/>
        <v>0</v>
      </c>
      <c r="AH140">
        <f t="shared" si="59"/>
        <v>0</v>
      </c>
      <c r="AI140" s="376">
        <f t="array" ref="AI140">IF(C140="","",IFERROR((INDEX(終値!$E:$E,MATCH(TEXT(C140,"0"),終値!$A:$A,0))-INDEX(終値!$E:$CZ,MATCH(TEXT(C140,"0"),終値!$A:$A,0),$AN$2))/INDEX(終値!$E:$CZ,MATCH(TEXT(C140,"0"),終値!$A:$A,0),$AN$2)*100,""))</f>
        <v>-7.9718205413422325</v>
      </c>
      <c r="AJ140" s="376">
        <f t="array" ref="AJ140">IFERROR((終値!$E$5-INDEX(終値!$E$5:$CZ$5,1,$AN$2))/INDEX(終値!$E$5:$CZ$5,1,$AN$2)*100,"")</f>
        <v>2.31989243802786</v>
      </c>
      <c r="AK140" s="377">
        <f t="shared" si="60"/>
        <v>-10.291712979370093</v>
      </c>
      <c r="AL140" s="375">
        <f t="shared" si="61"/>
        <v>3</v>
      </c>
      <c r="AO140" s="379" t="e">
        <f t="shared" si="62"/>
        <v>#VALUE!</v>
      </c>
      <c r="AP140" s="380" t="e">
        <f t="shared" si="63"/>
        <v>#VALUE!</v>
      </c>
      <c r="AQ140">
        <f>IF(C140&lt;&gt;"",始値!F24,"")</f>
        <v>1278.5</v>
      </c>
      <c r="AR140">
        <f>IF(C140&lt;&gt;"",高値!F24,"")</f>
        <v>1290</v>
      </c>
      <c r="AS140">
        <f>IF(C140&lt;&gt;"",安値!F24,"")</f>
        <v>1269.5</v>
      </c>
      <c r="AT140" t="str">
        <f t="shared" si="64"/>
        <v>通常</v>
      </c>
      <c r="AU140">
        <f t="shared" si="65"/>
        <v>0</v>
      </c>
    </row>
    <row r="141" spans="1:47" ht="14.25" customHeight="1">
      <c r="A141" s="327" t="str">
        <f>IF(銘柄管理!B29&lt;&gt;"",HYPERLINK("https://kabutan.jp/stock/?code="&amp;銘柄管理!B29,"株探"),"")</f>
        <v>株探</v>
      </c>
      <c r="B141" s="328"/>
      <c r="C141" s="477">
        <f>IF(銘柄管理!B29="","",銘柄管理!B29)</f>
        <v>5020</v>
      </c>
      <c r="D141" s="328" t="str">
        <f>IF(銘柄管理!C29="","",銘柄管理!C29)</f>
        <v/>
      </c>
      <c r="E141" s="329" t="str">
        <f>IF(C141&lt;&gt;"",_xll.RssMarket(C141,"現在値"),"")</f>
        <v/>
      </c>
      <c r="F141" s="329" t="str">
        <f>IF(C141&lt;&gt;"",_xll.RssMarket(C141,"始値"),"")</f>
        <v/>
      </c>
      <c r="G141" s="328">
        <f>IF(C141&lt;&gt;"",終値!F29,"")</f>
        <v>1283</v>
      </c>
      <c r="H141" s="329" t="str">
        <f>IF(C141&lt;&gt;"",_xll.RssMarket(C141,"高値"),"")</f>
        <v/>
      </c>
      <c r="I141" s="329" t="str">
        <f>IF(C141&lt;&gt;"",_xll.RssMarket(C141,"安値"),"")</f>
        <v/>
      </c>
      <c r="J141" s="329" t="str">
        <f>IF(C141&lt;&gt;"",_xll.RssMarket(C141,"出来高"),"")</f>
        <v/>
      </c>
      <c r="K141" s="329" t="str">
        <f>IF(C141&lt;&gt;"",_xll.RssMarket(C141,"年初来高値"),"")</f>
        <v/>
      </c>
      <c r="L141" s="330" t="str">
        <f t="shared" si="44"/>
        <v/>
      </c>
      <c r="M141" s="329">
        <f>IF(C141&lt;&gt;"",IFERROR(AVERAGE(出来高!E29:I29),""),"")</f>
        <v>6100860</v>
      </c>
      <c r="N141" s="329">
        <f>IF(C141&lt;&gt;"",IFERROR(AVERAGE(出来高!E29:AC29),""),"")</f>
        <v>7649384</v>
      </c>
      <c r="O141" s="331" t="str">
        <f t="shared" si="45"/>
        <v/>
      </c>
      <c r="P141" s="328" t="str">
        <f t="shared" si="46"/>
        <v/>
      </c>
      <c r="Q141" s="328" t="str">
        <f t="shared" si="47"/>
        <v/>
      </c>
      <c r="R141" s="329" t="str">
        <f t="shared" si="48"/>
        <v/>
      </c>
      <c r="S141" s="329" t="str">
        <f t="shared" si="49"/>
        <v/>
      </c>
      <c r="T141" s="328">
        <f t="shared" si="50"/>
        <v>0</v>
      </c>
      <c r="U141" s="328" t="str">
        <f t="shared" si="51"/>
        <v>除外</v>
      </c>
      <c r="V141" s="328" t="str">
        <f t="shared" si="52"/>
        <v/>
      </c>
      <c r="W141" s="332">
        <f t="array" ref="W141">IFERROR(100-100/(1+SUMPRODUCT((終値!F29:R29&gt;終値!G29:S29)*(終値!F29:R29-終値!G29:S29))/SUMPRODUCT((終値!F29:R29&lt;終値!G29:S29)*(終値!G29:S29-終値!F29:R29))),50)</f>
        <v>77.38095238095238</v>
      </c>
      <c r="X141" s="333">
        <f>IF(C141&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4.83623959656029</v>
      </c>
      <c r="Y141" s="328" t="e">
        <f t="shared" si="53"/>
        <v>#VALUE!</v>
      </c>
      <c r="Z141" s="334" t="str">
        <f t="shared" si="54"/>
        <v/>
      </c>
      <c r="AA141" s="328" t="str">
        <f t="shared" si="55"/>
        <v/>
      </c>
      <c r="AB141" s="329">
        <f>IF(OR(C141="",C141="TOPX",終値!E29=""),"",IFERROR(((終値!E29*0.333)+(終値!F29*0.222)+(終値!G29*0.148)+(終値!H29*0.099)+(終値!I29*0.066))/(0.333+0.222+0.148+0.099+0.066),""))</f>
        <v>1259.0841013824884</v>
      </c>
      <c r="AC141" s="329">
        <f>IF(OR(C141="",C141="TOPX",終値!E29=""),"",IFERROR(SUMPRODUCT((終値!E29:AC29),{0.077,0.071,0.065,0.06,0.055,0.051,0.047,0.043,0.039,0.036,0.033,0.031,0.028,0.026,0.024,0.022,0.02,0.018,0.017,0.016,0.014,0.013,0.012,0.011,0.01})/SUM({0.077,0.071,0.065,0.06,0.055,0.051,0.047,0.043,0.039,0.036,0.033,0.031,0.028,0.026,0.024,0.022,0.02,0.018,0.017,0.016,0.014,0.013,0.012,0.011,0.01}),""))</f>
        <v>1241.0941597139447</v>
      </c>
      <c r="AD141" s="328" t="str">
        <f t="shared" si="56"/>
        <v>パーフェクト▲</v>
      </c>
      <c r="AE141" s="328" t="e">
        <f t="shared" si="57"/>
        <v>#VALUE!</v>
      </c>
      <c r="AF141" t="e">
        <f>IF(T141="","",IF(銘柄管理!$F$5="上昇▲",IF(AND(AD141="下降トレンド▼",OR(AE141="25日戻り売り★",AE141="5日戻り売り○")),"★逆張り売り",IF(AND(AD141="もみ合い→",OR(AE141="25日戻り売り★",AE141="5日戻り売り○")),"○逆張り売り",IF(W141&gt;=70,IF(Z141&lt;0,"◎反落確認","△過熱・様子見"),"相場上昇・見送り"))),IF(AND(T141&gt;=12,AD141="下降トレンド▼"),"★強い売り",IF(T141&gt;=12,"★強い売り",IF(AND(T141&gt;=8,OR(AE141="25日戻り売り★",AE141="5日戻り売り○")),"◎戻り売り",IF(T141&gt;=10,"○売り候補",IF(T141&gt;=6,"△注目",IF(T141&gt;=3,"様子見","見送り"))))))))</f>
        <v>#VALUE!</v>
      </c>
      <c r="AG141">
        <f t="shared" si="58"/>
        <v>0</v>
      </c>
      <c r="AH141">
        <f t="shared" si="59"/>
        <v>0</v>
      </c>
      <c r="AI141" s="376">
        <f t="array" ref="AI141">IF(C141="","",IFERROR((INDEX(終値!$E:$E,MATCH(TEXT(C141,"0"),終値!$A:$A,0))-INDEX(終値!$E:$CZ,MATCH(TEXT(C141,"0"),終値!$A:$A,0),$AN$2))/INDEX(終値!$E:$CZ,MATCH(TEXT(C141,"0"),終値!$A:$A,0),$AN$2)*100,""))</f>
        <v>-0.52</v>
      </c>
      <c r="AJ141" s="376">
        <f t="array" ref="AJ141">IFERROR((終値!$E$5-INDEX(終値!$E$5:$CZ$5,1,$AN$2))/INDEX(終値!$E$5:$CZ$5,1,$AN$2)*100,"")</f>
        <v>2.31989243802786</v>
      </c>
      <c r="AK141" s="377">
        <f t="shared" si="60"/>
        <v>-2.8398924380278601</v>
      </c>
      <c r="AL141" s="375">
        <f t="shared" si="61"/>
        <v>1</v>
      </c>
      <c r="AO141" s="379" t="e">
        <f t="shared" si="62"/>
        <v>#VALUE!</v>
      </c>
      <c r="AP141" s="380" t="e">
        <f t="shared" si="63"/>
        <v>#VALUE!</v>
      </c>
      <c r="AQ141">
        <f>IF(C141&lt;&gt;"",始値!F29,"")</f>
        <v>1294.5</v>
      </c>
      <c r="AR141">
        <f>IF(C141&lt;&gt;"",高値!F29,"")</f>
        <v>1298.5</v>
      </c>
      <c r="AS141">
        <f>IF(C141&lt;&gt;"",安値!F29,"")</f>
        <v>1271</v>
      </c>
      <c r="AT141" t="str">
        <f t="shared" si="64"/>
        <v>通常</v>
      </c>
      <c r="AU141">
        <f t="shared" si="65"/>
        <v>0</v>
      </c>
    </row>
    <row r="142" spans="1:47" ht="14.25" customHeight="1">
      <c r="A142" s="335" t="str">
        <f>IF(銘柄管理!B48&lt;&gt;"",HYPERLINK("https://kabutan.jp/stock/?code="&amp;銘柄管理!B48,"株探"),"")</f>
        <v>株探</v>
      </c>
      <c r="B142" s="215"/>
      <c r="C142" s="478">
        <f>IF(銘柄管理!B48="","",銘柄管理!B48)</f>
        <v>3941</v>
      </c>
      <c r="D142" s="215" t="str">
        <f>IF(銘柄管理!C48="","",銘柄管理!C48)</f>
        <v/>
      </c>
      <c r="E142" s="336" t="str">
        <f>IF(C142&lt;&gt;"",_xll.RssMarket(C142,"現在値"),"")</f>
        <v/>
      </c>
      <c r="F142" s="336" t="str">
        <f>IF(C142&lt;&gt;"",_xll.RssMarket(C142,"始値"),"")</f>
        <v/>
      </c>
      <c r="G142" s="215">
        <f>IF(C142&lt;&gt;"",終値!F48,"")</f>
        <v>1435.5</v>
      </c>
      <c r="H142" s="336" t="str">
        <f>IF(C142&lt;&gt;"",_xll.RssMarket(C142,"高値"),"")</f>
        <v/>
      </c>
      <c r="I142" s="336" t="str">
        <f>IF(C142&lt;&gt;"",_xll.RssMarket(C142,"安値"),"")</f>
        <v/>
      </c>
      <c r="J142" s="336" t="str">
        <f>IF(C142&lt;&gt;"",_xll.RssMarket(C142,"出来高"),"")</f>
        <v/>
      </c>
      <c r="K142" s="336" t="str">
        <f>IF(C142&lt;&gt;"",_xll.RssMarket(C142,"年初来高値"),"")</f>
        <v/>
      </c>
      <c r="L142" s="337" t="str">
        <f t="shared" si="44"/>
        <v/>
      </c>
      <c r="M142" s="336">
        <f>IF(C142&lt;&gt;"",IFERROR(AVERAGE(出来高!E48:I48),""),"")</f>
        <v>869820</v>
      </c>
      <c r="N142" s="336">
        <f>IF(C142&lt;&gt;"",IFERROR(AVERAGE(出来高!E48:AC48),""),"")</f>
        <v>861332</v>
      </c>
      <c r="O142" s="338" t="str">
        <f t="shared" si="45"/>
        <v/>
      </c>
      <c r="P142" s="215" t="str">
        <f t="shared" si="46"/>
        <v/>
      </c>
      <c r="Q142" s="215" t="str">
        <f t="shared" si="47"/>
        <v/>
      </c>
      <c r="R142" s="336" t="str">
        <f t="shared" si="48"/>
        <v/>
      </c>
      <c r="S142" s="336" t="str">
        <f t="shared" si="49"/>
        <v/>
      </c>
      <c r="T142" s="328">
        <f t="shared" si="50"/>
        <v>0</v>
      </c>
      <c r="U142" s="215" t="str">
        <f t="shared" si="51"/>
        <v>除外</v>
      </c>
      <c r="V142" s="215" t="str">
        <f t="shared" si="52"/>
        <v/>
      </c>
      <c r="W142" s="339">
        <f t="array" ref="W142">IFERROR(100-100/(1+SUMPRODUCT((終値!F48:R48&gt;終値!G48:S48)*(終値!F48:R48-終値!G48:S48))/SUMPRODUCT((終値!F48:R48&lt;終値!G48:S48)*(終値!G48:S48-終値!F48:R48))),50)</f>
        <v>57.777777777777771</v>
      </c>
      <c r="X142" s="340">
        <f>IF(C142&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1.83661274722499</v>
      </c>
      <c r="Y142" s="215" t="e">
        <f t="shared" si="53"/>
        <v>#VALUE!</v>
      </c>
      <c r="Z142" s="341" t="str">
        <f t="shared" si="54"/>
        <v/>
      </c>
      <c r="AA142" s="215" t="str">
        <f t="shared" si="55"/>
        <v/>
      </c>
      <c r="AB142" s="336">
        <f>IF(OR(C142="",C142="TOPX",終値!E48=""),"",IFERROR(((終値!E48*0.333)+(終値!F48*0.222)+(終値!G48*0.148)+(終値!H48*0.099)+(終値!I48*0.066))/(0.333+0.222+0.148+0.099+0.066),""))</f>
        <v>1425.6261520737323</v>
      </c>
      <c r="AC142" s="336">
        <f>IF(OR(C142="",C142="TOPX",終値!E48=""),"",IFERROR(SUMPRODUCT((終値!E48:AC48),{0.077,0.071,0.065,0.06,0.055,0.051,0.047,0.043,0.039,0.036,0.033,0.031,0.028,0.026,0.024,0.022,0.02,0.018,0.017,0.016,0.014,0.013,0.012,0.011,0.01})/SUM({0.077,0.071,0.065,0.06,0.055,0.051,0.047,0.043,0.039,0.036,0.033,0.031,0.028,0.026,0.024,0.022,0.02,0.018,0.017,0.016,0.014,0.013,0.012,0.011,0.01}),""))</f>
        <v>1417.7622169249103</v>
      </c>
      <c r="AD142" s="215" t="str">
        <f t="shared" si="56"/>
        <v>パーフェクト▲</v>
      </c>
      <c r="AE142" s="215" t="e">
        <f t="shared" si="57"/>
        <v>#VALUE!</v>
      </c>
      <c r="AF142" t="e">
        <f>IF(T142="","",IF(銘柄管理!$F$5="上昇▲",IF(AND(AD142="下降トレンド▼",OR(AE142="25日戻り売り★",AE142="5日戻り売り○")),"★逆張り売り",IF(AND(AD142="もみ合い→",OR(AE142="25日戻り売り★",AE142="5日戻り売り○")),"○逆張り売り",IF(W142&gt;=70,IF(Z142&lt;0,"◎反落確認","△過熱・様子見"),"相場上昇・見送り"))),IF(AND(T142&gt;=12,AD142="下降トレンド▼"),"★強い売り",IF(T142&gt;=12,"★強い売り",IF(AND(T142&gt;=8,OR(AE142="25日戻り売り★",AE142="5日戻り売り○")),"◎戻り売り",IF(T142&gt;=10,"○売り候補",IF(T142&gt;=6,"△注目",IF(T142&gt;=3,"様子見","見送り"))))))))</f>
        <v>#VALUE!</v>
      </c>
      <c r="AG142">
        <f t="shared" si="58"/>
        <v>0</v>
      </c>
      <c r="AH142">
        <f t="shared" si="59"/>
        <v>0</v>
      </c>
      <c r="AI142" s="376">
        <f t="array" ref="AI142">IF(C142="","",IFERROR((INDEX(終値!$E:$E,MATCH(TEXT(C142,"0"),終値!$A:$A,0))-INDEX(終値!$E:$CZ,MATCH(TEXT(C142,"0"),終値!$A:$A,0),$AN$2))/INDEX(終値!$E:$CZ,MATCH(TEXT(C142,"0"),終値!$A:$A,0),$AN$2)*100,""))</f>
        <v>3.8475499092558985</v>
      </c>
      <c r="AJ142" s="376">
        <f t="array" ref="AJ142">IFERROR((終値!$E$5-INDEX(終値!$E$5:$CZ$5,1,$AN$2))/INDEX(終値!$E$5:$CZ$5,1,$AN$2)*100,"")</f>
        <v>2.31989243802786</v>
      </c>
      <c r="AK142" s="377">
        <f t="shared" si="60"/>
        <v>1.5276574712280384</v>
      </c>
      <c r="AL142" s="375">
        <f t="shared" si="61"/>
        <v>-1</v>
      </c>
      <c r="AO142" s="379" t="e">
        <f t="shared" si="62"/>
        <v>#VALUE!</v>
      </c>
      <c r="AP142" s="380" t="e">
        <f t="shared" si="63"/>
        <v>#VALUE!</v>
      </c>
      <c r="AQ142">
        <f>IF(C142&lt;&gt;"",始値!F48,"")</f>
        <v>1430</v>
      </c>
      <c r="AR142">
        <f>IF(C142&lt;&gt;"",高値!F48,"")</f>
        <v>1447</v>
      </c>
      <c r="AS142">
        <f>IF(C142&lt;&gt;"",安値!F48,"")</f>
        <v>1422.5</v>
      </c>
      <c r="AT142" t="str">
        <f t="shared" si="64"/>
        <v>通常</v>
      </c>
      <c r="AU142">
        <f t="shared" si="65"/>
        <v>0</v>
      </c>
    </row>
    <row r="143" spans="1:47" ht="14.25" customHeight="1">
      <c r="A143" s="327" t="str">
        <f>IF(銘柄管理!B88&lt;&gt;"",HYPERLINK("https://kabutan.jp/stock/?code="&amp;銘柄管理!B88,"株探"),"")</f>
        <v>株探</v>
      </c>
      <c r="B143" s="328"/>
      <c r="C143" s="477">
        <f>IF(銘柄管理!B88="","",銘柄管理!B88)</f>
        <v>3003</v>
      </c>
      <c r="D143" s="328" t="str">
        <f>IF(銘柄管理!C88="","",銘柄管理!C88)</f>
        <v/>
      </c>
      <c r="E143" s="329" t="str">
        <f>IF(C143&lt;&gt;"",_xll.RssMarket(C143,"現在値"),"")</f>
        <v/>
      </c>
      <c r="F143" s="329" t="str">
        <f>IF(C143&lt;&gt;"",_xll.RssMarket(C143,"始値"),"")</f>
        <v/>
      </c>
      <c r="G143" s="328">
        <f>IF(C143&lt;&gt;"",終値!F88,"")</f>
        <v>1792.5</v>
      </c>
      <c r="H143" s="329" t="str">
        <f>IF(C143&lt;&gt;"",_xll.RssMarket(C143,"高値"),"")</f>
        <v/>
      </c>
      <c r="I143" s="329" t="str">
        <f>IF(C143&lt;&gt;"",_xll.RssMarket(C143,"安値"),"")</f>
        <v/>
      </c>
      <c r="J143" s="329" t="str">
        <f>IF(C143&lt;&gt;"",_xll.RssMarket(C143,"出来高"),"")</f>
        <v/>
      </c>
      <c r="K143" s="329" t="str">
        <f>IF(C143&lt;&gt;"",_xll.RssMarket(C143,"年初来高値"),"")</f>
        <v/>
      </c>
      <c r="L143" s="330" t="str">
        <f t="shared" si="44"/>
        <v/>
      </c>
      <c r="M143" s="329">
        <f>IF(C143&lt;&gt;"",IFERROR(AVERAGE(出来高!E88:I88),""),"")</f>
        <v>2494080</v>
      </c>
      <c r="N143" s="329">
        <f>IF(C143&lt;&gt;"",IFERROR(AVERAGE(出来高!E88:AC88),""),"")</f>
        <v>2730044</v>
      </c>
      <c r="O143" s="331" t="str">
        <f t="shared" si="45"/>
        <v/>
      </c>
      <c r="P143" s="328" t="str">
        <f t="shared" si="46"/>
        <v/>
      </c>
      <c r="Q143" s="328" t="str">
        <f t="shared" si="47"/>
        <v/>
      </c>
      <c r="R143" s="329" t="str">
        <f t="shared" si="48"/>
        <v/>
      </c>
      <c r="S143" s="329" t="str">
        <f t="shared" si="49"/>
        <v/>
      </c>
      <c r="T143" s="328">
        <f t="shared" si="50"/>
        <v>0</v>
      </c>
      <c r="U143" s="328" t="str">
        <f t="shared" si="51"/>
        <v>除外</v>
      </c>
      <c r="V143" s="328" t="str">
        <f t="shared" si="52"/>
        <v/>
      </c>
      <c r="W143" s="332">
        <f t="array" ref="W143">IFERROR(100-100/(1+SUMPRODUCT((終値!F88:R88&gt;終値!G88:S88)*(終値!F88:R88-終値!G88:S88))/SUMPRODUCT((終値!F88:R88&lt;終値!G88:S88)*(終値!G88:S88-終値!F88:R88))),50)</f>
        <v>67.552182163187865</v>
      </c>
      <c r="X143" s="333">
        <f>IF(C143&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11.004799215090088</v>
      </c>
      <c r="Y143" s="328" t="e">
        <f t="shared" si="53"/>
        <v>#VALUE!</v>
      </c>
      <c r="Z143" s="334" t="str">
        <f t="shared" si="54"/>
        <v/>
      </c>
      <c r="AA143" s="328" t="str">
        <f t="shared" si="55"/>
        <v/>
      </c>
      <c r="AB143" s="329">
        <f>IF(OR(C143="",C143="TOPX",終値!E88=""),"",IFERROR(((終値!E88*0.333)+(終値!F88*0.222)+(終値!G88*0.148)+(終値!H88*0.099)+(終値!I88*0.066))/(0.333+0.222+0.148+0.099+0.066),""))</f>
        <v>1784.4591013824881</v>
      </c>
      <c r="AC143" s="329">
        <f>IF(OR(C143="",C143="TOPX",終値!E88=""),"",IFERROR(SUMPRODUCT((終値!E88:AC88),{0.077,0.071,0.065,0.06,0.055,0.051,0.047,0.043,0.039,0.036,0.033,0.031,0.028,0.026,0.024,0.022,0.02,0.018,0.017,0.016,0.014,0.013,0.012,0.011,0.01})/SUM({0.077,0.071,0.065,0.06,0.055,0.051,0.047,0.043,0.039,0.036,0.033,0.031,0.028,0.026,0.024,0.022,0.02,0.018,0.017,0.016,0.014,0.013,0.012,0.011,0.01}),""))</f>
        <v>1744.3939213349215</v>
      </c>
      <c r="AD143" s="328" t="str">
        <f t="shared" si="56"/>
        <v>パーフェクト▲</v>
      </c>
      <c r="AE143" s="328" t="e">
        <f t="shared" si="57"/>
        <v>#VALUE!</v>
      </c>
      <c r="AF143" t="e">
        <f>IF(T143="","",IF(銘柄管理!$F$5="上昇▲",IF(AND(AD143="下降トレンド▼",OR(AE143="25日戻り売り★",AE143="5日戻り売り○")),"★逆張り売り",IF(AND(AD143="もみ合い→",OR(AE143="25日戻り売り★",AE143="5日戻り売り○")),"○逆張り売り",IF(W143&gt;=70,IF(Z143&lt;0,"◎反落確認","△過熱・様子見"),"相場上昇・見送り"))),IF(AND(T143&gt;=12,AD143="下降トレンド▼"),"★強い売り",IF(T143&gt;=12,"★強い売り",IF(AND(T143&gt;=8,OR(AE143="25日戻り売り★",AE143="5日戻り売り○")),"◎戻り売り",IF(T143&gt;=10,"○売り候補",IF(T143&gt;=6,"△注目",IF(T143&gt;=3,"様子見","見送り"))))))))</f>
        <v>#VALUE!</v>
      </c>
      <c r="AG143">
        <f t="shared" si="58"/>
        <v>0</v>
      </c>
      <c r="AH143">
        <f t="shared" si="59"/>
        <v>0</v>
      </c>
      <c r="AI143" s="376">
        <f t="array" ref="AI143">IF(C143="","",IFERROR((INDEX(終値!$E:$E,MATCH(TEXT(C143,"0"),終値!$A:$A,0))-INDEX(終値!$E:$CZ,MATCH(TEXT(C143,"0"),終値!$A:$A,0),$AN$2))/INDEX(終値!$E:$CZ,MATCH(TEXT(C143,"0"),終値!$A:$A,0),$AN$2)*100,""))</f>
        <v>6.6785927251043526</v>
      </c>
      <c r="AJ143" s="376">
        <f t="array" ref="AJ143">IFERROR((終値!$E$5-INDEX(終値!$E$5:$CZ$5,1,$AN$2))/INDEX(終値!$E$5:$CZ$5,1,$AN$2)*100,"")</f>
        <v>2.31989243802786</v>
      </c>
      <c r="AK143" s="377">
        <f t="shared" si="60"/>
        <v>4.358700287076493</v>
      </c>
      <c r="AL143" s="375">
        <f t="shared" si="61"/>
        <v>-2</v>
      </c>
      <c r="AO143" s="379" t="e">
        <f t="shared" si="62"/>
        <v>#VALUE!</v>
      </c>
      <c r="AP143" s="380" t="e">
        <f t="shared" si="63"/>
        <v>#VALUE!</v>
      </c>
      <c r="AQ143">
        <f>IF(C143&lt;&gt;"",始値!F88,"")</f>
        <v>1795</v>
      </c>
      <c r="AR143">
        <f>IF(C143&lt;&gt;"",高値!F88,"")</f>
        <v>1798.5</v>
      </c>
      <c r="AS143">
        <f>IF(C143&lt;&gt;"",安値!F88,"")</f>
        <v>1781.5</v>
      </c>
      <c r="AT143" t="str">
        <f t="shared" si="64"/>
        <v>通常</v>
      </c>
      <c r="AU143">
        <f t="shared" si="65"/>
        <v>0</v>
      </c>
    </row>
    <row r="144" spans="1:47" ht="14.25" customHeight="1">
      <c r="A144" s="335" t="str">
        <f>IF(銘柄管理!B93&lt;&gt;"",HYPERLINK("https://kabutan.jp/stock/?code="&amp;銘柄管理!B93,"株探"),"")</f>
        <v>株探</v>
      </c>
      <c r="B144" s="215"/>
      <c r="C144" s="478">
        <f>IF(銘柄管理!B93="","",銘柄管理!B93)</f>
        <v>7746</v>
      </c>
      <c r="D144" s="215" t="str">
        <f>IF(銘柄管理!C93="","",銘柄管理!C93)</f>
        <v/>
      </c>
      <c r="E144" s="336" t="str">
        <f>IF(C144&lt;&gt;"",_xll.RssMarket(C144,"現在値"),"")</f>
        <v/>
      </c>
      <c r="F144" s="336" t="str">
        <f>IF(C144&lt;&gt;"",_xll.RssMarket(C144,"始値"),"")</f>
        <v/>
      </c>
      <c r="G144" s="215">
        <f>IF(C144&lt;&gt;"",終値!F93,"")</f>
        <v>802</v>
      </c>
      <c r="H144" s="336" t="str">
        <f>IF(C144&lt;&gt;"",_xll.RssMarket(C144,"高値"),"")</f>
        <v/>
      </c>
      <c r="I144" s="336" t="str">
        <f>IF(C144&lt;&gt;"",_xll.RssMarket(C144,"安値"),"")</f>
        <v/>
      </c>
      <c r="J144" s="336" t="str">
        <f>IF(C144&lt;&gt;"",_xll.RssMarket(C144,"出来高"),"")</f>
        <v/>
      </c>
      <c r="K144" s="336" t="str">
        <f>IF(C144&lt;&gt;"",_xll.RssMarket(C144,"年初来高値"),"")</f>
        <v/>
      </c>
      <c r="L144" s="337" t="str">
        <f t="shared" si="44"/>
        <v/>
      </c>
      <c r="M144" s="336">
        <f>IF(C144&lt;&gt;"",IFERROR(AVERAGE(出来高!E93:I93),""),"")</f>
        <v>394980</v>
      </c>
      <c r="N144" s="336">
        <f>IF(C144&lt;&gt;"",IFERROR(AVERAGE(出来高!E93:AC93),""),"")</f>
        <v>1664412</v>
      </c>
      <c r="O144" s="338" t="str">
        <f t="shared" si="45"/>
        <v/>
      </c>
      <c r="P144" s="215" t="str">
        <f t="shared" si="46"/>
        <v/>
      </c>
      <c r="Q144" s="215" t="str">
        <f t="shared" si="47"/>
        <v/>
      </c>
      <c r="R144" s="336" t="str">
        <f t="shared" si="48"/>
        <v/>
      </c>
      <c r="S144" s="336" t="str">
        <f t="shared" si="49"/>
        <v/>
      </c>
      <c r="T144" s="328">
        <f t="shared" si="50"/>
        <v>0</v>
      </c>
      <c r="U144" s="215" t="str">
        <f t="shared" si="51"/>
        <v>除外</v>
      </c>
      <c r="V144" s="215" t="str">
        <f t="shared" si="52"/>
        <v/>
      </c>
      <c r="W144" s="339">
        <f t="array" ref="W144">IFERROR(100-100/(1+SUMPRODUCT((終値!F93:R93&gt;終値!G93:S93)*(終値!F93:R93-終値!G93:S93))/SUMPRODUCT((終値!F93:R93&lt;終値!G93:S93)*(終値!G93:S93-終値!F93:R93))),50)</f>
        <v>54.545454545454547</v>
      </c>
      <c r="X144" s="340">
        <f>IF(C144&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-3.6554854142863178</v>
      </c>
      <c r="Y144" s="215" t="e">
        <f t="shared" si="53"/>
        <v>#VALUE!</v>
      </c>
      <c r="Z144" s="341" t="str">
        <f t="shared" si="54"/>
        <v/>
      </c>
      <c r="AA144" s="215" t="str">
        <f t="shared" si="55"/>
        <v/>
      </c>
      <c r="AB144" s="336">
        <f>IF(OR(C144="",C144="TOPX",終値!E93=""),"",IFERROR(((終値!E93*0.333)+(終値!F93*0.222)+(終値!G93*0.148)+(終値!H93*0.099)+(終値!I93*0.066))/(0.333+0.222+0.148+0.099+0.066),""))</f>
        <v>772.72926267281116</v>
      </c>
      <c r="AC144" s="336">
        <f>IF(OR(C144="",C144="TOPX",終値!E93=""),"",IFERROR(SUMPRODUCT((終値!E93:AC93),{0.077,0.071,0.065,0.06,0.055,0.051,0.047,0.043,0.039,0.036,0.033,0.031,0.028,0.026,0.024,0.022,0.02,0.018,0.017,0.016,0.014,0.013,0.012,0.011,0.01})/SUM({0.077,0.071,0.065,0.06,0.055,0.051,0.047,0.043,0.039,0.036,0.033,0.031,0.028,0.026,0.024,0.022,0.02,0.018,0.017,0.016,0.014,0.013,0.012,0.011,0.01}),""))</f>
        <v>805.83909415971368</v>
      </c>
      <c r="AD144" s="215" t="str">
        <f t="shared" si="56"/>
        <v>上昇トレンド▲</v>
      </c>
      <c r="AE144" s="215" t="e">
        <f t="shared" si="57"/>
        <v>#VALUE!</v>
      </c>
      <c r="AF144" t="e">
        <f>IF(T144="","",IF(銘柄管理!$F$5="上昇▲",IF(AND(AD144="下降トレンド▼",OR(AE144="25日戻り売り★",AE144="5日戻り売り○")),"★逆張り売り",IF(AND(AD144="もみ合い→",OR(AE144="25日戻り売り★",AE144="5日戻り売り○")),"○逆張り売り",IF(W144&gt;=70,IF(Z144&lt;0,"◎反落確認","△過熱・様子見"),"相場上昇・見送り"))),IF(AND(T144&gt;=12,AD144="下降トレンド▼"),"★強い売り",IF(T144&gt;=12,"★強い売り",IF(AND(T144&gt;=8,OR(AE144="25日戻り売り★",AE144="5日戻り売り○")),"◎戻り売り",IF(T144&gt;=10,"○売り候補",IF(T144&gt;=6,"△注目",IF(T144&gt;=3,"様子見","見送り"))))))))</f>
        <v>#VALUE!</v>
      </c>
      <c r="AG144">
        <f t="shared" si="58"/>
        <v>0</v>
      </c>
      <c r="AH144">
        <f t="shared" si="59"/>
        <v>0</v>
      </c>
      <c r="AI144" s="376">
        <f t="array" ref="AI144">IF(C144="","",IFERROR((INDEX(終値!$E:$E,MATCH(TEXT(C144,"0"),終値!$A:$A,0))-INDEX(終値!$E:$CZ,MATCH(TEXT(C144,"0"),終値!$A:$A,0),$AN$2))/INDEX(終値!$E:$CZ,MATCH(TEXT(C144,"0"),終値!$A:$A,0),$AN$2)*100,""))</f>
        <v>1.3774104683195594</v>
      </c>
      <c r="AJ144" s="376">
        <f t="array" ref="AJ144">IFERROR((終値!$E$5-INDEX(終値!$E$5:$CZ$5,1,$AN$2))/INDEX(終値!$E$5:$CZ$5,1,$AN$2)*100,"")</f>
        <v>2.31989243802786</v>
      </c>
      <c r="AK144" s="377">
        <f t="shared" si="60"/>
        <v>-0.94248196970830067</v>
      </c>
      <c r="AL144" s="375">
        <f t="shared" si="61"/>
        <v>1</v>
      </c>
      <c r="AO144" s="379" t="e">
        <f t="shared" si="62"/>
        <v>#VALUE!</v>
      </c>
      <c r="AP144" s="380" t="e">
        <f t="shared" si="63"/>
        <v>#VALUE!</v>
      </c>
      <c r="AQ144">
        <f>IF(C144&lt;&gt;"",始値!F93,"")</f>
        <v>792</v>
      </c>
      <c r="AR144">
        <f>IF(C144&lt;&gt;"",高値!F93,"")</f>
        <v>808</v>
      </c>
      <c r="AS144">
        <f>IF(C144&lt;&gt;"",安値!F93,"")</f>
        <v>788</v>
      </c>
      <c r="AT144" t="str">
        <f t="shared" si="64"/>
        <v>通常</v>
      </c>
      <c r="AU144">
        <f t="shared" si="65"/>
        <v>0</v>
      </c>
    </row>
    <row r="145" spans="1:47" ht="14.25" customHeight="1">
      <c r="A145" s="327" t="str">
        <f>IF(銘柄管理!B98&lt;&gt;"",HYPERLINK("https://kabutan.jp/stock/?code="&amp;銘柄管理!B98,"株探"),"")</f>
        <v>株探</v>
      </c>
      <c r="B145" s="328"/>
      <c r="C145" s="477">
        <f>IF(銘柄管理!B98="","",銘柄管理!B98)</f>
        <v>4188</v>
      </c>
      <c r="D145" s="328" t="str">
        <f>IF(銘柄管理!C98="","",銘柄管理!C98)</f>
        <v/>
      </c>
      <c r="E145" s="329" t="str">
        <f>IF(C145&lt;&gt;"",_xll.RssMarket(C145,"現在値"),"")</f>
        <v/>
      </c>
      <c r="F145" s="329" t="str">
        <f>IF(C145&lt;&gt;"",_xll.RssMarket(C145,"始値"),"")</f>
        <v/>
      </c>
      <c r="G145" s="328">
        <f>IF(C145&lt;&gt;"",終値!F98,"")</f>
        <v>1222</v>
      </c>
      <c r="H145" s="329" t="str">
        <f>IF(C145&lt;&gt;"",_xll.RssMarket(C145,"高値"),"")</f>
        <v/>
      </c>
      <c r="I145" s="329" t="str">
        <f>IF(C145&lt;&gt;"",_xll.RssMarket(C145,"安値"),"")</f>
        <v/>
      </c>
      <c r="J145" s="329" t="str">
        <f>IF(C145&lt;&gt;"",_xll.RssMarket(C145,"出来高"),"")</f>
        <v/>
      </c>
      <c r="K145" s="329" t="str">
        <f>IF(C145&lt;&gt;"",_xll.RssMarket(C145,"年初来高値"),"")</f>
        <v/>
      </c>
      <c r="L145" s="330" t="str">
        <f t="shared" si="44"/>
        <v/>
      </c>
      <c r="M145" s="329">
        <f>IF(C145&lt;&gt;"",IFERROR(AVERAGE(出来高!E98:I98),""),"")</f>
        <v>5208140</v>
      </c>
      <c r="N145" s="329">
        <f>IF(C145&lt;&gt;"",IFERROR(AVERAGE(出来高!E98:AC98),""),"")</f>
        <v>6291588</v>
      </c>
      <c r="O145" s="331" t="str">
        <f t="shared" si="45"/>
        <v/>
      </c>
      <c r="P145" s="328" t="str">
        <f t="shared" si="46"/>
        <v/>
      </c>
      <c r="Q145" s="328" t="str">
        <f t="shared" si="47"/>
        <v/>
      </c>
      <c r="R145" s="329" t="str">
        <f t="shared" si="48"/>
        <v/>
      </c>
      <c r="S145" s="329" t="str">
        <f t="shared" si="49"/>
        <v/>
      </c>
      <c r="T145" s="328">
        <f t="shared" si="50"/>
        <v>0</v>
      </c>
      <c r="U145" s="328" t="str">
        <f t="shared" si="51"/>
        <v>除外</v>
      </c>
      <c r="V145" s="328" t="str">
        <f t="shared" si="52"/>
        <v/>
      </c>
      <c r="W145" s="332">
        <f t="array" ref="W145">IFERROR(100-100/(1+SUMPRODUCT((終値!F98:R98&gt;終値!G98:S98)*(終値!F98:R98-終値!G98:S98))/SUMPRODUCT((終値!F98:R98&lt;終値!G98:S98)*(終値!G98:S98-終値!F98:R98))),50)</f>
        <v>76.254826254826256</v>
      </c>
      <c r="X145" s="333">
        <f>IF(C145&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14.719297163258943</v>
      </c>
      <c r="Y145" s="328" t="e">
        <f t="shared" si="53"/>
        <v>#VALUE!</v>
      </c>
      <c r="Z145" s="334" t="str">
        <f t="shared" si="54"/>
        <v/>
      </c>
      <c r="AA145" s="328" t="str">
        <f t="shared" si="55"/>
        <v/>
      </c>
      <c r="AB145" s="329">
        <f>IF(OR(C145="",C145="TOPX",終値!E98=""),"",IFERROR(((終値!E98*0.333)+(終値!F98*0.222)+(終値!G98*0.148)+(終値!H98*0.099)+(終値!I98*0.066))/(0.333+0.222+0.148+0.099+0.066),""))</f>
        <v>1186.9994239631337</v>
      </c>
      <c r="AC145" s="329">
        <f>IF(OR(C145="",C145="TOPX",終値!E98=""),"",IFERROR(SUMPRODUCT((終値!E98:AC98),{0.077,0.071,0.065,0.06,0.055,0.051,0.047,0.043,0.039,0.036,0.033,0.031,0.028,0.026,0.024,0.022,0.02,0.018,0.017,0.016,0.014,0.013,0.012,0.011,0.01})/SUM({0.077,0.071,0.065,0.06,0.055,0.051,0.047,0.043,0.039,0.036,0.033,0.031,0.028,0.026,0.024,0.022,0.02,0.018,0.017,0.016,0.014,0.013,0.012,0.011,0.01}),""))</f>
        <v>1147.3450536352796</v>
      </c>
      <c r="AD145" s="328" t="str">
        <f t="shared" si="56"/>
        <v>パーフェクト▲</v>
      </c>
      <c r="AE145" s="328" t="e">
        <f t="shared" si="57"/>
        <v>#VALUE!</v>
      </c>
      <c r="AF145" t="e">
        <f>IF(T145="","",IF(銘柄管理!$F$5="上昇▲",IF(AND(AD145="下降トレンド▼",OR(AE145="25日戻り売り★",AE145="5日戻り売り○")),"★逆張り売り",IF(AND(AD145="もみ合い→",OR(AE145="25日戻り売り★",AE145="5日戻り売り○")),"○逆張り売り",IF(W145&gt;=70,IF(Z145&lt;0,"◎反落確認","△過熱・様子見"),"相場上昇・見送り"))),IF(AND(T145&gt;=12,AD145="下降トレンド▼"),"★強い売り",IF(T145&gt;=12,"★強い売り",IF(AND(T145&gt;=8,OR(AE145="25日戻り売り★",AE145="5日戻り売り○")),"◎戻り売り",IF(T145&gt;=10,"○売り候補",IF(T145&gt;=6,"△注目",IF(T145&gt;=3,"様子見","見送り"))))))))</f>
        <v>#VALUE!</v>
      </c>
      <c r="AG145">
        <f t="shared" si="58"/>
        <v>0</v>
      </c>
      <c r="AH145">
        <f t="shared" si="59"/>
        <v>0</v>
      </c>
      <c r="AI145" s="376">
        <f t="array" ref="AI145">IF(C145="","",IFERROR((INDEX(終値!$E:$E,MATCH(TEXT(C145,"0"),終値!$A:$A,0))-INDEX(終値!$E:$CZ,MATCH(TEXT(C145,"0"),終値!$A:$A,0),$AN$2))/INDEX(終値!$E:$CZ,MATCH(TEXT(C145,"0"),終値!$A:$A,0),$AN$2)*100,""))</f>
        <v>9.8777046095954848</v>
      </c>
      <c r="AJ145" s="376">
        <f t="array" ref="AJ145">IFERROR((終値!$E$5-INDEX(終値!$E$5:$CZ$5,1,$AN$2))/INDEX(終値!$E$5:$CZ$5,1,$AN$2)*100,"")</f>
        <v>2.31989243802786</v>
      </c>
      <c r="AK145" s="377">
        <f t="shared" si="60"/>
        <v>7.5578121715676243</v>
      </c>
      <c r="AL145" s="375">
        <f t="shared" si="61"/>
        <v>-2</v>
      </c>
      <c r="AO145" s="379" t="e">
        <f t="shared" si="62"/>
        <v>#VALUE!</v>
      </c>
      <c r="AP145" s="380" t="e">
        <f t="shared" si="63"/>
        <v>#VALUE!</v>
      </c>
      <c r="AQ145">
        <f>IF(C145&lt;&gt;"",始値!F98,"")</f>
        <v>1209.5</v>
      </c>
      <c r="AR145">
        <f>IF(C145&lt;&gt;"",高値!F98,"")</f>
        <v>1228.5</v>
      </c>
      <c r="AS145">
        <f>IF(C145&lt;&gt;"",安値!F98,"")</f>
        <v>1203</v>
      </c>
      <c r="AT145" t="str">
        <f t="shared" si="64"/>
        <v>通常</v>
      </c>
      <c r="AU145">
        <f t="shared" si="65"/>
        <v>0</v>
      </c>
    </row>
    <row r="146" spans="1:47" ht="14.25" customHeight="1">
      <c r="A146" s="335" t="str">
        <f>IF(銘柄管理!B111&lt;&gt;"",HYPERLINK("https://kabutan.jp/stock/?code="&amp;銘柄管理!B111,"株探"),"")</f>
        <v>株探</v>
      </c>
      <c r="B146" s="215"/>
      <c r="C146" s="478">
        <f>IF(銘柄管理!B111="","",銘柄管理!B111)</f>
        <v>9227</v>
      </c>
      <c r="D146" s="215" t="str">
        <f>IF(銘柄管理!C111="","",銘柄管理!C111)</f>
        <v/>
      </c>
      <c r="E146" s="336" t="str">
        <f>IF(C146&lt;&gt;"",_xll.RssMarket(C146,"現在値"),"")</f>
        <v/>
      </c>
      <c r="F146" s="336" t="str">
        <f>IF(C146&lt;&gt;"",_xll.RssMarket(C146,"始値"),"")</f>
        <v/>
      </c>
      <c r="G146" s="215">
        <f>IF(C146&lt;&gt;"",終値!F111,"")</f>
        <v>844</v>
      </c>
      <c r="H146" s="336" t="str">
        <f>IF(C146&lt;&gt;"",_xll.RssMarket(C146,"高値"),"")</f>
        <v/>
      </c>
      <c r="I146" s="336" t="str">
        <f>IF(C146&lt;&gt;"",_xll.RssMarket(C146,"安値"),"")</f>
        <v/>
      </c>
      <c r="J146" s="336" t="str">
        <f>IF(C146&lt;&gt;"",_xll.RssMarket(C146,"出来高"),"")</f>
        <v/>
      </c>
      <c r="K146" s="336" t="str">
        <f>IF(C146&lt;&gt;"",_xll.RssMarket(C146,"年初来高値"),"")</f>
        <v/>
      </c>
      <c r="L146" s="337" t="str">
        <f t="shared" si="44"/>
        <v/>
      </c>
      <c r="M146" s="336">
        <f>IF(C146&lt;&gt;"",IFERROR(AVERAGE(出来高!E111:I111),""),"")</f>
        <v>169100</v>
      </c>
      <c r="N146" s="336">
        <f>IF(C146&lt;&gt;"",IFERROR(AVERAGE(出来高!E111:AC111),""),"")</f>
        <v>151620</v>
      </c>
      <c r="O146" s="338" t="str">
        <f t="shared" si="45"/>
        <v/>
      </c>
      <c r="P146" s="215" t="str">
        <f t="shared" si="46"/>
        <v/>
      </c>
      <c r="Q146" s="215" t="str">
        <f t="shared" si="47"/>
        <v/>
      </c>
      <c r="R146" s="336" t="str">
        <f t="shared" si="48"/>
        <v/>
      </c>
      <c r="S146" s="336" t="str">
        <f t="shared" si="49"/>
        <v/>
      </c>
      <c r="T146" s="328">
        <f t="shared" si="50"/>
        <v>0</v>
      </c>
      <c r="U146" s="215" t="str">
        <f t="shared" si="51"/>
        <v>除外</v>
      </c>
      <c r="V146" s="215" t="str">
        <f t="shared" si="52"/>
        <v/>
      </c>
      <c r="W146" s="339">
        <f t="array" ref="W146">IFERROR(100-100/(1+SUMPRODUCT((終値!F111:R111&gt;終値!G111:S111)*(終値!F111:R111-終値!G111:S111))/SUMPRODUCT((終値!F111:R111&lt;終値!G111:S111)*(終値!G111:S111-終値!F111:R111))),50)</f>
        <v>40.370370370370367</v>
      </c>
      <c r="X146" s="340">
        <f>IF(C146&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-7.2282905918266351</v>
      </c>
      <c r="Y146" s="215" t="e">
        <f t="shared" si="53"/>
        <v>#VALUE!</v>
      </c>
      <c r="Z146" s="341" t="str">
        <f t="shared" si="54"/>
        <v/>
      </c>
      <c r="AA146" s="215" t="str">
        <f t="shared" si="55"/>
        <v/>
      </c>
      <c r="AB146" s="336">
        <f>IF(OR(C146="",C146="TOPX",終値!E111=""),"",IFERROR(((終値!E111*0.333)+(終値!F111*0.222)+(終値!G111*0.148)+(終値!H111*0.099)+(終値!I111*0.066))/(0.333+0.222+0.148+0.099+0.066),""))</f>
        <v>815.53456221198144</v>
      </c>
      <c r="AC146" s="336">
        <f>IF(OR(C146="",C146="TOPX",終値!E111=""),"",IFERROR(SUMPRODUCT((終値!E111:AC111),{0.077,0.071,0.065,0.06,0.055,0.051,0.047,0.043,0.039,0.036,0.033,0.031,0.028,0.026,0.024,0.022,0.02,0.018,0.017,0.016,0.014,0.013,0.012,0.011,0.01})/SUM({0.077,0.071,0.065,0.06,0.055,0.051,0.047,0.043,0.039,0.036,0.033,0.031,0.028,0.026,0.024,0.022,0.02,0.018,0.017,0.016,0.014,0.013,0.012,0.011,0.01}),""))</f>
        <v>876.25029797377795</v>
      </c>
      <c r="AD146" s="215" t="str">
        <f t="shared" si="56"/>
        <v>上昇トレンド▲</v>
      </c>
      <c r="AE146" s="215" t="e">
        <f t="shared" si="57"/>
        <v>#VALUE!</v>
      </c>
      <c r="AF146" t="e">
        <f>IF(T146="","",IF(銘柄管理!$F$5="上昇▲",IF(AND(AD146="下降トレンド▼",OR(AE146="25日戻り売り★",AE146="5日戻り売り○")),"★逆張り売り",IF(AND(AD146="もみ合い→",OR(AE146="25日戻り売り★",AE146="5日戻り売り○")),"○逆張り売り",IF(W146&gt;=70,IF(Z146&lt;0,"◎反落確認","△過熱・様子見"),"相場上昇・見送り"))),IF(AND(T146&gt;=12,AD146="下降トレンド▼"),"★強い売り",IF(T146&gt;=12,"★強い売り",IF(AND(T146&gt;=8,OR(AE146="25日戻り売り★",AE146="5日戻り売り○")),"◎戻り売り",IF(T146&gt;=10,"○売り候補",IF(T146&gt;=6,"△注目",IF(T146&gt;=3,"様子見","見送り"))))))))</f>
        <v>#VALUE!</v>
      </c>
      <c r="AG146">
        <f t="shared" si="58"/>
        <v>0</v>
      </c>
      <c r="AH146">
        <f t="shared" si="59"/>
        <v>0</v>
      </c>
      <c r="AI146" s="376">
        <f t="array" ref="AI146">IF(C146="","",IFERROR((INDEX(終値!$E:$E,MATCH(TEXT(C146,"0"),終値!$A:$A,0))-INDEX(終値!$E:$CZ,MATCH(TEXT(C146,"0"),終値!$A:$A,0),$AN$2))/INDEX(終値!$E:$CZ,MATCH(TEXT(C146,"0"),終値!$A:$A,0),$AN$2)*100,""))</f>
        <v>-13.303269447576099</v>
      </c>
      <c r="AJ146" s="376">
        <f t="array" ref="AJ146">IFERROR((終値!$E$5-INDEX(終値!$E$5:$CZ$5,1,$AN$2))/INDEX(終値!$E$5:$CZ$5,1,$AN$2)*100,"")</f>
        <v>2.31989243802786</v>
      </c>
      <c r="AK146" s="377">
        <f t="shared" si="60"/>
        <v>-15.62316188560396</v>
      </c>
      <c r="AL146" s="375">
        <f t="shared" si="61"/>
        <v>3</v>
      </c>
      <c r="AO146" s="379" t="e">
        <f t="shared" si="62"/>
        <v>#VALUE!</v>
      </c>
      <c r="AP146" s="380" t="e">
        <f t="shared" si="63"/>
        <v>#VALUE!</v>
      </c>
      <c r="AQ146">
        <f>IF(C146&lt;&gt;"",始値!F111,"")</f>
        <v>830</v>
      </c>
      <c r="AR146">
        <f>IF(C146&lt;&gt;"",高値!F111,"")</f>
        <v>846</v>
      </c>
      <c r="AS146">
        <f>IF(C146&lt;&gt;"",安値!F111,"")</f>
        <v>827</v>
      </c>
      <c r="AT146" t="str">
        <f t="shared" si="64"/>
        <v>通常</v>
      </c>
      <c r="AU146">
        <f t="shared" si="65"/>
        <v>0</v>
      </c>
    </row>
    <row r="147" spans="1:47" ht="14.25" customHeight="1">
      <c r="A147" s="327" t="str">
        <f>IF(銘柄管理!B117&lt;&gt;"",HYPERLINK("https://kabutan.jp/stock/?code="&amp;銘柄管理!B117,"株探"),"")</f>
        <v>株探</v>
      </c>
      <c r="B147" s="328"/>
      <c r="C147" s="477">
        <f>IF(銘柄管理!B117="","",銘柄管理!B117)</f>
        <v>5838</v>
      </c>
      <c r="D147" s="328" t="str">
        <f>IF(銘柄管理!C117="","",銘柄管理!C117)</f>
        <v/>
      </c>
      <c r="E147" s="329" t="str">
        <f>IF(C147&lt;&gt;"",_xll.RssMarket(C147,"現在値"),"")</f>
        <v/>
      </c>
      <c r="F147" s="329" t="str">
        <f>IF(C147&lt;&gt;"",_xll.RssMarket(C147,"始値"),"")</f>
        <v/>
      </c>
      <c r="G147" s="328">
        <f>IF(C147&lt;&gt;"",終値!F117,"")</f>
        <v>5680</v>
      </c>
      <c r="H147" s="329" t="str">
        <f>IF(C147&lt;&gt;"",_xll.RssMarket(C147,"高値"),"")</f>
        <v/>
      </c>
      <c r="I147" s="329" t="str">
        <f>IF(C147&lt;&gt;"",_xll.RssMarket(C147,"安値"),"")</f>
        <v/>
      </c>
      <c r="J147" s="329" t="str">
        <f>IF(C147&lt;&gt;"",_xll.RssMarket(C147,"出来高"),"")</f>
        <v/>
      </c>
      <c r="K147" s="329" t="str">
        <f>IF(C147&lt;&gt;"",_xll.RssMarket(C147,"年初来高値"),"")</f>
        <v/>
      </c>
      <c r="L147" s="330" t="str">
        <f t="shared" si="44"/>
        <v/>
      </c>
      <c r="M147" s="329">
        <f>IF(C147&lt;&gt;"",IFERROR(AVERAGE(出来高!E117:I117),""),"")</f>
        <v>1101260</v>
      </c>
      <c r="N147" s="329">
        <f>IF(C147&lt;&gt;"",IFERROR(AVERAGE(出来高!E117:AC117),""),"")</f>
        <v>1321644</v>
      </c>
      <c r="O147" s="331" t="str">
        <f t="shared" si="45"/>
        <v/>
      </c>
      <c r="P147" s="328" t="str">
        <f t="shared" si="46"/>
        <v/>
      </c>
      <c r="Q147" s="328" t="str">
        <f t="shared" si="47"/>
        <v/>
      </c>
      <c r="R147" s="329" t="str">
        <f t="shared" si="48"/>
        <v/>
      </c>
      <c r="S147" s="329" t="str">
        <f t="shared" si="49"/>
        <v/>
      </c>
      <c r="T147" s="328">
        <f t="shared" si="50"/>
        <v>0</v>
      </c>
      <c r="U147" s="328" t="str">
        <f t="shared" si="51"/>
        <v>除外</v>
      </c>
      <c r="V147" s="328" t="str">
        <f t="shared" si="52"/>
        <v/>
      </c>
      <c r="W147" s="332">
        <f t="array" ref="W147">IFERROR(100-100/(1+SUMPRODUCT((終値!F117:R117&gt;終値!G117:S117)*(終値!F117:R117-終値!G117:S117))/SUMPRODUCT((終値!F117:R117&lt;終値!G117:S117)*(終値!G117:S117-終値!F117:R117))),50)</f>
        <v>78.764805414551603</v>
      </c>
      <c r="X147" s="333">
        <f>IF(C147&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82.517133088416813</v>
      </c>
      <c r="Y147" s="328" t="e">
        <f t="shared" si="53"/>
        <v>#VALUE!</v>
      </c>
      <c r="Z147" s="334" t="str">
        <f t="shared" si="54"/>
        <v/>
      </c>
      <c r="AA147" s="328" t="str">
        <f t="shared" si="55"/>
        <v/>
      </c>
      <c r="AB147" s="329">
        <f>IF(OR(C147="",C147="TOPX",終値!E117=""),"",IFERROR(((終値!E117*0.333)+(終値!F117*0.222)+(終値!G117*0.148)+(終値!H117*0.099)+(終値!I117*0.066))/(0.333+0.222+0.148+0.099+0.066),""))</f>
        <v>5543.264976958525</v>
      </c>
      <c r="AC147" s="329">
        <f>IF(OR(C147="",C147="TOPX",終値!E117=""),"",IFERROR(SUMPRODUCT((終値!E117:AC117),{0.077,0.071,0.065,0.06,0.055,0.051,0.047,0.043,0.039,0.036,0.033,0.031,0.028,0.026,0.024,0.022,0.02,0.018,0.017,0.016,0.014,0.013,0.012,0.011,0.01})/SUM({0.077,0.071,0.065,0.06,0.055,0.051,0.047,0.043,0.039,0.036,0.033,0.031,0.028,0.026,0.024,0.022,0.02,0.018,0.017,0.016,0.014,0.013,0.012,0.011,0.01}),""))</f>
        <v>5415.206197854588</v>
      </c>
      <c r="AD147" s="328" t="str">
        <f t="shared" si="56"/>
        <v>パーフェクト▲</v>
      </c>
      <c r="AE147" s="328" t="e">
        <f t="shared" si="57"/>
        <v>#VALUE!</v>
      </c>
      <c r="AF147" t="e">
        <f>IF(T147="","",IF(銘柄管理!$F$5="上昇▲",IF(AND(AD147="下降トレンド▼",OR(AE147="25日戻り売り★",AE147="5日戻り売り○")),"★逆張り売り",IF(AND(AD147="もみ合い→",OR(AE147="25日戻り売り★",AE147="5日戻り売り○")),"○逆張り売り",IF(W147&gt;=70,IF(Z147&lt;0,"◎反落確認","△過熱・様子見"),"相場上昇・見送り"))),IF(AND(T147&gt;=12,AD147="下降トレンド▼"),"★強い売り",IF(T147&gt;=12,"★強い売り",IF(AND(T147&gt;=8,OR(AE147="25日戻り売り★",AE147="5日戻り売り○")),"◎戻り売り",IF(T147&gt;=10,"○売り候補",IF(T147&gt;=6,"△注目",IF(T147&gt;=3,"様子見","見送り"))))))))</f>
        <v>#VALUE!</v>
      </c>
      <c r="AG147">
        <f t="shared" si="58"/>
        <v>0</v>
      </c>
      <c r="AH147">
        <f t="shared" si="59"/>
        <v>0</v>
      </c>
      <c r="AI147" s="376">
        <f t="array" ref="AI147">IF(C147="","",IFERROR((INDEX(終値!$E:$E,MATCH(TEXT(C147,"0"),終値!$A:$A,0))-INDEX(終値!$E:$CZ,MATCH(TEXT(C147,"0"),終値!$A:$A,0),$AN$2))/INDEX(終値!$E:$CZ,MATCH(TEXT(C147,"0"),終値!$A:$A,0),$AN$2)*100,""))</f>
        <v>5.4747474747474749</v>
      </c>
      <c r="AJ147" s="376">
        <f t="array" ref="AJ147">IFERROR((終値!$E$5-INDEX(終値!$E$5:$CZ$5,1,$AN$2))/INDEX(終値!$E$5:$CZ$5,1,$AN$2)*100,"")</f>
        <v>2.31989243802786</v>
      </c>
      <c r="AK147" s="377">
        <f t="shared" si="60"/>
        <v>3.1548550367196149</v>
      </c>
      <c r="AL147" s="375">
        <f t="shared" si="61"/>
        <v>-2</v>
      </c>
      <c r="AO147" s="379" t="e">
        <f t="shared" si="62"/>
        <v>#VALUE!</v>
      </c>
      <c r="AP147" s="380" t="e">
        <f t="shared" si="63"/>
        <v>#VALUE!</v>
      </c>
      <c r="AQ147">
        <f>IF(C147&lt;&gt;"",始値!F117,"")</f>
        <v>5870</v>
      </c>
      <c r="AR147">
        <f>IF(C147&lt;&gt;"",高値!F117,"")</f>
        <v>5947</v>
      </c>
      <c r="AS147">
        <f>IF(C147&lt;&gt;"",安値!F117,"")</f>
        <v>5637</v>
      </c>
      <c r="AT147" t="str">
        <f t="shared" si="64"/>
        <v>通常</v>
      </c>
      <c r="AU147">
        <f t="shared" si="65"/>
        <v>0</v>
      </c>
    </row>
    <row r="148" spans="1:47" ht="14.25" customHeight="1">
      <c r="A148" s="335" t="str">
        <f>IF(銘柄管理!B121&lt;&gt;"",HYPERLINK("https://kabutan.jp/stock/?code="&amp;銘柄管理!B121,"株探"),"")</f>
        <v>株探</v>
      </c>
      <c r="B148" s="215"/>
      <c r="C148" s="478">
        <f>IF(銘柄管理!B121="","",銘柄管理!B121)</f>
        <v>7685</v>
      </c>
      <c r="D148" s="215" t="str">
        <f>IF(銘柄管理!C121="","",銘柄管理!C121)</f>
        <v/>
      </c>
      <c r="E148" s="336" t="str">
        <f>IF(C148&lt;&gt;"",_xll.RssMarket(C148,"現在値"),"")</f>
        <v/>
      </c>
      <c r="F148" s="336" t="str">
        <f>IF(C148&lt;&gt;"",_xll.RssMarket(C148,"始値"),"")</f>
        <v/>
      </c>
      <c r="G148" s="215">
        <f>IF(C148&lt;&gt;"",終値!F121,"")</f>
        <v>3585</v>
      </c>
      <c r="H148" s="336" t="str">
        <f>IF(C148&lt;&gt;"",_xll.RssMarket(C148,"高値"),"")</f>
        <v/>
      </c>
      <c r="I148" s="336" t="str">
        <f>IF(C148&lt;&gt;"",_xll.RssMarket(C148,"安値"),"")</f>
        <v/>
      </c>
      <c r="J148" s="336" t="str">
        <f>IF(C148&lt;&gt;"",_xll.RssMarket(C148,"出来高"),"")</f>
        <v/>
      </c>
      <c r="K148" s="336" t="str">
        <f>IF(C148&lt;&gt;"",_xll.RssMarket(C148,"年初来高値"),"")</f>
        <v/>
      </c>
      <c r="L148" s="337" t="str">
        <f t="shared" si="44"/>
        <v/>
      </c>
      <c r="M148" s="336">
        <f>IF(C148&lt;&gt;"",IFERROR(AVERAGE(出来高!E121:I121),""),"")</f>
        <v>245080</v>
      </c>
      <c r="N148" s="336">
        <f>IF(C148&lt;&gt;"",IFERROR(AVERAGE(出来高!E121:AC121),""),"")</f>
        <v>327060</v>
      </c>
      <c r="O148" s="338" t="str">
        <f t="shared" si="45"/>
        <v/>
      </c>
      <c r="P148" s="215" t="str">
        <f t="shared" si="46"/>
        <v/>
      </c>
      <c r="Q148" s="215" t="str">
        <f t="shared" si="47"/>
        <v/>
      </c>
      <c r="R148" s="336" t="str">
        <f t="shared" si="48"/>
        <v/>
      </c>
      <c r="S148" s="336" t="str">
        <f t="shared" si="49"/>
        <v/>
      </c>
      <c r="T148" s="328">
        <f t="shared" si="50"/>
        <v>0</v>
      </c>
      <c r="U148" s="215" t="str">
        <f t="shared" si="51"/>
        <v>除外</v>
      </c>
      <c r="V148" s="215" t="str">
        <f t="shared" si="52"/>
        <v/>
      </c>
      <c r="W148" s="339">
        <f t="array" ref="W148">IFERROR(100-100/(1+SUMPRODUCT((終値!F121:R121&gt;終値!G121:S121)*(終値!F121:R121-終値!G121:S121))/SUMPRODUCT((終値!F121:R121&lt;終値!G121:S121)*(終値!G121:S121-終値!F121:R121))),50)</f>
        <v>54.794520547945204</v>
      </c>
      <c r="X148" s="340">
        <f>IF(C148&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-1.2784340806952059</v>
      </c>
      <c r="Y148" s="215" t="e">
        <f t="shared" si="53"/>
        <v>#VALUE!</v>
      </c>
      <c r="Z148" s="341" t="str">
        <f t="shared" si="54"/>
        <v/>
      </c>
      <c r="AA148" s="215" t="str">
        <f t="shared" si="55"/>
        <v/>
      </c>
      <c r="AB148" s="336">
        <f>IF(OR(C148="",C148="TOPX",終値!E121=""),"",IFERROR(((終値!E121*0.333)+(終値!F121*0.222)+(終値!G121*0.148)+(終値!H121*0.099)+(終値!I121*0.066))/(0.333+0.222+0.148+0.099+0.066),""))</f>
        <v>3495.7200460829495</v>
      </c>
      <c r="AC148" s="336">
        <f>IF(OR(C148="",C148="TOPX",終値!E121=""),"",IFERROR(SUMPRODUCT((終値!E121:AC121),{0.077,0.071,0.065,0.06,0.055,0.051,0.047,0.043,0.039,0.036,0.033,0.031,0.028,0.026,0.024,0.022,0.02,0.018,0.017,0.016,0.014,0.013,0.012,0.011,0.01})/SUM({0.077,0.071,0.065,0.06,0.055,0.051,0.047,0.043,0.039,0.036,0.033,0.031,0.028,0.026,0.024,0.022,0.02,0.018,0.017,0.016,0.014,0.013,0.012,0.011,0.01}),""))</f>
        <v>3511.7640047675795</v>
      </c>
      <c r="AD148" s="215" t="str">
        <f t="shared" si="56"/>
        <v>上昇トレンド▲</v>
      </c>
      <c r="AE148" s="215" t="e">
        <f t="shared" si="57"/>
        <v>#VALUE!</v>
      </c>
      <c r="AF148" t="e">
        <f>IF(T148="","",IF(銘柄管理!$F$5="上昇▲",IF(AND(AD148="下降トレンド▼",OR(AE148="25日戻り売り★",AE148="5日戻り売り○")),"★逆張り売り",IF(AND(AD148="もみ合い→",OR(AE148="25日戻り売り★",AE148="5日戻り売り○")),"○逆張り売り",IF(W148&gt;=70,IF(Z148&lt;0,"◎反落確認","△過熱・様子見"),"相場上昇・見送り"))),IF(AND(T148&gt;=12,AD148="下降トレンド▼"),"★強い売り",IF(T148&gt;=12,"★強い売り",IF(AND(T148&gt;=8,OR(AE148="25日戻り売り★",AE148="5日戻り売り○")),"◎戻り売り",IF(T148&gt;=10,"○売り候補",IF(T148&gt;=6,"△注目",IF(T148&gt;=3,"様子見","見送り"))))))))</f>
        <v>#VALUE!</v>
      </c>
      <c r="AG148">
        <f t="shared" si="58"/>
        <v>0</v>
      </c>
      <c r="AH148">
        <f t="shared" si="59"/>
        <v>0</v>
      </c>
      <c r="AI148" s="376">
        <f t="array" ref="AI148">IF(C148="","",IFERROR((INDEX(終値!$E:$E,MATCH(TEXT(C148,"0"),終値!$A:$A,0))-INDEX(終値!$E:$CZ,MATCH(TEXT(C148,"0"),終値!$A:$A,0),$AN$2))/INDEX(終値!$E:$CZ,MATCH(TEXT(C148,"0"),終値!$A:$A,0),$AN$2)*100,""))</f>
        <v>-5.160390516039052</v>
      </c>
      <c r="AJ148" s="376">
        <f t="array" ref="AJ148">IFERROR((終値!$E$5-INDEX(終値!$E$5:$CZ$5,1,$AN$2))/INDEX(終値!$E$5:$CZ$5,1,$AN$2)*100,"")</f>
        <v>2.31989243802786</v>
      </c>
      <c r="AK148" s="377">
        <f t="shared" si="60"/>
        <v>-7.4802829540669116</v>
      </c>
      <c r="AL148" s="375">
        <f t="shared" si="61"/>
        <v>3</v>
      </c>
      <c r="AO148" s="379" t="e">
        <f t="shared" si="62"/>
        <v>#VALUE!</v>
      </c>
      <c r="AP148" s="380" t="e">
        <f t="shared" si="63"/>
        <v>#VALUE!</v>
      </c>
      <c r="AQ148">
        <f>IF(C148&lt;&gt;"",始値!F121,"")</f>
        <v>3535</v>
      </c>
      <c r="AR148">
        <f>IF(C148&lt;&gt;"",高値!F121,"")</f>
        <v>3595</v>
      </c>
      <c r="AS148">
        <f>IF(C148&lt;&gt;"",安値!F121,"")</f>
        <v>3450</v>
      </c>
      <c r="AT148" t="str">
        <f t="shared" si="64"/>
        <v>長い下ヒゲ(反発)</v>
      </c>
      <c r="AU148">
        <f t="shared" si="65"/>
        <v>-2</v>
      </c>
    </row>
    <row r="149" spans="1:47" ht="14.25" customHeight="1">
      <c r="A149" s="327" t="str">
        <f>IF(銘柄管理!B125&lt;&gt;"",HYPERLINK("https://kabutan.jp/stock/?code="&amp;銘柄管理!B125,"株探"),"")</f>
        <v>株探</v>
      </c>
      <c r="B149" s="328"/>
      <c r="C149" s="477">
        <f>IF(銘柄管理!B125="","",銘柄管理!B125)</f>
        <v>8934</v>
      </c>
      <c r="D149" s="328" t="str">
        <f>IF(銘柄管理!C125="","",銘柄管理!C125)</f>
        <v/>
      </c>
      <c r="E149" s="329" t="str">
        <f>IF(C149&lt;&gt;"",_xll.RssMarket(C149,"現在値"),"")</f>
        <v/>
      </c>
      <c r="F149" s="329" t="str">
        <f>IF(C149&lt;&gt;"",_xll.RssMarket(C149,"始値"),"")</f>
        <v/>
      </c>
      <c r="G149" s="328">
        <f>IF(C149&lt;&gt;"",終値!F125,"")</f>
        <v>2533</v>
      </c>
      <c r="H149" s="329" t="str">
        <f>IF(C149&lt;&gt;"",_xll.RssMarket(C149,"高値"),"")</f>
        <v/>
      </c>
      <c r="I149" s="329" t="str">
        <f>IF(C149&lt;&gt;"",_xll.RssMarket(C149,"安値"),"")</f>
        <v/>
      </c>
      <c r="J149" s="329" t="str">
        <f>IF(C149&lt;&gt;"",_xll.RssMarket(C149,"出来高"),"")</f>
        <v/>
      </c>
      <c r="K149" s="329" t="str">
        <f>IF(C149&lt;&gt;"",_xll.RssMarket(C149,"年初来高値"),"")</f>
        <v/>
      </c>
      <c r="L149" s="330" t="str">
        <f t="shared" si="44"/>
        <v/>
      </c>
      <c r="M149" s="329">
        <f>IF(C149&lt;&gt;"",IFERROR(AVERAGE(出来高!E125:I125),""),"")</f>
        <v>111400</v>
      </c>
      <c r="N149" s="329">
        <f>IF(C149&lt;&gt;"",IFERROR(AVERAGE(出来高!E125:AC125),""),"")</f>
        <v>122848</v>
      </c>
      <c r="O149" s="331" t="str">
        <f t="shared" si="45"/>
        <v/>
      </c>
      <c r="P149" s="328" t="str">
        <f t="shared" si="46"/>
        <v/>
      </c>
      <c r="Q149" s="328" t="str">
        <f t="shared" si="47"/>
        <v/>
      </c>
      <c r="R149" s="329" t="str">
        <f t="shared" si="48"/>
        <v/>
      </c>
      <c r="S149" s="329" t="str">
        <f t="shared" si="49"/>
        <v/>
      </c>
      <c r="T149" s="328">
        <f t="shared" si="50"/>
        <v>0</v>
      </c>
      <c r="U149" s="328" t="str">
        <f t="shared" si="51"/>
        <v>除外</v>
      </c>
      <c r="V149" s="328" t="str">
        <f t="shared" si="52"/>
        <v/>
      </c>
      <c r="W149" s="332">
        <f t="array" ref="W149">IFERROR(100-100/(1+SUMPRODUCT((終値!F125:R125&gt;終値!G125:S125)*(終値!F125:R125-終値!G125:S125))/SUMPRODUCT((終値!F125:R125&lt;終値!G125:S125)*(終値!G125:S125-終値!F125:R125))),50)</f>
        <v>69.444444444444443</v>
      </c>
      <c r="X149" s="333">
        <f>IF(C149&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19.651533002441283</v>
      </c>
      <c r="Y149" s="328" t="e">
        <f t="shared" si="53"/>
        <v>#VALUE!</v>
      </c>
      <c r="Z149" s="334" t="str">
        <f t="shared" si="54"/>
        <v/>
      </c>
      <c r="AA149" s="328" t="str">
        <f t="shared" si="55"/>
        <v/>
      </c>
      <c r="AB149" s="329">
        <f>IF(OR(C149="",C149="TOPX",終値!E125=""),"",IFERROR(((終値!E125*0.333)+(終値!F125*0.222)+(終値!G125*0.148)+(終値!H125*0.099)+(終値!I125*0.066))/(0.333+0.222+0.148+0.099+0.066),""))</f>
        <v>2504.8709677419351</v>
      </c>
      <c r="AC149" s="329">
        <f>IF(OR(C149="",C149="TOPX",終値!E125=""),"",IFERROR(SUMPRODUCT((終値!E125:AC125),{0.077,0.071,0.065,0.06,0.055,0.051,0.047,0.043,0.039,0.036,0.033,0.031,0.028,0.026,0.024,0.022,0.02,0.018,0.017,0.016,0.014,0.013,0.012,0.011,0.01})/SUM({0.077,0.071,0.065,0.06,0.055,0.051,0.047,0.043,0.039,0.036,0.033,0.031,0.028,0.026,0.024,0.022,0.02,0.018,0.017,0.016,0.014,0.013,0.012,0.011,0.01}),""))</f>
        <v>2454.747318235994</v>
      </c>
      <c r="AD149" s="328" t="str">
        <f t="shared" si="56"/>
        <v>パーフェクト▲</v>
      </c>
      <c r="AE149" s="328" t="e">
        <f t="shared" si="57"/>
        <v>#VALUE!</v>
      </c>
      <c r="AF149" t="e">
        <f>IF(T149="","",IF(銘柄管理!$F$5="上昇▲",IF(AND(AD149="下降トレンド▼",OR(AE149="25日戻り売り★",AE149="5日戻り売り○")),"★逆張り売り",IF(AND(AD149="もみ合い→",OR(AE149="25日戻り売り★",AE149="5日戻り売り○")),"○逆張り売り",IF(W149&gt;=70,IF(Z149&lt;0,"◎反落確認","△過熱・様子見"),"相場上昇・見送り"))),IF(AND(T149&gt;=12,AD149="下降トレンド▼"),"★強い売り",IF(T149&gt;=12,"★強い売り",IF(AND(T149&gt;=8,OR(AE149="25日戻り売り★",AE149="5日戻り売り○")),"◎戻り売り",IF(T149&gt;=10,"○売り候補",IF(T149&gt;=6,"△注目",IF(T149&gt;=3,"様子見","見送り"))))))))</f>
        <v>#VALUE!</v>
      </c>
      <c r="AG149">
        <f t="shared" si="58"/>
        <v>0</v>
      </c>
      <c r="AH149">
        <f t="shared" si="59"/>
        <v>0</v>
      </c>
      <c r="AI149" s="376">
        <f t="array" ref="AI149">IF(C149="","",IFERROR((INDEX(終値!$E:$E,MATCH(TEXT(C149,"0"),終値!$A:$A,0))-INDEX(終値!$E:$CZ,MATCH(TEXT(C149,"0"),終値!$A:$A,0),$AN$2))/INDEX(終値!$E:$CZ,MATCH(TEXT(C149,"0"),終値!$A:$A,0),$AN$2)*100,""))</f>
        <v>9.8857644991212652</v>
      </c>
      <c r="AJ149" s="376">
        <f t="array" ref="AJ149">IFERROR((終値!$E$5-INDEX(終値!$E$5:$CZ$5,1,$AN$2))/INDEX(終値!$E$5:$CZ$5,1,$AN$2)*100,"")</f>
        <v>2.31989243802786</v>
      </c>
      <c r="AK149" s="377">
        <f t="shared" si="60"/>
        <v>7.5658720610934047</v>
      </c>
      <c r="AL149" s="375">
        <f t="shared" si="61"/>
        <v>-2</v>
      </c>
      <c r="AO149" s="379" t="e">
        <f t="shared" si="62"/>
        <v>#VALUE!</v>
      </c>
      <c r="AP149" s="380" t="e">
        <f t="shared" si="63"/>
        <v>#VALUE!</v>
      </c>
      <c r="AQ149">
        <f>IF(C149&lt;&gt;"",始値!F125,"")</f>
        <v>2545</v>
      </c>
      <c r="AR149">
        <f>IF(C149&lt;&gt;"",高値!F125,"")</f>
        <v>2549</v>
      </c>
      <c r="AS149">
        <f>IF(C149&lt;&gt;"",安値!F125,"")</f>
        <v>2529</v>
      </c>
      <c r="AT149" t="str">
        <f t="shared" si="64"/>
        <v>通常</v>
      </c>
      <c r="AU149">
        <f t="shared" si="65"/>
        <v>0</v>
      </c>
    </row>
    <row r="150" spans="1:47" ht="14.25" customHeight="1">
      <c r="A150" s="335" t="str">
        <f>IF(銘柄管理!B137&lt;&gt;"",HYPERLINK("https://kabutan.jp/stock/?code="&amp;銘柄管理!B137,"株探"),"")</f>
        <v>株探</v>
      </c>
      <c r="B150" s="215"/>
      <c r="C150" s="478">
        <f>IF(銘柄管理!B137="","",銘柄管理!B137)</f>
        <v>6085</v>
      </c>
      <c r="D150" s="215" t="str">
        <f>IF(銘柄管理!C137="","",銘柄管理!C137)</f>
        <v/>
      </c>
      <c r="E150" s="336" t="str">
        <f>IF(C150&lt;&gt;"",_xll.RssMarket(C150,"現在値"),"")</f>
        <v/>
      </c>
      <c r="F150" s="336" t="str">
        <f>IF(C150&lt;&gt;"",_xll.RssMarket(C150,"始値"),"")</f>
        <v/>
      </c>
      <c r="G150" s="215">
        <f>IF(C150&lt;&gt;"",終値!F137,"")</f>
        <v>202</v>
      </c>
      <c r="H150" s="336" t="str">
        <f>IF(C150&lt;&gt;"",_xll.RssMarket(C150,"高値"),"")</f>
        <v/>
      </c>
      <c r="I150" s="336" t="str">
        <f>IF(C150&lt;&gt;"",_xll.RssMarket(C150,"安値"),"")</f>
        <v/>
      </c>
      <c r="J150" s="336" t="str">
        <f>IF(C150&lt;&gt;"",_xll.RssMarket(C150,"出来高"),"")</f>
        <v/>
      </c>
      <c r="K150" s="336" t="str">
        <f>IF(C150&lt;&gt;"",_xll.RssMarket(C150,"年初来高値"),"")</f>
        <v/>
      </c>
      <c r="L150" s="337" t="str">
        <f t="shared" si="44"/>
        <v/>
      </c>
      <c r="M150" s="336">
        <f>IF(C150&lt;&gt;"",IFERROR(AVERAGE(出来高!E137:I137),""),"")</f>
        <v>2809060</v>
      </c>
      <c r="N150" s="336">
        <f>IF(C150&lt;&gt;"",IFERROR(AVERAGE(出来高!E137:AC137),""),"")</f>
        <v>3120800</v>
      </c>
      <c r="O150" s="338" t="str">
        <f t="shared" si="45"/>
        <v/>
      </c>
      <c r="P150" s="215" t="str">
        <f t="shared" si="46"/>
        <v/>
      </c>
      <c r="Q150" s="215" t="str">
        <f t="shared" si="47"/>
        <v/>
      </c>
      <c r="R150" s="336" t="str">
        <f t="shared" si="48"/>
        <v/>
      </c>
      <c r="S150" s="336" t="str">
        <f t="shared" si="49"/>
        <v/>
      </c>
      <c r="T150" s="328">
        <f t="shared" si="50"/>
        <v>0</v>
      </c>
      <c r="U150" s="215" t="str">
        <f t="shared" si="51"/>
        <v>除外</v>
      </c>
      <c r="V150" s="215" t="str">
        <f t="shared" si="52"/>
        <v/>
      </c>
      <c r="W150" s="339">
        <f t="array" ref="W150">IFERROR(100-100/(1+SUMPRODUCT((終値!F137:R137&gt;終値!G137:S137)*(終値!F137:R137-終値!G137:S137))/SUMPRODUCT((終値!F137:R137&lt;終値!G137:S137)*(終値!G137:S137-終値!F137:R137))),50)</f>
        <v>26.213592233009706</v>
      </c>
      <c r="X150" s="340">
        <f>IF(C150&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-18.240209521610893</v>
      </c>
      <c r="Y150" s="215" t="e">
        <f t="shared" si="53"/>
        <v>#VALUE!</v>
      </c>
      <c r="Z150" s="341" t="str">
        <f t="shared" si="54"/>
        <v/>
      </c>
      <c r="AA150" s="215" t="str">
        <f t="shared" si="55"/>
        <v/>
      </c>
      <c r="AB150" s="336">
        <f>IF(OR(C150="",C150="TOPX",終値!E137=""),"",IFERROR(((終値!E137*0.333)+(終値!F137*0.222)+(終値!G137*0.148)+(終値!H137*0.099)+(終値!I137*0.066))/(0.333+0.222+0.148+0.099+0.066),""))</f>
        <v>187.75</v>
      </c>
      <c r="AC150" s="336">
        <f>IF(OR(C150="",C150="TOPX",終値!E137=""),"",IFERROR(SUMPRODUCT((終値!E137:AC137),{0.077,0.071,0.065,0.06,0.055,0.051,0.047,0.043,0.039,0.036,0.033,0.031,0.028,0.026,0.024,0.022,0.02,0.018,0.017,0.016,0.014,0.013,0.012,0.011,0.01})/SUM({0.077,0.071,0.065,0.06,0.055,0.051,0.047,0.043,0.039,0.036,0.033,0.031,0.028,0.026,0.024,0.022,0.02,0.018,0.017,0.016,0.014,0.013,0.012,0.011,0.01}),""))</f>
        <v>244.66269368295579</v>
      </c>
      <c r="AD150" s="215" t="str">
        <f t="shared" si="56"/>
        <v>上昇トレンド▲</v>
      </c>
      <c r="AE150" s="215" t="e">
        <f t="shared" si="57"/>
        <v>#VALUE!</v>
      </c>
      <c r="AF150" t="e">
        <f>IF(T150="","",IF(銘柄管理!$F$5="上昇▲",IF(AND(AD150="下降トレンド▼",OR(AE150="25日戻り売り★",AE150="5日戻り売り○")),"★逆張り売り",IF(AND(AD150="もみ合い→",OR(AE150="25日戻り売り★",AE150="5日戻り売り○")),"○逆張り売り",IF(W150&gt;=70,IF(Z150&lt;0,"◎反落確認","△過熱・様子見"),"相場上昇・見送り"))),IF(AND(T150&gt;=12,AD150="下降トレンド▼"),"★強い売り",IF(T150&gt;=12,"★強い売り",IF(AND(T150&gt;=8,OR(AE150="25日戻り売り★",AE150="5日戻り売り○")),"◎戻り売り",IF(T150&gt;=10,"○売り候補",IF(T150&gt;=6,"△注目",IF(T150&gt;=3,"様子見","見送り"))))))))</f>
        <v>#VALUE!</v>
      </c>
      <c r="AG150">
        <f t="shared" si="58"/>
        <v>0</v>
      </c>
      <c r="AH150">
        <f t="shared" si="59"/>
        <v>0</v>
      </c>
      <c r="AI150" s="376">
        <f t="array" ref="AI150">IF(C150="","",IFERROR((INDEX(終値!$E:$E,MATCH(TEXT(C150,"0"),終値!$A:$A,0))-INDEX(終値!$E:$CZ,MATCH(TEXT(C150,"0"),終値!$A:$A,0),$AN$2))/INDEX(終値!$E:$CZ,MATCH(TEXT(C150,"0"),終値!$A:$A,0),$AN$2)*100,""))</f>
        <v>-51.249999999999993</v>
      </c>
      <c r="AJ150" s="376">
        <f t="array" ref="AJ150">IFERROR((終値!$E$5-INDEX(終値!$E$5:$CZ$5,1,$AN$2))/INDEX(終値!$E$5:$CZ$5,1,$AN$2)*100,"")</f>
        <v>2.31989243802786</v>
      </c>
      <c r="AK150" s="377">
        <f t="shared" si="60"/>
        <v>-53.56989243802785</v>
      </c>
      <c r="AL150" s="375">
        <f t="shared" si="61"/>
        <v>3</v>
      </c>
      <c r="AO150" s="379" t="e">
        <f t="shared" si="62"/>
        <v>#VALUE!</v>
      </c>
      <c r="AP150" s="380" t="e">
        <f t="shared" si="63"/>
        <v>#VALUE!</v>
      </c>
      <c r="AQ150">
        <f>IF(C150&lt;&gt;"",始値!F137,"")</f>
        <v>212</v>
      </c>
      <c r="AR150">
        <f>IF(C150&lt;&gt;"",高値!F137,"")</f>
        <v>215</v>
      </c>
      <c r="AS150">
        <f>IF(C150&lt;&gt;"",安値!F137,"")</f>
        <v>198</v>
      </c>
      <c r="AT150" t="str">
        <f t="shared" si="64"/>
        <v>通常</v>
      </c>
      <c r="AU150">
        <f t="shared" si="65"/>
        <v>0</v>
      </c>
    </row>
    <row r="151" spans="1:47" ht="14.25" customHeight="1">
      <c r="A151" s="327" t="str">
        <f>IF(銘柄管理!B150&lt;&gt;"",HYPERLINK("https://kabutan.jp/stock/?code="&amp;銘柄管理!B150,"株探"),"")</f>
        <v>株探</v>
      </c>
      <c r="B151" s="328"/>
      <c r="C151" s="477">
        <f>IF(銘柄管理!B150="","",銘柄管理!B150)</f>
        <v>4307</v>
      </c>
      <c r="D151" s="328" t="str">
        <f>IF(銘柄管理!C150="","",銘柄管理!C150)</f>
        <v/>
      </c>
      <c r="E151" s="329" t="str">
        <f>IF(C151&lt;&gt;"",_xll.RssMarket(C151,"現在値"),"")</f>
        <v/>
      </c>
      <c r="F151" s="329" t="str">
        <f>IF(C151&lt;&gt;"",_xll.RssMarket(C151,"始値"),"")</f>
        <v/>
      </c>
      <c r="G151" s="328">
        <f>IF(C151&lt;&gt;"",終値!F150,"")</f>
        <v>4936</v>
      </c>
      <c r="H151" s="329" t="str">
        <f>IF(C151&lt;&gt;"",_xll.RssMarket(C151,"高値"),"")</f>
        <v/>
      </c>
      <c r="I151" s="329" t="str">
        <f>IF(C151&lt;&gt;"",_xll.RssMarket(C151,"安値"),"")</f>
        <v/>
      </c>
      <c r="J151" s="329" t="str">
        <f>IF(C151&lt;&gt;"",_xll.RssMarket(C151,"出来高"),"")</f>
        <v/>
      </c>
      <c r="K151" s="329" t="str">
        <f>IF(C151&lt;&gt;"",_xll.RssMarket(C151,"年初来高値"),"")</f>
        <v/>
      </c>
      <c r="L151" s="330" t="str">
        <f t="shared" si="44"/>
        <v/>
      </c>
      <c r="M151" s="329">
        <f>IF(C151&lt;&gt;"",IFERROR(AVERAGE(出来高!E150:I150),""),"")</f>
        <v>2640220</v>
      </c>
      <c r="N151" s="329">
        <f>IF(C151&lt;&gt;"",IFERROR(AVERAGE(出来高!E150:AC150),""),"")</f>
        <v>2543636</v>
      </c>
      <c r="O151" s="331" t="str">
        <f t="shared" si="45"/>
        <v/>
      </c>
      <c r="P151" s="328" t="str">
        <f t="shared" si="46"/>
        <v/>
      </c>
      <c r="Q151" s="328" t="str">
        <f t="shared" si="47"/>
        <v/>
      </c>
      <c r="R151" s="329" t="str">
        <f t="shared" si="48"/>
        <v/>
      </c>
      <c r="S151" s="329" t="str">
        <f t="shared" si="49"/>
        <v/>
      </c>
      <c r="T151" s="328">
        <f t="shared" si="50"/>
        <v>0</v>
      </c>
      <c r="U151" s="328" t="str">
        <f t="shared" si="51"/>
        <v>除外</v>
      </c>
      <c r="V151" s="328" t="str">
        <f t="shared" si="52"/>
        <v/>
      </c>
      <c r="W151" s="332">
        <f t="array" ref="W151">IFERROR(100-100/(1+SUMPRODUCT((終値!F150:R150&gt;終値!G150:S150)*(終値!F150:R150-終値!G150:S150))/SUMPRODUCT((終値!F150:R150&lt;終値!G150:S150)*(終値!G150:S150-終値!F150:R150))),50)</f>
        <v>75.093773443360845</v>
      </c>
      <c r="X151" s="333">
        <f>IF(C151&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90.413556414409868</v>
      </c>
      <c r="Y151" s="328" t="e">
        <f t="shared" si="53"/>
        <v>#VALUE!</v>
      </c>
      <c r="Z151" s="334" t="str">
        <f t="shared" si="54"/>
        <v/>
      </c>
      <c r="AA151" s="328" t="str">
        <f t="shared" si="55"/>
        <v/>
      </c>
      <c r="AB151" s="329">
        <f>IF(OR(C151="",C151="TOPX",終値!E150=""),"",IFERROR(((終値!E150*0.333)+(終値!F150*0.222)+(終値!G150*0.148)+(終値!H150*0.099)+(終値!I150*0.066))/(0.333+0.222+0.148+0.099+0.066),""))</f>
        <v>5026.1532258064508</v>
      </c>
      <c r="AC151" s="329">
        <f>IF(OR(C151="",C151="TOPX",終値!E150=""),"",IFERROR(SUMPRODUCT((終値!E150:AC150),{0.077,0.071,0.065,0.06,0.055,0.051,0.047,0.043,0.039,0.036,0.033,0.031,0.028,0.026,0.024,0.022,0.02,0.018,0.017,0.016,0.014,0.013,0.012,0.011,0.01})/SUM({0.077,0.071,0.065,0.06,0.055,0.051,0.047,0.043,0.039,0.036,0.033,0.031,0.028,0.026,0.024,0.022,0.02,0.018,0.017,0.016,0.014,0.013,0.012,0.011,0.01}),""))</f>
        <v>4814.5244338498187</v>
      </c>
      <c r="AD151" s="328" t="str">
        <f t="shared" si="56"/>
        <v>パーフェクト▲</v>
      </c>
      <c r="AE151" s="328" t="e">
        <f t="shared" si="57"/>
        <v>#VALUE!</v>
      </c>
      <c r="AF151" t="e">
        <f>IF(T151="","",IF(銘柄管理!$F$5="上昇▲",IF(AND(AD151="下降トレンド▼",OR(AE151="25日戻り売り★",AE151="5日戻り売り○")),"★逆張り売り",IF(AND(AD151="もみ合い→",OR(AE151="25日戻り売り★",AE151="5日戻り売り○")),"○逆張り売り",IF(W151&gt;=70,IF(Z151&lt;0,"◎反落確認","△過熱・様子見"),"相場上昇・見送り"))),IF(AND(T151&gt;=12,AD151="下降トレンド▼"),"★強い売り",IF(T151&gt;=12,"★強い売り",IF(AND(T151&gt;=8,OR(AE151="25日戻り売り★",AE151="5日戻り売り○")),"◎戻り売り",IF(T151&gt;=10,"○売り候補",IF(T151&gt;=6,"△注目",IF(T151&gt;=3,"様子見","見送り"))))))))</f>
        <v>#VALUE!</v>
      </c>
      <c r="AG151">
        <f t="shared" si="58"/>
        <v>0</v>
      </c>
      <c r="AH151">
        <f t="shared" si="59"/>
        <v>0</v>
      </c>
      <c r="AI151" s="376">
        <f t="array" ref="AI151">IF(C151="","",IFERROR((INDEX(終値!$E:$E,MATCH(TEXT(C151,"0"),終値!$A:$A,0))-INDEX(終値!$E:$CZ,MATCH(TEXT(C151,"0"),終値!$A:$A,0),$AN$2))/INDEX(終値!$E:$CZ,MATCH(TEXT(C151,"0"),終値!$A:$A,0),$AN$2)*100,""))</f>
        <v>8.0229836135347945</v>
      </c>
      <c r="AJ151" s="376">
        <f t="array" ref="AJ151">IFERROR((終値!$E$5-INDEX(終値!$E$5:$CZ$5,1,$AN$2))/INDEX(終値!$E$5:$CZ$5,1,$AN$2)*100,"")</f>
        <v>2.31989243802786</v>
      </c>
      <c r="AK151" s="377">
        <f t="shared" si="60"/>
        <v>5.703091175506934</v>
      </c>
      <c r="AL151" s="375">
        <f t="shared" si="61"/>
        <v>-2</v>
      </c>
      <c r="AO151" s="379" t="e">
        <f t="shared" si="62"/>
        <v>#VALUE!</v>
      </c>
      <c r="AP151" s="380" t="e">
        <f t="shared" si="63"/>
        <v>#VALUE!</v>
      </c>
      <c r="AQ151">
        <f>IF(C151&lt;&gt;"",始値!F150,"")</f>
        <v>4981</v>
      </c>
      <c r="AR151">
        <f>IF(C151&lt;&gt;"",高値!F150,"")</f>
        <v>5010</v>
      </c>
      <c r="AS151">
        <f>IF(C151&lt;&gt;"",安値!F150,"")</f>
        <v>4787</v>
      </c>
      <c r="AT151" t="str">
        <f t="shared" si="64"/>
        <v>長い下ヒゲ(反発)</v>
      </c>
      <c r="AU151">
        <f t="shared" si="65"/>
        <v>-2</v>
      </c>
    </row>
    <row r="152" spans="1:47" ht="14.25" customHeight="1">
      <c r="A152" s="335" t="str">
        <f>IF(銘柄管理!B157&lt;&gt;"",HYPERLINK("https://kabutan.jp/stock/?code="&amp;銘柄管理!B157,"株探"),"")</f>
        <v>株探</v>
      </c>
      <c r="B152" s="215"/>
      <c r="C152" s="478">
        <f>IF(銘柄管理!B157="","",銘柄管理!B157)</f>
        <v>4091</v>
      </c>
      <c r="D152" s="215" t="str">
        <f>IF(銘柄管理!C157="","",銘柄管理!C157)</f>
        <v/>
      </c>
      <c r="E152" s="336" t="str">
        <f>IF(C152&lt;&gt;"",_xll.RssMarket(C152,"現在値"),"")</f>
        <v/>
      </c>
      <c r="F152" s="336" t="str">
        <f>IF(C152&lt;&gt;"",_xll.RssMarket(C152,"始値"),"")</f>
        <v/>
      </c>
      <c r="G152" s="215">
        <f>IF(C152&lt;&gt;"",終値!F157,"")</f>
        <v>6152</v>
      </c>
      <c r="H152" s="336" t="str">
        <f>IF(C152&lt;&gt;"",_xll.RssMarket(C152,"高値"),"")</f>
        <v/>
      </c>
      <c r="I152" s="336" t="str">
        <f>IF(C152&lt;&gt;"",_xll.RssMarket(C152,"安値"),"")</f>
        <v/>
      </c>
      <c r="J152" s="336" t="str">
        <f>IF(C152&lt;&gt;"",_xll.RssMarket(C152,"出来高"),"")</f>
        <v/>
      </c>
      <c r="K152" s="336" t="str">
        <f>IF(C152&lt;&gt;"",_xll.RssMarket(C152,"年初来高値"),"")</f>
        <v/>
      </c>
      <c r="L152" s="337" t="str">
        <f t="shared" si="44"/>
        <v/>
      </c>
      <c r="M152" s="336">
        <f>IF(C152&lt;&gt;"",IFERROR(AVERAGE(出来高!E157:I157),""),"")</f>
        <v>443100</v>
      </c>
      <c r="N152" s="336">
        <f>IF(C152&lt;&gt;"",IFERROR(AVERAGE(出来高!E157:AC157),""),"")</f>
        <v>535444</v>
      </c>
      <c r="O152" s="338" t="str">
        <f t="shared" si="45"/>
        <v/>
      </c>
      <c r="P152" s="215" t="str">
        <f t="shared" si="46"/>
        <v/>
      </c>
      <c r="Q152" s="215" t="str">
        <f t="shared" si="47"/>
        <v/>
      </c>
      <c r="R152" s="336" t="str">
        <f t="shared" si="48"/>
        <v/>
      </c>
      <c r="S152" s="336" t="str">
        <f t="shared" si="49"/>
        <v/>
      </c>
      <c r="T152" s="328">
        <f t="shared" si="50"/>
        <v>0</v>
      </c>
      <c r="U152" s="215" t="str">
        <f t="shared" si="51"/>
        <v>除外</v>
      </c>
      <c r="V152" s="215" t="str">
        <f t="shared" si="52"/>
        <v/>
      </c>
      <c r="W152" s="339">
        <f t="array" ref="W152">IFERROR(100-100/(1+SUMPRODUCT((終値!F157:R157&gt;終値!G157:S157)*(終値!F157:R157-終値!G157:S157))/SUMPRODUCT((終値!F157:R157&lt;終値!G157:S157)*(終値!G157:S157-終値!F157:R157))),50)</f>
        <v>73.275024295432459</v>
      </c>
      <c r="X152" s="340">
        <f>IF(C152&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71.682849796412484</v>
      </c>
      <c r="Y152" s="215" t="e">
        <f t="shared" si="53"/>
        <v>#VALUE!</v>
      </c>
      <c r="Z152" s="341" t="str">
        <f t="shared" si="54"/>
        <v/>
      </c>
      <c r="AA152" s="215" t="str">
        <f t="shared" si="55"/>
        <v/>
      </c>
      <c r="AB152" s="336">
        <f>IF(OR(C152="",C152="TOPX",終値!E157=""),"",IFERROR(((終値!E157*0.333)+(終値!F157*0.222)+(終値!G157*0.148)+(終値!H157*0.099)+(終値!I157*0.066))/(0.333+0.222+0.148+0.099+0.066),""))</f>
        <v>6066.0529953917048</v>
      </c>
      <c r="AC152" s="336">
        <f>IF(OR(C152="",C152="TOPX",終値!E157=""),"",IFERROR(SUMPRODUCT((終値!E157:AC157),{0.077,0.071,0.065,0.06,0.055,0.051,0.047,0.043,0.039,0.036,0.033,0.031,0.028,0.026,0.024,0.022,0.02,0.018,0.017,0.016,0.014,0.013,0.012,0.011,0.01})/SUM({0.077,0.071,0.065,0.06,0.055,0.051,0.047,0.043,0.039,0.036,0.033,0.031,0.028,0.026,0.024,0.022,0.02,0.018,0.017,0.016,0.014,0.013,0.012,0.011,0.01}),""))</f>
        <v>5980.7771156138206</v>
      </c>
      <c r="AD152" s="215" t="str">
        <f t="shared" si="56"/>
        <v>パーフェクト▲</v>
      </c>
      <c r="AE152" s="215" t="e">
        <f t="shared" si="57"/>
        <v>#VALUE!</v>
      </c>
      <c r="AF152" t="e">
        <f>IF(T152="","",IF(銘柄管理!$F$5="上昇▲",IF(AND(AD152="下降トレンド▼",OR(AE152="25日戻り売り★",AE152="5日戻り売り○")),"★逆張り売り",IF(AND(AD152="もみ合い→",OR(AE152="25日戻り売り★",AE152="5日戻り売り○")),"○逆張り売り",IF(W152&gt;=70,IF(Z152&lt;0,"◎反落確認","△過熱・様子見"),"相場上昇・見送り"))),IF(AND(T152&gt;=12,AD152="下降トレンド▼"),"★強い売り",IF(T152&gt;=12,"★強い売り",IF(AND(T152&gt;=8,OR(AE152="25日戻り売り★",AE152="5日戻り売り○")),"◎戻り売り",IF(T152&gt;=10,"○売り候補",IF(T152&gt;=6,"△注目",IF(T152&gt;=3,"様子見","見送り"))))))))</f>
        <v>#VALUE!</v>
      </c>
      <c r="AG152">
        <f t="shared" si="58"/>
        <v>0</v>
      </c>
      <c r="AH152">
        <f t="shared" si="59"/>
        <v>0</v>
      </c>
      <c r="AI152" s="376">
        <f t="array" ref="AI152">IF(C152="","",IFERROR((INDEX(終値!$E:$E,MATCH(TEXT(C152,"0"),終値!$A:$A,0))-INDEX(終値!$E:$CZ,MATCH(TEXT(C152,"0"),終値!$A:$A,0),$AN$2))/INDEX(終値!$E:$CZ,MATCH(TEXT(C152,"0"),終値!$A:$A,0),$AN$2)*100,""))</f>
        <v>10.599926389400073</v>
      </c>
      <c r="AJ152" s="376">
        <f t="array" ref="AJ152">IFERROR((終値!$E$5-INDEX(終値!$E$5:$CZ$5,1,$AN$2))/INDEX(終値!$E$5:$CZ$5,1,$AN$2)*100,"")</f>
        <v>2.31989243802786</v>
      </c>
      <c r="AK152" s="377">
        <f t="shared" si="60"/>
        <v>8.2800339513722125</v>
      </c>
      <c r="AL152" s="375">
        <f t="shared" si="61"/>
        <v>-2</v>
      </c>
      <c r="AO152" s="379" t="e">
        <f t="shared" si="62"/>
        <v>#VALUE!</v>
      </c>
      <c r="AP152" s="380" t="e">
        <f t="shared" si="63"/>
        <v>#VALUE!</v>
      </c>
      <c r="AQ152">
        <f>IF(C152&lt;&gt;"",始値!F157,"")</f>
        <v>6100</v>
      </c>
      <c r="AR152">
        <f>IF(C152&lt;&gt;"",高値!F157,"")</f>
        <v>6189</v>
      </c>
      <c r="AS152">
        <f>IF(C152&lt;&gt;"",安値!F157,"")</f>
        <v>6070</v>
      </c>
      <c r="AT152" t="str">
        <f t="shared" si="64"/>
        <v>通常</v>
      </c>
      <c r="AU152">
        <f t="shared" si="65"/>
        <v>0</v>
      </c>
    </row>
    <row r="153" spans="1:47" ht="14.25" customHeight="1">
      <c r="A153" s="327" t="str">
        <f>IF(銘柄管理!B166&lt;&gt;"",HYPERLINK("https://kabutan.jp/stock/?code="&amp;銘柄管理!B166,"株探"),"")</f>
        <v>株探</v>
      </c>
      <c r="B153" s="328"/>
      <c r="C153" s="477">
        <f>IF(銘柄管理!B166="","",銘柄管理!B166)</f>
        <v>9733</v>
      </c>
      <c r="D153" s="328" t="str">
        <f>IF(銘柄管理!C166="","",銘柄管理!C166)</f>
        <v/>
      </c>
      <c r="E153" s="329" t="str">
        <f>IF(C153&lt;&gt;"",_xll.RssMarket(C153,"現在値"),"")</f>
        <v/>
      </c>
      <c r="F153" s="329" t="str">
        <f>IF(C153&lt;&gt;"",_xll.RssMarket(C153,"始値"),"")</f>
        <v/>
      </c>
      <c r="G153" s="328">
        <f>IF(C153&lt;&gt;"",終値!F166,"")</f>
        <v>2351</v>
      </c>
      <c r="H153" s="329" t="str">
        <f>IF(C153&lt;&gt;"",_xll.RssMarket(C153,"高値"),"")</f>
        <v/>
      </c>
      <c r="I153" s="329" t="str">
        <f>IF(C153&lt;&gt;"",_xll.RssMarket(C153,"安値"),"")</f>
        <v/>
      </c>
      <c r="J153" s="329" t="str">
        <f>IF(C153&lt;&gt;"",_xll.RssMarket(C153,"出来高"),"")</f>
        <v/>
      </c>
      <c r="K153" s="329" t="str">
        <f>IF(C153&lt;&gt;"",_xll.RssMarket(C153,"年初来高値"),"")</f>
        <v/>
      </c>
      <c r="L153" s="330" t="str">
        <f t="shared" si="44"/>
        <v/>
      </c>
      <c r="M153" s="329">
        <f>IF(C153&lt;&gt;"",IFERROR(AVERAGE(出来高!E166:I166),""),"")</f>
        <v>15080</v>
      </c>
      <c r="N153" s="329">
        <f>IF(C153&lt;&gt;"",IFERROR(AVERAGE(出来高!E166:AC166),""),"")</f>
        <v>25340</v>
      </c>
      <c r="O153" s="331" t="str">
        <f t="shared" si="45"/>
        <v/>
      </c>
      <c r="P153" s="328" t="str">
        <f t="shared" si="46"/>
        <v/>
      </c>
      <c r="Q153" s="328" t="str">
        <f t="shared" si="47"/>
        <v/>
      </c>
      <c r="R153" s="329" t="str">
        <f t="shared" si="48"/>
        <v/>
      </c>
      <c r="S153" s="329" t="str">
        <f t="shared" si="49"/>
        <v/>
      </c>
      <c r="T153" s="328">
        <f t="shared" si="50"/>
        <v>0</v>
      </c>
      <c r="U153" s="328" t="str">
        <f t="shared" si="51"/>
        <v>除外</v>
      </c>
      <c r="V153" s="328" t="str">
        <f t="shared" si="52"/>
        <v/>
      </c>
      <c r="W153" s="332">
        <f t="array" ref="W153">IFERROR(100-100/(1+SUMPRODUCT((終値!F166:R166&gt;終値!G166:S166)*(終値!F166:R166-終値!G166:S166))/SUMPRODUCT((終値!F166:R166&lt;終値!G166:S166)*(終値!G166:S166-終値!F166:R166))),50)</f>
        <v>70.383275261324044</v>
      </c>
      <c r="X153" s="333">
        <f>IF(C153&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20.074387336361269</v>
      </c>
      <c r="Y153" s="328" t="e">
        <f t="shared" si="53"/>
        <v>#VALUE!</v>
      </c>
      <c r="Z153" s="334" t="str">
        <f t="shared" si="54"/>
        <v/>
      </c>
      <c r="AA153" s="328" t="str">
        <f t="shared" si="55"/>
        <v/>
      </c>
      <c r="AB153" s="329">
        <f>IF(OR(C153="",C153="TOPX",終値!E166=""),"",IFERROR(((終値!E166*0.333)+(終値!F166*0.222)+(終値!G166*0.148)+(終値!H166*0.099)+(終値!I166*0.066))/(0.333+0.222+0.148+0.099+0.066),""))</f>
        <v>2344.9562211981565</v>
      </c>
      <c r="AC153" s="329">
        <f>IF(OR(C153="",C153="TOPX",終値!E166=""),"",IFERROR(SUMPRODUCT((終値!E166:AC166),{0.077,0.071,0.065,0.06,0.055,0.051,0.047,0.043,0.039,0.036,0.033,0.031,0.028,0.026,0.024,0.022,0.02,0.018,0.017,0.016,0.014,0.013,0.012,0.011,0.01})/SUM({0.077,0.071,0.065,0.06,0.055,0.051,0.047,0.043,0.039,0.036,0.033,0.031,0.028,0.026,0.024,0.022,0.02,0.018,0.017,0.016,0.014,0.013,0.012,0.011,0.01}),""))</f>
        <v>2315.8533969010723</v>
      </c>
      <c r="AD153" s="328" t="str">
        <f t="shared" si="56"/>
        <v>パーフェクト▲</v>
      </c>
      <c r="AE153" s="328" t="e">
        <f t="shared" si="57"/>
        <v>#VALUE!</v>
      </c>
      <c r="AF153" t="e">
        <f>IF(T153="","",IF(銘柄管理!$F$5="上昇▲",IF(AND(AD153="下降トレンド▼",OR(AE153="25日戻り売り★",AE153="5日戻り売り○")),"★逆張り売り",IF(AND(AD153="もみ合い→",OR(AE153="25日戻り売り★",AE153="5日戻り売り○")),"○逆張り売り",IF(W153&gt;=70,IF(Z153&lt;0,"◎反落確認","△過熱・様子見"),"相場上昇・見送り"))),IF(AND(T153&gt;=12,AD153="下降トレンド▼"),"★強い売り",IF(T153&gt;=12,"★強い売り",IF(AND(T153&gt;=8,OR(AE153="25日戻り売り★",AE153="5日戻り売り○")),"◎戻り売り",IF(T153&gt;=10,"○売り候補",IF(T153&gt;=6,"△注目",IF(T153&gt;=3,"様子見","見送り"))))))))</f>
        <v>#VALUE!</v>
      </c>
      <c r="AG153">
        <f t="shared" si="58"/>
        <v>0</v>
      </c>
      <c r="AH153">
        <f t="shared" si="59"/>
        <v>0</v>
      </c>
      <c r="AI153" s="376">
        <f t="array" ref="AI153">IF(C153="","",IFERROR((INDEX(終値!$E:$E,MATCH(TEXT(C153,"0"),終値!$A:$A,0))-INDEX(終値!$E:$CZ,MATCH(TEXT(C153,"0"),終値!$A:$A,0),$AN$2))/INDEX(終値!$E:$CZ,MATCH(TEXT(C153,"0"),終値!$A:$A,0),$AN$2)*100,""))</f>
        <v>5.6715063520871141</v>
      </c>
      <c r="AJ153" s="376">
        <f t="array" ref="AJ153">IFERROR((終値!$E$5-INDEX(終値!$E$5:$CZ$5,1,$AN$2))/INDEX(終値!$E$5:$CZ$5,1,$AN$2)*100,"")</f>
        <v>2.31989243802786</v>
      </c>
      <c r="AK153" s="377">
        <f t="shared" si="60"/>
        <v>3.351613914059254</v>
      </c>
      <c r="AL153" s="375">
        <f t="shared" si="61"/>
        <v>-2</v>
      </c>
      <c r="AO153" s="379" t="e">
        <f t="shared" si="62"/>
        <v>#VALUE!</v>
      </c>
      <c r="AP153" s="380" t="e">
        <f t="shared" si="63"/>
        <v>#VALUE!</v>
      </c>
      <c r="AQ153">
        <f>IF(C153&lt;&gt;"",始値!F166,"")</f>
        <v>2349</v>
      </c>
      <c r="AR153">
        <f>IF(C153&lt;&gt;"",高値!F166,"")</f>
        <v>2356</v>
      </c>
      <c r="AS153">
        <f>IF(C153&lt;&gt;"",安値!F166,"")</f>
        <v>2337</v>
      </c>
      <c r="AT153" t="str">
        <f t="shared" si="64"/>
        <v>通常</v>
      </c>
      <c r="AU153">
        <f t="shared" si="65"/>
        <v>0</v>
      </c>
    </row>
    <row r="154" spans="1:47" ht="14.25" customHeight="1">
      <c r="A154" s="335" t="str">
        <f>IF(銘柄管理!B174&lt;&gt;"",HYPERLINK("https://kabutan.jp/stock/?code="&amp;銘柄管理!B174,"株探"),"")</f>
        <v>株探</v>
      </c>
      <c r="B154" s="215"/>
      <c r="C154" s="478">
        <f>IF(銘柄管理!B174="","",銘柄管理!B174)</f>
        <v>2327</v>
      </c>
      <c r="D154" s="215" t="str">
        <f>IF(銘柄管理!C174="","",銘柄管理!C174)</f>
        <v/>
      </c>
      <c r="E154" s="336" t="str">
        <f>IF(C154&lt;&gt;"",_xll.RssMarket(C154,"現在値"),"")</f>
        <v/>
      </c>
      <c r="F154" s="336" t="str">
        <f>IF(C154&lt;&gt;"",_xll.RssMarket(C154,"始値"),"")</f>
        <v/>
      </c>
      <c r="G154" s="215">
        <f>IF(C154&lt;&gt;"",終値!F174,"")</f>
        <v>3780</v>
      </c>
      <c r="H154" s="336" t="str">
        <f>IF(C154&lt;&gt;"",_xll.RssMarket(C154,"高値"),"")</f>
        <v/>
      </c>
      <c r="I154" s="336" t="str">
        <f>IF(C154&lt;&gt;"",_xll.RssMarket(C154,"安値"),"")</f>
        <v/>
      </c>
      <c r="J154" s="336" t="str">
        <f>IF(C154&lt;&gt;"",_xll.RssMarket(C154,"出来高"),"")</f>
        <v/>
      </c>
      <c r="K154" s="336" t="str">
        <f>IF(C154&lt;&gt;"",_xll.RssMarket(C154,"年初来高値"),"")</f>
        <v/>
      </c>
      <c r="L154" s="337" t="str">
        <f t="shared" si="44"/>
        <v/>
      </c>
      <c r="M154" s="336">
        <f>IF(C154&lt;&gt;"",IFERROR(AVERAGE(出来高!E174:I174),""),"")</f>
        <v>234960</v>
      </c>
      <c r="N154" s="336">
        <f>IF(C154&lt;&gt;"",IFERROR(AVERAGE(出来高!E174:AC174),""),"")</f>
        <v>321176</v>
      </c>
      <c r="O154" s="338" t="str">
        <f t="shared" si="45"/>
        <v/>
      </c>
      <c r="P154" s="215" t="str">
        <f t="shared" si="46"/>
        <v/>
      </c>
      <c r="Q154" s="215" t="str">
        <f t="shared" si="47"/>
        <v/>
      </c>
      <c r="R154" s="336" t="str">
        <f t="shared" si="48"/>
        <v/>
      </c>
      <c r="S154" s="336" t="str">
        <f t="shared" si="49"/>
        <v/>
      </c>
      <c r="T154" s="328">
        <f t="shared" si="50"/>
        <v>0</v>
      </c>
      <c r="U154" s="215" t="str">
        <f t="shared" si="51"/>
        <v>除外</v>
      </c>
      <c r="V154" s="215" t="str">
        <f t="shared" si="52"/>
        <v/>
      </c>
      <c r="W154" s="339">
        <f t="array" ref="W154">IFERROR(100-100/(1+SUMPRODUCT((終値!F174:R174&gt;終値!G174:S174)*(終値!F174:R174-終値!G174:S174))/SUMPRODUCT((終値!F174:R174&lt;終値!G174:S174)*(終値!G174:S174-終値!F174:R174))),50)</f>
        <v>79.664570230607964</v>
      </c>
      <c r="X154" s="340">
        <f>IF(C154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83.393593351351683</v>
      </c>
      <c r="Y154" s="215" t="e">
        <f t="shared" si="53"/>
        <v>#VALUE!</v>
      </c>
      <c r="Z154" s="341" t="str">
        <f t="shared" si="54"/>
        <v/>
      </c>
      <c r="AA154" s="215" t="str">
        <f t="shared" si="55"/>
        <v/>
      </c>
      <c r="AB154" s="336">
        <f>IF(OR(C154="",C154="TOPX",終値!E174=""),"",IFERROR(((終値!E174*0.333)+(終値!F174*0.222)+(終値!G174*0.148)+(終値!H174*0.099)+(終値!I174*0.066))/(0.333+0.222+0.148+0.099+0.066),""))</f>
        <v>3813.6509216589857</v>
      </c>
      <c r="AC154" s="336">
        <f>IF(OR(C154="",C154="TOPX",終値!E174=""),"",IFERROR(SUMPRODUCT((終値!E174:AC174),{0.077,0.071,0.065,0.06,0.055,0.051,0.047,0.043,0.039,0.036,0.033,0.031,0.028,0.026,0.024,0.022,0.02,0.018,0.017,0.016,0.014,0.013,0.012,0.011,0.01})/SUM({0.077,0.071,0.065,0.06,0.055,0.051,0.047,0.043,0.039,0.036,0.033,0.031,0.028,0.026,0.024,0.022,0.02,0.018,0.017,0.016,0.014,0.013,0.012,0.011,0.01}),""))</f>
        <v>3578.5530393325357</v>
      </c>
      <c r="AD154" s="215" t="str">
        <f t="shared" si="56"/>
        <v>パーフェクト▲</v>
      </c>
      <c r="AE154" s="215" t="e">
        <f t="shared" si="57"/>
        <v>#VALUE!</v>
      </c>
      <c r="AF154" t="e">
        <f>IF(T154="","",IF(銘柄管理!$F$5="上昇▲",IF(AND(AD154="下降トレンド▼",OR(AE154="25日戻り売り★",AE154="5日戻り売り○")),"★逆張り売り",IF(AND(AD154="もみ合い→",OR(AE154="25日戻り売り★",AE154="5日戻り売り○")),"○逆張り売り",IF(W154&gt;=70,IF(Z154&lt;0,"◎反落確認","△過熱・様子見"),"相場上昇・見送り"))),IF(AND(T154&gt;=12,AD154="下降トレンド▼"),"★強い売り",IF(T154&gt;=12,"★強い売り",IF(AND(T154&gt;=8,OR(AE154="25日戻り売り★",AE154="5日戻り売り○")),"◎戻り売り",IF(T154&gt;=10,"○売り候補",IF(T154&gt;=6,"△注目",IF(T154&gt;=3,"様子見","見送り"))))))))</f>
        <v>#VALUE!</v>
      </c>
      <c r="AG154">
        <f t="shared" si="58"/>
        <v>0</v>
      </c>
      <c r="AH154">
        <f t="shared" si="59"/>
        <v>0</v>
      </c>
      <c r="AI154" s="376">
        <f t="array" ref="AI154">IF(C154="","",IFERROR((INDEX(終値!$E:$E,MATCH(TEXT(C154,"0"),終値!$A:$A,0))-INDEX(終値!$E:$CZ,MATCH(TEXT(C154,"0"),終値!$A:$A,0),$AN$2))/INDEX(終値!$E:$CZ,MATCH(TEXT(C154,"0"),終値!$A:$A,0),$AN$2)*100,""))</f>
        <v>14.914645103324348</v>
      </c>
      <c r="AJ154" s="376">
        <f t="array" ref="AJ154">IFERROR((終値!$E$5-INDEX(終値!$E$5:$CZ$5,1,$AN$2))/INDEX(終値!$E$5:$CZ$5,1,$AN$2)*100,"")</f>
        <v>2.31989243802786</v>
      </c>
      <c r="AK154" s="377">
        <f t="shared" si="60"/>
        <v>12.594752665296488</v>
      </c>
      <c r="AL154" s="375">
        <f t="shared" si="61"/>
        <v>-2</v>
      </c>
      <c r="AO154" s="379" t="e">
        <f t="shared" si="62"/>
        <v>#VALUE!</v>
      </c>
      <c r="AP154" s="380" t="e">
        <f t="shared" si="63"/>
        <v>#VALUE!</v>
      </c>
      <c r="AQ154">
        <f>IF(C154&lt;&gt;"",始値!F174,"")</f>
        <v>3829</v>
      </c>
      <c r="AR154">
        <f>IF(C154&lt;&gt;"",高値!F174,"")</f>
        <v>3844</v>
      </c>
      <c r="AS154">
        <f>IF(C154&lt;&gt;"",安値!F174,"")</f>
        <v>3741</v>
      </c>
      <c r="AT154" t="str">
        <f t="shared" si="64"/>
        <v>通常</v>
      </c>
      <c r="AU154">
        <f t="shared" si="65"/>
        <v>0</v>
      </c>
    </row>
    <row r="155" spans="1:47" ht="14.25" customHeight="1">
      <c r="A155" s="327" t="str">
        <f>IF(銘柄管理!B178&lt;&gt;"",HYPERLINK("https://kabutan.jp/stock/?code="&amp;銘柄管理!B178,"株探"),"")</f>
        <v>株探</v>
      </c>
      <c r="B155" s="328"/>
      <c r="C155" s="477">
        <f>IF(銘柄管理!B178="","",銘柄管理!B178)</f>
        <v>6436</v>
      </c>
      <c r="D155" s="328" t="str">
        <f>IF(銘柄管理!C178="","",銘柄管理!C178)</f>
        <v/>
      </c>
      <c r="E155" s="329" t="str">
        <f>IF(C155&lt;&gt;"",_xll.RssMarket(C155,"現在値"),"")</f>
        <v/>
      </c>
      <c r="F155" s="329" t="str">
        <f>IF(C155&lt;&gt;"",_xll.RssMarket(C155,"始値"),"")</f>
        <v/>
      </c>
      <c r="G155" s="328">
        <f>IF(C155&lt;&gt;"",終値!F178,"")</f>
        <v>3777</v>
      </c>
      <c r="H155" s="329" t="str">
        <f>IF(C155&lt;&gt;"",_xll.RssMarket(C155,"高値"),"")</f>
        <v/>
      </c>
      <c r="I155" s="329" t="str">
        <f>IF(C155&lt;&gt;"",_xll.RssMarket(C155,"安値"),"")</f>
        <v/>
      </c>
      <c r="J155" s="329" t="str">
        <f>IF(C155&lt;&gt;"",_xll.RssMarket(C155,"出来高"),"")</f>
        <v/>
      </c>
      <c r="K155" s="329" t="str">
        <f>IF(C155&lt;&gt;"",_xll.RssMarket(C155,"年初来高値"),"")</f>
        <v/>
      </c>
      <c r="L155" s="330" t="str">
        <f t="shared" si="44"/>
        <v/>
      </c>
      <c r="M155" s="329">
        <f>IF(C155&lt;&gt;"",IFERROR(AVERAGE(出来高!E178:I178),""),"")</f>
        <v>247340</v>
      </c>
      <c r="N155" s="329">
        <f>IF(C155&lt;&gt;"",IFERROR(AVERAGE(出来高!E178:AC178),""),"")</f>
        <v>222992</v>
      </c>
      <c r="O155" s="331" t="str">
        <f t="shared" si="45"/>
        <v/>
      </c>
      <c r="P155" s="328" t="str">
        <f t="shared" si="46"/>
        <v/>
      </c>
      <c r="Q155" s="328" t="str">
        <f t="shared" si="47"/>
        <v/>
      </c>
      <c r="R155" s="329" t="str">
        <f t="shared" si="48"/>
        <v/>
      </c>
      <c r="S155" s="329" t="str">
        <f t="shared" si="49"/>
        <v/>
      </c>
      <c r="T155" s="328">
        <f t="shared" si="50"/>
        <v>0</v>
      </c>
      <c r="U155" s="328" t="str">
        <f t="shared" si="51"/>
        <v>除外</v>
      </c>
      <c r="V155" s="328" t="str">
        <f t="shared" si="52"/>
        <v/>
      </c>
      <c r="W155" s="332">
        <f t="array" ref="W155">IFERROR(100-100/(1+SUMPRODUCT((終値!F178:R178&gt;終値!G178:S178)*(終値!F178:R178-終値!G178:S178))/SUMPRODUCT((終値!F178:R178&lt;終値!G178:S178)*(終値!G178:S178-終値!F178:R178))),50)</f>
        <v>74.635568513119537</v>
      </c>
      <c r="X155" s="333">
        <f>IF(C155&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23.441967608533105</v>
      </c>
      <c r="Y155" s="328" t="e">
        <f t="shared" si="53"/>
        <v>#VALUE!</v>
      </c>
      <c r="Z155" s="334" t="str">
        <f t="shared" si="54"/>
        <v/>
      </c>
      <c r="AA155" s="328" t="str">
        <f t="shared" si="55"/>
        <v/>
      </c>
      <c r="AB155" s="329">
        <f>IF(OR(C155="",C155="TOPX",終値!E178=""),"",IFERROR(((終値!E178*0.333)+(終値!F178*0.222)+(終値!G178*0.148)+(終値!H178*0.099)+(終値!I178*0.066))/(0.333+0.222+0.148+0.099+0.066),""))</f>
        <v>3768.0057603686637</v>
      </c>
      <c r="AC155" s="329">
        <f>IF(OR(C155="",C155="TOPX",終値!E178=""),"",IFERROR(SUMPRODUCT((終値!E178:AC178),{0.077,0.071,0.065,0.06,0.055,0.051,0.047,0.043,0.039,0.036,0.033,0.031,0.028,0.026,0.024,0.022,0.02,0.018,0.017,0.016,0.014,0.013,0.012,0.011,0.01})/SUM({0.077,0.071,0.065,0.06,0.055,0.051,0.047,0.043,0.039,0.036,0.033,0.031,0.028,0.026,0.024,0.022,0.02,0.018,0.017,0.016,0.014,0.013,0.012,0.011,0.01}),""))</f>
        <v>3697.9106078665059</v>
      </c>
      <c r="AD155" s="328" t="str">
        <f t="shared" si="56"/>
        <v>パーフェクト▲</v>
      </c>
      <c r="AE155" s="328" t="e">
        <f t="shared" si="57"/>
        <v>#VALUE!</v>
      </c>
      <c r="AF155" t="e">
        <f>IF(T155="","",IF(銘柄管理!$F$5="上昇▲",IF(AND(AD155="下降トレンド▼",OR(AE155="25日戻り売り★",AE155="5日戻り売り○")),"★逆張り売り",IF(AND(AD155="もみ合い→",OR(AE155="25日戻り売り★",AE155="5日戻り売り○")),"○逆張り売り",IF(W155&gt;=70,IF(Z155&lt;0,"◎反落確認","△過熱・様子見"),"相場上昇・見送り"))),IF(AND(T155&gt;=12,AD155="下降トレンド▼"),"★強い売り",IF(T155&gt;=12,"★強い売り",IF(AND(T155&gt;=8,OR(AE155="25日戻り売り★",AE155="5日戻り売り○")),"◎戻り売り",IF(T155&gt;=10,"○売り候補",IF(T155&gt;=6,"△注目",IF(T155&gt;=3,"様子見","見送り"))))))))</f>
        <v>#VALUE!</v>
      </c>
      <c r="AG155">
        <f t="shared" si="58"/>
        <v>0</v>
      </c>
      <c r="AH155">
        <f t="shared" si="59"/>
        <v>0</v>
      </c>
      <c r="AI155" s="376">
        <f t="array" ref="AI155">IF(C155="","",IFERROR((INDEX(終値!$E:$E,MATCH(TEXT(C155,"0"),終値!$A:$A,0))-INDEX(終値!$E:$CZ,MATCH(TEXT(C155,"0"),終値!$A:$A,0),$AN$2))/INDEX(終値!$E:$CZ,MATCH(TEXT(C155,"0"),終値!$A:$A,0),$AN$2)*100,""))</f>
        <v>6.3447501403705777</v>
      </c>
      <c r="AJ155" s="376">
        <f t="array" ref="AJ155">IFERROR((終値!$E$5-INDEX(終値!$E$5:$CZ$5,1,$AN$2))/INDEX(終値!$E$5:$CZ$5,1,$AN$2)*100,"")</f>
        <v>2.31989243802786</v>
      </c>
      <c r="AK155" s="377">
        <f t="shared" si="60"/>
        <v>4.0248577023427181</v>
      </c>
      <c r="AL155" s="375">
        <f t="shared" si="61"/>
        <v>-2</v>
      </c>
      <c r="AO155" s="379" t="e">
        <f t="shared" si="62"/>
        <v>#VALUE!</v>
      </c>
      <c r="AP155" s="380" t="e">
        <f t="shared" si="63"/>
        <v>#VALUE!</v>
      </c>
      <c r="AQ155">
        <f>IF(C155&lt;&gt;"",始値!F178,"")</f>
        <v>3773</v>
      </c>
      <c r="AR155">
        <f>IF(C155&lt;&gt;"",高値!F178,"")</f>
        <v>3790</v>
      </c>
      <c r="AS155">
        <f>IF(C155&lt;&gt;"",安値!F178,"")</f>
        <v>3767</v>
      </c>
      <c r="AT155" t="str">
        <f t="shared" si="64"/>
        <v>通常</v>
      </c>
      <c r="AU155">
        <f t="shared" si="65"/>
        <v>0</v>
      </c>
    </row>
    <row r="156" spans="1:47" ht="14.25" customHeight="1">
      <c r="A156" s="335" t="str">
        <f>IF(銘柄管理!B180&lt;&gt;"",HYPERLINK("https://kabutan.jp/stock/?code="&amp;銘柄管理!B180,"株探"),"")</f>
        <v>株探</v>
      </c>
      <c r="B156" s="215"/>
      <c r="C156" s="478">
        <f>IF(銘柄管理!B180="","",銘柄管理!B180)</f>
        <v>5440</v>
      </c>
      <c r="D156" s="215" t="str">
        <f>IF(銘柄管理!C180="","",銘柄管理!C180)</f>
        <v/>
      </c>
      <c r="E156" s="336" t="str">
        <f>IF(C156&lt;&gt;"",_xll.RssMarket(C156,"現在値"),"")</f>
        <v/>
      </c>
      <c r="F156" s="336" t="str">
        <f>IF(C156&lt;&gt;"",_xll.RssMarket(C156,"始値"),"")</f>
        <v/>
      </c>
      <c r="G156" s="215">
        <f>IF(C156&lt;&gt;"",終値!F180,"")</f>
        <v>1844</v>
      </c>
      <c r="H156" s="336" t="str">
        <f>IF(C156&lt;&gt;"",_xll.RssMarket(C156,"高値"),"")</f>
        <v/>
      </c>
      <c r="I156" s="336" t="str">
        <f>IF(C156&lt;&gt;"",_xll.RssMarket(C156,"安値"),"")</f>
        <v/>
      </c>
      <c r="J156" s="336" t="str">
        <f>IF(C156&lt;&gt;"",_xll.RssMarket(C156,"出来高"),"")</f>
        <v/>
      </c>
      <c r="K156" s="336" t="str">
        <f>IF(C156&lt;&gt;"",_xll.RssMarket(C156,"年初来高値"),"")</f>
        <v/>
      </c>
      <c r="L156" s="337" t="str">
        <f t="shared" si="44"/>
        <v/>
      </c>
      <c r="M156" s="336">
        <f>IF(C156&lt;&gt;"",IFERROR(AVERAGE(出来高!E180:I180),""),"")</f>
        <v>93140</v>
      </c>
      <c r="N156" s="336">
        <f>IF(C156&lt;&gt;"",IFERROR(AVERAGE(出来高!E180:AC180),""),"")</f>
        <v>128320</v>
      </c>
      <c r="O156" s="338" t="str">
        <f t="shared" si="45"/>
        <v/>
      </c>
      <c r="P156" s="215" t="str">
        <f t="shared" si="46"/>
        <v/>
      </c>
      <c r="Q156" s="215" t="str">
        <f t="shared" si="47"/>
        <v/>
      </c>
      <c r="R156" s="336" t="str">
        <f t="shared" si="48"/>
        <v/>
      </c>
      <c r="S156" s="336" t="str">
        <f t="shared" si="49"/>
        <v/>
      </c>
      <c r="T156" s="328">
        <f t="shared" si="50"/>
        <v>0</v>
      </c>
      <c r="U156" s="215" t="str">
        <f t="shared" si="51"/>
        <v>除外</v>
      </c>
      <c r="V156" s="215" t="str">
        <f t="shared" si="52"/>
        <v/>
      </c>
      <c r="W156" s="339">
        <f t="array" ref="W156">IFERROR(100-100/(1+SUMPRODUCT((終値!F180:R180&gt;終値!G180:S180)*(終値!F180:R180-終値!G180:S180))/SUMPRODUCT((終値!F180:R180&lt;終値!G180:S180)*(終値!G180:S180-終値!F180:R180))),50)</f>
        <v>80.176211453744486</v>
      </c>
      <c r="X156" s="340">
        <f>IF(C156&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12.365377190643812</v>
      </c>
      <c r="Y156" s="215" t="e">
        <f t="shared" si="53"/>
        <v>#VALUE!</v>
      </c>
      <c r="Z156" s="341" t="str">
        <f t="shared" si="54"/>
        <v/>
      </c>
      <c r="AA156" s="215" t="str">
        <f t="shared" si="55"/>
        <v/>
      </c>
      <c r="AB156" s="336">
        <f>IF(OR(C156="",C156="TOPX",終値!E180=""),"",IFERROR(((終値!E180*0.333)+(終値!F180*0.222)+(終値!G180*0.148)+(終値!H180*0.099)+(終値!I180*0.066))/(0.333+0.222+0.148+0.099+0.066),""))</f>
        <v>1831.7062211981565</v>
      </c>
      <c r="AC156" s="336">
        <f>IF(OR(C156="",C156="TOPX",終値!E180=""),"",IFERROR(SUMPRODUCT((終値!E180:AC180),{0.077,0.071,0.065,0.06,0.055,0.051,0.047,0.043,0.039,0.036,0.033,0.031,0.028,0.026,0.024,0.022,0.02,0.018,0.017,0.016,0.014,0.013,0.012,0.011,0.01})/SUM({0.077,0.071,0.065,0.06,0.055,0.051,0.047,0.043,0.039,0.036,0.033,0.031,0.028,0.026,0.024,0.022,0.02,0.018,0.017,0.016,0.014,0.013,0.012,0.011,0.01}),""))</f>
        <v>1784.88200238379</v>
      </c>
      <c r="AD156" s="215" t="str">
        <f t="shared" si="56"/>
        <v>パーフェクト▲</v>
      </c>
      <c r="AE156" s="215" t="e">
        <f t="shared" si="57"/>
        <v>#VALUE!</v>
      </c>
      <c r="AF156" t="e">
        <f>IF(T156="","",IF(銘柄管理!$F$5="上昇▲",IF(AND(AD156="下降トレンド▼",OR(AE156="25日戻り売り★",AE156="5日戻り売り○")),"★逆張り売り",IF(AND(AD156="もみ合い→",OR(AE156="25日戻り売り★",AE156="5日戻り売り○")),"○逆張り売り",IF(W156&gt;=70,IF(Z156&lt;0,"◎反落確認","△過熱・様子見"),"相場上昇・見送り"))),IF(AND(T156&gt;=12,AD156="下降トレンド▼"),"★強い売り",IF(T156&gt;=12,"★強い売り",IF(AND(T156&gt;=8,OR(AE156="25日戻り売り★",AE156="5日戻り売り○")),"◎戻り売り",IF(T156&gt;=10,"○売り候補",IF(T156&gt;=6,"△注目",IF(T156&gt;=3,"様子見","見送り"))))))))</f>
        <v>#VALUE!</v>
      </c>
      <c r="AG156">
        <f t="shared" si="58"/>
        <v>0</v>
      </c>
      <c r="AH156">
        <f t="shared" si="59"/>
        <v>0</v>
      </c>
      <c r="AI156" s="376">
        <f t="array" ref="AI156">IF(C156="","",IFERROR((INDEX(終値!$E:$E,MATCH(TEXT(C156,"0"),終値!$A:$A,0))-INDEX(終値!$E:$CZ,MATCH(TEXT(C156,"0"),終値!$A:$A,0),$AN$2))/INDEX(終値!$E:$CZ,MATCH(TEXT(C156,"0"),終値!$A:$A,0),$AN$2)*100,""))</f>
        <v>5.1487414187643026</v>
      </c>
      <c r="AJ156" s="376">
        <f t="array" ref="AJ156">IFERROR((終値!$E$5-INDEX(終値!$E$5:$CZ$5,1,$AN$2))/INDEX(終値!$E$5:$CZ$5,1,$AN$2)*100,"")</f>
        <v>2.31989243802786</v>
      </c>
      <c r="AK156" s="377">
        <f t="shared" si="60"/>
        <v>2.8288489807364425</v>
      </c>
      <c r="AL156" s="375">
        <f t="shared" si="61"/>
        <v>-1</v>
      </c>
      <c r="AO156" s="379" t="e">
        <f t="shared" si="62"/>
        <v>#VALUE!</v>
      </c>
      <c r="AP156" s="380" t="e">
        <f t="shared" si="63"/>
        <v>#VALUE!</v>
      </c>
      <c r="AQ156">
        <f>IF(C156&lt;&gt;"",始値!F180,"")</f>
        <v>1849</v>
      </c>
      <c r="AR156">
        <f>IF(C156&lt;&gt;"",高値!F180,"")</f>
        <v>1855</v>
      </c>
      <c r="AS156">
        <f>IF(C156&lt;&gt;"",安値!F180,"")</f>
        <v>1834</v>
      </c>
      <c r="AT156" t="str">
        <f t="shared" si="64"/>
        <v>通常</v>
      </c>
      <c r="AU156">
        <f t="shared" si="65"/>
        <v>0</v>
      </c>
    </row>
    <row r="157" spans="1:47" ht="14.25" customHeight="1">
      <c r="A157" s="327" t="str">
        <f>IF(銘柄管理!B181&lt;&gt;"",HYPERLINK("https://kabutan.jp/stock/?code="&amp;銘柄管理!B181,"株探"),"")</f>
        <v>株探</v>
      </c>
      <c r="B157" s="328"/>
      <c r="C157" s="477">
        <f>IF(銘柄管理!B181="","",銘柄管理!B181)</f>
        <v>9505</v>
      </c>
      <c r="D157" s="328" t="str">
        <f>IF(銘柄管理!C181="","",銘柄管理!C181)</f>
        <v/>
      </c>
      <c r="E157" s="329" t="str">
        <f>IF(C157&lt;&gt;"",_xll.RssMarket(C157,"現在値"),"")</f>
        <v/>
      </c>
      <c r="F157" s="329" t="str">
        <f>IF(C157&lt;&gt;"",_xll.RssMarket(C157,"始値"),"")</f>
        <v/>
      </c>
      <c r="G157" s="328">
        <f>IF(C157&lt;&gt;"",終値!F181,"")</f>
        <v>910.4</v>
      </c>
      <c r="H157" s="329" t="str">
        <f>IF(C157&lt;&gt;"",_xll.RssMarket(C157,"高値"),"")</f>
        <v/>
      </c>
      <c r="I157" s="329" t="str">
        <f>IF(C157&lt;&gt;"",_xll.RssMarket(C157,"安値"),"")</f>
        <v/>
      </c>
      <c r="J157" s="329" t="str">
        <f>IF(C157&lt;&gt;"",_xll.RssMarket(C157,"出来高"),"")</f>
        <v/>
      </c>
      <c r="K157" s="329" t="str">
        <f>IF(C157&lt;&gt;"",_xll.RssMarket(C157,"年初来高値"),"")</f>
        <v/>
      </c>
      <c r="L157" s="330" t="str">
        <f t="shared" si="44"/>
        <v/>
      </c>
      <c r="M157" s="329">
        <f>IF(C157&lt;&gt;"",IFERROR(AVERAGE(出来高!E181:I181),""),"")</f>
        <v>802300</v>
      </c>
      <c r="N157" s="329">
        <f>IF(C157&lt;&gt;"",IFERROR(AVERAGE(出来高!E181:AC181),""),"")</f>
        <v>807604</v>
      </c>
      <c r="O157" s="331" t="str">
        <f t="shared" si="45"/>
        <v/>
      </c>
      <c r="P157" s="328" t="str">
        <f t="shared" si="46"/>
        <v/>
      </c>
      <c r="Q157" s="328" t="str">
        <f t="shared" si="47"/>
        <v/>
      </c>
      <c r="R157" s="329" t="str">
        <f t="shared" si="48"/>
        <v/>
      </c>
      <c r="S157" s="329" t="str">
        <f t="shared" si="49"/>
        <v/>
      </c>
      <c r="T157" s="328">
        <f t="shared" si="50"/>
        <v>0</v>
      </c>
      <c r="U157" s="328" t="str">
        <f t="shared" si="51"/>
        <v>除外</v>
      </c>
      <c r="V157" s="328" t="str">
        <f t="shared" si="52"/>
        <v/>
      </c>
      <c r="W157" s="332">
        <f t="array" ref="W157">IFERROR(100-100/(1+SUMPRODUCT((終値!F181:R181&gt;終値!G181:S181)*(終値!F181:R181-終値!G181:S181))/SUMPRODUCT((終値!F181:R181&lt;終値!G181:S181)*(終値!G181:S181-終値!F181:R181))),50)</f>
        <v>66.717557251908403</v>
      </c>
      <c r="X157" s="333">
        <f>IF(C157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7.189456254801371</v>
      </c>
      <c r="Y157" s="328" t="e">
        <f t="shared" si="53"/>
        <v>#VALUE!</v>
      </c>
      <c r="Z157" s="334" t="str">
        <f t="shared" si="54"/>
        <v/>
      </c>
      <c r="AA157" s="328" t="str">
        <f t="shared" si="55"/>
        <v/>
      </c>
      <c r="AB157" s="329">
        <f>IF(OR(C157="",C157="TOPX",終値!E181=""),"",IFERROR(((終値!E181*0.333)+(終値!F181*0.222)+(終値!G181*0.148)+(終値!H181*0.099)+(終値!I181*0.066))/(0.333+0.222+0.148+0.099+0.066),""))</f>
        <v>904.75552995391695</v>
      </c>
      <c r="AC157" s="329">
        <f>IF(OR(C157="",C157="TOPX",終値!E181=""),"",IFERROR(SUMPRODUCT((終値!E181:AC181),{0.077,0.071,0.065,0.06,0.055,0.051,0.047,0.043,0.039,0.036,0.033,0.031,0.028,0.026,0.024,0.022,0.02,0.018,0.017,0.016,0.014,0.013,0.012,0.011,0.01})/SUM({0.077,0.071,0.065,0.06,0.055,0.051,0.047,0.043,0.039,0.036,0.033,0.031,0.028,0.026,0.024,0.022,0.02,0.018,0.017,0.016,0.014,0.013,0.012,0.011,0.01}),""))</f>
        <v>888.1249106078659</v>
      </c>
      <c r="AD157" s="328" t="str">
        <f t="shared" si="56"/>
        <v>パーフェクト▲</v>
      </c>
      <c r="AE157" s="328" t="e">
        <f t="shared" si="57"/>
        <v>#VALUE!</v>
      </c>
      <c r="AF157" t="e">
        <f>IF(T157="","",IF(銘柄管理!$F$5="上昇▲",IF(AND(AD157="下降トレンド▼",OR(AE157="25日戻り売り★",AE157="5日戻り売り○")),"★逆張り売り",IF(AND(AD157="もみ合い→",OR(AE157="25日戻り売り★",AE157="5日戻り売り○")),"○逆張り売り",IF(W157&gt;=70,IF(Z157&lt;0,"◎反落確認","△過熱・様子見"),"相場上昇・見送り"))),IF(AND(T157&gt;=12,AD157="下降トレンド▼"),"★強い売り",IF(T157&gt;=12,"★強い売り",IF(AND(T157&gt;=8,OR(AE157="25日戻り売り★",AE157="5日戻り売り○")),"◎戻り売り",IF(T157&gt;=10,"○売り候補",IF(T157&gt;=6,"△注目",IF(T157&gt;=3,"様子見","見送り"))))))))</f>
        <v>#VALUE!</v>
      </c>
      <c r="AG157">
        <f t="shared" si="58"/>
        <v>0</v>
      </c>
      <c r="AH157">
        <f t="shared" si="59"/>
        <v>0</v>
      </c>
      <c r="AI157" s="376">
        <f t="array" ref="AI157">IF(C157="","",IFERROR((INDEX(終値!$E:$E,MATCH(TEXT(C157,"0"),終値!$A:$A,0))-INDEX(終値!$E:$CZ,MATCH(TEXT(C157,"0"),終値!$A:$A,0),$AN$2))/INDEX(終値!$E:$CZ,MATCH(TEXT(C157,"0"),終値!$A:$A,0),$AN$2)*100,""))</f>
        <v>9.1323652946117875</v>
      </c>
      <c r="AJ157" s="376">
        <f t="array" ref="AJ157">IFERROR((終値!$E$5-INDEX(終値!$E$5:$CZ$5,1,$AN$2))/INDEX(終値!$E$5:$CZ$5,1,$AN$2)*100,"")</f>
        <v>2.31989243802786</v>
      </c>
      <c r="AK157" s="377">
        <f t="shared" si="60"/>
        <v>6.812472856583927</v>
      </c>
      <c r="AL157" s="375">
        <f t="shared" si="61"/>
        <v>-2</v>
      </c>
      <c r="AO157" s="379" t="e">
        <f t="shared" si="62"/>
        <v>#VALUE!</v>
      </c>
      <c r="AP157" s="380" t="e">
        <f t="shared" si="63"/>
        <v>#VALUE!</v>
      </c>
      <c r="AQ157">
        <f>IF(C157&lt;&gt;"",始値!F181,"")</f>
        <v>913.2</v>
      </c>
      <c r="AR157">
        <f>IF(C157&lt;&gt;"",高値!F181,"")</f>
        <v>919.8</v>
      </c>
      <c r="AS157">
        <f>IF(C157&lt;&gt;"",安値!F181,"")</f>
        <v>905</v>
      </c>
      <c r="AT157" t="str">
        <f t="shared" si="64"/>
        <v>通常</v>
      </c>
      <c r="AU157">
        <f t="shared" si="65"/>
        <v>0</v>
      </c>
    </row>
    <row r="158" spans="1:47" ht="14.25" customHeight="1">
      <c r="A158" s="335" t="str">
        <f>IF(銘柄管理!B182&lt;&gt;"",HYPERLINK("https://kabutan.jp/stock/?code="&amp;銘柄管理!B182,"株探"),"")</f>
        <v>株探</v>
      </c>
      <c r="B158" s="215"/>
      <c r="C158" s="478">
        <f>IF(銘柄管理!B182="","",銘柄管理!B182)</f>
        <v>8091</v>
      </c>
      <c r="D158" s="215" t="str">
        <f>IF(銘柄管理!C182="","",銘柄管理!C182)</f>
        <v/>
      </c>
      <c r="E158" s="336" t="str">
        <f>IF(C158&lt;&gt;"",_xll.RssMarket(C158,"現在値"),"")</f>
        <v/>
      </c>
      <c r="F158" s="336" t="str">
        <f>IF(C158&lt;&gt;"",_xll.RssMarket(C158,"始値"),"")</f>
        <v/>
      </c>
      <c r="G158" s="215">
        <f>IF(C158&lt;&gt;"",終値!F182,"")</f>
        <v>2323</v>
      </c>
      <c r="H158" s="336" t="str">
        <f>IF(C158&lt;&gt;"",_xll.RssMarket(C158,"高値"),"")</f>
        <v/>
      </c>
      <c r="I158" s="336" t="str">
        <f>IF(C158&lt;&gt;"",_xll.RssMarket(C158,"安値"),"")</f>
        <v/>
      </c>
      <c r="J158" s="336" t="str">
        <f>IF(C158&lt;&gt;"",_xll.RssMarket(C158,"出来高"),"")</f>
        <v/>
      </c>
      <c r="K158" s="336" t="str">
        <f>IF(C158&lt;&gt;"",_xll.RssMarket(C158,"年初来高値"),"")</f>
        <v/>
      </c>
      <c r="L158" s="337" t="str">
        <f t="shared" si="44"/>
        <v/>
      </c>
      <c r="M158" s="336">
        <f>IF(C158&lt;&gt;"",IFERROR(AVERAGE(出来高!E182:I182),""),"")</f>
        <v>14520</v>
      </c>
      <c r="N158" s="336">
        <f>IF(C158&lt;&gt;"",IFERROR(AVERAGE(出来高!E182:AC182),""),"")</f>
        <v>17008</v>
      </c>
      <c r="O158" s="338" t="str">
        <f t="shared" si="45"/>
        <v/>
      </c>
      <c r="P158" s="215" t="str">
        <f t="shared" si="46"/>
        <v/>
      </c>
      <c r="Q158" s="215" t="str">
        <f t="shared" si="47"/>
        <v/>
      </c>
      <c r="R158" s="336" t="str">
        <f t="shared" si="48"/>
        <v/>
      </c>
      <c r="S158" s="336" t="str">
        <f t="shared" si="49"/>
        <v/>
      </c>
      <c r="T158" s="328">
        <f t="shared" si="50"/>
        <v>0</v>
      </c>
      <c r="U158" s="215" t="str">
        <f t="shared" si="51"/>
        <v>除外</v>
      </c>
      <c r="V158" s="215" t="str">
        <f t="shared" si="52"/>
        <v/>
      </c>
      <c r="W158" s="339">
        <f t="array" ref="W158">IFERROR(100-100/(1+SUMPRODUCT((終値!F182:R182&gt;終値!G182:S182)*(終値!F182:R182-終値!G182:S182))/SUMPRODUCT((終値!F182:R182&lt;終値!G182:S182)*(終値!G182:S182-終値!F182:R182))),50)</f>
        <v>57.615894039735096</v>
      </c>
      <c r="X158" s="340">
        <f>IF(C158&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7.0013194607531659</v>
      </c>
      <c r="Y158" s="215" t="e">
        <f t="shared" si="53"/>
        <v>#VALUE!</v>
      </c>
      <c r="Z158" s="341" t="str">
        <f t="shared" si="54"/>
        <v/>
      </c>
      <c r="AA158" s="215" t="str">
        <f t="shared" si="55"/>
        <v/>
      </c>
      <c r="AB158" s="336">
        <f>IF(OR(C158="",C158="TOPX",終値!E182=""),"",IFERROR(((終値!E182*0.333)+(終値!F182*0.222)+(終値!G182*0.148)+(終値!H182*0.099)+(終値!I182*0.066))/(0.333+0.222+0.148+0.099+0.066),""))</f>
        <v>2306.3467741935483</v>
      </c>
      <c r="AC158" s="336">
        <f>IF(OR(C158="",C158="TOPX",終値!E182=""),"",IFERROR(SUMPRODUCT((終値!E182:AC182),{0.077,0.071,0.065,0.06,0.055,0.051,0.047,0.043,0.039,0.036,0.033,0.031,0.028,0.026,0.024,0.022,0.02,0.018,0.017,0.016,0.014,0.013,0.012,0.011,0.01})/SUM({0.077,0.071,0.065,0.06,0.055,0.051,0.047,0.043,0.039,0.036,0.033,0.031,0.028,0.026,0.024,0.022,0.02,0.018,0.017,0.016,0.014,0.013,0.012,0.011,0.01}),""))</f>
        <v>2283.0595947556603</v>
      </c>
      <c r="AD158" s="215" t="str">
        <f t="shared" si="56"/>
        <v>パーフェクト▲</v>
      </c>
      <c r="AE158" s="215" t="e">
        <f t="shared" si="57"/>
        <v>#VALUE!</v>
      </c>
      <c r="AF158" t="e">
        <f>IF(T158="","",IF(銘柄管理!$F$5="上昇▲",IF(AND(AD158="下降トレンド▼",OR(AE158="25日戻り売り★",AE158="5日戻り売り○")),"★逆張り売り",IF(AND(AD158="もみ合い→",OR(AE158="25日戻り売り★",AE158="5日戻り売り○")),"○逆張り売り",IF(W158&gt;=70,IF(Z158&lt;0,"◎反落確認","△過熱・様子見"),"相場上昇・見送り"))),IF(AND(T158&gt;=12,AD158="下降トレンド▼"),"★強い売り",IF(T158&gt;=12,"★強い売り",IF(AND(T158&gt;=8,OR(AE158="25日戻り売り★",AE158="5日戻り売り○")),"◎戻り売り",IF(T158&gt;=10,"○売り候補",IF(T158&gt;=6,"△注目",IF(T158&gt;=3,"様子見","見送り"))))))))</f>
        <v>#VALUE!</v>
      </c>
      <c r="AG158">
        <f t="shared" si="58"/>
        <v>0</v>
      </c>
      <c r="AH158">
        <f t="shared" si="59"/>
        <v>0</v>
      </c>
      <c r="AI158" s="376">
        <f t="array" ref="AI158">IF(C158="","",IFERROR((INDEX(終値!$E:$E,MATCH(TEXT(C158,"0"),終値!$A:$A,0))-INDEX(終値!$E:$CZ,MATCH(TEXT(C158,"0"),終値!$A:$A,0),$AN$2))/INDEX(終値!$E:$CZ,MATCH(TEXT(C158,"0"),終値!$A:$A,0),$AN$2)*100,""))</f>
        <v>6.4827586206896548</v>
      </c>
      <c r="AJ158" s="376">
        <f t="array" ref="AJ158">IFERROR((終値!$E$5-INDEX(終値!$E$5:$CZ$5,1,$AN$2))/INDEX(終値!$E$5:$CZ$5,1,$AN$2)*100,"")</f>
        <v>2.31989243802786</v>
      </c>
      <c r="AK158" s="377">
        <f t="shared" si="60"/>
        <v>4.1628661826617943</v>
      </c>
      <c r="AL158" s="375">
        <f t="shared" si="61"/>
        <v>-2</v>
      </c>
      <c r="AO158" s="379" t="e">
        <f t="shared" si="62"/>
        <v>#VALUE!</v>
      </c>
      <c r="AP158" s="380" t="e">
        <f t="shared" si="63"/>
        <v>#VALUE!</v>
      </c>
      <c r="AQ158">
        <f>IF(C158&lt;&gt;"",始値!F182,"")</f>
        <v>2284</v>
      </c>
      <c r="AR158">
        <f>IF(C158&lt;&gt;"",高値!F182,"")</f>
        <v>2323</v>
      </c>
      <c r="AS158">
        <f>IF(C158&lt;&gt;"",安値!F182,"")</f>
        <v>2279</v>
      </c>
      <c r="AT158" t="str">
        <f t="shared" si="64"/>
        <v>通常</v>
      </c>
      <c r="AU158">
        <f t="shared" si="65"/>
        <v>0</v>
      </c>
    </row>
    <row r="159" spans="1:47" ht="14.25" customHeight="1">
      <c r="A159" s="327" t="str">
        <f>IF(銘柄管理!B184&lt;&gt;"",HYPERLINK("https://kabutan.jp/stock/?code="&amp;銘柄管理!B184,"株探"),"")</f>
        <v>株探</v>
      </c>
      <c r="B159" s="328"/>
      <c r="C159" s="477">
        <f>IF(銘柄管理!B184="","",銘柄管理!B184)</f>
        <v>9022</v>
      </c>
      <c r="D159" s="328" t="str">
        <f>IF(銘柄管理!C184="","",銘柄管理!C184)</f>
        <v/>
      </c>
      <c r="E159" s="329" t="str">
        <f>IF(C159&lt;&gt;"",_xll.RssMarket(C159,"現在値"),"")</f>
        <v/>
      </c>
      <c r="F159" s="329" t="str">
        <f>IF(C159&lt;&gt;"",_xll.RssMarket(C159,"始値"),"")</f>
        <v/>
      </c>
      <c r="G159" s="328">
        <f>IF(C159&lt;&gt;"",終値!F184,"")</f>
        <v>3694</v>
      </c>
      <c r="H159" s="329" t="str">
        <f>IF(C159&lt;&gt;"",_xll.RssMarket(C159,"高値"),"")</f>
        <v/>
      </c>
      <c r="I159" s="329" t="str">
        <f>IF(C159&lt;&gt;"",_xll.RssMarket(C159,"安値"),"")</f>
        <v/>
      </c>
      <c r="J159" s="329" t="str">
        <f>IF(C159&lt;&gt;"",_xll.RssMarket(C159,"出来高"),"")</f>
        <v/>
      </c>
      <c r="K159" s="329" t="str">
        <f>IF(C159&lt;&gt;"",_xll.RssMarket(C159,"年初来高値"),"")</f>
        <v/>
      </c>
      <c r="L159" s="330" t="str">
        <f t="shared" si="44"/>
        <v/>
      </c>
      <c r="M159" s="329">
        <f>IF(C159&lt;&gt;"",IFERROR(AVERAGE(出来高!E184:I184),""),"")</f>
        <v>2814420</v>
      </c>
      <c r="N159" s="329">
        <f>IF(C159&lt;&gt;"",IFERROR(AVERAGE(出来高!E184:AC184),""),"")</f>
        <v>3305996</v>
      </c>
      <c r="O159" s="331" t="str">
        <f t="shared" si="45"/>
        <v/>
      </c>
      <c r="P159" s="328" t="str">
        <f t="shared" si="46"/>
        <v/>
      </c>
      <c r="Q159" s="328" t="str">
        <f t="shared" si="47"/>
        <v/>
      </c>
      <c r="R159" s="329" t="str">
        <f t="shared" si="48"/>
        <v/>
      </c>
      <c r="S159" s="329" t="str">
        <f t="shared" si="49"/>
        <v/>
      </c>
      <c r="T159" s="328">
        <f t="shared" si="50"/>
        <v>0</v>
      </c>
      <c r="U159" s="328" t="str">
        <f t="shared" si="51"/>
        <v>除外</v>
      </c>
      <c r="V159" s="328" t="str">
        <f t="shared" si="52"/>
        <v/>
      </c>
      <c r="W159" s="332">
        <f t="array" ref="W159">IFERROR(100-100/(1+SUMPRODUCT((終値!F184:R184&gt;終値!G184:S184)*(終値!F184:R184-終値!G184:S184))/SUMPRODUCT((終値!F184:R184&lt;終値!G184:S184)*(終値!G184:S184-終値!F184:R184))),50)</f>
        <v>76.30402384500745</v>
      </c>
      <c r="X159" s="333">
        <f>IF(C159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47.208530522730598</v>
      </c>
      <c r="Y159" s="328" t="e">
        <f t="shared" si="53"/>
        <v>#VALUE!</v>
      </c>
      <c r="Z159" s="334" t="str">
        <f t="shared" si="54"/>
        <v/>
      </c>
      <c r="AA159" s="328" t="str">
        <f t="shared" si="55"/>
        <v/>
      </c>
      <c r="AB159" s="329">
        <f>IF(OR(C159="",C159="TOPX",終値!E184=""),"",IFERROR(((終値!E184*0.333)+(終値!F184*0.222)+(終値!G184*0.148)+(終値!H184*0.099)+(終値!I184*0.066))/(0.333+0.222+0.148+0.099+0.066),""))</f>
        <v>3714.408986175114</v>
      </c>
      <c r="AC159" s="329">
        <f>IF(OR(C159="",C159="TOPX",終値!E184=""),"",IFERROR(SUMPRODUCT((終値!E184:AC184),{0.077,0.071,0.065,0.06,0.055,0.051,0.047,0.043,0.039,0.036,0.033,0.031,0.028,0.026,0.024,0.022,0.02,0.018,0.017,0.016,0.014,0.013,0.012,0.011,0.01})/SUM({0.077,0.071,0.065,0.06,0.055,0.051,0.047,0.043,0.039,0.036,0.033,0.031,0.028,0.026,0.024,0.022,0.02,0.018,0.017,0.016,0.014,0.013,0.012,0.011,0.01}),""))</f>
        <v>3555.3075089392119</v>
      </c>
      <c r="AD159" s="328" t="str">
        <f t="shared" si="56"/>
        <v>パーフェクト▲</v>
      </c>
      <c r="AE159" s="328" t="e">
        <f t="shared" si="57"/>
        <v>#VALUE!</v>
      </c>
      <c r="AF159" t="e">
        <f>IF(T159="","",IF(銘柄管理!$F$5="上昇▲",IF(AND(AD159="下降トレンド▼",OR(AE159="25日戻り売り★",AE159="5日戻り売り○")),"★逆張り売り",IF(AND(AD159="もみ合い→",OR(AE159="25日戻り売り★",AE159="5日戻り売り○")),"○逆張り売り",IF(W159&gt;=70,IF(Z159&lt;0,"◎反落確認","△過熱・様子見"),"相場上昇・見送り"))),IF(AND(T159&gt;=12,AD159="下降トレンド▼"),"★強い売り",IF(T159&gt;=12,"★強い売り",IF(AND(T159&gt;=8,OR(AE159="25日戻り売り★",AE159="5日戻り売り○")),"◎戻り売り",IF(T159&gt;=10,"○売り候補",IF(T159&gt;=6,"△注目",IF(T159&gt;=3,"様子見","見送り"))))))))</f>
        <v>#VALUE!</v>
      </c>
      <c r="AG159">
        <f t="shared" si="58"/>
        <v>0</v>
      </c>
      <c r="AH159">
        <f t="shared" si="59"/>
        <v>0</v>
      </c>
      <c r="AI159" s="376">
        <f t="array" ref="AI159">IF(C159="","",IFERROR((INDEX(終値!$E:$E,MATCH(TEXT(C159,"0"),終値!$A:$A,0))-INDEX(終値!$E:$CZ,MATCH(TEXT(C159,"0"),終値!$A:$A,0),$AN$2))/INDEX(終値!$E:$CZ,MATCH(TEXT(C159,"0"),終値!$A:$A,0),$AN$2)*100,""))</f>
        <v>10.960518562168533</v>
      </c>
      <c r="AJ159" s="376">
        <f t="array" ref="AJ159">IFERROR((終値!$E$5-INDEX(終値!$E$5:$CZ$5,1,$AN$2))/INDEX(終値!$E$5:$CZ$5,1,$AN$2)*100,"")</f>
        <v>2.31989243802786</v>
      </c>
      <c r="AK159" s="377">
        <f t="shared" si="60"/>
        <v>8.6406261241406721</v>
      </c>
      <c r="AL159" s="375">
        <f t="shared" si="61"/>
        <v>-2</v>
      </c>
      <c r="AO159" s="379" t="e">
        <f t="shared" si="62"/>
        <v>#VALUE!</v>
      </c>
      <c r="AP159" s="380" t="e">
        <f t="shared" si="63"/>
        <v>#VALUE!</v>
      </c>
      <c r="AQ159">
        <f>IF(C159&lt;&gt;"",始値!F184,"")</f>
        <v>3749</v>
      </c>
      <c r="AR159">
        <f>IF(C159&lt;&gt;"",高値!F184,"")</f>
        <v>3750</v>
      </c>
      <c r="AS159">
        <f>IF(C159&lt;&gt;"",安値!F184,"")</f>
        <v>3666</v>
      </c>
      <c r="AT159" t="str">
        <f t="shared" si="64"/>
        <v>通常</v>
      </c>
      <c r="AU159">
        <f t="shared" si="65"/>
        <v>0</v>
      </c>
    </row>
    <row r="160" spans="1:47" ht="14.25" customHeight="1">
      <c r="A160" s="335" t="str">
        <f>IF(銘柄管理!B185&lt;&gt;"",HYPERLINK("https://kabutan.jp/stock/?code="&amp;銘柄管理!B185,"株探"),"")</f>
        <v>株探</v>
      </c>
      <c r="B160" s="215"/>
      <c r="C160" s="478">
        <f>IF(銘柄管理!B185="","",銘柄管理!B185)</f>
        <v>9536</v>
      </c>
      <c r="D160" s="215" t="str">
        <f>IF(銘柄管理!C185="","",銘柄管理!C185)</f>
        <v/>
      </c>
      <c r="E160" s="336" t="str">
        <f>IF(C160&lt;&gt;"",_xll.RssMarket(C160,"現在値"),"")</f>
        <v/>
      </c>
      <c r="F160" s="336" t="str">
        <f>IF(C160&lt;&gt;"",_xll.RssMarket(C160,"始値"),"")</f>
        <v/>
      </c>
      <c r="G160" s="215">
        <f>IF(C160&lt;&gt;"",終値!F185,"")</f>
        <v>2333</v>
      </c>
      <c r="H160" s="336" t="str">
        <f>IF(C160&lt;&gt;"",_xll.RssMarket(C160,"高値"),"")</f>
        <v/>
      </c>
      <c r="I160" s="336" t="str">
        <f>IF(C160&lt;&gt;"",_xll.RssMarket(C160,"安値"),"")</f>
        <v/>
      </c>
      <c r="J160" s="336" t="str">
        <f>IF(C160&lt;&gt;"",_xll.RssMarket(C160,"出来高"),"")</f>
        <v/>
      </c>
      <c r="K160" s="336" t="str">
        <f>IF(C160&lt;&gt;"",_xll.RssMarket(C160,"年初来高値"),"")</f>
        <v/>
      </c>
      <c r="L160" s="337" t="str">
        <f t="shared" si="44"/>
        <v/>
      </c>
      <c r="M160" s="336">
        <f>IF(C160&lt;&gt;"",IFERROR(AVERAGE(出来高!E185:I185),""),"")</f>
        <v>62440</v>
      </c>
      <c r="N160" s="336">
        <f>IF(C160&lt;&gt;"",IFERROR(AVERAGE(出来高!E185:AC185),""),"")</f>
        <v>70616</v>
      </c>
      <c r="O160" s="338" t="str">
        <f t="shared" si="45"/>
        <v/>
      </c>
      <c r="P160" s="215" t="str">
        <f t="shared" si="46"/>
        <v/>
      </c>
      <c r="Q160" s="215" t="str">
        <f t="shared" si="47"/>
        <v/>
      </c>
      <c r="R160" s="336" t="str">
        <f t="shared" si="48"/>
        <v/>
      </c>
      <c r="S160" s="336" t="str">
        <f t="shared" si="49"/>
        <v/>
      </c>
      <c r="T160" s="328">
        <f t="shared" si="50"/>
        <v>0</v>
      </c>
      <c r="U160" s="215" t="str">
        <f t="shared" si="51"/>
        <v>除外</v>
      </c>
      <c r="V160" s="215" t="str">
        <f t="shared" si="52"/>
        <v/>
      </c>
      <c r="W160" s="339">
        <f t="array" ref="W160">IFERROR(100-100/(1+SUMPRODUCT((終値!F185:R185&gt;終値!G185:S185)*(終値!F185:R185-終値!G185:S185))/SUMPRODUCT((終値!F185:R185&lt;終値!G185:S185)*(終値!G185:S185-終値!F185:R185))),50)</f>
        <v>66.472303206997083</v>
      </c>
      <c r="X160" s="340">
        <f>IF(C160&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13.993251445835085</v>
      </c>
      <c r="Y160" s="215" t="e">
        <f t="shared" si="53"/>
        <v>#VALUE!</v>
      </c>
      <c r="Z160" s="341" t="str">
        <f t="shared" si="54"/>
        <v/>
      </c>
      <c r="AA160" s="215" t="str">
        <f t="shared" si="55"/>
        <v/>
      </c>
      <c r="AB160" s="336">
        <f>IF(OR(C160="",C160="TOPX",終値!E185=""),"",IFERROR(((終値!E185*0.333)+(終値!F185*0.222)+(終値!G185*0.148)+(終値!H185*0.099)+(終値!I185*0.066))/(0.333+0.222+0.148+0.099+0.066),""))</f>
        <v>2317.2453917050689</v>
      </c>
      <c r="AC160" s="336">
        <f>IF(OR(C160="",C160="TOPX",終値!E185=""),"",IFERROR(SUMPRODUCT((終値!E185:AC185),{0.077,0.071,0.065,0.06,0.055,0.051,0.047,0.043,0.039,0.036,0.033,0.031,0.028,0.026,0.024,0.022,0.02,0.018,0.017,0.016,0.014,0.013,0.012,0.011,0.01})/SUM({0.077,0.071,0.065,0.06,0.055,0.051,0.047,0.043,0.039,0.036,0.033,0.031,0.028,0.026,0.024,0.022,0.02,0.018,0.017,0.016,0.014,0.013,0.012,0.011,0.01}),""))</f>
        <v>2283.3897497020248</v>
      </c>
      <c r="AD160" s="215" t="str">
        <f t="shared" si="56"/>
        <v>パーフェクト▲</v>
      </c>
      <c r="AE160" s="215" t="e">
        <f t="shared" si="57"/>
        <v>#VALUE!</v>
      </c>
      <c r="AF160" t="e">
        <f>IF(T160="","",IF(銘柄管理!$F$5="上昇▲",IF(AND(AD160="下降トレンド▼",OR(AE160="25日戻り売り★",AE160="5日戻り売り○")),"★逆張り売り",IF(AND(AD160="もみ合い→",OR(AE160="25日戻り売り★",AE160="5日戻り売り○")),"○逆張り売り",IF(W160&gt;=70,IF(Z160&lt;0,"◎反落確認","△過熱・様子見"),"相場上昇・見送り"))),IF(AND(T160&gt;=12,AD160="下降トレンド▼"),"★強い売り",IF(T160&gt;=12,"★強い売り",IF(AND(T160&gt;=8,OR(AE160="25日戻り売り★",AE160="5日戻り売り○")),"◎戻り売り",IF(T160&gt;=10,"○売り候補",IF(T160&gt;=6,"△注目",IF(T160&gt;=3,"様子見","見送り"))))))))</f>
        <v>#VALUE!</v>
      </c>
      <c r="AG160">
        <f t="shared" si="58"/>
        <v>0</v>
      </c>
      <c r="AH160">
        <f t="shared" si="59"/>
        <v>0</v>
      </c>
      <c r="AI160" s="376">
        <f t="array" ref="AI160">IF(C160="","",IFERROR((INDEX(終値!$E:$E,MATCH(TEXT(C160,"0"),終値!$A:$A,0))-INDEX(終値!$E:$CZ,MATCH(TEXT(C160,"0"),終値!$A:$A,0),$AN$2))/INDEX(終値!$E:$CZ,MATCH(TEXT(C160,"0"),終値!$A:$A,0),$AN$2)*100,""))</f>
        <v>6.232813932172319</v>
      </c>
      <c r="AJ160" s="376">
        <f t="array" ref="AJ160">IFERROR((終値!$E$5-INDEX(終値!$E$5:$CZ$5,1,$AN$2))/INDEX(終値!$E$5:$CZ$5,1,$AN$2)*100,"")</f>
        <v>2.31989243802786</v>
      </c>
      <c r="AK160" s="377">
        <f t="shared" si="60"/>
        <v>3.912921494144459</v>
      </c>
      <c r="AL160" s="375">
        <f t="shared" si="61"/>
        <v>-2</v>
      </c>
      <c r="AO160" s="379" t="e">
        <f t="shared" si="62"/>
        <v>#VALUE!</v>
      </c>
      <c r="AP160" s="380" t="e">
        <f t="shared" si="63"/>
        <v>#VALUE!</v>
      </c>
      <c r="AQ160">
        <f>IF(C160&lt;&gt;"",始値!F185,"")</f>
        <v>2328</v>
      </c>
      <c r="AR160">
        <f>IF(C160&lt;&gt;"",高値!F185,"")</f>
        <v>2335</v>
      </c>
      <c r="AS160">
        <f>IF(C160&lt;&gt;"",安値!F185,"")</f>
        <v>2323</v>
      </c>
      <c r="AT160" t="str">
        <f t="shared" si="64"/>
        <v>通常</v>
      </c>
      <c r="AU160">
        <f t="shared" si="65"/>
        <v>0</v>
      </c>
    </row>
    <row r="161" spans="1:47" ht="14.25" customHeight="1">
      <c r="A161" s="327" t="str">
        <f>IF(銘柄管理!B187&lt;&gt;"",HYPERLINK("https://kabutan.jp/stock/?code="&amp;銘柄管理!B187,"株探"),"")</f>
        <v>株探</v>
      </c>
      <c r="B161" s="328"/>
      <c r="C161" s="477">
        <f>IF(銘柄管理!B187="","",銘柄管理!B187)</f>
        <v>2127</v>
      </c>
      <c r="D161" s="328" t="str">
        <f>IF(銘柄管理!C187="","",銘柄管理!C187)</f>
        <v/>
      </c>
      <c r="E161" s="329" t="str">
        <f>IF(C161&lt;&gt;"",_xll.RssMarket(C161,"現在値"),"")</f>
        <v/>
      </c>
      <c r="F161" s="329" t="str">
        <f>IF(C161&lt;&gt;"",_xll.RssMarket(C161,"始値"),"")</f>
        <v/>
      </c>
      <c r="G161" s="328">
        <f>IF(C161&lt;&gt;"",終値!F187,"")</f>
        <v>678.7</v>
      </c>
      <c r="H161" s="329" t="str">
        <f>IF(C161&lt;&gt;"",_xll.RssMarket(C161,"高値"),"")</f>
        <v/>
      </c>
      <c r="I161" s="329" t="str">
        <f>IF(C161&lt;&gt;"",_xll.RssMarket(C161,"安値"),"")</f>
        <v/>
      </c>
      <c r="J161" s="329" t="str">
        <f>IF(C161&lt;&gt;"",_xll.RssMarket(C161,"出来高"),"")</f>
        <v/>
      </c>
      <c r="K161" s="329" t="str">
        <f>IF(C161&lt;&gt;"",_xll.RssMarket(C161,"年初来高値"),"")</f>
        <v/>
      </c>
      <c r="L161" s="330" t="str">
        <f t="shared" si="44"/>
        <v/>
      </c>
      <c r="M161" s="329">
        <f>IF(C161&lt;&gt;"",IFERROR(AVERAGE(出来高!E187:I187),""),"")</f>
        <v>1051980</v>
      </c>
      <c r="N161" s="329">
        <f>IF(C161&lt;&gt;"",IFERROR(AVERAGE(出来高!E187:AC187),""),"")</f>
        <v>1597452</v>
      </c>
      <c r="O161" s="331" t="str">
        <f t="shared" si="45"/>
        <v/>
      </c>
      <c r="P161" s="328" t="str">
        <f t="shared" si="46"/>
        <v/>
      </c>
      <c r="Q161" s="328" t="str">
        <f t="shared" si="47"/>
        <v/>
      </c>
      <c r="R161" s="329" t="str">
        <f t="shared" si="48"/>
        <v/>
      </c>
      <c r="S161" s="329" t="str">
        <f t="shared" si="49"/>
        <v/>
      </c>
      <c r="T161" s="328">
        <f t="shared" si="50"/>
        <v>0</v>
      </c>
      <c r="U161" s="328" t="str">
        <f t="shared" si="51"/>
        <v>除外</v>
      </c>
      <c r="V161" s="328" t="str">
        <f t="shared" si="52"/>
        <v/>
      </c>
      <c r="W161" s="332">
        <f t="array" ref="W161">IFERROR(100-100/(1+SUMPRODUCT((終値!F187:R187&gt;終値!G187:S187)*(終値!F187:R187-終値!G187:S187))/SUMPRODUCT((終値!F187:R187&lt;終値!G187:S187)*(終値!G187:S187-終値!F187:R187))),50)</f>
        <v>81.228668941979549</v>
      </c>
      <c r="X161" s="333">
        <f>IF(C161&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6.568566584009659</v>
      </c>
      <c r="Y161" s="328" t="e">
        <f t="shared" si="53"/>
        <v>#VALUE!</v>
      </c>
      <c r="Z161" s="334" t="str">
        <f t="shared" si="54"/>
        <v/>
      </c>
      <c r="AA161" s="328" t="str">
        <f t="shared" si="55"/>
        <v/>
      </c>
      <c r="AB161" s="329">
        <f>IF(OR(C161="",C161="TOPX",終値!E187=""),"",IFERROR(((終値!E187*0.333)+(終値!F187*0.222)+(終値!G187*0.148)+(終値!H187*0.099)+(終値!I187*0.066))/(0.333+0.222+0.148+0.099+0.066),""))</f>
        <v>675.34101382488473</v>
      </c>
      <c r="AC161" s="329">
        <f>IF(OR(C161="",C161="TOPX",終値!E187=""),"",IFERROR(SUMPRODUCT((終値!E187:AC187),{0.077,0.071,0.065,0.06,0.055,0.051,0.047,0.043,0.039,0.036,0.033,0.031,0.028,0.026,0.024,0.022,0.02,0.018,0.017,0.016,0.014,0.013,0.012,0.011,0.01})/SUM({0.077,0.071,0.065,0.06,0.055,0.051,0.047,0.043,0.039,0.036,0.033,0.031,0.028,0.026,0.024,0.022,0.02,0.018,0.017,0.016,0.014,0.013,0.012,0.011,0.01}),""))</f>
        <v>659.56150178784253</v>
      </c>
      <c r="AD161" s="328" t="str">
        <f t="shared" si="56"/>
        <v>パーフェクト▲</v>
      </c>
      <c r="AE161" s="328" t="e">
        <f t="shared" si="57"/>
        <v>#VALUE!</v>
      </c>
      <c r="AF161" t="e">
        <f>IF(T161="","",IF(銘柄管理!$F$5="上昇▲",IF(AND(AD161="下降トレンド▼",OR(AE161="25日戻り売り★",AE161="5日戻り売り○")),"★逆張り売り",IF(AND(AD161="もみ合い→",OR(AE161="25日戻り売り★",AE161="5日戻り売り○")),"○逆張り売り",IF(W161&gt;=70,IF(Z161&lt;0,"◎反落確認","△過熱・様子見"),"相場上昇・見送り"))),IF(AND(T161&gt;=12,AD161="下降トレンド▼"),"★強い売り",IF(T161&gt;=12,"★強い売り",IF(AND(T161&gt;=8,OR(AE161="25日戻り売り★",AE161="5日戻り売り○")),"◎戻り売り",IF(T161&gt;=10,"○売り候補",IF(T161&gt;=6,"△注目",IF(T161&gt;=3,"様子見","見送り"))))))))</f>
        <v>#VALUE!</v>
      </c>
      <c r="AG161">
        <f t="shared" si="58"/>
        <v>0</v>
      </c>
      <c r="AH161">
        <f t="shared" si="59"/>
        <v>0</v>
      </c>
      <c r="AI161" s="376">
        <f t="array" ref="AI161">IF(C161="","",IFERROR((INDEX(終値!$E:$E,MATCH(TEXT(C161,"0"),終値!$A:$A,0))-INDEX(終値!$E:$CZ,MATCH(TEXT(C161,"0"),終値!$A:$A,0),$AN$2))/INDEX(終値!$E:$CZ,MATCH(TEXT(C161,"0"),終値!$A:$A,0),$AN$2)*100,""))</f>
        <v>6.2095117712118935</v>
      </c>
      <c r="AJ161" s="376">
        <f t="array" ref="AJ161">IFERROR((終値!$E$5-INDEX(終値!$E$5:$CZ$5,1,$AN$2))/INDEX(終値!$E$5:$CZ$5,1,$AN$2)*100,"")</f>
        <v>2.31989243802786</v>
      </c>
      <c r="AK161" s="377">
        <f t="shared" si="60"/>
        <v>3.8896193331840334</v>
      </c>
      <c r="AL161" s="375">
        <f t="shared" si="61"/>
        <v>-2</v>
      </c>
      <c r="AO161" s="379" t="e">
        <f t="shared" si="62"/>
        <v>#VALUE!</v>
      </c>
      <c r="AP161" s="380" t="e">
        <f t="shared" si="63"/>
        <v>#VALUE!</v>
      </c>
      <c r="AQ161">
        <f>IF(C161&lt;&gt;"",始値!F187,"")</f>
        <v>681.3</v>
      </c>
      <c r="AR161">
        <f>IF(C161&lt;&gt;"",高値!F187,"")</f>
        <v>683.9</v>
      </c>
      <c r="AS161">
        <f>IF(C161&lt;&gt;"",安値!F187,"")</f>
        <v>673.3</v>
      </c>
      <c r="AT161" t="str">
        <f t="shared" si="64"/>
        <v>通常</v>
      </c>
      <c r="AU161">
        <f t="shared" si="65"/>
        <v>0</v>
      </c>
    </row>
    <row r="162" spans="1:47" ht="14.25" customHeight="1">
      <c r="A162" s="335" t="str">
        <f>IF(銘柄管理!B188&lt;&gt;"",HYPERLINK("https://kabutan.jp/stock/?code="&amp;銘柄管理!B188,"株探"),"")</f>
        <v>株探</v>
      </c>
      <c r="B162" s="215"/>
      <c r="C162" s="478">
        <f>IF(銘柄管理!B188="","",銘柄管理!B188)</f>
        <v>6753</v>
      </c>
      <c r="D162" s="215" t="str">
        <f>IF(銘柄管理!C188="","",銘柄管理!C188)</f>
        <v/>
      </c>
      <c r="E162" s="336" t="str">
        <f>IF(C162&lt;&gt;"",_xll.RssMarket(C162,"現在値"),"")</f>
        <v/>
      </c>
      <c r="F162" s="336" t="str">
        <f>IF(C162&lt;&gt;"",_xll.RssMarket(C162,"始値"),"")</f>
        <v/>
      </c>
      <c r="G162" s="215">
        <f>IF(C162&lt;&gt;"",終値!F188,"")</f>
        <v>637</v>
      </c>
      <c r="H162" s="336" t="str">
        <f>IF(C162&lt;&gt;"",_xll.RssMarket(C162,"高値"),"")</f>
        <v/>
      </c>
      <c r="I162" s="336" t="str">
        <f>IF(C162&lt;&gt;"",_xll.RssMarket(C162,"安値"),"")</f>
        <v/>
      </c>
      <c r="J162" s="336" t="str">
        <f>IF(C162&lt;&gt;"",_xll.RssMarket(C162,"出来高"),"")</f>
        <v/>
      </c>
      <c r="K162" s="336" t="str">
        <f>IF(C162&lt;&gt;"",_xll.RssMarket(C162,"年初来高値"),"")</f>
        <v/>
      </c>
      <c r="L162" s="337" t="str">
        <f t="shared" si="44"/>
        <v/>
      </c>
      <c r="M162" s="336">
        <f>IF(C162&lt;&gt;"",IFERROR(AVERAGE(出来高!E188:I188),""),"")</f>
        <v>2752540</v>
      </c>
      <c r="N162" s="336">
        <f>IF(C162&lt;&gt;"",IFERROR(AVERAGE(出来高!E188:AC188),""),"")</f>
        <v>4357312</v>
      </c>
      <c r="O162" s="338" t="str">
        <f t="shared" si="45"/>
        <v/>
      </c>
      <c r="P162" s="215" t="str">
        <f t="shared" si="46"/>
        <v/>
      </c>
      <c r="Q162" s="215" t="str">
        <f t="shared" si="47"/>
        <v/>
      </c>
      <c r="R162" s="336" t="str">
        <f t="shared" si="48"/>
        <v/>
      </c>
      <c r="S162" s="336" t="str">
        <f t="shared" si="49"/>
        <v/>
      </c>
      <c r="T162" s="328">
        <f t="shared" si="50"/>
        <v>0</v>
      </c>
      <c r="U162" s="215" t="str">
        <f t="shared" si="51"/>
        <v>除外</v>
      </c>
      <c r="V162" s="215" t="str">
        <f t="shared" si="52"/>
        <v/>
      </c>
      <c r="W162" s="339">
        <f t="array" ref="W162">IFERROR(100-100/(1+SUMPRODUCT((終値!F188:R188&gt;終値!G188:S188)*(終値!F188:R188-終値!G188:S188))/SUMPRODUCT((終値!F188:R188&lt;終値!G188:S188)*(終値!G188:S188-終値!F188:R188))),50)</f>
        <v>65.92920353982305</v>
      </c>
      <c r="X162" s="340">
        <f>IF(C162&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4.2604318995061021</v>
      </c>
      <c r="Y162" s="215" t="e">
        <f t="shared" si="53"/>
        <v>#VALUE!</v>
      </c>
      <c r="Z162" s="341" t="str">
        <f t="shared" si="54"/>
        <v/>
      </c>
      <c r="AA162" s="215" t="str">
        <f t="shared" si="55"/>
        <v/>
      </c>
      <c r="AB162" s="336">
        <f>IF(OR(C162="",C162="TOPX",終値!E188=""),"",IFERROR(((終値!E188*0.333)+(終値!F188*0.222)+(終値!G188*0.148)+(終値!H188*0.099)+(終値!I188*0.066))/(0.333+0.222+0.148+0.099+0.066),""))</f>
        <v>635.54758064516113</v>
      </c>
      <c r="AC162" s="336">
        <f>IF(OR(C162="",C162="TOPX",終値!E188=""),"",IFERROR(SUMPRODUCT((終値!E188:AC188),{0.077,0.071,0.065,0.06,0.055,0.051,0.047,0.043,0.039,0.036,0.033,0.031,0.028,0.026,0.024,0.022,0.02,0.018,0.017,0.016,0.014,0.013,0.012,0.011,0.01})/SUM({0.077,0.071,0.065,0.06,0.055,0.051,0.047,0.043,0.039,0.036,0.033,0.031,0.028,0.026,0.024,0.022,0.02,0.018,0.017,0.016,0.014,0.013,0.012,0.011,0.01}),""))</f>
        <v>632.37461263408773</v>
      </c>
      <c r="AD162" s="215" t="str">
        <f t="shared" si="56"/>
        <v>パーフェクト▲</v>
      </c>
      <c r="AE162" s="215" t="e">
        <f t="shared" si="57"/>
        <v>#VALUE!</v>
      </c>
      <c r="AF162" t="e">
        <f>IF(T162="","",IF(銘柄管理!$F$5="上昇▲",IF(AND(AD162="下降トレンド▼",OR(AE162="25日戻り売り★",AE162="5日戻り売り○")),"★逆張り売り",IF(AND(AD162="もみ合い→",OR(AE162="25日戻り売り★",AE162="5日戻り売り○")),"○逆張り売り",IF(W162&gt;=70,IF(Z162&lt;0,"◎反落確認","△過熱・様子見"),"相場上昇・見送り"))),IF(AND(T162&gt;=12,AD162="下降トレンド▼"),"★強い売り",IF(T162&gt;=12,"★強い売り",IF(AND(T162&gt;=8,OR(AE162="25日戻り売り★",AE162="5日戻り売り○")),"◎戻り売り",IF(T162&gt;=10,"○売り候補",IF(T162&gt;=6,"△注目",IF(T162&gt;=3,"様子見","見送り"))))))))</f>
        <v>#VALUE!</v>
      </c>
      <c r="AG162">
        <f t="shared" si="58"/>
        <v>0</v>
      </c>
      <c r="AH162">
        <f t="shared" si="59"/>
        <v>0</v>
      </c>
      <c r="AI162" s="376">
        <f t="array" ref="AI162">IF(C162="","",IFERROR((INDEX(終値!$E:$E,MATCH(TEXT(C162,"0"),終値!$A:$A,0))-INDEX(終値!$E:$CZ,MATCH(TEXT(C162,"0"),終値!$A:$A,0),$AN$2))/INDEX(終値!$E:$CZ,MATCH(TEXT(C162,"0"),終値!$A:$A,0),$AN$2)*100,""))</f>
        <v>-4.5496043822276464</v>
      </c>
      <c r="AJ162" s="376">
        <f t="array" ref="AJ162">IFERROR((終値!$E$5-INDEX(終値!$E$5:$CZ$5,1,$AN$2))/INDEX(終値!$E$5:$CZ$5,1,$AN$2)*100,"")</f>
        <v>2.31989243802786</v>
      </c>
      <c r="AK162" s="377">
        <f t="shared" si="60"/>
        <v>-6.869496820255506</v>
      </c>
      <c r="AL162" s="375">
        <f t="shared" si="61"/>
        <v>3</v>
      </c>
      <c r="AO162" s="379" t="e">
        <f t="shared" si="62"/>
        <v>#VALUE!</v>
      </c>
      <c r="AP162" s="380" t="e">
        <f t="shared" si="63"/>
        <v>#VALUE!</v>
      </c>
      <c r="AQ162">
        <f>IF(C162&lt;&gt;"",始値!F188,"")</f>
        <v>653.1</v>
      </c>
      <c r="AR162">
        <f>IF(C162&lt;&gt;"",高値!F188,"")</f>
        <v>656.5</v>
      </c>
      <c r="AS162">
        <f>IF(C162&lt;&gt;"",安値!F188,"")</f>
        <v>634.5</v>
      </c>
      <c r="AT162" t="str">
        <f t="shared" si="64"/>
        <v>大陰線▼</v>
      </c>
      <c r="AU162">
        <f t="shared" si="65"/>
        <v>2</v>
      </c>
    </row>
    <row r="163" spans="1:47" ht="14.25" customHeight="1">
      <c r="A163" s="327" t="str">
        <f>IF(銘柄管理!B189&lt;&gt;"",HYPERLINK("https://kabutan.jp/stock/?code="&amp;銘柄管理!B189,"株探"),"")</f>
        <v>株探</v>
      </c>
      <c r="B163" s="328"/>
      <c r="C163" s="477" t="str">
        <f>IF(銘柄管理!B189="","",銘柄管理!B189)</f>
        <v>9064</v>
      </c>
      <c r="D163" s="328" t="str">
        <f>IF(銘柄管理!C189="","",銘柄管理!C189)</f>
        <v/>
      </c>
      <c r="E163" s="329" t="str">
        <f>IF(C163&lt;&gt;"",_xll.RssMarket(C163,"現在値"),"")</f>
        <v/>
      </c>
      <c r="F163" s="329" t="str">
        <f>IF(C163&lt;&gt;"",_xll.RssMarket(C163,"始値"),"")</f>
        <v/>
      </c>
      <c r="G163" s="328">
        <f>IF(C163&lt;&gt;"",終値!F189,"")</f>
        <v>1970.5</v>
      </c>
      <c r="H163" s="329" t="str">
        <f>IF(C163&lt;&gt;"",_xll.RssMarket(C163,"高値"),"")</f>
        <v/>
      </c>
      <c r="I163" s="329" t="str">
        <f>IF(C163&lt;&gt;"",_xll.RssMarket(C163,"安値"),"")</f>
        <v/>
      </c>
      <c r="J163" s="329" t="str">
        <f>IF(C163&lt;&gt;"",_xll.RssMarket(C163,"出来高"),"")</f>
        <v/>
      </c>
      <c r="K163" s="329" t="str">
        <f>IF(C163&lt;&gt;"",_xll.RssMarket(C163,"年初来高値"),"")</f>
        <v/>
      </c>
      <c r="L163" s="330" t="str">
        <f t="shared" si="44"/>
        <v/>
      </c>
      <c r="M163" s="329">
        <f>IF(C163&lt;&gt;"",IFERROR(AVERAGE(出来高!E189:I189),""),"")</f>
        <v>1018300</v>
      </c>
      <c r="N163" s="329">
        <f>IF(C163&lt;&gt;"",IFERROR(AVERAGE(出来高!E189:AC189),""),"")</f>
        <v>1221220</v>
      </c>
      <c r="O163" s="331" t="str">
        <f t="shared" si="45"/>
        <v/>
      </c>
      <c r="P163" s="328" t="str">
        <f t="shared" si="46"/>
        <v/>
      </c>
      <c r="Q163" s="328" t="str">
        <f t="shared" si="47"/>
        <v/>
      </c>
      <c r="R163" s="329" t="str">
        <f t="shared" si="48"/>
        <v/>
      </c>
      <c r="S163" s="329" t="str">
        <f t="shared" si="49"/>
        <v/>
      </c>
      <c r="T163" s="328">
        <f t="shared" si="50"/>
        <v>0</v>
      </c>
      <c r="U163" s="328" t="str">
        <f t="shared" si="51"/>
        <v>除外</v>
      </c>
      <c r="V163" s="328" t="str">
        <f t="shared" si="52"/>
        <v/>
      </c>
      <c r="W163" s="332">
        <f t="array" ref="W163">IFERROR(100-100/(1+SUMPRODUCT((終値!F189:R189&gt;終値!G189:S189)*(終値!F189:R189-終値!G189:S189))/SUMPRODUCT((終値!F189:R189&lt;終値!G189:S189)*(終値!G189:S189-終値!F189:R189))),50)</f>
        <v>75.27910685805422</v>
      </c>
      <c r="X163" s="333">
        <f>IF(C163&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26.492794709420423</v>
      </c>
      <c r="Y163" s="328" t="e">
        <f t="shared" si="53"/>
        <v>#VALUE!</v>
      </c>
      <c r="Z163" s="334" t="str">
        <f t="shared" si="54"/>
        <v/>
      </c>
      <c r="AA163" s="328" t="str">
        <f t="shared" si="55"/>
        <v/>
      </c>
      <c r="AB163" s="329">
        <f>IF(OR(C163="",C163="TOPX",終値!E189=""),"",IFERROR(((終値!E189*0.333)+(終値!F189*0.222)+(終値!G189*0.148)+(終値!H189*0.099)+(終値!I189*0.066))/(0.333+0.222+0.148+0.099+0.066),""))</f>
        <v>1975.3991935483868</v>
      </c>
      <c r="AC163" s="329">
        <f>IF(OR(C163="",C163="TOPX",終値!E189=""),"",IFERROR(SUMPRODUCT((終値!E189:AC189),{0.077,0.071,0.065,0.06,0.055,0.051,0.047,0.043,0.039,0.036,0.033,0.031,0.028,0.026,0.024,0.022,0.02,0.018,0.017,0.016,0.014,0.013,0.012,0.011,0.01})/SUM({0.077,0.071,0.065,0.06,0.055,0.051,0.047,0.043,0.039,0.036,0.033,0.031,0.028,0.026,0.024,0.022,0.02,0.018,0.017,0.016,0.014,0.013,0.012,0.011,0.01}),""))</f>
        <v>1906.2628128724666</v>
      </c>
      <c r="AD163" s="328" t="str">
        <f t="shared" si="56"/>
        <v>パーフェクト▲</v>
      </c>
      <c r="AE163" s="328" t="e">
        <f t="shared" si="57"/>
        <v>#VALUE!</v>
      </c>
      <c r="AF163" t="e">
        <f>IF(T163="","",IF(銘柄管理!$F$5="上昇▲",IF(AND(AD163="下降トレンド▼",OR(AE163="25日戻り売り★",AE163="5日戻り売り○")),"★逆張り売り",IF(AND(AD163="もみ合い→",OR(AE163="25日戻り売り★",AE163="5日戻り売り○")),"○逆張り売り",IF(W163&gt;=70,IF(Z163&lt;0,"◎反落確認","△過熱・様子見"),"相場上昇・見送り"))),IF(AND(T163&gt;=12,AD163="下降トレンド▼"),"★強い売り",IF(T163&gt;=12,"★強い売り",IF(AND(T163&gt;=8,OR(AE163="25日戻り売り★",AE163="5日戻り売り○")),"◎戻り売り",IF(T163&gt;=10,"○売り候補",IF(T163&gt;=6,"△注目",IF(T163&gt;=3,"様子見","見送り"))))))))</f>
        <v>#VALUE!</v>
      </c>
      <c r="AG163">
        <f t="shared" si="58"/>
        <v>0</v>
      </c>
      <c r="AH163">
        <f t="shared" si="59"/>
        <v>0</v>
      </c>
      <c r="AI163" s="376">
        <f t="array" ref="AI163">IF(C163="","",IFERROR((INDEX(終値!$E:$E,MATCH(TEXT(C163,"0"),終値!$A:$A,0))-INDEX(終値!$E:$CZ,MATCH(TEXT(C163,"0"),終値!$A:$A,0),$AN$2))/INDEX(終値!$E:$CZ,MATCH(TEXT(C163,"0"),終値!$A:$A,0),$AN$2)*100,""))</f>
        <v>11.743375174337517</v>
      </c>
      <c r="AJ163" s="376">
        <f t="array" ref="AJ163">IFERROR((終値!$E$5-INDEX(終値!$E$5:$CZ$5,1,$AN$2))/INDEX(終値!$E$5:$CZ$5,1,$AN$2)*100,"")</f>
        <v>2.31989243802786</v>
      </c>
      <c r="AK163" s="377">
        <f t="shared" si="60"/>
        <v>9.4234827363096567</v>
      </c>
      <c r="AL163" s="375">
        <f t="shared" si="61"/>
        <v>-2</v>
      </c>
      <c r="AO163" s="379" t="e">
        <f t="shared" si="62"/>
        <v>#VALUE!</v>
      </c>
      <c r="AP163" s="380" t="e">
        <f t="shared" si="63"/>
        <v>#VALUE!</v>
      </c>
      <c r="AQ163">
        <f>IF(C163&lt;&gt;"",始値!F189,"")</f>
        <v>1979.5</v>
      </c>
      <c r="AR163">
        <f>IF(C163&lt;&gt;"",高値!F189,"")</f>
        <v>1979.5</v>
      </c>
      <c r="AS163">
        <f>IF(C163&lt;&gt;"",安値!F189,"")</f>
        <v>1958</v>
      </c>
      <c r="AT163" t="str">
        <f t="shared" si="64"/>
        <v>長い下ヒゲ(反発)</v>
      </c>
      <c r="AU163">
        <f t="shared" si="65"/>
        <v>-2</v>
      </c>
    </row>
    <row r="164" spans="1:47" ht="14.25" customHeight="1">
      <c r="A164" s="335" t="str">
        <f>IF(銘柄管理!B206&lt;&gt;"",HYPERLINK("https://kabutan.jp/stock/?code="&amp;銘柄管理!B206,"株探"),"")</f>
        <v>株探</v>
      </c>
      <c r="B164" s="215"/>
      <c r="C164" s="478">
        <f>IF(銘柄管理!B206="","",銘柄管理!B206)</f>
        <v>9101</v>
      </c>
      <c r="D164" s="215" t="str">
        <f>IF(銘柄管理!C206="","",銘柄管理!C206)</f>
        <v/>
      </c>
      <c r="E164" s="336" t="str">
        <f>IF(C164&lt;&gt;"",_xll.RssMarket(C164,"現在値"),"")</f>
        <v/>
      </c>
      <c r="F164" s="336" t="str">
        <f>IF(C164&lt;&gt;"",_xll.RssMarket(C164,"始値"),"")</f>
        <v/>
      </c>
      <c r="G164" s="215">
        <f>IF(C164&lt;&gt;"",終値!F206,"")</f>
        <v>5614</v>
      </c>
      <c r="H164" s="336" t="str">
        <f>IF(C164&lt;&gt;"",_xll.RssMarket(C164,"高値"),"")</f>
        <v/>
      </c>
      <c r="I164" s="336" t="str">
        <f>IF(C164&lt;&gt;"",_xll.RssMarket(C164,"安値"),"")</f>
        <v/>
      </c>
      <c r="J164" s="336" t="str">
        <f>IF(C164&lt;&gt;"",_xll.RssMarket(C164,"出来高"),"")</f>
        <v/>
      </c>
      <c r="K164" s="336" t="str">
        <f>IF(C164&lt;&gt;"",_xll.RssMarket(C164,"年初来高値"),"")</f>
        <v/>
      </c>
      <c r="L164" s="337" t="str">
        <f t="shared" si="44"/>
        <v/>
      </c>
      <c r="M164" s="336">
        <f>IF(C164&lt;&gt;"",IFERROR(AVERAGE(出来高!E206:I206),""),"")</f>
        <v>2746360</v>
      </c>
      <c r="N164" s="336">
        <f>IF(C164&lt;&gt;"",IFERROR(AVERAGE(出来高!E206:AC206),""),"")</f>
        <v>2870928</v>
      </c>
      <c r="O164" s="338" t="str">
        <f t="shared" si="45"/>
        <v/>
      </c>
      <c r="P164" s="215" t="str">
        <f t="shared" si="46"/>
        <v/>
      </c>
      <c r="Q164" s="215" t="str">
        <f t="shared" si="47"/>
        <v/>
      </c>
      <c r="R164" s="336" t="str">
        <f t="shared" si="48"/>
        <v/>
      </c>
      <c r="S164" s="336" t="str">
        <f t="shared" si="49"/>
        <v/>
      </c>
      <c r="T164" s="328">
        <f t="shared" si="50"/>
        <v>0</v>
      </c>
      <c r="U164" s="215" t="str">
        <f t="shared" si="51"/>
        <v>除外</v>
      </c>
      <c r="V164" s="215" t="str">
        <f t="shared" si="52"/>
        <v/>
      </c>
      <c r="W164" s="339">
        <f t="array" ref="W164">IFERROR(100-100/(1+SUMPRODUCT((終値!F206:R206&gt;終値!G206:S206)*(終値!F206:R206-終値!G206:S206))/SUMPRODUCT((終値!F206:R206&lt;終値!G206:S206)*(終値!G206:S206-終値!F206:R206))),50)</f>
        <v>66.194523135033052</v>
      </c>
      <c r="X164" s="340">
        <f>IF(C164&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24.280091864721726</v>
      </c>
      <c r="Y164" s="215" t="e">
        <f t="shared" si="53"/>
        <v>#VALUE!</v>
      </c>
      <c r="Z164" s="341" t="str">
        <f t="shared" si="54"/>
        <v/>
      </c>
      <c r="AA164" s="215" t="str">
        <f t="shared" si="55"/>
        <v/>
      </c>
      <c r="AB164" s="336">
        <f>IF(OR(C164="",C164="TOPX",終値!E206=""),"",IFERROR(((終値!E206*0.333)+(終値!F206*0.222)+(終値!G206*0.148)+(終値!H206*0.099)+(終値!I206*0.066))/(0.333+0.222+0.148+0.099+0.066),""))</f>
        <v>5572.2937788018426</v>
      </c>
      <c r="AC164" s="336">
        <f>IF(OR(C164="",C164="TOPX",終値!E206=""),"",IFERROR(SUMPRODUCT((終値!E206:AC206),{0.077,0.071,0.065,0.06,0.055,0.051,0.047,0.043,0.039,0.036,0.033,0.031,0.028,0.026,0.024,0.022,0.02,0.018,0.017,0.016,0.014,0.013,0.012,0.011,0.01})/SUM({0.077,0.071,0.065,0.06,0.055,0.051,0.047,0.043,0.039,0.036,0.033,0.031,0.028,0.026,0.024,0.022,0.02,0.018,0.017,0.016,0.014,0.013,0.012,0.011,0.01}),""))</f>
        <v>5385.2562574493422</v>
      </c>
      <c r="AD164" s="215" t="str">
        <f t="shared" si="56"/>
        <v>パーフェクト▲</v>
      </c>
      <c r="AE164" s="215" t="e">
        <f t="shared" si="57"/>
        <v>#VALUE!</v>
      </c>
      <c r="AF164" t="e">
        <f>IF(T164="","",IF(銘柄管理!$F$5="上昇▲",IF(AND(AD164="下降トレンド▼",OR(AE164="25日戻り売り★",AE164="5日戻り売り○")),"★逆張り売り",IF(AND(AD164="もみ合い→",OR(AE164="25日戻り売り★",AE164="5日戻り売り○")),"○逆張り売り",IF(W164&gt;=70,IF(Z164&lt;0,"◎反落確認","△過熱・様子見"),"相場上昇・見送り"))),IF(AND(T164&gt;=12,AD164="下降トレンド▼"),"★強い売り",IF(T164&gt;=12,"★強い売り",IF(AND(T164&gt;=8,OR(AE164="25日戻り売り★",AE164="5日戻り売り○")),"◎戻り売り",IF(T164&gt;=10,"○売り候補",IF(T164&gt;=6,"△注目",IF(T164&gt;=3,"様子見","見送り"))))))))</f>
        <v>#VALUE!</v>
      </c>
      <c r="AG164">
        <f t="shared" si="58"/>
        <v>0</v>
      </c>
      <c r="AH164">
        <f t="shared" si="59"/>
        <v>0</v>
      </c>
      <c r="AI164" s="376">
        <f t="array" ref="AI164">IF(C164="","",IFERROR((INDEX(終値!$E:$E,MATCH(TEXT(C164,"0"),終値!$A:$A,0))-INDEX(終値!$E:$CZ,MATCH(TEXT(C164,"0"),終値!$A:$A,0),$AN$2))/INDEX(終値!$E:$CZ,MATCH(TEXT(C164,"0"),終値!$A:$A,0),$AN$2)*100,""))</f>
        <v>1.0626992561105209</v>
      </c>
      <c r="AJ164" s="376">
        <f t="array" ref="AJ164">IFERROR((終値!$E$5-INDEX(終値!$E$5:$CZ$5,1,$AN$2))/INDEX(終値!$E$5:$CZ$5,1,$AN$2)*100,"")</f>
        <v>2.31989243802786</v>
      </c>
      <c r="AK164" s="377">
        <f t="shared" si="60"/>
        <v>-1.2571931819173392</v>
      </c>
      <c r="AL164" s="375">
        <f t="shared" si="61"/>
        <v>1</v>
      </c>
      <c r="AO164" s="379" t="e">
        <f t="shared" si="62"/>
        <v>#VALUE!</v>
      </c>
      <c r="AP164" s="380" t="e">
        <f t="shared" si="63"/>
        <v>#VALUE!</v>
      </c>
      <c r="AQ164">
        <f>IF(C164&lt;&gt;"",始値!F206,"")</f>
        <v>5520</v>
      </c>
      <c r="AR164">
        <f>IF(C164&lt;&gt;"",高値!F206,"")</f>
        <v>5614</v>
      </c>
      <c r="AS164">
        <f>IF(C164&lt;&gt;"",安値!F206,"")</f>
        <v>5480</v>
      </c>
      <c r="AT164" t="str">
        <f t="shared" si="64"/>
        <v>通常</v>
      </c>
      <c r="AU164">
        <f t="shared" si="65"/>
        <v>0</v>
      </c>
    </row>
    <row r="165" spans="1:47" ht="14.25" customHeight="1">
      <c r="A165" s="327" t="str">
        <f>IF(銘柄管理!B7&lt;&gt;"",HYPERLINK("https://kabutan.jp/stock/?code="&amp;銘柄管理!B7,"株探"),"")</f>
        <v>株探</v>
      </c>
      <c r="B165" s="328"/>
      <c r="C165" s="477">
        <f>IF(銘柄管理!B7="","",銘柄管理!B7)</f>
        <v>5423</v>
      </c>
      <c r="D165" s="328" t="str">
        <f>IF(銘柄管理!C7="","",銘柄管理!C7)</f>
        <v/>
      </c>
      <c r="E165" s="329" t="str">
        <f>IF(C165&lt;&gt;"",_xll.RssMarket(C165,"現在値"),"")</f>
        <v/>
      </c>
      <c r="F165" s="329" t="str">
        <f>IF(C165&lt;&gt;"",_xll.RssMarket(C165,"始値"),"")</f>
        <v/>
      </c>
      <c r="G165" s="328">
        <f>IF(C165&lt;&gt;"",終値!F7,"")</f>
        <v>1767</v>
      </c>
      <c r="H165" s="329" t="str">
        <f>IF(C165&lt;&gt;"",_xll.RssMarket(C165,"高値"),"")</f>
        <v/>
      </c>
      <c r="I165" s="329" t="str">
        <f>IF(C165&lt;&gt;"",_xll.RssMarket(C165,"安値"),"")</f>
        <v/>
      </c>
      <c r="J165" s="329" t="str">
        <f>IF(C165&lt;&gt;"",_xll.RssMarket(C165,"出来高"),"")</f>
        <v/>
      </c>
      <c r="K165" s="329" t="str">
        <f>IF(C165&lt;&gt;"",_xll.RssMarket(C165,"年初来高値"),"")</f>
        <v/>
      </c>
      <c r="L165" s="330" t="str">
        <f t="shared" si="44"/>
        <v/>
      </c>
      <c r="M165" s="329">
        <f>IF(C165&lt;&gt;"",IFERROR(AVERAGE(出来高!E7:I7),""),"")</f>
        <v>531120</v>
      </c>
      <c r="N165" s="329">
        <f>IF(C165&lt;&gt;"",IFERROR(AVERAGE(出来高!E7:AC7),""),"")</f>
        <v>330472</v>
      </c>
      <c r="O165" s="331" t="str">
        <f t="shared" si="45"/>
        <v/>
      </c>
      <c r="P165" s="328" t="str">
        <f t="shared" si="46"/>
        <v/>
      </c>
      <c r="Q165" s="328" t="str">
        <f t="shared" si="47"/>
        <v/>
      </c>
      <c r="R165" s="329" t="str">
        <f t="shared" si="48"/>
        <v/>
      </c>
      <c r="S165" s="329" t="str">
        <f t="shared" si="49"/>
        <v/>
      </c>
      <c r="T165" s="328">
        <f t="shared" si="50"/>
        <v>0</v>
      </c>
      <c r="U165" s="328" t="str">
        <f t="shared" si="51"/>
        <v>除外</v>
      </c>
      <c r="V165" s="328" t="str">
        <f t="shared" si="52"/>
        <v/>
      </c>
      <c r="W165" s="332">
        <f t="array" ref="W165">IFERROR(100-100/(1+SUMPRODUCT((終値!F7:R7&gt;終値!G7:S7)*(終値!F7:R7-終値!G7:S7))/SUMPRODUCT((終値!F7:R7&lt;終値!G7:S7)*(終値!G7:S7-終値!F7:R7))),50)</f>
        <v>76.646706586826355</v>
      </c>
      <c r="X165" s="333">
        <f>IF(C165&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4.5107487292982569</v>
      </c>
      <c r="Y165" s="328" t="e">
        <f t="shared" si="53"/>
        <v>#VALUE!</v>
      </c>
      <c r="Z165" s="334" t="str">
        <f t="shared" si="54"/>
        <v/>
      </c>
      <c r="AA165" s="328" t="str">
        <f t="shared" si="55"/>
        <v/>
      </c>
      <c r="AB165" s="329">
        <f>IF(OR(C165="",C165="TOPX",終値!E7=""),"",IFERROR(((終値!E7*0.333)+(終値!F7*0.222)+(終値!G7*0.148)+(終値!H7*0.099)+(終値!I7*0.066))/(0.333+0.222+0.148+0.099+0.066),""))</f>
        <v>1750.5506912442395</v>
      </c>
      <c r="AC165" s="329">
        <f>IF(OR(C165="",C165="TOPX",終値!E7=""),"",IFERROR(SUMPRODUCT((終値!E7:AC7),{0.077,0.071,0.065,0.06,0.055,0.051,0.047,0.043,0.039,0.036,0.033,0.031,0.028,0.026,0.024,0.022,0.02,0.018,0.017,0.016,0.014,0.013,0.012,0.011,0.01})/SUM({0.077,0.071,0.065,0.06,0.055,0.051,0.047,0.043,0.039,0.036,0.033,0.031,0.028,0.026,0.024,0.022,0.02,0.018,0.017,0.016,0.014,0.013,0.012,0.011,0.01}),""))</f>
        <v>1731.6817640047666</v>
      </c>
      <c r="AD165" s="328" t="str">
        <f t="shared" si="56"/>
        <v>パーフェクト▲</v>
      </c>
      <c r="AE165" s="328" t="e">
        <f t="shared" si="57"/>
        <v>#VALUE!</v>
      </c>
      <c r="AF165" t="e">
        <f>IF(T165="","",IF(銘柄管理!$F$5="上昇▲",IF(AND(AD165="下降トレンド▼",OR(AE165="25日戻り売り★",AE165="5日戻り売り○")),"★逆張り売り",IF(AND(AD165="もみ合い→",OR(AE165="25日戻り売り★",AE165="5日戻り売り○")),"○逆張り売り",IF(W165&gt;=70,IF(Z165&lt;0,"◎反落確認","△過熱・様子見"),"相場上昇・見送り"))),IF(AND(T165&gt;=12,AD165="下降トレンド▼"),"★強い売り",IF(T165&gt;=12,"★強い売り",IF(AND(T165&gt;=8,OR(AE165="25日戻り売り★",AE165="5日戻り売り○")),"◎戻り売り",IF(T165&gt;=10,"○売り候補",IF(T165&gt;=6,"△注目",IF(T165&gt;=3,"様子見","見送り"))))))))</f>
        <v>#VALUE!</v>
      </c>
      <c r="AG165">
        <f t="shared" si="58"/>
        <v>0</v>
      </c>
      <c r="AH165">
        <f t="shared" si="59"/>
        <v>0</v>
      </c>
      <c r="AI165" s="376">
        <f t="array" ref="AI165">IF(C165="","",IFERROR((INDEX(終値!$E:$E,MATCH(TEXT(C165,"0"),終値!$A:$A,0))-INDEX(終値!$E:$CZ,MATCH(TEXT(C165,"0"),終値!$A:$A,0),$AN$2))/INDEX(終値!$E:$CZ,MATCH(TEXT(C165,"0"),終値!$A:$A,0),$AN$2)*100,""))</f>
        <v>2.8840494408475572</v>
      </c>
      <c r="AJ165" s="376">
        <f t="array" ref="AJ165">IFERROR((終値!$E$5-INDEX(終値!$E$5:$CZ$5,1,$AN$2))/INDEX(終値!$E$5:$CZ$5,1,$AN$2)*100,"")</f>
        <v>2.31989243802786</v>
      </c>
      <c r="AK165" s="377">
        <f t="shared" si="60"/>
        <v>0.56415700281969716</v>
      </c>
      <c r="AL165" s="375">
        <f t="shared" si="61"/>
        <v>-1</v>
      </c>
      <c r="AO165" s="379" t="e">
        <f t="shared" si="62"/>
        <v>#VALUE!</v>
      </c>
      <c r="AP165" s="380" t="e">
        <f t="shared" si="63"/>
        <v>#VALUE!</v>
      </c>
      <c r="AQ165">
        <f>IF(C165&lt;&gt;"",始値!F7,"")</f>
        <v>1761</v>
      </c>
      <c r="AR165">
        <f>IF(C165&lt;&gt;"",高値!F7,"")</f>
        <v>1781</v>
      </c>
      <c r="AS165">
        <f>IF(C165&lt;&gt;"",安値!F7,"")</f>
        <v>1753</v>
      </c>
      <c r="AT165" t="str">
        <f t="shared" si="64"/>
        <v>通常</v>
      </c>
      <c r="AU165">
        <f t="shared" si="65"/>
        <v>0</v>
      </c>
    </row>
    <row r="166" spans="1:47" ht="14.25" customHeight="1">
      <c r="A166" s="335" t="str">
        <f>IF(銘柄管理!B12&lt;&gt;"",HYPERLINK("https://kabutan.jp/stock/?code="&amp;銘柄管理!B12,"株探"),"")</f>
        <v>株探</v>
      </c>
      <c r="B166" s="215"/>
      <c r="C166" s="478">
        <f>IF(銘柄管理!B12="","",銘柄管理!B12)</f>
        <v>1605</v>
      </c>
      <c r="D166" s="215" t="str">
        <f>IF(銘柄管理!C12="","",銘柄管理!C12)</f>
        <v/>
      </c>
      <c r="E166" s="336" t="str">
        <f>IF(C166&lt;&gt;"",_xll.RssMarket(C166,"現在値"),"")</f>
        <v/>
      </c>
      <c r="F166" s="336" t="str">
        <f>IF(C166&lt;&gt;"",_xll.RssMarket(C166,"始値"),"")</f>
        <v/>
      </c>
      <c r="G166" s="215">
        <f>IF(C166&lt;&gt;"",終値!F12,"")</f>
        <v>3450</v>
      </c>
      <c r="H166" s="336" t="str">
        <f>IF(C166&lt;&gt;"",_xll.RssMarket(C166,"高値"),"")</f>
        <v/>
      </c>
      <c r="I166" s="336" t="str">
        <f>IF(C166&lt;&gt;"",_xll.RssMarket(C166,"安値"),"")</f>
        <v/>
      </c>
      <c r="J166" s="336" t="str">
        <f>IF(C166&lt;&gt;"",_xll.RssMarket(C166,"出来高"),"")</f>
        <v/>
      </c>
      <c r="K166" s="336" t="str">
        <f>IF(C166&lt;&gt;"",_xll.RssMarket(C166,"年初来高値"),"")</f>
        <v/>
      </c>
      <c r="L166" s="337" t="str">
        <f t="shared" si="44"/>
        <v/>
      </c>
      <c r="M166" s="336">
        <f>IF(C166&lt;&gt;"",IFERROR(AVERAGE(出来高!E12:I12),""),"")</f>
        <v>4571120</v>
      </c>
      <c r="N166" s="336">
        <f>IF(C166&lt;&gt;"",IFERROR(AVERAGE(出来高!E12:AC12),""),"")</f>
        <v>5005676</v>
      </c>
      <c r="O166" s="338" t="str">
        <f t="shared" si="45"/>
        <v/>
      </c>
      <c r="P166" s="215" t="str">
        <f t="shared" si="46"/>
        <v/>
      </c>
      <c r="Q166" s="215" t="str">
        <f t="shared" si="47"/>
        <v/>
      </c>
      <c r="R166" s="336" t="str">
        <f t="shared" si="48"/>
        <v/>
      </c>
      <c r="S166" s="336" t="str">
        <f t="shared" si="49"/>
        <v/>
      </c>
      <c r="T166" s="328">
        <f t="shared" si="50"/>
        <v>0</v>
      </c>
      <c r="U166" s="215" t="str">
        <f t="shared" si="51"/>
        <v>除外</v>
      </c>
      <c r="V166" s="215" t="str">
        <f t="shared" si="52"/>
        <v/>
      </c>
      <c r="W166" s="339">
        <f t="array" ref="W166">IFERROR(100-100/(1+SUMPRODUCT((終値!F12:R12&gt;終値!G12:S12)*(終値!F12:R12-終値!G12:S12))/SUMPRODUCT((終値!F12:R12&lt;終値!G12:S12)*(終値!G12:S12-終値!F12:R12))),50)</f>
        <v>61.058344640434193</v>
      </c>
      <c r="X166" s="340">
        <f>IF(C166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-0.64156639693510442</v>
      </c>
      <c r="Y166" s="215" t="e">
        <f t="shared" si="53"/>
        <v>#VALUE!</v>
      </c>
      <c r="Z166" s="341" t="str">
        <f t="shared" si="54"/>
        <v/>
      </c>
      <c r="AA166" s="215" t="str">
        <f t="shared" si="55"/>
        <v/>
      </c>
      <c r="AB166" s="336">
        <f>IF(OR(C166="",C166="TOPX",終値!E12=""),"",IFERROR(((終値!E12*0.333)+(終値!F12*0.222)+(終値!G12*0.148)+(終値!H12*0.099)+(終値!I12*0.066))/(0.333+0.222+0.148+0.099+0.066),""))</f>
        <v>3430.322580645161</v>
      </c>
      <c r="AC166" s="336">
        <f>IF(OR(C166="",C166="TOPX",終値!E12=""),"",IFERROR(SUMPRODUCT((終値!E12:AC12),{0.077,0.071,0.065,0.06,0.055,0.051,0.047,0.043,0.039,0.036,0.033,0.031,0.028,0.026,0.024,0.022,0.02,0.018,0.017,0.016,0.014,0.013,0.012,0.011,0.01})/SUM({0.077,0.071,0.065,0.06,0.055,0.051,0.047,0.043,0.039,0.036,0.033,0.031,0.028,0.026,0.024,0.022,0.02,0.018,0.017,0.016,0.014,0.013,0.012,0.011,0.01}),""))</f>
        <v>3383.3492252681758</v>
      </c>
      <c r="AD166" s="215" t="str">
        <f t="shared" si="56"/>
        <v>パーフェクト▲</v>
      </c>
      <c r="AE166" s="215" t="e">
        <f t="shared" si="57"/>
        <v>#VALUE!</v>
      </c>
      <c r="AF166" t="e">
        <f>IF(T166="","",IF(銘柄管理!$F$5="上昇▲",IF(AND(AD166="下降トレンド▼",OR(AE166="25日戻り売り★",AE166="5日戻り売り○")),"★逆張り売り",IF(AND(AD166="もみ合い→",OR(AE166="25日戻り売り★",AE166="5日戻り売り○")),"○逆張り売り",IF(W166&gt;=70,IF(Z166&lt;0,"◎反落確認","△過熱・様子見"),"相場上昇・見送り"))),IF(AND(T166&gt;=12,AD166="下降トレンド▼"),"★強い売り",IF(T166&gt;=12,"★強い売り",IF(AND(T166&gt;=8,OR(AE166="25日戻り売り★",AE166="5日戻り売り○")),"◎戻り売り",IF(T166&gt;=10,"○売り候補",IF(T166&gt;=6,"△注目",IF(T166&gt;=3,"様子見","見送り"))))))))</f>
        <v>#VALUE!</v>
      </c>
      <c r="AG166">
        <f t="shared" si="58"/>
        <v>0</v>
      </c>
      <c r="AH166">
        <f t="shared" si="59"/>
        <v>0</v>
      </c>
      <c r="AI166" s="376">
        <f t="array" ref="AI166">IF(C166="","",IFERROR((INDEX(終値!$E:$E,MATCH(TEXT(C166,"0"),終値!$A:$A,0))-INDEX(終値!$E:$CZ,MATCH(TEXT(C166,"0"),終値!$A:$A,0),$AN$2))/INDEX(終値!$E:$CZ,MATCH(TEXT(C166,"0"),終値!$A:$A,0),$AN$2)*100,""))</f>
        <v>-6.5915957154627849</v>
      </c>
      <c r="AJ166" s="376">
        <f t="array" ref="AJ166">IFERROR((終値!$E$5-INDEX(終値!$E$5:$CZ$5,1,$AN$2))/INDEX(終値!$E$5:$CZ$5,1,$AN$2)*100,"")</f>
        <v>2.31989243802786</v>
      </c>
      <c r="AK166" s="377">
        <f t="shared" si="60"/>
        <v>-8.9114881534906445</v>
      </c>
      <c r="AL166" s="375">
        <f t="shared" si="61"/>
        <v>3</v>
      </c>
      <c r="AO166" s="379" t="e">
        <f t="shared" si="62"/>
        <v>#VALUE!</v>
      </c>
      <c r="AP166" s="380" t="e">
        <f t="shared" si="63"/>
        <v>#VALUE!</v>
      </c>
      <c r="AQ166">
        <f>IF(C166&lt;&gt;"",始値!F12,"")</f>
        <v>3491</v>
      </c>
      <c r="AR166">
        <f>IF(C166&lt;&gt;"",高値!F12,"")</f>
        <v>3528</v>
      </c>
      <c r="AS166">
        <f>IF(C166&lt;&gt;"",安値!F12,"")</f>
        <v>3424</v>
      </c>
      <c r="AT166" t="str">
        <f t="shared" si="64"/>
        <v>通常</v>
      </c>
      <c r="AU166">
        <f t="shared" si="65"/>
        <v>0</v>
      </c>
    </row>
    <row r="167" spans="1:47" ht="14.25" customHeight="1">
      <c r="A167" s="327" t="str">
        <f>IF(銘柄管理!B14&lt;&gt;"",HYPERLINK("https://kabutan.jp/stock/?code="&amp;銘柄管理!B14,"株探"),"")</f>
        <v>株探</v>
      </c>
      <c r="B167" s="328"/>
      <c r="C167" s="477">
        <f>IF(銘柄管理!B14="","",銘柄管理!B14)</f>
        <v>8002</v>
      </c>
      <c r="D167" s="328" t="str">
        <f>IF(銘柄管理!C14="","",銘柄管理!C14)</f>
        <v/>
      </c>
      <c r="E167" s="329" t="str">
        <f>IF(C167&lt;&gt;"",_xll.RssMarket(C167,"現在値"),"")</f>
        <v/>
      </c>
      <c r="F167" s="329" t="str">
        <f>IF(C167&lt;&gt;"",_xll.RssMarket(C167,"始値"),"")</f>
        <v/>
      </c>
      <c r="G167" s="328">
        <f>IF(C167&lt;&gt;"",終値!F14,"")</f>
        <v>5110</v>
      </c>
      <c r="H167" s="329" t="str">
        <f>IF(C167&lt;&gt;"",_xll.RssMarket(C167,"高値"),"")</f>
        <v/>
      </c>
      <c r="I167" s="329" t="str">
        <f>IF(C167&lt;&gt;"",_xll.RssMarket(C167,"安値"),"")</f>
        <v/>
      </c>
      <c r="J167" s="329" t="str">
        <f>IF(C167&lt;&gt;"",_xll.RssMarket(C167,"出来高"),"")</f>
        <v/>
      </c>
      <c r="K167" s="329" t="str">
        <f>IF(C167&lt;&gt;"",_xll.RssMarket(C167,"年初来高値"),"")</f>
        <v/>
      </c>
      <c r="L167" s="330" t="str">
        <f t="shared" si="44"/>
        <v/>
      </c>
      <c r="M167" s="329">
        <f>IF(C167&lt;&gt;"",IFERROR(AVERAGE(出来高!E14:I14),""),"")</f>
        <v>3803540</v>
      </c>
      <c r="N167" s="329">
        <f>IF(C167&lt;&gt;"",IFERROR(AVERAGE(出来高!E14:AC14),""),"")</f>
        <v>4320544</v>
      </c>
      <c r="O167" s="331" t="str">
        <f t="shared" si="45"/>
        <v/>
      </c>
      <c r="P167" s="328" t="str">
        <f t="shared" si="46"/>
        <v/>
      </c>
      <c r="Q167" s="328" t="str">
        <f t="shared" si="47"/>
        <v/>
      </c>
      <c r="R167" s="329" t="str">
        <f t="shared" si="48"/>
        <v/>
      </c>
      <c r="S167" s="329" t="str">
        <f t="shared" si="49"/>
        <v/>
      </c>
      <c r="T167" s="328">
        <f t="shared" si="50"/>
        <v>0</v>
      </c>
      <c r="U167" s="328" t="str">
        <f t="shared" si="51"/>
        <v>除外</v>
      </c>
      <c r="V167" s="328" t="str">
        <f t="shared" si="52"/>
        <v/>
      </c>
      <c r="W167" s="332">
        <f t="array" ref="W167">IFERROR(100-100/(1+SUMPRODUCT((終値!F14:R14&gt;終値!G14:S14)*(終値!F14:R14-終値!G14:S14))/SUMPRODUCT((終値!F14:R14&lt;終値!G14:S14)*(終値!G14:S14-終値!F14:R14))),50)</f>
        <v>77.307274701411501</v>
      </c>
      <c r="X167" s="333">
        <f>IF(C167&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28.263699107224056</v>
      </c>
      <c r="Y167" s="328" t="e">
        <f t="shared" si="53"/>
        <v>#VALUE!</v>
      </c>
      <c r="Z167" s="334" t="str">
        <f t="shared" si="54"/>
        <v/>
      </c>
      <c r="AA167" s="328" t="str">
        <f t="shared" si="55"/>
        <v/>
      </c>
      <c r="AB167" s="329">
        <f>IF(OR(C167="",C167="TOPX",終値!E14=""),"",IFERROR(((終値!E14*0.333)+(終値!F14*0.222)+(終値!G14*0.148)+(終値!H14*0.099)+(終値!I14*0.066))/(0.333+0.222+0.148+0.099+0.066),""))</f>
        <v>4984.9493087557594</v>
      </c>
      <c r="AC167" s="329">
        <f>IF(OR(C167="",C167="TOPX",終値!E14=""),"",IFERROR(SUMPRODUCT((終値!E14:AC14),{0.077,0.071,0.065,0.06,0.055,0.051,0.047,0.043,0.039,0.036,0.033,0.031,0.028,0.026,0.024,0.022,0.02,0.018,0.017,0.016,0.014,0.013,0.012,0.011,0.01})/SUM({0.077,0.071,0.065,0.06,0.055,0.051,0.047,0.043,0.039,0.036,0.033,0.031,0.028,0.026,0.024,0.022,0.02,0.018,0.017,0.016,0.014,0.013,0.012,0.011,0.01}),""))</f>
        <v>4885.8974970202617</v>
      </c>
      <c r="AD167" s="328" t="str">
        <f t="shared" si="56"/>
        <v>パーフェクト▲</v>
      </c>
      <c r="AE167" s="328" t="e">
        <f t="shared" si="57"/>
        <v>#VALUE!</v>
      </c>
      <c r="AF167" t="e">
        <f>IF(T167="","",IF(銘柄管理!$F$5="上昇▲",IF(AND(AD167="下降トレンド▼",OR(AE167="25日戻り売り★",AE167="5日戻り売り○")),"★逆張り売り",IF(AND(AD167="もみ合い→",OR(AE167="25日戻り売り★",AE167="5日戻り売り○")),"○逆張り売り",IF(W167&gt;=70,IF(Z167&lt;0,"◎反落確認","△過熱・様子見"),"相場上昇・見送り"))),IF(AND(T167&gt;=12,AD167="下降トレンド▼"),"★強い売り",IF(T167&gt;=12,"★強い売り",IF(AND(T167&gt;=8,OR(AE167="25日戻り売り★",AE167="5日戻り売り○")),"◎戻り売り",IF(T167&gt;=10,"○売り候補",IF(T167&gt;=6,"△注目",IF(T167&gt;=3,"様子見","見送り"))))))))</f>
        <v>#VALUE!</v>
      </c>
      <c r="AG167">
        <f t="shared" si="58"/>
        <v>0</v>
      </c>
      <c r="AH167">
        <f t="shared" si="59"/>
        <v>0</v>
      </c>
      <c r="AI167" s="376">
        <f t="array" ref="AI167">IF(C167="","",IFERROR((INDEX(終値!$E:$E,MATCH(TEXT(C167,"0"),終値!$A:$A,0))-INDEX(終値!$E:$CZ,MATCH(TEXT(C167,"0"),終値!$A:$A,0),$AN$2))/INDEX(終値!$E:$CZ,MATCH(TEXT(C167,"0"),終値!$A:$A,0),$AN$2)*100,""))</f>
        <v>2.4229979466119098</v>
      </c>
      <c r="AJ167" s="376">
        <f t="array" ref="AJ167">IFERROR((終値!$E$5-INDEX(終値!$E$5:$CZ$5,1,$AN$2))/INDEX(終値!$E$5:$CZ$5,1,$AN$2)*100,"")</f>
        <v>2.31989243802786</v>
      </c>
      <c r="AK167" s="377">
        <f t="shared" si="60"/>
        <v>0.10310550858404977</v>
      </c>
      <c r="AL167" s="375">
        <f t="shared" si="61"/>
        <v>-1</v>
      </c>
      <c r="AO167" s="379" t="e">
        <f t="shared" si="62"/>
        <v>#VALUE!</v>
      </c>
      <c r="AP167" s="380" t="e">
        <f t="shared" si="63"/>
        <v>#VALUE!</v>
      </c>
      <c r="AQ167">
        <f>IF(C167&lt;&gt;"",始値!F14,"")</f>
        <v>5000</v>
      </c>
      <c r="AR167">
        <f>IF(C167&lt;&gt;"",高値!F14,"")</f>
        <v>5132</v>
      </c>
      <c r="AS167">
        <f>IF(C167&lt;&gt;"",安値!F14,"")</f>
        <v>4999</v>
      </c>
      <c r="AT167" t="str">
        <f t="shared" si="64"/>
        <v>通常</v>
      </c>
      <c r="AU167">
        <f t="shared" si="65"/>
        <v>0</v>
      </c>
    </row>
    <row r="168" spans="1:47" ht="14.25" customHeight="1">
      <c r="A168" s="335" t="str">
        <f>IF(銘柄管理!B22&lt;&gt;"",HYPERLINK("https://kabutan.jp/stock/?code="&amp;銘柄管理!B22,"株探"),"")</f>
        <v>株探</v>
      </c>
      <c r="B168" s="215"/>
      <c r="C168" s="478">
        <f>IF(銘柄管理!B22="","",銘柄管理!B22)</f>
        <v>8725</v>
      </c>
      <c r="D168" s="215" t="str">
        <f>IF(銘柄管理!C22="","",銘柄管理!C22)</f>
        <v/>
      </c>
      <c r="E168" s="336" t="str">
        <f>IF(C168&lt;&gt;"",_xll.RssMarket(C168,"現在値"),"")</f>
        <v/>
      </c>
      <c r="F168" s="336" t="str">
        <f>IF(C168&lt;&gt;"",_xll.RssMarket(C168,"始値"),"")</f>
        <v/>
      </c>
      <c r="G168" s="215">
        <f>IF(C168&lt;&gt;"",終値!F22,"")</f>
        <v>4574</v>
      </c>
      <c r="H168" s="336" t="str">
        <f>IF(C168&lt;&gt;"",_xll.RssMarket(C168,"高値"),"")</f>
        <v/>
      </c>
      <c r="I168" s="336" t="str">
        <f>IF(C168&lt;&gt;"",_xll.RssMarket(C168,"安値"),"")</f>
        <v/>
      </c>
      <c r="J168" s="336" t="str">
        <f>IF(C168&lt;&gt;"",_xll.RssMarket(C168,"出来高"),"")</f>
        <v/>
      </c>
      <c r="K168" s="336" t="str">
        <f>IF(C168&lt;&gt;"",_xll.RssMarket(C168,"年初来高値"),"")</f>
        <v/>
      </c>
      <c r="L168" s="337" t="str">
        <f t="shared" si="44"/>
        <v/>
      </c>
      <c r="M168" s="336">
        <f>IF(C168&lt;&gt;"",IFERROR(AVERAGE(出来高!E22:I22),""),"")</f>
        <v>3834380</v>
      </c>
      <c r="N168" s="336">
        <f>IF(C168&lt;&gt;"",IFERROR(AVERAGE(出来高!E22:AC22),""),"")</f>
        <v>4822452</v>
      </c>
      <c r="O168" s="338" t="str">
        <f t="shared" si="45"/>
        <v/>
      </c>
      <c r="P168" s="215" t="str">
        <f t="shared" si="46"/>
        <v/>
      </c>
      <c r="Q168" s="215" t="str">
        <f t="shared" si="47"/>
        <v/>
      </c>
      <c r="R168" s="336" t="str">
        <f t="shared" si="48"/>
        <v/>
      </c>
      <c r="S168" s="336" t="str">
        <f t="shared" si="49"/>
        <v/>
      </c>
      <c r="T168" s="328">
        <f t="shared" si="50"/>
        <v>0</v>
      </c>
      <c r="U168" s="215" t="str">
        <f t="shared" si="51"/>
        <v>除外</v>
      </c>
      <c r="V168" s="215" t="str">
        <f t="shared" si="52"/>
        <v/>
      </c>
      <c r="W168" s="339">
        <f t="array" ref="W168">IFERROR(100-100/(1+SUMPRODUCT((終値!F22:R22&gt;終値!G22:S22)*(終値!F22:R22-終値!G22:S22))/SUMPRODUCT((終値!F22:R22&lt;終値!G22:S22)*(終値!G22:S22-終値!F22:R22))),50)</f>
        <v>75.474683544303801</v>
      </c>
      <c r="X168" s="340">
        <f>IF(C168&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9.1235576482959004</v>
      </c>
      <c r="Y168" s="215" t="e">
        <f t="shared" si="53"/>
        <v>#VALUE!</v>
      </c>
      <c r="Z168" s="341" t="str">
        <f t="shared" si="54"/>
        <v/>
      </c>
      <c r="AA168" s="215" t="str">
        <f t="shared" si="55"/>
        <v/>
      </c>
      <c r="AB168" s="336">
        <f>IF(OR(C168="",C168="TOPX",終値!E22=""),"",IFERROR(((終値!E22*0.333)+(終値!F22*0.222)+(終値!G22*0.148)+(終値!H22*0.099)+(終値!I22*0.066))/(0.333+0.222+0.148+0.099+0.066),""))</f>
        <v>4501.2764976958524</v>
      </c>
      <c r="AC168" s="336">
        <f>IF(OR(C168="",C168="TOPX",終値!E22=""),"",IFERROR(SUMPRODUCT((終値!E22:AC22),{0.077,0.071,0.065,0.06,0.055,0.051,0.047,0.043,0.039,0.036,0.033,0.031,0.028,0.026,0.024,0.022,0.02,0.018,0.017,0.016,0.014,0.013,0.012,0.011,0.01})/SUM({0.077,0.071,0.065,0.06,0.055,0.051,0.047,0.043,0.039,0.036,0.033,0.031,0.028,0.026,0.024,0.022,0.02,0.018,0.017,0.016,0.014,0.013,0.012,0.011,0.01}),""))</f>
        <v>4463.0143027413569</v>
      </c>
      <c r="AD168" s="215" t="str">
        <f t="shared" si="56"/>
        <v>パーフェクト▲</v>
      </c>
      <c r="AE168" s="215" t="e">
        <f t="shared" si="57"/>
        <v>#VALUE!</v>
      </c>
      <c r="AF168" t="e">
        <f>IF(T168="","",IF(銘柄管理!$F$5="上昇▲",IF(AND(AD168="下降トレンド▼",OR(AE168="25日戻り売り★",AE168="5日戻り売り○")),"★逆張り売り",IF(AND(AD168="もみ合い→",OR(AE168="25日戻り売り★",AE168="5日戻り売り○")),"○逆張り売り",IF(W168&gt;=70,IF(Z168&lt;0,"◎反落確認","△過熱・様子見"),"相場上昇・見送り"))),IF(AND(T168&gt;=12,AD168="下降トレンド▼"),"★強い売り",IF(T168&gt;=12,"★強い売り",IF(AND(T168&gt;=8,OR(AE168="25日戻り売り★",AE168="5日戻り売り○")),"◎戻り売り",IF(T168&gt;=10,"○売り候補",IF(T168&gt;=6,"△注目",IF(T168&gt;=3,"様子見","見送り"))))))))</f>
        <v>#VALUE!</v>
      </c>
      <c r="AG168">
        <f t="shared" si="58"/>
        <v>0</v>
      </c>
      <c r="AH168">
        <f t="shared" si="59"/>
        <v>0</v>
      </c>
      <c r="AI168" s="376">
        <f t="array" ref="AI168">IF(C168="","",IFERROR((INDEX(終値!$E:$E,MATCH(TEXT(C168,"0"),終値!$A:$A,0))-INDEX(終値!$E:$CZ,MATCH(TEXT(C168,"0"),終値!$A:$A,0),$AN$2))/INDEX(終値!$E:$CZ,MATCH(TEXT(C168,"0"),終値!$A:$A,0),$AN$2)*100,""))</f>
        <v>1.8400726942298953</v>
      </c>
      <c r="AJ168" s="376">
        <f t="array" ref="AJ168">IFERROR((終値!$E$5-INDEX(終値!$E$5:$CZ$5,1,$AN$2))/INDEX(終値!$E$5:$CZ$5,1,$AN$2)*100,"")</f>
        <v>2.31989243802786</v>
      </c>
      <c r="AK168" s="377">
        <f t="shared" si="60"/>
        <v>-0.47981974379796477</v>
      </c>
      <c r="AL168" s="375">
        <f t="shared" si="61"/>
        <v>1</v>
      </c>
      <c r="AO168" s="379" t="e">
        <f t="shared" si="62"/>
        <v>#VALUE!</v>
      </c>
      <c r="AP168" s="380" t="e">
        <f t="shared" si="63"/>
        <v>#VALUE!</v>
      </c>
      <c r="AQ168">
        <f>IF(C168&lt;&gt;"",始値!F22,"")</f>
        <v>4550</v>
      </c>
      <c r="AR168">
        <f>IF(C168&lt;&gt;"",高値!F22,"")</f>
        <v>4594</v>
      </c>
      <c r="AS168">
        <f>IF(C168&lt;&gt;"",安値!F22,"")</f>
        <v>4526</v>
      </c>
      <c r="AT168" t="str">
        <f t="shared" si="64"/>
        <v>通常</v>
      </c>
      <c r="AU168">
        <f t="shared" si="65"/>
        <v>0</v>
      </c>
    </row>
    <row r="169" spans="1:47" ht="14.25" customHeight="1">
      <c r="A169" s="327" t="str">
        <f>IF(銘柄管理!B27&lt;&gt;"",HYPERLINK("https://kabutan.jp/stock/?code="&amp;銘柄管理!B27,"株探"),"")</f>
        <v>株探</v>
      </c>
      <c r="B169" s="328"/>
      <c r="C169" s="477">
        <f>IF(銘柄管理!B27="","",銘柄管理!B27)</f>
        <v>3401</v>
      </c>
      <c r="D169" s="328" t="str">
        <f>IF(銘柄管理!C27="","",銘柄管理!C27)</f>
        <v/>
      </c>
      <c r="E169" s="329" t="str">
        <f>IF(C169&lt;&gt;"",_xll.RssMarket(C169,"現在値"),"")</f>
        <v/>
      </c>
      <c r="F169" s="329" t="str">
        <f>IF(C169&lt;&gt;"",_xll.RssMarket(C169,"始値"),"")</f>
        <v/>
      </c>
      <c r="G169" s="328">
        <f>IF(C169&lt;&gt;"",終値!F27,"")</f>
        <v>1722</v>
      </c>
      <c r="H169" s="329" t="str">
        <f>IF(C169&lt;&gt;"",_xll.RssMarket(C169,"高値"),"")</f>
        <v/>
      </c>
      <c r="I169" s="329" t="str">
        <f>IF(C169&lt;&gt;"",_xll.RssMarket(C169,"安値"),"")</f>
        <v/>
      </c>
      <c r="J169" s="329" t="str">
        <f>IF(C169&lt;&gt;"",_xll.RssMarket(C169,"出来高"),"")</f>
        <v/>
      </c>
      <c r="K169" s="329" t="str">
        <f>IF(C169&lt;&gt;"",_xll.RssMarket(C169,"年初来高値"),"")</f>
        <v/>
      </c>
      <c r="L169" s="330" t="str">
        <f t="shared" si="44"/>
        <v/>
      </c>
      <c r="M169" s="329">
        <f>IF(C169&lt;&gt;"",IFERROR(AVERAGE(出来高!E27:I27),""),"")</f>
        <v>777120</v>
      </c>
      <c r="N169" s="329">
        <f>IF(C169&lt;&gt;"",IFERROR(AVERAGE(出来高!E27:AC27),""),"")</f>
        <v>801996</v>
      </c>
      <c r="O169" s="331" t="str">
        <f t="shared" si="45"/>
        <v/>
      </c>
      <c r="P169" s="328" t="str">
        <f t="shared" si="46"/>
        <v/>
      </c>
      <c r="Q169" s="328" t="str">
        <f t="shared" si="47"/>
        <v/>
      </c>
      <c r="R169" s="329" t="str">
        <f t="shared" si="48"/>
        <v/>
      </c>
      <c r="S169" s="329" t="str">
        <f t="shared" si="49"/>
        <v/>
      </c>
      <c r="T169" s="328">
        <f t="shared" si="50"/>
        <v>0</v>
      </c>
      <c r="U169" s="328" t="str">
        <f t="shared" si="51"/>
        <v>除外</v>
      </c>
      <c r="V169" s="328" t="str">
        <f t="shared" si="52"/>
        <v/>
      </c>
      <c r="W169" s="332">
        <f t="array" ref="W169">IFERROR(100-100/(1+SUMPRODUCT((終値!F27:R27&gt;終値!G27:S27)*(終値!F27:R27-終値!G27:S27))/SUMPRODUCT((終値!F27:R27&lt;終値!G27:S27)*(終値!G27:S27-終値!F27:R27))),50)</f>
        <v>65.217391304347828</v>
      </c>
      <c r="X169" s="333">
        <f>IF(C169&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11.074774417985736</v>
      </c>
      <c r="Y169" s="328" t="e">
        <f t="shared" si="53"/>
        <v>#VALUE!</v>
      </c>
      <c r="Z169" s="334" t="str">
        <f t="shared" si="54"/>
        <v/>
      </c>
      <c r="AA169" s="328" t="str">
        <f t="shared" si="55"/>
        <v/>
      </c>
      <c r="AB169" s="329">
        <f>IF(OR(C169="",C169="TOPX",終値!E27=""),"",IFERROR(((終値!E27*0.333)+(終値!F27*0.222)+(終値!G27*0.148)+(終値!H27*0.099)+(終値!I27*0.066))/(0.333+0.222+0.148+0.099+0.066),""))</f>
        <v>1690.3323732718891</v>
      </c>
      <c r="AC169" s="329">
        <f>IF(OR(C169="",C169="TOPX",終値!E27=""),"",IFERROR(SUMPRODUCT((終値!E27:AC27),{0.077,0.071,0.065,0.06,0.055,0.051,0.047,0.043,0.039,0.036,0.033,0.031,0.028,0.026,0.024,0.022,0.02,0.018,0.017,0.016,0.014,0.013,0.012,0.011,0.01})/SUM({0.077,0.071,0.065,0.06,0.055,0.051,0.047,0.043,0.039,0.036,0.033,0.031,0.028,0.026,0.024,0.022,0.02,0.018,0.017,0.016,0.014,0.013,0.012,0.011,0.01}),""))</f>
        <v>1666.1209773539922</v>
      </c>
      <c r="AD169" s="328" t="str">
        <f t="shared" si="56"/>
        <v>パーフェクト▲</v>
      </c>
      <c r="AE169" s="328" t="e">
        <f t="shared" si="57"/>
        <v>#VALUE!</v>
      </c>
      <c r="AF169" t="e">
        <f>IF(T169="","",IF(銘柄管理!$F$5="上昇▲",IF(AND(AD169="下降トレンド▼",OR(AE169="25日戻り売り★",AE169="5日戻り売り○")),"★逆張り売り",IF(AND(AD169="もみ合い→",OR(AE169="25日戻り売り★",AE169="5日戻り売り○")),"○逆張り売り",IF(W169&gt;=70,IF(Z169&lt;0,"◎反落確認","△過熱・様子見"),"相場上昇・見送り"))),IF(AND(T169&gt;=12,AD169="下降トレンド▼"),"★強い売り",IF(T169&gt;=12,"★強い売り",IF(AND(T169&gt;=8,OR(AE169="25日戻り売り★",AE169="5日戻り売り○")),"◎戻り売り",IF(T169&gt;=10,"○売り候補",IF(T169&gt;=6,"△注目",IF(T169&gt;=3,"様子見","見送り"))))))))</f>
        <v>#VALUE!</v>
      </c>
      <c r="AG169">
        <f t="shared" si="58"/>
        <v>0</v>
      </c>
      <c r="AH169">
        <f t="shared" si="59"/>
        <v>0</v>
      </c>
      <c r="AI169" s="376">
        <f t="array" ref="AI169">IF(C169="","",IFERROR((INDEX(終値!$E:$E,MATCH(TEXT(C169,"0"),終値!$A:$A,0))-INDEX(終値!$E:$CZ,MATCH(TEXT(C169,"0"),終値!$A:$A,0),$AN$2))/INDEX(終値!$E:$CZ,MATCH(TEXT(C169,"0"),終値!$A:$A,0),$AN$2)*100,""))</f>
        <v>5.4982817869415808</v>
      </c>
      <c r="AJ169" s="376">
        <f t="array" ref="AJ169">IFERROR((終値!$E$5-INDEX(終値!$E$5:$CZ$5,1,$AN$2))/INDEX(終値!$E$5:$CZ$5,1,$AN$2)*100,"")</f>
        <v>2.31989243802786</v>
      </c>
      <c r="AK169" s="377">
        <f t="shared" si="60"/>
        <v>3.1783893489137207</v>
      </c>
      <c r="AL169" s="375">
        <f t="shared" si="61"/>
        <v>-2</v>
      </c>
      <c r="AO169" s="379" t="e">
        <f t="shared" si="62"/>
        <v>#VALUE!</v>
      </c>
      <c r="AP169" s="380" t="e">
        <f t="shared" si="63"/>
        <v>#VALUE!</v>
      </c>
      <c r="AQ169">
        <f>IF(C169&lt;&gt;"",始値!F27,"")</f>
        <v>1693</v>
      </c>
      <c r="AR169">
        <f>IF(C169&lt;&gt;"",高値!F27,"")</f>
        <v>1722</v>
      </c>
      <c r="AS169">
        <f>IF(C169&lt;&gt;"",安値!F27,"")</f>
        <v>1672</v>
      </c>
      <c r="AT169" t="str">
        <f t="shared" si="64"/>
        <v>通常</v>
      </c>
      <c r="AU169">
        <f t="shared" si="65"/>
        <v>0</v>
      </c>
    </row>
    <row r="170" spans="1:47" ht="14.25" customHeight="1">
      <c r="A170" s="335" t="str">
        <f>IF(銘柄管理!B34&lt;&gt;"",HYPERLINK("https://kabutan.jp/stock/?code="&amp;銘柄管理!B34,"株探"),"")</f>
        <v>株探</v>
      </c>
      <c r="B170" s="215"/>
      <c r="C170" s="478">
        <f>IF(銘柄管理!B34="","",銘柄管理!B34)</f>
        <v>5233</v>
      </c>
      <c r="D170" s="215" t="str">
        <f>IF(銘柄管理!C34="","",銘柄管理!C34)</f>
        <v/>
      </c>
      <c r="E170" s="336" t="str">
        <f>IF(C170&lt;&gt;"",_xll.RssMarket(C170,"現在値"),"")</f>
        <v/>
      </c>
      <c r="F170" s="336" t="str">
        <f>IF(C170&lt;&gt;"",_xll.RssMarket(C170,"始値"),"")</f>
        <v/>
      </c>
      <c r="G170" s="215">
        <f>IF(C170&lt;&gt;"",終値!F34,"")</f>
        <v>3984</v>
      </c>
      <c r="H170" s="336" t="str">
        <f>IF(C170&lt;&gt;"",_xll.RssMarket(C170,"高値"),"")</f>
        <v/>
      </c>
      <c r="I170" s="336" t="str">
        <f>IF(C170&lt;&gt;"",_xll.RssMarket(C170,"安値"),"")</f>
        <v/>
      </c>
      <c r="J170" s="336" t="str">
        <f>IF(C170&lt;&gt;"",_xll.RssMarket(C170,"出来高"),"")</f>
        <v/>
      </c>
      <c r="K170" s="336" t="str">
        <f>IF(C170&lt;&gt;"",_xll.RssMarket(C170,"年初来高値"),"")</f>
        <v/>
      </c>
      <c r="L170" s="337" t="str">
        <f t="shared" si="44"/>
        <v/>
      </c>
      <c r="M170" s="336">
        <f>IF(C170&lt;&gt;"",IFERROR(AVERAGE(出来高!E34:I34),""),"")</f>
        <v>489640</v>
      </c>
      <c r="N170" s="336">
        <f>IF(C170&lt;&gt;"",IFERROR(AVERAGE(出来高!E34:AC34),""),"")</f>
        <v>597688</v>
      </c>
      <c r="O170" s="338" t="str">
        <f t="shared" si="45"/>
        <v/>
      </c>
      <c r="P170" s="215" t="str">
        <f t="shared" si="46"/>
        <v/>
      </c>
      <c r="Q170" s="215" t="str">
        <f t="shared" si="47"/>
        <v/>
      </c>
      <c r="R170" s="336" t="str">
        <f t="shared" si="48"/>
        <v/>
      </c>
      <c r="S170" s="336" t="str">
        <f t="shared" si="49"/>
        <v/>
      </c>
      <c r="T170" s="328">
        <f t="shared" si="50"/>
        <v>0</v>
      </c>
      <c r="U170" s="215" t="str">
        <f t="shared" si="51"/>
        <v>除外</v>
      </c>
      <c r="V170" s="215" t="str">
        <f t="shared" si="52"/>
        <v/>
      </c>
      <c r="W170" s="339">
        <f t="array" ref="W170">IFERROR(100-100/(1+SUMPRODUCT((終値!F34:R34&gt;終値!G34:S34)*(終値!F34:R34-終値!G34:S34))/SUMPRODUCT((終値!F34:R34&lt;終値!G34:S34)*(終値!G34:S34-終値!F34:R34))),50)</f>
        <v>44.026548672566371</v>
      </c>
      <c r="X170" s="340">
        <f>IF(C170&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-32.386605980758304</v>
      </c>
      <c r="Y170" s="215" t="e">
        <f t="shared" si="53"/>
        <v>#VALUE!</v>
      </c>
      <c r="Z170" s="341" t="str">
        <f t="shared" si="54"/>
        <v/>
      </c>
      <c r="AA170" s="215" t="str">
        <f t="shared" si="55"/>
        <v/>
      </c>
      <c r="AB170" s="336">
        <f>IF(OR(C170="",C170="TOPX",終値!E34=""),"",IFERROR(((終値!E34*0.333)+(終値!F34*0.222)+(終値!G34*0.148)+(終値!H34*0.099)+(終値!I34*0.066))/(0.333+0.222+0.148+0.099+0.066),""))</f>
        <v>3937.3917050691239</v>
      </c>
      <c r="AC170" s="336">
        <f>IF(OR(C170="",C170="TOPX",終値!E34=""),"",IFERROR(SUMPRODUCT((終値!E34:AC34),{0.077,0.071,0.065,0.06,0.055,0.051,0.047,0.043,0.039,0.036,0.033,0.031,0.028,0.026,0.024,0.022,0.02,0.018,0.017,0.016,0.014,0.013,0.012,0.011,0.01})/SUM({0.077,0.071,0.065,0.06,0.055,0.051,0.047,0.043,0.039,0.036,0.033,0.031,0.028,0.026,0.024,0.022,0.02,0.018,0.017,0.016,0.014,0.013,0.012,0.011,0.01}),""))</f>
        <v>4020.1013110846243</v>
      </c>
      <c r="AD170" s="215" t="str">
        <f t="shared" si="56"/>
        <v>上昇トレンド▲</v>
      </c>
      <c r="AE170" s="215" t="e">
        <f t="shared" si="57"/>
        <v>#VALUE!</v>
      </c>
      <c r="AF170" t="e">
        <f>IF(T170="","",IF(銘柄管理!$F$5="上昇▲",IF(AND(AD170="下降トレンド▼",OR(AE170="25日戻り売り★",AE170="5日戻り売り○")),"★逆張り売り",IF(AND(AD170="もみ合い→",OR(AE170="25日戻り売り★",AE170="5日戻り売り○")),"○逆張り売り",IF(W170&gt;=70,IF(Z170&lt;0,"◎反落確認","△過熱・様子見"),"相場上昇・見送り"))),IF(AND(T170&gt;=12,AD170="下降トレンド▼"),"★強い売り",IF(T170&gt;=12,"★強い売り",IF(AND(T170&gt;=8,OR(AE170="25日戻り売り★",AE170="5日戻り売り○")),"◎戻り売り",IF(T170&gt;=10,"○売り候補",IF(T170&gt;=6,"△注目",IF(T170&gt;=3,"様子見","見送り"))))))))</f>
        <v>#VALUE!</v>
      </c>
      <c r="AG170">
        <f t="shared" si="58"/>
        <v>0</v>
      </c>
      <c r="AH170">
        <f t="shared" si="59"/>
        <v>0</v>
      </c>
      <c r="AI170" s="376">
        <f t="array" ref="AI170">IF(C170="","",IFERROR((INDEX(終値!$E:$E,MATCH(TEXT(C170,"0"),終値!$A:$A,0))-INDEX(終値!$E:$CZ,MATCH(TEXT(C170,"0"),終値!$A:$A,0),$AN$2))/INDEX(終値!$E:$CZ,MATCH(TEXT(C170,"0"),終値!$A:$A,0),$AN$2)*100,""))</f>
        <v>-8.0656506447831173</v>
      </c>
      <c r="AJ170" s="376">
        <f t="array" ref="AJ170">IFERROR((終値!$E$5-INDEX(終値!$E$5:$CZ$5,1,$AN$2))/INDEX(終値!$E$5:$CZ$5,1,$AN$2)*100,"")</f>
        <v>2.31989243802786</v>
      </c>
      <c r="AK170" s="377">
        <f t="shared" si="60"/>
        <v>-10.385543082810978</v>
      </c>
      <c r="AL170" s="375">
        <f t="shared" si="61"/>
        <v>3</v>
      </c>
      <c r="AO170" s="379" t="e">
        <f t="shared" si="62"/>
        <v>#VALUE!</v>
      </c>
      <c r="AP170" s="380" t="e">
        <f t="shared" si="63"/>
        <v>#VALUE!</v>
      </c>
      <c r="AQ170">
        <f>IF(C170&lt;&gt;"",始値!F34,"")</f>
        <v>3998</v>
      </c>
      <c r="AR170">
        <f>IF(C170&lt;&gt;"",高値!F34,"")</f>
        <v>3999</v>
      </c>
      <c r="AS170">
        <f>IF(C170&lt;&gt;"",安値!F34,"")</f>
        <v>3952</v>
      </c>
      <c r="AT170" t="str">
        <f t="shared" si="64"/>
        <v>長い下ヒゲ(反発)</v>
      </c>
      <c r="AU170">
        <f t="shared" si="65"/>
        <v>-2</v>
      </c>
    </row>
    <row r="171" spans="1:47" ht="14.25" customHeight="1">
      <c r="A171" s="327" t="str">
        <f>IF(銘柄管理!B39&lt;&gt;"",HYPERLINK("https://kabutan.jp/stock/?code="&amp;銘柄管理!B39,"株探"),"")</f>
        <v>株探</v>
      </c>
      <c r="B171" s="328"/>
      <c r="C171" s="477">
        <f>IF(銘柄管理!B39="","",銘柄管理!B39)</f>
        <v>8593</v>
      </c>
      <c r="D171" s="328" t="str">
        <f>IF(銘柄管理!C39="","",銘柄管理!C39)</f>
        <v/>
      </c>
      <c r="E171" s="329" t="str">
        <f>IF(C171&lt;&gt;"",_xll.RssMarket(C171,"現在値"),"")</f>
        <v/>
      </c>
      <c r="F171" s="329" t="str">
        <f>IF(C171&lt;&gt;"",_xll.RssMarket(C171,"始値"),"")</f>
        <v/>
      </c>
      <c r="G171" s="328">
        <f>IF(C171&lt;&gt;"",終値!F39,"")</f>
        <v>1414</v>
      </c>
      <c r="H171" s="329" t="str">
        <f>IF(C171&lt;&gt;"",_xll.RssMarket(C171,"高値"),"")</f>
        <v/>
      </c>
      <c r="I171" s="329" t="str">
        <f>IF(C171&lt;&gt;"",_xll.RssMarket(C171,"安値"),"")</f>
        <v/>
      </c>
      <c r="J171" s="329" t="str">
        <f>IF(C171&lt;&gt;"",_xll.RssMarket(C171,"出来高"),"")</f>
        <v/>
      </c>
      <c r="K171" s="329" t="str">
        <f>IF(C171&lt;&gt;"",_xll.RssMarket(C171,"年初来高値"),"")</f>
        <v/>
      </c>
      <c r="L171" s="330" t="str">
        <f t="shared" si="44"/>
        <v/>
      </c>
      <c r="M171" s="329">
        <f>IF(C171&lt;&gt;"",IFERROR(AVERAGE(出来高!E39:I39),""),"")</f>
        <v>3961740</v>
      </c>
      <c r="N171" s="329">
        <f>IF(C171&lt;&gt;"",IFERROR(AVERAGE(出来高!E39:AC39),""),"")</f>
        <v>4150128</v>
      </c>
      <c r="O171" s="331" t="str">
        <f t="shared" si="45"/>
        <v/>
      </c>
      <c r="P171" s="328" t="str">
        <f t="shared" si="46"/>
        <v/>
      </c>
      <c r="Q171" s="328" t="str">
        <f t="shared" si="47"/>
        <v/>
      </c>
      <c r="R171" s="329" t="str">
        <f t="shared" si="48"/>
        <v/>
      </c>
      <c r="S171" s="329" t="str">
        <f t="shared" si="49"/>
        <v/>
      </c>
      <c r="T171" s="328">
        <f t="shared" si="50"/>
        <v>0</v>
      </c>
      <c r="U171" s="328" t="str">
        <f t="shared" si="51"/>
        <v>除外</v>
      </c>
      <c r="V171" s="328" t="str">
        <f t="shared" si="52"/>
        <v/>
      </c>
      <c r="W171" s="332">
        <f t="array" ref="W171">IFERROR(100-100/(1+SUMPRODUCT((終値!F39:R39&gt;終値!G39:S39)*(終値!F39:R39-終値!G39:S39))/SUMPRODUCT((終値!F39:R39&lt;終値!G39:S39)*(終値!G39:S39-終値!F39:R39))),50)</f>
        <v>81.76638176638177</v>
      </c>
      <c r="X171" s="333">
        <f>IF(C171&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12.128388705575844</v>
      </c>
      <c r="Y171" s="328" t="e">
        <f t="shared" si="53"/>
        <v>#VALUE!</v>
      </c>
      <c r="Z171" s="334" t="str">
        <f t="shared" si="54"/>
        <v/>
      </c>
      <c r="AA171" s="328" t="str">
        <f t="shared" si="55"/>
        <v/>
      </c>
      <c r="AB171" s="329">
        <f>IF(OR(C171="",C171="TOPX",終値!E39=""),"",IFERROR(((終値!E39*0.333)+(終値!F39*0.222)+(終値!G39*0.148)+(終値!H39*0.099)+(終値!I39*0.066))/(0.333+0.222+0.148+0.099+0.066),""))</f>
        <v>1394.3652073732717</v>
      </c>
      <c r="AC171" s="329">
        <f>IF(OR(C171="",C171="TOPX",終値!E39=""),"",IFERROR(SUMPRODUCT((終値!E39:AC39),{0.077,0.071,0.065,0.06,0.055,0.051,0.047,0.043,0.039,0.036,0.033,0.031,0.028,0.026,0.024,0.022,0.02,0.018,0.017,0.016,0.014,0.013,0.012,0.011,0.01})/SUM({0.077,0.071,0.065,0.06,0.055,0.051,0.047,0.043,0.039,0.036,0.033,0.031,0.028,0.026,0.024,0.022,0.02,0.018,0.017,0.016,0.014,0.013,0.012,0.011,0.01}),""))</f>
        <v>1355.251489868891</v>
      </c>
      <c r="AD171" s="328" t="str">
        <f t="shared" si="56"/>
        <v>パーフェクト▲</v>
      </c>
      <c r="AE171" s="328" t="e">
        <f t="shared" si="57"/>
        <v>#VALUE!</v>
      </c>
      <c r="AF171" t="e">
        <f>IF(T171="","",IF(銘柄管理!$F$5="上昇▲",IF(AND(AD171="下降トレンド▼",OR(AE171="25日戻り売り★",AE171="5日戻り売り○")),"★逆張り売り",IF(AND(AD171="もみ合い→",OR(AE171="25日戻り売り★",AE171="5日戻り売り○")),"○逆張り売り",IF(W171&gt;=70,IF(Z171&lt;0,"◎反落確認","△過熱・様子見"),"相場上昇・見送り"))),IF(AND(T171&gt;=12,AD171="下降トレンド▼"),"★強い売り",IF(T171&gt;=12,"★強い売り",IF(AND(T171&gt;=8,OR(AE171="25日戻り売り★",AE171="5日戻り売り○")),"◎戻り売り",IF(T171&gt;=10,"○売り候補",IF(T171&gt;=6,"△注目",IF(T171&gt;=3,"様子見","見送り"))))))))</f>
        <v>#VALUE!</v>
      </c>
      <c r="AG171">
        <f t="shared" si="58"/>
        <v>0</v>
      </c>
      <c r="AH171">
        <f t="shared" si="59"/>
        <v>0</v>
      </c>
      <c r="AI171" s="376">
        <f t="array" ref="AI171">IF(C171="","",IFERROR((INDEX(終値!$E:$E,MATCH(TEXT(C171,"0"),終値!$A:$A,0))-INDEX(終値!$E:$CZ,MATCH(TEXT(C171,"0"),終値!$A:$A,0),$AN$2))/INDEX(終値!$E:$CZ,MATCH(TEXT(C171,"0"),終値!$A:$A,0),$AN$2)*100,""))</f>
        <v>7.0465922217943771</v>
      </c>
      <c r="AJ171" s="376">
        <f t="array" ref="AJ171">IFERROR((終値!$E$5-INDEX(終値!$E$5:$CZ$5,1,$AN$2))/INDEX(終値!$E$5:$CZ$5,1,$AN$2)*100,"")</f>
        <v>2.31989243802786</v>
      </c>
      <c r="AK171" s="377">
        <f t="shared" si="60"/>
        <v>4.7266997837665166</v>
      </c>
      <c r="AL171" s="375">
        <f t="shared" si="61"/>
        <v>-2</v>
      </c>
      <c r="AO171" s="379" t="e">
        <f t="shared" si="62"/>
        <v>#VALUE!</v>
      </c>
      <c r="AP171" s="380" t="e">
        <f t="shared" si="63"/>
        <v>#VALUE!</v>
      </c>
      <c r="AQ171">
        <f>IF(C171&lt;&gt;"",始値!F39,"")</f>
        <v>1415</v>
      </c>
      <c r="AR171">
        <f>IF(C171&lt;&gt;"",高値!F39,"")</f>
        <v>1418.5</v>
      </c>
      <c r="AS171">
        <f>IF(C171&lt;&gt;"",安値!F39,"")</f>
        <v>1406.5</v>
      </c>
      <c r="AT171" t="str">
        <f t="shared" si="64"/>
        <v>通常</v>
      </c>
      <c r="AU171">
        <f t="shared" si="65"/>
        <v>0</v>
      </c>
    </row>
    <row r="172" spans="1:47" ht="14.25" customHeight="1">
      <c r="A172" s="335" t="str">
        <f>IF(銘柄管理!B44&lt;&gt;"",HYPERLINK("https://kabutan.jp/stock/?code="&amp;銘柄管理!B44,"株探"),"")</f>
        <v>株探</v>
      </c>
      <c r="B172" s="215"/>
      <c r="C172" s="478">
        <f>IF(銘柄管理!B44="","",銘柄管理!B44)</f>
        <v>3402</v>
      </c>
      <c r="D172" s="215" t="str">
        <f>IF(銘柄管理!C44="","",銘柄管理!C44)</f>
        <v/>
      </c>
      <c r="E172" s="336" t="str">
        <f>IF(C172&lt;&gt;"",_xll.RssMarket(C172,"現在値"),"")</f>
        <v/>
      </c>
      <c r="F172" s="336" t="str">
        <f>IF(C172&lt;&gt;"",_xll.RssMarket(C172,"始値"),"")</f>
        <v/>
      </c>
      <c r="G172" s="215">
        <f>IF(C172&lt;&gt;"",終値!F44,"")</f>
        <v>1172</v>
      </c>
      <c r="H172" s="336" t="str">
        <f>IF(C172&lt;&gt;"",_xll.RssMarket(C172,"高値"),"")</f>
        <v/>
      </c>
      <c r="I172" s="336" t="str">
        <f>IF(C172&lt;&gt;"",_xll.RssMarket(C172,"安値"),"")</f>
        <v/>
      </c>
      <c r="J172" s="336" t="str">
        <f>IF(C172&lt;&gt;"",_xll.RssMarket(C172,"出来高"),"")</f>
        <v/>
      </c>
      <c r="K172" s="336" t="str">
        <f>IF(C172&lt;&gt;"",_xll.RssMarket(C172,"年初来高値"),"")</f>
        <v/>
      </c>
      <c r="L172" s="337" t="str">
        <f t="shared" si="44"/>
        <v/>
      </c>
      <c r="M172" s="336">
        <f>IF(C172&lt;&gt;"",IFERROR(AVERAGE(出来高!E44:I44),""),"")</f>
        <v>4467000</v>
      </c>
      <c r="N172" s="336">
        <f>IF(C172&lt;&gt;"",IFERROR(AVERAGE(出来高!E44:AC44),""),"")</f>
        <v>4375548</v>
      </c>
      <c r="O172" s="338" t="str">
        <f t="shared" si="45"/>
        <v/>
      </c>
      <c r="P172" s="215" t="str">
        <f t="shared" si="46"/>
        <v/>
      </c>
      <c r="Q172" s="215" t="str">
        <f t="shared" si="47"/>
        <v/>
      </c>
      <c r="R172" s="336" t="str">
        <f t="shared" si="48"/>
        <v/>
      </c>
      <c r="S172" s="336" t="str">
        <f t="shared" si="49"/>
        <v/>
      </c>
      <c r="T172" s="328">
        <f t="shared" si="50"/>
        <v>0</v>
      </c>
      <c r="U172" s="215" t="str">
        <f t="shared" si="51"/>
        <v>除外</v>
      </c>
      <c r="V172" s="215" t="str">
        <f t="shared" si="52"/>
        <v/>
      </c>
      <c r="W172" s="339">
        <f t="array" ref="W172">IFERROR(100-100/(1+SUMPRODUCT((終値!F44:R44&gt;終値!G44:S44)*(終値!F44:R44-終値!G44:S44))/SUMPRODUCT((終値!F44:R44&lt;終値!G44:S44)*(終値!G44:S44-終値!F44:R44))),50)</f>
        <v>57.575757575757578</v>
      </c>
      <c r="X172" s="340">
        <f>IF(C172&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0.79859416730687371</v>
      </c>
      <c r="Y172" s="215" t="e">
        <f t="shared" si="53"/>
        <v>#VALUE!</v>
      </c>
      <c r="Z172" s="341" t="str">
        <f t="shared" si="54"/>
        <v/>
      </c>
      <c r="AA172" s="215" t="str">
        <f t="shared" si="55"/>
        <v/>
      </c>
      <c r="AB172" s="336">
        <f>IF(OR(C172="",C172="TOPX",終値!E44=""),"",IFERROR(((終値!E44*0.333)+(終値!F44*0.222)+(終値!G44*0.148)+(終値!H44*0.099)+(終値!I44*0.066))/(0.333+0.222+0.148+0.099+0.066),""))</f>
        <v>1153.8796082949309</v>
      </c>
      <c r="AC172" s="336">
        <f>IF(OR(C172="",C172="TOPX",終値!E44=""),"",IFERROR(SUMPRODUCT((終値!E44:AC44),{0.077,0.071,0.065,0.06,0.055,0.051,0.047,0.043,0.039,0.036,0.033,0.031,0.028,0.026,0.024,0.022,0.02,0.018,0.017,0.016,0.014,0.013,0.012,0.011,0.01})/SUM({0.077,0.071,0.065,0.06,0.055,0.051,0.047,0.043,0.039,0.036,0.033,0.031,0.028,0.026,0.024,0.022,0.02,0.018,0.017,0.016,0.014,0.013,0.012,0.011,0.01}),""))</f>
        <v>1150.6108462455297</v>
      </c>
      <c r="AD172" s="215" t="str">
        <f t="shared" si="56"/>
        <v>パーフェクト▲</v>
      </c>
      <c r="AE172" s="215" t="e">
        <f t="shared" si="57"/>
        <v>#VALUE!</v>
      </c>
      <c r="AF172" t="e">
        <f>IF(T172="","",IF(銘柄管理!$F$5="上昇▲",IF(AND(AD172="下降トレンド▼",OR(AE172="25日戻り売り★",AE172="5日戻り売り○")),"★逆張り売り",IF(AND(AD172="もみ合い→",OR(AE172="25日戻り売り★",AE172="5日戻り売り○")),"○逆張り売り",IF(W172&gt;=70,IF(Z172&lt;0,"◎反落確認","△過熱・様子見"),"相場上昇・見送り"))),IF(AND(T172&gt;=12,AD172="下降トレンド▼"),"★強い売り",IF(T172&gt;=12,"★強い売り",IF(AND(T172&gt;=8,OR(AE172="25日戻り売り★",AE172="5日戻り売り○")),"◎戻り売り",IF(T172&gt;=10,"○売り候補",IF(T172&gt;=6,"△注目",IF(T172&gt;=3,"様子見","見送り"))))))))</f>
        <v>#VALUE!</v>
      </c>
      <c r="AG172">
        <f t="shared" si="58"/>
        <v>0</v>
      </c>
      <c r="AH172">
        <f t="shared" si="59"/>
        <v>0</v>
      </c>
      <c r="AI172" s="376">
        <f t="array" ref="AI172">IF(C172="","",IFERROR((INDEX(終値!$E:$E,MATCH(TEXT(C172,"0"),終値!$A:$A,0))-INDEX(終値!$E:$CZ,MATCH(TEXT(C172,"0"),終値!$A:$A,0),$AN$2))/INDEX(終値!$E:$CZ,MATCH(TEXT(C172,"0"),終値!$A:$A,0),$AN$2)*100,""))</f>
        <v>2.4074899687917966</v>
      </c>
      <c r="AJ172" s="376">
        <f t="array" ref="AJ172">IFERROR((終値!$E$5-INDEX(終値!$E$5:$CZ$5,1,$AN$2))/INDEX(終値!$E$5:$CZ$5,1,$AN$2)*100,"")</f>
        <v>2.31989243802786</v>
      </c>
      <c r="AK172" s="377">
        <f t="shared" si="60"/>
        <v>8.7597530763936504E-2</v>
      </c>
      <c r="AL172" s="375">
        <f t="shared" si="61"/>
        <v>-1</v>
      </c>
      <c r="AO172" s="379" t="e">
        <f t="shared" si="62"/>
        <v>#VALUE!</v>
      </c>
      <c r="AP172" s="380" t="e">
        <f t="shared" si="63"/>
        <v>#VALUE!</v>
      </c>
      <c r="AQ172">
        <f>IF(C172&lt;&gt;"",始値!F44,"")</f>
        <v>1181</v>
      </c>
      <c r="AR172">
        <f>IF(C172&lt;&gt;"",高値!F44,"")</f>
        <v>1182</v>
      </c>
      <c r="AS172">
        <f>IF(C172&lt;&gt;"",安値!F44,"")</f>
        <v>1156.5</v>
      </c>
      <c r="AT172" t="str">
        <f t="shared" si="64"/>
        <v>長い下ヒゲ(反発)</v>
      </c>
      <c r="AU172">
        <f t="shared" si="65"/>
        <v>-2</v>
      </c>
    </row>
    <row r="173" spans="1:47" ht="14.25" customHeight="1">
      <c r="A173" s="327" t="str">
        <f>IF(銘柄管理!B46&lt;&gt;"",HYPERLINK("https://kabutan.jp/stock/?code="&amp;銘柄管理!B46,"株探"),"")</f>
        <v>株探</v>
      </c>
      <c r="B173" s="328"/>
      <c r="C173" s="477">
        <f>IF(銘柄管理!B46="","",銘柄管理!B46)</f>
        <v>5401</v>
      </c>
      <c r="D173" s="328" t="str">
        <f>IF(銘柄管理!C46="","",銘柄管理!C46)</f>
        <v/>
      </c>
      <c r="E173" s="329" t="str">
        <f>IF(C173&lt;&gt;"",_xll.RssMarket(C173,"現在値"),"")</f>
        <v/>
      </c>
      <c r="F173" s="329" t="str">
        <f>IF(C173&lt;&gt;"",_xll.RssMarket(C173,"始値"),"")</f>
        <v/>
      </c>
      <c r="G173" s="328">
        <f>IF(C173&lt;&gt;"",終値!F46,"")</f>
        <v>574.29999999999995</v>
      </c>
      <c r="H173" s="329" t="str">
        <f>IF(C173&lt;&gt;"",_xll.RssMarket(C173,"高値"),"")</f>
        <v/>
      </c>
      <c r="I173" s="329" t="str">
        <f>IF(C173&lt;&gt;"",_xll.RssMarket(C173,"安値"),"")</f>
        <v/>
      </c>
      <c r="J173" s="329" t="str">
        <f>IF(C173&lt;&gt;"",_xll.RssMarket(C173,"出来高"),"")</f>
        <v/>
      </c>
      <c r="K173" s="329" t="str">
        <f>IF(C173&lt;&gt;"",_xll.RssMarket(C173,"年初来高値"),"")</f>
        <v/>
      </c>
      <c r="L173" s="330" t="str">
        <f t="shared" si="44"/>
        <v/>
      </c>
      <c r="M173" s="329">
        <f>IF(C173&lt;&gt;"",IFERROR(AVERAGE(出来高!E46:I46),""),"")</f>
        <v>32003960</v>
      </c>
      <c r="N173" s="329">
        <f>IF(C173&lt;&gt;"",IFERROR(AVERAGE(出来高!E46:AC46),""),"")</f>
        <v>27950252</v>
      </c>
      <c r="O173" s="331" t="str">
        <f t="shared" si="45"/>
        <v/>
      </c>
      <c r="P173" s="328" t="str">
        <f t="shared" si="46"/>
        <v/>
      </c>
      <c r="Q173" s="328" t="str">
        <f t="shared" si="47"/>
        <v/>
      </c>
      <c r="R173" s="329" t="str">
        <f t="shared" si="48"/>
        <v/>
      </c>
      <c r="S173" s="329" t="str">
        <f t="shared" si="49"/>
        <v/>
      </c>
      <c r="T173" s="328">
        <f t="shared" si="50"/>
        <v>0</v>
      </c>
      <c r="U173" s="328" t="str">
        <f t="shared" si="51"/>
        <v>除外</v>
      </c>
      <c r="V173" s="328" t="str">
        <f t="shared" si="52"/>
        <v/>
      </c>
      <c r="W173" s="332">
        <f t="array" ref="W173">IFERROR(100-100/(1+SUMPRODUCT((終値!F46:R46&gt;終値!G46:S46)*(終値!F46:R46-終値!G46:S46))/SUMPRODUCT((終値!F46:R46&lt;終値!G46:S46)*(終値!G46:S46-終値!F46:R46))),50)</f>
        <v>66.384522370012036</v>
      </c>
      <c r="X173" s="333">
        <f>IF(C173&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2.4199988855234551</v>
      </c>
      <c r="Y173" s="328" t="e">
        <f t="shared" si="53"/>
        <v>#VALUE!</v>
      </c>
      <c r="Z173" s="334" t="str">
        <f t="shared" si="54"/>
        <v/>
      </c>
      <c r="AA173" s="328" t="str">
        <f t="shared" si="55"/>
        <v/>
      </c>
      <c r="AB173" s="329">
        <f>IF(OR(C173="",C173="TOPX",終値!E46=""),"",IFERROR(((終値!E46*0.333)+(終値!F46*0.222)+(終値!G46*0.148)+(終値!H46*0.099)+(終値!I46*0.066))/(0.333+0.222+0.148+0.099+0.066),""))</f>
        <v>574.029262672811</v>
      </c>
      <c r="AC173" s="329">
        <f>IF(OR(C173="",C173="TOPX",終値!E46=""),"",IFERROR(SUMPRODUCT((終値!E46:AC46),{0.077,0.071,0.065,0.06,0.055,0.051,0.047,0.043,0.039,0.036,0.033,0.031,0.028,0.026,0.024,0.022,0.02,0.018,0.017,0.016,0.014,0.013,0.012,0.011,0.01})/SUM({0.077,0.071,0.065,0.06,0.055,0.051,0.047,0.043,0.039,0.036,0.033,0.031,0.028,0.026,0.024,0.022,0.02,0.018,0.017,0.016,0.014,0.013,0.012,0.011,0.01}),""))</f>
        <v>556.40572109654329</v>
      </c>
      <c r="AD173" s="328" t="str">
        <f t="shared" si="56"/>
        <v>パーフェクト▲</v>
      </c>
      <c r="AE173" s="328" t="e">
        <f t="shared" si="57"/>
        <v>#VALUE!</v>
      </c>
      <c r="AF173" t="e">
        <f>IF(T173="","",IF(銘柄管理!$F$5="上昇▲",IF(AND(AD173="下降トレンド▼",OR(AE173="25日戻り売り★",AE173="5日戻り売り○")),"★逆張り売り",IF(AND(AD173="もみ合い→",OR(AE173="25日戻り売り★",AE173="5日戻り売り○")),"○逆張り売り",IF(W173&gt;=70,IF(Z173&lt;0,"◎反落確認","△過熱・様子見"),"相場上昇・見送り"))),IF(AND(T173&gt;=12,AD173="下降トレンド▼"),"★強い売り",IF(T173&gt;=12,"★強い売り",IF(AND(T173&gt;=8,OR(AE173="25日戻り売り★",AE173="5日戻り売り○")),"◎戻り売り",IF(T173&gt;=10,"○売り候補",IF(T173&gt;=6,"△注目",IF(T173&gt;=3,"様子見","見送り"))))))))</f>
        <v>#VALUE!</v>
      </c>
      <c r="AG173">
        <f t="shared" si="58"/>
        <v>0</v>
      </c>
      <c r="AH173">
        <f t="shared" si="59"/>
        <v>0</v>
      </c>
      <c r="AI173" s="376">
        <f t="array" ref="AI173">IF(C173="","",IFERROR((INDEX(終値!$E:$E,MATCH(TEXT(C173,"0"),終値!$A:$A,0))-INDEX(終値!$E:$CZ,MATCH(TEXT(C173,"0"),終値!$A:$A,0),$AN$2))/INDEX(終値!$E:$CZ,MATCH(TEXT(C173,"0"),終値!$A:$A,0),$AN$2)*100,""))</f>
        <v>7.0566727605118871</v>
      </c>
      <c r="AJ173" s="376">
        <f t="array" ref="AJ173">IFERROR((終値!$E$5-INDEX(終値!$E$5:$CZ$5,1,$AN$2))/INDEX(終値!$E$5:$CZ$5,1,$AN$2)*100,"")</f>
        <v>2.31989243802786</v>
      </c>
      <c r="AK173" s="377">
        <f t="shared" si="60"/>
        <v>4.7367803224840266</v>
      </c>
      <c r="AL173" s="375">
        <f t="shared" si="61"/>
        <v>-2</v>
      </c>
      <c r="AO173" s="379" t="e">
        <f t="shared" si="62"/>
        <v>#VALUE!</v>
      </c>
      <c r="AP173" s="380" t="e">
        <f t="shared" si="63"/>
        <v>#VALUE!</v>
      </c>
      <c r="AQ173">
        <f>IF(C173&lt;&gt;"",始値!F46,"")</f>
        <v>572.9</v>
      </c>
      <c r="AR173">
        <f>IF(C173&lt;&gt;"",高値!F46,"")</f>
        <v>576.6</v>
      </c>
      <c r="AS173">
        <f>IF(C173&lt;&gt;"",安値!F46,"")</f>
        <v>569.5</v>
      </c>
      <c r="AT173" t="str">
        <f t="shared" si="64"/>
        <v>通常</v>
      </c>
      <c r="AU173">
        <f t="shared" si="65"/>
        <v>0</v>
      </c>
    </row>
    <row r="174" spans="1:47" ht="14.25" customHeight="1">
      <c r="A174" s="335" t="str">
        <f>IF(銘柄管理!B52&lt;&gt;"",HYPERLINK("https://kabutan.jp/stock/?code="&amp;銘柄管理!B52,"株探"),"")</f>
        <v>株探</v>
      </c>
      <c r="B174" s="215"/>
      <c r="C174" s="478">
        <f>IF(銘柄管理!B52="","",銘柄管理!B52)</f>
        <v>8766</v>
      </c>
      <c r="D174" s="215" t="str">
        <f>IF(銘柄管理!C52="","",銘柄管理!C52)</f>
        <v/>
      </c>
      <c r="E174" s="336" t="str">
        <f>IF(C174&lt;&gt;"",_xll.RssMarket(C174,"現在値"),"")</f>
        <v/>
      </c>
      <c r="F174" s="336" t="str">
        <f>IF(C174&lt;&gt;"",_xll.RssMarket(C174,"始値"),"")</f>
        <v/>
      </c>
      <c r="G174" s="215">
        <f>IF(C174&lt;&gt;"",終値!F52,"")</f>
        <v>7772</v>
      </c>
      <c r="H174" s="336" t="str">
        <f>IF(C174&lt;&gt;"",_xll.RssMarket(C174,"高値"),"")</f>
        <v/>
      </c>
      <c r="I174" s="336" t="str">
        <f>IF(C174&lt;&gt;"",_xll.RssMarket(C174,"安値"),"")</f>
        <v/>
      </c>
      <c r="J174" s="336" t="str">
        <f>IF(C174&lt;&gt;"",_xll.RssMarket(C174,"出来高"),"")</f>
        <v/>
      </c>
      <c r="K174" s="336" t="str">
        <f>IF(C174&lt;&gt;"",_xll.RssMarket(C174,"年初来高値"),"")</f>
        <v/>
      </c>
      <c r="L174" s="337" t="str">
        <f t="shared" si="44"/>
        <v/>
      </c>
      <c r="M174" s="336">
        <f>IF(C174&lt;&gt;"",IFERROR(AVERAGE(出来高!E52:I52),""),"")</f>
        <v>4697180</v>
      </c>
      <c r="N174" s="336">
        <f>IF(C174&lt;&gt;"",IFERROR(AVERAGE(出来高!E52:AC52),""),"")</f>
        <v>5773944</v>
      </c>
      <c r="O174" s="338" t="str">
        <f t="shared" si="45"/>
        <v/>
      </c>
      <c r="P174" s="215" t="str">
        <f t="shared" si="46"/>
        <v/>
      </c>
      <c r="Q174" s="215" t="str">
        <f t="shared" si="47"/>
        <v/>
      </c>
      <c r="R174" s="336" t="str">
        <f t="shared" si="48"/>
        <v/>
      </c>
      <c r="S174" s="336" t="str">
        <f t="shared" si="49"/>
        <v/>
      </c>
      <c r="T174" s="328">
        <f t="shared" si="50"/>
        <v>0</v>
      </c>
      <c r="U174" s="215" t="str">
        <f t="shared" si="51"/>
        <v>除外</v>
      </c>
      <c r="V174" s="215" t="str">
        <f t="shared" si="52"/>
        <v/>
      </c>
      <c r="W174" s="339">
        <f t="array" ref="W174">IFERROR(100-100/(1+SUMPRODUCT((終値!F52:R52&gt;終値!G52:S52)*(終値!F52:R52-終値!G52:S52))/SUMPRODUCT((終値!F52:R52&lt;終値!G52:S52)*(終値!G52:S52-終値!F52:R52))),50)</f>
        <v>73.811983471074385</v>
      </c>
      <c r="X174" s="340">
        <f>IF(C174&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81.08896508901762</v>
      </c>
      <c r="Y174" s="215" t="e">
        <f t="shared" si="53"/>
        <v>#VALUE!</v>
      </c>
      <c r="Z174" s="341" t="str">
        <f t="shared" si="54"/>
        <v/>
      </c>
      <c r="AA174" s="215" t="str">
        <f t="shared" si="55"/>
        <v/>
      </c>
      <c r="AB174" s="336">
        <f>IF(OR(C174="",C174="TOPX",終値!E52=""),"",IFERROR(((終値!E52*0.333)+(終値!F52*0.222)+(終値!G52*0.148)+(終値!H52*0.099)+(終値!I52*0.066))/(0.333+0.222+0.148+0.099+0.066),""))</f>
        <v>7638.2292626728113</v>
      </c>
      <c r="AC174" s="336">
        <f>IF(OR(C174="",C174="TOPX",終値!E52=""),"",IFERROR(SUMPRODUCT((終値!E52:AC52),{0.077,0.071,0.065,0.06,0.055,0.051,0.047,0.043,0.039,0.036,0.033,0.031,0.028,0.026,0.024,0.022,0.02,0.018,0.017,0.016,0.014,0.013,0.012,0.011,0.01})/SUM({0.077,0.071,0.065,0.06,0.055,0.051,0.047,0.043,0.039,0.036,0.033,0.031,0.028,0.026,0.024,0.022,0.02,0.018,0.017,0.016,0.014,0.013,0.012,0.011,0.01}),""))</f>
        <v>7493.5947556614983</v>
      </c>
      <c r="AD174" s="215" t="str">
        <f t="shared" si="56"/>
        <v>パーフェクト▲</v>
      </c>
      <c r="AE174" s="215" t="e">
        <f t="shared" si="57"/>
        <v>#VALUE!</v>
      </c>
      <c r="AF174" t="e">
        <f>IF(T174="","",IF(銘柄管理!$F$5="上昇▲",IF(AND(AD174="下降トレンド▼",OR(AE174="25日戻り売り★",AE174="5日戻り売り○")),"★逆張り売り",IF(AND(AD174="もみ合い→",OR(AE174="25日戻り売り★",AE174="5日戻り売り○")),"○逆張り売り",IF(W174&gt;=70,IF(Z174&lt;0,"◎反落確認","△過熱・様子見"),"相場上昇・見送り"))),IF(AND(T174&gt;=12,AD174="下降トレンド▼"),"★強い売り",IF(T174&gt;=12,"★強い売り",IF(AND(T174&gt;=8,OR(AE174="25日戻り売り★",AE174="5日戻り売り○")),"◎戻り売り",IF(T174&gt;=10,"○売り候補",IF(T174&gt;=6,"△注目",IF(T174&gt;=3,"様子見","見送り"))))))))</f>
        <v>#VALUE!</v>
      </c>
      <c r="AG174">
        <f t="shared" si="58"/>
        <v>0</v>
      </c>
      <c r="AH174">
        <f t="shared" si="59"/>
        <v>0</v>
      </c>
      <c r="AI174" s="376">
        <f t="array" ref="AI174">IF(C174="","",IFERROR((INDEX(終値!$E:$E,MATCH(TEXT(C174,"0"),終値!$A:$A,0))-INDEX(終値!$E:$CZ,MATCH(TEXT(C174,"0"),終値!$A:$A,0),$AN$2))/INDEX(終値!$E:$CZ,MATCH(TEXT(C174,"0"),終値!$A:$A,0),$AN$2)*100,""))</f>
        <v>4.0652654867256635</v>
      </c>
      <c r="AJ174" s="376">
        <f t="array" ref="AJ174">IFERROR((終値!$E$5-INDEX(終値!$E$5:$CZ$5,1,$AN$2))/INDEX(終値!$E$5:$CZ$5,1,$AN$2)*100,"")</f>
        <v>2.31989243802786</v>
      </c>
      <c r="AK174" s="377">
        <f t="shared" si="60"/>
        <v>1.7453730486978034</v>
      </c>
      <c r="AL174" s="375">
        <f t="shared" si="61"/>
        <v>-1</v>
      </c>
      <c r="AO174" s="379" t="e">
        <f t="shared" si="62"/>
        <v>#VALUE!</v>
      </c>
      <c r="AP174" s="380" t="e">
        <f t="shared" si="63"/>
        <v>#VALUE!</v>
      </c>
      <c r="AQ174">
        <f>IF(C174&lt;&gt;"",始値!F52,"")</f>
        <v>7816</v>
      </c>
      <c r="AR174">
        <f>IF(C174&lt;&gt;"",高値!F52,"")</f>
        <v>7873</v>
      </c>
      <c r="AS174">
        <f>IF(C174&lt;&gt;"",安値!F52,"")</f>
        <v>7734</v>
      </c>
      <c r="AT174" t="str">
        <f t="shared" si="64"/>
        <v>通常</v>
      </c>
      <c r="AU174">
        <f t="shared" si="65"/>
        <v>0</v>
      </c>
    </row>
    <row r="175" spans="1:47" ht="14.25" customHeight="1">
      <c r="A175" s="327" t="str">
        <f>IF(銘柄管理!B53&lt;&gt;"",HYPERLINK("https://kabutan.jp/stock/?code="&amp;銘柄管理!B53,"株探"),"")</f>
        <v>株探</v>
      </c>
      <c r="B175" s="328"/>
      <c r="C175" s="477">
        <f>IF(銘柄管理!B53="","",銘柄管理!B53)</f>
        <v>5201</v>
      </c>
      <c r="D175" s="328" t="str">
        <f>IF(銘柄管理!C53="","",銘柄管理!C53)</f>
        <v/>
      </c>
      <c r="E175" s="329" t="str">
        <f>IF(C175&lt;&gt;"",_xll.RssMarket(C175,"現在値"),"")</f>
        <v/>
      </c>
      <c r="F175" s="329" t="str">
        <f>IF(C175&lt;&gt;"",_xll.RssMarket(C175,"始値"),"")</f>
        <v/>
      </c>
      <c r="G175" s="328">
        <f>IF(C175&lt;&gt;"",終値!F53,"")</f>
        <v>6516</v>
      </c>
      <c r="H175" s="329" t="str">
        <f>IF(C175&lt;&gt;"",_xll.RssMarket(C175,"高値"),"")</f>
        <v/>
      </c>
      <c r="I175" s="329" t="str">
        <f>IF(C175&lt;&gt;"",_xll.RssMarket(C175,"安値"),"")</f>
        <v/>
      </c>
      <c r="J175" s="329" t="str">
        <f>IF(C175&lt;&gt;"",_xll.RssMarket(C175,"出来高"),"")</f>
        <v/>
      </c>
      <c r="K175" s="329" t="str">
        <f>IF(C175&lt;&gt;"",_xll.RssMarket(C175,"年初来高値"),"")</f>
        <v/>
      </c>
      <c r="L175" s="330" t="str">
        <f t="shared" si="44"/>
        <v/>
      </c>
      <c r="M175" s="329">
        <f>IF(C175&lt;&gt;"",IFERROR(AVERAGE(出来高!E53:I53),""),"")</f>
        <v>1292000</v>
      </c>
      <c r="N175" s="329">
        <f>IF(C175&lt;&gt;"",IFERROR(AVERAGE(出来高!E53:AC53),""),"")</f>
        <v>1317324</v>
      </c>
      <c r="O175" s="331" t="str">
        <f t="shared" si="45"/>
        <v/>
      </c>
      <c r="P175" s="328" t="str">
        <f t="shared" si="46"/>
        <v/>
      </c>
      <c r="Q175" s="328" t="str">
        <f t="shared" si="47"/>
        <v/>
      </c>
      <c r="R175" s="329" t="str">
        <f t="shared" si="48"/>
        <v/>
      </c>
      <c r="S175" s="329" t="str">
        <f t="shared" si="49"/>
        <v/>
      </c>
      <c r="T175" s="328">
        <f t="shared" si="50"/>
        <v>0</v>
      </c>
      <c r="U175" s="328" t="str">
        <f t="shared" si="51"/>
        <v>除外</v>
      </c>
      <c r="V175" s="328" t="str">
        <f t="shared" si="52"/>
        <v/>
      </c>
      <c r="W175" s="332">
        <f t="array" ref="W175">IFERROR(100-100/(1+SUMPRODUCT((終値!F53:R53&gt;終値!G53:S53)*(終値!F53:R53-終値!G53:S53))/SUMPRODUCT((終値!F53:R53&lt;終値!G53:S53)*(終値!G53:S53-終値!F53:R53))),50)</f>
        <v>25.651041666666671</v>
      </c>
      <c r="X175" s="333">
        <f>IF(C175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-126.01528823152148</v>
      </c>
      <c r="Y175" s="328" t="e">
        <f t="shared" si="53"/>
        <v>#VALUE!</v>
      </c>
      <c r="Z175" s="334" t="str">
        <f t="shared" si="54"/>
        <v/>
      </c>
      <c r="AA175" s="328" t="str">
        <f t="shared" si="55"/>
        <v/>
      </c>
      <c r="AB175" s="329">
        <f>IF(OR(C175="",C175="TOPX",終値!E53=""),"",IFERROR(((終値!E53*0.333)+(終値!F53*0.222)+(終値!G53*0.148)+(終値!H53*0.099)+(終値!I53*0.066))/(0.333+0.222+0.148+0.099+0.066),""))</f>
        <v>6326.7741935483855</v>
      </c>
      <c r="AC175" s="329">
        <f>IF(OR(C175="",C175="TOPX",終値!E53=""),"",IFERROR(SUMPRODUCT((終値!E53:AC53),{0.077,0.071,0.065,0.06,0.055,0.051,0.047,0.043,0.039,0.036,0.033,0.031,0.028,0.026,0.024,0.022,0.02,0.018,0.017,0.016,0.014,0.013,0.012,0.011,0.01})/SUM({0.077,0.071,0.065,0.06,0.055,0.051,0.047,0.043,0.039,0.036,0.033,0.031,0.028,0.026,0.024,0.022,0.02,0.018,0.017,0.016,0.014,0.013,0.012,0.011,0.01}),""))</f>
        <v>6712.7437425506523</v>
      </c>
      <c r="AD175" s="328" t="str">
        <f t="shared" si="56"/>
        <v>上昇トレンド▲</v>
      </c>
      <c r="AE175" s="328" t="e">
        <f t="shared" si="57"/>
        <v>#VALUE!</v>
      </c>
      <c r="AF175" t="e">
        <f>IF(T175="","",IF(銘柄管理!$F$5="上昇▲",IF(AND(AD175="下降トレンド▼",OR(AE175="25日戻り売り★",AE175="5日戻り売り○")),"★逆張り売り",IF(AND(AD175="もみ合い→",OR(AE175="25日戻り売り★",AE175="5日戻り売り○")),"○逆張り売り",IF(W175&gt;=70,IF(Z175&lt;0,"◎反落確認","△過熱・様子見"),"相場上昇・見送り"))),IF(AND(T175&gt;=12,AD175="下降トレンド▼"),"★強い売り",IF(T175&gt;=12,"★強い売り",IF(AND(T175&gt;=8,OR(AE175="25日戻り売り★",AE175="5日戻り売り○")),"◎戻り売り",IF(T175&gt;=10,"○売り候補",IF(T175&gt;=6,"△注目",IF(T175&gt;=3,"様子見","見送り"))))))))</f>
        <v>#VALUE!</v>
      </c>
      <c r="AG175">
        <f t="shared" si="58"/>
        <v>0</v>
      </c>
      <c r="AH175">
        <f t="shared" si="59"/>
        <v>0</v>
      </c>
      <c r="AI175" s="376">
        <f t="array" ref="AI175">IF(C175="","",IFERROR((INDEX(終値!$E:$E,MATCH(TEXT(C175,"0"),終値!$A:$A,0))-INDEX(終値!$E:$CZ,MATCH(TEXT(C175,"0"),終値!$A:$A,0),$AN$2))/INDEX(終値!$E:$CZ,MATCH(TEXT(C175,"0"),終値!$A:$A,0),$AN$2)*100,""))</f>
        <v>-14.957028001108954</v>
      </c>
      <c r="AJ175" s="376">
        <f t="array" ref="AJ175">IFERROR((終値!$E$5-INDEX(終値!$E$5:$CZ$5,1,$AN$2))/INDEX(終値!$E$5:$CZ$5,1,$AN$2)*100,"")</f>
        <v>2.31989243802786</v>
      </c>
      <c r="AK175" s="377">
        <f t="shared" si="60"/>
        <v>-17.276920439136813</v>
      </c>
      <c r="AL175" s="375">
        <f t="shared" si="61"/>
        <v>3</v>
      </c>
      <c r="AO175" s="379" t="e">
        <f t="shared" si="62"/>
        <v>#VALUE!</v>
      </c>
      <c r="AP175" s="380" t="e">
        <f t="shared" si="63"/>
        <v>#VALUE!</v>
      </c>
      <c r="AQ175">
        <f>IF(C175&lt;&gt;"",始値!F53,"")</f>
        <v>6434</v>
      </c>
      <c r="AR175">
        <f>IF(C175&lt;&gt;"",高値!F53,"")</f>
        <v>6518</v>
      </c>
      <c r="AS175">
        <f>IF(C175&lt;&gt;"",安値!F53,"")</f>
        <v>6417</v>
      </c>
      <c r="AT175" t="str">
        <f t="shared" si="64"/>
        <v>通常</v>
      </c>
      <c r="AU175">
        <f t="shared" si="65"/>
        <v>0</v>
      </c>
    </row>
    <row r="176" spans="1:47" ht="14.25" customHeight="1">
      <c r="A176" s="335" t="str">
        <f>IF(銘柄管理!B54&lt;&gt;"",HYPERLINK("https://kabutan.jp/stock/?code="&amp;銘柄管理!B54,"株探"),"")</f>
        <v>株探</v>
      </c>
      <c r="B176" s="215"/>
      <c r="C176" s="478">
        <f>IF(銘柄管理!B54="","",銘柄管理!B54)</f>
        <v>8630</v>
      </c>
      <c r="D176" s="215" t="str">
        <f>IF(銘柄管理!C54="","",銘柄管理!C54)</f>
        <v/>
      </c>
      <c r="E176" s="336" t="str">
        <f>IF(C176&lt;&gt;"",_xll.RssMarket(C176,"現在値"),"")</f>
        <v/>
      </c>
      <c r="F176" s="336" t="str">
        <f>IF(C176&lt;&gt;"",_xll.RssMarket(C176,"始値"),"")</f>
        <v/>
      </c>
      <c r="G176" s="215">
        <f>IF(C176&lt;&gt;"",終値!F54,"")</f>
        <v>6637</v>
      </c>
      <c r="H176" s="336" t="str">
        <f>IF(C176&lt;&gt;"",_xll.RssMarket(C176,"高値"),"")</f>
        <v/>
      </c>
      <c r="I176" s="336" t="str">
        <f>IF(C176&lt;&gt;"",_xll.RssMarket(C176,"安値"),"")</f>
        <v/>
      </c>
      <c r="J176" s="336" t="str">
        <f>IF(C176&lt;&gt;"",_xll.RssMarket(C176,"出来高"),"")</f>
        <v/>
      </c>
      <c r="K176" s="336" t="str">
        <f>IF(C176&lt;&gt;"",_xll.RssMarket(C176,"年初来高値"),"")</f>
        <v/>
      </c>
      <c r="L176" s="337" t="str">
        <f t="shared" si="44"/>
        <v/>
      </c>
      <c r="M176" s="336">
        <f>IF(C176&lt;&gt;"",IFERROR(AVERAGE(出来高!E54:I54),""),"")</f>
        <v>2835940</v>
      </c>
      <c r="N176" s="336">
        <f>IF(C176&lt;&gt;"",IFERROR(AVERAGE(出来高!E54:AC54),""),"")</f>
        <v>2541404</v>
      </c>
      <c r="O176" s="338" t="str">
        <f t="shared" si="45"/>
        <v/>
      </c>
      <c r="P176" s="215" t="str">
        <f t="shared" si="46"/>
        <v/>
      </c>
      <c r="Q176" s="215" t="str">
        <f t="shared" si="47"/>
        <v/>
      </c>
      <c r="R176" s="336" t="str">
        <f t="shared" si="48"/>
        <v/>
      </c>
      <c r="S176" s="336" t="str">
        <f t="shared" si="49"/>
        <v/>
      </c>
      <c r="T176" s="328">
        <f t="shared" si="50"/>
        <v>0</v>
      </c>
      <c r="U176" s="215" t="str">
        <f t="shared" si="51"/>
        <v>除外</v>
      </c>
      <c r="V176" s="215" t="str">
        <f t="shared" si="52"/>
        <v/>
      </c>
      <c r="W176" s="339">
        <f t="array" ref="W176">IFERROR(100-100/(1+SUMPRODUCT((終値!F54:R54&gt;終値!G54:S54)*(終値!F54:R54-終値!G54:S54))/SUMPRODUCT((終値!F54:R54&lt;終値!G54:S54)*(終値!G54:S54-終値!F54:R54))),50)</f>
        <v>73.835125448028677</v>
      </c>
      <c r="X176" s="340">
        <f>IF(C176&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62.06414808210593</v>
      </c>
      <c r="Y176" s="215" t="e">
        <f t="shared" si="53"/>
        <v>#VALUE!</v>
      </c>
      <c r="Z176" s="341" t="str">
        <f t="shared" si="54"/>
        <v/>
      </c>
      <c r="AA176" s="215" t="str">
        <f t="shared" si="55"/>
        <v/>
      </c>
      <c r="AB176" s="336">
        <f>IF(OR(C176="",C176="TOPX",終値!E54=""),"",IFERROR(((終値!E54*0.333)+(終値!F54*0.222)+(終値!G54*0.148)+(終値!H54*0.099)+(終値!I54*0.066))/(0.333+0.222+0.148+0.099+0.066),""))</f>
        <v>6597.7142857142844</v>
      </c>
      <c r="AC176" s="336">
        <f>IF(OR(C176="",C176="TOPX",終値!E54=""),"",IFERROR(SUMPRODUCT((終値!E54:AC54),{0.077,0.071,0.065,0.06,0.055,0.051,0.047,0.043,0.039,0.036,0.033,0.031,0.028,0.026,0.024,0.022,0.02,0.018,0.017,0.016,0.014,0.013,0.012,0.011,0.01})/SUM({0.077,0.071,0.065,0.06,0.055,0.051,0.047,0.043,0.039,0.036,0.033,0.031,0.028,0.026,0.024,0.022,0.02,0.018,0.017,0.016,0.014,0.013,0.012,0.011,0.01}),""))</f>
        <v>6470.0798569725839</v>
      </c>
      <c r="AD176" s="215" t="str">
        <f t="shared" si="56"/>
        <v>パーフェクト▲</v>
      </c>
      <c r="AE176" s="215" t="e">
        <f t="shared" si="57"/>
        <v>#VALUE!</v>
      </c>
      <c r="AF176" t="e">
        <f>IF(T176="","",IF(銘柄管理!$F$5="上昇▲",IF(AND(AD176="下降トレンド▼",OR(AE176="25日戻り売り★",AE176="5日戻り売り○")),"★逆張り売り",IF(AND(AD176="もみ合い→",OR(AE176="25日戻り売り★",AE176="5日戻り売り○")),"○逆張り売り",IF(W176&gt;=70,IF(Z176&lt;0,"◎反落確認","△過熱・様子見"),"相場上昇・見送り"))),IF(AND(T176&gt;=12,AD176="下降トレンド▼"),"★強い売り",IF(T176&gt;=12,"★強い売り",IF(AND(T176&gt;=8,OR(AE176="25日戻り売り★",AE176="5日戻り売り○")),"◎戻り売り",IF(T176&gt;=10,"○売り候補",IF(T176&gt;=6,"△注目",IF(T176&gt;=3,"様子見","見送り"))))))))</f>
        <v>#VALUE!</v>
      </c>
      <c r="AG176">
        <f t="shared" si="58"/>
        <v>0</v>
      </c>
      <c r="AH176">
        <f t="shared" si="59"/>
        <v>0</v>
      </c>
      <c r="AI176" s="376">
        <f t="array" ref="AI176">IF(C176="","",IFERROR((INDEX(終値!$E:$E,MATCH(TEXT(C176,"0"),終値!$A:$A,0))-INDEX(終値!$E:$CZ,MATCH(TEXT(C176,"0"),終値!$A:$A,0),$AN$2))/INDEX(終値!$E:$CZ,MATCH(TEXT(C176,"0"),終値!$A:$A,0),$AN$2)*100,""))</f>
        <v>10.647530040053404</v>
      </c>
      <c r="AJ176" s="376">
        <f t="array" ref="AJ176">IFERROR((終値!$E$5-INDEX(終値!$E$5:$CZ$5,1,$AN$2))/INDEX(終値!$E$5:$CZ$5,1,$AN$2)*100,"")</f>
        <v>2.31989243802786</v>
      </c>
      <c r="AK176" s="377">
        <f t="shared" si="60"/>
        <v>8.3276376020255434</v>
      </c>
      <c r="AL176" s="375">
        <f t="shared" si="61"/>
        <v>-2</v>
      </c>
      <c r="AO176" s="379" t="e">
        <f t="shared" si="62"/>
        <v>#VALUE!</v>
      </c>
      <c r="AP176" s="380" t="e">
        <f t="shared" si="63"/>
        <v>#VALUE!</v>
      </c>
      <c r="AQ176">
        <f>IF(C176&lt;&gt;"",始値!F54,"")</f>
        <v>6640</v>
      </c>
      <c r="AR176">
        <f>IF(C176&lt;&gt;"",高値!F54,"")</f>
        <v>6698</v>
      </c>
      <c r="AS176">
        <f>IF(C176&lt;&gt;"",安値!F54,"")</f>
        <v>6613</v>
      </c>
      <c r="AT176" t="str">
        <f t="shared" si="64"/>
        <v>通常</v>
      </c>
      <c r="AU176">
        <f t="shared" si="65"/>
        <v>0</v>
      </c>
    </row>
    <row r="177" spans="1:47" ht="14.25" customHeight="1">
      <c r="A177" s="327" t="str">
        <f>IF(銘柄管理!B58&lt;&gt;"",HYPERLINK("https://kabutan.jp/stock/?code="&amp;銘柄管理!B58,"株探"),"")</f>
        <v>株探</v>
      </c>
      <c r="B177" s="328"/>
      <c r="C177" s="477">
        <f>IF(銘柄管理!B58="","",銘柄管理!B58)</f>
        <v>4676</v>
      </c>
      <c r="D177" s="328" t="str">
        <f>IF(銘柄管理!C58="","",銘柄管理!C58)</f>
        <v/>
      </c>
      <c r="E177" s="329" t="str">
        <f>IF(C177&lt;&gt;"",_xll.RssMarket(C177,"現在値"),"")</f>
        <v/>
      </c>
      <c r="F177" s="329" t="str">
        <f>IF(C177&lt;&gt;"",_xll.RssMarket(C177,"始値"),"")</f>
        <v/>
      </c>
      <c r="G177" s="328">
        <f>IF(C177&lt;&gt;"",終値!F58,"")</f>
        <v>4186</v>
      </c>
      <c r="H177" s="329" t="str">
        <f>IF(C177&lt;&gt;"",_xll.RssMarket(C177,"高値"),"")</f>
        <v/>
      </c>
      <c r="I177" s="329" t="str">
        <f>IF(C177&lt;&gt;"",_xll.RssMarket(C177,"安値"),"")</f>
        <v/>
      </c>
      <c r="J177" s="329" t="str">
        <f>IF(C177&lt;&gt;"",_xll.RssMarket(C177,"出来高"),"")</f>
        <v/>
      </c>
      <c r="K177" s="329" t="str">
        <f>IF(C177&lt;&gt;"",_xll.RssMarket(C177,"年初来高値"),"")</f>
        <v/>
      </c>
      <c r="L177" s="330" t="str">
        <f t="shared" si="44"/>
        <v/>
      </c>
      <c r="M177" s="329">
        <f>IF(C177&lt;&gt;"",IFERROR(AVERAGE(出来高!E58:I58),""),"")</f>
        <v>574800</v>
      </c>
      <c r="N177" s="329">
        <f>IF(C177&lt;&gt;"",IFERROR(AVERAGE(出来高!E58:AC58),""),"")</f>
        <v>652904</v>
      </c>
      <c r="O177" s="331" t="str">
        <f t="shared" si="45"/>
        <v/>
      </c>
      <c r="P177" s="328" t="str">
        <f t="shared" si="46"/>
        <v/>
      </c>
      <c r="Q177" s="328" t="str">
        <f t="shared" si="47"/>
        <v/>
      </c>
      <c r="R177" s="329" t="str">
        <f t="shared" si="48"/>
        <v/>
      </c>
      <c r="S177" s="329" t="str">
        <f t="shared" si="49"/>
        <v/>
      </c>
      <c r="T177" s="328">
        <f t="shared" si="50"/>
        <v>0</v>
      </c>
      <c r="U177" s="328" t="str">
        <f t="shared" si="51"/>
        <v>除外</v>
      </c>
      <c r="V177" s="328" t="str">
        <f t="shared" si="52"/>
        <v/>
      </c>
      <c r="W177" s="332">
        <f t="array" ref="W177">IFERROR(100-100/(1+SUMPRODUCT((終値!F58:R58&gt;終値!G58:S58)*(終値!F58:R58-終値!G58:S58))/SUMPRODUCT((終値!F58:R58&lt;終値!G58:S58)*(終値!G58:S58-終値!F58:R58))),50)</f>
        <v>66.068515497553022</v>
      </c>
      <c r="X177" s="333">
        <f>IF(C177&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24.30890904676744</v>
      </c>
      <c r="Y177" s="328" t="e">
        <f t="shared" si="53"/>
        <v>#VALUE!</v>
      </c>
      <c r="Z177" s="334" t="str">
        <f t="shared" si="54"/>
        <v/>
      </c>
      <c r="AA177" s="328" t="str">
        <f t="shared" si="55"/>
        <v/>
      </c>
      <c r="AB177" s="329">
        <f>IF(OR(C177="",C177="TOPX",終値!E58=""),"",IFERROR(((終値!E58*0.333)+(終値!F58*0.222)+(終値!G58*0.148)+(終値!H58*0.099)+(終値!I58*0.066))/(0.333+0.222+0.148+0.099+0.066),""))</f>
        <v>4115.4896313364052</v>
      </c>
      <c r="AC177" s="329">
        <f>IF(OR(C177="",C177="TOPX",終値!E58=""),"",IFERROR(SUMPRODUCT((終値!E58:AC58),{0.077,0.071,0.065,0.06,0.055,0.051,0.047,0.043,0.039,0.036,0.033,0.031,0.028,0.026,0.024,0.022,0.02,0.018,0.017,0.016,0.014,0.013,0.012,0.011,0.01})/SUM({0.077,0.071,0.065,0.06,0.055,0.051,0.047,0.043,0.039,0.036,0.033,0.031,0.028,0.026,0.024,0.022,0.02,0.018,0.017,0.016,0.014,0.013,0.012,0.011,0.01}),""))</f>
        <v>4042.1573301549452</v>
      </c>
      <c r="AD177" s="328" t="str">
        <f t="shared" si="56"/>
        <v>パーフェクト▲</v>
      </c>
      <c r="AE177" s="328" t="e">
        <f t="shared" si="57"/>
        <v>#VALUE!</v>
      </c>
      <c r="AF177" t="e">
        <f>IF(T177="","",IF(銘柄管理!$F$5="上昇▲",IF(AND(AD177="下降トレンド▼",OR(AE177="25日戻り売り★",AE177="5日戻り売り○")),"★逆張り売り",IF(AND(AD177="もみ合い→",OR(AE177="25日戻り売り★",AE177="5日戻り売り○")),"○逆張り売り",IF(W177&gt;=70,IF(Z177&lt;0,"◎反落確認","△過熱・様子見"),"相場上昇・見送り"))),IF(AND(T177&gt;=12,AD177="下降トレンド▼"),"★強い売り",IF(T177&gt;=12,"★強い売り",IF(AND(T177&gt;=8,OR(AE177="25日戻り売り★",AE177="5日戻り売り○")),"◎戻り売り",IF(T177&gt;=10,"○売り候補",IF(T177&gt;=6,"△注目",IF(T177&gt;=3,"様子見","見送り"))))))))</f>
        <v>#VALUE!</v>
      </c>
      <c r="AG177">
        <f t="shared" si="58"/>
        <v>0</v>
      </c>
      <c r="AH177">
        <f t="shared" si="59"/>
        <v>0</v>
      </c>
      <c r="AI177" s="376">
        <f t="array" ref="AI177">IF(C177="","",IFERROR((INDEX(終値!$E:$E,MATCH(TEXT(C177,"0"),終値!$A:$A,0))-INDEX(終値!$E:$CZ,MATCH(TEXT(C177,"0"),終値!$A:$A,0),$AN$2))/INDEX(終値!$E:$CZ,MATCH(TEXT(C177,"0"),終値!$A:$A,0),$AN$2)*100,""))</f>
        <v>-2.4218939210462582</v>
      </c>
      <c r="AJ177" s="376">
        <f t="array" ref="AJ177">IFERROR((終値!$E$5-INDEX(終値!$E$5:$CZ$5,1,$AN$2))/INDEX(終値!$E$5:$CZ$5,1,$AN$2)*100,"")</f>
        <v>2.31989243802786</v>
      </c>
      <c r="AK177" s="377">
        <f t="shared" si="60"/>
        <v>-4.7417863590741183</v>
      </c>
      <c r="AL177" s="375">
        <f t="shared" si="61"/>
        <v>1</v>
      </c>
      <c r="AO177" s="379" t="e">
        <f t="shared" si="62"/>
        <v>#VALUE!</v>
      </c>
      <c r="AP177" s="380" t="e">
        <f t="shared" si="63"/>
        <v>#VALUE!</v>
      </c>
      <c r="AQ177">
        <f>IF(C177&lt;&gt;"",始値!F58,"")</f>
        <v>4200</v>
      </c>
      <c r="AR177">
        <f>IF(C177&lt;&gt;"",高値!F58,"")</f>
        <v>4256</v>
      </c>
      <c r="AS177">
        <f>IF(C177&lt;&gt;"",安値!F58,"")</f>
        <v>4164</v>
      </c>
      <c r="AT177" t="str">
        <f t="shared" si="64"/>
        <v>通常</v>
      </c>
      <c r="AU177">
        <f t="shared" si="65"/>
        <v>0</v>
      </c>
    </row>
    <row r="178" spans="1:47" ht="14.25" customHeight="1">
      <c r="A178" s="335" t="str">
        <f>IF(銘柄管理!B61&lt;&gt;"",HYPERLINK("https://kabutan.jp/stock/?code="&amp;銘柄管理!B61,"株探"),"")</f>
        <v>株探</v>
      </c>
      <c r="B178" s="215"/>
      <c r="C178" s="478">
        <f>IF(銘柄管理!B61="","",銘柄管理!B61)</f>
        <v>4045</v>
      </c>
      <c r="D178" s="215" t="str">
        <f>IF(銘柄管理!C61="","",銘柄管理!C61)</f>
        <v/>
      </c>
      <c r="E178" s="336" t="str">
        <f>IF(C178&lt;&gt;"",_xll.RssMarket(C178,"現在値"),"")</f>
        <v/>
      </c>
      <c r="F178" s="336" t="str">
        <f>IF(C178&lt;&gt;"",_xll.RssMarket(C178,"始値"),"")</f>
        <v/>
      </c>
      <c r="G178" s="215">
        <f>IF(C178&lt;&gt;"",終値!F61,"")</f>
        <v>1745</v>
      </c>
      <c r="H178" s="336" t="str">
        <f>IF(C178&lt;&gt;"",_xll.RssMarket(C178,"高値"),"")</f>
        <v/>
      </c>
      <c r="I178" s="336" t="str">
        <f>IF(C178&lt;&gt;"",_xll.RssMarket(C178,"安値"),"")</f>
        <v/>
      </c>
      <c r="J178" s="336" t="str">
        <f>IF(C178&lt;&gt;"",_xll.RssMarket(C178,"出来高"),"")</f>
        <v/>
      </c>
      <c r="K178" s="336" t="str">
        <f>IF(C178&lt;&gt;"",_xll.RssMarket(C178,"年初来高値"),"")</f>
        <v/>
      </c>
      <c r="L178" s="337" t="str">
        <f t="shared" si="44"/>
        <v/>
      </c>
      <c r="M178" s="336">
        <f>IF(C178&lt;&gt;"",IFERROR(AVERAGE(出来高!E61:I61),""),"")</f>
        <v>217560</v>
      </c>
      <c r="N178" s="336">
        <f>IF(C178&lt;&gt;"",IFERROR(AVERAGE(出来高!E61:AC61),""),"")</f>
        <v>258704</v>
      </c>
      <c r="O178" s="338" t="str">
        <f t="shared" si="45"/>
        <v/>
      </c>
      <c r="P178" s="215" t="str">
        <f t="shared" si="46"/>
        <v/>
      </c>
      <c r="Q178" s="215" t="str">
        <f t="shared" si="47"/>
        <v/>
      </c>
      <c r="R178" s="336" t="str">
        <f t="shared" si="48"/>
        <v/>
      </c>
      <c r="S178" s="336" t="str">
        <f t="shared" si="49"/>
        <v/>
      </c>
      <c r="T178" s="328">
        <f t="shared" si="50"/>
        <v>0</v>
      </c>
      <c r="U178" s="215" t="str">
        <f t="shared" si="51"/>
        <v>除外</v>
      </c>
      <c r="V178" s="215" t="str">
        <f t="shared" si="52"/>
        <v/>
      </c>
      <c r="W178" s="339">
        <f t="array" ref="W178">IFERROR(100-100/(1+SUMPRODUCT((終値!F61:R61&gt;終値!G61:S61)*(終値!F61:R61-終値!G61:S61))/SUMPRODUCT((終値!F61:R61&lt;終値!G61:S61)*(終値!G61:S61-終値!F61:R61))),50)</f>
        <v>41.457858769931669</v>
      </c>
      <c r="X178" s="340">
        <f>IF(C178&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-3.3560384733259525</v>
      </c>
      <c r="Y178" s="215" t="e">
        <f t="shared" si="53"/>
        <v>#VALUE!</v>
      </c>
      <c r="Z178" s="341" t="str">
        <f t="shared" si="54"/>
        <v/>
      </c>
      <c r="AA178" s="215" t="str">
        <f t="shared" si="55"/>
        <v/>
      </c>
      <c r="AB178" s="336">
        <f>IF(OR(C178="",C178="TOPX",終値!E61=""),"",IFERROR(((終値!E61*0.333)+(終値!F61*0.222)+(終値!G61*0.148)+(終値!H61*0.099)+(終値!I61*0.066))/(0.333+0.222+0.148+0.099+0.066),""))</f>
        <v>1728.9164746543779</v>
      </c>
      <c r="AC178" s="336">
        <f>IF(OR(C178="",C178="TOPX",終値!E61=""),"",IFERROR(SUMPRODUCT((終値!E61:AC61),{0.077,0.071,0.065,0.06,0.055,0.051,0.047,0.043,0.039,0.036,0.033,0.031,0.028,0.026,0.024,0.022,0.02,0.018,0.017,0.016,0.014,0.013,0.012,0.011,0.01})/SUM({0.077,0.071,0.065,0.06,0.055,0.051,0.047,0.043,0.039,0.036,0.033,0.031,0.028,0.026,0.024,0.022,0.02,0.018,0.017,0.016,0.014,0.013,0.012,0.011,0.01}),""))</f>
        <v>1742.3593563766383</v>
      </c>
      <c r="AD178" s="215" t="str">
        <f t="shared" si="56"/>
        <v>上昇トレンド▲</v>
      </c>
      <c r="AE178" s="215" t="e">
        <f t="shared" si="57"/>
        <v>#VALUE!</v>
      </c>
      <c r="AF178" t="e">
        <f>IF(T178="","",IF(銘柄管理!$F$5="上昇▲",IF(AND(AD178="下降トレンド▼",OR(AE178="25日戻り売り★",AE178="5日戻り売り○")),"★逆張り売り",IF(AND(AD178="もみ合い→",OR(AE178="25日戻り売り★",AE178="5日戻り売り○")),"○逆張り売り",IF(W178&gt;=70,IF(Z178&lt;0,"◎反落確認","△過熱・様子見"),"相場上昇・見送り"))),IF(AND(T178&gt;=12,AD178="下降トレンド▼"),"★強い売り",IF(T178&gt;=12,"★強い売り",IF(AND(T178&gt;=8,OR(AE178="25日戻り売り★",AE178="5日戻り売り○")),"◎戻り売り",IF(T178&gt;=10,"○売り候補",IF(T178&gt;=6,"△注目",IF(T178&gt;=3,"様子見","見送り"))))))))</f>
        <v>#VALUE!</v>
      </c>
      <c r="AG178">
        <f t="shared" si="58"/>
        <v>0</v>
      </c>
      <c r="AH178">
        <f t="shared" si="59"/>
        <v>0</v>
      </c>
      <c r="AI178" s="376">
        <f t="array" ref="AI178">IF(C178="","",IFERROR((INDEX(終値!$E:$E,MATCH(TEXT(C178,"0"),終値!$A:$A,0))-INDEX(終値!$E:$CZ,MATCH(TEXT(C178,"0"),終値!$A:$A,0),$AN$2))/INDEX(終値!$E:$CZ,MATCH(TEXT(C178,"0"),終値!$A:$A,0),$AN$2)*100,""))</f>
        <v>0.20348837209302326</v>
      </c>
      <c r="AJ178" s="376">
        <f t="array" ref="AJ178">IFERROR((終値!$E$5-INDEX(終値!$E$5:$CZ$5,1,$AN$2))/INDEX(終値!$E$5:$CZ$5,1,$AN$2)*100,"")</f>
        <v>2.31989243802786</v>
      </c>
      <c r="AK178" s="377">
        <f t="shared" si="60"/>
        <v>-2.1164040659348369</v>
      </c>
      <c r="AL178" s="375">
        <f t="shared" si="61"/>
        <v>1</v>
      </c>
      <c r="AO178" s="379" t="e">
        <f t="shared" si="62"/>
        <v>#VALUE!</v>
      </c>
      <c r="AP178" s="380" t="e">
        <f t="shared" si="63"/>
        <v>#VALUE!</v>
      </c>
      <c r="AQ178">
        <f>IF(C178&lt;&gt;"",始値!F61,"")</f>
        <v>1753</v>
      </c>
      <c r="AR178">
        <f>IF(C178&lt;&gt;"",高値!F61,"")</f>
        <v>1760</v>
      </c>
      <c r="AS178">
        <f>IF(C178&lt;&gt;"",安値!F61,"")</f>
        <v>1739.5</v>
      </c>
      <c r="AT178" t="str">
        <f t="shared" si="64"/>
        <v>通常</v>
      </c>
      <c r="AU178">
        <f t="shared" si="65"/>
        <v>0</v>
      </c>
    </row>
    <row r="179" spans="1:47" ht="14.25" customHeight="1">
      <c r="A179" s="327" t="str">
        <f>IF(銘柄管理!B63&lt;&gt;"",HYPERLINK("https://kabutan.jp/stock/?code="&amp;銘柄管理!B63,"株探"),"")</f>
        <v>株探</v>
      </c>
      <c r="B179" s="328"/>
      <c r="C179" s="477">
        <f>IF(銘柄管理!B63="","",銘柄管理!B63)</f>
        <v>8281</v>
      </c>
      <c r="D179" s="328" t="str">
        <f>IF(銘柄管理!C63="","",銘柄管理!C63)</f>
        <v/>
      </c>
      <c r="E179" s="329" t="str">
        <f>IF(C179&lt;&gt;"",_xll.RssMarket(C179,"現在値"),"")</f>
        <v/>
      </c>
      <c r="F179" s="329" t="str">
        <f>IF(C179&lt;&gt;"",_xll.RssMarket(C179,"始値"),"")</f>
        <v/>
      </c>
      <c r="G179" s="328">
        <f>IF(C179&lt;&gt;"",終値!F63,"")</f>
        <v>1095</v>
      </c>
      <c r="H179" s="329" t="str">
        <f>IF(C179&lt;&gt;"",_xll.RssMarket(C179,"高値"),"")</f>
        <v/>
      </c>
      <c r="I179" s="329" t="str">
        <f>IF(C179&lt;&gt;"",_xll.RssMarket(C179,"安値"),"")</f>
        <v/>
      </c>
      <c r="J179" s="329" t="str">
        <f>IF(C179&lt;&gt;"",_xll.RssMarket(C179,"出来高"),"")</f>
        <v/>
      </c>
      <c r="K179" s="329" t="str">
        <f>IF(C179&lt;&gt;"",_xll.RssMarket(C179,"年初来高値"),"")</f>
        <v/>
      </c>
      <c r="L179" s="330" t="str">
        <f t="shared" si="44"/>
        <v/>
      </c>
      <c r="M179" s="329">
        <f>IF(C179&lt;&gt;"",IFERROR(AVERAGE(出来高!E63:I63),""),"")</f>
        <v>78300</v>
      </c>
      <c r="N179" s="329">
        <f>IF(C179&lt;&gt;"",IFERROR(AVERAGE(出来高!E63:AC63),""),"")</f>
        <v>88604</v>
      </c>
      <c r="O179" s="331" t="str">
        <f t="shared" si="45"/>
        <v/>
      </c>
      <c r="P179" s="328" t="str">
        <f t="shared" si="46"/>
        <v/>
      </c>
      <c r="Q179" s="328" t="str">
        <f t="shared" si="47"/>
        <v/>
      </c>
      <c r="R179" s="329" t="str">
        <f t="shared" si="48"/>
        <v/>
      </c>
      <c r="S179" s="329" t="str">
        <f t="shared" si="49"/>
        <v/>
      </c>
      <c r="T179" s="328">
        <f t="shared" si="50"/>
        <v>0</v>
      </c>
      <c r="U179" s="328" t="str">
        <f t="shared" si="51"/>
        <v>除外</v>
      </c>
      <c r="V179" s="328" t="str">
        <f t="shared" si="52"/>
        <v/>
      </c>
      <c r="W179" s="332">
        <f t="array" ref="W179">IFERROR(100-100/(1+SUMPRODUCT((終値!F63:R63&gt;終値!G63:S63)*(終値!F63:R63-終値!G63:S63))/SUMPRODUCT((終値!F63:R63&lt;終値!G63:S63)*(終値!G63:S63-終値!F63:R63))),50)</f>
        <v>71.140939597315437</v>
      </c>
      <c r="X179" s="333">
        <f>IF(C179&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7.7077862115361313</v>
      </c>
      <c r="Y179" s="328" t="e">
        <f t="shared" si="53"/>
        <v>#VALUE!</v>
      </c>
      <c r="Z179" s="334" t="str">
        <f t="shared" si="54"/>
        <v/>
      </c>
      <c r="AA179" s="328" t="str">
        <f t="shared" si="55"/>
        <v/>
      </c>
      <c r="AB179" s="329">
        <f>IF(OR(C179="",C179="TOPX",終値!E63=""),"",IFERROR(((終値!E63*0.333)+(終値!F63*0.222)+(終値!G63*0.148)+(終値!H63*0.099)+(終値!I63*0.066))/(0.333+0.222+0.148+0.099+0.066),""))</f>
        <v>1100.8721198156682</v>
      </c>
      <c r="AC179" s="329">
        <f>IF(OR(C179="",C179="TOPX",終値!E63=""),"",IFERROR(SUMPRODUCT((終値!E63:AC63),{0.077,0.071,0.065,0.06,0.055,0.051,0.047,0.043,0.039,0.036,0.033,0.031,0.028,0.026,0.024,0.022,0.02,0.018,0.017,0.016,0.014,0.013,0.012,0.011,0.01})/SUM({0.077,0.071,0.065,0.06,0.055,0.051,0.047,0.043,0.039,0.036,0.033,0.031,0.028,0.026,0.024,0.022,0.02,0.018,0.017,0.016,0.014,0.013,0.012,0.011,0.01}),""))</f>
        <v>1076.5148986889151</v>
      </c>
      <c r="AD179" s="328" t="str">
        <f t="shared" si="56"/>
        <v>パーフェクト▲</v>
      </c>
      <c r="AE179" s="328" t="e">
        <f t="shared" si="57"/>
        <v>#VALUE!</v>
      </c>
      <c r="AF179" t="e">
        <f>IF(T179="","",IF(銘柄管理!$F$5="上昇▲",IF(AND(AD179="下降トレンド▼",OR(AE179="25日戻り売り★",AE179="5日戻り売り○")),"★逆張り売り",IF(AND(AD179="もみ合い→",OR(AE179="25日戻り売り★",AE179="5日戻り売り○")),"○逆張り売り",IF(W179&gt;=70,IF(Z179&lt;0,"◎反落確認","△過熱・様子見"),"相場上昇・見送り"))),IF(AND(T179&gt;=12,AD179="下降トレンド▼"),"★強い売り",IF(T179&gt;=12,"★強い売り",IF(AND(T179&gt;=8,OR(AE179="25日戻り売り★",AE179="5日戻り売り○")),"◎戻り売り",IF(T179&gt;=10,"○売り候補",IF(T179&gt;=6,"△注目",IF(T179&gt;=3,"様子見","見送り"))))))))</f>
        <v>#VALUE!</v>
      </c>
      <c r="AG179">
        <f t="shared" si="58"/>
        <v>0</v>
      </c>
      <c r="AH179">
        <f t="shared" si="59"/>
        <v>0</v>
      </c>
      <c r="AI179" s="376">
        <f t="array" ref="AI179">IF(C179="","",IFERROR((INDEX(終値!$E:$E,MATCH(TEXT(C179,"0"),終値!$A:$A,0))-INDEX(終値!$E:$CZ,MATCH(TEXT(C179,"0"),終値!$A:$A,0),$AN$2))/INDEX(終値!$E:$CZ,MATCH(TEXT(C179,"0"),終値!$A:$A,0),$AN$2)*100,""))</f>
        <v>8.2444228903976722</v>
      </c>
      <c r="AJ179" s="376">
        <f t="array" ref="AJ179">IFERROR((終値!$E$5-INDEX(終値!$E$5:$CZ$5,1,$AN$2))/INDEX(終値!$E$5:$CZ$5,1,$AN$2)*100,"")</f>
        <v>2.31989243802786</v>
      </c>
      <c r="AK179" s="377">
        <f t="shared" si="60"/>
        <v>5.9245304523698117</v>
      </c>
      <c r="AL179" s="375">
        <f t="shared" si="61"/>
        <v>-2</v>
      </c>
      <c r="AO179" s="379" t="e">
        <f t="shared" si="62"/>
        <v>#VALUE!</v>
      </c>
      <c r="AP179" s="380" t="e">
        <f t="shared" si="63"/>
        <v>#VALUE!</v>
      </c>
      <c r="AQ179">
        <f>IF(C179&lt;&gt;"",始値!F63,"")</f>
        <v>1100</v>
      </c>
      <c r="AR179">
        <f>IF(C179&lt;&gt;"",高値!F63,"")</f>
        <v>1101</v>
      </c>
      <c r="AS179">
        <f>IF(C179&lt;&gt;"",安値!F63,"")</f>
        <v>1093</v>
      </c>
      <c r="AT179" t="str">
        <f t="shared" si="64"/>
        <v>通常</v>
      </c>
      <c r="AU179">
        <f t="shared" si="65"/>
        <v>0</v>
      </c>
    </row>
    <row r="180" spans="1:47" ht="14.25" customHeight="1">
      <c r="A180" s="335" t="str">
        <f>IF(銘柄管理!B80&lt;&gt;"",HYPERLINK("https://kabutan.jp/stock/?code="&amp;銘柄管理!B80,"株探"),"")</f>
        <v>株探</v>
      </c>
      <c r="B180" s="215"/>
      <c r="C180" s="478">
        <f>IF(銘柄管理!B80="","",銘柄管理!B80)</f>
        <v>1833</v>
      </c>
      <c r="D180" s="215" t="str">
        <f>IF(銘柄管理!C80="","",銘柄管理!C80)</f>
        <v/>
      </c>
      <c r="E180" s="336" t="str">
        <f>IF(C180&lt;&gt;"",_xll.RssMarket(C180,"現在値"),"")</f>
        <v/>
      </c>
      <c r="F180" s="336" t="str">
        <f>IF(C180&lt;&gt;"",_xll.RssMarket(C180,"始値"),"")</f>
        <v/>
      </c>
      <c r="G180" s="215">
        <f>IF(C180&lt;&gt;"",終値!F80,"")</f>
        <v>5680</v>
      </c>
      <c r="H180" s="336" t="str">
        <f>IF(C180&lt;&gt;"",_xll.RssMarket(C180,"高値"),"")</f>
        <v/>
      </c>
      <c r="I180" s="336" t="str">
        <f>IF(C180&lt;&gt;"",_xll.RssMarket(C180,"安値"),"")</f>
        <v/>
      </c>
      <c r="J180" s="336" t="str">
        <f>IF(C180&lt;&gt;"",_xll.RssMarket(C180,"出来高"),"")</f>
        <v/>
      </c>
      <c r="K180" s="336" t="str">
        <f>IF(C180&lt;&gt;"",_xll.RssMarket(C180,"年初来高値"),"")</f>
        <v/>
      </c>
      <c r="L180" s="337" t="str">
        <f t="shared" si="44"/>
        <v/>
      </c>
      <c r="M180" s="336">
        <f>IF(C180&lt;&gt;"",IFERROR(AVERAGE(出来高!E80:I80),""),"")</f>
        <v>102240</v>
      </c>
      <c r="N180" s="336">
        <f>IF(C180&lt;&gt;"",IFERROR(AVERAGE(出来高!E80:AC80),""),"")</f>
        <v>92608</v>
      </c>
      <c r="O180" s="338" t="str">
        <f t="shared" si="45"/>
        <v/>
      </c>
      <c r="P180" s="215" t="str">
        <f t="shared" si="46"/>
        <v/>
      </c>
      <c r="Q180" s="215" t="str">
        <f t="shared" si="47"/>
        <v/>
      </c>
      <c r="R180" s="336" t="str">
        <f t="shared" si="48"/>
        <v/>
      </c>
      <c r="S180" s="336" t="str">
        <f t="shared" si="49"/>
        <v/>
      </c>
      <c r="T180" s="328">
        <f t="shared" si="50"/>
        <v>0</v>
      </c>
      <c r="U180" s="215" t="str">
        <f t="shared" si="51"/>
        <v>除外</v>
      </c>
      <c r="V180" s="215" t="str">
        <f t="shared" si="52"/>
        <v/>
      </c>
      <c r="W180" s="339">
        <f t="array" ref="W180">IFERROR(100-100/(1+SUMPRODUCT((終値!F80:R80&gt;終値!G80:S80)*(終値!F80:R80-終値!G80:S80))/SUMPRODUCT((終値!F80:R80&lt;終値!G80:S80)*(終値!G80:S80-終値!F80:R80))),50)</f>
        <v>56.164383561643838</v>
      </c>
      <c r="X180" s="340">
        <f>IF(C180&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-0.62860463542710932</v>
      </c>
      <c r="Y180" s="215" t="e">
        <f t="shared" si="53"/>
        <v>#VALUE!</v>
      </c>
      <c r="Z180" s="341" t="str">
        <f t="shared" si="54"/>
        <v/>
      </c>
      <c r="AA180" s="215" t="str">
        <f t="shared" si="55"/>
        <v/>
      </c>
      <c r="AB180" s="336">
        <f>IF(OR(C180="",C180="TOPX",終値!E80=""),"",IFERROR(((終値!E80*0.333)+(終値!F80*0.222)+(終値!G80*0.148)+(終値!H80*0.099)+(終値!I80*0.066))/(0.333+0.222+0.148+0.099+0.066),""))</f>
        <v>5621.4055299539159</v>
      </c>
      <c r="AC180" s="336">
        <f>IF(OR(C180="",C180="TOPX",終値!E80=""),"",IFERROR(SUMPRODUCT((終値!E80:AC80),{0.077,0.071,0.065,0.06,0.055,0.051,0.047,0.043,0.039,0.036,0.033,0.031,0.028,0.026,0.024,0.022,0.02,0.018,0.017,0.016,0.014,0.013,0.012,0.011,0.01})/SUM({0.077,0.071,0.065,0.06,0.055,0.051,0.047,0.043,0.039,0.036,0.033,0.031,0.028,0.026,0.024,0.022,0.02,0.018,0.017,0.016,0.014,0.013,0.012,0.011,0.01}),""))</f>
        <v>5647.5208581644774</v>
      </c>
      <c r="AD180" s="215" t="str">
        <f t="shared" si="56"/>
        <v>上昇トレンド▲</v>
      </c>
      <c r="AE180" s="215" t="e">
        <f t="shared" si="57"/>
        <v>#VALUE!</v>
      </c>
      <c r="AF180" t="e">
        <f>IF(T180="","",IF(銘柄管理!$F$5="上昇▲",IF(AND(AD180="下降トレンド▼",OR(AE180="25日戻り売り★",AE180="5日戻り売り○")),"★逆張り売り",IF(AND(AD180="もみ合い→",OR(AE180="25日戻り売り★",AE180="5日戻り売り○")),"○逆張り売り",IF(W180&gt;=70,IF(Z180&lt;0,"◎反落確認","△過熱・様子見"),"相場上昇・見送り"))),IF(AND(T180&gt;=12,AD180="下降トレンド▼"),"★強い売り",IF(T180&gt;=12,"★強い売り",IF(AND(T180&gt;=8,OR(AE180="25日戻り売り★",AE180="5日戻り売り○")),"◎戻り売り",IF(T180&gt;=10,"○売り候補",IF(T180&gt;=6,"△注目",IF(T180&gt;=3,"様子見","見送り"))))))))</f>
        <v>#VALUE!</v>
      </c>
      <c r="AG180">
        <f t="shared" si="58"/>
        <v>0</v>
      </c>
      <c r="AH180">
        <f t="shared" si="59"/>
        <v>0</v>
      </c>
      <c r="AI180" s="376">
        <f t="array" ref="AI180">IF(C180="","",IFERROR((INDEX(終値!$E:$E,MATCH(TEXT(C180,"0"),終値!$A:$A,0))-INDEX(終値!$E:$CZ,MATCH(TEXT(C180,"0"),終値!$A:$A,0),$AN$2))/INDEX(終値!$E:$CZ,MATCH(TEXT(C180,"0"),終値!$A:$A,0),$AN$2)*100,""))</f>
        <v>2.0036429872495445</v>
      </c>
      <c r="AJ180" s="376">
        <f t="array" ref="AJ180">IFERROR((終値!$E$5-INDEX(終値!$E$5:$CZ$5,1,$AN$2))/INDEX(終値!$E$5:$CZ$5,1,$AN$2)*100,"")</f>
        <v>2.31989243802786</v>
      </c>
      <c r="AK180" s="377">
        <f t="shared" si="60"/>
        <v>-0.31624945077831557</v>
      </c>
      <c r="AL180" s="375">
        <f t="shared" si="61"/>
        <v>1</v>
      </c>
      <c r="AO180" s="379" t="e">
        <f t="shared" si="62"/>
        <v>#VALUE!</v>
      </c>
      <c r="AP180" s="380" t="e">
        <f t="shared" si="63"/>
        <v>#VALUE!</v>
      </c>
      <c r="AQ180">
        <f>IF(C180&lt;&gt;"",始値!F80,"")</f>
        <v>5670</v>
      </c>
      <c r="AR180">
        <f>IF(C180&lt;&gt;"",高値!F80,"")</f>
        <v>5710</v>
      </c>
      <c r="AS180">
        <f>IF(C180&lt;&gt;"",安値!F80,"")</f>
        <v>5610</v>
      </c>
      <c r="AT180" t="str">
        <f t="shared" si="64"/>
        <v>通常</v>
      </c>
      <c r="AU180">
        <f t="shared" si="65"/>
        <v>0</v>
      </c>
    </row>
    <row r="181" spans="1:47" ht="14.25" customHeight="1">
      <c r="A181" s="327" t="str">
        <f>IF(銘柄管理!B83&lt;&gt;"",HYPERLINK("https://kabutan.jp/stock/?code="&amp;銘柄管理!B83,"株探"),"")</f>
        <v>株探</v>
      </c>
      <c r="B181" s="328"/>
      <c r="C181" s="477">
        <f>IF(銘柄管理!B83="","",銘柄管理!B83)</f>
        <v>1925</v>
      </c>
      <c r="D181" s="328" t="str">
        <f>IF(銘柄管理!C83="","",銘柄管理!C83)</f>
        <v/>
      </c>
      <c r="E181" s="329" t="str">
        <f>IF(C181&lt;&gt;"",_xll.RssMarket(C181,"現在値"),"")</f>
        <v/>
      </c>
      <c r="F181" s="329" t="str">
        <f>IF(C181&lt;&gt;"",_xll.RssMarket(C181,"始値"),"")</f>
        <v/>
      </c>
      <c r="G181" s="328">
        <f>IF(C181&lt;&gt;"",終値!F83,"")</f>
        <v>4600</v>
      </c>
      <c r="H181" s="329" t="str">
        <f>IF(C181&lt;&gt;"",_xll.RssMarket(C181,"高値"),"")</f>
        <v/>
      </c>
      <c r="I181" s="329" t="str">
        <f>IF(C181&lt;&gt;"",_xll.RssMarket(C181,"安値"),"")</f>
        <v/>
      </c>
      <c r="J181" s="329" t="str">
        <f>IF(C181&lt;&gt;"",_xll.RssMarket(C181,"出来高"),"")</f>
        <v/>
      </c>
      <c r="K181" s="329" t="str">
        <f>IF(C181&lt;&gt;"",_xll.RssMarket(C181,"年初来高値"),"")</f>
        <v/>
      </c>
      <c r="L181" s="330" t="str">
        <f t="shared" si="44"/>
        <v/>
      </c>
      <c r="M181" s="329">
        <f>IF(C181&lt;&gt;"",IFERROR(AVERAGE(出来高!E83:I83),""),"")</f>
        <v>1878780</v>
      </c>
      <c r="N181" s="329">
        <f>IF(C181&lt;&gt;"",IFERROR(AVERAGE(出来高!E83:AC83),""),"")</f>
        <v>2147840</v>
      </c>
      <c r="O181" s="331" t="str">
        <f t="shared" si="45"/>
        <v/>
      </c>
      <c r="P181" s="328" t="str">
        <f t="shared" si="46"/>
        <v/>
      </c>
      <c r="Q181" s="328" t="str">
        <f t="shared" si="47"/>
        <v/>
      </c>
      <c r="R181" s="329" t="str">
        <f t="shared" si="48"/>
        <v/>
      </c>
      <c r="S181" s="329" t="str">
        <f t="shared" si="49"/>
        <v/>
      </c>
      <c r="T181" s="328">
        <f t="shared" si="50"/>
        <v>0</v>
      </c>
      <c r="U181" s="328" t="str">
        <f t="shared" si="51"/>
        <v>除外</v>
      </c>
      <c r="V181" s="328" t="str">
        <f t="shared" si="52"/>
        <v/>
      </c>
      <c r="W181" s="332">
        <f t="array" ref="W181">IFERROR(100-100/(1+SUMPRODUCT((終値!F83:R83&gt;終値!G83:S83)*(終値!F83:R83-終値!G83:S83))/SUMPRODUCT((終値!F83:R83&lt;終値!G83:S83)*(終値!G83:S83-終値!F83:R83))),50)</f>
        <v>75.670103092783506</v>
      </c>
      <c r="X181" s="333">
        <f>IF(C181&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32.383079458206339</v>
      </c>
      <c r="Y181" s="328" t="e">
        <f t="shared" si="53"/>
        <v>#VALUE!</v>
      </c>
      <c r="Z181" s="334" t="str">
        <f t="shared" si="54"/>
        <v/>
      </c>
      <c r="AA181" s="328" t="str">
        <f t="shared" si="55"/>
        <v/>
      </c>
      <c r="AB181" s="329">
        <f>IF(OR(C181="",C181="TOPX",終値!E83=""),"",IFERROR(((終値!E83*0.333)+(終値!F83*0.222)+(終値!G83*0.148)+(終値!H83*0.099)+(終値!I83*0.066))/(0.333+0.222+0.148+0.099+0.066),""))</f>
        <v>4578.1947004608292</v>
      </c>
      <c r="AC181" s="329">
        <f>IF(OR(C181="",C181="TOPX",終値!E83=""),"",IFERROR(SUMPRODUCT((終値!E83:AC83),{0.077,0.071,0.065,0.06,0.055,0.051,0.047,0.043,0.039,0.036,0.033,0.031,0.028,0.026,0.024,0.022,0.02,0.018,0.017,0.016,0.014,0.013,0.012,0.011,0.01})/SUM({0.077,0.071,0.065,0.06,0.055,0.051,0.047,0.043,0.039,0.036,0.033,0.031,0.028,0.026,0.024,0.022,0.02,0.018,0.017,0.016,0.014,0.013,0.012,0.011,0.01}),""))</f>
        <v>4482.9713945172807</v>
      </c>
      <c r="AD181" s="328" t="str">
        <f t="shared" si="56"/>
        <v>パーフェクト▲</v>
      </c>
      <c r="AE181" s="328" t="e">
        <f t="shared" si="57"/>
        <v>#VALUE!</v>
      </c>
      <c r="AF181" t="e">
        <f>IF(T181="","",IF(銘柄管理!$F$5="上昇▲",IF(AND(AD181="下降トレンド▼",OR(AE181="25日戻り売り★",AE181="5日戻り売り○")),"★逆張り売り",IF(AND(AD181="もみ合い→",OR(AE181="25日戻り売り★",AE181="5日戻り売り○")),"○逆張り売り",IF(W181&gt;=70,IF(Z181&lt;0,"◎反落確認","△過熱・様子見"),"相場上昇・見送り"))),IF(AND(T181&gt;=12,AD181="下降トレンド▼"),"★強い売り",IF(T181&gt;=12,"★強い売り",IF(AND(T181&gt;=8,OR(AE181="25日戻り売り★",AE181="5日戻り売り○")),"◎戻り売り",IF(T181&gt;=10,"○売り候補",IF(T181&gt;=6,"△注目",IF(T181&gt;=3,"様子見","見送り"))))))))</f>
        <v>#VALUE!</v>
      </c>
      <c r="AG181">
        <f t="shared" si="58"/>
        <v>0</v>
      </c>
      <c r="AH181">
        <f t="shared" si="59"/>
        <v>0</v>
      </c>
      <c r="AI181" s="376">
        <f t="array" ref="AI181">IF(C181="","",IFERROR((INDEX(終値!$E:$E,MATCH(TEXT(C181,"0"),終値!$A:$A,0))-INDEX(終値!$E:$CZ,MATCH(TEXT(C181,"0"),終値!$A:$A,0),$AN$2))/INDEX(終値!$E:$CZ,MATCH(TEXT(C181,"0"),終値!$A:$A,0),$AN$2)*100,""))</f>
        <v>7.8371381501529767</v>
      </c>
      <c r="AJ181" s="376">
        <f t="array" ref="AJ181">IFERROR((終値!$E$5-INDEX(終値!$E$5:$CZ$5,1,$AN$2))/INDEX(終値!$E$5:$CZ$5,1,$AN$2)*100,"")</f>
        <v>2.31989243802786</v>
      </c>
      <c r="AK181" s="377">
        <f t="shared" si="60"/>
        <v>5.5172457121251171</v>
      </c>
      <c r="AL181" s="375">
        <f t="shared" si="61"/>
        <v>-2</v>
      </c>
      <c r="AO181" s="379" t="e">
        <f t="shared" si="62"/>
        <v>#VALUE!</v>
      </c>
      <c r="AP181" s="380" t="e">
        <f t="shared" si="63"/>
        <v>#VALUE!</v>
      </c>
      <c r="AQ181">
        <f>IF(C181&lt;&gt;"",始値!F83,"")</f>
        <v>4610</v>
      </c>
      <c r="AR181">
        <f>IF(C181&lt;&gt;"",高値!F83,"")</f>
        <v>4628</v>
      </c>
      <c r="AS181">
        <f>IF(C181&lt;&gt;"",安値!F83,"")</f>
        <v>4577</v>
      </c>
      <c r="AT181" t="str">
        <f t="shared" si="64"/>
        <v>通常</v>
      </c>
      <c r="AU181">
        <f t="shared" si="65"/>
        <v>0</v>
      </c>
    </row>
    <row r="182" spans="1:47" ht="14.25" customHeight="1">
      <c r="A182" s="335" t="str">
        <f>IF(銘柄管理!B87&lt;&gt;"",HYPERLINK("https://kabutan.jp/stock/?code="&amp;銘柄管理!B87,"株探"),"")</f>
        <v>株探</v>
      </c>
      <c r="B182" s="215"/>
      <c r="C182" s="478">
        <f>IF(銘柄管理!B87="","",銘柄管理!B87)</f>
        <v>2914</v>
      </c>
      <c r="D182" s="215" t="str">
        <f>IF(銘柄管理!C87="","",銘柄管理!C87)</f>
        <v/>
      </c>
      <c r="E182" s="336" t="str">
        <f>IF(C182&lt;&gt;"",_xll.RssMarket(C182,"現在値"),"")</f>
        <v/>
      </c>
      <c r="F182" s="336" t="str">
        <f>IF(C182&lt;&gt;"",_xll.RssMarket(C182,"始値"),"")</f>
        <v/>
      </c>
      <c r="G182" s="215">
        <f>IF(C182&lt;&gt;"",終値!F87,"")</f>
        <v>6110</v>
      </c>
      <c r="H182" s="336" t="str">
        <f>IF(C182&lt;&gt;"",_xll.RssMarket(C182,"高値"),"")</f>
        <v/>
      </c>
      <c r="I182" s="336" t="str">
        <f>IF(C182&lt;&gt;"",_xll.RssMarket(C182,"安値"),"")</f>
        <v/>
      </c>
      <c r="J182" s="336" t="str">
        <f>IF(C182&lt;&gt;"",_xll.RssMarket(C182,"出来高"),"")</f>
        <v/>
      </c>
      <c r="K182" s="336" t="str">
        <f>IF(C182&lt;&gt;"",_xll.RssMarket(C182,"年初来高値"),"")</f>
        <v/>
      </c>
      <c r="L182" s="337" t="str">
        <f t="shared" si="44"/>
        <v/>
      </c>
      <c r="M182" s="336">
        <f>IF(C182&lt;&gt;"",IFERROR(AVERAGE(出来高!E87:I87),""),"")</f>
        <v>4030440</v>
      </c>
      <c r="N182" s="336">
        <f>IF(C182&lt;&gt;"",IFERROR(AVERAGE(出来高!E87:AC87),""),"")</f>
        <v>4854740</v>
      </c>
      <c r="O182" s="338" t="str">
        <f t="shared" si="45"/>
        <v/>
      </c>
      <c r="P182" s="215" t="str">
        <f t="shared" si="46"/>
        <v/>
      </c>
      <c r="Q182" s="215" t="str">
        <f t="shared" si="47"/>
        <v/>
      </c>
      <c r="R182" s="336" t="str">
        <f t="shared" si="48"/>
        <v/>
      </c>
      <c r="S182" s="336" t="str">
        <f t="shared" si="49"/>
        <v/>
      </c>
      <c r="T182" s="328">
        <f t="shared" si="50"/>
        <v>0</v>
      </c>
      <c r="U182" s="215" t="str">
        <f t="shared" si="51"/>
        <v>除外</v>
      </c>
      <c r="V182" s="215" t="str">
        <f t="shared" si="52"/>
        <v/>
      </c>
      <c r="W182" s="339">
        <f t="array" ref="W182">IFERROR(100-100/(1+SUMPRODUCT((終値!F87:R87&gt;終値!G87:S87)*(終値!F87:R87-終値!G87:S87))/SUMPRODUCT((終値!F87:R87&lt;終値!G87:S87)*(終値!G87:S87-終値!F87:R87))),50)</f>
        <v>62.776025236593057</v>
      </c>
      <c r="X182" s="340">
        <f>IF(C182&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21.694000533357212</v>
      </c>
      <c r="Y182" s="215" t="e">
        <f t="shared" si="53"/>
        <v>#VALUE!</v>
      </c>
      <c r="Z182" s="341" t="str">
        <f t="shared" si="54"/>
        <v/>
      </c>
      <c r="AA182" s="215" t="str">
        <f t="shared" si="55"/>
        <v/>
      </c>
      <c r="AB182" s="336">
        <f>IF(OR(C182="",C182="TOPX",終値!E87=""),"",IFERROR(((終値!E87*0.333)+(終値!F87*0.222)+(終値!G87*0.148)+(終値!H87*0.099)+(終値!I87*0.066))/(0.333+0.222+0.148+0.099+0.066),""))</f>
        <v>6201.4516129032245</v>
      </c>
      <c r="AC182" s="336">
        <f>IF(OR(C182="",C182="TOPX",終値!E87=""),"",IFERROR(SUMPRODUCT((終値!E87:AC87),{0.077,0.071,0.065,0.06,0.055,0.051,0.047,0.043,0.039,0.036,0.033,0.031,0.028,0.026,0.024,0.022,0.02,0.018,0.017,0.016,0.014,0.013,0.012,0.011,0.01})/SUM({0.077,0.071,0.065,0.06,0.055,0.051,0.047,0.043,0.039,0.036,0.033,0.031,0.028,0.026,0.024,0.022,0.02,0.018,0.017,0.016,0.014,0.013,0.012,0.011,0.01}),""))</f>
        <v>6116.4636471990452</v>
      </c>
      <c r="AD182" s="215" t="str">
        <f t="shared" si="56"/>
        <v>パーフェクト▲</v>
      </c>
      <c r="AE182" s="215" t="e">
        <f t="shared" si="57"/>
        <v>#VALUE!</v>
      </c>
      <c r="AF182" t="e">
        <f>IF(T182="","",IF(銘柄管理!$F$5="上昇▲",IF(AND(AD182="下降トレンド▼",OR(AE182="25日戻り売り★",AE182="5日戻り売り○")),"★逆張り売り",IF(AND(AD182="もみ合い→",OR(AE182="25日戻り売り★",AE182="5日戻り売り○")),"○逆張り売り",IF(W182&gt;=70,IF(Z182&lt;0,"◎反落確認","△過熱・様子見"),"相場上昇・見送り"))),IF(AND(T182&gt;=12,AD182="下降トレンド▼"),"★強い売り",IF(T182&gt;=12,"★強い売り",IF(AND(T182&gt;=8,OR(AE182="25日戻り売り★",AE182="5日戻り売り○")),"◎戻り売り",IF(T182&gt;=10,"○売り候補",IF(T182&gt;=6,"△注目",IF(T182&gt;=3,"様子見","見送り"))))))))</f>
        <v>#VALUE!</v>
      </c>
      <c r="AG182">
        <f t="shared" si="58"/>
        <v>0</v>
      </c>
      <c r="AH182">
        <f t="shared" si="59"/>
        <v>0</v>
      </c>
      <c r="AI182" s="376">
        <f t="array" ref="AI182">IF(C182="","",IFERROR((INDEX(終値!$E:$E,MATCH(TEXT(C182,"0"),終値!$A:$A,0))-INDEX(終値!$E:$CZ,MATCH(TEXT(C182,"0"),終値!$A:$A,0),$AN$2))/INDEX(終値!$E:$CZ,MATCH(TEXT(C182,"0"),終値!$A:$A,0),$AN$2)*100,""))</f>
        <v>3.4555827220863895</v>
      </c>
      <c r="AJ182" s="376">
        <f t="array" ref="AJ182">IFERROR((終値!$E$5-INDEX(終値!$E$5:$CZ$5,1,$AN$2))/INDEX(終値!$E$5:$CZ$5,1,$AN$2)*100,"")</f>
        <v>2.31989243802786</v>
      </c>
      <c r="AK182" s="377">
        <f t="shared" si="60"/>
        <v>1.1356902840585295</v>
      </c>
      <c r="AL182" s="375">
        <f t="shared" si="61"/>
        <v>-1</v>
      </c>
      <c r="AO182" s="379" t="e">
        <f t="shared" si="62"/>
        <v>#VALUE!</v>
      </c>
      <c r="AP182" s="380" t="e">
        <f t="shared" si="63"/>
        <v>#VALUE!</v>
      </c>
      <c r="AQ182">
        <f>IF(C182&lt;&gt;"",始値!F87,"")</f>
        <v>6140</v>
      </c>
      <c r="AR182">
        <f>IF(C182&lt;&gt;"",高値!F87,"")</f>
        <v>6150</v>
      </c>
      <c r="AS182">
        <f>IF(C182&lt;&gt;"",安値!F87,"")</f>
        <v>6085</v>
      </c>
      <c r="AT182" t="str">
        <f t="shared" si="64"/>
        <v>通常</v>
      </c>
      <c r="AU182">
        <f t="shared" si="65"/>
        <v>0</v>
      </c>
    </row>
    <row r="183" spans="1:47" ht="14.25" customHeight="1">
      <c r="A183" s="327" t="str">
        <f>IF(銘柄管理!B94&lt;&gt;"",HYPERLINK("https://kabutan.jp/stock/?code="&amp;銘柄管理!B94,"株探"),"")</f>
        <v>株探</v>
      </c>
      <c r="B183" s="328"/>
      <c r="C183" s="477">
        <f>IF(銘柄管理!B94="","",銘柄管理!B94)</f>
        <v>3407</v>
      </c>
      <c r="D183" s="328" t="str">
        <f>IF(銘柄管理!C94="","",銘柄管理!C94)</f>
        <v/>
      </c>
      <c r="E183" s="329" t="str">
        <f>IF(C183&lt;&gt;"",_xll.RssMarket(C183,"現在値"),"")</f>
        <v/>
      </c>
      <c r="F183" s="329" t="str">
        <f>IF(C183&lt;&gt;"",_xll.RssMarket(C183,"始値"),"")</f>
        <v/>
      </c>
      <c r="G183" s="328">
        <f>IF(C183&lt;&gt;"",終値!F94,"")</f>
        <v>1887.5</v>
      </c>
      <c r="H183" s="329" t="str">
        <f>IF(C183&lt;&gt;"",_xll.RssMarket(C183,"高値"),"")</f>
        <v/>
      </c>
      <c r="I183" s="329" t="str">
        <f>IF(C183&lt;&gt;"",_xll.RssMarket(C183,"安値"),"")</f>
        <v/>
      </c>
      <c r="J183" s="329" t="str">
        <f>IF(C183&lt;&gt;"",_xll.RssMarket(C183,"出来高"),"")</f>
        <v/>
      </c>
      <c r="K183" s="329" t="str">
        <f>IF(C183&lt;&gt;"",_xll.RssMarket(C183,"年初来高値"),"")</f>
        <v/>
      </c>
      <c r="L183" s="330" t="str">
        <f t="shared" si="44"/>
        <v/>
      </c>
      <c r="M183" s="329">
        <f>IF(C183&lt;&gt;"",IFERROR(AVERAGE(出来高!E94:I94),""),"")</f>
        <v>4608560</v>
      </c>
      <c r="N183" s="329">
        <f>IF(C183&lt;&gt;"",IFERROR(AVERAGE(出来高!E94:AC94),""),"")</f>
        <v>4688732</v>
      </c>
      <c r="O183" s="331" t="str">
        <f t="shared" si="45"/>
        <v/>
      </c>
      <c r="P183" s="328" t="str">
        <f t="shared" si="46"/>
        <v/>
      </c>
      <c r="Q183" s="328" t="str">
        <f t="shared" si="47"/>
        <v/>
      </c>
      <c r="R183" s="329" t="str">
        <f t="shared" si="48"/>
        <v/>
      </c>
      <c r="S183" s="329" t="str">
        <f t="shared" si="49"/>
        <v/>
      </c>
      <c r="T183" s="328">
        <f t="shared" si="50"/>
        <v>0</v>
      </c>
      <c r="U183" s="328" t="str">
        <f t="shared" si="51"/>
        <v>除外</v>
      </c>
      <c r="V183" s="328" t="str">
        <f t="shared" si="52"/>
        <v/>
      </c>
      <c r="W183" s="332">
        <f t="array" ref="W183">IFERROR(100-100/(1+SUMPRODUCT((終値!F94:R94&gt;終値!G94:S94)*(終値!F94:R94-終値!G94:S94))/SUMPRODUCT((終値!F94:R94&lt;終値!G94:S94)*(終値!G94:S94-終値!F94:R94))),50)</f>
        <v>64.829821717990285</v>
      </c>
      <c r="X183" s="333">
        <f>IF(C183&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9.3121211276913982</v>
      </c>
      <c r="Y183" s="328" t="e">
        <f t="shared" si="53"/>
        <v>#VALUE!</v>
      </c>
      <c r="Z183" s="334" t="str">
        <f t="shared" si="54"/>
        <v/>
      </c>
      <c r="AA183" s="328" t="str">
        <f t="shared" si="55"/>
        <v/>
      </c>
      <c r="AB183" s="329">
        <f>IF(OR(C183="",C183="TOPX",終値!E94=""),"",IFERROR(((終値!E94*0.333)+(終値!F94*0.222)+(終値!G94*0.148)+(終値!H94*0.099)+(終値!I94*0.066))/(0.333+0.222+0.148+0.099+0.066),""))</f>
        <v>1850.081797235023</v>
      </c>
      <c r="AC183" s="329">
        <f>IF(OR(C183="",C183="TOPX",終値!E94=""),"",IFERROR(SUMPRODUCT((終値!E94:AC94),{0.077,0.071,0.065,0.06,0.055,0.051,0.047,0.043,0.039,0.036,0.033,0.031,0.028,0.026,0.024,0.022,0.02,0.018,0.017,0.016,0.014,0.013,0.012,0.011,0.01})/SUM({0.077,0.071,0.065,0.06,0.055,0.051,0.047,0.043,0.039,0.036,0.033,0.031,0.028,0.026,0.024,0.022,0.02,0.018,0.017,0.016,0.014,0.013,0.012,0.011,0.01}),""))</f>
        <v>1828.528605482717</v>
      </c>
      <c r="AD183" s="328" t="str">
        <f t="shared" si="56"/>
        <v>パーフェクト▲</v>
      </c>
      <c r="AE183" s="328" t="e">
        <f t="shared" si="57"/>
        <v>#VALUE!</v>
      </c>
      <c r="AF183" t="e">
        <f>IF(T183="","",IF(銘柄管理!$F$5="上昇▲",IF(AND(AD183="下降トレンド▼",OR(AE183="25日戻り売り★",AE183="5日戻り売り○")),"★逆張り売り",IF(AND(AD183="もみ合い→",OR(AE183="25日戻り売り★",AE183="5日戻り売り○")),"○逆張り売り",IF(W183&gt;=70,IF(Z183&lt;0,"◎反落確認","△過熱・様子見"),"相場上昇・見送り"))),IF(AND(T183&gt;=12,AD183="下降トレンド▼"),"★強い売り",IF(T183&gt;=12,"★強い売り",IF(AND(T183&gt;=8,OR(AE183="25日戻り売り★",AE183="5日戻り売り○")),"◎戻り売り",IF(T183&gt;=10,"○売り候補",IF(T183&gt;=6,"△注目",IF(T183&gt;=3,"様子見","見送り"))))))))</f>
        <v>#VALUE!</v>
      </c>
      <c r="AG183">
        <f t="shared" si="58"/>
        <v>0</v>
      </c>
      <c r="AH183">
        <f t="shared" si="59"/>
        <v>0</v>
      </c>
      <c r="AI183" s="376">
        <f t="array" ref="AI183">IF(C183="","",IFERROR((INDEX(終値!$E:$E,MATCH(TEXT(C183,"0"),終値!$A:$A,0))-INDEX(終値!$E:$CZ,MATCH(TEXT(C183,"0"),終値!$A:$A,0),$AN$2))/INDEX(終値!$E:$CZ,MATCH(TEXT(C183,"0"),終値!$A:$A,0),$AN$2)*100,""))</f>
        <v>2.406940945983767</v>
      </c>
      <c r="AJ183" s="376">
        <f t="array" ref="AJ183">IFERROR((終値!$E$5-INDEX(終値!$E$5:$CZ$5,1,$AN$2))/INDEX(終値!$E$5:$CZ$5,1,$AN$2)*100,"")</f>
        <v>2.31989243802786</v>
      </c>
      <c r="AK183" s="377">
        <f t="shared" si="60"/>
        <v>8.7048507955906906E-2</v>
      </c>
      <c r="AL183" s="375">
        <f t="shared" si="61"/>
        <v>-1</v>
      </c>
      <c r="AO183" s="379" t="e">
        <f t="shared" si="62"/>
        <v>#VALUE!</v>
      </c>
      <c r="AP183" s="380" t="e">
        <f t="shared" si="63"/>
        <v>#VALUE!</v>
      </c>
      <c r="AQ183">
        <f>IF(C183&lt;&gt;"",始値!F94,"")</f>
        <v>1900</v>
      </c>
      <c r="AR183">
        <f>IF(C183&lt;&gt;"",高値!F94,"")</f>
        <v>1905</v>
      </c>
      <c r="AS183">
        <f>IF(C183&lt;&gt;"",安値!F94,"")</f>
        <v>1868</v>
      </c>
      <c r="AT183" t="str">
        <f t="shared" si="64"/>
        <v>長い下ヒゲ(反発)</v>
      </c>
      <c r="AU183">
        <f t="shared" si="65"/>
        <v>-2</v>
      </c>
    </row>
    <row r="184" spans="1:47" ht="14.25" customHeight="1">
      <c r="A184" s="335" t="str">
        <f>IF(銘柄管理!B99&lt;&gt;"",HYPERLINK("https://kabutan.jp/stock/?code="&amp;銘柄管理!B99,"株探"),"")</f>
        <v>株探</v>
      </c>
      <c r="B184" s="215"/>
      <c r="C184" s="478">
        <f>IF(銘柄管理!B99="","",銘柄管理!B99)</f>
        <v>4523</v>
      </c>
      <c r="D184" s="215" t="str">
        <f>IF(銘柄管理!C99="","",銘柄管理!C99)</f>
        <v/>
      </c>
      <c r="E184" s="336" t="str">
        <f>IF(C184&lt;&gt;"",_xll.RssMarket(C184,"現在値"),"")</f>
        <v/>
      </c>
      <c r="F184" s="336" t="str">
        <f>IF(C184&lt;&gt;"",_xll.RssMarket(C184,"始値"),"")</f>
        <v/>
      </c>
      <c r="G184" s="215">
        <f>IF(C184&lt;&gt;"",終値!F99,"")</f>
        <v>4256</v>
      </c>
      <c r="H184" s="336" t="str">
        <f>IF(C184&lt;&gt;"",_xll.RssMarket(C184,"高値"),"")</f>
        <v/>
      </c>
      <c r="I184" s="336" t="str">
        <f>IF(C184&lt;&gt;"",_xll.RssMarket(C184,"安値"),"")</f>
        <v/>
      </c>
      <c r="J184" s="336" t="str">
        <f>IF(C184&lt;&gt;"",_xll.RssMarket(C184,"出来高"),"")</f>
        <v/>
      </c>
      <c r="K184" s="336" t="str">
        <f>IF(C184&lt;&gt;"",_xll.RssMarket(C184,"年初来高値"),"")</f>
        <v/>
      </c>
      <c r="L184" s="337" t="str">
        <f t="shared" si="44"/>
        <v/>
      </c>
      <c r="M184" s="336">
        <f>IF(C184&lt;&gt;"",IFERROR(AVERAGE(出来高!E99:I99),""),"")</f>
        <v>1796120</v>
      </c>
      <c r="N184" s="336">
        <f>IF(C184&lt;&gt;"",IFERROR(AVERAGE(出来高!E99:AC99),""),"")</f>
        <v>1807420</v>
      </c>
      <c r="O184" s="338" t="str">
        <f t="shared" si="45"/>
        <v/>
      </c>
      <c r="P184" s="215" t="str">
        <f t="shared" si="46"/>
        <v/>
      </c>
      <c r="Q184" s="215" t="str">
        <f t="shared" si="47"/>
        <v/>
      </c>
      <c r="R184" s="336" t="str">
        <f t="shared" si="48"/>
        <v/>
      </c>
      <c r="S184" s="336" t="str">
        <f t="shared" si="49"/>
        <v/>
      </c>
      <c r="T184" s="328">
        <f t="shared" si="50"/>
        <v>0</v>
      </c>
      <c r="U184" s="215" t="str">
        <f t="shared" si="51"/>
        <v>除外</v>
      </c>
      <c r="V184" s="215" t="str">
        <f t="shared" si="52"/>
        <v/>
      </c>
      <c r="W184" s="339">
        <f t="array" ref="W184">IFERROR(100-100/(1+SUMPRODUCT((終値!F99:R99&gt;終値!G99:S99)*(終値!F99:R99-終値!G99:S99))/SUMPRODUCT((終値!F99:R99&lt;終値!G99:S99)*(終値!G99:S99-終値!F99:R99))),50)</f>
        <v>68.427370948379348</v>
      </c>
      <c r="X184" s="340">
        <f>IF(C184&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63.541106277292783</v>
      </c>
      <c r="Y184" s="215" t="e">
        <f t="shared" si="53"/>
        <v>#VALUE!</v>
      </c>
      <c r="Z184" s="341" t="str">
        <f t="shared" si="54"/>
        <v/>
      </c>
      <c r="AA184" s="215" t="str">
        <f t="shared" si="55"/>
        <v/>
      </c>
      <c r="AB184" s="336">
        <f>IF(OR(C184="",C184="TOPX",終値!E99=""),"",IFERROR(((終値!E99*0.333)+(終値!F99*0.222)+(終値!G99*0.148)+(終値!H99*0.099)+(終値!I99*0.066))/(0.333+0.222+0.148+0.099+0.066),""))</f>
        <v>4352.4458525345626</v>
      </c>
      <c r="AC184" s="336">
        <f>IF(OR(C184="",C184="TOPX",終値!E99=""),"",IFERROR(SUMPRODUCT((終値!E99:AC99),{0.077,0.071,0.065,0.06,0.055,0.051,0.047,0.043,0.039,0.036,0.033,0.031,0.028,0.026,0.024,0.022,0.02,0.018,0.017,0.016,0.014,0.013,0.012,0.011,0.01})/SUM({0.077,0.071,0.065,0.06,0.055,0.051,0.047,0.043,0.039,0.036,0.033,0.031,0.028,0.026,0.024,0.022,0.02,0.018,0.017,0.016,0.014,0.013,0.012,0.011,0.01}),""))</f>
        <v>4183.1597139451706</v>
      </c>
      <c r="AD184" s="215" t="str">
        <f t="shared" si="56"/>
        <v>パーフェクト▲</v>
      </c>
      <c r="AE184" s="215" t="e">
        <f t="shared" si="57"/>
        <v>#VALUE!</v>
      </c>
      <c r="AF184" t="e">
        <f>IF(T184="","",IF(銘柄管理!$F$5="上昇▲",IF(AND(AD184="下降トレンド▼",OR(AE184="25日戻り売り★",AE184="5日戻り売り○")),"★逆張り売り",IF(AND(AD184="もみ合い→",OR(AE184="25日戻り売り★",AE184="5日戻り売り○")),"○逆張り売り",IF(W184&gt;=70,IF(Z184&lt;0,"◎反落確認","△過熱・様子見"),"相場上昇・見送り"))),IF(AND(T184&gt;=12,AD184="下降トレンド▼"),"★強い売り",IF(T184&gt;=12,"★強い売り",IF(AND(T184&gt;=8,OR(AE184="25日戻り売り★",AE184="5日戻り売り○")),"◎戻り売り",IF(T184&gt;=10,"○売り候補",IF(T184&gt;=6,"△注目",IF(T184&gt;=3,"様子見","見送り"))))))))</f>
        <v>#VALUE!</v>
      </c>
      <c r="AG184">
        <f t="shared" si="58"/>
        <v>0</v>
      </c>
      <c r="AH184">
        <f t="shared" si="59"/>
        <v>0</v>
      </c>
      <c r="AI184" s="376">
        <f t="array" ref="AI184">IF(C184="","",IFERROR((INDEX(終値!$E:$E,MATCH(TEXT(C184,"0"),終値!$A:$A,0))-INDEX(終値!$E:$CZ,MATCH(TEXT(C184,"0"),終値!$A:$A,0),$AN$2))/INDEX(終値!$E:$CZ,MATCH(TEXT(C184,"0"),終値!$A:$A,0),$AN$2)*100,""))</f>
        <v>16.920651602732526</v>
      </c>
      <c r="AJ184" s="376">
        <f t="array" ref="AJ184">IFERROR((終値!$E$5-INDEX(終値!$E$5:$CZ$5,1,$AN$2))/INDEX(終値!$E$5:$CZ$5,1,$AN$2)*100,"")</f>
        <v>2.31989243802786</v>
      </c>
      <c r="AK184" s="377">
        <f t="shared" si="60"/>
        <v>14.600759164704666</v>
      </c>
      <c r="AL184" s="375">
        <f t="shared" si="61"/>
        <v>-2</v>
      </c>
      <c r="AO184" s="379" t="e">
        <f t="shared" si="62"/>
        <v>#VALUE!</v>
      </c>
      <c r="AP184" s="380" t="e">
        <f t="shared" si="63"/>
        <v>#VALUE!</v>
      </c>
      <c r="AQ184">
        <f>IF(C184&lt;&gt;"",始値!F99,"")</f>
        <v>4270</v>
      </c>
      <c r="AR184">
        <f>IF(C184&lt;&gt;"",高値!F99,"")</f>
        <v>4331</v>
      </c>
      <c r="AS184">
        <f>IF(C184&lt;&gt;"",安値!F99,"")</f>
        <v>4238</v>
      </c>
      <c r="AT184" t="str">
        <f t="shared" si="64"/>
        <v>通常</v>
      </c>
      <c r="AU184">
        <f t="shared" si="65"/>
        <v>0</v>
      </c>
    </row>
    <row r="185" spans="1:47" ht="14.25" customHeight="1">
      <c r="A185" s="327" t="str">
        <f>IF(銘柄管理!B108&lt;&gt;"",HYPERLINK("https://kabutan.jp/stock/?code="&amp;銘柄管理!B108,"株探"),"")</f>
        <v>株探</v>
      </c>
      <c r="B185" s="328"/>
      <c r="C185" s="477">
        <f>IF(銘柄管理!B108="","",銘柄管理!B108)</f>
        <v>8424</v>
      </c>
      <c r="D185" s="328" t="str">
        <f>IF(銘柄管理!C108="","",銘柄管理!C108)</f>
        <v/>
      </c>
      <c r="E185" s="329" t="str">
        <f>IF(C185&lt;&gt;"",_xll.RssMarket(C185,"現在値"),"")</f>
        <v/>
      </c>
      <c r="F185" s="329" t="str">
        <f>IF(C185&lt;&gt;"",_xll.RssMarket(C185,"始値"),"")</f>
        <v/>
      </c>
      <c r="G185" s="328">
        <f>IF(C185&lt;&gt;"",終値!F108,"")</f>
        <v>4361</v>
      </c>
      <c r="H185" s="329" t="str">
        <f>IF(C185&lt;&gt;"",_xll.RssMarket(C185,"高値"),"")</f>
        <v/>
      </c>
      <c r="I185" s="329" t="str">
        <f>IF(C185&lt;&gt;"",_xll.RssMarket(C185,"安値"),"")</f>
        <v/>
      </c>
      <c r="J185" s="329" t="str">
        <f>IF(C185&lt;&gt;"",_xll.RssMarket(C185,"出来高"),"")</f>
        <v/>
      </c>
      <c r="K185" s="329" t="str">
        <f>IF(C185&lt;&gt;"",_xll.RssMarket(C185,"年初来高値"),"")</f>
        <v/>
      </c>
      <c r="L185" s="330" t="str">
        <f t="shared" si="44"/>
        <v/>
      </c>
      <c r="M185" s="329">
        <f>IF(C185&lt;&gt;"",IFERROR(AVERAGE(出来高!E108:I108),""),"")</f>
        <v>128120</v>
      </c>
      <c r="N185" s="329">
        <f>IF(C185&lt;&gt;"",IFERROR(AVERAGE(出来高!E108:AC108),""),"")</f>
        <v>160680</v>
      </c>
      <c r="O185" s="331" t="str">
        <f t="shared" si="45"/>
        <v/>
      </c>
      <c r="P185" s="328" t="str">
        <f t="shared" si="46"/>
        <v/>
      </c>
      <c r="Q185" s="328" t="str">
        <f t="shared" si="47"/>
        <v/>
      </c>
      <c r="R185" s="329" t="str">
        <f t="shared" si="48"/>
        <v/>
      </c>
      <c r="S185" s="329" t="str">
        <f t="shared" si="49"/>
        <v/>
      </c>
      <c r="T185" s="328">
        <f t="shared" si="50"/>
        <v>0</v>
      </c>
      <c r="U185" s="328" t="str">
        <f t="shared" si="51"/>
        <v>除外</v>
      </c>
      <c r="V185" s="328" t="str">
        <f t="shared" si="52"/>
        <v/>
      </c>
      <c r="W185" s="332">
        <f t="array" ref="W185">IFERROR(100-100/(1+SUMPRODUCT((終値!F108:R108&gt;終値!G108:S108)*(終値!F108:R108-終値!G108:S108))/SUMPRODUCT((終値!F108:R108&lt;終値!G108:S108)*(終値!G108:S108-終値!F108:R108))),50)</f>
        <v>76.012461059190031</v>
      </c>
      <c r="X185" s="333">
        <f>IF(C185&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12.376004521593131</v>
      </c>
      <c r="Y185" s="328" t="e">
        <f t="shared" si="53"/>
        <v>#VALUE!</v>
      </c>
      <c r="Z185" s="334" t="str">
        <f t="shared" si="54"/>
        <v/>
      </c>
      <c r="AA185" s="328" t="str">
        <f t="shared" si="55"/>
        <v/>
      </c>
      <c r="AB185" s="329">
        <f>IF(OR(C185="",C185="TOPX",終値!E108=""),"",IFERROR(((終値!E108*0.333)+(終値!F108*0.222)+(終値!G108*0.148)+(終値!H108*0.099)+(終値!I108*0.066))/(0.333+0.222+0.148+0.099+0.066),""))</f>
        <v>4332.675115207373</v>
      </c>
      <c r="AC185" s="329">
        <f>IF(OR(C185="",C185="TOPX",終値!E108=""),"",IFERROR(SUMPRODUCT((終値!E108:AC108),{0.077,0.071,0.065,0.06,0.055,0.051,0.047,0.043,0.039,0.036,0.033,0.031,0.028,0.026,0.024,0.022,0.02,0.018,0.017,0.016,0.014,0.013,0.012,0.011,0.01})/SUM({0.077,0.071,0.065,0.06,0.055,0.051,0.047,0.043,0.039,0.036,0.033,0.031,0.028,0.026,0.024,0.022,0.02,0.018,0.017,0.016,0.014,0.013,0.012,0.011,0.01}),""))</f>
        <v>4262.4326579261015</v>
      </c>
      <c r="AD185" s="328" t="str">
        <f t="shared" si="56"/>
        <v>パーフェクト▲</v>
      </c>
      <c r="AE185" s="328" t="e">
        <f t="shared" si="57"/>
        <v>#VALUE!</v>
      </c>
      <c r="AF185" t="e">
        <f>IF(T185="","",IF(銘柄管理!$F$5="上昇▲",IF(AND(AD185="下降トレンド▼",OR(AE185="25日戻り売り★",AE185="5日戻り売り○")),"★逆張り売り",IF(AND(AD185="もみ合い→",OR(AE185="25日戻り売り★",AE185="5日戻り売り○")),"○逆張り売り",IF(W185&gt;=70,IF(Z185&lt;0,"◎反落確認","△過熱・様子見"),"相場上昇・見送り"))),IF(AND(T185&gt;=12,AD185="下降トレンド▼"),"★強い売り",IF(T185&gt;=12,"★強い売り",IF(AND(T185&gt;=8,OR(AE185="25日戻り売り★",AE185="5日戻り売り○")),"◎戻り売り",IF(T185&gt;=10,"○売り候補",IF(T185&gt;=6,"△注目",IF(T185&gt;=3,"様子見","見送り"))))))))</f>
        <v>#VALUE!</v>
      </c>
      <c r="AG185">
        <f t="shared" si="58"/>
        <v>0</v>
      </c>
      <c r="AH185">
        <f t="shared" si="59"/>
        <v>0</v>
      </c>
      <c r="AI185" s="376">
        <f t="array" ref="AI185">IF(C185="","",IFERROR((INDEX(終値!$E:$E,MATCH(TEXT(C185,"0"),終値!$A:$A,0))-INDEX(終値!$E:$CZ,MATCH(TEXT(C185,"0"),終値!$A:$A,0),$AN$2))/INDEX(終値!$E:$CZ,MATCH(TEXT(C185,"0"),終値!$A:$A,0),$AN$2)*100,""))</f>
        <v>3.6498091603053435</v>
      </c>
      <c r="AJ185" s="376">
        <f t="array" ref="AJ185">IFERROR((終値!$E$5-INDEX(終値!$E$5:$CZ$5,1,$AN$2))/INDEX(終値!$E$5:$CZ$5,1,$AN$2)*100,"")</f>
        <v>2.31989243802786</v>
      </c>
      <c r="AK185" s="377">
        <f t="shared" si="60"/>
        <v>1.3299167222774835</v>
      </c>
      <c r="AL185" s="375">
        <f t="shared" si="61"/>
        <v>-1</v>
      </c>
      <c r="AO185" s="379" t="e">
        <f t="shared" si="62"/>
        <v>#VALUE!</v>
      </c>
      <c r="AP185" s="380" t="e">
        <f t="shared" si="63"/>
        <v>#VALUE!</v>
      </c>
      <c r="AQ185">
        <f>IF(C185&lt;&gt;"",始値!F108,"")</f>
        <v>4368</v>
      </c>
      <c r="AR185">
        <f>IF(C185&lt;&gt;"",高値!F108,"")</f>
        <v>4390</v>
      </c>
      <c r="AS185">
        <f>IF(C185&lt;&gt;"",安値!F108,"")</f>
        <v>4346</v>
      </c>
      <c r="AT185" t="str">
        <f t="shared" si="64"/>
        <v>通常</v>
      </c>
      <c r="AU185">
        <f t="shared" si="65"/>
        <v>0</v>
      </c>
    </row>
    <row r="186" spans="1:47" ht="14.25" customHeight="1">
      <c r="A186" s="335" t="str">
        <f>IF(銘柄管理!B128&lt;&gt;"",HYPERLINK("https://kabutan.jp/stock/?code="&amp;銘柄管理!B128,"株探"),"")</f>
        <v>株探</v>
      </c>
      <c r="B186" s="215"/>
      <c r="C186" s="478">
        <f>IF(銘柄管理!B128="","",銘柄管理!B128)</f>
        <v>6330</v>
      </c>
      <c r="D186" s="215" t="str">
        <f>IF(銘柄管理!C128="","",銘柄管理!C128)</f>
        <v/>
      </c>
      <c r="E186" s="336" t="str">
        <f>IF(C186&lt;&gt;"",_xll.RssMarket(C186,"現在値"),"")</f>
        <v/>
      </c>
      <c r="F186" s="336" t="str">
        <f>IF(C186&lt;&gt;"",_xll.RssMarket(C186,"始値"),"")</f>
        <v/>
      </c>
      <c r="G186" s="215">
        <f>IF(C186&lt;&gt;"",終値!F128,"")</f>
        <v>1956</v>
      </c>
      <c r="H186" s="336" t="str">
        <f>IF(C186&lt;&gt;"",_xll.RssMarket(C186,"高値"),"")</f>
        <v/>
      </c>
      <c r="I186" s="336" t="str">
        <f>IF(C186&lt;&gt;"",_xll.RssMarket(C186,"安値"),"")</f>
        <v/>
      </c>
      <c r="J186" s="336" t="str">
        <f>IF(C186&lt;&gt;"",_xll.RssMarket(C186,"出来高"),"")</f>
        <v/>
      </c>
      <c r="K186" s="336" t="str">
        <f>IF(C186&lt;&gt;"",_xll.RssMarket(C186,"年初来高値"),"")</f>
        <v/>
      </c>
      <c r="L186" s="337" t="str">
        <f t="shared" si="44"/>
        <v/>
      </c>
      <c r="M186" s="336">
        <f>IF(C186&lt;&gt;"",IFERROR(AVERAGE(出来高!E128:I128),""),"")</f>
        <v>1456440</v>
      </c>
      <c r="N186" s="336">
        <f>IF(C186&lt;&gt;"",IFERROR(AVERAGE(出来高!E128:AC128),""),"")</f>
        <v>1509376</v>
      </c>
      <c r="O186" s="338" t="str">
        <f t="shared" si="45"/>
        <v/>
      </c>
      <c r="P186" s="215" t="str">
        <f t="shared" si="46"/>
        <v/>
      </c>
      <c r="Q186" s="215" t="str">
        <f t="shared" si="47"/>
        <v/>
      </c>
      <c r="R186" s="336" t="str">
        <f t="shared" si="48"/>
        <v/>
      </c>
      <c r="S186" s="336" t="str">
        <f t="shared" si="49"/>
        <v/>
      </c>
      <c r="T186" s="328">
        <f t="shared" si="50"/>
        <v>0</v>
      </c>
      <c r="U186" s="215" t="str">
        <f t="shared" si="51"/>
        <v>除外</v>
      </c>
      <c r="V186" s="215" t="str">
        <f t="shared" si="52"/>
        <v/>
      </c>
      <c r="W186" s="339">
        <f t="array" ref="W186">IFERROR(100-100/(1+SUMPRODUCT((終値!F128:R128&gt;終値!G128:S128)*(終値!F128:R128-終値!G128:S128))/SUMPRODUCT((終値!F128:R128&lt;終値!G128:S128)*(終値!G128:S128-終値!F128:R128))),50)</f>
        <v>49.947753396029256</v>
      </c>
      <c r="X186" s="340">
        <f>IF(C186&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-11.818033824366012</v>
      </c>
      <c r="Y186" s="215" t="e">
        <f t="shared" si="53"/>
        <v>#VALUE!</v>
      </c>
      <c r="Z186" s="341" t="str">
        <f t="shared" si="54"/>
        <v/>
      </c>
      <c r="AA186" s="215" t="str">
        <f t="shared" si="55"/>
        <v/>
      </c>
      <c r="AB186" s="336">
        <f>IF(OR(C186="",C186="TOPX",終値!E128=""),"",IFERROR(((終値!E128*0.333)+(終値!F128*0.222)+(終値!G128*0.148)+(終値!H128*0.099)+(終値!I128*0.066))/(0.333+0.222+0.148+0.099+0.066),""))</f>
        <v>1874.536866359447</v>
      </c>
      <c r="AC186" s="336">
        <f>IF(OR(C186="",C186="TOPX",終値!E128=""),"",IFERROR(SUMPRODUCT((終値!E128:AC128),{0.077,0.071,0.065,0.06,0.055,0.051,0.047,0.043,0.039,0.036,0.033,0.031,0.028,0.026,0.024,0.022,0.02,0.018,0.017,0.016,0.014,0.013,0.012,0.011,0.01})/SUM({0.077,0.071,0.065,0.06,0.055,0.051,0.047,0.043,0.039,0.036,0.033,0.031,0.028,0.026,0.024,0.022,0.02,0.018,0.017,0.016,0.014,0.013,0.012,0.011,0.01}),""))</f>
        <v>1969.1930870083422</v>
      </c>
      <c r="AD186" s="215" t="str">
        <f t="shared" si="56"/>
        <v>上昇トレンド▲</v>
      </c>
      <c r="AE186" s="215" t="e">
        <f t="shared" si="57"/>
        <v>#VALUE!</v>
      </c>
      <c r="AF186" t="e">
        <f>IF(T186="","",IF(銘柄管理!$F$5="上昇▲",IF(AND(AD186="下降トレンド▼",OR(AE186="25日戻り売り★",AE186="5日戻り売り○")),"★逆張り売り",IF(AND(AD186="もみ合い→",OR(AE186="25日戻り売り★",AE186="5日戻り売り○")),"○逆張り売り",IF(W186&gt;=70,IF(Z186&lt;0,"◎反落確認","△過熱・様子見"),"相場上昇・見送り"))),IF(AND(T186&gt;=12,AD186="下降トレンド▼"),"★強い売り",IF(T186&gt;=12,"★強い売り",IF(AND(T186&gt;=8,OR(AE186="25日戻り売り★",AE186="5日戻り売り○")),"◎戻り売り",IF(T186&gt;=10,"○売り候補",IF(T186&gt;=6,"△注目",IF(T186&gt;=3,"様子見","見送り"))))))))</f>
        <v>#VALUE!</v>
      </c>
      <c r="AG186">
        <f t="shared" si="58"/>
        <v>0</v>
      </c>
      <c r="AH186">
        <f t="shared" si="59"/>
        <v>0</v>
      </c>
      <c r="AI186" s="376">
        <f t="array" ref="AI186">IF(C186="","",IFERROR((INDEX(終値!$E:$E,MATCH(TEXT(C186,"0"),終値!$A:$A,0))-INDEX(終値!$E:$CZ,MATCH(TEXT(C186,"0"),終値!$A:$A,0),$AN$2))/INDEX(終値!$E:$CZ,MATCH(TEXT(C186,"0"),終値!$A:$A,0),$AN$2)*100,""))</f>
        <v>-11.654894046417761</v>
      </c>
      <c r="AJ186" s="376">
        <f t="array" ref="AJ186">IFERROR((終値!$E$5-INDEX(終値!$E$5:$CZ$5,1,$AN$2))/INDEX(終値!$E$5:$CZ$5,1,$AN$2)*100,"")</f>
        <v>2.31989243802786</v>
      </c>
      <c r="AK186" s="377">
        <f t="shared" si="60"/>
        <v>-13.974786484445621</v>
      </c>
      <c r="AL186" s="375">
        <f t="shared" si="61"/>
        <v>3</v>
      </c>
      <c r="AO186" s="379" t="e">
        <f t="shared" si="62"/>
        <v>#VALUE!</v>
      </c>
      <c r="AP186" s="380" t="e">
        <f t="shared" si="63"/>
        <v>#VALUE!</v>
      </c>
      <c r="AQ186">
        <f>IF(C186&lt;&gt;"",始値!F128,"")</f>
        <v>1945</v>
      </c>
      <c r="AR186">
        <f>IF(C186&lt;&gt;"",高値!F128,"")</f>
        <v>1976</v>
      </c>
      <c r="AS186">
        <f>IF(C186&lt;&gt;"",安値!F128,"")</f>
        <v>1893</v>
      </c>
      <c r="AT186" t="str">
        <f t="shared" si="64"/>
        <v>通常</v>
      </c>
      <c r="AU186">
        <f t="shared" si="65"/>
        <v>0</v>
      </c>
    </row>
    <row r="187" spans="1:47" ht="14.25" customHeight="1">
      <c r="A187" s="327" t="str">
        <f>IF(銘柄管理!B131&lt;&gt;"",HYPERLINK("https://kabutan.jp/stock/?code="&amp;銘柄管理!B131,"株探"),"")</f>
        <v>株探</v>
      </c>
      <c r="B187" s="328"/>
      <c r="C187" s="477">
        <f>IF(銘柄管理!B131="","",銘柄管理!B131)</f>
        <v>2160</v>
      </c>
      <c r="D187" s="328" t="str">
        <f>IF(銘柄管理!C131="","",銘柄管理!C131)</f>
        <v/>
      </c>
      <c r="E187" s="329" t="str">
        <f>IF(C187&lt;&gt;"",_xll.RssMarket(C187,"現在値"),"")</f>
        <v/>
      </c>
      <c r="F187" s="329" t="str">
        <f>IF(C187&lt;&gt;"",_xll.RssMarket(C187,"始値"),"")</f>
        <v/>
      </c>
      <c r="G187" s="328">
        <f>IF(C187&lt;&gt;"",終値!F131,"")</f>
        <v>2602</v>
      </c>
      <c r="H187" s="329" t="str">
        <f>IF(C187&lt;&gt;"",_xll.RssMarket(C187,"高値"),"")</f>
        <v/>
      </c>
      <c r="I187" s="329" t="str">
        <f>IF(C187&lt;&gt;"",_xll.RssMarket(C187,"安値"),"")</f>
        <v/>
      </c>
      <c r="J187" s="329" t="str">
        <f>IF(C187&lt;&gt;"",_xll.RssMarket(C187,"出来高"),"")</f>
        <v/>
      </c>
      <c r="K187" s="329" t="str">
        <f>IF(C187&lt;&gt;"",_xll.RssMarket(C187,"年初来高値"),"")</f>
        <v/>
      </c>
      <c r="L187" s="330" t="str">
        <f t="shared" si="44"/>
        <v/>
      </c>
      <c r="M187" s="329">
        <f>IF(C187&lt;&gt;"",IFERROR(AVERAGE(出来高!E131:I131),""),"")</f>
        <v>642080</v>
      </c>
      <c r="N187" s="329">
        <f>IF(C187&lt;&gt;"",IFERROR(AVERAGE(出来高!E131:AC131),""),"")</f>
        <v>918356</v>
      </c>
      <c r="O187" s="331" t="str">
        <f t="shared" si="45"/>
        <v/>
      </c>
      <c r="P187" s="328" t="str">
        <f t="shared" si="46"/>
        <v/>
      </c>
      <c r="Q187" s="328" t="str">
        <f t="shared" si="47"/>
        <v/>
      </c>
      <c r="R187" s="329" t="str">
        <f t="shared" si="48"/>
        <v/>
      </c>
      <c r="S187" s="329" t="str">
        <f t="shared" si="49"/>
        <v/>
      </c>
      <c r="T187" s="328">
        <f t="shared" si="50"/>
        <v>0</v>
      </c>
      <c r="U187" s="328" t="str">
        <f t="shared" si="51"/>
        <v>除外</v>
      </c>
      <c r="V187" s="328" t="str">
        <f t="shared" si="52"/>
        <v/>
      </c>
      <c r="W187" s="332">
        <f t="array" ref="W187">IFERROR(100-100/(1+SUMPRODUCT((終値!F131:R131&gt;終値!G131:S131)*(終値!F131:R131-終値!G131:S131))/SUMPRODUCT((終値!F131:R131&lt;終値!G131:S131)*(終値!G131:S131-終値!F131:R131))),50)</f>
        <v>51.077586206896548</v>
      </c>
      <c r="X187" s="333">
        <f>IF(C187&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0.76777490755875988</v>
      </c>
      <c r="Y187" s="328" t="e">
        <f t="shared" si="53"/>
        <v>#VALUE!</v>
      </c>
      <c r="Z187" s="334" t="str">
        <f t="shared" si="54"/>
        <v/>
      </c>
      <c r="AA187" s="328" t="str">
        <f t="shared" si="55"/>
        <v/>
      </c>
      <c r="AB187" s="329">
        <f>IF(OR(C187="",C187="TOPX",終値!E131=""),"",IFERROR(((終値!E131*0.333)+(終値!F131*0.222)+(終値!G131*0.148)+(終値!H131*0.099)+(終値!I131*0.066))/(0.333+0.222+0.148+0.099+0.066),""))</f>
        <v>2532.6774193548385</v>
      </c>
      <c r="AC187" s="329">
        <f>IF(OR(C187="",C187="TOPX",終値!E131=""),"",IFERROR(SUMPRODUCT((終値!E131:AC131),{0.077,0.071,0.065,0.06,0.055,0.051,0.047,0.043,0.039,0.036,0.033,0.031,0.028,0.026,0.024,0.022,0.02,0.018,0.017,0.016,0.014,0.013,0.012,0.011,0.01})/SUM({0.077,0.071,0.065,0.06,0.055,0.051,0.047,0.043,0.039,0.036,0.033,0.031,0.028,0.026,0.024,0.022,0.02,0.018,0.017,0.016,0.014,0.013,0.012,0.011,0.01}),""))</f>
        <v>2632.0977353992839</v>
      </c>
      <c r="AD187" s="328" t="str">
        <f t="shared" si="56"/>
        <v>上昇トレンド▲</v>
      </c>
      <c r="AE187" s="328" t="e">
        <f t="shared" si="57"/>
        <v>#VALUE!</v>
      </c>
      <c r="AF187" t="e">
        <f>IF(T187="","",IF(銘柄管理!$F$5="上昇▲",IF(AND(AD187="下降トレンド▼",OR(AE187="25日戻り売り★",AE187="5日戻り売り○")),"★逆張り売り",IF(AND(AD187="もみ合い→",OR(AE187="25日戻り売り★",AE187="5日戻り売り○")),"○逆張り売り",IF(W187&gt;=70,IF(Z187&lt;0,"◎反落確認","△過熱・様子見"),"相場上昇・見送り"))),IF(AND(T187&gt;=12,AD187="下降トレンド▼"),"★強い売り",IF(T187&gt;=12,"★強い売り",IF(AND(T187&gt;=8,OR(AE187="25日戻り売り★",AE187="5日戻り売り○")),"◎戻り売り",IF(T187&gt;=10,"○売り候補",IF(T187&gt;=6,"△注目",IF(T187&gt;=3,"様子見","見送り"))))))))</f>
        <v>#VALUE!</v>
      </c>
      <c r="AG187">
        <f t="shared" si="58"/>
        <v>0</v>
      </c>
      <c r="AH187">
        <f t="shared" si="59"/>
        <v>0</v>
      </c>
      <c r="AI187" s="376">
        <f t="array" ref="AI187">IF(C187="","",IFERROR((INDEX(終値!$E:$E,MATCH(TEXT(C187,"0"),終値!$A:$A,0))-INDEX(終値!$E:$CZ,MATCH(TEXT(C187,"0"),終値!$A:$A,0),$AN$2))/INDEX(終値!$E:$CZ,MATCH(TEXT(C187,"0"),終値!$A:$A,0),$AN$2)*100,""))</f>
        <v>-13.167259786476867</v>
      </c>
      <c r="AJ187" s="376">
        <f t="array" ref="AJ187">IFERROR((終値!$E$5-INDEX(終値!$E$5:$CZ$5,1,$AN$2))/INDEX(終値!$E$5:$CZ$5,1,$AN$2)*100,"")</f>
        <v>2.31989243802786</v>
      </c>
      <c r="AK187" s="377">
        <f t="shared" si="60"/>
        <v>-15.487152224504728</v>
      </c>
      <c r="AL187" s="375">
        <f t="shared" si="61"/>
        <v>3</v>
      </c>
      <c r="AO187" s="379" t="e">
        <f t="shared" si="62"/>
        <v>#VALUE!</v>
      </c>
      <c r="AP187" s="380" t="e">
        <f t="shared" si="63"/>
        <v>#VALUE!</v>
      </c>
      <c r="AQ187">
        <f>IF(C187&lt;&gt;"",始値!F131,"")</f>
        <v>2590</v>
      </c>
      <c r="AR187">
        <f>IF(C187&lt;&gt;"",高値!F131,"")</f>
        <v>2615</v>
      </c>
      <c r="AS187">
        <f>IF(C187&lt;&gt;"",安値!F131,"")</f>
        <v>2542</v>
      </c>
      <c r="AT187" t="str">
        <f t="shared" si="64"/>
        <v>長い下ヒゲ(反発)</v>
      </c>
      <c r="AU187">
        <f t="shared" si="65"/>
        <v>-2</v>
      </c>
    </row>
    <row r="188" spans="1:47" ht="14.25" customHeight="1">
      <c r="A188" s="335" t="str">
        <f>IF(銘柄管理!B139&lt;&gt;"",HYPERLINK("https://kabutan.jp/stock/?code="&amp;銘柄管理!B139,"株探"),"")</f>
        <v>株探</v>
      </c>
      <c r="B188" s="215"/>
      <c r="C188" s="478">
        <f>IF(銘柄管理!B139="","",銘柄管理!B139)</f>
        <v>4422</v>
      </c>
      <c r="D188" s="215" t="str">
        <f>IF(銘柄管理!C139="","",銘柄管理!C139)</f>
        <v/>
      </c>
      <c r="E188" s="336" t="str">
        <f>IF(C188&lt;&gt;"",_xll.RssMarket(C188,"現在値"),"")</f>
        <v/>
      </c>
      <c r="F188" s="336" t="str">
        <f>IF(C188&lt;&gt;"",_xll.RssMarket(C188,"始値"),"")</f>
        <v/>
      </c>
      <c r="G188" s="215">
        <f>IF(C188&lt;&gt;"",終値!F139,"")</f>
        <v>565</v>
      </c>
      <c r="H188" s="336" t="str">
        <f>IF(C188&lt;&gt;"",_xll.RssMarket(C188,"高値"),"")</f>
        <v/>
      </c>
      <c r="I188" s="336" t="str">
        <f>IF(C188&lt;&gt;"",_xll.RssMarket(C188,"安値"),"")</f>
        <v/>
      </c>
      <c r="J188" s="336" t="str">
        <f>IF(C188&lt;&gt;"",_xll.RssMarket(C188,"出来高"),"")</f>
        <v/>
      </c>
      <c r="K188" s="336" t="str">
        <f>IF(C188&lt;&gt;"",_xll.RssMarket(C188,"年初来高値"),"")</f>
        <v/>
      </c>
      <c r="L188" s="337" t="str">
        <f t="shared" si="44"/>
        <v/>
      </c>
      <c r="M188" s="336">
        <f>IF(C188&lt;&gt;"",IFERROR(AVERAGE(出来高!E139:I139),""),"")</f>
        <v>68240</v>
      </c>
      <c r="N188" s="336">
        <f>IF(C188&lt;&gt;"",IFERROR(AVERAGE(出来高!E139:AC139),""),"")</f>
        <v>146272</v>
      </c>
      <c r="O188" s="338" t="str">
        <f t="shared" si="45"/>
        <v/>
      </c>
      <c r="P188" s="215" t="str">
        <f t="shared" si="46"/>
        <v/>
      </c>
      <c r="Q188" s="215" t="str">
        <f t="shared" si="47"/>
        <v/>
      </c>
      <c r="R188" s="336" t="str">
        <f t="shared" si="48"/>
        <v/>
      </c>
      <c r="S188" s="336" t="str">
        <f t="shared" si="49"/>
        <v/>
      </c>
      <c r="T188" s="328">
        <f t="shared" si="50"/>
        <v>0</v>
      </c>
      <c r="U188" s="215" t="str">
        <f t="shared" si="51"/>
        <v>除外</v>
      </c>
      <c r="V188" s="215" t="str">
        <f t="shared" si="52"/>
        <v/>
      </c>
      <c r="W188" s="339">
        <f t="array" ref="W188">IFERROR(100-100/(1+SUMPRODUCT((終値!F139:R139&gt;終値!G139:S139)*(終値!F139:R139-終値!G139:S139))/SUMPRODUCT((終値!F139:R139&lt;終値!G139:S139)*(終値!G139:S139-終値!F139:R139))),50)</f>
        <v>49.468085106382979</v>
      </c>
      <c r="X188" s="340">
        <f>IF(C188&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-8.7587396861154048</v>
      </c>
      <c r="Y188" s="215" t="e">
        <f t="shared" si="53"/>
        <v>#VALUE!</v>
      </c>
      <c r="Z188" s="341" t="str">
        <f t="shared" si="54"/>
        <v/>
      </c>
      <c r="AA188" s="215" t="str">
        <f t="shared" si="55"/>
        <v/>
      </c>
      <c r="AB188" s="336">
        <f>IF(OR(C188="",C188="TOPX",終値!E139=""),"",IFERROR(((終値!E139*0.333)+(終値!F139*0.222)+(終値!G139*0.148)+(終値!H139*0.099)+(終値!I139*0.066))/(0.333+0.222+0.148+0.099+0.066),""))</f>
        <v>541.38940092165888</v>
      </c>
      <c r="AC188" s="336">
        <f>IF(OR(C188="",C188="TOPX",終値!E139=""),"",IFERROR(SUMPRODUCT((終値!E139:AC139),{0.077,0.071,0.065,0.06,0.055,0.051,0.047,0.043,0.039,0.036,0.033,0.031,0.028,0.026,0.024,0.022,0.02,0.018,0.017,0.016,0.014,0.013,0.012,0.011,0.01})/SUM({0.077,0.071,0.065,0.06,0.055,0.051,0.047,0.043,0.039,0.036,0.033,0.031,0.028,0.026,0.024,0.022,0.02,0.018,0.017,0.016,0.014,0.013,0.012,0.011,0.01}),""))</f>
        <v>573.97497020262188</v>
      </c>
      <c r="AD188" s="215" t="str">
        <f t="shared" si="56"/>
        <v>上昇トレンド▲</v>
      </c>
      <c r="AE188" s="215" t="e">
        <f t="shared" si="57"/>
        <v>#VALUE!</v>
      </c>
      <c r="AF188" t="e">
        <f>IF(T188="","",IF(銘柄管理!$F$5="上昇▲",IF(AND(AD188="下降トレンド▼",OR(AE188="25日戻り売り★",AE188="5日戻り売り○")),"★逆張り売り",IF(AND(AD188="もみ合い→",OR(AE188="25日戻り売り★",AE188="5日戻り売り○")),"○逆張り売り",IF(W188&gt;=70,IF(Z188&lt;0,"◎反落確認","△過熱・様子見"),"相場上昇・見送り"))),IF(AND(T188&gt;=12,AD188="下降トレンド▼"),"★強い売り",IF(T188&gt;=12,"★強い売り",IF(AND(T188&gt;=8,OR(AE188="25日戻り売り★",AE188="5日戻り売り○")),"◎戻り売り",IF(T188&gt;=10,"○売り候補",IF(T188&gt;=6,"△注目",IF(T188&gt;=3,"様子見","見送り"))))))))</f>
        <v>#VALUE!</v>
      </c>
      <c r="AG188">
        <f t="shared" si="58"/>
        <v>0</v>
      </c>
      <c r="AH188">
        <f t="shared" si="59"/>
        <v>0</v>
      </c>
      <c r="AI188" s="376">
        <f t="array" ref="AI188">IF(C188="","",IFERROR((INDEX(終値!$E:$E,MATCH(TEXT(C188,"0"),終値!$A:$A,0))-INDEX(終値!$E:$CZ,MATCH(TEXT(C188,"0"),終値!$A:$A,0),$AN$2))/INDEX(終値!$E:$CZ,MATCH(TEXT(C188,"0"),終値!$A:$A,0),$AN$2)*100,""))</f>
        <v>-43.497267759562838</v>
      </c>
      <c r="AJ188" s="376">
        <f t="array" ref="AJ188">IFERROR((終値!$E$5-INDEX(終値!$E$5:$CZ$5,1,$AN$2))/INDEX(終値!$E$5:$CZ$5,1,$AN$2)*100,"")</f>
        <v>2.31989243802786</v>
      </c>
      <c r="AK188" s="377">
        <f t="shared" si="60"/>
        <v>-45.817160197590695</v>
      </c>
      <c r="AL188" s="375">
        <f t="shared" si="61"/>
        <v>3</v>
      </c>
      <c r="AO188" s="379" t="e">
        <f t="shared" si="62"/>
        <v>#VALUE!</v>
      </c>
      <c r="AP188" s="380" t="e">
        <f t="shared" si="63"/>
        <v>#VALUE!</v>
      </c>
      <c r="AQ188">
        <f>IF(C188&lt;&gt;"",始値!F139,"")</f>
        <v>553</v>
      </c>
      <c r="AR188">
        <f>IF(C188&lt;&gt;"",高値!F139,"")</f>
        <v>572</v>
      </c>
      <c r="AS188">
        <f>IF(C188&lt;&gt;"",安値!F139,"")</f>
        <v>542</v>
      </c>
      <c r="AT188" t="str">
        <f t="shared" si="64"/>
        <v>通常</v>
      </c>
      <c r="AU188">
        <f t="shared" si="65"/>
        <v>0</v>
      </c>
    </row>
    <row r="189" spans="1:47" ht="14.25" customHeight="1">
      <c r="A189" s="327" t="str">
        <f>IF(銘柄管理!B140&lt;&gt;"",HYPERLINK("https://kabutan.jp/stock/?code="&amp;銘柄管理!B140,"株探"),"")</f>
        <v>株探</v>
      </c>
      <c r="B189" s="328"/>
      <c r="C189" s="477">
        <f>IF(銘柄管理!B140="","",銘柄管理!B140)</f>
        <v>6740</v>
      </c>
      <c r="D189" s="328" t="str">
        <f>IF(銘柄管理!C140="","",銘柄管理!C140)</f>
        <v/>
      </c>
      <c r="E189" s="329" t="str">
        <f>IF(C189&lt;&gt;"",_xll.RssMarket(C189,"現在値"),"")</f>
        <v/>
      </c>
      <c r="F189" s="329" t="str">
        <f>IF(C189&lt;&gt;"",_xll.RssMarket(C189,"始値"),"")</f>
        <v/>
      </c>
      <c r="G189" s="328">
        <f>IF(C189&lt;&gt;"",終値!F140,"")</f>
        <v>50</v>
      </c>
      <c r="H189" s="329" t="str">
        <f>IF(C189&lt;&gt;"",_xll.RssMarket(C189,"高値"),"")</f>
        <v/>
      </c>
      <c r="I189" s="329" t="str">
        <f>IF(C189&lt;&gt;"",_xll.RssMarket(C189,"安値"),"")</f>
        <v/>
      </c>
      <c r="J189" s="329" t="str">
        <f>IF(C189&lt;&gt;"",_xll.RssMarket(C189,"出来高"),"")</f>
        <v/>
      </c>
      <c r="K189" s="329" t="str">
        <f>IF(C189&lt;&gt;"",_xll.RssMarket(C189,"年初来高値"),"")</f>
        <v/>
      </c>
      <c r="L189" s="330" t="str">
        <f t="shared" si="44"/>
        <v/>
      </c>
      <c r="M189" s="329">
        <f>IF(C189&lt;&gt;"",IFERROR(AVERAGE(出来高!E140:I140),""),"")</f>
        <v>27709940</v>
      </c>
      <c r="N189" s="329">
        <f>IF(C189&lt;&gt;"",IFERROR(AVERAGE(出来高!E140:AC140),""),"")</f>
        <v>59056724</v>
      </c>
      <c r="O189" s="331" t="str">
        <f t="shared" si="45"/>
        <v/>
      </c>
      <c r="P189" s="328" t="str">
        <f t="shared" si="46"/>
        <v/>
      </c>
      <c r="Q189" s="328" t="str">
        <f t="shared" si="47"/>
        <v/>
      </c>
      <c r="R189" s="329" t="str">
        <f t="shared" si="48"/>
        <v/>
      </c>
      <c r="S189" s="329" t="str">
        <f t="shared" si="49"/>
        <v/>
      </c>
      <c r="T189" s="328">
        <f t="shared" si="50"/>
        <v>0</v>
      </c>
      <c r="U189" s="328" t="str">
        <f t="shared" si="51"/>
        <v>除外</v>
      </c>
      <c r="V189" s="328" t="str">
        <f t="shared" si="52"/>
        <v/>
      </c>
      <c r="W189" s="332">
        <f t="array" ref="W189">IFERROR(100-100/(1+SUMPRODUCT((終値!F140:R140&gt;終値!G140:S140)*(終値!F140:R140-終値!G140:S140))/SUMPRODUCT((終値!F140:R140&lt;終値!G140:S140)*(終値!G140:S140-終値!F140:R140))),50)</f>
        <v>51.162790697674417</v>
      </c>
      <c r="X189" s="333">
        <f>IF(C189&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-0.48625412455867689</v>
      </c>
      <c r="Y189" s="328" t="e">
        <f t="shared" si="53"/>
        <v>#VALUE!</v>
      </c>
      <c r="Z189" s="334" t="str">
        <f t="shared" si="54"/>
        <v/>
      </c>
      <c r="AA189" s="328" t="str">
        <f t="shared" si="55"/>
        <v/>
      </c>
      <c r="AB189" s="329">
        <f>IF(OR(C189="",C189="TOPX",終値!E140=""),"",IFERROR(((終値!E140*0.333)+(終値!F140*0.222)+(終値!G140*0.148)+(終値!H140*0.099)+(終値!I140*0.066))/(0.333+0.222+0.148+0.099+0.066),""))</f>
        <v>48.864055299539167</v>
      </c>
      <c r="AC189" s="329">
        <f>IF(OR(C189="",C189="TOPX",終値!E140=""),"",IFERROR(SUMPRODUCT((終値!E140:AC140),{0.077,0.071,0.065,0.06,0.055,0.051,0.047,0.043,0.039,0.036,0.033,0.031,0.028,0.026,0.024,0.022,0.02,0.018,0.017,0.016,0.014,0.013,0.012,0.011,0.01})/SUM({0.077,0.071,0.065,0.06,0.055,0.051,0.047,0.043,0.039,0.036,0.033,0.031,0.028,0.026,0.024,0.022,0.02,0.018,0.017,0.016,0.014,0.013,0.012,0.011,0.01}),""))</f>
        <v>52.29320619785458</v>
      </c>
      <c r="AD189" s="328" t="str">
        <f t="shared" si="56"/>
        <v>上昇トレンド▲</v>
      </c>
      <c r="AE189" s="328" t="e">
        <f t="shared" si="57"/>
        <v>#VALUE!</v>
      </c>
      <c r="AF189" t="e">
        <f>IF(T189="","",IF(銘柄管理!$F$5="上昇▲",IF(AND(AD189="下降トレンド▼",OR(AE189="25日戻り売り★",AE189="5日戻り売り○")),"★逆張り売り",IF(AND(AD189="もみ合い→",OR(AE189="25日戻り売り★",AE189="5日戻り売り○")),"○逆張り売り",IF(W189&gt;=70,IF(Z189&lt;0,"◎反落確認","△過熱・様子見"),"相場上昇・見送り"))),IF(AND(T189&gt;=12,AD189="下降トレンド▼"),"★強い売り",IF(T189&gt;=12,"★強い売り",IF(AND(T189&gt;=8,OR(AE189="25日戻り売り★",AE189="5日戻り売り○")),"◎戻り売り",IF(T189&gt;=10,"○売り候補",IF(T189&gt;=6,"△注目",IF(T189&gt;=3,"様子見","見送り"))))))))</f>
        <v>#VALUE!</v>
      </c>
      <c r="AG189">
        <f t="shared" si="58"/>
        <v>0</v>
      </c>
      <c r="AH189">
        <f t="shared" si="59"/>
        <v>0</v>
      </c>
      <c r="AI189" s="376">
        <f t="array" ref="AI189">IF(C189="","",IFERROR((INDEX(終値!$E:$E,MATCH(TEXT(C189,"0"),終値!$A:$A,0))-INDEX(終値!$E:$CZ,MATCH(TEXT(C189,"0"),終値!$A:$A,0),$AN$2))/INDEX(終値!$E:$CZ,MATCH(TEXT(C189,"0"),終値!$A:$A,0),$AN$2)*100,""))</f>
        <v>-17.857142857142858</v>
      </c>
      <c r="AJ189" s="376">
        <f t="array" ref="AJ189">IFERROR((終値!$E$5-INDEX(終値!$E$5:$CZ$5,1,$AN$2))/INDEX(終値!$E$5:$CZ$5,1,$AN$2)*100,"")</f>
        <v>2.31989243802786</v>
      </c>
      <c r="AK189" s="377">
        <f t="shared" si="60"/>
        <v>-20.177035295170718</v>
      </c>
      <c r="AL189" s="375">
        <f t="shared" si="61"/>
        <v>3</v>
      </c>
      <c r="AO189" s="379" t="e">
        <f t="shared" si="62"/>
        <v>#VALUE!</v>
      </c>
      <c r="AP189" s="380" t="e">
        <f t="shared" si="63"/>
        <v>#VALUE!</v>
      </c>
      <c r="AQ189">
        <f>IF(C189&lt;&gt;"",始値!F140,"")</f>
        <v>51</v>
      </c>
      <c r="AR189">
        <f>IF(C189&lt;&gt;"",高値!F140,"")</f>
        <v>52</v>
      </c>
      <c r="AS189">
        <f>IF(C189&lt;&gt;"",安値!F140,"")</f>
        <v>50</v>
      </c>
      <c r="AT189" t="str">
        <f t="shared" si="64"/>
        <v>通常</v>
      </c>
      <c r="AU189">
        <f t="shared" si="65"/>
        <v>0</v>
      </c>
    </row>
    <row r="190" spans="1:47" ht="14.25" customHeight="1">
      <c r="A190" s="335" t="str">
        <f>IF(銘柄管理!B149&lt;&gt;"",HYPERLINK("https://kabutan.jp/stock/?code="&amp;銘柄管理!B149,"株探"),"")</f>
        <v>株探</v>
      </c>
      <c r="B190" s="215"/>
      <c r="C190" s="478">
        <f>IF(銘柄管理!B149="","",銘柄管理!B149)</f>
        <v>7375</v>
      </c>
      <c r="D190" s="215" t="str">
        <f>IF(銘柄管理!C149="","",銘柄管理!C149)</f>
        <v/>
      </c>
      <c r="E190" s="336" t="str">
        <f>IF(C190&lt;&gt;"",_xll.RssMarket(C190,"現在値"),"")</f>
        <v/>
      </c>
      <c r="F190" s="336" t="str">
        <f>IF(C190&lt;&gt;"",_xll.RssMarket(C190,"始値"),"")</f>
        <v/>
      </c>
      <c r="G190" s="215">
        <f>IF(C190&lt;&gt;"",終値!F149,"")</f>
        <v>1305</v>
      </c>
      <c r="H190" s="336" t="str">
        <f>IF(C190&lt;&gt;"",_xll.RssMarket(C190,"高値"),"")</f>
        <v/>
      </c>
      <c r="I190" s="336" t="str">
        <f>IF(C190&lt;&gt;"",_xll.RssMarket(C190,"安値"),"")</f>
        <v/>
      </c>
      <c r="J190" s="336" t="str">
        <f>IF(C190&lt;&gt;"",_xll.RssMarket(C190,"出来高"),"")</f>
        <v/>
      </c>
      <c r="K190" s="336" t="str">
        <f>IF(C190&lt;&gt;"",_xll.RssMarket(C190,"年初来高値"),"")</f>
        <v/>
      </c>
      <c r="L190" s="337" t="str">
        <f t="shared" si="44"/>
        <v/>
      </c>
      <c r="M190" s="336">
        <f>IF(C190&lt;&gt;"",IFERROR(AVERAGE(出来高!E149:I149),""),"")</f>
        <v>54700</v>
      </c>
      <c r="N190" s="336">
        <f>IF(C190&lt;&gt;"",IFERROR(AVERAGE(出来高!E149:AC149),""),"")</f>
        <v>44552</v>
      </c>
      <c r="O190" s="338" t="str">
        <f t="shared" si="45"/>
        <v/>
      </c>
      <c r="P190" s="215" t="str">
        <f t="shared" si="46"/>
        <v/>
      </c>
      <c r="Q190" s="215" t="str">
        <f t="shared" si="47"/>
        <v/>
      </c>
      <c r="R190" s="336" t="str">
        <f t="shared" si="48"/>
        <v/>
      </c>
      <c r="S190" s="336" t="str">
        <f t="shared" si="49"/>
        <v/>
      </c>
      <c r="T190" s="328">
        <f t="shared" si="50"/>
        <v>0</v>
      </c>
      <c r="U190" s="215" t="str">
        <f t="shared" si="51"/>
        <v>除外</v>
      </c>
      <c r="V190" s="215" t="str">
        <f t="shared" si="52"/>
        <v/>
      </c>
      <c r="W190" s="339">
        <f t="array" ref="W190">IFERROR(100-100/(1+SUMPRODUCT((終値!F149:R149&gt;終値!G149:S149)*(終値!F149:R149-終値!G149:S149))/SUMPRODUCT((終値!F149:R149&lt;終値!G149:S149)*(終値!G149:S149-終値!F149:R149))),50)</f>
        <v>41.104294478527599</v>
      </c>
      <c r="X190" s="340">
        <f>IF(C190&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-17.128041426689379</v>
      </c>
      <c r="Y190" s="215" t="e">
        <f t="shared" si="53"/>
        <v>#VALUE!</v>
      </c>
      <c r="Z190" s="341" t="str">
        <f t="shared" si="54"/>
        <v/>
      </c>
      <c r="AA190" s="215" t="str">
        <f t="shared" si="55"/>
        <v/>
      </c>
      <c r="AB190" s="336">
        <f>IF(OR(C190="",C190="TOPX",終値!E149=""),"",IFERROR(((終値!E149*0.333)+(終値!F149*0.222)+(終値!G149*0.148)+(終値!H149*0.099)+(終値!I149*0.066))/(0.333+0.222+0.148+0.099+0.066),""))</f>
        <v>1243.3317972350228</v>
      </c>
      <c r="AC190" s="336">
        <f>IF(OR(C190="",C190="TOPX",終値!E149=""),"",IFERROR(SUMPRODUCT((終値!E149:AC149),{0.077,0.071,0.065,0.06,0.055,0.051,0.047,0.043,0.039,0.036,0.033,0.031,0.028,0.026,0.024,0.022,0.02,0.018,0.017,0.016,0.014,0.013,0.012,0.011,0.01})/SUM({0.077,0.071,0.065,0.06,0.055,0.051,0.047,0.043,0.039,0.036,0.033,0.031,0.028,0.026,0.024,0.022,0.02,0.018,0.017,0.016,0.014,0.013,0.012,0.011,0.01}),""))</f>
        <v>1274.2348033373057</v>
      </c>
      <c r="AD190" s="215" t="str">
        <f t="shared" si="56"/>
        <v>上昇トレンド▲</v>
      </c>
      <c r="AE190" s="215" t="e">
        <f t="shared" si="57"/>
        <v>#VALUE!</v>
      </c>
      <c r="AF190" t="e">
        <f>IF(T190="","",IF(銘柄管理!$F$5="上昇▲",IF(AND(AD190="下降トレンド▼",OR(AE190="25日戻り売り★",AE190="5日戻り売り○")),"★逆張り売り",IF(AND(AD190="もみ合い→",OR(AE190="25日戻り売り★",AE190="5日戻り売り○")),"○逆張り売り",IF(W190&gt;=70,IF(Z190&lt;0,"◎反落確認","△過熱・様子見"),"相場上昇・見送り"))),IF(AND(T190&gt;=12,AD190="下降トレンド▼"),"★強い売り",IF(T190&gt;=12,"★強い売り",IF(AND(T190&gt;=8,OR(AE190="25日戻り売り★",AE190="5日戻り売り○")),"◎戻り売り",IF(T190&gt;=10,"○売り候補",IF(T190&gt;=6,"△注目",IF(T190&gt;=3,"様子見","見送り"))))))))</f>
        <v>#VALUE!</v>
      </c>
      <c r="AG190">
        <f t="shared" si="58"/>
        <v>0</v>
      </c>
      <c r="AH190">
        <f t="shared" si="59"/>
        <v>0</v>
      </c>
      <c r="AI190" s="376">
        <f t="array" ref="AI190">IF(C190="","",IFERROR((INDEX(終値!$E:$E,MATCH(TEXT(C190,"0"),終値!$A:$A,0))-INDEX(終値!$E:$CZ,MATCH(TEXT(C190,"0"),終値!$A:$A,0),$AN$2))/INDEX(終値!$E:$CZ,MATCH(TEXT(C190,"0"),終値!$A:$A,0),$AN$2)*100,""))</f>
        <v>-17.409470752089138</v>
      </c>
      <c r="AJ190" s="376">
        <f t="array" ref="AJ190">IFERROR((終値!$E$5-INDEX(終値!$E$5:$CZ$5,1,$AN$2))/INDEX(終値!$E$5:$CZ$5,1,$AN$2)*100,"")</f>
        <v>2.31989243802786</v>
      </c>
      <c r="AK190" s="377">
        <f t="shared" si="60"/>
        <v>-19.729363190116999</v>
      </c>
      <c r="AL190" s="375">
        <f t="shared" si="61"/>
        <v>3</v>
      </c>
      <c r="AO190" s="379" t="e">
        <f t="shared" si="62"/>
        <v>#VALUE!</v>
      </c>
      <c r="AP190" s="380" t="e">
        <f t="shared" si="63"/>
        <v>#VALUE!</v>
      </c>
      <c r="AQ190">
        <f>IF(C190&lt;&gt;"",始値!F149,"")</f>
        <v>1255</v>
      </c>
      <c r="AR190">
        <f>IF(C190&lt;&gt;"",高値!F149,"")</f>
        <v>1306</v>
      </c>
      <c r="AS190">
        <f>IF(C190&lt;&gt;"",安値!F149,"")</f>
        <v>1225</v>
      </c>
      <c r="AT190" t="str">
        <f t="shared" si="64"/>
        <v>通常</v>
      </c>
      <c r="AU190">
        <f t="shared" si="65"/>
        <v>0</v>
      </c>
    </row>
    <row r="191" spans="1:47" ht="14.25" customHeight="1">
      <c r="A191" s="327" t="str">
        <f>IF(銘柄管理!B172&lt;&gt;"",HYPERLINK("https://kabutan.jp/stock/?code="&amp;銘柄管理!B172,"株探"),"")</f>
        <v>株探</v>
      </c>
      <c r="B191" s="328"/>
      <c r="C191" s="477">
        <f>IF(銘柄管理!B172="","",銘柄管理!B172)</f>
        <v>8303</v>
      </c>
      <c r="D191" s="328" t="str">
        <f>IF(銘柄管理!C172="","",銘柄管理!C172)</f>
        <v/>
      </c>
      <c r="E191" s="329" t="str">
        <f>IF(C191&lt;&gt;"",_xll.RssMarket(C191,"現在値"),"")</f>
        <v/>
      </c>
      <c r="F191" s="329" t="str">
        <f>IF(C191&lt;&gt;"",_xll.RssMarket(C191,"始値"),"")</f>
        <v/>
      </c>
      <c r="G191" s="328">
        <f>IF(C191&lt;&gt;"",終値!F172,"")</f>
        <v>1472</v>
      </c>
      <c r="H191" s="329" t="str">
        <f>IF(C191&lt;&gt;"",_xll.RssMarket(C191,"高値"),"")</f>
        <v/>
      </c>
      <c r="I191" s="329" t="str">
        <f>IF(C191&lt;&gt;"",_xll.RssMarket(C191,"安値"),"")</f>
        <v/>
      </c>
      <c r="J191" s="329" t="str">
        <f>IF(C191&lt;&gt;"",_xll.RssMarket(C191,"出来高"),"")</f>
        <v/>
      </c>
      <c r="K191" s="329" t="str">
        <f>IF(C191&lt;&gt;"",_xll.RssMarket(C191,"年初来高値"),"")</f>
        <v/>
      </c>
      <c r="L191" s="330" t="str">
        <f t="shared" si="44"/>
        <v/>
      </c>
      <c r="M191" s="329">
        <f>IF(C191&lt;&gt;"",IFERROR(AVERAGE(出来高!E172:I172),""),"")</f>
        <v>2768460</v>
      </c>
      <c r="N191" s="329">
        <f>IF(C191&lt;&gt;"",IFERROR(AVERAGE(出来高!E172:AC172),""),"")</f>
        <v>4284620</v>
      </c>
      <c r="O191" s="331" t="str">
        <f t="shared" si="45"/>
        <v/>
      </c>
      <c r="P191" s="328" t="str">
        <f t="shared" si="46"/>
        <v/>
      </c>
      <c r="Q191" s="328" t="str">
        <f t="shared" si="47"/>
        <v/>
      </c>
      <c r="R191" s="329" t="str">
        <f t="shared" si="48"/>
        <v/>
      </c>
      <c r="S191" s="329" t="str">
        <f t="shared" si="49"/>
        <v/>
      </c>
      <c r="T191" s="328">
        <f t="shared" si="50"/>
        <v>0</v>
      </c>
      <c r="U191" s="328" t="str">
        <f t="shared" si="51"/>
        <v>除外</v>
      </c>
      <c r="V191" s="328" t="str">
        <f t="shared" si="52"/>
        <v/>
      </c>
      <c r="W191" s="332">
        <f t="array" ref="W191">IFERROR(100-100/(1+SUMPRODUCT((終値!F172:R172&gt;終値!G172:S172)*(終値!F172:R172-終値!G172:S172))/SUMPRODUCT((終値!F172:R172&lt;終値!G172:S172)*(終値!G172:S172-終値!F172:R172))),50)</f>
        <v>64.365671641791039</v>
      </c>
      <c r="X191" s="333">
        <f>IF(C191&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3.6091779142570886</v>
      </c>
      <c r="Y191" s="328" t="e">
        <f t="shared" si="53"/>
        <v>#VALUE!</v>
      </c>
      <c r="Z191" s="334" t="str">
        <f t="shared" si="54"/>
        <v/>
      </c>
      <c r="AA191" s="328" t="str">
        <f t="shared" si="55"/>
        <v/>
      </c>
      <c r="AB191" s="329">
        <f>IF(OR(C191="",C191="TOPX",終値!E172=""),"",IFERROR(((終値!E172*0.333)+(終値!F172*0.222)+(終値!G172*0.148)+(終値!H172*0.099)+(終値!I172*0.066))/(0.333+0.222+0.148+0.099+0.066),""))</f>
        <v>1439.030529953917</v>
      </c>
      <c r="AC191" s="329">
        <f>IF(OR(C191="",C191="TOPX",終値!E172=""),"",IFERROR(SUMPRODUCT((終値!E172:AC172),{0.077,0.071,0.065,0.06,0.055,0.051,0.047,0.043,0.039,0.036,0.033,0.031,0.028,0.026,0.024,0.022,0.02,0.018,0.017,0.016,0.014,0.013,0.012,0.011,0.01})/SUM({0.077,0.071,0.065,0.06,0.055,0.051,0.047,0.043,0.039,0.036,0.033,0.031,0.028,0.026,0.024,0.022,0.02,0.018,0.017,0.016,0.014,0.013,0.012,0.011,0.01}),""))</f>
        <v>1433.3760429082233</v>
      </c>
      <c r="AD191" s="328" t="str">
        <f t="shared" si="56"/>
        <v>パーフェクト▲</v>
      </c>
      <c r="AE191" s="328" t="e">
        <f t="shared" si="57"/>
        <v>#VALUE!</v>
      </c>
      <c r="AF191" t="e">
        <f>IF(T191="","",IF(銘柄管理!$F$5="上昇▲",IF(AND(AD191="下降トレンド▼",OR(AE191="25日戻り売り★",AE191="5日戻り売り○")),"★逆張り売り",IF(AND(AD191="もみ合い→",OR(AE191="25日戻り売り★",AE191="5日戻り売り○")),"○逆張り売り",IF(W191&gt;=70,IF(Z191&lt;0,"◎反落確認","△過熱・様子見"),"相場上昇・見送り"))),IF(AND(T191&gt;=12,AD191="下降トレンド▼"),"★強い売り",IF(T191&gt;=12,"★強い売り",IF(AND(T191&gt;=8,OR(AE191="25日戻り売り★",AE191="5日戻り売り○")),"◎戻り売り",IF(T191&gt;=10,"○売り候補",IF(T191&gt;=6,"△注目",IF(T191&gt;=3,"様子見","見送り"))))))))</f>
        <v>#VALUE!</v>
      </c>
      <c r="AG191">
        <f t="shared" si="58"/>
        <v>0</v>
      </c>
      <c r="AH191">
        <f t="shared" si="59"/>
        <v>0</v>
      </c>
      <c r="AI191" s="376">
        <f t="array" ref="AI191">IF(C191="","",IFERROR((INDEX(終値!$E:$E,MATCH(TEXT(C191,"0"),終値!$A:$A,0))-INDEX(終値!$E:$CZ,MATCH(TEXT(C191,"0"),終値!$A:$A,0),$AN$2))/INDEX(終値!$E:$CZ,MATCH(TEXT(C191,"0"),終値!$A:$A,0),$AN$2)*100,""))</f>
        <v>1.1490125673249552</v>
      </c>
      <c r="AJ191" s="376">
        <f t="array" ref="AJ191">IFERROR((終値!$E$5-INDEX(終値!$E$5:$CZ$5,1,$AN$2))/INDEX(終値!$E$5:$CZ$5,1,$AN$2)*100,"")</f>
        <v>2.31989243802786</v>
      </c>
      <c r="AK191" s="377">
        <f t="shared" si="60"/>
        <v>-1.1708798707029049</v>
      </c>
      <c r="AL191" s="375">
        <f t="shared" si="61"/>
        <v>1</v>
      </c>
      <c r="AO191" s="379" t="e">
        <f t="shared" si="62"/>
        <v>#VALUE!</v>
      </c>
      <c r="AP191" s="380" t="e">
        <f t="shared" si="63"/>
        <v>#VALUE!</v>
      </c>
      <c r="AQ191">
        <f>IF(C191&lt;&gt;"",始値!F172,"")</f>
        <v>1465</v>
      </c>
      <c r="AR191">
        <f>IF(C191&lt;&gt;"",高値!F172,"")</f>
        <v>1478.5</v>
      </c>
      <c r="AS191">
        <f>IF(C191&lt;&gt;"",安値!F172,"")</f>
        <v>1452</v>
      </c>
      <c r="AT191" t="str">
        <f t="shared" si="64"/>
        <v>通常</v>
      </c>
      <c r="AU191">
        <f t="shared" si="65"/>
        <v>0</v>
      </c>
    </row>
    <row r="192" spans="1:47" ht="14.25" customHeight="1">
      <c r="A192" s="335" t="str">
        <f>IF(銘柄管理!B173&lt;&gt;"",HYPERLINK("https://kabutan.jp/stock/?code="&amp;銘柄管理!B173,"株探"),"")</f>
        <v>株探</v>
      </c>
      <c r="B192" s="215"/>
      <c r="C192" s="478">
        <f>IF(銘柄管理!B173="","",銘柄管理!B173)</f>
        <v>4382</v>
      </c>
      <c r="D192" s="215" t="str">
        <f>IF(銘柄管理!C173="","",銘柄管理!C173)</f>
        <v/>
      </c>
      <c r="E192" s="336" t="str">
        <f>IF(C192&lt;&gt;"",_xll.RssMarket(C192,"現在値"),"")</f>
        <v/>
      </c>
      <c r="F192" s="336" t="str">
        <f>IF(C192&lt;&gt;"",_xll.RssMarket(C192,"始値"),"")</f>
        <v/>
      </c>
      <c r="G192" s="215">
        <f>IF(C192&lt;&gt;"",終値!F173,"")</f>
        <v>724</v>
      </c>
      <c r="H192" s="336" t="str">
        <f>IF(C192&lt;&gt;"",_xll.RssMarket(C192,"高値"),"")</f>
        <v/>
      </c>
      <c r="I192" s="336" t="str">
        <f>IF(C192&lt;&gt;"",_xll.RssMarket(C192,"安値"),"")</f>
        <v/>
      </c>
      <c r="J192" s="336" t="str">
        <f>IF(C192&lt;&gt;"",_xll.RssMarket(C192,"出来高"),"")</f>
        <v/>
      </c>
      <c r="K192" s="336" t="str">
        <f>IF(C192&lt;&gt;"",_xll.RssMarket(C192,"年初来高値"),"")</f>
        <v/>
      </c>
      <c r="L192" s="337" t="str">
        <f t="shared" si="44"/>
        <v/>
      </c>
      <c r="M192" s="336">
        <f>IF(C192&lt;&gt;"",IFERROR(AVERAGE(出来高!E173:I173),""),"")</f>
        <v>74020</v>
      </c>
      <c r="N192" s="336">
        <f>IF(C192&lt;&gt;"",IFERROR(AVERAGE(出来高!E173:AC173),""),"")</f>
        <v>58416</v>
      </c>
      <c r="O192" s="338" t="str">
        <f t="shared" si="45"/>
        <v/>
      </c>
      <c r="P192" s="215" t="str">
        <f t="shared" si="46"/>
        <v/>
      </c>
      <c r="Q192" s="215" t="str">
        <f t="shared" si="47"/>
        <v/>
      </c>
      <c r="R192" s="336" t="str">
        <f t="shared" si="48"/>
        <v/>
      </c>
      <c r="S192" s="336" t="str">
        <f t="shared" si="49"/>
        <v/>
      </c>
      <c r="T192" s="328">
        <f t="shared" si="50"/>
        <v>0</v>
      </c>
      <c r="U192" s="215" t="str">
        <f t="shared" si="51"/>
        <v>除外</v>
      </c>
      <c r="V192" s="215" t="str">
        <f t="shared" si="52"/>
        <v/>
      </c>
      <c r="W192" s="339">
        <f t="array" ref="W192">IFERROR(100-100/(1+SUMPRODUCT((終値!F173:R173&gt;終値!G173:S173)*(終値!F173:R173-終値!G173:S173))/SUMPRODUCT((終値!F173:R173&lt;終値!G173:S173)*(終値!G173:S173-終値!F173:R173))),50)</f>
        <v>53.333333333333329</v>
      </c>
      <c r="X192" s="340">
        <f>IF(C192&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-4.215826364537179</v>
      </c>
      <c r="Y192" s="215" t="e">
        <f t="shared" si="53"/>
        <v>#VALUE!</v>
      </c>
      <c r="Z192" s="341" t="str">
        <f t="shared" si="54"/>
        <v/>
      </c>
      <c r="AA192" s="215" t="str">
        <f t="shared" si="55"/>
        <v/>
      </c>
      <c r="AB192" s="336">
        <f>IF(OR(C192="",C192="TOPX",終値!E173=""),"",IFERROR(((終値!E173*0.333)+(終値!F173*0.222)+(終値!G173*0.148)+(終値!H173*0.099)+(終値!I173*0.066))/(0.333+0.222+0.148+0.099+0.066),""))</f>
        <v>707.80529953917039</v>
      </c>
      <c r="AC192" s="336">
        <f>IF(OR(C192="",C192="TOPX",終値!E173=""),"",IFERROR(SUMPRODUCT((終値!E173:AC173),{0.077,0.071,0.065,0.06,0.055,0.051,0.047,0.043,0.039,0.036,0.033,0.031,0.028,0.026,0.024,0.022,0.02,0.018,0.017,0.016,0.014,0.013,0.012,0.011,0.01})/SUM({0.077,0.071,0.065,0.06,0.055,0.051,0.047,0.043,0.039,0.036,0.033,0.031,0.028,0.026,0.024,0.022,0.02,0.018,0.017,0.016,0.014,0.013,0.012,0.011,0.01}),""))</f>
        <v>719.69845053635265</v>
      </c>
      <c r="AD192" s="215" t="str">
        <f t="shared" si="56"/>
        <v>上昇トレンド▲</v>
      </c>
      <c r="AE192" s="215" t="e">
        <f t="shared" si="57"/>
        <v>#VALUE!</v>
      </c>
      <c r="AF192" t="e">
        <f>IF(T192="","",IF(銘柄管理!$F$5="上昇▲",IF(AND(AD192="下降トレンド▼",OR(AE192="25日戻り売り★",AE192="5日戻り売り○")),"★逆張り売り",IF(AND(AD192="もみ合い→",OR(AE192="25日戻り売り★",AE192="5日戻り売り○")),"○逆張り売り",IF(W192&gt;=70,IF(Z192&lt;0,"◎反落確認","△過熱・様子見"),"相場上昇・見送り"))),IF(AND(T192&gt;=12,AD192="下降トレンド▼"),"★強い売り",IF(T192&gt;=12,"★強い売り",IF(AND(T192&gt;=8,OR(AE192="25日戻り売り★",AE192="5日戻り売り○")),"◎戻り売り",IF(T192&gt;=10,"○売り候補",IF(T192&gt;=6,"△注目",IF(T192&gt;=3,"様子見","見送り"))))))))</f>
        <v>#VALUE!</v>
      </c>
      <c r="AG192">
        <f t="shared" si="58"/>
        <v>0</v>
      </c>
      <c r="AH192">
        <f t="shared" si="59"/>
        <v>0</v>
      </c>
      <c r="AI192" s="376">
        <f t="array" ref="AI192">IF(C192="","",IFERROR((INDEX(終値!$E:$E,MATCH(TEXT(C192,"0"),終値!$A:$A,0))-INDEX(終値!$E:$CZ,MATCH(TEXT(C192,"0"),終値!$A:$A,0),$AN$2))/INDEX(終値!$E:$CZ,MATCH(TEXT(C192,"0"),終値!$A:$A,0),$AN$2)*100,""))</f>
        <v>1.002865329512894</v>
      </c>
      <c r="AJ192" s="376">
        <f t="array" ref="AJ192">IFERROR((終値!$E$5-INDEX(終値!$E$5:$CZ$5,1,$AN$2))/INDEX(終値!$E$5:$CZ$5,1,$AN$2)*100,"")</f>
        <v>2.31989243802786</v>
      </c>
      <c r="AK192" s="377">
        <f t="shared" si="60"/>
        <v>-1.3170271085149661</v>
      </c>
      <c r="AL192" s="375">
        <f t="shared" si="61"/>
        <v>1</v>
      </c>
      <c r="AO192" s="379" t="e">
        <f t="shared" si="62"/>
        <v>#VALUE!</v>
      </c>
      <c r="AP192" s="380" t="e">
        <f t="shared" si="63"/>
        <v>#VALUE!</v>
      </c>
      <c r="AQ192">
        <f>IF(C192&lt;&gt;"",始値!F173,"")</f>
        <v>714</v>
      </c>
      <c r="AR192">
        <f>IF(C192&lt;&gt;"",高値!F173,"")</f>
        <v>731</v>
      </c>
      <c r="AS192">
        <f>IF(C192&lt;&gt;"",安値!F173,"")</f>
        <v>705</v>
      </c>
      <c r="AT192" t="str">
        <f t="shared" si="64"/>
        <v>通常</v>
      </c>
      <c r="AU192">
        <f t="shared" si="65"/>
        <v>0</v>
      </c>
    </row>
    <row r="193" spans="1:47" ht="14.25" customHeight="1">
      <c r="A193" s="327" t="str">
        <f>IF(銘柄管理!B186&lt;&gt;"",HYPERLINK("https://kabutan.jp/stock/?code="&amp;銘柄管理!B186,"株探"),"")</f>
        <v>株探</v>
      </c>
      <c r="B193" s="328"/>
      <c r="C193" s="477">
        <f>IF(銘柄管理!B186="","",銘柄管理!B186)</f>
        <v>9506</v>
      </c>
      <c r="D193" s="328" t="str">
        <f>IF(銘柄管理!C186="","",銘柄管理!C186)</f>
        <v/>
      </c>
      <c r="E193" s="329" t="str">
        <f>IF(C193&lt;&gt;"",_xll.RssMarket(C193,"現在値"),"")</f>
        <v/>
      </c>
      <c r="F193" s="329" t="str">
        <f>IF(C193&lt;&gt;"",_xll.RssMarket(C193,"始値"),"")</f>
        <v/>
      </c>
      <c r="G193" s="328">
        <f>IF(C193&lt;&gt;"",終値!F186,"")</f>
        <v>1127.5</v>
      </c>
      <c r="H193" s="329" t="str">
        <f>IF(C193&lt;&gt;"",_xll.RssMarket(C193,"高値"),"")</f>
        <v/>
      </c>
      <c r="I193" s="329" t="str">
        <f>IF(C193&lt;&gt;"",_xll.RssMarket(C193,"安値"),"")</f>
        <v/>
      </c>
      <c r="J193" s="329" t="str">
        <f>IF(C193&lt;&gt;"",_xll.RssMarket(C193,"出来高"),"")</f>
        <v/>
      </c>
      <c r="K193" s="329" t="str">
        <f>IF(C193&lt;&gt;"",_xll.RssMarket(C193,"年初来高値"),"")</f>
        <v/>
      </c>
      <c r="L193" s="330" t="str">
        <f t="shared" si="44"/>
        <v/>
      </c>
      <c r="M193" s="329">
        <f>IF(C193&lt;&gt;"",IFERROR(AVERAGE(出来高!E186:I186),""),"")</f>
        <v>2451140</v>
      </c>
      <c r="N193" s="329">
        <f>IF(C193&lt;&gt;"",IFERROR(AVERAGE(出来高!E186:AC186),""),"")</f>
        <v>2187396</v>
      </c>
      <c r="O193" s="331" t="str">
        <f t="shared" si="45"/>
        <v/>
      </c>
      <c r="P193" s="328" t="str">
        <f t="shared" si="46"/>
        <v/>
      </c>
      <c r="Q193" s="328" t="str">
        <f t="shared" si="47"/>
        <v/>
      </c>
      <c r="R193" s="329" t="str">
        <f t="shared" si="48"/>
        <v/>
      </c>
      <c r="S193" s="329" t="str">
        <f t="shared" si="49"/>
        <v/>
      </c>
      <c r="T193" s="328">
        <f t="shared" si="50"/>
        <v>0</v>
      </c>
      <c r="U193" s="328" t="str">
        <f t="shared" si="51"/>
        <v>除外</v>
      </c>
      <c r="V193" s="328" t="str">
        <f t="shared" si="52"/>
        <v/>
      </c>
      <c r="W193" s="332">
        <f t="array" ref="W193">IFERROR(100-100/(1+SUMPRODUCT((終値!F186:R186&gt;終値!G186:S186)*(終値!F186:R186-終値!G186:S186))/SUMPRODUCT((終値!F186:R186&lt;終値!G186:S186)*(終値!G186:S186-終値!F186:R186))),50)</f>
        <v>86.147186147186147</v>
      </c>
      <c r="X193" s="333">
        <f>IF(C193&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10.777464486007602</v>
      </c>
      <c r="Y193" s="328" t="e">
        <f t="shared" si="53"/>
        <v>#VALUE!</v>
      </c>
      <c r="Z193" s="334" t="str">
        <f t="shared" si="54"/>
        <v/>
      </c>
      <c r="AA193" s="328" t="str">
        <f t="shared" si="55"/>
        <v/>
      </c>
      <c r="AB193" s="329">
        <f>IF(OR(C193="",C193="TOPX",終値!E186=""),"",IFERROR(((終値!E186*0.333)+(終値!F186*0.222)+(終値!G186*0.148)+(終値!H186*0.099)+(終値!I186*0.066))/(0.333+0.222+0.148+0.099+0.066),""))</f>
        <v>1115.7361751152073</v>
      </c>
      <c r="AC193" s="329">
        <f>IF(OR(C193="",C193="TOPX",終値!E186=""),"",IFERROR(SUMPRODUCT((終値!E186:AC186),{0.077,0.071,0.065,0.06,0.055,0.051,0.047,0.043,0.039,0.036,0.033,0.031,0.028,0.026,0.024,0.022,0.02,0.018,0.017,0.016,0.014,0.013,0.012,0.011,0.01})/SUM({0.077,0.071,0.065,0.06,0.055,0.051,0.047,0.043,0.039,0.036,0.033,0.031,0.028,0.026,0.024,0.022,0.02,0.018,0.017,0.016,0.014,0.013,0.012,0.011,0.01}),""))</f>
        <v>1079.3730631704409</v>
      </c>
      <c r="AD193" s="328" t="str">
        <f t="shared" si="56"/>
        <v>パーフェクト▲</v>
      </c>
      <c r="AE193" s="328" t="e">
        <f t="shared" si="57"/>
        <v>#VALUE!</v>
      </c>
      <c r="AF193" t="e">
        <f>IF(T193="","",IF(銘柄管理!$F$5="上昇▲",IF(AND(AD193="下降トレンド▼",OR(AE193="25日戻り売り★",AE193="5日戻り売り○")),"★逆張り売り",IF(AND(AD193="もみ合い→",OR(AE193="25日戻り売り★",AE193="5日戻り売り○")),"○逆張り売り",IF(W193&gt;=70,IF(Z193&lt;0,"◎反落確認","△過熱・様子見"),"相場上昇・見送り"))),IF(AND(T193&gt;=12,AD193="下降トレンド▼"),"★強い売り",IF(T193&gt;=12,"★強い売り",IF(AND(T193&gt;=8,OR(AE193="25日戻り売り★",AE193="5日戻り売り○")),"◎戻り売り",IF(T193&gt;=10,"○売り候補",IF(T193&gt;=6,"△注目",IF(T193&gt;=3,"様子見","見送り"))))))))</f>
        <v>#VALUE!</v>
      </c>
      <c r="AG193">
        <f t="shared" si="58"/>
        <v>0</v>
      </c>
      <c r="AH193">
        <f t="shared" si="59"/>
        <v>0</v>
      </c>
      <c r="AI193" s="376">
        <f t="array" ref="AI193">IF(C193="","",IFERROR((INDEX(終値!$E:$E,MATCH(TEXT(C193,"0"),終値!$A:$A,0))-INDEX(終値!$E:$CZ,MATCH(TEXT(C193,"0"),終値!$A:$A,0),$AN$2))/INDEX(終値!$E:$CZ,MATCH(TEXT(C193,"0"),終値!$A:$A,0),$AN$2)*100,""))</f>
        <v>11.972180824639841</v>
      </c>
      <c r="AJ193" s="376">
        <f t="array" ref="AJ193">IFERROR((終値!$E$5-INDEX(終値!$E$5:$CZ$5,1,$AN$2))/INDEX(終値!$E$5:$CZ$5,1,$AN$2)*100,"")</f>
        <v>2.31989243802786</v>
      </c>
      <c r="AK193" s="377">
        <f t="shared" si="60"/>
        <v>9.6522883866119802</v>
      </c>
      <c r="AL193" s="375">
        <f t="shared" si="61"/>
        <v>-2</v>
      </c>
      <c r="AO193" s="379" t="e">
        <f t="shared" si="62"/>
        <v>#VALUE!</v>
      </c>
      <c r="AP193" s="380" t="e">
        <f t="shared" si="63"/>
        <v>#VALUE!</v>
      </c>
      <c r="AQ193">
        <f>IF(C193&lt;&gt;"",始値!F186,"")</f>
        <v>1111.5</v>
      </c>
      <c r="AR193">
        <f>IF(C193&lt;&gt;"",高値!F186,"")</f>
        <v>1136.5</v>
      </c>
      <c r="AS193">
        <f>IF(C193&lt;&gt;"",安値!F186,"")</f>
        <v>1111.5</v>
      </c>
      <c r="AT193" t="str">
        <f t="shared" si="64"/>
        <v>通常</v>
      </c>
      <c r="AU193">
        <f t="shared" si="65"/>
        <v>0</v>
      </c>
    </row>
    <row r="194" spans="1:47" ht="14.25" customHeight="1">
      <c r="A194" s="335" t="str">
        <f>IF(銘柄管理!B191&lt;&gt;"",HYPERLINK("https://kabutan.jp/stock/?code="&amp;銘柄管理!B191,"株探"),"")</f>
        <v>株探</v>
      </c>
      <c r="B194" s="215"/>
      <c r="C194" s="478" t="str">
        <f>IF(銘柄管理!B191="","",銘柄管理!B191)</f>
        <v>6485</v>
      </c>
      <c r="D194" s="215" t="str">
        <f>IF(銘柄管理!C191="","",銘柄管理!C191)</f>
        <v/>
      </c>
      <c r="E194" s="336" t="str">
        <f>IF(C194&lt;&gt;"",_xll.RssMarket(C194,"現在値"),"")</f>
        <v/>
      </c>
      <c r="F194" s="336" t="str">
        <f>IF(C194&lt;&gt;"",_xll.RssMarket(C194,"始値"),"")</f>
        <v/>
      </c>
      <c r="G194" s="215">
        <f>IF(C194&lt;&gt;"",終値!F191,"")</f>
        <v>1554</v>
      </c>
      <c r="H194" s="336" t="str">
        <f>IF(C194&lt;&gt;"",_xll.RssMarket(C194,"高値"),"")</f>
        <v/>
      </c>
      <c r="I194" s="336" t="str">
        <f>IF(C194&lt;&gt;"",_xll.RssMarket(C194,"安値"),"")</f>
        <v/>
      </c>
      <c r="J194" s="336" t="str">
        <f>IF(C194&lt;&gt;"",_xll.RssMarket(C194,"出来高"),"")</f>
        <v/>
      </c>
      <c r="K194" s="336" t="str">
        <f>IF(C194&lt;&gt;"",_xll.RssMarket(C194,"年初来高値"),"")</f>
        <v/>
      </c>
      <c r="L194" s="337" t="str">
        <f t="shared" si="44"/>
        <v/>
      </c>
      <c r="M194" s="336">
        <f>IF(C194&lt;&gt;"",IFERROR(AVERAGE(出来高!E191:I191),""),"")</f>
        <v>25020</v>
      </c>
      <c r="N194" s="336">
        <f>IF(C194&lt;&gt;"",IFERROR(AVERAGE(出来高!E191:AC191),""),"")</f>
        <v>22560</v>
      </c>
      <c r="O194" s="338" t="str">
        <f t="shared" si="45"/>
        <v/>
      </c>
      <c r="P194" s="215" t="str">
        <f t="shared" si="46"/>
        <v/>
      </c>
      <c r="Q194" s="215" t="str">
        <f t="shared" si="47"/>
        <v/>
      </c>
      <c r="R194" s="336" t="str">
        <f t="shared" si="48"/>
        <v/>
      </c>
      <c r="S194" s="336" t="str">
        <f t="shared" si="49"/>
        <v/>
      </c>
      <c r="T194" s="328">
        <f t="shared" si="50"/>
        <v>0</v>
      </c>
      <c r="U194" s="215" t="str">
        <f t="shared" si="51"/>
        <v>除外</v>
      </c>
      <c r="V194" s="215" t="str">
        <f t="shared" si="52"/>
        <v/>
      </c>
      <c r="W194" s="339">
        <f t="array" ref="W194">IFERROR(100-100/(1+SUMPRODUCT((終値!F191:R191&gt;終値!G191:S191)*(終値!F191:R191-終値!G191:S191))/SUMPRODUCT((終値!F191:R191&lt;終値!G191:S191)*(終値!G191:S191-終値!F191:R191))),50)</f>
        <v>68.783068783068785</v>
      </c>
      <c r="X194" s="340">
        <f>IF(C194&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11.304737719860668</v>
      </c>
      <c r="Y194" s="215" t="e">
        <f t="shared" si="53"/>
        <v>#VALUE!</v>
      </c>
      <c r="Z194" s="341" t="str">
        <f t="shared" si="54"/>
        <v/>
      </c>
      <c r="AA194" s="215" t="str">
        <f t="shared" si="55"/>
        <v/>
      </c>
      <c r="AB194" s="336">
        <f>IF(OR(C194="",C194="TOPX",終値!E191=""),"",IFERROR(((終値!E191*0.333)+(終値!F191*0.222)+(終値!G191*0.148)+(終値!H191*0.099)+(終値!I191*0.066))/(0.333+0.222+0.148+0.099+0.066),""))</f>
        <v>1539.8467741935483</v>
      </c>
      <c r="AC194" s="336">
        <f>IF(OR(C194="",C194="TOPX",終値!E191=""),"",IFERROR(SUMPRODUCT((終値!E191:AC191),{0.077,0.071,0.065,0.06,0.055,0.051,0.047,0.043,0.039,0.036,0.033,0.031,0.028,0.026,0.024,0.022,0.02,0.018,0.017,0.016,0.014,0.013,0.012,0.011,0.01})/SUM({0.077,0.071,0.065,0.06,0.055,0.051,0.047,0.043,0.039,0.036,0.033,0.031,0.028,0.026,0.024,0.022,0.02,0.018,0.017,0.016,0.014,0.013,0.012,0.011,0.01}),""))</f>
        <v>1516.8748510131099</v>
      </c>
      <c r="AD194" s="215" t="str">
        <f t="shared" si="56"/>
        <v>パーフェクト▲</v>
      </c>
      <c r="AE194" s="215" t="e">
        <f t="shared" si="57"/>
        <v>#VALUE!</v>
      </c>
      <c r="AF194" t="e">
        <f>IF(T194="","",IF(銘柄管理!$F$5="上昇▲",IF(AND(AD194="下降トレンド▼",OR(AE194="25日戻り売り★",AE194="5日戻り売り○")),"★逆張り売り",IF(AND(AD194="もみ合い→",OR(AE194="25日戻り売り★",AE194="5日戻り売り○")),"○逆張り売り",IF(W194&gt;=70,IF(Z194&lt;0,"◎反落確認","△過熱・様子見"),"相場上昇・見送り"))),IF(AND(T194&gt;=12,AD194="下降トレンド▼"),"★強い売り",IF(T194&gt;=12,"★強い売り",IF(AND(T194&gt;=8,OR(AE194="25日戻り売り★",AE194="5日戻り売り○")),"◎戻り売り",IF(T194&gt;=10,"○売り候補",IF(T194&gt;=6,"△注目",IF(T194&gt;=3,"様子見","見送り"))))))))</f>
        <v>#VALUE!</v>
      </c>
      <c r="AG194">
        <f t="shared" si="58"/>
        <v>0</v>
      </c>
      <c r="AH194">
        <f t="shared" si="59"/>
        <v>0</v>
      </c>
      <c r="AI194" s="376">
        <f t="array" ref="AI194">IF(C194="","",IFERROR((INDEX(終値!$E:$E,MATCH(TEXT(C194,"0"),終値!$A:$A,0))-INDEX(終値!$E:$CZ,MATCH(TEXT(C194,"0"),終値!$A:$A,0),$AN$2))/INDEX(終値!$E:$CZ,MATCH(TEXT(C194,"0"),終値!$A:$A,0),$AN$2)*100,""))</f>
        <v>6.3414634146341466</v>
      </c>
      <c r="AJ194" s="376">
        <f t="array" ref="AJ194">IFERROR((終値!$E$5-INDEX(終値!$E$5:$CZ$5,1,$AN$2))/INDEX(終値!$E$5:$CZ$5,1,$AN$2)*100,"")</f>
        <v>2.31989243802786</v>
      </c>
      <c r="AK194" s="377">
        <f t="shared" si="60"/>
        <v>4.0215709766062862</v>
      </c>
      <c r="AL194" s="375">
        <f t="shared" si="61"/>
        <v>-2</v>
      </c>
      <c r="AO194" s="379" t="e">
        <f t="shared" si="62"/>
        <v>#VALUE!</v>
      </c>
      <c r="AP194" s="380" t="e">
        <f t="shared" si="63"/>
        <v>#VALUE!</v>
      </c>
      <c r="AQ194">
        <f>IF(C194&lt;&gt;"",始値!F191,"")</f>
        <v>1541</v>
      </c>
      <c r="AR194">
        <f>IF(C194&lt;&gt;"",高値!F191,"")</f>
        <v>1564</v>
      </c>
      <c r="AS194">
        <f>IF(C194&lt;&gt;"",安値!F191,"")</f>
        <v>1539</v>
      </c>
      <c r="AT194" t="str">
        <f t="shared" si="64"/>
        <v>通常</v>
      </c>
      <c r="AU194">
        <f t="shared" si="65"/>
        <v>0</v>
      </c>
    </row>
    <row r="195" spans="1:47" ht="14.25" customHeight="1">
      <c r="A195" s="327" t="str">
        <f>IF(銘柄管理!B192&lt;&gt;"",HYPERLINK("https://kabutan.jp/stock/?code="&amp;銘柄管理!B192,"株探"),"")</f>
        <v>株探</v>
      </c>
      <c r="B195" s="328"/>
      <c r="C195" s="477">
        <f>IF(銘柄管理!B192="","",銘柄管理!B192)</f>
        <v>4887</v>
      </c>
      <c r="D195" s="328" t="str">
        <f>IF(銘柄管理!C192="","",銘柄管理!C192)</f>
        <v/>
      </c>
      <c r="E195" s="329" t="str">
        <f>IF(C195&lt;&gt;"",_xll.RssMarket(C195,"現在値"),"")</f>
        <v/>
      </c>
      <c r="F195" s="329" t="str">
        <f>IF(C195&lt;&gt;"",_xll.RssMarket(C195,"始値"),"")</f>
        <v/>
      </c>
      <c r="G195" s="328">
        <f>IF(C195&lt;&gt;"",終値!F192,"")</f>
        <v>1693.5</v>
      </c>
      <c r="H195" s="329" t="str">
        <f>IF(C195&lt;&gt;"",_xll.RssMarket(C195,"高値"),"")</f>
        <v/>
      </c>
      <c r="I195" s="329" t="str">
        <f>IF(C195&lt;&gt;"",_xll.RssMarket(C195,"安値"),"")</f>
        <v/>
      </c>
      <c r="J195" s="329" t="str">
        <f>IF(C195&lt;&gt;"",_xll.RssMarket(C195,"出来高"),"")</f>
        <v/>
      </c>
      <c r="K195" s="329" t="str">
        <f>IF(C195&lt;&gt;"",_xll.RssMarket(C195,"年初来高値"),"")</f>
        <v/>
      </c>
      <c r="L195" s="330" t="str">
        <f t="shared" ref="L195:L206" si="66">IF(AND(E195&lt;&gt;"",K195&lt;&gt;"",K195&lt;&gt;0),(E195-K195)/K195*100,"")</f>
        <v/>
      </c>
      <c r="M195" s="329">
        <f>IF(C195&lt;&gt;"",IFERROR(AVERAGE(出来高!E192:I192),""),"")</f>
        <v>402420</v>
      </c>
      <c r="N195" s="329">
        <f>IF(C195&lt;&gt;"",IFERROR(AVERAGE(出来高!E192:AC192),""),"")</f>
        <v>517504</v>
      </c>
      <c r="O195" s="331" t="str">
        <f t="shared" ref="O195:O206" si="67">IF(AND(J195&lt;&gt;"",M195&lt;&gt;"",M195&lt;&gt;0),J195/M195,"")</f>
        <v/>
      </c>
      <c r="P195" s="328" t="str">
        <f t="shared" ref="P195:P206" si="68">IF(O195="","",IF(O195&gt;=2,"急増↑↑",IF(O195&gt;=1.5,"増加↑",IF(O195&gt;=1,"普通→","減少↓"))))</f>
        <v/>
      </c>
      <c r="Q195" s="328" t="str">
        <f t="shared" ref="Q195:Q206" si="69">IF(E195="","",IF(AND(E195&lt;G195,O195&gt;=1.5),"売り▼",IF(E195&gt;G195,"様子見▲","中立→")))</f>
        <v/>
      </c>
      <c r="R195" s="329" t="str">
        <f t="shared" ref="R195:R206" si="70">IF(E195&lt;&gt;"",ROUND(E195*0.92,0),"")</f>
        <v/>
      </c>
      <c r="S195" s="329" t="str">
        <f t="shared" ref="S195:S206" si="71">IF(E195&lt;&gt;"",ROUND(E195*1.04,0),"")</f>
        <v/>
      </c>
      <c r="T195" s="328">
        <f t="shared" ref="T195:T206" si="72">IF(C195="","",IFERROR(IF(W195&gt;=70,3,IF(W195&gt;=60,2,IF(W195&gt;=50,1,0)))+IF(X195&lt;0,2,0)+IF(AD195="下降トレンド▼",3,IF(AD195="もみ合い→",1,0))+IF(V195="年初来安値圏●",3,IF(V195="安値圏",2,0))+IF(Q195="売り▼",2,0)+IF(P195="急増↑↑",2,IF(P195="増加↑",1,0))+IF(Z195&lt;0,1,0)+IF(L195&lt;=-30,2,IF(L195&lt;=-15,1,0))+IF(AE195="25日戻り売り★",2,IF(AE195="5日戻り売り○",1,0))+N(AL195)+N(AP195)+N(AU195),0))</f>
        <v>0</v>
      </c>
      <c r="U195" s="328" t="str">
        <f t="shared" ref="U195:U206" si="73">IF(T195="","",IF(AND(T195&gt;=3,O195&gt;=1.5),"有効",IF(T195&gt;=3,"要確認","除外")))</f>
        <v>除外</v>
      </c>
      <c r="V195" s="328" t="str">
        <f t="shared" ref="V195:V206" si="74">IF(AND(I195&lt;&gt;"",K195&lt;&gt;""),IF(I195&lt;=K195*0.6,"年初来安値圏●",IF(I195&lt;=K195*0.75,"安値圏","通常")),"")</f>
        <v/>
      </c>
      <c r="W195" s="332">
        <f t="array" ref="W195">IFERROR(100-100/(1+SUMPRODUCT((終値!F192:R192&gt;終値!G192:S192)*(終値!F192:R192-終値!G192:S192))/SUMPRODUCT((終値!F192:R192&lt;終値!G192:S192)*(終値!G192:S192-終値!F192:R192))),50)</f>
        <v>57.543859649122808</v>
      </c>
      <c r="X195" s="333">
        <f>IF(C195&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4.6030423222516674</v>
      </c>
      <c r="Y195" s="328" t="e">
        <f t="shared" ref="Y195:Y206" si="75">IF(AF195="","",AF195&amp;" | "&amp;AD195&amp;IF(AE195&lt;&gt;"なし"," "&amp;AE195,"")&amp;IF(X195&lt;0," MACD-"," MACD+")&amp;" RSI:"&amp;TEXT(W195,"0.0")&amp;IF(W195&gt;=70," [過熱]",IF(W195&lt;=30," [売られ過ぎ]",""))&amp;" 前日比:"&amp;TEXT(Z195,"+0.0;-0.0;0.0")&amp;"%"&amp;IF(V195="年初来安値圏●"," [年初来安値圏]",IF(V195="安値圏"," [安値圏]",""))&amp;IF(OR(AO195="通常",AO195="-"),""," ["&amp;AO195&amp;"]")&amp;IF(OR(AT195="通常",AT195="-"),"","前日["&amp;AT195&amp;"]")&amp;" ["&amp;T195&amp;"点]")</f>
        <v>#VALUE!</v>
      </c>
      <c r="Z195" s="334" t="str">
        <f t="shared" ref="Z195:Z206" si="76">IF(AND(E195&lt;&gt;"",G195&lt;&gt;"",G195&lt;&gt;0),(E195-G195)/G195*100,"")</f>
        <v/>
      </c>
      <c r="AA195" s="328" t="str">
        <f t="shared" ref="AA195:AA206" si="77">IF(OR(C195="",E195="",E195=0),"",IF(E195&gt;G195,"上昇▲",IF(E195&lt;G195,"下落▼","横ばい→")))</f>
        <v/>
      </c>
      <c r="AB195" s="329">
        <f>IF(OR(C195="",C195="TOPX",終値!E192=""),"",IFERROR(((終値!E192*0.333)+(終値!F192*0.222)+(終値!G192*0.148)+(終値!H192*0.099)+(終値!I192*0.066))/(0.333+0.222+0.148+0.099+0.066),""))</f>
        <v>1680.2845622119814</v>
      </c>
      <c r="AC195" s="329">
        <f>IF(OR(C195="",C195="TOPX",終値!E192=""),"",IFERROR(SUMPRODUCT((終値!E192:AC192),{0.077,0.071,0.065,0.06,0.055,0.051,0.047,0.043,0.039,0.036,0.033,0.031,0.028,0.026,0.024,0.022,0.02,0.018,0.017,0.016,0.014,0.013,0.012,0.011,0.01})/SUM({0.077,0.071,0.065,0.06,0.055,0.051,0.047,0.043,0.039,0.036,0.033,0.031,0.028,0.026,0.024,0.022,0.02,0.018,0.017,0.016,0.014,0.013,0.012,0.011,0.01}),""))</f>
        <v>1682.5053635280092</v>
      </c>
      <c r="AD195" s="328" t="str">
        <f t="shared" ref="AD195:AD206" si="78">IF(OR(C195="",AB195="",AC195="",AB195=0,AC195=0),"",IF(AND(E195&gt;AB195,AB195&gt;AC195),"パーフェクト▲",IF(E195&gt;AC195,"上昇トレンド▲",IF(AND(E195&lt;AB195,AB195&lt;AC195),"下降トレンド▼","もみ合い→"))))</f>
        <v>上昇トレンド▲</v>
      </c>
      <c r="AE195" s="328" t="e">
        <f t="shared" ref="AE195:AE206" si="79">IF(OR(C195="",AB195="",AC195=""),"",IF(AND(ABS(E195-AC195)/AC195&lt;=0.02,E195&lt;AC195),"25日戻り売り★",IF(AND(ABS(E195-AB195)/AB195&lt;=0.01,E195&lt;AB195),"5日戻り売り○","なし")))</f>
        <v>#VALUE!</v>
      </c>
      <c r="AF195" t="e">
        <f>IF(T195="","",IF(銘柄管理!$F$5="上昇▲",IF(AND(AD195="下降トレンド▼",OR(AE195="25日戻り売り★",AE195="5日戻り売り○")),"★逆張り売り",IF(AND(AD195="もみ合い→",OR(AE195="25日戻り売り★",AE195="5日戻り売り○")),"○逆張り売り",IF(W195&gt;=70,IF(Z195&lt;0,"◎反落確認","△過熱・様子見"),"相場上昇・見送り"))),IF(AND(T195&gt;=12,AD195="下降トレンド▼"),"★強い売り",IF(T195&gt;=12,"★強い売り",IF(AND(T195&gt;=8,OR(AE195="25日戻り売り★",AE195="5日戻り売り○")),"◎戻り売り",IF(T195&gt;=10,"○売り候補",IF(T195&gt;=6,"△注目",IF(T195&gt;=3,"様子見","見送り"))))))))</f>
        <v>#VALUE!</v>
      </c>
      <c r="AG195">
        <f t="shared" ref="AG195:AG206" si="80">IF(AND(T195&gt;=7,C195&lt;&gt;""),T195,0)</f>
        <v>0</v>
      </c>
      <c r="AH195">
        <f t="shared" ref="AH195:AH206" si="81">IF(AG195&gt;0,AG195*10000-ROW(A195),0)</f>
        <v>0</v>
      </c>
      <c r="AI195" s="376">
        <f t="array" ref="AI195">IF(C195="","",IFERROR((INDEX(終値!$E:$E,MATCH(TEXT(C195,"0"),終値!$A:$A,0))-INDEX(終値!$E:$CZ,MATCH(TEXT(C195,"0"),終値!$A:$A,0),$AN$2))/INDEX(終値!$E:$CZ,MATCH(TEXT(C195,"0"),終値!$A:$A,0),$AN$2)*100,""))</f>
        <v>-1.8394160583941606</v>
      </c>
      <c r="AJ195" s="376">
        <f t="array" ref="AJ195">IFERROR((終値!$E$5-INDEX(終値!$E$5:$CZ$5,1,$AN$2))/INDEX(終値!$E$5:$CZ$5,1,$AN$2)*100,"")</f>
        <v>2.31989243802786</v>
      </c>
      <c r="AK195" s="377">
        <f t="shared" ref="AK195:AK206" si="82">IF(OR(AI195="",AJ195=""),"",AI195-AJ195)</f>
        <v>-4.1593084964220211</v>
      </c>
      <c r="AL195" s="375">
        <f t="shared" ref="AL195:AL206" si="83">IF(AK195="","",IF(AK195&lt;-5,3,IF(AK195&lt;0,1,IF(AK195&lt;3,-1,-2))))</f>
        <v>1</v>
      </c>
      <c r="AO195" s="379" t="e">
        <f t="shared" ref="AO195:AO206" si="84">IF(OR($C195="",$E195="",$F195="",$H195="",$I195="",$H195-$I195&lt;=0),"-",IF(AND($H195-MAX($F195,$E195)&gt;=ABS($E195-$F195)*2,MIN($F195,$E195)-$I195&lt;=ABS($E195-$F195)*0.5,ABS($E195-$F195)&gt;0),"上ヒゲ陰線▼",IF(AND($E195&lt;$F195,ABS($E195-$F195)&gt;=($H195-$I195)*0.7),"大陰線▼",IF(AND(MIN($F195,$E195)-$I195&gt;=($H195-$I195)*0.5,$H195-MAX($F195,$E195)&lt;=($H195-$I195)*0.2),"長い下ヒゲ(反発警戒)","通常"))))</f>
        <v>#VALUE!</v>
      </c>
      <c r="AP195" s="380" t="e">
        <f t="shared" ref="AP195:AP206" si="85">IF($AO195="上ヒゲ陰線▼",2,IF($AO195="大陰線▼",2,IF($AO195="長い下ヒゲ(反発警戒)",-2,0)))</f>
        <v>#VALUE!</v>
      </c>
      <c r="AQ195">
        <f>IF(C195&lt;&gt;"",始値!F192,"")</f>
        <v>1685</v>
      </c>
      <c r="AR195">
        <f>IF(C195&lt;&gt;"",高値!F192,"")</f>
        <v>1699.5</v>
      </c>
      <c r="AS195">
        <f>IF(C195&lt;&gt;"",安値!F192,"")</f>
        <v>1655.5</v>
      </c>
      <c r="AT195" t="str">
        <f t="shared" ref="AT195:AT206" si="86">IF(OR(C195="",AQ195="",AR195="",AS195="",AR195-AS195&lt;=0),"-",IF(AND(AR195-MAX(G195,AQ195)&gt;=ABS(G195-AQ195)*2,MIN(G195,AQ195)-AS195&lt;=ABS(G195-AQ195)*0.5,ABS(G195-AQ195)&gt;0),"上ヒゲ陰線▼",IF(AND(G195&lt;AQ195,ABS(G195-AQ195)&gt;=(AR195-AS195)*0.7),"大陰線▼",IF(AND(MIN(G195,AQ195)-AS195&gt;=(AR195-AS195)*0.5,AR195-MAX(G195,AQ195)&lt;=(AR195-AS195)*0.2),"長い下ヒゲ(反発)","通常"))))</f>
        <v>長い下ヒゲ(反発)</v>
      </c>
      <c r="AU195">
        <f t="shared" ref="AU195:AU206" si="87">IF(AT195="上ヒゲ陰線▼",2,IF(AT195="大陰線▼",2,IF(AT195="長い下ヒゲ(反発)",-2,0)))</f>
        <v>-2</v>
      </c>
    </row>
    <row r="196" spans="1:47" ht="14.25" customHeight="1">
      <c r="A196" s="335" t="str">
        <f>IF(銘柄管理!B194&lt;&gt;"",HYPERLINK("https://kabutan.jp/stock/?code="&amp;銘柄管理!B194,"株探"),"")</f>
        <v>株探</v>
      </c>
      <c r="B196" s="215"/>
      <c r="C196" s="478">
        <f>IF(銘柄管理!B194="","",銘柄管理!B194)</f>
        <v>2702</v>
      </c>
      <c r="D196" s="215" t="str">
        <f>IF(銘柄管理!C194="","",銘柄管理!C194)</f>
        <v/>
      </c>
      <c r="E196" s="336" t="str">
        <f>IF(C196&lt;&gt;"",_xll.RssMarket(C196,"現在値"),"")</f>
        <v/>
      </c>
      <c r="F196" s="336" t="str">
        <f>IF(C196&lt;&gt;"",_xll.RssMarket(C196,"始値"),"")</f>
        <v/>
      </c>
      <c r="G196" s="215">
        <f>IF(C196&lt;&gt;"",終値!F194,"")</f>
        <v>7580</v>
      </c>
      <c r="H196" s="336" t="str">
        <f>IF(C196&lt;&gt;"",_xll.RssMarket(C196,"高値"),"")</f>
        <v/>
      </c>
      <c r="I196" s="336" t="str">
        <f>IF(C196&lt;&gt;"",_xll.RssMarket(C196,"安値"),"")</f>
        <v/>
      </c>
      <c r="J196" s="336" t="str">
        <f>IF(C196&lt;&gt;"",_xll.RssMarket(C196,"出来高"),"")</f>
        <v/>
      </c>
      <c r="K196" s="336" t="str">
        <f>IF(C196&lt;&gt;"",_xll.RssMarket(C196,"年初来高値"),"")</f>
        <v/>
      </c>
      <c r="L196" s="337" t="str">
        <f t="shared" si="66"/>
        <v/>
      </c>
      <c r="M196" s="336">
        <f>IF(C196&lt;&gt;"",IFERROR(AVERAGE(出来高!E194:I194),""),"")</f>
        <v>491360</v>
      </c>
      <c r="N196" s="336">
        <f>IF(C196&lt;&gt;"",IFERROR(AVERAGE(出来高!E194:AC194),""),"")</f>
        <v>917672</v>
      </c>
      <c r="O196" s="338" t="str">
        <f t="shared" si="67"/>
        <v/>
      </c>
      <c r="P196" s="215" t="str">
        <f t="shared" si="68"/>
        <v/>
      </c>
      <c r="Q196" s="215" t="str">
        <f t="shared" si="69"/>
        <v/>
      </c>
      <c r="R196" s="336" t="str">
        <f t="shared" si="70"/>
        <v/>
      </c>
      <c r="S196" s="336" t="str">
        <f t="shared" si="71"/>
        <v/>
      </c>
      <c r="T196" s="328">
        <f t="shared" si="72"/>
        <v>0</v>
      </c>
      <c r="U196" s="215" t="str">
        <f t="shared" si="73"/>
        <v>除外</v>
      </c>
      <c r="V196" s="215" t="str">
        <f t="shared" si="74"/>
        <v/>
      </c>
      <c r="W196" s="339">
        <f t="array" ref="W196">IFERROR(100-100/(1+SUMPRODUCT((終値!F194:R194&gt;終値!G194:S194)*(終値!F194:R194-終値!G194:S194))/SUMPRODUCT((終値!F194:R194&lt;終値!G194:S194)*(終値!G194:S194-終値!F194:R194))),50)</f>
        <v>56.428571428571423</v>
      </c>
      <c r="X196" s="340">
        <f>IF(C196&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47.708078761658726</v>
      </c>
      <c r="Y196" s="215" t="e">
        <f t="shared" si="75"/>
        <v>#VALUE!</v>
      </c>
      <c r="Z196" s="341" t="str">
        <f t="shared" si="76"/>
        <v/>
      </c>
      <c r="AA196" s="215" t="str">
        <f t="shared" si="77"/>
        <v/>
      </c>
      <c r="AB196" s="336">
        <f>IF(OR(C196="",C196="TOPX",終値!E194=""),"",IFERROR(((終値!E194*0.333)+(終値!F194*0.222)+(終値!G194*0.148)+(終値!H194*0.099)+(終値!I194*0.066))/(0.333+0.222+0.148+0.099+0.066),""))</f>
        <v>7644.3548387096771</v>
      </c>
      <c r="AC196" s="336">
        <f>IF(OR(C196="",C196="TOPX",終値!E194=""),"",IFERROR(SUMPRODUCT((終値!E194:AC194),{0.077,0.071,0.065,0.06,0.055,0.051,0.047,0.043,0.039,0.036,0.033,0.031,0.028,0.026,0.024,0.022,0.02,0.018,0.017,0.016,0.014,0.013,0.012,0.011,0.01})/SUM({0.077,0.071,0.065,0.06,0.055,0.051,0.047,0.043,0.039,0.036,0.033,0.031,0.028,0.026,0.024,0.022,0.02,0.018,0.017,0.016,0.014,0.013,0.012,0.011,0.01}),""))</f>
        <v>7572.1096543504154</v>
      </c>
      <c r="AD196" s="215" t="str">
        <f t="shared" si="78"/>
        <v>パーフェクト▲</v>
      </c>
      <c r="AE196" s="215" t="e">
        <f t="shared" si="79"/>
        <v>#VALUE!</v>
      </c>
      <c r="AF196" t="e">
        <f>IF(T196="","",IF(銘柄管理!$F$5="上昇▲",IF(AND(AD196="下降トレンド▼",OR(AE196="25日戻り売り★",AE196="5日戻り売り○")),"★逆張り売り",IF(AND(AD196="もみ合い→",OR(AE196="25日戻り売り★",AE196="5日戻り売り○")),"○逆張り売り",IF(W196&gt;=70,IF(Z196&lt;0,"◎反落確認","△過熱・様子見"),"相場上昇・見送り"))),IF(AND(T196&gt;=12,AD196="下降トレンド▼"),"★強い売り",IF(T196&gt;=12,"★強い売り",IF(AND(T196&gt;=8,OR(AE196="25日戻り売り★",AE196="5日戻り売り○")),"◎戻り売り",IF(T196&gt;=10,"○売り候補",IF(T196&gt;=6,"△注目",IF(T196&gt;=3,"様子見","見送り"))))))))</f>
        <v>#VALUE!</v>
      </c>
      <c r="AG196">
        <f t="shared" si="80"/>
        <v>0</v>
      </c>
      <c r="AH196">
        <f t="shared" si="81"/>
        <v>0</v>
      </c>
      <c r="AI196" s="376">
        <f t="array" ref="AI196">IF(C196="","",IFERROR((INDEX(終値!$E:$E,MATCH(TEXT(C196,"0"),終値!$A:$A,0))-INDEX(終値!$E:$CZ,MATCH(TEXT(C196,"0"),終値!$A:$A,0),$AN$2))/INDEX(終値!$E:$CZ,MATCH(TEXT(C196,"0"),終値!$A:$A,0),$AN$2)*100,""))</f>
        <v>2.6917900403768504</v>
      </c>
      <c r="AJ196" s="376">
        <f t="array" ref="AJ196">IFERROR((終値!$E$5-INDEX(終値!$E$5:$CZ$5,1,$AN$2))/INDEX(終値!$E$5:$CZ$5,1,$AN$2)*100,"")</f>
        <v>2.31989243802786</v>
      </c>
      <c r="AK196" s="377">
        <f t="shared" si="82"/>
        <v>0.37189760234899039</v>
      </c>
      <c r="AL196" s="375">
        <f t="shared" si="83"/>
        <v>-1</v>
      </c>
      <c r="AO196" s="379" t="e">
        <f t="shared" si="84"/>
        <v>#VALUE!</v>
      </c>
      <c r="AP196" s="380" t="e">
        <f t="shared" si="85"/>
        <v>#VALUE!</v>
      </c>
      <c r="AQ196">
        <f>IF(C196&lt;&gt;"",始値!F194,"")</f>
        <v>7700</v>
      </c>
      <c r="AR196">
        <f>IF(C196&lt;&gt;"",高値!F194,"")</f>
        <v>7710</v>
      </c>
      <c r="AS196">
        <f>IF(C196&lt;&gt;"",安値!F194,"")</f>
        <v>7570</v>
      </c>
      <c r="AT196" t="str">
        <f t="shared" si="86"/>
        <v>大陰線▼</v>
      </c>
      <c r="AU196">
        <f t="shared" si="87"/>
        <v>2</v>
      </c>
    </row>
    <row r="197" spans="1:47" ht="14.25" customHeight="1">
      <c r="A197" s="327" t="str">
        <f>IF(銘柄管理!B207&lt;&gt;"",HYPERLINK("https://kabutan.jp/stock/?code="&amp;銘柄管理!B207,"株探"),"")</f>
        <v>株探</v>
      </c>
      <c r="B197" s="328"/>
      <c r="C197" s="477">
        <f>IF(銘柄管理!B207="","",銘柄管理!B207)</f>
        <v>7011</v>
      </c>
      <c r="D197" s="328" t="str">
        <f>IF(銘柄管理!C207="","",銘柄管理!C207)</f>
        <v/>
      </c>
      <c r="E197" s="329" t="str">
        <f>IF(C197&lt;&gt;"",_xll.RssMarket(C197,"現在値"),"")</f>
        <v/>
      </c>
      <c r="F197" s="329" t="str">
        <f>IF(C197&lt;&gt;"",_xll.RssMarket(C197,"始値"),"")</f>
        <v/>
      </c>
      <c r="G197" s="328">
        <f>IF(C197&lt;&gt;"",終値!F207,"")</f>
        <v>3828</v>
      </c>
      <c r="H197" s="329" t="str">
        <f>IF(C197&lt;&gt;"",_xll.RssMarket(C197,"高値"),"")</f>
        <v/>
      </c>
      <c r="I197" s="329" t="str">
        <f>IF(C197&lt;&gt;"",_xll.RssMarket(C197,"安値"),"")</f>
        <v/>
      </c>
      <c r="J197" s="329" t="str">
        <f>IF(C197&lt;&gt;"",_xll.RssMarket(C197,"出来高"),"")</f>
        <v/>
      </c>
      <c r="K197" s="329" t="str">
        <f>IF(C197&lt;&gt;"",_xll.RssMarket(C197,"年初来高値"),"")</f>
        <v/>
      </c>
      <c r="L197" s="330" t="str">
        <f t="shared" si="66"/>
        <v/>
      </c>
      <c r="M197" s="329">
        <f>IF(C197&lt;&gt;"",IFERROR(AVERAGE(出来高!E207:I207),""),"")</f>
        <v>16288680</v>
      </c>
      <c r="N197" s="329">
        <f>IF(C197&lt;&gt;"",IFERROR(AVERAGE(出来高!E207:AC207),""),"")</f>
        <v>20248016</v>
      </c>
      <c r="O197" s="331" t="str">
        <f t="shared" si="67"/>
        <v/>
      </c>
      <c r="P197" s="328" t="str">
        <f t="shared" si="68"/>
        <v/>
      </c>
      <c r="Q197" s="328" t="str">
        <f t="shared" si="69"/>
        <v/>
      </c>
      <c r="R197" s="329" t="str">
        <f t="shared" si="70"/>
        <v/>
      </c>
      <c r="S197" s="329" t="str">
        <f t="shared" si="71"/>
        <v/>
      </c>
      <c r="T197" s="328">
        <f t="shared" si="72"/>
        <v>0</v>
      </c>
      <c r="U197" s="328" t="str">
        <f t="shared" si="73"/>
        <v>除外</v>
      </c>
      <c r="V197" s="328" t="str">
        <f t="shared" si="74"/>
        <v/>
      </c>
      <c r="W197" s="332">
        <f t="array" ref="W197">IFERROR(100-100/(1+SUMPRODUCT((終値!F207:R207&gt;終値!G207:S207)*(終値!F207:R207-終値!G207:S207))/SUMPRODUCT((終値!F207:R207&lt;終値!G207:S207)*(終値!G207:S207-終値!F207:R207))),50)</f>
        <v>59.849906191369612</v>
      </c>
      <c r="X197" s="333">
        <f>IF(C197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12.484100796453276</v>
      </c>
      <c r="Y197" s="328" t="e">
        <f t="shared" si="75"/>
        <v>#VALUE!</v>
      </c>
      <c r="Z197" s="334" t="str">
        <f t="shared" si="76"/>
        <v/>
      </c>
      <c r="AA197" s="328" t="str">
        <f t="shared" si="77"/>
        <v/>
      </c>
      <c r="AB197" s="329">
        <f>IF(OR(C197="",C197="TOPX",終値!E207=""),"",IFERROR(((終値!E207*0.333)+(終値!F207*0.222)+(終値!G207*0.148)+(終値!H207*0.099)+(終値!I207*0.066))/(0.333+0.222+0.148+0.099+0.066),""))</f>
        <v>3748.8790322580635</v>
      </c>
      <c r="AC197" s="329">
        <f>IF(OR(C197="",C197="TOPX",終値!E207=""),"",IFERROR(SUMPRODUCT((終値!E207:AC207),{0.077,0.071,0.065,0.06,0.055,0.051,0.047,0.043,0.039,0.036,0.033,0.031,0.028,0.026,0.024,0.022,0.02,0.018,0.017,0.016,0.014,0.013,0.012,0.011,0.01})/SUM({0.077,0.071,0.065,0.06,0.055,0.051,0.047,0.043,0.039,0.036,0.033,0.031,0.028,0.026,0.024,0.022,0.02,0.018,0.017,0.016,0.014,0.013,0.012,0.011,0.01}),""))</f>
        <v>3767.6781883194276</v>
      </c>
      <c r="AD197" s="328" t="str">
        <f t="shared" si="78"/>
        <v>上昇トレンド▲</v>
      </c>
      <c r="AE197" s="328" t="e">
        <f t="shared" si="79"/>
        <v>#VALUE!</v>
      </c>
      <c r="AF197" t="e">
        <f>IF(T197="","",IF(銘柄管理!$F$5="上昇▲",IF(AND(AD197="下降トレンド▼",OR(AE197="25日戻り売り★",AE197="5日戻り売り○")),"★逆張り売り",IF(AND(AD197="もみ合い→",OR(AE197="25日戻り売り★",AE197="5日戻り売り○")),"○逆張り売り",IF(W197&gt;=70,IF(Z197&lt;0,"◎反落確認","△過熱・様子見"),"相場上昇・見送り"))),IF(AND(T197&gt;=12,AD197="下降トレンド▼"),"★強い売り",IF(T197&gt;=12,"★強い売り",IF(AND(T197&gt;=8,OR(AE197="25日戻り売り★",AE197="5日戻り売り○")),"◎戻り売り",IF(T197&gt;=10,"○売り候補",IF(T197&gt;=6,"△注目",IF(T197&gt;=3,"様子見","見送り"))))))))</f>
        <v>#VALUE!</v>
      </c>
      <c r="AG197">
        <f t="shared" si="80"/>
        <v>0</v>
      </c>
      <c r="AH197">
        <f t="shared" si="81"/>
        <v>0</v>
      </c>
      <c r="AI197" s="376">
        <f t="array" ref="AI197">IF(C197="","",IFERROR((INDEX(終値!$E:$E,MATCH(TEXT(C197,"0"),終値!$A:$A,0))-INDEX(終値!$E:$CZ,MATCH(TEXT(C197,"0"),終値!$A:$A,0),$AN$2))/INDEX(終値!$E:$CZ,MATCH(TEXT(C197,"0"),終値!$A:$A,0),$AN$2)*100,""))</f>
        <v>-0.48661800486618007</v>
      </c>
      <c r="AJ197" s="376">
        <f t="array" ref="AJ197">IFERROR((終値!$E$5-INDEX(終値!$E$5:$CZ$5,1,$AN$2))/INDEX(終値!$E$5:$CZ$5,1,$AN$2)*100,"")</f>
        <v>2.31989243802786</v>
      </c>
      <c r="AK197" s="377">
        <f t="shared" si="82"/>
        <v>-2.8065104428940399</v>
      </c>
      <c r="AL197" s="375">
        <f t="shared" si="83"/>
        <v>1</v>
      </c>
      <c r="AO197" s="379" t="e">
        <f t="shared" si="84"/>
        <v>#VALUE!</v>
      </c>
      <c r="AP197" s="380" t="e">
        <f t="shared" si="85"/>
        <v>#VALUE!</v>
      </c>
      <c r="AQ197">
        <f>IF(C197&lt;&gt;"",始値!F207,"")</f>
        <v>3855</v>
      </c>
      <c r="AR197">
        <f>IF(C197&lt;&gt;"",高値!F207,"")</f>
        <v>3855</v>
      </c>
      <c r="AS197">
        <f>IF(C197&lt;&gt;"",安値!F207,"")</f>
        <v>3716</v>
      </c>
      <c r="AT197" t="str">
        <f t="shared" si="86"/>
        <v>長い下ヒゲ(反発)</v>
      </c>
      <c r="AU197">
        <f t="shared" si="87"/>
        <v>-2</v>
      </c>
    </row>
    <row r="198" spans="1:47" ht="14.25" customHeight="1">
      <c r="A198" s="335" t="str">
        <f>IF(銘柄管理!B33&lt;&gt;"",HYPERLINK("https://kabutan.jp/stock/?code="&amp;銘柄管理!B33,"株探"),"")</f>
        <v>株探</v>
      </c>
      <c r="B198" s="215"/>
      <c r="C198" s="478">
        <f>IF(銘柄管理!B33="","",銘柄管理!B33)</f>
        <v>8601</v>
      </c>
      <c r="D198" s="215" t="str">
        <f>IF(銘柄管理!C33="","",銘柄管理!C33)</f>
        <v/>
      </c>
      <c r="E198" s="336" t="str">
        <f>IF(C198&lt;&gt;"",_xll.RssMarket(C198,"現在値"),"")</f>
        <v/>
      </c>
      <c r="F198" s="336" t="str">
        <f>IF(C198&lt;&gt;"",_xll.RssMarket(C198,"始値"),"")</f>
        <v/>
      </c>
      <c r="G198" s="215">
        <f>IF(C198&lt;&gt;"",終値!F33,"")</f>
        <v>1879</v>
      </c>
      <c r="H198" s="336" t="str">
        <f>IF(C198&lt;&gt;"",_xll.RssMarket(C198,"高値"),"")</f>
        <v/>
      </c>
      <c r="I198" s="336" t="str">
        <f>IF(C198&lt;&gt;"",_xll.RssMarket(C198,"安値"),"")</f>
        <v/>
      </c>
      <c r="J198" s="336" t="str">
        <f>IF(C198&lt;&gt;"",_xll.RssMarket(C198,"出来高"),"")</f>
        <v/>
      </c>
      <c r="K198" s="336" t="str">
        <f>IF(C198&lt;&gt;"",_xll.RssMarket(C198,"年初来高値"),"")</f>
        <v/>
      </c>
      <c r="L198" s="337" t="str">
        <f t="shared" si="66"/>
        <v/>
      </c>
      <c r="M198" s="336">
        <f>IF(C198&lt;&gt;"",IFERROR(AVERAGE(出来高!E33:I33),""),"")</f>
        <v>4921120</v>
      </c>
      <c r="N198" s="336">
        <f>IF(C198&lt;&gt;"",IFERROR(AVERAGE(出来高!E33:AC33),""),"")</f>
        <v>4901716</v>
      </c>
      <c r="O198" s="338" t="str">
        <f t="shared" si="67"/>
        <v/>
      </c>
      <c r="P198" s="215" t="str">
        <f t="shared" si="68"/>
        <v/>
      </c>
      <c r="Q198" s="215" t="str">
        <f t="shared" si="69"/>
        <v/>
      </c>
      <c r="R198" s="336" t="str">
        <f t="shared" si="70"/>
        <v/>
      </c>
      <c r="S198" s="336" t="str">
        <f t="shared" si="71"/>
        <v/>
      </c>
      <c r="T198" s="328">
        <f t="shared" si="72"/>
        <v>0</v>
      </c>
      <c r="U198" s="215" t="str">
        <f t="shared" si="73"/>
        <v>除外</v>
      </c>
      <c r="V198" s="215" t="str">
        <f t="shared" si="74"/>
        <v/>
      </c>
      <c r="W198" s="339">
        <f t="array" ref="W198">IFERROR(100-100/(1+SUMPRODUCT((終値!F33:R33&gt;終値!G33:S33)*(終値!F33:R33-終値!G33:S33))/SUMPRODUCT((終値!F33:R33&lt;終値!G33:S33)*(終値!G33:S33-終値!F33:R33))),50)</f>
        <v>87.942332896461338</v>
      </c>
      <c r="X198" s="340">
        <f>IF(C198&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30.528226111392769</v>
      </c>
      <c r="Y198" s="215" t="e">
        <f t="shared" si="75"/>
        <v>#VALUE!</v>
      </c>
      <c r="Z198" s="341" t="str">
        <f t="shared" si="76"/>
        <v/>
      </c>
      <c r="AA198" s="215" t="str">
        <f t="shared" si="77"/>
        <v/>
      </c>
      <c r="AB198" s="336">
        <f>IF(OR(C198="",C198="TOPX",終値!E33=""),"",IFERROR(((終値!E33*0.333)+(終値!F33*0.222)+(終値!G33*0.148)+(終値!H33*0.099)+(終値!I33*0.066))/(0.333+0.222+0.148+0.099+0.066),""))</f>
        <v>1807.6630184331796</v>
      </c>
      <c r="AC198" s="336">
        <f>IF(OR(C198="",C198="TOPX",終値!E33=""),"",IFERROR(SUMPRODUCT((終値!E33:AC33),{0.077,0.071,0.065,0.06,0.055,0.051,0.047,0.043,0.039,0.036,0.033,0.031,0.028,0.026,0.024,0.022,0.02,0.018,0.017,0.016,0.014,0.013,0.012,0.011,0.01})/SUM({0.077,0.071,0.065,0.06,0.055,0.051,0.047,0.043,0.039,0.036,0.033,0.031,0.028,0.026,0.024,0.022,0.02,0.018,0.017,0.016,0.014,0.013,0.012,0.011,0.01}),""))</f>
        <v>1707.5005959475559</v>
      </c>
      <c r="AD198" s="215" t="str">
        <f t="shared" si="78"/>
        <v>パーフェクト▲</v>
      </c>
      <c r="AE198" s="215" t="e">
        <f t="shared" si="79"/>
        <v>#VALUE!</v>
      </c>
      <c r="AF198" t="e">
        <f>IF(T198="","",IF(銘柄管理!$F$5="上昇▲",IF(AND(AD198="下降トレンド▼",OR(AE198="25日戻り売り★",AE198="5日戻り売り○")),"★逆張り売り",IF(AND(AD198="もみ合い→",OR(AE198="25日戻り売り★",AE198="5日戻り売り○")),"○逆張り売り",IF(W198&gt;=70,IF(Z198&lt;0,"◎反落確認","△過熱・様子見"),"相場上昇・見送り"))),IF(AND(T198&gt;=12,AD198="下降トレンド▼"),"★強い売り",IF(T198&gt;=12,"★強い売り",IF(AND(T198&gt;=8,OR(AE198="25日戻り売り★",AE198="5日戻り売り○")),"◎戻り売り",IF(T198&gt;=10,"○売り候補",IF(T198&gt;=6,"△注目",IF(T198&gt;=3,"様子見","見送り"))))))))</f>
        <v>#VALUE!</v>
      </c>
      <c r="AG198">
        <f t="shared" si="80"/>
        <v>0</v>
      </c>
      <c r="AH198">
        <f t="shared" si="81"/>
        <v>0</v>
      </c>
      <c r="AI198" s="376">
        <f t="array" ref="AI198">IF(C198="","",IFERROR((INDEX(終値!$E:$E,MATCH(TEXT(C198,"0"),終値!$A:$A,0))-INDEX(終値!$E:$CZ,MATCH(TEXT(C198,"0"),終値!$A:$A,0),$AN$2))/INDEX(終値!$E:$CZ,MATCH(TEXT(C198,"0"),終値!$A:$A,0),$AN$2)*100,""))</f>
        <v>15.890589384565287</v>
      </c>
      <c r="AJ198" s="376">
        <f t="array" ref="AJ198">IFERROR((終値!$E$5-INDEX(終値!$E$5:$CZ$5,1,$AN$2))/INDEX(終値!$E$5:$CZ$5,1,$AN$2)*100,"")</f>
        <v>2.31989243802786</v>
      </c>
      <c r="AK198" s="377">
        <f t="shared" si="82"/>
        <v>13.570696946537426</v>
      </c>
      <c r="AL198" s="375">
        <f t="shared" si="83"/>
        <v>-2</v>
      </c>
      <c r="AO198" s="379" t="e">
        <f t="shared" si="84"/>
        <v>#VALUE!</v>
      </c>
      <c r="AP198" s="380" t="e">
        <f t="shared" si="85"/>
        <v>#VALUE!</v>
      </c>
      <c r="AQ198">
        <f>IF(C198&lt;&gt;"",始値!F33,"")</f>
        <v>1838</v>
      </c>
      <c r="AR198">
        <f>IF(C198&lt;&gt;"",高値!F33,"")</f>
        <v>1879</v>
      </c>
      <c r="AS198">
        <f>IF(C198&lt;&gt;"",安値!F33,"")</f>
        <v>1826.5</v>
      </c>
      <c r="AT198" t="str">
        <f t="shared" si="86"/>
        <v>通常</v>
      </c>
      <c r="AU198">
        <f t="shared" si="87"/>
        <v>0</v>
      </c>
    </row>
    <row r="199" spans="1:47" ht="14.25" customHeight="1">
      <c r="A199" s="327" t="str">
        <f>IF(銘柄管理!B40&lt;&gt;"",HYPERLINK("https://kabutan.jp/stock/?code="&amp;銘柄管理!B40,"株探"),"")</f>
        <v>株探</v>
      </c>
      <c r="B199" s="328"/>
      <c r="C199" s="477">
        <f>IF(銘柄管理!B40="","",銘柄管理!B40)</f>
        <v>8604</v>
      </c>
      <c r="D199" s="328" t="str">
        <f>IF(銘柄管理!C40="","",銘柄管理!C40)</f>
        <v/>
      </c>
      <c r="E199" s="329" t="str">
        <f>IF(C199&lt;&gt;"",_xll.RssMarket(C199,"現在値"),"")</f>
        <v/>
      </c>
      <c r="F199" s="329" t="str">
        <f>IF(C199&lt;&gt;"",_xll.RssMarket(C199,"始値"),"")</f>
        <v/>
      </c>
      <c r="G199" s="328">
        <f>IF(C199&lt;&gt;"",終値!F40,"")</f>
        <v>1626</v>
      </c>
      <c r="H199" s="329" t="str">
        <f>IF(C199&lt;&gt;"",_xll.RssMarket(C199,"高値"),"")</f>
        <v/>
      </c>
      <c r="I199" s="329" t="str">
        <f>IF(C199&lt;&gt;"",_xll.RssMarket(C199,"安値"),"")</f>
        <v/>
      </c>
      <c r="J199" s="329" t="str">
        <f>IF(C199&lt;&gt;"",_xll.RssMarket(C199,"出来高"),"")</f>
        <v/>
      </c>
      <c r="K199" s="329" t="str">
        <f>IF(C199&lt;&gt;"",_xll.RssMarket(C199,"年初来高値"),"")</f>
        <v/>
      </c>
      <c r="L199" s="330" t="str">
        <f t="shared" si="66"/>
        <v/>
      </c>
      <c r="M199" s="329">
        <f>IF(C199&lt;&gt;"",IFERROR(AVERAGE(出来高!E40:I40),""),"")</f>
        <v>10830480</v>
      </c>
      <c r="N199" s="329">
        <f>IF(C199&lt;&gt;"",IFERROR(AVERAGE(出来高!E40:AC40),""),"")</f>
        <v>10356856</v>
      </c>
      <c r="O199" s="331" t="str">
        <f t="shared" si="67"/>
        <v/>
      </c>
      <c r="P199" s="328" t="str">
        <f t="shared" si="68"/>
        <v/>
      </c>
      <c r="Q199" s="328" t="str">
        <f t="shared" si="69"/>
        <v/>
      </c>
      <c r="R199" s="329" t="str">
        <f t="shared" si="70"/>
        <v/>
      </c>
      <c r="S199" s="329" t="str">
        <f t="shared" si="71"/>
        <v/>
      </c>
      <c r="T199" s="328">
        <f t="shared" si="72"/>
        <v>0</v>
      </c>
      <c r="U199" s="328" t="str">
        <f t="shared" si="73"/>
        <v>除外</v>
      </c>
      <c r="V199" s="328" t="str">
        <f t="shared" si="74"/>
        <v/>
      </c>
      <c r="W199" s="332">
        <f t="array" ref="W199">IFERROR(100-100/(1+SUMPRODUCT((終値!F40:R40&gt;終値!G40:S40)*(終値!F40:R40-終値!G40:S40))/SUMPRODUCT((終値!F40:R40&lt;終値!G40:S40)*(終値!G40:S40-終値!F40:R40))),50)</f>
        <v>89.719626168224295</v>
      </c>
      <c r="X199" s="333">
        <f>IF(C199&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21.214487997485094</v>
      </c>
      <c r="Y199" s="328" t="e">
        <f t="shared" si="75"/>
        <v>#VALUE!</v>
      </c>
      <c r="Z199" s="334" t="str">
        <f t="shared" si="76"/>
        <v/>
      </c>
      <c r="AA199" s="328" t="str">
        <f t="shared" si="77"/>
        <v/>
      </c>
      <c r="AB199" s="329">
        <f>IF(OR(C199="",C199="TOPX",終値!E40=""),"",IFERROR(((終値!E40*0.333)+(終値!F40*0.222)+(終値!G40*0.148)+(終値!H40*0.099)+(終値!I40*0.066))/(0.333+0.222+0.148+0.099+0.066),""))</f>
        <v>1557.0524193548385</v>
      </c>
      <c r="AC199" s="329">
        <f>IF(OR(C199="",C199="TOPX",終値!E40=""),"",IFERROR(SUMPRODUCT((終値!E40:AC40),{0.077,0.071,0.065,0.06,0.055,0.051,0.047,0.043,0.039,0.036,0.033,0.031,0.028,0.026,0.024,0.022,0.02,0.018,0.017,0.016,0.014,0.013,0.012,0.011,0.01})/SUM({0.077,0.071,0.065,0.06,0.055,0.051,0.047,0.043,0.039,0.036,0.033,0.031,0.028,0.026,0.024,0.022,0.02,0.018,0.017,0.016,0.014,0.013,0.012,0.011,0.01}),""))</f>
        <v>1491.8218116805713</v>
      </c>
      <c r="AD199" s="328" t="str">
        <f t="shared" si="78"/>
        <v>パーフェクト▲</v>
      </c>
      <c r="AE199" s="328" t="e">
        <f t="shared" si="79"/>
        <v>#VALUE!</v>
      </c>
      <c r="AF199" t="e">
        <f>IF(T199="","",IF(銘柄管理!$F$5="上昇▲",IF(AND(AD199="下降トレンド▼",OR(AE199="25日戻り売り★",AE199="5日戻り売り○")),"★逆張り売り",IF(AND(AD199="もみ合い→",OR(AE199="25日戻り売り★",AE199="5日戻り売り○")),"○逆張り売り",IF(W199&gt;=70,IF(Z199&lt;0,"◎反落確認","△過熱・様子見"),"相場上昇・見送り"))),IF(AND(T199&gt;=12,AD199="下降トレンド▼"),"★強い売り",IF(T199&gt;=12,"★強い売り",IF(AND(T199&gt;=8,OR(AE199="25日戻り売り★",AE199="5日戻り売り○")),"◎戻り売り",IF(T199&gt;=10,"○売り候補",IF(T199&gt;=6,"△注目",IF(T199&gt;=3,"様子見","見送り"))))))))</f>
        <v>#VALUE!</v>
      </c>
      <c r="AG199">
        <f t="shared" si="80"/>
        <v>0</v>
      </c>
      <c r="AH199">
        <f t="shared" si="81"/>
        <v>0</v>
      </c>
      <c r="AI199" s="376">
        <f t="array" ref="AI199">IF(C199="","",IFERROR((INDEX(終値!$E:$E,MATCH(TEXT(C199,"0"),終値!$A:$A,0))-INDEX(終値!$E:$CZ,MATCH(TEXT(C199,"0"),終値!$A:$A,0),$AN$2))/INDEX(終値!$E:$CZ,MATCH(TEXT(C199,"0"),終値!$A:$A,0),$AN$2)*100,""))</f>
        <v>11.805810959911732</v>
      </c>
      <c r="AJ199" s="376">
        <f t="array" ref="AJ199">IFERROR((終値!$E$5-INDEX(終値!$E$5:$CZ$5,1,$AN$2))/INDEX(終値!$E$5:$CZ$5,1,$AN$2)*100,"")</f>
        <v>2.31989243802786</v>
      </c>
      <c r="AK199" s="377">
        <f t="shared" si="82"/>
        <v>9.4859185218838711</v>
      </c>
      <c r="AL199" s="375">
        <f t="shared" si="83"/>
        <v>-2</v>
      </c>
      <c r="AO199" s="379" t="e">
        <f t="shared" si="84"/>
        <v>#VALUE!</v>
      </c>
      <c r="AP199" s="380" t="e">
        <f t="shared" si="85"/>
        <v>#VALUE!</v>
      </c>
      <c r="AQ199">
        <f>IF(C199&lt;&gt;"",始値!F40,"")</f>
        <v>1582</v>
      </c>
      <c r="AR199">
        <f>IF(C199&lt;&gt;"",高値!F40,"")</f>
        <v>1631.5</v>
      </c>
      <c r="AS199">
        <f>IF(C199&lt;&gt;"",安値!F40,"")</f>
        <v>1581.5</v>
      </c>
      <c r="AT199" t="str">
        <f t="shared" si="86"/>
        <v>通常</v>
      </c>
      <c r="AU199">
        <f t="shared" si="87"/>
        <v>0</v>
      </c>
    </row>
    <row r="200" spans="1:47" ht="14.25" customHeight="1">
      <c r="A200" s="335" t="str">
        <f>IF(銘柄管理!B43&lt;&gt;"",HYPERLINK("https://kabutan.jp/stock/?code="&amp;銘柄管理!B43,"株探"),"")</f>
        <v>株探</v>
      </c>
      <c r="B200" s="215"/>
      <c r="C200" s="478">
        <f>IF(銘柄管理!B43="","",銘柄管理!B43)</f>
        <v>8750</v>
      </c>
      <c r="D200" s="215" t="str">
        <f>IF(銘柄管理!C43="","",銘柄管理!C43)</f>
        <v/>
      </c>
      <c r="E200" s="336" t="str">
        <f>IF(C200&lt;&gt;"",_xll.RssMarket(C200,"現在値"),"")</f>
        <v/>
      </c>
      <c r="F200" s="336" t="str">
        <f>IF(C200&lt;&gt;"",_xll.RssMarket(C200,"始値"),"")</f>
        <v/>
      </c>
      <c r="G200" s="215">
        <f>IF(C200&lt;&gt;"",終値!F43,"")</f>
        <v>1884</v>
      </c>
      <c r="H200" s="336" t="str">
        <f>IF(C200&lt;&gt;"",_xll.RssMarket(C200,"高値"),"")</f>
        <v/>
      </c>
      <c r="I200" s="336" t="str">
        <f>IF(C200&lt;&gt;"",_xll.RssMarket(C200,"安値"),"")</f>
        <v/>
      </c>
      <c r="J200" s="336" t="str">
        <f>IF(C200&lt;&gt;"",_xll.RssMarket(C200,"出来高"),"")</f>
        <v/>
      </c>
      <c r="K200" s="336" t="str">
        <f>IF(C200&lt;&gt;"",_xll.RssMarket(C200,"年初来高値"),"")</f>
        <v/>
      </c>
      <c r="L200" s="337" t="str">
        <f t="shared" si="66"/>
        <v/>
      </c>
      <c r="M200" s="336">
        <f>IF(C200&lt;&gt;"",IFERROR(AVERAGE(出来高!E43:I43),""),"")</f>
        <v>10022520</v>
      </c>
      <c r="N200" s="336">
        <f>IF(C200&lt;&gt;"",IFERROR(AVERAGE(出来高!E43:AC43),""),"")</f>
        <v>10250340</v>
      </c>
      <c r="O200" s="338" t="str">
        <f t="shared" si="67"/>
        <v/>
      </c>
      <c r="P200" s="215" t="str">
        <f t="shared" si="68"/>
        <v/>
      </c>
      <c r="Q200" s="215" t="str">
        <f t="shared" si="69"/>
        <v/>
      </c>
      <c r="R200" s="336" t="str">
        <f t="shared" si="70"/>
        <v/>
      </c>
      <c r="S200" s="336" t="str">
        <f t="shared" si="71"/>
        <v/>
      </c>
      <c r="T200" s="328">
        <f t="shared" si="72"/>
        <v>0</v>
      </c>
      <c r="U200" s="215" t="str">
        <f t="shared" si="73"/>
        <v>除外</v>
      </c>
      <c r="V200" s="215" t="str">
        <f t="shared" si="74"/>
        <v/>
      </c>
      <c r="W200" s="339">
        <f t="array" ref="W200">IFERROR(100-100/(1+SUMPRODUCT((終値!F43:R43&gt;終値!G43:S43)*(終値!F43:R43-終値!G43:S43))/SUMPRODUCT((終値!F43:R43&lt;終値!G43:S43)*(終値!G43:S43-終値!F43:R43))),50)</f>
        <v>79.799666110183637</v>
      </c>
      <c r="X200" s="340">
        <f>IF(C200&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14.64799553413286</v>
      </c>
      <c r="Y200" s="215" t="e">
        <f t="shared" si="75"/>
        <v>#VALUE!</v>
      </c>
      <c r="Z200" s="341" t="str">
        <f t="shared" si="76"/>
        <v/>
      </c>
      <c r="AA200" s="215" t="str">
        <f t="shared" si="77"/>
        <v/>
      </c>
      <c r="AB200" s="336">
        <f>IF(OR(C200="",C200="TOPX",終値!E43=""),"",IFERROR(((終値!E43*0.333)+(終値!F43*0.222)+(終値!G43*0.148)+(終値!H43*0.099)+(終値!I43*0.066))/(0.333+0.222+0.148+0.099+0.066),""))</f>
        <v>1838.4804147465438</v>
      </c>
      <c r="AC200" s="336">
        <f>IF(OR(C200="",C200="TOPX",終値!E43=""),"",IFERROR(SUMPRODUCT((終値!E43:AC43),{0.077,0.071,0.065,0.06,0.055,0.051,0.047,0.043,0.039,0.036,0.033,0.031,0.028,0.026,0.024,0.022,0.02,0.018,0.017,0.016,0.014,0.013,0.012,0.011,0.01})/SUM({0.077,0.071,0.065,0.06,0.055,0.051,0.047,0.043,0.039,0.036,0.033,0.031,0.028,0.026,0.024,0.022,0.02,0.018,0.017,0.016,0.014,0.013,0.012,0.011,0.01}),""))</f>
        <v>1819.3146603098921</v>
      </c>
      <c r="AD200" s="215" t="str">
        <f t="shared" si="78"/>
        <v>パーフェクト▲</v>
      </c>
      <c r="AE200" s="215" t="e">
        <f t="shared" si="79"/>
        <v>#VALUE!</v>
      </c>
      <c r="AF200" t="e">
        <f>IF(T200="","",IF(銘柄管理!$F$5="上昇▲",IF(AND(AD200="下降トレンド▼",OR(AE200="25日戻り売り★",AE200="5日戻り売り○")),"★逆張り売り",IF(AND(AD200="もみ合い→",OR(AE200="25日戻り売り★",AE200="5日戻り売り○")),"○逆張り売り",IF(W200&gt;=70,IF(Z200&lt;0,"◎反落確認","△過熱・様子見"),"相場上昇・見送り"))),IF(AND(T200&gt;=12,AD200="下降トレンド▼"),"★強い売り",IF(T200&gt;=12,"★強い売り",IF(AND(T200&gt;=8,OR(AE200="25日戻り売り★",AE200="5日戻り売り○")),"◎戻り売り",IF(T200&gt;=10,"○売り候補",IF(T200&gt;=6,"△注目",IF(T200&gt;=3,"様子見","見送り"))))))))</f>
        <v>#VALUE!</v>
      </c>
      <c r="AG200">
        <f t="shared" si="80"/>
        <v>0</v>
      </c>
      <c r="AH200">
        <f t="shared" si="81"/>
        <v>0</v>
      </c>
      <c r="AI200" s="376">
        <f t="array" ref="AI200">IF(C200="","",IFERROR((INDEX(終値!$E:$E,MATCH(TEXT(C200,"0"),終値!$A:$A,0))-INDEX(終値!$E:$CZ,MATCH(TEXT(C200,"0"),終値!$A:$A,0),$AN$2))/INDEX(終値!$E:$CZ,MATCH(TEXT(C200,"0"),終値!$A:$A,0),$AN$2)*100,""))</f>
        <v>7.8860569715142423</v>
      </c>
      <c r="AJ200" s="376">
        <f t="array" ref="AJ200">IFERROR((終値!$E$5-INDEX(終値!$E$5:$CZ$5,1,$AN$2))/INDEX(終値!$E$5:$CZ$5,1,$AN$2)*100,"")</f>
        <v>2.31989243802786</v>
      </c>
      <c r="AK200" s="377">
        <f t="shared" si="82"/>
        <v>5.5661645334863827</v>
      </c>
      <c r="AL200" s="375">
        <f t="shared" si="83"/>
        <v>-2</v>
      </c>
      <c r="AO200" s="379" t="e">
        <f t="shared" si="84"/>
        <v>#VALUE!</v>
      </c>
      <c r="AP200" s="380" t="e">
        <f t="shared" si="85"/>
        <v>#VALUE!</v>
      </c>
      <c r="AQ200">
        <f>IF(C200&lt;&gt;"",始値!F43,"")</f>
        <v>1911</v>
      </c>
      <c r="AR200">
        <f>IF(C200&lt;&gt;"",高値!F43,"")</f>
        <v>1917</v>
      </c>
      <c r="AS200">
        <f>IF(C200&lt;&gt;"",安値!F43,"")</f>
        <v>1861.5</v>
      </c>
      <c r="AT200" t="str">
        <f t="shared" si="86"/>
        <v>通常</v>
      </c>
      <c r="AU200">
        <f t="shared" si="87"/>
        <v>0</v>
      </c>
    </row>
    <row r="201" spans="1:47" ht="14.25" customHeight="1">
      <c r="A201" s="327" t="str">
        <f>IF(銘柄管理!B45&lt;&gt;"",HYPERLINK("https://kabutan.jp/stock/?code="&amp;銘柄管理!B45,"株探"),"")</f>
        <v>株探</v>
      </c>
      <c r="B201" s="328"/>
      <c r="C201" s="477">
        <f>IF(銘柄管理!B45="","",銘柄管理!B45)</f>
        <v>8306</v>
      </c>
      <c r="D201" s="328" t="str">
        <f>IF(銘柄管理!C45="","",銘柄管理!C45)</f>
        <v/>
      </c>
      <c r="E201" s="329" t="str">
        <f>IF(C201&lt;&gt;"",_xll.RssMarket(C201,"現在値"),"")</f>
        <v/>
      </c>
      <c r="F201" s="329" t="str">
        <f>IF(C201&lt;&gt;"",_xll.RssMarket(C201,"始値"),"")</f>
        <v/>
      </c>
      <c r="G201" s="328">
        <f>IF(C201&lt;&gt;"",終値!F45,"")</f>
        <v>3697</v>
      </c>
      <c r="H201" s="329" t="str">
        <f>IF(C201&lt;&gt;"",_xll.RssMarket(C201,"高値"),"")</f>
        <v/>
      </c>
      <c r="I201" s="329" t="str">
        <f>IF(C201&lt;&gt;"",_xll.RssMarket(C201,"安値"),"")</f>
        <v/>
      </c>
      <c r="J201" s="329" t="str">
        <f>IF(C201&lt;&gt;"",_xll.RssMarket(C201,"出来高"),"")</f>
        <v/>
      </c>
      <c r="K201" s="329" t="str">
        <f>IF(C201&lt;&gt;"",_xll.RssMarket(C201,"年初来高値"),"")</f>
        <v/>
      </c>
      <c r="L201" s="330" t="str">
        <f t="shared" si="66"/>
        <v/>
      </c>
      <c r="M201" s="329">
        <f>IF(C201&lt;&gt;"",IFERROR(AVERAGE(出来高!E45:I45),""),"")</f>
        <v>48333380</v>
      </c>
      <c r="N201" s="329">
        <f>IF(C201&lt;&gt;"",IFERROR(AVERAGE(出来高!E45:AC45),""),"")</f>
        <v>37821528</v>
      </c>
      <c r="O201" s="331" t="str">
        <f t="shared" si="67"/>
        <v/>
      </c>
      <c r="P201" s="328" t="str">
        <f t="shared" si="68"/>
        <v/>
      </c>
      <c r="Q201" s="328" t="str">
        <f t="shared" si="69"/>
        <v/>
      </c>
      <c r="R201" s="329" t="str">
        <f t="shared" si="70"/>
        <v/>
      </c>
      <c r="S201" s="329" t="str">
        <f t="shared" si="71"/>
        <v/>
      </c>
      <c r="T201" s="328">
        <f t="shared" si="72"/>
        <v>0</v>
      </c>
      <c r="U201" s="328" t="str">
        <f t="shared" si="73"/>
        <v>除外</v>
      </c>
      <c r="V201" s="328" t="str">
        <f t="shared" si="74"/>
        <v/>
      </c>
      <c r="W201" s="332">
        <f t="array" ref="W201">IFERROR(100-100/(1+SUMPRODUCT((終値!F45:R45&gt;終値!G45:S45)*(終値!F45:R45-終値!G45:S45))/SUMPRODUCT((終値!F45:R45&lt;終値!G45:S45)*(終値!G45:S45-終値!F45:R45))),50)</f>
        <v>90.13840830449827</v>
      </c>
      <c r="X201" s="333">
        <f>IF(C201&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43.723195841411325</v>
      </c>
      <c r="Y201" s="328" t="e">
        <f t="shared" si="75"/>
        <v>#VALUE!</v>
      </c>
      <c r="Z201" s="334" t="str">
        <f t="shared" si="76"/>
        <v/>
      </c>
      <c r="AA201" s="328" t="str">
        <f t="shared" si="77"/>
        <v/>
      </c>
      <c r="AB201" s="329">
        <f>IF(OR(C201="",C201="TOPX",終値!E45=""),"",IFERROR(((終値!E45*0.333)+(終値!F45*0.222)+(終値!G45*0.148)+(終値!H45*0.099)+(終値!I45*0.066))/(0.333+0.222+0.148+0.099+0.066),""))</f>
        <v>3558.7880184331789</v>
      </c>
      <c r="AC201" s="329">
        <f>IF(OR(C201="",C201="TOPX",終値!E45=""),"",IFERROR(SUMPRODUCT((終値!E45:AC45),{0.077,0.071,0.065,0.06,0.055,0.051,0.047,0.043,0.039,0.036,0.033,0.031,0.028,0.026,0.024,0.022,0.02,0.018,0.017,0.016,0.014,0.013,0.012,0.011,0.01})/SUM({0.077,0.071,0.065,0.06,0.055,0.051,0.047,0.043,0.039,0.036,0.033,0.031,0.028,0.026,0.024,0.022,0.02,0.018,0.017,0.016,0.014,0.013,0.012,0.011,0.01}),""))</f>
        <v>3395.5554231227643</v>
      </c>
      <c r="AD201" s="328" t="str">
        <f t="shared" si="78"/>
        <v>パーフェクト▲</v>
      </c>
      <c r="AE201" s="328" t="e">
        <f t="shared" si="79"/>
        <v>#VALUE!</v>
      </c>
      <c r="AF201" t="e">
        <f>IF(T201="","",IF(銘柄管理!$F$5="上昇▲",IF(AND(AD201="下降トレンド▼",OR(AE201="25日戻り売り★",AE201="5日戻り売り○")),"★逆張り売り",IF(AND(AD201="もみ合い→",OR(AE201="25日戻り売り★",AE201="5日戻り売り○")),"○逆張り売り",IF(W201&gt;=70,IF(Z201&lt;0,"◎反落確認","△過熱・様子見"),"相場上昇・見送り"))),IF(AND(T201&gt;=12,AD201="下降トレンド▼"),"★強い売り",IF(T201&gt;=12,"★強い売り",IF(AND(T201&gt;=8,OR(AE201="25日戻り売り★",AE201="5日戻り売り○")),"◎戻り売り",IF(T201&gt;=10,"○売り候補",IF(T201&gt;=6,"△注目",IF(T201&gt;=3,"様子見","見送り"))))))))</f>
        <v>#VALUE!</v>
      </c>
      <c r="AG201">
        <f t="shared" si="80"/>
        <v>0</v>
      </c>
      <c r="AH201">
        <f t="shared" si="81"/>
        <v>0</v>
      </c>
      <c r="AI201" s="376">
        <f t="array" ref="AI201">IF(C201="","",IFERROR((INDEX(終値!$E:$E,MATCH(TEXT(C201,"0"),終値!$A:$A,0))-INDEX(終値!$E:$CZ,MATCH(TEXT(C201,"0"),終値!$A:$A,0),$AN$2))/INDEX(終値!$E:$CZ,MATCH(TEXT(C201,"0"),終値!$A:$A,0),$AN$2)*100,""))</f>
        <v>9.6275252525252526</v>
      </c>
      <c r="AJ201" s="376">
        <f t="array" ref="AJ201">IFERROR((終値!$E$5-INDEX(終値!$E$5:$CZ$5,1,$AN$2))/INDEX(終値!$E$5:$CZ$5,1,$AN$2)*100,"")</f>
        <v>2.31989243802786</v>
      </c>
      <c r="AK201" s="377">
        <f t="shared" si="82"/>
        <v>7.3076328144973921</v>
      </c>
      <c r="AL201" s="375">
        <f t="shared" si="83"/>
        <v>-2</v>
      </c>
      <c r="AO201" s="379" t="e">
        <f t="shared" si="84"/>
        <v>#VALUE!</v>
      </c>
      <c r="AP201" s="380" t="e">
        <f t="shared" si="85"/>
        <v>#VALUE!</v>
      </c>
      <c r="AQ201">
        <f>IF(C201&lt;&gt;"",始値!F45,"")</f>
        <v>3656</v>
      </c>
      <c r="AR201">
        <f>IF(C201&lt;&gt;"",高値!F45,"")</f>
        <v>3733</v>
      </c>
      <c r="AS201">
        <f>IF(C201&lt;&gt;"",安値!F45,"")</f>
        <v>3642</v>
      </c>
      <c r="AT201" t="str">
        <f t="shared" si="86"/>
        <v>通常</v>
      </c>
      <c r="AU201">
        <f t="shared" si="87"/>
        <v>0</v>
      </c>
    </row>
    <row r="202" spans="1:47" ht="14.25" customHeight="1">
      <c r="A202" s="335" t="str">
        <f>IF(銘柄管理!B75&lt;&gt;"",HYPERLINK("https://kabutan.jp/stock/?code="&amp;銘柄管理!B75,"株探"),"")</f>
        <v>株探</v>
      </c>
      <c r="B202" s="215"/>
      <c r="C202" s="478">
        <f>IF(銘柄管理!B75="","",銘柄管理!B75)</f>
        <v>7846</v>
      </c>
      <c r="D202" s="215" t="str">
        <f>IF(銘柄管理!C75="","",銘柄管理!C75)</f>
        <v/>
      </c>
      <c r="E202" s="336" t="str">
        <f>IF(C202&lt;&gt;"",_xll.RssMarket(C202,"現在値"),"")</f>
        <v/>
      </c>
      <c r="F202" s="336" t="str">
        <f>IF(C202&lt;&gt;"",_xll.RssMarket(C202,"始値"),"")</f>
        <v/>
      </c>
      <c r="G202" s="215">
        <f>IF(C202&lt;&gt;"",終値!F75,"")</f>
        <v>1790</v>
      </c>
      <c r="H202" s="336" t="str">
        <f>IF(C202&lt;&gt;"",_xll.RssMarket(C202,"高値"),"")</f>
        <v/>
      </c>
      <c r="I202" s="336" t="str">
        <f>IF(C202&lt;&gt;"",_xll.RssMarket(C202,"安値"),"")</f>
        <v/>
      </c>
      <c r="J202" s="336" t="str">
        <f>IF(C202&lt;&gt;"",_xll.RssMarket(C202,"出来高"),"")</f>
        <v/>
      </c>
      <c r="K202" s="336" t="str">
        <f>IF(C202&lt;&gt;"",_xll.RssMarket(C202,"年初来高値"),"")</f>
        <v/>
      </c>
      <c r="L202" s="337" t="str">
        <f t="shared" si="66"/>
        <v/>
      </c>
      <c r="M202" s="336">
        <f>IF(C202&lt;&gt;"",IFERROR(AVERAGE(出来高!E75:I75),""),"")</f>
        <v>184300</v>
      </c>
      <c r="N202" s="336">
        <f>IF(C202&lt;&gt;"",IFERROR(AVERAGE(出来高!E75:AC75),""),"")</f>
        <v>157916</v>
      </c>
      <c r="O202" s="338" t="str">
        <f t="shared" si="67"/>
        <v/>
      </c>
      <c r="P202" s="215" t="str">
        <f t="shared" si="68"/>
        <v/>
      </c>
      <c r="Q202" s="215" t="str">
        <f t="shared" si="69"/>
        <v/>
      </c>
      <c r="R202" s="336" t="str">
        <f t="shared" si="70"/>
        <v/>
      </c>
      <c r="S202" s="336" t="str">
        <f t="shared" si="71"/>
        <v/>
      </c>
      <c r="T202" s="328">
        <f t="shared" si="72"/>
        <v>0</v>
      </c>
      <c r="U202" s="215" t="str">
        <f t="shared" si="73"/>
        <v>除外</v>
      </c>
      <c r="V202" s="215" t="str">
        <f t="shared" si="74"/>
        <v/>
      </c>
      <c r="W202" s="339">
        <f t="array" ref="W202">IFERROR(100-100/(1+SUMPRODUCT((終値!F75:R75&gt;終値!G75:S75)*(終値!F75:R75-終値!G75:S75))/SUMPRODUCT((終値!F75:R75&lt;終値!G75:S75)*(終値!G75:S75-終値!F75:R75))),50)</f>
        <v>4.503148097454158</v>
      </c>
      <c r="X202" s="340">
        <f>IF(C202&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-434.60692706944269</v>
      </c>
      <c r="Y202" s="215" t="e">
        <f t="shared" si="75"/>
        <v>#VALUE!</v>
      </c>
      <c r="Z202" s="341" t="str">
        <f t="shared" si="76"/>
        <v/>
      </c>
      <c r="AA202" s="215" t="str">
        <f t="shared" si="77"/>
        <v/>
      </c>
      <c r="AB202" s="336">
        <f>IF(OR(C202="",C202="TOPX",終値!E75=""),"",IFERROR(((終値!E75*0.333)+(終値!F75*0.222)+(終値!G75*0.148)+(終値!H75*0.099)+(終値!I75*0.066))/(0.333+0.222+0.148+0.099+0.066),""))</f>
        <v>1785.6883640552992</v>
      </c>
      <c r="AC202" s="336">
        <f>IF(OR(C202="",C202="TOPX",終値!E75=""),"",IFERROR(SUMPRODUCT((終値!E75:AC75),{0.077,0.071,0.065,0.06,0.055,0.051,0.047,0.043,0.039,0.036,0.033,0.031,0.028,0.026,0.024,0.022,0.02,0.018,0.017,0.016,0.014,0.013,0.012,0.011,0.01})/SUM({0.077,0.071,0.065,0.06,0.055,0.051,0.047,0.043,0.039,0.036,0.033,0.031,0.028,0.026,0.024,0.022,0.02,0.018,0.017,0.016,0.014,0.013,0.012,0.011,0.01}),""))</f>
        <v>2539.1877234803333</v>
      </c>
      <c r="AD202" s="215" t="str">
        <f t="shared" si="78"/>
        <v>上昇トレンド▲</v>
      </c>
      <c r="AE202" s="215" t="e">
        <f t="shared" si="79"/>
        <v>#VALUE!</v>
      </c>
      <c r="AF202" t="e">
        <f>IF(T202="","",IF(銘柄管理!$F$5="上昇▲",IF(AND(AD202="下降トレンド▼",OR(AE202="25日戻り売り★",AE202="5日戻り売り○")),"★逆張り売り",IF(AND(AD202="もみ合い→",OR(AE202="25日戻り売り★",AE202="5日戻り売り○")),"○逆張り売り",IF(W202&gt;=70,IF(Z202&lt;0,"◎反落確認","△過熱・様子見"),"相場上昇・見送り"))),IF(AND(T202&gt;=12,AD202="下降トレンド▼"),"★強い売り",IF(T202&gt;=12,"★強い売り",IF(AND(T202&gt;=8,OR(AE202="25日戻り売り★",AE202="5日戻り売り○")),"◎戻り売り",IF(T202&gt;=10,"○売り候補",IF(T202&gt;=6,"△注目",IF(T202&gt;=3,"様子見","見送り"))))))))</f>
        <v>#VALUE!</v>
      </c>
      <c r="AG202">
        <f t="shared" si="80"/>
        <v>0</v>
      </c>
      <c r="AH202">
        <f t="shared" si="81"/>
        <v>0</v>
      </c>
      <c r="AI202" s="376">
        <f t="array" ref="AI202">IF(C202="","",IFERROR((INDEX(終値!$E:$E,MATCH(TEXT(C202,"0"),終値!$A:$A,0))-INDEX(終値!$E:$CZ,MATCH(TEXT(C202,"0"),終値!$A:$A,0),$AN$2))/INDEX(終値!$E:$CZ,MATCH(TEXT(C202,"0"),終値!$A:$A,0),$AN$2)*100,""))</f>
        <v>-63.015384615384619</v>
      </c>
      <c r="AJ202" s="376">
        <f t="array" ref="AJ202">IFERROR((終値!$E$5-INDEX(終値!$E$5:$CZ$5,1,$AN$2))/INDEX(終値!$E$5:$CZ$5,1,$AN$2)*100,"")</f>
        <v>2.31989243802786</v>
      </c>
      <c r="AK202" s="377">
        <f t="shared" si="82"/>
        <v>-65.335277053412483</v>
      </c>
      <c r="AL202" s="375">
        <f t="shared" si="83"/>
        <v>3</v>
      </c>
      <c r="AO202" s="379" t="e">
        <f t="shared" si="84"/>
        <v>#VALUE!</v>
      </c>
      <c r="AP202" s="380" t="e">
        <f t="shared" si="85"/>
        <v>#VALUE!</v>
      </c>
      <c r="AQ202">
        <f>IF(C202&lt;&gt;"",始値!F75,"")</f>
        <v>1771.5</v>
      </c>
      <c r="AR202">
        <f>IF(C202&lt;&gt;"",高値!F75,"")</f>
        <v>1790</v>
      </c>
      <c r="AS202">
        <f>IF(C202&lt;&gt;"",安値!F75,"")</f>
        <v>1766.5</v>
      </c>
      <c r="AT202" t="str">
        <f t="shared" si="86"/>
        <v>通常</v>
      </c>
      <c r="AU202">
        <f t="shared" si="87"/>
        <v>0</v>
      </c>
    </row>
    <row r="203" spans="1:47" ht="14.25" customHeight="1">
      <c r="A203" s="327" t="str">
        <f>IF(銘柄管理!B115&lt;&gt;"",HYPERLINK("https://kabutan.jp/stock/?code="&amp;銘柄管理!B115,"株探"),"")</f>
        <v>株探</v>
      </c>
      <c r="B203" s="328"/>
      <c r="C203" s="477">
        <f>IF(銘柄管理!B115="","",銘柄管理!B115)</f>
        <v>9531</v>
      </c>
      <c r="D203" s="328" t="str">
        <f>IF(銘柄管理!C115="","",銘柄管理!C115)</f>
        <v/>
      </c>
      <c r="E203" s="329" t="str">
        <f>IF(C203&lt;&gt;"",_xll.RssMarket(C203,"現在値"),"")</f>
        <v/>
      </c>
      <c r="F203" s="329" t="str">
        <f>IF(C203&lt;&gt;"",_xll.RssMarket(C203,"始値"),"")</f>
        <v/>
      </c>
      <c r="G203" s="328">
        <f>IF(C203&lt;&gt;"",終値!F115,"")</f>
        <v>6072</v>
      </c>
      <c r="H203" s="329" t="str">
        <f>IF(C203&lt;&gt;"",_xll.RssMarket(C203,"高値"),"")</f>
        <v/>
      </c>
      <c r="I203" s="329" t="str">
        <f>IF(C203&lt;&gt;"",_xll.RssMarket(C203,"安値"),"")</f>
        <v/>
      </c>
      <c r="J203" s="329" t="str">
        <f>IF(C203&lt;&gt;"",_xll.RssMarket(C203,"出来高"),"")</f>
        <v/>
      </c>
      <c r="K203" s="329" t="str">
        <f>IF(C203&lt;&gt;"",_xll.RssMarket(C203,"年初来高値"),"")</f>
        <v/>
      </c>
      <c r="L203" s="330" t="str">
        <f t="shared" si="66"/>
        <v/>
      </c>
      <c r="M203" s="329">
        <f>IF(C203&lt;&gt;"",IFERROR(AVERAGE(出来高!E115:I115),""),"")</f>
        <v>1077960</v>
      </c>
      <c r="N203" s="329">
        <f>IF(C203&lt;&gt;"",IFERROR(AVERAGE(出来高!E115:AC115),""),"")</f>
        <v>1032880</v>
      </c>
      <c r="O203" s="331" t="str">
        <f t="shared" si="67"/>
        <v/>
      </c>
      <c r="P203" s="328" t="str">
        <f t="shared" si="68"/>
        <v/>
      </c>
      <c r="Q203" s="328" t="str">
        <f t="shared" si="69"/>
        <v/>
      </c>
      <c r="R203" s="329" t="str">
        <f t="shared" si="70"/>
        <v/>
      </c>
      <c r="S203" s="329" t="str">
        <f t="shared" si="71"/>
        <v/>
      </c>
      <c r="T203" s="328">
        <f t="shared" si="72"/>
        <v>0</v>
      </c>
      <c r="U203" s="328" t="str">
        <f t="shared" si="73"/>
        <v>除外</v>
      </c>
      <c r="V203" s="328" t="str">
        <f t="shared" si="74"/>
        <v/>
      </c>
      <c r="W203" s="332">
        <f t="array" ref="W203">IFERROR(100-100/(1+SUMPRODUCT((終値!F115:R115&gt;終値!G115:S115)*(終値!F115:R115-終値!G115:S115))/SUMPRODUCT((終値!F115:R115&lt;終値!G115:S115)*(終値!G115:S115-終値!F115:R115))),50)</f>
        <v>50.233100233100231</v>
      </c>
      <c r="X203" s="333">
        <f>IF(C203&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-19.539307193546847</v>
      </c>
      <c r="Y203" s="328" t="e">
        <f t="shared" si="75"/>
        <v>#VALUE!</v>
      </c>
      <c r="Z203" s="334" t="str">
        <f t="shared" si="76"/>
        <v/>
      </c>
      <c r="AA203" s="328" t="str">
        <f t="shared" si="77"/>
        <v/>
      </c>
      <c r="AB203" s="329">
        <f>IF(OR(C203="",C203="TOPX",終値!E115=""),"",IFERROR(((終値!E115*0.333)+(終値!F115*0.222)+(終値!G115*0.148)+(終値!H115*0.099)+(終値!I115*0.066))/(0.333+0.222+0.148+0.099+0.066),""))</f>
        <v>6043.4861751152066</v>
      </c>
      <c r="AC203" s="329">
        <f>IF(OR(C203="",C203="TOPX",終値!E115=""),"",IFERROR(SUMPRODUCT((終値!E115:AC115),{0.077,0.071,0.065,0.06,0.055,0.051,0.047,0.043,0.039,0.036,0.033,0.031,0.028,0.026,0.024,0.022,0.02,0.018,0.017,0.016,0.014,0.013,0.012,0.011,0.01})/SUM({0.077,0.071,0.065,0.06,0.055,0.051,0.047,0.043,0.039,0.036,0.033,0.031,0.028,0.026,0.024,0.022,0.02,0.018,0.017,0.016,0.014,0.013,0.012,0.011,0.01}),""))</f>
        <v>6084.493444576874</v>
      </c>
      <c r="AD203" s="328" t="str">
        <f t="shared" si="78"/>
        <v>上昇トレンド▲</v>
      </c>
      <c r="AE203" s="328" t="e">
        <f t="shared" si="79"/>
        <v>#VALUE!</v>
      </c>
      <c r="AF203" t="e">
        <f>IF(T203="","",IF(銘柄管理!$F$5="上昇▲",IF(AND(AD203="下降トレンド▼",OR(AE203="25日戻り売り★",AE203="5日戻り売り○")),"★逆張り売り",IF(AND(AD203="もみ合い→",OR(AE203="25日戻り売り★",AE203="5日戻り売り○")),"○逆張り売り",IF(W203&gt;=70,IF(Z203&lt;0,"◎反落確認","△過熱・様子見"),"相場上昇・見送り"))),IF(AND(T203&gt;=12,AD203="下降トレンド▼"),"★強い売り",IF(T203&gt;=12,"★強い売り",IF(AND(T203&gt;=8,OR(AE203="25日戻り売り★",AE203="5日戻り売り○")),"◎戻り売り",IF(T203&gt;=10,"○売り候補",IF(T203&gt;=6,"△注目",IF(T203&gt;=3,"様子見","見送り"))))))))</f>
        <v>#VALUE!</v>
      </c>
      <c r="AG203">
        <f t="shared" si="80"/>
        <v>0</v>
      </c>
      <c r="AH203">
        <f t="shared" si="81"/>
        <v>0</v>
      </c>
      <c r="AI203" s="376">
        <f t="array" ref="AI203">IF(C203="","",IFERROR((INDEX(終値!$E:$E,MATCH(TEXT(C203,"0"),終値!$A:$A,0))-INDEX(終値!$E:$CZ,MATCH(TEXT(C203,"0"),終値!$A:$A,0),$AN$2))/INDEX(終値!$E:$CZ,MATCH(TEXT(C203,"0"),終値!$A:$A,0),$AN$2)*100,""))</f>
        <v>-3.5493582633497072</v>
      </c>
      <c r="AJ203" s="376">
        <f t="array" ref="AJ203">IFERROR((終値!$E$5-INDEX(終値!$E$5:$CZ$5,1,$AN$2))/INDEX(終値!$E$5:$CZ$5,1,$AN$2)*100,"")</f>
        <v>2.31989243802786</v>
      </c>
      <c r="AK203" s="377">
        <f t="shared" si="82"/>
        <v>-5.8692507013775668</v>
      </c>
      <c r="AL203" s="375">
        <f t="shared" si="83"/>
        <v>3</v>
      </c>
      <c r="AO203" s="379" t="e">
        <f t="shared" si="84"/>
        <v>#VALUE!</v>
      </c>
      <c r="AP203" s="380" t="e">
        <f t="shared" si="85"/>
        <v>#VALUE!</v>
      </c>
      <c r="AQ203">
        <f>IF(C203&lt;&gt;"",始値!F115,"")</f>
        <v>6063</v>
      </c>
      <c r="AR203">
        <f>IF(C203&lt;&gt;"",高値!F115,"")</f>
        <v>6150</v>
      </c>
      <c r="AS203">
        <f>IF(C203&lt;&gt;"",安値!F115,"")</f>
        <v>6025</v>
      </c>
      <c r="AT203" t="str">
        <f t="shared" si="86"/>
        <v>通常</v>
      </c>
      <c r="AU203">
        <f t="shared" si="87"/>
        <v>0</v>
      </c>
    </row>
    <row r="204" spans="1:47" ht="14.25" customHeight="1">
      <c r="A204" s="335" t="str">
        <f>IF(銘柄管理!B122&lt;&gt;"",HYPERLINK("https://kabutan.jp/stock/?code="&amp;銘柄管理!B122,"株探"),"")</f>
        <v>株探</v>
      </c>
      <c r="B204" s="215"/>
      <c r="C204" s="478">
        <f>IF(銘柄管理!B122="","",銘柄管理!B122)</f>
        <v>8334</v>
      </c>
      <c r="D204" s="215" t="str">
        <f>IF(銘柄管理!C122="","",銘柄管理!C122)</f>
        <v/>
      </c>
      <c r="E204" s="336" t="str">
        <f>IF(C204&lt;&gt;"",_xll.RssMarket(C204,"現在値"),"")</f>
        <v/>
      </c>
      <c r="F204" s="336" t="str">
        <f>IF(C204&lt;&gt;"",_xll.RssMarket(C204,"始値"),"")</f>
        <v/>
      </c>
      <c r="G204" s="215">
        <f>IF(C204&lt;&gt;"",終値!F122,"")</f>
        <v>2621</v>
      </c>
      <c r="H204" s="336" t="str">
        <f>IF(C204&lt;&gt;"",_xll.RssMarket(C204,"高値"),"")</f>
        <v/>
      </c>
      <c r="I204" s="336" t="str">
        <f>IF(C204&lt;&gt;"",_xll.RssMarket(C204,"安値"),"")</f>
        <v/>
      </c>
      <c r="J204" s="336" t="str">
        <f>IF(C204&lt;&gt;"",_xll.RssMarket(C204,"出来高"),"")</f>
        <v/>
      </c>
      <c r="K204" s="336" t="str">
        <f>IF(C204&lt;&gt;"",_xll.RssMarket(C204,"年初来高値"),"")</f>
        <v/>
      </c>
      <c r="L204" s="337" t="str">
        <f t="shared" si="66"/>
        <v/>
      </c>
      <c r="M204" s="336">
        <f>IF(C204&lt;&gt;"",IFERROR(AVERAGE(出来高!E122:I122),""),"")</f>
        <v>979020</v>
      </c>
      <c r="N204" s="336">
        <f>IF(C204&lt;&gt;"",IFERROR(AVERAGE(出来高!E122:AC122),""),"")</f>
        <v>898704</v>
      </c>
      <c r="O204" s="338" t="str">
        <f t="shared" si="67"/>
        <v/>
      </c>
      <c r="P204" s="215" t="str">
        <f t="shared" si="68"/>
        <v/>
      </c>
      <c r="Q204" s="215" t="str">
        <f t="shared" si="69"/>
        <v/>
      </c>
      <c r="R204" s="336" t="str">
        <f t="shared" si="70"/>
        <v/>
      </c>
      <c r="S204" s="336" t="str">
        <f t="shared" si="71"/>
        <v/>
      </c>
      <c r="T204" s="328">
        <f t="shared" si="72"/>
        <v>0</v>
      </c>
      <c r="U204" s="215" t="str">
        <f t="shared" si="73"/>
        <v>除外</v>
      </c>
      <c r="V204" s="215" t="str">
        <f t="shared" si="74"/>
        <v/>
      </c>
      <c r="W204" s="339">
        <f t="array" ref="W204">IFERROR(100-100/(1+SUMPRODUCT((終値!F122:R122&gt;終値!G122:S122)*(終値!F122:R122-終値!G122:S122))/SUMPRODUCT((終値!F122:R122&lt;終値!G122:S122)*(終値!G122:S122-終値!F122:R122))),50)</f>
        <v>95.352323838080963</v>
      </c>
      <c r="X204" s="340">
        <f>IF(C204&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29.452865598097105</v>
      </c>
      <c r="Y204" s="215" t="e">
        <f t="shared" si="75"/>
        <v>#VALUE!</v>
      </c>
      <c r="Z204" s="341" t="str">
        <f t="shared" si="76"/>
        <v/>
      </c>
      <c r="AA204" s="215" t="str">
        <f t="shared" si="77"/>
        <v/>
      </c>
      <c r="AB204" s="336">
        <f>IF(OR(C204="",C204="TOPX",終値!E122=""),"",IFERROR(((終値!E122*0.333)+(終値!F122*0.222)+(終値!G122*0.148)+(終値!H122*0.099)+(終値!I122*0.066))/(0.333+0.222+0.148+0.099+0.066),""))</f>
        <v>2518.5529953917053</v>
      </c>
      <c r="AC204" s="336">
        <f>IF(OR(C204="",C204="TOPX",終値!E122=""),"",IFERROR(SUMPRODUCT((終値!E122:AC122),{0.077,0.071,0.065,0.06,0.055,0.051,0.047,0.043,0.039,0.036,0.033,0.031,0.028,0.026,0.024,0.022,0.02,0.018,0.017,0.016,0.014,0.013,0.012,0.011,0.01})/SUM({0.077,0.071,0.065,0.06,0.055,0.051,0.047,0.043,0.039,0.036,0.033,0.031,0.028,0.026,0.024,0.022,0.02,0.018,0.017,0.016,0.014,0.013,0.012,0.011,0.01}),""))</f>
        <v>2440.805125148986</v>
      </c>
      <c r="AD204" s="215" t="str">
        <f t="shared" si="78"/>
        <v>パーフェクト▲</v>
      </c>
      <c r="AE204" s="215" t="e">
        <f t="shared" si="79"/>
        <v>#VALUE!</v>
      </c>
      <c r="AF204" t="e">
        <f>IF(T204="","",IF(銘柄管理!$F$5="上昇▲",IF(AND(AD204="下降トレンド▼",OR(AE204="25日戻り売り★",AE204="5日戻り売り○")),"★逆張り売り",IF(AND(AD204="もみ合い→",OR(AE204="25日戻り売り★",AE204="5日戻り売り○")),"○逆張り売り",IF(W204&gt;=70,IF(Z204&lt;0,"◎反落確認","△過熱・様子見"),"相場上昇・見送り"))),IF(AND(T204&gt;=12,AD204="下降トレンド▼"),"★強い売り",IF(T204&gt;=12,"★強い売り",IF(AND(T204&gt;=8,OR(AE204="25日戻り売り★",AE204="5日戻り売り○")),"◎戻り売り",IF(T204&gt;=10,"○売り候補",IF(T204&gt;=6,"△注目",IF(T204&gt;=3,"様子見","見送り"))))))))</f>
        <v>#VALUE!</v>
      </c>
      <c r="AG204">
        <f t="shared" si="80"/>
        <v>0</v>
      </c>
      <c r="AH204">
        <f t="shared" si="81"/>
        <v>0</v>
      </c>
      <c r="AI204" s="376">
        <f t="array" ref="AI204">IF(C204="","",IFERROR((INDEX(終値!$E:$E,MATCH(TEXT(C204,"0"),終値!$A:$A,0))-INDEX(終値!$E:$CZ,MATCH(TEXT(C204,"0"),終値!$A:$A,0),$AN$2))/INDEX(終値!$E:$CZ,MATCH(TEXT(C204,"0"),終値!$A:$A,0),$AN$2)*100,""))</f>
        <v>5.3393860786856893</v>
      </c>
      <c r="AJ204" s="376">
        <f t="array" ref="AJ204">IFERROR((終値!$E$5-INDEX(終値!$E$5:$CZ$5,1,$AN$2))/INDEX(終値!$E$5:$CZ$5,1,$AN$2)*100,"")</f>
        <v>2.31989243802786</v>
      </c>
      <c r="AK204" s="377">
        <f t="shared" si="82"/>
        <v>3.0194936406578292</v>
      </c>
      <c r="AL204" s="375">
        <f t="shared" si="83"/>
        <v>-2</v>
      </c>
      <c r="AO204" s="379" t="e">
        <f t="shared" si="84"/>
        <v>#VALUE!</v>
      </c>
      <c r="AP204" s="380" t="e">
        <f t="shared" si="85"/>
        <v>#VALUE!</v>
      </c>
      <c r="AQ204">
        <f>IF(C204&lt;&gt;"",始値!F122,"")</f>
        <v>2584</v>
      </c>
      <c r="AR204">
        <f>IF(C204&lt;&gt;"",高値!F122,"")</f>
        <v>2625</v>
      </c>
      <c r="AS204">
        <f>IF(C204&lt;&gt;"",安値!F122,"")</f>
        <v>2572</v>
      </c>
      <c r="AT204" t="str">
        <f t="shared" si="86"/>
        <v>通常</v>
      </c>
      <c r="AU204">
        <f t="shared" si="87"/>
        <v>0</v>
      </c>
    </row>
    <row r="205" spans="1:47" ht="14.25" customHeight="1">
      <c r="A205" s="327" t="str">
        <f>IF(銘柄管理!B130&lt;&gt;"",HYPERLINK("https://kabutan.jp/stock/?code="&amp;銘柄管理!B130,"株探"),"")</f>
        <v>株探</v>
      </c>
      <c r="B205" s="328"/>
      <c r="C205" s="477">
        <f>IF(銘柄管理!B130="","",銘柄管理!B130)</f>
        <v>4519</v>
      </c>
      <c r="D205" s="328" t="str">
        <f>IF(銘柄管理!C130="","",銘柄管理!C130)</f>
        <v/>
      </c>
      <c r="E205" s="329" t="str">
        <f>IF(C205&lt;&gt;"",_xll.RssMarket(C205,"現在値"),"")</f>
        <v/>
      </c>
      <c r="F205" s="329" t="str">
        <f>IF(C205&lt;&gt;"",_xll.RssMarket(C205,"始値"),"")</f>
        <v/>
      </c>
      <c r="G205" s="328">
        <f>IF(C205&lt;&gt;"",終値!F130,"")</f>
        <v>7128</v>
      </c>
      <c r="H205" s="329" t="str">
        <f>IF(C205&lt;&gt;"",_xll.RssMarket(C205,"高値"),"")</f>
        <v/>
      </c>
      <c r="I205" s="329" t="str">
        <f>IF(C205&lt;&gt;"",_xll.RssMarket(C205,"安値"),"")</f>
        <v/>
      </c>
      <c r="J205" s="329" t="str">
        <f>IF(C205&lt;&gt;"",_xll.RssMarket(C205,"出来高"),"")</f>
        <v/>
      </c>
      <c r="K205" s="329" t="str">
        <f>IF(C205&lt;&gt;"",_xll.RssMarket(C205,"年初来高値"),"")</f>
        <v/>
      </c>
      <c r="L205" s="330" t="str">
        <f t="shared" si="66"/>
        <v/>
      </c>
      <c r="M205" s="329">
        <f>IF(C205&lt;&gt;"",IFERROR(AVERAGE(出来高!E130:I130),""),"")</f>
        <v>2397100</v>
      </c>
      <c r="N205" s="329">
        <f>IF(C205&lt;&gt;"",IFERROR(AVERAGE(出来高!E130:AC130),""),"")</f>
        <v>2320132</v>
      </c>
      <c r="O205" s="331" t="str">
        <f t="shared" si="67"/>
        <v/>
      </c>
      <c r="P205" s="328" t="str">
        <f t="shared" si="68"/>
        <v/>
      </c>
      <c r="Q205" s="328" t="str">
        <f t="shared" si="69"/>
        <v/>
      </c>
      <c r="R205" s="329" t="str">
        <f t="shared" si="70"/>
        <v/>
      </c>
      <c r="S205" s="329" t="str">
        <f t="shared" si="71"/>
        <v/>
      </c>
      <c r="T205" s="328">
        <f t="shared" si="72"/>
        <v>0</v>
      </c>
      <c r="U205" s="328" t="str">
        <f t="shared" si="73"/>
        <v>除外</v>
      </c>
      <c r="V205" s="328" t="str">
        <f t="shared" si="74"/>
        <v/>
      </c>
      <c r="W205" s="332">
        <f t="array" ref="W205">IFERROR(100-100/(1+SUMPRODUCT((終値!F130:R130&gt;終値!G130:S130)*(終値!F130:R130-終値!G130:S130))/SUMPRODUCT((終値!F130:R130&lt;終値!G130:S130)*(終値!G130:S130-終値!F130:R130))),50)</f>
        <v>36.62714097496707</v>
      </c>
      <c r="X205" s="333">
        <f>IF(C205&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-33.77833457385259</v>
      </c>
      <c r="Y205" s="328" t="e">
        <f t="shared" si="75"/>
        <v>#VALUE!</v>
      </c>
      <c r="Z205" s="334" t="str">
        <f t="shared" si="76"/>
        <v/>
      </c>
      <c r="AA205" s="328" t="str">
        <f t="shared" si="77"/>
        <v/>
      </c>
      <c r="AB205" s="329">
        <f>IF(OR(C205="",C205="TOPX",終値!E130=""),"",IFERROR(((終値!E130*0.333)+(終値!F130*0.222)+(終値!G130*0.148)+(終値!H130*0.099)+(終値!I130*0.066))/(0.333+0.222+0.148+0.099+0.066),""))</f>
        <v>7254.3237327188926</v>
      </c>
      <c r="AC205" s="329">
        <f>IF(OR(C205="",C205="TOPX",終値!E130=""),"",IFERROR(SUMPRODUCT((終値!E130:AC130),{0.077,0.071,0.065,0.06,0.055,0.051,0.047,0.043,0.039,0.036,0.033,0.031,0.028,0.026,0.024,0.022,0.02,0.018,0.017,0.016,0.014,0.013,0.012,0.011,0.01})/SUM({0.077,0.071,0.065,0.06,0.055,0.051,0.047,0.043,0.039,0.036,0.033,0.031,0.028,0.026,0.024,0.022,0.02,0.018,0.017,0.016,0.014,0.013,0.012,0.011,0.01}),""))</f>
        <v>7389.5840286054799</v>
      </c>
      <c r="AD205" s="328" t="str">
        <f t="shared" si="78"/>
        <v>上昇トレンド▲</v>
      </c>
      <c r="AE205" s="328" t="e">
        <f t="shared" si="79"/>
        <v>#VALUE!</v>
      </c>
      <c r="AF205" t="e">
        <f>IF(T205="","",IF(銘柄管理!$F$5="上昇▲",IF(AND(AD205="下降トレンド▼",OR(AE205="25日戻り売り★",AE205="5日戻り売り○")),"★逆張り売り",IF(AND(AD205="もみ合い→",OR(AE205="25日戻り売り★",AE205="5日戻り売り○")),"○逆張り売り",IF(W205&gt;=70,IF(Z205&lt;0,"◎反落確認","△過熱・様子見"),"相場上昇・見送り"))),IF(AND(T205&gt;=12,AD205="下降トレンド▼"),"★強い売り",IF(T205&gt;=12,"★強い売り",IF(AND(T205&gt;=8,OR(AE205="25日戻り売り★",AE205="5日戻り売り○")),"◎戻り売り",IF(T205&gt;=10,"○売り候補",IF(T205&gt;=6,"△注目",IF(T205&gt;=3,"様子見","見送り"))))))))</f>
        <v>#VALUE!</v>
      </c>
      <c r="AG205">
        <f t="shared" si="80"/>
        <v>0</v>
      </c>
      <c r="AH205">
        <f t="shared" si="81"/>
        <v>0</v>
      </c>
      <c r="AI205" s="376">
        <f t="array" ref="AI205">IF(C205="","",IFERROR((INDEX(終値!$E:$E,MATCH(TEXT(C205,"0"),終値!$A:$A,0))-INDEX(終値!$E:$CZ,MATCH(TEXT(C205,"0"),終値!$A:$A,0),$AN$2))/INDEX(終値!$E:$CZ,MATCH(TEXT(C205,"0"),終値!$A:$A,0),$AN$2)*100,""))</f>
        <v>-1.8754186202277294</v>
      </c>
      <c r="AJ205" s="376">
        <f t="array" ref="AJ205">IFERROR((終値!$E$5-INDEX(終値!$E$5:$CZ$5,1,$AN$2))/INDEX(終値!$E$5:$CZ$5,1,$AN$2)*100,"")</f>
        <v>2.31989243802786</v>
      </c>
      <c r="AK205" s="377">
        <f t="shared" si="82"/>
        <v>-4.195311058255589</v>
      </c>
      <c r="AL205" s="375">
        <f t="shared" si="83"/>
        <v>1</v>
      </c>
      <c r="AO205" s="379" t="e">
        <f t="shared" si="84"/>
        <v>#VALUE!</v>
      </c>
      <c r="AP205" s="380" t="e">
        <f t="shared" si="85"/>
        <v>#VALUE!</v>
      </c>
      <c r="AQ205">
        <f>IF(C205&lt;&gt;"",始値!F130,"")</f>
        <v>7200</v>
      </c>
      <c r="AR205">
        <f>IF(C205&lt;&gt;"",高値!F130,"")</f>
        <v>7231</v>
      </c>
      <c r="AS205">
        <f>IF(C205&lt;&gt;"",安値!F130,"")</f>
        <v>7105</v>
      </c>
      <c r="AT205" t="str">
        <f t="shared" si="86"/>
        <v>通常</v>
      </c>
      <c r="AU205">
        <f t="shared" si="87"/>
        <v>0</v>
      </c>
    </row>
    <row r="206" spans="1:47" ht="14.25" customHeight="1">
      <c r="A206" s="335" t="str">
        <f>IF(銘柄管理!B202&lt;&gt;"",HYPERLINK("https://kabutan.jp/stock/?code="&amp;銘柄管理!B202,"株探"),"")</f>
        <v>株探</v>
      </c>
      <c r="B206" s="215"/>
      <c r="C206" s="478">
        <f>IF(銘柄管理!B202="","",銘柄管理!B202)</f>
        <v>2768</v>
      </c>
      <c r="D206" s="215" t="str">
        <f>IF(銘柄管理!C202="","",銘柄管理!C202)</f>
        <v/>
      </c>
      <c r="E206" s="336" t="str">
        <f>IF(C206&lt;&gt;"",_xll.RssMarket(C206,"現在値"),"")</f>
        <v/>
      </c>
      <c r="F206" s="336" t="str">
        <f>IF(C206&lt;&gt;"",_xll.RssMarket(C206,"始値"),"")</f>
        <v/>
      </c>
      <c r="G206" s="215">
        <f>IF(C206&lt;&gt;"",終値!F202,"")</f>
        <v>5220</v>
      </c>
      <c r="H206" s="336" t="str">
        <f>IF(C206&lt;&gt;"",_xll.RssMarket(C206,"高値"),"")</f>
        <v/>
      </c>
      <c r="I206" s="336" t="str">
        <f>IF(C206&lt;&gt;"",_xll.RssMarket(C206,"安値"),"")</f>
        <v/>
      </c>
      <c r="J206" s="336" t="str">
        <f>IF(C206&lt;&gt;"",_xll.RssMarket(C206,"出来高"),"")</f>
        <v/>
      </c>
      <c r="K206" s="336" t="str">
        <f>IF(C206&lt;&gt;"",_xll.RssMarket(C206,"年初来高値"),"")</f>
        <v/>
      </c>
      <c r="L206" s="337" t="str">
        <f t="shared" si="66"/>
        <v/>
      </c>
      <c r="M206" s="336">
        <f>IF(C206&lt;&gt;"",IFERROR(AVERAGE(出来高!E202:I202),""),"")</f>
        <v>1300500</v>
      </c>
      <c r="N206" s="336">
        <f>IF(C206&lt;&gt;"",IFERROR(AVERAGE(出来高!E202:AC202),""),"")</f>
        <v>1124952</v>
      </c>
      <c r="O206" s="338" t="str">
        <f t="shared" si="67"/>
        <v/>
      </c>
      <c r="P206" s="215" t="str">
        <f t="shared" si="68"/>
        <v/>
      </c>
      <c r="Q206" s="215" t="str">
        <f t="shared" si="69"/>
        <v/>
      </c>
      <c r="R206" s="336" t="str">
        <f t="shared" si="70"/>
        <v/>
      </c>
      <c r="S206" s="336" t="str">
        <f t="shared" si="71"/>
        <v/>
      </c>
      <c r="T206" s="328">
        <f t="shared" si="72"/>
        <v>0</v>
      </c>
      <c r="U206" s="215" t="str">
        <f t="shared" si="73"/>
        <v>除外</v>
      </c>
      <c r="V206" s="215" t="str">
        <f t="shared" si="74"/>
        <v/>
      </c>
      <c r="W206" s="339">
        <f t="array" ref="W206">IFERROR(100-100/(1+SUMPRODUCT((終値!F202:R202&gt;終値!G202:S202)*(終値!F202:R202-終値!G202:S202))/SUMPRODUCT((終値!F202:R202&lt;終値!G202:S202)*(終値!G202:S202-終値!F202:R202))),50)</f>
        <v>49.034749034749034</v>
      </c>
      <c r="X206" s="340">
        <f>IF(C206&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-13.294152181785648</v>
      </c>
      <c r="Y206" s="215" t="e">
        <f t="shared" si="75"/>
        <v>#VALUE!</v>
      </c>
      <c r="Z206" s="341" t="str">
        <f t="shared" si="76"/>
        <v/>
      </c>
      <c r="AA206" s="215" t="str">
        <f t="shared" si="77"/>
        <v/>
      </c>
      <c r="AB206" s="336">
        <f>IF(OR(C206="",C206="TOPX",終値!E202=""),"",IFERROR(((終値!E202*0.333)+(終値!F202*0.222)+(終値!G202*0.148)+(終値!H202*0.099)+(終値!I202*0.066))/(0.333+0.222+0.148+0.099+0.066),""))</f>
        <v>5118.1129032258068</v>
      </c>
      <c r="AC206" s="336">
        <f>IF(OR(C206="",C206="TOPX",終値!E202=""),"",IFERROR(SUMPRODUCT((終値!E202:AC202),{0.077,0.071,0.065,0.06,0.055,0.051,0.047,0.043,0.039,0.036,0.033,0.031,0.028,0.026,0.024,0.022,0.02,0.018,0.017,0.016,0.014,0.013,0.012,0.011,0.01})/SUM({0.077,0.071,0.065,0.06,0.055,0.051,0.047,0.043,0.039,0.036,0.033,0.031,0.028,0.026,0.024,0.022,0.02,0.018,0.017,0.016,0.014,0.013,0.012,0.011,0.01}),""))</f>
        <v>5173.114421930868</v>
      </c>
      <c r="AD206" s="215" t="str">
        <f t="shared" si="78"/>
        <v>上昇トレンド▲</v>
      </c>
      <c r="AE206" s="215" t="e">
        <f t="shared" si="79"/>
        <v>#VALUE!</v>
      </c>
      <c r="AF206" t="e">
        <f>IF(T206="","",IF(銘柄管理!$F$5="上昇▲",IF(AND(AD206="下降トレンド▼",OR(AE206="25日戻り売り★",AE206="5日戻り売り○")),"★逆張り売り",IF(AND(AD206="もみ合い→",OR(AE206="25日戻り売り★",AE206="5日戻り売り○")),"○逆張り売り",IF(W206&gt;=70,IF(Z206&lt;0,"◎反落確認","△過熱・様子見"),"相場上昇・見送り"))),IF(AND(T206&gt;=12,AD206="下降トレンド▼"),"★強い売り",IF(T206&gt;=12,"★強い売り",IF(AND(T206&gt;=8,OR(AE206="25日戻り売り★",AE206="5日戻り売り○")),"◎戻り売り",IF(T206&gt;=10,"○売り候補",IF(T206&gt;=6,"△注目",IF(T206&gt;=3,"様子見","見送り"))))))))</f>
        <v>#VALUE!</v>
      </c>
      <c r="AG206">
        <f t="shared" si="80"/>
        <v>0</v>
      </c>
      <c r="AH206">
        <f t="shared" si="81"/>
        <v>0</v>
      </c>
      <c r="AI206" s="376">
        <f t="array" ref="AI206">IF(C206="","",IFERROR((INDEX(終値!$E:$E,MATCH(TEXT(C206,"0"),終値!$A:$A,0))-INDEX(終値!$E:$CZ,MATCH(TEXT(C206,"0"),終値!$A:$A,0),$AN$2))/INDEX(終値!$E:$CZ,MATCH(TEXT(C206,"0"),終値!$A:$A,0),$AN$2)*100,""))</f>
        <v>-2.2924292043922172</v>
      </c>
      <c r="AJ206" s="376">
        <f t="array" ref="AJ206">IFERROR((終値!$E$5-INDEX(終値!$E$5:$CZ$5,1,$AN$2))/INDEX(終値!$E$5:$CZ$5,1,$AN$2)*100,"")</f>
        <v>2.31989243802786</v>
      </c>
      <c r="AK206" s="377">
        <f t="shared" si="82"/>
        <v>-4.6123216424200777</v>
      </c>
      <c r="AL206" s="375">
        <f t="shared" si="83"/>
        <v>1</v>
      </c>
      <c r="AO206" s="379" t="e">
        <f t="shared" si="84"/>
        <v>#VALUE!</v>
      </c>
      <c r="AP206" s="380" t="e">
        <f t="shared" si="85"/>
        <v>#VALUE!</v>
      </c>
      <c r="AQ206">
        <f>IF(C206&lt;&gt;"",始値!F202,"")</f>
        <v>5154</v>
      </c>
      <c r="AR206">
        <f>IF(C206&lt;&gt;"",高値!F202,"")</f>
        <v>5220</v>
      </c>
      <c r="AS206">
        <f>IF(C206&lt;&gt;"",安値!F202,"")</f>
        <v>5140</v>
      </c>
      <c r="AT206" t="str">
        <f t="shared" si="86"/>
        <v>通常</v>
      </c>
      <c r="AU206">
        <f t="shared" si="87"/>
        <v>0</v>
      </c>
    </row>
  </sheetData>
  <phoneticPr fontId="16"/>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Z206"/>
  <sheetViews>
    <sheetView topLeftCell="B1" workbookViewId="0">
      <selection activeCell="AA43" sqref="AA43"/>
    </sheetView>
  </sheetViews>
  <sheetFormatPr defaultRowHeight="16.2"/>
  <cols>
    <col min="1" max="1" width="5.88671875" customWidth="1"/>
    <col min="2" max="2" width="7.44140625" customWidth="1"/>
    <col min="4" max="4" width="21.6640625" customWidth="1"/>
    <col min="23" max="24" width="13.33203125" customWidth="1"/>
    <col min="25" max="25" width="9" style="392" customWidth="1"/>
    <col min="26" max="26" width="133.77734375" bestFit="1" customWidth="1"/>
  </cols>
  <sheetData>
    <row r="1" spans="1:26" ht="21" customHeight="1">
      <c r="A1" s="535" t="s">
        <v>579</v>
      </c>
      <c r="B1" s="531"/>
      <c r="C1" s="531"/>
      <c r="D1" s="531"/>
      <c r="E1" s="531"/>
      <c r="F1" s="531"/>
      <c r="G1" s="531"/>
      <c r="H1" s="531"/>
      <c r="I1" s="531"/>
      <c r="J1" s="531"/>
      <c r="K1" s="531"/>
      <c r="L1" s="531"/>
      <c r="M1" s="531"/>
      <c r="N1" s="531"/>
      <c r="O1" s="531"/>
      <c r="P1" s="531"/>
      <c r="Q1" s="531"/>
      <c r="R1" s="531"/>
      <c r="S1" s="531"/>
      <c r="T1" s="531"/>
      <c r="U1" s="531"/>
      <c r="V1" s="531"/>
      <c r="W1" s="531"/>
      <c r="X1" s="531"/>
      <c r="Y1" s="536"/>
      <c r="Z1" s="531"/>
    </row>
    <row r="2" spans="1:26">
      <c r="A2" s="342" t="s">
        <v>542</v>
      </c>
      <c r="B2" s="342" t="s">
        <v>518</v>
      </c>
      <c r="C2" s="342" t="s">
        <v>523</v>
      </c>
      <c r="D2" s="342" t="s">
        <v>524</v>
      </c>
      <c r="E2" s="342" t="s">
        <v>525</v>
      </c>
      <c r="F2" s="342" t="s">
        <v>543</v>
      </c>
      <c r="G2" s="342" t="s">
        <v>526</v>
      </c>
      <c r="H2" s="342" t="s">
        <v>527</v>
      </c>
      <c r="I2" s="342" t="s">
        <v>528</v>
      </c>
      <c r="J2" s="342" t="s">
        <v>544</v>
      </c>
      <c r="K2" s="342" t="s">
        <v>545</v>
      </c>
      <c r="L2" s="342" t="s">
        <v>546</v>
      </c>
      <c r="M2" s="342" t="s">
        <v>547</v>
      </c>
      <c r="N2" s="342" t="s">
        <v>532</v>
      </c>
      <c r="O2" s="342" t="s">
        <v>533</v>
      </c>
      <c r="P2" s="342" t="s">
        <v>548</v>
      </c>
      <c r="Q2" s="342" t="s">
        <v>536</v>
      </c>
      <c r="R2" s="342" t="s">
        <v>535</v>
      </c>
      <c r="S2" s="342" t="s">
        <v>549</v>
      </c>
      <c r="T2" s="342" t="s">
        <v>550</v>
      </c>
      <c r="U2" s="342" t="s">
        <v>569</v>
      </c>
      <c r="V2" s="342" t="s">
        <v>529</v>
      </c>
      <c r="W2" s="342" t="s">
        <v>530</v>
      </c>
      <c r="X2" s="342" t="s">
        <v>570</v>
      </c>
      <c r="Y2" s="389" t="s">
        <v>551</v>
      </c>
      <c r="Z2" s="342" t="s">
        <v>552</v>
      </c>
    </row>
    <row r="3" spans="1:26">
      <c r="A3" s="328">
        <f>IF(売分析!C3&lt;&gt;"",ROW()-2,"")</f>
        <v>1</v>
      </c>
      <c r="B3" s="327" t="str">
        <f>IF(売分析!C3&lt;&gt;"",HYPERLINK("https://kabutan.jp/stock/?code="&amp;売分析!C3,"株探"),"")</f>
        <v>株探</v>
      </c>
      <c r="C3" s="343">
        <f>IF(売分析!C3&lt;&gt;"",売分析!C3,"")</f>
        <v>6613</v>
      </c>
      <c r="D3" s="328" t="str">
        <f>IF(売分析!D3&lt;&gt;"",売分析!D3,"")</f>
        <v/>
      </c>
      <c r="E3" s="329" t="str">
        <f>IF(売分析!E3&lt;&gt;"",売分析!E3,"")</f>
        <v/>
      </c>
      <c r="F3" s="329" t="str">
        <f>IF(売分析!F3&lt;&gt;"",売分析!F3,"")</f>
        <v/>
      </c>
      <c r="G3" s="329" t="str">
        <f>IF(売分析!H3&lt;&gt;"",売分析!H3,"")</f>
        <v/>
      </c>
      <c r="H3" s="329" t="str">
        <f>IF(売分析!I3&lt;&gt;"",売分析!I3,"")</f>
        <v/>
      </c>
      <c r="I3" s="328" t="str">
        <f>IF(売分析!J3&lt;&gt;"",売分析!J3,"")</f>
        <v/>
      </c>
      <c r="J3" s="329">
        <f>IF(売分析!AB3&lt;&gt;"",売分析!AB3,"")</f>
        <v>2181.4642857142853</v>
      </c>
      <c r="K3" s="329">
        <f>IF(売分析!AC3&lt;&gt;"",売分析!AC3,"")</f>
        <v>2536.7735399284857</v>
      </c>
      <c r="L3" s="329" t="str">
        <f>IF(売分析!K3&lt;&gt;"",売分析!K3,"")</f>
        <v/>
      </c>
      <c r="M3" s="328" t="str">
        <f>IF(売分析!P3&lt;&gt;"",売分析!P3,"")</f>
        <v/>
      </c>
      <c r="N3" s="331" t="str">
        <f>IF(売分析!O3&lt;&gt;"",売分析!O3,"")</f>
        <v/>
      </c>
      <c r="O3" s="333">
        <f>IF(売分析!X3&lt;&gt;"",売分析!X3,"")</f>
        <v>-66.365894626232148</v>
      </c>
      <c r="P3" s="330" t="str">
        <f>IF(売分析!L3&lt;&gt;"",売分析!L3,"")</f>
        <v/>
      </c>
      <c r="Q3" s="329" t="str">
        <f>IF(売分析!S3&lt;&gt;"",売分析!S3,"")</f>
        <v/>
      </c>
      <c r="R3" s="329" t="str">
        <f>IF(売分析!R3&lt;&gt;"",売分析!R3,"")</f>
        <v/>
      </c>
      <c r="S3" s="328" t="str">
        <f>IF(売分析!AA3&lt;&gt;"",売分析!AA3,"")</f>
        <v/>
      </c>
      <c r="T3" s="334" t="str">
        <f>IF(売分析!Z3&lt;&gt;"",売分析!Z3,"")</f>
        <v/>
      </c>
      <c r="U3" s="328" t="str">
        <f>IF(売分析!V3&lt;&gt;"",売分析!V3,"")</f>
        <v/>
      </c>
      <c r="V3" s="332">
        <f>IF(売分析!W3&lt;&gt;"",売分析!W3,"")</f>
        <v>15.298804780876495</v>
      </c>
      <c r="W3" s="328" t="str">
        <f>IF(売分析!AD3&lt;&gt;"",売分析!AD3,"")</f>
        <v>上昇トレンド▲</v>
      </c>
      <c r="X3" s="328" t="e">
        <f>IF(売分析!AE3&lt;&gt;"",売分析!AE3,"")</f>
        <v>#VALUE!</v>
      </c>
      <c r="Y3" s="390">
        <f>IF(売分析!T3&lt;&gt;"",売分析!T3,"")</f>
        <v>0</v>
      </c>
      <c r="Z3" s="328" t="e">
        <f>IF(売分析!Y3&lt;&gt;"",売分析!Y3,"")</f>
        <v>#VALUE!</v>
      </c>
    </row>
    <row r="4" spans="1:26">
      <c r="A4" s="215">
        <f>IF(売分析!C4&lt;&gt;"",ROW()-2,"")</f>
        <v>2</v>
      </c>
      <c r="B4" s="335" t="str">
        <f>IF(売分析!C4&lt;&gt;"",HYPERLINK("https://kabutan.jp/stock/?code="&amp;売分析!C4,"株探"),"")</f>
        <v>株探</v>
      </c>
      <c r="C4" s="344">
        <f>IF(売分析!C4&lt;&gt;"",売分析!C4,"")</f>
        <v>3436</v>
      </c>
      <c r="D4" s="215" t="str">
        <f>IF(売分析!D4&lt;&gt;"",売分析!D4,"")</f>
        <v/>
      </c>
      <c r="E4" s="336" t="str">
        <f>IF(売分析!E4&lt;&gt;"",売分析!E4,"")</f>
        <v/>
      </c>
      <c r="F4" s="336" t="str">
        <f>IF(売分析!F4&lt;&gt;"",売分析!F4,"")</f>
        <v/>
      </c>
      <c r="G4" s="336" t="str">
        <f>IF(売分析!H4&lt;&gt;"",売分析!H4,"")</f>
        <v/>
      </c>
      <c r="H4" s="336" t="str">
        <f>IF(売分析!I4&lt;&gt;"",売分析!I4,"")</f>
        <v/>
      </c>
      <c r="I4" s="215" t="str">
        <f>IF(売分析!J4&lt;&gt;"",売分析!J4,"")</f>
        <v/>
      </c>
      <c r="J4" s="336">
        <f>IF(売分析!AB4&lt;&gt;"",売分析!AB4,"")</f>
        <v>4688.3605990783399</v>
      </c>
      <c r="K4" s="336">
        <f>IF(売分析!AC4&lt;&gt;"",売分析!AC4,"")</f>
        <v>4530.4743742550645</v>
      </c>
      <c r="L4" s="336" t="str">
        <f>IF(売分析!K4&lt;&gt;"",売分析!K4,"")</f>
        <v/>
      </c>
      <c r="M4" s="215" t="str">
        <f>IF(売分析!P4&lt;&gt;"",売分析!P4,"")</f>
        <v/>
      </c>
      <c r="N4" s="338" t="str">
        <f>IF(売分析!O4&lt;&gt;"",売分析!O4,"")</f>
        <v/>
      </c>
      <c r="O4" s="340">
        <f>IF(売分析!X4&lt;&gt;"",売分析!X4,"")</f>
        <v>147.50018309259485</v>
      </c>
      <c r="P4" s="337" t="str">
        <f>IF(売分析!L4&lt;&gt;"",売分析!L4,"")</f>
        <v/>
      </c>
      <c r="Q4" s="336" t="str">
        <f>IF(売分析!S4&lt;&gt;"",売分析!S4,"")</f>
        <v/>
      </c>
      <c r="R4" s="336" t="str">
        <f>IF(売分析!R4&lt;&gt;"",売分析!R4,"")</f>
        <v/>
      </c>
      <c r="S4" s="215" t="str">
        <f>IF(売分析!AA4&lt;&gt;"",売分析!AA4,"")</f>
        <v/>
      </c>
      <c r="T4" s="341" t="str">
        <f>IF(売分析!Z4&lt;&gt;"",売分析!Z4,"")</f>
        <v/>
      </c>
      <c r="U4" s="215" t="str">
        <f>IF(売分析!V4&lt;&gt;"",売分析!V4,"")</f>
        <v/>
      </c>
      <c r="V4" s="339">
        <f>IF(売分析!W4&lt;&gt;"",売分析!W4,"")</f>
        <v>67.777777777777771</v>
      </c>
      <c r="W4" s="215" t="str">
        <f>IF(売分析!AD4&lt;&gt;"",売分析!AD4,"")</f>
        <v>パーフェクト▲</v>
      </c>
      <c r="X4" s="215" t="e">
        <f>IF(売分析!AE4&lt;&gt;"",売分析!AE4,"")</f>
        <v>#VALUE!</v>
      </c>
      <c r="Y4" s="391">
        <f>IF(売分析!T4&lt;&gt;"",売分析!T4,"")</f>
        <v>0</v>
      </c>
      <c r="Z4" s="215" t="e">
        <f>IF(売分析!Y4&lt;&gt;"",売分析!Y4,"")</f>
        <v>#VALUE!</v>
      </c>
    </row>
    <row r="5" spans="1:26">
      <c r="A5" s="328">
        <f>IF(売分析!C5&lt;&gt;"",ROW()-2,"")</f>
        <v>3</v>
      </c>
      <c r="B5" s="327" t="str">
        <f>IF(売分析!C5&lt;&gt;"",HYPERLINK("https://kabutan.jp/stock/?code="&amp;売分析!C5,"株探"),"")</f>
        <v>株探</v>
      </c>
      <c r="C5" s="343">
        <f>IF(売分析!C5&lt;&gt;"",売分析!C5,"")</f>
        <v>6254</v>
      </c>
      <c r="D5" s="328" t="str">
        <f>IF(売分析!D5&lt;&gt;"",売分析!D5,"")</f>
        <v/>
      </c>
      <c r="E5" s="329" t="str">
        <f>IF(売分析!E5&lt;&gt;"",売分析!E5,"")</f>
        <v/>
      </c>
      <c r="F5" s="329" t="str">
        <f>IF(売分析!F5&lt;&gt;"",売分析!F5,"")</f>
        <v/>
      </c>
      <c r="G5" s="329" t="str">
        <f>IF(売分析!H5&lt;&gt;"",売分析!H5,"")</f>
        <v/>
      </c>
      <c r="H5" s="329" t="str">
        <f>IF(売分析!I5&lt;&gt;"",売分析!I5,"")</f>
        <v/>
      </c>
      <c r="I5" s="328" t="str">
        <f>IF(売分析!J5&lt;&gt;"",売分析!J5,"")</f>
        <v/>
      </c>
      <c r="J5" s="329">
        <f>IF(売分析!AB5&lt;&gt;"",売分析!AB5,"")</f>
        <v>4190.5933179723506</v>
      </c>
      <c r="K5" s="329">
        <f>IF(売分析!AC5&lt;&gt;"",売分析!AC5,"")</f>
        <v>4536.9845053635263</v>
      </c>
      <c r="L5" s="329" t="str">
        <f>IF(売分析!K5&lt;&gt;"",売分析!K5,"")</f>
        <v/>
      </c>
      <c r="M5" s="328" t="str">
        <f>IF(売分析!P5&lt;&gt;"",売分析!P5,"")</f>
        <v/>
      </c>
      <c r="N5" s="331" t="str">
        <f>IF(売分析!O5&lt;&gt;"",売分析!O5,"")</f>
        <v/>
      </c>
      <c r="O5" s="333">
        <f>IF(売分析!X5&lt;&gt;"",売分析!X5,"")</f>
        <v>-70.386215913928936</v>
      </c>
      <c r="P5" s="330" t="str">
        <f>IF(売分析!L5&lt;&gt;"",売分析!L5,"")</f>
        <v/>
      </c>
      <c r="Q5" s="329" t="str">
        <f>IF(売分析!S5&lt;&gt;"",売分析!S5,"")</f>
        <v/>
      </c>
      <c r="R5" s="329" t="str">
        <f>IF(売分析!R5&lt;&gt;"",売分析!R5,"")</f>
        <v/>
      </c>
      <c r="S5" s="328" t="str">
        <f>IF(売分析!AA5&lt;&gt;"",売分析!AA5,"")</f>
        <v/>
      </c>
      <c r="T5" s="334" t="str">
        <f>IF(売分析!Z5&lt;&gt;"",売分析!Z5,"")</f>
        <v/>
      </c>
      <c r="U5" s="328" t="str">
        <f>IF(売分析!V5&lt;&gt;"",売分析!V5,"")</f>
        <v/>
      </c>
      <c r="V5" s="332">
        <f>IF(売分析!W5&lt;&gt;"",売分析!W5,"")</f>
        <v>41.062801932367151</v>
      </c>
      <c r="W5" s="328" t="str">
        <f>IF(売分析!AD5&lt;&gt;"",売分析!AD5,"")</f>
        <v>上昇トレンド▲</v>
      </c>
      <c r="X5" s="328" t="e">
        <f>IF(売分析!AE5&lt;&gt;"",売分析!AE5,"")</f>
        <v>#VALUE!</v>
      </c>
      <c r="Y5" s="390">
        <f>IF(売分析!T5&lt;&gt;"",売分析!T5,"")</f>
        <v>0</v>
      </c>
      <c r="Z5" s="328" t="e">
        <f>IF(売分析!Y5&lt;&gt;"",売分析!Y5,"")</f>
        <v>#VALUE!</v>
      </c>
    </row>
    <row r="6" spans="1:26">
      <c r="A6" s="215">
        <f>IF(売分析!C6&lt;&gt;"",ROW()-2,"")</f>
        <v>4</v>
      </c>
      <c r="B6" s="335" t="str">
        <f>IF(売分析!C6&lt;&gt;"",HYPERLINK("https://kabutan.jp/stock/?code="&amp;売分析!C6,"株探"),"")</f>
        <v>株探</v>
      </c>
      <c r="C6" s="344">
        <f>IF(売分析!C6&lt;&gt;"",売分析!C6,"")</f>
        <v>6838</v>
      </c>
      <c r="D6" s="215" t="str">
        <f>IF(売分析!D6&lt;&gt;"",売分析!D6,"")</f>
        <v/>
      </c>
      <c r="E6" s="336" t="str">
        <f>IF(売分析!E6&lt;&gt;"",売分析!E6,"")</f>
        <v/>
      </c>
      <c r="F6" s="336" t="str">
        <f>IF(売分析!F6&lt;&gt;"",売分析!F6,"")</f>
        <v/>
      </c>
      <c r="G6" s="336" t="str">
        <f>IF(売分析!H6&lt;&gt;"",売分析!H6,"")</f>
        <v/>
      </c>
      <c r="H6" s="336" t="str">
        <f>IF(売分析!I6&lt;&gt;"",売分析!I6,"")</f>
        <v/>
      </c>
      <c r="I6" s="215" t="str">
        <f>IF(売分析!J6&lt;&gt;"",売分析!J6,"")</f>
        <v/>
      </c>
      <c r="J6" s="336">
        <f>IF(売分析!AB6&lt;&gt;"",売分析!AB6,"")</f>
        <v>1428.0967741935481</v>
      </c>
      <c r="K6" s="336">
        <f>IF(売分析!AC6&lt;&gt;"",売分析!AC6,"")</f>
        <v>1668.3039332538729</v>
      </c>
      <c r="L6" s="336" t="str">
        <f>IF(売分析!K6&lt;&gt;"",売分析!K6,"")</f>
        <v/>
      </c>
      <c r="M6" s="215" t="str">
        <f>IF(売分析!P6&lt;&gt;"",売分析!P6,"")</f>
        <v/>
      </c>
      <c r="N6" s="338" t="str">
        <f>IF(売分析!O6&lt;&gt;"",売分析!O6,"")</f>
        <v/>
      </c>
      <c r="O6" s="340">
        <f>IF(売分析!X6&lt;&gt;"",売分析!X6,"")</f>
        <v>-78.007164492773427</v>
      </c>
      <c r="P6" s="337" t="str">
        <f>IF(売分析!L6&lt;&gt;"",売分析!L6,"")</f>
        <v/>
      </c>
      <c r="Q6" s="336" t="str">
        <f>IF(売分析!S6&lt;&gt;"",売分析!S6,"")</f>
        <v/>
      </c>
      <c r="R6" s="336" t="str">
        <f>IF(売分析!R6&lt;&gt;"",売分析!R6,"")</f>
        <v/>
      </c>
      <c r="S6" s="215" t="str">
        <f>IF(売分析!AA6&lt;&gt;"",売分析!AA6,"")</f>
        <v/>
      </c>
      <c r="T6" s="341" t="str">
        <f>IF(売分析!Z6&lt;&gt;"",売分析!Z6,"")</f>
        <v/>
      </c>
      <c r="U6" s="215" t="str">
        <f>IF(売分析!V6&lt;&gt;"",売分析!V6,"")</f>
        <v/>
      </c>
      <c r="V6" s="339">
        <f>IF(売分析!W6&lt;&gt;"",売分析!W6,"")</f>
        <v>11.316113161131611</v>
      </c>
      <c r="W6" s="215" t="str">
        <f>IF(売分析!AD6&lt;&gt;"",売分析!AD6,"")</f>
        <v>上昇トレンド▲</v>
      </c>
      <c r="X6" s="215" t="e">
        <f>IF(売分析!AE6&lt;&gt;"",売分析!AE6,"")</f>
        <v>#VALUE!</v>
      </c>
      <c r="Y6" s="391">
        <f>IF(売分析!T6&lt;&gt;"",売分析!T6,"")</f>
        <v>0</v>
      </c>
      <c r="Z6" s="215" t="e">
        <f>IF(売分析!Y6&lt;&gt;"",売分析!Y6,"")</f>
        <v>#VALUE!</v>
      </c>
    </row>
    <row r="7" spans="1:26">
      <c r="A7" s="328">
        <f>IF(売分析!C7&lt;&gt;"",ROW()-2,"")</f>
        <v>5</v>
      </c>
      <c r="B7" s="327" t="str">
        <f>IF(売分析!C7&lt;&gt;"",HYPERLINK("https://kabutan.jp/stock/?code="&amp;売分析!C7,"株探"),"")</f>
        <v>株探</v>
      </c>
      <c r="C7" s="343">
        <f>IF(売分析!C7&lt;&gt;"",売分析!C7,"")</f>
        <v>5411</v>
      </c>
      <c r="D7" s="328" t="str">
        <f>IF(売分析!D7&lt;&gt;"",売分析!D7,"")</f>
        <v/>
      </c>
      <c r="E7" s="329" t="str">
        <f>IF(売分析!E7&lt;&gt;"",売分析!E7,"")</f>
        <v/>
      </c>
      <c r="F7" s="329" t="str">
        <f>IF(売分析!F7&lt;&gt;"",売分析!F7,"")</f>
        <v/>
      </c>
      <c r="G7" s="329" t="str">
        <f>IF(売分析!H7&lt;&gt;"",売分析!H7,"")</f>
        <v/>
      </c>
      <c r="H7" s="329" t="str">
        <f>IF(売分析!I7&lt;&gt;"",売分析!I7,"")</f>
        <v/>
      </c>
      <c r="I7" s="328" t="str">
        <f>IF(売分析!J7&lt;&gt;"",売分析!J7,"")</f>
        <v/>
      </c>
      <c r="J7" s="329">
        <f>IF(売分析!AB7&lt;&gt;"",売分析!AB7,"")</f>
        <v>1673.6347926267279</v>
      </c>
      <c r="K7" s="329">
        <f>IF(売分析!AC7&lt;&gt;"",売分析!AC7,"")</f>
        <v>1621.0917759237182</v>
      </c>
      <c r="L7" s="329" t="str">
        <f>IF(売分析!K7&lt;&gt;"",売分析!K7,"")</f>
        <v/>
      </c>
      <c r="M7" s="328" t="str">
        <f>IF(売分析!P7&lt;&gt;"",売分析!P7,"")</f>
        <v/>
      </c>
      <c r="N7" s="331" t="str">
        <f>IF(売分析!O7&lt;&gt;"",売分析!O7,"")</f>
        <v/>
      </c>
      <c r="O7" s="333">
        <f>IF(売分析!X7&lt;&gt;"",売分析!X7,"")</f>
        <v>12.004216104984607</v>
      </c>
      <c r="P7" s="330" t="str">
        <f>IF(売分析!L7&lt;&gt;"",売分析!L7,"")</f>
        <v/>
      </c>
      <c r="Q7" s="329" t="str">
        <f>IF(売分析!S7&lt;&gt;"",売分析!S7,"")</f>
        <v/>
      </c>
      <c r="R7" s="329" t="str">
        <f>IF(売分析!R7&lt;&gt;"",売分析!R7,"")</f>
        <v/>
      </c>
      <c r="S7" s="328" t="str">
        <f>IF(売分析!AA7&lt;&gt;"",売分析!AA7,"")</f>
        <v/>
      </c>
      <c r="T7" s="334" t="str">
        <f>IF(売分析!Z7&lt;&gt;"",売分析!Z7,"")</f>
        <v/>
      </c>
      <c r="U7" s="328" t="str">
        <f>IF(売分析!V7&lt;&gt;"",売分析!V7,"")</f>
        <v/>
      </c>
      <c r="V7" s="332">
        <f>IF(売分析!W7&lt;&gt;"",売分析!W7,"")</f>
        <v>79.820627802690581</v>
      </c>
      <c r="W7" s="328" t="str">
        <f>IF(売分析!AD7&lt;&gt;"",売分析!AD7,"")</f>
        <v>パーフェクト▲</v>
      </c>
      <c r="X7" s="328" t="e">
        <f>IF(売分析!AE7&lt;&gt;"",売分析!AE7,"")</f>
        <v>#VALUE!</v>
      </c>
      <c r="Y7" s="390">
        <f>IF(売分析!T7&lt;&gt;"",売分析!T7,"")</f>
        <v>0</v>
      </c>
      <c r="Z7" s="328" t="e">
        <f>IF(売分析!Y7&lt;&gt;"",売分析!Y7,"")</f>
        <v>#VALUE!</v>
      </c>
    </row>
    <row r="8" spans="1:26">
      <c r="A8" s="215">
        <f>IF(売分析!C8&lt;&gt;"",ROW()-2,"")</f>
        <v>6</v>
      </c>
      <c r="B8" s="335" t="str">
        <f>IF(売分析!C8&lt;&gt;"",HYPERLINK("https://kabutan.jp/stock/?code="&amp;売分析!C8,"株探"),"")</f>
        <v>株探</v>
      </c>
      <c r="C8" s="344">
        <f>IF(売分析!C8&lt;&gt;"",売分析!C8,"")</f>
        <v>9348</v>
      </c>
      <c r="D8" s="215" t="str">
        <f>IF(売分析!D8&lt;&gt;"",売分析!D8,"")</f>
        <v/>
      </c>
      <c r="E8" s="336" t="str">
        <f>IF(売分析!E8&lt;&gt;"",売分析!E8,"")</f>
        <v/>
      </c>
      <c r="F8" s="336" t="str">
        <f>IF(売分析!F8&lt;&gt;"",売分析!F8,"")</f>
        <v/>
      </c>
      <c r="G8" s="336" t="str">
        <f>IF(売分析!H8&lt;&gt;"",売分析!H8,"")</f>
        <v/>
      </c>
      <c r="H8" s="336" t="str">
        <f>IF(売分析!I8&lt;&gt;"",売分析!I8,"")</f>
        <v/>
      </c>
      <c r="I8" s="215" t="str">
        <f>IF(売分析!J8&lt;&gt;"",売分析!J8,"")</f>
        <v/>
      </c>
      <c r="J8" s="336">
        <f>IF(売分析!AB8&lt;&gt;"",売分析!AB8,"")</f>
        <v>431.78456221198149</v>
      </c>
      <c r="K8" s="336">
        <f>IF(売分析!AC8&lt;&gt;"",売分析!AC8,"")</f>
        <v>451.57330154946339</v>
      </c>
      <c r="L8" s="336" t="str">
        <f>IF(売分析!K8&lt;&gt;"",売分析!K8,"")</f>
        <v/>
      </c>
      <c r="M8" s="215" t="str">
        <f>IF(売分析!P8&lt;&gt;"",売分析!P8,"")</f>
        <v/>
      </c>
      <c r="N8" s="338" t="str">
        <f>IF(売分析!O8&lt;&gt;"",売分析!O8,"")</f>
        <v/>
      </c>
      <c r="O8" s="340">
        <f>IF(売分析!X8&lt;&gt;"",売分析!X8,"")</f>
        <v>-3.6936661903605454</v>
      </c>
      <c r="P8" s="337" t="str">
        <f>IF(売分析!L8&lt;&gt;"",売分析!L8,"")</f>
        <v/>
      </c>
      <c r="Q8" s="336" t="str">
        <f>IF(売分析!S8&lt;&gt;"",売分析!S8,"")</f>
        <v/>
      </c>
      <c r="R8" s="336" t="str">
        <f>IF(売分析!R8&lt;&gt;"",売分析!R8,"")</f>
        <v/>
      </c>
      <c r="S8" s="215" t="str">
        <f>IF(売分析!AA8&lt;&gt;"",売分析!AA8,"")</f>
        <v/>
      </c>
      <c r="T8" s="341" t="str">
        <f>IF(売分析!Z8&lt;&gt;"",売分析!Z8,"")</f>
        <v/>
      </c>
      <c r="U8" s="215" t="str">
        <f>IF(売分析!V8&lt;&gt;"",売分析!V8,"")</f>
        <v/>
      </c>
      <c r="V8" s="339">
        <f>IF(売分析!W8&lt;&gt;"",売分析!W8,"")</f>
        <v>51.304347826086961</v>
      </c>
      <c r="W8" s="215" t="str">
        <f>IF(売分析!AD8&lt;&gt;"",売分析!AD8,"")</f>
        <v>上昇トレンド▲</v>
      </c>
      <c r="X8" s="215" t="e">
        <f>IF(売分析!AE8&lt;&gt;"",売分析!AE8,"")</f>
        <v>#VALUE!</v>
      </c>
      <c r="Y8" s="391">
        <f>IF(売分析!T8&lt;&gt;"",売分析!T8,"")</f>
        <v>0</v>
      </c>
      <c r="Z8" s="215" t="e">
        <f>IF(売分析!Y8&lt;&gt;"",売分析!Y8,"")</f>
        <v>#VALUE!</v>
      </c>
    </row>
    <row r="9" spans="1:26">
      <c r="A9" s="328">
        <f>IF(売分析!C9&lt;&gt;"",ROW()-2,"")</f>
        <v>7</v>
      </c>
      <c r="B9" s="327" t="str">
        <f>IF(売分析!C9&lt;&gt;"",HYPERLINK("https://kabutan.jp/stock/?code="&amp;売分析!C9,"株探"),"")</f>
        <v>株探</v>
      </c>
      <c r="C9" s="343">
        <f>IF(売分析!C9&lt;&gt;"",売分析!C9,"")</f>
        <v>4082</v>
      </c>
      <c r="D9" s="328" t="str">
        <f>IF(売分析!D9&lt;&gt;"",売分析!D9,"")</f>
        <v/>
      </c>
      <c r="E9" s="329" t="str">
        <f>IF(売分析!E9&lt;&gt;"",売分析!E9,"")</f>
        <v/>
      </c>
      <c r="F9" s="329" t="str">
        <f>IF(売分析!F9&lt;&gt;"",売分析!F9,"")</f>
        <v/>
      </c>
      <c r="G9" s="329" t="str">
        <f>IF(売分析!H9&lt;&gt;"",売分析!H9,"")</f>
        <v/>
      </c>
      <c r="H9" s="329" t="str">
        <f>IF(売分析!I9&lt;&gt;"",売分析!I9,"")</f>
        <v/>
      </c>
      <c r="I9" s="328" t="str">
        <f>IF(売分析!J9&lt;&gt;"",売分析!J9,"")</f>
        <v/>
      </c>
      <c r="J9" s="329">
        <f>IF(売分析!AB9&lt;&gt;"",売分析!AB9,"")</f>
        <v>1858.721198156682</v>
      </c>
      <c r="K9" s="329">
        <f>IF(売分析!AC9&lt;&gt;"",売分析!AC9,"")</f>
        <v>1973.0441001191891</v>
      </c>
      <c r="L9" s="329" t="str">
        <f>IF(売分析!K9&lt;&gt;"",売分析!K9,"")</f>
        <v/>
      </c>
      <c r="M9" s="328" t="str">
        <f>IF(売分析!P9&lt;&gt;"",売分析!P9,"")</f>
        <v/>
      </c>
      <c r="N9" s="331" t="str">
        <f>IF(売分析!O9&lt;&gt;"",売分析!O9,"")</f>
        <v/>
      </c>
      <c r="O9" s="333">
        <f>IF(売分析!X9&lt;&gt;"",売分析!X9,"")</f>
        <v>-20.744936096704123</v>
      </c>
      <c r="P9" s="330" t="str">
        <f>IF(売分析!L9&lt;&gt;"",売分析!L9,"")</f>
        <v/>
      </c>
      <c r="Q9" s="329" t="str">
        <f>IF(売分析!S9&lt;&gt;"",売分析!S9,"")</f>
        <v/>
      </c>
      <c r="R9" s="329" t="str">
        <f>IF(売分析!R9&lt;&gt;"",売分析!R9,"")</f>
        <v/>
      </c>
      <c r="S9" s="328" t="str">
        <f>IF(売分析!AA9&lt;&gt;"",売分析!AA9,"")</f>
        <v/>
      </c>
      <c r="T9" s="334" t="str">
        <f>IF(売分析!Z9&lt;&gt;"",売分析!Z9,"")</f>
        <v/>
      </c>
      <c r="U9" s="328" t="str">
        <f>IF(売分析!V9&lt;&gt;"",売分析!V9,"")</f>
        <v/>
      </c>
      <c r="V9" s="332">
        <f>IF(売分析!W9&lt;&gt;"",売分析!W9,"")</f>
        <v>30.54474708171206</v>
      </c>
      <c r="W9" s="328" t="str">
        <f>IF(売分析!AD9&lt;&gt;"",売分析!AD9,"")</f>
        <v>上昇トレンド▲</v>
      </c>
      <c r="X9" s="328" t="e">
        <f>IF(売分析!AE9&lt;&gt;"",売分析!AE9,"")</f>
        <v>#VALUE!</v>
      </c>
      <c r="Y9" s="390">
        <f>IF(売分析!T9&lt;&gt;"",売分析!T9,"")</f>
        <v>0</v>
      </c>
      <c r="Z9" s="328" t="e">
        <f>IF(売分析!Y9&lt;&gt;"",売分析!Y9,"")</f>
        <v>#VALUE!</v>
      </c>
    </row>
    <row r="10" spans="1:26">
      <c r="A10" s="215">
        <f>IF(売分析!C10&lt;&gt;"",ROW()-2,"")</f>
        <v>8</v>
      </c>
      <c r="B10" s="335" t="str">
        <f>IF(売分析!C10&lt;&gt;"",HYPERLINK("https://kabutan.jp/stock/?code="&amp;売分析!C10,"株探"),"")</f>
        <v>株探</v>
      </c>
      <c r="C10" s="344">
        <f>IF(売分析!C10&lt;&gt;"",売分析!C10,"")</f>
        <v>6787</v>
      </c>
      <c r="D10" s="215" t="str">
        <f>IF(売分析!D10&lt;&gt;"",売分析!D10,"")</f>
        <v/>
      </c>
      <c r="E10" s="336" t="str">
        <f>IF(売分析!E10&lt;&gt;"",売分析!E10,"")</f>
        <v/>
      </c>
      <c r="F10" s="336" t="str">
        <f>IF(売分析!F10&lt;&gt;"",売分析!F10,"")</f>
        <v/>
      </c>
      <c r="G10" s="336" t="str">
        <f>IF(売分析!H10&lt;&gt;"",売分析!H10,"")</f>
        <v/>
      </c>
      <c r="H10" s="336" t="str">
        <f>IF(売分析!I10&lt;&gt;"",売分析!I10,"")</f>
        <v/>
      </c>
      <c r="I10" s="215" t="str">
        <f>IF(売分析!J10&lt;&gt;"",売分析!J10,"")</f>
        <v/>
      </c>
      <c r="J10" s="336">
        <f>IF(売分析!AB10&lt;&gt;"",売分析!AB10,"")</f>
        <v>24895.72580645161</v>
      </c>
      <c r="K10" s="336">
        <f>IF(売分析!AC10&lt;&gt;"",売分析!AC10,"")</f>
        <v>28400.822407628115</v>
      </c>
      <c r="L10" s="336" t="str">
        <f>IF(売分析!K10&lt;&gt;"",売分析!K10,"")</f>
        <v/>
      </c>
      <c r="M10" s="215" t="str">
        <f>IF(売分析!P10&lt;&gt;"",売分析!P10,"")</f>
        <v/>
      </c>
      <c r="N10" s="338" t="str">
        <f>IF(売分析!O10&lt;&gt;"",売分析!O10,"")</f>
        <v/>
      </c>
      <c r="O10" s="340">
        <f>IF(売分析!X10&lt;&gt;"",売分析!X10,"")</f>
        <v>-1217.4144539661429</v>
      </c>
      <c r="P10" s="337" t="str">
        <f>IF(売分析!L10&lt;&gt;"",売分析!L10,"")</f>
        <v/>
      </c>
      <c r="Q10" s="336" t="str">
        <f>IF(売分析!S10&lt;&gt;"",売分析!S10,"")</f>
        <v/>
      </c>
      <c r="R10" s="336" t="str">
        <f>IF(売分析!R10&lt;&gt;"",売分析!R10,"")</f>
        <v/>
      </c>
      <c r="S10" s="215" t="str">
        <f>IF(売分析!AA10&lt;&gt;"",売分析!AA10,"")</f>
        <v/>
      </c>
      <c r="T10" s="341" t="str">
        <f>IF(売分析!Z10&lt;&gt;"",売分析!Z10,"")</f>
        <v/>
      </c>
      <c r="U10" s="215" t="str">
        <f>IF(売分析!V10&lt;&gt;"",売分析!V10,"")</f>
        <v/>
      </c>
      <c r="V10" s="339">
        <f>IF(売分析!W10&lt;&gt;"",売分析!W10,"")</f>
        <v>29.84524686809138</v>
      </c>
      <c r="W10" s="215" t="str">
        <f>IF(売分析!AD10&lt;&gt;"",売分析!AD10,"")</f>
        <v>上昇トレンド▲</v>
      </c>
      <c r="X10" s="215" t="e">
        <f>IF(売分析!AE10&lt;&gt;"",売分析!AE10,"")</f>
        <v>#VALUE!</v>
      </c>
      <c r="Y10" s="391">
        <f>IF(売分析!T10&lt;&gt;"",売分析!T10,"")</f>
        <v>0</v>
      </c>
      <c r="Z10" s="215" t="e">
        <f>IF(売分析!Y10&lt;&gt;"",売分析!Y10,"")</f>
        <v>#VALUE!</v>
      </c>
    </row>
    <row r="11" spans="1:26">
      <c r="A11" s="328">
        <f>IF(売分析!C11&lt;&gt;"",ROW()-2,"")</f>
        <v>9</v>
      </c>
      <c r="B11" s="327" t="str">
        <f>IF(売分析!C11&lt;&gt;"",HYPERLINK("https://kabutan.jp/stock/?code="&amp;売分析!C11,"株探"),"")</f>
        <v>株探</v>
      </c>
      <c r="C11" s="343">
        <f>IF(売分析!C11&lt;&gt;"",売分析!C11,"")</f>
        <v>5706</v>
      </c>
      <c r="D11" s="328" t="str">
        <f>IF(売分析!D11&lt;&gt;"",売分析!D11,"")</f>
        <v/>
      </c>
      <c r="E11" s="329" t="str">
        <f>IF(売分析!E11&lt;&gt;"",売分析!E11,"")</f>
        <v/>
      </c>
      <c r="F11" s="329" t="str">
        <f>IF(売分析!F11&lt;&gt;"",売分析!F11,"")</f>
        <v/>
      </c>
      <c r="G11" s="329" t="str">
        <f>IF(売分析!H11&lt;&gt;"",売分析!H11,"")</f>
        <v/>
      </c>
      <c r="H11" s="329" t="str">
        <f>IF(売分析!I11&lt;&gt;"",売分析!I11,"")</f>
        <v/>
      </c>
      <c r="I11" s="328" t="str">
        <f>IF(売分析!J11&lt;&gt;"",売分析!J11,"")</f>
        <v/>
      </c>
      <c r="J11" s="329">
        <f>IF(売分析!AB11&lt;&gt;"",売分析!AB11,"")</f>
        <v>51081.705069124422</v>
      </c>
      <c r="K11" s="329">
        <f>IF(売分析!AC11&lt;&gt;"",売分析!AC11,"")</f>
        <v>48810.8939213349</v>
      </c>
      <c r="L11" s="329" t="str">
        <f>IF(売分析!K11&lt;&gt;"",売分析!K11,"")</f>
        <v/>
      </c>
      <c r="M11" s="328" t="str">
        <f>IF(売分析!P11&lt;&gt;"",売分析!P11,"")</f>
        <v/>
      </c>
      <c r="N11" s="331" t="str">
        <f>IF(売分析!O11&lt;&gt;"",売分析!O11,"")</f>
        <v/>
      </c>
      <c r="O11" s="333">
        <f>IF(売分析!X11&lt;&gt;"",売分析!X11,"")</f>
        <v>460.74972436604003</v>
      </c>
      <c r="P11" s="330" t="str">
        <f>IF(売分析!L11&lt;&gt;"",売分析!L11,"")</f>
        <v/>
      </c>
      <c r="Q11" s="329" t="str">
        <f>IF(売分析!S11&lt;&gt;"",売分析!S11,"")</f>
        <v/>
      </c>
      <c r="R11" s="329" t="str">
        <f>IF(売分析!R11&lt;&gt;"",売分析!R11,"")</f>
        <v/>
      </c>
      <c r="S11" s="328" t="str">
        <f>IF(売分析!AA11&lt;&gt;"",売分析!AA11,"")</f>
        <v/>
      </c>
      <c r="T11" s="334" t="str">
        <f>IF(売分析!Z11&lt;&gt;"",売分析!Z11,"")</f>
        <v/>
      </c>
      <c r="U11" s="328" t="str">
        <f>IF(売分析!V11&lt;&gt;"",売分析!V11,"")</f>
        <v/>
      </c>
      <c r="V11" s="332">
        <f>IF(売分析!W11&lt;&gt;"",売分析!W11,"")</f>
        <v>54.322058398381031</v>
      </c>
      <c r="W11" s="328" t="str">
        <f>IF(売分析!AD11&lt;&gt;"",売分析!AD11,"")</f>
        <v>パーフェクト▲</v>
      </c>
      <c r="X11" s="328" t="e">
        <f>IF(売分析!AE11&lt;&gt;"",売分析!AE11,"")</f>
        <v>#VALUE!</v>
      </c>
      <c r="Y11" s="390">
        <f>IF(売分析!T11&lt;&gt;"",売分析!T11,"")</f>
        <v>0</v>
      </c>
      <c r="Z11" s="328" t="e">
        <f>IF(売分析!Y11&lt;&gt;"",売分析!Y11,"")</f>
        <v>#VALUE!</v>
      </c>
    </row>
    <row r="12" spans="1:26">
      <c r="A12" s="215">
        <f>IF(売分析!C12&lt;&gt;"",ROW()-2,"")</f>
        <v>10</v>
      </c>
      <c r="B12" s="335" t="str">
        <f>IF(売分析!C12&lt;&gt;"",HYPERLINK("https://kabutan.jp/stock/?code="&amp;売分析!C12,"株探"),"")</f>
        <v>株探</v>
      </c>
      <c r="C12" s="344">
        <f>IF(売分析!C12&lt;&gt;"",売分析!C12,"")</f>
        <v>5332</v>
      </c>
      <c r="D12" s="215" t="str">
        <f>IF(売分析!D12&lt;&gt;"",売分析!D12,"")</f>
        <v/>
      </c>
      <c r="E12" s="336" t="str">
        <f>IF(売分析!E12&lt;&gt;"",売分析!E12,"")</f>
        <v/>
      </c>
      <c r="F12" s="336" t="str">
        <f>IF(売分析!F12&lt;&gt;"",売分析!F12,"")</f>
        <v/>
      </c>
      <c r="G12" s="336" t="str">
        <f>IF(売分析!H12&lt;&gt;"",売分析!H12,"")</f>
        <v/>
      </c>
      <c r="H12" s="336" t="str">
        <f>IF(売分析!I12&lt;&gt;"",売分析!I12,"")</f>
        <v/>
      </c>
      <c r="I12" s="215" t="str">
        <f>IF(売分析!J12&lt;&gt;"",売分析!J12,"")</f>
        <v/>
      </c>
      <c r="J12" s="336">
        <f>IF(売分析!AB12&lt;&gt;"",売分析!AB12,"")</f>
        <v>7762.6785714285706</v>
      </c>
      <c r="K12" s="336">
        <f>IF(売分析!AC12&lt;&gt;"",売分析!AC12,"")</f>
        <v>8175.7091775923691</v>
      </c>
      <c r="L12" s="336" t="str">
        <f>IF(売分析!K12&lt;&gt;"",売分析!K12,"")</f>
        <v/>
      </c>
      <c r="M12" s="215" t="str">
        <f>IF(売分析!P12&lt;&gt;"",売分析!P12,"")</f>
        <v/>
      </c>
      <c r="N12" s="338" t="str">
        <f>IF(売分析!O12&lt;&gt;"",売分析!O12,"")</f>
        <v/>
      </c>
      <c r="O12" s="340">
        <f>IF(売分析!X12&lt;&gt;"",売分析!X12,"")</f>
        <v>-87.325220208644168</v>
      </c>
      <c r="P12" s="337" t="str">
        <f>IF(売分析!L12&lt;&gt;"",売分析!L12,"")</f>
        <v/>
      </c>
      <c r="Q12" s="336" t="str">
        <f>IF(売分析!S12&lt;&gt;"",売分析!S12,"")</f>
        <v/>
      </c>
      <c r="R12" s="336" t="str">
        <f>IF(売分析!R12&lt;&gt;"",売分析!R12,"")</f>
        <v/>
      </c>
      <c r="S12" s="215" t="str">
        <f>IF(売分析!AA12&lt;&gt;"",売分析!AA12,"")</f>
        <v/>
      </c>
      <c r="T12" s="341" t="str">
        <f>IF(売分析!Z12&lt;&gt;"",売分析!Z12,"")</f>
        <v/>
      </c>
      <c r="U12" s="215" t="str">
        <f>IF(売分析!V12&lt;&gt;"",売分析!V12,"")</f>
        <v/>
      </c>
      <c r="V12" s="339">
        <f>IF(売分析!W12&lt;&gt;"",売分析!W12,"")</f>
        <v>27.686350435624391</v>
      </c>
      <c r="W12" s="215" t="str">
        <f>IF(売分析!AD12&lt;&gt;"",売分析!AD12,"")</f>
        <v>上昇トレンド▲</v>
      </c>
      <c r="X12" s="215" t="e">
        <f>IF(売分析!AE12&lt;&gt;"",売分析!AE12,"")</f>
        <v>#VALUE!</v>
      </c>
      <c r="Y12" s="391">
        <f>IF(売分析!T12&lt;&gt;"",売分析!T12,"")</f>
        <v>0</v>
      </c>
      <c r="Z12" s="215" t="e">
        <f>IF(売分析!Y12&lt;&gt;"",売分析!Y12,"")</f>
        <v>#VALUE!</v>
      </c>
    </row>
    <row r="13" spans="1:26">
      <c r="A13" s="328">
        <f>IF(売分析!C13&lt;&gt;"",ROW()-2,"")</f>
        <v>11</v>
      </c>
      <c r="B13" s="327" t="str">
        <f>IF(売分析!C13&lt;&gt;"",HYPERLINK("https://kabutan.jp/stock/?code="&amp;売分析!C13,"株探"),"")</f>
        <v>株探</v>
      </c>
      <c r="C13" s="343">
        <f>IF(売分析!C13&lt;&gt;"",売分析!C13,"")</f>
        <v>3107</v>
      </c>
      <c r="D13" s="328" t="str">
        <f>IF(売分析!D13&lt;&gt;"",売分析!D13,"")</f>
        <v/>
      </c>
      <c r="E13" s="329" t="str">
        <f>IF(売分析!E13&lt;&gt;"",売分析!E13,"")</f>
        <v/>
      </c>
      <c r="F13" s="329" t="str">
        <f>IF(売分析!F13&lt;&gt;"",売分析!F13,"")</f>
        <v/>
      </c>
      <c r="G13" s="329" t="str">
        <f>IF(売分析!H13&lt;&gt;"",売分析!H13,"")</f>
        <v/>
      </c>
      <c r="H13" s="329" t="str">
        <f>IF(売分析!I13&lt;&gt;"",売分析!I13,"")</f>
        <v/>
      </c>
      <c r="I13" s="328" t="str">
        <f>IF(売分析!J13&lt;&gt;"",売分析!J13,"")</f>
        <v/>
      </c>
      <c r="J13" s="329">
        <f>IF(売分析!AB13&lt;&gt;"",売分析!AB13,"")</f>
        <v>3405.7914746543775</v>
      </c>
      <c r="K13" s="329">
        <f>IF(売分析!AC13&lt;&gt;"",売分析!AC13,"")</f>
        <v>3414.3373063170434</v>
      </c>
      <c r="L13" s="329" t="str">
        <f>IF(売分析!K13&lt;&gt;"",売分析!K13,"")</f>
        <v/>
      </c>
      <c r="M13" s="328" t="str">
        <f>IF(売分析!P13&lt;&gt;"",売分析!P13,"")</f>
        <v/>
      </c>
      <c r="N13" s="331" t="str">
        <f>IF(売分析!O13&lt;&gt;"",売分析!O13,"")</f>
        <v/>
      </c>
      <c r="O13" s="333">
        <f>IF(売分析!X13&lt;&gt;"",売分析!X13,"")</f>
        <v>1.8897205449802641</v>
      </c>
      <c r="P13" s="330" t="str">
        <f>IF(売分析!L13&lt;&gt;"",売分析!L13,"")</f>
        <v/>
      </c>
      <c r="Q13" s="329" t="str">
        <f>IF(売分析!S13&lt;&gt;"",売分析!S13,"")</f>
        <v/>
      </c>
      <c r="R13" s="329" t="str">
        <f>IF(売分析!R13&lt;&gt;"",売分析!R13,"")</f>
        <v/>
      </c>
      <c r="S13" s="328" t="str">
        <f>IF(売分析!AA13&lt;&gt;"",売分析!AA13,"")</f>
        <v/>
      </c>
      <c r="T13" s="334" t="str">
        <f>IF(売分析!Z13&lt;&gt;"",売分析!Z13,"")</f>
        <v/>
      </c>
      <c r="U13" s="328" t="str">
        <f>IF(売分析!V13&lt;&gt;"",売分析!V13,"")</f>
        <v/>
      </c>
      <c r="V13" s="332">
        <f>IF(売分析!W13&lt;&gt;"",売分析!W13,"")</f>
        <v>55.702479338842977</v>
      </c>
      <c r="W13" s="328" t="str">
        <f>IF(売分析!AD13&lt;&gt;"",売分析!AD13,"")</f>
        <v>上昇トレンド▲</v>
      </c>
      <c r="X13" s="328" t="e">
        <f>IF(売分析!AE13&lt;&gt;"",売分析!AE13,"")</f>
        <v>#VALUE!</v>
      </c>
      <c r="Y13" s="390">
        <f>IF(売分析!T13&lt;&gt;"",売分析!T13,"")</f>
        <v>0</v>
      </c>
      <c r="Z13" s="328" t="e">
        <f>IF(売分析!Y13&lt;&gt;"",売分析!Y13,"")</f>
        <v>#VALUE!</v>
      </c>
    </row>
    <row r="14" spans="1:26">
      <c r="A14" s="215">
        <f>IF(売分析!C14&lt;&gt;"",ROW()-2,"")</f>
        <v>12</v>
      </c>
      <c r="B14" s="335" t="str">
        <f>IF(売分析!C14&lt;&gt;"",HYPERLINK("https://kabutan.jp/stock/?code="&amp;売分析!C14,"株探"),"")</f>
        <v>株探</v>
      </c>
      <c r="C14" s="344">
        <f>IF(売分析!C14&lt;&gt;"",売分析!C14,"")</f>
        <v>4063</v>
      </c>
      <c r="D14" s="215" t="str">
        <f>IF(売分析!D14&lt;&gt;"",売分析!D14,"")</f>
        <v/>
      </c>
      <c r="E14" s="336" t="str">
        <f>IF(売分析!E14&lt;&gt;"",売分析!E14,"")</f>
        <v/>
      </c>
      <c r="F14" s="336" t="str">
        <f>IF(売分析!F14&lt;&gt;"",売分析!F14,"")</f>
        <v/>
      </c>
      <c r="G14" s="336" t="str">
        <f>IF(売分析!H14&lt;&gt;"",売分析!H14,"")</f>
        <v/>
      </c>
      <c r="H14" s="336" t="str">
        <f>IF(売分析!I14&lt;&gt;"",売分析!I14,"")</f>
        <v/>
      </c>
      <c r="I14" s="215" t="str">
        <f>IF(売分析!J14&lt;&gt;"",売分析!J14,"")</f>
        <v/>
      </c>
      <c r="J14" s="336">
        <f>IF(売分析!AB14&lt;&gt;"",売分析!AB14,"")</f>
        <v>7380.1255760368649</v>
      </c>
      <c r="K14" s="336">
        <f>IF(売分析!AC14&lt;&gt;"",売分析!AC14,"")</f>
        <v>7214.7401668653147</v>
      </c>
      <c r="L14" s="336" t="str">
        <f>IF(売分析!K14&lt;&gt;"",売分析!K14,"")</f>
        <v/>
      </c>
      <c r="M14" s="215" t="str">
        <f>IF(売分析!P14&lt;&gt;"",売分析!P14,"")</f>
        <v/>
      </c>
      <c r="N14" s="338" t="str">
        <f>IF(売分析!O14&lt;&gt;"",売分析!O14,"")</f>
        <v/>
      </c>
      <c r="O14" s="340">
        <f>IF(売分析!X14&lt;&gt;"",売分析!X14,"")</f>
        <v>30.035104024457723</v>
      </c>
      <c r="P14" s="337" t="str">
        <f>IF(売分析!L14&lt;&gt;"",売分析!L14,"")</f>
        <v/>
      </c>
      <c r="Q14" s="336" t="str">
        <f>IF(売分析!S14&lt;&gt;"",売分析!S14,"")</f>
        <v/>
      </c>
      <c r="R14" s="336" t="str">
        <f>IF(売分析!R14&lt;&gt;"",売分析!R14,"")</f>
        <v/>
      </c>
      <c r="S14" s="215" t="str">
        <f>IF(売分析!AA14&lt;&gt;"",売分析!AA14,"")</f>
        <v/>
      </c>
      <c r="T14" s="341" t="str">
        <f>IF(売分析!Z14&lt;&gt;"",売分析!Z14,"")</f>
        <v/>
      </c>
      <c r="U14" s="215" t="str">
        <f>IF(売分析!V14&lt;&gt;"",売分析!V14,"")</f>
        <v/>
      </c>
      <c r="V14" s="339">
        <f>IF(売分析!W14&lt;&gt;"",売分析!W14,"")</f>
        <v>59.775524981897178</v>
      </c>
      <c r="W14" s="215" t="str">
        <f>IF(売分析!AD14&lt;&gt;"",売分析!AD14,"")</f>
        <v>パーフェクト▲</v>
      </c>
      <c r="X14" s="215" t="e">
        <f>IF(売分析!AE14&lt;&gt;"",売分析!AE14,"")</f>
        <v>#VALUE!</v>
      </c>
      <c r="Y14" s="391">
        <f>IF(売分析!T14&lt;&gt;"",売分析!T14,"")</f>
        <v>0</v>
      </c>
      <c r="Z14" s="215" t="e">
        <f>IF(売分析!Y14&lt;&gt;"",売分析!Y14,"")</f>
        <v>#VALUE!</v>
      </c>
    </row>
    <row r="15" spans="1:26">
      <c r="A15" s="328">
        <f>IF(売分析!C15&lt;&gt;"",ROW()-2,"")</f>
        <v>13</v>
      </c>
      <c r="B15" s="327" t="str">
        <f>IF(売分析!C15&lt;&gt;"",HYPERLINK("https://kabutan.jp/stock/?code="&amp;売分析!C15,"株探"),"")</f>
        <v>株探</v>
      </c>
      <c r="C15" s="343">
        <f>IF(売分析!C15&lt;&gt;"",売分析!C15,"")</f>
        <v>9424</v>
      </c>
      <c r="D15" s="328" t="str">
        <f>IF(売分析!D15&lt;&gt;"",売分析!D15,"")</f>
        <v/>
      </c>
      <c r="E15" s="329" t="str">
        <f>IF(売分析!E15&lt;&gt;"",売分析!E15,"")</f>
        <v/>
      </c>
      <c r="F15" s="329" t="str">
        <f>IF(売分析!F15&lt;&gt;"",売分析!F15,"")</f>
        <v/>
      </c>
      <c r="G15" s="329" t="str">
        <f>IF(売分析!H15&lt;&gt;"",売分析!H15,"")</f>
        <v/>
      </c>
      <c r="H15" s="329" t="str">
        <f>IF(売分析!I15&lt;&gt;"",売分析!I15,"")</f>
        <v/>
      </c>
      <c r="I15" s="328" t="str">
        <f>IF(売分析!J15&lt;&gt;"",売分析!J15,"")</f>
        <v/>
      </c>
      <c r="J15" s="329">
        <f>IF(売分析!AB15&lt;&gt;"",売分析!AB15,"")</f>
        <v>114.96198156682026</v>
      </c>
      <c r="K15" s="329">
        <f>IF(売分析!AC15&lt;&gt;"",売分析!AC15,"")</f>
        <v>112.57806912991653</v>
      </c>
      <c r="L15" s="329" t="str">
        <f>IF(売分析!K15&lt;&gt;"",売分析!K15,"")</f>
        <v/>
      </c>
      <c r="M15" s="328" t="str">
        <f>IF(売分析!P15&lt;&gt;"",売分析!P15,"")</f>
        <v/>
      </c>
      <c r="N15" s="331" t="str">
        <f>IF(売分析!O15&lt;&gt;"",売分析!O15,"")</f>
        <v/>
      </c>
      <c r="O15" s="333">
        <f>IF(売分析!X15&lt;&gt;"",売分析!X15,"")</f>
        <v>-6.5654615724355381E-3</v>
      </c>
      <c r="P15" s="330" t="str">
        <f>IF(売分析!L15&lt;&gt;"",売分析!L15,"")</f>
        <v/>
      </c>
      <c r="Q15" s="329" t="str">
        <f>IF(売分析!S15&lt;&gt;"",売分析!S15,"")</f>
        <v/>
      </c>
      <c r="R15" s="329" t="str">
        <f>IF(売分析!R15&lt;&gt;"",売分析!R15,"")</f>
        <v/>
      </c>
      <c r="S15" s="328" t="str">
        <f>IF(売分析!AA15&lt;&gt;"",売分析!AA15,"")</f>
        <v/>
      </c>
      <c r="T15" s="334" t="str">
        <f>IF(売分析!Z15&lt;&gt;"",売分析!Z15,"")</f>
        <v/>
      </c>
      <c r="U15" s="328" t="str">
        <f>IF(売分析!V15&lt;&gt;"",売分析!V15,"")</f>
        <v/>
      </c>
      <c r="V15" s="332">
        <f>IF(売分析!W15&lt;&gt;"",売分析!W15,"")</f>
        <v>55.172413793103452</v>
      </c>
      <c r="W15" s="328" t="str">
        <f>IF(売分析!AD15&lt;&gt;"",売分析!AD15,"")</f>
        <v>パーフェクト▲</v>
      </c>
      <c r="X15" s="328" t="e">
        <f>IF(売分析!AE15&lt;&gt;"",売分析!AE15,"")</f>
        <v>#VALUE!</v>
      </c>
      <c r="Y15" s="390">
        <f>IF(売分析!T15&lt;&gt;"",売分析!T15,"")</f>
        <v>0</v>
      </c>
      <c r="Z15" s="328" t="e">
        <f>IF(売分析!Y15&lt;&gt;"",売分析!Y15,"")</f>
        <v>#VALUE!</v>
      </c>
    </row>
    <row r="16" spans="1:26">
      <c r="A16" s="215">
        <f>IF(売分析!C16&lt;&gt;"",ROW()-2,"")</f>
        <v>14</v>
      </c>
      <c r="B16" s="335" t="str">
        <f>IF(売分析!C16&lt;&gt;"",HYPERLINK("https://kabutan.jp/stock/?code="&amp;売分析!C16,"株探"),"")</f>
        <v>株探</v>
      </c>
      <c r="C16" s="344">
        <f>IF(売分析!C16&lt;&gt;"",売分析!C16,"")</f>
        <v>6954</v>
      </c>
      <c r="D16" s="215" t="str">
        <f>IF(売分析!D16&lt;&gt;"",売分析!D16,"")</f>
        <v/>
      </c>
      <c r="E16" s="336" t="str">
        <f>IF(売分析!E16&lt;&gt;"",売分析!E16,"")</f>
        <v/>
      </c>
      <c r="F16" s="336" t="str">
        <f>IF(売分析!F16&lt;&gt;"",売分析!F16,"")</f>
        <v/>
      </c>
      <c r="G16" s="336" t="str">
        <f>IF(売分析!H16&lt;&gt;"",売分析!H16,"")</f>
        <v/>
      </c>
      <c r="H16" s="336" t="str">
        <f>IF(売分析!I16&lt;&gt;"",売分析!I16,"")</f>
        <v/>
      </c>
      <c r="I16" s="215" t="str">
        <f>IF(売分析!J16&lt;&gt;"",売分析!J16,"")</f>
        <v/>
      </c>
      <c r="J16" s="336">
        <f>IF(売分析!AB16&lt;&gt;"",売分析!AB16,"")</f>
        <v>6842.2903225806449</v>
      </c>
      <c r="K16" s="336">
        <f>IF(売分析!AC16&lt;&gt;"",売分析!AC16,"")</f>
        <v>7093.7365911799752</v>
      </c>
      <c r="L16" s="336" t="str">
        <f>IF(売分析!K16&lt;&gt;"",売分析!K16,"")</f>
        <v/>
      </c>
      <c r="M16" s="215" t="str">
        <f>IF(売分析!P16&lt;&gt;"",売分析!P16,"")</f>
        <v/>
      </c>
      <c r="N16" s="338" t="str">
        <f>IF(売分析!O16&lt;&gt;"",売分析!O16,"")</f>
        <v/>
      </c>
      <c r="O16" s="340">
        <f>IF(売分析!X16&lt;&gt;"",売分析!X16,"")</f>
        <v>-55.338874537788797</v>
      </c>
      <c r="P16" s="337" t="str">
        <f>IF(売分析!L16&lt;&gt;"",売分析!L16,"")</f>
        <v/>
      </c>
      <c r="Q16" s="336" t="str">
        <f>IF(売分析!S16&lt;&gt;"",売分析!S16,"")</f>
        <v/>
      </c>
      <c r="R16" s="336" t="str">
        <f>IF(売分析!R16&lt;&gt;"",売分析!R16,"")</f>
        <v/>
      </c>
      <c r="S16" s="215" t="str">
        <f>IF(売分析!AA16&lt;&gt;"",売分析!AA16,"")</f>
        <v/>
      </c>
      <c r="T16" s="341" t="str">
        <f>IF(売分析!Z16&lt;&gt;"",売分析!Z16,"")</f>
        <v/>
      </c>
      <c r="U16" s="215" t="str">
        <f>IF(売分析!V16&lt;&gt;"",売分析!V16,"")</f>
        <v/>
      </c>
      <c r="V16" s="339">
        <f>IF(売分析!W16&lt;&gt;"",売分析!W16,"")</f>
        <v>44.009612083762448</v>
      </c>
      <c r="W16" s="215" t="str">
        <f>IF(売分析!AD16&lt;&gt;"",売分析!AD16,"")</f>
        <v>上昇トレンド▲</v>
      </c>
      <c r="X16" s="215" t="e">
        <f>IF(売分析!AE16&lt;&gt;"",売分析!AE16,"")</f>
        <v>#VALUE!</v>
      </c>
      <c r="Y16" s="391">
        <f>IF(売分析!T16&lt;&gt;"",売分析!T16,"")</f>
        <v>0</v>
      </c>
      <c r="Z16" s="215" t="e">
        <f>IF(売分析!Y16&lt;&gt;"",売分析!Y16,"")</f>
        <v>#VALUE!</v>
      </c>
    </row>
    <row r="17" spans="1:26">
      <c r="A17" s="328">
        <f>IF(売分析!C17&lt;&gt;"",ROW()-2,"")</f>
        <v>15</v>
      </c>
      <c r="B17" s="327" t="str">
        <f>IF(売分析!C17&lt;&gt;"",HYPERLINK("https://kabutan.jp/stock/?code="&amp;売分析!C17,"株探"),"")</f>
        <v>株探</v>
      </c>
      <c r="C17" s="343">
        <f>IF(売分析!C17&lt;&gt;"",売分析!C17,"")</f>
        <v>4528</v>
      </c>
      <c r="D17" s="328" t="str">
        <f>IF(売分析!D17&lt;&gt;"",売分析!D17,"")</f>
        <v/>
      </c>
      <c r="E17" s="329" t="str">
        <f>IF(売分析!E17&lt;&gt;"",売分析!E17,"")</f>
        <v/>
      </c>
      <c r="F17" s="329" t="str">
        <f>IF(売分析!F17&lt;&gt;"",売分析!F17,"")</f>
        <v/>
      </c>
      <c r="G17" s="329" t="str">
        <f>IF(売分析!H17&lt;&gt;"",売分析!H17,"")</f>
        <v/>
      </c>
      <c r="H17" s="329" t="str">
        <f>IF(売分析!I17&lt;&gt;"",売分析!I17,"")</f>
        <v/>
      </c>
      <c r="I17" s="328" t="str">
        <f>IF(売分析!J17&lt;&gt;"",売分析!J17,"")</f>
        <v/>
      </c>
      <c r="J17" s="329">
        <f>IF(売分析!AB17&lt;&gt;"",売分析!AB17,"")</f>
        <v>2414.5691244239629</v>
      </c>
      <c r="K17" s="329">
        <f>IF(売分析!AC17&lt;&gt;"",売分析!AC17,"")</f>
        <v>2391.6036948748497</v>
      </c>
      <c r="L17" s="329" t="str">
        <f>IF(売分析!K17&lt;&gt;"",売分析!K17,"")</f>
        <v/>
      </c>
      <c r="M17" s="328" t="str">
        <f>IF(売分析!P17&lt;&gt;"",売分析!P17,"")</f>
        <v/>
      </c>
      <c r="N17" s="331" t="str">
        <f>IF(売分析!O17&lt;&gt;"",売分析!O17,"")</f>
        <v/>
      </c>
      <c r="O17" s="333">
        <f>IF(売分析!X17&lt;&gt;"",売分析!X17,"")</f>
        <v>15.586936144467472</v>
      </c>
      <c r="P17" s="330" t="str">
        <f>IF(売分析!L17&lt;&gt;"",売分析!L17,"")</f>
        <v/>
      </c>
      <c r="Q17" s="329" t="str">
        <f>IF(売分析!S17&lt;&gt;"",売分析!S17,"")</f>
        <v/>
      </c>
      <c r="R17" s="329" t="str">
        <f>IF(売分析!R17&lt;&gt;"",売分析!R17,"")</f>
        <v/>
      </c>
      <c r="S17" s="328" t="str">
        <f>IF(売分析!AA17&lt;&gt;"",売分析!AA17,"")</f>
        <v/>
      </c>
      <c r="T17" s="334" t="str">
        <f>IF(売分析!Z17&lt;&gt;"",売分析!Z17,"")</f>
        <v/>
      </c>
      <c r="U17" s="328" t="str">
        <f>IF(売分析!V17&lt;&gt;"",売分析!V17,"")</f>
        <v/>
      </c>
      <c r="V17" s="332">
        <f>IF(売分析!W17&lt;&gt;"",売分析!W17,"")</f>
        <v>56.045340050377831</v>
      </c>
      <c r="W17" s="328" t="str">
        <f>IF(売分析!AD17&lt;&gt;"",売分析!AD17,"")</f>
        <v>パーフェクト▲</v>
      </c>
      <c r="X17" s="328" t="e">
        <f>IF(売分析!AE17&lt;&gt;"",売分析!AE17,"")</f>
        <v>#VALUE!</v>
      </c>
      <c r="Y17" s="390">
        <f>IF(売分析!T17&lt;&gt;"",売分析!T17,"")</f>
        <v>0</v>
      </c>
      <c r="Z17" s="328" t="e">
        <f>IF(売分析!Y17&lt;&gt;"",売分析!Y17,"")</f>
        <v>#VALUE!</v>
      </c>
    </row>
    <row r="18" spans="1:26">
      <c r="A18" s="215">
        <f>IF(売分析!C18&lt;&gt;"",ROW()-2,"")</f>
        <v>16</v>
      </c>
      <c r="B18" s="335" t="str">
        <f>IF(売分析!C18&lt;&gt;"",HYPERLINK("https://kabutan.jp/stock/?code="&amp;売分析!C18,"株探"),"")</f>
        <v>株探</v>
      </c>
      <c r="C18" s="344">
        <f>IF(売分析!C18&lt;&gt;"",売分析!C18,"")</f>
        <v>7729</v>
      </c>
      <c r="D18" s="215" t="str">
        <f>IF(売分析!D18&lt;&gt;"",売分析!D18,"")</f>
        <v/>
      </c>
      <c r="E18" s="336" t="str">
        <f>IF(売分析!E18&lt;&gt;"",売分析!E18,"")</f>
        <v/>
      </c>
      <c r="F18" s="336" t="str">
        <f>IF(売分析!F18&lt;&gt;"",売分析!F18,"")</f>
        <v/>
      </c>
      <c r="G18" s="336" t="str">
        <f>IF(売分析!H18&lt;&gt;"",売分析!H18,"")</f>
        <v/>
      </c>
      <c r="H18" s="336" t="str">
        <f>IF(売分析!I18&lt;&gt;"",売分析!I18,"")</f>
        <v/>
      </c>
      <c r="I18" s="215" t="str">
        <f>IF(売分析!J18&lt;&gt;"",売分析!J18,"")</f>
        <v/>
      </c>
      <c r="J18" s="336">
        <f>IF(売分析!AB18&lt;&gt;"",売分析!AB18,"")</f>
        <v>18164.112903225807</v>
      </c>
      <c r="K18" s="336">
        <f>IF(売分析!AC18&lt;&gt;"",売分析!AC18,"")</f>
        <v>18714.433849821209</v>
      </c>
      <c r="L18" s="336" t="str">
        <f>IF(売分析!K18&lt;&gt;"",売分析!K18,"")</f>
        <v/>
      </c>
      <c r="M18" s="215" t="str">
        <f>IF(売分析!P18&lt;&gt;"",売分析!P18,"")</f>
        <v/>
      </c>
      <c r="N18" s="338" t="str">
        <f>IF(売分析!O18&lt;&gt;"",売分析!O18,"")</f>
        <v/>
      </c>
      <c r="O18" s="340">
        <f>IF(売分析!X18&lt;&gt;"",売分析!X18,"")</f>
        <v>-162.14975581020917</v>
      </c>
      <c r="P18" s="337" t="str">
        <f>IF(売分析!L18&lt;&gt;"",売分析!L18,"")</f>
        <v/>
      </c>
      <c r="Q18" s="336" t="str">
        <f>IF(売分析!S18&lt;&gt;"",売分析!S18,"")</f>
        <v/>
      </c>
      <c r="R18" s="336" t="str">
        <f>IF(売分析!R18&lt;&gt;"",売分析!R18,"")</f>
        <v/>
      </c>
      <c r="S18" s="215" t="str">
        <f>IF(売分析!AA18&lt;&gt;"",売分析!AA18,"")</f>
        <v/>
      </c>
      <c r="T18" s="341" t="str">
        <f>IF(売分析!Z18&lt;&gt;"",売分析!Z18,"")</f>
        <v/>
      </c>
      <c r="U18" s="215" t="str">
        <f>IF(売分析!V18&lt;&gt;"",売分析!V18,"")</f>
        <v/>
      </c>
      <c r="V18" s="339">
        <f>IF(売分析!W18&lt;&gt;"",売分析!W18,"")</f>
        <v>49.377828054298647</v>
      </c>
      <c r="W18" s="215" t="str">
        <f>IF(売分析!AD18&lt;&gt;"",売分析!AD18,"")</f>
        <v>上昇トレンド▲</v>
      </c>
      <c r="X18" s="215" t="e">
        <f>IF(売分析!AE18&lt;&gt;"",売分析!AE18,"")</f>
        <v>#VALUE!</v>
      </c>
      <c r="Y18" s="391">
        <f>IF(売分析!T18&lt;&gt;"",売分析!T18,"")</f>
        <v>0</v>
      </c>
      <c r="Z18" s="215" t="e">
        <f>IF(売分析!Y18&lt;&gt;"",売分析!Y18,"")</f>
        <v>#VALUE!</v>
      </c>
    </row>
    <row r="19" spans="1:26">
      <c r="A19" s="328">
        <f>IF(売分析!C19&lt;&gt;"",ROW()-2,"")</f>
        <v>17</v>
      </c>
      <c r="B19" s="327" t="str">
        <f>IF(売分析!C19&lt;&gt;"",HYPERLINK("https://kabutan.jp/stock/?code="&amp;売分析!C19,"株探"),"")</f>
        <v>株探</v>
      </c>
      <c r="C19" s="343">
        <f>IF(売分析!C19&lt;&gt;"",売分析!C19,"")</f>
        <v>8704</v>
      </c>
      <c r="D19" s="328" t="str">
        <f>IF(売分析!D19&lt;&gt;"",売分析!D19,"")</f>
        <v/>
      </c>
      <c r="E19" s="329" t="str">
        <f>IF(売分析!E19&lt;&gt;"",売分析!E19,"")</f>
        <v/>
      </c>
      <c r="F19" s="329" t="str">
        <f>IF(売分析!F19&lt;&gt;"",売分析!F19,"")</f>
        <v/>
      </c>
      <c r="G19" s="329" t="str">
        <f>IF(売分析!H19&lt;&gt;"",売分析!H19,"")</f>
        <v/>
      </c>
      <c r="H19" s="329" t="str">
        <f>IF(売分析!I19&lt;&gt;"",売分析!I19,"")</f>
        <v/>
      </c>
      <c r="I19" s="328" t="str">
        <f>IF(売分析!J19&lt;&gt;"",売分析!J19,"")</f>
        <v/>
      </c>
      <c r="J19" s="329">
        <f>IF(売分析!AB19&lt;&gt;"",売分析!AB19,"")</f>
        <v>1264.4089861751152</v>
      </c>
      <c r="K19" s="329">
        <f>IF(売分析!AC19&lt;&gt;"",売分析!AC19,"")</f>
        <v>1223.3969010727055</v>
      </c>
      <c r="L19" s="329" t="str">
        <f>IF(売分析!K19&lt;&gt;"",売分析!K19,"")</f>
        <v/>
      </c>
      <c r="M19" s="328" t="str">
        <f>IF(売分析!P19&lt;&gt;"",売分析!P19,"")</f>
        <v/>
      </c>
      <c r="N19" s="331" t="str">
        <f>IF(売分析!O19&lt;&gt;"",売分析!O19,"")</f>
        <v/>
      </c>
      <c r="O19" s="333">
        <f>IF(売分析!X19&lt;&gt;"",売分析!X19,"")</f>
        <v>14.993876348816002</v>
      </c>
      <c r="P19" s="330" t="str">
        <f>IF(売分析!L19&lt;&gt;"",売分析!L19,"")</f>
        <v/>
      </c>
      <c r="Q19" s="329" t="str">
        <f>IF(売分析!S19&lt;&gt;"",売分析!S19,"")</f>
        <v/>
      </c>
      <c r="R19" s="329" t="str">
        <f>IF(売分析!R19&lt;&gt;"",売分析!R19,"")</f>
        <v/>
      </c>
      <c r="S19" s="328" t="str">
        <f>IF(売分析!AA19&lt;&gt;"",売分析!AA19,"")</f>
        <v/>
      </c>
      <c r="T19" s="334" t="str">
        <f>IF(売分析!Z19&lt;&gt;"",売分析!Z19,"")</f>
        <v/>
      </c>
      <c r="U19" s="328" t="str">
        <f>IF(売分析!V19&lt;&gt;"",売分析!V19,"")</f>
        <v/>
      </c>
      <c r="V19" s="332">
        <f>IF(売分析!W19&lt;&gt;"",売分析!W19,"")</f>
        <v>68.249258160237389</v>
      </c>
      <c r="W19" s="328" t="str">
        <f>IF(売分析!AD19&lt;&gt;"",売分析!AD19,"")</f>
        <v>パーフェクト▲</v>
      </c>
      <c r="X19" s="328" t="e">
        <f>IF(売分析!AE19&lt;&gt;"",売分析!AE19,"")</f>
        <v>#VALUE!</v>
      </c>
      <c r="Y19" s="390">
        <f>IF(売分析!T19&lt;&gt;"",売分析!T19,"")</f>
        <v>0</v>
      </c>
      <c r="Z19" s="328" t="e">
        <f>IF(売分析!Y19&lt;&gt;"",売分析!Y19,"")</f>
        <v>#VALUE!</v>
      </c>
    </row>
    <row r="20" spans="1:26">
      <c r="A20" s="215">
        <f>IF(売分析!C20&lt;&gt;"",ROW()-2,"")</f>
        <v>18</v>
      </c>
      <c r="B20" s="335" t="str">
        <f>IF(売分析!C20&lt;&gt;"",HYPERLINK("https://kabutan.jp/stock/?code="&amp;売分析!C20,"株探"),"")</f>
        <v>株探</v>
      </c>
      <c r="C20" s="344">
        <f>IF(売分析!C20&lt;&gt;"",売分析!C20,"")</f>
        <v>6506</v>
      </c>
      <c r="D20" s="215" t="str">
        <f>IF(売分析!D20&lt;&gt;"",売分析!D20,"")</f>
        <v/>
      </c>
      <c r="E20" s="336" t="str">
        <f>IF(売分析!E20&lt;&gt;"",売分析!E20,"")</f>
        <v/>
      </c>
      <c r="F20" s="336" t="str">
        <f>IF(売分析!F20&lt;&gt;"",売分析!F20,"")</f>
        <v/>
      </c>
      <c r="G20" s="336" t="str">
        <f>IF(売分析!H20&lt;&gt;"",売分析!H20,"")</f>
        <v/>
      </c>
      <c r="H20" s="336" t="str">
        <f>IF(売分析!I20&lt;&gt;"",売分析!I20,"")</f>
        <v/>
      </c>
      <c r="I20" s="215" t="str">
        <f>IF(売分析!J20&lt;&gt;"",売分析!J20,"")</f>
        <v/>
      </c>
      <c r="J20" s="336">
        <f>IF(売分析!AB20&lt;&gt;"",売分析!AB20,"")</f>
        <v>5504.972350230415</v>
      </c>
      <c r="K20" s="336">
        <f>IF(売分析!AC20&lt;&gt;"",売分析!AC20,"")</f>
        <v>6500.1191895113188</v>
      </c>
      <c r="L20" s="336" t="str">
        <f>IF(売分析!K20&lt;&gt;"",売分析!K20,"")</f>
        <v/>
      </c>
      <c r="M20" s="215" t="str">
        <f>IF(売分析!P20&lt;&gt;"",売分析!P20,"")</f>
        <v/>
      </c>
      <c r="N20" s="338" t="str">
        <f>IF(売分析!O20&lt;&gt;"",売分析!O20,"")</f>
        <v/>
      </c>
      <c r="O20" s="340">
        <f>IF(売分析!X20&lt;&gt;"",売分析!X20,"")</f>
        <v>-150.88709157415633</v>
      </c>
      <c r="P20" s="337" t="str">
        <f>IF(売分析!L20&lt;&gt;"",売分析!L20,"")</f>
        <v/>
      </c>
      <c r="Q20" s="336" t="str">
        <f>IF(売分析!S20&lt;&gt;"",売分析!S20,"")</f>
        <v/>
      </c>
      <c r="R20" s="336" t="str">
        <f>IF(売分析!R20&lt;&gt;"",売分析!R20,"")</f>
        <v/>
      </c>
      <c r="S20" s="215" t="str">
        <f>IF(売分析!AA20&lt;&gt;"",売分析!AA20,"")</f>
        <v/>
      </c>
      <c r="T20" s="341" t="str">
        <f>IF(売分析!Z20&lt;&gt;"",売分析!Z20,"")</f>
        <v/>
      </c>
      <c r="U20" s="215" t="str">
        <f>IF(売分析!V20&lt;&gt;"",売分析!V20,"")</f>
        <v/>
      </c>
      <c r="V20" s="339">
        <f>IF(売分析!W20&lt;&gt;"",売分析!W20,"")</f>
        <v>31.043535331437312</v>
      </c>
      <c r="W20" s="215" t="str">
        <f>IF(売分析!AD20&lt;&gt;"",売分析!AD20,"")</f>
        <v>上昇トレンド▲</v>
      </c>
      <c r="X20" s="215" t="e">
        <f>IF(売分析!AE20&lt;&gt;"",売分析!AE20,"")</f>
        <v>#VALUE!</v>
      </c>
      <c r="Y20" s="391">
        <f>IF(売分析!T20&lt;&gt;"",売分析!T20,"")</f>
        <v>0</v>
      </c>
      <c r="Z20" s="215" t="e">
        <f>IF(売分析!Y20&lt;&gt;"",売分析!Y20,"")</f>
        <v>#VALUE!</v>
      </c>
    </row>
    <row r="21" spans="1:26">
      <c r="A21" s="328">
        <f>IF(売分析!C21&lt;&gt;"",ROW()-2,"")</f>
        <v>19</v>
      </c>
      <c r="B21" s="327" t="str">
        <f>IF(売分析!C21&lt;&gt;"",HYPERLINK("https://kabutan.jp/stock/?code="&amp;売分析!C21,"株探"),"")</f>
        <v>株探</v>
      </c>
      <c r="C21" s="343">
        <f>IF(売分析!C21&lt;&gt;"",売分析!C21,"")</f>
        <v>3863</v>
      </c>
      <c r="D21" s="328" t="str">
        <f>IF(売分析!D21&lt;&gt;"",売分析!D21,"")</f>
        <v/>
      </c>
      <c r="E21" s="329" t="str">
        <f>IF(売分析!E21&lt;&gt;"",売分析!E21,"")</f>
        <v/>
      </c>
      <c r="F21" s="329" t="str">
        <f>IF(売分析!F21&lt;&gt;"",売分析!F21,"")</f>
        <v/>
      </c>
      <c r="G21" s="329" t="str">
        <f>IF(売分析!H21&lt;&gt;"",売分析!H21,"")</f>
        <v/>
      </c>
      <c r="H21" s="329" t="str">
        <f>IF(売分析!I21&lt;&gt;"",売分析!I21,"")</f>
        <v/>
      </c>
      <c r="I21" s="328" t="str">
        <f>IF(売分析!J21&lt;&gt;"",売分析!J21,"")</f>
        <v/>
      </c>
      <c r="J21" s="329">
        <f>IF(売分析!AB21&lt;&gt;"",売分析!AB21,"")</f>
        <v>1404.7995391705067</v>
      </c>
      <c r="K21" s="329">
        <f>IF(売分析!AC21&lt;&gt;"",売分析!AC21,"")</f>
        <v>1318.7580452920142</v>
      </c>
      <c r="L21" s="329" t="str">
        <f>IF(売分析!K21&lt;&gt;"",売分析!K21,"")</f>
        <v/>
      </c>
      <c r="M21" s="328" t="str">
        <f>IF(売分析!P21&lt;&gt;"",売分析!P21,"")</f>
        <v/>
      </c>
      <c r="N21" s="331" t="str">
        <f>IF(売分析!O21&lt;&gt;"",売分析!O21,"")</f>
        <v/>
      </c>
      <c r="O21" s="333">
        <f>IF(売分析!X21&lt;&gt;"",売分析!X21,"")</f>
        <v>23.220355916080507</v>
      </c>
      <c r="P21" s="330" t="str">
        <f>IF(売分析!L21&lt;&gt;"",売分析!L21,"")</f>
        <v/>
      </c>
      <c r="Q21" s="329" t="str">
        <f>IF(売分析!S21&lt;&gt;"",売分析!S21,"")</f>
        <v/>
      </c>
      <c r="R21" s="329" t="str">
        <f>IF(売分析!R21&lt;&gt;"",売分析!R21,"")</f>
        <v/>
      </c>
      <c r="S21" s="328" t="str">
        <f>IF(売分析!AA21&lt;&gt;"",売分析!AA21,"")</f>
        <v/>
      </c>
      <c r="T21" s="334" t="str">
        <f>IF(売分析!Z21&lt;&gt;"",売分析!Z21,"")</f>
        <v/>
      </c>
      <c r="U21" s="328" t="str">
        <f>IF(売分析!V21&lt;&gt;"",売分析!V21,"")</f>
        <v/>
      </c>
      <c r="V21" s="332">
        <f>IF(売分析!W21&lt;&gt;"",売分析!W21,"")</f>
        <v>83.404255319148945</v>
      </c>
      <c r="W21" s="328" t="str">
        <f>IF(売分析!AD21&lt;&gt;"",売分析!AD21,"")</f>
        <v>パーフェクト▲</v>
      </c>
      <c r="X21" s="328" t="e">
        <f>IF(売分析!AE21&lt;&gt;"",売分析!AE21,"")</f>
        <v>#VALUE!</v>
      </c>
      <c r="Y21" s="390">
        <f>IF(売分析!T21&lt;&gt;"",売分析!T21,"")</f>
        <v>0</v>
      </c>
      <c r="Z21" s="328" t="e">
        <f>IF(売分析!Y21&lt;&gt;"",売分析!Y21,"")</f>
        <v>#VALUE!</v>
      </c>
    </row>
    <row r="22" spans="1:26">
      <c r="A22" s="215">
        <f>IF(売分析!C22&lt;&gt;"",ROW()-2,"")</f>
        <v>20</v>
      </c>
      <c r="B22" s="335" t="str">
        <f>IF(売分析!C22&lt;&gt;"",HYPERLINK("https://kabutan.jp/stock/?code="&amp;売分析!C22,"株探"),"")</f>
        <v>株探</v>
      </c>
      <c r="C22" s="344">
        <f>IF(売分析!C22&lt;&gt;"",売分析!C22,"")</f>
        <v>9412</v>
      </c>
      <c r="D22" s="215" t="str">
        <f>IF(売分析!D22&lt;&gt;"",売分析!D22,"")</f>
        <v/>
      </c>
      <c r="E22" s="336" t="str">
        <f>IF(売分析!E22&lt;&gt;"",売分析!E22,"")</f>
        <v/>
      </c>
      <c r="F22" s="336" t="str">
        <f>IF(売分析!F22&lt;&gt;"",売分析!F22,"")</f>
        <v/>
      </c>
      <c r="G22" s="336" t="str">
        <f>IF(売分析!H22&lt;&gt;"",売分析!H22,"")</f>
        <v/>
      </c>
      <c r="H22" s="336" t="str">
        <f>IF(売分析!I22&lt;&gt;"",売分析!I22,"")</f>
        <v/>
      </c>
      <c r="I22" s="215" t="str">
        <f>IF(売分析!J22&lt;&gt;"",売分析!J22,"")</f>
        <v/>
      </c>
      <c r="J22" s="336">
        <f>IF(売分析!AB22&lt;&gt;"",売分析!AB22,"")</f>
        <v>2395.3824884792625</v>
      </c>
      <c r="K22" s="336">
        <f>IF(売分析!AC22&lt;&gt;"",売分析!AC22,"")</f>
        <v>2642.5935637663874</v>
      </c>
      <c r="L22" s="336" t="str">
        <f>IF(売分析!K22&lt;&gt;"",売分析!K22,"")</f>
        <v/>
      </c>
      <c r="M22" s="215" t="str">
        <f>IF(売分析!P22&lt;&gt;"",売分析!P22,"")</f>
        <v/>
      </c>
      <c r="N22" s="338" t="str">
        <f>IF(売分析!O22&lt;&gt;"",売分析!O22,"")</f>
        <v/>
      </c>
      <c r="O22" s="340">
        <f>IF(売分析!X22&lt;&gt;"",売分析!X22,"")</f>
        <v>-70.851155672486129</v>
      </c>
      <c r="P22" s="337" t="str">
        <f>IF(売分析!L22&lt;&gt;"",売分析!L22,"")</f>
        <v/>
      </c>
      <c r="Q22" s="336" t="str">
        <f>IF(売分析!S22&lt;&gt;"",売分析!S22,"")</f>
        <v/>
      </c>
      <c r="R22" s="336" t="str">
        <f>IF(売分析!R22&lt;&gt;"",売分析!R22,"")</f>
        <v/>
      </c>
      <c r="S22" s="215" t="str">
        <f>IF(売分析!AA22&lt;&gt;"",売分析!AA22,"")</f>
        <v/>
      </c>
      <c r="T22" s="341" t="str">
        <f>IF(売分析!Z22&lt;&gt;"",売分析!Z22,"")</f>
        <v/>
      </c>
      <c r="U22" s="215" t="str">
        <f>IF(売分析!V22&lt;&gt;"",売分析!V22,"")</f>
        <v/>
      </c>
      <c r="V22" s="339">
        <f>IF(売分析!W22&lt;&gt;"",売分析!W22,"")</f>
        <v>42.220019821605554</v>
      </c>
      <c r="W22" s="215" t="str">
        <f>IF(売分析!AD22&lt;&gt;"",売分析!AD22,"")</f>
        <v>上昇トレンド▲</v>
      </c>
      <c r="X22" s="215" t="e">
        <f>IF(売分析!AE22&lt;&gt;"",売分析!AE22,"")</f>
        <v>#VALUE!</v>
      </c>
      <c r="Y22" s="391">
        <f>IF(売分析!T22&lt;&gt;"",売分析!T22,"")</f>
        <v>0</v>
      </c>
      <c r="Z22" s="215" t="e">
        <f>IF(売分析!Y22&lt;&gt;"",売分析!Y22,"")</f>
        <v>#VALUE!</v>
      </c>
    </row>
    <row r="23" spans="1:26">
      <c r="A23" s="328">
        <f>IF(売分析!C23&lt;&gt;"",ROW()-2,"")</f>
        <v>21</v>
      </c>
      <c r="B23" s="327" t="str">
        <f>IF(売分析!C23&lt;&gt;"",HYPERLINK("https://kabutan.jp/stock/?code="&amp;売分析!C23,"株探"),"")</f>
        <v>株探</v>
      </c>
      <c r="C23" s="343">
        <f>IF(売分析!C23&lt;&gt;"",売分析!C23,"")</f>
        <v>2802</v>
      </c>
      <c r="D23" s="328" t="str">
        <f>IF(売分析!D23&lt;&gt;"",売分析!D23,"")</f>
        <v/>
      </c>
      <c r="E23" s="329" t="str">
        <f>IF(売分析!E23&lt;&gt;"",売分析!E23,"")</f>
        <v/>
      </c>
      <c r="F23" s="329" t="str">
        <f>IF(売分析!F23&lt;&gt;"",売分析!F23,"")</f>
        <v/>
      </c>
      <c r="G23" s="329" t="str">
        <f>IF(売分析!H23&lt;&gt;"",売分析!H23,"")</f>
        <v/>
      </c>
      <c r="H23" s="329" t="str">
        <f>IF(売分析!I23&lt;&gt;"",売分析!I23,"")</f>
        <v/>
      </c>
      <c r="I23" s="328" t="str">
        <f>IF(売分析!J23&lt;&gt;"",売分析!J23,"")</f>
        <v/>
      </c>
      <c r="J23" s="329">
        <f>IF(売分析!AB23&lt;&gt;"",売分析!AB23,"")</f>
        <v>5466.9965437788014</v>
      </c>
      <c r="K23" s="329">
        <f>IF(売分析!AC23&lt;&gt;"",売分析!AC23,"")</f>
        <v>5674.8355184743732</v>
      </c>
      <c r="L23" s="329" t="str">
        <f>IF(売分析!K23&lt;&gt;"",売分析!K23,"")</f>
        <v/>
      </c>
      <c r="M23" s="328" t="str">
        <f>IF(売分析!P23&lt;&gt;"",売分析!P23,"")</f>
        <v/>
      </c>
      <c r="N23" s="331" t="str">
        <f>IF(売分析!O23&lt;&gt;"",売分析!O23,"")</f>
        <v/>
      </c>
      <c r="O23" s="333">
        <f>IF(売分析!X23&lt;&gt;"",売分析!X23,"")</f>
        <v>6.3080692090034063</v>
      </c>
      <c r="P23" s="330" t="str">
        <f>IF(売分析!L23&lt;&gt;"",売分析!L23,"")</f>
        <v/>
      </c>
      <c r="Q23" s="329" t="str">
        <f>IF(売分析!S23&lt;&gt;"",売分析!S23,"")</f>
        <v/>
      </c>
      <c r="R23" s="329" t="str">
        <f>IF(売分析!R23&lt;&gt;"",売分析!R23,"")</f>
        <v/>
      </c>
      <c r="S23" s="328" t="str">
        <f>IF(売分析!AA23&lt;&gt;"",売分析!AA23,"")</f>
        <v/>
      </c>
      <c r="T23" s="334" t="str">
        <f>IF(売分析!Z23&lt;&gt;"",売分析!Z23,"")</f>
        <v/>
      </c>
      <c r="U23" s="328" t="str">
        <f>IF(売分析!V23&lt;&gt;"",売分析!V23,"")</f>
        <v/>
      </c>
      <c r="V23" s="332">
        <f>IF(売分析!W23&lt;&gt;"",売分析!W23,"")</f>
        <v>45.258019525801956</v>
      </c>
      <c r="W23" s="328" t="str">
        <f>IF(売分析!AD23&lt;&gt;"",売分析!AD23,"")</f>
        <v>上昇トレンド▲</v>
      </c>
      <c r="X23" s="328" t="e">
        <f>IF(売分析!AE23&lt;&gt;"",売分析!AE23,"")</f>
        <v>#VALUE!</v>
      </c>
      <c r="Y23" s="390">
        <f>IF(売分析!T23&lt;&gt;"",売分析!T23,"")</f>
        <v>0</v>
      </c>
      <c r="Z23" s="328" t="e">
        <f>IF(売分析!Y23&lt;&gt;"",売分析!Y23,"")</f>
        <v>#VALUE!</v>
      </c>
    </row>
    <row r="24" spans="1:26">
      <c r="A24" s="215">
        <f>IF(売分析!C24&lt;&gt;"",ROW()-2,"")</f>
        <v>22</v>
      </c>
      <c r="B24" s="335" t="str">
        <f>IF(売分析!C24&lt;&gt;"",HYPERLINK("https://kabutan.jp/stock/?code="&amp;売分析!C24,"株探"),"")</f>
        <v>株探</v>
      </c>
      <c r="C24" s="344">
        <f>IF(売分析!C24&lt;&gt;"",売分析!C24,"")</f>
        <v>6479</v>
      </c>
      <c r="D24" s="215" t="str">
        <f>IF(売分析!D24&lt;&gt;"",売分析!D24,"")</f>
        <v/>
      </c>
      <c r="E24" s="336" t="str">
        <f>IF(売分析!E24&lt;&gt;"",売分析!E24,"")</f>
        <v/>
      </c>
      <c r="F24" s="336" t="str">
        <f>IF(売分析!F24&lt;&gt;"",売分析!F24,"")</f>
        <v/>
      </c>
      <c r="G24" s="336" t="str">
        <f>IF(売分析!H24&lt;&gt;"",売分析!H24,"")</f>
        <v/>
      </c>
      <c r="H24" s="336" t="str">
        <f>IF(売分析!I24&lt;&gt;"",売分析!I24,"")</f>
        <v/>
      </c>
      <c r="I24" s="215" t="str">
        <f>IF(売分析!J24&lt;&gt;"",売分析!J24,"")</f>
        <v/>
      </c>
      <c r="J24" s="336">
        <f>IF(売分析!AB24&lt;&gt;"",売分析!AB24,"")</f>
        <v>4052.2937788018435</v>
      </c>
      <c r="K24" s="336">
        <f>IF(売分析!AC24&lt;&gt;"",売分析!AC24,"")</f>
        <v>4462.0882002383778</v>
      </c>
      <c r="L24" s="336" t="str">
        <f>IF(売分析!K24&lt;&gt;"",売分析!K24,"")</f>
        <v/>
      </c>
      <c r="M24" s="215" t="str">
        <f>IF(売分析!P24&lt;&gt;"",売分析!P24,"")</f>
        <v/>
      </c>
      <c r="N24" s="338" t="str">
        <f>IF(売分析!O24&lt;&gt;"",売分析!O24,"")</f>
        <v/>
      </c>
      <c r="O24" s="340">
        <f>IF(売分析!X24&lt;&gt;"",売分析!X24,"")</f>
        <v>-95.076904859514798</v>
      </c>
      <c r="P24" s="337" t="str">
        <f>IF(売分析!L24&lt;&gt;"",売分析!L24,"")</f>
        <v/>
      </c>
      <c r="Q24" s="336" t="str">
        <f>IF(売分析!S24&lt;&gt;"",売分析!S24,"")</f>
        <v/>
      </c>
      <c r="R24" s="336" t="str">
        <f>IF(売分析!R24&lt;&gt;"",売分析!R24,"")</f>
        <v/>
      </c>
      <c r="S24" s="215" t="str">
        <f>IF(売分析!AA24&lt;&gt;"",売分析!AA24,"")</f>
        <v/>
      </c>
      <c r="T24" s="341" t="str">
        <f>IF(売分析!Z24&lt;&gt;"",売分析!Z24,"")</f>
        <v/>
      </c>
      <c r="U24" s="215" t="str">
        <f>IF(売分析!V24&lt;&gt;"",売分析!V24,"")</f>
        <v/>
      </c>
      <c r="V24" s="339">
        <f>IF(売分析!W24&lt;&gt;"",売分析!W24,"")</f>
        <v>24.007839294463494</v>
      </c>
      <c r="W24" s="215" t="str">
        <f>IF(売分析!AD24&lt;&gt;"",売分析!AD24,"")</f>
        <v>上昇トレンド▲</v>
      </c>
      <c r="X24" s="215" t="e">
        <f>IF(売分析!AE24&lt;&gt;"",売分析!AE24,"")</f>
        <v>#VALUE!</v>
      </c>
      <c r="Y24" s="391">
        <f>IF(売分析!T24&lt;&gt;"",売分析!T24,"")</f>
        <v>0</v>
      </c>
      <c r="Z24" s="215" t="e">
        <f>IF(売分析!Y24&lt;&gt;"",売分析!Y24,"")</f>
        <v>#VALUE!</v>
      </c>
    </row>
    <row r="25" spans="1:26">
      <c r="A25" s="328">
        <f>IF(売分析!C25&lt;&gt;"",ROW()-2,"")</f>
        <v>23</v>
      </c>
      <c r="B25" s="327" t="str">
        <f>IF(売分析!C25&lt;&gt;"",HYPERLINK("https://kabutan.jp/stock/?code="&amp;売分析!C25,"株探"),"")</f>
        <v>株探</v>
      </c>
      <c r="C25" s="343">
        <f>IF(売分析!C25&lt;&gt;"",売分析!C25,"")</f>
        <v>6134</v>
      </c>
      <c r="D25" s="328" t="str">
        <f>IF(売分析!D25&lt;&gt;"",売分析!D25,"")</f>
        <v/>
      </c>
      <c r="E25" s="329" t="str">
        <f>IF(売分析!E25&lt;&gt;"",売分析!E25,"")</f>
        <v/>
      </c>
      <c r="F25" s="329" t="str">
        <f>IF(売分析!F25&lt;&gt;"",売分析!F25,"")</f>
        <v/>
      </c>
      <c r="G25" s="329" t="str">
        <f>IF(売分析!H25&lt;&gt;"",売分析!H25,"")</f>
        <v/>
      </c>
      <c r="H25" s="329" t="str">
        <f>IF(売分析!I25&lt;&gt;"",売分析!I25,"")</f>
        <v/>
      </c>
      <c r="I25" s="328" t="str">
        <f>IF(売分析!J25&lt;&gt;"",売分析!J25,"")</f>
        <v/>
      </c>
      <c r="J25" s="329">
        <f>IF(売分析!AB25&lt;&gt;"",売分析!AB25,"")</f>
        <v>7670.0656682027638</v>
      </c>
      <c r="K25" s="329">
        <f>IF(売分析!AC25&lt;&gt;"",売分析!AC25,"")</f>
        <v>8033.5184743742529</v>
      </c>
      <c r="L25" s="329" t="str">
        <f>IF(売分析!K25&lt;&gt;"",売分析!K25,"")</f>
        <v/>
      </c>
      <c r="M25" s="328" t="str">
        <f>IF(売分析!P25&lt;&gt;"",売分析!P25,"")</f>
        <v/>
      </c>
      <c r="N25" s="331" t="str">
        <f>IF(売分析!O25&lt;&gt;"",売分析!O25,"")</f>
        <v/>
      </c>
      <c r="O25" s="333">
        <f>IF(売分析!X25&lt;&gt;"",売分析!X25,"")</f>
        <v>-37.2526279757476</v>
      </c>
      <c r="P25" s="330" t="str">
        <f>IF(売分析!L25&lt;&gt;"",売分析!L25,"")</f>
        <v/>
      </c>
      <c r="Q25" s="329" t="str">
        <f>IF(売分析!S25&lt;&gt;"",売分析!S25,"")</f>
        <v/>
      </c>
      <c r="R25" s="329" t="str">
        <f>IF(売分析!R25&lt;&gt;"",売分析!R25,"")</f>
        <v/>
      </c>
      <c r="S25" s="328" t="str">
        <f>IF(売分析!AA25&lt;&gt;"",売分析!AA25,"")</f>
        <v/>
      </c>
      <c r="T25" s="334" t="str">
        <f>IF(売分析!Z25&lt;&gt;"",売分析!Z25,"")</f>
        <v/>
      </c>
      <c r="U25" s="328" t="str">
        <f>IF(売分析!V25&lt;&gt;"",売分析!V25,"")</f>
        <v/>
      </c>
      <c r="V25" s="332">
        <f>IF(売分析!W25&lt;&gt;"",売分析!W25,"")</f>
        <v>45.50618786772165</v>
      </c>
      <c r="W25" s="328" t="str">
        <f>IF(売分析!AD25&lt;&gt;"",売分析!AD25,"")</f>
        <v>上昇トレンド▲</v>
      </c>
      <c r="X25" s="328" t="e">
        <f>IF(売分析!AE25&lt;&gt;"",売分析!AE25,"")</f>
        <v>#VALUE!</v>
      </c>
      <c r="Y25" s="390">
        <f>IF(売分析!T25&lt;&gt;"",売分析!T25,"")</f>
        <v>0</v>
      </c>
      <c r="Z25" s="328" t="e">
        <f>IF(売分析!Y25&lt;&gt;"",売分析!Y25,"")</f>
        <v>#VALUE!</v>
      </c>
    </row>
    <row r="26" spans="1:26">
      <c r="A26" s="215">
        <f>IF(売分析!C26&lt;&gt;"",ROW()-2,"")</f>
        <v>24</v>
      </c>
      <c r="B26" s="335" t="str">
        <f>IF(売分析!C26&lt;&gt;"",HYPERLINK("https://kabutan.jp/stock/?code="&amp;売分析!C26,"株探"),"")</f>
        <v>株探</v>
      </c>
      <c r="C26" s="344">
        <f>IF(売分析!C26&lt;&gt;"",売分析!C26,"")</f>
        <v>8359</v>
      </c>
      <c r="D26" s="215" t="str">
        <f>IF(売分析!D26&lt;&gt;"",売分析!D26,"")</f>
        <v/>
      </c>
      <c r="E26" s="336" t="str">
        <f>IF(売分析!E26&lt;&gt;"",売分析!E26,"")</f>
        <v/>
      </c>
      <c r="F26" s="336" t="str">
        <f>IF(売分析!F26&lt;&gt;"",売分析!F26,"")</f>
        <v/>
      </c>
      <c r="G26" s="336" t="str">
        <f>IF(売分析!H26&lt;&gt;"",売分析!H26,"")</f>
        <v/>
      </c>
      <c r="H26" s="336" t="str">
        <f>IF(売分析!I26&lt;&gt;"",売分析!I26,"")</f>
        <v/>
      </c>
      <c r="I26" s="215" t="str">
        <f>IF(売分析!J26&lt;&gt;"",売分析!J26,"")</f>
        <v/>
      </c>
      <c r="J26" s="336">
        <f>IF(売分析!AB26&lt;&gt;"",売分析!AB26,"")</f>
        <v>2545.2436635944696</v>
      </c>
      <c r="K26" s="336">
        <f>IF(売分析!AC26&lt;&gt;"",売分析!AC26,"")</f>
        <v>2487.6620977353982</v>
      </c>
      <c r="L26" s="336" t="str">
        <f>IF(売分析!K26&lt;&gt;"",売分析!K26,"")</f>
        <v/>
      </c>
      <c r="M26" s="215" t="str">
        <f>IF(売分析!P26&lt;&gt;"",売分析!P26,"")</f>
        <v/>
      </c>
      <c r="N26" s="338" t="str">
        <f>IF(売分析!O26&lt;&gt;"",売分析!O26,"")</f>
        <v/>
      </c>
      <c r="O26" s="340">
        <f>IF(売分析!X26&lt;&gt;"",売分析!X26,"")</f>
        <v>30.378494182831218</v>
      </c>
      <c r="P26" s="337" t="str">
        <f>IF(売分析!L26&lt;&gt;"",売分析!L26,"")</f>
        <v/>
      </c>
      <c r="Q26" s="336" t="str">
        <f>IF(売分析!S26&lt;&gt;"",売分析!S26,"")</f>
        <v/>
      </c>
      <c r="R26" s="336" t="str">
        <f>IF(売分析!R26&lt;&gt;"",売分析!R26,"")</f>
        <v/>
      </c>
      <c r="S26" s="215" t="str">
        <f>IF(売分析!AA26&lt;&gt;"",売分析!AA26,"")</f>
        <v/>
      </c>
      <c r="T26" s="341" t="str">
        <f>IF(売分析!Z26&lt;&gt;"",売分析!Z26,"")</f>
        <v/>
      </c>
      <c r="U26" s="215" t="str">
        <f>IF(売分析!V26&lt;&gt;"",売分析!V26,"")</f>
        <v/>
      </c>
      <c r="V26" s="339">
        <f>IF(売分析!W26&lt;&gt;"",売分析!W26,"")</f>
        <v>91.027496382054991</v>
      </c>
      <c r="W26" s="215" t="str">
        <f>IF(売分析!AD26&lt;&gt;"",売分析!AD26,"")</f>
        <v>パーフェクト▲</v>
      </c>
      <c r="X26" s="215" t="e">
        <f>IF(売分析!AE26&lt;&gt;"",売分析!AE26,"")</f>
        <v>#VALUE!</v>
      </c>
      <c r="Y26" s="391">
        <f>IF(売分析!T26&lt;&gt;"",売分析!T26,"")</f>
        <v>0</v>
      </c>
      <c r="Z26" s="215" t="e">
        <f>IF(売分析!Y26&lt;&gt;"",売分析!Y26,"")</f>
        <v>#VALUE!</v>
      </c>
    </row>
    <row r="27" spans="1:26">
      <c r="A27" s="328">
        <f>IF(売分析!C27&lt;&gt;"",ROW()-2,"")</f>
        <v>25</v>
      </c>
      <c r="B27" s="327" t="str">
        <f>IF(売分析!C27&lt;&gt;"",HYPERLINK("https://kabutan.jp/stock/?code="&amp;売分析!C27,"株探"),"")</f>
        <v>株探</v>
      </c>
      <c r="C27" s="343">
        <f>IF(売分析!C27&lt;&gt;"",売分析!C27,"")</f>
        <v>6327</v>
      </c>
      <c r="D27" s="328" t="str">
        <f>IF(売分析!D27&lt;&gt;"",売分析!D27,"")</f>
        <v/>
      </c>
      <c r="E27" s="329" t="str">
        <f>IF(売分析!E27&lt;&gt;"",売分析!E27,"")</f>
        <v/>
      </c>
      <c r="F27" s="329" t="str">
        <f>IF(売分析!F27&lt;&gt;"",売分析!F27,"")</f>
        <v/>
      </c>
      <c r="G27" s="329" t="str">
        <f>IF(売分析!H27&lt;&gt;"",売分析!H27,"")</f>
        <v/>
      </c>
      <c r="H27" s="329" t="str">
        <f>IF(売分析!I27&lt;&gt;"",売分析!I27,"")</f>
        <v/>
      </c>
      <c r="I27" s="328" t="str">
        <f>IF(売分析!J27&lt;&gt;"",売分析!J27,"")</f>
        <v/>
      </c>
      <c r="J27" s="329">
        <f>IF(売分析!AB27&lt;&gt;"",売分析!AB27,"")</f>
        <v>4791.1981566820277</v>
      </c>
      <c r="K27" s="329">
        <f>IF(売分析!AC27&lt;&gt;"",売分析!AC27,"")</f>
        <v>5745.8343265792591</v>
      </c>
      <c r="L27" s="329" t="str">
        <f>IF(売分析!K27&lt;&gt;"",売分析!K27,"")</f>
        <v/>
      </c>
      <c r="M27" s="328" t="str">
        <f>IF(売分析!P27&lt;&gt;"",売分析!P27,"")</f>
        <v/>
      </c>
      <c r="N27" s="331" t="str">
        <f>IF(売分析!O27&lt;&gt;"",売分析!O27,"")</f>
        <v/>
      </c>
      <c r="O27" s="333">
        <f>IF(売分析!X27&lt;&gt;"",売分析!X27,"")</f>
        <v>-39.41681028820949</v>
      </c>
      <c r="P27" s="330" t="str">
        <f>IF(売分析!L27&lt;&gt;"",売分析!L27,"")</f>
        <v/>
      </c>
      <c r="Q27" s="329" t="str">
        <f>IF(売分析!S27&lt;&gt;"",売分析!S27,"")</f>
        <v/>
      </c>
      <c r="R27" s="329" t="str">
        <f>IF(売分析!R27&lt;&gt;"",売分析!R27,"")</f>
        <v/>
      </c>
      <c r="S27" s="328" t="str">
        <f>IF(売分析!AA27&lt;&gt;"",売分析!AA27,"")</f>
        <v/>
      </c>
      <c r="T27" s="334" t="str">
        <f>IF(売分析!Z27&lt;&gt;"",売分析!Z27,"")</f>
        <v/>
      </c>
      <c r="U27" s="328" t="str">
        <f>IF(売分析!V27&lt;&gt;"",売分析!V27,"")</f>
        <v/>
      </c>
      <c r="V27" s="332">
        <f>IF(売分析!W27&lt;&gt;"",売分析!W27,"")</f>
        <v>41.67664670658683</v>
      </c>
      <c r="W27" s="328" t="str">
        <f>IF(売分析!AD27&lt;&gt;"",売分析!AD27,"")</f>
        <v>上昇トレンド▲</v>
      </c>
      <c r="X27" s="328" t="e">
        <f>IF(売分析!AE27&lt;&gt;"",売分析!AE27,"")</f>
        <v>#VALUE!</v>
      </c>
      <c r="Y27" s="390">
        <f>IF(売分析!T27&lt;&gt;"",売分析!T27,"")</f>
        <v>0</v>
      </c>
      <c r="Z27" s="328" t="e">
        <f>IF(売分析!Y27&lt;&gt;"",売分析!Y27,"")</f>
        <v>#VALUE!</v>
      </c>
    </row>
    <row r="28" spans="1:26">
      <c r="A28" s="215">
        <f>IF(売分析!C28&lt;&gt;"",ROW()-2,"")</f>
        <v>26</v>
      </c>
      <c r="B28" s="335" t="str">
        <f>IF(売分析!C28&lt;&gt;"",HYPERLINK("https://kabutan.jp/stock/?code="&amp;売分析!C28,"株探"),"")</f>
        <v>株探</v>
      </c>
      <c r="C28" s="344">
        <f>IF(売分析!C28&lt;&gt;"",売分析!C28,"")</f>
        <v>6232</v>
      </c>
      <c r="D28" s="215" t="str">
        <f>IF(売分析!D28&lt;&gt;"",売分析!D28,"")</f>
        <v/>
      </c>
      <c r="E28" s="336" t="str">
        <f>IF(売分析!E28&lt;&gt;"",売分析!E28,"")</f>
        <v/>
      </c>
      <c r="F28" s="336" t="str">
        <f>IF(売分析!F28&lt;&gt;"",売分析!F28,"")</f>
        <v/>
      </c>
      <c r="G28" s="336" t="str">
        <f>IF(売分析!H28&lt;&gt;"",売分析!H28,"")</f>
        <v/>
      </c>
      <c r="H28" s="336" t="str">
        <f>IF(売分析!I28&lt;&gt;"",売分析!I28,"")</f>
        <v/>
      </c>
      <c r="I28" s="215" t="str">
        <f>IF(売分析!J28&lt;&gt;"",売分析!J28,"")</f>
        <v/>
      </c>
      <c r="J28" s="336">
        <f>IF(売分析!AB28&lt;&gt;"",売分析!AB28,"")</f>
        <v>1728.6267281105986</v>
      </c>
      <c r="K28" s="336">
        <f>IF(売分析!AC28&lt;&gt;"",売分析!AC28,"")</f>
        <v>1775.0083432657916</v>
      </c>
      <c r="L28" s="336" t="str">
        <f>IF(売分析!K28&lt;&gt;"",売分析!K28,"")</f>
        <v/>
      </c>
      <c r="M28" s="215" t="str">
        <f>IF(売分析!P28&lt;&gt;"",売分析!P28,"")</f>
        <v/>
      </c>
      <c r="N28" s="338" t="str">
        <f>IF(売分析!O28&lt;&gt;"",売分析!O28,"")</f>
        <v/>
      </c>
      <c r="O28" s="340">
        <f>IF(売分析!X28&lt;&gt;"",売分析!X28,"")</f>
        <v>-10.725950190853609</v>
      </c>
      <c r="P28" s="337" t="str">
        <f>IF(売分析!L28&lt;&gt;"",売分析!L28,"")</f>
        <v/>
      </c>
      <c r="Q28" s="336" t="str">
        <f>IF(売分析!S28&lt;&gt;"",売分析!S28,"")</f>
        <v/>
      </c>
      <c r="R28" s="336" t="str">
        <f>IF(売分析!R28&lt;&gt;"",売分析!R28,"")</f>
        <v/>
      </c>
      <c r="S28" s="215" t="str">
        <f>IF(売分析!AA28&lt;&gt;"",売分析!AA28,"")</f>
        <v/>
      </c>
      <c r="T28" s="341" t="str">
        <f>IF(売分析!Z28&lt;&gt;"",売分析!Z28,"")</f>
        <v/>
      </c>
      <c r="U28" s="215" t="str">
        <f>IF(売分析!V28&lt;&gt;"",売分析!V28,"")</f>
        <v/>
      </c>
      <c r="V28" s="339">
        <f>IF(売分析!W28&lt;&gt;"",売分析!W28,"")</f>
        <v>50.35868005738881</v>
      </c>
      <c r="W28" s="215" t="str">
        <f>IF(売分析!AD28&lt;&gt;"",売分析!AD28,"")</f>
        <v>上昇トレンド▲</v>
      </c>
      <c r="X28" s="215" t="e">
        <f>IF(売分析!AE28&lt;&gt;"",売分析!AE28,"")</f>
        <v>#VALUE!</v>
      </c>
      <c r="Y28" s="391">
        <f>IF(売分析!T28&lt;&gt;"",売分析!T28,"")</f>
        <v>0</v>
      </c>
      <c r="Z28" s="215" t="e">
        <f>IF(売分析!Y28&lt;&gt;"",売分析!Y28,"")</f>
        <v>#VALUE!</v>
      </c>
    </row>
    <row r="29" spans="1:26">
      <c r="A29" s="328">
        <f>IF(売分析!C29&lt;&gt;"",ROW()-2,"")</f>
        <v>27</v>
      </c>
      <c r="B29" s="327" t="str">
        <f>IF(売分析!C29&lt;&gt;"",HYPERLINK("https://kabutan.jp/stock/?code="&amp;売分析!C29,"株探"),"")</f>
        <v>株探</v>
      </c>
      <c r="C29" s="343">
        <f>IF(売分析!C29&lt;&gt;"",売分析!C29,"")</f>
        <v>6516</v>
      </c>
      <c r="D29" s="328" t="str">
        <f>IF(売分析!D29&lt;&gt;"",売分析!D29,"")</f>
        <v/>
      </c>
      <c r="E29" s="329" t="str">
        <f>IF(売分析!E29&lt;&gt;"",売分析!E29,"")</f>
        <v/>
      </c>
      <c r="F29" s="329" t="str">
        <f>IF(売分析!F29&lt;&gt;"",売分析!F29,"")</f>
        <v/>
      </c>
      <c r="G29" s="329" t="str">
        <f>IF(売分析!H29&lt;&gt;"",売分析!H29,"")</f>
        <v/>
      </c>
      <c r="H29" s="329" t="str">
        <f>IF(売分析!I29&lt;&gt;"",売分析!I29,"")</f>
        <v/>
      </c>
      <c r="I29" s="328" t="str">
        <f>IF(売分析!J29&lt;&gt;"",売分析!J29,"")</f>
        <v/>
      </c>
      <c r="J29" s="329">
        <f>IF(売分析!AB29&lt;&gt;"",売分析!AB29,"")</f>
        <v>5743.0529953917048</v>
      </c>
      <c r="K29" s="329">
        <f>IF(売分析!AC29&lt;&gt;"",売分析!AC29,"")</f>
        <v>6246.4362336114382</v>
      </c>
      <c r="L29" s="329" t="str">
        <f>IF(売分析!K29&lt;&gt;"",売分析!K29,"")</f>
        <v/>
      </c>
      <c r="M29" s="328" t="str">
        <f>IF(売分析!P29&lt;&gt;"",売分析!P29,"")</f>
        <v/>
      </c>
      <c r="N29" s="331" t="str">
        <f>IF(売分析!O29&lt;&gt;"",売分析!O29,"")</f>
        <v/>
      </c>
      <c r="O29" s="333">
        <f>IF(売分析!X29&lt;&gt;"",売分析!X29,"")</f>
        <v>-143.93282889997045</v>
      </c>
      <c r="P29" s="330" t="str">
        <f>IF(売分析!L29&lt;&gt;"",売分析!L29,"")</f>
        <v/>
      </c>
      <c r="Q29" s="329" t="str">
        <f>IF(売分析!S29&lt;&gt;"",売分析!S29,"")</f>
        <v/>
      </c>
      <c r="R29" s="329" t="str">
        <f>IF(売分析!R29&lt;&gt;"",売分析!R29,"")</f>
        <v/>
      </c>
      <c r="S29" s="328" t="str">
        <f>IF(売分析!AA29&lt;&gt;"",売分析!AA29,"")</f>
        <v/>
      </c>
      <c r="T29" s="334" t="str">
        <f>IF(売分析!Z29&lt;&gt;"",売分析!Z29,"")</f>
        <v/>
      </c>
      <c r="U29" s="328" t="str">
        <f>IF(売分析!V29&lt;&gt;"",売分析!V29,"")</f>
        <v/>
      </c>
      <c r="V29" s="332">
        <f>IF(売分析!W29&lt;&gt;"",売分析!W29,"")</f>
        <v>17.741935483870975</v>
      </c>
      <c r="W29" s="328" t="str">
        <f>IF(売分析!AD29&lt;&gt;"",売分析!AD29,"")</f>
        <v>上昇トレンド▲</v>
      </c>
      <c r="X29" s="328" t="e">
        <f>IF(売分析!AE29&lt;&gt;"",売分析!AE29,"")</f>
        <v>#VALUE!</v>
      </c>
      <c r="Y29" s="390">
        <f>IF(売分析!T29&lt;&gt;"",売分析!T29,"")</f>
        <v>0</v>
      </c>
      <c r="Z29" s="328" t="e">
        <f>IF(売分析!Y29&lt;&gt;"",売分析!Y29,"")</f>
        <v>#VALUE!</v>
      </c>
    </row>
    <row r="30" spans="1:26">
      <c r="A30" s="215">
        <f>IF(売分析!C30&lt;&gt;"",ROW()-2,"")</f>
        <v>28</v>
      </c>
      <c r="B30" s="335" t="str">
        <f>IF(売分析!C30&lt;&gt;"",HYPERLINK("https://kabutan.jp/stock/?code="&amp;売分析!C30,"株探"),"")</f>
        <v>株探</v>
      </c>
      <c r="C30" s="344">
        <f>IF(売分析!C30&lt;&gt;"",売分析!C30,"")</f>
        <v>6981</v>
      </c>
      <c r="D30" s="215" t="str">
        <f>IF(売分析!D30&lt;&gt;"",売分析!D30,"")</f>
        <v/>
      </c>
      <c r="E30" s="336" t="str">
        <f>IF(売分析!E30&lt;&gt;"",売分析!E30,"")</f>
        <v/>
      </c>
      <c r="F30" s="336" t="str">
        <f>IF(売分析!F30&lt;&gt;"",売分析!F30,"")</f>
        <v/>
      </c>
      <c r="G30" s="336" t="str">
        <f>IF(売分析!H30&lt;&gt;"",売分析!H30,"")</f>
        <v/>
      </c>
      <c r="H30" s="336" t="str">
        <f>IF(売分析!I30&lt;&gt;"",売分析!I30,"")</f>
        <v/>
      </c>
      <c r="I30" s="215" t="str">
        <f>IF(売分析!J30&lt;&gt;"",売分析!J30,"")</f>
        <v/>
      </c>
      <c r="J30" s="336">
        <f>IF(売分析!AB30&lt;&gt;"",売分析!AB30,"")</f>
        <v>8646.2142857142862</v>
      </c>
      <c r="K30" s="336">
        <f>IF(売分析!AC30&lt;&gt;"",売分析!AC30,"")</f>
        <v>9980.8545887961827</v>
      </c>
      <c r="L30" s="336" t="str">
        <f>IF(売分析!K30&lt;&gt;"",売分析!K30,"")</f>
        <v/>
      </c>
      <c r="M30" s="215" t="str">
        <f>IF(売分析!P30&lt;&gt;"",売分析!P30,"")</f>
        <v/>
      </c>
      <c r="N30" s="338" t="str">
        <f>IF(売分析!O30&lt;&gt;"",売分析!O30,"")</f>
        <v/>
      </c>
      <c r="O30" s="340">
        <f>IF(売分析!X30&lt;&gt;"",売分析!X30,"")</f>
        <v>-247.58681176090977</v>
      </c>
      <c r="P30" s="337" t="str">
        <f>IF(売分析!L30&lt;&gt;"",売分析!L30,"")</f>
        <v/>
      </c>
      <c r="Q30" s="336" t="str">
        <f>IF(売分析!S30&lt;&gt;"",売分析!S30,"")</f>
        <v/>
      </c>
      <c r="R30" s="336" t="str">
        <f>IF(売分析!R30&lt;&gt;"",売分析!R30,"")</f>
        <v/>
      </c>
      <c r="S30" s="215" t="str">
        <f>IF(売分析!AA30&lt;&gt;"",売分析!AA30,"")</f>
        <v/>
      </c>
      <c r="T30" s="341" t="str">
        <f>IF(売分析!Z30&lt;&gt;"",売分析!Z30,"")</f>
        <v/>
      </c>
      <c r="U30" s="215" t="str">
        <f>IF(売分析!V30&lt;&gt;"",売分析!V30,"")</f>
        <v/>
      </c>
      <c r="V30" s="339">
        <f>IF(売分析!W30&lt;&gt;"",売分析!W30,"")</f>
        <v>37.882973380210949</v>
      </c>
      <c r="W30" s="215" t="str">
        <f>IF(売分析!AD30&lt;&gt;"",売分析!AD30,"")</f>
        <v>上昇トレンド▲</v>
      </c>
      <c r="X30" s="215" t="e">
        <f>IF(売分析!AE30&lt;&gt;"",売分析!AE30,"")</f>
        <v>#VALUE!</v>
      </c>
      <c r="Y30" s="391">
        <f>IF(売分析!T30&lt;&gt;"",売分析!T30,"")</f>
        <v>0</v>
      </c>
      <c r="Z30" s="215" t="e">
        <f>IF(売分析!Y30&lt;&gt;"",売分析!Y30,"")</f>
        <v>#VALUE!</v>
      </c>
    </row>
    <row r="31" spans="1:26">
      <c r="A31" s="328">
        <f>IF(売分析!C31&lt;&gt;"",ROW()-2,"")</f>
        <v>29</v>
      </c>
      <c r="B31" s="327" t="str">
        <f>IF(売分析!C31&lt;&gt;"",HYPERLINK("https://kabutan.jp/stock/?code="&amp;売分析!C31,"株探"),"")</f>
        <v>株探</v>
      </c>
      <c r="C31" s="343">
        <f>IF(売分析!C31&lt;&gt;"",売分析!C31,"")</f>
        <v>6754</v>
      </c>
      <c r="D31" s="328" t="str">
        <f>IF(売分析!D31&lt;&gt;"",売分析!D31,"")</f>
        <v/>
      </c>
      <c r="E31" s="329" t="str">
        <f>IF(売分析!E31&lt;&gt;"",売分析!E31,"")</f>
        <v/>
      </c>
      <c r="F31" s="329" t="str">
        <f>IF(売分析!F31&lt;&gt;"",売分析!F31,"")</f>
        <v/>
      </c>
      <c r="G31" s="329" t="str">
        <f>IF(売分析!H31&lt;&gt;"",売分析!H31,"")</f>
        <v/>
      </c>
      <c r="H31" s="329" t="str">
        <f>IF(売分析!I31&lt;&gt;"",売分析!I31,"")</f>
        <v/>
      </c>
      <c r="I31" s="328" t="str">
        <f>IF(売分析!J31&lt;&gt;"",売分析!J31,"")</f>
        <v/>
      </c>
      <c r="J31" s="329">
        <f>IF(売分析!AB31&lt;&gt;"",売分析!AB31,"")</f>
        <v>3922.1555299539168</v>
      </c>
      <c r="K31" s="329">
        <f>IF(売分析!AC31&lt;&gt;"",売分析!AC31,"")</f>
        <v>4178.2586412395704</v>
      </c>
      <c r="L31" s="329" t="str">
        <f>IF(売分析!K31&lt;&gt;"",売分析!K31,"")</f>
        <v/>
      </c>
      <c r="M31" s="328" t="str">
        <f>IF(売分析!P31&lt;&gt;"",売分析!P31,"")</f>
        <v/>
      </c>
      <c r="N31" s="331" t="str">
        <f>IF(売分析!O31&lt;&gt;"",売分析!O31,"")</f>
        <v/>
      </c>
      <c r="O31" s="333">
        <f>IF(売分析!X31&lt;&gt;"",売分析!X31,"")</f>
        <v>-45.317793017803069</v>
      </c>
      <c r="P31" s="330" t="str">
        <f>IF(売分析!L31&lt;&gt;"",売分析!L31,"")</f>
        <v/>
      </c>
      <c r="Q31" s="329" t="str">
        <f>IF(売分析!S31&lt;&gt;"",売分析!S31,"")</f>
        <v/>
      </c>
      <c r="R31" s="329" t="str">
        <f>IF(売分析!R31&lt;&gt;"",売分析!R31,"")</f>
        <v/>
      </c>
      <c r="S31" s="328" t="str">
        <f>IF(売分析!AA31&lt;&gt;"",売分析!AA31,"")</f>
        <v/>
      </c>
      <c r="T31" s="334" t="str">
        <f>IF(売分析!Z31&lt;&gt;"",売分析!Z31,"")</f>
        <v/>
      </c>
      <c r="U31" s="328" t="str">
        <f>IF(売分析!V31&lt;&gt;"",売分析!V31,"")</f>
        <v/>
      </c>
      <c r="V31" s="332">
        <f>IF(売分析!W31&lt;&gt;"",売分析!W31,"")</f>
        <v>37.678100263852237</v>
      </c>
      <c r="W31" s="328" t="str">
        <f>IF(売分析!AD31&lt;&gt;"",売分析!AD31,"")</f>
        <v>上昇トレンド▲</v>
      </c>
      <c r="X31" s="328" t="e">
        <f>IF(売分析!AE31&lt;&gt;"",売分析!AE31,"")</f>
        <v>#VALUE!</v>
      </c>
      <c r="Y31" s="390">
        <f>IF(売分析!T31&lt;&gt;"",売分析!T31,"")</f>
        <v>0</v>
      </c>
      <c r="Z31" s="328" t="e">
        <f>IF(売分析!Y31&lt;&gt;"",売分析!Y31,"")</f>
        <v>#VALUE!</v>
      </c>
    </row>
    <row r="32" spans="1:26">
      <c r="A32" s="215">
        <f>IF(売分析!C32&lt;&gt;"",ROW()-2,"")</f>
        <v>30</v>
      </c>
      <c r="B32" s="335" t="str">
        <f>IF(売分析!C32&lt;&gt;"",HYPERLINK("https://kabutan.jp/stock/?code="&amp;売分析!C32,"株探"),"")</f>
        <v>株探</v>
      </c>
      <c r="C32" s="344">
        <f>IF(売分析!C32&lt;&gt;"",売分析!C32,"")</f>
        <v>1942</v>
      </c>
      <c r="D32" s="215" t="str">
        <f>IF(売分析!D32&lt;&gt;"",売分析!D32,"")</f>
        <v/>
      </c>
      <c r="E32" s="336" t="str">
        <f>IF(売分析!E32&lt;&gt;"",売分析!E32,"")</f>
        <v/>
      </c>
      <c r="F32" s="336" t="str">
        <f>IF(売分析!F32&lt;&gt;"",売分析!F32,"")</f>
        <v/>
      </c>
      <c r="G32" s="336" t="str">
        <f>IF(売分析!H32&lt;&gt;"",売分析!H32,"")</f>
        <v/>
      </c>
      <c r="H32" s="336" t="str">
        <f>IF(売分析!I32&lt;&gt;"",売分析!I32,"")</f>
        <v/>
      </c>
      <c r="I32" s="215" t="str">
        <f>IF(売分析!J32&lt;&gt;"",売分析!J32,"")</f>
        <v/>
      </c>
      <c r="J32" s="336">
        <f>IF(売分析!AB32&lt;&gt;"",売分析!AB32,"")</f>
        <v>6091.6877880184338</v>
      </c>
      <c r="K32" s="336">
        <f>IF(売分析!AC32&lt;&gt;"",売分析!AC32,"")</f>
        <v>6407.2276519666248</v>
      </c>
      <c r="L32" s="336" t="str">
        <f>IF(売分析!K32&lt;&gt;"",売分析!K32,"")</f>
        <v/>
      </c>
      <c r="M32" s="215" t="str">
        <f>IF(売分析!P32&lt;&gt;"",売分析!P32,"")</f>
        <v/>
      </c>
      <c r="N32" s="338" t="str">
        <f>IF(売分析!O32&lt;&gt;"",売分析!O32,"")</f>
        <v/>
      </c>
      <c r="O32" s="340">
        <f>IF(売分析!X32&lt;&gt;"",売分析!X32,"")</f>
        <v>-47.827530757563181</v>
      </c>
      <c r="P32" s="337" t="str">
        <f>IF(売分析!L32&lt;&gt;"",売分析!L32,"")</f>
        <v/>
      </c>
      <c r="Q32" s="336" t="str">
        <f>IF(売分析!S32&lt;&gt;"",売分析!S32,"")</f>
        <v/>
      </c>
      <c r="R32" s="336" t="str">
        <f>IF(売分析!R32&lt;&gt;"",売分析!R32,"")</f>
        <v/>
      </c>
      <c r="S32" s="215" t="str">
        <f>IF(売分析!AA32&lt;&gt;"",売分析!AA32,"")</f>
        <v/>
      </c>
      <c r="T32" s="341" t="str">
        <f>IF(売分析!Z32&lt;&gt;"",売分析!Z32,"")</f>
        <v/>
      </c>
      <c r="U32" s="215" t="str">
        <f>IF(売分析!V32&lt;&gt;"",売分析!V32,"")</f>
        <v/>
      </c>
      <c r="V32" s="339">
        <f>IF(売分析!W32&lt;&gt;"",売分析!W32,"")</f>
        <v>37.981779957953748</v>
      </c>
      <c r="W32" s="215" t="str">
        <f>IF(売分析!AD32&lt;&gt;"",売分析!AD32,"")</f>
        <v>上昇トレンド▲</v>
      </c>
      <c r="X32" s="215" t="e">
        <f>IF(売分析!AE32&lt;&gt;"",売分析!AE32,"")</f>
        <v>#VALUE!</v>
      </c>
      <c r="Y32" s="391">
        <f>IF(売分析!T32&lt;&gt;"",売分析!T32,"")</f>
        <v>0</v>
      </c>
      <c r="Z32" s="215" t="e">
        <f>IF(売分析!Y32&lt;&gt;"",売分析!Y32,"")</f>
        <v>#VALUE!</v>
      </c>
    </row>
    <row r="33" spans="1:26">
      <c r="A33" s="328">
        <f>IF(売分析!C33&lt;&gt;"",ROW()-2,"")</f>
        <v>31</v>
      </c>
      <c r="B33" s="327" t="str">
        <f>IF(売分析!C33&lt;&gt;"",HYPERLINK("https://kabutan.jp/stock/?code="&amp;売分析!C33,"株探"),"")</f>
        <v>株探</v>
      </c>
      <c r="C33" s="343">
        <f>IF(売分析!C33&lt;&gt;"",売分析!C33,"")</f>
        <v>6890</v>
      </c>
      <c r="D33" s="328" t="str">
        <f>IF(売分析!D33&lt;&gt;"",売分析!D33,"")</f>
        <v/>
      </c>
      <c r="E33" s="329" t="str">
        <f>IF(売分析!E33&lt;&gt;"",売分析!E33,"")</f>
        <v/>
      </c>
      <c r="F33" s="329" t="str">
        <f>IF(売分析!F33&lt;&gt;"",売分析!F33,"")</f>
        <v/>
      </c>
      <c r="G33" s="329" t="str">
        <f>IF(売分析!H33&lt;&gt;"",売分析!H33,"")</f>
        <v/>
      </c>
      <c r="H33" s="329" t="str">
        <f>IF(売分析!I33&lt;&gt;"",売分析!I33,"")</f>
        <v/>
      </c>
      <c r="I33" s="328" t="str">
        <f>IF(売分析!J33&lt;&gt;"",売分析!J33,"")</f>
        <v/>
      </c>
      <c r="J33" s="329">
        <f>IF(売分析!AB33&lt;&gt;"",売分析!AB33,"")</f>
        <v>7835.6682027649767</v>
      </c>
      <c r="K33" s="329">
        <f>IF(売分析!AC33&lt;&gt;"",売分析!AC33,"")</f>
        <v>8760.6436233611421</v>
      </c>
      <c r="L33" s="329" t="str">
        <f>IF(売分析!K33&lt;&gt;"",売分析!K33,"")</f>
        <v/>
      </c>
      <c r="M33" s="328" t="str">
        <f>IF(売分析!P33&lt;&gt;"",売分析!P33,"")</f>
        <v/>
      </c>
      <c r="N33" s="331" t="str">
        <f>IF(売分析!O33&lt;&gt;"",売分析!O33,"")</f>
        <v/>
      </c>
      <c r="O33" s="333">
        <f>IF(売分析!X33&lt;&gt;"",売分析!X33,"")</f>
        <v>-246.4926623653173</v>
      </c>
      <c r="P33" s="330" t="str">
        <f>IF(売分析!L33&lt;&gt;"",売分析!L33,"")</f>
        <v/>
      </c>
      <c r="Q33" s="329" t="str">
        <f>IF(売分析!S33&lt;&gt;"",売分析!S33,"")</f>
        <v/>
      </c>
      <c r="R33" s="329" t="str">
        <f>IF(売分析!R33&lt;&gt;"",売分析!R33,"")</f>
        <v/>
      </c>
      <c r="S33" s="328" t="str">
        <f>IF(売分析!AA33&lt;&gt;"",売分析!AA33,"")</f>
        <v/>
      </c>
      <c r="T33" s="334" t="str">
        <f>IF(売分析!Z33&lt;&gt;"",売分析!Z33,"")</f>
        <v/>
      </c>
      <c r="U33" s="328" t="str">
        <f>IF(売分析!V33&lt;&gt;"",売分析!V33,"")</f>
        <v/>
      </c>
      <c r="V33" s="332">
        <f>IF(売分析!W33&lt;&gt;"",売分析!W33,"")</f>
        <v>38.505747126436781</v>
      </c>
      <c r="W33" s="328" t="str">
        <f>IF(売分析!AD33&lt;&gt;"",売分析!AD33,"")</f>
        <v>上昇トレンド▲</v>
      </c>
      <c r="X33" s="328" t="e">
        <f>IF(売分析!AE33&lt;&gt;"",売分析!AE33,"")</f>
        <v>#VALUE!</v>
      </c>
      <c r="Y33" s="390">
        <f>IF(売分析!T33&lt;&gt;"",売分析!T33,"")</f>
        <v>0</v>
      </c>
      <c r="Z33" s="328" t="e">
        <f>IF(売分析!Y33&lt;&gt;"",売分析!Y33,"")</f>
        <v>#VALUE!</v>
      </c>
    </row>
    <row r="34" spans="1:26">
      <c r="A34" s="215">
        <f>IF(売分析!C34&lt;&gt;"",ROW()-2,"")</f>
        <v>32</v>
      </c>
      <c r="B34" s="335" t="str">
        <f>IF(売分析!C34&lt;&gt;"",HYPERLINK("https://kabutan.jp/stock/?code="&amp;売分析!C34,"株探"),"")</f>
        <v>株探</v>
      </c>
      <c r="C34" s="344">
        <f>IF(売分析!C34&lt;&gt;"",売分析!C34,"")</f>
        <v>4966</v>
      </c>
      <c r="D34" s="215" t="str">
        <f>IF(売分析!D34&lt;&gt;"",売分析!D34,"")</f>
        <v/>
      </c>
      <c r="E34" s="336" t="str">
        <f>IF(売分析!E34&lt;&gt;"",売分析!E34,"")</f>
        <v/>
      </c>
      <c r="F34" s="336" t="str">
        <f>IF(売分析!F34&lt;&gt;"",売分析!F34,"")</f>
        <v/>
      </c>
      <c r="G34" s="336" t="str">
        <f>IF(売分析!H34&lt;&gt;"",売分析!H34,"")</f>
        <v/>
      </c>
      <c r="H34" s="336" t="str">
        <f>IF(売分析!I34&lt;&gt;"",売分析!I34,"")</f>
        <v/>
      </c>
      <c r="I34" s="215" t="str">
        <f>IF(売分析!J34&lt;&gt;"",売分析!J34,"")</f>
        <v/>
      </c>
      <c r="J34" s="336">
        <f>IF(売分析!AB34&lt;&gt;"",売分析!AB34,"")</f>
        <v>23937.569124423961</v>
      </c>
      <c r="K34" s="336">
        <f>IF(売分析!AC34&lt;&gt;"",売分析!AC34,"")</f>
        <v>25203.194278903444</v>
      </c>
      <c r="L34" s="336" t="str">
        <f>IF(売分析!K34&lt;&gt;"",売分析!K34,"")</f>
        <v/>
      </c>
      <c r="M34" s="215" t="str">
        <f>IF(売分析!P34&lt;&gt;"",売分析!P34,"")</f>
        <v/>
      </c>
      <c r="N34" s="338" t="str">
        <f>IF(売分析!O34&lt;&gt;"",売分析!O34,"")</f>
        <v/>
      </c>
      <c r="O34" s="340">
        <f>IF(売分析!X34&lt;&gt;"",売分析!X34,"")</f>
        <v>-333.75706001059007</v>
      </c>
      <c r="P34" s="337" t="str">
        <f>IF(売分析!L34&lt;&gt;"",売分析!L34,"")</f>
        <v/>
      </c>
      <c r="Q34" s="336" t="str">
        <f>IF(売分析!S34&lt;&gt;"",売分析!S34,"")</f>
        <v/>
      </c>
      <c r="R34" s="336" t="str">
        <f>IF(売分析!R34&lt;&gt;"",売分析!R34,"")</f>
        <v/>
      </c>
      <c r="S34" s="215" t="str">
        <f>IF(売分析!AA34&lt;&gt;"",売分析!AA34,"")</f>
        <v/>
      </c>
      <c r="T34" s="341" t="str">
        <f>IF(売分析!Z34&lt;&gt;"",売分析!Z34,"")</f>
        <v/>
      </c>
      <c r="U34" s="215" t="str">
        <f>IF(売分析!V34&lt;&gt;"",売分析!V34,"")</f>
        <v/>
      </c>
      <c r="V34" s="339">
        <f>IF(売分析!W34&lt;&gt;"",売分析!W34,"")</f>
        <v>39.587073608617594</v>
      </c>
      <c r="W34" s="215" t="str">
        <f>IF(売分析!AD34&lt;&gt;"",売分析!AD34,"")</f>
        <v>上昇トレンド▲</v>
      </c>
      <c r="X34" s="215" t="e">
        <f>IF(売分析!AE34&lt;&gt;"",売分析!AE34,"")</f>
        <v>#VALUE!</v>
      </c>
      <c r="Y34" s="391">
        <f>IF(売分析!T34&lt;&gt;"",売分析!T34,"")</f>
        <v>0</v>
      </c>
      <c r="Z34" s="215" t="e">
        <f>IF(売分析!Y34&lt;&gt;"",売分析!Y34,"")</f>
        <v>#VALUE!</v>
      </c>
    </row>
    <row r="35" spans="1:26">
      <c r="A35" s="328">
        <f>IF(売分析!C35&lt;&gt;"",ROW()-2,"")</f>
        <v>33</v>
      </c>
      <c r="B35" s="327" t="str">
        <f>IF(売分析!C35&lt;&gt;"",HYPERLINK("https://kabutan.jp/stock/?code="&amp;売分析!C35,"株探"),"")</f>
        <v>株探</v>
      </c>
      <c r="C35" s="343">
        <f>IF(売分析!C35&lt;&gt;"",売分析!C35,"")</f>
        <v>8035</v>
      </c>
      <c r="D35" s="328" t="str">
        <f>IF(売分析!D35&lt;&gt;"",売分析!D35,"")</f>
        <v/>
      </c>
      <c r="E35" s="329" t="str">
        <f>IF(売分析!E35&lt;&gt;"",売分析!E35,"")</f>
        <v/>
      </c>
      <c r="F35" s="329" t="str">
        <f>IF(売分析!F35&lt;&gt;"",売分析!F35,"")</f>
        <v/>
      </c>
      <c r="G35" s="329" t="str">
        <f>IF(売分析!H35&lt;&gt;"",売分析!H35,"")</f>
        <v/>
      </c>
      <c r="H35" s="329" t="str">
        <f>IF(売分析!I35&lt;&gt;"",売分析!I35,"")</f>
        <v/>
      </c>
      <c r="I35" s="328" t="str">
        <f>IF(売分析!J35&lt;&gt;"",売分析!J35,"")</f>
        <v/>
      </c>
      <c r="J35" s="329">
        <f>IF(売分析!AB35&lt;&gt;"",売分析!AB35,"")</f>
        <v>69769.078341013825</v>
      </c>
      <c r="K35" s="329">
        <f>IF(売分析!AC35&lt;&gt;"",売分析!AC35,"")</f>
        <v>71600.071513706775</v>
      </c>
      <c r="L35" s="329" t="str">
        <f>IF(売分析!K35&lt;&gt;"",売分析!K35,"")</f>
        <v/>
      </c>
      <c r="M35" s="328" t="str">
        <f>IF(売分析!P35&lt;&gt;"",売分析!P35,"")</f>
        <v/>
      </c>
      <c r="N35" s="331" t="str">
        <f>IF(売分析!O35&lt;&gt;"",売分析!O35,"")</f>
        <v/>
      </c>
      <c r="O35" s="333">
        <f>IF(売分析!X35&lt;&gt;"",売分析!X35,"")</f>
        <v>-196.06024542366504</v>
      </c>
      <c r="P35" s="330" t="str">
        <f>IF(売分析!L35&lt;&gt;"",売分析!L35,"")</f>
        <v/>
      </c>
      <c r="Q35" s="329" t="str">
        <f>IF(売分析!S35&lt;&gt;"",売分析!S35,"")</f>
        <v/>
      </c>
      <c r="R35" s="329" t="str">
        <f>IF(売分析!R35&lt;&gt;"",売分析!R35,"")</f>
        <v/>
      </c>
      <c r="S35" s="328" t="str">
        <f>IF(売分析!AA35&lt;&gt;"",売分析!AA35,"")</f>
        <v/>
      </c>
      <c r="T35" s="334" t="str">
        <f>IF(売分析!Z35&lt;&gt;"",売分析!Z35,"")</f>
        <v/>
      </c>
      <c r="U35" s="328" t="str">
        <f>IF(売分析!V35&lt;&gt;"",売分析!V35,"")</f>
        <v/>
      </c>
      <c r="V35" s="332">
        <f>IF(売分析!W35&lt;&gt;"",売分析!W35,"")</f>
        <v>48.213125406107864</v>
      </c>
      <c r="W35" s="328" t="str">
        <f>IF(売分析!AD35&lt;&gt;"",売分析!AD35,"")</f>
        <v>上昇トレンド▲</v>
      </c>
      <c r="X35" s="328" t="e">
        <f>IF(売分析!AE35&lt;&gt;"",売分析!AE35,"")</f>
        <v>#VALUE!</v>
      </c>
      <c r="Y35" s="390">
        <f>IF(売分析!T35&lt;&gt;"",売分析!T35,"")</f>
        <v>0</v>
      </c>
      <c r="Z35" s="328" t="e">
        <f>IF(売分析!Y35&lt;&gt;"",売分析!Y35,"")</f>
        <v>#VALUE!</v>
      </c>
    </row>
    <row r="36" spans="1:26">
      <c r="A36" s="215">
        <f>IF(売分析!C36&lt;&gt;"",ROW()-2,"")</f>
        <v>34</v>
      </c>
      <c r="B36" s="335" t="str">
        <f>IF(売分析!C36&lt;&gt;"",HYPERLINK("https://kabutan.jp/stock/?code="&amp;売分析!C36,"株探"),"")</f>
        <v>株探</v>
      </c>
      <c r="C36" s="344" t="str">
        <f>IF(売分析!C36&lt;&gt;"",売分析!C36,"")</f>
        <v>TOPX</v>
      </c>
      <c r="D36" s="215" t="str">
        <f>IF(売分析!D36&lt;&gt;"",売分析!D36,"")</f>
        <v/>
      </c>
      <c r="E36" s="336" t="str">
        <f>IF(売分析!E36&lt;&gt;"",売分析!E36,"")</f>
        <v/>
      </c>
      <c r="F36" s="336" t="str">
        <f>IF(売分析!F36&lt;&gt;"",売分析!F36,"")</f>
        <v/>
      </c>
      <c r="G36" s="336" t="str">
        <f>IF(売分析!H36&lt;&gt;"",売分析!H36,"")</f>
        <v/>
      </c>
      <c r="H36" s="336" t="str">
        <f>IF(売分析!I36&lt;&gt;"",売分析!I36,"")</f>
        <v/>
      </c>
      <c r="I36" s="215" t="str">
        <f>IF(売分析!J36&lt;&gt;"",売分析!J36,"")</f>
        <v/>
      </c>
      <c r="J36" s="336" t="str">
        <f>IF(売分析!AB36&lt;&gt;"",売分析!AB36,"")</f>
        <v/>
      </c>
      <c r="K36" s="336" t="str">
        <f>IF(売分析!AC36&lt;&gt;"",売分析!AC36,"")</f>
        <v/>
      </c>
      <c r="L36" s="336" t="str">
        <f>IF(売分析!K36&lt;&gt;"",売分析!K36,"")</f>
        <v/>
      </c>
      <c r="M36" s="215" t="str">
        <f>IF(売分析!P36&lt;&gt;"",売分析!P36,"")</f>
        <v/>
      </c>
      <c r="N36" s="338" t="str">
        <f>IF(売分析!O36&lt;&gt;"",売分析!O36,"")</f>
        <v/>
      </c>
      <c r="O36" s="340">
        <f>IF(売分析!X36&lt;&gt;"",売分析!X36,"")</f>
        <v>4.2773716660262835</v>
      </c>
      <c r="P36" s="337" t="str">
        <f>IF(売分析!L36&lt;&gt;"",売分析!L36,"")</f>
        <v/>
      </c>
      <c r="Q36" s="336" t="str">
        <f>IF(売分析!S36&lt;&gt;"",売分析!S36,"")</f>
        <v/>
      </c>
      <c r="R36" s="336" t="str">
        <f>IF(売分析!R36&lt;&gt;"",売分析!R36,"")</f>
        <v/>
      </c>
      <c r="S36" s="215" t="str">
        <f>IF(売分析!AA36&lt;&gt;"",売分析!AA36,"")</f>
        <v/>
      </c>
      <c r="T36" s="341" t="str">
        <f>IF(売分析!Z36&lt;&gt;"",売分析!Z36,"")</f>
        <v/>
      </c>
      <c r="U36" s="215" t="str">
        <f>IF(売分析!V36&lt;&gt;"",売分析!V36,"")</f>
        <v/>
      </c>
      <c r="V36" s="339">
        <f>IF(売分析!W36&lt;&gt;"",売分析!W36,"")</f>
        <v>66.72386058981229</v>
      </c>
      <c r="W36" s="215" t="str">
        <f>IF(売分析!AD36&lt;&gt;"",売分析!AD36,"")</f>
        <v/>
      </c>
      <c r="X36" s="215" t="str">
        <f>IF(売分析!AE36&lt;&gt;"",売分析!AE36,"")</f>
        <v/>
      </c>
      <c r="Y36" s="391">
        <f>IF(売分析!T36&lt;&gt;"",売分析!T36,"")</f>
        <v>0</v>
      </c>
      <c r="Z36" s="215" t="e">
        <f>IF(売分析!Y36&lt;&gt;"",売分析!Y36,"")</f>
        <v>#VALUE!</v>
      </c>
    </row>
    <row r="37" spans="1:26">
      <c r="A37" s="328">
        <f>IF(売分析!C37&lt;&gt;"",ROW()-2,"")</f>
        <v>35</v>
      </c>
      <c r="B37" s="327" t="str">
        <f>IF(売分析!C37&lt;&gt;"",HYPERLINK("https://kabutan.jp/stock/?code="&amp;売分析!C37,"株探"),"")</f>
        <v>株探</v>
      </c>
      <c r="C37" s="343">
        <f>IF(売分析!C37&lt;&gt;"",売分析!C37,"")</f>
        <v>5333</v>
      </c>
      <c r="D37" s="328" t="str">
        <f>IF(売分析!D37&lt;&gt;"",売分析!D37,"")</f>
        <v/>
      </c>
      <c r="E37" s="329" t="str">
        <f>IF(売分析!E37&lt;&gt;"",売分析!E37,"")</f>
        <v/>
      </c>
      <c r="F37" s="329" t="str">
        <f>IF(売分析!F37&lt;&gt;"",売分析!F37,"")</f>
        <v/>
      </c>
      <c r="G37" s="329" t="str">
        <f>IF(売分析!H37&lt;&gt;"",売分析!H37,"")</f>
        <v/>
      </c>
      <c r="H37" s="329" t="str">
        <f>IF(売分析!I37&lt;&gt;"",売分析!I37,"")</f>
        <v/>
      </c>
      <c r="I37" s="328" t="str">
        <f>IF(売分析!J37&lt;&gt;"",売分析!J37,"")</f>
        <v/>
      </c>
      <c r="J37" s="329">
        <f>IF(売分析!AB37&lt;&gt;"",売分析!AB37,"")</f>
        <v>6457.6509216589857</v>
      </c>
      <c r="K37" s="329">
        <f>IF(売分析!AC37&lt;&gt;"",売分析!AC37,"")</f>
        <v>6979.0858164481497</v>
      </c>
      <c r="L37" s="329" t="str">
        <f>IF(売分析!K37&lt;&gt;"",売分析!K37,"")</f>
        <v/>
      </c>
      <c r="M37" s="328" t="str">
        <f>IF(売分析!P37&lt;&gt;"",売分析!P37,"")</f>
        <v/>
      </c>
      <c r="N37" s="331" t="str">
        <f>IF(売分析!O37&lt;&gt;"",売分析!O37,"")</f>
        <v/>
      </c>
      <c r="O37" s="333">
        <f>IF(売分析!X37&lt;&gt;"",売分析!X37,"")</f>
        <v>-83.811756932641401</v>
      </c>
      <c r="P37" s="330" t="str">
        <f>IF(売分析!L37&lt;&gt;"",売分析!L37,"")</f>
        <v/>
      </c>
      <c r="Q37" s="329" t="str">
        <f>IF(売分析!S37&lt;&gt;"",売分析!S37,"")</f>
        <v/>
      </c>
      <c r="R37" s="329" t="str">
        <f>IF(売分析!R37&lt;&gt;"",売分析!R37,"")</f>
        <v/>
      </c>
      <c r="S37" s="328" t="str">
        <f>IF(売分析!AA37&lt;&gt;"",売分析!AA37,"")</f>
        <v/>
      </c>
      <c r="T37" s="334" t="str">
        <f>IF(売分析!Z37&lt;&gt;"",売分析!Z37,"")</f>
        <v/>
      </c>
      <c r="U37" s="328" t="str">
        <f>IF(売分析!V37&lt;&gt;"",売分析!V37,"")</f>
        <v/>
      </c>
      <c r="V37" s="332">
        <f>IF(売分析!W37&lt;&gt;"",売分析!W37,"")</f>
        <v>27.093802345058634</v>
      </c>
      <c r="W37" s="328" t="str">
        <f>IF(売分析!AD37&lt;&gt;"",売分析!AD37,"")</f>
        <v>上昇トレンド▲</v>
      </c>
      <c r="X37" s="328" t="e">
        <f>IF(売分析!AE37&lt;&gt;"",売分析!AE37,"")</f>
        <v>#VALUE!</v>
      </c>
      <c r="Y37" s="390">
        <f>IF(売分析!T37&lt;&gt;"",売分析!T37,"")</f>
        <v>0</v>
      </c>
      <c r="Z37" s="328" t="e">
        <f>IF(売分析!Y37&lt;&gt;"",売分析!Y37,"")</f>
        <v>#VALUE!</v>
      </c>
    </row>
    <row r="38" spans="1:26">
      <c r="A38" s="215">
        <f>IF(売分析!C38&lt;&gt;"",ROW()-2,"")</f>
        <v>36</v>
      </c>
      <c r="B38" s="335" t="str">
        <f>IF(売分析!C38&lt;&gt;"",HYPERLINK("https://kabutan.jp/stock/?code="&amp;売分析!C38,"株探"),"")</f>
        <v>株探</v>
      </c>
      <c r="C38" s="344">
        <f>IF(売分析!C38&lt;&gt;"",売分析!C38,"")</f>
        <v>8572</v>
      </c>
      <c r="D38" s="215" t="str">
        <f>IF(売分析!D38&lt;&gt;"",売分析!D38,"")</f>
        <v/>
      </c>
      <c r="E38" s="336" t="str">
        <f>IF(売分析!E38&lt;&gt;"",売分析!E38,"")</f>
        <v/>
      </c>
      <c r="F38" s="336" t="str">
        <f>IF(売分析!F38&lt;&gt;"",売分析!F38,"")</f>
        <v/>
      </c>
      <c r="G38" s="336" t="str">
        <f>IF(売分析!H38&lt;&gt;"",売分析!H38,"")</f>
        <v/>
      </c>
      <c r="H38" s="336" t="str">
        <f>IF(売分析!I38&lt;&gt;"",売分析!I38,"")</f>
        <v/>
      </c>
      <c r="I38" s="215" t="str">
        <f>IF(売分析!J38&lt;&gt;"",売分析!J38,"")</f>
        <v/>
      </c>
      <c r="J38" s="336">
        <f>IF(売分析!AB38&lt;&gt;"",売分析!AB38,"")</f>
        <v>484.63421658986169</v>
      </c>
      <c r="K38" s="336">
        <f>IF(売分析!AC38&lt;&gt;"",売分析!AC38,"")</f>
        <v>470.63945172824771</v>
      </c>
      <c r="L38" s="336" t="str">
        <f>IF(売分析!K38&lt;&gt;"",売分析!K38,"")</f>
        <v/>
      </c>
      <c r="M38" s="215" t="str">
        <f>IF(売分析!P38&lt;&gt;"",売分析!P38,"")</f>
        <v/>
      </c>
      <c r="N38" s="338" t="str">
        <f>IF(売分析!O38&lt;&gt;"",売分析!O38,"")</f>
        <v/>
      </c>
      <c r="O38" s="340">
        <f>IF(売分析!X38&lt;&gt;"",売分析!X38,"")</f>
        <v>5.3765000656746906</v>
      </c>
      <c r="P38" s="337" t="str">
        <f>IF(売分析!L38&lt;&gt;"",売分析!L38,"")</f>
        <v/>
      </c>
      <c r="Q38" s="336" t="str">
        <f>IF(売分析!S38&lt;&gt;"",売分析!S38,"")</f>
        <v/>
      </c>
      <c r="R38" s="336" t="str">
        <f>IF(売分析!R38&lt;&gt;"",売分析!R38,"")</f>
        <v/>
      </c>
      <c r="S38" s="215" t="str">
        <f>IF(売分析!AA38&lt;&gt;"",売分析!AA38,"")</f>
        <v/>
      </c>
      <c r="T38" s="341" t="str">
        <f>IF(売分析!Z38&lt;&gt;"",売分析!Z38,"")</f>
        <v/>
      </c>
      <c r="U38" s="215" t="str">
        <f>IF(売分析!V38&lt;&gt;"",売分析!V38,"")</f>
        <v/>
      </c>
      <c r="V38" s="339">
        <f>IF(売分析!W38&lt;&gt;"",売分析!W38,"")</f>
        <v>87.852112676056365</v>
      </c>
      <c r="W38" s="215" t="str">
        <f>IF(売分析!AD38&lt;&gt;"",売分析!AD38,"")</f>
        <v>パーフェクト▲</v>
      </c>
      <c r="X38" s="215" t="e">
        <f>IF(売分析!AE38&lt;&gt;"",売分析!AE38,"")</f>
        <v>#VALUE!</v>
      </c>
      <c r="Y38" s="391">
        <f>IF(売分析!T38&lt;&gt;"",売分析!T38,"")</f>
        <v>0</v>
      </c>
      <c r="Z38" s="215" t="e">
        <f>IF(売分析!Y38&lt;&gt;"",売分析!Y38,"")</f>
        <v>#VALUE!</v>
      </c>
    </row>
    <row r="39" spans="1:26">
      <c r="A39" s="328">
        <f>IF(売分析!C39&lt;&gt;"",ROW()-2,"")</f>
        <v>37</v>
      </c>
      <c r="B39" s="327" t="str">
        <f>IF(売分析!C39&lt;&gt;"",HYPERLINK("https://kabutan.jp/stock/?code="&amp;売分析!C39,"株探"),"")</f>
        <v>株探</v>
      </c>
      <c r="C39" s="343">
        <f>IF(売分析!C39&lt;&gt;"",売分析!C39,"")</f>
        <v>6503</v>
      </c>
      <c r="D39" s="328" t="str">
        <f>IF(売分析!D39&lt;&gt;"",売分析!D39,"")</f>
        <v/>
      </c>
      <c r="E39" s="329" t="str">
        <f>IF(売分析!E39&lt;&gt;"",売分析!E39,"")</f>
        <v/>
      </c>
      <c r="F39" s="329" t="str">
        <f>IF(売分析!F39&lt;&gt;"",売分析!F39,"")</f>
        <v/>
      </c>
      <c r="G39" s="329" t="str">
        <f>IF(売分析!H39&lt;&gt;"",売分析!H39,"")</f>
        <v/>
      </c>
      <c r="H39" s="329" t="str">
        <f>IF(売分析!I39&lt;&gt;"",売分析!I39,"")</f>
        <v/>
      </c>
      <c r="I39" s="328" t="str">
        <f>IF(売分析!J39&lt;&gt;"",売分析!J39,"")</f>
        <v/>
      </c>
      <c r="J39" s="329">
        <f>IF(売分析!AB39&lt;&gt;"",売分析!AB39,"")</f>
        <v>5574.9642857142853</v>
      </c>
      <c r="K39" s="329">
        <f>IF(売分析!AC39&lt;&gt;"",売分析!AC39,"")</f>
        <v>5784.7890345649566</v>
      </c>
      <c r="L39" s="329" t="str">
        <f>IF(売分析!K39&lt;&gt;"",売分析!K39,"")</f>
        <v/>
      </c>
      <c r="M39" s="328" t="str">
        <f>IF(売分析!P39&lt;&gt;"",売分析!P39,"")</f>
        <v/>
      </c>
      <c r="N39" s="331" t="str">
        <f>IF(売分析!O39&lt;&gt;"",売分析!O39,"")</f>
        <v/>
      </c>
      <c r="O39" s="333">
        <f>IF(売分析!X39&lt;&gt;"",売分析!X39,"")</f>
        <v>-37.291662520544378</v>
      </c>
      <c r="P39" s="330" t="str">
        <f>IF(売分析!L39&lt;&gt;"",売分析!L39,"")</f>
        <v/>
      </c>
      <c r="Q39" s="329" t="str">
        <f>IF(売分析!S39&lt;&gt;"",売分析!S39,"")</f>
        <v/>
      </c>
      <c r="R39" s="329" t="str">
        <f>IF(売分析!R39&lt;&gt;"",売分析!R39,"")</f>
        <v/>
      </c>
      <c r="S39" s="328" t="str">
        <f>IF(売分析!AA39&lt;&gt;"",売分析!AA39,"")</f>
        <v/>
      </c>
      <c r="T39" s="334" t="str">
        <f>IF(売分析!Z39&lt;&gt;"",売分析!Z39,"")</f>
        <v/>
      </c>
      <c r="U39" s="328" t="str">
        <f>IF(売分析!V39&lt;&gt;"",売分析!V39,"")</f>
        <v/>
      </c>
      <c r="V39" s="332">
        <f>IF(売分析!W39&lt;&gt;"",売分析!W39,"")</f>
        <v>42.259414225941427</v>
      </c>
      <c r="W39" s="328" t="str">
        <f>IF(売分析!AD39&lt;&gt;"",売分析!AD39,"")</f>
        <v>上昇トレンド▲</v>
      </c>
      <c r="X39" s="328" t="e">
        <f>IF(売分析!AE39&lt;&gt;"",売分析!AE39,"")</f>
        <v>#VALUE!</v>
      </c>
      <c r="Y39" s="390">
        <f>IF(売分析!T39&lt;&gt;"",売分析!T39,"")</f>
        <v>0</v>
      </c>
      <c r="Z39" s="328" t="e">
        <f>IF(売分析!Y39&lt;&gt;"",売分析!Y39,"")</f>
        <v>#VALUE!</v>
      </c>
    </row>
    <row r="40" spans="1:26">
      <c r="A40" s="215">
        <f>IF(売分析!C40&lt;&gt;"",ROW()-2,"")</f>
        <v>38</v>
      </c>
      <c r="B40" s="335" t="str">
        <f>IF(売分析!C40&lt;&gt;"",HYPERLINK("https://kabutan.jp/stock/?code="&amp;売分析!C40,"株探"),"")</f>
        <v>株探</v>
      </c>
      <c r="C40" s="344">
        <f>IF(売分析!C40&lt;&gt;"",売分析!C40,"")</f>
        <v>1963</v>
      </c>
      <c r="D40" s="215" t="str">
        <f>IF(売分析!D40&lt;&gt;"",売分析!D40,"")</f>
        <v/>
      </c>
      <c r="E40" s="336" t="str">
        <f>IF(売分析!E40&lt;&gt;"",売分析!E40,"")</f>
        <v/>
      </c>
      <c r="F40" s="336" t="str">
        <f>IF(売分析!F40&lt;&gt;"",売分析!F40,"")</f>
        <v/>
      </c>
      <c r="G40" s="336" t="str">
        <f>IF(売分析!H40&lt;&gt;"",売分析!H40,"")</f>
        <v/>
      </c>
      <c r="H40" s="336" t="str">
        <f>IF(売分析!I40&lt;&gt;"",売分析!I40,"")</f>
        <v/>
      </c>
      <c r="I40" s="215" t="str">
        <f>IF(売分析!J40&lt;&gt;"",売分析!J40,"")</f>
        <v/>
      </c>
      <c r="J40" s="336">
        <f>IF(売分析!AB40&lt;&gt;"",売分析!AB40,"")</f>
        <v>2268.5990783410139</v>
      </c>
      <c r="K40" s="336">
        <f>IF(売分析!AC40&lt;&gt;"",売分析!AC40,"")</f>
        <v>2423.6674612634083</v>
      </c>
      <c r="L40" s="336" t="str">
        <f>IF(売分析!K40&lt;&gt;"",売分析!K40,"")</f>
        <v/>
      </c>
      <c r="M40" s="215" t="str">
        <f>IF(売分析!P40&lt;&gt;"",売分析!P40,"")</f>
        <v/>
      </c>
      <c r="N40" s="338" t="str">
        <f>IF(売分析!O40&lt;&gt;"",売分析!O40,"")</f>
        <v/>
      </c>
      <c r="O40" s="340">
        <f>IF(売分析!X40&lt;&gt;"",売分析!X40,"")</f>
        <v>-43.085318163182365</v>
      </c>
      <c r="P40" s="337" t="str">
        <f>IF(売分析!L40&lt;&gt;"",売分析!L40,"")</f>
        <v/>
      </c>
      <c r="Q40" s="336" t="str">
        <f>IF(売分析!S40&lt;&gt;"",売分析!S40,"")</f>
        <v/>
      </c>
      <c r="R40" s="336" t="str">
        <f>IF(売分析!R40&lt;&gt;"",売分析!R40,"")</f>
        <v/>
      </c>
      <c r="S40" s="215" t="str">
        <f>IF(売分析!AA40&lt;&gt;"",売分析!AA40,"")</f>
        <v/>
      </c>
      <c r="T40" s="341" t="str">
        <f>IF(売分析!Z40&lt;&gt;"",売分析!Z40,"")</f>
        <v/>
      </c>
      <c r="U40" s="215" t="str">
        <f>IF(売分析!V40&lt;&gt;"",売分析!V40,"")</f>
        <v/>
      </c>
      <c r="V40" s="339">
        <f>IF(売分析!W40&lt;&gt;"",売分析!W40,"")</f>
        <v>27.195767195767189</v>
      </c>
      <c r="W40" s="215" t="str">
        <f>IF(売分析!AD40&lt;&gt;"",売分析!AD40,"")</f>
        <v>上昇トレンド▲</v>
      </c>
      <c r="X40" s="215" t="e">
        <f>IF(売分析!AE40&lt;&gt;"",売分析!AE40,"")</f>
        <v>#VALUE!</v>
      </c>
      <c r="Y40" s="391">
        <f>IF(売分析!T40&lt;&gt;"",売分析!T40,"")</f>
        <v>0</v>
      </c>
      <c r="Z40" s="215" t="e">
        <f>IF(売分析!Y40&lt;&gt;"",売分析!Y40,"")</f>
        <v>#VALUE!</v>
      </c>
    </row>
    <row r="41" spans="1:26">
      <c r="A41" s="328">
        <f>IF(売分析!C41&lt;&gt;"",ROW()-2,"")</f>
        <v>39</v>
      </c>
      <c r="B41" s="327" t="str">
        <f>IF(売分析!C41&lt;&gt;"",HYPERLINK("https://kabutan.jp/stock/?code="&amp;売分析!C41,"株探"),"")</f>
        <v>株探</v>
      </c>
      <c r="C41" s="343">
        <f>IF(売分析!C41&lt;&gt;"",売分析!C41,"")</f>
        <v>6323</v>
      </c>
      <c r="D41" s="328" t="str">
        <f>IF(売分析!D41&lt;&gt;"",売分析!D41,"")</f>
        <v/>
      </c>
      <c r="E41" s="329" t="str">
        <f>IF(売分析!E41&lt;&gt;"",売分析!E41,"")</f>
        <v/>
      </c>
      <c r="F41" s="329" t="str">
        <f>IF(売分析!F41&lt;&gt;"",売分析!F41,"")</f>
        <v/>
      </c>
      <c r="G41" s="329" t="str">
        <f>IF(売分析!H41&lt;&gt;"",売分析!H41,"")</f>
        <v/>
      </c>
      <c r="H41" s="329" t="str">
        <f>IF(売分析!I41&lt;&gt;"",売分析!I41,"")</f>
        <v/>
      </c>
      <c r="I41" s="328" t="str">
        <f>IF(売分析!J41&lt;&gt;"",売分析!J41,"")</f>
        <v/>
      </c>
      <c r="J41" s="329">
        <f>IF(売分析!AB41&lt;&gt;"",売分析!AB41,"")</f>
        <v>4609.2868663594463</v>
      </c>
      <c r="K41" s="329">
        <f>IF(売分析!AC41&lt;&gt;"",売分析!AC41,"")</f>
        <v>4625.6328963051228</v>
      </c>
      <c r="L41" s="329" t="str">
        <f>IF(売分析!K41&lt;&gt;"",売分析!K41,"")</f>
        <v/>
      </c>
      <c r="M41" s="328" t="str">
        <f>IF(売分析!P41&lt;&gt;"",売分析!P41,"")</f>
        <v/>
      </c>
      <c r="N41" s="331" t="str">
        <f>IF(売分析!O41&lt;&gt;"",売分析!O41,"")</f>
        <v/>
      </c>
      <c r="O41" s="333">
        <f>IF(売分析!X41&lt;&gt;"",売分析!X41,"")</f>
        <v>16.965391519628611</v>
      </c>
      <c r="P41" s="330" t="str">
        <f>IF(売分析!L41&lt;&gt;"",売分析!L41,"")</f>
        <v/>
      </c>
      <c r="Q41" s="329" t="str">
        <f>IF(売分析!S41&lt;&gt;"",売分析!S41,"")</f>
        <v/>
      </c>
      <c r="R41" s="329" t="str">
        <f>IF(売分析!R41&lt;&gt;"",売分析!R41,"")</f>
        <v/>
      </c>
      <c r="S41" s="328" t="str">
        <f>IF(売分析!AA41&lt;&gt;"",売分析!AA41,"")</f>
        <v/>
      </c>
      <c r="T41" s="334" t="str">
        <f>IF(売分析!Z41&lt;&gt;"",売分析!Z41,"")</f>
        <v/>
      </c>
      <c r="U41" s="328" t="str">
        <f>IF(売分析!V41&lt;&gt;"",売分析!V41,"")</f>
        <v/>
      </c>
      <c r="V41" s="332">
        <f>IF(売分析!W41&lt;&gt;"",売分析!W41,"")</f>
        <v>51.844660194174757</v>
      </c>
      <c r="W41" s="328" t="str">
        <f>IF(売分析!AD41&lt;&gt;"",売分析!AD41,"")</f>
        <v>上昇トレンド▲</v>
      </c>
      <c r="X41" s="328" t="e">
        <f>IF(売分析!AE41&lt;&gt;"",売分析!AE41,"")</f>
        <v>#VALUE!</v>
      </c>
      <c r="Y41" s="390">
        <f>IF(売分析!T41&lt;&gt;"",売分析!T41,"")</f>
        <v>0</v>
      </c>
      <c r="Z41" s="328" t="e">
        <f>IF(売分析!Y41&lt;&gt;"",売分析!Y41,"")</f>
        <v>#VALUE!</v>
      </c>
    </row>
    <row r="42" spans="1:26">
      <c r="A42" s="215">
        <f>IF(売分析!C42&lt;&gt;"",ROW()-2,"")</f>
        <v>40</v>
      </c>
      <c r="B42" s="335" t="str">
        <f>IF(売分析!C42&lt;&gt;"",HYPERLINK("https://kabutan.jp/stock/?code="&amp;売分析!C42,"株探"),"")</f>
        <v>株探</v>
      </c>
      <c r="C42" s="344">
        <f>IF(売分析!C42&lt;&gt;"",売分析!C42,"")</f>
        <v>6925</v>
      </c>
      <c r="D42" s="215" t="str">
        <f>IF(売分析!D42&lt;&gt;"",売分析!D42,"")</f>
        <v/>
      </c>
      <c r="E42" s="336" t="str">
        <f>IF(売分析!E42&lt;&gt;"",売分析!E42,"")</f>
        <v/>
      </c>
      <c r="F42" s="336" t="str">
        <f>IF(売分析!F42&lt;&gt;"",売分析!F42,"")</f>
        <v/>
      </c>
      <c r="G42" s="336" t="str">
        <f>IF(売分析!H42&lt;&gt;"",売分析!H42,"")</f>
        <v/>
      </c>
      <c r="H42" s="336" t="str">
        <f>IF(売分析!I42&lt;&gt;"",売分析!I42,"")</f>
        <v/>
      </c>
      <c r="I42" s="215" t="str">
        <f>IF(売分析!J42&lt;&gt;"",売分析!J42,"")</f>
        <v/>
      </c>
      <c r="J42" s="336">
        <f>IF(売分析!AB42&lt;&gt;"",売分析!AB42,"")</f>
        <v>4057.0887096774186</v>
      </c>
      <c r="K42" s="336">
        <f>IF(売分析!AC42&lt;&gt;"",売分析!AC42,"")</f>
        <v>4314.7413587604269</v>
      </c>
      <c r="L42" s="336" t="str">
        <f>IF(売分析!K42&lt;&gt;"",売分析!K42,"")</f>
        <v/>
      </c>
      <c r="M42" s="215" t="str">
        <f>IF(売分析!P42&lt;&gt;"",売分析!P42,"")</f>
        <v/>
      </c>
      <c r="N42" s="338" t="str">
        <f>IF(売分析!O42&lt;&gt;"",売分析!O42,"")</f>
        <v/>
      </c>
      <c r="O42" s="340">
        <f>IF(売分析!X42&lt;&gt;"",売分析!X42,"")</f>
        <v>-33.461303778473848</v>
      </c>
      <c r="P42" s="337" t="str">
        <f>IF(売分析!L42&lt;&gt;"",売分析!L42,"")</f>
        <v/>
      </c>
      <c r="Q42" s="336" t="str">
        <f>IF(売分析!S42&lt;&gt;"",売分析!S42,"")</f>
        <v/>
      </c>
      <c r="R42" s="336" t="str">
        <f>IF(売分析!R42&lt;&gt;"",売分析!R42,"")</f>
        <v/>
      </c>
      <c r="S42" s="215" t="str">
        <f>IF(売分析!AA42&lt;&gt;"",売分析!AA42,"")</f>
        <v/>
      </c>
      <c r="T42" s="341" t="str">
        <f>IF(売分析!Z42&lt;&gt;"",売分析!Z42,"")</f>
        <v/>
      </c>
      <c r="U42" s="215" t="str">
        <f>IF(売分析!V42&lt;&gt;"",売分析!V42,"")</f>
        <v/>
      </c>
      <c r="V42" s="339">
        <f>IF(売分析!W42&lt;&gt;"",売分析!W42,"")</f>
        <v>43.472022955523677</v>
      </c>
      <c r="W42" s="215" t="str">
        <f>IF(売分析!AD42&lt;&gt;"",売分析!AD42,"")</f>
        <v>上昇トレンド▲</v>
      </c>
      <c r="X42" s="215" t="e">
        <f>IF(売分析!AE42&lt;&gt;"",売分析!AE42,"")</f>
        <v>#VALUE!</v>
      </c>
      <c r="Y42" s="391">
        <f>IF(売分析!T42&lt;&gt;"",売分析!T42,"")</f>
        <v>0</v>
      </c>
      <c r="Z42" s="215" t="e">
        <f>IF(売分析!Y42&lt;&gt;"",売分析!Y42,"")</f>
        <v>#VALUE!</v>
      </c>
    </row>
    <row r="43" spans="1:26">
      <c r="A43" s="328">
        <f>IF(売分析!C43&lt;&gt;"",ROW()-2,"")</f>
        <v>41</v>
      </c>
      <c r="B43" s="327" t="str">
        <f>IF(売分析!C43&lt;&gt;"",HYPERLINK("https://kabutan.jp/stock/?code="&amp;売分析!C43,"株探"),"")</f>
        <v>株探</v>
      </c>
      <c r="C43" s="343">
        <f>IF(売分析!C43&lt;&gt;"",売分析!C43,"")</f>
        <v>3891</v>
      </c>
      <c r="D43" s="328" t="str">
        <f>IF(売分析!D43&lt;&gt;"",売分析!D43,"")</f>
        <v/>
      </c>
      <c r="E43" s="329" t="str">
        <f>IF(売分析!E43&lt;&gt;"",売分析!E43,"")</f>
        <v/>
      </c>
      <c r="F43" s="329" t="str">
        <f>IF(売分析!F43&lt;&gt;"",売分析!F43,"")</f>
        <v/>
      </c>
      <c r="G43" s="329" t="str">
        <f>IF(売分析!H43&lt;&gt;"",売分析!H43,"")</f>
        <v/>
      </c>
      <c r="H43" s="329" t="str">
        <f>IF(売分析!I43&lt;&gt;"",売分析!I43,"")</f>
        <v/>
      </c>
      <c r="I43" s="328" t="str">
        <f>IF(売分析!J43&lt;&gt;"",売分析!J43,"")</f>
        <v/>
      </c>
      <c r="J43" s="329">
        <f>IF(売分析!AB43&lt;&gt;"",売分析!AB43,"")</f>
        <v>7452.29262672811</v>
      </c>
      <c r="K43" s="329">
        <f>IF(売分析!AC43&lt;&gt;"",売分析!AC43,"")</f>
        <v>8604.8748510131063</v>
      </c>
      <c r="L43" s="329" t="str">
        <f>IF(売分析!K43&lt;&gt;"",売分析!K43,"")</f>
        <v/>
      </c>
      <c r="M43" s="328" t="str">
        <f>IF(売分析!P43&lt;&gt;"",売分析!P43,"")</f>
        <v/>
      </c>
      <c r="N43" s="331" t="str">
        <f>IF(売分析!O43&lt;&gt;"",売分析!O43,"")</f>
        <v/>
      </c>
      <c r="O43" s="333">
        <f>IF(売分析!X43&lt;&gt;"",売分析!X43,"")</f>
        <v>-322.84808489127772</v>
      </c>
      <c r="P43" s="330" t="str">
        <f>IF(売分析!L43&lt;&gt;"",売分析!L43,"")</f>
        <v/>
      </c>
      <c r="Q43" s="329" t="str">
        <f>IF(売分析!S43&lt;&gt;"",売分析!S43,"")</f>
        <v/>
      </c>
      <c r="R43" s="329" t="str">
        <f>IF(売分析!R43&lt;&gt;"",売分析!R43,"")</f>
        <v/>
      </c>
      <c r="S43" s="328" t="str">
        <f>IF(売分析!AA43&lt;&gt;"",売分析!AA43,"")</f>
        <v/>
      </c>
      <c r="T43" s="334" t="str">
        <f>IF(売分析!Z43&lt;&gt;"",売分析!Z43,"")</f>
        <v/>
      </c>
      <c r="U43" s="328" t="str">
        <f>IF(売分析!V43&lt;&gt;"",売分析!V43,"")</f>
        <v/>
      </c>
      <c r="V43" s="332">
        <f>IF(売分析!W43&lt;&gt;"",売分析!W43,"")</f>
        <v>25.44031311154599</v>
      </c>
      <c r="W43" s="328" t="str">
        <f>IF(売分析!AD43&lt;&gt;"",売分析!AD43,"")</f>
        <v>上昇トレンド▲</v>
      </c>
      <c r="X43" s="328" t="e">
        <f>IF(売分析!AE43&lt;&gt;"",売分析!AE43,"")</f>
        <v>#VALUE!</v>
      </c>
      <c r="Y43" s="390">
        <f>IF(売分析!T43&lt;&gt;"",売分析!T43,"")</f>
        <v>0</v>
      </c>
      <c r="Z43" s="328" t="e">
        <f>IF(売分析!Y43&lt;&gt;"",売分析!Y43,"")</f>
        <v>#VALUE!</v>
      </c>
    </row>
    <row r="44" spans="1:26">
      <c r="A44" s="215">
        <f>IF(売分析!C44&lt;&gt;"",ROW()-2,"")</f>
        <v>42</v>
      </c>
      <c r="B44" s="335" t="str">
        <f>IF(売分析!C44&lt;&gt;"",HYPERLINK("https://kabutan.jp/stock/?code="&amp;売分析!C44,"株探"),"")</f>
        <v>株探</v>
      </c>
      <c r="C44" s="344">
        <f>IF(売分析!C44&lt;&gt;"",売分析!C44,"")</f>
        <v>9687</v>
      </c>
      <c r="D44" s="215" t="str">
        <f>IF(売分析!D44&lt;&gt;"",売分析!D44,"")</f>
        <v/>
      </c>
      <c r="E44" s="336" t="str">
        <f>IF(売分析!E44&lt;&gt;"",売分析!E44,"")</f>
        <v/>
      </c>
      <c r="F44" s="336" t="str">
        <f>IF(売分析!F44&lt;&gt;"",売分析!F44,"")</f>
        <v/>
      </c>
      <c r="G44" s="336" t="str">
        <f>IF(売分析!H44&lt;&gt;"",売分析!H44,"")</f>
        <v/>
      </c>
      <c r="H44" s="336" t="str">
        <f>IF(売分析!I44&lt;&gt;"",売分析!I44,"")</f>
        <v/>
      </c>
      <c r="I44" s="215" t="str">
        <f>IF(売分析!J44&lt;&gt;"",売分析!J44,"")</f>
        <v/>
      </c>
      <c r="J44" s="336">
        <f>IF(売分析!AB44&lt;&gt;"",売分析!AB44,"")</f>
        <v>4376.4285714285716</v>
      </c>
      <c r="K44" s="336">
        <f>IF(売分析!AC44&lt;&gt;"",売分析!AC44,"")</f>
        <v>4355.2741358760422</v>
      </c>
      <c r="L44" s="336" t="str">
        <f>IF(売分析!K44&lt;&gt;"",売分析!K44,"")</f>
        <v/>
      </c>
      <c r="M44" s="215" t="str">
        <f>IF(売分析!P44&lt;&gt;"",売分析!P44,"")</f>
        <v/>
      </c>
      <c r="N44" s="338" t="str">
        <f>IF(売分析!O44&lt;&gt;"",売分析!O44,"")</f>
        <v/>
      </c>
      <c r="O44" s="340">
        <f>IF(売分析!X44&lt;&gt;"",売分析!X44,"")</f>
        <v>5.1921477159203278</v>
      </c>
      <c r="P44" s="337" t="str">
        <f>IF(売分析!L44&lt;&gt;"",売分析!L44,"")</f>
        <v/>
      </c>
      <c r="Q44" s="336" t="str">
        <f>IF(売分析!S44&lt;&gt;"",売分析!S44,"")</f>
        <v/>
      </c>
      <c r="R44" s="336" t="str">
        <f>IF(売分析!R44&lt;&gt;"",売分析!R44,"")</f>
        <v/>
      </c>
      <c r="S44" s="215" t="str">
        <f>IF(売分析!AA44&lt;&gt;"",売分析!AA44,"")</f>
        <v/>
      </c>
      <c r="T44" s="341" t="str">
        <f>IF(売分析!Z44&lt;&gt;"",売分析!Z44,"")</f>
        <v/>
      </c>
      <c r="U44" s="215" t="str">
        <f>IF(売分析!V44&lt;&gt;"",売分析!V44,"")</f>
        <v/>
      </c>
      <c r="V44" s="339">
        <f>IF(売分析!W44&lt;&gt;"",売分析!W44,"")</f>
        <v>61.111111111111107</v>
      </c>
      <c r="W44" s="215" t="str">
        <f>IF(売分析!AD44&lt;&gt;"",売分析!AD44,"")</f>
        <v>パーフェクト▲</v>
      </c>
      <c r="X44" s="215" t="e">
        <f>IF(売分析!AE44&lt;&gt;"",売分析!AE44,"")</f>
        <v>#VALUE!</v>
      </c>
      <c r="Y44" s="391">
        <f>IF(売分析!T44&lt;&gt;"",売分析!T44,"")</f>
        <v>0</v>
      </c>
      <c r="Z44" s="215" t="e">
        <f>IF(売分析!Y44&lt;&gt;"",売分析!Y44,"")</f>
        <v>#VALUE!</v>
      </c>
    </row>
    <row r="45" spans="1:26">
      <c r="A45" s="328">
        <f>IF(売分析!C45&lt;&gt;"",ROW()-2,"")</f>
        <v>43</v>
      </c>
      <c r="B45" s="327" t="str">
        <f>IF(売分析!C45&lt;&gt;"",HYPERLINK("https://kabutan.jp/stock/?code="&amp;売分析!C45,"株探"),"")</f>
        <v>株探</v>
      </c>
      <c r="C45" s="343">
        <f>IF(売分析!C45&lt;&gt;"",売分析!C45,"")</f>
        <v>5801</v>
      </c>
      <c r="D45" s="328" t="str">
        <f>IF(売分析!D45&lt;&gt;"",売分析!D45,"")</f>
        <v/>
      </c>
      <c r="E45" s="329" t="str">
        <f>IF(売分析!E45&lt;&gt;"",売分析!E45,"")</f>
        <v/>
      </c>
      <c r="F45" s="329" t="str">
        <f>IF(売分析!F45&lt;&gt;"",売分析!F45,"")</f>
        <v/>
      </c>
      <c r="G45" s="329" t="str">
        <f>IF(売分析!H45&lt;&gt;"",売分析!H45,"")</f>
        <v/>
      </c>
      <c r="H45" s="329" t="str">
        <f>IF(売分析!I45&lt;&gt;"",売分析!I45,"")</f>
        <v/>
      </c>
      <c r="I45" s="328" t="str">
        <f>IF(売分析!J45&lt;&gt;"",売分析!J45,"")</f>
        <v/>
      </c>
      <c r="J45" s="329">
        <f>IF(売分析!AB45&lt;&gt;"",売分析!AB45,"")</f>
        <v>3507.3951612903224</v>
      </c>
      <c r="K45" s="329">
        <f>IF(売分析!AC45&lt;&gt;"",売分析!AC45,"")</f>
        <v>14426.138259833131</v>
      </c>
      <c r="L45" s="329" t="str">
        <f>IF(売分析!K45&lt;&gt;"",売分析!K45,"")</f>
        <v/>
      </c>
      <c r="M45" s="328" t="str">
        <f>IF(売分析!P45&lt;&gt;"",売分析!P45,"")</f>
        <v/>
      </c>
      <c r="N45" s="331" t="str">
        <f>IF(売分析!O45&lt;&gt;"",売分析!O45,"")</f>
        <v/>
      </c>
      <c r="O45" s="333">
        <f>IF(売分析!X45&lt;&gt;"",売分析!X45,"")</f>
        <v>-6059.7051512703019</v>
      </c>
      <c r="P45" s="330" t="str">
        <f>IF(売分析!L45&lt;&gt;"",売分析!L45,"")</f>
        <v/>
      </c>
      <c r="Q45" s="329" t="str">
        <f>IF(売分析!S45&lt;&gt;"",売分析!S45,"")</f>
        <v/>
      </c>
      <c r="R45" s="329" t="str">
        <f>IF(売分析!R45&lt;&gt;"",売分析!R45,"")</f>
        <v/>
      </c>
      <c r="S45" s="328" t="str">
        <f>IF(売分析!AA45&lt;&gt;"",売分析!AA45,"")</f>
        <v/>
      </c>
      <c r="T45" s="334" t="str">
        <f>IF(売分析!Z45&lt;&gt;"",売分析!Z45,"")</f>
        <v/>
      </c>
      <c r="U45" s="328" t="str">
        <f>IF(売分析!V45&lt;&gt;"",売分析!V45,"")</f>
        <v/>
      </c>
      <c r="V45" s="332">
        <f>IF(売分析!W45&lt;&gt;"",売分析!W45,"")</f>
        <v>1.6043117188155378</v>
      </c>
      <c r="W45" s="328" t="str">
        <f>IF(売分析!AD45&lt;&gt;"",売分析!AD45,"")</f>
        <v>上昇トレンド▲</v>
      </c>
      <c r="X45" s="328" t="e">
        <f>IF(売分析!AE45&lt;&gt;"",売分析!AE45,"")</f>
        <v>#VALUE!</v>
      </c>
      <c r="Y45" s="390">
        <f>IF(売分析!T45&lt;&gt;"",売分析!T45,"")</f>
        <v>0</v>
      </c>
      <c r="Z45" s="328" t="e">
        <f>IF(売分析!Y45&lt;&gt;"",売分析!Y45,"")</f>
        <v>#VALUE!</v>
      </c>
    </row>
    <row r="46" spans="1:26">
      <c r="A46" s="215">
        <f>IF(売分析!C46&lt;&gt;"",ROW()-2,"")</f>
        <v>44</v>
      </c>
      <c r="B46" s="335" t="str">
        <f>IF(売分析!C46&lt;&gt;"",HYPERLINK("https://kabutan.jp/stock/?code="&amp;売分析!C46,"株探"),"")</f>
        <v>株探</v>
      </c>
      <c r="C46" s="344">
        <f>IF(売分析!C46&lt;&gt;"",売分析!C46,"")</f>
        <v>5713</v>
      </c>
      <c r="D46" s="215" t="str">
        <f>IF(売分析!D46&lt;&gt;"",売分析!D46,"")</f>
        <v/>
      </c>
      <c r="E46" s="336" t="str">
        <f>IF(売分析!E46&lt;&gt;"",売分析!E46,"")</f>
        <v/>
      </c>
      <c r="F46" s="336" t="str">
        <f>IF(売分析!F46&lt;&gt;"",売分析!F46,"")</f>
        <v/>
      </c>
      <c r="G46" s="336" t="str">
        <f>IF(売分析!H46&lt;&gt;"",売分析!H46,"")</f>
        <v/>
      </c>
      <c r="H46" s="336" t="str">
        <f>IF(売分析!I46&lt;&gt;"",売分析!I46,"")</f>
        <v/>
      </c>
      <c r="I46" s="215" t="str">
        <f>IF(売分析!J46&lt;&gt;"",売分析!J46,"")</f>
        <v/>
      </c>
      <c r="J46" s="336">
        <f>IF(売分析!AB46&lt;&gt;"",売分析!AB46,"")</f>
        <v>7119.0967741935474</v>
      </c>
      <c r="K46" s="336">
        <f>IF(売分析!AC46&lt;&gt;"",売分析!AC46,"")</f>
        <v>7554.6376638855745</v>
      </c>
      <c r="L46" s="336" t="str">
        <f>IF(売分析!K46&lt;&gt;"",売分析!K46,"")</f>
        <v/>
      </c>
      <c r="M46" s="215" t="str">
        <f>IF(売分析!P46&lt;&gt;"",売分析!P46,"")</f>
        <v/>
      </c>
      <c r="N46" s="338" t="str">
        <f>IF(売分析!O46&lt;&gt;"",売分析!O46,"")</f>
        <v/>
      </c>
      <c r="O46" s="340">
        <f>IF(売分析!X46&lt;&gt;"",売分析!X46,"")</f>
        <v>-135.02461401294931</v>
      </c>
      <c r="P46" s="337" t="str">
        <f>IF(売分析!L46&lt;&gt;"",売分析!L46,"")</f>
        <v/>
      </c>
      <c r="Q46" s="336" t="str">
        <f>IF(売分析!S46&lt;&gt;"",売分析!S46,"")</f>
        <v/>
      </c>
      <c r="R46" s="336" t="str">
        <f>IF(売分析!R46&lt;&gt;"",売分析!R46,"")</f>
        <v/>
      </c>
      <c r="S46" s="215" t="str">
        <f>IF(売分析!AA46&lt;&gt;"",売分析!AA46,"")</f>
        <v/>
      </c>
      <c r="T46" s="341" t="str">
        <f>IF(売分析!Z46&lt;&gt;"",売分析!Z46,"")</f>
        <v/>
      </c>
      <c r="U46" s="215" t="str">
        <f>IF(売分析!V46&lt;&gt;"",売分析!V46,"")</f>
        <v/>
      </c>
      <c r="V46" s="339">
        <f>IF(売分析!W46&lt;&gt;"",売分析!W46,"")</f>
        <v>44.079885877318112</v>
      </c>
      <c r="W46" s="215" t="str">
        <f>IF(売分析!AD46&lt;&gt;"",売分析!AD46,"")</f>
        <v>上昇トレンド▲</v>
      </c>
      <c r="X46" s="215" t="e">
        <f>IF(売分析!AE46&lt;&gt;"",売分析!AE46,"")</f>
        <v>#VALUE!</v>
      </c>
      <c r="Y46" s="391">
        <f>IF(売分析!T46&lt;&gt;"",売分析!T46,"")</f>
        <v>0</v>
      </c>
      <c r="Z46" s="215" t="e">
        <f>IF(売分析!Y46&lt;&gt;"",売分析!Y46,"")</f>
        <v>#VALUE!</v>
      </c>
    </row>
    <row r="47" spans="1:26">
      <c r="A47" s="328">
        <f>IF(売分析!C47&lt;&gt;"",ROW()-2,"")</f>
        <v>45</v>
      </c>
      <c r="B47" s="327" t="str">
        <f>IF(売分析!C47&lt;&gt;"",HYPERLINK("https://kabutan.jp/stock/?code="&amp;売分析!C47,"株探"),"")</f>
        <v>株探</v>
      </c>
      <c r="C47" s="343">
        <f>IF(売分析!C47&lt;&gt;"",売分析!C47,"")</f>
        <v>5714</v>
      </c>
      <c r="D47" s="328" t="str">
        <f>IF(売分析!D47&lt;&gt;"",売分析!D47,"")</f>
        <v/>
      </c>
      <c r="E47" s="329" t="str">
        <f>IF(売分析!E47&lt;&gt;"",売分析!E47,"")</f>
        <v/>
      </c>
      <c r="F47" s="329" t="str">
        <f>IF(売分析!F47&lt;&gt;"",売分析!F47,"")</f>
        <v/>
      </c>
      <c r="G47" s="329" t="str">
        <f>IF(売分析!H47&lt;&gt;"",売分析!H47,"")</f>
        <v/>
      </c>
      <c r="H47" s="329" t="str">
        <f>IF(売分析!I47&lt;&gt;"",売分析!I47,"")</f>
        <v/>
      </c>
      <c r="I47" s="328" t="str">
        <f>IF(売分析!J47&lt;&gt;"",売分析!J47,"")</f>
        <v/>
      </c>
      <c r="J47" s="329">
        <f>IF(売分析!AB47&lt;&gt;"",売分析!AB47,"")</f>
        <v>8216.0276497695831</v>
      </c>
      <c r="K47" s="329">
        <f>IF(売分析!AC47&lt;&gt;"",売分析!AC47,"")</f>
        <v>8630.6710369487446</v>
      </c>
      <c r="L47" s="329" t="str">
        <f>IF(売分析!K47&lt;&gt;"",売分析!K47,"")</f>
        <v/>
      </c>
      <c r="M47" s="328" t="str">
        <f>IF(売分析!P47&lt;&gt;"",売分析!P47,"")</f>
        <v/>
      </c>
      <c r="N47" s="331" t="str">
        <f>IF(売分析!O47&lt;&gt;"",売分析!O47,"")</f>
        <v/>
      </c>
      <c r="O47" s="333">
        <f>IF(売分析!X47&lt;&gt;"",売分析!X47,"")</f>
        <v>-125.19187705729928</v>
      </c>
      <c r="P47" s="330" t="str">
        <f>IF(売分析!L47&lt;&gt;"",売分析!L47,"")</f>
        <v/>
      </c>
      <c r="Q47" s="329" t="str">
        <f>IF(売分析!S47&lt;&gt;"",売分析!S47,"")</f>
        <v/>
      </c>
      <c r="R47" s="329" t="str">
        <f>IF(売分析!R47&lt;&gt;"",売分析!R47,"")</f>
        <v/>
      </c>
      <c r="S47" s="328" t="str">
        <f>IF(売分析!AA47&lt;&gt;"",売分析!AA47,"")</f>
        <v/>
      </c>
      <c r="T47" s="334" t="str">
        <f>IF(売分析!Z47&lt;&gt;"",売分析!Z47,"")</f>
        <v/>
      </c>
      <c r="U47" s="328" t="str">
        <f>IF(売分析!V47&lt;&gt;"",売分析!V47,"")</f>
        <v/>
      </c>
      <c r="V47" s="332">
        <f>IF(売分析!W47&lt;&gt;"",売分析!W47,"")</f>
        <v>41.140776699029125</v>
      </c>
      <c r="W47" s="328" t="str">
        <f>IF(売分析!AD47&lt;&gt;"",売分析!AD47,"")</f>
        <v>上昇トレンド▲</v>
      </c>
      <c r="X47" s="328" t="e">
        <f>IF(売分析!AE47&lt;&gt;"",売分析!AE47,"")</f>
        <v>#VALUE!</v>
      </c>
      <c r="Y47" s="390">
        <f>IF(売分析!T47&lt;&gt;"",売分析!T47,"")</f>
        <v>0</v>
      </c>
      <c r="Z47" s="328" t="e">
        <f>IF(売分析!Y47&lt;&gt;"",売分析!Y47,"")</f>
        <v>#VALUE!</v>
      </c>
    </row>
    <row r="48" spans="1:26">
      <c r="A48" s="215">
        <f>IF(売分析!C48&lt;&gt;"",ROW()-2,"")</f>
        <v>46</v>
      </c>
      <c r="B48" s="335" t="str">
        <f>IF(売分析!C48&lt;&gt;"",HYPERLINK("https://kabutan.jp/stock/?code="&amp;売分析!C48,"株探"),"")</f>
        <v>株探</v>
      </c>
      <c r="C48" s="344">
        <f>IF(売分析!C48&lt;&gt;"",売分析!C48,"")</f>
        <v>5703</v>
      </c>
      <c r="D48" s="215" t="str">
        <f>IF(売分析!D48&lt;&gt;"",売分析!D48,"")</f>
        <v/>
      </c>
      <c r="E48" s="336" t="str">
        <f>IF(売分析!E48&lt;&gt;"",売分析!E48,"")</f>
        <v/>
      </c>
      <c r="F48" s="336" t="str">
        <f>IF(売分析!F48&lt;&gt;"",売分析!F48,"")</f>
        <v/>
      </c>
      <c r="G48" s="336" t="str">
        <f>IF(売分析!H48&lt;&gt;"",売分析!H48,"")</f>
        <v/>
      </c>
      <c r="H48" s="336" t="str">
        <f>IF(売分析!I48&lt;&gt;"",売分析!I48,"")</f>
        <v/>
      </c>
      <c r="I48" s="215" t="str">
        <f>IF(売分析!J48&lt;&gt;"",売分析!J48,"")</f>
        <v/>
      </c>
      <c r="J48" s="336">
        <f>IF(売分析!AB48&lt;&gt;"",売分析!AB48,"")</f>
        <v>2697.0299539170501</v>
      </c>
      <c r="K48" s="336">
        <f>IF(売分析!AC48&lt;&gt;"",売分析!AC48,"")</f>
        <v>2764.5673420738963</v>
      </c>
      <c r="L48" s="336" t="str">
        <f>IF(売分析!K48&lt;&gt;"",売分析!K48,"")</f>
        <v/>
      </c>
      <c r="M48" s="215" t="str">
        <f>IF(売分析!P48&lt;&gt;"",売分析!P48,"")</f>
        <v/>
      </c>
      <c r="N48" s="338" t="str">
        <f>IF(売分析!O48&lt;&gt;"",売分析!O48,"")</f>
        <v/>
      </c>
      <c r="O48" s="340">
        <f>IF(売分析!X48&lt;&gt;"",売分析!X48,"")</f>
        <v>-34.216309967799134</v>
      </c>
      <c r="P48" s="337" t="str">
        <f>IF(売分析!L48&lt;&gt;"",売分析!L48,"")</f>
        <v/>
      </c>
      <c r="Q48" s="336" t="str">
        <f>IF(売分析!S48&lt;&gt;"",売分析!S48,"")</f>
        <v/>
      </c>
      <c r="R48" s="336" t="str">
        <f>IF(売分析!R48&lt;&gt;"",売分析!R48,"")</f>
        <v/>
      </c>
      <c r="S48" s="215" t="str">
        <f>IF(売分析!AA48&lt;&gt;"",売分析!AA48,"")</f>
        <v/>
      </c>
      <c r="T48" s="341" t="str">
        <f>IF(売分析!Z48&lt;&gt;"",売分析!Z48,"")</f>
        <v/>
      </c>
      <c r="U48" s="215" t="str">
        <f>IF(売分析!V48&lt;&gt;"",売分析!V48,"")</f>
        <v/>
      </c>
      <c r="V48" s="339">
        <f>IF(売分析!W48&lt;&gt;"",売分析!W48,"")</f>
        <v>42.913385826771652</v>
      </c>
      <c r="W48" s="215" t="str">
        <f>IF(売分析!AD48&lt;&gt;"",売分析!AD48,"")</f>
        <v>上昇トレンド▲</v>
      </c>
      <c r="X48" s="215" t="e">
        <f>IF(売分析!AE48&lt;&gt;"",売分析!AE48,"")</f>
        <v>#VALUE!</v>
      </c>
      <c r="Y48" s="391">
        <f>IF(売分析!T48&lt;&gt;"",売分析!T48,"")</f>
        <v>0</v>
      </c>
      <c r="Z48" s="215" t="e">
        <f>IF(売分析!Y48&lt;&gt;"",売分析!Y48,"")</f>
        <v>#VALUE!</v>
      </c>
    </row>
    <row r="49" spans="1:26">
      <c r="A49" s="328">
        <f>IF(売分析!C49&lt;&gt;"",ROW()-2,"")</f>
        <v>47</v>
      </c>
      <c r="B49" s="327" t="str">
        <f>IF(売分析!C49&lt;&gt;"",HYPERLINK("https://kabutan.jp/stock/?code="&amp;売分析!C49,"株探"),"")</f>
        <v>株探</v>
      </c>
      <c r="C49" s="343">
        <f>IF(売分析!C49&lt;&gt;"",売分析!C49,"")</f>
        <v>8053</v>
      </c>
      <c r="D49" s="328" t="str">
        <f>IF(売分析!D49&lt;&gt;"",売分析!D49,"")</f>
        <v/>
      </c>
      <c r="E49" s="329" t="str">
        <f>IF(売分析!E49&lt;&gt;"",売分析!E49,"")</f>
        <v/>
      </c>
      <c r="F49" s="329" t="str">
        <f>IF(売分析!F49&lt;&gt;"",売分析!F49,"")</f>
        <v/>
      </c>
      <c r="G49" s="329" t="str">
        <f>IF(売分析!H49&lt;&gt;"",売分析!H49,"")</f>
        <v/>
      </c>
      <c r="H49" s="329" t="str">
        <f>IF(売分析!I49&lt;&gt;"",売分析!I49,"")</f>
        <v/>
      </c>
      <c r="I49" s="328" t="str">
        <f>IF(売分析!J49&lt;&gt;"",売分析!J49,"")</f>
        <v/>
      </c>
      <c r="J49" s="329">
        <f>IF(売分析!AB49&lt;&gt;"",売分析!AB49,"")</f>
        <v>1550.4418202764978</v>
      </c>
      <c r="K49" s="329">
        <f>IF(売分析!AC49&lt;&gt;"",売分析!AC49,"")</f>
        <v>2884.4737783075079</v>
      </c>
      <c r="L49" s="329" t="str">
        <f>IF(売分析!K49&lt;&gt;"",売分析!K49,"")</f>
        <v/>
      </c>
      <c r="M49" s="328" t="str">
        <f>IF(売分析!P49&lt;&gt;"",売分析!P49,"")</f>
        <v/>
      </c>
      <c r="N49" s="331" t="str">
        <f>IF(売分析!O49&lt;&gt;"",売分析!O49,"")</f>
        <v/>
      </c>
      <c r="O49" s="333">
        <f>IF(売分析!X49&lt;&gt;"",売分析!X49,"")</f>
        <v>-769.86097102758572</v>
      </c>
      <c r="P49" s="330" t="str">
        <f>IF(売分析!L49&lt;&gt;"",売分析!L49,"")</f>
        <v/>
      </c>
      <c r="Q49" s="329" t="str">
        <f>IF(売分析!S49&lt;&gt;"",売分析!S49,"")</f>
        <v/>
      </c>
      <c r="R49" s="329" t="str">
        <f>IF(売分析!R49&lt;&gt;"",売分析!R49,"")</f>
        <v/>
      </c>
      <c r="S49" s="328" t="str">
        <f>IF(売分析!AA49&lt;&gt;"",売分析!AA49,"")</f>
        <v/>
      </c>
      <c r="T49" s="334" t="str">
        <f>IF(売分析!Z49&lt;&gt;"",売分析!Z49,"")</f>
        <v/>
      </c>
      <c r="U49" s="328" t="str">
        <f>IF(売分析!V49&lt;&gt;"",売分析!V49,"")</f>
        <v/>
      </c>
      <c r="V49" s="332">
        <f>IF(売分析!W49&lt;&gt;"",売分析!W49,"")</f>
        <v>3.4606205250596673</v>
      </c>
      <c r="W49" s="328" t="str">
        <f>IF(売分析!AD49&lt;&gt;"",売分析!AD49,"")</f>
        <v>上昇トレンド▲</v>
      </c>
      <c r="X49" s="328" t="e">
        <f>IF(売分析!AE49&lt;&gt;"",売分析!AE49,"")</f>
        <v>#VALUE!</v>
      </c>
      <c r="Y49" s="390">
        <f>IF(売分析!T49&lt;&gt;"",売分析!T49,"")</f>
        <v>0</v>
      </c>
      <c r="Z49" s="328" t="e">
        <f>IF(売分析!Y49&lt;&gt;"",売分析!Y49,"")</f>
        <v>#VALUE!</v>
      </c>
    </row>
    <row r="50" spans="1:26">
      <c r="A50" s="215">
        <f>IF(売分析!C50&lt;&gt;"",ROW()-2,"")</f>
        <v>48</v>
      </c>
      <c r="B50" s="335" t="str">
        <f>IF(売分析!C50&lt;&gt;"",HYPERLINK("https://kabutan.jp/stock/?code="&amp;売分析!C50,"株探"),"")</f>
        <v>株探</v>
      </c>
      <c r="C50" s="344">
        <f>IF(売分析!C50&lt;&gt;"",売分析!C50,"")</f>
        <v>6203</v>
      </c>
      <c r="D50" s="215" t="str">
        <f>IF(売分析!D50&lt;&gt;"",売分析!D50,"")</f>
        <v/>
      </c>
      <c r="E50" s="336" t="str">
        <f>IF(売分析!E50&lt;&gt;"",売分析!E50,"")</f>
        <v/>
      </c>
      <c r="F50" s="336" t="str">
        <f>IF(売分析!F50&lt;&gt;"",売分析!F50,"")</f>
        <v/>
      </c>
      <c r="G50" s="336" t="str">
        <f>IF(売分析!H50&lt;&gt;"",売分析!H50,"")</f>
        <v/>
      </c>
      <c r="H50" s="336" t="str">
        <f>IF(売分析!I50&lt;&gt;"",売分析!I50,"")</f>
        <v/>
      </c>
      <c r="I50" s="215" t="str">
        <f>IF(売分析!J50&lt;&gt;"",売分析!J50,"")</f>
        <v/>
      </c>
      <c r="J50" s="336">
        <f>IF(売分析!AB50&lt;&gt;"",売分析!AB50,"")</f>
        <v>1548.4135944700461</v>
      </c>
      <c r="K50" s="336">
        <f>IF(売分析!AC50&lt;&gt;"",売分析!AC50,"")</f>
        <v>1589.4707985697253</v>
      </c>
      <c r="L50" s="336" t="str">
        <f>IF(売分析!K50&lt;&gt;"",売分析!K50,"")</f>
        <v/>
      </c>
      <c r="M50" s="215" t="str">
        <f>IF(売分析!P50&lt;&gt;"",売分析!P50,"")</f>
        <v/>
      </c>
      <c r="N50" s="338" t="str">
        <f>IF(売分析!O50&lt;&gt;"",売分析!O50,"")</f>
        <v/>
      </c>
      <c r="O50" s="340">
        <f>IF(売分析!X50&lt;&gt;"",売分析!X50,"")</f>
        <v>-5.2579933847844131</v>
      </c>
      <c r="P50" s="337" t="str">
        <f>IF(売分析!L50&lt;&gt;"",売分析!L50,"")</f>
        <v/>
      </c>
      <c r="Q50" s="336" t="str">
        <f>IF(売分析!S50&lt;&gt;"",売分析!S50,"")</f>
        <v/>
      </c>
      <c r="R50" s="336" t="str">
        <f>IF(売分析!R50&lt;&gt;"",売分析!R50,"")</f>
        <v/>
      </c>
      <c r="S50" s="215" t="str">
        <f>IF(売分析!AA50&lt;&gt;"",売分析!AA50,"")</f>
        <v/>
      </c>
      <c r="T50" s="341" t="str">
        <f>IF(売分析!Z50&lt;&gt;"",売分析!Z50,"")</f>
        <v/>
      </c>
      <c r="U50" s="215" t="str">
        <f>IF(売分析!V50&lt;&gt;"",売分析!V50,"")</f>
        <v/>
      </c>
      <c r="V50" s="339">
        <f>IF(売分析!W50&lt;&gt;"",売分析!W50,"")</f>
        <v>56.424581005586589</v>
      </c>
      <c r="W50" s="215" t="str">
        <f>IF(売分析!AD50&lt;&gt;"",売分析!AD50,"")</f>
        <v>上昇トレンド▲</v>
      </c>
      <c r="X50" s="215" t="e">
        <f>IF(売分析!AE50&lt;&gt;"",売分析!AE50,"")</f>
        <v>#VALUE!</v>
      </c>
      <c r="Y50" s="391">
        <f>IF(売分析!T50&lt;&gt;"",売分析!T50,"")</f>
        <v>0</v>
      </c>
      <c r="Z50" s="215" t="e">
        <f>IF(売分析!Y50&lt;&gt;"",売分析!Y50,"")</f>
        <v>#VALUE!</v>
      </c>
    </row>
    <row r="51" spans="1:26">
      <c r="A51" s="328">
        <f>IF(売分析!C51&lt;&gt;"",ROW()-2,"")</f>
        <v>49</v>
      </c>
      <c r="B51" s="327" t="str">
        <f>IF(売分析!C51&lt;&gt;"",HYPERLINK("https://kabutan.jp/stock/?code="&amp;売分析!C51,"株探"),"")</f>
        <v>株探</v>
      </c>
      <c r="C51" s="343">
        <f>IF(売分析!C51&lt;&gt;"",売分析!C51,"")</f>
        <v>1961</v>
      </c>
      <c r="D51" s="328" t="str">
        <f>IF(売分析!D51&lt;&gt;"",売分析!D51,"")</f>
        <v/>
      </c>
      <c r="E51" s="329" t="str">
        <f>IF(売分析!E51&lt;&gt;"",売分析!E51,"")</f>
        <v/>
      </c>
      <c r="F51" s="329" t="str">
        <f>IF(売分析!F51&lt;&gt;"",売分析!F51,"")</f>
        <v/>
      </c>
      <c r="G51" s="329" t="str">
        <f>IF(売分析!H51&lt;&gt;"",売分析!H51,"")</f>
        <v/>
      </c>
      <c r="H51" s="329" t="str">
        <f>IF(売分析!I51&lt;&gt;"",売分析!I51,"")</f>
        <v/>
      </c>
      <c r="I51" s="328" t="str">
        <f>IF(売分析!J51&lt;&gt;"",売分析!J51,"")</f>
        <v/>
      </c>
      <c r="J51" s="329">
        <f>IF(売分析!AB51&lt;&gt;"",売分析!AB51,"")</f>
        <v>2547.0898617511521</v>
      </c>
      <c r="K51" s="329">
        <f>IF(売分析!AC51&lt;&gt;"",売分析!AC51,"")</f>
        <v>2732.0965435041703</v>
      </c>
      <c r="L51" s="329" t="str">
        <f>IF(売分析!K51&lt;&gt;"",売分析!K51,"")</f>
        <v/>
      </c>
      <c r="M51" s="328" t="str">
        <f>IF(売分析!P51&lt;&gt;"",売分析!P51,"")</f>
        <v/>
      </c>
      <c r="N51" s="331" t="str">
        <f>IF(売分析!O51&lt;&gt;"",売分析!O51,"")</f>
        <v/>
      </c>
      <c r="O51" s="333">
        <f>IF(売分析!X51&lt;&gt;"",売分析!X51,"")</f>
        <v>-50.825021194956207</v>
      </c>
      <c r="P51" s="330" t="str">
        <f>IF(売分析!L51&lt;&gt;"",売分析!L51,"")</f>
        <v/>
      </c>
      <c r="Q51" s="329" t="str">
        <f>IF(売分析!S51&lt;&gt;"",売分析!S51,"")</f>
        <v/>
      </c>
      <c r="R51" s="329" t="str">
        <f>IF(売分析!R51&lt;&gt;"",売分析!R51,"")</f>
        <v/>
      </c>
      <c r="S51" s="328" t="str">
        <f>IF(売分析!AA51&lt;&gt;"",売分析!AA51,"")</f>
        <v/>
      </c>
      <c r="T51" s="334" t="str">
        <f>IF(売分析!Z51&lt;&gt;"",売分析!Z51,"")</f>
        <v/>
      </c>
      <c r="U51" s="328" t="str">
        <f>IF(売分析!V51&lt;&gt;"",売分析!V51,"")</f>
        <v/>
      </c>
      <c r="V51" s="332">
        <f>IF(売分析!W51&lt;&gt;"",売分析!W51,"")</f>
        <v>22.782037239868558</v>
      </c>
      <c r="W51" s="328" t="str">
        <f>IF(売分析!AD51&lt;&gt;"",売分析!AD51,"")</f>
        <v>上昇トレンド▲</v>
      </c>
      <c r="X51" s="328" t="e">
        <f>IF(売分析!AE51&lt;&gt;"",売分析!AE51,"")</f>
        <v>#VALUE!</v>
      </c>
      <c r="Y51" s="390">
        <f>IF(売分析!T51&lt;&gt;"",売分析!T51,"")</f>
        <v>0</v>
      </c>
      <c r="Z51" s="328" t="e">
        <f>IF(売分析!Y51&lt;&gt;"",売分析!Y51,"")</f>
        <v>#VALUE!</v>
      </c>
    </row>
    <row r="52" spans="1:26">
      <c r="A52" s="215">
        <f>IF(売分析!C52&lt;&gt;"",ROW()-2,"")</f>
        <v>50</v>
      </c>
      <c r="B52" s="335" t="str">
        <f>IF(売分析!C52&lt;&gt;"",HYPERLINK("https://kabutan.jp/stock/?code="&amp;売分析!C52,"株探"),"")</f>
        <v>株探</v>
      </c>
      <c r="C52" s="344">
        <f>IF(売分析!C52&lt;&gt;"",売分析!C52,"")</f>
        <v>5857</v>
      </c>
      <c r="D52" s="215" t="str">
        <f>IF(売分析!D52&lt;&gt;"",売分析!D52,"")</f>
        <v/>
      </c>
      <c r="E52" s="336" t="str">
        <f>IF(売分析!E52&lt;&gt;"",売分析!E52,"")</f>
        <v/>
      </c>
      <c r="F52" s="336" t="str">
        <f>IF(売分析!F52&lt;&gt;"",売分析!F52,"")</f>
        <v/>
      </c>
      <c r="G52" s="336" t="str">
        <f>IF(売分析!H52&lt;&gt;"",売分析!H52,"")</f>
        <v/>
      </c>
      <c r="H52" s="336" t="str">
        <f>IF(売分析!I52&lt;&gt;"",売分析!I52,"")</f>
        <v/>
      </c>
      <c r="I52" s="215" t="str">
        <f>IF(売分析!J52&lt;&gt;"",売分析!J52,"")</f>
        <v/>
      </c>
      <c r="J52" s="336">
        <f>IF(売分析!AB52&lt;&gt;"",売分析!AB52,"")</f>
        <v>2997.366359447004</v>
      </c>
      <c r="K52" s="336">
        <f>IF(売分析!AC52&lt;&gt;"",売分析!AC52,"")</f>
        <v>3015.3039332538724</v>
      </c>
      <c r="L52" s="336" t="str">
        <f>IF(売分析!K52&lt;&gt;"",売分析!K52,"")</f>
        <v/>
      </c>
      <c r="M52" s="215" t="str">
        <f>IF(売分析!P52&lt;&gt;"",売分析!P52,"")</f>
        <v/>
      </c>
      <c r="N52" s="338" t="str">
        <f>IF(売分析!O52&lt;&gt;"",売分析!O52,"")</f>
        <v/>
      </c>
      <c r="O52" s="340">
        <f>IF(売分析!X52&lt;&gt;"",売分析!X52,"")</f>
        <v>-11.322857916165958</v>
      </c>
      <c r="P52" s="337" t="str">
        <f>IF(売分析!L52&lt;&gt;"",売分析!L52,"")</f>
        <v/>
      </c>
      <c r="Q52" s="336" t="str">
        <f>IF(売分析!S52&lt;&gt;"",売分析!S52,"")</f>
        <v/>
      </c>
      <c r="R52" s="336" t="str">
        <f>IF(売分析!R52&lt;&gt;"",売分析!R52,"")</f>
        <v/>
      </c>
      <c r="S52" s="215" t="str">
        <f>IF(売分析!AA52&lt;&gt;"",売分析!AA52,"")</f>
        <v/>
      </c>
      <c r="T52" s="341" t="str">
        <f>IF(売分析!Z52&lt;&gt;"",売分析!Z52,"")</f>
        <v/>
      </c>
      <c r="U52" s="215" t="str">
        <f>IF(売分析!V52&lt;&gt;"",売分析!V52,"")</f>
        <v/>
      </c>
      <c r="V52" s="339">
        <f>IF(売分析!W52&lt;&gt;"",売分析!W52,"")</f>
        <v>49.684741488020173</v>
      </c>
      <c r="W52" s="215" t="str">
        <f>IF(売分析!AD52&lt;&gt;"",売分析!AD52,"")</f>
        <v>上昇トレンド▲</v>
      </c>
      <c r="X52" s="215" t="e">
        <f>IF(売分析!AE52&lt;&gt;"",売分析!AE52,"")</f>
        <v>#VALUE!</v>
      </c>
      <c r="Y52" s="391">
        <f>IF(売分析!T52&lt;&gt;"",売分析!T52,"")</f>
        <v>0</v>
      </c>
      <c r="Z52" s="215" t="e">
        <f>IF(売分析!Y52&lt;&gt;"",売分析!Y52,"")</f>
        <v>#VALUE!</v>
      </c>
    </row>
    <row r="53" spans="1:26">
      <c r="A53" s="328">
        <f>IF(売分析!C53&lt;&gt;"",ROW()-2,"")</f>
        <v>51</v>
      </c>
      <c r="B53" s="327" t="str">
        <f>IF(売分析!C53&lt;&gt;"",HYPERLINK("https://kabutan.jp/stock/?code="&amp;売分析!C53,"株探"),"")</f>
        <v>株探</v>
      </c>
      <c r="C53" s="343">
        <f>IF(売分析!C53&lt;&gt;"",売分析!C53,"")</f>
        <v>9984</v>
      </c>
      <c r="D53" s="328" t="str">
        <f>IF(売分析!D53&lt;&gt;"",売分析!D53,"")</f>
        <v/>
      </c>
      <c r="E53" s="329" t="str">
        <f>IF(売分析!E53&lt;&gt;"",売分析!E53,"")</f>
        <v/>
      </c>
      <c r="F53" s="329" t="str">
        <f>IF(売分析!F53&lt;&gt;"",売分析!F53,"")</f>
        <v/>
      </c>
      <c r="G53" s="329" t="str">
        <f>IF(売分析!H53&lt;&gt;"",売分析!H53,"")</f>
        <v/>
      </c>
      <c r="H53" s="329" t="str">
        <f>IF(売分析!I53&lt;&gt;"",売分析!I53,"")</f>
        <v/>
      </c>
      <c r="I53" s="328" t="str">
        <f>IF(売分析!J53&lt;&gt;"",売分析!J53,"")</f>
        <v/>
      </c>
      <c r="J53" s="329">
        <f>IF(売分析!AB53&lt;&gt;"",売分析!AB53,"")</f>
        <v>6038.617511520737</v>
      </c>
      <c r="K53" s="329">
        <f>IF(売分析!AC53&lt;&gt;"",売分析!AC53,"")</f>
        <v>6236.1299165673399</v>
      </c>
      <c r="L53" s="329" t="str">
        <f>IF(売分析!K53&lt;&gt;"",売分析!K53,"")</f>
        <v/>
      </c>
      <c r="M53" s="328" t="str">
        <f>IF(売分析!P53&lt;&gt;"",売分析!P53,"")</f>
        <v/>
      </c>
      <c r="N53" s="331" t="str">
        <f>IF(売分析!O53&lt;&gt;"",売分析!O53,"")</f>
        <v/>
      </c>
      <c r="O53" s="333">
        <f>IF(売分析!X53&lt;&gt;"",売分析!X53,"")</f>
        <v>-88.509797443866773</v>
      </c>
      <c r="P53" s="330" t="str">
        <f>IF(売分析!L53&lt;&gt;"",売分析!L53,"")</f>
        <v/>
      </c>
      <c r="Q53" s="329" t="str">
        <f>IF(売分析!S53&lt;&gt;"",売分析!S53,"")</f>
        <v/>
      </c>
      <c r="R53" s="329" t="str">
        <f>IF(売分析!R53&lt;&gt;"",売分析!R53,"")</f>
        <v/>
      </c>
      <c r="S53" s="328" t="str">
        <f>IF(売分析!AA53&lt;&gt;"",売分析!AA53,"")</f>
        <v/>
      </c>
      <c r="T53" s="334" t="str">
        <f>IF(売分析!Z53&lt;&gt;"",売分析!Z53,"")</f>
        <v/>
      </c>
      <c r="U53" s="328" t="str">
        <f>IF(売分析!V53&lt;&gt;"",売分析!V53,"")</f>
        <v/>
      </c>
      <c r="V53" s="332">
        <f>IF(売分析!W53&lt;&gt;"",売分析!W53,"")</f>
        <v>37.391882900864942</v>
      </c>
      <c r="W53" s="328" t="str">
        <f>IF(売分析!AD53&lt;&gt;"",売分析!AD53,"")</f>
        <v>上昇トレンド▲</v>
      </c>
      <c r="X53" s="328" t="e">
        <f>IF(売分析!AE53&lt;&gt;"",売分析!AE53,"")</f>
        <v>#VALUE!</v>
      </c>
      <c r="Y53" s="390">
        <f>IF(売分析!T53&lt;&gt;"",売分析!T53,"")</f>
        <v>0</v>
      </c>
      <c r="Z53" s="328" t="e">
        <f>IF(売分析!Y53&lt;&gt;"",売分析!Y53,"")</f>
        <v>#VALUE!</v>
      </c>
    </row>
    <row r="54" spans="1:26">
      <c r="A54" s="215">
        <f>IF(売分析!C54&lt;&gt;"",ROW()-2,"")</f>
        <v>52</v>
      </c>
      <c r="B54" s="335" t="str">
        <f>IF(売分析!C54&lt;&gt;"",HYPERLINK("https://kabutan.jp/stock/?code="&amp;売分析!C54,"株探"),"")</f>
        <v>株探</v>
      </c>
      <c r="C54" s="344">
        <f>IF(売分析!C54&lt;&gt;"",売分析!C54,"")</f>
        <v>3854</v>
      </c>
      <c r="D54" s="215" t="str">
        <f>IF(売分析!D54&lt;&gt;"",売分析!D54,"")</f>
        <v/>
      </c>
      <c r="E54" s="336" t="str">
        <f>IF(売分析!E54&lt;&gt;"",売分析!E54,"")</f>
        <v/>
      </c>
      <c r="F54" s="336" t="str">
        <f>IF(売分析!F54&lt;&gt;"",売分析!F54,"")</f>
        <v/>
      </c>
      <c r="G54" s="336" t="str">
        <f>IF(売分析!H54&lt;&gt;"",売分析!H54,"")</f>
        <v/>
      </c>
      <c r="H54" s="336" t="str">
        <f>IF(売分析!I54&lt;&gt;"",売分析!I54,"")</f>
        <v/>
      </c>
      <c r="I54" s="215" t="str">
        <f>IF(売分析!J54&lt;&gt;"",売分析!J54,"")</f>
        <v/>
      </c>
      <c r="J54" s="336">
        <f>IF(売分析!AB54&lt;&gt;"",売分析!AB54,"")</f>
        <v>2381.8041474654374</v>
      </c>
      <c r="K54" s="336">
        <f>IF(売分析!AC54&lt;&gt;"",売分析!AC54,"")</f>
        <v>2324.0262216924898</v>
      </c>
      <c r="L54" s="336" t="str">
        <f>IF(売分析!K54&lt;&gt;"",売分析!K54,"")</f>
        <v/>
      </c>
      <c r="M54" s="215" t="str">
        <f>IF(売分析!P54&lt;&gt;"",売分析!P54,"")</f>
        <v/>
      </c>
      <c r="N54" s="338" t="str">
        <f>IF(売分析!O54&lt;&gt;"",売分析!O54,"")</f>
        <v/>
      </c>
      <c r="O54" s="340">
        <f>IF(売分析!X54&lt;&gt;"",売分析!X54,"")</f>
        <v>29.643172437401063</v>
      </c>
      <c r="P54" s="337" t="str">
        <f>IF(売分析!L54&lt;&gt;"",売分析!L54,"")</f>
        <v/>
      </c>
      <c r="Q54" s="336" t="str">
        <f>IF(売分析!S54&lt;&gt;"",売分析!S54,"")</f>
        <v/>
      </c>
      <c r="R54" s="336" t="str">
        <f>IF(売分析!R54&lt;&gt;"",売分析!R54,"")</f>
        <v/>
      </c>
      <c r="S54" s="215" t="str">
        <f>IF(売分析!AA54&lt;&gt;"",売分析!AA54,"")</f>
        <v/>
      </c>
      <c r="T54" s="341" t="str">
        <f>IF(売分析!Z54&lt;&gt;"",売分析!Z54,"")</f>
        <v/>
      </c>
      <c r="U54" s="215" t="str">
        <f>IF(売分析!V54&lt;&gt;"",売分析!V54,"")</f>
        <v/>
      </c>
      <c r="V54" s="339">
        <f>IF(売分析!W54&lt;&gt;"",売分析!W54,"")</f>
        <v>78.464818763326221</v>
      </c>
      <c r="W54" s="215" t="str">
        <f>IF(売分析!AD54&lt;&gt;"",売分析!AD54,"")</f>
        <v>パーフェクト▲</v>
      </c>
      <c r="X54" s="215" t="e">
        <f>IF(売分析!AE54&lt;&gt;"",売分析!AE54,"")</f>
        <v>#VALUE!</v>
      </c>
      <c r="Y54" s="391">
        <f>IF(売分析!T54&lt;&gt;"",売分析!T54,"")</f>
        <v>0</v>
      </c>
      <c r="Z54" s="215" t="e">
        <f>IF(売分析!Y54&lt;&gt;"",売分析!Y54,"")</f>
        <v>#VALUE!</v>
      </c>
    </row>
    <row r="55" spans="1:26">
      <c r="A55" s="328">
        <f>IF(売分析!C55&lt;&gt;"",ROW()-2,"")</f>
        <v>53</v>
      </c>
      <c r="B55" s="327" t="str">
        <f>IF(売分析!C55&lt;&gt;"",HYPERLINK("https://kabutan.jp/stock/?code="&amp;売分析!C55,"株探"),"")</f>
        <v>株探</v>
      </c>
      <c r="C55" s="343">
        <f>IF(売分析!C55&lt;&gt;"",売分析!C55,"")</f>
        <v>7806</v>
      </c>
      <c r="D55" s="328" t="str">
        <f>IF(売分析!D55&lt;&gt;"",売分析!D55,"")</f>
        <v/>
      </c>
      <c r="E55" s="329" t="str">
        <f>IF(売分析!E55&lt;&gt;"",売分析!E55,"")</f>
        <v/>
      </c>
      <c r="F55" s="329" t="str">
        <f>IF(売分析!F55&lt;&gt;"",売分析!F55,"")</f>
        <v/>
      </c>
      <c r="G55" s="329" t="str">
        <f>IF(売分析!H55&lt;&gt;"",売分析!H55,"")</f>
        <v/>
      </c>
      <c r="H55" s="329" t="str">
        <f>IF(売分析!I55&lt;&gt;"",売分析!I55,"")</f>
        <v/>
      </c>
      <c r="I55" s="328" t="str">
        <f>IF(売分析!J55&lt;&gt;"",売分析!J55,"")</f>
        <v/>
      </c>
      <c r="J55" s="329">
        <f>IF(売分析!AB55&lt;&gt;"",売分析!AB55,"")</f>
        <v>7486.0944700460814</v>
      </c>
      <c r="K55" s="329">
        <f>IF(売分析!AC55&lt;&gt;"",売分析!AC55,"")</f>
        <v>7549.9046483909387</v>
      </c>
      <c r="L55" s="329" t="str">
        <f>IF(売分析!K55&lt;&gt;"",売分析!K55,"")</f>
        <v/>
      </c>
      <c r="M55" s="328" t="str">
        <f>IF(売分析!P55&lt;&gt;"",売分析!P55,"")</f>
        <v/>
      </c>
      <c r="N55" s="331" t="str">
        <f>IF(売分析!O55&lt;&gt;"",売分析!O55,"")</f>
        <v/>
      </c>
      <c r="O55" s="333">
        <f>IF(売分析!X55&lt;&gt;"",売分析!X55,"")</f>
        <v>36.039209676840073</v>
      </c>
      <c r="P55" s="330" t="str">
        <f>IF(売分析!L55&lt;&gt;"",売分析!L55,"")</f>
        <v/>
      </c>
      <c r="Q55" s="329" t="str">
        <f>IF(売分析!S55&lt;&gt;"",売分析!S55,"")</f>
        <v/>
      </c>
      <c r="R55" s="329" t="str">
        <f>IF(売分析!R55&lt;&gt;"",売分析!R55,"")</f>
        <v/>
      </c>
      <c r="S55" s="328" t="str">
        <f>IF(売分析!AA55&lt;&gt;"",売分析!AA55,"")</f>
        <v/>
      </c>
      <c r="T55" s="334" t="str">
        <f>IF(売分析!Z55&lt;&gt;"",売分析!Z55,"")</f>
        <v/>
      </c>
      <c r="U55" s="328" t="str">
        <f>IF(売分析!V55&lt;&gt;"",売分析!V55,"")</f>
        <v/>
      </c>
      <c r="V55" s="332">
        <f>IF(売分析!W55&lt;&gt;"",売分析!W55,"")</f>
        <v>54.509803921568626</v>
      </c>
      <c r="W55" s="328" t="str">
        <f>IF(売分析!AD55&lt;&gt;"",売分析!AD55,"")</f>
        <v>上昇トレンド▲</v>
      </c>
      <c r="X55" s="328" t="e">
        <f>IF(売分析!AE55&lt;&gt;"",売分析!AE55,"")</f>
        <v>#VALUE!</v>
      </c>
      <c r="Y55" s="390">
        <f>IF(売分析!T55&lt;&gt;"",売分析!T55,"")</f>
        <v>0</v>
      </c>
      <c r="Z55" s="328" t="e">
        <f>IF(売分析!Y55&lt;&gt;"",売分析!Y55,"")</f>
        <v>#VALUE!</v>
      </c>
    </row>
    <row r="56" spans="1:26">
      <c r="A56" s="215">
        <f>IF(売分析!C56&lt;&gt;"",ROW()-2,"")</f>
        <v>54</v>
      </c>
      <c r="B56" s="335" t="str">
        <f>IF(売分析!C56&lt;&gt;"",HYPERLINK("https://kabutan.jp/stock/?code="&amp;売分析!C56,"株探"),"")</f>
        <v>株探</v>
      </c>
      <c r="C56" s="344">
        <f>IF(売分析!C56&lt;&gt;"",売分析!C56,"")</f>
        <v>4062</v>
      </c>
      <c r="D56" s="215" t="str">
        <f>IF(売分析!D56&lt;&gt;"",売分析!D56,"")</f>
        <v/>
      </c>
      <c r="E56" s="336" t="str">
        <f>IF(売分析!E56&lt;&gt;"",売分析!E56,"")</f>
        <v/>
      </c>
      <c r="F56" s="336" t="str">
        <f>IF(売分析!F56&lt;&gt;"",売分析!F56,"")</f>
        <v/>
      </c>
      <c r="G56" s="336" t="str">
        <f>IF(売分析!H56&lt;&gt;"",売分析!H56,"")</f>
        <v/>
      </c>
      <c r="H56" s="336" t="str">
        <f>IF(売分析!I56&lt;&gt;"",売分析!I56,"")</f>
        <v/>
      </c>
      <c r="I56" s="215" t="str">
        <f>IF(売分析!J56&lt;&gt;"",売分析!J56,"")</f>
        <v/>
      </c>
      <c r="J56" s="336">
        <f>IF(売分析!AB56&lt;&gt;"",売分析!AB56,"")</f>
        <v>17704.763824884791</v>
      </c>
      <c r="K56" s="336">
        <f>IF(売分析!AC56&lt;&gt;"",売分析!AC56,"")</f>
        <v>20775.143027413582</v>
      </c>
      <c r="L56" s="336" t="str">
        <f>IF(売分析!K56&lt;&gt;"",売分析!K56,"")</f>
        <v/>
      </c>
      <c r="M56" s="215" t="str">
        <f>IF(売分析!P56&lt;&gt;"",売分析!P56,"")</f>
        <v/>
      </c>
      <c r="N56" s="338" t="str">
        <f>IF(売分析!O56&lt;&gt;"",売分析!O56,"")</f>
        <v/>
      </c>
      <c r="O56" s="340">
        <f>IF(売分析!X56&lt;&gt;"",売分析!X56,"")</f>
        <v>-798.32681231814058</v>
      </c>
      <c r="P56" s="337" t="str">
        <f>IF(売分析!L56&lt;&gt;"",売分析!L56,"")</f>
        <v/>
      </c>
      <c r="Q56" s="336" t="str">
        <f>IF(売分析!S56&lt;&gt;"",売分析!S56,"")</f>
        <v/>
      </c>
      <c r="R56" s="336" t="str">
        <f>IF(売分析!R56&lt;&gt;"",売分析!R56,"")</f>
        <v/>
      </c>
      <c r="S56" s="215" t="str">
        <f>IF(売分析!AA56&lt;&gt;"",売分析!AA56,"")</f>
        <v/>
      </c>
      <c r="T56" s="341" t="str">
        <f>IF(売分析!Z56&lt;&gt;"",売分析!Z56,"")</f>
        <v/>
      </c>
      <c r="U56" s="215" t="str">
        <f>IF(売分析!V56&lt;&gt;"",売分析!V56,"")</f>
        <v/>
      </c>
      <c r="V56" s="339">
        <f>IF(売分析!W56&lt;&gt;"",売分析!W56,"")</f>
        <v>33.297491039426532</v>
      </c>
      <c r="W56" s="215" t="str">
        <f>IF(売分析!AD56&lt;&gt;"",売分析!AD56,"")</f>
        <v>上昇トレンド▲</v>
      </c>
      <c r="X56" s="215" t="e">
        <f>IF(売分析!AE56&lt;&gt;"",売分析!AE56,"")</f>
        <v>#VALUE!</v>
      </c>
      <c r="Y56" s="391">
        <f>IF(売分析!T56&lt;&gt;"",売分析!T56,"")</f>
        <v>0</v>
      </c>
      <c r="Z56" s="215" t="e">
        <f>IF(売分析!Y56&lt;&gt;"",売分析!Y56,"")</f>
        <v>#VALUE!</v>
      </c>
    </row>
    <row r="57" spans="1:26">
      <c r="A57" s="328">
        <f>IF(売分析!C57&lt;&gt;"",ROW()-2,"")</f>
        <v>55</v>
      </c>
      <c r="B57" s="327" t="str">
        <f>IF(売分析!C57&lt;&gt;"",HYPERLINK("https://kabutan.jp/stock/?code="&amp;売分析!C57,"株探"),"")</f>
        <v>株探</v>
      </c>
      <c r="C57" s="343">
        <f>IF(売分析!C57&lt;&gt;"",売分析!C57,"")</f>
        <v>5802</v>
      </c>
      <c r="D57" s="328" t="str">
        <f>IF(売分析!D57&lt;&gt;"",売分析!D57,"")</f>
        <v/>
      </c>
      <c r="E57" s="329" t="str">
        <f>IF(売分析!E57&lt;&gt;"",売分析!E57,"")</f>
        <v/>
      </c>
      <c r="F57" s="329" t="str">
        <f>IF(売分析!F57&lt;&gt;"",売分析!F57,"")</f>
        <v/>
      </c>
      <c r="G57" s="329" t="str">
        <f>IF(売分析!H57&lt;&gt;"",売分析!H57,"")</f>
        <v/>
      </c>
      <c r="H57" s="329" t="str">
        <f>IF(売分析!I57&lt;&gt;"",売分析!I57,"")</f>
        <v/>
      </c>
      <c r="I57" s="328" t="str">
        <f>IF(売分析!J57&lt;&gt;"",売分析!J57,"")</f>
        <v/>
      </c>
      <c r="J57" s="329">
        <f>IF(売分析!AB57&lt;&gt;"",売分析!AB57,"")</f>
        <v>2409.4527649769584</v>
      </c>
      <c r="K57" s="329">
        <f>IF(売分析!AC57&lt;&gt;"",売分析!AC57,"")</f>
        <v>4869.1400476758026</v>
      </c>
      <c r="L57" s="329" t="str">
        <f>IF(売分析!K57&lt;&gt;"",売分析!K57,"")</f>
        <v/>
      </c>
      <c r="M57" s="328" t="str">
        <f>IF(売分析!P57&lt;&gt;"",売分析!P57,"")</f>
        <v/>
      </c>
      <c r="N57" s="331" t="str">
        <f>IF(売分析!O57&lt;&gt;"",売分析!O57,"")</f>
        <v/>
      </c>
      <c r="O57" s="333">
        <f>IF(売分析!X57&lt;&gt;"",売分析!X57,"")</f>
        <v>-1336.7607716158709</v>
      </c>
      <c r="P57" s="330" t="str">
        <f>IF(売分析!L57&lt;&gt;"",売分析!L57,"")</f>
        <v/>
      </c>
      <c r="Q57" s="329" t="str">
        <f>IF(売分析!S57&lt;&gt;"",売分析!S57,"")</f>
        <v/>
      </c>
      <c r="R57" s="329" t="str">
        <f>IF(売分析!R57&lt;&gt;"",売分析!R57,"")</f>
        <v/>
      </c>
      <c r="S57" s="328" t="str">
        <f>IF(売分析!AA57&lt;&gt;"",売分析!AA57,"")</f>
        <v/>
      </c>
      <c r="T57" s="334" t="str">
        <f>IF(売分析!Z57&lt;&gt;"",売分析!Z57,"")</f>
        <v/>
      </c>
      <c r="U57" s="328" t="str">
        <f>IF(売分析!V57&lt;&gt;"",売分析!V57,"")</f>
        <v/>
      </c>
      <c r="V57" s="332">
        <f>IF(売分析!W57&lt;&gt;"",売分析!W57,"")</f>
        <v>3.1512402277772509</v>
      </c>
      <c r="W57" s="328" t="str">
        <f>IF(売分析!AD57&lt;&gt;"",売分析!AD57,"")</f>
        <v>上昇トレンド▲</v>
      </c>
      <c r="X57" s="328" t="e">
        <f>IF(売分析!AE57&lt;&gt;"",売分析!AE57,"")</f>
        <v>#VALUE!</v>
      </c>
      <c r="Y57" s="390">
        <f>IF(売分析!T57&lt;&gt;"",売分析!T57,"")</f>
        <v>0</v>
      </c>
      <c r="Z57" s="328" t="e">
        <f>IF(売分析!Y57&lt;&gt;"",売分析!Y57,"")</f>
        <v>#VALUE!</v>
      </c>
    </row>
    <row r="58" spans="1:26">
      <c r="A58" s="215">
        <f>IF(売分析!C58&lt;&gt;"",ROW()-2,"")</f>
        <v>56</v>
      </c>
      <c r="B58" s="335" t="str">
        <f>IF(売分析!C58&lt;&gt;"",HYPERLINK("https://kabutan.jp/stock/?code="&amp;売分析!C58,"株探"),"")</f>
        <v>株探</v>
      </c>
      <c r="C58" s="344">
        <f>IF(売分析!C58&lt;&gt;"",売分析!C58,"")</f>
        <v>5803</v>
      </c>
      <c r="D58" s="215" t="str">
        <f>IF(売分析!D58&lt;&gt;"",売分析!D58,"")</f>
        <v/>
      </c>
      <c r="E58" s="336" t="str">
        <f>IF(売分析!E58&lt;&gt;"",売分析!E58,"")</f>
        <v/>
      </c>
      <c r="F58" s="336" t="str">
        <f>IF(売分析!F58&lt;&gt;"",売分析!F58,"")</f>
        <v/>
      </c>
      <c r="G58" s="336" t="str">
        <f>IF(売分析!H58&lt;&gt;"",売分析!H58,"")</f>
        <v/>
      </c>
      <c r="H58" s="336" t="str">
        <f>IF(売分析!I58&lt;&gt;"",売分析!I58,"")</f>
        <v/>
      </c>
      <c r="I58" s="215" t="str">
        <f>IF(売分析!J58&lt;&gt;"",売分析!J58,"")</f>
        <v/>
      </c>
      <c r="J58" s="336">
        <f>IF(売分析!AB58&lt;&gt;"",売分析!AB58,"")</f>
        <v>4812.6255760368658</v>
      </c>
      <c r="K58" s="336">
        <f>IF(売分析!AC58&lt;&gt;"",売分析!AC58,"")</f>
        <v>5226.4910607866495</v>
      </c>
      <c r="L58" s="336" t="str">
        <f>IF(売分析!K58&lt;&gt;"",売分析!K58,"")</f>
        <v/>
      </c>
      <c r="M58" s="215" t="str">
        <f>IF(売分析!P58&lt;&gt;"",売分析!P58,"")</f>
        <v/>
      </c>
      <c r="N58" s="338" t="str">
        <f>IF(売分析!O58&lt;&gt;"",売分析!O58,"")</f>
        <v/>
      </c>
      <c r="O58" s="340">
        <f>IF(売分析!X58&lt;&gt;"",売分析!X58,"")</f>
        <v>-116.98870199292196</v>
      </c>
      <c r="P58" s="337" t="str">
        <f>IF(売分析!L58&lt;&gt;"",売分析!L58,"")</f>
        <v/>
      </c>
      <c r="Q58" s="336" t="str">
        <f>IF(売分析!S58&lt;&gt;"",売分析!S58,"")</f>
        <v/>
      </c>
      <c r="R58" s="336" t="str">
        <f>IF(売分析!R58&lt;&gt;"",売分析!R58,"")</f>
        <v/>
      </c>
      <c r="S58" s="215" t="str">
        <f>IF(売分析!AA58&lt;&gt;"",売分析!AA58,"")</f>
        <v/>
      </c>
      <c r="T58" s="341" t="str">
        <f>IF(売分析!Z58&lt;&gt;"",売分析!Z58,"")</f>
        <v/>
      </c>
      <c r="U58" s="215" t="str">
        <f>IF(売分析!V58&lt;&gt;"",売分析!V58,"")</f>
        <v/>
      </c>
      <c r="V58" s="339">
        <f>IF(売分析!W58&lt;&gt;"",売分析!W58,"")</f>
        <v>30.667864630128776</v>
      </c>
      <c r="W58" s="215" t="str">
        <f>IF(売分析!AD58&lt;&gt;"",売分析!AD58,"")</f>
        <v>上昇トレンド▲</v>
      </c>
      <c r="X58" s="215" t="e">
        <f>IF(売分析!AE58&lt;&gt;"",売分析!AE58,"")</f>
        <v>#VALUE!</v>
      </c>
      <c r="Y58" s="391">
        <f>IF(売分析!T58&lt;&gt;"",売分析!T58,"")</f>
        <v>0</v>
      </c>
      <c r="Z58" s="215" t="e">
        <f>IF(売分析!Y58&lt;&gt;"",売分析!Y58,"")</f>
        <v>#VALUE!</v>
      </c>
    </row>
    <row r="59" spans="1:26">
      <c r="A59" s="328">
        <f>IF(売分析!C59&lt;&gt;"",ROW()-2,"")</f>
        <v>57</v>
      </c>
      <c r="B59" s="327" t="str">
        <f>IF(売分析!C59&lt;&gt;"",HYPERLINK("https://kabutan.jp/stock/?code="&amp;売分析!C59,"株探"),"")</f>
        <v>株探</v>
      </c>
      <c r="C59" s="343">
        <f>IF(売分析!C59&lt;&gt;"",売分析!C59,"")</f>
        <v>6178</v>
      </c>
      <c r="D59" s="328" t="str">
        <f>IF(売分析!D59&lt;&gt;"",売分析!D59,"")</f>
        <v/>
      </c>
      <c r="E59" s="329" t="str">
        <f>IF(売分析!E59&lt;&gt;"",売分析!E59,"")</f>
        <v/>
      </c>
      <c r="F59" s="329" t="str">
        <f>IF(売分析!F59&lt;&gt;"",売分析!F59,"")</f>
        <v/>
      </c>
      <c r="G59" s="329" t="str">
        <f>IF(売分析!H59&lt;&gt;"",売分析!H59,"")</f>
        <v/>
      </c>
      <c r="H59" s="329" t="str">
        <f>IF(売分析!I59&lt;&gt;"",売分析!I59,"")</f>
        <v/>
      </c>
      <c r="I59" s="328" t="str">
        <f>IF(売分析!J59&lt;&gt;"",売分析!J59,"")</f>
        <v/>
      </c>
      <c r="J59" s="329">
        <f>IF(売分析!AB59&lt;&gt;"",売分析!AB59,"")</f>
        <v>2352.9032258064512</v>
      </c>
      <c r="K59" s="329">
        <f>IF(売分析!AC59&lt;&gt;"",売分析!AC59,"")</f>
        <v>2290.2765196662685</v>
      </c>
      <c r="L59" s="329" t="str">
        <f>IF(売分析!K59&lt;&gt;"",売分析!K59,"")</f>
        <v/>
      </c>
      <c r="M59" s="328" t="str">
        <f>IF(売分析!P59&lt;&gt;"",売分析!P59,"")</f>
        <v/>
      </c>
      <c r="N59" s="331" t="str">
        <f>IF(売分析!O59&lt;&gt;"",売分析!O59,"")</f>
        <v/>
      </c>
      <c r="O59" s="333">
        <f>IF(売分析!X59&lt;&gt;"",売分析!X59,"")</f>
        <v>21.874870143567932</v>
      </c>
      <c r="P59" s="330" t="str">
        <f>IF(売分析!L59&lt;&gt;"",売分析!L59,"")</f>
        <v/>
      </c>
      <c r="Q59" s="329" t="str">
        <f>IF(売分析!S59&lt;&gt;"",売分析!S59,"")</f>
        <v/>
      </c>
      <c r="R59" s="329" t="str">
        <f>IF(売分析!R59&lt;&gt;"",売分析!R59,"")</f>
        <v/>
      </c>
      <c r="S59" s="328" t="str">
        <f>IF(売分析!AA59&lt;&gt;"",売分析!AA59,"")</f>
        <v/>
      </c>
      <c r="T59" s="334" t="str">
        <f>IF(売分析!Z59&lt;&gt;"",売分析!Z59,"")</f>
        <v/>
      </c>
      <c r="U59" s="328" t="str">
        <f>IF(売分析!V59&lt;&gt;"",売分析!V59,"")</f>
        <v/>
      </c>
      <c r="V59" s="332">
        <f>IF(売分析!W59&lt;&gt;"",売分析!W59,"")</f>
        <v>78.940568475452196</v>
      </c>
      <c r="W59" s="328" t="str">
        <f>IF(売分析!AD59&lt;&gt;"",売分析!AD59,"")</f>
        <v>パーフェクト▲</v>
      </c>
      <c r="X59" s="328" t="e">
        <f>IF(売分析!AE59&lt;&gt;"",売分析!AE59,"")</f>
        <v>#VALUE!</v>
      </c>
      <c r="Y59" s="390">
        <f>IF(売分析!T59&lt;&gt;"",売分析!T59,"")</f>
        <v>0</v>
      </c>
      <c r="Z59" s="328" t="e">
        <f>IF(売分析!Y59&lt;&gt;"",売分析!Y59,"")</f>
        <v>#VALUE!</v>
      </c>
    </row>
    <row r="60" spans="1:26">
      <c r="A60" s="215">
        <f>IF(売分析!C60&lt;&gt;"",ROW()-2,"")</f>
        <v>58</v>
      </c>
      <c r="B60" s="335" t="str">
        <f>IF(売分析!C60&lt;&gt;"",HYPERLINK("https://kabutan.jp/stock/?code="&amp;売分析!C60,"株探"),"")</f>
        <v>株探</v>
      </c>
      <c r="C60" s="344">
        <f>IF(売分析!C60&lt;&gt;"",売分析!C60,"")</f>
        <v>9069</v>
      </c>
      <c r="D60" s="215" t="str">
        <f>IF(売分析!D60&lt;&gt;"",売分析!D60,"")</f>
        <v/>
      </c>
      <c r="E60" s="336" t="str">
        <f>IF(売分析!E60&lt;&gt;"",売分析!E60,"")</f>
        <v/>
      </c>
      <c r="F60" s="336" t="str">
        <f>IF(売分析!F60&lt;&gt;"",売分析!F60,"")</f>
        <v/>
      </c>
      <c r="G60" s="336" t="str">
        <f>IF(売分析!H60&lt;&gt;"",売分析!H60,"")</f>
        <v/>
      </c>
      <c r="H60" s="336" t="str">
        <f>IF(売分析!I60&lt;&gt;"",売分析!I60,"")</f>
        <v/>
      </c>
      <c r="I60" s="215" t="str">
        <f>IF(売分析!J60&lt;&gt;"",売分析!J60,"")</f>
        <v/>
      </c>
      <c r="J60" s="336">
        <f>IF(売分析!AB60&lt;&gt;"",売分析!AB60,"")</f>
        <v>2143.7667050691239</v>
      </c>
      <c r="K60" s="336">
        <f>IF(売分析!AC60&lt;&gt;"",売分析!AC60,"")</f>
        <v>2018.0095351609059</v>
      </c>
      <c r="L60" s="336" t="str">
        <f>IF(売分析!K60&lt;&gt;"",売分析!K60,"")</f>
        <v/>
      </c>
      <c r="M60" s="215" t="str">
        <f>IF(売分析!P60&lt;&gt;"",売分析!P60,"")</f>
        <v/>
      </c>
      <c r="N60" s="338" t="str">
        <f>IF(売分析!O60&lt;&gt;"",売分析!O60,"")</f>
        <v/>
      </c>
      <c r="O60" s="340">
        <f>IF(売分析!X60&lt;&gt;"",売分析!X60,"")</f>
        <v>28.964168580515206</v>
      </c>
      <c r="P60" s="337" t="str">
        <f>IF(売分析!L60&lt;&gt;"",売分析!L60,"")</f>
        <v/>
      </c>
      <c r="Q60" s="336" t="str">
        <f>IF(売分析!S60&lt;&gt;"",売分析!S60,"")</f>
        <v/>
      </c>
      <c r="R60" s="336" t="str">
        <f>IF(売分析!R60&lt;&gt;"",売分析!R60,"")</f>
        <v/>
      </c>
      <c r="S60" s="215" t="str">
        <f>IF(売分析!AA60&lt;&gt;"",売分析!AA60,"")</f>
        <v/>
      </c>
      <c r="T60" s="341" t="str">
        <f>IF(売分析!Z60&lt;&gt;"",売分析!Z60,"")</f>
        <v/>
      </c>
      <c r="U60" s="215" t="str">
        <f>IF(売分析!V60&lt;&gt;"",売分析!V60,"")</f>
        <v/>
      </c>
      <c r="V60" s="339">
        <f>IF(売分析!W60&lt;&gt;"",売分析!W60,"")</f>
        <v>83.333333333333329</v>
      </c>
      <c r="W60" s="215" t="str">
        <f>IF(売分析!AD60&lt;&gt;"",売分析!AD60,"")</f>
        <v>パーフェクト▲</v>
      </c>
      <c r="X60" s="215" t="e">
        <f>IF(売分析!AE60&lt;&gt;"",売分析!AE60,"")</f>
        <v>#VALUE!</v>
      </c>
      <c r="Y60" s="391">
        <f>IF(売分析!T60&lt;&gt;"",売分析!T60,"")</f>
        <v>0</v>
      </c>
      <c r="Z60" s="215" t="e">
        <f>IF(売分析!Y60&lt;&gt;"",売分析!Y60,"")</f>
        <v>#VALUE!</v>
      </c>
    </row>
    <row r="61" spans="1:26">
      <c r="A61" s="328">
        <f>IF(売分析!C61&lt;&gt;"",ROW()-2,"")</f>
        <v>59</v>
      </c>
      <c r="B61" s="327" t="str">
        <f>IF(売分析!C61&lt;&gt;"",HYPERLINK("https://kabutan.jp/stock/?code="&amp;売分析!C61,"株探"),"")</f>
        <v>株探</v>
      </c>
      <c r="C61" s="343">
        <f>IF(売分析!C61&lt;&gt;"",売分析!C61,"")</f>
        <v>5844</v>
      </c>
      <c r="D61" s="328" t="str">
        <f>IF(売分析!D61&lt;&gt;"",売分析!D61,"")</f>
        <v/>
      </c>
      <c r="E61" s="329" t="str">
        <f>IF(売分析!E61&lt;&gt;"",売分析!E61,"")</f>
        <v/>
      </c>
      <c r="F61" s="329" t="str">
        <f>IF(売分析!F61&lt;&gt;"",売分析!F61,"")</f>
        <v/>
      </c>
      <c r="G61" s="329" t="str">
        <f>IF(売分析!H61&lt;&gt;"",売分析!H61,"")</f>
        <v/>
      </c>
      <c r="H61" s="329" t="str">
        <f>IF(売分析!I61&lt;&gt;"",売分析!I61,"")</f>
        <v/>
      </c>
      <c r="I61" s="328" t="str">
        <f>IF(売分析!J61&lt;&gt;"",売分析!J61,"")</f>
        <v/>
      </c>
      <c r="J61" s="329">
        <f>IF(売分析!AB61&lt;&gt;"",売分析!AB61,"")</f>
        <v>4588.6129032258059</v>
      </c>
      <c r="K61" s="329">
        <f>IF(売分析!AC61&lt;&gt;"",売分析!AC61,"")</f>
        <v>4633.8116805721083</v>
      </c>
      <c r="L61" s="329" t="str">
        <f>IF(売分析!K61&lt;&gt;"",売分析!K61,"")</f>
        <v/>
      </c>
      <c r="M61" s="328" t="str">
        <f>IF(売分析!P61&lt;&gt;"",売分析!P61,"")</f>
        <v/>
      </c>
      <c r="N61" s="331" t="str">
        <f>IF(売分析!O61&lt;&gt;"",売分析!O61,"")</f>
        <v/>
      </c>
      <c r="O61" s="333">
        <f>IF(売分析!X61&lt;&gt;"",売分析!X61,"")</f>
        <v>12.096814188879762</v>
      </c>
      <c r="P61" s="330" t="str">
        <f>IF(売分析!L61&lt;&gt;"",売分析!L61,"")</f>
        <v/>
      </c>
      <c r="Q61" s="329" t="str">
        <f>IF(売分析!S61&lt;&gt;"",売分析!S61,"")</f>
        <v/>
      </c>
      <c r="R61" s="329" t="str">
        <f>IF(売分析!R61&lt;&gt;"",売分析!R61,"")</f>
        <v/>
      </c>
      <c r="S61" s="328" t="str">
        <f>IF(売分析!AA61&lt;&gt;"",売分析!AA61,"")</f>
        <v/>
      </c>
      <c r="T61" s="334" t="str">
        <f>IF(売分析!Z61&lt;&gt;"",売分析!Z61,"")</f>
        <v/>
      </c>
      <c r="U61" s="328" t="str">
        <f>IF(売分析!V61&lt;&gt;"",売分析!V61,"")</f>
        <v/>
      </c>
      <c r="V61" s="332">
        <f>IF(売分析!W61&lt;&gt;"",売分析!W61,"")</f>
        <v>66.256830601092901</v>
      </c>
      <c r="W61" s="328" t="str">
        <f>IF(売分析!AD61&lt;&gt;"",売分析!AD61,"")</f>
        <v>上昇トレンド▲</v>
      </c>
      <c r="X61" s="328" t="e">
        <f>IF(売分析!AE61&lt;&gt;"",売分析!AE61,"")</f>
        <v>#VALUE!</v>
      </c>
      <c r="Y61" s="390">
        <f>IF(売分析!T61&lt;&gt;"",売分析!T61,"")</f>
        <v>0</v>
      </c>
      <c r="Z61" s="328" t="e">
        <f>IF(売分析!Y61&lt;&gt;"",売分析!Y61,"")</f>
        <v>#VALUE!</v>
      </c>
    </row>
    <row r="62" spans="1:26">
      <c r="A62" s="215">
        <f>IF(売分析!C62&lt;&gt;"",ROW()-2,"")</f>
        <v>60</v>
      </c>
      <c r="B62" s="335" t="str">
        <f>IF(売分析!C62&lt;&gt;"",HYPERLINK("https://kabutan.jp/stock/?code="&amp;売分析!C62,"株探"),"")</f>
        <v>株探</v>
      </c>
      <c r="C62" s="344">
        <f>IF(売分析!C62&lt;&gt;"",売分析!C62,"")</f>
        <v>6387</v>
      </c>
      <c r="D62" s="215" t="str">
        <f>IF(売分析!D62&lt;&gt;"",売分析!D62,"")</f>
        <v/>
      </c>
      <c r="E62" s="336" t="str">
        <f>IF(売分析!E62&lt;&gt;"",売分析!E62,"")</f>
        <v/>
      </c>
      <c r="F62" s="336" t="str">
        <f>IF(売分析!F62&lt;&gt;"",売分析!F62,"")</f>
        <v/>
      </c>
      <c r="G62" s="336" t="str">
        <f>IF(売分析!H62&lt;&gt;"",売分析!H62,"")</f>
        <v/>
      </c>
      <c r="H62" s="336" t="str">
        <f>IF(売分析!I62&lt;&gt;"",売分析!I62,"")</f>
        <v/>
      </c>
      <c r="I62" s="215" t="str">
        <f>IF(売分析!J62&lt;&gt;"",売分析!J62,"")</f>
        <v/>
      </c>
      <c r="J62" s="336">
        <f>IF(売分析!AB62&lt;&gt;"",売分析!AB62,"")</f>
        <v>11550.702764976957</v>
      </c>
      <c r="K62" s="336">
        <f>IF(売分析!AC62&lt;&gt;"",売分析!AC62,"")</f>
        <v>12797.282479141833</v>
      </c>
      <c r="L62" s="336" t="str">
        <f>IF(売分析!K62&lt;&gt;"",売分析!K62,"")</f>
        <v/>
      </c>
      <c r="M62" s="215" t="str">
        <f>IF(売分析!P62&lt;&gt;"",売分析!P62,"")</f>
        <v/>
      </c>
      <c r="N62" s="338" t="str">
        <f>IF(売分析!O62&lt;&gt;"",売分析!O62,"")</f>
        <v/>
      </c>
      <c r="O62" s="340">
        <f>IF(売分析!X62&lt;&gt;"",売分析!X62,"")</f>
        <v>-355.78007395347959</v>
      </c>
      <c r="P62" s="337" t="str">
        <f>IF(売分析!L62&lt;&gt;"",売分析!L62,"")</f>
        <v/>
      </c>
      <c r="Q62" s="336" t="str">
        <f>IF(売分析!S62&lt;&gt;"",売分析!S62,"")</f>
        <v/>
      </c>
      <c r="R62" s="336" t="str">
        <f>IF(売分析!R62&lt;&gt;"",売分析!R62,"")</f>
        <v/>
      </c>
      <c r="S62" s="215" t="str">
        <f>IF(売分析!AA62&lt;&gt;"",売分析!AA62,"")</f>
        <v/>
      </c>
      <c r="T62" s="341" t="str">
        <f>IF(売分析!Z62&lt;&gt;"",売分析!Z62,"")</f>
        <v/>
      </c>
      <c r="U62" s="215" t="str">
        <f>IF(売分析!V62&lt;&gt;"",売分析!V62,"")</f>
        <v/>
      </c>
      <c r="V62" s="339">
        <f>IF(売分析!W62&lt;&gt;"",売分析!W62,"")</f>
        <v>36.652835408022128</v>
      </c>
      <c r="W62" s="215" t="str">
        <f>IF(売分析!AD62&lt;&gt;"",売分析!AD62,"")</f>
        <v>上昇トレンド▲</v>
      </c>
      <c r="X62" s="215" t="e">
        <f>IF(売分析!AE62&lt;&gt;"",売分析!AE62,"")</f>
        <v>#VALUE!</v>
      </c>
      <c r="Y62" s="391">
        <f>IF(売分析!T62&lt;&gt;"",売分析!T62,"")</f>
        <v>0</v>
      </c>
      <c r="Z62" s="215" t="e">
        <f>IF(売分析!Y62&lt;&gt;"",売分析!Y62,"")</f>
        <v>#VALUE!</v>
      </c>
    </row>
    <row r="63" spans="1:26">
      <c r="A63" s="328">
        <f>IF(売分析!C63&lt;&gt;"",ROW()-2,"")</f>
        <v>61</v>
      </c>
      <c r="B63" s="327" t="str">
        <f>IF(売分析!C63&lt;&gt;"",HYPERLINK("https://kabutan.jp/stock/?code="&amp;売分析!C63,"株探"),"")</f>
        <v>株探</v>
      </c>
      <c r="C63" s="343">
        <f>IF(売分析!C63&lt;&gt;"",売分析!C63,"")</f>
        <v>7381</v>
      </c>
      <c r="D63" s="328" t="str">
        <f>IF(売分析!D63&lt;&gt;"",売分析!D63,"")</f>
        <v/>
      </c>
      <c r="E63" s="329" t="str">
        <f>IF(売分析!E63&lt;&gt;"",売分析!E63,"")</f>
        <v/>
      </c>
      <c r="F63" s="329" t="str">
        <f>IF(売分析!F63&lt;&gt;"",売分析!F63,"")</f>
        <v/>
      </c>
      <c r="G63" s="329" t="str">
        <f>IF(売分析!H63&lt;&gt;"",売分析!H63,"")</f>
        <v/>
      </c>
      <c r="H63" s="329" t="str">
        <f>IF(売分析!I63&lt;&gt;"",売分析!I63,"")</f>
        <v/>
      </c>
      <c r="I63" s="328" t="str">
        <f>IF(売分析!J63&lt;&gt;"",売分析!J63,"")</f>
        <v/>
      </c>
      <c r="J63" s="329">
        <f>IF(売分析!AB63&lt;&gt;"",売分析!AB63,"")</f>
        <v>1077.9930875576038</v>
      </c>
      <c r="K63" s="329">
        <f>IF(売分析!AC63&lt;&gt;"",売分析!AC63,"")</f>
        <v>1036.5601907032178</v>
      </c>
      <c r="L63" s="329" t="str">
        <f>IF(売分析!K63&lt;&gt;"",売分析!K63,"")</f>
        <v/>
      </c>
      <c r="M63" s="328" t="str">
        <f>IF(売分析!P63&lt;&gt;"",売分析!P63,"")</f>
        <v/>
      </c>
      <c r="N63" s="331" t="str">
        <f>IF(売分析!O63&lt;&gt;"",売分析!O63,"")</f>
        <v/>
      </c>
      <c r="O63" s="333">
        <f>IF(売分析!X63&lt;&gt;"",売分析!X63,"")</f>
        <v>14.02768479416045</v>
      </c>
      <c r="P63" s="330" t="str">
        <f>IF(売分析!L63&lt;&gt;"",売分析!L63,"")</f>
        <v/>
      </c>
      <c r="Q63" s="329" t="str">
        <f>IF(売分析!S63&lt;&gt;"",売分析!S63,"")</f>
        <v/>
      </c>
      <c r="R63" s="329" t="str">
        <f>IF(売分析!R63&lt;&gt;"",売分析!R63,"")</f>
        <v/>
      </c>
      <c r="S63" s="328" t="str">
        <f>IF(売分析!AA63&lt;&gt;"",売分析!AA63,"")</f>
        <v/>
      </c>
      <c r="T63" s="334" t="str">
        <f>IF(売分析!Z63&lt;&gt;"",売分析!Z63,"")</f>
        <v/>
      </c>
      <c r="U63" s="328" t="str">
        <f>IF(売分析!V63&lt;&gt;"",売分析!V63,"")</f>
        <v/>
      </c>
      <c r="V63" s="332">
        <f>IF(売分析!W63&lt;&gt;"",売分析!W63,"")</f>
        <v>83.397683397683394</v>
      </c>
      <c r="W63" s="328" t="str">
        <f>IF(売分析!AD63&lt;&gt;"",売分析!AD63,"")</f>
        <v>パーフェクト▲</v>
      </c>
      <c r="X63" s="328" t="e">
        <f>IF(売分析!AE63&lt;&gt;"",売分析!AE63,"")</f>
        <v>#VALUE!</v>
      </c>
      <c r="Y63" s="390">
        <f>IF(売分析!T63&lt;&gt;"",売分析!T63,"")</f>
        <v>0</v>
      </c>
      <c r="Z63" s="328" t="e">
        <f>IF(売分析!Y63&lt;&gt;"",売分析!Y63,"")</f>
        <v>#VALUE!</v>
      </c>
    </row>
    <row r="64" spans="1:26">
      <c r="A64" s="215">
        <f>IF(売分析!C64&lt;&gt;"",ROW()-2,"")</f>
        <v>62</v>
      </c>
      <c r="B64" s="335" t="str">
        <f>IF(売分析!C64&lt;&gt;"",HYPERLINK("https://kabutan.jp/stock/?code="&amp;売分析!C64,"株探"),"")</f>
        <v>株探</v>
      </c>
      <c r="C64" s="344">
        <f>IF(売分析!C64&lt;&gt;"",売分析!C64,"")</f>
        <v>6507</v>
      </c>
      <c r="D64" s="215" t="str">
        <f>IF(売分析!D64&lt;&gt;"",売分析!D64,"")</f>
        <v/>
      </c>
      <c r="E64" s="336" t="str">
        <f>IF(売分析!E64&lt;&gt;"",売分析!E64,"")</f>
        <v/>
      </c>
      <c r="F64" s="336" t="str">
        <f>IF(売分析!F64&lt;&gt;"",売分析!F64,"")</f>
        <v/>
      </c>
      <c r="G64" s="336" t="str">
        <f>IF(売分析!H64&lt;&gt;"",売分析!H64,"")</f>
        <v/>
      </c>
      <c r="H64" s="336" t="str">
        <f>IF(売分析!I64&lt;&gt;"",売分析!I64,"")</f>
        <v/>
      </c>
      <c r="I64" s="215" t="str">
        <f>IF(売分析!J64&lt;&gt;"",売分析!J64,"")</f>
        <v/>
      </c>
      <c r="J64" s="336">
        <f>IF(売分析!AB64&lt;&gt;"",売分析!AB64,"")</f>
        <v>14200.979262672809</v>
      </c>
      <c r="K64" s="336">
        <f>IF(売分析!AC64&lt;&gt;"",売分析!AC64,"")</f>
        <v>14979.833134684141</v>
      </c>
      <c r="L64" s="336" t="str">
        <f>IF(売分析!K64&lt;&gt;"",売分析!K64,"")</f>
        <v/>
      </c>
      <c r="M64" s="215" t="str">
        <f>IF(売分析!P64&lt;&gt;"",売分析!P64,"")</f>
        <v/>
      </c>
      <c r="N64" s="338" t="str">
        <f>IF(売分析!O64&lt;&gt;"",売分析!O64,"")</f>
        <v/>
      </c>
      <c r="O64" s="340">
        <f>IF(売分析!X64&lt;&gt;"",売分析!X64,"")</f>
        <v>-124.48740044340047</v>
      </c>
      <c r="P64" s="337" t="str">
        <f>IF(売分析!L64&lt;&gt;"",売分析!L64,"")</f>
        <v/>
      </c>
      <c r="Q64" s="336" t="str">
        <f>IF(売分析!S64&lt;&gt;"",売分析!S64,"")</f>
        <v/>
      </c>
      <c r="R64" s="336" t="str">
        <f>IF(売分析!R64&lt;&gt;"",売分析!R64,"")</f>
        <v/>
      </c>
      <c r="S64" s="215" t="str">
        <f>IF(売分析!AA64&lt;&gt;"",売分析!AA64,"")</f>
        <v/>
      </c>
      <c r="T64" s="341" t="str">
        <f>IF(売分析!Z64&lt;&gt;"",売分析!Z64,"")</f>
        <v/>
      </c>
      <c r="U64" s="215" t="str">
        <f>IF(売分析!V64&lt;&gt;"",売分析!V64,"")</f>
        <v/>
      </c>
      <c r="V64" s="339">
        <f>IF(売分析!W64&lt;&gt;"",売分析!W64,"")</f>
        <v>43.863912515188339</v>
      </c>
      <c r="W64" s="215" t="str">
        <f>IF(売分析!AD64&lt;&gt;"",売分析!AD64,"")</f>
        <v>上昇トレンド▲</v>
      </c>
      <c r="X64" s="215" t="e">
        <f>IF(売分析!AE64&lt;&gt;"",売分析!AE64,"")</f>
        <v>#VALUE!</v>
      </c>
      <c r="Y64" s="391">
        <f>IF(売分析!T64&lt;&gt;"",売分析!T64,"")</f>
        <v>0</v>
      </c>
      <c r="Z64" s="215" t="e">
        <f>IF(売分析!Y64&lt;&gt;"",売分析!Y64,"")</f>
        <v>#VALUE!</v>
      </c>
    </row>
    <row r="65" spans="1:26">
      <c r="A65" s="328">
        <f>IF(売分析!C65&lt;&gt;"",ROW()-2,"")</f>
        <v>63</v>
      </c>
      <c r="B65" s="327" t="str">
        <f>IF(売分析!C65&lt;&gt;"",HYPERLINK("https://kabutan.jp/stock/?code="&amp;売分析!C65,"株探"),"")</f>
        <v>株探</v>
      </c>
      <c r="C65" s="343">
        <f>IF(売分析!C65&lt;&gt;"",売分析!C65,"")</f>
        <v>8015</v>
      </c>
      <c r="D65" s="328" t="str">
        <f>IF(売分析!D65&lt;&gt;"",売分析!D65,"")</f>
        <v/>
      </c>
      <c r="E65" s="329" t="str">
        <f>IF(売分析!E65&lt;&gt;"",売分析!E65,"")</f>
        <v/>
      </c>
      <c r="F65" s="329" t="str">
        <f>IF(売分析!F65&lt;&gt;"",売分析!F65,"")</f>
        <v/>
      </c>
      <c r="G65" s="329" t="str">
        <f>IF(売分析!H65&lt;&gt;"",売分析!H65,"")</f>
        <v/>
      </c>
      <c r="H65" s="329" t="str">
        <f>IF(売分析!I65&lt;&gt;"",売分析!I65,"")</f>
        <v/>
      </c>
      <c r="I65" s="328" t="str">
        <f>IF(売分析!J65&lt;&gt;"",売分析!J65,"")</f>
        <v/>
      </c>
      <c r="J65" s="329">
        <f>IF(売分析!AB65&lt;&gt;"",売分析!AB65,"")</f>
        <v>6106.0184331797227</v>
      </c>
      <c r="K65" s="329">
        <f>IF(売分析!AC65&lt;&gt;"",売分析!AC65,"")</f>
        <v>6109.8665077473161</v>
      </c>
      <c r="L65" s="329" t="str">
        <f>IF(売分析!K65&lt;&gt;"",売分析!K65,"")</f>
        <v/>
      </c>
      <c r="M65" s="328" t="str">
        <f>IF(売分析!P65&lt;&gt;"",売分析!P65,"")</f>
        <v/>
      </c>
      <c r="N65" s="331" t="str">
        <f>IF(売分析!O65&lt;&gt;"",売分析!O65,"")</f>
        <v/>
      </c>
      <c r="O65" s="333">
        <f>IF(売分析!X65&lt;&gt;"",売分析!X65,"")</f>
        <v>2.6023029864018099</v>
      </c>
      <c r="P65" s="330" t="str">
        <f>IF(売分析!L65&lt;&gt;"",売分析!L65,"")</f>
        <v/>
      </c>
      <c r="Q65" s="329" t="str">
        <f>IF(売分析!S65&lt;&gt;"",売分析!S65,"")</f>
        <v/>
      </c>
      <c r="R65" s="329" t="str">
        <f>IF(売分析!R65&lt;&gt;"",売分析!R65,"")</f>
        <v/>
      </c>
      <c r="S65" s="328" t="str">
        <f>IF(売分析!AA65&lt;&gt;"",売分析!AA65,"")</f>
        <v/>
      </c>
      <c r="T65" s="334" t="str">
        <f>IF(売分析!Z65&lt;&gt;"",売分析!Z65,"")</f>
        <v/>
      </c>
      <c r="U65" s="328" t="str">
        <f>IF(売分析!V65&lt;&gt;"",売分析!V65,"")</f>
        <v/>
      </c>
      <c r="V65" s="332">
        <f>IF(売分析!W65&lt;&gt;"",売分析!W65,"")</f>
        <v>63.748458692971639</v>
      </c>
      <c r="W65" s="328" t="str">
        <f>IF(売分析!AD65&lt;&gt;"",売分析!AD65,"")</f>
        <v>上昇トレンド▲</v>
      </c>
      <c r="X65" s="328" t="e">
        <f>IF(売分析!AE65&lt;&gt;"",売分析!AE65,"")</f>
        <v>#VALUE!</v>
      </c>
      <c r="Y65" s="390">
        <f>IF(売分析!T65&lt;&gt;"",売分析!T65,"")</f>
        <v>0</v>
      </c>
      <c r="Z65" s="328" t="e">
        <f>IF(売分析!Y65&lt;&gt;"",売分析!Y65,"")</f>
        <v>#VALUE!</v>
      </c>
    </row>
    <row r="66" spans="1:26">
      <c r="A66" s="215">
        <f>IF(売分析!C66&lt;&gt;"",ROW()-2,"")</f>
        <v>64</v>
      </c>
      <c r="B66" s="335" t="str">
        <f>IF(売分析!C66&lt;&gt;"",HYPERLINK("https://kabutan.jp/stock/?code="&amp;売分析!C66,"株探"),"")</f>
        <v>株探</v>
      </c>
      <c r="C66" s="344">
        <f>IF(売分析!C66&lt;&gt;"",売分析!C66,"")</f>
        <v>8411</v>
      </c>
      <c r="D66" s="215" t="str">
        <f>IF(売分析!D66&lt;&gt;"",売分析!D66,"")</f>
        <v/>
      </c>
      <c r="E66" s="336" t="str">
        <f>IF(売分析!E66&lt;&gt;"",売分析!E66,"")</f>
        <v/>
      </c>
      <c r="F66" s="336" t="str">
        <f>IF(売分析!F66&lt;&gt;"",売分析!F66,"")</f>
        <v/>
      </c>
      <c r="G66" s="336" t="str">
        <f>IF(売分析!H66&lt;&gt;"",売分析!H66,"")</f>
        <v/>
      </c>
      <c r="H66" s="336" t="str">
        <f>IF(売分析!I66&lt;&gt;"",売分析!I66,"")</f>
        <v/>
      </c>
      <c r="I66" s="215" t="str">
        <f>IF(売分析!J66&lt;&gt;"",売分析!J66,"")</f>
        <v/>
      </c>
      <c r="J66" s="336">
        <f>IF(売分析!AB66&lt;&gt;"",売分析!AB66,"")</f>
        <v>8285.4873271889392</v>
      </c>
      <c r="K66" s="336">
        <f>IF(売分析!AC66&lt;&gt;"",売分析!AC66,"")</f>
        <v>8087.6448152562562</v>
      </c>
      <c r="L66" s="336" t="str">
        <f>IF(売分析!K66&lt;&gt;"",売分析!K66,"")</f>
        <v/>
      </c>
      <c r="M66" s="215" t="str">
        <f>IF(売分析!P66&lt;&gt;"",売分析!P66,"")</f>
        <v/>
      </c>
      <c r="N66" s="338" t="str">
        <f>IF(売分析!O66&lt;&gt;"",売分析!O66,"")</f>
        <v/>
      </c>
      <c r="O66" s="340">
        <f>IF(売分析!X66&lt;&gt;"",売分析!X66,"")</f>
        <v>81.773263705080353</v>
      </c>
      <c r="P66" s="337" t="str">
        <f>IF(売分析!L66&lt;&gt;"",売分析!L66,"")</f>
        <v/>
      </c>
      <c r="Q66" s="336" t="str">
        <f>IF(売分析!S66&lt;&gt;"",売分析!S66,"")</f>
        <v/>
      </c>
      <c r="R66" s="336" t="str">
        <f>IF(売分析!R66&lt;&gt;"",売分析!R66,"")</f>
        <v/>
      </c>
      <c r="S66" s="215" t="str">
        <f>IF(売分析!AA66&lt;&gt;"",売分析!AA66,"")</f>
        <v/>
      </c>
      <c r="T66" s="341" t="str">
        <f>IF(売分析!Z66&lt;&gt;"",売分析!Z66,"")</f>
        <v/>
      </c>
      <c r="U66" s="215" t="str">
        <f>IF(売分析!V66&lt;&gt;"",売分析!V66,"")</f>
        <v/>
      </c>
      <c r="V66" s="339">
        <f>IF(売分析!W66&lt;&gt;"",売分析!W66,"")</f>
        <v>85.816733067729089</v>
      </c>
      <c r="W66" s="215" t="str">
        <f>IF(売分析!AD66&lt;&gt;"",売分析!AD66,"")</f>
        <v>パーフェクト▲</v>
      </c>
      <c r="X66" s="215" t="e">
        <f>IF(売分析!AE66&lt;&gt;"",売分析!AE66,"")</f>
        <v>#VALUE!</v>
      </c>
      <c r="Y66" s="391">
        <f>IF(売分析!T66&lt;&gt;"",売分析!T66,"")</f>
        <v>0</v>
      </c>
      <c r="Z66" s="215" t="e">
        <f>IF(売分析!Y66&lt;&gt;"",売分析!Y66,"")</f>
        <v>#VALUE!</v>
      </c>
    </row>
    <row r="67" spans="1:26">
      <c r="A67" s="328">
        <f>IF(売分析!C67&lt;&gt;"",ROW()-2,"")</f>
        <v>65</v>
      </c>
      <c r="B67" s="327" t="str">
        <f>IF(売分析!C67&lt;&gt;"",HYPERLINK("https://kabutan.jp/stock/?code="&amp;売分析!C67,"株探"),"")</f>
        <v>株探</v>
      </c>
      <c r="C67" s="343">
        <f>IF(売分析!C67&lt;&gt;"",売分析!C67,"")</f>
        <v>8591</v>
      </c>
      <c r="D67" s="328" t="str">
        <f>IF(売分析!D67&lt;&gt;"",売分析!D67,"")</f>
        <v/>
      </c>
      <c r="E67" s="329" t="str">
        <f>IF(売分析!E67&lt;&gt;"",売分析!E67,"")</f>
        <v/>
      </c>
      <c r="F67" s="329" t="str">
        <f>IF(売分析!F67&lt;&gt;"",売分析!F67,"")</f>
        <v/>
      </c>
      <c r="G67" s="329" t="str">
        <f>IF(売分析!H67&lt;&gt;"",売分析!H67,"")</f>
        <v/>
      </c>
      <c r="H67" s="329" t="str">
        <f>IF(売分析!I67&lt;&gt;"",売分析!I67,"")</f>
        <v/>
      </c>
      <c r="I67" s="328" t="str">
        <f>IF(売分析!J67&lt;&gt;"",売分析!J67,"")</f>
        <v/>
      </c>
      <c r="J67" s="329">
        <f>IF(売分析!AB67&lt;&gt;"",売分析!AB67,"")</f>
        <v>6383.1198156682021</v>
      </c>
      <c r="K67" s="329">
        <f>IF(売分析!AC67&lt;&gt;"",売分析!AC67,"")</f>
        <v>6330.9678188319413</v>
      </c>
      <c r="L67" s="329" t="str">
        <f>IF(売分析!K67&lt;&gt;"",売分析!K67,"")</f>
        <v/>
      </c>
      <c r="M67" s="328" t="str">
        <f>IF(売分析!P67&lt;&gt;"",売分析!P67,"")</f>
        <v/>
      </c>
      <c r="N67" s="331" t="str">
        <f>IF(売分析!O67&lt;&gt;"",売分析!O67,"")</f>
        <v/>
      </c>
      <c r="O67" s="333">
        <f>IF(売分析!X67&lt;&gt;"",売分析!X67,"")</f>
        <v>27.177229649860237</v>
      </c>
      <c r="P67" s="330" t="str">
        <f>IF(売分析!L67&lt;&gt;"",売分析!L67,"")</f>
        <v/>
      </c>
      <c r="Q67" s="329" t="str">
        <f>IF(売分析!S67&lt;&gt;"",売分析!S67,"")</f>
        <v/>
      </c>
      <c r="R67" s="329" t="str">
        <f>IF(売分析!R67&lt;&gt;"",売分析!R67,"")</f>
        <v/>
      </c>
      <c r="S67" s="328" t="str">
        <f>IF(売分析!AA67&lt;&gt;"",売分析!AA67,"")</f>
        <v/>
      </c>
      <c r="T67" s="334" t="str">
        <f>IF(売分析!Z67&lt;&gt;"",売分析!Z67,"")</f>
        <v/>
      </c>
      <c r="U67" s="328" t="str">
        <f>IF(売分析!V67&lt;&gt;"",売分析!V67,"")</f>
        <v/>
      </c>
      <c r="V67" s="332">
        <f>IF(売分析!W67&lt;&gt;"",売分析!W67,"")</f>
        <v>81.92771084337349</v>
      </c>
      <c r="W67" s="328" t="str">
        <f>IF(売分析!AD67&lt;&gt;"",売分析!AD67,"")</f>
        <v>パーフェクト▲</v>
      </c>
      <c r="X67" s="328" t="e">
        <f>IF(売分析!AE67&lt;&gt;"",売分析!AE67,"")</f>
        <v>#VALUE!</v>
      </c>
      <c r="Y67" s="390">
        <f>IF(売分析!T67&lt;&gt;"",売分析!T67,"")</f>
        <v>0</v>
      </c>
      <c r="Z67" s="328" t="e">
        <f>IF(売分析!Y67&lt;&gt;"",売分析!Y67,"")</f>
        <v>#VALUE!</v>
      </c>
    </row>
    <row r="68" spans="1:26">
      <c r="A68" s="215">
        <f>IF(売分析!C68&lt;&gt;"",ROW()-2,"")</f>
        <v>66</v>
      </c>
      <c r="B68" s="335" t="str">
        <f>IF(売分析!C68&lt;&gt;"",HYPERLINK("https://kabutan.jp/stock/?code="&amp;売分析!C68,"株探"),"")</f>
        <v>株探</v>
      </c>
      <c r="C68" s="344">
        <f>IF(売分析!C68&lt;&gt;"",売分析!C68,"")</f>
        <v>8309</v>
      </c>
      <c r="D68" s="215" t="str">
        <f>IF(売分析!D68&lt;&gt;"",売分析!D68,"")</f>
        <v/>
      </c>
      <c r="E68" s="336" t="str">
        <f>IF(売分析!E68&lt;&gt;"",売分析!E68,"")</f>
        <v/>
      </c>
      <c r="F68" s="336" t="str">
        <f>IF(売分析!F68&lt;&gt;"",売分析!F68,"")</f>
        <v/>
      </c>
      <c r="G68" s="336" t="str">
        <f>IF(売分析!H68&lt;&gt;"",売分析!H68,"")</f>
        <v/>
      </c>
      <c r="H68" s="336" t="str">
        <f>IF(売分析!I68&lt;&gt;"",売分析!I68,"")</f>
        <v/>
      </c>
      <c r="I68" s="215" t="str">
        <f>IF(売分析!J68&lt;&gt;"",売分析!J68,"")</f>
        <v/>
      </c>
      <c r="J68" s="336">
        <f>IF(売分析!AB68&lt;&gt;"",売分析!AB68,"")</f>
        <v>6592.2718894009213</v>
      </c>
      <c r="K68" s="336">
        <f>IF(売分析!AC68&lt;&gt;"",売分析!AC68,"")</f>
        <v>6363.7640047675786</v>
      </c>
      <c r="L68" s="336" t="str">
        <f>IF(売分析!K68&lt;&gt;"",売分析!K68,"")</f>
        <v/>
      </c>
      <c r="M68" s="215" t="str">
        <f>IF(売分析!P68&lt;&gt;"",売分析!P68,"")</f>
        <v/>
      </c>
      <c r="N68" s="338" t="str">
        <f>IF(売分析!O68&lt;&gt;"",売分析!O68,"")</f>
        <v/>
      </c>
      <c r="O68" s="340">
        <f>IF(売分析!X68&lt;&gt;"",売分析!X68,"")</f>
        <v>90.749614908514559</v>
      </c>
      <c r="P68" s="337" t="str">
        <f>IF(売分析!L68&lt;&gt;"",売分析!L68,"")</f>
        <v/>
      </c>
      <c r="Q68" s="336" t="str">
        <f>IF(売分析!S68&lt;&gt;"",売分析!S68,"")</f>
        <v/>
      </c>
      <c r="R68" s="336" t="str">
        <f>IF(売分析!R68&lt;&gt;"",売分析!R68,"")</f>
        <v/>
      </c>
      <c r="S68" s="215" t="str">
        <f>IF(売分析!AA68&lt;&gt;"",売分析!AA68,"")</f>
        <v/>
      </c>
      <c r="T68" s="341" t="str">
        <f>IF(売分析!Z68&lt;&gt;"",売分析!Z68,"")</f>
        <v/>
      </c>
      <c r="U68" s="215" t="str">
        <f>IF(売分析!V68&lt;&gt;"",売分析!V68,"")</f>
        <v/>
      </c>
      <c r="V68" s="339">
        <f>IF(売分析!W68&lt;&gt;"",売分析!W68,"")</f>
        <v>96.642685851318944</v>
      </c>
      <c r="W68" s="215" t="str">
        <f>IF(売分析!AD68&lt;&gt;"",売分析!AD68,"")</f>
        <v>パーフェクト▲</v>
      </c>
      <c r="X68" s="215" t="e">
        <f>IF(売分析!AE68&lt;&gt;"",売分析!AE68,"")</f>
        <v>#VALUE!</v>
      </c>
      <c r="Y68" s="391">
        <f>IF(売分析!T68&lt;&gt;"",売分析!T68,"")</f>
        <v>0</v>
      </c>
      <c r="Z68" s="215" t="e">
        <f>IF(売分析!Y68&lt;&gt;"",売分析!Y68,"")</f>
        <v>#VALUE!</v>
      </c>
    </row>
    <row r="69" spans="1:26">
      <c r="A69" s="328">
        <f>IF(売分析!C69&lt;&gt;"",ROW()-2,"")</f>
        <v>67</v>
      </c>
      <c r="B69" s="327" t="str">
        <f>IF(売分析!C69&lt;&gt;"",HYPERLINK("https://kabutan.jp/stock/?code="&amp;売分析!C69,"株探"),"")</f>
        <v>株探</v>
      </c>
      <c r="C69" s="343">
        <f>IF(売分析!C69&lt;&gt;"",売分析!C69,"")</f>
        <v>5929</v>
      </c>
      <c r="D69" s="328" t="str">
        <f>IF(売分析!D69&lt;&gt;"",売分析!D69,"")</f>
        <v/>
      </c>
      <c r="E69" s="329" t="str">
        <f>IF(売分析!E69&lt;&gt;"",売分析!E69,"")</f>
        <v/>
      </c>
      <c r="F69" s="329" t="str">
        <f>IF(売分析!F69&lt;&gt;"",売分析!F69,"")</f>
        <v/>
      </c>
      <c r="G69" s="329" t="str">
        <f>IF(売分析!H69&lt;&gt;"",売分析!H69,"")</f>
        <v/>
      </c>
      <c r="H69" s="329" t="str">
        <f>IF(売分析!I69&lt;&gt;"",売分析!I69,"")</f>
        <v/>
      </c>
      <c r="I69" s="328" t="str">
        <f>IF(売分析!J69&lt;&gt;"",売分析!J69,"")</f>
        <v/>
      </c>
      <c r="J69" s="329">
        <f>IF(売分析!AB69&lt;&gt;"",売分析!AB69,"")</f>
        <v>3719.4147465437782</v>
      </c>
      <c r="K69" s="329">
        <f>IF(売分析!AC69&lt;&gt;"",売分析!AC69,"")</f>
        <v>3723.2336114421914</v>
      </c>
      <c r="L69" s="329" t="str">
        <f>IF(売分析!K69&lt;&gt;"",売分析!K69,"")</f>
        <v/>
      </c>
      <c r="M69" s="328" t="str">
        <f>IF(売分析!P69&lt;&gt;"",売分析!P69,"")</f>
        <v/>
      </c>
      <c r="N69" s="331" t="str">
        <f>IF(売分析!O69&lt;&gt;"",売分析!O69,"")</f>
        <v/>
      </c>
      <c r="O69" s="333">
        <f>IF(売分析!X69&lt;&gt;"",売分析!X69,"")</f>
        <v>4.2008744661466153</v>
      </c>
      <c r="P69" s="330" t="str">
        <f>IF(売分析!L69&lt;&gt;"",売分析!L69,"")</f>
        <v/>
      </c>
      <c r="Q69" s="329" t="str">
        <f>IF(売分析!S69&lt;&gt;"",売分析!S69,"")</f>
        <v/>
      </c>
      <c r="R69" s="329" t="str">
        <f>IF(売分析!R69&lt;&gt;"",売分析!R69,"")</f>
        <v/>
      </c>
      <c r="S69" s="328" t="str">
        <f>IF(売分析!AA69&lt;&gt;"",売分析!AA69,"")</f>
        <v/>
      </c>
      <c r="T69" s="334" t="str">
        <f>IF(売分析!Z69&lt;&gt;"",売分析!Z69,"")</f>
        <v/>
      </c>
      <c r="U69" s="328" t="str">
        <f>IF(売分析!V69&lt;&gt;"",売分析!V69,"")</f>
        <v/>
      </c>
      <c r="V69" s="332">
        <f>IF(売分析!W69&lt;&gt;"",売分析!W69,"")</f>
        <v>46.917293233082709</v>
      </c>
      <c r="W69" s="328" t="str">
        <f>IF(売分析!AD69&lt;&gt;"",売分析!AD69,"")</f>
        <v>上昇トレンド▲</v>
      </c>
      <c r="X69" s="328" t="e">
        <f>IF(売分析!AE69&lt;&gt;"",売分析!AE69,"")</f>
        <v>#VALUE!</v>
      </c>
      <c r="Y69" s="390">
        <f>IF(売分析!T69&lt;&gt;"",売分析!T69,"")</f>
        <v>0</v>
      </c>
      <c r="Z69" s="328" t="e">
        <f>IF(売分析!Y69&lt;&gt;"",売分析!Y69,"")</f>
        <v>#VALUE!</v>
      </c>
    </row>
    <row r="70" spans="1:26">
      <c r="A70" s="215">
        <f>IF(売分析!C70&lt;&gt;"",ROW()-2,"")</f>
        <v>68</v>
      </c>
      <c r="B70" s="335" t="str">
        <f>IF(売分析!C70&lt;&gt;"",HYPERLINK("https://kabutan.jp/stock/?code="&amp;売分析!C70,"株探"),"")</f>
        <v>株探</v>
      </c>
      <c r="C70" s="344">
        <f>IF(売分析!C70&lt;&gt;"",売分析!C70,"")</f>
        <v>8316</v>
      </c>
      <c r="D70" s="215" t="str">
        <f>IF(売分析!D70&lt;&gt;"",売分析!D70,"")</f>
        <v/>
      </c>
      <c r="E70" s="336" t="str">
        <f>IF(売分析!E70&lt;&gt;"",売分析!E70,"")</f>
        <v/>
      </c>
      <c r="F70" s="336" t="str">
        <f>IF(売分析!F70&lt;&gt;"",売分析!F70,"")</f>
        <v/>
      </c>
      <c r="G70" s="336" t="str">
        <f>IF(売分析!H70&lt;&gt;"",売分析!H70,"")</f>
        <v/>
      </c>
      <c r="H70" s="336" t="str">
        <f>IF(売分析!I70&lt;&gt;"",売分析!I70,"")</f>
        <v/>
      </c>
      <c r="I70" s="215" t="str">
        <f>IF(売分析!J70&lt;&gt;"",売分析!J70,"")</f>
        <v/>
      </c>
      <c r="J70" s="336">
        <f>IF(売分析!AB70&lt;&gt;"",売分析!AB70,"")</f>
        <v>6895.587557603686</v>
      </c>
      <c r="K70" s="336">
        <f>IF(売分析!AC70&lt;&gt;"",売分析!AC70,"")</f>
        <v>6708.5625744934441</v>
      </c>
      <c r="L70" s="336" t="str">
        <f>IF(売分析!K70&lt;&gt;"",売分析!K70,"")</f>
        <v/>
      </c>
      <c r="M70" s="215" t="str">
        <f>IF(売分析!P70&lt;&gt;"",売分析!P70,"")</f>
        <v/>
      </c>
      <c r="N70" s="338" t="str">
        <f>IF(売分析!O70&lt;&gt;"",売分析!O70,"")</f>
        <v/>
      </c>
      <c r="O70" s="340">
        <f>IF(売分析!X70&lt;&gt;"",売分析!X70,"")</f>
        <v>75.427754050925614</v>
      </c>
      <c r="P70" s="337" t="str">
        <f>IF(売分析!L70&lt;&gt;"",売分析!L70,"")</f>
        <v/>
      </c>
      <c r="Q70" s="336" t="str">
        <f>IF(売分析!S70&lt;&gt;"",売分析!S70,"")</f>
        <v/>
      </c>
      <c r="R70" s="336" t="str">
        <f>IF(売分析!R70&lt;&gt;"",売分析!R70,"")</f>
        <v/>
      </c>
      <c r="S70" s="215" t="str">
        <f>IF(売分析!AA70&lt;&gt;"",売分析!AA70,"")</f>
        <v/>
      </c>
      <c r="T70" s="341" t="str">
        <f>IF(売分析!Z70&lt;&gt;"",売分析!Z70,"")</f>
        <v/>
      </c>
      <c r="U70" s="215" t="str">
        <f>IF(売分析!V70&lt;&gt;"",売分析!V70,"")</f>
        <v/>
      </c>
      <c r="V70" s="339">
        <f>IF(売分析!W70&lt;&gt;"",売分析!W70,"")</f>
        <v>93.975903614457835</v>
      </c>
      <c r="W70" s="215" t="str">
        <f>IF(売分析!AD70&lt;&gt;"",売分析!AD70,"")</f>
        <v>パーフェクト▲</v>
      </c>
      <c r="X70" s="215" t="e">
        <f>IF(売分析!AE70&lt;&gt;"",売分析!AE70,"")</f>
        <v>#VALUE!</v>
      </c>
      <c r="Y70" s="391">
        <f>IF(売分析!T70&lt;&gt;"",売分析!T70,"")</f>
        <v>0</v>
      </c>
      <c r="Z70" s="215" t="e">
        <f>IF(売分析!Y70&lt;&gt;"",売分析!Y70,"")</f>
        <v>#VALUE!</v>
      </c>
    </row>
    <row r="71" spans="1:26">
      <c r="A71" s="328">
        <f>IF(売分析!C71&lt;&gt;"",ROW()-2,"")</f>
        <v>69</v>
      </c>
      <c r="B71" s="327" t="str">
        <f>IF(売分析!C71&lt;&gt;"",HYPERLINK("https://kabutan.jp/stock/?code="&amp;売分析!C71,"株探"),"")</f>
        <v>株探</v>
      </c>
      <c r="C71" s="343">
        <f>IF(売分析!C71&lt;&gt;"",売分析!C71,"")</f>
        <v>5901</v>
      </c>
      <c r="D71" s="328" t="str">
        <f>IF(売分析!D71&lt;&gt;"",売分析!D71,"")</f>
        <v/>
      </c>
      <c r="E71" s="329" t="str">
        <f>IF(売分析!E71&lt;&gt;"",売分析!E71,"")</f>
        <v/>
      </c>
      <c r="F71" s="329" t="str">
        <f>IF(売分析!F71&lt;&gt;"",売分析!F71,"")</f>
        <v/>
      </c>
      <c r="G71" s="329" t="str">
        <f>IF(売分析!H71&lt;&gt;"",売分析!H71,"")</f>
        <v/>
      </c>
      <c r="H71" s="329" t="str">
        <f>IF(売分析!I71&lt;&gt;"",売分析!I71,"")</f>
        <v/>
      </c>
      <c r="I71" s="328" t="str">
        <f>IF(売分析!J71&lt;&gt;"",売分析!J71,"")</f>
        <v/>
      </c>
      <c r="J71" s="329">
        <f>IF(売分析!AB71&lt;&gt;"",売分析!AB71,"")</f>
        <v>4030.0299539170501</v>
      </c>
      <c r="K71" s="329">
        <f>IF(売分析!AC71&lt;&gt;"",売分析!AC71,"")</f>
        <v>4057.0488676996411</v>
      </c>
      <c r="L71" s="329" t="str">
        <f>IF(売分析!K71&lt;&gt;"",売分析!K71,"")</f>
        <v/>
      </c>
      <c r="M71" s="328" t="str">
        <f>IF(売分析!P71&lt;&gt;"",売分析!P71,"")</f>
        <v/>
      </c>
      <c r="N71" s="331" t="str">
        <f>IF(売分析!O71&lt;&gt;"",売分析!O71,"")</f>
        <v/>
      </c>
      <c r="O71" s="333">
        <f>IF(売分析!X71&lt;&gt;"",売分析!X71,"")</f>
        <v>-4.4640541476428552</v>
      </c>
      <c r="P71" s="330" t="str">
        <f>IF(売分析!L71&lt;&gt;"",売分析!L71,"")</f>
        <v/>
      </c>
      <c r="Q71" s="329" t="str">
        <f>IF(売分析!S71&lt;&gt;"",売分析!S71,"")</f>
        <v/>
      </c>
      <c r="R71" s="329" t="str">
        <f>IF(売分析!R71&lt;&gt;"",売分析!R71,"")</f>
        <v/>
      </c>
      <c r="S71" s="328" t="str">
        <f>IF(売分析!AA71&lt;&gt;"",売分析!AA71,"")</f>
        <v/>
      </c>
      <c r="T71" s="334" t="str">
        <f>IF(売分析!Z71&lt;&gt;"",売分析!Z71,"")</f>
        <v/>
      </c>
      <c r="U71" s="328" t="str">
        <f>IF(売分析!V71&lt;&gt;"",売分析!V71,"")</f>
        <v/>
      </c>
      <c r="V71" s="332">
        <f>IF(売分析!W71&lt;&gt;"",売分析!W71,"")</f>
        <v>40.186915887850468</v>
      </c>
      <c r="W71" s="328" t="str">
        <f>IF(売分析!AD71&lt;&gt;"",売分析!AD71,"")</f>
        <v>上昇トレンド▲</v>
      </c>
      <c r="X71" s="328" t="e">
        <f>IF(売分析!AE71&lt;&gt;"",売分析!AE71,"")</f>
        <v>#VALUE!</v>
      </c>
      <c r="Y71" s="390">
        <f>IF(売分析!T71&lt;&gt;"",売分析!T71,"")</f>
        <v>0</v>
      </c>
      <c r="Z71" s="328" t="e">
        <f>IF(売分析!Y71&lt;&gt;"",売分析!Y71,"")</f>
        <v>#VALUE!</v>
      </c>
    </row>
    <row r="72" spans="1:26">
      <c r="A72" s="215">
        <f>IF(売分析!C72&lt;&gt;"",ROW()-2,"")</f>
        <v>70</v>
      </c>
      <c r="B72" s="335" t="str">
        <f>IF(売分析!C72&lt;&gt;"",HYPERLINK("https://kabutan.jp/stock/?code="&amp;売分析!C72,"株探"),"")</f>
        <v>株探</v>
      </c>
      <c r="C72" s="344">
        <f>IF(売分析!C72&lt;&gt;"",売分析!C72,"")</f>
        <v>4980</v>
      </c>
      <c r="D72" s="215" t="str">
        <f>IF(売分析!D72&lt;&gt;"",売分析!D72,"")</f>
        <v/>
      </c>
      <c r="E72" s="336" t="str">
        <f>IF(売分析!E72&lt;&gt;"",売分析!E72,"")</f>
        <v/>
      </c>
      <c r="F72" s="336" t="str">
        <f>IF(売分析!F72&lt;&gt;"",売分析!F72,"")</f>
        <v/>
      </c>
      <c r="G72" s="336" t="str">
        <f>IF(売分析!H72&lt;&gt;"",売分析!H72,"")</f>
        <v/>
      </c>
      <c r="H72" s="336" t="str">
        <f>IF(売分析!I72&lt;&gt;"",売分析!I72,"")</f>
        <v/>
      </c>
      <c r="I72" s="215" t="str">
        <f>IF(売分析!J72&lt;&gt;"",売分析!J72,"")</f>
        <v/>
      </c>
      <c r="J72" s="336">
        <f>IF(売分析!AB72&lt;&gt;"",売分析!AB72,"")</f>
        <v>3786.4504608294928</v>
      </c>
      <c r="K72" s="336">
        <f>IF(売分析!AC72&lt;&gt;"",売分析!AC72,"")</f>
        <v>4142.8963051251467</v>
      </c>
      <c r="L72" s="336" t="str">
        <f>IF(売分析!K72&lt;&gt;"",売分析!K72,"")</f>
        <v/>
      </c>
      <c r="M72" s="215" t="str">
        <f>IF(売分析!P72&lt;&gt;"",売分析!P72,"")</f>
        <v/>
      </c>
      <c r="N72" s="338" t="str">
        <f>IF(売分析!O72&lt;&gt;"",売分析!O72,"")</f>
        <v/>
      </c>
      <c r="O72" s="340">
        <f>IF(売分析!X72&lt;&gt;"",売分析!X72,"")</f>
        <v>-105.62248496451457</v>
      </c>
      <c r="P72" s="337" t="str">
        <f>IF(売分析!L72&lt;&gt;"",売分析!L72,"")</f>
        <v/>
      </c>
      <c r="Q72" s="336" t="str">
        <f>IF(売分析!S72&lt;&gt;"",売分析!S72,"")</f>
        <v/>
      </c>
      <c r="R72" s="336" t="str">
        <f>IF(売分析!R72&lt;&gt;"",売分析!R72,"")</f>
        <v/>
      </c>
      <c r="S72" s="215" t="str">
        <f>IF(売分析!AA72&lt;&gt;"",売分析!AA72,"")</f>
        <v/>
      </c>
      <c r="T72" s="341" t="str">
        <f>IF(売分析!Z72&lt;&gt;"",売分析!Z72,"")</f>
        <v/>
      </c>
      <c r="U72" s="215" t="str">
        <f>IF(売分析!V72&lt;&gt;"",売分析!V72,"")</f>
        <v/>
      </c>
      <c r="V72" s="339">
        <f>IF(売分析!W72&lt;&gt;"",売分析!W72,"")</f>
        <v>21.578947368421055</v>
      </c>
      <c r="W72" s="215" t="str">
        <f>IF(売分析!AD72&lt;&gt;"",売分析!AD72,"")</f>
        <v>上昇トレンド▲</v>
      </c>
      <c r="X72" s="215" t="e">
        <f>IF(売分析!AE72&lt;&gt;"",売分析!AE72,"")</f>
        <v>#VALUE!</v>
      </c>
      <c r="Y72" s="391">
        <f>IF(売分析!T72&lt;&gt;"",売分析!T72,"")</f>
        <v>0</v>
      </c>
      <c r="Z72" s="215" t="e">
        <f>IF(売分析!Y72&lt;&gt;"",売分析!Y72,"")</f>
        <v>#VALUE!</v>
      </c>
    </row>
    <row r="73" spans="1:26">
      <c r="A73" s="328">
        <f>IF(売分析!C73&lt;&gt;"",ROW()-2,"")</f>
        <v>71</v>
      </c>
      <c r="B73" s="327" t="str">
        <f>IF(売分析!C73&lt;&gt;"",HYPERLINK("https://kabutan.jp/stock/?code="&amp;売分析!C73,"株探"),"")</f>
        <v>株探</v>
      </c>
      <c r="C73" s="343">
        <f>IF(売分析!C73&lt;&gt;"",売分析!C73,"")</f>
        <v>7203</v>
      </c>
      <c r="D73" s="328" t="str">
        <f>IF(売分析!D73&lt;&gt;"",売分析!D73,"")</f>
        <v/>
      </c>
      <c r="E73" s="329" t="str">
        <f>IF(売分析!E73&lt;&gt;"",売分析!E73,"")</f>
        <v/>
      </c>
      <c r="F73" s="329" t="str">
        <f>IF(売分析!F73&lt;&gt;"",売分析!F73,"")</f>
        <v/>
      </c>
      <c r="G73" s="329" t="str">
        <f>IF(売分析!H73&lt;&gt;"",売分析!H73,"")</f>
        <v/>
      </c>
      <c r="H73" s="329" t="str">
        <f>IF(売分析!I73&lt;&gt;"",売分析!I73,"")</f>
        <v/>
      </c>
      <c r="I73" s="328" t="str">
        <f>IF(売分析!J73&lt;&gt;"",売分析!J73,"")</f>
        <v/>
      </c>
      <c r="J73" s="329">
        <f>IF(売分析!AB73&lt;&gt;"",売分析!AB73,"")</f>
        <v>2866.5650921658985</v>
      </c>
      <c r="K73" s="329">
        <f>IF(売分析!AC73&lt;&gt;"",売分析!AC73,"")</f>
        <v>2825.0286054827166</v>
      </c>
      <c r="L73" s="329" t="str">
        <f>IF(売分析!K73&lt;&gt;"",売分析!K73,"")</f>
        <v/>
      </c>
      <c r="M73" s="328" t="str">
        <f>IF(売分析!P73&lt;&gt;"",売分析!P73,"")</f>
        <v/>
      </c>
      <c r="N73" s="331" t="str">
        <f>IF(売分析!O73&lt;&gt;"",売分析!O73,"")</f>
        <v/>
      </c>
      <c r="O73" s="333">
        <f>IF(売分析!X73&lt;&gt;"",売分析!X73,"")</f>
        <v>17.896102913958657</v>
      </c>
      <c r="P73" s="330" t="str">
        <f>IF(売分析!L73&lt;&gt;"",売分析!L73,"")</f>
        <v/>
      </c>
      <c r="Q73" s="329" t="str">
        <f>IF(売分析!S73&lt;&gt;"",売分析!S73,"")</f>
        <v/>
      </c>
      <c r="R73" s="329" t="str">
        <f>IF(売分析!R73&lt;&gt;"",売分析!R73,"")</f>
        <v/>
      </c>
      <c r="S73" s="328" t="str">
        <f>IF(売分析!AA73&lt;&gt;"",売分析!AA73,"")</f>
        <v/>
      </c>
      <c r="T73" s="334" t="str">
        <f>IF(売分析!Z73&lt;&gt;"",売分析!Z73,"")</f>
        <v/>
      </c>
      <c r="U73" s="328" t="str">
        <f>IF(売分析!V73&lt;&gt;"",売分析!V73,"")</f>
        <v/>
      </c>
      <c r="V73" s="332">
        <f>IF(売分析!W73&lt;&gt;"",売分析!W73,"")</f>
        <v>61.139896373056992</v>
      </c>
      <c r="W73" s="328" t="str">
        <f>IF(売分析!AD73&lt;&gt;"",売分析!AD73,"")</f>
        <v>パーフェクト▲</v>
      </c>
      <c r="X73" s="328" t="e">
        <f>IF(売分析!AE73&lt;&gt;"",売分析!AE73,"")</f>
        <v>#VALUE!</v>
      </c>
      <c r="Y73" s="390">
        <f>IF(売分析!T73&lt;&gt;"",売分析!T73,"")</f>
        <v>0</v>
      </c>
      <c r="Z73" s="328" t="e">
        <f>IF(売分析!Y73&lt;&gt;"",売分析!Y73,"")</f>
        <v>#VALUE!</v>
      </c>
    </row>
    <row r="74" spans="1:26">
      <c r="A74" s="215">
        <f>IF(売分析!C74&lt;&gt;"",ROW()-2,"")</f>
        <v>72</v>
      </c>
      <c r="B74" s="335" t="str">
        <f>IF(売分析!C74&lt;&gt;"",HYPERLINK("https://kabutan.jp/stock/?code="&amp;売分析!C74,"株探"),"")</f>
        <v>株探</v>
      </c>
      <c r="C74" s="344">
        <f>IF(売分析!C74&lt;&gt;"",売分析!C74,"")</f>
        <v>5892</v>
      </c>
      <c r="D74" s="215" t="str">
        <f>IF(売分析!D74&lt;&gt;"",売分析!D74,"")</f>
        <v/>
      </c>
      <c r="E74" s="336" t="str">
        <f>IF(売分析!E74&lt;&gt;"",売分析!E74,"")</f>
        <v/>
      </c>
      <c r="F74" s="336" t="str">
        <f>IF(売分析!F74&lt;&gt;"",売分析!F74,"")</f>
        <v/>
      </c>
      <c r="G74" s="336" t="str">
        <f>IF(売分析!H74&lt;&gt;"",売分析!H74,"")</f>
        <v/>
      </c>
      <c r="H74" s="336" t="str">
        <f>IF(売分析!I74&lt;&gt;"",売分析!I74,"")</f>
        <v/>
      </c>
      <c r="I74" s="215" t="str">
        <f>IF(売分析!J74&lt;&gt;"",売分析!J74,"")</f>
        <v/>
      </c>
      <c r="J74" s="336">
        <f>IF(売分析!AB74&lt;&gt;"",売分析!AB74,"")</f>
        <v>2062.0806451612902</v>
      </c>
      <c r="K74" s="336">
        <f>IF(売分析!AC74&lt;&gt;"",売分析!AC74,"")</f>
        <v>2065.892729439809</v>
      </c>
      <c r="L74" s="336" t="str">
        <f>IF(売分析!K74&lt;&gt;"",売分析!K74,"")</f>
        <v/>
      </c>
      <c r="M74" s="215" t="str">
        <f>IF(売分析!P74&lt;&gt;"",売分析!P74,"")</f>
        <v/>
      </c>
      <c r="N74" s="338" t="str">
        <f>IF(売分析!O74&lt;&gt;"",売分析!O74,"")</f>
        <v/>
      </c>
      <c r="O74" s="340">
        <f>IF(売分析!X74&lt;&gt;"",売分析!X74,"")</f>
        <v>2.8819908533314447</v>
      </c>
      <c r="P74" s="337" t="str">
        <f>IF(売分析!L74&lt;&gt;"",売分析!L74,"")</f>
        <v/>
      </c>
      <c r="Q74" s="336" t="str">
        <f>IF(売分析!S74&lt;&gt;"",売分析!S74,"")</f>
        <v/>
      </c>
      <c r="R74" s="336" t="str">
        <f>IF(売分析!R74&lt;&gt;"",売分析!R74,"")</f>
        <v/>
      </c>
      <c r="S74" s="215" t="str">
        <f>IF(売分析!AA74&lt;&gt;"",売分析!AA74,"")</f>
        <v/>
      </c>
      <c r="T74" s="341" t="str">
        <f>IF(売分析!Z74&lt;&gt;"",売分析!Z74,"")</f>
        <v/>
      </c>
      <c r="U74" s="215" t="str">
        <f>IF(売分析!V74&lt;&gt;"",売分析!V74,"")</f>
        <v/>
      </c>
      <c r="V74" s="339">
        <f>IF(売分析!W74&lt;&gt;"",売分析!W74,"")</f>
        <v>60.696517412935329</v>
      </c>
      <c r="W74" s="215" t="str">
        <f>IF(売分析!AD74&lt;&gt;"",売分析!AD74,"")</f>
        <v>上昇トレンド▲</v>
      </c>
      <c r="X74" s="215" t="e">
        <f>IF(売分析!AE74&lt;&gt;"",売分析!AE74,"")</f>
        <v>#VALUE!</v>
      </c>
      <c r="Y74" s="391">
        <f>IF(売分析!T74&lt;&gt;"",売分析!T74,"")</f>
        <v>0</v>
      </c>
      <c r="Z74" s="215" t="e">
        <f>IF(売分析!Y74&lt;&gt;"",売分析!Y74,"")</f>
        <v>#VALUE!</v>
      </c>
    </row>
    <row r="75" spans="1:26">
      <c r="A75" s="328">
        <f>IF(売分析!C75&lt;&gt;"",ROW()-2,"")</f>
        <v>73</v>
      </c>
      <c r="B75" s="327" t="str">
        <f>IF(売分析!C75&lt;&gt;"",HYPERLINK("https://kabutan.jp/stock/?code="&amp;売分析!C75,"株探"),"")</f>
        <v>株探</v>
      </c>
      <c r="C75" s="343">
        <f>IF(売分析!C75&lt;&gt;"",売分析!C75,"")</f>
        <v>4182</v>
      </c>
      <c r="D75" s="328" t="str">
        <f>IF(売分析!D75&lt;&gt;"",売分析!D75,"")</f>
        <v/>
      </c>
      <c r="E75" s="329" t="str">
        <f>IF(売分析!E75&lt;&gt;"",売分析!E75,"")</f>
        <v/>
      </c>
      <c r="F75" s="329" t="str">
        <f>IF(売分析!F75&lt;&gt;"",売分析!F75,"")</f>
        <v/>
      </c>
      <c r="G75" s="329" t="str">
        <f>IF(売分析!H75&lt;&gt;"",売分析!H75,"")</f>
        <v/>
      </c>
      <c r="H75" s="329" t="str">
        <f>IF(売分析!I75&lt;&gt;"",売分析!I75,"")</f>
        <v/>
      </c>
      <c r="I75" s="328" t="str">
        <f>IF(売分析!J75&lt;&gt;"",売分析!J75,"")</f>
        <v/>
      </c>
      <c r="J75" s="329">
        <f>IF(売分析!AB75&lt;&gt;"",売分析!AB75,"")</f>
        <v>4546.2177419354839</v>
      </c>
      <c r="K75" s="329">
        <f>IF(売分析!AC75&lt;&gt;"",売分析!AC75,"")</f>
        <v>4824.7794994040514</v>
      </c>
      <c r="L75" s="329" t="str">
        <f>IF(売分析!K75&lt;&gt;"",売分析!K75,"")</f>
        <v/>
      </c>
      <c r="M75" s="328" t="str">
        <f>IF(売分析!P75&lt;&gt;"",売分析!P75,"")</f>
        <v/>
      </c>
      <c r="N75" s="331" t="str">
        <f>IF(売分析!O75&lt;&gt;"",売分析!O75,"")</f>
        <v/>
      </c>
      <c r="O75" s="333">
        <f>IF(売分析!X75&lt;&gt;"",売分析!X75,"")</f>
        <v>-85.765577796440084</v>
      </c>
      <c r="P75" s="330" t="str">
        <f>IF(売分析!L75&lt;&gt;"",売分析!L75,"")</f>
        <v/>
      </c>
      <c r="Q75" s="329" t="str">
        <f>IF(売分析!S75&lt;&gt;"",売分析!S75,"")</f>
        <v/>
      </c>
      <c r="R75" s="329" t="str">
        <f>IF(売分析!R75&lt;&gt;"",売分析!R75,"")</f>
        <v/>
      </c>
      <c r="S75" s="328" t="str">
        <f>IF(売分析!AA75&lt;&gt;"",売分析!AA75,"")</f>
        <v/>
      </c>
      <c r="T75" s="334" t="str">
        <f>IF(売分析!Z75&lt;&gt;"",売分析!Z75,"")</f>
        <v/>
      </c>
      <c r="U75" s="328" t="str">
        <f>IF(売分析!V75&lt;&gt;"",売分析!V75,"")</f>
        <v/>
      </c>
      <c r="V75" s="332">
        <f>IF(売分析!W75&lt;&gt;"",売分析!W75,"")</f>
        <v>33.900441083805916</v>
      </c>
      <c r="W75" s="328" t="str">
        <f>IF(売分析!AD75&lt;&gt;"",売分析!AD75,"")</f>
        <v>上昇トレンド▲</v>
      </c>
      <c r="X75" s="328" t="e">
        <f>IF(売分析!AE75&lt;&gt;"",売分析!AE75,"")</f>
        <v>#VALUE!</v>
      </c>
      <c r="Y75" s="390">
        <f>IF(売分析!T75&lt;&gt;"",売分析!T75,"")</f>
        <v>0</v>
      </c>
      <c r="Z75" s="328" t="e">
        <f>IF(売分析!Y75&lt;&gt;"",売分析!Y75,"")</f>
        <v>#VALUE!</v>
      </c>
    </row>
    <row r="76" spans="1:26">
      <c r="A76" s="215">
        <f>IF(売分析!C76&lt;&gt;"",ROW()-2,"")</f>
        <v>74</v>
      </c>
      <c r="B76" s="335" t="str">
        <f>IF(売分析!C76&lt;&gt;"",HYPERLINK("https://kabutan.jp/stock/?code="&amp;売分析!C76,"株探"),"")</f>
        <v>株探</v>
      </c>
      <c r="C76" s="344">
        <f>IF(売分析!C76&lt;&gt;"",売分析!C76,"")</f>
        <v>7021</v>
      </c>
      <c r="D76" s="215" t="str">
        <f>IF(売分析!D76&lt;&gt;"",売分析!D76,"")</f>
        <v/>
      </c>
      <c r="E76" s="336" t="str">
        <f>IF(売分析!E76&lt;&gt;"",売分析!E76,"")</f>
        <v/>
      </c>
      <c r="F76" s="336" t="str">
        <f>IF(売分析!F76&lt;&gt;"",売分析!F76,"")</f>
        <v/>
      </c>
      <c r="G76" s="336" t="str">
        <f>IF(売分析!H76&lt;&gt;"",売分析!H76,"")</f>
        <v/>
      </c>
      <c r="H76" s="336" t="str">
        <f>IF(売分析!I76&lt;&gt;"",売分析!I76,"")</f>
        <v/>
      </c>
      <c r="I76" s="215" t="str">
        <f>IF(売分析!J76&lt;&gt;"",売分析!J76,"")</f>
        <v/>
      </c>
      <c r="J76" s="336">
        <f>IF(売分析!AB76&lt;&gt;"",売分析!AB76,"")</f>
        <v>1853.963133640553</v>
      </c>
      <c r="K76" s="336">
        <f>IF(売分析!AC76&lt;&gt;"",売分析!AC76,"")</f>
        <v>1820.3766388557804</v>
      </c>
      <c r="L76" s="336" t="str">
        <f>IF(売分析!K76&lt;&gt;"",売分析!K76,"")</f>
        <v/>
      </c>
      <c r="M76" s="215" t="str">
        <f>IF(売分析!P76&lt;&gt;"",売分析!P76,"")</f>
        <v/>
      </c>
      <c r="N76" s="338" t="str">
        <f>IF(売分析!O76&lt;&gt;"",売分析!O76,"")</f>
        <v/>
      </c>
      <c r="O76" s="340">
        <f>IF(売分析!X76&lt;&gt;"",売分析!X76,"")</f>
        <v>8.6543788981805392</v>
      </c>
      <c r="P76" s="337" t="str">
        <f>IF(売分析!L76&lt;&gt;"",売分析!L76,"")</f>
        <v/>
      </c>
      <c r="Q76" s="336" t="str">
        <f>IF(売分析!S76&lt;&gt;"",売分析!S76,"")</f>
        <v/>
      </c>
      <c r="R76" s="336" t="str">
        <f>IF(売分析!R76&lt;&gt;"",売分析!R76,"")</f>
        <v/>
      </c>
      <c r="S76" s="215" t="str">
        <f>IF(売分析!AA76&lt;&gt;"",売分析!AA76,"")</f>
        <v/>
      </c>
      <c r="T76" s="341" t="str">
        <f>IF(売分析!Z76&lt;&gt;"",売分析!Z76,"")</f>
        <v/>
      </c>
      <c r="U76" s="215" t="str">
        <f>IF(売分析!V76&lt;&gt;"",売分析!V76,"")</f>
        <v/>
      </c>
      <c r="V76" s="339">
        <f>IF(売分析!W76&lt;&gt;"",売分析!W76,"")</f>
        <v>65.895953757225442</v>
      </c>
      <c r="W76" s="215" t="str">
        <f>IF(売分析!AD76&lt;&gt;"",売分析!AD76,"")</f>
        <v>パーフェクト▲</v>
      </c>
      <c r="X76" s="215" t="e">
        <f>IF(売分析!AE76&lt;&gt;"",売分析!AE76,"")</f>
        <v>#VALUE!</v>
      </c>
      <c r="Y76" s="391">
        <f>IF(売分析!T76&lt;&gt;"",売分析!T76,"")</f>
        <v>0</v>
      </c>
      <c r="Z76" s="215" t="e">
        <f>IF(売分析!Y76&lt;&gt;"",売分析!Y76,"")</f>
        <v>#VALUE!</v>
      </c>
    </row>
    <row r="77" spans="1:26">
      <c r="A77" s="328">
        <f>IF(売分析!C77&lt;&gt;"",ROW()-2,"")</f>
        <v>75</v>
      </c>
      <c r="B77" s="327" t="str">
        <f>IF(売分析!C77&lt;&gt;"",HYPERLINK("https://kabutan.jp/stock/?code="&amp;売分析!C77,"株探"),"")</f>
        <v>株探</v>
      </c>
      <c r="C77" s="343">
        <f>IF(売分析!C77&lt;&gt;"",売分析!C77,"")</f>
        <v>9449</v>
      </c>
      <c r="D77" s="328" t="str">
        <f>IF(売分析!D77&lt;&gt;"",売分析!D77,"")</f>
        <v/>
      </c>
      <c r="E77" s="329" t="str">
        <f>IF(売分析!E77&lt;&gt;"",売分析!E77,"")</f>
        <v/>
      </c>
      <c r="F77" s="329" t="str">
        <f>IF(売分析!F77&lt;&gt;"",売分析!F77,"")</f>
        <v/>
      </c>
      <c r="G77" s="329" t="str">
        <f>IF(売分析!H77&lt;&gt;"",売分析!H77,"")</f>
        <v/>
      </c>
      <c r="H77" s="329" t="str">
        <f>IF(売分析!I77&lt;&gt;"",売分析!I77,"")</f>
        <v/>
      </c>
      <c r="I77" s="328" t="str">
        <f>IF(売分析!J77&lt;&gt;"",売分析!J77,"")</f>
        <v/>
      </c>
      <c r="J77" s="329">
        <f>IF(売分析!AB77&lt;&gt;"",売分析!AB77,"")</f>
        <v>4012.8064516129029</v>
      </c>
      <c r="K77" s="329">
        <f>IF(売分析!AC77&lt;&gt;"",売分析!AC77,"")</f>
        <v>3659.5184743742548</v>
      </c>
      <c r="L77" s="329" t="str">
        <f>IF(売分析!K77&lt;&gt;"",売分析!K77,"")</f>
        <v/>
      </c>
      <c r="M77" s="328" t="str">
        <f>IF(売分析!P77&lt;&gt;"",売分析!P77,"")</f>
        <v/>
      </c>
      <c r="N77" s="331" t="str">
        <f>IF(売分析!O77&lt;&gt;"",売分析!O77,"")</f>
        <v/>
      </c>
      <c r="O77" s="333">
        <f>IF(売分析!X77&lt;&gt;"",売分析!X77,"")</f>
        <v>105.42852224376293</v>
      </c>
      <c r="P77" s="330" t="str">
        <f>IF(売分析!L77&lt;&gt;"",売分析!L77,"")</f>
        <v/>
      </c>
      <c r="Q77" s="329" t="str">
        <f>IF(売分析!S77&lt;&gt;"",売分析!S77,"")</f>
        <v/>
      </c>
      <c r="R77" s="329" t="str">
        <f>IF(売分析!R77&lt;&gt;"",売分析!R77,"")</f>
        <v/>
      </c>
      <c r="S77" s="328" t="str">
        <f>IF(売分析!AA77&lt;&gt;"",売分析!AA77,"")</f>
        <v/>
      </c>
      <c r="T77" s="334" t="str">
        <f>IF(売分析!Z77&lt;&gt;"",売分析!Z77,"")</f>
        <v/>
      </c>
      <c r="U77" s="328" t="str">
        <f>IF(売分析!V77&lt;&gt;"",売分析!V77,"")</f>
        <v/>
      </c>
      <c r="V77" s="332">
        <f>IF(売分析!W77&lt;&gt;"",売分析!W77,"")</f>
        <v>92.020725388601036</v>
      </c>
      <c r="W77" s="328" t="str">
        <f>IF(売分析!AD77&lt;&gt;"",売分析!AD77,"")</f>
        <v>パーフェクト▲</v>
      </c>
      <c r="X77" s="328" t="e">
        <f>IF(売分析!AE77&lt;&gt;"",売分析!AE77,"")</f>
        <v>#VALUE!</v>
      </c>
      <c r="Y77" s="390">
        <f>IF(売分析!T77&lt;&gt;"",売分析!T77,"")</f>
        <v>0</v>
      </c>
      <c r="Z77" s="328" t="e">
        <f>IF(売分析!Y77&lt;&gt;"",売分析!Y77,"")</f>
        <v>#VALUE!</v>
      </c>
    </row>
    <row r="78" spans="1:26">
      <c r="A78" s="215">
        <f>IF(売分析!C78&lt;&gt;"",ROW()-2,"")</f>
        <v>76</v>
      </c>
      <c r="B78" s="335" t="str">
        <f>IF(売分析!C78&lt;&gt;"",HYPERLINK("https://kabutan.jp/stock/?code="&amp;売分析!C78,"株探"),"")</f>
        <v>株探</v>
      </c>
      <c r="C78" s="344">
        <f>IF(売分析!C78&lt;&gt;"",売分析!C78,"")</f>
        <v>9404</v>
      </c>
      <c r="D78" s="215" t="str">
        <f>IF(売分析!D78&lt;&gt;"",売分析!D78,"")</f>
        <v/>
      </c>
      <c r="E78" s="336" t="str">
        <f>IF(売分析!E78&lt;&gt;"",売分析!E78,"")</f>
        <v/>
      </c>
      <c r="F78" s="336" t="str">
        <f>IF(売分析!F78&lt;&gt;"",売分析!F78,"")</f>
        <v/>
      </c>
      <c r="G78" s="336" t="str">
        <f>IF(売分析!H78&lt;&gt;"",売分析!H78,"")</f>
        <v/>
      </c>
      <c r="H78" s="336" t="str">
        <f>IF(売分析!I78&lt;&gt;"",売分析!I78,"")</f>
        <v/>
      </c>
      <c r="I78" s="215" t="str">
        <f>IF(売分析!J78&lt;&gt;"",売分析!J78,"")</f>
        <v/>
      </c>
      <c r="J78" s="336">
        <f>IF(売分析!AB78&lt;&gt;"",売分析!AB78,"")</f>
        <v>2897.4504608294924</v>
      </c>
      <c r="K78" s="336">
        <f>IF(売分析!AC78&lt;&gt;"",売分析!AC78,"")</f>
        <v>2853.9445768772339</v>
      </c>
      <c r="L78" s="336" t="str">
        <f>IF(売分析!K78&lt;&gt;"",売分析!K78,"")</f>
        <v/>
      </c>
      <c r="M78" s="215" t="str">
        <f>IF(売分析!P78&lt;&gt;"",売分析!P78,"")</f>
        <v/>
      </c>
      <c r="N78" s="338" t="str">
        <f>IF(売分析!O78&lt;&gt;"",売分析!O78,"")</f>
        <v/>
      </c>
      <c r="O78" s="340">
        <f>IF(売分析!X78&lt;&gt;"",売分析!X78,"")</f>
        <v>19.818315428736241</v>
      </c>
      <c r="P78" s="337" t="str">
        <f>IF(売分析!L78&lt;&gt;"",売分析!L78,"")</f>
        <v/>
      </c>
      <c r="Q78" s="336" t="str">
        <f>IF(売分析!S78&lt;&gt;"",売分析!S78,"")</f>
        <v/>
      </c>
      <c r="R78" s="336" t="str">
        <f>IF(売分析!R78&lt;&gt;"",売分析!R78,"")</f>
        <v/>
      </c>
      <c r="S78" s="215" t="str">
        <f>IF(売分析!AA78&lt;&gt;"",売分析!AA78,"")</f>
        <v/>
      </c>
      <c r="T78" s="341" t="str">
        <f>IF(売分析!Z78&lt;&gt;"",売分析!Z78,"")</f>
        <v/>
      </c>
      <c r="U78" s="215" t="str">
        <f>IF(売分析!V78&lt;&gt;"",売分析!V78,"")</f>
        <v/>
      </c>
      <c r="V78" s="339">
        <f>IF(売分析!W78&lt;&gt;"",売分析!W78,"")</f>
        <v>78.145695364238406</v>
      </c>
      <c r="W78" s="215" t="str">
        <f>IF(売分析!AD78&lt;&gt;"",売分析!AD78,"")</f>
        <v>パーフェクト▲</v>
      </c>
      <c r="X78" s="215" t="e">
        <f>IF(売分析!AE78&lt;&gt;"",売分析!AE78,"")</f>
        <v>#VALUE!</v>
      </c>
      <c r="Y78" s="391">
        <f>IF(売分析!T78&lt;&gt;"",売分析!T78,"")</f>
        <v>0</v>
      </c>
      <c r="Z78" s="215" t="e">
        <f>IF(売分析!Y78&lt;&gt;"",売分析!Y78,"")</f>
        <v>#VALUE!</v>
      </c>
    </row>
    <row r="79" spans="1:26">
      <c r="A79" s="328">
        <f>IF(売分析!C79&lt;&gt;"",ROW()-2,"")</f>
        <v>77</v>
      </c>
      <c r="B79" s="327" t="str">
        <f>IF(売分析!C79&lt;&gt;"",HYPERLINK("https://kabutan.jp/stock/?code="&amp;売分析!C79,"株探"),"")</f>
        <v>株探</v>
      </c>
      <c r="C79" s="343">
        <f>IF(売分析!C79&lt;&gt;"",売分析!C79,"")</f>
        <v>9532</v>
      </c>
      <c r="D79" s="328" t="str">
        <f>IF(売分析!D79&lt;&gt;"",売分析!D79,"")</f>
        <v/>
      </c>
      <c r="E79" s="329" t="str">
        <f>IF(売分析!E79&lt;&gt;"",売分析!E79,"")</f>
        <v/>
      </c>
      <c r="F79" s="329" t="str">
        <f>IF(売分析!F79&lt;&gt;"",売分析!F79,"")</f>
        <v/>
      </c>
      <c r="G79" s="329" t="str">
        <f>IF(売分析!H79&lt;&gt;"",売分析!H79,"")</f>
        <v/>
      </c>
      <c r="H79" s="329" t="str">
        <f>IF(売分析!I79&lt;&gt;"",売分析!I79,"")</f>
        <v/>
      </c>
      <c r="I79" s="328" t="str">
        <f>IF(売分析!J79&lt;&gt;"",売分析!J79,"")</f>
        <v/>
      </c>
      <c r="J79" s="329">
        <f>IF(売分析!AB79&lt;&gt;"",売分析!AB79,"")</f>
        <v>5367.8917050691234</v>
      </c>
      <c r="K79" s="329">
        <f>IF(売分析!AC79&lt;&gt;"",売分析!AC79,"")</f>
        <v>5406.0262216924903</v>
      </c>
      <c r="L79" s="329" t="str">
        <f>IF(売分析!K79&lt;&gt;"",売分析!K79,"")</f>
        <v/>
      </c>
      <c r="M79" s="328" t="str">
        <f>IF(売分析!P79&lt;&gt;"",売分析!P79,"")</f>
        <v/>
      </c>
      <c r="N79" s="331" t="str">
        <f>IF(売分析!O79&lt;&gt;"",売分析!O79,"")</f>
        <v/>
      </c>
      <c r="O79" s="333">
        <f>IF(売分析!X79&lt;&gt;"",売分析!X79,"")</f>
        <v>-10.327616333450351</v>
      </c>
      <c r="P79" s="330" t="str">
        <f>IF(売分析!L79&lt;&gt;"",売分析!L79,"")</f>
        <v/>
      </c>
      <c r="Q79" s="329" t="str">
        <f>IF(売分析!S79&lt;&gt;"",売分析!S79,"")</f>
        <v/>
      </c>
      <c r="R79" s="329" t="str">
        <f>IF(売分析!R79&lt;&gt;"",売分析!R79,"")</f>
        <v/>
      </c>
      <c r="S79" s="328" t="str">
        <f>IF(売分析!AA79&lt;&gt;"",売分析!AA79,"")</f>
        <v/>
      </c>
      <c r="T79" s="334" t="str">
        <f>IF(売分析!Z79&lt;&gt;"",売分析!Z79,"")</f>
        <v/>
      </c>
      <c r="U79" s="328" t="str">
        <f>IF(売分析!V79&lt;&gt;"",売分析!V79,"")</f>
        <v/>
      </c>
      <c r="V79" s="332">
        <f>IF(売分析!W79&lt;&gt;"",売分析!W79,"")</f>
        <v>52.075471698113205</v>
      </c>
      <c r="W79" s="328" t="str">
        <f>IF(売分析!AD79&lt;&gt;"",売分析!AD79,"")</f>
        <v>上昇トレンド▲</v>
      </c>
      <c r="X79" s="328" t="e">
        <f>IF(売分析!AE79&lt;&gt;"",売分析!AE79,"")</f>
        <v>#VALUE!</v>
      </c>
      <c r="Y79" s="390">
        <f>IF(売分析!T79&lt;&gt;"",売分析!T79,"")</f>
        <v>0</v>
      </c>
      <c r="Z79" s="328" t="e">
        <f>IF(売分析!Y79&lt;&gt;"",売分析!Y79,"")</f>
        <v>#VALUE!</v>
      </c>
    </row>
    <row r="80" spans="1:26">
      <c r="A80" s="215">
        <f>IF(売分析!C80&lt;&gt;"",ROW()-2,"")</f>
        <v>78</v>
      </c>
      <c r="B80" s="335" t="str">
        <f>IF(売分析!C80&lt;&gt;"",HYPERLINK("https://kabutan.jp/stock/?code="&amp;売分析!C80,"株探"),"")</f>
        <v>株探</v>
      </c>
      <c r="C80" s="344">
        <f>IF(売分析!C80&lt;&gt;"",売分析!C80,"")</f>
        <v>7794</v>
      </c>
      <c r="D80" s="215" t="str">
        <f>IF(売分析!D80&lt;&gt;"",売分析!D80,"")</f>
        <v/>
      </c>
      <c r="E80" s="336" t="str">
        <f>IF(売分析!E80&lt;&gt;"",売分析!E80,"")</f>
        <v/>
      </c>
      <c r="F80" s="336" t="str">
        <f>IF(売分析!F80&lt;&gt;"",売分析!F80,"")</f>
        <v/>
      </c>
      <c r="G80" s="336" t="str">
        <f>IF(売分析!H80&lt;&gt;"",売分析!H80,"")</f>
        <v/>
      </c>
      <c r="H80" s="336" t="str">
        <f>IF(売分析!I80&lt;&gt;"",売分析!I80,"")</f>
        <v/>
      </c>
      <c r="I80" s="215" t="str">
        <f>IF(売分析!J80&lt;&gt;"",売分析!J80,"")</f>
        <v/>
      </c>
      <c r="J80" s="336">
        <f>IF(売分析!AB80&lt;&gt;"",売分析!AB80,"")</f>
        <v>987.1290322580644</v>
      </c>
      <c r="K80" s="336">
        <f>IF(売分析!AC80&lt;&gt;"",売分析!AC80,"")</f>
        <v>1083.974970202622</v>
      </c>
      <c r="L80" s="336" t="str">
        <f>IF(売分析!K80&lt;&gt;"",売分析!K80,"")</f>
        <v/>
      </c>
      <c r="M80" s="215" t="str">
        <f>IF(売分析!P80&lt;&gt;"",売分析!P80,"")</f>
        <v/>
      </c>
      <c r="N80" s="338" t="str">
        <f>IF(売分析!O80&lt;&gt;"",売分析!O80,"")</f>
        <v/>
      </c>
      <c r="O80" s="340">
        <f>IF(売分析!X80&lt;&gt;"",売分析!X80,"")</f>
        <v>-8.6758345639009349</v>
      </c>
      <c r="P80" s="337" t="str">
        <f>IF(売分析!L80&lt;&gt;"",売分析!L80,"")</f>
        <v/>
      </c>
      <c r="Q80" s="336" t="str">
        <f>IF(売分析!S80&lt;&gt;"",売分析!S80,"")</f>
        <v/>
      </c>
      <c r="R80" s="336" t="str">
        <f>IF(売分析!R80&lt;&gt;"",売分析!R80,"")</f>
        <v/>
      </c>
      <c r="S80" s="215" t="str">
        <f>IF(売分析!AA80&lt;&gt;"",売分析!AA80,"")</f>
        <v/>
      </c>
      <c r="T80" s="341" t="str">
        <f>IF(売分析!Z80&lt;&gt;"",売分析!Z80,"")</f>
        <v/>
      </c>
      <c r="U80" s="215" t="str">
        <f>IF(売分析!V80&lt;&gt;"",売分析!V80,"")</f>
        <v/>
      </c>
      <c r="V80" s="339">
        <f>IF(売分析!W80&lt;&gt;"",売分析!W80,"")</f>
        <v>47.109207708779444</v>
      </c>
      <c r="W80" s="215" t="str">
        <f>IF(売分析!AD80&lt;&gt;"",売分析!AD80,"")</f>
        <v>上昇トレンド▲</v>
      </c>
      <c r="X80" s="215" t="e">
        <f>IF(売分析!AE80&lt;&gt;"",売分析!AE80,"")</f>
        <v>#VALUE!</v>
      </c>
      <c r="Y80" s="391">
        <f>IF(売分析!T80&lt;&gt;"",売分析!T80,"")</f>
        <v>0</v>
      </c>
      <c r="Z80" s="215" t="e">
        <f>IF(売分析!Y80&lt;&gt;"",売分析!Y80,"")</f>
        <v>#VALUE!</v>
      </c>
    </row>
    <row r="81" spans="1:26">
      <c r="A81" s="328">
        <f>IF(売分析!C81&lt;&gt;"",ROW()-2,"")</f>
        <v>79</v>
      </c>
      <c r="B81" s="327" t="str">
        <f>IF(売分析!C81&lt;&gt;"",HYPERLINK("https://kabutan.jp/stock/?code="&amp;売分析!C81,"株探"),"")</f>
        <v>株探</v>
      </c>
      <c r="C81" s="343">
        <f>IF(売分析!C81&lt;&gt;"",売分析!C81,"")</f>
        <v>3103</v>
      </c>
      <c r="D81" s="328" t="str">
        <f>IF(売分析!D81&lt;&gt;"",売分析!D81,"")</f>
        <v/>
      </c>
      <c r="E81" s="329" t="str">
        <f>IF(売分析!E81&lt;&gt;"",売分析!E81,"")</f>
        <v/>
      </c>
      <c r="F81" s="329" t="str">
        <f>IF(売分析!F81&lt;&gt;"",売分析!F81,"")</f>
        <v/>
      </c>
      <c r="G81" s="329" t="str">
        <f>IF(売分析!H81&lt;&gt;"",売分析!H81,"")</f>
        <v/>
      </c>
      <c r="H81" s="329" t="str">
        <f>IF(売分析!I81&lt;&gt;"",売分析!I81,"")</f>
        <v/>
      </c>
      <c r="I81" s="328" t="str">
        <f>IF(売分析!J81&lt;&gt;"",売分析!J81,"")</f>
        <v/>
      </c>
      <c r="J81" s="329">
        <f>IF(売分析!AB81&lt;&gt;"",売分析!AB81,"")</f>
        <v>901.21313364055277</v>
      </c>
      <c r="K81" s="329">
        <f>IF(売分析!AC81&lt;&gt;"",売分析!AC81,"")</f>
        <v>990.49702026221644</v>
      </c>
      <c r="L81" s="329" t="str">
        <f>IF(売分析!K81&lt;&gt;"",売分析!K81,"")</f>
        <v/>
      </c>
      <c r="M81" s="328" t="str">
        <f>IF(売分析!P81&lt;&gt;"",売分析!P81,"")</f>
        <v/>
      </c>
      <c r="N81" s="331" t="str">
        <f>IF(売分析!O81&lt;&gt;"",売分析!O81,"")</f>
        <v/>
      </c>
      <c r="O81" s="333">
        <f>IF(売分析!X81&lt;&gt;"",売分析!X81,"")</f>
        <v>-28.792583953924122</v>
      </c>
      <c r="P81" s="330" t="str">
        <f>IF(売分析!L81&lt;&gt;"",売分析!L81,"")</f>
        <v/>
      </c>
      <c r="Q81" s="329" t="str">
        <f>IF(売分析!S81&lt;&gt;"",売分析!S81,"")</f>
        <v/>
      </c>
      <c r="R81" s="329" t="str">
        <f>IF(売分析!R81&lt;&gt;"",売分析!R81,"")</f>
        <v/>
      </c>
      <c r="S81" s="328" t="str">
        <f>IF(売分析!AA81&lt;&gt;"",売分析!AA81,"")</f>
        <v/>
      </c>
      <c r="T81" s="334" t="str">
        <f>IF(売分析!Z81&lt;&gt;"",売分析!Z81,"")</f>
        <v/>
      </c>
      <c r="U81" s="328" t="str">
        <f>IF(売分析!V81&lt;&gt;"",売分析!V81,"")</f>
        <v/>
      </c>
      <c r="V81" s="332">
        <f>IF(売分析!W81&lt;&gt;"",売分析!W81,"")</f>
        <v>36.134453781512612</v>
      </c>
      <c r="W81" s="328" t="str">
        <f>IF(売分析!AD81&lt;&gt;"",売分析!AD81,"")</f>
        <v>上昇トレンド▲</v>
      </c>
      <c r="X81" s="328" t="e">
        <f>IF(売分析!AE81&lt;&gt;"",売分析!AE81,"")</f>
        <v>#VALUE!</v>
      </c>
      <c r="Y81" s="390">
        <f>IF(売分析!T81&lt;&gt;"",売分析!T81,"")</f>
        <v>0</v>
      </c>
      <c r="Z81" s="328" t="e">
        <f>IF(売分析!Y81&lt;&gt;"",売分析!Y81,"")</f>
        <v>#VALUE!</v>
      </c>
    </row>
    <row r="82" spans="1:26">
      <c r="A82" s="215">
        <f>IF(売分析!C82&lt;&gt;"",ROW()-2,"")</f>
        <v>80</v>
      </c>
      <c r="B82" s="335" t="str">
        <f>IF(売分析!C82&lt;&gt;"",HYPERLINK("https://kabutan.jp/stock/?code="&amp;売分析!C82,"株探"),"")</f>
        <v>株探</v>
      </c>
      <c r="C82" s="344">
        <f>IF(売分析!C82&lt;&gt;"",売分析!C82,"")</f>
        <v>4373</v>
      </c>
      <c r="D82" s="215" t="str">
        <f>IF(売分析!D82&lt;&gt;"",売分析!D82,"")</f>
        <v/>
      </c>
      <c r="E82" s="336" t="str">
        <f>IF(売分析!E82&lt;&gt;"",売分析!E82,"")</f>
        <v/>
      </c>
      <c r="F82" s="336" t="str">
        <f>IF(売分析!F82&lt;&gt;"",売分析!F82,"")</f>
        <v/>
      </c>
      <c r="G82" s="336" t="str">
        <f>IF(売分析!H82&lt;&gt;"",売分析!H82,"")</f>
        <v/>
      </c>
      <c r="H82" s="336" t="str">
        <f>IF(売分析!I82&lt;&gt;"",売分析!I82,"")</f>
        <v/>
      </c>
      <c r="I82" s="215" t="str">
        <f>IF(売分析!J82&lt;&gt;"",売分析!J82,"")</f>
        <v/>
      </c>
      <c r="J82" s="336">
        <f>IF(売分析!AB82&lt;&gt;"",売分析!AB82,"")</f>
        <v>1051.3375576036867</v>
      </c>
      <c r="K82" s="336">
        <f>IF(売分析!AC82&lt;&gt;"",売分析!AC82,"")</f>
        <v>1008.2979737783073</v>
      </c>
      <c r="L82" s="336" t="str">
        <f>IF(売分析!K82&lt;&gt;"",売分析!K82,"")</f>
        <v/>
      </c>
      <c r="M82" s="215" t="str">
        <f>IF(売分析!P82&lt;&gt;"",売分析!P82,"")</f>
        <v/>
      </c>
      <c r="N82" s="338" t="str">
        <f>IF(売分析!O82&lt;&gt;"",売分析!O82,"")</f>
        <v/>
      </c>
      <c r="O82" s="340">
        <f>IF(売分析!X82&lt;&gt;"",売分析!X82,"")</f>
        <v>14.954161177206174</v>
      </c>
      <c r="P82" s="337" t="str">
        <f>IF(売分析!L82&lt;&gt;"",売分析!L82,"")</f>
        <v/>
      </c>
      <c r="Q82" s="336" t="str">
        <f>IF(売分析!S82&lt;&gt;"",売分析!S82,"")</f>
        <v/>
      </c>
      <c r="R82" s="336" t="str">
        <f>IF(売分析!R82&lt;&gt;"",売分析!R82,"")</f>
        <v/>
      </c>
      <c r="S82" s="215" t="str">
        <f>IF(売分析!AA82&lt;&gt;"",売分析!AA82,"")</f>
        <v/>
      </c>
      <c r="T82" s="341" t="str">
        <f>IF(売分析!Z82&lt;&gt;"",売分析!Z82,"")</f>
        <v/>
      </c>
      <c r="U82" s="215" t="str">
        <f>IF(売分析!V82&lt;&gt;"",売分析!V82,"")</f>
        <v/>
      </c>
      <c r="V82" s="339">
        <f>IF(売分析!W82&lt;&gt;"",売分析!W82,"")</f>
        <v>73.2</v>
      </c>
      <c r="W82" s="215" t="str">
        <f>IF(売分析!AD82&lt;&gt;"",売分析!AD82,"")</f>
        <v>パーフェクト▲</v>
      </c>
      <c r="X82" s="215" t="e">
        <f>IF(売分析!AE82&lt;&gt;"",売分析!AE82,"")</f>
        <v>#VALUE!</v>
      </c>
      <c r="Y82" s="391">
        <f>IF(売分析!T82&lt;&gt;"",売分析!T82,"")</f>
        <v>0</v>
      </c>
      <c r="Z82" s="215" t="e">
        <f>IF(売分析!Y82&lt;&gt;"",売分析!Y82,"")</f>
        <v>#VALUE!</v>
      </c>
    </row>
    <row r="83" spans="1:26">
      <c r="A83" s="328">
        <f>IF(売分析!C83&lt;&gt;"",ROW()-2,"")</f>
        <v>81</v>
      </c>
      <c r="B83" s="327" t="str">
        <f>IF(売分析!C83&lt;&gt;"",HYPERLINK("https://kabutan.jp/stock/?code="&amp;売分析!C83,"株探"),"")</f>
        <v>株探</v>
      </c>
      <c r="C83" s="343">
        <f>IF(売分析!C83&lt;&gt;"",売分析!C83,"")</f>
        <v>1930</v>
      </c>
      <c r="D83" s="328" t="str">
        <f>IF(売分析!D83&lt;&gt;"",売分析!D83,"")</f>
        <v/>
      </c>
      <c r="E83" s="329" t="str">
        <f>IF(売分析!E83&lt;&gt;"",売分析!E83,"")</f>
        <v/>
      </c>
      <c r="F83" s="329" t="str">
        <f>IF(売分析!F83&lt;&gt;"",売分析!F83,"")</f>
        <v/>
      </c>
      <c r="G83" s="329" t="str">
        <f>IF(売分析!H83&lt;&gt;"",売分析!H83,"")</f>
        <v/>
      </c>
      <c r="H83" s="329" t="str">
        <f>IF(売分析!I83&lt;&gt;"",売分析!I83,"")</f>
        <v/>
      </c>
      <c r="I83" s="328" t="str">
        <f>IF(売分析!J83&lt;&gt;"",売分析!J83,"")</f>
        <v/>
      </c>
      <c r="J83" s="329">
        <f>IF(売分析!AB83&lt;&gt;"",売分析!AB83,"")</f>
        <v>1590.1670506912442</v>
      </c>
      <c r="K83" s="329">
        <f>IF(売分析!AC83&lt;&gt;"",売分析!AC83,"")</f>
        <v>1637.6889153754464</v>
      </c>
      <c r="L83" s="329" t="str">
        <f>IF(売分析!K83&lt;&gt;"",売分析!K83,"")</f>
        <v/>
      </c>
      <c r="M83" s="328" t="str">
        <f>IF(売分析!P83&lt;&gt;"",売分析!P83,"")</f>
        <v/>
      </c>
      <c r="N83" s="331" t="str">
        <f>IF(売分析!O83&lt;&gt;"",売分析!O83,"")</f>
        <v/>
      </c>
      <c r="O83" s="333">
        <f>IF(売分析!X83&lt;&gt;"",売分析!X83,"")</f>
        <v>-12.768164974386991</v>
      </c>
      <c r="P83" s="330" t="str">
        <f>IF(売分析!L83&lt;&gt;"",売分析!L83,"")</f>
        <v/>
      </c>
      <c r="Q83" s="329" t="str">
        <f>IF(売分析!S83&lt;&gt;"",売分析!S83,"")</f>
        <v/>
      </c>
      <c r="R83" s="329" t="str">
        <f>IF(売分析!R83&lt;&gt;"",売分析!R83,"")</f>
        <v/>
      </c>
      <c r="S83" s="328" t="str">
        <f>IF(売分析!AA83&lt;&gt;"",売分析!AA83,"")</f>
        <v/>
      </c>
      <c r="T83" s="334" t="str">
        <f>IF(売分析!Z83&lt;&gt;"",売分析!Z83,"")</f>
        <v/>
      </c>
      <c r="U83" s="328" t="str">
        <f>IF(売分析!V83&lt;&gt;"",売分析!V83,"")</f>
        <v/>
      </c>
      <c r="V83" s="332">
        <f>IF(売分析!W83&lt;&gt;"",売分析!W83,"")</f>
        <v>31.660231660231659</v>
      </c>
      <c r="W83" s="328" t="str">
        <f>IF(売分析!AD83&lt;&gt;"",売分析!AD83,"")</f>
        <v>上昇トレンド▲</v>
      </c>
      <c r="X83" s="328" t="e">
        <f>IF(売分析!AE83&lt;&gt;"",売分析!AE83,"")</f>
        <v>#VALUE!</v>
      </c>
      <c r="Y83" s="390">
        <f>IF(売分析!T83&lt;&gt;"",売分析!T83,"")</f>
        <v>0</v>
      </c>
      <c r="Z83" s="328" t="e">
        <f>IF(売分析!Y83&lt;&gt;"",売分析!Y83,"")</f>
        <v>#VALUE!</v>
      </c>
    </row>
    <row r="84" spans="1:26">
      <c r="A84" s="215">
        <f>IF(売分析!C84&lt;&gt;"",ROW()-2,"")</f>
        <v>82</v>
      </c>
      <c r="B84" s="335" t="str">
        <f>IF(売分析!C84&lt;&gt;"",HYPERLINK("https://kabutan.jp/stock/?code="&amp;売分析!C84,"株探"),"")</f>
        <v>株探</v>
      </c>
      <c r="C84" s="344">
        <f>IF(売分析!C84&lt;&gt;"",売分析!C84,"")</f>
        <v>6920</v>
      </c>
      <c r="D84" s="215" t="str">
        <f>IF(売分析!D84&lt;&gt;"",売分析!D84,"")</f>
        <v/>
      </c>
      <c r="E84" s="336" t="str">
        <f>IF(売分析!E84&lt;&gt;"",売分析!E84,"")</f>
        <v/>
      </c>
      <c r="F84" s="336" t="str">
        <f>IF(売分析!F84&lt;&gt;"",売分析!F84,"")</f>
        <v/>
      </c>
      <c r="G84" s="336" t="str">
        <f>IF(売分析!H84&lt;&gt;"",売分析!H84,"")</f>
        <v/>
      </c>
      <c r="H84" s="336" t="str">
        <f>IF(売分析!I84&lt;&gt;"",売分析!I84,"")</f>
        <v/>
      </c>
      <c r="I84" s="215" t="str">
        <f>IF(売分析!J84&lt;&gt;"",売分析!J84,"")</f>
        <v/>
      </c>
      <c r="J84" s="336">
        <f>IF(売分析!AB84&lt;&gt;"",売分析!AB84,"")</f>
        <v>44950.069124423964</v>
      </c>
      <c r="K84" s="336">
        <f>IF(売分析!AC84&lt;&gt;"",売分析!AC84,"")</f>
        <v>46931.179976162071</v>
      </c>
      <c r="L84" s="336" t="str">
        <f>IF(売分析!K84&lt;&gt;"",売分析!K84,"")</f>
        <v/>
      </c>
      <c r="M84" s="215" t="str">
        <f>IF(売分析!P84&lt;&gt;"",売分析!P84,"")</f>
        <v/>
      </c>
      <c r="N84" s="338" t="str">
        <f>IF(売分析!O84&lt;&gt;"",売分析!O84,"")</f>
        <v/>
      </c>
      <c r="O84" s="340">
        <f>IF(売分析!X84&lt;&gt;"",売分析!X84,"")</f>
        <v>-821.07393756541569</v>
      </c>
      <c r="P84" s="337" t="str">
        <f>IF(売分析!L84&lt;&gt;"",売分析!L84,"")</f>
        <v/>
      </c>
      <c r="Q84" s="336" t="str">
        <f>IF(売分析!S84&lt;&gt;"",売分析!S84,"")</f>
        <v/>
      </c>
      <c r="R84" s="336" t="str">
        <f>IF(売分析!R84&lt;&gt;"",売分析!R84,"")</f>
        <v/>
      </c>
      <c r="S84" s="215" t="str">
        <f>IF(売分析!AA84&lt;&gt;"",売分析!AA84,"")</f>
        <v/>
      </c>
      <c r="T84" s="341" t="str">
        <f>IF(売分析!Z84&lt;&gt;"",売分析!Z84,"")</f>
        <v/>
      </c>
      <c r="U84" s="215" t="str">
        <f>IF(売分析!V84&lt;&gt;"",売分析!V84,"")</f>
        <v/>
      </c>
      <c r="V84" s="339">
        <f>IF(売分析!W84&lt;&gt;"",売分析!W84,"")</f>
        <v>42.086167800453509</v>
      </c>
      <c r="W84" s="215" t="str">
        <f>IF(売分析!AD84&lt;&gt;"",売分析!AD84,"")</f>
        <v>上昇トレンド▲</v>
      </c>
      <c r="X84" s="215" t="e">
        <f>IF(売分析!AE84&lt;&gt;"",売分析!AE84,"")</f>
        <v>#VALUE!</v>
      </c>
      <c r="Y84" s="391">
        <f>IF(売分析!T84&lt;&gt;"",売分析!T84,"")</f>
        <v>0</v>
      </c>
      <c r="Z84" s="215" t="e">
        <f>IF(売分析!Y84&lt;&gt;"",売分析!Y84,"")</f>
        <v>#VALUE!</v>
      </c>
    </row>
    <row r="85" spans="1:26">
      <c r="A85" s="328">
        <f>IF(売分析!C85&lt;&gt;"",ROW()-2,"")</f>
        <v>83</v>
      </c>
      <c r="B85" s="327" t="str">
        <f>IF(売分析!C85&lt;&gt;"",HYPERLINK("https://kabutan.jp/stock/?code="&amp;売分析!C85,"株探"),"")</f>
        <v>株探</v>
      </c>
      <c r="C85" s="343">
        <f>IF(売分析!C85&lt;&gt;"",売分析!C85,"")</f>
        <v>6305</v>
      </c>
      <c r="D85" s="328" t="str">
        <f>IF(売分析!D85&lt;&gt;"",売分析!D85,"")</f>
        <v/>
      </c>
      <c r="E85" s="329" t="str">
        <f>IF(売分析!E85&lt;&gt;"",売分析!E85,"")</f>
        <v/>
      </c>
      <c r="F85" s="329" t="str">
        <f>IF(売分析!F85&lt;&gt;"",売分析!F85,"")</f>
        <v/>
      </c>
      <c r="G85" s="329" t="str">
        <f>IF(売分析!H85&lt;&gt;"",売分析!H85,"")</f>
        <v/>
      </c>
      <c r="H85" s="329" t="str">
        <f>IF(売分析!I85&lt;&gt;"",売分析!I85,"")</f>
        <v/>
      </c>
      <c r="I85" s="328" t="str">
        <f>IF(売分析!J85&lt;&gt;"",売分析!J85,"")</f>
        <v/>
      </c>
      <c r="J85" s="329">
        <f>IF(売分析!AB85&lt;&gt;"",売分析!AB85,"")</f>
        <v>5185.89055299539</v>
      </c>
      <c r="K85" s="329">
        <f>IF(売分析!AC85&lt;&gt;"",売分析!AC85,"")</f>
        <v>5268.7032181168024</v>
      </c>
      <c r="L85" s="329" t="str">
        <f>IF(売分析!K85&lt;&gt;"",売分析!K85,"")</f>
        <v/>
      </c>
      <c r="M85" s="328" t="str">
        <f>IF(売分析!P85&lt;&gt;"",売分析!P85,"")</f>
        <v/>
      </c>
      <c r="N85" s="331" t="str">
        <f>IF(売分析!O85&lt;&gt;"",売分析!O85,"")</f>
        <v/>
      </c>
      <c r="O85" s="333">
        <f>IF(売分析!X85&lt;&gt;"",売分析!X85,"")</f>
        <v>-17.866682720433346</v>
      </c>
      <c r="P85" s="330" t="str">
        <f>IF(売分析!L85&lt;&gt;"",売分析!L85,"")</f>
        <v/>
      </c>
      <c r="Q85" s="329" t="str">
        <f>IF(売分析!S85&lt;&gt;"",売分析!S85,"")</f>
        <v/>
      </c>
      <c r="R85" s="329" t="str">
        <f>IF(売分析!R85&lt;&gt;"",売分析!R85,"")</f>
        <v/>
      </c>
      <c r="S85" s="328" t="str">
        <f>IF(売分析!AA85&lt;&gt;"",売分析!AA85,"")</f>
        <v/>
      </c>
      <c r="T85" s="334" t="str">
        <f>IF(売分析!Z85&lt;&gt;"",売分析!Z85,"")</f>
        <v/>
      </c>
      <c r="U85" s="328" t="str">
        <f>IF(売分析!V85&lt;&gt;"",売分析!V85,"")</f>
        <v/>
      </c>
      <c r="V85" s="332">
        <f>IF(売分析!W85&lt;&gt;"",売分析!W85,"")</f>
        <v>47.732696897374701</v>
      </c>
      <c r="W85" s="328" t="str">
        <f>IF(売分析!AD85&lt;&gt;"",売分析!AD85,"")</f>
        <v>上昇トレンド▲</v>
      </c>
      <c r="X85" s="328" t="e">
        <f>IF(売分析!AE85&lt;&gt;"",売分析!AE85,"")</f>
        <v>#VALUE!</v>
      </c>
      <c r="Y85" s="390">
        <f>IF(売分析!T85&lt;&gt;"",売分析!T85,"")</f>
        <v>0</v>
      </c>
      <c r="Z85" s="328" t="e">
        <f>IF(売分析!Y85&lt;&gt;"",売分析!Y85,"")</f>
        <v>#VALUE!</v>
      </c>
    </row>
    <row r="86" spans="1:26">
      <c r="A86" s="215">
        <f>IF(売分析!C86&lt;&gt;"",ROW()-2,"")</f>
        <v>84</v>
      </c>
      <c r="B86" s="335" t="str">
        <f>IF(売分析!C86&lt;&gt;"",HYPERLINK("https://kabutan.jp/stock/?code="&amp;売分析!C86,"株探"),"")</f>
        <v>株探</v>
      </c>
      <c r="C86" s="344">
        <f>IF(売分析!C86&lt;&gt;"",売分析!C86,"")</f>
        <v>6758</v>
      </c>
      <c r="D86" s="215" t="str">
        <f>IF(売分析!D86&lt;&gt;"",売分析!D86,"")</f>
        <v/>
      </c>
      <c r="E86" s="336" t="str">
        <f>IF(売分析!E86&lt;&gt;"",売分析!E86,"")</f>
        <v/>
      </c>
      <c r="F86" s="336" t="str">
        <f>IF(売分析!F86&lt;&gt;"",売分析!F86,"")</f>
        <v/>
      </c>
      <c r="G86" s="336" t="str">
        <f>IF(売分析!H86&lt;&gt;"",売分析!H86,"")</f>
        <v/>
      </c>
      <c r="H86" s="336" t="str">
        <f>IF(売分析!I86&lt;&gt;"",売分析!I86,"")</f>
        <v/>
      </c>
      <c r="I86" s="215" t="str">
        <f>IF(売分析!J86&lt;&gt;"",売分析!J86,"")</f>
        <v/>
      </c>
      <c r="J86" s="336">
        <f>IF(売分析!AB86&lt;&gt;"",売分析!AB86,"")</f>
        <v>3411.2960829493081</v>
      </c>
      <c r="K86" s="336">
        <f>IF(売分析!AC86&lt;&gt;"",売分析!AC86,"")</f>
        <v>3348.1918951132279</v>
      </c>
      <c r="L86" s="336" t="str">
        <f>IF(売分析!K86&lt;&gt;"",売分析!K86,"")</f>
        <v/>
      </c>
      <c r="M86" s="215" t="str">
        <f>IF(売分析!P86&lt;&gt;"",売分析!P86,"")</f>
        <v/>
      </c>
      <c r="N86" s="338" t="str">
        <f>IF(売分析!O86&lt;&gt;"",売分析!O86,"")</f>
        <v/>
      </c>
      <c r="O86" s="340">
        <f>IF(売分析!X86&lt;&gt;"",売分析!X86,"")</f>
        <v>23.780607310171945</v>
      </c>
      <c r="P86" s="337" t="str">
        <f>IF(売分析!L86&lt;&gt;"",売分析!L86,"")</f>
        <v/>
      </c>
      <c r="Q86" s="336" t="str">
        <f>IF(売分析!S86&lt;&gt;"",売分析!S86,"")</f>
        <v/>
      </c>
      <c r="R86" s="336" t="str">
        <f>IF(売分析!R86&lt;&gt;"",売分析!R86,"")</f>
        <v/>
      </c>
      <c r="S86" s="215" t="str">
        <f>IF(売分析!AA86&lt;&gt;"",売分析!AA86,"")</f>
        <v/>
      </c>
      <c r="T86" s="341" t="str">
        <f>IF(売分析!Z86&lt;&gt;"",売分析!Z86,"")</f>
        <v/>
      </c>
      <c r="U86" s="215" t="str">
        <f>IF(売分析!V86&lt;&gt;"",売分析!V86,"")</f>
        <v/>
      </c>
      <c r="V86" s="339">
        <f>IF(売分析!W86&lt;&gt;"",売分析!W86,"")</f>
        <v>67.64705882352942</v>
      </c>
      <c r="W86" s="215" t="str">
        <f>IF(売分析!AD86&lt;&gt;"",売分析!AD86,"")</f>
        <v>パーフェクト▲</v>
      </c>
      <c r="X86" s="215" t="e">
        <f>IF(売分析!AE86&lt;&gt;"",売分析!AE86,"")</f>
        <v>#VALUE!</v>
      </c>
      <c r="Y86" s="391">
        <f>IF(売分析!T86&lt;&gt;"",売分析!T86,"")</f>
        <v>0</v>
      </c>
      <c r="Z86" s="215" t="e">
        <f>IF(売分析!Y86&lt;&gt;"",売分析!Y86,"")</f>
        <v>#VALUE!</v>
      </c>
    </row>
    <row r="87" spans="1:26">
      <c r="A87" s="328">
        <f>IF(売分析!C87&lt;&gt;"",ROW()-2,"")</f>
        <v>85</v>
      </c>
      <c r="B87" s="327" t="str">
        <f>IF(売分析!C87&lt;&gt;"",HYPERLINK("https://kabutan.jp/stock/?code="&amp;売分析!C87,"株探"),"")</f>
        <v>株探</v>
      </c>
      <c r="C87" s="343">
        <f>IF(売分析!C87&lt;&gt;"",売分析!C87,"")</f>
        <v>5711</v>
      </c>
      <c r="D87" s="328" t="str">
        <f>IF(売分析!D87&lt;&gt;"",売分析!D87,"")</f>
        <v/>
      </c>
      <c r="E87" s="329" t="str">
        <f>IF(売分析!E87&lt;&gt;"",売分析!E87,"")</f>
        <v/>
      </c>
      <c r="F87" s="329" t="str">
        <f>IF(売分析!F87&lt;&gt;"",売分析!F87,"")</f>
        <v/>
      </c>
      <c r="G87" s="329" t="str">
        <f>IF(売分析!H87&lt;&gt;"",売分析!H87,"")</f>
        <v/>
      </c>
      <c r="H87" s="329" t="str">
        <f>IF(売分析!I87&lt;&gt;"",売分析!I87,"")</f>
        <v/>
      </c>
      <c r="I87" s="328" t="str">
        <f>IF(売分析!J87&lt;&gt;"",売分析!J87,"")</f>
        <v/>
      </c>
      <c r="J87" s="329">
        <f>IF(売分析!AB87&lt;&gt;"",売分析!AB87,"")</f>
        <v>4089.6417050691243</v>
      </c>
      <c r="K87" s="329">
        <f>IF(売分析!AC87&lt;&gt;"",売分析!AC87,"")</f>
        <v>4316.2562574493431</v>
      </c>
      <c r="L87" s="329" t="str">
        <f>IF(売分析!K87&lt;&gt;"",売分析!K87,"")</f>
        <v/>
      </c>
      <c r="M87" s="328" t="str">
        <f>IF(売分析!P87&lt;&gt;"",売分析!P87,"")</f>
        <v/>
      </c>
      <c r="N87" s="331" t="str">
        <f>IF(売分析!O87&lt;&gt;"",売分析!O87,"")</f>
        <v/>
      </c>
      <c r="O87" s="333">
        <f>IF(売分析!X87&lt;&gt;"",売分析!X87,"")</f>
        <v>-66.569979183166652</v>
      </c>
      <c r="P87" s="330" t="str">
        <f>IF(売分析!L87&lt;&gt;"",売分析!L87,"")</f>
        <v/>
      </c>
      <c r="Q87" s="329" t="str">
        <f>IF(売分析!S87&lt;&gt;"",売分析!S87,"")</f>
        <v/>
      </c>
      <c r="R87" s="329" t="str">
        <f>IF(売分析!R87&lt;&gt;"",売分析!R87,"")</f>
        <v/>
      </c>
      <c r="S87" s="328" t="str">
        <f>IF(売分析!AA87&lt;&gt;"",売分析!AA87,"")</f>
        <v/>
      </c>
      <c r="T87" s="334" t="str">
        <f>IF(売分析!Z87&lt;&gt;"",売分析!Z87,"")</f>
        <v/>
      </c>
      <c r="U87" s="328" t="str">
        <f>IF(売分析!V87&lt;&gt;"",売分析!V87,"")</f>
        <v/>
      </c>
      <c r="V87" s="332">
        <f>IF(売分析!W87&lt;&gt;"",売分析!W87,"")</f>
        <v>43.715469613259664</v>
      </c>
      <c r="W87" s="328" t="str">
        <f>IF(売分析!AD87&lt;&gt;"",売分析!AD87,"")</f>
        <v>上昇トレンド▲</v>
      </c>
      <c r="X87" s="328" t="e">
        <f>IF(売分析!AE87&lt;&gt;"",売分析!AE87,"")</f>
        <v>#VALUE!</v>
      </c>
      <c r="Y87" s="390">
        <f>IF(売分析!T87&lt;&gt;"",売分析!T87,"")</f>
        <v>0</v>
      </c>
      <c r="Z87" s="328" t="e">
        <f>IF(売分析!Y87&lt;&gt;"",売分析!Y87,"")</f>
        <v>#VALUE!</v>
      </c>
    </row>
    <row r="88" spans="1:26">
      <c r="A88" s="215">
        <f>IF(売分析!C88&lt;&gt;"",ROW()-2,"")</f>
        <v>86</v>
      </c>
      <c r="B88" s="335" t="str">
        <f>IF(売分析!C88&lt;&gt;"",HYPERLINK("https://kabutan.jp/stock/?code="&amp;売分析!C88,"株探"),"")</f>
        <v>株探</v>
      </c>
      <c r="C88" s="344">
        <f>IF(売分析!C88&lt;&gt;"",売分析!C88,"")</f>
        <v>5021</v>
      </c>
      <c r="D88" s="215" t="str">
        <f>IF(売分析!D88&lt;&gt;"",売分析!D88,"")</f>
        <v/>
      </c>
      <c r="E88" s="336" t="str">
        <f>IF(売分析!E88&lt;&gt;"",売分析!E88,"")</f>
        <v/>
      </c>
      <c r="F88" s="336" t="str">
        <f>IF(売分析!F88&lt;&gt;"",売分析!F88,"")</f>
        <v/>
      </c>
      <c r="G88" s="336" t="str">
        <f>IF(売分析!H88&lt;&gt;"",売分析!H88,"")</f>
        <v/>
      </c>
      <c r="H88" s="336" t="str">
        <f>IF(売分析!I88&lt;&gt;"",売分析!I88,"")</f>
        <v/>
      </c>
      <c r="I88" s="215" t="str">
        <f>IF(売分析!J88&lt;&gt;"",売分析!J88,"")</f>
        <v/>
      </c>
      <c r="J88" s="336">
        <f>IF(売分析!AB88&lt;&gt;"",売分析!AB88,"")</f>
        <v>3835.4320276497692</v>
      </c>
      <c r="K88" s="336">
        <f>IF(売分析!AC88&lt;&gt;"",売分析!AC88,"")</f>
        <v>3810.1156138259826</v>
      </c>
      <c r="L88" s="336" t="str">
        <f>IF(売分析!K88&lt;&gt;"",売分析!K88,"")</f>
        <v/>
      </c>
      <c r="M88" s="215" t="str">
        <f>IF(売分析!P88&lt;&gt;"",売分析!P88,"")</f>
        <v/>
      </c>
      <c r="N88" s="338" t="str">
        <f>IF(売分析!O88&lt;&gt;"",売分析!O88,"")</f>
        <v/>
      </c>
      <c r="O88" s="340">
        <f>IF(売分析!X88&lt;&gt;"",売分析!X88,"")</f>
        <v>25.312146999472134</v>
      </c>
      <c r="P88" s="337" t="str">
        <f>IF(売分析!L88&lt;&gt;"",売分析!L88,"")</f>
        <v/>
      </c>
      <c r="Q88" s="336" t="str">
        <f>IF(売分析!S88&lt;&gt;"",売分析!S88,"")</f>
        <v/>
      </c>
      <c r="R88" s="336" t="str">
        <f>IF(売分析!R88&lt;&gt;"",売分析!R88,"")</f>
        <v/>
      </c>
      <c r="S88" s="215" t="str">
        <f>IF(売分析!AA88&lt;&gt;"",売分析!AA88,"")</f>
        <v/>
      </c>
      <c r="T88" s="341" t="str">
        <f>IF(売分析!Z88&lt;&gt;"",売分析!Z88,"")</f>
        <v/>
      </c>
      <c r="U88" s="215" t="str">
        <f>IF(売分析!V88&lt;&gt;"",売分析!V88,"")</f>
        <v/>
      </c>
      <c r="V88" s="339">
        <f>IF(売分析!W88&lt;&gt;"",売分析!W88,"")</f>
        <v>69.10891089108911</v>
      </c>
      <c r="W88" s="215" t="str">
        <f>IF(売分析!AD88&lt;&gt;"",売分析!AD88,"")</f>
        <v>パーフェクト▲</v>
      </c>
      <c r="X88" s="215" t="e">
        <f>IF(売分析!AE88&lt;&gt;"",売分析!AE88,"")</f>
        <v>#VALUE!</v>
      </c>
      <c r="Y88" s="391">
        <f>IF(売分析!T88&lt;&gt;"",売分析!T88,"")</f>
        <v>0</v>
      </c>
      <c r="Z88" s="215" t="e">
        <f>IF(売分析!Y88&lt;&gt;"",売分析!Y88,"")</f>
        <v>#VALUE!</v>
      </c>
    </row>
    <row r="89" spans="1:26">
      <c r="A89" s="328">
        <f>IF(売分析!C89&lt;&gt;"",ROW()-2,"")</f>
        <v>87</v>
      </c>
      <c r="B89" s="327" t="str">
        <f>IF(売分析!C89&lt;&gt;"",HYPERLINK("https://kabutan.jp/stock/?code="&amp;売分析!C89,"株探"),"")</f>
        <v>株探</v>
      </c>
      <c r="C89" s="343">
        <f>IF(売分析!C89&lt;&gt;"",売分析!C89,"")</f>
        <v>8058</v>
      </c>
      <c r="D89" s="328" t="str">
        <f>IF(売分析!D89&lt;&gt;"",売分析!D89,"")</f>
        <v/>
      </c>
      <c r="E89" s="329" t="str">
        <f>IF(売分析!E89&lt;&gt;"",売分析!E89,"")</f>
        <v/>
      </c>
      <c r="F89" s="329" t="str">
        <f>IF(売分析!F89&lt;&gt;"",売分析!F89,"")</f>
        <v/>
      </c>
      <c r="G89" s="329" t="str">
        <f>IF(売分析!H89&lt;&gt;"",売分析!H89,"")</f>
        <v/>
      </c>
      <c r="H89" s="329" t="str">
        <f>IF(売分析!I89&lt;&gt;"",売分析!I89,"")</f>
        <v/>
      </c>
      <c r="I89" s="328" t="str">
        <f>IF(売分析!J89&lt;&gt;"",売分析!J89,"")</f>
        <v/>
      </c>
      <c r="J89" s="329">
        <f>IF(売分析!AB89&lt;&gt;"",売分析!AB89,"")</f>
        <v>4486.9619815668193</v>
      </c>
      <c r="K89" s="329">
        <f>IF(売分析!AC89&lt;&gt;"",売分析!AC89,"")</f>
        <v>4476.8379022645995</v>
      </c>
      <c r="L89" s="329" t="str">
        <f>IF(売分析!K89&lt;&gt;"",売分析!K89,"")</f>
        <v/>
      </c>
      <c r="M89" s="328" t="str">
        <f>IF(売分析!P89&lt;&gt;"",売分析!P89,"")</f>
        <v/>
      </c>
      <c r="N89" s="331" t="str">
        <f>IF(売分析!O89&lt;&gt;"",売分析!O89,"")</f>
        <v/>
      </c>
      <c r="O89" s="333">
        <f>IF(売分析!X89&lt;&gt;"",売分析!X89,"")</f>
        <v>-9.0675850484967668</v>
      </c>
      <c r="P89" s="330" t="str">
        <f>IF(売分析!L89&lt;&gt;"",売分析!L89,"")</f>
        <v/>
      </c>
      <c r="Q89" s="329" t="str">
        <f>IF(売分析!S89&lt;&gt;"",売分析!S89,"")</f>
        <v/>
      </c>
      <c r="R89" s="329" t="str">
        <f>IF(売分析!R89&lt;&gt;"",売分析!R89,"")</f>
        <v/>
      </c>
      <c r="S89" s="328" t="str">
        <f>IF(売分析!AA89&lt;&gt;"",売分析!AA89,"")</f>
        <v/>
      </c>
      <c r="T89" s="334" t="str">
        <f>IF(売分析!Z89&lt;&gt;"",売分析!Z89,"")</f>
        <v/>
      </c>
      <c r="U89" s="328" t="str">
        <f>IF(売分析!V89&lt;&gt;"",売分析!V89,"")</f>
        <v/>
      </c>
      <c r="V89" s="332">
        <f>IF(売分析!W89&lt;&gt;"",売分析!W89,"")</f>
        <v>67.75431861804222</v>
      </c>
      <c r="W89" s="328" t="str">
        <f>IF(売分析!AD89&lt;&gt;"",売分析!AD89,"")</f>
        <v>パーフェクト▲</v>
      </c>
      <c r="X89" s="328" t="e">
        <f>IF(売分析!AE89&lt;&gt;"",売分析!AE89,"")</f>
        <v>#VALUE!</v>
      </c>
      <c r="Y89" s="390">
        <f>IF(売分析!T89&lt;&gt;"",売分析!T89,"")</f>
        <v>0</v>
      </c>
      <c r="Z89" s="328" t="e">
        <f>IF(売分析!Y89&lt;&gt;"",売分析!Y89,"")</f>
        <v>#VALUE!</v>
      </c>
    </row>
    <row r="90" spans="1:26">
      <c r="A90" s="215">
        <f>IF(売分析!C90&lt;&gt;"",ROW()-2,"")</f>
        <v>88</v>
      </c>
      <c r="B90" s="335" t="str">
        <f>IF(売分析!C90&lt;&gt;"",HYPERLINK("https://kabutan.jp/stock/?code="&amp;売分析!C90,"株探"),"")</f>
        <v>株探</v>
      </c>
      <c r="C90" s="344">
        <f>IF(売分析!C90&lt;&gt;"",売分析!C90,"")</f>
        <v>5541</v>
      </c>
      <c r="D90" s="215" t="str">
        <f>IF(売分析!D90&lt;&gt;"",売分析!D90,"")</f>
        <v/>
      </c>
      <c r="E90" s="336" t="str">
        <f>IF(売分析!E90&lt;&gt;"",売分析!E90,"")</f>
        <v/>
      </c>
      <c r="F90" s="336" t="str">
        <f>IF(売分析!F90&lt;&gt;"",売分析!F90,"")</f>
        <v/>
      </c>
      <c r="G90" s="336" t="str">
        <f>IF(売分析!H90&lt;&gt;"",売分析!H90,"")</f>
        <v/>
      </c>
      <c r="H90" s="336" t="str">
        <f>IF(売分析!I90&lt;&gt;"",売分析!I90,"")</f>
        <v/>
      </c>
      <c r="I90" s="215" t="str">
        <f>IF(売分析!J90&lt;&gt;"",売分析!J90,"")</f>
        <v/>
      </c>
      <c r="J90" s="336">
        <f>IF(売分析!AB90&lt;&gt;"",売分析!AB90,"")</f>
        <v>2274.057603686636</v>
      </c>
      <c r="K90" s="336">
        <f>IF(売分析!AC90&lt;&gt;"",売分析!AC90,"")</f>
        <v>2246.07389749702</v>
      </c>
      <c r="L90" s="336" t="str">
        <f>IF(売分析!K90&lt;&gt;"",売分析!K90,"")</f>
        <v/>
      </c>
      <c r="M90" s="215" t="str">
        <f>IF(売分析!P90&lt;&gt;"",売分析!P90,"")</f>
        <v/>
      </c>
      <c r="N90" s="338" t="str">
        <f>IF(売分析!O90&lt;&gt;"",売分析!O90,"")</f>
        <v/>
      </c>
      <c r="O90" s="340">
        <f>IF(売分析!X90&lt;&gt;"",売分析!X90,"")</f>
        <v>10.555331775719424</v>
      </c>
      <c r="P90" s="337" t="str">
        <f>IF(売分析!L90&lt;&gt;"",売分析!L90,"")</f>
        <v/>
      </c>
      <c r="Q90" s="336" t="str">
        <f>IF(売分析!S90&lt;&gt;"",売分析!S90,"")</f>
        <v/>
      </c>
      <c r="R90" s="336" t="str">
        <f>IF(売分析!R90&lt;&gt;"",売分析!R90,"")</f>
        <v/>
      </c>
      <c r="S90" s="215" t="str">
        <f>IF(売分析!AA90&lt;&gt;"",売分析!AA90,"")</f>
        <v/>
      </c>
      <c r="T90" s="341" t="str">
        <f>IF(売分析!Z90&lt;&gt;"",売分析!Z90,"")</f>
        <v/>
      </c>
      <c r="U90" s="215" t="str">
        <f>IF(売分析!V90&lt;&gt;"",売分析!V90,"")</f>
        <v/>
      </c>
      <c r="V90" s="339">
        <f>IF(売分析!W90&lt;&gt;"",売分析!W90,"")</f>
        <v>63.30472103004292</v>
      </c>
      <c r="W90" s="215" t="str">
        <f>IF(売分析!AD90&lt;&gt;"",売分析!AD90,"")</f>
        <v>パーフェクト▲</v>
      </c>
      <c r="X90" s="215" t="e">
        <f>IF(売分析!AE90&lt;&gt;"",売分析!AE90,"")</f>
        <v>#VALUE!</v>
      </c>
      <c r="Y90" s="391">
        <f>IF(売分析!T90&lt;&gt;"",売分析!T90,"")</f>
        <v>0</v>
      </c>
      <c r="Z90" s="215" t="e">
        <f>IF(売分析!Y90&lt;&gt;"",売分析!Y90,"")</f>
        <v>#VALUE!</v>
      </c>
    </row>
    <row r="91" spans="1:26">
      <c r="A91" s="328">
        <f>IF(売分析!C91&lt;&gt;"",ROW()-2,"")</f>
        <v>89</v>
      </c>
      <c r="B91" s="327" t="str">
        <f>IF(売分析!C91&lt;&gt;"",HYPERLINK("https://kabutan.jp/stock/?code="&amp;売分析!C91,"株探"),"")</f>
        <v>株探</v>
      </c>
      <c r="C91" s="343">
        <f>IF(売分析!C91&lt;&gt;"",売分析!C91,"")</f>
        <v>8795</v>
      </c>
      <c r="D91" s="328" t="str">
        <f>IF(売分析!D91&lt;&gt;"",売分析!D91,"")</f>
        <v/>
      </c>
      <c r="E91" s="329" t="str">
        <f>IF(売分析!E91&lt;&gt;"",売分析!E91,"")</f>
        <v/>
      </c>
      <c r="F91" s="329" t="str">
        <f>IF(売分析!F91&lt;&gt;"",売分析!F91,"")</f>
        <v/>
      </c>
      <c r="G91" s="329" t="str">
        <f>IF(売分析!H91&lt;&gt;"",売分析!H91,"")</f>
        <v/>
      </c>
      <c r="H91" s="329" t="str">
        <f>IF(売分析!I91&lt;&gt;"",売分析!I91,"")</f>
        <v/>
      </c>
      <c r="I91" s="328" t="str">
        <f>IF(売分析!J91&lt;&gt;"",売分析!J91,"")</f>
        <v/>
      </c>
      <c r="J91" s="329">
        <f>IF(売分析!AB91&lt;&gt;"",売分析!AB91,"")</f>
        <v>4910.5910138248828</v>
      </c>
      <c r="K91" s="329">
        <f>IF(売分析!AC91&lt;&gt;"",売分析!AC91,"")</f>
        <v>4874.9594755661474</v>
      </c>
      <c r="L91" s="329" t="str">
        <f>IF(売分析!K91&lt;&gt;"",売分析!K91,"")</f>
        <v/>
      </c>
      <c r="M91" s="328" t="str">
        <f>IF(売分析!P91&lt;&gt;"",売分析!P91,"")</f>
        <v/>
      </c>
      <c r="N91" s="331" t="str">
        <f>IF(売分析!O91&lt;&gt;"",売分析!O91,"")</f>
        <v/>
      </c>
      <c r="O91" s="333">
        <f>IF(売分析!X91&lt;&gt;"",売分析!X91,"")</f>
        <v>30.417258069011041</v>
      </c>
      <c r="P91" s="330" t="str">
        <f>IF(売分析!L91&lt;&gt;"",売分析!L91,"")</f>
        <v/>
      </c>
      <c r="Q91" s="329" t="str">
        <f>IF(売分析!S91&lt;&gt;"",売分析!S91,"")</f>
        <v/>
      </c>
      <c r="R91" s="329" t="str">
        <f>IF(売分析!R91&lt;&gt;"",売分析!R91,"")</f>
        <v/>
      </c>
      <c r="S91" s="328" t="str">
        <f>IF(売分析!AA91&lt;&gt;"",売分析!AA91,"")</f>
        <v/>
      </c>
      <c r="T91" s="334" t="str">
        <f>IF(売分析!Z91&lt;&gt;"",売分析!Z91,"")</f>
        <v/>
      </c>
      <c r="U91" s="328" t="str">
        <f>IF(売分析!V91&lt;&gt;"",売分析!V91,"")</f>
        <v/>
      </c>
      <c r="V91" s="332">
        <f>IF(売分析!W91&lt;&gt;"",売分析!W91,"")</f>
        <v>76.470588235294116</v>
      </c>
      <c r="W91" s="328" t="str">
        <f>IF(売分析!AD91&lt;&gt;"",売分析!AD91,"")</f>
        <v>パーフェクト▲</v>
      </c>
      <c r="X91" s="328" t="e">
        <f>IF(売分析!AE91&lt;&gt;"",売分析!AE91,"")</f>
        <v>#VALUE!</v>
      </c>
      <c r="Y91" s="390">
        <f>IF(売分析!T91&lt;&gt;"",売分析!T91,"")</f>
        <v>0</v>
      </c>
      <c r="Z91" s="328" t="e">
        <f>IF(売分析!Y91&lt;&gt;"",売分析!Y91,"")</f>
        <v>#VALUE!</v>
      </c>
    </row>
    <row r="92" spans="1:26">
      <c r="A92" s="215">
        <f>IF(売分析!C92&lt;&gt;"",ROW()-2,"")</f>
        <v>90</v>
      </c>
      <c r="B92" s="335" t="str">
        <f>IF(売分析!C92&lt;&gt;"",HYPERLINK("https://kabutan.jp/stock/?code="&amp;売分析!C92,"株探"),"")</f>
        <v>株探</v>
      </c>
      <c r="C92" s="344">
        <f>IF(売分析!C92&lt;&gt;"",売分析!C92,"")</f>
        <v>8308</v>
      </c>
      <c r="D92" s="215" t="str">
        <f>IF(売分析!D92&lt;&gt;"",売分析!D92,"")</f>
        <v/>
      </c>
      <c r="E92" s="336" t="str">
        <f>IF(売分析!E92&lt;&gt;"",売分析!E92,"")</f>
        <v/>
      </c>
      <c r="F92" s="336" t="str">
        <f>IF(売分析!F92&lt;&gt;"",売分析!F92,"")</f>
        <v/>
      </c>
      <c r="G92" s="336" t="str">
        <f>IF(売分析!H92&lt;&gt;"",売分析!H92,"")</f>
        <v/>
      </c>
      <c r="H92" s="336" t="str">
        <f>IF(売分析!I92&lt;&gt;"",売分析!I92,"")</f>
        <v/>
      </c>
      <c r="I92" s="215" t="str">
        <f>IF(売分析!J92&lt;&gt;"",売分析!J92,"")</f>
        <v/>
      </c>
      <c r="J92" s="336">
        <f>IF(売分析!AB92&lt;&gt;"",売分析!AB92,"")</f>
        <v>2313.13133640553</v>
      </c>
      <c r="K92" s="336">
        <f>IF(売分析!AC92&lt;&gt;"",売分析!AC92,"")</f>
        <v>2252.2205005959472</v>
      </c>
      <c r="L92" s="336" t="str">
        <f>IF(売分析!K92&lt;&gt;"",売分析!K92,"")</f>
        <v/>
      </c>
      <c r="M92" s="215" t="str">
        <f>IF(売分析!P92&lt;&gt;"",売分析!P92,"")</f>
        <v/>
      </c>
      <c r="N92" s="338" t="str">
        <f>IF(売分析!O92&lt;&gt;"",売分析!O92,"")</f>
        <v/>
      </c>
      <c r="O92" s="340">
        <f>IF(売分析!X92&lt;&gt;"",売分析!X92,"")</f>
        <v>28.528518661514681</v>
      </c>
      <c r="P92" s="337" t="str">
        <f>IF(売分析!L92&lt;&gt;"",売分析!L92,"")</f>
        <v/>
      </c>
      <c r="Q92" s="336" t="str">
        <f>IF(売分析!S92&lt;&gt;"",売分析!S92,"")</f>
        <v/>
      </c>
      <c r="R92" s="336" t="str">
        <f>IF(売分析!R92&lt;&gt;"",売分析!R92,"")</f>
        <v/>
      </c>
      <c r="S92" s="215" t="str">
        <f>IF(売分析!AA92&lt;&gt;"",売分析!AA92,"")</f>
        <v/>
      </c>
      <c r="T92" s="341" t="str">
        <f>IF(売分析!Z92&lt;&gt;"",売分析!Z92,"")</f>
        <v/>
      </c>
      <c r="U92" s="215" t="str">
        <f>IF(売分析!V92&lt;&gt;"",売分析!V92,"")</f>
        <v/>
      </c>
      <c r="V92" s="339">
        <f>IF(売分析!W92&lt;&gt;"",売分析!W92,"")</f>
        <v>90.014684287812045</v>
      </c>
      <c r="W92" s="215" t="str">
        <f>IF(売分析!AD92&lt;&gt;"",売分析!AD92,"")</f>
        <v>パーフェクト▲</v>
      </c>
      <c r="X92" s="215" t="e">
        <f>IF(売分析!AE92&lt;&gt;"",売分析!AE92,"")</f>
        <v>#VALUE!</v>
      </c>
      <c r="Y92" s="391">
        <f>IF(売分析!T92&lt;&gt;"",売分析!T92,"")</f>
        <v>0</v>
      </c>
      <c r="Z92" s="215" t="e">
        <f>IF(売分析!Y92&lt;&gt;"",売分析!Y92,"")</f>
        <v>#VALUE!</v>
      </c>
    </row>
    <row r="93" spans="1:26">
      <c r="A93" s="328">
        <f>IF(売分析!C93&lt;&gt;"",ROW()-2,"")</f>
        <v>91</v>
      </c>
      <c r="B93" s="327" t="str">
        <f>IF(売分析!C93&lt;&gt;"",HYPERLINK("https://kabutan.jp/stock/?code="&amp;売分析!C93,"株探"),"")</f>
        <v>株探</v>
      </c>
      <c r="C93" s="343">
        <f>IF(売分析!C93&lt;&gt;"",売分析!C93,"")</f>
        <v>5938</v>
      </c>
      <c r="D93" s="328" t="str">
        <f>IF(売分析!D93&lt;&gt;"",売分析!D93,"")</f>
        <v/>
      </c>
      <c r="E93" s="329" t="str">
        <f>IF(売分析!E93&lt;&gt;"",売分析!E93,"")</f>
        <v/>
      </c>
      <c r="F93" s="329" t="str">
        <f>IF(売分析!F93&lt;&gt;"",売分析!F93,"")</f>
        <v/>
      </c>
      <c r="G93" s="329" t="str">
        <f>IF(売分析!H93&lt;&gt;"",売分析!H93,"")</f>
        <v/>
      </c>
      <c r="H93" s="329" t="str">
        <f>IF(売分析!I93&lt;&gt;"",売分析!I93,"")</f>
        <v/>
      </c>
      <c r="I93" s="328" t="str">
        <f>IF(売分析!J93&lt;&gt;"",売分析!J93,"")</f>
        <v/>
      </c>
      <c r="J93" s="329">
        <f>IF(売分析!AB93&lt;&gt;"",売分析!AB93,"")</f>
        <v>1873.7027649769586</v>
      </c>
      <c r="K93" s="329">
        <f>IF(売分析!AC93&lt;&gt;"",売分析!AC93,"")</f>
        <v>1823.476758045291</v>
      </c>
      <c r="L93" s="329" t="str">
        <f>IF(売分析!K93&lt;&gt;"",売分析!K93,"")</f>
        <v/>
      </c>
      <c r="M93" s="328" t="str">
        <f>IF(売分析!P93&lt;&gt;"",売分析!P93,"")</f>
        <v/>
      </c>
      <c r="N93" s="331" t="str">
        <f>IF(売分析!O93&lt;&gt;"",売分析!O93,"")</f>
        <v/>
      </c>
      <c r="O93" s="333">
        <f>IF(売分析!X93&lt;&gt;"",売分析!X93,"")</f>
        <v>21.411396120826112</v>
      </c>
      <c r="P93" s="330" t="str">
        <f>IF(売分析!L93&lt;&gt;"",売分析!L93,"")</f>
        <v/>
      </c>
      <c r="Q93" s="329" t="str">
        <f>IF(売分析!S93&lt;&gt;"",売分析!S93,"")</f>
        <v/>
      </c>
      <c r="R93" s="329" t="str">
        <f>IF(売分析!R93&lt;&gt;"",売分析!R93,"")</f>
        <v/>
      </c>
      <c r="S93" s="328" t="str">
        <f>IF(売分析!AA93&lt;&gt;"",売分析!AA93,"")</f>
        <v/>
      </c>
      <c r="T93" s="334" t="str">
        <f>IF(売分析!Z93&lt;&gt;"",売分析!Z93,"")</f>
        <v/>
      </c>
      <c r="U93" s="328" t="str">
        <f>IF(売分析!V93&lt;&gt;"",売分析!V93,"")</f>
        <v/>
      </c>
      <c r="V93" s="332">
        <f>IF(売分析!W93&lt;&gt;"",売分析!W93,"")</f>
        <v>79.069767441860463</v>
      </c>
      <c r="W93" s="328" t="str">
        <f>IF(売分析!AD93&lt;&gt;"",売分析!AD93,"")</f>
        <v>パーフェクト▲</v>
      </c>
      <c r="X93" s="328" t="e">
        <f>IF(売分析!AE93&lt;&gt;"",売分析!AE93,"")</f>
        <v>#VALUE!</v>
      </c>
      <c r="Y93" s="390">
        <f>IF(売分析!T93&lt;&gt;"",売分析!T93,"")</f>
        <v>0</v>
      </c>
      <c r="Z93" s="328" t="e">
        <f>IF(売分析!Y93&lt;&gt;"",売分析!Y93,"")</f>
        <v>#VALUE!</v>
      </c>
    </row>
    <row r="94" spans="1:26">
      <c r="A94" s="215">
        <f>IF(売分析!C94&lt;&gt;"",ROW()-2,"")</f>
        <v>92</v>
      </c>
      <c r="B94" s="335" t="str">
        <f>IF(売分析!C94&lt;&gt;"",HYPERLINK("https://kabutan.jp/stock/?code="&amp;売分析!C94,"株探"),"")</f>
        <v>株探</v>
      </c>
      <c r="C94" s="344">
        <f>IF(売分析!C94&lt;&gt;"",売分析!C94,"")</f>
        <v>8570</v>
      </c>
      <c r="D94" s="215" t="str">
        <f>IF(売分析!D94&lt;&gt;"",売分析!D94,"")</f>
        <v/>
      </c>
      <c r="E94" s="336" t="str">
        <f>IF(売分析!E94&lt;&gt;"",売分析!E94,"")</f>
        <v/>
      </c>
      <c r="F94" s="336" t="str">
        <f>IF(売分析!F94&lt;&gt;"",売分析!F94,"")</f>
        <v/>
      </c>
      <c r="G94" s="336" t="str">
        <f>IF(売分析!H94&lt;&gt;"",売分析!H94,"")</f>
        <v/>
      </c>
      <c r="H94" s="336" t="str">
        <f>IF(売分析!I94&lt;&gt;"",売分析!I94,"")</f>
        <v/>
      </c>
      <c r="I94" s="215" t="str">
        <f>IF(売分析!J94&lt;&gt;"",売分析!J94,"")</f>
        <v/>
      </c>
      <c r="J94" s="336">
        <f>IF(売分析!AB94&lt;&gt;"",売分析!AB94,"")</f>
        <v>1536.9648617511521</v>
      </c>
      <c r="K94" s="336">
        <f>IF(売分析!AC94&lt;&gt;"",売分析!AC94,"")</f>
        <v>1508.6382598331338</v>
      </c>
      <c r="L94" s="336" t="str">
        <f>IF(売分析!K94&lt;&gt;"",売分析!K94,"")</f>
        <v/>
      </c>
      <c r="M94" s="215" t="str">
        <f>IF(売分析!P94&lt;&gt;"",売分析!P94,"")</f>
        <v/>
      </c>
      <c r="N94" s="338" t="str">
        <f>IF(売分析!O94&lt;&gt;"",売分析!O94,"")</f>
        <v/>
      </c>
      <c r="O94" s="340">
        <f>IF(売分析!X94&lt;&gt;"",売分析!X94,"")</f>
        <v>10.174115085635776</v>
      </c>
      <c r="P94" s="337" t="str">
        <f>IF(売分析!L94&lt;&gt;"",売分析!L94,"")</f>
        <v/>
      </c>
      <c r="Q94" s="336" t="str">
        <f>IF(売分析!S94&lt;&gt;"",売分析!S94,"")</f>
        <v/>
      </c>
      <c r="R94" s="336" t="str">
        <f>IF(売分析!R94&lt;&gt;"",売分析!R94,"")</f>
        <v/>
      </c>
      <c r="S94" s="215" t="str">
        <f>IF(売分析!AA94&lt;&gt;"",売分析!AA94,"")</f>
        <v/>
      </c>
      <c r="T94" s="341" t="str">
        <f>IF(売分析!Z94&lt;&gt;"",売分析!Z94,"")</f>
        <v/>
      </c>
      <c r="U94" s="215" t="str">
        <f>IF(売分析!V94&lt;&gt;"",売分析!V94,"")</f>
        <v/>
      </c>
      <c r="V94" s="339">
        <f>IF(売分析!W94&lt;&gt;"",売分析!W94,"")</f>
        <v>77.5</v>
      </c>
      <c r="W94" s="215" t="str">
        <f>IF(売分析!AD94&lt;&gt;"",売分析!AD94,"")</f>
        <v>パーフェクト▲</v>
      </c>
      <c r="X94" s="215" t="e">
        <f>IF(売分析!AE94&lt;&gt;"",売分析!AE94,"")</f>
        <v>#VALUE!</v>
      </c>
      <c r="Y94" s="391">
        <f>IF(売分析!T94&lt;&gt;"",売分析!T94,"")</f>
        <v>0</v>
      </c>
      <c r="Z94" s="215" t="e">
        <f>IF(売分析!Y94&lt;&gt;"",売分析!Y94,"")</f>
        <v>#VALUE!</v>
      </c>
    </row>
    <row r="95" spans="1:26">
      <c r="A95" s="328">
        <f>IF(売分析!C95&lt;&gt;"",ROW()-2,"")</f>
        <v>93</v>
      </c>
      <c r="B95" s="327" t="str">
        <f>IF(売分析!C95&lt;&gt;"",HYPERLINK("https://kabutan.jp/stock/?code="&amp;売分析!C95,"株探"),"")</f>
        <v>株探</v>
      </c>
      <c r="C95" s="343">
        <f>IF(売分析!C95&lt;&gt;"",売分析!C95,"")</f>
        <v>5406</v>
      </c>
      <c r="D95" s="328" t="str">
        <f>IF(売分析!D95&lt;&gt;"",売分析!D95,"")</f>
        <v/>
      </c>
      <c r="E95" s="329" t="str">
        <f>IF(売分析!E95&lt;&gt;"",売分析!E95,"")</f>
        <v/>
      </c>
      <c r="F95" s="329" t="str">
        <f>IF(売分析!F95&lt;&gt;"",売分析!F95,"")</f>
        <v/>
      </c>
      <c r="G95" s="329" t="str">
        <f>IF(売分析!H95&lt;&gt;"",売分析!H95,"")</f>
        <v/>
      </c>
      <c r="H95" s="329" t="str">
        <f>IF(売分析!I95&lt;&gt;"",売分析!I95,"")</f>
        <v/>
      </c>
      <c r="I95" s="328" t="str">
        <f>IF(売分析!J95&lt;&gt;"",売分析!J95,"")</f>
        <v/>
      </c>
      <c r="J95" s="329">
        <f>IF(売分析!AB95&lt;&gt;"",売分析!AB95,"")</f>
        <v>1916.2482718894007</v>
      </c>
      <c r="K95" s="329">
        <f>IF(売分析!AC95&lt;&gt;"",売分析!AC95,"")</f>
        <v>1898.429082240762</v>
      </c>
      <c r="L95" s="329" t="str">
        <f>IF(売分析!K95&lt;&gt;"",売分析!K95,"")</f>
        <v/>
      </c>
      <c r="M95" s="328" t="str">
        <f>IF(売分析!P95&lt;&gt;"",売分析!P95,"")</f>
        <v/>
      </c>
      <c r="N95" s="331" t="str">
        <f>IF(売分析!O95&lt;&gt;"",売分析!O95,"")</f>
        <v/>
      </c>
      <c r="O95" s="333">
        <f>IF(売分析!X95&lt;&gt;"",売分析!X95,"")</f>
        <v>-0.46389891696708219</v>
      </c>
      <c r="P95" s="330" t="str">
        <f>IF(売分析!L95&lt;&gt;"",売分析!L95,"")</f>
        <v/>
      </c>
      <c r="Q95" s="329" t="str">
        <f>IF(売分析!S95&lt;&gt;"",売分析!S95,"")</f>
        <v/>
      </c>
      <c r="R95" s="329" t="str">
        <f>IF(売分析!R95&lt;&gt;"",売分析!R95,"")</f>
        <v/>
      </c>
      <c r="S95" s="328" t="str">
        <f>IF(売分析!AA95&lt;&gt;"",売分析!AA95,"")</f>
        <v/>
      </c>
      <c r="T95" s="334" t="str">
        <f>IF(売分析!Z95&lt;&gt;"",売分析!Z95,"")</f>
        <v/>
      </c>
      <c r="U95" s="328" t="str">
        <f>IF(売分析!V95&lt;&gt;"",売分析!V95,"")</f>
        <v/>
      </c>
      <c r="V95" s="332">
        <f>IF(売分析!W95&lt;&gt;"",売分析!W95,"")</f>
        <v>61.041292639138241</v>
      </c>
      <c r="W95" s="328" t="str">
        <f>IF(売分析!AD95&lt;&gt;"",売分析!AD95,"")</f>
        <v>パーフェクト▲</v>
      </c>
      <c r="X95" s="328" t="e">
        <f>IF(売分析!AE95&lt;&gt;"",売分析!AE95,"")</f>
        <v>#VALUE!</v>
      </c>
      <c r="Y95" s="390">
        <f>IF(売分析!T95&lt;&gt;"",売分析!T95,"")</f>
        <v>0</v>
      </c>
      <c r="Z95" s="328" t="e">
        <f>IF(売分析!Y95&lt;&gt;"",売分析!Y95,"")</f>
        <v>#VALUE!</v>
      </c>
    </row>
    <row r="96" spans="1:26">
      <c r="A96" s="215">
        <f>IF(売分析!C96&lt;&gt;"",ROW()-2,"")</f>
        <v>94</v>
      </c>
      <c r="B96" s="335" t="str">
        <f>IF(売分析!C96&lt;&gt;"",HYPERLINK("https://kabutan.jp/stock/?code="&amp;売分析!C96,"株探"),"")</f>
        <v>株探</v>
      </c>
      <c r="C96" s="344">
        <f>IF(売分析!C96&lt;&gt;"",売分析!C96,"")</f>
        <v>5947</v>
      </c>
      <c r="D96" s="215" t="str">
        <f>IF(売分析!D96&lt;&gt;"",売分析!D96,"")</f>
        <v/>
      </c>
      <c r="E96" s="336" t="str">
        <f>IF(売分析!E96&lt;&gt;"",売分析!E96,"")</f>
        <v/>
      </c>
      <c r="F96" s="336" t="str">
        <f>IF(売分析!F96&lt;&gt;"",売分析!F96,"")</f>
        <v/>
      </c>
      <c r="G96" s="336" t="str">
        <f>IF(売分析!H96&lt;&gt;"",売分析!H96,"")</f>
        <v/>
      </c>
      <c r="H96" s="336" t="str">
        <f>IF(売分析!I96&lt;&gt;"",売分析!I96,"")</f>
        <v/>
      </c>
      <c r="I96" s="215" t="str">
        <f>IF(売分析!J96&lt;&gt;"",売分析!J96,"")</f>
        <v/>
      </c>
      <c r="J96" s="336">
        <f>IF(売分析!AB96&lt;&gt;"",売分析!AB96,"")</f>
        <v>3604.0679723502303</v>
      </c>
      <c r="K96" s="336">
        <f>IF(売分析!AC96&lt;&gt;"",売分析!AC96,"")</f>
        <v>3571.1632896305109</v>
      </c>
      <c r="L96" s="336" t="str">
        <f>IF(売分析!K96&lt;&gt;"",売分析!K96,"")</f>
        <v/>
      </c>
      <c r="M96" s="215" t="str">
        <f>IF(売分析!P96&lt;&gt;"",売分析!P96,"")</f>
        <v/>
      </c>
      <c r="N96" s="338" t="str">
        <f>IF(売分析!O96&lt;&gt;"",売分析!O96,"")</f>
        <v/>
      </c>
      <c r="O96" s="340">
        <f>IF(売分析!X96&lt;&gt;"",売分析!X96,"")</f>
        <v>12.498845720609552</v>
      </c>
      <c r="P96" s="337" t="str">
        <f>IF(売分析!L96&lt;&gt;"",売分析!L96,"")</f>
        <v/>
      </c>
      <c r="Q96" s="336" t="str">
        <f>IF(売分析!S96&lt;&gt;"",売分析!S96,"")</f>
        <v/>
      </c>
      <c r="R96" s="336" t="str">
        <f>IF(売分析!R96&lt;&gt;"",売分析!R96,"")</f>
        <v/>
      </c>
      <c r="S96" s="215" t="str">
        <f>IF(売分析!AA96&lt;&gt;"",売分析!AA96,"")</f>
        <v/>
      </c>
      <c r="T96" s="341" t="str">
        <f>IF(売分析!Z96&lt;&gt;"",売分析!Z96,"")</f>
        <v/>
      </c>
      <c r="U96" s="215" t="str">
        <f>IF(売分析!V96&lt;&gt;"",売分析!V96,"")</f>
        <v/>
      </c>
      <c r="V96" s="339">
        <f>IF(売分析!W96&lt;&gt;"",売分析!W96,"")</f>
        <v>58.193979933110363</v>
      </c>
      <c r="W96" s="215" t="str">
        <f>IF(売分析!AD96&lt;&gt;"",売分析!AD96,"")</f>
        <v>パーフェクト▲</v>
      </c>
      <c r="X96" s="215" t="e">
        <f>IF(売分析!AE96&lt;&gt;"",売分析!AE96,"")</f>
        <v>#VALUE!</v>
      </c>
      <c r="Y96" s="391">
        <f>IF(売分析!T96&lt;&gt;"",売分析!T96,"")</f>
        <v>0</v>
      </c>
      <c r="Z96" s="215" t="e">
        <f>IF(売分析!Y96&lt;&gt;"",売分析!Y96,"")</f>
        <v>#VALUE!</v>
      </c>
    </row>
    <row r="97" spans="1:26">
      <c r="A97" s="328">
        <f>IF(売分析!C97&lt;&gt;"",ROW()-2,"")</f>
        <v>95</v>
      </c>
      <c r="B97" s="327" t="str">
        <f>IF(売分析!C97&lt;&gt;"",HYPERLINK("https://kabutan.jp/stock/?code="&amp;売分析!C97,"株探"),"")</f>
        <v>株探</v>
      </c>
      <c r="C97" s="343">
        <f>IF(売分析!C97&lt;&gt;"",売分析!C97,"")</f>
        <v>5449</v>
      </c>
      <c r="D97" s="328" t="str">
        <f>IF(売分析!D97&lt;&gt;"",売分析!D97,"")</f>
        <v/>
      </c>
      <c r="E97" s="329" t="str">
        <f>IF(売分析!E97&lt;&gt;"",売分析!E97,"")</f>
        <v/>
      </c>
      <c r="F97" s="329" t="str">
        <f>IF(売分析!F97&lt;&gt;"",売分析!F97,"")</f>
        <v/>
      </c>
      <c r="G97" s="329" t="str">
        <f>IF(売分析!H97&lt;&gt;"",売分析!H97,"")</f>
        <v/>
      </c>
      <c r="H97" s="329" t="str">
        <f>IF(売分析!I97&lt;&gt;"",売分析!I97,"")</f>
        <v/>
      </c>
      <c r="I97" s="328" t="str">
        <f>IF(売分析!J97&lt;&gt;"",売分析!J97,"")</f>
        <v/>
      </c>
      <c r="J97" s="329">
        <f>IF(売分析!AB97&lt;&gt;"",売分析!AB97,"")</f>
        <v>2527.6647465437786</v>
      </c>
      <c r="K97" s="329">
        <f>IF(売分析!AC97&lt;&gt;"",売分析!AC97,"")</f>
        <v>2427.0429082240753</v>
      </c>
      <c r="L97" s="329" t="str">
        <f>IF(売分析!K97&lt;&gt;"",売分析!K97,"")</f>
        <v/>
      </c>
      <c r="M97" s="328" t="str">
        <f>IF(売分析!P97&lt;&gt;"",売分析!P97,"")</f>
        <v/>
      </c>
      <c r="N97" s="331" t="str">
        <f>IF(売分析!O97&lt;&gt;"",売分析!O97,"")</f>
        <v/>
      </c>
      <c r="O97" s="333">
        <f>IF(売分析!X97&lt;&gt;"",売分析!X97,"")</f>
        <v>27.706056782586984</v>
      </c>
      <c r="P97" s="330" t="str">
        <f>IF(売分析!L97&lt;&gt;"",売分析!L97,"")</f>
        <v/>
      </c>
      <c r="Q97" s="329" t="str">
        <f>IF(売分析!S97&lt;&gt;"",売分析!S97,"")</f>
        <v/>
      </c>
      <c r="R97" s="329" t="str">
        <f>IF(売分析!R97&lt;&gt;"",売分析!R97,"")</f>
        <v/>
      </c>
      <c r="S97" s="328" t="str">
        <f>IF(売分析!AA97&lt;&gt;"",売分析!AA97,"")</f>
        <v/>
      </c>
      <c r="T97" s="334" t="str">
        <f>IF(売分析!Z97&lt;&gt;"",売分析!Z97,"")</f>
        <v/>
      </c>
      <c r="U97" s="328" t="str">
        <f>IF(売分析!V97&lt;&gt;"",売分析!V97,"")</f>
        <v/>
      </c>
      <c r="V97" s="332">
        <f>IF(売分析!W97&lt;&gt;"",売分析!W97,"")</f>
        <v>68.306801736613608</v>
      </c>
      <c r="W97" s="328" t="str">
        <f>IF(売分析!AD97&lt;&gt;"",売分析!AD97,"")</f>
        <v>パーフェクト▲</v>
      </c>
      <c r="X97" s="328" t="e">
        <f>IF(売分析!AE97&lt;&gt;"",売分析!AE97,"")</f>
        <v>#VALUE!</v>
      </c>
      <c r="Y97" s="390">
        <f>IF(売分析!T97&lt;&gt;"",売分析!T97,"")</f>
        <v>0</v>
      </c>
      <c r="Z97" s="328" t="e">
        <f>IF(売分析!Y97&lt;&gt;"",売分析!Y97,"")</f>
        <v>#VALUE!</v>
      </c>
    </row>
    <row r="98" spans="1:26">
      <c r="A98" s="215">
        <f>IF(売分析!C98&lt;&gt;"",ROW()-2,"")</f>
        <v>96</v>
      </c>
      <c r="B98" s="335" t="str">
        <f>IF(売分析!C98&lt;&gt;"",HYPERLINK("https://kabutan.jp/stock/?code="&amp;売分析!C98,"株探"),"")</f>
        <v>株探</v>
      </c>
      <c r="C98" s="344">
        <f>IF(売分析!C98&lt;&gt;"",売分析!C98,"")</f>
        <v>6027</v>
      </c>
      <c r="D98" s="215" t="str">
        <f>IF(売分析!D98&lt;&gt;"",売分析!D98,"")</f>
        <v/>
      </c>
      <c r="E98" s="336" t="str">
        <f>IF(売分析!E98&lt;&gt;"",売分析!E98,"")</f>
        <v/>
      </c>
      <c r="F98" s="336" t="str">
        <f>IF(売分析!F98&lt;&gt;"",売分析!F98,"")</f>
        <v/>
      </c>
      <c r="G98" s="336" t="str">
        <f>IF(売分析!H98&lt;&gt;"",売分析!H98,"")</f>
        <v/>
      </c>
      <c r="H98" s="336" t="str">
        <f>IF(売分析!I98&lt;&gt;"",売分析!I98,"")</f>
        <v/>
      </c>
      <c r="I98" s="215" t="str">
        <f>IF(売分析!J98&lt;&gt;"",売分析!J98,"")</f>
        <v/>
      </c>
      <c r="J98" s="336">
        <f>IF(売分析!AB98&lt;&gt;"",売分析!AB98,"")</f>
        <v>2388.7995391705067</v>
      </c>
      <c r="K98" s="336">
        <f>IF(売分析!AC98&lt;&gt;"",売分析!AC98,"")</f>
        <v>2315.4052443384976</v>
      </c>
      <c r="L98" s="336" t="str">
        <f>IF(売分析!K98&lt;&gt;"",売分析!K98,"")</f>
        <v/>
      </c>
      <c r="M98" s="215" t="str">
        <f>IF(売分析!P98&lt;&gt;"",売分析!P98,"")</f>
        <v/>
      </c>
      <c r="N98" s="338" t="str">
        <f>IF(売分析!O98&lt;&gt;"",売分析!O98,"")</f>
        <v/>
      </c>
      <c r="O98" s="340">
        <f>IF(売分析!X98&lt;&gt;"",売分析!X98,"")</f>
        <v>40.969636481598172</v>
      </c>
      <c r="P98" s="337" t="str">
        <f>IF(売分析!L98&lt;&gt;"",売分析!L98,"")</f>
        <v/>
      </c>
      <c r="Q98" s="336" t="str">
        <f>IF(売分析!S98&lt;&gt;"",売分析!S98,"")</f>
        <v/>
      </c>
      <c r="R98" s="336" t="str">
        <f>IF(売分析!R98&lt;&gt;"",売分析!R98,"")</f>
        <v/>
      </c>
      <c r="S98" s="215" t="str">
        <f>IF(売分析!AA98&lt;&gt;"",売分析!AA98,"")</f>
        <v/>
      </c>
      <c r="T98" s="341" t="str">
        <f>IF(売分析!Z98&lt;&gt;"",売分析!Z98,"")</f>
        <v/>
      </c>
      <c r="U98" s="215" t="str">
        <f>IF(売分析!V98&lt;&gt;"",売分析!V98,"")</f>
        <v/>
      </c>
      <c r="V98" s="339">
        <f>IF(売分析!W98&lt;&gt;"",売分析!W98,"")</f>
        <v>75.065616797900262</v>
      </c>
      <c r="W98" s="215" t="str">
        <f>IF(売分析!AD98&lt;&gt;"",売分析!AD98,"")</f>
        <v>パーフェクト▲</v>
      </c>
      <c r="X98" s="215" t="e">
        <f>IF(売分析!AE98&lt;&gt;"",売分析!AE98,"")</f>
        <v>#VALUE!</v>
      </c>
      <c r="Y98" s="391">
        <f>IF(売分析!T98&lt;&gt;"",売分析!T98,"")</f>
        <v>0</v>
      </c>
      <c r="Z98" s="215" t="e">
        <f>IF(売分析!Y98&lt;&gt;"",売分析!Y98,"")</f>
        <v>#VALUE!</v>
      </c>
    </row>
    <row r="99" spans="1:26">
      <c r="A99" s="328">
        <f>IF(売分析!C99&lt;&gt;"",ROW()-2,"")</f>
        <v>97</v>
      </c>
      <c r="B99" s="327" t="str">
        <f>IF(売分析!C99&lt;&gt;"",HYPERLINK("https://kabutan.jp/stock/?code="&amp;売分析!C99,"株探"),"")</f>
        <v>株探</v>
      </c>
      <c r="C99" s="343">
        <f>IF(売分析!C99&lt;&gt;"",売分析!C99,"")</f>
        <v>9202</v>
      </c>
      <c r="D99" s="328" t="str">
        <f>IF(売分析!D99&lt;&gt;"",売分析!D99,"")</f>
        <v/>
      </c>
      <c r="E99" s="329" t="str">
        <f>IF(売分析!E99&lt;&gt;"",売分析!E99,"")</f>
        <v/>
      </c>
      <c r="F99" s="329" t="str">
        <f>IF(売分析!F99&lt;&gt;"",売分析!F99,"")</f>
        <v/>
      </c>
      <c r="G99" s="329" t="str">
        <f>IF(売分析!H99&lt;&gt;"",売分析!H99,"")</f>
        <v/>
      </c>
      <c r="H99" s="329" t="str">
        <f>IF(売分析!I99&lt;&gt;"",売分析!I99,"")</f>
        <v/>
      </c>
      <c r="I99" s="328" t="str">
        <f>IF(売分析!J99&lt;&gt;"",売分析!J99,"")</f>
        <v/>
      </c>
      <c r="J99" s="329">
        <f>IF(売分析!AB99&lt;&gt;"",売分析!AB99,"")</f>
        <v>3021.6405529953913</v>
      </c>
      <c r="K99" s="329">
        <f>IF(売分析!AC99&lt;&gt;"",売分析!AC99,"")</f>
        <v>3020.8349225268162</v>
      </c>
      <c r="L99" s="329" t="str">
        <f>IF(売分析!K99&lt;&gt;"",売分析!K99,"")</f>
        <v/>
      </c>
      <c r="M99" s="328" t="str">
        <f>IF(売分析!P99&lt;&gt;"",売分析!P99,"")</f>
        <v/>
      </c>
      <c r="N99" s="331" t="str">
        <f>IF(売分析!O99&lt;&gt;"",売分析!O99,"")</f>
        <v/>
      </c>
      <c r="O99" s="333">
        <f>IF(売分析!X99&lt;&gt;"",売分析!X99,"")</f>
        <v>13.739124897010697</v>
      </c>
      <c r="P99" s="330" t="str">
        <f>IF(売分析!L99&lt;&gt;"",売分析!L99,"")</f>
        <v/>
      </c>
      <c r="Q99" s="329" t="str">
        <f>IF(売分析!S99&lt;&gt;"",売分析!S99,"")</f>
        <v/>
      </c>
      <c r="R99" s="329" t="str">
        <f>IF(売分析!R99&lt;&gt;"",売分析!R99,"")</f>
        <v/>
      </c>
      <c r="S99" s="328" t="str">
        <f>IF(売分析!AA99&lt;&gt;"",売分析!AA99,"")</f>
        <v/>
      </c>
      <c r="T99" s="334" t="str">
        <f>IF(売分析!Z99&lt;&gt;"",売分析!Z99,"")</f>
        <v/>
      </c>
      <c r="U99" s="328" t="str">
        <f>IF(売分析!V99&lt;&gt;"",売分析!V99,"")</f>
        <v/>
      </c>
      <c r="V99" s="332">
        <f>IF(売分析!W99&lt;&gt;"",売分析!W99,"")</f>
        <v>51.18343195266273</v>
      </c>
      <c r="W99" s="328" t="str">
        <f>IF(売分析!AD99&lt;&gt;"",売分析!AD99,"")</f>
        <v>パーフェクト▲</v>
      </c>
      <c r="X99" s="328" t="e">
        <f>IF(売分析!AE99&lt;&gt;"",売分析!AE99,"")</f>
        <v>#VALUE!</v>
      </c>
      <c r="Y99" s="390">
        <f>IF(売分析!T99&lt;&gt;"",売分析!T99,"")</f>
        <v>0</v>
      </c>
      <c r="Z99" s="328" t="e">
        <f>IF(売分析!Y99&lt;&gt;"",売分析!Y99,"")</f>
        <v>#VALUE!</v>
      </c>
    </row>
    <row r="100" spans="1:26">
      <c r="A100" s="215">
        <f>IF(売分析!C100&lt;&gt;"",ROW()-2,"")</f>
        <v>98</v>
      </c>
      <c r="B100" s="335" t="str">
        <f>IF(売分析!C100&lt;&gt;"",HYPERLINK("https://kabutan.jp/stock/?code="&amp;売分析!C100,"株探"),"")</f>
        <v>株探</v>
      </c>
      <c r="C100" s="344">
        <f>IF(売分析!C100&lt;&gt;"",売分析!C100,"")</f>
        <v>6841</v>
      </c>
      <c r="D100" s="215" t="str">
        <f>IF(売分析!D100&lt;&gt;"",売分析!D100,"")</f>
        <v/>
      </c>
      <c r="E100" s="336" t="str">
        <f>IF(売分析!E100&lt;&gt;"",売分析!E100,"")</f>
        <v/>
      </c>
      <c r="F100" s="336" t="str">
        <f>IF(売分析!F100&lt;&gt;"",売分析!F100,"")</f>
        <v/>
      </c>
      <c r="G100" s="336" t="str">
        <f>IF(売分析!H100&lt;&gt;"",売分析!H100,"")</f>
        <v/>
      </c>
      <c r="H100" s="336" t="str">
        <f>IF(売分析!I100&lt;&gt;"",売分析!I100,"")</f>
        <v/>
      </c>
      <c r="I100" s="215" t="str">
        <f>IF(売分析!J100&lt;&gt;"",売分析!J100,"")</f>
        <v/>
      </c>
      <c r="J100" s="336">
        <f>IF(売分析!AB100&lt;&gt;"",売分析!AB100,"")</f>
        <v>5521.452764976958</v>
      </c>
      <c r="K100" s="336">
        <f>IF(売分析!AC100&lt;&gt;"",売分析!AC100,"")</f>
        <v>5523.0512514898683</v>
      </c>
      <c r="L100" s="336" t="str">
        <f>IF(売分析!K100&lt;&gt;"",売分析!K100,"")</f>
        <v/>
      </c>
      <c r="M100" s="215" t="str">
        <f>IF(売分析!P100&lt;&gt;"",売分析!P100,"")</f>
        <v/>
      </c>
      <c r="N100" s="338" t="str">
        <f>IF(売分析!O100&lt;&gt;"",売分析!O100,"")</f>
        <v/>
      </c>
      <c r="O100" s="340">
        <f>IF(売分析!X100&lt;&gt;"",売分析!X100,"")</f>
        <v>18.530459044975032</v>
      </c>
      <c r="P100" s="337" t="str">
        <f>IF(売分析!L100&lt;&gt;"",売分析!L100,"")</f>
        <v/>
      </c>
      <c r="Q100" s="336" t="str">
        <f>IF(売分析!S100&lt;&gt;"",売分析!S100,"")</f>
        <v/>
      </c>
      <c r="R100" s="336" t="str">
        <f>IF(売分析!R100&lt;&gt;"",売分析!R100,"")</f>
        <v/>
      </c>
      <c r="S100" s="215" t="str">
        <f>IF(売分析!AA100&lt;&gt;"",売分析!AA100,"")</f>
        <v/>
      </c>
      <c r="T100" s="341" t="str">
        <f>IF(売分析!Z100&lt;&gt;"",売分析!Z100,"")</f>
        <v/>
      </c>
      <c r="U100" s="215" t="str">
        <f>IF(売分析!V100&lt;&gt;"",売分析!V100,"")</f>
        <v/>
      </c>
      <c r="V100" s="339">
        <f>IF(売分析!W100&lt;&gt;"",売分析!W100,"")</f>
        <v>50.790067720090292</v>
      </c>
      <c r="W100" s="215" t="str">
        <f>IF(売分析!AD100&lt;&gt;"",売分析!AD100,"")</f>
        <v>上昇トレンド▲</v>
      </c>
      <c r="X100" s="215" t="e">
        <f>IF(売分析!AE100&lt;&gt;"",売分析!AE100,"")</f>
        <v>#VALUE!</v>
      </c>
      <c r="Y100" s="391">
        <f>IF(売分析!T100&lt;&gt;"",売分析!T100,"")</f>
        <v>0</v>
      </c>
      <c r="Z100" s="215" t="e">
        <f>IF(売分析!Y100&lt;&gt;"",売分析!Y100,"")</f>
        <v>#VALUE!</v>
      </c>
    </row>
    <row r="101" spans="1:26">
      <c r="A101" s="328">
        <f>IF(売分析!C101&lt;&gt;"",ROW()-2,"")</f>
        <v>99</v>
      </c>
      <c r="B101" s="327" t="str">
        <f>IF(売分析!C101&lt;&gt;"",HYPERLINK("https://kabutan.jp/stock/?code="&amp;売分析!C101,"株探"),"")</f>
        <v>株探</v>
      </c>
      <c r="C101" s="343">
        <f>IF(売分析!C101&lt;&gt;"",売分析!C101,"")</f>
        <v>7167</v>
      </c>
      <c r="D101" s="328" t="str">
        <f>IF(売分析!D101&lt;&gt;"",売分析!D101,"")</f>
        <v/>
      </c>
      <c r="E101" s="329" t="str">
        <f>IF(売分析!E101&lt;&gt;"",売分析!E101,"")</f>
        <v/>
      </c>
      <c r="F101" s="329" t="str">
        <f>IF(売分析!F101&lt;&gt;"",売分析!F101,"")</f>
        <v/>
      </c>
      <c r="G101" s="329" t="str">
        <f>IF(売分析!H101&lt;&gt;"",売分析!H101,"")</f>
        <v/>
      </c>
      <c r="H101" s="329" t="str">
        <f>IF(売分析!I101&lt;&gt;"",売分析!I101,"")</f>
        <v/>
      </c>
      <c r="I101" s="328" t="str">
        <f>IF(売分析!J101&lt;&gt;"",売分析!J101,"")</f>
        <v/>
      </c>
      <c r="J101" s="329">
        <f>IF(売分析!AB101&lt;&gt;"",売分析!AB101,"")</f>
        <v>1490.5685483870966</v>
      </c>
      <c r="K101" s="329">
        <f>IF(売分析!AC101&lt;&gt;"",売分析!AC101,"")</f>
        <v>1476.6531585220496</v>
      </c>
      <c r="L101" s="329" t="str">
        <f>IF(売分析!K101&lt;&gt;"",売分析!K101,"")</f>
        <v/>
      </c>
      <c r="M101" s="328" t="str">
        <f>IF(売分析!P101&lt;&gt;"",売分析!P101,"")</f>
        <v/>
      </c>
      <c r="N101" s="331" t="str">
        <f>IF(売分析!O101&lt;&gt;"",売分析!O101,"")</f>
        <v/>
      </c>
      <c r="O101" s="333">
        <f>IF(売分析!X101&lt;&gt;"",売分析!X101,"")</f>
        <v>17.212446117044237</v>
      </c>
      <c r="P101" s="330" t="str">
        <f>IF(売分析!L101&lt;&gt;"",売分析!L101,"")</f>
        <v/>
      </c>
      <c r="Q101" s="329" t="str">
        <f>IF(売分析!S101&lt;&gt;"",売分析!S101,"")</f>
        <v/>
      </c>
      <c r="R101" s="329" t="str">
        <f>IF(売分析!R101&lt;&gt;"",売分析!R101,"")</f>
        <v/>
      </c>
      <c r="S101" s="328" t="str">
        <f>IF(売分析!AA101&lt;&gt;"",売分析!AA101,"")</f>
        <v/>
      </c>
      <c r="T101" s="334" t="str">
        <f>IF(売分析!Z101&lt;&gt;"",売分析!Z101,"")</f>
        <v/>
      </c>
      <c r="U101" s="328" t="str">
        <f>IF(売分析!V101&lt;&gt;"",売分析!V101,"")</f>
        <v/>
      </c>
      <c r="V101" s="332">
        <f>IF(売分析!W101&lt;&gt;"",売分析!W101,"")</f>
        <v>81.856540084388186</v>
      </c>
      <c r="W101" s="328" t="str">
        <f>IF(売分析!AD101&lt;&gt;"",売分析!AD101,"")</f>
        <v>パーフェクト▲</v>
      </c>
      <c r="X101" s="328" t="e">
        <f>IF(売分析!AE101&lt;&gt;"",売分析!AE101,"")</f>
        <v>#VALUE!</v>
      </c>
      <c r="Y101" s="390">
        <f>IF(売分析!T101&lt;&gt;"",売分析!T101,"")</f>
        <v>0</v>
      </c>
      <c r="Z101" s="328" t="e">
        <f>IF(売分析!Y101&lt;&gt;"",売分析!Y101,"")</f>
        <v>#VALUE!</v>
      </c>
    </row>
    <row r="102" spans="1:26">
      <c r="A102" s="215">
        <f>IF(売分析!C102&lt;&gt;"",ROW()-2,"")</f>
        <v>100</v>
      </c>
      <c r="B102" s="335" t="str">
        <f>IF(売分析!C102&lt;&gt;"",HYPERLINK("https://kabutan.jp/stock/?code="&amp;売分析!C102,"株探"),"")</f>
        <v>株探</v>
      </c>
      <c r="C102" s="344">
        <f>IF(売分析!C102&lt;&gt;"",売分析!C102,"")</f>
        <v>7182</v>
      </c>
      <c r="D102" s="215" t="str">
        <f>IF(売分析!D102&lt;&gt;"",売分析!D102,"")</f>
        <v/>
      </c>
      <c r="E102" s="336" t="str">
        <f>IF(売分析!E102&lt;&gt;"",売分析!E102,"")</f>
        <v/>
      </c>
      <c r="F102" s="336" t="str">
        <f>IF(売分析!F102&lt;&gt;"",売分析!F102,"")</f>
        <v/>
      </c>
      <c r="G102" s="336" t="str">
        <f>IF(売分析!H102&lt;&gt;"",売分析!H102,"")</f>
        <v/>
      </c>
      <c r="H102" s="336" t="str">
        <f>IF(売分析!I102&lt;&gt;"",売分析!I102,"")</f>
        <v/>
      </c>
      <c r="I102" s="215" t="str">
        <f>IF(売分析!J102&lt;&gt;"",売分析!J102,"")</f>
        <v/>
      </c>
      <c r="J102" s="336">
        <f>IF(売分析!AB102&lt;&gt;"",売分析!AB102,"")</f>
        <v>3249.3917050691243</v>
      </c>
      <c r="K102" s="336">
        <f>IF(売分析!AC102&lt;&gt;"",売分析!AC102,"")</f>
        <v>3220.9713945172812</v>
      </c>
      <c r="L102" s="336" t="str">
        <f>IF(売分析!K102&lt;&gt;"",売分析!K102,"")</f>
        <v/>
      </c>
      <c r="M102" s="215" t="str">
        <f>IF(売分析!P102&lt;&gt;"",売分析!P102,"")</f>
        <v/>
      </c>
      <c r="N102" s="338" t="str">
        <f>IF(売分析!O102&lt;&gt;"",売分析!O102,"")</f>
        <v/>
      </c>
      <c r="O102" s="340">
        <f>IF(売分析!X102&lt;&gt;"",売分析!X102,"")</f>
        <v>23.129134011837323</v>
      </c>
      <c r="P102" s="337" t="str">
        <f>IF(売分析!L102&lt;&gt;"",売分析!L102,"")</f>
        <v/>
      </c>
      <c r="Q102" s="336" t="str">
        <f>IF(売分析!S102&lt;&gt;"",売分析!S102,"")</f>
        <v/>
      </c>
      <c r="R102" s="336" t="str">
        <f>IF(売分析!R102&lt;&gt;"",売分析!R102,"")</f>
        <v/>
      </c>
      <c r="S102" s="215" t="str">
        <f>IF(売分析!AA102&lt;&gt;"",売分析!AA102,"")</f>
        <v/>
      </c>
      <c r="T102" s="341" t="str">
        <f>IF(売分析!Z102&lt;&gt;"",売分析!Z102,"")</f>
        <v/>
      </c>
      <c r="U102" s="215" t="str">
        <f>IF(売分析!V102&lt;&gt;"",売分析!V102,"")</f>
        <v/>
      </c>
      <c r="V102" s="339">
        <f>IF(売分析!W102&lt;&gt;"",売分析!W102,"")</f>
        <v>84.863523573200993</v>
      </c>
      <c r="W102" s="215" t="str">
        <f>IF(売分析!AD102&lt;&gt;"",売分析!AD102,"")</f>
        <v>パーフェクト▲</v>
      </c>
      <c r="X102" s="215" t="e">
        <f>IF(売分析!AE102&lt;&gt;"",売分析!AE102,"")</f>
        <v>#VALUE!</v>
      </c>
      <c r="Y102" s="391">
        <f>IF(売分析!T102&lt;&gt;"",売分析!T102,"")</f>
        <v>0</v>
      </c>
      <c r="Z102" s="215" t="e">
        <f>IF(売分析!Y102&lt;&gt;"",売分析!Y102,"")</f>
        <v>#VALUE!</v>
      </c>
    </row>
    <row r="103" spans="1:26">
      <c r="A103" s="328">
        <f>IF(売分析!C103&lt;&gt;"",ROW()-2,"")</f>
        <v>101</v>
      </c>
      <c r="B103" s="327" t="str">
        <f>IF(売分析!C103&lt;&gt;"",HYPERLINK("https://kabutan.jp/stock/?code="&amp;売分析!C103,"株探"),"")</f>
        <v>株探</v>
      </c>
      <c r="C103" s="343">
        <f>IF(売分析!C103&lt;&gt;"",売分析!C103,"")</f>
        <v>4661</v>
      </c>
      <c r="D103" s="328" t="str">
        <f>IF(売分析!D103&lt;&gt;"",売分析!D103,"")</f>
        <v/>
      </c>
      <c r="E103" s="329" t="str">
        <f>IF(売分析!E103&lt;&gt;"",売分析!E103,"")</f>
        <v/>
      </c>
      <c r="F103" s="329" t="str">
        <f>IF(売分析!F103&lt;&gt;"",売分析!F103,"")</f>
        <v/>
      </c>
      <c r="G103" s="329" t="str">
        <f>IF(売分析!H103&lt;&gt;"",売分析!H103,"")</f>
        <v/>
      </c>
      <c r="H103" s="329" t="str">
        <f>IF(売分析!I103&lt;&gt;"",売分析!I103,"")</f>
        <v/>
      </c>
      <c r="I103" s="328" t="str">
        <f>IF(売分析!J103&lt;&gt;"",売分析!J103,"")</f>
        <v/>
      </c>
      <c r="J103" s="329">
        <f>IF(売分析!AB103&lt;&gt;"",売分析!AB103,"")</f>
        <v>2686.875</v>
      </c>
      <c r="K103" s="329">
        <f>IF(売分析!AC103&lt;&gt;"",売分析!AC103,"")</f>
        <v>2542.0071513706794</v>
      </c>
      <c r="L103" s="329" t="str">
        <f>IF(売分析!K103&lt;&gt;"",売分析!K103,"")</f>
        <v/>
      </c>
      <c r="M103" s="328" t="str">
        <f>IF(売分析!P103&lt;&gt;"",売分析!P103,"")</f>
        <v/>
      </c>
      <c r="N103" s="331" t="str">
        <f>IF(売分析!O103&lt;&gt;"",売分析!O103,"")</f>
        <v/>
      </c>
      <c r="O103" s="333">
        <f>IF(売分析!X103&lt;&gt;"",売分析!X103,"")</f>
        <v>45.279874939798447</v>
      </c>
      <c r="P103" s="330" t="str">
        <f>IF(売分析!L103&lt;&gt;"",売分析!L103,"")</f>
        <v/>
      </c>
      <c r="Q103" s="329" t="str">
        <f>IF(売分析!S103&lt;&gt;"",売分析!S103,"")</f>
        <v/>
      </c>
      <c r="R103" s="329" t="str">
        <f>IF(売分析!R103&lt;&gt;"",売分析!R103,"")</f>
        <v/>
      </c>
      <c r="S103" s="328" t="str">
        <f>IF(売分析!AA103&lt;&gt;"",売分析!AA103,"")</f>
        <v/>
      </c>
      <c r="T103" s="334" t="str">
        <f>IF(売分析!Z103&lt;&gt;"",売分析!Z103,"")</f>
        <v/>
      </c>
      <c r="U103" s="328" t="str">
        <f>IF(売分析!V103&lt;&gt;"",売分析!V103,"")</f>
        <v/>
      </c>
      <c r="V103" s="332">
        <f>IF(売分析!W103&lt;&gt;"",売分析!W103,"")</f>
        <v>67.669753086419746</v>
      </c>
      <c r="W103" s="328" t="str">
        <f>IF(売分析!AD103&lt;&gt;"",売分析!AD103,"")</f>
        <v>パーフェクト▲</v>
      </c>
      <c r="X103" s="328" t="e">
        <f>IF(売分析!AE103&lt;&gt;"",売分析!AE103,"")</f>
        <v>#VALUE!</v>
      </c>
      <c r="Y103" s="390">
        <f>IF(売分析!T103&lt;&gt;"",売分析!T103,"")</f>
        <v>0</v>
      </c>
      <c r="Z103" s="328" t="e">
        <f>IF(売分析!Y103&lt;&gt;"",売分析!Y103,"")</f>
        <v>#VALUE!</v>
      </c>
    </row>
    <row r="104" spans="1:26">
      <c r="A104" s="215">
        <f>IF(売分析!C104&lt;&gt;"",ROW()-2,"")</f>
        <v>102</v>
      </c>
      <c r="B104" s="335" t="str">
        <f>IF(売分析!C104&lt;&gt;"",HYPERLINK("https://kabutan.jp/stock/?code="&amp;売分析!C104,"株探"),"")</f>
        <v>株探</v>
      </c>
      <c r="C104" s="344">
        <f>IF(売分析!C104&lt;&gt;"",売分析!C104,"")</f>
        <v>9020</v>
      </c>
      <c r="D104" s="215" t="str">
        <f>IF(売分析!D104&lt;&gt;"",売分析!D104,"")</f>
        <v/>
      </c>
      <c r="E104" s="336" t="str">
        <f>IF(売分析!E104&lt;&gt;"",売分析!E104,"")</f>
        <v/>
      </c>
      <c r="F104" s="336" t="str">
        <f>IF(売分析!F104&lt;&gt;"",売分析!F104,"")</f>
        <v/>
      </c>
      <c r="G104" s="336" t="str">
        <f>IF(売分析!H104&lt;&gt;"",売分析!H104,"")</f>
        <v/>
      </c>
      <c r="H104" s="336" t="str">
        <f>IF(売分析!I104&lt;&gt;"",売分析!I104,"")</f>
        <v/>
      </c>
      <c r="I104" s="215" t="str">
        <f>IF(売分析!J104&lt;&gt;"",売分析!J104,"")</f>
        <v/>
      </c>
      <c r="J104" s="336">
        <f>IF(売分析!AB104&lt;&gt;"",売分析!AB104,"")</f>
        <v>3580.807603686636</v>
      </c>
      <c r="K104" s="336">
        <f>IF(売分析!AC104&lt;&gt;"",売分析!AC104,"")</f>
        <v>3477.9296781883172</v>
      </c>
      <c r="L104" s="336" t="str">
        <f>IF(売分析!K104&lt;&gt;"",売分析!K104,"")</f>
        <v/>
      </c>
      <c r="M104" s="215" t="str">
        <f>IF(売分析!P104&lt;&gt;"",売分析!P104,"")</f>
        <v/>
      </c>
      <c r="N104" s="338" t="str">
        <f>IF(売分析!O104&lt;&gt;"",売分析!O104,"")</f>
        <v/>
      </c>
      <c r="O104" s="340">
        <f>IF(売分析!X104&lt;&gt;"",売分析!X104,"")</f>
        <v>26.190798403114968</v>
      </c>
      <c r="P104" s="337" t="str">
        <f>IF(売分析!L104&lt;&gt;"",売分析!L104,"")</f>
        <v/>
      </c>
      <c r="Q104" s="336" t="str">
        <f>IF(売分析!S104&lt;&gt;"",売分析!S104,"")</f>
        <v/>
      </c>
      <c r="R104" s="336" t="str">
        <f>IF(売分析!R104&lt;&gt;"",売分析!R104,"")</f>
        <v/>
      </c>
      <c r="S104" s="215" t="str">
        <f>IF(売分析!AA104&lt;&gt;"",売分析!AA104,"")</f>
        <v/>
      </c>
      <c r="T104" s="341" t="str">
        <f>IF(売分析!Z104&lt;&gt;"",売分析!Z104,"")</f>
        <v/>
      </c>
      <c r="U104" s="215" t="str">
        <f>IF(売分析!V104&lt;&gt;"",売分析!V104,"")</f>
        <v/>
      </c>
      <c r="V104" s="339">
        <f>IF(売分析!W104&lt;&gt;"",売分析!W104,"")</f>
        <v>67.50369276218612</v>
      </c>
      <c r="W104" s="215" t="str">
        <f>IF(売分析!AD104&lt;&gt;"",売分析!AD104,"")</f>
        <v>パーフェクト▲</v>
      </c>
      <c r="X104" s="215" t="e">
        <f>IF(売分析!AE104&lt;&gt;"",売分析!AE104,"")</f>
        <v>#VALUE!</v>
      </c>
      <c r="Y104" s="391">
        <f>IF(売分析!T104&lt;&gt;"",売分析!T104,"")</f>
        <v>0</v>
      </c>
      <c r="Z104" s="215" t="e">
        <f>IF(売分析!Y104&lt;&gt;"",売分析!Y104,"")</f>
        <v>#VALUE!</v>
      </c>
    </row>
    <row r="105" spans="1:26">
      <c r="A105" s="328">
        <f>IF(売分析!C105&lt;&gt;"",ROW()-2,"")</f>
        <v>103</v>
      </c>
      <c r="B105" s="327" t="str">
        <f>IF(売分析!C105&lt;&gt;"",HYPERLINK("https://kabutan.jp/stock/?code="&amp;売分析!C105,"株探"),"")</f>
        <v>株探</v>
      </c>
      <c r="C105" s="343">
        <f>IF(売分析!C105&lt;&gt;"",売分析!C105,"")</f>
        <v>9501</v>
      </c>
      <c r="D105" s="328" t="str">
        <f>IF(売分析!D105&lt;&gt;"",売分析!D105,"")</f>
        <v/>
      </c>
      <c r="E105" s="329" t="str">
        <f>IF(売分析!E105&lt;&gt;"",売分析!E105,"")</f>
        <v/>
      </c>
      <c r="F105" s="329" t="str">
        <f>IF(売分析!F105&lt;&gt;"",売分析!F105,"")</f>
        <v/>
      </c>
      <c r="G105" s="329" t="str">
        <f>IF(売分析!H105&lt;&gt;"",売分析!H105,"")</f>
        <v/>
      </c>
      <c r="H105" s="329" t="str">
        <f>IF(売分析!I105&lt;&gt;"",売分析!I105,"")</f>
        <v/>
      </c>
      <c r="I105" s="328" t="str">
        <f>IF(売分析!J105&lt;&gt;"",売分析!J105,"")</f>
        <v/>
      </c>
      <c r="J105" s="329">
        <f>IF(売分析!AB105&lt;&gt;"",売分析!AB105,"")</f>
        <v>502.11877880184323</v>
      </c>
      <c r="K105" s="329">
        <f>IF(売分析!AC105&lt;&gt;"",売分析!AC105,"")</f>
        <v>484.81203814064344</v>
      </c>
      <c r="L105" s="329" t="str">
        <f>IF(売分析!K105&lt;&gt;"",売分析!K105,"")</f>
        <v/>
      </c>
      <c r="M105" s="328" t="str">
        <f>IF(売分析!P105&lt;&gt;"",売分析!P105,"")</f>
        <v/>
      </c>
      <c r="N105" s="331" t="str">
        <f>IF(売分析!O105&lt;&gt;"",売分析!O105,"")</f>
        <v/>
      </c>
      <c r="O105" s="333">
        <f>IF(売分析!X105&lt;&gt;"",売分析!X105,"")</f>
        <v>1.477606780794531</v>
      </c>
      <c r="P105" s="330" t="str">
        <f>IF(売分析!L105&lt;&gt;"",売分析!L105,"")</f>
        <v/>
      </c>
      <c r="Q105" s="329" t="str">
        <f>IF(売分析!S105&lt;&gt;"",売分析!S105,"")</f>
        <v/>
      </c>
      <c r="R105" s="329" t="str">
        <f>IF(売分析!R105&lt;&gt;"",売分析!R105,"")</f>
        <v/>
      </c>
      <c r="S105" s="328" t="str">
        <f>IF(売分析!AA105&lt;&gt;"",売分析!AA105,"")</f>
        <v/>
      </c>
      <c r="T105" s="334" t="str">
        <f>IF(売分析!Z105&lt;&gt;"",売分析!Z105,"")</f>
        <v/>
      </c>
      <c r="U105" s="328" t="str">
        <f>IF(売分析!V105&lt;&gt;"",売分析!V105,"")</f>
        <v/>
      </c>
      <c r="V105" s="332">
        <f>IF(売分析!W105&lt;&gt;"",売分析!W105,"")</f>
        <v>64.929424538545092</v>
      </c>
      <c r="W105" s="328" t="str">
        <f>IF(売分析!AD105&lt;&gt;"",売分析!AD105,"")</f>
        <v>パーフェクト▲</v>
      </c>
      <c r="X105" s="328" t="e">
        <f>IF(売分析!AE105&lt;&gt;"",売分析!AE105,"")</f>
        <v>#VALUE!</v>
      </c>
      <c r="Y105" s="390">
        <f>IF(売分析!T105&lt;&gt;"",売分析!T105,"")</f>
        <v>0</v>
      </c>
      <c r="Z105" s="328" t="e">
        <f>IF(売分析!Y105&lt;&gt;"",売分析!Y105,"")</f>
        <v>#VALUE!</v>
      </c>
    </row>
    <row r="106" spans="1:26">
      <c r="A106" s="215">
        <f>IF(売分析!C106&lt;&gt;"",ROW()-2,"")</f>
        <v>104</v>
      </c>
      <c r="B106" s="335" t="str">
        <f>IF(売分析!C106&lt;&gt;"",HYPERLINK("https://kabutan.jp/stock/?code="&amp;売分析!C106,"株探"),"")</f>
        <v>株探</v>
      </c>
      <c r="C106" s="344">
        <f>IF(売分析!C106&lt;&gt;"",売分析!C106,"")</f>
        <v>6744</v>
      </c>
      <c r="D106" s="215" t="str">
        <f>IF(売分析!D106&lt;&gt;"",売分析!D106,"")</f>
        <v/>
      </c>
      <c r="E106" s="336" t="str">
        <f>IF(売分析!E106&lt;&gt;"",売分析!E106,"")</f>
        <v/>
      </c>
      <c r="F106" s="336" t="str">
        <f>IF(売分析!F106&lt;&gt;"",売分析!F106,"")</f>
        <v/>
      </c>
      <c r="G106" s="336" t="str">
        <f>IF(売分析!H106&lt;&gt;"",売分析!H106,"")</f>
        <v/>
      </c>
      <c r="H106" s="336" t="str">
        <f>IF(売分析!I106&lt;&gt;"",売分析!I106,"")</f>
        <v/>
      </c>
      <c r="I106" s="215" t="str">
        <f>IF(売分析!J106&lt;&gt;"",売分析!J106,"")</f>
        <v/>
      </c>
      <c r="J106" s="336">
        <f>IF(売分析!AB106&lt;&gt;"",売分析!AB106,"")</f>
        <v>4254.6486175115206</v>
      </c>
      <c r="K106" s="336">
        <f>IF(売分析!AC106&lt;&gt;"",売分析!AC106,"")</f>
        <v>4244.6245530393317</v>
      </c>
      <c r="L106" s="336" t="str">
        <f>IF(売分析!K106&lt;&gt;"",売分析!K106,"")</f>
        <v/>
      </c>
      <c r="M106" s="215" t="str">
        <f>IF(売分析!P106&lt;&gt;"",売分析!P106,"")</f>
        <v/>
      </c>
      <c r="N106" s="338" t="str">
        <f>IF(売分析!O106&lt;&gt;"",売分析!O106,"")</f>
        <v/>
      </c>
      <c r="O106" s="340">
        <f>IF(売分析!X106&lt;&gt;"",売分析!X106,"")</f>
        <v>13.306731837017651</v>
      </c>
      <c r="P106" s="337" t="str">
        <f>IF(売分析!L106&lt;&gt;"",売分析!L106,"")</f>
        <v/>
      </c>
      <c r="Q106" s="336" t="str">
        <f>IF(売分析!S106&lt;&gt;"",売分析!S106,"")</f>
        <v/>
      </c>
      <c r="R106" s="336" t="str">
        <f>IF(売分析!R106&lt;&gt;"",売分析!R106,"")</f>
        <v/>
      </c>
      <c r="S106" s="215" t="str">
        <f>IF(売分析!AA106&lt;&gt;"",売分析!AA106,"")</f>
        <v/>
      </c>
      <c r="T106" s="341" t="str">
        <f>IF(売分析!Z106&lt;&gt;"",売分析!Z106,"")</f>
        <v/>
      </c>
      <c r="U106" s="215" t="str">
        <f>IF(売分析!V106&lt;&gt;"",売分析!V106,"")</f>
        <v/>
      </c>
      <c r="V106" s="339">
        <f>IF(売分析!W106&lt;&gt;"",売分析!W106,"")</f>
        <v>64.429530201342288</v>
      </c>
      <c r="W106" s="215" t="str">
        <f>IF(売分析!AD106&lt;&gt;"",売分析!AD106,"")</f>
        <v>パーフェクト▲</v>
      </c>
      <c r="X106" s="215" t="e">
        <f>IF(売分析!AE106&lt;&gt;"",売分析!AE106,"")</f>
        <v>#VALUE!</v>
      </c>
      <c r="Y106" s="391">
        <f>IF(売分析!T106&lt;&gt;"",売分析!T106,"")</f>
        <v>0</v>
      </c>
      <c r="Z106" s="215" t="e">
        <f>IF(売分析!Y106&lt;&gt;"",売分析!Y106,"")</f>
        <v>#VALUE!</v>
      </c>
    </row>
    <row r="107" spans="1:26">
      <c r="A107" s="328">
        <f>IF(売分析!C107&lt;&gt;"",ROW()-2,"")</f>
        <v>105</v>
      </c>
      <c r="B107" s="327" t="str">
        <f>IF(売分析!C107&lt;&gt;"",HYPERLINK("https://kabutan.jp/stock/?code="&amp;売分析!C107,"株探"),"")</f>
        <v>株探</v>
      </c>
      <c r="C107" s="343">
        <f>IF(売分析!C107&lt;&gt;"",売分析!C107,"")</f>
        <v>9416</v>
      </c>
      <c r="D107" s="328" t="str">
        <f>IF(売分析!D107&lt;&gt;"",売分析!D107,"")</f>
        <v/>
      </c>
      <c r="E107" s="329" t="str">
        <f>IF(売分析!E107&lt;&gt;"",売分析!E107,"")</f>
        <v/>
      </c>
      <c r="F107" s="329" t="str">
        <f>IF(売分析!F107&lt;&gt;"",売分析!F107,"")</f>
        <v/>
      </c>
      <c r="G107" s="329" t="str">
        <f>IF(売分析!H107&lt;&gt;"",売分析!H107,"")</f>
        <v/>
      </c>
      <c r="H107" s="329" t="str">
        <f>IF(売分析!I107&lt;&gt;"",売分析!I107,"")</f>
        <v/>
      </c>
      <c r="I107" s="328" t="str">
        <f>IF(売分析!J107&lt;&gt;"",売分析!J107,"")</f>
        <v/>
      </c>
      <c r="J107" s="329">
        <f>IF(売分析!AB107&lt;&gt;"",売分析!AB107,"")</f>
        <v>1008.4308755760366</v>
      </c>
      <c r="K107" s="329">
        <f>IF(売分析!AC107&lt;&gt;"",売分析!AC107,"")</f>
        <v>1001.9415971394511</v>
      </c>
      <c r="L107" s="329" t="str">
        <f>IF(売分析!K107&lt;&gt;"",売分析!K107,"")</f>
        <v/>
      </c>
      <c r="M107" s="328" t="str">
        <f>IF(売分析!P107&lt;&gt;"",売分析!P107,"")</f>
        <v/>
      </c>
      <c r="N107" s="331" t="str">
        <f>IF(売分析!O107&lt;&gt;"",売分析!O107,"")</f>
        <v/>
      </c>
      <c r="O107" s="333">
        <f>IF(売分析!X107&lt;&gt;"",売分析!X107,"")</f>
        <v>1.8327508866059361</v>
      </c>
      <c r="P107" s="330" t="str">
        <f>IF(売分析!L107&lt;&gt;"",売分析!L107,"")</f>
        <v/>
      </c>
      <c r="Q107" s="329" t="str">
        <f>IF(売分析!S107&lt;&gt;"",売分析!S107,"")</f>
        <v/>
      </c>
      <c r="R107" s="329" t="str">
        <f>IF(売分析!R107&lt;&gt;"",売分析!R107,"")</f>
        <v/>
      </c>
      <c r="S107" s="328" t="str">
        <f>IF(売分析!AA107&lt;&gt;"",売分析!AA107,"")</f>
        <v/>
      </c>
      <c r="T107" s="334" t="str">
        <f>IF(売分析!Z107&lt;&gt;"",売分析!Z107,"")</f>
        <v/>
      </c>
      <c r="U107" s="328" t="str">
        <f>IF(売分析!V107&lt;&gt;"",売分析!V107,"")</f>
        <v/>
      </c>
      <c r="V107" s="332">
        <f>IF(売分析!W107&lt;&gt;"",売分析!W107,"")</f>
        <v>68.571428571428569</v>
      </c>
      <c r="W107" s="328" t="str">
        <f>IF(売分析!AD107&lt;&gt;"",売分析!AD107,"")</f>
        <v>パーフェクト▲</v>
      </c>
      <c r="X107" s="328" t="e">
        <f>IF(売分析!AE107&lt;&gt;"",売分析!AE107,"")</f>
        <v>#VALUE!</v>
      </c>
      <c r="Y107" s="390">
        <f>IF(売分析!T107&lt;&gt;"",売分析!T107,"")</f>
        <v>0</v>
      </c>
      <c r="Z107" s="328" t="e">
        <f>IF(売分析!Y107&lt;&gt;"",売分析!Y107,"")</f>
        <v>#VALUE!</v>
      </c>
    </row>
    <row r="108" spans="1:26">
      <c r="A108" s="215">
        <f>IF(売分析!C108&lt;&gt;"",ROW()-2,"")</f>
        <v>106</v>
      </c>
      <c r="B108" s="335" t="str">
        <f>IF(売分析!C108&lt;&gt;"",HYPERLINK("https://kabutan.jp/stock/?code="&amp;売分析!C108,"株探"),"")</f>
        <v>株探</v>
      </c>
      <c r="C108" s="344">
        <f>IF(売分析!C108&lt;&gt;"",売分析!C108,"")</f>
        <v>6227</v>
      </c>
      <c r="D108" s="215" t="str">
        <f>IF(売分析!D108&lt;&gt;"",売分析!D108,"")</f>
        <v/>
      </c>
      <c r="E108" s="336" t="str">
        <f>IF(売分析!E108&lt;&gt;"",売分析!E108,"")</f>
        <v/>
      </c>
      <c r="F108" s="336" t="str">
        <f>IF(売分析!F108&lt;&gt;"",売分析!F108,"")</f>
        <v/>
      </c>
      <c r="G108" s="336" t="str">
        <f>IF(売分析!H108&lt;&gt;"",売分析!H108,"")</f>
        <v/>
      </c>
      <c r="H108" s="336" t="str">
        <f>IF(売分析!I108&lt;&gt;"",売分析!I108,"")</f>
        <v/>
      </c>
      <c r="I108" s="215" t="str">
        <f>IF(売分析!J108&lt;&gt;"",売分析!J108,"")</f>
        <v/>
      </c>
      <c r="J108" s="336">
        <f>IF(売分析!AB108&lt;&gt;"",売分析!AB108,"")</f>
        <v>7348.6520737327191</v>
      </c>
      <c r="K108" s="336">
        <f>IF(売分析!AC108&lt;&gt;"",売分析!AC108,"")</f>
        <v>7065.2681764004737</v>
      </c>
      <c r="L108" s="336" t="str">
        <f>IF(売分析!K108&lt;&gt;"",売分析!K108,"")</f>
        <v/>
      </c>
      <c r="M108" s="215" t="str">
        <f>IF(売分析!P108&lt;&gt;"",売分析!P108,"")</f>
        <v/>
      </c>
      <c r="N108" s="338" t="str">
        <f>IF(売分析!O108&lt;&gt;"",売分析!O108,"")</f>
        <v/>
      </c>
      <c r="O108" s="340">
        <f>IF(売分析!X108&lt;&gt;"",売分析!X108,"")</f>
        <v>-16.762325912774031</v>
      </c>
      <c r="P108" s="337" t="str">
        <f>IF(売分析!L108&lt;&gt;"",売分析!L108,"")</f>
        <v/>
      </c>
      <c r="Q108" s="336" t="str">
        <f>IF(売分析!S108&lt;&gt;"",売分析!S108,"")</f>
        <v/>
      </c>
      <c r="R108" s="336" t="str">
        <f>IF(売分析!R108&lt;&gt;"",売分析!R108,"")</f>
        <v/>
      </c>
      <c r="S108" s="215" t="str">
        <f>IF(売分析!AA108&lt;&gt;"",売分析!AA108,"")</f>
        <v/>
      </c>
      <c r="T108" s="341" t="str">
        <f>IF(売分析!Z108&lt;&gt;"",売分析!Z108,"")</f>
        <v/>
      </c>
      <c r="U108" s="215" t="str">
        <f>IF(売分析!V108&lt;&gt;"",売分析!V108,"")</f>
        <v/>
      </c>
      <c r="V108" s="339">
        <f>IF(売分析!W108&lt;&gt;"",売分析!W108,"")</f>
        <v>50.07633587786259</v>
      </c>
      <c r="W108" s="215" t="str">
        <f>IF(売分析!AD108&lt;&gt;"",売分析!AD108,"")</f>
        <v>パーフェクト▲</v>
      </c>
      <c r="X108" s="215" t="e">
        <f>IF(売分析!AE108&lt;&gt;"",売分析!AE108,"")</f>
        <v>#VALUE!</v>
      </c>
      <c r="Y108" s="391">
        <f>IF(売分析!T108&lt;&gt;"",売分析!T108,"")</f>
        <v>0</v>
      </c>
      <c r="Z108" s="215" t="e">
        <f>IF(売分析!Y108&lt;&gt;"",売分析!Y108,"")</f>
        <v>#VALUE!</v>
      </c>
    </row>
    <row r="109" spans="1:26">
      <c r="A109" s="328">
        <f>IF(売分析!C109&lt;&gt;"",ROW()-2,"")</f>
        <v>107</v>
      </c>
      <c r="B109" s="327" t="str">
        <f>IF(売分析!C109&lt;&gt;"",HYPERLINK("https://kabutan.jp/stock/?code="&amp;売分析!C109,"株探"),"")</f>
        <v>株探</v>
      </c>
      <c r="C109" s="343">
        <f>IF(売分析!C109&lt;&gt;"",売分析!C109,"")</f>
        <v>3110</v>
      </c>
      <c r="D109" s="328" t="str">
        <f>IF(売分析!D109&lt;&gt;"",売分析!D109,"")</f>
        <v/>
      </c>
      <c r="E109" s="329" t="str">
        <f>IF(売分析!E109&lt;&gt;"",売分析!E109,"")</f>
        <v/>
      </c>
      <c r="F109" s="329" t="str">
        <f>IF(売分析!F109&lt;&gt;"",売分析!F109,"")</f>
        <v/>
      </c>
      <c r="G109" s="329" t="str">
        <f>IF(売分析!H109&lt;&gt;"",売分析!H109,"")</f>
        <v/>
      </c>
      <c r="H109" s="329" t="str">
        <f>IF(売分析!I109&lt;&gt;"",売分析!I109,"")</f>
        <v/>
      </c>
      <c r="I109" s="328" t="str">
        <f>IF(売分析!J109&lt;&gt;"",売分析!J109,"")</f>
        <v/>
      </c>
      <c r="J109" s="329">
        <f>IF(売分析!AB109&lt;&gt;"",売分析!AB109,"")</f>
        <v>3308.1509216589857</v>
      </c>
      <c r="K109" s="329">
        <f>IF(売分析!AC109&lt;&gt;"",売分析!AC109,"")</f>
        <v>8025.393325387362</v>
      </c>
      <c r="L109" s="329" t="str">
        <f>IF(売分析!K109&lt;&gt;"",売分析!K109,"")</f>
        <v/>
      </c>
      <c r="M109" s="328" t="str">
        <f>IF(売分析!P109&lt;&gt;"",売分析!P109,"")</f>
        <v/>
      </c>
      <c r="N109" s="331" t="str">
        <f>IF(売分析!O109&lt;&gt;"",売分析!O109,"")</f>
        <v/>
      </c>
      <c r="O109" s="333">
        <f>IF(売分析!X109&lt;&gt;"",売分析!X109,"")</f>
        <v>-2636.1541102297006</v>
      </c>
      <c r="P109" s="330" t="str">
        <f>IF(売分析!L109&lt;&gt;"",売分析!L109,"")</f>
        <v/>
      </c>
      <c r="Q109" s="329" t="str">
        <f>IF(売分析!S109&lt;&gt;"",売分析!S109,"")</f>
        <v/>
      </c>
      <c r="R109" s="329" t="str">
        <f>IF(売分析!R109&lt;&gt;"",売分析!R109,"")</f>
        <v/>
      </c>
      <c r="S109" s="328" t="str">
        <f>IF(売分析!AA109&lt;&gt;"",売分析!AA109,"")</f>
        <v/>
      </c>
      <c r="T109" s="334" t="str">
        <f>IF(売分析!Z109&lt;&gt;"",売分析!Z109,"")</f>
        <v/>
      </c>
      <c r="U109" s="328" t="str">
        <f>IF(売分析!V109&lt;&gt;"",売分析!V109,"")</f>
        <v/>
      </c>
      <c r="V109" s="332">
        <f>IF(売分析!W109&lt;&gt;"",売分析!W109,"")</f>
        <v>3.3191489361702224</v>
      </c>
      <c r="W109" s="328" t="str">
        <f>IF(売分析!AD109&lt;&gt;"",売分析!AD109,"")</f>
        <v>上昇トレンド▲</v>
      </c>
      <c r="X109" s="328" t="e">
        <f>IF(売分析!AE109&lt;&gt;"",売分析!AE109,"")</f>
        <v>#VALUE!</v>
      </c>
      <c r="Y109" s="390">
        <f>IF(売分析!T109&lt;&gt;"",売分析!T109,"")</f>
        <v>0</v>
      </c>
      <c r="Z109" s="328" t="e">
        <f>IF(売分析!Y109&lt;&gt;"",売分析!Y109,"")</f>
        <v>#VALUE!</v>
      </c>
    </row>
    <row r="110" spans="1:26">
      <c r="A110" s="215">
        <f>IF(売分析!C110&lt;&gt;"",ROW()-2,"")</f>
        <v>108</v>
      </c>
      <c r="B110" s="335" t="str">
        <f>IF(売分析!C110&lt;&gt;"",HYPERLINK("https://kabutan.jp/stock/?code="&amp;売分析!C110,"株探"),"")</f>
        <v>株探</v>
      </c>
      <c r="C110" s="344" t="str">
        <f>IF(売分析!C110&lt;&gt;"",売分析!C110,"")</f>
        <v>4568</v>
      </c>
      <c r="D110" s="215" t="str">
        <f>IF(売分析!D110&lt;&gt;"",売分析!D110,"")</f>
        <v/>
      </c>
      <c r="E110" s="336" t="str">
        <f>IF(売分析!E110&lt;&gt;"",売分析!E110,"")</f>
        <v/>
      </c>
      <c r="F110" s="336" t="str">
        <f>IF(売分析!F110&lt;&gt;"",売分析!F110,"")</f>
        <v/>
      </c>
      <c r="G110" s="336" t="str">
        <f>IF(売分析!H110&lt;&gt;"",売分析!H110,"")</f>
        <v/>
      </c>
      <c r="H110" s="336" t="str">
        <f>IF(売分析!I110&lt;&gt;"",売分析!I110,"")</f>
        <v/>
      </c>
      <c r="I110" s="215" t="str">
        <f>IF(売分析!J110&lt;&gt;"",売分析!J110,"")</f>
        <v/>
      </c>
      <c r="J110" s="336">
        <f>IF(売分析!AB110&lt;&gt;"",売分析!AB110,"")</f>
        <v>2726.8830645161293</v>
      </c>
      <c r="K110" s="336">
        <f>IF(売分析!AC110&lt;&gt;"",売分析!AC110,"")</f>
        <v>2655.8533969010723</v>
      </c>
      <c r="L110" s="336" t="str">
        <f>IF(売分析!K110&lt;&gt;"",売分析!K110,"")</f>
        <v/>
      </c>
      <c r="M110" s="215" t="str">
        <f>IF(売分析!P110&lt;&gt;"",売分析!P110,"")</f>
        <v/>
      </c>
      <c r="N110" s="338" t="str">
        <f>IF(売分析!O110&lt;&gt;"",売分析!O110,"")</f>
        <v/>
      </c>
      <c r="O110" s="340">
        <f>IF(売分析!X110&lt;&gt;"",売分析!X110,"")</f>
        <v>26.727356222561866</v>
      </c>
      <c r="P110" s="337" t="str">
        <f>IF(売分析!L110&lt;&gt;"",売分析!L110,"")</f>
        <v/>
      </c>
      <c r="Q110" s="336" t="str">
        <f>IF(売分析!S110&lt;&gt;"",売分析!S110,"")</f>
        <v/>
      </c>
      <c r="R110" s="336" t="str">
        <f>IF(売分析!R110&lt;&gt;"",売分析!R110,"")</f>
        <v/>
      </c>
      <c r="S110" s="215" t="str">
        <f>IF(売分析!AA110&lt;&gt;"",売分析!AA110,"")</f>
        <v/>
      </c>
      <c r="T110" s="341" t="str">
        <f>IF(売分析!Z110&lt;&gt;"",売分析!Z110,"")</f>
        <v/>
      </c>
      <c r="U110" s="215" t="str">
        <f>IF(売分析!V110&lt;&gt;"",売分析!V110,"")</f>
        <v/>
      </c>
      <c r="V110" s="339">
        <f>IF(売分析!W110&lt;&gt;"",売分析!W110,"")</f>
        <v>62.628571428571426</v>
      </c>
      <c r="W110" s="215" t="str">
        <f>IF(売分析!AD110&lt;&gt;"",売分析!AD110,"")</f>
        <v>パーフェクト▲</v>
      </c>
      <c r="X110" s="215" t="e">
        <f>IF(売分析!AE110&lt;&gt;"",売分析!AE110,"")</f>
        <v>#VALUE!</v>
      </c>
      <c r="Y110" s="391">
        <f>IF(売分析!T110&lt;&gt;"",売分析!T110,"")</f>
        <v>0</v>
      </c>
      <c r="Z110" s="215" t="e">
        <f>IF(売分析!Y110&lt;&gt;"",売分析!Y110,"")</f>
        <v>#VALUE!</v>
      </c>
    </row>
    <row r="111" spans="1:26">
      <c r="A111" s="328">
        <f>IF(売分析!C111&lt;&gt;"",ROW()-2,"")</f>
        <v>109</v>
      </c>
      <c r="B111" s="327" t="str">
        <f>IF(売分析!C111&lt;&gt;"",HYPERLINK("https://kabutan.jp/stock/?code="&amp;売分析!C111,"株探"),"")</f>
        <v>株探</v>
      </c>
      <c r="C111" s="343">
        <f>IF(売分析!C111&lt;&gt;"",売分析!C111,"")</f>
        <v>6522</v>
      </c>
      <c r="D111" s="328" t="str">
        <f>IF(売分析!D111&lt;&gt;"",売分析!D111,"")</f>
        <v/>
      </c>
      <c r="E111" s="329" t="str">
        <f>IF(売分析!E111&lt;&gt;"",売分析!E111,"")</f>
        <v/>
      </c>
      <c r="F111" s="329" t="str">
        <f>IF(売分析!F111&lt;&gt;"",売分析!F111,"")</f>
        <v/>
      </c>
      <c r="G111" s="329" t="str">
        <f>IF(売分析!H111&lt;&gt;"",売分析!H111,"")</f>
        <v/>
      </c>
      <c r="H111" s="329" t="str">
        <f>IF(売分析!I111&lt;&gt;"",売分析!I111,"")</f>
        <v/>
      </c>
      <c r="I111" s="328" t="str">
        <f>IF(売分析!J111&lt;&gt;"",売分析!J111,"")</f>
        <v/>
      </c>
      <c r="J111" s="329">
        <f>IF(売分析!AB111&lt;&gt;"",売分析!AB111,"")</f>
        <v>1680.3709677419351</v>
      </c>
      <c r="K111" s="329">
        <f>IF(売分析!AC111&lt;&gt;"",売分析!AC111,"")</f>
        <v>1582.3825983313457</v>
      </c>
      <c r="L111" s="329" t="str">
        <f>IF(売分析!K111&lt;&gt;"",売分析!K111,"")</f>
        <v/>
      </c>
      <c r="M111" s="328" t="str">
        <f>IF(売分析!P111&lt;&gt;"",売分析!P111,"")</f>
        <v/>
      </c>
      <c r="N111" s="331" t="str">
        <f>IF(売分析!O111&lt;&gt;"",売分析!O111,"")</f>
        <v/>
      </c>
      <c r="O111" s="333">
        <f>IF(売分析!X111&lt;&gt;"",売分析!X111,"")</f>
        <v>131.74677299304722</v>
      </c>
      <c r="P111" s="330" t="str">
        <f>IF(売分析!L111&lt;&gt;"",売分析!L111,"")</f>
        <v/>
      </c>
      <c r="Q111" s="329" t="str">
        <f>IF(売分析!S111&lt;&gt;"",売分析!S111,"")</f>
        <v/>
      </c>
      <c r="R111" s="329" t="str">
        <f>IF(売分析!R111&lt;&gt;"",売分析!R111,"")</f>
        <v/>
      </c>
      <c r="S111" s="328" t="str">
        <f>IF(売分析!AA111&lt;&gt;"",売分析!AA111,"")</f>
        <v/>
      </c>
      <c r="T111" s="334" t="str">
        <f>IF(売分析!Z111&lt;&gt;"",売分析!Z111,"")</f>
        <v/>
      </c>
      <c r="U111" s="328" t="str">
        <f>IF(売分析!V111&lt;&gt;"",売分析!V111,"")</f>
        <v/>
      </c>
      <c r="V111" s="332">
        <f>IF(売分析!W111&lt;&gt;"",売分析!W111,"")</f>
        <v>65.419580419580427</v>
      </c>
      <c r="W111" s="328" t="str">
        <f>IF(売分析!AD111&lt;&gt;"",売分析!AD111,"")</f>
        <v>パーフェクト▲</v>
      </c>
      <c r="X111" s="328" t="e">
        <f>IF(売分析!AE111&lt;&gt;"",売分析!AE111,"")</f>
        <v>#VALUE!</v>
      </c>
      <c r="Y111" s="390">
        <f>IF(売分析!T111&lt;&gt;"",売分析!T111,"")</f>
        <v>0</v>
      </c>
      <c r="Z111" s="328" t="e">
        <f>IF(売分析!Y111&lt;&gt;"",売分析!Y111,"")</f>
        <v>#VALUE!</v>
      </c>
    </row>
    <row r="112" spans="1:26">
      <c r="A112" s="215">
        <f>IF(売分析!C112&lt;&gt;"",ROW()-2,"")</f>
        <v>110</v>
      </c>
      <c r="B112" s="335" t="str">
        <f>IF(売分析!C112&lt;&gt;"",HYPERLINK("https://kabutan.jp/stock/?code="&amp;売分析!C112,"株探"),"")</f>
        <v>株探</v>
      </c>
      <c r="C112" s="344">
        <f>IF(売分析!C112&lt;&gt;"",売分析!C112,"")</f>
        <v>4417</v>
      </c>
      <c r="D112" s="215" t="str">
        <f>IF(売分析!D112&lt;&gt;"",売分析!D112,"")</f>
        <v/>
      </c>
      <c r="E112" s="336" t="str">
        <f>IF(売分析!E112&lt;&gt;"",売分析!E112,"")</f>
        <v/>
      </c>
      <c r="F112" s="336" t="str">
        <f>IF(売分析!F112&lt;&gt;"",売分析!F112,"")</f>
        <v/>
      </c>
      <c r="G112" s="336" t="str">
        <f>IF(売分析!H112&lt;&gt;"",売分析!H112,"")</f>
        <v/>
      </c>
      <c r="H112" s="336" t="str">
        <f>IF(売分析!I112&lt;&gt;"",売分析!I112,"")</f>
        <v/>
      </c>
      <c r="I112" s="215" t="str">
        <f>IF(売分析!J112&lt;&gt;"",売分析!J112,"")</f>
        <v/>
      </c>
      <c r="J112" s="336">
        <f>IF(売分析!AB112&lt;&gt;"",売分析!AB112,"")</f>
        <v>4259.1935483870966</v>
      </c>
      <c r="K112" s="336">
        <f>IF(売分析!AC112&lt;&gt;"",売分析!AC112,"")</f>
        <v>3884.4147794994019</v>
      </c>
      <c r="L112" s="336" t="str">
        <f>IF(売分析!K112&lt;&gt;"",売分析!K112,"")</f>
        <v/>
      </c>
      <c r="M112" s="215" t="str">
        <f>IF(売分析!P112&lt;&gt;"",売分析!P112,"")</f>
        <v/>
      </c>
      <c r="N112" s="338" t="str">
        <f>IF(売分析!O112&lt;&gt;"",売分析!O112,"")</f>
        <v/>
      </c>
      <c r="O112" s="340">
        <f>IF(売分析!X112&lt;&gt;"",売分析!X112,"")</f>
        <v>139.39515958907714</v>
      </c>
      <c r="P112" s="337" t="str">
        <f>IF(売分析!L112&lt;&gt;"",売分析!L112,"")</f>
        <v/>
      </c>
      <c r="Q112" s="336" t="str">
        <f>IF(売分析!S112&lt;&gt;"",売分析!S112,"")</f>
        <v/>
      </c>
      <c r="R112" s="336" t="str">
        <f>IF(売分析!R112&lt;&gt;"",売分析!R112,"")</f>
        <v/>
      </c>
      <c r="S112" s="215" t="str">
        <f>IF(売分析!AA112&lt;&gt;"",売分析!AA112,"")</f>
        <v/>
      </c>
      <c r="T112" s="341" t="str">
        <f>IF(売分析!Z112&lt;&gt;"",売分析!Z112,"")</f>
        <v/>
      </c>
      <c r="U112" s="215" t="str">
        <f>IF(売分析!V112&lt;&gt;"",売分析!V112,"")</f>
        <v/>
      </c>
      <c r="V112" s="339">
        <f>IF(売分析!W112&lt;&gt;"",売分析!W112,"")</f>
        <v>74.709976798143856</v>
      </c>
      <c r="W112" s="215" t="str">
        <f>IF(売分析!AD112&lt;&gt;"",売分析!AD112,"")</f>
        <v>パーフェクト▲</v>
      </c>
      <c r="X112" s="215" t="e">
        <f>IF(売分析!AE112&lt;&gt;"",売分析!AE112,"")</f>
        <v>#VALUE!</v>
      </c>
      <c r="Y112" s="391">
        <f>IF(売分析!T112&lt;&gt;"",売分析!T112,"")</f>
        <v>0</v>
      </c>
      <c r="Z112" s="215" t="e">
        <f>IF(売分析!Y112&lt;&gt;"",売分析!Y112,"")</f>
        <v>#VALUE!</v>
      </c>
    </row>
    <row r="113" spans="1:26">
      <c r="A113" s="328">
        <f>IF(売分析!C113&lt;&gt;"",ROW()-2,"")</f>
        <v>111</v>
      </c>
      <c r="B113" s="327" t="str">
        <f>IF(売分析!C113&lt;&gt;"",HYPERLINK("https://kabutan.jp/stock/?code="&amp;売分析!C113,"株探"),"")</f>
        <v>株探</v>
      </c>
      <c r="C113" s="343">
        <f>IF(売分析!C113&lt;&gt;"",売分析!C113,"")</f>
        <v>6857</v>
      </c>
      <c r="D113" s="328" t="str">
        <f>IF(売分析!D113&lt;&gt;"",売分析!D113,"")</f>
        <v/>
      </c>
      <c r="E113" s="329" t="str">
        <f>IF(売分析!E113&lt;&gt;"",売分析!E113,"")</f>
        <v/>
      </c>
      <c r="F113" s="329" t="str">
        <f>IF(売分析!F113&lt;&gt;"",売分析!F113,"")</f>
        <v/>
      </c>
      <c r="G113" s="329" t="str">
        <f>IF(売分析!H113&lt;&gt;"",売分析!H113,"")</f>
        <v/>
      </c>
      <c r="H113" s="329" t="str">
        <f>IF(売分析!I113&lt;&gt;"",売分析!I113,"")</f>
        <v/>
      </c>
      <c r="I113" s="328" t="str">
        <f>IF(売分析!J113&lt;&gt;"",売分析!J113,"")</f>
        <v/>
      </c>
      <c r="J113" s="329">
        <f>IF(売分析!AB113&lt;&gt;"",売分析!AB113,"")</f>
        <v>29243.139400921656</v>
      </c>
      <c r="K113" s="329">
        <f>IF(売分析!AC113&lt;&gt;"",売分析!AC113,"")</f>
        <v>29910.947556614999</v>
      </c>
      <c r="L113" s="329" t="str">
        <f>IF(売分析!K113&lt;&gt;"",売分析!K113,"")</f>
        <v/>
      </c>
      <c r="M113" s="328" t="str">
        <f>IF(売分析!P113&lt;&gt;"",売分析!P113,"")</f>
        <v/>
      </c>
      <c r="N113" s="331" t="str">
        <f>IF(売分析!O113&lt;&gt;"",売分析!O113,"")</f>
        <v/>
      </c>
      <c r="O113" s="333">
        <f>IF(売分析!X113&lt;&gt;"",売分析!X113,"")</f>
        <v>-313.160048798145</v>
      </c>
      <c r="P113" s="330" t="str">
        <f>IF(売分析!L113&lt;&gt;"",売分析!L113,"")</f>
        <v/>
      </c>
      <c r="Q113" s="329" t="str">
        <f>IF(売分析!S113&lt;&gt;"",売分析!S113,"")</f>
        <v/>
      </c>
      <c r="R113" s="329" t="str">
        <f>IF(売分析!R113&lt;&gt;"",売分析!R113,"")</f>
        <v/>
      </c>
      <c r="S113" s="328" t="str">
        <f>IF(売分析!AA113&lt;&gt;"",売分析!AA113,"")</f>
        <v/>
      </c>
      <c r="T113" s="334" t="str">
        <f>IF(売分析!Z113&lt;&gt;"",売分析!Z113,"")</f>
        <v/>
      </c>
      <c r="U113" s="328" t="str">
        <f>IF(売分析!V113&lt;&gt;"",売分析!V113,"")</f>
        <v/>
      </c>
      <c r="V113" s="332">
        <f>IF(売分析!W113&lt;&gt;"",売分析!W113,"")</f>
        <v>36.793020457280385</v>
      </c>
      <c r="W113" s="328" t="str">
        <f>IF(売分析!AD113&lt;&gt;"",売分析!AD113,"")</f>
        <v>上昇トレンド▲</v>
      </c>
      <c r="X113" s="328" t="e">
        <f>IF(売分析!AE113&lt;&gt;"",売分析!AE113,"")</f>
        <v>#VALUE!</v>
      </c>
      <c r="Y113" s="390">
        <f>IF(売分析!T113&lt;&gt;"",売分析!T113,"")</f>
        <v>0</v>
      </c>
      <c r="Z113" s="328" t="e">
        <f>IF(売分析!Y113&lt;&gt;"",売分析!Y113,"")</f>
        <v>#VALUE!</v>
      </c>
    </row>
    <row r="114" spans="1:26">
      <c r="A114" s="215">
        <f>IF(売分析!C114&lt;&gt;"",ROW()-2,"")</f>
        <v>112</v>
      </c>
      <c r="B114" s="335" t="str">
        <f>IF(売分析!C114&lt;&gt;"",HYPERLINK("https://kabutan.jp/stock/?code="&amp;売分析!C114,"株探"),"")</f>
        <v>株探</v>
      </c>
      <c r="C114" s="344">
        <f>IF(売分析!C114&lt;&gt;"",売分析!C114,"")</f>
        <v>8892</v>
      </c>
      <c r="D114" s="215" t="str">
        <f>IF(売分析!D114&lt;&gt;"",売分析!D114,"")</f>
        <v/>
      </c>
      <c r="E114" s="336" t="str">
        <f>IF(売分析!E114&lt;&gt;"",売分析!E114,"")</f>
        <v/>
      </c>
      <c r="F114" s="336" t="str">
        <f>IF(売分析!F114&lt;&gt;"",売分析!F114,"")</f>
        <v/>
      </c>
      <c r="G114" s="336" t="str">
        <f>IF(売分析!H114&lt;&gt;"",売分析!H114,"")</f>
        <v/>
      </c>
      <c r="H114" s="336" t="str">
        <f>IF(売分析!I114&lt;&gt;"",売分析!I114,"")</f>
        <v/>
      </c>
      <c r="I114" s="215" t="str">
        <f>IF(売分析!J114&lt;&gt;"",売分析!J114,"")</f>
        <v/>
      </c>
      <c r="J114" s="336">
        <f>IF(売分析!AB114&lt;&gt;"",売分析!AB114,"")</f>
        <v>1110.1129032258066</v>
      </c>
      <c r="K114" s="336">
        <f>IF(売分析!AC114&lt;&gt;"",売分析!AC114,"")</f>
        <v>1094.4290822407622</v>
      </c>
      <c r="L114" s="336" t="str">
        <f>IF(売分析!K114&lt;&gt;"",売分析!K114,"")</f>
        <v/>
      </c>
      <c r="M114" s="215" t="str">
        <f>IF(売分析!P114&lt;&gt;"",売分析!P114,"")</f>
        <v/>
      </c>
      <c r="N114" s="338" t="str">
        <f>IF(売分析!O114&lt;&gt;"",売分析!O114,"")</f>
        <v/>
      </c>
      <c r="O114" s="340">
        <f>IF(売分析!X114&lt;&gt;"",売分析!X114,"")</f>
        <v>6.1799760387525566</v>
      </c>
      <c r="P114" s="337" t="str">
        <f>IF(売分析!L114&lt;&gt;"",売分析!L114,"")</f>
        <v/>
      </c>
      <c r="Q114" s="336" t="str">
        <f>IF(売分析!S114&lt;&gt;"",売分析!S114,"")</f>
        <v/>
      </c>
      <c r="R114" s="336" t="str">
        <f>IF(売分析!R114&lt;&gt;"",売分析!R114,"")</f>
        <v/>
      </c>
      <c r="S114" s="215" t="str">
        <f>IF(売分析!AA114&lt;&gt;"",売分析!AA114,"")</f>
        <v/>
      </c>
      <c r="T114" s="341" t="str">
        <f>IF(売分析!Z114&lt;&gt;"",売分析!Z114,"")</f>
        <v/>
      </c>
      <c r="U114" s="215" t="str">
        <f>IF(売分析!V114&lt;&gt;"",売分析!V114,"")</f>
        <v/>
      </c>
      <c r="V114" s="339">
        <f>IF(売分析!W114&lt;&gt;"",売分析!W114,"")</f>
        <v>84.782608695652172</v>
      </c>
      <c r="W114" s="215" t="str">
        <f>IF(売分析!AD114&lt;&gt;"",売分析!AD114,"")</f>
        <v>パーフェクト▲</v>
      </c>
      <c r="X114" s="215" t="e">
        <f>IF(売分析!AE114&lt;&gt;"",売分析!AE114,"")</f>
        <v>#VALUE!</v>
      </c>
      <c r="Y114" s="391">
        <f>IF(売分析!T114&lt;&gt;"",売分析!T114,"")</f>
        <v>0</v>
      </c>
      <c r="Z114" s="215" t="e">
        <f>IF(売分析!Y114&lt;&gt;"",売分析!Y114,"")</f>
        <v>#VALUE!</v>
      </c>
    </row>
    <row r="115" spans="1:26">
      <c r="A115" s="328">
        <f>IF(売分析!C115&lt;&gt;"",ROW()-2,"")</f>
        <v>113</v>
      </c>
      <c r="B115" s="327" t="str">
        <f>IF(売分析!C115&lt;&gt;"",HYPERLINK("https://kabutan.jp/stock/?code="&amp;売分析!C115,"株探"),"")</f>
        <v>株探</v>
      </c>
      <c r="C115" s="343">
        <f>IF(売分析!C115&lt;&gt;"",売分析!C115,"")</f>
        <v>4709</v>
      </c>
      <c r="D115" s="328" t="str">
        <f>IF(売分析!D115&lt;&gt;"",売分析!D115,"")</f>
        <v/>
      </c>
      <c r="E115" s="329" t="str">
        <f>IF(売分析!E115&lt;&gt;"",売分析!E115,"")</f>
        <v/>
      </c>
      <c r="F115" s="329" t="str">
        <f>IF(売分析!F115&lt;&gt;"",売分析!F115,"")</f>
        <v/>
      </c>
      <c r="G115" s="329" t="str">
        <f>IF(売分析!H115&lt;&gt;"",売分析!H115,"")</f>
        <v/>
      </c>
      <c r="H115" s="329" t="str">
        <f>IF(売分析!I115&lt;&gt;"",売分析!I115,"")</f>
        <v/>
      </c>
      <c r="I115" s="328" t="str">
        <f>IF(売分析!J115&lt;&gt;"",売分析!J115,"")</f>
        <v/>
      </c>
      <c r="J115" s="329">
        <f>IF(売分析!AB115&lt;&gt;"",売分析!AB115,"")</f>
        <v>1115.4112903225807</v>
      </c>
      <c r="K115" s="329">
        <f>IF(売分析!AC115&lt;&gt;"",売分析!AC115,"")</f>
        <v>1086.7723480333727</v>
      </c>
      <c r="L115" s="329" t="str">
        <f>IF(売分析!K115&lt;&gt;"",売分析!K115,"")</f>
        <v/>
      </c>
      <c r="M115" s="328" t="str">
        <f>IF(売分析!P115&lt;&gt;"",売分析!P115,"")</f>
        <v/>
      </c>
      <c r="N115" s="331" t="str">
        <f>IF(売分析!O115&lt;&gt;"",売分析!O115,"")</f>
        <v/>
      </c>
      <c r="O115" s="333">
        <f>IF(売分析!X115&lt;&gt;"",売分析!X115,"")</f>
        <v>7.4804449150017263</v>
      </c>
      <c r="P115" s="330" t="str">
        <f>IF(売分析!L115&lt;&gt;"",売分析!L115,"")</f>
        <v/>
      </c>
      <c r="Q115" s="329" t="str">
        <f>IF(売分析!S115&lt;&gt;"",売分析!S115,"")</f>
        <v/>
      </c>
      <c r="R115" s="329" t="str">
        <f>IF(売分析!R115&lt;&gt;"",売分析!R115,"")</f>
        <v/>
      </c>
      <c r="S115" s="328" t="str">
        <f>IF(売分析!AA115&lt;&gt;"",売分析!AA115,"")</f>
        <v/>
      </c>
      <c r="T115" s="334" t="str">
        <f>IF(売分析!Z115&lt;&gt;"",売分析!Z115,"")</f>
        <v/>
      </c>
      <c r="U115" s="328" t="str">
        <f>IF(売分析!V115&lt;&gt;"",売分析!V115,"")</f>
        <v/>
      </c>
      <c r="V115" s="332">
        <f>IF(売分析!W115&lt;&gt;"",売分析!W115,"")</f>
        <v>76.923076923076934</v>
      </c>
      <c r="W115" s="328" t="str">
        <f>IF(売分析!AD115&lt;&gt;"",売分析!AD115,"")</f>
        <v>パーフェクト▲</v>
      </c>
      <c r="X115" s="328" t="e">
        <f>IF(売分析!AE115&lt;&gt;"",売分析!AE115,"")</f>
        <v>#VALUE!</v>
      </c>
      <c r="Y115" s="390">
        <f>IF(売分析!T115&lt;&gt;"",売分析!T115,"")</f>
        <v>0</v>
      </c>
      <c r="Z115" s="328" t="e">
        <f>IF(売分析!Y115&lt;&gt;"",売分析!Y115,"")</f>
        <v>#VALUE!</v>
      </c>
    </row>
    <row r="116" spans="1:26">
      <c r="A116" s="215">
        <f>IF(売分析!C116&lt;&gt;"",ROW()-2,"")</f>
        <v>114</v>
      </c>
      <c r="B116" s="335" t="str">
        <f>IF(売分析!C116&lt;&gt;"",HYPERLINK("https://kabutan.jp/stock/?code="&amp;売分析!C116,"株探"),"")</f>
        <v>株探</v>
      </c>
      <c r="C116" s="344">
        <f>IF(売分析!C116&lt;&gt;"",売分析!C116,"")</f>
        <v>7981</v>
      </c>
      <c r="D116" s="215" t="str">
        <f>IF(売分析!D116&lt;&gt;"",売分析!D116,"")</f>
        <v/>
      </c>
      <c r="E116" s="336" t="str">
        <f>IF(売分析!E116&lt;&gt;"",売分析!E116,"")</f>
        <v/>
      </c>
      <c r="F116" s="336" t="str">
        <f>IF(売分析!F116&lt;&gt;"",売分析!F116,"")</f>
        <v/>
      </c>
      <c r="G116" s="336" t="str">
        <f>IF(売分析!H116&lt;&gt;"",売分析!H116,"")</f>
        <v/>
      </c>
      <c r="H116" s="336" t="str">
        <f>IF(売分析!I116&lt;&gt;"",売分析!I116,"")</f>
        <v/>
      </c>
      <c r="I116" s="215" t="str">
        <f>IF(売分析!J116&lt;&gt;"",売分析!J116,"")</f>
        <v/>
      </c>
      <c r="J116" s="336">
        <f>IF(売分析!AB116&lt;&gt;"",売分析!AB116,"")</f>
        <v>3078.3006912442393</v>
      </c>
      <c r="K116" s="336">
        <f>IF(売分析!AC116&lt;&gt;"",売分析!AC116,"")</f>
        <v>3064.8653158522034</v>
      </c>
      <c r="L116" s="336" t="str">
        <f>IF(売分析!K116&lt;&gt;"",売分析!K116,"")</f>
        <v/>
      </c>
      <c r="M116" s="215" t="str">
        <f>IF(売分析!P116&lt;&gt;"",売分析!P116,"")</f>
        <v/>
      </c>
      <c r="N116" s="338" t="str">
        <f>IF(売分析!O116&lt;&gt;"",売分析!O116,"")</f>
        <v/>
      </c>
      <c r="O116" s="340">
        <f>IF(売分析!X116&lt;&gt;"",売分析!X116,"")</f>
        <v>7.4852132829705624</v>
      </c>
      <c r="P116" s="337" t="str">
        <f>IF(売分析!L116&lt;&gt;"",売分析!L116,"")</f>
        <v/>
      </c>
      <c r="Q116" s="336" t="str">
        <f>IF(売分析!S116&lt;&gt;"",売分析!S116,"")</f>
        <v/>
      </c>
      <c r="R116" s="336" t="str">
        <f>IF(売分析!R116&lt;&gt;"",売分析!R116,"")</f>
        <v/>
      </c>
      <c r="S116" s="215" t="str">
        <f>IF(売分析!AA116&lt;&gt;"",売分析!AA116,"")</f>
        <v/>
      </c>
      <c r="T116" s="341" t="str">
        <f>IF(売分析!Z116&lt;&gt;"",売分析!Z116,"")</f>
        <v/>
      </c>
      <c r="U116" s="215" t="str">
        <f>IF(売分析!V116&lt;&gt;"",売分析!V116,"")</f>
        <v/>
      </c>
      <c r="V116" s="339">
        <f>IF(売分析!W116&lt;&gt;"",売分析!W116,"")</f>
        <v>56.962025316455694</v>
      </c>
      <c r="W116" s="215" t="str">
        <f>IF(売分析!AD116&lt;&gt;"",売分析!AD116,"")</f>
        <v>パーフェクト▲</v>
      </c>
      <c r="X116" s="215" t="e">
        <f>IF(売分析!AE116&lt;&gt;"",売分析!AE116,"")</f>
        <v>#VALUE!</v>
      </c>
      <c r="Y116" s="391">
        <f>IF(売分析!T116&lt;&gt;"",売分析!T116,"")</f>
        <v>0</v>
      </c>
      <c r="Z116" s="215" t="e">
        <f>IF(売分析!Y116&lt;&gt;"",売分析!Y116,"")</f>
        <v>#VALUE!</v>
      </c>
    </row>
    <row r="117" spans="1:26">
      <c r="A117" s="328">
        <f>IF(売分析!C117&lt;&gt;"",ROW()-2,"")</f>
        <v>115</v>
      </c>
      <c r="B117" s="327" t="str">
        <f>IF(売分析!C117&lt;&gt;"",HYPERLINK("https://kabutan.jp/stock/?code="&amp;売分析!C117,"株探"),"")</f>
        <v>株探</v>
      </c>
      <c r="C117" s="343">
        <f>IF(売分析!C117&lt;&gt;"",売分析!C117,"")</f>
        <v>1938</v>
      </c>
      <c r="D117" s="328" t="str">
        <f>IF(売分析!D117&lt;&gt;"",売分析!D117,"")</f>
        <v/>
      </c>
      <c r="E117" s="329" t="str">
        <f>IF(売分析!E117&lt;&gt;"",売分析!E117,"")</f>
        <v/>
      </c>
      <c r="F117" s="329" t="str">
        <f>IF(売分析!F117&lt;&gt;"",売分析!F117,"")</f>
        <v/>
      </c>
      <c r="G117" s="329" t="str">
        <f>IF(売分析!H117&lt;&gt;"",売分析!H117,"")</f>
        <v/>
      </c>
      <c r="H117" s="329" t="str">
        <f>IF(売分析!I117&lt;&gt;"",売分析!I117,"")</f>
        <v/>
      </c>
      <c r="I117" s="328" t="str">
        <f>IF(売分析!J117&lt;&gt;"",売分析!J117,"")</f>
        <v/>
      </c>
      <c r="J117" s="329">
        <f>IF(売分析!AB117&lt;&gt;"",売分析!AB117,"")</f>
        <v>2534.0841013824884</v>
      </c>
      <c r="K117" s="329">
        <f>IF(売分析!AC117&lt;&gt;"",売分析!AC117,"")</f>
        <v>2633.5637663885564</v>
      </c>
      <c r="L117" s="329" t="str">
        <f>IF(売分析!K117&lt;&gt;"",売分析!K117,"")</f>
        <v/>
      </c>
      <c r="M117" s="328" t="str">
        <f>IF(売分析!P117&lt;&gt;"",売分析!P117,"")</f>
        <v/>
      </c>
      <c r="N117" s="331" t="str">
        <f>IF(売分析!O117&lt;&gt;"",売分析!O117,"")</f>
        <v/>
      </c>
      <c r="O117" s="333">
        <f>IF(売分析!X117&lt;&gt;"",売分析!X117,"")</f>
        <v>-26.495366961339187</v>
      </c>
      <c r="P117" s="330" t="str">
        <f>IF(売分析!L117&lt;&gt;"",売分析!L117,"")</f>
        <v/>
      </c>
      <c r="Q117" s="329" t="str">
        <f>IF(売分析!S117&lt;&gt;"",売分析!S117,"")</f>
        <v/>
      </c>
      <c r="R117" s="329" t="str">
        <f>IF(売分析!R117&lt;&gt;"",売分析!R117,"")</f>
        <v/>
      </c>
      <c r="S117" s="328" t="str">
        <f>IF(売分析!AA117&lt;&gt;"",売分析!AA117,"")</f>
        <v/>
      </c>
      <c r="T117" s="334" t="str">
        <f>IF(売分析!Z117&lt;&gt;"",売分析!Z117,"")</f>
        <v/>
      </c>
      <c r="U117" s="328" t="str">
        <f>IF(売分析!V117&lt;&gt;"",売分析!V117,"")</f>
        <v/>
      </c>
      <c r="V117" s="332">
        <f>IF(売分析!W117&lt;&gt;"",売分析!W117,"")</f>
        <v>37.280701754385966</v>
      </c>
      <c r="W117" s="328" t="str">
        <f>IF(売分析!AD117&lt;&gt;"",売分析!AD117,"")</f>
        <v>上昇トレンド▲</v>
      </c>
      <c r="X117" s="328" t="e">
        <f>IF(売分析!AE117&lt;&gt;"",売分析!AE117,"")</f>
        <v>#VALUE!</v>
      </c>
      <c r="Y117" s="390">
        <f>IF(売分析!T117&lt;&gt;"",売分析!T117,"")</f>
        <v>0</v>
      </c>
      <c r="Z117" s="328" t="e">
        <f>IF(売分析!Y117&lt;&gt;"",売分析!Y117,"")</f>
        <v>#VALUE!</v>
      </c>
    </row>
    <row r="118" spans="1:26">
      <c r="A118" s="215">
        <f>IF(売分析!C118&lt;&gt;"",ROW()-2,"")</f>
        <v>116</v>
      </c>
      <c r="B118" s="335" t="str">
        <f>IF(売分析!C118&lt;&gt;"",HYPERLINK("https://kabutan.jp/stock/?code="&amp;売分析!C118,"株探"),"")</f>
        <v>株探</v>
      </c>
      <c r="C118" s="344">
        <f>IF(売分析!C118&lt;&gt;"",売分析!C118,"")</f>
        <v>5410</v>
      </c>
      <c r="D118" s="215" t="str">
        <f>IF(売分析!D118&lt;&gt;"",売分析!D118,"")</f>
        <v/>
      </c>
      <c r="E118" s="336" t="str">
        <f>IF(売分析!E118&lt;&gt;"",売分析!E118,"")</f>
        <v/>
      </c>
      <c r="F118" s="336" t="str">
        <f>IF(売分析!F118&lt;&gt;"",売分析!F118,"")</f>
        <v/>
      </c>
      <c r="G118" s="336" t="str">
        <f>IF(売分析!H118&lt;&gt;"",売分析!H118,"")</f>
        <v/>
      </c>
      <c r="H118" s="336" t="str">
        <f>IF(売分析!I118&lt;&gt;"",売分析!I118,"")</f>
        <v/>
      </c>
      <c r="I118" s="215" t="str">
        <f>IF(売分析!J118&lt;&gt;"",売分析!J118,"")</f>
        <v/>
      </c>
      <c r="J118" s="336">
        <f>IF(売分析!AB118&lt;&gt;"",売分析!AB118,"")</f>
        <v>2683.1670506912437</v>
      </c>
      <c r="K118" s="336">
        <f>IF(売分析!AC118&lt;&gt;"",売分析!AC118,"")</f>
        <v>2641.9547079856961</v>
      </c>
      <c r="L118" s="336" t="str">
        <f>IF(売分析!K118&lt;&gt;"",売分析!K118,"")</f>
        <v/>
      </c>
      <c r="M118" s="215" t="str">
        <f>IF(売分析!P118&lt;&gt;"",売分析!P118,"")</f>
        <v/>
      </c>
      <c r="N118" s="338" t="str">
        <f>IF(売分析!O118&lt;&gt;"",売分析!O118,"")</f>
        <v/>
      </c>
      <c r="O118" s="340">
        <f>IF(売分析!X118&lt;&gt;"",売分析!X118,"")</f>
        <v>13.642157467591005</v>
      </c>
      <c r="P118" s="337" t="str">
        <f>IF(売分析!L118&lt;&gt;"",売分析!L118,"")</f>
        <v/>
      </c>
      <c r="Q118" s="336" t="str">
        <f>IF(売分析!S118&lt;&gt;"",売分析!S118,"")</f>
        <v/>
      </c>
      <c r="R118" s="336" t="str">
        <f>IF(売分析!R118&lt;&gt;"",売分析!R118,"")</f>
        <v/>
      </c>
      <c r="S118" s="215" t="str">
        <f>IF(売分析!AA118&lt;&gt;"",売分析!AA118,"")</f>
        <v/>
      </c>
      <c r="T118" s="341" t="str">
        <f>IF(売分析!Z118&lt;&gt;"",売分析!Z118,"")</f>
        <v/>
      </c>
      <c r="U118" s="215" t="str">
        <f>IF(売分析!V118&lt;&gt;"",売分析!V118,"")</f>
        <v/>
      </c>
      <c r="V118" s="339">
        <f>IF(売分析!W118&lt;&gt;"",売分析!W118,"")</f>
        <v>70.192307692307693</v>
      </c>
      <c r="W118" s="215" t="str">
        <f>IF(売分析!AD118&lt;&gt;"",売分析!AD118,"")</f>
        <v>パーフェクト▲</v>
      </c>
      <c r="X118" s="215" t="e">
        <f>IF(売分析!AE118&lt;&gt;"",売分析!AE118,"")</f>
        <v>#VALUE!</v>
      </c>
      <c r="Y118" s="391">
        <f>IF(売分析!T118&lt;&gt;"",売分析!T118,"")</f>
        <v>0</v>
      </c>
      <c r="Z118" s="215" t="e">
        <f>IF(売分析!Y118&lt;&gt;"",売分析!Y118,"")</f>
        <v>#VALUE!</v>
      </c>
    </row>
    <row r="119" spans="1:26">
      <c r="A119" s="328">
        <f>IF(売分析!C119&lt;&gt;"",ROW()-2,"")</f>
        <v>117</v>
      </c>
      <c r="B119" s="327" t="str">
        <f>IF(売分析!C119&lt;&gt;"",HYPERLINK("https://kabutan.jp/stock/?code="&amp;売分析!C119,"株探"),"")</f>
        <v>株探</v>
      </c>
      <c r="C119" s="343" t="str">
        <f>IF(売分析!C119&lt;&gt;"",売分析!C119,"")</f>
        <v>7181</v>
      </c>
      <c r="D119" s="328" t="str">
        <f>IF(売分析!D119&lt;&gt;"",売分析!D119,"")</f>
        <v/>
      </c>
      <c r="E119" s="329" t="str">
        <f>IF(売分析!E119&lt;&gt;"",売分析!E119,"")</f>
        <v/>
      </c>
      <c r="F119" s="329" t="str">
        <f>IF(売分析!F119&lt;&gt;"",売分析!F119,"")</f>
        <v/>
      </c>
      <c r="G119" s="329" t="str">
        <f>IF(売分析!H119&lt;&gt;"",売分析!H119,"")</f>
        <v/>
      </c>
      <c r="H119" s="329" t="str">
        <f>IF(売分析!I119&lt;&gt;"",売分析!I119,"")</f>
        <v/>
      </c>
      <c r="I119" s="328" t="str">
        <f>IF(売分析!J119&lt;&gt;"",売分析!J119,"")</f>
        <v/>
      </c>
      <c r="J119" s="329">
        <f>IF(売分析!AB119&lt;&gt;"",売分析!AB119,"")</f>
        <v>1636.3179723502303</v>
      </c>
      <c r="K119" s="329">
        <f>IF(売分析!AC119&lt;&gt;"",売分析!AC119,"")</f>
        <v>1591.3194278903447</v>
      </c>
      <c r="L119" s="329" t="str">
        <f>IF(売分析!K119&lt;&gt;"",売分析!K119,"")</f>
        <v/>
      </c>
      <c r="M119" s="328" t="str">
        <f>IF(売分析!P119&lt;&gt;"",売分析!P119,"")</f>
        <v/>
      </c>
      <c r="N119" s="331" t="str">
        <f>IF(売分析!O119&lt;&gt;"",売分析!O119,"")</f>
        <v/>
      </c>
      <c r="O119" s="333">
        <f>IF(売分析!X119&lt;&gt;"",売分析!X119,"")</f>
        <v>20.255425113139381</v>
      </c>
      <c r="P119" s="330" t="str">
        <f>IF(売分析!L119&lt;&gt;"",売分析!L119,"")</f>
        <v/>
      </c>
      <c r="Q119" s="329" t="str">
        <f>IF(売分析!S119&lt;&gt;"",売分析!S119,"")</f>
        <v/>
      </c>
      <c r="R119" s="329" t="str">
        <f>IF(売分析!R119&lt;&gt;"",売分析!R119,"")</f>
        <v/>
      </c>
      <c r="S119" s="328" t="str">
        <f>IF(売分析!AA119&lt;&gt;"",売分析!AA119,"")</f>
        <v/>
      </c>
      <c r="T119" s="334" t="str">
        <f>IF(売分析!Z119&lt;&gt;"",売分析!Z119,"")</f>
        <v/>
      </c>
      <c r="U119" s="328" t="str">
        <f>IF(売分析!V119&lt;&gt;"",売分析!V119,"")</f>
        <v/>
      </c>
      <c r="V119" s="332">
        <f>IF(売分析!W119&lt;&gt;"",売分析!W119,"")</f>
        <v>83.389261744966447</v>
      </c>
      <c r="W119" s="328" t="str">
        <f>IF(売分析!AD119&lt;&gt;"",売分析!AD119,"")</f>
        <v>パーフェクト▲</v>
      </c>
      <c r="X119" s="328" t="e">
        <f>IF(売分析!AE119&lt;&gt;"",売分析!AE119,"")</f>
        <v>#VALUE!</v>
      </c>
      <c r="Y119" s="390">
        <f>IF(売分析!T119&lt;&gt;"",売分析!T119,"")</f>
        <v>0</v>
      </c>
      <c r="Z119" s="328" t="e">
        <f>IF(売分析!Y119&lt;&gt;"",売分析!Y119,"")</f>
        <v>#VALUE!</v>
      </c>
    </row>
    <row r="120" spans="1:26">
      <c r="A120" s="215">
        <f>IF(売分析!C120&lt;&gt;"",ROW()-2,"")</f>
        <v>118</v>
      </c>
      <c r="B120" s="335" t="str">
        <f>IF(売分析!C120&lt;&gt;"",HYPERLINK("https://kabutan.jp/stock/?code="&amp;売分析!C120,"株探"),"")</f>
        <v>株探</v>
      </c>
      <c r="C120" s="344">
        <f>IF(売分析!C120&lt;&gt;"",売分析!C120,"")</f>
        <v>6146</v>
      </c>
      <c r="D120" s="215" t="str">
        <f>IF(売分析!D120&lt;&gt;"",売分析!D120,"")</f>
        <v/>
      </c>
      <c r="E120" s="336" t="str">
        <f>IF(売分析!E120&lt;&gt;"",売分析!E120,"")</f>
        <v/>
      </c>
      <c r="F120" s="336" t="str">
        <f>IF(売分析!F120&lt;&gt;"",売分析!F120,"")</f>
        <v/>
      </c>
      <c r="G120" s="336" t="str">
        <f>IF(売分析!H120&lt;&gt;"",売分析!H120,"")</f>
        <v/>
      </c>
      <c r="H120" s="336" t="str">
        <f>IF(売分析!I120&lt;&gt;"",売分析!I120,"")</f>
        <v/>
      </c>
      <c r="I120" s="215" t="str">
        <f>IF(売分析!J120&lt;&gt;"",売分析!J120,"")</f>
        <v/>
      </c>
      <c r="J120" s="336">
        <f>IF(売分析!AB120&lt;&gt;"",売分析!AB120,"")</f>
        <v>69480.564516129016</v>
      </c>
      <c r="K120" s="336">
        <f>IF(売分析!AC120&lt;&gt;"",売分析!AC120,"")</f>
        <v>75302.514898688882</v>
      </c>
      <c r="L120" s="336" t="str">
        <f>IF(売分析!K120&lt;&gt;"",売分析!K120,"")</f>
        <v/>
      </c>
      <c r="M120" s="215" t="str">
        <f>IF(売分析!P120&lt;&gt;"",売分析!P120,"")</f>
        <v/>
      </c>
      <c r="N120" s="338" t="str">
        <f>IF(売分析!O120&lt;&gt;"",売分析!O120,"")</f>
        <v/>
      </c>
      <c r="O120" s="340">
        <f>IF(売分析!X120&lt;&gt;"",売分析!X120,"")</f>
        <v>-1604.3127261292684</v>
      </c>
      <c r="P120" s="337" t="str">
        <f>IF(売分析!L120&lt;&gt;"",売分析!L120,"")</f>
        <v/>
      </c>
      <c r="Q120" s="336" t="str">
        <f>IF(売分析!S120&lt;&gt;"",売分析!S120,"")</f>
        <v/>
      </c>
      <c r="R120" s="336" t="str">
        <f>IF(売分析!R120&lt;&gt;"",売分析!R120,"")</f>
        <v/>
      </c>
      <c r="S120" s="215" t="str">
        <f>IF(売分析!AA120&lt;&gt;"",売分析!AA120,"")</f>
        <v/>
      </c>
      <c r="T120" s="341" t="str">
        <f>IF(売分析!Z120&lt;&gt;"",売分析!Z120,"")</f>
        <v/>
      </c>
      <c r="U120" s="215" t="str">
        <f>IF(売分析!V120&lt;&gt;"",売分析!V120,"")</f>
        <v/>
      </c>
      <c r="V120" s="339">
        <f>IF(売分析!W120&lt;&gt;"",売分析!W120,"")</f>
        <v>34.956395348837219</v>
      </c>
      <c r="W120" s="215" t="str">
        <f>IF(売分析!AD120&lt;&gt;"",売分析!AD120,"")</f>
        <v>上昇トレンド▲</v>
      </c>
      <c r="X120" s="215" t="e">
        <f>IF(売分析!AE120&lt;&gt;"",売分析!AE120,"")</f>
        <v>#VALUE!</v>
      </c>
      <c r="Y120" s="391">
        <f>IF(売分析!T120&lt;&gt;"",売分析!T120,"")</f>
        <v>0</v>
      </c>
      <c r="Z120" s="215" t="e">
        <f>IF(売分析!Y120&lt;&gt;"",売分析!Y120,"")</f>
        <v>#VALUE!</v>
      </c>
    </row>
    <row r="121" spans="1:26">
      <c r="A121" s="328">
        <f>IF(売分析!C121&lt;&gt;"",ROW()-2,"")</f>
        <v>119</v>
      </c>
      <c r="B121" s="327" t="str">
        <f>IF(売分析!C121&lt;&gt;"",HYPERLINK("https://kabutan.jp/stock/?code="&amp;売分析!C121,"株探"),"")</f>
        <v>株探</v>
      </c>
      <c r="C121" s="343">
        <f>IF(売分析!C121&lt;&gt;"",売分析!C121,"")</f>
        <v>1812</v>
      </c>
      <c r="D121" s="328" t="str">
        <f>IF(売分析!D121&lt;&gt;"",売分析!D121,"")</f>
        <v/>
      </c>
      <c r="E121" s="329" t="str">
        <f>IF(売分析!E121&lt;&gt;"",売分析!E121,"")</f>
        <v/>
      </c>
      <c r="F121" s="329" t="str">
        <f>IF(売分析!F121&lt;&gt;"",売分析!F121,"")</f>
        <v/>
      </c>
      <c r="G121" s="329" t="str">
        <f>IF(売分析!H121&lt;&gt;"",売分析!H121,"")</f>
        <v/>
      </c>
      <c r="H121" s="329" t="str">
        <f>IF(売分析!I121&lt;&gt;"",売分析!I121,"")</f>
        <v/>
      </c>
      <c r="I121" s="328" t="str">
        <f>IF(売分析!J121&lt;&gt;"",売分析!J121,"")</f>
        <v/>
      </c>
      <c r="J121" s="329">
        <f>IF(売分析!AB121&lt;&gt;"",売分析!AB121,"")</f>
        <v>5608.5103686635939</v>
      </c>
      <c r="K121" s="329">
        <f>IF(売分析!AC121&lt;&gt;"",売分析!AC121,"")</f>
        <v>5777.9725864123948</v>
      </c>
      <c r="L121" s="329" t="str">
        <f>IF(売分析!K121&lt;&gt;"",売分析!K121,"")</f>
        <v/>
      </c>
      <c r="M121" s="328" t="str">
        <f>IF(売分析!P121&lt;&gt;"",売分析!P121,"")</f>
        <v/>
      </c>
      <c r="N121" s="331" t="str">
        <f>IF(売分析!O121&lt;&gt;"",売分析!O121,"")</f>
        <v/>
      </c>
      <c r="O121" s="333">
        <f>IF(売分析!X121&lt;&gt;"",売分析!X121,"")</f>
        <v>-7.995494330099973</v>
      </c>
      <c r="P121" s="330" t="str">
        <f>IF(売分析!L121&lt;&gt;"",売分析!L121,"")</f>
        <v/>
      </c>
      <c r="Q121" s="329" t="str">
        <f>IF(売分析!S121&lt;&gt;"",売分析!S121,"")</f>
        <v/>
      </c>
      <c r="R121" s="329" t="str">
        <f>IF(売分析!R121&lt;&gt;"",売分析!R121,"")</f>
        <v/>
      </c>
      <c r="S121" s="328" t="str">
        <f>IF(売分析!AA121&lt;&gt;"",売分析!AA121,"")</f>
        <v/>
      </c>
      <c r="T121" s="334" t="str">
        <f>IF(売分析!Z121&lt;&gt;"",売分析!Z121,"")</f>
        <v/>
      </c>
      <c r="U121" s="328" t="str">
        <f>IF(売分析!V121&lt;&gt;"",売分析!V121,"")</f>
        <v/>
      </c>
      <c r="V121" s="332">
        <f>IF(売分析!W121&lt;&gt;"",売分析!W121,"")</f>
        <v>51.629254163649534</v>
      </c>
      <c r="W121" s="328" t="str">
        <f>IF(売分析!AD121&lt;&gt;"",売分析!AD121,"")</f>
        <v>上昇トレンド▲</v>
      </c>
      <c r="X121" s="328" t="e">
        <f>IF(売分析!AE121&lt;&gt;"",売分析!AE121,"")</f>
        <v>#VALUE!</v>
      </c>
      <c r="Y121" s="390">
        <f>IF(売分析!T121&lt;&gt;"",売分析!T121,"")</f>
        <v>0</v>
      </c>
      <c r="Z121" s="328" t="e">
        <f>IF(売分析!Y121&lt;&gt;"",売分析!Y121,"")</f>
        <v>#VALUE!</v>
      </c>
    </row>
    <row r="122" spans="1:26">
      <c r="A122" s="215">
        <f>IF(売分析!C122&lt;&gt;"",ROW()-2,"")</f>
        <v>120</v>
      </c>
      <c r="B122" s="335" t="str">
        <f>IF(売分析!C122&lt;&gt;"",HYPERLINK("https://kabutan.jp/stock/?code="&amp;売分析!C122,"株探"),"")</f>
        <v>株探</v>
      </c>
      <c r="C122" s="344">
        <f>IF(売分析!C122&lt;&gt;"",売分析!C122,"")</f>
        <v>1662</v>
      </c>
      <c r="D122" s="215" t="str">
        <f>IF(売分析!D122&lt;&gt;"",売分析!D122,"")</f>
        <v/>
      </c>
      <c r="E122" s="336" t="str">
        <f>IF(売分析!E122&lt;&gt;"",売分析!E122,"")</f>
        <v/>
      </c>
      <c r="F122" s="336" t="str">
        <f>IF(売分析!F122&lt;&gt;"",売分析!F122,"")</f>
        <v/>
      </c>
      <c r="G122" s="336" t="str">
        <f>IF(売分析!H122&lt;&gt;"",売分析!H122,"")</f>
        <v/>
      </c>
      <c r="H122" s="336" t="str">
        <f>IF(売分析!I122&lt;&gt;"",売分析!I122,"")</f>
        <v/>
      </c>
      <c r="I122" s="215" t="str">
        <f>IF(売分析!J122&lt;&gt;"",売分析!J122,"")</f>
        <v/>
      </c>
      <c r="J122" s="336">
        <f>IF(売分析!AB122&lt;&gt;"",売分析!AB122,"")</f>
        <v>1685.7972350230414</v>
      </c>
      <c r="K122" s="336">
        <f>IF(売分析!AC122&lt;&gt;"",売分析!AC122,"")</f>
        <v>1652.9713945172814</v>
      </c>
      <c r="L122" s="336" t="str">
        <f>IF(売分析!K122&lt;&gt;"",売分析!K122,"")</f>
        <v/>
      </c>
      <c r="M122" s="215" t="str">
        <f>IF(売分析!P122&lt;&gt;"",売分析!P122,"")</f>
        <v/>
      </c>
      <c r="N122" s="338" t="str">
        <f>IF(売分析!O122&lt;&gt;"",売分析!O122,"")</f>
        <v/>
      </c>
      <c r="O122" s="340">
        <f>IF(売分析!X122&lt;&gt;"",売分析!X122,"")</f>
        <v>8.5506091808999827</v>
      </c>
      <c r="P122" s="337" t="str">
        <f>IF(売分析!L122&lt;&gt;"",売分析!L122,"")</f>
        <v/>
      </c>
      <c r="Q122" s="336" t="str">
        <f>IF(売分析!S122&lt;&gt;"",売分析!S122,"")</f>
        <v/>
      </c>
      <c r="R122" s="336" t="str">
        <f>IF(売分析!R122&lt;&gt;"",売分析!R122,"")</f>
        <v/>
      </c>
      <c r="S122" s="215" t="str">
        <f>IF(売分析!AA122&lt;&gt;"",売分析!AA122,"")</f>
        <v/>
      </c>
      <c r="T122" s="341" t="str">
        <f>IF(売分析!Z122&lt;&gt;"",売分析!Z122,"")</f>
        <v/>
      </c>
      <c r="U122" s="215" t="str">
        <f>IF(売分析!V122&lt;&gt;"",売分析!V122,"")</f>
        <v/>
      </c>
      <c r="V122" s="339">
        <f>IF(売分析!W122&lt;&gt;"",売分析!W122,"")</f>
        <v>71.935483870967744</v>
      </c>
      <c r="W122" s="215" t="str">
        <f>IF(売分析!AD122&lt;&gt;"",売分析!AD122,"")</f>
        <v>パーフェクト▲</v>
      </c>
      <c r="X122" s="215" t="e">
        <f>IF(売分析!AE122&lt;&gt;"",売分析!AE122,"")</f>
        <v>#VALUE!</v>
      </c>
      <c r="Y122" s="391">
        <f>IF(売分析!T122&lt;&gt;"",売分析!T122,"")</f>
        <v>0</v>
      </c>
      <c r="Z122" s="215" t="e">
        <f>IF(売分析!Y122&lt;&gt;"",売分析!Y122,"")</f>
        <v>#VALUE!</v>
      </c>
    </row>
    <row r="123" spans="1:26">
      <c r="A123" s="328">
        <f>IF(売分析!C123&lt;&gt;"",ROW()-2,"")</f>
        <v>121</v>
      </c>
      <c r="B123" s="327" t="str">
        <f>IF(売分析!C123&lt;&gt;"",HYPERLINK("https://kabutan.jp/stock/?code="&amp;売分析!C123,"株探"),"")</f>
        <v>株探</v>
      </c>
      <c r="C123" s="343">
        <f>IF(売分析!C123&lt;&gt;"",売分析!C123,"")</f>
        <v>3861</v>
      </c>
      <c r="D123" s="328" t="str">
        <f>IF(売分析!D123&lt;&gt;"",売分析!D123,"")</f>
        <v/>
      </c>
      <c r="E123" s="329" t="str">
        <f>IF(売分析!E123&lt;&gt;"",売分析!E123,"")</f>
        <v/>
      </c>
      <c r="F123" s="329" t="str">
        <f>IF(売分析!F123&lt;&gt;"",売分析!F123,"")</f>
        <v/>
      </c>
      <c r="G123" s="329" t="str">
        <f>IF(売分析!H123&lt;&gt;"",売分析!H123,"")</f>
        <v/>
      </c>
      <c r="H123" s="329" t="str">
        <f>IF(売分析!I123&lt;&gt;"",売分析!I123,"")</f>
        <v/>
      </c>
      <c r="I123" s="328" t="str">
        <f>IF(売分析!J123&lt;&gt;"",売分析!J123,"")</f>
        <v/>
      </c>
      <c r="J123" s="329">
        <f>IF(売分析!AB123&lt;&gt;"",売分析!AB123,"")</f>
        <v>828.57511520737319</v>
      </c>
      <c r="K123" s="329">
        <f>IF(売分析!AC123&lt;&gt;"",売分析!AC123,"")</f>
        <v>812.83825983313432</v>
      </c>
      <c r="L123" s="329" t="str">
        <f>IF(売分析!K123&lt;&gt;"",売分析!K123,"")</f>
        <v/>
      </c>
      <c r="M123" s="328" t="str">
        <f>IF(売分析!P123&lt;&gt;"",売分析!P123,"")</f>
        <v/>
      </c>
      <c r="N123" s="331" t="str">
        <f>IF(売分析!O123&lt;&gt;"",売分析!O123,"")</f>
        <v/>
      </c>
      <c r="O123" s="333">
        <f>IF(売分析!X123&lt;&gt;"",売分析!X123,"")</f>
        <v>5.4107855468303114</v>
      </c>
      <c r="P123" s="330" t="str">
        <f>IF(売分析!L123&lt;&gt;"",売分析!L123,"")</f>
        <v/>
      </c>
      <c r="Q123" s="329" t="str">
        <f>IF(売分析!S123&lt;&gt;"",売分析!S123,"")</f>
        <v/>
      </c>
      <c r="R123" s="329" t="str">
        <f>IF(売分析!R123&lt;&gt;"",売分析!R123,"")</f>
        <v/>
      </c>
      <c r="S123" s="328" t="str">
        <f>IF(売分析!AA123&lt;&gt;"",売分析!AA123,"")</f>
        <v/>
      </c>
      <c r="T123" s="334" t="str">
        <f>IF(売分析!Z123&lt;&gt;"",売分析!Z123,"")</f>
        <v/>
      </c>
      <c r="U123" s="328" t="str">
        <f>IF(売分析!V123&lt;&gt;"",売分析!V123,"")</f>
        <v/>
      </c>
      <c r="V123" s="332">
        <f>IF(売分析!W123&lt;&gt;"",売分析!W123,"")</f>
        <v>73.858921161825762</v>
      </c>
      <c r="W123" s="328" t="str">
        <f>IF(売分析!AD123&lt;&gt;"",売分析!AD123,"")</f>
        <v>パーフェクト▲</v>
      </c>
      <c r="X123" s="328" t="e">
        <f>IF(売分析!AE123&lt;&gt;"",売分析!AE123,"")</f>
        <v>#VALUE!</v>
      </c>
      <c r="Y123" s="390">
        <f>IF(売分析!T123&lt;&gt;"",売分析!T123,"")</f>
        <v>0</v>
      </c>
      <c r="Z123" s="328" t="e">
        <f>IF(売分析!Y123&lt;&gt;"",売分析!Y123,"")</f>
        <v>#VALUE!</v>
      </c>
    </row>
    <row r="124" spans="1:26">
      <c r="A124" s="215">
        <f>IF(売分析!C124&lt;&gt;"",ROW()-2,"")</f>
        <v>122</v>
      </c>
      <c r="B124" s="335" t="str">
        <f>IF(売分析!C124&lt;&gt;"",HYPERLINK("https://kabutan.jp/stock/?code="&amp;売分析!C124,"株探"),"")</f>
        <v>株探</v>
      </c>
      <c r="C124" s="344">
        <f>IF(売分析!C124&lt;&gt;"",売分析!C124,"")</f>
        <v>4540</v>
      </c>
      <c r="D124" s="215" t="str">
        <f>IF(売分析!D124&lt;&gt;"",売分析!D124,"")</f>
        <v/>
      </c>
      <c r="E124" s="336" t="str">
        <f>IF(売分析!E124&lt;&gt;"",売分析!E124,"")</f>
        <v/>
      </c>
      <c r="F124" s="336" t="str">
        <f>IF(売分析!F124&lt;&gt;"",売分析!F124,"")</f>
        <v/>
      </c>
      <c r="G124" s="336" t="str">
        <f>IF(売分析!H124&lt;&gt;"",売分析!H124,"")</f>
        <v/>
      </c>
      <c r="H124" s="336" t="str">
        <f>IF(売分析!I124&lt;&gt;"",売分析!I124,"")</f>
        <v/>
      </c>
      <c r="I124" s="215" t="str">
        <f>IF(売分析!J124&lt;&gt;"",売分析!J124,"")</f>
        <v/>
      </c>
      <c r="J124" s="336">
        <f>IF(売分析!AB124&lt;&gt;"",売分析!AB124,"")</f>
        <v>3852.5679723502299</v>
      </c>
      <c r="K124" s="336">
        <f>IF(売分析!AC124&lt;&gt;"",売分析!AC124,"")</f>
        <v>3787.5423122765183</v>
      </c>
      <c r="L124" s="336" t="str">
        <f>IF(売分析!K124&lt;&gt;"",売分析!K124,"")</f>
        <v/>
      </c>
      <c r="M124" s="215" t="str">
        <f>IF(売分析!P124&lt;&gt;"",売分析!P124,"")</f>
        <v/>
      </c>
      <c r="N124" s="338" t="str">
        <f>IF(売分析!O124&lt;&gt;"",売分析!O124,"")</f>
        <v/>
      </c>
      <c r="O124" s="340">
        <f>IF(売分析!X124&lt;&gt;"",売分析!X124,"")</f>
        <v>15.405092362253981</v>
      </c>
      <c r="P124" s="337" t="str">
        <f>IF(売分析!L124&lt;&gt;"",売分析!L124,"")</f>
        <v/>
      </c>
      <c r="Q124" s="336" t="str">
        <f>IF(売分析!S124&lt;&gt;"",売分析!S124,"")</f>
        <v/>
      </c>
      <c r="R124" s="336" t="str">
        <f>IF(売分析!R124&lt;&gt;"",売分析!R124,"")</f>
        <v/>
      </c>
      <c r="S124" s="215" t="str">
        <f>IF(売分析!AA124&lt;&gt;"",売分析!AA124,"")</f>
        <v/>
      </c>
      <c r="T124" s="341" t="str">
        <f>IF(売分析!Z124&lt;&gt;"",売分析!Z124,"")</f>
        <v/>
      </c>
      <c r="U124" s="215" t="str">
        <f>IF(売分析!V124&lt;&gt;"",売分析!V124,"")</f>
        <v/>
      </c>
      <c r="V124" s="339">
        <f>IF(売分析!W124&lt;&gt;"",売分析!W124,"")</f>
        <v>74.382716049382722</v>
      </c>
      <c r="W124" s="215" t="str">
        <f>IF(売分析!AD124&lt;&gt;"",売分析!AD124,"")</f>
        <v>パーフェクト▲</v>
      </c>
      <c r="X124" s="215" t="e">
        <f>IF(売分析!AE124&lt;&gt;"",売分析!AE124,"")</f>
        <v>#VALUE!</v>
      </c>
      <c r="Y124" s="391">
        <f>IF(売分析!T124&lt;&gt;"",売分析!T124,"")</f>
        <v>0</v>
      </c>
      <c r="Z124" s="215" t="e">
        <f>IF(売分析!Y124&lt;&gt;"",売分析!Y124,"")</f>
        <v>#VALUE!</v>
      </c>
    </row>
    <row r="125" spans="1:26">
      <c r="A125" s="328">
        <f>IF(売分析!C125&lt;&gt;"",ROW()-2,"")</f>
        <v>123</v>
      </c>
      <c r="B125" s="327" t="str">
        <f>IF(売分析!C125&lt;&gt;"",HYPERLINK("https://kabutan.jp/stock/?code="&amp;売分析!C125,"株探"),"")</f>
        <v>株探</v>
      </c>
      <c r="C125" s="343">
        <f>IF(売分析!C125&lt;&gt;"",売分析!C125,"")</f>
        <v>4536</v>
      </c>
      <c r="D125" s="328" t="str">
        <f>IF(売分析!D125&lt;&gt;"",売分析!D125,"")</f>
        <v/>
      </c>
      <c r="E125" s="329" t="str">
        <f>IF(売分析!E125&lt;&gt;"",売分析!E125,"")</f>
        <v/>
      </c>
      <c r="F125" s="329" t="str">
        <f>IF(売分析!F125&lt;&gt;"",売分析!F125,"")</f>
        <v/>
      </c>
      <c r="G125" s="329" t="str">
        <f>IF(売分析!H125&lt;&gt;"",売分析!H125,"")</f>
        <v/>
      </c>
      <c r="H125" s="329" t="str">
        <f>IF(売分析!I125&lt;&gt;"",売分析!I125,"")</f>
        <v/>
      </c>
      <c r="I125" s="328" t="str">
        <f>IF(売分析!J125&lt;&gt;"",売分析!J125,"")</f>
        <v/>
      </c>
      <c r="J125" s="329">
        <f>IF(売分析!AB125&lt;&gt;"",売分析!AB125,"")</f>
        <v>2091.2782258064517</v>
      </c>
      <c r="K125" s="329">
        <f>IF(売分析!AC125&lt;&gt;"",売分析!AC125,"")</f>
        <v>2104.7848629320611</v>
      </c>
      <c r="L125" s="329" t="str">
        <f>IF(売分析!K125&lt;&gt;"",売分析!K125,"")</f>
        <v/>
      </c>
      <c r="M125" s="328" t="str">
        <f>IF(売分析!P125&lt;&gt;"",売分析!P125,"")</f>
        <v/>
      </c>
      <c r="N125" s="331" t="str">
        <f>IF(売分析!O125&lt;&gt;"",売分析!O125,"")</f>
        <v/>
      </c>
      <c r="O125" s="333">
        <f>IF(売分析!X125&lt;&gt;"",売分析!X125,"")</f>
        <v>15.502735443144502</v>
      </c>
      <c r="P125" s="330" t="str">
        <f>IF(売分析!L125&lt;&gt;"",売分析!L125,"")</f>
        <v/>
      </c>
      <c r="Q125" s="329" t="str">
        <f>IF(売分析!S125&lt;&gt;"",売分析!S125,"")</f>
        <v/>
      </c>
      <c r="R125" s="329" t="str">
        <f>IF(売分析!R125&lt;&gt;"",売分析!R125,"")</f>
        <v/>
      </c>
      <c r="S125" s="328" t="str">
        <f>IF(売分析!AA125&lt;&gt;"",売分析!AA125,"")</f>
        <v/>
      </c>
      <c r="T125" s="334" t="str">
        <f>IF(売分析!Z125&lt;&gt;"",売分析!Z125,"")</f>
        <v/>
      </c>
      <c r="U125" s="328" t="str">
        <f>IF(売分析!V125&lt;&gt;"",売分析!V125,"")</f>
        <v/>
      </c>
      <c r="V125" s="332">
        <f>IF(売分析!W125&lt;&gt;"",売分析!W125,"")</f>
        <v>45.559210526315788</v>
      </c>
      <c r="W125" s="328" t="str">
        <f>IF(売分析!AD125&lt;&gt;"",売分析!AD125,"")</f>
        <v>上昇トレンド▲</v>
      </c>
      <c r="X125" s="328" t="e">
        <f>IF(売分析!AE125&lt;&gt;"",売分析!AE125,"")</f>
        <v>#VALUE!</v>
      </c>
      <c r="Y125" s="390">
        <f>IF(売分析!T125&lt;&gt;"",売分析!T125,"")</f>
        <v>0</v>
      </c>
      <c r="Z125" s="328" t="e">
        <f>IF(売分析!Y125&lt;&gt;"",売分析!Y125,"")</f>
        <v>#VALUE!</v>
      </c>
    </row>
    <row r="126" spans="1:26">
      <c r="A126" s="215">
        <f>IF(売分析!C126&lt;&gt;"",ROW()-2,"")</f>
        <v>124</v>
      </c>
      <c r="B126" s="335" t="str">
        <f>IF(売分析!C126&lt;&gt;"",HYPERLINK("https://kabutan.jp/stock/?code="&amp;売分析!C126,"株探"),"")</f>
        <v>株探</v>
      </c>
      <c r="C126" s="344">
        <f>IF(売分析!C126&lt;&gt;"",売分析!C126,"")</f>
        <v>6501</v>
      </c>
      <c r="D126" s="215" t="str">
        <f>IF(売分析!D126&lt;&gt;"",売分析!D126,"")</f>
        <v/>
      </c>
      <c r="E126" s="336" t="str">
        <f>IF(売分析!E126&lt;&gt;"",売分析!E126,"")</f>
        <v/>
      </c>
      <c r="F126" s="336" t="str">
        <f>IF(売分析!F126&lt;&gt;"",売分析!F126,"")</f>
        <v/>
      </c>
      <c r="G126" s="336" t="str">
        <f>IF(売分析!H126&lt;&gt;"",売分析!H126,"")</f>
        <v/>
      </c>
      <c r="H126" s="336" t="str">
        <f>IF(売分析!I126&lt;&gt;"",売分析!I126,"")</f>
        <v/>
      </c>
      <c r="I126" s="215" t="str">
        <f>IF(売分析!J126&lt;&gt;"",売分析!J126,"")</f>
        <v/>
      </c>
      <c r="J126" s="336">
        <f>IF(売分析!AB126&lt;&gt;"",売分析!AB126,"")</f>
        <v>4750.2914746543765</v>
      </c>
      <c r="K126" s="336">
        <f>IF(売分析!AC126&lt;&gt;"",売分析!AC126,"")</f>
        <v>4702.3539928486271</v>
      </c>
      <c r="L126" s="336" t="str">
        <f>IF(売分析!K126&lt;&gt;"",売分析!K126,"")</f>
        <v/>
      </c>
      <c r="M126" s="215" t="str">
        <f>IF(売分析!P126&lt;&gt;"",売分析!P126,"")</f>
        <v/>
      </c>
      <c r="N126" s="338" t="str">
        <f>IF(売分析!O126&lt;&gt;"",売分析!O126,"")</f>
        <v/>
      </c>
      <c r="O126" s="340">
        <f>IF(売分析!X126&lt;&gt;"",売分析!X126,"")</f>
        <v>11.914322617110884</v>
      </c>
      <c r="P126" s="337" t="str">
        <f>IF(売分析!L126&lt;&gt;"",売分析!L126,"")</f>
        <v/>
      </c>
      <c r="Q126" s="336" t="str">
        <f>IF(売分析!S126&lt;&gt;"",売分析!S126,"")</f>
        <v/>
      </c>
      <c r="R126" s="336" t="str">
        <f>IF(売分析!R126&lt;&gt;"",売分析!R126,"")</f>
        <v/>
      </c>
      <c r="S126" s="215" t="str">
        <f>IF(売分析!AA126&lt;&gt;"",売分析!AA126,"")</f>
        <v/>
      </c>
      <c r="T126" s="341" t="str">
        <f>IF(売分析!Z126&lt;&gt;"",売分析!Z126,"")</f>
        <v/>
      </c>
      <c r="U126" s="215" t="str">
        <f>IF(売分析!V126&lt;&gt;"",売分析!V126,"")</f>
        <v/>
      </c>
      <c r="V126" s="339">
        <f>IF(売分析!W126&lt;&gt;"",売分析!W126,"")</f>
        <v>66.047745358090182</v>
      </c>
      <c r="W126" s="215" t="str">
        <f>IF(売分析!AD126&lt;&gt;"",売分析!AD126,"")</f>
        <v>パーフェクト▲</v>
      </c>
      <c r="X126" s="215" t="e">
        <f>IF(売分析!AE126&lt;&gt;"",売分析!AE126,"")</f>
        <v>#VALUE!</v>
      </c>
      <c r="Y126" s="391">
        <f>IF(売分析!T126&lt;&gt;"",売分析!T126,"")</f>
        <v>0</v>
      </c>
      <c r="Z126" s="215" t="e">
        <f>IF(売分析!Y126&lt;&gt;"",売分析!Y126,"")</f>
        <v>#VALUE!</v>
      </c>
    </row>
    <row r="127" spans="1:26">
      <c r="A127" s="328">
        <f>IF(売分析!C127&lt;&gt;"",ROW()-2,"")</f>
        <v>125</v>
      </c>
      <c r="B127" s="327" t="str">
        <f>IF(売分析!C127&lt;&gt;"",HYPERLINK("https://kabutan.jp/stock/?code="&amp;売分析!C127,"株探"),"")</f>
        <v>株探</v>
      </c>
      <c r="C127" s="343">
        <f>IF(売分析!C127&lt;&gt;"",売分析!C127,"")</f>
        <v>4008</v>
      </c>
      <c r="D127" s="328" t="str">
        <f>IF(売分析!D127&lt;&gt;"",売分析!D127,"")</f>
        <v/>
      </c>
      <c r="E127" s="329" t="str">
        <f>IF(売分析!E127&lt;&gt;"",売分析!E127,"")</f>
        <v/>
      </c>
      <c r="F127" s="329" t="str">
        <f>IF(売分析!F127&lt;&gt;"",売分析!F127,"")</f>
        <v/>
      </c>
      <c r="G127" s="329" t="str">
        <f>IF(売分析!H127&lt;&gt;"",売分析!H127,"")</f>
        <v/>
      </c>
      <c r="H127" s="329" t="str">
        <f>IF(売分析!I127&lt;&gt;"",売分析!I127,"")</f>
        <v/>
      </c>
      <c r="I127" s="328" t="str">
        <f>IF(売分析!J127&lt;&gt;"",売分析!J127,"")</f>
        <v/>
      </c>
      <c r="J127" s="329">
        <f>IF(売分析!AB127&lt;&gt;"",売分析!AB127,"")</f>
        <v>1281.3721198156679</v>
      </c>
      <c r="K127" s="329">
        <f>IF(売分析!AC127&lt;&gt;"",売分析!AC127,"")</f>
        <v>1292.3706793802137</v>
      </c>
      <c r="L127" s="329" t="str">
        <f>IF(売分析!K127&lt;&gt;"",売分析!K127,"")</f>
        <v/>
      </c>
      <c r="M127" s="328" t="str">
        <f>IF(売分析!P127&lt;&gt;"",売分析!P127,"")</f>
        <v/>
      </c>
      <c r="N127" s="331" t="str">
        <f>IF(売分析!O127&lt;&gt;"",売分析!O127,"")</f>
        <v/>
      </c>
      <c r="O127" s="333">
        <f>IF(売分析!X127&lt;&gt;"",売分析!X127,"")</f>
        <v>-0.88402676336045261</v>
      </c>
      <c r="P127" s="330" t="str">
        <f>IF(売分析!L127&lt;&gt;"",売分析!L127,"")</f>
        <v/>
      </c>
      <c r="Q127" s="329" t="str">
        <f>IF(売分析!S127&lt;&gt;"",売分析!S127,"")</f>
        <v/>
      </c>
      <c r="R127" s="329" t="str">
        <f>IF(売分析!R127&lt;&gt;"",売分析!R127,"")</f>
        <v/>
      </c>
      <c r="S127" s="328" t="str">
        <f>IF(売分析!AA127&lt;&gt;"",売分析!AA127,"")</f>
        <v/>
      </c>
      <c r="T127" s="334" t="str">
        <f>IF(売分析!Z127&lt;&gt;"",売分析!Z127,"")</f>
        <v/>
      </c>
      <c r="U127" s="328" t="str">
        <f>IF(売分析!V127&lt;&gt;"",売分析!V127,"")</f>
        <v/>
      </c>
      <c r="V127" s="332">
        <f>IF(売分析!W127&lt;&gt;"",売分析!W127,"")</f>
        <v>53.795379537953799</v>
      </c>
      <c r="W127" s="328" t="str">
        <f>IF(売分析!AD127&lt;&gt;"",売分析!AD127,"")</f>
        <v>上昇トレンド▲</v>
      </c>
      <c r="X127" s="328" t="e">
        <f>IF(売分析!AE127&lt;&gt;"",売分析!AE127,"")</f>
        <v>#VALUE!</v>
      </c>
      <c r="Y127" s="390">
        <f>IF(売分析!T127&lt;&gt;"",売分析!T127,"")</f>
        <v>0</v>
      </c>
      <c r="Z127" s="328" t="e">
        <f>IF(売分析!Y127&lt;&gt;"",売分析!Y127,"")</f>
        <v>#VALUE!</v>
      </c>
    </row>
    <row r="128" spans="1:26">
      <c r="A128" s="215">
        <f>IF(売分析!C128&lt;&gt;"",ROW()-2,"")</f>
        <v>126</v>
      </c>
      <c r="B128" s="335" t="str">
        <f>IF(売分析!C128&lt;&gt;"",HYPERLINK("https://kabutan.jp/stock/?code="&amp;売分析!C128,"株探"),"")</f>
        <v>株探</v>
      </c>
      <c r="C128" s="344">
        <f>IF(売分析!C128&lt;&gt;"",売分析!C128,"")</f>
        <v>9882</v>
      </c>
      <c r="D128" s="215" t="str">
        <f>IF(売分析!D128&lt;&gt;"",売分析!D128,"")</f>
        <v/>
      </c>
      <c r="E128" s="336" t="str">
        <f>IF(売分析!E128&lt;&gt;"",売分析!E128,"")</f>
        <v/>
      </c>
      <c r="F128" s="336" t="str">
        <f>IF(売分析!F128&lt;&gt;"",売分析!F128,"")</f>
        <v/>
      </c>
      <c r="G128" s="336" t="str">
        <f>IF(売分析!H128&lt;&gt;"",売分析!H128,"")</f>
        <v/>
      </c>
      <c r="H128" s="336" t="str">
        <f>IF(売分析!I128&lt;&gt;"",売分析!I128,"")</f>
        <v/>
      </c>
      <c r="I128" s="215" t="str">
        <f>IF(売分析!J128&lt;&gt;"",売分析!J128,"")</f>
        <v/>
      </c>
      <c r="J128" s="336">
        <f>IF(売分析!AB128&lt;&gt;"",売分析!AB128,"")</f>
        <v>1817.0276497695854</v>
      </c>
      <c r="K128" s="336">
        <f>IF(売分析!AC128&lt;&gt;"",売分析!AC128,"")</f>
        <v>1789.6030989272936</v>
      </c>
      <c r="L128" s="336" t="str">
        <f>IF(売分析!K128&lt;&gt;"",売分析!K128,"")</f>
        <v/>
      </c>
      <c r="M128" s="215" t="str">
        <f>IF(売分析!P128&lt;&gt;"",売分析!P128,"")</f>
        <v/>
      </c>
      <c r="N128" s="338" t="str">
        <f>IF(売分析!O128&lt;&gt;"",売分析!O128,"")</f>
        <v/>
      </c>
      <c r="O128" s="340">
        <f>IF(売分析!X128&lt;&gt;"",売分析!X128,"")</f>
        <v>11.044226811919998</v>
      </c>
      <c r="P128" s="337" t="str">
        <f>IF(売分析!L128&lt;&gt;"",売分析!L128,"")</f>
        <v/>
      </c>
      <c r="Q128" s="336" t="str">
        <f>IF(売分析!S128&lt;&gt;"",売分析!S128,"")</f>
        <v/>
      </c>
      <c r="R128" s="336" t="str">
        <f>IF(売分析!R128&lt;&gt;"",売分析!R128,"")</f>
        <v/>
      </c>
      <c r="S128" s="215" t="str">
        <f>IF(売分析!AA128&lt;&gt;"",売分析!AA128,"")</f>
        <v/>
      </c>
      <c r="T128" s="341" t="str">
        <f>IF(売分析!Z128&lt;&gt;"",売分析!Z128,"")</f>
        <v/>
      </c>
      <c r="U128" s="215" t="str">
        <f>IF(売分析!V128&lt;&gt;"",売分析!V128,"")</f>
        <v/>
      </c>
      <c r="V128" s="339">
        <f>IF(売分析!W128&lt;&gt;"",売分析!W128,"")</f>
        <v>65.217391304347828</v>
      </c>
      <c r="W128" s="215" t="str">
        <f>IF(売分析!AD128&lt;&gt;"",売分析!AD128,"")</f>
        <v>パーフェクト▲</v>
      </c>
      <c r="X128" s="215" t="e">
        <f>IF(売分析!AE128&lt;&gt;"",売分析!AE128,"")</f>
        <v>#VALUE!</v>
      </c>
      <c r="Y128" s="391">
        <f>IF(売分析!T128&lt;&gt;"",売分析!T128,"")</f>
        <v>0</v>
      </c>
      <c r="Z128" s="215" t="e">
        <f>IF(売分析!Y128&lt;&gt;"",売分析!Y128,"")</f>
        <v>#VALUE!</v>
      </c>
    </row>
    <row r="129" spans="1:26">
      <c r="A129" s="328">
        <f>IF(売分析!C129&lt;&gt;"",ROW()-2,"")</f>
        <v>127</v>
      </c>
      <c r="B129" s="327" t="str">
        <f>IF(売分析!C129&lt;&gt;"",HYPERLINK("https://kabutan.jp/stock/?code="&amp;売分析!C129,"株探"),"")</f>
        <v>株探</v>
      </c>
      <c r="C129" s="343">
        <f>IF(売分析!C129&lt;&gt;"",売分析!C129,"")</f>
        <v>8801</v>
      </c>
      <c r="D129" s="328" t="str">
        <f>IF(売分析!D129&lt;&gt;"",売分析!D129,"")</f>
        <v/>
      </c>
      <c r="E129" s="329" t="str">
        <f>IF(売分析!E129&lt;&gt;"",売分析!E129,"")</f>
        <v/>
      </c>
      <c r="F129" s="329" t="str">
        <f>IF(売分析!F129&lt;&gt;"",売分析!F129,"")</f>
        <v/>
      </c>
      <c r="G129" s="329" t="str">
        <f>IF(売分析!H129&lt;&gt;"",売分析!H129,"")</f>
        <v/>
      </c>
      <c r="H129" s="329" t="str">
        <f>IF(売分析!I129&lt;&gt;"",売分析!I129,"")</f>
        <v/>
      </c>
      <c r="I129" s="328" t="str">
        <f>IF(売分析!J129&lt;&gt;"",売分析!J129,"")</f>
        <v/>
      </c>
      <c r="J129" s="329">
        <f>IF(売分析!AB129&lt;&gt;"",売分析!AB129,"")</f>
        <v>1538.1129032258061</v>
      </c>
      <c r="K129" s="329">
        <f>IF(売分析!AC129&lt;&gt;"",売分析!AC129,"")</f>
        <v>1520.7365911799754</v>
      </c>
      <c r="L129" s="329" t="str">
        <f>IF(売分析!K129&lt;&gt;"",売分析!K129,"")</f>
        <v/>
      </c>
      <c r="M129" s="328" t="str">
        <f>IF(売分析!P129&lt;&gt;"",売分析!P129,"")</f>
        <v/>
      </c>
      <c r="N129" s="331" t="str">
        <f>IF(売分析!O129&lt;&gt;"",売分析!O129,"")</f>
        <v/>
      </c>
      <c r="O129" s="333">
        <f>IF(売分析!X129&lt;&gt;"",売分析!X129,"")</f>
        <v>6.2471859464496902</v>
      </c>
      <c r="P129" s="330" t="str">
        <f>IF(売分析!L129&lt;&gt;"",売分析!L129,"")</f>
        <v/>
      </c>
      <c r="Q129" s="329" t="str">
        <f>IF(売分析!S129&lt;&gt;"",売分析!S129,"")</f>
        <v/>
      </c>
      <c r="R129" s="329" t="str">
        <f>IF(売分析!R129&lt;&gt;"",売分析!R129,"")</f>
        <v/>
      </c>
      <c r="S129" s="328" t="str">
        <f>IF(売分析!AA129&lt;&gt;"",売分析!AA129,"")</f>
        <v/>
      </c>
      <c r="T129" s="334" t="str">
        <f>IF(売分析!Z129&lt;&gt;"",売分析!Z129,"")</f>
        <v/>
      </c>
      <c r="U129" s="328" t="str">
        <f>IF(売分析!V129&lt;&gt;"",売分析!V129,"")</f>
        <v/>
      </c>
      <c r="V129" s="332">
        <f>IF(売分析!W129&lt;&gt;"",売分析!W129,"")</f>
        <v>65.73705179282868</v>
      </c>
      <c r="W129" s="328" t="str">
        <f>IF(売分析!AD129&lt;&gt;"",売分析!AD129,"")</f>
        <v>パーフェクト▲</v>
      </c>
      <c r="X129" s="328" t="e">
        <f>IF(売分析!AE129&lt;&gt;"",売分析!AE129,"")</f>
        <v>#VALUE!</v>
      </c>
      <c r="Y129" s="390">
        <f>IF(売分析!T129&lt;&gt;"",売分析!T129,"")</f>
        <v>0</v>
      </c>
      <c r="Z129" s="328" t="e">
        <f>IF(売分析!Y129&lt;&gt;"",売分析!Y129,"")</f>
        <v>#VALUE!</v>
      </c>
    </row>
    <row r="130" spans="1:26">
      <c r="A130" s="215">
        <f>IF(売分析!C130&lt;&gt;"",ROW()-2,"")</f>
        <v>128</v>
      </c>
      <c r="B130" s="335" t="str">
        <f>IF(売分析!C130&lt;&gt;"",HYPERLINK("https://kabutan.jp/stock/?code="&amp;売分析!C130,"株探"),"")</f>
        <v>株探</v>
      </c>
      <c r="C130" s="344">
        <f>IF(売分析!C130&lt;&gt;"",売分析!C130,"")</f>
        <v>6777</v>
      </c>
      <c r="D130" s="215" t="str">
        <f>IF(売分析!D130&lt;&gt;"",売分析!D130,"")</f>
        <v/>
      </c>
      <c r="E130" s="336" t="str">
        <f>IF(売分析!E130&lt;&gt;"",売分析!E130,"")</f>
        <v/>
      </c>
      <c r="F130" s="336" t="str">
        <f>IF(売分析!F130&lt;&gt;"",売分析!F130,"")</f>
        <v/>
      </c>
      <c r="G130" s="336" t="str">
        <f>IF(売分析!H130&lt;&gt;"",売分析!H130,"")</f>
        <v/>
      </c>
      <c r="H130" s="336" t="str">
        <f>IF(売分析!I130&lt;&gt;"",売分析!I130,"")</f>
        <v/>
      </c>
      <c r="I130" s="215" t="str">
        <f>IF(売分析!J130&lt;&gt;"",売分析!J130,"")</f>
        <v/>
      </c>
      <c r="J130" s="336">
        <f>IF(売分析!AB130&lt;&gt;"",売分析!AB130,"")</f>
        <v>20271.67050691244</v>
      </c>
      <c r="K130" s="336">
        <f>IF(売分析!AC130&lt;&gt;"",売分析!AC130,"")</f>
        <v>23048.641239570916</v>
      </c>
      <c r="L130" s="336" t="str">
        <f>IF(売分析!K130&lt;&gt;"",売分析!K130,"")</f>
        <v/>
      </c>
      <c r="M130" s="215" t="str">
        <f>IF(売分析!P130&lt;&gt;"",売分析!P130,"")</f>
        <v/>
      </c>
      <c r="N130" s="338" t="str">
        <f>IF(売分析!O130&lt;&gt;"",売分析!O130,"")</f>
        <v/>
      </c>
      <c r="O130" s="340">
        <f>IF(売分析!X130&lt;&gt;"",売分析!X130,"")</f>
        <v>-957.55830105994028</v>
      </c>
      <c r="P130" s="337" t="str">
        <f>IF(売分析!L130&lt;&gt;"",売分析!L130,"")</f>
        <v/>
      </c>
      <c r="Q130" s="336" t="str">
        <f>IF(売分析!S130&lt;&gt;"",売分析!S130,"")</f>
        <v/>
      </c>
      <c r="R130" s="336" t="str">
        <f>IF(売分析!R130&lt;&gt;"",売分析!R130,"")</f>
        <v/>
      </c>
      <c r="S130" s="215" t="str">
        <f>IF(売分析!AA130&lt;&gt;"",売分析!AA130,"")</f>
        <v/>
      </c>
      <c r="T130" s="341" t="str">
        <f>IF(売分析!Z130&lt;&gt;"",売分析!Z130,"")</f>
        <v/>
      </c>
      <c r="U130" s="215" t="str">
        <f>IF(売分析!V130&lt;&gt;"",売分析!V130,"")</f>
        <v/>
      </c>
      <c r="V130" s="339">
        <f>IF(売分析!W130&lt;&gt;"",売分析!W130,"")</f>
        <v>18.655967903711144</v>
      </c>
      <c r="W130" s="215" t="str">
        <f>IF(売分析!AD130&lt;&gt;"",売分析!AD130,"")</f>
        <v>上昇トレンド▲</v>
      </c>
      <c r="X130" s="215" t="e">
        <f>IF(売分析!AE130&lt;&gt;"",売分析!AE130,"")</f>
        <v>#VALUE!</v>
      </c>
      <c r="Y130" s="391">
        <f>IF(売分析!T130&lt;&gt;"",売分析!T130,"")</f>
        <v>0</v>
      </c>
      <c r="Z130" s="215" t="e">
        <f>IF(売分析!Y130&lt;&gt;"",売分析!Y130,"")</f>
        <v>#VALUE!</v>
      </c>
    </row>
    <row r="131" spans="1:26">
      <c r="A131" s="328">
        <f>IF(売分析!C131&lt;&gt;"",ROW()-2,"")</f>
        <v>129</v>
      </c>
      <c r="B131" s="327" t="str">
        <f>IF(売分析!C131&lt;&gt;"",HYPERLINK("https://kabutan.jp/stock/?code="&amp;売分析!C131,"株探"),"")</f>
        <v>株探</v>
      </c>
      <c r="C131" s="343">
        <f>IF(売分析!C131&lt;&gt;"",売分析!C131,"")</f>
        <v>4888</v>
      </c>
      <c r="D131" s="328" t="str">
        <f>IF(売分析!D131&lt;&gt;"",売分析!D131,"")</f>
        <v/>
      </c>
      <c r="E131" s="329" t="str">
        <f>IF(売分析!E131&lt;&gt;"",売分析!E131,"")</f>
        <v/>
      </c>
      <c r="F131" s="329" t="str">
        <f>IF(売分析!F131&lt;&gt;"",売分析!F131,"")</f>
        <v/>
      </c>
      <c r="G131" s="329" t="str">
        <f>IF(売分析!H131&lt;&gt;"",売分析!H131,"")</f>
        <v/>
      </c>
      <c r="H131" s="329" t="str">
        <f>IF(売分析!I131&lt;&gt;"",売分析!I131,"")</f>
        <v/>
      </c>
      <c r="I131" s="328" t="str">
        <f>IF(売分析!J131&lt;&gt;"",売分析!J131,"")</f>
        <v/>
      </c>
      <c r="J131" s="329">
        <f>IF(売分析!AB131&lt;&gt;"",売分析!AB131,"")</f>
        <v>320.43433179723507</v>
      </c>
      <c r="K131" s="329">
        <f>IF(売分析!AC131&lt;&gt;"",売分析!AC131,"")</f>
        <v>316.83075089392128</v>
      </c>
      <c r="L131" s="329" t="str">
        <f>IF(売分析!K131&lt;&gt;"",売分析!K131,"")</f>
        <v/>
      </c>
      <c r="M131" s="328" t="str">
        <f>IF(売分析!P131&lt;&gt;"",売分析!P131,"")</f>
        <v/>
      </c>
      <c r="N131" s="331" t="str">
        <f>IF(売分析!O131&lt;&gt;"",売分析!O131,"")</f>
        <v/>
      </c>
      <c r="O131" s="333">
        <f>IF(売分析!X131&lt;&gt;"",売分析!X131,"")</f>
        <v>-0.41793869582352272</v>
      </c>
      <c r="P131" s="330" t="str">
        <f>IF(売分析!L131&lt;&gt;"",売分析!L131,"")</f>
        <v/>
      </c>
      <c r="Q131" s="329" t="str">
        <f>IF(売分析!S131&lt;&gt;"",売分析!S131,"")</f>
        <v/>
      </c>
      <c r="R131" s="329" t="str">
        <f>IF(売分析!R131&lt;&gt;"",売分析!R131,"")</f>
        <v/>
      </c>
      <c r="S131" s="328" t="str">
        <f>IF(売分析!AA131&lt;&gt;"",売分析!AA131,"")</f>
        <v/>
      </c>
      <c r="T131" s="334" t="str">
        <f>IF(売分析!Z131&lt;&gt;"",売分析!Z131,"")</f>
        <v/>
      </c>
      <c r="U131" s="328" t="str">
        <f>IF(売分析!V131&lt;&gt;"",売分析!V131,"")</f>
        <v/>
      </c>
      <c r="V131" s="332">
        <f>IF(売分析!W131&lt;&gt;"",売分析!W131,"")</f>
        <v>64.367816091954026</v>
      </c>
      <c r="W131" s="328" t="str">
        <f>IF(売分析!AD131&lt;&gt;"",売分析!AD131,"")</f>
        <v>パーフェクト▲</v>
      </c>
      <c r="X131" s="328" t="e">
        <f>IF(売分析!AE131&lt;&gt;"",売分析!AE131,"")</f>
        <v>#VALUE!</v>
      </c>
      <c r="Y131" s="390">
        <f>IF(売分析!T131&lt;&gt;"",売分析!T131,"")</f>
        <v>0</v>
      </c>
      <c r="Z131" s="328" t="e">
        <f>IF(売分析!Y131&lt;&gt;"",売分析!Y131,"")</f>
        <v>#VALUE!</v>
      </c>
    </row>
    <row r="132" spans="1:26">
      <c r="A132" s="215">
        <f>IF(売分析!C132&lt;&gt;"",ROW()-2,"")</f>
        <v>130</v>
      </c>
      <c r="B132" s="335" t="str">
        <f>IF(売分析!C132&lt;&gt;"",HYPERLINK("https://kabutan.jp/stock/?code="&amp;売分析!C132,"株探"),"")</f>
        <v>株探</v>
      </c>
      <c r="C132" s="344">
        <f>IF(売分析!C132&lt;&gt;"",売分析!C132,"")</f>
        <v>4088</v>
      </c>
      <c r="D132" s="215" t="str">
        <f>IF(売分析!D132&lt;&gt;"",売分析!D132,"")</f>
        <v/>
      </c>
      <c r="E132" s="336" t="str">
        <f>IF(売分析!E132&lt;&gt;"",売分析!E132,"")</f>
        <v/>
      </c>
      <c r="F132" s="336" t="str">
        <f>IF(売分析!F132&lt;&gt;"",売分析!F132,"")</f>
        <v/>
      </c>
      <c r="G132" s="336" t="str">
        <f>IF(売分析!H132&lt;&gt;"",売分析!H132,"")</f>
        <v/>
      </c>
      <c r="H132" s="336" t="str">
        <f>IF(売分析!I132&lt;&gt;"",売分析!I132,"")</f>
        <v/>
      </c>
      <c r="I132" s="215" t="str">
        <f>IF(売分析!J132&lt;&gt;"",売分析!J132,"")</f>
        <v/>
      </c>
      <c r="J132" s="336">
        <f>IF(売分析!AB132&lt;&gt;"",売分析!AB132,"")</f>
        <v>2548.0817972350228</v>
      </c>
      <c r="K132" s="336">
        <f>IF(売分析!AC132&lt;&gt;"",売分析!AC132,"")</f>
        <v>2627.4314660309892</v>
      </c>
      <c r="L132" s="336" t="str">
        <f>IF(売分析!K132&lt;&gt;"",売分析!K132,"")</f>
        <v/>
      </c>
      <c r="M132" s="215" t="str">
        <f>IF(売分析!P132&lt;&gt;"",売分析!P132,"")</f>
        <v/>
      </c>
      <c r="N132" s="338" t="str">
        <f>IF(売分析!O132&lt;&gt;"",売分析!O132,"")</f>
        <v/>
      </c>
      <c r="O132" s="340">
        <f>IF(売分析!X132&lt;&gt;"",売分析!X132,"")</f>
        <v>-8.4531282961625038</v>
      </c>
      <c r="P132" s="337" t="str">
        <f>IF(売分析!L132&lt;&gt;"",売分析!L132,"")</f>
        <v/>
      </c>
      <c r="Q132" s="336" t="str">
        <f>IF(売分析!S132&lt;&gt;"",売分析!S132,"")</f>
        <v/>
      </c>
      <c r="R132" s="336" t="str">
        <f>IF(売分析!R132&lt;&gt;"",売分析!R132,"")</f>
        <v/>
      </c>
      <c r="S132" s="215" t="str">
        <f>IF(売分析!AA132&lt;&gt;"",売分析!AA132,"")</f>
        <v/>
      </c>
      <c r="T132" s="341" t="str">
        <f>IF(売分析!Z132&lt;&gt;"",売分析!Z132,"")</f>
        <v/>
      </c>
      <c r="U132" s="215" t="str">
        <f>IF(売分析!V132&lt;&gt;"",売分析!V132,"")</f>
        <v/>
      </c>
      <c r="V132" s="339">
        <f>IF(売分析!W132&lt;&gt;"",売分析!W132,"")</f>
        <v>17.351598173515981</v>
      </c>
      <c r="W132" s="215" t="str">
        <f>IF(売分析!AD132&lt;&gt;"",売分析!AD132,"")</f>
        <v>上昇トレンド▲</v>
      </c>
      <c r="X132" s="215" t="e">
        <f>IF(売分析!AE132&lt;&gt;"",売分析!AE132,"")</f>
        <v>#VALUE!</v>
      </c>
      <c r="Y132" s="391">
        <f>IF(売分析!T132&lt;&gt;"",売分析!T132,"")</f>
        <v>0</v>
      </c>
      <c r="Z132" s="215" t="e">
        <f>IF(売分析!Y132&lt;&gt;"",売分析!Y132,"")</f>
        <v>#VALUE!</v>
      </c>
    </row>
    <row r="133" spans="1:26">
      <c r="A133" s="328">
        <f>IF(売分析!C133&lt;&gt;"",ROW()-2,"")</f>
        <v>131</v>
      </c>
      <c r="B133" s="327" t="str">
        <f>IF(売分析!C133&lt;&gt;"",HYPERLINK("https://kabutan.jp/stock/?code="&amp;売分析!C133,"株探"),"")</f>
        <v>株探</v>
      </c>
      <c r="C133" s="343">
        <f>IF(売分析!C133&lt;&gt;"",売分析!C133,"")</f>
        <v>4733</v>
      </c>
      <c r="D133" s="328" t="str">
        <f>IF(売分析!D133&lt;&gt;"",売分析!D133,"")</f>
        <v/>
      </c>
      <c r="E133" s="329" t="str">
        <f>IF(売分析!E133&lt;&gt;"",売分析!E133,"")</f>
        <v/>
      </c>
      <c r="F133" s="329" t="str">
        <f>IF(売分析!F133&lt;&gt;"",売分析!F133,"")</f>
        <v/>
      </c>
      <c r="G133" s="329" t="str">
        <f>IF(売分析!H133&lt;&gt;"",売分析!H133,"")</f>
        <v/>
      </c>
      <c r="H133" s="329" t="str">
        <f>IF(売分析!I133&lt;&gt;"",売分析!I133,"")</f>
        <v/>
      </c>
      <c r="I133" s="328" t="str">
        <f>IF(売分析!J133&lt;&gt;"",売分析!J133,"")</f>
        <v/>
      </c>
      <c r="J133" s="329">
        <f>IF(売分析!AB133&lt;&gt;"",売分析!AB133,"")</f>
        <v>6575.4573732718882</v>
      </c>
      <c r="K133" s="329">
        <f>IF(売分析!AC133&lt;&gt;"",売分析!AC133,"")</f>
        <v>6309.5733015494616</v>
      </c>
      <c r="L133" s="329" t="str">
        <f>IF(売分析!K133&lt;&gt;"",売分析!K133,"")</f>
        <v/>
      </c>
      <c r="M133" s="328" t="str">
        <f>IF(売分析!P133&lt;&gt;"",売分析!P133,"")</f>
        <v/>
      </c>
      <c r="N133" s="331" t="str">
        <f>IF(売分析!O133&lt;&gt;"",売分析!O133,"")</f>
        <v/>
      </c>
      <c r="O133" s="333">
        <f>IF(売分析!X133&lt;&gt;"",売分析!X133,"")</f>
        <v>112.17079951759115</v>
      </c>
      <c r="P133" s="330" t="str">
        <f>IF(売分析!L133&lt;&gt;"",売分析!L133,"")</f>
        <v/>
      </c>
      <c r="Q133" s="329" t="str">
        <f>IF(売分析!S133&lt;&gt;"",売分析!S133,"")</f>
        <v/>
      </c>
      <c r="R133" s="329" t="str">
        <f>IF(売分析!R133&lt;&gt;"",売分析!R133,"")</f>
        <v/>
      </c>
      <c r="S133" s="328" t="str">
        <f>IF(売分析!AA133&lt;&gt;"",売分析!AA133,"")</f>
        <v/>
      </c>
      <c r="T133" s="334" t="str">
        <f>IF(売分析!Z133&lt;&gt;"",売分析!Z133,"")</f>
        <v/>
      </c>
      <c r="U133" s="328" t="str">
        <f>IF(売分析!V133&lt;&gt;"",売分析!V133,"")</f>
        <v/>
      </c>
      <c r="V133" s="332">
        <f>IF(売分析!W133&lt;&gt;"",売分析!W133,"")</f>
        <v>82.20338983050847</v>
      </c>
      <c r="W133" s="328" t="str">
        <f>IF(売分析!AD133&lt;&gt;"",売分析!AD133,"")</f>
        <v>パーフェクト▲</v>
      </c>
      <c r="X133" s="328" t="e">
        <f>IF(売分析!AE133&lt;&gt;"",売分析!AE133,"")</f>
        <v>#VALUE!</v>
      </c>
      <c r="Y133" s="390">
        <f>IF(売分析!T133&lt;&gt;"",売分析!T133,"")</f>
        <v>0</v>
      </c>
      <c r="Z133" s="328" t="e">
        <f>IF(売分析!Y133&lt;&gt;"",売分析!Y133,"")</f>
        <v>#VALUE!</v>
      </c>
    </row>
    <row r="134" spans="1:26">
      <c r="A134" s="215">
        <f>IF(売分析!C134&lt;&gt;"",ROW()-2,"")</f>
        <v>132</v>
      </c>
      <c r="B134" s="335" t="str">
        <f>IF(売分析!C134&lt;&gt;"",HYPERLINK("https://kabutan.jp/stock/?code="&amp;売分析!C134,"株探"),"")</f>
        <v>株探</v>
      </c>
      <c r="C134" s="344">
        <f>IF(売分析!C134&lt;&gt;"",売分析!C134,"")</f>
        <v>9551</v>
      </c>
      <c r="D134" s="215" t="str">
        <f>IF(売分析!D134&lt;&gt;"",売分析!D134,"")</f>
        <v/>
      </c>
      <c r="E134" s="336" t="str">
        <f>IF(売分析!E134&lt;&gt;"",売分析!E134,"")</f>
        <v/>
      </c>
      <c r="F134" s="336" t="str">
        <f>IF(売分析!F134&lt;&gt;"",売分析!F134,"")</f>
        <v/>
      </c>
      <c r="G134" s="336" t="str">
        <f>IF(売分析!H134&lt;&gt;"",売分析!H134,"")</f>
        <v/>
      </c>
      <c r="H134" s="336" t="str">
        <f>IF(売分析!I134&lt;&gt;"",売分析!I134,"")</f>
        <v/>
      </c>
      <c r="I134" s="215" t="str">
        <f>IF(売分析!J134&lt;&gt;"",売分析!J134,"")</f>
        <v/>
      </c>
      <c r="J134" s="336">
        <f>IF(売分析!AB134&lt;&gt;"",売分析!AB134,"")</f>
        <v>3175.9504608294933</v>
      </c>
      <c r="K134" s="336">
        <f>IF(売分析!AC134&lt;&gt;"",売分析!AC134,"")</f>
        <v>3286.6567342073877</v>
      </c>
      <c r="L134" s="336" t="str">
        <f>IF(売分析!K134&lt;&gt;"",売分析!K134,"")</f>
        <v/>
      </c>
      <c r="M134" s="215" t="str">
        <f>IF(売分析!P134&lt;&gt;"",売分析!P134,"")</f>
        <v/>
      </c>
      <c r="N134" s="338" t="str">
        <f>IF(売分析!O134&lt;&gt;"",売分析!O134,"")</f>
        <v/>
      </c>
      <c r="O134" s="340">
        <f>IF(売分析!X134&lt;&gt;"",売分析!X134,"")</f>
        <v>-37.232246983945515</v>
      </c>
      <c r="P134" s="337" t="str">
        <f>IF(売分析!L134&lt;&gt;"",売分析!L134,"")</f>
        <v/>
      </c>
      <c r="Q134" s="336" t="str">
        <f>IF(売分析!S134&lt;&gt;"",売分析!S134,"")</f>
        <v/>
      </c>
      <c r="R134" s="336" t="str">
        <f>IF(売分析!R134&lt;&gt;"",売分析!R134,"")</f>
        <v/>
      </c>
      <c r="S134" s="215" t="str">
        <f>IF(売分析!AA134&lt;&gt;"",売分析!AA134,"")</f>
        <v/>
      </c>
      <c r="T134" s="341" t="str">
        <f>IF(売分析!Z134&lt;&gt;"",売分析!Z134,"")</f>
        <v/>
      </c>
      <c r="U134" s="215" t="str">
        <f>IF(売分析!V134&lt;&gt;"",売分析!V134,"")</f>
        <v/>
      </c>
      <c r="V134" s="339">
        <f>IF(売分析!W134&lt;&gt;"",売分析!W134,"")</f>
        <v>32.919254658385086</v>
      </c>
      <c r="W134" s="215" t="str">
        <f>IF(売分析!AD134&lt;&gt;"",売分析!AD134,"")</f>
        <v>上昇トレンド▲</v>
      </c>
      <c r="X134" s="215" t="e">
        <f>IF(売分析!AE134&lt;&gt;"",売分析!AE134,"")</f>
        <v>#VALUE!</v>
      </c>
      <c r="Y134" s="391">
        <f>IF(売分析!T134&lt;&gt;"",売分析!T134,"")</f>
        <v>0</v>
      </c>
      <c r="Z134" s="215" t="e">
        <f>IF(売分析!Y134&lt;&gt;"",売分析!Y134,"")</f>
        <v>#VALUE!</v>
      </c>
    </row>
    <row r="135" spans="1:26">
      <c r="A135" s="328">
        <f>IF(売分析!C135&lt;&gt;"",ROW()-2,"")</f>
        <v>133</v>
      </c>
      <c r="B135" s="327" t="str">
        <f>IF(売分析!C135&lt;&gt;"",HYPERLINK("https://kabutan.jp/stock/?code="&amp;売分析!C135,"株探"),"")</f>
        <v>株探</v>
      </c>
      <c r="C135" s="343">
        <f>IF(売分析!C135&lt;&gt;"",売分析!C135,"")</f>
        <v>2359</v>
      </c>
      <c r="D135" s="328" t="str">
        <f>IF(売分析!D135&lt;&gt;"",売分析!D135,"")</f>
        <v/>
      </c>
      <c r="E135" s="329" t="str">
        <f>IF(売分析!E135&lt;&gt;"",売分析!E135,"")</f>
        <v/>
      </c>
      <c r="F135" s="329" t="str">
        <f>IF(売分析!F135&lt;&gt;"",売分析!F135,"")</f>
        <v/>
      </c>
      <c r="G135" s="329" t="str">
        <f>IF(売分析!H135&lt;&gt;"",売分析!H135,"")</f>
        <v/>
      </c>
      <c r="H135" s="329" t="str">
        <f>IF(売分析!I135&lt;&gt;"",売分析!I135,"")</f>
        <v/>
      </c>
      <c r="I135" s="328" t="str">
        <f>IF(売分析!J135&lt;&gt;"",売分析!J135,"")</f>
        <v/>
      </c>
      <c r="J135" s="329">
        <f>IF(売分析!AB135&lt;&gt;"",売分析!AB135,"")</f>
        <v>1995.088709677419</v>
      </c>
      <c r="K135" s="329">
        <f>IF(売分析!AC135&lt;&gt;"",売分析!AC135,"")</f>
        <v>1984.972586412395</v>
      </c>
      <c r="L135" s="329" t="str">
        <f>IF(売分析!K135&lt;&gt;"",売分析!K135,"")</f>
        <v/>
      </c>
      <c r="M135" s="328" t="str">
        <f>IF(売分析!P135&lt;&gt;"",売分析!P135,"")</f>
        <v/>
      </c>
      <c r="N135" s="331" t="str">
        <f>IF(売分析!O135&lt;&gt;"",売分析!O135,"")</f>
        <v/>
      </c>
      <c r="O135" s="333">
        <f>IF(売分析!X135&lt;&gt;"",売分析!X135,"")</f>
        <v>-4.8825003283718615</v>
      </c>
      <c r="P135" s="330" t="str">
        <f>IF(売分析!L135&lt;&gt;"",売分析!L135,"")</f>
        <v/>
      </c>
      <c r="Q135" s="329" t="str">
        <f>IF(売分析!S135&lt;&gt;"",売分析!S135,"")</f>
        <v/>
      </c>
      <c r="R135" s="329" t="str">
        <f>IF(売分析!R135&lt;&gt;"",売分析!R135,"")</f>
        <v/>
      </c>
      <c r="S135" s="328" t="str">
        <f>IF(売分析!AA135&lt;&gt;"",売分析!AA135,"")</f>
        <v/>
      </c>
      <c r="T135" s="334" t="str">
        <f>IF(売分析!Z135&lt;&gt;"",売分析!Z135,"")</f>
        <v/>
      </c>
      <c r="U135" s="328" t="str">
        <f>IF(売分析!V135&lt;&gt;"",売分析!V135,"")</f>
        <v/>
      </c>
      <c r="V135" s="332">
        <f>IF(売分析!W135&lt;&gt;"",売分析!W135,"")</f>
        <v>51.231527093596064</v>
      </c>
      <c r="W135" s="328" t="str">
        <f>IF(売分析!AD135&lt;&gt;"",売分析!AD135,"")</f>
        <v>パーフェクト▲</v>
      </c>
      <c r="X135" s="328" t="e">
        <f>IF(売分析!AE135&lt;&gt;"",売分析!AE135,"")</f>
        <v>#VALUE!</v>
      </c>
      <c r="Y135" s="390">
        <f>IF(売分析!T135&lt;&gt;"",売分析!T135,"")</f>
        <v>0</v>
      </c>
      <c r="Z135" s="328" t="e">
        <f>IF(売分析!Y135&lt;&gt;"",売分析!Y135,"")</f>
        <v>#VALUE!</v>
      </c>
    </row>
    <row r="136" spans="1:26">
      <c r="A136" s="215">
        <f>IF(売分析!C136&lt;&gt;"",ROW()-2,"")</f>
        <v>134</v>
      </c>
      <c r="B136" s="335" t="str">
        <f>IF(売分析!C136&lt;&gt;"",HYPERLINK("https://kabutan.jp/stock/?code="&amp;売分析!C136,"株探"),"")</f>
        <v>株探</v>
      </c>
      <c r="C136" s="344">
        <f>IF(売分析!C136&lt;&gt;"",売分析!C136,"")</f>
        <v>8103</v>
      </c>
      <c r="D136" s="215" t="str">
        <f>IF(売分析!D136&lt;&gt;"",売分析!D136,"")</f>
        <v/>
      </c>
      <c r="E136" s="336" t="str">
        <f>IF(売分析!E136&lt;&gt;"",売分析!E136,"")</f>
        <v/>
      </c>
      <c r="F136" s="336" t="str">
        <f>IF(売分析!F136&lt;&gt;"",売分析!F136,"")</f>
        <v/>
      </c>
      <c r="G136" s="336" t="str">
        <f>IF(売分析!H136&lt;&gt;"",売分析!H136,"")</f>
        <v/>
      </c>
      <c r="H136" s="336" t="str">
        <f>IF(売分析!I136&lt;&gt;"",売分析!I136,"")</f>
        <v/>
      </c>
      <c r="I136" s="215" t="str">
        <f>IF(売分析!J136&lt;&gt;"",売分析!J136,"")</f>
        <v/>
      </c>
      <c r="J136" s="336">
        <f>IF(売分析!AB136&lt;&gt;"",売分析!AB136,"")</f>
        <v>904.04262672811058</v>
      </c>
      <c r="K136" s="336">
        <f>IF(売分析!AC136&lt;&gt;"",売分析!AC136,"")</f>
        <v>892.51609058402823</v>
      </c>
      <c r="L136" s="336" t="str">
        <f>IF(売分析!K136&lt;&gt;"",売分析!K136,"")</f>
        <v/>
      </c>
      <c r="M136" s="215" t="str">
        <f>IF(売分析!P136&lt;&gt;"",売分析!P136,"")</f>
        <v/>
      </c>
      <c r="N136" s="338" t="str">
        <f>IF(売分析!O136&lt;&gt;"",売分析!O136,"")</f>
        <v/>
      </c>
      <c r="O136" s="340">
        <f>IF(売分析!X136&lt;&gt;"",売分析!X136,"")</f>
        <v>5.686195216507258</v>
      </c>
      <c r="P136" s="337" t="str">
        <f>IF(売分析!L136&lt;&gt;"",売分析!L136,"")</f>
        <v/>
      </c>
      <c r="Q136" s="336" t="str">
        <f>IF(売分析!S136&lt;&gt;"",売分析!S136,"")</f>
        <v/>
      </c>
      <c r="R136" s="336" t="str">
        <f>IF(売分析!R136&lt;&gt;"",売分析!R136,"")</f>
        <v/>
      </c>
      <c r="S136" s="215" t="str">
        <f>IF(売分析!AA136&lt;&gt;"",売分析!AA136,"")</f>
        <v/>
      </c>
      <c r="T136" s="341" t="str">
        <f>IF(売分析!Z136&lt;&gt;"",売分析!Z136,"")</f>
        <v/>
      </c>
      <c r="U136" s="215" t="str">
        <f>IF(売分析!V136&lt;&gt;"",売分析!V136,"")</f>
        <v/>
      </c>
      <c r="V136" s="339">
        <f>IF(売分析!W136&lt;&gt;"",売分析!W136,"")</f>
        <v>76.923076923076934</v>
      </c>
      <c r="W136" s="215" t="str">
        <f>IF(売分析!AD136&lt;&gt;"",売分析!AD136,"")</f>
        <v>パーフェクト▲</v>
      </c>
      <c r="X136" s="215" t="e">
        <f>IF(売分析!AE136&lt;&gt;"",売分析!AE136,"")</f>
        <v>#VALUE!</v>
      </c>
      <c r="Y136" s="391">
        <f>IF(売分析!T136&lt;&gt;"",売分析!T136,"")</f>
        <v>0</v>
      </c>
      <c r="Z136" s="215" t="e">
        <f>IF(売分析!Y136&lt;&gt;"",売分析!Y136,"")</f>
        <v>#VALUE!</v>
      </c>
    </row>
    <row r="137" spans="1:26">
      <c r="A137" s="328">
        <f>IF(売分析!C137&lt;&gt;"",ROW()-2,"")</f>
        <v>135</v>
      </c>
      <c r="B137" s="327" t="str">
        <f>IF(売分析!C137&lt;&gt;"",HYPERLINK("https://kabutan.jp/stock/?code="&amp;売分析!C137,"株探"),"")</f>
        <v>株探</v>
      </c>
      <c r="C137" s="343">
        <f>IF(売分析!C137&lt;&gt;"",売分析!C137,"")</f>
        <v>7236</v>
      </c>
      <c r="D137" s="328" t="str">
        <f>IF(売分析!D137&lt;&gt;"",売分析!D137,"")</f>
        <v/>
      </c>
      <c r="E137" s="329" t="str">
        <f>IF(売分析!E137&lt;&gt;"",売分析!E137,"")</f>
        <v/>
      </c>
      <c r="F137" s="329" t="str">
        <f>IF(売分析!F137&lt;&gt;"",売分析!F137,"")</f>
        <v/>
      </c>
      <c r="G137" s="329" t="str">
        <f>IF(売分析!H137&lt;&gt;"",売分析!H137,"")</f>
        <v/>
      </c>
      <c r="H137" s="329" t="str">
        <f>IF(売分析!I137&lt;&gt;"",売分析!I137,"")</f>
        <v/>
      </c>
      <c r="I137" s="328" t="str">
        <f>IF(売分析!J137&lt;&gt;"",売分析!J137,"")</f>
        <v/>
      </c>
      <c r="J137" s="329">
        <f>IF(売分析!AB137&lt;&gt;"",売分析!AB137,"")</f>
        <v>1496.6382488479262</v>
      </c>
      <c r="K137" s="329">
        <f>IF(売分析!AC137&lt;&gt;"",売分析!AC137,"")</f>
        <v>4639.3384982121552</v>
      </c>
      <c r="L137" s="329" t="str">
        <f>IF(売分析!K137&lt;&gt;"",売分析!K137,"")</f>
        <v/>
      </c>
      <c r="M137" s="328" t="str">
        <f>IF(売分析!P137&lt;&gt;"",売分析!P137,"")</f>
        <v/>
      </c>
      <c r="N137" s="331" t="str">
        <f>IF(売分析!O137&lt;&gt;"",売分析!O137,"")</f>
        <v/>
      </c>
      <c r="O137" s="333">
        <f>IF(売分析!X137&lt;&gt;"",売分析!X137,"")</f>
        <v>-1765.0291574954529</v>
      </c>
      <c r="P137" s="330" t="str">
        <f>IF(売分析!L137&lt;&gt;"",売分析!L137,"")</f>
        <v/>
      </c>
      <c r="Q137" s="329" t="str">
        <f>IF(売分析!S137&lt;&gt;"",売分析!S137,"")</f>
        <v/>
      </c>
      <c r="R137" s="329" t="str">
        <f>IF(売分析!R137&lt;&gt;"",売分析!R137,"")</f>
        <v/>
      </c>
      <c r="S137" s="328" t="str">
        <f>IF(売分析!AA137&lt;&gt;"",売分析!AA137,"")</f>
        <v/>
      </c>
      <c r="T137" s="334" t="str">
        <f>IF(売分析!Z137&lt;&gt;"",売分析!Z137,"")</f>
        <v/>
      </c>
      <c r="U137" s="328" t="str">
        <f>IF(売分析!V137&lt;&gt;"",売分析!V137,"")</f>
        <v/>
      </c>
      <c r="V137" s="332">
        <f>IF(売分析!W137&lt;&gt;"",売分析!W137,"")</f>
        <v>3.3934103069557864</v>
      </c>
      <c r="W137" s="328" t="str">
        <f>IF(売分析!AD137&lt;&gt;"",売分析!AD137,"")</f>
        <v>上昇トレンド▲</v>
      </c>
      <c r="X137" s="328" t="e">
        <f>IF(売分析!AE137&lt;&gt;"",売分析!AE137,"")</f>
        <v>#VALUE!</v>
      </c>
      <c r="Y137" s="390">
        <f>IF(売分析!T137&lt;&gt;"",売分析!T137,"")</f>
        <v>0</v>
      </c>
      <c r="Z137" s="328" t="e">
        <f>IF(売分析!Y137&lt;&gt;"",売分析!Y137,"")</f>
        <v>#VALUE!</v>
      </c>
    </row>
    <row r="138" spans="1:26">
      <c r="A138" s="215">
        <f>IF(売分析!C138&lt;&gt;"",ROW()-2,"")</f>
        <v>136</v>
      </c>
      <c r="B138" s="335" t="str">
        <f>IF(売分析!C138&lt;&gt;"",HYPERLINK("https://kabutan.jp/stock/?code="&amp;売分析!C138,"株探"),"")</f>
        <v>株探</v>
      </c>
      <c r="C138" s="344">
        <f>IF(売分析!C138&lt;&gt;"",売分析!C138,"")</f>
        <v>5243</v>
      </c>
      <c r="D138" s="215" t="str">
        <f>IF(売分析!D138&lt;&gt;"",売分析!D138,"")</f>
        <v/>
      </c>
      <c r="E138" s="336" t="str">
        <f>IF(売分析!E138&lt;&gt;"",売分析!E138,"")</f>
        <v/>
      </c>
      <c r="F138" s="336" t="str">
        <f>IF(売分析!F138&lt;&gt;"",売分析!F138,"")</f>
        <v/>
      </c>
      <c r="G138" s="336" t="str">
        <f>IF(売分析!H138&lt;&gt;"",売分析!H138,"")</f>
        <v/>
      </c>
      <c r="H138" s="336" t="str">
        <f>IF(売分析!I138&lt;&gt;"",売分析!I138,"")</f>
        <v/>
      </c>
      <c r="I138" s="215" t="str">
        <f>IF(売分析!J138&lt;&gt;"",売分析!J138,"")</f>
        <v/>
      </c>
      <c r="J138" s="336">
        <f>IF(売分析!AB138&lt;&gt;"",売分析!AB138,"")</f>
        <v>2098.1198156682026</v>
      </c>
      <c r="K138" s="336">
        <f>IF(売分析!AC138&lt;&gt;"",売分析!AC138,"")</f>
        <v>2000.6972586412389</v>
      </c>
      <c r="L138" s="336" t="str">
        <f>IF(売分析!K138&lt;&gt;"",売分析!K138,"")</f>
        <v/>
      </c>
      <c r="M138" s="215" t="str">
        <f>IF(売分析!P138&lt;&gt;"",売分析!P138,"")</f>
        <v/>
      </c>
      <c r="N138" s="338" t="str">
        <f>IF(売分析!O138&lt;&gt;"",売分析!O138,"")</f>
        <v/>
      </c>
      <c r="O138" s="340">
        <f>IF(売分析!X138&lt;&gt;"",売分析!X138,"")</f>
        <v>57.799859894364317</v>
      </c>
      <c r="P138" s="337" t="str">
        <f>IF(売分析!L138&lt;&gt;"",売分析!L138,"")</f>
        <v/>
      </c>
      <c r="Q138" s="336" t="str">
        <f>IF(売分析!S138&lt;&gt;"",売分析!S138,"")</f>
        <v/>
      </c>
      <c r="R138" s="336" t="str">
        <f>IF(売分析!R138&lt;&gt;"",売分析!R138,"")</f>
        <v/>
      </c>
      <c r="S138" s="215" t="str">
        <f>IF(売分析!AA138&lt;&gt;"",売分析!AA138,"")</f>
        <v/>
      </c>
      <c r="T138" s="341" t="str">
        <f>IF(売分析!Z138&lt;&gt;"",売分析!Z138,"")</f>
        <v/>
      </c>
      <c r="U138" s="215" t="str">
        <f>IF(売分析!V138&lt;&gt;"",売分析!V138,"")</f>
        <v/>
      </c>
      <c r="V138" s="339">
        <f>IF(売分析!W138&lt;&gt;"",売分析!W138,"")</f>
        <v>64.868804664723029</v>
      </c>
      <c r="W138" s="215" t="str">
        <f>IF(売分析!AD138&lt;&gt;"",売分析!AD138,"")</f>
        <v>パーフェクト▲</v>
      </c>
      <c r="X138" s="215" t="e">
        <f>IF(売分析!AE138&lt;&gt;"",売分析!AE138,"")</f>
        <v>#VALUE!</v>
      </c>
      <c r="Y138" s="391">
        <f>IF(売分析!T138&lt;&gt;"",売分析!T138,"")</f>
        <v>0</v>
      </c>
      <c r="Z138" s="215" t="e">
        <f>IF(売分析!Y138&lt;&gt;"",売分析!Y138,"")</f>
        <v>#VALUE!</v>
      </c>
    </row>
    <row r="139" spans="1:26">
      <c r="A139" s="328">
        <f>IF(売分析!C139&lt;&gt;"",ROW()-2,"")</f>
        <v>137</v>
      </c>
      <c r="B139" s="327" t="str">
        <f>IF(売分析!C139&lt;&gt;"",HYPERLINK("https://kabutan.jp/stock/?code="&amp;売分析!C139,"株探"),"")</f>
        <v>株探</v>
      </c>
      <c r="C139" s="343">
        <f>IF(売分析!C139&lt;&gt;"",売分析!C139,"")</f>
        <v>6701</v>
      </c>
      <c r="D139" s="328" t="str">
        <f>IF(売分析!D139&lt;&gt;"",売分析!D139,"")</f>
        <v/>
      </c>
      <c r="E139" s="329" t="str">
        <f>IF(売分析!E139&lt;&gt;"",売分析!E139,"")</f>
        <v/>
      </c>
      <c r="F139" s="329" t="str">
        <f>IF(売分析!F139&lt;&gt;"",売分析!F139,"")</f>
        <v/>
      </c>
      <c r="G139" s="329" t="str">
        <f>IF(売分析!H139&lt;&gt;"",売分析!H139,"")</f>
        <v/>
      </c>
      <c r="H139" s="329" t="str">
        <f>IF(売分析!I139&lt;&gt;"",売分析!I139,"")</f>
        <v/>
      </c>
      <c r="I139" s="328" t="str">
        <f>IF(売分析!J139&lt;&gt;"",売分析!J139,"")</f>
        <v/>
      </c>
      <c r="J139" s="329">
        <f>IF(売分析!AB139&lt;&gt;"",売分析!AB139,"")</f>
        <v>4347.7937788018435</v>
      </c>
      <c r="K139" s="329">
        <f>IF(売分析!AC139&lt;&gt;"",売分析!AC139,"")</f>
        <v>4171.205005959474</v>
      </c>
      <c r="L139" s="329" t="str">
        <f>IF(売分析!K139&lt;&gt;"",売分析!K139,"")</f>
        <v/>
      </c>
      <c r="M139" s="328" t="str">
        <f>IF(売分析!P139&lt;&gt;"",売分析!P139,"")</f>
        <v/>
      </c>
      <c r="N139" s="331" t="str">
        <f>IF(売分析!O139&lt;&gt;"",売分析!O139,"")</f>
        <v/>
      </c>
      <c r="O139" s="333">
        <f>IF(売分析!X139&lt;&gt;"",売分析!X139,"")</f>
        <v>75.088797917520424</v>
      </c>
      <c r="P139" s="330" t="str">
        <f>IF(売分析!L139&lt;&gt;"",売分析!L139,"")</f>
        <v/>
      </c>
      <c r="Q139" s="329" t="str">
        <f>IF(売分析!S139&lt;&gt;"",売分析!S139,"")</f>
        <v/>
      </c>
      <c r="R139" s="329" t="str">
        <f>IF(売分析!R139&lt;&gt;"",売分析!R139,"")</f>
        <v/>
      </c>
      <c r="S139" s="328" t="str">
        <f>IF(売分析!AA139&lt;&gt;"",売分析!AA139,"")</f>
        <v/>
      </c>
      <c r="T139" s="334" t="str">
        <f>IF(売分析!Z139&lt;&gt;"",売分析!Z139,"")</f>
        <v/>
      </c>
      <c r="U139" s="328" t="str">
        <f>IF(売分析!V139&lt;&gt;"",売分析!V139,"")</f>
        <v/>
      </c>
      <c r="V139" s="332">
        <f>IF(売分析!W139&lt;&gt;"",売分析!W139,"")</f>
        <v>69.535415079969539</v>
      </c>
      <c r="W139" s="328" t="str">
        <f>IF(売分析!AD139&lt;&gt;"",売分析!AD139,"")</f>
        <v>パーフェクト▲</v>
      </c>
      <c r="X139" s="328" t="e">
        <f>IF(売分析!AE139&lt;&gt;"",売分析!AE139,"")</f>
        <v>#VALUE!</v>
      </c>
      <c r="Y139" s="390">
        <f>IF(売分析!T139&lt;&gt;"",売分析!T139,"")</f>
        <v>0</v>
      </c>
      <c r="Z139" s="328" t="e">
        <f>IF(売分析!Y139&lt;&gt;"",売分析!Y139,"")</f>
        <v>#VALUE!</v>
      </c>
    </row>
    <row r="140" spans="1:26">
      <c r="A140" s="215">
        <f>IF(売分析!C140&lt;&gt;"",ROW()-2,"")</f>
        <v>138</v>
      </c>
      <c r="B140" s="335" t="str">
        <f>IF(売分析!C140&lt;&gt;"",HYPERLINK("https://kabutan.jp/stock/?code="&amp;売分析!C140,"株探"),"")</f>
        <v>株探</v>
      </c>
      <c r="C140" s="344">
        <f>IF(売分析!C140&lt;&gt;"",売分析!C140,"")</f>
        <v>5019</v>
      </c>
      <c r="D140" s="215" t="str">
        <f>IF(売分析!D140&lt;&gt;"",売分析!D140,"")</f>
        <v/>
      </c>
      <c r="E140" s="336" t="str">
        <f>IF(売分析!E140&lt;&gt;"",売分析!E140,"")</f>
        <v/>
      </c>
      <c r="F140" s="336" t="str">
        <f>IF(売分析!F140&lt;&gt;"",売分析!F140,"")</f>
        <v/>
      </c>
      <c r="G140" s="336" t="str">
        <f>IF(売分析!H140&lt;&gt;"",売分析!H140,"")</f>
        <v/>
      </c>
      <c r="H140" s="336" t="str">
        <f>IF(売分析!I140&lt;&gt;"",売分析!I140,"")</f>
        <v/>
      </c>
      <c r="I140" s="215" t="str">
        <f>IF(売分析!J140&lt;&gt;"",売分析!J140,"")</f>
        <v/>
      </c>
      <c r="J140" s="336">
        <f>IF(売分析!AB140&lt;&gt;"",売分析!AB140,"")</f>
        <v>1256.4279953917051</v>
      </c>
      <c r="K140" s="336">
        <f>IF(売分析!AC140&lt;&gt;"",売分析!AC140,"")</f>
        <v>1245.0297973778302</v>
      </c>
      <c r="L140" s="336" t="str">
        <f>IF(売分析!K140&lt;&gt;"",売分析!K140,"")</f>
        <v/>
      </c>
      <c r="M140" s="215" t="str">
        <f>IF(売分析!P140&lt;&gt;"",売分析!P140,"")</f>
        <v/>
      </c>
      <c r="N140" s="338" t="str">
        <f>IF(売分析!O140&lt;&gt;"",売分析!O140,"")</f>
        <v/>
      </c>
      <c r="O140" s="340">
        <f>IF(売分析!X140&lt;&gt;"",売分析!X140,"")</f>
        <v>-0.55317645747618371</v>
      </c>
      <c r="P140" s="337" t="str">
        <f>IF(売分析!L140&lt;&gt;"",売分析!L140,"")</f>
        <v/>
      </c>
      <c r="Q140" s="336" t="str">
        <f>IF(売分析!S140&lt;&gt;"",売分析!S140,"")</f>
        <v/>
      </c>
      <c r="R140" s="336" t="str">
        <f>IF(売分析!R140&lt;&gt;"",売分析!R140,"")</f>
        <v/>
      </c>
      <c r="S140" s="215" t="str">
        <f>IF(売分析!AA140&lt;&gt;"",売分析!AA140,"")</f>
        <v/>
      </c>
      <c r="T140" s="341" t="str">
        <f>IF(売分析!Z140&lt;&gt;"",売分析!Z140,"")</f>
        <v/>
      </c>
      <c r="U140" s="215" t="str">
        <f>IF(売分析!V140&lt;&gt;"",売分析!V140,"")</f>
        <v/>
      </c>
      <c r="V140" s="339">
        <f>IF(売分析!W140&lt;&gt;"",売分析!W140,"")</f>
        <v>71.341463414634148</v>
      </c>
      <c r="W140" s="215" t="str">
        <f>IF(売分析!AD140&lt;&gt;"",売分析!AD140,"")</f>
        <v>パーフェクト▲</v>
      </c>
      <c r="X140" s="215" t="e">
        <f>IF(売分析!AE140&lt;&gt;"",売分析!AE140,"")</f>
        <v>#VALUE!</v>
      </c>
      <c r="Y140" s="391">
        <f>IF(売分析!T140&lt;&gt;"",売分析!T140,"")</f>
        <v>0</v>
      </c>
      <c r="Z140" s="215" t="e">
        <f>IF(売分析!Y140&lt;&gt;"",売分析!Y140,"")</f>
        <v>#VALUE!</v>
      </c>
    </row>
    <row r="141" spans="1:26">
      <c r="A141" s="328">
        <f>IF(売分析!C141&lt;&gt;"",ROW()-2,"")</f>
        <v>139</v>
      </c>
      <c r="B141" s="327" t="str">
        <f>IF(売分析!C141&lt;&gt;"",HYPERLINK("https://kabutan.jp/stock/?code="&amp;売分析!C141,"株探"),"")</f>
        <v>株探</v>
      </c>
      <c r="C141" s="343">
        <f>IF(売分析!C141&lt;&gt;"",売分析!C141,"")</f>
        <v>5020</v>
      </c>
      <c r="D141" s="328" t="str">
        <f>IF(売分析!D141&lt;&gt;"",売分析!D141,"")</f>
        <v/>
      </c>
      <c r="E141" s="329" t="str">
        <f>IF(売分析!E141&lt;&gt;"",売分析!E141,"")</f>
        <v/>
      </c>
      <c r="F141" s="329" t="str">
        <f>IF(売分析!F141&lt;&gt;"",売分析!F141,"")</f>
        <v/>
      </c>
      <c r="G141" s="329" t="str">
        <f>IF(売分析!H141&lt;&gt;"",売分析!H141,"")</f>
        <v/>
      </c>
      <c r="H141" s="329" t="str">
        <f>IF(売分析!I141&lt;&gt;"",売分析!I141,"")</f>
        <v/>
      </c>
      <c r="I141" s="328" t="str">
        <f>IF(売分析!J141&lt;&gt;"",売分析!J141,"")</f>
        <v/>
      </c>
      <c r="J141" s="329">
        <f>IF(売分析!AB141&lt;&gt;"",売分析!AB141,"")</f>
        <v>1259.0841013824884</v>
      </c>
      <c r="K141" s="329">
        <f>IF(売分析!AC141&lt;&gt;"",売分析!AC141,"")</f>
        <v>1241.0941597139447</v>
      </c>
      <c r="L141" s="329" t="str">
        <f>IF(売分析!K141&lt;&gt;"",売分析!K141,"")</f>
        <v/>
      </c>
      <c r="M141" s="328" t="str">
        <f>IF(売分析!P141&lt;&gt;"",売分析!P141,"")</f>
        <v/>
      </c>
      <c r="N141" s="331" t="str">
        <f>IF(売分析!O141&lt;&gt;"",売分析!O141,"")</f>
        <v/>
      </c>
      <c r="O141" s="333">
        <f>IF(売分析!X141&lt;&gt;"",売分析!X141,"")</f>
        <v>4.83623959656029</v>
      </c>
      <c r="P141" s="330" t="str">
        <f>IF(売分析!L141&lt;&gt;"",売分析!L141,"")</f>
        <v/>
      </c>
      <c r="Q141" s="329" t="str">
        <f>IF(売分析!S141&lt;&gt;"",売分析!S141,"")</f>
        <v/>
      </c>
      <c r="R141" s="329" t="str">
        <f>IF(売分析!R141&lt;&gt;"",売分析!R141,"")</f>
        <v/>
      </c>
      <c r="S141" s="328" t="str">
        <f>IF(売分析!AA141&lt;&gt;"",売分析!AA141,"")</f>
        <v/>
      </c>
      <c r="T141" s="334" t="str">
        <f>IF(売分析!Z141&lt;&gt;"",売分析!Z141,"")</f>
        <v/>
      </c>
      <c r="U141" s="328" t="str">
        <f>IF(売分析!V141&lt;&gt;"",売分析!V141,"")</f>
        <v/>
      </c>
      <c r="V141" s="332">
        <f>IF(売分析!W141&lt;&gt;"",売分析!W141,"")</f>
        <v>77.38095238095238</v>
      </c>
      <c r="W141" s="328" t="str">
        <f>IF(売分析!AD141&lt;&gt;"",売分析!AD141,"")</f>
        <v>パーフェクト▲</v>
      </c>
      <c r="X141" s="328" t="e">
        <f>IF(売分析!AE141&lt;&gt;"",売分析!AE141,"")</f>
        <v>#VALUE!</v>
      </c>
      <c r="Y141" s="390">
        <f>IF(売分析!T141&lt;&gt;"",売分析!T141,"")</f>
        <v>0</v>
      </c>
      <c r="Z141" s="328" t="e">
        <f>IF(売分析!Y141&lt;&gt;"",売分析!Y141,"")</f>
        <v>#VALUE!</v>
      </c>
    </row>
    <row r="142" spans="1:26">
      <c r="A142" s="215">
        <f>IF(売分析!C142&lt;&gt;"",ROW()-2,"")</f>
        <v>140</v>
      </c>
      <c r="B142" s="335" t="str">
        <f>IF(売分析!C142&lt;&gt;"",HYPERLINK("https://kabutan.jp/stock/?code="&amp;売分析!C142,"株探"),"")</f>
        <v>株探</v>
      </c>
      <c r="C142" s="344">
        <f>IF(売分析!C142&lt;&gt;"",売分析!C142,"")</f>
        <v>3941</v>
      </c>
      <c r="D142" s="215" t="str">
        <f>IF(売分析!D142&lt;&gt;"",売分析!D142,"")</f>
        <v/>
      </c>
      <c r="E142" s="336" t="str">
        <f>IF(売分析!E142&lt;&gt;"",売分析!E142,"")</f>
        <v/>
      </c>
      <c r="F142" s="336" t="str">
        <f>IF(売分析!F142&lt;&gt;"",売分析!F142,"")</f>
        <v/>
      </c>
      <c r="G142" s="336" t="str">
        <f>IF(売分析!H142&lt;&gt;"",売分析!H142,"")</f>
        <v/>
      </c>
      <c r="H142" s="336" t="str">
        <f>IF(売分析!I142&lt;&gt;"",売分析!I142,"")</f>
        <v/>
      </c>
      <c r="I142" s="215" t="str">
        <f>IF(売分析!J142&lt;&gt;"",売分析!J142,"")</f>
        <v/>
      </c>
      <c r="J142" s="336">
        <f>IF(売分析!AB142&lt;&gt;"",売分析!AB142,"")</f>
        <v>1425.6261520737323</v>
      </c>
      <c r="K142" s="336">
        <f>IF(売分析!AC142&lt;&gt;"",売分析!AC142,"")</f>
        <v>1417.7622169249103</v>
      </c>
      <c r="L142" s="336" t="str">
        <f>IF(売分析!K142&lt;&gt;"",売分析!K142,"")</f>
        <v/>
      </c>
      <c r="M142" s="215" t="str">
        <f>IF(売分析!P142&lt;&gt;"",売分析!P142,"")</f>
        <v/>
      </c>
      <c r="N142" s="338" t="str">
        <f>IF(売分析!O142&lt;&gt;"",売分析!O142,"")</f>
        <v/>
      </c>
      <c r="O142" s="340">
        <f>IF(売分析!X142&lt;&gt;"",売分析!X142,"")</f>
        <v>1.83661274722499</v>
      </c>
      <c r="P142" s="337" t="str">
        <f>IF(売分析!L142&lt;&gt;"",売分析!L142,"")</f>
        <v/>
      </c>
      <c r="Q142" s="336" t="str">
        <f>IF(売分析!S142&lt;&gt;"",売分析!S142,"")</f>
        <v/>
      </c>
      <c r="R142" s="336" t="str">
        <f>IF(売分析!R142&lt;&gt;"",売分析!R142,"")</f>
        <v/>
      </c>
      <c r="S142" s="215" t="str">
        <f>IF(売分析!AA142&lt;&gt;"",売分析!AA142,"")</f>
        <v/>
      </c>
      <c r="T142" s="341" t="str">
        <f>IF(売分析!Z142&lt;&gt;"",売分析!Z142,"")</f>
        <v/>
      </c>
      <c r="U142" s="215" t="str">
        <f>IF(売分析!V142&lt;&gt;"",売分析!V142,"")</f>
        <v/>
      </c>
      <c r="V142" s="339">
        <f>IF(売分析!W142&lt;&gt;"",売分析!W142,"")</f>
        <v>57.777777777777771</v>
      </c>
      <c r="W142" s="215" t="str">
        <f>IF(売分析!AD142&lt;&gt;"",売分析!AD142,"")</f>
        <v>パーフェクト▲</v>
      </c>
      <c r="X142" s="215" t="e">
        <f>IF(売分析!AE142&lt;&gt;"",売分析!AE142,"")</f>
        <v>#VALUE!</v>
      </c>
      <c r="Y142" s="391">
        <f>IF(売分析!T142&lt;&gt;"",売分析!T142,"")</f>
        <v>0</v>
      </c>
      <c r="Z142" s="215" t="e">
        <f>IF(売分析!Y142&lt;&gt;"",売分析!Y142,"")</f>
        <v>#VALUE!</v>
      </c>
    </row>
    <row r="143" spans="1:26">
      <c r="A143" s="328">
        <f>IF(売分析!C143&lt;&gt;"",ROW()-2,"")</f>
        <v>141</v>
      </c>
      <c r="B143" s="327" t="str">
        <f>IF(売分析!C143&lt;&gt;"",HYPERLINK("https://kabutan.jp/stock/?code="&amp;売分析!C143,"株探"),"")</f>
        <v>株探</v>
      </c>
      <c r="C143" s="343">
        <f>IF(売分析!C143&lt;&gt;"",売分析!C143,"")</f>
        <v>3003</v>
      </c>
      <c r="D143" s="328" t="str">
        <f>IF(売分析!D143&lt;&gt;"",売分析!D143,"")</f>
        <v/>
      </c>
      <c r="E143" s="329" t="str">
        <f>IF(売分析!E143&lt;&gt;"",売分析!E143,"")</f>
        <v/>
      </c>
      <c r="F143" s="329" t="str">
        <f>IF(売分析!F143&lt;&gt;"",売分析!F143,"")</f>
        <v/>
      </c>
      <c r="G143" s="329" t="str">
        <f>IF(売分析!H143&lt;&gt;"",売分析!H143,"")</f>
        <v/>
      </c>
      <c r="H143" s="329" t="str">
        <f>IF(売分析!I143&lt;&gt;"",売分析!I143,"")</f>
        <v/>
      </c>
      <c r="I143" s="328" t="str">
        <f>IF(売分析!J143&lt;&gt;"",売分析!J143,"")</f>
        <v/>
      </c>
      <c r="J143" s="329">
        <f>IF(売分析!AB143&lt;&gt;"",売分析!AB143,"")</f>
        <v>1784.4591013824881</v>
      </c>
      <c r="K143" s="329">
        <f>IF(売分析!AC143&lt;&gt;"",売分析!AC143,"")</f>
        <v>1744.3939213349215</v>
      </c>
      <c r="L143" s="329" t="str">
        <f>IF(売分析!K143&lt;&gt;"",売分析!K143,"")</f>
        <v/>
      </c>
      <c r="M143" s="328" t="str">
        <f>IF(売分析!P143&lt;&gt;"",売分析!P143,"")</f>
        <v/>
      </c>
      <c r="N143" s="331" t="str">
        <f>IF(売分析!O143&lt;&gt;"",売分析!O143,"")</f>
        <v/>
      </c>
      <c r="O143" s="333">
        <f>IF(売分析!X143&lt;&gt;"",売分析!X143,"")</f>
        <v>11.004799215090088</v>
      </c>
      <c r="P143" s="330" t="str">
        <f>IF(売分析!L143&lt;&gt;"",売分析!L143,"")</f>
        <v/>
      </c>
      <c r="Q143" s="329" t="str">
        <f>IF(売分析!S143&lt;&gt;"",売分析!S143,"")</f>
        <v/>
      </c>
      <c r="R143" s="329" t="str">
        <f>IF(売分析!R143&lt;&gt;"",売分析!R143,"")</f>
        <v/>
      </c>
      <c r="S143" s="328" t="str">
        <f>IF(売分析!AA143&lt;&gt;"",売分析!AA143,"")</f>
        <v/>
      </c>
      <c r="T143" s="334" t="str">
        <f>IF(売分析!Z143&lt;&gt;"",売分析!Z143,"")</f>
        <v/>
      </c>
      <c r="U143" s="328" t="str">
        <f>IF(売分析!V143&lt;&gt;"",売分析!V143,"")</f>
        <v/>
      </c>
      <c r="V143" s="332">
        <f>IF(売分析!W143&lt;&gt;"",売分析!W143,"")</f>
        <v>67.552182163187865</v>
      </c>
      <c r="W143" s="328" t="str">
        <f>IF(売分析!AD143&lt;&gt;"",売分析!AD143,"")</f>
        <v>パーフェクト▲</v>
      </c>
      <c r="X143" s="328" t="e">
        <f>IF(売分析!AE143&lt;&gt;"",売分析!AE143,"")</f>
        <v>#VALUE!</v>
      </c>
      <c r="Y143" s="390">
        <f>IF(売分析!T143&lt;&gt;"",売分析!T143,"")</f>
        <v>0</v>
      </c>
      <c r="Z143" s="328" t="e">
        <f>IF(売分析!Y143&lt;&gt;"",売分析!Y143,"")</f>
        <v>#VALUE!</v>
      </c>
    </row>
    <row r="144" spans="1:26">
      <c r="A144" s="215">
        <f>IF(売分析!C144&lt;&gt;"",ROW()-2,"")</f>
        <v>142</v>
      </c>
      <c r="B144" s="335" t="str">
        <f>IF(売分析!C144&lt;&gt;"",HYPERLINK("https://kabutan.jp/stock/?code="&amp;売分析!C144,"株探"),"")</f>
        <v>株探</v>
      </c>
      <c r="C144" s="344">
        <f>IF(売分析!C144&lt;&gt;"",売分析!C144,"")</f>
        <v>7746</v>
      </c>
      <c r="D144" s="215" t="str">
        <f>IF(売分析!D144&lt;&gt;"",売分析!D144,"")</f>
        <v/>
      </c>
      <c r="E144" s="336" t="str">
        <f>IF(売分析!E144&lt;&gt;"",売分析!E144,"")</f>
        <v/>
      </c>
      <c r="F144" s="336" t="str">
        <f>IF(売分析!F144&lt;&gt;"",売分析!F144,"")</f>
        <v/>
      </c>
      <c r="G144" s="336" t="str">
        <f>IF(売分析!H144&lt;&gt;"",売分析!H144,"")</f>
        <v/>
      </c>
      <c r="H144" s="336" t="str">
        <f>IF(売分析!I144&lt;&gt;"",売分析!I144,"")</f>
        <v/>
      </c>
      <c r="I144" s="215" t="str">
        <f>IF(売分析!J144&lt;&gt;"",売分析!J144,"")</f>
        <v/>
      </c>
      <c r="J144" s="336">
        <f>IF(売分析!AB144&lt;&gt;"",売分析!AB144,"")</f>
        <v>772.72926267281116</v>
      </c>
      <c r="K144" s="336">
        <f>IF(売分析!AC144&lt;&gt;"",売分析!AC144,"")</f>
        <v>805.83909415971368</v>
      </c>
      <c r="L144" s="336" t="str">
        <f>IF(売分析!K144&lt;&gt;"",売分析!K144,"")</f>
        <v/>
      </c>
      <c r="M144" s="215" t="str">
        <f>IF(売分析!P144&lt;&gt;"",売分析!P144,"")</f>
        <v/>
      </c>
      <c r="N144" s="338" t="str">
        <f>IF(売分析!O144&lt;&gt;"",売分析!O144,"")</f>
        <v/>
      </c>
      <c r="O144" s="340">
        <f>IF(売分析!X144&lt;&gt;"",売分析!X144,"")</f>
        <v>-3.6554854142863178</v>
      </c>
      <c r="P144" s="337" t="str">
        <f>IF(売分析!L144&lt;&gt;"",売分析!L144,"")</f>
        <v/>
      </c>
      <c r="Q144" s="336" t="str">
        <f>IF(売分析!S144&lt;&gt;"",売分析!S144,"")</f>
        <v/>
      </c>
      <c r="R144" s="336" t="str">
        <f>IF(売分析!R144&lt;&gt;"",売分析!R144,"")</f>
        <v/>
      </c>
      <c r="S144" s="215" t="str">
        <f>IF(売分析!AA144&lt;&gt;"",売分析!AA144,"")</f>
        <v/>
      </c>
      <c r="T144" s="341" t="str">
        <f>IF(売分析!Z144&lt;&gt;"",売分析!Z144,"")</f>
        <v/>
      </c>
      <c r="U144" s="215" t="str">
        <f>IF(売分析!V144&lt;&gt;"",売分析!V144,"")</f>
        <v/>
      </c>
      <c r="V144" s="339">
        <f>IF(売分析!W144&lt;&gt;"",売分析!W144,"")</f>
        <v>54.545454545454547</v>
      </c>
      <c r="W144" s="215" t="str">
        <f>IF(売分析!AD144&lt;&gt;"",売分析!AD144,"")</f>
        <v>上昇トレンド▲</v>
      </c>
      <c r="X144" s="215" t="e">
        <f>IF(売分析!AE144&lt;&gt;"",売分析!AE144,"")</f>
        <v>#VALUE!</v>
      </c>
      <c r="Y144" s="391">
        <f>IF(売分析!T144&lt;&gt;"",売分析!T144,"")</f>
        <v>0</v>
      </c>
      <c r="Z144" s="215" t="e">
        <f>IF(売分析!Y144&lt;&gt;"",売分析!Y144,"")</f>
        <v>#VALUE!</v>
      </c>
    </row>
    <row r="145" spans="1:26">
      <c r="A145" s="328">
        <f>IF(売分析!C145&lt;&gt;"",ROW()-2,"")</f>
        <v>143</v>
      </c>
      <c r="B145" s="327" t="str">
        <f>IF(売分析!C145&lt;&gt;"",HYPERLINK("https://kabutan.jp/stock/?code="&amp;売分析!C145,"株探"),"")</f>
        <v>株探</v>
      </c>
      <c r="C145" s="343">
        <f>IF(売分析!C145&lt;&gt;"",売分析!C145,"")</f>
        <v>4188</v>
      </c>
      <c r="D145" s="328" t="str">
        <f>IF(売分析!D145&lt;&gt;"",売分析!D145,"")</f>
        <v/>
      </c>
      <c r="E145" s="329" t="str">
        <f>IF(売分析!E145&lt;&gt;"",売分析!E145,"")</f>
        <v/>
      </c>
      <c r="F145" s="329" t="str">
        <f>IF(売分析!F145&lt;&gt;"",売分析!F145,"")</f>
        <v/>
      </c>
      <c r="G145" s="329" t="str">
        <f>IF(売分析!H145&lt;&gt;"",売分析!H145,"")</f>
        <v/>
      </c>
      <c r="H145" s="329" t="str">
        <f>IF(売分析!I145&lt;&gt;"",売分析!I145,"")</f>
        <v/>
      </c>
      <c r="I145" s="328" t="str">
        <f>IF(売分析!J145&lt;&gt;"",売分析!J145,"")</f>
        <v/>
      </c>
      <c r="J145" s="329">
        <f>IF(売分析!AB145&lt;&gt;"",売分析!AB145,"")</f>
        <v>1186.9994239631337</v>
      </c>
      <c r="K145" s="329">
        <f>IF(売分析!AC145&lt;&gt;"",売分析!AC145,"")</f>
        <v>1147.3450536352796</v>
      </c>
      <c r="L145" s="329" t="str">
        <f>IF(売分析!K145&lt;&gt;"",売分析!K145,"")</f>
        <v/>
      </c>
      <c r="M145" s="328" t="str">
        <f>IF(売分析!P145&lt;&gt;"",売分析!P145,"")</f>
        <v/>
      </c>
      <c r="N145" s="331" t="str">
        <f>IF(売分析!O145&lt;&gt;"",売分析!O145,"")</f>
        <v/>
      </c>
      <c r="O145" s="333">
        <f>IF(売分析!X145&lt;&gt;"",売分析!X145,"")</f>
        <v>14.719297163258943</v>
      </c>
      <c r="P145" s="330" t="str">
        <f>IF(売分析!L145&lt;&gt;"",売分析!L145,"")</f>
        <v/>
      </c>
      <c r="Q145" s="329" t="str">
        <f>IF(売分析!S145&lt;&gt;"",売分析!S145,"")</f>
        <v/>
      </c>
      <c r="R145" s="329" t="str">
        <f>IF(売分析!R145&lt;&gt;"",売分析!R145,"")</f>
        <v/>
      </c>
      <c r="S145" s="328" t="str">
        <f>IF(売分析!AA145&lt;&gt;"",売分析!AA145,"")</f>
        <v/>
      </c>
      <c r="T145" s="334" t="str">
        <f>IF(売分析!Z145&lt;&gt;"",売分析!Z145,"")</f>
        <v/>
      </c>
      <c r="U145" s="328" t="str">
        <f>IF(売分析!V145&lt;&gt;"",売分析!V145,"")</f>
        <v/>
      </c>
      <c r="V145" s="332">
        <f>IF(売分析!W145&lt;&gt;"",売分析!W145,"")</f>
        <v>76.254826254826256</v>
      </c>
      <c r="W145" s="328" t="str">
        <f>IF(売分析!AD145&lt;&gt;"",売分析!AD145,"")</f>
        <v>パーフェクト▲</v>
      </c>
      <c r="X145" s="328" t="e">
        <f>IF(売分析!AE145&lt;&gt;"",売分析!AE145,"")</f>
        <v>#VALUE!</v>
      </c>
      <c r="Y145" s="390">
        <f>IF(売分析!T145&lt;&gt;"",売分析!T145,"")</f>
        <v>0</v>
      </c>
      <c r="Z145" s="328" t="e">
        <f>IF(売分析!Y145&lt;&gt;"",売分析!Y145,"")</f>
        <v>#VALUE!</v>
      </c>
    </row>
    <row r="146" spans="1:26">
      <c r="A146" s="215">
        <f>IF(売分析!C146&lt;&gt;"",ROW()-2,"")</f>
        <v>144</v>
      </c>
      <c r="B146" s="335" t="str">
        <f>IF(売分析!C146&lt;&gt;"",HYPERLINK("https://kabutan.jp/stock/?code="&amp;売分析!C146,"株探"),"")</f>
        <v>株探</v>
      </c>
      <c r="C146" s="344">
        <f>IF(売分析!C146&lt;&gt;"",売分析!C146,"")</f>
        <v>9227</v>
      </c>
      <c r="D146" s="215" t="str">
        <f>IF(売分析!D146&lt;&gt;"",売分析!D146,"")</f>
        <v/>
      </c>
      <c r="E146" s="336" t="str">
        <f>IF(売分析!E146&lt;&gt;"",売分析!E146,"")</f>
        <v/>
      </c>
      <c r="F146" s="336" t="str">
        <f>IF(売分析!F146&lt;&gt;"",売分析!F146,"")</f>
        <v/>
      </c>
      <c r="G146" s="336" t="str">
        <f>IF(売分析!H146&lt;&gt;"",売分析!H146,"")</f>
        <v/>
      </c>
      <c r="H146" s="336" t="str">
        <f>IF(売分析!I146&lt;&gt;"",売分析!I146,"")</f>
        <v/>
      </c>
      <c r="I146" s="215" t="str">
        <f>IF(売分析!J146&lt;&gt;"",売分析!J146,"")</f>
        <v/>
      </c>
      <c r="J146" s="336">
        <f>IF(売分析!AB146&lt;&gt;"",売分析!AB146,"")</f>
        <v>815.53456221198144</v>
      </c>
      <c r="K146" s="336">
        <f>IF(売分析!AC146&lt;&gt;"",売分析!AC146,"")</f>
        <v>876.25029797377795</v>
      </c>
      <c r="L146" s="336" t="str">
        <f>IF(売分析!K146&lt;&gt;"",売分析!K146,"")</f>
        <v/>
      </c>
      <c r="M146" s="215" t="str">
        <f>IF(売分析!P146&lt;&gt;"",売分析!P146,"")</f>
        <v/>
      </c>
      <c r="N146" s="338" t="str">
        <f>IF(売分析!O146&lt;&gt;"",売分析!O146,"")</f>
        <v/>
      </c>
      <c r="O146" s="340">
        <f>IF(売分析!X146&lt;&gt;"",売分析!X146,"")</f>
        <v>-7.2282905918266351</v>
      </c>
      <c r="P146" s="337" t="str">
        <f>IF(売分析!L146&lt;&gt;"",売分析!L146,"")</f>
        <v/>
      </c>
      <c r="Q146" s="336" t="str">
        <f>IF(売分析!S146&lt;&gt;"",売分析!S146,"")</f>
        <v/>
      </c>
      <c r="R146" s="336" t="str">
        <f>IF(売分析!R146&lt;&gt;"",売分析!R146,"")</f>
        <v/>
      </c>
      <c r="S146" s="215" t="str">
        <f>IF(売分析!AA146&lt;&gt;"",売分析!AA146,"")</f>
        <v/>
      </c>
      <c r="T146" s="341" t="str">
        <f>IF(売分析!Z146&lt;&gt;"",売分析!Z146,"")</f>
        <v/>
      </c>
      <c r="U146" s="215" t="str">
        <f>IF(売分析!V146&lt;&gt;"",売分析!V146,"")</f>
        <v/>
      </c>
      <c r="V146" s="339">
        <f>IF(売分析!W146&lt;&gt;"",売分析!W146,"")</f>
        <v>40.370370370370367</v>
      </c>
      <c r="W146" s="215" t="str">
        <f>IF(売分析!AD146&lt;&gt;"",売分析!AD146,"")</f>
        <v>上昇トレンド▲</v>
      </c>
      <c r="X146" s="215" t="e">
        <f>IF(売分析!AE146&lt;&gt;"",売分析!AE146,"")</f>
        <v>#VALUE!</v>
      </c>
      <c r="Y146" s="391">
        <f>IF(売分析!T146&lt;&gt;"",売分析!T146,"")</f>
        <v>0</v>
      </c>
      <c r="Z146" s="215" t="e">
        <f>IF(売分析!Y146&lt;&gt;"",売分析!Y146,"")</f>
        <v>#VALUE!</v>
      </c>
    </row>
    <row r="147" spans="1:26">
      <c r="A147" s="328">
        <f>IF(売分析!C147&lt;&gt;"",ROW()-2,"")</f>
        <v>145</v>
      </c>
      <c r="B147" s="327" t="str">
        <f>IF(売分析!C147&lt;&gt;"",HYPERLINK("https://kabutan.jp/stock/?code="&amp;売分析!C147,"株探"),"")</f>
        <v>株探</v>
      </c>
      <c r="C147" s="343">
        <f>IF(売分析!C147&lt;&gt;"",売分析!C147,"")</f>
        <v>5838</v>
      </c>
      <c r="D147" s="328" t="str">
        <f>IF(売分析!D147&lt;&gt;"",売分析!D147,"")</f>
        <v/>
      </c>
      <c r="E147" s="329" t="str">
        <f>IF(売分析!E147&lt;&gt;"",売分析!E147,"")</f>
        <v/>
      </c>
      <c r="F147" s="329" t="str">
        <f>IF(売分析!F147&lt;&gt;"",売分析!F147,"")</f>
        <v/>
      </c>
      <c r="G147" s="329" t="str">
        <f>IF(売分析!H147&lt;&gt;"",売分析!H147,"")</f>
        <v/>
      </c>
      <c r="H147" s="329" t="str">
        <f>IF(売分析!I147&lt;&gt;"",売分析!I147,"")</f>
        <v/>
      </c>
      <c r="I147" s="328" t="str">
        <f>IF(売分析!J147&lt;&gt;"",売分析!J147,"")</f>
        <v/>
      </c>
      <c r="J147" s="329">
        <f>IF(売分析!AB147&lt;&gt;"",売分析!AB147,"")</f>
        <v>5543.264976958525</v>
      </c>
      <c r="K147" s="329">
        <f>IF(売分析!AC147&lt;&gt;"",売分析!AC147,"")</f>
        <v>5415.206197854588</v>
      </c>
      <c r="L147" s="329" t="str">
        <f>IF(売分析!K147&lt;&gt;"",売分析!K147,"")</f>
        <v/>
      </c>
      <c r="M147" s="328" t="str">
        <f>IF(売分析!P147&lt;&gt;"",売分析!P147,"")</f>
        <v/>
      </c>
      <c r="N147" s="331" t="str">
        <f>IF(売分析!O147&lt;&gt;"",売分析!O147,"")</f>
        <v/>
      </c>
      <c r="O147" s="333">
        <f>IF(売分析!X147&lt;&gt;"",売分析!X147,"")</f>
        <v>82.517133088416813</v>
      </c>
      <c r="P147" s="330" t="str">
        <f>IF(売分析!L147&lt;&gt;"",売分析!L147,"")</f>
        <v/>
      </c>
      <c r="Q147" s="329" t="str">
        <f>IF(売分析!S147&lt;&gt;"",売分析!S147,"")</f>
        <v/>
      </c>
      <c r="R147" s="329" t="str">
        <f>IF(売分析!R147&lt;&gt;"",売分析!R147,"")</f>
        <v/>
      </c>
      <c r="S147" s="328" t="str">
        <f>IF(売分析!AA147&lt;&gt;"",売分析!AA147,"")</f>
        <v/>
      </c>
      <c r="T147" s="334" t="str">
        <f>IF(売分析!Z147&lt;&gt;"",売分析!Z147,"")</f>
        <v/>
      </c>
      <c r="U147" s="328" t="str">
        <f>IF(売分析!V147&lt;&gt;"",売分析!V147,"")</f>
        <v/>
      </c>
      <c r="V147" s="332">
        <f>IF(売分析!W147&lt;&gt;"",売分析!W147,"")</f>
        <v>78.764805414551603</v>
      </c>
      <c r="W147" s="328" t="str">
        <f>IF(売分析!AD147&lt;&gt;"",売分析!AD147,"")</f>
        <v>パーフェクト▲</v>
      </c>
      <c r="X147" s="328" t="e">
        <f>IF(売分析!AE147&lt;&gt;"",売分析!AE147,"")</f>
        <v>#VALUE!</v>
      </c>
      <c r="Y147" s="390">
        <f>IF(売分析!T147&lt;&gt;"",売分析!T147,"")</f>
        <v>0</v>
      </c>
      <c r="Z147" s="328" t="e">
        <f>IF(売分析!Y147&lt;&gt;"",売分析!Y147,"")</f>
        <v>#VALUE!</v>
      </c>
    </row>
    <row r="148" spans="1:26">
      <c r="A148" s="215">
        <f>IF(売分析!C148&lt;&gt;"",ROW()-2,"")</f>
        <v>146</v>
      </c>
      <c r="B148" s="335" t="str">
        <f>IF(売分析!C148&lt;&gt;"",HYPERLINK("https://kabutan.jp/stock/?code="&amp;売分析!C148,"株探"),"")</f>
        <v>株探</v>
      </c>
      <c r="C148" s="344">
        <f>IF(売分析!C148&lt;&gt;"",売分析!C148,"")</f>
        <v>7685</v>
      </c>
      <c r="D148" s="215" t="str">
        <f>IF(売分析!D148&lt;&gt;"",売分析!D148,"")</f>
        <v/>
      </c>
      <c r="E148" s="336" t="str">
        <f>IF(売分析!E148&lt;&gt;"",売分析!E148,"")</f>
        <v/>
      </c>
      <c r="F148" s="336" t="str">
        <f>IF(売分析!F148&lt;&gt;"",売分析!F148,"")</f>
        <v/>
      </c>
      <c r="G148" s="336" t="str">
        <f>IF(売分析!H148&lt;&gt;"",売分析!H148,"")</f>
        <v/>
      </c>
      <c r="H148" s="336" t="str">
        <f>IF(売分析!I148&lt;&gt;"",売分析!I148,"")</f>
        <v/>
      </c>
      <c r="I148" s="215" t="str">
        <f>IF(売分析!J148&lt;&gt;"",売分析!J148,"")</f>
        <v/>
      </c>
      <c r="J148" s="336">
        <f>IF(売分析!AB148&lt;&gt;"",売分析!AB148,"")</f>
        <v>3495.7200460829495</v>
      </c>
      <c r="K148" s="336">
        <f>IF(売分析!AC148&lt;&gt;"",売分析!AC148,"")</f>
        <v>3511.7640047675795</v>
      </c>
      <c r="L148" s="336" t="str">
        <f>IF(売分析!K148&lt;&gt;"",売分析!K148,"")</f>
        <v/>
      </c>
      <c r="M148" s="215" t="str">
        <f>IF(売分析!P148&lt;&gt;"",売分析!P148,"")</f>
        <v/>
      </c>
      <c r="N148" s="338" t="str">
        <f>IF(売分析!O148&lt;&gt;"",売分析!O148,"")</f>
        <v/>
      </c>
      <c r="O148" s="340">
        <f>IF(売分析!X148&lt;&gt;"",売分析!X148,"")</f>
        <v>-1.2784340806952059</v>
      </c>
      <c r="P148" s="337" t="str">
        <f>IF(売分析!L148&lt;&gt;"",売分析!L148,"")</f>
        <v/>
      </c>
      <c r="Q148" s="336" t="str">
        <f>IF(売分析!S148&lt;&gt;"",売分析!S148,"")</f>
        <v/>
      </c>
      <c r="R148" s="336" t="str">
        <f>IF(売分析!R148&lt;&gt;"",売分析!R148,"")</f>
        <v/>
      </c>
      <c r="S148" s="215" t="str">
        <f>IF(売分析!AA148&lt;&gt;"",売分析!AA148,"")</f>
        <v/>
      </c>
      <c r="T148" s="341" t="str">
        <f>IF(売分析!Z148&lt;&gt;"",売分析!Z148,"")</f>
        <v/>
      </c>
      <c r="U148" s="215" t="str">
        <f>IF(売分析!V148&lt;&gt;"",売分析!V148,"")</f>
        <v/>
      </c>
      <c r="V148" s="339">
        <f>IF(売分析!W148&lt;&gt;"",売分析!W148,"")</f>
        <v>54.794520547945204</v>
      </c>
      <c r="W148" s="215" t="str">
        <f>IF(売分析!AD148&lt;&gt;"",売分析!AD148,"")</f>
        <v>上昇トレンド▲</v>
      </c>
      <c r="X148" s="215" t="e">
        <f>IF(売分析!AE148&lt;&gt;"",売分析!AE148,"")</f>
        <v>#VALUE!</v>
      </c>
      <c r="Y148" s="391">
        <f>IF(売分析!T148&lt;&gt;"",売分析!T148,"")</f>
        <v>0</v>
      </c>
      <c r="Z148" s="215" t="e">
        <f>IF(売分析!Y148&lt;&gt;"",売分析!Y148,"")</f>
        <v>#VALUE!</v>
      </c>
    </row>
    <row r="149" spans="1:26">
      <c r="A149" s="328">
        <f>IF(売分析!C149&lt;&gt;"",ROW()-2,"")</f>
        <v>147</v>
      </c>
      <c r="B149" s="327" t="str">
        <f>IF(売分析!C149&lt;&gt;"",HYPERLINK("https://kabutan.jp/stock/?code="&amp;売分析!C149,"株探"),"")</f>
        <v>株探</v>
      </c>
      <c r="C149" s="343">
        <f>IF(売分析!C149&lt;&gt;"",売分析!C149,"")</f>
        <v>8934</v>
      </c>
      <c r="D149" s="328" t="str">
        <f>IF(売分析!D149&lt;&gt;"",売分析!D149,"")</f>
        <v/>
      </c>
      <c r="E149" s="329" t="str">
        <f>IF(売分析!E149&lt;&gt;"",売分析!E149,"")</f>
        <v/>
      </c>
      <c r="F149" s="329" t="str">
        <f>IF(売分析!F149&lt;&gt;"",売分析!F149,"")</f>
        <v/>
      </c>
      <c r="G149" s="329" t="str">
        <f>IF(売分析!H149&lt;&gt;"",売分析!H149,"")</f>
        <v/>
      </c>
      <c r="H149" s="329" t="str">
        <f>IF(売分析!I149&lt;&gt;"",売分析!I149,"")</f>
        <v/>
      </c>
      <c r="I149" s="328" t="str">
        <f>IF(売分析!J149&lt;&gt;"",売分析!J149,"")</f>
        <v/>
      </c>
      <c r="J149" s="329">
        <f>IF(売分析!AB149&lt;&gt;"",売分析!AB149,"")</f>
        <v>2504.8709677419351</v>
      </c>
      <c r="K149" s="329">
        <f>IF(売分析!AC149&lt;&gt;"",売分析!AC149,"")</f>
        <v>2454.747318235994</v>
      </c>
      <c r="L149" s="329" t="str">
        <f>IF(売分析!K149&lt;&gt;"",売分析!K149,"")</f>
        <v/>
      </c>
      <c r="M149" s="328" t="str">
        <f>IF(売分析!P149&lt;&gt;"",売分析!P149,"")</f>
        <v/>
      </c>
      <c r="N149" s="331" t="str">
        <f>IF(売分析!O149&lt;&gt;"",売分析!O149,"")</f>
        <v/>
      </c>
      <c r="O149" s="333">
        <f>IF(売分析!X149&lt;&gt;"",売分析!X149,"")</f>
        <v>19.651533002441283</v>
      </c>
      <c r="P149" s="330" t="str">
        <f>IF(売分析!L149&lt;&gt;"",売分析!L149,"")</f>
        <v/>
      </c>
      <c r="Q149" s="329" t="str">
        <f>IF(売分析!S149&lt;&gt;"",売分析!S149,"")</f>
        <v/>
      </c>
      <c r="R149" s="329" t="str">
        <f>IF(売分析!R149&lt;&gt;"",売分析!R149,"")</f>
        <v/>
      </c>
      <c r="S149" s="328" t="str">
        <f>IF(売分析!AA149&lt;&gt;"",売分析!AA149,"")</f>
        <v/>
      </c>
      <c r="T149" s="334" t="str">
        <f>IF(売分析!Z149&lt;&gt;"",売分析!Z149,"")</f>
        <v/>
      </c>
      <c r="U149" s="328" t="str">
        <f>IF(売分析!V149&lt;&gt;"",売分析!V149,"")</f>
        <v/>
      </c>
      <c r="V149" s="332">
        <f>IF(売分析!W149&lt;&gt;"",売分析!W149,"")</f>
        <v>69.444444444444443</v>
      </c>
      <c r="W149" s="328" t="str">
        <f>IF(売分析!AD149&lt;&gt;"",売分析!AD149,"")</f>
        <v>パーフェクト▲</v>
      </c>
      <c r="X149" s="328" t="e">
        <f>IF(売分析!AE149&lt;&gt;"",売分析!AE149,"")</f>
        <v>#VALUE!</v>
      </c>
      <c r="Y149" s="390">
        <f>IF(売分析!T149&lt;&gt;"",売分析!T149,"")</f>
        <v>0</v>
      </c>
      <c r="Z149" s="328" t="e">
        <f>IF(売分析!Y149&lt;&gt;"",売分析!Y149,"")</f>
        <v>#VALUE!</v>
      </c>
    </row>
    <row r="150" spans="1:26">
      <c r="A150" s="215">
        <f>IF(売分析!C150&lt;&gt;"",ROW()-2,"")</f>
        <v>148</v>
      </c>
      <c r="B150" s="335" t="str">
        <f>IF(売分析!C150&lt;&gt;"",HYPERLINK("https://kabutan.jp/stock/?code="&amp;売分析!C150,"株探"),"")</f>
        <v>株探</v>
      </c>
      <c r="C150" s="344">
        <f>IF(売分析!C150&lt;&gt;"",売分析!C150,"")</f>
        <v>6085</v>
      </c>
      <c r="D150" s="215" t="str">
        <f>IF(売分析!D150&lt;&gt;"",売分析!D150,"")</f>
        <v/>
      </c>
      <c r="E150" s="336" t="str">
        <f>IF(売分析!E150&lt;&gt;"",売分析!E150,"")</f>
        <v/>
      </c>
      <c r="F150" s="336" t="str">
        <f>IF(売分析!F150&lt;&gt;"",売分析!F150,"")</f>
        <v/>
      </c>
      <c r="G150" s="336" t="str">
        <f>IF(売分析!H150&lt;&gt;"",売分析!H150,"")</f>
        <v/>
      </c>
      <c r="H150" s="336" t="str">
        <f>IF(売分析!I150&lt;&gt;"",売分析!I150,"")</f>
        <v/>
      </c>
      <c r="I150" s="215" t="str">
        <f>IF(売分析!J150&lt;&gt;"",売分析!J150,"")</f>
        <v/>
      </c>
      <c r="J150" s="336">
        <f>IF(売分析!AB150&lt;&gt;"",売分析!AB150,"")</f>
        <v>187.75</v>
      </c>
      <c r="K150" s="336">
        <f>IF(売分析!AC150&lt;&gt;"",売分析!AC150,"")</f>
        <v>244.66269368295579</v>
      </c>
      <c r="L150" s="336" t="str">
        <f>IF(売分析!K150&lt;&gt;"",売分析!K150,"")</f>
        <v/>
      </c>
      <c r="M150" s="215" t="str">
        <f>IF(売分析!P150&lt;&gt;"",売分析!P150,"")</f>
        <v/>
      </c>
      <c r="N150" s="338" t="str">
        <f>IF(売分析!O150&lt;&gt;"",売分析!O150,"")</f>
        <v/>
      </c>
      <c r="O150" s="340">
        <f>IF(売分析!X150&lt;&gt;"",売分析!X150,"")</f>
        <v>-18.240209521610893</v>
      </c>
      <c r="P150" s="337" t="str">
        <f>IF(売分析!L150&lt;&gt;"",売分析!L150,"")</f>
        <v/>
      </c>
      <c r="Q150" s="336" t="str">
        <f>IF(売分析!S150&lt;&gt;"",売分析!S150,"")</f>
        <v/>
      </c>
      <c r="R150" s="336" t="str">
        <f>IF(売分析!R150&lt;&gt;"",売分析!R150,"")</f>
        <v/>
      </c>
      <c r="S150" s="215" t="str">
        <f>IF(売分析!AA150&lt;&gt;"",売分析!AA150,"")</f>
        <v/>
      </c>
      <c r="T150" s="341" t="str">
        <f>IF(売分析!Z150&lt;&gt;"",売分析!Z150,"")</f>
        <v/>
      </c>
      <c r="U150" s="215" t="str">
        <f>IF(売分析!V150&lt;&gt;"",売分析!V150,"")</f>
        <v/>
      </c>
      <c r="V150" s="339">
        <f>IF(売分析!W150&lt;&gt;"",売分析!W150,"")</f>
        <v>26.213592233009706</v>
      </c>
      <c r="W150" s="215" t="str">
        <f>IF(売分析!AD150&lt;&gt;"",売分析!AD150,"")</f>
        <v>上昇トレンド▲</v>
      </c>
      <c r="X150" s="215" t="e">
        <f>IF(売分析!AE150&lt;&gt;"",売分析!AE150,"")</f>
        <v>#VALUE!</v>
      </c>
      <c r="Y150" s="391">
        <f>IF(売分析!T150&lt;&gt;"",売分析!T150,"")</f>
        <v>0</v>
      </c>
      <c r="Z150" s="215" t="e">
        <f>IF(売分析!Y150&lt;&gt;"",売分析!Y150,"")</f>
        <v>#VALUE!</v>
      </c>
    </row>
    <row r="151" spans="1:26">
      <c r="A151" s="328">
        <f>IF(売分析!C151&lt;&gt;"",ROW()-2,"")</f>
        <v>149</v>
      </c>
      <c r="B151" s="327" t="str">
        <f>IF(売分析!C151&lt;&gt;"",HYPERLINK("https://kabutan.jp/stock/?code="&amp;売分析!C151,"株探"),"")</f>
        <v>株探</v>
      </c>
      <c r="C151" s="343">
        <f>IF(売分析!C151&lt;&gt;"",売分析!C151,"")</f>
        <v>4307</v>
      </c>
      <c r="D151" s="328" t="str">
        <f>IF(売分析!D151&lt;&gt;"",売分析!D151,"")</f>
        <v/>
      </c>
      <c r="E151" s="329" t="str">
        <f>IF(売分析!E151&lt;&gt;"",売分析!E151,"")</f>
        <v/>
      </c>
      <c r="F151" s="329" t="str">
        <f>IF(売分析!F151&lt;&gt;"",売分析!F151,"")</f>
        <v/>
      </c>
      <c r="G151" s="329" t="str">
        <f>IF(売分析!H151&lt;&gt;"",売分析!H151,"")</f>
        <v/>
      </c>
      <c r="H151" s="329" t="str">
        <f>IF(売分析!I151&lt;&gt;"",売分析!I151,"")</f>
        <v/>
      </c>
      <c r="I151" s="328" t="str">
        <f>IF(売分析!J151&lt;&gt;"",売分析!J151,"")</f>
        <v/>
      </c>
      <c r="J151" s="329">
        <f>IF(売分析!AB151&lt;&gt;"",売分析!AB151,"")</f>
        <v>5026.1532258064508</v>
      </c>
      <c r="K151" s="329">
        <f>IF(売分析!AC151&lt;&gt;"",売分析!AC151,"")</f>
        <v>4814.5244338498187</v>
      </c>
      <c r="L151" s="329" t="str">
        <f>IF(売分析!K151&lt;&gt;"",売分析!K151,"")</f>
        <v/>
      </c>
      <c r="M151" s="328" t="str">
        <f>IF(売分析!P151&lt;&gt;"",売分析!P151,"")</f>
        <v/>
      </c>
      <c r="N151" s="331" t="str">
        <f>IF(売分析!O151&lt;&gt;"",売分析!O151,"")</f>
        <v/>
      </c>
      <c r="O151" s="333">
        <f>IF(売分析!X151&lt;&gt;"",売分析!X151,"")</f>
        <v>90.413556414409868</v>
      </c>
      <c r="P151" s="330" t="str">
        <f>IF(売分析!L151&lt;&gt;"",売分析!L151,"")</f>
        <v/>
      </c>
      <c r="Q151" s="329" t="str">
        <f>IF(売分析!S151&lt;&gt;"",売分析!S151,"")</f>
        <v/>
      </c>
      <c r="R151" s="329" t="str">
        <f>IF(売分析!R151&lt;&gt;"",売分析!R151,"")</f>
        <v/>
      </c>
      <c r="S151" s="328" t="str">
        <f>IF(売分析!AA151&lt;&gt;"",売分析!AA151,"")</f>
        <v/>
      </c>
      <c r="T151" s="334" t="str">
        <f>IF(売分析!Z151&lt;&gt;"",売分析!Z151,"")</f>
        <v/>
      </c>
      <c r="U151" s="328" t="str">
        <f>IF(売分析!V151&lt;&gt;"",売分析!V151,"")</f>
        <v/>
      </c>
      <c r="V151" s="332">
        <f>IF(売分析!W151&lt;&gt;"",売分析!W151,"")</f>
        <v>75.093773443360845</v>
      </c>
      <c r="W151" s="328" t="str">
        <f>IF(売分析!AD151&lt;&gt;"",売分析!AD151,"")</f>
        <v>パーフェクト▲</v>
      </c>
      <c r="X151" s="328" t="e">
        <f>IF(売分析!AE151&lt;&gt;"",売分析!AE151,"")</f>
        <v>#VALUE!</v>
      </c>
      <c r="Y151" s="390">
        <f>IF(売分析!T151&lt;&gt;"",売分析!T151,"")</f>
        <v>0</v>
      </c>
      <c r="Z151" s="328" t="e">
        <f>IF(売分析!Y151&lt;&gt;"",売分析!Y151,"")</f>
        <v>#VALUE!</v>
      </c>
    </row>
    <row r="152" spans="1:26">
      <c r="A152" s="215">
        <f>IF(売分析!C152&lt;&gt;"",ROW()-2,"")</f>
        <v>150</v>
      </c>
      <c r="B152" s="335" t="str">
        <f>IF(売分析!C152&lt;&gt;"",HYPERLINK("https://kabutan.jp/stock/?code="&amp;売分析!C152,"株探"),"")</f>
        <v>株探</v>
      </c>
      <c r="C152" s="344">
        <f>IF(売分析!C152&lt;&gt;"",売分析!C152,"")</f>
        <v>4091</v>
      </c>
      <c r="D152" s="215" t="str">
        <f>IF(売分析!D152&lt;&gt;"",売分析!D152,"")</f>
        <v/>
      </c>
      <c r="E152" s="336" t="str">
        <f>IF(売分析!E152&lt;&gt;"",売分析!E152,"")</f>
        <v/>
      </c>
      <c r="F152" s="336" t="str">
        <f>IF(売分析!F152&lt;&gt;"",売分析!F152,"")</f>
        <v/>
      </c>
      <c r="G152" s="336" t="str">
        <f>IF(売分析!H152&lt;&gt;"",売分析!H152,"")</f>
        <v/>
      </c>
      <c r="H152" s="336" t="str">
        <f>IF(売分析!I152&lt;&gt;"",売分析!I152,"")</f>
        <v/>
      </c>
      <c r="I152" s="215" t="str">
        <f>IF(売分析!J152&lt;&gt;"",売分析!J152,"")</f>
        <v/>
      </c>
      <c r="J152" s="336">
        <f>IF(売分析!AB152&lt;&gt;"",売分析!AB152,"")</f>
        <v>6066.0529953917048</v>
      </c>
      <c r="K152" s="336">
        <f>IF(売分析!AC152&lt;&gt;"",売分析!AC152,"")</f>
        <v>5980.7771156138206</v>
      </c>
      <c r="L152" s="336" t="str">
        <f>IF(売分析!K152&lt;&gt;"",売分析!K152,"")</f>
        <v/>
      </c>
      <c r="M152" s="215" t="str">
        <f>IF(売分析!P152&lt;&gt;"",売分析!P152,"")</f>
        <v/>
      </c>
      <c r="N152" s="338" t="str">
        <f>IF(売分析!O152&lt;&gt;"",売分析!O152,"")</f>
        <v/>
      </c>
      <c r="O152" s="340">
        <f>IF(売分析!X152&lt;&gt;"",売分析!X152,"")</f>
        <v>71.682849796412484</v>
      </c>
      <c r="P152" s="337" t="str">
        <f>IF(売分析!L152&lt;&gt;"",売分析!L152,"")</f>
        <v/>
      </c>
      <c r="Q152" s="336" t="str">
        <f>IF(売分析!S152&lt;&gt;"",売分析!S152,"")</f>
        <v/>
      </c>
      <c r="R152" s="336" t="str">
        <f>IF(売分析!R152&lt;&gt;"",売分析!R152,"")</f>
        <v/>
      </c>
      <c r="S152" s="215" t="str">
        <f>IF(売分析!AA152&lt;&gt;"",売分析!AA152,"")</f>
        <v/>
      </c>
      <c r="T152" s="341" t="str">
        <f>IF(売分析!Z152&lt;&gt;"",売分析!Z152,"")</f>
        <v/>
      </c>
      <c r="U152" s="215" t="str">
        <f>IF(売分析!V152&lt;&gt;"",売分析!V152,"")</f>
        <v/>
      </c>
      <c r="V152" s="339">
        <f>IF(売分析!W152&lt;&gt;"",売分析!W152,"")</f>
        <v>73.275024295432459</v>
      </c>
      <c r="W152" s="215" t="str">
        <f>IF(売分析!AD152&lt;&gt;"",売分析!AD152,"")</f>
        <v>パーフェクト▲</v>
      </c>
      <c r="X152" s="215" t="e">
        <f>IF(売分析!AE152&lt;&gt;"",売分析!AE152,"")</f>
        <v>#VALUE!</v>
      </c>
      <c r="Y152" s="391">
        <f>IF(売分析!T152&lt;&gt;"",売分析!T152,"")</f>
        <v>0</v>
      </c>
      <c r="Z152" s="215" t="e">
        <f>IF(売分析!Y152&lt;&gt;"",売分析!Y152,"")</f>
        <v>#VALUE!</v>
      </c>
    </row>
    <row r="153" spans="1:26">
      <c r="A153" s="328">
        <f>IF(売分析!C153&lt;&gt;"",ROW()-2,"")</f>
        <v>151</v>
      </c>
      <c r="B153" s="327" t="str">
        <f>IF(売分析!C153&lt;&gt;"",HYPERLINK("https://kabutan.jp/stock/?code="&amp;売分析!C153,"株探"),"")</f>
        <v>株探</v>
      </c>
      <c r="C153" s="343">
        <f>IF(売分析!C153&lt;&gt;"",売分析!C153,"")</f>
        <v>9733</v>
      </c>
      <c r="D153" s="328" t="str">
        <f>IF(売分析!D153&lt;&gt;"",売分析!D153,"")</f>
        <v/>
      </c>
      <c r="E153" s="329" t="str">
        <f>IF(売分析!E153&lt;&gt;"",売分析!E153,"")</f>
        <v/>
      </c>
      <c r="F153" s="329" t="str">
        <f>IF(売分析!F153&lt;&gt;"",売分析!F153,"")</f>
        <v/>
      </c>
      <c r="G153" s="329" t="str">
        <f>IF(売分析!H153&lt;&gt;"",売分析!H153,"")</f>
        <v/>
      </c>
      <c r="H153" s="329" t="str">
        <f>IF(売分析!I153&lt;&gt;"",売分析!I153,"")</f>
        <v/>
      </c>
      <c r="I153" s="328" t="str">
        <f>IF(売分析!J153&lt;&gt;"",売分析!J153,"")</f>
        <v/>
      </c>
      <c r="J153" s="329">
        <f>IF(売分析!AB153&lt;&gt;"",売分析!AB153,"")</f>
        <v>2344.9562211981565</v>
      </c>
      <c r="K153" s="329">
        <f>IF(売分析!AC153&lt;&gt;"",売分析!AC153,"")</f>
        <v>2315.8533969010723</v>
      </c>
      <c r="L153" s="329" t="str">
        <f>IF(売分析!K153&lt;&gt;"",売分析!K153,"")</f>
        <v/>
      </c>
      <c r="M153" s="328" t="str">
        <f>IF(売分析!P153&lt;&gt;"",売分析!P153,"")</f>
        <v/>
      </c>
      <c r="N153" s="331" t="str">
        <f>IF(売分析!O153&lt;&gt;"",売分析!O153,"")</f>
        <v/>
      </c>
      <c r="O153" s="333">
        <f>IF(売分析!X153&lt;&gt;"",売分析!X153,"")</f>
        <v>20.074387336361269</v>
      </c>
      <c r="P153" s="330" t="str">
        <f>IF(売分析!L153&lt;&gt;"",売分析!L153,"")</f>
        <v/>
      </c>
      <c r="Q153" s="329" t="str">
        <f>IF(売分析!S153&lt;&gt;"",売分析!S153,"")</f>
        <v/>
      </c>
      <c r="R153" s="329" t="str">
        <f>IF(売分析!R153&lt;&gt;"",売分析!R153,"")</f>
        <v/>
      </c>
      <c r="S153" s="328" t="str">
        <f>IF(売分析!AA153&lt;&gt;"",売分析!AA153,"")</f>
        <v/>
      </c>
      <c r="T153" s="334" t="str">
        <f>IF(売分析!Z153&lt;&gt;"",売分析!Z153,"")</f>
        <v/>
      </c>
      <c r="U153" s="328" t="str">
        <f>IF(売分析!V153&lt;&gt;"",売分析!V153,"")</f>
        <v/>
      </c>
      <c r="V153" s="332">
        <f>IF(売分析!W153&lt;&gt;"",売分析!W153,"")</f>
        <v>70.383275261324044</v>
      </c>
      <c r="W153" s="328" t="str">
        <f>IF(売分析!AD153&lt;&gt;"",売分析!AD153,"")</f>
        <v>パーフェクト▲</v>
      </c>
      <c r="X153" s="328" t="e">
        <f>IF(売分析!AE153&lt;&gt;"",売分析!AE153,"")</f>
        <v>#VALUE!</v>
      </c>
      <c r="Y153" s="390">
        <f>IF(売分析!T153&lt;&gt;"",売分析!T153,"")</f>
        <v>0</v>
      </c>
      <c r="Z153" s="328" t="e">
        <f>IF(売分析!Y153&lt;&gt;"",売分析!Y153,"")</f>
        <v>#VALUE!</v>
      </c>
    </row>
    <row r="154" spans="1:26">
      <c r="A154" s="215">
        <f>IF(売分析!C154&lt;&gt;"",ROW()-2,"")</f>
        <v>152</v>
      </c>
      <c r="B154" s="335" t="str">
        <f>IF(売分析!C154&lt;&gt;"",HYPERLINK("https://kabutan.jp/stock/?code="&amp;売分析!C154,"株探"),"")</f>
        <v>株探</v>
      </c>
      <c r="C154" s="344">
        <f>IF(売分析!C154&lt;&gt;"",売分析!C154,"")</f>
        <v>2327</v>
      </c>
      <c r="D154" s="215" t="str">
        <f>IF(売分析!D154&lt;&gt;"",売分析!D154,"")</f>
        <v/>
      </c>
      <c r="E154" s="336" t="str">
        <f>IF(売分析!E154&lt;&gt;"",売分析!E154,"")</f>
        <v/>
      </c>
      <c r="F154" s="336" t="str">
        <f>IF(売分析!F154&lt;&gt;"",売分析!F154,"")</f>
        <v/>
      </c>
      <c r="G154" s="336" t="str">
        <f>IF(売分析!H154&lt;&gt;"",売分析!H154,"")</f>
        <v/>
      </c>
      <c r="H154" s="336" t="str">
        <f>IF(売分析!I154&lt;&gt;"",売分析!I154,"")</f>
        <v/>
      </c>
      <c r="I154" s="215" t="str">
        <f>IF(売分析!J154&lt;&gt;"",売分析!J154,"")</f>
        <v/>
      </c>
      <c r="J154" s="336">
        <f>IF(売分析!AB154&lt;&gt;"",売分析!AB154,"")</f>
        <v>3813.6509216589857</v>
      </c>
      <c r="K154" s="336">
        <f>IF(売分析!AC154&lt;&gt;"",売分析!AC154,"")</f>
        <v>3578.5530393325357</v>
      </c>
      <c r="L154" s="336" t="str">
        <f>IF(売分析!K154&lt;&gt;"",売分析!K154,"")</f>
        <v/>
      </c>
      <c r="M154" s="215" t="str">
        <f>IF(売分析!P154&lt;&gt;"",売分析!P154,"")</f>
        <v/>
      </c>
      <c r="N154" s="338" t="str">
        <f>IF(売分析!O154&lt;&gt;"",売分析!O154,"")</f>
        <v/>
      </c>
      <c r="O154" s="340">
        <f>IF(売分析!X154&lt;&gt;"",売分析!X154,"")</f>
        <v>83.393593351351683</v>
      </c>
      <c r="P154" s="337" t="str">
        <f>IF(売分析!L154&lt;&gt;"",売分析!L154,"")</f>
        <v/>
      </c>
      <c r="Q154" s="336" t="str">
        <f>IF(売分析!S154&lt;&gt;"",売分析!S154,"")</f>
        <v/>
      </c>
      <c r="R154" s="336" t="str">
        <f>IF(売分析!R154&lt;&gt;"",売分析!R154,"")</f>
        <v/>
      </c>
      <c r="S154" s="215" t="str">
        <f>IF(売分析!AA154&lt;&gt;"",売分析!AA154,"")</f>
        <v/>
      </c>
      <c r="T154" s="341" t="str">
        <f>IF(売分析!Z154&lt;&gt;"",売分析!Z154,"")</f>
        <v/>
      </c>
      <c r="U154" s="215" t="str">
        <f>IF(売分析!V154&lt;&gt;"",売分析!V154,"")</f>
        <v/>
      </c>
      <c r="V154" s="339">
        <f>IF(売分析!W154&lt;&gt;"",売分析!W154,"")</f>
        <v>79.664570230607964</v>
      </c>
      <c r="W154" s="215" t="str">
        <f>IF(売分析!AD154&lt;&gt;"",売分析!AD154,"")</f>
        <v>パーフェクト▲</v>
      </c>
      <c r="X154" s="215" t="e">
        <f>IF(売分析!AE154&lt;&gt;"",売分析!AE154,"")</f>
        <v>#VALUE!</v>
      </c>
      <c r="Y154" s="391">
        <f>IF(売分析!T154&lt;&gt;"",売分析!T154,"")</f>
        <v>0</v>
      </c>
      <c r="Z154" s="215" t="e">
        <f>IF(売分析!Y154&lt;&gt;"",売分析!Y154,"")</f>
        <v>#VALUE!</v>
      </c>
    </row>
    <row r="155" spans="1:26">
      <c r="A155" s="328">
        <f>IF(売分析!C155&lt;&gt;"",ROW()-2,"")</f>
        <v>153</v>
      </c>
      <c r="B155" s="327" t="str">
        <f>IF(売分析!C155&lt;&gt;"",HYPERLINK("https://kabutan.jp/stock/?code="&amp;売分析!C155,"株探"),"")</f>
        <v>株探</v>
      </c>
      <c r="C155" s="343">
        <f>IF(売分析!C155&lt;&gt;"",売分析!C155,"")</f>
        <v>6436</v>
      </c>
      <c r="D155" s="328" t="str">
        <f>IF(売分析!D155&lt;&gt;"",売分析!D155,"")</f>
        <v/>
      </c>
      <c r="E155" s="329" t="str">
        <f>IF(売分析!E155&lt;&gt;"",売分析!E155,"")</f>
        <v/>
      </c>
      <c r="F155" s="329" t="str">
        <f>IF(売分析!F155&lt;&gt;"",売分析!F155,"")</f>
        <v/>
      </c>
      <c r="G155" s="329" t="str">
        <f>IF(売分析!H155&lt;&gt;"",売分析!H155,"")</f>
        <v/>
      </c>
      <c r="H155" s="329" t="str">
        <f>IF(売分析!I155&lt;&gt;"",売分析!I155,"")</f>
        <v/>
      </c>
      <c r="I155" s="328" t="str">
        <f>IF(売分析!J155&lt;&gt;"",売分析!J155,"")</f>
        <v/>
      </c>
      <c r="J155" s="329">
        <f>IF(売分析!AB155&lt;&gt;"",売分析!AB155,"")</f>
        <v>3768.0057603686637</v>
      </c>
      <c r="K155" s="329">
        <f>IF(売分析!AC155&lt;&gt;"",売分析!AC155,"")</f>
        <v>3697.9106078665059</v>
      </c>
      <c r="L155" s="329" t="str">
        <f>IF(売分析!K155&lt;&gt;"",売分析!K155,"")</f>
        <v/>
      </c>
      <c r="M155" s="328" t="str">
        <f>IF(売分析!P155&lt;&gt;"",売分析!P155,"")</f>
        <v/>
      </c>
      <c r="N155" s="331" t="str">
        <f>IF(売分析!O155&lt;&gt;"",売分析!O155,"")</f>
        <v/>
      </c>
      <c r="O155" s="333">
        <f>IF(売分析!X155&lt;&gt;"",売分析!X155,"")</f>
        <v>23.441967608533105</v>
      </c>
      <c r="P155" s="330" t="str">
        <f>IF(売分析!L155&lt;&gt;"",売分析!L155,"")</f>
        <v/>
      </c>
      <c r="Q155" s="329" t="str">
        <f>IF(売分析!S155&lt;&gt;"",売分析!S155,"")</f>
        <v/>
      </c>
      <c r="R155" s="329" t="str">
        <f>IF(売分析!R155&lt;&gt;"",売分析!R155,"")</f>
        <v/>
      </c>
      <c r="S155" s="328" t="str">
        <f>IF(売分析!AA155&lt;&gt;"",売分析!AA155,"")</f>
        <v/>
      </c>
      <c r="T155" s="334" t="str">
        <f>IF(売分析!Z155&lt;&gt;"",売分析!Z155,"")</f>
        <v/>
      </c>
      <c r="U155" s="328" t="str">
        <f>IF(売分析!V155&lt;&gt;"",売分析!V155,"")</f>
        <v/>
      </c>
      <c r="V155" s="332">
        <f>IF(売分析!W155&lt;&gt;"",売分析!W155,"")</f>
        <v>74.635568513119537</v>
      </c>
      <c r="W155" s="328" t="str">
        <f>IF(売分析!AD155&lt;&gt;"",売分析!AD155,"")</f>
        <v>パーフェクト▲</v>
      </c>
      <c r="X155" s="328" t="e">
        <f>IF(売分析!AE155&lt;&gt;"",売分析!AE155,"")</f>
        <v>#VALUE!</v>
      </c>
      <c r="Y155" s="390">
        <f>IF(売分析!T155&lt;&gt;"",売分析!T155,"")</f>
        <v>0</v>
      </c>
      <c r="Z155" s="328" t="e">
        <f>IF(売分析!Y155&lt;&gt;"",売分析!Y155,"")</f>
        <v>#VALUE!</v>
      </c>
    </row>
    <row r="156" spans="1:26">
      <c r="A156" s="215">
        <f>IF(売分析!C156&lt;&gt;"",ROW()-2,"")</f>
        <v>154</v>
      </c>
      <c r="B156" s="335" t="str">
        <f>IF(売分析!C156&lt;&gt;"",HYPERLINK("https://kabutan.jp/stock/?code="&amp;売分析!C156,"株探"),"")</f>
        <v>株探</v>
      </c>
      <c r="C156" s="344">
        <f>IF(売分析!C156&lt;&gt;"",売分析!C156,"")</f>
        <v>5440</v>
      </c>
      <c r="D156" s="215" t="str">
        <f>IF(売分析!D156&lt;&gt;"",売分析!D156,"")</f>
        <v/>
      </c>
      <c r="E156" s="336" t="str">
        <f>IF(売分析!E156&lt;&gt;"",売分析!E156,"")</f>
        <v/>
      </c>
      <c r="F156" s="336" t="str">
        <f>IF(売分析!F156&lt;&gt;"",売分析!F156,"")</f>
        <v/>
      </c>
      <c r="G156" s="336" t="str">
        <f>IF(売分析!H156&lt;&gt;"",売分析!H156,"")</f>
        <v/>
      </c>
      <c r="H156" s="336" t="str">
        <f>IF(売分析!I156&lt;&gt;"",売分析!I156,"")</f>
        <v/>
      </c>
      <c r="I156" s="215" t="str">
        <f>IF(売分析!J156&lt;&gt;"",売分析!J156,"")</f>
        <v/>
      </c>
      <c r="J156" s="336">
        <f>IF(売分析!AB156&lt;&gt;"",売分析!AB156,"")</f>
        <v>1831.7062211981565</v>
      </c>
      <c r="K156" s="336">
        <f>IF(売分析!AC156&lt;&gt;"",売分析!AC156,"")</f>
        <v>1784.88200238379</v>
      </c>
      <c r="L156" s="336" t="str">
        <f>IF(売分析!K156&lt;&gt;"",売分析!K156,"")</f>
        <v/>
      </c>
      <c r="M156" s="215" t="str">
        <f>IF(売分析!P156&lt;&gt;"",売分析!P156,"")</f>
        <v/>
      </c>
      <c r="N156" s="338" t="str">
        <f>IF(売分析!O156&lt;&gt;"",売分析!O156,"")</f>
        <v/>
      </c>
      <c r="O156" s="340">
        <f>IF(売分析!X156&lt;&gt;"",売分析!X156,"")</f>
        <v>12.365377190643812</v>
      </c>
      <c r="P156" s="337" t="str">
        <f>IF(売分析!L156&lt;&gt;"",売分析!L156,"")</f>
        <v/>
      </c>
      <c r="Q156" s="336" t="str">
        <f>IF(売分析!S156&lt;&gt;"",売分析!S156,"")</f>
        <v/>
      </c>
      <c r="R156" s="336" t="str">
        <f>IF(売分析!R156&lt;&gt;"",売分析!R156,"")</f>
        <v/>
      </c>
      <c r="S156" s="215" t="str">
        <f>IF(売分析!AA156&lt;&gt;"",売分析!AA156,"")</f>
        <v/>
      </c>
      <c r="T156" s="341" t="str">
        <f>IF(売分析!Z156&lt;&gt;"",売分析!Z156,"")</f>
        <v/>
      </c>
      <c r="U156" s="215" t="str">
        <f>IF(売分析!V156&lt;&gt;"",売分析!V156,"")</f>
        <v/>
      </c>
      <c r="V156" s="339">
        <f>IF(売分析!W156&lt;&gt;"",売分析!W156,"")</f>
        <v>80.176211453744486</v>
      </c>
      <c r="W156" s="215" t="str">
        <f>IF(売分析!AD156&lt;&gt;"",売分析!AD156,"")</f>
        <v>パーフェクト▲</v>
      </c>
      <c r="X156" s="215" t="e">
        <f>IF(売分析!AE156&lt;&gt;"",売分析!AE156,"")</f>
        <v>#VALUE!</v>
      </c>
      <c r="Y156" s="391">
        <f>IF(売分析!T156&lt;&gt;"",売分析!T156,"")</f>
        <v>0</v>
      </c>
      <c r="Z156" s="215" t="e">
        <f>IF(売分析!Y156&lt;&gt;"",売分析!Y156,"")</f>
        <v>#VALUE!</v>
      </c>
    </row>
    <row r="157" spans="1:26">
      <c r="A157" s="328">
        <f>IF(売分析!C157&lt;&gt;"",ROW()-2,"")</f>
        <v>155</v>
      </c>
      <c r="B157" s="327" t="str">
        <f>IF(売分析!C157&lt;&gt;"",HYPERLINK("https://kabutan.jp/stock/?code="&amp;売分析!C157,"株探"),"")</f>
        <v>株探</v>
      </c>
      <c r="C157" s="343">
        <f>IF(売分析!C157&lt;&gt;"",売分析!C157,"")</f>
        <v>9505</v>
      </c>
      <c r="D157" s="328" t="str">
        <f>IF(売分析!D157&lt;&gt;"",売分析!D157,"")</f>
        <v/>
      </c>
      <c r="E157" s="329" t="str">
        <f>IF(売分析!E157&lt;&gt;"",売分析!E157,"")</f>
        <v/>
      </c>
      <c r="F157" s="329" t="str">
        <f>IF(売分析!F157&lt;&gt;"",売分析!F157,"")</f>
        <v/>
      </c>
      <c r="G157" s="329" t="str">
        <f>IF(売分析!H157&lt;&gt;"",売分析!H157,"")</f>
        <v/>
      </c>
      <c r="H157" s="329" t="str">
        <f>IF(売分析!I157&lt;&gt;"",売分析!I157,"")</f>
        <v/>
      </c>
      <c r="I157" s="328" t="str">
        <f>IF(売分析!J157&lt;&gt;"",売分析!J157,"")</f>
        <v/>
      </c>
      <c r="J157" s="329">
        <f>IF(売分析!AB157&lt;&gt;"",売分析!AB157,"")</f>
        <v>904.75552995391695</v>
      </c>
      <c r="K157" s="329">
        <f>IF(売分析!AC157&lt;&gt;"",売分析!AC157,"")</f>
        <v>888.1249106078659</v>
      </c>
      <c r="L157" s="329" t="str">
        <f>IF(売分析!K157&lt;&gt;"",売分析!K157,"")</f>
        <v/>
      </c>
      <c r="M157" s="328" t="str">
        <f>IF(売分析!P157&lt;&gt;"",売分析!P157,"")</f>
        <v/>
      </c>
      <c r="N157" s="331" t="str">
        <f>IF(売分析!O157&lt;&gt;"",売分析!O157,"")</f>
        <v/>
      </c>
      <c r="O157" s="333">
        <f>IF(売分析!X157&lt;&gt;"",売分析!X157,"")</f>
        <v>7.189456254801371</v>
      </c>
      <c r="P157" s="330" t="str">
        <f>IF(売分析!L157&lt;&gt;"",売分析!L157,"")</f>
        <v/>
      </c>
      <c r="Q157" s="329" t="str">
        <f>IF(売分析!S157&lt;&gt;"",売分析!S157,"")</f>
        <v/>
      </c>
      <c r="R157" s="329" t="str">
        <f>IF(売分析!R157&lt;&gt;"",売分析!R157,"")</f>
        <v/>
      </c>
      <c r="S157" s="328" t="str">
        <f>IF(売分析!AA157&lt;&gt;"",売分析!AA157,"")</f>
        <v/>
      </c>
      <c r="T157" s="334" t="str">
        <f>IF(売分析!Z157&lt;&gt;"",売分析!Z157,"")</f>
        <v/>
      </c>
      <c r="U157" s="328" t="str">
        <f>IF(売分析!V157&lt;&gt;"",売分析!V157,"")</f>
        <v/>
      </c>
      <c r="V157" s="332">
        <f>IF(売分析!W157&lt;&gt;"",売分析!W157,"")</f>
        <v>66.717557251908403</v>
      </c>
      <c r="W157" s="328" t="str">
        <f>IF(売分析!AD157&lt;&gt;"",売分析!AD157,"")</f>
        <v>パーフェクト▲</v>
      </c>
      <c r="X157" s="328" t="e">
        <f>IF(売分析!AE157&lt;&gt;"",売分析!AE157,"")</f>
        <v>#VALUE!</v>
      </c>
      <c r="Y157" s="390">
        <f>IF(売分析!T157&lt;&gt;"",売分析!T157,"")</f>
        <v>0</v>
      </c>
      <c r="Z157" s="328" t="e">
        <f>IF(売分析!Y157&lt;&gt;"",売分析!Y157,"")</f>
        <v>#VALUE!</v>
      </c>
    </row>
    <row r="158" spans="1:26">
      <c r="A158" s="215">
        <f>IF(売分析!C158&lt;&gt;"",ROW()-2,"")</f>
        <v>156</v>
      </c>
      <c r="B158" s="335" t="str">
        <f>IF(売分析!C158&lt;&gt;"",HYPERLINK("https://kabutan.jp/stock/?code="&amp;売分析!C158,"株探"),"")</f>
        <v>株探</v>
      </c>
      <c r="C158" s="344">
        <f>IF(売分析!C158&lt;&gt;"",売分析!C158,"")</f>
        <v>8091</v>
      </c>
      <c r="D158" s="215" t="str">
        <f>IF(売分析!D158&lt;&gt;"",売分析!D158,"")</f>
        <v/>
      </c>
      <c r="E158" s="336" t="str">
        <f>IF(売分析!E158&lt;&gt;"",売分析!E158,"")</f>
        <v/>
      </c>
      <c r="F158" s="336" t="str">
        <f>IF(売分析!F158&lt;&gt;"",売分析!F158,"")</f>
        <v/>
      </c>
      <c r="G158" s="336" t="str">
        <f>IF(売分析!H158&lt;&gt;"",売分析!H158,"")</f>
        <v/>
      </c>
      <c r="H158" s="336" t="str">
        <f>IF(売分析!I158&lt;&gt;"",売分析!I158,"")</f>
        <v/>
      </c>
      <c r="I158" s="215" t="str">
        <f>IF(売分析!J158&lt;&gt;"",売分析!J158,"")</f>
        <v/>
      </c>
      <c r="J158" s="336">
        <f>IF(売分析!AB158&lt;&gt;"",売分析!AB158,"")</f>
        <v>2306.3467741935483</v>
      </c>
      <c r="K158" s="336">
        <f>IF(売分析!AC158&lt;&gt;"",売分析!AC158,"")</f>
        <v>2283.0595947556603</v>
      </c>
      <c r="L158" s="336" t="str">
        <f>IF(売分析!K158&lt;&gt;"",売分析!K158,"")</f>
        <v/>
      </c>
      <c r="M158" s="215" t="str">
        <f>IF(売分析!P158&lt;&gt;"",売分析!P158,"")</f>
        <v/>
      </c>
      <c r="N158" s="338" t="str">
        <f>IF(売分析!O158&lt;&gt;"",売分析!O158,"")</f>
        <v/>
      </c>
      <c r="O158" s="340">
        <f>IF(売分析!X158&lt;&gt;"",売分析!X158,"")</f>
        <v>7.0013194607531659</v>
      </c>
      <c r="P158" s="337" t="str">
        <f>IF(売分析!L158&lt;&gt;"",売分析!L158,"")</f>
        <v/>
      </c>
      <c r="Q158" s="336" t="str">
        <f>IF(売分析!S158&lt;&gt;"",売分析!S158,"")</f>
        <v/>
      </c>
      <c r="R158" s="336" t="str">
        <f>IF(売分析!R158&lt;&gt;"",売分析!R158,"")</f>
        <v/>
      </c>
      <c r="S158" s="215" t="str">
        <f>IF(売分析!AA158&lt;&gt;"",売分析!AA158,"")</f>
        <v/>
      </c>
      <c r="T158" s="341" t="str">
        <f>IF(売分析!Z158&lt;&gt;"",売分析!Z158,"")</f>
        <v/>
      </c>
      <c r="U158" s="215" t="str">
        <f>IF(売分析!V158&lt;&gt;"",売分析!V158,"")</f>
        <v/>
      </c>
      <c r="V158" s="339">
        <f>IF(売分析!W158&lt;&gt;"",売分析!W158,"")</f>
        <v>57.615894039735096</v>
      </c>
      <c r="W158" s="215" t="str">
        <f>IF(売分析!AD158&lt;&gt;"",売分析!AD158,"")</f>
        <v>パーフェクト▲</v>
      </c>
      <c r="X158" s="215" t="e">
        <f>IF(売分析!AE158&lt;&gt;"",売分析!AE158,"")</f>
        <v>#VALUE!</v>
      </c>
      <c r="Y158" s="391">
        <f>IF(売分析!T158&lt;&gt;"",売分析!T158,"")</f>
        <v>0</v>
      </c>
      <c r="Z158" s="215" t="e">
        <f>IF(売分析!Y158&lt;&gt;"",売分析!Y158,"")</f>
        <v>#VALUE!</v>
      </c>
    </row>
    <row r="159" spans="1:26">
      <c r="A159" s="328">
        <f>IF(売分析!C159&lt;&gt;"",ROW()-2,"")</f>
        <v>157</v>
      </c>
      <c r="B159" s="327" t="str">
        <f>IF(売分析!C159&lt;&gt;"",HYPERLINK("https://kabutan.jp/stock/?code="&amp;売分析!C159,"株探"),"")</f>
        <v>株探</v>
      </c>
      <c r="C159" s="343">
        <f>IF(売分析!C159&lt;&gt;"",売分析!C159,"")</f>
        <v>9022</v>
      </c>
      <c r="D159" s="328" t="str">
        <f>IF(売分析!D159&lt;&gt;"",売分析!D159,"")</f>
        <v/>
      </c>
      <c r="E159" s="329" t="str">
        <f>IF(売分析!E159&lt;&gt;"",売分析!E159,"")</f>
        <v/>
      </c>
      <c r="F159" s="329" t="str">
        <f>IF(売分析!F159&lt;&gt;"",売分析!F159,"")</f>
        <v/>
      </c>
      <c r="G159" s="329" t="str">
        <f>IF(売分析!H159&lt;&gt;"",売分析!H159,"")</f>
        <v/>
      </c>
      <c r="H159" s="329" t="str">
        <f>IF(売分析!I159&lt;&gt;"",売分析!I159,"")</f>
        <v/>
      </c>
      <c r="I159" s="328" t="str">
        <f>IF(売分析!J159&lt;&gt;"",売分析!J159,"")</f>
        <v/>
      </c>
      <c r="J159" s="329">
        <f>IF(売分析!AB159&lt;&gt;"",売分析!AB159,"")</f>
        <v>3714.408986175114</v>
      </c>
      <c r="K159" s="329">
        <f>IF(売分析!AC159&lt;&gt;"",売分析!AC159,"")</f>
        <v>3555.3075089392119</v>
      </c>
      <c r="L159" s="329" t="str">
        <f>IF(売分析!K159&lt;&gt;"",売分析!K159,"")</f>
        <v/>
      </c>
      <c r="M159" s="328" t="str">
        <f>IF(売分析!P159&lt;&gt;"",売分析!P159,"")</f>
        <v/>
      </c>
      <c r="N159" s="331" t="str">
        <f>IF(売分析!O159&lt;&gt;"",売分析!O159,"")</f>
        <v/>
      </c>
      <c r="O159" s="333">
        <f>IF(売分析!X159&lt;&gt;"",売分析!X159,"")</f>
        <v>47.208530522730598</v>
      </c>
      <c r="P159" s="330" t="str">
        <f>IF(売分析!L159&lt;&gt;"",売分析!L159,"")</f>
        <v/>
      </c>
      <c r="Q159" s="329" t="str">
        <f>IF(売分析!S159&lt;&gt;"",売分析!S159,"")</f>
        <v/>
      </c>
      <c r="R159" s="329" t="str">
        <f>IF(売分析!R159&lt;&gt;"",売分析!R159,"")</f>
        <v/>
      </c>
      <c r="S159" s="328" t="str">
        <f>IF(売分析!AA159&lt;&gt;"",売分析!AA159,"")</f>
        <v/>
      </c>
      <c r="T159" s="334" t="str">
        <f>IF(売分析!Z159&lt;&gt;"",売分析!Z159,"")</f>
        <v/>
      </c>
      <c r="U159" s="328" t="str">
        <f>IF(売分析!V159&lt;&gt;"",売分析!V159,"")</f>
        <v/>
      </c>
      <c r="V159" s="332">
        <f>IF(売分析!W159&lt;&gt;"",売分析!W159,"")</f>
        <v>76.30402384500745</v>
      </c>
      <c r="W159" s="328" t="str">
        <f>IF(売分析!AD159&lt;&gt;"",売分析!AD159,"")</f>
        <v>パーフェクト▲</v>
      </c>
      <c r="X159" s="328" t="e">
        <f>IF(売分析!AE159&lt;&gt;"",売分析!AE159,"")</f>
        <v>#VALUE!</v>
      </c>
      <c r="Y159" s="390">
        <f>IF(売分析!T159&lt;&gt;"",売分析!T159,"")</f>
        <v>0</v>
      </c>
      <c r="Z159" s="328" t="e">
        <f>IF(売分析!Y159&lt;&gt;"",売分析!Y159,"")</f>
        <v>#VALUE!</v>
      </c>
    </row>
    <row r="160" spans="1:26">
      <c r="A160" s="215">
        <f>IF(売分析!C160&lt;&gt;"",ROW()-2,"")</f>
        <v>158</v>
      </c>
      <c r="B160" s="335" t="str">
        <f>IF(売分析!C160&lt;&gt;"",HYPERLINK("https://kabutan.jp/stock/?code="&amp;売分析!C160,"株探"),"")</f>
        <v>株探</v>
      </c>
      <c r="C160" s="344">
        <f>IF(売分析!C160&lt;&gt;"",売分析!C160,"")</f>
        <v>9536</v>
      </c>
      <c r="D160" s="215" t="str">
        <f>IF(売分析!D160&lt;&gt;"",売分析!D160,"")</f>
        <v/>
      </c>
      <c r="E160" s="336" t="str">
        <f>IF(売分析!E160&lt;&gt;"",売分析!E160,"")</f>
        <v/>
      </c>
      <c r="F160" s="336" t="str">
        <f>IF(売分析!F160&lt;&gt;"",売分析!F160,"")</f>
        <v/>
      </c>
      <c r="G160" s="336" t="str">
        <f>IF(売分析!H160&lt;&gt;"",売分析!H160,"")</f>
        <v/>
      </c>
      <c r="H160" s="336" t="str">
        <f>IF(売分析!I160&lt;&gt;"",売分析!I160,"")</f>
        <v/>
      </c>
      <c r="I160" s="215" t="str">
        <f>IF(売分析!J160&lt;&gt;"",売分析!J160,"")</f>
        <v/>
      </c>
      <c r="J160" s="336">
        <f>IF(売分析!AB160&lt;&gt;"",売分析!AB160,"")</f>
        <v>2317.2453917050689</v>
      </c>
      <c r="K160" s="336">
        <f>IF(売分析!AC160&lt;&gt;"",売分析!AC160,"")</f>
        <v>2283.3897497020248</v>
      </c>
      <c r="L160" s="336" t="str">
        <f>IF(売分析!K160&lt;&gt;"",売分析!K160,"")</f>
        <v/>
      </c>
      <c r="M160" s="215" t="str">
        <f>IF(売分析!P160&lt;&gt;"",売分析!P160,"")</f>
        <v/>
      </c>
      <c r="N160" s="338" t="str">
        <f>IF(売分析!O160&lt;&gt;"",売分析!O160,"")</f>
        <v/>
      </c>
      <c r="O160" s="340">
        <f>IF(売分析!X160&lt;&gt;"",売分析!X160,"")</f>
        <v>13.993251445835085</v>
      </c>
      <c r="P160" s="337" t="str">
        <f>IF(売分析!L160&lt;&gt;"",売分析!L160,"")</f>
        <v/>
      </c>
      <c r="Q160" s="336" t="str">
        <f>IF(売分析!S160&lt;&gt;"",売分析!S160,"")</f>
        <v/>
      </c>
      <c r="R160" s="336" t="str">
        <f>IF(売分析!R160&lt;&gt;"",売分析!R160,"")</f>
        <v/>
      </c>
      <c r="S160" s="215" t="str">
        <f>IF(売分析!AA160&lt;&gt;"",売分析!AA160,"")</f>
        <v/>
      </c>
      <c r="T160" s="341" t="str">
        <f>IF(売分析!Z160&lt;&gt;"",売分析!Z160,"")</f>
        <v/>
      </c>
      <c r="U160" s="215" t="str">
        <f>IF(売分析!V160&lt;&gt;"",売分析!V160,"")</f>
        <v/>
      </c>
      <c r="V160" s="339">
        <f>IF(売分析!W160&lt;&gt;"",売分析!W160,"")</f>
        <v>66.472303206997083</v>
      </c>
      <c r="W160" s="215" t="str">
        <f>IF(売分析!AD160&lt;&gt;"",売分析!AD160,"")</f>
        <v>パーフェクト▲</v>
      </c>
      <c r="X160" s="215" t="e">
        <f>IF(売分析!AE160&lt;&gt;"",売分析!AE160,"")</f>
        <v>#VALUE!</v>
      </c>
      <c r="Y160" s="391">
        <f>IF(売分析!T160&lt;&gt;"",売分析!T160,"")</f>
        <v>0</v>
      </c>
      <c r="Z160" s="215" t="e">
        <f>IF(売分析!Y160&lt;&gt;"",売分析!Y160,"")</f>
        <v>#VALUE!</v>
      </c>
    </row>
    <row r="161" spans="1:26">
      <c r="A161" s="328">
        <f>IF(売分析!C161&lt;&gt;"",ROW()-2,"")</f>
        <v>159</v>
      </c>
      <c r="B161" s="327" t="str">
        <f>IF(売分析!C161&lt;&gt;"",HYPERLINK("https://kabutan.jp/stock/?code="&amp;売分析!C161,"株探"),"")</f>
        <v>株探</v>
      </c>
      <c r="C161" s="343">
        <f>IF(売分析!C161&lt;&gt;"",売分析!C161,"")</f>
        <v>2127</v>
      </c>
      <c r="D161" s="328" t="str">
        <f>IF(売分析!D161&lt;&gt;"",売分析!D161,"")</f>
        <v/>
      </c>
      <c r="E161" s="329" t="str">
        <f>IF(売分析!E161&lt;&gt;"",売分析!E161,"")</f>
        <v/>
      </c>
      <c r="F161" s="329" t="str">
        <f>IF(売分析!F161&lt;&gt;"",売分析!F161,"")</f>
        <v/>
      </c>
      <c r="G161" s="329" t="str">
        <f>IF(売分析!H161&lt;&gt;"",売分析!H161,"")</f>
        <v/>
      </c>
      <c r="H161" s="329" t="str">
        <f>IF(売分析!I161&lt;&gt;"",売分析!I161,"")</f>
        <v/>
      </c>
      <c r="I161" s="328" t="str">
        <f>IF(売分析!J161&lt;&gt;"",売分析!J161,"")</f>
        <v/>
      </c>
      <c r="J161" s="329">
        <f>IF(売分析!AB161&lt;&gt;"",売分析!AB161,"")</f>
        <v>675.34101382488473</v>
      </c>
      <c r="K161" s="329">
        <f>IF(売分析!AC161&lt;&gt;"",売分析!AC161,"")</f>
        <v>659.56150178784253</v>
      </c>
      <c r="L161" s="329" t="str">
        <f>IF(売分析!K161&lt;&gt;"",売分析!K161,"")</f>
        <v/>
      </c>
      <c r="M161" s="328" t="str">
        <f>IF(売分析!P161&lt;&gt;"",売分析!P161,"")</f>
        <v/>
      </c>
      <c r="N161" s="331" t="str">
        <f>IF(売分析!O161&lt;&gt;"",売分析!O161,"")</f>
        <v/>
      </c>
      <c r="O161" s="333">
        <f>IF(売分析!X161&lt;&gt;"",売分析!X161,"")</f>
        <v>6.568566584009659</v>
      </c>
      <c r="P161" s="330" t="str">
        <f>IF(売分析!L161&lt;&gt;"",売分析!L161,"")</f>
        <v/>
      </c>
      <c r="Q161" s="329" t="str">
        <f>IF(売分析!S161&lt;&gt;"",売分析!S161,"")</f>
        <v/>
      </c>
      <c r="R161" s="329" t="str">
        <f>IF(売分析!R161&lt;&gt;"",売分析!R161,"")</f>
        <v/>
      </c>
      <c r="S161" s="328" t="str">
        <f>IF(売分析!AA161&lt;&gt;"",売分析!AA161,"")</f>
        <v/>
      </c>
      <c r="T161" s="334" t="str">
        <f>IF(売分析!Z161&lt;&gt;"",売分析!Z161,"")</f>
        <v/>
      </c>
      <c r="U161" s="328" t="str">
        <f>IF(売分析!V161&lt;&gt;"",売分析!V161,"")</f>
        <v/>
      </c>
      <c r="V161" s="332">
        <f>IF(売分析!W161&lt;&gt;"",売分析!W161,"")</f>
        <v>81.228668941979549</v>
      </c>
      <c r="W161" s="328" t="str">
        <f>IF(売分析!AD161&lt;&gt;"",売分析!AD161,"")</f>
        <v>パーフェクト▲</v>
      </c>
      <c r="X161" s="328" t="e">
        <f>IF(売分析!AE161&lt;&gt;"",売分析!AE161,"")</f>
        <v>#VALUE!</v>
      </c>
      <c r="Y161" s="390">
        <f>IF(売分析!T161&lt;&gt;"",売分析!T161,"")</f>
        <v>0</v>
      </c>
      <c r="Z161" s="328" t="e">
        <f>IF(売分析!Y161&lt;&gt;"",売分析!Y161,"")</f>
        <v>#VALUE!</v>
      </c>
    </row>
    <row r="162" spans="1:26">
      <c r="A162" s="215">
        <f>IF(売分析!C162&lt;&gt;"",ROW()-2,"")</f>
        <v>160</v>
      </c>
      <c r="B162" s="335" t="str">
        <f>IF(売分析!C162&lt;&gt;"",HYPERLINK("https://kabutan.jp/stock/?code="&amp;売分析!C162,"株探"),"")</f>
        <v>株探</v>
      </c>
      <c r="C162" s="344">
        <f>IF(売分析!C162&lt;&gt;"",売分析!C162,"")</f>
        <v>6753</v>
      </c>
      <c r="D162" s="215" t="str">
        <f>IF(売分析!D162&lt;&gt;"",売分析!D162,"")</f>
        <v/>
      </c>
      <c r="E162" s="336" t="str">
        <f>IF(売分析!E162&lt;&gt;"",売分析!E162,"")</f>
        <v/>
      </c>
      <c r="F162" s="336" t="str">
        <f>IF(売分析!F162&lt;&gt;"",売分析!F162,"")</f>
        <v/>
      </c>
      <c r="G162" s="336" t="str">
        <f>IF(売分析!H162&lt;&gt;"",売分析!H162,"")</f>
        <v/>
      </c>
      <c r="H162" s="336" t="str">
        <f>IF(売分析!I162&lt;&gt;"",売分析!I162,"")</f>
        <v/>
      </c>
      <c r="I162" s="215" t="str">
        <f>IF(売分析!J162&lt;&gt;"",売分析!J162,"")</f>
        <v/>
      </c>
      <c r="J162" s="336">
        <f>IF(売分析!AB162&lt;&gt;"",売分析!AB162,"")</f>
        <v>635.54758064516113</v>
      </c>
      <c r="K162" s="336">
        <f>IF(売分析!AC162&lt;&gt;"",売分析!AC162,"")</f>
        <v>632.37461263408773</v>
      </c>
      <c r="L162" s="336" t="str">
        <f>IF(売分析!K162&lt;&gt;"",売分析!K162,"")</f>
        <v/>
      </c>
      <c r="M162" s="215" t="str">
        <f>IF(売分析!P162&lt;&gt;"",売分析!P162,"")</f>
        <v/>
      </c>
      <c r="N162" s="338" t="str">
        <f>IF(売分析!O162&lt;&gt;"",売分析!O162,"")</f>
        <v/>
      </c>
      <c r="O162" s="340">
        <f>IF(売分析!X162&lt;&gt;"",売分析!X162,"")</f>
        <v>4.2604318995061021</v>
      </c>
      <c r="P162" s="337" t="str">
        <f>IF(売分析!L162&lt;&gt;"",売分析!L162,"")</f>
        <v/>
      </c>
      <c r="Q162" s="336" t="str">
        <f>IF(売分析!S162&lt;&gt;"",売分析!S162,"")</f>
        <v/>
      </c>
      <c r="R162" s="336" t="str">
        <f>IF(売分析!R162&lt;&gt;"",売分析!R162,"")</f>
        <v/>
      </c>
      <c r="S162" s="215" t="str">
        <f>IF(売分析!AA162&lt;&gt;"",売分析!AA162,"")</f>
        <v/>
      </c>
      <c r="T162" s="341" t="str">
        <f>IF(売分析!Z162&lt;&gt;"",売分析!Z162,"")</f>
        <v/>
      </c>
      <c r="U162" s="215" t="str">
        <f>IF(売分析!V162&lt;&gt;"",売分析!V162,"")</f>
        <v/>
      </c>
      <c r="V162" s="339">
        <f>IF(売分析!W162&lt;&gt;"",売分析!W162,"")</f>
        <v>65.92920353982305</v>
      </c>
      <c r="W162" s="215" t="str">
        <f>IF(売分析!AD162&lt;&gt;"",売分析!AD162,"")</f>
        <v>パーフェクト▲</v>
      </c>
      <c r="X162" s="215" t="e">
        <f>IF(売分析!AE162&lt;&gt;"",売分析!AE162,"")</f>
        <v>#VALUE!</v>
      </c>
      <c r="Y162" s="391">
        <f>IF(売分析!T162&lt;&gt;"",売分析!T162,"")</f>
        <v>0</v>
      </c>
      <c r="Z162" s="215" t="e">
        <f>IF(売分析!Y162&lt;&gt;"",売分析!Y162,"")</f>
        <v>#VALUE!</v>
      </c>
    </row>
    <row r="163" spans="1:26">
      <c r="A163" s="328">
        <f>IF(売分析!C163&lt;&gt;"",ROW()-2,"")</f>
        <v>161</v>
      </c>
      <c r="B163" s="327" t="str">
        <f>IF(売分析!C163&lt;&gt;"",HYPERLINK("https://kabutan.jp/stock/?code="&amp;売分析!C163,"株探"),"")</f>
        <v>株探</v>
      </c>
      <c r="C163" s="343" t="str">
        <f>IF(売分析!C163&lt;&gt;"",売分析!C163,"")</f>
        <v>9064</v>
      </c>
      <c r="D163" s="328" t="str">
        <f>IF(売分析!D163&lt;&gt;"",売分析!D163,"")</f>
        <v/>
      </c>
      <c r="E163" s="329" t="str">
        <f>IF(売分析!E163&lt;&gt;"",売分析!E163,"")</f>
        <v/>
      </c>
      <c r="F163" s="329" t="str">
        <f>IF(売分析!F163&lt;&gt;"",売分析!F163,"")</f>
        <v/>
      </c>
      <c r="G163" s="329" t="str">
        <f>IF(売分析!H163&lt;&gt;"",売分析!H163,"")</f>
        <v/>
      </c>
      <c r="H163" s="329" t="str">
        <f>IF(売分析!I163&lt;&gt;"",売分析!I163,"")</f>
        <v/>
      </c>
      <c r="I163" s="328" t="str">
        <f>IF(売分析!J163&lt;&gt;"",売分析!J163,"")</f>
        <v/>
      </c>
      <c r="J163" s="329">
        <f>IF(売分析!AB163&lt;&gt;"",売分析!AB163,"")</f>
        <v>1975.3991935483868</v>
      </c>
      <c r="K163" s="329">
        <f>IF(売分析!AC163&lt;&gt;"",売分析!AC163,"")</f>
        <v>1906.2628128724666</v>
      </c>
      <c r="L163" s="329" t="str">
        <f>IF(売分析!K163&lt;&gt;"",売分析!K163,"")</f>
        <v/>
      </c>
      <c r="M163" s="328" t="str">
        <f>IF(売分析!P163&lt;&gt;"",売分析!P163,"")</f>
        <v/>
      </c>
      <c r="N163" s="331" t="str">
        <f>IF(売分析!O163&lt;&gt;"",売分析!O163,"")</f>
        <v/>
      </c>
      <c r="O163" s="333">
        <f>IF(売分析!X163&lt;&gt;"",売分析!X163,"")</f>
        <v>26.492794709420423</v>
      </c>
      <c r="P163" s="330" t="str">
        <f>IF(売分析!L163&lt;&gt;"",売分析!L163,"")</f>
        <v/>
      </c>
      <c r="Q163" s="329" t="str">
        <f>IF(売分析!S163&lt;&gt;"",売分析!S163,"")</f>
        <v/>
      </c>
      <c r="R163" s="329" t="str">
        <f>IF(売分析!R163&lt;&gt;"",売分析!R163,"")</f>
        <v/>
      </c>
      <c r="S163" s="328" t="str">
        <f>IF(売分析!AA163&lt;&gt;"",売分析!AA163,"")</f>
        <v/>
      </c>
      <c r="T163" s="334" t="str">
        <f>IF(売分析!Z163&lt;&gt;"",売分析!Z163,"")</f>
        <v/>
      </c>
      <c r="U163" s="328" t="str">
        <f>IF(売分析!V163&lt;&gt;"",売分析!V163,"")</f>
        <v/>
      </c>
      <c r="V163" s="332">
        <f>IF(売分析!W163&lt;&gt;"",売分析!W163,"")</f>
        <v>75.27910685805422</v>
      </c>
      <c r="W163" s="328" t="str">
        <f>IF(売分析!AD163&lt;&gt;"",売分析!AD163,"")</f>
        <v>パーフェクト▲</v>
      </c>
      <c r="X163" s="328" t="e">
        <f>IF(売分析!AE163&lt;&gt;"",売分析!AE163,"")</f>
        <v>#VALUE!</v>
      </c>
      <c r="Y163" s="390">
        <f>IF(売分析!T163&lt;&gt;"",売分析!T163,"")</f>
        <v>0</v>
      </c>
      <c r="Z163" s="328" t="e">
        <f>IF(売分析!Y163&lt;&gt;"",売分析!Y163,"")</f>
        <v>#VALUE!</v>
      </c>
    </row>
    <row r="164" spans="1:26">
      <c r="A164" s="215">
        <f>IF(売分析!C164&lt;&gt;"",ROW()-2,"")</f>
        <v>162</v>
      </c>
      <c r="B164" s="335" t="str">
        <f>IF(売分析!C164&lt;&gt;"",HYPERLINK("https://kabutan.jp/stock/?code="&amp;売分析!C164,"株探"),"")</f>
        <v>株探</v>
      </c>
      <c r="C164" s="344">
        <f>IF(売分析!C164&lt;&gt;"",売分析!C164,"")</f>
        <v>9101</v>
      </c>
      <c r="D164" s="215" t="str">
        <f>IF(売分析!D164&lt;&gt;"",売分析!D164,"")</f>
        <v/>
      </c>
      <c r="E164" s="336" t="str">
        <f>IF(売分析!E164&lt;&gt;"",売分析!E164,"")</f>
        <v/>
      </c>
      <c r="F164" s="336" t="str">
        <f>IF(売分析!F164&lt;&gt;"",売分析!F164,"")</f>
        <v/>
      </c>
      <c r="G164" s="336" t="str">
        <f>IF(売分析!H164&lt;&gt;"",売分析!H164,"")</f>
        <v/>
      </c>
      <c r="H164" s="336" t="str">
        <f>IF(売分析!I164&lt;&gt;"",売分析!I164,"")</f>
        <v/>
      </c>
      <c r="I164" s="215" t="str">
        <f>IF(売分析!J164&lt;&gt;"",売分析!J164,"")</f>
        <v/>
      </c>
      <c r="J164" s="336">
        <f>IF(売分析!AB164&lt;&gt;"",売分析!AB164,"")</f>
        <v>5572.2937788018426</v>
      </c>
      <c r="K164" s="336">
        <f>IF(売分析!AC164&lt;&gt;"",売分析!AC164,"")</f>
        <v>5385.2562574493422</v>
      </c>
      <c r="L164" s="336" t="str">
        <f>IF(売分析!K164&lt;&gt;"",売分析!K164,"")</f>
        <v/>
      </c>
      <c r="M164" s="215" t="str">
        <f>IF(売分析!P164&lt;&gt;"",売分析!P164,"")</f>
        <v/>
      </c>
      <c r="N164" s="338" t="str">
        <f>IF(売分析!O164&lt;&gt;"",売分析!O164,"")</f>
        <v/>
      </c>
      <c r="O164" s="340">
        <f>IF(売分析!X164&lt;&gt;"",売分析!X164,"")</f>
        <v>24.280091864721726</v>
      </c>
      <c r="P164" s="337" t="str">
        <f>IF(売分析!L164&lt;&gt;"",売分析!L164,"")</f>
        <v/>
      </c>
      <c r="Q164" s="336" t="str">
        <f>IF(売分析!S164&lt;&gt;"",売分析!S164,"")</f>
        <v/>
      </c>
      <c r="R164" s="336" t="str">
        <f>IF(売分析!R164&lt;&gt;"",売分析!R164,"")</f>
        <v/>
      </c>
      <c r="S164" s="215" t="str">
        <f>IF(売分析!AA164&lt;&gt;"",売分析!AA164,"")</f>
        <v/>
      </c>
      <c r="T164" s="341" t="str">
        <f>IF(売分析!Z164&lt;&gt;"",売分析!Z164,"")</f>
        <v/>
      </c>
      <c r="U164" s="215" t="str">
        <f>IF(売分析!V164&lt;&gt;"",売分析!V164,"")</f>
        <v/>
      </c>
      <c r="V164" s="339">
        <f>IF(売分析!W164&lt;&gt;"",売分析!W164,"")</f>
        <v>66.194523135033052</v>
      </c>
      <c r="W164" s="215" t="str">
        <f>IF(売分析!AD164&lt;&gt;"",売分析!AD164,"")</f>
        <v>パーフェクト▲</v>
      </c>
      <c r="X164" s="215" t="e">
        <f>IF(売分析!AE164&lt;&gt;"",売分析!AE164,"")</f>
        <v>#VALUE!</v>
      </c>
      <c r="Y164" s="391">
        <f>IF(売分析!T164&lt;&gt;"",売分析!T164,"")</f>
        <v>0</v>
      </c>
      <c r="Z164" s="215" t="e">
        <f>IF(売分析!Y164&lt;&gt;"",売分析!Y164,"")</f>
        <v>#VALUE!</v>
      </c>
    </row>
    <row r="165" spans="1:26">
      <c r="A165" s="328">
        <f>IF(売分析!C165&lt;&gt;"",ROW()-2,"")</f>
        <v>163</v>
      </c>
      <c r="B165" s="327" t="str">
        <f>IF(売分析!C165&lt;&gt;"",HYPERLINK("https://kabutan.jp/stock/?code="&amp;売分析!C165,"株探"),"")</f>
        <v>株探</v>
      </c>
      <c r="C165" s="343">
        <f>IF(売分析!C165&lt;&gt;"",売分析!C165,"")</f>
        <v>5423</v>
      </c>
      <c r="D165" s="328" t="str">
        <f>IF(売分析!D165&lt;&gt;"",売分析!D165,"")</f>
        <v/>
      </c>
      <c r="E165" s="329" t="str">
        <f>IF(売分析!E165&lt;&gt;"",売分析!E165,"")</f>
        <v/>
      </c>
      <c r="F165" s="329" t="str">
        <f>IF(売分析!F165&lt;&gt;"",売分析!F165,"")</f>
        <v/>
      </c>
      <c r="G165" s="329" t="str">
        <f>IF(売分析!H165&lt;&gt;"",売分析!H165,"")</f>
        <v/>
      </c>
      <c r="H165" s="329" t="str">
        <f>IF(売分析!I165&lt;&gt;"",売分析!I165,"")</f>
        <v/>
      </c>
      <c r="I165" s="328" t="str">
        <f>IF(売分析!J165&lt;&gt;"",売分析!J165,"")</f>
        <v/>
      </c>
      <c r="J165" s="329">
        <f>IF(売分析!AB165&lt;&gt;"",売分析!AB165,"")</f>
        <v>1750.5506912442395</v>
      </c>
      <c r="K165" s="329">
        <f>IF(売分析!AC165&lt;&gt;"",売分析!AC165,"")</f>
        <v>1731.6817640047666</v>
      </c>
      <c r="L165" s="329" t="str">
        <f>IF(売分析!K165&lt;&gt;"",売分析!K165,"")</f>
        <v/>
      </c>
      <c r="M165" s="328" t="str">
        <f>IF(売分析!P165&lt;&gt;"",売分析!P165,"")</f>
        <v/>
      </c>
      <c r="N165" s="331" t="str">
        <f>IF(売分析!O165&lt;&gt;"",売分析!O165,"")</f>
        <v/>
      </c>
      <c r="O165" s="333">
        <f>IF(売分析!X165&lt;&gt;"",売分析!X165,"")</f>
        <v>4.5107487292982569</v>
      </c>
      <c r="P165" s="330" t="str">
        <f>IF(売分析!L165&lt;&gt;"",売分析!L165,"")</f>
        <v/>
      </c>
      <c r="Q165" s="329" t="str">
        <f>IF(売分析!S165&lt;&gt;"",売分析!S165,"")</f>
        <v/>
      </c>
      <c r="R165" s="329" t="str">
        <f>IF(売分析!R165&lt;&gt;"",売分析!R165,"")</f>
        <v/>
      </c>
      <c r="S165" s="328" t="str">
        <f>IF(売分析!AA165&lt;&gt;"",売分析!AA165,"")</f>
        <v/>
      </c>
      <c r="T165" s="334" t="str">
        <f>IF(売分析!Z165&lt;&gt;"",売分析!Z165,"")</f>
        <v/>
      </c>
      <c r="U165" s="328" t="str">
        <f>IF(売分析!V165&lt;&gt;"",売分析!V165,"")</f>
        <v/>
      </c>
      <c r="V165" s="332">
        <f>IF(売分析!W165&lt;&gt;"",売分析!W165,"")</f>
        <v>76.646706586826355</v>
      </c>
      <c r="W165" s="328" t="str">
        <f>IF(売分析!AD165&lt;&gt;"",売分析!AD165,"")</f>
        <v>パーフェクト▲</v>
      </c>
      <c r="X165" s="328" t="e">
        <f>IF(売分析!AE165&lt;&gt;"",売分析!AE165,"")</f>
        <v>#VALUE!</v>
      </c>
      <c r="Y165" s="390">
        <f>IF(売分析!T165&lt;&gt;"",売分析!T165,"")</f>
        <v>0</v>
      </c>
      <c r="Z165" s="328" t="e">
        <f>IF(売分析!Y165&lt;&gt;"",売分析!Y165,"")</f>
        <v>#VALUE!</v>
      </c>
    </row>
    <row r="166" spans="1:26">
      <c r="A166" s="215">
        <f>IF(売分析!C166&lt;&gt;"",ROW()-2,"")</f>
        <v>164</v>
      </c>
      <c r="B166" s="335" t="str">
        <f>IF(売分析!C166&lt;&gt;"",HYPERLINK("https://kabutan.jp/stock/?code="&amp;売分析!C166,"株探"),"")</f>
        <v>株探</v>
      </c>
      <c r="C166" s="344">
        <f>IF(売分析!C166&lt;&gt;"",売分析!C166,"")</f>
        <v>1605</v>
      </c>
      <c r="D166" s="215" t="str">
        <f>IF(売分析!D166&lt;&gt;"",売分析!D166,"")</f>
        <v/>
      </c>
      <c r="E166" s="336" t="str">
        <f>IF(売分析!E166&lt;&gt;"",売分析!E166,"")</f>
        <v/>
      </c>
      <c r="F166" s="336" t="str">
        <f>IF(売分析!F166&lt;&gt;"",売分析!F166,"")</f>
        <v/>
      </c>
      <c r="G166" s="336" t="str">
        <f>IF(売分析!H166&lt;&gt;"",売分析!H166,"")</f>
        <v/>
      </c>
      <c r="H166" s="336" t="str">
        <f>IF(売分析!I166&lt;&gt;"",売分析!I166,"")</f>
        <v/>
      </c>
      <c r="I166" s="215" t="str">
        <f>IF(売分析!J166&lt;&gt;"",売分析!J166,"")</f>
        <v/>
      </c>
      <c r="J166" s="336">
        <f>IF(売分析!AB166&lt;&gt;"",売分析!AB166,"")</f>
        <v>3430.322580645161</v>
      </c>
      <c r="K166" s="336">
        <f>IF(売分析!AC166&lt;&gt;"",売分析!AC166,"")</f>
        <v>3383.3492252681758</v>
      </c>
      <c r="L166" s="336" t="str">
        <f>IF(売分析!K166&lt;&gt;"",売分析!K166,"")</f>
        <v/>
      </c>
      <c r="M166" s="215" t="str">
        <f>IF(売分析!P166&lt;&gt;"",売分析!P166,"")</f>
        <v/>
      </c>
      <c r="N166" s="338" t="str">
        <f>IF(売分析!O166&lt;&gt;"",売分析!O166,"")</f>
        <v/>
      </c>
      <c r="O166" s="340">
        <f>IF(売分析!X166&lt;&gt;"",売分析!X166,"")</f>
        <v>-0.64156639693510442</v>
      </c>
      <c r="P166" s="337" t="str">
        <f>IF(売分析!L166&lt;&gt;"",売分析!L166,"")</f>
        <v/>
      </c>
      <c r="Q166" s="336" t="str">
        <f>IF(売分析!S166&lt;&gt;"",売分析!S166,"")</f>
        <v/>
      </c>
      <c r="R166" s="336" t="str">
        <f>IF(売分析!R166&lt;&gt;"",売分析!R166,"")</f>
        <v/>
      </c>
      <c r="S166" s="215" t="str">
        <f>IF(売分析!AA166&lt;&gt;"",売分析!AA166,"")</f>
        <v/>
      </c>
      <c r="T166" s="341" t="str">
        <f>IF(売分析!Z166&lt;&gt;"",売分析!Z166,"")</f>
        <v/>
      </c>
      <c r="U166" s="215" t="str">
        <f>IF(売分析!V166&lt;&gt;"",売分析!V166,"")</f>
        <v/>
      </c>
      <c r="V166" s="339">
        <f>IF(売分析!W166&lt;&gt;"",売分析!W166,"")</f>
        <v>61.058344640434193</v>
      </c>
      <c r="W166" s="215" t="str">
        <f>IF(売分析!AD166&lt;&gt;"",売分析!AD166,"")</f>
        <v>パーフェクト▲</v>
      </c>
      <c r="X166" s="215" t="e">
        <f>IF(売分析!AE166&lt;&gt;"",売分析!AE166,"")</f>
        <v>#VALUE!</v>
      </c>
      <c r="Y166" s="391">
        <f>IF(売分析!T166&lt;&gt;"",売分析!T166,"")</f>
        <v>0</v>
      </c>
      <c r="Z166" s="215" t="e">
        <f>IF(売分析!Y166&lt;&gt;"",売分析!Y166,"")</f>
        <v>#VALUE!</v>
      </c>
    </row>
    <row r="167" spans="1:26">
      <c r="A167" s="328">
        <f>IF(売分析!C167&lt;&gt;"",ROW()-2,"")</f>
        <v>165</v>
      </c>
      <c r="B167" s="327" t="str">
        <f>IF(売分析!C167&lt;&gt;"",HYPERLINK("https://kabutan.jp/stock/?code="&amp;売分析!C167,"株探"),"")</f>
        <v>株探</v>
      </c>
      <c r="C167" s="343">
        <f>IF(売分析!C167&lt;&gt;"",売分析!C167,"")</f>
        <v>8002</v>
      </c>
      <c r="D167" s="328" t="str">
        <f>IF(売分析!D167&lt;&gt;"",売分析!D167,"")</f>
        <v/>
      </c>
      <c r="E167" s="329" t="str">
        <f>IF(売分析!E167&lt;&gt;"",売分析!E167,"")</f>
        <v/>
      </c>
      <c r="F167" s="329" t="str">
        <f>IF(売分析!F167&lt;&gt;"",売分析!F167,"")</f>
        <v/>
      </c>
      <c r="G167" s="329" t="str">
        <f>IF(売分析!H167&lt;&gt;"",売分析!H167,"")</f>
        <v/>
      </c>
      <c r="H167" s="329" t="str">
        <f>IF(売分析!I167&lt;&gt;"",売分析!I167,"")</f>
        <v/>
      </c>
      <c r="I167" s="328" t="str">
        <f>IF(売分析!J167&lt;&gt;"",売分析!J167,"")</f>
        <v/>
      </c>
      <c r="J167" s="329">
        <f>IF(売分析!AB167&lt;&gt;"",売分析!AB167,"")</f>
        <v>4984.9493087557594</v>
      </c>
      <c r="K167" s="329">
        <f>IF(売分析!AC167&lt;&gt;"",売分析!AC167,"")</f>
        <v>4885.8974970202617</v>
      </c>
      <c r="L167" s="329" t="str">
        <f>IF(売分析!K167&lt;&gt;"",売分析!K167,"")</f>
        <v/>
      </c>
      <c r="M167" s="328" t="str">
        <f>IF(売分析!P167&lt;&gt;"",売分析!P167,"")</f>
        <v/>
      </c>
      <c r="N167" s="331" t="str">
        <f>IF(売分析!O167&lt;&gt;"",売分析!O167,"")</f>
        <v/>
      </c>
      <c r="O167" s="333">
        <f>IF(売分析!X167&lt;&gt;"",売分析!X167,"")</f>
        <v>28.263699107224056</v>
      </c>
      <c r="P167" s="330" t="str">
        <f>IF(売分析!L167&lt;&gt;"",売分析!L167,"")</f>
        <v/>
      </c>
      <c r="Q167" s="329" t="str">
        <f>IF(売分析!S167&lt;&gt;"",売分析!S167,"")</f>
        <v/>
      </c>
      <c r="R167" s="329" t="str">
        <f>IF(売分析!R167&lt;&gt;"",売分析!R167,"")</f>
        <v/>
      </c>
      <c r="S167" s="328" t="str">
        <f>IF(売分析!AA167&lt;&gt;"",売分析!AA167,"")</f>
        <v/>
      </c>
      <c r="T167" s="334" t="str">
        <f>IF(売分析!Z167&lt;&gt;"",売分析!Z167,"")</f>
        <v/>
      </c>
      <c r="U167" s="328" t="str">
        <f>IF(売分析!V167&lt;&gt;"",売分析!V167,"")</f>
        <v/>
      </c>
      <c r="V167" s="332">
        <f>IF(売分析!W167&lt;&gt;"",売分析!W167,"")</f>
        <v>77.307274701411501</v>
      </c>
      <c r="W167" s="328" t="str">
        <f>IF(売分析!AD167&lt;&gt;"",売分析!AD167,"")</f>
        <v>パーフェクト▲</v>
      </c>
      <c r="X167" s="328" t="e">
        <f>IF(売分析!AE167&lt;&gt;"",売分析!AE167,"")</f>
        <v>#VALUE!</v>
      </c>
      <c r="Y167" s="390">
        <f>IF(売分析!T167&lt;&gt;"",売分析!T167,"")</f>
        <v>0</v>
      </c>
      <c r="Z167" s="328" t="e">
        <f>IF(売分析!Y167&lt;&gt;"",売分析!Y167,"")</f>
        <v>#VALUE!</v>
      </c>
    </row>
    <row r="168" spans="1:26">
      <c r="A168" s="215">
        <f>IF(売分析!C168&lt;&gt;"",ROW()-2,"")</f>
        <v>166</v>
      </c>
      <c r="B168" s="335" t="str">
        <f>IF(売分析!C168&lt;&gt;"",HYPERLINK("https://kabutan.jp/stock/?code="&amp;売分析!C168,"株探"),"")</f>
        <v>株探</v>
      </c>
      <c r="C168" s="344">
        <f>IF(売分析!C168&lt;&gt;"",売分析!C168,"")</f>
        <v>8725</v>
      </c>
      <c r="D168" s="215" t="str">
        <f>IF(売分析!D168&lt;&gt;"",売分析!D168,"")</f>
        <v/>
      </c>
      <c r="E168" s="336" t="str">
        <f>IF(売分析!E168&lt;&gt;"",売分析!E168,"")</f>
        <v/>
      </c>
      <c r="F168" s="336" t="str">
        <f>IF(売分析!F168&lt;&gt;"",売分析!F168,"")</f>
        <v/>
      </c>
      <c r="G168" s="336" t="str">
        <f>IF(売分析!H168&lt;&gt;"",売分析!H168,"")</f>
        <v/>
      </c>
      <c r="H168" s="336" t="str">
        <f>IF(売分析!I168&lt;&gt;"",売分析!I168,"")</f>
        <v/>
      </c>
      <c r="I168" s="215" t="str">
        <f>IF(売分析!J168&lt;&gt;"",売分析!J168,"")</f>
        <v/>
      </c>
      <c r="J168" s="336">
        <f>IF(売分析!AB168&lt;&gt;"",売分析!AB168,"")</f>
        <v>4501.2764976958524</v>
      </c>
      <c r="K168" s="336">
        <f>IF(売分析!AC168&lt;&gt;"",売分析!AC168,"")</f>
        <v>4463.0143027413569</v>
      </c>
      <c r="L168" s="336" t="str">
        <f>IF(売分析!K168&lt;&gt;"",売分析!K168,"")</f>
        <v/>
      </c>
      <c r="M168" s="215" t="str">
        <f>IF(売分析!P168&lt;&gt;"",売分析!P168,"")</f>
        <v/>
      </c>
      <c r="N168" s="338" t="str">
        <f>IF(売分析!O168&lt;&gt;"",売分析!O168,"")</f>
        <v/>
      </c>
      <c r="O168" s="340">
        <f>IF(売分析!X168&lt;&gt;"",売分析!X168,"")</f>
        <v>9.1235576482959004</v>
      </c>
      <c r="P168" s="337" t="str">
        <f>IF(売分析!L168&lt;&gt;"",売分析!L168,"")</f>
        <v/>
      </c>
      <c r="Q168" s="336" t="str">
        <f>IF(売分析!S168&lt;&gt;"",売分析!S168,"")</f>
        <v/>
      </c>
      <c r="R168" s="336" t="str">
        <f>IF(売分析!R168&lt;&gt;"",売分析!R168,"")</f>
        <v/>
      </c>
      <c r="S168" s="215" t="str">
        <f>IF(売分析!AA168&lt;&gt;"",売分析!AA168,"")</f>
        <v/>
      </c>
      <c r="T168" s="341" t="str">
        <f>IF(売分析!Z168&lt;&gt;"",売分析!Z168,"")</f>
        <v/>
      </c>
      <c r="U168" s="215" t="str">
        <f>IF(売分析!V168&lt;&gt;"",売分析!V168,"")</f>
        <v/>
      </c>
      <c r="V168" s="339">
        <f>IF(売分析!W168&lt;&gt;"",売分析!W168,"")</f>
        <v>75.474683544303801</v>
      </c>
      <c r="W168" s="215" t="str">
        <f>IF(売分析!AD168&lt;&gt;"",売分析!AD168,"")</f>
        <v>パーフェクト▲</v>
      </c>
      <c r="X168" s="215" t="e">
        <f>IF(売分析!AE168&lt;&gt;"",売分析!AE168,"")</f>
        <v>#VALUE!</v>
      </c>
      <c r="Y168" s="391">
        <f>IF(売分析!T168&lt;&gt;"",売分析!T168,"")</f>
        <v>0</v>
      </c>
      <c r="Z168" s="215" t="e">
        <f>IF(売分析!Y168&lt;&gt;"",売分析!Y168,"")</f>
        <v>#VALUE!</v>
      </c>
    </row>
    <row r="169" spans="1:26">
      <c r="A169" s="328">
        <f>IF(売分析!C169&lt;&gt;"",ROW()-2,"")</f>
        <v>167</v>
      </c>
      <c r="B169" s="327" t="str">
        <f>IF(売分析!C169&lt;&gt;"",HYPERLINK("https://kabutan.jp/stock/?code="&amp;売分析!C169,"株探"),"")</f>
        <v>株探</v>
      </c>
      <c r="C169" s="343">
        <f>IF(売分析!C169&lt;&gt;"",売分析!C169,"")</f>
        <v>3401</v>
      </c>
      <c r="D169" s="328" t="str">
        <f>IF(売分析!D169&lt;&gt;"",売分析!D169,"")</f>
        <v/>
      </c>
      <c r="E169" s="329" t="str">
        <f>IF(売分析!E169&lt;&gt;"",売分析!E169,"")</f>
        <v/>
      </c>
      <c r="F169" s="329" t="str">
        <f>IF(売分析!F169&lt;&gt;"",売分析!F169,"")</f>
        <v/>
      </c>
      <c r="G169" s="329" t="str">
        <f>IF(売分析!H169&lt;&gt;"",売分析!H169,"")</f>
        <v/>
      </c>
      <c r="H169" s="329" t="str">
        <f>IF(売分析!I169&lt;&gt;"",売分析!I169,"")</f>
        <v/>
      </c>
      <c r="I169" s="328" t="str">
        <f>IF(売分析!J169&lt;&gt;"",売分析!J169,"")</f>
        <v/>
      </c>
      <c r="J169" s="329">
        <f>IF(売分析!AB169&lt;&gt;"",売分析!AB169,"")</f>
        <v>1690.3323732718891</v>
      </c>
      <c r="K169" s="329">
        <f>IF(売分析!AC169&lt;&gt;"",売分析!AC169,"")</f>
        <v>1666.1209773539922</v>
      </c>
      <c r="L169" s="329" t="str">
        <f>IF(売分析!K169&lt;&gt;"",売分析!K169,"")</f>
        <v/>
      </c>
      <c r="M169" s="328" t="str">
        <f>IF(売分析!P169&lt;&gt;"",売分析!P169,"")</f>
        <v/>
      </c>
      <c r="N169" s="331" t="str">
        <f>IF(売分析!O169&lt;&gt;"",売分析!O169,"")</f>
        <v/>
      </c>
      <c r="O169" s="333">
        <f>IF(売分析!X169&lt;&gt;"",売分析!X169,"")</f>
        <v>11.074774417985736</v>
      </c>
      <c r="P169" s="330" t="str">
        <f>IF(売分析!L169&lt;&gt;"",売分析!L169,"")</f>
        <v/>
      </c>
      <c r="Q169" s="329" t="str">
        <f>IF(売分析!S169&lt;&gt;"",売分析!S169,"")</f>
        <v/>
      </c>
      <c r="R169" s="329" t="str">
        <f>IF(売分析!R169&lt;&gt;"",売分析!R169,"")</f>
        <v/>
      </c>
      <c r="S169" s="328" t="str">
        <f>IF(売分析!AA169&lt;&gt;"",売分析!AA169,"")</f>
        <v/>
      </c>
      <c r="T169" s="334" t="str">
        <f>IF(売分析!Z169&lt;&gt;"",売分析!Z169,"")</f>
        <v/>
      </c>
      <c r="U169" s="328" t="str">
        <f>IF(売分析!V169&lt;&gt;"",売分析!V169,"")</f>
        <v/>
      </c>
      <c r="V169" s="332">
        <f>IF(売分析!W169&lt;&gt;"",売分析!W169,"")</f>
        <v>65.217391304347828</v>
      </c>
      <c r="W169" s="328" t="str">
        <f>IF(売分析!AD169&lt;&gt;"",売分析!AD169,"")</f>
        <v>パーフェクト▲</v>
      </c>
      <c r="X169" s="328" t="e">
        <f>IF(売分析!AE169&lt;&gt;"",売分析!AE169,"")</f>
        <v>#VALUE!</v>
      </c>
      <c r="Y169" s="390">
        <f>IF(売分析!T169&lt;&gt;"",売分析!T169,"")</f>
        <v>0</v>
      </c>
      <c r="Z169" s="328" t="e">
        <f>IF(売分析!Y169&lt;&gt;"",売分析!Y169,"")</f>
        <v>#VALUE!</v>
      </c>
    </row>
    <row r="170" spans="1:26">
      <c r="A170" s="215">
        <f>IF(売分析!C170&lt;&gt;"",ROW()-2,"")</f>
        <v>168</v>
      </c>
      <c r="B170" s="335" t="str">
        <f>IF(売分析!C170&lt;&gt;"",HYPERLINK("https://kabutan.jp/stock/?code="&amp;売分析!C170,"株探"),"")</f>
        <v>株探</v>
      </c>
      <c r="C170" s="344">
        <f>IF(売分析!C170&lt;&gt;"",売分析!C170,"")</f>
        <v>5233</v>
      </c>
      <c r="D170" s="215" t="str">
        <f>IF(売分析!D170&lt;&gt;"",売分析!D170,"")</f>
        <v/>
      </c>
      <c r="E170" s="336" t="str">
        <f>IF(売分析!E170&lt;&gt;"",売分析!E170,"")</f>
        <v/>
      </c>
      <c r="F170" s="336" t="str">
        <f>IF(売分析!F170&lt;&gt;"",売分析!F170,"")</f>
        <v/>
      </c>
      <c r="G170" s="336" t="str">
        <f>IF(売分析!H170&lt;&gt;"",売分析!H170,"")</f>
        <v/>
      </c>
      <c r="H170" s="336" t="str">
        <f>IF(売分析!I170&lt;&gt;"",売分析!I170,"")</f>
        <v/>
      </c>
      <c r="I170" s="215" t="str">
        <f>IF(売分析!J170&lt;&gt;"",売分析!J170,"")</f>
        <v/>
      </c>
      <c r="J170" s="336">
        <f>IF(売分析!AB170&lt;&gt;"",売分析!AB170,"")</f>
        <v>3937.3917050691239</v>
      </c>
      <c r="K170" s="336">
        <f>IF(売分析!AC170&lt;&gt;"",売分析!AC170,"")</f>
        <v>4020.1013110846243</v>
      </c>
      <c r="L170" s="336" t="str">
        <f>IF(売分析!K170&lt;&gt;"",売分析!K170,"")</f>
        <v/>
      </c>
      <c r="M170" s="215" t="str">
        <f>IF(売分析!P170&lt;&gt;"",売分析!P170,"")</f>
        <v/>
      </c>
      <c r="N170" s="338" t="str">
        <f>IF(売分析!O170&lt;&gt;"",売分析!O170,"")</f>
        <v/>
      </c>
      <c r="O170" s="340">
        <f>IF(売分析!X170&lt;&gt;"",売分析!X170,"")</f>
        <v>-32.386605980758304</v>
      </c>
      <c r="P170" s="337" t="str">
        <f>IF(売分析!L170&lt;&gt;"",売分析!L170,"")</f>
        <v/>
      </c>
      <c r="Q170" s="336" t="str">
        <f>IF(売分析!S170&lt;&gt;"",売分析!S170,"")</f>
        <v/>
      </c>
      <c r="R170" s="336" t="str">
        <f>IF(売分析!R170&lt;&gt;"",売分析!R170,"")</f>
        <v/>
      </c>
      <c r="S170" s="215" t="str">
        <f>IF(売分析!AA170&lt;&gt;"",売分析!AA170,"")</f>
        <v/>
      </c>
      <c r="T170" s="341" t="str">
        <f>IF(売分析!Z170&lt;&gt;"",売分析!Z170,"")</f>
        <v/>
      </c>
      <c r="U170" s="215" t="str">
        <f>IF(売分析!V170&lt;&gt;"",売分析!V170,"")</f>
        <v/>
      </c>
      <c r="V170" s="339">
        <f>IF(売分析!W170&lt;&gt;"",売分析!W170,"")</f>
        <v>44.026548672566371</v>
      </c>
      <c r="W170" s="215" t="str">
        <f>IF(売分析!AD170&lt;&gt;"",売分析!AD170,"")</f>
        <v>上昇トレンド▲</v>
      </c>
      <c r="X170" s="215" t="e">
        <f>IF(売分析!AE170&lt;&gt;"",売分析!AE170,"")</f>
        <v>#VALUE!</v>
      </c>
      <c r="Y170" s="391">
        <f>IF(売分析!T170&lt;&gt;"",売分析!T170,"")</f>
        <v>0</v>
      </c>
      <c r="Z170" s="215" t="e">
        <f>IF(売分析!Y170&lt;&gt;"",売分析!Y170,"")</f>
        <v>#VALUE!</v>
      </c>
    </row>
    <row r="171" spans="1:26">
      <c r="A171" s="328">
        <f>IF(売分析!C171&lt;&gt;"",ROW()-2,"")</f>
        <v>169</v>
      </c>
      <c r="B171" s="327" t="str">
        <f>IF(売分析!C171&lt;&gt;"",HYPERLINK("https://kabutan.jp/stock/?code="&amp;売分析!C171,"株探"),"")</f>
        <v>株探</v>
      </c>
      <c r="C171" s="343">
        <f>IF(売分析!C171&lt;&gt;"",売分析!C171,"")</f>
        <v>8593</v>
      </c>
      <c r="D171" s="328" t="str">
        <f>IF(売分析!D171&lt;&gt;"",売分析!D171,"")</f>
        <v/>
      </c>
      <c r="E171" s="329" t="str">
        <f>IF(売分析!E171&lt;&gt;"",売分析!E171,"")</f>
        <v/>
      </c>
      <c r="F171" s="329" t="str">
        <f>IF(売分析!F171&lt;&gt;"",売分析!F171,"")</f>
        <v/>
      </c>
      <c r="G171" s="329" t="str">
        <f>IF(売分析!H171&lt;&gt;"",売分析!H171,"")</f>
        <v/>
      </c>
      <c r="H171" s="329" t="str">
        <f>IF(売分析!I171&lt;&gt;"",売分析!I171,"")</f>
        <v/>
      </c>
      <c r="I171" s="328" t="str">
        <f>IF(売分析!J171&lt;&gt;"",売分析!J171,"")</f>
        <v/>
      </c>
      <c r="J171" s="329">
        <f>IF(売分析!AB171&lt;&gt;"",売分析!AB171,"")</f>
        <v>1394.3652073732717</v>
      </c>
      <c r="K171" s="329">
        <f>IF(売分析!AC171&lt;&gt;"",売分析!AC171,"")</f>
        <v>1355.251489868891</v>
      </c>
      <c r="L171" s="329" t="str">
        <f>IF(売分析!K171&lt;&gt;"",売分析!K171,"")</f>
        <v/>
      </c>
      <c r="M171" s="328" t="str">
        <f>IF(売分析!P171&lt;&gt;"",売分析!P171,"")</f>
        <v/>
      </c>
      <c r="N171" s="331" t="str">
        <f>IF(売分析!O171&lt;&gt;"",売分析!O171,"")</f>
        <v/>
      </c>
      <c r="O171" s="333">
        <f>IF(売分析!X171&lt;&gt;"",売分析!X171,"")</f>
        <v>12.128388705575844</v>
      </c>
      <c r="P171" s="330" t="str">
        <f>IF(売分析!L171&lt;&gt;"",売分析!L171,"")</f>
        <v/>
      </c>
      <c r="Q171" s="329" t="str">
        <f>IF(売分析!S171&lt;&gt;"",売分析!S171,"")</f>
        <v/>
      </c>
      <c r="R171" s="329" t="str">
        <f>IF(売分析!R171&lt;&gt;"",売分析!R171,"")</f>
        <v/>
      </c>
      <c r="S171" s="328" t="str">
        <f>IF(売分析!AA171&lt;&gt;"",売分析!AA171,"")</f>
        <v/>
      </c>
      <c r="T171" s="334" t="str">
        <f>IF(売分析!Z171&lt;&gt;"",売分析!Z171,"")</f>
        <v/>
      </c>
      <c r="U171" s="328" t="str">
        <f>IF(売分析!V171&lt;&gt;"",売分析!V171,"")</f>
        <v/>
      </c>
      <c r="V171" s="332">
        <f>IF(売分析!W171&lt;&gt;"",売分析!W171,"")</f>
        <v>81.76638176638177</v>
      </c>
      <c r="W171" s="328" t="str">
        <f>IF(売分析!AD171&lt;&gt;"",売分析!AD171,"")</f>
        <v>パーフェクト▲</v>
      </c>
      <c r="X171" s="328" t="e">
        <f>IF(売分析!AE171&lt;&gt;"",売分析!AE171,"")</f>
        <v>#VALUE!</v>
      </c>
      <c r="Y171" s="390">
        <f>IF(売分析!T171&lt;&gt;"",売分析!T171,"")</f>
        <v>0</v>
      </c>
      <c r="Z171" s="328" t="e">
        <f>IF(売分析!Y171&lt;&gt;"",売分析!Y171,"")</f>
        <v>#VALUE!</v>
      </c>
    </row>
    <row r="172" spans="1:26">
      <c r="A172" s="215">
        <f>IF(売分析!C172&lt;&gt;"",ROW()-2,"")</f>
        <v>170</v>
      </c>
      <c r="B172" s="335" t="str">
        <f>IF(売分析!C172&lt;&gt;"",HYPERLINK("https://kabutan.jp/stock/?code="&amp;売分析!C172,"株探"),"")</f>
        <v>株探</v>
      </c>
      <c r="C172" s="344">
        <f>IF(売分析!C172&lt;&gt;"",売分析!C172,"")</f>
        <v>3402</v>
      </c>
      <c r="D172" s="215" t="str">
        <f>IF(売分析!D172&lt;&gt;"",売分析!D172,"")</f>
        <v/>
      </c>
      <c r="E172" s="336" t="str">
        <f>IF(売分析!E172&lt;&gt;"",売分析!E172,"")</f>
        <v/>
      </c>
      <c r="F172" s="336" t="str">
        <f>IF(売分析!F172&lt;&gt;"",売分析!F172,"")</f>
        <v/>
      </c>
      <c r="G172" s="336" t="str">
        <f>IF(売分析!H172&lt;&gt;"",売分析!H172,"")</f>
        <v/>
      </c>
      <c r="H172" s="336" t="str">
        <f>IF(売分析!I172&lt;&gt;"",売分析!I172,"")</f>
        <v/>
      </c>
      <c r="I172" s="215" t="str">
        <f>IF(売分析!J172&lt;&gt;"",売分析!J172,"")</f>
        <v/>
      </c>
      <c r="J172" s="336">
        <f>IF(売分析!AB172&lt;&gt;"",売分析!AB172,"")</f>
        <v>1153.8796082949309</v>
      </c>
      <c r="K172" s="336">
        <f>IF(売分析!AC172&lt;&gt;"",売分析!AC172,"")</f>
        <v>1150.6108462455297</v>
      </c>
      <c r="L172" s="336" t="str">
        <f>IF(売分析!K172&lt;&gt;"",売分析!K172,"")</f>
        <v/>
      </c>
      <c r="M172" s="215" t="str">
        <f>IF(売分析!P172&lt;&gt;"",売分析!P172,"")</f>
        <v/>
      </c>
      <c r="N172" s="338" t="str">
        <f>IF(売分析!O172&lt;&gt;"",売分析!O172,"")</f>
        <v/>
      </c>
      <c r="O172" s="340">
        <f>IF(売分析!X172&lt;&gt;"",売分析!X172,"")</f>
        <v>0.79859416730687371</v>
      </c>
      <c r="P172" s="337" t="str">
        <f>IF(売分析!L172&lt;&gt;"",売分析!L172,"")</f>
        <v/>
      </c>
      <c r="Q172" s="336" t="str">
        <f>IF(売分析!S172&lt;&gt;"",売分析!S172,"")</f>
        <v/>
      </c>
      <c r="R172" s="336" t="str">
        <f>IF(売分析!R172&lt;&gt;"",売分析!R172,"")</f>
        <v/>
      </c>
      <c r="S172" s="215" t="str">
        <f>IF(売分析!AA172&lt;&gt;"",売分析!AA172,"")</f>
        <v/>
      </c>
      <c r="T172" s="341" t="str">
        <f>IF(売分析!Z172&lt;&gt;"",売分析!Z172,"")</f>
        <v/>
      </c>
      <c r="U172" s="215" t="str">
        <f>IF(売分析!V172&lt;&gt;"",売分析!V172,"")</f>
        <v/>
      </c>
      <c r="V172" s="339">
        <f>IF(売分析!W172&lt;&gt;"",売分析!W172,"")</f>
        <v>57.575757575757578</v>
      </c>
      <c r="W172" s="215" t="str">
        <f>IF(売分析!AD172&lt;&gt;"",売分析!AD172,"")</f>
        <v>パーフェクト▲</v>
      </c>
      <c r="X172" s="215" t="e">
        <f>IF(売分析!AE172&lt;&gt;"",売分析!AE172,"")</f>
        <v>#VALUE!</v>
      </c>
      <c r="Y172" s="391">
        <f>IF(売分析!T172&lt;&gt;"",売分析!T172,"")</f>
        <v>0</v>
      </c>
      <c r="Z172" s="215" t="e">
        <f>IF(売分析!Y172&lt;&gt;"",売分析!Y172,"")</f>
        <v>#VALUE!</v>
      </c>
    </row>
    <row r="173" spans="1:26">
      <c r="A173" s="328">
        <f>IF(売分析!C173&lt;&gt;"",ROW()-2,"")</f>
        <v>171</v>
      </c>
      <c r="B173" s="327" t="str">
        <f>IF(売分析!C173&lt;&gt;"",HYPERLINK("https://kabutan.jp/stock/?code="&amp;売分析!C173,"株探"),"")</f>
        <v>株探</v>
      </c>
      <c r="C173" s="343">
        <f>IF(売分析!C173&lt;&gt;"",売分析!C173,"")</f>
        <v>5401</v>
      </c>
      <c r="D173" s="328" t="str">
        <f>IF(売分析!D173&lt;&gt;"",売分析!D173,"")</f>
        <v/>
      </c>
      <c r="E173" s="329" t="str">
        <f>IF(売分析!E173&lt;&gt;"",売分析!E173,"")</f>
        <v/>
      </c>
      <c r="F173" s="329" t="str">
        <f>IF(売分析!F173&lt;&gt;"",売分析!F173,"")</f>
        <v/>
      </c>
      <c r="G173" s="329" t="str">
        <f>IF(売分析!H173&lt;&gt;"",売分析!H173,"")</f>
        <v/>
      </c>
      <c r="H173" s="329" t="str">
        <f>IF(売分析!I173&lt;&gt;"",売分析!I173,"")</f>
        <v/>
      </c>
      <c r="I173" s="328" t="str">
        <f>IF(売分析!J173&lt;&gt;"",売分析!J173,"")</f>
        <v/>
      </c>
      <c r="J173" s="329">
        <f>IF(売分析!AB173&lt;&gt;"",売分析!AB173,"")</f>
        <v>574.029262672811</v>
      </c>
      <c r="K173" s="329">
        <f>IF(売分析!AC173&lt;&gt;"",売分析!AC173,"")</f>
        <v>556.40572109654329</v>
      </c>
      <c r="L173" s="329" t="str">
        <f>IF(売分析!K173&lt;&gt;"",売分析!K173,"")</f>
        <v/>
      </c>
      <c r="M173" s="328" t="str">
        <f>IF(売分析!P173&lt;&gt;"",売分析!P173,"")</f>
        <v/>
      </c>
      <c r="N173" s="331" t="str">
        <f>IF(売分析!O173&lt;&gt;"",売分析!O173,"")</f>
        <v/>
      </c>
      <c r="O173" s="333">
        <f>IF(売分析!X173&lt;&gt;"",売分析!X173,"")</f>
        <v>2.4199988855234551</v>
      </c>
      <c r="P173" s="330" t="str">
        <f>IF(売分析!L173&lt;&gt;"",売分析!L173,"")</f>
        <v/>
      </c>
      <c r="Q173" s="329" t="str">
        <f>IF(売分析!S173&lt;&gt;"",売分析!S173,"")</f>
        <v/>
      </c>
      <c r="R173" s="329" t="str">
        <f>IF(売分析!R173&lt;&gt;"",売分析!R173,"")</f>
        <v/>
      </c>
      <c r="S173" s="328" t="str">
        <f>IF(売分析!AA173&lt;&gt;"",売分析!AA173,"")</f>
        <v/>
      </c>
      <c r="T173" s="334" t="str">
        <f>IF(売分析!Z173&lt;&gt;"",売分析!Z173,"")</f>
        <v/>
      </c>
      <c r="U173" s="328" t="str">
        <f>IF(売分析!V173&lt;&gt;"",売分析!V173,"")</f>
        <v/>
      </c>
      <c r="V173" s="332">
        <f>IF(売分析!W173&lt;&gt;"",売分析!W173,"")</f>
        <v>66.384522370012036</v>
      </c>
      <c r="W173" s="328" t="str">
        <f>IF(売分析!AD173&lt;&gt;"",売分析!AD173,"")</f>
        <v>パーフェクト▲</v>
      </c>
      <c r="X173" s="328" t="e">
        <f>IF(売分析!AE173&lt;&gt;"",売分析!AE173,"")</f>
        <v>#VALUE!</v>
      </c>
      <c r="Y173" s="390">
        <f>IF(売分析!T173&lt;&gt;"",売分析!T173,"")</f>
        <v>0</v>
      </c>
      <c r="Z173" s="328" t="e">
        <f>IF(売分析!Y173&lt;&gt;"",売分析!Y173,"")</f>
        <v>#VALUE!</v>
      </c>
    </row>
    <row r="174" spans="1:26">
      <c r="A174" s="215">
        <f>IF(売分析!C174&lt;&gt;"",ROW()-2,"")</f>
        <v>172</v>
      </c>
      <c r="B174" s="335" t="str">
        <f>IF(売分析!C174&lt;&gt;"",HYPERLINK("https://kabutan.jp/stock/?code="&amp;売分析!C174,"株探"),"")</f>
        <v>株探</v>
      </c>
      <c r="C174" s="344">
        <f>IF(売分析!C174&lt;&gt;"",売分析!C174,"")</f>
        <v>8766</v>
      </c>
      <c r="D174" s="215" t="str">
        <f>IF(売分析!D174&lt;&gt;"",売分析!D174,"")</f>
        <v/>
      </c>
      <c r="E174" s="336" t="str">
        <f>IF(売分析!E174&lt;&gt;"",売分析!E174,"")</f>
        <v/>
      </c>
      <c r="F174" s="336" t="str">
        <f>IF(売分析!F174&lt;&gt;"",売分析!F174,"")</f>
        <v/>
      </c>
      <c r="G174" s="336" t="str">
        <f>IF(売分析!H174&lt;&gt;"",売分析!H174,"")</f>
        <v/>
      </c>
      <c r="H174" s="336" t="str">
        <f>IF(売分析!I174&lt;&gt;"",売分析!I174,"")</f>
        <v/>
      </c>
      <c r="I174" s="215" t="str">
        <f>IF(売分析!J174&lt;&gt;"",売分析!J174,"")</f>
        <v/>
      </c>
      <c r="J174" s="336">
        <f>IF(売分析!AB174&lt;&gt;"",売分析!AB174,"")</f>
        <v>7638.2292626728113</v>
      </c>
      <c r="K174" s="336">
        <f>IF(売分析!AC174&lt;&gt;"",売分析!AC174,"")</f>
        <v>7493.5947556614983</v>
      </c>
      <c r="L174" s="336" t="str">
        <f>IF(売分析!K174&lt;&gt;"",売分析!K174,"")</f>
        <v/>
      </c>
      <c r="M174" s="215" t="str">
        <f>IF(売分析!P174&lt;&gt;"",売分析!P174,"")</f>
        <v/>
      </c>
      <c r="N174" s="338" t="str">
        <f>IF(売分析!O174&lt;&gt;"",売分析!O174,"")</f>
        <v/>
      </c>
      <c r="O174" s="340">
        <f>IF(売分析!X174&lt;&gt;"",売分析!X174,"")</f>
        <v>81.08896508901762</v>
      </c>
      <c r="P174" s="337" t="str">
        <f>IF(売分析!L174&lt;&gt;"",売分析!L174,"")</f>
        <v/>
      </c>
      <c r="Q174" s="336" t="str">
        <f>IF(売分析!S174&lt;&gt;"",売分析!S174,"")</f>
        <v/>
      </c>
      <c r="R174" s="336" t="str">
        <f>IF(売分析!R174&lt;&gt;"",売分析!R174,"")</f>
        <v/>
      </c>
      <c r="S174" s="215" t="str">
        <f>IF(売分析!AA174&lt;&gt;"",売分析!AA174,"")</f>
        <v/>
      </c>
      <c r="T174" s="341" t="str">
        <f>IF(売分析!Z174&lt;&gt;"",売分析!Z174,"")</f>
        <v/>
      </c>
      <c r="U174" s="215" t="str">
        <f>IF(売分析!V174&lt;&gt;"",売分析!V174,"")</f>
        <v/>
      </c>
      <c r="V174" s="339">
        <f>IF(売分析!W174&lt;&gt;"",売分析!W174,"")</f>
        <v>73.811983471074385</v>
      </c>
      <c r="W174" s="215" t="str">
        <f>IF(売分析!AD174&lt;&gt;"",売分析!AD174,"")</f>
        <v>パーフェクト▲</v>
      </c>
      <c r="X174" s="215" t="e">
        <f>IF(売分析!AE174&lt;&gt;"",売分析!AE174,"")</f>
        <v>#VALUE!</v>
      </c>
      <c r="Y174" s="391">
        <f>IF(売分析!T174&lt;&gt;"",売分析!T174,"")</f>
        <v>0</v>
      </c>
      <c r="Z174" s="215" t="e">
        <f>IF(売分析!Y174&lt;&gt;"",売分析!Y174,"")</f>
        <v>#VALUE!</v>
      </c>
    </row>
    <row r="175" spans="1:26">
      <c r="A175" s="328">
        <f>IF(売分析!C175&lt;&gt;"",ROW()-2,"")</f>
        <v>173</v>
      </c>
      <c r="B175" s="327" t="str">
        <f>IF(売分析!C175&lt;&gt;"",HYPERLINK("https://kabutan.jp/stock/?code="&amp;売分析!C175,"株探"),"")</f>
        <v>株探</v>
      </c>
      <c r="C175" s="343">
        <f>IF(売分析!C175&lt;&gt;"",売分析!C175,"")</f>
        <v>5201</v>
      </c>
      <c r="D175" s="328" t="str">
        <f>IF(売分析!D175&lt;&gt;"",売分析!D175,"")</f>
        <v/>
      </c>
      <c r="E175" s="329" t="str">
        <f>IF(売分析!E175&lt;&gt;"",売分析!E175,"")</f>
        <v/>
      </c>
      <c r="F175" s="329" t="str">
        <f>IF(売分析!F175&lt;&gt;"",売分析!F175,"")</f>
        <v/>
      </c>
      <c r="G175" s="329" t="str">
        <f>IF(売分析!H175&lt;&gt;"",売分析!H175,"")</f>
        <v/>
      </c>
      <c r="H175" s="329" t="str">
        <f>IF(売分析!I175&lt;&gt;"",売分析!I175,"")</f>
        <v/>
      </c>
      <c r="I175" s="328" t="str">
        <f>IF(売分析!J175&lt;&gt;"",売分析!J175,"")</f>
        <v/>
      </c>
      <c r="J175" s="329">
        <f>IF(売分析!AB175&lt;&gt;"",売分析!AB175,"")</f>
        <v>6326.7741935483855</v>
      </c>
      <c r="K175" s="329">
        <f>IF(売分析!AC175&lt;&gt;"",売分析!AC175,"")</f>
        <v>6712.7437425506523</v>
      </c>
      <c r="L175" s="329" t="str">
        <f>IF(売分析!K175&lt;&gt;"",売分析!K175,"")</f>
        <v/>
      </c>
      <c r="M175" s="328" t="str">
        <f>IF(売分析!P175&lt;&gt;"",売分析!P175,"")</f>
        <v/>
      </c>
      <c r="N175" s="331" t="str">
        <f>IF(売分析!O175&lt;&gt;"",売分析!O175,"")</f>
        <v/>
      </c>
      <c r="O175" s="333">
        <f>IF(売分析!X175&lt;&gt;"",売分析!X175,"")</f>
        <v>-126.01528823152148</v>
      </c>
      <c r="P175" s="330" t="str">
        <f>IF(売分析!L175&lt;&gt;"",売分析!L175,"")</f>
        <v/>
      </c>
      <c r="Q175" s="329" t="str">
        <f>IF(売分析!S175&lt;&gt;"",売分析!S175,"")</f>
        <v/>
      </c>
      <c r="R175" s="329" t="str">
        <f>IF(売分析!R175&lt;&gt;"",売分析!R175,"")</f>
        <v/>
      </c>
      <c r="S175" s="328" t="str">
        <f>IF(売分析!AA175&lt;&gt;"",売分析!AA175,"")</f>
        <v/>
      </c>
      <c r="T175" s="334" t="str">
        <f>IF(売分析!Z175&lt;&gt;"",売分析!Z175,"")</f>
        <v/>
      </c>
      <c r="U175" s="328" t="str">
        <f>IF(売分析!V175&lt;&gt;"",売分析!V175,"")</f>
        <v/>
      </c>
      <c r="V175" s="332">
        <f>IF(売分析!W175&lt;&gt;"",売分析!W175,"")</f>
        <v>25.651041666666671</v>
      </c>
      <c r="W175" s="328" t="str">
        <f>IF(売分析!AD175&lt;&gt;"",売分析!AD175,"")</f>
        <v>上昇トレンド▲</v>
      </c>
      <c r="X175" s="328" t="e">
        <f>IF(売分析!AE175&lt;&gt;"",売分析!AE175,"")</f>
        <v>#VALUE!</v>
      </c>
      <c r="Y175" s="390">
        <f>IF(売分析!T175&lt;&gt;"",売分析!T175,"")</f>
        <v>0</v>
      </c>
      <c r="Z175" s="328" t="e">
        <f>IF(売分析!Y175&lt;&gt;"",売分析!Y175,"")</f>
        <v>#VALUE!</v>
      </c>
    </row>
    <row r="176" spans="1:26">
      <c r="A176" s="215">
        <f>IF(売分析!C176&lt;&gt;"",ROW()-2,"")</f>
        <v>174</v>
      </c>
      <c r="B176" s="335" t="str">
        <f>IF(売分析!C176&lt;&gt;"",HYPERLINK("https://kabutan.jp/stock/?code="&amp;売分析!C176,"株探"),"")</f>
        <v>株探</v>
      </c>
      <c r="C176" s="344">
        <f>IF(売分析!C176&lt;&gt;"",売分析!C176,"")</f>
        <v>8630</v>
      </c>
      <c r="D176" s="215" t="str">
        <f>IF(売分析!D176&lt;&gt;"",売分析!D176,"")</f>
        <v/>
      </c>
      <c r="E176" s="336" t="str">
        <f>IF(売分析!E176&lt;&gt;"",売分析!E176,"")</f>
        <v/>
      </c>
      <c r="F176" s="336" t="str">
        <f>IF(売分析!F176&lt;&gt;"",売分析!F176,"")</f>
        <v/>
      </c>
      <c r="G176" s="336" t="str">
        <f>IF(売分析!H176&lt;&gt;"",売分析!H176,"")</f>
        <v/>
      </c>
      <c r="H176" s="336" t="str">
        <f>IF(売分析!I176&lt;&gt;"",売分析!I176,"")</f>
        <v/>
      </c>
      <c r="I176" s="215" t="str">
        <f>IF(売分析!J176&lt;&gt;"",売分析!J176,"")</f>
        <v/>
      </c>
      <c r="J176" s="336">
        <f>IF(売分析!AB176&lt;&gt;"",売分析!AB176,"")</f>
        <v>6597.7142857142844</v>
      </c>
      <c r="K176" s="336">
        <f>IF(売分析!AC176&lt;&gt;"",売分析!AC176,"")</f>
        <v>6470.0798569725839</v>
      </c>
      <c r="L176" s="336" t="str">
        <f>IF(売分析!K176&lt;&gt;"",売分析!K176,"")</f>
        <v/>
      </c>
      <c r="M176" s="215" t="str">
        <f>IF(売分析!P176&lt;&gt;"",売分析!P176,"")</f>
        <v/>
      </c>
      <c r="N176" s="338" t="str">
        <f>IF(売分析!O176&lt;&gt;"",売分析!O176,"")</f>
        <v/>
      </c>
      <c r="O176" s="340">
        <f>IF(売分析!X176&lt;&gt;"",売分析!X176,"")</f>
        <v>62.06414808210593</v>
      </c>
      <c r="P176" s="337" t="str">
        <f>IF(売分析!L176&lt;&gt;"",売分析!L176,"")</f>
        <v/>
      </c>
      <c r="Q176" s="336" t="str">
        <f>IF(売分析!S176&lt;&gt;"",売分析!S176,"")</f>
        <v/>
      </c>
      <c r="R176" s="336" t="str">
        <f>IF(売分析!R176&lt;&gt;"",売分析!R176,"")</f>
        <v/>
      </c>
      <c r="S176" s="215" t="str">
        <f>IF(売分析!AA176&lt;&gt;"",売分析!AA176,"")</f>
        <v/>
      </c>
      <c r="T176" s="341" t="str">
        <f>IF(売分析!Z176&lt;&gt;"",売分析!Z176,"")</f>
        <v/>
      </c>
      <c r="U176" s="215" t="str">
        <f>IF(売分析!V176&lt;&gt;"",売分析!V176,"")</f>
        <v/>
      </c>
      <c r="V176" s="339">
        <f>IF(売分析!W176&lt;&gt;"",売分析!W176,"")</f>
        <v>73.835125448028677</v>
      </c>
      <c r="W176" s="215" t="str">
        <f>IF(売分析!AD176&lt;&gt;"",売分析!AD176,"")</f>
        <v>パーフェクト▲</v>
      </c>
      <c r="X176" s="215" t="e">
        <f>IF(売分析!AE176&lt;&gt;"",売分析!AE176,"")</f>
        <v>#VALUE!</v>
      </c>
      <c r="Y176" s="391">
        <f>IF(売分析!T176&lt;&gt;"",売分析!T176,"")</f>
        <v>0</v>
      </c>
      <c r="Z176" s="215" t="e">
        <f>IF(売分析!Y176&lt;&gt;"",売分析!Y176,"")</f>
        <v>#VALUE!</v>
      </c>
    </row>
    <row r="177" spans="1:26">
      <c r="A177" s="328">
        <f>IF(売分析!C177&lt;&gt;"",ROW()-2,"")</f>
        <v>175</v>
      </c>
      <c r="B177" s="327" t="str">
        <f>IF(売分析!C177&lt;&gt;"",HYPERLINK("https://kabutan.jp/stock/?code="&amp;売分析!C177,"株探"),"")</f>
        <v>株探</v>
      </c>
      <c r="C177" s="343">
        <f>IF(売分析!C177&lt;&gt;"",売分析!C177,"")</f>
        <v>4676</v>
      </c>
      <c r="D177" s="328" t="str">
        <f>IF(売分析!D177&lt;&gt;"",売分析!D177,"")</f>
        <v/>
      </c>
      <c r="E177" s="329" t="str">
        <f>IF(売分析!E177&lt;&gt;"",売分析!E177,"")</f>
        <v/>
      </c>
      <c r="F177" s="329" t="str">
        <f>IF(売分析!F177&lt;&gt;"",売分析!F177,"")</f>
        <v/>
      </c>
      <c r="G177" s="329" t="str">
        <f>IF(売分析!H177&lt;&gt;"",売分析!H177,"")</f>
        <v/>
      </c>
      <c r="H177" s="329" t="str">
        <f>IF(売分析!I177&lt;&gt;"",売分析!I177,"")</f>
        <v/>
      </c>
      <c r="I177" s="328" t="str">
        <f>IF(売分析!J177&lt;&gt;"",売分析!J177,"")</f>
        <v/>
      </c>
      <c r="J177" s="329">
        <f>IF(売分析!AB177&lt;&gt;"",売分析!AB177,"")</f>
        <v>4115.4896313364052</v>
      </c>
      <c r="K177" s="329">
        <f>IF(売分析!AC177&lt;&gt;"",売分析!AC177,"")</f>
        <v>4042.1573301549452</v>
      </c>
      <c r="L177" s="329" t="str">
        <f>IF(売分析!K177&lt;&gt;"",売分析!K177,"")</f>
        <v/>
      </c>
      <c r="M177" s="328" t="str">
        <f>IF(売分析!P177&lt;&gt;"",売分析!P177,"")</f>
        <v/>
      </c>
      <c r="N177" s="331" t="str">
        <f>IF(売分析!O177&lt;&gt;"",売分析!O177,"")</f>
        <v/>
      </c>
      <c r="O177" s="333">
        <f>IF(売分析!X177&lt;&gt;"",売分析!X177,"")</f>
        <v>24.30890904676744</v>
      </c>
      <c r="P177" s="330" t="str">
        <f>IF(売分析!L177&lt;&gt;"",売分析!L177,"")</f>
        <v/>
      </c>
      <c r="Q177" s="329" t="str">
        <f>IF(売分析!S177&lt;&gt;"",売分析!S177,"")</f>
        <v/>
      </c>
      <c r="R177" s="329" t="str">
        <f>IF(売分析!R177&lt;&gt;"",売分析!R177,"")</f>
        <v/>
      </c>
      <c r="S177" s="328" t="str">
        <f>IF(売分析!AA177&lt;&gt;"",売分析!AA177,"")</f>
        <v/>
      </c>
      <c r="T177" s="334" t="str">
        <f>IF(売分析!Z177&lt;&gt;"",売分析!Z177,"")</f>
        <v/>
      </c>
      <c r="U177" s="328" t="str">
        <f>IF(売分析!V177&lt;&gt;"",売分析!V177,"")</f>
        <v/>
      </c>
      <c r="V177" s="332">
        <f>IF(売分析!W177&lt;&gt;"",売分析!W177,"")</f>
        <v>66.068515497553022</v>
      </c>
      <c r="W177" s="328" t="str">
        <f>IF(売分析!AD177&lt;&gt;"",売分析!AD177,"")</f>
        <v>パーフェクト▲</v>
      </c>
      <c r="X177" s="328" t="e">
        <f>IF(売分析!AE177&lt;&gt;"",売分析!AE177,"")</f>
        <v>#VALUE!</v>
      </c>
      <c r="Y177" s="390">
        <f>IF(売分析!T177&lt;&gt;"",売分析!T177,"")</f>
        <v>0</v>
      </c>
      <c r="Z177" s="328" t="e">
        <f>IF(売分析!Y177&lt;&gt;"",売分析!Y177,"")</f>
        <v>#VALUE!</v>
      </c>
    </row>
    <row r="178" spans="1:26">
      <c r="A178" s="215">
        <f>IF(売分析!C178&lt;&gt;"",ROW()-2,"")</f>
        <v>176</v>
      </c>
      <c r="B178" s="335" t="str">
        <f>IF(売分析!C178&lt;&gt;"",HYPERLINK("https://kabutan.jp/stock/?code="&amp;売分析!C178,"株探"),"")</f>
        <v>株探</v>
      </c>
      <c r="C178" s="344">
        <f>IF(売分析!C178&lt;&gt;"",売分析!C178,"")</f>
        <v>4045</v>
      </c>
      <c r="D178" s="215" t="str">
        <f>IF(売分析!D178&lt;&gt;"",売分析!D178,"")</f>
        <v/>
      </c>
      <c r="E178" s="336" t="str">
        <f>IF(売分析!E178&lt;&gt;"",売分析!E178,"")</f>
        <v/>
      </c>
      <c r="F178" s="336" t="str">
        <f>IF(売分析!F178&lt;&gt;"",売分析!F178,"")</f>
        <v/>
      </c>
      <c r="G178" s="336" t="str">
        <f>IF(売分析!H178&lt;&gt;"",売分析!H178,"")</f>
        <v/>
      </c>
      <c r="H178" s="336" t="str">
        <f>IF(売分析!I178&lt;&gt;"",売分析!I178,"")</f>
        <v/>
      </c>
      <c r="I178" s="215" t="str">
        <f>IF(売分析!J178&lt;&gt;"",売分析!J178,"")</f>
        <v/>
      </c>
      <c r="J178" s="336">
        <f>IF(売分析!AB178&lt;&gt;"",売分析!AB178,"")</f>
        <v>1728.9164746543779</v>
      </c>
      <c r="K178" s="336">
        <f>IF(売分析!AC178&lt;&gt;"",売分析!AC178,"")</f>
        <v>1742.3593563766383</v>
      </c>
      <c r="L178" s="336" t="str">
        <f>IF(売分析!K178&lt;&gt;"",売分析!K178,"")</f>
        <v/>
      </c>
      <c r="M178" s="215" t="str">
        <f>IF(売分析!P178&lt;&gt;"",売分析!P178,"")</f>
        <v/>
      </c>
      <c r="N178" s="338" t="str">
        <f>IF(売分析!O178&lt;&gt;"",売分析!O178,"")</f>
        <v/>
      </c>
      <c r="O178" s="340">
        <f>IF(売分析!X178&lt;&gt;"",売分析!X178,"")</f>
        <v>-3.3560384733259525</v>
      </c>
      <c r="P178" s="337" t="str">
        <f>IF(売分析!L178&lt;&gt;"",売分析!L178,"")</f>
        <v/>
      </c>
      <c r="Q178" s="336" t="str">
        <f>IF(売分析!S178&lt;&gt;"",売分析!S178,"")</f>
        <v/>
      </c>
      <c r="R178" s="336" t="str">
        <f>IF(売分析!R178&lt;&gt;"",売分析!R178,"")</f>
        <v/>
      </c>
      <c r="S178" s="215" t="str">
        <f>IF(売分析!AA178&lt;&gt;"",売分析!AA178,"")</f>
        <v/>
      </c>
      <c r="T178" s="341" t="str">
        <f>IF(売分析!Z178&lt;&gt;"",売分析!Z178,"")</f>
        <v/>
      </c>
      <c r="U178" s="215" t="str">
        <f>IF(売分析!V178&lt;&gt;"",売分析!V178,"")</f>
        <v/>
      </c>
      <c r="V178" s="339">
        <f>IF(売分析!W178&lt;&gt;"",売分析!W178,"")</f>
        <v>41.457858769931669</v>
      </c>
      <c r="W178" s="215" t="str">
        <f>IF(売分析!AD178&lt;&gt;"",売分析!AD178,"")</f>
        <v>上昇トレンド▲</v>
      </c>
      <c r="X178" s="215" t="e">
        <f>IF(売分析!AE178&lt;&gt;"",売分析!AE178,"")</f>
        <v>#VALUE!</v>
      </c>
      <c r="Y178" s="391">
        <f>IF(売分析!T178&lt;&gt;"",売分析!T178,"")</f>
        <v>0</v>
      </c>
      <c r="Z178" s="215" t="e">
        <f>IF(売分析!Y178&lt;&gt;"",売分析!Y178,"")</f>
        <v>#VALUE!</v>
      </c>
    </row>
    <row r="179" spans="1:26">
      <c r="A179" s="328">
        <f>IF(売分析!C179&lt;&gt;"",ROW()-2,"")</f>
        <v>177</v>
      </c>
      <c r="B179" s="327" t="str">
        <f>IF(売分析!C179&lt;&gt;"",HYPERLINK("https://kabutan.jp/stock/?code="&amp;売分析!C179,"株探"),"")</f>
        <v>株探</v>
      </c>
      <c r="C179" s="343">
        <f>IF(売分析!C179&lt;&gt;"",売分析!C179,"")</f>
        <v>8281</v>
      </c>
      <c r="D179" s="328" t="str">
        <f>IF(売分析!D179&lt;&gt;"",売分析!D179,"")</f>
        <v/>
      </c>
      <c r="E179" s="329" t="str">
        <f>IF(売分析!E179&lt;&gt;"",売分析!E179,"")</f>
        <v/>
      </c>
      <c r="F179" s="329" t="str">
        <f>IF(売分析!F179&lt;&gt;"",売分析!F179,"")</f>
        <v/>
      </c>
      <c r="G179" s="329" t="str">
        <f>IF(売分析!H179&lt;&gt;"",売分析!H179,"")</f>
        <v/>
      </c>
      <c r="H179" s="329" t="str">
        <f>IF(売分析!I179&lt;&gt;"",売分析!I179,"")</f>
        <v/>
      </c>
      <c r="I179" s="328" t="str">
        <f>IF(売分析!J179&lt;&gt;"",売分析!J179,"")</f>
        <v/>
      </c>
      <c r="J179" s="329">
        <f>IF(売分析!AB179&lt;&gt;"",売分析!AB179,"")</f>
        <v>1100.8721198156682</v>
      </c>
      <c r="K179" s="329">
        <f>IF(売分析!AC179&lt;&gt;"",売分析!AC179,"")</f>
        <v>1076.5148986889151</v>
      </c>
      <c r="L179" s="329" t="str">
        <f>IF(売分析!K179&lt;&gt;"",売分析!K179,"")</f>
        <v/>
      </c>
      <c r="M179" s="328" t="str">
        <f>IF(売分析!P179&lt;&gt;"",売分析!P179,"")</f>
        <v/>
      </c>
      <c r="N179" s="331" t="str">
        <f>IF(売分析!O179&lt;&gt;"",売分析!O179,"")</f>
        <v/>
      </c>
      <c r="O179" s="333">
        <f>IF(売分析!X179&lt;&gt;"",売分析!X179,"")</f>
        <v>7.7077862115361313</v>
      </c>
      <c r="P179" s="330" t="str">
        <f>IF(売分析!L179&lt;&gt;"",売分析!L179,"")</f>
        <v/>
      </c>
      <c r="Q179" s="329" t="str">
        <f>IF(売分析!S179&lt;&gt;"",売分析!S179,"")</f>
        <v/>
      </c>
      <c r="R179" s="329" t="str">
        <f>IF(売分析!R179&lt;&gt;"",売分析!R179,"")</f>
        <v/>
      </c>
      <c r="S179" s="328" t="str">
        <f>IF(売分析!AA179&lt;&gt;"",売分析!AA179,"")</f>
        <v/>
      </c>
      <c r="T179" s="334" t="str">
        <f>IF(売分析!Z179&lt;&gt;"",売分析!Z179,"")</f>
        <v/>
      </c>
      <c r="U179" s="328" t="str">
        <f>IF(売分析!V179&lt;&gt;"",売分析!V179,"")</f>
        <v/>
      </c>
      <c r="V179" s="332">
        <f>IF(売分析!W179&lt;&gt;"",売分析!W179,"")</f>
        <v>71.140939597315437</v>
      </c>
      <c r="W179" s="328" t="str">
        <f>IF(売分析!AD179&lt;&gt;"",売分析!AD179,"")</f>
        <v>パーフェクト▲</v>
      </c>
      <c r="X179" s="328" t="e">
        <f>IF(売分析!AE179&lt;&gt;"",売分析!AE179,"")</f>
        <v>#VALUE!</v>
      </c>
      <c r="Y179" s="390">
        <f>IF(売分析!T179&lt;&gt;"",売分析!T179,"")</f>
        <v>0</v>
      </c>
      <c r="Z179" s="328" t="e">
        <f>IF(売分析!Y179&lt;&gt;"",売分析!Y179,"")</f>
        <v>#VALUE!</v>
      </c>
    </row>
    <row r="180" spans="1:26">
      <c r="A180" s="215">
        <f>IF(売分析!C180&lt;&gt;"",ROW()-2,"")</f>
        <v>178</v>
      </c>
      <c r="B180" s="335" t="str">
        <f>IF(売分析!C180&lt;&gt;"",HYPERLINK("https://kabutan.jp/stock/?code="&amp;売分析!C180,"株探"),"")</f>
        <v>株探</v>
      </c>
      <c r="C180" s="344">
        <f>IF(売分析!C180&lt;&gt;"",売分析!C180,"")</f>
        <v>1833</v>
      </c>
      <c r="D180" s="215" t="str">
        <f>IF(売分析!D180&lt;&gt;"",売分析!D180,"")</f>
        <v/>
      </c>
      <c r="E180" s="336" t="str">
        <f>IF(売分析!E180&lt;&gt;"",売分析!E180,"")</f>
        <v/>
      </c>
      <c r="F180" s="336" t="str">
        <f>IF(売分析!F180&lt;&gt;"",売分析!F180,"")</f>
        <v/>
      </c>
      <c r="G180" s="336" t="str">
        <f>IF(売分析!H180&lt;&gt;"",売分析!H180,"")</f>
        <v/>
      </c>
      <c r="H180" s="336" t="str">
        <f>IF(売分析!I180&lt;&gt;"",売分析!I180,"")</f>
        <v/>
      </c>
      <c r="I180" s="215" t="str">
        <f>IF(売分析!J180&lt;&gt;"",売分析!J180,"")</f>
        <v/>
      </c>
      <c r="J180" s="336">
        <f>IF(売分析!AB180&lt;&gt;"",売分析!AB180,"")</f>
        <v>5621.4055299539159</v>
      </c>
      <c r="K180" s="336">
        <f>IF(売分析!AC180&lt;&gt;"",売分析!AC180,"")</f>
        <v>5647.5208581644774</v>
      </c>
      <c r="L180" s="336" t="str">
        <f>IF(売分析!K180&lt;&gt;"",売分析!K180,"")</f>
        <v/>
      </c>
      <c r="M180" s="215" t="str">
        <f>IF(売分析!P180&lt;&gt;"",売分析!P180,"")</f>
        <v/>
      </c>
      <c r="N180" s="338" t="str">
        <f>IF(売分析!O180&lt;&gt;"",売分析!O180,"")</f>
        <v/>
      </c>
      <c r="O180" s="340">
        <f>IF(売分析!X180&lt;&gt;"",売分析!X180,"")</f>
        <v>-0.62860463542710932</v>
      </c>
      <c r="P180" s="337" t="str">
        <f>IF(売分析!L180&lt;&gt;"",売分析!L180,"")</f>
        <v/>
      </c>
      <c r="Q180" s="336" t="str">
        <f>IF(売分析!S180&lt;&gt;"",売分析!S180,"")</f>
        <v/>
      </c>
      <c r="R180" s="336" t="str">
        <f>IF(売分析!R180&lt;&gt;"",売分析!R180,"")</f>
        <v/>
      </c>
      <c r="S180" s="215" t="str">
        <f>IF(売分析!AA180&lt;&gt;"",売分析!AA180,"")</f>
        <v/>
      </c>
      <c r="T180" s="341" t="str">
        <f>IF(売分析!Z180&lt;&gt;"",売分析!Z180,"")</f>
        <v/>
      </c>
      <c r="U180" s="215" t="str">
        <f>IF(売分析!V180&lt;&gt;"",売分析!V180,"")</f>
        <v/>
      </c>
      <c r="V180" s="339">
        <f>IF(売分析!W180&lt;&gt;"",売分析!W180,"")</f>
        <v>56.164383561643838</v>
      </c>
      <c r="W180" s="215" t="str">
        <f>IF(売分析!AD180&lt;&gt;"",売分析!AD180,"")</f>
        <v>上昇トレンド▲</v>
      </c>
      <c r="X180" s="215" t="e">
        <f>IF(売分析!AE180&lt;&gt;"",売分析!AE180,"")</f>
        <v>#VALUE!</v>
      </c>
      <c r="Y180" s="391">
        <f>IF(売分析!T180&lt;&gt;"",売分析!T180,"")</f>
        <v>0</v>
      </c>
      <c r="Z180" s="215" t="e">
        <f>IF(売分析!Y180&lt;&gt;"",売分析!Y180,"")</f>
        <v>#VALUE!</v>
      </c>
    </row>
    <row r="181" spans="1:26">
      <c r="A181" s="328">
        <f>IF(売分析!C181&lt;&gt;"",ROW()-2,"")</f>
        <v>179</v>
      </c>
      <c r="B181" s="327" t="str">
        <f>IF(売分析!C181&lt;&gt;"",HYPERLINK("https://kabutan.jp/stock/?code="&amp;売分析!C181,"株探"),"")</f>
        <v>株探</v>
      </c>
      <c r="C181" s="343">
        <f>IF(売分析!C181&lt;&gt;"",売分析!C181,"")</f>
        <v>1925</v>
      </c>
      <c r="D181" s="328" t="str">
        <f>IF(売分析!D181&lt;&gt;"",売分析!D181,"")</f>
        <v/>
      </c>
      <c r="E181" s="329" t="str">
        <f>IF(売分析!E181&lt;&gt;"",売分析!E181,"")</f>
        <v/>
      </c>
      <c r="F181" s="329" t="str">
        <f>IF(売分析!F181&lt;&gt;"",売分析!F181,"")</f>
        <v/>
      </c>
      <c r="G181" s="329" t="str">
        <f>IF(売分析!H181&lt;&gt;"",売分析!H181,"")</f>
        <v/>
      </c>
      <c r="H181" s="329" t="str">
        <f>IF(売分析!I181&lt;&gt;"",売分析!I181,"")</f>
        <v/>
      </c>
      <c r="I181" s="328" t="str">
        <f>IF(売分析!J181&lt;&gt;"",売分析!J181,"")</f>
        <v/>
      </c>
      <c r="J181" s="329">
        <f>IF(売分析!AB181&lt;&gt;"",売分析!AB181,"")</f>
        <v>4578.1947004608292</v>
      </c>
      <c r="K181" s="329">
        <f>IF(売分析!AC181&lt;&gt;"",売分析!AC181,"")</f>
        <v>4482.9713945172807</v>
      </c>
      <c r="L181" s="329" t="str">
        <f>IF(売分析!K181&lt;&gt;"",売分析!K181,"")</f>
        <v/>
      </c>
      <c r="M181" s="328" t="str">
        <f>IF(売分析!P181&lt;&gt;"",売分析!P181,"")</f>
        <v/>
      </c>
      <c r="N181" s="331" t="str">
        <f>IF(売分析!O181&lt;&gt;"",売分析!O181,"")</f>
        <v/>
      </c>
      <c r="O181" s="333">
        <f>IF(売分析!X181&lt;&gt;"",売分析!X181,"")</f>
        <v>32.383079458206339</v>
      </c>
      <c r="P181" s="330" t="str">
        <f>IF(売分析!L181&lt;&gt;"",売分析!L181,"")</f>
        <v/>
      </c>
      <c r="Q181" s="329" t="str">
        <f>IF(売分析!S181&lt;&gt;"",売分析!S181,"")</f>
        <v/>
      </c>
      <c r="R181" s="329" t="str">
        <f>IF(売分析!R181&lt;&gt;"",売分析!R181,"")</f>
        <v/>
      </c>
      <c r="S181" s="328" t="str">
        <f>IF(売分析!AA181&lt;&gt;"",売分析!AA181,"")</f>
        <v/>
      </c>
      <c r="T181" s="334" t="str">
        <f>IF(売分析!Z181&lt;&gt;"",売分析!Z181,"")</f>
        <v/>
      </c>
      <c r="U181" s="328" t="str">
        <f>IF(売分析!V181&lt;&gt;"",売分析!V181,"")</f>
        <v/>
      </c>
      <c r="V181" s="332">
        <f>IF(売分析!W181&lt;&gt;"",売分析!W181,"")</f>
        <v>75.670103092783506</v>
      </c>
      <c r="W181" s="328" t="str">
        <f>IF(売分析!AD181&lt;&gt;"",売分析!AD181,"")</f>
        <v>パーフェクト▲</v>
      </c>
      <c r="X181" s="328" t="e">
        <f>IF(売分析!AE181&lt;&gt;"",売分析!AE181,"")</f>
        <v>#VALUE!</v>
      </c>
      <c r="Y181" s="390">
        <f>IF(売分析!T181&lt;&gt;"",売分析!T181,"")</f>
        <v>0</v>
      </c>
      <c r="Z181" s="328" t="e">
        <f>IF(売分析!Y181&lt;&gt;"",売分析!Y181,"")</f>
        <v>#VALUE!</v>
      </c>
    </row>
    <row r="182" spans="1:26">
      <c r="A182" s="215">
        <f>IF(売分析!C182&lt;&gt;"",ROW()-2,"")</f>
        <v>180</v>
      </c>
      <c r="B182" s="335" t="str">
        <f>IF(売分析!C182&lt;&gt;"",HYPERLINK("https://kabutan.jp/stock/?code="&amp;売分析!C182,"株探"),"")</f>
        <v>株探</v>
      </c>
      <c r="C182" s="344">
        <f>IF(売分析!C182&lt;&gt;"",売分析!C182,"")</f>
        <v>2914</v>
      </c>
      <c r="D182" s="215" t="str">
        <f>IF(売分析!D182&lt;&gt;"",売分析!D182,"")</f>
        <v/>
      </c>
      <c r="E182" s="336" t="str">
        <f>IF(売分析!E182&lt;&gt;"",売分析!E182,"")</f>
        <v/>
      </c>
      <c r="F182" s="336" t="str">
        <f>IF(売分析!F182&lt;&gt;"",売分析!F182,"")</f>
        <v/>
      </c>
      <c r="G182" s="336" t="str">
        <f>IF(売分析!H182&lt;&gt;"",売分析!H182,"")</f>
        <v/>
      </c>
      <c r="H182" s="336" t="str">
        <f>IF(売分析!I182&lt;&gt;"",売分析!I182,"")</f>
        <v/>
      </c>
      <c r="I182" s="215" t="str">
        <f>IF(売分析!J182&lt;&gt;"",売分析!J182,"")</f>
        <v/>
      </c>
      <c r="J182" s="336">
        <f>IF(売分析!AB182&lt;&gt;"",売分析!AB182,"")</f>
        <v>6201.4516129032245</v>
      </c>
      <c r="K182" s="336">
        <f>IF(売分析!AC182&lt;&gt;"",売分析!AC182,"")</f>
        <v>6116.4636471990452</v>
      </c>
      <c r="L182" s="336" t="str">
        <f>IF(売分析!K182&lt;&gt;"",売分析!K182,"")</f>
        <v/>
      </c>
      <c r="M182" s="215" t="str">
        <f>IF(売分析!P182&lt;&gt;"",売分析!P182,"")</f>
        <v/>
      </c>
      <c r="N182" s="338" t="str">
        <f>IF(売分析!O182&lt;&gt;"",売分析!O182,"")</f>
        <v/>
      </c>
      <c r="O182" s="340">
        <f>IF(売分析!X182&lt;&gt;"",売分析!X182,"")</f>
        <v>21.694000533357212</v>
      </c>
      <c r="P182" s="337" t="str">
        <f>IF(売分析!L182&lt;&gt;"",売分析!L182,"")</f>
        <v/>
      </c>
      <c r="Q182" s="336" t="str">
        <f>IF(売分析!S182&lt;&gt;"",売分析!S182,"")</f>
        <v/>
      </c>
      <c r="R182" s="336" t="str">
        <f>IF(売分析!R182&lt;&gt;"",売分析!R182,"")</f>
        <v/>
      </c>
      <c r="S182" s="215" t="str">
        <f>IF(売分析!AA182&lt;&gt;"",売分析!AA182,"")</f>
        <v/>
      </c>
      <c r="T182" s="341" t="str">
        <f>IF(売分析!Z182&lt;&gt;"",売分析!Z182,"")</f>
        <v/>
      </c>
      <c r="U182" s="215" t="str">
        <f>IF(売分析!V182&lt;&gt;"",売分析!V182,"")</f>
        <v/>
      </c>
      <c r="V182" s="339">
        <f>IF(売分析!W182&lt;&gt;"",売分析!W182,"")</f>
        <v>62.776025236593057</v>
      </c>
      <c r="W182" s="215" t="str">
        <f>IF(売分析!AD182&lt;&gt;"",売分析!AD182,"")</f>
        <v>パーフェクト▲</v>
      </c>
      <c r="X182" s="215" t="e">
        <f>IF(売分析!AE182&lt;&gt;"",売分析!AE182,"")</f>
        <v>#VALUE!</v>
      </c>
      <c r="Y182" s="391">
        <f>IF(売分析!T182&lt;&gt;"",売分析!T182,"")</f>
        <v>0</v>
      </c>
      <c r="Z182" s="215" t="e">
        <f>IF(売分析!Y182&lt;&gt;"",売分析!Y182,"")</f>
        <v>#VALUE!</v>
      </c>
    </row>
    <row r="183" spans="1:26">
      <c r="A183" s="328">
        <f>IF(売分析!C183&lt;&gt;"",ROW()-2,"")</f>
        <v>181</v>
      </c>
      <c r="B183" s="327" t="str">
        <f>IF(売分析!C183&lt;&gt;"",HYPERLINK("https://kabutan.jp/stock/?code="&amp;売分析!C183,"株探"),"")</f>
        <v>株探</v>
      </c>
      <c r="C183" s="343">
        <f>IF(売分析!C183&lt;&gt;"",売分析!C183,"")</f>
        <v>3407</v>
      </c>
      <c r="D183" s="328" t="str">
        <f>IF(売分析!D183&lt;&gt;"",売分析!D183,"")</f>
        <v/>
      </c>
      <c r="E183" s="329" t="str">
        <f>IF(売分析!E183&lt;&gt;"",売分析!E183,"")</f>
        <v/>
      </c>
      <c r="F183" s="329" t="str">
        <f>IF(売分析!F183&lt;&gt;"",売分析!F183,"")</f>
        <v/>
      </c>
      <c r="G183" s="329" t="str">
        <f>IF(売分析!H183&lt;&gt;"",売分析!H183,"")</f>
        <v/>
      </c>
      <c r="H183" s="329" t="str">
        <f>IF(売分析!I183&lt;&gt;"",売分析!I183,"")</f>
        <v/>
      </c>
      <c r="I183" s="328" t="str">
        <f>IF(売分析!J183&lt;&gt;"",売分析!J183,"")</f>
        <v/>
      </c>
      <c r="J183" s="329">
        <f>IF(売分析!AB183&lt;&gt;"",売分析!AB183,"")</f>
        <v>1850.081797235023</v>
      </c>
      <c r="K183" s="329">
        <f>IF(売分析!AC183&lt;&gt;"",売分析!AC183,"")</f>
        <v>1828.528605482717</v>
      </c>
      <c r="L183" s="329" t="str">
        <f>IF(売分析!K183&lt;&gt;"",売分析!K183,"")</f>
        <v/>
      </c>
      <c r="M183" s="328" t="str">
        <f>IF(売分析!P183&lt;&gt;"",売分析!P183,"")</f>
        <v/>
      </c>
      <c r="N183" s="331" t="str">
        <f>IF(売分析!O183&lt;&gt;"",売分析!O183,"")</f>
        <v/>
      </c>
      <c r="O183" s="333">
        <f>IF(売分析!X183&lt;&gt;"",売分析!X183,"")</f>
        <v>9.3121211276913982</v>
      </c>
      <c r="P183" s="330" t="str">
        <f>IF(売分析!L183&lt;&gt;"",売分析!L183,"")</f>
        <v/>
      </c>
      <c r="Q183" s="329" t="str">
        <f>IF(売分析!S183&lt;&gt;"",売分析!S183,"")</f>
        <v/>
      </c>
      <c r="R183" s="329" t="str">
        <f>IF(売分析!R183&lt;&gt;"",売分析!R183,"")</f>
        <v/>
      </c>
      <c r="S183" s="328" t="str">
        <f>IF(売分析!AA183&lt;&gt;"",売分析!AA183,"")</f>
        <v/>
      </c>
      <c r="T183" s="334" t="str">
        <f>IF(売分析!Z183&lt;&gt;"",売分析!Z183,"")</f>
        <v/>
      </c>
      <c r="U183" s="328" t="str">
        <f>IF(売分析!V183&lt;&gt;"",売分析!V183,"")</f>
        <v/>
      </c>
      <c r="V183" s="332">
        <f>IF(売分析!W183&lt;&gt;"",売分析!W183,"")</f>
        <v>64.829821717990285</v>
      </c>
      <c r="W183" s="328" t="str">
        <f>IF(売分析!AD183&lt;&gt;"",売分析!AD183,"")</f>
        <v>パーフェクト▲</v>
      </c>
      <c r="X183" s="328" t="e">
        <f>IF(売分析!AE183&lt;&gt;"",売分析!AE183,"")</f>
        <v>#VALUE!</v>
      </c>
      <c r="Y183" s="390">
        <f>IF(売分析!T183&lt;&gt;"",売分析!T183,"")</f>
        <v>0</v>
      </c>
      <c r="Z183" s="328" t="e">
        <f>IF(売分析!Y183&lt;&gt;"",売分析!Y183,"")</f>
        <v>#VALUE!</v>
      </c>
    </row>
    <row r="184" spans="1:26">
      <c r="A184" s="215">
        <f>IF(売分析!C184&lt;&gt;"",ROW()-2,"")</f>
        <v>182</v>
      </c>
      <c r="B184" s="335" t="str">
        <f>IF(売分析!C184&lt;&gt;"",HYPERLINK("https://kabutan.jp/stock/?code="&amp;売分析!C184,"株探"),"")</f>
        <v>株探</v>
      </c>
      <c r="C184" s="344">
        <f>IF(売分析!C184&lt;&gt;"",売分析!C184,"")</f>
        <v>4523</v>
      </c>
      <c r="D184" s="215" t="str">
        <f>IF(売分析!D184&lt;&gt;"",売分析!D184,"")</f>
        <v/>
      </c>
      <c r="E184" s="336" t="str">
        <f>IF(売分析!E184&lt;&gt;"",売分析!E184,"")</f>
        <v/>
      </c>
      <c r="F184" s="336" t="str">
        <f>IF(売分析!F184&lt;&gt;"",売分析!F184,"")</f>
        <v/>
      </c>
      <c r="G184" s="336" t="str">
        <f>IF(売分析!H184&lt;&gt;"",売分析!H184,"")</f>
        <v/>
      </c>
      <c r="H184" s="336" t="str">
        <f>IF(売分析!I184&lt;&gt;"",売分析!I184,"")</f>
        <v/>
      </c>
      <c r="I184" s="215" t="str">
        <f>IF(売分析!J184&lt;&gt;"",売分析!J184,"")</f>
        <v/>
      </c>
      <c r="J184" s="336">
        <f>IF(売分析!AB184&lt;&gt;"",売分析!AB184,"")</f>
        <v>4352.4458525345626</v>
      </c>
      <c r="K184" s="336">
        <f>IF(売分析!AC184&lt;&gt;"",売分析!AC184,"")</f>
        <v>4183.1597139451706</v>
      </c>
      <c r="L184" s="336" t="str">
        <f>IF(売分析!K184&lt;&gt;"",売分析!K184,"")</f>
        <v/>
      </c>
      <c r="M184" s="215" t="str">
        <f>IF(売分析!P184&lt;&gt;"",売分析!P184,"")</f>
        <v/>
      </c>
      <c r="N184" s="338" t="str">
        <f>IF(売分析!O184&lt;&gt;"",売分析!O184,"")</f>
        <v/>
      </c>
      <c r="O184" s="340">
        <f>IF(売分析!X184&lt;&gt;"",売分析!X184,"")</f>
        <v>63.541106277292783</v>
      </c>
      <c r="P184" s="337" t="str">
        <f>IF(売分析!L184&lt;&gt;"",売分析!L184,"")</f>
        <v/>
      </c>
      <c r="Q184" s="336" t="str">
        <f>IF(売分析!S184&lt;&gt;"",売分析!S184,"")</f>
        <v/>
      </c>
      <c r="R184" s="336" t="str">
        <f>IF(売分析!R184&lt;&gt;"",売分析!R184,"")</f>
        <v/>
      </c>
      <c r="S184" s="215" t="str">
        <f>IF(売分析!AA184&lt;&gt;"",売分析!AA184,"")</f>
        <v/>
      </c>
      <c r="T184" s="341" t="str">
        <f>IF(売分析!Z184&lt;&gt;"",売分析!Z184,"")</f>
        <v/>
      </c>
      <c r="U184" s="215" t="str">
        <f>IF(売分析!V184&lt;&gt;"",売分析!V184,"")</f>
        <v/>
      </c>
      <c r="V184" s="339">
        <f>IF(売分析!W184&lt;&gt;"",売分析!W184,"")</f>
        <v>68.427370948379348</v>
      </c>
      <c r="W184" s="215" t="str">
        <f>IF(売分析!AD184&lt;&gt;"",売分析!AD184,"")</f>
        <v>パーフェクト▲</v>
      </c>
      <c r="X184" s="215" t="e">
        <f>IF(売分析!AE184&lt;&gt;"",売分析!AE184,"")</f>
        <v>#VALUE!</v>
      </c>
      <c r="Y184" s="391">
        <f>IF(売分析!T184&lt;&gt;"",売分析!T184,"")</f>
        <v>0</v>
      </c>
      <c r="Z184" s="215" t="e">
        <f>IF(売分析!Y184&lt;&gt;"",売分析!Y184,"")</f>
        <v>#VALUE!</v>
      </c>
    </row>
    <row r="185" spans="1:26">
      <c r="A185" s="328">
        <f>IF(売分析!C185&lt;&gt;"",ROW()-2,"")</f>
        <v>183</v>
      </c>
      <c r="B185" s="327" t="str">
        <f>IF(売分析!C185&lt;&gt;"",HYPERLINK("https://kabutan.jp/stock/?code="&amp;売分析!C185,"株探"),"")</f>
        <v>株探</v>
      </c>
      <c r="C185" s="343">
        <f>IF(売分析!C185&lt;&gt;"",売分析!C185,"")</f>
        <v>8424</v>
      </c>
      <c r="D185" s="328" t="str">
        <f>IF(売分析!D185&lt;&gt;"",売分析!D185,"")</f>
        <v/>
      </c>
      <c r="E185" s="329" t="str">
        <f>IF(売分析!E185&lt;&gt;"",売分析!E185,"")</f>
        <v/>
      </c>
      <c r="F185" s="329" t="str">
        <f>IF(売分析!F185&lt;&gt;"",売分析!F185,"")</f>
        <v/>
      </c>
      <c r="G185" s="329" t="str">
        <f>IF(売分析!H185&lt;&gt;"",売分析!H185,"")</f>
        <v/>
      </c>
      <c r="H185" s="329" t="str">
        <f>IF(売分析!I185&lt;&gt;"",売分析!I185,"")</f>
        <v/>
      </c>
      <c r="I185" s="328" t="str">
        <f>IF(売分析!J185&lt;&gt;"",売分析!J185,"")</f>
        <v/>
      </c>
      <c r="J185" s="329">
        <f>IF(売分析!AB185&lt;&gt;"",売分析!AB185,"")</f>
        <v>4332.675115207373</v>
      </c>
      <c r="K185" s="329">
        <f>IF(売分析!AC185&lt;&gt;"",売分析!AC185,"")</f>
        <v>4262.4326579261015</v>
      </c>
      <c r="L185" s="329" t="str">
        <f>IF(売分析!K185&lt;&gt;"",売分析!K185,"")</f>
        <v/>
      </c>
      <c r="M185" s="328" t="str">
        <f>IF(売分析!P185&lt;&gt;"",売分析!P185,"")</f>
        <v/>
      </c>
      <c r="N185" s="331" t="str">
        <f>IF(売分析!O185&lt;&gt;"",売分析!O185,"")</f>
        <v/>
      </c>
      <c r="O185" s="333">
        <f>IF(売分析!X185&lt;&gt;"",売分析!X185,"")</f>
        <v>12.376004521593131</v>
      </c>
      <c r="P185" s="330" t="str">
        <f>IF(売分析!L185&lt;&gt;"",売分析!L185,"")</f>
        <v/>
      </c>
      <c r="Q185" s="329" t="str">
        <f>IF(売分析!S185&lt;&gt;"",売分析!S185,"")</f>
        <v/>
      </c>
      <c r="R185" s="329" t="str">
        <f>IF(売分析!R185&lt;&gt;"",売分析!R185,"")</f>
        <v/>
      </c>
      <c r="S185" s="328" t="str">
        <f>IF(売分析!AA185&lt;&gt;"",売分析!AA185,"")</f>
        <v/>
      </c>
      <c r="T185" s="334" t="str">
        <f>IF(売分析!Z185&lt;&gt;"",売分析!Z185,"")</f>
        <v/>
      </c>
      <c r="U185" s="328" t="str">
        <f>IF(売分析!V185&lt;&gt;"",売分析!V185,"")</f>
        <v/>
      </c>
      <c r="V185" s="332">
        <f>IF(売分析!W185&lt;&gt;"",売分析!W185,"")</f>
        <v>76.012461059190031</v>
      </c>
      <c r="W185" s="328" t="str">
        <f>IF(売分析!AD185&lt;&gt;"",売分析!AD185,"")</f>
        <v>パーフェクト▲</v>
      </c>
      <c r="X185" s="328" t="e">
        <f>IF(売分析!AE185&lt;&gt;"",売分析!AE185,"")</f>
        <v>#VALUE!</v>
      </c>
      <c r="Y185" s="390">
        <f>IF(売分析!T185&lt;&gt;"",売分析!T185,"")</f>
        <v>0</v>
      </c>
      <c r="Z185" s="328" t="e">
        <f>IF(売分析!Y185&lt;&gt;"",売分析!Y185,"")</f>
        <v>#VALUE!</v>
      </c>
    </row>
    <row r="186" spans="1:26">
      <c r="A186" s="215">
        <f>IF(売分析!C186&lt;&gt;"",ROW()-2,"")</f>
        <v>184</v>
      </c>
      <c r="B186" s="335" t="str">
        <f>IF(売分析!C186&lt;&gt;"",HYPERLINK("https://kabutan.jp/stock/?code="&amp;売分析!C186,"株探"),"")</f>
        <v>株探</v>
      </c>
      <c r="C186" s="344">
        <f>IF(売分析!C186&lt;&gt;"",売分析!C186,"")</f>
        <v>6330</v>
      </c>
      <c r="D186" s="215" t="str">
        <f>IF(売分析!D186&lt;&gt;"",売分析!D186,"")</f>
        <v/>
      </c>
      <c r="E186" s="336" t="str">
        <f>IF(売分析!E186&lt;&gt;"",売分析!E186,"")</f>
        <v/>
      </c>
      <c r="F186" s="336" t="str">
        <f>IF(売分析!F186&lt;&gt;"",売分析!F186,"")</f>
        <v/>
      </c>
      <c r="G186" s="336" t="str">
        <f>IF(売分析!H186&lt;&gt;"",売分析!H186,"")</f>
        <v/>
      </c>
      <c r="H186" s="336" t="str">
        <f>IF(売分析!I186&lt;&gt;"",売分析!I186,"")</f>
        <v/>
      </c>
      <c r="I186" s="215" t="str">
        <f>IF(売分析!J186&lt;&gt;"",売分析!J186,"")</f>
        <v/>
      </c>
      <c r="J186" s="336">
        <f>IF(売分析!AB186&lt;&gt;"",売分析!AB186,"")</f>
        <v>1874.536866359447</v>
      </c>
      <c r="K186" s="336">
        <f>IF(売分析!AC186&lt;&gt;"",売分析!AC186,"")</f>
        <v>1969.1930870083422</v>
      </c>
      <c r="L186" s="336" t="str">
        <f>IF(売分析!K186&lt;&gt;"",売分析!K186,"")</f>
        <v/>
      </c>
      <c r="M186" s="215" t="str">
        <f>IF(売分析!P186&lt;&gt;"",売分析!P186,"")</f>
        <v/>
      </c>
      <c r="N186" s="338" t="str">
        <f>IF(売分析!O186&lt;&gt;"",売分析!O186,"")</f>
        <v/>
      </c>
      <c r="O186" s="340">
        <f>IF(売分析!X186&lt;&gt;"",売分析!X186,"")</f>
        <v>-11.818033824366012</v>
      </c>
      <c r="P186" s="337" t="str">
        <f>IF(売分析!L186&lt;&gt;"",売分析!L186,"")</f>
        <v/>
      </c>
      <c r="Q186" s="336" t="str">
        <f>IF(売分析!S186&lt;&gt;"",売分析!S186,"")</f>
        <v/>
      </c>
      <c r="R186" s="336" t="str">
        <f>IF(売分析!R186&lt;&gt;"",売分析!R186,"")</f>
        <v/>
      </c>
      <c r="S186" s="215" t="str">
        <f>IF(売分析!AA186&lt;&gt;"",売分析!AA186,"")</f>
        <v/>
      </c>
      <c r="T186" s="341" t="str">
        <f>IF(売分析!Z186&lt;&gt;"",売分析!Z186,"")</f>
        <v/>
      </c>
      <c r="U186" s="215" t="str">
        <f>IF(売分析!V186&lt;&gt;"",売分析!V186,"")</f>
        <v/>
      </c>
      <c r="V186" s="339">
        <f>IF(売分析!W186&lt;&gt;"",売分析!W186,"")</f>
        <v>49.947753396029256</v>
      </c>
      <c r="W186" s="215" t="str">
        <f>IF(売分析!AD186&lt;&gt;"",売分析!AD186,"")</f>
        <v>上昇トレンド▲</v>
      </c>
      <c r="X186" s="215" t="e">
        <f>IF(売分析!AE186&lt;&gt;"",売分析!AE186,"")</f>
        <v>#VALUE!</v>
      </c>
      <c r="Y186" s="391">
        <f>IF(売分析!T186&lt;&gt;"",売分析!T186,"")</f>
        <v>0</v>
      </c>
      <c r="Z186" s="215" t="e">
        <f>IF(売分析!Y186&lt;&gt;"",売分析!Y186,"")</f>
        <v>#VALUE!</v>
      </c>
    </row>
    <row r="187" spans="1:26">
      <c r="A187" s="328">
        <f>IF(売分析!C187&lt;&gt;"",ROW()-2,"")</f>
        <v>185</v>
      </c>
      <c r="B187" s="327" t="str">
        <f>IF(売分析!C187&lt;&gt;"",HYPERLINK("https://kabutan.jp/stock/?code="&amp;売分析!C187,"株探"),"")</f>
        <v>株探</v>
      </c>
      <c r="C187" s="343">
        <f>IF(売分析!C187&lt;&gt;"",売分析!C187,"")</f>
        <v>2160</v>
      </c>
      <c r="D187" s="328" t="str">
        <f>IF(売分析!D187&lt;&gt;"",売分析!D187,"")</f>
        <v/>
      </c>
      <c r="E187" s="329" t="str">
        <f>IF(売分析!E187&lt;&gt;"",売分析!E187,"")</f>
        <v/>
      </c>
      <c r="F187" s="329" t="str">
        <f>IF(売分析!F187&lt;&gt;"",売分析!F187,"")</f>
        <v/>
      </c>
      <c r="G187" s="329" t="str">
        <f>IF(売分析!H187&lt;&gt;"",売分析!H187,"")</f>
        <v/>
      </c>
      <c r="H187" s="329" t="str">
        <f>IF(売分析!I187&lt;&gt;"",売分析!I187,"")</f>
        <v/>
      </c>
      <c r="I187" s="328" t="str">
        <f>IF(売分析!J187&lt;&gt;"",売分析!J187,"")</f>
        <v/>
      </c>
      <c r="J187" s="329">
        <f>IF(売分析!AB187&lt;&gt;"",売分析!AB187,"")</f>
        <v>2532.6774193548385</v>
      </c>
      <c r="K187" s="329">
        <f>IF(売分析!AC187&lt;&gt;"",売分析!AC187,"")</f>
        <v>2632.0977353992839</v>
      </c>
      <c r="L187" s="329" t="str">
        <f>IF(売分析!K187&lt;&gt;"",売分析!K187,"")</f>
        <v/>
      </c>
      <c r="M187" s="328" t="str">
        <f>IF(売分析!P187&lt;&gt;"",売分析!P187,"")</f>
        <v/>
      </c>
      <c r="N187" s="331" t="str">
        <f>IF(売分析!O187&lt;&gt;"",売分析!O187,"")</f>
        <v/>
      </c>
      <c r="O187" s="333">
        <f>IF(売分析!X187&lt;&gt;"",売分析!X187,"")</f>
        <v>0.76777490755875988</v>
      </c>
      <c r="P187" s="330" t="str">
        <f>IF(売分析!L187&lt;&gt;"",売分析!L187,"")</f>
        <v/>
      </c>
      <c r="Q187" s="329" t="str">
        <f>IF(売分析!S187&lt;&gt;"",売分析!S187,"")</f>
        <v/>
      </c>
      <c r="R187" s="329" t="str">
        <f>IF(売分析!R187&lt;&gt;"",売分析!R187,"")</f>
        <v/>
      </c>
      <c r="S187" s="328" t="str">
        <f>IF(売分析!AA187&lt;&gt;"",売分析!AA187,"")</f>
        <v/>
      </c>
      <c r="T187" s="334" t="str">
        <f>IF(売分析!Z187&lt;&gt;"",売分析!Z187,"")</f>
        <v/>
      </c>
      <c r="U187" s="328" t="str">
        <f>IF(売分析!V187&lt;&gt;"",売分析!V187,"")</f>
        <v/>
      </c>
      <c r="V187" s="332">
        <f>IF(売分析!W187&lt;&gt;"",売分析!W187,"")</f>
        <v>51.077586206896548</v>
      </c>
      <c r="W187" s="328" t="str">
        <f>IF(売分析!AD187&lt;&gt;"",売分析!AD187,"")</f>
        <v>上昇トレンド▲</v>
      </c>
      <c r="X187" s="328" t="e">
        <f>IF(売分析!AE187&lt;&gt;"",売分析!AE187,"")</f>
        <v>#VALUE!</v>
      </c>
      <c r="Y187" s="390">
        <f>IF(売分析!T187&lt;&gt;"",売分析!T187,"")</f>
        <v>0</v>
      </c>
      <c r="Z187" s="328" t="e">
        <f>IF(売分析!Y187&lt;&gt;"",売分析!Y187,"")</f>
        <v>#VALUE!</v>
      </c>
    </row>
    <row r="188" spans="1:26">
      <c r="A188" s="215">
        <f>IF(売分析!C188&lt;&gt;"",ROW()-2,"")</f>
        <v>186</v>
      </c>
      <c r="B188" s="335" t="str">
        <f>IF(売分析!C188&lt;&gt;"",HYPERLINK("https://kabutan.jp/stock/?code="&amp;売分析!C188,"株探"),"")</f>
        <v>株探</v>
      </c>
      <c r="C188" s="344">
        <f>IF(売分析!C188&lt;&gt;"",売分析!C188,"")</f>
        <v>4422</v>
      </c>
      <c r="D188" s="215" t="str">
        <f>IF(売分析!D188&lt;&gt;"",売分析!D188,"")</f>
        <v/>
      </c>
      <c r="E188" s="336" t="str">
        <f>IF(売分析!E188&lt;&gt;"",売分析!E188,"")</f>
        <v/>
      </c>
      <c r="F188" s="336" t="str">
        <f>IF(売分析!F188&lt;&gt;"",売分析!F188,"")</f>
        <v/>
      </c>
      <c r="G188" s="336" t="str">
        <f>IF(売分析!H188&lt;&gt;"",売分析!H188,"")</f>
        <v/>
      </c>
      <c r="H188" s="336" t="str">
        <f>IF(売分析!I188&lt;&gt;"",売分析!I188,"")</f>
        <v/>
      </c>
      <c r="I188" s="215" t="str">
        <f>IF(売分析!J188&lt;&gt;"",売分析!J188,"")</f>
        <v/>
      </c>
      <c r="J188" s="336">
        <f>IF(売分析!AB188&lt;&gt;"",売分析!AB188,"")</f>
        <v>541.38940092165888</v>
      </c>
      <c r="K188" s="336">
        <f>IF(売分析!AC188&lt;&gt;"",売分析!AC188,"")</f>
        <v>573.97497020262188</v>
      </c>
      <c r="L188" s="336" t="str">
        <f>IF(売分析!K188&lt;&gt;"",売分析!K188,"")</f>
        <v/>
      </c>
      <c r="M188" s="215" t="str">
        <f>IF(売分析!P188&lt;&gt;"",売分析!P188,"")</f>
        <v/>
      </c>
      <c r="N188" s="338" t="str">
        <f>IF(売分析!O188&lt;&gt;"",売分析!O188,"")</f>
        <v/>
      </c>
      <c r="O188" s="340">
        <f>IF(売分析!X188&lt;&gt;"",売分析!X188,"")</f>
        <v>-8.7587396861154048</v>
      </c>
      <c r="P188" s="337" t="str">
        <f>IF(売分析!L188&lt;&gt;"",売分析!L188,"")</f>
        <v/>
      </c>
      <c r="Q188" s="336" t="str">
        <f>IF(売分析!S188&lt;&gt;"",売分析!S188,"")</f>
        <v/>
      </c>
      <c r="R188" s="336" t="str">
        <f>IF(売分析!R188&lt;&gt;"",売分析!R188,"")</f>
        <v/>
      </c>
      <c r="S188" s="215" t="str">
        <f>IF(売分析!AA188&lt;&gt;"",売分析!AA188,"")</f>
        <v/>
      </c>
      <c r="T188" s="341" t="str">
        <f>IF(売分析!Z188&lt;&gt;"",売分析!Z188,"")</f>
        <v/>
      </c>
      <c r="U188" s="215" t="str">
        <f>IF(売分析!V188&lt;&gt;"",売分析!V188,"")</f>
        <v/>
      </c>
      <c r="V188" s="339">
        <f>IF(売分析!W188&lt;&gt;"",売分析!W188,"")</f>
        <v>49.468085106382979</v>
      </c>
      <c r="W188" s="215" t="str">
        <f>IF(売分析!AD188&lt;&gt;"",売分析!AD188,"")</f>
        <v>上昇トレンド▲</v>
      </c>
      <c r="X188" s="215" t="e">
        <f>IF(売分析!AE188&lt;&gt;"",売分析!AE188,"")</f>
        <v>#VALUE!</v>
      </c>
      <c r="Y188" s="391">
        <f>IF(売分析!T188&lt;&gt;"",売分析!T188,"")</f>
        <v>0</v>
      </c>
      <c r="Z188" s="215" t="e">
        <f>IF(売分析!Y188&lt;&gt;"",売分析!Y188,"")</f>
        <v>#VALUE!</v>
      </c>
    </row>
    <row r="189" spans="1:26">
      <c r="A189" s="328">
        <f>IF(売分析!C189&lt;&gt;"",ROW()-2,"")</f>
        <v>187</v>
      </c>
      <c r="B189" s="327" t="str">
        <f>IF(売分析!C189&lt;&gt;"",HYPERLINK("https://kabutan.jp/stock/?code="&amp;売分析!C189,"株探"),"")</f>
        <v>株探</v>
      </c>
      <c r="C189" s="343">
        <f>IF(売分析!C189&lt;&gt;"",売分析!C189,"")</f>
        <v>6740</v>
      </c>
      <c r="D189" s="328" t="str">
        <f>IF(売分析!D189&lt;&gt;"",売分析!D189,"")</f>
        <v/>
      </c>
      <c r="E189" s="329" t="str">
        <f>IF(売分析!E189&lt;&gt;"",売分析!E189,"")</f>
        <v/>
      </c>
      <c r="F189" s="329" t="str">
        <f>IF(売分析!F189&lt;&gt;"",売分析!F189,"")</f>
        <v/>
      </c>
      <c r="G189" s="329" t="str">
        <f>IF(売分析!H189&lt;&gt;"",売分析!H189,"")</f>
        <v/>
      </c>
      <c r="H189" s="329" t="str">
        <f>IF(売分析!I189&lt;&gt;"",売分析!I189,"")</f>
        <v/>
      </c>
      <c r="I189" s="328" t="str">
        <f>IF(売分析!J189&lt;&gt;"",売分析!J189,"")</f>
        <v/>
      </c>
      <c r="J189" s="329">
        <f>IF(売分析!AB189&lt;&gt;"",売分析!AB189,"")</f>
        <v>48.864055299539167</v>
      </c>
      <c r="K189" s="329">
        <f>IF(売分析!AC189&lt;&gt;"",売分析!AC189,"")</f>
        <v>52.29320619785458</v>
      </c>
      <c r="L189" s="329" t="str">
        <f>IF(売分析!K189&lt;&gt;"",売分析!K189,"")</f>
        <v/>
      </c>
      <c r="M189" s="328" t="str">
        <f>IF(売分析!P189&lt;&gt;"",売分析!P189,"")</f>
        <v/>
      </c>
      <c r="N189" s="331" t="str">
        <f>IF(売分析!O189&lt;&gt;"",売分析!O189,"")</f>
        <v/>
      </c>
      <c r="O189" s="333">
        <f>IF(売分析!X189&lt;&gt;"",売分析!X189,"")</f>
        <v>-0.48625412455867689</v>
      </c>
      <c r="P189" s="330" t="str">
        <f>IF(売分析!L189&lt;&gt;"",売分析!L189,"")</f>
        <v/>
      </c>
      <c r="Q189" s="329" t="str">
        <f>IF(売分析!S189&lt;&gt;"",売分析!S189,"")</f>
        <v/>
      </c>
      <c r="R189" s="329" t="str">
        <f>IF(売分析!R189&lt;&gt;"",売分析!R189,"")</f>
        <v/>
      </c>
      <c r="S189" s="328" t="str">
        <f>IF(売分析!AA189&lt;&gt;"",売分析!AA189,"")</f>
        <v/>
      </c>
      <c r="T189" s="334" t="str">
        <f>IF(売分析!Z189&lt;&gt;"",売分析!Z189,"")</f>
        <v/>
      </c>
      <c r="U189" s="328" t="str">
        <f>IF(売分析!V189&lt;&gt;"",売分析!V189,"")</f>
        <v/>
      </c>
      <c r="V189" s="332">
        <f>IF(売分析!W189&lt;&gt;"",売分析!W189,"")</f>
        <v>51.162790697674417</v>
      </c>
      <c r="W189" s="328" t="str">
        <f>IF(売分析!AD189&lt;&gt;"",売分析!AD189,"")</f>
        <v>上昇トレンド▲</v>
      </c>
      <c r="X189" s="328" t="e">
        <f>IF(売分析!AE189&lt;&gt;"",売分析!AE189,"")</f>
        <v>#VALUE!</v>
      </c>
      <c r="Y189" s="390">
        <f>IF(売分析!T189&lt;&gt;"",売分析!T189,"")</f>
        <v>0</v>
      </c>
      <c r="Z189" s="328" t="e">
        <f>IF(売分析!Y189&lt;&gt;"",売分析!Y189,"")</f>
        <v>#VALUE!</v>
      </c>
    </row>
    <row r="190" spans="1:26">
      <c r="A190" s="215">
        <f>IF(売分析!C190&lt;&gt;"",ROW()-2,"")</f>
        <v>188</v>
      </c>
      <c r="B190" s="335" t="str">
        <f>IF(売分析!C190&lt;&gt;"",HYPERLINK("https://kabutan.jp/stock/?code="&amp;売分析!C190,"株探"),"")</f>
        <v>株探</v>
      </c>
      <c r="C190" s="344">
        <f>IF(売分析!C190&lt;&gt;"",売分析!C190,"")</f>
        <v>7375</v>
      </c>
      <c r="D190" s="215" t="str">
        <f>IF(売分析!D190&lt;&gt;"",売分析!D190,"")</f>
        <v/>
      </c>
      <c r="E190" s="336" t="str">
        <f>IF(売分析!E190&lt;&gt;"",売分析!E190,"")</f>
        <v/>
      </c>
      <c r="F190" s="336" t="str">
        <f>IF(売分析!F190&lt;&gt;"",売分析!F190,"")</f>
        <v/>
      </c>
      <c r="G190" s="336" t="str">
        <f>IF(売分析!H190&lt;&gt;"",売分析!H190,"")</f>
        <v/>
      </c>
      <c r="H190" s="336" t="str">
        <f>IF(売分析!I190&lt;&gt;"",売分析!I190,"")</f>
        <v/>
      </c>
      <c r="I190" s="215" t="str">
        <f>IF(売分析!J190&lt;&gt;"",売分析!J190,"")</f>
        <v/>
      </c>
      <c r="J190" s="336">
        <f>IF(売分析!AB190&lt;&gt;"",売分析!AB190,"")</f>
        <v>1243.3317972350228</v>
      </c>
      <c r="K190" s="336">
        <f>IF(売分析!AC190&lt;&gt;"",売分析!AC190,"")</f>
        <v>1274.2348033373057</v>
      </c>
      <c r="L190" s="336" t="str">
        <f>IF(売分析!K190&lt;&gt;"",売分析!K190,"")</f>
        <v/>
      </c>
      <c r="M190" s="215" t="str">
        <f>IF(売分析!P190&lt;&gt;"",売分析!P190,"")</f>
        <v/>
      </c>
      <c r="N190" s="338" t="str">
        <f>IF(売分析!O190&lt;&gt;"",売分析!O190,"")</f>
        <v/>
      </c>
      <c r="O190" s="340">
        <f>IF(売分析!X190&lt;&gt;"",売分析!X190,"")</f>
        <v>-17.128041426689379</v>
      </c>
      <c r="P190" s="337" t="str">
        <f>IF(売分析!L190&lt;&gt;"",売分析!L190,"")</f>
        <v/>
      </c>
      <c r="Q190" s="336" t="str">
        <f>IF(売分析!S190&lt;&gt;"",売分析!S190,"")</f>
        <v/>
      </c>
      <c r="R190" s="336" t="str">
        <f>IF(売分析!R190&lt;&gt;"",売分析!R190,"")</f>
        <v/>
      </c>
      <c r="S190" s="215" t="str">
        <f>IF(売分析!AA190&lt;&gt;"",売分析!AA190,"")</f>
        <v/>
      </c>
      <c r="T190" s="341" t="str">
        <f>IF(売分析!Z190&lt;&gt;"",売分析!Z190,"")</f>
        <v/>
      </c>
      <c r="U190" s="215" t="str">
        <f>IF(売分析!V190&lt;&gt;"",売分析!V190,"")</f>
        <v/>
      </c>
      <c r="V190" s="339">
        <f>IF(売分析!W190&lt;&gt;"",売分析!W190,"")</f>
        <v>41.104294478527599</v>
      </c>
      <c r="W190" s="215" t="str">
        <f>IF(売分析!AD190&lt;&gt;"",売分析!AD190,"")</f>
        <v>上昇トレンド▲</v>
      </c>
      <c r="X190" s="215" t="e">
        <f>IF(売分析!AE190&lt;&gt;"",売分析!AE190,"")</f>
        <v>#VALUE!</v>
      </c>
      <c r="Y190" s="391">
        <f>IF(売分析!T190&lt;&gt;"",売分析!T190,"")</f>
        <v>0</v>
      </c>
      <c r="Z190" s="215" t="e">
        <f>IF(売分析!Y190&lt;&gt;"",売分析!Y190,"")</f>
        <v>#VALUE!</v>
      </c>
    </row>
    <row r="191" spans="1:26">
      <c r="A191" s="328">
        <f>IF(売分析!C191&lt;&gt;"",ROW()-2,"")</f>
        <v>189</v>
      </c>
      <c r="B191" s="327" t="str">
        <f>IF(売分析!C191&lt;&gt;"",HYPERLINK("https://kabutan.jp/stock/?code="&amp;売分析!C191,"株探"),"")</f>
        <v>株探</v>
      </c>
      <c r="C191" s="343">
        <f>IF(売分析!C191&lt;&gt;"",売分析!C191,"")</f>
        <v>8303</v>
      </c>
      <c r="D191" s="328" t="str">
        <f>IF(売分析!D191&lt;&gt;"",売分析!D191,"")</f>
        <v/>
      </c>
      <c r="E191" s="329" t="str">
        <f>IF(売分析!E191&lt;&gt;"",売分析!E191,"")</f>
        <v/>
      </c>
      <c r="F191" s="329" t="str">
        <f>IF(売分析!F191&lt;&gt;"",売分析!F191,"")</f>
        <v/>
      </c>
      <c r="G191" s="329" t="str">
        <f>IF(売分析!H191&lt;&gt;"",売分析!H191,"")</f>
        <v/>
      </c>
      <c r="H191" s="329" t="str">
        <f>IF(売分析!I191&lt;&gt;"",売分析!I191,"")</f>
        <v/>
      </c>
      <c r="I191" s="328" t="str">
        <f>IF(売分析!J191&lt;&gt;"",売分析!J191,"")</f>
        <v/>
      </c>
      <c r="J191" s="329">
        <f>IF(売分析!AB191&lt;&gt;"",売分析!AB191,"")</f>
        <v>1439.030529953917</v>
      </c>
      <c r="K191" s="329">
        <f>IF(売分析!AC191&lt;&gt;"",売分析!AC191,"")</f>
        <v>1433.3760429082233</v>
      </c>
      <c r="L191" s="329" t="str">
        <f>IF(売分析!K191&lt;&gt;"",売分析!K191,"")</f>
        <v/>
      </c>
      <c r="M191" s="328" t="str">
        <f>IF(売分析!P191&lt;&gt;"",売分析!P191,"")</f>
        <v/>
      </c>
      <c r="N191" s="331" t="str">
        <f>IF(売分析!O191&lt;&gt;"",売分析!O191,"")</f>
        <v/>
      </c>
      <c r="O191" s="333">
        <f>IF(売分析!X191&lt;&gt;"",売分析!X191,"")</f>
        <v>3.6091779142570886</v>
      </c>
      <c r="P191" s="330" t="str">
        <f>IF(売分析!L191&lt;&gt;"",売分析!L191,"")</f>
        <v/>
      </c>
      <c r="Q191" s="329" t="str">
        <f>IF(売分析!S191&lt;&gt;"",売分析!S191,"")</f>
        <v/>
      </c>
      <c r="R191" s="329" t="str">
        <f>IF(売分析!R191&lt;&gt;"",売分析!R191,"")</f>
        <v/>
      </c>
      <c r="S191" s="328" t="str">
        <f>IF(売分析!AA191&lt;&gt;"",売分析!AA191,"")</f>
        <v/>
      </c>
      <c r="T191" s="334" t="str">
        <f>IF(売分析!Z191&lt;&gt;"",売分析!Z191,"")</f>
        <v/>
      </c>
      <c r="U191" s="328" t="str">
        <f>IF(売分析!V191&lt;&gt;"",売分析!V191,"")</f>
        <v/>
      </c>
      <c r="V191" s="332">
        <f>IF(売分析!W191&lt;&gt;"",売分析!W191,"")</f>
        <v>64.365671641791039</v>
      </c>
      <c r="W191" s="328" t="str">
        <f>IF(売分析!AD191&lt;&gt;"",売分析!AD191,"")</f>
        <v>パーフェクト▲</v>
      </c>
      <c r="X191" s="328" t="e">
        <f>IF(売分析!AE191&lt;&gt;"",売分析!AE191,"")</f>
        <v>#VALUE!</v>
      </c>
      <c r="Y191" s="390">
        <f>IF(売分析!T191&lt;&gt;"",売分析!T191,"")</f>
        <v>0</v>
      </c>
      <c r="Z191" s="328" t="e">
        <f>IF(売分析!Y191&lt;&gt;"",売分析!Y191,"")</f>
        <v>#VALUE!</v>
      </c>
    </row>
    <row r="192" spans="1:26">
      <c r="A192" s="215">
        <f>IF(売分析!C192&lt;&gt;"",ROW()-2,"")</f>
        <v>190</v>
      </c>
      <c r="B192" s="335" t="str">
        <f>IF(売分析!C192&lt;&gt;"",HYPERLINK("https://kabutan.jp/stock/?code="&amp;売分析!C192,"株探"),"")</f>
        <v>株探</v>
      </c>
      <c r="C192" s="344">
        <f>IF(売分析!C192&lt;&gt;"",売分析!C192,"")</f>
        <v>4382</v>
      </c>
      <c r="D192" s="215" t="str">
        <f>IF(売分析!D192&lt;&gt;"",売分析!D192,"")</f>
        <v/>
      </c>
      <c r="E192" s="336" t="str">
        <f>IF(売分析!E192&lt;&gt;"",売分析!E192,"")</f>
        <v/>
      </c>
      <c r="F192" s="336" t="str">
        <f>IF(売分析!F192&lt;&gt;"",売分析!F192,"")</f>
        <v/>
      </c>
      <c r="G192" s="336" t="str">
        <f>IF(売分析!H192&lt;&gt;"",売分析!H192,"")</f>
        <v/>
      </c>
      <c r="H192" s="336" t="str">
        <f>IF(売分析!I192&lt;&gt;"",売分析!I192,"")</f>
        <v/>
      </c>
      <c r="I192" s="215" t="str">
        <f>IF(売分析!J192&lt;&gt;"",売分析!J192,"")</f>
        <v/>
      </c>
      <c r="J192" s="336">
        <f>IF(売分析!AB192&lt;&gt;"",売分析!AB192,"")</f>
        <v>707.80529953917039</v>
      </c>
      <c r="K192" s="336">
        <f>IF(売分析!AC192&lt;&gt;"",売分析!AC192,"")</f>
        <v>719.69845053635265</v>
      </c>
      <c r="L192" s="336" t="str">
        <f>IF(売分析!K192&lt;&gt;"",売分析!K192,"")</f>
        <v/>
      </c>
      <c r="M192" s="215" t="str">
        <f>IF(売分析!P192&lt;&gt;"",売分析!P192,"")</f>
        <v/>
      </c>
      <c r="N192" s="338" t="str">
        <f>IF(売分析!O192&lt;&gt;"",売分析!O192,"")</f>
        <v/>
      </c>
      <c r="O192" s="340">
        <f>IF(売分析!X192&lt;&gt;"",売分析!X192,"")</f>
        <v>-4.215826364537179</v>
      </c>
      <c r="P192" s="337" t="str">
        <f>IF(売分析!L192&lt;&gt;"",売分析!L192,"")</f>
        <v/>
      </c>
      <c r="Q192" s="336" t="str">
        <f>IF(売分析!S192&lt;&gt;"",売分析!S192,"")</f>
        <v/>
      </c>
      <c r="R192" s="336" t="str">
        <f>IF(売分析!R192&lt;&gt;"",売分析!R192,"")</f>
        <v/>
      </c>
      <c r="S192" s="215" t="str">
        <f>IF(売分析!AA192&lt;&gt;"",売分析!AA192,"")</f>
        <v/>
      </c>
      <c r="T192" s="341" t="str">
        <f>IF(売分析!Z192&lt;&gt;"",売分析!Z192,"")</f>
        <v/>
      </c>
      <c r="U192" s="215" t="str">
        <f>IF(売分析!V192&lt;&gt;"",売分析!V192,"")</f>
        <v/>
      </c>
      <c r="V192" s="339">
        <f>IF(売分析!W192&lt;&gt;"",売分析!W192,"")</f>
        <v>53.333333333333329</v>
      </c>
      <c r="W192" s="215" t="str">
        <f>IF(売分析!AD192&lt;&gt;"",売分析!AD192,"")</f>
        <v>上昇トレンド▲</v>
      </c>
      <c r="X192" s="215" t="e">
        <f>IF(売分析!AE192&lt;&gt;"",売分析!AE192,"")</f>
        <v>#VALUE!</v>
      </c>
      <c r="Y192" s="391">
        <f>IF(売分析!T192&lt;&gt;"",売分析!T192,"")</f>
        <v>0</v>
      </c>
      <c r="Z192" s="215" t="e">
        <f>IF(売分析!Y192&lt;&gt;"",売分析!Y192,"")</f>
        <v>#VALUE!</v>
      </c>
    </row>
    <row r="193" spans="1:26">
      <c r="A193" s="328">
        <f>IF(売分析!C193&lt;&gt;"",ROW()-2,"")</f>
        <v>191</v>
      </c>
      <c r="B193" s="327" t="str">
        <f>IF(売分析!C193&lt;&gt;"",HYPERLINK("https://kabutan.jp/stock/?code="&amp;売分析!C193,"株探"),"")</f>
        <v>株探</v>
      </c>
      <c r="C193" s="343">
        <f>IF(売分析!C193&lt;&gt;"",売分析!C193,"")</f>
        <v>9506</v>
      </c>
      <c r="D193" s="328" t="str">
        <f>IF(売分析!D193&lt;&gt;"",売分析!D193,"")</f>
        <v/>
      </c>
      <c r="E193" s="329" t="str">
        <f>IF(売分析!E193&lt;&gt;"",売分析!E193,"")</f>
        <v/>
      </c>
      <c r="F193" s="329" t="str">
        <f>IF(売分析!F193&lt;&gt;"",売分析!F193,"")</f>
        <v/>
      </c>
      <c r="G193" s="329" t="str">
        <f>IF(売分析!H193&lt;&gt;"",売分析!H193,"")</f>
        <v/>
      </c>
      <c r="H193" s="329" t="str">
        <f>IF(売分析!I193&lt;&gt;"",売分析!I193,"")</f>
        <v/>
      </c>
      <c r="I193" s="328" t="str">
        <f>IF(売分析!J193&lt;&gt;"",売分析!J193,"")</f>
        <v/>
      </c>
      <c r="J193" s="329">
        <f>IF(売分析!AB193&lt;&gt;"",売分析!AB193,"")</f>
        <v>1115.7361751152073</v>
      </c>
      <c r="K193" s="329">
        <f>IF(売分析!AC193&lt;&gt;"",売分析!AC193,"")</f>
        <v>1079.3730631704409</v>
      </c>
      <c r="L193" s="329" t="str">
        <f>IF(売分析!K193&lt;&gt;"",売分析!K193,"")</f>
        <v/>
      </c>
      <c r="M193" s="328" t="str">
        <f>IF(売分析!P193&lt;&gt;"",売分析!P193,"")</f>
        <v/>
      </c>
      <c r="N193" s="331" t="str">
        <f>IF(売分析!O193&lt;&gt;"",売分析!O193,"")</f>
        <v/>
      </c>
      <c r="O193" s="333">
        <f>IF(売分析!X193&lt;&gt;"",売分析!X193,"")</f>
        <v>10.777464486007602</v>
      </c>
      <c r="P193" s="330" t="str">
        <f>IF(売分析!L193&lt;&gt;"",売分析!L193,"")</f>
        <v/>
      </c>
      <c r="Q193" s="329" t="str">
        <f>IF(売分析!S193&lt;&gt;"",売分析!S193,"")</f>
        <v/>
      </c>
      <c r="R193" s="329" t="str">
        <f>IF(売分析!R193&lt;&gt;"",売分析!R193,"")</f>
        <v/>
      </c>
      <c r="S193" s="328" t="str">
        <f>IF(売分析!AA193&lt;&gt;"",売分析!AA193,"")</f>
        <v/>
      </c>
      <c r="T193" s="334" t="str">
        <f>IF(売分析!Z193&lt;&gt;"",売分析!Z193,"")</f>
        <v/>
      </c>
      <c r="U193" s="328" t="str">
        <f>IF(売分析!V193&lt;&gt;"",売分析!V193,"")</f>
        <v/>
      </c>
      <c r="V193" s="332">
        <f>IF(売分析!W193&lt;&gt;"",売分析!W193,"")</f>
        <v>86.147186147186147</v>
      </c>
      <c r="W193" s="328" t="str">
        <f>IF(売分析!AD193&lt;&gt;"",売分析!AD193,"")</f>
        <v>パーフェクト▲</v>
      </c>
      <c r="X193" s="328" t="e">
        <f>IF(売分析!AE193&lt;&gt;"",売分析!AE193,"")</f>
        <v>#VALUE!</v>
      </c>
      <c r="Y193" s="390">
        <f>IF(売分析!T193&lt;&gt;"",売分析!T193,"")</f>
        <v>0</v>
      </c>
      <c r="Z193" s="328" t="e">
        <f>IF(売分析!Y193&lt;&gt;"",売分析!Y193,"")</f>
        <v>#VALUE!</v>
      </c>
    </row>
    <row r="194" spans="1:26">
      <c r="A194" s="215">
        <f>IF(売分析!C194&lt;&gt;"",ROW()-2,"")</f>
        <v>192</v>
      </c>
      <c r="B194" s="335" t="str">
        <f>IF(売分析!C194&lt;&gt;"",HYPERLINK("https://kabutan.jp/stock/?code="&amp;売分析!C194,"株探"),"")</f>
        <v>株探</v>
      </c>
      <c r="C194" s="344" t="str">
        <f>IF(売分析!C194&lt;&gt;"",売分析!C194,"")</f>
        <v>6485</v>
      </c>
      <c r="D194" s="215" t="str">
        <f>IF(売分析!D194&lt;&gt;"",売分析!D194,"")</f>
        <v/>
      </c>
      <c r="E194" s="336" t="str">
        <f>IF(売分析!E194&lt;&gt;"",売分析!E194,"")</f>
        <v/>
      </c>
      <c r="F194" s="336" t="str">
        <f>IF(売分析!F194&lt;&gt;"",売分析!F194,"")</f>
        <v/>
      </c>
      <c r="G194" s="336" t="str">
        <f>IF(売分析!H194&lt;&gt;"",売分析!H194,"")</f>
        <v/>
      </c>
      <c r="H194" s="336" t="str">
        <f>IF(売分析!I194&lt;&gt;"",売分析!I194,"")</f>
        <v/>
      </c>
      <c r="I194" s="215" t="str">
        <f>IF(売分析!J194&lt;&gt;"",売分析!J194,"")</f>
        <v/>
      </c>
      <c r="J194" s="336">
        <f>IF(売分析!AB194&lt;&gt;"",売分析!AB194,"")</f>
        <v>1539.8467741935483</v>
      </c>
      <c r="K194" s="336">
        <f>IF(売分析!AC194&lt;&gt;"",売分析!AC194,"")</f>
        <v>1516.8748510131099</v>
      </c>
      <c r="L194" s="336" t="str">
        <f>IF(売分析!K194&lt;&gt;"",売分析!K194,"")</f>
        <v/>
      </c>
      <c r="M194" s="215" t="str">
        <f>IF(売分析!P194&lt;&gt;"",売分析!P194,"")</f>
        <v/>
      </c>
      <c r="N194" s="338" t="str">
        <f>IF(売分析!O194&lt;&gt;"",売分析!O194,"")</f>
        <v/>
      </c>
      <c r="O194" s="340">
        <f>IF(売分析!X194&lt;&gt;"",売分析!X194,"")</f>
        <v>11.304737719860668</v>
      </c>
      <c r="P194" s="337" t="str">
        <f>IF(売分析!L194&lt;&gt;"",売分析!L194,"")</f>
        <v/>
      </c>
      <c r="Q194" s="336" t="str">
        <f>IF(売分析!S194&lt;&gt;"",売分析!S194,"")</f>
        <v/>
      </c>
      <c r="R194" s="336" t="str">
        <f>IF(売分析!R194&lt;&gt;"",売分析!R194,"")</f>
        <v/>
      </c>
      <c r="S194" s="215" t="str">
        <f>IF(売分析!AA194&lt;&gt;"",売分析!AA194,"")</f>
        <v/>
      </c>
      <c r="T194" s="341" t="str">
        <f>IF(売分析!Z194&lt;&gt;"",売分析!Z194,"")</f>
        <v/>
      </c>
      <c r="U194" s="215" t="str">
        <f>IF(売分析!V194&lt;&gt;"",売分析!V194,"")</f>
        <v/>
      </c>
      <c r="V194" s="339">
        <f>IF(売分析!W194&lt;&gt;"",売分析!W194,"")</f>
        <v>68.783068783068785</v>
      </c>
      <c r="W194" s="215" t="str">
        <f>IF(売分析!AD194&lt;&gt;"",売分析!AD194,"")</f>
        <v>パーフェクト▲</v>
      </c>
      <c r="X194" s="215" t="e">
        <f>IF(売分析!AE194&lt;&gt;"",売分析!AE194,"")</f>
        <v>#VALUE!</v>
      </c>
      <c r="Y194" s="391">
        <f>IF(売分析!T194&lt;&gt;"",売分析!T194,"")</f>
        <v>0</v>
      </c>
      <c r="Z194" s="215" t="e">
        <f>IF(売分析!Y194&lt;&gt;"",売分析!Y194,"")</f>
        <v>#VALUE!</v>
      </c>
    </row>
    <row r="195" spans="1:26">
      <c r="A195" s="328">
        <f>IF(売分析!C195&lt;&gt;"",ROW()-2,"")</f>
        <v>193</v>
      </c>
      <c r="B195" s="327" t="str">
        <f>IF(売分析!C195&lt;&gt;"",HYPERLINK("https://kabutan.jp/stock/?code="&amp;売分析!C195,"株探"),"")</f>
        <v>株探</v>
      </c>
      <c r="C195" s="343">
        <f>IF(売分析!C195&lt;&gt;"",売分析!C195,"")</f>
        <v>4887</v>
      </c>
      <c r="D195" s="328" t="str">
        <f>IF(売分析!D195&lt;&gt;"",売分析!D195,"")</f>
        <v/>
      </c>
      <c r="E195" s="329" t="str">
        <f>IF(売分析!E195&lt;&gt;"",売分析!E195,"")</f>
        <v/>
      </c>
      <c r="F195" s="329" t="str">
        <f>IF(売分析!F195&lt;&gt;"",売分析!F195,"")</f>
        <v/>
      </c>
      <c r="G195" s="329" t="str">
        <f>IF(売分析!H195&lt;&gt;"",売分析!H195,"")</f>
        <v/>
      </c>
      <c r="H195" s="329" t="str">
        <f>IF(売分析!I195&lt;&gt;"",売分析!I195,"")</f>
        <v/>
      </c>
      <c r="I195" s="328" t="str">
        <f>IF(売分析!J195&lt;&gt;"",売分析!J195,"")</f>
        <v/>
      </c>
      <c r="J195" s="329">
        <f>IF(売分析!AB195&lt;&gt;"",売分析!AB195,"")</f>
        <v>1680.2845622119814</v>
      </c>
      <c r="K195" s="329">
        <f>IF(売分析!AC195&lt;&gt;"",売分析!AC195,"")</f>
        <v>1682.5053635280092</v>
      </c>
      <c r="L195" s="329" t="str">
        <f>IF(売分析!K195&lt;&gt;"",売分析!K195,"")</f>
        <v/>
      </c>
      <c r="M195" s="328" t="str">
        <f>IF(売分析!P195&lt;&gt;"",売分析!P195,"")</f>
        <v/>
      </c>
      <c r="N195" s="331" t="str">
        <f>IF(売分析!O195&lt;&gt;"",売分析!O195,"")</f>
        <v/>
      </c>
      <c r="O195" s="333">
        <f>IF(売分析!X195&lt;&gt;"",売分析!X195,"")</f>
        <v>4.6030423222516674</v>
      </c>
      <c r="P195" s="330" t="str">
        <f>IF(売分析!L195&lt;&gt;"",売分析!L195,"")</f>
        <v/>
      </c>
      <c r="Q195" s="329" t="str">
        <f>IF(売分析!S195&lt;&gt;"",売分析!S195,"")</f>
        <v/>
      </c>
      <c r="R195" s="329" t="str">
        <f>IF(売分析!R195&lt;&gt;"",売分析!R195,"")</f>
        <v/>
      </c>
      <c r="S195" s="328" t="str">
        <f>IF(売分析!AA195&lt;&gt;"",売分析!AA195,"")</f>
        <v/>
      </c>
      <c r="T195" s="334" t="str">
        <f>IF(売分析!Z195&lt;&gt;"",売分析!Z195,"")</f>
        <v/>
      </c>
      <c r="U195" s="328" t="str">
        <f>IF(売分析!V195&lt;&gt;"",売分析!V195,"")</f>
        <v/>
      </c>
      <c r="V195" s="332">
        <f>IF(売分析!W195&lt;&gt;"",売分析!W195,"")</f>
        <v>57.543859649122808</v>
      </c>
      <c r="W195" s="328" t="str">
        <f>IF(売分析!AD195&lt;&gt;"",売分析!AD195,"")</f>
        <v>上昇トレンド▲</v>
      </c>
      <c r="X195" s="328" t="e">
        <f>IF(売分析!AE195&lt;&gt;"",売分析!AE195,"")</f>
        <v>#VALUE!</v>
      </c>
      <c r="Y195" s="390">
        <f>IF(売分析!T195&lt;&gt;"",売分析!T195,"")</f>
        <v>0</v>
      </c>
      <c r="Z195" s="328" t="e">
        <f>IF(売分析!Y195&lt;&gt;"",売分析!Y195,"")</f>
        <v>#VALUE!</v>
      </c>
    </row>
    <row r="196" spans="1:26">
      <c r="A196" s="215">
        <f>IF(売分析!C196&lt;&gt;"",ROW()-2,"")</f>
        <v>194</v>
      </c>
      <c r="B196" s="335" t="str">
        <f>IF(売分析!C196&lt;&gt;"",HYPERLINK("https://kabutan.jp/stock/?code="&amp;売分析!C196,"株探"),"")</f>
        <v>株探</v>
      </c>
      <c r="C196" s="344">
        <f>IF(売分析!C196&lt;&gt;"",売分析!C196,"")</f>
        <v>2702</v>
      </c>
      <c r="D196" s="215" t="str">
        <f>IF(売分析!D196&lt;&gt;"",売分析!D196,"")</f>
        <v/>
      </c>
      <c r="E196" s="336" t="str">
        <f>IF(売分析!E196&lt;&gt;"",売分析!E196,"")</f>
        <v/>
      </c>
      <c r="F196" s="336" t="str">
        <f>IF(売分析!F196&lt;&gt;"",売分析!F196,"")</f>
        <v/>
      </c>
      <c r="G196" s="336" t="str">
        <f>IF(売分析!H196&lt;&gt;"",売分析!H196,"")</f>
        <v/>
      </c>
      <c r="H196" s="336" t="str">
        <f>IF(売分析!I196&lt;&gt;"",売分析!I196,"")</f>
        <v/>
      </c>
      <c r="I196" s="215" t="str">
        <f>IF(売分析!J196&lt;&gt;"",売分析!J196,"")</f>
        <v/>
      </c>
      <c r="J196" s="336">
        <f>IF(売分析!AB196&lt;&gt;"",売分析!AB196,"")</f>
        <v>7644.3548387096771</v>
      </c>
      <c r="K196" s="336">
        <f>IF(売分析!AC196&lt;&gt;"",売分析!AC196,"")</f>
        <v>7572.1096543504154</v>
      </c>
      <c r="L196" s="336" t="str">
        <f>IF(売分析!K196&lt;&gt;"",売分析!K196,"")</f>
        <v/>
      </c>
      <c r="M196" s="215" t="str">
        <f>IF(売分析!P196&lt;&gt;"",売分析!P196,"")</f>
        <v/>
      </c>
      <c r="N196" s="338" t="str">
        <f>IF(売分析!O196&lt;&gt;"",売分析!O196,"")</f>
        <v/>
      </c>
      <c r="O196" s="340">
        <f>IF(売分析!X196&lt;&gt;"",売分析!X196,"")</f>
        <v>47.708078761658726</v>
      </c>
      <c r="P196" s="337" t="str">
        <f>IF(売分析!L196&lt;&gt;"",売分析!L196,"")</f>
        <v/>
      </c>
      <c r="Q196" s="336" t="str">
        <f>IF(売分析!S196&lt;&gt;"",売分析!S196,"")</f>
        <v/>
      </c>
      <c r="R196" s="336" t="str">
        <f>IF(売分析!R196&lt;&gt;"",売分析!R196,"")</f>
        <v/>
      </c>
      <c r="S196" s="215" t="str">
        <f>IF(売分析!AA196&lt;&gt;"",売分析!AA196,"")</f>
        <v/>
      </c>
      <c r="T196" s="341" t="str">
        <f>IF(売分析!Z196&lt;&gt;"",売分析!Z196,"")</f>
        <v/>
      </c>
      <c r="U196" s="215" t="str">
        <f>IF(売分析!V196&lt;&gt;"",売分析!V196,"")</f>
        <v/>
      </c>
      <c r="V196" s="339">
        <f>IF(売分析!W196&lt;&gt;"",売分析!W196,"")</f>
        <v>56.428571428571423</v>
      </c>
      <c r="W196" s="215" t="str">
        <f>IF(売分析!AD196&lt;&gt;"",売分析!AD196,"")</f>
        <v>パーフェクト▲</v>
      </c>
      <c r="X196" s="215" t="e">
        <f>IF(売分析!AE196&lt;&gt;"",売分析!AE196,"")</f>
        <v>#VALUE!</v>
      </c>
      <c r="Y196" s="391">
        <f>IF(売分析!T196&lt;&gt;"",売分析!T196,"")</f>
        <v>0</v>
      </c>
      <c r="Z196" s="215" t="e">
        <f>IF(売分析!Y196&lt;&gt;"",売分析!Y196,"")</f>
        <v>#VALUE!</v>
      </c>
    </row>
    <row r="197" spans="1:26">
      <c r="A197" s="328">
        <f>IF(売分析!C197&lt;&gt;"",ROW()-2,"")</f>
        <v>195</v>
      </c>
      <c r="B197" s="327" t="str">
        <f>IF(売分析!C197&lt;&gt;"",HYPERLINK("https://kabutan.jp/stock/?code="&amp;売分析!C197,"株探"),"")</f>
        <v>株探</v>
      </c>
      <c r="C197" s="343">
        <f>IF(売分析!C197&lt;&gt;"",売分析!C197,"")</f>
        <v>7011</v>
      </c>
      <c r="D197" s="328" t="str">
        <f>IF(売分析!D197&lt;&gt;"",売分析!D197,"")</f>
        <v/>
      </c>
      <c r="E197" s="329" t="str">
        <f>IF(売分析!E197&lt;&gt;"",売分析!E197,"")</f>
        <v/>
      </c>
      <c r="F197" s="329" t="str">
        <f>IF(売分析!F197&lt;&gt;"",売分析!F197,"")</f>
        <v/>
      </c>
      <c r="G197" s="329" t="str">
        <f>IF(売分析!H197&lt;&gt;"",売分析!H197,"")</f>
        <v/>
      </c>
      <c r="H197" s="329" t="str">
        <f>IF(売分析!I197&lt;&gt;"",売分析!I197,"")</f>
        <v/>
      </c>
      <c r="I197" s="328" t="str">
        <f>IF(売分析!J197&lt;&gt;"",売分析!J197,"")</f>
        <v/>
      </c>
      <c r="J197" s="329">
        <f>IF(売分析!AB197&lt;&gt;"",売分析!AB197,"")</f>
        <v>3748.8790322580635</v>
      </c>
      <c r="K197" s="329">
        <f>IF(売分析!AC197&lt;&gt;"",売分析!AC197,"")</f>
        <v>3767.6781883194276</v>
      </c>
      <c r="L197" s="329" t="str">
        <f>IF(売分析!K197&lt;&gt;"",売分析!K197,"")</f>
        <v/>
      </c>
      <c r="M197" s="328" t="str">
        <f>IF(売分析!P197&lt;&gt;"",売分析!P197,"")</f>
        <v/>
      </c>
      <c r="N197" s="331" t="str">
        <f>IF(売分析!O197&lt;&gt;"",売分析!O197,"")</f>
        <v/>
      </c>
      <c r="O197" s="333">
        <f>IF(売分析!X197&lt;&gt;"",売分析!X197,"")</f>
        <v>12.484100796453276</v>
      </c>
      <c r="P197" s="330" t="str">
        <f>IF(売分析!L197&lt;&gt;"",売分析!L197,"")</f>
        <v/>
      </c>
      <c r="Q197" s="329" t="str">
        <f>IF(売分析!S197&lt;&gt;"",売分析!S197,"")</f>
        <v/>
      </c>
      <c r="R197" s="329" t="str">
        <f>IF(売分析!R197&lt;&gt;"",売分析!R197,"")</f>
        <v/>
      </c>
      <c r="S197" s="328" t="str">
        <f>IF(売分析!AA197&lt;&gt;"",売分析!AA197,"")</f>
        <v/>
      </c>
      <c r="T197" s="334" t="str">
        <f>IF(売分析!Z197&lt;&gt;"",売分析!Z197,"")</f>
        <v/>
      </c>
      <c r="U197" s="328" t="str">
        <f>IF(売分析!V197&lt;&gt;"",売分析!V197,"")</f>
        <v/>
      </c>
      <c r="V197" s="332">
        <f>IF(売分析!W197&lt;&gt;"",売分析!W197,"")</f>
        <v>59.849906191369612</v>
      </c>
      <c r="W197" s="328" t="str">
        <f>IF(売分析!AD197&lt;&gt;"",売分析!AD197,"")</f>
        <v>上昇トレンド▲</v>
      </c>
      <c r="X197" s="328" t="e">
        <f>IF(売分析!AE197&lt;&gt;"",売分析!AE197,"")</f>
        <v>#VALUE!</v>
      </c>
      <c r="Y197" s="390">
        <f>IF(売分析!T197&lt;&gt;"",売分析!T197,"")</f>
        <v>0</v>
      </c>
      <c r="Z197" s="328" t="e">
        <f>IF(売分析!Y197&lt;&gt;"",売分析!Y197,"")</f>
        <v>#VALUE!</v>
      </c>
    </row>
    <row r="198" spans="1:26">
      <c r="A198" s="215">
        <f>IF(売分析!C198&lt;&gt;"",ROW()-2,"")</f>
        <v>196</v>
      </c>
      <c r="B198" s="335" t="str">
        <f>IF(売分析!C198&lt;&gt;"",HYPERLINK("https://kabutan.jp/stock/?code="&amp;売分析!C198,"株探"),"")</f>
        <v>株探</v>
      </c>
      <c r="C198" s="344">
        <f>IF(売分析!C198&lt;&gt;"",売分析!C198,"")</f>
        <v>8601</v>
      </c>
      <c r="D198" s="215" t="str">
        <f>IF(売分析!D198&lt;&gt;"",売分析!D198,"")</f>
        <v/>
      </c>
      <c r="E198" s="336" t="str">
        <f>IF(売分析!E198&lt;&gt;"",売分析!E198,"")</f>
        <v/>
      </c>
      <c r="F198" s="336" t="str">
        <f>IF(売分析!F198&lt;&gt;"",売分析!F198,"")</f>
        <v/>
      </c>
      <c r="G198" s="336" t="str">
        <f>IF(売分析!H198&lt;&gt;"",売分析!H198,"")</f>
        <v/>
      </c>
      <c r="H198" s="336" t="str">
        <f>IF(売分析!I198&lt;&gt;"",売分析!I198,"")</f>
        <v/>
      </c>
      <c r="I198" s="215" t="str">
        <f>IF(売分析!J198&lt;&gt;"",売分析!J198,"")</f>
        <v/>
      </c>
      <c r="J198" s="336">
        <f>IF(売分析!AB198&lt;&gt;"",売分析!AB198,"")</f>
        <v>1807.6630184331796</v>
      </c>
      <c r="K198" s="336">
        <f>IF(売分析!AC198&lt;&gt;"",売分析!AC198,"")</f>
        <v>1707.5005959475559</v>
      </c>
      <c r="L198" s="336" t="str">
        <f>IF(売分析!K198&lt;&gt;"",売分析!K198,"")</f>
        <v/>
      </c>
      <c r="M198" s="215" t="str">
        <f>IF(売分析!P198&lt;&gt;"",売分析!P198,"")</f>
        <v/>
      </c>
      <c r="N198" s="338" t="str">
        <f>IF(売分析!O198&lt;&gt;"",売分析!O198,"")</f>
        <v/>
      </c>
      <c r="O198" s="340">
        <f>IF(売分析!X198&lt;&gt;"",売分析!X198,"")</f>
        <v>30.528226111392769</v>
      </c>
      <c r="P198" s="337" t="str">
        <f>IF(売分析!L198&lt;&gt;"",売分析!L198,"")</f>
        <v/>
      </c>
      <c r="Q198" s="336" t="str">
        <f>IF(売分析!S198&lt;&gt;"",売分析!S198,"")</f>
        <v/>
      </c>
      <c r="R198" s="336" t="str">
        <f>IF(売分析!R198&lt;&gt;"",売分析!R198,"")</f>
        <v/>
      </c>
      <c r="S198" s="215" t="str">
        <f>IF(売分析!AA198&lt;&gt;"",売分析!AA198,"")</f>
        <v/>
      </c>
      <c r="T198" s="341" t="str">
        <f>IF(売分析!Z198&lt;&gt;"",売分析!Z198,"")</f>
        <v/>
      </c>
      <c r="U198" s="215" t="str">
        <f>IF(売分析!V198&lt;&gt;"",売分析!V198,"")</f>
        <v/>
      </c>
      <c r="V198" s="339">
        <f>IF(売分析!W198&lt;&gt;"",売分析!W198,"")</f>
        <v>87.942332896461338</v>
      </c>
      <c r="W198" s="215" t="str">
        <f>IF(売分析!AD198&lt;&gt;"",売分析!AD198,"")</f>
        <v>パーフェクト▲</v>
      </c>
      <c r="X198" s="215" t="e">
        <f>IF(売分析!AE198&lt;&gt;"",売分析!AE198,"")</f>
        <v>#VALUE!</v>
      </c>
      <c r="Y198" s="391">
        <f>IF(売分析!T198&lt;&gt;"",売分析!T198,"")</f>
        <v>0</v>
      </c>
      <c r="Z198" s="215" t="e">
        <f>IF(売分析!Y198&lt;&gt;"",売分析!Y198,"")</f>
        <v>#VALUE!</v>
      </c>
    </row>
    <row r="199" spans="1:26">
      <c r="A199" s="328">
        <f>IF(売分析!C199&lt;&gt;"",ROW()-2,"")</f>
        <v>197</v>
      </c>
      <c r="B199" s="327" t="str">
        <f>IF(売分析!C199&lt;&gt;"",HYPERLINK("https://kabutan.jp/stock/?code="&amp;売分析!C199,"株探"),"")</f>
        <v>株探</v>
      </c>
      <c r="C199" s="343">
        <f>IF(売分析!C199&lt;&gt;"",売分析!C199,"")</f>
        <v>8604</v>
      </c>
      <c r="D199" s="328" t="str">
        <f>IF(売分析!D199&lt;&gt;"",売分析!D199,"")</f>
        <v/>
      </c>
      <c r="E199" s="329" t="str">
        <f>IF(売分析!E199&lt;&gt;"",売分析!E199,"")</f>
        <v/>
      </c>
      <c r="F199" s="329" t="str">
        <f>IF(売分析!F199&lt;&gt;"",売分析!F199,"")</f>
        <v/>
      </c>
      <c r="G199" s="329" t="str">
        <f>IF(売分析!H199&lt;&gt;"",売分析!H199,"")</f>
        <v/>
      </c>
      <c r="H199" s="329" t="str">
        <f>IF(売分析!I199&lt;&gt;"",売分析!I199,"")</f>
        <v/>
      </c>
      <c r="I199" s="328" t="str">
        <f>IF(売分析!J199&lt;&gt;"",売分析!J199,"")</f>
        <v/>
      </c>
      <c r="J199" s="329">
        <f>IF(売分析!AB199&lt;&gt;"",売分析!AB199,"")</f>
        <v>1557.0524193548385</v>
      </c>
      <c r="K199" s="329">
        <f>IF(売分析!AC199&lt;&gt;"",売分析!AC199,"")</f>
        <v>1491.8218116805713</v>
      </c>
      <c r="L199" s="329" t="str">
        <f>IF(売分析!K199&lt;&gt;"",売分析!K199,"")</f>
        <v/>
      </c>
      <c r="M199" s="328" t="str">
        <f>IF(売分析!P199&lt;&gt;"",売分析!P199,"")</f>
        <v/>
      </c>
      <c r="N199" s="331" t="str">
        <f>IF(売分析!O199&lt;&gt;"",売分析!O199,"")</f>
        <v/>
      </c>
      <c r="O199" s="333">
        <f>IF(売分析!X199&lt;&gt;"",売分析!X199,"")</f>
        <v>21.214487997485094</v>
      </c>
      <c r="P199" s="330" t="str">
        <f>IF(売分析!L199&lt;&gt;"",売分析!L199,"")</f>
        <v/>
      </c>
      <c r="Q199" s="329" t="str">
        <f>IF(売分析!S199&lt;&gt;"",売分析!S199,"")</f>
        <v/>
      </c>
      <c r="R199" s="329" t="str">
        <f>IF(売分析!R199&lt;&gt;"",売分析!R199,"")</f>
        <v/>
      </c>
      <c r="S199" s="328" t="str">
        <f>IF(売分析!AA199&lt;&gt;"",売分析!AA199,"")</f>
        <v/>
      </c>
      <c r="T199" s="334" t="str">
        <f>IF(売分析!Z199&lt;&gt;"",売分析!Z199,"")</f>
        <v/>
      </c>
      <c r="U199" s="328" t="str">
        <f>IF(売分析!V199&lt;&gt;"",売分析!V199,"")</f>
        <v/>
      </c>
      <c r="V199" s="332">
        <f>IF(売分析!W199&lt;&gt;"",売分析!W199,"")</f>
        <v>89.719626168224295</v>
      </c>
      <c r="W199" s="328" t="str">
        <f>IF(売分析!AD199&lt;&gt;"",売分析!AD199,"")</f>
        <v>パーフェクト▲</v>
      </c>
      <c r="X199" s="328" t="e">
        <f>IF(売分析!AE199&lt;&gt;"",売分析!AE199,"")</f>
        <v>#VALUE!</v>
      </c>
      <c r="Y199" s="390">
        <f>IF(売分析!T199&lt;&gt;"",売分析!T199,"")</f>
        <v>0</v>
      </c>
      <c r="Z199" s="328" t="e">
        <f>IF(売分析!Y199&lt;&gt;"",売分析!Y199,"")</f>
        <v>#VALUE!</v>
      </c>
    </row>
    <row r="200" spans="1:26">
      <c r="A200" s="215">
        <f>IF(売分析!C200&lt;&gt;"",ROW()-2,"")</f>
        <v>198</v>
      </c>
      <c r="B200" s="335" t="str">
        <f>IF(売分析!C200&lt;&gt;"",HYPERLINK("https://kabutan.jp/stock/?code="&amp;売分析!C200,"株探"),"")</f>
        <v>株探</v>
      </c>
      <c r="C200" s="344">
        <f>IF(売分析!C200&lt;&gt;"",売分析!C200,"")</f>
        <v>8750</v>
      </c>
      <c r="D200" s="215" t="str">
        <f>IF(売分析!D200&lt;&gt;"",売分析!D200,"")</f>
        <v/>
      </c>
      <c r="E200" s="336" t="str">
        <f>IF(売分析!E200&lt;&gt;"",売分析!E200,"")</f>
        <v/>
      </c>
      <c r="F200" s="336" t="str">
        <f>IF(売分析!F200&lt;&gt;"",売分析!F200,"")</f>
        <v/>
      </c>
      <c r="G200" s="336" t="str">
        <f>IF(売分析!H200&lt;&gt;"",売分析!H200,"")</f>
        <v/>
      </c>
      <c r="H200" s="336" t="str">
        <f>IF(売分析!I200&lt;&gt;"",売分析!I200,"")</f>
        <v/>
      </c>
      <c r="I200" s="215" t="str">
        <f>IF(売分析!J200&lt;&gt;"",売分析!J200,"")</f>
        <v/>
      </c>
      <c r="J200" s="336">
        <f>IF(売分析!AB200&lt;&gt;"",売分析!AB200,"")</f>
        <v>1838.4804147465438</v>
      </c>
      <c r="K200" s="336">
        <f>IF(売分析!AC200&lt;&gt;"",売分析!AC200,"")</f>
        <v>1819.3146603098921</v>
      </c>
      <c r="L200" s="336" t="str">
        <f>IF(売分析!K200&lt;&gt;"",売分析!K200,"")</f>
        <v/>
      </c>
      <c r="M200" s="215" t="str">
        <f>IF(売分析!P200&lt;&gt;"",売分析!P200,"")</f>
        <v/>
      </c>
      <c r="N200" s="338" t="str">
        <f>IF(売分析!O200&lt;&gt;"",売分析!O200,"")</f>
        <v/>
      </c>
      <c r="O200" s="340">
        <f>IF(売分析!X200&lt;&gt;"",売分析!X200,"")</f>
        <v>14.64799553413286</v>
      </c>
      <c r="P200" s="337" t="str">
        <f>IF(売分析!L200&lt;&gt;"",売分析!L200,"")</f>
        <v/>
      </c>
      <c r="Q200" s="336" t="str">
        <f>IF(売分析!S200&lt;&gt;"",売分析!S200,"")</f>
        <v/>
      </c>
      <c r="R200" s="336" t="str">
        <f>IF(売分析!R200&lt;&gt;"",売分析!R200,"")</f>
        <v/>
      </c>
      <c r="S200" s="215" t="str">
        <f>IF(売分析!AA200&lt;&gt;"",売分析!AA200,"")</f>
        <v/>
      </c>
      <c r="T200" s="341" t="str">
        <f>IF(売分析!Z200&lt;&gt;"",売分析!Z200,"")</f>
        <v/>
      </c>
      <c r="U200" s="215" t="str">
        <f>IF(売分析!V200&lt;&gt;"",売分析!V200,"")</f>
        <v/>
      </c>
      <c r="V200" s="339">
        <f>IF(売分析!W200&lt;&gt;"",売分析!W200,"")</f>
        <v>79.799666110183637</v>
      </c>
      <c r="W200" s="215" t="str">
        <f>IF(売分析!AD200&lt;&gt;"",売分析!AD200,"")</f>
        <v>パーフェクト▲</v>
      </c>
      <c r="X200" s="215" t="e">
        <f>IF(売分析!AE200&lt;&gt;"",売分析!AE200,"")</f>
        <v>#VALUE!</v>
      </c>
      <c r="Y200" s="391">
        <f>IF(売分析!T200&lt;&gt;"",売分析!T200,"")</f>
        <v>0</v>
      </c>
      <c r="Z200" s="215" t="e">
        <f>IF(売分析!Y200&lt;&gt;"",売分析!Y200,"")</f>
        <v>#VALUE!</v>
      </c>
    </row>
    <row r="201" spans="1:26">
      <c r="A201" s="328">
        <f>IF(売分析!C201&lt;&gt;"",ROW()-2,"")</f>
        <v>199</v>
      </c>
      <c r="B201" s="327" t="str">
        <f>IF(売分析!C201&lt;&gt;"",HYPERLINK("https://kabutan.jp/stock/?code="&amp;売分析!C201,"株探"),"")</f>
        <v>株探</v>
      </c>
      <c r="C201" s="343">
        <f>IF(売分析!C201&lt;&gt;"",売分析!C201,"")</f>
        <v>8306</v>
      </c>
      <c r="D201" s="328" t="str">
        <f>IF(売分析!D201&lt;&gt;"",売分析!D201,"")</f>
        <v/>
      </c>
      <c r="E201" s="329" t="str">
        <f>IF(売分析!E201&lt;&gt;"",売分析!E201,"")</f>
        <v/>
      </c>
      <c r="F201" s="329" t="str">
        <f>IF(売分析!F201&lt;&gt;"",売分析!F201,"")</f>
        <v/>
      </c>
      <c r="G201" s="329" t="str">
        <f>IF(売分析!H201&lt;&gt;"",売分析!H201,"")</f>
        <v/>
      </c>
      <c r="H201" s="329" t="str">
        <f>IF(売分析!I201&lt;&gt;"",売分析!I201,"")</f>
        <v/>
      </c>
      <c r="I201" s="328" t="str">
        <f>IF(売分析!J201&lt;&gt;"",売分析!J201,"")</f>
        <v/>
      </c>
      <c r="J201" s="329">
        <f>IF(売分析!AB201&lt;&gt;"",売分析!AB201,"")</f>
        <v>3558.7880184331789</v>
      </c>
      <c r="K201" s="329">
        <f>IF(売分析!AC201&lt;&gt;"",売分析!AC201,"")</f>
        <v>3395.5554231227643</v>
      </c>
      <c r="L201" s="329" t="str">
        <f>IF(売分析!K201&lt;&gt;"",売分析!K201,"")</f>
        <v/>
      </c>
      <c r="M201" s="328" t="str">
        <f>IF(売分析!P201&lt;&gt;"",売分析!P201,"")</f>
        <v/>
      </c>
      <c r="N201" s="331" t="str">
        <f>IF(売分析!O201&lt;&gt;"",売分析!O201,"")</f>
        <v/>
      </c>
      <c r="O201" s="333">
        <f>IF(売分析!X201&lt;&gt;"",売分析!X201,"")</f>
        <v>43.723195841411325</v>
      </c>
      <c r="P201" s="330" t="str">
        <f>IF(売分析!L201&lt;&gt;"",売分析!L201,"")</f>
        <v/>
      </c>
      <c r="Q201" s="329" t="str">
        <f>IF(売分析!S201&lt;&gt;"",売分析!S201,"")</f>
        <v/>
      </c>
      <c r="R201" s="329" t="str">
        <f>IF(売分析!R201&lt;&gt;"",売分析!R201,"")</f>
        <v/>
      </c>
      <c r="S201" s="328" t="str">
        <f>IF(売分析!AA201&lt;&gt;"",売分析!AA201,"")</f>
        <v/>
      </c>
      <c r="T201" s="334" t="str">
        <f>IF(売分析!Z201&lt;&gt;"",売分析!Z201,"")</f>
        <v/>
      </c>
      <c r="U201" s="328" t="str">
        <f>IF(売分析!V201&lt;&gt;"",売分析!V201,"")</f>
        <v/>
      </c>
      <c r="V201" s="332">
        <f>IF(売分析!W201&lt;&gt;"",売分析!W201,"")</f>
        <v>90.13840830449827</v>
      </c>
      <c r="W201" s="328" t="str">
        <f>IF(売分析!AD201&lt;&gt;"",売分析!AD201,"")</f>
        <v>パーフェクト▲</v>
      </c>
      <c r="X201" s="328" t="e">
        <f>IF(売分析!AE201&lt;&gt;"",売分析!AE201,"")</f>
        <v>#VALUE!</v>
      </c>
      <c r="Y201" s="390">
        <f>IF(売分析!T201&lt;&gt;"",売分析!T201,"")</f>
        <v>0</v>
      </c>
      <c r="Z201" s="328" t="e">
        <f>IF(売分析!Y201&lt;&gt;"",売分析!Y201,"")</f>
        <v>#VALUE!</v>
      </c>
    </row>
    <row r="202" spans="1:26">
      <c r="A202" s="215">
        <f>IF(売分析!C202&lt;&gt;"",ROW()-2,"")</f>
        <v>200</v>
      </c>
      <c r="B202" s="335" t="str">
        <f>IF(売分析!C202&lt;&gt;"",HYPERLINK("https://kabutan.jp/stock/?code="&amp;売分析!C202,"株探"),"")</f>
        <v>株探</v>
      </c>
      <c r="C202" s="344">
        <f>IF(売分析!C202&lt;&gt;"",売分析!C202,"")</f>
        <v>7846</v>
      </c>
      <c r="D202" s="215" t="str">
        <f>IF(売分析!D202&lt;&gt;"",売分析!D202,"")</f>
        <v/>
      </c>
      <c r="E202" s="336" t="str">
        <f>IF(売分析!E202&lt;&gt;"",売分析!E202,"")</f>
        <v/>
      </c>
      <c r="F202" s="336" t="str">
        <f>IF(売分析!F202&lt;&gt;"",売分析!F202,"")</f>
        <v/>
      </c>
      <c r="G202" s="336" t="str">
        <f>IF(売分析!H202&lt;&gt;"",売分析!H202,"")</f>
        <v/>
      </c>
      <c r="H202" s="336" t="str">
        <f>IF(売分析!I202&lt;&gt;"",売分析!I202,"")</f>
        <v/>
      </c>
      <c r="I202" s="215" t="str">
        <f>IF(売分析!J202&lt;&gt;"",売分析!J202,"")</f>
        <v/>
      </c>
      <c r="J202" s="336">
        <f>IF(売分析!AB202&lt;&gt;"",売分析!AB202,"")</f>
        <v>1785.6883640552992</v>
      </c>
      <c r="K202" s="336">
        <f>IF(売分析!AC202&lt;&gt;"",売分析!AC202,"")</f>
        <v>2539.1877234803333</v>
      </c>
      <c r="L202" s="336" t="str">
        <f>IF(売分析!K202&lt;&gt;"",売分析!K202,"")</f>
        <v/>
      </c>
      <c r="M202" s="215" t="str">
        <f>IF(売分析!P202&lt;&gt;"",売分析!P202,"")</f>
        <v/>
      </c>
      <c r="N202" s="338" t="str">
        <f>IF(売分析!O202&lt;&gt;"",売分析!O202,"")</f>
        <v/>
      </c>
      <c r="O202" s="340">
        <f>IF(売分析!X202&lt;&gt;"",売分析!X202,"")</f>
        <v>-434.60692706944269</v>
      </c>
      <c r="P202" s="337" t="str">
        <f>IF(売分析!L202&lt;&gt;"",売分析!L202,"")</f>
        <v/>
      </c>
      <c r="Q202" s="336" t="str">
        <f>IF(売分析!S202&lt;&gt;"",売分析!S202,"")</f>
        <v/>
      </c>
      <c r="R202" s="336" t="str">
        <f>IF(売分析!R202&lt;&gt;"",売分析!R202,"")</f>
        <v/>
      </c>
      <c r="S202" s="215" t="str">
        <f>IF(売分析!AA202&lt;&gt;"",売分析!AA202,"")</f>
        <v/>
      </c>
      <c r="T202" s="341" t="str">
        <f>IF(売分析!Z202&lt;&gt;"",売分析!Z202,"")</f>
        <v/>
      </c>
      <c r="U202" s="215" t="str">
        <f>IF(売分析!V202&lt;&gt;"",売分析!V202,"")</f>
        <v/>
      </c>
      <c r="V202" s="339">
        <f>IF(売分析!W202&lt;&gt;"",売分析!W202,"")</f>
        <v>4.503148097454158</v>
      </c>
      <c r="W202" s="215" t="str">
        <f>IF(売分析!AD202&lt;&gt;"",売分析!AD202,"")</f>
        <v>上昇トレンド▲</v>
      </c>
      <c r="X202" s="215" t="e">
        <f>IF(売分析!AE202&lt;&gt;"",売分析!AE202,"")</f>
        <v>#VALUE!</v>
      </c>
      <c r="Y202" s="391">
        <f>IF(売分析!T202&lt;&gt;"",売分析!T202,"")</f>
        <v>0</v>
      </c>
      <c r="Z202" s="215" t="e">
        <f>IF(売分析!Y202&lt;&gt;"",売分析!Y202,"")</f>
        <v>#VALUE!</v>
      </c>
    </row>
    <row r="203" spans="1:26">
      <c r="A203" s="328">
        <f>IF(売分析!C203&lt;&gt;"",ROW()-2,"")</f>
        <v>201</v>
      </c>
      <c r="B203" s="327" t="str">
        <f>IF(売分析!C203&lt;&gt;"",HYPERLINK("https://kabutan.jp/stock/?code="&amp;売分析!C203,"株探"),"")</f>
        <v>株探</v>
      </c>
      <c r="C203" s="343">
        <f>IF(売分析!C203&lt;&gt;"",売分析!C203,"")</f>
        <v>9531</v>
      </c>
      <c r="D203" s="328" t="str">
        <f>IF(売分析!D203&lt;&gt;"",売分析!D203,"")</f>
        <v/>
      </c>
      <c r="E203" s="329" t="str">
        <f>IF(売分析!E203&lt;&gt;"",売分析!E203,"")</f>
        <v/>
      </c>
      <c r="F203" s="329" t="str">
        <f>IF(売分析!F203&lt;&gt;"",売分析!F203,"")</f>
        <v/>
      </c>
      <c r="G203" s="329" t="str">
        <f>IF(売分析!H203&lt;&gt;"",売分析!H203,"")</f>
        <v/>
      </c>
      <c r="H203" s="329" t="str">
        <f>IF(売分析!I203&lt;&gt;"",売分析!I203,"")</f>
        <v/>
      </c>
      <c r="I203" s="328" t="str">
        <f>IF(売分析!J203&lt;&gt;"",売分析!J203,"")</f>
        <v/>
      </c>
      <c r="J203" s="329">
        <f>IF(売分析!AB203&lt;&gt;"",売分析!AB203,"")</f>
        <v>6043.4861751152066</v>
      </c>
      <c r="K203" s="329">
        <f>IF(売分析!AC203&lt;&gt;"",売分析!AC203,"")</f>
        <v>6084.493444576874</v>
      </c>
      <c r="L203" s="329" t="str">
        <f>IF(売分析!K203&lt;&gt;"",売分析!K203,"")</f>
        <v/>
      </c>
      <c r="M203" s="328" t="str">
        <f>IF(売分析!P203&lt;&gt;"",売分析!P203,"")</f>
        <v/>
      </c>
      <c r="N203" s="331" t="str">
        <f>IF(売分析!O203&lt;&gt;"",売分析!O203,"")</f>
        <v/>
      </c>
      <c r="O203" s="333">
        <f>IF(売分析!X203&lt;&gt;"",売分析!X203,"")</f>
        <v>-19.539307193546847</v>
      </c>
      <c r="P203" s="330" t="str">
        <f>IF(売分析!L203&lt;&gt;"",売分析!L203,"")</f>
        <v/>
      </c>
      <c r="Q203" s="329" t="str">
        <f>IF(売分析!S203&lt;&gt;"",売分析!S203,"")</f>
        <v/>
      </c>
      <c r="R203" s="329" t="str">
        <f>IF(売分析!R203&lt;&gt;"",売分析!R203,"")</f>
        <v/>
      </c>
      <c r="S203" s="328" t="str">
        <f>IF(売分析!AA203&lt;&gt;"",売分析!AA203,"")</f>
        <v/>
      </c>
      <c r="T203" s="334" t="str">
        <f>IF(売分析!Z203&lt;&gt;"",売分析!Z203,"")</f>
        <v/>
      </c>
      <c r="U203" s="328" t="str">
        <f>IF(売分析!V203&lt;&gt;"",売分析!V203,"")</f>
        <v/>
      </c>
      <c r="V203" s="332">
        <f>IF(売分析!W203&lt;&gt;"",売分析!W203,"")</f>
        <v>50.233100233100231</v>
      </c>
      <c r="W203" s="328" t="str">
        <f>IF(売分析!AD203&lt;&gt;"",売分析!AD203,"")</f>
        <v>上昇トレンド▲</v>
      </c>
      <c r="X203" s="328" t="e">
        <f>IF(売分析!AE203&lt;&gt;"",売分析!AE203,"")</f>
        <v>#VALUE!</v>
      </c>
      <c r="Y203" s="390">
        <f>IF(売分析!T203&lt;&gt;"",売分析!T203,"")</f>
        <v>0</v>
      </c>
      <c r="Z203" s="328" t="e">
        <f>IF(売分析!Y203&lt;&gt;"",売分析!Y203,"")</f>
        <v>#VALUE!</v>
      </c>
    </row>
    <row r="204" spans="1:26">
      <c r="A204" s="215">
        <f>IF(売分析!C204&lt;&gt;"",ROW()-2,"")</f>
        <v>202</v>
      </c>
      <c r="B204" s="335" t="str">
        <f>IF(売分析!C204&lt;&gt;"",HYPERLINK("https://kabutan.jp/stock/?code="&amp;売分析!C204,"株探"),"")</f>
        <v>株探</v>
      </c>
      <c r="C204" s="344">
        <f>IF(売分析!C204&lt;&gt;"",売分析!C204,"")</f>
        <v>8334</v>
      </c>
      <c r="D204" s="215" t="str">
        <f>IF(売分析!D204&lt;&gt;"",売分析!D204,"")</f>
        <v/>
      </c>
      <c r="E204" s="336" t="str">
        <f>IF(売分析!E204&lt;&gt;"",売分析!E204,"")</f>
        <v/>
      </c>
      <c r="F204" s="336" t="str">
        <f>IF(売分析!F204&lt;&gt;"",売分析!F204,"")</f>
        <v/>
      </c>
      <c r="G204" s="336" t="str">
        <f>IF(売分析!H204&lt;&gt;"",売分析!H204,"")</f>
        <v/>
      </c>
      <c r="H204" s="336" t="str">
        <f>IF(売分析!I204&lt;&gt;"",売分析!I204,"")</f>
        <v/>
      </c>
      <c r="I204" s="215" t="str">
        <f>IF(売分析!J204&lt;&gt;"",売分析!J204,"")</f>
        <v/>
      </c>
      <c r="J204" s="336">
        <f>IF(売分析!AB204&lt;&gt;"",売分析!AB204,"")</f>
        <v>2518.5529953917053</v>
      </c>
      <c r="K204" s="336">
        <f>IF(売分析!AC204&lt;&gt;"",売分析!AC204,"")</f>
        <v>2440.805125148986</v>
      </c>
      <c r="L204" s="336" t="str">
        <f>IF(売分析!K204&lt;&gt;"",売分析!K204,"")</f>
        <v/>
      </c>
      <c r="M204" s="215" t="str">
        <f>IF(売分析!P204&lt;&gt;"",売分析!P204,"")</f>
        <v/>
      </c>
      <c r="N204" s="338" t="str">
        <f>IF(売分析!O204&lt;&gt;"",売分析!O204,"")</f>
        <v/>
      </c>
      <c r="O204" s="340">
        <f>IF(売分析!X204&lt;&gt;"",売分析!X204,"")</f>
        <v>29.452865598097105</v>
      </c>
      <c r="P204" s="337" t="str">
        <f>IF(売分析!L204&lt;&gt;"",売分析!L204,"")</f>
        <v/>
      </c>
      <c r="Q204" s="336" t="str">
        <f>IF(売分析!S204&lt;&gt;"",売分析!S204,"")</f>
        <v/>
      </c>
      <c r="R204" s="336" t="str">
        <f>IF(売分析!R204&lt;&gt;"",売分析!R204,"")</f>
        <v/>
      </c>
      <c r="S204" s="215" t="str">
        <f>IF(売分析!AA204&lt;&gt;"",売分析!AA204,"")</f>
        <v/>
      </c>
      <c r="T204" s="341" t="str">
        <f>IF(売分析!Z204&lt;&gt;"",売分析!Z204,"")</f>
        <v/>
      </c>
      <c r="U204" s="215" t="str">
        <f>IF(売分析!V204&lt;&gt;"",売分析!V204,"")</f>
        <v/>
      </c>
      <c r="V204" s="339">
        <f>IF(売分析!W204&lt;&gt;"",売分析!W204,"")</f>
        <v>95.352323838080963</v>
      </c>
      <c r="W204" s="215" t="str">
        <f>IF(売分析!AD204&lt;&gt;"",売分析!AD204,"")</f>
        <v>パーフェクト▲</v>
      </c>
      <c r="X204" s="215" t="e">
        <f>IF(売分析!AE204&lt;&gt;"",売分析!AE204,"")</f>
        <v>#VALUE!</v>
      </c>
      <c r="Y204" s="391">
        <f>IF(売分析!T204&lt;&gt;"",売分析!T204,"")</f>
        <v>0</v>
      </c>
      <c r="Z204" s="215" t="e">
        <f>IF(売分析!Y204&lt;&gt;"",売分析!Y204,"")</f>
        <v>#VALUE!</v>
      </c>
    </row>
    <row r="205" spans="1:26">
      <c r="A205" s="328">
        <f>IF(売分析!C205&lt;&gt;"",ROW()-2,"")</f>
        <v>203</v>
      </c>
      <c r="B205" s="327" t="str">
        <f>IF(売分析!C205&lt;&gt;"",HYPERLINK("https://kabutan.jp/stock/?code="&amp;売分析!C205,"株探"),"")</f>
        <v>株探</v>
      </c>
      <c r="C205" s="343">
        <f>IF(売分析!C205&lt;&gt;"",売分析!C205,"")</f>
        <v>4519</v>
      </c>
      <c r="D205" s="328" t="str">
        <f>IF(売分析!D205&lt;&gt;"",売分析!D205,"")</f>
        <v/>
      </c>
      <c r="E205" s="329" t="str">
        <f>IF(売分析!E205&lt;&gt;"",売分析!E205,"")</f>
        <v/>
      </c>
      <c r="F205" s="329" t="str">
        <f>IF(売分析!F205&lt;&gt;"",売分析!F205,"")</f>
        <v/>
      </c>
      <c r="G205" s="329" t="str">
        <f>IF(売分析!H205&lt;&gt;"",売分析!H205,"")</f>
        <v/>
      </c>
      <c r="H205" s="329" t="str">
        <f>IF(売分析!I205&lt;&gt;"",売分析!I205,"")</f>
        <v/>
      </c>
      <c r="I205" s="328" t="str">
        <f>IF(売分析!J205&lt;&gt;"",売分析!J205,"")</f>
        <v/>
      </c>
      <c r="J205" s="329">
        <f>IF(売分析!AB205&lt;&gt;"",売分析!AB205,"")</f>
        <v>7254.3237327188926</v>
      </c>
      <c r="K205" s="329">
        <f>IF(売分析!AC205&lt;&gt;"",売分析!AC205,"")</f>
        <v>7389.5840286054799</v>
      </c>
      <c r="L205" s="329" t="str">
        <f>IF(売分析!K205&lt;&gt;"",売分析!K205,"")</f>
        <v/>
      </c>
      <c r="M205" s="328" t="str">
        <f>IF(売分析!P205&lt;&gt;"",売分析!P205,"")</f>
        <v/>
      </c>
      <c r="N205" s="331" t="str">
        <f>IF(売分析!O205&lt;&gt;"",売分析!O205,"")</f>
        <v/>
      </c>
      <c r="O205" s="333">
        <f>IF(売分析!X205&lt;&gt;"",売分析!X205,"")</f>
        <v>-33.77833457385259</v>
      </c>
      <c r="P205" s="330" t="str">
        <f>IF(売分析!L205&lt;&gt;"",売分析!L205,"")</f>
        <v/>
      </c>
      <c r="Q205" s="329" t="str">
        <f>IF(売分析!S205&lt;&gt;"",売分析!S205,"")</f>
        <v/>
      </c>
      <c r="R205" s="329" t="str">
        <f>IF(売分析!R205&lt;&gt;"",売分析!R205,"")</f>
        <v/>
      </c>
      <c r="S205" s="328" t="str">
        <f>IF(売分析!AA205&lt;&gt;"",売分析!AA205,"")</f>
        <v/>
      </c>
      <c r="T205" s="334" t="str">
        <f>IF(売分析!Z205&lt;&gt;"",売分析!Z205,"")</f>
        <v/>
      </c>
      <c r="U205" s="328" t="str">
        <f>IF(売分析!V205&lt;&gt;"",売分析!V205,"")</f>
        <v/>
      </c>
      <c r="V205" s="332">
        <f>IF(売分析!W205&lt;&gt;"",売分析!W205,"")</f>
        <v>36.62714097496707</v>
      </c>
      <c r="W205" s="328" t="str">
        <f>IF(売分析!AD205&lt;&gt;"",売分析!AD205,"")</f>
        <v>上昇トレンド▲</v>
      </c>
      <c r="X205" s="328" t="e">
        <f>IF(売分析!AE205&lt;&gt;"",売分析!AE205,"")</f>
        <v>#VALUE!</v>
      </c>
      <c r="Y205" s="390">
        <f>IF(売分析!T205&lt;&gt;"",売分析!T205,"")</f>
        <v>0</v>
      </c>
      <c r="Z205" s="328" t="e">
        <f>IF(売分析!Y205&lt;&gt;"",売分析!Y205,"")</f>
        <v>#VALUE!</v>
      </c>
    </row>
    <row r="206" spans="1:26">
      <c r="A206" s="215">
        <f>IF(売分析!C206&lt;&gt;"",ROW()-2,"")</f>
        <v>204</v>
      </c>
      <c r="B206" s="335" t="str">
        <f>IF(売分析!C206&lt;&gt;"",HYPERLINK("https://kabutan.jp/stock/?code="&amp;売分析!C206,"株探"),"")</f>
        <v>株探</v>
      </c>
      <c r="C206" s="344">
        <f>IF(売分析!C206&lt;&gt;"",売分析!C206,"")</f>
        <v>2768</v>
      </c>
      <c r="D206" s="215" t="str">
        <f>IF(売分析!D206&lt;&gt;"",売分析!D206,"")</f>
        <v/>
      </c>
      <c r="E206" s="336" t="str">
        <f>IF(売分析!E206&lt;&gt;"",売分析!E206,"")</f>
        <v/>
      </c>
      <c r="F206" s="336" t="str">
        <f>IF(売分析!F206&lt;&gt;"",売分析!F206,"")</f>
        <v/>
      </c>
      <c r="G206" s="336" t="str">
        <f>IF(売分析!H206&lt;&gt;"",売分析!H206,"")</f>
        <v/>
      </c>
      <c r="H206" s="336" t="str">
        <f>IF(売分析!I206&lt;&gt;"",売分析!I206,"")</f>
        <v/>
      </c>
      <c r="I206" s="215" t="str">
        <f>IF(売分析!J206&lt;&gt;"",売分析!J206,"")</f>
        <v/>
      </c>
      <c r="J206" s="336">
        <f>IF(売分析!AB206&lt;&gt;"",売分析!AB206,"")</f>
        <v>5118.1129032258068</v>
      </c>
      <c r="K206" s="336">
        <f>IF(売分析!AC206&lt;&gt;"",売分析!AC206,"")</f>
        <v>5173.114421930868</v>
      </c>
      <c r="L206" s="336" t="str">
        <f>IF(売分析!K206&lt;&gt;"",売分析!K206,"")</f>
        <v/>
      </c>
      <c r="M206" s="215" t="str">
        <f>IF(売分析!P206&lt;&gt;"",売分析!P206,"")</f>
        <v/>
      </c>
      <c r="N206" s="338" t="str">
        <f>IF(売分析!O206&lt;&gt;"",売分析!O206,"")</f>
        <v/>
      </c>
      <c r="O206" s="340">
        <f>IF(売分析!X206&lt;&gt;"",売分析!X206,"")</f>
        <v>-13.294152181785648</v>
      </c>
      <c r="P206" s="337" t="str">
        <f>IF(売分析!L206&lt;&gt;"",売分析!L206,"")</f>
        <v/>
      </c>
      <c r="Q206" s="336" t="str">
        <f>IF(売分析!S206&lt;&gt;"",売分析!S206,"")</f>
        <v/>
      </c>
      <c r="R206" s="336" t="str">
        <f>IF(売分析!R206&lt;&gt;"",売分析!R206,"")</f>
        <v/>
      </c>
      <c r="S206" s="215" t="str">
        <f>IF(売分析!AA206&lt;&gt;"",売分析!AA206,"")</f>
        <v/>
      </c>
      <c r="T206" s="341" t="str">
        <f>IF(売分析!Z206&lt;&gt;"",売分析!Z206,"")</f>
        <v/>
      </c>
      <c r="U206" s="215" t="str">
        <f>IF(売分析!V206&lt;&gt;"",売分析!V206,"")</f>
        <v/>
      </c>
      <c r="V206" s="339">
        <f>IF(売分析!W206&lt;&gt;"",売分析!W206,"")</f>
        <v>49.034749034749034</v>
      </c>
      <c r="W206" s="215" t="str">
        <f>IF(売分析!AD206&lt;&gt;"",売分析!AD206,"")</f>
        <v>上昇トレンド▲</v>
      </c>
      <c r="X206" s="215" t="e">
        <f>IF(売分析!AE206&lt;&gt;"",売分析!AE206,"")</f>
        <v>#VALUE!</v>
      </c>
      <c r="Y206" s="391">
        <f>IF(売分析!T206&lt;&gt;"",売分析!T206,"")</f>
        <v>0</v>
      </c>
      <c r="Z206" s="215" t="e">
        <f>IF(売分析!Y206&lt;&gt;"",売分析!Y206,"")</f>
        <v>#VALUE!</v>
      </c>
    </row>
  </sheetData>
  <mergeCells count="1">
    <mergeCell ref="A1:Z1"/>
  </mergeCells>
  <phoneticPr fontId="16"/>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rgb="FFFFC000"/>
  </sheetPr>
  <dimension ref="A1:V505"/>
  <sheetViews>
    <sheetView zoomScale="77" zoomScaleNormal="77" workbookViewId="0">
      <selection sqref="A1:R1"/>
    </sheetView>
  </sheetViews>
  <sheetFormatPr defaultColWidth="9" defaultRowHeight="19.2"/>
  <cols>
    <col min="1" max="1" width="13.88671875" style="439" customWidth="1"/>
    <col min="2" max="2" width="9" style="439"/>
    <col min="3" max="3" width="15.6640625" style="437" bestFit="1" customWidth="1"/>
    <col min="4" max="4" width="28.88671875" style="437" bestFit="1" customWidth="1"/>
    <col min="5" max="7" width="17.44140625" style="401" bestFit="1" customWidth="1"/>
    <col min="8" max="8" width="31" style="402" bestFit="1" customWidth="1"/>
    <col min="9" max="9" width="14.88671875" style="401" customWidth="1"/>
    <col min="10" max="10" width="28.33203125" style="437" bestFit="1" customWidth="1"/>
    <col min="11" max="11" width="18.33203125" style="439" customWidth="1"/>
    <col min="12" max="12" width="18.33203125" style="497" bestFit="1" customWidth="1"/>
    <col min="13" max="13" width="20.44140625" style="401" bestFit="1" customWidth="1"/>
    <col min="14" max="14" width="16.6640625" style="439" customWidth="1"/>
    <col min="15" max="15" width="17.6640625" style="401" bestFit="1" customWidth="1"/>
    <col min="16" max="16" width="20.21875" style="401" bestFit="1" customWidth="1"/>
    <col min="17" max="17" width="17.21875" style="439" bestFit="1" customWidth="1"/>
    <col min="18" max="18" width="255.6640625" style="437" bestFit="1" customWidth="1"/>
    <col min="19" max="19" width="15.44140625" style="439" customWidth="1"/>
    <col min="20" max="20" width="15.77734375" style="439" bestFit="1" customWidth="1"/>
    <col min="21" max="21" width="11.88671875" style="439" bestFit="1" customWidth="1"/>
    <col min="22" max="22" width="16.33203125" style="439" bestFit="1" customWidth="1"/>
    <col min="23" max="16384" width="9" style="439"/>
  </cols>
  <sheetData>
    <row r="1" spans="1:22" s="436" customFormat="1" ht="92.25" customHeight="1">
      <c r="A1" s="539" t="s">
        <v>843</v>
      </c>
      <c r="B1" s="540"/>
      <c r="C1" s="540"/>
      <c r="D1" s="540"/>
      <c r="E1" s="540"/>
      <c r="F1" s="540"/>
      <c r="G1" s="540"/>
      <c r="H1" s="540"/>
      <c r="I1" s="540"/>
      <c r="J1" s="540"/>
      <c r="K1" s="540"/>
      <c r="L1" s="540"/>
      <c r="M1" s="540"/>
      <c r="N1" s="540"/>
      <c r="O1" s="540"/>
      <c r="P1" s="540"/>
      <c r="Q1" s="540"/>
      <c r="R1" s="541"/>
      <c r="S1" s="435"/>
      <c r="T1" s="435"/>
      <c r="U1" s="435"/>
      <c r="V1" s="435"/>
    </row>
    <row r="2" spans="1:22" s="438" customFormat="1" ht="39.9" customHeight="1">
      <c r="A2" s="537" t="s">
        <v>1186</v>
      </c>
      <c r="B2" s="537"/>
      <c r="C2" s="537"/>
      <c r="D2" s="537"/>
      <c r="E2" s="537"/>
      <c r="F2" s="537"/>
      <c r="G2" s="537"/>
      <c r="H2" s="537"/>
      <c r="I2" s="537"/>
      <c r="J2" s="537"/>
      <c r="K2" s="537"/>
      <c r="L2" s="537"/>
      <c r="M2" s="537"/>
      <c r="N2" s="537"/>
      <c r="O2" s="537"/>
      <c r="P2" s="537"/>
      <c r="Q2" s="537"/>
      <c r="R2" s="538"/>
      <c r="S2" s="437"/>
    </row>
    <row r="3" spans="1:22" s="438" customFormat="1" ht="40.049999999999997" customHeight="1">
      <c r="A3" s="440" t="s">
        <v>825</v>
      </c>
      <c r="B3" s="441" t="s">
        <v>826</v>
      </c>
      <c r="C3" s="442" t="s">
        <v>827</v>
      </c>
      <c r="D3" s="441" t="s">
        <v>828</v>
      </c>
      <c r="E3" s="485" t="s">
        <v>829</v>
      </c>
      <c r="F3" s="485" t="s">
        <v>830</v>
      </c>
      <c r="G3" s="485" t="s">
        <v>831</v>
      </c>
      <c r="H3" s="485" t="s">
        <v>1105</v>
      </c>
      <c r="I3" s="550" t="s">
        <v>832</v>
      </c>
      <c r="J3" s="441" t="s">
        <v>833</v>
      </c>
      <c r="K3" s="441" t="s">
        <v>834</v>
      </c>
      <c r="L3" s="441" t="s">
        <v>835</v>
      </c>
      <c r="M3" s="486" t="s">
        <v>836</v>
      </c>
      <c r="N3" s="441" t="s">
        <v>837</v>
      </c>
      <c r="O3" s="487" t="s">
        <v>838</v>
      </c>
      <c r="P3" s="487" t="s">
        <v>839</v>
      </c>
      <c r="Q3" s="441" t="s">
        <v>840</v>
      </c>
      <c r="R3" s="441" t="s">
        <v>841</v>
      </c>
      <c r="S3" s="439"/>
      <c r="T3" s="439"/>
      <c r="U3" s="439"/>
      <c r="V3" s="439"/>
    </row>
    <row r="4" spans="1:22" s="438" customFormat="1" ht="40.200000000000003" customHeight="1">
      <c r="A4" s="617" t="str">
        <f>HYPERLINK("https://kabutan.jp/stock/?code="&amp;TEXT(C4,"0000"),"株探")</f>
        <v>株探</v>
      </c>
      <c r="B4" s="618"/>
      <c r="C4" s="649">
        <v>7711</v>
      </c>
      <c r="D4" s="650">
        <v>-7711</v>
      </c>
      <c r="E4" s="621">
        <v>4455</v>
      </c>
      <c r="F4" s="621">
        <v>4865</v>
      </c>
      <c r="G4" s="621">
        <v>4320</v>
      </c>
      <c r="H4" s="622">
        <v>162200</v>
      </c>
      <c r="I4" s="623">
        <v>37.6</v>
      </c>
      <c r="J4" s="496" t="s">
        <v>580</v>
      </c>
      <c r="K4" s="556" t="s">
        <v>540</v>
      </c>
      <c r="L4" s="624" t="s">
        <v>1156</v>
      </c>
      <c r="M4" s="623">
        <v>-139.21</v>
      </c>
      <c r="N4" s="566"/>
      <c r="O4" s="621">
        <v>4099</v>
      </c>
      <c r="P4" s="621">
        <v>4633</v>
      </c>
      <c r="Q4" s="493">
        <v>17</v>
      </c>
      <c r="R4" s="625" t="s">
        <v>1183</v>
      </c>
      <c r="S4" s="439"/>
      <c r="T4" s="439"/>
      <c r="U4" s="439"/>
      <c r="V4" s="439"/>
    </row>
    <row r="5" spans="1:22" s="438" customFormat="1" ht="40.5" customHeight="1">
      <c r="A5" s="617" t="str">
        <f>HYPERLINK("https://kabutan.jp/stock/?code="&amp;TEXT(C5,"0000"),"株探")</f>
        <v>株探</v>
      </c>
      <c r="B5" s="618"/>
      <c r="C5" s="649">
        <v>5702</v>
      </c>
      <c r="D5" s="650">
        <v>-5702</v>
      </c>
      <c r="E5" s="621">
        <v>1445</v>
      </c>
      <c r="F5" s="621">
        <v>1494</v>
      </c>
      <c r="G5" s="621">
        <v>1414</v>
      </c>
      <c r="H5" s="622">
        <v>474800</v>
      </c>
      <c r="I5" s="623">
        <v>30.4</v>
      </c>
      <c r="J5" s="496" t="s">
        <v>580</v>
      </c>
      <c r="K5" s="556" t="s">
        <v>540</v>
      </c>
      <c r="L5" s="624" t="s">
        <v>1162</v>
      </c>
      <c r="M5" s="623">
        <v>-70.13</v>
      </c>
      <c r="N5" s="566"/>
      <c r="O5" s="621">
        <v>1329</v>
      </c>
      <c r="P5" s="621">
        <v>1503</v>
      </c>
      <c r="Q5" s="493">
        <v>15</v>
      </c>
      <c r="R5" s="625" t="s">
        <v>1185</v>
      </c>
      <c r="S5" s="439"/>
      <c r="T5" s="439"/>
      <c r="U5" s="439"/>
      <c r="V5" s="439"/>
    </row>
    <row r="6" spans="1:22" s="438" customFormat="1" ht="40.5" customHeight="1">
      <c r="A6" s="617" t="str">
        <f>HYPERLINK("https://kabutan.jp/stock/?code="&amp;TEXT(C6,"0000"),"株探")</f>
        <v>株探</v>
      </c>
      <c r="B6" s="627"/>
      <c r="C6" s="628">
        <v>4082</v>
      </c>
      <c r="D6" s="629">
        <v>-4082</v>
      </c>
      <c r="E6" s="630">
        <v>1730</v>
      </c>
      <c r="F6" s="630">
        <v>1863</v>
      </c>
      <c r="G6" s="630">
        <v>1702</v>
      </c>
      <c r="H6" s="631">
        <v>381600</v>
      </c>
      <c r="I6" s="632">
        <v>30.5</v>
      </c>
      <c r="J6" s="564" t="s">
        <v>1165</v>
      </c>
      <c r="K6" s="558" t="s">
        <v>540</v>
      </c>
      <c r="L6" s="627" t="s">
        <v>1156</v>
      </c>
      <c r="M6" s="632">
        <v>-20.74</v>
      </c>
      <c r="N6" s="563"/>
      <c r="O6" s="630">
        <v>1592</v>
      </c>
      <c r="P6" s="630">
        <v>1799</v>
      </c>
      <c r="Q6" s="492">
        <v>14</v>
      </c>
      <c r="R6" s="633" t="s">
        <v>1170</v>
      </c>
      <c r="S6" s="439"/>
      <c r="T6" s="439"/>
      <c r="U6" s="439"/>
      <c r="V6" s="439"/>
    </row>
    <row r="7" spans="1:22" s="438" customFormat="1" ht="40.5" customHeight="1">
      <c r="A7" s="617" t="str">
        <f>HYPERLINK("https://kabutan.jp/stock/?code="&amp;TEXT(C7,"0000"),"株探")</f>
        <v>株探</v>
      </c>
      <c r="B7" s="634"/>
      <c r="C7" s="635">
        <v>1938</v>
      </c>
      <c r="D7" s="636">
        <v>-1938</v>
      </c>
      <c r="E7" s="637">
        <v>2460</v>
      </c>
      <c r="F7" s="637">
        <v>2550</v>
      </c>
      <c r="G7" s="637">
        <v>2422</v>
      </c>
      <c r="H7" s="638">
        <v>130500</v>
      </c>
      <c r="I7" s="639">
        <v>37.299999999999997</v>
      </c>
      <c r="J7" s="564" t="s">
        <v>1165</v>
      </c>
      <c r="K7" s="558" t="s">
        <v>540</v>
      </c>
      <c r="L7" s="634" t="s">
        <v>1157</v>
      </c>
      <c r="M7" s="639">
        <v>-26.5</v>
      </c>
      <c r="N7" s="563"/>
      <c r="O7" s="637">
        <v>2263</v>
      </c>
      <c r="P7" s="637">
        <v>2558</v>
      </c>
      <c r="Q7" s="494">
        <v>13</v>
      </c>
      <c r="R7" s="640" t="s">
        <v>1171</v>
      </c>
      <c r="S7" s="439"/>
      <c r="T7" s="439"/>
      <c r="U7" s="439"/>
      <c r="V7" s="439"/>
    </row>
    <row r="8" spans="1:22" ht="40.5" customHeight="1">
      <c r="A8" s="617" t="str">
        <f>HYPERLINK("https://kabutan.jp/stock/?code="&amp;TEXT(C8,"0000"),"株探")</f>
        <v>株探</v>
      </c>
      <c r="B8" s="641"/>
      <c r="C8" s="642" t="s">
        <v>429</v>
      </c>
      <c r="D8" s="643" t="s">
        <v>1172</v>
      </c>
      <c r="E8" s="644">
        <v>2980</v>
      </c>
      <c r="F8" s="644">
        <v>3115</v>
      </c>
      <c r="G8" s="644">
        <v>2973</v>
      </c>
      <c r="H8" s="645">
        <v>731500</v>
      </c>
      <c r="I8" s="646">
        <v>47.4</v>
      </c>
      <c r="J8" s="496" t="s">
        <v>580</v>
      </c>
      <c r="K8" s="556" t="s">
        <v>540</v>
      </c>
      <c r="L8" s="647" t="s">
        <v>1173</v>
      </c>
      <c r="M8" s="646">
        <v>-17.07</v>
      </c>
      <c r="N8" s="566"/>
      <c r="O8" s="644">
        <v>2742</v>
      </c>
      <c r="P8" s="644">
        <v>3099</v>
      </c>
      <c r="Q8" s="469">
        <v>13</v>
      </c>
      <c r="R8" s="648" t="s">
        <v>1174</v>
      </c>
    </row>
    <row r="9" spans="1:22" ht="40.5" customHeight="1">
      <c r="A9" s="617" t="str">
        <f>HYPERLINK("https://kabutan.jp/stock/?code="&amp;TEXT(C9,"0000"),"株探")</f>
        <v>株探</v>
      </c>
      <c r="B9" s="618"/>
      <c r="C9" s="619" t="s">
        <v>431</v>
      </c>
      <c r="D9" s="620" t="s">
        <v>1175</v>
      </c>
      <c r="E9" s="621">
        <v>1597</v>
      </c>
      <c r="F9" s="621">
        <v>1664</v>
      </c>
      <c r="G9" s="621">
        <v>1577</v>
      </c>
      <c r="H9" s="622">
        <v>2776400</v>
      </c>
      <c r="I9" s="623">
        <v>32.9</v>
      </c>
      <c r="J9" s="496" t="s">
        <v>580</v>
      </c>
      <c r="K9" s="556" t="s">
        <v>540</v>
      </c>
      <c r="L9" s="624" t="s">
        <v>1158</v>
      </c>
      <c r="M9" s="623">
        <v>-253.04</v>
      </c>
      <c r="N9" s="556"/>
      <c r="O9" s="621">
        <v>1469</v>
      </c>
      <c r="P9" s="621">
        <v>1661</v>
      </c>
      <c r="Q9" s="469">
        <v>13</v>
      </c>
      <c r="R9" s="625" t="s">
        <v>1176</v>
      </c>
    </row>
    <row r="10" spans="1:22" ht="40.5" customHeight="1">
      <c r="A10" s="617" t="str">
        <f>HYPERLINK("https://kabutan.jp/stock/?code="&amp;TEXT(C10,"0000"),"株探")</f>
        <v>株探</v>
      </c>
      <c r="B10" s="627"/>
      <c r="C10" s="628">
        <v>6862</v>
      </c>
      <c r="D10" s="629">
        <v>-6862</v>
      </c>
      <c r="E10" s="630">
        <v>1765</v>
      </c>
      <c r="F10" s="630">
        <v>1930</v>
      </c>
      <c r="G10" s="630">
        <v>1710</v>
      </c>
      <c r="H10" s="631">
        <v>465600</v>
      </c>
      <c r="I10" s="632">
        <v>23.4</v>
      </c>
      <c r="J10" s="495" t="s">
        <v>580</v>
      </c>
      <c r="K10" s="558" t="s">
        <v>540</v>
      </c>
      <c r="L10" s="627" t="s">
        <v>1159</v>
      </c>
      <c r="M10" s="632">
        <v>-104.38</v>
      </c>
      <c r="N10" s="563"/>
      <c r="O10" s="630">
        <v>1624</v>
      </c>
      <c r="P10" s="630">
        <v>1836</v>
      </c>
      <c r="Q10" s="494">
        <v>13</v>
      </c>
      <c r="R10" s="633" t="s">
        <v>1177</v>
      </c>
    </row>
    <row r="11" spans="1:22" ht="40.5" customHeight="1">
      <c r="A11" s="617" t="str">
        <f>HYPERLINK("https://kabutan.jp/stock/?code="&amp;TEXT(C11,"0000"),"株探")</f>
        <v>株探</v>
      </c>
      <c r="B11" s="627"/>
      <c r="C11" s="628">
        <v>6928</v>
      </c>
      <c r="D11" s="629">
        <v>-6928</v>
      </c>
      <c r="E11" s="630">
        <v>2530</v>
      </c>
      <c r="F11" s="630">
        <v>2735</v>
      </c>
      <c r="G11" s="630">
        <v>2492</v>
      </c>
      <c r="H11" s="631">
        <v>51400</v>
      </c>
      <c r="I11" s="632">
        <v>16.399999999999999</v>
      </c>
      <c r="J11" s="495" t="s">
        <v>580</v>
      </c>
      <c r="K11" s="558" t="s">
        <v>540</v>
      </c>
      <c r="L11" s="627" t="s">
        <v>1179</v>
      </c>
      <c r="M11" s="632">
        <v>-180.96</v>
      </c>
      <c r="N11" s="563"/>
      <c r="O11" s="630">
        <v>2328</v>
      </c>
      <c r="P11" s="630">
        <v>2631</v>
      </c>
      <c r="Q11" s="494">
        <v>13</v>
      </c>
      <c r="R11" s="633" t="s">
        <v>1180</v>
      </c>
    </row>
    <row r="12" spans="1:22" ht="40.5" customHeight="1">
      <c r="A12" s="617" t="str">
        <f>HYPERLINK("https://kabutan.jp/stock/?code="&amp;TEXT(C12,"0000"),"株探")</f>
        <v>株探</v>
      </c>
      <c r="B12" s="634"/>
      <c r="C12" s="635">
        <v>6140</v>
      </c>
      <c r="D12" s="651">
        <v>-6140</v>
      </c>
      <c r="E12" s="637">
        <v>1153</v>
      </c>
      <c r="F12" s="637">
        <v>1190</v>
      </c>
      <c r="G12" s="637">
        <v>1125</v>
      </c>
      <c r="H12" s="638">
        <v>891600</v>
      </c>
      <c r="I12" s="639">
        <v>38.700000000000003</v>
      </c>
      <c r="J12" s="495" t="s">
        <v>580</v>
      </c>
      <c r="K12" s="558" t="s">
        <v>540</v>
      </c>
      <c r="L12" s="634" t="s">
        <v>1161</v>
      </c>
      <c r="M12" s="639">
        <v>-28.4</v>
      </c>
      <c r="N12" s="558"/>
      <c r="O12" s="637">
        <v>1061</v>
      </c>
      <c r="P12" s="637">
        <v>1199</v>
      </c>
      <c r="Q12" s="494">
        <v>13</v>
      </c>
      <c r="R12" s="640" t="s">
        <v>1181</v>
      </c>
    </row>
    <row r="13" spans="1:22" ht="40.5" customHeight="1">
      <c r="A13" s="617" t="str">
        <f>HYPERLINK("https://kabutan.jp/stock/?code="&amp;TEXT(C13,"0000"),"株探")</f>
        <v>株探</v>
      </c>
      <c r="B13" s="641"/>
      <c r="C13" s="642">
        <v>5631</v>
      </c>
      <c r="D13" s="652">
        <v>-5631</v>
      </c>
      <c r="E13" s="644">
        <v>7335</v>
      </c>
      <c r="F13" s="644">
        <v>7759</v>
      </c>
      <c r="G13" s="644">
        <v>7182</v>
      </c>
      <c r="H13" s="645">
        <v>1305400</v>
      </c>
      <c r="I13" s="646">
        <v>39.1</v>
      </c>
      <c r="J13" s="496" t="s">
        <v>580</v>
      </c>
      <c r="K13" s="556" t="s">
        <v>540</v>
      </c>
      <c r="L13" s="647" t="s">
        <v>1157</v>
      </c>
      <c r="M13" s="646">
        <v>-79.680000000000007</v>
      </c>
      <c r="N13" s="556"/>
      <c r="O13" s="644">
        <v>6748</v>
      </c>
      <c r="P13" s="644">
        <v>7628</v>
      </c>
      <c r="Q13" s="469">
        <v>13</v>
      </c>
      <c r="R13" s="648" t="s">
        <v>1182</v>
      </c>
    </row>
    <row r="14" spans="1:22" ht="40.5" customHeight="1">
      <c r="A14" s="617" t="str">
        <f>HYPERLINK("https://kabutan.jp/stock/?code="&amp;TEXT(C14,"0000"),"株探")</f>
        <v>株探</v>
      </c>
      <c r="B14" s="618"/>
      <c r="C14" s="619">
        <v>5713</v>
      </c>
      <c r="D14" s="620">
        <v>-5713</v>
      </c>
      <c r="E14" s="621">
        <v>6794</v>
      </c>
      <c r="F14" s="621">
        <v>7100</v>
      </c>
      <c r="G14" s="621">
        <v>6578</v>
      </c>
      <c r="H14" s="622">
        <v>4694300</v>
      </c>
      <c r="I14" s="623">
        <v>44.1</v>
      </c>
      <c r="J14" s="557" t="s">
        <v>1165</v>
      </c>
      <c r="K14" s="556" t="s">
        <v>540</v>
      </c>
      <c r="L14" s="624" t="s">
        <v>1153</v>
      </c>
      <c r="M14" s="623">
        <v>-135.02000000000001</v>
      </c>
      <c r="N14" s="556"/>
      <c r="O14" s="621">
        <v>6250</v>
      </c>
      <c r="P14" s="621">
        <v>7066</v>
      </c>
      <c r="Q14" s="469">
        <v>12</v>
      </c>
      <c r="R14" s="625" t="s">
        <v>1166</v>
      </c>
    </row>
    <row r="15" spans="1:22" ht="40.5" customHeight="1">
      <c r="A15" s="617" t="str">
        <f>HYPERLINK("https://kabutan.jp/stock/?code="&amp;TEXT(C15,"0000"),"株探")</f>
        <v>株探</v>
      </c>
      <c r="B15" s="627"/>
      <c r="C15" s="628">
        <v>9227</v>
      </c>
      <c r="D15" s="629">
        <v>-9227</v>
      </c>
      <c r="E15" s="630">
        <v>769</v>
      </c>
      <c r="F15" s="630">
        <v>811</v>
      </c>
      <c r="G15" s="630">
        <v>753</v>
      </c>
      <c r="H15" s="631">
        <v>361300</v>
      </c>
      <c r="I15" s="632">
        <v>40.4</v>
      </c>
      <c r="J15" s="626" t="s">
        <v>1167</v>
      </c>
      <c r="K15" s="558" t="s">
        <v>540</v>
      </c>
      <c r="L15" s="627" t="s">
        <v>1154</v>
      </c>
      <c r="M15" s="632">
        <v>-7.23</v>
      </c>
      <c r="N15" s="563"/>
      <c r="O15" s="630">
        <v>707</v>
      </c>
      <c r="P15" s="630">
        <v>800</v>
      </c>
      <c r="Q15" s="494">
        <v>12</v>
      </c>
      <c r="R15" s="633" t="s">
        <v>1168</v>
      </c>
    </row>
    <row r="16" spans="1:22" ht="40.5" customHeight="1">
      <c r="A16" s="617" t="str">
        <f>HYPERLINK("https://kabutan.jp/stock/?code="&amp;TEXT(C16,"0000"),"株探")</f>
        <v>株探</v>
      </c>
      <c r="B16" s="634"/>
      <c r="C16" s="635">
        <v>6330</v>
      </c>
      <c r="D16" s="636">
        <v>-6330</v>
      </c>
      <c r="E16" s="637">
        <v>1751</v>
      </c>
      <c r="F16" s="637">
        <v>1846</v>
      </c>
      <c r="G16" s="637">
        <v>1712</v>
      </c>
      <c r="H16" s="638">
        <v>2867300</v>
      </c>
      <c r="I16" s="639">
        <v>49.9</v>
      </c>
      <c r="J16" s="626" t="s">
        <v>1167</v>
      </c>
      <c r="K16" s="558" t="s">
        <v>540</v>
      </c>
      <c r="L16" s="634" t="s">
        <v>1155</v>
      </c>
      <c r="M16" s="639">
        <v>-11.82</v>
      </c>
      <c r="N16" s="563"/>
      <c r="O16" s="637">
        <v>1611</v>
      </c>
      <c r="P16" s="637">
        <v>1821</v>
      </c>
      <c r="Q16" s="494">
        <v>12</v>
      </c>
      <c r="R16" s="640" t="s">
        <v>1169</v>
      </c>
    </row>
    <row r="17" spans="1:18" ht="40.5" customHeight="1">
      <c r="A17" s="617" t="str">
        <f>HYPERLINK("https://kabutan.jp/stock/?code="&amp;TEXT(C17,"0000"),"株探")</f>
        <v>株探</v>
      </c>
      <c r="B17" s="618"/>
      <c r="C17" s="649">
        <v>4222</v>
      </c>
      <c r="D17" s="650">
        <v>-4222</v>
      </c>
      <c r="E17" s="621">
        <v>601</v>
      </c>
      <c r="F17" s="621">
        <v>617</v>
      </c>
      <c r="G17" s="621">
        <v>585</v>
      </c>
      <c r="H17" s="622">
        <v>383500</v>
      </c>
      <c r="I17" s="623">
        <v>31</v>
      </c>
      <c r="J17" s="496" t="s">
        <v>580</v>
      </c>
      <c r="K17" s="556" t="s">
        <v>540</v>
      </c>
      <c r="L17" s="624" t="s">
        <v>1160</v>
      </c>
      <c r="M17" s="623">
        <v>-41.77</v>
      </c>
      <c r="N17" s="556"/>
      <c r="O17" s="621">
        <v>553</v>
      </c>
      <c r="P17" s="621">
        <v>625</v>
      </c>
      <c r="Q17" s="469">
        <v>12</v>
      </c>
      <c r="R17" s="625" t="s">
        <v>1178</v>
      </c>
    </row>
    <row r="18" spans="1:18" ht="40.5" customHeight="1">
      <c r="A18" s="617" t="str">
        <f>HYPERLINK("https://kabutan.jp/stock/?code="&amp;TEXT(C18,"0000"),"株探")</f>
        <v>株探</v>
      </c>
      <c r="B18" s="627"/>
      <c r="C18" s="628">
        <v>6848</v>
      </c>
      <c r="D18" s="653">
        <v>-6848</v>
      </c>
      <c r="E18" s="630">
        <v>851</v>
      </c>
      <c r="F18" s="630">
        <v>856</v>
      </c>
      <c r="G18" s="630">
        <v>850</v>
      </c>
      <c r="H18" s="631">
        <v>5100</v>
      </c>
      <c r="I18" s="632">
        <v>47.2</v>
      </c>
      <c r="J18" s="495" t="s">
        <v>580</v>
      </c>
      <c r="K18" s="558" t="s">
        <v>540</v>
      </c>
      <c r="L18" s="627" t="s">
        <v>1163</v>
      </c>
      <c r="M18" s="632">
        <v>-2.4500000000000002</v>
      </c>
      <c r="N18" s="563"/>
      <c r="O18" s="630">
        <v>783</v>
      </c>
      <c r="P18" s="630">
        <v>885</v>
      </c>
      <c r="Q18" s="494">
        <v>12</v>
      </c>
      <c r="R18" s="633" t="s">
        <v>1184</v>
      </c>
    </row>
    <row r="19" spans="1:18" ht="40.5" customHeight="1">
      <c r="A19" s="614"/>
      <c r="B19" s="551"/>
      <c r="C19" s="552"/>
      <c r="D19" s="557"/>
      <c r="E19" s="553"/>
      <c r="F19" s="553"/>
      <c r="G19" s="553"/>
      <c r="H19" s="554"/>
      <c r="I19" s="555"/>
      <c r="J19" s="557"/>
      <c r="K19" s="556"/>
      <c r="L19" s="556"/>
      <c r="M19" s="555"/>
      <c r="N19" s="556"/>
      <c r="O19" s="553"/>
      <c r="P19" s="553"/>
      <c r="Q19" s="556"/>
      <c r="R19" s="557"/>
    </row>
    <row r="20" spans="1:18" ht="40.5" customHeight="1">
      <c r="A20" s="614"/>
      <c r="B20" s="558"/>
      <c r="C20" s="559"/>
      <c r="D20" s="558"/>
      <c r="E20" s="560"/>
      <c r="F20" s="560"/>
      <c r="G20" s="560"/>
      <c r="H20" s="561"/>
      <c r="I20" s="562"/>
      <c r="J20" s="564"/>
      <c r="K20" s="558"/>
      <c r="L20" s="558"/>
      <c r="M20" s="562"/>
      <c r="N20" s="567"/>
      <c r="O20" s="560"/>
      <c r="P20" s="560"/>
      <c r="Q20" s="558"/>
      <c r="R20" s="564"/>
    </row>
    <row r="21" spans="1:18" ht="40.5" customHeight="1">
      <c r="A21" s="614"/>
      <c r="B21" s="551"/>
      <c r="C21" s="565"/>
      <c r="D21" s="551"/>
      <c r="E21" s="553"/>
      <c r="F21" s="553"/>
      <c r="G21" s="553"/>
      <c r="H21" s="554"/>
      <c r="I21" s="555"/>
      <c r="J21" s="557"/>
      <c r="K21" s="556"/>
      <c r="L21" s="556"/>
      <c r="M21" s="555"/>
      <c r="N21" s="566"/>
      <c r="O21" s="553"/>
      <c r="P21" s="553"/>
      <c r="Q21" s="556"/>
      <c r="R21" s="557"/>
    </row>
    <row r="22" spans="1:18" ht="40.5" customHeight="1">
      <c r="A22" s="614"/>
      <c r="B22" s="568"/>
      <c r="C22" s="569"/>
      <c r="D22" s="568"/>
      <c r="E22" s="570"/>
      <c r="F22" s="570"/>
      <c r="G22" s="570"/>
      <c r="H22" s="571"/>
      <c r="I22" s="572"/>
      <c r="J22" s="576"/>
      <c r="K22" s="573"/>
      <c r="L22" s="573"/>
      <c r="M22" s="574"/>
      <c r="N22" s="575"/>
      <c r="O22" s="570"/>
      <c r="P22" s="570"/>
      <c r="Q22" s="573"/>
      <c r="R22" s="576"/>
    </row>
    <row r="23" spans="1:18" ht="40.5" customHeight="1">
      <c r="A23" s="614"/>
      <c r="B23" s="558"/>
      <c r="C23" s="559"/>
      <c r="D23" s="615"/>
      <c r="E23" s="560"/>
      <c r="F23" s="560"/>
      <c r="G23" s="560"/>
      <c r="H23" s="561"/>
      <c r="I23" s="562"/>
      <c r="J23" s="564"/>
      <c r="K23" s="558"/>
      <c r="L23" s="558"/>
      <c r="M23" s="562"/>
      <c r="N23" s="563"/>
      <c r="O23" s="560"/>
      <c r="P23" s="560"/>
      <c r="Q23" s="558"/>
      <c r="R23" s="564"/>
    </row>
    <row r="24" spans="1:18" ht="40.5" customHeight="1">
      <c r="A24" s="614"/>
      <c r="B24" s="551"/>
      <c r="C24" s="565"/>
      <c r="D24" s="551"/>
      <c r="E24" s="553"/>
      <c r="F24" s="553"/>
      <c r="G24" s="553"/>
      <c r="H24" s="554"/>
      <c r="I24" s="555"/>
      <c r="J24" s="557"/>
      <c r="K24" s="556"/>
      <c r="L24" s="556"/>
      <c r="M24" s="555"/>
      <c r="N24" s="566"/>
      <c r="O24" s="553"/>
      <c r="P24" s="553"/>
      <c r="Q24" s="556"/>
      <c r="R24" s="557"/>
    </row>
    <row r="25" spans="1:18" ht="40.5" customHeight="1">
      <c r="A25" s="614"/>
      <c r="B25" s="551"/>
      <c r="C25" s="565"/>
      <c r="D25" s="551"/>
      <c r="E25" s="553"/>
      <c r="F25" s="553"/>
      <c r="G25" s="553"/>
      <c r="H25" s="554"/>
      <c r="I25" s="555"/>
      <c r="J25" s="557"/>
      <c r="K25" s="556"/>
      <c r="L25" s="556"/>
      <c r="M25" s="555"/>
      <c r="N25" s="566"/>
      <c r="O25" s="553"/>
      <c r="P25" s="553"/>
      <c r="Q25" s="556"/>
      <c r="R25" s="557"/>
    </row>
    <row r="26" spans="1:18" ht="40.5" customHeight="1">
      <c r="A26" s="614"/>
      <c r="B26" s="551"/>
      <c r="C26" s="565"/>
      <c r="D26" s="551"/>
      <c r="E26" s="553"/>
      <c r="F26" s="553"/>
      <c r="G26" s="553"/>
      <c r="H26" s="554"/>
      <c r="I26" s="555"/>
      <c r="J26" s="557"/>
      <c r="K26" s="556"/>
      <c r="L26" s="556"/>
      <c r="M26" s="555"/>
      <c r="N26" s="566"/>
      <c r="O26" s="553"/>
      <c r="P26" s="553"/>
      <c r="Q26" s="556"/>
      <c r="R26" s="557"/>
    </row>
    <row r="27" spans="1:18" ht="40.5" customHeight="1">
      <c r="A27" s="614"/>
      <c r="B27" s="551"/>
      <c r="C27" s="565"/>
      <c r="D27" s="551"/>
      <c r="E27" s="553"/>
      <c r="F27" s="553"/>
      <c r="G27" s="553"/>
      <c r="H27" s="554"/>
      <c r="I27" s="555"/>
      <c r="J27" s="557"/>
      <c r="K27" s="556"/>
      <c r="L27" s="556"/>
      <c r="M27" s="555"/>
      <c r="N27" s="566"/>
      <c r="O27" s="553"/>
      <c r="P27" s="553"/>
      <c r="Q27" s="556"/>
      <c r="R27" s="557"/>
    </row>
    <row r="28" spans="1:18" ht="40.5" customHeight="1">
      <c r="A28" s="614"/>
      <c r="B28" s="577"/>
      <c r="C28" s="578"/>
      <c r="D28" s="616"/>
      <c r="E28" s="579"/>
      <c r="F28" s="579"/>
      <c r="G28" s="579"/>
      <c r="H28" s="580"/>
      <c r="I28" s="581"/>
      <c r="J28" s="584"/>
      <c r="K28" s="577"/>
      <c r="L28" s="577"/>
      <c r="M28" s="582"/>
      <c r="N28" s="583"/>
      <c r="O28" s="579"/>
      <c r="P28" s="579"/>
      <c r="Q28" s="577"/>
      <c r="R28" s="584"/>
    </row>
    <row r="29" spans="1:18" ht="40.5" customHeight="1">
      <c r="A29" s="614"/>
      <c r="B29" s="558"/>
      <c r="C29" s="559"/>
      <c r="D29" s="615"/>
      <c r="E29" s="560"/>
      <c r="F29" s="560"/>
      <c r="G29" s="560"/>
      <c r="H29" s="561"/>
      <c r="I29" s="562"/>
      <c r="J29" s="564"/>
      <c r="K29" s="558"/>
      <c r="L29" s="558"/>
      <c r="M29" s="562"/>
      <c r="N29" s="563"/>
      <c r="O29" s="560"/>
      <c r="P29" s="560"/>
      <c r="Q29" s="558"/>
      <c r="R29" s="564"/>
    </row>
    <row r="30" spans="1:18" ht="40.5" customHeight="1">
      <c r="A30" s="614"/>
      <c r="B30" s="551"/>
      <c r="C30" s="565"/>
      <c r="D30" s="551"/>
      <c r="E30" s="553"/>
      <c r="F30" s="553"/>
      <c r="G30" s="553"/>
      <c r="H30" s="554"/>
      <c r="I30" s="555"/>
      <c r="J30" s="557"/>
      <c r="K30" s="556"/>
      <c r="L30" s="556"/>
      <c r="M30" s="555"/>
      <c r="N30" s="556"/>
      <c r="O30" s="553"/>
      <c r="P30" s="553"/>
      <c r="Q30" s="556"/>
      <c r="R30" s="557"/>
    </row>
    <row r="31" spans="1:18" ht="40.5" customHeight="1">
      <c r="A31" s="614"/>
      <c r="B31" s="551"/>
      <c r="C31" s="552"/>
      <c r="D31" s="557"/>
      <c r="E31" s="553"/>
      <c r="F31" s="553"/>
      <c r="G31" s="553"/>
      <c r="H31" s="554"/>
      <c r="I31" s="555"/>
      <c r="J31" s="557"/>
      <c r="K31" s="556"/>
      <c r="L31" s="556"/>
      <c r="M31" s="555"/>
      <c r="N31" s="556"/>
      <c r="O31" s="553"/>
      <c r="P31" s="553"/>
      <c r="Q31" s="556"/>
      <c r="R31" s="557"/>
    </row>
    <row r="32" spans="1:18" ht="40.5" customHeight="1">
      <c r="A32" s="614"/>
      <c r="B32" s="551"/>
      <c r="C32" s="552"/>
      <c r="D32" s="557"/>
      <c r="E32" s="553"/>
      <c r="F32" s="553"/>
      <c r="G32" s="553"/>
      <c r="H32" s="554"/>
      <c r="I32" s="555"/>
      <c r="J32" s="557"/>
      <c r="K32" s="556"/>
      <c r="L32" s="556"/>
      <c r="M32" s="555"/>
      <c r="N32" s="556"/>
      <c r="O32" s="553"/>
      <c r="P32" s="553"/>
      <c r="Q32" s="556"/>
      <c r="R32" s="557"/>
    </row>
    <row r="33" spans="1:18" ht="40.5" customHeight="1">
      <c r="A33" s="614"/>
      <c r="B33" s="568"/>
      <c r="C33" s="569"/>
      <c r="D33" s="568"/>
      <c r="E33" s="570"/>
      <c r="F33" s="570"/>
      <c r="G33" s="570"/>
      <c r="H33" s="571"/>
      <c r="I33" s="572"/>
      <c r="J33" s="576"/>
      <c r="K33" s="573"/>
      <c r="L33" s="573"/>
      <c r="M33" s="574"/>
      <c r="N33" s="575"/>
      <c r="O33" s="570"/>
      <c r="P33" s="570"/>
      <c r="Q33" s="573"/>
      <c r="R33" s="576"/>
    </row>
    <row r="34" spans="1:18" ht="40.5" customHeight="1">
      <c r="A34" s="614"/>
      <c r="B34" s="551"/>
      <c r="C34" s="552"/>
      <c r="D34" s="557"/>
      <c r="E34" s="553"/>
      <c r="F34" s="553"/>
      <c r="G34" s="553"/>
      <c r="H34" s="554"/>
      <c r="I34" s="555"/>
      <c r="J34" s="557"/>
      <c r="K34" s="556"/>
      <c r="L34" s="556"/>
      <c r="M34" s="555"/>
      <c r="N34" s="556"/>
      <c r="O34" s="553"/>
      <c r="P34" s="553"/>
      <c r="Q34" s="556"/>
      <c r="R34" s="557"/>
    </row>
    <row r="35" spans="1:18" ht="40.5" customHeight="1">
      <c r="A35" s="614"/>
      <c r="B35" s="551"/>
      <c r="C35" s="552"/>
      <c r="D35" s="557"/>
      <c r="E35" s="553"/>
      <c r="F35" s="553"/>
      <c r="G35" s="553"/>
      <c r="H35" s="554"/>
      <c r="I35" s="555"/>
      <c r="J35" s="557"/>
      <c r="K35" s="556"/>
      <c r="L35" s="556"/>
      <c r="M35" s="555"/>
      <c r="N35" s="556"/>
      <c r="O35" s="553"/>
      <c r="P35" s="553"/>
      <c r="Q35" s="556"/>
      <c r="R35" s="557"/>
    </row>
    <row r="36" spans="1:18" ht="40.5" customHeight="1">
      <c r="A36" s="614"/>
      <c r="B36" s="558"/>
      <c r="C36" s="559"/>
      <c r="D36" s="615"/>
      <c r="E36" s="560"/>
      <c r="F36" s="560"/>
      <c r="G36" s="560"/>
      <c r="H36" s="561"/>
      <c r="I36" s="562"/>
      <c r="J36" s="564"/>
      <c r="K36" s="558"/>
      <c r="L36" s="558"/>
      <c r="M36" s="562"/>
      <c r="N36" s="563"/>
      <c r="O36" s="560"/>
      <c r="P36" s="560"/>
      <c r="Q36" s="558"/>
      <c r="R36" s="564"/>
    </row>
    <row r="37" spans="1:18" ht="40.5" customHeight="1">
      <c r="A37" s="614"/>
      <c r="B37" s="558"/>
      <c r="C37" s="559"/>
      <c r="D37" s="615"/>
      <c r="E37" s="560"/>
      <c r="F37" s="560"/>
      <c r="G37" s="560"/>
      <c r="H37" s="561"/>
      <c r="I37" s="562"/>
      <c r="J37" s="564"/>
      <c r="K37" s="558"/>
      <c r="L37" s="558"/>
      <c r="M37" s="562"/>
      <c r="N37" s="563"/>
      <c r="O37" s="560"/>
      <c r="P37" s="560"/>
      <c r="Q37" s="558"/>
      <c r="R37" s="564"/>
    </row>
    <row r="38" spans="1:18" ht="40.5" customHeight="1">
      <c r="A38" s="614"/>
      <c r="B38" s="551"/>
      <c r="C38" s="565"/>
      <c r="D38" s="551"/>
      <c r="E38" s="553"/>
      <c r="F38" s="553"/>
      <c r="G38" s="553"/>
      <c r="H38" s="554"/>
      <c r="I38" s="555"/>
      <c r="J38" s="557"/>
      <c r="K38" s="556"/>
      <c r="L38" s="556"/>
      <c r="M38" s="555"/>
      <c r="N38" s="566"/>
      <c r="O38" s="553"/>
      <c r="P38" s="553"/>
      <c r="Q38" s="556"/>
      <c r="R38" s="557"/>
    </row>
    <row r="39" spans="1:18" ht="40.5" customHeight="1">
      <c r="A39" s="614"/>
      <c r="B39" s="551"/>
      <c r="C39" s="565"/>
      <c r="D39" s="551"/>
      <c r="E39" s="553"/>
      <c r="F39" s="553"/>
      <c r="G39" s="553"/>
      <c r="H39" s="554"/>
      <c r="I39" s="555"/>
      <c r="J39" s="557"/>
      <c r="K39" s="556"/>
      <c r="L39" s="556"/>
      <c r="M39" s="555"/>
      <c r="N39" s="566"/>
      <c r="O39" s="553"/>
      <c r="P39" s="553"/>
      <c r="Q39" s="556"/>
      <c r="R39" s="557"/>
    </row>
    <row r="40" spans="1:18" ht="40.5" customHeight="1">
      <c r="A40" s="614"/>
      <c r="B40" s="568"/>
      <c r="C40" s="569"/>
      <c r="D40" s="576"/>
      <c r="E40" s="570"/>
      <c r="F40" s="570"/>
      <c r="G40" s="570"/>
      <c r="H40" s="571"/>
      <c r="I40" s="572"/>
      <c r="J40" s="576"/>
      <c r="K40" s="573"/>
      <c r="L40" s="573"/>
      <c r="M40" s="574"/>
      <c r="N40" s="573"/>
      <c r="O40" s="570"/>
      <c r="P40" s="570"/>
      <c r="Q40" s="573"/>
      <c r="R40" s="576"/>
    </row>
    <row r="41" spans="1:18" ht="40.5" customHeight="1">
      <c r="A41" s="614"/>
      <c r="B41" s="551"/>
      <c r="C41" s="552"/>
      <c r="D41" s="557"/>
      <c r="E41" s="553"/>
      <c r="F41" s="553"/>
      <c r="G41" s="553"/>
      <c r="H41" s="554"/>
      <c r="I41" s="555"/>
      <c r="J41" s="557"/>
      <c r="K41" s="556"/>
      <c r="L41" s="556"/>
      <c r="M41" s="555"/>
      <c r="N41" s="556"/>
      <c r="O41" s="553"/>
      <c r="P41" s="553"/>
      <c r="Q41" s="556"/>
      <c r="R41" s="557"/>
    </row>
    <row r="42" spans="1:18" ht="40.5" customHeight="1">
      <c r="A42" s="585"/>
      <c r="B42" s="551"/>
      <c r="C42" s="552"/>
      <c r="D42" s="557"/>
      <c r="E42" s="553"/>
      <c r="F42" s="553"/>
      <c r="G42" s="553"/>
      <c r="H42" s="554"/>
      <c r="I42" s="555"/>
      <c r="J42" s="557"/>
      <c r="K42" s="556"/>
      <c r="L42" s="556"/>
      <c r="M42" s="555"/>
      <c r="N42" s="556"/>
      <c r="O42" s="553"/>
      <c r="P42" s="553"/>
      <c r="Q42" s="556"/>
      <c r="R42" s="557"/>
    </row>
    <row r="43" spans="1:18" ht="40.5" customHeight="1">
      <c r="A43" s="585"/>
      <c r="B43" s="586"/>
      <c r="C43" s="587"/>
      <c r="D43" s="588"/>
      <c r="E43" s="589"/>
      <c r="F43" s="589"/>
      <c r="G43" s="589"/>
      <c r="H43" s="590"/>
      <c r="I43" s="591"/>
      <c r="J43" s="588"/>
      <c r="K43" s="592"/>
      <c r="L43" s="592"/>
      <c r="M43" s="591"/>
      <c r="N43" s="592"/>
      <c r="O43" s="589"/>
      <c r="P43" s="589"/>
      <c r="Q43" s="592"/>
      <c r="R43" s="588"/>
    </row>
    <row r="44" spans="1:18" ht="40.5" customHeight="1">
      <c r="A44" s="585"/>
      <c r="B44" s="593"/>
      <c r="C44" s="594"/>
      <c r="D44" s="593"/>
      <c r="E44" s="595"/>
      <c r="F44" s="595"/>
      <c r="G44" s="595"/>
      <c r="H44" s="596"/>
      <c r="I44" s="597"/>
      <c r="J44" s="598"/>
      <c r="K44" s="593"/>
      <c r="L44" s="593"/>
      <c r="M44" s="597"/>
      <c r="N44" s="593"/>
      <c r="O44" s="595"/>
      <c r="P44" s="595"/>
      <c r="Q44" s="593"/>
      <c r="R44" s="598"/>
    </row>
    <row r="45" spans="1:18" ht="40.5" customHeight="1">
      <c r="A45" s="585"/>
      <c r="B45" s="586"/>
      <c r="C45" s="587"/>
      <c r="D45" s="588"/>
      <c r="E45" s="589"/>
      <c r="F45" s="589"/>
      <c r="G45" s="589"/>
      <c r="H45" s="590"/>
      <c r="I45" s="591"/>
      <c r="J45" s="588"/>
      <c r="K45" s="592"/>
      <c r="L45" s="592"/>
      <c r="M45" s="591"/>
      <c r="N45" s="592"/>
      <c r="O45" s="589"/>
      <c r="P45" s="589"/>
      <c r="Q45" s="592"/>
      <c r="R45" s="588"/>
    </row>
    <row r="46" spans="1:18" ht="24" customHeight="1">
      <c r="A46" s="585"/>
      <c r="B46" s="593"/>
      <c r="C46" s="599"/>
      <c r="D46" s="593"/>
      <c r="E46" s="595"/>
      <c r="F46" s="595"/>
      <c r="G46" s="595"/>
      <c r="H46" s="596"/>
      <c r="I46" s="597"/>
      <c r="J46" s="598"/>
      <c r="K46" s="593"/>
      <c r="L46" s="593"/>
      <c r="M46" s="597"/>
      <c r="N46" s="593"/>
      <c r="O46" s="595"/>
      <c r="P46" s="595"/>
      <c r="Q46" s="593"/>
      <c r="R46" s="598"/>
    </row>
    <row r="47" spans="1:18" ht="24" customHeight="1">
      <c r="A47" s="585"/>
      <c r="B47" s="586"/>
      <c r="C47" s="587"/>
      <c r="D47" s="588"/>
      <c r="E47" s="589"/>
      <c r="F47" s="589"/>
      <c r="G47" s="589"/>
      <c r="H47" s="590"/>
      <c r="I47" s="591"/>
      <c r="J47" s="588"/>
      <c r="K47" s="592"/>
      <c r="L47" s="592"/>
      <c r="M47" s="591"/>
      <c r="N47" s="592"/>
      <c r="O47" s="589"/>
      <c r="P47" s="589"/>
      <c r="Q47" s="592"/>
      <c r="R47" s="588"/>
    </row>
    <row r="48" spans="1:18" ht="24" customHeight="1">
      <c r="A48" s="585"/>
      <c r="B48" s="586"/>
      <c r="C48" s="587"/>
      <c r="D48" s="588"/>
      <c r="E48" s="589"/>
      <c r="F48" s="589"/>
      <c r="G48" s="589"/>
      <c r="H48" s="590"/>
      <c r="I48" s="591"/>
      <c r="J48" s="588"/>
      <c r="K48" s="592"/>
      <c r="L48" s="592"/>
      <c r="M48" s="591"/>
      <c r="N48" s="592"/>
      <c r="O48" s="589"/>
      <c r="P48" s="589"/>
      <c r="Q48" s="592"/>
      <c r="R48" s="588"/>
    </row>
    <row r="49" spans="1:18" ht="24" customHeight="1">
      <c r="A49" s="585"/>
      <c r="B49" s="586"/>
      <c r="C49" s="587"/>
      <c r="D49" s="588"/>
      <c r="E49" s="589"/>
      <c r="F49" s="589"/>
      <c r="G49" s="589"/>
      <c r="H49" s="590"/>
      <c r="I49" s="591"/>
      <c r="J49" s="588"/>
      <c r="K49" s="592"/>
      <c r="L49" s="592"/>
      <c r="M49" s="591"/>
      <c r="N49" s="592"/>
      <c r="O49" s="589"/>
      <c r="P49" s="589"/>
      <c r="Q49" s="592"/>
      <c r="R49" s="588"/>
    </row>
    <row r="50" spans="1:18" ht="24.6">
      <c r="A50" s="585"/>
      <c r="B50" s="586"/>
      <c r="C50" s="587"/>
      <c r="D50" s="588"/>
      <c r="E50" s="589"/>
      <c r="F50" s="589"/>
      <c r="G50" s="589"/>
      <c r="H50" s="590"/>
      <c r="I50" s="591"/>
      <c r="J50" s="588"/>
      <c r="K50" s="592"/>
      <c r="L50" s="592"/>
      <c r="M50" s="591"/>
      <c r="N50" s="592"/>
      <c r="O50" s="589"/>
      <c r="P50" s="589"/>
      <c r="Q50" s="592"/>
      <c r="R50" s="588"/>
    </row>
    <row r="51" spans="1:18" ht="24.6">
      <c r="A51" s="585"/>
      <c r="B51" s="586"/>
      <c r="C51" s="587"/>
      <c r="D51" s="588"/>
      <c r="E51" s="589"/>
      <c r="F51" s="589"/>
      <c r="G51" s="589"/>
      <c r="H51" s="590"/>
      <c r="I51" s="591"/>
      <c r="J51" s="588"/>
      <c r="K51" s="592"/>
      <c r="L51" s="592"/>
      <c r="M51" s="591"/>
      <c r="N51" s="592"/>
      <c r="O51" s="589"/>
      <c r="P51" s="589"/>
      <c r="Q51" s="592"/>
      <c r="R51" s="588"/>
    </row>
    <row r="52" spans="1:18" ht="24.6">
      <c r="A52" s="585"/>
      <c r="B52" s="586"/>
      <c r="C52" s="587"/>
      <c r="D52" s="588"/>
      <c r="E52" s="589"/>
      <c r="F52" s="589"/>
      <c r="G52" s="589"/>
      <c r="H52" s="590"/>
      <c r="I52" s="591"/>
      <c r="J52" s="588"/>
      <c r="K52" s="592"/>
      <c r="L52" s="592"/>
      <c r="M52" s="591"/>
      <c r="N52" s="592"/>
      <c r="O52" s="589"/>
      <c r="P52" s="589"/>
      <c r="Q52" s="592"/>
      <c r="R52" s="588"/>
    </row>
    <row r="53" spans="1:18" ht="24.6">
      <c r="A53" s="585"/>
      <c r="B53" s="586"/>
      <c r="C53" s="587"/>
      <c r="D53" s="588"/>
      <c r="E53" s="589"/>
      <c r="F53" s="589"/>
      <c r="G53" s="589"/>
      <c r="H53" s="590"/>
      <c r="I53" s="591"/>
      <c r="J53" s="588"/>
      <c r="K53" s="592"/>
      <c r="L53" s="592"/>
      <c r="M53" s="591"/>
      <c r="N53" s="592"/>
      <c r="O53" s="589"/>
      <c r="P53" s="589"/>
      <c r="Q53" s="592"/>
      <c r="R53" s="588"/>
    </row>
    <row r="54" spans="1:18" ht="24.6">
      <c r="A54" s="585"/>
      <c r="B54" s="586"/>
      <c r="C54" s="587"/>
      <c r="D54" s="588"/>
      <c r="E54" s="589"/>
      <c r="F54" s="589"/>
      <c r="G54" s="589"/>
      <c r="H54" s="590"/>
      <c r="I54" s="591"/>
      <c r="J54" s="588"/>
      <c r="K54" s="592"/>
      <c r="L54" s="592"/>
      <c r="M54" s="591"/>
      <c r="N54" s="592"/>
      <c r="O54" s="589"/>
      <c r="P54" s="589"/>
      <c r="Q54" s="592"/>
      <c r="R54" s="588"/>
    </row>
    <row r="55" spans="1:18" ht="24.6">
      <c r="A55" s="585"/>
      <c r="B55" s="586"/>
      <c r="C55" s="587"/>
      <c r="D55" s="588"/>
      <c r="E55" s="589"/>
      <c r="F55" s="589"/>
      <c r="G55" s="589"/>
      <c r="H55" s="590"/>
      <c r="I55" s="591"/>
      <c r="J55" s="588"/>
      <c r="K55" s="592"/>
      <c r="L55" s="592"/>
      <c r="M55" s="591"/>
      <c r="N55" s="592"/>
      <c r="O55" s="589"/>
      <c r="P55" s="589"/>
      <c r="Q55" s="592"/>
      <c r="R55" s="588"/>
    </row>
    <row r="56" spans="1:18" ht="24.6">
      <c r="A56" s="585"/>
      <c r="B56" s="586"/>
      <c r="C56" s="587"/>
      <c r="D56" s="588"/>
      <c r="E56" s="589"/>
      <c r="F56" s="589"/>
      <c r="G56" s="589"/>
      <c r="H56" s="590"/>
      <c r="I56" s="591"/>
      <c r="J56" s="588"/>
      <c r="K56" s="592"/>
      <c r="L56" s="592"/>
      <c r="M56" s="591"/>
      <c r="N56" s="592"/>
      <c r="O56" s="589"/>
      <c r="P56" s="589"/>
      <c r="Q56" s="592"/>
      <c r="R56" s="588"/>
    </row>
    <row r="57" spans="1:18" ht="24.6">
      <c r="A57" s="585"/>
      <c r="B57" s="586"/>
      <c r="C57" s="587"/>
      <c r="D57" s="588"/>
      <c r="E57" s="589"/>
      <c r="F57" s="589"/>
      <c r="G57" s="589"/>
      <c r="H57" s="590"/>
      <c r="I57" s="591"/>
      <c r="J57" s="588"/>
      <c r="K57" s="592"/>
      <c r="L57" s="592"/>
      <c r="M57" s="591"/>
      <c r="N57" s="592"/>
      <c r="O57" s="589"/>
      <c r="P57" s="589"/>
      <c r="Q57" s="592"/>
      <c r="R57" s="588"/>
    </row>
    <row r="58" spans="1:18" ht="24.6">
      <c r="A58" s="585"/>
      <c r="B58" s="586"/>
      <c r="C58" s="587"/>
      <c r="D58" s="588"/>
      <c r="E58" s="589"/>
      <c r="F58" s="589"/>
      <c r="G58" s="589"/>
      <c r="H58" s="590"/>
      <c r="I58" s="591"/>
      <c r="J58" s="588"/>
      <c r="K58" s="592"/>
      <c r="L58" s="592"/>
      <c r="M58" s="591"/>
      <c r="N58" s="592"/>
      <c r="O58" s="589"/>
      <c r="P58" s="589"/>
      <c r="Q58" s="592"/>
      <c r="R58" s="588"/>
    </row>
    <row r="59" spans="1:18" ht="24.6">
      <c r="A59" s="585"/>
      <c r="B59" s="586"/>
      <c r="C59" s="587"/>
      <c r="D59" s="588"/>
      <c r="E59" s="589"/>
      <c r="F59" s="589"/>
      <c r="G59" s="589"/>
      <c r="H59" s="590"/>
      <c r="I59" s="591"/>
      <c r="J59" s="588"/>
      <c r="K59" s="592"/>
      <c r="L59" s="592"/>
      <c r="M59" s="591"/>
      <c r="N59" s="592"/>
      <c r="O59" s="589"/>
      <c r="P59" s="589"/>
      <c r="Q59" s="592"/>
      <c r="R59" s="588"/>
    </row>
    <row r="60" spans="1:18" ht="24.6">
      <c r="A60" s="585"/>
      <c r="B60" s="593"/>
      <c r="C60" s="599"/>
      <c r="D60" s="598"/>
      <c r="E60" s="595"/>
      <c r="F60" s="595"/>
      <c r="G60" s="595"/>
      <c r="H60" s="596"/>
      <c r="I60" s="597"/>
      <c r="J60" s="598"/>
      <c r="K60" s="593"/>
      <c r="L60" s="593"/>
      <c r="M60" s="597"/>
      <c r="N60" s="593"/>
      <c r="O60" s="595"/>
      <c r="P60" s="595"/>
      <c r="Q60" s="593"/>
      <c r="R60" s="600"/>
    </row>
    <row r="61" spans="1:18" ht="24.6">
      <c r="A61" s="585"/>
      <c r="B61" s="586"/>
      <c r="C61" s="587"/>
      <c r="D61" s="588"/>
      <c r="E61" s="589"/>
      <c r="F61" s="589"/>
      <c r="G61" s="589"/>
      <c r="H61" s="590"/>
      <c r="I61" s="591"/>
      <c r="J61" s="588"/>
      <c r="K61" s="592"/>
      <c r="L61" s="592"/>
      <c r="M61" s="591"/>
      <c r="N61" s="592"/>
      <c r="O61" s="589"/>
      <c r="P61" s="589"/>
      <c r="Q61" s="592"/>
      <c r="R61" s="588"/>
    </row>
    <row r="62" spans="1:18" ht="24.6">
      <c r="A62" s="585"/>
      <c r="B62" s="586"/>
      <c r="C62" s="587"/>
      <c r="D62" s="588"/>
      <c r="E62" s="589"/>
      <c r="F62" s="589"/>
      <c r="G62" s="589"/>
      <c r="H62" s="590"/>
      <c r="I62" s="591"/>
      <c r="J62" s="588"/>
      <c r="K62" s="592"/>
      <c r="L62" s="592"/>
      <c r="M62" s="591"/>
      <c r="N62" s="592"/>
      <c r="O62" s="589"/>
      <c r="P62" s="589"/>
      <c r="Q62" s="592"/>
      <c r="R62" s="588"/>
    </row>
    <row r="63" spans="1:18" ht="24.6">
      <c r="A63" s="585"/>
      <c r="B63" s="586"/>
      <c r="C63" s="587"/>
      <c r="D63" s="588"/>
      <c r="E63" s="589"/>
      <c r="F63" s="589"/>
      <c r="G63" s="589"/>
      <c r="H63" s="590"/>
      <c r="I63" s="591"/>
      <c r="J63" s="588"/>
      <c r="K63" s="592"/>
      <c r="L63" s="592"/>
      <c r="M63" s="591"/>
      <c r="N63" s="592"/>
      <c r="O63" s="589"/>
      <c r="P63" s="589"/>
      <c r="Q63" s="592"/>
      <c r="R63" s="588"/>
    </row>
    <row r="64" spans="1:18" ht="24.6">
      <c r="A64" s="585"/>
      <c r="B64" s="586"/>
      <c r="C64" s="587"/>
      <c r="D64" s="588"/>
      <c r="E64" s="589"/>
      <c r="F64" s="589"/>
      <c r="G64" s="589"/>
      <c r="H64" s="590"/>
      <c r="I64" s="591"/>
      <c r="J64" s="588"/>
      <c r="K64" s="592"/>
      <c r="L64" s="592"/>
      <c r="M64" s="591"/>
      <c r="N64" s="592"/>
      <c r="O64" s="589"/>
      <c r="P64" s="589"/>
      <c r="Q64" s="592"/>
      <c r="R64" s="588"/>
    </row>
    <row r="65" spans="1:18" ht="24.6">
      <c r="A65" s="585"/>
      <c r="B65" s="586"/>
      <c r="C65" s="587"/>
      <c r="D65" s="588"/>
      <c r="E65" s="589"/>
      <c r="F65" s="589"/>
      <c r="G65" s="589"/>
      <c r="H65" s="590"/>
      <c r="I65" s="591"/>
      <c r="J65" s="588"/>
      <c r="K65" s="592"/>
      <c r="L65" s="592"/>
      <c r="M65" s="591"/>
      <c r="N65" s="592"/>
      <c r="O65" s="589"/>
      <c r="P65" s="589"/>
      <c r="Q65" s="592"/>
      <c r="R65" s="588"/>
    </row>
    <row r="66" spans="1:18" ht="24.6">
      <c r="A66" s="585"/>
      <c r="B66" s="593"/>
      <c r="C66" s="599"/>
      <c r="D66" s="593"/>
      <c r="E66" s="595"/>
      <c r="F66" s="595"/>
      <c r="G66" s="595"/>
      <c r="H66" s="596"/>
      <c r="I66" s="597"/>
      <c r="J66" s="598"/>
      <c r="K66" s="593"/>
      <c r="L66" s="593"/>
      <c r="M66" s="597"/>
      <c r="N66" s="593"/>
      <c r="O66" s="595"/>
      <c r="P66" s="595"/>
      <c r="Q66" s="593"/>
      <c r="R66" s="598"/>
    </row>
    <row r="67" spans="1:18" ht="24.6">
      <c r="A67" s="585"/>
      <c r="B67" s="601"/>
      <c r="C67" s="602"/>
      <c r="D67" s="603"/>
      <c r="E67" s="604"/>
      <c r="F67" s="604"/>
      <c r="G67" s="604"/>
      <c r="H67" s="605"/>
      <c r="I67" s="606"/>
      <c r="J67" s="603"/>
      <c r="K67" s="607"/>
      <c r="L67" s="607"/>
      <c r="M67" s="608"/>
      <c r="N67" s="607"/>
      <c r="O67" s="604"/>
      <c r="P67" s="604"/>
      <c r="Q67" s="607"/>
      <c r="R67" s="603"/>
    </row>
    <row r="68" spans="1:18">
      <c r="A68" s="609"/>
      <c r="B68" s="609"/>
      <c r="C68" s="610"/>
      <c r="D68" s="610"/>
      <c r="E68" s="611"/>
      <c r="F68" s="611"/>
      <c r="G68" s="611"/>
      <c r="H68" s="612"/>
      <c r="I68" s="611"/>
      <c r="J68" s="610"/>
      <c r="K68" s="609"/>
      <c r="L68" s="613"/>
      <c r="M68" s="611"/>
      <c r="N68" s="609"/>
      <c r="O68" s="611"/>
      <c r="P68" s="611"/>
      <c r="Q68" s="609"/>
      <c r="R68" s="610"/>
    </row>
    <row r="69" spans="1:18">
      <c r="A69" s="609"/>
      <c r="B69" s="609"/>
      <c r="C69" s="610"/>
      <c r="D69" s="610"/>
      <c r="E69" s="611"/>
      <c r="F69" s="611"/>
      <c r="G69" s="611"/>
      <c r="H69" s="612"/>
      <c r="I69" s="611"/>
      <c r="J69" s="610"/>
      <c r="K69" s="609"/>
      <c r="L69" s="613"/>
      <c r="M69" s="611"/>
      <c r="N69" s="609"/>
      <c r="O69" s="611"/>
      <c r="P69" s="611"/>
      <c r="Q69" s="609"/>
      <c r="R69" s="610"/>
    </row>
    <row r="70" spans="1:18">
      <c r="A70" s="609"/>
      <c r="B70" s="609"/>
      <c r="C70" s="610"/>
      <c r="D70" s="610"/>
      <c r="E70" s="611"/>
      <c r="F70" s="611"/>
      <c r="G70" s="611"/>
      <c r="H70" s="612"/>
      <c r="I70" s="611"/>
      <c r="J70" s="610"/>
      <c r="K70" s="609"/>
      <c r="L70" s="613"/>
      <c r="M70" s="611"/>
      <c r="N70" s="609"/>
      <c r="O70" s="611"/>
      <c r="P70" s="611"/>
      <c r="Q70" s="609"/>
      <c r="R70" s="610"/>
    </row>
    <row r="71" spans="1:18">
      <c r="A71" s="609"/>
      <c r="B71" s="609"/>
      <c r="C71" s="610"/>
      <c r="D71" s="610"/>
      <c r="E71" s="611"/>
      <c r="F71" s="611"/>
      <c r="G71" s="611"/>
      <c r="H71" s="612"/>
      <c r="I71" s="611"/>
      <c r="J71" s="610"/>
      <c r="K71" s="609"/>
      <c r="L71" s="613"/>
      <c r="M71" s="611"/>
      <c r="N71" s="609"/>
      <c r="O71" s="611"/>
      <c r="P71" s="611"/>
      <c r="Q71" s="609"/>
      <c r="R71" s="610"/>
    </row>
    <row r="72" spans="1:18">
      <c r="A72" s="609"/>
      <c r="B72" s="609"/>
      <c r="C72" s="610"/>
      <c r="D72" s="610"/>
      <c r="E72" s="611"/>
      <c r="F72" s="611"/>
      <c r="G72" s="611"/>
      <c r="H72" s="612"/>
      <c r="I72" s="611"/>
      <c r="J72" s="610"/>
      <c r="K72" s="609"/>
      <c r="L72" s="613"/>
      <c r="M72" s="611"/>
      <c r="N72" s="609"/>
      <c r="O72" s="611"/>
      <c r="P72" s="611"/>
      <c r="Q72" s="609"/>
      <c r="R72" s="610"/>
    </row>
    <row r="73" spans="1:18">
      <c r="A73" s="609"/>
      <c r="B73" s="609"/>
      <c r="C73" s="610"/>
      <c r="D73" s="610"/>
      <c r="E73" s="611"/>
      <c r="F73" s="611"/>
      <c r="G73" s="611"/>
      <c r="H73" s="612"/>
      <c r="I73" s="611"/>
      <c r="J73" s="610"/>
      <c r="K73" s="609"/>
      <c r="L73" s="613"/>
      <c r="M73" s="611"/>
      <c r="N73" s="609"/>
      <c r="O73" s="611"/>
      <c r="P73" s="611"/>
      <c r="Q73" s="609"/>
      <c r="R73" s="610"/>
    </row>
    <row r="74" spans="1:18">
      <c r="A74" s="609"/>
      <c r="B74" s="609"/>
      <c r="C74" s="610"/>
      <c r="D74" s="610"/>
      <c r="E74" s="611"/>
      <c r="F74" s="611"/>
      <c r="G74" s="611"/>
      <c r="H74" s="612"/>
      <c r="I74" s="611"/>
      <c r="J74" s="610"/>
      <c r="K74" s="609"/>
      <c r="L74" s="613"/>
      <c r="M74" s="611"/>
      <c r="N74" s="609"/>
      <c r="O74" s="611"/>
      <c r="P74" s="611"/>
      <c r="Q74" s="609"/>
      <c r="R74" s="610"/>
    </row>
    <row r="75" spans="1:18">
      <c r="A75" s="609"/>
      <c r="B75" s="609"/>
      <c r="C75" s="610"/>
      <c r="D75" s="610"/>
      <c r="E75" s="611"/>
      <c r="F75" s="611"/>
      <c r="G75" s="611"/>
      <c r="H75" s="612"/>
      <c r="I75" s="611"/>
      <c r="J75" s="610"/>
      <c r="K75" s="609"/>
      <c r="L75" s="613"/>
      <c r="M75" s="611"/>
      <c r="N75" s="609"/>
      <c r="O75" s="611"/>
      <c r="P75" s="611"/>
      <c r="Q75" s="609"/>
      <c r="R75" s="610"/>
    </row>
    <row r="76" spans="1:18">
      <c r="A76" s="609"/>
      <c r="B76" s="609"/>
      <c r="C76" s="610"/>
      <c r="D76" s="610"/>
      <c r="E76" s="611"/>
      <c r="F76" s="611"/>
      <c r="G76" s="611"/>
      <c r="H76" s="612"/>
      <c r="I76" s="611"/>
      <c r="J76" s="610"/>
      <c r="K76" s="609"/>
      <c r="L76" s="613"/>
      <c r="M76" s="611"/>
      <c r="N76" s="609"/>
      <c r="O76" s="611"/>
      <c r="P76" s="611"/>
      <c r="Q76" s="609"/>
      <c r="R76" s="610"/>
    </row>
    <row r="77" spans="1:18">
      <c r="A77" s="609"/>
      <c r="B77" s="609"/>
      <c r="C77" s="610"/>
      <c r="D77" s="610"/>
      <c r="E77" s="611"/>
      <c r="F77" s="611"/>
      <c r="G77" s="611"/>
      <c r="H77" s="612"/>
      <c r="I77" s="611"/>
      <c r="J77" s="610"/>
      <c r="K77" s="609"/>
      <c r="L77" s="613"/>
      <c r="M77" s="611"/>
      <c r="N77" s="609"/>
      <c r="O77" s="611"/>
      <c r="P77" s="611"/>
      <c r="Q77" s="609"/>
      <c r="R77" s="610"/>
    </row>
    <row r="78" spans="1:18">
      <c r="A78" s="609"/>
      <c r="B78" s="609"/>
      <c r="C78" s="610"/>
      <c r="D78" s="610"/>
      <c r="E78" s="611"/>
      <c r="F78" s="611"/>
      <c r="G78" s="611"/>
      <c r="H78" s="612"/>
      <c r="I78" s="611"/>
      <c r="J78" s="610"/>
      <c r="K78" s="609"/>
      <c r="L78" s="613"/>
      <c r="M78" s="611"/>
      <c r="N78" s="609"/>
      <c r="O78" s="611"/>
      <c r="P78" s="611"/>
      <c r="Q78" s="609"/>
      <c r="R78" s="610"/>
    </row>
    <row r="79" spans="1:18">
      <c r="A79" s="609"/>
      <c r="B79" s="609"/>
      <c r="C79" s="610"/>
      <c r="D79" s="610"/>
      <c r="E79" s="611"/>
      <c r="F79" s="611"/>
      <c r="G79" s="611"/>
      <c r="H79" s="612"/>
      <c r="I79" s="611"/>
      <c r="J79" s="610"/>
      <c r="K79" s="609"/>
      <c r="L79" s="613"/>
      <c r="M79" s="611"/>
      <c r="N79" s="609"/>
      <c r="O79" s="611"/>
      <c r="P79" s="611"/>
      <c r="Q79" s="609"/>
      <c r="R79" s="610"/>
    </row>
    <row r="80" spans="1:18">
      <c r="A80" s="609"/>
      <c r="B80" s="609"/>
      <c r="C80" s="610"/>
      <c r="D80" s="610"/>
      <c r="E80" s="611"/>
      <c r="F80" s="611"/>
      <c r="G80" s="611"/>
      <c r="H80" s="612"/>
      <c r="I80" s="611"/>
      <c r="J80" s="610"/>
      <c r="K80" s="609"/>
      <c r="L80" s="613"/>
      <c r="M80" s="611"/>
      <c r="N80" s="609"/>
      <c r="O80" s="611"/>
      <c r="P80" s="611"/>
      <c r="Q80" s="609"/>
      <c r="R80" s="610"/>
    </row>
    <row r="81" spans="1:18">
      <c r="A81" s="609"/>
      <c r="B81" s="609"/>
      <c r="C81" s="610"/>
      <c r="D81" s="610"/>
      <c r="E81" s="611"/>
      <c r="F81" s="611"/>
      <c r="G81" s="611"/>
      <c r="H81" s="612"/>
      <c r="I81" s="611"/>
      <c r="J81" s="610"/>
      <c r="K81" s="609"/>
      <c r="L81" s="613"/>
      <c r="M81" s="611"/>
      <c r="N81" s="609"/>
      <c r="O81" s="611"/>
      <c r="P81" s="611"/>
      <c r="Q81" s="609"/>
      <c r="R81" s="610"/>
    </row>
    <row r="82" spans="1:18">
      <c r="A82" s="609"/>
      <c r="B82" s="609"/>
      <c r="C82" s="610"/>
      <c r="D82" s="610"/>
      <c r="E82" s="611"/>
      <c r="F82" s="611"/>
      <c r="G82" s="611"/>
      <c r="H82" s="612"/>
      <c r="I82" s="611"/>
      <c r="J82" s="610"/>
      <c r="K82" s="609"/>
      <c r="L82" s="613"/>
      <c r="M82" s="611"/>
      <c r="N82" s="609"/>
      <c r="O82" s="611"/>
      <c r="P82" s="611"/>
      <c r="Q82" s="609"/>
      <c r="R82" s="610"/>
    </row>
    <row r="83" spans="1:18">
      <c r="A83" s="609"/>
      <c r="B83" s="609"/>
      <c r="C83" s="610"/>
      <c r="D83" s="610"/>
      <c r="E83" s="611"/>
      <c r="F83" s="611"/>
      <c r="G83" s="611"/>
      <c r="H83" s="612"/>
      <c r="I83" s="611"/>
      <c r="J83" s="610"/>
      <c r="K83" s="609"/>
      <c r="L83" s="613"/>
      <c r="M83" s="611"/>
      <c r="N83" s="609"/>
      <c r="O83" s="611"/>
      <c r="P83" s="611"/>
      <c r="Q83" s="609"/>
      <c r="R83" s="610"/>
    </row>
    <row r="84" spans="1:18">
      <c r="A84" s="609"/>
      <c r="B84" s="609"/>
      <c r="C84" s="610"/>
      <c r="D84" s="610"/>
      <c r="E84" s="611"/>
      <c r="F84" s="611"/>
      <c r="G84" s="611"/>
      <c r="H84" s="612"/>
      <c r="I84" s="611"/>
      <c r="J84" s="610"/>
      <c r="K84" s="609"/>
      <c r="L84" s="613"/>
      <c r="M84" s="611"/>
      <c r="N84" s="609"/>
      <c r="O84" s="611"/>
      <c r="P84" s="611"/>
      <c r="Q84" s="609"/>
      <c r="R84" s="610"/>
    </row>
    <row r="85" spans="1:18">
      <c r="A85" s="609"/>
      <c r="B85" s="609"/>
      <c r="C85" s="610"/>
      <c r="D85" s="610"/>
      <c r="E85" s="611"/>
      <c r="F85" s="611"/>
      <c r="G85" s="611"/>
      <c r="H85" s="612"/>
      <c r="I85" s="611"/>
      <c r="J85" s="610"/>
      <c r="K85" s="609"/>
      <c r="L85" s="613"/>
      <c r="M85" s="611"/>
      <c r="N85" s="609"/>
      <c r="O85" s="611"/>
      <c r="P85" s="611"/>
      <c r="Q85" s="609"/>
      <c r="R85" s="610"/>
    </row>
    <row r="86" spans="1:18">
      <c r="A86" s="609"/>
      <c r="B86" s="609"/>
      <c r="C86" s="610"/>
      <c r="D86" s="610"/>
      <c r="E86" s="611"/>
      <c r="F86" s="611"/>
      <c r="G86" s="611"/>
      <c r="H86" s="612"/>
      <c r="I86" s="611"/>
      <c r="J86" s="610"/>
      <c r="K86" s="609"/>
      <c r="L86" s="613"/>
      <c r="M86" s="611"/>
      <c r="N86" s="609"/>
      <c r="O86" s="611"/>
      <c r="P86" s="611"/>
      <c r="Q86" s="609"/>
      <c r="R86" s="610"/>
    </row>
    <row r="87" spans="1:18">
      <c r="A87" s="609"/>
      <c r="B87" s="609"/>
      <c r="C87" s="610"/>
      <c r="D87" s="610"/>
      <c r="E87" s="611"/>
      <c r="F87" s="611"/>
      <c r="G87" s="611"/>
      <c r="H87" s="612"/>
      <c r="I87" s="611"/>
      <c r="J87" s="610"/>
      <c r="K87" s="609"/>
      <c r="L87" s="613"/>
      <c r="M87" s="611"/>
      <c r="N87" s="609"/>
      <c r="O87" s="611"/>
      <c r="P87" s="611"/>
      <c r="Q87" s="609"/>
      <c r="R87" s="610"/>
    </row>
    <row r="88" spans="1:18">
      <c r="A88" s="609"/>
      <c r="B88" s="609"/>
      <c r="C88" s="610"/>
      <c r="D88" s="610"/>
      <c r="E88" s="611"/>
      <c r="F88" s="611"/>
      <c r="G88" s="611"/>
      <c r="H88" s="612"/>
      <c r="I88" s="611"/>
      <c r="J88" s="610"/>
      <c r="K88" s="609"/>
      <c r="L88" s="613"/>
      <c r="M88" s="611"/>
      <c r="N88" s="609"/>
      <c r="O88" s="611"/>
      <c r="P88" s="611"/>
      <c r="Q88" s="609"/>
      <c r="R88" s="610"/>
    </row>
    <row r="89" spans="1:18">
      <c r="A89" s="609"/>
      <c r="B89" s="609"/>
      <c r="C89" s="610"/>
      <c r="D89" s="610"/>
      <c r="E89" s="611"/>
      <c r="F89" s="611"/>
      <c r="G89" s="611"/>
      <c r="H89" s="612"/>
      <c r="I89" s="611"/>
      <c r="J89" s="610"/>
      <c r="K89" s="609"/>
      <c r="L89" s="613"/>
      <c r="M89" s="611"/>
      <c r="N89" s="609"/>
      <c r="O89" s="611"/>
      <c r="P89" s="611"/>
      <c r="Q89" s="609"/>
      <c r="R89" s="610"/>
    </row>
    <row r="90" spans="1:18">
      <c r="A90" s="609"/>
      <c r="B90" s="609"/>
      <c r="C90" s="610"/>
      <c r="D90" s="610"/>
      <c r="E90" s="611"/>
      <c r="F90" s="611"/>
      <c r="G90" s="611"/>
      <c r="H90" s="612"/>
      <c r="I90" s="611"/>
      <c r="J90" s="610"/>
      <c r="K90" s="609"/>
      <c r="L90" s="613"/>
      <c r="M90" s="611"/>
      <c r="N90" s="609"/>
      <c r="O90" s="611"/>
      <c r="P90" s="611"/>
      <c r="Q90" s="609"/>
      <c r="R90" s="610"/>
    </row>
    <row r="91" spans="1:18">
      <c r="A91" s="609"/>
      <c r="B91" s="609"/>
      <c r="C91" s="610"/>
      <c r="D91" s="610"/>
      <c r="E91" s="611"/>
      <c r="F91" s="611"/>
      <c r="G91" s="611"/>
      <c r="H91" s="612"/>
      <c r="I91" s="611"/>
      <c r="J91" s="610"/>
      <c r="K91" s="609"/>
      <c r="L91" s="613"/>
      <c r="M91" s="611"/>
      <c r="N91" s="609"/>
      <c r="O91" s="611"/>
      <c r="P91" s="611"/>
      <c r="Q91" s="609"/>
      <c r="R91" s="610"/>
    </row>
    <row r="92" spans="1:18">
      <c r="A92" s="609"/>
      <c r="B92" s="609"/>
      <c r="C92" s="610"/>
      <c r="D92" s="610"/>
      <c r="E92" s="611"/>
      <c r="F92" s="611"/>
      <c r="G92" s="611"/>
      <c r="H92" s="612"/>
      <c r="I92" s="611"/>
      <c r="J92" s="610"/>
      <c r="K92" s="609"/>
      <c r="L92" s="613"/>
      <c r="M92" s="611"/>
      <c r="N92" s="609"/>
      <c r="O92" s="611"/>
      <c r="P92" s="611"/>
      <c r="Q92" s="609"/>
      <c r="R92" s="610"/>
    </row>
    <row r="93" spans="1:18">
      <c r="A93" s="609"/>
      <c r="B93" s="609"/>
      <c r="C93" s="610"/>
      <c r="D93" s="610"/>
      <c r="E93" s="611"/>
      <c r="F93" s="611"/>
      <c r="G93" s="611"/>
      <c r="H93" s="612"/>
      <c r="I93" s="611"/>
      <c r="J93" s="610"/>
      <c r="K93" s="609"/>
      <c r="L93" s="613"/>
      <c r="M93" s="611"/>
      <c r="N93" s="609"/>
      <c r="O93" s="611"/>
      <c r="P93" s="611"/>
      <c r="Q93" s="609"/>
      <c r="R93" s="610"/>
    </row>
    <row r="94" spans="1:18">
      <c r="A94" s="609"/>
      <c r="B94" s="609"/>
      <c r="C94" s="610"/>
      <c r="D94" s="610"/>
      <c r="E94" s="611"/>
      <c r="F94" s="611"/>
      <c r="G94" s="611"/>
      <c r="H94" s="612"/>
      <c r="I94" s="611"/>
      <c r="J94" s="610"/>
      <c r="K94" s="609"/>
      <c r="L94" s="613"/>
      <c r="M94" s="611"/>
      <c r="N94" s="609"/>
      <c r="O94" s="611"/>
      <c r="P94" s="611"/>
      <c r="Q94" s="609"/>
      <c r="R94" s="610"/>
    </row>
    <row r="95" spans="1:18">
      <c r="A95" s="609"/>
      <c r="B95" s="609"/>
      <c r="C95" s="610"/>
      <c r="D95" s="610"/>
      <c r="E95" s="611"/>
      <c r="F95" s="611"/>
      <c r="G95" s="611"/>
      <c r="H95" s="612"/>
      <c r="I95" s="611"/>
      <c r="J95" s="610"/>
      <c r="K95" s="609"/>
      <c r="L95" s="613"/>
      <c r="M95" s="611"/>
      <c r="N95" s="609"/>
      <c r="O95" s="611"/>
      <c r="P95" s="611"/>
      <c r="Q95" s="609"/>
      <c r="R95" s="610"/>
    </row>
    <row r="96" spans="1:18">
      <c r="A96" s="609"/>
      <c r="B96" s="609"/>
      <c r="C96" s="610"/>
      <c r="D96" s="610"/>
      <c r="E96" s="611"/>
      <c r="F96" s="611"/>
      <c r="G96" s="611"/>
      <c r="H96" s="612"/>
      <c r="I96" s="611"/>
      <c r="J96" s="610"/>
      <c r="K96" s="609"/>
      <c r="L96" s="613"/>
      <c r="M96" s="611"/>
      <c r="N96" s="609"/>
      <c r="O96" s="611"/>
      <c r="P96" s="611"/>
      <c r="Q96" s="609"/>
      <c r="R96" s="610"/>
    </row>
    <row r="97" spans="1:18">
      <c r="A97" s="609"/>
      <c r="B97" s="609"/>
      <c r="C97" s="610"/>
      <c r="D97" s="610"/>
      <c r="E97" s="611"/>
      <c r="F97" s="611"/>
      <c r="G97" s="611"/>
      <c r="H97" s="612"/>
      <c r="I97" s="611"/>
      <c r="J97" s="610"/>
      <c r="K97" s="609"/>
      <c r="L97" s="613"/>
      <c r="M97" s="611"/>
      <c r="N97" s="609"/>
      <c r="O97" s="611"/>
      <c r="P97" s="611"/>
      <c r="Q97" s="609"/>
      <c r="R97" s="610"/>
    </row>
    <row r="98" spans="1:18">
      <c r="A98" s="609"/>
      <c r="B98" s="609"/>
      <c r="C98" s="610"/>
      <c r="D98" s="610"/>
      <c r="E98" s="611"/>
      <c r="F98" s="611"/>
      <c r="G98" s="611"/>
      <c r="H98" s="612"/>
      <c r="I98" s="611"/>
      <c r="J98" s="610"/>
      <c r="K98" s="609"/>
      <c r="L98" s="613"/>
      <c r="M98" s="611"/>
      <c r="N98" s="609"/>
      <c r="O98" s="611"/>
      <c r="P98" s="611"/>
      <c r="Q98" s="609"/>
      <c r="R98" s="610"/>
    </row>
    <row r="99" spans="1:18">
      <c r="A99" s="609"/>
      <c r="B99" s="609"/>
      <c r="C99" s="610"/>
      <c r="D99" s="610"/>
      <c r="E99" s="611"/>
      <c r="F99" s="611"/>
      <c r="G99" s="611"/>
      <c r="H99" s="612"/>
      <c r="I99" s="611"/>
      <c r="J99" s="610"/>
      <c r="K99" s="609"/>
      <c r="L99" s="613"/>
      <c r="M99" s="611"/>
      <c r="N99" s="609"/>
      <c r="O99" s="611"/>
      <c r="P99" s="611"/>
      <c r="Q99" s="609"/>
      <c r="R99" s="610"/>
    </row>
    <row r="100" spans="1:18">
      <c r="A100" s="609"/>
      <c r="B100" s="609"/>
      <c r="C100" s="610"/>
      <c r="D100" s="610"/>
      <c r="E100" s="611"/>
      <c r="F100" s="611"/>
      <c r="G100" s="611"/>
      <c r="H100" s="612"/>
      <c r="I100" s="611"/>
      <c r="J100" s="610"/>
      <c r="K100" s="609"/>
      <c r="L100" s="613"/>
      <c r="M100" s="611"/>
      <c r="N100" s="609"/>
      <c r="O100" s="611"/>
      <c r="P100" s="611"/>
      <c r="Q100" s="609"/>
      <c r="R100" s="610"/>
    </row>
    <row r="101" spans="1:18">
      <c r="A101" s="609"/>
      <c r="B101" s="609"/>
      <c r="C101" s="610"/>
      <c r="D101" s="610"/>
      <c r="E101" s="611"/>
      <c r="F101" s="611"/>
      <c r="G101" s="611"/>
      <c r="H101" s="612"/>
      <c r="I101" s="611"/>
      <c r="J101" s="610"/>
      <c r="K101" s="609"/>
      <c r="L101" s="613"/>
      <c r="M101" s="611"/>
      <c r="N101" s="609"/>
      <c r="O101" s="611"/>
      <c r="P101" s="611"/>
      <c r="Q101" s="609"/>
      <c r="R101" s="610"/>
    </row>
    <row r="102" spans="1:18">
      <c r="A102" s="609"/>
      <c r="B102" s="609"/>
      <c r="C102" s="610"/>
      <c r="D102" s="610"/>
      <c r="E102" s="611"/>
      <c r="F102" s="611"/>
      <c r="G102" s="611"/>
      <c r="H102" s="612"/>
      <c r="I102" s="611"/>
      <c r="J102" s="610"/>
      <c r="K102" s="609"/>
      <c r="L102" s="613"/>
      <c r="M102" s="611"/>
      <c r="N102" s="609"/>
      <c r="O102" s="611"/>
      <c r="P102" s="611"/>
      <c r="Q102" s="609"/>
      <c r="R102" s="610"/>
    </row>
    <row r="103" spans="1:18">
      <c r="A103" s="609"/>
      <c r="B103" s="609"/>
      <c r="C103" s="610"/>
      <c r="D103" s="610"/>
      <c r="E103" s="611"/>
      <c r="F103" s="611"/>
      <c r="G103" s="611"/>
      <c r="H103" s="612"/>
      <c r="I103" s="611"/>
      <c r="J103" s="610"/>
      <c r="K103" s="609"/>
      <c r="L103" s="613"/>
      <c r="M103" s="611"/>
      <c r="N103" s="609"/>
      <c r="O103" s="611"/>
      <c r="P103" s="611"/>
      <c r="Q103" s="609"/>
      <c r="R103" s="610"/>
    </row>
    <row r="104" spans="1:18">
      <c r="A104" s="609"/>
      <c r="B104" s="609"/>
      <c r="C104" s="610"/>
      <c r="D104" s="610"/>
      <c r="E104" s="611"/>
      <c r="F104" s="611"/>
      <c r="G104" s="611"/>
      <c r="H104" s="612"/>
      <c r="I104" s="611"/>
      <c r="J104" s="610"/>
      <c r="K104" s="609"/>
      <c r="L104" s="613"/>
      <c r="M104" s="611"/>
      <c r="N104" s="609"/>
      <c r="O104" s="611"/>
      <c r="P104" s="611"/>
      <c r="Q104" s="609"/>
      <c r="R104" s="610"/>
    </row>
    <row r="105" spans="1:18">
      <c r="A105" s="609"/>
      <c r="B105" s="609"/>
      <c r="C105" s="610"/>
      <c r="D105" s="610"/>
      <c r="E105" s="611"/>
      <c r="F105" s="611"/>
      <c r="G105" s="611"/>
      <c r="H105" s="612"/>
      <c r="I105" s="611"/>
      <c r="J105" s="610"/>
      <c r="K105" s="609"/>
      <c r="L105" s="613"/>
      <c r="M105" s="611"/>
      <c r="N105" s="609"/>
      <c r="O105" s="611"/>
      <c r="P105" s="611"/>
      <c r="Q105" s="609"/>
      <c r="R105" s="610"/>
    </row>
    <row r="106" spans="1:18">
      <c r="A106" s="609"/>
      <c r="B106" s="609"/>
      <c r="C106" s="610"/>
      <c r="D106" s="610"/>
      <c r="E106" s="611"/>
      <c r="F106" s="611"/>
      <c r="G106" s="611"/>
      <c r="H106" s="612"/>
      <c r="I106" s="611"/>
      <c r="J106" s="610"/>
      <c r="K106" s="609"/>
      <c r="L106" s="613"/>
      <c r="M106" s="611"/>
      <c r="N106" s="609"/>
      <c r="O106" s="611"/>
      <c r="P106" s="611"/>
      <c r="Q106" s="609"/>
      <c r="R106" s="610"/>
    </row>
    <row r="107" spans="1:18">
      <c r="A107" s="609"/>
      <c r="B107" s="609"/>
      <c r="C107" s="610"/>
      <c r="D107" s="610"/>
      <c r="E107" s="611"/>
      <c r="F107" s="611"/>
      <c r="G107" s="611"/>
      <c r="H107" s="612"/>
      <c r="I107" s="611"/>
      <c r="J107" s="610"/>
      <c r="K107" s="609"/>
      <c r="L107" s="613"/>
      <c r="M107" s="611"/>
      <c r="N107" s="609"/>
      <c r="O107" s="611"/>
      <c r="P107" s="611"/>
      <c r="Q107" s="609"/>
      <c r="R107" s="610"/>
    </row>
    <row r="108" spans="1:18">
      <c r="A108" s="609"/>
      <c r="B108" s="609"/>
      <c r="C108" s="610"/>
      <c r="D108" s="610"/>
      <c r="E108" s="611"/>
      <c r="F108" s="611"/>
      <c r="G108" s="611"/>
      <c r="H108" s="612"/>
      <c r="I108" s="611"/>
      <c r="J108" s="610"/>
      <c r="K108" s="609"/>
      <c r="L108" s="613"/>
      <c r="M108" s="611"/>
      <c r="N108" s="609"/>
      <c r="O108" s="611"/>
      <c r="P108" s="611"/>
      <c r="Q108" s="609"/>
      <c r="R108" s="610"/>
    </row>
    <row r="109" spans="1:18">
      <c r="A109" s="609"/>
      <c r="B109" s="609"/>
      <c r="C109" s="610"/>
      <c r="D109" s="610"/>
      <c r="E109" s="611"/>
      <c r="F109" s="611"/>
      <c r="G109" s="611"/>
      <c r="H109" s="612"/>
      <c r="I109" s="611"/>
      <c r="J109" s="610"/>
      <c r="K109" s="609"/>
      <c r="L109" s="613"/>
      <c r="M109" s="611"/>
      <c r="N109" s="609"/>
      <c r="O109" s="611"/>
      <c r="P109" s="611"/>
      <c r="Q109" s="609"/>
      <c r="R109" s="610"/>
    </row>
    <row r="110" spans="1:18">
      <c r="A110" s="609"/>
      <c r="B110" s="609"/>
      <c r="C110" s="610"/>
      <c r="D110" s="610"/>
      <c r="E110" s="611"/>
      <c r="F110" s="611"/>
      <c r="G110" s="611"/>
      <c r="H110" s="612"/>
      <c r="I110" s="611"/>
      <c r="J110" s="610"/>
      <c r="K110" s="609"/>
      <c r="L110" s="613"/>
      <c r="M110" s="611"/>
      <c r="N110" s="609"/>
      <c r="O110" s="611"/>
      <c r="P110" s="611"/>
      <c r="Q110" s="609"/>
      <c r="R110" s="610"/>
    </row>
    <row r="111" spans="1:18">
      <c r="A111" s="609"/>
      <c r="B111" s="609"/>
      <c r="C111" s="610"/>
      <c r="D111" s="610"/>
      <c r="E111" s="611"/>
      <c r="F111" s="611"/>
      <c r="G111" s="611"/>
      <c r="H111" s="612"/>
      <c r="I111" s="611"/>
      <c r="J111" s="610"/>
      <c r="K111" s="609"/>
      <c r="L111" s="613"/>
      <c r="M111" s="611"/>
      <c r="N111" s="609"/>
      <c r="O111" s="611"/>
      <c r="P111" s="611"/>
      <c r="Q111" s="609"/>
      <c r="R111" s="610"/>
    </row>
    <row r="112" spans="1:18">
      <c r="A112" s="609"/>
      <c r="B112" s="609"/>
      <c r="C112" s="610"/>
      <c r="D112" s="610"/>
      <c r="E112" s="611"/>
      <c r="F112" s="611"/>
      <c r="G112" s="611"/>
      <c r="H112" s="612"/>
      <c r="I112" s="611"/>
      <c r="J112" s="610"/>
      <c r="K112" s="609"/>
      <c r="L112" s="613"/>
      <c r="M112" s="611"/>
      <c r="N112" s="609"/>
      <c r="O112" s="611"/>
      <c r="P112" s="611"/>
      <c r="Q112" s="609"/>
      <c r="R112" s="610"/>
    </row>
    <row r="113" spans="1:18">
      <c r="A113" s="609"/>
      <c r="B113" s="609"/>
      <c r="C113" s="610"/>
      <c r="D113" s="610"/>
      <c r="E113" s="611"/>
      <c r="F113" s="611"/>
      <c r="G113" s="611"/>
      <c r="H113" s="612"/>
      <c r="I113" s="611"/>
      <c r="J113" s="610"/>
      <c r="K113" s="609"/>
      <c r="L113" s="613"/>
      <c r="M113" s="611"/>
      <c r="N113" s="609"/>
      <c r="O113" s="611"/>
      <c r="P113" s="611"/>
      <c r="Q113" s="609"/>
      <c r="R113" s="610"/>
    </row>
    <row r="114" spans="1:18">
      <c r="A114" s="609"/>
      <c r="B114" s="609"/>
      <c r="C114" s="610"/>
      <c r="D114" s="610"/>
      <c r="E114" s="611"/>
      <c r="F114" s="611"/>
      <c r="G114" s="611"/>
      <c r="H114" s="612"/>
      <c r="I114" s="611"/>
      <c r="J114" s="610"/>
      <c r="K114" s="609"/>
      <c r="L114" s="613"/>
      <c r="M114" s="611"/>
      <c r="N114" s="609"/>
      <c r="O114" s="611"/>
      <c r="P114" s="611"/>
      <c r="Q114" s="609"/>
      <c r="R114" s="610"/>
    </row>
    <row r="115" spans="1:18">
      <c r="A115" s="609"/>
      <c r="B115" s="609"/>
      <c r="C115" s="610"/>
      <c r="D115" s="610"/>
      <c r="E115" s="611"/>
      <c r="F115" s="611"/>
      <c r="G115" s="611"/>
      <c r="H115" s="612"/>
      <c r="I115" s="611"/>
      <c r="J115" s="610"/>
      <c r="K115" s="609"/>
      <c r="L115" s="613"/>
      <c r="M115" s="611"/>
      <c r="N115" s="609"/>
      <c r="O115" s="611"/>
      <c r="P115" s="611"/>
      <c r="Q115" s="609"/>
      <c r="R115" s="610"/>
    </row>
    <row r="116" spans="1:18">
      <c r="A116" s="609"/>
      <c r="B116" s="609"/>
      <c r="C116" s="610"/>
      <c r="D116" s="610"/>
      <c r="E116" s="611"/>
      <c r="F116" s="611"/>
      <c r="G116" s="611"/>
      <c r="H116" s="612"/>
      <c r="I116" s="611"/>
      <c r="J116" s="610"/>
      <c r="K116" s="609"/>
      <c r="L116" s="613"/>
      <c r="M116" s="611"/>
      <c r="N116" s="609"/>
      <c r="O116" s="611"/>
      <c r="P116" s="611"/>
      <c r="Q116" s="609"/>
      <c r="R116" s="610"/>
    </row>
    <row r="117" spans="1:18">
      <c r="A117" s="609"/>
      <c r="B117" s="609"/>
      <c r="C117" s="610"/>
      <c r="D117" s="610"/>
      <c r="E117" s="611"/>
      <c r="F117" s="611"/>
      <c r="G117" s="611"/>
      <c r="H117" s="612"/>
      <c r="I117" s="611"/>
      <c r="J117" s="610"/>
      <c r="K117" s="609"/>
      <c r="L117" s="613"/>
      <c r="M117" s="611"/>
      <c r="N117" s="609"/>
      <c r="O117" s="611"/>
      <c r="P117" s="611"/>
      <c r="Q117" s="609"/>
      <c r="R117" s="610"/>
    </row>
    <row r="118" spans="1:18">
      <c r="A118" s="609"/>
      <c r="B118" s="609"/>
      <c r="C118" s="610"/>
      <c r="D118" s="610"/>
      <c r="E118" s="611"/>
      <c r="F118" s="611"/>
      <c r="G118" s="611"/>
      <c r="H118" s="612"/>
      <c r="I118" s="611"/>
      <c r="J118" s="610"/>
      <c r="K118" s="609"/>
      <c r="L118" s="613"/>
      <c r="M118" s="611"/>
      <c r="N118" s="609"/>
      <c r="O118" s="611"/>
      <c r="P118" s="611"/>
      <c r="Q118" s="609"/>
      <c r="R118" s="610"/>
    </row>
    <row r="119" spans="1:18">
      <c r="A119" s="609"/>
      <c r="B119" s="609"/>
      <c r="C119" s="610"/>
      <c r="D119" s="610"/>
      <c r="E119" s="611"/>
      <c r="F119" s="611"/>
      <c r="G119" s="611"/>
      <c r="H119" s="612"/>
      <c r="I119" s="611"/>
      <c r="J119" s="610"/>
      <c r="K119" s="609"/>
      <c r="L119" s="613"/>
      <c r="M119" s="611"/>
      <c r="N119" s="609"/>
      <c r="O119" s="611"/>
      <c r="P119" s="611"/>
      <c r="Q119" s="609"/>
      <c r="R119" s="610"/>
    </row>
    <row r="120" spans="1:18">
      <c r="A120" s="609"/>
      <c r="B120" s="609"/>
      <c r="C120" s="610"/>
      <c r="D120" s="610"/>
      <c r="E120" s="611"/>
      <c r="F120" s="611"/>
      <c r="G120" s="611"/>
      <c r="H120" s="612"/>
      <c r="I120" s="611"/>
      <c r="J120" s="610"/>
      <c r="K120" s="609"/>
      <c r="L120" s="613"/>
      <c r="M120" s="611"/>
      <c r="N120" s="609"/>
      <c r="O120" s="611"/>
      <c r="P120" s="611"/>
      <c r="Q120" s="609"/>
      <c r="R120" s="610"/>
    </row>
    <row r="121" spans="1:18">
      <c r="A121" s="609"/>
      <c r="B121" s="609"/>
      <c r="C121" s="610"/>
      <c r="D121" s="610"/>
      <c r="E121" s="611"/>
      <c r="F121" s="611"/>
      <c r="G121" s="611"/>
      <c r="H121" s="612"/>
      <c r="I121" s="611"/>
      <c r="J121" s="610"/>
      <c r="K121" s="609"/>
      <c r="L121" s="613"/>
      <c r="M121" s="611"/>
      <c r="N121" s="609"/>
      <c r="O121" s="611"/>
      <c r="P121" s="611"/>
      <c r="Q121" s="609"/>
      <c r="R121" s="610"/>
    </row>
    <row r="122" spans="1:18">
      <c r="A122" s="609"/>
      <c r="B122" s="609"/>
      <c r="C122" s="610"/>
      <c r="D122" s="610"/>
      <c r="E122" s="611"/>
      <c r="F122" s="611"/>
      <c r="G122" s="611"/>
      <c r="H122" s="612"/>
      <c r="I122" s="611"/>
      <c r="J122" s="610"/>
      <c r="K122" s="609"/>
      <c r="L122" s="613"/>
      <c r="M122" s="611"/>
      <c r="N122" s="609"/>
      <c r="O122" s="611"/>
      <c r="P122" s="611"/>
      <c r="Q122" s="609"/>
      <c r="R122" s="610"/>
    </row>
    <row r="123" spans="1:18">
      <c r="A123" s="609"/>
      <c r="B123" s="609"/>
      <c r="C123" s="610"/>
      <c r="D123" s="610"/>
      <c r="E123" s="611"/>
      <c r="F123" s="611"/>
      <c r="G123" s="611"/>
      <c r="H123" s="612"/>
      <c r="I123" s="611"/>
      <c r="J123" s="610"/>
      <c r="K123" s="609"/>
      <c r="L123" s="613"/>
      <c r="M123" s="611"/>
      <c r="N123" s="609"/>
      <c r="O123" s="611"/>
      <c r="P123" s="611"/>
      <c r="Q123" s="609"/>
      <c r="R123" s="610"/>
    </row>
    <row r="124" spans="1:18">
      <c r="A124" s="609"/>
      <c r="B124" s="609"/>
      <c r="C124" s="610"/>
      <c r="D124" s="610"/>
      <c r="E124" s="611"/>
      <c r="F124" s="611"/>
      <c r="G124" s="611"/>
      <c r="H124" s="612"/>
      <c r="I124" s="611"/>
      <c r="J124" s="610"/>
      <c r="K124" s="609"/>
      <c r="L124" s="613"/>
      <c r="M124" s="611"/>
      <c r="N124" s="609"/>
      <c r="O124" s="611"/>
      <c r="P124" s="611"/>
      <c r="Q124" s="609"/>
      <c r="R124" s="610"/>
    </row>
    <row r="125" spans="1:18">
      <c r="A125" s="609"/>
      <c r="B125" s="609"/>
      <c r="C125" s="610"/>
      <c r="D125" s="610"/>
      <c r="E125" s="611"/>
      <c r="F125" s="611"/>
      <c r="G125" s="611"/>
      <c r="H125" s="612"/>
      <c r="I125" s="611"/>
      <c r="J125" s="610"/>
      <c r="K125" s="609"/>
      <c r="L125" s="613"/>
      <c r="M125" s="611"/>
      <c r="N125" s="609"/>
      <c r="O125" s="611"/>
      <c r="P125" s="611"/>
      <c r="Q125" s="609"/>
      <c r="R125" s="610"/>
    </row>
    <row r="126" spans="1:18">
      <c r="A126" s="609"/>
      <c r="B126" s="609"/>
      <c r="C126" s="610"/>
      <c r="D126" s="610"/>
      <c r="E126" s="611"/>
      <c r="F126" s="611"/>
      <c r="G126" s="611"/>
      <c r="H126" s="612"/>
      <c r="I126" s="611"/>
      <c r="J126" s="610"/>
      <c r="K126" s="609"/>
      <c r="L126" s="613"/>
      <c r="M126" s="611"/>
      <c r="N126" s="609"/>
      <c r="O126" s="611"/>
      <c r="P126" s="611"/>
      <c r="Q126" s="609"/>
      <c r="R126" s="610"/>
    </row>
    <row r="127" spans="1:18">
      <c r="A127" s="609"/>
      <c r="B127" s="609"/>
      <c r="C127" s="610"/>
      <c r="D127" s="610"/>
      <c r="E127" s="611"/>
      <c r="F127" s="611"/>
      <c r="G127" s="611"/>
      <c r="H127" s="612"/>
      <c r="I127" s="611"/>
      <c r="J127" s="610"/>
      <c r="K127" s="609"/>
      <c r="L127" s="613"/>
      <c r="M127" s="611"/>
      <c r="N127" s="609"/>
      <c r="O127" s="611"/>
      <c r="P127" s="611"/>
      <c r="Q127" s="609"/>
      <c r="R127" s="610"/>
    </row>
    <row r="128" spans="1:18">
      <c r="A128" s="609"/>
      <c r="B128" s="609"/>
      <c r="C128" s="610"/>
      <c r="D128" s="610"/>
      <c r="E128" s="611"/>
      <c r="F128" s="611"/>
      <c r="G128" s="611"/>
      <c r="H128" s="612"/>
      <c r="I128" s="611"/>
      <c r="J128" s="610"/>
      <c r="K128" s="609"/>
      <c r="L128" s="613"/>
      <c r="M128" s="611"/>
      <c r="N128" s="609"/>
      <c r="O128" s="611"/>
      <c r="P128" s="611"/>
      <c r="Q128" s="609"/>
      <c r="R128" s="610"/>
    </row>
    <row r="129" spans="1:18">
      <c r="A129" s="609"/>
      <c r="B129" s="609"/>
      <c r="C129" s="610"/>
      <c r="D129" s="610"/>
      <c r="E129" s="611"/>
      <c r="F129" s="611"/>
      <c r="G129" s="611"/>
      <c r="H129" s="612"/>
      <c r="I129" s="611"/>
      <c r="J129" s="610"/>
      <c r="K129" s="609"/>
      <c r="L129" s="613"/>
      <c r="M129" s="611"/>
      <c r="N129" s="609"/>
      <c r="O129" s="611"/>
      <c r="P129" s="611"/>
      <c r="Q129" s="609"/>
      <c r="R129" s="610"/>
    </row>
    <row r="130" spans="1:18">
      <c r="A130" s="609"/>
      <c r="B130" s="609"/>
      <c r="C130" s="610"/>
      <c r="D130" s="610"/>
      <c r="E130" s="611"/>
      <c r="F130" s="611"/>
      <c r="G130" s="611"/>
      <c r="H130" s="612"/>
      <c r="I130" s="611"/>
      <c r="J130" s="610"/>
      <c r="K130" s="609"/>
      <c r="L130" s="613"/>
      <c r="M130" s="611"/>
      <c r="N130" s="609"/>
      <c r="O130" s="611"/>
      <c r="P130" s="611"/>
      <c r="Q130" s="609"/>
      <c r="R130" s="610"/>
    </row>
    <row r="131" spans="1:18">
      <c r="A131" s="609"/>
      <c r="B131" s="609"/>
      <c r="C131" s="610"/>
      <c r="D131" s="610"/>
      <c r="E131" s="611"/>
      <c r="F131" s="611"/>
      <c r="G131" s="611"/>
      <c r="H131" s="612"/>
      <c r="I131" s="611"/>
      <c r="J131" s="610"/>
      <c r="K131" s="609"/>
      <c r="L131" s="613"/>
      <c r="M131" s="611"/>
      <c r="N131" s="609"/>
      <c r="O131" s="611"/>
      <c r="P131" s="611"/>
      <c r="Q131" s="609"/>
      <c r="R131" s="610"/>
    </row>
    <row r="132" spans="1:18">
      <c r="A132" s="609"/>
      <c r="B132" s="609"/>
      <c r="C132" s="610"/>
      <c r="D132" s="610"/>
      <c r="E132" s="611"/>
      <c r="F132" s="611"/>
      <c r="G132" s="611"/>
      <c r="H132" s="612"/>
      <c r="I132" s="611"/>
      <c r="J132" s="610"/>
      <c r="K132" s="609"/>
      <c r="L132" s="613"/>
      <c r="M132" s="611"/>
      <c r="N132" s="609"/>
      <c r="O132" s="611"/>
      <c r="P132" s="611"/>
      <c r="Q132" s="609"/>
      <c r="R132" s="610"/>
    </row>
    <row r="133" spans="1:18">
      <c r="A133" s="609"/>
      <c r="B133" s="609"/>
      <c r="C133" s="610"/>
      <c r="D133" s="610"/>
      <c r="E133" s="611"/>
      <c r="F133" s="611"/>
      <c r="G133" s="611"/>
      <c r="H133" s="612"/>
      <c r="I133" s="611"/>
      <c r="J133" s="610"/>
      <c r="K133" s="609"/>
      <c r="L133" s="613"/>
      <c r="M133" s="611"/>
      <c r="N133" s="609"/>
      <c r="O133" s="611"/>
      <c r="P133" s="611"/>
      <c r="Q133" s="609"/>
      <c r="R133" s="610"/>
    </row>
    <row r="134" spans="1:18">
      <c r="A134" s="609"/>
      <c r="B134" s="609"/>
      <c r="C134" s="610"/>
      <c r="D134" s="610"/>
      <c r="E134" s="611"/>
      <c r="F134" s="611"/>
      <c r="G134" s="611"/>
      <c r="H134" s="612"/>
      <c r="I134" s="611"/>
      <c r="J134" s="610"/>
      <c r="K134" s="609"/>
      <c r="L134" s="613"/>
      <c r="M134" s="611"/>
      <c r="N134" s="609"/>
      <c r="O134" s="611"/>
      <c r="P134" s="611"/>
      <c r="Q134" s="609"/>
      <c r="R134" s="610"/>
    </row>
    <row r="135" spans="1:18">
      <c r="A135" s="609"/>
      <c r="B135" s="609"/>
      <c r="C135" s="610"/>
      <c r="D135" s="610"/>
      <c r="E135" s="611"/>
      <c r="F135" s="611"/>
      <c r="G135" s="611"/>
      <c r="H135" s="612"/>
      <c r="I135" s="611"/>
      <c r="J135" s="610"/>
      <c r="K135" s="609"/>
      <c r="L135" s="613"/>
      <c r="M135" s="611"/>
      <c r="N135" s="609"/>
      <c r="O135" s="611"/>
      <c r="P135" s="611"/>
      <c r="Q135" s="609"/>
      <c r="R135" s="610"/>
    </row>
    <row r="136" spans="1:18">
      <c r="A136" s="609"/>
      <c r="B136" s="609"/>
      <c r="C136" s="610"/>
      <c r="D136" s="610"/>
      <c r="E136" s="611"/>
      <c r="F136" s="611"/>
      <c r="G136" s="611"/>
      <c r="H136" s="612"/>
      <c r="I136" s="611"/>
      <c r="J136" s="610"/>
      <c r="K136" s="609"/>
      <c r="L136" s="613"/>
      <c r="M136" s="611"/>
      <c r="N136" s="609"/>
      <c r="O136" s="611"/>
      <c r="P136" s="611"/>
      <c r="Q136" s="609"/>
      <c r="R136" s="610"/>
    </row>
    <row r="137" spans="1:18">
      <c r="A137" s="609"/>
      <c r="B137" s="609"/>
      <c r="C137" s="610"/>
      <c r="D137" s="610"/>
      <c r="E137" s="611"/>
      <c r="F137" s="611"/>
      <c r="G137" s="611"/>
      <c r="H137" s="612"/>
      <c r="I137" s="611"/>
      <c r="J137" s="610"/>
      <c r="K137" s="609"/>
      <c r="L137" s="613"/>
      <c r="M137" s="611"/>
      <c r="N137" s="609"/>
      <c r="O137" s="611"/>
      <c r="P137" s="611"/>
      <c r="Q137" s="609"/>
      <c r="R137" s="610"/>
    </row>
    <row r="138" spans="1:18">
      <c r="A138" s="609"/>
      <c r="B138" s="609"/>
      <c r="C138" s="610"/>
      <c r="D138" s="610"/>
      <c r="E138" s="611"/>
      <c r="F138" s="611"/>
      <c r="G138" s="611"/>
      <c r="H138" s="612"/>
      <c r="I138" s="611"/>
      <c r="J138" s="610"/>
      <c r="K138" s="609"/>
      <c r="L138" s="613"/>
      <c r="M138" s="611"/>
      <c r="N138" s="609"/>
      <c r="O138" s="611"/>
      <c r="P138" s="611"/>
      <c r="Q138" s="609"/>
      <c r="R138" s="610"/>
    </row>
    <row r="139" spans="1:18">
      <c r="A139" s="609"/>
      <c r="B139" s="609"/>
      <c r="C139" s="610"/>
      <c r="D139" s="610"/>
      <c r="E139" s="611"/>
      <c r="F139" s="611"/>
      <c r="G139" s="611"/>
      <c r="H139" s="612"/>
      <c r="I139" s="611"/>
      <c r="J139" s="610"/>
      <c r="K139" s="609"/>
      <c r="L139" s="613"/>
      <c r="M139" s="611"/>
      <c r="N139" s="609"/>
      <c r="O139" s="611"/>
      <c r="P139" s="611"/>
      <c r="Q139" s="609"/>
      <c r="R139" s="610"/>
    </row>
    <row r="140" spans="1:18">
      <c r="A140" s="609"/>
      <c r="B140" s="609"/>
      <c r="C140" s="610"/>
      <c r="D140" s="610"/>
      <c r="E140" s="611"/>
      <c r="F140" s="611"/>
      <c r="G140" s="611"/>
      <c r="H140" s="612"/>
      <c r="I140" s="611"/>
      <c r="J140" s="610"/>
      <c r="K140" s="609"/>
      <c r="L140" s="613"/>
      <c r="M140" s="611"/>
      <c r="N140" s="609"/>
      <c r="O140" s="611"/>
      <c r="P140" s="611"/>
      <c r="Q140" s="609"/>
      <c r="R140" s="610"/>
    </row>
    <row r="141" spans="1:18">
      <c r="A141" s="609"/>
      <c r="B141" s="609"/>
      <c r="C141" s="610"/>
      <c r="D141" s="610"/>
      <c r="E141" s="611"/>
      <c r="F141" s="611"/>
      <c r="G141" s="611"/>
      <c r="H141" s="612"/>
      <c r="I141" s="611"/>
      <c r="J141" s="610"/>
      <c r="K141" s="609"/>
      <c r="L141" s="613"/>
      <c r="M141" s="611"/>
      <c r="N141" s="609"/>
      <c r="O141" s="611"/>
      <c r="P141" s="611"/>
      <c r="Q141" s="609"/>
      <c r="R141" s="610"/>
    </row>
    <row r="142" spans="1:18">
      <c r="A142" s="609"/>
      <c r="B142" s="609"/>
      <c r="C142" s="610"/>
      <c r="D142" s="610"/>
      <c r="E142" s="611"/>
      <c r="F142" s="611"/>
      <c r="G142" s="611"/>
      <c r="H142" s="612"/>
      <c r="I142" s="611"/>
      <c r="J142" s="610"/>
      <c r="K142" s="609"/>
      <c r="L142" s="613"/>
      <c r="M142" s="611"/>
      <c r="N142" s="609"/>
      <c r="O142" s="611"/>
      <c r="P142" s="611"/>
      <c r="Q142" s="609"/>
      <c r="R142" s="610"/>
    </row>
    <row r="143" spans="1:18">
      <c r="A143" s="609"/>
      <c r="B143" s="609"/>
      <c r="C143" s="610"/>
      <c r="D143" s="610"/>
      <c r="E143" s="611"/>
      <c r="F143" s="611"/>
      <c r="G143" s="611"/>
      <c r="H143" s="612"/>
      <c r="I143" s="611"/>
      <c r="J143" s="610"/>
      <c r="K143" s="609"/>
      <c r="L143" s="613"/>
      <c r="M143" s="611"/>
      <c r="N143" s="609"/>
      <c r="O143" s="611"/>
      <c r="P143" s="611"/>
      <c r="Q143" s="609"/>
      <c r="R143" s="610"/>
    </row>
    <row r="144" spans="1:18">
      <c r="A144" s="609"/>
      <c r="B144" s="609"/>
      <c r="C144" s="610"/>
      <c r="D144" s="610"/>
      <c r="E144" s="611"/>
      <c r="F144" s="611"/>
      <c r="G144" s="611"/>
      <c r="H144" s="612"/>
      <c r="I144" s="611"/>
      <c r="J144" s="610"/>
      <c r="K144" s="609"/>
      <c r="L144" s="613"/>
      <c r="M144" s="611"/>
      <c r="N144" s="609"/>
      <c r="O144" s="611"/>
      <c r="P144" s="611"/>
      <c r="Q144" s="609"/>
      <c r="R144" s="610"/>
    </row>
    <row r="145" spans="1:18">
      <c r="A145" s="609"/>
      <c r="B145" s="609"/>
      <c r="C145" s="610"/>
      <c r="D145" s="610"/>
      <c r="E145" s="611"/>
      <c r="F145" s="611"/>
      <c r="G145" s="611"/>
      <c r="H145" s="612"/>
      <c r="I145" s="611"/>
      <c r="J145" s="610"/>
      <c r="K145" s="609"/>
      <c r="L145" s="613"/>
      <c r="M145" s="611"/>
      <c r="N145" s="609"/>
      <c r="O145" s="611"/>
      <c r="P145" s="611"/>
      <c r="Q145" s="609"/>
      <c r="R145" s="610"/>
    </row>
    <row r="146" spans="1:18">
      <c r="A146" s="609"/>
      <c r="B146" s="609"/>
      <c r="C146" s="610"/>
      <c r="D146" s="610"/>
      <c r="E146" s="611"/>
      <c r="F146" s="611"/>
      <c r="G146" s="611"/>
      <c r="H146" s="612"/>
      <c r="I146" s="611"/>
      <c r="J146" s="610"/>
      <c r="K146" s="609"/>
      <c r="L146" s="613"/>
      <c r="M146" s="611"/>
      <c r="N146" s="609"/>
      <c r="O146" s="611"/>
      <c r="P146" s="611"/>
      <c r="Q146" s="609"/>
      <c r="R146" s="610"/>
    </row>
    <row r="147" spans="1:18">
      <c r="A147" s="609"/>
      <c r="B147" s="609"/>
      <c r="C147" s="610"/>
      <c r="D147" s="610"/>
      <c r="E147" s="611"/>
      <c r="F147" s="611"/>
      <c r="G147" s="611"/>
      <c r="H147" s="612"/>
      <c r="I147" s="611"/>
      <c r="J147" s="610"/>
      <c r="K147" s="609"/>
      <c r="L147" s="613"/>
      <c r="M147" s="611"/>
      <c r="N147" s="609"/>
      <c r="O147" s="611"/>
      <c r="P147" s="611"/>
      <c r="Q147" s="609"/>
      <c r="R147" s="610"/>
    </row>
    <row r="148" spans="1:18">
      <c r="A148" s="609"/>
      <c r="B148" s="609"/>
      <c r="C148" s="610"/>
      <c r="D148" s="610"/>
      <c r="E148" s="611"/>
      <c r="F148" s="611"/>
      <c r="G148" s="611"/>
      <c r="H148" s="612"/>
      <c r="I148" s="611"/>
      <c r="J148" s="610"/>
      <c r="K148" s="609"/>
      <c r="L148" s="613"/>
      <c r="M148" s="611"/>
      <c r="N148" s="609"/>
      <c r="O148" s="611"/>
      <c r="P148" s="611"/>
      <c r="Q148" s="609"/>
      <c r="R148" s="610"/>
    </row>
    <row r="149" spans="1:18">
      <c r="A149" s="609"/>
      <c r="B149" s="609"/>
      <c r="C149" s="610"/>
      <c r="D149" s="610"/>
      <c r="E149" s="611"/>
      <c r="F149" s="611"/>
      <c r="G149" s="611"/>
      <c r="H149" s="612"/>
      <c r="I149" s="611"/>
      <c r="J149" s="610"/>
      <c r="K149" s="609"/>
      <c r="L149" s="613"/>
      <c r="M149" s="611"/>
      <c r="N149" s="609"/>
      <c r="O149" s="611"/>
      <c r="P149" s="611"/>
      <c r="Q149" s="609"/>
      <c r="R149" s="610"/>
    </row>
    <row r="150" spans="1:18">
      <c r="A150" s="609"/>
      <c r="B150" s="609"/>
      <c r="C150" s="610"/>
      <c r="D150" s="610"/>
      <c r="E150" s="611"/>
      <c r="F150" s="611"/>
      <c r="G150" s="611"/>
      <c r="H150" s="612"/>
      <c r="I150" s="611"/>
      <c r="J150" s="610"/>
      <c r="K150" s="609"/>
      <c r="L150" s="613"/>
      <c r="M150" s="611"/>
      <c r="N150" s="609"/>
      <c r="O150" s="611"/>
      <c r="P150" s="611"/>
      <c r="Q150" s="609"/>
      <c r="R150" s="610"/>
    </row>
    <row r="151" spans="1:18">
      <c r="A151" s="609"/>
      <c r="B151" s="609"/>
      <c r="C151" s="610"/>
      <c r="D151" s="610"/>
      <c r="E151" s="611"/>
      <c r="F151" s="611"/>
      <c r="G151" s="611"/>
      <c r="H151" s="612"/>
      <c r="I151" s="611"/>
      <c r="J151" s="610"/>
      <c r="K151" s="609"/>
      <c r="L151" s="613"/>
      <c r="M151" s="611"/>
      <c r="N151" s="609"/>
      <c r="O151" s="611"/>
      <c r="P151" s="611"/>
      <c r="Q151" s="609"/>
      <c r="R151" s="610"/>
    </row>
    <row r="152" spans="1:18">
      <c r="A152" s="609"/>
      <c r="B152" s="609"/>
      <c r="C152" s="610"/>
      <c r="D152" s="610"/>
      <c r="E152" s="611"/>
      <c r="F152" s="611"/>
      <c r="G152" s="611"/>
      <c r="H152" s="612"/>
      <c r="I152" s="611"/>
      <c r="J152" s="610"/>
      <c r="K152" s="609"/>
      <c r="L152" s="613"/>
      <c r="M152" s="611"/>
      <c r="N152" s="609"/>
      <c r="O152" s="611"/>
      <c r="P152" s="611"/>
      <c r="Q152" s="609"/>
      <c r="R152" s="610"/>
    </row>
    <row r="153" spans="1:18">
      <c r="A153" s="609"/>
      <c r="B153" s="609"/>
      <c r="C153" s="610"/>
      <c r="D153" s="610"/>
      <c r="E153" s="611"/>
      <c r="F153" s="611"/>
      <c r="G153" s="611"/>
      <c r="H153" s="612"/>
      <c r="I153" s="611"/>
      <c r="J153" s="610"/>
      <c r="K153" s="609"/>
      <c r="L153" s="613"/>
      <c r="M153" s="611"/>
      <c r="N153" s="609"/>
      <c r="O153" s="611"/>
      <c r="P153" s="611"/>
      <c r="Q153" s="609"/>
      <c r="R153" s="610"/>
    </row>
    <row r="154" spans="1:18">
      <c r="A154" s="609"/>
      <c r="B154" s="609"/>
      <c r="C154" s="610"/>
      <c r="D154" s="610"/>
      <c r="E154" s="611"/>
      <c r="F154" s="611"/>
      <c r="G154" s="611"/>
      <c r="H154" s="612"/>
      <c r="I154" s="611"/>
      <c r="J154" s="610"/>
      <c r="K154" s="609"/>
      <c r="L154" s="613"/>
      <c r="M154" s="611"/>
      <c r="N154" s="609"/>
      <c r="O154" s="611"/>
      <c r="P154" s="611"/>
      <c r="Q154" s="609"/>
      <c r="R154" s="610"/>
    </row>
    <row r="155" spans="1:18">
      <c r="A155" s="609"/>
      <c r="B155" s="609"/>
      <c r="C155" s="610"/>
      <c r="D155" s="610"/>
      <c r="E155" s="611"/>
      <c r="F155" s="611"/>
      <c r="G155" s="611"/>
      <c r="H155" s="612"/>
      <c r="I155" s="611"/>
      <c r="J155" s="610"/>
      <c r="K155" s="609"/>
      <c r="L155" s="613"/>
      <c r="M155" s="611"/>
      <c r="N155" s="609"/>
      <c r="O155" s="611"/>
      <c r="P155" s="611"/>
      <c r="Q155" s="609"/>
      <c r="R155" s="610"/>
    </row>
    <row r="156" spans="1:18">
      <c r="A156" s="609"/>
      <c r="B156" s="609"/>
      <c r="C156" s="610"/>
      <c r="D156" s="610"/>
      <c r="E156" s="611"/>
      <c r="F156" s="611"/>
      <c r="G156" s="611"/>
      <c r="H156" s="612"/>
      <c r="I156" s="611"/>
      <c r="J156" s="610"/>
      <c r="K156" s="609"/>
      <c r="L156" s="613"/>
      <c r="M156" s="611"/>
      <c r="N156" s="609"/>
      <c r="O156" s="611"/>
      <c r="P156" s="611"/>
      <c r="Q156" s="609"/>
      <c r="R156" s="610"/>
    </row>
    <row r="157" spans="1:18">
      <c r="A157" s="609"/>
      <c r="B157" s="609"/>
      <c r="C157" s="610"/>
      <c r="D157" s="610"/>
      <c r="E157" s="611"/>
      <c r="F157" s="611"/>
      <c r="G157" s="611"/>
      <c r="H157" s="612"/>
      <c r="I157" s="611"/>
      <c r="J157" s="610"/>
      <c r="K157" s="609"/>
      <c r="L157" s="613"/>
      <c r="M157" s="611"/>
      <c r="N157" s="609"/>
      <c r="O157" s="611"/>
      <c r="P157" s="611"/>
      <c r="Q157" s="609"/>
      <c r="R157" s="610"/>
    </row>
    <row r="158" spans="1:18">
      <c r="A158" s="609"/>
      <c r="B158" s="609"/>
      <c r="C158" s="610"/>
      <c r="D158" s="610"/>
      <c r="E158" s="611"/>
      <c r="F158" s="611"/>
      <c r="G158" s="611"/>
      <c r="H158" s="612"/>
      <c r="I158" s="611"/>
      <c r="J158" s="610"/>
      <c r="K158" s="609"/>
      <c r="L158" s="613"/>
      <c r="M158" s="611"/>
      <c r="N158" s="609"/>
      <c r="O158" s="611"/>
      <c r="P158" s="611"/>
      <c r="Q158" s="609"/>
      <c r="R158" s="610"/>
    </row>
    <row r="159" spans="1:18">
      <c r="A159" s="609"/>
      <c r="B159" s="609"/>
      <c r="C159" s="610"/>
      <c r="D159" s="610"/>
      <c r="E159" s="611"/>
      <c r="F159" s="611"/>
      <c r="G159" s="611"/>
      <c r="H159" s="612"/>
      <c r="I159" s="611"/>
      <c r="J159" s="610"/>
      <c r="K159" s="609"/>
      <c r="L159" s="613"/>
      <c r="M159" s="611"/>
      <c r="N159" s="609"/>
      <c r="O159" s="611"/>
      <c r="P159" s="611"/>
      <c r="Q159" s="609"/>
      <c r="R159" s="610"/>
    </row>
    <row r="160" spans="1:18">
      <c r="A160" s="609"/>
      <c r="B160" s="609"/>
      <c r="C160" s="610"/>
      <c r="D160" s="610"/>
      <c r="E160" s="611"/>
      <c r="F160" s="611"/>
      <c r="G160" s="611"/>
      <c r="H160" s="612"/>
      <c r="I160" s="611"/>
      <c r="J160" s="610"/>
      <c r="K160" s="609"/>
      <c r="L160" s="613"/>
      <c r="M160" s="611"/>
      <c r="N160" s="609"/>
      <c r="O160" s="611"/>
      <c r="P160" s="611"/>
      <c r="Q160" s="609"/>
      <c r="R160" s="610"/>
    </row>
    <row r="161" spans="1:18">
      <c r="A161" s="609"/>
      <c r="B161" s="609"/>
      <c r="C161" s="610"/>
      <c r="D161" s="610"/>
      <c r="E161" s="611"/>
      <c r="F161" s="611"/>
      <c r="G161" s="611"/>
      <c r="H161" s="612"/>
      <c r="I161" s="611"/>
      <c r="J161" s="610"/>
      <c r="K161" s="609"/>
      <c r="L161" s="613"/>
      <c r="M161" s="611"/>
      <c r="N161" s="609"/>
      <c r="O161" s="611"/>
      <c r="P161" s="611"/>
      <c r="Q161" s="609"/>
      <c r="R161" s="610"/>
    </row>
    <row r="162" spans="1:18">
      <c r="A162" s="609"/>
      <c r="B162" s="609"/>
      <c r="C162" s="610"/>
      <c r="D162" s="610"/>
      <c r="E162" s="611"/>
      <c r="F162" s="611"/>
      <c r="G162" s="611"/>
      <c r="H162" s="612"/>
      <c r="I162" s="611"/>
      <c r="J162" s="610"/>
      <c r="K162" s="609"/>
      <c r="L162" s="613"/>
      <c r="M162" s="611"/>
      <c r="N162" s="609"/>
      <c r="O162" s="611"/>
      <c r="P162" s="611"/>
      <c r="Q162" s="609"/>
      <c r="R162" s="610"/>
    </row>
    <row r="163" spans="1:18">
      <c r="A163" s="609"/>
      <c r="B163" s="609"/>
      <c r="C163" s="610"/>
      <c r="D163" s="610"/>
      <c r="E163" s="611"/>
      <c r="F163" s="611"/>
      <c r="G163" s="611"/>
      <c r="H163" s="612"/>
      <c r="I163" s="611"/>
      <c r="J163" s="610"/>
      <c r="K163" s="609"/>
      <c r="L163" s="613"/>
      <c r="M163" s="611"/>
      <c r="N163" s="609"/>
      <c r="O163" s="611"/>
      <c r="P163" s="611"/>
      <c r="Q163" s="609"/>
      <c r="R163" s="610"/>
    </row>
    <row r="164" spans="1:18">
      <c r="A164" s="609"/>
      <c r="B164" s="609"/>
      <c r="C164" s="610"/>
      <c r="D164" s="610"/>
      <c r="E164" s="611"/>
      <c r="F164" s="611"/>
      <c r="G164" s="611"/>
      <c r="H164" s="612"/>
      <c r="I164" s="611"/>
      <c r="J164" s="610"/>
      <c r="K164" s="609"/>
      <c r="L164" s="613"/>
      <c r="M164" s="611"/>
      <c r="N164" s="609"/>
      <c r="O164" s="611"/>
      <c r="P164" s="611"/>
      <c r="Q164" s="609"/>
      <c r="R164" s="610"/>
    </row>
    <row r="165" spans="1:18">
      <c r="A165" s="609"/>
      <c r="B165" s="609"/>
      <c r="C165" s="610"/>
      <c r="D165" s="610"/>
      <c r="E165" s="611"/>
      <c r="F165" s="611"/>
      <c r="G165" s="611"/>
      <c r="H165" s="612"/>
      <c r="I165" s="611"/>
      <c r="J165" s="610"/>
      <c r="K165" s="609"/>
      <c r="L165" s="613"/>
      <c r="M165" s="611"/>
      <c r="N165" s="609"/>
      <c r="O165" s="611"/>
      <c r="P165" s="611"/>
      <c r="Q165" s="609"/>
      <c r="R165" s="610"/>
    </row>
    <row r="166" spans="1:18">
      <c r="A166" s="609"/>
      <c r="B166" s="609"/>
      <c r="C166" s="610"/>
      <c r="D166" s="610"/>
      <c r="E166" s="611"/>
      <c r="F166" s="611"/>
      <c r="G166" s="611"/>
      <c r="H166" s="612"/>
      <c r="I166" s="611"/>
      <c r="J166" s="610"/>
      <c r="K166" s="609"/>
      <c r="L166" s="613"/>
      <c r="M166" s="611"/>
      <c r="N166" s="609"/>
      <c r="O166" s="611"/>
      <c r="P166" s="611"/>
      <c r="Q166" s="609"/>
      <c r="R166" s="610"/>
    </row>
    <row r="167" spans="1:18">
      <c r="A167" s="609"/>
      <c r="B167" s="609"/>
      <c r="C167" s="610"/>
      <c r="D167" s="610"/>
      <c r="E167" s="611"/>
      <c r="F167" s="611"/>
      <c r="G167" s="611"/>
      <c r="H167" s="612"/>
      <c r="I167" s="611"/>
      <c r="J167" s="610"/>
      <c r="K167" s="609"/>
      <c r="L167" s="613"/>
      <c r="M167" s="611"/>
      <c r="N167" s="609"/>
      <c r="O167" s="611"/>
      <c r="P167" s="611"/>
      <c r="Q167" s="609"/>
      <c r="R167" s="610"/>
    </row>
    <row r="168" spans="1:18">
      <c r="A168" s="609"/>
      <c r="B168" s="609"/>
      <c r="C168" s="610"/>
      <c r="D168" s="610"/>
      <c r="E168" s="611"/>
      <c r="F168" s="611"/>
      <c r="G168" s="611"/>
      <c r="H168" s="612"/>
      <c r="I168" s="611"/>
      <c r="J168" s="610"/>
      <c r="K168" s="609"/>
      <c r="L168" s="613"/>
      <c r="M168" s="611"/>
      <c r="N168" s="609"/>
      <c r="O168" s="611"/>
      <c r="P168" s="611"/>
      <c r="Q168" s="609"/>
      <c r="R168" s="610"/>
    </row>
    <row r="169" spans="1:18">
      <c r="A169" s="609"/>
      <c r="B169" s="609"/>
      <c r="C169" s="610"/>
      <c r="D169" s="610"/>
      <c r="E169" s="611"/>
      <c r="F169" s="611"/>
      <c r="G169" s="611"/>
      <c r="H169" s="612"/>
      <c r="I169" s="611"/>
      <c r="J169" s="610"/>
      <c r="K169" s="609"/>
      <c r="L169" s="613"/>
      <c r="M169" s="611"/>
      <c r="N169" s="609"/>
      <c r="O169" s="611"/>
      <c r="P169" s="611"/>
      <c r="Q169" s="609"/>
      <c r="R169" s="610"/>
    </row>
    <row r="170" spans="1:18">
      <c r="A170" s="609"/>
      <c r="B170" s="609"/>
      <c r="C170" s="610"/>
      <c r="D170" s="610"/>
      <c r="E170" s="611"/>
      <c r="F170" s="611"/>
      <c r="G170" s="611"/>
      <c r="H170" s="612"/>
      <c r="I170" s="611"/>
      <c r="J170" s="610"/>
      <c r="K170" s="609"/>
      <c r="L170" s="613"/>
      <c r="M170" s="611"/>
      <c r="N170" s="609"/>
      <c r="O170" s="611"/>
      <c r="P170" s="611"/>
      <c r="Q170" s="609"/>
      <c r="R170" s="610"/>
    </row>
    <row r="171" spans="1:18">
      <c r="A171" s="609"/>
      <c r="B171" s="609"/>
      <c r="C171" s="610"/>
      <c r="D171" s="610"/>
      <c r="E171" s="611"/>
      <c r="F171" s="611"/>
      <c r="G171" s="611"/>
      <c r="H171" s="612"/>
      <c r="I171" s="611"/>
      <c r="J171" s="610"/>
      <c r="K171" s="609"/>
      <c r="L171" s="613"/>
      <c r="M171" s="611"/>
      <c r="N171" s="609"/>
      <c r="O171" s="611"/>
      <c r="P171" s="611"/>
      <c r="Q171" s="609"/>
      <c r="R171" s="610"/>
    </row>
    <row r="172" spans="1:18">
      <c r="A172" s="609"/>
      <c r="B172" s="609"/>
      <c r="C172" s="610"/>
      <c r="D172" s="610"/>
      <c r="E172" s="611"/>
      <c r="F172" s="611"/>
      <c r="G172" s="611"/>
      <c r="H172" s="612"/>
      <c r="I172" s="611"/>
      <c r="J172" s="610"/>
      <c r="K172" s="609"/>
      <c r="L172" s="613"/>
      <c r="M172" s="611"/>
      <c r="N172" s="609"/>
      <c r="O172" s="611"/>
      <c r="P172" s="611"/>
      <c r="Q172" s="609"/>
      <c r="R172" s="610"/>
    </row>
    <row r="173" spans="1:18">
      <c r="A173" s="609"/>
      <c r="B173" s="609"/>
      <c r="C173" s="610"/>
      <c r="D173" s="610"/>
      <c r="E173" s="611"/>
      <c r="F173" s="611"/>
      <c r="G173" s="611"/>
      <c r="H173" s="612"/>
      <c r="I173" s="611"/>
      <c r="J173" s="610"/>
      <c r="K173" s="609"/>
      <c r="L173" s="613"/>
      <c r="M173" s="611"/>
      <c r="N173" s="609"/>
      <c r="O173" s="611"/>
      <c r="P173" s="611"/>
      <c r="Q173" s="609"/>
      <c r="R173" s="610"/>
    </row>
    <row r="174" spans="1:18">
      <c r="A174" s="609"/>
      <c r="B174" s="609"/>
      <c r="C174" s="610"/>
      <c r="D174" s="610"/>
      <c r="E174" s="611"/>
      <c r="F174" s="611"/>
      <c r="G174" s="611"/>
      <c r="H174" s="612"/>
      <c r="I174" s="611"/>
      <c r="J174" s="610"/>
      <c r="K174" s="609"/>
      <c r="L174" s="613"/>
      <c r="M174" s="611"/>
      <c r="N174" s="609"/>
      <c r="O174" s="611"/>
      <c r="P174" s="611"/>
      <c r="Q174" s="609"/>
      <c r="R174" s="610"/>
    </row>
    <row r="175" spans="1:18">
      <c r="A175" s="609"/>
      <c r="B175" s="609"/>
      <c r="C175" s="610"/>
      <c r="D175" s="610"/>
      <c r="E175" s="611"/>
      <c r="F175" s="611"/>
      <c r="G175" s="611"/>
      <c r="H175" s="612"/>
      <c r="I175" s="611"/>
      <c r="J175" s="610"/>
      <c r="K175" s="609"/>
      <c r="L175" s="613"/>
      <c r="M175" s="611"/>
      <c r="N175" s="609"/>
      <c r="O175" s="611"/>
      <c r="P175" s="611"/>
      <c r="Q175" s="609"/>
      <c r="R175" s="610"/>
    </row>
    <row r="176" spans="1:18">
      <c r="A176" s="609"/>
      <c r="B176" s="609"/>
      <c r="C176" s="610"/>
      <c r="D176" s="610"/>
      <c r="E176" s="611"/>
      <c r="F176" s="611"/>
      <c r="G176" s="611"/>
      <c r="H176" s="612"/>
      <c r="I176" s="611"/>
      <c r="J176" s="610"/>
      <c r="K176" s="609"/>
      <c r="L176" s="613"/>
      <c r="M176" s="611"/>
      <c r="N176" s="609"/>
      <c r="O176" s="611"/>
      <c r="P176" s="611"/>
      <c r="Q176" s="609"/>
      <c r="R176" s="610"/>
    </row>
    <row r="177" spans="1:18">
      <c r="A177" s="609"/>
      <c r="B177" s="609"/>
      <c r="C177" s="610"/>
      <c r="D177" s="610"/>
      <c r="E177" s="611"/>
      <c r="F177" s="611"/>
      <c r="G177" s="611"/>
      <c r="H177" s="612"/>
      <c r="I177" s="611"/>
      <c r="J177" s="610"/>
      <c r="K177" s="609"/>
      <c r="L177" s="613"/>
      <c r="M177" s="611"/>
      <c r="N177" s="609"/>
      <c r="O177" s="611"/>
      <c r="P177" s="611"/>
      <c r="Q177" s="609"/>
      <c r="R177" s="610"/>
    </row>
    <row r="178" spans="1:18">
      <c r="A178" s="609"/>
      <c r="B178" s="609"/>
      <c r="C178" s="610"/>
      <c r="D178" s="610"/>
      <c r="E178" s="611"/>
      <c r="F178" s="611"/>
      <c r="G178" s="611"/>
      <c r="H178" s="612"/>
      <c r="I178" s="611"/>
      <c r="J178" s="610"/>
      <c r="K178" s="609"/>
      <c r="L178" s="613"/>
      <c r="M178" s="611"/>
      <c r="N178" s="609"/>
      <c r="O178" s="611"/>
      <c r="P178" s="611"/>
      <c r="Q178" s="609"/>
      <c r="R178" s="610"/>
    </row>
    <row r="179" spans="1:18">
      <c r="A179" s="609"/>
      <c r="B179" s="609"/>
      <c r="C179" s="610"/>
      <c r="D179" s="610"/>
      <c r="E179" s="611"/>
      <c r="F179" s="611"/>
      <c r="G179" s="611"/>
      <c r="H179" s="612"/>
      <c r="I179" s="611"/>
      <c r="J179" s="610"/>
      <c r="K179" s="609"/>
      <c r="L179" s="613"/>
      <c r="M179" s="611"/>
      <c r="N179" s="609"/>
      <c r="O179" s="611"/>
      <c r="P179" s="611"/>
      <c r="Q179" s="609"/>
      <c r="R179" s="610"/>
    </row>
    <row r="180" spans="1:18">
      <c r="A180" s="609"/>
      <c r="B180" s="609"/>
      <c r="C180" s="610"/>
      <c r="D180" s="610"/>
      <c r="E180" s="611"/>
      <c r="F180" s="611"/>
      <c r="G180" s="611"/>
      <c r="H180" s="612"/>
      <c r="I180" s="611"/>
      <c r="J180" s="610"/>
      <c r="K180" s="609"/>
      <c r="L180" s="613"/>
      <c r="M180" s="611"/>
      <c r="N180" s="609"/>
      <c r="O180" s="611"/>
      <c r="P180" s="611"/>
      <c r="Q180" s="609"/>
      <c r="R180" s="610"/>
    </row>
    <row r="181" spans="1:18">
      <c r="A181" s="609"/>
      <c r="B181" s="609"/>
      <c r="C181" s="610"/>
      <c r="D181" s="610"/>
      <c r="E181" s="611"/>
      <c r="F181" s="611"/>
      <c r="G181" s="611"/>
      <c r="H181" s="612"/>
      <c r="I181" s="611"/>
      <c r="J181" s="610"/>
      <c r="K181" s="609"/>
      <c r="L181" s="613"/>
      <c r="M181" s="611"/>
      <c r="N181" s="609"/>
      <c r="O181" s="611"/>
      <c r="P181" s="611"/>
      <c r="Q181" s="609"/>
      <c r="R181" s="610"/>
    </row>
    <row r="182" spans="1:18">
      <c r="A182" s="609"/>
      <c r="B182" s="609"/>
      <c r="C182" s="610"/>
      <c r="D182" s="610"/>
      <c r="E182" s="611"/>
      <c r="F182" s="611"/>
      <c r="G182" s="611"/>
      <c r="H182" s="612"/>
      <c r="I182" s="611"/>
      <c r="J182" s="610"/>
      <c r="K182" s="609"/>
      <c r="L182" s="613"/>
      <c r="M182" s="611"/>
      <c r="N182" s="609"/>
      <c r="O182" s="611"/>
      <c r="P182" s="611"/>
      <c r="Q182" s="609"/>
      <c r="R182" s="610"/>
    </row>
    <row r="183" spans="1:18">
      <c r="A183" s="609"/>
      <c r="B183" s="609"/>
      <c r="C183" s="610"/>
      <c r="D183" s="610"/>
      <c r="E183" s="611"/>
      <c r="F183" s="611"/>
      <c r="G183" s="611"/>
      <c r="H183" s="612"/>
      <c r="I183" s="611"/>
      <c r="J183" s="610"/>
      <c r="K183" s="609"/>
      <c r="L183" s="613"/>
      <c r="M183" s="611"/>
      <c r="N183" s="609"/>
      <c r="O183" s="611"/>
      <c r="P183" s="611"/>
      <c r="Q183" s="609"/>
      <c r="R183" s="610"/>
    </row>
    <row r="184" spans="1:18">
      <c r="A184" s="609"/>
      <c r="B184" s="609"/>
      <c r="C184" s="610"/>
      <c r="D184" s="610"/>
      <c r="E184" s="611"/>
      <c r="F184" s="611"/>
      <c r="G184" s="611"/>
      <c r="H184" s="612"/>
      <c r="I184" s="611"/>
      <c r="J184" s="610"/>
      <c r="K184" s="609"/>
      <c r="L184" s="613"/>
      <c r="M184" s="611"/>
      <c r="N184" s="609"/>
      <c r="O184" s="611"/>
      <c r="P184" s="611"/>
      <c r="Q184" s="609"/>
      <c r="R184" s="610"/>
    </row>
    <row r="185" spans="1:18">
      <c r="A185" s="609"/>
      <c r="B185" s="609"/>
      <c r="C185" s="610"/>
      <c r="D185" s="610"/>
      <c r="E185" s="611"/>
      <c r="F185" s="611"/>
      <c r="G185" s="611"/>
      <c r="H185" s="612"/>
      <c r="I185" s="611"/>
      <c r="J185" s="610"/>
      <c r="K185" s="609"/>
      <c r="L185" s="613"/>
      <c r="M185" s="611"/>
      <c r="N185" s="609"/>
      <c r="O185" s="611"/>
      <c r="P185" s="611"/>
      <c r="Q185" s="609"/>
      <c r="R185" s="610"/>
    </row>
    <row r="186" spans="1:18">
      <c r="A186" s="609"/>
      <c r="B186" s="609"/>
      <c r="C186" s="610"/>
      <c r="D186" s="610"/>
      <c r="E186" s="611"/>
      <c r="F186" s="611"/>
      <c r="G186" s="611"/>
      <c r="H186" s="612"/>
      <c r="I186" s="611"/>
      <c r="J186" s="610"/>
      <c r="K186" s="609"/>
      <c r="L186" s="613"/>
      <c r="M186" s="611"/>
      <c r="N186" s="609"/>
      <c r="O186" s="611"/>
      <c r="P186" s="611"/>
      <c r="Q186" s="609"/>
      <c r="R186" s="610"/>
    </row>
    <row r="187" spans="1:18">
      <c r="A187" s="609"/>
      <c r="B187" s="609"/>
      <c r="C187" s="610"/>
      <c r="D187" s="610"/>
      <c r="E187" s="611"/>
      <c r="F187" s="611"/>
      <c r="G187" s="611"/>
      <c r="H187" s="612"/>
      <c r="I187" s="611"/>
      <c r="J187" s="610"/>
      <c r="K187" s="609"/>
      <c r="L187" s="613"/>
      <c r="M187" s="611"/>
      <c r="N187" s="609"/>
      <c r="O187" s="611"/>
      <c r="P187" s="611"/>
      <c r="Q187" s="609"/>
      <c r="R187" s="610"/>
    </row>
    <row r="188" spans="1:18">
      <c r="A188" s="609"/>
      <c r="B188" s="609"/>
      <c r="C188" s="610"/>
      <c r="D188" s="610"/>
      <c r="E188" s="611"/>
      <c r="F188" s="611"/>
      <c r="G188" s="611"/>
      <c r="H188" s="612"/>
      <c r="I188" s="611"/>
      <c r="J188" s="610"/>
      <c r="K188" s="609"/>
      <c r="L188" s="613"/>
      <c r="M188" s="611"/>
      <c r="N188" s="609"/>
      <c r="O188" s="611"/>
      <c r="P188" s="611"/>
      <c r="Q188" s="609"/>
      <c r="R188" s="610"/>
    </row>
    <row r="189" spans="1:18">
      <c r="A189" s="609"/>
      <c r="B189" s="609"/>
      <c r="C189" s="610"/>
      <c r="D189" s="610"/>
      <c r="E189" s="611"/>
      <c r="F189" s="611"/>
      <c r="G189" s="611"/>
      <c r="H189" s="612"/>
      <c r="I189" s="611"/>
      <c r="J189" s="610"/>
      <c r="K189" s="609"/>
      <c r="L189" s="613"/>
      <c r="M189" s="611"/>
      <c r="N189" s="609"/>
      <c r="O189" s="611"/>
      <c r="P189" s="611"/>
      <c r="Q189" s="609"/>
      <c r="R189" s="610"/>
    </row>
    <row r="190" spans="1:18">
      <c r="A190" s="609"/>
      <c r="B190" s="609"/>
      <c r="C190" s="610"/>
      <c r="D190" s="610"/>
      <c r="E190" s="611"/>
      <c r="F190" s="611"/>
      <c r="G190" s="611"/>
      <c r="H190" s="612"/>
      <c r="I190" s="611"/>
      <c r="J190" s="610"/>
      <c r="K190" s="609"/>
      <c r="L190" s="613"/>
      <c r="M190" s="611"/>
      <c r="N190" s="609"/>
      <c r="O190" s="611"/>
      <c r="P190" s="611"/>
      <c r="Q190" s="609"/>
      <c r="R190" s="610"/>
    </row>
    <row r="191" spans="1:18">
      <c r="A191" s="609"/>
      <c r="B191" s="609"/>
      <c r="C191" s="610"/>
      <c r="D191" s="610"/>
      <c r="E191" s="611"/>
      <c r="F191" s="611"/>
      <c r="G191" s="611"/>
      <c r="H191" s="612"/>
      <c r="I191" s="611"/>
      <c r="J191" s="610"/>
      <c r="K191" s="609"/>
      <c r="L191" s="613"/>
      <c r="M191" s="611"/>
      <c r="N191" s="609"/>
      <c r="O191" s="611"/>
      <c r="P191" s="611"/>
      <c r="Q191" s="609"/>
      <c r="R191" s="610"/>
    </row>
    <row r="192" spans="1:18">
      <c r="A192" s="609"/>
      <c r="B192" s="609"/>
      <c r="C192" s="610"/>
      <c r="D192" s="610"/>
      <c r="E192" s="611"/>
      <c r="F192" s="611"/>
      <c r="G192" s="611"/>
      <c r="H192" s="612"/>
      <c r="I192" s="611"/>
      <c r="J192" s="610"/>
      <c r="K192" s="609"/>
      <c r="L192" s="613"/>
      <c r="M192" s="611"/>
      <c r="N192" s="609"/>
      <c r="O192" s="611"/>
      <c r="P192" s="611"/>
      <c r="Q192" s="609"/>
      <c r="R192" s="610"/>
    </row>
    <row r="193" spans="1:18">
      <c r="A193" s="609"/>
      <c r="B193" s="609"/>
      <c r="C193" s="610"/>
      <c r="D193" s="610"/>
      <c r="E193" s="611"/>
      <c r="F193" s="611"/>
      <c r="G193" s="611"/>
      <c r="H193" s="612"/>
      <c r="I193" s="611"/>
      <c r="J193" s="610"/>
      <c r="K193" s="609"/>
      <c r="L193" s="613"/>
      <c r="M193" s="611"/>
      <c r="N193" s="609"/>
      <c r="O193" s="611"/>
      <c r="P193" s="611"/>
      <c r="Q193" s="609"/>
      <c r="R193" s="610"/>
    </row>
    <row r="194" spans="1:18">
      <c r="A194" s="609"/>
      <c r="B194" s="609"/>
      <c r="C194" s="610"/>
      <c r="D194" s="610"/>
      <c r="E194" s="611"/>
      <c r="F194" s="611"/>
      <c r="G194" s="611"/>
      <c r="H194" s="612"/>
      <c r="I194" s="611"/>
      <c r="J194" s="610"/>
      <c r="K194" s="609"/>
      <c r="L194" s="613"/>
      <c r="M194" s="611"/>
      <c r="N194" s="609"/>
      <c r="O194" s="611"/>
      <c r="P194" s="611"/>
      <c r="Q194" s="609"/>
      <c r="R194" s="610"/>
    </row>
    <row r="195" spans="1:18">
      <c r="A195" s="609"/>
      <c r="B195" s="609"/>
      <c r="C195" s="610"/>
      <c r="D195" s="610"/>
      <c r="E195" s="611"/>
      <c r="F195" s="611"/>
      <c r="G195" s="611"/>
      <c r="H195" s="612"/>
      <c r="I195" s="611"/>
      <c r="J195" s="610"/>
      <c r="K195" s="609"/>
      <c r="L195" s="613"/>
      <c r="M195" s="611"/>
      <c r="N195" s="609"/>
      <c r="O195" s="611"/>
      <c r="P195" s="611"/>
      <c r="Q195" s="609"/>
      <c r="R195" s="610"/>
    </row>
    <row r="196" spans="1:18">
      <c r="A196" s="609"/>
      <c r="B196" s="609"/>
      <c r="C196" s="610"/>
      <c r="D196" s="610"/>
      <c r="E196" s="611"/>
      <c r="F196" s="611"/>
      <c r="G196" s="611"/>
      <c r="H196" s="612"/>
      <c r="I196" s="611"/>
      <c r="J196" s="610"/>
      <c r="K196" s="609"/>
      <c r="L196" s="613"/>
      <c r="M196" s="611"/>
      <c r="N196" s="609"/>
      <c r="O196" s="611"/>
      <c r="P196" s="611"/>
      <c r="Q196" s="609"/>
      <c r="R196" s="610"/>
    </row>
    <row r="197" spans="1:18">
      <c r="A197" s="609"/>
      <c r="B197" s="609"/>
      <c r="C197" s="610"/>
      <c r="D197" s="610"/>
      <c r="E197" s="611"/>
      <c r="F197" s="611"/>
      <c r="G197" s="611"/>
      <c r="H197" s="612"/>
      <c r="I197" s="611"/>
      <c r="J197" s="610"/>
      <c r="K197" s="609"/>
      <c r="L197" s="613"/>
      <c r="M197" s="611"/>
      <c r="N197" s="609"/>
      <c r="O197" s="611"/>
      <c r="P197" s="611"/>
      <c r="Q197" s="609"/>
      <c r="R197" s="610"/>
    </row>
    <row r="198" spans="1:18">
      <c r="A198" s="609"/>
      <c r="B198" s="609"/>
      <c r="C198" s="610"/>
      <c r="D198" s="610"/>
      <c r="E198" s="611"/>
      <c r="F198" s="611"/>
      <c r="G198" s="611"/>
      <c r="H198" s="612"/>
      <c r="I198" s="611"/>
      <c r="J198" s="610"/>
      <c r="K198" s="609"/>
      <c r="L198" s="613"/>
      <c r="M198" s="611"/>
      <c r="N198" s="609"/>
      <c r="O198" s="611"/>
      <c r="P198" s="611"/>
      <c r="Q198" s="609"/>
      <c r="R198" s="610"/>
    </row>
    <row r="199" spans="1:18">
      <c r="A199" s="609"/>
      <c r="B199" s="609"/>
      <c r="C199" s="610"/>
      <c r="D199" s="610"/>
      <c r="E199" s="611"/>
      <c r="F199" s="611"/>
      <c r="G199" s="611"/>
      <c r="H199" s="612"/>
      <c r="I199" s="611"/>
      <c r="J199" s="610"/>
      <c r="K199" s="609"/>
      <c r="L199" s="613"/>
      <c r="M199" s="611"/>
      <c r="N199" s="609"/>
      <c r="O199" s="611"/>
      <c r="P199" s="611"/>
      <c r="Q199" s="609"/>
      <c r="R199" s="610"/>
    </row>
    <row r="200" spans="1:18">
      <c r="A200" s="609"/>
      <c r="B200" s="609"/>
      <c r="C200" s="610"/>
      <c r="D200" s="610"/>
      <c r="E200" s="611"/>
      <c r="F200" s="611"/>
      <c r="G200" s="611"/>
      <c r="H200" s="612"/>
      <c r="I200" s="611"/>
      <c r="J200" s="610"/>
      <c r="K200" s="609"/>
      <c r="L200" s="613"/>
      <c r="M200" s="611"/>
      <c r="N200" s="609"/>
      <c r="O200" s="611"/>
      <c r="P200" s="611"/>
      <c r="Q200" s="609"/>
      <c r="R200" s="610"/>
    </row>
    <row r="201" spans="1:18">
      <c r="A201" s="609"/>
      <c r="B201" s="609"/>
      <c r="C201" s="610"/>
      <c r="D201" s="610"/>
      <c r="E201" s="611"/>
      <c r="F201" s="611"/>
      <c r="G201" s="611"/>
      <c r="H201" s="612"/>
      <c r="I201" s="611"/>
      <c r="J201" s="610"/>
      <c r="K201" s="609"/>
      <c r="L201" s="613"/>
      <c r="M201" s="611"/>
      <c r="N201" s="609"/>
      <c r="O201" s="611"/>
      <c r="P201" s="611"/>
      <c r="Q201" s="609"/>
      <c r="R201" s="610"/>
    </row>
    <row r="202" spans="1:18">
      <c r="A202" s="609"/>
      <c r="B202" s="609"/>
      <c r="C202" s="610"/>
      <c r="D202" s="610"/>
      <c r="E202" s="611"/>
      <c r="F202" s="611"/>
      <c r="G202" s="611"/>
      <c r="H202" s="612"/>
      <c r="I202" s="611"/>
      <c r="J202" s="610"/>
      <c r="K202" s="609"/>
      <c r="L202" s="613"/>
      <c r="M202" s="611"/>
      <c r="N202" s="609"/>
      <c r="O202" s="611"/>
      <c r="P202" s="611"/>
      <c r="Q202" s="609"/>
      <c r="R202" s="610"/>
    </row>
    <row r="203" spans="1:18">
      <c r="A203" s="609"/>
      <c r="B203" s="609"/>
      <c r="C203" s="610"/>
      <c r="D203" s="610"/>
      <c r="E203" s="611"/>
      <c r="F203" s="611"/>
      <c r="G203" s="611"/>
      <c r="H203" s="612"/>
      <c r="I203" s="611"/>
      <c r="J203" s="610"/>
      <c r="K203" s="609"/>
      <c r="L203" s="613"/>
      <c r="M203" s="611"/>
      <c r="N203" s="609"/>
      <c r="O203" s="611"/>
      <c r="P203" s="611"/>
      <c r="Q203" s="609"/>
      <c r="R203" s="610"/>
    </row>
    <row r="204" spans="1:18">
      <c r="A204" s="609"/>
      <c r="B204" s="609"/>
      <c r="C204" s="610"/>
      <c r="D204" s="610"/>
      <c r="E204" s="611"/>
      <c r="F204" s="611"/>
      <c r="G204" s="611"/>
      <c r="H204" s="612"/>
      <c r="I204" s="611"/>
      <c r="J204" s="610"/>
      <c r="K204" s="609"/>
      <c r="L204" s="613"/>
      <c r="M204" s="611"/>
      <c r="N204" s="609"/>
      <c r="O204" s="611"/>
      <c r="P204" s="611"/>
      <c r="Q204" s="609"/>
      <c r="R204" s="610"/>
    </row>
    <row r="205" spans="1:18">
      <c r="A205" s="609"/>
      <c r="B205" s="609"/>
      <c r="C205" s="610"/>
      <c r="D205" s="610"/>
      <c r="E205" s="611"/>
      <c r="F205" s="611"/>
      <c r="G205" s="611"/>
      <c r="H205" s="612"/>
      <c r="I205" s="611"/>
      <c r="J205" s="610"/>
      <c r="K205" s="609"/>
      <c r="L205" s="613"/>
      <c r="M205" s="611"/>
      <c r="N205" s="609"/>
      <c r="O205" s="611"/>
      <c r="P205" s="611"/>
      <c r="Q205" s="609"/>
      <c r="R205" s="610"/>
    </row>
    <row r="206" spans="1:18">
      <c r="A206" s="609"/>
      <c r="B206" s="609"/>
      <c r="C206" s="610"/>
      <c r="D206" s="610"/>
      <c r="E206" s="611"/>
      <c r="F206" s="611"/>
      <c r="G206" s="611"/>
      <c r="H206" s="612"/>
      <c r="I206" s="611"/>
      <c r="J206" s="610"/>
      <c r="K206" s="609"/>
      <c r="L206" s="613"/>
      <c r="M206" s="611"/>
      <c r="N206" s="609"/>
      <c r="O206" s="611"/>
      <c r="P206" s="611"/>
      <c r="Q206" s="609"/>
      <c r="R206" s="610"/>
    </row>
    <row r="207" spans="1:18">
      <c r="A207" s="609"/>
      <c r="B207" s="609"/>
      <c r="C207" s="610"/>
      <c r="D207" s="610"/>
      <c r="E207" s="611"/>
      <c r="F207" s="611"/>
      <c r="G207" s="611"/>
      <c r="H207" s="612"/>
      <c r="I207" s="611"/>
      <c r="J207" s="610"/>
      <c r="K207" s="609"/>
      <c r="L207" s="613"/>
      <c r="M207" s="611"/>
      <c r="N207" s="609"/>
      <c r="O207" s="611"/>
      <c r="P207" s="611"/>
      <c r="Q207" s="609"/>
      <c r="R207" s="610"/>
    </row>
    <row r="208" spans="1:18">
      <c r="A208" s="609"/>
      <c r="B208" s="609"/>
      <c r="C208" s="610"/>
      <c r="D208" s="610"/>
      <c r="E208" s="611"/>
      <c r="F208" s="611"/>
      <c r="G208" s="611"/>
      <c r="H208" s="612"/>
      <c r="I208" s="611"/>
      <c r="J208" s="610"/>
      <c r="K208" s="609"/>
      <c r="L208" s="613"/>
      <c r="M208" s="611"/>
      <c r="N208" s="609"/>
      <c r="O208" s="611"/>
      <c r="P208" s="611"/>
      <c r="Q208" s="609"/>
      <c r="R208" s="610"/>
    </row>
    <row r="209" spans="1:18">
      <c r="A209" s="609"/>
      <c r="B209" s="609"/>
      <c r="C209" s="610"/>
      <c r="D209" s="610"/>
      <c r="E209" s="611"/>
      <c r="F209" s="611"/>
      <c r="G209" s="611"/>
      <c r="H209" s="612"/>
      <c r="I209" s="611"/>
      <c r="J209" s="610"/>
      <c r="K209" s="609"/>
      <c r="L209" s="613"/>
      <c r="M209" s="611"/>
      <c r="N209" s="609"/>
      <c r="O209" s="611"/>
      <c r="P209" s="611"/>
      <c r="Q209" s="609"/>
      <c r="R209" s="610"/>
    </row>
    <row r="210" spans="1:18">
      <c r="A210" s="609"/>
      <c r="B210" s="609"/>
      <c r="C210" s="610"/>
      <c r="D210" s="610"/>
      <c r="E210" s="611"/>
      <c r="F210" s="611"/>
      <c r="G210" s="611"/>
      <c r="H210" s="612"/>
      <c r="I210" s="611"/>
      <c r="J210" s="610"/>
      <c r="K210" s="609"/>
      <c r="L210" s="613"/>
      <c r="M210" s="611"/>
      <c r="N210" s="609"/>
      <c r="O210" s="611"/>
      <c r="P210" s="611"/>
      <c r="Q210" s="609"/>
      <c r="R210" s="610"/>
    </row>
    <row r="211" spans="1:18">
      <c r="A211" s="609"/>
      <c r="B211" s="609"/>
      <c r="C211" s="610"/>
      <c r="D211" s="610"/>
      <c r="E211" s="611"/>
      <c r="F211" s="611"/>
      <c r="G211" s="611"/>
      <c r="H211" s="612"/>
      <c r="I211" s="611"/>
      <c r="J211" s="610"/>
      <c r="K211" s="609"/>
      <c r="L211" s="613"/>
      <c r="M211" s="611"/>
      <c r="N211" s="609"/>
      <c r="O211" s="611"/>
      <c r="P211" s="611"/>
      <c r="Q211" s="609"/>
      <c r="R211" s="610"/>
    </row>
    <row r="212" spans="1:18">
      <c r="A212" s="609"/>
      <c r="B212" s="609"/>
      <c r="C212" s="610"/>
      <c r="D212" s="610"/>
      <c r="E212" s="611"/>
      <c r="F212" s="611"/>
      <c r="G212" s="611"/>
      <c r="H212" s="612"/>
      <c r="I212" s="611"/>
      <c r="J212" s="610"/>
      <c r="K212" s="609"/>
      <c r="L212" s="613"/>
      <c r="M212" s="611"/>
      <c r="N212" s="609"/>
      <c r="O212" s="611"/>
      <c r="P212" s="611"/>
      <c r="Q212" s="609"/>
      <c r="R212" s="610"/>
    </row>
    <row r="213" spans="1:18">
      <c r="A213" s="609"/>
      <c r="B213" s="609"/>
      <c r="C213" s="610"/>
      <c r="D213" s="610"/>
      <c r="E213" s="611"/>
      <c r="F213" s="611"/>
      <c r="G213" s="611"/>
      <c r="H213" s="612"/>
      <c r="I213" s="611"/>
      <c r="J213" s="610"/>
      <c r="K213" s="609"/>
      <c r="L213" s="613"/>
      <c r="M213" s="611"/>
      <c r="N213" s="609"/>
      <c r="O213" s="611"/>
      <c r="P213" s="611"/>
      <c r="Q213" s="609"/>
      <c r="R213" s="610"/>
    </row>
    <row r="214" spans="1:18">
      <c r="A214" s="609"/>
      <c r="B214" s="609"/>
      <c r="C214" s="610"/>
      <c r="D214" s="610"/>
      <c r="E214" s="611"/>
      <c r="F214" s="611"/>
      <c r="G214" s="611"/>
      <c r="H214" s="612"/>
      <c r="I214" s="611"/>
      <c r="J214" s="610"/>
      <c r="K214" s="609"/>
      <c r="L214" s="613"/>
      <c r="M214" s="611"/>
      <c r="N214" s="609"/>
      <c r="O214" s="611"/>
      <c r="P214" s="611"/>
      <c r="Q214" s="609"/>
      <c r="R214" s="610"/>
    </row>
    <row r="215" spans="1:18">
      <c r="A215" s="609"/>
      <c r="B215" s="609"/>
      <c r="C215" s="610"/>
      <c r="D215" s="610"/>
      <c r="E215" s="611"/>
      <c r="F215" s="611"/>
      <c r="G215" s="611"/>
      <c r="H215" s="612"/>
      <c r="I215" s="611"/>
      <c r="J215" s="610"/>
      <c r="K215" s="609"/>
      <c r="L215" s="613"/>
      <c r="M215" s="611"/>
      <c r="N215" s="609"/>
      <c r="O215" s="611"/>
      <c r="P215" s="611"/>
      <c r="Q215" s="609"/>
      <c r="R215" s="610"/>
    </row>
    <row r="216" spans="1:18">
      <c r="A216" s="609"/>
      <c r="B216" s="609"/>
      <c r="C216" s="610"/>
      <c r="D216" s="610"/>
      <c r="E216" s="611"/>
      <c r="F216" s="611"/>
      <c r="G216" s="611"/>
      <c r="H216" s="612"/>
      <c r="I216" s="611"/>
      <c r="J216" s="610"/>
      <c r="K216" s="609"/>
      <c r="L216" s="613"/>
      <c r="M216" s="611"/>
      <c r="N216" s="609"/>
      <c r="O216" s="611"/>
      <c r="P216" s="611"/>
      <c r="Q216" s="609"/>
      <c r="R216" s="610"/>
    </row>
    <row r="217" spans="1:18">
      <c r="A217" s="609"/>
      <c r="B217" s="609"/>
      <c r="C217" s="610"/>
      <c r="D217" s="610"/>
      <c r="E217" s="611"/>
      <c r="F217" s="611"/>
      <c r="G217" s="611"/>
      <c r="H217" s="612"/>
      <c r="I217" s="611"/>
      <c r="J217" s="610"/>
      <c r="K217" s="609"/>
      <c r="L217" s="613"/>
      <c r="M217" s="611"/>
      <c r="N217" s="609"/>
      <c r="O217" s="611"/>
      <c r="P217" s="611"/>
      <c r="Q217" s="609"/>
      <c r="R217" s="610"/>
    </row>
    <row r="218" spans="1:18">
      <c r="A218" s="609"/>
      <c r="B218" s="609"/>
      <c r="C218" s="610"/>
      <c r="D218" s="610"/>
      <c r="E218" s="611"/>
      <c r="F218" s="611"/>
      <c r="G218" s="611"/>
      <c r="H218" s="612"/>
      <c r="I218" s="611"/>
      <c r="J218" s="610"/>
      <c r="K218" s="609"/>
      <c r="L218" s="613"/>
      <c r="M218" s="611"/>
      <c r="N218" s="609"/>
      <c r="O218" s="611"/>
      <c r="P218" s="611"/>
      <c r="Q218" s="609"/>
      <c r="R218" s="610"/>
    </row>
    <row r="219" spans="1:18">
      <c r="A219" s="609"/>
      <c r="B219" s="609"/>
      <c r="C219" s="610"/>
      <c r="D219" s="610"/>
      <c r="E219" s="611"/>
      <c r="F219" s="611"/>
      <c r="G219" s="611"/>
      <c r="H219" s="612"/>
      <c r="I219" s="611"/>
      <c r="J219" s="610"/>
      <c r="K219" s="609"/>
      <c r="L219" s="613"/>
      <c r="M219" s="611"/>
      <c r="N219" s="609"/>
      <c r="O219" s="611"/>
      <c r="P219" s="611"/>
      <c r="Q219" s="609"/>
      <c r="R219" s="610"/>
    </row>
    <row r="220" spans="1:18">
      <c r="A220" s="609"/>
      <c r="B220" s="609"/>
      <c r="C220" s="610"/>
      <c r="D220" s="610"/>
      <c r="E220" s="611"/>
      <c r="F220" s="611"/>
      <c r="G220" s="611"/>
      <c r="H220" s="612"/>
      <c r="I220" s="611"/>
      <c r="J220" s="610"/>
      <c r="K220" s="609"/>
      <c r="L220" s="613"/>
      <c r="M220" s="611"/>
      <c r="N220" s="609"/>
      <c r="O220" s="611"/>
      <c r="P220" s="611"/>
      <c r="Q220" s="609"/>
      <c r="R220" s="610"/>
    </row>
    <row r="221" spans="1:18">
      <c r="A221" s="609"/>
      <c r="B221" s="609"/>
      <c r="C221" s="610"/>
      <c r="D221" s="610"/>
      <c r="E221" s="611"/>
      <c r="F221" s="611"/>
      <c r="G221" s="611"/>
      <c r="H221" s="612"/>
      <c r="I221" s="611"/>
      <c r="J221" s="610"/>
      <c r="K221" s="609"/>
      <c r="L221" s="613"/>
      <c r="M221" s="611"/>
      <c r="N221" s="609"/>
      <c r="O221" s="611"/>
      <c r="P221" s="611"/>
      <c r="Q221" s="609"/>
      <c r="R221" s="610"/>
    </row>
    <row r="222" spans="1:18">
      <c r="A222" s="609"/>
      <c r="B222" s="609"/>
      <c r="C222" s="610"/>
      <c r="D222" s="610"/>
      <c r="E222" s="611"/>
      <c r="F222" s="611"/>
      <c r="G222" s="611"/>
      <c r="H222" s="612"/>
      <c r="I222" s="611"/>
      <c r="J222" s="610"/>
      <c r="K222" s="609"/>
      <c r="L222" s="613"/>
      <c r="M222" s="611"/>
      <c r="N222" s="609"/>
      <c r="O222" s="611"/>
      <c r="P222" s="611"/>
      <c r="Q222" s="609"/>
      <c r="R222" s="610"/>
    </row>
    <row r="223" spans="1:18">
      <c r="A223" s="609"/>
      <c r="B223" s="609"/>
      <c r="C223" s="610"/>
      <c r="D223" s="610"/>
      <c r="E223" s="611"/>
      <c r="F223" s="611"/>
      <c r="G223" s="611"/>
      <c r="H223" s="612"/>
      <c r="I223" s="611"/>
      <c r="J223" s="610"/>
      <c r="K223" s="609"/>
      <c r="L223" s="613"/>
      <c r="M223" s="611"/>
      <c r="N223" s="609"/>
      <c r="O223" s="611"/>
      <c r="P223" s="611"/>
      <c r="Q223" s="609"/>
      <c r="R223" s="610"/>
    </row>
    <row r="224" spans="1:18">
      <c r="A224" s="609"/>
      <c r="B224" s="609"/>
      <c r="C224" s="610"/>
      <c r="D224" s="610"/>
      <c r="E224" s="611"/>
      <c r="F224" s="611"/>
      <c r="G224" s="611"/>
      <c r="H224" s="612"/>
      <c r="I224" s="611"/>
      <c r="J224" s="610"/>
      <c r="K224" s="609"/>
      <c r="L224" s="613"/>
      <c r="M224" s="611"/>
      <c r="N224" s="609"/>
      <c r="O224" s="611"/>
      <c r="P224" s="611"/>
      <c r="Q224" s="609"/>
      <c r="R224" s="610"/>
    </row>
    <row r="225" spans="1:18">
      <c r="A225" s="609"/>
      <c r="B225" s="609"/>
      <c r="C225" s="610"/>
      <c r="D225" s="610"/>
      <c r="E225" s="611"/>
      <c r="F225" s="611"/>
      <c r="G225" s="611"/>
      <c r="H225" s="612"/>
      <c r="I225" s="611"/>
      <c r="J225" s="610"/>
      <c r="K225" s="609"/>
      <c r="L225" s="613"/>
      <c r="M225" s="611"/>
      <c r="N225" s="609"/>
      <c r="O225" s="611"/>
      <c r="P225" s="611"/>
      <c r="Q225" s="609"/>
      <c r="R225" s="610"/>
    </row>
    <row r="226" spans="1:18">
      <c r="A226" s="609"/>
      <c r="B226" s="609"/>
      <c r="C226" s="610"/>
      <c r="D226" s="610"/>
      <c r="E226" s="611"/>
      <c r="F226" s="611"/>
      <c r="G226" s="611"/>
      <c r="H226" s="612"/>
      <c r="I226" s="611"/>
      <c r="J226" s="610"/>
      <c r="K226" s="609"/>
      <c r="L226" s="613"/>
      <c r="M226" s="611"/>
      <c r="N226" s="609"/>
      <c r="O226" s="611"/>
      <c r="P226" s="611"/>
      <c r="Q226" s="609"/>
      <c r="R226" s="610"/>
    </row>
    <row r="227" spans="1:18">
      <c r="A227" s="609"/>
      <c r="B227" s="609"/>
      <c r="C227" s="610"/>
      <c r="D227" s="610"/>
      <c r="E227" s="611"/>
      <c r="F227" s="611"/>
      <c r="G227" s="611"/>
      <c r="H227" s="612"/>
      <c r="I227" s="611"/>
      <c r="J227" s="610"/>
      <c r="K227" s="609"/>
      <c r="L227" s="613"/>
      <c r="M227" s="611"/>
      <c r="N227" s="609"/>
      <c r="O227" s="611"/>
      <c r="P227" s="611"/>
      <c r="Q227" s="609"/>
      <c r="R227" s="610"/>
    </row>
    <row r="228" spans="1:18">
      <c r="A228" s="609"/>
      <c r="B228" s="609"/>
      <c r="C228" s="610"/>
      <c r="D228" s="610"/>
      <c r="E228" s="611"/>
      <c r="F228" s="611"/>
      <c r="G228" s="611"/>
      <c r="H228" s="612"/>
      <c r="I228" s="611"/>
      <c r="J228" s="610"/>
      <c r="K228" s="609"/>
      <c r="L228" s="613"/>
      <c r="M228" s="611"/>
      <c r="N228" s="609"/>
      <c r="O228" s="611"/>
      <c r="P228" s="611"/>
      <c r="Q228" s="609"/>
      <c r="R228" s="610"/>
    </row>
    <row r="229" spans="1:18">
      <c r="A229" s="609"/>
      <c r="B229" s="609"/>
      <c r="C229" s="610"/>
      <c r="D229" s="610"/>
      <c r="E229" s="611"/>
      <c r="F229" s="611"/>
      <c r="G229" s="611"/>
      <c r="H229" s="612"/>
      <c r="I229" s="611"/>
      <c r="J229" s="610"/>
      <c r="K229" s="609"/>
      <c r="L229" s="613"/>
      <c r="M229" s="611"/>
      <c r="N229" s="609"/>
      <c r="O229" s="611"/>
      <c r="P229" s="611"/>
      <c r="Q229" s="609"/>
      <c r="R229" s="610"/>
    </row>
    <row r="230" spans="1:18">
      <c r="A230" s="609"/>
      <c r="B230" s="609"/>
      <c r="C230" s="610"/>
      <c r="D230" s="610"/>
      <c r="E230" s="611"/>
      <c r="F230" s="611"/>
      <c r="G230" s="611"/>
      <c r="H230" s="612"/>
      <c r="I230" s="611"/>
      <c r="J230" s="610"/>
      <c r="K230" s="609"/>
      <c r="L230" s="613"/>
      <c r="M230" s="611"/>
      <c r="N230" s="609"/>
      <c r="O230" s="611"/>
      <c r="P230" s="611"/>
      <c r="Q230" s="609"/>
      <c r="R230" s="610"/>
    </row>
    <row r="231" spans="1:18">
      <c r="A231" s="609"/>
      <c r="B231" s="609"/>
      <c r="C231" s="610"/>
      <c r="D231" s="610"/>
      <c r="E231" s="611"/>
      <c r="F231" s="611"/>
      <c r="G231" s="611"/>
      <c r="H231" s="612"/>
      <c r="I231" s="611"/>
      <c r="J231" s="610"/>
      <c r="K231" s="609"/>
      <c r="L231" s="613"/>
      <c r="M231" s="611"/>
      <c r="N231" s="609"/>
      <c r="O231" s="611"/>
      <c r="P231" s="611"/>
      <c r="Q231" s="609"/>
      <c r="R231" s="610"/>
    </row>
    <row r="232" spans="1:18">
      <c r="A232" s="609"/>
      <c r="B232" s="609"/>
      <c r="C232" s="610"/>
      <c r="D232" s="610"/>
      <c r="E232" s="611"/>
      <c r="F232" s="611"/>
      <c r="G232" s="611"/>
      <c r="H232" s="612"/>
      <c r="I232" s="611"/>
      <c r="J232" s="610"/>
      <c r="K232" s="609"/>
      <c r="L232" s="613"/>
      <c r="M232" s="611"/>
      <c r="N232" s="609"/>
      <c r="O232" s="611"/>
      <c r="P232" s="611"/>
      <c r="Q232" s="609"/>
      <c r="R232" s="610"/>
    </row>
    <row r="233" spans="1:18">
      <c r="A233" s="609"/>
      <c r="B233" s="609"/>
      <c r="C233" s="610"/>
      <c r="D233" s="610"/>
      <c r="E233" s="611"/>
      <c r="F233" s="611"/>
      <c r="G233" s="611"/>
      <c r="H233" s="612"/>
      <c r="I233" s="611"/>
      <c r="J233" s="610"/>
      <c r="K233" s="609"/>
      <c r="L233" s="613"/>
      <c r="M233" s="611"/>
      <c r="N233" s="609"/>
      <c r="O233" s="611"/>
      <c r="P233" s="611"/>
      <c r="Q233" s="609"/>
      <c r="R233" s="610"/>
    </row>
    <row r="234" spans="1:18">
      <c r="A234" s="609"/>
      <c r="B234" s="609"/>
      <c r="C234" s="610"/>
      <c r="D234" s="610"/>
      <c r="E234" s="611"/>
      <c r="F234" s="611"/>
      <c r="G234" s="611"/>
      <c r="H234" s="612"/>
      <c r="I234" s="611"/>
      <c r="J234" s="610"/>
      <c r="K234" s="609"/>
      <c r="L234" s="613"/>
      <c r="M234" s="611"/>
      <c r="N234" s="609"/>
      <c r="O234" s="611"/>
      <c r="P234" s="611"/>
      <c r="Q234" s="609"/>
      <c r="R234" s="610"/>
    </row>
    <row r="235" spans="1:18">
      <c r="A235" s="609"/>
      <c r="B235" s="609"/>
      <c r="C235" s="610"/>
      <c r="D235" s="610"/>
      <c r="E235" s="611"/>
      <c r="F235" s="611"/>
      <c r="G235" s="611"/>
      <c r="H235" s="612"/>
      <c r="I235" s="611"/>
      <c r="J235" s="610"/>
      <c r="K235" s="609"/>
      <c r="L235" s="613"/>
      <c r="M235" s="611"/>
      <c r="N235" s="609"/>
      <c r="O235" s="611"/>
      <c r="P235" s="611"/>
      <c r="Q235" s="609"/>
      <c r="R235" s="610"/>
    </row>
    <row r="236" spans="1:18">
      <c r="A236" s="609"/>
      <c r="B236" s="609"/>
      <c r="C236" s="610"/>
      <c r="D236" s="610"/>
      <c r="E236" s="611"/>
      <c r="F236" s="611"/>
      <c r="G236" s="611"/>
      <c r="H236" s="612"/>
      <c r="I236" s="611"/>
      <c r="J236" s="610"/>
      <c r="K236" s="609"/>
      <c r="L236" s="613"/>
      <c r="M236" s="611"/>
      <c r="N236" s="609"/>
      <c r="O236" s="611"/>
      <c r="P236" s="611"/>
      <c r="Q236" s="609"/>
      <c r="R236" s="610"/>
    </row>
    <row r="237" spans="1:18">
      <c r="A237" s="609"/>
      <c r="B237" s="609"/>
      <c r="C237" s="610"/>
      <c r="D237" s="610"/>
      <c r="E237" s="611"/>
      <c r="F237" s="611"/>
      <c r="G237" s="611"/>
      <c r="H237" s="612"/>
      <c r="I237" s="611"/>
      <c r="J237" s="610"/>
      <c r="K237" s="609"/>
      <c r="L237" s="613"/>
      <c r="M237" s="611"/>
      <c r="N237" s="609"/>
      <c r="O237" s="611"/>
      <c r="P237" s="611"/>
      <c r="Q237" s="609"/>
      <c r="R237" s="610"/>
    </row>
    <row r="238" spans="1:18">
      <c r="A238" s="609"/>
      <c r="B238" s="609"/>
      <c r="C238" s="610"/>
      <c r="D238" s="610"/>
      <c r="E238" s="611"/>
      <c r="F238" s="611"/>
      <c r="G238" s="611"/>
      <c r="H238" s="612"/>
      <c r="I238" s="611"/>
      <c r="J238" s="610"/>
      <c r="K238" s="609"/>
      <c r="L238" s="613"/>
      <c r="M238" s="611"/>
      <c r="N238" s="609"/>
      <c r="O238" s="611"/>
      <c r="P238" s="611"/>
      <c r="Q238" s="609"/>
      <c r="R238" s="610"/>
    </row>
    <row r="239" spans="1:18">
      <c r="A239" s="609"/>
      <c r="B239" s="609"/>
      <c r="C239" s="610"/>
      <c r="D239" s="610"/>
      <c r="E239" s="611"/>
      <c r="F239" s="611"/>
      <c r="G239" s="611"/>
      <c r="H239" s="612"/>
      <c r="I239" s="611"/>
      <c r="J239" s="610"/>
      <c r="K239" s="609"/>
      <c r="L239" s="613"/>
      <c r="M239" s="611"/>
      <c r="N239" s="609"/>
      <c r="O239" s="611"/>
      <c r="P239" s="611"/>
      <c r="Q239" s="609"/>
      <c r="R239" s="610"/>
    </row>
    <row r="240" spans="1:18">
      <c r="A240" s="609"/>
      <c r="B240" s="609"/>
      <c r="C240" s="610"/>
      <c r="D240" s="610"/>
      <c r="E240" s="611"/>
      <c r="F240" s="611"/>
      <c r="G240" s="611"/>
      <c r="H240" s="612"/>
      <c r="I240" s="611"/>
      <c r="J240" s="610"/>
      <c r="K240" s="609"/>
      <c r="L240" s="613"/>
      <c r="M240" s="611"/>
      <c r="N240" s="609"/>
      <c r="O240" s="611"/>
      <c r="P240" s="611"/>
      <c r="Q240" s="609"/>
      <c r="R240" s="610"/>
    </row>
    <row r="241" spans="1:18">
      <c r="A241" s="609"/>
      <c r="B241" s="609"/>
      <c r="C241" s="610"/>
      <c r="D241" s="610"/>
      <c r="E241" s="611"/>
      <c r="F241" s="611"/>
      <c r="G241" s="611"/>
      <c r="H241" s="612"/>
      <c r="I241" s="611"/>
      <c r="J241" s="610"/>
      <c r="K241" s="609"/>
      <c r="L241" s="613"/>
      <c r="M241" s="611"/>
      <c r="N241" s="609"/>
      <c r="O241" s="611"/>
      <c r="P241" s="611"/>
      <c r="Q241" s="609"/>
      <c r="R241" s="610"/>
    </row>
    <row r="242" spans="1:18">
      <c r="A242" s="609"/>
      <c r="B242" s="609"/>
      <c r="C242" s="610"/>
      <c r="D242" s="610"/>
      <c r="E242" s="611"/>
      <c r="F242" s="611"/>
      <c r="G242" s="611"/>
      <c r="H242" s="612"/>
      <c r="I242" s="611"/>
      <c r="J242" s="610"/>
      <c r="K242" s="609"/>
      <c r="L242" s="613"/>
      <c r="M242" s="611"/>
      <c r="N242" s="609"/>
      <c r="O242" s="611"/>
      <c r="P242" s="611"/>
      <c r="Q242" s="609"/>
      <c r="R242" s="610"/>
    </row>
    <row r="243" spans="1:18">
      <c r="A243" s="609"/>
      <c r="B243" s="609"/>
      <c r="C243" s="610"/>
      <c r="D243" s="610"/>
      <c r="E243" s="611"/>
      <c r="F243" s="611"/>
      <c r="G243" s="611"/>
      <c r="H243" s="612"/>
      <c r="I243" s="611"/>
      <c r="J243" s="610"/>
      <c r="K243" s="609"/>
      <c r="L243" s="613"/>
      <c r="M243" s="611"/>
      <c r="N243" s="609"/>
      <c r="O243" s="611"/>
      <c r="P243" s="611"/>
      <c r="Q243" s="609"/>
      <c r="R243" s="610"/>
    </row>
    <row r="244" spans="1:18">
      <c r="A244" s="609"/>
      <c r="B244" s="609"/>
      <c r="C244" s="610"/>
      <c r="D244" s="610"/>
      <c r="E244" s="611"/>
      <c r="F244" s="611"/>
      <c r="G244" s="611"/>
      <c r="H244" s="612"/>
      <c r="I244" s="611"/>
      <c r="J244" s="610"/>
      <c r="K244" s="609"/>
      <c r="L244" s="613"/>
      <c r="M244" s="611"/>
      <c r="N244" s="609"/>
      <c r="O244" s="611"/>
      <c r="P244" s="611"/>
      <c r="Q244" s="609"/>
      <c r="R244" s="610"/>
    </row>
    <row r="245" spans="1:18">
      <c r="A245" s="609"/>
      <c r="B245" s="609"/>
      <c r="C245" s="610"/>
      <c r="D245" s="610"/>
      <c r="E245" s="611"/>
      <c r="F245" s="611"/>
      <c r="G245" s="611"/>
      <c r="H245" s="612"/>
      <c r="I245" s="611"/>
      <c r="J245" s="610"/>
      <c r="K245" s="609"/>
      <c r="L245" s="613"/>
      <c r="M245" s="611"/>
      <c r="N245" s="609"/>
      <c r="O245" s="611"/>
      <c r="P245" s="611"/>
      <c r="Q245" s="609"/>
      <c r="R245" s="610"/>
    </row>
    <row r="246" spans="1:18">
      <c r="A246" s="609"/>
      <c r="B246" s="609"/>
      <c r="C246" s="610"/>
      <c r="D246" s="610"/>
      <c r="E246" s="611"/>
      <c r="F246" s="611"/>
      <c r="G246" s="611"/>
      <c r="H246" s="612"/>
      <c r="I246" s="611"/>
      <c r="J246" s="610"/>
      <c r="K246" s="609"/>
      <c r="L246" s="613"/>
      <c r="M246" s="611"/>
      <c r="N246" s="609"/>
      <c r="O246" s="611"/>
      <c r="P246" s="611"/>
      <c r="Q246" s="609"/>
      <c r="R246" s="610"/>
    </row>
    <row r="247" spans="1:18">
      <c r="A247" s="609"/>
      <c r="B247" s="609"/>
      <c r="C247" s="610"/>
      <c r="D247" s="610"/>
      <c r="E247" s="611"/>
      <c r="F247" s="611"/>
      <c r="G247" s="611"/>
      <c r="H247" s="612"/>
      <c r="I247" s="611"/>
      <c r="J247" s="610"/>
      <c r="K247" s="609"/>
      <c r="L247" s="613"/>
      <c r="M247" s="611"/>
      <c r="N247" s="609"/>
      <c r="O247" s="611"/>
      <c r="P247" s="611"/>
      <c r="Q247" s="609"/>
      <c r="R247" s="610"/>
    </row>
    <row r="248" spans="1:18">
      <c r="A248" s="609"/>
      <c r="B248" s="609"/>
      <c r="C248" s="610"/>
      <c r="D248" s="610"/>
      <c r="E248" s="611"/>
      <c r="F248" s="611"/>
      <c r="G248" s="611"/>
      <c r="H248" s="612"/>
      <c r="I248" s="611"/>
      <c r="J248" s="610"/>
      <c r="K248" s="609"/>
      <c r="L248" s="613"/>
      <c r="M248" s="611"/>
      <c r="N248" s="609"/>
      <c r="O248" s="611"/>
      <c r="P248" s="611"/>
      <c r="Q248" s="609"/>
      <c r="R248" s="610"/>
    </row>
    <row r="249" spans="1:18">
      <c r="A249" s="609"/>
      <c r="B249" s="609"/>
      <c r="C249" s="610"/>
      <c r="D249" s="610"/>
      <c r="E249" s="611"/>
      <c r="F249" s="611"/>
      <c r="G249" s="611"/>
      <c r="H249" s="612"/>
      <c r="I249" s="611"/>
      <c r="J249" s="610"/>
      <c r="K249" s="609"/>
      <c r="L249" s="613"/>
      <c r="M249" s="611"/>
      <c r="N249" s="609"/>
      <c r="O249" s="611"/>
      <c r="P249" s="611"/>
      <c r="Q249" s="609"/>
      <c r="R249" s="610"/>
    </row>
    <row r="250" spans="1:18">
      <c r="A250" s="609"/>
      <c r="B250" s="609"/>
      <c r="C250" s="610"/>
      <c r="D250" s="610"/>
      <c r="E250" s="611"/>
      <c r="F250" s="611"/>
      <c r="G250" s="611"/>
      <c r="H250" s="612"/>
      <c r="I250" s="611"/>
      <c r="J250" s="610"/>
      <c r="K250" s="609"/>
      <c r="L250" s="613"/>
      <c r="M250" s="611"/>
      <c r="N250" s="609"/>
      <c r="O250" s="611"/>
      <c r="P250" s="611"/>
      <c r="Q250" s="609"/>
      <c r="R250" s="610"/>
    </row>
    <row r="251" spans="1:18">
      <c r="A251" s="609"/>
      <c r="B251" s="609"/>
      <c r="C251" s="610"/>
      <c r="D251" s="610"/>
      <c r="E251" s="611"/>
      <c r="F251" s="611"/>
      <c r="G251" s="611"/>
      <c r="H251" s="612"/>
      <c r="I251" s="611"/>
      <c r="J251" s="610"/>
      <c r="K251" s="609"/>
      <c r="L251" s="613"/>
      <c r="M251" s="611"/>
      <c r="N251" s="609"/>
      <c r="O251" s="611"/>
      <c r="P251" s="611"/>
      <c r="Q251" s="609"/>
      <c r="R251" s="610"/>
    </row>
    <row r="252" spans="1:18">
      <c r="A252" s="609"/>
      <c r="B252" s="609"/>
      <c r="C252" s="610"/>
      <c r="D252" s="610"/>
      <c r="E252" s="611"/>
      <c r="F252" s="611"/>
      <c r="G252" s="611"/>
      <c r="H252" s="612"/>
      <c r="I252" s="611"/>
      <c r="J252" s="610"/>
      <c r="K252" s="609"/>
      <c r="L252" s="613"/>
      <c r="M252" s="611"/>
      <c r="N252" s="609"/>
      <c r="O252" s="611"/>
      <c r="P252" s="611"/>
      <c r="Q252" s="609"/>
      <c r="R252" s="610"/>
    </row>
    <row r="253" spans="1:18">
      <c r="A253" s="609"/>
      <c r="B253" s="609"/>
      <c r="C253" s="610"/>
      <c r="D253" s="610"/>
      <c r="E253" s="611"/>
      <c r="F253" s="611"/>
      <c r="G253" s="611"/>
      <c r="H253" s="612"/>
      <c r="I253" s="611"/>
      <c r="J253" s="610"/>
      <c r="K253" s="609"/>
      <c r="L253" s="613"/>
      <c r="M253" s="611"/>
      <c r="N253" s="609"/>
      <c r="O253" s="611"/>
      <c r="P253" s="611"/>
      <c r="Q253" s="609"/>
      <c r="R253" s="610"/>
    </row>
    <row r="254" spans="1:18">
      <c r="A254" s="609"/>
      <c r="B254" s="609"/>
      <c r="C254" s="610"/>
      <c r="D254" s="610"/>
      <c r="E254" s="611"/>
      <c r="F254" s="611"/>
      <c r="G254" s="611"/>
      <c r="H254" s="612"/>
      <c r="I254" s="611"/>
      <c r="J254" s="610"/>
      <c r="K254" s="609"/>
      <c r="L254" s="613"/>
      <c r="M254" s="611"/>
      <c r="N254" s="609"/>
      <c r="O254" s="611"/>
      <c r="P254" s="611"/>
      <c r="Q254" s="609"/>
      <c r="R254" s="610"/>
    </row>
    <row r="255" spans="1:18">
      <c r="A255" s="609"/>
      <c r="B255" s="609"/>
      <c r="C255" s="610"/>
      <c r="D255" s="610"/>
      <c r="E255" s="611"/>
      <c r="F255" s="611"/>
      <c r="G255" s="611"/>
      <c r="H255" s="612"/>
      <c r="I255" s="611"/>
      <c r="J255" s="610"/>
      <c r="K255" s="609"/>
      <c r="L255" s="613"/>
      <c r="M255" s="611"/>
      <c r="N255" s="609"/>
      <c r="O255" s="611"/>
      <c r="P255" s="611"/>
      <c r="Q255" s="609"/>
      <c r="R255" s="610"/>
    </row>
    <row r="256" spans="1:18">
      <c r="A256" s="609"/>
      <c r="B256" s="609"/>
      <c r="C256" s="610"/>
      <c r="D256" s="610"/>
      <c r="E256" s="611"/>
      <c r="F256" s="611"/>
      <c r="G256" s="611"/>
      <c r="H256" s="612"/>
      <c r="I256" s="611"/>
      <c r="J256" s="610"/>
      <c r="K256" s="609"/>
      <c r="L256" s="613"/>
      <c r="M256" s="611"/>
      <c r="N256" s="609"/>
      <c r="O256" s="611"/>
      <c r="P256" s="611"/>
      <c r="Q256" s="609"/>
      <c r="R256" s="610"/>
    </row>
    <row r="257" spans="1:18">
      <c r="A257" s="609"/>
      <c r="B257" s="609"/>
      <c r="C257" s="610"/>
      <c r="D257" s="610"/>
      <c r="E257" s="611"/>
      <c r="F257" s="611"/>
      <c r="G257" s="611"/>
      <c r="H257" s="612"/>
      <c r="I257" s="611"/>
      <c r="J257" s="610"/>
      <c r="K257" s="609"/>
      <c r="L257" s="613"/>
      <c r="M257" s="611"/>
      <c r="N257" s="609"/>
      <c r="O257" s="611"/>
      <c r="P257" s="611"/>
      <c r="Q257" s="609"/>
      <c r="R257" s="610"/>
    </row>
    <row r="258" spans="1:18">
      <c r="A258" s="609"/>
      <c r="B258" s="609"/>
      <c r="C258" s="610"/>
      <c r="D258" s="610"/>
      <c r="E258" s="611"/>
      <c r="F258" s="611"/>
      <c r="G258" s="611"/>
      <c r="H258" s="612"/>
      <c r="I258" s="611"/>
      <c r="J258" s="610"/>
      <c r="K258" s="609"/>
      <c r="L258" s="613"/>
      <c r="M258" s="611"/>
      <c r="N258" s="609"/>
      <c r="O258" s="611"/>
      <c r="P258" s="611"/>
      <c r="Q258" s="609"/>
      <c r="R258" s="610"/>
    </row>
    <row r="259" spans="1:18">
      <c r="A259" s="609"/>
      <c r="B259" s="609"/>
      <c r="C259" s="610"/>
      <c r="D259" s="610"/>
      <c r="E259" s="611"/>
      <c r="F259" s="611"/>
      <c r="G259" s="611"/>
      <c r="H259" s="612"/>
      <c r="I259" s="611"/>
      <c r="J259" s="610"/>
      <c r="K259" s="609"/>
      <c r="L259" s="613"/>
      <c r="M259" s="611"/>
      <c r="N259" s="609"/>
      <c r="O259" s="611"/>
      <c r="P259" s="611"/>
      <c r="Q259" s="609"/>
      <c r="R259" s="610"/>
    </row>
    <row r="260" spans="1:18">
      <c r="A260" s="609"/>
      <c r="B260" s="609"/>
      <c r="C260" s="610"/>
      <c r="D260" s="610"/>
      <c r="E260" s="611"/>
      <c r="F260" s="611"/>
      <c r="G260" s="611"/>
      <c r="H260" s="612"/>
      <c r="I260" s="611"/>
      <c r="J260" s="610"/>
      <c r="K260" s="609"/>
      <c r="L260" s="613"/>
      <c r="M260" s="611"/>
      <c r="N260" s="609"/>
      <c r="O260" s="611"/>
      <c r="P260" s="611"/>
      <c r="Q260" s="609"/>
      <c r="R260" s="610"/>
    </row>
    <row r="261" spans="1:18">
      <c r="A261" s="609"/>
      <c r="B261" s="609"/>
      <c r="C261" s="610"/>
      <c r="D261" s="610"/>
      <c r="E261" s="611"/>
      <c r="F261" s="611"/>
      <c r="G261" s="611"/>
      <c r="H261" s="612"/>
      <c r="I261" s="611"/>
      <c r="J261" s="610"/>
      <c r="K261" s="609"/>
      <c r="L261" s="613"/>
      <c r="M261" s="611"/>
      <c r="N261" s="609"/>
      <c r="O261" s="611"/>
      <c r="P261" s="611"/>
      <c r="Q261" s="609"/>
      <c r="R261" s="610"/>
    </row>
    <row r="262" spans="1:18">
      <c r="A262" s="609"/>
      <c r="B262" s="609"/>
      <c r="C262" s="610"/>
      <c r="D262" s="610"/>
      <c r="E262" s="611"/>
      <c r="F262" s="611"/>
      <c r="G262" s="611"/>
      <c r="H262" s="612"/>
      <c r="I262" s="611"/>
      <c r="J262" s="610"/>
      <c r="K262" s="609"/>
      <c r="L262" s="613"/>
      <c r="M262" s="611"/>
      <c r="N262" s="609"/>
      <c r="O262" s="611"/>
      <c r="P262" s="611"/>
      <c r="Q262" s="609"/>
      <c r="R262" s="610"/>
    </row>
    <row r="263" spans="1:18">
      <c r="A263" s="609"/>
      <c r="B263" s="609"/>
      <c r="C263" s="610"/>
      <c r="D263" s="610"/>
      <c r="E263" s="611"/>
      <c r="F263" s="611"/>
      <c r="G263" s="611"/>
      <c r="H263" s="612"/>
      <c r="I263" s="611"/>
      <c r="J263" s="610"/>
      <c r="K263" s="609"/>
      <c r="L263" s="613"/>
      <c r="M263" s="611"/>
      <c r="N263" s="609"/>
      <c r="O263" s="611"/>
      <c r="P263" s="611"/>
      <c r="Q263" s="609"/>
      <c r="R263" s="610"/>
    </row>
    <row r="264" spans="1:18">
      <c r="A264" s="609"/>
      <c r="B264" s="609"/>
      <c r="C264" s="610"/>
      <c r="D264" s="610"/>
      <c r="E264" s="611"/>
      <c r="F264" s="611"/>
      <c r="G264" s="611"/>
      <c r="H264" s="612"/>
      <c r="I264" s="611"/>
      <c r="J264" s="610"/>
      <c r="K264" s="609"/>
      <c r="L264" s="613"/>
      <c r="M264" s="611"/>
      <c r="N264" s="609"/>
      <c r="O264" s="611"/>
      <c r="P264" s="611"/>
      <c r="Q264" s="609"/>
      <c r="R264" s="610"/>
    </row>
    <row r="265" spans="1:18">
      <c r="A265" s="609"/>
      <c r="B265" s="609"/>
      <c r="C265" s="610"/>
      <c r="D265" s="610"/>
      <c r="E265" s="611"/>
      <c r="F265" s="611"/>
      <c r="G265" s="611"/>
      <c r="H265" s="612"/>
      <c r="I265" s="611"/>
      <c r="J265" s="610"/>
      <c r="K265" s="609"/>
      <c r="L265" s="613"/>
      <c r="M265" s="611"/>
      <c r="N265" s="609"/>
      <c r="O265" s="611"/>
      <c r="P265" s="611"/>
      <c r="Q265" s="609"/>
      <c r="R265" s="610"/>
    </row>
    <row r="266" spans="1:18">
      <c r="A266" s="609"/>
      <c r="B266" s="609"/>
      <c r="C266" s="610"/>
      <c r="D266" s="610"/>
      <c r="E266" s="611"/>
      <c r="F266" s="611"/>
      <c r="G266" s="611"/>
      <c r="H266" s="612"/>
      <c r="I266" s="611"/>
      <c r="J266" s="610"/>
      <c r="K266" s="609"/>
      <c r="L266" s="613"/>
      <c r="M266" s="611"/>
      <c r="N266" s="609"/>
      <c r="O266" s="611"/>
      <c r="P266" s="611"/>
      <c r="Q266" s="609"/>
      <c r="R266" s="610"/>
    </row>
    <row r="267" spans="1:18">
      <c r="A267" s="609"/>
      <c r="B267" s="609"/>
      <c r="C267" s="610"/>
      <c r="D267" s="610"/>
      <c r="E267" s="611"/>
      <c r="F267" s="611"/>
      <c r="G267" s="611"/>
      <c r="H267" s="612"/>
      <c r="I267" s="611"/>
      <c r="J267" s="610"/>
      <c r="K267" s="609"/>
      <c r="L267" s="613"/>
      <c r="M267" s="611"/>
      <c r="N267" s="609"/>
      <c r="O267" s="611"/>
      <c r="P267" s="611"/>
      <c r="Q267" s="609"/>
      <c r="R267" s="610"/>
    </row>
    <row r="268" spans="1:18">
      <c r="A268" s="609"/>
      <c r="B268" s="609"/>
      <c r="C268" s="610"/>
      <c r="D268" s="610"/>
      <c r="E268" s="611"/>
      <c r="F268" s="611"/>
      <c r="G268" s="611"/>
      <c r="H268" s="612"/>
      <c r="I268" s="611"/>
      <c r="J268" s="610"/>
      <c r="K268" s="609"/>
      <c r="L268" s="613"/>
      <c r="M268" s="611"/>
      <c r="N268" s="609"/>
      <c r="O268" s="611"/>
      <c r="P268" s="611"/>
      <c r="Q268" s="609"/>
      <c r="R268" s="610"/>
    </row>
    <row r="269" spans="1:18">
      <c r="A269" s="609"/>
      <c r="B269" s="609"/>
      <c r="C269" s="610"/>
      <c r="D269" s="610"/>
      <c r="E269" s="611"/>
      <c r="F269" s="611"/>
      <c r="G269" s="611"/>
      <c r="H269" s="612"/>
      <c r="I269" s="611"/>
      <c r="J269" s="610"/>
      <c r="K269" s="609"/>
      <c r="L269" s="613"/>
      <c r="M269" s="611"/>
      <c r="N269" s="609"/>
      <c r="O269" s="611"/>
      <c r="P269" s="611"/>
      <c r="Q269" s="609"/>
      <c r="R269" s="610"/>
    </row>
    <row r="270" spans="1:18">
      <c r="A270" s="609"/>
      <c r="B270" s="609"/>
      <c r="C270" s="610"/>
      <c r="D270" s="610"/>
      <c r="E270" s="611"/>
      <c r="F270" s="611"/>
      <c r="G270" s="611"/>
      <c r="H270" s="612"/>
      <c r="I270" s="611"/>
      <c r="J270" s="610"/>
      <c r="K270" s="609"/>
      <c r="L270" s="613"/>
      <c r="M270" s="611"/>
      <c r="N270" s="609"/>
      <c r="O270" s="611"/>
      <c r="P270" s="611"/>
      <c r="Q270" s="609"/>
      <c r="R270" s="610"/>
    </row>
    <row r="271" spans="1:18">
      <c r="A271" s="609"/>
      <c r="B271" s="609"/>
      <c r="C271" s="610"/>
      <c r="D271" s="610"/>
      <c r="E271" s="611"/>
      <c r="F271" s="611"/>
      <c r="G271" s="611"/>
      <c r="H271" s="612"/>
      <c r="I271" s="611"/>
      <c r="J271" s="610"/>
      <c r="K271" s="609"/>
      <c r="L271" s="613"/>
      <c r="M271" s="611"/>
      <c r="N271" s="609"/>
      <c r="O271" s="611"/>
      <c r="P271" s="611"/>
      <c r="Q271" s="609"/>
      <c r="R271" s="610"/>
    </row>
    <row r="272" spans="1:18">
      <c r="A272" s="609"/>
      <c r="B272" s="609"/>
      <c r="C272" s="610"/>
      <c r="D272" s="610"/>
      <c r="E272" s="611"/>
      <c r="F272" s="611"/>
      <c r="G272" s="611"/>
      <c r="H272" s="612"/>
      <c r="I272" s="611"/>
      <c r="J272" s="610"/>
      <c r="K272" s="609"/>
      <c r="L272" s="613"/>
      <c r="M272" s="611"/>
      <c r="N272" s="609"/>
      <c r="O272" s="611"/>
      <c r="P272" s="611"/>
      <c r="Q272" s="609"/>
      <c r="R272" s="610"/>
    </row>
    <row r="273" spans="1:18">
      <c r="A273" s="609"/>
      <c r="B273" s="609"/>
      <c r="C273" s="610"/>
      <c r="D273" s="610"/>
      <c r="E273" s="611"/>
      <c r="F273" s="611"/>
      <c r="G273" s="611"/>
      <c r="H273" s="612"/>
      <c r="I273" s="611"/>
      <c r="J273" s="610"/>
      <c r="K273" s="609"/>
      <c r="L273" s="613"/>
      <c r="M273" s="611"/>
      <c r="N273" s="609"/>
      <c r="O273" s="611"/>
      <c r="P273" s="611"/>
      <c r="Q273" s="609"/>
      <c r="R273" s="610"/>
    </row>
    <row r="274" spans="1:18">
      <c r="A274" s="609"/>
      <c r="B274" s="609"/>
      <c r="C274" s="610"/>
      <c r="D274" s="610"/>
      <c r="E274" s="611"/>
      <c r="F274" s="611"/>
      <c r="G274" s="611"/>
      <c r="H274" s="612"/>
      <c r="I274" s="611"/>
      <c r="J274" s="610"/>
      <c r="K274" s="609"/>
      <c r="L274" s="613"/>
      <c r="M274" s="611"/>
      <c r="N274" s="609"/>
      <c r="O274" s="611"/>
      <c r="P274" s="611"/>
      <c r="Q274" s="609"/>
      <c r="R274" s="610"/>
    </row>
    <row r="275" spans="1:18">
      <c r="A275" s="609"/>
      <c r="B275" s="609"/>
      <c r="C275" s="610"/>
      <c r="D275" s="610"/>
      <c r="E275" s="611"/>
      <c r="F275" s="611"/>
      <c r="G275" s="611"/>
      <c r="H275" s="612"/>
      <c r="I275" s="611"/>
      <c r="J275" s="610"/>
      <c r="K275" s="609"/>
      <c r="L275" s="613"/>
      <c r="M275" s="611"/>
      <c r="N275" s="609"/>
      <c r="O275" s="611"/>
      <c r="P275" s="611"/>
      <c r="Q275" s="609"/>
      <c r="R275" s="610"/>
    </row>
    <row r="276" spans="1:18">
      <c r="A276" s="609"/>
      <c r="B276" s="609"/>
      <c r="C276" s="610"/>
      <c r="D276" s="610"/>
      <c r="E276" s="611"/>
      <c r="F276" s="611"/>
      <c r="G276" s="611"/>
      <c r="H276" s="612"/>
      <c r="I276" s="611"/>
      <c r="J276" s="610"/>
      <c r="K276" s="609"/>
      <c r="L276" s="613"/>
      <c r="M276" s="611"/>
      <c r="N276" s="609"/>
      <c r="O276" s="611"/>
      <c r="P276" s="611"/>
      <c r="Q276" s="609"/>
      <c r="R276" s="610"/>
    </row>
    <row r="277" spans="1:18">
      <c r="A277" s="609"/>
      <c r="B277" s="609"/>
      <c r="C277" s="610"/>
      <c r="D277" s="610"/>
      <c r="E277" s="611"/>
      <c r="F277" s="611"/>
      <c r="G277" s="611"/>
      <c r="H277" s="612"/>
      <c r="I277" s="611"/>
      <c r="J277" s="610"/>
      <c r="K277" s="609"/>
      <c r="L277" s="613"/>
      <c r="M277" s="611"/>
      <c r="N277" s="609"/>
      <c r="O277" s="611"/>
      <c r="P277" s="611"/>
      <c r="Q277" s="609"/>
      <c r="R277" s="610"/>
    </row>
    <row r="278" spans="1:18">
      <c r="A278" s="609"/>
      <c r="B278" s="609"/>
      <c r="C278" s="610"/>
      <c r="D278" s="610"/>
      <c r="E278" s="611"/>
      <c r="F278" s="611"/>
      <c r="G278" s="611"/>
      <c r="H278" s="612"/>
      <c r="I278" s="611"/>
      <c r="J278" s="610"/>
      <c r="K278" s="609"/>
      <c r="L278" s="613"/>
      <c r="M278" s="611"/>
      <c r="N278" s="609"/>
      <c r="O278" s="611"/>
      <c r="P278" s="611"/>
      <c r="Q278" s="609"/>
      <c r="R278" s="610"/>
    </row>
    <row r="279" spans="1:18">
      <c r="A279" s="609"/>
      <c r="B279" s="609"/>
      <c r="C279" s="610"/>
      <c r="D279" s="610"/>
      <c r="E279" s="611"/>
      <c r="F279" s="611"/>
      <c r="G279" s="611"/>
      <c r="H279" s="612"/>
      <c r="I279" s="611"/>
      <c r="J279" s="610"/>
      <c r="K279" s="609"/>
      <c r="L279" s="613"/>
      <c r="M279" s="611"/>
      <c r="N279" s="609"/>
      <c r="O279" s="611"/>
      <c r="P279" s="611"/>
      <c r="Q279" s="609"/>
      <c r="R279" s="610"/>
    </row>
    <row r="280" spans="1:18">
      <c r="A280" s="609"/>
      <c r="B280" s="609"/>
      <c r="C280" s="610"/>
      <c r="D280" s="610"/>
      <c r="E280" s="611"/>
      <c r="F280" s="611"/>
      <c r="G280" s="611"/>
      <c r="H280" s="612"/>
      <c r="I280" s="611"/>
      <c r="J280" s="610"/>
      <c r="K280" s="609"/>
      <c r="L280" s="613"/>
      <c r="M280" s="611"/>
      <c r="N280" s="609"/>
      <c r="O280" s="611"/>
      <c r="P280" s="611"/>
      <c r="Q280" s="609"/>
      <c r="R280" s="610"/>
    </row>
    <row r="281" spans="1:18">
      <c r="A281" s="609"/>
      <c r="B281" s="609"/>
      <c r="C281" s="610"/>
      <c r="D281" s="610"/>
      <c r="E281" s="611"/>
      <c r="F281" s="611"/>
      <c r="G281" s="611"/>
      <c r="H281" s="612"/>
      <c r="I281" s="611"/>
      <c r="J281" s="610"/>
      <c r="K281" s="609"/>
      <c r="L281" s="613"/>
      <c r="M281" s="611"/>
      <c r="N281" s="609"/>
      <c r="O281" s="611"/>
      <c r="P281" s="611"/>
      <c r="Q281" s="609"/>
      <c r="R281" s="610"/>
    </row>
    <row r="282" spans="1:18">
      <c r="A282" s="609"/>
      <c r="B282" s="609"/>
      <c r="C282" s="610"/>
      <c r="D282" s="610"/>
      <c r="E282" s="611"/>
      <c r="F282" s="611"/>
      <c r="G282" s="611"/>
      <c r="H282" s="612"/>
      <c r="I282" s="611"/>
      <c r="J282" s="610"/>
      <c r="K282" s="609"/>
      <c r="L282" s="613"/>
      <c r="M282" s="611"/>
      <c r="N282" s="609"/>
      <c r="O282" s="611"/>
      <c r="P282" s="611"/>
      <c r="Q282" s="609"/>
      <c r="R282" s="610"/>
    </row>
    <row r="283" spans="1:18">
      <c r="A283" s="609"/>
      <c r="B283" s="609"/>
      <c r="C283" s="610"/>
      <c r="D283" s="610"/>
      <c r="E283" s="611"/>
      <c r="F283" s="611"/>
      <c r="G283" s="611"/>
      <c r="H283" s="612"/>
      <c r="I283" s="611"/>
      <c r="J283" s="610"/>
      <c r="K283" s="609"/>
      <c r="L283" s="613"/>
      <c r="M283" s="611"/>
      <c r="N283" s="609"/>
      <c r="O283" s="611"/>
      <c r="P283" s="611"/>
      <c r="Q283" s="609"/>
      <c r="R283" s="610"/>
    </row>
    <row r="284" spans="1:18">
      <c r="A284" s="609"/>
      <c r="B284" s="609"/>
      <c r="C284" s="610"/>
      <c r="D284" s="610"/>
      <c r="E284" s="611"/>
      <c r="F284" s="611"/>
      <c r="G284" s="611"/>
      <c r="H284" s="612"/>
      <c r="I284" s="611"/>
      <c r="J284" s="610"/>
      <c r="K284" s="609"/>
      <c r="L284" s="613"/>
      <c r="M284" s="611"/>
      <c r="N284" s="609"/>
      <c r="O284" s="611"/>
      <c r="P284" s="611"/>
      <c r="Q284" s="609"/>
      <c r="R284" s="610"/>
    </row>
    <row r="285" spans="1:18">
      <c r="A285" s="609"/>
      <c r="B285" s="609"/>
      <c r="C285" s="610"/>
      <c r="D285" s="610"/>
      <c r="E285" s="611"/>
      <c r="F285" s="611"/>
      <c r="G285" s="611"/>
      <c r="H285" s="612"/>
      <c r="I285" s="611"/>
      <c r="J285" s="610"/>
      <c r="K285" s="609"/>
      <c r="L285" s="613"/>
      <c r="M285" s="611"/>
      <c r="N285" s="609"/>
      <c r="O285" s="611"/>
      <c r="P285" s="611"/>
      <c r="Q285" s="609"/>
      <c r="R285" s="610"/>
    </row>
    <row r="286" spans="1:18">
      <c r="A286" s="609"/>
      <c r="B286" s="609"/>
      <c r="C286" s="610"/>
      <c r="D286" s="610"/>
      <c r="E286" s="611"/>
      <c r="F286" s="611"/>
      <c r="G286" s="611"/>
      <c r="H286" s="612"/>
      <c r="I286" s="611"/>
      <c r="J286" s="610"/>
      <c r="K286" s="609"/>
      <c r="L286" s="613"/>
      <c r="M286" s="611"/>
      <c r="N286" s="609"/>
      <c r="O286" s="611"/>
      <c r="P286" s="611"/>
      <c r="Q286" s="609"/>
      <c r="R286" s="610"/>
    </row>
    <row r="287" spans="1:18">
      <c r="A287" s="609"/>
      <c r="B287" s="609"/>
      <c r="C287" s="610"/>
      <c r="D287" s="610"/>
      <c r="E287" s="611"/>
      <c r="F287" s="611"/>
      <c r="G287" s="611"/>
      <c r="H287" s="612"/>
      <c r="I287" s="611"/>
      <c r="J287" s="610"/>
      <c r="K287" s="609"/>
      <c r="L287" s="613"/>
      <c r="M287" s="611"/>
      <c r="N287" s="609"/>
      <c r="O287" s="611"/>
      <c r="P287" s="611"/>
      <c r="Q287" s="609"/>
      <c r="R287" s="610"/>
    </row>
    <row r="288" spans="1:18">
      <c r="A288" s="609"/>
      <c r="B288" s="609"/>
      <c r="C288" s="610"/>
      <c r="D288" s="610"/>
      <c r="E288" s="611"/>
      <c r="F288" s="611"/>
      <c r="G288" s="611"/>
      <c r="H288" s="612"/>
      <c r="I288" s="611"/>
      <c r="J288" s="610"/>
      <c r="K288" s="609"/>
      <c r="L288" s="613"/>
      <c r="M288" s="611"/>
      <c r="N288" s="609"/>
      <c r="O288" s="611"/>
      <c r="P288" s="611"/>
      <c r="Q288" s="609"/>
      <c r="R288" s="610"/>
    </row>
    <row r="289" spans="1:18">
      <c r="A289" s="609"/>
      <c r="B289" s="609"/>
      <c r="C289" s="610"/>
      <c r="D289" s="610"/>
      <c r="E289" s="611"/>
      <c r="F289" s="611"/>
      <c r="G289" s="611"/>
      <c r="H289" s="612"/>
      <c r="I289" s="611"/>
      <c r="J289" s="610"/>
      <c r="K289" s="609"/>
      <c r="L289" s="613"/>
      <c r="M289" s="611"/>
      <c r="N289" s="609"/>
      <c r="O289" s="611"/>
      <c r="P289" s="611"/>
      <c r="Q289" s="609"/>
      <c r="R289" s="610"/>
    </row>
    <row r="290" spans="1:18">
      <c r="A290" s="609"/>
      <c r="B290" s="609"/>
      <c r="C290" s="610"/>
      <c r="D290" s="610"/>
      <c r="E290" s="611"/>
      <c r="F290" s="611"/>
      <c r="G290" s="611"/>
      <c r="H290" s="612"/>
      <c r="I290" s="611"/>
      <c r="J290" s="610"/>
      <c r="K290" s="609"/>
      <c r="L290" s="613"/>
      <c r="M290" s="611"/>
      <c r="N290" s="609"/>
      <c r="O290" s="611"/>
      <c r="P290" s="611"/>
      <c r="Q290" s="609"/>
      <c r="R290" s="610"/>
    </row>
    <row r="291" spans="1:18">
      <c r="A291" s="609"/>
      <c r="B291" s="609"/>
      <c r="C291" s="610"/>
      <c r="D291" s="610"/>
      <c r="E291" s="611"/>
      <c r="F291" s="611"/>
      <c r="G291" s="611"/>
      <c r="H291" s="612"/>
      <c r="I291" s="611"/>
      <c r="J291" s="610"/>
      <c r="K291" s="609"/>
      <c r="L291" s="613"/>
      <c r="M291" s="611"/>
      <c r="N291" s="609"/>
      <c r="O291" s="611"/>
      <c r="P291" s="611"/>
      <c r="Q291" s="609"/>
      <c r="R291" s="610"/>
    </row>
    <row r="292" spans="1:18">
      <c r="A292" s="609"/>
      <c r="B292" s="609"/>
      <c r="C292" s="610"/>
      <c r="D292" s="610"/>
      <c r="E292" s="611"/>
      <c r="F292" s="611"/>
      <c r="G292" s="611"/>
      <c r="H292" s="612"/>
      <c r="I292" s="611"/>
      <c r="J292" s="610"/>
      <c r="K292" s="609"/>
      <c r="L292" s="613"/>
      <c r="M292" s="611"/>
      <c r="N292" s="609"/>
      <c r="O292" s="611"/>
      <c r="P292" s="611"/>
      <c r="Q292" s="609"/>
      <c r="R292" s="610"/>
    </row>
    <row r="293" spans="1:18">
      <c r="A293" s="609"/>
      <c r="B293" s="609"/>
      <c r="C293" s="610"/>
      <c r="D293" s="610"/>
      <c r="E293" s="611"/>
      <c r="F293" s="611"/>
      <c r="G293" s="611"/>
      <c r="H293" s="612"/>
      <c r="I293" s="611"/>
      <c r="J293" s="610"/>
      <c r="K293" s="609"/>
      <c r="L293" s="613"/>
      <c r="M293" s="611"/>
      <c r="N293" s="609"/>
      <c r="O293" s="611"/>
      <c r="P293" s="611"/>
      <c r="Q293" s="609"/>
      <c r="R293" s="610"/>
    </row>
    <row r="294" spans="1:18">
      <c r="A294" s="609"/>
      <c r="B294" s="609"/>
      <c r="C294" s="610"/>
      <c r="D294" s="610"/>
      <c r="E294" s="611"/>
      <c r="F294" s="611"/>
      <c r="G294" s="611"/>
      <c r="H294" s="612"/>
      <c r="I294" s="611"/>
      <c r="J294" s="610"/>
      <c r="K294" s="609"/>
      <c r="L294" s="613"/>
      <c r="M294" s="611"/>
      <c r="N294" s="609"/>
      <c r="O294" s="611"/>
      <c r="P294" s="611"/>
      <c r="Q294" s="609"/>
      <c r="R294" s="610"/>
    </row>
    <row r="295" spans="1:18">
      <c r="A295" s="609"/>
      <c r="B295" s="609"/>
      <c r="C295" s="610"/>
      <c r="D295" s="610"/>
      <c r="E295" s="611"/>
      <c r="F295" s="611"/>
      <c r="G295" s="611"/>
      <c r="H295" s="612"/>
      <c r="I295" s="611"/>
      <c r="J295" s="610"/>
      <c r="K295" s="609"/>
      <c r="L295" s="613"/>
      <c r="M295" s="611"/>
      <c r="N295" s="609"/>
      <c r="O295" s="611"/>
      <c r="P295" s="611"/>
      <c r="Q295" s="609"/>
      <c r="R295" s="610"/>
    </row>
    <row r="296" spans="1:18">
      <c r="A296" s="609"/>
      <c r="B296" s="609"/>
      <c r="C296" s="610"/>
      <c r="D296" s="610"/>
      <c r="E296" s="611"/>
      <c r="F296" s="611"/>
      <c r="G296" s="611"/>
      <c r="H296" s="612"/>
      <c r="I296" s="611"/>
      <c r="J296" s="610"/>
      <c r="K296" s="609"/>
      <c r="L296" s="613"/>
      <c r="M296" s="611"/>
      <c r="N296" s="609"/>
      <c r="O296" s="611"/>
      <c r="P296" s="611"/>
      <c r="Q296" s="609"/>
      <c r="R296" s="610"/>
    </row>
    <row r="297" spans="1:18">
      <c r="A297" s="609"/>
      <c r="B297" s="609"/>
      <c r="C297" s="610"/>
      <c r="D297" s="610"/>
      <c r="E297" s="611"/>
      <c r="F297" s="611"/>
      <c r="G297" s="611"/>
      <c r="H297" s="612"/>
      <c r="I297" s="611"/>
      <c r="J297" s="610"/>
      <c r="K297" s="609"/>
      <c r="L297" s="613"/>
      <c r="M297" s="611"/>
      <c r="N297" s="609"/>
      <c r="O297" s="611"/>
      <c r="P297" s="611"/>
      <c r="Q297" s="609"/>
      <c r="R297" s="610"/>
    </row>
    <row r="298" spans="1:18">
      <c r="A298" s="609"/>
      <c r="B298" s="609"/>
      <c r="C298" s="610"/>
      <c r="D298" s="610"/>
      <c r="E298" s="611"/>
      <c r="F298" s="611"/>
      <c r="G298" s="611"/>
      <c r="H298" s="612"/>
      <c r="I298" s="611"/>
      <c r="J298" s="610"/>
      <c r="K298" s="609"/>
      <c r="L298" s="613"/>
      <c r="M298" s="611"/>
      <c r="N298" s="609"/>
      <c r="O298" s="611"/>
      <c r="P298" s="611"/>
      <c r="Q298" s="609"/>
      <c r="R298" s="610"/>
    </row>
    <row r="299" spans="1:18">
      <c r="A299" s="609"/>
      <c r="B299" s="609"/>
      <c r="C299" s="610"/>
      <c r="D299" s="610"/>
      <c r="E299" s="611"/>
      <c r="F299" s="611"/>
      <c r="G299" s="611"/>
      <c r="H299" s="612"/>
      <c r="I299" s="611"/>
      <c r="J299" s="610"/>
      <c r="K299" s="609"/>
      <c r="L299" s="613"/>
      <c r="M299" s="611"/>
      <c r="N299" s="609"/>
      <c r="O299" s="611"/>
      <c r="P299" s="611"/>
      <c r="Q299" s="609"/>
      <c r="R299" s="610"/>
    </row>
    <row r="300" spans="1:18">
      <c r="A300" s="609"/>
      <c r="B300" s="609"/>
      <c r="C300" s="610"/>
      <c r="D300" s="610"/>
      <c r="E300" s="611"/>
      <c r="F300" s="611"/>
      <c r="G300" s="611"/>
      <c r="H300" s="612"/>
      <c r="I300" s="611"/>
      <c r="J300" s="610"/>
      <c r="K300" s="609"/>
      <c r="L300" s="613"/>
      <c r="M300" s="611"/>
      <c r="N300" s="609"/>
      <c r="O300" s="611"/>
      <c r="P300" s="611"/>
      <c r="Q300" s="609"/>
      <c r="R300" s="610"/>
    </row>
    <row r="301" spans="1:18">
      <c r="A301" s="609"/>
      <c r="B301" s="609"/>
      <c r="C301" s="610"/>
      <c r="D301" s="610"/>
      <c r="E301" s="611"/>
      <c r="F301" s="611"/>
      <c r="G301" s="611"/>
      <c r="H301" s="612"/>
      <c r="I301" s="611"/>
      <c r="J301" s="610"/>
      <c r="K301" s="609"/>
      <c r="L301" s="613"/>
      <c r="M301" s="611"/>
      <c r="N301" s="609"/>
      <c r="O301" s="611"/>
      <c r="P301" s="611"/>
      <c r="Q301" s="609"/>
      <c r="R301" s="610"/>
    </row>
    <row r="302" spans="1:18">
      <c r="A302" s="609"/>
      <c r="B302" s="609"/>
      <c r="C302" s="610"/>
      <c r="D302" s="610"/>
      <c r="E302" s="611"/>
      <c r="F302" s="611"/>
      <c r="G302" s="611"/>
      <c r="H302" s="612"/>
      <c r="I302" s="611"/>
      <c r="J302" s="610"/>
      <c r="K302" s="609"/>
      <c r="L302" s="613"/>
      <c r="M302" s="611"/>
      <c r="N302" s="609"/>
      <c r="O302" s="611"/>
      <c r="P302" s="611"/>
      <c r="Q302" s="609"/>
      <c r="R302" s="610"/>
    </row>
    <row r="303" spans="1:18">
      <c r="A303" s="609"/>
      <c r="B303" s="609"/>
      <c r="C303" s="610"/>
      <c r="D303" s="610"/>
      <c r="E303" s="611"/>
      <c r="F303" s="611"/>
      <c r="G303" s="611"/>
      <c r="H303" s="612"/>
      <c r="I303" s="611"/>
      <c r="J303" s="610"/>
      <c r="K303" s="609"/>
      <c r="L303" s="613"/>
      <c r="M303" s="611"/>
      <c r="N303" s="609"/>
      <c r="O303" s="611"/>
      <c r="P303" s="611"/>
      <c r="Q303" s="609"/>
      <c r="R303" s="610"/>
    </row>
    <row r="304" spans="1:18">
      <c r="A304" s="609"/>
      <c r="B304" s="609"/>
      <c r="C304" s="610"/>
      <c r="D304" s="610"/>
      <c r="E304" s="611"/>
      <c r="F304" s="611"/>
      <c r="G304" s="611"/>
      <c r="H304" s="612"/>
      <c r="I304" s="611"/>
      <c r="J304" s="610"/>
      <c r="K304" s="609"/>
      <c r="L304" s="613"/>
      <c r="M304" s="611"/>
      <c r="N304" s="609"/>
      <c r="O304" s="611"/>
      <c r="P304" s="611"/>
      <c r="Q304" s="609"/>
      <c r="R304" s="610"/>
    </row>
    <row r="305" spans="1:18">
      <c r="A305" s="609"/>
      <c r="B305" s="609"/>
      <c r="C305" s="610"/>
      <c r="D305" s="610"/>
      <c r="E305" s="611"/>
      <c r="F305" s="611"/>
      <c r="G305" s="611"/>
      <c r="H305" s="612"/>
      <c r="I305" s="611"/>
      <c r="J305" s="610"/>
      <c r="K305" s="609"/>
      <c r="L305" s="613"/>
      <c r="M305" s="611"/>
      <c r="N305" s="609"/>
      <c r="O305" s="611"/>
      <c r="P305" s="611"/>
      <c r="Q305" s="609"/>
      <c r="R305" s="610"/>
    </row>
    <row r="306" spans="1:18">
      <c r="A306" s="609"/>
      <c r="B306" s="609"/>
      <c r="C306" s="610"/>
      <c r="D306" s="610"/>
      <c r="E306" s="611"/>
      <c r="F306" s="611"/>
      <c r="G306" s="611"/>
      <c r="H306" s="612"/>
      <c r="I306" s="611"/>
      <c r="J306" s="610"/>
      <c r="K306" s="609"/>
      <c r="L306" s="613"/>
      <c r="M306" s="611"/>
      <c r="N306" s="609"/>
      <c r="O306" s="611"/>
      <c r="P306" s="611"/>
      <c r="Q306" s="609"/>
      <c r="R306" s="610"/>
    </row>
    <row r="307" spans="1:18">
      <c r="A307" s="609"/>
      <c r="B307" s="609"/>
      <c r="C307" s="610"/>
      <c r="D307" s="610"/>
      <c r="E307" s="611"/>
      <c r="F307" s="611"/>
      <c r="G307" s="611"/>
      <c r="H307" s="612"/>
      <c r="I307" s="611"/>
      <c r="J307" s="610"/>
      <c r="K307" s="609"/>
      <c r="L307" s="613"/>
      <c r="M307" s="611"/>
      <c r="N307" s="609"/>
      <c r="O307" s="611"/>
      <c r="P307" s="611"/>
      <c r="Q307" s="609"/>
      <c r="R307" s="610"/>
    </row>
    <row r="308" spans="1:18">
      <c r="A308" s="609"/>
      <c r="B308" s="609"/>
      <c r="C308" s="610"/>
      <c r="D308" s="610"/>
      <c r="E308" s="611"/>
      <c r="F308" s="611"/>
      <c r="G308" s="611"/>
      <c r="H308" s="612"/>
      <c r="I308" s="611"/>
      <c r="J308" s="610"/>
      <c r="K308" s="609"/>
      <c r="L308" s="613"/>
      <c r="M308" s="611"/>
      <c r="N308" s="609"/>
      <c r="O308" s="611"/>
      <c r="P308" s="611"/>
      <c r="Q308" s="609"/>
      <c r="R308" s="610"/>
    </row>
    <row r="309" spans="1:18">
      <c r="A309" s="609"/>
      <c r="B309" s="609"/>
      <c r="C309" s="610"/>
      <c r="D309" s="610"/>
      <c r="E309" s="611"/>
      <c r="F309" s="611"/>
      <c r="G309" s="611"/>
      <c r="H309" s="612"/>
      <c r="I309" s="611"/>
      <c r="J309" s="610"/>
      <c r="K309" s="609"/>
      <c r="L309" s="613"/>
      <c r="M309" s="611"/>
      <c r="N309" s="609"/>
      <c r="O309" s="611"/>
      <c r="P309" s="611"/>
      <c r="Q309" s="609"/>
      <c r="R309" s="610"/>
    </row>
    <row r="310" spans="1:18">
      <c r="A310" s="609"/>
      <c r="B310" s="609"/>
      <c r="C310" s="610"/>
      <c r="D310" s="610"/>
      <c r="E310" s="611"/>
      <c r="F310" s="611"/>
      <c r="G310" s="611"/>
      <c r="H310" s="612"/>
      <c r="I310" s="611"/>
      <c r="J310" s="610"/>
      <c r="K310" s="609"/>
      <c r="L310" s="613"/>
      <c r="M310" s="611"/>
      <c r="N310" s="609"/>
      <c r="O310" s="611"/>
      <c r="P310" s="611"/>
      <c r="Q310" s="609"/>
      <c r="R310" s="610"/>
    </row>
    <row r="311" spans="1:18">
      <c r="A311" s="609"/>
      <c r="B311" s="609"/>
      <c r="C311" s="610"/>
      <c r="D311" s="610"/>
      <c r="E311" s="611"/>
      <c r="F311" s="611"/>
      <c r="G311" s="611"/>
      <c r="H311" s="612"/>
      <c r="I311" s="611"/>
      <c r="J311" s="610"/>
      <c r="K311" s="609"/>
      <c r="L311" s="613"/>
      <c r="M311" s="611"/>
      <c r="N311" s="609"/>
      <c r="O311" s="611"/>
      <c r="P311" s="611"/>
      <c r="Q311" s="609"/>
      <c r="R311" s="610"/>
    </row>
    <row r="312" spans="1:18">
      <c r="A312" s="609"/>
      <c r="B312" s="609"/>
      <c r="C312" s="610"/>
      <c r="D312" s="610"/>
      <c r="E312" s="611"/>
      <c r="F312" s="611"/>
      <c r="G312" s="611"/>
      <c r="H312" s="612"/>
      <c r="I312" s="611"/>
      <c r="J312" s="610"/>
      <c r="K312" s="609"/>
      <c r="L312" s="613"/>
      <c r="M312" s="611"/>
      <c r="N312" s="609"/>
      <c r="O312" s="611"/>
      <c r="P312" s="611"/>
      <c r="Q312" s="609"/>
      <c r="R312" s="610"/>
    </row>
    <row r="313" spans="1:18">
      <c r="A313" s="609"/>
      <c r="B313" s="609"/>
      <c r="C313" s="610"/>
      <c r="D313" s="610"/>
      <c r="E313" s="611"/>
      <c r="F313" s="611"/>
      <c r="G313" s="611"/>
      <c r="H313" s="612"/>
      <c r="I313" s="611"/>
      <c r="J313" s="610"/>
      <c r="K313" s="609"/>
      <c r="L313" s="613"/>
      <c r="M313" s="611"/>
      <c r="N313" s="609"/>
      <c r="O313" s="611"/>
      <c r="P313" s="611"/>
      <c r="Q313" s="609"/>
      <c r="R313" s="610"/>
    </row>
    <row r="314" spans="1:18">
      <c r="A314" s="609"/>
      <c r="B314" s="609"/>
      <c r="C314" s="610"/>
      <c r="D314" s="610"/>
      <c r="E314" s="611"/>
      <c r="F314" s="611"/>
      <c r="G314" s="611"/>
      <c r="H314" s="612"/>
      <c r="I314" s="611"/>
      <c r="J314" s="610"/>
      <c r="K314" s="609"/>
      <c r="L314" s="613"/>
      <c r="M314" s="611"/>
      <c r="N314" s="609"/>
      <c r="O314" s="611"/>
      <c r="P314" s="611"/>
      <c r="Q314" s="609"/>
      <c r="R314" s="610"/>
    </row>
    <row r="315" spans="1:18">
      <c r="A315" s="609"/>
      <c r="B315" s="609"/>
      <c r="C315" s="610"/>
      <c r="D315" s="610"/>
      <c r="E315" s="611"/>
      <c r="F315" s="611"/>
      <c r="G315" s="611"/>
      <c r="H315" s="612"/>
      <c r="I315" s="611"/>
      <c r="J315" s="610"/>
      <c r="K315" s="609"/>
      <c r="L315" s="613"/>
      <c r="M315" s="611"/>
      <c r="N315" s="609"/>
      <c r="O315" s="611"/>
      <c r="P315" s="611"/>
      <c r="Q315" s="609"/>
      <c r="R315" s="610"/>
    </row>
    <row r="316" spans="1:18">
      <c r="A316" s="609"/>
      <c r="B316" s="609"/>
      <c r="C316" s="610"/>
      <c r="D316" s="610"/>
      <c r="E316" s="611"/>
      <c r="F316" s="611"/>
      <c r="G316" s="611"/>
      <c r="H316" s="612"/>
      <c r="I316" s="611"/>
      <c r="J316" s="610"/>
      <c r="K316" s="609"/>
      <c r="L316" s="613"/>
      <c r="M316" s="611"/>
      <c r="N316" s="609"/>
      <c r="O316" s="611"/>
      <c r="P316" s="611"/>
      <c r="Q316" s="609"/>
      <c r="R316" s="610"/>
    </row>
    <row r="317" spans="1:18">
      <c r="A317" s="609"/>
      <c r="B317" s="609"/>
      <c r="C317" s="610"/>
      <c r="D317" s="610"/>
      <c r="E317" s="611"/>
      <c r="F317" s="611"/>
      <c r="G317" s="611"/>
      <c r="H317" s="612"/>
      <c r="I317" s="611"/>
      <c r="J317" s="610"/>
      <c r="K317" s="609"/>
      <c r="L317" s="613"/>
      <c r="M317" s="611"/>
      <c r="N317" s="609"/>
      <c r="O317" s="611"/>
      <c r="P317" s="611"/>
      <c r="Q317" s="609"/>
      <c r="R317" s="610"/>
    </row>
    <row r="318" spans="1:18">
      <c r="A318" s="609"/>
      <c r="B318" s="609"/>
      <c r="C318" s="610"/>
      <c r="D318" s="610"/>
      <c r="E318" s="611"/>
      <c r="F318" s="611"/>
      <c r="G318" s="611"/>
      <c r="H318" s="612"/>
      <c r="I318" s="611"/>
      <c r="J318" s="610"/>
      <c r="K318" s="609"/>
      <c r="L318" s="613"/>
      <c r="M318" s="611"/>
      <c r="N318" s="609"/>
      <c r="O318" s="611"/>
      <c r="P318" s="611"/>
      <c r="Q318" s="609"/>
      <c r="R318" s="610"/>
    </row>
    <row r="319" spans="1:18">
      <c r="A319" s="609"/>
      <c r="B319" s="609"/>
      <c r="C319" s="610"/>
      <c r="D319" s="610"/>
      <c r="E319" s="611"/>
      <c r="F319" s="611"/>
      <c r="G319" s="611"/>
      <c r="H319" s="612"/>
      <c r="I319" s="611"/>
      <c r="J319" s="610"/>
      <c r="K319" s="609"/>
      <c r="L319" s="613"/>
      <c r="M319" s="611"/>
      <c r="N319" s="609"/>
      <c r="O319" s="611"/>
      <c r="P319" s="611"/>
      <c r="Q319" s="609"/>
      <c r="R319" s="610"/>
    </row>
    <row r="320" spans="1:18">
      <c r="A320" s="609"/>
      <c r="B320" s="609"/>
      <c r="C320" s="610"/>
      <c r="D320" s="610"/>
      <c r="E320" s="611"/>
      <c r="F320" s="611"/>
      <c r="G320" s="611"/>
      <c r="H320" s="612"/>
      <c r="I320" s="611"/>
      <c r="J320" s="610"/>
      <c r="K320" s="609"/>
      <c r="L320" s="613"/>
      <c r="M320" s="611"/>
      <c r="N320" s="609"/>
      <c r="O320" s="611"/>
      <c r="P320" s="611"/>
      <c r="Q320" s="609"/>
      <c r="R320" s="610"/>
    </row>
    <row r="321" spans="1:18">
      <c r="A321" s="609"/>
      <c r="B321" s="609"/>
      <c r="C321" s="610"/>
      <c r="D321" s="610"/>
      <c r="E321" s="611"/>
      <c r="F321" s="611"/>
      <c r="G321" s="611"/>
      <c r="H321" s="612"/>
      <c r="I321" s="611"/>
      <c r="J321" s="610"/>
      <c r="K321" s="609"/>
      <c r="L321" s="613"/>
      <c r="M321" s="611"/>
      <c r="N321" s="609"/>
      <c r="O321" s="611"/>
      <c r="P321" s="611"/>
      <c r="Q321" s="609"/>
      <c r="R321" s="610"/>
    </row>
    <row r="322" spans="1:18">
      <c r="A322" s="609"/>
      <c r="B322" s="609"/>
      <c r="C322" s="610"/>
      <c r="D322" s="610"/>
      <c r="E322" s="611"/>
      <c r="F322" s="611"/>
      <c r="G322" s="611"/>
      <c r="H322" s="612"/>
      <c r="I322" s="611"/>
      <c r="J322" s="610"/>
      <c r="K322" s="609"/>
      <c r="L322" s="613"/>
      <c r="M322" s="611"/>
      <c r="N322" s="609"/>
      <c r="O322" s="611"/>
      <c r="P322" s="611"/>
      <c r="Q322" s="609"/>
      <c r="R322" s="610"/>
    </row>
    <row r="323" spans="1:18">
      <c r="A323" s="609"/>
      <c r="B323" s="609"/>
      <c r="C323" s="610"/>
      <c r="D323" s="610"/>
      <c r="E323" s="611"/>
      <c r="F323" s="611"/>
      <c r="G323" s="611"/>
      <c r="H323" s="612"/>
      <c r="I323" s="611"/>
      <c r="J323" s="610"/>
      <c r="K323" s="609"/>
      <c r="L323" s="613"/>
      <c r="M323" s="611"/>
      <c r="N323" s="609"/>
      <c r="O323" s="611"/>
      <c r="P323" s="611"/>
      <c r="Q323" s="609"/>
      <c r="R323" s="610"/>
    </row>
    <row r="324" spans="1:18">
      <c r="A324" s="609"/>
      <c r="B324" s="609"/>
      <c r="C324" s="610"/>
      <c r="D324" s="610"/>
      <c r="E324" s="611"/>
      <c r="F324" s="611"/>
      <c r="G324" s="611"/>
      <c r="H324" s="612"/>
      <c r="I324" s="611"/>
      <c r="J324" s="610"/>
      <c r="K324" s="609"/>
      <c r="L324" s="613"/>
      <c r="M324" s="611"/>
      <c r="N324" s="609"/>
      <c r="O324" s="611"/>
      <c r="P324" s="611"/>
      <c r="Q324" s="609"/>
      <c r="R324" s="610"/>
    </row>
    <row r="325" spans="1:18">
      <c r="A325" s="609"/>
      <c r="B325" s="609"/>
      <c r="C325" s="610"/>
      <c r="D325" s="610"/>
      <c r="E325" s="611"/>
      <c r="F325" s="611"/>
      <c r="G325" s="611"/>
      <c r="H325" s="612"/>
      <c r="I325" s="611"/>
      <c r="J325" s="610"/>
      <c r="K325" s="609"/>
      <c r="L325" s="613"/>
      <c r="M325" s="611"/>
      <c r="N325" s="609"/>
      <c r="O325" s="611"/>
      <c r="P325" s="611"/>
      <c r="Q325" s="609"/>
      <c r="R325" s="610"/>
    </row>
    <row r="326" spans="1:18">
      <c r="A326" s="609"/>
      <c r="B326" s="609"/>
      <c r="C326" s="610"/>
      <c r="D326" s="610"/>
      <c r="E326" s="611"/>
      <c r="F326" s="611"/>
      <c r="G326" s="611"/>
      <c r="H326" s="612"/>
      <c r="I326" s="611"/>
      <c r="J326" s="610"/>
      <c r="K326" s="609"/>
      <c r="L326" s="613"/>
      <c r="M326" s="611"/>
      <c r="N326" s="609"/>
      <c r="O326" s="611"/>
      <c r="P326" s="611"/>
      <c r="Q326" s="609"/>
      <c r="R326" s="610"/>
    </row>
    <row r="327" spans="1:18">
      <c r="A327" s="609"/>
      <c r="B327" s="609"/>
      <c r="C327" s="610"/>
      <c r="D327" s="610"/>
      <c r="E327" s="611"/>
      <c r="F327" s="611"/>
      <c r="G327" s="611"/>
      <c r="H327" s="612"/>
      <c r="I327" s="611"/>
      <c r="J327" s="610"/>
      <c r="K327" s="609"/>
      <c r="L327" s="613"/>
      <c r="M327" s="611"/>
      <c r="N327" s="609"/>
      <c r="O327" s="611"/>
      <c r="P327" s="611"/>
      <c r="Q327" s="609"/>
      <c r="R327" s="610"/>
    </row>
    <row r="328" spans="1:18">
      <c r="A328" s="609"/>
      <c r="B328" s="609"/>
      <c r="C328" s="610"/>
      <c r="D328" s="610"/>
      <c r="E328" s="611"/>
      <c r="F328" s="611"/>
      <c r="G328" s="611"/>
      <c r="H328" s="612"/>
      <c r="I328" s="611"/>
      <c r="J328" s="610"/>
      <c r="K328" s="609"/>
      <c r="L328" s="613"/>
      <c r="M328" s="611"/>
      <c r="N328" s="609"/>
      <c r="O328" s="611"/>
      <c r="P328" s="611"/>
      <c r="Q328" s="609"/>
      <c r="R328" s="610"/>
    </row>
    <row r="329" spans="1:18">
      <c r="A329" s="609"/>
      <c r="B329" s="609"/>
      <c r="C329" s="610"/>
      <c r="D329" s="610"/>
      <c r="E329" s="611"/>
      <c r="F329" s="611"/>
      <c r="G329" s="611"/>
      <c r="H329" s="612"/>
      <c r="I329" s="611"/>
      <c r="J329" s="610"/>
      <c r="K329" s="609"/>
      <c r="L329" s="613"/>
      <c r="M329" s="611"/>
      <c r="N329" s="609"/>
      <c r="O329" s="611"/>
      <c r="P329" s="611"/>
      <c r="Q329" s="609"/>
      <c r="R329" s="610"/>
    </row>
    <row r="330" spans="1:18">
      <c r="A330" s="609"/>
      <c r="B330" s="609"/>
      <c r="C330" s="610"/>
      <c r="D330" s="610"/>
      <c r="E330" s="611"/>
      <c r="F330" s="611"/>
      <c r="G330" s="611"/>
      <c r="H330" s="612"/>
      <c r="I330" s="611"/>
      <c r="J330" s="610"/>
      <c r="K330" s="609"/>
      <c r="L330" s="613"/>
      <c r="M330" s="611"/>
      <c r="N330" s="609"/>
      <c r="O330" s="611"/>
      <c r="P330" s="611"/>
      <c r="Q330" s="609"/>
      <c r="R330" s="610"/>
    </row>
    <row r="331" spans="1:18">
      <c r="A331" s="609"/>
      <c r="B331" s="609"/>
      <c r="C331" s="610"/>
      <c r="D331" s="610"/>
      <c r="E331" s="611"/>
      <c r="F331" s="611"/>
      <c r="G331" s="611"/>
      <c r="H331" s="612"/>
      <c r="I331" s="611"/>
      <c r="J331" s="610"/>
      <c r="K331" s="609"/>
      <c r="L331" s="613"/>
      <c r="M331" s="611"/>
      <c r="N331" s="609"/>
      <c r="O331" s="611"/>
      <c r="P331" s="611"/>
      <c r="Q331" s="609"/>
      <c r="R331" s="610"/>
    </row>
    <row r="332" spans="1:18">
      <c r="A332" s="609"/>
      <c r="B332" s="609"/>
      <c r="C332" s="610"/>
      <c r="D332" s="610"/>
      <c r="E332" s="611"/>
      <c r="F332" s="611"/>
      <c r="G332" s="611"/>
      <c r="H332" s="612"/>
      <c r="I332" s="611"/>
      <c r="J332" s="610"/>
      <c r="K332" s="609"/>
      <c r="L332" s="613"/>
      <c r="M332" s="611"/>
      <c r="N332" s="609"/>
      <c r="O332" s="611"/>
      <c r="P332" s="611"/>
      <c r="Q332" s="609"/>
      <c r="R332" s="610"/>
    </row>
    <row r="333" spans="1:18">
      <c r="A333" s="609"/>
      <c r="B333" s="609"/>
      <c r="C333" s="610"/>
      <c r="D333" s="610"/>
      <c r="E333" s="611"/>
      <c r="F333" s="611"/>
      <c r="G333" s="611"/>
      <c r="H333" s="612"/>
      <c r="I333" s="611"/>
      <c r="J333" s="610"/>
      <c r="K333" s="609"/>
      <c r="L333" s="613"/>
      <c r="M333" s="611"/>
      <c r="N333" s="609"/>
      <c r="O333" s="611"/>
      <c r="P333" s="611"/>
      <c r="Q333" s="609"/>
      <c r="R333" s="610"/>
    </row>
    <row r="334" spans="1:18">
      <c r="A334" s="609"/>
      <c r="B334" s="609"/>
      <c r="C334" s="610"/>
      <c r="D334" s="610"/>
      <c r="E334" s="611"/>
      <c r="F334" s="611"/>
      <c r="G334" s="611"/>
      <c r="H334" s="612"/>
      <c r="I334" s="611"/>
      <c r="J334" s="610"/>
      <c r="K334" s="609"/>
      <c r="L334" s="613"/>
      <c r="M334" s="611"/>
      <c r="N334" s="609"/>
      <c r="O334" s="611"/>
      <c r="P334" s="611"/>
      <c r="Q334" s="609"/>
      <c r="R334" s="610"/>
    </row>
    <row r="335" spans="1:18">
      <c r="A335" s="609"/>
      <c r="B335" s="609"/>
      <c r="C335" s="610"/>
      <c r="D335" s="610"/>
      <c r="E335" s="611"/>
      <c r="F335" s="611"/>
      <c r="G335" s="611"/>
      <c r="H335" s="612"/>
      <c r="I335" s="611"/>
      <c r="J335" s="610"/>
      <c r="K335" s="609"/>
      <c r="L335" s="613"/>
      <c r="M335" s="611"/>
      <c r="N335" s="609"/>
      <c r="O335" s="611"/>
      <c r="P335" s="611"/>
      <c r="Q335" s="609"/>
      <c r="R335" s="610"/>
    </row>
    <row r="336" spans="1:18">
      <c r="A336" s="609"/>
      <c r="B336" s="609"/>
      <c r="C336" s="610"/>
      <c r="D336" s="610"/>
      <c r="E336" s="611"/>
      <c r="F336" s="611"/>
      <c r="G336" s="611"/>
      <c r="H336" s="612"/>
      <c r="I336" s="611"/>
      <c r="J336" s="610"/>
      <c r="K336" s="609"/>
      <c r="L336" s="613"/>
      <c r="M336" s="611"/>
      <c r="N336" s="609"/>
      <c r="O336" s="611"/>
      <c r="P336" s="611"/>
      <c r="Q336" s="609"/>
      <c r="R336" s="610"/>
    </row>
    <row r="337" spans="1:18">
      <c r="A337" s="609"/>
      <c r="B337" s="609"/>
      <c r="C337" s="610"/>
      <c r="D337" s="610"/>
      <c r="E337" s="611"/>
      <c r="F337" s="611"/>
      <c r="G337" s="611"/>
      <c r="H337" s="612"/>
      <c r="I337" s="611"/>
      <c r="J337" s="610"/>
      <c r="K337" s="609"/>
      <c r="L337" s="613"/>
      <c r="M337" s="611"/>
      <c r="N337" s="609"/>
      <c r="O337" s="611"/>
      <c r="P337" s="611"/>
      <c r="Q337" s="609"/>
      <c r="R337" s="610"/>
    </row>
    <row r="338" spans="1:18">
      <c r="A338" s="609"/>
      <c r="B338" s="609"/>
      <c r="C338" s="610"/>
      <c r="D338" s="610"/>
      <c r="E338" s="611"/>
      <c r="F338" s="611"/>
      <c r="G338" s="611"/>
      <c r="H338" s="612"/>
      <c r="I338" s="611"/>
      <c r="J338" s="610"/>
      <c r="K338" s="609"/>
      <c r="L338" s="613"/>
      <c r="M338" s="611"/>
      <c r="N338" s="609"/>
      <c r="O338" s="611"/>
      <c r="P338" s="611"/>
      <c r="Q338" s="609"/>
      <c r="R338" s="610"/>
    </row>
    <row r="339" spans="1:18">
      <c r="A339" s="609"/>
      <c r="B339" s="609"/>
      <c r="C339" s="610"/>
      <c r="D339" s="610"/>
      <c r="E339" s="611"/>
      <c r="F339" s="611"/>
      <c r="G339" s="611"/>
      <c r="H339" s="612"/>
      <c r="I339" s="611"/>
      <c r="J339" s="610"/>
      <c r="K339" s="609"/>
      <c r="L339" s="613"/>
      <c r="M339" s="611"/>
      <c r="N339" s="609"/>
      <c r="O339" s="611"/>
      <c r="P339" s="611"/>
      <c r="Q339" s="609"/>
      <c r="R339" s="610"/>
    </row>
    <row r="340" spans="1:18">
      <c r="A340" s="609"/>
      <c r="B340" s="609"/>
      <c r="C340" s="610"/>
      <c r="D340" s="610"/>
      <c r="E340" s="611"/>
      <c r="F340" s="611"/>
      <c r="G340" s="611"/>
      <c r="H340" s="612"/>
      <c r="I340" s="611"/>
      <c r="J340" s="610"/>
      <c r="K340" s="609"/>
      <c r="L340" s="613"/>
      <c r="M340" s="611"/>
      <c r="N340" s="609"/>
      <c r="O340" s="611"/>
      <c r="P340" s="611"/>
      <c r="Q340" s="609"/>
      <c r="R340" s="610"/>
    </row>
    <row r="341" spans="1:18">
      <c r="A341" s="609"/>
      <c r="B341" s="609"/>
      <c r="C341" s="610"/>
      <c r="D341" s="610"/>
      <c r="E341" s="611"/>
      <c r="F341" s="611"/>
      <c r="G341" s="611"/>
      <c r="H341" s="612"/>
      <c r="I341" s="611"/>
      <c r="J341" s="610"/>
      <c r="K341" s="609"/>
      <c r="L341" s="613"/>
      <c r="M341" s="611"/>
      <c r="N341" s="609"/>
      <c r="O341" s="611"/>
      <c r="P341" s="611"/>
      <c r="Q341" s="609"/>
      <c r="R341" s="610"/>
    </row>
    <row r="342" spans="1:18">
      <c r="A342" s="609"/>
      <c r="B342" s="609"/>
      <c r="C342" s="610"/>
      <c r="D342" s="610"/>
      <c r="E342" s="611"/>
      <c r="F342" s="611"/>
      <c r="G342" s="611"/>
      <c r="H342" s="612"/>
      <c r="I342" s="611"/>
      <c r="J342" s="610"/>
      <c r="K342" s="609"/>
      <c r="L342" s="613"/>
      <c r="M342" s="611"/>
      <c r="N342" s="609"/>
      <c r="O342" s="611"/>
      <c r="P342" s="611"/>
      <c r="Q342" s="609"/>
      <c r="R342" s="610"/>
    </row>
    <row r="343" spans="1:18">
      <c r="A343" s="609"/>
      <c r="B343" s="609"/>
      <c r="C343" s="610"/>
      <c r="D343" s="610"/>
      <c r="E343" s="611"/>
      <c r="F343" s="611"/>
      <c r="G343" s="611"/>
      <c r="H343" s="612"/>
      <c r="I343" s="611"/>
      <c r="J343" s="610"/>
      <c r="K343" s="609"/>
      <c r="L343" s="613"/>
      <c r="M343" s="611"/>
      <c r="N343" s="609"/>
      <c r="O343" s="611"/>
      <c r="P343" s="611"/>
      <c r="Q343" s="609"/>
      <c r="R343" s="610"/>
    </row>
    <row r="344" spans="1:18">
      <c r="A344" s="609"/>
      <c r="B344" s="609"/>
      <c r="C344" s="610"/>
      <c r="D344" s="610"/>
      <c r="E344" s="611"/>
      <c r="F344" s="611"/>
      <c r="G344" s="611"/>
      <c r="H344" s="612"/>
      <c r="I344" s="611"/>
      <c r="J344" s="610"/>
      <c r="K344" s="609"/>
      <c r="L344" s="613"/>
      <c r="M344" s="611"/>
      <c r="N344" s="609"/>
      <c r="O344" s="611"/>
      <c r="P344" s="611"/>
      <c r="Q344" s="609"/>
      <c r="R344" s="610"/>
    </row>
    <row r="345" spans="1:18">
      <c r="A345" s="609"/>
      <c r="B345" s="609"/>
      <c r="C345" s="610"/>
      <c r="D345" s="610"/>
      <c r="E345" s="611"/>
      <c r="F345" s="611"/>
      <c r="G345" s="611"/>
      <c r="H345" s="612"/>
      <c r="I345" s="611"/>
      <c r="J345" s="610"/>
      <c r="K345" s="609"/>
      <c r="L345" s="613"/>
      <c r="M345" s="611"/>
      <c r="N345" s="609"/>
      <c r="O345" s="611"/>
      <c r="P345" s="611"/>
      <c r="Q345" s="609"/>
      <c r="R345" s="610"/>
    </row>
    <row r="346" spans="1:18">
      <c r="A346" s="609"/>
      <c r="B346" s="609"/>
      <c r="C346" s="610"/>
      <c r="D346" s="610"/>
      <c r="E346" s="611"/>
      <c r="F346" s="611"/>
      <c r="G346" s="611"/>
      <c r="H346" s="612"/>
      <c r="I346" s="611"/>
      <c r="J346" s="610"/>
      <c r="K346" s="609"/>
      <c r="L346" s="613"/>
      <c r="M346" s="611"/>
      <c r="N346" s="609"/>
      <c r="O346" s="611"/>
      <c r="P346" s="611"/>
      <c r="Q346" s="609"/>
      <c r="R346" s="610"/>
    </row>
    <row r="347" spans="1:18">
      <c r="A347" s="609"/>
      <c r="B347" s="609"/>
      <c r="C347" s="610"/>
      <c r="D347" s="610"/>
      <c r="E347" s="611"/>
      <c r="F347" s="611"/>
      <c r="G347" s="611"/>
      <c r="H347" s="612"/>
      <c r="I347" s="611"/>
      <c r="J347" s="610"/>
      <c r="K347" s="609"/>
      <c r="L347" s="613"/>
      <c r="M347" s="611"/>
      <c r="N347" s="609"/>
      <c r="O347" s="611"/>
      <c r="P347" s="611"/>
      <c r="Q347" s="609"/>
      <c r="R347" s="610"/>
    </row>
    <row r="348" spans="1:18">
      <c r="A348" s="609"/>
      <c r="B348" s="609"/>
      <c r="C348" s="610"/>
      <c r="D348" s="610"/>
      <c r="E348" s="611"/>
      <c r="F348" s="611"/>
      <c r="G348" s="611"/>
      <c r="H348" s="612"/>
      <c r="I348" s="611"/>
      <c r="J348" s="610"/>
      <c r="K348" s="609"/>
      <c r="L348" s="613"/>
      <c r="M348" s="611"/>
      <c r="N348" s="609"/>
      <c r="O348" s="611"/>
      <c r="P348" s="611"/>
      <c r="Q348" s="609"/>
      <c r="R348" s="610"/>
    </row>
    <row r="349" spans="1:18">
      <c r="A349" s="609"/>
      <c r="B349" s="609"/>
      <c r="C349" s="610"/>
      <c r="D349" s="610"/>
      <c r="E349" s="611"/>
      <c r="F349" s="611"/>
      <c r="G349" s="611"/>
      <c r="H349" s="612"/>
      <c r="I349" s="611"/>
      <c r="J349" s="610"/>
      <c r="K349" s="609"/>
      <c r="L349" s="613"/>
      <c r="M349" s="611"/>
      <c r="N349" s="609"/>
      <c r="O349" s="611"/>
      <c r="P349" s="611"/>
      <c r="Q349" s="609"/>
      <c r="R349" s="610"/>
    </row>
    <row r="350" spans="1:18">
      <c r="A350" s="609"/>
      <c r="B350" s="609"/>
      <c r="C350" s="610"/>
      <c r="D350" s="610"/>
      <c r="E350" s="611"/>
      <c r="F350" s="611"/>
      <c r="G350" s="611"/>
      <c r="H350" s="612"/>
      <c r="I350" s="611"/>
      <c r="J350" s="610"/>
      <c r="K350" s="609"/>
      <c r="L350" s="613"/>
      <c r="M350" s="611"/>
      <c r="N350" s="609"/>
      <c r="O350" s="611"/>
      <c r="P350" s="611"/>
      <c r="Q350" s="609"/>
      <c r="R350" s="610"/>
    </row>
    <row r="351" spans="1:18">
      <c r="A351" s="609"/>
      <c r="B351" s="609"/>
      <c r="C351" s="610"/>
      <c r="D351" s="610"/>
      <c r="E351" s="611"/>
      <c r="F351" s="611"/>
      <c r="G351" s="611"/>
      <c r="H351" s="612"/>
      <c r="I351" s="611"/>
      <c r="J351" s="610"/>
      <c r="K351" s="609"/>
      <c r="L351" s="613"/>
      <c r="M351" s="611"/>
      <c r="N351" s="609"/>
      <c r="O351" s="611"/>
      <c r="P351" s="611"/>
      <c r="Q351" s="609"/>
      <c r="R351" s="610"/>
    </row>
    <row r="352" spans="1:18">
      <c r="A352" s="609"/>
      <c r="B352" s="609"/>
      <c r="C352" s="610"/>
      <c r="D352" s="610"/>
      <c r="E352" s="611"/>
      <c r="F352" s="611"/>
      <c r="G352" s="611"/>
      <c r="H352" s="612"/>
      <c r="I352" s="611"/>
      <c r="J352" s="610"/>
      <c r="K352" s="609"/>
      <c r="L352" s="613"/>
      <c r="M352" s="611"/>
      <c r="N352" s="609"/>
      <c r="O352" s="611"/>
      <c r="P352" s="611"/>
      <c r="Q352" s="609"/>
      <c r="R352" s="610"/>
    </row>
    <row r="353" spans="1:18">
      <c r="A353" s="609"/>
      <c r="B353" s="609"/>
      <c r="C353" s="610"/>
      <c r="D353" s="610"/>
      <c r="E353" s="611"/>
      <c r="F353" s="611"/>
      <c r="G353" s="611"/>
      <c r="H353" s="612"/>
      <c r="I353" s="611"/>
      <c r="J353" s="610"/>
      <c r="K353" s="609"/>
      <c r="L353" s="613"/>
      <c r="M353" s="611"/>
      <c r="N353" s="609"/>
      <c r="O353" s="611"/>
      <c r="P353" s="611"/>
      <c r="Q353" s="609"/>
      <c r="R353" s="610"/>
    </row>
    <row r="354" spans="1:18">
      <c r="A354" s="609"/>
      <c r="B354" s="609"/>
      <c r="C354" s="610"/>
      <c r="D354" s="610"/>
      <c r="E354" s="611"/>
      <c r="F354" s="611"/>
      <c r="G354" s="611"/>
      <c r="H354" s="612"/>
      <c r="I354" s="611"/>
      <c r="J354" s="610"/>
      <c r="K354" s="609"/>
      <c r="L354" s="613"/>
      <c r="M354" s="611"/>
      <c r="N354" s="609"/>
      <c r="O354" s="611"/>
      <c r="P354" s="611"/>
      <c r="Q354" s="609"/>
      <c r="R354" s="610"/>
    </row>
    <row r="355" spans="1:18">
      <c r="A355" s="609"/>
      <c r="B355" s="609"/>
      <c r="C355" s="610"/>
      <c r="D355" s="610"/>
      <c r="E355" s="611"/>
      <c r="F355" s="611"/>
      <c r="G355" s="611"/>
      <c r="H355" s="612"/>
      <c r="I355" s="611"/>
      <c r="J355" s="610"/>
      <c r="K355" s="609"/>
      <c r="L355" s="613"/>
      <c r="M355" s="611"/>
      <c r="N355" s="609"/>
      <c r="O355" s="611"/>
      <c r="P355" s="611"/>
      <c r="Q355" s="609"/>
      <c r="R355" s="610"/>
    </row>
    <row r="356" spans="1:18">
      <c r="A356" s="609"/>
      <c r="B356" s="609"/>
      <c r="C356" s="610"/>
      <c r="D356" s="610"/>
      <c r="E356" s="611"/>
      <c r="F356" s="611"/>
      <c r="G356" s="611"/>
      <c r="H356" s="612"/>
      <c r="I356" s="611"/>
      <c r="J356" s="610"/>
      <c r="K356" s="609"/>
      <c r="L356" s="613"/>
      <c r="M356" s="611"/>
      <c r="N356" s="609"/>
      <c r="O356" s="611"/>
      <c r="P356" s="611"/>
      <c r="Q356" s="609"/>
      <c r="R356" s="610"/>
    </row>
    <row r="357" spans="1:18">
      <c r="A357" s="609"/>
      <c r="B357" s="609"/>
      <c r="C357" s="610"/>
      <c r="D357" s="610"/>
      <c r="E357" s="611"/>
      <c r="F357" s="611"/>
      <c r="G357" s="611"/>
      <c r="H357" s="612"/>
      <c r="I357" s="611"/>
      <c r="J357" s="610"/>
      <c r="K357" s="609"/>
      <c r="L357" s="613"/>
      <c r="M357" s="611"/>
      <c r="N357" s="609"/>
      <c r="O357" s="611"/>
      <c r="P357" s="611"/>
      <c r="Q357" s="609"/>
      <c r="R357" s="610"/>
    </row>
    <row r="358" spans="1:18">
      <c r="A358" s="609"/>
      <c r="B358" s="609"/>
      <c r="C358" s="610"/>
      <c r="D358" s="610"/>
      <c r="E358" s="611"/>
      <c r="F358" s="611"/>
      <c r="G358" s="611"/>
      <c r="H358" s="612"/>
      <c r="I358" s="611"/>
      <c r="J358" s="610"/>
      <c r="K358" s="609"/>
      <c r="L358" s="613"/>
      <c r="M358" s="611"/>
      <c r="N358" s="609"/>
      <c r="O358" s="611"/>
      <c r="P358" s="611"/>
      <c r="Q358" s="609"/>
      <c r="R358" s="610"/>
    </row>
    <row r="359" spans="1:18">
      <c r="A359" s="609"/>
      <c r="B359" s="609"/>
      <c r="C359" s="610"/>
      <c r="D359" s="610"/>
      <c r="E359" s="611"/>
      <c r="F359" s="611"/>
      <c r="G359" s="611"/>
      <c r="H359" s="612"/>
      <c r="I359" s="611"/>
      <c r="J359" s="610"/>
      <c r="K359" s="609"/>
      <c r="L359" s="613"/>
      <c r="M359" s="611"/>
      <c r="N359" s="609"/>
      <c r="O359" s="611"/>
      <c r="P359" s="611"/>
      <c r="Q359" s="609"/>
      <c r="R359" s="610"/>
    </row>
    <row r="360" spans="1:18">
      <c r="A360" s="609"/>
      <c r="B360" s="609"/>
      <c r="C360" s="610"/>
      <c r="D360" s="610"/>
      <c r="E360" s="611"/>
      <c r="F360" s="611"/>
      <c r="G360" s="611"/>
      <c r="H360" s="612"/>
      <c r="I360" s="611"/>
      <c r="J360" s="610"/>
      <c r="K360" s="609"/>
      <c r="L360" s="613"/>
      <c r="M360" s="611"/>
      <c r="N360" s="609"/>
      <c r="O360" s="611"/>
      <c r="P360" s="611"/>
      <c r="Q360" s="609"/>
      <c r="R360" s="610"/>
    </row>
    <row r="361" spans="1:18">
      <c r="A361" s="609"/>
      <c r="B361" s="609"/>
      <c r="C361" s="610"/>
      <c r="D361" s="610"/>
      <c r="E361" s="611"/>
      <c r="F361" s="611"/>
      <c r="G361" s="611"/>
      <c r="H361" s="612"/>
      <c r="I361" s="611"/>
      <c r="J361" s="610"/>
      <c r="K361" s="609"/>
      <c r="L361" s="613"/>
      <c r="M361" s="611"/>
      <c r="N361" s="609"/>
      <c r="O361" s="611"/>
      <c r="P361" s="611"/>
      <c r="Q361" s="609"/>
      <c r="R361" s="610"/>
    </row>
    <row r="362" spans="1:18">
      <c r="A362" s="609"/>
      <c r="B362" s="609"/>
      <c r="C362" s="610"/>
      <c r="D362" s="610"/>
      <c r="E362" s="611"/>
      <c r="F362" s="611"/>
      <c r="G362" s="611"/>
      <c r="H362" s="612"/>
      <c r="I362" s="611"/>
      <c r="J362" s="610"/>
      <c r="K362" s="609"/>
      <c r="L362" s="613"/>
      <c r="M362" s="611"/>
      <c r="N362" s="609"/>
      <c r="O362" s="611"/>
      <c r="P362" s="611"/>
      <c r="Q362" s="609"/>
      <c r="R362" s="610"/>
    </row>
    <row r="363" spans="1:18">
      <c r="A363" s="609"/>
      <c r="B363" s="609"/>
      <c r="C363" s="610"/>
      <c r="D363" s="610"/>
      <c r="E363" s="611"/>
      <c r="F363" s="611"/>
      <c r="G363" s="611"/>
      <c r="H363" s="612"/>
      <c r="I363" s="611"/>
      <c r="J363" s="610"/>
      <c r="K363" s="609"/>
      <c r="L363" s="613"/>
      <c r="M363" s="611"/>
      <c r="N363" s="609"/>
      <c r="O363" s="611"/>
      <c r="P363" s="611"/>
      <c r="Q363" s="609"/>
      <c r="R363" s="610"/>
    </row>
    <row r="364" spans="1:18">
      <c r="A364" s="609"/>
      <c r="B364" s="609"/>
      <c r="C364" s="610"/>
      <c r="D364" s="610"/>
      <c r="E364" s="611"/>
      <c r="F364" s="611"/>
      <c r="G364" s="611"/>
      <c r="H364" s="612"/>
      <c r="I364" s="611"/>
      <c r="J364" s="610"/>
      <c r="K364" s="609"/>
      <c r="L364" s="613"/>
      <c r="M364" s="611"/>
      <c r="N364" s="609"/>
      <c r="O364" s="611"/>
      <c r="P364" s="611"/>
      <c r="Q364" s="609"/>
      <c r="R364" s="610"/>
    </row>
    <row r="365" spans="1:18">
      <c r="A365" s="609"/>
      <c r="B365" s="609"/>
      <c r="C365" s="610"/>
      <c r="D365" s="610"/>
      <c r="E365" s="611"/>
      <c r="F365" s="611"/>
      <c r="G365" s="611"/>
      <c r="H365" s="612"/>
      <c r="I365" s="611"/>
      <c r="J365" s="610"/>
      <c r="K365" s="609"/>
      <c r="L365" s="613"/>
      <c r="M365" s="611"/>
      <c r="N365" s="609"/>
      <c r="O365" s="611"/>
      <c r="P365" s="611"/>
      <c r="Q365" s="609"/>
      <c r="R365" s="610"/>
    </row>
    <row r="366" spans="1:18">
      <c r="A366" s="609"/>
      <c r="B366" s="609"/>
      <c r="C366" s="610"/>
      <c r="D366" s="610"/>
      <c r="E366" s="611"/>
      <c r="F366" s="611"/>
      <c r="G366" s="611"/>
      <c r="H366" s="612"/>
      <c r="I366" s="611"/>
      <c r="J366" s="610"/>
      <c r="K366" s="609"/>
      <c r="L366" s="613"/>
      <c r="M366" s="611"/>
      <c r="N366" s="609"/>
      <c r="O366" s="611"/>
      <c r="P366" s="611"/>
      <c r="Q366" s="609"/>
      <c r="R366" s="610"/>
    </row>
    <row r="367" spans="1:18">
      <c r="A367" s="609"/>
      <c r="B367" s="609"/>
      <c r="C367" s="610"/>
      <c r="D367" s="610"/>
      <c r="E367" s="611"/>
      <c r="F367" s="611"/>
      <c r="G367" s="611"/>
      <c r="H367" s="612"/>
      <c r="I367" s="611"/>
      <c r="J367" s="610"/>
      <c r="K367" s="609"/>
      <c r="L367" s="613"/>
      <c r="M367" s="611"/>
      <c r="N367" s="609"/>
      <c r="O367" s="611"/>
      <c r="P367" s="611"/>
      <c r="Q367" s="609"/>
      <c r="R367" s="610"/>
    </row>
    <row r="368" spans="1:18">
      <c r="A368" s="609"/>
      <c r="B368" s="609"/>
      <c r="C368" s="610"/>
      <c r="D368" s="610"/>
      <c r="E368" s="611"/>
      <c r="F368" s="611"/>
      <c r="G368" s="611"/>
      <c r="H368" s="612"/>
      <c r="I368" s="611"/>
      <c r="J368" s="610"/>
      <c r="K368" s="609"/>
      <c r="L368" s="613"/>
      <c r="M368" s="611"/>
      <c r="N368" s="609"/>
      <c r="O368" s="611"/>
      <c r="P368" s="611"/>
      <c r="Q368" s="609"/>
      <c r="R368" s="610"/>
    </row>
    <row r="369" spans="1:18">
      <c r="A369" s="609"/>
      <c r="B369" s="609"/>
      <c r="C369" s="610"/>
      <c r="D369" s="610"/>
      <c r="E369" s="611"/>
      <c r="F369" s="611"/>
      <c r="G369" s="611"/>
      <c r="H369" s="612"/>
      <c r="I369" s="611"/>
      <c r="J369" s="610"/>
      <c r="K369" s="609"/>
      <c r="L369" s="613"/>
      <c r="M369" s="611"/>
      <c r="N369" s="609"/>
      <c r="O369" s="611"/>
      <c r="P369" s="611"/>
      <c r="Q369" s="609"/>
      <c r="R369" s="610"/>
    </row>
    <row r="370" spans="1:18">
      <c r="A370" s="609"/>
      <c r="B370" s="609"/>
      <c r="C370" s="610"/>
      <c r="D370" s="610"/>
      <c r="E370" s="611"/>
      <c r="F370" s="611"/>
      <c r="G370" s="611"/>
      <c r="H370" s="612"/>
      <c r="I370" s="611"/>
      <c r="J370" s="610"/>
      <c r="K370" s="609"/>
      <c r="L370" s="613"/>
      <c r="M370" s="611"/>
      <c r="N370" s="609"/>
      <c r="O370" s="611"/>
      <c r="P370" s="611"/>
      <c r="Q370" s="609"/>
      <c r="R370" s="610"/>
    </row>
    <row r="371" spans="1:18">
      <c r="A371" s="609"/>
      <c r="B371" s="609"/>
      <c r="C371" s="610"/>
      <c r="D371" s="610"/>
      <c r="E371" s="611"/>
      <c r="F371" s="611"/>
      <c r="G371" s="611"/>
      <c r="H371" s="612"/>
      <c r="I371" s="611"/>
      <c r="J371" s="610"/>
      <c r="K371" s="609"/>
      <c r="L371" s="613"/>
      <c r="M371" s="611"/>
      <c r="N371" s="609"/>
      <c r="O371" s="611"/>
      <c r="P371" s="611"/>
      <c r="Q371" s="609"/>
      <c r="R371" s="610"/>
    </row>
    <row r="372" spans="1:18">
      <c r="A372" s="609"/>
      <c r="B372" s="609"/>
      <c r="C372" s="610"/>
      <c r="D372" s="610"/>
      <c r="E372" s="611"/>
      <c r="F372" s="611"/>
      <c r="G372" s="611"/>
      <c r="H372" s="612"/>
      <c r="I372" s="611"/>
      <c r="J372" s="610"/>
      <c r="K372" s="609"/>
      <c r="L372" s="613"/>
      <c r="M372" s="611"/>
      <c r="N372" s="609"/>
      <c r="O372" s="611"/>
      <c r="P372" s="611"/>
      <c r="Q372" s="609"/>
      <c r="R372" s="610"/>
    </row>
    <row r="373" spans="1:18">
      <c r="A373" s="609"/>
      <c r="B373" s="609"/>
      <c r="C373" s="610"/>
      <c r="D373" s="610"/>
      <c r="E373" s="611"/>
      <c r="F373" s="611"/>
      <c r="G373" s="611"/>
      <c r="H373" s="612"/>
      <c r="I373" s="611"/>
      <c r="J373" s="610"/>
      <c r="K373" s="609"/>
      <c r="L373" s="613"/>
      <c r="M373" s="611"/>
      <c r="N373" s="609"/>
      <c r="O373" s="611"/>
      <c r="P373" s="611"/>
      <c r="Q373" s="609"/>
      <c r="R373" s="610"/>
    </row>
    <row r="374" spans="1:18">
      <c r="A374" s="609"/>
      <c r="B374" s="609"/>
      <c r="C374" s="610"/>
      <c r="D374" s="610"/>
      <c r="E374" s="611"/>
      <c r="F374" s="611"/>
      <c r="G374" s="611"/>
      <c r="H374" s="612"/>
      <c r="I374" s="611"/>
      <c r="J374" s="610"/>
      <c r="K374" s="609"/>
      <c r="L374" s="613"/>
      <c r="M374" s="611"/>
      <c r="N374" s="609"/>
      <c r="O374" s="611"/>
      <c r="P374" s="611"/>
      <c r="Q374" s="609"/>
      <c r="R374" s="610"/>
    </row>
    <row r="375" spans="1:18">
      <c r="A375" s="609"/>
      <c r="B375" s="609"/>
      <c r="C375" s="610"/>
      <c r="D375" s="610"/>
      <c r="E375" s="611"/>
      <c r="F375" s="611"/>
      <c r="G375" s="611"/>
      <c r="H375" s="612"/>
      <c r="I375" s="611"/>
      <c r="J375" s="610"/>
      <c r="K375" s="609"/>
      <c r="L375" s="613"/>
      <c r="M375" s="611"/>
      <c r="N375" s="609"/>
      <c r="O375" s="611"/>
      <c r="P375" s="611"/>
      <c r="Q375" s="609"/>
      <c r="R375" s="610"/>
    </row>
    <row r="376" spans="1:18">
      <c r="A376" s="609"/>
      <c r="B376" s="609"/>
      <c r="C376" s="610"/>
      <c r="D376" s="610"/>
      <c r="E376" s="611"/>
      <c r="F376" s="611"/>
      <c r="G376" s="611"/>
      <c r="H376" s="612"/>
      <c r="I376" s="611"/>
      <c r="J376" s="610"/>
      <c r="K376" s="609"/>
      <c r="L376" s="613"/>
      <c r="M376" s="611"/>
      <c r="N376" s="609"/>
      <c r="O376" s="611"/>
      <c r="P376" s="611"/>
      <c r="Q376" s="609"/>
      <c r="R376" s="610"/>
    </row>
    <row r="377" spans="1:18">
      <c r="A377" s="609"/>
      <c r="B377" s="609"/>
      <c r="C377" s="610"/>
      <c r="D377" s="610"/>
      <c r="E377" s="611"/>
      <c r="F377" s="611"/>
      <c r="G377" s="611"/>
      <c r="H377" s="612"/>
      <c r="I377" s="611"/>
      <c r="J377" s="610"/>
      <c r="K377" s="609"/>
      <c r="L377" s="613"/>
      <c r="M377" s="611"/>
      <c r="N377" s="609"/>
      <c r="O377" s="611"/>
      <c r="P377" s="611"/>
      <c r="Q377" s="609"/>
      <c r="R377" s="610"/>
    </row>
    <row r="378" spans="1:18">
      <c r="A378" s="609"/>
      <c r="B378" s="609"/>
      <c r="C378" s="610"/>
      <c r="D378" s="610"/>
      <c r="E378" s="611"/>
      <c r="F378" s="611"/>
      <c r="G378" s="611"/>
      <c r="H378" s="612"/>
      <c r="I378" s="611"/>
      <c r="J378" s="610"/>
      <c r="K378" s="609"/>
      <c r="L378" s="613"/>
      <c r="M378" s="611"/>
      <c r="N378" s="609"/>
      <c r="O378" s="611"/>
      <c r="P378" s="611"/>
      <c r="Q378" s="609"/>
      <c r="R378" s="610"/>
    </row>
    <row r="379" spans="1:18">
      <c r="A379" s="609"/>
      <c r="B379" s="609"/>
      <c r="C379" s="610"/>
      <c r="D379" s="610"/>
      <c r="E379" s="611"/>
      <c r="F379" s="611"/>
      <c r="G379" s="611"/>
      <c r="H379" s="612"/>
      <c r="I379" s="611"/>
      <c r="J379" s="610"/>
      <c r="K379" s="609"/>
      <c r="L379" s="613"/>
      <c r="M379" s="611"/>
      <c r="N379" s="609"/>
      <c r="O379" s="611"/>
      <c r="P379" s="611"/>
      <c r="Q379" s="609"/>
      <c r="R379" s="610"/>
    </row>
    <row r="380" spans="1:18">
      <c r="A380" s="609"/>
      <c r="B380" s="609"/>
      <c r="C380" s="610"/>
      <c r="D380" s="610"/>
      <c r="E380" s="611"/>
      <c r="F380" s="611"/>
      <c r="G380" s="611"/>
      <c r="H380" s="612"/>
      <c r="I380" s="611"/>
      <c r="J380" s="610"/>
      <c r="K380" s="609"/>
      <c r="L380" s="613"/>
      <c r="M380" s="611"/>
      <c r="N380" s="609"/>
      <c r="O380" s="611"/>
      <c r="P380" s="611"/>
      <c r="Q380" s="609"/>
      <c r="R380" s="610"/>
    </row>
    <row r="381" spans="1:18">
      <c r="A381" s="609"/>
      <c r="B381" s="609"/>
      <c r="C381" s="610"/>
      <c r="D381" s="610"/>
      <c r="E381" s="611"/>
      <c r="F381" s="611"/>
      <c r="G381" s="611"/>
      <c r="H381" s="612"/>
      <c r="I381" s="611"/>
      <c r="J381" s="610"/>
      <c r="K381" s="609"/>
      <c r="L381" s="613"/>
      <c r="M381" s="611"/>
      <c r="N381" s="609"/>
      <c r="O381" s="611"/>
      <c r="P381" s="611"/>
      <c r="Q381" s="609"/>
      <c r="R381" s="610"/>
    </row>
    <row r="382" spans="1:18">
      <c r="A382" s="609"/>
      <c r="B382" s="609"/>
      <c r="C382" s="610"/>
      <c r="D382" s="610"/>
      <c r="E382" s="611"/>
      <c r="F382" s="611"/>
      <c r="G382" s="611"/>
      <c r="H382" s="612"/>
      <c r="I382" s="611"/>
      <c r="J382" s="610"/>
      <c r="K382" s="609"/>
      <c r="L382" s="613"/>
      <c r="M382" s="611"/>
      <c r="N382" s="609"/>
      <c r="O382" s="611"/>
      <c r="P382" s="611"/>
      <c r="Q382" s="609"/>
      <c r="R382" s="610"/>
    </row>
    <row r="383" spans="1:18">
      <c r="A383" s="609"/>
      <c r="B383" s="609"/>
      <c r="C383" s="610"/>
      <c r="D383" s="610"/>
      <c r="E383" s="611"/>
      <c r="F383" s="611"/>
      <c r="G383" s="611"/>
      <c r="H383" s="612"/>
      <c r="I383" s="611"/>
      <c r="J383" s="610"/>
      <c r="K383" s="609"/>
      <c r="L383" s="613"/>
      <c r="M383" s="611"/>
      <c r="N383" s="609"/>
      <c r="O383" s="611"/>
      <c r="P383" s="611"/>
      <c r="Q383" s="609"/>
      <c r="R383" s="610"/>
    </row>
    <row r="384" spans="1:18">
      <c r="A384" s="609"/>
      <c r="B384" s="609"/>
      <c r="C384" s="610"/>
      <c r="D384" s="610"/>
      <c r="E384" s="611"/>
      <c r="F384" s="611"/>
      <c r="G384" s="611"/>
      <c r="H384" s="612"/>
      <c r="I384" s="611"/>
      <c r="J384" s="610"/>
      <c r="K384" s="609"/>
      <c r="L384" s="613"/>
      <c r="M384" s="611"/>
      <c r="N384" s="609"/>
      <c r="O384" s="611"/>
      <c r="P384" s="611"/>
      <c r="Q384" s="609"/>
      <c r="R384" s="610"/>
    </row>
    <row r="385" spans="1:18">
      <c r="A385" s="609"/>
      <c r="B385" s="609"/>
      <c r="C385" s="610"/>
      <c r="D385" s="610"/>
      <c r="E385" s="611"/>
      <c r="F385" s="611"/>
      <c r="G385" s="611"/>
      <c r="H385" s="612"/>
      <c r="I385" s="611"/>
      <c r="J385" s="610"/>
      <c r="K385" s="609"/>
      <c r="L385" s="613"/>
      <c r="M385" s="611"/>
      <c r="N385" s="609"/>
      <c r="O385" s="611"/>
      <c r="P385" s="611"/>
      <c r="Q385" s="609"/>
      <c r="R385" s="610"/>
    </row>
    <row r="386" spans="1:18">
      <c r="A386" s="609"/>
      <c r="B386" s="609"/>
      <c r="C386" s="610"/>
      <c r="D386" s="610"/>
      <c r="E386" s="611"/>
      <c r="F386" s="611"/>
      <c r="G386" s="611"/>
      <c r="H386" s="612"/>
      <c r="I386" s="611"/>
      <c r="J386" s="610"/>
      <c r="K386" s="609"/>
      <c r="L386" s="613"/>
      <c r="M386" s="611"/>
      <c r="N386" s="609"/>
      <c r="O386" s="611"/>
      <c r="P386" s="611"/>
      <c r="Q386" s="609"/>
      <c r="R386" s="610"/>
    </row>
    <row r="387" spans="1:18">
      <c r="A387" s="609"/>
      <c r="B387" s="609"/>
      <c r="C387" s="610"/>
      <c r="D387" s="610"/>
      <c r="E387" s="611"/>
      <c r="F387" s="611"/>
      <c r="G387" s="611"/>
      <c r="H387" s="612"/>
      <c r="I387" s="611"/>
      <c r="J387" s="610"/>
      <c r="K387" s="609"/>
      <c r="L387" s="613"/>
      <c r="M387" s="611"/>
      <c r="N387" s="609"/>
      <c r="O387" s="611"/>
      <c r="P387" s="611"/>
      <c r="Q387" s="609"/>
      <c r="R387" s="610"/>
    </row>
    <row r="388" spans="1:18">
      <c r="A388" s="609"/>
      <c r="B388" s="609"/>
      <c r="C388" s="610"/>
      <c r="D388" s="610"/>
      <c r="E388" s="611"/>
      <c r="F388" s="611"/>
      <c r="G388" s="611"/>
      <c r="H388" s="612"/>
      <c r="I388" s="611"/>
      <c r="J388" s="610"/>
      <c r="K388" s="609"/>
      <c r="L388" s="613"/>
      <c r="M388" s="611"/>
      <c r="N388" s="609"/>
      <c r="O388" s="611"/>
      <c r="P388" s="611"/>
      <c r="Q388" s="609"/>
      <c r="R388" s="610"/>
    </row>
    <row r="389" spans="1:18">
      <c r="A389" s="609"/>
      <c r="B389" s="609"/>
      <c r="C389" s="610"/>
      <c r="D389" s="610"/>
      <c r="E389" s="611"/>
      <c r="F389" s="611"/>
      <c r="G389" s="611"/>
      <c r="H389" s="612"/>
      <c r="I389" s="611"/>
      <c r="J389" s="610"/>
      <c r="K389" s="609"/>
      <c r="L389" s="613"/>
      <c r="M389" s="611"/>
      <c r="N389" s="609"/>
      <c r="O389" s="611"/>
      <c r="P389" s="611"/>
      <c r="Q389" s="609"/>
      <c r="R389" s="610"/>
    </row>
    <row r="390" spans="1:18">
      <c r="A390" s="609"/>
      <c r="B390" s="609"/>
      <c r="C390" s="610"/>
      <c r="D390" s="610"/>
      <c r="E390" s="611"/>
      <c r="F390" s="611"/>
      <c r="G390" s="611"/>
      <c r="H390" s="612"/>
      <c r="I390" s="611"/>
      <c r="J390" s="610"/>
      <c r="K390" s="609"/>
      <c r="L390" s="613"/>
      <c r="M390" s="611"/>
      <c r="N390" s="609"/>
      <c r="O390" s="611"/>
      <c r="P390" s="611"/>
      <c r="Q390" s="609"/>
      <c r="R390" s="610"/>
    </row>
    <row r="391" spans="1:18">
      <c r="A391" s="609"/>
      <c r="B391" s="609"/>
      <c r="C391" s="610"/>
      <c r="D391" s="610"/>
      <c r="E391" s="611"/>
      <c r="F391" s="611"/>
      <c r="G391" s="611"/>
      <c r="H391" s="612"/>
      <c r="I391" s="611"/>
      <c r="J391" s="610"/>
      <c r="K391" s="609"/>
      <c r="L391" s="613"/>
      <c r="M391" s="611"/>
      <c r="N391" s="609"/>
      <c r="O391" s="611"/>
      <c r="P391" s="611"/>
      <c r="Q391" s="609"/>
      <c r="R391" s="610"/>
    </row>
    <row r="392" spans="1:18">
      <c r="A392" s="609"/>
      <c r="B392" s="609"/>
      <c r="C392" s="610"/>
      <c r="D392" s="610"/>
      <c r="E392" s="611"/>
      <c r="F392" s="611"/>
      <c r="G392" s="611"/>
      <c r="H392" s="612"/>
      <c r="I392" s="611"/>
      <c r="J392" s="610"/>
      <c r="K392" s="609"/>
      <c r="L392" s="613"/>
      <c r="M392" s="611"/>
      <c r="N392" s="609"/>
      <c r="O392" s="611"/>
      <c r="P392" s="611"/>
      <c r="Q392" s="609"/>
      <c r="R392" s="610"/>
    </row>
    <row r="393" spans="1:18">
      <c r="A393" s="609"/>
      <c r="B393" s="609"/>
      <c r="C393" s="610"/>
      <c r="D393" s="610"/>
      <c r="E393" s="611"/>
      <c r="F393" s="611"/>
      <c r="G393" s="611"/>
      <c r="H393" s="612"/>
      <c r="I393" s="611"/>
      <c r="J393" s="610"/>
      <c r="K393" s="609"/>
      <c r="L393" s="613"/>
      <c r="M393" s="611"/>
      <c r="N393" s="609"/>
      <c r="O393" s="611"/>
      <c r="P393" s="611"/>
      <c r="Q393" s="609"/>
      <c r="R393" s="610"/>
    </row>
    <row r="394" spans="1:18">
      <c r="A394" s="609"/>
      <c r="B394" s="609"/>
      <c r="C394" s="610"/>
      <c r="D394" s="610"/>
      <c r="E394" s="611"/>
      <c r="F394" s="611"/>
      <c r="G394" s="611"/>
      <c r="H394" s="612"/>
      <c r="I394" s="611"/>
      <c r="J394" s="610"/>
      <c r="K394" s="609"/>
      <c r="L394" s="613"/>
      <c r="M394" s="611"/>
      <c r="N394" s="609"/>
      <c r="O394" s="611"/>
      <c r="P394" s="611"/>
      <c r="Q394" s="609"/>
      <c r="R394" s="610"/>
    </row>
    <row r="395" spans="1:18">
      <c r="A395" s="609"/>
      <c r="B395" s="609"/>
      <c r="C395" s="610"/>
      <c r="D395" s="610"/>
      <c r="E395" s="611"/>
      <c r="F395" s="611"/>
      <c r="G395" s="611"/>
      <c r="H395" s="612"/>
      <c r="I395" s="611"/>
      <c r="J395" s="610"/>
      <c r="K395" s="609"/>
      <c r="L395" s="613"/>
      <c r="M395" s="611"/>
      <c r="N395" s="609"/>
      <c r="O395" s="611"/>
      <c r="P395" s="611"/>
      <c r="Q395" s="609"/>
      <c r="R395" s="610"/>
    </row>
    <row r="396" spans="1:18">
      <c r="A396" s="609"/>
      <c r="B396" s="609"/>
      <c r="C396" s="610"/>
      <c r="D396" s="610"/>
      <c r="E396" s="611"/>
      <c r="F396" s="611"/>
      <c r="G396" s="611"/>
      <c r="H396" s="612"/>
      <c r="I396" s="611"/>
      <c r="J396" s="610"/>
      <c r="K396" s="609"/>
      <c r="L396" s="613"/>
      <c r="M396" s="611"/>
      <c r="N396" s="609"/>
      <c r="O396" s="611"/>
      <c r="P396" s="611"/>
      <c r="Q396" s="609"/>
      <c r="R396" s="610"/>
    </row>
    <row r="397" spans="1:18">
      <c r="A397" s="609"/>
      <c r="B397" s="609"/>
      <c r="C397" s="610"/>
      <c r="D397" s="610"/>
      <c r="E397" s="611"/>
      <c r="F397" s="611"/>
      <c r="G397" s="611"/>
      <c r="H397" s="612"/>
      <c r="I397" s="611"/>
      <c r="J397" s="610"/>
      <c r="K397" s="609"/>
      <c r="L397" s="613"/>
      <c r="M397" s="611"/>
      <c r="N397" s="609"/>
      <c r="O397" s="611"/>
      <c r="P397" s="611"/>
      <c r="Q397" s="609"/>
      <c r="R397" s="610"/>
    </row>
    <row r="398" spans="1:18">
      <c r="A398" s="609"/>
      <c r="B398" s="609"/>
      <c r="C398" s="610"/>
      <c r="D398" s="610"/>
      <c r="E398" s="611"/>
      <c r="F398" s="611"/>
      <c r="G398" s="611"/>
      <c r="H398" s="612"/>
      <c r="I398" s="611"/>
      <c r="J398" s="610"/>
      <c r="K398" s="609"/>
      <c r="L398" s="613"/>
      <c r="M398" s="611"/>
      <c r="N398" s="609"/>
      <c r="O398" s="611"/>
      <c r="P398" s="611"/>
      <c r="Q398" s="609"/>
      <c r="R398" s="610"/>
    </row>
    <row r="399" spans="1:18">
      <c r="A399" s="609"/>
      <c r="B399" s="609"/>
      <c r="C399" s="610"/>
      <c r="D399" s="610"/>
      <c r="E399" s="611"/>
      <c r="F399" s="611"/>
      <c r="G399" s="611"/>
      <c r="H399" s="612"/>
      <c r="I399" s="611"/>
      <c r="J399" s="610"/>
      <c r="K399" s="609"/>
      <c r="L399" s="613"/>
      <c r="M399" s="611"/>
      <c r="N399" s="609"/>
      <c r="O399" s="611"/>
      <c r="P399" s="611"/>
      <c r="Q399" s="609"/>
      <c r="R399" s="610"/>
    </row>
    <row r="400" spans="1:18">
      <c r="A400" s="609"/>
      <c r="B400" s="609"/>
      <c r="C400" s="610"/>
      <c r="D400" s="610"/>
      <c r="E400" s="611"/>
      <c r="F400" s="611"/>
      <c r="G400" s="611"/>
      <c r="H400" s="612"/>
      <c r="I400" s="611"/>
      <c r="J400" s="610"/>
      <c r="K400" s="609"/>
      <c r="L400" s="613"/>
      <c r="M400" s="611"/>
      <c r="N400" s="609"/>
      <c r="O400" s="611"/>
      <c r="P400" s="611"/>
      <c r="Q400" s="609"/>
      <c r="R400" s="610"/>
    </row>
    <row r="401" spans="1:18">
      <c r="A401" s="609"/>
      <c r="B401" s="609"/>
      <c r="C401" s="610"/>
      <c r="D401" s="610"/>
      <c r="E401" s="611"/>
      <c r="F401" s="611"/>
      <c r="G401" s="611"/>
      <c r="H401" s="612"/>
      <c r="I401" s="611"/>
      <c r="J401" s="610"/>
      <c r="K401" s="609"/>
      <c r="L401" s="613"/>
      <c r="M401" s="611"/>
      <c r="N401" s="609"/>
      <c r="O401" s="611"/>
      <c r="P401" s="611"/>
      <c r="Q401" s="609"/>
      <c r="R401" s="610"/>
    </row>
    <row r="402" spans="1:18">
      <c r="A402" s="609"/>
      <c r="B402" s="609"/>
      <c r="C402" s="610"/>
      <c r="D402" s="610"/>
      <c r="E402" s="611"/>
      <c r="F402" s="611"/>
      <c r="G402" s="611"/>
      <c r="H402" s="612"/>
      <c r="I402" s="611"/>
      <c r="J402" s="610"/>
      <c r="K402" s="609"/>
      <c r="L402" s="613"/>
      <c r="M402" s="611"/>
      <c r="N402" s="609"/>
      <c r="O402" s="611"/>
      <c r="P402" s="611"/>
      <c r="Q402" s="609"/>
      <c r="R402" s="610"/>
    </row>
    <row r="403" spans="1:18">
      <c r="A403" s="609"/>
      <c r="B403" s="609"/>
      <c r="C403" s="610"/>
      <c r="D403" s="610"/>
      <c r="E403" s="611"/>
      <c r="F403" s="611"/>
      <c r="G403" s="611"/>
      <c r="H403" s="612"/>
      <c r="I403" s="611"/>
      <c r="J403" s="610"/>
      <c r="K403" s="609"/>
      <c r="L403" s="613"/>
      <c r="M403" s="611"/>
      <c r="N403" s="609"/>
      <c r="O403" s="611"/>
      <c r="P403" s="611"/>
      <c r="Q403" s="609"/>
      <c r="R403" s="610"/>
    </row>
    <row r="404" spans="1:18">
      <c r="A404" s="609"/>
      <c r="B404" s="609"/>
      <c r="C404" s="610"/>
      <c r="D404" s="610"/>
      <c r="E404" s="611"/>
      <c r="F404" s="611"/>
      <c r="G404" s="611"/>
      <c r="H404" s="612"/>
      <c r="I404" s="611"/>
      <c r="J404" s="610"/>
      <c r="K404" s="609"/>
      <c r="L404" s="613"/>
      <c r="M404" s="611"/>
      <c r="N404" s="609"/>
      <c r="O404" s="611"/>
      <c r="P404" s="611"/>
      <c r="Q404" s="609"/>
      <c r="R404" s="610"/>
    </row>
    <row r="405" spans="1:18">
      <c r="A405" s="609"/>
      <c r="B405" s="609"/>
      <c r="C405" s="610"/>
      <c r="D405" s="610"/>
      <c r="E405" s="611"/>
      <c r="F405" s="611"/>
      <c r="G405" s="611"/>
      <c r="H405" s="612"/>
      <c r="I405" s="611"/>
      <c r="J405" s="610"/>
      <c r="K405" s="609"/>
      <c r="L405" s="613"/>
      <c r="M405" s="611"/>
      <c r="N405" s="609"/>
      <c r="O405" s="611"/>
      <c r="P405" s="611"/>
      <c r="Q405" s="609"/>
      <c r="R405" s="610"/>
    </row>
    <row r="406" spans="1:18">
      <c r="A406" s="609"/>
      <c r="B406" s="609"/>
      <c r="C406" s="610"/>
      <c r="D406" s="610"/>
      <c r="E406" s="611"/>
      <c r="F406" s="611"/>
      <c r="G406" s="611"/>
      <c r="H406" s="612"/>
      <c r="I406" s="611"/>
      <c r="J406" s="610"/>
      <c r="K406" s="609"/>
      <c r="L406" s="613"/>
      <c r="M406" s="611"/>
      <c r="N406" s="609"/>
      <c r="O406" s="611"/>
      <c r="P406" s="611"/>
      <c r="Q406" s="609"/>
      <c r="R406" s="610"/>
    </row>
    <row r="407" spans="1:18">
      <c r="A407" s="609"/>
      <c r="B407" s="609"/>
      <c r="C407" s="610"/>
      <c r="D407" s="610"/>
      <c r="E407" s="611"/>
      <c r="F407" s="611"/>
      <c r="G407" s="611"/>
      <c r="H407" s="612"/>
      <c r="I407" s="611"/>
      <c r="J407" s="610"/>
      <c r="K407" s="609"/>
      <c r="L407" s="613"/>
      <c r="M407" s="611"/>
      <c r="N407" s="609"/>
      <c r="O407" s="611"/>
      <c r="P407" s="611"/>
      <c r="Q407" s="609"/>
      <c r="R407" s="610"/>
    </row>
    <row r="408" spans="1:18">
      <c r="A408" s="609"/>
      <c r="B408" s="609"/>
      <c r="C408" s="610"/>
      <c r="D408" s="610"/>
      <c r="E408" s="611"/>
      <c r="F408" s="611"/>
      <c r="G408" s="611"/>
      <c r="H408" s="612"/>
      <c r="I408" s="611"/>
      <c r="J408" s="610"/>
      <c r="K408" s="609"/>
      <c r="L408" s="613"/>
      <c r="M408" s="611"/>
      <c r="N408" s="609"/>
      <c r="O408" s="611"/>
      <c r="P408" s="611"/>
      <c r="Q408" s="609"/>
      <c r="R408" s="610"/>
    </row>
    <row r="409" spans="1:18">
      <c r="A409" s="609"/>
      <c r="B409" s="609"/>
      <c r="C409" s="610"/>
      <c r="D409" s="610"/>
      <c r="E409" s="611"/>
      <c r="F409" s="611"/>
      <c r="G409" s="611"/>
      <c r="H409" s="612"/>
      <c r="I409" s="611"/>
      <c r="J409" s="610"/>
      <c r="K409" s="609"/>
      <c r="L409" s="613"/>
      <c r="M409" s="611"/>
      <c r="N409" s="609"/>
      <c r="O409" s="611"/>
      <c r="P409" s="611"/>
      <c r="Q409" s="609"/>
      <c r="R409" s="610"/>
    </row>
    <row r="410" spans="1:18">
      <c r="A410" s="609"/>
      <c r="B410" s="609"/>
      <c r="C410" s="610"/>
      <c r="D410" s="610"/>
      <c r="E410" s="611"/>
      <c r="F410" s="611"/>
      <c r="G410" s="611"/>
      <c r="H410" s="612"/>
      <c r="I410" s="611"/>
      <c r="J410" s="610"/>
      <c r="K410" s="609"/>
      <c r="L410" s="613"/>
      <c r="M410" s="611"/>
      <c r="N410" s="609"/>
      <c r="O410" s="611"/>
      <c r="P410" s="611"/>
      <c r="Q410" s="609"/>
      <c r="R410" s="610"/>
    </row>
    <row r="411" spans="1:18">
      <c r="A411" s="609"/>
      <c r="B411" s="609"/>
      <c r="C411" s="610"/>
      <c r="D411" s="610"/>
      <c r="E411" s="611"/>
      <c r="F411" s="611"/>
      <c r="G411" s="611"/>
      <c r="H411" s="612"/>
      <c r="I411" s="611"/>
      <c r="J411" s="610"/>
      <c r="K411" s="609"/>
      <c r="L411" s="613"/>
      <c r="M411" s="611"/>
      <c r="N411" s="609"/>
      <c r="O411" s="611"/>
      <c r="P411" s="611"/>
      <c r="Q411" s="609"/>
      <c r="R411" s="610"/>
    </row>
    <row r="412" spans="1:18">
      <c r="A412" s="609"/>
      <c r="B412" s="609"/>
      <c r="C412" s="610"/>
      <c r="D412" s="610"/>
      <c r="E412" s="611"/>
      <c r="F412" s="611"/>
      <c r="G412" s="611"/>
      <c r="H412" s="612"/>
      <c r="I412" s="611"/>
      <c r="J412" s="610"/>
      <c r="K412" s="609"/>
      <c r="L412" s="613"/>
      <c r="M412" s="611"/>
      <c r="N412" s="609"/>
      <c r="O412" s="611"/>
      <c r="P412" s="611"/>
      <c r="Q412" s="609"/>
      <c r="R412" s="610"/>
    </row>
    <row r="413" spans="1:18">
      <c r="A413" s="609"/>
      <c r="B413" s="609"/>
      <c r="C413" s="610"/>
      <c r="D413" s="610"/>
      <c r="E413" s="611"/>
      <c r="F413" s="611"/>
      <c r="G413" s="611"/>
      <c r="H413" s="612"/>
      <c r="I413" s="611"/>
      <c r="J413" s="610"/>
      <c r="K413" s="609"/>
      <c r="L413" s="613"/>
      <c r="M413" s="611"/>
      <c r="N413" s="609"/>
      <c r="O413" s="611"/>
      <c r="P413" s="611"/>
      <c r="Q413" s="609"/>
      <c r="R413" s="610"/>
    </row>
    <row r="414" spans="1:18">
      <c r="A414" s="609"/>
      <c r="B414" s="609"/>
      <c r="C414" s="610"/>
      <c r="D414" s="610"/>
      <c r="E414" s="611"/>
      <c r="F414" s="611"/>
      <c r="G414" s="611"/>
      <c r="H414" s="612"/>
      <c r="I414" s="611"/>
      <c r="J414" s="610"/>
      <c r="K414" s="609"/>
      <c r="L414" s="613"/>
      <c r="M414" s="611"/>
      <c r="N414" s="609"/>
      <c r="O414" s="611"/>
      <c r="P414" s="611"/>
      <c r="Q414" s="609"/>
      <c r="R414" s="610"/>
    </row>
    <row r="415" spans="1:18">
      <c r="A415" s="609"/>
      <c r="B415" s="609"/>
      <c r="C415" s="610"/>
      <c r="D415" s="610"/>
      <c r="E415" s="611"/>
      <c r="F415" s="611"/>
      <c r="G415" s="611"/>
      <c r="H415" s="612"/>
      <c r="I415" s="611"/>
      <c r="J415" s="610"/>
      <c r="K415" s="609"/>
      <c r="L415" s="613"/>
      <c r="M415" s="611"/>
      <c r="N415" s="609"/>
      <c r="O415" s="611"/>
      <c r="P415" s="611"/>
      <c r="Q415" s="609"/>
      <c r="R415" s="610"/>
    </row>
    <row r="416" spans="1:18">
      <c r="A416" s="609"/>
      <c r="B416" s="609"/>
      <c r="C416" s="610"/>
      <c r="D416" s="610"/>
      <c r="E416" s="611"/>
      <c r="F416" s="611"/>
      <c r="G416" s="611"/>
      <c r="H416" s="612"/>
      <c r="I416" s="611"/>
      <c r="J416" s="610"/>
      <c r="K416" s="609"/>
      <c r="L416" s="613"/>
      <c r="M416" s="611"/>
      <c r="N416" s="609"/>
      <c r="O416" s="611"/>
      <c r="P416" s="611"/>
      <c r="Q416" s="609"/>
      <c r="R416" s="610"/>
    </row>
    <row r="417" spans="1:18">
      <c r="A417" s="609"/>
      <c r="B417" s="609"/>
      <c r="C417" s="610"/>
      <c r="D417" s="610"/>
      <c r="E417" s="611"/>
      <c r="F417" s="611"/>
      <c r="G417" s="611"/>
      <c r="H417" s="612"/>
      <c r="I417" s="611"/>
      <c r="J417" s="610"/>
      <c r="K417" s="609"/>
      <c r="L417" s="613"/>
      <c r="M417" s="611"/>
      <c r="N417" s="609"/>
      <c r="O417" s="611"/>
      <c r="P417" s="611"/>
      <c r="Q417" s="609"/>
      <c r="R417" s="610"/>
    </row>
    <row r="418" spans="1:18">
      <c r="A418" s="609"/>
      <c r="B418" s="609"/>
      <c r="C418" s="610"/>
      <c r="D418" s="610"/>
      <c r="E418" s="611"/>
      <c r="F418" s="611"/>
      <c r="G418" s="611"/>
      <c r="H418" s="612"/>
      <c r="I418" s="611"/>
      <c r="J418" s="610"/>
      <c r="K418" s="609"/>
      <c r="L418" s="613"/>
      <c r="M418" s="611"/>
      <c r="N418" s="609"/>
      <c r="O418" s="611"/>
      <c r="P418" s="611"/>
      <c r="Q418" s="609"/>
      <c r="R418" s="610"/>
    </row>
    <row r="419" spans="1:18">
      <c r="A419" s="609"/>
      <c r="B419" s="609"/>
      <c r="C419" s="610"/>
      <c r="D419" s="610"/>
      <c r="E419" s="611"/>
      <c r="F419" s="611"/>
      <c r="G419" s="611"/>
      <c r="H419" s="612"/>
      <c r="I419" s="611"/>
      <c r="J419" s="610"/>
      <c r="K419" s="609"/>
      <c r="L419" s="613"/>
      <c r="M419" s="611"/>
      <c r="N419" s="609"/>
      <c r="O419" s="611"/>
      <c r="P419" s="611"/>
      <c r="Q419" s="609"/>
      <c r="R419" s="610"/>
    </row>
    <row r="420" spans="1:18">
      <c r="A420" s="609"/>
      <c r="B420" s="609"/>
      <c r="C420" s="610"/>
      <c r="D420" s="610"/>
      <c r="E420" s="611"/>
      <c r="F420" s="611"/>
      <c r="G420" s="611"/>
      <c r="H420" s="612"/>
      <c r="I420" s="611"/>
      <c r="J420" s="610"/>
      <c r="K420" s="609"/>
      <c r="L420" s="613"/>
      <c r="M420" s="611"/>
      <c r="N420" s="609"/>
      <c r="O420" s="611"/>
      <c r="P420" s="611"/>
      <c r="Q420" s="609"/>
      <c r="R420" s="610"/>
    </row>
    <row r="421" spans="1:18">
      <c r="A421" s="609"/>
      <c r="B421" s="609"/>
      <c r="C421" s="610"/>
      <c r="D421" s="610"/>
      <c r="E421" s="611"/>
      <c r="F421" s="611"/>
      <c r="G421" s="611"/>
      <c r="H421" s="612"/>
      <c r="I421" s="611"/>
      <c r="J421" s="610"/>
      <c r="K421" s="609"/>
      <c r="L421" s="613"/>
      <c r="M421" s="611"/>
      <c r="N421" s="609"/>
      <c r="O421" s="611"/>
      <c r="P421" s="611"/>
      <c r="Q421" s="609"/>
      <c r="R421" s="610"/>
    </row>
    <row r="422" spans="1:18">
      <c r="A422" s="609"/>
      <c r="B422" s="609"/>
      <c r="C422" s="610"/>
      <c r="D422" s="610"/>
      <c r="E422" s="611"/>
      <c r="F422" s="611"/>
      <c r="G422" s="611"/>
      <c r="H422" s="612"/>
      <c r="I422" s="611"/>
      <c r="J422" s="610"/>
      <c r="K422" s="609"/>
      <c r="L422" s="613"/>
      <c r="M422" s="611"/>
      <c r="N422" s="609"/>
      <c r="O422" s="611"/>
      <c r="P422" s="611"/>
      <c r="Q422" s="609"/>
      <c r="R422" s="610"/>
    </row>
    <row r="423" spans="1:18">
      <c r="A423" s="609"/>
      <c r="B423" s="609"/>
      <c r="C423" s="610"/>
      <c r="D423" s="610"/>
      <c r="E423" s="611"/>
      <c r="F423" s="611"/>
      <c r="G423" s="611"/>
      <c r="H423" s="612"/>
      <c r="I423" s="611"/>
      <c r="J423" s="610"/>
      <c r="K423" s="609"/>
      <c r="L423" s="613"/>
      <c r="M423" s="611"/>
      <c r="N423" s="609"/>
      <c r="O423" s="611"/>
      <c r="P423" s="611"/>
      <c r="Q423" s="609"/>
      <c r="R423" s="610"/>
    </row>
    <row r="424" spans="1:18">
      <c r="A424" s="609"/>
      <c r="B424" s="609"/>
      <c r="C424" s="610"/>
      <c r="D424" s="610"/>
      <c r="E424" s="611"/>
      <c r="F424" s="611"/>
      <c r="G424" s="611"/>
      <c r="H424" s="612"/>
      <c r="I424" s="611"/>
      <c r="J424" s="610"/>
      <c r="K424" s="609"/>
      <c r="L424" s="613"/>
      <c r="M424" s="611"/>
      <c r="N424" s="609"/>
      <c r="O424" s="611"/>
      <c r="P424" s="611"/>
      <c r="Q424" s="609"/>
      <c r="R424" s="610"/>
    </row>
    <row r="425" spans="1:18">
      <c r="A425" s="609"/>
      <c r="B425" s="609"/>
      <c r="C425" s="610"/>
      <c r="D425" s="610"/>
      <c r="E425" s="611"/>
      <c r="F425" s="611"/>
      <c r="G425" s="611"/>
      <c r="H425" s="612"/>
      <c r="I425" s="611"/>
      <c r="J425" s="610"/>
      <c r="K425" s="609"/>
      <c r="L425" s="613"/>
      <c r="M425" s="611"/>
      <c r="N425" s="609"/>
      <c r="O425" s="611"/>
      <c r="P425" s="611"/>
      <c r="Q425" s="609"/>
      <c r="R425" s="610"/>
    </row>
    <row r="426" spans="1:18">
      <c r="A426" s="609"/>
      <c r="B426" s="609"/>
      <c r="C426" s="610"/>
      <c r="D426" s="610"/>
      <c r="E426" s="611"/>
      <c r="F426" s="611"/>
      <c r="G426" s="611"/>
      <c r="H426" s="612"/>
      <c r="I426" s="611"/>
      <c r="J426" s="610"/>
      <c r="K426" s="609"/>
      <c r="L426" s="613"/>
      <c r="M426" s="611"/>
      <c r="N426" s="609"/>
      <c r="O426" s="611"/>
      <c r="P426" s="611"/>
      <c r="Q426" s="609"/>
      <c r="R426" s="610"/>
    </row>
    <row r="427" spans="1:18">
      <c r="A427" s="609"/>
      <c r="B427" s="609"/>
      <c r="C427" s="610"/>
      <c r="D427" s="610"/>
      <c r="E427" s="611"/>
      <c r="F427" s="611"/>
      <c r="G427" s="611"/>
      <c r="H427" s="612"/>
      <c r="I427" s="611"/>
      <c r="J427" s="610"/>
      <c r="K427" s="609"/>
      <c r="L427" s="613"/>
      <c r="M427" s="611"/>
      <c r="N427" s="609"/>
      <c r="O427" s="611"/>
      <c r="P427" s="611"/>
      <c r="Q427" s="609"/>
      <c r="R427" s="610"/>
    </row>
    <row r="428" spans="1:18">
      <c r="A428" s="609"/>
      <c r="B428" s="609"/>
      <c r="C428" s="610"/>
      <c r="D428" s="610"/>
      <c r="E428" s="611"/>
      <c r="F428" s="611"/>
      <c r="G428" s="611"/>
      <c r="H428" s="612"/>
      <c r="I428" s="611"/>
      <c r="J428" s="610"/>
      <c r="K428" s="609"/>
      <c r="L428" s="613"/>
      <c r="M428" s="611"/>
      <c r="N428" s="609"/>
      <c r="O428" s="611"/>
      <c r="P428" s="611"/>
      <c r="Q428" s="609"/>
      <c r="R428" s="610"/>
    </row>
    <row r="429" spans="1:18">
      <c r="A429" s="609"/>
      <c r="B429" s="609"/>
      <c r="C429" s="610"/>
      <c r="D429" s="610"/>
      <c r="E429" s="611"/>
      <c r="F429" s="611"/>
      <c r="G429" s="611"/>
      <c r="H429" s="612"/>
      <c r="I429" s="611"/>
      <c r="J429" s="610"/>
      <c r="K429" s="609"/>
      <c r="L429" s="613"/>
      <c r="M429" s="611"/>
      <c r="N429" s="609"/>
      <c r="O429" s="611"/>
      <c r="P429" s="611"/>
      <c r="Q429" s="609"/>
      <c r="R429" s="610"/>
    </row>
    <row r="430" spans="1:18">
      <c r="A430" s="609"/>
      <c r="B430" s="609"/>
      <c r="C430" s="610"/>
      <c r="D430" s="610"/>
      <c r="E430" s="611"/>
      <c r="F430" s="611"/>
      <c r="G430" s="611"/>
      <c r="H430" s="612"/>
      <c r="I430" s="611"/>
      <c r="J430" s="610"/>
      <c r="K430" s="609"/>
      <c r="L430" s="613"/>
      <c r="M430" s="611"/>
      <c r="N430" s="609"/>
      <c r="O430" s="611"/>
      <c r="P430" s="611"/>
      <c r="Q430" s="609"/>
      <c r="R430" s="610"/>
    </row>
    <row r="431" spans="1:18">
      <c r="A431" s="609"/>
      <c r="B431" s="609"/>
      <c r="C431" s="610"/>
      <c r="D431" s="610"/>
      <c r="E431" s="611"/>
      <c r="F431" s="611"/>
      <c r="G431" s="611"/>
      <c r="H431" s="612"/>
      <c r="I431" s="611"/>
      <c r="J431" s="610"/>
      <c r="K431" s="609"/>
      <c r="L431" s="613"/>
      <c r="M431" s="611"/>
      <c r="N431" s="609"/>
      <c r="O431" s="611"/>
      <c r="P431" s="611"/>
      <c r="Q431" s="609"/>
      <c r="R431" s="610"/>
    </row>
    <row r="432" spans="1:18">
      <c r="A432" s="609"/>
      <c r="B432" s="609"/>
      <c r="C432" s="610"/>
      <c r="D432" s="610"/>
      <c r="E432" s="611"/>
      <c r="F432" s="611"/>
      <c r="G432" s="611"/>
      <c r="H432" s="612"/>
      <c r="I432" s="611"/>
      <c r="J432" s="610"/>
      <c r="K432" s="609"/>
      <c r="L432" s="613"/>
      <c r="M432" s="611"/>
      <c r="N432" s="609"/>
      <c r="O432" s="611"/>
      <c r="P432" s="611"/>
      <c r="Q432" s="609"/>
      <c r="R432" s="610"/>
    </row>
    <row r="433" spans="1:18">
      <c r="A433" s="609"/>
      <c r="B433" s="609"/>
      <c r="C433" s="610"/>
      <c r="D433" s="610"/>
      <c r="E433" s="611"/>
      <c r="F433" s="611"/>
      <c r="G433" s="611"/>
      <c r="H433" s="612"/>
      <c r="I433" s="611"/>
      <c r="J433" s="610"/>
      <c r="K433" s="609"/>
      <c r="L433" s="613"/>
      <c r="M433" s="611"/>
      <c r="N433" s="609"/>
      <c r="O433" s="611"/>
      <c r="P433" s="611"/>
      <c r="Q433" s="609"/>
      <c r="R433" s="610"/>
    </row>
    <row r="434" spans="1:18">
      <c r="A434" s="609"/>
      <c r="B434" s="609"/>
      <c r="C434" s="610"/>
      <c r="D434" s="610"/>
      <c r="E434" s="611"/>
      <c r="F434" s="611"/>
      <c r="G434" s="611"/>
      <c r="H434" s="612"/>
      <c r="I434" s="611"/>
      <c r="J434" s="610"/>
      <c r="K434" s="609"/>
      <c r="L434" s="613"/>
      <c r="M434" s="611"/>
      <c r="N434" s="609"/>
      <c r="O434" s="611"/>
      <c r="P434" s="611"/>
      <c r="Q434" s="609"/>
      <c r="R434" s="610"/>
    </row>
    <row r="435" spans="1:18">
      <c r="A435" s="609"/>
      <c r="B435" s="609"/>
      <c r="C435" s="610"/>
      <c r="D435" s="610"/>
      <c r="E435" s="611"/>
      <c r="F435" s="611"/>
      <c r="G435" s="611"/>
      <c r="H435" s="612"/>
      <c r="I435" s="611"/>
      <c r="J435" s="610"/>
      <c r="K435" s="609"/>
      <c r="L435" s="613"/>
      <c r="M435" s="611"/>
      <c r="N435" s="609"/>
      <c r="O435" s="611"/>
      <c r="P435" s="611"/>
      <c r="Q435" s="609"/>
      <c r="R435" s="610"/>
    </row>
    <row r="436" spans="1:18">
      <c r="A436" s="609"/>
      <c r="B436" s="609"/>
      <c r="C436" s="610"/>
      <c r="D436" s="610"/>
      <c r="E436" s="611"/>
      <c r="F436" s="611"/>
      <c r="G436" s="611"/>
      <c r="H436" s="612"/>
      <c r="I436" s="611"/>
      <c r="J436" s="610"/>
      <c r="K436" s="609"/>
      <c r="L436" s="613"/>
      <c r="M436" s="611"/>
      <c r="N436" s="609"/>
      <c r="O436" s="611"/>
      <c r="P436" s="611"/>
      <c r="Q436" s="609"/>
      <c r="R436" s="610"/>
    </row>
    <row r="437" spans="1:18">
      <c r="A437" s="609"/>
      <c r="B437" s="609"/>
      <c r="C437" s="610"/>
      <c r="D437" s="610"/>
      <c r="E437" s="611"/>
      <c r="F437" s="611"/>
      <c r="G437" s="611"/>
      <c r="H437" s="612"/>
      <c r="I437" s="611"/>
      <c r="J437" s="610"/>
      <c r="K437" s="609"/>
      <c r="L437" s="613"/>
      <c r="M437" s="611"/>
      <c r="N437" s="609"/>
      <c r="O437" s="611"/>
      <c r="P437" s="611"/>
      <c r="Q437" s="609"/>
      <c r="R437" s="610"/>
    </row>
    <row r="438" spans="1:18">
      <c r="A438" s="609"/>
      <c r="B438" s="609"/>
      <c r="C438" s="610"/>
      <c r="D438" s="610"/>
      <c r="E438" s="611"/>
      <c r="F438" s="611"/>
      <c r="G438" s="611"/>
      <c r="H438" s="612"/>
      <c r="I438" s="611"/>
      <c r="J438" s="610"/>
      <c r="K438" s="609"/>
      <c r="L438" s="613"/>
      <c r="M438" s="611"/>
      <c r="N438" s="609"/>
      <c r="O438" s="611"/>
      <c r="P438" s="611"/>
      <c r="Q438" s="609"/>
      <c r="R438" s="610"/>
    </row>
    <row r="439" spans="1:18">
      <c r="A439" s="609"/>
      <c r="B439" s="609"/>
      <c r="C439" s="610"/>
      <c r="D439" s="610"/>
      <c r="E439" s="611"/>
      <c r="F439" s="611"/>
      <c r="G439" s="611"/>
      <c r="H439" s="612"/>
      <c r="I439" s="611"/>
      <c r="J439" s="610"/>
      <c r="K439" s="609"/>
      <c r="L439" s="613"/>
      <c r="M439" s="611"/>
      <c r="N439" s="609"/>
      <c r="O439" s="611"/>
      <c r="P439" s="611"/>
      <c r="Q439" s="609"/>
      <c r="R439" s="610"/>
    </row>
    <row r="440" spans="1:18">
      <c r="A440" s="609"/>
      <c r="B440" s="609"/>
      <c r="C440" s="610"/>
      <c r="D440" s="610"/>
      <c r="E440" s="611"/>
      <c r="F440" s="611"/>
      <c r="G440" s="611"/>
      <c r="H440" s="612"/>
      <c r="I440" s="611"/>
      <c r="J440" s="610"/>
      <c r="K440" s="609"/>
      <c r="L440" s="613"/>
      <c r="M440" s="611"/>
      <c r="N440" s="609"/>
      <c r="O440" s="611"/>
      <c r="P440" s="611"/>
      <c r="Q440" s="609"/>
      <c r="R440" s="610"/>
    </row>
    <row r="441" spans="1:18">
      <c r="A441" s="609"/>
      <c r="B441" s="609"/>
      <c r="C441" s="610"/>
      <c r="D441" s="610"/>
      <c r="E441" s="611"/>
      <c r="F441" s="611"/>
      <c r="G441" s="611"/>
      <c r="H441" s="612"/>
      <c r="I441" s="611"/>
      <c r="J441" s="610"/>
      <c r="K441" s="609"/>
      <c r="L441" s="613"/>
      <c r="M441" s="611"/>
      <c r="N441" s="609"/>
      <c r="O441" s="611"/>
      <c r="P441" s="611"/>
      <c r="Q441" s="609"/>
      <c r="R441" s="610"/>
    </row>
    <row r="442" spans="1:18">
      <c r="A442" s="609"/>
      <c r="B442" s="609"/>
      <c r="C442" s="610"/>
      <c r="D442" s="610"/>
      <c r="E442" s="611"/>
      <c r="F442" s="611"/>
      <c r="G442" s="611"/>
      <c r="H442" s="612"/>
      <c r="I442" s="611"/>
      <c r="J442" s="610"/>
      <c r="K442" s="609"/>
      <c r="L442" s="613"/>
      <c r="M442" s="611"/>
      <c r="N442" s="609"/>
      <c r="O442" s="611"/>
      <c r="P442" s="611"/>
      <c r="Q442" s="609"/>
      <c r="R442" s="610"/>
    </row>
    <row r="443" spans="1:18">
      <c r="A443" s="609"/>
      <c r="B443" s="609"/>
      <c r="C443" s="610"/>
      <c r="D443" s="610"/>
      <c r="E443" s="611"/>
      <c r="F443" s="611"/>
      <c r="G443" s="611"/>
      <c r="H443" s="612"/>
      <c r="I443" s="611"/>
      <c r="J443" s="610"/>
      <c r="K443" s="609"/>
      <c r="L443" s="613"/>
      <c r="M443" s="611"/>
      <c r="N443" s="609"/>
      <c r="O443" s="611"/>
      <c r="P443" s="611"/>
      <c r="Q443" s="609"/>
      <c r="R443" s="610"/>
    </row>
    <row r="444" spans="1:18">
      <c r="A444" s="609"/>
      <c r="B444" s="609"/>
      <c r="C444" s="610"/>
      <c r="D444" s="610"/>
      <c r="E444" s="611"/>
      <c r="F444" s="611"/>
      <c r="G444" s="611"/>
      <c r="H444" s="612"/>
      <c r="I444" s="611"/>
      <c r="J444" s="610"/>
      <c r="K444" s="609"/>
      <c r="L444" s="613"/>
      <c r="M444" s="611"/>
      <c r="N444" s="609"/>
      <c r="O444" s="611"/>
      <c r="P444" s="611"/>
      <c r="Q444" s="609"/>
      <c r="R444" s="610"/>
    </row>
    <row r="445" spans="1:18">
      <c r="A445" s="609"/>
      <c r="B445" s="609"/>
      <c r="C445" s="610"/>
      <c r="D445" s="610"/>
      <c r="E445" s="611"/>
      <c r="F445" s="611"/>
      <c r="G445" s="611"/>
      <c r="H445" s="612"/>
      <c r="I445" s="611"/>
      <c r="J445" s="610"/>
      <c r="K445" s="609"/>
      <c r="L445" s="613"/>
      <c r="M445" s="611"/>
      <c r="N445" s="609"/>
      <c r="O445" s="611"/>
      <c r="P445" s="611"/>
      <c r="Q445" s="609"/>
      <c r="R445" s="610"/>
    </row>
    <row r="446" spans="1:18">
      <c r="A446" s="609"/>
      <c r="B446" s="609"/>
      <c r="C446" s="610"/>
      <c r="D446" s="610"/>
      <c r="E446" s="611"/>
      <c r="F446" s="611"/>
      <c r="G446" s="611"/>
      <c r="H446" s="612"/>
      <c r="I446" s="611"/>
      <c r="J446" s="610"/>
      <c r="K446" s="609"/>
      <c r="L446" s="613"/>
      <c r="M446" s="611"/>
      <c r="N446" s="609"/>
      <c r="O446" s="611"/>
      <c r="P446" s="611"/>
      <c r="Q446" s="609"/>
      <c r="R446" s="610"/>
    </row>
    <row r="447" spans="1:18">
      <c r="A447" s="609"/>
      <c r="B447" s="609"/>
      <c r="C447" s="610"/>
      <c r="D447" s="610"/>
      <c r="E447" s="611"/>
      <c r="F447" s="611"/>
      <c r="G447" s="611"/>
      <c r="H447" s="612"/>
      <c r="I447" s="611"/>
      <c r="J447" s="610"/>
      <c r="K447" s="609"/>
      <c r="L447" s="613"/>
      <c r="M447" s="611"/>
      <c r="N447" s="609"/>
      <c r="O447" s="611"/>
      <c r="P447" s="611"/>
      <c r="Q447" s="609"/>
      <c r="R447" s="610"/>
    </row>
    <row r="448" spans="1:18">
      <c r="A448" s="609"/>
      <c r="B448" s="609"/>
      <c r="C448" s="610"/>
      <c r="D448" s="610"/>
      <c r="E448" s="611"/>
      <c r="F448" s="611"/>
      <c r="G448" s="611"/>
      <c r="H448" s="612"/>
      <c r="I448" s="611"/>
      <c r="J448" s="610"/>
      <c r="K448" s="609"/>
      <c r="L448" s="613"/>
      <c r="M448" s="611"/>
      <c r="N448" s="609"/>
      <c r="O448" s="611"/>
      <c r="P448" s="611"/>
      <c r="Q448" s="609"/>
      <c r="R448" s="610"/>
    </row>
    <row r="449" spans="1:18">
      <c r="A449" s="609"/>
      <c r="B449" s="609"/>
      <c r="C449" s="610"/>
      <c r="D449" s="610"/>
      <c r="E449" s="611"/>
      <c r="F449" s="611"/>
      <c r="G449" s="611"/>
      <c r="H449" s="612"/>
      <c r="I449" s="611"/>
      <c r="J449" s="610"/>
      <c r="K449" s="609"/>
      <c r="L449" s="613"/>
      <c r="M449" s="611"/>
      <c r="N449" s="609"/>
      <c r="O449" s="611"/>
      <c r="P449" s="611"/>
      <c r="Q449" s="609"/>
      <c r="R449" s="610"/>
    </row>
    <row r="450" spans="1:18">
      <c r="A450" s="609"/>
      <c r="B450" s="609"/>
      <c r="C450" s="610"/>
      <c r="D450" s="610"/>
      <c r="E450" s="611"/>
      <c r="F450" s="611"/>
      <c r="G450" s="611"/>
      <c r="H450" s="612"/>
      <c r="I450" s="611"/>
      <c r="J450" s="610"/>
      <c r="K450" s="609"/>
      <c r="L450" s="613"/>
      <c r="M450" s="611"/>
      <c r="N450" s="609"/>
      <c r="O450" s="611"/>
      <c r="P450" s="611"/>
      <c r="Q450" s="609"/>
      <c r="R450" s="610"/>
    </row>
    <row r="451" spans="1:18">
      <c r="A451" s="609"/>
      <c r="B451" s="609"/>
      <c r="C451" s="610"/>
      <c r="D451" s="610"/>
      <c r="E451" s="611"/>
      <c r="F451" s="611"/>
      <c r="G451" s="611"/>
      <c r="H451" s="612"/>
      <c r="I451" s="611"/>
      <c r="J451" s="610"/>
      <c r="K451" s="609"/>
      <c r="L451" s="613"/>
      <c r="M451" s="611"/>
      <c r="N451" s="609"/>
      <c r="O451" s="611"/>
      <c r="P451" s="611"/>
      <c r="Q451" s="609"/>
      <c r="R451" s="610"/>
    </row>
    <row r="452" spans="1:18">
      <c r="A452" s="609"/>
      <c r="B452" s="609"/>
      <c r="C452" s="610"/>
      <c r="D452" s="610"/>
      <c r="E452" s="611"/>
      <c r="F452" s="611"/>
      <c r="G452" s="611"/>
      <c r="H452" s="612"/>
      <c r="I452" s="611"/>
      <c r="J452" s="610"/>
      <c r="K452" s="609"/>
      <c r="L452" s="613"/>
      <c r="M452" s="611"/>
      <c r="N452" s="609"/>
      <c r="O452" s="611"/>
      <c r="P452" s="611"/>
      <c r="Q452" s="609"/>
      <c r="R452" s="610"/>
    </row>
    <row r="453" spans="1:18">
      <c r="A453" s="609"/>
      <c r="B453" s="609"/>
      <c r="C453" s="610"/>
      <c r="D453" s="610"/>
      <c r="E453" s="611"/>
      <c r="F453" s="611"/>
      <c r="G453" s="611"/>
      <c r="H453" s="612"/>
      <c r="I453" s="611"/>
      <c r="J453" s="610"/>
      <c r="K453" s="609"/>
      <c r="L453" s="613"/>
      <c r="M453" s="611"/>
      <c r="N453" s="609"/>
      <c r="O453" s="611"/>
      <c r="P453" s="611"/>
      <c r="Q453" s="609"/>
      <c r="R453" s="610"/>
    </row>
    <row r="454" spans="1:18">
      <c r="A454" s="609"/>
      <c r="B454" s="609"/>
      <c r="C454" s="610"/>
      <c r="D454" s="610"/>
      <c r="E454" s="611"/>
      <c r="F454" s="611"/>
      <c r="G454" s="611"/>
      <c r="H454" s="612"/>
      <c r="I454" s="611"/>
      <c r="J454" s="610"/>
      <c r="K454" s="609"/>
      <c r="L454" s="613"/>
      <c r="M454" s="611"/>
      <c r="N454" s="609"/>
      <c r="O454" s="611"/>
      <c r="P454" s="611"/>
      <c r="Q454" s="609"/>
      <c r="R454" s="610"/>
    </row>
    <row r="455" spans="1:18">
      <c r="A455" s="609"/>
      <c r="B455" s="609"/>
      <c r="C455" s="610"/>
      <c r="D455" s="610"/>
      <c r="E455" s="611"/>
      <c r="F455" s="611"/>
      <c r="G455" s="611"/>
      <c r="H455" s="612"/>
      <c r="I455" s="611"/>
      <c r="J455" s="610"/>
      <c r="K455" s="609"/>
      <c r="L455" s="613"/>
      <c r="M455" s="611"/>
      <c r="N455" s="609"/>
      <c r="O455" s="611"/>
      <c r="P455" s="611"/>
      <c r="Q455" s="609"/>
      <c r="R455" s="610"/>
    </row>
    <row r="456" spans="1:18">
      <c r="A456" s="609"/>
      <c r="B456" s="609"/>
      <c r="C456" s="610"/>
      <c r="D456" s="610"/>
      <c r="E456" s="611"/>
      <c r="F456" s="611"/>
      <c r="G456" s="611"/>
      <c r="H456" s="612"/>
      <c r="I456" s="611"/>
      <c r="J456" s="610"/>
      <c r="K456" s="609"/>
      <c r="L456" s="613"/>
      <c r="M456" s="611"/>
      <c r="N456" s="609"/>
      <c r="O456" s="611"/>
      <c r="P456" s="611"/>
      <c r="Q456" s="609"/>
      <c r="R456" s="610"/>
    </row>
    <row r="457" spans="1:18">
      <c r="A457" s="609"/>
      <c r="B457" s="609"/>
      <c r="C457" s="610"/>
      <c r="D457" s="610"/>
      <c r="E457" s="611"/>
      <c r="F457" s="611"/>
      <c r="G457" s="611"/>
      <c r="H457" s="612"/>
      <c r="I457" s="611"/>
      <c r="J457" s="610"/>
      <c r="K457" s="609"/>
      <c r="L457" s="613"/>
      <c r="M457" s="611"/>
      <c r="N457" s="609"/>
      <c r="O457" s="611"/>
      <c r="P457" s="611"/>
      <c r="Q457" s="609"/>
      <c r="R457" s="610"/>
    </row>
    <row r="458" spans="1:18">
      <c r="A458" s="609"/>
      <c r="B458" s="609"/>
      <c r="C458" s="610"/>
      <c r="D458" s="610"/>
      <c r="E458" s="611"/>
      <c r="F458" s="611"/>
      <c r="G458" s="611"/>
      <c r="H458" s="612"/>
      <c r="I458" s="611"/>
      <c r="J458" s="610"/>
      <c r="K458" s="609"/>
      <c r="L458" s="613"/>
      <c r="M458" s="611"/>
      <c r="N458" s="609"/>
      <c r="O458" s="611"/>
      <c r="P458" s="611"/>
      <c r="Q458" s="609"/>
      <c r="R458" s="610"/>
    </row>
    <row r="459" spans="1:18">
      <c r="A459" s="609"/>
      <c r="B459" s="609"/>
      <c r="C459" s="610"/>
      <c r="D459" s="610"/>
      <c r="E459" s="611"/>
      <c r="F459" s="611"/>
      <c r="G459" s="611"/>
      <c r="H459" s="612"/>
      <c r="I459" s="611"/>
      <c r="J459" s="610"/>
      <c r="K459" s="609"/>
      <c r="L459" s="613"/>
      <c r="M459" s="611"/>
      <c r="N459" s="609"/>
      <c r="O459" s="611"/>
      <c r="P459" s="611"/>
      <c r="Q459" s="609"/>
      <c r="R459" s="610"/>
    </row>
    <row r="460" spans="1:18">
      <c r="A460" s="609"/>
      <c r="B460" s="609"/>
      <c r="C460" s="610"/>
      <c r="D460" s="610"/>
      <c r="E460" s="611"/>
      <c r="F460" s="611"/>
      <c r="G460" s="611"/>
      <c r="H460" s="612"/>
      <c r="I460" s="611"/>
      <c r="J460" s="610"/>
      <c r="K460" s="609"/>
      <c r="L460" s="613"/>
      <c r="M460" s="611"/>
      <c r="N460" s="609"/>
      <c r="O460" s="611"/>
      <c r="P460" s="611"/>
      <c r="Q460" s="609"/>
      <c r="R460" s="610"/>
    </row>
    <row r="461" spans="1:18">
      <c r="A461" s="609"/>
      <c r="B461" s="609"/>
      <c r="C461" s="610"/>
      <c r="D461" s="610"/>
      <c r="E461" s="611"/>
      <c r="F461" s="611"/>
      <c r="G461" s="611"/>
      <c r="H461" s="612"/>
      <c r="I461" s="611"/>
      <c r="J461" s="610"/>
      <c r="K461" s="609"/>
      <c r="L461" s="613"/>
      <c r="M461" s="611"/>
      <c r="N461" s="609"/>
      <c r="O461" s="611"/>
      <c r="P461" s="611"/>
      <c r="Q461" s="609"/>
      <c r="R461" s="610"/>
    </row>
    <row r="462" spans="1:18">
      <c r="A462" s="609"/>
      <c r="B462" s="609"/>
      <c r="C462" s="610"/>
      <c r="D462" s="610"/>
      <c r="E462" s="611"/>
      <c r="F462" s="611"/>
      <c r="G462" s="611"/>
      <c r="H462" s="612"/>
      <c r="I462" s="611"/>
      <c r="J462" s="610"/>
      <c r="K462" s="609"/>
      <c r="L462" s="613"/>
      <c r="M462" s="611"/>
      <c r="N462" s="609"/>
      <c r="O462" s="611"/>
      <c r="P462" s="611"/>
      <c r="Q462" s="609"/>
      <c r="R462" s="610"/>
    </row>
    <row r="463" spans="1:18">
      <c r="A463" s="609"/>
      <c r="B463" s="609"/>
      <c r="C463" s="610"/>
      <c r="D463" s="610"/>
      <c r="E463" s="611"/>
      <c r="F463" s="611"/>
      <c r="G463" s="611"/>
      <c r="H463" s="612"/>
      <c r="I463" s="611"/>
      <c r="J463" s="610"/>
      <c r="K463" s="609"/>
      <c r="L463" s="613"/>
      <c r="M463" s="611"/>
      <c r="N463" s="609"/>
      <c r="O463" s="611"/>
      <c r="P463" s="611"/>
      <c r="Q463" s="609"/>
      <c r="R463" s="610"/>
    </row>
    <row r="464" spans="1:18">
      <c r="A464" s="609"/>
      <c r="B464" s="609"/>
      <c r="C464" s="610"/>
      <c r="D464" s="610"/>
      <c r="E464" s="611"/>
      <c r="F464" s="611"/>
      <c r="G464" s="611"/>
      <c r="H464" s="612"/>
      <c r="I464" s="611"/>
      <c r="J464" s="610"/>
      <c r="K464" s="609"/>
      <c r="L464" s="613"/>
      <c r="M464" s="611"/>
      <c r="N464" s="609"/>
      <c r="O464" s="611"/>
      <c r="P464" s="611"/>
      <c r="Q464" s="609"/>
      <c r="R464" s="610"/>
    </row>
    <row r="465" spans="1:18">
      <c r="A465" s="609"/>
      <c r="B465" s="609"/>
      <c r="C465" s="610"/>
      <c r="D465" s="610"/>
      <c r="E465" s="611"/>
      <c r="F465" s="611"/>
      <c r="G465" s="611"/>
      <c r="H465" s="612"/>
      <c r="I465" s="611"/>
      <c r="J465" s="610"/>
      <c r="K465" s="609"/>
      <c r="L465" s="613"/>
      <c r="M465" s="611"/>
      <c r="N465" s="609"/>
      <c r="O465" s="611"/>
      <c r="P465" s="611"/>
      <c r="Q465" s="609"/>
      <c r="R465" s="610"/>
    </row>
    <row r="466" spans="1:18">
      <c r="A466" s="609"/>
      <c r="B466" s="609"/>
      <c r="C466" s="610"/>
      <c r="D466" s="610"/>
      <c r="E466" s="611"/>
      <c r="F466" s="611"/>
      <c r="G466" s="611"/>
      <c r="H466" s="612"/>
      <c r="I466" s="611"/>
      <c r="J466" s="610"/>
      <c r="K466" s="609"/>
      <c r="L466" s="613"/>
      <c r="M466" s="611"/>
      <c r="N466" s="609"/>
      <c r="O466" s="611"/>
      <c r="P466" s="611"/>
      <c r="Q466" s="609"/>
      <c r="R466" s="610"/>
    </row>
    <row r="467" spans="1:18">
      <c r="A467" s="609"/>
      <c r="B467" s="609"/>
      <c r="C467" s="610"/>
      <c r="D467" s="610"/>
      <c r="E467" s="611"/>
      <c r="F467" s="611"/>
      <c r="G467" s="611"/>
      <c r="H467" s="612"/>
      <c r="I467" s="611"/>
      <c r="J467" s="610"/>
      <c r="K467" s="609"/>
      <c r="L467" s="613"/>
      <c r="M467" s="611"/>
      <c r="N467" s="609"/>
      <c r="O467" s="611"/>
      <c r="P467" s="611"/>
      <c r="Q467" s="609"/>
      <c r="R467" s="610"/>
    </row>
    <row r="468" spans="1:18">
      <c r="A468" s="609"/>
      <c r="B468" s="609"/>
      <c r="C468" s="610"/>
      <c r="D468" s="610"/>
      <c r="E468" s="611"/>
      <c r="F468" s="611"/>
      <c r="G468" s="611"/>
      <c r="H468" s="612"/>
      <c r="I468" s="611"/>
      <c r="J468" s="610"/>
      <c r="K468" s="609"/>
      <c r="L468" s="613"/>
      <c r="M468" s="611"/>
      <c r="N468" s="609"/>
      <c r="O468" s="611"/>
      <c r="P468" s="611"/>
      <c r="Q468" s="609"/>
      <c r="R468" s="610"/>
    </row>
    <row r="469" spans="1:18">
      <c r="A469" s="609"/>
      <c r="B469" s="609"/>
      <c r="C469" s="610"/>
      <c r="D469" s="610"/>
      <c r="E469" s="611"/>
      <c r="F469" s="611"/>
      <c r="G469" s="611"/>
      <c r="H469" s="612"/>
      <c r="I469" s="611"/>
      <c r="J469" s="610"/>
      <c r="K469" s="609"/>
      <c r="L469" s="613"/>
      <c r="M469" s="611"/>
      <c r="N469" s="609"/>
      <c r="O469" s="611"/>
      <c r="P469" s="611"/>
      <c r="Q469" s="609"/>
      <c r="R469" s="610"/>
    </row>
    <row r="470" spans="1:18">
      <c r="A470" s="609"/>
      <c r="B470" s="609"/>
      <c r="C470" s="610"/>
      <c r="D470" s="610"/>
      <c r="E470" s="611"/>
      <c r="F470" s="611"/>
      <c r="G470" s="611"/>
      <c r="H470" s="612"/>
      <c r="I470" s="611"/>
      <c r="J470" s="610"/>
      <c r="K470" s="609"/>
      <c r="L470" s="613"/>
      <c r="M470" s="611"/>
      <c r="N470" s="609"/>
      <c r="O470" s="611"/>
      <c r="P470" s="611"/>
      <c r="Q470" s="609"/>
      <c r="R470" s="610"/>
    </row>
    <row r="471" spans="1:18">
      <c r="A471" s="609"/>
      <c r="B471" s="609"/>
      <c r="C471" s="610"/>
      <c r="D471" s="610"/>
      <c r="E471" s="611"/>
      <c r="F471" s="611"/>
      <c r="G471" s="611"/>
      <c r="H471" s="612"/>
      <c r="I471" s="611"/>
      <c r="J471" s="610"/>
      <c r="K471" s="609"/>
      <c r="L471" s="613"/>
      <c r="M471" s="611"/>
      <c r="N471" s="609"/>
      <c r="O471" s="611"/>
      <c r="P471" s="611"/>
      <c r="Q471" s="609"/>
      <c r="R471" s="610"/>
    </row>
    <row r="472" spans="1:18">
      <c r="A472" s="609"/>
      <c r="B472" s="609"/>
      <c r="C472" s="610"/>
      <c r="D472" s="610"/>
      <c r="E472" s="611"/>
      <c r="F472" s="611"/>
      <c r="G472" s="611"/>
      <c r="H472" s="612"/>
      <c r="I472" s="611"/>
      <c r="J472" s="610"/>
      <c r="K472" s="609"/>
      <c r="L472" s="613"/>
      <c r="M472" s="611"/>
      <c r="N472" s="609"/>
      <c r="O472" s="611"/>
      <c r="P472" s="611"/>
      <c r="Q472" s="609"/>
      <c r="R472" s="610"/>
    </row>
    <row r="473" spans="1:18">
      <c r="A473" s="609"/>
      <c r="B473" s="609"/>
      <c r="C473" s="610"/>
      <c r="D473" s="610"/>
      <c r="E473" s="611"/>
      <c r="F473" s="611"/>
      <c r="G473" s="611"/>
      <c r="H473" s="612"/>
      <c r="I473" s="611"/>
      <c r="J473" s="610"/>
      <c r="K473" s="609"/>
      <c r="L473" s="613"/>
      <c r="M473" s="611"/>
      <c r="N473" s="609"/>
      <c r="O473" s="611"/>
      <c r="P473" s="611"/>
      <c r="Q473" s="609"/>
      <c r="R473" s="610"/>
    </row>
    <row r="474" spans="1:18">
      <c r="A474" s="609"/>
      <c r="B474" s="609"/>
      <c r="C474" s="610"/>
      <c r="D474" s="610"/>
      <c r="E474" s="611"/>
      <c r="F474" s="611"/>
      <c r="G474" s="611"/>
      <c r="H474" s="612"/>
      <c r="I474" s="611"/>
      <c r="J474" s="610"/>
      <c r="K474" s="609"/>
      <c r="L474" s="613"/>
      <c r="M474" s="611"/>
      <c r="N474" s="609"/>
      <c r="O474" s="611"/>
      <c r="P474" s="611"/>
      <c r="Q474" s="609"/>
      <c r="R474" s="610"/>
    </row>
    <row r="475" spans="1:18">
      <c r="A475" s="609"/>
      <c r="B475" s="609"/>
      <c r="C475" s="610"/>
      <c r="D475" s="610"/>
      <c r="E475" s="611"/>
      <c r="F475" s="611"/>
      <c r="G475" s="611"/>
      <c r="H475" s="612"/>
      <c r="I475" s="611"/>
      <c r="J475" s="610"/>
      <c r="K475" s="609"/>
      <c r="L475" s="613"/>
      <c r="M475" s="611"/>
      <c r="N475" s="609"/>
      <c r="O475" s="611"/>
      <c r="P475" s="611"/>
      <c r="Q475" s="609"/>
      <c r="R475" s="610"/>
    </row>
    <row r="476" spans="1:18">
      <c r="A476" s="609"/>
      <c r="B476" s="609"/>
      <c r="C476" s="610"/>
      <c r="D476" s="610"/>
      <c r="E476" s="611"/>
      <c r="F476" s="611"/>
      <c r="G476" s="611"/>
      <c r="H476" s="612"/>
      <c r="I476" s="611"/>
      <c r="J476" s="610"/>
      <c r="K476" s="609"/>
      <c r="L476" s="613"/>
      <c r="M476" s="611"/>
      <c r="N476" s="609"/>
      <c r="O476" s="611"/>
      <c r="P476" s="611"/>
      <c r="Q476" s="609"/>
      <c r="R476" s="610"/>
    </row>
    <row r="477" spans="1:18">
      <c r="A477" s="609"/>
      <c r="B477" s="609"/>
      <c r="C477" s="610"/>
      <c r="D477" s="610"/>
      <c r="E477" s="611"/>
      <c r="F477" s="611"/>
      <c r="G477" s="611"/>
      <c r="H477" s="612"/>
      <c r="I477" s="611"/>
      <c r="J477" s="610"/>
      <c r="K477" s="609"/>
      <c r="L477" s="613"/>
      <c r="M477" s="611"/>
      <c r="N477" s="609"/>
      <c r="O477" s="611"/>
      <c r="P477" s="611"/>
      <c r="Q477" s="609"/>
      <c r="R477" s="610"/>
    </row>
    <row r="478" spans="1:18">
      <c r="A478" s="609"/>
      <c r="B478" s="609"/>
      <c r="C478" s="610"/>
      <c r="D478" s="610"/>
      <c r="E478" s="611"/>
      <c r="F478" s="611"/>
      <c r="G478" s="611"/>
      <c r="H478" s="612"/>
      <c r="I478" s="611"/>
      <c r="J478" s="610"/>
      <c r="K478" s="609"/>
      <c r="L478" s="613"/>
      <c r="M478" s="611"/>
      <c r="N478" s="609"/>
      <c r="O478" s="611"/>
      <c r="P478" s="611"/>
      <c r="Q478" s="609"/>
      <c r="R478" s="610"/>
    </row>
    <row r="479" spans="1:18">
      <c r="A479" s="609"/>
      <c r="B479" s="609"/>
      <c r="C479" s="610"/>
      <c r="D479" s="610"/>
      <c r="E479" s="611"/>
      <c r="F479" s="611"/>
      <c r="G479" s="611"/>
      <c r="H479" s="612"/>
      <c r="I479" s="611"/>
      <c r="J479" s="610"/>
      <c r="K479" s="609"/>
      <c r="L479" s="613"/>
      <c r="M479" s="611"/>
      <c r="N479" s="609"/>
      <c r="O479" s="611"/>
      <c r="P479" s="611"/>
      <c r="Q479" s="609"/>
      <c r="R479" s="610"/>
    </row>
    <row r="480" spans="1:18">
      <c r="A480" s="609"/>
      <c r="B480" s="609"/>
      <c r="C480" s="610"/>
      <c r="D480" s="610"/>
      <c r="E480" s="611"/>
      <c r="F480" s="611"/>
      <c r="G480" s="611"/>
      <c r="H480" s="612"/>
      <c r="I480" s="611"/>
      <c r="J480" s="610"/>
      <c r="K480" s="609"/>
      <c r="L480" s="613"/>
      <c r="M480" s="611"/>
      <c r="N480" s="609"/>
      <c r="O480" s="611"/>
      <c r="P480" s="611"/>
      <c r="Q480" s="609"/>
      <c r="R480" s="610"/>
    </row>
    <row r="481" spans="1:18">
      <c r="A481" s="609"/>
      <c r="B481" s="609"/>
      <c r="C481" s="610"/>
      <c r="D481" s="610"/>
      <c r="E481" s="611"/>
      <c r="F481" s="611"/>
      <c r="G481" s="611"/>
      <c r="H481" s="612"/>
      <c r="I481" s="611"/>
      <c r="J481" s="610"/>
      <c r="K481" s="609"/>
      <c r="L481" s="613"/>
      <c r="M481" s="611"/>
      <c r="N481" s="609"/>
      <c r="O481" s="611"/>
      <c r="P481" s="611"/>
      <c r="Q481" s="609"/>
      <c r="R481" s="610"/>
    </row>
    <row r="482" spans="1:18">
      <c r="A482" s="609"/>
      <c r="B482" s="609"/>
      <c r="C482" s="610"/>
      <c r="D482" s="610"/>
      <c r="E482" s="611"/>
      <c r="F482" s="611"/>
      <c r="G482" s="611"/>
      <c r="H482" s="612"/>
      <c r="I482" s="611"/>
      <c r="J482" s="610"/>
      <c r="K482" s="609"/>
      <c r="L482" s="613"/>
      <c r="M482" s="611"/>
      <c r="N482" s="609"/>
      <c r="O482" s="611"/>
      <c r="P482" s="611"/>
      <c r="Q482" s="609"/>
      <c r="R482" s="610"/>
    </row>
    <row r="483" spans="1:18">
      <c r="A483" s="609"/>
      <c r="B483" s="609"/>
      <c r="C483" s="610"/>
      <c r="D483" s="610"/>
      <c r="E483" s="611"/>
      <c r="F483" s="611"/>
      <c r="G483" s="611"/>
      <c r="H483" s="612"/>
      <c r="I483" s="611"/>
      <c r="J483" s="610"/>
      <c r="K483" s="609"/>
      <c r="L483" s="613"/>
      <c r="M483" s="611"/>
      <c r="N483" s="609"/>
      <c r="O483" s="611"/>
      <c r="P483" s="611"/>
      <c r="Q483" s="609"/>
      <c r="R483" s="610"/>
    </row>
    <row r="484" spans="1:18">
      <c r="A484" s="609"/>
      <c r="B484" s="609"/>
      <c r="C484" s="610"/>
      <c r="D484" s="610"/>
      <c r="E484" s="611"/>
      <c r="F484" s="611"/>
      <c r="G484" s="611"/>
      <c r="H484" s="612"/>
      <c r="I484" s="611"/>
      <c r="J484" s="610"/>
      <c r="K484" s="609"/>
      <c r="L484" s="613"/>
      <c r="M484" s="611"/>
      <c r="N484" s="609"/>
      <c r="O484" s="611"/>
      <c r="P484" s="611"/>
      <c r="Q484" s="609"/>
      <c r="R484" s="610"/>
    </row>
    <row r="485" spans="1:18">
      <c r="A485" s="609"/>
      <c r="B485" s="609"/>
      <c r="C485" s="610"/>
      <c r="D485" s="610"/>
      <c r="E485" s="611"/>
      <c r="F485" s="611"/>
      <c r="G485" s="611"/>
      <c r="H485" s="612"/>
      <c r="I485" s="611"/>
      <c r="J485" s="610"/>
      <c r="K485" s="609"/>
      <c r="L485" s="613"/>
      <c r="M485" s="611"/>
      <c r="N485" s="609"/>
      <c r="O485" s="611"/>
      <c r="P485" s="611"/>
      <c r="Q485" s="609"/>
      <c r="R485" s="610"/>
    </row>
    <row r="486" spans="1:18">
      <c r="A486" s="609"/>
      <c r="B486" s="609"/>
      <c r="C486" s="610"/>
      <c r="D486" s="610"/>
      <c r="E486" s="611"/>
      <c r="F486" s="611"/>
      <c r="G486" s="611"/>
      <c r="H486" s="612"/>
      <c r="I486" s="611"/>
      <c r="J486" s="610"/>
      <c r="K486" s="609"/>
      <c r="L486" s="613"/>
      <c r="M486" s="611"/>
      <c r="N486" s="609"/>
      <c r="O486" s="611"/>
      <c r="P486" s="611"/>
      <c r="Q486" s="609"/>
      <c r="R486" s="610"/>
    </row>
    <row r="487" spans="1:18">
      <c r="A487" s="609"/>
      <c r="B487" s="609"/>
      <c r="C487" s="610"/>
      <c r="D487" s="610"/>
      <c r="E487" s="611"/>
      <c r="F487" s="611"/>
      <c r="G487" s="611"/>
      <c r="H487" s="612"/>
      <c r="I487" s="611"/>
      <c r="J487" s="610"/>
      <c r="K487" s="609"/>
      <c r="L487" s="613"/>
      <c r="M487" s="611"/>
      <c r="N487" s="609"/>
      <c r="O487" s="611"/>
      <c r="P487" s="611"/>
      <c r="Q487" s="609"/>
      <c r="R487" s="610"/>
    </row>
    <row r="488" spans="1:18">
      <c r="A488" s="609"/>
      <c r="B488" s="609"/>
      <c r="C488" s="610"/>
      <c r="D488" s="610"/>
      <c r="E488" s="611"/>
      <c r="F488" s="611"/>
      <c r="G488" s="611"/>
      <c r="H488" s="612"/>
      <c r="I488" s="611"/>
      <c r="J488" s="610"/>
      <c r="K488" s="609"/>
      <c r="L488" s="613"/>
      <c r="M488" s="611"/>
      <c r="N488" s="609"/>
      <c r="O488" s="611"/>
      <c r="P488" s="611"/>
      <c r="Q488" s="609"/>
      <c r="R488" s="610"/>
    </row>
    <row r="489" spans="1:18">
      <c r="A489" s="609"/>
      <c r="B489" s="609"/>
      <c r="C489" s="610"/>
      <c r="D489" s="610"/>
      <c r="E489" s="611"/>
      <c r="F489" s="611"/>
      <c r="G489" s="611"/>
      <c r="H489" s="612"/>
      <c r="I489" s="611"/>
      <c r="J489" s="610"/>
      <c r="K489" s="609"/>
      <c r="L489" s="613"/>
      <c r="M489" s="611"/>
      <c r="N489" s="609"/>
      <c r="O489" s="611"/>
      <c r="P489" s="611"/>
      <c r="Q489" s="609"/>
      <c r="R489" s="610"/>
    </row>
    <row r="490" spans="1:18">
      <c r="A490" s="609"/>
      <c r="B490" s="609"/>
      <c r="C490" s="610"/>
      <c r="D490" s="610"/>
      <c r="E490" s="611"/>
      <c r="F490" s="611"/>
      <c r="G490" s="611"/>
      <c r="H490" s="612"/>
      <c r="I490" s="611"/>
      <c r="J490" s="610"/>
      <c r="K490" s="609"/>
      <c r="L490" s="613"/>
      <c r="M490" s="611"/>
      <c r="N490" s="609"/>
      <c r="O490" s="611"/>
      <c r="P490" s="611"/>
      <c r="Q490" s="609"/>
      <c r="R490" s="610"/>
    </row>
    <row r="491" spans="1:18">
      <c r="A491" s="609"/>
      <c r="B491" s="609"/>
      <c r="C491" s="610"/>
      <c r="D491" s="610"/>
      <c r="E491" s="611"/>
      <c r="F491" s="611"/>
      <c r="G491" s="611"/>
      <c r="H491" s="612"/>
      <c r="I491" s="611"/>
      <c r="J491" s="610"/>
      <c r="K491" s="609"/>
      <c r="L491" s="613"/>
      <c r="M491" s="611"/>
      <c r="N491" s="609"/>
      <c r="O491" s="611"/>
      <c r="P491" s="611"/>
      <c r="Q491" s="609"/>
      <c r="R491" s="610"/>
    </row>
    <row r="492" spans="1:18">
      <c r="A492" s="609"/>
      <c r="B492" s="609"/>
      <c r="C492" s="610"/>
      <c r="D492" s="610"/>
      <c r="E492" s="611"/>
      <c r="F492" s="611"/>
      <c r="G492" s="611"/>
      <c r="H492" s="612"/>
      <c r="I492" s="611"/>
      <c r="J492" s="610"/>
      <c r="K492" s="609"/>
      <c r="L492" s="613"/>
      <c r="M492" s="611"/>
      <c r="N492" s="609"/>
      <c r="O492" s="611"/>
      <c r="P492" s="611"/>
      <c r="Q492" s="609"/>
      <c r="R492" s="610"/>
    </row>
    <row r="493" spans="1:18">
      <c r="A493" s="609"/>
      <c r="B493" s="609"/>
      <c r="C493" s="610"/>
      <c r="D493" s="610"/>
      <c r="E493" s="611"/>
      <c r="F493" s="611"/>
      <c r="G493" s="611"/>
      <c r="H493" s="612"/>
      <c r="I493" s="611"/>
      <c r="J493" s="610"/>
      <c r="K493" s="609"/>
      <c r="L493" s="613"/>
      <c r="M493" s="611"/>
      <c r="N493" s="609"/>
      <c r="O493" s="611"/>
      <c r="P493" s="611"/>
      <c r="Q493" s="609"/>
      <c r="R493" s="610"/>
    </row>
    <row r="494" spans="1:18">
      <c r="A494" s="609"/>
      <c r="B494" s="609"/>
      <c r="C494" s="610"/>
      <c r="D494" s="610"/>
      <c r="E494" s="611"/>
      <c r="F494" s="611"/>
      <c r="G494" s="611"/>
      <c r="H494" s="612"/>
      <c r="I494" s="611"/>
      <c r="J494" s="610"/>
      <c r="K494" s="609"/>
      <c r="L494" s="613"/>
      <c r="M494" s="611"/>
      <c r="N494" s="609"/>
      <c r="O494" s="611"/>
      <c r="P494" s="611"/>
      <c r="Q494" s="609"/>
      <c r="R494" s="610"/>
    </row>
    <row r="495" spans="1:18">
      <c r="A495" s="609"/>
      <c r="B495" s="609"/>
      <c r="C495" s="610"/>
      <c r="D495" s="610"/>
      <c r="E495" s="611"/>
      <c r="F495" s="611"/>
      <c r="G495" s="611"/>
      <c r="H495" s="612"/>
      <c r="I495" s="611"/>
      <c r="J495" s="610"/>
      <c r="K495" s="609"/>
      <c r="L495" s="613"/>
      <c r="M495" s="611"/>
      <c r="N495" s="609"/>
      <c r="O495" s="611"/>
      <c r="P495" s="611"/>
      <c r="Q495" s="609"/>
      <c r="R495" s="610"/>
    </row>
    <row r="496" spans="1:18">
      <c r="A496" s="609"/>
      <c r="B496" s="609"/>
      <c r="C496" s="610"/>
      <c r="D496" s="610"/>
      <c r="E496" s="611"/>
      <c r="F496" s="611"/>
      <c r="G496" s="611"/>
      <c r="H496" s="612"/>
      <c r="I496" s="611"/>
      <c r="J496" s="610"/>
      <c r="K496" s="609"/>
      <c r="L496" s="613"/>
      <c r="M496" s="611"/>
      <c r="N496" s="609"/>
      <c r="O496" s="611"/>
      <c r="P496" s="611"/>
      <c r="Q496" s="609"/>
      <c r="R496" s="610"/>
    </row>
    <row r="497" spans="1:18">
      <c r="A497" s="609"/>
      <c r="B497" s="609"/>
      <c r="C497" s="610"/>
      <c r="D497" s="610"/>
      <c r="E497" s="611"/>
      <c r="F497" s="611"/>
      <c r="G497" s="611"/>
      <c r="H497" s="612"/>
      <c r="I497" s="611"/>
      <c r="J497" s="610"/>
      <c r="K497" s="609"/>
      <c r="L497" s="613"/>
      <c r="M497" s="611"/>
      <c r="N497" s="609"/>
      <c r="O497" s="611"/>
      <c r="P497" s="611"/>
      <c r="Q497" s="609"/>
      <c r="R497" s="610"/>
    </row>
    <row r="498" spans="1:18">
      <c r="A498" s="609"/>
      <c r="B498" s="609"/>
      <c r="C498" s="610"/>
      <c r="D498" s="610"/>
      <c r="E498" s="611"/>
      <c r="F498" s="611"/>
      <c r="G498" s="611"/>
      <c r="H498" s="612"/>
      <c r="I498" s="611"/>
      <c r="J498" s="610"/>
      <c r="K498" s="609"/>
      <c r="L498" s="613"/>
      <c r="M498" s="611"/>
      <c r="N498" s="609"/>
      <c r="O498" s="611"/>
      <c r="P498" s="611"/>
      <c r="Q498" s="609"/>
      <c r="R498" s="610"/>
    </row>
    <row r="499" spans="1:18">
      <c r="A499" s="609"/>
      <c r="B499" s="609"/>
      <c r="C499" s="610"/>
      <c r="D499" s="610"/>
      <c r="E499" s="611"/>
      <c r="F499" s="611"/>
      <c r="G499" s="611"/>
      <c r="H499" s="612"/>
      <c r="I499" s="611"/>
      <c r="J499" s="610"/>
      <c r="K499" s="609"/>
      <c r="L499" s="613"/>
      <c r="M499" s="611"/>
      <c r="N499" s="609"/>
      <c r="O499" s="611"/>
      <c r="P499" s="611"/>
      <c r="Q499" s="609"/>
      <c r="R499" s="610"/>
    </row>
    <row r="500" spans="1:18">
      <c r="A500" s="609"/>
      <c r="B500" s="609"/>
      <c r="C500" s="610"/>
      <c r="D500" s="610"/>
      <c r="E500" s="611"/>
      <c r="F500" s="611"/>
      <c r="G500" s="611"/>
      <c r="H500" s="612"/>
      <c r="I500" s="611"/>
      <c r="J500" s="610"/>
      <c r="K500" s="609"/>
      <c r="L500" s="613"/>
      <c r="M500" s="611"/>
      <c r="N500" s="609"/>
      <c r="O500" s="611"/>
      <c r="P500" s="611"/>
      <c r="Q500" s="609"/>
      <c r="R500" s="610"/>
    </row>
    <row r="501" spans="1:18">
      <c r="A501" s="609"/>
      <c r="B501" s="609"/>
      <c r="C501" s="610"/>
      <c r="D501" s="610"/>
      <c r="E501" s="611"/>
      <c r="F501" s="611"/>
      <c r="G501" s="611"/>
      <c r="H501" s="612"/>
      <c r="I501" s="611"/>
      <c r="J501" s="610"/>
      <c r="K501" s="609"/>
      <c r="L501" s="613"/>
      <c r="M501" s="611"/>
      <c r="N501" s="609"/>
      <c r="O501" s="611"/>
      <c r="P501" s="611"/>
      <c r="Q501" s="609"/>
      <c r="R501" s="610"/>
    </row>
    <row r="502" spans="1:18">
      <c r="A502" s="609"/>
      <c r="B502" s="609"/>
      <c r="C502" s="610"/>
      <c r="D502" s="610"/>
      <c r="E502" s="611"/>
      <c r="F502" s="611"/>
      <c r="G502" s="611"/>
      <c r="H502" s="612"/>
      <c r="I502" s="611"/>
      <c r="J502" s="610"/>
      <c r="K502" s="609"/>
      <c r="L502" s="613"/>
      <c r="M502" s="611"/>
      <c r="N502" s="609"/>
      <c r="O502" s="611"/>
      <c r="P502" s="611"/>
      <c r="Q502" s="609"/>
      <c r="R502" s="610"/>
    </row>
    <row r="503" spans="1:18">
      <c r="A503" s="609"/>
      <c r="B503" s="609"/>
      <c r="C503" s="610"/>
      <c r="D503" s="610"/>
      <c r="E503" s="611"/>
      <c r="F503" s="611"/>
      <c r="G503" s="611"/>
      <c r="H503" s="612"/>
      <c r="I503" s="611"/>
      <c r="J503" s="610"/>
      <c r="K503" s="609"/>
      <c r="L503" s="613"/>
      <c r="M503" s="611"/>
      <c r="N503" s="609"/>
      <c r="O503" s="611"/>
      <c r="P503" s="611"/>
      <c r="Q503" s="609"/>
      <c r="R503" s="610"/>
    </row>
    <row r="504" spans="1:18">
      <c r="A504" s="609"/>
      <c r="B504" s="609"/>
      <c r="C504" s="610"/>
      <c r="D504" s="610"/>
      <c r="E504" s="611"/>
      <c r="F504" s="611"/>
      <c r="G504" s="611"/>
      <c r="H504" s="612"/>
      <c r="I504" s="611"/>
      <c r="J504" s="610"/>
      <c r="K504" s="609"/>
      <c r="L504" s="613"/>
      <c r="M504" s="611"/>
      <c r="N504" s="609"/>
      <c r="O504" s="611"/>
      <c r="P504" s="611"/>
      <c r="Q504" s="609"/>
      <c r="R504" s="610"/>
    </row>
    <row r="505" spans="1:18">
      <c r="A505" s="609"/>
      <c r="B505" s="609"/>
      <c r="C505" s="610"/>
      <c r="D505" s="610"/>
      <c r="E505" s="611"/>
      <c r="F505" s="611"/>
      <c r="G505" s="611"/>
      <c r="H505" s="612"/>
      <c r="I505" s="611"/>
      <c r="J505" s="610"/>
      <c r="K505" s="609"/>
      <c r="L505" s="613"/>
      <c r="M505" s="611"/>
      <c r="N505" s="609"/>
      <c r="O505" s="611"/>
      <c r="P505" s="611"/>
      <c r="Q505" s="609"/>
      <c r="R505" s="610"/>
    </row>
  </sheetData>
  <sortState xmlns:xlrd2="http://schemas.microsoft.com/office/spreadsheetml/2017/richdata2" ref="A4:R18">
    <sortCondition descending="1" ref="Q4"/>
  </sortState>
  <mergeCells count="2">
    <mergeCell ref="A2:R2"/>
    <mergeCell ref="A1:R1"/>
  </mergeCells>
  <phoneticPr fontId="16"/>
  <pageMargins left="0.70866141732283472" right="0.70866141732283472" top="0.74803149606299213" bottom="0.74803149606299213" header="0.31496062992125978" footer="0.31496062992125978"/>
  <pageSetup paperSize="9" scale="50" fitToHeight="0"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tn売高精度抽出">
              <controlPr defaultSize="0" print="0" autoFill="0" autoPict="0" macro="[0]!下降順張り抽出_VWAP">
                <anchor moveWithCells="1" sizeWithCells="1">
                  <from>
                    <xdr:col>0</xdr:col>
                    <xdr:colOff>152400</xdr:colOff>
                    <xdr:row>0</xdr:row>
                    <xdr:rowOff>76200</xdr:rowOff>
                  </from>
                  <to>
                    <xdr:col>2</xdr:col>
                    <xdr:colOff>838200</xdr:colOff>
                    <xdr:row>0</xdr:row>
                    <xdr:rowOff>1127760</xdr:rowOff>
                  </to>
                </anchor>
              </controlPr>
            </control>
          </mc:Choice>
        </mc:AlternateContent>
        <mc:AlternateContent xmlns:mc="http://schemas.openxmlformats.org/markup-compatibility/2006">
          <mc:Choice Requires="x14">
            <control shapeId="3077" r:id="rId5" name="btn売通常抽出">
              <controlPr defaultSize="0" print="0" autoFill="0" autoPict="0" macro="[0]!下降順張り抽出_VWAP_緩和">
                <anchor moveWithCells="1" sizeWithCells="1">
                  <from>
                    <xdr:col>2</xdr:col>
                    <xdr:colOff>990600</xdr:colOff>
                    <xdr:row>0</xdr:row>
                    <xdr:rowOff>76200</xdr:rowOff>
                  </from>
                  <to>
                    <xdr:col>4</xdr:col>
                    <xdr:colOff>297180</xdr:colOff>
                    <xdr:row>0</xdr:row>
                    <xdr:rowOff>937260</xdr:rowOff>
                  </to>
                </anchor>
              </controlPr>
            </control>
          </mc:Choice>
        </mc:AlternateContent>
        <mc:AlternateContent xmlns:mc="http://schemas.openxmlformats.org/markup-compatibility/2006">
          <mc:Choice Requires="x14">
            <control shapeId="3078" r:id="rId6" name="btn売緩和抽出">
              <controlPr defaultSize="0" print="0" autoFill="0" autoPict="0" macro="[0]!Mod_SellExtrac.売り抽出_緩和">
                <anchor moveWithCells="1" sizeWithCells="1">
                  <from>
                    <xdr:col>4</xdr:col>
                    <xdr:colOff>464820</xdr:colOff>
                    <xdr:row>0</xdr:row>
                    <xdr:rowOff>76200</xdr:rowOff>
                  </from>
                  <to>
                    <xdr:col>5</xdr:col>
                    <xdr:colOff>1661160</xdr:colOff>
                    <xdr:row>0</xdr:row>
                    <xdr:rowOff>632460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74D6B-150B-4A3D-AF6B-F1E7AD6B1CCE}">
  <sheetPr codeName="Sheet7"/>
  <dimension ref="A2:D261"/>
  <sheetViews>
    <sheetView topLeftCell="A190" workbookViewId="0">
      <selection activeCell="Q236" sqref="Q236"/>
    </sheetView>
  </sheetViews>
  <sheetFormatPr defaultRowHeight="13.2"/>
  <sheetData>
    <row r="2" spans="1:2">
      <c r="A2" s="456">
        <v>46197</v>
      </c>
    </row>
    <row r="3" spans="1:2">
      <c r="B3" t="s">
        <v>844</v>
      </c>
    </row>
    <row r="5" spans="1:2">
      <c r="B5" t="s">
        <v>845</v>
      </c>
    </row>
    <row r="7" spans="1:2">
      <c r="B7" t="s">
        <v>846</v>
      </c>
    </row>
    <row r="9" spans="1:2">
      <c r="B9" t="s">
        <v>847</v>
      </c>
    </row>
    <row r="10" spans="1:2">
      <c r="B10" t="s">
        <v>848</v>
      </c>
    </row>
    <row r="11" spans="1:2">
      <c r="B11" t="s">
        <v>849</v>
      </c>
    </row>
    <row r="13" spans="1:2">
      <c r="B13" t="s">
        <v>850</v>
      </c>
    </row>
    <row r="15" spans="1:2">
      <c r="B15" t="s">
        <v>851</v>
      </c>
    </row>
    <row r="17" spans="2:2">
      <c r="B17" t="s">
        <v>852</v>
      </c>
    </row>
    <row r="19" spans="2:2">
      <c r="B19" t="s">
        <v>853</v>
      </c>
    </row>
    <row r="20" spans="2:2">
      <c r="B20" t="s">
        <v>854</v>
      </c>
    </row>
    <row r="24" spans="2:2">
      <c r="B24" t="s">
        <v>855</v>
      </c>
    </row>
    <row r="26" spans="2:2">
      <c r="B26" t="s">
        <v>856</v>
      </c>
    </row>
    <row r="27" spans="2:2">
      <c r="B27" t="s">
        <v>857</v>
      </c>
    </row>
    <row r="29" spans="2:2">
      <c r="B29" t="s">
        <v>858</v>
      </c>
    </row>
    <row r="32" spans="2:2">
      <c r="B32" t="s">
        <v>859</v>
      </c>
    </row>
    <row r="34" spans="2:4">
      <c r="B34" t="s">
        <v>860</v>
      </c>
    </row>
    <row r="37" spans="2:4">
      <c r="B37" t="s">
        <v>861</v>
      </c>
    </row>
    <row r="39" spans="2:4">
      <c r="B39" t="s">
        <v>862</v>
      </c>
    </row>
    <row r="41" spans="2:4">
      <c r="B41" t="s">
        <v>863</v>
      </c>
    </row>
    <row r="43" spans="2:4">
      <c r="B43" t="s">
        <v>864</v>
      </c>
      <c r="C43" t="s">
        <v>865</v>
      </c>
      <c r="D43" t="s">
        <v>866</v>
      </c>
    </row>
    <row r="44" spans="2:4">
      <c r="B44" t="s">
        <v>867</v>
      </c>
      <c r="C44" t="s">
        <v>868</v>
      </c>
      <c r="D44" t="s">
        <v>869</v>
      </c>
    </row>
    <row r="45" spans="2:4">
      <c r="B45" t="s">
        <v>870</v>
      </c>
      <c r="C45" t="s">
        <v>871</v>
      </c>
      <c r="D45" t="s">
        <v>872</v>
      </c>
    </row>
    <row r="46" spans="2:4">
      <c r="B46" t="s">
        <v>870</v>
      </c>
      <c r="C46" t="s">
        <v>873</v>
      </c>
      <c r="D46" t="s">
        <v>874</v>
      </c>
    </row>
    <row r="48" spans="2:4">
      <c r="B48" t="s">
        <v>875</v>
      </c>
    </row>
    <row r="50" spans="2:4">
      <c r="B50" t="s">
        <v>864</v>
      </c>
      <c r="C50" t="s">
        <v>865</v>
      </c>
      <c r="D50" t="s">
        <v>866</v>
      </c>
    </row>
    <row r="51" spans="2:4">
      <c r="B51" t="s">
        <v>870</v>
      </c>
      <c r="C51" t="s">
        <v>873</v>
      </c>
      <c r="D51" t="s">
        <v>876</v>
      </c>
    </row>
    <row r="52" spans="2:4">
      <c r="B52" t="s">
        <v>867</v>
      </c>
      <c r="C52" t="s">
        <v>877</v>
      </c>
      <c r="D52" t="s">
        <v>878</v>
      </c>
    </row>
    <row r="53" spans="2:4">
      <c r="B53" t="s">
        <v>867</v>
      </c>
      <c r="C53" t="s">
        <v>868</v>
      </c>
      <c r="D53" t="s">
        <v>879</v>
      </c>
    </row>
    <row r="56" spans="2:4">
      <c r="B56" t="s">
        <v>880</v>
      </c>
    </row>
    <row r="60" spans="2:4">
      <c r="B60" t="s">
        <v>885</v>
      </c>
    </row>
    <row r="64" spans="2:4" ht="21">
      <c r="B64" s="464" t="s">
        <v>886</v>
      </c>
    </row>
    <row r="66" spans="2:2">
      <c r="B66" s="465" t="s">
        <v>887</v>
      </c>
    </row>
    <row r="68" spans="2:2">
      <c r="B68" t="s">
        <v>888</v>
      </c>
    </row>
    <row r="70" spans="2:2">
      <c r="B70" t="s">
        <v>889</v>
      </c>
    </row>
    <row r="74" spans="2:2" ht="21">
      <c r="B74" s="464" t="s">
        <v>890</v>
      </c>
    </row>
    <row r="76" spans="2:2">
      <c r="B76" t="s">
        <v>891</v>
      </c>
    </row>
    <row r="78" spans="2:2">
      <c r="B78" s="465" t="s">
        <v>892</v>
      </c>
    </row>
    <row r="79" spans="2:2">
      <c r="B79" s="466"/>
    </row>
    <row r="80" spans="2:2">
      <c r="B80" s="466" t="s">
        <v>893</v>
      </c>
    </row>
    <row r="81" spans="2:2">
      <c r="B81" s="466" t="s">
        <v>894</v>
      </c>
    </row>
    <row r="82" spans="2:2">
      <c r="B82" s="466" t="s">
        <v>895</v>
      </c>
    </row>
    <row r="84" spans="2:2">
      <c r="B84" s="465" t="s">
        <v>896</v>
      </c>
    </row>
    <row r="85" spans="2:2">
      <c r="B85" s="466"/>
    </row>
    <row r="86" spans="2:2">
      <c r="B86" s="466" t="s">
        <v>897</v>
      </c>
    </row>
    <row r="87" spans="2:2">
      <c r="B87" s="466" t="s">
        <v>898</v>
      </c>
    </row>
    <row r="89" spans="2:2">
      <c r="B89" s="465" t="s">
        <v>899</v>
      </c>
    </row>
    <row r="90" spans="2:2">
      <c r="B90" s="466"/>
    </row>
    <row r="91" spans="2:2">
      <c r="B91" s="466" t="s">
        <v>900</v>
      </c>
    </row>
    <row r="92" spans="2:2">
      <c r="B92" s="466" t="s">
        <v>901</v>
      </c>
    </row>
    <row r="94" spans="2:2">
      <c r="B94" s="465" t="s">
        <v>902</v>
      </c>
    </row>
    <row r="95" spans="2:2">
      <c r="B95" s="466"/>
    </row>
    <row r="96" spans="2:2">
      <c r="B96" s="466" t="s">
        <v>903</v>
      </c>
    </row>
    <row r="97" spans="2:2">
      <c r="B97" s="466" t="s">
        <v>904</v>
      </c>
    </row>
    <row r="101" spans="2:2" ht="21">
      <c r="B101" s="464" t="s">
        <v>905</v>
      </c>
    </row>
    <row r="103" spans="2:2" ht="16.2">
      <c r="B103" s="467" t="s">
        <v>906</v>
      </c>
    </row>
    <row r="105" spans="2:2">
      <c r="B105" t="s">
        <v>907</v>
      </c>
    </row>
    <row r="106" spans="2:2">
      <c r="B106" s="466"/>
    </row>
    <row r="107" spans="2:2">
      <c r="B107" s="466" t="s">
        <v>908</v>
      </c>
    </row>
    <row r="108" spans="2:2">
      <c r="B108" s="466" t="s">
        <v>909</v>
      </c>
    </row>
    <row r="110" spans="2:2">
      <c r="B110" t="s">
        <v>910</v>
      </c>
    </row>
    <row r="112" spans="2:2" ht="16.2">
      <c r="B112" s="467" t="s">
        <v>911</v>
      </c>
    </row>
    <row r="114" spans="2:2">
      <c r="B114" t="s">
        <v>912</v>
      </c>
    </row>
    <row r="115" spans="2:2">
      <c r="B115" s="466"/>
    </row>
    <row r="116" spans="2:2">
      <c r="B116" s="466" t="s">
        <v>913</v>
      </c>
    </row>
    <row r="118" spans="2:2">
      <c r="B118" t="s">
        <v>914</v>
      </c>
    </row>
    <row r="119" spans="2:2">
      <c r="B119" s="466"/>
    </row>
    <row r="120" spans="2:2">
      <c r="B120" s="466" t="s">
        <v>915</v>
      </c>
    </row>
    <row r="121" spans="2:2">
      <c r="B121" s="466" t="s">
        <v>916</v>
      </c>
    </row>
    <row r="123" spans="2:2">
      <c r="B123" t="s">
        <v>917</v>
      </c>
    </row>
    <row r="125" spans="2:2" ht="16.2">
      <c r="B125" s="467" t="s">
        <v>918</v>
      </c>
    </row>
    <row r="127" spans="2:2">
      <c r="B127" t="s">
        <v>919</v>
      </c>
    </row>
    <row r="128" spans="2:2">
      <c r="B128" s="466"/>
    </row>
    <row r="129" spans="2:2">
      <c r="B129" s="466" t="s">
        <v>920</v>
      </c>
    </row>
    <row r="130" spans="2:2">
      <c r="B130" s="466" t="s">
        <v>921</v>
      </c>
    </row>
    <row r="131" spans="2:2">
      <c r="B131" s="466" t="s">
        <v>922</v>
      </c>
    </row>
    <row r="133" spans="2:2">
      <c r="B133" t="s">
        <v>923</v>
      </c>
    </row>
    <row r="137" spans="2:2" ht="21">
      <c r="B137" s="464" t="s">
        <v>924</v>
      </c>
    </row>
    <row r="139" spans="2:2">
      <c r="B139" t="s">
        <v>925</v>
      </c>
    </row>
    <row r="141" spans="2:2">
      <c r="B141" s="465" t="s">
        <v>926</v>
      </c>
    </row>
    <row r="142" spans="2:2">
      <c r="B142" s="466"/>
    </row>
    <row r="143" spans="2:2">
      <c r="B143" s="466" t="s">
        <v>927</v>
      </c>
    </row>
    <row r="144" spans="2:2">
      <c r="B144" s="466" t="s">
        <v>928</v>
      </c>
    </row>
    <row r="145" spans="2:2">
      <c r="B145" s="466" t="s">
        <v>929</v>
      </c>
    </row>
    <row r="146" spans="2:2">
      <c r="B146" s="466" t="s">
        <v>930</v>
      </c>
    </row>
    <row r="147" spans="2:2">
      <c r="B147" s="466" t="s">
        <v>931</v>
      </c>
    </row>
    <row r="148" spans="2:2">
      <c r="B148" s="466" t="s">
        <v>932</v>
      </c>
    </row>
    <row r="150" spans="2:2">
      <c r="B150" s="465" t="s">
        <v>933</v>
      </c>
    </row>
    <row r="152" spans="2:2">
      <c r="B152" s="468" t="s">
        <v>934</v>
      </c>
    </row>
    <row r="154" spans="2:2">
      <c r="B154" t="s">
        <v>935</v>
      </c>
    </row>
    <row r="156" spans="2:2">
      <c r="B156" s="465" t="s">
        <v>936</v>
      </c>
    </row>
    <row r="158" spans="2:2">
      <c r="B158" s="468" t="s">
        <v>937</v>
      </c>
    </row>
    <row r="159" spans="2:2">
      <c r="B159" s="466"/>
    </row>
    <row r="160" spans="2:2">
      <c r="B160" s="466" t="s">
        <v>938</v>
      </c>
    </row>
    <row r="161" spans="2:2">
      <c r="B161" s="466" t="s">
        <v>939</v>
      </c>
    </row>
    <row r="165" spans="2:2">
      <c r="B165" t="s">
        <v>940</v>
      </c>
    </row>
    <row r="167" spans="2:2">
      <c r="B167" t="s">
        <v>941</v>
      </c>
    </row>
    <row r="171" spans="2:2">
      <c r="B171" t="s">
        <v>942</v>
      </c>
    </row>
    <row r="172" spans="2:2">
      <c r="B172" t="s">
        <v>994</v>
      </c>
    </row>
    <row r="173" spans="2:2">
      <c r="B173" t="s">
        <v>943</v>
      </c>
    </row>
    <row r="174" spans="2:2">
      <c r="B174" t="s">
        <v>944</v>
      </c>
    </row>
    <row r="175" spans="2:2">
      <c r="B175" t="s">
        <v>945</v>
      </c>
    </row>
    <row r="176" spans="2:2">
      <c r="B176" t="s">
        <v>995</v>
      </c>
    </row>
    <row r="177" spans="2:4">
      <c r="B177" t="s">
        <v>996</v>
      </c>
    </row>
    <row r="178" spans="2:4">
      <c r="B178" t="s">
        <v>946</v>
      </c>
    </row>
    <row r="180" spans="2:4">
      <c r="B180" t="s">
        <v>947</v>
      </c>
    </row>
    <row r="181" spans="2:4">
      <c r="B181" t="s">
        <v>997</v>
      </c>
    </row>
    <row r="182" spans="2:4">
      <c r="B182" t="s">
        <v>948</v>
      </c>
    </row>
    <row r="183" spans="2:4">
      <c r="B183" t="s">
        <v>949</v>
      </c>
    </row>
    <row r="184" spans="2:4">
      <c r="B184" t="s">
        <v>998</v>
      </c>
    </row>
    <row r="185" spans="2:4">
      <c r="B185" t="s">
        <v>950</v>
      </c>
    </row>
    <row r="186" spans="2:4">
      <c r="B186" t="s">
        <v>951</v>
      </c>
    </row>
    <row r="187" spans="2:4">
      <c r="B187" t="s">
        <v>952</v>
      </c>
    </row>
    <row r="189" spans="2:4">
      <c r="B189" t="s">
        <v>999</v>
      </c>
    </row>
    <row r="191" spans="2:4">
      <c r="B191" t="s">
        <v>953</v>
      </c>
    </row>
    <row r="192" spans="2:4">
      <c r="B192" t="s">
        <v>600</v>
      </c>
      <c r="C192" t="s">
        <v>954</v>
      </c>
      <c r="D192" t="s">
        <v>955</v>
      </c>
    </row>
    <row r="193" spans="2:4">
      <c r="B193" t="s">
        <v>956</v>
      </c>
      <c r="C193" t="s">
        <v>957</v>
      </c>
      <c r="D193" t="s">
        <v>957</v>
      </c>
    </row>
    <row r="194" spans="2:4">
      <c r="B194" t="s">
        <v>958</v>
      </c>
      <c r="C194" t="s">
        <v>959</v>
      </c>
      <c r="D194" t="s">
        <v>960</v>
      </c>
    </row>
    <row r="195" spans="2:4">
      <c r="B195" t="s">
        <v>961</v>
      </c>
      <c r="C195" t="s">
        <v>957</v>
      </c>
      <c r="D195" t="s">
        <v>957</v>
      </c>
    </row>
    <row r="196" spans="2:4">
      <c r="B196" t="s">
        <v>962</v>
      </c>
      <c r="C196" t="s">
        <v>957</v>
      </c>
      <c r="D196" t="s">
        <v>963</v>
      </c>
    </row>
    <row r="197" spans="2:4">
      <c r="B197" t="s">
        <v>964</v>
      </c>
    </row>
    <row r="198" spans="2:4">
      <c r="B198" t="s">
        <v>965</v>
      </c>
    </row>
    <row r="199" spans="2:4">
      <c r="B199" t="s">
        <v>966</v>
      </c>
    </row>
    <row r="200" spans="2:4">
      <c r="B200" t="s">
        <v>967</v>
      </c>
    </row>
    <row r="201" spans="2:4">
      <c r="B201" t="s">
        <v>968</v>
      </c>
    </row>
    <row r="203" spans="2:4">
      <c r="B203" t="s">
        <v>969</v>
      </c>
    </row>
    <row r="204" spans="2:4">
      <c r="B204" t="s">
        <v>970</v>
      </c>
    </row>
    <row r="205" spans="2:4">
      <c r="B205" t="s">
        <v>971</v>
      </c>
    </row>
    <row r="206" spans="2:4">
      <c r="B206" t="s">
        <v>972</v>
      </c>
    </row>
    <row r="207" spans="2:4">
      <c r="B207" t="s">
        <v>1000</v>
      </c>
    </row>
    <row r="208" spans="2:4">
      <c r="B208" t="s">
        <v>973</v>
      </c>
    </row>
    <row r="209" spans="2:2">
      <c r="B209" t="s">
        <v>1001</v>
      </c>
    </row>
    <row r="210" spans="2:2">
      <c r="B210" t="s">
        <v>974</v>
      </c>
    </row>
    <row r="211" spans="2:2">
      <c r="B211" t="s">
        <v>975</v>
      </c>
    </row>
    <row r="212" spans="2:2">
      <c r="B212" t="s">
        <v>976</v>
      </c>
    </row>
    <row r="213" spans="2:2">
      <c r="B213" t="s">
        <v>977</v>
      </c>
    </row>
    <row r="215" spans="2:2">
      <c r="B215" t="s">
        <v>978</v>
      </c>
    </row>
    <row r="216" spans="2:2">
      <c r="B216" t="s">
        <v>979</v>
      </c>
    </row>
    <row r="217" spans="2:2">
      <c r="B217" t="s">
        <v>1002</v>
      </c>
    </row>
    <row r="218" spans="2:2">
      <c r="B218" t="s">
        <v>980</v>
      </c>
    </row>
    <row r="219" spans="2:2">
      <c r="B219" t="s">
        <v>981</v>
      </c>
    </row>
    <row r="220" spans="2:2">
      <c r="B220" t="s">
        <v>982</v>
      </c>
    </row>
    <row r="221" spans="2:2">
      <c r="B221" t="s">
        <v>983</v>
      </c>
    </row>
    <row r="223" spans="2:2">
      <c r="B223" t="s">
        <v>984</v>
      </c>
    </row>
    <row r="224" spans="2:2">
      <c r="B224" t="s">
        <v>985</v>
      </c>
    </row>
    <row r="225" spans="2:2">
      <c r="B225" t="s">
        <v>1003</v>
      </c>
    </row>
    <row r="226" spans="2:2">
      <c r="B226" t="s">
        <v>986</v>
      </c>
    </row>
    <row r="227" spans="2:2">
      <c r="B227" t="s">
        <v>987</v>
      </c>
    </row>
    <row r="228" spans="2:2">
      <c r="B228" t="s">
        <v>988</v>
      </c>
    </row>
    <row r="229" spans="2:2">
      <c r="B229" t="s">
        <v>989</v>
      </c>
    </row>
    <row r="231" spans="2:2">
      <c r="B231" t="s">
        <v>990</v>
      </c>
    </row>
    <row r="232" spans="2:2">
      <c r="B232" t="s">
        <v>991</v>
      </c>
    </row>
    <row r="233" spans="2:2">
      <c r="B233" t="s">
        <v>992</v>
      </c>
    </row>
    <row r="235" spans="2:2">
      <c r="B235" t="s">
        <v>993</v>
      </c>
    </row>
    <row r="238" spans="2:2">
      <c r="B238" s="456">
        <v>46218</v>
      </c>
    </row>
    <row r="239" spans="2:2">
      <c r="B239" t="s">
        <v>1107</v>
      </c>
    </row>
    <row r="241" spans="2:4">
      <c r="B241" t="s">
        <v>1108</v>
      </c>
    </row>
    <row r="242" spans="2:4">
      <c r="B242" t="s">
        <v>1109</v>
      </c>
      <c r="C242" t="s">
        <v>1110</v>
      </c>
      <c r="D242" t="s">
        <v>1111</v>
      </c>
    </row>
    <row r="243" spans="2:4">
      <c r="B243" t="s">
        <v>1112</v>
      </c>
      <c r="C243" t="s">
        <v>1113</v>
      </c>
      <c r="D243" t="s">
        <v>1114</v>
      </c>
    </row>
    <row r="244" spans="2:4">
      <c r="B244" t="s">
        <v>529</v>
      </c>
      <c r="C244" t="s">
        <v>1115</v>
      </c>
      <c r="D244" t="s">
        <v>1116</v>
      </c>
    </row>
    <row r="245" spans="2:4">
      <c r="B245" t="s">
        <v>533</v>
      </c>
      <c r="C245" t="s">
        <v>1115</v>
      </c>
      <c r="D245" t="s">
        <v>1117</v>
      </c>
    </row>
    <row r="246" spans="2:4">
      <c r="B246" t="s">
        <v>531</v>
      </c>
      <c r="C246" t="s">
        <v>1115</v>
      </c>
      <c r="D246" t="s">
        <v>1118</v>
      </c>
    </row>
    <row r="247" spans="2:4">
      <c r="B247" t="s">
        <v>532</v>
      </c>
      <c r="C247" t="s">
        <v>1119</v>
      </c>
      <c r="D247" t="s">
        <v>1120</v>
      </c>
    </row>
    <row r="248" spans="2:4">
      <c r="B248" t="s">
        <v>664</v>
      </c>
      <c r="C248" t="s">
        <v>1115</v>
      </c>
      <c r="D248" t="s">
        <v>1121</v>
      </c>
    </row>
    <row r="249" spans="2:4">
      <c r="B249" t="s">
        <v>534</v>
      </c>
      <c r="C249" t="s">
        <v>1113</v>
      </c>
      <c r="D249" t="s">
        <v>1122</v>
      </c>
    </row>
    <row r="250" spans="2:4">
      <c r="B250" t="s">
        <v>1123</v>
      </c>
      <c r="C250" t="s">
        <v>1115</v>
      </c>
      <c r="D250" t="s">
        <v>1124</v>
      </c>
    </row>
    <row r="252" spans="2:4">
      <c r="B252" t="s">
        <v>1125</v>
      </c>
    </row>
    <row r="253" spans="2:4">
      <c r="B253" t="s">
        <v>1126</v>
      </c>
    </row>
    <row r="254" spans="2:4">
      <c r="B254" t="s">
        <v>1127</v>
      </c>
    </row>
    <row r="255" spans="2:4">
      <c r="B255" t="s">
        <v>1128</v>
      </c>
    </row>
    <row r="256" spans="2:4">
      <c r="B256" t="s">
        <v>1129</v>
      </c>
    </row>
    <row r="257" spans="2:4">
      <c r="B257" t="s">
        <v>1130</v>
      </c>
    </row>
    <row r="258" spans="2:4">
      <c r="B258" t="s">
        <v>1131</v>
      </c>
      <c r="C258" t="s">
        <v>1132</v>
      </c>
      <c r="D258" t="s">
        <v>1133</v>
      </c>
    </row>
    <row r="259" spans="2:4">
      <c r="B259" t="s">
        <v>1134</v>
      </c>
      <c r="C259" t="s">
        <v>1135</v>
      </c>
      <c r="D259" t="s">
        <v>1136</v>
      </c>
    </row>
    <row r="260" spans="2:4">
      <c r="B260" t="s">
        <v>1137</v>
      </c>
      <c r="C260" t="s">
        <v>1138</v>
      </c>
      <c r="D260" t="s">
        <v>1139</v>
      </c>
    </row>
    <row r="261" spans="2:4">
      <c r="B261" t="s">
        <v>1140</v>
      </c>
      <c r="C261" t="s">
        <v>1141</v>
      </c>
      <c r="D261" t="s">
        <v>1142</v>
      </c>
    </row>
  </sheetData>
  <phoneticPr fontId="16"/>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6" tint="-0.499984740745262"/>
  </sheetPr>
  <dimension ref="A1:BP505"/>
  <sheetViews>
    <sheetView showGridLines="0" workbookViewId="0">
      <pane xSplit="4" ySplit="4" topLeftCell="E5" activePane="bottomRight" state="frozen"/>
      <selection activeCell="C162" sqref="C162"/>
      <selection pane="topRight" activeCell="C162" sqref="C162"/>
      <selection pane="bottomLeft" activeCell="C162" sqref="C162"/>
      <selection pane="bottomRight" activeCell="J20" sqref="J20"/>
    </sheetView>
  </sheetViews>
  <sheetFormatPr defaultColWidth="9" defaultRowHeight="14.4"/>
  <cols>
    <col min="1" max="1" width="9" style="79" customWidth="1"/>
    <col min="2" max="2" width="18" style="1" customWidth="1"/>
    <col min="3" max="4" width="10" style="1" customWidth="1"/>
    <col min="5" max="14" width="7" style="1" customWidth="1"/>
    <col min="15" max="15" width="7.21875" style="1" customWidth="1"/>
    <col min="16" max="16" width="8.77734375" style="1" customWidth="1"/>
    <col min="17" max="44" width="7" style="1" customWidth="1"/>
    <col min="45" max="45" width="9.88671875" style="1" customWidth="1"/>
    <col min="46" max="64" width="7" style="1" customWidth="1"/>
    <col min="65" max="65" width="9" style="1" customWidth="1"/>
    <col min="66" max="16384" width="9" style="1"/>
  </cols>
  <sheetData>
    <row r="1" spans="1:68" ht="30" customHeight="1">
      <c r="A1" s="542" t="s">
        <v>543</v>
      </c>
      <c r="B1" s="526"/>
      <c r="C1" s="526"/>
      <c r="D1" s="526"/>
      <c r="E1" s="526"/>
      <c r="F1" s="526"/>
      <c r="G1" s="526"/>
      <c r="H1" s="526"/>
      <c r="I1" s="526"/>
      <c r="J1" s="526"/>
      <c r="K1" s="526"/>
      <c r="L1" s="526"/>
      <c r="M1" s="526"/>
      <c r="N1" s="526"/>
      <c r="O1" s="526"/>
      <c r="P1" s="526"/>
      <c r="Q1" s="526"/>
      <c r="R1" s="526"/>
      <c r="S1" s="526"/>
      <c r="T1" s="526"/>
      <c r="U1" s="526"/>
      <c r="V1" s="526"/>
      <c r="W1" s="526"/>
      <c r="X1" s="526"/>
      <c r="Y1" s="526"/>
      <c r="Z1" s="526"/>
      <c r="AA1" s="526"/>
      <c r="AB1" s="526"/>
      <c r="AC1" s="526"/>
      <c r="AD1" s="526"/>
      <c r="AE1" s="526"/>
      <c r="AF1" s="526"/>
      <c r="AG1" s="526"/>
      <c r="AH1" s="526"/>
      <c r="AI1" s="526"/>
      <c r="AJ1" s="526"/>
      <c r="AK1" s="526"/>
      <c r="AL1" s="526"/>
      <c r="AM1" s="526"/>
      <c r="AN1" s="526"/>
      <c r="AO1" s="526"/>
      <c r="AP1" s="526"/>
      <c r="AQ1" s="526"/>
      <c r="AR1" s="526"/>
      <c r="AS1" s="526"/>
      <c r="AT1" s="526"/>
      <c r="AU1" s="526"/>
      <c r="AV1" s="526"/>
      <c r="AW1" s="526"/>
      <c r="AX1" s="526"/>
      <c r="AY1" s="526"/>
      <c r="AZ1" s="526"/>
      <c r="BA1" s="526"/>
      <c r="BB1" s="526"/>
      <c r="BC1" s="526"/>
      <c r="BD1" s="526"/>
      <c r="BE1" s="526"/>
      <c r="BF1" s="526"/>
      <c r="BG1" s="526"/>
      <c r="BH1" s="526"/>
      <c r="BI1" s="526"/>
      <c r="BJ1" s="526"/>
      <c r="BK1" s="526"/>
      <c r="BL1" s="526"/>
    </row>
    <row r="2" spans="1:68" ht="18" customHeight="1">
      <c r="A2" s="178" t="s">
        <v>1</v>
      </c>
      <c r="B2" s="178" t="s">
        <v>2</v>
      </c>
      <c r="C2" s="178" t="s">
        <v>581</v>
      </c>
      <c r="D2" s="178" t="s">
        <v>4</v>
      </c>
      <c r="E2" s="179"/>
      <c r="F2" s="179"/>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9"/>
      <c r="AJ2" s="179"/>
      <c r="AK2" s="179"/>
      <c r="AL2" s="179"/>
      <c r="AM2" s="179"/>
      <c r="AN2" s="179"/>
      <c r="AO2" s="179"/>
      <c r="AP2" s="179"/>
      <c r="AQ2" s="179"/>
      <c r="AR2" s="179"/>
      <c r="AS2" s="179"/>
      <c r="AT2" s="179"/>
      <c r="AU2" s="179"/>
      <c r="AV2" s="179"/>
      <c r="AW2" s="179"/>
      <c r="AX2" s="179"/>
      <c r="AY2" s="179"/>
      <c r="AZ2" s="179"/>
      <c r="BA2" s="179"/>
      <c r="BB2" s="179"/>
      <c r="BC2" s="179"/>
      <c r="BD2" s="179"/>
      <c r="BE2" s="179"/>
      <c r="BF2" s="179"/>
      <c r="BG2" s="179"/>
      <c r="BH2" s="179"/>
      <c r="BI2" s="179"/>
      <c r="BJ2" s="179"/>
      <c r="BK2" s="179"/>
      <c r="BL2" s="179"/>
    </row>
    <row r="3" spans="1:68" ht="14.1" customHeight="1">
      <c r="A3" s="180" t="s">
        <v>5</v>
      </c>
      <c r="B3" s="181"/>
      <c r="C3" s="208" t="s">
        <v>6</v>
      </c>
      <c r="D3" s="181"/>
      <c r="E3" s="182">
        <v>46220</v>
      </c>
      <c r="F3" s="182">
        <v>46218</v>
      </c>
      <c r="G3" s="182">
        <v>46217</v>
      </c>
      <c r="H3" s="182">
        <v>46216</v>
      </c>
      <c r="I3" s="182">
        <v>46213</v>
      </c>
      <c r="J3" s="182">
        <v>46212</v>
      </c>
      <c r="K3" s="182">
        <v>46211</v>
      </c>
      <c r="L3" s="182">
        <v>46210</v>
      </c>
      <c r="M3" s="182">
        <v>46209</v>
      </c>
      <c r="N3" s="182">
        <v>46206</v>
      </c>
      <c r="O3" s="182">
        <v>46205</v>
      </c>
      <c r="P3" s="182">
        <v>46204</v>
      </c>
      <c r="Q3" s="182">
        <v>46203</v>
      </c>
      <c r="R3" s="182">
        <v>46202</v>
      </c>
      <c r="S3" s="182">
        <v>46199</v>
      </c>
      <c r="T3" s="182">
        <v>46198</v>
      </c>
      <c r="U3" s="182">
        <v>46197</v>
      </c>
      <c r="V3" s="182">
        <v>46196</v>
      </c>
      <c r="W3" s="182">
        <v>46195</v>
      </c>
      <c r="X3" s="182">
        <v>46192</v>
      </c>
      <c r="Y3" s="182">
        <v>46191</v>
      </c>
      <c r="Z3" s="182">
        <v>46190</v>
      </c>
      <c r="AA3" s="182">
        <v>46189</v>
      </c>
      <c r="AB3" s="182">
        <v>46188</v>
      </c>
      <c r="AC3" s="182">
        <v>46185</v>
      </c>
      <c r="AD3" s="182">
        <v>46184</v>
      </c>
      <c r="AE3" s="182">
        <v>46183</v>
      </c>
      <c r="AF3" s="182">
        <v>46181</v>
      </c>
      <c r="AG3" s="182">
        <v>46178</v>
      </c>
      <c r="AH3" s="182">
        <v>46177</v>
      </c>
      <c r="AI3" s="182">
        <v>46176</v>
      </c>
      <c r="AJ3" s="182">
        <v>46175</v>
      </c>
      <c r="AK3" s="182">
        <v>46171</v>
      </c>
      <c r="AL3" s="182">
        <v>46170</v>
      </c>
      <c r="AM3" s="182">
        <v>46169</v>
      </c>
      <c r="AN3" s="182">
        <v>46167</v>
      </c>
      <c r="AO3" s="182">
        <v>46164</v>
      </c>
      <c r="AP3" s="182">
        <v>46163</v>
      </c>
      <c r="AQ3" s="182">
        <v>46162</v>
      </c>
      <c r="AR3" s="182">
        <v>46161</v>
      </c>
      <c r="AS3" s="182">
        <v>46160</v>
      </c>
      <c r="AT3" s="182">
        <v>46157</v>
      </c>
      <c r="AU3" s="182">
        <v>46156</v>
      </c>
      <c r="AV3" s="182">
        <v>46155</v>
      </c>
      <c r="AW3" s="182">
        <v>46154</v>
      </c>
      <c r="AX3" s="182">
        <v>46153</v>
      </c>
      <c r="AY3" s="182">
        <v>46150</v>
      </c>
      <c r="AZ3" s="182">
        <v>46149</v>
      </c>
      <c r="BA3" s="182">
        <v>46143</v>
      </c>
      <c r="BB3" s="182">
        <v>46142</v>
      </c>
      <c r="BC3" s="182">
        <v>46140</v>
      </c>
      <c r="BD3" s="182">
        <v>46139</v>
      </c>
      <c r="BE3" s="182">
        <v>46136</v>
      </c>
      <c r="BF3" s="182">
        <v>46135</v>
      </c>
      <c r="BG3" s="182">
        <v>46134</v>
      </c>
      <c r="BH3" s="182">
        <v>46133</v>
      </c>
      <c r="BI3" s="182">
        <v>46132</v>
      </c>
      <c r="BJ3" s="182">
        <v>46129</v>
      </c>
      <c r="BK3" s="182">
        <v>46128</v>
      </c>
      <c r="BL3" s="182">
        <v>46127</v>
      </c>
      <c r="BM3" s="69">
        <v>46126</v>
      </c>
      <c r="BN3" s="69">
        <v>46125</v>
      </c>
      <c r="BO3" s="69">
        <v>46122</v>
      </c>
      <c r="BP3" s="69">
        <v>46121</v>
      </c>
    </row>
    <row r="4" spans="1:68" ht="18" customHeight="1">
      <c r="A4" s="183"/>
      <c r="B4" s="183"/>
      <c r="C4" s="183"/>
      <c r="D4" s="183"/>
      <c r="E4" s="183"/>
      <c r="F4" s="183"/>
      <c r="G4" s="183"/>
      <c r="H4" s="183"/>
      <c r="I4" s="183"/>
      <c r="J4" s="183"/>
      <c r="K4" s="183"/>
      <c r="L4" s="183"/>
      <c r="M4" s="183"/>
      <c r="N4" s="183"/>
      <c r="O4" s="183"/>
      <c r="P4" s="183"/>
      <c r="Q4" s="183"/>
      <c r="R4" s="183"/>
      <c r="S4" s="183"/>
      <c r="T4" s="183"/>
      <c r="U4" s="183"/>
      <c r="V4" s="183"/>
      <c r="W4" s="183"/>
      <c r="X4" s="183"/>
      <c r="Y4" s="183"/>
      <c r="Z4" s="183"/>
      <c r="AA4" s="183"/>
      <c r="AB4" s="183"/>
      <c r="AC4" s="183"/>
      <c r="AD4" s="183"/>
      <c r="AE4" s="183"/>
      <c r="AF4" s="183"/>
      <c r="AG4" s="183"/>
      <c r="AH4" s="183"/>
      <c r="AI4" s="183"/>
      <c r="AJ4" s="183"/>
      <c r="AK4" s="183"/>
      <c r="AL4" s="183"/>
      <c r="AM4" s="183"/>
      <c r="AN4" s="183"/>
      <c r="AO4" s="183"/>
      <c r="AP4" s="183"/>
      <c r="AQ4" s="183"/>
      <c r="AR4" s="183"/>
      <c r="AS4" s="183"/>
      <c r="AT4" s="183"/>
      <c r="AU4" s="183"/>
      <c r="AV4" s="183"/>
      <c r="AW4" s="183"/>
      <c r="AX4" s="183"/>
      <c r="AY4" s="183"/>
      <c r="AZ4" s="183"/>
      <c r="BA4" s="183"/>
      <c r="BB4" s="183"/>
      <c r="BC4" s="183"/>
      <c r="BD4" s="183"/>
      <c r="BE4" s="183"/>
      <c r="BF4" s="183"/>
      <c r="BG4" s="183"/>
      <c r="BH4" s="183"/>
      <c r="BI4" s="183"/>
      <c r="BJ4" s="183"/>
      <c r="BK4" s="183"/>
      <c r="BL4" s="183"/>
    </row>
    <row r="5" spans="1:68" ht="15.9" customHeight="1">
      <c r="A5" s="80" t="str">
        <f>IF(銘柄管理!B5="","",銘柄管理!B5)</f>
        <v>TOPX</v>
      </c>
      <c r="B5" s="17" t="str">
        <f>IF(銘柄管理!C5="","",銘柄管理!C5)</f>
        <v/>
      </c>
      <c r="C5" s="18" t="str">
        <f t="array" ref="C5">_xll.RssIndexMarket("TOPX", "始値")</f>
        <v/>
      </c>
      <c r="D5" s="19" t="e">
        <f>IF(OR(C5=0,E5=0),"",C5-E5)</f>
        <v>#VALUE!</v>
      </c>
      <c r="E5" s="9">
        <v>4010.01</v>
      </c>
      <c r="F5" s="9">
        <v>4064.96</v>
      </c>
      <c r="G5" s="9">
        <v>4012.78</v>
      </c>
      <c r="H5" s="9">
        <v>4050.36</v>
      </c>
      <c r="I5" s="9">
        <v>4042.65</v>
      </c>
      <c r="J5" s="9">
        <v>3998.07</v>
      </c>
      <c r="K5" s="9">
        <v>4041.75</v>
      </c>
      <c r="L5" s="9">
        <v>4107.6499999999996</v>
      </c>
      <c r="M5" s="9">
        <v>4075.11</v>
      </c>
      <c r="N5" s="9">
        <v>4034.86</v>
      </c>
      <c r="O5" s="9">
        <v>4025.32</v>
      </c>
      <c r="P5" s="9">
        <v>4019.65</v>
      </c>
      <c r="Q5" s="9">
        <v>3999.16</v>
      </c>
      <c r="R5" s="9">
        <v>3976.82</v>
      </c>
      <c r="S5" s="9">
        <v>4001.48</v>
      </c>
      <c r="T5" s="9">
        <v>4001.59</v>
      </c>
      <c r="U5" s="9">
        <v>3987.88</v>
      </c>
      <c r="V5" s="9">
        <v>4097.01</v>
      </c>
      <c r="W5" s="9">
        <v>4030.01</v>
      </c>
      <c r="X5" s="9">
        <v>4067.98</v>
      </c>
      <c r="Y5" s="9">
        <v>4031.1</v>
      </c>
      <c r="Z5" s="9">
        <v>3997.71</v>
      </c>
      <c r="AA5" s="9">
        <v>3984.4</v>
      </c>
      <c r="AB5" s="9">
        <v>3928.06</v>
      </c>
      <c r="AC5" s="9">
        <v>3872.43</v>
      </c>
      <c r="AD5" s="9">
        <v>3807.07</v>
      </c>
      <c r="AE5" s="9">
        <v>3891.31</v>
      </c>
      <c r="AF5" s="9">
        <v>3910.54</v>
      </c>
      <c r="AG5" s="9">
        <v>3961.8</v>
      </c>
      <c r="AH5" s="9">
        <v>3968.05</v>
      </c>
      <c r="AI5" s="9">
        <v>3944.96</v>
      </c>
      <c r="AJ5" s="9">
        <v>3913.4</v>
      </c>
      <c r="AK5" s="9">
        <v>3917.83</v>
      </c>
      <c r="AL5" s="9">
        <v>3905.04</v>
      </c>
      <c r="AM5" s="9">
        <v>3951.71</v>
      </c>
      <c r="AN5" s="9">
        <v>3903.54</v>
      </c>
      <c r="AO5" s="9">
        <v>3866.61</v>
      </c>
      <c r="AP5" s="20">
        <v>3825.33</v>
      </c>
      <c r="AQ5" s="20">
        <v>3851.76</v>
      </c>
      <c r="AR5" s="20">
        <v>3856.77</v>
      </c>
      <c r="AS5" s="20">
        <v>3859.85</v>
      </c>
      <c r="AT5" s="20">
        <v>3891.81</v>
      </c>
      <c r="AU5" s="20">
        <v>3913.9</v>
      </c>
      <c r="AV5" s="20"/>
      <c r="AW5" s="20"/>
      <c r="AX5" s="20"/>
      <c r="AY5" s="20"/>
      <c r="AZ5" s="20"/>
      <c r="BA5" s="20"/>
      <c r="BB5" s="20"/>
      <c r="BC5" s="20"/>
      <c r="BD5" s="20"/>
      <c r="BE5" s="20"/>
      <c r="BF5" s="20"/>
      <c r="BG5" s="20"/>
      <c r="BH5" s="20"/>
      <c r="BI5" s="20"/>
      <c r="BJ5" s="20"/>
      <c r="BK5" s="20"/>
      <c r="BL5" s="20"/>
    </row>
    <row r="6" spans="1:68" ht="15.9" customHeight="1">
      <c r="A6" s="81" t="s">
        <v>7</v>
      </c>
      <c r="B6" s="17" t="s">
        <v>8</v>
      </c>
      <c r="C6" s="26" t="str">
        <f>_xll.RssMarket("5706","始値")</f>
        <v/>
      </c>
      <c r="D6" s="25" t="e">
        <f t="shared" ref="D6:D37" si="0">C6-E6</f>
        <v>#VALUE!</v>
      </c>
      <c r="E6" s="21">
        <v>30590</v>
      </c>
      <c r="F6" s="21">
        <v>35490</v>
      </c>
      <c r="G6" s="21">
        <v>35000</v>
      </c>
      <c r="H6" s="21">
        <v>35880</v>
      </c>
      <c r="I6" s="21">
        <v>36490</v>
      </c>
      <c r="J6" s="21">
        <v>34430</v>
      </c>
      <c r="K6" s="21">
        <v>34920</v>
      </c>
      <c r="L6" s="21">
        <v>37150</v>
      </c>
      <c r="M6" s="21">
        <v>38910</v>
      </c>
      <c r="N6" s="21">
        <v>37670</v>
      </c>
      <c r="O6" s="21">
        <v>41500</v>
      </c>
      <c r="P6" s="21">
        <v>43650</v>
      </c>
      <c r="Q6" s="21">
        <v>42640</v>
      </c>
      <c r="R6" s="21">
        <v>42390</v>
      </c>
      <c r="S6" s="21">
        <v>44990</v>
      </c>
      <c r="T6" s="21">
        <v>47550</v>
      </c>
      <c r="U6" s="21">
        <v>46290</v>
      </c>
      <c r="V6" s="21">
        <v>54190</v>
      </c>
      <c r="W6" s="21">
        <v>50220</v>
      </c>
      <c r="X6" s="21">
        <v>49850</v>
      </c>
      <c r="Y6" s="21">
        <v>47180</v>
      </c>
      <c r="Z6" s="21">
        <v>47100</v>
      </c>
      <c r="AA6" s="21">
        <v>45000</v>
      </c>
      <c r="AB6" s="21">
        <v>45590</v>
      </c>
      <c r="AC6" s="21">
        <v>41000</v>
      </c>
      <c r="AD6" s="21">
        <v>35660</v>
      </c>
      <c r="AE6" s="21">
        <v>38700</v>
      </c>
      <c r="AF6" s="21">
        <v>40290</v>
      </c>
      <c r="AG6" s="21">
        <v>44010</v>
      </c>
      <c r="AH6" s="21">
        <v>46530</v>
      </c>
      <c r="AI6" s="21">
        <v>49920</v>
      </c>
      <c r="AJ6" s="21">
        <v>53270</v>
      </c>
      <c r="AK6" s="21">
        <v>50150</v>
      </c>
      <c r="AL6" s="21">
        <v>55650</v>
      </c>
      <c r="AM6" s="21">
        <v>50790</v>
      </c>
      <c r="AN6" s="21">
        <v>47460</v>
      </c>
      <c r="AO6" s="21">
        <v>45760</v>
      </c>
      <c r="AP6" s="22">
        <v>43710</v>
      </c>
      <c r="AQ6" s="22">
        <v>47490</v>
      </c>
      <c r="AR6" s="22">
        <v>46100</v>
      </c>
      <c r="AS6" s="22">
        <v>50490</v>
      </c>
      <c r="AT6" s="22">
        <v>49900</v>
      </c>
      <c r="AU6" s="22">
        <v>49840</v>
      </c>
      <c r="AV6" s="22">
        <v>51500</v>
      </c>
      <c r="AW6" s="22">
        <v>52000</v>
      </c>
      <c r="AX6" s="22">
        <v>48000</v>
      </c>
      <c r="AY6" s="22">
        <v>45960</v>
      </c>
      <c r="AZ6" s="22">
        <v>42340</v>
      </c>
      <c r="BA6" s="22">
        <v>41030</v>
      </c>
      <c r="BB6" s="22">
        <v>39890</v>
      </c>
      <c r="BC6" s="22">
        <v>38700</v>
      </c>
      <c r="BD6" s="22">
        <v>38000</v>
      </c>
      <c r="BE6" s="22">
        <v>39000</v>
      </c>
      <c r="BF6" s="22">
        <v>37200</v>
      </c>
      <c r="BG6" s="22">
        <v>35840</v>
      </c>
      <c r="BH6" s="22">
        <v>36210</v>
      </c>
      <c r="BI6" s="22">
        <v>37490</v>
      </c>
      <c r="BJ6" s="22">
        <v>36000</v>
      </c>
      <c r="BK6" s="22">
        <v>39660</v>
      </c>
      <c r="BL6" s="22">
        <v>38450</v>
      </c>
      <c r="BM6" s="1">
        <v>36500</v>
      </c>
      <c r="BN6" s="1">
        <v>35390</v>
      </c>
      <c r="BO6" s="1">
        <v>34320</v>
      </c>
      <c r="BP6" s="1">
        <v>34000</v>
      </c>
    </row>
    <row r="7" spans="1:68" ht="15.9" customHeight="1">
      <c r="A7" s="81" t="s">
        <v>9</v>
      </c>
      <c r="B7" s="17" t="s">
        <v>10</v>
      </c>
      <c r="C7" s="26" t="str">
        <f>_xll.RssMarket("5423","始値")</f>
        <v/>
      </c>
      <c r="D7" s="25" t="e">
        <f t="shared" si="0"/>
        <v>#VALUE!</v>
      </c>
      <c r="E7" s="21">
        <v>1737</v>
      </c>
      <c r="F7" s="21">
        <v>1761</v>
      </c>
      <c r="G7" s="21">
        <v>1704</v>
      </c>
      <c r="H7" s="21">
        <v>1727</v>
      </c>
      <c r="I7" s="21">
        <v>1725</v>
      </c>
      <c r="J7" s="21">
        <v>1745</v>
      </c>
      <c r="K7" s="21">
        <v>1759</v>
      </c>
      <c r="L7" s="21">
        <v>1756</v>
      </c>
      <c r="M7" s="21">
        <v>1757</v>
      </c>
      <c r="N7" s="21">
        <v>1724</v>
      </c>
      <c r="O7" s="21">
        <v>1701</v>
      </c>
      <c r="P7" s="21">
        <v>1685</v>
      </c>
      <c r="Q7" s="21">
        <v>1691</v>
      </c>
      <c r="R7" s="21">
        <v>1689</v>
      </c>
      <c r="S7" s="21">
        <v>1680</v>
      </c>
      <c r="T7" s="21">
        <v>1712</v>
      </c>
      <c r="U7" s="21">
        <v>1724</v>
      </c>
      <c r="V7" s="21">
        <v>1792</v>
      </c>
      <c r="W7" s="21">
        <v>1763</v>
      </c>
      <c r="X7" s="21">
        <v>1759</v>
      </c>
      <c r="Y7" s="21">
        <v>1761</v>
      </c>
      <c r="Z7" s="21">
        <v>1755</v>
      </c>
      <c r="AA7" s="21">
        <v>1741</v>
      </c>
      <c r="AB7" s="21">
        <v>1716</v>
      </c>
      <c r="AC7" s="21">
        <v>1723</v>
      </c>
      <c r="AD7" s="21">
        <v>1663</v>
      </c>
      <c r="AE7" s="21">
        <v>1671</v>
      </c>
      <c r="AF7" s="21">
        <v>1701</v>
      </c>
      <c r="AG7" s="21">
        <v>1695</v>
      </c>
      <c r="AH7" s="21">
        <v>1705</v>
      </c>
      <c r="AI7" s="21">
        <v>1695</v>
      </c>
      <c r="AJ7" s="21">
        <v>1685</v>
      </c>
      <c r="AK7" s="21">
        <v>1712</v>
      </c>
      <c r="AL7" s="21">
        <v>1694</v>
      </c>
      <c r="AM7" s="21">
        <v>1720</v>
      </c>
      <c r="AN7" s="21">
        <v>1747</v>
      </c>
      <c r="AO7" s="21">
        <v>1728</v>
      </c>
      <c r="AP7" s="22">
        <v>1758</v>
      </c>
      <c r="AQ7" s="22">
        <v>1795</v>
      </c>
      <c r="AR7" s="22">
        <v>1821</v>
      </c>
      <c r="AS7" s="22">
        <v>1862</v>
      </c>
      <c r="AT7" s="22">
        <v>1723</v>
      </c>
      <c r="AU7" s="22">
        <v>1680</v>
      </c>
      <c r="AV7" s="22">
        <v>1694</v>
      </c>
      <c r="AW7" s="22">
        <v>1658</v>
      </c>
      <c r="AX7" s="22">
        <v>1703</v>
      </c>
      <c r="AY7" s="22">
        <v>1665</v>
      </c>
      <c r="AZ7" s="22">
        <v>1695</v>
      </c>
      <c r="BA7" s="22">
        <v>1679</v>
      </c>
      <c r="BB7" s="22">
        <v>1679</v>
      </c>
      <c r="BC7" s="22">
        <v>1730</v>
      </c>
      <c r="BD7" s="22">
        <v>1716</v>
      </c>
      <c r="BE7" s="22">
        <v>1786</v>
      </c>
      <c r="BF7" s="22">
        <v>1837</v>
      </c>
      <c r="BG7" s="22">
        <v>1804</v>
      </c>
      <c r="BH7" s="22">
        <v>1795</v>
      </c>
      <c r="BI7" s="22">
        <v>1764</v>
      </c>
      <c r="BJ7" s="22">
        <v>1764</v>
      </c>
      <c r="BK7" s="22">
        <v>1728</v>
      </c>
      <c r="BL7" s="22">
        <v>1720</v>
      </c>
      <c r="BM7" s="1">
        <v>1745</v>
      </c>
      <c r="BN7" s="1">
        <v>1778</v>
      </c>
      <c r="BO7" s="1">
        <v>1818</v>
      </c>
      <c r="BP7" s="1">
        <v>1824</v>
      </c>
    </row>
    <row r="8" spans="1:68" ht="15.9" customHeight="1">
      <c r="A8" s="81" t="s">
        <v>11</v>
      </c>
      <c r="B8" s="17" t="s">
        <v>12</v>
      </c>
      <c r="C8" s="26" t="str">
        <f>_xll.RssMarket("5713","始値")</f>
        <v/>
      </c>
      <c r="D8" s="25" t="e">
        <f t="shared" si="0"/>
        <v>#VALUE!</v>
      </c>
      <c r="E8" s="23">
        <v>6984</v>
      </c>
      <c r="F8" s="23">
        <v>7433</v>
      </c>
      <c r="G8" s="23">
        <v>7142</v>
      </c>
      <c r="H8" s="23">
        <v>7242</v>
      </c>
      <c r="I8" s="23">
        <v>7340</v>
      </c>
      <c r="J8" s="23">
        <v>7234</v>
      </c>
      <c r="K8" s="23">
        <v>7300</v>
      </c>
      <c r="L8" s="23">
        <v>7849</v>
      </c>
      <c r="M8" s="23">
        <v>8000</v>
      </c>
      <c r="N8" s="23">
        <v>7658</v>
      </c>
      <c r="O8" s="23">
        <v>7486</v>
      </c>
      <c r="P8" s="23">
        <v>7470</v>
      </c>
      <c r="Q8" s="23">
        <v>7575</v>
      </c>
      <c r="R8" s="23">
        <v>7615</v>
      </c>
      <c r="S8" s="23">
        <v>7697</v>
      </c>
      <c r="T8" s="23">
        <v>7875</v>
      </c>
      <c r="U8" s="23">
        <v>8199</v>
      </c>
      <c r="V8" s="23">
        <v>8922</v>
      </c>
      <c r="W8" s="23">
        <v>8504</v>
      </c>
      <c r="X8" s="23">
        <v>8990</v>
      </c>
      <c r="Y8" s="23">
        <v>9090</v>
      </c>
      <c r="Z8" s="23">
        <v>8899</v>
      </c>
      <c r="AA8" s="23">
        <v>9340</v>
      </c>
      <c r="AB8" s="23">
        <v>8938</v>
      </c>
      <c r="AC8" s="23">
        <v>8230</v>
      </c>
      <c r="AD8" s="23">
        <v>7625</v>
      </c>
      <c r="AE8" s="23">
        <v>7597</v>
      </c>
      <c r="AF8" s="23">
        <v>8100</v>
      </c>
      <c r="AG8" s="23">
        <v>8690</v>
      </c>
      <c r="AH8" s="23">
        <v>8837</v>
      </c>
      <c r="AI8" s="23">
        <v>9010</v>
      </c>
      <c r="AJ8" s="23">
        <v>8843</v>
      </c>
      <c r="AK8" s="23">
        <v>9145</v>
      </c>
      <c r="AL8" s="23">
        <v>9398</v>
      </c>
      <c r="AM8" s="23">
        <v>10155</v>
      </c>
      <c r="AN8" s="23">
        <v>9789</v>
      </c>
      <c r="AO8" s="23">
        <v>9393</v>
      </c>
      <c r="AP8" s="22">
        <v>9280</v>
      </c>
      <c r="AQ8" s="22">
        <v>9130</v>
      </c>
      <c r="AR8" s="22">
        <v>9520</v>
      </c>
      <c r="AS8" s="22">
        <v>9917</v>
      </c>
      <c r="AT8" s="22">
        <v>10560</v>
      </c>
      <c r="AU8" s="22">
        <v>10860</v>
      </c>
      <c r="AV8" s="22">
        <v>10660</v>
      </c>
      <c r="AW8" s="22">
        <v>10590</v>
      </c>
      <c r="AX8" s="22">
        <v>10750</v>
      </c>
      <c r="AY8" s="22">
        <v>10290</v>
      </c>
      <c r="AZ8" s="22">
        <v>10135</v>
      </c>
      <c r="BA8" s="22">
        <v>9489</v>
      </c>
      <c r="BB8" s="22">
        <v>9431</v>
      </c>
      <c r="BC8" s="22">
        <v>9699</v>
      </c>
      <c r="BD8" s="22">
        <v>10300</v>
      </c>
      <c r="BE8" s="22">
        <v>9996</v>
      </c>
      <c r="BF8" s="22">
        <v>10170</v>
      </c>
      <c r="BG8" s="22">
        <v>10170</v>
      </c>
      <c r="BH8" s="22">
        <v>10780</v>
      </c>
      <c r="BI8" s="22">
        <v>10735</v>
      </c>
      <c r="BJ8" s="22">
        <v>10700</v>
      </c>
      <c r="BK8" s="22">
        <v>10150</v>
      </c>
      <c r="BL8" s="22">
        <v>9894</v>
      </c>
      <c r="BM8" s="1">
        <v>9950</v>
      </c>
      <c r="BN8" s="1">
        <v>10200</v>
      </c>
      <c r="BO8" s="1">
        <v>10200</v>
      </c>
      <c r="BP8" s="1">
        <v>9395</v>
      </c>
    </row>
    <row r="9" spans="1:68" ht="15.9" customHeight="1">
      <c r="A9" s="81" t="s">
        <v>13</v>
      </c>
      <c r="B9" s="17" t="s">
        <v>14</v>
      </c>
      <c r="C9" s="26" t="str">
        <f>_xll.RssMarket("5711","始値")</f>
        <v/>
      </c>
      <c r="D9" s="25" t="e">
        <f t="shared" si="0"/>
        <v>#VALUE!</v>
      </c>
      <c r="E9" s="22">
        <v>4088</v>
      </c>
      <c r="F9" s="22">
        <v>4300</v>
      </c>
      <c r="G9" s="22">
        <v>4033</v>
      </c>
      <c r="H9" s="22">
        <v>4137</v>
      </c>
      <c r="I9" s="22">
        <v>4005</v>
      </c>
      <c r="J9" s="22">
        <v>4044</v>
      </c>
      <c r="K9" s="22">
        <v>4300</v>
      </c>
      <c r="L9" s="22">
        <v>4583</v>
      </c>
      <c r="M9" s="22">
        <v>4564</v>
      </c>
      <c r="N9" s="22">
        <v>4495</v>
      </c>
      <c r="O9" s="22">
        <v>4435</v>
      </c>
      <c r="P9" s="22">
        <v>4385</v>
      </c>
      <c r="Q9" s="22">
        <v>4366</v>
      </c>
      <c r="R9" s="22">
        <v>4318</v>
      </c>
      <c r="S9" s="22">
        <v>4447</v>
      </c>
      <c r="T9" s="22">
        <v>4616</v>
      </c>
      <c r="U9" s="22">
        <v>4606</v>
      </c>
      <c r="V9" s="22">
        <v>4950</v>
      </c>
      <c r="W9" s="22">
        <v>4836</v>
      </c>
      <c r="X9" s="22">
        <v>4903</v>
      </c>
      <c r="Y9" s="22">
        <v>4839</v>
      </c>
      <c r="Z9" s="22">
        <v>4870</v>
      </c>
      <c r="AA9" s="22">
        <v>5050</v>
      </c>
      <c r="AB9" s="22">
        <v>4902</v>
      </c>
      <c r="AC9" s="22">
        <v>4583</v>
      </c>
      <c r="AD9" s="22">
        <v>4400</v>
      </c>
      <c r="AE9" s="22">
        <v>4466</v>
      </c>
      <c r="AF9" s="22">
        <v>4750</v>
      </c>
      <c r="AG9" s="22">
        <v>4931</v>
      </c>
      <c r="AH9" s="22">
        <v>5065</v>
      </c>
      <c r="AI9" s="22">
        <v>5150</v>
      </c>
      <c r="AJ9" s="22">
        <v>5027</v>
      </c>
      <c r="AK9" s="22">
        <v>5228</v>
      </c>
      <c r="AL9" s="22">
        <v>5171</v>
      </c>
      <c r="AM9" s="22">
        <v>5448</v>
      </c>
      <c r="AN9" s="22">
        <v>5157</v>
      </c>
      <c r="AO9" s="22">
        <v>5050</v>
      </c>
      <c r="AP9" s="22">
        <v>4829</v>
      </c>
      <c r="AQ9" s="22">
        <v>4848</v>
      </c>
      <c r="AR9" s="22">
        <v>5000</v>
      </c>
      <c r="AS9" s="22">
        <v>5250</v>
      </c>
      <c r="AT9" s="22">
        <v>5363</v>
      </c>
      <c r="AU9" s="22">
        <v>5646</v>
      </c>
      <c r="AV9" s="22">
        <v>5850</v>
      </c>
      <c r="AW9" s="22">
        <v>5657</v>
      </c>
      <c r="AX9" s="22">
        <v>5628</v>
      </c>
      <c r="AY9" s="22">
        <v>5325</v>
      </c>
      <c r="AZ9" s="22">
        <v>5320</v>
      </c>
      <c r="BA9" s="22">
        <v>5143</v>
      </c>
      <c r="BB9" s="22">
        <v>5082</v>
      </c>
      <c r="BC9" s="22">
        <v>5183</v>
      </c>
      <c r="BD9" s="22">
        <v>5284</v>
      </c>
      <c r="BE9" s="22">
        <v>5393</v>
      </c>
      <c r="BF9" s="22">
        <v>5450</v>
      </c>
      <c r="BG9" s="22">
        <v>5550</v>
      </c>
      <c r="BH9" s="22">
        <v>5588</v>
      </c>
      <c r="BI9" s="22">
        <v>5701</v>
      </c>
      <c r="BJ9" s="22">
        <v>5728</v>
      </c>
      <c r="BK9" s="22">
        <v>5788</v>
      </c>
      <c r="BL9" s="22">
        <v>5590</v>
      </c>
      <c r="BM9" s="1">
        <v>5500</v>
      </c>
      <c r="BN9" s="1">
        <v>5577</v>
      </c>
      <c r="BO9" s="1">
        <v>5637</v>
      </c>
      <c r="BP9" s="1">
        <v>5455</v>
      </c>
    </row>
    <row r="10" spans="1:68" ht="15.9" customHeight="1">
      <c r="A10" s="81" t="s">
        <v>15</v>
      </c>
      <c r="B10" s="17" t="s">
        <v>16</v>
      </c>
      <c r="C10" s="26" t="str">
        <f>_xll.RssMarket("5714","始値")</f>
        <v/>
      </c>
      <c r="D10" s="25" t="e">
        <f t="shared" si="0"/>
        <v>#VALUE!</v>
      </c>
      <c r="E10" s="22">
        <v>8165</v>
      </c>
      <c r="F10" s="22">
        <v>8472</v>
      </c>
      <c r="G10" s="22">
        <v>8268</v>
      </c>
      <c r="H10" s="22">
        <v>8450</v>
      </c>
      <c r="I10" s="22">
        <v>8425</v>
      </c>
      <c r="J10" s="22">
        <v>8313</v>
      </c>
      <c r="K10" s="22">
        <v>8473</v>
      </c>
      <c r="L10" s="22">
        <v>8824</v>
      </c>
      <c r="M10" s="22">
        <v>8900</v>
      </c>
      <c r="N10" s="22">
        <v>8828</v>
      </c>
      <c r="O10" s="22">
        <v>8649</v>
      </c>
      <c r="P10" s="22">
        <v>8603</v>
      </c>
      <c r="Q10" s="22">
        <v>8825</v>
      </c>
      <c r="R10" s="22">
        <v>8824</v>
      </c>
      <c r="S10" s="22">
        <v>8700</v>
      </c>
      <c r="T10" s="22">
        <v>8971</v>
      </c>
      <c r="U10" s="22">
        <v>9059</v>
      </c>
      <c r="V10" s="22">
        <v>9730</v>
      </c>
      <c r="W10" s="22">
        <v>9480</v>
      </c>
      <c r="X10" s="22">
        <v>9566</v>
      </c>
      <c r="Y10" s="22">
        <v>9799</v>
      </c>
      <c r="Z10" s="22">
        <v>9770</v>
      </c>
      <c r="AA10" s="22">
        <v>9904</v>
      </c>
      <c r="AB10" s="22">
        <v>9677</v>
      </c>
      <c r="AC10" s="22">
        <v>9225</v>
      </c>
      <c r="AD10" s="22">
        <v>8847</v>
      </c>
      <c r="AE10" s="22">
        <v>8954</v>
      </c>
      <c r="AF10" s="22">
        <v>9650</v>
      </c>
      <c r="AG10" s="22">
        <v>10105</v>
      </c>
      <c r="AH10" s="22">
        <v>10090</v>
      </c>
      <c r="AI10" s="22">
        <v>10490</v>
      </c>
      <c r="AJ10" s="22">
        <v>10275</v>
      </c>
      <c r="AK10" s="22">
        <v>10635</v>
      </c>
      <c r="AL10" s="22">
        <v>10600</v>
      </c>
      <c r="AM10" s="22">
        <v>11000</v>
      </c>
      <c r="AN10" s="22">
        <v>10775</v>
      </c>
      <c r="AO10" s="22">
        <v>10400</v>
      </c>
      <c r="AP10" s="22">
        <v>10305</v>
      </c>
      <c r="AQ10" s="22">
        <v>10220</v>
      </c>
      <c r="AR10" s="22">
        <v>11110</v>
      </c>
      <c r="AS10" s="22">
        <v>11515</v>
      </c>
      <c r="AT10" s="22">
        <v>11885</v>
      </c>
      <c r="AU10" s="22">
        <v>10550</v>
      </c>
      <c r="AV10" s="22">
        <v>10205</v>
      </c>
      <c r="AW10" s="22">
        <v>10465</v>
      </c>
      <c r="AX10" s="22">
        <v>10365</v>
      </c>
      <c r="AY10" s="22">
        <v>9965</v>
      </c>
      <c r="AZ10" s="22">
        <v>9620</v>
      </c>
      <c r="BA10" s="22">
        <v>9538</v>
      </c>
      <c r="BB10" s="22">
        <v>9504</v>
      </c>
      <c r="BC10" s="22">
        <v>9546</v>
      </c>
      <c r="BD10" s="22">
        <v>9525</v>
      </c>
      <c r="BE10" s="22">
        <v>9651</v>
      </c>
      <c r="BF10" s="22">
        <v>9849</v>
      </c>
      <c r="BG10" s="22">
        <v>9822</v>
      </c>
      <c r="BH10" s="22">
        <v>9914</v>
      </c>
      <c r="BI10" s="22">
        <v>10005</v>
      </c>
      <c r="BJ10" s="22">
        <v>10190</v>
      </c>
      <c r="BK10" s="22">
        <v>10115</v>
      </c>
      <c r="BL10" s="22">
        <v>10285</v>
      </c>
      <c r="BM10" s="1">
        <v>9827</v>
      </c>
      <c r="BN10" s="1">
        <v>9688</v>
      </c>
      <c r="BO10" s="1">
        <v>9832</v>
      </c>
      <c r="BP10" s="1">
        <v>9900</v>
      </c>
    </row>
    <row r="11" spans="1:68" ht="15.9" customHeight="1">
      <c r="A11" s="81" t="s">
        <v>17</v>
      </c>
      <c r="B11" s="17" t="s">
        <v>18</v>
      </c>
      <c r="C11" s="26" t="str">
        <f>_xll.RssMarket("6701","始値")</f>
        <v/>
      </c>
      <c r="D11" s="25" t="e">
        <f t="shared" si="0"/>
        <v>#VALUE!</v>
      </c>
      <c r="E11" s="22">
        <v>4371</v>
      </c>
      <c r="F11" s="22">
        <v>4267</v>
      </c>
      <c r="G11" s="22">
        <v>4365</v>
      </c>
      <c r="H11" s="22">
        <v>4300</v>
      </c>
      <c r="I11" s="22">
        <v>4334</v>
      </c>
      <c r="J11" s="22">
        <v>4269</v>
      </c>
      <c r="K11" s="22">
        <v>4397</v>
      </c>
      <c r="L11" s="22">
        <v>4302</v>
      </c>
      <c r="M11" s="22">
        <v>4238</v>
      </c>
      <c r="N11" s="22">
        <v>4293</v>
      </c>
      <c r="O11" s="22">
        <v>4217</v>
      </c>
      <c r="P11" s="22">
        <v>3950</v>
      </c>
      <c r="Q11" s="22">
        <v>4045</v>
      </c>
      <c r="R11" s="22">
        <v>3919</v>
      </c>
      <c r="S11" s="22">
        <v>3700</v>
      </c>
      <c r="T11" s="22">
        <v>3804</v>
      </c>
      <c r="U11" s="22">
        <v>3753</v>
      </c>
      <c r="V11" s="22">
        <v>3706</v>
      </c>
      <c r="W11" s="22">
        <v>3750</v>
      </c>
      <c r="X11" s="22">
        <v>3775</v>
      </c>
      <c r="Y11" s="22">
        <v>3874</v>
      </c>
      <c r="Z11" s="22">
        <v>3877</v>
      </c>
      <c r="AA11" s="22">
        <v>3803</v>
      </c>
      <c r="AB11" s="22">
        <v>3912</v>
      </c>
      <c r="AC11" s="22">
        <v>3994</v>
      </c>
      <c r="AD11" s="22">
        <v>3979</v>
      </c>
      <c r="AE11" s="22">
        <v>4079</v>
      </c>
      <c r="AF11" s="22">
        <v>4152</v>
      </c>
      <c r="AG11" s="22">
        <v>4265</v>
      </c>
      <c r="AH11" s="22">
        <v>4203</v>
      </c>
      <c r="AI11" s="22">
        <v>4306</v>
      </c>
      <c r="AJ11" s="22">
        <v>4469</v>
      </c>
      <c r="AK11" s="22">
        <v>4145</v>
      </c>
      <c r="AL11" s="22">
        <v>4148</v>
      </c>
      <c r="AM11" s="22">
        <v>4002</v>
      </c>
      <c r="AN11" s="22">
        <v>4100</v>
      </c>
      <c r="AO11" s="22">
        <v>4121</v>
      </c>
      <c r="AP11" s="22">
        <v>4151</v>
      </c>
      <c r="AQ11" s="22">
        <v>4308</v>
      </c>
      <c r="AR11" s="22">
        <v>4280</v>
      </c>
      <c r="AS11" s="22">
        <v>4110</v>
      </c>
      <c r="AT11" s="22">
        <v>4109</v>
      </c>
      <c r="AU11" s="22">
        <v>4103</v>
      </c>
      <c r="AV11" s="22">
        <v>4330</v>
      </c>
      <c r="AW11" s="22">
        <v>4106</v>
      </c>
      <c r="AX11" s="22">
        <v>4137</v>
      </c>
      <c r="AY11" s="22">
        <v>4131</v>
      </c>
      <c r="AZ11" s="22">
        <v>4010</v>
      </c>
      <c r="BA11" s="22">
        <v>4069</v>
      </c>
      <c r="BB11" s="22">
        <v>4196</v>
      </c>
      <c r="BC11" s="22">
        <v>4680</v>
      </c>
      <c r="BD11" s="22">
        <v>4476</v>
      </c>
      <c r="BE11" s="22">
        <v>4416</v>
      </c>
      <c r="BF11" s="22">
        <v>4467</v>
      </c>
      <c r="BG11" s="22">
        <v>4390</v>
      </c>
      <c r="BH11" s="22">
        <v>4331</v>
      </c>
      <c r="BI11" s="22">
        <v>4375</v>
      </c>
      <c r="BJ11" s="22">
        <v>4410</v>
      </c>
      <c r="BK11" s="22">
        <v>4185</v>
      </c>
      <c r="BL11" s="22">
        <v>4048</v>
      </c>
      <c r="BM11" s="1">
        <v>3800</v>
      </c>
      <c r="BN11" s="1">
        <v>3978</v>
      </c>
      <c r="BO11" s="1">
        <v>4130</v>
      </c>
      <c r="BP11" s="1">
        <v>4196</v>
      </c>
    </row>
    <row r="12" spans="1:68" ht="15.9" customHeight="1">
      <c r="A12" s="81" t="s">
        <v>19</v>
      </c>
      <c r="B12" s="17" t="s">
        <v>20</v>
      </c>
      <c r="C12" s="26" t="str">
        <f>_xll.RssMarket("1605","始値")</f>
        <v/>
      </c>
      <c r="D12" s="25" t="e">
        <f t="shared" si="0"/>
        <v>#VALUE!</v>
      </c>
      <c r="E12" s="22">
        <v>3440</v>
      </c>
      <c r="F12" s="22">
        <v>3491</v>
      </c>
      <c r="G12" s="22">
        <v>3455</v>
      </c>
      <c r="H12" s="22">
        <v>3384</v>
      </c>
      <c r="I12" s="22">
        <v>3400</v>
      </c>
      <c r="J12" s="22">
        <v>3457</v>
      </c>
      <c r="K12" s="22">
        <v>3350</v>
      </c>
      <c r="L12" s="22">
        <v>3327</v>
      </c>
      <c r="M12" s="22">
        <v>3242</v>
      </c>
      <c r="N12" s="22">
        <v>3235</v>
      </c>
      <c r="O12" s="22">
        <v>3206</v>
      </c>
      <c r="P12" s="22">
        <v>3293</v>
      </c>
      <c r="Q12" s="22">
        <v>3284</v>
      </c>
      <c r="R12" s="22">
        <v>3317</v>
      </c>
      <c r="S12" s="22">
        <v>3333</v>
      </c>
      <c r="T12" s="22">
        <v>3410</v>
      </c>
      <c r="U12" s="22">
        <v>3455</v>
      </c>
      <c r="V12" s="22">
        <v>3454</v>
      </c>
      <c r="W12" s="22">
        <v>3500</v>
      </c>
      <c r="X12" s="22">
        <v>3407</v>
      </c>
      <c r="Y12" s="22">
        <v>3442</v>
      </c>
      <c r="Z12" s="22">
        <v>3328</v>
      </c>
      <c r="AA12" s="22">
        <v>3467</v>
      </c>
      <c r="AB12" s="22">
        <v>3559</v>
      </c>
      <c r="AC12" s="22">
        <v>3554</v>
      </c>
      <c r="AD12" s="22">
        <v>3587</v>
      </c>
      <c r="AE12" s="22">
        <v>3537</v>
      </c>
      <c r="AF12" s="22">
        <v>3657</v>
      </c>
      <c r="AG12" s="22">
        <v>3650</v>
      </c>
      <c r="AH12" s="22">
        <v>3646</v>
      </c>
      <c r="AI12" s="22">
        <v>3684</v>
      </c>
      <c r="AJ12" s="22">
        <v>3470</v>
      </c>
      <c r="AK12" s="22">
        <v>3605</v>
      </c>
      <c r="AL12" s="22">
        <v>3600</v>
      </c>
      <c r="AM12" s="22">
        <v>3650</v>
      </c>
      <c r="AN12" s="22">
        <v>3757</v>
      </c>
      <c r="AO12" s="22">
        <v>3821</v>
      </c>
      <c r="AP12" s="22">
        <v>3868</v>
      </c>
      <c r="AQ12" s="22">
        <v>3970</v>
      </c>
      <c r="AR12" s="22">
        <v>3972</v>
      </c>
      <c r="AS12" s="22">
        <v>3967</v>
      </c>
      <c r="AT12" s="22">
        <v>3864</v>
      </c>
      <c r="AU12" s="22">
        <v>4000</v>
      </c>
      <c r="AV12" s="22">
        <v>3973</v>
      </c>
      <c r="AW12" s="22">
        <v>3915</v>
      </c>
      <c r="AX12" s="22">
        <v>3788</v>
      </c>
      <c r="AY12" s="22">
        <v>3803</v>
      </c>
      <c r="AZ12" s="22">
        <v>3856</v>
      </c>
      <c r="BA12" s="22">
        <v>4131</v>
      </c>
      <c r="BB12" s="22">
        <v>4173</v>
      </c>
      <c r="BC12" s="22">
        <v>3994</v>
      </c>
      <c r="BD12" s="22">
        <v>3984</v>
      </c>
      <c r="BE12" s="22">
        <v>4000</v>
      </c>
      <c r="BF12" s="22">
        <v>3856</v>
      </c>
      <c r="BG12" s="22">
        <v>3900</v>
      </c>
      <c r="BH12" s="22">
        <v>3881</v>
      </c>
      <c r="BI12" s="22">
        <v>3915</v>
      </c>
      <c r="BJ12" s="22">
        <v>3997</v>
      </c>
      <c r="BK12" s="22">
        <v>4035</v>
      </c>
      <c r="BL12" s="22">
        <v>4125</v>
      </c>
      <c r="BM12" s="1">
        <v>4209</v>
      </c>
      <c r="BN12" s="1">
        <v>4354</v>
      </c>
      <c r="BO12" s="1">
        <v>4247</v>
      </c>
      <c r="BP12" s="1">
        <v>4271</v>
      </c>
    </row>
    <row r="13" spans="1:68" ht="15.9" customHeight="1">
      <c r="A13" s="81" t="s">
        <v>21</v>
      </c>
      <c r="B13" s="17" t="s">
        <v>22</v>
      </c>
      <c r="C13" s="26" t="str">
        <f>_xll.RssMarket("5703","始値")</f>
        <v/>
      </c>
      <c r="D13" s="25" t="e">
        <f t="shared" si="0"/>
        <v>#VALUE!</v>
      </c>
      <c r="E13" s="22">
        <v>2690</v>
      </c>
      <c r="F13" s="22">
        <v>2798</v>
      </c>
      <c r="G13" s="22">
        <v>2675</v>
      </c>
      <c r="H13" s="22">
        <v>2711</v>
      </c>
      <c r="I13" s="22">
        <v>2662</v>
      </c>
      <c r="J13" s="22">
        <v>2636</v>
      </c>
      <c r="K13" s="22">
        <v>2680</v>
      </c>
      <c r="L13" s="22">
        <v>2752</v>
      </c>
      <c r="M13" s="22">
        <v>2779</v>
      </c>
      <c r="N13" s="22">
        <v>2726</v>
      </c>
      <c r="O13" s="22">
        <v>2735</v>
      </c>
      <c r="P13" s="22">
        <v>2745</v>
      </c>
      <c r="Q13" s="22">
        <v>2825</v>
      </c>
      <c r="R13" s="22">
        <v>2843</v>
      </c>
      <c r="S13" s="22">
        <v>2835</v>
      </c>
      <c r="T13" s="22">
        <v>2870</v>
      </c>
      <c r="U13" s="22">
        <v>2923</v>
      </c>
      <c r="V13" s="22">
        <v>3015</v>
      </c>
      <c r="W13" s="22">
        <v>2997</v>
      </c>
      <c r="X13" s="22">
        <v>2971</v>
      </c>
      <c r="Y13" s="22">
        <v>2960</v>
      </c>
      <c r="Z13" s="22">
        <v>3035</v>
      </c>
      <c r="AA13" s="22">
        <v>3060</v>
      </c>
      <c r="AB13" s="22">
        <v>3110</v>
      </c>
      <c r="AC13" s="22">
        <v>3080</v>
      </c>
      <c r="AD13" s="22">
        <v>2927</v>
      </c>
      <c r="AE13" s="22">
        <v>3090</v>
      </c>
      <c r="AF13" s="22">
        <v>3160</v>
      </c>
      <c r="AG13" s="22">
        <v>3195</v>
      </c>
      <c r="AH13" s="22">
        <v>3230</v>
      </c>
      <c r="AI13" s="22">
        <v>3235</v>
      </c>
      <c r="AJ13" s="22">
        <v>3105</v>
      </c>
      <c r="AK13" s="22">
        <v>3230</v>
      </c>
      <c r="AL13" s="22">
        <v>3155</v>
      </c>
      <c r="AM13" s="22">
        <v>3290</v>
      </c>
      <c r="AN13" s="22">
        <v>3190</v>
      </c>
      <c r="AO13" s="22">
        <v>3100</v>
      </c>
      <c r="AP13" s="22">
        <v>3120</v>
      </c>
      <c r="AQ13" s="22">
        <v>3045</v>
      </c>
      <c r="AR13" s="22">
        <v>3140</v>
      </c>
      <c r="AS13" s="22">
        <v>3065</v>
      </c>
      <c r="AT13" s="22">
        <v>3050</v>
      </c>
      <c r="AU13" s="22">
        <v>2969</v>
      </c>
      <c r="AV13" s="22">
        <v>2939</v>
      </c>
      <c r="AW13" s="22">
        <v>2928</v>
      </c>
      <c r="AX13" s="22">
        <v>2956</v>
      </c>
      <c r="AY13" s="22">
        <v>2854</v>
      </c>
      <c r="AZ13" s="22">
        <v>2899</v>
      </c>
      <c r="BA13" s="22">
        <v>2703</v>
      </c>
      <c r="BB13" s="22">
        <v>2834</v>
      </c>
      <c r="BC13" s="22">
        <v>2876</v>
      </c>
      <c r="BD13" s="22">
        <v>2876</v>
      </c>
      <c r="BE13" s="22">
        <v>2847</v>
      </c>
      <c r="BF13" s="22">
        <v>2915</v>
      </c>
      <c r="BG13" s="22">
        <v>2939</v>
      </c>
      <c r="BH13" s="22">
        <v>3025</v>
      </c>
      <c r="BI13" s="22">
        <v>2999</v>
      </c>
      <c r="BJ13" s="22">
        <v>3020</v>
      </c>
      <c r="BK13" s="22">
        <v>3030</v>
      </c>
      <c r="BL13" s="22">
        <v>3070</v>
      </c>
      <c r="BM13" s="1">
        <v>3030</v>
      </c>
      <c r="BN13" s="1">
        <v>2981</v>
      </c>
      <c r="BO13" s="1">
        <v>2998</v>
      </c>
      <c r="BP13" s="1">
        <v>2988</v>
      </c>
    </row>
    <row r="14" spans="1:68" ht="15.9" customHeight="1">
      <c r="A14" s="81" t="s">
        <v>23</v>
      </c>
      <c r="B14" s="17" t="s">
        <v>24</v>
      </c>
      <c r="C14" s="26" t="str">
        <f>_xll.RssMarket("8002","始値")</f>
        <v/>
      </c>
      <c r="D14" s="25" t="e">
        <f t="shared" si="0"/>
        <v>#VALUE!</v>
      </c>
      <c r="E14" s="22">
        <v>5080</v>
      </c>
      <c r="F14" s="22">
        <v>5000</v>
      </c>
      <c r="G14" s="22">
        <v>4890</v>
      </c>
      <c r="H14" s="22">
        <v>4949</v>
      </c>
      <c r="I14" s="22">
        <v>4904</v>
      </c>
      <c r="J14" s="22">
        <v>4900</v>
      </c>
      <c r="K14" s="22">
        <v>5033</v>
      </c>
      <c r="L14" s="22">
        <v>5096</v>
      </c>
      <c r="M14" s="22">
        <v>4997</v>
      </c>
      <c r="N14" s="22">
        <v>4866</v>
      </c>
      <c r="O14" s="22">
        <v>4789</v>
      </c>
      <c r="P14" s="22">
        <v>4695</v>
      </c>
      <c r="Q14" s="22">
        <v>4710</v>
      </c>
      <c r="R14" s="22">
        <v>4792</v>
      </c>
      <c r="S14" s="22">
        <v>4630</v>
      </c>
      <c r="T14" s="22">
        <v>4757</v>
      </c>
      <c r="U14" s="22">
        <v>4790</v>
      </c>
      <c r="V14" s="22">
        <v>4947</v>
      </c>
      <c r="W14" s="22">
        <v>4868</v>
      </c>
      <c r="X14" s="22">
        <v>4850</v>
      </c>
      <c r="Y14" s="22">
        <v>4949</v>
      </c>
      <c r="Z14" s="22">
        <v>4981</v>
      </c>
      <c r="AA14" s="22">
        <v>5023</v>
      </c>
      <c r="AB14" s="22">
        <v>5009</v>
      </c>
      <c r="AC14" s="22">
        <v>4869</v>
      </c>
      <c r="AD14" s="22">
        <v>4780</v>
      </c>
      <c r="AE14" s="22">
        <v>4850</v>
      </c>
      <c r="AF14" s="22">
        <v>4960</v>
      </c>
      <c r="AG14" s="22">
        <v>5018</v>
      </c>
      <c r="AH14" s="22">
        <v>4997</v>
      </c>
      <c r="AI14" s="22">
        <v>4899</v>
      </c>
      <c r="AJ14" s="22">
        <v>4848</v>
      </c>
      <c r="AK14" s="22">
        <v>5180</v>
      </c>
      <c r="AL14" s="22">
        <v>5170</v>
      </c>
      <c r="AM14" s="22">
        <v>5348</v>
      </c>
      <c r="AN14" s="22">
        <v>5271</v>
      </c>
      <c r="AO14" s="22">
        <v>5331</v>
      </c>
      <c r="AP14" s="22">
        <v>5467</v>
      </c>
      <c r="AQ14" s="22">
        <v>5451</v>
      </c>
      <c r="AR14" s="22">
        <v>5706</v>
      </c>
      <c r="AS14" s="22">
        <v>5806</v>
      </c>
      <c r="AT14" s="22">
        <v>5922</v>
      </c>
      <c r="AU14" s="22">
        <v>5884</v>
      </c>
      <c r="AV14" s="22">
        <v>5555</v>
      </c>
      <c r="AW14" s="22">
        <v>5433</v>
      </c>
      <c r="AX14" s="22">
        <v>5356</v>
      </c>
      <c r="AY14" s="22">
        <v>5493</v>
      </c>
      <c r="AZ14" s="22">
        <v>5655</v>
      </c>
      <c r="BA14" s="22">
        <v>6146</v>
      </c>
      <c r="BB14" s="22">
        <v>6080</v>
      </c>
      <c r="BC14" s="22">
        <v>6010</v>
      </c>
      <c r="BD14" s="22">
        <v>5903</v>
      </c>
      <c r="BE14" s="22">
        <v>6003</v>
      </c>
      <c r="BF14" s="22">
        <v>5867</v>
      </c>
      <c r="BG14" s="22">
        <v>5956</v>
      </c>
      <c r="BH14" s="22">
        <v>5874</v>
      </c>
      <c r="BI14" s="22">
        <v>5950</v>
      </c>
      <c r="BJ14" s="22">
        <v>6040</v>
      </c>
      <c r="BK14" s="22">
        <v>5903</v>
      </c>
      <c r="BL14" s="22">
        <v>6000</v>
      </c>
      <c r="BM14" s="1">
        <v>6000</v>
      </c>
      <c r="BN14" s="1">
        <v>5946</v>
      </c>
      <c r="BO14" s="1">
        <v>6047</v>
      </c>
      <c r="BP14" s="1">
        <v>6116</v>
      </c>
    </row>
    <row r="15" spans="1:68" ht="15.9" customHeight="1">
      <c r="A15" s="81" t="s">
        <v>25</v>
      </c>
      <c r="B15" s="17" t="s">
        <v>26</v>
      </c>
      <c r="C15" s="26" t="str">
        <f>_xll.RssMarket("5021","始値")</f>
        <v/>
      </c>
      <c r="D15" s="25" t="e">
        <f t="shared" si="0"/>
        <v>#VALUE!</v>
      </c>
      <c r="E15" s="22">
        <v>3804</v>
      </c>
      <c r="F15" s="22">
        <v>3877</v>
      </c>
      <c r="G15" s="22">
        <v>3875</v>
      </c>
      <c r="H15" s="22">
        <v>3892</v>
      </c>
      <c r="I15" s="22">
        <v>3876</v>
      </c>
      <c r="J15" s="22">
        <v>3895</v>
      </c>
      <c r="K15" s="22">
        <v>3880</v>
      </c>
      <c r="L15" s="22">
        <v>3997</v>
      </c>
      <c r="M15" s="22">
        <v>3920</v>
      </c>
      <c r="N15" s="22">
        <v>3856</v>
      </c>
      <c r="O15" s="22">
        <v>3850</v>
      </c>
      <c r="P15" s="22">
        <v>3828</v>
      </c>
      <c r="Q15" s="22">
        <v>3842</v>
      </c>
      <c r="R15" s="22">
        <v>3736</v>
      </c>
      <c r="S15" s="22">
        <v>3715</v>
      </c>
      <c r="T15" s="22">
        <v>3800</v>
      </c>
      <c r="U15" s="22">
        <v>3683</v>
      </c>
      <c r="V15" s="22">
        <v>3738</v>
      </c>
      <c r="W15" s="22">
        <v>3775</v>
      </c>
      <c r="X15" s="22">
        <v>3750</v>
      </c>
      <c r="Y15" s="22">
        <v>3680</v>
      </c>
      <c r="Z15" s="22">
        <v>3690</v>
      </c>
      <c r="AA15" s="22">
        <v>3630</v>
      </c>
      <c r="AB15" s="22">
        <v>3530</v>
      </c>
      <c r="AC15" s="22">
        <v>3511</v>
      </c>
      <c r="AD15" s="22">
        <v>3500</v>
      </c>
      <c r="AE15" s="22">
        <v>3545</v>
      </c>
      <c r="AF15" s="22">
        <v>3655</v>
      </c>
      <c r="AG15" s="22">
        <v>3778</v>
      </c>
      <c r="AH15" s="22">
        <v>3720</v>
      </c>
      <c r="AI15" s="22">
        <v>3666</v>
      </c>
      <c r="AJ15" s="22">
        <v>3700</v>
      </c>
      <c r="AK15" s="22">
        <v>3676</v>
      </c>
      <c r="AL15" s="22">
        <v>3640</v>
      </c>
      <c r="AM15" s="22">
        <v>3728</v>
      </c>
      <c r="AN15" s="22">
        <v>3698</v>
      </c>
      <c r="AO15" s="22">
        <v>3740</v>
      </c>
      <c r="AP15" s="22">
        <v>3774</v>
      </c>
      <c r="AQ15" s="22">
        <v>3799</v>
      </c>
      <c r="AR15" s="22">
        <v>3842</v>
      </c>
      <c r="AS15" s="22">
        <v>3872</v>
      </c>
      <c r="AT15" s="22">
        <v>3763</v>
      </c>
      <c r="AU15" s="22">
        <v>3899</v>
      </c>
      <c r="AV15" s="22">
        <v>3958</v>
      </c>
      <c r="AW15" s="22">
        <v>3936</v>
      </c>
      <c r="AX15" s="22">
        <v>3909</v>
      </c>
      <c r="AY15" s="22">
        <v>3865</v>
      </c>
      <c r="AZ15" s="22">
        <v>3980</v>
      </c>
      <c r="BA15" s="22">
        <v>3987</v>
      </c>
      <c r="BB15" s="22">
        <v>3949</v>
      </c>
      <c r="BC15" s="22">
        <v>3936</v>
      </c>
      <c r="BD15" s="22">
        <v>4023</v>
      </c>
      <c r="BE15" s="22">
        <v>3932</v>
      </c>
      <c r="BF15" s="22">
        <v>4229</v>
      </c>
      <c r="BG15" s="22">
        <v>4288</v>
      </c>
      <c r="BH15" s="22">
        <v>4316</v>
      </c>
      <c r="BI15" s="22">
        <v>4398</v>
      </c>
      <c r="BJ15" s="22">
        <v>4393</v>
      </c>
      <c r="BK15" s="22">
        <v>4360</v>
      </c>
      <c r="BL15" s="22">
        <v>4352</v>
      </c>
      <c r="BM15" s="1">
        <v>4461</v>
      </c>
      <c r="BN15" s="1">
        <v>4501</v>
      </c>
      <c r="BO15" s="1">
        <v>4503</v>
      </c>
      <c r="BP15" s="1">
        <v>4541</v>
      </c>
    </row>
    <row r="16" spans="1:68" ht="15.9" customHeight="1">
      <c r="A16" s="81" t="s">
        <v>27</v>
      </c>
      <c r="B16" s="17" t="s">
        <v>28</v>
      </c>
      <c r="C16" s="26" t="str">
        <f>_xll.RssMarket("8058","始値")</f>
        <v/>
      </c>
      <c r="D16" s="25" t="e">
        <f t="shared" si="0"/>
        <v>#VALUE!</v>
      </c>
      <c r="E16" s="22">
        <v>4524</v>
      </c>
      <c r="F16" s="22">
        <v>4548</v>
      </c>
      <c r="G16" s="22">
        <v>4480</v>
      </c>
      <c r="H16" s="22">
        <v>4479</v>
      </c>
      <c r="I16" s="22">
        <v>4441</v>
      </c>
      <c r="J16" s="22">
        <v>4459</v>
      </c>
      <c r="K16" s="22">
        <v>4538</v>
      </c>
      <c r="L16" s="22">
        <v>4585</v>
      </c>
      <c r="M16" s="22">
        <v>4493</v>
      </c>
      <c r="N16" s="22">
        <v>4492</v>
      </c>
      <c r="O16" s="22">
        <v>4454</v>
      </c>
      <c r="P16" s="22">
        <v>4370</v>
      </c>
      <c r="Q16" s="22">
        <v>4388</v>
      </c>
      <c r="R16" s="22">
        <v>4440</v>
      </c>
      <c r="S16" s="22">
        <v>4424</v>
      </c>
      <c r="T16" s="22">
        <v>4584</v>
      </c>
      <c r="U16" s="22">
        <v>4585</v>
      </c>
      <c r="V16" s="22">
        <v>4636</v>
      </c>
      <c r="W16" s="22">
        <v>4540</v>
      </c>
      <c r="X16" s="22">
        <v>4510</v>
      </c>
      <c r="Y16" s="22">
        <v>4651</v>
      </c>
      <c r="Z16" s="22">
        <v>4628</v>
      </c>
      <c r="AA16" s="22">
        <v>4731</v>
      </c>
      <c r="AB16" s="22">
        <v>4765</v>
      </c>
      <c r="AC16" s="22">
        <v>4627</v>
      </c>
      <c r="AD16" s="22">
        <v>4583</v>
      </c>
      <c r="AE16" s="22">
        <v>4750</v>
      </c>
      <c r="AF16" s="22">
        <v>4824</v>
      </c>
      <c r="AG16" s="22">
        <v>4919</v>
      </c>
      <c r="AH16" s="22">
        <v>4984</v>
      </c>
      <c r="AI16" s="22">
        <v>4974</v>
      </c>
      <c r="AJ16" s="22">
        <v>4865</v>
      </c>
      <c r="AK16" s="22">
        <v>5000</v>
      </c>
      <c r="AL16" s="22">
        <v>5067</v>
      </c>
      <c r="AM16" s="22">
        <v>5182</v>
      </c>
      <c r="AN16" s="22">
        <v>5400</v>
      </c>
      <c r="AO16" s="22">
        <v>5411</v>
      </c>
      <c r="AP16" s="22">
        <v>5501</v>
      </c>
      <c r="AQ16" s="22">
        <v>5527</v>
      </c>
      <c r="AR16" s="22">
        <v>5508</v>
      </c>
      <c r="AS16" s="22">
        <v>5799</v>
      </c>
      <c r="AT16" s="22">
        <v>5879</v>
      </c>
      <c r="AU16" s="22">
        <v>5935</v>
      </c>
      <c r="AV16" s="22">
        <v>5684</v>
      </c>
      <c r="AW16" s="22">
        <v>5320</v>
      </c>
      <c r="AX16" s="22">
        <v>5293</v>
      </c>
      <c r="AY16" s="22">
        <v>5348</v>
      </c>
      <c r="AZ16" s="22">
        <v>5119</v>
      </c>
      <c r="BA16" s="22">
        <v>4991</v>
      </c>
      <c r="BB16" s="22">
        <v>4916</v>
      </c>
      <c r="BC16" s="22">
        <v>4850</v>
      </c>
      <c r="BD16" s="22">
        <v>4802</v>
      </c>
      <c r="BE16" s="22">
        <v>4893</v>
      </c>
      <c r="BF16" s="22">
        <v>4760</v>
      </c>
      <c r="BG16" s="22">
        <v>4820</v>
      </c>
      <c r="BH16" s="22">
        <v>4902</v>
      </c>
      <c r="BI16" s="22">
        <v>5002</v>
      </c>
      <c r="BJ16" s="22">
        <v>5079</v>
      </c>
      <c r="BK16" s="22">
        <v>5015</v>
      </c>
      <c r="BL16" s="22">
        <v>5238</v>
      </c>
      <c r="BM16" s="1">
        <v>5330</v>
      </c>
      <c r="BN16" s="1">
        <v>5360</v>
      </c>
      <c r="BO16" s="1">
        <v>5438</v>
      </c>
      <c r="BP16" s="1">
        <v>5450</v>
      </c>
    </row>
    <row r="17" spans="1:68" ht="15.9" customHeight="1">
      <c r="A17" s="81" t="s">
        <v>29</v>
      </c>
      <c r="B17" s="17" t="s">
        <v>30</v>
      </c>
      <c r="C17" s="26" t="str">
        <f>_xll.RssMarket("5333","始値")</f>
        <v/>
      </c>
      <c r="D17" s="25" t="e">
        <f t="shared" si="0"/>
        <v>#VALUE!</v>
      </c>
      <c r="E17" s="22">
        <v>6313</v>
      </c>
      <c r="F17" s="22">
        <v>6767</v>
      </c>
      <c r="G17" s="22">
        <v>6627</v>
      </c>
      <c r="H17" s="22">
        <v>7042</v>
      </c>
      <c r="I17" s="22">
        <v>7201</v>
      </c>
      <c r="J17" s="22">
        <v>7042</v>
      </c>
      <c r="K17" s="22">
        <v>6775</v>
      </c>
      <c r="L17" s="22">
        <v>7448</v>
      </c>
      <c r="M17" s="22">
        <v>7500</v>
      </c>
      <c r="N17" s="22">
        <v>7242</v>
      </c>
      <c r="O17" s="22">
        <v>7448</v>
      </c>
      <c r="P17" s="22">
        <v>7660</v>
      </c>
      <c r="Q17" s="22">
        <v>7550</v>
      </c>
      <c r="R17" s="22">
        <v>7520</v>
      </c>
      <c r="S17" s="22">
        <v>7806</v>
      </c>
      <c r="T17" s="22">
        <v>7628</v>
      </c>
      <c r="U17" s="22">
        <v>7331</v>
      </c>
      <c r="V17" s="22">
        <v>7770</v>
      </c>
      <c r="W17" s="22">
        <v>7467</v>
      </c>
      <c r="X17" s="22">
        <v>7507</v>
      </c>
      <c r="Y17" s="22">
        <v>7026</v>
      </c>
      <c r="Z17" s="22">
        <v>6735</v>
      </c>
      <c r="AA17" s="22">
        <v>6669</v>
      </c>
      <c r="AB17" s="22">
        <v>6517</v>
      </c>
      <c r="AC17" s="22">
        <v>6215</v>
      </c>
      <c r="AD17" s="22">
        <v>5563</v>
      </c>
      <c r="AE17" s="22">
        <v>6028</v>
      </c>
      <c r="AF17" s="22">
        <v>6075</v>
      </c>
      <c r="AG17" s="22">
        <v>6556</v>
      </c>
      <c r="AH17" s="22">
        <v>6383</v>
      </c>
      <c r="AI17" s="22">
        <v>6270</v>
      </c>
      <c r="AJ17" s="22">
        <v>6322</v>
      </c>
      <c r="AK17" s="22">
        <v>6137</v>
      </c>
      <c r="AL17" s="22">
        <v>6032</v>
      </c>
      <c r="AM17" s="22">
        <v>6444</v>
      </c>
      <c r="AN17" s="22">
        <v>5959</v>
      </c>
      <c r="AO17" s="22">
        <v>5765</v>
      </c>
      <c r="AP17" s="22">
        <v>5568</v>
      </c>
      <c r="AQ17" s="22">
        <v>5421</v>
      </c>
      <c r="AR17" s="22">
        <v>5651</v>
      </c>
      <c r="AS17" s="22">
        <v>5739</v>
      </c>
      <c r="AT17" s="22">
        <v>5800</v>
      </c>
      <c r="AU17" s="22">
        <v>5750</v>
      </c>
      <c r="AV17" s="22">
        <v>5537</v>
      </c>
      <c r="AW17" s="22">
        <v>5600</v>
      </c>
      <c r="AX17" s="22">
        <v>5550</v>
      </c>
      <c r="AY17" s="22">
        <v>5300</v>
      </c>
      <c r="AZ17" s="22">
        <v>5377</v>
      </c>
      <c r="BA17" s="22">
        <v>4953</v>
      </c>
      <c r="BB17" s="22">
        <v>4621</v>
      </c>
      <c r="BC17" s="22">
        <v>4670</v>
      </c>
      <c r="BD17" s="22">
        <v>4429</v>
      </c>
      <c r="BE17" s="22">
        <v>4445</v>
      </c>
      <c r="BF17" s="22">
        <v>4450</v>
      </c>
      <c r="BG17" s="22">
        <v>4520</v>
      </c>
      <c r="BH17" s="22">
        <v>4538</v>
      </c>
      <c r="BI17" s="22">
        <v>4543</v>
      </c>
      <c r="BJ17" s="22">
        <v>4528</v>
      </c>
      <c r="BK17" s="22">
        <v>4430</v>
      </c>
      <c r="BL17" s="22">
        <v>4477</v>
      </c>
      <c r="BM17" s="1">
        <v>4450</v>
      </c>
      <c r="BN17" s="1">
        <v>4401</v>
      </c>
      <c r="BO17" s="1">
        <v>4434</v>
      </c>
      <c r="BP17" s="1">
        <v>4439</v>
      </c>
    </row>
    <row r="18" spans="1:68" ht="15.9" customHeight="1">
      <c r="A18" s="81" t="s">
        <v>31</v>
      </c>
      <c r="B18" s="17" t="s">
        <v>32</v>
      </c>
      <c r="C18" s="26" t="str">
        <f>_xll.RssMarket("1662","始値")</f>
        <v/>
      </c>
      <c r="D18" s="25" t="e">
        <f t="shared" si="0"/>
        <v>#VALUE!</v>
      </c>
      <c r="E18" s="22">
        <v>1680</v>
      </c>
      <c r="F18" s="22">
        <v>1728</v>
      </c>
      <c r="G18" s="22">
        <v>1681</v>
      </c>
      <c r="H18" s="22">
        <v>1668</v>
      </c>
      <c r="I18" s="22">
        <v>1705</v>
      </c>
      <c r="J18" s="22">
        <v>1680</v>
      </c>
      <c r="K18" s="22">
        <v>1687</v>
      </c>
      <c r="L18" s="22">
        <v>1612</v>
      </c>
      <c r="M18" s="22">
        <v>1610</v>
      </c>
      <c r="N18" s="22">
        <v>1600</v>
      </c>
      <c r="O18" s="22">
        <v>1613</v>
      </c>
      <c r="P18" s="22">
        <v>1604</v>
      </c>
      <c r="Q18" s="22">
        <v>1590</v>
      </c>
      <c r="R18" s="22">
        <v>1620</v>
      </c>
      <c r="S18" s="22">
        <v>1612</v>
      </c>
      <c r="T18" s="22">
        <v>1636</v>
      </c>
      <c r="U18" s="22">
        <v>1635</v>
      </c>
      <c r="V18" s="22">
        <v>1630</v>
      </c>
      <c r="W18" s="22">
        <v>1651</v>
      </c>
      <c r="X18" s="22">
        <v>1636</v>
      </c>
      <c r="Y18" s="22">
        <v>1650</v>
      </c>
      <c r="Z18" s="22">
        <v>1658</v>
      </c>
      <c r="AA18" s="22">
        <v>1640</v>
      </c>
      <c r="AB18" s="22">
        <v>1679</v>
      </c>
      <c r="AC18" s="22">
        <v>1729</v>
      </c>
      <c r="AD18" s="22">
        <v>1708</v>
      </c>
      <c r="AE18" s="22">
        <v>1755</v>
      </c>
      <c r="AF18" s="22">
        <v>1730</v>
      </c>
      <c r="AG18" s="22">
        <v>1780</v>
      </c>
      <c r="AH18" s="22">
        <v>1760</v>
      </c>
      <c r="AI18" s="22">
        <v>1837</v>
      </c>
      <c r="AJ18" s="22">
        <v>1875</v>
      </c>
      <c r="AK18" s="22">
        <v>1842</v>
      </c>
      <c r="AL18" s="22">
        <v>1886</v>
      </c>
      <c r="AM18" s="22">
        <v>1896</v>
      </c>
      <c r="AN18" s="22">
        <v>1910</v>
      </c>
      <c r="AO18" s="22">
        <v>1995</v>
      </c>
      <c r="AP18" s="22">
        <v>1970</v>
      </c>
      <c r="AQ18" s="22">
        <v>1965</v>
      </c>
      <c r="AR18" s="22">
        <v>2001</v>
      </c>
      <c r="AS18" s="22">
        <v>2158</v>
      </c>
      <c r="AT18" s="22">
        <v>2180</v>
      </c>
      <c r="AU18" s="22">
        <v>2130</v>
      </c>
      <c r="AV18" s="22">
        <v>2135</v>
      </c>
      <c r="AW18" s="22">
        <v>2058</v>
      </c>
      <c r="AX18" s="22">
        <v>2247</v>
      </c>
      <c r="AY18" s="22">
        <v>2314</v>
      </c>
      <c r="AZ18" s="22">
        <v>2192</v>
      </c>
      <c r="BA18" s="22">
        <v>2230</v>
      </c>
      <c r="BB18" s="22">
        <v>2265</v>
      </c>
      <c r="BC18" s="22">
        <v>2182</v>
      </c>
      <c r="BD18" s="22">
        <v>2197</v>
      </c>
      <c r="BE18" s="22">
        <v>2146</v>
      </c>
      <c r="BF18" s="22">
        <v>2248</v>
      </c>
      <c r="BG18" s="22">
        <v>2421</v>
      </c>
      <c r="BH18" s="22">
        <v>2386</v>
      </c>
      <c r="BI18" s="22">
        <v>2441</v>
      </c>
      <c r="BJ18" s="22">
        <v>2435</v>
      </c>
      <c r="BK18" s="22">
        <v>2487</v>
      </c>
      <c r="BL18" s="22">
        <v>2461</v>
      </c>
      <c r="BM18" s="1">
        <v>2460</v>
      </c>
      <c r="BN18" s="1">
        <v>2500</v>
      </c>
      <c r="BO18" s="1">
        <v>2585</v>
      </c>
    </row>
    <row r="19" spans="1:68" ht="15.9" customHeight="1">
      <c r="A19" s="81" t="s">
        <v>33</v>
      </c>
      <c r="B19" s="17" t="s">
        <v>34</v>
      </c>
      <c r="C19" s="26" t="str">
        <f>_xll.RssMarket("8411","始値")</f>
        <v/>
      </c>
      <c r="D19" s="25" t="e">
        <f t="shared" si="0"/>
        <v>#VALUE!</v>
      </c>
      <c r="E19" s="22">
        <v>8342</v>
      </c>
      <c r="F19" s="22">
        <v>8580</v>
      </c>
      <c r="G19" s="22">
        <v>8374</v>
      </c>
      <c r="H19" s="22">
        <v>8370</v>
      </c>
      <c r="I19" s="22">
        <v>8364</v>
      </c>
      <c r="J19" s="22">
        <v>8150</v>
      </c>
      <c r="K19" s="22">
        <v>8214</v>
      </c>
      <c r="L19" s="22">
        <v>8333</v>
      </c>
      <c r="M19" s="22">
        <v>8082</v>
      </c>
      <c r="N19" s="22">
        <v>8028</v>
      </c>
      <c r="O19" s="22">
        <v>7966</v>
      </c>
      <c r="P19" s="22">
        <v>7750</v>
      </c>
      <c r="Q19" s="22">
        <v>7692</v>
      </c>
      <c r="R19" s="22">
        <v>7839</v>
      </c>
      <c r="S19" s="22">
        <v>7720</v>
      </c>
      <c r="T19" s="22">
        <v>7814</v>
      </c>
      <c r="U19" s="22">
        <v>7929</v>
      </c>
      <c r="V19" s="22">
        <v>8091</v>
      </c>
      <c r="W19" s="22">
        <v>7823</v>
      </c>
      <c r="X19" s="22">
        <v>8252</v>
      </c>
      <c r="Y19" s="22">
        <v>8100</v>
      </c>
      <c r="Z19" s="22">
        <v>7907</v>
      </c>
      <c r="AA19" s="22">
        <v>7820</v>
      </c>
      <c r="AB19" s="22">
        <v>7750</v>
      </c>
      <c r="AC19" s="22">
        <v>7605</v>
      </c>
      <c r="AD19" s="22">
        <v>7411</v>
      </c>
      <c r="AE19" s="22">
        <v>7760</v>
      </c>
      <c r="AF19" s="22">
        <v>7620</v>
      </c>
      <c r="AG19" s="22">
        <v>7822</v>
      </c>
      <c r="AH19" s="22">
        <v>7621</v>
      </c>
      <c r="AI19" s="22">
        <v>7500</v>
      </c>
      <c r="AJ19" s="22">
        <v>7253</v>
      </c>
      <c r="AK19" s="22">
        <v>7065</v>
      </c>
      <c r="AL19" s="22">
        <v>7130</v>
      </c>
      <c r="AM19" s="22">
        <v>7283</v>
      </c>
      <c r="AN19" s="22">
        <v>7308</v>
      </c>
      <c r="AO19" s="22">
        <v>7378</v>
      </c>
      <c r="AP19" s="22">
        <v>7150</v>
      </c>
      <c r="AQ19" s="22">
        <v>7090</v>
      </c>
      <c r="AR19" s="22">
        <v>6690</v>
      </c>
      <c r="AS19" s="22">
        <v>6512</v>
      </c>
      <c r="AT19" s="22">
        <v>7021</v>
      </c>
      <c r="AU19" s="22">
        <v>7100</v>
      </c>
      <c r="AV19" s="22">
        <v>6954</v>
      </c>
      <c r="AW19" s="22">
        <v>6941</v>
      </c>
      <c r="AX19" s="22">
        <v>6871</v>
      </c>
      <c r="AY19" s="22">
        <v>6790</v>
      </c>
      <c r="AZ19" s="22">
        <v>6904</v>
      </c>
      <c r="BA19" s="22">
        <v>6677</v>
      </c>
      <c r="BB19" s="22">
        <v>6918</v>
      </c>
      <c r="BC19" s="22">
        <v>6659</v>
      </c>
      <c r="BD19" s="22">
        <v>6430</v>
      </c>
      <c r="BE19" s="22">
        <v>6556</v>
      </c>
      <c r="BF19" s="22">
        <v>6593</v>
      </c>
      <c r="BG19" s="22">
        <v>6601</v>
      </c>
      <c r="BH19" s="22">
        <v>6752</v>
      </c>
      <c r="BI19" s="22">
        <v>6868</v>
      </c>
      <c r="BJ19" s="22">
        <v>6853</v>
      </c>
      <c r="BK19" s="22">
        <v>6980</v>
      </c>
      <c r="BL19" s="22">
        <v>6990</v>
      </c>
      <c r="BM19" s="1">
        <v>6835</v>
      </c>
      <c r="BN19" s="1">
        <v>6770</v>
      </c>
      <c r="BO19" s="1">
        <v>6791</v>
      </c>
      <c r="BP19" s="1">
        <v>6922</v>
      </c>
    </row>
    <row r="20" spans="1:68" ht="15.9" customHeight="1">
      <c r="A20" s="81" t="s">
        <v>35</v>
      </c>
      <c r="B20" s="17" t="s">
        <v>36</v>
      </c>
      <c r="C20" s="26" t="str">
        <f>_xll.RssMarket("5541","始値")</f>
        <v/>
      </c>
      <c r="D20" s="25" t="e">
        <f t="shared" si="0"/>
        <v>#VALUE!</v>
      </c>
      <c r="E20" s="22">
        <v>2283</v>
      </c>
      <c r="F20" s="22">
        <v>2300</v>
      </c>
      <c r="G20" s="22">
        <v>2240</v>
      </c>
      <c r="H20" s="22">
        <v>2277</v>
      </c>
      <c r="I20" s="22">
        <v>2250</v>
      </c>
      <c r="J20" s="22">
        <v>2225</v>
      </c>
      <c r="K20" s="22">
        <v>2245</v>
      </c>
      <c r="L20" s="22">
        <v>2350</v>
      </c>
      <c r="M20" s="22">
        <v>2331</v>
      </c>
      <c r="N20" s="22">
        <v>2258</v>
      </c>
      <c r="O20" s="22">
        <v>2236</v>
      </c>
      <c r="P20" s="22">
        <v>2183</v>
      </c>
      <c r="Q20" s="22">
        <v>2197</v>
      </c>
      <c r="R20" s="22">
        <v>2190</v>
      </c>
      <c r="S20" s="22">
        <v>2171</v>
      </c>
      <c r="T20" s="22">
        <v>2200</v>
      </c>
      <c r="U20" s="22">
        <v>2204</v>
      </c>
      <c r="V20" s="22">
        <v>2321</v>
      </c>
      <c r="W20" s="22">
        <v>2251</v>
      </c>
      <c r="X20" s="22">
        <v>2275</v>
      </c>
      <c r="Y20" s="22">
        <v>2300</v>
      </c>
      <c r="Z20" s="22">
        <v>2260</v>
      </c>
      <c r="AA20" s="22">
        <v>2325</v>
      </c>
      <c r="AB20" s="22">
        <v>2250</v>
      </c>
      <c r="AC20" s="22">
        <v>2150</v>
      </c>
      <c r="AD20" s="22">
        <v>2097</v>
      </c>
      <c r="AE20" s="22">
        <v>2147</v>
      </c>
      <c r="AF20" s="22">
        <v>2189</v>
      </c>
      <c r="AG20" s="22">
        <v>2254</v>
      </c>
      <c r="AH20" s="22">
        <v>2302</v>
      </c>
      <c r="AI20" s="22">
        <v>2250</v>
      </c>
      <c r="AJ20" s="22">
        <v>2210</v>
      </c>
      <c r="AK20" s="22">
        <v>2298</v>
      </c>
      <c r="AL20" s="22">
        <v>2264</v>
      </c>
      <c r="AM20" s="22">
        <v>2320</v>
      </c>
      <c r="AN20" s="22">
        <v>2227</v>
      </c>
      <c r="AO20" s="22">
        <v>2176</v>
      </c>
      <c r="AP20" s="22">
        <v>2142</v>
      </c>
      <c r="AQ20" s="22">
        <v>2199</v>
      </c>
      <c r="AR20" s="22">
        <v>2254</v>
      </c>
      <c r="AS20" s="22">
        <v>2392</v>
      </c>
      <c r="AT20" s="22">
        <v>2400</v>
      </c>
      <c r="AU20" s="22">
        <v>2422</v>
      </c>
      <c r="AV20" s="22">
        <v>2443</v>
      </c>
      <c r="AW20" s="22">
        <v>2665</v>
      </c>
      <c r="AX20" s="22">
        <v>2675</v>
      </c>
      <c r="AY20" s="22">
        <v>2612</v>
      </c>
      <c r="AZ20" s="22">
        <v>2650</v>
      </c>
      <c r="BA20" s="22">
        <v>2540</v>
      </c>
      <c r="BB20" s="22">
        <v>2549</v>
      </c>
      <c r="BC20" s="22">
        <v>2434</v>
      </c>
      <c r="BD20" s="22">
        <v>2409</v>
      </c>
      <c r="BE20" s="22">
        <v>2482</v>
      </c>
      <c r="BF20" s="22">
        <v>2501</v>
      </c>
      <c r="BG20" s="22">
        <v>2519</v>
      </c>
      <c r="BH20" s="22">
        <v>2564</v>
      </c>
      <c r="BI20" s="22">
        <v>2590</v>
      </c>
      <c r="BJ20" s="22">
        <v>2650</v>
      </c>
      <c r="BK20" s="22">
        <v>2687</v>
      </c>
      <c r="BL20" s="22">
        <v>2699</v>
      </c>
      <c r="BM20" s="1">
        <v>2646</v>
      </c>
      <c r="BN20" s="1">
        <v>2641</v>
      </c>
      <c r="BO20" s="1">
        <v>2711</v>
      </c>
      <c r="BP20" s="1">
        <v>2806</v>
      </c>
    </row>
    <row r="21" spans="1:68" ht="15.9" customHeight="1">
      <c r="A21" s="81" t="s">
        <v>37</v>
      </c>
      <c r="B21" s="17" t="s">
        <v>38</v>
      </c>
      <c r="C21" s="26" t="str">
        <f>_xll.RssMarket("5332","始値")</f>
        <v/>
      </c>
      <c r="D21" s="25" t="e">
        <f t="shared" si="0"/>
        <v>#VALUE!</v>
      </c>
      <c r="E21" s="22">
        <v>7686</v>
      </c>
      <c r="F21" s="22">
        <v>8080</v>
      </c>
      <c r="G21" s="22">
        <v>7827</v>
      </c>
      <c r="H21" s="22">
        <v>8123</v>
      </c>
      <c r="I21" s="22">
        <v>8205</v>
      </c>
      <c r="J21" s="22">
        <v>8050</v>
      </c>
      <c r="K21" s="22">
        <v>8200</v>
      </c>
      <c r="L21" s="22">
        <v>8604</v>
      </c>
      <c r="M21" s="22">
        <v>8650</v>
      </c>
      <c r="N21" s="22">
        <v>8380</v>
      </c>
      <c r="O21" s="22">
        <v>8410</v>
      </c>
      <c r="P21" s="22">
        <v>8746</v>
      </c>
      <c r="Q21" s="22">
        <v>8640</v>
      </c>
      <c r="R21" s="22">
        <v>8520</v>
      </c>
      <c r="S21" s="22">
        <v>8718</v>
      </c>
      <c r="T21" s="22">
        <v>8997</v>
      </c>
      <c r="U21" s="22">
        <v>8793</v>
      </c>
      <c r="V21" s="22">
        <v>9458</v>
      </c>
      <c r="W21" s="22">
        <v>8700</v>
      </c>
      <c r="X21" s="22">
        <v>8550</v>
      </c>
      <c r="Y21" s="22">
        <v>8268</v>
      </c>
      <c r="Z21" s="22">
        <v>8102</v>
      </c>
      <c r="AA21" s="22">
        <v>8280</v>
      </c>
      <c r="AB21" s="22">
        <v>7981</v>
      </c>
      <c r="AC21" s="22">
        <v>7730</v>
      </c>
      <c r="AD21" s="22">
        <v>7210</v>
      </c>
      <c r="AE21" s="22">
        <v>7400</v>
      </c>
      <c r="AF21" s="22">
        <v>7570</v>
      </c>
      <c r="AG21" s="22">
        <v>8050</v>
      </c>
      <c r="AH21" s="22">
        <v>8076</v>
      </c>
      <c r="AI21" s="22">
        <v>7457</v>
      </c>
      <c r="AJ21" s="22">
        <v>7427</v>
      </c>
      <c r="AK21" s="22">
        <v>7443</v>
      </c>
      <c r="AL21" s="22">
        <v>7264</v>
      </c>
      <c r="AM21" s="22">
        <v>7200</v>
      </c>
      <c r="AN21" s="22">
        <v>6899</v>
      </c>
      <c r="AO21" s="22">
        <v>6654</v>
      </c>
      <c r="AP21" s="22">
        <v>6539</v>
      </c>
      <c r="AQ21" s="22">
        <v>6589</v>
      </c>
      <c r="AR21" s="22">
        <v>6892</v>
      </c>
      <c r="AS21" s="22">
        <v>7171</v>
      </c>
      <c r="AT21" s="22">
        <v>7233</v>
      </c>
      <c r="AU21" s="22">
        <v>7000</v>
      </c>
      <c r="AV21" s="22">
        <v>6888</v>
      </c>
      <c r="AW21" s="22">
        <v>7200</v>
      </c>
      <c r="AX21" s="22">
        <v>7240</v>
      </c>
      <c r="AY21" s="22">
        <v>6752</v>
      </c>
      <c r="AZ21" s="22">
        <v>6713</v>
      </c>
      <c r="BA21" s="22">
        <v>6025</v>
      </c>
      <c r="BB21" s="22">
        <v>5470</v>
      </c>
      <c r="BC21" s="22">
        <v>5400</v>
      </c>
      <c r="BD21" s="22">
        <v>5373</v>
      </c>
      <c r="BE21" s="22">
        <v>5294</v>
      </c>
      <c r="BF21" s="22">
        <v>5185</v>
      </c>
      <c r="BG21" s="22">
        <v>5327</v>
      </c>
      <c r="BH21" s="22">
        <v>5522</v>
      </c>
      <c r="BI21" s="22">
        <v>5622</v>
      </c>
      <c r="BJ21" s="22">
        <v>5580</v>
      </c>
      <c r="BK21" s="22">
        <v>5448</v>
      </c>
      <c r="BL21" s="22">
        <v>5516</v>
      </c>
      <c r="BM21" s="1">
        <v>5481</v>
      </c>
      <c r="BN21" s="1">
        <v>5685</v>
      </c>
      <c r="BO21" s="1">
        <v>5760</v>
      </c>
      <c r="BP21" s="1">
        <v>5748</v>
      </c>
    </row>
    <row r="22" spans="1:68" ht="15.9" customHeight="1">
      <c r="A22" s="81" t="s">
        <v>39</v>
      </c>
      <c r="B22" s="17" t="s">
        <v>40</v>
      </c>
      <c r="C22" s="26" t="str">
        <f>_xll.RssMarket("8725","始値")</f>
        <v/>
      </c>
      <c r="D22" s="25" t="e">
        <f t="shared" si="0"/>
        <v>#VALUE!</v>
      </c>
      <c r="E22" s="22">
        <v>4570</v>
      </c>
      <c r="F22" s="22">
        <v>4550</v>
      </c>
      <c r="G22" s="22">
        <v>4454</v>
      </c>
      <c r="H22" s="22">
        <v>4424</v>
      </c>
      <c r="I22" s="22">
        <v>4505</v>
      </c>
      <c r="J22" s="22">
        <v>4450</v>
      </c>
      <c r="K22" s="22">
        <v>4503</v>
      </c>
      <c r="L22" s="22">
        <v>4554</v>
      </c>
      <c r="M22" s="22">
        <v>4465</v>
      </c>
      <c r="N22" s="22">
        <v>4420</v>
      </c>
      <c r="O22" s="22">
        <v>4285</v>
      </c>
      <c r="P22" s="22">
        <v>4230</v>
      </c>
      <c r="Q22" s="22">
        <v>4250</v>
      </c>
      <c r="R22" s="22">
        <v>4258</v>
      </c>
      <c r="S22" s="22">
        <v>4246</v>
      </c>
      <c r="T22" s="22">
        <v>4310</v>
      </c>
      <c r="U22" s="22">
        <v>4583</v>
      </c>
      <c r="V22" s="22">
        <v>4653</v>
      </c>
      <c r="W22" s="22">
        <v>4521</v>
      </c>
      <c r="X22" s="22">
        <v>4577</v>
      </c>
      <c r="Y22" s="22">
        <v>4656</v>
      </c>
      <c r="Z22" s="22">
        <v>4603</v>
      </c>
      <c r="AA22" s="22">
        <v>4616</v>
      </c>
      <c r="AB22" s="22">
        <v>4622</v>
      </c>
      <c r="AC22" s="22">
        <v>4578</v>
      </c>
      <c r="AD22" s="22">
        <v>4657</v>
      </c>
      <c r="AE22" s="22">
        <v>4370</v>
      </c>
      <c r="AF22" s="22">
        <v>4350</v>
      </c>
      <c r="AG22" s="22">
        <v>4273</v>
      </c>
      <c r="AH22" s="22">
        <v>4311</v>
      </c>
      <c r="AI22" s="22">
        <v>4228</v>
      </c>
      <c r="AJ22" s="22">
        <v>4212</v>
      </c>
      <c r="AK22" s="22">
        <v>4222</v>
      </c>
      <c r="AL22" s="22">
        <v>4210</v>
      </c>
      <c r="AM22" s="22">
        <v>4245</v>
      </c>
      <c r="AN22" s="22">
        <v>4299</v>
      </c>
      <c r="AO22" s="22">
        <v>4350</v>
      </c>
      <c r="AP22" s="22">
        <v>4507</v>
      </c>
      <c r="AQ22" s="22">
        <v>4439</v>
      </c>
      <c r="AR22" s="22">
        <v>4449</v>
      </c>
      <c r="AS22" s="22">
        <v>4410</v>
      </c>
      <c r="AT22" s="22">
        <v>4375</v>
      </c>
      <c r="AU22" s="22">
        <v>4300</v>
      </c>
      <c r="AV22" s="22">
        <v>4159</v>
      </c>
      <c r="AW22" s="22">
        <v>3970</v>
      </c>
      <c r="AX22" s="22">
        <v>4009</v>
      </c>
      <c r="AY22" s="22">
        <v>4039</v>
      </c>
      <c r="AZ22" s="22">
        <v>3985</v>
      </c>
      <c r="BA22" s="22">
        <v>4019</v>
      </c>
      <c r="BB22" s="22">
        <v>3970</v>
      </c>
      <c r="BC22" s="22">
        <v>3910</v>
      </c>
      <c r="BD22" s="22">
        <v>3997</v>
      </c>
      <c r="BE22" s="22">
        <v>3950</v>
      </c>
      <c r="BF22" s="22">
        <v>4029</v>
      </c>
      <c r="BG22" s="22">
        <v>4057</v>
      </c>
      <c r="BH22" s="22">
        <v>4088</v>
      </c>
      <c r="BI22" s="22">
        <v>4130</v>
      </c>
      <c r="BJ22" s="22">
        <v>4090</v>
      </c>
      <c r="BK22" s="22">
        <v>4074</v>
      </c>
      <c r="BL22" s="22">
        <v>4112</v>
      </c>
      <c r="BM22" s="1">
        <v>4040</v>
      </c>
      <c r="BN22" s="1">
        <v>4112</v>
      </c>
      <c r="BO22" s="1">
        <v>4152</v>
      </c>
      <c r="BP22" s="1">
        <v>4244</v>
      </c>
    </row>
    <row r="23" spans="1:68" ht="15.9" customHeight="1">
      <c r="A23" s="81" t="s">
        <v>41</v>
      </c>
      <c r="B23" s="17" t="s">
        <v>42</v>
      </c>
      <c r="C23" s="26" t="str">
        <f>_xll.RssMarket("8795","始値")</f>
        <v/>
      </c>
      <c r="D23" s="25" t="e">
        <f t="shared" si="0"/>
        <v>#VALUE!</v>
      </c>
      <c r="E23" s="22">
        <v>4918</v>
      </c>
      <c r="F23" s="22">
        <v>5007</v>
      </c>
      <c r="G23" s="22">
        <v>4970</v>
      </c>
      <c r="H23" s="22">
        <v>4885</v>
      </c>
      <c r="I23" s="22">
        <v>5017</v>
      </c>
      <c r="J23" s="22">
        <v>4898</v>
      </c>
      <c r="K23" s="22">
        <v>4953</v>
      </c>
      <c r="L23" s="22">
        <v>5083</v>
      </c>
      <c r="M23" s="22">
        <v>4929</v>
      </c>
      <c r="N23" s="22">
        <v>4974</v>
      </c>
      <c r="O23" s="22">
        <v>4858</v>
      </c>
      <c r="P23" s="22">
        <v>4820</v>
      </c>
      <c r="Q23" s="22">
        <v>4732</v>
      </c>
      <c r="R23" s="22">
        <v>4704</v>
      </c>
      <c r="S23" s="22">
        <v>4685</v>
      </c>
      <c r="T23" s="22">
        <v>4741</v>
      </c>
      <c r="U23" s="22">
        <v>4861</v>
      </c>
      <c r="V23" s="22">
        <v>5000</v>
      </c>
      <c r="W23" s="22">
        <v>4849</v>
      </c>
      <c r="X23" s="22">
        <v>4910</v>
      </c>
      <c r="Y23" s="22">
        <v>4816</v>
      </c>
      <c r="Z23" s="22">
        <v>4945</v>
      </c>
      <c r="AA23" s="22">
        <v>4782</v>
      </c>
      <c r="AB23" s="22">
        <v>4846</v>
      </c>
      <c r="AC23" s="22">
        <v>4703</v>
      </c>
      <c r="AD23" s="22">
        <v>4731</v>
      </c>
      <c r="AE23" s="22">
        <v>4705</v>
      </c>
      <c r="AF23" s="22">
        <v>4435</v>
      </c>
      <c r="AG23" s="22">
        <v>4380</v>
      </c>
      <c r="AH23" s="22">
        <v>4217</v>
      </c>
      <c r="AI23" s="22">
        <v>4211</v>
      </c>
      <c r="AJ23" s="22">
        <v>4170</v>
      </c>
      <c r="AK23" s="22">
        <v>4025</v>
      </c>
      <c r="AL23" s="22">
        <v>4111</v>
      </c>
      <c r="AM23" s="22">
        <v>4125</v>
      </c>
      <c r="AN23" s="22">
        <v>4137</v>
      </c>
      <c r="AO23" s="22">
        <v>4113</v>
      </c>
      <c r="AP23" s="22">
        <v>4100</v>
      </c>
      <c r="AQ23" s="22">
        <v>4208</v>
      </c>
      <c r="AR23" s="22">
        <v>4116</v>
      </c>
      <c r="AS23" s="22">
        <v>3940</v>
      </c>
      <c r="AT23" s="22">
        <v>4004</v>
      </c>
      <c r="AU23" s="22">
        <v>3982</v>
      </c>
      <c r="AV23" s="22">
        <v>3943</v>
      </c>
      <c r="AW23" s="22">
        <v>4024</v>
      </c>
      <c r="AX23" s="22">
        <v>3878</v>
      </c>
      <c r="AY23" s="22">
        <v>3930</v>
      </c>
      <c r="AZ23" s="22">
        <v>3850</v>
      </c>
      <c r="BA23" s="22">
        <v>3738</v>
      </c>
      <c r="BB23" s="22">
        <v>3759</v>
      </c>
      <c r="BC23" s="22">
        <v>3709</v>
      </c>
      <c r="BD23" s="22">
        <v>3650</v>
      </c>
      <c r="BE23" s="22">
        <v>3727</v>
      </c>
      <c r="BF23" s="22">
        <v>3706</v>
      </c>
      <c r="BG23" s="22">
        <v>3805</v>
      </c>
      <c r="BH23" s="22">
        <v>3922</v>
      </c>
      <c r="BI23" s="22">
        <v>4034</v>
      </c>
      <c r="BJ23" s="22">
        <v>4078</v>
      </c>
      <c r="BK23" s="22">
        <v>4070</v>
      </c>
      <c r="BL23" s="22">
        <v>4113</v>
      </c>
      <c r="BM23" s="1">
        <v>4075</v>
      </c>
      <c r="BN23" s="1">
        <v>4000</v>
      </c>
      <c r="BO23" s="1">
        <v>4026</v>
      </c>
      <c r="BP23" s="1">
        <v>4147</v>
      </c>
    </row>
    <row r="24" spans="1:68" ht="15.9" customHeight="1">
      <c r="A24" s="81" t="s">
        <v>43</v>
      </c>
      <c r="B24" s="17" t="s">
        <v>44</v>
      </c>
      <c r="C24" s="26" t="str">
        <f>_xll.RssMarket("5019","始値")</f>
        <v/>
      </c>
      <c r="D24" s="25" t="e">
        <f t="shared" si="0"/>
        <v>#VALUE!</v>
      </c>
      <c r="E24" s="22">
        <v>1255</v>
      </c>
      <c r="F24" s="22">
        <v>1278.5</v>
      </c>
      <c r="G24" s="22">
        <v>1256.5</v>
      </c>
      <c r="H24" s="22">
        <v>1250.5</v>
      </c>
      <c r="I24" s="22">
        <v>1254.5</v>
      </c>
      <c r="J24" s="22">
        <v>1248</v>
      </c>
      <c r="K24" s="22">
        <v>1252</v>
      </c>
      <c r="L24" s="22">
        <v>1250</v>
      </c>
      <c r="M24" s="22">
        <v>1220</v>
      </c>
      <c r="N24" s="22">
        <v>1215.5</v>
      </c>
      <c r="O24" s="22">
        <v>1194.5</v>
      </c>
      <c r="P24" s="22">
        <v>1198.5</v>
      </c>
      <c r="Q24" s="22">
        <v>1224.5</v>
      </c>
      <c r="R24" s="22">
        <v>1218.5</v>
      </c>
      <c r="S24" s="22">
        <v>1224</v>
      </c>
      <c r="T24" s="22">
        <v>1278.5</v>
      </c>
      <c r="U24" s="22">
        <v>1249</v>
      </c>
      <c r="V24" s="22">
        <v>1268</v>
      </c>
      <c r="W24" s="22">
        <v>1256</v>
      </c>
      <c r="X24" s="22">
        <v>1237</v>
      </c>
      <c r="Y24" s="22">
        <v>1294</v>
      </c>
      <c r="Z24" s="22">
        <v>1284.5</v>
      </c>
      <c r="AA24" s="22">
        <v>1308.5</v>
      </c>
      <c r="AB24" s="22">
        <v>1329</v>
      </c>
      <c r="AC24" s="22">
        <v>1359</v>
      </c>
      <c r="AD24" s="22">
        <v>1346</v>
      </c>
      <c r="AE24" s="22">
        <v>1327.5</v>
      </c>
      <c r="AF24" s="22">
        <v>1364.5</v>
      </c>
      <c r="AG24" s="22">
        <v>1407</v>
      </c>
      <c r="AH24" s="22">
        <v>1407.5</v>
      </c>
      <c r="AI24" s="22">
        <v>1382</v>
      </c>
      <c r="AJ24" s="22">
        <v>1330</v>
      </c>
      <c r="AK24" s="22">
        <v>1298</v>
      </c>
      <c r="AL24" s="22">
        <v>1300.5</v>
      </c>
      <c r="AM24" s="22">
        <v>1306</v>
      </c>
      <c r="AN24" s="22">
        <v>1332</v>
      </c>
      <c r="AO24" s="22">
        <v>1330.5</v>
      </c>
      <c r="AP24" s="22">
        <v>1356.5</v>
      </c>
      <c r="AQ24" s="22">
        <v>1376.5</v>
      </c>
      <c r="AR24" s="22">
        <v>1388</v>
      </c>
      <c r="AS24" s="22">
        <v>1434</v>
      </c>
      <c r="AT24" s="22">
        <v>1417.5</v>
      </c>
      <c r="AU24" s="22">
        <v>1387.5</v>
      </c>
      <c r="AV24" s="22">
        <v>1320</v>
      </c>
      <c r="AW24" s="22">
        <v>1372</v>
      </c>
      <c r="AX24" s="22">
        <v>1328.5</v>
      </c>
      <c r="AY24" s="22">
        <v>1370</v>
      </c>
      <c r="AZ24" s="22">
        <v>1349</v>
      </c>
      <c r="BA24" s="22">
        <v>1348.5</v>
      </c>
      <c r="BB24" s="22">
        <v>1374</v>
      </c>
      <c r="BC24" s="22">
        <v>1332.5</v>
      </c>
      <c r="BD24" s="22">
        <v>1322</v>
      </c>
      <c r="BE24" s="22">
        <v>1348</v>
      </c>
      <c r="BF24" s="22">
        <v>1325</v>
      </c>
      <c r="BG24" s="22">
        <v>1415</v>
      </c>
      <c r="BH24" s="22">
        <v>1447</v>
      </c>
      <c r="BI24" s="22">
        <v>1487</v>
      </c>
      <c r="BJ24" s="22">
        <v>1511</v>
      </c>
      <c r="BK24" s="22">
        <v>1509</v>
      </c>
      <c r="BL24" s="22">
        <v>1524</v>
      </c>
      <c r="BM24" s="1">
        <v>1525</v>
      </c>
      <c r="BN24" s="1">
        <v>1562</v>
      </c>
      <c r="BO24" s="1">
        <v>1558.5</v>
      </c>
      <c r="BP24" s="1">
        <v>1571</v>
      </c>
    </row>
    <row r="25" spans="1:68" ht="15.9" customHeight="1">
      <c r="A25" s="81" t="s">
        <v>45</v>
      </c>
      <c r="B25" s="17" t="s">
        <v>46</v>
      </c>
      <c r="C25" s="26" t="str">
        <f>_xll.RssMarket("8053","始値")</f>
        <v/>
      </c>
      <c r="D25" s="25" t="e">
        <f t="shared" si="0"/>
        <v>#VALUE!</v>
      </c>
      <c r="E25" s="22">
        <v>1565</v>
      </c>
      <c r="F25" s="22">
        <v>1588.5</v>
      </c>
      <c r="G25" s="22">
        <v>1566</v>
      </c>
      <c r="H25" s="22">
        <v>1567</v>
      </c>
      <c r="I25" s="22">
        <v>1565.5</v>
      </c>
      <c r="J25" s="22">
        <v>1563</v>
      </c>
      <c r="K25" s="22">
        <v>1608.5</v>
      </c>
      <c r="L25" s="22">
        <v>1601</v>
      </c>
      <c r="M25" s="22">
        <v>1585.5</v>
      </c>
      <c r="N25" s="22">
        <v>1595</v>
      </c>
      <c r="O25" s="22">
        <v>1591</v>
      </c>
      <c r="P25" s="22">
        <v>1572</v>
      </c>
      <c r="Q25" s="22">
        <v>1559.5</v>
      </c>
      <c r="R25" s="22">
        <v>1555</v>
      </c>
      <c r="S25" s="22">
        <v>6131</v>
      </c>
      <c r="T25" s="22">
        <v>6370</v>
      </c>
      <c r="U25" s="22">
        <v>6372</v>
      </c>
      <c r="V25" s="22">
        <v>6514</v>
      </c>
      <c r="W25" s="22">
        <v>6400</v>
      </c>
      <c r="X25" s="22">
        <v>6502</v>
      </c>
      <c r="Y25" s="22">
        <v>6506</v>
      </c>
      <c r="Z25" s="22">
        <v>6601</v>
      </c>
      <c r="AA25" s="22">
        <v>6530</v>
      </c>
      <c r="AB25" s="22">
        <v>6400</v>
      </c>
      <c r="AC25" s="22">
        <v>6286</v>
      </c>
      <c r="AD25" s="22">
        <v>6238</v>
      </c>
      <c r="AE25" s="22">
        <v>6545</v>
      </c>
      <c r="AF25" s="22">
        <v>6742</v>
      </c>
      <c r="AG25" s="22">
        <v>6776</v>
      </c>
      <c r="AH25" s="22">
        <v>6782</v>
      </c>
      <c r="AI25" s="22">
        <v>6920</v>
      </c>
      <c r="AJ25" s="22">
        <v>6821</v>
      </c>
      <c r="AK25" s="22">
        <v>7104</v>
      </c>
      <c r="AL25" s="22">
        <v>7045</v>
      </c>
      <c r="AM25" s="22">
        <v>7330</v>
      </c>
      <c r="AN25" s="22">
        <v>7131</v>
      </c>
      <c r="AO25" s="22">
        <v>7071</v>
      </c>
      <c r="AP25" s="22">
        <v>7142</v>
      </c>
      <c r="AQ25" s="22">
        <v>7217</v>
      </c>
      <c r="AR25" s="22">
        <v>7295</v>
      </c>
      <c r="AS25" s="22">
        <v>7510</v>
      </c>
      <c r="AT25" s="22">
        <v>7595</v>
      </c>
      <c r="AU25" s="22">
        <v>7671</v>
      </c>
      <c r="AV25" s="22">
        <v>7500</v>
      </c>
      <c r="AW25" s="22">
        <v>7270</v>
      </c>
      <c r="AX25" s="22">
        <v>7180</v>
      </c>
      <c r="AY25" s="22">
        <v>7389</v>
      </c>
      <c r="AZ25" s="22">
        <v>6840</v>
      </c>
      <c r="BA25" s="22">
        <v>5830</v>
      </c>
      <c r="BB25" s="22">
        <v>5702</v>
      </c>
      <c r="BC25" s="22">
        <v>5784</v>
      </c>
      <c r="BD25" s="22">
        <v>5701</v>
      </c>
      <c r="BE25" s="22">
        <v>5854</v>
      </c>
      <c r="BF25" s="22">
        <v>5780</v>
      </c>
      <c r="BG25" s="22">
        <v>5921</v>
      </c>
      <c r="BH25" s="22">
        <v>5986</v>
      </c>
      <c r="BI25" s="22">
        <v>6079</v>
      </c>
      <c r="BJ25" s="22">
        <v>6082</v>
      </c>
      <c r="BK25" s="22">
        <v>6129</v>
      </c>
      <c r="BL25" s="22">
        <v>6125</v>
      </c>
      <c r="BM25" s="1">
        <v>6120</v>
      </c>
      <c r="BN25" s="1">
        <v>6077</v>
      </c>
      <c r="BO25" s="1">
        <v>6264</v>
      </c>
      <c r="BP25" s="1">
        <v>6290</v>
      </c>
    </row>
    <row r="26" spans="1:68" ht="15.9" customHeight="1">
      <c r="A26" s="81" t="s">
        <v>47</v>
      </c>
      <c r="B26" s="17" t="s">
        <v>48</v>
      </c>
      <c r="C26" s="26" t="str">
        <f>_xll.RssMarket("8591","始値")</f>
        <v/>
      </c>
      <c r="D26" s="25" t="e">
        <f t="shared" si="0"/>
        <v>#VALUE!</v>
      </c>
      <c r="E26" s="22">
        <v>6423</v>
      </c>
      <c r="F26" s="22">
        <v>6555</v>
      </c>
      <c r="G26" s="22">
        <v>6387</v>
      </c>
      <c r="H26" s="22">
        <v>6509</v>
      </c>
      <c r="I26" s="22">
        <v>6500</v>
      </c>
      <c r="J26" s="22">
        <v>6346</v>
      </c>
      <c r="K26" s="22">
        <v>6365</v>
      </c>
      <c r="L26" s="22">
        <v>6460</v>
      </c>
      <c r="M26" s="22">
        <v>6358</v>
      </c>
      <c r="N26" s="22">
        <v>6300</v>
      </c>
      <c r="O26" s="22">
        <v>6229</v>
      </c>
      <c r="P26" s="22">
        <v>6211</v>
      </c>
      <c r="Q26" s="22">
        <v>6163</v>
      </c>
      <c r="R26" s="22">
        <v>6194</v>
      </c>
      <c r="S26" s="22">
        <v>6202</v>
      </c>
      <c r="T26" s="22">
        <v>6307</v>
      </c>
      <c r="U26" s="22">
        <v>6306</v>
      </c>
      <c r="V26" s="22">
        <v>6485</v>
      </c>
      <c r="W26" s="22">
        <v>6341</v>
      </c>
      <c r="X26" s="22">
        <v>6420</v>
      </c>
      <c r="Y26" s="22">
        <v>6412</v>
      </c>
      <c r="Z26" s="22">
        <v>6403</v>
      </c>
      <c r="AA26" s="22">
        <v>6204</v>
      </c>
      <c r="AB26" s="22">
        <v>6236</v>
      </c>
      <c r="AC26" s="22">
        <v>6150</v>
      </c>
      <c r="AD26" s="22">
        <v>5971</v>
      </c>
      <c r="AE26" s="22">
        <v>6300</v>
      </c>
      <c r="AF26" s="22">
        <v>6032</v>
      </c>
      <c r="AG26" s="22">
        <v>6282</v>
      </c>
      <c r="AH26" s="22">
        <v>6290</v>
      </c>
      <c r="AI26" s="22">
        <v>6242</v>
      </c>
      <c r="AJ26" s="22">
        <v>6110</v>
      </c>
      <c r="AK26" s="22">
        <v>6088</v>
      </c>
      <c r="AL26" s="22">
        <v>6140</v>
      </c>
      <c r="AM26" s="22">
        <v>6335</v>
      </c>
      <c r="AN26" s="22">
        <v>6220</v>
      </c>
      <c r="AO26" s="22">
        <v>6227</v>
      </c>
      <c r="AP26" s="22">
        <v>6220</v>
      </c>
      <c r="AQ26" s="22">
        <v>6010</v>
      </c>
      <c r="AR26" s="22">
        <v>5818</v>
      </c>
      <c r="AS26" s="22">
        <v>5831</v>
      </c>
      <c r="AT26" s="22">
        <v>5750</v>
      </c>
      <c r="AU26" s="22">
        <v>5951</v>
      </c>
      <c r="AV26" s="22">
        <v>5886</v>
      </c>
      <c r="AW26" s="22">
        <v>5927</v>
      </c>
      <c r="AX26" s="22">
        <v>5350</v>
      </c>
      <c r="AY26" s="22">
        <v>5275</v>
      </c>
      <c r="AZ26" s="22">
        <v>5252</v>
      </c>
      <c r="BA26" s="22">
        <v>5205</v>
      </c>
      <c r="BB26" s="22">
        <v>5190</v>
      </c>
      <c r="BC26" s="22">
        <v>5358</v>
      </c>
      <c r="BD26" s="22">
        <v>4810</v>
      </c>
      <c r="BE26" s="22">
        <v>4878</v>
      </c>
      <c r="BF26" s="22">
        <v>4881</v>
      </c>
      <c r="BG26" s="22">
        <v>4969</v>
      </c>
      <c r="BH26" s="22">
        <v>5048</v>
      </c>
      <c r="BI26" s="22">
        <v>5022</v>
      </c>
      <c r="BJ26" s="22">
        <v>5040</v>
      </c>
      <c r="BK26" s="22">
        <v>5090</v>
      </c>
      <c r="BL26" s="22">
        <v>5046</v>
      </c>
      <c r="BM26" s="1">
        <v>4919</v>
      </c>
      <c r="BN26" s="1">
        <v>4844</v>
      </c>
      <c r="BO26" s="1">
        <v>4899</v>
      </c>
      <c r="BP26" s="1">
        <v>4934</v>
      </c>
    </row>
    <row r="27" spans="1:68" ht="15.9" customHeight="1">
      <c r="A27" s="81" t="s">
        <v>49</v>
      </c>
      <c r="B27" s="17" t="s">
        <v>50</v>
      </c>
      <c r="C27" s="26" t="str">
        <f>_xll.RssMarket("3401","始値")</f>
        <v/>
      </c>
      <c r="D27" s="25" t="e">
        <f t="shared" si="0"/>
        <v>#VALUE!</v>
      </c>
      <c r="E27" s="22">
        <v>1741</v>
      </c>
      <c r="F27" s="22">
        <v>1693</v>
      </c>
      <c r="G27" s="22">
        <v>1663.5</v>
      </c>
      <c r="H27" s="22">
        <v>1680</v>
      </c>
      <c r="I27" s="22">
        <v>1685</v>
      </c>
      <c r="J27" s="22">
        <v>1730</v>
      </c>
      <c r="K27" s="22">
        <v>1735</v>
      </c>
      <c r="L27" s="22">
        <v>1748</v>
      </c>
      <c r="M27" s="22">
        <v>1720.5</v>
      </c>
      <c r="N27" s="22">
        <v>1668</v>
      </c>
      <c r="O27" s="22">
        <v>1643</v>
      </c>
      <c r="P27" s="22">
        <v>1630</v>
      </c>
      <c r="Q27" s="22">
        <v>1640.5</v>
      </c>
      <c r="R27" s="22">
        <v>1650</v>
      </c>
      <c r="S27" s="22">
        <v>1630</v>
      </c>
      <c r="T27" s="22">
        <v>1623.5</v>
      </c>
      <c r="U27" s="22">
        <v>1591</v>
      </c>
      <c r="V27" s="22">
        <v>1619</v>
      </c>
      <c r="W27" s="22">
        <v>1597.5</v>
      </c>
      <c r="X27" s="22">
        <v>1643.5</v>
      </c>
      <c r="Y27" s="22">
        <v>1622</v>
      </c>
      <c r="Z27" s="22">
        <v>1648.5</v>
      </c>
      <c r="AA27" s="22">
        <v>1635</v>
      </c>
      <c r="AB27" s="22">
        <v>1681.5</v>
      </c>
      <c r="AC27" s="22">
        <v>1647.5</v>
      </c>
      <c r="AD27" s="22">
        <v>1614</v>
      </c>
      <c r="AE27" s="22">
        <v>1630</v>
      </c>
      <c r="AF27" s="22">
        <v>1583</v>
      </c>
      <c r="AG27" s="22">
        <v>1624.5</v>
      </c>
      <c r="AH27" s="22">
        <v>1635</v>
      </c>
      <c r="AI27" s="22">
        <v>1630</v>
      </c>
      <c r="AJ27" s="22">
        <v>1598</v>
      </c>
      <c r="AK27" s="22">
        <v>1612</v>
      </c>
      <c r="AL27" s="22">
        <v>1613</v>
      </c>
      <c r="AM27" s="22">
        <v>1635</v>
      </c>
      <c r="AN27" s="22">
        <v>1608</v>
      </c>
      <c r="AO27" s="22">
        <v>1605</v>
      </c>
      <c r="AP27" s="22">
        <v>1629</v>
      </c>
      <c r="AQ27" s="22">
        <v>1632</v>
      </c>
      <c r="AR27" s="22">
        <v>1635</v>
      </c>
      <c r="AS27" s="22">
        <v>1677.5</v>
      </c>
      <c r="AT27" s="22">
        <v>1705.5</v>
      </c>
      <c r="AU27" s="22">
        <v>1747</v>
      </c>
      <c r="AV27" s="22">
        <v>1671.5</v>
      </c>
      <c r="AW27" s="22">
        <v>1620</v>
      </c>
      <c r="AX27" s="22">
        <v>1587.5</v>
      </c>
      <c r="AY27" s="22">
        <v>1608</v>
      </c>
      <c r="AZ27" s="22">
        <v>1592</v>
      </c>
      <c r="BA27" s="22">
        <v>1566.5</v>
      </c>
      <c r="BB27" s="22">
        <v>4870</v>
      </c>
      <c r="BC27" s="22">
        <v>1589</v>
      </c>
      <c r="BD27" s="22">
        <v>4832</v>
      </c>
      <c r="BE27" s="22">
        <v>1581</v>
      </c>
      <c r="BF27" s="22">
        <v>4795</v>
      </c>
      <c r="BG27" s="22">
        <v>1550.5</v>
      </c>
      <c r="BH27" s="22">
        <v>4700</v>
      </c>
      <c r="BI27" s="22">
        <v>1550</v>
      </c>
      <c r="BJ27" s="22">
        <v>4890</v>
      </c>
      <c r="BK27" s="22">
        <v>1580.5</v>
      </c>
      <c r="BL27" s="22">
        <v>5019</v>
      </c>
      <c r="BM27" s="1">
        <v>1597</v>
      </c>
      <c r="BN27" s="1">
        <v>4995</v>
      </c>
      <c r="BO27" s="1">
        <v>1573</v>
      </c>
      <c r="BP27" s="1">
        <v>4780</v>
      </c>
    </row>
    <row r="28" spans="1:68" ht="15.9" customHeight="1">
      <c r="A28" s="81" t="s">
        <v>51</v>
      </c>
      <c r="B28" s="17" t="s">
        <v>52</v>
      </c>
      <c r="C28" s="26" t="str">
        <f>_xll.RssMarket("3436","始値")</f>
        <v/>
      </c>
      <c r="D28" s="25" t="e">
        <f t="shared" si="0"/>
        <v>#VALUE!</v>
      </c>
      <c r="E28" s="22">
        <v>4544</v>
      </c>
      <c r="F28" s="22">
        <v>5370</v>
      </c>
      <c r="G28" s="22">
        <v>5033</v>
      </c>
      <c r="H28" s="22">
        <v>5344</v>
      </c>
      <c r="I28" s="22">
        <v>4824</v>
      </c>
      <c r="J28" s="22">
        <v>4670</v>
      </c>
      <c r="K28" s="22">
        <v>4430</v>
      </c>
      <c r="L28" s="22">
        <v>5133</v>
      </c>
      <c r="M28" s="22">
        <v>5088</v>
      </c>
      <c r="N28" s="22">
        <v>4227</v>
      </c>
      <c r="O28" s="22">
        <v>4449</v>
      </c>
      <c r="P28" s="22">
        <v>4166</v>
      </c>
      <c r="Q28" s="22">
        <v>3915</v>
      </c>
      <c r="R28" s="22">
        <v>3818</v>
      </c>
      <c r="S28" s="22">
        <v>3700</v>
      </c>
      <c r="T28" s="22">
        <v>3921</v>
      </c>
      <c r="U28" s="22">
        <v>3791</v>
      </c>
      <c r="V28" s="22">
        <v>4217</v>
      </c>
      <c r="W28" s="22">
        <v>4295</v>
      </c>
      <c r="X28" s="22">
        <v>4470</v>
      </c>
      <c r="Y28" s="22">
        <v>4106</v>
      </c>
      <c r="Z28" s="22">
        <v>4015</v>
      </c>
      <c r="AA28" s="22">
        <v>4315</v>
      </c>
      <c r="AB28" s="22">
        <v>3863</v>
      </c>
      <c r="AC28" s="22">
        <v>3600</v>
      </c>
      <c r="AD28" s="22">
        <v>2993.5</v>
      </c>
      <c r="AE28" s="22">
        <v>3221</v>
      </c>
      <c r="AF28" s="22">
        <v>3675</v>
      </c>
      <c r="AG28" s="22">
        <v>3946</v>
      </c>
      <c r="AH28" s="22">
        <v>4361</v>
      </c>
      <c r="AI28" s="22">
        <v>4411</v>
      </c>
      <c r="AJ28" s="22">
        <v>4350</v>
      </c>
      <c r="AK28" s="22">
        <v>3720</v>
      </c>
      <c r="AL28" s="22">
        <v>3200</v>
      </c>
      <c r="AM28" s="22">
        <v>3405</v>
      </c>
      <c r="AN28" s="22">
        <v>3333</v>
      </c>
      <c r="AO28" s="22">
        <v>3218</v>
      </c>
      <c r="AP28" s="22">
        <v>3101</v>
      </c>
      <c r="AQ28" s="22">
        <v>3010</v>
      </c>
      <c r="AR28" s="22">
        <v>2942</v>
      </c>
      <c r="AS28" s="22">
        <v>3140</v>
      </c>
      <c r="AT28" s="22">
        <v>3287</v>
      </c>
      <c r="AU28" s="22">
        <v>3506</v>
      </c>
      <c r="AV28" s="22">
        <v>3130</v>
      </c>
      <c r="AW28" s="22">
        <v>3543</v>
      </c>
      <c r="AX28" s="22">
        <v>3468</v>
      </c>
      <c r="AY28" s="22">
        <v>3050</v>
      </c>
      <c r="AZ28" s="22">
        <v>3033</v>
      </c>
      <c r="BA28" s="22">
        <v>2431.5</v>
      </c>
      <c r="BB28" s="22">
        <v>2620</v>
      </c>
      <c r="BC28" s="22">
        <v>2329.5</v>
      </c>
      <c r="BD28" s="22">
        <v>2323</v>
      </c>
      <c r="BE28" s="22">
        <v>2163</v>
      </c>
      <c r="BF28" s="22">
        <v>2221</v>
      </c>
      <c r="BG28" s="22">
        <v>2248</v>
      </c>
      <c r="BH28" s="22">
        <v>2135</v>
      </c>
      <c r="BI28" s="22">
        <v>2100</v>
      </c>
      <c r="BJ28" s="22">
        <v>2300</v>
      </c>
      <c r="BK28" s="22">
        <v>2275</v>
      </c>
      <c r="BL28" s="22">
        <v>2196.5</v>
      </c>
      <c r="BM28" s="1">
        <v>2200</v>
      </c>
      <c r="BN28" s="1">
        <v>1999.5</v>
      </c>
      <c r="BO28" s="1">
        <v>2010</v>
      </c>
      <c r="BP28" s="1">
        <v>1934.5</v>
      </c>
    </row>
    <row r="29" spans="1:68" ht="15.9" customHeight="1">
      <c r="A29" s="81" t="s">
        <v>53</v>
      </c>
      <c r="B29" s="17" t="s">
        <v>54</v>
      </c>
      <c r="C29" s="26" t="str">
        <f>_xll.RssMarket("5020","始値")</f>
        <v/>
      </c>
      <c r="D29" s="25" t="e">
        <f t="shared" si="0"/>
        <v>#VALUE!</v>
      </c>
      <c r="E29" s="22">
        <v>1264</v>
      </c>
      <c r="F29" s="22">
        <v>1294.5</v>
      </c>
      <c r="G29" s="22">
        <v>1258</v>
      </c>
      <c r="H29" s="22">
        <v>1260</v>
      </c>
      <c r="I29" s="22">
        <v>1256</v>
      </c>
      <c r="J29" s="22">
        <v>1258</v>
      </c>
      <c r="K29" s="22">
        <v>1248</v>
      </c>
      <c r="L29" s="22">
        <v>1277</v>
      </c>
      <c r="M29" s="22">
        <v>1231.5</v>
      </c>
      <c r="N29" s="22">
        <v>1230</v>
      </c>
      <c r="O29" s="22">
        <v>1203</v>
      </c>
      <c r="P29" s="22">
        <v>1206</v>
      </c>
      <c r="Q29" s="22">
        <v>1208</v>
      </c>
      <c r="R29" s="22">
        <v>1211</v>
      </c>
      <c r="S29" s="22">
        <v>1192.5</v>
      </c>
      <c r="T29" s="22">
        <v>1253</v>
      </c>
      <c r="U29" s="22">
        <v>1223</v>
      </c>
      <c r="V29" s="22">
        <v>1260</v>
      </c>
      <c r="W29" s="22">
        <v>1253</v>
      </c>
      <c r="X29" s="22">
        <v>1204</v>
      </c>
      <c r="Y29" s="22">
        <v>1246.5</v>
      </c>
      <c r="Z29" s="22">
        <v>1240</v>
      </c>
      <c r="AA29" s="22">
        <v>1225</v>
      </c>
      <c r="AB29" s="22">
        <v>1244</v>
      </c>
      <c r="AC29" s="22">
        <v>1229.5</v>
      </c>
      <c r="AD29" s="22">
        <v>1208.5</v>
      </c>
      <c r="AE29" s="22">
        <v>1214.5</v>
      </c>
      <c r="AF29" s="22">
        <v>1254.5</v>
      </c>
      <c r="AG29" s="22">
        <v>1299</v>
      </c>
      <c r="AH29" s="22">
        <v>1314.5</v>
      </c>
      <c r="AI29" s="22">
        <v>1315</v>
      </c>
      <c r="AJ29" s="22">
        <v>1252</v>
      </c>
      <c r="AK29" s="22">
        <v>1288.5</v>
      </c>
      <c r="AL29" s="22">
        <v>1281</v>
      </c>
      <c r="AM29" s="22">
        <v>1292</v>
      </c>
      <c r="AN29" s="22">
        <v>1296.5</v>
      </c>
      <c r="AO29" s="22">
        <v>1303</v>
      </c>
      <c r="AP29" s="22">
        <v>1313</v>
      </c>
      <c r="AQ29" s="22">
        <v>1361</v>
      </c>
      <c r="AR29" s="22">
        <v>1370</v>
      </c>
      <c r="AS29" s="22">
        <v>1381</v>
      </c>
      <c r="AT29" s="22">
        <v>1369</v>
      </c>
      <c r="AU29" s="22">
        <v>1341</v>
      </c>
      <c r="AV29" s="22">
        <v>1343</v>
      </c>
      <c r="AW29" s="22">
        <v>1357</v>
      </c>
      <c r="AX29" s="22">
        <v>1281</v>
      </c>
      <c r="AY29" s="22">
        <v>1293.5</v>
      </c>
      <c r="AZ29" s="22">
        <v>1333</v>
      </c>
      <c r="BA29" s="22">
        <v>1306.5</v>
      </c>
      <c r="BB29" s="22">
        <v>1320</v>
      </c>
      <c r="BC29" s="22">
        <v>1302</v>
      </c>
      <c r="BD29" s="22">
        <v>1286</v>
      </c>
      <c r="BE29" s="22">
        <v>1317</v>
      </c>
      <c r="BF29" s="22">
        <v>1310</v>
      </c>
      <c r="BG29" s="22">
        <v>1320</v>
      </c>
      <c r="BH29" s="22">
        <v>1344</v>
      </c>
      <c r="BI29" s="22">
        <v>1372</v>
      </c>
      <c r="BJ29" s="22">
        <v>1410.5</v>
      </c>
      <c r="BK29" s="22">
        <v>1414</v>
      </c>
      <c r="BL29" s="22">
        <v>1429.5</v>
      </c>
      <c r="BM29" s="1">
        <v>1419.5</v>
      </c>
      <c r="BN29" s="1">
        <v>1430.5</v>
      </c>
      <c r="BO29" s="1">
        <v>1450</v>
      </c>
      <c r="BP29" s="1">
        <v>1466.5</v>
      </c>
    </row>
    <row r="30" spans="1:68" ht="15.9" customHeight="1">
      <c r="A30" s="81" t="s">
        <v>55</v>
      </c>
      <c r="B30" s="17" t="s">
        <v>56</v>
      </c>
      <c r="C30" s="26" t="str">
        <f>_xll.RssMarket("6254","始値")</f>
        <v/>
      </c>
      <c r="D30" s="25" t="e">
        <f t="shared" si="0"/>
        <v>#VALUE!</v>
      </c>
      <c r="E30" s="22">
        <v>4110</v>
      </c>
      <c r="F30" s="22">
        <v>4400</v>
      </c>
      <c r="G30" s="22">
        <v>4255</v>
      </c>
      <c r="H30" s="22">
        <v>4565</v>
      </c>
      <c r="I30" s="22">
        <v>4515</v>
      </c>
      <c r="J30" s="22">
        <v>4290</v>
      </c>
      <c r="K30" s="22">
        <v>4320</v>
      </c>
      <c r="L30" s="22">
        <v>4560</v>
      </c>
      <c r="M30" s="22">
        <v>4980</v>
      </c>
      <c r="N30" s="22">
        <v>4680</v>
      </c>
      <c r="O30" s="22">
        <v>4920</v>
      </c>
      <c r="P30" s="22">
        <v>5060</v>
      </c>
      <c r="Q30" s="22">
        <v>5010</v>
      </c>
      <c r="R30" s="22">
        <v>4715</v>
      </c>
      <c r="S30" s="22">
        <v>4810</v>
      </c>
      <c r="T30" s="22">
        <v>4950</v>
      </c>
      <c r="U30" s="22">
        <v>5000</v>
      </c>
      <c r="V30" s="22">
        <v>5450</v>
      </c>
      <c r="W30" s="22">
        <v>4840</v>
      </c>
      <c r="X30" s="22">
        <v>5200</v>
      </c>
      <c r="Y30" s="22">
        <v>4970</v>
      </c>
      <c r="Z30" s="22">
        <v>4500</v>
      </c>
      <c r="AA30" s="22">
        <v>4615</v>
      </c>
      <c r="AB30" s="22">
        <v>4590</v>
      </c>
      <c r="AC30" s="22">
        <v>4090</v>
      </c>
      <c r="AD30" s="22">
        <v>3800</v>
      </c>
      <c r="AE30" s="22">
        <v>4065</v>
      </c>
      <c r="AF30" s="22">
        <v>3980</v>
      </c>
      <c r="AG30" s="22">
        <v>4385</v>
      </c>
      <c r="AH30" s="22">
        <v>4315</v>
      </c>
      <c r="AI30" s="22">
        <v>4400</v>
      </c>
      <c r="AJ30" s="22">
        <v>4545</v>
      </c>
      <c r="AK30" s="22">
        <v>4850</v>
      </c>
      <c r="AL30" s="22">
        <v>4585</v>
      </c>
      <c r="AM30" s="22">
        <v>5150</v>
      </c>
      <c r="AN30" s="22">
        <v>5200</v>
      </c>
      <c r="AO30" s="22">
        <v>4725</v>
      </c>
      <c r="AP30" s="22">
        <v>4600</v>
      </c>
      <c r="AQ30" s="22">
        <v>4605</v>
      </c>
      <c r="AR30" s="22">
        <v>4845</v>
      </c>
      <c r="AS30" s="22">
        <v>5110</v>
      </c>
      <c r="AT30" s="22">
        <v>4845</v>
      </c>
      <c r="AU30" s="22">
        <v>4400</v>
      </c>
      <c r="AV30" s="22">
        <v>4420</v>
      </c>
      <c r="AW30" s="22">
        <v>4650</v>
      </c>
      <c r="AX30" s="22">
        <v>4550</v>
      </c>
      <c r="AY30" s="22">
        <v>4010</v>
      </c>
      <c r="AZ30" s="22">
        <v>3900</v>
      </c>
      <c r="BA30" s="22">
        <v>3665</v>
      </c>
      <c r="BB30" s="22">
        <v>3715</v>
      </c>
      <c r="BC30" s="22">
        <v>3705</v>
      </c>
      <c r="BD30" s="22">
        <v>3660</v>
      </c>
      <c r="BE30" s="22">
        <v>3720</v>
      </c>
      <c r="BF30" s="22">
        <v>3750</v>
      </c>
      <c r="BG30" s="22">
        <v>3820</v>
      </c>
      <c r="BH30" s="22">
        <v>3810</v>
      </c>
      <c r="BI30" s="22">
        <v>3785</v>
      </c>
      <c r="BJ30" s="22">
        <v>3735</v>
      </c>
      <c r="BK30" s="22">
        <v>3660</v>
      </c>
      <c r="BL30" s="22">
        <v>3670</v>
      </c>
      <c r="BM30" s="1">
        <v>3630</v>
      </c>
      <c r="BN30" s="1">
        <v>3565</v>
      </c>
      <c r="BO30" s="1">
        <v>3465</v>
      </c>
      <c r="BP30" s="1">
        <v>3380</v>
      </c>
    </row>
    <row r="31" spans="1:68" ht="15.9" customHeight="1">
      <c r="A31" s="81" t="s">
        <v>57</v>
      </c>
      <c r="B31" s="17" t="s">
        <v>58</v>
      </c>
      <c r="C31" s="26" t="str">
        <f>_xll.RssMarket("8309","始値")</f>
        <v/>
      </c>
      <c r="D31" s="25" t="e">
        <f t="shared" si="0"/>
        <v>#VALUE!</v>
      </c>
      <c r="E31" s="22">
        <v>6680</v>
      </c>
      <c r="F31" s="22">
        <v>6763</v>
      </c>
      <c r="G31" s="22">
        <v>6651</v>
      </c>
      <c r="H31" s="22">
        <v>6580</v>
      </c>
      <c r="I31" s="22">
        <v>6641</v>
      </c>
      <c r="J31" s="22">
        <v>6539</v>
      </c>
      <c r="K31" s="22">
        <v>6544</v>
      </c>
      <c r="L31" s="22">
        <v>6581</v>
      </c>
      <c r="M31" s="22">
        <v>6380</v>
      </c>
      <c r="N31" s="22">
        <v>6327</v>
      </c>
      <c r="O31" s="22">
        <v>6220</v>
      </c>
      <c r="P31" s="22">
        <v>6071</v>
      </c>
      <c r="Q31" s="22">
        <v>6056</v>
      </c>
      <c r="R31" s="22">
        <v>6019</v>
      </c>
      <c r="S31" s="22">
        <v>5975</v>
      </c>
      <c r="T31" s="22">
        <v>5989</v>
      </c>
      <c r="U31" s="22">
        <v>6086</v>
      </c>
      <c r="V31" s="22">
        <v>6165</v>
      </c>
      <c r="W31" s="22">
        <v>5992</v>
      </c>
      <c r="X31" s="22">
        <v>6133</v>
      </c>
      <c r="Y31" s="22">
        <v>6087</v>
      </c>
      <c r="Z31" s="22">
        <v>6039</v>
      </c>
      <c r="AA31" s="22">
        <v>5971</v>
      </c>
      <c r="AB31" s="22">
        <v>6061</v>
      </c>
      <c r="AC31" s="22">
        <v>5984</v>
      </c>
      <c r="AD31" s="22">
        <v>5897</v>
      </c>
      <c r="AE31" s="22">
        <v>5947</v>
      </c>
      <c r="AF31" s="22">
        <v>5735</v>
      </c>
      <c r="AG31" s="22">
        <v>5893</v>
      </c>
      <c r="AH31" s="22">
        <v>5719</v>
      </c>
      <c r="AI31" s="22">
        <v>5579</v>
      </c>
      <c r="AJ31" s="22">
        <v>5414</v>
      </c>
      <c r="AK31" s="22">
        <v>5562</v>
      </c>
      <c r="AL31" s="22">
        <v>5585</v>
      </c>
      <c r="AM31" s="22">
        <v>5620</v>
      </c>
      <c r="AN31" s="22">
        <v>5607</v>
      </c>
      <c r="AO31" s="22">
        <v>5691</v>
      </c>
      <c r="AP31" s="22">
        <v>5740</v>
      </c>
      <c r="AQ31" s="22">
        <v>5800</v>
      </c>
      <c r="AR31" s="22">
        <v>5564</v>
      </c>
      <c r="AS31" s="22">
        <v>5614</v>
      </c>
      <c r="AT31" s="22">
        <v>5605</v>
      </c>
      <c r="AU31" s="22">
        <v>5650</v>
      </c>
      <c r="AV31" s="22">
        <v>5561</v>
      </c>
      <c r="AW31" s="22">
        <v>5540</v>
      </c>
      <c r="AX31" s="22">
        <v>5410</v>
      </c>
      <c r="AY31" s="22">
        <v>5480</v>
      </c>
      <c r="AZ31" s="22">
        <v>5401</v>
      </c>
      <c r="BA31" s="22">
        <v>5278</v>
      </c>
      <c r="BB31" s="22">
        <v>5240</v>
      </c>
      <c r="BC31" s="22">
        <v>5164</v>
      </c>
      <c r="BD31" s="22">
        <v>5036</v>
      </c>
      <c r="BE31" s="22">
        <v>5147</v>
      </c>
      <c r="BF31" s="22">
        <v>5117</v>
      </c>
      <c r="BG31" s="22">
        <v>5180</v>
      </c>
      <c r="BH31" s="22">
        <v>5285</v>
      </c>
      <c r="BI31" s="22">
        <v>5416</v>
      </c>
      <c r="BJ31" s="22">
        <v>5465</v>
      </c>
      <c r="BK31" s="22">
        <v>5500</v>
      </c>
      <c r="BL31" s="22">
        <v>5440</v>
      </c>
      <c r="BM31" s="1">
        <v>5407</v>
      </c>
      <c r="BN31" s="1">
        <v>5322</v>
      </c>
      <c r="BO31" s="1">
        <v>5327</v>
      </c>
      <c r="BP31" s="1">
        <v>5428</v>
      </c>
    </row>
    <row r="32" spans="1:68" ht="15.9" customHeight="1">
      <c r="A32" s="81" t="s">
        <v>59</v>
      </c>
      <c r="B32" s="17" t="s">
        <v>60</v>
      </c>
      <c r="C32" s="26" t="str">
        <f>_xll.RssMarket("3863","始値")</f>
        <v/>
      </c>
      <c r="D32" s="25" t="e">
        <f t="shared" si="0"/>
        <v>#VALUE!</v>
      </c>
      <c r="E32" s="22">
        <v>1454</v>
      </c>
      <c r="F32" s="22">
        <v>1378</v>
      </c>
      <c r="G32" s="22">
        <v>1356</v>
      </c>
      <c r="H32" s="22">
        <v>1324</v>
      </c>
      <c r="I32" s="22">
        <v>1314</v>
      </c>
      <c r="J32" s="22">
        <v>1344</v>
      </c>
      <c r="K32" s="22">
        <v>1340</v>
      </c>
      <c r="L32" s="22">
        <v>1335</v>
      </c>
      <c r="M32" s="22">
        <v>1314</v>
      </c>
      <c r="N32" s="22">
        <v>1336</v>
      </c>
      <c r="O32" s="22">
        <v>1309</v>
      </c>
      <c r="P32" s="22">
        <v>1299</v>
      </c>
      <c r="Q32" s="22">
        <v>1267</v>
      </c>
      <c r="R32" s="22">
        <v>1270</v>
      </c>
      <c r="S32" s="22">
        <v>1256</v>
      </c>
      <c r="T32" s="22">
        <v>1210</v>
      </c>
      <c r="U32" s="22">
        <v>1192</v>
      </c>
      <c r="V32" s="22">
        <v>1190</v>
      </c>
      <c r="W32" s="22">
        <v>1193</v>
      </c>
      <c r="X32" s="22">
        <v>1175</v>
      </c>
      <c r="Y32" s="22">
        <v>1225</v>
      </c>
      <c r="Z32" s="22">
        <v>1245</v>
      </c>
      <c r="AA32" s="22">
        <v>1246</v>
      </c>
      <c r="AB32" s="22">
        <v>1230</v>
      </c>
      <c r="AC32" s="22">
        <v>1214</v>
      </c>
      <c r="AD32" s="22">
        <v>1200</v>
      </c>
      <c r="AE32" s="22">
        <v>1230</v>
      </c>
      <c r="AF32" s="22">
        <v>1214</v>
      </c>
      <c r="AG32" s="22">
        <v>1176</v>
      </c>
      <c r="AH32" s="22">
        <v>1198</v>
      </c>
      <c r="AI32" s="22">
        <v>1200</v>
      </c>
      <c r="AJ32" s="22">
        <v>1219</v>
      </c>
      <c r="AK32" s="22">
        <v>1360</v>
      </c>
      <c r="AL32" s="22">
        <v>1351</v>
      </c>
      <c r="AM32" s="22">
        <v>1325</v>
      </c>
      <c r="AN32" s="22">
        <v>1379</v>
      </c>
      <c r="AO32" s="22">
        <v>1375</v>
      </c>
      <c r="AP32" s="22">
        <v>1407</v>
      </c>
      <c r="AQ32" s="22">
        <v>1420</v>
      </c>
      <c r="AR32" s="22">
        <v>1498</v>
      </c>
      <c r="AS32" s="22">
        <v>1442</v>
      </c>
      <c r="AT32" s="22">
        <v>1497</v>
      </c>
      <c r="AU32" s="22">
        <v>1466</v>
      </c>
      <c r="AV32" s="22">
        <v>1567</v>
      </c>
      <c r="AW32" s="22">
        <v>1448</v>
      </c>
      <c r="AX32" s="22">
        <v>1460</v>
      </c>
      <c r="AY32" s="22">
        <v>1424</v>
      </c>
      <c r="AZ32" s="22">
        <v>1374</v>
      </c>
      <c r="BA32" s="22">
        <v>1302</v>
      </c>
      <c r="BB32" s="22">
        <v>1255</v>
      </c>
      <c r="BC32" s="22">
        <v>1301</v>
      </c>
      <c r="BD32" s="22">
        <v>1432</v>
      </c>
      <c r="BE32" s="22">
        <v>1419</v>
      </c>
      <c r="BF32" s="22">
        <v>1455</v>
      </c>
      <c r="BG32" s="22">
        <v>1495</v>
      </c>
      <c r="BH32" s="22">
        <v>1468</v>
      </c>
      <c r="BI32" s="22">
        <v>1440</v>
      </c>
      <c r="BJ32" s="22">
        <v>1416</v>
      </c>
      <c r="BK32" s="22">
        <v>1374</v>
      </c>
      <c r="BL32" s="22">
        <v>1332</v>
      </c>
      <c r="BM32" s="1">
        <v>1317</v>
      </c>
      <c r="BN32" s="1">
        <v>1323</v>
      </c>
      <c r="BO32" s="1">
        <v>1308</v>
      </c>
      <c r="BP32" s="1">
        <v>1337</v>
      </c>
    </row>
    <row r="33" spans="1:68" ht="15.9" customHeight="1">
      <c r="A33" s="81" t="s">
        <v>61</v>
      </c>
      <c r="B33" s="17" t="s">
        <v>62</v>
      </c>
      <c r="C33" s="26" t="str">
        <f>_xll.RssMarket("8601","始値")</f>
        <v/>
      </c>
      <c r="D33" s="25" t="e">
        <f t="shared" si="0"/>
        <v>#VALUE!</v>
      </c>
      <c r="E33" s="22">
        <v>1850</v>
      </c>
      <c r="F33" s="22">
        <v>1838</v>
      </c>
      <c r="G33" s="22">
        <v>1780</v>
      </c>
      <c r="H33" s="22">
        <v>1771.5</v>
      </c>
      <c r="I33" s="22">
        <v>1737.5</v>
      </c>
      <c r="J33" s="22">
        <v>1772.5</v>
      </c>
      <c r="K33" s="22">
        <v>1733.5</v>
      </c>
      <c r="L33" s="22">
        <v>1691</v>
      </c>
      <c r="M33" s="22">
        <v>1673</v>
      </c>
      <c r="N33" s="22">
        <v>1631.5</v>
      </c>
      <c r="O33" s="22">
        <v>1614.5</v>
      </c>
      <c r="P33" s="22">
        <v>1595</v>
      </c>
      <c r="Q33" s="22">
        <v>1606.5</v>
      </c>
      <c r="R33" s="22">
        <v>1596</v>
      </c>
      <c r="S33" s="22">
        <v>1604</v>
      </c>
      <c r="T33" s="22">
        <v>1599</v>
      </c>
      <c r="U33" s="22">
        <v>1626</v>
      </c>
      <c r="V33" s="22">
        <v>1586</v>
      </c>
      <c r="W33" s="22">
        <v>1616</v>
      </c>
      <c r="X33" s="22">
        <v>1620</v>
      </c>
      <c r="Y33" s="22">
        <v>1614</v>
      </c>
      <c r="Z33" s="22">
        <v>1587.5</v>
      </c>
      <c r="AA33" s="22">
        <v>1603.5</v>
      </c>
      <c r="AB33" s="22">
        <v>1565</v>
      </c>
      <c r="AC33" s="22">
        <v>1546</v>
      </c>
      <c r="AD33" s="22">
        <v>1588</v>
      </c>
      <c r="AE33" s="22">
        <v>1540</v>
      </c>
      <c r="AF33" s="22">
        <v>1545</v>
      </c>
      <c r="AG33" s="22">
        <v>1560</v>
      </c>
      <c r="AH33" s="22">
        <v>1496</v>
      </c>
      <c r="AI33" s="22">
        <v>1485</v>
      </c>
      <c r="AJ33" s="22">
        <v>1456</v>
      </c>
      <c r="AK33" s="22">
        <v>1462</v>
      </c>
      <c r="AL33" s="22">
        <v>1488.5</v>
      </c>
      <c r="AM33" s="22">
        <v>1511</v>
      </c>
      <c r="AN33" s="22">
        <v>1499.5</v>
      </c>
      <c r="AO33" s="22">
        <v>1504</v>
      </c>
      <c r="AP33" s="22">
        <v>1484.5</v>
      </c>
      <c r="AQ33" s="22">
        <v>1478.5</v>
      </c>
      <c r="AR33" s="22">
        <v>1474</v>
      </c>
      <c r="AS33" s="22">
        <v>1500</v>
      </c>
      <c r="AT33" s="22">
        <v>1468.5</v>
      </c>
      <c r="AU33" s="22">
        <v>1468</v>
      </c>
      <c r="AV33" s="22">
        <v>1441.5</v>
      </c>
      <c r="AW33" s="22">
        <v>1479.5</v>
      </c>
      <c r="AX33" s="22">
        <v>1491</v>
      </c>
      <c r="AY33" s="22">
        <v>1455</v>
      </c>
      <c r="AZ33" s="22">
        <v>1450</v>
      </c>
      <c r="BA33" s="22">
        <v>1416.5</v>
      </c>
      <c r="BB33" s="22">
        <v>1485</v>
      </c>
      <c r="BC33" s="22">
        <v>1512</v>
      </c>
      <c r="BD33" s="22">
        <v>1509</v>
      </c>
      <c r="BE33" s="22">
        <v>1524</v>
      </c>
      <c r="BF33" s="22">
        <v>1532</v>
      </c>
      <c r="BG33" s="22">
        <v>1536</v>
      </c>
      <c r="BH33" s="22">
        <v>1548</v>
      </c>
      <c r="BI33" s="22">
        <v>1589</v>
      </c>
      <c r="BJ33" s="22">
        <v>1573</v>
      </c>
      <c r="BK33" s="22">
        <v>1565</v>
      </c>
      <c r="BL33" s="22">
        <v>1531</v>
      </c>
      <c r="BM33" s="1">
        <v>1546.5</v>
      </c>
      <c r="BN33" s="1">
        <v>1578</v>
      </c>
      <c r="BO33" s="1">
        <v>1584.5</v>
      </c>
    </row>
    <row r="34" spans="1:68" ht="15.9" customHeight="1">
      <c r="A34" s="81" t="s">
        <v>63</v>
      </c>
      <c r="B34" s="17" t="s">
        <v>64</v>
      </c>
      <c r="C34" s="26" t="str">
        <f>_xll.RssMarket("5233","始値")</f>
        <v/>
      </c>
      <c r="D34" s="25" t="e">
        <f t="shared" si="0"/>
        <v>#VALUE!</v>
      </c>
      <c r="E34" s="22">
        <v>3957</v>
      </c>
      <c r="F34" s="22">
        <v>3998</v>
      </c>
      <c r="G34" s="22">
        <v>3919</v>
      </c>
      <c r="H34" s="22">
        <v>3974</v>
      </c>
      <c r="I34" s="22">
        <v>3949</v>
      </c>
      <c r="J34" s="22">
        <v>3970</v>
      </c>
      <c r="K34" s="22">
        <v>4051</v>
      </c>
      <c r="L34" s="22">
        <v>4160</v>
      </c>
      <c r="M34" s="22">
        <v>4092</v>
      </c>
      <c r="N34" s="22">
        <v>4005</v>
      </c>
      <c r="O34" s="22">
        <v>3936</v>
      </c>
      <c r="P34" s="22">
        <v>3981</v>
      </c>
      <c r="Q34" s="22">
        <v>4025</v>
      </c>
      <c r="R34" s="22">
        <v>4077</v>
      </c>
      <c r="S34" s="22">
        <v>4092</v>
      </c>
      <c r="T34" s="22">
        <v>4143</v>
      </c>
      <c r="U34" s="22">
        <v>4092</v>
      </c>
      <c r="V34" s="22">
        <v>4206</v>
      </c>
      <c r="W34" s="22">
        <v>4251</v>
      </c>
      <c r="X34" s="22">
        <v>4400</v>
      </c>
      <c r="Y34" s="22">
        <v>4403</v>
      </c>
      <c r="Z34" s="22">
        <v>4367</v>
      </c>
      <c r="AA34" s="22">
        <v>4383</v>
      </c>
      <c r="AB34" s="22">
        <v>4303</v>
      </c>
      <c r="AC34" s="22">
        <v>4145</v>
      </c>
      <c r="AD34" s="22">
        <v>4016</v>
      </c>
      <c r="AE34" s="22">
        <v>4169</v>
      </c>
      <c r="AF34" s="22">
        <v>4264</v>
      </c>
      <c r="AG34" s="22">
        <v>4403</v>
      </c>
      <c r="AH34" s="22">
        <v>4448</v>
      </c>
      <c r="AI34" s="22">
        <v>4403</v>
      </c>
      <c r="AJ34" s="22">
        <v>4402</v>
      </c>
      <c r="AK34" s="22">
        <v>4475</v>
      </c>
      <c r="AL34" s="22">
        <v>4260</v>
      </c>
      <c r="AM34" s="22">
        <v>4177</v>
      </c>
      <c r="AN34" s="22">
        <v>4130</v>
      </c>
      <c r="AO34" s="22">
        <v>4117</v>
      </c>
      <c r="AP34" s="22">
        <v>4040</v>
      </c>
      <c r="AQ34" s="22">
        <v>3947</v>
      </c>
      <c r="AR34" s="22">
        <v>3929</v>
      </c>
      <c r="AS34" s="22">
        <v>3959</v>
      </c>
      <c r="AT34" s="22">
        <v>4064</v>
      </c>
      <c r="AU34" s="22">
        <v>4220</v>
      </c>
      <c r="AV34" s="22">
        <v>4201</v>
      </c>
      <c r="AW34" s="22">
        <v>3704</v>
      </c>
      <c r="AX34" s="22">
        <v>3554</v>
      </c>
      <c r="AY34" s="22">
        <v>3653</v>
      </c>
      <c r="AZ34" s="22">
        <v>3624</v>
      </c>
      <c r="BA34" s="22">
        <v>3558</v>
      </c>
      <c r="BB34" s="22">
        <v>3533</v>
      </c>
      <c r="BC34" s="22">
        <v>3658</v>
      </c>
      <c r="BD34" s="22">
        <v>3562</v>
      </c>
      <c r="BE34" s="22">
        <v>3539</v>
      </c>
      <c r="BF34" s="22">
        <v>3584</v>
      </c>
      <c r="BG34" s="22">
        <v>3672</v>
      </c>
      <c r="BH34" s="22">
        <v>3705</v>
      </c>
      <c r="BI34" s="22">
        <v>3715</v>
      </c>
      <c r="BJ34" s="22">
        <v>3707</v>
      </c>
      <c r="BK34" s="22">
        <v>3673</v>
      </c>
      <c r="BL34" s="22">
        <v>3688</v>
      </c>
      <c r="BM34" s="1">
        <v>3760</v>
      </c>
      <c r="BN34" s="1">
        <v>3694</v>
      </c>
      <c r="BO34" s="1">
        <v>3705</v>
      </c>
      <c r="BP34" s="1">
        <v>3779</v>
      </c>
    </row>
    <row r="35" spans="1:68" ht="15.9" customHeight="1">
      <c r="A35" s="81" t="s">
        <v>65</v>
      </c>
      <c r="B35" s="17" t="s">
        <v>66</v>
      </c>
      <c r="C35" s="26" t="str">
        <f>_xll.RssMarket("8308","始値")</f>
        <v/>
      </c>
      <c r="D35" s="25" t="e">
        <f t="shared" si="0"/>
        <v>#VALUE!</v>
      </c>
      <c r="E35" s="22">
        <v>2350</v>
      </c>
      <c r="F35" s="22">
        <v>2384</v>
      </c>
      <c r="G35" s="22">
        <v>2362.5</v>
      </c>
      <c r="H35" s="22">
        <v>2340</v>
      </c>
      <c r="I35" s="22">
        <v>2376.5</v>
      </c>
      <c r="J35" s="22">
        <v>2341</v>
      </c>
      <c r="K35" s="22">
        <v>2383</v>
      </c>
      <c r="L35" s="22">
        <v>2252</v>
      </c>
      <c r="M35" s="22">
        <v>2225</v>
      </c>
      <c r="N35" s="22">
        <v>2154</v>
      </c>
      <c r="O35" s="22">
        <v>2085</v>
      </c>
      <c r="P35" s="22">
        <v>2123</v>
      </c>
      <c r="Q35" s="22">
        <v>2114</v>
      </c>
      <c r="R35" s="22">
        <v>2116</v>
      </c>
      <c r="S35" s="22">
        <v>2155</v>
      </c>
      <c r="T35" s="22">
        <v>2170.5</v>
      </c>
      <c r="U35" s="22">
        <v>2260</v>
      </c>
      <c r="V35" s="22">
        <v>2150</v>
      </c>
      <c r="W35" s="22">
        <v>2255</v>
      </c>
      <c r="X35" s="22">
        <v>2230</v>
      </c>
      <c r="Y35" s="22">
        <v>2222.5</v>
      </c>
      <c r="Z35" s="22">
        <v>2170.5</v>
      </c>
      <c r="AA35" s="22">
        <v>2210.5</v>
      </c>
      <c r="AB35" s="22">
        <v>2168</v>
      </c>
      <c r="AC35" s="22">
        <v>2111</v>
      </c>
      <c r="AD35" s="22">
        <v>2150</v>
      </c>
      <c r="AE35" s="22">
        <v>2080.5</v>
      </c>
      <c r="AF35" s="22">
        <v>2123.5</v>
      </c>
      <c r="AG35" s="22">
        <v>2085.5</v>
      </c>
      <c r="AH35" s="22">
        <v>2035</v>
      </c>
      <c r="AI35" s="22">
        <v>1998.5</v>
      </c>
      <c r="AJ35" s="22">
        <v>2045</v>
      </c>
      <c r="AK35" s="22">
        <v>2031.5</v>
      </c>
      <c r="AL35" s="22">
        <v>2061</v>
      </c>
      <c r="AM35" s="22">
        <v>2121.5</v>
      </c>
      <c r="AN35" s="22">
        <v>2131.5</v>
      </c>
      <c r="AO35" s="22">
        <v>2072</v>
      </c>
      <c r="AP35" s="22">
        <v>2128</v>
      </c>
      <c r="AQ35" s="22">
        <v>2039.5</v>
      </c>
      <c r="AR35" s="22">
        <v>2051.5</v>
      </c>
      <c r="AS35" s="22">
        <v>2065</v>
      </c>
      <c r="AT35" s="22">
        <v>2041.5</v>
      </c>
      <c r="AU35" s="22">
        <v>2043</v>
      </c>
      <c r="AV35" s="22">
        <v>2026.5</v>
      </c>
      <c r="AW35" s="22">
        <v>1952.5</v>
      </c>
      <c r="AX35" s="22">
        <v>1962</v>
      </c>
      <c r="AY35" s="22">
        <v>2000</v>
      </c>
      <c r="AZ35" s="22">
        <v>1916</v>
      </c>
      <c r="BA35" s="22">
        <v>1900</v>
      </c>
      <c r="BB35" s="22">
        <v>1868</v>
      </c>
      <c r="BC35" s="22">
        <v>1808</v>
      </c>
      <c r="BD35" s="22">
        <v>1834.5</v>
      </c>
      <c r="BE35" s="22">
        <v>1830</v>
      </c>
      <c r="BF35" s="22">
        <v>1891</v>
      </c>
      <c r="BG35" s="22">
        <v>1950</v>
      </c>
      <c r="BH35" s="22">
        <v>2006</v>
      </c>
      <c r="BI35" s="22">
        <v>1949.5</v>
      </c>
      <c r="BJ35" s="22">
        <v>1959.5</v>
      </c>
      <c r="BK35" s="22">
        <v>1943</v>
      </c>
      <c r="BL35" s="22">
        <v>1906</v>
      </c>
      <c r="BM35" s="1">
        <v>1880</v>
      </c>
      <c r="BN35" s="1">
        <v>1897</v>
      </c>
      <c r="BO35" s="1">
        <v>1925</v>
      </c>
      <c r="BP35" s="1">
        <v>1973</v>
      </c>
    </row>
    <row r="36" spans="1:68" ht="15.9" customHeight="1">
      <c r="A36" s="81" t="s">
        <v>67</v>
      </c>
      <c r="B36" s="17" t="s">
        <v>68</v>
      </c>
      <c r="C36" s="26" t="str">
        <f>_xll.RssMarket("5938","始値")</f>
        <v/>
      </c>
      <c r="D36" s="25" t="e">
        <f t="shared" si="0"/>
        <v>#VALUE!</v>
      </c>
      <c r="E36" s="22">
        <v>1897</v>
      </c>
      <c r="F36" s="22">
        <v>1886.5</v>
      </c>
      <c r="G36" s="22">
        <v>1843.5</v>
      </c>
      <c r="H36" s="22">
        <v>1855</v>
      </c>
      <c r="I36" s="22">
        <v>1883</v>
      </c>
      <c r="J36" s="22">
        <v>1894.5</v>
      </c>
      <c r="K36" s="22">
        <v>1890</v>
      </c>
      <c r="L36" s="22">
        <v>1866.5</v>
      </c>
      <c r="M36" s="22">
        <v>1835</v>
      </c>
      <c r="N36" s="22">
        <v>1800</v>
      </c>
      <c r="O36" s="22">
        <v>1813</v>
      </c>
      <c r="P36" s="22">
        <v>1801</v>
      </c>
      <c r="Q36" s="22">
        <v>1774</v>
      </c>
      <c r="R36" s="22">
        <v>1763.5</v>
      </c>
      <c r="S36" s="22">
        <v>1750</v>
      </c>
      <c r="T36" s="22">
        <v>1712</v>
      </c>
      <c r="U36" s="22">
        <v>1740.5</v>
      </c>
      <c r="V36" s="22">
        <v>1732</v>
      </c>
      <c r="W36" s="22">
        <v>1725</v>
      </c>
      <c r="X36" s="22">
        <v>1714</v>
      </c>
      <c r="Y36" s="22">
        <v>1728</v>
      </c>
      <c r="Z36" s="22">
        <v>1734</v>
      </c>
      <c r="AA36" s="22">
        <v>1730</v>
      </c>
      <c r="AB36" s="22">
        <v>1738</v>
      </c>
      <c r="AC36" s="22">
        <v>1720</v>
      </c>
      <c r="AD36" s="22">
        <v>1721.5</v>
      </c>
      <c r="AE36" s="22">
        <v>1705</v>
      </c>
      <c r="AF36" s="22">
        <v>1708</v>
      </c>
      <c r="AG36" s="22">
        <v>1707</v>
      </c>
      <c r="AH36" s="22">
        <v>1688</v>
      </c>
      <c r="AI36" s="22">
        <v>1686</v>
      </c>
      <c r="AJ36" s="22">
        <v>1696</v>
      </c>
      <c r="AK36" s="22">
        <v>1682</v>
      </c>
      <c r="AL36" s="22">
        <v>1654</v>
      </c>
      <c r="AM36" s="22">
        <v>1645</v>
      </c>
      <c r="AN36" s="22">
        <v>1639.5</v>
      </c>
      <c r="AO36" s="22">
        <v>1645</v>
      </c>
      <c r="AP36" s="22">
        <v>1649</v>
      </c>
      <c r="AQ36" s="22">
        <v>1675</v>
      </c>
      <c r="AR36" s="22">
        <v>1660</v>
      </c>
      <c r="AS36" s="22">
        <v>1670</v>
      </c>
      <c r="AT36" s="22">
        <v>1678</v>
      </c>
      <c r="AU36" s="22">
        <v>1670.5</v>
      </c>
      <c r="AV36" s="22">
        <v>1702</v>
      </c>
      <c r="AW36" s="22">
        <v>1696</v>
      </c>
      <c r="AX36" s="22">
        <v>1664</v>
      </c>
      <c r="AY36" s="22">
        <v>1621</v>
      </c>
      <c r="AZ36" s="22">
        <v>1603.5</v>
      </c>
      <c r="BA36" s="22">
        <v>1610</v>
      </c>
      <c r="BB36" s="22">
        <v>1606</v>
      </c>
      <c r="BC36" s="22">
        <v>1620.5</v>
      </c>
      <c r="BD36" s="22">
        <v>1615</v>
      </c>
      <c r="BE36" s="22">
        <v>1636</v>
      </c>
      <c r="BF36" s="22">
        <v>1654.5</v>
      </c>
      <c r="BG36" s="22">
        <v>1635.5</v>
      </c>
      <c r="BH36" s="22">
        <v>1624.5</v>
      </c>
      <c r="BI36" s="22">
        <v>1620</v>
      </c>
      <c r="BJ36" s="22">
        <v>1611</v>
      </c>
      <c r="BK36" s="22">
        <v>1614.5</v>
      </c>
      <c r="BL36" s="22">
        <v>1663</v>
      </c>
      <c r="BM36" s="1">
        <v>1661.5</v>
      </c>
      <c r="BN36" s="1">
        <v>1679</v>
      </c>
      <c r="BO36" s="1">
        <v>1669</v>
      </c>
    </row>
    <row r="37" spans="1:68" ht="15.9" customHeight="1">
      <c r="A37" s="81" t="s">
        <v>69</v>
      </c>
      <c r="B37" s="17" t="s">
        <v>70</v>
      </c>
      <c r="C37" s="26" t="str">
        <f>_xll.RssMarket("8570","始値")</f>
        <v/>
      </c>
      <c r="D37" s="25" t="e">
        <f t="shared" si="0"/>
        <v>#VALUE!</v>
      </c>
      <c r="E37" s="22">
        <v>1530</v>
      </c>
      <c r="F37" s="22">
        <v>1572.5</v>
      </c>
      <c r="G37" s="22">
        <v>1529</v>
      </c>
      <c r="H37" s="22">
        <v>1558</v>
      </c>
      <c r="I37" s="22">
        <v>1527</v>
      </c>
      <c r="J37" s="22">
        <v>1517</v>
      </c>
      <c r="K37" s="22">
        <v>1521.5</v>
      </c>
      <c r="L37" s="22">
        <v>1533</v>
      </c>
      <c r="M37" s="22">
        <v>1506</v>
      </c>
      <c r="N37" s="22">
        <v>1498</v>
      </c>
      <c r="O37" s="22">
        <v>1495</v>
      </c>
      <c r="P37" s="22">
        <v>1466.5</v>
      </c>
      <c r="Q37" s="22">
        <v>1470</v>
      </c>
      <c r="R37" s="22">
        <v>1475</v>
      </c>
      <c r="S37" s="22">
        <v>1465.5</v>
      </c>
      <c r="T37" s="22">
        <v>1461</v>
      </c>
      <c r="U37" s="22">
        <v>1447</v>
      </c>
      <c r="V37" s="22">
        <v>1460</v>
      </c>
      <c r="W37" s="22">
        <v>1452.5</v>
      </c>
      <c r="X37" s="22">
        <v>1471</v>
      </c>
      <c r="Y37" s="22">
        <v>1499</v>
      </c>
      <c r="Z37" s="22">
        <v>1514</v>
      </c>
      <c r="AA37" s="22">
        <v>1498</v>
      </c>
      <c r="AB37" s="22">
        <v>1520</v>
      </c>
      <c r="AC37" s="22">
        <v>1506</v>
      </c>
      <c r="AD37" s="22">
        <v>1506.5</v>
      </c>
      <c r="AE37" s="22">
        <v>1487</v>
      </c>
      <c r="AF37" s="22">
        <v>1458</v>
      </c>
      <c r="AG37" s="22">
        <v>1451.5</v>
      </c>
      <c r="AH37" s="22">
        <v>1452</v>
      </c>
      <c r="AI37" s="22">
        <v>1463</v>
      </c>
      <c r="AJ37" s="22">
        <v>1438</v>
      </c>
      <c r="AK37" s="22">
        <v>1520</v>
      </c>
      <c r="AL37" s="22">
        <v>1536</v>
      </c>
      <c r="AM37" s="22">
        <v>1530.5</v>
      </c>
      <c r="AN37" s="22">
        <v>1550</v>
      </c>
      <c r="AO37" s="22">
        <v>1592.5</v>
      </c>
      <c r="AP37" s="22">
        <v>1593</v>
      </c>
      <c r="AQ37" s="22">
        <v>1590</v>
      </c>
      <c r="AR37" s="22">
        <v>1584</v>
      </c>
      <c r="AS37" s="22">
        <v>1570</v>
      </c>
      <c r="AT37" s="22">
        <v>1568</v>
      </c>
      <c r="AU37" s="22">
        <v>1560</v>
      </c>
      <c r="AV37" s="22">
        <v>1548.5</v>
      </c>
      <c r="AW37" s="22">
        <v>1515</v>
      </c>
      <c r="AX37" s="22">
        <v>1531</v>
      </c>
      <c r="AY37" s="22">
        <v>1560</v>
      </c>
      <c r="AZ37" s="22">
        <v>1548</v>
      </c>
      <c r="BA37" s="22">
        <v>1540</v>
      </c>
      <c r="BB37" s="22">
        <v>1535.5</v>
      </c>
      <c r="BC37" s="22">
        <v>1561</v>
      </c>
      <c r="BD37" s="22">
        <v>1549.5</v>
      </c>
      <c r="BE37" s="22">
        <v>1544</v>
      </c>
      <c r="BF37" s="22">
        <v>1569</v>
      </c>
      <c r="BG37" s="22">
        <v>1573</v>
      </c>
      <c r="BH37" s="22">
        <v>1606</v>
      </c>
      <c r="BI37" s="22">
        <v>1633</v>
      </c>
      <c r="BJ37" s="22">
        <v>1617</v>
      </c>
      <c r="BK37" s="22">
        <v>1612</v>
      </c>
      <c r="BL37" s="22">
        <v>1520</v>
      </c>
      <c r="BM37" s="1">
        <v>1534</v>
      </c>
      <c r="BN37" s="1">
        <v>1501.5</v>
      </c>
      <c r="BO37" s="1">
        <v>1653.5</v>
      </c>
      <c r="BP37" s="1">
        <v>1621.5</v>
      </c>
    </row>
    <row r="38" spans="1:68" ht="15.9" customHeight="1">
      <c r="A38" s="81" t="s">
        <v>71</v>
      </c>
      <c r="B38" s="17" t="s">
        <v>72</v>
      </c>
      <c r="C38" s="26" t="str">
        <f>_xll.RssMarket("5406","始値")</f>
        <v/>
      </c>
      <c r="D38" s="25" t="e">
        <f t="shared" ref="D38:D69" si="1">C38-E38</f>
        <v>#VALUE!</v>
      </c>
      <c r="E38" s="22">
        <v>1940</v>
      </c>
      <c r="F38" s="22">
        <v>1925.5</v>
      </c>
      <c r="G38" s="22">
        <v>1890.5</v>
      </c>
      <c r="H38" s="22">
        <v>1880</v>
      </c>
      <c r="I38" s="22">
        <v>1878.5</v>
      </c>
      <c r="J38" s="22">
        <v>1900</v>
      </c>
      <c r="K38" s="22">
        <v>1929</v>
      </c>
      <c r="L38" s="22">
        <v>1915</v>
      </c>
      <c r="M38" s="22">
        <v>1881</v>
      </c>
      <c r="N38" s="22">
        <v>1851</v>
      </c>
      <c r="O38" s="22">
        <v>1870.5</v>
      </c>
      <c r="P38" s="22">
        <v>1870</v>
      </c>
      <c r="Q38" s="22">
        <v>1876.5</v>
      </c>
      <c r="R38" s="22">
        <v>1876</v>
      </c>
      <c r="S38" s="22">
        <v>1910.5</v>
      </c>
      <c r="T38" s="22">
        <v>1887.5</v>
      </c>
      <c r="U38" s="22">
        <v>1968.5</v>
      </c>
      <c r="V38" s="22">
        <v>1951</v>
      </c>
      <c r="W38" s="22">
        <v>2002</v>
      </c>
      <c r="X38" s="22">
        <v>1961</v>
      </c>
      <c r="Y38" s="22">
        <v>1989.5</v>
      </c>
      <c r="Z38" s="22">
        <v>2000</v>
      </c>
      <c r="AA38" s="22">
        <v>1970</v>
      </c>
      <c r="AB38" s="22">
        <v>1930</v>
      </c>
      <c r="AC38" s="22">
        <v>1900</v>
      </c>
      <c r="AD38" s="22">
        <v>1922</v>
      </c>
      <c r="AE38" s="22">
        <v>1909.5</v>
      </c>
      <c r="AF38" s="22">
        <v>1950</v>
      </c>
      <c r="AG38" s="22">
        <v>1951.5</v>
      </c>
      <c r="AH38" s="22">
        <v>1960.5</v>
      </c>
      <c r="AI38" s="22">
        <v>1941.5</v>
      </c>
      <c r="AJ38" s="22">
        <v>1960</v>
      </c>
      <c r="AK38" s="22">
        <v>1985</v>
      </c>
      <c r="AL38" s="22">
        <v>1986</v>
      </c>
      <c r="AM38" s="22">
        <v>1969</v>
      </c>
      <c r="AN38" s="22">
        <v>1948</v>
      </c>
      <c r="AO38" s="22">
        <v>1907</v>
      </c>
      <c r="AP38" s="22">
        <v>1917.5</v>
      </c>
      <c r="AQ38" s="22">
        <v>1904</v>
      </c>
      <c r="AR38" s="22">
        <v>1951</v>
      </c>
      <c r="AS38" s="22">
        <v>1960</v>
      </c>
      <c r="AT38" s="22">
        <v>1967</v>
      </c>
      <c r="AU38" s="22">
        <v>1996.5</v>
      </c>
      <c r="AV38" s="22">
        <v>2002.5</v>
      </c>
      <c r="AW38" s="22">
        <v>1935</v>
      </c>
      <c r="AX38" s="22">
        <v>1967</v>
      </c>
      <c r="AY38" s="22">
        <v>1975</v>
      </c>
      <c r="AZ38" s="22">
        <v>1910</v>
      </c>
      <c r="BA38" s="22">
        <v>1878</v>
      </c>
      <c r="BB38" s="22">
        <v>1876</v>
      </c>
      <c r="BC38" s="22">
        <v>1850</v>
      </c>
      <c r="BD38" s="22">
        <v>1848</v>
      </c>
      <c r="BE38" s="22">
        <v>1866</v>
      </c>
      <c r="BF38" s="22">
        <v>1900</v>
      </c>
      <c r="BG38" s="22">
        <v>1937</v>
      </c>
      <c r="BH38" s="22">
        <v>1944</v>
      </c>
      <c r="BI38" s="22">
        <v>1938</v>
      </c>
      <c r="BJ38" s="22">
        <v>1945</v>
      </c>
      <c r="BK38" s="22">
        <v>1939</v>
      </c>
      <c r="BL38" s="22">
        <v>1969</v>
      </c>
      <c r="BM38" s="1">
        <v>1943</v>
      </c>
      <c r="BN38" s="1">
        <v>1963</v>
      </c>
      <c r="BO38" s="1">
        <v>1981</v>
      </c>
    </row>
    <row r="39" spans="1:68" ht="15.9" customHeight="1">
      <c r="A39" s="81" t="s">
        <v>73</v>
      </c>
      <c r="B39" s="17" t="s">
        <v>74</v>
      </c>
      <c r="C39" s="26" t="str">
        <f>_xll.RssMarket("8593","始値")</f>
        <v/>
      </c>
      <c r="D39" s="25" t="e">
        <f t="shared" si="1"/>
        <v>#VALUE!</v>
      </c>
      <c r="E39" s="22">
        <v>1412.5</v>
      </c>
      <c r="F39" s="22">
        <v>1415</v>
      </c>
      <c r="G39" s="22">
        <v>1394</v>
      </c>
      <c r="H39" s="22">
        <v>1374.5</v>
      </c>
      <c r="I39" s="22">
        <v>1370</v>
      </c>
      <c r="J39" s="22">
        <v>1382.5</v>
      </c>
      <c r="K39" s="22">
        <v>1383</v>
      </c>
      <c r="L39" s="22">
        <v>1355</v>
      </c>
      <c r="M39" s="22">
        <v>1350</v>
      </c>
      <c r="N39" s="22">
        <v>1320</v>
      </c>
      <c r="O39" s="22">
        <v>1316.5</v>
      </c>
      <c r="P39" s="22">
        <v>1325</v>
      </c>
      <c r="Q39" s="22">
        <v>1321</v>
      </c>
      <c r="R39" s="22">
        <v>1308.5</v>
      </c>
      <c r="S39" s="22">
        <v>1305</v>
      </c>
      <c r="T39" s="22">
        <v>1292.5</v>
      </c>
      <c r="U39" s="22">
        <v>1301.5</v>
      </c>
      <c r="V39" s="22">
        <v>1301</v>
      </c>
      <c r="W39" s="22">
        <v>1305</v>
      </c>
      <c r="X39" s="22">
        <v>1324</v>
      </c>
      <c r="Y39" s="22">
        <v>1330</v>
      </c>
      <c r="Z39" s="22">
        <v>1332.5</v>
      </c>
      <c r="AA39" s="22">
        <v>1330</v>
      </c>
      <c r="AB39" s="22">
        <v>1318</v>
      </c>
      <c r="AC39" s="22">
        <v>1325.5</v>
      </c>
      <c r="AD39" s="22">
        <v>1321</v>
      </c>
      <c r="AE39" s="22">
        <v>1272.5</v>
      </c>
      <c r="AF39" s="22">
        <v>1274</v>
      </c>
      <c r="AG39" s="22">
        <v>1267</v>
      </c>
      <c r="AH39" s="22">
        <v>1266</v>
      </c>
      <c r="AI39" s="22">
        <v>1250.5</v>
      </c>
      <c r="AJ39" s="22">
        <v>1309</v>
      </c>
      <c r="AK39" s="22">
        <v>1312.5</v>
      </c>
      <c r="AL39" s="22">
        <v>1339</v>
      </c>
      <c r="AM39" s="22">
        <v>1319</v>
      </c>
      <c r="AN39" s="22">
        <v>1330</v>
      </c>
      <c r="AO39" s="22">
        <v>1350</v>
      </c>
      <c r="AP39" s="22">
        <v>1354.5</v>
      </c>
      <c r="AQ39" s="22">
        <v>1349</v>
      </c>
      <c r="AR39" s="22">
        <v>1379</v>
      </c>
      <c r="AS39" s="22">
        <v>1432</v>
      </c>
      <c r="AT39" s="22">
        <v>1435</v>
      </c>
      <c r="AU39" s="22">
        <v>1440</v>
      </c>
      <c r="AV39" s="22">
        <v>1430</v>
      </c>
      <c r="AW39" s="22">
        <v>1403</v>
      </c>
      <c r="AX39" s="22">
        <v>1405</v>
      </c>
      <c r="AY39" s="22">
        <v>1413.5</v>
      </c>
      <c r="AZ39" s="22">
        <v>1407</v>
      </c>
      <c r="BA39" s="22">
        <v>1434</v>
      </c>
      <c r="BB39" s="22">
        <v>1435</v>
      </c>
      <c r="BC39" s="22">
        <v>1405</v>
      </c>
      <c r="BD39" s="22">
        <v>1415.5</v>
      </c>
      <c r="BE39" s="22">
        <v>1405</v>
      </c>
      <c r="BF39" s="22">
        <v>1435.5</v>
      </c>
      <c r="BG39" s="22">
        <v>1460</v>
      </c>
      <c r="BH39" s="22">
        <v>1461.5</v>
      </c>
      <c r="BI39" s="22">
        <v>1473.5</v>
      </c>
      <c r="BJ39" s="22">
        <v>1474</v>
      </c>
      <c r="BK39" s="22">
        <v>1468</v>
      </c>
      <c r="BL39" s="22">
        <v>1477</v>
      </c>
      <c r="BM39" s="1">
        <v>1468</v>
      </c>
      <c r="BN39" s="1">
        <v>1480.5</v>
      </c>
      <c r="BO39" s="1">
        <v>1508</v>
      </c>
    </row>
    <row r="40" spans="1:68" ht="15.9" customHeight="1">
      <c r="A40" s="81" t="s">
        <v>75</v>
      </c>
      <c r="B40" s="17" t="s">
        <v>76</v>
      </c>
      <c r="C40" s="26" t="str">
        <f>_xll.RssMarket("8604","始値")</f>
        <v/>
      </c>
      <c r="D40" s="25" t="e">
        <f t="shared" si="1"/>
        <v>#VALUE!</v>
      </c>
      <c r="E40" s="22">
        <v>1580</v>
      </c>
      <c r="F40" s="22">
        <v>1582</v>
      </c>
      <c r="G40" s="22">
        <v>1546.5</v>
      </c>
      <c r="H40" s="22">
        <v>1551</v>
      </c>
      <c r="I40" s="22">
        <v>1535.5</v>
      </c>
      <c r="J40" s="22">
        <v>1503</v>
      </c>
      <c r="K40" s="22">
        <v>1522.5</v>
      </c>
      <c r="L40" s="22">
        <v>1509</v>
      </c>
      <c r="M40" s="22">
        <v>1472</v>
      </c>
      <c r="N40" s="22">
        <v>1467.5</v>
      </c>
      <c r="O40" s="22">
        <v>1457</v>
      </c>
      <c r="P40" s="22">
        <v>1428</v>
      </c>
      <c r="Q40" s="22">
        <v>1419</v>
      </c>
      <c r="R40" s="22">
        <v>1430</v>
      </c>
      <c r="S40" s="22">
        <v>1434</v>
      </c>
      <c r="T40" s="22">
        <v>1418</v>
      </c>
      <c r="U40" s="22">
        <v>1410</v>
      </c>
      <c r="V40" s="22">
        <v>1430</v>
      </c>
      <c r="W40" s="22">
        <v>1408</v>
      </c>
      <c r="X40" s="22">
        <v>1431</v>
      </c>
      <c r="Y40" s="22">
        <v>1430</v>
      </c>
      <c r="Z40" s="22">
        <v>1374.5</v>
      </c>
      <c r="AA40" s="22">
        <v>1408</v>
      </c>
      <c r="AB40" s="22">
        <v>1375</v>
      </c>
      <c r="AC40" s="22">
        <v>1357</v>
      </c>
      <c r="AD40" s="22">
        <v>1414</v>
      </c>
      <c r="AE40" s="22">
        <v>1331</v>
      </c>
      <c r="AF40" s="22">
        <v>1375.5</v>
      </c>
      <c r="AG40" s="22">
        <v>1355.5</v>
      </c>
      <c r="AH40" s="22">
        <v>1324</v>
      </c>
      <c r="AI40" s="22">
        <v>1296.5</v>
      </c>
      <c r="AJ40" s="22">
        <v>1265</v>
      </c>
      <c r="AK40" s="22">
        <v>1250</v>
      </c>
      <c r="AL40" s="22">
        <v>1251.5</v>
      </c>
      <c r="AM40" s="22">
        <v>1293.5</v>
      </c>
      <c r="AN40" s="22">
        <v>1309.5</v>
      </c>
      <c r="AO40" s="22">
        <v>1270</v>
      </c>
      <c r="AP40" s="22">
        <v>1276</v>
      </c>
      <c r="AQ40" s="22">
        <v>1267</v>
      </c>
      <c r="AR40" s="22">
        <v>1265</v>
      </c>
      <c r="AS40" s="22">
        <v>1270.5</v>
      </c>
      <c r="AT40" s="22">
        <v>1287</v>
      </c>
      <c r="AU40" s="22">
        <v>1245</v>
      </c>
      <c r="AV40" s="22">
        <v>1233</v>
      </c>
      <c r="AW40" s="22">
        <v>1220</v>
      </c>
      <c r="AX40" s="22">
        <v>1243.5</v>
      </c>
      <c r="AY40" s="22">
        <v>1230</v>
      </c>
      <c r="AZ40" s="22">
        <v>1244.5</v>
      </c>
      <c r="BA40" s="22">
        <v>1249</v>
      </c>
      <c r="BB40" s="22">
        <v>1255</v>
      </c>
      <c r="BC40" s="22">
        <v>1246</v>
      </c>
      <c r="BD40" s="22">
        <v>1330</v>
      </c>
      <c r="BE40" s="22">
        <v>1332.5</v>
      </c>
      <c r="BF40" s="22">
        <v>1348</v>
      </c>
      <c r="BG40" s="22">
        <v>1345</v>
      </c>
      <c r="BH40" s="22">
        <v>1340.5</v>
      </c>
      <c r="BI40" s="22">
        <v>1357.5</v>
      </c>
      <c r="BJ40" s="22">
        <v>1431</v>
      </c>
      <c r="BK40" s="22">
        <v>1356.5</v>
      </c>
      <c r="BL40" s="22">
        <v>1330.5</v>
      </c>
      <c r="BM40" s="1">
        <v>1307</v>
      </c>
      <c r="BN40" s="1">
        <v>1322</v>
      </c>
      <c r="BO40" s="1">
        <v>1336.5</v>
      </c>
      <c r="BP40" s="1">
        <v>1333</v>
      </c>
    </row>
    <row r="41" spans="1:68" ht="15.9" customHeight="1">
      <c r="A41" s="81" t="s">
        <v>77</v>
      </c>
      <c r="B41" s="17" t="s">
        <v>78</v>
      </c>
      <c r="C41" s="26" t="str">
        <f>_xll.RssMarket("3861","始値")</f>
        <v/>
      </c>
      <c r="D41" s="25" t="e">
        <f t="shared" si="1"/>
        <v>#VALUE!</v>
      </c>
      <c r="E41" s="22">
        <v>842.3</v>
      </c>
      <c r="F41" s="22">
        <v>830</v>
      </c>
      <c r="G41" s="22">
        <v>820.7</v>
      </c>
      <c r="H41" s="22">
        <v>823.5</v>
      </c>
      <c r="I41" s="22">
        <v>822</v>
      </c>
      <c r="J41" s="22">
        <v>822.2</v>
      </c>
      <c r="K41" s="22">
        <v>828.3</v>
      </c>
      <c r="L41" s="22">
        <v>830.2</v>
      </c>
      <c r="M41" s="22">
        <v>822.5</v>
      </c>
      <c r="N41" s="22">
        <v>820.7</v>
      </c>
      <c r="O41" s="22">
        <v>809.6</v>
      </c>
      <c r="P41" s="22">
        <v>794</v>
      </c>
      <c r="Q41" s="22">
        <v>805</v>
      </c>
      <c r="R41" s="22">
        <v>791.7</v>
      </c>
      <c r="S41" s="22">
        <v>785</v>
      </c>
      <c r="T41" s="22">
        <v>790.2</v>
      </c>
      <c r="U41" s="22">
        <v>775.6</v>
      </c>
      <c r="V41" s="22">
        <v>799.6</v>
      </c>
      <c r="W41" s="22">
        <v>800</v>
      </c>
      <c r="X41" s="22">
        <v>792.1</v>
      </c>
      <c r="Y41" s="22">
        <v>802</v>
      </c>
      <c r="Z41" s="22">
        <v>800.6</v>
      </c>
      <c r="AA41" s="22">
        <v>797.3</v>
      </c>
      <c r="AB41" s="22">
        <v>805</v>
      </c>
      <c r="AC41" s="22">
        <v>793.4</v>
      </c>
      <c r="AD41" s="22">
        <v>782.7</v>
      </c>
      <c r="AE41" s="22">
        <v>778</v>
      </c>
      <c r="AF41" s="22">
        <v>772.8</v>
      </c>
      <c r="AG41" s="22">
        <v>770.5</v>
      </c>
      <c r="AH41" s="22">
        <v>779.5</v>
      </c>
      <c r="AI41" s="22">
        <v>767.9</v>
      </c>
      <c r="AJ41" s="22">
        <v>761.8</v>
      </c>
      <c r="AK41" s="22">
        <v>789.2</v>
      </c>
      <c r="AL41" s="22">
        <v>788.7</v>
      </c>
      <c r="AM41" s="22">
        <v>769.3</v>
      </c>
      <c r="AN41" s="22">
        <v>782</v>
      </c>
      <c r="AO41" s="22">
        <v>795</v>
      </c>
      <c r="AP41" s="22">
        <v>820</v>
      </c>
      <c r="AQ41" s="22">
        <v>825</v>
      </c>
      <c r="AR41" s="22">
        <v>851.2</v>
      </c>
      <c r="AS41" s="22">
        <v>838.8</v>
      </c>
      <c r="AT41" s="22">
        <v>831.8</v>
      </c>
      <c r="AU41" s="22">
        <v>822</v>
      </c>
      <c r="AV41" s="22">
        <v>826.1</v>
      </c>
      <c r="AW41" s="22">
        <v>838</v>
      </c>
      <c r="AX41" s="22">
        <v>822.5</v>
      </c>
      <c r="AY41" s="22">
        <v>822.8</v>
      </c>
      <c r="AZ41" s="22">
        <v>815.6</v>
      </c>
      <c r="BA41" s="22">
        <v>815.2</v>
      </c>
      <c r="BB41" s="22">
        <v>822.2</v>
      </c>
      <c r="BC41" s="22">
        <v>825</v>
      </c>
      <c r="BD41" s="22">
        <v>826.5</v>
      </c>
      <c r="BE41" s="22">
        <v>837.3</v>
      </c>
      <c r="BF41" s="22">
        <v>839.8</v>
      </c>
      <c r="BG41" s="22">
        <v>848</v>
      </c>
      <c r="BH41" s="22">
        <v>850.6</v>
      </c>
      <c r="BI41" s="22">
        <v>849</v>
      </c>
      <c r="BJ41" s="22">
        <v>845.7</v>
      </c>
      <c r="BK41" s="22">
        <v>852.8</v>
      </c>
      <c r="BL41" s="22">
        <v>849</v>
      </c>
      <c r="BM41" s="1">
        <v>850.7</v>
      </c>
      <c r="BN41" s="1">
        <v>866.2</v>
      </c>
      <c r="BO41" s="1">
        <v>858.1</v>
      </c>
      <c r="BP41" s="1">
        <v>854.5</v>
      </c>
    </row>
    <row r="42" spans="1:68" ht="15.9" customHeight="1">
      <c r="A42" s="81" t="s">
        <v>79</v>
      </c>
      <c r="B42" s="17" t="s">
        <v>80</v>
      </c>
      <c r="C42" s="26" t="str">
        <f>_xll.RssMarket("5947","始値")</f>
        <v/>
      </c>
      <c r="D42" s="25" t="e">
        <f t="shared" si="1"/>
        <v>#VALUE!</v>
      </c>
      <c r="E42" s="22">
        <v>3647</v>
      </c>
      <c r="F42" s="22">
        <v>3615</v>
      </c>
      <c r="G42" s="22">
        <v>3600</v>
      </c>
      <c r="H42" s="22">
        <v>3592</v>
      </c>
      <c r="I42" s="22">
        <v>3612</v>
      </c>
      <c r="J42" s="22">
        <v>3659</v>
      </c>
      <c r="K42" s="22">
        <v>3644</v>
      </c>
      <c r="L42" s="22">
        <v>3623</v>
      </c>
      <c r="M42" s="22">
        <v>3603</v>
      </c>
      <c r="N42" s="22">
        <v>3597</v>
      </c>
      <c r="O42" s="22">
        <v>3581</v>
      </c>
      <c r="P42" s="22">
        <v>3600</v>
      </c>
      <c r="Q42" s="22">
        <v>3611</v>
      </c>
      <c r="R42" s="22">
        <v>3581</v>
      </c>
      <c r="S42" s="22">
        <v>3574</v>
      </c>
      <c r="T42" s="22">
        <v>3464</v>
      </c>
      <c r="U42" s="22">
        <v>3474</v>
      </c>
      <c r="V42" s="22">
        <v>3427</v>
      </c>
      <c r="W42" s="22">
        <v>3477</v>
      </c>
      <c r="X42" s="22">
        <v>3463</v>
      </c>
      <c r="Y42" s="22">
        <v>3428</v>
      </c>
      <c r="Z42" s="22">
        <v>3435</v>
      </c>
      <c r="AA42" s="22">
        <v>3526</v>
      </c>
      <c r="AB42" s="22">
        <v>3529</v>
      </c>
      <c r="AC42" s="22">
        <v>3537</v>
      </c>
      <c r="AD42" s="22">
        <v>3587</v>
      </c>
      <c r="AE42" s="22">
        <v>3472</v>
      </c>
      <c r="AF42" s="22">
        <v>3455</v>
      </c>
      <c r="AG42" s="22">
        <v>3387</v>
      </c>
      <c r="AH42" s="22">
        <v>3342</v>
      </c>
      <c r="AI42" s="22">
        <v>3301</v>
      </c>
      <c r="AJ42" s="22">
        <v>3423</v>
      </c>
      <c r="AK42" s="22">
        <v>3435</v>
      </c>
      <c r="AL42" s="22">
        <v>3413</v>
      </c>
      <c r="AM42" s="22">
        <v>3495</v>
      </c>
      <c r="AN42" s="22">
        <v>3544</v>
      </c>
      <c r="AO42" s="22">
        <v>3592</v>
      </c>
      <c r="AP42" s="22">
        <v>3548</v>
      </c>
      <c r="AQ42" s="22">
        <v>3517</v>
      </c>
      <c r="AR42" s="22">
        <v>3460</v>
      </c>
      <c r="AS42" s="22">
        <v>3410</v>
      </c>
      <c r="AT42" s="22">
        <v>3380</v>
      </c>
      <c r="AU42" s="22">
        <v>3434</v>
      </c>
      <c r="AV42" s="22">
        <v>3526</v>
      </c>
      <c r="AW42" s="22">
        <v>3590</v>
      </c>
      <c r="AX42" s="22">
        <v>3690</v>
      </c>
      <c r="AY42" s="22">
        <v>3680</v>
      </c>
      <c r="AZ42" s="22">
        <v>3567</v>
      </c>
      <c r="BA42" s="22">
        <v>3556</v>
      </c>
      <c r="BB42" s="22">
        <v>3549</v>
      </c>
      <c r="BC42" s="22">
        <v>3502</v>
      </c>
      <c r="BD42" s="22">
        <v>3524</v>
      </c>
      <c r="BE42" s="22">
        <v>3508</v>
      </c>
      <c r="BF42" s="22">
        <v>3482</v>
      </c>
      <c r="BG42" s="22">
        <v>3516</v>
      </c>
      <c r="BH42" s="22">
        <v>3572</v>
      </c>
      <c r="BI42" s="22">
        <v>3529</v>
      </c>
      <c r="BJ42" s="22">
        <v>3602</v>
      </c>
      <c r="BK42" s="22">
        <v>3572</v>
      </c>
      <c r="BL42" s="22">
        <v>3667</v>
      </c>
      <c r="BM42" s="1">
        <v>3740</v>
      </c>
      <c r="BN42" s="1">
        <v>3732</v>
      </c>
      <c r="BO42" s="1">
        <v>3750</v>
      </c>
    </row>
    <row r="43" spans="1:68" ht="15.9" customHeight="1">
      <c r="A43" s="81" t="s">
        <v>81</v>
      </c>
      <c r="B43" s="17" t="s">
        <v>82</v>
      </c>
      <c r="C43" s="26" t="str">
        <f>_xll.RssMarket("8750","始値")</f>
        <v/>
      </c>
      <c r="D43" s="25" t="e">
        <f t="shared" si="1"/>
        <v>#VALUE!</v>
      </c>
      <c r="E43" s="22">
        <v>1836</v>
      </c>
      <c r="F43" s="22">
        <v>1911</v>
      </c>
      <c r="G43" s="22">
        <v>1830</v>
      </c>
      <c r="H43" s="22">
        <v>1840.5</v>
      </c>
      <c r="I43" s="22">
        <v>1883.5</v>
      </c>
      <c r="J43" s="22">
        <v>1843.5</v>
      </c>
      <c r="K43" s="22">
        <v>1858.5</v>
      </c>
      <c r="L43" s="22">
        <v>1885</v>
      </c>
      <c r="M43" s="22">
        <v>1849</v>
      </c>
      <c r="N43" s="22">
        <v>1863.5</v>
      </c>
      <c r="O43" s="22">
        <v>1819.5</v>
      </c>
      <c r="P43" s="22">
        <v>1781</v>
      </c>
      <c r="Q43" s="22">
        <v>1759</v>
      </c>
      <c r="R43" s="22">
        <v>1732.5</v>
      </c>
      <c r="S43" s="22">
        <v>1713</v>
      </c>
      <c r="T43" s="22">
        <v>1744.5</v>
      </c>
      <c r="U43" s="22">
        <v>1794</v>
      </c>
      <c r="V43" s="22">
        <v>1845</v>
      </c>
      <c r="W43" s="22">
        <v>1800</v>
      </c>
      <c r="X43" s="22">
        <v>1812.5</v>
      </c>
      <c r="Y43" s="22">
        <v>1800</v>
      </c>
      <c r="Z43" s="22">
        <v>1820</v>
      </c>
      <c r="AA43" s="22">
        <v>1770</v>
      </c>
      <c r="AB43" s="22">
        <v>1768</v>
      </c>
      <c r="AC43" s="22">
        <v>1756.5</v>
      </c>
      <c r="AD43" s="22">
        <v>1727.5</v>
      </c>
      <c r="AE43" s="22">
        <v>1757</v>
      </c>
      <c r="AF43" s="22">
        <v>1628</v>
      </c>
      <c r="AG43" s="22">
        <v>1687.5</v>
      </c>
      <c r="AH43" s="22">
        <v>1610</v>
      </c>
      <c r="AI43" s="22">
        <v>1628.5</v>
      </c>
      <c r="AJ43" s="22">
        <v>1616.5</v>
      </c>
      <c r="AK43" s="22">
        <v>1615</v>
      </c>
      <c r="AL43" s="22">
        <v>1650</v>
      </c>
      <c r="AM43" s="22">
        <v>1659.5</v>
      </c>
      <c r="AN43" s="22">
        <v>1645.5</v>
      </c>
      <c r="AO43" s="22">
        <v>1669</v>
      </c>
      <c r="AP43" s="22">
        <v>1656</v>
      </c>
      <c r="AQ43" s="22">
        <v>1669</v>
      </c>
      <c r="AR43" s="22">
        <v>1655</v>
      </c>
      <c r="AS43" s="22">
        <v>1658</v>
      </c>
      <c r="AT43" s="22">
        <v>1500</v>
      </c>
      <c r="AU43" s="22">
        <v>1492</v>
      </c>
      <c r="AV43" s="22">
        <v>1479</v>
      </c>
      <c r="AW43" s="22">
        <v>1488</v>
      </c>
      <c r="AX43" s="22">
        <v>1421.5</v>
      </c>
      <c r="AY43" s="22">
        <v>1457</v>
      </c>
      <c r="AZ43" s="22">
        <v>1438</v>
      </c>
      <c r="BA43" s="22">
        <v>1419.5</v>
      </c>
      <c r="BB43" s="22">
        <v>1440.5</v>
      </c>
      <c r="BC43" s="22">
        <v>1409</v>
      </c>
      <c r="BD43" s="22">
        <v>1386</v>
      </c>
      <c r="BE43" s="22">
        <v>1423</v>
      </c>
      <c r="BF43" s="22">
        <v>1414</v>
      </c>
      <c r="BG43" s="22">
        <v>1437</v>
      </c>
      <c r="BH43" s="22">
        <v>1465</v>
      </c>
      <c r="BI43" s="22">
        <v>1478.5</v>
      </c>
      <c r="BJ43" s="22">
        <v>1492.5</v>
      </c>
      <c r="BK43" s="22">
        <v>1499</v>
      </c>
      <c r="BL43" s="22">
        <v>1494.5</v>
      </c>
      <c r="BM43" s="1">
        <v>1499</v>
      </c>
      <c r="BN43" s="1">
        <v>1464</v>
      </c>
      <c r="BO43" s="1">
        <v>1492</v>
      </c>
      <c r="BP43" s="1">
        <v>1523.5</v>
      </c>
    </row>
    <row r="44" spans="1:68" ht="15.9" customHeight="1">
      <c r="A44" s="81" t="s">
        <v>83</v>
      </c>
      <c r="B44" s="17" t="s">
        <v>84</v>
      </c>
      <c r="C44" s="26" t="str">
        <f>_xll.RssMarket("3402","始値")</f>
        <v/>
      </c>
      <c r="D44" s="25" t="e">
        <f t="shared" si="1"/>
        <v>#VALUE!</v>
      </c>
      <c r="E44" s="22">
        <v>1160</v>
      </c>
      <c r="F44" s="22">
        <v>1181</v>
      </c>
      <c r="G44" s="22">
        <v>1140.5</v>
      </c>
      <c r="H44" s="22">
        <v>1155</v>
      </c>
      <c r="I44" s="22">
        <v>1153.5</v>
      </c>
      <c r="J44" s="22">
        <v>1145</v>
      </c>
      <c r="K44" s="22">
        <v>1150.5</v>
      </c>
      <c r="L44" s="22">
        <v>1150</v>
      </c>
      <c r="M44" s="22">
        <v>1180</v>
      </c>
      <c r="N44" s="22">
        <v>1142</v>
      </c>
      <c r="O44" s="22">
        <v>1129</v>
      </c>
      <c r="P44" s="22">
        <v>1132</v>
      </c>
      <c r="Q44" s="22">
        <v>1142</v>
      </c>
      <c r="R44" s="22">
        <v>1141</v>
      </c>
      <c r="S44" s="22">
        <v>1152</v>
      </c>
      <c r="T44" s="22">
        <v>1168</v>
      </c>
      <c r="U44" s="22">
        <v>1135</v>
      </c>
      <c r="V44" s="22">
        <v>1168.5</v>
      </c>
      <c r="W44" s="22">
        <v>1146.5</v>
      </c>
      <c r="X44" s="22">
        <v>1170</v>
      </c>
      <c r="Y44" s="22">
        <v>1183</v>
      </c>
      <c r="Z44" s="22">
        <v>1170.5</v>
      </c>
      <c r="AA44" s="22">
        <v>1198</v>
      </c>
      <c r="AB44" s="22">
        <v>1195</v>
      </c>
      <c r="AC44" s="22">
        <v>1142</v>
      </c>
      <c r="AD44" s="22">
        <v>1103</v>
      </c>
      <c r="AE44" s="22">
        <v>1106</v>
      </c>
      <c r="AF44" s="22">
        <v>1103</v>
      </c>
      <c r="AG44" s="22">
        <v>1100</v>
      </c>
      <c r="AH44" s="22">
        <v>1140.5</v>
      </c>
      <c r="AI44" s="22">
        <v>1177.5</v>
      </c>
      <c r="AJ44" s="22">
        <v>1125.5</v>
      </c>
      <c r="AK44" s="22">
        <v>1141</v>
      </c>
      <c r="AL44" s="22">
        <v>1150</v>
      </c>
      <c r="AM44" s="22">
        <v>1152</v>
      </c>
      <c r="AN44" s="22">
        <v>1103.5</v>
      </c>
      <c r="AO44" s="22">
        <v>1093</v>
      </c>
      <c r="AP44" s="22">
        <v>1093.5</v>
      </c>
      <c r="AQ44" s="22">
        <v>1071</v>
      </c>
      <c r="AR44" s="22">
        <v>1095</v>
      </c>
      <c r="AS44" s="22">
        <v>1125</v>
      </c>
      <c r="AT44" s="22">
        <v>1165</v>
      </c>
      <c r="AU44" s="22">
        <v>1169</v>
      </c>
      <c r="AV44" s="22">
        <v>1145</v>
      </c>
      <c r="AW44" s="22">
        <v>1135</v>
      </c>
      <c r="AX44" s="22">
        <v>1122</v>
      </c>
      <c r="AY44" s="22">
        <v>1138</v>
      </c>
      <c r="AZ44" s="22">
        <v>1131</v>
      </c>
      <c r="BA44" s="22">
        <v>1118.5</v>
      </c>
      <c r="BB44" s="22">
        <v>1122</v>
      </c>
      <c r="BC44" s="22">
        <v>1130</v>
      </c>
      <c r="BD44" s="22">
        <v>1101</v>
      </c>
      <c r="BE44" s="22">
        <v>1120</v>
      </c>
      <c r="BF44" s="22">
        <v>1113.5</v>
      </c>
      <c r="BG44" s="22">
        <v>1137</v>
      </c>
      <c r="BH44" s="22">
        <v>1150</v>
      </c>
      <c r="BI44" s="22">
        <v>1157</v>
      </c>
      <c r="BJ44" s="22">
        <v>1161.5</v>
      </c>
      <c r="BK44" s="22">
        <v>1143.5</v>
      </c>
      <c r="BL44" s="22">
        <v>1152.5</v>
      </c>
      <c r="BM44" s="1">
        <v>1154.5</v>
      </c>
      <c r="BN44" s="1">
        <v>1168</v>
      </c>
      <c r="BO44" s="1">
        <v>1167.5</v>
      </c>
      <c r="BP44" s="1">
        <v>1186.5</v>
      </c>
    </row>
    <row r="45" spans="1:68" ht="15.9" customHeight="1">
      <c r="A45" s="81" t="s">
        <v>85</v>
      </c>
      <c r="B45" s="17" t="s">
        <v>86</v>
      </c>
      <c r="C45" s="26" t="str">
        <f>_xll.RssMarket("8306","始値")</f>
        <v/>
      </c>
      <c r="D45" s="25" t="e">
        <f t="shared" si="1"/>
        <v>#VALUE!</v>
      </c>
      <c r="E45" s="22">
        <v>3614</v>
      </c>
      <c r="F45" s="22">
        <v>3656</v>
      </c>
      <c r="G45" s="22">
        <v>3511</v>
      </c>
      <c r="H45" s="22">
        <v>3487</v>
      </c>
      <c r="I45" s="22">
        <v>3468</v>
      </c>
      <c r="J45" s="22">
        <v>3399</v>
      </c>
      <c r="K45" s="22">
        <v>3455</v>
      </c>
      <c r="L45" s="22">
        <v>3430</v>
      </c>
      <c r="M45" s="22">
        <v>3314</v>
      </c>
      <c r="N45" s="22">
        <v>3325</v>
      </c>
      <c r="O45" s="22">
        <v>3282</v>
      </c>
      <c r="P45" s="22">
        <v>3215</v>
      </c>
      <c r="Q45" s="22">
        <v>3238</v>
      </c>
      <c r="R45" s="22">
        <v>3245</v>
      </c>
      <c r="S45" s="22">
        <v>3240</v>
      </c>
      <c r="T45" s="22">
        <v>3275</v>
      </c>
      <c r="U45" s="22">
        <v>3291</v>
      </c>
      <c r="V45" s="22">
        <v>3336</v>
      </c>
      <c r="W45" s="22">
        <v>3242</v>
      </c>
      <c r="X45" s="22">
        <v>3370</v>
      </c>
      <c r="Y45" s="22">
        <v>3324</v>
      </c>
      <c r="Z45" s="22">
        <v>3266</v>
      </c>
      <c r="AA45" s="22">
        <v>3225</v>
      </c>
      <c r="AB45" s="22">
        <v>3231</v>
      </c>
      <c r="AC45" s="22">
        <v>3141</v>
      </c>
      <c r="AD45" s="22">
        <v>3113</v>
      </c>
      <c r="AE45" s="22">
        <v>3230</v>
      </c>
      <c r="AF45" s="22">
        <v>3200</v>
      </c>
      <c r="AG45" s="22">
        <v>3210</v>
      </c>
      <c r="AH45" s="22">
        <v>3137</v>
      </c>
      <c r="AI45" s="22">
        <v>3062</v>
      </c>
      <c r="AJ45" s="22">
        <v>3013</v>
      </c>
      <c r="AK45" s="22">
        <v>2995</v>
      </c>
      <c r="AL45" s="22">
        <v>3010</v>
      </c>
      <c r="AM45" s="22">
        <v>3061</v>
      </c>
      <c r="AN45" s="22">
        <v>3090</v>
      </c>
      <c r="AO45" s="22">
        <v>3098</v>
      </c>
      <c r="AP45" s="22">
        <v>3090</v>
      </c>
      <c r="AQ45" s="22">
        <v>3162</v>
      </c>
      <c r="AR45" s="22">
        <v>3030</v>
      </c>
      <c r="AS45" s="22">
        <v>2979</v>
      </c>
      <c r="AT45" s="22">
        <v>2910.5</v>
      </c>
      <c r="AU45" s="22">
        <v>2920.5</v>
      </c>
      <c r="AV45" s="22">
        <v>2875.5</v>
      </c>
      <c r="AW45" s="22">
        <v>2885.5</v>
      </c>
      <c r="AX45" s="22">
        <v>2810</v>
      </c>
      <c r="AY45" s="22">
        <v>2816.5</v>
      </c>
      <c r="AZ45" s="22">
        <v>2850</v>
      </c>
      <c r="BA45" s="22">
        <v>2800</v>
      </c>
      <c r="BB45" s="22">
        <v>2868</v>
      </c>
      <c r="BC45" s="22">
        <v>2821</v>
      </c>
      <c r="BD45" s="22">
        <v>2745</v>
      </c>
      <c r="BE45" s="22">
        <v>2782.5</v>
      </c>
      <c r="BF45" s="22">
        <v>2794</v>
      </c>
      <c r="BG45" s="22">
        <v>2820</v>
      </c>
      <c r="BH45" s="22">
        <v>2879.5</v>
      </c>
      <c r="BI45" s="22">
        <v>2885</v>
      </c>
      <c r="BJ45" s="22">
        <v>2920</v>
      </c>
      <c r="BK45" s="22">
        <v>2935</v>
      </c>
      <c r="BL45" s="22">
        <v>2866</v>
      </c>
      <c r="BM45" s="1">
        <v>2889.5</v>
      </c>
      <c r="BN45" s="1">
        <v>2847.5</v>
      </c>
      <c r="BO45" s="1">
        <v>2851</v>
      </c>
      <c r="BP45" s="1">
        <v>2896</v>
      </c>
    </row>
    <row r="46" spans="1:68" ht="15.9" customHeight="1">
      <c r="A46" s="81" t="s">
        <v>87</v>
      </c>
      <c r="B46" s="17" t="s">
        <v>88</v>
      </c>
      <c r="C46" s="26" t="str">
        <f>_xll.RssMarket("5401","始値")</f>
        <v/>
      </c>
      <c r="D46" s="25" t="e">
        <f t="shared" si="1"/>
        <v>#VALUE!</v>
      </c>
      <c r="E46" s="22">
        <v>580.20000000000005</v>
      </c>
      <c r="F46" s="22">
        <v>572.9</v>
      </c>
      <c r="G46" s="22">
        <v>559.70000000000005</v>
      </c>
      <c r="H46" s="22">
        <v>560</v>
      </c>
      <c r="I46" s="22">
        <v>555.5</v>
      </c>
      <c r="J46" s="22">
        <v>555</v>
      </c>
      <c r="K46" s="22">
        <v>559.6</v>
      </c>
      <c r="L46" s="22">
        <v>562.79999999999995</v>
      </c>
      <c r="M46" s="22">
        <v>554</v>
      </c>
      <c r="N46" s="22">
        <v>551.79999999999995</v>
      </c>
      <c r="O46" s="22">
        <v>531</v>
      </c>
      <c r="P46" s="22">
        <v>540</v>
      </c>
      <c r="Q46" s="22">
        <v>545.70000000000005</v>
      </c>
      <c r="R46" s="22">
        <v>545</v>
      </c>
      <c r="S46" s="22">
        <v>549.70000000000005</v>
      </c>
      <c r="T46" s="22">
        <v>550</v>
      </c>
      <c r="U46" s="22">
        <v>561.6</v>
      </c>
      <c r="V46" s="22">
        <v>566.20000000000005</v>
      </c>
      <c r="W46" s="22">
        <v>567.1</v>
      </c>
      <c r="X46" s="22">
        <v>561.6</v>
      </c>
      <c r="Y46" s="22">
        <v>566</v>
      </c>
      <c r="Z46" s="22">
        <v>571.9</v>
      </c>
      <c r="AA46" s="22">
        <v>560</v>
      </c>
      <c r="AB46" s="22">
        <v>543.29999999999995</v>
      </c>
      <c r="AC46" s="22">
        <v>537.4</v>
      </c>
      <c r="AD46" s="22">
        <v>543.4</v>
      </c>
      <c r="AE46" s="22">
        <v>540.4</v>
      </c>
      <c r="AF46" s="22">
        <v>547.5</v>
      </c>
      <c r="AG46" s="22">
        <v>544.70000000000005</v>
      </c>
      <c r="AH46" s="22">
        <v>539.5</v>
      </c>
      <c r="AI46" s="22">
        <v>540</v>
      </c>
      <c r="AJ46" s="22">
        <v>567.4</v>
      </c>
      <c r="AK46" s="22">
        <v>567</v>
      </c>
      <c r="AL46" s="22">
        <v>557.9</v>
      </c>
      <c r="AM46" s="22">
        <v>555.79999999999995</v>
      </c>
      <c r="AN46" s="22">
        <v>549</v>
      </c>
      <c r="AO46" s="22">
        <v>545.79999999999995</v>
      </c>
      <c r="AP46" s="22">
        <v>550</v>
      </c>
      <c r="AQ46" s="22">
        <v>553</v>
      </c>
      <c r="AR46" s="22">
        <v>560</v>
      </c>
      <c r="AS46" s="22">
        <v>552.5</v>
      </c>
      <c r="AT46" s="22">
        <v>569.20000000000005</v>
      </c>
      <c r="AU46" s="22">
        <v>560</v>
      </c>
      <c r="AV46" s="22">
        <v>568</v>
      </c>
      <c r="AW46" s="22">
        <v>579.70000000000005</v>
      </c>
      <c r="AX46" s="22">
        <v>577.79999999999995</v>
      </c>
      <c r="AY46" s="22">
        <v>569</v>
      </c>
      <c r="AZ46" s="22">
        <v>573.5</v>
      </c>
      <c r="BA46" s="22">
        <v>575.20000000000005</v>
      </c>
      <c r="BB46" s="22">
        <v>575</v>
      </c>
      <c r="BC46" s="22">
        <v>578.6</v>
      </c>
      <c r="BD46" s="22">
        <v>589</v>
      </c>
      <c r="BE46" s="22">
        <v>593.20000000000005</v>
      </c>
      <c r="BF46" s="22">
        <v>597.5</v>
      </c>
      <c r="BG46" s="22">
        <v>597.5</v>
      </c>
      <c r="BH46" s="22">
        <v>595.29999999999995</v>
      </c>
      <c r="BI46" s="22">
        <v>597.79999999999995</v>
      </c>
      <c r="BJ46" s="22">
        <v>595.9</v>
      </c>
      <c r="BK46" s="22">
        <v>599</v>
      </c>
      <c r="BL46" s="22">
        <v>599</v>
      </c>
      <c r="BM46" s="1">
        <v>603.4</v>
      </c>
      <c r="BN46" s="1">
        <v>605</v>
      </c>
      <c r="BO46" s="1">
        <v>595</v>
      </c>
      <c r="BP46" s="1">
        <v>587</v>
      </c>
    </row>
    <row r="47" spans="1:68" ht="15.9" customHeight="1">
      <c r="A47" s="81" t="s">
        <v>89</v>
      </c>
      <c r="B47" s="17" t="s">
        <v>90</v>
      </c>
      <c r="C47" s="26" t="str">
        <f>_xll.RssMarket("8572","始値")</f>
        <v/>
      </c>
      <c r="D47" s="25" t="e">
        <f t="shared" si="1"/>
        <v>#VALUE!</v>
      </c>
      <c r="E47" s="22">
        <v>488</v>
      </c>
      <c r="F47" s="22">
        <v>488.9</v>
      </c>
      <c r="G47" s="22">
        <v>480.9</v>
      </c>
      <c r="H47" s="22">
        <v>483.5</v>
      </c>
      <c r="I47" s="22">
        <v>483.8</v>
      </c>
      <c r="J47" s="22">
        <v>482</v>
      </c>
      <c r="K47" s="22">
        <v>485</v>
      </c>
      <c r="L47" s="22">
        <v>485.9</v>
      </c>
      <c r="M47" s="22">
        <v>473.8</v>
      </c>
      <c r="N47" s="22">
        <v>468</v>
      </c>
      <c r="O47" s="22">
        <v>458</v>
      </c>
      <c r="P47" s="22">
        <v>453</v>
      </c>
      <c r="Q47" s="22">
        <v>454.6</v>
      </c>
      <c r="R47" s="22">
        <v>453.7</v>
      </c>
      <c r="S47" s="22">
        <v>445.5</v>
      </c>
      <c r="T47" s="22">
        <v>451.4</v>
      </c>
      <c r="U47" s="22">
        <v>448</v>
      </c>
      <c r="V47" s="22">
        <v>450.1</v>
      </c>
      <c r="W47" s="22">
        <v>447</v>
      </c>
      <c r="X47" s="22">
        <v>446</v>
      </c>
      <c r="Y47" s="22">
        <v>450.6</v>
      </c>
      <c r="Z47" s="22">
        <v>453.3</v>
      </c>
      <c r="AA47" s="22">
        <v>451.1</v>
      </c>
      <c r="AB47" s="22">
        <v>456</v>
      </c>
      <c r="AC47" s="22">
        <v>449.5</v>
      </c>
      <c r="AD47" s="22">
        <v>450</v>
      </c>
      <c r="AE47" s="22">
        <v>451.9</v>
      </c>
      <c r="AF47" s="22">
        <v>442.1</v>
      </c>
      <c r="AG47" s="22">
        <v>445</v>
      </c>
      <c r="AH47" s="22">
        <v>445.1</v>
      </c>
      <c r="AI47" s="22">
        <v>447.2</v>
      </c>
      <c r="AJ47" s="22">
        <v>453.3</v>
      </c>
      <c r="AK47" s="22">
        <v>466.4</v>
      </c>
      <c r="AL47" s="22">
        <v>468.3</v>
      </c>
      <c r="AM47" s="22">
        <v>466.5</v>
      </c>
      <c r="AN47" s="22">
        <v>462.4</v>
      </c>
      <c r="AO47" s="22">
        <v>469</v>
      </c>
      <c r="AP47" s="22">
        <v>466.7</v>
      </c>
      <c r="AQ47" s="22">
        <v>464</v>
      </c>
      <c r="AR47" s="22">
        <v>462.9</v>
      </c>
      <c r="AS47" s="22">
        <v>468</v>
      </c>
      <c r="AT47" s="22">
        <v>457.1</v>
      </c>
      <c r="AU47" s="22">
        <v>459.9</v>
      </c>
      <c r="AV47" s="22">
        <v>467.1</v>
      </c>
      <c r="AW47" s="22">
        <v>491</v>
      </c>
      <c r="AX47" s="22">
        <v>492.5</v>
      </c>
      <c r="AY47" s="22">
        <v>491.6</v>
      </c>
      <c r="AZ47" s="22">
        <v>499</v>
      </c>
      <c r="BA47" s="22">
        <v>497.7</v>
      </c>
      <c r="BB47" s="22">
        <v>501</v>
      </c>
      <c r="BC47" s="22">
        <v>498.5</v>
      </c>
      <c r="BD47" s="22">
        <v>499.6</v>
      </c>
      <c r="BE47" s="22">
        <v>497.9</v>
      </c>
      <c r="BF47" s="22">
        <v>511</v>
      </c>
      <c r="BG47" s="22">
        <v>514.9</v>
      </c>
      <c r="BH47" s="22">
        <v>501.5</v>
      </c>
      <c r="BI47" s="22">
        <v>489</v>
      </c>
      <c r="BJ47" s="22">
        <v>484.7</v>
      </c>
      <c r="BK47" s="22">
        <v>481.8</v>
      </c>
      <c r="BL47" s="22">
        <v>482</v>
      </c>
      <c r="BM47" s="1">
        <v>478</v>
      </c>
      <c r="BN47" s="1">
        <v>469.1</v>
      </c>
      <c r="BO47" s="1">
        <v>471.4</v>
      </c>
      <c r="BP47" s="1">
        <v>476.4</v>
      </c>
    </row>
    <row r="48" spans="1:68" ht="15.9" customHeight="1">
      <c r="A48" s="81" t="s">
        <v>91</v>
      </c>
      <c r="B48" s="17" t="s">
        <v>92</v>
      </c>
      <c r="C48" s="26" t="str">
        <f>_xll.RssMarket("3941","始値")</f>
        <v/>
      </c>
      <c r="D48" s="25" t="e">
        <f t="shared" si="1"/>
        <v>#VALUE!</v>
      </c>
      <c r="E48" s="22">
        <v>1451.5</v>
      </c>
      <c r="F48" s="22">
        <v>1430</v>
      </c>
      <c r="G48" s="22">
        <v>1407.5</v>
      </c>
      <c r="H48" s="22">
        <v>1429</v>
      </c>
      <c r="I48" s="22">
        <v>1409</v>
      </c>
      <c r="J48" s="22">
        <v>1444</v>
      </c>
      <c r="K48" s="22">
        <v>1411.5</v>
      </c>
      <c r="L48" s="22">
        <v>1428.5</v>
      </c>
      <c r="M48" s="22">
        <v>1417</v>
      </c>
      <c r="N48" s="22">
        <v>1406.5</v>
      </c>
      <c r="O48" s="22">
        <v>1421</v>
      </c>
      <c r="P48" s="22">
        <v>1421.5</v>
      </c>
      <c r="Q48" s="22">
        <v>1411.5</v>
      </c>
      <c r="R48" s="22">
        <v>1444</v>
      </c>
      <c r="S48" s="22">
        <v>1420</v>
      </c>
      <c r="T48" s="22">
        <v>1412.5</v>
      </c>
      <c r="U48" s="22">
        <v>1410</v>
      </c>
      <c r="V48" s="22">
        <v>1402.5</v>
      </c>
      <c r="W48" s="22">
        <v>1430</v>
      </c>
      <c r="X48" s="22">
        <v>1424</v>
      </c>
      <c r="Y48" s="22">
        <v>1420</v>
      </c>
      <c r="Z48" s="22">
        <v>1416.5</v>
      </c>
      <c r="AA48" s="22">
        <v>1420.5</v>
      </c>
      <c r="AB48" s="22">
        <v>1393</v>
      </c>
      <c r="AC48" s="22">
        <v>1382</v>
      </c>
      <c r="AD48" s="22">
        <v>1369</v>
      </c>
      <c r="AE48" s="22">
        <v>1404</v>
      </c>
      <c r="AF48" s="22">
        <v>1359</v>
      </c>
      <c r="AG48" s="22">
        <v>1388.5</v>
      </c>
      <c r="AH48" s="22">
        <v>1392.5</v>
      </c>
      <c r="AI48" s="22">
        <v>1400</v>
      </c>
      <c r="AJ48" s="22">
        <v>1385</v>
      </c>
      <c r="AK48" s="22">
        <v>1422.5</v>
      </c>
      <c r="AL48" s="22">
        <v>1418</v>
      </c>
      <c r="AM48" s="22">
        <v>1399.5</v>
      </c>
      <c r="AN48" s="22">
        <v>1412.5</v>
      </c>
      <c r="AO48" s="22">
        <v>1403.5</v>
      </c>
      <c r="AP48" s="22">
        <v>1398</v>
      </c>
      <c r="AQ48" s="22">
        <v>1408.5</v>
      </c>
      <c r="AR48" s="22">
        <v>1399.5</v>
      </c>
      <c r="AS48" s="22">
        <v>1392</v>
      </c>
      <c r="AT48" s="22">
        <v>1260</v>
      </c>
      <c r="AU48" s="22">
        <v>1229.5</v>
      </c>
      <c r="AV48" s="22">
        <v>1230</v>
      </c>
      <c r="AW48" s="22">
        <v>1239</v>
      </c>
      <c r="AX48" s="22">
        <v>1233.5</v>
      </c>
      <c r="AY48" s="22">
        <v>1222.5</v>
      </c>
      <c r="AZ48" s="22">
        <v>1231</v>
      </c>
      <c r="BA48" s="22">
        <v>1231</v>
      </c>
      <c r="BB48" s="22">
        <v>1265</v>
      </c>
      <c r="BC48" s="22">
        <v>1351</v>
      </c>
      <c r="BD48" s="22">
        <v>1286</v>
      </c>
      <c r="BE48" s="22">
        <v>1290.5</v>
      </c>
      <c r="BF48" s="22">
        <v>1311.5</v>
      </c>
      <c r="BG48" s="22">
        <v>1286.5</v>
      </c>
      <c r="BH48" s="22">
        <v>1260</v>
      </c>
      <c r="BI48" s="22">
        <v>1274</v>
      </c>
      <c r="BJ48" s="22">
        <v>1257</v>
      </c>
      <c r="BK48" s="22">
        <v>1265</v>
      </c>
      <c r="BL48" s="22">
        <v>1264.5</v>
      </c>
      <c r="BM48" s="1">
        <v>1268</v>
      </c>
      <c r="BN48" s="1">
        <v>1288</v>
      </c>
      <c r="BO48" s="1">
        <v>1298</v>
      </c>
      <c r="BP48" s="1">
        <v>1280.5</v>
      </c>
    </row>
    <row r="49" spans="1:68" ht="15.9" customHeight="1">
      <c r="A49" s="81" t="s">
        <v>93</v>
      </c>
      <c r="B49" s="17" t="s">
        <v>94</v>
      </c>
      <c r="C49" s="26" t="str">
        <f>_xll.RssMarket("5929","始値")</f>
        <v/>
      </c>
      <c r="D49" s="25" t="e">
        <f t="shared" si="1"/>
        <v>#VALUE!</v>
      </c>
      <c r="E49" s="22">
        <v>3712</v>
      </c>
      <c r="F49" s="22">
        <v>3689</v>
      </c>
      <c r="G49" s="22">
        <v>3693</v>
      </c>
      <c r="H49" s="22">
        <v>3696</v>
      </c>
      <c r="I49" s="22">
        <v>3697</v>
      </c>
      <c r="J49" s="22">
        <v>3707</v>
      </c>
      <c r="K49" s="22">
        <v>3838</v>
      </c>
      <c r="L49" s="22">
        <v>3867</v>
      </c>
      <c r="M49" s="22">
        <v>3846</v>
      </c>
      <c r="N49" s="22">
        <v>3820</v>
      </c>
      <c r="O49" s="22">
        <v>3745</v>
      </c>
      <c r="P49" s="22">
        <v>3781</v>
      </c>
      <c r="Q49" s="22">
        <v>3853</v>
      </c>
      <c r="R49" s="22">
        <v>3799</v>
      </c>
      <c r="S49" s="22">
        <v>3749</v>
      </c>
      <c r="T49" s="22">
        <v>3766</v>
      </c>
      <c r="U49" s="22">
        <v>3661</v>
      </c>
      <c r="V49" s="22">
        <v>3675</v>
      </c>
      <c r="W49" s="22">
        <v>3672</v>
      </c>
      <c r="X49" s="22">
        <v>3703</v>
      </c>
      <c r="Y49" s="22">
        <v>3733</v>
      </c>
      <c r="Z49" s="22">
        <v>3750</v>
      </c>
      <c r="AA49" s="22">
        <v>3747</v>
      </c>
      <c r="AB49" s="22">
        <v>3673</v>
      </c>
      <c r="AC49" s="22">
        <v>3642</v>
      </c>
      <c r="AD49" s="22">
        <v>3644</v>
      </c>
      <c r="AE49" s="22">
        <v>3615</v>
      </c>
      <c r="AF49" s="22">
        <v>3709</v>
      </c>
      <c r="AG49" s="22">
        <v>3549</v>
      </c>
      <c r="AH49" s="22">
        <v>3437</v>
      </c>
      <c r="AI49" s="22">
        <v>3384</v>
      </c>
      <c r="AJ49" s="22">
        <v>3529</v>
      </c>
      <c r="AK49" s="22">
        <v>3525</v>
      </c>
      <c r="AL49" s="22">
        <v>3408</v>
      </c>
      <c r="AM49" s="22">
        <v>3378</v>
      </c>
      <c r="AN49" s="22">
        <v>3306</v>
      </c>
      <c r="AO49" s="22">
        <v>3339</v>
      </c>
      <c r="AP49" s="22">
        <v>3297</v>
      </c>
      <c r="AQ49" s="22">
        <v>3389</v>
      </c>
      <c r="AR49" s="22">
        <v>3315</v>
      </c>
      <c r="AS49" s="22">
        <v>3562</v>
      </c>
      <c r="AT49" s="22">
        <v>3664</v>
      </c>
      <c r="AU49" s="22">
        <v>3496</v>
      </c>
      <c r="AV49" s="22">
        <v>3538</v>
      </c>
      <c r="AW49" s="22">
        <v>3612</v>
      </c>
      <c r="AX49" s="22">
        <v>3618</v>
      </c>
      <c r="AY49" s="22">
        <v>3625</v>
      </c>
      <c r="AZ49" s="22">
        <v>3580</v>
      </c>
      <c r="BA49" s="22">
        <v>3609</v>
      </c>
      <c r="BB49" s="22">
        <v>3555</v>
      </c>
      <c r="BC49" s="22">
        <v>3637</v>
      </c>
      <c r="BD49" s="22">
        <v>3580</v>
      </c>
      <c r="BE49" s="22">
        <v>3645</v>
      </c>
      <c r="BF49" s="22">
        <v>3611</v>
      </c>
      <c r="BG49" s="22">
        <v>3664</v>
      </c>
      <c r="BH49" s="22">
        <v>3626</v>
      </c>
      <c r="BI49" s="22">
        <v>3659</v>
      </c>
      <c r="BJ49" s="22">
        <v>3636</v>
      </c>
      <c r="BK49" s="22">
        <v>3724</v>
      </c>
      <c r="BL49" s="22">
        <v>3763</v>
      </c>
      <c r="BM49" s="1">
        <v>3751</v>
      </c>
      <c r="BN49" s="1">
        <v>3675</v>
      </c>
      <c r="BO49" s="1">
        <v>3740</v>
      </c>
      <c r="BP49" s="1">
        <v>3767</v>
      </c>
    </row>
    <row r="50" spans="1:68" ht="15.9" customHeight="1">
      <c r="A50" s="81" t="s">
        <v>95</v>
      </c>
      <c r="B50" s="17" t="s">
        <v>96</v>
      </c>
      <c r="C50" s="26" t="str">
        <f>_xll.RssMarket("8316","始値")</f>
        <v/>
      </c>
      <c r="D50" s="25" t="e">
        <f t="shared" si="1"/>
        <v>#VALUE!</v>
      </c>
      <c r="E50" s="22">
        <v>7030</v>
      </c>
      <c r="F50" s="22">
        <v>7100</v>
      </c>
      <c r="G50" s="22">
        <v>6902</v>
      </c>
      <c r="H50" s="22">
        <v>6890</v>
      </c>
      <c r="I50" s="22">
        <v>6900</v>
      </c>
      <c r="J50" s="22">
        <v>6737</v>
      </c>
      <c r="K50" s="22">
        <v>6883</v>
      </c>
      <c r="L50" s="22">
        <v>6880</v>
      </c>
      <c r="M50" s="22">
        <v>6668</v>
      </c>
      <c r="N50" s="22">
        <v>6649</v>
      </c>
      <c r="O50" s="22">
        <v>6500</v>
      </c>
      <c r="P50" s="22">
        <v>6346</v>
      </c>
      <c r="Q50" s="22">
        <v>6373</v>
      </c>
      <c r="R50" s="22">
        <v>6415</v>
      </c>
      <c r="S50" s="22">
        <v>6340</v>
      </c>
      <c r="T50" s="22">
        <v>6430</v>
      </c>
      <c r="U50" s="22">
        <v>6516</v>
      </c>
      <c r="V50" s="22">
        <v>6581</v>
      </c>
      <c r="W50" s="22">
        <v>6471</v>
      </c>
      <c r="X50" s="22">
        <v>6702</v>
      </c>
      <c r="Y50" s="22">
        <v>6600</v>
      </c>
      <c r="Z50" s="22">
        <v>6544</v>
      </c>
      <c r="AA50" s="22">
        <v>6455</v>
      </c>
      <c r="AB50" s="22">
        <v>6506</v>
      </c>
      <c r="AC50" s="22">
        <v>6350</v>
      </c>
      <c r="AD50" s="22">
        <v>6127</v>
      </c>
      <c r="AE50" s="22">
        <v>6258</v>
      </c>
      <c r="AF50" s="22">
        <v>6136</v>
      </c>
      <c r="AG50" s="22">
        <v>6284</v>
      </c>
      <c r="AH50" s="22">
        <v>6116</v>
      </c>
      <c r="AI50" s="22">
        <v>6040</v>
      </c>
      <c r="AJ50" s="22">
        <v>5880</v>
      </c>
      <c r="AK50" s="22">
        <v>5850</v>
      </c>
      <c r="AL50" s="22">
        <v>5914</v>
      </c>
      <c r="AM50" s="22">
        <v>6017</v>
      </c>
      <c r="AN50" s="22">
        <v>6010</v>
      </c>
      <c r="AO50" s="22">
        <v>6045</v>
      </c>
      <c r="AP50" s="22">
        <v>6050</v>
      </c>
      <c r="AQ50" s="22">
        <v>6088</v>
      </c>
      <c r="AR50" s="22">
        <v>5895</v>
      </c>
      <c r="AS50" s="22">
        <v>5758</v>
      </c>
      <c r="AT50" s="22">
        <v>5748</v>
      </c>
      <c r="AU50" s="22">
        <v>5735</v>
      </c>
      <c r="AV50" s="22">
        <v>5835</v>
      </c>
      <c r="AW50" s="22">
        <v>5750</v>
      </c>
      <c r="AX50" s="22">
        <v>5600</v>
      </c>
      <c r="AY50" s="22">
        <v>5589</v>
      </c>
      <c r="AZ50" s="22">
        <v>5650</v>
      </c>
      <c r="BA50" s="22">
        <v>5512</v>
      </c>
      <c r="BB50" s="22">
        <v>5609</v>
      </c>
      <c r="BC50" s="22">
        <v>5470</v>
      </c>
      <c r="BD50" s="22">
        <v>5313</v>
      </c>
      <c r="BE50" s="22">
        <v>5383</v>
      </c>
      <c r="BF50" s="22">
        <v>5404</v>
      </c>
      <c r="BG50" s="22">
        <v>5468</v>
      </c>
      <c r="BH50" s="22">
        <v>5590</v>
      </c>
      <c r="BI50" s="22">
        <v>5623</v>
      </c>
      <c r="BJ50" s="22">
        <v>5660</v>
      </c>
      <c r="BK50" s="22">
        <v>5690</v>
      </c>
      <c r="BL50" s="22">
        <v>5615</v>
      </c>
      <c r="BM50" s="1">
        <v>5625</v>
      </c>
      <c r="BN50" s="1">
        <v>5550</v>
      </c>
      <c r="BO50" s="1">
        <v>5552</v>
      </c>
      <c r="BP50" s="1">
        <v>5639</v>
      </c>
    </row>
    <row r="51" spans="1:68" ht="15.9" customHeight="1">
      <c r="A51" s="81" t="s">
        <v>97</v>
      </c>
      <c r="B51" s="17" t="s">
        <v>98</v>
      </c>
      <c r="C51" s="26" t="str">
        <f>_xll.RssMarket("5449","始値")</f>
        <v/>
      </c>
      <c r="D51" s="25" t="e">
        <f t="shared" si="1"/>
        <v>#VALUE!</v>
      </c>
      <c r="E51" s="22">
        <v>2550</v>
      </c>
      <c r="F51" s="22">
        <v>2486</v>
      </c>
      <c r="G51" s="22">
        <v>2494</v>
      </c>
      <c r="H51" s="22">
        <v>2527</v>
      </c>
      <c r="I51" s="22">
        <v>2500</v>
      </c>
      <c r="J51" s="22">
        <v>2538</v>
      </c>
      <c r="K51" s="22">
        <v>2476</v>
      </c>
      <c r="L51" s="22">
        <v>2390</v>
      </c>
      <c r="M51" s="22">
        <v>2409</v>
      </c>
      <c r="N51" s="22">
        <v>2366</v>
      </c>
      <c r="O51" s="22">
        <v>2285</v>
      </c>
      <c r="P51" s="22">
        <v>2278</v>
      </c>
      <c r="Q51" s="22">
        <v>2423</v>
      </c>
      <c r="R51" s="22">
        <v>2391</v>
      </c>
      <c r="S51" s="22">
        <v>2284</v>
      </c>
      <c r="T51" s="22">
        <v>2301</v>
      </c>
      <c r="U51" s="22">
        <v>2365</v>
      </c>
      <c r="V51" s="22">
        <v>2379</v>
      </c>
      <c r="W51" s="22">
        <v>2308</v>
      </c>
      <c r="X51" s="22">
        <v>2314</v>
      </c>
      <c r="Y51" s="22">
        <v>2254</v>
      </c>
      <c r="Z51" s="22">
        <v>2380</v>
      </c>
      <c r="AA51" s="22">
        <v>2399</v>
      </c>
      <c r="AB51" s="22">
        <v>2369</v>
      </c>
      <c r="AC51" s="22">
        <v>2330</v>
      </c>
      <c r="AD51" s="22">
        <v>2300</v>
      </c>
      <c r="AE51" s="22">
        <v>2325</v>
      </c>
      <c r="AF51" s="22">
        <v>2260</v>
      </c>
      <c r="AG51" s="22">
        <v>2336</v>
      </c>
      <c r="AH51" s="22">
        <v>2355</v>
      </c>
      <c r="AI51" s="22">
        <v>2321</v>
      </c>
      <c r="AJ51" s="22">
        <v>2334</v>
      </c>
      <c r="AK51" s="22">
        <v>2585</v>
      </c>
      <c r="AL51" s="22">
        <v>2643</v>
      </c>
      <c r="AM51" s="22">
        <v>2579</v>
      </c>
      <c r="AN51" s="22">
        <v>2381</v>
      </c>
      <c r="AO51" s="22">
        <v>2352</v>
      </c>
      <c r="AP51" s="22">
        <v>2322</v>
      </c>
      <c r="AQ51" s="22">
        <v>2245</v>
      </c>
      <c r="AR51" s="22">
        <v>2250</v>
      </c>
      <c r="AS51" s="22">
        <v>2325</v>
      </c>
      <c r="AT51" s="22">
        <v>2393</v>
      </c>
      <c r="AU51" s="22">
        <v>2321</v>
      </c>
      <c r="AV51" s="22">
        <v>2379</v>
      </c>
      <c r="AW51" s="22">
        <v>2597</v>
      </c>
      <c r="AX51" s="22">
        <v>2521</v>
      </c>
      <c r="AY51" s="22">
        <v>2607</v>
      </c>
      <c r="AZ51" s="22">
        <v>2518</v>
      </c>
      <c r="BA51" s="22">
        <v>2464</v>
      </c>
      <c r="BB51" s="22">
        <v>2469</v>
      </c>
      <c r="BC51" s="22">
        <v>2368</v>
      </c>
      <c r="BD51" s="22">
        <v>2345</v>
      </c>
      <c r="BE51" s="22">
        <v>2300</v>
      </c>
      <c r="BF51" s="22">
        <v>2355</v>
      </c>
      <c r="BG51" s="22">
        <v>2410</v>
      </c>
      <c r="BH51" s="22">
        <v>2453</v>
      </c>
      <c r="BI51" s="22">
        <v>2435</v>
      </c>
      <c r="BJ51" s="22">
        <v>2411</v>
      </c>
      <c r="BK51" s="22">
        <v>2440</v>
      </c>
      <c r="BL51" s="22">
        <v>2474</v>
      </c>
      <c r="BM51" s="1">
        <v>2390</v>
      </c>
      <c r="BN51" s="1">
        <v>2459</v>
      </c>
      <c r="BO51" s="1">
        <v>2648</v>
      </c>
      <c r="BP51" s="1">
        <v>2715</v>
      </c>
    </row>
    <row r="52" spans="1:68" ht="15.9" customHeight="1">
      <c r="A52" s="81" t="s">
        <v>99</v>
      </c>
      <c r="B52" s="17" t="s">
        <v>100</v>
      </c>
      <c r="C52" s="26" t="str">
        <f>_xll.RssMarket("8766","始値")</f>
        <v/>
      </c>
      <c r="D52" s="25" t="e">
        <f t="shared" si="1"/>
        <v>#VALUE!</v>
      </c>
      <c r="E52" s="22">
        <v>7614</v>
      </c>
      <c r="F52" s="22">
        <v>7816</v>
      </c>
      <c r="G52" s="22">
        <v>7689</v>
      </c>
      <c r="H52" s="22">
        <v>7459</v>
      </c>
      <c r="I52" s="22">
        <v>7849</v>
      </c>
      <c r="J52" s="22">
        <v>7682</v>
      </c>
      <c r="K52" s="22">
        <v>7725</v>
      </c>
      <c r="L52" s="22">
        <v>7820</v>
      </c>
      <c r="M52" s="22">
        <v>7584</v>
      </c>
      <c r="N52" s="22">
        <v>7675</v>
      </c>
      <c r="O52" s="22">
        <v>7235</v>
      </c>
      <c r="P52" s="22">
        <v>7202</v>
      </c>
      <c r="Q52" s="22">
        <v>7310</v>
      </c>
      <c r="R52" s="22">
        <v>7100</v>
      </c>
      <c r="S52" s="22">
        <v>6885</v>
      </c>
      <c r="T52" s="22">
        <v>6912</v>
      </c>
      <c r="U52" s="22">
        <v>7271</v>
      </c>
      <c r="V52" s="22">
        <v>7356</v>
      </c>
      <c r="W52" s="22">
        <v>7140</v>
      </c>
      <c r="X52" s="22">
        <v>7234</v>
      </c>
      <c r="Y52" s="22">
        <v>7320</v>
      </c>
      <c r="Z52" s="22">
        <v>7408</v>
      </c>
      <c r="AA52" s="22">
        <v>7217</v>
      </c>
      <c r="AB52" s="22">
        <v>7256</v>
      </c>
      <c r="AC52" s="22">
        <v>7348</v>
      </c>
      <c r="AD52" s="22">
        <v>7450</v>
      </c>
      <c r="AE52" s="22">
        <v>7493</v>
      </c>
      <c r="AF52" s="22">
        <v>6955</v>
      </c>
      <c r="AG52" s="22">
        <v>6996</v>
      </c>
      <c r="AH52" s="22">
        <v>6961</v>
      </c>
      <c r="AI52" s="22">
        <v>7114</v>
      </c>
      <c r="AJ52" s="22">
        <v>7059</v>
      </c>
      <c r="AK52" s="22">
        <v>7116</v>
      </c>
      <c r="AL52" s="22">
        <v>7217</v>
      </c>
      <c r="AM52" s="22">
        <v>7367</v>
      </c>
      <c r="AN52" s="22">
        <v>7465</v>
      </c>
      <c r="AO52" s="22">
        <v>7568</v>
      </c>
      <c r="AP52" s="22">
        <v>7800</v>
      </c>
      <c r="AQ52" s="22">
        <v>8010</v>
      </c>
      <c r="AR52" s="22">
        <v>7800</v>
      </c>
      <c r="AS52" s="22">
        <v>7706</v>
      </c>
      <c r="AT52" s="22">
        <v>7593</v>
      </c>
      <c r="AU52" s="22">
        <v>7369</v>
      </c>
      <c r="AV52" s="22">
        <v>7151</v>
      </c>
      <c r="AW52" s="22">
        <v>7200</v>
      </c>
      <c r="AX52" s="22">
        <v>6980</v>
      </c>
      <c r="AY52" s="22">
        <v>7163</v>
      </c>
      <c r="AZ52" s="22">
        <v>7219</v>
      </c>
      <c r="BA52" s="22">
        <v>7123</v>
      </c>
      <c r="BB52" s="22">
        <v>7300</v>
      </c>
      <c r="BC52" s="22">
        <v>7282</v>
      </c>
      <c r="BD52" s="22">
        <v>7180</v>
      </c>
      <c r="BE52" s="22">
        <v>7139</v>
      </c>
      <c r="BF52" s="22">
        <v>6988</v>
      </c>
      <c r="BG52" s="22">
        <v>7244</v>
      </c>
      <c r="BH52" s="22">
        <v>7264</v>
      </c>
      <c r="BI52" s="22">
        <v>7033</v>
      </c>
      <c r="BJ52" s="22">
        <v>6988</v>
      </c>
      <c r="BK52" s="22">
        <v>6901</v>
      </c>
      <c r="BL52" s="22">
        <v>6950</v>
      </c>
      <c r="BM52" s="1">
        <v>7055</v>
      </c>
      <c r="BN52" s="1">
        <v>7071</v>
      </c>
      <c r="BO52" s="1">
        <v>7200</v>
      </c>
      <c r="BP52" s="1">
        <v>7285</v>
      </c>
    </row>
    <row r="53" spans="1:68" ht="15.9" customHeight="1">
      <c r="A53" s="81" t="s">
        <v>101</v>
      </c>
      <c r="B53" s="17" t="s">
        <v>102</v>
      </c>
      <c r="C53" s="26" t="str">
        <f>_xll.RssMarket("5201","始値")</f>
        <v/>
      </c>
      <c r="D53" s="25" t="e">
        <f t="shared" si="1"/>
        <v>#VALUE!</v>
      </c>
      <c r="E53" s="22">
        <v>6388</v>
      </c>
      <c r="F53" s="22">
        <v>6434</v>
      </c>
      <c r="G53" s="22">
        <v>6310</v>
      </c>
      <c r="H53" s="22">
        <v>6476</v>
      </c>
      <c r="I53" s="22">
        <v>6529</v>
      </c>
      <c r="J53" s="22">
        <v>6490</v>
      </c>
      <c r="K53" s="22">
        <v>6478</v>
      </c>
      <c r="L53" s="22">
        <v>6737</v>
      </c>
      <c r="M53" s="22">
        <v>6888</v>
      </c>
      <c r="N53" s="22">
        <v>6770</v>
      </c>
      <c r="O53" s="22">
        <v>6838</v>
      </c>
      <c r="P53" s="22">
        <v>7029</v>
      </c>
      <c r="Q53" s="22">
        <v>7050</v>
      </c>
      <c r="R53" s="22">
        <v>7104</v>
      </c>
      <c r="S53" s="22">
        <v>7247</v>
      </c>
      <c r="T53" s="22">
        <v>7328</v>
      </c>
      <c r="U53" s="22">
        <v>7242</v>
      </c>
      <c r="V53" s="22">
        <v>7630</v>
      </c>
      <c r="W53" s="22">
        <v>7549</v>
      </c>
      <c r="X53" s="22">
        <v>7670</v>
      </c>
      <c r="Y53" s="22">
        <v>7422</v>
      </c>
      <c r="Z53" s="22">
        <v>7224</v>
      </c>
      <c r="AA53" s="22">
        <v>7500</v>
      </c>
      <c r="AB53" s="22">
        <v>7210</v>
      </c>
      <c r="AC53" s="22">
        <v>7102</v>
      </c>
      <c r="AD53" s="22">
        <v>6641</v>
      </c>
      <c r="AE53" s="22">
        <v>7121</v>
      </c>
      <c r="AF53" s="22">
        <v>7285</v>
      </c>
      <c r="AG53" s="22">
        <v>8000</v>
      </c>
      <c r="AH53" s="22">
        <v>8087</v>
      </c>
      <c r="AI53" s="22">
        <v>7720</v>
      </c>
      <c r="AJ53" s="22">
        <v>7098</v>
      </c>
      <c r="AK53" s="22">
        <v>6893</v>
      </c>
      <c r="AL53" s="22">
        <v>6968</v>
      </c>
      <c r="AM53" s="22">
        <v>7218</v>
      </c>
      <c r="AN53" s="22">
        <v>6504</v>
      </c>
      <c r="AO53" s="22">
        <v>6227</v>
      </c>
      <c r="AP53" s="22">
        <v>6149</v>
      </c>
      <c r="AQ53" s="22">
        <v>6215</v>
      </c>
      <c r="AR53" s="22">
        <v>6279</v>
      </c>
      <c r="AS53" s="22">
        <v>6000</v>
      </c>
      <c r="AT53" s="22">
        <v>6061</v>
      </c>
      <c r="AU53" s="22">
        <v>5964</v>
      </c>
      <c r="AV53" s="22">
        <v>5661</v>
      </c>
      <c r="AW53" s="22">
        <v>5600</v>
      </c>
      <c r="AX53" s="22">
        <v>5652</v>
      </c>
      <c r="AY53" s="22">
        <v>5628</v>
      </c>
      <c r="AZ53" s="22">
        <v>5561</v>
      </c>
      <c r="BA53" s="22">
        <v>5654</v>
      </c>
      <c r="BB53" s="22">
        <v>5747</v>
      </c>
      <c r="BC53" s="22">
        <v>5629</v>
      </c>
      <c r="BD53" s="22">
        <v>5697</v>
      </c>
      <c r="BE53" s="22">
        <v>5632</v>
      </c>
      <c r="BF53" s="22">
        <v>5769</v>
      </c>
      <c r="BG53" s="22">
        <v>5768</v>
      </c>
      <c r="BH53" s="22">
        <v>5796</v>
      </c>
      <c r="BI53" s="22">
        <v>5703</v>
      </c>
      <c r="BJ53" s="22">
        <v>5676</v>
      </c>
      <c r="BK53" s="22">
        <v>5645</v>
      </c>
      <c r="BL53" s="22">
        <v>5782</v>
      </c>
      <c r="BM53" s="1">
        <v>5750</v>
      </c>
      <c r="BN53" s="1">
        <v>5872</v>
      </c>
      <c r="BO53" s="1">
        <v>5975</v>
      </c>
      <c r="BP53" s="1">
        <v>5853</v>
      </c>
    </row>
    <row r="54" spans="1:68" ht="15.9" customHeight="1">
      <c r="A54" s="81" t="s">
        <v>103</v>
      </c>
      <c r="B54" s="17" t="s">
        <v>104</v>
      </c>
      <c r="C54" s="26" t="str">
        <f>_xll.RssMarket("8630","始値")</f>
        <v/>
      </c>
      <c r="D54" s="25" t="e">
        <f t="shared" si="1"/>
        <v>#VALUE!</v>
      </c>
      <c r="E54" s="22">
        <v>6624</v>
      </c>
      <c r="F54" s="22">
        <v>6640</v>
      </c>
      <c r="G54" s="22">
        <v>6498</v>
      </c>
      <c r="H54" s="22">
        <v>6513</v>
      </c>
      <c r="I54" s="22">
        <v>6645</v>
      </c>
      <c r="J54" s="22">
        <v>6648</v>
      </c>
      <c r="K54" s="22">
        <v>6709</v>
      </c>
      <c r="L54" s="22">
        <v>6776</v>
      </c>
      <c r="M54" s="22">
        <v>6631</v>
      </c>
      <c r="N54" s="22">
        <v>6685</v>
      </c>
      <c r="O54" s="22">
        <v>6335</v>
      </c>
      <c r="P54" s="22">
        <v>6313</v>
      </c>
      <c r="Q54" s="22">
        <v>6243</v>
      </c>
      <c r="R54" s="22">
        <v>6117</v>
      </c>
      <c r="S54" s="22">
        <v>6139</v>
      </c>
      <c r="T54" s="22">
        <v>6180</v>
      </c>
      <c r="U54" s="22">
        <v>6334</v>
      </c>
      <c r="V54" s="22">
        <v>6492</v>
      </c>
      <c r="W54" s="22">
        <v>6242</v>
      </c>
      <c r="X54" s="22">
        <v>6329</v>
      </c>
      <c r="Y54" s="22">
        <v>6270</v>
      </c>
      <c r="Z54" s="22">
        <v>6330</v>
      </c>
      <c r="AA54" s="22">
        <v>6268</v>
      </c>
      <c r="AB54" s="22">
        <v>6172</v>
      </c>
      <c r="AC54" s="22">
        <v>6074</v>
      </c>
      <c r="AD54" s="22">
        <v>6183</v>
      </c>
      <c r="AE54" s="22">
        <v>6300</v>
      </c>
      <c r="AF54" s="22">
        <v>5925</v>
      </c>
      <c r="AG54" s="22">
        <v>5874</v>
      </c>
      <c r="AH54" s="22">
        <v>5829</v>
      </c>
      <c r="AI54" s="22">
        <v>5870</v>
      </c>
      <c r="AJ54" s="22">
        <v>5959</v>
      </c>
      <c r="AK54" s="22">
        <v>5810</v>
      </c>
      <c r="AL54" s="22">
        <v>5930</v>
      </c>
      <c r="AM54" s="22">
        <v>5893</v>
      </c>
      <c r="AN54" s="22">
        <v>5600</v>
      </c>
      <c r="AO54" s="22">
        <v>5569</v>
      </c>
      <c r="AP54" s="22">
        <v>5838</v>
      </c>
      <c r="AQ54" s="22">
        <v>6400</v>
      </c>
      <c r="AR54" s="22">
        <v>6298</v>
      </c>
      <c r="AS54" s="22">
        <v>6146</v>
      </c>
      <c r="AT54" s="22">
        <v>6073</v>
      </c>
      <c r="AU54" s="22">
        <v>6041</v>
      </c>
      <c r="AV54" s="22">
        <v>5982</v>
      </c>
      <c r="AW54" s="22">
        <v>5854</v>
      </c>
      <c r="AX54" s="22">
        <v>5706</v>
      </c>
      <c r="AY54" s="22">
        <v>5882</v>
      </c>
      <c r="AZ54" s="22">
        <v>5905</v>
      </c>
      <c r="BA54" s="22">
        <v>5710</v>
      </c>
      <c r="BB54" s="22">
        <v>5791</v>
      </c>
      <c r="BC54" s="22">
        <v>5772</v>
      </c>
      <c r="BD54" s="22">
        <v>5737</v>
      </c>
      <c r="BE54" s="22">
        <v>5890</v>
      </c>
      <c r="BF54" s="22">
        <v>5792</v>
      </c>
      <c r="BG54" s="22">
        <v>5909</v>
      </c>
      <c r="BH54" s="22">
        <v>5936</v>
      </c>
      <c r="BI54" s="22">
        <v>5937</v>
      </c>
      <c r="BJ54" s="22">
        <v>5981</v>
      </c>
      <c r="BK54" s="22">
        <v>5969</v>
      </c>
      <c r="BL54" s="22">
        <v>5988</v>
      </c>
      <c r="BM54" s="1">
        <v>6015</v>
      </c>
      <c r="BN54" s="1">
        <v>5922</v>
      </c>
      <c r="BO54" s="1">
        <v>6037</v>
      </c>
      <c r="BP54" s="1">
        <v>6080</v>
      </c>
    </row>
    <row r="55" spans="1:68" ht="15.9" customHeight="1">
      <c r="A55" s="81" t="s">
        <v>105</v>
      </c>
      <c r="B55" s="17" t="s">
        <v>106</v>
      </c>
      <c r="C55" s="26" t="str">
        <f>_xll.RssMarket("5901","始値")</f>
        <v/>
      </c>
      <c r="D55" s="25" t="e">
        <f t="shared" si="1"/>
        <v>#VALUE!</v>
      </c>
      <c r="E55" s="22">
        <v>4069</v>
      </c>
      <c r="F55" s="22">
        <v>4052</v>
      </c>
      <c r="G55" s="22">
        <v>4014</v>
      </c>
      <c r="H55" s="22">
        <v>4080</v>
      </c>
      <c r="I55" s="22">
        <v>4041</v>
      </c>
      <c r="J55" s="22">
        <v>4100</v>
      </c>
      <c r="K55" s="22">
        <v>4127</v>
      </c>
      <c r="L55" s="22">
        <v>4160</v>
      </c>
      <c r="M55" s="22">
        <v>4132</v>
      </c>
      <c r="N55" s="22">
        <v>4144</v>
      </c>
      <c r="O55" s="22">
        <v>4122</v>
      </c>
      <c r="P55" s="22">
        <v>4067</v>
      </c>
      <c r="Q55" s="22">
        <v>4122</v>
      </c>
      <c r="R55" s="22">
        <v>4134</v>
      </c>
      <c r="S55" s="22">
        <v>4114</v>
      </c>
      <c r="T55" s="22">
        <v>4136</v>
      </c>
      <c r="U55" s="22">
        <v>4100</v>
      </c>
      <c r="V55" s="22">
        <v>4163</v>
      </c>
      <c r="W55" s="22">
        <v>4090</v>
      </c>
      <c r="X55" s="22">
        <v>4000</v>
      </c>
      <c r="Y55" s="22">
        <v>4076</v>
      </c>
      <c r="Z55" s="22">
        <v>4004</v>
      </c>
      <c r="AA55" s="22">
        <v>3979</v>
      </c>
      <c r="AB55" s="22">
        <v>3990</v>
      </c>
      <c r="AC55" s="22">
        <v>3883</v>
      </c>
      <c r="AD55" s="22">
        <v>3815</v>
      </c>
      <c r="AE55" s="22">
        <v>3820</v>
      </c>
      <c r="AF55" s="22">
        <v>3912</v>
      </c>
      <c r="AG55" s="22">
        <v>3777</v>
      </c>
      <c r="AH55" s="22">
        <v>3850</v>
      </c>
      <c r="AI55" s="22">
        <v>3778</v>
      </c>
      <c r="AJ55" s="22">
        <v>3867</v>
      </c>
      <c r="AK55" s="22">
        <v>3910</v>
      </c>
      <c r="AL55" s="22">
        <v>3938</v>
      </c>
      <c r="AM55" s="22">
        <v>3931</v>
      </c>
      <c r="AN55" s="22">
        <v>4001</v>
      </c>
      <c r="AO55" s="22">
        <v>4369</v>
      </c>
      <c r="AP55" s="22">
        <v>4128</v>
      </c>
      <c r="AQ55" s="22">
        <v>4073</v>
      </c>
      <c r="AR55" s="22">
        <v>3889</v>
      </c>
      <c r="AS55" s="22">
        <v>3776</v>
      </c>
      <c r="AT55" s="22">
        <v>3542</v>
      </c>
      <c r="AU55" s="22">
        <v>3448</v>
      </c>
      <c r="AV55" s="22">
        <v>3371</v>
      </c>
      <c r="AW55" s="22">
        <v>3418</v>
      </c>
      <c r="AX55" s="22">
        <v>3531</v>
      </c>
      <c r="AY55" s="22">
        <v>3563</v>
      </c>
      <c r="AZ55" s="22">
        <v>3438</v>
      </c>
      <c r="BA55" s="22">
        <v>3335</v>
      </c>
      <c r="BB55" s="22">
        <v>3137</v>
      </c>
      <c r="BC55" s="22">
        <v>3186</v>
      </c>
      <c r="BD55" s="22">
        <v>3196</v>
      </c>
      <c r="BE55" s="22">
        <v>3230</v>
      </c>
      <c r="BF55" s="22">
        <v>3244</v>
      </c>
      <c r="BG55" s="22">
        <v>3373</v>
      </c>
      <c r="BH55" s="22">
        <v>3372</v>
      </c>
      <c r="BI55" s="22">
        <v>3386</v>
      </c>
      <c r="BJ55" s="22">
        <v>3380</v>
      </c>
      <c r="BK55" s="22">
        <v>3426</v>
      </c>
      <c r="BL55" s="22">
        <v>3370</v>
      </c>
      <c r="BM55" s="1">
        <v>3431</v>
      </c>
      <c r="BN55" s="1">
        <v>3446</v>
      </c>
      <c r="BO55" s="1">
        <v>3474</v>
      </c>
      <c r="BP55" s="1">
        <v>3588</v>
      </c>
    </row>
    <row r="56" spans="1:68" ht="15.9" customHeight="1">
      <c r="A56" s="81" t="s">
        <v>107</v>
      </c>
      <c r="B56" s="17" t="s">
        <v>108</v>
      </c>
      <c r="C56" s="26" t="str">
        <f>_xll.RssMarket("9412","始値")</f>
        <v/>
      </c>
      <c r="D56" s="25" t="e">
        <f t="shared" si="1"/>
        <v>#VALUE!</v>
      </c>
      <c r="E56" s="22">
        <v>2298</v>
      </c>
      <c r="F56" s="22">
        <v>2468</v>
      </c>
      <c r="G56" s="22">
        <v>2490</v>
      </c>
      <c r="H56" s="22">
        <v>2527</v>
      </c>
      <c r="I56" s="22">
        <v>2562</v>
      </c>
      <c r="J56" s="22">
        <v>2582</v>
      </c>
      <c r="K56" s="22">
        <v>2699</v>
      </c>
      <c r="L56" s="22">
        <v>2592</v>
      </c>
      <c r="M56" s="22">
        <v>2740</v>
      </c>
      <c r="N56" s="22">
        <v>2655</v>
      </c>
      <c r="O56" s="22">
        <v>2600</v>
      </c>
      <c r="P56" s="22">
        <v>2682</v>
      </c>
      <c r="Q56" s="22">
        <v>2643</v>
      </c>
      <c r="R56" s="22">
        <v>2535</v>
      </c>
      <c r="S56" s="22">
        <v>2488</v>
      </c>
      <c r="T56" s="22">
        <v>2710</v>
      </c>
      <c r="U56" s="22">
        <v>2864</v>
      </c>
      <c r="V56" s="22">
        <v>3235</v>
      </c>
      <c r="W56" s="22">
        <v>3130</v>
      </c>
      <c r="X56" s="22">
        <v>3215</v>
      </c>
      <c r="Y56" s="22">
        <v>3350</v>
      </c>
      <c r="Z56" s="22">
        <v>3300</v>
      </c>
      <c r="AA56" s="22">
        <v>3315</v>
      </c>
      <c r="AB56" s="22">
        <v>3415</v>
      </c>
      <c r="AC56" s="22">
        <v>3450</v>
      </c>
      <c r="AD56" s="22">
        <v>3100</v>
      </c>
      <c r="AE56" s="22">
        <v>3200</v>
      </c>
      <c r="AF56" s="22">
        <v>3350</v>
      </c>
      <c r="AG56" s="22">
        <v>3555</v>
      </c>
      <c r="AH56" s="22">
        <v>3350</v>
      </c>
      <c r="AI56" s="22">
        <v>3710</v>
      </c>
      <c r="AJ56" s="22">
        <v>3890</v>
      </c>
      <c r="AK56" s="22">
        <v>4600</v>
      </c>
      <c r="AL56" s="22">
        <v>4285</v>
      </c>
      <c r="AM56" s="22">
        <v>4625</v>
      </c>
      <c r="AN56" s="22">
        <v>4400</v>
      </c>
      <c r="AO56" s="22">
        <v>4100</v>
      </c>
      <c r="AP56" s="22">
        <v>4235</v>
      </c>
      <c r="AQ56" s="22">
        <v>3975</v>
      </c>
      <c r="AR56" s="22">
        <v>4100</v>
      </c>
      <c r="AS56" s="22">
        <v>4230</v>
      </c>
      <c r="AT56" s="22">
        <v>4305</v>
      </c>
      <c r="AU56" s="22">
        <v>4205</v>
      </c>
      <c r="AV56" s="22">
        <v>3895</v>
      </c>
      <c r="AW56" s="22">
        <v>3805</v>
      </c>
      <c r="AX56" s="22">
        <v>3800</v>
      </c>
      <c r="AY56" s="22">
        <v>3530</v>
      </c>
      <c r="AZ56" s="22">
        <v>3605</v>
      </c>
      <c r="BA56" s="22">
        <v>3500</v>
      </c>
      <c r="BB56" s="22">
        <v>3420</v>
      </c>
      <c r="BC56" s="22">
        <v>3160</v>
      </c>
      <c r="BD56" s="22">
        <v>3215</v>
      </c>
      <c r="BE56" s="22">
        <v>3170</v>
      </c>
      <c r="BF56" s="22">
        <v>3125</v>
      </c>
      <c r="BG56" s="22">
        <v>3335</v>
      </c>
      <c r="BH56" s="22">
        <v>3350</v>
      </c>
      <c r="BI56" s="22">
        <v>3300</v>
      </c>
      <c r="BJ56" s="22">
        <v>3250</v>
      </c>
      <c r="BK56" s="22">
        <v>3190</v>
      </c>
      <c r="BL56" s="22">
        <v>3205</v>
      </c>
      <c r="BM56" s="1">
        <v>3055</v>
      </c>
      <c r="BN56" s="1">
        <v>2990</v>
      </c>
      <c r="BO56" s="1">
        <v>3150</v>
      </c>
      <c r="BP56" s="1">
        <v>3160</v>
      </c>
    </row>
    <row r="57" spans="1:68" ht="15.9" customHeight="1">
      <c r="A57" s="81" t="s">
        <v>109</v>
      </c>
      <c r="B57" s="17" t="s">
        <v>110</v>
      </c>
      <c r="C57" s="26" t="str">
        <f>_xll.RssMarket("6203","始値")</f>
        <v/>
      </c>
      <c r="D57" s="25" t="e">
        <f t="shared" si="1"/>
        <v>#VALUE!</v>
      </c>
      <c r="E57" s="22">
        <v>1449</v>
      </c>
      <c r="F57" s="22">
        <v>1595</v>
      </c>
      <c r="G57" s="22">
        <v>1573</v>
      </c>
      <c r="H57" s="22">
        <v>1636</v>
      </c>
      <c r="I57" s="22">
        <v>1601</v>
      </c>
      <c r="J57" s="22">
        <v>1607</v>
      </c>
      <c r="K57" s="22">
        <v>1650</v>
      </c>
      <c r="L57" s="22">
        <v>1838</v>
      </c>
      <c r="M57" s="22">
        <v>1670</v>
      </c>
      <c r="N57" s="22">
        <v>1584</v>
      </c>
      <c r="O57" s="22">
        <v>1500</v>
      </c>
      <c r="P57" s="22">
        <v>1524</v>
      </c>
      <c r="Q57" s="22">
        <v>1550</v>
      </c>
      <c r="R57" s="22">
        <v>1610</v>
      </c>
      <c r="S57" s="22">
        <v>1620</v>
      </c>
      <c r="T57" s="22">
        <v>1600</v>
      </c>
      <c r="U57" s="22">
        <v>1615</v>
      </c>
      <c r="V57" s="22">
        <v>1711</v>
      </c>
      <c r="W57" s="22">
        <v>1615</v>
      </c>
      <c r="X57" s="22">
        <v>1700</v>
      </c>
      <c r="Y57" s="22">
        <v>1641</v>
      </c>
      <c r="Z57" s="22">
        <v>1573</v>
      </c>
      <c r="AA57" s="22">
        <v>1586</v>
      </c>
      <c r="AB57" s="22">
        <v>1612</v>
      </c>
      <c r="AC57" s="22">
        <v>1645</v>
      </c>
      <c r="AD57" s="22">
        <v>1642</v>
      </c>
      <c r="AE57" s="22">
        <v>1793</v>
      </c>
      <c r="AF57" s="22">
        <v>1700</v>
      </c>
      <c r="AG57" s="22">
        <v>1710</v>
      </c>
      <c r="AH57" s="22">
        <v>1728</v>
      </c>
      <c r="AI57" s="22">
        <v>1887</v>
      </c>
      <c r="AJ57" s="22">
        <v>1916</v>
      </c>
      <c r="AK57" s="22">
        <v>1950</v>
      </c>
      <c r="AL57" s="22">
        <v>1490</v>
      </c>
      <c r="AM57" s="22">
        <v>1386</v>
      </c>
      <c r="AN57" s="22">
        <v>1367</v>
      </c>
      <c r="AO57" s="22">
        <v>1327</v>
      </c>
      <c r="AP57" s="22">
        <v>1306</v>
      </c>
      <c r="AQ57" s="22">
        <v>1299</v>
      </c>
      <c r="AR57" s="22">
        <v>1331</v>
      </c>
      <c r="AS57" s="22">
        <v>1392</v>
      </c>
      <c r="AT57" s="22">
        <v>1378</v>
      </c>
      <c r="AU57" s="22">
        <v>1431</v>
      </c>
      <c r="AV57" s="22">
        <v>1428</v>
      </c>
      <c r="AW57" s="22">
        <v>1539</v>
      </c>
      <c r="AX57" s="22">
        <v>1510</v>
      </c>
      <c r="AY57" s="22">
        <v>1503</v>
      </c>
      <c r="AZ57" s="22">
        <v>1559</v>
      </c>
      <c r="BA57" s="22">
        <v>1524</v>
      </c>
      <c r="BB57" s="22">
        <v>1560</v>
      </c>
      <c r="BC57" s="22">
        <v>1500</v>
      </c>
      <c r="BD57" s="22">
        <v>1483</v>
      </c>
      <c r="BE57" s="22">
        <v>1505</v>
      </c>
      <c r="BF57" s="22">
        <v>1575</v>
      </c>
      <c r="BG57" s="22">
        <v>1444</v>
      </c>
      <c r="BH57" s="22">
        <v>1382</v>
      </c>
      <c r="BI57" s="22">
        <v>1374</v>
      </c>
      <c r="BJ57" s="22">
        <v>1376</v>
      </c>
      <c r="BK57" s="22">
        <v>1380</v>
      </c>
      <c r="BL57" s="22">
        <v>1451</v>
      </c>
      <c r="BM57" s="1">
        <v>1482</v>
      </c>
      <c r="BN57" s="1">
        <v>1460</v>
      </c>
      <c r="BO57" s="1">
        <v>1499</v>
      </c>
      <c r="BP57" s="1">
        <v>1590</v>
      </c>
    </row>
    <row r="58" spans="1:68" ht="15.9" customHeight="1">
      <c r="A58" s="81" t="s">
        <v>111</v>
      </c>
      <c r="B58" s="17" t="s">
        <v>112</v>
      </c>
      <c r="C58" s="26" t="str">
        <f>_xll.RssMarket("4676","始値")</f>
        <v/>
      </c>
      <c r="D58" s="25" t="e">
        <f t="shared" si="1"/>
        <v>#VALUE!</v>
      </c>
      <c r="E58" s="22">
        <v>4135</v>
      </c>
      <c r="F58" s="22">
        <v>4200</v>
      </c>
      <c r="G58" s="22">
        <v>4197</v>
      </c>
      <c r="H58" s="22">
        <v>4114</v>
      </c>
      <c r="I58" s="22">
        <v>4090</v>
      </c>
      <c r="J58" s="22">
        <v>4100</v>
      </c>
      <c r="K58" s="22">
        <v>4105</v>
      </c>
      <c r="L58" s="22">
        <v>4100</v>
      </c>
      <c r="M58" s="22">
        <v>3998</v>
      </c>
      <c r="N58" s="22">
        <v>4018</v>
      </c>
      <c r="O58" s="22">
        <v>4003</v>
      </c>
      <c r="P58" s="22">
        <v>3870</v>
      </c>
      <c r="Q58" s="22">
        <v>3859</v>
      </c>
      <c r="R58" s="22">
        <v>3879</v>
      </c>
      <c r="S58" s="22">
        <v>3976</v>
      </c>
      <c r="T58" s="22">
        <v>3843</v>
      </c>
      <c r="U58" s="22">
        <v>3934</v>
      </c>
      <c r="V58" s="22">
        <v>4105</v>
      </c>
      <c r="W58" s="22">
        <v>3996</v>
      </c>
      <c r="X58" s="22">
        <v>4014</v>
      </c>
      <c r="Y58" s="22">
        <v>4020</v>
      </c>
      <c r="Z58" s="22">
        <v>4050</v>
      </c>
      <c r="AA58" s="22">
        <v>4056</v>
      </c>
      <c r="AB58" s="22">
        <v>4054</v>
      </c>
      <c r="AC58" s="22">
        <v>4072</v>
      </c>
      <c r="AD58" s="22">
        <v>4100</v>
      </c>
      <c r="AE58" s="22">
        <v>4150</v>
      </c>
      <c r="AF58" s="22">
        <v>4106</v>
      </c>
      <c r="AG58" s="22">
        <v>4033</v>
      </c>
      <c r="AH58" s="22">
        <v>3801</v>
      </c>
      <c r="AI58" s="22">
        <v>3844</v>
      </c>
      <c r="AJ58" s="22">
        <v>3725</v>
      </c>
      <c r="AK58" s="22">
        <v>3777</v>
      </c>
      <c r="AL58" s="22">
        <v>3678</v>
      </c>
      <c r="AM58" s="22">
        <v>3771</v>
      </c>
      <c r="AN58" s="22">
        <v>3805</v>
      </c>
      <c r="AO58" s="22">
        <v>3828</v>
      </c>
      <c r="AP58" s="22">
        <v>3774</v>
      </c>
      <c r="AQ58" s="22">
        <v>3745</v>
      </c>
      <c r="AR58" s="22">
        <v>3805</v>
      </c>
      <c r="AS58" s="22">
        <v>3789</v>
      </c>
      <c r="AT58" s="22">
        <v>3852</v>
      </c>
      <c r="AU58" s="22">
        <v>3791</v>
      </c>
      <c r="AV58" s="22">
        <v>3983</v>
      </c>
      <c r="AW58" s="22">
        <v>3901</v>
      </c>
      <c r="AX58" s="22">
        <v>3963</v>
      </c>
      <c r="AY58" s="22">
        <v>3851</v>
      </c>
      <c r="AZ58" s="22">
        <v>3828</v>
      </c>
      <c r="BA58" s="22">
        <v>3830</v>
      </c>
      <c r="BB58" s="22">
        <v>3895</v>
      </c>
      <c r="BC58" s="22">
        <v>3966</v>
      </c>
      <c r="BD58" s="22">
        <v>3951</v>
      </c>
      <c r="BE58" s="22">
        <v>4012</v>
      </c>
      <c r="BF58" s="22">
        <v>3900</v>
      </c>
      <c r="BG58" s="22">
        <v>4065</v>
      </c>
      <c r="BH58" s="22">
        <v>3835</v>
      </c>
      <c r="BI58" s="22">
        <v>3949</v>
      </c>
      <c r="BJ58" s="22">
        <v>4214</v>
      </c>
      <c r="BK58" s="22">
        <v>4250</v>
      </c>
      <c r="BL58" s="22">
        <v>4225</v>
      </c>
      <c r="BM58" s="1">
        <v>4210</v>
      </c>
      <c r="BN58" s="1">
        <v>4260</v>
      </c>
      <c r="BO58" s="1">
        <v>4296</v>
      </c>
      <c r="BP58" s="1">
        <v>4444</v>
      </c>
    </row>
    <row r="59" spans="1:68" ht="15.9" customHeight="1">
      <c r="A59" s="81" t="s">
        <v>113</v>
      </c>
      <c r="B59" s="17" t="s">
        <v>114</v>
      </c>
      <c r="C59" s="26" t="str">
        <f>_xll.RssMarket("1961","始値")</f>
        <v/>
      </c>
      <c r="D59" s="25" t="e">
        <f t="shared" si="1"/>
        <v>#VALUE!</v>
      </c>
      <c r="E59" s="22">
        <v>2545</v>
      </c>
      <c r="F59" s="22">
        <v>2600</v>
      </c>
      <c r="G59" s="22">
        <v>2509</v>
      </c>
      <c r="H59" s="22">
        <v>2669</v>
      </c>
      <c r="I59" s="22">
        <v>2690</v>
      </c>
      <c r="J59" s="22">
        <v>2618</v>
      </c>
      <c r="K59" s="22">
        <v>2702</v>
      </c>
      <c r="L59" s="22">
        <v>2901</v>
      </c>
      <c r="M59" s="22">
        <v>2796</v>
      </c>
      <c r="N59" s="22">
        <v>2713</v>
      </c>
      <c r="O59" s="22">
        <v>2846</v>
      </c>
      <c r="P59" s="22">
        <v>2981</v>
      </c>
      <c r="Q59" s="22">
        <v>3035</v>
      </c>
      <c r="R59" s="22">
        <v>3120</v>
      </c>
      <c r="S59" s="22">
        <v>3125</v>
      </c>
      <c r="T59" s="22">
        <v>3180</v>
      </c>
      <c r="U59" s="22">
        <v>3040</v>
      </c>
      <c r="V59" s="22">
        <v>3250</v>
      </c>
      <c r="W59" s="22">
        <v>3065</v>
      </c>
      <c r="X59" s="22">
        <v>3075</v>
      </c>
      <c r="Y59" s="22">
        <v>2720</v>
      </c>
      <c r="Z59" s="22">
        <v>2650</v>
      </c>
      <c r="AA59" s="22">
        <v>2606</v>
      </c>
      <c r="AB59" s="22">
        <v>2607</v>
      </c>
      <c r="AC59" s="22">
        <v>2503</v>
      </c>
      <c r="AD59" s="22">
        <v>2433</v>
      </c>
      <c r="AE59" s="22">
        <v>2456</v>
      </c>
      <c r="AF59" s="22">
        <v>2317</v>
      </c>
      <c r="AG59" s="22">
        <v>2300</v>
      </c>
      <c r="AH59" s="22">
        <v>2180</v>
      </c>
      <c r="AI59" s="22">
        <v>2160</v>
      </c>
      <c r="AJ59" s="22">
        <v>2161</v>
      </c>
      <c r="AK59" s="22">
        <v>2253</v>
      </c>
      <c r="AL59" s="22">
        <v>2228</v>
      </c>
      <c r="AM59" s="22">
        <v>2311</v>
      </c>
      <c r="AN59" s="22">
        <v>2210</v>
      </c>
      <c r="AO59" s="22">
        <v>2200</v>
      </c>
      <c r="AP59" s="22">
        <v>2217</v>
      </c>
      <c r="AQ59" s="22">
        <v>2365</v>
      </c>
      <c r="AR59" s="22">
        <v>2414</v>
      </c>
      <c r="AS59" s="22">
        <v>2539</v>
      </c>
      <c r="AT59" s="22">
        <v>2689</v>
      </c>
      <c r="AU59" s="22">
        <v>2604</v>
      </c>
      <c r="AV59" s="22">
        <v>2646</v>
      </c>
      <c r="AW59" s="22">
        <v>2658</v>
      </c>
      <c r="AX59" s="22">
        <v>2580</v>
      </c>
      <c r="AY59" s="22">
        <v>2513</v>
      </c>
      <c r="AZ59" s="22">
        <v>2498</v>
      </c>
      <c r="BA59" s="22">
        <v>2393</v>
      </c>
      <c r="BB59" s="22">
        <v>2375</v>
      </c>
      <c r="BC59" s="22">
        <v>2272</v>
      </c>
      <c r="BD59" s="22">
        <v>2329</v>
      </c>
      <c r="BE59" s="22">
        <v>2269</v>
      </c>
      <c r="BF59" s="22">
        <v>2279</v>
      </c>
      <c r="BG59" s="22">
        <v>2359</v>
      </c>
      <c r="BH59" s="22">
        <v>2366</v>
      </c>
      <c r="BI59" s="22">
        <v>2419</v>
      </c>
      <c r="BJ59" s="22">
        <v>2426</v>
      </c>
      <c r="BK59" s="22">
        <v>2449</v>
      </c>
      <c r="BL59" s="22">
        <v>2666</v>
      </c>
      <c r="BM59" s="1">
        <v>2756</v>
      </c>
      <c r="BN59" s="1">
        <v>2723</v>
      </c>
      <c r="BO59" s="1">
        <v>2683</v>
      </c>
      <c r="BP59" s="1">
        <v>2589</v>
      </c>
    </row>
    <row r="60" spans="1:68" ht="15.9" customHeight="1">
      <c r="A60" s="81" t="s">
        <v>115</v>
      </c>
      <c r="B60" s="17" t="s">
        <v>116</v>
      </c>
      <c r="C60" s="26" t="str">
        <f>_xll.RssMarket("3107","始値")</f>
        <v/>
      </c>
      <c r="D60" s="25" t="e">
        <f t="shared" si="1"/>
        <v>#VALUE!</v>
      </c>
      <c r="E60" s="22">
        <v>3430</v>
      </c>
      <c r="F60" s="22">
        <v>3422</v>
      </c>
      <c r="G60" s="22">
        <v>3369</v>
      </c>
      <c r="H60" s="22">
        <v>3446</v>
      </c>
      <c r="I60" s="22">
        <v>3402</v>
      </c>
      <c r="J60" s="22">
        <v>3424</v>
      </c>
      <c r="K60" s="22">
        <v>3446</v>
      </c>
      <c r="L60" s="22">
        <v>3500</v>
      </c>
      <c r="M60" s="22">
        <v>3505</v>
      </c>
      <c r="N60" s="22">
        <v>3469</v>
      </c>
      <c r="O60" s="22">
        <v>3486</v>
      </c>
      <c r="P60" s="22">
        <v>3449</v>
      </c>
      <c r="Q60" s="22">
        <v>3500</v>
      </c>
      <c r="R60" s="22">
        <v>3420</v>
      </c>
      <c r="S60" s="22">
        <v>3409</v>
      </c>
      <c r="T60" s="22">
        <v>3380</v>
      </c>
      <c r="U60" s="22">
        <v>3332</v>
      </c>
      <c r="V60" s="22">
        <v>3354</v>
      </c>
      <c r="W60" s="22">
        <v>3332</v>
      </c>
      <c r="X60" s="22">
        <v>3334</v>
      </c>
      <c r="Y60" s="22">
        <v>3330</v>
      </c>
      <c r="Z60" s="22">
        <v>3419</v>
      </c>
      <c r="AA60" s="22">
        <v>3449</v>
      </c>
      <c r="AB60" s="22">
        <v>3438</v>
      </c>
      <c r="AC60" s="22">
        <v>3471</v>
      </c>
      <c r="AD60" s="22">
        <v>3449</v>
      </c>
      <c r="AE60" s="22">
        <v>3442</v>
      </c>
      <c r="AF60" s="22">
        <v>3500</v>
      </c>
      <c r="AG60" s="22">
        <v>3510</v>
      </c>
      <c r="AH60" s="22">
        <v>3562</v>
      </c>
      <c r="AI60" s="22">
        <v>3536</v>
      </c>
      <c r="AJ60" s="22">
        <v>3500</v>
      </c>
      <c r="AK60" s="22">
        <v>3400</v>
      </c>
      <c r="AL60" s="22">
        <v>3346</v>
      </c>
      <c r="AM60" s="22">
        <v>3367</v>
      </c>
      <c r="AN60" s="22">
        <v>3500</v>
      </c>
      <c r="AO60" s="22">
        <v>3535</v>
      </c>
      <c r="AP60" s="22">
        <v>3543</v>
      </c>
      <c r="AQ60" s="22">
        <v>3580</v>
      </c>
      <c r="AR60" s="22">
        <v>3514</v>
      </c>
      <c r="AS60" s="22">
        <v>3461</v>
      </c>
      <c r="AT60" s="22">
        <v>3437</v>
      </c>
      <c r="AU60" s="22">
        <v>3485</v>
      </c>
      <c r="AV60" s="22">
        <v>3417</v>
      </c>
      <c r="AW60" s="22">
        <v>3424</v>
      </c>
      <c r="AX60" s="22">
        <v>3419</v>
      </c>
      <c r="AY60" s="22">
        <v>3345</v>
      </c>
      <c r="AZ60" s="22">
        <v>3217</v>
      </c>
      <c r="BA60" s="22">
        <v>3200</v>
      </c>
      <c r="BB60" s="22">
        <v>3190</v>
      </c>
      <c r="BC60" s="22">
        <v>3212</v>
      </c>
      <c r="BD60" s="22">
        <v>3127</v>
      </c>
      <c r="BE60" s="22">
        <v>3097</v>
      </c>
      <c r="BF60" s="22">
        <v>3084</v>
      </c>
      <c r="BG60" s="22">
        <v>3100</v>
      </c>
      <c r="BH60" s="22">
        <v>3113</v>
      </c>
      <c r="BI60" s="22">
        <v>3155</v>
      </c>
      <c r="BJ60" s="22">
        <v>3165</v>
      </c>
      <c r="BK60" s="22">
        <v>3183</v>
      </c>
      <c r="BL60" s="22">
        <v>3150</v>
      </c>
      <c r="BM60" s="1">
        <v>3145</v>
      </c>
      <c r="BN60" s="1">
        <v>3085</v>
      </c>
      <c r="BO60" s="1">
        <v>3201</v>
      </c>
      <c r="BP60" s="1">
        <v>3250</v>
      </c>
    </row>
    <row r="61" spans="1:68" ht="15.9" customHeight="1">
      <c r="A61" s="81" t="s">
        <v>117</v>
      </c>
      <c r="B61" s="17" t="s">
        <v>118</v>
      </c>
      <c r="C61" s="26" t="str">
        <f>_xll.RssMarket("4045","始値")</f>
        <v/>
      </c>
      <c r="D61" s="25" t="e">
        <f t="shared" si="1"/>
        <v>#VALUE!</v>
      </c>
      <c r="E61" s="22">
        <v>1733</v>
      </c>
      <c r="F61" s="22">
        <v>1753</v>
      </c>
      <c r="G61" s="22">
        <v>1717</v>
      </c>
      <c r="H61" s="22">
        <v>1739.5</v>
      </c>
      <c r="I61" s="22">
        <v>1750</v>
      </c>
      <c r="J61" s="22">
        <v>1737</v>
      </c>
      <c r="K61" s="22">
        <v>1750</v>
      </c>
      <c r="L61" s="22">
        <v>1792</v>
      </c>
      <c r="M61" s="22">
        <v>1783</v>
      </c>
      <c r="N61" s="22">
        <v>1749</v>
      </c>
      <c r="O61" s="22">
        <v>1745</v>
      </c>
      <c r="P61" s="22">
        <v>1760</v>
      </c>
      <c r="Q61" s="22">
        <v>1758</v>
      </c>
      <c r="R61" s="22">
        <v>1744.5</v>
      </c>
      <c r="S61" s="22">
        <v>1776</v>
      </c>
      <c r="T61" s="22">
        <v>1783</v>
      </c>
      <c r="U61" s="22">
        <v>1735</v>
      </c>
      <c r="V61" s="22">
        <v>1762</v>
      </c>
      <c r="W61" s="22">
        <v>1761</v>
      </c>
      <c r="X61" s="22">
        <v>1775</v>
      </c>
      <c r="Y61" s="22">
        <v>1765</v>
      </c>
      <c r="Z61" s="22">
        <v>1758.5</v>
      </c>
      <c r="AA61" s="22">
        <v>1762</v>
      </c>
      <c r="AB61" s="22">
        <v>1755.5</v>
      </c>
      <c r="AC61" s="22">
        <v>1725</v>
      </c>
      <c r="AD61" s="22">
        <v>1699</v>
      </c>
      <c r="AE61" s="22">
        <v>1705</v>
      </c>
      <c r="AF61" s="22">
        <v>1700</v>
      </c>
      <c r="AG61" s="22">
        <v>1742</v>
      </c>
      <c r="AH61" s="22">
        <v>1744</v>
      </c>
      <c r="AI61" s="22">
        <v>1750</v>
      </c>
      <c r="AJ61" s="22">
        <v>1731</v>
      </c>
      <c r="AK61" s="22">
        <v>1751</v>
      </c>
      <c r="AL61" s="22">
        <v>1734.5</v>
      </c>
      <c r="AM61" s="22">
        <v>1737.5</v>
      </c>
      <c r="AN61" s="22">
        <v>1725.5</v>
      </c>
      <c r="AO61" s="22">
        <v>1710.5</v>
      </c>
      <c r="AP61" s="22">
        <v>1703.5</v>
      </c>
      <c r="AQ61" s="22">
        <v>1710</v>
      </c>
      <c r="AR61" s="22">
        <v>1758.5</v>
      </c>
      <c r="AS61" s="22">
        <v>1747</v>
      </c>
      <c r="AT61" s="22">
        <v>1759.5</v>
      </c>
      <c r="AU61" s="22">
        <v>1750</v>
      </c>
      <c r="AV61" s="22">
        <v>1724</v>
      </c>
      <c r="AW61" s="22">
        <v>1736.5</v>
      </c>
      <c r="AX61" s="22">
        <v>1715</v>
      </c>
      <c r="AY61" s="22">
        <v>1734.5</v>
      </c>
      <c r="AZ61" s="22">
        <v>1737</v>
      </c>
      <c r="BA61" s="22">
        <v>1698</v>
      </c>
      <c r="BB61" s="22">
        <v>1693.5</v>
      </c>
      <c r="BC61" s="22">
        <v>1729.5</v>
      </c>
      <c r="BD61" s="22">
        <v>1730</v>
      </c>
      <c r="BE61" s="22">
        <v>1798.5</v>
      </c>
      <c r="BF61" s="22">
        <v>1800</v>
      </c>
      <c r="BG61" s="22">
        <v>1798.5</v>
      </c>
      <c r="BH61" s="22">
        <v>1795</v>
      </c>
      <c r="BI61" s="22">
        <v>1804</v>
      </c>
      <c r="BJ61" s="22">
        <v>1803</v>
      </c>
      <c r="BK61" s="22">
        <v>1785</v>
      </c>
      <c r="BL61" s="22">
        <v>1784.5</v>
      </c>
      <c r="BM61" s="1">
        <v>1784</v>
      </c>
      <c r="BN61" s="1">
        <v>1788</v>
      </c>
      <c r="BO61" s="1">
        <v>1782.5</v>
      </c>
      <c r="BP61" s="1">
        <v>1797.5</v>
      </c>
    </row>
    <row r="62" spans="1:68" ht="15.9" customHeight="1">
      <c r="A62" s="81" t="s">
        <v>119</v>
      </c>
      <c r="B62" s="17" t="s">
        <v>120</v>
      </c>
      <c r="C62" s="26" t="str">
        <f>_xll.RssMarket("5857","始値")</f>
        <v/>
      </c>
      <c r="D62" s="25" t="e">
        <f t="shared" si="1"/>
        <v>#VALUE!</v>
      </c>
      <c r="E62" s="22">
        <v>3000</v>
      </c>
      <c r="F62" s="22">
        <v>3085</v>
      </c>
      <c r="G62" s="22">
        <v>2970</v>
      </c>
      <c r="H62" s="22">
        <v>2978</v>
      </c>
      <c r="I62" s="22">
        <v>2982</v>
      </c>
      <c r="J62" s="22">
        <v>2950</v>
      </c>
      <c r="K62" s="22">
        <v>2980</v>
      </c>
      <c r="L62" s="22">
        <v>3060</v>
      </c>
      <c r="M62" s="22">
        <v>3070</v>
      </c>
      <c r="N62" s="22">
        <v>2984</v>
      </c>
      <c r="O62" s="22">
        <v>2950</v>
      </c>
      <c r="P62" s="22">
        <v>2930</v>
      </c>
      <c r="Q62" s="22">
        <v>2933</v>
      </c>
      <c r="R62" s="22">
        <v>2947</v>
      </c>
      <c r="S62" s="22">
        <v>2860</v>
      </c>
      <c r="T62" s="22">
        <v>3115</v>
      </c>
      <c r="U62" s="22">
        <v>3140</v>
      </c>
      <c r="V62" s="22">
        <v>3240</v>
      </c>
      <c r="W62" s="22">
        <v>3205</v>
      </c>
      <c r="X62" s="22">
        <v>3160</v>
      </c>
      <c r="Y62" s="22">
        <v>3240</v>
      </c>
      <c r="Z62" s="22">
        <v>3205</v>
      </c>
      <c r="AA62" s="22">
        <v>3220</v>
      </c>
      <c r="AB62" s="22">
        <v>3150</v>
      </c>
      <c r="AC62" s="22">
        <v>2972</v>
      </c>
      <c r="AD62" s="22">
        <v>2940</v>
      </c>
      <c r="AE62" s="22">
        <v>3015</v>
      </c>
      <c r="AF62" s="22">
        <v>3055</v>
      </c>
      <c r="AG62" s="22">
        <v>3160</v>
      </c>
      <c r="AH62" s="22">
        <v>3210</v>
      </c>
      <c r="AI62" s="22">
        <v>3255</v>
      </c>
      <c r="AJ62" s="22">
        <v>3190</v>
      </c>
      <c r="AK62" s="22">
        <v>3270</v>
      </c>
      <c r="AL62" s="22">
        <v>3300</v>
      </c>
      <c r="AM62" s="22">
        <v>3450</v>
      </c>
      <c r="AN62" s="22">
        <v>3600</v>
      </c>
      <c r="AO62" s="22">
        <v>3480</v>
      </c>
      <c r="AP62" s="22">
        <v>3485</v>
      </c>
      <c r="AQ62" s="22">
        <v>3575</v>
      </c>
      <c r="AR62" s="22">
        <v>3760</v>
      </c>
      <c r="AS62" s="22">
        <v>3855</v>
      </c>
      <c r="AT62" s="22">
        <v>4045</v>
      </c>
      <c r="AU62" s="22">
        <v>4060</v>
      </c>
      <c r="AV62" s="22">
        <v>3880</v>
      </c>
      <c r="AW62" s="22">
        <v>3910</v>
      </c>
      <c r="AX62" s="22">
        <v>4115</v>
      </c>
      <c r="AY62" s="22">
        <v>3980</v>
      </c>
      <c r="AZ62" s="22">
        <v>3855</v>
      </c>
      <c r="BA62" s="22">
        <v>3575</v>
      </c>
      <c r="BB62" s="22">
        <v>3580</v>
      </c>
      <c r="BC62" s="22">
        <v>3675</v>
      </c>
      <c r="BD62" s="22">
        <v>3615</v>
      </c>
      <c r="BE62" s="22">
        <v>3670</v>
      </c>
      <c r="BF62" s="22">
        <v>3780</v>
      </c>
      <c r="BG62" s="22">
        <v>3925</v>
      </c>
      <c r="BH62" s="22">
        <v>3930</v>
      </c>
      <c r="BI62" s="22">
        <v>3835</v>
      </c>
      <c r="BJ62" s="22">
        <v>3845</v>
      </c>
      <c r="BK62" s="22">
        <v>3775</v>
      </c>
      <c r="BL62" s="22">
        <v>3850</v>
      </c>
      <c r="BM62" s="1">
        <v>3750</v>
      </c>
      <c r="BN62" s="1">
        <v>3655</v>
      </c>
      <c r="BO62" s="1">
        <v>3795</v>
      </c>
      <c r="BP62" s="1">
        <v>3760</v>
      </c>
    </row>
    <row r="63" spans="1:68" ht="15.9" customHeight="1">
      <c r="A63" s="81" t="s">
        <v>121</v>
      </c>
      <c r="B63" s="17" t="s">
        <v>122</v>
      </c>
      <c r="C63" s="26" t="str">
        <f>_xll.RssMarket("8281","始値")</f>
        <v/>
      </c>
      <c r="D63" s="25" t="e">
        <f t="shared" si="1"/>
        <v>#VALUE!</v>
      </c>
      <c r="E63" s="22">
        <v>1104</v>
      </c>
      <c r="F63" s="22">
        <v>1100</v>
      </c>
      <c r="G63" s="22">
        <v>1085</v>
      </c>
      <c r="H63" s="22">
        <v>1100</v>
      </c>
      <c r="I63" s="22">
        <v>1096</v>
      </c>
      <c r="J63" s="22">
        <v>1103</v>
      </c>
      <c r="K63" s="22">
        <v>1122</v>
      </c>
      <c r="L63" s="22">
        <v>1111</v>
      </c>
      <c r="M63" s="22">
        <v>1080</v>
      </c>
      <c r="N63" s="22">
        <v>1068</v>
      </c>
      <c r="O63" s="22">
        <v>1064</v>
      </c>
      <c r="P63" s="22">
        <v>1050</v>
      </c>
      <c r="Q63" s="22">
        <v>1059</v>
      </c>
      <c r="R63" s="22">
        <v>1073</v>
      </c>
      <c r="S63" s="22">
        <v>1060</v>
      </c>
      <c r="T63" s="22">
        <v>1035</v>
      </c>
      <c r="U63" s="22">
        <v>1044</v>
      </c>
      <c r="V63" s="22">
        <v>1024</v>
      </c>
      <c r="W63" s="22">
        <v>1040</v>
      </c>
      <c r="X63" s="22">
        <v>1046</v>
      </c>
      <c r="Y63" s="22">
        <v>1056</v>
      </c>
      <c r="Z63" s="22">
        <v>1063</v>
      </c>
      <c r="AA63" s="22">
        <v>1070</v>
      </c>
      <c r="AB63" s="22">
        <v>1055</v>
      </c>
      <c r="AC63" s="22">
        <v>1068</v>
      </c>
      <c r="AD63" s="22">
        <v>1036</v>
      </c>
      <c r="AE63" s="22">
        <v>1021</v>
      </c>
      <c r="AF63" s="22">
        <v>1018</v>
      </c>
      <c r="AG63" s="22">
        <v>1015</v>
      </c>
      <c r="AH63" s="22">
        <v>1032</v>
      </c>
      <c r="AI63" s="22">
        <v>1029</v>
      </c>
      <c r="AJ63" s="22">
        <v>1059</v>
      </c>
      <c r="AK63" s="22">
        <v>1048</v>
      </c>
      <c r="AL63" s="22">
        <v>1040</v>
      </c>
      <c r="AM63" s="22">
        <v>1055</v>
      </c>
      <c r="AN63" s="22">
        <v>1053</v>
      </c>
      <c r="AO63" s="22">
        <v>1044</v>
      </c>
      <c r="AP63" s="22">
        <v>1043</v>
      </c>
      <c r="AQ63" s="22">
        <v>1025</v>
      </c>
      <c r="AR63" s="22">
        <v>1000</v>
      </c>
      <c r="AS63" s="22">
        <v>966</v>
      </c>
      <c r="AT63" s="22">
        <v>961</v>
      </c>
      <c r="AU63" s="22">
        <v>970</v>
      </c>
      <c r="AV63" s="22">
        <v>971</v>
      </c>
      <c r="AW63" s="22">
        <v>988</v>
      </c>
      <c r="AX63" s="22">
        <v>996</v>
      </c>
      <c r="AY63" s="22">
        <v>995</v>
      </c>
      <c r="AZ63" s="22">
        <v>991</v>
      </c>
      <c r="BA63" s="22">
        <v>991</v>
      </c>
      <c r="BB63" s="22">
        <v>999</v>
      </c>
      <c r="BC63" s="22">
        <v>1005</v>
      </c>
      <c r="BD63" s="22">
        <v>1022</v>
      </c>
      <c r="BE63" s="22">
        <v>1034</v>
      </c>
      <c r="BF63" s="22">
        <v>1025</v>
      </c>
      <c r="BG63" s="22">
        <v>1015</v>
      </c>
      <c r="BH63" s="22">
        <v>1026</v>
      </c>
      <c r="BI63" s="22">
        <v>1015</v>
      </c>
      <c r="BJ63" s="22">
        <v>1009</v>
      </c>
      <c r="BK63" s="22">
        <v>1009</v>
      </c>
      <c r="BL63" s="22">
        <v>1022</v>
      </c>
      <c r="BM63" s="1">
        <v>1045</v>
      </c>
      <c r="BN63" s="1">
        <v>1033</v>
      </c>
      <c r="BO63" s="1">
        <v>1023</v>
      </c>
      <c r="BP63" s="1">
        <v>1015</v>
      </c>
    </row>
    <row r="64" spans="1:68" ht="15.9" customHeight="1">
      <c r="A64" s="81" t="s">
        <v>123</v>
      </c>
      <c r="B64" s="17" t="s">
        <v>124</v>
      </c>
      <c r="C64" s="26" t="str">
        <f>_xll.RssMarket("4540","始値")</f>
        <v/>
      </c>
      <c r="D64" s="25" t="e">
        <f t="shared" si="1"/>
        <v>#VALUE!</v>
      </c>
      <c r="E64" s="22">
        <v>3861</v>
      </c>
      <c r="F64" s="22">
        <v>3879</v>
      </c>
      <c r="G64" s="22">
        <v>3847</v>
      </c>
      <c r="H64" s="22">
        <v>3839</v>
      </c>
      <c r="I64" s="22">
        <v>3780</v>
      </c>
      <c r="J64" s="22">
        <v>3786</v>
      </c>
      <c r="K64" s="22">
        <v>3795</v>
      </c>
      <c r="L64" s="22">
        <v>3794</v>
      </c>
      <c r="M64" s="22">
        <v>3772</v>
      </c>
      <c r="N64" s="22">
        <v>3791</v>
      </c>
      <c r="O64" s="22">
        <v>3746</v>
      </c>
      <c r="P64" s="22">
        <v>3719</v>
      </c>
      <c r="Q64" s="22">
        <v>3725</v>
      </c>
      <c r="R64" s="22">
        <v>3700</v>
      </c>
      <c r="S64" s="22">
        <v>3727</v>
      </c>
      <c r="T64" s="22">
        <v>3810</v>
      </c>
      <c r="U64" s="22">
        <v>3723</v>
      </c>
      <c r="V64" s="22">
        <v>3726</v>
      </c>
      <c r="W64" s="22">
        <v>3747</v>
      </c>
      <c r="X64" s="22">
        <v>3722</v>
      </c>
      <c r="Y64" s="22">
        <v>3743</v>
      </c>
      <c r="Z64" s="22">
        <v>3776</v>
      </c>
      <c r="AA64" s="22">
        <v>3720</v>
      </c>
      <c r="AB64" s="22">
        <v>3730</v>
      </c>
      <c r="AC64" s="22">
        <v>3744</v>
      </c>
      <c r="AD64" s="22">
        <v>3770</v>
      </c>
      <c r="AE64" s="22">
        <v>3718</v>
      </c>
      <c r="AF64" s="22">
        <v>3688</v>
      </c>
      <c r="AG64" s="22">
        <v>3755</v>
      </c>
      <c r="AH64" s="22">
        <v>3750</v>
      </c>
      <c r="AI64" s="22">
        <v>3698</v>
      </c>
      <c r="AJ64" s="22">
        <v>3715</v>
      </c>
      <c r="AK64" s="22">
        <v>3798</v>
      </c>
      <c r="AL64" s="22">
        <v>3860</v>
      </c>
      <c r="AM64" s="22">
        <v>3735</v>
      </c>
      <c r="AN64" s="22">
        <v>3780</v>
      </c>
      <c r="AO64" s="22">
        <v>3888</v>
      </c>
      <c r="AP64" s="22">
        <v>3967</v>
      </c>
      <c r="AQ64" s="22">
        <v>3950</v>
      </c>
      <c r="AR64" s="22">
        <v>3825</v>
      </c>
      <c r="AS64" s="22">
        <v>3799</v>
      </c>
      <c r="AT64" s="22">
        <v>3776</v>
      </c>
      <c r="AU64" s="22">
        <v>3702</v>
      </c>
      <c r="AV64" s="22">
        <v>3559</v>
      </c>
      <c r="AW64" s="22">
        <v>3555</v>
      </c>
      <c r="AX64" s="22">
        <v>3568</v>
      </c>
      <c r="AY64" s="22">
        <v>3631</v>
      </c>
      <c r="AZ64" s="22">
        <v>3621</v>
      </c>
      <c r="BA64" s="22">
        <v>3651</v>
      </c>
      <c r="BB64" s="22">
        <v>3670</v>
      </c>
      <c r="BC64" s="22">
        <v>3722</v>
      </c>
      <c r="BD64" s="22">
        <v>3685</v>
      </c>
      <c r="BE64" s="22">
        <v>3688</v>
      </c>
      <c r="BF64" s="22">
        <v>3680</v>
      </c>
      <c r="BG64" s="22">
        <v>3712</v>
      </c>
      <c r="BH64" s="22">
        <v>3746</v>
      </c>
      <c r="BI64" s="22">
        <v>3791</v>
      </c>
      <c r="BJ64" s="22">
        <v>3753</v>
      </c>
      <c r="BK64" s="22">
        <v>3800</v>
      </c>
      <c r="BL64" s="22">
        <v>3750</v>
      </c>
      <c r="BM64" s="1">
        <v>3765</v>
      </c>
      <c r="BN64" s="1">
        <v>3778</v>
      </c>
      <c r="BO64" s="1">
        <v>3830</v>
      </c>
      <c r="BP64" s="1">
        <v>3854</v>
      </c>
    </row>
    <row r="65" spans="1:68" ht="15.9" customHeight="1">
      <c r="A65" s="81" t="s">
        <v>125</v>
      </c>
      <c r="B65" s="17" t="s">
        <v>126</v>
      </c>
      <c r="C65" s="26" t="str">
        <f>_xll.RssMarket("9984","始値")</f>
        <v/>
      </c>
      <c r="D65" s="25" t="e">
        <f t="shared" si="1"/>
        <v>#VALUE!</v>
      </c>
      <c r="E65" s="22">
        <v>5663</v>
      </c>
      <c r="F65" s="22">
        <v>6450</v>
      </c>
      <c r="G65" s="22">
        <v>6181</v>
      </c>
      <c r="H65" s="22">
        <v>6370</v>
      </c>
      <c r="I65" s="22">
        <v>6021</v>
      </c>
      <c r="J65" s="22">
        <v>5796</v>
      </c>
      <c r="K65" s="22">
        <v>5571</v>
      </c>
      <c r="L65" s="22">
        <v>5962</v>
      </c>
      <c r="M65" s="22">
        <v>6130</v>
      </c>
      <c r="N65" s="22">
        <v>6000</v>
      </c>
      <c r="O65" s="22">
        <v>5757</v>
      </c>
      <c r="P65" s="22">
        <v>6089</v>
      </c>
      <c r="Q65" s="22">
        <v>5968</v>
      </c>
      <c r="R65" s="22">
        <v>6320</v>
      </c>
      <c r="S65" s="22">
        <v>6412</v>
      </c>
      <c r="T65" s="22">
        <v>6797</v>
      </c>
      <c r="U65" s="22">
        <v>6521</v>
      </c>
      <c r="V65" s="22">
        <v>6944</v>
      </c>
      <c r="W65" s="22">
        <v>7300</v>
      </c>
      <c r="X65" s="22">
        <v>7339</v>
      </c>
      <c r="Y65" s="22">
        <v>7128</v>
      </c>
      <c r="Z65" s="22">
        <v>6920</v>
      </c>
      <c r="AA65" s="22">
        <v>7150</v>
      </c>
      <c r="AB65" s="22">
        <v>7108</v>
      </c>
      <c r="AC65" s="22">
        <v>6650</v>
      </c>
      <c r="AD65" s="22">
        <v>6066</v>
      </c>
      <c r="AE65" s="22">
        <v>6714</v>
      </c>
      <c r="AF65" s="22">
        <v>6676</v>
      </c>
      <c r="AG65" s="22">
        <v>7140</v>
      </c>
      <c r="AH65" s="22">
        <v>8001</v>
      </c>
      <c r="AI65" s="22">
        <v>8800</v>
      </c>
      <c r="AJ65" s="22">
        <v>9000</v>
      </c>
      <c r="AK65" s="22">
        <v>7548</v>
      </c>
      <c r="AL65" s="22">
        <v>7100</v>
      </c>
      <c r="AM65" s="22">
        <v>8020</v>
      </c>
      <c r="AN65" s="22">
        <v>6750</v>
      </c>
      <c r="AO65" s="22">
        <v>6700</v>
      </c>
      <c r="AP65" s="22">
        <v>5810</v>
      </c>
      <c r="AQ65" s="22">
        <v>5313</v>
      </c>
      <c r="AR65" s="22">
        <v>5660</v>
      </c>
      <c r="AS65" s="22">
        <v>5445</v>
      </c>
      <c r="AT65" s="22">
        <v>5801</v>
      </c>
      <c r="AU65" s="22">
        <v>6100</v>
      </c>
      <c r="AV65" s="22">
        <v>5943</v>
      </c>
      <c r="AW65" s="22">
        <v>5935</v>
      </c>
      <c r="AX65" s="22">
        <v>6219</v>
      </c>
      <c r="AY65" s="22">
        <v>6124</v>
      </c>
      <c r="AZ65" s="22">
        <v>6100</v>
      </c>
      <c r="BA65" s="22">
        <v>5278</v>
      </c>
      <c r="BB65" s="22">
        <v>4968</v>
      </c>
      <c r="BC65" s="22">
        <v>5660</v>
      </c>
      <c r="BD65" s="22">
        <v>6016</v>
      </c>
      <c r="BE65" s="22">
        <v>6000</v>
      </c>
      <c r="BF65" s="22">
        <v>6097</v>
      </c>
      <c r="BG65" s="22">
        <v>5130</v>
      </c>
      <c r="BH65" s="22">
        <v>4945</v>
      </c>
      <c r="BI65" s="22">
        <v>4575</v>
      </c>
      <c r="BJ65" s="22">
        <v>4640</v>
      </c>
      <c r="BK65" s="22">
        <v>4542</v>
      </c>
      <c r="BL65" s="22">
        <v>4405</v>
      </c>
      <c r="BM65" s="1">
        <v>3904</v>
      </c>
      <c r="BN65" s="1">
        <v>3700</v>
      </c>
      <c r="BO65" s="1">
        <v>3779</v>
      </c>
      <c r="BP65" s="1">
        <v>3822</v>
      </c>
    </row>
    <row r="66" spans="1:68" ht="15.9" customHeight="1">
      <c r="A66" s="81" t="s">
        <v>127</v>
      </c>
      <c r="B66" s="17" t="s">
        <v>128</v>
      </c>
      <c r="C66" s="24" t="str">
        <f>_xll.RssMarket("4063","始値")</f>
        <v/>
      </c>
      <c r="D66" s="25" t="e">
        <f t="shared" si="1"/>
        <v>#VALUE!</v>
      </c>
      <c r="E66" s="22">
        <v>7210</v>
      </c>
      <c r="F66" s="22">
        <v>7582</v>
      </c>
      <c r="G66" s="22">
        <v>7295</v>
      </c>
      <c r="H66" s="22">
        <v>7390</v>
      </c>
      <c r="I66" s="22">
        <v>7255</v>
      </c>
      <c r="J66" s="22">
        <v>6900</v>
      </c>
      <c r="K66" s="22">
        <v>7111</v>
      </c>
      <c r="L66" s="22">
        <v>7377</v>
      </c>
      <c r="M66" s="22">
        <v>7058</v>
      </c>
      <c r="N66" s="22">
        <v>6874</v>
      </c>
      <c r="O66" s="22">
        <v>7180</v>
      </c>
      <c r="P66" s="22">
        <v>7081</v>
      </c>
      <c r="Q66" s="22">
        <v>7058</v>
      </c>
      <c r="R66" s="22">
        <v>6893</v>
      </c>
      <c r="S66" s="22">
        <v>7000</v>
      </c>
      <c r="T66" s="22">
        <v>7234</v>
      </c>
      <c r="U66" s="22">
        <v>7001</v>
      </c>
      <c r="V66" s="22">
        <v>7277</v>
      </c>
      <c r="W66" s="22">
        <v>7160</v>
      </c>
      <c r="X66" s="22">
        <v>7500</v>
      </c>
      <c r="Y66" s="22">
        <v>7665</v>
      </c>
      <c r="Z66" s="22">
        <v>7447</v>
      </c>
      <c r="AA66" s="22">
        <v>7510</v>
      </c>
      <c r="AB66" s="22">
        <v>7484</v>
      </c>
      <c r="AC66" s="22">
        <v>7056</v>
      </c>
      <c r="AD66" s="22">
        <v>6500</v>
      </c>
      <c r="AE66" s="22">
        <v>6790</v>
      </c>
      <c r="AF66" s="22">
        <v>6980</v>
      </c>
      <c r="AG66" s="22">
        <v>7491</v>
      </c>
      <c r="AH66" s="22">
        <v>7542</v>
      </c>
      <c r="AI66" s="22">
        <v>7623</v>
      </c>
      <c r="AJ66" s="22">
        <v>7600</v>
      </c>
      <c r="AK66" s="22">
        <v>7494</v>
      </c>
      <c r="AL66" s="22">
        <v>7385</v>
      </c>
      <c r="AM66" s="22">
        <v>7250</v>
      </c>
      <c r="AN66" s="22">
        <v>7034</v>
      </c>
      <c r="AO66" s="22">
        <v>6900</v>
      </c>
      <c r="AP66" s="22">
        <v>6988</v>
      </c>
      <c r="AQ66" s="22">
        <v>6942</v>
      </c>
      <c r="AR66" s="22">
        <v>7045</v>
      </c>
      <c r="AS66" s="22">
        <v>7074</v>
      </c>
      <c r="AT66" s="22">
        <v>7385</v>
      </c>
      <c r="AU66" s="22">
        <v>7382</v>
      </c>
      <c r="AV66" s="22">
        <v>7418</v>
      </c>
      <c r="AW66" s="22">
        <v>7584</v>
      </c>
      <c r="AX66" s="22">
        <v>7557</v>
      </c>
      <c r="AY66" s="22">
        <v>7651</v>
      </c>
      <c r="AZ66" s="22">
        <v>7601</v>
      </c>
      <c r="BA66" s="22">
        <v>7115</v>
      </c>
      <c r="BB66" s="22">
        <v>7251</v>
      </c>
      <c r="BC66" s="22">
        <v>7049</v>
      </c>
      <c r="BD66" s="22">
        <v>6850</v>
      </c>
      <c r="BE66" s="22">
        <v>6804</v>
      </c>
      <c r="BF66" s="22">
        <v>6650</v>
      </c>
      <c r="BG66" s="22">
        <v>6710</v>
      </c>
      <c r="BH66" s="22">
        <v>6783</v>
      </c>
      <c r="BI66" s="22">
        <v>6847</v>
      </c>
      <c r="BJ66" s="22">
        <v>6830</v>
      </c>
      <c r="BK66" s="22">
        <v>6750</v>
      </c>
      <c r="BL66" s="22">
        <v>6750</v>
      </c>
      <c r="BM66" s="1">
        <v>6696</v>
      </c>
      <c r="BN66" s="1">
        <v>6600</v>
      </c>
      <c r="BO66" s="1">
        <v>6558</v>
      </c>
      <c r="BP66" s="1">
        <v>6485</v>
      </c>
    </row>
    <row r="67" spans="1:68" ht="15.9" customHeight="1">
      <c r="A67" s="81" t="s">
        <v>129</v>
      </c>
      <c r="B67" s="17" t="s">
        <v>130</v>
      </c>
      <c r="C67" s="26" t="str">
        <f>_xll.RssMarket("4536","始値")</f>
        <v/>
      </c>
      <c r="D67" s="25" t="e">
        <f t="shared" si="1"/>
        <v>#VALUE!</v>
      </c>
      <c r="E67" s="22">
        <v>2043</v>
      </c>
      <c r="F67" s="22">
        <v>2131</v>
      </c>
      <c r="G67" s="22">
        <v>2161</v>
      </c>
      <c r="H67" s="22">
        <v>2159</v>
      </c>
      <c r="I67" s="22">
        <v>2150</v>
      </c>
      <c r="J67" s="22">
        <v>2197</v>
      </c>
      <c r="K67" s="22">
        <v>2222.5</v>
      </c>
      <c r="L67" s="22">
        <v>2227</v>
      </c>
      <c r="M67" s="22">
        <v>2243.5</v>
      </c>
      <c r="N67" s="22">
        <v>2222.5</v>
      </c>
      <c r="O67" s="22">
        <v>2165</v>
      </c>
      <c r="P67" s="22">
        <v>2102.5</v>
      </c>
      <c r="Q67" s="22">
        <v>2166.5</v>
      </c>
      <c r="R67" s="22">
        <v>2160</v>
      </c>
      <c r="S67" s="22">
        <v>2133</v>
      </c>
      <c r="T67" s="22">
        <v>2066</v>
      </c>
      <c r="U67" s="22">
        <v>1954</v>
      </c>
      <c r="V67" s="22">
        <v>1905.5</v>
      </c>
      <c r="W67" s="22">
        <v>1857.5</v>
      </c>
      <c r="X67" s="22">
        <v>1851</v>
      </c>
      <c r="Y67" s="22">
        <v>1893</v>
      </c>
      <c r="Z67" s="22">
        <v>1935.5</v>
      </c>
      <c r="AA67" s="22">
        <v>1899.5</v>
      </c>
      <c r="AB67" s="22">
        <v>1949</v>
      </c>
      <c r="AC67" s="22">
        <v>1937.5</v>
      </c>
      <c r="AD67" s="22">
        <v>1920</v>
      </c>
      <c r="AE67" s="22">
        <v>1962.5</v>
      </c>
      <c r="AF67" s="22">
        <v>2007</v>
      </c>
      <c r="AG67" s="22">
        <v>1925</v>
      </c>
      <c r="AH67" s="22">
        <v>1856</v>
      </c>
      <c r="AI67" s="22">
        <v>1870</v>
      </c>
      <c r="AJ67" s="22">
        <v>1851</v>
      </c>
      <c r="AK67" s="22">
        <v>1928.5</v>
      </c>
      <c r="AL67" s="22">
        <v>1897</v>
      </c>
      <c r="AM67" s="22">
        <v>1921</v>
      </c>
      <c r="AN67" s="22">
        <v>1949.5</v>
      </c>
      <c r="AO67" s="22">
        <v>1880</v>
      </c>
      <c r="AP67" s="22">
        <v>1929.5</v>
      </c>
      <c r="AQ67" s="22">
        <v>1925</v>
      </c>
      <c r="AR67" s="22">
        <v>1850.5</v>
      </c>
      <c r="AS67" s="22">
        <v>1854</v>
      </c>
      <c r="AT67" s="22">
        <v>1876</v>
      </c>
      <c r="AU67" s="22">
        <v>1818</v>
      </c>
      <c r="AV67" s="22">
        <v>1679.5</v>
      </c>
      <c r="AW67" s="22">
        <v>1612</v>
      </c>
      <c r="AX67" s="22">
        <v>1602.5</v>
      </c>
      <c r="AY67" s="22">
        <v>1625</v>
      </c>
      <c r="AZ67" s="22">
        <v>1627</v>
      </c>
      <c r="BA67" s="22">
        <v>1634</v>
      </c>
      <c r="BB67" s="22">
        <v>1651</v>
      </c>
      <c r="BC67" s="22">
        <v>1659</v>
      </c>
      <c r="BD67" s="22">
        <v>1674.5</v>
      </c>
      <c r="BE67" s="22">
        <v>1666.5</v>
      </c>
      <c r="BF67" s="22">
        <v>1717.5</v>
      </c>
      <c r="BG67" s="22">
        <v>1731.5</v>
      </c>
      <c r="BH67" s="22">
        <v>1797</v>
      </c>
      <c r="BI67" s="22">
        <v>1786.5</v>
      </c>
      <c r="BJ67" s="22">
        <v>1807.5</v>
      </c>
      <c r="BK67" s="22">
        <v>1794.5</v>
      </c>
      <c r="BL67" s="22">
        <v>1799</v>
      </c>
      <c r="BM67" s="1">
        <v>1814.5</v>
      </c>
      <c r="BN67" s="1">
        <v>1882</v>
      </c>
      <c r="BO67" s="1">
        <v>1912</v>
      </c>
      <c r="BP67" s="1">
        <v>1935.5</v>
      </c>
    </row>
    <row r="68" spans="1:68" ht="15.9" customHeight="1">
      <c r="A68" s="81" t="s">
        <v>131</v>
      </c>
      <c r="B68" s="17" t="s">
        <v>132</v>
      </c>
      <c r="C68" s="26" t="str">
        <f>_xll.RssMarket("6503","始値")</f>
        <v/>
      </c>
      <c r="D68" s="25" t="e">
        <f t="shared" si="1"/>
        <v>#VALUE!</v>
      </c>
      <c r="E68" s="22">
        <v>5566</v>
      </c>
      <c r="F68" s="22">
        <v>5747</v>
      </c>
      <c r="G68" s="22">
        <v>5676</v>
      </c>
      <c r="H68" s="22">
        <v>5836</v>
      </c>
      <c r="I68" s="22">
        <v>5867</v>
      </c>
      <c r="J68" s="22">
        <v>5730</v>
      </c>
      <c r="K68" s="22">
        <v>5847</v>
      </c>
      <c r="L68" s="22">
        <v>6074</v>
      </c>
      <c r="M68" s="22">
        <v>5970</v>
      </c>
      <c r="N68" s="22">
        <v>5868</v>
      </c>
      <c r="O68" s="22">
        <v>5934</v>
      </c>
      <c r="P68" s="22">
        <v>5966</v>
      </c>
      <c r="Q68" s="22">
        <v>5980</v>
      </c>
      <c r="R68" s="22">
        <v>5925</v>
      </c>
      <c r="S68" s="22">
        <v>5927</v>
      </c>
      <c r="T68" s="22">
        <v>6082</v>
      </c>
      <c r="U68" s="22">
        <v>6004</v>
      </c>
      <c r="V68" s="22">
        <v>6283</v>
      </c>
      <c r="W68" s="22">
        <v>6121</v>
      </c>
      <c r="X68" s="22">
        <v>6148</v>
      </c>
      <c r="Y68" s="22">
        <v>6163</v>
      </c>
      <c r="Z68" s="22">
        <v>5853</v>
      </c>
      <c r="AA68" s="22">
        <v>5958</v>
      </c>
      <c r="AB68" s="22">
        <v>5700</v>
      </c>
      <c r="AC68" s="22">
        <v>5621</v>
      </c>
      <c r="AD68" s="22">
        <v>5372</v>
      </c>
      <c r="AE68" s="22">
        <v>5750</v>
      </c>
      <c r="AF68" s="22">
        <v>5514</v>
      </c>
      <c r="AG68" s="22">
        <v>5899</v>
      </c>
      <c r="AH68" s="22">
        <v>6051</v>
      </c>
      <c r="AI68" s="22">
        <v>6101</v>
      </c>
      <c r="AJ68" s="22">
        <v>6060</v>
      </c>
      <c r="AK68" s="22">
        <v>6500</v>
      </c>
      <c r="AL68" s="22">
        <v>6321</v>
      </c>
      <c r="AM68" s="22">
        <v>6650</v>
      </c>
      <c r="AN68" s="22">
        <v>6414</v>
      </c>
      <c r="AO68" s="22">
        <v>6080</v>
      </c>
      <c r="AP68" s="22">
        <v>6008</v>
      </c>
      <c r="AQ68" s="22">
        <v>5823</v>
      </c>
      <c r="AR68" s="22">
        <v>6312</v>
      </c>
      <c r="AS68" s="22">
        <v>6380</v>
      </c>
      <c r="AT68" s="22">
        <v>6500</v>
      </c>
      <c r="AU68" s="22">
        <v>6463</v>
      </c>
      <c r="AV68" s="22">
        <v>6333</v>
      </c>
      <c r="AW68" s="22">
        <v>6623</v>
      </c>
      <c r="AX68" s="22">
        <v>6467</v>
      </c>
      <c r="AY68" s="22">
        <v>6448</v>
      </c>
      <c r="AZ68" s="22">
        <v>6377</v>
      </c>
      <c r="BA68" s="22">
        <v>6269</v>
      </c>
      <c r="BB68" s="22">
        <v>6398</v>
      </c>
      <c r="BC68" s="22">
        <v>6048</v>
      </c>
      <c r="BD68" s="22">
        <v>6039</v>
      </c>
      <c r="BE68" s="22">
        <v>5959</v>
      </c>
      <c r="BF68" s="22">
        <v>5869</v>
      </c>
      <c r="BG68" s="22">
        <v>5901</v>
      </c>
      <c r="BH68" s="22">
        <v>6100</v>
      </c>
      <c r="BI68" s="22">
        <v>5883</v>
      </c>
      <c r="BJ68" s="22">
        <v>5904</v>
      </c>
      <c r="BK68" s="22">
        <v>5878</v>
      </c>
      <c r="BL68" s="22">
        <v>5990</v>
      </c>
      <c r="BM68" s="1">
        <v>5914</v>
      </c>
      <c r="BN68" s="1">
        <v>5742</v>
      </c>
      <c r="BO68" s="1">
        <v>5700</v>
      </c>
      <c r="BP68" s="1">
        <v>5670</v>
      </c>
    </row>
    <row r="69" spans="1:68" ht="15.9" customHeight="1">
      <c r="A69" s="81" t="s">
        <v>133</v>
      </c>
      <c r="B69" s="17" t="s">
        <v>134</v>
      </c>
      <c r="C69" s="26" t="str">
        <f>_xll.RssMarket("4980","始値")</f>
        <v/>
      </c>
      <c r="D69" s="25" t="e">
        <f t="shared" si="1"/>
        <v>#VALUE!</v>
      </c>
      <c r="E69" s="22">
        <v>3700</v>
      </c>
      <c r="F69" s="22">
        <v>3950</v>
      </c>
      <c r="G69" s="22">
        <v>3914</v>
      </c>
      <c r="H69" s="22">
        <v>4085</v>
      </c>
      <c r="I69" s="22">
        <v>4162</v>
      </c>
      <c r="J69" s="22">
        <v>4085</v>
      </c>
      <c r="K69" s="22">
        <v>3896</v>
      </c>
      <c r="L69" s="22">
        <v>4150</v>
      </c>
      <c r="M69" s="22">
        <v>4323</v>
      </c>
      <c r="N69" s="22">
        <v>4000</v>
      </c>
      <c r="O69" s="22">
        <v>4136</v>
      </c>
      <c r="P69" s="22">
        <v>4353</v>
      </c>
      <c r="Q69" s="22">
        <v>4310</v>
      </c>
      <c r="R69" s="22">
        <v>4434</v>
      </c>
      <c r="S69" s="22">
        <v>4845</v>
      </c>
      <c r="T69" s="22">
        <v>5115</v>
      </c>
      <c r="U69" s="22">
        <v>4880</v>
      </c>
      <c r="V69" s="22">
        <v>4930</v>
      </c>
      <c r="W69" s="22">
        <v>4905</v>
      </c>
      <c r="X69" s="22">
        <v>4838</v>
      </c>
      <c r="Y69" s="22">
        <v>4610</v>
      </c>
      <c r="Z69" s="22">
        <v>4428</v>
      </c>
      <c r="AA69" s="22">
        <v>4310</v>
      </c>
      <c r="AB69" s="22">
        <v>4200</v>
      </c>
      <c r="AC69" s="22">
        <v>3974</v>
      </c>
      <c r="AD69" s="22">
        <v>3568</v>
      </c>
      <c r="AE69" s="22">
        <v>3850</v>
      </c>
      <c r="AF69" s="22">
        <v>3949</v>
      </c>
      <c r="AG69" s="22">
        <v>4245</v>
      </c>
      <c r="AH69" s="22">
        <v>4495</v>
      </c>
      <c r="AI69" s="22">
        <v>4758</v>
      </c>
      <c r="AJ69" s="22">
        <v>4472</v>
      </c>
      <c r="AK69" s="22">
        <v>4116</v>
      </c>
      <c r="AL69" s="22">
        <v>4000</v>
      </c>
      <c r="AM69" s="22">
        <v>4288</v>
      </c>
      <c r="AN69" s="22">
        <v>4233</v>
      </c>
      <c r="AO69" s="22">
        <v>4282</v>
      </c>
      <c r="AP69" s="22">
        <v>3948</v>
      </c>
      <c r="AQ69" s="22">
        <v>3750</v>
      </c>
      <c r="AR69" s="22">
        <v>4195</v>
      </c>
      <c r="AS69" s="22">
        <v>4100</v>
      </c>
      <c r="AT69" s="22">
        <v>3849</v>
      </c>
      <c r="AU69" s="22">
        <v>3149</v>
      </c>
      <c r="AV69" s="22">
        <v>2649.5</v>
      </c>
      <c r="AW69" s="22">
        <v>2739</v>
      </c>
      <c r="AX69" s="22">
        <v>2800</v>
      </c>
      <c r="AY69" s="22">
        <v>2639</v>
      </c>
      <c r="AZ69" s="22">
        <v>2573.5</v>
      </c>
      <c r="BA69" s="22">
        <v>2441</v>
      </c>
      <c r="BB69" s="22">
        <v>2448.5</v>
      </c>
      <c r="BC69" s="22">
        <v>2510</v>
      </c>
      <c r="BD69" s="22">
        <v>2487</v>
      </c>
      <c r="BE69" s="22">
        <v>2421.5</v>
      </c>
      <c r="BF69" s="22">
        <v>2469</v>
      </c>
      <c r="BG69" s="22">
        <v>2468</v>
      </c>
      <c r="BH69" s="22">
        <v>2457.5</v>
      </c>
      <c r="BI69" s="22">
        <v>2466</v>
      </c>
      <c r="BJ69" s="22">
        <v>2400</v>
      </c>
      <c r="BK69" s="22">
        <v>2385</v>
      </c>
      <c r="BL69" s="22">
        <v>2437</v>
      </c>
      <c r="BM69" s="1">
        <v>2400</v>
      </c>
      <c r="BN69" s="1">
        <v>2350</v>
      </c>
      <c r="BO69" s="1">
        <v>2356</v>
      </c>
      <c r="BP69" s="1">
        <v>2318.5</v>
      </c>
    </row>
    <row r="70" spans="1:68" ht="15.9" customHeight="1">
      <c r="A70" s="81" t="s">
        <v>135</v>
      </c>
      <c r="B70" s="17" t="s">
        <v>136</v>
      </c>
      <c r="C70" s="26" t="str">
        <f>_xll.RssMarket("9424","始値")</f>
        <v/>
      </c>
      <c r="D70" s="25" t="e">
        <f t="shared" ref="D70:D101" si="2">C70-E70</f>
        <v>#VALUE!</v>
      </c>
      <c r="E70" s="22">
        <v>117</v>
      </c>
      <c r="F70" s="22">
        <v>115</v>
      </c>
      <c r="G70" s="22">
        <v>113</v>
      </c>
      <c r="H70" s="22">
        <v>110</v>
      </c>
      <c r="I70" s="22">
        <v>111</v>
      </c>
      <c r="J70" s="22">
        <v>112</v>
      </c>
      <c r="K70" s="22">
        <v>111</v>
      </c>
      <c r="L70" s="22">
        <v>109</v>
      </c>
      <c r="M70" s="22">
        <v>108</v>
      </c>
      <c r="N70" s="22">
        <v>105</v>
      </c>
      <c r="O70" s="22">
        <v>107</v>
      </c>
      <c r="P70" s="22">
        <v>108</v>
      </c>
      <c r="Q70" s="22">
        <v>106</v>
      </c>
      <c r="R70" s="22">
        <v>108</v>
      </c>
      <c r="S70" s="22">
        <v>112</v>
      </c>
      <c r="T70" s="22">
        <v>113</v>
      </c>
      <c r="U70" s="22">
        <v>115</v>
      </c>
      <c r="V70" s="22">
        <v>113</v>
      </c>
      <c r="W70" s="22">
        <v>115</v>
      </c>
      <c r="X70" s="22">
        <v>114</v>
      </c>
      <c r="Y70" s="22">
        <v>115</v>
      </c>
      <c r="Z70" s="22">
        <v>114</v>
      </c>
      <c r="AA70" s="22">
        <v>113</v>
      </c>
      <c r="AB70" s="22">
        <v>114</v>
      </c>
      <c r="AC70" s="22">
        <v>113</v>
      </c>
      <c r="AD70" s="22">
        <v>116</v>
      </c>
      <c r="AE70" s="22">
        <v>115</v>
      </c>
      <c r="AF70" s="22">
        <v>116</v>
      </c>
      <c r="AG70" s="22">
        <v>124</v>
      </c>
      <c r="AH70" s="22">
        <v>122</v>
      </c>
      <c r="AI70" s="22">
        <v>124</v>
      </c>
      <c r="AJ70" s="22">
        <v>125</v>
      </c>
      <c r="AK70" s="22">
        <v>124</v>
      </c>
      <c r="AL70" s="22">
        <v>126</v>
      </c>
      <c r="AM70" s="22">
        <v>125</v>
      </c>
      <c r="AN70" s="22">
        <v>126</v>
      </c>
      <c r="AO70" s="22">
        <v>127</v>
      </c>
      <c r="AP70" s="22">
        <v>129</v>
      </c>
      <c r="AQ70" s="22">
        <v>130</v>
      </c>
      <c r="AR70" s="22">
        <v>127</v>
      </c>
      <c r="AS70" s="22">
        <v>125</v>
      </c>
      <c r="AT70" s="22">
        <v>124</v>
      </c>
      <c r="AU70" s="22">
        <v>124</v>
      </c>
      <c r="AV70" s="22">
        <v>125</v>
      </c>
      <c r="AW70" s="22">
        <v>125</v>
      </c>
      <c r="AX70" s="22">
        <v>128</v>
      </c>
      <c r="AY70" s="22">
        <v>129</v>
      </c>
      <c r="AZ70" s="22">
        <v>131</v>
      </c>
      <c r="BA70" s="22">
        <v>131</v>
      </c>
      <c r="BB70" s="22">
        <v>132</v>
      </c>
      <c r="BC70" s="22">
        <v>131</v>
      </c>
      <c r="BD70" s="22">
        <v>126</v>
      </c>
      <c r="BE70" s="22">
        <v>125</v>
      </c>
      <c r="BF70" s="22">
        <v>126</v>
      </c>
      <c r="BG70" s="22">
        <v>129</v>
      </c>
      <c r="BH70" s="22">
        <v>131</v>
      </c>
      <c r="BI70" s="22">
        <v>129</v>
      </c>
      <c r="BJ70" s="22">
        <v>129</v>
      </c>
      <c r="BK70" s="22">
        <v>130</v>
      </c>
      <c r="BL70" s="22">
        <v>130</v>
      </c>
      <c r="BM70" s="1">
        <v>131</v>
      </c>
      <c r="BN70" s="1">
        <v>129</v>
      </c>
      <c r="BO70" s="1">
        <v>130</v>
      </c>
    </row>
    <row r="71" spans="1:68" ht="15.9" customHeight="1">
      <c r="A71" s="81" t="s">
        <v>137</v>
      </c>
      <c r="B71" s="17" t="s">
        <v>138</v>
      </c>
      <c r="C71" s="26" t="str">
        <f>_xll.RssMarket("3854","始値")</f>
        <v/>
      </c>
      <c r="D71" s="25" t="e">
        <f t="shared" si="2"/>
        <v>#VALUE!</v>
      </c>
      <c r="E71" s="22">
        <v>2404</v>
      </c>
      <c r="F71" s="22">
        <v>2377</v>
      </c>
      <c r="G71" s="22">
        <v>2429</v>
      </c>
      <c r="H71" s="22">
        <v>2430</v>
      </c>
      <c r="I71" s="22">
        <v>2455</v>
      </c>
      <c r="J71" s="22">
        <v>2460</v>
      </c>
      <c r="K71" s="22">
        <v>2465</v>
      </c>
      <c r="L71" s="22">
        <v>2348</v>
      </c>
      <c r="M71" s="22">
        <v>2320</v>
      </c>
      <c r="N71" s="22">
        <v>2256</v>
      </c>
      <c r="O71" s="22">
        <v>2208</v>
      </c>
      <c r="P71" s="22">
        <v>2200</v>
      </c>
      <c r="Q71" s="22">
        <v>2228</v>
      </c>
      <c r="R71" s="22">
        <v>2154</v>
      </c>
      <c r="S71" s="22">
        <v>2121</v>
      </c>
      <c r="T71" s="22">
        <v>2198</v>
      </c>
      <c r="U71" s="22">
        <v>2200</v>
      </c>
      <c r="V71" s="22">
        <v>2172</v>
      </c>
      <c r="W71" s="22">
        <v>2175</v>
      </c>
      <c r="X71" s="22">
        <v>2195</v>
      </c>
      <c r="Y71" s="22">
        <v>2172</v>
      </c>
      <c r="Z71" s="22">
        <v>2170</v>
      </c>
      <c r="AA71" s="22">
        <v>2200</v>
      </c>
      <c r="AB71" s="22">
        <v>2225</v>
      </c>
      <c r="AC71" s="22">
        <v>2302</v>
      </c>
      <c r="AD71" s="22">
        <v>2387</v>
      </c>
      <c r="AE71" s="22">
        <v>2398</v>
      </c>
      <c r="AF71" s="22">
        <v>2425</v>
      </c>
      <c r="AG71" s="22">
        <v>2521</v>
      </c>
      <c r="AH71" s="22">
        <v>2588</v>
      </c>
      <c r="AI71" s="22">
        <v>2606</v>
      </c>
      <c r="AJ71" s="22">
        <v>2600</v>
      </c>
      <c r="AK71" s="22">
        <v>2589</v>
      </c>
      <c r="AL71" s="22">
        <v>2521</v>
      </c>
      <c r="AM71" s="22">
        <v>2496</v>
      </c>
      <c r="AN71" s="22">
        <v>2606</v>
      </c>
      <c r="AO71" s="22">
        <v>2479</v>
      </c>
      <c r="AP71" s="22">
        <v>2471</v>
      </c>
      <c r="AQ71" s="22">
        <v>2447</v>
      </c>
      <c r="AR71" s="22">
        <v>2438</v>
      </c>
      <c r="AS71" s="22">
        <v>2394</v>
      </c>
      <c r="AT71" s="22">
        <v>2353</v>
      </c>
      <c r="AU71" s="22">
        <v>2376</v>
      </c>
      <c r="AV71" s="22">
        <v>2369</v>
      </c>
      <c r="AW71" s="22">
        <v>2381</v>
      </c>
      <c r="AX71" s="22">
        <v>2420</v>
      </c>
      <c r="AY71" s="22">
        <v>2373</v>
      </c>
      <c r="AZ71" s="22">
        <v>2360</v>
      </c>
      <c r="BA71" s="22">
        <v>2365</v>
      </c>
      <c r="BB71" s="22">
        <v>2396</v>
      </c>
      <c r="BC71" s="22">
        <v>2397</v>
      </c>
      <c r="BD71" s="22">
        <v>2390</v>
      </c>
      <c r="BE71" s="22">
        <v>2412</v>
      </c>
      <c r="BF71" s="22">
        <v>2463</v>
      </c>
      <c r="BG71" s="22">
        <v>2465</v>
      </c>
      <c r="BH71" s="22">
        <v>2480</v>
      </c>
      <c r="BI71" s="22">
        <v>2460</v>
      </c>
      <c r="BJ71" s="22">
        <v>2405</v>
      </c>
      <c r="BK71" s="22">
        <v>2450</v>
      </c>
      <c r="BL71" s="22">
        <v>2410</v>
      </c>
      <c r="BM71" s="1">
        <v>2395</v>
      </c>
      <c r="BN71" s="1">
        <v>2321</v>
      </c>
      <c r="BO71" s="1">
        <v>2407</v>
      </c>
      <c r="BP71" s="1">
        <v>2426</v>
      </c>
    </row>
    <row r="72" spans="1:68" ht="15.9" customHeight="1">
      <c r="A72" s="81" t="s">
        <v>139</v>
      </c>
      <c r="B72" s="17" t="s">
        <v>140</v>
      </c>
      <c r="C72" s="26" t="str">
        <f>_xll.RssMarket("6027","始値")</f>
        <v/>
      </c>
      <c r="D72" s="25" t="e">
        <f t="shared" si="2"/>
        <v>#VALUE!</v>
      </c>
      <c r="E72" s="22">
        <v>2360</v>
      </c>
      <c r="F72" s="22">
        <v>2366</v>
      </c>
      <c r="G72" s="22">
        <v>2361</v>
      </c>
      <c r="H72" s="22">
        <v>2424</v>
      </c>
      <c r="I72" s="22">
        <v>2390</v>
      </c>
      <c r="J72" s="22">
        <v>2380</v>
      </c>
      <c r="K72" s="22">
        <v>2430</v>
      </c>
      <c r="L72" s="22">
        <v>2409</v>
      </c>
      <c r="M72" s="22">
        <v>2394</v>
      </c>
      <c r="N72" s="22">
        <v>2482</v>
      </c>
      <c r="O72" s="22">
        <v>2400</v>
      </c>
      <c r="P72" s="22">
        <v>2314</v>
      </c>
      <c r="Q72" s="22">
        <v>2230</v>
      </c>
      <c r="R72" s="22">
        <v>2059</v>
      </c>
      <c r="S72" s="22">
        <v>2002</v>
      </c>
      <c r="T72" s="22">
        <v>2094</v>
      </c>
      <c r="U72" s="22">
        <v>2090</v>
      </c>
      <c r="V72" s="22">
        <v>2220</v>
      </c>
      <c r="W72" s="22">
        <v>2200</v>
      </c>
      <c r="X72" s="22">
        <v>2130</v>
      </c>
      <c r="Y72" s="22">
        <v>2125</v>
      </c>
      <c r="Z72" s="22">
        <v>2110</v>
      </c>
      <c r="AA72" s="22">
        <v>2083</v>
      </c>
      <c r="AB72" s="22">
        <v>2139</v>
      </c>
      <c r="AC72" s="22">
        <v>2192</v>
      </c>
      <c r="AD72" s="22">
        <v>2145</v>
      </c>
      <c r="AE72" s="22">
        <v>2190</v>
      </c>
      <c r="AF72" s="22">
        <v>2224</v>
      </c>
      <c r="AG72" s="22">
        <v>2276</v>
      </c>
      <c r="AH72" s="22">
        <v>2250</v>
      </c>
      <c r="AI72" s="22">
        <v>2285</v>
      </c>
      <c r="AJ72" s="22">
        <v>2352</v>
      </c>
      <c r="AK72" s="22">
        <v>2436</v>
      </c>
      <c r="AL72" s="22">
        <v>2460</v>
      </c>
      <c r="AM72" s="22">
        <v>2497</v>
      </c>
      <c r="AN72" s="22">
        <v>2550</v>
      </c>
      <c r="AO72" s="22">
        <v>2555</v>
      </c>
      <c r="AP72" s="22">
        <v>2580</v>
      </c>
      <c r="AQ72" s="22">
        <v>2766</v>
      </c>
      <c r="AR72" s="22">
        <v>2769</v>
      </c>
      <c r="AS72" s="22">
        <v>2715</v>
      </c>
      <c r="AT72" s="22">
        <v>2745</v>
      </c>
      <c r="AU72" s="22">
        <v>2700</v>
      </c>
      <c r="AV72" s="22">
        <v>2643</v>
      </c>
      <c r="AW72" s="22">
        <v>2726</v>
      </c>
      <c r="AX72" s="22">
        <v>2762</v>
      </c>
      <c r="AY72" s="22">
        <v>2676</v>
      </c>
      <c r="AZ72" s="22">
        <v>2550</v>
      </c>
      <c r="BA72" s="22">
        <v>2494</v>
      </c>
      <c r="BB72" s="22">
        <v>2500</v>
      </c>
      <c r="BC72" s="22">
        <v>2420</v>
      </c>
      <c r="BD72" s="22">
        <v>2493</v>
      </c>
      <c r="BE72" s="22">
        <v>2541</v>
      </c>
      <c r="BF72" s="22">
        <v>2611</v>
      </c>
      <c r="BG72" s="22">
        <v>2595</v>
      </c>
      <c r="BH72" s="22">
        <v>2609</v>
      </c>
      <c r="BI72" s="22">
        <v>2570</v>
      </c>
      <c r="BJ72" s="22">
        <v>2610</v>
      </c>
      <c r="BK72" s="22">
        <v>2745</v>
      </c>
      <c r="BL72" s="22">
        <v>2609</v>
      </c>
      <c r="BM72" s="1">
        <v>2599</v>
      </c>
      <c r="BN72" s="1">
        <v>2495</v>
      </c>
      <c r="BO72" s="1">
        <v>2777</v>
      </c>
      <c r="BP72" s="1">
        <v>2789</v>
      </c>
    </row>
    <row r="73" spans="1:68" ht="15.9" customHeight="1">
      <c r="A73" s="81" t="s">
        <v>141</v>
      </c>
      <c r="B73" s="17" t="s">
        <v>142</v>
      </c>
      <c r="C73" s="26" t="str">
        <f>_xll.RssMarket("7806","始値")</f>
        <v/>
      </c>
      <c r="D73" s="25" t="e">
        <f t="shared" si="2"/>
        <v>#VALUE!</v>
      </c>
      <c r="E73" s="22">
        <v>7980</v>
      </c>
      <c r="F73" s="22">
        <v>7400</v>
      </c>
      <c r="G73" s="22">
        <v>7230</v>
      </c>
      <c r="H73" s="22">
        <v>7480</v>
      </c>
      <c r="I73" s="22">
        <v>7550</v>
      </c>
      <c r="J73" s="22">
        <v>8000</v>
      </c>
      <c r="K73" s="22">
        <v>8100</v>
      </c>
      <c r="L73" s="22">
        <v>8140</v>
      </c>
      <c r="M73" s="22">
        <v>8230</v>
      </c>
      <c r="N73" s="22">
        <v>7530</v>
      </c>
      <c r="O73" s="22">
        <v>7410</v>
      </c>
      <c r="P73" s="22">
        <v>7540</v>
      </c>
      <c r="Q73" s="22">
        <v>7300</v>
      </c>
      <c r="R73" s="22">
        <v>7420</v>
      </c>
      <c r="S73" s="22">
        <v>7540</v>
      </c>
      <c r="T73" s="22">
        <v>7480</v>
      </c>
      <c r="U73" s="22">
        <v>7700</v>
      </c>
      <c r="V73" s="22">
        <v>7650</v>
      </c>
      <c r="W73" s="22">
        <v>7680</v>
      </c>
      <c r="X73" s="22">
        <v>7400</v>
      </c>
      <c r="Y73" s="22">
        <v>7260</v>
      </c>
      <c r="Z73" s="22">
        <v>7110</v>
      </c>
      <c r="AA73" s="22">
        <v>7020</v>
      </c>
      <c r="AB73" s="22">
        <v>7250</v>
      </c>
      <c r="AC73" s="22">
        <v>6870</v>
      </c>
      <c r="AD73" s="22">
        <v>7070</v>
      </c>
      <c r="AE73" s="22">
        <v>6760</v>
      </c>
      <c r="AF73" s="22">
        <v>6850</v>
      </c>
      <c r="AG73" s="22">
        <v>7080</v>
      </c>
      <c r="AH73" s="22">
        <v>7110</v>
      </c>
      <c r="AI73" s="22">
        <v>7500</v>
      </c>
      <c r="AJ73" s="22">
        <v>7430</v>
      </c>
      <c r="AK73" s="22">
        <v>7000</v>
      </c>
      <c r="AL73" s="22">
        <v>7050</v>
      </c>
      <c r="AM73" s="22">
        <v>6320</v>
      </c>
      <c r="AN73" s="22">
        <v>6390</v>
      </c>
      <c r="AO73" s="22">
        <v>6560</v>
      </c>
      <c r="AP73" s="22">
        <v>6630</v>
      </c>
      <c r="AQ73" s="22">
        <v>6390</v>
      </c>
      <c r="AR73" s="22">
        <v>6710</v>
      </c>
      <c r="AS73" s="22">
        <v>7050</v>
      </c>
      <c r="AT73" s="22">
        <v>6780</v>
      </c>
      <c r="AU73" s="22">
        <v>6600</v>
      </c>
      <c r="AV73" s="22">
        <v>6490</v>
      </c>
      <c r="AW73" s="22">
        <v>6390</v>
      </c>
      <c r="AX73" s="22">
        <v>6250</v>
      </c>
      <c r="AY73" s="22">
        <v>5810</v>
      </c>
      <c r="AZ73" s="22">
        <v>5890</v>
      </c>
      <c r="BA73" s="22">
        <v>5940</v>
      </c>
      <c r="BB73" s="22">
        <v>6210</v>
      </c>
      <c r="BC73" s="22">
        <v>6380</v>
      </c>
      <c r="BD73" s="22">
        <v>6550</v>
      </c>
      <c r="BE73" s="22">
        <v>6550</v>
      </c>
      <c r="BF73" s="22">
        <v>6630</v>
      </c>
      <c r="BG73" s="22">
        <v>6670</v>
      </c>
      <c r="BH73" s="22">
        <v>6490</v>
      </c>
      <c r="BI73" s="22">
        <v>6450</v>
      </c>
      <c r="BJ73" s="22">
        <v>6400</v>
      </c>
      <c r="BK73" s="22">
        <v>6190</v>
      </c>
      <c r="BL73" s="22">
        <v>5970</v>
      </c>
      <c r="BM73" s="1">
        <v>6060</v>
      </c>
      <c r="BN73" s="1">
        <v>6200</v>
      </c>
      <c r="BO73" s="1">
        <v>6230</v>
      </c>
      <c r="BP73" s="1">
        <v>6150</v>
      </c>
    </row>
    <row r="74" spans="1:68" ht="15.9" customHeight="1">
      <c r="A74" s="81" t="s">
        <v>143</v>
      </c>
      <c r="B74" s="17" t="s">
        <v>144</v>
      </c>
      <c r="C74" s="26" t="str">
        <f>_xll.RssMarket("9202","始値")</f>
        <v/>
      </c>
      <c r="D74" s="25" t="e">
        <f t="shared" si="2"/>
        <v>#VALUE!</v>
      </c>
      <c r="E74" s="22">
        <v>2997</v>
      </c>
      <c r="F74" s="22">
        <v>3029</v>
      </c>
      <c r="G74" s="22">
        <v>3013</v>
      </c>
      <c r="H74" s="22">
        <v>3014</v>
      </c>
      <c r="I74" s="22">
        <v>3048</v>
      </c>
      <c r="J74" s="22">
        <v>3059</v>
      </c>
      <c r="K74" s="22">
        <v>3094</v>
      </c>
      <c r="L74" s="22">
        <v>3185</v>
      </c>
      <c r="M74" s="22">
        <v>3122</v>
      </c>
      <c r="N74" s="22">
        <v>3143</v>
      </c>
      <c r="O74" s="22">
        <v>3035</v>
      </c>
      <c r="P74" s="22">
        <v>2945</v>
      </c>
      <c r="Q74" s="22">
        <v>2994.5</v>
      </c>
      <c r="R74" s="22">
        <v>3006</v>
      </c>
      <c r="S74" s="22">
        <v>3007</v>
      </c>
      <c r="T74" s="22">
        <v>3012</v>
      </c>
      <c r="U74" s="22">
        <v>2910</v>
      </c>
      <c r="V74" s="22">
        <v>2934</v>
      </c>
      <c r="W74" s="22">
        <v>2941</v>
      </c>
      <c r="X74" s="22">
        <v>2980</v>
      </c>
      <c r="Y74" s="22">
        <v>3022</v>
      </c>
      <c r="Z74" s="22">
        <v>3050</v>
      </c>
      <c r="AA74" s="22">
        <v>3019</v>
      </c>
      <c r="AB74" s="22">
        <v>2931.5</v>
      </c>
      <c r="AC74" s="22">
        <v>2826.5</v>
      </c>
      <c r="AD74" s="22">
        <v>2782</v>
      </c>
      <c r="AE74" s="22">
        <v>2799</v>
      </c>
      <c r="AF74" s="22">
        <v>2839</v>
      </c>
      <c r="AG74" s="22">
        <v>2824.5</v>
      </c>
      <c r="AH74" s="22">
        <v>2796.5</v>
      </c>
      <c r="AI74" s="22">
        <v>2801</v>
      </c>
      <c r="AJ74" s="22">
        <v>2881.5</v>
      </c>
      <c r="AK74" s="22">
        <v>2930</v>
      </c>
      <c r="AL74" s="22">
        <v>2919.5</v>
      </c>
      <c r="AM74" s="22">
        <v>2880.5</v>
      </c>
      <c r="AN74" s="22">
        <v>2831</v>
      </c>
      <c r="AO74" s="22">
        <v>2785</v>
      </c>
      <c r="AP74" s="22">
        <v>2783.5</v>
      </c>
      <c r="AQ74" s="22">
        <v>2746</v>
      </c>
      <c r="AR74" s="22">
        <v>2732.5</v>
      </c>
      <c r="AS74" s="22">
        <v>2770</v>
      </c>
      <c r="AT74" s="22">
        <v>2768</v>
      </c>
      <c r="AU74" s="22">
        <v>2785</v>
      </c>
      <c r="AV74" s="22">
        <v>2791</v>
      </c>
      <c r="AW74" s="22">
        <v>2793.5</v>
      </c>
      <c r="AX74" s="22">
        <v>2810</v>
      </c>
      <c r="AY74" s="22">
        <v>2860.5</v>
      </c>
      <c r="AZ74" s="22">
        <v>2759.5</v>
      </c>
      <c r="BA74" s="22">
        <v>2639.5</v>
      </c>
      <c r="BB74" s="22">
        <v>2629</v>
      </c>
      <c r="BC74" s="22">
        <v>2646.5</v>
      </c>
      <c r="BD74" s="22">
        <v>2680</v>
      </c>
      <c r="BE74" s="22">
        <v>2725</v>
      </c>
      <c r="BF74" s="22">
        <v>2800</v>
      </c>
      <c r="BG74" s="22">
        <v>2821</v>
      </c>
      <c r="BH74" s="22">
        <v>2880</v>
      </c>
      <c r="BI74" s="22">
        <v>2850</v>
      </c>
      <c r="BJ74" s="22">
        <v>2829.5</v>
      </c>
      <c r="BK74" s="22">
        <v>2870</v>
      </c>
      <c r="BL74" s="22">
        <v>2856</v>
      </c>
      <c r="BM74" s="1">
        <v>2880</v>
      </c>
      <c r="BN74" s="1">
        <v>2890</v>
      </c>
      <c r="BO74" s="1">
        <v>2890</v>
      </c>
      <c r="BP74" s="1">
        <v>2930</v>
      </c>
    </row>
    <row r="75" spans="1:68" ht="15.9" customHeight="1">
      <c r="A75" s="81" t="s">
        <v>145</v>
      </c>
      <c r="B75" s="17" t="s">
        <v>146</v>
      </c>
      <c r="C75" s="26" t="str">
        <f>_xll.RssMarket("7846","始値")</f>
        <v/>
      </c>
      <c r="D75" s="25" t="e">
        <f t="shared" si="2"/>
        <v>#VALUE!</v>
      </c>
      <c r="E75" s="22">
        <v>1812.5</v>
      </c>
      <c r="F75" s="22">
        <v>1771.5</v>
      </c>
      <c r="G75" s="22">
        <v>1774</v>
      </c>
      <c r="H75" s="22">
        <v>1776.5</v>
      </c>
      <c r="I75" s="22">
        <v>1775.5</v>
      </c>
      <c r="J75" s="22">
        <v>1779</v>
      </c>
      <c r="K75" s="22">
        <v>1749.5</v>
      </c>
      <c r="L75" s="22">
        <v>1741</v>
      </c>
      <c r="M75" s="22">
        <v>1740.5</v>
      </c>
      <c r="N75" s="22">
        <v>1745</v>
      </c>
      <c r="O75" s="22">
        <v>1706.5</v>
      </c>
      <c r="P75" s="22">
        <v>1692</v>
      </c>
      <c r="Q75" s="22">
        <v>1682.5</v>
      </c>
      <c r="R75" s="22">
        <v>1700</v>
      </c>
      <c r="S75" s="22">
        <v>5115</v>
      </c>
      <c r="T75" s="22">
        <v>5050</v>
      </c>
      <c r="U75" s="22">
        <v>4960</v>
      </c>
      <c r="V75" s="22">
        <v>4983</v>
      </c>
      <c r="W75" s="22">
        <v>4936</v>
      </c>
      <c r="X75" s="22">
        <v>4946</v>
      </c>
      <c r="Y75" s="22">
        <v>4965</v>
      </c>
      <c r="Z75" s="22">
        <v>4981</v>
      </c>
      <c r="AA75" s="22">
        <v>4930</v>
      </c>
      <c r="AB75" s="22">
        <v>4955</v>
      </c>
      <c r="AC75" s="22">
        <v>4908</v>
      </c>
      <c r="AD75" s="22">
        <v>4869</v>
      </c>
      <c r="AE75" s="22">
        <v>4883</v>
      </c>
      <c r="AF75" s="22">
        <v>4878</v>
      </c>
      <c r="AG75" s="22">
        <v>4845</v>
      </c>
      <c r="AH75" s="22">
        <v>4836</v>
      </c>
      <c r="AI75" s="22">
        <v>4854</v>
      </c>
      <c r="AJ75" s="22">
        <v>4841</v>
      </c>
      <c r="AK75" s="22">
        <v>4882</v>
      </c>
      <c r="AL75" s="22">
        <v>4939</v>
      </c>
      <c r="AM75" s="22">
        <v>4909</v>
      </c>
      <c r="AN75" s="22">
        <v>4948</v>
      </c>
      <c r="AO75" s="22">
        <v>4901</v>
      </c>
      <c r="AP75" s="22">
        <v>4939</v>
      </c>
      <c r="AQ75" s="22">
        <v>4789</v>
      </c>
      <c r="AR75" s="22">
        <v>4690</v>
      </c>
      <c r="AS75" s="22">
        <v>4617</v>
      </c>
      <c r="AT75" s="22">
        <v>4581</v>
      </c>
      <c r="AU75" s="22">
        <v>4586</v>
      </c>
      <c r="AV75" s="22">
        <v>4565</v>
      </c>
      <c r="AW75" s="22">
        <v>4668</v>
      </c>
      <c r="AX75" s="22">
        <v>4750</v>
      </c>
      <c r="AY75" s="22">
        <v>4823</v>
      </c>
      <c r="AZ75" s="22">
        <v>4818</v>
      </c>
      <c r="BA75" s="22">
        <v>4742</v>
      </c>
      <c r="BB75" s="22">
        <v>4800</v>
      </c>
      <c r="BC75" s="22">
        <v>4792</v>
      </c>
      <c r="BD75" s="22">
        <v>4773</v>
      </c>
      <c r="BE75" s="22">
        <v>4843</v>
      </c>
      <c r="BF75" s="22">
        <v>4791</v>
      </c>
      <c r="BG75" s="22">
        <v>4830</v>
      </c>
      <c r="BH75" s="22">
        <v>4811</v>
      </c>
      <c r="BI75" s="22">
        <v>4870</v>
      </c>
      <c r="BJ75" s="22">
        <v>4845</v>
      </c>
      <c r="BK75" s="22">
        <v>4869</v>
      </c>
      <c r="BL75" s="22">
        <v>4834</v>
      </c>
      <c r="BM75" s="1">
        <v>4860</v>
      </c>
      <c r="BN75" s="1">
        <v>4874</v>
      </c>
      <c r="BO75" s="1">
        <v>4972</v>
      </c>
      <c r="BP75" s="1">
        <v>4968</v>
      </c>
    </row>
    <row r="76" spans="1:68" ht="15.9" customHeight="1">
      <c r="A76" s="81" t="s">
        <v>147</v>
      </c>
      <c r="B76" s="17" t="s">
        <v>148</v>
      </c>
      <c r="C76" s="26" t="str">
        <f>_xll.RssMarket("2802","始値")</f>
        <v/>
      </c>
      <c r="D76" s="25" t="e">
        <f t="shared" si="2"/>
        <v>#VALUE!</v>
      </c>
      <c r="E76" s="22">
        <v>5215</v>
      </c>
      <c r="F76" s="22">
        <v>5698</v>
      </c>
      <c r="G76" s="22">
        <v>5597</v>
      </c>
      <c r="H76" s="22">
        <v>5735</v>
      </c>
      <c r="I76" s="22">
        <v>5773</v>
      </c>
      <c r="J76" s="22">
        <v>5777</v>
      </c>
      <c r="K76" s="22">
        <v>5741</v>
      </c>
      <c r="L76" s="22">
        <v>6048</v>
      </c>
      <c r="M76" s="22">
        <v>6200</v>
      </c>
      <c r="N76" s="22">
        <v>6110</v>
      </c>
      <c r="O76" s="22">
        <v>6075</v>
      </c>
      <c r="P76" s="22">
        <v>6048</v>
      </c>
      <c r="Q76" s="22">
        <v>5860</v>
      </c>
      <c r="R76" s="22">
        <v>5706</v>
      </c>
      <c r="S76" s="22">
        <v>5771</v>
      </c>
      <c r="T76" s="22">
        <v>5672</v>
      </c>
      <c r="U76" s="22">
        <v>5529</v>
      </c>
      <c r="V76" s="22">
        <v>6000</v>
      </c>
      <c r="W76" s="22">
        <v>5747</v>
      </c>
      <c r="X76" s="22">
        <v>5840</v>
      </c>
      <c r="Y76" s="22">
        <v>5385</v>
      </c>
      <c r="Z76" s="22">
        <v>5187</v>
      </c>
      <c r="AA76" s="22">
        <v>4996</v>
      </c>
      <c r="AB76" s="22">
        <v>5500</v>
      </c>
      <c r="AC76" s="22">
        <v>5200</v>
      </c>
      <c r="AD76" s="22">
        <v>4848</v>
      </c>
      <c r="AE76" s="22">
        <v>4772</v>
      </c>
      <c r="AF76" s="22">
        <v>4802</v>
      </c>
      <c r="AG76" s="22">
        <v>5050</v>
      </c>
      <c r="AH76" s="22">
        <v>5130</v>
      </c>
      <c r="AI76" s="22">
        <v>5269</v>
      </c>
      <c r="AJ76" s="22">
        <v>5302</v>
      </c>
      <c r="AK76" s="22">
        <v>5140</v>
      </c>
      <c r="AL76" s="22">
        <v>5189</v>
      </c>
      <c r="AM76" s="22">
        <v>5345</v>
      </c>
      <c r="AN76" s="22">
        <v>5270</v>
      </c>
      <c r="AO76" s="22">
        <v>5243</v>
      </c>
      <c r="AP76" s="22">
        <v>5099</v>
      </c>
      <c r="AQ76" s="22">
        <v>5278</v>
      </c>
      <c r="AR76" s="22">
        <v>5200</v>
      </c>
      <c r="AS76" s="22">
        <v>5280</v>
      </c>
      <c r="AT76" s="22">
        <v>5542</v>
      </c>
      <c r="AU76" s="22">
        <v>5587</v>
      </c>
      <c r="AV76" s="22">
        <v>5371</v>
      </c>
      <c r="AW76" s="22">
        <v>5502</v>
      </c>
      <c r="AX76" s="22">
        <v>5179</v>
      </c>
      <c r="AY76" s="22">
        <v>4818</v>
      </c>
      <c r="AZ76" s="22">
        <v>4952</v>
      </c>
      <c r="BA76" s="22">
        <v>4904</v>
      </c>
      <c r="BB76" s="22">
        <v>4913</v>
      </c>
      <c r="BC76" s="22">
        <v>4794</v>
      </c>
      <c r="BD76" s="22">
        <v>4755</v>
      </c>
      <c r="BE76" s="22">
        <v>4727</v>
      </c>
      <c r="BF76" s="22">
        <v>4607</v>
      </c>
      <c r="BG76" s="22">
        <v>4652</v>
      </c>
      <c r="BH76" s="22">
        <v>4607</v>
      </c>
      <c r="BI76" s="22">
        <v>4599</v>
      </c>
      <c r="BJ76" s="22">
        <v>4651</v>
      </c>
      <c r="BK76" s="22">
        <v>4637</v>
      </c>
      <c r="BL76" s="22">
        <v>4651</v>
      </c>
      <c r="BM76" s="1">
        <v>4600</v>
      </c>
      <c r="BN76" s="1">
        <v>4601</v>
      </c>
      <c r="BO76" s="1">
        <v>4722</v>
      </c>
      <c r="BP76" s="1">
        <v>4770</v>
      </c>
    </row>
    <row r="77" spans="1:68" ht="15.9" customHeight="1">
      <c r="A77" s="81" t="s">
        <v>149</v>
      </c>
      <c r="B77" s="17" t="s">
        <v>150</v>
      </c>
      <c r="C77" s="26" t="str">
        <f>_xll.RssMarket("7203","始値")</f>
        <v/>
      </c>
      <c r="D77" s="25" t="e">
        <f t="shared" si="2"/>
        <v>#VALUE!</v>
      </c>
      <c r="E77" s="22">
        <v>2865.5</v>
      </c>
      <c r="F77" s="22">
        <v>2857</v>
      </c>
      <c r="G77" s="22">
        <v>2832</v>
      </c>
      <c r="H77" s="22">
        <v>2844</v>
      </c>
      <c r="I77" s="22">
        <v>2863.5</v>
      </c>
      <c r="J77" s="22">
        <v>2854</v>
      </c>
      <c r="K77" s="22">
        <v>2926</v>
      </c>
      <c r="L77" s="22">
        <v>2950</v>
      </c>
      <c r="M77" s="22">
        <v>2855</v>
      </c>
      <c r="N77" s="22">
        <v>2839</v>
      </c>
      <c r="O77" s="22">
        <v>2759</v>
      </c>
      <c r="P77" s="22">
        <v>2765</v>
      </c>
      <c r="Q77" s="22">
        <v>2775</v>
      </c>
      <c r="R77" s="22">
        <v>2805</v>
      </c>
      <c r="S77" s="22">
        <v>2714</v>
      </c>
      <c r="T77" s="22">
        <v>2700</v>
      </c>
      <c r="U77" s="22">
        <v>2731</v>
      </c>
      <c r="V77" s="22">
        <v>2745</v>
      </c>
      <c r="W77" s="22">
        <v>2770</v>
      </c>
      <c r="X77" s="22">
        <v>2785</v>
      </c>
      <c r="Y77" s="22">
        <v>2800</v>
      </c>
      <c r="Z77" s="22">
        <v>2862.5</v>
      </c>
      <c r="AA77" s="22">
        <v>2867</v>
      </c>
      <c r="AB77" s="22">
        <v>2836.5</v>
      </c>
      <c r="AC77" s="22">
        <v>2792</v>
      </c>
      <c r="AD77" s="22">
        <v>2768</v>
      </c>
      <c r="AE77" s="22">
        <v>2837</v>
      </c>
      <c r="AF77" s="22">
        <v>2817</v>
      </c>
      <c r="AG77" s="22">
        <v>2872</v>
      </c>
      <c r="AH77" s="22">
        <v>2875</v>
      </c>
      <c r="AI77" s="22">
        <v>2840</v>
      </c>
      <c r="AJ77" s="22">
        <v>2849.5</v>
      </c>
      <c r="AK77" s="22">
        <v>3022</v>
      </c>
      <c r="AL77" s="22">
        <v>3039</v>
      </c>
      <c r="AM77" s="22">
        <v>3016</v>
      </c>
      <c r="AN77" s="22">
        <v>3051</v>
      </c>
      <c r="AO77" s="22">
        <v>3020</v>
      </c>
      <c r="AP77" s="22">
        <v>2964.5</v>
      </c>
      <c r="AQ77" s="22">
        <v>3003</v>
      </c>
      <c r="AR77" s="22">
        <v>2955</v>
      </c>
      <c r="AS77" s="22">
        <v>2990</v>
      </c>
      <c r="AT77" s="22">
        <v>3017</v>
      </c>
      <c r="AU77" s="22">
        <v>2944</v>
      </c>
      <c r="AV77" s="22">
        <v>2884.5</v>
      </c>
      <c r="AW77" s="22">
        <v>2831</v>
      </c>
      <c r="AX77" s="22">
        <v>2800</v>
      </c>
      <c r="AY77" s="22">
        <v>3020</v>
      </c>
      <c r="AZ77" s="22">
        <v>3017</v>
      </c>
      <c r="BA77" s="22">
        <v>3000</v>
      </c>
      <c r="BB77" s="22">
        <v>3062</v>
      </c>
      <c r="BC77" s="22">
        <v>3131</v>
      </c>
      <c r="BD77" s="22">
        <v>3122</v>
      </c>
      <c r="BE77" s="22">
        <v>3191</v>
      </c>
      <c r="BF77" s="22">
        <v>3220</v>
      </c>
      <c r="BG77" s="22">
        <v>3345</v>
      </c>
      <c r="BH77" s="22">
        <v>3413</v>
      </c>
      <c r="BI77" s="22">
        <v>3400</v>
      </c>
      <c r="BJ77" s="22">
        <v>3416</v>
      </c>
      <c r="BK77" s="22">
        <v>3355</v>
      </c>
      <c r="BL77" s="22">
        <v>3355</v>
      </c>
      <c r="BM77" s="1">
        <v>3295</v>
      </c>
      <c r="BN77" s="1">
        <v>3345</v>
      </c>
      <c r="BO77" s="1">
        <v>3398</v>
      </c>
      <c r="BP77" s="1">
        <v>3392</v>
      </c>
    </row>
    <row r="78" spans="1:68" ht="15.9" customHeight="1">
      <c r="A78" s="81" t="s">
        <v>151</v>
      </c>
      <c r="B78" s="17" t="s">
        <v>152</v>
      </c>
      <c r="C78" s="26" t="str">
        <f>_xll.RssMarket("6954","始値")</f>
        <v/>
      </c>
      <c r="D78" s="25" t="e">
        <f t="shared" si="2"/>
        <v>#VALUE!</v>
      </c>
      <c r="E78" s="22">
        <v>6690</v>
      </c>
      <c r="F78" s="22">
        <v>6939</v>
      </c>
      <c r="G78" s="22">
        <v>6857</v>
      </c>
      <c r="H78" s="22">
        <v>7050</v>
      </c>
      <c r="I78" s="22">
        <v>7051</v>
      </c>
      <c r="J78" s="22">
        <v>6789</v>
      </c>
      <c r="K78" s="22">
        <v>6922</v>
      </c>
      <c r="L78" s="22">
        <v>7335</v>
      </c>
      <c r="M78" s="22">
        <v>7436</v>
      </c>
      <c r="N78" s="22">
        <v>7209</v>
      </c>
      <c r="O78" s="22">
        <v>7227</v>
      </c>
      <c r="P78" s="22">
        <v>7505</v>
      </c>
      <c r="Q78" s="22">
        <v>7200</v>
      </c>
      <c r="R78" s="22">
        <v>7083</v>
      </c>
      <c r="S78" s="22">
        <v>7253</v>
      </c>
      <c r="T78" s="22">
        <v>7512</v>
      </c>
      <c r="U78" s="22">
        <v>7450</v>
      </c>
      <c r="V78" s="22">
        <v>7935</v>
      </c>
      <c r="W78" s="22">
        <v>7720</v>
      </c>
      <c r="X78" s="22">
        <v>7599</v>
      </c>
      <c r="Y78" s="22">
        <v>7615</v>
      </c>
      <c r="Z78" s="22">
        <v>7270</v>
      </c>
      <c r="AA78" s="22">
        <v>7487</v>
      </c>
      <c r="AB78" s="22">
        <v>7200</v>
      </c>
      <c r="AC78" s="22">
        <v>7035</v>
      </c>
      <c r="AD78" s="22">
        <v>6385</v>
      </c>
      <c r="AE78" s="22">
        <v>6877</v>
      </c>
      <c r="AF78" s="22">
        <v>7000</v>
      </c>
      <c r="AG78" s="22">
        <v>7608</v>
      </c>
      <c r="AH78" s="22">
        <v>7872</v>
      </c>
      <c r="AI78" s="22">
        <v>7708</v>
      </c>
      <c r="AJ78" s="22">
        <v>8000</v>
      </c>
      <c r="AK78" s="22">
        <v>8100</v>
      </c>
      <c r="AL78" s="22">
        <v>8096</v>
      </c>
      <c r="AM78" s="22">
        <v>8695</v>
      </c>
      <c r="AN78" s="22">
        <v>8348</v>
      </c>
      <c r="AO78" s="22">
        <v>8145</v>
      </c>
      <c r="AP78" s="22">
        <v>7547</v>
      </c>
      <c r="AQ78" s="22">
        <v>7524</v>
      </c>
      <c r="AR78" s="22">
        <v>7980</v>
      </c>
      <c r="AS78" s="22">
        <v>8439</v>
      </c>
      <c r="AT78" s="22">
        <v>8255</v>
      </c>
      <c r="AU78" s="22">
        <v>8540</v>
      </c>
      <c r="AV78" s="22">
        <v>7570</v>
      </c>
      <c r="AW78" s="22">
        <v>7632</v>
      </c>
      <c r="AX78" s="22">
        <v>7555</v>
      </c>
      <c r="AY78" s="22">
        <v>7114</v>
      </c>
      <c r="AZ78" s="22">
        <v>7198</v>
      </c>
      <c r="BA78" s="22">
        <v>6775</v>
      </c>
      <c r="BB78" s="22">
        <v>6761</v>
      </c>
      <c r="BC78" s="22">
        <v>7256</v>
      </c>
      <c r="BD78" s="22">
        <v>6750</v>
      </c>
      <c r="BE78" s="22">
        <v>6323</v>
      </c>
      <c r="BF78" s="22">
        <v>6433</v>
      </c>
      <c r="BG78" s="22">
        <v>6450</v>
      </c>
      <c r="BH78" s="22">
        <v>6500</v>
      </c>
      <c r="BI78" s="22">
        <v>6250</v>
      </c>
      <c r="BJ78" s="22">
        <v>6272</v>
      </c>
      <c r="BK78" s="22">
        <v>6143</v>
      </c>
      <c r="BL78" s="22">
        <v>6280</v>
      </c>
      <c r="BM78" s="1">
        <v>6282</v>
      </c>
      <c r="BN78" s="1">
        <v>6250</v>
      </c>
      <c r="BO78" s="1">
        <v>5993</v>
      </c>
      <c r="BP78" s="1">
        <v>6024</v>
      </c>
    </row>
    <row r="79" spans="1:68" ht="15.9" customHeight="1">
      <c r="A79" s="81" t="s">
        <v>153</v>
      </c>
      <c r="B79" s="17" t="s">
        <v>154</v>
      </c>
      <c r="C79" s="26" t="str">
        <f>_xll.RssMarket("6479","始値")</f>
        <v/>
      </c>
      <c r="D79" s="25" t="e">
        <f t="shared" si="2"/>
        <v>#VALUE!</v>
      </c>
      <c r="E79" s="22">
        <v>3970</v>
      </c>
      <c r="F79" s="22">
        <v>4177</v>
      </c>
      <c r="G79" s="22">
        <v>4125</v>
      </c>
      <c r="H79" s="22">
        <v>4350</v>
      </c>
      <c r="I79" s="22">
        <v>4440</v>
      </c>
      <c r="J79" s="22">
        <v>4422</v>
      </c>
      <c r="K79" s="22">
        <v>4274</v>
      </c>
      <c r="L79" s="22">
        <v>4473</v>
      </c>
      <c r="M79" s="22">
        <v>4918</v>
      </c>
      <c r="N79" s="22">
        <v>4695</v>
      </c>
      <c r="O79" s="22">
        <v>4800</v>
      </c>
      <c r="P79" s="22">
        <v>4826</v>
      </c>
      <c r="Q79" s="22">
        <v>4841</v>
      </c>
      <c r="R79" s="22">
        <v>4820</v>
      </c>
      <c r="S79" s="22">
        <v>5241</v>
      </c>
      <c r="T79" s="22">
        <v>5096</v>
      </c>
      <c r="U79" s="22">
        <v>4885</v>
      </c>
      <c r="V79" s="22">
        <v>5154</v>
      </c>
      <c r="W79" s="22">
        <v>4757</v>
      </c>
      <c r="X79" s="22">
        <v>4680</v>
      </c>
      <c r="Y79" s="22">
        <v>4648</v>
      </c>
      <c r="Z79" s="22">
        <v>4618</v>
      </c>
      <c r="AA79" s="22">
        <v>4570</v>
      </c>
      <c r="AB79" s="22">
        <v>4443</v>
      </c>
      <c r="AC79" s="22">
        <v>4408</v>
      </c>
      <c r="AD79" s="22">
        <v>4162</v>
      </c>
      <c r="AE79" s="22">
        <v>4511</v>
      </c>
      <c r="AF79" s="22">
        <v>4714</v>
      </c>
      <c r="AG79" s="22">
        <v>4828</v>
      </c>
      <c r="AH79" s="22">
        <v>4849</v>
      </c>
      <c r="AI79" s="22">
        <v>4809</v>
      </c>
      <c r="AJ79" s="22">
        <v>4651</v>
      </c>
      <c r="AK79" s="22">
        <v>4433</v>
      </c>
      <c r="AL79" s="22">
        <v>4166</v>
      </c>
      <c r="AM79" s="22">
        <v>4247</v>
      </c>
      <c r="AN79" s="22">
        <v>4060</v>
      </c>
      <c r="AO79" s="22">
        <v>3940</v>
      </c>
      <c r="AP79" s="22">
        <v>3799</v>
      </c>
      <c r="AQ79" s="22">
        <v>3869</v>
      </c>
      <c r="AR79" s="22">
        <v>3800</v>
      </c>
      <c r="AS79" s="22">
        <v>3955</v>
      </c>
      <c r="AT79" s="22">
        <v>4005</v>
      </c>
      <c r="AU79" s="22">
        <v>3950</v>
      </c>
      <c r="AV79" s="22">
        <v>3636</v>
      </c>
      <c r="AW79" s="22">
        <v>3527</v>
      </c>
      <c r="AX79" s="22">
        <v>3436</v>
      </c>
      <c r="AY79" s="22">
        <v>3300</v>
      </c>
      <c r="AZ79" s="22">
        <v>3178</v>
      </c>
      <c r="BA79" s="22">
        <v>3138</v>
      </c>
      <c r="BB79" s="22">
        <v>3079</v>
      </c>
      <c r="BC79" s="22">
        <v>3123</v>
      </c>
      <c r="BD79" s="22">
        <v>3120</v>
      </c>
      <c r="BE79" s="22">
        <v>3060</v>
      </c>
      <c r="BF79" s="22">
        <v>3110</v>
      </c>
      <c r="BG79" s="22">
        <v>3106</v>
      </c>
      <c r="BH79" s="22">
        <v>3112</v>
      </c>
      <c r="BI79" s="22">
        <v>3034</v>
      </c>
      <c r="BJ79" s="22">
        <v>3000</v>
      </c>
      <c r="BK79" s="22">
        <v>2908</v>
      </c>
      <c r="BL79" s="22">
        <v>2878.5</v>
      </c>
      <c r="BM79" s="1">
        <v>2910</v>
      </c>
      <c r="BN79" s="1">
        <v>2830.5</v>
      </c>
      <c r="BO79" s="1">
        <v>2735</v>
      </c>
      <c r="BP79" s="1">
        <v>2782</v>
      </c>
    </row>
    <row r="80" spans="1:68" ht="15.9" customHeight="1">
      <c r="A80" s="81" t="s">
        <v>155</v>
      </c>
      <c r="B80" s="17" t="s">
        <v>156</v>
      </c>
      <c r="C80" s="26" t="str">
        <f>_xll.RssMarket("1833","始値")</f>
        <v/>
      </c>
      <c r="D80" s="25" t="e">
        <f t="shared" si="2"/>
        <v>#VALUE!</v>
      </c>
      <c r="E80" s="22">
        <v>5630</v>
      </c>
      <c r="F80" s="22">
        <v>5670</v>
      </c>
      <c r="G80" s="22">
        <v>5600</v>
      </c>
      <c r="H80" s="22">
        <v>5640</v>
      </c>
      <c r="I80" s="22">
        <v>5720</v>
      </c>
      <c r="J80" s="22">
        <v>5680</v>
      </c>
      <c r="K80" s="22">
        <v>5750</v>
      </c>
      <c r="L80" s="22">
        <v>5800</v>
      </c>
      <c r="M80" s="22">
        <v>5740</v>
      </c>
      <c r="N80" s="22">
        <v>5720</v>
      </c>
      <c r="O80" s="22">
        <v>5680</v>
      </c>
      <c r="P80" s="22">
        <v>5660</v>
      </c>
      <c r="Q80" s="22">
        <v>5720</v>
      </c>
      <c r="R80" s="22">
        <v>5700</v>
      </c>
      <c r="S80" s="22">
        <v>5580</v>
      </c>
      <c r="T80" s="22">
        <v>5700</v>
      </c>
      <c r="U80" s="22">
        <v>5650</v>
      </c>
      <c r="V80" s="22">
        <v>5700</v>
      </c>
      <c r="W80" s="22">
        <v>5640</v>
      </c>
      <c r="X80" s="22">
        <v>5800</v>
      </c>
      <c r="Y80" s="22">
        <v>5740</v>
      </c>
      <c r="Z80" s="22">
        <v>5760</v>
      </c>
      <c r="AA80" s="22">
        <v>5790</v>
      </c>
      <c r="AB80" s="22">
        <v>5730</v>
      </c>
      <c r="AC80" s="22">
        <v>5610</v>
      </c>
      <c r="AD80" s="22">
        <v>5540</v>
      </c>
      <c r="AE80" s="22">
        <v>5520</v>
      </c>
      <c r="AF80" s="22">
        <v>5540</v>
      </c>
      <c r="AG80" s="22">
        <v>5550</v>
      </c>
      <c r="AH80" s="22">
        <v>5540</v>
      </c>
      <c r="AI80" s="22">
        <v>5550</v>
      </c>
      <c r="AJ80" s="22">
        <v>5600</v>
      </c>
      <c r="AK80" s="22">
        <v>5520</v>
      </c>
      <c r="AL80" s="22">
        <v>5630</v>
      </c>
      <c r="AM80" s="22">
        <v>5520</v>
      </c>
      <c r="AN80" s="22">
        <v>5610</v>
      </c>
      <c r="AO80" s="22">
        <v>5700</v>
      </c>
      <c r="AP80" s="22">
        <v>5730</v>
      </c>
      <c r="AQ80" s="22">
        <v>5680</v>
      </c>
      <c r="AR80" s="22">
        <v>5790</v>
      </c>
      <c r="AS80" s="22">
        <v>5980</v>
      </c>
      <c r="AT80" s="22">
        <v>6160</v>
      </c>
      <c r="AU80" s="22">
        <v>6320</v>
      </c>
      <c r="AV80" s="22">
        <v>6210</v>
      </c>
      <c r="AW80" s="22">
        <v>6050</v>
      </c>
      <c r="AX80" s="22">
        <v>6130</v>
      </c>
      <c r="AY80" s="22">
        <v>6250</v>
      </c>
      <c r="AZ80" s="22">
        <v>6150</v>
      </c>
      <c r="BA80" s="22">
        <v>6080</v>
      </c>
      <c r="BB80" s="22">
        <v>6000</v>
      </c>
      <c r="BC80" s="22">
        <v>5950</v>
      </c>
      <c r="BD80" s="22">
        <v>6150</v>
      </c>
      <c r="BE80" s="22">
        <v>5980</v>
      </c>
      <c r="BF80" s="22">
        <v>6080</v>
      </c>
      <c r="BG80" s="22">
        <v>6120</v>
      </c>
      <c r="BH80" s="22">
        <v>6150</v>
      </c>
      <c r="BI80" s="22">
        <v>6200</v>
      </c>
      <c r="BJ80" s="22">
        <v>6230</v>
      </c>
      <c r="BK80" s="22">
        <v>6280</v>
      </c>
      <c r="BL80" s="22">
        <v>6250</v>
      </c>
      <c r="BM80" s="1">
        <v>6270</v>
      </c>
      <c r="BN80" s="1">
        <v>6430</v>
      </c>
      <c r="BO80" s="1">
        <v>6540</v>
      </c>
      <c r="BP80" s="1">
        <v>6510</v>
      </c>
    </row>
    <row r="81" spans="1:68" ht="15.9" customHeight="1">
      <c r="A81" s="81" t="s">
        <v>157</v>
      </c>
      <c r="B81" s="17" t="s">
        <v>158</v>
      </c>
      <c r="C81" s="26" t="str">
        <f>_xll.RssMarket("6841","始値")</f>
        <v/>
      </c>
      <c r="D81" s="25" t="e">
        <f t="shared" si="2"/>
        <v>#VALUE!</v>
      </c>
      <c r="E81" s="22">
        <v>5331</v>
      </c>
      <c r="F81" s="22">
        <v>5528</v>
      </c>
      <c r="G81" s="22">
        <v>5497</v>
      </c>
      <c r="H81" s="22">
        <v>5586</v>
      </c>
      <c r="I81" s="22">
        <v>5475</v>
      </c>
      <c r="J81" s="22">
        <v>5404</v>
      </c>
      <c r="K81" s="22">
        <v>5590</v>
      </c>
      <c r="L81" s="22">
        <v>5816</v>
      </c>
      <c r="M81" s="22">
        <v>5900</v>
      </c>
      <c r="N81" s="22">
        <v>5530</v>
      </c>
      <c r="O81" s="22">
        <v>5514</v>
      </c>
      <c r="P81" s="22">
        <v>5700</v>
      </c>
      <c r="Q81" s="22">
        <v>5694</v>
      </c>
      <c r="R81" s="22">
        <v>5574</v>
      </c>
      <c r="S81" s="22">
        <v>5500</v>
      </c>
      <c r="T81" s="22">
        <v>5620</v>
      </c>
      <c r="U81" s="22">
        <v>5835</v>
      </c>
      <c r="V81" s="22">
        <v>5432</v>
      </c>
      <c r="W81" s="22">
        <v>5425</v>
      </c>
      <c r="X81" s="22">
        <v>5398</v>
      </c>
      <c r="Y81" s="22">
        <v>5151</v>
      </c>
      <c r="Z81" s="22">
        <v>5214</v>
      </c>
      <c r="AA81" s="22">
        <v>5110</v>
      </c>
      <c r="AB81" s="22">
        <v>5046</v>
      </c>
      <c r="AC81" s="22">
        <v>4707</v>
      </c>
      <c r="AD81" s="22">
        <v>4893</v>
      </c>
      <c r="AE81" s="22">
        <v>5057</v>
      </c>
      <c r="AF81" s="22">
        <v>5339</v>
      </c>
      <c r="AG81" s="22">
        <v>5380</v>
      </c>
      <c r="AH81" s="22">
        <v>5220</v>
      </c>
      <c r="AI81" s="22">
        <v>5097</v>
      </c>
      <c r="AJ81" s="22">
        <v>4877</v>
      </c>
      <c r="AK81" s="22">
        <v>4920</v>
      </c>
      <c r="AL81" s="22">
        <v>4928</v>
      </c>
      <c r="AM81" s="22">
        <v>4913</v>
      </c>
      <c r="AN81" s="22">
        <v>4841</v>
      </c>
      <c r="AO81" s="22">
        <v>4750</v>
      </c>
      <c r="AP81" s="22">
        <v>4704</v>
      </c>
      <c r="AQ81" s="22">
        <v>4905</v>
      </c>
      <c r="AR81" s="22">
        <v>4970</v>
      </c>
      <c r="AS81" s="22">
        <v>5141</v>
      </c>
      <c r="AT81" s="22">
        <v>5318</v>
      </c>
      <c r="AU81" s="22">
        <v>5180</v>
      </c>
      <c r="AV81" s="22">
        <v>5312</v>
      </c>
      <c r="AW81" s="22">
        <v>5250</v>
      </c>
      <c r="AX81" s="22">
        <v>5434</v>
      </c>
      <c r="AY81" s="22">
        <v>5554</v>
      </c>
      <c r="AZ81" s="22">
        <v>5432</v>
      </c>
      <c r="BA81" s="22">
        <v>5419</v>
      </c>
      <c r="BB81" s="22">
        <v>5390</v>
      </c>
      <c r="BC81" s="22">
        <v>5294</v>
      </c>
      <c r="BD81" s="22">
        <v>5269</v>
      </c>
      <c r="BE81" s="22">
        <v>5412</v>
      </c>
      <c r="BF81" s="22">
        <v>5578</v>
      </c>
      <c r="BG81" s="22">
        <v>5516</v>
      </c>
      <c r="BH81" s="22">
        <v>5474</v>
      </c>
      <c r="BI81" s="22">
        <v>5463</v>
      </c>
      <c r="BJ81" s="22">
        <v>5416</v>
      </c>
      <c r="BK81" s="22">
        <v>5612</v>
      </c>
      <c r="BL81" s="22">
        <v>5702</v>
      </c>
      <c r="BM81" s="1">
        <v>5553</v>
      </c>
      <c r="BN81" s="1">
        <v>5660</v>
      </c>
      <c r="BO81" s="1">
        <v>5476</v>
      </c>
      <c r="BP81" s="1">
        <v>5255</v>
      </c>
    </row>
    <row r="82" spans="1:68" ht="15.9" customHeight="1">
      <c r="A82" s="81" t="s">
        <v>159</v>
      </c>
      <c r="B82" s="17" t="s">
        <v>160</v>
      </c>
      <c r="C82" s="26" t="str">
        <f>_xll.RssMarket("7167","始値")</f>
        <v/>
      </c>
      <c r="D82" s="25" t="e">
        <f t="shared" si="2"/>
        <v>#VALUE!</v>
      </c>
      <c r="E82" s="22">
        <v>1500</v>
      </c>
      <c r="F82" s="22">
        <v>1515</v>
      </c>
      <c r="G82" s="22">
        <v>1501</v>
      </c>
      <c r="H82" s="22">
        <v>1537</v>
      </c>
      <c r="I82" s="22">
        <v>1575</v>
      </c>
      <c r="J82" s="22">
        <v>1540</v>
      </c>
      <c r="K82" s="22">
        <v>1531</v>
      </c>
      <c r="L82" s="22">
        <v>1568.5</v>
      </c>
      <c r="M82" s="22">
        <v>1513.5</v>
      </c>
      <c r="N82" s="22">
        <v>1498</v>
      </c>
      <c r="O82" s="22">
        <v>1469</v>
      </c>
      <c r="P82" s="22">
        <v>1425</v>
      </c>
      <c r="Q82" s="22">
        <v>1420</v>
      </c>
      <c r="R82" s="22">
        <v>1417.5</v>
      </c>
      <c r="S82" s="22">
        <v>1390</v>
      </c>
      <c r="T82" s="22">
        <v>1411</v>
      </c>
      <c r="U82" s="22">
        <v>1410.5</v>
      </c>
      <c r="V82" s="22">
        <v>1443.5</v>
      </c>
      <c r="W82" s="22">
        <v>1392.5</v>
      </c>
      <c r="X82" s="22">
        <v>1439</v>
      </c>
      <c r="Y82" s="22">
        <v>1418.5</v>
      </c>
      <c r="Z82" s="22">
        <v>1429</v>
      </c>
      <c r="AA82" s="22">
        <v>1410</v>
      </c>
      <c r="AB82" s="22">
        <v>1432</v>
      </c>
      <c r="AC82" s="22">
        <v>1399.5</v>
      </c>
      <c r="AD82" s="22">
        <v>1362</v>
      </c>
      <c r="AE82" s="22">
        <v>1400</v>
      </c>
      <c r="AF82" s="22">
        <v>1327.5</v>
      </c>
      <c r="AG82" s="22">
        <v>1361</v>
      </c>
      <c r="AH82" s="22">
        <v>1293.5</v>
      </c>
      <c r="AI82" s="22">
        <v>1325</v>
      </c>
      <c r="AJ82" s="22">
        <v>1277.5</v>
      </c>
      <c r="AK82" s="22">
        <v>1350</v>
      </c>
      <c r="AL82" s="22">
        <v>1371.5</v>
      </c>
      <c r="AM82" s="22">
        <v>1377.5</v>
      </c>
      <c r="AN82" s="22">
        <v>1396</v>
      </c>
      <c r="AO82" s="22">
        <v>1422</v>
      </c>
      <c r="AP82" s="22">
        <v>1407</v>
      </c>
      <c r="AQ82" s="22">
        <v>1395.5</v>
      </c>
      <c r="AR82" s="22">
        <v>1387</v>
      </c>
      <c r="AS82" s="22">
        <v>1378.5</v>
      </c>
      <c r="AT82" s="22">
        <v>1385</v>
      </c>
      <c r="AU82" s="22">
        <v>1364.5</v>
      </c>
      <c r="AV82" s="22">
        <v>1363</v>
      </c>
      <c r="AW82" s="22">
        <v>1350</v>
      </c>
      <c r="AX82" s="22">
        <v>1303</v>
      </c>
      <c r="AY82" s="22">
        <v>1316</v>
      </c>
      <c r="AZ82" s="22">
        <v>1345</v>
      </c>
      <c r="BA82" s="22">
        <v>1295.5</v>
      </c>
      <c r="BB82" s="22">
        <v>1296</v>
      </c>
      <c r="BC82" s="22">
        <v>1249.5</v>
      </c>
      <c r="BD82" s="22">
        <v>1206</v>
      </c>
      <c r="BE82" s="22">
        <v>1235.5</v>
      </c>
      <c r="BF82" s="22">
        <v>1232</v>
      </c>
      <c r="BG82" s="22">
        <v>1281.5</v>
      </c>
      <c r="BH82" s="22">
        <v>1317.5</v>
      </c>
      <c r="BI82" s="22">
        <v>1353</v>
      </c>
      <c r="BJ82" s="22">
        <v>1354</v>
      </c>
      <c r="BK82" s="22">
        <v>1363.5</v>
      </c>
      <c r="BL82" s="22">
        <v>1360</v>
      </c>
      <c r="BM82" s="1">
        <v>1349</v>
      </c>
      <c r="BN82" s="1">
        <v>1345</v>
      </c>
      <c r="BO82" s="1">
        <v>1356</v>
      </c>
      <c r="BP82" s="1">
        <v>1351.5</v>
      </c>
    </row>
    <row r="83" spans="1:68" ht="15.9" customHeight="1">
      <c r="A83" s="81" t="s">
        <v>161</v>
      </c>
      <c r="B83" s="17" t="s">
        <v>162</v>
      </c>
      <c r="C83" s="26" t="str">
        <f>_xll.RssMarket("1925","始値")</f>
        <v/>
      </c>
      <c r="D83" s="25" t="e">
        <f t="shared" si="2"/>
        <v>#VALUE!</v>
      </c>
      <c r="E83" s="22">
        <v>4637</v>
      </c>
      <c r="F83" s="22">
        <v>4610</v>
      </c>
      <c r="G83" s="22">
        <v>4555</v>
      </c>
      <c r="H83" s="22">
        <v>4523</v>
      </c>
      <c r="I83" s="22">
        <v>4568</v>
      </c>
      <c r="J83" s="22">
        <v>4490</v>
      </c>
      <c r="K83" s="22">
        <v>4594</v>
      </c>
      <c r="L83" s="22">
        <v>4555</v>
      </c>
      <c r="M83" s="22">
        <v>4505</v>
      </c>
      <c r="N83" s="22">
        <v>4530</v>
      </c>
      <c r="O83" s="22">
        <v>4425</v>
      </c>
      <c r="P83" s="22">
        <v>4400</v>
      </c>
      <c r="Q83" s="22">
        <v>4488</v>
      </c>
      <c r="R83" s="22">
        <v>4428</v>
      </c>
      <c r="S83" s="22">
        <v>4363</v>
      </c>
      <c r="T83" s="22">
        <v>4386</v>
      </c>
      <c r="U83" s="22">
        <v>4318</v>
      </c>
      <c r="V83" s="22">
        <v>4308</v>
      </c>
      <c r="W83" s="22">
        <v>4257</v>
      </c>
      <c r="X83" s="22">
        <v>4320</v>
      </c>
      <c r="Y83" s="22">
        <v>4366</v>
      </c>
      <c r="Z83" s="22">
        <v>4400</v>
      </c>
      <c r="AA83" s="22">
        <v>4336</v>
      </c>
      <c r="AB83" s="22">
        <v>4351</v>
      </c>
      <c r="AC83" s="22">
        <v>4324</v>
      </c>
      <c r="AD83" s="22">
        <v>4349</v>
      </c>
      <c r="AE83" s="22">
        <v>4317</v>
      </c>
      <c r="AF83" s="22">
        <v>4188</v>
      </c>
      <c r="AG83" s="22">
        <v>4241</v>
      </c>
      <c r="AH83" s="22">
        <v>4218</v>
      </c>
      <c r="AI83" s="22">
        <v>4179</v>
      </c>
      <c r="AJ83" s="22">
        <v>4168</v>
      </c>
      <c r="AK83" s="22">
        <v>4402</v>
      </c>
      <c r="AL83" s="22">
        <v>4396</v>
      </c>
      <c r="AM83" s="22">
        <v>4400</v>
      </c>
      <c r="AN83" s="22">
        <v>4445</v>
      </c>
      <c r="AO83" s="22">
        <v>4463</v>
      </c>
      <c r="AP83" s="22">
        <v>4504</v>
      </c>
      <c r="AQ83" s="22">
        <v>4544</v>
      </c>
      <c r="AR83" s="22">
        <v>4510</v>
      </c>
      <c r="AS83" s="22">
        <v>4543</v>
      </c>
      <c r="AT83" s="22">
        <v>4532</v>
      </c>
      <c r="AU83" s="22">
        <v>4649</v>
      </c>
      <c r="AV83" s="22">
        <v>4770</v>
      </c>
      <c r="AW83" s="22">
        <v>4760</v>
      </c>
      <c r="AX83" s="22">
        <v>4746</v>
      </c>
      <c r="AY83" s="22">
        <v>4834</v>
      </c>
      <c r="AZ83" s="22">
        <v>4750</v>
      </c>
      <c r="BA83" s="22">
        <v>4766</v>
      </c>
      <c r="BB83" s="22">
        <v>4813</v>
      </c>
      <c r="BC83" s="22">
        <v>4821</v>
      </c>
      <c r="BD83" s="22">
        <v>4765</v>
      </c>
      <c r="BE83" s="22">
        <v>4810</v>
      </c>
      <c r="BF83" s="22">
        <v>4849</v>
      </c>
      <c r="BG83" s="22">
        <v>4890</v>
      </c>
      <c r="BH83" s="22">
        <v>4912</v>
      </c>
      <c r="BI83" s="22">
        <v>4901</v>
      </c>
      <c r="BJ83" s="22">
        <v>4900</v>
      </c>
      <c r="BK83" s="22">
        <v>4925</v>
      </c>
      <c r="BL83" s="22">
        <v>4880</v>
      </c>
      <c r="BM83" s="1">
        <v>4919</v>
      </c>
      <c r="BN83" s="1">
        <v>4949</v>
      </c>
      <c r="BO83" s="1">
        <v>4988</v>
      </c>
      <c r="BP83" s="1">
        <v>5074</v>
      </c>
    </row>
    <row r="84" spans="1:68" ht="15.9" customHeight="1">
      <c r="A84" s="81" t="s">
        <v>163</v>
      </c>
      <c r="B84" s="17" t="s">
        <v>164</v>
      </c>
      <c r="C84" s="26" t="str">
        <f>_xll.RssMarket("5411","始値")</f>
        <v/>
      </c>
      <c r="D84" s="25" t="e">
        <f t="shared" si="2"/>
        <v>#VALUE!</v>
      </c>
      <c r="E84" s="22">
        <v>1689</v>
      </c>
      <c r="F84" s="22">
        <v>1678</v>
      </c>
      <c r="G84" s="22">
        <v>1635</v>
      </c>
      <c r="H84" s="22">
        <v>1640.5</v>
      </c>
      <c r="I84" s="22">
        <v>1623</v>
      </c>
      <c r="J84" s="22">
        <v>1638</v>
      </c>
      <c r="K84" s="22">
        <v>1650.5</v>
      </c>
      <c r="L84" s="22">
        <v>1662.5</v>
      </c>
      <c r="M84" s="22">
        <v>1619</v>
      </c>
      <c r="N84" s="22">
        <v>1595.5</v>
      </c>
      <c r="O84" s="22">
        <v>1559</v>
      </c>
      <c r="P84" s="22">
        <v>1567</v>
      </c>
      <c r="Q84" s="22">
        <v>1570</v>
      </c>
      <c r="R84" s="22">
        <v>1552</v>
      </c>
      <c r="S84" s="22">
        <v>1556</v>
      </c>
      <c r="T84" s="22">
        <v>1573</v>
      </c>
      <c r="U84" s="22">
        <v>1565.5</v>
      </c>
      <c r="V84" s="22">
        <v>1600.5</v>
      </c>
      <c r="W84" s="22">
        <v>1610</v>
      </c>
      <c r="X84" s="22">
        <v>1635</v>
      </c>
      <c r="Y84" s="22">
        <v>1631.5</v>
      </c>
      <c r="Z84" s="22">
        <v>1652</v>
      </c>
      <c r="AA84" s="22">
        <v>1656.5</v>
      </c>
      <c r="AB84" s="22">
        <v>1633</v>
      </c>
      <c r="AC84" s="22">
        <v>1600</v>
      </c>
      <c r="AD84" s="22">
        <v>1577</v>
      </c>
      <c r="AE84" s="22">
        <v>1570</v>
      </c>
      <c r="AF84" s="22">
        <v>1603.5</v>
      </c>
      <c r="AG84" s="22">
        <v>1611</v>
      </c>
      <c r="AH84" s="22">
        <v>1594.5</v>
      </c>
      <c r="AI84" s="22">
        <v>1608</v>
      </c>
      <c r="AJ84" s="22">
        <v>1613</v>
      </c>
      <c r="AK84" s="22">
        <v>1694</v>
      </c>
      <c r="AL84" s="22">
        <v>1685</v>
      </c>
      <c r="AM84" s="22">
        <v>1650.5</v>
      </c>
      <c r="AN84" s="22">
        <v>1651</v>
      </c>
      <c r="AO84" s="22">
        <v>1657</v>
      </c>
      <c r="AP84" s="22">
        <v>1668.5</v>
      </c>
      <c r="AQ84" s="22">
        <v>1663</v>
      </c>
      <c r="AR84" s="22">
        <v>1670</v>
      </c>
      <c r="AS84" s="22">
        <v>1683</v>
      </c>
      <c r="AT84" s="22">
        <v>1724</v>
      </c>
      <c r="AU84" s="22">
        <v>1700</v>
      </c>
      <c r="AV84" s="22">
        <v>1675.5</v>
      </c>
      <c r="AW84" s="22">
        <v>1747</v>
      </c>
      <c r="AX84" s="22">
        <v>1723.5</v>
      </c>
      <c r="AY84" s="22">
        <v>1740.5</v>
      </c>
      <c r="AZ84" s="22">
        <v>1714</v>
      </c>
      <c r="BA84" s="22">
        <v>1690</v>
      </c>
      <c r="BB84" s="22">
        <v>1681</v>
      </c>
      <c r="BC84" s="22">
        <v>1690</v>
      </c>
      <c r="BD84" s="22">
        <v>1703.5</v>
      </c>
      <c r="BE84" s="22">
        <v>1724</v>
      </c>
      <c r="BF84" s="22">
        <v>1745</v>
      </c>
      <c r="BG84" s="22">
        <v>1765</v>
      </c>
      <c r="BH84" s="22">
        <v>1803.5</v>
      </c>
      <c r="BI84" s="22">
        <v>1820</v>
      </c>
      <c r="BJ84" s="22">
        <v>1821</v>
      </c>
      <c r="BK84" s="22">
        <v>1825</v>
      </c>
      <c r="BL84" s="22">
        <v>1859.5</v>
      </c>
      <c r="BM84" s="1">
        <v>1854.5</v>
      </c>
      <c r="BN84" s="1">
        <v>1866.5</v>
      </c>
      <c r="BO84" s="1">
        <v>1882.5</v>
      </c>
      <c r="BP84" s="1">
        <v>1851</v>
      </c>
    </row>
    <row r="85" spans="1:68" ht="15.9" customHeight="1">
      <c r="A85" s="81" t="s">
        <v>165</v>
      </c>
      <c r="B85" s="17" t="s">
        <v>166</v>
      </c>
      <c r="C85" s="26" t="str">
        <f>_xll.RssMarket("7182","始値")</f>
        <v/>
      </c>
      <c r="D85" s="25" t="e">
        <f t="shared" si="2"/>
        <v>#VALUE!</v>
      </c>
      <c r="E85" s="22">
        <v>3230</v>
      </c>
      <c r="F85" s="22">
        <v>3335</v>
      </c>
      <c r="G85" s="22">
        <v>3254</v>
      </c>
      <c r="H85" s="22">
        <v>3290</v>
      </c>
      <c r="I85" s="22">
        <v>3306</v>
      </c>
      <c r="J85" s="22">
        <v>3287</v>
      </c>
      <c r="K85" s="22">
        <v>3307</v>
      </c>
      <c r="L85" s="22">
        <v>3340</v>
      </c>
      <c r="M85" s="22">
        <v>3220</v>
      </c>
      <c r="N85" s="22">
        <v>3200</v>
      </c>
      <c r="O85" s="22">
        <v>3116</v>
      </c>
      <c r="P85" s="22">
        <v>3090</v>
      </c>
      <c r="Q85" s="22">
        <v>3114</v>
      </c>
      <c r="R85" s="22">
        <v>3069</v>
      </c>
      <c r="S85" s="22">
        <v>3060</v>
      </c>
      <c r="T85" s="22">
        <v>3084</v>
      </c>
      <c r="U85" s="22">
        <v>3239</v>
      </c>
      <c r="V85" s="22">
        <v>3291</v>
      </c>
      <c r="W85" s="22">
        <v>3194</v>
      </c>
      <c r="X85" s="22">
        <v>3263</v>
      </c>
      <c r="Y85" s="22">
        <v>3234</v>
      </c>
      <c r="Z85" s="22">
        <v>3188</v>
      </c>
      <c r="AA85" s="22">
        <v>3165</v>
      </c>
      <c r="AB85" s="22">
        <v>3250</v>
      </c>
      <c r="AC85" s="22">
        <v>3164</v>
      </c>
      <c r="AD85" s="22">
        <v>3085</v>
      </c>
      <c r="AE85" s="22">
        <v>3188</v>
      </c>
      <c r="AF85" s="22">
        <v>3106</v>
      </c>
      <c r="AG85" s="22">
        <v>3238</v>
      </c>
      <c r="AH85" s="22">
        <v>3180</v>
      </c>
      <c r="AI85" s="22">
        <v>3136</v>
      </c>
      <c r="AJ85" s="22">
        <v>2985</v>
      </c>
      <c r="AK85" s="22">
        <v>3000</v>
      </c>
      <c r="AL85" s="22">
        <v>2951</v>
      </c>
      <c r="AM85" s="22">
        <v>3020</v>
      </c>
      <c r="AN85" s="22">
        <v>3087</v>
      </c>
      <c r="AO85" s="22">
        <v>3200</v>
      </c>
      <c r="AP85" s="22">
        <v>3150</v>
      </c>
      <c r="AQ85" s="22">
        <v>3165</v>
      </c>
      <c r="AR85" s="22">
        <v>2995</v>
      </c>
      <c r="AS85" s="22">
        <v>2860</v>
      </c>
      <c r="AT85" s="22">
        <v>2823.5</v>
      </c>
      <c r="AU85" s="22">
        <v>2849.5</v>
      </c>
      <c r="AV85" s="22">
        <v>2821.5</v>
      </c>
      <c r="AW85" s="22">
        <v>2846.5</v>
      </c>
      <c r="AX85" s="22">
        <v>2739.5</v>
      </c>
      <c r="AY85" s="22">
        <v>2767</v>
      </c>
      <c r="AZ85" s="22">
        <v>2760</v>
      </c>
      <c r="BA85" s="22">
        <v>2700</v>
      </c>
      <c r="BB85" s="22">
        <v>2697.5</v>
      </c>
      <c r="BC85" s="22">
        <v>2562.5</v>
      </c>
      <c r="BD85" s="22">
        <v>2475</v>
      </c>
      <c r="BE85" s="22">
        <v>2529.5</v>
      </c>
      <c r="BF85" s="22">
        <v>2530</v>
      </c>
      <c r="BG85" s="22">
        <v>2600</v>
      </c>
      <c r="BH85" s="22">
        <v>2709</v>
      </c>
      <c r="BI85" s="22">
        <v>2752.5</v>
      </c>
      <c r="BJ85" s="22">
        <v>2795</v>
      </c>
      <c r="BK85" s="22">
        <v>2788</v>
      </c>
      <c r="BL85" s="22">
        <v>2774.5</v>
      </c>
      <c r="BM85" s="1">
        <v>2745</v>
      </c>
      <c r="BN85" s="1">
        <v>2695</v>
      </c>
      <c r="BO85" s="1">
        <v>2719</v>
      </c>
      <c r="BP85" s="1">
        <v>2808</v>
      </c>
    </row>
    <row r="86" spans="1:68" ht="15.9" customHeight="1">
      <c r="A86" s="81" t="s">
        <v>167</v>
      </c>
      <c r="B86" s="17" t="s">
        <v>168</v>
      </c>
      <c r="C86" s="26" t="str">
        <f>_xll.RssMarket("1963","始値")</f>
        <v/>
      </c>
      <c r="D86" s="25" t="e">
        <f t="shared" si="2"/>
        <v>#VALUE!</v>
      </c>
      <c r="E86" s="22">
        <v>2220</v>
      </c>
      <c r="F86" s="22">
        <v>2310</v>
      </c>
      <c r="G86" s="22">
        <v>2305</v>
      </c>
      <c r="H86" s="22">
        <v>2368</v>
      </c>
      <c r="I86" s="22">
        <v>2356</v>
      </c>
      <c r="J86" s="22">
        <v>2343</v>
      </c>
      <c r="K86" s="22">
        <v>2450</v>
      </c>
      <c r="L86" s="22">
        <v>2558</v>
      </c>
      <c r="M86" s="22">
        <v>2540</v>
      </c>
      <c r="N86" s="22">
        <v>2520</v>
      </c>
      <c r="O86" s="22">
        <v>2486.5</v>
      </c>
      <c r="P86" s="22">
        <v>2508.5</v>
      </c>
      <c r="Q86" s="22">
        <v>2589.5</v>
      </c>
      <c r="R86" s="22">
        <v>2563</v>
      </c>
      <c r="S86" s="22">
        <v>2530.5</v>
      </c>
      <c r="T86" s="22">
        <v>2603</v>
      </c>
      <c r="U86" s="22">
        <v>2574</v>
      </c>
      <c r="V86" s="22">
        <v>2651</v>
      </c>
      <c r="W86" s="22">
        <v>2608</v>
      </c>
      <c r="X86" s="22">
        <v>2780</v>
      </c>
      <c r="Y86" s="22">
        <v>2783.5</v>
      </c>
      <c r="Z86" s="22">
        <v>2680</v>
      </c>
      <c r="AA86" s="22">
        <v>2698</v>
      </c>
      <c r="AB86" s="22">
        <v>2700</v>
      </c>
      <c r="AC86" s="22">
        <v>2555.5</v>
      </c>
      <c r="AD86" s="22">
        <v>2470</v>
      </c>
      <c r="AE86" s="22">
        <v>2539.5</v>
      </c>
      <c r="AF86" s="22">
        <v>2595.5</v>
      </c>
      <c r="AG86" s="22">
        <v>2605.5</v>
      </c>
      <c r="AH86" s="22">
        <v>2641.5</v>
      </c>
      <c r="AI86" s="22">
        <v>2627</v>
      </c>
      <c r="AJ86" s="22">
        <v>2635.5</v>
      </c>
      <c r="AK86" s="22">
        <v>2669.5</v>
      </c>
      <c r="AL86" s="22">
        <v>2853</v>
      </c>
      <c r="AM86" s="22">
        <v>2843.5</v>
      </c>
      <c r="AN86" s="22">
        <v>2781.5</v>
      </c>
      <c r="AO86" s="22">
        <v>2683</v>
      </c>
      <c r="AP86" s="22">
        <v>2685</v>
      </c>
      <c r="AQ86" s="22">
        <v>2646</v>
      </c>
      <c r="AR86" s="22">
        <v>2600</v>
      </c>
      <c r="AS86" s="22">
        <v>2699</v>
      </c>
      <c r="AT86" s="22">
        <v>2680</v>
      </c>
      <c r="AU86" s="22">
        <v>2451.5</v>
      </c>
      <c r="AV86" s="22">
        <v>2409.5</v>
      </c>
      <c r="AW86" s="22">
        <v>2418</v>
      </c>
      <c r="AX86" s="22">
        <v>2521</v>
      </c>
      <c r="AY86" s="22">
        <v>2508.5</v>
      </c>
      <c r="AZ86" s="22">
        <v>2409.5</v>
      </c>
      <c r="BA86" s="22">
        <v>2398</v>
      </c>
      <c r="BB86" s="22">
        <v>2412</v>
      </c>
      <c r="BC86" s="22">
        <v>2389</v>
      </c>
      <c r="BD86" s="22">
        <v>2325</v>
      </c>
      <c r="BE86" s="22">
        <v>2396.5</v>
      </c>
      <c r="BF86" s="22">
        <v>2300.5</v>
      </c>
      <c r="BG86" s="22">
        <v>2355.5</v>
      </c>
      <c r="BH86" s="22">
        <v>2430</v>
      </c>
      <c r="BI86" s="22">
        <v>2527</v>
      </c>
      <c r="BJ86" s="22">
        <v>2544.5</v>
      </c>
      <c r="BK86" s="22">
        <v>2538</v>
      </c>
      <c r="BL86" s="22">
        <v>2680</v>
      </c>
      <c r="BM86" s="1">
        <v>2709</v>
      </c>
      <c r="BN86" s="1">
        <v>2746.5</v>
      </c>
      <c r="BO86" s="1">
        <v>2840</v>
      </c>
      <c r="BP86" s="1">
        <v>2704.5</v>
      </c>
    </row>
    <row r="87" spans="1:68" ht="15.9" customHeight="1">
      <c r="A87" s="81" t="s">
        <v>169</v>
      </c>
      <c r="B87" s="17" t="s">
        <v>170</v>
      </c>
      <c r="C87" s="26" t="str">
        <f>_xll.RssMarket("2914","始値")</f>
        <v/>
      </c>
      <c r="D87" s="25" t="e">
        <f t="shared" si="2"/>
        <v>#VALUE!</v>
      </c>
      <c r="E87" s="22">
        <v>6249</v>
      </c>
      <c r="F87" s="22">
        <v>6140</v>
      </c>
      <c r="G87" s="22">
        <v>6175</v>
      </c>
      <c r="H87" s="22">
        <v>6120</v>
      </c>
      <c r="I87" s="22">
        <v>6206</v>
      </c>
      <c r="J87" s="22">
        <v>6190</v>
      </c>
      <c r="K87" s="22">
        <v>6203</v>
      </c>
      <c r="L87" s="22">
        <v>6146</v>
      </c>
      <c r="M87" s="22">
        <v>6093</v>
      </c>
      <c r="N87" s="22">
        <v>6100</v>
      </c>
      <c r="O87" s="22">
        <v>6012</v>
      </c>
      <c r="P87" s="22">
        <v>5998</v>
      </c>
      <c r="Q87" s="22">
        <v>5985</v>
      </c>
      <c r="R87" s="22">
        <v>5950</v>
      </c>
      <c r="S87" s="22">
        <v>5967</v>
      </c>
      <c r="T87" s="22">
        <v>5974</v>
      </c>
      <c r="U87" s="22">
        <v>6028</v>
      </c>
      <c r="V87" s="22">
        <v>6066</v>
      </c>
      <c r="W87" s="22">
        <v>6064</v>
      </c>
      <c r="X87" s="22">
        <v>6133</v>
      </c>
      <c r="Y87" s="22">
        <v>6074</v>
      </c>
      <c r="Z87" s="22">
        <v>6200</v>
      </c>
      <c r="AA87" s="22">
        <v>6350</v>
      </c>
      <c r="AB87" s="22">
        <v>6230</v>
      </c>
      <c r="AC87" s="22">
        <v>6128</v>
      </c>
      <c r="AD87" s="22">
        <v>6032</v>
      </c>
      <c r="AE87" s="22">
        <v>6025</v>
      </c>
      <c r="AF87" s="22">
        <v>6103</v>
      </c>
      <c r="AG87" s="22">
        <v>6100</v>
      </c>
      <c r="AH87" s="22">
        <v>6048</v>
      </c>
      <c r="AI87" s="22">
        <v>6100</v>
      </c>
      <c r="AJ87" s="22">
        <v>6144</v>
      </c>
      <c r="AK87" s="22">
        <v>6080</v>
      </c>
      <c r="AL87" s="22">
        <v>6100</v>
      </c>
      <c r="AM87" s="22">
        <v>6218</v>
      </c>
      <c r="AN87" s="22">
        <v>6320</v>
      </c>
      <c r="AO87" s="22">
        <v>6420</v>
      </c>
      <c r="AP87" s="22">
        <v>6343</v>
      </c>
      <c r="AQ87" s="22">
        <v>6330</v>
      </c>
      <c r="AR87" s="22">
        <v>6250</v>
      </c>
      <c r="AS87" s="22">
        <v>6204</v>
      </c>
      <c r="AT87" s="22">
        <v>6090</v>
      </c>
      <c r="AU87" s="22">
        <v>6120</v>
      </c>
      <c r="AV87" s="22">
        <v>6000</v>
      </c>
      <c r="AW87" s="22">
        <v>5852</v>
      </c>
      <c r="AX87" s="22">
        <v>5896</v>
      </c>
      <c r="AY87" s="22">
        <v>5818</v>
      </c>
      <c r="AZ87" s="22">
        <v>5780</v>
      </c>
      <c r="BA87" s="22">
        <v>5750</v>
      </c>
      <c r="BB87" s="22">
        <v>5760</v>
      </c>
      <c r="BC87" s="22">
        <v>5885</v>
      </c>
      <c r="BD87" s="22">
        <v>5728</v>
      </c>
      <c r="BE87" s="22">
        <v>5707</v>
      </c>
      <c r="BF87" s="22">
        <v>5800</v>
      </c>
      <c r="BG87" s="22">
        <v>5830</v>
      </c>
      <c r="BH87" s="22">
        <v>5847</v>
      </c>
      <c r="BI87" s="22">
        <v>5870</v>
      </c>
      <c r="BJ87" s="22">
        <v>5912</v>
      </c>
      <c r="BK87" s="22">
        <v>5950</v>
      </c>
      <c r="BL87" s="22">
        <v>5993</v>
      </c>
      <c r="BM87" s="1">
        <v>6034</v>
      </c>
      <c r="BN87" s="1">
        <v>6065</v>
      </c>
      <c r="BO87" s="1">
        <v>6175</v>
      </c>
      <c r="BP87" s="1">
        <v>6135</v>
      </c>
    </row>
    <row r="88" spans="1:68" ht="15.9" customHeight="1">
      <c r="A88" s="81" t="s">
        <v>171</v>
      </c>
      <c r="B88" s="17" t="s">
        <v>172</v>
      </c>
      <c r="C88" s="26" t="str">
        <f>_xll.RssMarket("3003","始値")</f>
        <v/>
      </c>
      <c r="D88" s="25" t="e">
        <f t="shared" si="2"/>
        <v>#VALUE!</v>
      </c>
      <c r="E88" s="22">
        <v>1808</v>
      </c>
      <c r="F88" s="22">
        <v>1795</v>
      </c>
      <c r="G88" s="22">
        <v>1754</v>
      </c>
      <c r="H88" s="22">
        <v>1774.5</v>
      </c>
      <c r="I88" s="22">
        <v>1746</v>
      </c>
      <c r="J88" s="22">
        <v>1762</v>
      </c>
      <c r="K88" s="22">
        <v>1781.5</v>
      </c>
      <c r="L88" s="22">
        <v>1768</v>
      </c>
      <c r="M88" s="22">
        <v>1749.5</v>
      </c>
      <c r="N88" s="22">
        <v>1744</v>
      </c>
      <c r="O88" s="22">
        <v>1704.5</v>
      </c>
      <c r="P88" s="22">
        <v>1692</v>
      </c>
      <c r="Q88" s="22">
        <v>1715</v>
      </c>
      <c r="R88" s="22">
        <v>1699</v>
      </c>
      <c r="S88" s="22">
        <v>1700.5</v>
      </c>
      <c r="T88" s="22">
        <v>1714.5</v>
      </c>
      <c r="U88" s="22">
        <v>1695</v>
      </c>
      <c r="V88" s="22">
        <v>1675</v>
      </c>
      <c r="W88" s="22">
        <v>1689</v>
      </c>
      <c r="X88" s="22">
        <v>1693</v>
      </c>
      <c r="Y88" s="22">
        <v>1707</v>
      </c>
      <c r="Z88" s="22">
        <v>1733</v>
      </c>
      <c r="AA88" s="22">
        <v>1725</v>
      </c>
      <c r="AB88" s="22">
        <v>1748</v>
      </c>
      <c r="AC88" s="22">
        <v>1725.5</v>
      </c>
      <c r="AD88" s="22">
        <v>1740</v>
      </c>
      <c r="AE88" s="22">
        <v>1716</v>
      </c>
      <c r="AF88" s="22">
        <v>1656</v>
      </c>
      <c r="AG88" s="22">
        <v>1650</v>
      </c>
      <c r="AH88" s="22">
        <v>1645</v>
      </c>
      <c r="AI88" s="22">
        <v>1661.5</v>
      </c>
      <c r="AJ88" s="22">
        <v>1640</v>
      </c>
      <c r="AK88" s="22">
        <v>1677.5</v>
      </c>
      <c r="AL88" s="22">
        <v>1660</v>
      </c>
      <c r="AM88" s="22">
        <v>1675</v>
      </c>
      <c r="AN88" s="22">
        <v>1669.5</v>
      </c>
      <c r="AO88" s="22">
        <v>1660</v>
      </c>
      <c r="AP88" s="22">
        <v>1740</v>
      </c>
      <c r="AQ88" s="22">
        <v>1741.5</v>
      </c>
      <c r="AR88" s="22">
        <v>1730</v>
      </c>
      <c r="AS88" s="22">
        <v>1763</v>
      </c>
      <c r="AT88" s="22">
        <v>1743</v>
      </c>
      <c r="AU88" s="22">
        <v>1789.5</v>
      </c>
      <c r="AV88" s="22">
        <v>1797</v>
      </c>
      <c r="AW88" s="22">
        <v>1792</v>
      </c>
      <c r="AX88" s="22">
        <v>1801</v>
      </c>
      <c r="AY88" s="22">
        <v>1811.5</v>
      </c>
      <c r="AZ88" s="22">
        <v>1789</v>
      </c>
      <c r="BA88" s="22">
        <v>1765.5</v>
      </c>
      <c r="BB88" s="22">
        <v>1782</v>
      </c>
      <c r="BC88" s="22">
        <v>1783.5</v>
      </c>
      <c r="BD88" s="22">
        <v>1830</v>
      </c>
      <c r="BE88" s="22">
        <v>1819</v>
      </c>
      <c r="BF88" s="22">
        <v>1820</v>
      </c>
      <c r="BG88" s="22">
        <v>1850</v>
      </c>
      <c r="BH88" s="22">
        <v>1893</v>
      </c>
      <c r="BI88" s="22">
        <v>1900</v>
      </c>
      <c r="BJ88" s="22">
        <v>1898</v>
      </c>
      <c r="BK88" s="22">
        <v>1900</v>
      </c>
      <c r="BL88" s="22">
        <v>1906.5</v>
      </c>
      <c r="BM88" s="1">
        <v>1890</v>
      </c>
      <c r="BN88" s="1">
        <v>1875</v>
      </c>
      <c r="BO88" s="1">
        <v>1881</v>
      </c>
      <c r="BP88" s="1">
        <v>1931</v>
      </c>
    </row>
    <row r="89" spans="1:68" ht="15.9" customHeight="1">
      <c r="A89" s="81" t="s">
        <v>173</v>
      </c>
      <c r="B89" s="17" t="s">
        <v>174</v>
      </c>
      <c r="C89" s="26" t="str">
        <f>_xll.RssMarket("5892","始値")</f>
        <v/>
      </c>
      <c r="D89" s="25" t="e">
        <f t="shared" si="2"/>
        <v>#VALUE!</v>
      </c>
      <c r="E89" s="22">
        <v>2060</v>
      </c>
      <c r="F89" s="22">
        <v>2100</v>
      </c>
      <c r="G89" s="22">
        <v>2030</v>
      </c>
      <c r="H89" s="22">
        <v>2075</v>
      </c>
      <c r="I89" s="22">
        <v>2062</v>
      </c>
      <c r="J89" s="22">
        <v>2067</v>
      </c>
      <c r="K89" s="22">
        <v>2100</v>
      </c>
      <c r="L89" s="22">
        <v>2097</v>
      </c>
      <c r="M89" s="22">
        <v>2144</v>
      </c>
      <c r="N89" s="22">
        <v>2097</v>
      </c>
      <c r="O89" s="22">
        <v>2055</v>
      </c>
      <c r="P89" s="22">
        <v>2066</v>
      </c>
      <c r="Q89" s="22">
        <v>2052</v>
      </c>
      <c r="R89" s="22">
        <v>2010</v>
      </c>
      <c r="S89" s="22">
        <v>2000</v>
      </c>
      <c r="T89" s="22">
        <v>2010</v>
      </c>
      <c r="U89" s="22">
        <v>2065</v>
      </c>
      <c r="V89" s="22">
        <v>2031</v>
      </c>
      <c r="W89" s="22">
        <v>2122</v>
      </c>
      <c r="X89" s="22">
        <v>2142</v>
      </c>
      <c r="Y89" s="22">
        <v>2046</v>
      </c>
      <c r="Z89" s="22">
        <v>1977</v>
      </c>
      <c r="AA89" s="22">
        <v>2003</v>
      </c>
      <c r="AB89" s="22">
        <v>2121</v>
      </c>
      <c r="AC89" s="22">
        <v>2160</v>
      </c>
      <c r="AD89" s="22">
        <v>2166</v>
      </c>
      <c r="AE89" s="22">
        <v>2320</v>
      </c>
      <c r="AF89" s="22">
        <v>2231</v>
      </c>
      <c r="AG89" s="22">
        <v>2106</v>
      </c>
      <c r="AH89" s="22">
        <v>2108</v>
      </c>
      <c r="AI89" s="22">
        <v>2152</v>
      </c>
      <c r="AJ89" s="22">
        <v>2268</v>
      </c>
      <c r="AK89" s="22">
        <v>2340</v>
      </c>
      <c r="AL89" s="22">
        <v>2506</v>
      </c>
      <c r="AM89" s="22">
        <v>2476</v>
      </c>
      <c r="AN89" s="22">
        <v>2467</v>
      </c>
      <c r="AO89" s="22">
        <v>2530</v>
      </c>
      <c r="AP89" s="22">
        <v>2649</v>
      </c>
      <c r="AQ89" s="22">
        <v>2590</v>
      </c>
      <c r="AR89" s="22">
        <v>2599</v>
      </c>
      <c r="AS89" s="22">
        <v>2384</v>
      </c>
      <c r="AT89" s="22">
        <v>2060</v>
      </c>
      <c r="AU89" s="22">
        <v>1936</v>
      </c>
      <c r="AV89" s="22">
        <v>1948</v>
      </c>
      <c r="AW89" s="22">
        <v>1970</v>
      </c>
      <c r="AX89" s="22">
        <v>1973</v>
      </c>
      <c r="AY89" s="22">
        <v>1982</v>
      </c>
      <c r="AZ89" s="22">
        <v>1950</v>
      </c>
      <c r="BA89" s="22">
        <v>1989</v>
      </c>
      <c r="BB89" s="22">
        <v>2036</v>
      </c>
      <c r="BC89" s="22">
        <v>2056</v>
      </c>
      <c r="BD89" s="22">
        <v>2100</v>
      </c>
      <c r="BE89" s="22">
        <v>2187</v>
      </c>
      <c r="BF89" s="22">
        <v>2175</v>
      </c>
      <c r="BG89" s="22">
        <v>2225</v>
      </c>
      <c r="BH89" s="22">
        <v>2200</v>
      </c>
      <c r="BI89" s="22">
        <v>2188</v>
      </c>
      <c r="BJ89" s="22">
        <v>2235</v>
      </c>
      <c r="BK89" s="22">
        <v>2348</v>
      </c>
      <c r="BL89" s="22">
        <v>2382</v>
      </c>
      <c r="BM89" s="1">
        <v>2176</v>
      </c>
      <c r="BN89" s="1">
        <v>2183</v>
      </c>
      <c r="BO89" s="1">
        <v>2180</v>
      </c>
      <c r="BP89" s="1">
        <v>2080</v>
      </c>
    </row>
    <row r="90" spans="1:68" ht="15.9" customHeight="1">
      <c r="A90" s="81" t="s">
        <v>175</v>
      </c>
      <c r="B90" s="17" t="s">
        <v>176</v>
      </c>
      <c r="C90" s="26" t="str">
        <f>_xll.RssMarket("6323","始値")</f>
        <v/>
      </c>
      <c r="D90" s="25" t="e">
        <f t="shared" si="2"/>
        <v>#VALUE!</v>
      </c>
      <c r="E90" s="22">
        <v>4340</v>
      </c>
      <c r="F90" s="22">
        <v>4515</v>
      </c>
      <c r="G90" s="22">
        <v>4547</v>
      </c>
      <c r="H90" s="22">
        <v>4585</v>
      </c>
      <c r="I90" s="22">
        <v>4936</v>
      </c>
      <c r="J90" s="22">
        <v>4624</v>
      </c>
      <c r="K90" s="22">
        <v>4270</v>
      </c>
      <c r="L90" s="22">
        <v>4622</v>
      </c>
      <c r="M90" s="22">
        <v>4943</v>
      </c>
      <c r="N90" s="22">
        <v>4398</v>
      </c>
      <c r="O90" s="22">
        <v>4826</v>
      </c>
      <c r="P90" s="22">
        <v>4967</v>
      </c>
      <c r="Q90" s="22">
        <v>4650</v>
      </c>
      <c r="R90" s="22">
        <v>4577</v>
      </c>
      <c r="S90" s="22">
        <v>4741</v>
      </c>
      <c r="T90" s="22">
        <v>4663</v>
      </c>
      <c r="U90" s="22">
        <v>4650</v>
      </c>
      <c r="V90" s="22">
        <v>5010</v>
      </c>
      <c r="W90" s="22">
        <v>4900</v>
      </c>
      <c r="X90" s="22">
        <v>5030</v>
      </c>
      <c r="Y90" s="22">
        <v>4540</v>
      </c>
      <c r="Z90" s="22">
        <v>4309</v>
      </c>
      <c r="AA90" s="22">
        <v>4482</v>
      </c>
      <c r="AB90" s="22">
        <v>4340</v>
      </c>
      <c r="AC90" s="22">
        <v>4066</v>
      </c>
      <c r="AD90" s="22">
        <v>3727</v>
      </c>
      <c r="AE90" s="22">
        <v>3812</v>
      </c>
      <c r="AF90" s="22">
        <v>3809</v>
      </c>
      <c r="AG90" s="22">
        <v>4114</v>
      </c>
      <c r="AH90" s="22">
        <v>4216</v>
      </c>
      <c r="AI90" s="22">
        <v>4039</v>
      </c>
      <c r="AJ90" s="22">
        <v>3780</v>
      </c>
      <c r="AK90" s="22">
        <v>4050</v>
      </c>
      <c r="AL90" s="22">
        <v>3840</v>
      </c>
      <c r="AM90" s="22">
        <v>4033</v>
      </c>
      <c r="AN90" s="22">
        <v>4020</v>
      </c>
      <c r="AO90" s="22">
        <v>3822</v>
      </c>
      <c r="AP90" s="22">
        <v>3634</v>
      </c>
      <c r="AQ90" s="22">
        <v>3606</v>
      </c>
      <c r="AR90" s="22">
        <v>3668</v>
      </c>
      <c r="AS90" s="22">
        <v>3800</v>
      </c>
      <c r="AT90" s="22">
        <v>4031</v>
      </c>
      <c r="AU90" s="22">
        <v>4080</v>
      </c>
      <c r="AV90" s="22">
        <v>3926</v>
      </c>
      <c r="AW90" s="22">
        <v>4180</v>
      </c>
      <c r="AX90" s="22">
        <v>3968</v>
      </c>
      <c r="AY90" s="22">
        <v>3860</v>
      </c>
      <c r="AZ90" s="22">
        <v>3945</v>
      </c>
      <c r="BA90" s="22">
        <v>3790</v>
      </c>
      <c r="BB90" s="22">
        <v>3790</v>
      </c>
      <c r="BC90" s="22">
        <v>3884</v>
      </c>
      <c r="BD90" s="22">
        <v>3949</v>
      </c>
      <c r="BE90" s="22">
        <v>3592</v>
      </c>
      <c r="BF90" s="22">
        <v>3700</v>
      </c>
      <c r="BG90" s="22">
        <v>3645</v>
      </c>
      <c r="BH90" s="22">
        <v>3637</v>
      </c>
      <c r="BI90" s="22">
        <v>3720</v>
      </c>
      <c r="BJ90" s="22">
        <v>3768</v>
      </c>
      <c r="BK90" s="22">
        <v>3878</v>
      </c>
      <c r="BL90" s="22">
        <v>4005</v>
      </c>
      <c r="BM90" s="1">
        <v>4088</v>
      </c>
      <c r="BN90" s="1">
        <v>3976</v>
      </c>
      <c r="BO90" s="1">
        <v>3750</v>
      </c>
      <c r="BP90" s="1">
        <v>3153</v>
      </c>
    </row>
    <row r="91" spans="1:68" ht="15.9" customHeight="1">
      <c r="A91" s="81" t="s">
        <v>177</v>
      </c>
      <c r="B91" s="17" t="s">
        <v>178</v>
      </c>
      <c r="C91" s="26" t="str">
        <f>_xll.RssMarket("6501","始値")</f>
        <v/>
      </c>
      <c r="D91" s="25" t="e">
        <f t="shared" si="2"/>
        <v>#VALUE!</v>
      </c>
      <c r="E91" s="22">
        <v>4688</v>
      </c>
      <c r="F91" s="22">
        <v>4795</v>
      </c>
      <c r="G91" s="22">
        <v>4724</v>
      </c>
      <c r="H91" s="22">
        <v>4700</v>
      </c>
      <c r="I91" s="22">
        <v>4725</v>
      </c>
      <c r="J91" s="22">
        <v>4750</v>
      </c>
      <c r="K91" s="22">
        <v>4872</v>
      </c>
      <c r="L91" s="22">
        <v>4822</v>
      </c>
      <c r="M91" s="22">
        <v>4699</v>
      </c>
      <c r="N91" s="22">
        <v>4711</v>
      </c>
      <c r="O91" s="22">
        <v>4595</v>
      </c>
      <c r="P91" s="22">
        <v>4550</v>
      </c>
      <c r="Q91" s="22">
        <v>4494</v>
      </c>
      <c r="R91" s="22">
        <v>4530</v>
      </c>
      <c r="S91" s="22">
        <v>4484</v>
      </c>
      <c r="T91" s="22">
        <v>4714</v>
      </c>
      <c r="U91" s="22">
        <v>4719</v>
      </c>
      <c r="V91" s="22">
        <v>4930</v>
      </c>
      <c r="W91" s="22">
        <v>4702</v>
      </c>
      <c r="X91" s="22">
        <v>4805</v>
      </c>
      <c r="Y91" s="22">
        <v>4680</v>
      </c>
      <c r="Z91" s="22">
        <v>4692</v>
      </c>
      <c r="AA91" s="22">
        <v>4741</v>
      </c>
      <c r="AB91" s="22">
        <v>4704</v>
      </c>
      <c r="AC91" s="22">
        <v>4682</v>
      </c>
      <c r="AD91" s="22">
        <v>4641</v>
      </c>
      <c r="AE91" s="22">
        <v>4906</v>
      </c>
      <c r="AF91" s="22">
        <v>5095</v>
      </c>
      <c r="AG91" s="22">
        <v>5146</v>
      </c>
      <c r="AH91" s="22">
        <v>5180</v>
      </c>
      <c r="AI91" s="22">
        <v>5139</v>
      </c>
      <c r="AJ91" s="22">
        <v>5126</v>
      </c>
      <c r="AK91" s="22">
        <v>5374</v>
      </c>
      <c r="AL91" s="22">
        <v>4963</v>
      </c>
      <c r="AM91" s="22">
        <v>5100</v>
      </c>
      <c r="AN91" s="22">
        <v>5050</v>
      </c>
      <c r="AO91" s="22">
        <v>5105</v>
      </c>
      <c r="AP91" s="22">
        <v>4907</v>
      </c>
      <c r="AQ91" s="22">
        <v>4883</v>
      </c>
      <c r="AR91" s="22">
        <v>4900</v>
      </c>
      <c r="AS91" s="22">
        <v>4755</v>
      </c>
      <c r="AT91" s="22">
        <v>4690</v>
      </c>
      <c r="AU91" s="22">
        <v>4700</v>
      </c>
      <c r="AV91" s="22">
        <v>4775</v>
      </c>
      <c r="AW91" s="22">
        <v>4892</v>
      </c>
      <c r="AX91" s="22">
        <v>4920</v>
      </c>
      <c r="AY91" s="22">
        <v>4844</v>
      </c>
      <c r="AZ91" s="22">
        <v>4900</v>
      </c>
      <c r="BA91" s="22">
        <v>4800</v>
      </c>
      <c r="BB91" s="22">
        <v>4947</v>
      </c>
      <c r="BC91" s="22">
        <v>5200</v>
      </c>
      <c r="BD91" s="22">
        <v>5333</v>
      </c>
      <c r="BE91" s="22">
        <v>5230</v>
      </c>
      <c r="BF91" s="22">
        <v>5185</v>
      </c>
      <c r="BG91" s="22">
        <v>5129</v>
      </c>
      <c r="BH91" s="22">
        <v>5110</v>
      </c>
      <c r="BI91" s="22">
        <v>5193</v>
      </c>
      <c r="BJ91" s="22">
        <v>5167</v>
      </c>
      <c r="BK91" s="22">
        <v>5210</v>
      </c>
      <c r="BL91" s="22">
        <v>5060</v>
      </c>
      <c r="BM91" s="1">
        <v>4930</v>
      </c>
      <c r="BN91" s="1">
        <v>4880</v>
      </c>
      <c r="BO91" s="1">
        <v>4830</v>
      </c>
      <c r="BP91" s="1">
        <v>4945</v>
      </c>
    </row>
    <row r="92" spans="1:68" ht="15.9" customHeight="1">
      <c r="A92" s="81" t="s">
        <v>179</v>
      </c>
      <c r="B92" s="17" t="s">
        <v>180</v>
      </c>
      <c r="C92" s="26" t="str">
        <f>_xll.RssMarket("6134","始値")</f>
        <v/>
      </c>
      <c r="D92" s="25" t="e">
        <f t="shared" si="2"/>
        <v>#VALUE!</v>
      </c>
      <c r="E92" s="22">
        <v>7400</v>
      </c>
      <c r="F92" s="22">
        <v>7809</v>
      </c>
      <c r="G92" s="22">
        <v>7650</v>
      </c>
      <c r="H92" s="73">
        <v>8190</v>
      </c>
      <c r="I92" s="22">
        <v>8070</v>
      </c>
      <c r="J92" s="22">
        <v>7740</v>
      </c>
      <c r="K92" s="22">
        <v>7623</v>
      </c>
      <c r="L92" s="22">
        <v>8500</v>
      </c>
      <c r="M92" s="22">
        <v>8885</v>
      </c>
      <c r="N92" s="22">
        <v>8150</v>
      </c>
      <c r="O92" s="22">
        <v>8482</v>
      </c>
      <c r="P92" s="22">
        <v>8681</v>
      </c>
      <c r="Q92" s="22">
        <v>8119</v>
      </c>
      <c r="R92" s="22">
        <v>7960</v>
      </c>
      <c r="S92" s="22">
        <v>8410</v>
      </c>
      <c r="T92" s="22">
        <v>8441</v>
      </c>
      <c r="U92" s="22">
        <v>8141</v>
      </c>
      <c r="V92" s="22">
        <v>8468</v>
      </c>
      <c r="W92" s="22">
        <v>8510</v>
      </c>
      <c r="X92" s="22">
        <v>8737</v>
      </c>
      <c r="Y92" s="22">
        <v>8560</v>
      </c>
      <c r="Z92" s="22">
        <v>8217</v>
      </c>
      <c r="AA92" s="22">
        <v>8300</v>
      </c>
      <c r="AB92" s="22">
        <v>7942</v>
      </c>
      <c r="AC92" s="22">
        <v>7564</v>
      </c>
      <c r="AD92" s="22">
        <v>6905</v>
      </c>
      <c r="AE92" s="22">
        <v>7255</v>
      </c>
      <c r="AF92" s="22">
        <v>6886</v>
      </c>
      <c r="AG92" s="22">
        <v>7644</v>
      </c>
      <c r="AH92" s="22">
        <v>7690</v>
      </c>
      <c r="AI92" s="22">
        <v>8065</v>
      </c>
      <c r="AJ92" s="22">
        <v>8046</v>
      </c>
      <c r="AK92" s="22">
        <v>8007</v>
      </c>
      <c r="AL92" s="22">
        <v>7813</v>
      </c>
      <c r="AM92" s="22">
        <v>8386</v>
      </c>
      <c r="AN92" s="22">
        <v>8068</v>
      </c>
      <c r="AO92" s="22">
        <v>7735</v>
      </c>
      <c r="AP92" s="22">
        <v>7820</v>
      </c>
      <c r="AQ92" s="22">
        <v>7441</v>
      </c>
      <c r="AR92" s="22">
        <v>7808</v>
      </c>
      <c r="AS92" s="22">
        <v>8143</v>
      </c>
      <c r="AT92" s="22">
        <v>8701</v>
      </c>
      <c r="AU92" s="22">
        <v>7088</v>
      </c>
      <c r="AV92" s="22">
        <v>6800</v>
      </c>
      <c r="AW92" s="22">
        <v>6776</v>
      </c>
      <c r="AX92" s="22">
        <v>6715</v>
      </c>
      <c r="AY92" s="22">
        <v>6232</v>
      </c>
      <c r="AZ92" s="22">
        <v>6200</v>
      </c>
      <c r="BA92" s="22">
        <v>6068</v>
      </c>
      <c r="BB92" s="22">
        <v>5881</v>
      </c>
      <c r="BC92" s="22">
        <v>5986</v>
      </c>
      <c r="BD92" s="22">
        <v>5960</v>
      </c>
      <c r="BE92" s="22">
        <v>5772</v>
      </c>
      <c r="BF92" s="22">
        <v>5902</v>
      </c>
      <c r="BG92" s="22">
        <v>5961</v>
      </c>
      <c r="BH92" s="22">
        <v>5880</v>
      </c>
      <c r="BI92" s="22">
        <v>5744</v>
      </c>
      <c r="BJ92" s="22">
        <v>5802</v>
      </c>
      <c r="BK92" s="22">
        <v>5798</v>
      </c>
      <c r="BL92" s="22">
        <v>5819</v>
      </c>
      <c r="BM92" s="1">
        <v>5667</v>
      </c>
      <c r="BN92" s="1">
        <v>5463</v>
      </c>
      <c r="BO92" s="1">
        <v>5410</v>
      </c>
      <c r="BP92" s="1">
        <v>5320</v>
      </c>
    </row>
    <row r="93" spans="1:68" ht="15.9" customHeight="1">
      <c r="A93" s="81" t="s">
        <v>181</v>
      </c>
      <c r="B93" s="17" t="s">
        <v>182</v>
      </c>
      <c r="C93" s="26" t="str">
        <f>_xll.RssMarket("7746","始値")</f>
        <v/>
      </c>
      <c r="D93" s="25" t="e">
        <f t="shared" si="2"/>
        <v>#VALUE!</v>
      </c>
      <c r="E93" s="22">
        <v>772</v>
      </c>
      <c r="F93" s="22">
        <v>792</v>
      </c>
      <c r="G93" s="22">
        <v>790</v>
      </c>
      <c r="H93" s="73">
        <v>780</v>
      </c>
      <c r="I93" s="22">
        <v>774</v>
      </c>
      <c r="J93" s="22">
        <v>786</v>
      </c>
      <c r="K93" s="22">
        <v>808</v>
      </c>
      <c r="L93" s="22">
        <v>849</v>
      </c>
      <c r="M93" s="22">
        <v>854</v>
      </c>
      <c r="N93" s="22">
        <v>891</v>
      </c>
      <c r="O93" s="22">
        <v>912</v>
      </c>
      <c r="P93" s="22">
        <v>930</v>
      </c>
      <c r="Q93" s="22">
        <v>856</v>
      </c>
      <c r="R93" s="22">
        <v>779</v>
      </c>
      <c r="S93" s="22">
        <v>764</v>
      </c>
      <c r="T93" s="22">
        <v>753</v>
      </c>
      <c r="U93" s="22">
        <v>798</v>
      </c>
      <c r="V93" s="22">
        <v>796</v>
      </c>
      <c r="W93" s="22">
        <v>815</v>
      </c>
      <c r="X93" s="22">
        <v>826</v>
      </c>
      <c r="Y93" s="22">
        <v>852</v>
      </c>
      <c r="Z93" s="22">
        <v>738</v>
      </c>
      <c r="AA93" s="22">
        <v>737</v>
      </c>
      <c r="AB93" s="22">
        <v>725</v>
      </c>
      <c r="AC93" s="22">
        <v>673</v>
      </c>
      <c r="AD93" s="22">
        <v>725</v>
      </c>
      <c r="AE93" s="22">
        <v>754</v>
      </c>
      <c r="AF93" s="22">
        <v>751</v>
      </c>
      <c r="AG93" s="22">
        <v>782</v>
      </c>
      <c r="AH93" s="22">
        <v>763</v>
      </c>
      <c r="AI93" s="22">
        <v>795</v>
      </c>
      <c r="AJ93" s="22">
        <v>843</v>
      </c>
      <c r="AK93" s="22">
        <v>844</v>
      </c>
      <c r="AL93" s="22">
        <v>862</v>
      </c>
      <c r="AM93" s="22">
        <v>920</v>
      </c>
      <c r="AN93" s="22">
        <v>884</v>
      </c>
      <c r="AO93" s="22">
        <v>1034</v>
      </c>
      <c r="AP93" s="22">
        <v>1000</v>
      </c>
      <c r="AQ93" s="22">
        <v>859</v>
      </c>
      <c r="AR93" s="22">
        <v>758</v>
      </c>
      <c r="AS93" s="22">
        <v>808</v>
      </c>
      <c r="AT93" s="22">
        <v>761</v>
      </c>
      <c r="AU93" s="22">
        <v>816</v>
      </c>
      <c r="AV93" s="22">
        <v>877</v>
      </c>
      <c r="AW93" s="22">
        <v>840</v>
      </c>
      <c r="AX93" s="22">
        <v>845</v>
      </c>
      <c r="AY93" s="22">
        <v>840</v>
      </c>
      <c r="AZ93" s="22">
        <v>921</v>
      </c>
      <c r="BA93" s="22">
        <v>938</v>
      </c>
      <c r="BB93" s="22">
        <v>951</v>
      </c>
      <c r="BC93" s="22">
        <v>972</v>
      </c>
      <c r="BD93" s="22">
        <v>1018</v>
      </c>
      <c r="BE93" s="22">
        <v>996</v>
      </c>
      <c r="BF93" s="22">
        <v>1038</v>
      </c>
      <c r="BG93" s="22">
        <v>955</v>
      </c>
      <c r="BH93" s="22">
        <v>961</v>
      </c>
      <c r="BI93" s="22">
        <v>1000</v>
      </c>
      <c r="BJ93" s="22">
        <v>983</v>
      </c>
      <c r="BK93" s="22">
        <v>990</v>
      </c>
      <c r="BL93" s="22">
        <v>1009</v>
      </c>
      <c r="BM93" s="1">
        <v>1033</v>
      </c>
      <c r="BN93" s="1">
        <v>1066</v>
      </c>
      <c r="BO93" s="1">
        <v>1020</v>
      </c>
      <c r="BP93" s="1">
        <v>1006</v>
      </c>
    </row>
    <row r="94" spans="1:68" ht="15.9" customHeight="1">
      <c r="A94" s="81" t="s">
        <v>183</v>
      </c>
      <c r="B94" s="17" t="s">
        <v>184</v>
      </c>
      <c r="C94" s="26" t="str">
        <f>_xll.RssMarket("3407","始値")</f>
        <v/>
      </c>
      <c r="D94" s="25" t="e">
        <f t="shared" si="2"/>
        <v>#VALUE!</v>
      </c>
      <c r="E94" s="22">
        <v>1855.5</v>
      </c>
      <c r="F94" s="22">
        <v>1900</v>
      </c>
      <c r="G94" s="22">
        <v>1834</v>
      </c>
      <c r="H94" s="73">
        <v>1859</v>
      </c>
      <c r="I94" s="22">
        <v>1840</v>
      </c>
      <c r="J94" s="22">
        <v>1853.5</v>
      </c>
      <c r="K94" s="22">
        <v>1899</v>
      </c>
      <c r="L94" s="22">
        <v>1855</v>
      </c>
      <c r="M94" s="22">
        <v>1798</v>
      </c>
      <c r="N94" s="22">
        <v>1781.5</v>
      </c>
      <c r="O94" s="22">
        <v>1795</v>
      </c>
      <c r="P94" s="22">
        <v>1796</v>
      </c>
      <c r="Q94" s="22">
        <v>1807</v>
      </c>
      <c r="R94" s="22">
        <v>1804.5</v>
      </c>
      <c r="S94" s="22">
        <v>1826</v>
      </c>
      <c r="T94" s="22">
        <v>1768</v>
      </c>
      <c r="U94" s="22">
        <v>1821</v>
      </c>
      <c r="V94" s="22">
        <v>1834.5</v>
      </c>
      <c r="W94" s="22">
        <v>1794</v>
      </c>
      <c r="X94" s="22">
        <v>1800</v>
      </c>
      <c r="Y94" s="22">
        <v>1765</v>
      </c>
      <c r="Z94" s="22">
        <v>1744</v>
      </c>
      <c r="AA94" s="22">
        <v>1818</v>
      </c>
      <c r="AB94" s="22">
        <v>1800</v>
      </c>
      <c r="AC94" s="22">
        <v>1721</v>
      </c>
      <c r="AD94" s="22">
        <v>1735</v>
      </c>
      <c r="AE94" s="22">
        <v>1781</v>
      </c>
      <c r="AF94" s="22">
        <v>1777</v>
      </c>
      <c r="AG94" s="22">
        <v>1750</v>
      </c>
      <c r="AH94" s="22">
        <v>1757.5</v>
      </c>
      <c r="AI94" s="22">
        <v>1770.5</v>
      </c>
      <c r="AJ94" s="22">
        <v>1767.5</v>
      </c>
      <c r="AK94" s="22">
        <v>1718</v>
      </c>
      <c r="AL94" s="22">
        <v>1750</v>
      </c>
      <c r="AM94" s="22">
        <v>1766</v>
      </c>
      <c r="AN94" s="22">
        <v>1710</v>
      </c>
      <c r="AO94" s="22">
        <v>1694.5</v>
      </c>
      <c r="AP94" s="22">
        <v>1696</v>
      </c>
      <c r="AQ94" s="22">
        <v>1700</v>
      </c>
      <c r="AR94" s="22">
        <v>1706</v>
      </c>
      <c r="AS94" s="22">
        <v>1732</v>
      </c>
      <c r="AT94" s="22">
        <v>1750</v>
      </c>
      <c r="AU94" s="22">
        <v>1655</v>
      </c>
      <c r="AV94" s="22">
        <v>1548</v>
      </c>
      <c r="AW94" s="22">
        <v>1522</v>
      </c>
      <c r="AX94" s="22">
        <v>1539</v>
      </c>
      <c r="AY94" s="22">
        <v>1564.5</v>
      </c>
      <c r="AZ94" s="22">
        <v>1516</v>
      </c>
      <c r="BA94" s="22">
        <v>1533.5</v>
      </c>
      <c r="BB94" s="22">
        <v>1535</v>
      </c>
      <c r="BC94" s="22">
        <v>1520</v>
      </c>
      <c r="BD94" s="22">
        <v>1535</v>
      </c>
      <c r="BE94" s="22">
        <v>1513.5</v>
      </c>
      <c r="BF94" s="22">
        <v>1551</v>
      </c>
      <c r="BG94" s="22">
        <v>1564</v>
      </c>
      <c r="BH94" s="22">
        <v>1598</v>
      </c>
      <c r="BI94" s="22">
        <v>1611.5</v>
      </c>
      <c r="BJ94" s="22">
        <v>1561</v>
      </c>
      <c r="BK94" s="22">
        <v>1607.5</v>
      </c>
      <c r="BL94" s="22">
        <v>1629</v>
      </c>
      <c r="BM94" s="1">
        <v>1629.5</v>
      </c>
      <c r="BN94" s="1">
        <v>1651.5</v>
      </c>
      <c r="BO94" s="1">
        <v>1664</v>
      </c>
    </row>
    <row r="95" spans="1:68" ht="15.9" customHeight="1">
      <c r="A95" s="81" t="s">
        <v>185</v>
      </c>
      <c r="B95" s="17" t="s">
        <v>186</v>
      </c>
      <c r="C95" s="26" t="str">
        <f>_xll.RssMarket("4008","始値")</f>
        <v/>
      </c>
      <c r="D95" s="25" t="e">
        <f t="shared" si="2"/>
        <v>#VALUE!</v>
      </c>
      <c r="E95" s="22">
        <v>1265</v>
      </c>
      <c r="F95" s="22">
        <v>1293</v>
      </c>
      <c r="G95" s="22">
        <v>1265</v>
      </c>
      <c r="H95" s="73">
        <v>1281</v>
      </c>
      <c r="I95" s="22">
        <v>1295</v>
      </c>
      <c r="J95" s="22">
        <v>1300</v>
      </c>
      <c r="K95" s="22">
        <v>1313</v>
      </c>
      <c r="L95" s="22">
        <v>1350</v>
      </c>
      <c r="M95" s="22">
        <v>1384</v>
      </c>
      <c r="N95" s="22">
        <v>1307</v>
      </c>
      <c r="O95" s="22">
        <v>1295</v>
      </c>
      <c r="P95" s="22">
        <v>1275</v>
      </c>
      <c r="Q95" s="22">
        <v>1296</v>
      </c>
      <c r="R95" s="22">
        <v>1287</v>
      </c>
      <c r="S95" s="22">
        <v>1293</v>
      </c>
      <c r="T95" s="22">
        <v>1297</v>
      </c>
      <c r="U95" s="22">
        <v>1280</v>
      </c>
      <c r="V95" s="22">
        <v>1326</v>
      </c>
      <c r="W95" s="22">
        <v>1327</v>
      </c>
      <c r="X95" s="22">
        <v>1335</v>
      </c>
      <c r="Y95" s="22">
        <v>1318</v>
      </c>
      <c r="Z95" s="22">
        <v>1322</v>
      </c>
      <c r="AA95" s="22">
        <v>1321</v>
      </c>
      <c r="AB95" s="22">
        <v>1305</v>
      </c>
      <c r="AC95" s="22">
        <v>1284</v>
      </c>
      <c r="AD95" s="22">
        <v>1250</v>
      </c>
      <c r="AE95" s="22">
        <v>1279</v>
      </c>
      <c r="AF95" s="22">
        <v>1249</v>
      </c>
      <c r="AG95" s="22">
        <v>1282</v>
      </c>
      <c r="AH95" s="22">
        <v>1300</v>
      </c>
      <c r="AI95" s="22">
        <v>1310</v>
      </c>
      <c r="AJ95" s="22">
        <v>1261</v>
      </c>
      <c r="AK95" s="22">
        <v>1333</v>
      </c>
      <c r="AL95" s="22">
        <v>1319</v>
      </c>
      <c r="AM95" s="22">
        <v>1284</v>
      </c>
      <c r="AN95" s="22">
        <v>1277</v>
      </c>
      <c r="AO95" s="22">
        <v>1240</v>
      </c>
      <c r="AP95" s="22">
        <v>1231</v>
      </c>
      <c r="AQ95" s="22">
        <v>1223</v>
      </c>
      <c r="AR95" s="22">
        <v>1250</v>
      </c>
      <c r="AS95" s="22">
        <v>1268</v>
      </c>
      <c r="AT95" s="22">
        <v>1238</v>
      </c>
      <c r="AU95" s="22">
        <v>1247</v>
      </c>
      <c r="AV95" s="22">
        <v>1218</v>
      </c>
      <c r="AW95" s="22">
        <v>1195</v>
      </c>
      <c r="AX95" s="22">
        <v>1217</v>
      </c>
      <c r="AY95" s="22">
        <v>1210</v>
      </c>
      <c r="AZ95" s="22">
        <v>1208</v>
      </c>
      <c r="BA95" s="22">
        <v>1190</v>
      </c>
      <c r="BB95" s="22">
        <v>1185</v>
      </c>
      <c r="BC95" s="22">
        <v>1194</v>
      </c>
      <c r="BD95" s="22">
        <v>1191</v>
      </c>
      <c r="BE95" s="22">
        <v>1208</v>
      </c>
      <c r="BF95" s="22">
        <v>1195</v>
      </c>
      <c r="BG95" s="22">
        <v>1236</v>
      </c>
      <c r="BH95" s="22">
        <v>1267</v>
      </c>
      <c r="BI95" s="22">
        <v>1275</v>
      </c>
      <c r="BJ95" s="22">
        <v>1279</v>
      </c>
      <c r="BK95" s="22">
        <v>1280</v>
      </c>
      <c r="BL95" s="22">
        <v>1280</v>
      </c>
      <c r="BM95" s="1">
        <v>1257</v>
      </c>
      <c r="BN95" s="1">
        <v>1254</v>
      </c>
      <c r="BO95" s="1">
        <v>1254</v>
      </c>
      <c r="BP95" s="1">
        <v>1269</v>
      </c>
    </row>
    <row r="96" spans="1:68" ht="15.9" customHeight="1">
      <c r="A96" s="81" t="s">
        <v>187</v>
      </c>
      <c r="B96" s="17" t="s">
        <v>188</v>
      </c>
      <c r="C96" s="26" t="str">
        <f>_xll.RssMarket("4062","始値")</f>
        <v/>
      </c>
      <c r="D96" s="25" t="e">
        <f t="shared" si="2"/>
        <v>#VALUE!</v>
      </c>
      <c r="E96" s="22">
        <v>16605</v>
      </c>
      <c r="F96" s="22">
        <v>18070</v>
      </c>
      <c r="G96" s="22">
        <v>18290</v>
      </c>
      <c r="H96" s="73">
        <v>19885</v>
      </c>
      <c r="I96" s="22">
        <v>20205</v>
      </c>
      <c r="J96" s="22">
        <v>19900</v>
      </c>
      <c r="K96" s="22">
        <v>19095</v>
      </c>
      <c r="L96" s="22">
        <v>21180</v>
      </c>
      <c r="M96" s="22">
        <v>23350</v>
      </c>
      <c r="N96" s="22">
        <v>21920</v>
      </c>
      <c r="O96" s="22">
        <v>24055</v>
      </c>
      <c r="P96" s="22">
        <v>26000</v>
      </c>
      <c r="Q96" s="22">
        <v>24200</v>
      </c>
      <c r="R96" s="22">
        <v>24000</v>
      </c>
      <c r="S96" s="22">
        <v>25370</v>
      </c>
      <c r="T96" s="22">
        <v>25805</v>
      </c>
      <c r="U96" s="22">
        <v>24100</v>
      </c>
      <c r="V96" s="22">
        <v>26500</v>
      </c>
      <c r="W96" s="22">
        <v>24335</v>
      </c>
      <c r="X96" s="22">
        <v>27005</v>
      </c>
      <c r="Y96" s="22">
        <v>24480</v>
      </c>
      <c r="Z96" s="22">
        <v>21945</v>
      </c>
      <c r="AA96" s="22">
        <v>22600</v>
      </c>
      <c r="AB96" s="22">
        <v>20805</v>
      </c>
      <c r="AC96" s="22">
        <v>19770</v>
      </c>
      <c r="AD96" s="22">
        <v>16520</v>
      </c>
      <c r="AE96" s="22">
        <v>17795</v>
      </c>
      <c r="AF96" s="22">
        <v>16800</v>
      </c>
      <c r="AG96" s="22">
        <v>18510</v>
      </c>
      <c r="AH96" s="22">
        <v>21440</v>
      </c>
      <c r="AI96" s="22">
        <v>21450</v>
      </c>
      <c r="AJ96" s="22">
        <v>21795</v>
      </c>
      <c r="AK96" s="22">
        <v>20000</v>
      </c>
      <c r="AL96" s="22">
        <v>19925</v>
      </c>
      <c r="AM96" s="22">
        <v>21255</v>
      </c>
      <c r="AN96" s="22">
        <v>19650</v>
      </c>
      <c r="AO96" s="22">
        <v>18005</v>
      </c>
      <c r="AP96" s="22">
        <v>17200</v>
      </c>
      <c r="AQ96" s="22">
        <v>15030</v>
      </c>
      <c r="AR96" s="22">
        <v>15300</v>
      </c>
      <c r="AS96" s="22">
        <v>15550</v>
      </c>
      <c r="AT96" s="22">
        <v>17280</v>
      </c>
      <c r="AU96" s="22">
        <v>16890</v>
      </c>
      <c r="AV96" s="22">
        <v>15880</v>
      </c>
      <c r="AW96" s="22">
        <v>15700</v>
      </c>
      <c r="AX96" s="22">
        <v>16000</v>
      </c>
      <c r="AY96" s="22">
        <v>15575</v>
      </c>
      <c r="AZ96" s="22">
        <v>15160</v>
      </c>
      <c r="BA96" s="22">
        <v>13245</v>
      </c>
      <c r="BB96" s="22">
        <v>13205</v>
      </c>
      <c r="BC96" s="22">
        <v>12700</v>
      </c>
      <c r="BD96" s="22">
        <v>12840</v>
      </c>
      <c r="BE96" s="22">
        <v>12335</v>
      </c>
      <c r="BF96" s="22">
        <v>11310</v>
      </c>
      <c r="BG96" s="22">
        <v>10500</v>
      </c>
      <c r="BH96" s="22">
        <v>9800</v>
      </c>
      <c r="BI96" s="22">
        <v>9147</v>
      </c>
      <c r="BJ96" s="22">
        <v>9468</v>
      </c>
      <c r="BK96" s="22">
        <v>9490</v>
      </c>
      <c r="BL96" s="22">
        <v>10080</v>
      </c>
      <c r="BM96" s="1">
        <v>9707</v>
      </c>
      <c r="BN96" s="1">
        <v>9738</v>
      </c>
      <c r="BO96" s="1">
        <v>9822</v>
      </c>
      <c r="BP96" s="1">
        <v>9687</v>
      </c>
    </row>
    <row r="97" spans="1:68" ht="15.9" customHeight="1">
      <c r="A97" s="81" t="s">
        <v>189</v>
      </c>
      <c r="B97" s="17" t="s">
        <v>190</v>
      </c>
      <c r="C97" s="26" t="str">
        <f>_xll.RssMarket("4182","始値")</f>
        <v/>
      </c>
      <c r="D97" s="25" t="e">
        <f t="shared" si="2"/>
        <v>#VALUE!</v>
      </c>
      <c r="E97" s="22">
        <v>4460</v>
      </c>
      <c r="F97" s="22">
        <v>4703</v>
      </c>
      <c r="G97" s="22">
        <v>4500</v>
      </c>
      <c r="H97" s="73">
        <v>4745</v>
      </c>
      <c r="I97" s="22">
        <v>4787</v>
      </c>
      <c r="J97" s="22">
        <v>4636</v>
      </c>
      <c r="K97" s="22">
        <v>4564</v>
      </c>
      <c r="L97" s="22">
        <v>4840</v>
      </c>
      <c r="M97" s="22">
        <v>4983</v>
      </c>
      <c r="N97" s="22">
        <v>4675</v>
      </c>
      <c r="O97" s="22">
        <v>4990</v>
      </c>
      <c r="P97" s="22">
        <v>5200</v>
      </c>
      <c r="Q97" s="22">
        <v>5140</v>
      </c>
      <c r="R97" s="22">
        <v>5095</v>
      </c>
      <c r="S97" s="22">
        <v>5286</v>
      </c>
      <c r="T97" s="22">
        <v>5365</v>
      </c>
      <c r="U97" s="22">
        <v>5244</v>
      </c>
      <c r="V97" s="22">
        <v>5699</v>
      </c>
      <c r="W97" s="22">
        <v>5420</v>
      </c>
      <c r="X97" s="22">
        <v>5450</v>
      </c>
      <c r="Y97" s="22">
        <v>5300</v>
      </c>
      <c r="Z97" s="22">
        <v>5000</v>
      </c>
      <c r="AA97" s="22">
        <v>5020</v>
      </c>
      <c r="AB97" s="22">
        <v>4973</v>
      </c>
      <c r="AC97" s="22">
        <v>4750</v>
      </c>
      <c r="AD97" s="22">
        <v>4216</v>
      </c>
      <c r="AE97" s="22">
        <v>4580</v>
      </c>
      <c r="AF97" s="22">
        <v>4700</v>
      </c>
      <c r="AG97" s="22">
        <v>4999</v>
      </c>
      <c r="AH97" s="22">
        <v>5282</v>
      </c>
      <c r="AI97" s="22">
        <v>5450</v>
      </c>
      <c r="AJ97" s="22">
        <v>5371</v>
      </c>
      <c r="AK97" s="22">
        <v>5520</v>
      </c>
      <c r="AL97" s="22">
        <v>5337</v>
      </c>
      <c r="AM97" s="22">
        <v>5500</v>
      </c>
      <c r="AN97" s="22">
        <v>5250</v>
      </c>
      <c r="AO97" s="22">
        <v>4966</v>
      </c>
      <c r="AP97" s="22">
        <v>4823</v>
      </c>
      <c r="AQ97" s="22">
        <v>4535</v>
      </c>
      <c r="AR97" s="22">
        <v>4630</v>
      </c>
      <c r="AS97" s="22">
        <v>4571</v>
      </c>
      <c r="AT97" s="22">
        <v>4902</v>
      </c>
      <c r="AU97" s="22">
        <v>4800</v>
      </c>
      <c r="AV97" s="22">
        <v>4740</v>
      </c>
      <c r="AW97" s="22">
        <v>4877</v>
      </c>
      <c r="AX97" s="22">
        <v>4650</v>
      </c>
      <c r="AY97" s="22">
        <v>4600</v>
      </c>
      <c r="AZ97" s="22">
        <v>4480</v>
      </c>
      <c r="BA97" s="22">
        <v>4335</v>
      </c>
      <c r="BB97" s="22">
        <v>4352</v>
      </c>
      <c r="BC97" s="22">
        <v>4387</v>
      </c>
      <c r="BD97" s="22">
        <v>4364</v>
      </c>
      <c r="BE97" s="22">
        <v>4377</v>
      </c>
      <c r="BF97" s="22">
        <v>4329</v>
      </c>
      <c r="BG97" s="22">
        <v>4323</v>
      </c>
      <c r="BH97" s="22">
        <v>4303</v>
      </c>
      <c r="BI97" s="22">
        <v>4243</v>
      </c>
      <c r="BJ97" s="22">
        <v>4242</v>
      </c>
      <c r="BK97" s="22">
        <v>4184</v>
      </c>
      <c r="BL97" s="22">
        <v>4287</v>
      </c>
      <c r="BM97" s="1">
        <v>4235</v>
      </c>
      <c r="BN97" s="1">
        <v>4110</v>
      </c>
      <c r="BO97" s="1">
        <v>4200</v>
      </c>
      <c r="BP97" s="1">
        <v>4215</v>
      </c>
    </row>
    <row r="98" spans="1:68" ht="15.9" customHeight="1">
      <c r="A98" s="81" t="s">
        <v>191</v>
      </c>
      <c r="B98" s="17" t="s">
        <v>192</v>
      </c>
      <c r="C98" s="26" t="str">
        <f>_xll.RssMarket("4188","始値")</f>
        <v/>
      </c>
      <c r="D98" s="25" t="e">
        <f t="shared" si="2"/>
        <v>#VALUE!</v>
      </c>
      <c r="E98" s="22">
        <v>1189.5</v>
      </c>
      <c r="F98" s="22">
        <v>1209.5</v>
      </c>
      <c r="G98" s="22">
        <v>1170</v>
      </c>
      <c r="H98" s="73">
        <v>1175</v>
      </c>
      <c r="I98" s="22">
        <v>1182</v>
      </c>
      <c r="J98" s="22">
        <v>1165</v>
      </c>
      <c r="K98" s="22">
        <v>1173</v>
      </c>
      <c r="L98" s="22">
        <v>1199.5</v>
      </c>
      <c r="M98" s="22">
        <v>1180</v>
      </c>
      <c r="N98" s="22">
        <v>1142</v>
      </c>
      <c r="O98" s="22">
        <v>1113.5</v>
      </c>
      <c r="P98" s="22">
        <v>1132</v>
      </c>
      <c r="Q98" s="22">
        <v>1134</v>
      </c>
      <c r="R98" s="22">
        <v>1111</v>
      </c>
      <c r="S98" s="22">
        <v>1099</v>
      </c>
      <c r="T98" s="22">
        <v>1113.5</v>
      </c>
      <c r="U98" s="22">
        <v>1071.5</v>
      </c>
      <c r="V98" s="22">
        <v>1099</v>
      </c>
      <c r="W98" s="22">
        <v>1094</v>
      </c>
      <c r="X98" s="22">
        <v>1112.5</v>
      </c>
      <c r="Y98" s="22">
        <v>1158</v>
      </c>
      <c r="Z98" s="22">
        <v>1098</v>
      </c>
      <c r="AA98" s="22">
        <v>1112.5</v>
      </c>
      <c r="AB98" s="22">
        <v>1130</v>
      </c>
      <c r="AC98" s="22">
        <v>1068</v>
      </c>
      <c r="AD98" s="22">
        <v>1000</v>
      </c>
      <c r="AE98" s="22">
        <v>1025</v>
      </c>
      <c r="AF98" s="22">
        <v>1036.5</v>
      </c>
      <c r="AG98" s="22">
        <v>1058</v>
      </c>
      <c r="AH98" s="22">
        <v>1110</v>
      </c>
      <c r="AI98" s="22">
        <v>1100</v>
      </c>
      <c r="AJ98" s="22">
        <v>1078</v>
      </c>
      <c r="AK98" s="22">
        <v>1135</v>
      </c>
      <c r="AL98" s="22">
        <v>1106</v>
      </c>
      <c r="AM98" s="22">
        <v>1130</v>
      </c>
      <c r="AN98" s="22">
        <v>1048.5</v>
      </c>
      <c r="AO98" s="22">
        <v>1008</v>
      </c>
      <c r="AP98" s="22">
        <v>1024</v>
      </c>
      <c r="AQ98" s="22">
        <v>1017</v>
      </c>
      <c r="AR98" s="22">
        <v>1026</v>
      </c>
      <c r="AS98" s="22">
        <v>1016</v>
      </c>
      <c r="AT98" s="22">
        <v>994</v>
      </c>
      <c r="AU98" s="22">
        <v>1007</v>
      </c>
      <c r="AV98" s="22">
        <v>930.1</v>
      </c>
      <c r="AW98" s="22">
        <v>928</v>
      </c>
      <c r="AX98" s="22">
        <v>916.7</v>
      </c>
      <c r="AY98" s="22">
        <v>923.9</v>
      </c>
      <c r="AZ98" s="22">
        <v>928</v>
      </c>
      <c r="BA98" s="22">
        <v>912.1</v>
      </c>
      <c r="BB98" s="22">
        <v>912.4</v>
      </c>
      <c r="BC98" s="22">
        <v>920.4</v>
      </c>
      <c r="BD98" s="22">
        <v>911.1</v>
      </c>
      <c r="BE98" s="22">
        <v>926.8</v>
      </c>
      <c r="BF98" s="22">
        <v>930</v>
      </c>
      <c r="BG98" s="22">
        <v>960.2</v>
      </c>
      <c r="BH98" s="22">
        <v>965</v>
      </c>
      <c r="BI98" s="22">
        <v>988.9</v>
      </c>
      <c r="BJ98" s="22">
        <v>988</v>
      </c>
      <c r="BK98" s="22">
        <v>993.4</v>
      </c>
      <c r="BL98" s="22">
        <v>992.2</v>
      </c>
      <c r="BM98" s="1">
        <v>988</v>
      </c>
      <c r="BN98" s="1">
        <v>973</v>
      </c>
      <c r="BO98" s="1">
        <v>991</v>
      </c>
      <c r="BP98" s="1">
        <v>1010</v>
      </c>
    </row>
    <row r="99" spans="1:68" ht="15.9" customHeight="1">
      <c r="A99" s="81" t="s">
        <v>193</v>
      </c>
      <c r="B99" s="17" t="s">
        <v>194</v>
      </c>
      <c r="C99" s="26" t="str">
        <f>_xll.RssMarket("4523","始値")</f>
        <v/>
      </c>
      <c r="D99" s="25" t="e">
        <f t="shared" si="2"/>
        <v>#VALUE!</v>
      </c>
      <c r="E99" s="22">
        <v>4400</v>
      </c>
      <c r="F99" s="22">
        <v>4270</v>
      </c>
      <c r="G99" s="22">
        <v>4313</v>
      </c>
      <c r="H99" s="73">
        <v>4300</v>
      </c>
      <c r="I99" s="22">
        <v>4267</v>
      </c>
      <c r="J99" s="22">
        <v>4292</v>
      </c>
      <c r="K99" s="22">
        <v>4340</v>
      </c>
      <c r="L99" s="22">
        <v>4330</v>
      </c>
      <c r="M99" s="22">
        <v>4305</v>
      </c>
      <c r="N99" s="22">
        <v>4301</v>
      </c>
      <c r="O99" s="22">
        <v>4175</v>
      </c>
      <c r="P99" s="22">
        <v>4065</v>
      </c>
      <c r="Q99" s="22">
        <v>4167</v>
      </c>
      <c r="R99" s="22">
        <v>4010</v>
      </c>
      <c r="S99" s="22">
        <v>3952</v>
      </c>
      <c r="T99" s="22">
        <v>3920</v>
      </c>
      <c r="U99" s="22">
        <v>3905</v>
      </c>
      <c r="V99" s="22">
        <v>3903</v>
      </c>
      <c r="W99" s="22">
        <v>3861</v>
      </c>
      <c r="X99" s="22">
        <v>3900</v>
      </c>
      <c r="Y99" s="22">
        <v>3888</v>
      </c>
      <c r="Z99" s="22">
        <v>3857</v>
      </c>
      <c r="AA99" s="22">
        <v>3796</v>
      </c>
      <c r="AB99" s="22">
        <v>3794</v>
      </c>
      <c r="AC99" s="22">
        <v>3754</v>
      </c>
      <c r="AD99" s="22">
        <v>3709</v>
      </c>
      <c r="AE99" s="22">
        <v>3736</v>
      </c>
      <c r="AF99" s="22">
        <v>3800</v>
      </c>
      <c r="AG99" s="22">
        <v>3850</v>
      </c>
      <c r="AH99" s="22">
        <v>3829</v>
      </c>
      <c r="AI99" s="22">
        <v>3800</v>
      </c>
      <c r="AJ99" s="22">
        <v>3793</v>
      </c>
      <c r="AK99" s="22">
        <v>3901</v>
      </c>
      <c r="AL99" s="22">
        <v>4032</v>
      </c>
      <c r="AM99" s="22">
        <v>3980</v>
      </c>
      <c r="AN99" s="22">
        <v>4158</v>
      </c>
      <c r="AO99" s="22">
        <v>4220</v>
      </c>
      <c r="AP99" s="22">
        <v>4298</v>
      </c>
      <c r="AQ99" s="22">
        <v>4466</v>
      </c>
      <c r="AR99" s="22">
        <v>4429</v>
      </c>
      <c r="AS99" s="22">
        <v>4513</v>
      </c>
      <c r="AT99" s="22">
        <v>4710</v>
      </c>
      <c r="AU99" s="22">
        <v>4726</v>
      </c>
      <c r="AV99" s="22">
        <v>4719</v>
      </c>
      <c r="AW99" s="22">
        <v>4690</v>
      </c>
      <c r="AX99" s="22">
        <v>4607</v>
      </c>
      <c r="AY99" s="22">
        <v>4761</v>
      </c>
      <c r="AZ99" s="22">
        <v>4671</v>
      </c>
      <c r="BA99" s="22">
        <v>4653</v>
      </c>
      <c r="BB99" s="22">
        <v>4625</v>
      </c>
      <c r="BC99" s="22">
        <v>4634</v>
      </c>
      <c r="BD99" s="22">
        <v>4630</v>
      </c>
      <c r="BE99" s="22">
        <v>4733</v>
      </c>
      <c r="BF99" s="22">
        <v>4821</v>
      </c>
      <c r="BG99" s="22">
        <v>4874</v>
      </c>
      <c r="BH99" s="22">
        <v>4893</v>
      </c>
      <c r="BI99" s="22">
        <v>4920</v>
      </c>
      <c r="BJ99" s="22">
        <v>5030</v>
      </c>
      <c r="BK99" s="22">
        <v>5060</v>
      </c>
      <c r="BL99" s="22">
        <v>4909</v>
      </c>
      <c r="BM99" s="1">
        <v>4934</v>
      </c>
      <c r="BN99" s="1">
        <v>4971</v>
      </c>
      <c r="BO99" s="1">
        <v>5115</v>
      </c>
      <c r="BP99" s="1">
        <v>5197</v>
      </c>
    </row>
    <row r="100" spans="1:68" ht="15.9" customHeight="1">
      <c r="A100" s="81" t="s">
        <v>195</v>
      </c>
      <c r="B100" s="17" t="s">
        <v>196</v>
      </c>
      <c r="C100" s="26" t="str">
        <f>_xll.RssMarket("4528","始値")</f>
        <v/>
      </c>
      <c r="D100" s="25" t="e">
        <f t="shared" si="2"/>
        <v>#VALUE!</v>
      </c>
      <c r="E100" s="22">
        <v>2375.5</v>
      </c>
      <c r="F100" s="22">
        <v>2382.5</v>
      </c>
      <c r="G100" s="22">
        <v>2412</v>
      </c>
      <c r="H100" s="73">
        <v>2449</v>
      </c>
      <c r="I100" s="22">
        <v>2449.5</v>
      </c>
      <c r="J100" s="22">
        <v>2499</v>
      </c>
      <c r="K100" s="22">
        <v>2465</v>
      </c>
      <c r="L100" s="22">
        <v>2440</v>
      </c>
      <c r="M100" s="22">
        <v>2435</v>
      </c>
      <c r="N100" s="22">
        <v>2460</v>
      </c>
      <c r="O100" s="22">
        <v>2400</v>
      </c>
      <c r="P100" s="22">
        <v>2379</v>
      </c>
      <c r="Q100" s="22">
        <v>2397.5</v>
      </c>
      <c r="R100" s="22">
        <v>2387</v>
      </c>
      <c r="S100" s="22">
        <v>2360</v>
      </c>
      <c r="T100" s="22">
        <v>2384.5</v>
      </c>
      <c r="U100" s="22">
        <v>2326</v>
      </c>
      <c r="V100" s="22">
        <v>2340</v>
      </c>
      <c r="W100" s="22">
        <v>2335</v>
      </c>
      <c r="X100" s="22">
        <v>2210</v>
      </c>
      <c r="Y100" s="22">
        <v>2268.5</v>
      </c>
      <c r="Z100" s="22">
        <v>2259</v>
      </c>
      <c r="AA100" s="22">
        <v>2266.5</v>
      </c>
      <c r="AB100" s="22">
        <v>2296.5</v>
      </c>
      <c r="AC100" s="22">
        <v>2236</v>
      </c>
      <c r="AD100" s="22">
        <v>2186.5</v>
      </c>
      <c r="AE100" s="22">
        <v>2195.5</v>
      </c>
      <c r="AF100" s="22">
        <v>2243</v>
      </c>
      <c r="AG100" s="22">
        <v>2207</v>
      </c>
      <c r="AH100" s="22">
        <v>2172</v>
      </c>
      <c r="AI100" s="22">
        <v>2200</v>
      </c>
      <c r="AJ100" s="22">
        <v>2280</v>
      </c>
      <c r="AK100" s="22">
        <v>2406</v>
      </c>
      <c r="AL100" s="22">
        <v>2368</v>
      </c>
      <c r="AM100" s="22">
        <v>2344</v>
      </c>
      <c r="AN100" s="22">
        <v>2508</v>
      </c>
      <c r="AO100" s="22">
        <v>2484</v>
      </c>
      <c r="AP100" s="22">
        <v>2458</v>
      </c>
      <c r="AQ100" s="22">
        <v>2466.5</v>
      </c>
      <c r="AR100" s="22">
        <v>2400.5</v>
      </c>
      <c r="AS100" s="22">
        <v>2507</v>
      </c>
      <c r="AT100" s="22">
        <v>2563</v>
      </c>
      <c r="AU100" s="22">
        <v>2535</v>
      </c>
      <c r="AV100" s="22">
        <v>2500</v>
      </c>
      <c r="AW100" s="22">
        <v>2466.5</v>
      </c>
      <c r="AX100" s="22">
        <v>2480</v>
      </c>
      <c r="AY100" s="22">
        <v>2359</v>
      </c>
      <c r="AZ100" s="22">
        <v>2319</v>
      </c>
      <c r="BA100" s="22">
        <v>2287</v>
      </c>
      <c r="BB100" s="22">
        <v>2298</v>
      </c>
      <c r="BC100" s="22">
        <v>2316</v>
      </c>
      <c r="BD100" s="22">
        <v>2321</v>
      </c>
      <c r="BE100" s="22">
        <v>2321.5</v>
      </c>
      <c r="BF100" s="22">
        <v>2300</v>
      </c>
      <c r="BG100" s="22">
        <v>2342</v>
      </c>
      <c r="BH100" s="22">
        <v>2411</v>
      </c>
      <c r="BI100" s="22">
        <v>2412.5</v>
      </c>
      <c r="BJ100" s="22">
        <v>2465.5</v>
      </c>
      <c r="BK100" s="22">
        <v>2452</v>
      </c>
      <c r="BL100" s="22">
        <v>2485</v>
      </c>
      <c r="BM100" s="1">
        <v>2504.5</v>
      </c>
      <c r="BN100" s="1">
        <v>2500</v>
      </c>
      <c r="BO100" s="1">
        <v>2534</v>
      </c>
      <c r="BP100" s="1">
        <v>2582.5</v>
      </c>
    </row>
    <row r="101" spans="1:68" ht="15.9" customHeight="1">
      <c r="A101" s="81" t="s">
        <v>197</v>
      </c>
      <c r="B101" s="17" t="s">
        <v>198</v>
      </c>
      <c r="C101" s="26" t="str">
        <f>_xll.RssMarket("4661","始値")</f>
        <v/>
      </c>
      <c r="D101" s="25" t="e">
        <f t="shared" si="2"/>
        <v>#VALUE!</v>
      </c>
      <c r="E101" s="22">
        <v>2730</v>
      </c>
      <c r="F101" s="22">
        <v>2710</v>
      </c>
      <c r="G101" s="22">
        <v>2684</v>
      </c>
      <c r="H101" s="73">
        <v>2624</v>
      </c>
      <c r="I101" s="22">
        <v>2626</v>
      </c>
      <c r="J101" s="22">
        <v>2554</v>
      </c>
      <c r="K101" s="22">
        <v>2600</v>
      </c>
      <c r="L101" s="22">
        <v>2559</v>
      </c>
      <c r="M101" s="22">
        <v>2564.5</v>
      </c>
      <c r="N101" s="22">
        <v>2554.5</v>
      </c>
      <c r="O101" s="22">
        <v>2462</v>
      </c>
      <c r="P101" s="22">
        <v>2465</v>
      </c>
      <c r="Q101" s="22">
        <v>2518</v>
      </c>
      <c r="R101" s="22">
        <v>2410</v>
      </c>
      <c r="S101" s="22">
        <v>2395</v>
      </c>
      <c r="T101" s="22">
        <v>2374</v>
      </c>
      <c r="U101" s="22">
        <v>2380</v>
      </c>
      <c r="V101" s="22">
        <v>2310.5</v>
      </c>
      <c r="W101" s="22">
        <v>2328</v>
      </c>
      <c r="X101" s="22">
        <v>2292.5</v>
      </c>
      <c r="Y101" s="22">
        <v>2275.5</v>
      </c>
      <c r="Z101" s="22">
        <v>2290</v>
      </c>
      <c r="AA101" s="22">
        <v>2272</v>
      </c>
      <c r="AB101" s="22">
        <v>2236.5</v>
      </c>
      <c r="AC101" s="22">
        <v>2278.5</v>
      </c>
      <c r="AD101" s="22">
        <v>2292.5</v>
      </c>
      <c r="AE101" s="22">
        <v>2244</v>
      </c>
      <c r="AF101" s="22">
        <v>2222</v>
      </c>
      <c r="AG101" s="22">
        <v>2205</v>
      </c>
      <c r="AH101" s="22">
        <v>2215</v>
      </c>
      <c r="AI101" s="22">
        <v>2154</v>
      </c>
      <c r="AJ101" s="22">
        <v>2221</v>
      </c>
      <c r="AK101" s="22">
        <v>2260</v>
      </c>
      <c r="AL101" s="22">
        <v>2220</v>
      </c>
      <c r="AM101" s="22">
        <v>2125</v>
      </c>
      <c r="AN101" s="22">
        <v>2140</v>
      </c>
      <c r="AO101" s="22">
        <v>2135</v>
      </c>
      <c r="AP101" s="22">
        <v>2200</v>
      </c>
      <c r="AQ101" s="22">
        <v>2244</v>
      </c>
      <c r="AR101" s="22">
        <v>2165</v>
      </c>
      <c r="AS101" s="22">
        <v>2186</v>
      </c>
      <c r="AT101" s="22">
        <v>2141</v>
      </c>
      <c r="AU101" s="22">
        <v>2160</v>
      </c>
      <c r="AV101" s="22">
        <v>2195</v>
      </c>
      <c r="AW101" s="22">
        <v>2180</v>
      </c>
      <c r="AX101" s="22">
        <v>2220</v>
      </c>
      <c r="AY101" s="22">
        <v>2245</v>
      </c>
      <c r="AZ101" s="22">
        <v>2223</v>
      </c>
      <c r="BA101" s="22">
        <v>2230</v>
      </c>
      <c r="BB101" s="22">
        <v>2250</v>
      </c>
      <c r="BC101" s="22">
        <v>2415</v>
      </c>
      <c r="BD101" s="22">
        <v>2397</v>
      </c>
      <c r="BE101" s="22">
        <v>2448</v>
      </c>
      <c r="BF101" s="22">
        <v>2553.5</v>
      </c>
      <c r="BG101" s="22">
        <v>2607.5</v>
      </c>
      <c r="BH101" s="22">
        <v>2644</v>
      </c>
      <c r="BI101" s="22">
        <v>2649</v>
      </c>
      <c r="BJ101" s="22">
        <v>2618</v>
      </c>
      <c r="BK101" s="22">
        <v>2666</v>
      </c>
      <c r="BL101" s="22">
        <v>2556.5</v>
      </c>
      <c r="BM101" s="1">
        <v>2601</v>
      </c>
      <c r="BN101" s="1">
        <v>2608.5</v>
      </c>
      <c r="BO101" s="1">
        <v>2600</v>
      </c>
      <c r="BP101" s="1">
        <v>2660</v>
      </c>
    </row>
    <row r="102" spans="1:68" ht="15.9" customHeight="1">
      <c r="A102" s="81" t="s">
        <v>199</v>
      </c>
      <c r="B102" s="17" t="s">
        <v>200</v>
      </c>
      <c r="C102" s="26" t="str">
        <f>_xll.RssMarket("5802","始値")</f>
        <v/>
      </c>
      <c r="D102" s="25" t="e">
        <f t="shared" ref="D102:D133" si="3">C102-E102</f>
        <v>#VALUE!</v>
      </c>
      <c r="E102" s="22">
        <v>2300</v>
      </c>
      <c r="F102" s="22">
        <v>2495</v>
      </c>
      <c r="G102" s="22">
        <v>2451.5</v>
      </c>
      <c r="H102" s="73">
        <v>2571</v>
      </c>
      <c r="I102" s="22">
        <v>2588</v>
      </c>
      <c r="J102" s="22">
        <v>2448</v>
      </c>
      <c r="K102" s="22">
        <v>2358</v>
      </c>
      <c r="L102" s="22">
        <v>2556</v>
      </c>
      <c r="M102" s="22">
        <v>2668</v>
      </c>
      <c r="N102" s="22">
        <v>2567.5</v>
      </c>
      <c r="O102" s="22">
        <v>2780.5</v>
      </c>
      <c r="P102" s="22">
        <v>3017</v>
      </c>
      <c r="Q102" s="22">
        <v>2948</v>
      </c>
      <c r="R102" s="22">
        <v>2960</v>
      </c>
      <c r="S102" s="22">
        <v>12485</v>
      </c>
      <c r="T102" s="22">
        <v>12615</v>
      </c>
      <c r="U102" s="22">
        <v>12310</v>
      </c>
      <c r="V102" s="22">
        <v>14100</v>
      </c>
      <c r="W102" s="22">
        <v>13695</v>
      </c>
      <c r="X102" s="22">
        <v>14000</v>
      </c>
      <c r="Y102" s="22">
        <v>12275</v>
      </c>
      <c r="Z102" s="22">
        <v>12000</v>
      </c>
      <c r="AA102" s="22">
        <v>11510</v>
      </c>
      <c r="AB102" s="22">
        <v>11325</v>
      </c>
      <c r="AC102" s="22">
        <v>10960</v>
      </c>
      <c r="AD102" s="22">
        <v>9945</v>
      </c>
      <c r="AE102" s="22">
        <v>11460</v>
      </c>
      <c r="AF102" s="22">
        <v>11725</v>
      </c>
      <c r="AG102" s="22">
        <v>12865</v>
      </c>
      <c r="AH102" s="22">
        <v>13845</v>
      </c>
      <c r="AI102" s="22">
        <v>14815</v>
      </c>
      <c r="AJ102" s="22">
        <v>12880</v>
      </c>
      <c r="AK102" s="22">
        <v>12095</v>
      </c>
      <c r="AL102" s="22">
        <v>11720</v>
      </c>
      <c r="AM102" s="22">
        <v>12495</v>
      </c>
      <c r="AN102" s="22">
        <v>12165</v>
      </c>
      <c r="AO102" s="22">
        <v>11470</v>
      </c>
      <c r="AP102" s="22">
        <v>10825</v>
      </c>
      <c r="AQ102" s="22">
        <v>10285</v>
      </c>
      <c r="AR102" s="22">
        <v>11310</v>
      </c>
      <c r="AS102" s="22">
        <v>11090</v>
      </c>
      <c r="AT102" s="22">
        <v>12200</v>
      </c>
      <c r="AU102" s="22">
        <v>12890</v>
      </c>
      <c r="AV102" s="22">
        <v>11350</v>
      </c>
      <c r="AW102" s="22">
        <v>12410</v>
      </c>
      <c r="AX102" s="22">
        <v>11650</v>
      </c>
      <c r="AY102" s="22">
        <v>11005</v>
      </c>
      <c r="AZ102" s="22">
        <v>10710</v>
      </c>
      <c r="BA102" s="22">
        <v>10280</v>
      </c>
      <c r="BB102" s="22">
        <v>10230</v>
      </c>
      <c r="BC102" s="22">
        <v>10000</v>
      </c>
      <c r="BD102" s="22">
        <v>9962</v>
      </c>
      <c r="BE102" s="22">
        <v>10345</v>
      </c>
      <c r="BF102" s="22">
        <v>10805</v>
      </c>
      <c r="BG102" s="22">
        <v>10290</v>
      </c>
      <c r="BH102" s="22">
        <v>10300</v>
      </c>
      <c r="BI102" s="22">
        <v>10130</v>
      </c>
      <c r="BJ102" s="22">
        <v>10050</v>
      </c>
      <c r="BK102" s="22">
        <v>9650</v>
      </c>
      <c r="BL102" s="22">
        <v>10375</v>
      </c>
      <c r="BM102" s="1">
        <v>10130</v>
      </c>
      <c r="BN102" s="1">
        <v>10485</v>
      </c>
      <c r="BO102" s="1">
        <v>10110</v>
      </c>
      <c r="BP102" s="1">
        <v>10165</v>
      </c>
    </row>
    <row r="103" spans="1:68" ht="15.9" customHeight="1">
      <c r="A103" s="81" t="s">
        <v>201</v>
      </c>
      <c r="B103" s="17" t="s">
        <v>202</v>
      </c>
      <c r="C103" s="26" t="str">
        <f>_xll.RssMarket("5803","始値")</f>
        <v/>
      </c>
      <c r="D103" s="25" t="e">
        <f t="shared" si="3"/>
        <v>#VALUE!</v>
      </c>
      <c r="E103" s="22">
        <v>4561</v>
      </c>
      <c r="F103" s="22">
        <v>4948</v>
      </c>
      <c r="G103" s="22">
        <v>4800</v>
      </c>
      <c r="H103" s="73">
        <v>5134</v>
      </c>
      <c r="I103" s="22">
        <v>5125</v>
      </c>
      <c r="J103" s="22">
        <v>4961</v>
      </c>
      <c r="K103" s="22">
        <v>4910</v>
      </c>
      <c r="L103" s="22">
        <v>5254</v>
      </c>
      <c r="M103" s="22">
        <v>5299</v>
      </c>
      <c r="N103" s="22">
        <v>5100</v>
      </c>
      <c r="O103" s="22">
        <v>5500</v>
      </c>
      <c r="P103" s="22">
        <v>6350</v>
      </c>
      <c r="Q103" s="22">
        <v>6085</v>
      </c>
      <c r="R103" s="22">
        <v>6127</v>
      </c>
      <c r="S103" s="22">
        <v>6360</v>
      </c>
      <c r="T103" s="22">
        <v>6613</v>
      </c>
      <c r="U103" s="22">
        <v>6400</v>
      </c>
      <c r="V103" s="22">
        <v>7023</v>
      </c>
      <c r="W103" s="22">
        <v>6161</v>
      </c>
      <c r="X103" s="22">
        <v>5161</v>
      </c>
      <c r="Y103" s="22">
        <v>4791</v>
      </c>
      <c r="Z103" s="22">
        <v>4600</v>
      </c>
      <c r="AA103" s="22">
        <v>4400</v>
      </c>
      <c r="AB103" s="22">
        <v>4450</v>
      </c>
      <c r="AC103" s="22">
        <v>4352</v>
      </c>
      <c r="AD103" s="22">
        <v>4006</v>
      </c>
      <c r="AE103" s="22">
        <v>4320</v>
      </c>
      <c r="AF103" s="22">
        <v>4386</v>
      </c>
      <c r="AG103" s="22">
        <v>4654</v>
      </c>
      <c r="AH103" s="22">
        <v>4831</v>
      </c>
      <c r="AI103" s="22">
        <v>4854</v>
      </c>
      <c r="AJ103" s="22">
        <v>4607</v>
      </c>
      <c r="AK103" s="22">
        <v>5044</v>
      </c>
      <c r="AL103" s="22">
        <v>4998</v>
      </c>
      <c r="AM103" s="22">
        <v>5500</v>
      </c>
      <c r="AN103" s="22">
        <v>5360</v>
      </c>
      <c r="AO103" s="22">
        <v>4650</v>
      </c>
      <c r="AP103" s="22">
        <v>4550</v>
      </c>
      <c r="AQ103" s="22">
        <v>4275</v>
      </c>
      <c r="AR103" s="22">
        <v>5600</v>
      </c>
      <c r="AS103" s="22">
        <v>5842</v>
      </c>
      <c r="AT103" s="22">
        <v>6418</v>
      </c>
      <c r="AU103" s="22">
        <v>7662</v>
      </c>
      <c r="AV103" s="22">
        <v>7324</v>
      </c>
      <c r="AW103" s="22">
        <v>7250</v>
      </c>
      <c r="AX103" s="22">
        <v>6780</v>
      </c>
      <c r="AY103" s="22">
        <v>6428</v>
      </c>
      <c r="AZ103" s="22">
        <v>6300</v>
      </c>
      <c r="BA103" s="22">
        <v>5983</v>
      </c>
      <c r="BB103" s="22">
        <v>5981</v>
      </c>
      <c r="BC103" s="22">
        <v>6231</v>
      </c>
      <c r="BD103" s="22">
        <v>6037</v>
      </c>
      <c r="BE103" s="22">
        <v>5987</v>
      </c>
      <c r="BF103" s="22">
        <v>6119</v>
      </c>
      <c r="BG103" s="22">
        <v>5833</v>
      </c>
      <c r="BH103" s="22">
        <v>5577</v>
      </c>
      <c r="BI103" s="22">
        <v>5692</v>
      </c>
      <c r="BJ103" s="22">
        <v>5903</v>
      </c>
      <c r="BK103" s="22">
        <v>5600</v>
      </c>
      <c r="BL103" s="22">
        <v>5960</v>
      </c>
      <c r="BM103" s="1">
        <v>5947</v>
      </c>
      <c r="BN103" s="1">
        <v>5914</v>
      </c>
      <c r="BO103" s="1">
        <v>5176</v>
      </c>
      <c r="BP103" s="1">
        <v>4806</v>
      </c>
    </row>
    <row r="104" spans="1:68" ht="15.9" customHeight="1">
      <c r="A104" s="81" t="s">
        <v>203</v>
      </c>
      <c r="B104" s="17" t="s">
        <v>204</v>
      </c>
      <c r="C104" s="26" t="str">
        <f>_xll.RssMarket("6178","始値")</f>
        <v/>
      </c>
      <c r="D104" s="25" t="e">
        <f t="shared" si="3"/>
        <v>#VALUE!</v>
      </c>
      <c r="E104" s="22">
        <v>2379</v>
      </c>
      <c r="F104" s="22">
        <v>2389</v>
      </c>
      <c r="G104" s="22">
        <v>2340</v>
      </c>
      <c r="H104" s="73">
        <v>2371</v>
      </c>
      <c r="I104" s="22">
        <v>2360</v>
      </c>
      <c r="J104" s="22">
        <v>2344.5</v>
      </c>
      <c r="K104" s="22">
        <v>2288.5</v>
      </c>
      <c r="L104" s="22">
        <v>2287.5</v>
      </c>
      <c r="M104" s="22">
        <v>2200.5</v>
      </c>
      <c r="N104" s="22">
        <v>2184.5</v>
      </c>
      <c r="O104" s="22">
        <v>2173</v>
      </c>
      <c r="P104" s="22">
        <v>2176</v>
      </c>
      <c r="Q104" s="22">
        <v>2231</v>
      </c>
      <c r="R104" s="22">
        <v>2225.5</v>
      </c>
      <c r="S104" s="22">
        <v>2238</v>
      </c>
      <c r="T104" s="22">
        <v>2210.5</v>
      </c>
      <c r="U104" s="22">
        <v>2212.5</v>
      </c>
      <c r="V104" s="22">
        <v>2212</v>
      </c>
      <c r="W104" s="22">
        <v>2272</v>
      </c>
      <c r="X104" s="22">
        <v>2250</v>
      </c>
      <c r="Y104" s="22">
        <v>2325</v>
      </c>
      <c r="Z104" s="22">
        <v>2280.5</v>
      </c>
      <c r="AA104" s="22">
        <v>2230.5</v>
      </c>
      <c r="AB104" s="22">
        <v>2204</v>
      </c>
      <c r="AC104" s="22">
        <v>2108.5</v>
      </c>
      <c r="AD104" s="22">
        <v>2155</v>
      </c>
      <c r="AE104" s="22">
        <v>2108.5</v>
      </c>
      <c r="AF104" s="22">
        <v>2090</v>
      </c>
      <c r="AG104" s="22">
        <v>2005</v>
      </c>
      <c r="AH104" s="22">
        <v>2052</v>
      </c>
      <c r="AI104" s="22">
        <v>2024.5</v>
      </c>
      <c r="AJ104" s="22">
        <v>2070</v>
      </c>
      <c r="AK104" s="22">
        <v>2093</v>
      </c>
      <c r="AL104" s="22">
        <v>2115.5</v>
      </c>
      <c r="AM104" s="22">
        <v>2110</v>
      </c>
      <c r="AN104" s="22">
        <v>2126.5</v>
      </c>
      <c r="AO104" s="22">
        <v>2065</v>
      </c>
      <c r="AP104" s="22">
        <v>1997</v>
      </c>
      <c r="AQ104" s="22">
        <v>1951</v>
      </c>
      <c r="AR104" s="22">
        <v>1951.5</v>
      </c>
      <c r="AS104" s="22">
        <v>1900</v>
      </c>
      <c r="AT104" s="22">
        <v>1876.5</v>
      </c>
      <c r="AU104" s="22">
        <v>1863</v>
      </c>
      <c r="AV104" s="22">
        <v>1857</v>
      </c>
      <c r="AW104" s="22">
        <v>1845.5</v>
      </c>
      <c r="AX104" s="22">
        <v>1812.5</v>
      </c>
      <c r="AY104" s="22">
        <v>1810</v>
      </c>
      <c r="AZ104" s="22">
        <v>1775</v>
      </c>
      <c r="BA104" s="22">
        <v>1762</v>
      </c>
      <c r="BB104" s="22">
        <v>1784.5</v>
      </c>
      <c r="BC104" s="22">
        <v>1789</v>
      </c>
      <c r="BD104" s="22">
        <v>1820.5</v>
      </c>
      <c r="BE104" s="22">
        <v>1856.5</v>
      </c>
      <c r="BF104" s="22">
        <v>1880.5</v>
      </c>
      <c r="BG104" s="22">
        <v>1887.5</v>
      </c>
      <c r="BH104" s="22">
        <v>1900</v>
      </c>
      <c r="BI104" s="22">
        <v>1858.5</v>
      </c>
      <c r="BJ104" s="22">
        <v>1881.5</v>
      </c>
      <c r="BK104" s="22">
        <v>1831</v>
      </c>
      <c r="BL104" s="22">
        <v>1891.5</v>
      </c>
      <c r="BM104" s="1">
        <v>1913.5</v>
      </c>
      <c r="BN104" s="1">
        <v>1924</v>
      </c>
      <c r="BO104" s="1">
        <v>1849</v>
      </c>
    </row>
    <row r="105" spans="1:68" ht="15.9" customHeight="1">
      <c r="A105" s="81" t="s">
        <v>205</v>
      </c>
      <c r="B105" s="17" t="s">
        <v>206</v>
      </c>
      <c r="C105" s="26" t="str">
        <f>_xll.RssMarket("6925","始値")</f>
        <v/>
      </c>
      <c r="D105" s="25" t="e">
        <f t="shared" si="3"/>
        <v>#VALUE!</v>
      </c>
      <c r="E105" s="22">
        <v>3931</v>
      </c>
      <c r="F105" s="22">
        <v>4156</v>
      </c>
      <c r="G105" s="22">
        <v>4089</v>
      </c>
      <c r="H105" s="76">
        <v>4302</v>
      </c>
      <c r="I105" s="22">
        <v>4478</v>
      </c>
      <c r="J105" s="22">
        <v>4221</v>
      </c>
      <c r="K105" s="22">
        <v>4230</v>
      </c>
      <c r="L105" s="22">
        <v>4470</v>
      </c>
      <c r="M105" s="22">
        <v>4682</v>
      </c>
      <c r="N105" s="22">
        <v>4484</v>
      </c>
      <c r="O105" s="22">
        <v>4688</v>
      </c>
      <c r="P105" s="22">
        <v>5048</v>
      </c>
      <c r="Q105" s="22">
        <v>4333</v>
      </c>
      <c r="R105" s="22">
        <v>4396</v>
      </c>
      <c r="S105" s="22">
        <v>4497</v>
      </c>
      <c r="T105" s="22">
        <v>4539</v>
      </c>
      <c r="U105" s="22">
        <v>4470</v>
      </c>
      <c r="V105" s="22">
        <v>4810</v>
      </c>
      <c r="W105" s="22">
        <v>4693</v>
      </c>
      <c r="X105" s="22">
        <v>4749</v>
      </c>
      <c r="Y105" s="22">
        <v>4630</v>
      </c>
      <c r="Z105" s="22">
        <v>4478</v>
      </c>
      <c r="AA105" s="22">
        <v>4274</v>
      </c>
      <c r="AB105" s="22">
        <v>4200</v>
      </c>
      <c r="AC105" s="22">
        <v>4025</v>
      </c>
      <c r="AD105" s="22">
        <v>3794</v>
      </c>
      <c r="AE105" s="22">
        <v>4027</v>
      </c>
      <c r="AF105" s="22">
        <v>3980</v>
      </c>
      <c r="AG105" s="22">
        <v>4269</v>
      </c>
      <c r="AH105" s="22">
        <v>4077</v>
      </c>
      <c r="AI105" s="22">
        <v>4067</v>
      </c>
      <c r="AJ105" s="22">
        <v>4059</v>
      </c>
      <c r="AK105" s="22">
        <v>4229</v>
      </c>
      <c r="AL105" s="22">
        <v>4192</v>
      </c>
      <c r="AM105" s="22">
        <v>4226</v>
      </c>
      <c r="AN105" s="22">
        <v>4100</v>
      </c>
      <c r="AO105" s="22">
        <v>4050</v>
      </c>
      <c r="AP105" s="22">
        <v>3833</v>
      </c>
      <c r="AQ105" s="22">
        <v>3858</v>
      </c>
      <c r="AR105" s="22">
        <v>4138</v>
      </c>
      <c r="AS105" s="22">
        <v>4250</v>
      </c>
      <c r="AT105" s="22">
        <v>4239</v>
      </c>
      <c r="AU105" s="22">
        <v>3419</v>
      </c>
      <c r="AV105" s="22">
        <v>3439</v>
      </c>
      <c r="AW105" s="22">
        <v>3468</v>
      </c>
      <c r="AX105" s="22">
        <v>3405</v>
      </c>
      <c r="AY105" s="22">
        <v>3343</v>
      </c>
      <c r="AZ105" s="22">
        <v>3235</v>
      </c>
      <c r="BA105" s="22">
        <v>3126</v>
      </c>
      <c r="BB105" s="22">
        <v>3090</v>
      </c>
      <c r="BC105" s="22">
        <v>3135</v>
      </c>
      <c r="BD105" s="22">
        <v>3200</v>
      </c>
      <c r="BE105" s="22">
        <v>3224</v>
      </c>
      <c r="BF105" s="22">
        <v>3150</v>
      </c>
      <c r="BG105" s="22">
        <v>3180</v>
      </c>
      <c r="BH105" s="22">
        <v>3207</v>
      </c>
      <c r="BI105" s="22">
        <v>3156</v>
      </c>
      <c r="BJ105" s="22">
        <v>3320</v>
      </c>
      <c r="BK105" s="22">
        <v>3299</v>
      </c>
      <c r="BL105" s="22">
        <v>3282</v>
      </c>
      <c r="BM105" s="1">
        <v>3251</v>
      </c>
      <c r="BN105" s="1">
        <v>3231</v>
      </c>
      <c r="BO105" s="1">
        <v>3232</v>
      </c>
      <c r="BP105" s="1">
        <v>3200</v>
      </c>
    </row>
    <row r="106" spans="1:68" ht="15.9" customHeight="1">
      <c r="A106" s="81" t="s">
        <v>207</v>
      </c>
      <c r="B106" s="17" t="s">
        <v>208</v>
      </c>
      <c r="C106" s="26" t="str">
        <f>_xll.RssMarket("7021","始値")</f>
        <v/>
      </c>
      <c r="D106" s="25" t="e">
        <f t="shared" si="3"/>
        <v>#VALUE!</v>
      </c>
      <c r="E106" s="22">
        <v>1876</v>
      </c>
      <c r="F106" s="22">
        <v>1859</v>
      </c>
      <c r="G106" s="22">
        <v>1849</v>
      </c>
      <c r="H106" s="76">
        <v>1859</v>
      </c>
      <c r="I106" s="22">
        <v>1825</v>
      </c>
      <c r="J106" s="22">
        <v>1813</v>
      </c>
      <c r="K106" s="22">
        <v>1821</v>
      </c>
      <c r="L106" s="22">
        <v>1808</v>
      </c>
      <c r="M106" s="22">
        <v>1790</v>
      </c>
      <c r="N106" s="22">
        <v>1799</v>
      </c>
      <c r="O106" s="22">
        <v>1785</v>
      </c>
      <c r="P106" s="22">
        <v>1775</v>
      </c>
      <c r="Q106" s="22">
        <v>1791</v>
      </c>
      <c r="R106" s="22">
        <v>1771</v>
      </c>
      <c r="S106" s="22">
        <v>1770</v>
      </c>
      <c r="T106" s="22">
        <v>1761</v>
      </c>
      <c r="U106" s="22">
        <v>1787</v>
      </c>
      <c r="V106" s="22">
        <v>1753</v>
      </c>
      <c r="W106" s="22">
        <v>1793</v>
      </c>
      <c r="X106" s="22">
        <v>1809</v>
      </c>
      <c r="Y106" s="22">
        <v>1780</v>
      </c>
      <c r="Z106" s="22">
        <v>1826</v>
      </c>
      <c r="AA106" s="22">
        <v>1804</v>
      </c>
      <c r="AB106" s="22">
        <v>1812</v>
      </c>
      <c r="AC106" s="22">
        <v>1800</v>
      </c>
      <c r="AD106" s="22">
        <v>1770</v>
      </c>
      <c r="AE106" s="22">
        <v>1759</v>
      </c>
      <c r="AF106" s="22">
        <v>1749</v>
      </c>
      <c r="AG106" s="22">
        <v>1800</v>
      </c>
      <c r="AH106" s="22">
        <v>1803</v>
      </c>
      <c r="AI106" s="22">
        <v>1854</v>
      </c>
      <c r="AJ106" s="22">
        <v>1819</v>
      </c>
      <c r="AK106" s="22">
        <v>1823</v>
      </c>
      <c r="AL106" s="22">
        <v>1868</v>
      </c>
      <c r="AM106" s="22">
        <v>1881</v>
      </c>
      <c r="AN106" s="22">
        <v>1915</v>
      </c>
      <c r="AO106" s="22">
        <v>1980</v>
      </c>
      <c r="AP106" s="22">
        <v>2088</v>
      </c>
      <c r="AQ106" s="22">
        <v>2189</v>
      </c>
      <c r="AR106" s="22">
        <v>2118</v>
      </c>
      <c r="AS106" s="22">
        <v>2151</v>
      </c>
      <c r="AT106" s="22">
        <v>2141</v>
      </c>
      <c r="AU106" s="22">
        <v>2170</v>
      </c>
      <c r="AV106" s="22">
        <v>2150</v>
      </c>
      <c r="AW106" s="22">
        <v>2175</v>
      </c>
      <c r="AX106" s="22">
        <v>2225</v>
      </c>
      <c r="AY106" s="22">
        <v>2176</v>
      </c>
      <c r="AZ106" s="22">
        <v>2259</v>
      </c>
      <c r="BA106" s="22">
        <v>2258</v>
      </c>
      <c r="BB106" s="22">
        <v>2295</v>
      </c>
      <c r="BC106" s="22">
        <v>2289</v>
      </c>
      <c r="BD106" s="22">
        <v>2364</v>
      </c>
      <c r="BE106" s="22">
        <v>2341</v>
      </c>
      <c r="BF106" s="22">
        <v>2337</v>
      </c>
      <c r="BG106" s="22">
        <v>2360</v>
      </c>
      <c r="BH106" s="22">
        <v>2343</v>
      </c>
      <c r="BI106" s="22">
        <v>2339</v>
      </c>
      <c r="BJ106" s="22">
        <v>2329</v>
      </c>
      <c r="BK106" s="22">
        <v>2301</v>
      </c>
      <c r="BL106" s="22">
        <v>2296</v>
      </c>
      <c r="BM106" s="1">
        <v>2295</v>
      </c>
      <c r="BN106" s="1">
        <v>2260</v>
      </c>
      <c r="BO106" s="1">
        <v>2295</v>
      </c>
      <c r="BP106" s="1">
        <v>2250</v>
      </c>
    </row>
    <row r="107" spans="1:68" ht="15.9" customHeight="1">
      <c r="A107" s="81" t="s">
        <v>209</v>
      </c>
      <c r="B107" s="17" t="s">
        <v>210</v>
      </c>
      <c r="C107" s="26" t="str">
        <f>_xll.RssMarket("7729","始値")</f>
        <v/>
      </c>
      <c r="D107" s="25" t="e">
        <f t="shared" si="3"/>
        <v>#VALUE!</v>
      </c>
      <c r="E107" s="22">
        <v>17910</v>
      </c>
      <c r="F107" s="22">
        <v>18470</v>
      </c>
      <c r="G107" s="22">
        <v>18415</v>
      </c>
      <c r="H107" s="76">
        <v>18910</v>
      </c>
      <c r="I107" s="22">
        <v>18400</v>
      </c>
      <c r="J107" s="22">
        <v>17815</v>
      </c>
      <c r="K107" s="22">
        <v>17200</v>
      </c>
      <c r="L107" s="22">
        <v>18510</v>
      </c>
      <c r="M107" s="22">
        <v>19405</v>
      </c>
      <c r="N107" s="22">
        <v>18235</v>
      </c>
      <c r="O107" s="22">
        <v>20015</v>
      </c>
      <c r="P107" s="22">
        <v>21000</v>
      </c>
      <c r="Q107" s="22">
        <v>19675</v>
      </c>
      <c r="R107" s="22">
        <v>19320</v>
      </c>
      <c r="S107" s="22">
        <v>19560</v>
      </c>
      <c r="T107" s="22">
        <v>19850</v>
      </c>
      <c r="U107" s="22">
        <v>18865</v>
      </c>
      <c r="V107" s="22">
        <v>20495</v>
      </c>
      <c r="W107" s="22">
        <v>20075</v>
      </c>
      <c r="X107" s="22">
        <v>20645</v>
      </c>
      <c r="Y107" s="22">
        <v>19850</v>
      </c>
      <c r="Z107" s="22">
        <v>18490</v>
      </c>
      <c r="AA107" s="22">
        <v>19775</v>
      </c>
      <c r="AB107" s="22">
        <v>19455</v>
      </c>
      <c r="AC107" s="22">
        <v>18430</v>
      </c>
      <c r="AD107" s="22">
        <v>16355</v>
      </c>
      <c r="AE107" s="22">
        <v>17270</v>
      </c>
      <c r="AF107" s="22">
        <v>15910</v>
      </c>
      <c r="AG107" s="22">
        <v>17925</v>
      </c>
      <c r="AH107" s="22">
        <v>17360</v>
      </c>
      <c r="AI107" s="22">
        <v>17250</v>
      </c>
      <c r="AJ107" s="22">
        <v>16975</v>
      </c>
      <c r="AK107" s="22">
        <v>17970</v>
      </c>
      <c r="AL107" s="22">
        <v>17420</v>
      </c>
      <c r="AM107" s="22">
        <v>17795</v>
      </c>
      <c r="AN107" s="22">
        <v>17770</v>
      </c>
      <c r="AO107" s="22">
        <v>16650</v>
      </c>
      <c r="AP107" s="22">
        <v>16390</v>
      </c>
      <c r="AQ107" s="22">
        <v>15700</v>
      </c>
      <c r="AR107" s="22">
        <v>16200</v>
      </c>
      <c r="AS107" s="22">
        <v>16515</v>
      </c>
      <c r="AT107" s="22">
        <v>18155</v>
      </c>
      <c r="AU107" s="22">
        <v>19285</v>
      </c>
      <c r="AV107" s="22">
        <v>18585</v>
      </c>
      <c r="AW107" s="22">
        <v>19365</v>
      </c>
      <c r="AX107" s="22">
        <v>19400</v>
      </c>
      <c r="AY107" s="22">
        <v>18000</v>
      </c>
      <c r="AZ107" s="22">
        <v>18375</v>
      </c>
      <c r="BA107" s="22">
        <v>17240</v>
      </c>
      <c r="BB107" s="22">
        <v>17355</v>
      </c>
      <c r="BC107" s="22">
        <v>17325</v>
      </c>
      <c r="BD107" s="22">
        <v>17640</v>
      </c>
      <c r="BE107" s="22">
        <v>16950</v>
      </c>
      <c r="BF107" s="22">
        <v>17220</v>
      </c>
      <c r="BG107" s="22">
        <v>16715</v>
      </c>
      <c r="BH107" s="22">
        <v>16440</v>
      </c>
      <c r="BI107" s="22">
        <v>16665</v>
      </c>
      <c r="BJ107" s="22">
        <v>16810</v>
      </c>
      <c r="BK107" s="22">
        <v>16595</v>
      </c>
      <c r="BL107" s="22">
        <v>16435</v>
      </c>
      <c r="BM107" s="1">
        <v>16100</v>
      </c>
      <c r="BN107" s="1">
        <v>15605</v>
      </c>
      <c r="BO107" s="1">
        <v>15680</v>
      </c>
      <c r="BP107" s="1">
        <v>15345</v>
      </c>
    </row>
    <row r="108" spans="1:68" ht="15.9" customHeight="1">
      <c r="A108" s="81" t="s">
        <v>211</v>
      </c>
      <c r="B108" s="17" t="s">
        <v>212</v>
      </c>
      <c r="C108" s="26" t="str">
        <f>_xll.RssMarket("8424","始値")</f>
        <v/>
      </c>
      <c r="D108" s="25" t="e">
        <f t="shared" si="3"/>
        <v>#VALUE!</v>
      </c>
      <c r="E108" s="22">
        <v>4352</v>
      </c>
      <c r="F108" s="22">
        <v>4368</v>
      </c>
      <c r="G108" s="22">
        <v>4307</v>
      </c>
      <c r="H108" s="76">
        <v>4310</v>
      </c>
      <c r="I108" s="22">
        <v>4278</v>
      </c>
      <c r="J108" s="22">
        <v>4260</v>
      </c>
      <c r="K108" s="22">
        <v>4273</v>
      </c>
      <c r="L108" s="22">
        <v>4280</v>
      </c>
      <c r="M108" s="22">
        <v>4200</v>
      </c>
      <c r="N108" s="22">
        <v>4222</v>
      </c>
      <c r="O108" s="22">
        <v>4230</v>
      </c>
      <c r="P108" s="22">
        <v>4240</v>
      </c>
      <c r="Q108" s="22">
        <v>4246</v>
      </c>
      <c r="R108" s="22">
        <v>4250</v>
      </c>
      <c r="S108" s="22">
        <v>4176</v>
      </c>
      <c r="T108" s="22">
        <v>4210</v>
      </c>
      <c r="U108" s="22">
        <v>4226</v>
      </c>
      <c r="V108" s="22">
        <v>4213</v>
      </c>
      <c r="W108" s="22">
        <v>4250</v>
      </c>
      <c r="X108" s="22">
        <v>4302</v>
      </c>
      <c r="Y108" s="22">
        <v>4300</v>
      </c>
      <c r="Z108" s="22">
        <v>4306</v>
      </c>
      <c r="AA108" s="22">
        <v>4264</v>
      </c>
      <c r="AB108" s="22">
        <v>4309</v>
      </c>
      <c r="AC108" s="22">
        <v>4272</v>
      </c>
      <c r="AD108" s="22">
        <v>4118</v>
      </c>
      <c r="AE108" s="22">
        <v>4100</v>
      </c>
      <c r="AF108" s="22">
        <v>4077</v>
      </c>
      <c r="AG108" s="22">
        <v>4054</v>
      </c>
      <c r="AH108" s="22">
        <v>4075</v>
      </c>
      <c r="AI108" s="22">
        <v>4170</v>
      </c>
      <c r="AJ108" s="22">
        <v>4185</v>
      </c>
      <c r="AK108" s="22">
        <v>4190</v>
      </c>
      <c r="AL108" s="22">
        <v>4280</v>
      </c>
      <c r="AM108" s="22">
        <v>4371</v>
      </c>
      <c r="AN108" s="22">
        <v>4403</v>
      </c>
      <c r="AO108" s="22">
        <v>4387</v>
      </c>
      <c r="AP108" s="22">
        <v>4342</v>
      </c>
      <c r="AQ108" s="22">
        <v>4378</v>
      </c>
      <c r="AR108" s="22">
        <v>4396</v>
      </c>
      <c r="AS108" s="22">
        <v>4350</v>
      </c>
      <c r="AT108" s="22">
        <v>4363</v>
      </c>
      <c r="AU108" s="22">
        <v>4300</v>
      </c>
      <c r="AV108" s="22">
        <v>4290</v>
      </c>
      <c r="AW108" s="22">
        <v>4322</v>
      </c>
      <c r="AX108" s="22">
        <v>4313</v>
      </c>
      <c r="AY108" s="22">
        <v>4312</v>
      </c>
      <c r="AZ108" s="22">
        <v>4337</v>
      </c>
      <c r="BA108" s="22">
        <v>4267</v>
      </c>
      <c r="BB108" s="22">
        <v>4243</v>
      </c>
      <c r="BC108" s="22">
        <v>4260</v>
      </c>
      <c r="BD108" s="22">
        <v>4230</v>
      </c>
      <c r="BE108" s="22">
        <v>4273</v>
      </c>
      <c r="BF108" s="22">
        <v>4315</v>
      </c>
      <c r="BG108" s="22">
        <v>4353</v>
      </c>
      <c r="BH108" s="22">
        <v>4330</v>
      </c>
      <c r="BI108" s="22">
        <v>4355</v>
      </c>
      <c r="BJ108" s="22">
        <v>4328</v>
      </c>
      <c r="BK108" s="22">
        <v>4338</v>
      </c>
      <c r="BL108" s="22">
        <v>4338</v>
      </c>
      <c r="BM108" s="1">
        <v>4410</v>
      </c>
      <c r="BN108" s="1">
        <v>4448</v>
      </c>
      <c r="BO108" s="1">
        <v>4447</v>
      </c>
      <c r="BP108" s="1">
        <v>4394</v>
      </c>
    </row>
    <row r="109" spans="1:68" ht="15.9" customHeight="1">
      <c r="A109" s="81" t="s">
        <v>213</v>
      </c>
      <c r="B109" s="17" t="s">
        <v>214</v>
      </c>
      <c r="C109" s="26" t="str">
        <f>_xll.RssMarket("9020","始値")</f>
        <v/>
      </c>
      <c r="D109" s="25" t="e">
        <f t="shared" si="3"/>
        <v>#VALUE!</v>
      </c>
      <c r="E109" s="22">
        <v>3638</v>
      </c>
      <c r="F109" s="22">
        <v>3602</v>
      </c>
      <c r="G109" s="22">
        <v>3570</v>
      </c>
      <c r="H109" s="76">
        <v>3502</v>
      </c>
      <c r="I109" s="22">
        <v>3528</v>
      </c>
      <c r="J109" s="22">
        <v>3479</v>
      </c>
      <c r="K109" s="22">
        <v>3550</v>
      </c>
      <c r="L109" s="22">
        <v>3501</v>
      </c>
      <c r="M109" s="22">
        <v>3472</v>
      </c>
      <c r="N109" s="22">
        <v>3536</v>
      </c>
      <c r="O109" s="22">
        <v>3360</v>
      </c>
      <c r="P109" s="22">
        <v>3380</v>
      </c>
      <c r="Q109" s="22">
        <v>3434</v>
      </c>
      <c r="R109" s="22">
        <v>3414</v>
      </c>
      <c r="S109" s="22">
        <v>3381</v>
      </c>
      <c r="T109" s="22">
        <v>3371</v>
      </c>
      <c r="U109" s="22">
        <v>3395</v>
      </c>
      <c r="V109" s="22">
        <v>3322</v>
      </c>
      <c r="W109" s="22">
        <v>3347</v>
      </c>
      <c r="X109" s="22">
        <v>3368</v>
      </c>
      <c r="Y109" s="22">
        <v>3363</v>
      </c>
      <c r="Z109" s="22">
        <v>3445</v>
      </c>
      <c r="AA109" s="22">
        <v>3385</v>
      </c>
      <c r="AB109" s="22">
        <v>3410</v>
      </c>
      <c r="AC109" s="22">
        <v>3450</v>
      </c>
      <c r="AD109" s="22">
        <v>3500</v>
      </c>
      <c r="AE109" s="22">
        <v>3413</v>
      </c>
      <c r="AF109" s="22">
        <v>3400</v>
      </c>
      <c r="AG109" s="22">
        <v>3292</v>
      </c>
      <c r="AH109" s="22">
        <v>3317</v>
      </c>
      <c r="AI109" s="22">
        <v>3295</v>
      </c>
      <c r="AJ109" s="22">
        <v>3335</v>
      </c>
      <c r="AK109" s="22">
        <v>3438</v>
      </c>
      <c r="AL109" s="22">
        <v>3516</v>
      </c>
      <c r="AM109" s="22">
        <v>3532</v>
      </c>
      <c r="AN109" s="22">
        <v>3591</v>
      </c>
      <c r="AO109" s="22">
        <v>3645</v>
      </c>
      <c r="AP109" s="22">
        <v>3800</v>
      </c>
      <c r="AQ109" s="22">
        <v>3840</v>
      </c>
      <c r="AR109" s="22">
        <v>3746</v>
      </c>
      <c r="AS109" s="22">
        <v>3792</v>
      </c>
      <c r="AT109" s="22">
        <v>3675</v>
      </c>
      <c r="AU109" s="22">
        <v>3716</v>
      </c>
      <c r="AV109" s="22">
        <v>3752</v>
      </c>
      <c r="AW109" s="22">
        <v>3641</v>
      </c>
      <c r="AX109" s="22">
        <v>3626</v>
      </c>
      <c r="AY109" s="22">
        <v>3648</v>
      </c>
      <c r="AZ109" s="22">
        <v>3573</v>
      </c>
      <c r="BA109" s="22">
        <v>3668</v>
      </c>
      <c r="BB109" s="22">
        <v>3381</v>
      </c>
      <c r="BC109" s="22">
        <v>3460</v>
      </c>
      <c r="BD109" s="22">
        <v>3402</v>
      </c>
      <c r="BE109" s="22">
        <v>3474</v>
      </c>
      <c r="BF109" s="22">
        <v>3500</v>
      </c>
      <c r="BG109" s="22">
        <v>3528</v>
      </c>
      <c r="BH109" s="22">
        <v>3517</v>
      </c>
      <c r="BI109" s="22">
        <v>3500</v>
      </c>
      <c r="BJ109" s="22">
        <v>3520</v>
      </c>
      <c r="BK109" s="22">
        <v>3559</v>
      </c>
      <c r="BL109" s="22">
        <v>3533</v>
      </c>
      <c r="BM109" s="1">
        <v>3580</v>
      </c>
      <c r="BN109" s="1">
        <v>3560</v>
      </c>
      <c r="BO109" s="1">
        <v>3607</v>
      </c>
      <c r="BP109" s="1">
        <v>3560</v>
      </c>
    </row>
    <row r="110" spans="1:68" ht="15.9" customHeight="1">
      <c r="A110" s="81" t="s">
        <v>215</v>
      </c>
      <c r="B110" s="17" t="s">
        <v>216</v>
      </c>
      <c r="C110" s="26" t="str">
        <f>_xll.RssMarket("9069","始値")</f>
        <v/>
      </c>
      <c r="D110" s="25" t="e">
        <f t="shared" si="3"/>
        <v>#VALUE!</v>
      </c>
      <c r="E110" s="22">
        <v>2146</v>
      </c>
      <c r="F110" s="22">
        <v>2141.5</v>
      </c>
      <c r="G110" s="22">
        <v>2128</v>
      </c>
      <c r="H110" s="76">
        <v>2073</v>
      </c>
      <c r="I110" s="22">
        <v>2050</v>
      </c>
      <c r="J110" s="22">
        <v>2018</v>
      </c>
      <c r="K110" s="22">
        <v>2021</v>
      </c>
      <c r="L110" s="22">
        <v>1999</v>
      </c>
      <c r="M110" s="22">
        <v>1979</v>
      </c>
      <c r="N110" s="22">
        <v>1952.5</v>
      </c>
      <c r="O110" s="22">
        <v>1918</v>
      </c>
      <c r="P110" s="22">
        <v>1940</v>
      </c>
      <c r="Q110" s="22">
        <v>1935</v>
      </c>
      <c r="R110" s="22">
        <v>1930</v>
      </c>
      <c r="S110" s="22">
        <v>1912</v>
      </c>
      <c r="T110" s="22">
        <v>1917.5</v>
      </c>
      <c r="U110" s="22">
        <v>1895.5</v>
      </c>
      <c r="V110" s="22">
        <v>1900</v>
      </c>
      <c r="W110" s="22">
        <v>1880</v>
      </c>
      <c r="X110" s="22">
        <v>1893.5</v>
      </c>
      <c r="Y110" s="22">
        <v>1899</v>
      </c>
      <c r="Z110" s="22">
        <v>1940</v>
      </c>
      <c r="AA110" s="22">
        <v>1952</v>
      </c>
      <c r="AB110" s="22">
        <v>1948.5</v>
      </c>
      <c r="AC110" s="22">
        <v>1935</v>
      </c>
      <c r="AD110" s="22">
        <v>1950</v>
      </c>
      <c r="AE110" s="22">
        <v>1948</v>
      </c>
      <c r="AF110" s="22">
        <v>1908</v>
      </c>
      <c r="AG110" s="22">
        <v>1909</v>
      </c>
      <c r="AH110" s="22">
        <v>1900</v>
      </c>
      <c r="AI110" s="22">
        <v>1886</v>
      </c>
      <c r="AJ110" s="22">
        <v>1873</v>
      </c>
      <c r="AK110" s="22">
        <v>1908</v>
      </c>
      <c r="AL110" s="22">
        <v>1932</v>
      </c>
      <c r="AM110" s="22">
        <v>1964</v>
      </c>
      <c r="AN110" s="22">
        <v>2022</v>
      </c>
      <c r="AO110" s="22">
        <v>2029</v>
      </c>
      <c r="AP110" s="22">
        <v>1988.5</v>
      </c>
      <c r="AQ110" s="22">
        <v>2020</v>
      </c>
      <c r="AR110" s="22">
        <v>2022.5</v>
      </c>
      <c r="AS110" s="22">
        <v>2006</v>
      </c>
      <c r="AT110" s="22">
        <v>1949</v>
      </c>
      <c r="AU110" s="22">
        <v>1834</v>
      </c>
      <c r="AV110" s="22">
        <v>1858</v>
      </c>
      <c r="AW110" s="22">
        <v>1848</v>
      </c>
      <c r="AX110" s="22">
        <v>1854.5</v>
      </c>
      <c r="AY110" s="22">
        <v>1821</v>
      </c>
      <c r="AZ110" s="22">
        <v>1839.5</v>
      </c>
      <c r="BA110" s="22">
        <v>1834</v>
      </c>
      <c r="BB110" s="22">
        <v>1838</v>
      </c>
      <c r="BC110" s="22">
        <v>1832.5</v>
      </c>
      <c r="BD110" s="22">
        <v>1879.5</v>
      </c>
      <c r="BE110" s="22">
        <v>1871</v>
      </c>
      <c r="BF110" s="22">
        <v>1901</v>
      </c>
      <c r="BG110" s="22">
        <v>1910</v>
      </c>
      <c r="BH110" s="22">
        <v>1896.5</v>
      </c>
      <c r="BI110" s="22">
        <v>1908.5</v>
      </c>
      <c r="BJ110" s="22">
        <v>1888.5</v>
      </c>
      <c r="BK110" s="22">
        <v>1900</v>
      </c>
      <c r="BL110" s="22">
        <v>1870.5</v>
      </c>
      <c r="BM110" s="1">
        <v>1866.5</v>
      </c>
      <c r="BN110" s="1">
        <v>1918</v>
      </c>
      <c r="BO110" s="1">
        <v>1920.5</v>
      </c>
      <c r="BP110" s="1">
        <v>1900.5</v>
      </c>
    </row>
    <row r="111" spans="1:68" ht="15.9" customHeight="1">
      <c r="A111" s="81" t="s">
        <v>217</v>
      </c>
      <c r="B111" s="17" t="s">
        <v>218</v>
      </c>
      <c r="C111" s="26" t="str">
        <f>_xll.RssMarket("9227","始値")</f>
        <v/>
      </c>
      <c r="D111" s="25" t="e">
        <f t="shared" si="3"/>
        <v>#VALUE!</v>
      </c>
      <c r="E111" s="22">
        <v>805</v>
      </c>
      <c r="F111" s="22">
        <v>830</v>
      </c>
      <c r="G111" s="22">
        <v>834</v>
      </c>
      <c r="H111" s="76">
        <v>888</v>
      </c>
      <c r="I111" s="22">
        <v>873</v>
      </c>
      <c r="J111" s="22">
        <v>902</v>
      </c>
      <c r="K111" s="22">
        <v>943</v>
      </c>
      <c r="L111" s="22">
        <v>948</v>
      </c>
      <c r="M111" s="22">
        <v>939</v>
      </c>
      <c r="N111" s="22">
        <v>932</v>
      </c>
      <c r="O111" s="22">
        <v>955</v>
      </c>
      <c r="P111" s="22">
        <v>952</v>
      </c>
      <c r="Q111" s="22">
        <v>888</v>
      </c>
      <c r="R111" s="22">
        <v>891</v>
      </c>
      <c r="S111" s="22">
        <v>886</v>
      </c>
      <c r="T111" s="22">
        <v>897</v>
      </c>
      <c r="U111" s="22">
        <v>885</v>
      </c>
      <c r="V111" s="22">
        <v>957</v>
      </c>
      <c r="W111" s="22">
        <v>890</v>
      </c>
      <c r="X111" s="22">
        <v>915</v>
      </c>
      <c r="Y111" s="22">
        <v>891</v>
      </c>
      <c r="Z111" s="22">
        <v>877</v>
      </c>
      <c r="AA111" s="22">
        <v>904</v>
      </c>
      <c r="AB111" s="22">
        <v>917</v>
      </c>
      <c r="AC111" s="22">
        <v>879</v>
      </c>
      <c r="AD111" s="22">
        <v>854</v>
      </c>
      <c r="AE111" s="22">
        <v>920</v>
      </c>
      <c r="AF111" s="22">
        <v>902</v>
      </c>
      <c r="AG111" s="22">
        <v>885</v>
      </c>
      <c r="AH111" s="22">
        <v>894</v>
      </c>
      <c r="AI111" s="22">
        <v>924</v>
      </c>
      <c r="AJ111" s="22">
        <v>939</v>
      </c>
      <c r="AK111" s="22">
        <v>1103</v>
      </c>
      <c r="AL111" s="22">
        <v>1149</v>
      </c>
      <c r="AM111" s="22">
        <v>1179</v>
      </c>
      <c r="AN111" s="22">
        <v>1093</v>
      </c>
      <c r="AO111" s="22">
        <v>943</v>
      </c>
      <c r="AP111" s="22">
        <v>776</v>
      </c>
      <c r="AQ111" s="22">
        <v>800</v>
      </c>
      <c r="AR111" s="22">
        <v>828</v>
      </c>
      <c r="AS111" s="22">
        <v>833</v>
      </c>
      <c r="AT111" s="22">
        <v>836</v>
      </c>
      <c r="AU111" s="22">
        <v>845</v>
      </c>
      <c r="AV111" s="22">
        <v>842</v>
      </c>
      <c r="AW111" s="22">
        <v>982</v>
      </c>
      <c r="AX111" s="22">
        <v>1012</v>
      </c>
      <c r="AY111" s="22">
        <v>1003</v>
      </c>
      <c r="AZ111" s="22">
        <v>1042</v>
      </c>
      <c r="BA111" s="22">
        <v>1025</v>
      </c>
      <c r="BB111" s="22">
        <v>1042</v>
      </c>
      <c r="BC111" s="22">
        <v>1094</v>
      </c>
      <c r="BD111" s="22">
        <v>1070</v>
      </c>
      <c r="BE111" s="22">
        <v>1100</v>
      </c>
      <c r="BF111" s="22">
        <v>1163</v>
      </c>
      <c r="BG111" s="22">
        <v>1138</v>
      </c>
      <c r="BH111" s="22">
        <v>1300</v>
      </c>
      <c r="BI111" s="22">
        <v>1108</v>
      </c>
      <c r="BJ111" s="22">
        <v>1033</v>
      </c>
      <c r="BK111" s="22">
        <v>1040</v>
      </c>
      <c r="BL111" s="22">
        <v>1022</v>
      </c>
      <c r="BM111" s="1">
        <v>1023</v>
      </c>
      <c r="BN111" s="1">
        <v>945</v>
      </c>
      <c r="BO111" s="1">
        <v>975</v>
      </c>
      <c r="BP111" s="1">
        <v>998</v>
      </c>
    </row>
    <row r="112" spans="1:68" ht="15.9" customHeight="1">
      <c r="A112" s="81" t="s">
        <v>219</v>
      </c>
      <c r="B112" s="17" t="s">
        <v>220</v>
      </c>
      <c r="C112" s="26" t="str">
        <f>_xll.RssMarket("9348","始値")</f>
        <v/>
      </c>
      <c r="D112" s="25" t="e">
        <f t="shared" si="3"/>
        <v>#VALUE!</v>
      </c>
      <c r="E112" s="22">
        <v>416</v>
      </c>
      <c r="F112" s="22">
        <v>440</v>
      </c>
      <c r="G112" s="22">
        <v>447</v>
      </c>
      <c r="H112" s="76">
        <v>498</v>
      </c>
      <c r="I112" s="22">
        <v>508</v>
      </c>
      <c r="J112" s="22">
        <v>437</v>
      </c>
      <c r="K112" s="22">
        <v>450</v>
      </c>
      <c r="L112" s="22">
        <v>454</v>
      </c>
      <c r="M112" s="22">
        <v>440</v>
      </c>
      <c r="N112" s="22">
        <v>443</v>
      </c>
      <c r="O112" s="22">
        <v>445</v>
      </c>
      <c r="P112" s="22">
        <v>435</v>
      </c>
      <c r="Q112" s="22">
        <v>438</v>
      </c>
      <c r="R112" s="22">
        <v>444</v>
      </c>
      <c r="S112" s="22">
        <v>439</v>
      </c>
      <c r="T112" s="22">
        <v>455</v>
      </c>
      <c r="U112" s="22">
        <v>465</v>
      </c>
      <c r="V112" s="22">
        <v>468</v>
      </c>
      <c r="W112" s="22">
        <v>479</v>
      </c>
      <c r="X112" s="22">
        <v>471</v>
      </c>
      <c r="Y112" s="22">
        <v>510</v>
      </c>
      <c r="Z112" s="22">
        <v>550</v>
      </c>
      <c r="AA112" s="22">
        <v>602</v>
      </c>
      <c r="AB112" s="22">
        <v>572</v>
      </c>
      <c r="AC112" s="22">
        <v>583</v>
      </c>
      <c r="AD112" s="22">
        <v>588</v>
      </c>
      <c r="AE112" s="22">
        <v>607</v>
      </c>
      <c r="AF112" s="22">
        <v>584</v>
      </c>
      <c r="AG112" s="22">
        <v>603</v>
      </c>
      <c r="AH112" s="22">
        <v>578</v>
      </c>
      <c r="AI112" s="22">
        <v>709</v>
      </c>
      <c r="AJ112" s="22">
        <v>610</v>
      </c>
      <c r="AK112" s="22">
        <v>637</v>
      </c>
      <c r="AL112" s="22">
        <v>598</v>
      </c>
      <c r="AM112" s="22">
        <v>510</v>
      </c>
      <c r="AN112" s="22">
        <v>506</v>
      </c>
      <c r="AO112" s="22">
        <v>536</v>
      </c>
      <c r="AP112" s="22">
        <v>507</v>
      </c>
      <c r="AQ112" s="22">
        <v>505</v>
      </c>
      <c r="AR112" s="22">
        <v>500</v>
      </c>
      <c r="AS112" s="22">
        <v>492</v>
      </c>
      <c r="AT112" s="22">
        <v>510</v>
      </c>
      <c r="AU112" s="22">
        <v>485</v>
      </c>
      <c r="AV112" s="22">
        <v>473</v>
      </c>
      <c r="AW112" s="22">
        <v>468</v>
      </c>
      <c r="AX112" s="22">
        <v>475</v>
      </c>
      <c r="AY112" s="22">
        <v>463</v>
      </c>
      <c r="AZ112" s="22">
        <v>480</v>
      </c>
      <c r="BA112" s="22">
        <v>482</v>
      </c>
      <c r="BB112" s="22">
        <v>491</v>
      </c>
      <c r="BC112" s="22">
        <v>489</v>
      </c>
      <c r="BD112" s="22">
        <v>496</v>
      </c>
      <c r="BE112" s="22">
        <v>496</v>
      </c>
      <c r="BF112" s="22">
        <v>505</v>
      </c>
      <c r="BG112" s="22">
        <v>514</v>
      </c>
      <c r="BH112" s="22">
        <v>513</v>
      </c>
      <c r="BI112" s="22">
        <v>503</v>
      </c>
      <c r="BJ112" s="22">
        <v>505</v>
      </c>
      <c r="BK112" s="22">
        <v>459</v>
      </c>
      <c r="BL112" s="22">
        <v>456</v>
      </c>
      <c r="BM112" s="1">
        <v>441</v>
      </c>
      <c r="BN112" s="1">
        <v>433</v>
      </c>
      <c r="BO112" s="1">
        <v>424</v>
      </c>
    </row>
    <row r="113" spans="1:68" ht="15.9" customHeight="1">
      <c r="A113" s="81" t="s">
        <v>221</v>
      </c>
      <c r="B113" s="17" t="s">
        <v>222</v>
      </c>
      <c r="C113" s="26" t="str">
        <f>_xll.RssMarket("9449","始値")</f>
        <v/>
      </c>
      <c r="D113" s="25" t="e">
        <f t="shared" si="3"/>
        <v>#VALUE!</v>
      </c>
      <c r="E113" s="22">
        <v>4035</v>
      </c>
      <c r="F113" s="22">
        <v>4000</v>
      </c>
      <c r="G113" s="22">
        <v>3912</v>
      </c>
      <c r="H113" s="76">
        <v>3897</v>
      </c>
      <c r="I113" s="22">
        <v>3807</v>
      </c>
      <c r="J113" s="22">
        <v>3768</v>
      </c>
      <c r="K113" s="22">
        <v>3810</v>
      </c>
      <c r="L113" s="22">
        <v>3667</v>
      </c>
      <c r="M113" s="22">
        <v>3591</v>
      </c>
      <c r="N113" s="22">
        <v>3604</v>
      </c>
      <c r="O113" s="22">
        <v>3461</v>
      </c>
      <c r="P113" s="22">
        <v>3354</v>
      </c>
      <c r="Q113" s="22">
        <v>3411</v>
      </c>
      <c r="R113" s="22">
        <v>3336</v>
      </c>
      <c r="S113" s="22">
        <v>3217</v>
      </c>
      <c r="T113" s="22">
        <v>3223</v>
      </c>
      <c r="U113" s="22">
        <v>3244</v>
      </c>
      <c r="V113" s="22">
        <v>3519</v>
      </c>
      <c r="W113" s="22">
        <v>3416</v>
      </c>
      <c r="X113" s="22">
        <v>3112</v>
      </c>
      <c r="Y113" s="22">
        <v>3072</v>
      </c>
      <c r="Z113" s="22">
        <v>3100</v>
      </c>
      <c r="AA113" s="22">
        <v>3101</v>
      </c>
      <c r="AB113" s="22">
        <v>3120</v>
      </c>
      <c r="AC113" s="22">
        <v>3090</v>
      </c>
      <c r="AD113" s="22">
        <v>3161</v>
      </c>
      <c r="AE113" s="22">
        <v>3198</v>
      </c>
      <c r="AF113" s="22">
        <v>3160</v>
      </c>
      <c r="AG113" s="22">
        <v>3249</v>
      </c>
      <c r="AH113" s="22">
        <v>3237</v>
      </c>
      <c r="AI113" s="22">
        <v>3243</v>
      </c>
      <c r="AJ113" s="22">
        <v>3358</v>
      </c>
      <c r="AK113" s="22">
        <v>3330</v>
      </c>
      <c r="AL113" s="22">
        <v>3300</v>
      </c>
      <c r="AM113" s="22">
        <v>3400</v>
      </c>
      <c r="AN113" s="22">
        <v>3425</v>
      </c>
      <c r="AO113" s="22">
        <v>3307</v>
      </c>
      <c r="AP113" s="22">
        <v>3300</v>
      </c>
      <c r="AQ113" s="22">
        <v>3350</v>
      </c>
      <c r="AR113" s="22">
        <v>3330</v>
      </c>
      <c r="AS113" s="22">
        <v>3345</v>
      </c>
      <c r="AT113" s="22">
        <v>3129</v>
      </c>
      <c r="AU113" s="22">
        <v>3172</v>
      </c>
      <c r="AV113" s="22">
        <v>3144</v>
      </c>
      <c r="AW113" s="22">
        <v>3220</v>
      </c>
      <c r="AX113" s="22">
        <v>3195</v>
      </c>
      <c r="AY113" s="22">
        <v>3080</v>
      </c>
      <c r="AZ113" s="22">
        <v>3096</v>
      </c>
      <c r="BA113" s="22">
        <v>3065</v>
      </c>
      <c r="BB113" s="22">
        <v>3066</v>
      </c>
      <c r="BC113" s="22">
        <v>3117</v>
      </c>
      <c r="BD113" s="22">
        <v>3129</v>
      </c>
      <c r="BE113" s="22">
        <v>3116</v>
      </c>
      <c r="BF113" s="22">
        <v>3230</v>
      </c>
      <c r="BG113" s="22">
        <v>3323</v>
      </c>
      <c r="BH113" s="22">
        <v>3270</v>
      </c>
      <c r="BI113" s="22">
        <v>3287</v>
      </c>
      <c r="BJ113" s="22">
        <v>3232</v>
      </c>
      <c r="BK113" s="22">
        <v>3187</v>
      </c>
      <c r="BL113" s="22">
        <v>3049</v>
      </c>
      <c r="BM113" s="1">
        <v>3043</v>
      </c>
      <c r="BN113" s="1">
        <v>2934.5</v>
      </c>
      <c r="BO113" s="1">
        <v>3026</v>
      </c>
      <c r="BP113" s="1">
        <v>3111</v>
      </c>
    </row>
    <row r="114" spans="1:68" ht="15.9" customHeight="1">
      <c r="A114" s="81" t="s">
        <v>223</v>
      </c>
      <c r="B114" s="17" t="s">
        <v>224</v>
      </c>
      <c r="C114" s="26" t="str">
        <f>_xll.RssMarket("9501","始値")</f>
        <v/>
      </c>
      <c r="D114" s="25" t="e">
        <f t="shared" si="3"/>
        <v>#VALUE!</v>
      </c>
      <c r="E114" s="22">
        <v>497</v>
      </c>
      <c r="F114" s="22">
        <v>505.2</v>
      </c>
      <c r="G114" s="22">
        <v>490</v>
      </c>
      <c r="H114" s="76">
        <v>479.1</v>
      </c>
      <c r="I114" s="22">
        <v>478</v>
      </c>
      <c r="J114" s="22">
        <v>477.8</v>
      </c>
      <c r="K114" s="22">
        <v>462</v>
      </c>
      <c r="L114" s="22">
        <v>468.1</v>
      </c>
      <c r="M114" s="22">
        <v>471.4</v>
      </c>
      <c r="N114" s="22">
        <v>460.7</v>
      </c>
      <c r="O114" s="22">
        <v>455.1</v>
      </c>
      <c r="P114" s="22">
        <v>458</v>
      </c>
      <c r="Q114" s="22">
        <v>466</v>
      </c>
      <c r="R114" s="22">
        <v>463</v>
      </c>
      <c r="S114" s="22">
        <v>476.9</v>
      </c>
      <c r="T114" s="22">
        <v>475.7</v>
      </c>
      <c r="U114" s="22">
        <v>465</v>
      </c>
      <c r="V114" s="22">
        <v>470.2</v>
      </c>
      <c r="W114" s="22">
        <v>524</v>
      </c>
      <c r="X114" s="22">
        <v>510.3</v>
      </c>
      <c r="Y114" s="22">
        <v>507.8</v>
      </c>
      <c r="Z114" s="22">
        <v>523.20000000000005</v>
      </c>
      <c r="AA114" s="22">
        <v>530</v>
      </c>
      <c r="AB114" s="22">
        <v>529.29999999999995</v>
      </c>
      <c r="AC114" s="22">
        <v>501.9</v>
      </c>
      <c r="AD114" s="22">
        <v>507.8</v>
      </c>
      <c r="AE114" s="22">
        <v>519.9</v>
      </c>
      <c r="AF114" s="22">
        <v>518.4</v>
      </c>
      <c r="AG114" s="22">
        <v>544.5</v>
      </c>
      <c r="AH114" s="22">
        <v>570.1</v>
      </c>
      <c r="AI114" s="22">
        <v>567.79999999999995</v>
      </c>
      <c r="AJ114" s="22">
        <v>550.1</v>
      </c>
      <c r="AK114" s="22">
        <v>558.9</v>
      </c>
      <c r="AL114" s="22">
        <v>568</v>
      </c>
      <c r="AM114" s="22">
        <v>578.4</v>
      </c>
      <c r="AN114" s="22">
        <v>558.5</v>
      </c>
      <c r="AO114" s="22">
        <v>565</v>
      </c>
      <c r="AP114" s="22">
        <v>557.6</v>
      </c>
      <c r="AQ114" s="22">
        <v>572.9</v>
      </c>
      <c r="AR114" s="22">
        <v>574.29999999999995</v>
      </c>
      <c r="AS114" s="22">
        <v>593</v>
      </c>
      <c r="AT114" s="22">
        <v>606.1</v>
      </c>
      <c r="AU114" s="22">
        <v>611</v>
      </c>
      <c r="AV114" s="22">
        <v>638</v>
      </c>
      <c r="AW114" s="22">
        <v>653.20000000000005</v>
      </c>
      <c r="AX114" s="22">
        <v>633.1</v>
      </c>
      <c r="AY114" s="22">
        <v>627</v>
      </c>
      <c r="AZ114" s="22">
        <v>615</v>
      </c>
      <c r="BA114" s="22">
        <v>595</v>
      </c>
      <c r="BB114" s="22">
        <v>597</v>
      </c>
      <c r="BC114" s="22">
        <v>584.5</v>
      </c>
      <c r="BD114" s="22">
        <v>581</v>
      </c>
      <c r="BE114" s="22">
        <v>585</v>
      </c>
      <c r="BF114" s="22">
        <v>623</v>
      </c>
      <c r="BG114" s="22">
        <v>600</v>
      </c>
      <c r="BH114" s="22">
        <v>612</v>
      </c>
      <c r="BI114" s="22">
        <v>619.70000000000005</v>
      </c>
      <c r="BJ114" s="22">
        <v>638.70000000000005</v>
      </c>
      <c r="BK114" s="22">
        <v>630.4</v>
      </c>
      <c r="BL114" s="22">
        <v>652.29999999999995</v>
      </c>
      <c r="BM114" s="1">
        <v>652.9</v>
      </c>
      <c r="BN114" s="1">
        <v>659.8</v>
      </c>
      <c r="BO114" s="1">
        <v>684.6</v>
      </c>
      <c r="BP114" s="1">
        <v>643.70000000000005</v>
      </c>
    </row>
    <row r="115" spans="1:68" ht="15.9" customHeight="1">
      <c r="A115" s="81" t="s">
        <v>225</v>
      </c>
      <c r="B115" s="17" t="s">
        <v>226</v>
      </c>
      <c r="C115" s="26" t="str">
        <f>_xll.RssMarket("9531","始値")</f>
        <v/>
      </c>
      <c r="D115" s="25" t="e">
        <f t="shared" si="3"/>
        <v>#VALUE!</v>
      </c>
      <c r="E115" s="22">
        <v>6105</v>
      </c>
      <c r="F115" s="22">
        <v>6063</v>
      </c>
      <c r="G115" s="22">
        <v>6005</v>
      </c>
      <c r="H115" s="76">
        <v>6003</v>
      </c>
      <c r="I115" s="22">
        <v>6043</v>
      </c>
      <c r="J115" s="22">
        <v>6130</v>
      </c>
      <c r="K115" s="22">
        <v>6150</v>
      </c>
      <c r="L115" s="22">
        <v>6151</v>
      </c>
      <c r="M115" s="22">
        <v>6039</v>
      </c>
      <c r="N115" s="22">
        <v>6106</v>
      </c>
      <c r="O115" s="22">
        <v>6041</v>
      </c>
      <c r="P115" s="22">
        <v>6080</v>
      </c>
      <c r="Q115" s="22">
        <v>6197</v>
      </c>
      <c r="R115" s="22">
        <v>6157</v>
      </c>
      <c r="S115" s="22">
        <v>6089</v>
      </c>
      <c r="T115" s="22">
        <v>6147</v>
      </c>
      <c r="U115" s="22">
        <v>6137</v>
      </c>
      <c r="V115" s="22">
        <v>6193</v>
      </c>
      <c r="W115" s="22">
        <v>6180</v>
      </c>
      <c r="X115" s="22">
        <v>6145</v>
      </c>
      <c r="Y115" s="22">
        <v>6157</v>
      </c>
      <c r="Z115" s="22">
        <v>6300</v>
      </c>
      <c r="AA115" s="22">
        <v>6261</v>
      </c>
      <c r="AB115" s="22">
        <v>6303</v>
      </c>
      <c r="AC115" s="22">
        <v>6452</v>
      </c>
      <c r="AD115" s="22">
        <v>6340</v>
      </c>
      <c r="AE115" s="22">
        <v>6428</v>
      </c>
      <c r="AF115" s="22">
        <v>6116</v>
      </c>
      <c r="AG115" s="22">
        <v>6219</v>
      </c>
      <c r="AH115" s="22">
        <v>6292</v>
      </c>
      <c r="AI115" s="22">
        <v>6320</v>
      </c>
      <c r="AJ115" s="22">
        <v>6098</v>
      </c>
      <c r="AK115" s="22">
        <v>6214</v>
      </c>
      <c r="AL115" s="22">
        <v>6428</v>
      </c>
      <c r="AM115" s="22">
        <v>6500</v>
      </c>
      <c r="AN115" s="22">
        <v>6529</v>
      </c>
      <c r="AO115" s="22">
        <v>6698</v>
      </c>
      <c r="AP115" s="22">
        <v>6695</v>
      </c>
      <c r="AQ115" s="22">
        <v>6799</v>
      </c>
      <c r="AR115" s="22">
        <v>6690</v>
      </c>
      <c r="AS115" s="22">
        <v>6783</v>
      </c>
      <c r="AT115" s="22">
        <v>6624</v>
      </c>
      <c r="AU115" s="22">
        <v>6581</v>
      </c>
      <c r="AV115" s="22">
        <v>6670</v>
      </c>
      <c r="AW115" s="22">
        <v>6725</v>
      </c>
      <c r="AX115" s="22">
        <v>6600</v>
      </c>
      <c r="AY115" s="22">
        <v>6786</v>
      </c>
      <c r="AZ115" s="22">
        <v>6630</v>
      </c>
      <c r="BA115" s="22">
        <v>6747</v>
      </c>
      <c r="BB115" s="22">
        <v>6637</v>
      </c>
      <c r="BC115" s="22">
        <v>6600</v>
      </c>
      <c r="BD115" s="22">
        <v>6410</v>
      </c>
      <c r="BE115" s="22">
        <v>6500</v>
      </c>
      <c r="BF115" s="22">
        <v>6441</v>
      </c>
      <c r="BG115" s="22">
        <v>6550</v>
      </c>
      <c r="BH115" s="22">
        <v>6635</v>
      </c>
      <c r="BI115" s="22">
        <v>6884</v>
      </c>
      <c r="BJ115" s="22">
        <v>7087</v>
      </c>
      <c r="BK115" s="22">
        <v>7000</v>
      </c>
      <c r="BL115" s="22">
        <v>7049</v>
      </c>
      <c r="BM115" s="1">
        <v>7055</v>
      </c>
      <c r="BN115" s="1">
        <v>7176</v>
      </c>
      <c r="BO115" s="1">
        <v>7375</v>
      </c>
      <c r="BP115" s="1">
        <v>7349</v>
      </c>
    </row>
    <row r="116" spans="1:68" ht="15.9" customHeight="1">
      <c r="A116" s="81" t="s">
        <v>227</v>
      </c>
      <c r="B116" s="17" t="s">
        <v>228</v>
      </c>
      <c r="C116" s="26" t="str">
        <f>_xll.RssMarket("9882","始値")</f>
        <v/>
      </c>
      <c r="D116" s="25" t="e">
        <f t="shared" si="3"/>
        <v>#VALUE!</v>
      </c>
      <c r="E116" s="22">
        <v>1831</v>
      </c>
      <c r="F116" s="22">
        <v>1820</v>
      </c>
      <c r="G116" s="22">
        <v>1832</v>
      </c>
      <c r="H116" s="76">
        <v>1830</v>
      </c>
      <c r="I116" s="22">
        <v>1835</v>
      </c>
      <c r="J116" s="22">
        <v>1848</v>
      </c>
      <c r="K116" s="22">
        <v>1820</v>
      </c>
      <c r="L116" s="22">
        <v>1782</v>
      </c>
      <c r="M116" s="22">
        <v>1777</v>
      </c>
      <c r="N116" s="22">
        <v>1758</v>
      </c>
      <c r="O116" s="22">
        <v>1756</v>
      </c>
      <c r="P116" s="22">
        <v>1772</v>
      </c>
      <c r="Q116" s="22">
        <v>1775</v>
      </c>
      <c r="R116" s="22">
        <v>1756</v>
      </c>
      <c r="S116" s="22">
        <v>1759</v>
      </c>
      <c r="T116" s="22">
        <v>1745</v>
      </c>
      <c r="U116" s="22">
        <v>1752</v>
      </c>
      <c r="V116" s="22">
        <v>1770</v>
      </c>
      <c r="W116" s="22">
        <v>1745</v>
      </c>
      <c r="X116" s="22">
        <v>1741</v>
      </c>
      <c r="Y116" s="22">
        <v>1743</v>
      </c>
      <c r="Z116" s="22">
        <v>1728</v>
      </c>
      <c r="AA116" s="22">
        <v>1745</v>
      </c>
      <c r="AB116" s="22">
        <v>1725</v>
      </c>
      <c r="AC116" s="22">
        <v>1719</v>
      </c>
      <c r="AD116" s="22">
        <v>1700</v>
      </c>
      <c r="AE116" s="22">
        <v>1663</v>
      </c>
      <c r="AF116" s="22">
        <v>1666</v>
      </c>
      <c r="AG116" s="22">
        <v>1680</v>
      </c>
      <c r="AH116" s="22">
        <v>1630</v>
      </c>
      <c r="AI116" s="22">
        <v>1612</v>
      </c>
      <c r="AJ116" s="22">
        <v>1627</v>
      </c>
      <c r="AK116" s="22">
        <v>1628</v>
      </c>
      <c r="AL116" s="22">
        <v>1625</v>
      </c>
      <c r="AM116" s="22">
        <v>1624</v>
      </c>
      <c r="AN116" s="22">
        <v>1629</v>
      </c>
      <c r="AO116" s="22">
        <v>1622</v>
      </c>
      <c r="AP116" s="22">
        <v>1637</v>
      </c>
      <c r="AQ116" s="22">
        <v>1625</v>
      </c>
      <c r="AR116" s="22">
        <v>1640</v>
      </c>
      <c r="AS116" s="22">
        <v>1598</v>
      </c>
      <c r="AT116" s="22">
        <v>1620</v>
      </c>
      <c r="AU116" s="22">
        <v>1630</v>
      </c>
      <c r="AV116" s="22">
        <v>1649</v>
      </c>
      <c r="AW116" s="22">
        <v>1647</v>
      </c>
      <c r="AX116" s="22">
        <v>1510</v>
      </c>
      <c r="AY116" s="22">
        <v>1511</v>
      </c>
      <c r="AZ116" s="22">
        <v>1504</v>
      </c>
      <c r="BA116" s="22">
        <v>1511</v>
      </c>
      <c r="BB116" s="22">
        <v>1510</v>
      </c>
      <c r="BC116" s="22">
        <v>1515</v>
      </c>
      <c r="BD116" s="22">
        <v>1530</v>
      </c>
      <c r="BE116" s="22">
        <v>1565</v>
      </c>
      <c r="BF116" s="22">
        <v>1573</v>
      </c>
      <c r="BG116" s="22">
        <v>1575</v>
      </c>
      <c r="BH116" s="22">
        <v>1554</v>
      </c>
      <c r="BI116" s="22">
        <v>1557</v>
      </c>
      <c r="BJ116" s="22">
        <v>1573</v>
      </c>
      <c r="BK116" s="22">
        <v>1573</v>
      </c>
      <c r="BL116" s="22">
        <v>1577</v>
      </c>
      <c r="BM116" s="1">
        <v>1600</v>
      </c>
      <c r="BN116" s="1">
        <v>1627</v>
      </c>
      <c r="BO116" s="1">
        <v>1633</v>
      </c>
      <c r="BP116" s="1">
        <v>1585</v>
      </c>
    </row>
    <row r="117" spans="1:68" ht="15.9" customHeight="1">
      <c r="A117" s="81" t="s">
        <v>229</v>
      </c>
      <c r="B117" s="17" t="s">
        <v>230</v>
      </c>
      <c r="C117" s="26" t="str">
        <f>_xll.RssMarket("5838","始値")</f>
        <v/>
      </c>
      <c r="D117" s="25" t="e">
        <f t="shared" si="3"/>
        <v>#VALUE!</v>
      </c>
      <c r="E117" s="22">
        <v>5400</v>
      </c>
      <c r="F117" s="22">
        <v>5870</v>
      </c>
      <c r="G117" s="22">
        <v>5868</v>
      </c>
      <c r="H117" s="76">
        <v>5701</v>
      </c>
      <c r="I117" s="22">
        <v>5799</v>
      </c>
      <c r="J117" s="22">
        <v>5769</v>
      </c>
      <c r="K117" s="22">
        <v>5727</v>
      </c>
      <c r="L117" s="22">
        <v>5585</v>
      </c>
      <c r="M117" s="22">
        <v>5401</v>
      </c>
      <c r="N117" s="22">
        <v>5400</v>
      </c>
      <c r="O117" s="22">
        <v>5132</v>
      </c>
      <c r="P117" s="22">
        <v>5170</v>
      </c>
      <c r="Q117" s="22">
        <v>5124</v>
      </c>
      <c r="R117" s="22">
        <v>5051</v>
      </c>
      <c r="S117" s="22">
        <v>4980</v>
      </c>
      <c r="T117" s="22">
        <v>4990</v>
      </c>
      <c r="U117" s="22">
        <v>5100</v>
      </c>
      <c r="V117" s="22">
        <v>5137</v>
      </c>
      <c r="W117" s="22">
        <v>5109</v>
      </c>
      <c r="X117" s="22">
        <v>5199</v>
      </c>
      <c r="Y117" s="22">
        <v>5247</v>
      </c>
      <c r="Z117" s="22">
        <v>5250</v>
      </c>
      <c r="AA117" s="22">
        <v>5179</v>
      </c>
      <c r="AB117" s="22">
        <v>5300</v>
      </c>
      <c r="AC117" s="22">
        <v>5104</v>
      </c>
      <c r="AD117" s="22">
        <v>4951</v>
      </c>
      <c r="AE117" s="22">
        <v>5113</v>
      </c>
      <c r="AF117" s="22">
        <v>4971</v>
      </c>
      <c r="AG117" s="22">
        <v>5078</v>
      </c>
      <c r="AH117" s="22">
        <v>4801</v>
      </c>
      <c r="AI117" s="22">
        <v>4501</v>
      </c>
      <c r="AJ117" s="22">
        <v>4508</v>
      </c>
      <c r="AK117" s="22">
        <v>4840</v>
      </c>
      <c r="AL117" s="22">
        <v>4845</v>
      </c>
      <c r="AM117" s="22">
        <v>4926</v>
      </c>
      <c r="AN117" s="22">
        <v>4848</v>
      </c>
      <c r="AO117" s="22">
        <v>5280</v>
      </c>
      <c r="AP117" s="22">
        <v>5636</v>
      </c>
      <c r="AQ117" s="22">
        <v>6730</v>
      </c>
      <c r="AR117" s="22">
        <v>6691</v>
      </c>
      <c r="AS117" s="22">
        <v>6300</v>
      </c>
      <c r="AT117" s="22">
        <v>6034</v>
      </c>
      <c r="AU117" s="22">
        <v>6097</v>
      </c>
      <c r="AV117" s="22">
        <v>6000</v>
      </c>
      <c r="AW117" s="22">
        <v>6268</v>
      </c>
      <c r="AX117" s="22">
        <v>6323</v>
      </c>
      <c r="AY117" s="22">
        <v>6175</v>
      </c>
      <c r="AZ117" s="22">
        <v>6331</v>
      </c>
      <c r="BA117" s="22">
        <v>6220</v>
      </c>
      <c r="BB117" s="22">
        <v>6299</v>
      </c>
      <c r="BC117" s="22">
        <v>6180</v>
      </c>
      <c r="BD117" s="22">
        <v>6070</v>
      </c>
      <c r="BE117" s="22">
        <v>6206</v>
      </c>
      <c r="BF117" s="22">
        <v>6102</v>
      </c>
      <c r="BG117" s="22">
        <v>6302</v>
      </c>
      <c r="BH117" s="22">
        <v>6451</v>
      </c>
      <c r="BI117" s="22">
        <v>6513</v>
      </c>
      <c r="BJ117" s="22">
        <v>6670</v>
      </c>
      <c r="BK117" s="22">
        <v>6760</v>
      </c>
      <c r="BL117" s="22">
        <v>6800</v>
      </c>
      <c r="BM117" s="1">
        <v>6875</v>
      </c>
      <c r="BN117" s="1">
        <v>6714</v>
      </c>
      <c r="BO117" s="1">
        <v>6755</v>
      </c>
      <c r="BP117" s="1">
        <v>6545</v>
      </c>
    </row>
    <row r="118" spans="1:68" ht="15.9" customHeight="1">
      <c r="A118" s="81" t="s">
        <v>231</v>
      </c>
      <c r="B118" s="17" t="s">
        <v>232</v>
      </c>
      <c r="C118" s="26" t="str">
        <f>_xll.RssMarket("5844","始値")</f>
        <v/>
      </c>
      <c r="D118" s="25" t="e">
        <f t="shared" si="3"/>
        <v>#VALUE!</v>
      </c>
      <c r="E118" s="22">
        <v>4590</v>
      </c>
      <c r="F118" s="22">
        <v>4704</v>
      </c>
      <c r="G118" s="22">
        <v>4697</v>
      </c>
      <c r="H118" s="76">
        <v>4688</v>
      </c>
      <c r="I118" s="22">
        <v>4730</v>
      </c>
      <c r="J118" s="22">
        <v>4798</v>
      </c>
      <c r="K118" s="22">
        <v>4720</v>
      </c>
      <c r="L118" s="22">
        <v>4875</v>
      </c>
      <c r="M118" s="22">
        <v>4674</v>
      </c>
      <c r="N118" s="22">
        <v>4668</v>
      </c>
      <c r="O118" s="22">
        <v>4643</v>
      </c>
      <c r="P118" s="22">
        <v>4540</v>
      </c>
      <c r="Q118" s="22">
        <v>4541</v>
      </c>
      <c r="R118" s="22">
        <v>4500</v>
      </c>
      <c r="S118" s="22">
        <v>4569</v>
      </c>
      <c r="T118" s="22">
        <v>4582</v>
      </c>
      <c r="U118" s="22">
        <v>4639</v>
      </c>
      <c r="V118" s="22">
        <v>4802</v>
      </c>
      <c r="W118" s="22">
        <v>4866</v>
      </c>
      <c r="X118" s="22">
        <v>4728</v>
      </c>
      <c r="Y118" s="22">
        <v>4620</v>
      </c>
      <c r="Z118" s="22">
        <v>4726</v>
      </c>
      <c r="AA118" s="22">
        <v>4468</v>
      </c>
      <c r="AB118" s="22">
        <v>4529</v>
      </c>
      <c r="AC118" s="22">
        <v>4499</v>
      </c>
      <c r="AD118" s="22">
        <v>4480</v>
      </c>
      <c r="AE118" s="22">
        <v>4680</v>
      </c>
      <c r="AF118" s="22">
        <v>4575</v>
      </c>
      <c r="AG118" s="22">
        <v>4600</v>
      </c>
      <c r="AH118" s="22">
        <v>4277</v>
      </c>
      <c r="AI118" s="22">
        <v>4384</v>
      </c>
      <c r="AJ118" s="22">
        <v>4278</v>
      </c>
      <c r="AK118" s="22">
        <v>4403</v>
      </c>
      <c r="AL118" s="22">
        <v>4504</v>
      </c>
      <c r="AM118" s="22">
        <v>4502</v>
      </c>
      <c r="AN118" s="22">
        <v>4549</v>
      </c>
      <c r="AO118" s="22">
        <v>4498</v>
      </c>
      <c r="AP118" s="22">
        <v>4450</v>
      </c>
      <c r="AQ118" s="22">
        <v>4465</v>
      </c>
      <c r="AR118" s="22">
        <v>4406</v>
      </c>
      <c r="AS118" s="22">
        <v>4420</v>
      </c>
      <c r="AT118" s="22">
        <v>4231</v>
      </c>
      <c r="AU118" s="22">
        <v>4483</v>
      </c>
      <c r="AV118" s="22">
        <v>4410</v>
      </c>
      <c r="AW118" s="22">
        <v>4447</v>
      </c>
      <c r="AX118" s="22">
        <v>4403</v>
      </c>
      <c r="AY118" s="22">
        <v>4391</v>
      </c>
      <c r="AZ118" s="22">
        <v>4443</v>
      </c>
      <c r="BA118" s="22">
        <v>4336</v>
      </c>
      <c r="BB118" s="22">
        <v>4319</v>
      </c>
      <c r="BC118" s="22">
        <v>4261</v>
      </c>
      <c r="BD118" s="22">
        <v>4176</v>
      </c>
      <c r="BE118" s="22">
        <v>4230</v>
      </c>
      <c r="BF118" s="22">
        <v>4188</v>
      </c>
      <c r="BG118" s="22">
        <v>4350</v>
      </c>
      <c r="BH118" s="22">
        <v>4364</v>
      </c>
      <c r="BI118" s="22">
        <v>4450</v>
      </c>
      <c r="BJ118" s="22">
        <v>4395</v>
      </c>
      <c r="BK118" s="22">
        <v>4395</v>
      </c>
      <c r="BL118" s="22">
        <v>4350</v>
      </c>
      <c r="BM118" s="1">
        <v>4395</v>
      </c>
      <c r="BN118" s="1">
        <v>4300</v>
      </c>
      <c r="BO118" s="1">
        <v>4430</v>
      </c>
      <c r="BP118" s="1">
        <v>4495</v>
      </c>
    </row>
    <row r="119" spans="1:68" ht="15.9" customHeight="1">
      <c r="A119" s="81" t="s">
        <v>233</v>
      </c>
      <c r="B119" s="17" t="s">
        <v>234</v>
      </c>
      <c r="C119" s="26" t="str">
        <f>_xll.RssMarket("9404","始値")</f>
        <v/>
      </c>
      <c r="D119" s="25" t="e">
        <f t="shared" si="3"/>
        <v>#VALUE!</v>
      </c>
      <c r="E119" s="22">
        <v>2876</v>
      </c>
      <c r="F119" s="22">
        <v>2891</v>
      </c>
      <c r="G119" s="22">
        <v>2905</v>
      </c>
      <c r="H119" s="76">
        <v>2900.5</v>
      </c>
      <c r="I119" s="22">
        <v>2890.5</v>
      </c>
      <c r="J119" s="22">
        <v>2915.5</v>
      </c>
      <c r="K119" s="22">
        <v>2954</v>
      </c>
      <c r="L119" s="22">
        <v>2904</v>
      </c>
      <c r="M119" s="22">
        <v>2860.5</v>
      </c>
      <c r="N119" s="22">
        <v>2919.5</v>
      </c>
      <c r="O119" s="22">
        <v>2870</v>
      </c>
      <c r="P119" s="22">
        <v>2783</v>
      </c>
      <c r="Q119" s="22">
        <v>2766</v>
      </c>
      <c r="R119" s="22">
        <v>2715</v>
      </c>
      <c r="S119" s="22">
        <v>2692.5</v>
      </c>
      <c r="T119" s="22">
        <v>2735.5</v>
      </c>
      <c r="U119" s="22">
        <v>2740</v>
      </c>
      <c r="V119" s="22">
        <v>2735.5</v>
      </c>
      <c r="W119" s="22">
        <v>2770</v>
      </c>
      <c r="X119" s="22">
        <v>2847.5</v>
      </c>
      <c r="Y119" s="22">
        <v>2851</v>
      </c>
      <c r="Z119" s="22">
        <v>2897.5</v>
      </c>
      <c r="AA119" s="22">
        <v>2817.5</v>
      </c>
      <c r="AB119" s="22">
        <v>2846</v>
      </c>
      <c r="AC119" s="22">
        <v>2858</v>
      </c>
      <c r="AD119" s="22">
        <v>2898.5</v>
      </c>
      <c r="AE119" s="22">
        <v>2893</v>
      </c>
      <c r="AF119" s="22">
        <v>2828.5</v>
      </c>
      <c r="AG119" s="22">
        <v>2840</v>
      </c>
      <c r="AH119" s="22">
        <v>2777</v>
      </c>
      <c r="AI119" s="22">
        <v>2768</v>
      </c>
      <c r="AJ119" s="22">
        <v>2820</v>
      </c>
      <c r="AK119" s="22">
        <v>2850</v>
      </c>
      <c r="AL119" s="22">
        <v>2874.5</v>
      </c>
      <c r="AM119" s="22">
        <v>2847</v>
      </c>
      <c r="AN119" s="22">
        <v>2904.5</v>
      </c>
      <c r="AO119" s="22">
        <v>2933.5</v>
      </c>
      <c r="AP119" s="22">
        <v>2920</v>
      </c>
      <c r="AQ119" s="22">
        <v>2931.5</v>
      </c>
      <c r="AR119" s="22">
        <v>2902.5</v>
      </c>
      <c r="AS119" s="22">
        <v>2922</v>
      </c>
      <c r="AT119" s="22">
        <v>2790</v>
      </c>
      <c r="AU119" s="22">
        <v>2900</v>
      </c>
      <c r="AV119" s="22">
        <v>2947.5</v>
      </c>
      <c r="AW119" s="22">
        <v>2935</v>
      </c>
      <c r="AX119" s="22">
        <v>2966</v>
      </c>
      <c r="AY119" s="22">
        <v>3015</v>
      </c>
      <c r="AZ119" s="22">
        <v>2986</v>
      </c>
      <c r="BA119" s="22">
        <v>2950</v>
      </c>
      <c r="BB119" s="22">
        <v>2985.5</v>
      </c>
      <c r="BC119" s="22">
        <v>3041</v>
      </c>
      <c r="BD119" s="22">
        <v>2981</v>
      </c>
      <c r="BE119" s="22">
        <v>2960</v>
      </c>
      <c r="BF119" s="22">
        <v>3050</v>
      </c>
      <c r="BG119" s="22">
        <v>3145</v>
      </c>
      <c r="BH119" s="22">
        <v>3177</v>
      </c>
      <c r="BI119" s="22">
        <v>3200</v>
      </c>
      <c r="BJ119" s="22">
        <v>3171</v>
      </c>
      <c r="BK119" s="22">
        <v>3195</v>
      </c>
      <c r="BL119" s="22">
        <v>3169</v>
      </c>
      <c r="BM119" s="1">
        <v>3173</v>
      </c>
      <c r="BN119" s="1">
        <v>3100</v>
      </c>
      <c r="BO119" s="1">
        <v>3143</v>
      </c>
      <c r="BP119" s="1">
        <v>3164</v>
      </c>
    </row>
    <row r="120" spans="1:68" ht="15.9" customHeight="1">
      <c r="A120" s="81" t="s">
        <v>235</v>
      </c>
      <c r="B120" s="17" t="s">
        <v>236</v>
      </c>
      <c r="C120" s="26" t="str">
        <f>_xll.RssMarket("6744","始値")</f>
        <v/>
      </c>
      <c r="D120" s="25" t="e">
        <f t="shared" si="3"/>
        <v>#VALUE!</v>
      </c>
      <c r="E120" s="22">
        <v>4240</v>
      </c>
      <c r="F120" s="22">
        <v>4320</v>
      </c>
      <c r="G120" s="22">
        <v>4290</v>
      </c>
      <c r="H120" s="76">
        <v>4330</v>
      </c>
      <c r="I120" s="22">
        <v>4360</v>
      </c>
      <c r="J120" s="22">
        <v>4290</v>
      </c>
      <c r="K120" s="22">
        <v>4410</v>
      </c>
      <c r="L120" s="22">
        <v>4415</v>
      </c>
      <c r="M120" s="22">
        <v>4380</v>
      </c>
      <c r="N120" s="22">
        <v>4245</v>
      </c>
      <c r="O120" s="22">
        <v>4140</v>
      </c>
      <c r="P120" s="22">
        <v>4115</v>
      </c>
      <c r="Q120" s="22">
        <v>4210</v>
      </c>
      <c r="R120" s="22">
        <v>4140</v>
      </c>
      <c r="S120" s="22">
        <v>4115</v>
      </c>
      <c r="T120" s="22">
        <v>4200</v>
      </c>
      <c r="U120" s="22">
        <v>4165</v>
      </c>
      <c r="V120" s="22">
        <v>4205</v>
      </c>
      <c r="W120" s="22">
        <v>4230</v>
      </c>
      <c r="X120" s="22">
        <v>4220</v>
      </c>
      <c r="Y120" s="22">
        <v>4200</v>
      </c>
      <c r="Z120" s="22">
        <v>4225</v>
      </c>
      <c r="AA120" s="22">
        <v>4300</v>
      </c>
      <c r="AB120" s="22">
        <v>4240</v>
      </c>
      <c r="AC120" s="22">
        <v>4280</v>
      </c>
      <c r="AD120" s="22">
        <v>4340</v>
      </c>
      <c r="AE120" s="22">
        <v>4360</v>
      </c>
      <c r="AF120" s="22">
        <v>4500</v>
      </c>
      <c r="AG120" s="22">
        <v>4705</v>
      </c>
      <c r="AH120" s="22">
        <v>4630</v>
      </c>
      <c r="AI120" s="22">
        <v>4810</v>
      </c>
      <c r="AJ120" s="22">
        <v>4710</v>
      </c>
      <c r="AK120" s="22">
        <v>4940</v>
      </c>
      <c r="AL120" s="22">
        <v>4785</v>
      </c>
      <c r="AM120" s="22">
        <v>4650</v>
      </c>
      <c r="AN120" s="22">
        <v>4595</v>
      </c>
      <c r="AO120" s="22">
        <v>4615</v>
      </c>
      <c r="AP120" s="22">
        <v>4800</v>
      </c>
      <c r="AQ120" s="22">
        <v>4660</v>
      </c>
      <c r="AR120" s="22">
        <v>4350</v>
      </c>
      <c r="AS120" s="22">
        <v>4385</v>
      </c>
      <c r="AT120" s="22">
        <v>4310</v>
      </c>
      <c r="AU120" s="22">
        <v>4460</v>
      </c>
      <c r="AV120" s="22">
        <v>4315</v>
      </c>
      <c r="AW120" s="22">
        <v>4345</v>
      </c>
      <c r="AX120" s="22">
        <v>4125</v>
      </c>
      <c r="AY120" s="22">
        <v>4035</v>
      </c>
      <c r="AZ120" s="22">
        <v>3975</v>
      </c>
      <c r="BA120" s="22">
        <v>3905</v>
      </c>
      <c r="BB120" s="22">
        <v>3965</v>
      </c>
      <c r="BC120" s="22">
        <v>4000</v>
      </c>
      <c r="BD120" s="22">
        <v>4040</v>
      </c>
      <c r="BE120" s="22">
        <v>4100</v>
      </c>
      <c r="BF120" s="22">
        <v>4135</v>
      </c>
      <c r="BG120" s="22">
        <v>4205</v>
      </c>
      <c r="BH120" s="22">
        <v>4270</v>
      </c>
      <c r="BI120" s="22">
        <v>4435</v>
      </c>
      <c r="BJ120" s="22">
        <v>4410</v>
      </c>
      <c r="BK120" s="22">
        <v>4410</v>
      </c>
      <c r="BL120" s="22">
        <v>4390</v>
      </c>
      <c r="BM120" s="1">
        <v>4440</v>
      </c>
      <c r="BN120" s="1">
        <v>4400</v>
      </c>
      <c r="BO120" s="1">
        <v>4285</v>
      </c>
      <c r="BP120" s="1">
        <v>4230</v>
      </c>
    </row>
    <row r="121" spans="1:68" ht="15.9" customHeight="1">
      <c r="A121" s="81" t="s">
        <v>237</v>
      </c>
      <c r="B121" s="17" t="s">
        <v>238</v>
      </c>
      <c r="C121" s="26" t="str">
        <f>_xll.RssMarket("7685","始値")</f>
        <v/>
      </c>
      <c r="D121" s="25" t="e">
        <f t="shared" si="3"/>
        <v>#VALUE!</v>
      </c>
      <c r="E121" s="22">
        <v>3485</v>
      </c>
      <c r="F121" s="22">
        <v>3535</v>
      </c>
      <c r="G121" s="22">
        <v>3515</v>
      </c>
      <c r="H121" s="76">
        <v>3505</v>
      </c>
      <c r="I121" s="22">
        <v>3560</v>
      </c>
      <c r="J121" s="22">
        <v>3660</v>
      </c>
      <c r="K121" s="22">
        <v>3550</v>
      </c>
      <c r="L121" s="22">
        <v>3435</v>
      </c>
      <c r="M121" s="22">
        <v>3495</v>
      </c>
      <c r="N121" s="22">
        <v>3480</v>
      </c>
      <c r="O121" s="22">
        <v>3425</v>
      </c>
      <c r="P121" s="22">
        <v>3365</v>
      </c>
      <c r="Q121" s="22">
        <v>3245</v>
      </c>
      <c r="R121" s="22">
        <v>3450</v>
      </c>
      <c r="S121" s="22">
        <v>3410</v>
      </c>
      <c r="T121" s="22">
        <v>3715</v>
      </c>
      <c r="U121" s="22">
        <v>3665</v>
      </c>
      <c r="V121" s="22">
        <v>3675</v>
      </c>
      <c r="W121" s="22">
        <v>3460</v>
      </c>
      <c r="X121" s="22">
        <v>3510</v>
      </c>
      <c r="Y121" s="22">
        <v>3600</v>
      </c>
      <c r="Z121" s="22">
        <v>3505</v>
      </c>
      <c r="AA121" s="22">
        <v>3675</v>
      </c>
      <c r="AB121" s="22">
        <v>3760</v>
      </c>
      <c r="AC121" s="22">
        <v>3820</v>
      </c>
      <c r="AD121" s="22">
        <v>3750</v>
      </c>
      <c r="AE121" s="22">
        <v>3720</v>
      </c>
      <c r="AF121" s="22">
        <v>3600</v>
      </c>
      <c r="AG121" s="22">
        <v>3725</v>
      </c>
      <c r="AH121" s="22">
        <v>3865</v>
      </c>
      <c r="AI121" s="22">
        <v>3945</v>
      </c>
      <c r="AJ121" s="22">
        <v>4065</v>
      </c>
      <c r="AK121" s="22">
        <v>4030</v>
      </c>
      <c r="AL121" s="22">
        <v>3920</v>
      </c>
      <c r="AM121" s="22">
        <v>3855</v>
      </c>
      <c r="AN121" s="22">
        <v>3825</v>
      </c>
      <c r="AO121" s="22">
        <v>3650</v>
      </c>
      <c r="AP121" s="22">
        <v>3700</v>
      </c>
      <c r="AQ121" s="22">
        <v>3795</v>
      </c>
      <c r="AR121" s="22">
        <v>3340</v>
      </c>
      <c r="AS121" s="22">
        <v>3450</v>
      </c>
      <c r="AT121" s="22">
        <v>3375</v>
      </c>
      <c r="AU121" s="22">
        <v>3330</v>
      </c>
      <c r="AV121" s="22">
        <v>3000</v>
      </c>
      <c r="AW121" s="22">
        <v>3280</v>
      </c>
      <c r="AX121" s="22">
        <v>3330</v>
      </c>
      <c r="AY121" s="22">
        <v>3240</v>
      </c>
      <c r="AZ121" s="22">
        <v>3090</v>
      </c>
      <c r="BA121" s="22">
        <v>3280</v>
      </c>
      <c r="BB121" s="22">
        <v>3210</v>
      </c>
      <c r="BC121" s="22">
        <v>3100</v>
      </c>
      <c r="BD121" s="22">
        <v>3135</v>
      </c>
      <c r="BE121" s="22">
        <v>3245</v>
      </c>
      <c r="BF121" s="22">
        <v>3295</v>
      </c>
      <c r="BG121" s="22">
        <v>3420</v>
      </c>
      <c r="BH121" s="22">
        <v>3390</v>
      </c>
      <c r="BI121" s="22">
        <v>3470</v>
      </c>
      <c r="BJ121" s="22">
        <v>3625</v>
      </c>
      <c r="BK121" s="22">
        <v>3650</v>
      </c>
      <c r="BL121" s="22">
        <v>3570</v>
      </c>
      <c r="BM121" s="1">
        <v>3560</v>
      </c>
      <c r="BN121" s="1">
        <v>3410</v>
      </c>
      <c r="BO121" s="1">
        <v>3470</v>
      </c>
      <c r="BP121" s="1">
        <v>3455</v>
      </c>
    </row>
    <row r="122" spans="1:68" ht="15.9" customHeight="1">
      <c r="A122" s="81" t="s">
        <v>239</v>
      </c>
      <c r="B122" s="17" t="s">
        <v>240</v>
      </c>
      <c r="C122" s="26" t="str">
        <f>_xll.RssMarket("8334","始値")</f>
        <v/>
      </c>
      <c r="D122" s="25" t="e">
        <f t="shared" si="3"/>
        <v>#VALUE!</v>
      </c>
      <c r="E122" s="22">
        <v>2610</v>
      </c>
      <c r="F122" s="22">
        <v>2584</v>
      </c>
      <c r="G122" s="22">
        <v>2548.5</v>
      </c>
      <c r="H122" s="76">
        <v>2520</v>
      </c>
      <c r="I122" s="22">
        <v>2510</v>
      </c>
      <c r="J122" s="22">
        <v>2545</v>
      </c>
      <c r="K122" s="22">
        <v>2450.5</v>
      </c>
      <c r="L122" s="22">
        <v>2502</v>
      </c>
      <c r="M122" s="22">
        <v>2420.5</v>
      </c>
      <c r="N122" s="22">
        <v>2441</v>
      </c>
      <c r="O122" s="22">
        <v>2400</v>
      </c>
      <c r="P122" s="22">
        <v>2336.5</v>
      </c>
      <c r="Q122" s="22">
        <v>2333</v>
      </c>
      <c r="R122" s="22">
        <v>2348</v>
      </c>
      <c r="S122" s="22">
        <v>2329</v>
      </c>
      <c r="T122" s="22">
        <v>2322.5</v>
      </c>
      <c r="U122" s="22">
        <v>2307</v>
      </c>
      <c r="V122" s="22">
        <v>2332</v>
      </c>
      <c r="W122" s="22">
        <v>2294</v>
      </c>
      <c r="X122" s="22">
        <v>2308.5</v>
      </c>
      <c r="Y122" s="22">
        <v>2340</v>
      </c>
      <c r="Z122" s="22">
        <v>2360</v>
      </c>
      <c r="AA122" s="22">
        <v>2326.5</v>
      </c>
      <c r="AB122" s="22">
        <v>2393.5</v>
      </c>
      <c r="AC122" s="22">
        <v>2352</v>
      </c>
      <c r="AD122" s="22">
        <v>2317</v>
      </c>
      <c r="AE122" s="22">
        <v>2377</v>
      </c>
      <c r="AF122" s="22">
        <v>2246</v>
      </c>
      <c r="AG122" s="22">
        <v>2300</v>
      </c>
      <c r="AH122" s="22">
        <v>2178</v>
      </c>
      <c r="AI122" s="22">
        <v>2199</v>
      </c>
      <c r="AJ122" s="22">
        <v>2147.5</v>
      </c>
      <c r="AK122" s="22">
        <v>2218.5</v>
      </c>
      <c r="AL122" s="22">
        <v>2279.5</v>
      </c>
      <c r="AM122" s="22">
        <v>2261</v>
      </c>
      <c r="AN122" s="22">
        <v>2296</v>
      </c>
      <c r="AO122" s="22">
        <v>2369.5</v>
      </c>
      <c r="AP122" s="22">
        <v>2340</v>
      </c>
      <c r="AQ122" s="22">
        <v>2312</v>
      </c>
      <c r="AR122" s="22">
        <v>2288</v>
      </c>
      <c r="AS122" s="22">
        <v>2259.5</v>
      </c>
      <c r="AT122" s="22">
        <v>2179</v>
      </c>
      <c r="AU122" s="22">
        <v>2182.5</v>
      </c>
      <c r="AV122" s="22">
        <v>2169</v>
      </c>
      <c r="AW122" s="22">
        <v>2224</v>
      </c>
      <c r="AX122" s="22">
        <v>2194</v>
      </c>
      <c r="AY122" s="22">
        <v>2173</v>
      </c>
      <c r="AZ122" s="22">
        <v>2247</v>
      </c>
      <c r="BA122" s="22">
        <v>2132</v>
      </c>
      <c r="BB122" s="22">
        <v>2199</v>
      </c>
      <c r="BC122" s="22">
        <v>2052</v>
      </c>
      <c r="BD122" s="22">
        <v>2002</v>
      </c>
      <c r="BE122" s="22">
        <v>2050</v>
      </c>
      <c r="BF122" s="22">
        <v>2028</v>
      </c>
      <c r="BG122" s="22">
        <v>2133.5</v>
      </c>
      <c r="BH122" s="22">
        <v>2193</v>
      </c>
      <c r="BI122" s="22">
        <v>2255.5</v>
      </c>
      <c r="BJ122" s="22">
        <v>2264.5</v>
      </c>
      <c r="BK122" s="22">
        <v>2295</v>
      </c>
      <c r="BL122" s="22">
        <v>2266</v>
      </c>
      <c r="BM122" s="1">
        <v>2289</v>
      </c>
      <c r="BN122" s="1">
        <v>2250.5</v>
      </c>
      <c r="BO122" s="1">
        <v>2299</v>
      </c>
      <c r="BP122" s="1">
        <v>2294</v>
      </c>
    </row>
    <row r="123" spans="1:68" ht="15.9" customHeight="1">
      <c r="A123" s="81" t="s">
        <v>241</v>
      </c>
      <c r="B123" s="17" t="s">
        <v>242</v>
      </c>
      <c r="C123" s="26" t="str">
        <f>_xll.RssMarket("8359","始値")</f>
        <v/>
      </c>
      <c r="D123" s="25" t="e">
        <f t="shared" si="3"/>
        <v>#VALUE!</v>
      </c>
      <c r="E123" s="22">
        <v>2607</v>
      </c>
      <c r="F123" s="22">
        <v>2575</v>
      </c>
      <c r="G123" s="22">
        <v>2561</v>
      </c>
      <c r="H123" s="76">
        <v>2579</v>
      </c>
      <c r="I123" s="22">
        <v>2608</v>
      </c>
      <c r="J123" s="22">
        <v>2564</v>
      </c>
      <c r="K123" s="22">
        <v>2550</v>
      </c>
      <c r="L123" s="22">
        <v>2600</v>
      </c>
      <c r="M123" s="22">
        <v>2528.5</v>
      </c>
      <c r="N123" s="22">
        <v>2499</v>
      </c>
      <c r="O123" s="22">
        <v>2462.5</v>
      </c>
      <c r="P123" s="22">
        <v>2391.5</v>
      </c>
      <c r="Q123" s="22">
        <v>2396</v>
      </c>
      <c r="R123" s="22">
        <v>2399</v>
      </c>
      <c r="S123" s="22">
        <v>2376</v>
      </c>
      <c r="T123" s="22">
        <v>2389.5</v>
      </c>
      <c r="U123" s="22">
        <v>2390</v>
      </c>
      <c r="V123" s="22">
        <v>2413.5</v>
      </c>
      <c r="W123" s="22">
        <v>2331</v>
      </c>
      <c r="X123" s="22">
        <v>2329</v>
      </c>
      <c r="Y123" s="22">
        <v>2326</v>
      </c>
      <c r="Z123" s="22">
        <v>2372</v>
      </c>
      <c r="AA123" s="22">
        <v>2356.5</v>
      </c>
      <c r="AB123" s="22">
        <v>2460</v>
      </c>
      <c r="AC123" s="22">
        <v>2354.5</v>
      </c>
      <c r="AD123" s="22">
        <v>2331</v>
      </c>
      <c r="AE123" s="22">
        <v>2452</v>
      </c>
      <c r="AF123" s="22">
        <v>2350</v>
      </c>
      <c r="AG123" s="22">
        <v>2438</v>
      </c>
      <c r="AH123" s="22">
        <v>2283.5</v>
      </c>
      <c r="AI123" s="22">
        <v>2348</v>
      </c>
      <c r="AJ123" s="22">
        <v>2300</v>
      </c>
      <c r="AK123" s="22">
        <v>2295</v>
      </c>
      <c r="AL123" s="22">
        <v>2295.5</v>
      </c>
      <c r="AM123" s="22">
        <v>2300</v>
      </c>
      <c r="AN123" s="22">
        <v>2363</v>
      </c>
      <c r="AO123" s="22">
        <v>2370</v>
      </c>
      <c r="AP123" s="22">
        <v>2341.5</v>
      </c>
      <c r="AQ123" s="22">
        <v>2300</v>
      </c>
      <c r="AR123" s="22">
        <v>2230</v>
      </c>
      <c r="AS123" s="22">
        <v>2358</v>
      </c>
      <c r="AT123" s="22">
        <v>2340</v>
      </c>
      <c r="AU123" s="22">
        <v>2355</v>
      </c>
      <c r="AV123" s="22">
        <v>2327.5</v>
      </c>
      <c r="AW123" s="22">
        <v>2308.5</v>
      </c>
      <c r="AX123" s="22">
        <v>2221</v>
      </c>
      <c r="AY123" s="22">
        <v>2228</v>
      </c>
      <c r="AZ123" s="22">
        <v>2167</v>
      </c>
      <c r="BA123" s="22">
        <v>2104</v>
      </c>
      <c r="BB123" s="22">
        <v>2150.5</v>
      </c>
      <c r="BC123" s="22">
        <v>2059</v>
      </c>
      <c r="BD123" s="22">
        <v>1991</v>
      </c>
      <c r="BE123" s="22">
        <v>2032</v>
      </c>
      <c r="BF123" s="22">
        <v>1997.5</v>
      </c>
      <c r="BG123" s="22">
        <v>2037.5</v>
      </c>
      <c r="BH123" s="22">
        <v>2094.5</v>
      </c>
      <c r="BI123" s="22">
        <v>2125</v>
      </c>
      <c r="BJ123" s="22">
        <v>2111</v>
      </c>
      <c r="BK123" s="22">
        <v>2104</v>
      </c>
      <c r="BL123" s="22">
        <v>2084.5</v>
      </c>
      <c r="BM123" s="1">
        <v>2088</v>
      </c>
      <c r="BN123" s="1">
        <v>2082</v>
      </c>
      <c r="BO123" s="1">
        <v>2123</v>
      </c>
      <c r="BP123" s="1">
        <v>2128</v>
      </c>
    </row>
    <row r="124" spans="1:68" ht="15.9" customHeight="1">
      <c r="A124" s="81" t="s">
        <v>243</v>
      </c>
      <c r="B124" s="17" t="s">
        <v>244</v>
      </c>
      <c r="C124" s="26" t="str">
        <f>_xll.RssMarket("8801","始値")</f>
        <v/>
      </c>
      <c r="D124" s="25" t="e">
        <f t="shared" si="3"/>
        <v>#VALUE!</v>
      </c>
      <c r="E124" s="22">
        <v>1549</v>
      </c>
      <c r="F124" s="22">
        <v>1553</v>
      </c>
      <c r="G124" s="22">
        <v>1510</v>
      </c>
      <c r="H124" s="76">
        <v>1528</v>
      </c>
      <c r="I124" s="22">
        <v>1518.5</v>
      </c>
      <c r="J124" s="22">
        <v>1504.5</v>
      </c>
      <c r="K124" s="22">
        <v>1578</v>
      </c>
      <c r="L124" s="22">
        <v>1571</v>
      </c>
      <c r="M124" s="22">
        <v>1545</v>
      </c>
      <c r="N124" s="22">
        <v>1560.5</v>
      </c>
      <c r="O124" s="22">
        <v>1498</v>
      </c>
      <c r="P124" s="22">
        <v>1491</v>
      </c>
      <c r="Q124" s="22">
        <v>1525</v>
      </c>
      <c r="R124" s="22">
        <v>1500</v>
      </c>
      <c r="S124" s="22">
        <v>1451.5</v>
      </c>
      <c r="T124" s="22">
        <v>1494</v>
      </c>
      <c r="U124" s="22">
        <v>1448.5</v>
      </c>
      <c r="V124" s="22">
        <v>1458</v>
      </c>
      <c r="W124" s="22">
        <v>1486.5</v>
      </c>
      <c r="X124" s="22">
        <v>1493.5</v>
      </c>
      <c r="Y124" s="22">
        <v>1516.5</v>
      </c>
      <c r="Z124" s="22">
        <v>1544.5</v>
      </c>
      <c r="AA124" s="22">
        <v>1564.5</v>
      </c>
      <c r="AB124" s="22">
        <v>1586</v>
      </c>
      <c r="AC124" s="22">
        <v>1564</v>
      </c>
      <c r="AD124" s="22">
        <v>1555</v>
      </c>
      <c r="AE124" s="22">
        <v>1529.5</v>
      </c>
      <c r="AF124" s="22">
        <v>1470</v>
      </c>
      <c r="AG124" s="22">
        <v>1482</v>
      </c>
      <c r="AH124" s="22">
        <v>1478.5</v>
      </c>
      <c r="AI124" s="22">
        <v>1515</v>
      </c>
      <c r="AJ124" s="22">
        <v>1477.5</v>
      </c>
      <c r="AK124" s="22">
        <v>1519</v>
      </c>
      <c r="AL124" s="22">
        <v>1532</v>
      </c>
      <c r="AM124" s="22">
        <v>1537.5</v>
      </c>
      <c r="AN124" s="22">
        <v>1510</v>
      </c>
      <c r="AO124" s="22">
        <v>1501</v>
      </c>
      <c r="AP124" s="22">
        <v>1539.5</v>
      </c>
      <c r="AQ124" s="22">
        <v>1520</v>
      </c>
      <c r="AR124" s="22">
        <v>1539.5</v>
      </c>
      <c r="AS124" s="22">
        <v>1490.5</v>
      </c>
      <c r="AT124" s="22">
        <v>1600</v>
      </c>
      <c r="AU124" s="22">
        <v>1672</v>
      </c>
      <c r="AV124" s="22">
        <v>1676.5</v>
      </c>
      <c r="AW124" s="22">
        <v>1656.5</v>
      </c>
      <c r="AX124" s="22">
        <v>1699</v>
      </c>
      <c r="AY124" s="22">
        <v>1709.5</v>
      </c>
      <c r="AZ124" s="22">
        <v>1690</v>
      </c>
      <c r="BA124" s="22">
        <v>1694.5</v>
      </c>
      <c r="BB124" s="22">
        <v>1715</v>
      </c>
      <c r="BC124" s="22">
        <v>1697</v>
      </c>
      <c r="BD124" s="22">
        <v>1709.5</v>
      </c>
      <c r="BE124" s="22">
        <v>1753.5</v>
      </c>
      <c r="BF124" s="22">
        <v>1741</v>
      </c>
      <c r="BG124" s="22">
        <v>1744.5</v>
      </c>
      <c r="BH124" s="22">
        <v>1766</v>
      </c>
      <c r="BI124" s="22">
        <v>1749.5</v>
      </c>
      <c r="BJ124" s="22">
        <v>1777</v>
      </c>
      <c r="BK124" s="22">
        <v>1818</v>
      </c>
      <c r="BL124" s="22">
        <v>1755</v>
      </c>
      <c r="BM124" s="1">
        <v>1700.5</v>
      </c>
      <c r="BN124" s="1">
        <v>1712</v>
      </c>
      <c r="BO124" s="1">
        <v>1781.5</v>
      </c>
      <c r="BP124" s="1">
        <v>1758.5</v>
      </c>
    </row>
    <row r="125" spans="1:68" ht="15.9" customHeight="1">
      <c r="A125" s="81" t="s">
        <v>245</v>
      </c>
      <c r="B125" s="17" t="s">
        <v>246</v>
      </c>
      <c r="C125" s="26" t="str">
        <f>_xll.RssMarket("8934","始値")</f>
        <v/>
      </c>
      <c r="D125" s="25" t="e">
        <f t="shared" si="3"/>
        <v>#VALUE!</v>
      </c>
      <c r="E125" s="22">
        <v>2546</v>
      </c>
      <c r="F125" s="22">
        <v>2545</v>
      </c>
      <c r="G125" s="22">
        <v>2504</v>
      </c>
      <c r="H125" s="76">
        <v>2508</v>
      </c>
      <c r="I125" s="22">
        <v>2515</v>
      </c>
      <c r="J125" s="22">
        <v>2535</v>
      </c>
      <c r="K125" s="22">
        <v>2522</v>
      </c>
      <c r="L125" s="22">
        <v>2482</v>
      </c>
      <c r="M125" s="22">
        <v>2435</v>
      </c>
      <c r="N125" s="22">
        <v>2429</v>
      </c>
      <c r="O125" s="22">
        <v>2412</v>
      </c>
      <c r="P125" s="22">
        <v>2452</v>
      </c>
      <c r="Q125" s="22">
        <v>2410</v>
      </c>
      <c r="R125" s="22">
        <v>2373</v>
      </c>
      <c r="S125" s="22">
        <v>2352</v>
      </c>
      <c r="T125" s="22">
        <v>2339</v>
      </c>
      <c r="U125" s="22">
        <v>2336</v>
      </c>
      <c r="V125" s="22">
        <v>2350</v>
      </c>
      <c r="W125" s="22">
        <v>2388</v>
      </c>
      <c r="X125" s="22">
        <v>2380</v>
      </c>
      <c r="Y125" s="22">
        <v>2405</v>
      </c>
      <c r="Z125" s="22">
        <v>2350</v>
      </c>
      <c r="AA125" s="22">
        <v>2381</v>
      </c>
      <c r="AB125" s="22">
        <v>2375</v>
      </c>
      <c r="AC125" s="22">
        <v>2307</v>
      </c>
      <c r="AD125" s="22">
        <v>2297</v>
      </c>
      <c r="AE125" s="22">
        <v>2268</v>
      </c>
      <c r="AF125" s="22">
        <v>2277</v>
      </c>
      <c r="AG125" s="22">
        <v>2230</v>
      </c>
      <c r="AH125" s="22">
        <v>2363</v>
      </c>
      <c r="AI125" s="22">
        <v>2340</v>
      </c>
      <c r="AJ125" s="22">
        <v>2351</v>
      </c>
      <c r="AK125" s="22">
        <v>2348</v>
      </c>
      <c r="AL125" s="22">
        <v>2385</v>
      </c>
      <c r="AM125" s="22">
        <v>2390</v>
      </c>
      <c r="AN125" s="22">
        <v>2422</v>
      </c>
      <c r="AO125" s="22">
        <v>2412</v>
      </c>
      <c r="AP125" s="22">
        <v>2470</v>
      </c>
      <c r="AQ125" s="22">
        <v>2445</v>
      </c>
      <c r="AR125" s="22">
        <v>2443</v>
      </c>
      <c r="AS125" s="22">
        <v>2445</v>
      </c>
      <c r="AT125" s="22">
        <v>2535</v>
      </c>
      <c r="AU125" s="22">
        <v>2580</v>
      </c>
      <c r="AV125" s="22">
        <v>2624</v>
      </c>
      <c r="AW125" s="22">
        <v>2650</v>
      </c>
      <c r="AX125" s="22">
        <v>2685</v>
      </c>
      <c r="AY125" s="22">
        <v>2701</v>
      </c>
      <c r="AZ125" s="22">
        <v>2679</v>
      </c>
      <c r="BA125" s="22">
        <v>2631</v>
      </c>
      <c r="BB125" s="22">
        <v>2683</v>
      </c>
      <c r="BC125" s="22">
        <v>2702</v>
      </c>
      <c r="BD125" s="22">
        <v>2744</v>
      </c>
      <c r="BE125" s="22">
        <v>2769</v>
      </c>
      <c r="BF125" s="22">
        <v>2799</v>
      </c>
      <c r="BG125" s="22">
        <v>2791</v>
      </c>
      <c r="BH125" s="22">
        <v>2825</v>
      </c>
      <c r="BI125" s="22">
        <v>2840</v>
      </c>
      <c r="BJ125" s="22">
        <v>2841</v>
      </c>
      <c r="BK125" s="22">
        <v>2812</v>
      </c>
      <c r="BL125" s="22">
        <v>2786</v>
      </c>
      <c r="BM125" s="1">
        <v>2742</v>
      </c>
      <c r="BN125" s="1">
        <v>2749</v>
      </c>
      <c r="BO125" s="1">
        <v>2720</v>
      </c>
    </row>
    <row r="126" spans="1:68" ht="15.9" customHeight="1">
      <c r="A126" s="81" t="s">
        <v>247</v>
      </c>
      <c r="B126" s="17" t="s">
        <v>248</v>
      </c>
      <c r="C126" s="26" t="str">
        <f>_xll.RssMarket("9416","始値")</f>
        <v/>
      </c>
      <c r="D126" s="25" t="e">
        <f t="shared" si="3"/>
        <v>#VALUE!</v>
      </c>
      <c r="E126" s="22">
        <v>1008</v>
      </c>
      <c r="F126" s="22">
        <v>1018</v>
      </c>
      <c r="G126" s="22">
        <v>1022</v>
      </c>
      <c r="H126" s="76">
        <v>1016</v>
      </c>
      <c r="I126" s="22">
        <v>1010</v>
      </c>
      <c r="J126" s="22">
        <v>1001</v>
      </c>
      <c r="K126" s="22">
        <v>1010</v>
      </c>
      <c r="L126" s="22">
        <v>1001</v>
      </c>
      <c r="M126" s="22">
        <v>986</v>
      </c>
      <c r="N126" s="22">
        <v>970</v>
      </c>
      <c r="O126" s="22">
        <v>967</v>
      </c>
      <c r="P126" s="22">
        <v>979</v>
      </c>
      <c r="Q126" s="22">
        <v>974</v>
      </c>
      <c r="R126" s="22">
        <v>966</v>
      </c>
      <c r="S126" s="22">
        <v>990</v>
      </c>
      <c r="T126" s="22">
        <v>985</v>
      </c>
      <c r="U126" s="22">
        <v>1023</v>
      </c>
      <c r="V126" s="22">
        <v>1020</v>
      </c>
      <c r="W126" s="22">
        <v>1029</v>
      </c>
      <c r="X126" s="22">
        <v>1020</v>
      </c>
      <c r="Y126" s="22">
        <v>1017</v>
      </c>
      <c r="Z126" s="22">
        <v>1022</v>
      </c>
      <c r="AA126" s="22">
        <v>1009</v>
      </c>
      <c r="AB126" s="22">
        <v>1012</v>
      </c>
      <c r="AC126" s="22">
        <v>1011</v>
      </c>
      <c r="AD126" s="22">
        <v>1021</v>
      </c>
      <c r="AE126" s="22">
        <v>1011</v>
      </c>
      <c r="AF126" s="22">
        <v>1009</v>
      </c>
      <c r="AG126" s="22">
        <v>1021</v>
      </c>
      <c r="AH126" s="22">
        <v>1058</v>
      </c>
      <c r="AI126" s="22">
        <v>1061</v>
      </c>
      <c r="AJ126" s="22">
        <v>1063</v>
      </c>
      <c r="AK126" s="22">
        <v>1020</v>
      </c>
      <c r="AL126" s="22">
        <v>1030</v>
      </c>
      <c r="AM126" s="22">
        <v>1031</v>
      </c>
      <c r="AN126" s="22">
        <v>1008</v>
      </c>
      <c r="AO126" s="22">
        <v>1044</v>
      </c>
      <c r="AP126" s="22">
        <v>1020</v>
      </c>
      <c r="AQ126" s="22">
        <v>1140</v>
      </c>
      <c r="AR126" s="22">
        <v>1105</v>
      </c>
      <c r="AS126" s="22">
        <v>1111</v>
      </c>
      <c r="AT126" s="22">
        <v>1108</v>
      </c>
      <c r="AU126" s="22">
        <v>1102</v>
      </c>
      <c r="AV126" s="22">
        <v>1091</v>
      </c>
      <c r="AW126" s="22">
        <v>1099</v>
      </c>
      <c r="AX126" s="22">
        <v>1097</v>
      </c>
      <c r="AY126" s="22">
        <v>1087</v>
      </c>
      <c r="AZ126" s="22">
        <v>1106</v>
      </c>
      <c r="BA126" s="22">
        <v>1109</v>
      </c>
      <c r="BB126" s="22">
        <v>1140</v>
      </c>
      <c r="BC126" s="22">
        <v>1170</v>
      </c>
      <c r="BD126" s="22">
        <v>1186</v>
      </c>
      <c r="BE126" s="22">
        <v>1192</v>
      </c>
      <c r="BF126" s="22">
        <v>1208</v>
      </c>
      <c r="BG126" s="22">
        <v>1202</v>
      </c>
      <c r="BH126" s="22">
        <v>1202</v>
      </c>
      <c r="BI126" s="22">
        <v>1197</v>
      </c>
      <c r="BJ126" s="22">
        <v>1197</v>
      </c>
      <c r="BK126" s="22">
        <v>1202</v>
      </c>
      <c r="BL126" s="22">
        <v>1199</v>
      </c>
      <c r="BM126" s="1">
        <v>1176</v>
      </c>
      <c r="BN126" s="1">
        <v>1168</v>
      </c>
      <c r="BO126" s="1">
        <v>1153</v>
      </c>
      <c r="BP126" s="1">
        <v>1169</v>
      </c>
    </row>
    <row r="127" spans="1:68" ht="15.9" customHeight="1">
      <c r="A127" s="81" t="s">
        <v>249</v>
      </c>
      <c r="B127" s="17" t="s">
        <v>250</v>
      </c>
      <c r="C127" s="26" t="str">
        <f>_xll.RssMarket("9532","始値")</f>
        <v/>
      </c>
      <c r="D127" s="25" t="e">
        <f t="shared" si="3"/>
        <v>#VALUE!</v>
      </c>
      <c r="E127" s="22">
        <v>5376</v>
      </c>
      <c r="F127" s="22">
        <v>5420</v>
      </c>
      <c r="G127" s="22">
        <v>5330</v>
      </c>
      <c r="H127" s="76">
        <v>5400</v>
      </c>
      <c r="I127" s="22">
        <v>5405</v>
      </c>
      <c r="J127" s="22">
        <v>5494</v>
      </c>
      <c r="K127" s="22">
        <v>5539</v>
      </c>
      <c r="L127" s="22">
        <v>5443</v>
      </c>
      <c r="M127" s="22">
        <v>5396</v>
      </c>
      <c r="N127" s="22">
        <v>5394</v>
      </c>
      <c r="O127" s="22">
        <v>5369</v>
      </c>
      <c r="P127" s="22">
        <v>5456</v>
      </c>
      <c r="Q127" s="22">
        <v>5463</v>
      </c>
      <c r="R127" s="22">
        <v>5410</v>
      </c>
      <c r="S127" s="22">
        <v>5370</v>
      </c>
      <c r="T127" s="22">
        <v>5447</v>
      </c>
      <c r="U127" s="22">
        <v>5417</v>
      </c>
      <c r="V127" s="22">
        <v>5464</v>
      </c>
      <c r="W127" s="22">
        <v>5429</v>
      </c>
      <c r="X127" s="22">
        <v>5388</v>
      </c>
      <c r="Y127" s="22">
        <v>5490</v>
      </c>
      <c r="Z127" s="22">
        <v>5527</v>
      </c>
      <c r="AA127" s="22">
        <v>5520</v>
      </c>
      <c r="AB127" s="22">
        <v>5606</v>
      </c>
      <c r="AC127" s="22">
        <v>5698</v>
      </c>
      <c r="AD127" s="22">
        <v>5540</v>
      </c>
      <c r="AE127" s="22">
        <v>5550</v>
      </c>
      <c r="AF127" s="22">
        <v>5454</v>
      </c>
      <c r="AG127" s="22">
        <v>5457</v>
      </c>
      <c r="AH127" s="22">
        <v>5607</v>
      </c>
      <c r="AI127" s="22">
        <v>5499</v>
      </c>
      <c r="AJ127" s="22">
        <v>5260</v>
      </c>
      <c r="AK127" s="22">
        <v>5350</v>
      </c>
      <c r="AL127" s="22">
        <v>5442</v>
      </c>
      <c r="AM127" s="22">
        <v>5553</v>
      </c>
      <c r="AN127" s="22">
        <v>5644</v>
      </c>
      <c r="AO127" s="22">
        <v>5768</v>
      </c>
      <c r="AP127" s="22">
        <v>5779</v>
      </c>
      <c r="AQ127" s="22">
        <v>5862</v>
      </c>
      <c r="AR127" s="22">
        <v>5726</v>
      </c>
      <c r="AS127" s="22">
        <v>5700</v>
      </c>
      <c r="AT127" s="22">
        <v>5717</v>
      </c>
      <c r="AU127" s="22">
        <v>5731</v>
      </c>
      <c r="AV127" s="22">
        <v>5679</v>
      </c>
      <c r="AW127" s="22">
        <v>5629</v>
      </c>
      <c r="AX127" s="22">
        <v>5567</v>
      </c>
      <c r="AY127" s="22">
        <v>5684</v>
      </c>
      <c r="AZ127" s="22">
        <v>5736</v>
      </c>
      <c r="BA127" s="22">
        <v>5720</v>
      </c>
      <c r="BB127" s="22">
        <v>5874</v>
      </c>
      <c r="BC127" s="22">
        <v>5827</v>
      </c>
      <c r="BD127" s="22">
        <v>5779</v>
      </c>
      <c r="BE127" s="22">
        <v>5956</v>
      </c>
      <c r="BF127" s="22">
        <v>5793</v>
      </c>
      <c r="BG127" s="22">
        <v>5880</v>
      </c>
      <c r="BH127" s="22">
        <v>5983</v>
      </c>
      <c r="BI127" s="22">
        <v>6129</v>
      </c>
      <c r="BJ127" s="22">
        <v>6238</v>
      </c>
      <c r="BK127" s="22">
        <v>6174</v>
      </c>
      <c r="BL127" s="22">
        <v>6249</v>
      </c>
      <c r="BM127" s="1">
        <v>6290</v>
      </c>
      <c r="BN127" s="1">
        <v>6374</v>
      </c>
      <c r="BO127" s="1">
        <v>6587</v>
      </c>
      <c r="BP127" s="1">
        <v>6550</v>
      </c>
    </row>
    <row r="128" spans="1:68" ht="15.9" customHeight="1">
      <c r="A128" s="81" t="s">
        <v>251</v>
      </c>
      <c r="B128" s="17" t="s">
        <v>252</v>
      </c>
      <c r="C128" s="26" t="str">
        <f>_xll.RssMarket("6330","始値")</f>
        <v/>
      </c>
      <c r="D128" s="25" t="e">
        <f t="shared" si="3"/>
        <v>#VALUE!</v>
      </c>
      <c r="E128" s="22">
        <v>1845</v>
      </c>
      <c r="F128" s="22">
        <v>1945</v>
      </c>
      <c r="G128" s="22">
        <v>1915</v>
      </c>
      <c r="H128" s="22">
        <v>1936</v>
      </c>
      <c r="I128" s="22">
        <v>1988</v>
      </c>
      <c r="J128" s="22">
        <v>1965</v>
      </c>
      <c r="K128" s="22">
        <v>2000</v>
      </c>
      <c r="L128" s="22">
        <v>2180</v>
      </c>
      <c r="M128" s="22">
        <v>2080</v>
      </c>
      <c r="N128" s="22">
        <v>2053</v>
      </c>
      <c r="O128" s="22">
        <v>1972</v>
      </c>
      <c r="P128" s="22">
        <v>1996</v>
      </c>
      <c r="Q128" s="22">
        <v>2277</v>
      </c>
      <c r="R128" s="22">
        <v>2084</v>
      </c>
      <c r="S128" s="22">
        <v>1957</v>
      </c>
      <c r="T128" s="22">
        <v>1951</v>
      </c>
      <c r="U128" s="22">
        <v>1893</v>
      </c>
      <c r="V128" s="22">
        <v>2000</v>
      </c>
      <c r="W128" s="22">
        <v>2060</v>
      </c>
      <c r="X128" s="22">
        <v>2083</v>
      </c>
      <c r="Y128" s="22">
        <v>2200</v>
      </c>
      <c r="Z128" s="22">
        <v>2091</v>
      </c>
      <c r="AA128" s="22">
        <v>2049</v>
      </c>
      <c r="AB128" s="22">
        <v>1995</v>
      </c>
      <c r="AC128" s="22">
        <v>1870</v>
      </c>
      <c r="AD128" s="22">
        <v>1832</v>
      </c>
      <c r="AE128" s="22">
        <v>1975</v>
      </c>
      <c r="AF128" s="22">
        <v>1965</v>
      </c>
      <c r="AG128" s="22">
        <v>1942</v>
      </c>
      <c r="AH128" s="22">
        <v>1984</v>
      </c>
      <c r="AI128" s="22">
        <v>1890</v>
      </c>
      <c r="AJ128" s="22">
        <v>1897</v>
      </c>
      <c r="AK128" s="22">
        <v>2153</v>
      </c>
      <c r="AL128" s="22">
        <v>2092</v>
      </c>
      <c r="AM128" s="22">
        <v>2169</v>
      </c>
      <c r="AN128" s="22">
        <v>2184</v>
      </c>
      <c r="AO128" s="22">
        <v>2010</v>
      </c>
      <c r="AP128" s="22">
        <v>2069</v>
      </c>
      <c r="AQ128" s="22">
        <v>2082</v>
      </c>
      <c r="AR128" s="22">
        <v>2100</v>
      </c>
      <c r="AS128" s="22">
        <v>2128</v>
      </c>
      <c r="AT128" s="22">
        <v>2148</v>
      </c>
      <c r="AU128" s="22">
        <v>2160</v>
      </c>
      <c r="AV128" s="22">
        <v>2188</v>
      </c>
      <c r="AW128" s="22">
        <v>2226</v>
      </c>
      <c r="AX128" s="22">
        <v>2313</v>
      </c>
      <c r="AY128" s="22">
        <v>2295</v>
      </c>
      <c r="AZ128" s="22">
        <v>2335</v>
      </c>
      <c r="BA128" s="22">
        <v>2286</v>
      </c>
      <c r="BB128" s="22">
        <v>2340</v>
      </c>
      <c r="BC128" s="22">
        <v>2331</v>
      </c>
      <c r="BD128" s="22">
        <v>2282</v>
      </c>
      <c r="BE128" s="22">
        <v>2449</v>
      </c>
      <c r="BF128" s="22">
        <v>2478</v>
      </c>
      <c r="BG128" s="22">
        <v>2510</v>
      </c>
      <c r="BH128" s="22">
        <v>2662</v>
      </c>
      <c r="BI128" s="22">
        <v>2640</v>
      </c>
      <c r="BJ128" s="22">
        <v>2500</v>
      </c>
      <c r="BK128" s="22">
        <v>2350</v>
      </c>
      <c r="BL128" s="22">
        <v>2357</v>
      </c>
      <c r="BM128" s="1">
        <v>2331</v>
      </c>
      <c r="BN128" s="1">
        <v>2281</v>
      </c>
      <c r="BO128" s="1">
        <v>2340</v>
      </c>
      <c r="BP128" s="1">
        <v>2321</v>
      </c>
    </row>
    <row r="129" spans="1:68" ht="15.9" customHeight="1">
      <c r="A129" s="81" t="s">
        <v>253</v>
      </c>
      <c r="B129" s="17" t="s">
        <v>254</v>
      </c>
      <c r="C129" s="26" t="str">
        <f>_xll.RssMarket("4082","始値")</f>
        <v/>
      </c>
      <c r="D129" s="25" t="e">
        <f t="shared" si="3"/>
        <v>#VALUE!</v>
      </c>
      <c r="E129" s="22">
        <v>1847</v>
      </c>
      <c r="F129" s="22">
        <v>1947</v>
      </c>
      <c r="G129" s="22">
        <v>1936</v>
      </c>
      <c r="H129" s="22">
        <v>1940</v>
      </c>
      <c r="I129" s="22">
        <v>1980</v>
      </c>
      <c r="J129" s="22">
        <v>2008</v>
      </c>
      <c r="K129" s="22">
        <v>2001</v>
      </c>
      <c r="L129" s="22">
        <v>2071</v>
      </c>
      <c r="M129" s="22">
        <v>2055</v>
      </c>
      <c r="N129" s="22">
        <v>2031</v>
      </c>
      <c r="O129" s="22">
        <v>2065</v>
      </c>
      <c r="P129" s="22">
        <v>2047</v>
      </c>
      <c r="Q129" s="22">
        <v>2091</v>
      </c>
      <c r="R129" s="22">
        <v>2100</v>
      </c>
      <c r="S129" s="22">
        <v>2090</v>
      </c>
      <c r="T129" s="22">
        <v>2002</v>
      </c>
      <c r="U129" s="22">
        <v>2137</v>
      </c>
      <c r="V129" s="22">
        <v>2067</v>
      </c>
      <c r="W129" s="22">
        <v>2010</v>
      </c>
      <c r="X129" s="22">
        <v>2085</v>
      </c>
      <c r="Y129" s="22">
        <v>1990</v>
      </c>
      <c r="Z129" s="22">
        <v>1948</v>
      </c>
      <c r="AA129" s="22">
        <v>1940</v>
      </c>
      <c r="AB129" s="22">
        <v>1900</v>
      </c>
      <c r="AC129" s="22">
        <v>1800</v>
      </c>
      <c r="AD129" s="22">
        <v>1963</v>
      </c>
      <c r="AE129" s="22">
        <v>2010</v>
      </c>
      <c r="AF129" s="22">
        <v>2079</v>
      </c>
      <c r="AG129" s="22">
        <v>2172</v>
      </c>
      <c r="AH129" s="22">
        <v>2166</v>
      </c>
      <c r="AI129" s="22">
        <v>2225</v>
      </c>
      <c r="AJ129" s="22">
        <v>2295</v>
      </c>
      <c r="AK129" s="22">
        <v>2170</v>
      </c>
      <c r="AL129" s="22">
        <v>2186</v>
      </c>
      <c r="AM129" s="22">
        <v>2093</v>
      </c>
      <c r="AN129" s="22">
        <v>1980</v>
      </c>
      <c r="AO129" s="22">
        <v>1960</v>
      </c>
      <c r="AP129" s="22">
        <v>2099</v>
      </c>
      <c r="AQ129" s="22">
        <v>2195</v>
      </c>
      <c r="AR129" s="22">
        <v>2183</v>
      </c>
      <c r="AS129" s="22">
        <v>2181</v>
      </c>
      <c r="AT129" s="22">
        <v>2651</v>
      </c>
      <c r="AU129" s="22">
        <v>2640</v>
      </c>
      <c r="AV129" s="22">
        <v>2708</v>
      </c>
      <c r="AW129" s="22">
        <v>2487</v>
      </c>
      <c r="AX129" s="22">
        <v>2388</v>
      </c>
      <c r="AY129" s="22">
        <v>2346</v>
      </c>
      <c r="AZ129" s="22">
        <v>2246</v>
      </c>
      <c r="BA129" s="22">
        <v>2307</v>
      </c>
      <c r="BB129" s="22">
        <v>2260</v>
      </c>
      <c r="BC129" s="22">
        <v>2268</v>
      </c>
      <c r="BD129" s="22">
        <v>2470</v>
      </c>
      <c r="BE129" s="22">
        <v>2303</v>
      </c>
      <c r="BF129" s="22">
        <v>2380</v>
      </c>
      <c r="BG129" s="22">
        <v>2561</v>
      </c>
      <c r="BH129" s="22">
        <v>2329</v>
      </c>
      <c r="BI129" s="22">
        <v>2231</v>
      </c>
      <c r="BJ129" s="22">
        <v>2152</v>
      </c>
      <c r="BK129" s="22">
        <v>2100</v>
      </c>
      <c r="BL129" s="22">
        <v>2050</v>
      </c>
      <c r="BM129" s="1">
        <v>2038</v>
      </c>
      <c r="BN129" s="1">
        <v>2131</v>
      </c>
      <c r="BO129" s="1">
        <v>2172</v>
      </c>
      <c r="BP129" s="1">
        <v>2129</v>
      </c>
    </row>
    <row r="130" spans="1:68" ht="15.9" customHeight="1">
      <c r="A130" s="81" t="s">
        <v>255</v>
      </c>
      <c r="B130" s="17" t="s">
        <v>256</v>
      </c>
      <c r="C130" s="26" t="str">
        <f>_xll.RssMarket("4519","始値")</f>
        <v/>
      </c>
      <c r="D130" s="25" t="e">
        <f t="shared" si="3"/>
        <v>#VALUE!</v>
      </c>
      <c r="E130" s="22">
        <v>7243</v>
      </c>
      <c r="F130" s="22">
        <v>7200</v>
      </c>
      <c r="G130" s="22">
        <v>7250</v>
      </c>
      <c r="H130" s="22">
        <v>7345</v>
      </c>
      <c r="I130" s="22">
        <v>7353</v>
      </c>
      <c r="J130" s="22">
        <v>7345</v>
      </c>
      <c r="K130" s="22">
        <v>7733</v>
      </c>
      <c r="L130" s="22">
        <v>7652</v>
      </c>
      <c r="M130" s="22">
        <v>7651</v>
      </c>
      <c r="N130" s="22">
        <v>7780</v>
      </c>
      <c r="O130" s="22">
        <v>7370</v>
      </c>
      <c r="P130" s="22">
        <v>7400</v>
      </c>
      <c r="Q130" s="22">
        <v>7585</v>
      </c>
      <c r="R130" s="22">
        <v>7453</v>
      </c>
      <c r="S130" s="22">
        <v>7474</v>
      </c>
      <c r="T130" s="22">
        <v>7564</v>
      </c>
      <c r="U130" s="22">
        <v>7530</v>
      </c>
      <c r="V130" s="22">
        <v>7542</v>
      </c>
      <c r="W130" s="22">
        <v>7488</v>
      </c>
      <c r="X130" s="22">
        <v>7514</v>
      </c>
      <c r="Y130" s="22">
        <v>7674</v>
      </c>
      <c r="Z130" s="22">
        <v>7532</v>
      </c>
      <c r="AA130" s="22">
        <v>7562</v>
      </c>
      <c r="AB130" s="22">
        <v>7388</v>
      </c>
      <c r="AC130" s="22">
        <v>7447</v>
      </c>
      <c r="AD130" s="22">
        <v>7270</v>
      </c>
      <c r="AE130" s="22">
        <v>7341</v>
      </c>
      <c r="AF130" s="22">
        <v>7500</v>
      </c>
      <c r="AG130" s="22">
        <v>7649</v>
      </c>
      <c r="AH130" s="22">
        <v>7400</v>
      </c>
      <c r="AI130" s="22">
        <v>7500</v>
      </c>
      <c r="AJ130" s="22">
        <v>7601</v>
      </c>
      <c r="AK130" s="22">
        <v>7699</v>
      </c>
      <c r="AL130" s="22">
        <v>7880</v>
      </c>
      <c r="AM130" s="22">
        <v>7646</v>
      </c>
      <c r="AN130" s="22">
        <v>8013</v>
      </c>
      <c r="AO130" s="22">
        <v>7804</v>
      </c>
      <c r="AP130" s="22">
        <v>8049</v>
      </c>
      <c r="AQ130" s="22">
        <v>7873</v>
      </c>
      <c r="AR130" s="22">
        <v>7979</v>
      </c>
      <c r="AS130" s="22">
        <v>7892</v>
      </c>
      <c r="AT130" s="22">
        <v>7946</v>
      </c>
      <c r="AU130" s="22">
        <v>7850</v>
      </c>
      <c r="AV130" s="22">
        <v>7753</v>
      </c>
      <c r="AW130" s="22">
        <v>7850</v>
      </c>
      <c r="AX130" s="22">
        <v>7821</v>
      </c>
      <c r="AY130" s="22">
        <v>8245</v>
      </c>
      <c r="AZ130" s="22">
        <v>7765</v>
      </c>
      <c r="BA130" s="22">
        <v>8529</v>
      </c>
      <c r="BB130" s="22">
        <v>8000</v>
      </c>
      <c r="BC130" s="22">
        <v>7580</v>
      </c>
      <c r="BD130" s="22">
        <v>7961</v>
      </c>
      <c r="BE130" s="22">
        <v>8994</v>
      </c>
      <c r="BF130" s="22">
        <v>8760</v>
      </c>
      <c r="BG130" s="22">
        <v>8747</v>
      </c>
      <c r="BH130" s="22">
        <v>8744</v>
      </c>
      <c r="BI130" s="22">
        <v>8599</v>
      </c>
      <c r="BJ130" s="22">
        <v>8435</v>
      </c>
      <c r="BK130" s="22">
        <v>8624</v>
      </c>
      <c r="BL130" s="22">
        <v>8512</v>
      </c>
      <c r="BM130" s="1">
        <v>8639</v>
      </c>
      <c r="BN130" s="1">
        <v>8564</v>
      </c>
      <c r="BO130" s="1">
        <v>8750</v>
      </c>
      <c r="BP130" s="1">
        <v>8818</v>
      </c>
    </row>
    <row r="131" spans="1:68" ht="15.9" customHeight="1">
      <c r="A131" s="81" t="s">
        <v>257</v>
      </c>
      <c r="B131" s="17" t="s">
        <v>258</v>
      </c>
      <c r="C131" s="26" t="str">
        <f>_xll.RssMarket("2160","始値")</f>
        <v/>
      </c>
      <c r="D131" s="25" t="e">
        <f t="shared" si="3"/>
        <v>#VALUE!</v>
      </c>
      <c r="E131" s="22">
        <v>2500</v>
      </c>
      <c r="F131" s="22">
        <v>2590</v>
      </c>
      <c r="G131" s="22">
        <v>2607</v>
      </c>
      <c r="H131" s="22">
        <v>2600</v>
      </c>
      <c r="I131" s="22">
        <v>2590</v>
      </c>
      <c r="J131" s="22">
        <v>2611</v>
      </c>
      <c r="K131" s="22">
        <v>2801</v>
      </c>
      <c r="L131" s="22">
        <v>2870</v>
      </c>
      <c r="M131" s="22">
        <v>2875</v>
      </c>
      <c r="N131" s="22">
        <v>2933</v>
      </c>
      <c r="O131" s="22">
        <v>2828</v>
      </c>
      <c r="P131" s="22">
        <v>2825</v>
      </c>
      <c r="Q131" s="22">
        <v>2752</v>
      </c>
      <c r="R131" s="22">
        <v>2602</v>
      </c>
      <c r="S131" s="22">
        <v>2536</v>
      </c>
      <c r="T131" s="22">
        <v>2558</v>
      </c>
      <c r="U131" s="22">
        <v>2534</v>
      </c>
      <c r="V131" s="22">
        <v>2472</v>
      </c>
      <c r="W131" s="22">
        <v>2501</v>
      </c>
      <c r="X131" s="22">
        <v>2630</v>
      </c>
      <c r="Y131" s="22">
        <v>2565</v>
      </c>
      <c r="Z131" s="22">
        <v>2500</v>
      </c>
      <c r="AA131" s="22">
        <v>2544</v>
      </c>
      <c r="AB131" s="22">
        <v>2529</v>
      </c>
      <c r="AC131" s="22">
        <v>2735</v>
      </c>
      <c r="AD131" s="22">
        <v>2650</v>
      </c>
      <c r="AE131" s="22">
        <v>2784</v>
      </c>
      <c r="AF131" s="22">
        <v>2920</v>
      </c>
      <c r="AG131" s="22">
        <v>2800</v>
      </c>
      <c r="AH131" s="22">
        <v>2600</v>
      </c>
      <c r="AI131" s="22">
        <v>2547</v>
      </c>
      <c r="AJ131" s="22">
        <v>2564</v>
      </c>
      <c r="AK131" s="22">
        <v>2665</v>
      </c>
      <c r="AL131" s="22">
        <v>2675</v>
      </c>
      <c r="AM131" s="22">
        <v>2700</v>
      </c>
      <c r="AN131" s="22">
        <v>2843</v>
      </c>
      <c r="AO131" s="22">
        <v>2851</v>
      </c>
      <c r="AP131" s="22">
        <v>2800</v>
      </c>
      <c r="AQ131" s="22">
        <v>2724</v>
      </c>
      <c r="AR131" s="22">
        <v>2970</v>
      </c>
      <c r="AS131" s="22">
        <v>3035</v>
      </c>
      <c r="AT131" s="22">
        <v>3100</v>
      </c>
      <c r="AU131" s="22">
        <v>3245</v>
      </c>
      <c r="AV131" s="22">
        <v>2973</v>
      </c>
      <c r="AW131" s="22">
        <v>2998</v>
      </c>
      <c r="AX131" s="22">
        <v>2985</v>
      </c>
      <c r="AY131" s="22">
        <v>3100</v>
      </c>
      <c r="AZ131" s="22">
        <v>2970</v>
      </c>
      <c r="BA131" s="22">
        <v>3050</v>
      </c>
      <c r="BB131" s="22">
        <v>3125</v>
      </c>
      <c r="BC131" s="22">
        <v>3130</v>
      </c>
      <c r="BD131" s="22">
        <v>3115</v>
      </c>
      <c r="BE131" s="22">
        <v>3270</v>
      </c>
      <c r="BF131" s="22">
        <v>3375</v>
      </c>
      <c r="BG131" s="22">
        <v>3415</v>
      </c>
      <c r="BH131" s="22">
        <v>3355</v>
      </c>
      <c r="BI131" s="22">
        <v>3350</v>
      </c>
      <c r="BJ131" s="22">
        <v>3395</v>
      </c>
      <c r="BK131" s="22">
        <v>3220</v>
      </c>
      <c r="BL131" s="22">
        <v>3235</v>
      </c>
      <c r="BM131" s="1">
        <v>3100</v>
      </c>
      <c r="BN131" s="1">
        <v>3165</v>
      </c>
      <c r="BO131" s="1">
        <v>3175</v>
      </c>
      <c r="BP131" s="1">
        <v>3250</v>
      </c>
    </row>
    <row r="132" spans="1:68" ht="15.9" customHeight="1">
      <c r="A132" s="81" t="s">
        <v>259</v>
      </c>
      <c r="B132" s="17" t="s">
        <v>260</v>
      </c>
      <c r="C132" s="26" t="str">
        <f>_xll.RssMarket("6227","始値")</f>
        <v/>
      </c>
      <c r="D132" s="25" t="e">
        <f t="shared" si="3"/>
        <v>#VALUE!</v>
      </c>
      <c r="E132" s="22">
        <v>6880</v>
      </c>
      <c r="F132" s="22">
        <v>8080</v>
      </c>
      <c r="G132" s="22">
        <v>7390</v>
      </c>
      <c r="H132" s="22">
        <v>7000</v>
      </c>
      <c r="I132" s="22">
        <v>6790</v>
      </c>
      <c r="J132" s="22">
        <v>5880</v>
      </c>
      <c r="K132" s="22">
        <v>5760</v>
      </c>
      <c r="L132" s="22">
        <v>6290</v>
      </c>
      <c r="M132" s="22">
        <v>7040</v>
      </c>
      <c r="N132" s="22">
        <v>6830</v>
      </c>
      <c r="O132" s="22">
        <v>6930</v>
      </c>
      <c r="P132" s="22">
        <v>7080</v>
      </c>
      <c r="Q132" s="22">
        <v>6900</v>
      </c>
      <c r="R132" s="22">
        <v>6590</v>
      </c>
      <c r="S132" s="22">
        <v>7090</v>
      </c>
      <c r="T132" s="22">
        <v>7530</v>
      </c>
      <c r="U132" s="22">
        <v>7370</v>
      </c>
      <c r="V132" s="22">
        <v>7770</v>
      </c>
      <c r="W132" s="22">
        <v>7150</v>
      </c>
      <c r="X132" s="22">
        <v>7600</v>
      </c>
      <c r="Y132" s="22">
        <v>8280</v>
      </c>
      <c r="Z132" s="22">
        <v>7930</v>
      </c>
      <c r="AA132" s="22">
        <v>8390</v>
      </c>
      <c r="AB132" s="22">
        <v>8600</v>
      </c>
      <c r="AC132" s="22">
        <v>7100</v>
      </c>
      <c r="AD132" s="22">
        <v>6650</v>
      </c>
      <c r="AE132" s="22">
        <v>7440</v>
      </c>
      <c r="AF132" s="22">
        <v>6590</v>
      </c>
      <c r="AG132" s="22">
        <v>6410</v>
      </c>
      <c r="AH132" s="22">
        <v>5970</v>
      </c>
      <c r="AI132" s="22">
        <v>6190</v>
      </c>
      <c r="AJ132" s="22">
        <v>5780</v>
      </c>
      <c r="AK132" s="22">
        <v>5660</v>
      </c>
      <c r="AL132" s="22">
        <v>5380</v>
      </c>
      <c r="AM132" s="22">
        <v>6230</v>
      </c>
      <c r="AN132" s="22">
        <v>6110</v>
      </c>
      <c r="AO132" s="22">
        <v>6060</v>
      </c>
      <c r="AP132" s="22">
        <v>6900</v>
      </c>
      <c r="AQ132" s="22">
        <v>6710</v>
      </c>
      <c r="AR132" s="22">
        <v>7220</v>
      </c>
      <c r="AS132" s="22">
        <v>6910</v>
      </c>
      <c r="AT132" s="22">
        <v>6790</v>
      </c>
      <c r="AU132" s="22">
        <v>6590</v>
      </c>
      <c r="AV132" s="22">
        <v>6670</v>
      </c>
      <c r="AW132" s="22">
        <v>6520</v>
      </c>
      <c r="AX132" s="22">
        <v>6900</v>
      </c>
      <c r="AY132" s="22">
        <v>6690</v>
      </c>
      <c r="AZ132" s="22">
        <v>6510</v>
      </c>
      <c r="BA132" s="22">
        <v>6280</v>
      </c>
      <c r="BB132" s="22">
        <v>6060</v>
      </c>
      <c r="BC132" s="22">
        <v>6450</v>
      </c>
      <c r="BD132" s="22">
        <v>6680</v>
      </c>
      <c r="BE132" s="22">
        <v>6480</v>
      </c>
      <c r="BF132" s="22">
        <v>7060</v>
      </c>
      <c r="BG132" s="22">
        <v>7150</v>
      </c>
      <c r="BH132" s="22">
        <v>7450</v>
      </c>
      <c r="BI132" s="22">
        <v>8120</v>
      </c>
      <c r="BJ132" s="22">
        <v>8000</v>
      </c>
      <c r="BK132" s="22">
        <v>8420</v>
      </c>
      <c r="BL132" s="22">
        <v>8000</v>
      </c>
      <c r="BM132" s="1">
        <v>7150</v>
      </c>
      <c r="BN132" s="1">
        <v>6020</v>
      </c>
      <c r="BO132" s="1">
        <v>6100</v>
      </c>
      <c r="BP132" s="1">
        <v>5990</v>
      </c>
    </row>
    <row r="133" spans="1:68" ht="15.9" customHeight="1">
      <c r="A133" s="81" t="s">
        <v>261</v>
      </c>
      <c r="B133" s="17" t="s">
        <v>262</v>
      </c>
      <c r="C133" s="26" t="str">
        <f>_xll.RssMarket("6327","始値")</f>
        <v/>
      </c>
      <c r="D133" s="25" t="e">
        <f t="shared" si="3"/>
        <v>#VALUE!</v>
      </c>
      <c r="E133" s="22">
        <v>4080</v>
      </c>
      <c r="F133" s="22">
        <v>5500</v>
      </c>
      <c r="G133" s="22">
        <v>5190</v>
      </c>
      <c r="H133" s="22">
        <v>5930</v>
      </c>
      <c r="I133" s="22">
        <v>5490</v>
      </c>
      <c r="J133" s="22">
        <v>5500</v>
      </c>
      <c r="K133" s="22">
        <v>5460</v>
      </c>
      <c r="L133" s="22">
        <v>6710</v>
      </c>
      <c r="M133" s="22">
        <v>8070</v>
      </c>
      <c r="N133" s="22">
        <v>7200</v>
      </c>
      <c r="O133" s="22">
        <v>7840</v>
      </c>
      <c r="P133" s="22">
        <v>8920</v>
      </c>
      <c r="Q133" s="22">
        <v>6900</v>
      </c>
      <c r="R133" s="22">
        <v>6250</v>
      </c>
      <c r="S133" s="22">
        <v>6580</v>
      </c>
      <c r="T133" s="22">
        <v>6080</v>
      </c>
      <c r="U133" s="22">
        <v>5550</v>
      </c>
      <c r="V133" s="22">
        <v>5700</v>
      </c>
      <c r="W133" s="22">
        <v>5890</v>
      </c>
      <c r="X133" s="22">
        <v>6900</v>
      </c>
      <c r="Y133" s="22">
        <v>5310</v>
      </c>
      <c r="Z133" s="22">
        <v>4720</v>
      </c>
      <c r="AA133" s="22">
        <v>3975</v>
      </c>
      <c r="AB133" s="22">
        <v>3230</v>
      </c>
      <c r="AC133" s="22">
        <v>3330</v>
      </c>
      <c r="AD133" s="22">
        <v>2939</v>
      </c>
      <c r="AE133" s="22">
        <v>3375</v>
      </c>
      <c r="AF133" s="22">
        <v>3350</v>
      </c>
      <c r="AG133" s="22">
        <v>3655</v>
      </c>
      <c r="AH133" s="22">
        <v>4070</v>
      </c>
      <c r="AI133" s="22">
        <v>4915</v>
      </c>
      <c r="AJ133" s="22">
        <v>4660</v>
      </c>
      <c r="AK133" s="22">
        <v>4995</v>
      </c>
      <c r="AL133" s="22">
        <v>3850</v>
      </c>
      <c r="AM133" s="22">
        <v>3555</v>
      </c>
      <c r="AN133" s="22">
        <v>2964</v>
      </c>
      <c r="AO133" s="22">
        <v>2455</v>
      </c>
      <c r="AP133" s="22">
        <v>2355</v>
      </c>
      <c r="AQ133" s="22">
        <v>2340</v>
      </c>
      <c r="AR133" s="22">
        <v>2602</v>
      </c>
      <c r="AS133" s="22">
        <v>2655</v>
      </c>
      <c r="AT133" s="22">
        <v>2673</v>
      </c>
      <c r="AU133" s="22">
        <v>2610</v>
      </c>
      <c r="AV133" s="22">
        <v>2790</v>
      </c>
      <c r="AW133" s="22">
        <v>3460</v>
      </c>
      <c r="AX133" s="22">
        <v>3260</v>
      </c>
      <c r="AY133" s="22">
        <v>3250</v>
      </c>
      <c r="AZ133" s="22">
        <v>2947</v>
      </c>
      <c r="BA133" s="22">
        <v>2771</v>
      </c>
      <c r="BB133" s="22">
        <v>2588</v>
      </c>
      <c r="BC133" s="22">
        <v>2198</v>
      </c>
      <c r="BD133" s="22">
        <v>2118</v>
      </c>
      <c r="BE133" s="22">
        <v>2075</v>
      </c>
      <c r="BF133" s="22">
        <v>2160</v>
      </c>
      <c r="BG133" s="22">
        <v>2150</v>
      </c>
      <c r="BH133" s="22">
        <v>2000</v>
      </c>
      <c r="BI133" s="22">
        <v>2046</v>
      </c>
      <c r="BJ133" s="22">
        <v>2070</v>
      </c>
      <c r="BK133" s="22">
        <v>2045</v>
      </c>
      <c r="BL133" s="22">
        <v>2120</v>
      </c>
      <c r="BM133" s="1">
        <v>2000</v>
      </c>
      <c r="BN133" s="1">
        <v>1928</v>
      </c>
      <c r="BO133" s="1">
        <v>1850</v>
      </c>
      <c r="BP133" s="1">
        <v>1885</v>
      </c>
    </row>
    <row r="134" spans="1:68" ht="15.9" customHeight="1">
      <c r="A134" s="81" t="s">
        <v>263</v>
      </c>
      <c r="B134" s="17" t="s">
        <v>264</v>
      </c>
      <c r="C134" s="26" t="str">
        <f>_xll.RssMarket("3110","始値")</f>
        <v/>
      </c>
      <c r="D134" s="25" t="e">
        <f t="shared" ref="D134:D141" si="4">C134-E134</f>
        <v>#VALUE!</v>
      </c>
      <c r="E134" s="22">
        <v>3150</v>
      </c>
      <c r="F134" s="22">
        <v>3500</v>
      </c>
      <c r="G134" s="22">
        <v>3400</v>
      </c>
      <c r="H134" s="22">
        <v>3425</v>
      </c>
      <c r="I134" s="22">
        <v>3530</v>
      </c>
      <c r="J134" s="22">
        <v>3650</v>
      </c>
      <c r="K134" s="22">
        <v>3430</v>
      </c>
      <c r="L134" s="22">
        <v>3865</v>
      </c>
      <c r="M134" s="22">
        <v>3605</v>
      </c>
      <c r="N134" s="22">
        <v>3530</v>
      </c>
      <c r="O134" s="22">
        <v>3855</v>
      </c>
      <c r="P134" s="22">
        <v>4320</v>
      </c>
      <c r="Q134" s="22">
        <v>4455</v>
      </c>
      <c r="R134" s="22">
        <v>3875</v>
      </c>
      <c r="S134" s="22">
        <v>19940</v>
      </c>
      <c r="T134" s="22">
        <v>21510</v>
      </c>
      <c r="U134" s="22">
        <v>19370</v>
      </c>
      <c r="V134" s="22">
        <v>21180</v>
      </c>
      <c r="W134" s="22">
        <v>20270</v>
      </c>
      <c r="X134" s="22">
        <v>19500</v>
      </c>
      <c r="Y134" s="22">
        <v>21250</v>
      </c>
      <c r="Z134" s="22">
        <v>20690</v>
      </c>
      <c r="AA134" s="22">
        <v>20260</v>
      </c>
      <c r="AB134" s="22">
        <v>19580</v>
      </c>
      <c r="AC134" s="22">
        <v>18100</v>
      </c>
      <c r="AD134" s="22">
        <v>16670</v>
      </c>
      <c r="AE134" s="22">
        <v>18000</v>
      </c>
      <c r="AF134" s="22">
        <v>18230</v>
      </c>
      <c r="AG134" s="22">
        <v>20270</v>
      </c>
      <c r="AH134" s="22">
        <v>21000</v>
      </c>
      <c r="AI134" s="22">
        <v>22400</v>
      </c>
      <c r="AJ134" s="22">
        <v>22510</v>
      </c>
      <c r="AK134" s="22">
        <v>22940</v>
      </c>
      <c r="AL134" s="22">
        <v>25740</v>
      </c>
      <c r="AM134" s="22">
        <v>25660</v>
      </c>
      <c r="AN134" s="22">
        <v>22840</v>
      </c>
      <c r="AO134" s="22">
        <v>21740</v>
      </c>
      <c r="AP134" s="22">
        <v>21410</v>
      </c>
      <c r="AQ134" s="22">
        <v>21960</v>
      </c>
      <c r="AR134" s="22">
        <v>24070</v>
      </c>
      <c r="AS134" s="22">
        <v>26150</v>
      </c>
      <c r="AT134" s="22">
        <v>26030</v>
      </c>
      <c r="AU134" s="22">
        <v>26700</v>
      </c>
      <c r="AV134" s="22">
        <v>29990</v>
      </c>
      <c r="AW134" s="22">
        <v>30000</v>
      </c>
      <c r="AX134" s="22">
        <v>30700</v>
      </c>
      <c r="AY134" s="22">
        <v>30000</v>
      </c>
      <c r="AZ134" s="22">
        <v>28540</v>
      </c>
      <c r="BA134" s="22">
        <v>28100</v>
      </c>
      <c r="BB134" s="22">
        <v>27110</v>
      </c>
      <c r="BC134" s="22">
        <v>27400</v>
      </c>
      <c r="BD134" s="22">
        <v>26470</v>
      </c>
      <c r="BE134" s="22">
        <v>27930</v>
      </c>
      <c r="BF134" s="22">
        <v>26440</v>
      </c>
      <c r="BG134" s="22">
        <v>26850</v>
      </c>
      <c r="BH134" s="22">
        <v>27300</v>
      </c>
      <c r="BI134" s="22">
        <v>26820</v>
      </c>
      <c r="BJ134" s="22">
        <v>26850</v>
      </c>
      <c r="BK134" s="22">
        <v>30100</v>
      </c>
      <c r="BL134" s="22">
        <v>29960</v>
      </c>
      <c r="BM134" s="1">
        <v>27570</v>
      </c>
      <c r="BN134" s="1">
        <v>26500</v>
      </c>
      <c r="BO134" s="1">
        <v>24400</v>
      </c>
      <c r="BP134" s="1">
        <v>23500</v>
      </c>
    </row>
    <row r="135" spans="1:68" ht="15.9" customHeight="1">
      <c r="A135" s="81" t="s">
        <v>265</v>
      </c>
      <c r="B135" s="17" t="s">
        <v>266</v>
      </c>
      <c r="C135" s="26" t="str">
        <f>_xll.RssMarket("6232","始値")</f>
        <v/>
      </c>
      <c r="D135" s="25" t="e">
        <f t="shared" si="4"/>
        <v>#VALUE!</v>
      </c>
      <c r="E135" s="22">
        <v>1723</v>
      </c>
      <c r="F135" s="22">
        <v>1720</v>
      </c>
      <c r="G135" s="22">
        <v>1721</v>
      </c>
      <c r="H135" s="22">
        <v>1797</v>
      </c>
      <c r="I135" s="22">
        <v>1746</v>
      </c>
      <c r="J135" s="22">
        <v>1750</v>
      </c>
      <c r="K135" s="22">
        <v>1797</v>
      </c>
      <c r="L135" s="22">
        <v>1891</v>
      </c>
      <c r="M135" s="22">
        <v>1877</v>
      </c>
      <c r="N135" s="22">
        <v>1753</v>
      </c>
      <c r="O135" s="22">
        <v>1793</v>
      </c>
      <c r="P135" s="22">
        <v>1720</v>
      </c>
      <c r="Q135" s="22">
        <v>1675</v>
      </c>
      <c r="R135" s="22">
        <v>1713</v>
      </c>
      <c r="S135" s="22">
        <v>1787</v>
      </c>
      <c r="T135" s="22">
        <v>1890</v>
      </c>
      <c r="U135" s="22">
        <v>1901</v>
      </c>
      <c r="V135" s="22">
        <v>1980</v>
      </c>
      <c r="W135" s="22">
        <v>1847</v>
      </c>
      <c r="X135" s="22">
        <v>1770</v>
      </c>
      <c r="Y135" s="22">
        <v>1865</v>
      </c>
      <c r="Z135" s="22">
        <v>1834</v>
      </c>
      <c r="AA135" s="22">
        <v>1772</v>
      </c>
      <c r="AB135" s="22">
        <v>1851</v>
      </c>
      <c r="AC135" s="22">
        <v>1852</v>
      </c>
      <c r="AD135" s="22">
        <v>2050</v>
      </c>
      <c r="AE135" s="22">
        <v>2008</v>
      </c>
      <c r="AF135" s="22">
        <v>2010</v>
      </c>
      <c r="AG135" s="22">
        <v>1985</v>
      </c>
      <c r="AH135" s="22">
        <v>2028</v>
      </c>
      <c r="AI135" s="22">
        <v>2100</v>
      </c>
      <c r="AJ135" s="22">
        <v>2537</v>
      </c>
      <c r="AK135" s="22">
        <v>2284</v>
      </c>
      <c r="AL135" s="22">
        <v>2449</v>
      </c>
      <c r="AM135" s="22">
        <v>2891</v>
      </c>
      <c r="AN135" s="22">
        <v>2650</v>
      </c>
      <c r="AO135" s="22">
        <v>2912</v>
      </c>
      <c r="AP135" s="22">
        <v>3220</v>
      </c>
      <c r="AQ135" s="22">
        <v>3170</v>
      </c>
      <c r="AR135" s="22">
        <v>3325</v>
      </c>
      <c r="AS135" s="22">
        <v>3070</v>
      </c>
      <c r="AT135" s="22">
        <v>3110</v>
      </c>
      <c r="AU135" s="22">
        <v>2930</v>
      </c>
      <c r="AV135" s="22">
        <v>4130</v>
      </c>
      <c r="AW135" s="22">
        <v>3400</v>
      </c>
      <c r="AX135" s="22">
        <v>2382</v>
      </c>
      <c r="AY135" s="22">
        <v>2597</v>
      </c>
      <c r="AZ135" s="22">
        <v>2389</v>
      </c>
      <c r="BA135" s="22">
        <v>2302</v>
      </c>
      <c r="BB135" s="22">
        <v>2262</v>
      </c>
      <c r="BC135" s="22">
        <v>2588</v>
      </c>
      <c r="BD135" s="22">
        <v>2311</v>
      </c>
      <c r="BE135" s="22">
        <v>2322</v>
      </c>
      <c r="BF135" s="22">
        <v>1859</v>
      </c>
      <c r="BG135" s="22">
        <v>1774</v>
      </c>
      <c r="BH135" s="22">
        <v>1701</v>
      </c>
      <c r="BI135" s="22">
        <v>1782</v>
      </c>
      <c r="BJ135" s="22">
        <v>1825</v>
      </c>
      <c r="BK135" s="22">
        <v>1868</v>
      </c>
      <c r="BL135" s="22">
        <v>1861</v>
      </c>
      <c r="BM135" s="1">
        <v>1610</v>
      </c>
      <c r="BN135" s="1">
        <v>1581</v>
      </c>
      <c r="BO135" s="1">
        <v>1630</v>
      </c>
      <c r="BP135" s="1">
        <v>1615</v>
      </c>
    </row>
    <row r="136" spans="1:68" ht="15.9" customHeight="1">
      <c r="A136" s="81" t="s">
        <v>267</v>
      </c>
      <c r="B136" s="17" t="s">
        <v>268</v>
      </c>
      <c r="C136" s="26" t="str">
        <f>_xll.RssMarket("7794","始値")</f>
        <v/>
      </c>
      <c r="D136" s="25" t="e">
        <f t="shared" si="4"/>
        <v>#VALUE!</v>
      </c>
      <c r="E136" s="22">
        <v>930</v>
      </c>
      <c r="F136" s="22">
        <v>1030</v>
      </c>
      <c r="G136" s="22">
        <v>1047</v>
      </c>
      <c r="H136" s="22">
        <v>1068</v>
      </c>
      <c r="I136" s="22">
        <v>1077</v>
      </c>
      <c r="J136" s="22">
        <v>1103</v>
      </c>
      <c r="K136" s="22">
        <v>1100</v>
      </c>
      <c r="L136" s="22">
        <v>1174</v>
      </c>
      <c r="M136" s="22">
        <v>1244</v>
      </c>
      <c r="N136" s="22">
        <v>1222</v>
      </c>
      <c r="O136" s="22">
        <v>1221</v>
      </c>
      <c r="P136" s="22">
        <v>1240</v>
      </c>
      <c r="Q136" s="22">
        <v>1165</v>
      </c>
      <c r="R136" s="22">
        <v>1100</v>
      </c>
      <c r="S136" s="22">
        <v>1049</v>
      </c>
      <c r="T136" s="22">
        <v>1080</v>
      </c>
      <c r="U136" s="22">
        <v>1099</v>
      </c>
      <c r="V136" s="22">
        <v>1208</v>
      </c>
      <c r="W136" s="22">
        <v>1119</v>
      </c>
      <c r="X136" s="22">
        <v>1121</v>
      </c>
      <c r="Y136" s="22">
        <v>1091</v>
      </c>
      <c r="Z136" s="22">
        <v>1074</v>
      </c>
      <c r="AA136" s="22">
        <v>1095</v>
      </c>
      <c r="AB136" s="22">
        <v>1121</v>
      </c>
      <c r="AC136" s="22">
        <v>1100</v>
      </c>
      <c r="AD136" s="22">
        <v>1081</v>
      </c>
      <c r="AE136" s="22">
        <v>1110</v>
      </c>
      <c r="AF136" s="22">
        <v>1080</v>
      </c>
      <c r="AG136" s="22">
        <v>1005</v>
      </c>
      <c r="AH136" s="22">
        <v>1070</v>
      </c>
      <c r="AI136" s="22">
        <v>1102</v>
      </c>
      <c r="AJ136" s="22">
        <v>1160</v>
      </c>
      <c r="AK136" s="22">
        <v>1225</v>
      </c>
      <c r="AL136" s="22">
        <v>1326</v>
      </c>
      <c r="AM136" s="22">
        <v>1125</v>
      </c>
      <c r="AN136" s="22">
        <v>1148</v>
      </c>
      <c r="AO136" s="22">
        <v>1081</v>
      </c>
      <c r="AP136" s="22">
        <v>1103</v>
      </c>
      <c r="AQ136" s="22">
        <v>1122</v>
      </c>
      <c r="AR136" s="22">
        <v>1124</v>
      </c>
      <c r="AS136" s="22">
        <v>1160</v>
      </c>
      <c r="AT136" s="22">
        <v>1120</v>
      </c>
      <c r="AU136" s="22">
        <v>1213</v>
      </c>
      <c r="AV136" s="22">
        <v>1310</v>
      </c>
      <c r="AW136" s="22">
        <v>1398</v>
      </c>
      <c r="AX136" s="22">
        <v>1421</v>
      </c>
      <c r="AY136" s="22">
        <v>1305</v>
      </c>
      <c r="AZ136" s="22">
        <v>1320</v>
      </c>
      <c r="BA136" s="22">
        <v>1333</v>
      </c>
      <c r="BB136" s="22">
        <v>1315</v>
      </c>
      <c r="BC136" s="22">
        <v>1342</v>
      </c>
      <c r="BD136" s="22">
        <v>1414</v>
      </c>
      <c r="BE136" s="22">
        <v>1450</v>
      </c>
      <c r="BF136" s="22">
        <v>1484</v>
      </c>
      <c r="BG136" s="22">
        <v>1540</v>
      </c>
      <c r="BH136" s="22">
        <v>1620</v>
      </c>
      <c r="BI136" s="22">
        <v>1580</v>
      </c>
      <c r="BJ136" s="22">
        <v>1238</v>
      </c>
      <c r="BK136" s="22">
        <v>1189</v>
      </c>
      <c r="BL136" s="22">
        <v>1198</v>
      </c>
      <c r="BM136" s="1">
        <v>1218</v>
      </c>
      <c r="BN136" s="1">
        <v>1169</v>
      </c>
      <c r="BO136" s="1">
        <v>1216</v>
      </c>
      <c r="BP136" s="1">
        <v>1201</v>
      </c>
    </row>
    <row r="137" spans="1:68" ht="15.9" customHeight="1">
      <c r="A137" s="81" t="s">
        <v>269</v>
      </c>
      <c r="B137" s="17" t="s">
        <v>270</v>
      </c>
      <c r="C137" s="26" t="str">
        <f>_xll.RssMarket("6085","始値")</f>
        <v/>
      </c>
      <c r="D137" s="25" t="e">
        <f t="shared" si="4"/>
        <v>#VALUE!</v>
      </c>
      <c r="E137" s="22">
        <v>167</v>
      </c>
      <c r="F137" s="22">
        <v>212</v>
      </c>
      <c r="G137" s="22">
        <v>209</v>
      </c>
      <c r="H137" s="22">
        <v>230</v>
      </c>
      <c r="I137" s="22">
        <v>218</v>
      </c>
      <c r="J137" s="22">
        <v>231</v>
      </c>
      <c r="K137" s="22">
        <v>266</v>
      </c>
      <c r="L137" s="22">
        <v>251</v>
      </c>
      <c r="M137" s="22">
        <v>235</v>
      </c>
      <c r="N137" s="22">
        <v>238</v>
      </c>
      <c r="O137" s="22">
        <v>251</v>
      </c>
      <c r="P137" s="22">
        <v>268</v>
      </c>
      <c r="Q137" s="22">
        <v>280</v>
      </c>
      <c r="R137" s="22">
        <v>309</v>
      </c>
      <c r="S137" s="22">
        <v>303</v>
      </c>
      <c r="T137" s="22">
        <v>311</v>
      </c>
      <c r="U137" s="22">
        <v>361</v>
      </c>
      <c r="V137" s="22">
        <v>330</v>
      </c>
      <c r="W137" s="22">
        <v>331</v>
      </c>
      <c r="X137" s="22">
        <v>330</v>
      </c>
      <c r="Y137" s="22">
        <v>321</v>
      </c>
      <c r="Z137" s="22">
        <v>310</v>
      </c>
      <c r="AA137" s="22">
        <v>360</v>
      </c>
      <c r="AB137" s="22">
        <v>400</v>
      </c>
      <c r="AC137" s="22">
        <v>405</v>
      </c>
      <c r="AD137" s="22">
        <v>394</v>
      </c>
      <c r="AE137" s="22">
        <v>314</v>
      </c>
      <c r="AF137" s="22">
        <v>266</v>
      </c>
      <c r="AG137" s="22">
        <v>250</v>
      </c>
      <c r="AH137" s="22">
        <v>274</v>
      </c>
      <c r="AI137" s="22">
        <v>369</v>
      </c>
      <c r="AJ137" s="22">
        <v>335</v>
      </c>
      <c r="AK137" s="22">
        <v>423</v>
      </c>
      <c r="AL137" s="22">
        <v>514</v>
      </c>
      <c r="AM137" s="22">
        <v>520</v>
      </c>
      <c r="AN137" s="22">
        <v>460</v>
      </c>
      <c r="AO137" s="22">
        <v>440</v>
      </c>
      <c r="AP137" s="22">
        <v>463</v>
      </c>
      <c r="AQ137" s="22">
        <v>579</v>
      </c>
      <c r="AR137" s="22">
        <v>520</v>
      </c>
      <c r="AS137" s="22">
        <v>527</v>
      </c>
      <c r="AT137" s="22">
        <v>498</v>
      </c>
      <c r="AU137" s="22">
        <v>540</v>
      </c>
      <c r="AV137" s="22">
        <v>580</v>
      </c>
      <c r="AW137" s="22">
        <v>600</v>
      </c>
      <c r="AX137" s="22">
        <v>645</v>
      </c>
      <c r="AY137" s="22">
        <v>540</v>
      </c>
      <c r="AZ137" s="22">
        <v>645</v>
      </c>
      <c r="BA137" s="22">
        <v>680</v>
      </c>
      <c r="BB137" s="22">
        <v>564</v>
      </c>
      <c r="BC137" s="22">
        <v>589</v>
      </c>
      <c r="BD137" s="22">
        <v>465</v>
      </c>
      <c r="BE137" s="22">
        <v>451</v>
      </c>
      <c r="BF137" s="22">
        <v>396</v>
      </c>
      <c r="BG137" s="22">
        <v>399</v>
      </c>
      <c r="BH137" s="22">
        <v>364</v>
      </c>
      <c r="BI137" s="22">
        <v>349.5</v>
      </c>
      <c r="BJ137" s="22">
        <v>297.89999999999998</v>
      </c>
      <c r="BK137" s="22">
        <v>299.89999999999998</v>
      </c>
      <c r="BL137" s="22">
        <v>315</v>
      </c>
      <c r="BM137" s="1">
        <v>271</v>
      </c>
      <c r="BN137" s="1">
        <v>259</v>
      </c>
      <c r="BO137" s="1">
        <v>250</v>
      </c>
      <c r="BP137" s="1">
        <v>245</v>
      </c>
    </row>
    <row r="138" spans="1:68" ht="15.9" customHeight="1">
      <c r="A138" s="81" t="s">
        <v>271</v>
      </c>
      <c r="B138" s="17" t="s">
        <v>272</v>
      </c>
      <c r="C138" s="26" t="str">
        <f>_xll.RssMarket("3103","始値")</f>
        <v/>
      </c>
      <c r="D138" s="25" t="e">
        <f t="shared" si="4"/>
        <v>#VALUE!</v>
      </c>
      <c r="E138" s="22">
        <v>930</v>
      </c>
      <c r="F138" s="22">
        <v>910</v>
      </c>
      <c r="G138" s="22">
        <v>877</v>
      </c>
      <c r="H138" s="22">
        <v>932</v>
      </c>
      <c r="I138" s="22">
        <v>943</v>
      </c>
      <c r="J138" s="22">
        <v>933</v>
      </c>
      <c r="K138" s="22">
        <v>960</v>
      </c>
      <c r="L138" s="22">
        <v>1000</v>
      </c>
      <c r="M138" s="22">
        <v>1037</v>
      </c>
      <c r="N138" s="22">
        <v>988</v>
      </c>
      <c r="O138" s="22">
        <v>980</v>
      </c>
      <c r="P138" s="22">
        <v>1036</v>
      </c>
      <c r="Q138" s="22">
        <v>1029</v>
      </c>
      <c r="R138" s="22">
        <v>1058</v>
      </c>
      <c r="S138" s="22">
        <v>1056</v>
      </c>
      <c r="T138" s="22">
        <v>1070</v>
      </c>
      <c r="U138" s="22">
        <v>1112</v>
      </c>
      <c r="V138" s="22">
        <v>1220</v>
      </c>
      <c r="W138" s="22">
        <v>1152</v>
      </c>
      <c r="X138" s="22">
        <v>1145</v>
      </c>
      <c r="Y138" s="22">
        <v>1282</v>
      </c>
      <c r="Z138" s="22">
        <v>1125</v>
      </c>
      <c r="AA138" s="22">
        <v>1115</v>
      </c>
      <c r="AB138" s="22">
        <v>1165</v>
      </c>
      <c r="AC138" s="22">
        <v>1154</v>
      </c>
      <c r="AD138" s="22">
        <v>1182</v>
      </c>
      <c r="AE138" s="22">
        <v>1241</v>
      </c>
      <c r="AF138" s="22">
        <v>1150</v>
      </c>
      <c r="AG138" s="22">
        <v>1189</v>
      </c>
      <c r="AH138" s="22">
        <v>1256</v>
      </c>
      <c r="AI138" s="22">
        <v>1220</v>
      </c>
      <c r="AJ138" s="22">
        <v>1310</v>
      </c>
      <c r="AK138" s="22">
        <v>1391</v>
      </c>
      <c r="AL138" s="22">
        <v>1420</v>
      </c>
      <c r="AM138" s="22">
        <v>1578</v>
      </c>
      <c r="AN138" s="22">
        <v>1850</v>
      </c>
      <c r="AO138" s="22">
        <v>1268</v>
      </c>
      <c r="AP138" s="22">
        <v>1330</v>
      </c>
      <c r="AQ138" s="22">
        <v>1418</v>
      </c>
      <c r="AR138" s="22">
        <v>1370</v>
      </c>
      <c r="AS138" s="22">
        <v>1325</v>
      </c>
      <c r="AT138" s="22">
        <v>1415</v>
      </c>
      <c r="AU138" s="22">
        <v>2304</v>
      </c>
      <c r="AV138" s="22">
        <v>2200</v>
      </c>
      <c r="AW138" s="22">
        <v>2326</v>
      </c>
      <c r="AX138" s="22">
        <v>2570</v>
      </c>
      <c r="AY138" s="22">
        <v>2410</v>
      </c>
      <c r="AZ138" s="22">
        <v>2500</v>
      </c>
      <c r="BA138" s="22">
        <v>2534</v>
      </c>
      <c r="BB138" s="22">
        <v>2234</v>
      </c>
      <c r="BC138" s="22">
        <v>2564</v>
      </c>
      <c r="BD138" s="22">
        <v>2629</v>
      </c>
      <c r="BE138" s="22">
        <v>2901</v>
      </c>
      <c r="BF138" s="22">
        <v>2968</v>
      </c>
      <c r="BG138" s="22">
        <v>2725</v>
      </c>
      <c r="BH138" s="22">
        <v>4025</v>
      </c>
      <c r="BI138" s="22">
        <v>3155</v>
      </c>
      <c r="BJ138" s="22">
        <v>2731</v>
      </c>
      <c r="BK138" s="22">
        <v>2111</v>
      </c>
      <c r="BL138" s="22">
        <v>2115</v>
      </c>
      <c r="BM138" s="1">
        <v>1963</v>
      </c>
      <c r="BN138" s="1">
        <v>1424</v>
      </c>
      <c r="BO138" s="1">
        <v>1187</v>
      </c>
      <c r="BP138" s="1">
        <v>1140</v>
      </c>
    </row>
    <row r="139" spans="1:68" ht="15.9" customHeight="1">
      <c r="A139" s="81" t="s">
        <v>273</v>
      </c>
      <c r="B139" s="17" t="s">
        <v>274</v>
      </c>
      <c r="C139" s="26" t="str">
        <f>_xll.RssMarket("4422","始値")</f>
        <v/>
      </c>
      <c r="D139" s="25" t="e">
        <f t="shared" si="4"/>
        <v>#VALUE!</v>
      </c>
      <c r="E139" s="22">
        <v>551</v>
      </c>
      <c r="F139" s="22">
        <v>553</v>
      </c>
      <c r="G139" s="22">
        <v>543</v>
      </c>
      <c r="H139" s="22">
        <v>577</v>
      </c>
      <c r="I139" s="22">
        <v>564</v>
      </c>
      <c r="J139" s="22">
        <v>569</v>
      </c>
      <c r="K139" s="22">
        <v>563</v>
      </c>
      <c r="L139" s="22">
        <v>592</v>
      </c>
      <c r="M139" s="22">
        <v>585</v>
      </c>
      <c r="N139" s="22">
        <v>557</v>
      </c>
      <c r="O139" s="22">
        <v>554</v>
      </c>
      <c r="P139" s="22">
        <v>574</v>
      </c>
      <c r="Q139" s="22">
        <v>569</v>
      </c>
      <c r="R139" s="22">
        <v>568</v>
      </c>
      <c r="S139" s="22">
        <v>570</v>
      </c>
      <c r="T139" s="22">
        <v>574</v>
      </c>
      <c r="U139" s="22">
        <v>582</v>
      </c>
      <c r="V139" s="22">
        <v>611</v>
      </c>
      <c r="W139" s="22">
        <v>592</v>
      </c>
      <c r="X139" s="22">
        <v>629</v>
      </c>
      <c r="Y139" s="22">
        <v>630</v>
      </c>
      <c r="Z139" s="22">
        <v>665</v>
      </c>
      <c r="AA139" s="22">
        <v>627</v>
      </c>
      <c r="AB139" s="22">
        <v>634</v>
      </c>
      <c r="AC139" s="22">
        <v>703</v>
      </c>
      <c r="AD139" s="22">
        <v>762</v>
      </c>
      <c r="AE139" s="22">
        <v>770</v>
      </c>
      <c r="AF139" s="22">
        <v>690</v>
      </c>
      <c r="AG139" s="22">
        <v>665</v>
      </c>
      <c r="AH139" s="22">
        <v>679</v>
      </c>
      <c r="AI139" s="22">
        <v>695</v>
      </c>
      <c r="AJ139" s="22">
        <v>728</v>
      </c>
      <c r="AK139" s="22">
        <v>734</v>
      </c>
      <c r="AL139" s="22">
        <v>778</v>
      </c>
      <c r="AM139" s="22">
        <v>830</v>
      </c>
      <c r="AN139" s="22">
        <v>771</v>
      </c>
      <c r="AO139" s="22">
        <v>780</v>
      </c>
      <c r="AP139" s="22">
        <v>806</v>
      </c>
      <c r="AQ139" s="22">
        <v>840</v>
      </c>
      <c r="AR139" s="22">
        <v>861</v>
      </c>
      <c r="AS139" s="22">
        <v>871</v>
      </c>
      <c r="AT139" s="22">
        <v>952</v>
      </c>
      <c r="AU139" s="22">
        <v>1040</v>
      </c>
      <c r="AV139" s="22">
        <v>990</v>
      </c>
      <c r="AW139" s="22">
        <v>1023</v>
      </c>
      <c r="AX139" s="22">
        <v>1016</v>
      </c>
      <c r="AY139" s="22">
        <v>1044</v>
      </c>
      <c r="AZ139" s="22">
        <v>1026</v>
      </c>
      <c r="BA139" s="22">
        <v>1156</v>
      </c>
      <c r="BB139" s="22">
        <v>1199</v>
      </c>
      <c r="BC139" s="22">
        <v>1258</v>
      </c>
      <c r="BD139" s="22">
        <v>1512</v>
      </c>
      <c r="BE139" s="22">
        <v>1157</v>
      </c>
      <c r="BF139" s="22">
        <v>1268</v>
      </c>
      <c r="BG139" s="22">
        <v>1400</v>
      </c>
      <c r="BH139" s="22">
        <v>1517</v>
      </c>
      <c r="BI139" s="22">
        <v>1217</v>
      </c>
      <c r="BJ139" s="22">
        <v>962</v>
      </c>
      <c r="BK139" s="22">
        <v>1020</v>
      </c>
      <c r="BL139" s="22">
        <v>1170</v>
      </c>
      <c r="BM139" s="1">
        <v>1050</v>
      </c>
      <c r="BN139" s="1">
        <v>826</v>
      </c>
      <c r="BO139" s="1">
        <v>1041</v>
      </c>
      <c r="BP139" s="1">
        <v>891</v>
      </c>
    </row>
    <row r="140" spans="1:68" ht="15.9" customHeight="1">
      <c r="A140" s="81" t="s">
        <v>275</v>
      </c>
      <c r="B140" s="17" t="s">
        <v>276</v>
      </c>
      <c r="C140" s="26" t="str">
        <f>_xll.RssMarket("6740","始値")</f>
        <v/>
      </c>
      <c r="D140" s="25" t="e">
        <f t="shared" si="4"/>
        <v>#VALUE!</v>
      </c>
      <c r="E140" s="22">
        <v>48</v>
      </c>
      <c r="F140" s="22">
        <v>51</v>
      </c>
      <c r="G140" s="22">
        <v>52</v>
      </c>
      <c r="H140" s="22">
        <v>53</v>
      </c>
      <c r="I140" s="22">
        <v>51</v>
      </c>
      <c r="J140" s="22">
        <v>53</v>
      </c>
      <c r="K140" s="22">
        <v>56</v>
      </c>
      <c r="L140" s="22">
        <v>54</v>
      </c>
      <c r="M140" s="22">
        <v>52</v>
      </c>
      <c r="N140" s="22">
        <v>54</v>
      </c>
      <c r="O140" s="22">
        <v>56</v>
      </c>
      <c r="P140" s="22">
        <v>59</v>
      </c>
      <c r="Q140" s="22">
        <v>60</v>
      </c>
      <c r="R140" s="22">
        <v>56</v>
      </c>
      <c r="S140" s="22">
        <v>75</v>
      </c>
      <c r="T140" s="22">
        <v>51</v>
      </c>
      <c r="U140" s="22">
        <v>53</v>
      </c>
      <c r="V140" s="22">
        <v>56</v>
      </c>
      <c r="W140" s="22">
        <v>50</v>
      </c>
      <c r="X140" s="22">
        <v>51</v>
      </c>
      <c r="Y140" s="22">
        <v>45</v>
      </c>
      <c r="Z140" s="22">
        <v>47</v>
      </c>
      <c r="AA140" s="22">
        <v>52</v>
      </c>
      <c r="AB140" s="22">
        <v>54</v>
      </c>
      <c r="AC140" s="22">
        <v>53</v>
      </c>
      <c r="AD140" s="22">
        <v>58</v>
      </c>
      <c r="AE140" s="22">
        <v>54</v>
      </c>
      <c r="AF140" s="22">
        <v>53</v>
      </c>
      <c r="AG140" s="22">
        <v>52</v>
      </c>
      <c r="AH140" s="22">
        <v>55</v>
      </c>
      <c r="AI140" s="22">
        <v>56</v>
      </c>
      <c r="AJ140" s="22">
        <v>51</v>
      </c>
      <c r="AK140" s="22">
        <v>58</v>
      </c>
      <c r="AL140" s="22">
        <v>68</v>
      </c>
      <c r="AM140" s="22">
        <v>62</v>
      </c>
      <c r="AN140" s="22">
        <v>61</v>
      </c>
      <c r="AO140" s="22">
        <v>67</v>
      </c>
      <c r="AP140" s="22">
        <v>69</v>
      </c>
      <c r="AQ140" s="22">
        <v>68</v>
      </c>
      <c r="AR140" s="22">
        <v>80</v>
      </c>
      <c r="AS140" s="22">
        <v>72</v>
      </c>
      <c r="AT140" s="22">
        <v>73</v>
      </c>
      <c r="AU140" s="22">
        <v>79</v>
      </c>
      <c r="AV140" s="22">
        <v>81</v>
      </c>
      <c r="AW140" s="22">
        <v>85</v>
      </c>
      <c r="AX140" s="22">
        <v>90</v>
      </c>
      <c r="AY140" s="22">
        <v>100</v>
      </c>
      <c r="AZ140" s="22">
        <v>112</v>
      </c>
      <c r="BA140" s="22">
        <v>93</v>
      </c>
      <c r="BB140" s="22">
        <v>100</v>
      </c>
      <c r="BC140" s="22">
        <v>95</v>
      </c>
      <c r="BD140" s="22">
        <v>101</v>
      </c>
      <c r="BE140" s="22">
        <v>107</v>
      </c>
      <c r="BF140" s="22">
        <v>123</v>
      </c>
      <c r="BG140" s="22">
        <v>114</v>
      </c>
      <c r="BH140" s="22">
        <v>107</v>
      </c>
      <c r="BI140" s="22">
        <v>96</v>
      </c>
      <c r="BJ140" s="22">
        <v>94</v>
      </c>
      <c r="BK140" s="22">
        <v>83</v>
      </c>
      <c r="BL140" s="22">
        <v>84</v>
      </c>
      <c r="BM140" s="1">
        <v>88</v>
      </c>
      <c r="BN140" s="1">
        <v>89</v>
      </c>
      <c r="BO140" s="1">
        <v>86</v>
      </c>
      <c r="BP140" s="1">
        <v>81</v>
      </c>
    </row>
    <row r="141" spans="1:68" ht="15.9" customHeight="1">
      <c r="A141" s="81" t="s">
        <v>277</v>
      </c>
      <c r="B141" s="17" t="s">
        <v>278</v>
      </c>
      <c r="C141" s="26" t="str">
        <f>_xll.RssMarket("6613","始値")</f>
        <v/>
      </c>
      <c r="D141" s="25" t="e">
        <f t="shared" si="4"/>
        <v>#VALUE!</v>
      </c>
      <c r="E141" s="22">
        <v>1620</v>
      </c>
      <c r="F141" s="22">
        <v>2402</v>
      </c>
      <c r="G141" s="22">
        <v>2395</v>
      </c>
      <c r="H141" s="22">
        <v>2505</v>
      </c>
      <c r="I141" s="22">
        <v>2588</v>
      </c>
      <c r="J141" s="22">
        <v>2625</v>
      </c>
      <c r="K141" s="22">
        <v>2501</v>
      </c>
      <c r="L141" s="22">
        <v>2664</v>
      </c>
      <c r="M141" s="22">
        <v>2675</v>
      </c>
      <c r="N141" s="22">
        <v>2548</v>
      </c>
      <c r="O141" s="22">
        <v>2602</v>
      </c>
      <c r="P141" s="22">
        <v>2849</v>
      </c>
      <c r="Q141" s="22">
        <v>2815</v>
      </c>
      <c r="R141" s="22">
        <v>2835</v>
      </c>
      <c r="S141" s="22">
        <v>3085</v>
      </c>
      <c r="T141" s="22">
        <v>2952</v>
      </c>
      <c r="U141" s="22">
        <v>2861</v>
      </c>
      <c r="V141" s="22">
        <v>3215</v>
      </c>
      <c r="W141" s="22">
        <v>2920</v>
      </c>
      <c r="X141" s="22">
        <v>2547</v>
      </c>
      <c r="Y141" s="22">
        <v>2450</v>
      </c>
      <c r="Z141" s="22">
        <v>2520</v>
      </c>
      <c r="AA141" s="22">
        <v>2798</v>
      </c>
      <c r="AB141" s="22">
        <v>2761</v>
      </c>
      <c r="AC141" s="22">
        <v>2490</v>
      </c>
      <c r="AD141" s="22">
        <v>2252</v>
      </c>
      <c r="AE141" s="22">
        <v>2528</v>
      </c>
      <c r="AF141" s="22">
        <v>2370</v>
      </c>
      <c r="AG141" s="22">
        <v>2400</v>
      </c>
      <c r="AH141" s="22">
        <v>2500</v>
      </c>
      <c r="AI141" s="22">
        <v>2820</v>
      </c>
      <c r="AJ141" s="22">
        <v>2923</v>
      </c>
      <c r="AK141" s="22">
        <v>2769</v>
      </c>
      <c r="AL141" s="22">
        <v>2420</v>
      </c>
      <c r="AM141" s="22">
        <v>3160</v>
      </c>
      <c r="AN141" s="22">
        <v>3500</v>
      </c>
      <c r="AO141" s="22">
        <v>2580</v>
      </c>
      <c r="AP141" s="22">
        <v>2830</v>
      </c>
      <c r="AQ141" s="22">
        <v>2426</v>
      </c>
      <c r="AR141" s="22">
        <v>2100</v>
      </c>
      <c r="AS141" s="22">
        <v>1896</v>
      </c>
      <c r="AT141" s="22">
        <v>1779</v>
      </c>
      <c r="AU141" s="22">
        <v>1613</v>
      </c>
      <c r="AV141" s="22">
        <v>1613</v>
      </c>
      <c r="AW141" s="22">
        <v>1749</v>
      </c>
      <c r="AX141" s="22">
        <v>1966</v>
      </c>
      <c r="AY141" s="22">
        <v>1500</v>
      </c>
      <c r="AZ141" s="22">
        <v>1520</v>
      </c>
      <c r="BA141" s="22">
        <v>1465</v>
      </c>
      <c r="BB141" s="22">
        <v>1449</v>
      </c>
      <c r="BC141" s="22">
        <v>1505</v>
      </c>
      <c r="BD141" s="22">
        <v>1444</v>
      </c>
      <c r="BE141" s="22">
        <v>1521</v>
      </c>
      <c r="BF141" s="22">
        <v>1531</v>
      </c>
      <c r="BG141" s="22">
        <v>1570</v>
      </c>
      <c r="BH141" s="22">
        <v>1675</v>
      </c>
      <c r="BI141" s="22">
        <v>1290</v>
      </c>
      <c r="BJ141" s="22">
        <v>1355</v>
      </c>
      <c r="BK141" s="22">
        <v>1329</v>
      </c>
      <c r="BL141" s="22">
        <v>1485</v>
      </c>
      <c r="BM141" s="1">
        <v>1299</v>
      </c>
      <c r="BN141" s="1">
        <v>1082</v>
      </c>
      <c r="BO141" s="1">
        <v>1045</v>
      </c>
      <c r="BP141" s="1">
        <v>1103</v>
      </c>
    </row>
    <row r="142" spans="1:68" ht="15.9" customHeight="1">
      <c r="A142" s="81" t="s">
        <v>279</v>
      </c>
      <c r="B142" s="17" t="str">
        <f>銘柄管理!C142</f>
        <v/>
      </c>
      <c r="C142" s="26" t="str">
        <f>_xll.RssMarket("4568","始値")</f>
        <v/>
      </c>
      <c r="D142" s="25"/>
      <c r="E142" s="22">
        <v>2755</v>
      </c>
      <c r="F142" s="22">
        <v>2668.5</v>
      </c>
      <c r="G142" s="22">
        <v>2716</v>
      </c>
      <c r="H142" s="74">
        <v>2707.5</v>
      </c>
      <c r="I142" s="22">
        <v>2750</v>
      </c>
      <c r="J142" s="22">
        <v>2700.5</v>
      </c>
      <c r="K142" s="22">
        <v>2760</v>
      </c>
      <c r="L142" s="22">
        <v>2747.5</v>
      </c>
      <c r="M142" s="22">
        <v>2699.5</v>
      </c>
      <c r="N142" s="22">
        <v>2691</v>
      </c>
      <c r="O142" s="22">
        <v>2596.5</v>
      </c>
      <c r="P142" s="22">
        <v>2565</v>
      </c>
      <c r="Q142" s="22">
        <v>2616.5</v>
      </c>
      <c r="R142" s="22">
        <v>2594.5</v>
      </c>
      <c r="S142" s="22">
        <v>2576</v>
      </c>
      <c r="T142" s="22">
        <v>2549</v>
      </c>
      <c r="U142" s="22">
        <v>2550</v>
      </c>
      <c r="V142" s="22">
        <v>2515</v>
      </c>
      <c r="W142" s="22">
        <v>2525</v>
      </c>
      <c r="X142" s="22">
        <v>2610</v>
      </c>
      <c r="Y142" s="22">
        <v>2653</v>
      </c>
      <c r="Z142" s="22">
        <v>2550</v>
      </c>
      <c r="AA142" s="22">
        <v>2546</v>
      </c>
      <c r="AB142" s="22">
        <v>2541</v>
      </c>
      <c r="AC142" s="22">
        <v>2507.5</v>
      </c>
      <c r="AD142" s="22">
        <v>2474.5</v>
      </c>
      <c r="AE142" s="22">
        <v>2490</v>
      </c>
      <c r="AF142" s="22">
        <v>2529.5</v>
      </c>
      <c r="AG142" s="22">
        <v>2390</v>
      </c>
      <c r="AH142" s="22">
        <v>2421</v>
      </c>
      <c r="AI142" s="22">
        <v>2518.5</v>
      </c>
      <c r="AJ142" s="22">
        <v>2580.5</v>
      </c>
      <c r="AK142" s="22">
        <v>2720</v>
      </c>
      <c r="AL142" s="22">
        <v>2682</v>
      </c>
      <c r="AM142" s="22">
        <v>2777.5</v>
      </c>
      <c r="AN142" s="22">
        <v>2688</v>
      </c>
      <c r="AO142" s="22">
        <v>2660.5</v>
      </c>
      <c r="AP142" s="22">
        <v>2634</v>
      </c>
      <c r="AQ142" s="22">
        <v>2614.5</v>
      </c>
      <c r="AR142" s="22">
        <v>2628</v>
      </c>
      <c r="AS142" s="22">
        <v>2586</v>
      </c>
      <c r="AT142" s="22">
        <v>2549</v>
      </c>
      <c r="AU142" s="22">
        <v>2656</v>
      </c>
      <c r="AV142" s="22">
        <v>2735.5</v>
      </c>
      <c r="AW142" s="22">
        <v>2728</v>
      </c>
      <c r="AX142" s="22">
        <v>2600</v>
      </c>
      <c r="AY142" s="22">
        <v>2650</v>
      </c>
      <c r="AZ142" s="22">
        <v>2537</v>
      </c>
      <c r="BA142" s="22">
        <v>2597</v>
      </c>
      <c r="BB142" s="22">
        <v>2689</v>
      </c>
      <c r="BC142" s="22">
        <v>2606</v>
      </c>
      <c r="BD142" s="22">
        <v>2499.5</v>
      </c>
      <c r="BE142" s="22">
        <v>2600</v>
      </c>
      <c r="BF142" s="22">
        <v>2809</v>
      </c>
      <c r="BG142" s="22">
        <v>2883</v>
      </c>
      <c r="BH142" s="22">
        <v>2965</v>
      </c>
      <c r="BI142" s="22">
        <v>2967</v>
      </c>
      <c r="BJ142" s="22">
        <v>2900</v>
      </c>
      <c r="BK142" s="22">
        <v>2897.5</v>
      </c>
      <c r="BL142" s="22">
        <v>2739.5</v>
      </c>
      <c r="BM142" s="1">
        <v>2755</v>
      </c>
      <c r="BN142" s="1">
        <v>2750</v>
      </c>
      <c r="BO142" s="1">
        <v>2776</v>
      </c>
      <c r="BP142" s="1">
        <v>2795</v>
      </c>
    </row>
    <row r="143" spans="1:68" ht="15.9" customHeight="1">
      <c r="A143" s="81" t="s">
        <v>280</v>
      </c>
      <c r="B143" s="17" t="s">
        <v>281</v>
      </c>
      <c r="C143" s="26" t="str">
        <f>_xll.RssMarket("6522","始値")</f>
        <v/>
      </c>
      <c r="D143" s="25" t="e">
        <f t="shared" ref="D143:D188" si="5">C143-E143</f>
        <v>#VALUE!</v>
      </c>
      <c r="E143" s="22">
        <v>1409</v>
      </c>
      <c r="F143" s="22">
        <v>1770</v>
      </c>
      <c r="G143" s="22">
        <v>2020</v>
      </c>
      <c r="H143" s="22">
        <v>2081</v>
      </c>
      <c r="I143" s="22">
        <v>1903</v>
      </c>
      <c r="J143" s="22">
        <v>2200</v>
      </c>
      <c r="K143" s="22">
        <v>2240</v>
      </c>
      <c r="L143" s="22">
        <v>2096</v>
      </c>
      <c r="M143" s="22">
        <v>1941</v>
      </c>
      <c r="N143" s="22">
        <v>2100</v>
      </c>
      <c r="O143" s="22">
        <v>1600</v>
      </c>
      <c r="P143" s="22">
        <v>1412</v>
      </c>
      <c r="Q143" s="22">
        <v>1020</v>
      </c>
      <c r="R143" s="22">
        <v>990</v>
      </c>
      <c r="S143" s="22">
        <v>1017</v>
      </c>
      <c r="T143" s="22">
        <v>1150</v>
      </c>
      <c r="U143" s="22">
        <v>1046</v>
      </c>
      <c r="V143" s="22">
        <v>1213</v>
      </c>
      <c r="W143" s="22">
        <v>954</v>
      </c>
      <c r="X143" s="22">
        <v>851</v>
      </c>
      <c r="Y143" s="22">
        <v>727</v>
      </c>
      <c r="Z143" s="22">
        <v>720</v>
      </c>
      <c r="AA143" s="22">
        <v>719</v>
      </c>
      <c r="AB143" s="22">
        <v>736</v>
      </c>
      <c r="AC143" s="22">
        <v>745</v>
      </c>
      <c r="AD143" s="22">
        <v>771</v>
      </c>
      <c r="AE143" s="22">
        <v>742</v>
      </c>
      <c r="AF143" s="22">
        <v>778</v>
      </c>
      <c r="AG143" s="22">
        <v>782</v>
      </c>
      <c r="AH143" s="22">
        <v>799</v>
      </c>
      <c r="AI143" s="22">
        <v>900</v>
      </c>
      <c r="AJ143" s="22">
        <v>792</v>
      </c>
      <c r="AK143" s="22">
        <v>840</v>
      </c>
      <c r="AL143" s="22">
        <v>910</v>
      </c>
      <c r="AM143" s="22">
        <v>990</v>
      </c>
      <c r="AN143" s="22">
        <v>920</v>
      </c>
      <c r="AO143" s="22">
        <v>952</v>
      </c>
      <c r="AP143" s="22">
        <v>996</v>
      </c>
      <c r="AQ143" s="22">
        <v>1000</v>
      </c>
      <c r="AR143" s="22">
        <v>1038</v>
      </c>
      <c r="AS143" s="22">
        <v>1028</v>
      </c>
      <c r="AT143" s="22">
        <v>1037</v>
      </c>
      <c r="AU143" s="22">
        <v>1157</v>
      </c>
      <c r="AV143" s="22">
        <v>1233</v>
      </c>
      <c r="AW143" s="22">
        <v>1205</v>
      </c>
      <c r="AX143" s="22">
        <v>1194</v>
      </c>
      <c r="AY143" s="22">
        <v>1140</v>
      </c>
      <c r="AZ143" s="22">
        <v>1150</v>
      </c>
      <c r="BA143" s="22">
        <v>1192</v>
      </c>
      <c r="BB143" s="22">
        <v>1221</v>
      </c>
      <c r="BC143" s="22">
        <v>1265</v>
      </c>
      <c r="BD143" s="22">
        <v>1340</v>
      </c>
      <c r="BE143" s="22">
        <v>1516</v>
      </c>
      <c r="BF143" s="22">
        <v>1026</v>
      </c>
      <c r="BG143" s="22">
        <v>1068</v>
      </c>
      <c r="BH143" s="22">
        <v>1097</v>
      </c>
      <c r="BI143" s="22">
        <v>964</v>
      </c>
      <c r="BJ143" s="22">
        <v>1050</v>
      </c>
      <c r="BK143" s="22">
        <v>1019</v>
      </c>
      <c r="BL143" s="22">
        <v>995</v>
      </c>
      <c r="BM143" s="1">
        <v>987</v>
      </c>
      <c r="BN143" s="1">
        <v>1050</v>
      </c>
      <c r="BO143" s="1">
        <v>1148</v>
      </c>
      <c r="BP143" s="1">
        <v>1047</v>
      </c>
    </row>
    <row r="144" spans="1:68" ht="15.9" customHeight="1">
      <c r="A144" s="81" t="s">
        <v>282</v>
      </c>
      <c r="B144" s="17" t="s">
        <v>283</v>
      </c>
      <c r="C144" s="26" t="str">
        <f>_xll.RssMarket("6777","始値")</f>
        <v/>
      </c>
      <c r="D144" s="25" t="e">
        <f t="shared" si="5"/>
        <v>#VALUE!</v>
      </c>
      <c r="E144" s="22">
        <v>19620</v>
      </c>
      <c r="F144" s="22">
        <v>21220</v>
      </c>
      <c r="G144" s="22">
        <v>20500</v>
      </c>
      <c r="H144" s="22">
        <v>20720</v>
      </c>
      <c r="I144" s="22">
        <v>21630</v>
      </c>
      <c r="J144" s="22">
        <v>20330</v>
      </c>
      <c r="K144" s="22">
        <v>19870</v>
      </c>
      <c r="L144" s="22">
        <v>22810</v>
      </c>
      <c r="M144" s="22">
        <v>23850</v>
      </c>
      <c r="N144" s="22">
        <v>22200</v>
      </c>
      <c r="O144" s="22">
        <v>25170</v>
      </c>
      <c r="P144" s="22">
        <v>27700</v>
      </c>
      <c r="Q144" s="22">
        <v>26860</v>
      </c>
      <c r="R144" s="22">
        <v>26500</v>
      </c>
      <c r="S144" s="22">
        <v>27930</v>
      </c>
      <c r="T144" s="22">
        <v>28930</v>
      </c>
      <c r="U144" s="22">
        <v>28360</v>
      </c>
      <c r="V144" s="22">
        <v>30850</v>
      </c>
      <c r="W144" s="22">
        <v>29410</v>
      </c>
      <c r="X144" s="22">
        <v>28900</v>
      </c>
      <c r="Y144" s="22">
        <v>27490</v>
      </c>
      <c r="Z144" s="22">
        <v>26230</v>
      </c>
      <c r="AA144" s="22">
        <v>26050</v>
      </c>
      <c r="AB144" s="22">
        <v>25220</v>
      </c>
      <c r="AC144" s="22">
        <v>23800</v>
      </c>
      <c r="AD144" s="22">
        <v>22640</v>
      </c>
      <c r="AE144" s="22">
        <v>25350</v>
      </c>
      <c r="AF144" s="22">
        <v>22670</v>
      </c>
      <c r="AG144" s="22">
        <v>25470</v>
      </c>
      <c r="AH144" s="22">
        <v>25800</v>
      </c>
      <c r="AI144" s="22">
        <v>28450</v>
      </c>
      <c r="AJ144" s="22">
        <v>25560</v>
      </c>
      <c r="AK144" s="22">
        <v>24780</v>
      </c>
      <c r="AL144" s="22">
        <v>24910</v>
      </c>
      <c r="AM144" s="22">
        <v>26650</v>
      </c>
      <c r="AN144" s="22">
        <v>29980</v>
      </c>
      <c r="AO144" s="22">
        <v>27020</v>
      </c>
      <c r="AP144" s="22">
        <v>27990</v>
      </c>
      <c r="AQ144" s="22">
        <v>27290</v>
      </c>
      <c r="AR144" s="22">
        <v>31600</v>
      </c>
      <c r="AS144" s="22">
        <v>32350</v>
      </c>
      <c r="AT144" s="22">
        <v>30800</v>
      </c>
      <c r="AU144" s="22">
        <v>33500</v>
      </c>
      <c r="AV144" s="22">
        <v>29810</v>
      </c>
      <c r="AW144" s="22">
        <v>29230</v>
      </c>
      <c r="AX144" s="22">
        <v>28800</v>
      </c>
      <c r="AY144" s="22">
        <v>27600</v>
      </c>
      <c r="AZ144" s="22">
        <v>29550</v>
      </c>
      <c r="BA144" s="22">
        <v>27940</v>
      </c>
      <c r="BB144" s="22">
        <v>28360</v>
      </c>
      <c r="BC144" s="22">
        <v>28620</v>
      </c>
      <c r="BD144" s="22">
        <v>29000</v>
      </c>
      <c r="BE144" s="22">
        <v>30250</v>
      </c>
      <c r="BF144" s="22">
        <v>29950</v>
      </c>
      <c r="BG144" s="22">
        <v>29550</v>
      </c>
      <c r="BH144" s="22">
        <v>30300</v>
      </c>
      <c r="BI144" s="22">
        <v>26790</v>
      </c>
      <c r="BJ144" s="22">
        <v>24470</v>
      </c>
      <c r="BK144" s="22">
        <v>24850</v>
      </c>
      <c r="BL144" s="22">
        <v>25260</v>
      </c>
      <c r="BM144" s="1">
        <v>25010</v>
      </c>
      <c r="BN144" s="1">
        <v>21700</v>
      </c>
      <c r="BO144" s="1">
        <v>20870</v>
      </c>
      <c r="BP144" s="1">
        <v>21300</v>
      </c>
    </row>
    <row r="145" spans="1:68" ht="15.9" customHeight="1">
      <c r="A145" s="81" t="s">
        <v>284</v>
      </c>
      <c r="B145" s="17" t="s">
        <v>285</v>
      </c>
      <c r="C145" s="26" t="str">
        <f>_xll.RssMarket("6787","始値")</f>
        <v/>
      </c>
      <c r="D145" s="25" t="e">
        <f t="shared" si="5"/>
        <v>#VALUE!</v>
      </c>
      <c r="E145" s="22">
        <v>23810</v>
      </c>
      <c r="F145" s="22">
        <v>26200</v>
      </c>
      <c r="G145" s="22">
        <v>25730</v>
      </c>
      <c r="H145" s="22">
        <v>26650</v>
      </c>
      <c r="I145" s="22">
        <v>26720</v>
      </c>
      <c r="J145" s="22">
        <v>26470</v>
      </c>
      <c r="K145" s="22">
        <v>25140</v>
      </c>
      <c r="L145" s="22">
        <v>27130</v>
      </c>
      <c r="M145" s="22">
        <v>29040</v>
      </c>
      <c r="N145" s="22">
        <v>27420</v>
      </c>
      <c r="O145" s="22">
        <v>28170</v>
      </c>
      <c r="P145" s="22">
        <v>31450</v>
      </c>
      <c r="Q145" s="22">
        <v>32000</v>
      </c>
      <c r="R145" s="22">
        <v>30950</v>
      </c>
      <c r="S145" s="22">
        <v>31550</v>
      </c>
      <c r="T145" s="22">
        <v>34000</v>
      </c>
      <c r="U145" s="22">
        <v>32450</v>
      </c>
      <c r="V145" s="22">
        <v>37000</v>
      </c>
      <c r="W145" s="22">
        <v>39750</v>
      </c>
      <c r="X145" s="22">
        <v>38400</v>
      </c>
      <c r="Y145" s="22">
        <v>35300</v>
      </c>
      <c r="Z145" s="22">
        <v>33850</v>
      </c>
      <c r="AA145" s="22">
        <v>30600</v>
      </c>
      <c r="AB145" s="22">
        <v>32400</v>
      </c>
      <c r="AC145" s="22">
        <v>31300</v>
      </c>
      <c r="AD145" s="22">
        <v>30000</v>
      </c>
      <c r="AE145" s="22">
        <v>32200</v>
      </c>
      <c r="AF145" s="22">
        <v>32800</v>
      </c>
      <c r="AG145" s="22">
        <v>36150</v>
      </c>
      <c r="AH145" s="22">
        <v>36400</v>
      </c>
      <c r="AI145" s="22">
        <v>39850</v>
      </c>
      <c r="AJ145" s="22">
        <v>39500</v>
      </c>
      <c r="AK145" s="22">
        <v>38300</v>
      </c>
      <c r="AL145" s="22">
        <v>37900</v>
      </c>
      <c r="AM145" s="22">
        <v>40450</v>
      </c>
      <c r="AN145" s="22">
        <v>44150</v>
      </c>
      <c r="AO145" s="22">
        <v>40750</v>
      </c>
      <c r="AP145" s="22">
        <v>37250</v>
      </c>
      <c r="AQ145" s="22">
        <v>35600</v>
      </c>
      <c r="AR145" s="22">
        <v>40000</v>
      </c>
      <c r="AS145" s="22">
        <v>36900</v>
      </c>
      <c r="AT145" s="22">
        <v>40000</v>
      </c>
      <c r="AU145" s="22">
        <v>38650</v>
      </c>
      <c r="AV145" s="22">
        <v>29490</v>
      </c>
      <c r="AW145" s="22">
        <v>32200</v>
      </c>
      <c r="AX145" s="22">
        <v>33650</v>
      </c>
      <c r="AY145" s="22">
        <v>30700</v>
      </c>
      <c r="AZ145" s="22">
        <v>31500</v>
      </c>
      <c r="BA145" s="22">
        <v>30500</v>
      </c>
      <c r="BB145" s="22">
        <v>31300</v>
      </c>
      <c r="BC145" s="22">
        <v>30900</v>
      </c>
      <c r="BD145" s="22">
        <v>30400</v>
      </c>
      <c r="BE145" s="22">
        <v>28780</v>
      </c>
      <c r="BF145" s="22">
        <v>29390</v>
      </c>
      <c r="BG145" s="22">
        <v>28070</v>
      </c>
      <c r="BH145" s="22">
        <v>27340</v>
      </c>
      <c r="BI145" s="22">
        <v>28150</v>
      </c>
      <c r="BJ145" s="22">
        <v>29440</v>
      </c>
      <c r="BK145" s="22">
        <v>28370</v>
      </c>
      <c r="BL145" s="22">
        <v>29870</v>
      </c>
      <c r="BM145" s="1">
        <v>27650</v>
      </c>
      <c r="BN145" s="1">
        <v>26130</v>
      </c>
      <c r="BO145" s="1">
        <v>27510</v>
      </c>
      <c r="BP145" s="1">
        <v>25860</v>
      </c>
    </row>
    <row r="146" spans="1:68" ht="15.9" customHeight="1">
      <c r="A146" s="81" t="s">
        <v>286</v>
      </c>
      <c r="B146" s="17" t="s">
        <v>287</v>
      </c>
      <c r="C146" s="26" t="str">
        <f>_xll.RssMarket("4888","始値")</f>
        <v/>
      </c>
      <c r="D146" s="25" t="e">
        <f t="shared" si="5"/>
        <v>#VALUE!</v>
      </c>
      <c r="E146" s="22">
        <v>312</v>
      </c>
      <c r="F146" s="22">
        <v>321</v>
      </c>
      <c r="G146" s="22">
        <v>322</v>
      </c>
      <c r="H146" s="22">
        <v>326</v>
      </c>
      <c r="I146" s="22">
        <v>303</v>
      </c>
      <c r="J146" s="22">
        <v>305</v>
      </c>
      <c r="K146" s="22">
        <v>314</v>
      </c>
      <c r="L146" s="22">
        <v>304</v>
      </c>
      <c r="M146" s="22">
        <v>307</v>
      </c>
      <c r="N146" s="22">
        <v>311</v>
      </c>
      <c r="O146" s="22">
        <v>324</v>
      </c>
      <c r="P146" s="22">
        <v>305</v>
      </c>
      <c r="Q146" s="22">
        <v>310</v>
      </c>
      <c r="R146" s="22">
        <v>321</v>
      </c>
      <c r="S146" s="22">
        <v>324</v>
      </c>
      <c r="T146" s="22">
        <v>335</v>
      </c>
      <c r="U146" s="22">
        <v>350</v>
      </c>
      <c r="V146" s="22">
        <v>390</v>
      </c>
      <c r="W146" s="22">
        <v>348</v>
      </c>
      <c r="X146" s="22">
        <v>333</v>
      </c>
      <c r="Y146" s="22">
        <v>335</v>
      </c>
      <c r="Z146" s="22">
        <v>333</v>
      </c>
      <c r="AA146" s="22">
        <v>321</v>
      </c>
      <c r="AB146" s="22">
        <v>299</v>
      </c>
      <c r="AC146" s="22">
        <v>320</v>
      </c>
      <c r="AD146" s="22">
        <v>288</v>
      </c>
      <c r="AE146" s="22">
        <v>341</v>
      </c>
      <c r="AF146" s="22">
        <v>350</v>
      </c>
      <c r="AG146" s="22">
        <v>332</v>
      </c>
      <c r="AH146" s="22">
        <v>381</v>
      </c>
      <c r="AI146" s="22">
        <v>388</v>
      </c>
      <c r="AJ146" s="22">
        <v>415</v>
      </c>
      <c r="AK146" s="22">
        <v>445</v>
      </c>
      <c r="AL146" s="22">
        <v>444</v>
      </c>
      <c r="AM146" s="22">
        <v>419</v>
      </c>
      <c r="AN146" s="22">
        <v>426</v>
      </c>
      <c r="AO146" s="22">
        <v>441</v>
      </c>
      <c r="AP146" s="22">
        <v>431</v>
      </c>
      <c r="AQ146" s="22">
        <v>419</v>
      </c>
      <c r="AR146" s="22">
        <v>439</v>
      </c>
      <c r="AS146" s="22">
        <v>470</v>
      </c>
      <c r="AT146" s="22">
        <v>495</v>
      </c>
      <c r="AU146" s="22">
        <v>531</v>
      </c>
      <c r="AV146" s="22">
        <v>522</v>
      </c>
      <c r="AW146" s="22">
        <v>538</v>
      </c>
      <c r="AX146" s="22">
        <v>524</v>
      </c>
      <c r="AY146" s="22">
        <v>516</v>
      </c>
      <c r="AZ146" s="22">
        <v>535</v>
      </c>
      <c r="BA146" s="22">
        <v>553</v>
      </c>
      <c r="BB146" s="22">
        <v>558</v>
      </c>
      <c r="BC146" s="22">
        <v>571</v>
      </c>
      <c r="BD146" s="22">
        <v>616</v>
      </c>
      <c r="BE146" s="22">
        <v>716</v>
      </c>
      <c r="BF146" s="22">
        <v>713</v>
      </c>
      <c r="BG146" s="22">
        <v>740</v>
      </c>
      <c r="BH146" s="22">
        <v>670</v>
      </c>
      <c r="BI146" s="22">
        <v>697</v>
      </c>
      <c r="BJ146" s="22">
        <v>720</v>
      </c>
      <c r="BK146" s="22">
        <v>690</v>
      </c>
      <c r="BL146" s="22">
        <v>708</v>
      </c>
      <c r="BM146" s="1">
        <v>680</v>
      </c>
      <c r="BN146" s="1">
        <v>645</v>
      </c>
      <c r="BO146" s="1">
        <v>584</v>
      </c>
      <c r="BP146" s="1">
        <v>589</v>
      </c>
    </row>
    <row r="147" spans="1:68" ht="15.9" customHeight="1">
      <c r="A147" s="81" t="s">
        <v>288</v>
      </c>
      <c r="B147" s="17" t="s">
        <v>289</v>
      </c>
      <c r="C147" s="26" t="str">
        <f>_xll.RssMarket("6387","始値")</f>
        <v/>
      </c>
      <c r="D147" s="25" t="e">
        <f t="shared" si="5"/>
        <v>#VALUE!</v>
      </c>
      <c r="E147" s="22">
        <v>10560</v>
      </c>
      <c r="F147" s="22">
        <v>12380</v>
      </c>
      <c r="G147" s="22">
        <v>12620</v>
      </c>
      <c r="H147" s="22">
        <v>12930</v>
      </c>
      <c r="I147" s="22">
        <v>12410</v>
      </c>
      <c r="J147" s="22">
        <v>11770</v>
      </c>
      <c r="K147" s="22">
        <v>11300</v>
      </c>
      <c r="L147" s="22">
        <v>12450</v>
      </c>
      <c r="M147" s="22">
        <v>13400</v>
      </c>
      <c r="N147" s="22">
        <v>12800</v>
      </c>
      <c r="O147" s="22">
        <v>13460</v>
      </c>
      <c r="P147" s="22">
        <v>14460</v>
      </c>
      <c r="Q147" s="22">
        <v>14170</v>
      </c>
      <c r="R147" s="22">
        <v>13550</v>
      </c>
      <c r="S147" s="22">
        <v>13900</v>
      </c>
      <c r="T147" s="22">
        <v>15240</v>
      </c>
      <c r="U147" s="22">
        <v>14290</v>
      </c>
      <c r="V147" s="22">
        <v>15740</v>
      </c>
      <c r="W147" s="22">
        <v>14610</v>
      </c>
      <c r="X147" s="22">
        <v>15640</v>
      </c>
      <c r="Y147" s="22">
        <v>16000</v>
      </c>
      <c r="Z147" s="22">
        <v>15420</v>
      </c>
      <c r="AA147" s="22">
        <v>15600</v>
      </c>
      <c r="AB147" s="22">
        <v>14790</v>
      </c>
      <c r="AC147" s="22">
        <v>12390</v>
      </c>
      <c r="AD147" s="22">
        <v>11160</v>
      </c>
      <c r="AE147" s="22">
        <v>12060</v>
      </c>
      <c r="AF147" s="22">
        <v>11690</v>
      </c>
      <c r="AG147" s="22">
        <v>12280</v>
      </c>
      <c r="AH147" s="22">
        <v>12200</v>
      </c>
      <c r="AI147" s="22">
        <v>12650</v>
      </c>
      <c r="AJ147" s="22">
        <v>11050</v>
      </c>
      <c r="AK147" s="22">
        <v>10590</v>
      </c>
      <c r="AL147" s="22">
        <v>10190</v>
      </c>
      <c r="AM147" s="22">
        <v>11500</v>
      </c>
      <c r="AN147" s="22">
        <v>12240</v>
      </c>
      <c r="AO147" s="22">
        <v>11060</v>
      </c>
      <c r="AP147" s="22">
        <v>11200</v>
      </c>
      <c r="AQ147" s="22">
        <v>10810</v>
      </c>
      <c r="AR147" s="22">
        <v>12120</v>
      </c>
      <c r="AS147" s="22">
        <v>12630</v>
      </c>
      <c r="AT147" s="22">
        <v>13450</v>
      </c>
      <c r="AU147" s="22">
        <v>13470</v>
      </c>
      <c r="AV147" s="22">
        <v>12340</v>
      </c>
      <c r="AW147" s="22">
        <v>13170</v>
      </c>
      <c r="AX147" s="22">
        <v>14000</v>
      </c>
      <c r="AY147" s="22">
        <v>13770</v>
      </c>
      <c r="AZ147" s="22">
        <v>12670</v>
      </c>
      <c r="BA147" s="22">
        <v>11570</v>
      </c>
      <c r="BB147" s="22">
        <v>11150</v>
      </c>
      <c r="BC147" s="22">
        <v>11000</v>
      </c>
      <c r="BD147" s="22">
        <v>10930</v>
      </c>
      <c r="BE147" s="22">
        <v>11040</v>
      </c>
      <c r="BF147" s="22">
        <v>10490</v>
      </c>
      <c r="BG147" s="22">
        <v>9370</v>
      </c>
      <c r="BH147" s="22">
        <v>9600</v>
      </c>
      <c r="BI147" s="22">
        <v>9560</v>
      </c>
      <c r="BJ147" s="22">
        <v>9880</v>
      </c>
      <c r="BK147" s="22">
        <v>9880</v>
      </c>
      <c r="BL147" s="22">
        <v>10360</v>
      </c>
      <c r="BM147" s="1">
        <v>10290</v>
      </c>
      <c r="BN147" s="1">
        <v>9110</v>
      </c>
      <c r="BO147" s="1">
        <v>9310</v>
      </c>
      <c r="BP147" s="1">
        <v>9110</v>
      </c>
    </row>
    <row r="148" spans="1:68" ht="15.9" customHeight="1">
      <c r="A148" s="81" t="s">
        <v>290</v>
      </c>
      <c r="B148" s="17" t="s">
        <v>291</v>
      </c>
      <c r="C148" s="26" t="str">
        <f>_xll.RssMarket("6838","始値")</f>
        <v/>
      </c>
      <c r="D148" s="25" t="e">
        <f t="shared" si="5"/>
        <v>#VALUE!</v>
      </c>
      <c r="E148" s="22">
        <v>1431</v>
      </c>
      <c r="F148" s="22">
        <v>1451</v>
      </c>
      <c r="G148" s="22">
        <v>1440</v>
      </c>
      <c r="H148" s="22">
        <v>1518</v>
      </c>
      <c r="I148" s="22">
        <v>1545</v>
      </c>
      <c r="J148" s="22">
        <v>1579</v>
      </c>
      <c r="K148" s="22">
        <v>1598</v>
      </c>
      <c r="L148" s="22">
        <v>1725</v>
      </c>
      <c r="M148" s="22">
        <v>1787</v>
      </c>
      <c r="N148" s="22">
        <v>1726</v>
      </c>
      <c r="O148" s="22">
        <v>1714</v>
      </c>
      <c r="P148" s="22">
        <v>1780</v>
      </c>
      <c r="Q148" s="22">
        <v>1850</v>
      </c>
      <c r="R148" s="22">
        <v>1941</v>
      </c>
      <c r="S148" s="22">
        <v>2033</v>
      </c>
      <c r="T148" s="22">
        <v>1972</v>
      </c>
      <c r="U148" s="22">
        <v>1980</v>
      </c>
      <c r="V148" s="22">
        <v>2037</v>
      </c>
      <c r="W148" s="22">
        <v>2057</v>
      </c>
      <c r="X148" s="22">
        <v>2165</v>
      </c>
      <c r="Y148" s="22">
        <v>2131</v>
      </c>
      <c r="Z148" s="22">
        <v>2230</v>
      </c>
      <c r="AA148" s="22">
        <v>2280</v>
      </c>
      <c r="AB148" s="22">
        <v>1850</v>
      </c>
      <c r="AC148" s="22">
        <v>1821</v>
      </c>
      <c r="AD148" s="22">
        <v>1716</v>
      </c>
      <c r="AE148" s="22">
        <v>1933</v>
      </c>
      <c r="AF148" s="22">
        <v>2239</v>
      </c>
      <c r="AG148" s="22">
        <v>2346</v>
      </c>
      <c r="AH148" s="22">
        <v>2307</v>
      </c>
      <c r="AI148" s="22">
        <v>2300</v>
      </c>
      <c r="AJ148" s="22">
        <v>2287</v>
      </c>
      <c r="AK148" s="22">
        <v>2260</v>
      </c>
      <c r="AL148" s="22">
        <v>2175</v>
      </c>
      <c r="AM148" s="22">
        <v>2298</v>
      </c>
      <c r="AN148" s="22">
        <v>2125</v>
      </c>
      <c r="AO148" s="22">
        <v>1957</v>
      </c>
      <c r="AP148" s="22">
        <v>1960</v>
      </c>
      <c r="AQ148" s="22">
        <v>2010</v>
      </c>
      <c r="AR148" s="22">
        <v>2183</v>
      </c>
      <c r="AS148" s="22">
        <v>2050</v>
      </c>
      <c r="AT148" s="22">
        <v>1934</v>
      </c>
      <c r="AU148" s="22">
        <v>1953</v>
      </c>
      <c r="AV148" s="22">
        <v>1970</v>
      </c>
      <c r="AW148" s="22">
        <v>2127</v>
      </c>
      <c r="AX148" s="22">
        <v>1970</v>
      </c>
      <c r="AY148" s="22">
        <v>1750</v>
      </c>
      <c r="AZ148" s="22">
        <v>1702</v>
      </c>
      <c r="BA148" s="22">
        <v>1684</v>
      </c>
      <c r="BB148" s="22">
        <v>1602</v>
      </c>
      <c r="BC148" s="22">
        <v>1647</v>
      </c>
      <c r="BD148" s="22">
        <v>1697</v>
      </c>
      <c r="BE148" s="22">
        <v>1799</v>
      </c>
      <c r="BF148" s="22">
        <v>1866</v>
      </c>
      <c r="BG148" s="22">
        <v>1790</v>
      </c>
      <c r="BH148" s="22">
        <v>1710</v>
      </c>
      <c r="BI148" s="22">
        <v>1615</v>
      </c>
      <c r="BJ148" s="22">
        <v>1408</v>
      </c>
      <c r="BK148" s="22">
        <v>1271</v>
      </c>
      <c r="BL148" s="22">
        <v>1310</v>
      </c>
      <c r="BM148" s="1">
        <v>1317</v>
      </c>
      <c r="BN148" s="1">
        <v>1265</v>
      </c>
      <c r="BO148" s="1">
        <v>1359</v>
      </c>
      <c r="BP148" s="1">
        <v>1398</v>
      </c>
    </row>
    <row r="149" spans="1:68" ht="15.9" customHeight="1">
      <c r="A149" s="81" t="s">
        <v>292</v>
      </c>
      <c r="B149" s="17" t="s">
        <v>293</v>
      </c>
      <c r="C149" s="26" t="str">
        <f>_xll.RssMarket("7375","始値")</f>
        <v/>
      </c>
      <c r="D149" s="25" t="e">
        <f t="shared" si="5"/>
        <v>#VALUE!</v>
      </c>
      <c r="E149" s="22">
        <v>1263</v>
      </c>
      <c r="F149" s="22">
        <v>1255</v>
      </c>
      <c r="G149" s="22">
        <v>1345</v>
      </c>
      <c r="H149" s="22">
        <v>1289</v>
      </c>
      <c r="I149" s="22">
        <v>1226</v>
      </c>
      <c r="J149" s="22">
        <v>1246</v>
      </c>
      <c r="K149" s="22">
        <v>1256</v>
      </c>
      <c r="L149" s="22">
        <v>1254</v>
      </c>
      <c r="M149" s="22">
        <v>1272</v>
      </c>
      <c r="N149" s="22">
        <v>1230</v>
      </c>
      <c r="O149" s="22">
        <v>1223</v>
      </c>
      <c r="P149" s="22">
        <v>1246</v>
      </c>
      <c r="Q149" s="22">
        <v>1245</v>
      </c>
      <c r="R149" s="22">
        <v>1301</v>
      </c>
      <c r="S149" s="22">
        <v>1321</v>
      </c>
      <c r="T149" s="22">
        <v>1363</v>
      </c>
      <c r="U149" s="22">
        <v>1366</v>
      </c>
      <c r="V149" s="22">
        <v>1428</v>
      </c>
      <c r="W149" s="22">
        <v>1380</v>
      </c>
      <c r="X149" s="22">
        <v>1355</v>
      </c>
      <c r="Y149" s="22">
        <v>1321</v>
      </c>
      <c r="Z149" s="22">
        <v>1312</v>
      </c>
      <c r="AA149" s="22">
        <v>1267</v>
      </c>
      <c r="AB149" s="22">
        <v>1269</v>
      </c>
      <c r="AC149" s="22">
        <v>1360</v>
      </c>
      <c r="AD149" s="22">
        <v>1370</v>
      </c>
      <c r="AE149" s="22">
        <v>1406</v>
      </c>
      <c r="AF149" s="22">
        <v>1378</v>
      </c>
      <c r="AG149" s="22">
        <v>1447</v>
      </c>
      <c r="AH149" s="22">
        <v>1431</v>
      </c>
      <c r="AI149" s="22">
        <v>1463</v>
      </c>
      <c r="AJ149" s="22">
        <v>1548</v>
      </c>
      <c r="AK149" s="22">
        <v>1602</v>
      </c>
      <c r="AL149" s="22">
        <v>1675</v>
      </c>
      <c r="AM149" s="22">
        <v>2000</v>
      </c>
      <c r="AN149" s="22">
        <v>1755</v>
      </c>
      <c r="AO149" s="22">
        <v>1860</v>
      </c>
      <c r="AP149" s="22">
        <v>1918</v>
      </c>
      <c r="AQ149" s="22">
        <v>1980</v>
      </c>
      <c r="AR149" s="22">
        <v>1820</v>
      </c>
      <c r="AS149" s="22">
        <v>1507</v>
      </c>
      <c r="AT149" s="22">
        <v>1592</v>
      </c>
      <c r="AU149" s="22">
        <v>1698</v>
      </c>
      <c r="AV149" s="22">
        <v>1680</v>
      </c>
      <c r="AW149" s="22">
        <v>1719</v>
      </c>
      <c r="AX149" s="22">
        <v>1841</v>
      </c>
      <c r="AY149" s="22">
        <v>1785</v>
      </c>
      <c r="AZ149" s="22">
        <v>1965</v>
      </c>
      <c r="BA149" s="22">
        <v>2222</v>
      </c>
      <c r="BB149" s="22">
        <v>2011</v>
      </c>
      <c r="BC149" s="22">
        <v>2005</v>
      </c>
      <c r="BD149" s="22">
        <v>2164</v>
      </c>
      <c r="BE149" s="22">
        <v>2215</v>
      </c>
      <c r="BF149" s="22">
        <v>2450</v>
      </c>
      <c r="BG149" s="22">
        <v>2172</v>
      </c>
      <c r="BH149" s="22">
        <v>2056</v>
      </c>
      <c r="BI149" s="22">
        <v>2063</v>
      </c>
      <c r="BJ149" s="22">
        <v>2077</v>
      </c>
      <c r="BK149" s="22">
        <v>2020</v>
      </c>
      <c r="BL149" s="22">
        <v>1724</v>
      </c>
      <c r="BM149" s="1">
        <v>1464</v>
      </c>
      <c r="BN149" s="1">
        <v>1480</v>
      </c>
      <c r="BO149" s="1">
        <v>1573</v>
      </c>
      <c r="BP149" s="1">
        <v>1533</v>
      </c>
    </row>
    <row r="150" spans="1:68" ht="15.9" customHeight="1">
      <c r="A150" s="81" t="s">
        <v>294</v>
      </c>
      <c r="B150" s="17" t="s">
        <v>295</v>
      </c>
      <c r="C150" s="26" t="str">
        <f>_xll.RssMarket("4307","始値")</f>
        <v/>
      </c>
      <c r="D150" s="25" t="e">
        <f t="shared" si="5"/>
        <v>#VALUE!</v>
      </c>
      <c r="E150" s="22">
        <v>5140</v>
      </c>
      <c r="F150" s="22">
        <v>4981</v>
      </c>
      <c r="G150" s="22">
        <v>5135</v>
      </c>
      <c r="H150" s="22">
        <v>4996</v>
      </c>
      <c r="I150" s="22">
        <v>5070</v>
      </c>
      <c r="J150" s="22">
        <v>4925</v>
      </c>
      <c r="K150" s="22">
        <v>5200</v>
      </c>
      <c r="L150" s="22">
        <v>5050</v>
      </c>
      <c r="M150" s="22">
        <v>4871</v>
      </c>
      <c r="N150" s="22">
        <v>5046</v>
      </c>
      <c r="O150" s="22">
        <v>4898</v>
      </c>
      <c r="P150" s="22">
        <v>4560</v>
      </c>
      <c r="Q150" s="22">
        <v>4607</v>
      </c>
      <c r="R150" s="22">
        <v>4473</v>
      </c>
      <c r="S150" s="22">
        <v>4270</v>
      </c>
      <c r="T150" s="22">
        <v>4307</v>
      </c>
      <c r="U150" s="22">
        <v>4370</v>
      </c>
      <c r="V150" s="22">
        <v>4190</v>
      </c>
      <c r="W150" s="22">
        <v>4311</v>
      </c>
      <c r="X150" s="22">
        <v>4521</v>
      </c>
      <c r="Y150" s="22">
        <v>4593</v>
      </c>
      <c r="Z150" s="22">
        <v>4550</v>
      </c>
      <c r="AA150" s="22">
        <v>4500</v>
      </c>
      <c r="AB150" s="22">
        <v>4619</v>
      </c>
      <c r="AC150" s="22">
        <v>4595</v>
      </c>
      <c r="AD150" s="22">
        <v>4625</v>
      </c>
      <c r="AE150" s="22">
        <v>4622</v>
      </c>
      <c r="AF150" s="22">
        <v>4812</v>
      </c>
      <c r="AG150" s="22">
        <v>4799</v>
      </c>
      <c r="AH150" s="22">
        <v>4696</v>
      </c>
      <c r="AI150" s="22">
        <v>4947</v>
      </c>
      <c r="AJ150" s="22">
        <v>5324</v>
      </c>
      <c r="AK150" s="22">
        <v>5000</v>
      </c>
      <c r="AL150" s="22">
        <v>4745</v>
      </c>
      <c r="AM150" s="22">
        <v>4570</v>
      </c>
      <c r="AN150" s="22">
        <v>4685</v>
      </c>
      <c r="AO150" s="22">
        <v>4640</v>
      </c>
      <c r="AP150" s="22">
        <v>4735</v>
      </c>
      <c r="AQ150" s="22">
        <v>4838</v>
      </c>
      <c r="AR150" s="22">
        <v>4684</v>
      </c>
      <c r="AS150" s="22">
        <v>4432</v>
      </c>
      <c r="AT150" s="22">
        <v>4215</v>
      </c>
      <c r="AU150" s="22">
        <v>4270</v>
      </c>
      <c r="AV150" s="22">
        <v>4230</v>
      </c>
      <c r="AW150" s="22">
        <v>4215</v>
      </c>
      <c r="AX150" s="22">
        <v>4281</v>
      </c>
      <c r="AY150" s="22">
        <v>4347</v>
      </c>
      <c r="AZ150" s="22">
        <v>4113</v>
      </c>
      <c r="BA150" s="22">
        <v>4142</v>
      </c>
      <c r="BB150" s="22">
        <v>4215</v>
      </c>
      <c r="BC150" s="22">
        <v>4479</v>
      </c>
      <c r="BD150" s="22">
        <v>4583</v>
      </c>
      <c r="BE150" s="22">
        <v>5000</v>
      </c>
      <c r="BF150" s="22">
        <v>5123</v>
      </c>
      <c r="BG150" s="22">
        <v>5098</v>
      </c>
      <c r="BH150" s="22">
        <v>5008</v>
      </c>
      <c r="BI150" s="22">
        <v>4997</v>
      </c>
      <c r="BJ150" s="22">
        <v>4989</v>
      </c>
      <c r="BK150" s="22">
        <v>4994</v>
      </c>
      <c r="BL150" s="22">
        <v>4765</v>
      </c>
      <c r="BM150" s="1">
        <v>4632</v>
      </c>
      <c r="BN150" s="1">
        <v>4390</v>
      </c>
      <c r="BO150" s="1">
        <v>4445</v>
      </c>
      <c r="BP150" s="1">
        <v>4505</v>
      </c>
    </row>
    <row r="151" spans="1:68" ht="15.9" customHeight="1">
      <c r="A151" s="81" t="s">
        <v>296</v>
      </c>
      <c r="B151" s="17" t="s">
        <v>297</v>
      </c>
      <c r="C151" s="26" t="str">
        <f>_xll.RssMarket("6516","始値")</f>
        <v/>
      </c>
      <c r="D151" s="25" t="e">
        <f t="shared" si="5"/>
        <v>#VALUE!</v>
      </c>
      <c r="E151" s="22">
        <v>5580</v>
      </c>
      <c r="F151" s="22">
        <v>5870</v>
      </c>
      <c r="G151" s="22">
        <v>5850</v>
      </c>
      <c r="H151" s="22">
        <v>6090</v>
      </c>
      <c r="I151" s="22">
        <v>6100</v>
      </c>
      <c r="J151" s="22">
        <v>6000</v>
      </c>
      <c r="K151" s="22">
        <v>6010</v>
      </c>
      <c r="L151" s="22">
        <v>6420</v>
      </c>
      <c r="M151" s="22">
        <v>6570</v>
      </c>
      <c r="N151" s="22">
        <v>6430</v>
      </c>
      <c r="O151" s="22">
        <v>6380</v>
      </c>
      <c r="P151" s="22">
        <v>6640</v>
      </c>
      <c r="Q151" s="22">
        <v>6610</v>
      </c>
      <c r="R151" s="22">
        <v>6930</v>
      </c>
      <c r="S151" s="22">
        <v>6980</v>
      </c>
      <c r="T151" s="22">
        <v>7160</v>
      </c>
      <c r="U151" s="22">
        <v>7090</v>
      </c>
      <c r="V151" s="22">
        <v>7030</v>
      </c>
      <c r="W151" s="22">
        <v>6870</v>
      </c>
      <c r="X151" s="22">
        <v>6860</v>
      </c>
      <c r="Y151" s="22">
        <v>6810</v>
      </c>
      <c r="Z151" s="22">
        <v>6450</v>
      </c>
      <c r="AA151" s="22">
        <v>6600</v>
      </c>
      <c r="AB151" s="22">
        <v>6580</v>
      </c>
      <c r="AC151" s="22">
        <v>6350</v>
      </c>
      <c r="AD151" s="22">
        <v>6080</v>
      </c>
      <c r="AE151" s="22">
        <v>6460</v>
      </c>
      <c r="AF151" s="22">
        <v>6340</v>
      </c>
      <c r="AG151" s="22">
        <v>6620</v>
      </c>
      <c r="AH151" s="22">
        <v>6600</v>
      </c>
      <c r="AI151" s="22">
        <v>6640</v>
      </c>
      <c r="AJ151" s="22">
        <v>6400</v>
      </c>
      <c r="AK151" s="22">
        <v>6830</v>
      </c>
      <c r="AL151" s="22">
        <v>6710</v>
      </c>
      <c r="AM151" s="22">
        <v>7040</v>
      </c>
      <c r="AN151" s="22">
        <v>7150</v>
      </c>
      <c r="AO151" s="22">
        <v>7100</v>
      </c>
      <c r="AP151" s="22">
        <v>6900</v>
      </c>
      <c r="AQ151" s="22">
        <v>7300</v>
      </c>
      <c r="AR151" s="22">
        <v>7410</v>
      </c>
      <c r="AS151" s="22">
        <v>7570</v>
      </c>
      <c r="AT151" s="22">
        <v>7700</v>
      </c>
      <c r="AU151" s="22">
        <v>7410</v>
      </c>
      <c r="AV151" s="22">
        <v>7770</v>
      </c>
      <c r="AW151" s="22">
        <v>7590</v>
      </c>
      <c r="AX151" s="22">
        <v>7190</v>
      </c>
      <c r="AY151" s="22">
        <v>7050</v>
      </c>
      <c r="AZ151" s="22">
        <v>6820</v>
      </c>
      <c r="BA151" s="22">
        <v>7020</v>
      </c>
      <c r="BB151" s="22">
        <v>7230</v>
      </c>
      <c r="BC151" s="22">
        <v>5690</v>
      </c>
      <c r="BD151" s="22">
        <v>5190</v>
      </c>
      <c r="BE151" s="22">
        <v>5270</v>
      </c>
      <c r="BF151" s="22">
        <v>5220</v>
      </c>
      <c r="BG151" s="22">
        <v>5240</v>
      </c>
      <c r="BH151" s="22">
        <v>5190</v>
      </c>
      <c r="BI151" s="22">
        <v>5200</v>
      </c>
      <c r="BJ151" s="22">
        <v>5240</v>
      </c>
      <c r="BK151" s="22">
        <v>5400</v>
      </c>
      <c r="BL151" s="22">
        <v>5080</v>
      </c>
      <c r="BM151" s="1">
        <v>5040</v>
      </c>
      <c r="BN151" s="1">
        <v>4940</v>
      </c>
      <c r="BO151" s="1">
        <v>4870</v>
      </c>
      <c r="BP151" s="1">
        <v>4830</v>
      </c>
    </row>
    <row r="152" spans="1:68" ht="15.9" customHeight="1">
      <c r="A152" s="81" t="s">
        <v>298</v>
      </c>
      <c r="B152" s="17" t="s">
        <v>299</v>
      </c>
      <c r="C152" s="26" t="str">
        <f>_xll.RssMarket("7381","始値")</f>
        <v/>
      </c>
      <c r="D152" s="25" t="e">
        <f t="shared" si="5"/>
        <v>#VALUE!</v>
      </c>
      <c r="E152" s="22">
        <v>1146</v>
      </c>
      <c r="F152" s="22">
        <v>1089</v>
      </c>
      <c r="G152" s="22">
        <v>1057</v>
      </c>
      <c r="H152" s="22">
        <v>1038</v>
      </c>
      <c r="I152" s="22">
        <v>1059</v>
      </c>
      <c r="J152" s="22">
        <v>1077</v>
      </c>
      <c r="K152" s="22">
        <v>1065</v>
      </c>
      <c r="L152" s="22">
        <v>1070</v>
      </c>
      <c r="M152" s="22">
        <v>1050</v>
      </c>
      <c r="N152" s="22">
        <v>1032</v>
      </c>
      <c r="O152" s="22">
        <v>1050</v>
      </c>
      <c r="P152" s="22">
        <v>1029</v>
      </c>
      <c r="Q152" s="22">
        <v>1015</v>
      </c>
      <c r="R152" s="22">
        <v>985</v>
      </c>
      <c r="S152" s="22">
        <v>983</v>
      </c>
      <c r="T152" s="22">
        <v>950</v>
      </c>
      <c r="U152" s="22">
        <v>963</v>
      </c>
      <c r="V152" s="22">
        <v>975</v>
      </c>
      <c r="W152" s="22">
        <v>955</v>
      </c>
      <c r="X152" s="22">
        <v>983</v>
      </c>
      <c r="Y152" s="22">
        <v>985</v>
      </c>
      <c r="Z152" s="22">
        <v>1004</v>
      </c>
      <c r="AA152" s="22">
        <v>997</v>
      </c>
      <c r="AB152" s="22">
        <v>1014</v>
      </c>
      <c r="AC152" s="22">
        <v>987</v>
      </c>
      <c r="AD152" s="22">
        <v>990</v>
      </c>
      <c r="AE152" s="22">
        <v>996</v>
      </c>
      <c r="AF152" s="22">
        <v>1004</v>
      </c>
      <c r="AG152" s="22">
        <v>1043</v>
      </c>
      <c r="AH152" s="22">
        <v>1010</v>
      </c>
      <c r="AI152" s="22">
        <v>1029</v>
      </c>
      <c r="AJ152" s="22">
        <v>998</v>
      </c>
      <c r="AK152" s="22">
        <v>1050</v>
      </c>
      <c r="AL152" s="22">
        <v>1047</v>
      </c>
      <c r="AM152" s="22">
        <v>1051</v>
      </c>
      <c r="AN152" s="22">
        <v>1050</v>
      </c>
      <c r="AO152" s="22">
        <v>1089</v>
      </c>
      <c r="AP152" s="22">
        <v>1051</v>
      </c>
      <c r="AQ152" s="22">
        <v>1028</v>
      </c>
      <c r="AR152" s="22">
        <v>1045</v>
      </c>
      <c r="AS152" s="22">
        <v>1043</v>
      </c>
      <c r="AT152" s="22">
        <v>1045</v>
      </c>
      <c r="AU152" s="22">
        <v>1027</v>
      </c>
      <c r="AV152" s="22">
        <v>1011</v>
      </c>
      <c r="AW152" s="22">
        <v>1013</v>
      </c>
      <c r="AX152" s="22">
        <v>1000</v>
      </c>
      <c r="AY152" s="22">
        <v>995</v>
      </c>
      <c r="AZ152" s="22">
        <v>982</v>
      </c>
      <c r="BA152" s="22">
        <v>941</v>
      </c>
      <c r="BB152" s="22">
        <v>939</v>
      </c>
      <c r="BC152" s="22">
        <v>916</v>
      </c>
      <c r="BD152" s="22">
        <v>920</v>
      </c>
      <c r="BE152" s="22">
        <v>920</v>
      </c>
      <c r="BF152" s="22">
        <v>920</v>
      </c>
      <c r="BG152" s="22">
        <v>970</v>
      </c>
      <c r="BH152" s="22">
        <v>1001</v>
      </c>
      <c r="BI152" s="22">
        <v>1020</v>
      </c>
      <c r="BJ152" s="22">
        <v>1030</v>
      </c>
      <c r="BK152" s="22">
        <v>1045</v>
      </c>
      <c r="BL152" s="22">
        <v>1031</v>
      </c>
      <c r="BM152" s="1">
        <v>1027</v>
      </c>
      <c r="BN152" s="1">
        <v>1020</v>
      </c>
      <c r="BO152" s="1">
        <v>1034</v>
      </c>
      <c r="BP152" s="1">
        <v>1044</v>
      </c>
    </row>
    <row r="153" spans="1:68" ht="15.9" customHeight="1">
      <c r="A153" s="81" t="s">
        <v>300</v>
      </c>
      <c r="B153" s="17" t="s">
        <v>301</v>
      </c>
      <c r="C153" s="26" t="str">
        <f>_xll.RssMarket("4417","始値")</f>
        <v/>
      </c>
      <c r="D153" s="25" t="e">
        <f t="shared" si="5"/>
        <v>#VALUE!</v>
      </c>
      <c r="E153" s="22">
        <v>4490</v>
      </c>
      <c r="F153" s="22">
        <v>4275</v>
      </c>
      <c r="G153" s="22">
        <v>4010</v>
      </c>
      <c r="H153" s="22">
        <v>3980</v>
      </c>
      <c r="I153" s="22">
        <v>3900</v>
      </c>
      <c r="J153" s="22">
        <v>3895</v>
      </c>
      <c r="K153" s="22">
        <v>3920</v>
      </c>
      <c r="L153" s="22">
        <v>4500</v>
      </c>
      <c r="M153" s="22">
        <v>4200</v>
      </c>
      <c r="N153" s="22">
        <v>4520</v>
      </c>
      <c r="O153" s="22">
        <v>3890</v>
      </c>
      <c r="P153" s="22">
        <v>3905</v>
      </c>
      <c r="Q153" s="22">
        <v>3850</v>
      </c>
      <c r="R153" s="22">
        <v>3500</v>
      </c>
      <c r="S153" s="22">
        <v>3305</v>
      </c>
      <c r="T153" s="22">
        <v>3260</v>
      </c>
      <c r="U153" s="22">
        <v>3145</v>
      </c>
      <c r="V153" s="22">
        <v>3290</v>
      </c>
      <c r="W153" s="22">
        <v>3285</v>
      </c>
      <c r="X153" s="22">
        <v>3280</v>
      </c>
      <c r="Y153" s="22">
        <v>3240</v>
      </c>
      <c r="Z153" s="22">
        <v>3070</v>
      </c>
      <c r="AA153" s="22">
        <v>3110</v>
      </c>
      <c r="AB153" s="22">
        <v>3070</v>
      </c>
      <c r="AC153" s="22">
        <v>3100</v>
      </c>
      <c r="AD153" s="22">
        <v>3090</v>
      </c>
      <c r="AE153" s="22">
        <v>3200</v>
      </c>
      <c r="AF153" s="22">
        <v>3030</v>
      </c>
      <c r="AG153" s="22">
        <v>3160</v>
      </c>
      <c r="AH153" s="22">
        <v>3050</v>
      </c>
      <c r="AI153" s="22">
        <v>3300</v>
      </c>
      <c r="AJ153" s="22">
        <v>3375</v>
      </c>
      <c r="AK153" s="22">
        <v>3310</v>
      </c>
      <c r="AL153" s="22">
        <v>3245</v>
      </c>
      <c r="AM153" s="22">
        <v>3300</v>
      </c>
      <c r="AN153" s="22">
        <v>3350</v>
      </c>
      <c r="AO153" s="22">
        <v>3115</v>
      </c>
      <c r="AP153" s="22">
        <v>3000</v>
      </c>
      <c r="AQ153" s="22">
        <v>2940</v>
      </c>
      <c r="AR153" s="22">
        <v>2839</v>
      </c>
      <c r="AS153" s="22">
        <v>2808</v>
      </c>
      <c r="AT153" s="22">
        <v>2721</v>
      </c>
      <c r="AU153" s="22">
        <v>2945</v>
      </c>
      <c r="AV153" s="22">
        <v>2942</v>
      </c>
      <c r="AW153" s="22">
        <v>2925</v>
      </c>
      <c r="AX153" s="22">
        <v>2910</v>
      </c>
      <c r="AY153" s="22">
        <v>2779</v>
      </c>
      <c r="AZ153" s="22">
        <v>2732</v>
      </c>
      <c r="BA153" s="22">
        <v>2780</v>
      </c>
      <c r="BB153" s="22">
        <v>2480</v>
      </c>
      <c r="BC153" s="22">
        <v>2511</v>
      </c>
      <c r="BD153" s="22">
        <v>2529</v>
      </c>
      <c r="BE153" s="22">
        <v>2450</v>
      </c>
      <c r="BF153" s="22">
        <v>2501</v>
      </c>
      <c r="BG153" s="22">
        <v>2449</v>
      </c>
      <c r="BH153" s="22">
        <v>2470</v>
      </c>
      <c r="BI153" s="22">
        <v>2502</v>
      </c>
      <c r="BJ153" s="22">
        <v>2490</v>
      </c>
      <c r="BK153" s="22">
        <v>2456</v>
      </c>
      <c r="BL153" s="22">
        <v>2285</v>
      </c>
      <c r="BM153" s="1">
        <v>2321</v>
      </c>
      <c r="BN153" s="1">
        <v>2395</v>
      </c>
      <c r="BO153" s="1">
        <v>2519</v>
      </c>
      <c r="BP153" s="1">
        <v>2571</v>
      </c>
    </row>
    <row r="154" spans="1:68" ht="15.9" customHeight="1">
      <c r="A154" s="81" t="s">
        <v>302</v>
      </c>
      <c r="B154" s="17" t="s">
        <v>303</v>
      </c>
      <c r="C154" s="26" t="str">
        <f>_xll.RssMarket("6981","始値")</f>
        <v/>
      </c>
      <c r="D154" s="25" t="e">
        <f t="shared" si="5"/>
        <v>#VALUE!</v>
      </c>
      <c r="E154" s="22">
        <v>7812</v>
      </c>
      <c r="F154" s="22">
        <v>9184</v>
      </c>
      <c r="G154" s="22">
        <v>9001</v>
      </c>
      <c r="H154" s="22">
        <v>9726</v>
      </c>
      <c r="I154" s="22">
        <v>9677</v>
      </c>
      <c r="J154" s="22">
        <v>9327</v>
      </c>
      <c r="K154" s="22">
        <v>8912</v>
      </c>
      <c r="L154" s="22">
        <v>10185</v>
      </c>
      <c r="M154" s="22">
        <v>11085</v>
      </c>
      <c r="N154" s="22">
        <v>10335</v>
      </c>
      <c r="O154" s="22">
        <v>10925</v>
      </c>
      <c r="P154" s="22">
        <v>11670</v>
      </c>
      <c r="Q154" s="22">
        <v>10640</v>
      </c>
      <c r="R154" s="22">
        <v>10835</v>
      </c>
      <c r="S154" s="22">
        <v>11300</v>
      </c>
      <c r="T154" s="22">
        <v>11475</v>
      </c>
      <c r="U154" s="22">
        <v>10990</v>
      </c>
      <c r="V154" s="22">
        <v>11950</v>
      </c>
      <c r="W154" s="22">
        <v>12570</v>
      </c>
      <c r="X154" s="22">
        <v>12345</v>
      </c>
      <c r="Y154" s="22">
        <v>12100</v>
      </c>
      <c r="Z154" s="22">
        <v>10230</v>
      </c>
      <c r="AA154" s="22">
        <v>10560</v>
      </c>
      <c r="AB154" s="22">
        <v>9456</v>
      </c>
      <c r="AC154" s="22">
        <v>9567</v>
      </c>
      <c r="AD154" s="22">
        <v>8218</v>
      </c>
      <c r="AE154" s="22">
        <v>9392</v>
      </c>
      <c r="AF154" s="22">
        <v>8795</v>
      </c>
      <c r="AG154" s="22">
        <v>9500</v>
      </c>
      <c r="AH154" s="22">
        <v>10120</v>
      </c>
      <c r="AI154" s="22">
        <v>10300</v>
      </c>
      <c r="AJ154" s="22">
        <v>10410</v>
      </c>
      <c r="AK154" s="22">
        <v>9128</v>
      </c>
      <c r="AL154" s="22">
        <v>7700</v>
      </c>
      <c r="AM154" s="22">
        <v>8227</v>
      </c>
      <c r="AN154" s="22">
        <v>7338</v>
      </c>
      <c r="AO154" s="22">
        <v>6715</v>
      </c>
      <c r="AP154" s="22">
        <v>6352</v>
      </c>
      <c r="AQ154" s="22">
        <v>5990</v>
      </c>
      <c r="AR154" s="22">
        <v>6234</v>
      </c>
      <c r="AS154" s="22">
        <v>6051</v>
      </c>
      <c r="AT154" s="22">
        <v>6429</v>
      </c>
      <c r="AU154" s="22">
        <v>6146</v>
      </c>
      <c r="AV154" s="22">
        <v>5947</v>
      </c>
      <c r="AW154" s="22">
        <v>6078</v>
      </c>
      <c r="AX154" s="22">
        <v>5993</v>
      </c>
      <c r="AY154" s="22">
        <v>5590</v>
      </c>
      <c r="AZ154" s="22">
        <v>5400</v>
      </c>
      <c r="BA154" s="22">
        <v>5000</v>
      </c>
      <c r="BB154" s="22">
        <v>4848</v>
      </c>
      <c r="BC154" s="22">
        <v>4933</v>
      </c>
      <c r="BD154" s="22">
        <v>5001</v>
      </c>
      <c r="BE154" s="22">
        <v>4950</v>
      </c>
      <c r="BF154" s="22">
        <v>4841</v>
      </c>
      <c r="BG154" s="22">
        <v>4827</v>
      </c>
      <c r="BH154" s="22">
        <v>4740</v>
      </c>
      <c r="BI154" s="22">
        <v>4662</v>
      </c>
      <c r="BJ154" s="22">
        <v>4722</v>
      </c>
      <c r="BK154" s="22">
        <v>4570</v>
      </c>
      <c r="BL154" s="22">
        <v>4485</v>
      </c>
      <c r="BM154" s="1">
        <v>4208</v>
      </c>
      <c r="BN154" s="1">
        <v>4077</v>
      </c>
      <c r="BO154" s="1">
        <v>3988</v>
      </c>
      <c r="BP154" s="1">
        <v>3930</v>
      </c>
    </row>
    <row r="155" spans="1:68" ht="15.9" customHeight="1">
      <c r="A155" s="81" t="s">
        <v>304</v>
      </c>
      <c r="B155" s="17" t="s">
        <v>305</v>
      </c>
      <c r="C155" s="26" t="str">
        <f>_xll.RssMarket("6754","始値")</f>
        <v/>
      </c>
      <c r="D155" s="25" t="e">
        <f t="shared" si="5"/>
        <v>#VALUE!</v>
      </c>
      <c r="E155" s="22">
        <v>3798</v>
      </c>
      <c r="F155" s="22">
        <v>4103</v>
      </c>
      <c r="G155" s="22">
        <v>4028</v>
      </c>
      <c r="H155" s="22">
        <v>4231</v>
      </c>
      <c r="I155" s="22">
        <v>4161</v>
      </c>
      <c r="J155" s="22">
        <v>4081</v>
      </c>
      <c r="K155" s="22">
        <v>3935</v>
      </c>
      <c r="L155" s="22">
        <v>4225</v>
      </c>
      <c r="M155" s="22">
        <v>4527</v>
      </c>
      <c r="N155" s="22">
        <v>4280</v>
      </c>
      <c r="O155" s="22">
        <v>4600</v>
      </c>
      <c r="P155" s="22">
        <v>4746</v>
      </c>
      <c r="Q155" s="22">
        <v>4393</v>
      </c>
      <c r="R155" s="22">
        <v>4343</v>
      </c>
      <c r="S155" s="22">
        <v>4500</v>
      </c>
      <c r="T155" s="22">
        <v>4526</v>
      </c>
      <c r="U155" s="22">
        <v>4410</v>
      </c>
      <c r="V155" s="22">
        <v>4700</v>
      </c>
      <c r="W155" s="22">
        <v>4273</v>
      </c>
      <c r="X155" s="22">
        <v>4300</v>
      </c>
      <c r="Y155" s="22">
        <v>4079</v>
      </c>
      <c r="Z155" s="22">
        <v>4001</v>
      </c>
      <c r="AA155" s="22">
        <v>3947</v>
      </c>
      <c r="AB155" s="22">
        <v>4022</v>
      </c>
      <c r="AC155" s="22">
        <v>3975</v>
      </c>
      <c r="AD155" s="22">
        <v>3694</v>
      </c>
      <c r="AE155" s="22">
        <v>4120</v>
      </c>
      <c r="AF155" s="22">
        <v>4199</v>
      </c>
      <c r="AG155" s="22">
        <v>4515</v>
      </c>
      <c r="AH155" s="22">
        <v>4698</v>
      </c>
      <c r="AI155" s="22">
        <v>4654</v>
      </c>
      <c r="AJ155" s="22">
        <v>4700</v>
      </c>
      <c r="AK155" s="22">
        <v>4535</v>
      </c>
      <c r="AL155" s="22">
        <v>4544</v>
      </c>
      <c r="AM155" s="22">
        <v>4680</v>
      </c>
      <c r="AN155" s="22">
        <v>4650</v>
      </c>
      <c r="AO155" s="22">
        <v>4595</v>
      </c>
      <c r="AP155" s="22">
        <v>4428</v>
      </c>
      <c r="AQ155" s="22">
        <v>4284</v>
      </c>
      <c r="AR155" s="22">
        <v>4195</v>
      </c>
      <c r="AS155" s="22">
        <v>4236</v>
      </c>
      <c r="AT155" s="22">
        <v>4322</v>
      </c>
      <c r="AU155" s="22">
        <v>4164</v>
      </c>
      <c r="AV155" s="22">
        <v>3985</v>
      </c>
      <c r="AW155" s="22">
        <v>4151</v>
      </c>
      <c r="AX155" s="22">
        <v>4300</v>
      </c>
      <c r="AY155" s="22">
        <v>4062</v>
      </c>
      <c r="AZ155" s="22">
        <v>3946</v>
      </c>
      <c r="BA155" s="22">
        <v>3899</v>
      </c>
      <c r="BB155" s="22">
        <v>3936</v>
      </c>
      <c r="BC155" s="22">
        <v>3875</v>
      </c>
      <c r="BD155" s="22">
        <v>3694</v>
      </c>
      <c r="BE155" s="22">
        <v>3592</v>
      </c>
      <c r="BF155" s="22">
        <v>3588</v>
      </c>
      <c r="BG155" s="22">
        <v>3616</v>
      </c>
      <c r="BH155" s="22">
        <v>3590</v>
      </c>
      <c r="BI155" s="22">
        <v>3392</v>
      </c>
      <c r="BJ155" s="22">
        <v>3444</v>
      </c>
      <c r="BK155" s="22">
        <v>3419</v>
      </c>
      <c r="BL155" s="22">
        <v>3478</v>
      </c>
      <c r="BM155" s="1">
        <v>3434</v>
      </c>
      <c r="BN155" s="1">
        <v>3400</v>
      </c>
      <c r="BO155" s="1">
        <v>3280</v>
      </c>
      <c r="BP155" s="1">
        <v>3274</v>
      </c>
    </row>
    <row r="156" spans="1:68" ht="15.9" customHeight="1">
      <c r="A156" s="81" t="s">
        <v>306</v>
      </c>
      <c r="B156" s="17" t="s">
        <v>307</v>
      </c>
      <c r="C156" s="26" t="str">
        <f>_xll.RssMarket("4088","始値")</f>
        <v/>
      </c>
      <c r="D156" s="25" t="e">
        <f t="shared" si="5"/>
        <v>#VALUE!</v>
      </c>
      <c r="E156" s="22">
        <v>2525</v>
      </c>
      <c r="F156" s="22">
        <v>2577</v>
      </c>
      <c r="G156" s="22">
        <v>2546</v>
      </c>
      <c r="H156" s="22">
        <v>2554</v>
      </c>
      <c r="I156" s="22">
        <v>2623</v>
      </c>
      <c r="J156" s="22">
        <v>2630</v>
      </c>
      <c r="K156" s="22">
        <v>2695</v>
      </c>
      <c r="L156" s="22">
        <v>2764</v>
      </c>
      <c r="M156" s="22">
        <v>2824</v>
      </c>
      <c r="N156" s="22">
        <v>2748</v>
      </c>
      <c r="O156" s="22">
        <v>2761</v>
      </c>
      <c r="P156" s="22">
        <v>2799</v>
      </c>
      <c r="Q156" s="22">
        <v>2790</v>
      </c>
      <c r="R156" s="22">
        <v>2750</v>
      </c>
      <c r="S156" s="22">
        <v>2851</v>
      </c>
      <c r="T156" s="22">
        <v>2740</v>
      </c>
      <c r="U156" s="22">
        <v>2631</v>
      </c>
      <c r="V156" s="22">
        <v>2600</v>
      </c>
      <c r="W156" s="22">
        <v>2451</v>
      </c>
      <c r="X156" s="22">
        <v>2520</v>
      </c>
      <c r="Y156" s="22">
        <v>2500</v>
      </c>
      <c r="Z156" s="22">
        <v>2552</v>
      </c>
      <c r="AA156" s="22">
        <v>2441</v>
      </c>
      <c r="AB156" s="22">
        <v>2435</v>
      </c>
      <c r="AC156" s="22">
        <v>2460</v>
      </c>
      <c r="AD156" s="22">
        <v>2444</v>
      </c>
      <c r="AE156" s="22">
        <v>2423</v>
      </c>
      <c r="AF156" s="22">
        <v>2440</v>
      </c>
      <c r="AG156" s="22">
        <v>2518</v>
      </c>
      <c r="AH156" s="22">
        <v>2470</v>
      </c>
      <c r="AI156" s="22">
        <v>2488</v>
      </c>
      <c r="AJ156" s="22">
        <v>2576</v>
      </c>
      <c r="AK156" s="22">
        <v>2599</v>
      </c>
      <c r="AL156" s="22">
        <v>2578</v>
      </c>
      <c r="AM156" s="22">
        <v>2616</v>
      </c>
      <c r="AN156" s="22">
        <v>2580</v>
      </c>
      <c r="AO156" s="22">
        <v>2500</v>
      </c>
      <c r="AP156" s="22">
        <v>2451</v>
      </c>
      <c r="AQ156" s="22">
        <v>2290</v>
      </c>
      <c r="AR156" s="22">
        <v>2167</v>
      </c>
      <c r="AS156" s="22">
        <v>2115</v>
      </c>
      <c r="AT156" s="22">
        <v>2052</v>
      </c>
      <c r="AU156" s="22">
        <v>2005</v>
      </c>
      <c r="AV156" s="22">
        <v>1964.5</v>
      </c>
      <c r="AW156" s="22">
        <v>1915</v>
      </c>
      <c r="AX156" s="22">
        <v>1890</v>
      </c>
      <c r="AY156" s="22">
        <v>2039</v>
      </c>
      <c r="AZ156" s="22">
        <v>2239</v>
      </c>
      <c r="BA156" s="22">
        <v>2254</v>
      </c>
      <c r="BB156" s="22">
        <v>2232.5</v>
      </c>
      <c r="BC156" s="22">
        <v>2223.5</v>
      </c>
      <c r="BD156" s="22">
        <v>2200</v>
      </c>
      <c r="BE156" s="22">
        <v>2255.5</v>
      </c>
      <c r="BF156" s="22">
        <v>2275</v>
      </c>
      <c r="BG156" s="22">
        <v>2287.5</v>
      </c>
      <c r="BH156" s="22">
        <v>2302</v>
      </c>
      <c r="BI156" s="22">
        <v>2293.5</v>
      </c>
      <c r="BJ156" s="22">
        <v>2283</v>
      </c>
      <c r="BK156" s="22">
        <v>2250</v>
      </c>
      <c r="BL156" s="22">
        <v>2227</v>
      </c>
      <c r="BM156" s="1">
        <v>2245.5</v>
      </c>
      <c r="BN156" s="1">
        <v>2295</v>
      </c>
      <c r="BO156" s="1">
        <v>2315.5</v>
      </c>
      <c r="BP156" s="1">
        <v>2238.5</v>
      </c>
    </row>
    <row r="157" spans="1:68" ht="15.9" customHeight="1">
      <c r="A157" s="81" t="s">
        <v>308</v>
      </c>
      <c r="B157" s="17" t="s">
        <v>309</v>
      </c>
      <c r="C157" s="26" t="str">
        <f>_xll.RssMarket("4091","始値")</f>
        <v/>
      </c>
      <c r="D157" s="25" t="e">
        <f t="shared" si="5"/>
        <v>#VALUE!</v>
      </c>
      <c r="E157" s="22">
        <v>6115</v>
      </c>
      <c r="F157" s="22">
        <v>6100</v>
      </c>
      <c r="G157" s="22">
        <v>6037</v>
      </c>
      <c r="H157" s="22">
        <v>6074</v>
      </c>
      <c r="I157" s="22">
        <v>6234</v>
      </c>
      <c r="J157" s="22">
        <v>6090</v>
      </c>
      <c r="K157" s="22">
        <v>6169</v>
      </c>
      <c r="L157" s="22">
        <v>6300</v>
      </c>
      <c r="M157" s="22">
        <v>6285</v>
      </c>
      <c r="N157" s="22">
        <v>6286</v>
      </c>
      <c r="O157" s="22">
        <v>6100</v>
      </c>
      <c r="P157" s="22">
        <v>6004</v>
      </c>
      <c r="Q157" s="22">
        <v>5999</v>
      </c>
      <c r="R157" s="22">
        <v>5961</v>
      </c>
      <c r="S157" s="22">
        <v>5861</v>
      </c>
      <c r="T157" s="22">
        <v>5648</v>
      </c>
      <c r="U157" s="22">
        <v>5610</v>
      </c>
      <c r="V157" s="22">
        <v>5523</v>
      </c>
      <c r="W157" s="22">
        <v>5490</v>
      </c>
      <c r="X157" s="22">
        <v>5552</v>
      </c>
      <c r="Y157" s="22">
        <v>5584</v>
      </c>
      <c r="Z157" s="22">
        <v>5561</v>
      </c>
      <c r="AA157" s="22">
        <v>5574</v>
      </c>
      <c r="AB157" s="22">
        <v>5487</v>
      </c>
      <c r="AC157" s="22">
        <v>5320</v>
      </c>
      <c r="AD157" s="22">
        <v>5175</v>
      </c>
      <c r="AE157" s="22">
        <v>5331</v>
      </c>
      <c r="AF157" s="22">
        <v>5527</v>
      </c>
      <c r="AG157" s="22">
        <v>5570</v>
      </c>
      <c r="AH157" s="22">
        <v>5662</v>
      </c>
      <c r="AI157" s="22">
        <v>5700</v>
      </c>
      <c r="AJ157" s="22">
        <v>5772</v>
      </c>
      <c r="AK157" s="22">
        <v>6350</v>
      </c>
      <c r="AL157" s="22">
        <v>6298</v>
      </c>
      <c r="AM157" s="22">
        <v>6419</v>
      </c>
      <c r="AN157" s="22">
        <v>6227</v>
      </c>
      <c r="AO157" s="22">
        <v>6144</v>
      </c>
      <c r="AP157" s="22">
        <v>5917</v>
      </c>
      <c r="AQ157" s="22">
        <v>5828</v>
      </c>
      <c r="AR157" s="22">
        <v>6021</v>
      </c>
      <c r="AS157" s="22">
        <v>6061</v>
      </c>
      <c r="AT157" s="22">
        <v>6114</v>
      </c>
      <c r="AU157" s="22">
        <v>6000</v>
      </c>
      <c r="AV157" s="22">
        <v>5739</v>
      </c>
      <c r="AW157" s="22">
        <v>6162</v>
      </c>
      <c r="AX157" s="22">
        <v>5736</v>
      </c>
      <c r="AY157" s="22">
        <v>5722</v>
      </c>
      <c r="AZ157" s="22">
        <v>5468</v>
      </c>
      <c r="BA157" s="22">
        <v>5550</v>
      </c>
      <c r="BB157" s="22">
        <v>5652</v>
      </c>
      <c r="BC157" s="22">
        <v>5651</v>
      </c>
      <c r="BD157" s="22">
        <v>5661</v>
      </c>
      <c r="BE157" s="22">
        <v>5602</v>
      </c>
      <c r="BF157" s="22">
        <v>5634</v>
      </c>
      <c r="BG157" s="22">
        <v>5710</v>
      </c>
      <c r="BH157" s="22">
        <v>5872</v>
      </c>
      <c r="BI157" s="22">
        <v>5815</v>
      </c>
      <c r="BJ157" s="22">
        <v>6040</v>
      </c>
      <c r="BK157" s="22">
        <v>5861</v>
      </c>
      <c r="BL157" s="22">
        <v>5857</v>
      </c>
      <c r="BM157" s="1">
        <v>5971</v>
      </c>
      <c r="BN157" s="1">
        <v>5821</v>
      </c>
      <c r="BO157" s="1">
        <v>5930</v>
      </c>
      <c r="BP157" s="1">
        <v>5895</v>
      </c>
    </row>
    <row r="158" spans="1:68" ht="15.9" customHeight="1">
      <c r="A158" s="81" t="s">
        <v>310</v>
      </c>
      <c r="B158" s="17" t="s">
        <v>311</v>
      </c>
      <c r="C158" s="26" t="str">
        <f>_xll.RssMarket("6857","始値")</f>
        <v/>
      </c>
      <c r="D158" s="25" t="e">
        <f t="shared" si="5"/>
        <v>#VALUE!</v>
      </c>
      <c r="E158" s="22">
        <v>28140</v>
      </c>
      <c r="F158" s="22">
        <v>30180</v>
      </c>
      <c r="G158" s="22">
        <v>28320</v>
      </c>
      <c r="H158" s="22">
        <v>29500</v>
      </c>
      <c r="I158" s="22">
        <v>30160</v>
      </c>
      <c r="J158" s="22">
        <v>28900</v>
      </c>
      <c r="K158" s="22">
        <v>28010</v>
      </c>
      <c r="L158" s="22">
        <v>29200</v>
      </c>
      <c r="M158" s="22">
        <v>29845</v>
      </c>
      <c r="N158" s="22">
        <v>28110</v>
      </c>
      <c r="O158" s="22">
        <v>30400</v>
      </c>
      <c r="P158" s="22">
        <v>33930</v>
      </c>
      <c r="Q158" s="22">
        <v>32700</v>
      </c>
      <c r="R158" s="22">
        <v>32920</v>
      </c>
      <c r="S158" s="22">
        <v>34500</v>
      </c>
      <c r="T158" s="22">
        <v>33100</v>
      </c>
      <c r="U158" s="22">
        <v>31100</v>
      </c>
      <c r="V158" s="22">
        <v>32430</v>
      </c>
      <c r="W158" s="22">
        <v>31460</v>
      </c>
      <c r="X158" s="22">
        <v>31210</v>
      </c>
      <c r="Y158" s="22">
        <v>29855</v>
      </c>
      <c r="Z158" s="22">
        <v>29640</v>
      </c>
      <c r="AA158" s="22">
        <v>29600</v>
      </c>
      <c r="AB158" s="22">
        <v>28800</v>
      </c>
      <c r="AC158" s="22">
        <v>27205</v>
      </c>
      <c r="AD158" s="22">
        <v>24450</v>
      </c>
      <c r="AE158" s="22">
        <v>25490</v>
      </c>
      <c r="AF158" s="22">
        <v>25100</v>
      </c>
      <c r="AG158" s="22">
        <v>27560</v>
      </c>
      <c r="AH158" s="22">
        <v>27380</v>
      </c>
      <c r="AI158" s="22">
        <v>27320</v>
      </c>
      <c r="AJ158" s="22">
        <v>25810</v>
      </c>
      <c r="AK158" s="22">
        <v>26380</v>
      </c>
      <c r="AL158" s="22">
        <v>26760</v>
      </c>
      <c r="AM158" s="22">
        <v>27200</v>
      </c>
      <c r="AN158" s="22">
        <v>27245</v>
      </c>
      <c r="AO158" s="22">
        <v>26975</v>
      </c>
      <c r="AP158" s="22">
        <v>26625</v>
      </c>
      <c r="AQ158" s="22">
        <v>25790</v>
      </c>
      <c r="AR158" s="22">
        <v>26150</v>
      </c>
      <c r="AS158" s="22">
        <v>26485</v>
      </c>
      <c r="AT158" s="22">
        <v>29015</v>
      </c>
      <c r="AU158" s="22">
        <v>28510</v>
      </c>
      <c r="AV158" s="22">
        <v>28080</v>
      </c>
      <c r="AW158" s="22">
        <v>29280</v>
      </c>
      <c r="AX158" s="22">
        <v>30410</v>
      </c>
      <c r="AY158" s="22">
        <v>29800</v>
      </c>
      <c r="AZ158" s="22">
        <v>30100</v>
      </c>
      <c r="BA158" s="22">
        <v>28990</v>
      </c>
      <c r="BB158" s="22">
        <v>28880</v>
      </c>
      <c r="BC158" s="22">
        <v>30120</v>
      </c>
      <c r="BD158" s="22">
        <v>30500</v>
      </c>
      <c r="BE158" s="22">
        <v>28315</v>
      </c>
      <c r="BF158" s="22">
        <v>28500</v>
      </c>
      <c r="BG158" s="22">
        <v>27255</v>
      </c>
      <c r="BH158" s="22">
        <v>27430</v>
      </c>
      <c r="BI158" s="22">
        <v>27885</v>
      </c>
      <c r="BJ158" s="22">
        <v>28900</v>
      </c>
      <c r="BK158" s="22">
        <v>28085</v>
      </c>
      <c r="BL158" s="22">
        <v>28000</v>
      </c>
      <c r="BM158" s="1">
        <v>25900</v>
      </c>
      <c r="BN158" s="1">
        <v>24650</v>
      </c>
      <c r="BO158" s="1">
        <v>25300</v>
      </c>
      <c r="BP158" s="1">
        <v>25000</v>
      </c>
    </row>
    <row r="159" spans="1:68" ht="15.9" customHeight="1">
      <c r="A159" s="81" t="s">
        <v>312</v>
      </c>
      <c r="B159" s="17" t="s">
        <v>313</v>
      </c>
      <c r="C159" s="26" t="str">
        <f>_xll.RssMarket("3891","始値")</f>
        <v/>
      </c>
      <c r="D159" s="25" t="e">
        <f t="shared" si="5"/>
        <v>#VALUE!</v>
      </c>
      <c r="E159" s="22">
        <v>7120</v>
      </c>
      <c r="F159" s="22">
        <v>7670</v>
      </c>
      <c r="G159" s="22">
        <v>7340</v>
      </c>
      <c r="H159" s="22">
        <v>7970</v>
      </c>
      <c r="I159" s="22">
        <v>8120</v>
      </c>
      <c r="J159" s="22">
        <v>8230</v>
      </c>
      <c r="K159" s="22">
        <v>7820</v>
      </c>
      <c r="L159" s="22">
        <v>8690</v>
      </c>
      <c r="M159" s="22">
        <v>9430</v>
      </c>
      <c r="N159" s="22">
        <v>8700</v>
      </c>
      <c r="O159" s="22">
        <v>9700</v>
      </c>
      <c r="P159" s="22">
        <v>10190</v>
      </c>
      <c r="Q159" s="22">
        <v>10290</v>
      </c>
      <c r="R159" s="22">
        <v>9990</v>
      </c>
      <c r="S159" s="22">
        <v>10130</v>
      </c>
      <c r="T159" s="22">
        <v>10010</v>
      </c>
      <c r="U159" s="22">
        <v>9620</v>
      </c>
      <c r="V159" s="22">
        <v>10370</v>
      </c>
      <c r="W159" s="22">
        <v>10750</v>
      </c>
      <c r="X159" s="22">
        <v>10880</v>
      </c>
      <c r="Y159" s="22">
        <v>10000</v>
      </c>
      <c r="Z159" s="22">
        <v>8830</v>
      </c>
      <c r="AA159" s="22">
        <v>8770</v>
      </c>
      <c r="AB159" s="22">
        <v>8760</v>
      </c>
      <c r="AC159" s="22">
        <v>9320</v>
      </c>
      <c r="AD159" s="22">
        <v>8190</v>
      </c>
      <c r="AE159" s="22">
        <v>9750</v>
      </c>
      <c r="AF159" s="22">
        <v>8260</v>
      </c>
      <c r="AG159" s="22">
        <v>8220</v>
      </c>
      <c r="AH159" s="22">
        <v>8330</v>
      </c>
      <c r="AI159" s="22">
        <v>8060</v>
      </c>
      <c r="AJ159" s="22">
        <v>8180</v>
      </c>
      <c r="AK159" s="22">
        <v>7390</v>
      </c>
      <c r="AL159" s="22">
        <v>6870</v>
      </c>
      <c r="AM159" s="22">
        <v>7590</v>
      </c>
      <c r="AN159" s="22">
        <v>7750</v>
      </c>
      <c r="AO159" s="22">
        <v>7020</v>
      </c>
      <c r="AP159" s="22">
        <v>6930</v>
      </c>
      <c r="AQ159" s="22">
        <v>6450</v>
      </c>
      <c r="AR159" s="22">
        <v>6500</v>
      </c>
      <c r="AS159" s="22">
        <v>6200</v>
      </c>
      <c r="AT159" s="22">
        <v>6310</v>
      </c>
      <c r="AU159" s="22">
        <v>6500</v>
      </c>
      <c r="AV159" s="22">
        <v>6300</v>
      </c>
      <c r="AW159" s="22">
        <v>6480</v>
      </c>
      <c r="AX159" s="22">
        <v>6680</v>
      </c>
      <c r="AY159" s="22">
        <v>6520</v>
      </c>
      <c r="AZ159" s="22">
        <v>6270</v>
      </c>
      <c r="BA159" s="22">
        <v>6460</v>
      </c>
      <c r="BB159" s="22">
        <v>6340</v>
      </c>
      <c r="BC159" s="22">
        <v>6250</v>
      </c>
      <c r="BD159" s="22">
        <v>6000</v>
      </c>
      <c r="BE159" s="22">
        <v>4420</v>
      </c>
      <c r="BF159" s="22">
        <v>4515</v>
      </c>
      <c r="BG159" s="22">
        <v>4585</v>
      </c>
      <c r="BH159" s="22">
        <v>4455</v>
      </c>
      <c r="BI159" s="22">
        <v>4280</v>
      </c>
      <c r="BJ159" s="22">
        <v>4490</v>
      </c>
      <c r="BK159" s="22">
        <v>4530</v>
      </c>
      <c r="BL159" s="22">
        <v>4505</v>
      </c>
      <c r="BM159" s="1">
        <v>4250</v>
      </c>
      <c r="BN159" s="1">
        <v>4045</v>
      </c>
      <c r="BO159" s="1">
        <v>4125</v>
      </c>
      <c r="BP159" s="1">
        <v>4070</v>
      </c>
    </row>
    <row r="160" spans="1:68" ht="15.9" customHeight="1">
      <c r="A160" s="81" t="s">
        <v>314</v>
      </c>
      <c r="B160" s="17" t="s">
        <v>315</v>
      </c>
      <c r="C160" s="26" t="str">
        <f>_xll.RssMarket("4373","始値")</f>
        <v/>
      </c>
      <c r="D160" s="25" t="e">
        <f t="shared" si="5"/>
        <v>#VALUE!</v>
      </c>
      <c r="E160" s="22">
        <v>1058</v>
      </c>
      <c r="F160" s="22">
        <v>1034</v>
      </c>
      <c r="G160" s="22">
        <v>1061</v>
      </c>
      <c r="H160" s="22">
        <v>1049</v>
      </c>
      <c r="I160" s="22">
        <v>1052</v>
      </c>
      <c r="J160" s="22">
        <v>1042</v>
      </c>
      <c r="K160" s="22">
        <v>1067</v>
      </c>
      <c r="L160" s="22">
        <v>1036</v>
      </c>
      <c r="M160" s="22">
        <v>1015</v>
      </c>
      <c r="N160" s="22">
        <v>1003</v>
      </c>
      <c r="O160" s="22">
        <v>970</v>
      </c>
      <c r="P160" s="22">
        <v>937</v>
      </c>
      <c r="Q160" s="22">
        <v>951</v>
      </c>
      <c r="R160" s="22">
        <v>926</v>
      </c>
      <c r="S160" s="22">
        <v>909</v>
      </c>
      <c r="T160" s="22">
        <v>923</v>
      </c>
      <c r="U160" s="22">
        <v>921</v>
      </c>
      <c r="V160" s="22">
        <v>933</v>
      </c>
      <c r="W160" s="22">
        <v>930</v>
      </c>
      <c r="X160" s="22">
        <v>927</v>
      </c>
      <c r="Y160" s="22">
        <v>935</v>
      </c>
      <c r="Z160" s="22">
        <v>966</v>
      </c>
      <c r="AA160" s="22">
        <v>940</v>
      </c>
      <c r="AB160" s="22">
        <v>983</v>
      </c>
      <c r="AC160" s="22">
        <v>991</v>
      </c>
      <c r="AD160" s="22">
        <v>1036</v>
      </c>
      <c r="AE160" s="22">
        <v>1060</v>
      </c>
      <c r="AF160" s="22">
        <v>1074</v>
      </c>
      <c r="AG160" s="22">
        <v>1084</v>
      </c>
      <c r="AH160" s="22">
        <v>1106</v>
      </c>
      <c r="AI160" s="22">
        <v>1116</v>
      </c>
      <c r="AJ160" s="22">
        <v>1158</v>
      </c>
      <c r="AK160" s="22">
        <v>1045</v>
      </c>
      <c r="AL160" s="22">
        <v>1040</v>
      </c>
      <c r="AM160" s="22">
        <v>999</v>
      </c>
      <c r="AN160" s="22">
        <v>1043</v>
      </c>
      <c r="AO160" s="22">
        <v>1035</v>
      </c>
      <c r="AP160" s="22">
        <v>1005</v>
      </c>
      <c r="AQ160" s="22">
        <v>1024</v>
      </c>
      <c r="AR160" s="22">
        <v>1008</v>
      </c>
      <c r="AS160" s="22">
        <v>950</v>
      </c>
      <c r="AT160" s="22">
        <v>945</v>
      </c>
      <c r="AU160" s="22">
        <v>956</v>
      </c>
      <c r="AV160" s="22">
        <v>968</v>
      </c>
      <c r="AW160" s="22">
        <v>960</v>
      </c>
      <c r="AX160" s="22">
        <v>936</v>
      </c>
      <c r="AY160" s="22">
        <v>925</v>
      </c>
      <c r="AZ160" s="22">
        <v>891</v>
      </c>
      <c r="BA160" s="22">
        <v>917</v>
      </c>
      <c r="BB160" s="22">
        <v>881</v>
      </c>
      <c r="BC160" s="22">
        <v>888</v>
      </c>
      <c r="BD160" s="22">
        <v>921</v>
      </c>
      <c r="BE160" s="22">
        <v>905</v>
      </c>
      <c r="BF160" s="22">
        <v>948</v>
      </c>
      <c r="BG160" s="22">
        <v>945</v>
      </c>
      <c r="BH160" s="22">
        <v>959</v>
      </c>
      <c r="BI160" s="22">
        <v>945</v>
      </c>
      <c r="BJ160" s="22">
        <v>899</v>
      </c>
      <c r="BK160" s="22">
        <v>933</v>
      </c>
      <c r="BL160" s="22">
        <v>862</v>
      </c>
      <c r="BM160" s="1">
        <v>849</v>
      </c>
      <c r="BN160" s="1">
        <v>803</v>
      </c>
      <c r="BO160" s="1">
        <v>823</v>
      </c>
      <c r="BP160" s="1">
        <v>841</v>
      </c>
    </row>
    <row r="161" spans="1:68" ht="15.9" customHeight="1">
      <c r="A161" s="81" t="s">
        <v>316</v>
      </c>
      <c r="B161" s="17" t="s">
        <v>317</v>
      </c>
      <c r="C161" s="26" t="str">
        <f>_xll.RssMarket("8892","始値")</f>
        <v/>
      </c>
      <c r="D161" s="25" t="e">
        <f t="shared" si="5"/>
        <v>#VALUE!</v>
      </c>
      <c r="E161" s="22">
        <v>1114</v>
      </c>
      <c r="F161" s="22">
        <v>1125</v>
      </c>
      <c r="G161" s="22">
        <v>1139</v>
      </c>
      <c r="H161" s="22">
        <v>1120</v>
      </c>
      <c r="I161" s="22">
        <v>1104</v>
      </c>
      <c r="J161" s="22">
        <v>1101</v>
      </c>
      <c r="K161" s="22">
        <v>1109</v>
      </c>
      <c r="L161" s="22">
        <v>1099</v>
      </c>
      <c r="M161" s="22">
        <v>1095</v>
      </c>
      <c r="N161" s="22">
        <v>1080</v>
      </c>
      <c r="O161" s="22">
        <v>1084</v>
      </c>
      <c r="P161" s="22">
        <v>1071</v>
      </c>
      <c r="Q161" s="22">
        <v>1061</v>
      </c>
      <c r="R161" s="22">
        <v>1067</v>
      </c>
      <c r="S161" s="22">
        <v>1056</v>
      </c>
      <c r="T161" s="22">
        <v>1058</v>
      </c>
      <c r="U161" s="22">
        <v>1062</v>
      </c>
      <c r="V161" s="22">
        <v>1071</v>
      </c>
      <c r="W161" s="22">
        <v>1076</v>
      </c>
      <c r="X161" s="22">
        <v>1105</v>
      </c>
      <c r="Y161" s="22">
        <v>1115</v>
      </c>
      <c r="Z161" s="22">
        <v>1091</v>
      </c>
      <c r="AA161" s="22">
        <v>1109</v>
      </c>
      <c r="AB161" s="22">
        <v>1095</v>
      </c>
      <c r="AC161" s="22">
        <v>1085</v>
      </c>
      <c r="AD161" s="22">
        <v>1069</v>
      </c>
      <c r="AE161" s="22">
        <v>1071</v>
      </c>
      <c r="AF161" s="22">
        <v>1067</v>
      </c>
      <c r="AG161" s="22">
        <v>1103</v>
      </c>
      <c r="AH161" s="22">
        <v>1109</v>
      </c>
      <c r="AI161" s="22">
        <v>1111</v>
      </c>
      <c r="AJ161" s="22">
        <v>1138</v>
      </c>
      <c r="AK161" s="22">
        <v>1133</v>
      </c>
      <c r="AL161" s="22">
        <v>1145</v>
      </c>
      <c r="AM161" s="22">
        <v>1130</v>
      </c>
      <c r="AN161" s="22">
        <v>1118</v>
      </c>
      <c r="AO161" s="22">
        <v>1152</v>
      </c>
      <c r="AP161" s="22">
        <v>1160</v>
      </c>
      <c r="AQ161" s="22">
        <v>1171</v>
      </c>
      <c r="AR161" s="22">
        <v>1174</v>
      </c>
      <c r="AS161" s="22">
        <v>1162</v>
      </c>
      <c r="AT161" s="22">
        <v>1171</v>
      </c>
      <c r="AU161" s="22">
        <v>1152</v>
      </c>
      <c r="AV161" s="22">
        <v>1171</v>
      </c>
      <c r="AW161" s="22">
        <v>1175</v>
      </c>
      <c r="AX161" s="22">
        <v>1200</v>
      </c>
      <c r="AY161" s="22">
        <v>1170</v>
      </c>
      <c r="AZ161" s="22">
        <v>1137</v>
      </c>
      <c r="BA161" s="22">
        <v>1124</v>
      </c>
      <c r="BB161" s="22">
        <v>1136</v>
      </c>
      <c r="BC161" s="22">
        <v>1146</v>
      </c>
      <c r="BD161" s="22">
        <v>1143</v>
      </c>
      <c r="BE161" s="22">
        <v>1138</v>
      </c>
      <c r="BF161" s="22">
        <v>1142</v>
      </c>
      <c r="BG161" s="22">
        <v>1140</v>
      </c>
      <c r="BH161" s="22">
        <v>1136</v>
      </c>
      <c r="BI161" s="22">
        <v>1126</v>
      </c>
      <c r="BJ161" s="22">
        <v>1128</v>
      </c>
      <c r="BK161" s="22">
        <v>1136</v>
      </c>
      <c r="BL161" s="22">
        <v>1130</v>
      </c>
      <c r="BM161" s="1">
        <v>1118</v>
      </c>
      <c r="BN161" s="1">
        <v>1105</v>
      </c>
      <c r="BO161" s="1">
        <v>1120</v>
      </c>
    </row>
    <row r="162" spans="1:68" ht="15.9" customHeight="1">
      <c r="A162" s="81" t="s">
        <v>318</v>
      </c>
      <c r="B162" s="17" t="s">
        <v>319</v>
      </c>
      <c r="C162" s="26" t="str">
        <f>_xll.RssMarket("9687","始値")</f>
        <v/>
      </c>
      <c r="D162" s="25" t="e">
        <f t="shared" si="5"/>
        <v>#VALUE!</v>
      </c>
      <c r="E162" s="22">
        <v>4400</v>
      </c>
      <c r="F162" s="22">
        <v>4395</v>
      </c>
      <c r="G162" s="22">
        <v>4375</v>
      </c>
      <c r="H162" s="22">
        <v>4380</v>
      </c>
      <c r="I162" s="22">
        <v>4365</v>
      </c>
      <c r="J162" s="22">
        <v>4315</v>
      </c>
      <c r="K162" s="22">
        <v>4355</v>
      </c>
      <c r="L162" s="22">
        <v>4370</v>
      </c>
      <c r="M162" s="22">
        <v>4300</v>
      </c>
      <c r="N162" s="22">
        <v>4380</v>
      </c>
      <c r="O162" s="22">
        <v>4350</v>
      </c>
      <c r="P162" s="22">
        <v>4425</v>
      </c>
      <c r="Q162" s="22">
        <v>4360</v>
      </c>
      <c r="R162" s="22">
        <v>4350</v>
      </c>
      <c r="S162" s="22">
        <v>4335</v>
      </c>
      <c r="T162" s="22">
        <v>4245</v>
      </c>
      <c r="U162" s="22">
        <v>4350</v>
      </c>
      <c r="V162" s="22">
        <v>4325</v>
      </c>
      <c r="W162" s="22">
        <v>4335</v>
      </c>
      <c r="X162" s="22">
        <v>4300</v>
      </c>
      <c r="Y162" s="22">
        <v>4260</v>
      </c>
      <c r="Z162" s="22">
        <v>4300</v>
      </c>
      <c r="AA162" s="22">
        <v>4310</v>
      </c>
      <c r="AB162" s="22">
        <v>4335</v>
      </c>
      <c r="AC162" s="22">
        <v>4325</v>
      </c>
      <c r="AD162" s="22">
        <v>4350</v>
      </c>
      <c r="AE162" s="22">
        <v>4355</v>
      </c>
      <c r="AF162" s="22">
        <v>4375</v>
      </c>
      <c r="AG162" s="22">
        <v>4380</v>
      </c>
      <c r="AH162" s="22">
        <v>4360</v>
      </c>
      <c r="AI162" s="22">
        <v>4365</v>
      </c>
      <c r="AJ162" s="22">
        <v>4330</v>
      </c>
      <c r="AK162" s="22">
        <v>4345</v>
      </c>
      <c r="AL162" s="22">
        <v>4335</v>
      </c>
      <c r="AM162" s="22">
        <v>4350</v>
      </c>
      <c r="AN162" s="22">
        <v>4365</v>
      </c>
      <c r="AO162" s="22">
        <v>4400</v>
      </c>
      <c r="AP162" s="22">
        <v>4390</v>
      </c>
      <c r="AQ162" s="22">
        <v>4400</v>
      </c>
      <c r="AR162" s="22">
        <v>4440</v>
      </c>
      <c r="AS162" s="22">
        <v>4395</v>
      </c>
      <c r="AT162" s="22">
        <v>4385</v>
      </c>
      <c r="AU162" s="22">
        <v>4385</v>
      </c>
      <c r="AV162" s="22">
        <v>4345</v>
      </c>
      <c r="AW162" s="22">
        <v>4375</v>
      </c>
      <c r="AX162" s="22">
        <v>4370</v>
      </c>
      <c r="AY162" s="22">
        <v>4355</v>
      </c>
      <c r="AZ162" s="22">
        <v>4385</v>
      </c>
      <c r="BA162" s="22">
        <v>4445</v>
      </c>
      <c r="BB162" s="22">
        <v>4320</v>
      </c>
      <c r="BC162" s="22">
        <v>4320</v>
      </c>
      <c r="BD162" s="22">
        <v>4340</v>
      </c>
      <c r="BE162" s="22">
        <v>4350</v>
      </c>
      <c r="BF162" s="22">
        <v>4435</v>
      </c>
      <c r="BG162" s="22">
        <v>4455</v>
      </c>
      <c r="BH162" s="22">
        <v>4395</v>
      </c>
      <c r="BI162" s="22">
        <v>4355</v>
      </c>
      <c r="BJ162" s="22">
        <v>4370</v>
      </c>
      <c r="BK162" s="22">
        <v>4405</v>
      </c>
      <c r="BL162" s="22">
        <v>4365</v>
      </c>
      <c r="BM162" s="1">
        <v>4365</v>
      </c>
      <c r="BN162" s="1">
        <v>4410</v>
      </c>
    </row>
    <row r="163" spans="1:68" ht="15.9" customHeight="1">
      <c r="A163" s="81" t="s">
        <v>320</v>
      </c>
      <c r="B163" s="17" t="s">
        <v>321</v>
      </c>
      <c r="C163" s="26" t="str">
        <f>_xll.RssMarket("1930","始値")</f>
        <v/>
      </c>
      <c r="D163" s="25" t="e">
        <f t="shared" si="5"/>
        <v>#VALUE!</v>
      </c>
      <c r="E163" s="22">
        <v>1598</v>
      </c>
      <c r="F163" s="22">
        <v>1614</v>
      </c>
      <c r="G163" s="22">
        <v>1590</v>
      </c>
      <c r="H163" s="22">
        <v>1624</v>
      </c>
      <c r="I163" s="22">
        <v>1664</v>
      </c>
      <c r="J163" s="22">
        <v>1629</v>
      </c>
      <c r="K163" s="22">
        <v>1621</v>
      </c>
      <c r="L163" s="22">
        <v>1672</v>
      </c>
      <c r="M163" s="22">
        <v>1660</v>
      </c>
      <c r="N163" s="22">
        <v>1690</v>
      </c>
      <c r="O163" s="22">
        <v>1663</v>
      </c>
      <c r="P163" s="22">
        <v>1698</v>
      </c>
      <c r="Q163" s="22">
        <v>1715</v>
      </c>
      <c r="R163" s="22">
        <v>1709</v>
      </c>
      <c r="S163" s="22">
        <v>1700</v>
      </c>
      <c r="T163" s="22">
        <v>1681</v>
      </c>
      <c r="U163" s="22">
        <v>1735</v>
      </c>
      <c r="V163" s="22">
        <v>1702</v>
      </c>
      <c r="W163" s="22">
        <v>1752</v>
      </c>
      <c r="X163" s="22">
        <v>1700</v>
      </c>
      <c r="Y163" s="22">
        <v>1664</v>
      </c>
      <c r="Z163" s="22">
        <v>1715</v>
      </c>
      <c r="AA163" s="22">
        <v>1655</v>
      </c>
      <c r="AB163" s="22">
        <v>1612</v>
      </c>
      <c r="AC163" s="22">
        <v>1586</v>
      </c>
      <c r="AD163" s="22">
        <v>1588</v>
      </c>
      <c r="AE163" s="22">
        <v>1589</v>
      </c>
      <c r="AF163" s="22">
        <v>1567</v>
      </c>
      <c r="AG163" s="22">
        <v>1573</v>
      </c>
      <c r="AH163" s="22">
        <v>1582</v>
      </c>
      <c r="AI163" s="22">
        <v>1619</v>
      </c>
      <c r="AJ163" s="22">
        <v>1711</v>
      </c>
      <c r="AK163" s="22">
        <v>1664</v>
      </c>
      <c r="AL163" s="22">
        <v>1739</v>
      </c>
      <c r="AM163" s="22">
        <v>1645</v>
      </c>
      <c r="AN163" s="22">
        <v>1595</v>
      </c>
      <c r="AO163" s="22">
        <v>1612</v>
      </c>
      <c r="AP163" s="22">
        <v>1636</v>
      </c>
      <c r="AQ163" s="22">
        <v>1602</v>
      </c>
      <c r="AR163" s="22">
        <v>1647</v>
      </c>
      <c r="AS163" s="22">
        <v>1684</v>
      </c>
      <c r="AT163" s="22">
        <v>1750</v>
      </c>
      <c r="AU163" s="22">
        <v>1766</v>
      </c>
      <c r="AV163" s="22">
        <v>1721</v>
      </c>
      <c r="AW163" s="22">
        <v>1700</v>
      </c>
      <c r="AX163" s="22">
        <v>1642</v>
      </c>
      <c r="AY163" s="22">
        <v>1740</v>
      </c>
      <c r="AZ163" s="22">
        <v>1690</v>
      </c>
      <c r="BA163" s="22">
        <v>1647</v>
      </c>
      <c r="BB163" s="22">
        <v>1472</v>
      </c>
      <c r="BC163" s="22">
        <v>1459</v>
      </c>
      <c r="BD163" s="22">
        <v>1447</v>
      </c>
      <c r="BE163" s="22">
        <v>1445</v>
      </c>
      <c r="BF163" s="22">
        <v>1472</v>
      </c>
      <c r="BG163" s="22">
        <v>1475</v>
      </c>
      <c r="BH163" s="22">
        <v>1477</v>
      </c>
      <c r="BI163" s="22">
        <v>1469</v>
      </c>
      <c r="BJ163" s="22">
        <v>1453</v>
      </c>
      <c r="BK163" s="22">
        <v>1464</v>
      </c>
      <c r="BL163" s="22">
        <v>1444</v>
      </c>
      <c r="BM163" s="1">
        <v>1458</v>
      </c>
      <c r="BN163" s="1">
        <v>1496</v>
      </c>
      <c r="BO163" s="1">
        <v>1520</v>
      </c>
      <c r="BP163" s="1">
        <v>1522</v>
      </c>
    </row>
    <row r="164" spans="1:68" ht="15.9" customHeight="1">
      <c r="A164" s="81" t="s">
        <v>322</v>
      </c>
      <c r="B164" s="17" t="s">
        <v>323</v>
      </c>
      <c r="C164" s="26" t="str">
        <f>_xll.RssMarket("8704","始値")</f>
        <v/>
      </c>
      <c r="D164" s="25" t="e">
        <f t="shared" si="5"/>
        <v>#VALUE!</v>
      </c>
      <c r="E164" s="22">
        <v>1276</v>
      </c>
      <c r="F164" s="22">
        <v>1279</v>
      </c>
      <c r="G164" s="22">
        <v>1238</v>
      </c>
      <c r="H164" s="22">
        <v>1254</v>
      </c>
      <c r="I164" s="22">
        <v>1226</v>
      </c>
      <c r="J164" s="22">
        <v>1222</v>
      </c>
      <c r="K164" s="22">
        <v>1250</v>
      </c>
      <c r="L164" s="22">
        <v>1270</v>
      </c>
      <c r="M164" s="22">
        <v>1271</v>
      </c>
      <c r="N164" s="22">
        <v>1224</v>
      </c>
      <c r="O164" s="22">
        <v>1213</v>
      </c>
      <c r="P164" s="22">
        <v>1183</v>
      </c>
      <c r="Q164" s="22">
        <v>1145</v>
      </c>
      <c r="R164" s="22">
        <v>1153</v>
      </c>
      <c r="S164" s="22">
        <v>1178</v>
      </c>
      <c r="T164" s="22">
        <v>1180</v>
      </c>
      <c r="U164" s="22">
        <v>1192</v>
      </c>
      <c r="V164" s="22">
        <v>1228</v>
      </c>
      <c r="W164" s="22">
        <v>1164</v>
      </c>
      <c r="X164" s="22">
        <v>1165</v>
      </c>
      <c r="Y164" s="22">
        <v>1170</v>
      </c>
      <c r="Z164" s="22">
        <v>1146</v>
      </c>
      <c r="AA164" s="22">
        <v>1166</v>
      </c>
      <c r="AB164" s="22">
        <v>1158</v>
      </c>
      <c r="AC164" s="22">
        <v>1123</v>
      </c>
      <c r="AD164" s="22">
        <v>1084</v>
      </c>
      <c r="AE164" s="22">
        <v>1140</v>
      </c>
      <c r="AF164" s="22">
        <v>1110</v>
      </c>
      <c r="AG164" s="22">
        <v>1113</v>
      </c>
      <c r="AH164" s="22">
        <v>1162</v>
      </c>
      <c r="AI164" s="22">
        <v>1195</v>
      </c>
      <c r="AJ164" s="22">
        <v>1200</v>
      </c>
      <c r="AK164" s="22">
        <v>1153</v>
      </c>
      <c r="AL164" s="22">
        <v>1142</v>
      </c>
      <c r="AM164" s="22">
        <v>1161</v>
      </c>
      <c r="AN164" s="22">
        <v>1135</v>
      </c>
      <c r="AO164" s="22">
        <v>1134</v>
      </c>
      <c r="AP164" s="22">
        <v>1125</v>
      </c>
      <c r="AQ164" s="22">
        <v>1126</v>
      </c>
      <c r="AR164" s="22">
        <v>1152</v>
      </c>
      <c r="AS164" s="22">
        <v>1170</v>
      </c>
      <c r="AT164" s="22">
        <v>1172</v>
      </c>
      <c r="AU164" s="22">
        <v>1210</v>
      </c>
      <c r="AV164" s="22">
        <v>1198</v>
      </c>
      <c r="AW164" s="22">
        <v>1231</v>
      </c>
      <c r="AX164" s="22">
        <v>1215</v>
      </c>
      <c r="AY164" s="22">
        <v>1180</v>
      </c>
      <c r="AZ164" s="22">
        <v>1148</v>
      </c>
      <c r="BA164" s="22">
        <v>1151</v>
      </c>
      <c r="BB164" s="22">
        <v>1078</v>
      </c>
      <c r="BC164" s="22">
        <v>1029</v>
      </c>
      <c r="BD164" s="22">
        <v>1029</v>
      </c>
      <c r="BE164" s="22">
        <v>1036</v>
      </c>
      <c r="BF164" s="22">
        <v>1042</v>
      </c>
      <c r="BG164" s="22">
        <v>1061</v>
      </c>
      <c r="BH164" s="22">
        <v>1059</v>
      </c>
      <c r="BI164" s="22">
        <v>1050</v>
      </c>
      <c r="BJ164" s="22">
        <v>1062</v>
      </c>
      <c r="BK164" s="22">
        <v>1055</v>
      </c>
      <c r="BL164" s="22">
        <v>1049</v>
      </c>
      <c r="BM164" s="1">
        <v>1040</v>
      </c>
      <c r="BN164" s="1">
        <v>1047</v>
      </c>
      <c r="BO164" s="1">
        <v>1058</v>
      </c>
      <c r="BP164" s="1">
        <v>1075</v>
      </c>
    </row>
    <row r="165" spans="1:68" ht="15.9" customHeight="1">
      <c r="A165" s="81" t="s">
        <v>324</v>
      </c>
      <c r="B165" s="17" t="s">
        <v>325</v>
      </c>
      <c r="C165" s="26" t="str">
        <f>_xll.RssMarket("4733","始値")</f>
        <v/>
      </c>
      <c r="D165" s="25" t="e">
        <f t="shared" si="5"/>
        <v>#VALUE!</v>
      </c>
      <c r="E165" s="22">
        <v>6570</v>
      </c>
      <c r="F165" s="22">
        <v>6541</v>
      </c>
      <c r="G165" s="22">
        <v>6666</v>
      </c>
      <c r="H165" s="22">
        <v>6577</v>
      </c>
      <c r="I165" s="22">
        <v>6534</v>
      </c>
      <c r="J165" s="22">
        <v>6418</v>
      </c>
      <c r="K165" s="22">
        <v>6599</v>
      </c>
      <c r="L165" s="22">
        <v>6542</v>
      </c>
      <c r="M165" s="22">
        <v>6455</v>
      </c>
      <c r="N165" s="22">
        <v>6558</v>
      </c>
      <c r="O165" s="22">
        <v>6258</v>
      </c>
      <c r="P165" s="22">
        <v>6015</v>
      </c>
      <c r="Q165" s="22">
        <v>6126</v>
      </c>
      <c r="R165" s="22">
        <v>6000</v>
      </c>
      <c r="S165" s="22">
        <v>5723</v>
      </c>
      <c r="T165" s="22">
        <v>5762</v>
      </c>
      <c r="U165" s="22">
        <v>5737</v>
      </c>
      <c r="V165" s="22">
        <v>5620</v>
      </c>
      <c r="W165" s="22">
        <v>5674</v>
      </c>
      <c r="X165" s="22">
        <v>5842</v>
      </c>
      <c r="Y165" s="22">
        <v>5890</v>
      </c>
      <c r="Z165" s="22">
        <v>5844</v>
      </c>
      <c r="AA165" s="22">
        <v>5830</v>
      </c>
      <c r="AB165" s="22">
        <v>5890</v>
      </c>
      <c r="AC165" s="22">
        <v>5880</v>
      </c>
      <c r="AD165" s="22">
        <v>5914</v>
      </c>
      <c r="AE165" s="22">
        <v>5935</v>
      </c>
      <c r="AF165" s="22">
        <v>6068</v>
      </c>
      <c r="AG165" s="22">
        <v>6070</v>
      </c>
      <c r="AH165" s="22">
        <v>6063</v>
      </c>
      <c r="AI165" s="22">
        <v>6224</v>
      </c>
      <c r="AJ165" s="22">
        <v>6500</v>
      </c>
      <c r="AK165" s="22">
        <v>6088</v>
      </c>
      <c r="AL165" s="22">
        <v>6113</v>
      </c>
      <c r="AM165" s="22">
        <v>5970</v>
      </c>
      <c r="AN165" s="22">
        <v>6091</v>
      </c>
      <c r="AO165" s="22">
        <v>6050</v>
      </c>
      <c r="AP165" s="22">
        <v>6100</v>
      </c>
      <c r="AQ165" s="22">
        <v>6227</v>
      </c>
      <c r="AR165" s="22">
        <v>6210</v>
      </c>
      <c r="AS165" s="22">
        <v>6113</v>
      </c>
      <c r="AT165" s="22">
        <v>6052</v>
      </c>
      <c r="AU165" s="22">
        <v>6142</v>
      </c>
      <c r="AV165" s="22">
        <v>6131</v>
      </c>
      <c r="AW165" s="22">
        <v>6070</v>
      </c>
      <c r="AX165" s="22">
        <v>6287</v>
      </c>
      <c r="AY165" s="22">
        <v>6222</v>
      </c>
      <c r="AZ165" s="22">
        <v>6075</v>
      </c>
      <c r="BA165" s="22">
        <v>6107</v>
      </c>
      <c r="BB165" s="22">
        <v>6159</v>
      </c>
      <c r="BC165" s="22">
        <v>6156</v>
      </c>
      <c r="BD165" s="22">
        <v>6296</v>
      </c>
      <c r="BE165" s="22">
        <v>6170</v>
      </c>
      <c r="BF165" s="22">
        <v>6630</v>
      </c>
      <c r="BG165" s="22">
        <v>6781</v>
      </c>
      <c r="BH165" s="22">
        <v>6745</v>
      </c>
      <c r="BI165" s="22">
        <v>6741</v>
      </c>
      <c r="BJ165" s="22">
        <v>6683</v>
      </c>
      <c r="BK165" s="22">
        <v>6913</v>
      </c>
      <c r="BL165" s="22">
        <v>6603</v>
      </c>
      <c r="BM165" s="1">
        <v>6664</v>
      </c>
      <c r="BN165" s="1">
        <v>6087</v>
      </c>
      <c r="BO165" s="1">
        <v>6261</v>
      </c>
      <c r="BP165" s="1">
        <v>6397</v>
      </c>
    </row>
    <row r="166" spans="1:68" ht="15.9" customHeight="1">
      <c r="A166" s="81" t="s">
        <v>326</v>
      </c>
      <c r="B166" s="17" t="s">
        <v>327</v>
      </c>
      <c r="C166" s="26" t="str">
        <f>_xll.RssMarket("9733","始値")</f>
        <v/>
      </c>
      <c r="D166" s="25" t="e">
        <f t="shared" si="5"/>
        <v>#VALUE!</v>
      </c>
      <c r="E166" s="22">
        <v>2343</v>
      </c>
      <c r="F166" s="22">
        <v>2349</v>
      </c>
      <c r="G166" s="22">
        <v>2362</v>
      </c>
      <c r="H166" s="22">
        <v>2372</v>
      </c>
      <c r="I166" s="22">
        <v>2374</v>
      </c>
      <c r="J166" s="22">
        <v>2376</v>
      </c>
      <c r="K166" s="22">
        <v>2386</v>
      </c>
      <c r="L166" s="22">
        <v>2398</v>
      </c>
      <c r="M166" s="22">
        <v>2354</v>
      </c>
      <c r="N166" s="22">
        <v>2330</v>
      </c>
      <c r="O166" s="22">
        <v>2320</v>
      </c>
      <c r="P166" s="22">
        <v>2300</v>
      </c>
      <c r="Q166" s="22">
        <v>2330</v>
      </c>
      <c r="R166" s="22">
        <v>2278</v>
      </c>
      <c r="S166" s="22">
        <v>2221</v>
      </c>
      <c r="T166" s="22">
        <v>2220</v>
      </c>
      <c r="U166" s="22">
        <v>2212</v>
      </c>
      <c r="V166" s="22">
        <v>2200</v>
      </c>
      <c r="W166" s="22">
        <v>2201</v>
      </c>
      <c r="X166" s="22">
        <v>2234</v>
      </c>
      <c r="Y166" s="22">
        <v>2235</v>
      </c>
      <c r="Z166" s="22">
        <v>2250</v>
      </c>
      <c r="AA166" s="22">
        <v>2230</v>
      </c>
      <c r="AB166" s="22">
        <v>2246</v>
      </c>
      <c r="AC166" s="22">
        <v>2251</v>
      </c>
      <c r="AD166" s="22">
        <v>2190</v>
      </c>
      <c r="AE166" s="22">
        <v>2187</v>
      </c>
      <c r="AF166" s="22">
        <v>2201</v>
      </c>
      <c r="AG166" s="22">
        <v>2232</v>
      </c>
      <c r="AH166" s="22">
        <v>2266</v>
      </c>
      <c r="AI166" s="22">
        <v>2241</v>
      </c>
      <c r="AJ166" s="22">
        <v>2255</v>
      </c>
      <c r="AK166" s="22">
        <v>2301</v>
      </c>
      <c r="AL166" s="22">
        <v>2313</v>
      </c>
      <c r="AM166" s="22">
        <v>2315</v>
      </c>
      <c r="AN166" s="22">
        <v>2320</v>
      </c>
      <c r="AO166" s="22">
        <v>2275</v>
      </c>
      <c r="AP166" s="22">
        <v>2280</v>
      </c>
      <c r="AQ166" s="22">
        <v>2270</v>
      </c>
      <c r="AR166" s="22">
        <v>2272</v>
      </c>
      <c r="AS166" s="22">
        <v>2260</v>
      </c>
      <c r="AT166" s="22">
        <v>2285</v>
      </c>
      <c r="AU166" s="22">
        <v>2280</v>
      </c>
      <c r="AV166" s="22">
        <v>2279</v>
      </c>
      <c r="AW166" s="22">
        <v>2340</v>
      </c>
      <c r="AX166" s="22">
        <v>2300</v>
      </c>
      <c r="AY166" s="22">
        <v>2335</v>
      </c>
      <c r="AZ166" s="22">
        <v>2300</v>
      </c>
      <c r="BA166" s="22">
        <v>2301</v>
      </c>
      <c r="BB166" s="22">
        <v>2345</v>
      </c>
      <c r="BC166" s="22">
        <v>2370</v>
      </c>
      <c r="BD166" s="22">
        <v>2352</v>
      </c>
      <c r="BE166" s="22">
        <v>2401</v>
      </c>
      <c r="BF166" s="22">
        <v>2460</v>
      </c>
      <c r="BG166" s="22">
        <v>2479</v>
      </c>
      <c r="BH166" s="22">
        <v>2448</v>
      </c>
      <c r="BI166" s="22">
        <v>2481</v>
      </c>
      <c r="BJ166" s="22">
        <v>2510</v>
      </c>
      <c r="BK166" s="22">
        <v>2528</v>
      </c>
      <c r="BL166" s="22">
        <v>2535</v>
      </c>
      <c r="BM166" s="1">
        <v>2578</v>
      </c>
      <c r="BN166" s="1">
        <v>2535</v>
      </c>
      <c r="BO166" s="1">
        <v>2500</v>
      </c>
      <c r="BP166" s="1">
        <v>2473</v>
      </c>
    </row>
    <row r="167" spans="1:68" ht="15.9" customHeight="1">
      <c r="A167" s="81" t="s">
        <v>328</v>
      </c>
      <c r="B167" s="17" t="s">
        <v>329</v>
      </c>
      <c r="C167" s="26" t="str">
        <f>_xll.RssMarket("9551","始値")</f>
        <v/>
      </c>
      <c r="D167" s="25" t="e">
        <f t="shared" si="5"/>
        <v>#VALUE!</v>
      </c>
      <c r="E167" s="22">
        <v>3150</v>
      </c>
      <c r="F167" s="22">
        <v>3200</v>
      </c>
      <c r="G167" s="22">
        <v>3190</v>
      </c>
      <c r="H167" s="22">
        <v>3275</v>
      </c>
      <c r="I167" s="22">
        <v>3295</v>
      </c>
      <c r="J167" s="22">
        <v>3215</v>
      </c>
      <c r="K167" s="22">
        <v>3250</v>
      </c>
      <c r="L167" s="22">
        <v>3350</v>
      </c>
      <c r="M167" s="22">
        <v>3340</v>
      </c>
      <c r="N167" s="22">
        <v>3320</v>
      </c>
      <c r="O167" s="22">
        <v>3350</v>
      </c>
      <c r="P167" s="22">
        <v>3410</v>
      </c>
      <c r="Q167" s="22">
        <v>3575</v>
      </c>
      <c r="R167" s="22">
        <v>3570</v>
      </c>
      <c r="S167" s="22">
        <v>3600</v>
      </c>
      <c r="T167" s="22">
        <v>3465</v>
      </c>
      <c r="U167" s="22">
        <v>3565</v>
      </c>
      <c r="V167" s="22">
        <v>3475</v>
      </c>
      <c r="W167" s="22">
        <v>3490</v>
      </c>
      <c r="X167" s="22">
        <v>3435</v>
      </c>
      <c r="Y167" s="22">
        <v>3365</v>
      </c>
      <c r="Z167" s="22">
        <v>3375</v>
      </c>
      <c r="AA167" s="22">
        <v>3205</v>
      </c>
      <c r="AB167" s="22">
        <v>3145</v>
      </c>
      <c r="AC167" s="22">
        <v>3110</v>
      </c>
      <c r="AD167" s="22">
        <v>3205</v>
      </c>
      <c r="AE167" s="22">
        <v>3200</v>
      </c>
      <c r="AF167" s="22">
        <v>3290</v>
      </c>
      <c r="AG167" s="22">
        <v>3280</v>
      </c>
      <c r="AH167" s="22">
        <v>3275</v>
      </c>
      <c r="AI167" s="22">
        <v>3320</v>
      </c>
      <c r="AJ167" s="22">
        <v>3525</v>
      </c>
      <c r="AK167" s="22">
        <v>3245</v>
      </c>
      <c r="AL167" s="22">
        <v>3320</v>
      </c>
      <c r="AM167" s="22">
        <v>3305</v>
      </c>
      <c r="AN167" s="22">
        <v>3295</v>
      </c>
      <c r="AO167" s="22">
        <v>3300</v>
      </c>
      <c r="AP167" s="22">
        <v>3265</v>
      </c>
      <c r="AQ167" s="22">
        <v>3380</v>
      </c>
      <c r="AR167" s="22">
        <v>3490</v>
      </c>
      <c r="AS167" s="22">
        <v>3465</v>
      </c>
      <c r="AT167" s="22">
        <v>3440</v>
      </c>
      <c r="AU167" s="22">
        <v>3395</v>
      </c>
      <c r="AV167" s="22">
        <v>3385</v>
      </c>
      <c r="AW167" s="22">
        <v>3440</v>
      </c>
      <c r="AX167" s="22">
        <v>3430</v>
      </c>
      <c r="AY167" s="22">
        <v>3435</v>
      </c>
      <c r="AZ167" s="22">
        <v>3410</v>
      </c>
      <c r="BA167" s="22">
        <v>3360</v>
      </c>
      <c r="BB167" s="22">
        <v>3325</v>
      </c>
      <c r="BC167" s="22">
        <v>3410</v>
      </c>
      <c r="BD167" s="22">
        <v>3665</v>
      </c>
      <c r="BE167" s="22">
        <v>3625</v>
      </c>
      <c r="BF167" s="22">
        <v>3690</v>
      </c>
      <c r="BG167" s="22">
        <v>3685</v>
      </c>
      <c r="BH167" s="22">
        <v>3735</v>
      </c>
      <c r="BI167" s="22">
        <v>3720</v>
      </c>
      <c r="BJ167" s="22">
        <v>3665</v>
      </c>
      <c r="BK167" s="22">
        <v>3720</v>
      </c>
      <c r="BL167" s="22">
        <v>3700</v>
      </c>
      <c r="BM167" s="1">
        <v>3660</v>
      </c>
      <c r="BN167" s="1">
        <v>3750</v>
      </c>
      <c r="BO167" s="1">
        <v>3720</v>
      </c>
      <c r="BP167" s="1">
        <v>3740</v>
      </c>
    </row>
    <row r="168" spans="1:68" ht="15.9" customHeight="1">
      <c r="A168" s="81" t="s">
        <v>330</v>
      </c>
      <c r="B168" s="17" t="s">
        <v>331</v>
      </c>
      <c r="C168" s="26" t="str">
        <f>_xll.RssMarket("2359","始値")</f>
        <v/>
      </c>
      <c r="D168" s="25" t="e">
        <f t="shared" si="5"/>
        <v>#VALUE!</v>
      </c>
      <c r="E168" s="22">
        <v>1996</v>
      </c>
      <c r="F168" s="22">
        <v>2019</v>
      </c>
      <c r="G168" s="22">
        <v>2000</v>
      </c>
      <c r="H168" s="22">
        <v>1972</v>
      </c>
      <c r="I168" s="22">
        <v>1950</v>
      </c>
      <c r="J168" s="22">
        <v>1960</v>
      </c>
      <c r="K168" s="22">
        <v>1964</v>
      </c>
      <c r="L168" s="22">
        <v>1951</v>
      </c>
      <c r="M168" s="22">
        <v>1960</v>
      </c>
      <c r="N168" s="22">
        <v>1940</v>
      </c>
      <c r="O168" s="22">
        <v>1952</v>
      </c>
      <c r="P168" s="22">
        <v>1988</v>
      </c>
      <c r="Q168" s="22">
        <v>2015</v>
      </c>
      <c r="R168" s="22">
        <v>2002</v>
      </c>
      <c r="S168" s="22">
        <v>2024</v>
      </c>
      <c r="T168" s="22">
        <v>2019</v>
      </c>
      <c r="U168" s="22">
        <v>2016</v>
      </c>
      <c r="V168" s="22">
        <v>2038</v>
      </c>
      <c r="W168" s="22">
        <v>2028</v>
      </c>
      <c r="X168" s="22">
        <v>2020</v>
      </c>
      <c r="Y168" s="22">
        <v>2010</v>
      </c>
      <c r="Z168" s="22">
        <v>2007</v>
      </c>
      <c r="AA168" s="22">
        <v>2019</v>
      </c>
      <c r="AB168" s="22">
        <v>2006</v>
      </c>
      <c r="AC168" s="22">
        <v>2027</v>
      </c>
      <c r="AD168" s="22">
        <v>2017</v>
      </c>
      <c r="AE168" s="22">
        <v>2033</v>
      </c>
      <c r="AF168" s="22">
        <v>2061</v>
      </c>
      <c r="AG168" s="22">
        <v>2021</v>
      </c>
      <c r="AH168" s="22">
        <v>2043</v>
      </c>
      <c r="AI168" s="22">
        <v>2034</v>
      </c>
      <c r="AJ168" s="22">
        <v>2072</v>
      </c>
      <c r="AK168" s="22">
        <v>2037</v>
      </c>
      <c r="AL168" s="22">
        <v>2095</v>
      </c>
      <c r="AM168" s="22">
        <v>2149</v>
      </c>
      <c r="AN168" s="22">
        <v>2125</v>
      </c>
      <c r="AO168" s="22">
        <v>2118</v>
      </c>
      <c r="AP168" s="22">
        <v>2086</v>
      </c>
      <c r="AQ168" s="22">
        <v>2050</v>
      </c>
      <c r="AR168" s="22">
        <v>2064</v>
      </c>
      <c r="AS168" s="22">
        <v>2051</v>
      </c>
      <c r="AT168" s="22">
        <v>2023</v>
      </c>
      <c r="AU168" s="22">
        <v>2010</v>
      </c>
      <c r="AV168" s="22">
        <v>2027</v>
      </c>
      <c r="AW168" s="22">
        <v>1993</v>
      </c>
      <c r="AX168" s="22">
        <v>2035</v>
      </c>
      <c r="AY168" s="22">
        <v>2050</v>
      </c>
      <c r="AZ168" s="22">
        <v>2055</v>
      </c>
      <c r="BA168" s="22">
        <v>2230</v>
      </c>
      <c r="BB168" s="22">
        <v>2147</v>
      </c>
      <c r="BC168" s="22">
        <v>2167</v>
      </c>
      <c r="BD168" s="22">
        <v>2200</v>
      </c>
      <c r="BE168" s="22">
        <v>2248</v>
      </c>
      <c r="BF168" s="22">
        <v>2249</v>
      </c>
      <c r="BG168" s="22">
        <v>2251</v>
      </c>
      <c r="BH168" s="22">
        <v>2248</v>
      </c>
      <c r="BI168" s="22">
        <v>2243</v>
      </c>
      <c r="BJ168" s="22">
        <v>2250</v>
      </c>
      <c r="BK168" s="22">
        <v>2240</v>
      </c>
      <c r="BL168" s="22">
        <v>2241</v>
      </c>
      <c r="BM168" s="1">
        <v>2274</v>
      </c>
      <c r="BN168" s="1">
        <v>2301</v>
      </c>
      <c r="BO168" s="1">
        <v>2290</v>
      </c>
    </row>
    <row r="169" spans="1:68" ht="15.9" customHeight="1">
      <c r="A169" s="81" t="s">
        <v>332</v>
      </c>
      <c r="B169" s="17" t="s">
        <v>333</v>
      </c>
      <c r="C169" s="26" t="str">
        <f>_xll.RssMarket("8103","始値")</f>
        <v/>
      </c>
      <c r="D169" s="25" t="e">
        <f t="shared" si="5"/>
        <v>#VALUE!</v>
      </c>
      <c r="E169" s="22">
        <v>904</v>
      </c>
      <c r="F169" s="22">
        <v>908</v>
      </c>
      <c r="G169" s="22">
        <v>900</v>
      </c>
      <c r="H169" s="22">
        <v>918</v>
      </c>
      <c r="I169" s="22">
        <v>917</v>
      </c>
      <c r="J169" s="22">
        <v>907</v>
      </c>
      <c r="K169" s="22">
        <v>911</v>
      </c>
      <c r="L169" s="22">
        <v>920</v>
      </c>
      <c r="M169" s="22">
        <v>909</v>
      </c>
      <c r="N169" s="22">
        <v>890</v>
      </c>
      <c r="O169" s="22">
        <v>883</v>
      </c>
      <c r="P169" s="22">
        <v>878</v>
      </c>
      <c r="Q169" s="22">
        <v>883</v>
      </c>
      <c r="R169" s="22">
        <v>868</v>
      </c>
      <c r="S169" s="22">
        <v>871</v>
      </c>
      <c r="T169" s="22">
        <v>868</v>
      </c>
      <c r="U169" s="22">
        <v>869</v>
      </c>
      <c r="V169" s="22">
        <v>880</v>
      </c>
      <c r="W169" s="22">
        <v>869</v>
      </c>
      <c r="X169" s="22">
        <v>868</v>
      </c>
      <c r="Y169" s="22">
        <v>875</v>
      </c>
      <c r="Z169" s="22">
        <v>876</v>
      </c>
      <c r="AA169" s="22">
        <v>880</v>
      </c>
      <c r="AB169" s="22">
        <v>872</v>
      </c>
      <c r="AC169" s="22">
        <v>862</v>
      </c>
      <c r="AD169" s="22">
        <v>867</v>
      </c>
      <c r="AE169" s="22">
        <v>880</v>
      </c>
      <c r="AF169" s="22">
        <v>864</v>
      </c>
      <c r="AG169" s="22">
        <v>885</v>
      </c>
      <c r="AH169" s="22">
        <v>884</v>
      </c>
      <c r="AI169" s="22">
        <v>880</v>
      </c>
      <c r="AJ169" s="22">
        <v>892</v>
      </c>
      <c r="AK169" s="22">
        <v>885</v>
      </c>
      <c r="AL169" s="22">
        <v>899</v>
      </c>
      <c r="AM169" s="22">
        <v>903</v>
      </c>
      <c r="AN169" s="22">
        <v>894</v>
      </c>
      <c r="AO169" s="22">
        <v>898</v>
      </c>
      <c r="AP169" s="22">
        <v>908</v>
      </c>
      <c r="AQ169" s="22">
        <v>912</v>
      </c>
      <c r="AR169" s="22">
        <v>900</v>
      </c>
      <c r="AS169" s="22">
        <v>907</v>
      </c>
      <c r="AT169" s="22">
        <v>900</v>
      </c>
      <c r="AU169" s="22">
        <v>881</v>
      </c>
      <c r="AV169" s="22">
        <v>888</v>
      </c>
      <c r="AW169" s="22">
        <v>895</v>
      </c>
      <c r="AX169" s="22">
        <v>901</v>
      </c>
      <c r="AY169" s="22">
        <v>860</v>
      </c>
      <c r="AZ169" s="22">
        <v>837</v>
      </c>
      <c r="BA169" s="22">
        <v>771</v>
      </c>
      <c r="BB169" s="22">
        <v>767</v>
      </c>
      <c r="BC169" s="22">
        <v>770</v>
      </c>
      <c r="BD169" s="22">
        <v>767</v>
      </c>
      <c r="BE169" s="22">
        <v>770</v>
      </c>
      <c r="BF169" s="22">
        <v>773</v>
      </c>
      <c r="BG169" s="22">
        <v>782</v>
      </c>
      <c r="BH169" s="22">
        <v>783</v>
      </c>
      <c r="BI169" s="22">
        <v>780</v>
      </c>
      <c r="BJ169" s="22">
        <v>773</v>
      </c>
      <c r="BK169" s="22">
        <v>782</v>
      </c>
      <c r="BL169" s="22">
        <v>790</v>
      </c>
      <c r="BM169" s="1">
        <v>796</v>
      </c>
      <c r="BN169" s="1">
        <v>803</v>
      </c>
      <c r="BO169" s="1">
        <v>804</v>
      </c>
      <c r="BP169" s="1">
        <v>803</v>
      </c>
    </row>
    <row r="170" spans="1:68" ht="15.9" customHeight="1">
      <c r="A170" s="81" t="s">
        <v>334</v>
      </c>
      <c r="B170" s="17" t="s">
        <v>335</v>
      </c>
      <c r="C170" s="26" t="str">
        <f>_xll.RssMarket("4709","始値")</f>
        <v/>
      </c>
      <c r="D170" s="25" t="e">
        <f t="shared" si="5"/>
        <v>#VALUE!</v>
      </c>
      <c r="E170" s="22">
        <v>1115</v>
      </c>
      <c r="F170" s="22">
        <v>1114</v>
      </c>
      <c r="G170" s="22">
        <v>1111</v>
      </c>
      <c r="H170" s="22">
        <v>1100</v>
      </c>
      <c r="I170" s="22">
        <v>1099</v>
      </c>
      <c r="J170" s="22">
        <v>1093</v>
      </c>
      <c r="K170" s="22">
        <v>1085</v>
      </c>
      <c r="L170" s="22">
        <v>1078</v>
      </c>
      <c r="M170" s="22">
        <v>1072</v>
      </c>
      <c r="N170" s="22">
        <v>1057</v>
      </c>
      <c r="O170" s="22">
        <v>1072</v>
      </c>
      <c r="P170" s="22">
        <v>1070</v>
      </c>
      <c r="Q170" s="22">
        <v>1064</v>
      </c>
      <c r="R170" s="22">
        <v>1050</v>
      </c>
      <c r="S170" s="22">
        <v>1044</v>
      </c>
      <c r="T170" s="22">
        <v>1055</v>
      </c>
      <c r="U170" s="22">
        <v>1047</v>
      </c>
      <c r="V170" s="22">
        <v>1054</v>
      </c>
      <c r="W170" s="22">
        <v>1071</v>
      </c>
      <c r="X170" s="22">
        <v>1090</v>
      </c>
      <c r="Y170" s="22">
        <v>1112</v>
      </c>
      <c r="Z170" s="22">
        <v>1080</v>
      </c>
      <c r="AA170" s="22">
        <v>1062</v>
      </c>
      <c r="AB170" s="22">
        <v>1045</v>
      </c>
      <c r="AC170" s="22">
        <v>1097</v>
      </c>
      <c r="AD170" s="22">
        <v>1042</v>
      </c>
      <c r="AE170" s="22">
        <v>995</v>
      </c>
      <c r="AF170" s="22">
        <v>998</v>
      </c>
      <c r="AG170" s="22">
        <v>992</v>
      </c>
      <c r="AH170" s="22">
        <v>1024</v>
      </c>
      <c r="AI170" s="22">
        <v>1028</v>
      </c>
      <c r="AJ170" s="22">
        <v>1032</v>
      </c>
      <c r="AK170" s="22">
        <v>1008</v>
      </c>
      <c r="AL170" s="22">
        <v>1015</v>
      </c>
      <c r="AM170" s="22">
        <v>1049</v>
      </c>
      <c r="AN170" s="22">
        <v>1043</v>
      </c>
      <c r="AO170" s="22">
        <v>1046</v>
      </c>
      <c r="AP170" s="22">
        <v>1047</v>
      </c>
      <c r="AQ170" s="22">
        <v>1017</v>
      </c>
      <c r="AR170" s="22">
        <v>1036</v>
      </c>
      <c r="AS170" s="22">
        <v>1018</v>
      </c>
      <c r="AT170" s="22">
        <v>1065</v>
      </c>
      <c r="AU170" s="22">
        <v>1075</v>
      </c>
      <c r="AV170" s="22">
        <v>1074</v>
      </c>
      <c r="AW170" s="22">
        <v>1058</v>
      </c>
      <c r="AX170" s="22">
        <v>1035</v>
      </c>
      <c r="AY170" s="22">
        <v>1040</v>
      </c>
      <c r="AZ170" s="22">
        <v>1024</v>
      </c>
      <c r="BA170" s="22">
        <v>896</v>
      </c>
      <c r="BB170" s="22">
        <v>899</v>
      </c>
      <c r="BC170" s="22">
        <v>890</v>
      </c>
      <c r="BD170" s="22">
        <v>896</v>
      </c>
      <c r="BE170" s="22">
        <v>905</v>
      </c>
      <c r="BF170" s="22">
        <v>918</v>
      </c>
      <c r="BG170" s="22">
        <v>922</v>
      </c>
      <c r="BH170" s="22">
        <v>946</v>
      </c>
      <c r="BI170" s="22">
        <v>932</v>
      </c>
      <c r="BJ170" s="22">
        <v>941</v>
      </c>
      <c r="BK170" s="22">
        <v>918</v>
      </c>
      <c r="BL170" s="22">
        <v>930</v>
      </c>
      <c r="BM170" s="1">
        <v>922</v>
      </c>
      <c r="BN170" s="1">
        <v>938</v>
      </c>
      <c r="BO170" s="1">
        <v>956</v>
      </c>
      <c r="BP170" s="1">
        <v>967</v>
      </c>
    </row>
    <row r="171" spans="1:68" ht="15.9" customHeight="1">
      <c r="A171" s="81" t="s">
        <v>336</v>
      </c>
      <c r="B171" s="17" t="s">
        <v>337</v>
      </c>
      <c r="C171" s="26" t="str">
        <f>_xll.RssMarket("7981","始値")</f>
        <v/>
      </c>
      <c r="D171" s="25" t="e">
        <f t="shared" si="5"/>
        <v>#VALUE!</v>
      </c>
      <c r="E171" s="22">
        <v>3090</v>
      </c>
      <c r="F171" s="22">
        <v>3105</v>
      </c>
      <c r="G171" s="22">
        <v>3060</v>
      </c>
      <c r="H171" s="22">
        <v>3095</v>
      </c>
      <c r="I171" s="22">
        <v>3065</v>
      </c>
      <c r="J171" s="22">
        <v>3110</v>
      </c>
      <c r="K171" s="22">
        <v>3145</v>
      </c>
      <c r="L171" s="22">
        <v>3110</v>
      </c>
      <c r="M171" s="22">
        <v>3100</v>
      </c>
      <c r="N171" s="22">
        <v>3055</v>
      </c>
      <c r="O171" s="22">
        <v>3110</v>
      </c>
      <c r="P171" s="22">
        <v>3095</v>
      </c>
      <c r="Q171" s="22">
        <v>3115</v>
      </c>
      <c r="R171" s="22">
        <v>3135</v>
      </c>
      <c r="S171" s="22">
        <v>3140</v>
      </c>
      <c r="T171" s="22">
        <v>3070</v>
      </c>
      <c r="U171" s="22">
        <v>3060</v>
      </c>
      <c r="V171" s="22">
        <v>3005</v>
      </c>
      <c r="W171" s="22">
        <v>3060</v>
      </c>
      <c r="X171" s="22">
        <v>3025</v>
      </c>
      <c r="Y171" s="22">
        <v>3010</v>
      </c>
      <c r="Z171" s="22">
        <v>3015</v>
      </c>
      <c r="AA171" s="22">
        <v>3010</v>
      </c>
      <c r="AB171" s="22">
        <v>2999</v>
      </c>
      <c r="AC171" s="22">
        <v>2951</v>
      </c>
      <c r="AD171" s="22">
        <v>2962</v>
      </c>
      <c r="AE171" s="22">
        <v>2917</v>
      </c>
      <c r="AF171" s="22">
        <v>2944</v>
      </c>
      <c r="AG171" s="22">
        <v>2924</v>
      </c>
      <c r="AH171" s="22">
        <v>2923</v>
      </c>
      <c r="AI171" s="22">
        <v>2932</v>
      </c>
      <c r="AJ171" s="22">
        <v>2935</v>
      </c>
      <c r="AK171" s="22">
        <v>2975</v>
      </c>
      <c r="AL171" s="22">
        <v>2946</v>
      </c>
      <c r="AM171" s="22">
        <v>2973</v>
      </c>
      <c r="AN171" s="22">
        <v>2900</v>
      </c>
      <c r="AO171" s="22">
        <v>2945</v>
      </c>
      <c r="AP171" s="22">
        <v>2925</v>
      </c>
      <c r="AQ171" s="22">
        <v>2990</v>
      </c>
      <c r="AR171" s="22">
        <v>3005</v>
      </c>
      <c r="AS171" s="22">
        <v>2988</v>
      </c>
      <c r="AT171" s="22">
        <v>3025</v>
      </c>
      <c r="AU171" s="22">
        <v>3095</v>
      </c>
      <c r="AV171" s="22">
        <v>3050</v>
      </c>
      <c r="AW171" s="22">
        <v>3200</v>
      </c>
      <c r="AX171" s="22">
        <v>3045</v>
      </c>
      <c r="AY171" s="22">
        <v>2992</v>
      </c>
      <c r="AZ171" s="22">
        <v>2811</v>
      </c>
      <c r="BA171" s="22">
        <v>2750</v>
      </c>
      <c r="BB171" s="22">
        <v>2675</v>
      </c>
      <c r="BC171" s="22">
        <v>2668</v>
      </c>
      <c r="BD171" s="22">
        <v>2660</v>
      </c>
      <c r="BE171" s="22">
        <v>2675</v>
      </c>
      <c r="BF171" s="22">
        <v>2714</v>
      </c>
      <c r="BG171" s="22">
        <v>2749</v>
      </c>
      <c r="BH171" s="22">
        <v>2771</v>
      </c>
      <c r="BI171" s="22">
        <v>2755</v>
      </c>
      <c r="BJ171" s="22">
        <v>2698</v>
      </c>
      <c r="BK171" s="22">
        <v>2763</v>
      </c>
      <c r="BL171" s="22">
        <v>2906</v>
      </c>
      <c r="BM171" s="1">
        <v>2980</v>
      </c>
      <c r="BN171" s="1">
        <v>2928</v>
      </c>
      <c r="BO171" s="1">
        <v>2905</v>
      </c>
    </row>
    <row r="172" spans="1:68" ht="15.9" customHeight="1">
      <c r="A172" s="81" t="s">
        <v>338</v>
      </c>
      <c r="B172" s="17" t="s">
        <v>339</v>
      </c>
      <c r="C172" s="26" t="str">
        <f>_xll.RssMarket("8303","始値")</f>
        <v/>
      </c>
      <c r="D172" s="25" t="e">
        <f t="shared" si="5"/>
        <v>#VALUE!</v>
      </c>
      <c r="E172" s="22">
        <v>1451</v>
      </c>
      <c r="F172" s="22">
        <v>1465</v>
      </c>
      <c r="G172" s="22">
        <v>1455</v>
      </c>
      <c r="H172" s="22">
        <v>1457</v>
      </c>
      <c r="I172" s="22">
        <v>1455</v>
      </c>
      <c r="J172" s="22">
        <v>1460</v>
      </c>
      <c r="K172" s="22">
        <v>1489</v>
      </c>
      <c r="L172" s="22">
        <v>1490</v>
      </c>
      <c r="M172" s="22">
        <v>1456.5</v>
      </c>
      <c r="N172" s="22">
        <v>1431</v>
      </c>
      <c r="O172" s="22">
        <v>1392</v>
      </c>
      <c r="P172" s="22">
        <v>1380</v>
      </c>
      <c r="Q172" s="22">
        <v>1416</v>
      </c>
      <c r="R172" s="22">
        <v>1402</v>
      </c>
      <c r="S172" s="22">
        <v>1392.5</v>
      </c>
      <c r="T172" s="22">
        <v>1435</v>
      </c>
      <c r="U172" s="22">
        <v>1410</v>
      </c>
      <c r="V172" s="22">
        <v>1423</v>
      </c>
      <c r="W172" s="22">
        <v>1440</v>
      </c>
      <c r="X172" s="22">
        <v>1492.5</v>
      </c>
      <c r="Y172" s="22">
        <v>1453</v>
      </c>
      <c r="Z172" s="22">
        <v>1470</v>
      </c>
      <c r="AA172" s="22">
        <v>1493</v>
      </c>
      <c r="AB172" s="22">
        <v>1476</v>
      </c>
      <c r="AC172" s="22">
        <v>1420</v>
      </c>
      <c r="AD172" s="22">
        <v>1460</v>
      </c>
      <c r="AE172" s="22">
        <v>1491</v>
      </c>
      <c r="AF172" s="22">
        <v>1366</v>
      </c>
      <c r="AG172" s="22">
        <v>1448</v>
      </c>
      <c r="AH172" s="22">
        <v>1401.5</v>
      </c>
      <c r="AI172" s="22">
        <v>1364</v>
      </c>
      <c r="AJ172" s="22">
        <v>1351</v>
      </c>
      <c r="AK172" s="22">
        <v>1369</v>
      </c>
      <c r="AL172" s="22">
        <v>1392</v>
      </c>
      <c r="AM172" s="22">
        <v>1412.5</v>
      </c>
      <c r="AN172" s="22">
        <v>1480</v>
      </c>
      <c r="AO172" s="22">
        <v>1501</v>
      </c>
      <c r="AP172" s="22">
        <v>1571</v>
      </c>
      <c r="AQ172" s="22">
        <v>1595.5</v>
      </c>
      <c r="AR172" s="22">
        <v>1640</v>
      </c>
      <c r="AS172" s="22">
        <v>1647</v>
      </c>
      <c r="AT172" s="22">
        <v>1618</v>
      </c>
      <c r="AU172" s="22">
        <v>1651</v>
      </c>
      <c r="AV172" s="22">
        <v>1650</v>
      </c>
      <c r="AW172" s="22">
        <v>1640</v>
      </c>
      <c r="AX172" s="22">
        <v>1669</v>
      </c>
      <c r="AY172" s="22">
        <v>1679</v>
      </c>
      <c r="AZ172" s="22">
        <v>1718.5</v>
      </c>
      <c r="BA172" s="22">
        <v>1828.5</v>
      </c>
      <c r="BB172" s="22">
        <v>1826</v>
      </c>
      <c r="BC172" s="22">
        <v>1760</v>
      </c>
      <c r="BD172" s="22">
        <v>1683</v>
      </c>
      <c r="BE172" s="22">
        <v>1690</v>
      </c>
      <c r="BF172" s="22">
        <v>1620</v>
      </c>
      <c r="BG172" s="22">
        <v>1658.5</v>
      </c>
      <c r="BH172" s="22">
        <v>1677</v>
      </c>
      <c r="BI172" s="22">
        <v>1690</v>
      </c>
      <c r="BJ172" s="22">
        <v>1717</v>
      </c>
      <c r="BK172" s="22">
        <v>1703</v>
      </c>
      <c r="BL172" s="22">
        <v>1685</v>
      </c>
      <c r="BM172" s="1">
        <v>1697</v>
      </c>
      <c r="BN172" s="1">
        <v>1698</v>
      </c>
      <c r="BO172" s="1">
        <v>1731</v>
      </c>
      <c r="BP172" s="1">
        <v>1757</v>
      </c>
    </row>
    <row r="173" spans="1:68" ht="15.9" customHeight="1">
      <c r="A173" s="81" t="s">
        <v>340</v>
      </c>
      <c r="B173" s="17" t="s">
        <v>341</v>
      </c>
      <c r="C173" s="26" t="str">
        <f>_xll.RssMarket("4382","始値")</f>
        <v/>
      </c>
      <c r="D173" s="25" t="e">
        <f t="shared" si="5"/>
        <v>#VALUE!</v>
      </c>
      <c r="E173" s="22">
        <v>726</v>
      </c>
      <c r="F173" s="22">
        <v>714</v>
      </c>
      <c r="G173" s="22">
        <v>695</v>
      </c>
      <c r="H173" s="22">
        <v>702</v>
      </c>
      <c r="I173" s="22">
        <v>695</v>
      </c>
      <c r="J173" s="22">
        <v>720</v>
      </c>
      <c r="K173" s="22">
        <v>719</v>
      </c>
      <c r="L173" s="22">
        <v>724</v>
      </c>
      <c r="M173" s="22">
        <v>713</v>
      </c>
      <c r="N173" s="22">
        <v>718</v>
      </c>
      <c r="O173" s="22">
        <v>720</v>
      </c>
      <c r="P173" s="22">
        <v>742</v>
      </c>
      <c r="Q173" s="22">
        <v>720</v>
      </c>
      <c r="R173" s="22">
        <v>715</v>
      </c>
      <c r="S173" s="22">
        <v>712</v>
      </c>
      <c r="T173" s="22">
        <v>730</v>
      </c>
      <c r="U173" s="22">
        <v>770</v>
      </c>
      <c r="V173" s="22">
        <v>795</v>
      </c>
      <c r="W173" s="22">
        <v>792</v>
      </c>
      <c r="X173" s="22">
        <v>788</v>
      </c>
      <c r="Y173" s="22">
        <v>849</v>
      </c>
      <c r="Z173" s="22">
        <v>782</v>
      </c>
      <c r="AA173" s="22">
        <v>751</v>
      </c>
      <c r="AB173" s="22">
        <v>810</v>
      </c>
      <c r="AC173" s="22">
        <v>698</v>
      </c>
      <c r="AD173" s="22">
        <v>696</v>
      </c>
      <c r="AE173" s="22">
        <v>698</v>
      </c>
      <c r="AF173" s="22">
        <v>701</v>
      </c>
      <c r="AG173" s="22">
        <v>703</v>
      </c>
      <c r="AH173" s="22">
        <v>720</v>
      </c>
      <c r="AI173" s="22">
        <v>747</v>
      </c>
      <c r="AJ173" s="22">
        <v>751</v>
      </c>
      <c r="AK173" s="22">
        <v>771</v>
      </c>
      <c r="AL173" s="22">
        <v>766</v>
      </c>
      <c r="AM173" s="22">
        <v>765</v>
      </c>
      <c r="AN173" s="22">
        <v>774</v>
      </c>
      <c r="AO173" s="22">
        <v>762</v>
      </c>
      <c r="AP173" s="22">
        <v>775</v>
      </c>
      <c r="AQ173" s="22">
        <v>781</v>
      </c>
      <c r="AR173" s="22">
        <v>786</v>
      </c>
      <c r="AS173" s="22">
        <v>787</v>
      </c>
      <c r="AT173" s="22">
        <v>804</v>
      </c>
      <c r="AU173" s="22">
        <v>805</v>
      </c>
      <c r="AV173" s="22">
        <v>821</v>
      </c>
      <c r="AW173" s="22">
        <v>812</v>
      </c>
      <c r="AX173" s="22">
        <v>810</v>
      </c>
      <c r="AY173" s="22">
        <v>812</v>
      </c>
      <c r="AZ173" s="22">
        <v>831</v>
      </c>
      <c r="BA173" s="22">
        <v>843</v>
      </c>
      <c r="BB173" s="22">
        <v>851</v>
      </c>
      <c r="BC173" s="22">
        <v>860</v>
      </c>
      <c r="BD173" s="22">
        <v>860</v>
      </c>
      <c r="BE173" s="22">
        <v>881</v>
      </c>
      <c r="BF173" s="22">
        <v>900</v>
      </c>
      <c r="BG173" s="22">
        <v>879</v>
      </c>
      <c r="BH173" s="22">
        <v>872</v>
      </c>
      <c r="BI173" s="22">
        <v>869</v>
      </c>
      <c r="BJ173" s="22">
        <v>850</v>
      </c>
      <c r="BK173" s="22">
        <v>868</v>
      </c>
      <c r="BL173" s="22">
        <v>881</v>
      </c>
      <c r="BM173" s="1">
        <v>887</v>
      </c>
      <c r="BN173" s="1">
        <v>875</v>
      </c>
      <c r="BO173" s="1">
        <v>865</v>
      </c>
      <c r="BP173" s="1">
        <v>851</v>
      </c>
    </row>
    <row r="174" spans="1:68" ht="15.9" customHeight="1">
      <c r="A174" s="81" t="s">
        <v>342</v>
      </c>
      <c r="B174" s="17" t="s">
        <v>343</v>
      </c>
      <c r="C174" s="26" t="str">
        <f>_xll.RssMarket("2327","始値")</f>
        <v/>
      </c>
      <c r="D174" s="25" t="e">
        <f t="shared" si="5"/>
        <v>#VALUE!</v>
      </c>
      <c r="E174" s="22">
        <v>3834</v>
      </c>
      <c r="F174" s="22">
        <v>3829</v>
      </c>
      <c r="G174" s="22">
        <v>3800</v>
      </c>
      <c r="H174" s="22">
        <v>3788</v>
      </c>
      <c r="I174" s="22">
        <v>3739</v>
      </c>
      <c r="J174" s="22">
        <v>3738</v>
      </c>
      <c r="K174" s="22">
        <v>3785</v>
      </c>
      <c r="L174" s="22">
        <v>3697</v>
      </c>
      <c r="M174" s="22">
        <v>3590</v>
      </c>
      <c r="N174" s="22">
        <v>3603</v>
      </c>
      <c r="O174" s="22">
        <v>3439</v>
      </c>
      <c r="P174" s="22">
        <v>3390</v>
      </c>
      <c r="Q174" s="22">
        <v>3392</v>
      </c>
      <c r="R174" s="22">
        <v>3306</v>
      </c>
      <c r="S174" s="22">
        <v>3214</v>
      </c>
      <c r="T174" s="22">
        <v>3261</v>
      </c>
      <c r="U174" s="22">
        <v>3182</v>
      </c>
      <c r="V174" s="22">
        <v>3228</v>
      </c>
      <c r="W174" s="22">
        <v>3206</v>
      </c>
      <c r="X174" s="22">
        <v>3243</v>
      </c>
      <c r="Y174" s="22">
        <v>3116</v>
      </c>
      <c r="Z174" s="22">
        <v>3133</v>
      </c>
      <c r="AA174" s="22">
        <v>3220</v>
      </c>
      <c r="AB174" s="22">
        <v>3250</v>
      </c>
      <c r="AC174" s="22">
        <v>3234</v>
      </c>
      <c r="AD174" s="22">
        <v>3243</v>
      </c>
      <c r="AE174" s="22">
        <v>3285</v>
      </c>
      <c r="AF174" s="22">
        <v>3351</v>
      </c>
      <c r="AG174" s="22">
        <v>3480</v>
      </c>
      <c r="AH174" s="22">
        <v>3362</v>
      </c>
      <c r="AI174" s="22">
        <v>3512</v>
      </c>
      <c r="AJ174" s="22">
        <v>3570</v>
      </c>
      <c r="AK174" s="22">
        <v>3499</v>
      </c>
      <c r="AL174" s="22">
        <v>3568</v>
      </c>
      <c r="AM174" s="22">
        <v>3607</v>
      </c>
      <c r="AN174" s="22">
        <v>3598</v>
      </c>
      <c r="AO174" s="22">
        <v>3516</v>
      </c>
      <c r="AP174" s="22">
        <v>3542</v>
      </c>
      <c r="AQ174" s="22">
        <v>3600</v>
      </c>
      <c r="AR174" s="22">
        <v>3548</v>
      </c>
      <c r="AS174" s="22">
        <v>3510</v>
      </c>
      <c r="AT174" s="22">
        <v>3500</v>
      </c>
      <c r="AU174" s="22">
        <v>3515</v>
      </c>
      <c r="AV174" s="22">
        <v>3639</v>
      </c>
      <c r="AW174" s="22">
        <v>3630</v>
      </c>
      <c r="AX174" s="22">
        <v>3638</v>
      </c>
      <c r="AY174" s="22">
        <v>3643</v>
      </c>
      <c r="AZ174" s="22">
        <v>3586</v>
      </c>
      <c r="BA174" s="22">
        <v>3536</v>
      </c>
      <c r="BB174" s="22">
        <v>3641</v>
      </c>
      <c r="BC174" s="22">
        <v>3524</v>
      </c>
      <c r="BD174" s="22">
        <v>3680</v>
      </c>
      <c r="BE174" s="22">
        <v>3638</v>
      </c>
      <c r="BF174" s="22">
        <v>3833</v>
      </c>
      <c r="BG174" s="22">
        <v>3881</v>
      </c>
      <c r="BH174" s="22">
        <v>3879</v>
      </c>
      <c r="BI174" s="22">
        <v>3897</v>
      </c>
      <c r="BJ174" s="22">
        <v>3903</v>
      </c>
      <c r="BK174" s="22">
        <v>3933</v>
      </c>
      <c r="BL174" s="22">
        <v>3820</v>
      </c>
      <c r="BM174" s="1">
        <v>3790</v>
      </c>
      <c r="BN174" s="1">
        <v>3754</v>
      </c>
      <c r="BO174" s="1">
        <v>3771</v>
      </c>
      <c r="BP174" s="1">
        <v>3845</v>
      </c>
    </row>
    <row r="175" spans="1:68" ht="15.9" customHeight="1">
      <c r="A175" s="81" t="s">
        <v>344</v>
      </c>
      <c r="B175" s="17" t="s">
        <v>345</v>
      </c>
      <c r="C175" s="26" t="str">
        <f>_xll.RssMarket("1942","始値")</f>
        <v/>
      </c>
      <c r="D175" s="25" t="e">
        <f t="shared" si="5"/>
        <v>#VALUE!</v>
      </c>
      <c r="E175" s="22">
        <v>6000</v>
      </c>
      <c r="F175" s="22">
        <v>6244</v>
      </c>
      <c r="G175" s="22">
        <v>6135</v>
      </c>
      <c r="H175" s="22">
        <v>6360</v>
      </c>
      <c r="I175" s="22">
        <v>6282</v>
      </c>
      <c r="J175" s="22">
        <v>6400</v>
      </c>
      <c r="K175" s="22">
        <v>6672</v>
      </c>
      <c r="L175" s="22">
        <v>6773</v>
      </c>
      <c r="M175" s="22">
        <v>6833</v>
      </c>
      <c r="N175" s="22">
        <v>6675</v>
      </c>
      <c r="O175" s="22">
        <v>6676</v>
      </c>
      <c r="P175" s="22">
        <v>6795</v>
      </c>
      <c r="Q175" s="22">
        <v>6850</v>
      </c>
      <c r="R175" s="22">
        <v>6740</v>
      </c>
      <c r="S175" s="22">
        <v>6640</v>
      </c>
      <c r="T175" s="22">
        <v>6832</v>
      </c>
      <c r="U175" s="22">
        <v>6735</v>
      </c>
      <c r="V175" s="22">
        <v>6797</v>
      </c>
      <c r="W175" s="22">
        <v>6720</v>
      </c>
      <c r="X175" s="22">
        <v>6660</v>
      </c>
      <c r="Y175" s="22">
        <v>6499</v>
      </c>
      <c r="Z175" s="22">
        <v>6400</v>
      </c>
      <c r="AA175" s="22">
        <v>6320</v>
      </c>
      <c r="AB175" s="22">
        <v>6163</v>
      </c>
      <c r="AC175" s="22">
        <v>5944</v>
      </c>
      <c r="AD175" s="22">
        <v>5862</v>
      </c>
      <c r="AE175" s="22">
        <v>6033</v>
      </c>
      <c r="AF175" s="22">
        <v>5814</v>
      </c>
      <c r="AG175" s="22">
        <v>5823</v>
      </c>
      <c r="AH175" s="22">
        <v>5820</v>
      </c>
      <c r="AI175" s="22">
        <v>6000</v>
      </c>
      <c r="AJ175" s="22">
        <v>6007</v>
      </c>
      <c r="AK175" s="22">
        <v>6579</v>
      </c>
      <c r="AL175" s="22">
        <v>6492</v>
      </c>
      <c r="AM175" s="22">
        <v>6682</v>
      </c>
      <c r="AN175" s="22">
        <v>6060</v>
      </c>
      <c r="AO175" s="22">
        <v>6105</v>
      </c>
      <c r="AP175" s="22">
        <v>6250</v>
      </c>
      <c r="AQ175" s="22">
        <v>6322</v>
      </c>
      <c r="AR175" s="22">
        <v>6500</v>
      </c>
      <c r="AS175" s="22">
        <v>6800</v>
      </c>
      <c r="AT175" s="22">
        <v>6968</v>
      </c>
      <c r="AU175" s="22">
        <v>7250</v>
      </c>
      <c r="AV175" s="22">
        <v>7280</v>
      </c>
      <c r="AW175" s="22">
        <v>7270</v>
      </c>
      <c r="AX175" s="22">
        <v>7050</v>
      </c>
      <c r="AY175" s="22">
        <v>6912</v>
      </c>
      <c r="AZ175" s="22">
        <v>6834</v>
      </c>
      <c r="BA175" s="22">
        <v>6900</v>
      </c>
      <c r="BB175" s="22">
        <v>6697</v>
      </c>
      <c r="BC175" s="22">
        <v>6412</v>
      </c>
      <c r="BD175" s="22">
        <v>6004</v>
      </c>
      <c r="BE175" s="22">
        <v>6096</v>
      </c>
      <c r="BF175" s="22">
        <v>6002</v>
      </c>
      <c r="BG175" s="22">
        <v>6122</v>
      </c>
      <c r="BH175" s="22">
        <v>6167</v>
      </c>
      <c r="BI175" s="22">
        <v>6190</v>
      </c>
      <c r="BJ175" s="22">
        <v>6154</v>
      </c>
      <c r="BK175" s="22">
        <v>6091</v>
      </c>
      <c r="BL175" s="22">
        <v>6375</v>
      </c>
      <c r="BM175" s="1">
        <v>6280</v>
      </c>
      <c r="BN175" s="1">
        <v>6265</v>
      </c>
      <c r="BO175" s="1">
        <v>6399</v>
      </c>
      <c r="BP175" s="1">
        <v>6366</v>
      </c>
    </row>
    <row r="176" spans="1:68" ht="15.9" customHeight="1">
      <c r="A176" s="81" t="s">
        <v>346</v>
      </c>
      <c r="B176" s="17" t="s">
        <v>347</v>
      </c>
      <c r="C176" s="26" t="str">
        <f>_xll.RssMarket("1938","始値")</f>
        <v/>
      </c>
      <c r="D176" s="25" t="e">
        <f t="shared" si="5"/>
        <v>#VALUE!</v>
      </c>
      <c r="E176" s="22">
        <v>2550</v>
      </c>
      <c r="F176" s="22">
        <v>2577</v>
      </c>
      <c r="G176" s="22">
        <v>2551</v>
      </c>
      <c r="H176" s="22">
        <v>2579</v>
      </c>
      <c r="I176" s="22">
        <v>2571</v>
      </c>
      <c r="J176" s="22">
        <v>2590</v>
      </c>
      <c r="K176" s="22">
        <v>2652</v>
      </c>
      <c r="L176" s="22">
        <v>2726</v>
      </c>
      <c r="M176" s="22">
        <v>2697</v>
      </c>
      <c r="N176" s="22">
        <v>2655</v>
      </c>
      <c r="O176" s="22">
        <v>2660</v>
      </c>
      <c r="P176" s="22">
        <v>2679</v>
      </c>
      <c r="Q176" s="22">
        <v>2730</v>
      </c>
      <c r="R176" s="22">
        <v>2736</v>
      </c>
      <c r="S176" s="22">
        <v>2724</v>
      </c>
      <c r="T176" s="22">
        <v>2707</v>
      </c>
      <c r="U176" s="22">
        <v>2719</v>
      </c>
      <c r="V176" s="22">
        <v>2800</v>
      </c>
      <c r="W176" s="22">
        <v>2790</v>
      </c>
      <c r="X176" s="22">
        <v>2800</v>
      </c>
      <c r="Y176" s="22">
        <v>2775</v>
      </c>
      <c r="Z176" s="22">
        <v>2804</v>
      </c>
      <c r="AA176" s="22">
        <v>2760</v>
      </c>
      <c r="AB176" s="22">
        <v>2740</v>
      </c>
      <c r="AC176" s="22">
        <v>2714</v>
      </c>
      <c r="AD176" s="22">
        <v>2698</v>
      </c>
      <c r="AE176" s="22">
        <v>2728</v>
      </c>
      <c r="AF176" s="22">
        <v>2722</v>
      </c>
      <c r="AG176" s="22">
        <v>2777</v>
      </c>
      <c r="AH176" s="22">
        <v>2705</v>
      </c>
      <c r="AI176" s="22">
        <v>2748</v>
      </c>
      <c r="AJ176" s="22">
        <v>2688</v>
      </c>
      <c r="AK176" s="22">
        <v>2799</v>
      </c>
      <c r="AL176" s="22">
        <v>2761</v>
      </c>
      <c r="AM176" s="22">
        <v>2850</v>
      </c>
      <c r="AN176" s="22">
        <v>2687</v>
      </c>
      <c r="AO176" s="22">
        <v>2664</v>
      </c>
      <c r="AP176" s="22">
        <v>2735</v>
      </c>
      <c r="AQ176" s="22">
        <v>2759</v>
      </c>
      <c r="AR176" s="22">
        <v>2849</v>
      </c>
      <c r="AS176" s="22">
        <v>2879</v>
      </c>
      <c r="AT176" s="22">
        <v>2988</v>
      </c>
      <c r="AU176" s="22">
        <v>3005</v>
      </c>
      <c r="AV176" s="22">
        <v>3150</v>
      </c>
      <c r="AW176" s="22">
        <v>2994</v>
      </c>
      <c r="AX176" s="22">
        <v>2924</v>
      </c>
      <c r="AY176" s="22">
        <v>2887</v>
      </c>
      <c r="AZ176" s="22">
        <v>2879</v>
      </c>
      <c r="BA176" s="22">
        <v>2733</v>
      </c>
      <c r="BB176" s="22">
        <v>2689</v>
      </c>
      <c r="BC176" s="22">
        <v>2585</v>
      </c>
      <c r="BD176" s="22">
        <v>2532</v>
      </c>
      <c r="BE176" s="22">
        <v>2575</v>
      </c>
      <c r="BF176" s="22">
        <v>2506</v>
      </c>
      <c r="BG176" s="22">
        <v>2570</v>
      </c>
      <c r="BH176" s="22">
        <v>2571</v>
      </c>
      <c r="BI176" s="22">
        <v>2545</v>
      </c>
      <c r="BJ176" s="22">
        <v>2585</v>
      </c>
      <c r="BK176" s="22">
        <v>2591</v>
      </c>
      <c r="BL176" s="22">
        <v>2658</v>
      </c>
      <c r="BM176" s="1">
        <v>2701</v>
      </c>
      <c r="BN176" s="1">
        <v>2604</v>
      </c>
      <c r="BO176" s="1">
        <v>2680</v>
      </c>
      <c r="BP176" s="1">
        <v>2705</v>
      </c>
    </row>
    <row r="177" spans="1:68" ht="15.9" customHeight="1">
      <c r="A177" s="81" t="s">
        <v>348</v>
      </c>
      <c r="B177" s="17" t="s">
        <v>349</v>
      </c>
      <c r="C177" s="26" t="str">
        <f>_xll.RssMarket("7236","始値")</f>
        <v/>
      </c>
      <c r="D177" s="25" t="e">
        <f t="shared" si="5"/>
        <v>#VALUE!</v>
      </c>
      <c r="E177" s="22">
        <v>1492</v>
      </c>
      <c r="F177" s="22">
        <v>1508</v>
      </c>
      <c r="G177" s="22">
        <v>1463</v>
      </c>
      <c r="H177" s="22">
        <v>1496</v>
      </c>
      <c r="I177" s="22">
        <v>1500</v>
      </c>
      <c r="J177" s="22">
        <v>1494</v>
      </c>
      <c r="K177" s="22">
        <v>1505</v>
      </c>
      <c r="L177" s="22">
        <v>1570</v>
      </c>
      <c r="M177" s="22">
        <v>1519</v>
      </c>
      <c r="N177" s="22">
        <v>1507</v>
      </c>
      <c r="O177" s="22">
        <v>1491</v>
      </c>
      <c r="P177" s="22">
        <v>1482</v>
      </c>
      <c r="Q177" s="22">
        <v>1480</v>
      </c>
      <c r="R177" s="22">
        <v>1470</v>
      </c>
      <c r="S177" s="22">
        <v>14770</v>
      </c>
      <c r="T177" s="22">
        <v>14710</v>
      </c>
      <c r="U177" s="22">
        <v>14580</v>
      </c>
      <c r="V177" s="22">
        <v>14850</v>
      </c>
      <c r="W177" s="22">
        <v>14500</v>
      </c>
      <c r="X177" s="22">
        <v>14280</v>
      </c>
      <c r="Y177" s="22">
        <v>14220</v>
      </c>
      <c r="Z177" s="22">
        <v>14430</v>
      </c>
      <c r="AA177" s="22">
        <v>14370</v>
      </c>
      <c r="AB177" s="22">
        <v>14290</v>
      </c>
      <c r="AC177" s="22">
        <v>14200</v>
      </c>
      <c r="AD177" s="22">
        <v>14310</v>
      </c>
      <c r="AE177" s="22">
        <v>13990</v>
      </c>
      <c r="AF177" s="22">
        <v>14060</v>
      </c>
      <c r="AG177" s="22">
        <v>14250</v>
      </c>
      <c r="AH177" s="22">
        <v>15000</v>
      </c>
      <c r="AI177" s="22">
        <v>15180</v>
      </c>
      <c r="AJ177" s="22">
        <v>14850</v>
      </c>
      <c r="AK177" s="22">
        <v>14700</v>
      </c>
      <c r="AL177" s="22">
        <v>15210</v>
      </c>
      <c r="AM177" s="22">
        <v>14960</v>
      </c>
      <c r="AN177" s="22">
        <v>14440</v>
      </c>
      <c r="AO177" s="22">
        <v>13900</v>
      </c>
      <c r="AP177" s="22">
        <v>13800</v>
      </c>
      <c r="AQ177" s="22">
        <v>13900</v>
      </c>
      <c r="AR177" s="22">
        <v>14320</v>
      </c>
      <c r="AS177" s="22">
        <v>14560</v>
      </c>
      <c r="AT177" s="22">
        <v>14660</v>
      </c>
      <c r="AU177" s="22">
        <v>14470</v>
      </c>
      <c r="AV177" s="22">
        <v>14700</v>
      </c>
      <c r="AW177" s="22">
        <v>14550</v>
      </c>
      <c r="AX177" s="22">
        <v>14810</v>
      </c>
      <c r="AY177" s="22">
        <v>14900</v>
      </c>
      <c r="AZ177" s="22">
        <v>15010</v>
      </c>
      <c r="BA177" s="22">
        <v>11110</v>
      </c>
      <c r="BB177" s="22">
        <v>9610</v>
      </c>
      <c r="BC177" s="22">
        <v>8080</v>
      </c>
      <c r="BD177" s="22">
        <v>8810</v>
      </c>
      <c r="BE177" s="22">
        <v>8670</v>
      </c>
      <c r="BF177" s="22">
        <v>9140</v>
      </c>
      <c r="BG177" s="22">
        <v>9240</v>
      </c>
      <c r="BH177" s="22">
        <v>9190</v>
      </c>
      <c r="BI177" s="22">
        <v>9010</v>
      </c>
      <c r="BJ177" s="22">
        <v>8690</v>
      </c>
      <c r="BK177" s="22">
        <v>8460</v>
      </c>
      <c r="BL177" s="22">
        <v>8250</v>
      </c>
      <c r="BM177" s="1">
        <v>8170</v>
      </c>
      <c r="BN177" s="1">
        <v>8350</v>
      </c>
      <c r="BO177" s="1">
        <v>8400</v>
      </c>
      <c r="BP177" s="1">
        <v>8390</v>
      </c>
    </row>
    <row r="178" spans="1:68" ht="15.9" customHeight="1">
      <c r="A178" s="81" t="s">
        <v>350</v>
      </c>
      <c r="B178" s="17" t="s">
        <v>351</v>
      </c>
      <c r="C178" s="26" t="str">
        <f>_xll.RssMarket("6436","始値")</f>
        <v/>
      </c>
      <c r="D178" s="25" t="e">
        <f t="shared" si="5"/>
        <v>#VALUE!</v>
      </c>
      <c r="E178" s="22">
        <v>3803</v>
      </c>
      <c r="F178" s="22">
        <v>3773</v>
      </c>
      <c r="G178" s="22">
        <v>3737</v>
      </c>
      <c r="H178" s="22">
        <v>3763</v>
      </c>
      <c r="I178" s="22">
        <v>3746</v>
      </c>
      <c r="J178" s="22">
        <v>3734</v>
      </c>
      <c r="K178" s="22">
        <v>3751</v>
      </c>
      <c r="L178" s="22">
        <v>3746</v>
      </c>
      <c r="M178" s="22">
        <v>3704</v>
      </c>
      <c r="N178" s="22">
        <v>3729</v>
      </c>
      <c r="O178" s="22">
        <v>3675</v>
      </c>
      <c r="P178" s="22">
        <v>3659</v>
      </c>
      <c r="Q178" s="22">
        <v>3668</v>
      </c>
      <c r="R178" s="22">
        <v>3666</v>
      </c>
      <c r="S178" s="22">
        <v>3608</v>
      </c>
      <c r="T178" s="22">
        <v>3610</v>
      </c>
      <c r="U178" s="22">
        <v>3581</v>
      </c>
      <c r="V178" s="22">
        <v>3600</v>
      </c>
      <c r="W178" s="22">
        <v>3577</v>
      </c>
      <c r="X178" s="22">
        <v>3570</v>
      </c>
      <c r="Y178" s="22">
        <v>3575</v>
      </c>
      <c r="Z178" s="22">
        <v>3595</v>
      </c>
      <c r="AA178" s="22">
        <v>3577</v>
      </c>
      <c r="AB178" s="22">
        <v>3597</v>
      </c>
      <c r="AC178" s="22">
        <v>3601</v>
      </c>
      <c r="AD178" s="22">
        <v>3646</v>
      </c>
      <c r="AE178" s="22">
        <v>3582</v>
      </c>
      <c r="AF178" s="22">
        <v>3453</v>
      </c>
      <c r="AG178" s="22">
        <v>3534</v>
      </c>
      <c r="AH178" s="22">
        <v>3502</v>
      </c>
      <c r="AI178" s="22">
        <v>3540</v>
      </c>
      <c r="AJ178" s="22">
        <v>3534</v>
      </c>
      <c r="AK178" s="22">
        <v>3568</v>
      </c>
      <c r="AL178" s="22">
        <v>3572</v>
      </c>
      <c r="AM178" s="22">
        <v>3550</v>
      </c>
      <c r="AN178" s="22">
        <v>3659</v>
      </c>
      <c r="AO178" s="22">
        <v>3629</v>
      </c>
      <c r="AP178" s="22">
        <v>3667</v>
      </c>
      <c r="AQ178" s="22">
        <v>3690</v>
      </c>
      <c r="AR178" s="22">
        <v>3651</v>
      </c>
      <c r="AS178" s="22">
        <v>3671</v>
      </c>
      <c r="AT178" s="22">
        <v>3683</v>
      </c>
      <c r="AU178" s="22">
        <v>3668</v>
      </c>
      <c r="AV178" s="22">
        <v>3678</v>
      </c>
      <c r="AW178" s="22">
        <v>3699</v>
      </c>
      <c r="AX178" s="22">
        <v>3691</v>
      </c>
      <c r="AY178" s="22">
        <v>3614</v>
      </c>
      <c r="AZ178" s="22">
        <v>3592</v>
      </c>
      <c r="BA178" s="22">
        <v>3582</v>
      </c>
      <c r="BB178" s="22">
        <v>3706</v>
      </c>
      <c r="BC178" s="22">
        <v>3707</v>
      </c>
      <c r="BD178" s="22">
        <v>3800</v>
      </c>
      <c r="BE178" s="22">
        <v>3830</v>
      </c>
      <c r="BF178" s="22">
        <v>3830</v>
      </c>
      <c r="BG178" s="22">
        <v>3821</v>
      </c>
      <c r="BH178" s="22">
        <v>3870</v>
      </c>
      <c r="BI178" s="22">
        <v>3957</v>
      </c>
      <c r="BJ178" s="22">
        <v>3883</v>
      </c>
      <c r="BK178" s="22">
        <v>3872</v>
      </c>
      <c r="BL178" s="22">
        <v>3876</v>
      </c>
      <c r="BM178" s="1">
        <v>3897</v>
      </c>
      <c r="BN178" s="1">
        <v>3880</v>
      </c>
      <c r="BO178" s="1">
        <v>3945</v>
      </c>
      <c r="BP178" s="1">
        <v>3930</v>
      </c>
    </row>
    <row r="179" spans="1:68" ht="15.9" customHeight="1">
      <c r="A179" s="81" t="s">
        <v>352</v>
      </c>
      <c r="B179" s="17" t="s">
        <v>353</v>
      </c>
      <c r="C179" s="26" t="str">
        <f>_xll.RssMarket("5410","始値")</f>
        <v/>
      </c>
      <c r="D179" s="25" t="e">
        <f t="shared" si="5"/>
        <v>#VALUE!</v>
      </c>
      <c r="E179" s="22">
        <v>2688</v>
      </c>
      <c r="F179" s="22">
        <v>2697</v>
      </c>
      <c r="G179" s="22">
        <v>2696</v>
      </c>
      <c r="H179" s="22">
        <v>2672</v>
      </c>
      <c r="I179" s="22">
        <v>2668</v>
      </c>
      <c r="J179" s="22">
        <v>2705</v>
      </c>
      <c r="K179" s="22">
        <v>2709</v>
      </c>
      <c r="L179" s="22">
        <v>2678</v>
      </c>
      <c r="M179" s="22">
        <v>2629</v>
      </c>
      <c r="N179" s="22">
        <v>2567</v>
      </c>
      <c r="O179" s="22">
        <v>2577</v>
      </c>
      <c r="P179" s="22">
        <v>2625</v>
      </c>
      <c r="Q179" s="22">
        <v>2608</v>
      </c>
      <c r="R179" s="22">
        <v>2576</v>
      </c>
      <c r="S179" s="22">
        <v>2571</v>
      </c>
      <c r="T179" s="22">
        <v>2575</v>
      </c>
      <c r="U179" s="22">
        <v>2583</v>
      </c>
      <c r="V179" s="22">
        <v>2590</v>
      </c>
      <c r="W179" s="22">
        <v>2615</v>
      </c>
      <c r="X179" s="22">
        <v>2604</v>
      </c>
      <c r="Y179" s="22">
        <v>2610</v>
      </c>
      <c r="Z179" s="22">
        <v>2611</v>
      </c>
      <c r="AA179" s="22">
        <v>2612</v>
      </c>
      <c r="AB179" s="22">
        <v>2565</v>
      </c>
      <c r="AC179" s="22">
        <v>2555</v>
      </c>
      <c r="AD179" s="22">
        <v>2531</v>
      </c>
      <c r="AE179" s="22">
        <v>2566</v>
      </c>
      <c r="AF179" s="22">
        <v>2545</v>
      </c>
      <c r="AG179" s="22">
        <v>2554</v>
      </c>
      <c r="AH179" s="22">
        <v>2600</v>
      </c>
      <c r="AI179" s="22">
        <v>2594</v>
      </c>
      <c r="AJ179" s="22">
        <v>2715</v>
      </c>
      <c r="AK179" s="22">
        <v>2697</v>
      </c>
      <c r="AL179" s="22">
        <v>2637</v>
      </c>
      <c r="AM179" s="22">
        <v>2682</v>
      </c>
      <c r="AN179" s="22">
        <v>2714</v>
      </c>
      <c r="AO179" s="22">
        <v>2710</v>
      </c>
      <c r="AP179" s="22">
        <v>2762</v>
      </c>
      <c r="AQ179" s="22">
        <v>2771</v>
      </c>
      <c r="AR179" s="22">
        <v>2838</v>
      </c>
      <c r="AS179" s="22">
        <v>2867</v>
      </c>
      <c r="AT179" s="22">
        <v>2821</v>
      </c>
      <c r="AU179" s="22">
        <v>2867</v>
      </c>
      <c r="AV179" s="22">
        <v>2868</v>
      </c>
      <c r="AW179" s="22">
        <v>2880</v>
      </c>
      <c r="AX179" s="22">
        <v>2855</v>
      </c>
      <c r="AY179" s="22">
        <v>2893</v>
      </c>
      <c r="AZ179" s="22">
        <v>2855</v>
      </c>
      <c r="BA179" s="22">
        <v>2917</v>
      </c>
      <c r="BB179" s="22">
        <v>3010</v>
      </c>
      <c r="BC179" s="22">
        <v>3385</v>
      </c>
      <c r="BD179" s="22">
        <v>3455</v>
      </c>
      <c r="BE179" s="22">
        <v>3495</v>
      </c>
      <c r="BF179" s="22">
        <v>3535</v>
      </c>
      <c r="BG179" s="22">
        <v>3565</v>
      </c>
      <c r="BH179" s="22">
        <v>3560</v>
      </c>
      <c r="BI179" s="22">
        <v>3570</v>
      </c>
      <c r="BJ179" s="22">
        <v>3560</v>
      </c>
      <c r="BK179" s="22">
        <v>3590</v>
      </c>
      <c r="BL179" s="22">
        <v>3575</v>
      </c>
      <c r="BM179" s="1">
        <v>3580</v>
      </c>
      <c r="BN179" s="1">
        <v>3640</v>
      </c>
      <c r="BO179" s="1">
        <v>3720</v>
      </c>
    </row>
    <row r="180" spans="1:68" ht="15.9" customHeight="1">
      <c r="A180" s="81" t="s">
        <v>354</v>
      </c>
      <c r="B180" s="17" t="s">
        <v>355</v>
      </c>
      <c r="C180" s="26" t="str">
        <f>_xll.RssMarket("5440","始値")</f>
        <v/>
      </c>
      <c r="D180" s="25" t="e">
        <f t="shared" si="5"/>
        <v>#VALUE!</v>
      </c>
      <c r="E180" s="22">
        <v>1837</v>
      </c>
      <c r="F180" s="22">
        <v>1849</v>
      </c>
      <c r="G180" s="22">
        <v>1812</v>
      </c>
      <c r="H180" s="22">
        <v>1810</v>
      </c>
      <c r="I180" s="22">
        <v>1816</v>
      </c>
      <c r="J180" s="22">
        <v>1800</v>
      </c>
      <c r="K180" s="22">
        <v>1808</v>
      </c>
      <c r="L180" s="22">
        <v>1815</v>
      </c>
      <c r="M180" s="22">
        <v>1788</v>
      </c>
      <c r="N180" s="22">
        <v>1769</v>
      </c>
      <c r="O180" s="22">
        <v>1732</v>
      </c>
      <c r="P180" s="22">
        <v>1751</v>
      </c>
      <c r="Q180" s="22">
        <v>1753</v>
      </c>
      <c r="R180" s="22">
        <v>1760</v>
      </c>
      <c r="S180" s="22">
        <v>1703</v>
      </c>
      <c r="T180" s="22">
        <v>1725</v>
      </c>
      <c r="U180" s="22">
        <v>1713</v>
      </c>
      <c r="V180" s="22">
        <v>1750</v>
      </c>
      <c r="W180" s="22">
        <v>1746</v>
      </c>
      <c r="X180" s="22">
        <v>1745</v>
      </c>
      <c r="Y180" s="22">
        <v>1751</v>
      </c>
      <c r="Z180" s="22">
        <v>1744</v>
      </c>
      <c r="AA180" s="22">
        <v>1752</v>
      </c>
      <c r="AB180" s="22">
        <v>1779</v>
      </c>
      <c r="AC180" s="22">
        <v>1740</v>
      </c>
      <c r="AD180" s="22">
        <v>1717</v>
      </c>
      <c r="AE180" s="22">
        <v>1722</v>
      </c>
      <c r="AF180" s="22">
        <v>1739</v>
      </c>
      <c r="AG180" s="22">
        <v>1740</v>
      </c>
      <c r="AH180" s="22">
        <v>1744</v>
      </c>
      <c r="AI180" s="22">
        <v>1748</v>
      </c>
      <c r="AJ180" s="22">
        <v>1739</v>
      </c>
      <c r="AK180" s="22">
        <v>1835</v>
      </c>
      <c r="AL180" s="22">
        <v>1830</v>
      </c>
      <c r="AM180" s="22">
        <v>1820</v>
      </c>
      <c r="AN180" s="22">
        <v>1853</v>
      </c>
      <c r="AO180" s="22">
        <v>1855</v>
      </c>
      <c r="AP180" s="22">
        <v>1821</v>
      </c>
      <c r="AQ180" s="22">
        <v>1830</v>
      </c>
      <c r="AR180" s="22">
        <v>1840</v>
      </c>
      <c r="AS180" s="22">
        <v>1856</v>
      </c>
      <c r="AT180" s="22">
        <v>1877</v>
      </c>
      <c r="AU180" s="22">
        <v>1824</v>
      </c>
      <c r="AV180" s="22">
        <v>1818</v>
      </c>
      <c r="AW180" s="22">
        <v>1827</v>
      </c>
      <c r="AX180" s="22">
        <v>1801</v>
      </c>
      <c r="AY180" s="22">
        <v>1820</v>
      </c>
      <c r="AZ180" s="22">
        <v>1830</v>
      </c>
      <c r="BA180" s="22">
        <v>1907</v>
      </c>
      <c r="BB180" s="22">
        <v>2154</v>
      </c>
      <c r="BC180" s="22">
        <v>2182</v>
      </c>
      <c r="BD180" s="22">
        <v>2236</v>
      </c>
      <c r="BE180" s="22">
        <v>2239</v>
      </c>
      <c r="BF180" s="22">
        <v>2262</v>
      </c>
      <c r="BG180" s="22">
        <v>2272</v>
      </c>
      <c r="BH180" s="22">
        <v>2333</v>
      </c>
      <c r="BI180" s="22">
        <v>2290</v>
      </c>
      <c r="BJ180" s="22">
        <v>2304</v>
      </c>
      <c r="BK180" s="22">
        <v>2341</v>
      </c>
      <c r="BL180" s="22">
        <v>2357</v>
      </c>
      <c r="BM180" s="1">
        <v>2350</v>
      </c>
      <c r="BN180" s="1">
        <v>2355</v>
      </c>
      <c r="BO180" s="1">
        <v>2400</v>
      </c>
      <c r="BP180" s="1">
        <v>2430</v>
      </c>
    </row>
    <row r="181" spans="1:68" ht="15.9" customHeight="1">
      <c r="A181" s="81" t="s">
        <v>356</v>
      </c>
      <c r="B181" s="17" t="s">
        <v>357</v>
      </c>
      <c r="C181" s="26" t="str">
        <f>_xll.RssMarket("9505","始値")</f>
        <v/>
      </c>
      <c r="D181" s="25" t="e">
        <f t="shared" si="5"/>
        <v>#VALUE!</v>
      </c>
      <c r="E181" s="22">
        <v>906.3</v>
      </c>
      <c r="F181" s="22">
        <v>913.2</v>
      </c>
      <c r="G181" s="22">
        <v>891</v>
      </c>
      <c r="H181" s="22">
        <v>908.9</v>
      </c>
      <c r="I181" s="22">
        <v>907</v>
      </c>
      <c r="J181" s="22">
        <v>913</v>
      </c>
      <c r="K181" s="22">
        <v>914.9</v>
      </c>
      <c r="L181" s="22">
        <v>920</v>
      </c>
      <c r="M181" s="22">
        <v>899</v>
      </c>
      <c r="N181" s="22">
        <v>883.1</v>
      </c>
      <c r="O181" s="22">
        <v>881</v>
      </c>
      <c r="P181" s="22">
        <v>863.5</v>
      </c>
      <c r="Q181" s="22">
        <v>878</v>
      </c>
      <c r="R181" s="22">
        <v>879</v>
      </c>
      <c r="S181" s="22">
        <v>875.2</v>
      </c>
      <c r="T181" s="22">
        <v>861</v>
      </c>
      <c r="U181" s="22">
        <v>852.5</v>
      </c>
      <c r="V181" s="22">
        <v>850</v>
      </c>
      <c r="W181" s="22">
        <v>844.5</v>
      </c>
      <c r="X181" s="22">
        <v>842.2</v>
      </c>
      <c r="Y181" s="22">
        <v>850</v>
      </c>
      <c r="Z181" s="22">
        <v>849</v>
      </c>
      <c r="AA181" s="22">
        <v>872.9</v>
      </c>
      <c r="AB181" s="22">
        <v>876</v>
      </c>
      <c r="AC181" s="22">
        <v>861.8</v>
      </c>
      <c r="AD181" s="22">
        <v>865</v>
      </c>
      <c r="AE181" s="22">
        <v>845</v>
      </c>
      <c r="AF181" s="22">
        <v>806.7</v>
      </c>
      <c r="AG181" s="22">
        <v>812</v>
      </c>
      <c r="AH181" s="22">
        <v>809.3</v>
      </c>
      <c r="AI181" s="22">
        <v>815</v>
      </c>
      <c r="AJ181" s="22">
        <v>796</v>
      </c>
      <c r="AK181" s="22">
        <v>829.1</v>
      </c>
      <c r="AL181" s="22">
        <v>844</v>
      </c>
      <c r="AM181" s="22">
        <v>855</v>
      </c>
      <c r="AN181" s="22">
        <v>861.8</v>
      </c>
      <c r="AO181" s="22">
        <v>882.5</v>
      </c>
      <c r="AP181" s="22">
        <v>877.5</v>
      </c>
      <c r="AQ181" s="22">
        <v>883</v>
      </c>
      <c r="AR181" s="22">
        <v>871.6</v>
      </c>
      <c r="AS181" s="22">
        <v>897</v>
      </c>
      <c r="AT181" s="22">
        <v>913.2</v>
      </c>
      <c r="AU181" s="22">
        <v>910</v>
      </c>
      <c r="AV181" s="22">
        <v>918.3</v>
      </c>
      <c r="AW181" s="22">
        <v>904.8</v>
      </c>
      <c r="AX181" s="22">
        <v>872.4</v>
      </c>
      <c r="AY181" s="22">
        <v>895.4</v>
      </c>
      <c r="AZ181" s="22">
        <v>860.1</v>
      </c>
      <c r="BA181" s="22">
        <v>871.5</v>
      </c>
      <c r="BB181" s="22">
        <v>905.6</v>
      </c>
      <c r="BC181" s="22">
        <v>985</v>
      </c>
      <c r="BD181" s="22">
        <v>986.1</v>
      </c>
      <c r="BE181" s="22">
        <v>999.1</v>
      </c>
      <c r="BF181" s="22">
        <v>995</v>
      </c>
      <c r="BG181" s="22">
        <v>1003</v>
      </c>
      <c r="BH181" s="22">
        <v>1028.5</v>
      </c>
      <c r="BI181" s="22">
        <v>1058.5</v>
      </c>
      <c r="BJ181" s="22">
        <v>1080</v>
      </c>
      <c r="BK181" s="22">
        <v>1081.5</v>
      </c>
      <c r="BL181" s="22">
        <v>1088</v>
      </c>
      <c r="BM181" s="1">
        <v>1090</v>
      </c>
      <c r="BN181" s="1">
        <v>1104</v>
      </c>
      <c r="BO181" s="1">
        <v>1128.5</v>
      </c>
      <c r="BP181" s="1">
        <v>1110.5</v>
      </c>
    </row>
    <row r="182" spans="1:68" ht="15.9" customHeight="1">
      <c r="A182" s="81" t="s">
        <v>358</v>
      </c>
      <c r="B182" s="17" t="s">
        <v>359</v>
      </c>
      <c r="C182" s="26" t="str">
        <f>_xll.RssMarket("8091","始値")</f>
        <v/>
      </c>
      <c r="D182" s="25" t="e">
        <f t="shared" si="5"/>
        <v>#VALUE!</v>
      </c>
      <c r="E182" s="22">
        <v>2308</v>
      </c>
      <c r="F182" s="22">
        <v>2284</v>
      </c>
      <c r="G182" s="22">
        <v>2272</v>
      </c>
      <c r="H182" s="22">
        <v>2310</v>
      </c>
      <c r="I182" s="22">
        <v>2274</v>
      </c>
      <c r="J182" s="22">
        <v>2264</v>
      </c>
      <c r="K182" s="22">
        <v>2338</v>
      </c>
      <c r="L182" s="22">
        <v>2349</v>
      </c>
      <c r="M182" s="22">
        <v>2307</v>
      </c>
      <c r="N182" s="22">
        <v>2297</v>
      </c>
      <c r="O182" s="22">
        <v>2284</v>
      </c>
      <c r="P182" s="22">
        <v>2283</v>
      </c>
      <c r="Q182" s="22">
        <v>2300</v>
      </c>
      <c r="R182" s="22">
        <v>2265</v>
      </c>
      <c r="S182" s="22">
        <v>2275</v>
      </c>
      <c r="T182" s="22">
        <v>2299</v>
      </c>
      <c r="U182" s="22">
        <v>2266</v>
      </c>
      <c r="V182" s="22">
        <v>2261</v>
      </c>
      <c r="W182" s="22">
        <v>2290</v>
      </c>
      <c r="X182" s="22">
        <v>2261</v>
      </c>
      <c r="Y182" s="22">
        <v>2235</v>
      </c>
      <c r="Z182" s="22">
        <v>2219</v>
      </c>
      <c r="AA182" s="22">
        <v>2202</v>
      </c>
      <c r="AB182" s="22">
        <v>2186</v>
      </c>
      <c r="AC182" s="22">
        <v>2176</v>
      </c>
      <c r="AD182" s="22">
        <v>2211</v>
      </c>
      <c r="AE182" s="22">
        <v>2180</v>
      </c>
      <c r="AF182" s="22">
        <v>2185</v>
      </c>
      <c r="AG182" s="22">
        <v>2188</v>
      </c>
      <c r="AH182" s="22">
        <v>2141</v>
      </c>
      <c r="AI182" s="22">
        <v>2131</v>
      </c>
      <c r="AJ182" s="22">
        <v>2134</v>
      </c>
      <c r="AK182" s="22">
        <v>2173</v>
      </c>
      <c r="AL182" s="22">
        <v>2133</v>
      </c>
      <c r="AM182" s="22">
        <v>2140</v>
      </c>
      <c r="AN182" s="22">
        <v>2146</v>
      </c>
      <c r="AO182" s="22">
        <v>2169</v>
      </c>
      <c r="AP182" s="22">
        <v>2168</v>
      </c>
      <c r="AQ182" s="22">
        <v>2190</v>
      </c>
      <c r="AR182" s="22">
        <v>2161</v>
      </c>
      <c r="AS182" s="22">
        <v>2204</v>
      </c>
      <c r="AT182" s="22">
        <v>2280</v>
      </c>
      <c r="AU182" s="22">
        <v>2278</v>
      </c>
      <c r="AV182" s="22">
        <v>2248</v>
      </c>
      <c r="AW182" s="22">
        <v>2273</v>
      </c>
      <c r="AX182" s="22">
        <v>2256</v>
      </c>
      <c r="AY182" s="22">
        <v>2227</v>
      </c>
      <c r="AZ182" s="22">
        <v>2253</v>
      </c>
      <c r="BA182" s="22">
        <v>2270</v>
      </c>
      <c r="BB182" s="22">
        <v>2280</v>
      </c>
      <c r="BC182" s="22">
        <v>2390</v>
      </c>
      <c r="BD182" s="22">
        <v>2445</v>
      </c>
      <c r="BE182" s="22">
        <v>2458</v>
      </c>
      <c r="BF182" s="22">
        <v>2490</v>
      </c>
      <c r="BG182" s="22">
        <v>2507</v>
      </c>
      <c r="BH182" s="22">
        <v>2522</v>
      </c>
      <c r="BI182" s="22">
        <v>2519</v>
      </c>
      <c r="BJ182" s="22">
        <v>2525</v>
      </c>
      <c r="BK182" s="22">
        <v>2525</v>
      </c>
      <c r="BL182" s="22">
        <v>2540</v>
      </c>
      <c r="BM182" s="1">
        <v>2533</v>
      </c>
      <c r="BN182" s="1">
        <v>2577</v>
      </c>
      <c r="BO182" s="1">
        <v>2590</v>
      </c>
      <c r="BP182" s="1">
        <v>2574</v>
      </c>
    </row>
    <row r="183" spans="1:68" ht="15.9" customHeight="1">
      <c r="A183" s="81" t="s">
        <v>360</v>
      </c>
      <c r="B183" s="17" t="s">
        <v>361</v>
      </c>
      <c r="C183" s="26" t="str">
        <f>_xll.RssMarket("6507","始値")</f>
        <v/>
      </c>
      <c r="D183" s="25" t="e">
        <f t="shared" si="5"/>
        <v>#VALUE!</v>
      </c>
      <c r="E183" s="22">
        <v>14000</v>
      </c>
      <c r="F183" s="22">
        <v>14450</v>
      </c>
      <c r="G183" s="22">
        <v>14200</v>
      </c>
      <c r="H183" s="22">
        <v>14930</v>
      </c>
      <c r="I183" s="22">
        <v>15400</v>
      </c>
      <c r="J183" s="22">
        <v>14740</v>
      </c>
      <c r="K183" s="22">
        <v>14800</v>
      </c>
      <c r="L183" s="22">
        <v>16580</v>
      </c>
      <c r="M183" s="22">
        <v>15950</v>
      </c>
      <c r="N183" s="22">
        <v>14920</v>
      </c>
      <c r="O183" s="22">
        <v>15850</v>
      </c>
      <c r="P183" s="22">
        <v>16330</v>
      </c>
      <c r="Q183" s="22">
        <v>15650</v>
      </c>
      <c r="R183" s="22">
        <v>15230</v>
      </c>
      <c r="S183" s="22">
        <v>15520</v>
      </c>
      <c r="T183" s="22">
        <v>16500</v>
      </c>
      <c r="U183" s="22">
        <v>15390</v>
      </c>
      <c r="V183" s="22">
        <v>16850</v>
      </c>
      <c r="W183" s="22">
        <v>16480</v>
      </c>
      <c r="X183" s="22">
        <v>16030</v>
      </c>
      <c r="Y183" s="22">
        <v>14720</v>
      </c>
      <c r="Z183" s="22">
        <v>13760</v>
      </c>
      <c r="AA183" s="22">
        <v>13990</v>
      </c>
      <c r="AB183" s="22">
        <v>13600</v>
      </c>
      <c r="AC183" s="22">
        <v>12730</v>
      </c>
      <c r="AD183" s="22">
        <v>13770</v>
      </c>
      <c r="AE183" s="22">
        <v>14000</v>
      </c>
      <c r="AF183" s="22">
        <v>15190</v>
      </c>
      <c r="AG183" s="22">
        <v>14090</v>
      </c>
      <c r="AH183" s="22">
        <v>14400</v>
      </c>
      <c r="AI183" s="22">
        <v>13960</v>
      </c>
      <c r="AJ183" s="22">
        <v>14100</v>
      </c>
      <c r="AK183" s="22">
        <v>14150</v>
      </c>
      <c r="AL183" s="22">
        <v>15180</v>
      </c>
      <c r="AM183" s="22">
        <v>14280</v>
      </c>
      <c r="AN183" s="22">
        <v>14000</v>
      </c>
      <c r="AO183" s="22">
        <v>13480</v>
      </c>
      <c r="AP183" s="22">
        <v>13200</v>
      </c>
      <c r="AQ183" s="22">
        <v>15370</v>
      </c>
      <c r="AR183" s="22">
        <v>15320</v>
      </c>
      <c r="AS183" s="22">
        <v>16470</v>
      </c>
      <c r="AT183" s="22">
        <v>15240</v>
      </c>
      <c r="AU183" s="22">
        <v>14530</v>
      </c>
      <c r="AV183" s="22">
        <v>15190</v>
      </c>
      <c r="AW183" s="22">
        <v>15150</v>
      </c>
      <c r="AX183" s="22">
        <v>14660</v>
      </c>
      <c r="AY183" s="22">
        <v>15210</v>
      </c>
      <c r="AZ183" s="22">
        <v>14260</v>
      </c>
      <c r="BA183" s="22">
        <v>13660</v>
      </c>
      <c r="BB183" s="22">
        <v>13680</v>
      </c>
      <c r="BC183" s="22">
        <v>13340</v>
      </c>
      <c r="BD183" s="22">
        <v>13330</v>
      </c>
      <c r="BE183" s="22">
        <v>13570</v>
      </c>
      <c r="BF183" s="22">
        <v>13440</v>
      </c>
      <c r="BG183" s="22">
        <v>13560</v>
      </c>
      <c r="BH183" s="22">
        <v>13490</v>
      </c>
      <c r="BI183" s="22">
        <v>13890</v>
      </c>
      <c r="BJ183" s="22">
        <v>13780</v>
      </c>
      <c r="BK183" s="22">
        <v>13550</v>
      </c>
      <c r="BL183" s="22">
        <v>13680</v>
      </c>
      <c r="BM183" s="1">
        <v>13400</v>
      </c>
      <c r="BN183" s="1">
        <v>13050</v>
      </c>
      <c r="BO183" s="1">
        <v>12960</v>
      </c>
      <c r="BP183" s="1">
        <v>12800</v>
      </c>
    </row>
    <row r="184" spans="1:68" ht="15.9" customHeight="1">
      <c r="A184" s="81" t="s">
        <v>362</v>
      </c>
      <c r="B184" s="17" t="s">
        <v>363</v>
      </c>
      <c r="C184" s="26" t="str">
        <f>_xll.RssMarket("9022","始値")</f>
        <v/>
      </c>
      <c r="D184" s="25" t="e">
        <f t="shared" si="5"/>
        <v>#VALUE!</v>
      </c>
      <c r="E184" s="22">
        <v>3746</v>
      </c>
      <c r="F184" s="22">
        <v>3749</v>
      </c>
      <c r="G184" s="22">
        <v>3684</v>
      </c>
      <c r="H184" s="22">
        <v>3648</v>
      </c>
      <c r="I184" s="22">
        <v>3671</v>
      </c>
      <c r="J184" s="22">
        <v>3594</v>
      </c>
      <c r="K184" s="22">
        <v>3700</v>
      </c>
      <c r="L184" s="22">
        <v>3560</v>
      </c>
      <c r="M184" s="22">
        <v>3523</v>
      </c>
      <c r="N184" s="22">
        <v>3515</v>
      </c>
      <c r="O184" s="22">
        <v>3405</v>
      </c>
      <c r="P184" s="22">
        <v>3428</v>
      </c>
      <c r="Q184" s="22">
        <v>3463</v>
      </c>
      <c r="R184" s="22">
        <v>3442</v>
      </c>
      <c r="S184" s="22">
        <v>3360</v>
      </c>
      <c r="T184" s="22">
        <v>3383</v>
      </c>
      <c r="U184" s="22">
        <v>3347</v>
      </c>
      <c r="V184" s="22">
        <v>3274</v>
      </c>
      <c r="W184" s="22">
        <v>3222</v>
      </c>
      <c r="X184" s="22">
        <v>3250</v>
      </c>
      <c r="Y184" s="22">
        <v>3293</v>
      </c>
      <c r="Z184" s="22">
        <v>3364</v>
      </c>
      <c r="AA184" s="22">
        <v>3303</v>
      </c>
      <c r="AB184" s="22">
        <v>3383</v>
      </c>
      <c r="AC184" s="22">
        <v>3392</v>
      </c>
      <c r="AD184" s="22">
        <v>3473</v>
      </c>
      <c r="AE184" s="22">
        <v>3493</v>
      </c>
      <c r="AF184" s="22">
        <v>3345</v>
      </c>
      <c r="AG184" s="22">
        <v>3352</v>
      </c>
      <c r="AH184" s="22">
        <v>3303</v>
      </c>
      <c r="AI184" s="22">
        <v>3323</v>
      </c>
      <c r="AJ184" s="22">
        <v>3398</v>
      </c>
      <c r="AK184" s="22">
        <v>3465</v>
      </c>
      <c r="AL184" s="22">
        <v>3524</v>
      </c>
      <c r="AM184" s="22">
        <v>3540</v>
      </c>
      <c r="AN184" s="22">
        <v>3553</v>
      </c>
      <c r="AO184" s="22">
        <v>3567</v>
      </c>
      <c r="AP184" s="22">
        <v>3591</v>
      </c>
      <c r="AQ184" s="22">
        <v>3608</v>
      </c>
      <c r="AR184" s="22">
        <v>3555</v>
      </c>
      <c r="AS184" s="22">
        <v>3615</v>
      </c>
      <c r="AT184" s="22">
        <v>3616</v>
      </c>
      <c r="AU184" s="22">
        <v>3595</v>
      </c>
      <c r="AV184" s="22">
        <v>3615</v>
      </c>
      <c r="AW184" s="22">
        <v>3588</v>
      </c>
      <c r="AX184" s="22">
        <v>3571</v>
      </c>
      <c r="AY184" s="22">
        <v>3700</v>
      </c>
      <c r="AZ184" s="22">
        <v>3555</v>
      </c>
      <c r="BA184" s="22">
        <v>3705</v>
      </c>
      <c r="BB184" s="22">
        <v>3723</v>
      </c>
      <c r="BC184" s="22">
        <v>4109</v>
      </c>
      <c r="BD184" s="22">
        <v>4055</v>
      </c>
      <c r="BE184" s="22">
        <v>4109</v>
      </c>
      <c r="BF184" s="22">
        <v>4092</v>
      </c>
      <c r="BG184" s="22">
        <v>4176</v>
      </c>
      <c r="BH184" s="22">
        <v>4276</v>
      </c>
      <c r="BI184" s="22">
        <v>4188</v>
      </c>
      <c r="BJ184" s="22">
        <v>4280</v>
      </c>
      <c r="BK184" s="22">
        <v>4287</v>
      </c>
      <c r="BL184" s="22">
        <v>4333</v>
      </c>
      <c r="BM184" s="1">
        <v>4240</v>
      </c>
      <c r="BN184" s="1">
        <v>4168</v>
      </c>
      <c r="BO184" s="1">
        <v>4266</v>
      </c>
      <c r="BP184" s="1">
        <v>4249</v>
      </c>
    </row>
    <row r="185" spans="1:68" ht="15.9" customHeight="1">
      <c r="A185" s="81" t="s">
        <v>364</v>
      </c>
      <c r="B185" s="17" t="s">
        <v>365</v>
      </c>
      <c r="C185" s="26" t="str">
        <f>_xll.RssMarket("9536","始値")</f>
        <v/>
      </c>
      <c r="D185" s="25" t="e">
        <f t="shared" si="5"/>
        <v>#VALUE!</v>
      </c>
      <c r="E185" s="22">
        <v>2329</v>
      </c>
      <c r="F185" s="22">
        <v>2328</v>
      </c>
      <c r="G185" s="22">
        <v>2303</v>
      </c>
      <c r="H185" s="22">
        <v>2346</v>
      </c>
      <c r="I185" s="22">
        <v>2327</v>
      </c>
      <c r="J185" s="22">
        <v>2345</v>
      </c>
      <c r="K185" s="22">
        <v>2340</v>
      </c>
      <c r="L185" s="22">
        <v>2306</v>
      </c>
      <c r="M185" s="22">
        <v>2275</v>
      </c>
      <c r="N185" s="22">
        <v>2248</v>
      </c>
      <c r="O185" s="22">
        <v>2229</v>
      </c>
      <c r="P185" s="22">
        <v>2248</v>
      </c>
      <c r="Q185" s="22">
        <v>2270</v>
      </c>
      <c r="R185" s="22">
        <v>2254</v>
      </c>
      <c r="S185" s="22">
        <v>2224</v>
      </c>
      <c r="T185" s="22">
        <v>2239</v>
      </c>
      <c r="U185" s="22">
        <v>2224</v>
      </c>
      <c r="V185" s="22">
        <v>2213</v>
      </c>
      <c r="W185" s="22">
        <v>2230</v>
      </c>
      <c r="X185" s="22">
        <v>2234</v>
      </c>
      <c r="Y185" s="22">
        <v>2250</v>
      </c>
      <c r="Z185" s="22">
        <v>2242</v>
      </c>
      <c r="AA185" s="22">
        <v>2262</v>
      </c>
      <c r="AB185" s="22">
        <v>2250</v>
      </c>
      <c r="AC185" s="22">
        <v>2236</v>
      </c>
      <c r="AD185" s="22">
        <v>2244</v>
      </c>
      <c r="AE185" s="22">
        <v>2227</v>
      </c>
      <c r="AF185" s="22">
        <v>2180</v>
      </c>
      <c r="AG185" s="22">
        <v>2190</v>
      </c>
      <c r="AH185" s="22">
        <v>2187</v>
      </c>
      <c r="AI185" s="22">
        <v>2174</v>
      </c>
      <c r="AJ185" s="22">
        <v>2181</v>
      </c>
      <c r="AK185" s="22">
        <v>2192</v>
      </c>
      <c r="AL185" s="22">
        <v>2210</v>
      </c>
      <c r="AM185" s="22">
        <v>2216</v>
      </c>
      <c r="AN185" s="22">
        <v>2222</v>
      </c>
      <c r="AO185" s="22">
        <v>2225</v>
      </c>
      <c r="AP185" s="22">
        <v>2216</v>
      </c>
      <c r="AQ185" s="22">
        <v>2228</v>
      </c>
      <c r="AR185" s="22">
        <v>2219</v>
      </c>
      <c r="AS185" s="22">
        <v>2250</v>
      </c>
      <c r="AT185" s="22">
        <v>2264</v>
      </c>
      <c r="AU185" s="22">
        <v>2227</v>
      </c>
      <c r="AV185" s="22">
        <v>2225</v>
      </c>
      <c r="AW185" s="22">
        <v>2266</v>
      </c>
      <c r="AX185" s="22">
        <v>2223</v>
      </c>
      <c r="AY185" s="22">
        <v>2253</v>
      </c>
      <c r="AZ185" s="22">
        <v>2218</v>
      </c>
      <c r="BA185" s="22">
        <v>2246</v>
      </c>
      <c r="BB185" s="22">
        <v>2358</v>
      </c>
      <c r="BC185" s="22">
        <v>2430</v>
      </c>
      <c r="BD185" s="22">
        <v>2470</v>
      </c>
      <c r="BE185" s="22">
        <v>2457</v>
      </c>
      <c r="BF185" s="22">
        <v>2460</v>
      </c>
      <c r="BG185" s="22">
        <v>2510</v>
      </c>
      <c r="BH185" s="22">
        <v>2535</v>
      </c>
      <c r="BI185" s="22">
        <v>2580</v>
      </c>
      <c r="BJ185" s="22">
        <v>2615</v>
      </c>
      <c r="BK185" s="22">
        <v>2600</v>
      </c>
      <c r="BL185" s="22">
        <v>2590</v>
      </c>
      <c r="BM185" s="1">
        <v>2582</v>
      </c>
      <c r="BN185" s="1">
        <v>2553</v>
      </c>
      <c r="BO185" s="1">
        <v>2584</v>
      </c>
      <c r="BP185" s="1">
        <v>2630</v>
      </c>
    </row>
    <row r="186" spans="1:68" ht="15.9" customHeight="1">
      <c r="A186" s="81" t="s">
        <v>366</v>
      </c>
      <c r="B186" s="17" t="s">
        <v>367</v>
      </c>
      <c r="C186" s="26" t="str">
        <f>_xll.RssMarket("9506","始値")</f>
        <v/>
      </c>
      <c r="D186" s="25" t="e">
        <f t="shared" si="5"/>
        <v>#VALUE!</v>
      </c>
      <c r="E186" s="22">
        <v>1134.5</v>
      </c>
      <c r="F186" s="22">
        <v>1111.5</v>
      </c>
      <c r="G186" s="22">
        <v>1094</v>
      </c>
      <c r="H186" s="22">
        <v>1095</v>
      </c>
      <c r="I186" s="22">
        <v>1092.5</v>
      </c>
      <c r="J186" s="22">
        <v>1095.5</v>
      </c>
      <c r="K186" s="22">
        <v>1087</v>
      </c>
      <c r="L186" s="22">
        <v>1095</v>
      </c>
      <c r="M186" s="22">
        <v>1080.5</v>
      </c>
      <c r="N186" s="22">
        <v>1061</v>
      </c>
      <c r="O186" s="22">
        <v>1067</v>
      </c>
      <c r="P186" s="22">
        <v>1052</v>
      </c>
      <c r="Q186" s="22">
        <v>1052.5</v>
      </c>
      <c r="R186" s="22">
        <v>1047.5</v>
      </c>
      <c r="S186" s="22">
        <v>1055</v>
      </c>
      <c r="T186" s="22">
        <v>1040</v>
      </c>
      <c r="U186" s="22">
        <v>1030</v>
      </c>
      <c r="V186" s="22">
        <v>1041</v>
      </c>
      <c r="W186" s="22">
        <v>1048.5</v>
      </c>
      <c r="X186" s="22">
        <v>1053.5</v>
      </c>
      <c r="Y186" s="22">
        <v>1047</v>
      </c>
      <c r="Z186" s="22">
        <v>1043.5</v>
      </c>
      <c r="AA186" s="22">
        <v>1058.5</v>
      </c>
      <c r="AB186" s="22">
        <v>1033</v>
      </c>
      <c r="AC186" s="22">
        <v>1030</v>
      </c>
      <c r="AD186" s="22">
        <v>1027.5</v>
      </c>
      <c r="AE186" s="22">
        <v>1020</v>
      </c>
      <c r="AF186" s="22">
        <v>992</v>
      </c>
      <c r="AG186" s="22">
        <v>997.9</v>
      </c>
      <c r="AH186" s="22">
        <v>1000.5</v>
      </c>
      <c r="AI186" s="22">
        <v>992.2</v>
      </c>
      <c r="AJ186" s="22">
        <v>983.7</v>
      </c>
      <c r="AK186" s="22">
        <v>994.3</v>
      </c>
      <c r="AL186" s="22">
        <v>998.6</v>
      </c>
      <c r="AM186" s="22">
        <v>1010</v>
      </c>
      <c r="AN186" s="22">
        <v>1015</v>
      </c>
      <c r="AO186" s="22">
        <v>1033.5</v>
      </c>
      <c r="AP186" s="22">
        <v>1014</v>
      </c>
      <c r="AQ186" s="22">
        <v>1021</v>
      </c>
      <c r="AR186" s="22">
        <v>1013</v>
      </c>
      <c r="AS186" s="22">
        <v>1040</v>
      </c>
      <c r="AT186" s="22">
        <v>1053</v>
      </c>
      <c r="AU186" s="22">
        <v>1061.5</v>
      </c>
      <c r="AV186" s="22">
        <v>1065.5</v>
      </c>
      <c r="AW186" s="22">
        <v>1052.5</v>
      </c>
      <c r="AX186" s="22">
        <v>1094</v>
      </c>
      <c r="AY186" s="22">
        <v>1061</v>
      </c>
      <c r="AZ186" s="22">
        <v>1079</v>
      </c>
      <c r="BA186" s="22">
        <v>1139</v>
      </c>
      <c r="BB186" s="22">
        <v>1131</v>
      </c>
      <c r="BC186" s="22">
        <v>1123</v>
      </c>
      <c r="BD186" s="22">
        <v>1132.5</v>
      </c>
      <c r="BE186" s="22">
        <v>1125</v>
      </c>
      <c r="BF186" s="22">
        <v>1146</v>
      </c>
      <c r="BG186" s="22">
        <v>1162</v>
      </c>
      <c r="BH186" s="22">
        <v>1190</v>
      </c>
      <c r="BI186" s="22">
        <v>1182</v>
      </c>
      <c r="BJ186" s="22">
        <v>1173</v>
      </c>
      <c r="BK186" s="22">
        <v>1176</v>
      </c>
      <c r="BL186" s="22">
        <v>1164</v>
      </c>
      <c r="BM186" s="1">
        <v>1159.5</v>
      </c>
      <c r="BN186" s="1">
        <v>1185</v>
      </c>
      <c r="BO186" s="1">
        <v>1183</v>
      </c>
      <c r="BP186" s="1">
        <v>1191</v>
      </c>
    </row>
    <row r="187" spans="1:68" ht="15.9" customHeight="1">
      <c r="A187" s="81" t="s">
        <v>368</v>
      </c>
      <c r="B187" s="17" t="s">
        <v>369</v>
      </c>
      <c r="C187" s="26" t="str">
        <f>_xll.RssMarket("2127","始値")</f>
        <v/>
      </c>
      <c r="D187" s="25" t="e">
        <f t="shared" si="5"/>
        <v>#VALUE!</v>
      </c>
      <c r="E187" s="22">
        <v>678</v>
      </c>
      <c r="F187" s="22">
        <v>681.3</v>
      </c>
      <c r="G187" s="22">
        <v>677</v>
      </c>
      <c r="H187" s="22">
        <v>681.6</v>
      </c>
      <c r="I187" s="22">
        <v>674.2</v>
      </c>
      <c r="J187" s="22">
        <v>681.4</v>
      </c>
      <c r="K187" s="22">
        <v>694</v>
      </c>
      <c r="L187" s="22">
        <v>682.3</v>
      </c>
      <c r="M187" s="22">
        <v>660</v>
      </c>
      <c r="N187" s="22">
        <v>655.5</v>
      </c>
      <c r="O187" s="22">
        <v>646</v>
      </c>
      <c r="P187" s="22">
        <v>633.29999999999995</v>
      </c>
      <c r="Q187" s="22">
        <v>637.5</v>
      </c>
      <c r="R187" s="22">
        <v>627</v>
      </c>
      <c r="S187" s="22">
        <v>621.1</v>
      </c>
      <c r="T187" s="22">
        <v>632.20000000000005</v>
      </c>
      <c r="U187" s="22">
        <v>629.4</v>
      </c>
      <c r="V187" s="22">
        <v>630.1</v>
      </c>
      <c r="W187" s="22">
        <v>634.1</v>
      </c>
      <c r="X187" s="22">
        <v>656</v>
      </c>
      <c r="Y187" s="22">
        <v>654.20000000000005</v>
      </c>
      <c r="Z187" s="22">
        <v>645</v>
      </c>
      <c r="AA187" s="22">
        <v>636.29999999999995</v>
      </c>
      <c r="AB187" s="22">
        <v>636</v>
      </c>
      <c r="AC187" s="22">
        <v>652</v>
      </c>
      <c r="AD187" s="22">
        <v>639.9</v>
      </c>
      <c r="AE187" s="22">
        <v>642.9</v>
      </c>
      <c r="AF187" s="22">
        <v>631.70000000000005</v>
      </c>
      <c r="AG187" s="22">
        <v>638.1</v>
      </c>
      <c r="AH187" s="22">
        <v>626</v>
      </c>
      <c r="AI187" s="22">
        <v>639.9</v>
      </c>
      <c r="AJ187" s="22">
        <v>658</v>
      </c>
      <c r="AK187" s="22">
        <v>655</v>
      </c>
      <c r="AL187" s="22">
        <v>656.6</v>
      </c>
      <c r="AM187" s="22">
        <v>665.8</v>
      </c>
      <c r="AN187" s="22">
        <v>666</v>
      </c>
      <c r="AO187" s="22">
        <v>657.2</v>
      </c>
      <c r="AP187" s="22">
        <v>652</v>
      </c>
      <c r="AQ187" s="22">
        <v>650.20000000000005</v>
      </c>
      <c r="AR187" s="22">
        <v>641</v>
      </c>
      <c r="AS187" s="22">
        <v>640.4</v>
      </c>
      <c r="AT187" s="22">
        <v>637</v>
      </c>
      <c r="AU187" s="22">
        <v>644.5</v>
      </c>
      <c r="AV187" s="22">
        <v>634.5</v>
      </c>
      <c r="AW187" s="22">
        <v>652</v>
      </c>
      <c r="AX187" s="22">
        <v>653</v>
      </c>
      <c r="AY187" s="22">
        <v>649.9</v>
      </c>
      <c r="AZ187" s="22">
        <v>619.9</v>
      </c>
      <c r="BA187" s="22">
        <v>620</v>
      </c>
      <c r="BB187" s="22">
        <v>682.3</v>
      </c>
      <c r="BC187" s="22">
        <v>695</v>
      </c>
      <c r="BD187" s="22">
        <v>674.9</v>
      </c>
      <c r="BE187" s="22">
        <v>676.1</v>
      </c>
      <c r="BF187" s="22">
        <v>688</v>
      </c>
      <c r="BG187" s="22">
        <v>691.6</v>
      </c>
      <c r="BH187" s="22">
        <v>695</v>
      </c>
      <c r="BI187" s="22">
        <v>690.1</v>
      </c>
      <c r="BJ187" s="22">
        <v>689.1</v>
      </c>
      <c r="BK187" s="22">
        <v>683</v>
      </c>
      <c r="BL187" s="22">
        <v>672</v>
      </c>
      <c r="BM187" s="1">
        <v>667.2</v>
      </c>
      <c r="BN187" s="1">
        <v>655.1</v>
      </c>
      <c r="BO187" s="1">
        <v>661.8</v>
      </c>
      <c r="BP187" s="1">
        <v>671</v>
      </c>
    </row>
    <row r="188" spans="1:68" ht="15.9" customHeight="1">
      <c r="A188" s="81" t="s">
        <v>370</v>
      </c>
      <c r="B188" s="17" t="s">
        <v>371</v>
      </c>
      <c r="C188" s="26" t="str">
        <f>_xll.RssMarket("6753","始値")</f>
        <v/>
      </c>
      <c r="D188" s="25" t="e">
        <f t="shared" si="5"/>
        <v>#VALUE!</v>
      </c>
      <c r="E188" s="22">
        <v>640</v>
      </c>
      <c r="F188" s="22">
        <v>653.1</v>
      </c>
      <c r="G188" s="22">
        <v>641</v>
      </c>
      <c r="H188" s="22">
        <v>645.4</v>
      </c>
      <c r="I188" s="22">
        <v>647.1</v>
      </c>
      <c r="J188" s="22">
        <v>641</v>
      </c>
      <c r="K188" s="22">
        <v>655</v>
      </c>
      <c r="L188" s="22">
        <v>645</v>
      </c>
      <c r="M188" s="22">
        <v>647</v>
      </c>
      <c r="N188" s="22">
        <v>652</v>
      </c>
      <c r="O188" s="22">
        <v>643.79999999999995</v>
      </c>
      <c r="P188" s="22">
        <v>655</v>
      </c>
      <c r="Q188" s="22">
        <v>643.20000000000005</v>
      </c>
      <c r="R188" s="22">
        <v>610.79999999999995</v>
      </c>
      <c r="S188" s="22">
        <v>600.70000000000005</v>
      </c>
      <c r="T188" s="22">
        <v>659</v>
      </c>
      <c r="U188" s="22">
        <v>583.9</v>
      </c>
      <c r="V188" s="22">
        <v>577.4</v>
      </c>
      <c r="W188" s="22">
        <v>570.1</v>
      </c>
      <c r="X188" s="22">
        <v>594</v>
      </c>
      <c r="Y188" s="22">
        <v>590</v>
      </c>
      <c r="Z188" s="22">
        <v>594</v>
      </c>
      <c r="AA188" s="22">
        <v>610</v>
      </c>
      <c r="AB188" s="22">
        <v>611.20000000000005</v>
      </c>
      <c r="AC188" s="22">
        <v>630.5</v>
      </c>
      <c r="AD188" s="22">
        <v>626.20000000000005</v>
      </c>
      <c r="AE188" s="22">
        <v>649.79999999999995</v>
      </c>
      <c r="AF188" s="22">
        <v>650</v>
      </c>
      <c r="AG188" s="22">
        <v>675</v>
      </c>
      <c r="AH188" s="22">
        <v>663.2</v>
      </c>
      <c r="AI188" s="22">
        <v>651.6</v>
      </c>
      <c r="AJ188" s="22">
        <v>624</v>
      </c>
      <c r="AK188" s="22">
        <v>622</v>
      </c>
      <c r="AL188" s="22">
        <v>613</v>
      </c>
      <c r="AM188" s="22">
        <v>626.6</v>
      </c>
      <c r="AN188" s="22">
        <v>640.9</v>
      </c>
      <c r="AO188" s="22">
        <v>616.29999999999995</v>
      </c>
      <c r="AP188" s="22">
        <v>604.4</v>
      </c>
      <c r="AQ188" s="22">
        <v>635.4</v>
      </c>
      <c r="AR188" s="22">
        <v>615.79999999999995</v>
      </c>
      <c r="AS188" s="22">
        <v>609.9</v>
      </c>
      <c r="AT188" s="22">
        <v>574.9</v>
      </c>
      <c r="AU188" s="22">
        <v>581.1</v>
      </c>
      <c r="AV188" s="22">
        <v>550</v>
      </c>
      <c r="AW188" s="22">
        <v>555</v>
      </c>
      <c r="AX188" s="22">
        <v>554.29999999999995</v>
      </c>
      <c r="AY188" s="22">
        <v>563.79999999999995</v>
      </c>
      <c r="AZ188" s="22">
        <v>590.70000000000005</v>
      </c>
      <c r="BA188" s="22">
        <v>558.20000000000005</v>
      </c>
      <c r="BB188" s="22">
        <v>566.1</v>
      </c>
      <c r="BC188" s="22">
        <v>555</v>
      </c>
      <c r="BD188" s="22">
        <v>551</v>
      </c>
      <c r="BE188" s="22">
        <v>582</v>
      </c>
      <c r="BF188" s="22">
        <v>604.6</v>
      </c>
      <c r="BG188" s="22">
        <v>605.1</v>
      </c>
      <c r="BH188" s="22">
        <v>617</v>
      </c>
      <c r="BI188" s="22">
        <v>617</v>
      </c>
      <c r="BJ188" s="22">
        <v>604</v>
      </c>
      <c r="BK188" s="22">
        <v>600</v>
      </c>
      <c r="BL188" s="22">
        <v>596</v>
      </c>
      <c r="BM188" s="1">
        <v>595.70000000000005</v>
      </c>
      <c r="BN188" s="1">
        <v>594.4</v>
      </c>
      <c r="BO188" s="1">
        <v>608.79999999999995</v>
      </c>
      <c r="BP188" s="1">
        <v>628.20000000000005</v>
      </c>
    </row>
    <row r="189" spans="1:68" ht="15.9" customHeight="1">
      <c r="A189" s="81" t="s">
        <v>372</v>
      </c>
      <c r="B189" s="17" t="str">
        <f>銘柄管理!C189</f>
        <v/>
      </c>
      <c r="C189" s="26" t="str">
        <f>_xll.RssMarket("9064","始値")</f>
        <v/>
      </c>
      <c r="D189" s="25"/>
      <c r="E189" s="22">
        <v>1990</v>
      </c>
      <c r="F189" s="22">
        <v>1979.5</v>
      </c>
      <c r="G189" s="22">
        <v>1965</v>
      </c>
      <c r="H189" s="22">
        <v>1959.5</v>
      </c>
      <c r="I189" s="22">
        <v>1979.5</v>
      </c>
      <c r="J189" s="22">
        <v>1958.5</v>
      </c>
      <c r="K189" s="22">
        <v>1982</v>
      </c>
      <c r="L189" s="22">
        <v>1980</v>
      </c>
      <c r="M189" s="22">
        <v>1945.5</v>
      </c>
      <c r="N189" s="22">
        <v>1943</v>
      </c>
      <c r="O189" s="22">
        <v>1854</v>
      </c>
      <c r="P189" s="22">
        <v>1826.5</v>
      </c>
      <c r="Q189" s="22">
        <v>1855</v>
      </c>
      <c r="R189" s="22">
        <v>1825</v>
      </c>
      <c r="S189" s="22">
        <v>1823</v>
      </c>
      <c r="T189" s="22">
        <v>1775.5</v>
      </c>
      <c r="U189" s="22">
        <v>1763.5</v>
      </c>
      <c r="V189" s="22">
        <v>1764.5</v>
      </c>
      <c r="W189" s="22">
        <v>1770.5</v>
      </c>
      <c r="X189" s="22">
        <v>1750</v>
      </c>
      <c r="Y189" s="22">
        <v>1744</v>
      </c>
      <c r="Z189" s="22">
        <v>1770</v>
      </c>
      <c r="AA189" s="22">
        <v>1773.5</v>
      </c>
      <c r="AB189" s="22">
        <v>1784</v>
      </c>
      <c r="AC189" s="22">
        <v>1834.5</v>
      </c>
      <c r="AD189" s="22">
        <v>1795.5</v>
      </c>
      <c r="AE189" s="22">
        <v>1792.5</v>
      </c>
      <c r="AF189" s="22">
        <v>1785</v>
      </c>
      <c r="AG189" s="22">
        <v>1820</v>
      </c>
      <c r="AH189" s="22">
        <v>1823.5</v>
      </c>
      <c r="AI189" s="22">
        <v>1814</v>
      </c>
      <c r="AJ189" s="22">
        <v>1794.5</v>
      </c>
      <c r="AK189" s="22">
        <v>1818.5</v>
      </c>
      <c r="AL189" s="22">
        <v>1779.5</v>
      </c>
      <c r="AM189" s="22">
        <v>1787</v>
      </c>
      <c r="AN189" s="22">
        <v>1768.5</v>
      </c>
      <c r="AO189" s="22">
        <v>1775</v>
      </c>
      <c r="AP189" s="22">
        <v>1770</v>
      </c>
      <c r="AQ189" s="22">
        <v>1763</v>
      </c>
      <c r="AR189" s="22">
        <v>1760.5</v>
      </c>
      <c r="AS189" s="22">
        <v>1739.5</v>
      </c>
      <c r="AT189" s="22">
        <v>1740</v>
      </c>
      <c r="AU189" s="22">
        <v>1747</v>
      </c>
      <c r="AV189" s="22">
        <v>1745</v>
      </c>
      <c r="AW189" s="22">
        <v>1734.5</v>
      </c>
      <c r="AX189" s="22">
        <v>1775</v>
      </c>
      <c r="AY189" s="22">
        <v>1830</v>
      </c>
      <c r="AZ189" s="22">
        <v>1748.5</v>
      </c>
      <c r="BA189" s="22">
        <v>1724.5</v>
      </c>
      <c r="BB189" s="22">
        <v>1780.5</v>
      </c>
      <c r="BC189" s="22">
        <v>1791</v>
      </c>
      <c r="BD189" s="22">
        <v>1750</v>
      </c>
      <c r="BE189" s="22">
        <v>1764</v>
      </c>
      <c r="BF189" s="22">
        <v>1790</v>
      </c>
      <c r="BG189" s="22">
        <v>1815</v>
      </c>
      <c r="BH189" s="22">
        <v>1843.5</v>
      </c>
      <c r="BI189" s="22">
        <v>1855</v>
      </c>
      <c r="BJ189" s="22">
        <v>1860</v>
      </c>
      <c r="BK189" s="22">
        <v>1856.5</v>
      </c>
      <c r="BL189" s="22">
        <v>1866</v>
      </c>
      <c r="BM189" s="1">
        <v>1850.5</v>
      </c>
      <c r="BN189" s="1">
        <v>1834</v>
      </c>
      <c r="BO189" s="1">
        <v>1873</v>
      </c>
      <c r="BP189" s="1">
        <v>1878.5</v>
      </c>
    </row>
    <row r="190" spans="1:68" ht="15.9" customHeight="1">
      <c r="A190" s="81" t="s">
        <v>373</v>
      </c>
      <c r="B190" s="17" t="s">
        <v>374</v>
      </c>
      <c r="C190" s="26" t="str">
        <f>_xll.RssMarket("7181","始値")</f>
        <v/>
      </c>
      <c r="D190" s="25" t="e">
        <f>C190-E190</f>
        <v>#VALUE!</v>
      </c>
      <c r="E190" s="22">
        <v>1645</v>
      </c>
      <c r="F190" s="22">
        <v>1671</v>
      </c>
      <c r="G190" s="22">
        <v>1634</v>
      </c>
      <c r="H190" s="22">
        <v>1620</v>
      </c>
      <c r="I190" s="22">
        <v>1633.5</v>
      </c>
      <c r="J190" s="22">
        <v>1641</v>
      </c>
      <c r="K190" s="22">
        <v>1625</v>
      </c>
      <c r="L190" s="22">
        <v>1670</v>
      </c>
      <c r="M190" s="22">
        <v>1611.5</v>
      </c>
      <c r="N190" s="22">
        <v>1610</v>
      </c>
      <c r="O190" s="22">
        <v>1553</v>
      </c>
      <c r="P190" s="22">
        <v>1521.5</v>
      </c>
      <c r="Q190" s="22">
        <v>1511</v>
      </c>
      <c r="R190" s="22">
        <v>1502.5</v>
      </c>
      <c r="S190" s="22">
        <v>1484</v>
      </c>
      <c r="T190" s="22">
        <v>1498.5</v>
      </c>
      <c r="U190" s="22">
        <v>1558.5</v>
      </c>
      <c r="V190" s="22">
        <v>1530</v>
      </c>
      <c r="W190" s="22">
        <v>1500</v>
      </c>
      <c r="X190" s="22">
        <v>1529</v>
      </c>
      <c r="Y190" s="22">
        <v>1539</v>
      </c>
      <c r="Z190" s="22">
        <v>1580</v>
      </c>
      <c r="AA190" s="22">
        <v>1548.5</v>
      </c>
      <c r="AB190" s="22">
        <v>1535.5</v>
      </c>
      <c r="AC190" s="22">
        <v>1540</v>
      </c>
      <c r="AD190" s="22">
        <v>1570</v>
      </c>
      <c r="AE190" s="22">
        <v>1556.5</v>
      </c>
      <c r="AF190" s="22">
        <v>1423.5</v>
      </c>
      <c r="AG190" s="22">
        <v>1434.5</v>
      </c>
      <c r="AH190" s="22">
        <v>1391</v>
      </c>
      <c r="AI190" s="22">
        <v>1437</v>
      </c>
      <c r="AJ190" s="22">
        <v>1382.5</v>
      </c>
      <c r="AK190" s="22">
        <v>1400</v>
      </c>
      <c r="AL190" s="22">
        <v>1462</v>
      </c>
      <c r="AM190" s="22">
        <v>1470.5</v>
      </c>
      <c r="AN190" s="22">
        <v>1505.5</v>
      </c>
      <c r="AO190" s="22">
        <v>1551</v>
      </c>
      <c r="AP190" s="22">
        <v>1530</v>
      </c>
      <c r="AQ190" s="22">
        <v>1535</v>
      </c>
      <c r="AR190" s="22">
        <v>1474.5</v>
      </c>
      <c r="AS190" s="22">
        <v>1530</v>
      </c>
      <c r="AT190" s="22">
        <v>1616</v>
      </c>
      <c r="AU190" s="22">
        <v>1611</v>
      </c>
      <c r="AV190" s="22">
        <v>1568</v>
      </c>
      <c r="AW190" s="22">
        <v>1564</v>
      </c>
      <c r="AX190" s="22">
        <v>1553.5</v>
      </c>
      <c r="AY190" s="22">
        <v>1567</v>
      </c>
      <c r="AZ190" s="22">
        <v>1577.5</v>
      </c>
      <c r="BA190" s="22">
        <v>1518.5</v>
      </c>
      <c r="BB190" s="22">
        <v>1524.5</v>
      </c>
      <c r="BC190" s="22">
        <v>1511</v>
      </c>
      <c r="BD190" s="22">
        <v>1481</v>
      </c>
      <c r="BE190" s="22">
        <v>1506</v>
      </c>
      <c r="BF190" s="22">
        <v>1476</v>
      </c>
      <c r="BG190" s="22">
        <v>1542</v>
      </c>
      <c r="BH190" s="22">
        <v>1577.5</v>
      </c>
      <c r="BI190" s="22">
        <v>1614</v>
      </c>
      <c r="BJ190" s="22">
        <v>1644</v>
      </c>
      <c r="BK190" s="22">
        <v>1667</v>
      </c>
      <c r="BL190" s="22">
        <v>1649.5</v>
      </c>
      <c r="BM190" s="1">
        <v>1613</v>
      </c>
      <c r="BN190" s="1">
        <v>1583</v>
      </c>
      <c r="BO190" s="1">
        <v>1595.5</v>
      </c>
      <c r="BP190" s="1">
        <v>1630</v>
      </c>
    </row>
    <row r="191" spans="1:68" ht="15.9" customHeight="1">
      <c r="A191" s="81" t="s">
        <v>375</v>
      </c>
      <c r="B191" s="17" t="str">
        <f>銘柄管理!C191</f>
        <v/>
      </c>
      <c r="C191" s="26" t="str">
        <f>_xll.RssMarket("6485","始値")</f>
        <v/>
      </c>
      <c r="D191" s="25"/>
      <c r="E191" s="22">
        <v>1550</v>
      </c>
      <c r="F191" s="22">
        <v>1541</v>
      </c>
      <c r="G191" s="22">
        <v>1549</v>
      </c>
      <c r="H191" s="22">
        <v>1575</v>
      </c>
      <c r="I191" s="22">
        <v>1552</v>
      </c>
      <c r="J191" s="22">
        <v>1551</v>
      </c>
      <c r="K191" s="22">
        <v>1540</v>
      </c>
      <c r="L191" s="22">
        <v>1524</v>
      </c>
      <c r="M191" s="22">
        <v>1520</v>
      </c>
      <c r="N191" s="22">
        <v>1538</v>
      </c>
      <c r="O191" s="22">
        <v>1524</v>
      </c>
      <c r="P191" s="22">
        <v>1496</v>
      </c>
      <c r="Q191" s="22">
        <v>1503</v>
      </c>
      <c r="R191" s="22">
        <v>1502</v>
      </c>
      <c r="S191" s="22">
        <v>1489</v>
      </c>
      <c r="T191" s="22">
        <v>1477</v>
      </c>
      <c r="U191" s="22">
        <v>1463</v>
      </c>
      <c r="V191" s="22">
        <v>1470</v>
      </c>
      <c r="W191" s="22">
        <v>1483</v>
      </c>
      <c r="X191" s="22">
        <v>1474</v>
      </c>
      <c r="Y191" s="22">
        <v>1454</v>
      </c>
      <c r="Z191" s="22">
        <v>1458</v>
      </c>
      <c r="AA191" s="22">
        <v>1440</v>
      </c>
      <c r="AB191" s="22">
        <v>1430</v>
      </c>
      <c r="AC191" s="22">
        <v>1419</v>
      </c>
      <c r="AD191" s="22">
        <v>1435</v>
      </c>
      <c r="AE191" s="22">
        <v>1433</v>
      </c>
      <c r="AF191" s="22">
        <v>1420</v>
      </c>
      <c r="AG191" s="22">
        <v>1393</v>
      </c>
      <c r="AH191" s="22">
        <v>1381</v>
      </c>
      <c r="AI191" s="22">
        <v>1380</v>
      </c>
      <c r="AJ191" s="22">
        <v>1425</v>
      </c>
      <c r="AK191" s="22">
        <v>1420</v>
      </c>
      <c r="AL191" s="22">
        <v>1415</v>
      </c>
      <c r="AM191" s="22">
        <v>1419</v>
      </c>
      <c r="AN191" s="22">
        <v>1420</v>
      </c>
      <c r="AO191" s="22">
        <v>1430</v>
      </c>
      <c r="AP191" s="22">
        <v>1449</v>
      </c>
      <c r="AQ191" s="22">
        <v>1456</v>
      </c>
      <c r="AR191" s="22">
        <v>1475</v>
      </c>
      <c r="AS191" s="22">
        <v>1491</v>
      </c>
      <c r="AT191" s="22">
        <v>1490</v>
      </c>
      <c r="AU191" s="22">
        <v>1510</v>
      </c>
      <c r="AV191" s="22">
        <v>1515</v>
      </c>
      <c r="AW191" s="22">
        <v>1512</v>
      </c>
      <c r="AX191" s="22">
        <v>1510</v>
      </c>
      <c r="AY191" s="22">
        <v>1505</v>
      </c>
      <c r="AZ191" s="22">
        <v>1515</v>
      </c>
      <c r="BA191" s="22">
        <v>1484</v>
      </c>
      <c r="BB191" s="22">
        <v>1519</v>
      </c>
      <c r="BC191" s="22">
        <v>1504</v>
      </c>
      <c r="BD191" s="22">
        <v>1522</v>
      </c>
      <c r="BE191" s="22">
        <v>1550</v>
      </c>
      <c r="BF191" s="22">
        <v>1565</v>
      </c>
      <c r="BG191" s="22">
        <v>1562</v>
      </c>
      <c r="BH191" s="22">
        <v>1564</v>
      </c>
      <c r="BI191" s="22">
        <v>1586</v>
      </c>
      <c r="BJ191" s="22">
        <v>1591</v>
      </c>
      <c r="BK191" s="22">
        <v>1600</v>
      </c>
      <c r="BL191" s="22">
        <v>1606</v>
      </c>
      <c r="BM191" s="1">
        <v>1626</v>
      </c>
      <c r="BN191" s="1">
        <v>1629</v>
      </c>
      <c r="BO191" s="1">
        <v>1620</v>
      </c>
      <c r="BP191" s="1">
        <v>1589</v>
      </c>
    </row>
    <row r="192" spans="1:68" ht="15.9" customHeight="1">
      <c r="A192" s="81" t="s">
        <v>376</v>
      </c>
      <c r="B192" s="17" t="s">
        <v>377</v>
      </c>
      <c r="C192" s="26" t="str">
        <f>_xll.RssMarket("4887","始値")</f>
        <v/>
      </c>
      <c r="D192" s="25" t="e">
        <f t="shared" ref="D192:D208" si="6">C192-E192</f>
        <v>#VALUE!</v>
      </c>
      <c r="E192" s="22">
        <v>1675</v>
      </c>
      <c r="F192" s="22">
        <v>1685</v>
      </c>
      <c r="G192" s="22">
        <v>1680</v>
      </c>
      <c r="H192" s="22">
        <v>1701.5</v>
      </c>
      <c r="I192" s="22">
        <v>1745</v>
      </c>
      <c r="J192" s="22">
        <v>1750</v>
      </c>
      <c r="K192" s="22">
        <v>1718</v>
      </c>
      <c r="L192" s="22">
        <v>1725</v>
      </c>
      <c r="M192" s="22">
        <v>1697</v>
      </c>
      <c r="N192" s="22">
        <v>1685</v>
      </c>
      <c r="O192" s="22">
        <v>1670</v>
      </c>
      <c r="P192" s="22">
        <v>1644.5</v>
      </c>
      <c r="Q192" s="22">
        <v>1625</v>
      </c>
      <c r="R192" s="22">
        <v>1668</v>
      </c>
      <c r="S192" s="22">
        <v>1646.5</v>
      </c>
      <c r="T192" s="22">
        <v>1621</v>
      </c>
      <c r="U192" s="22">
        <v>1630</v>
      </c>
      <c r="V192" s="22">
        <v>1633.5</v>
      </c>
      <c r="W192" s="22">
        <v>1669.5</v>
      </c>
      <c r="X192" s="22">
        <v>1662.5</v>
      </c>
      <c r="Y192" s="22">
        <v>1664</v>
      </c>
      <c r="Z192" s="22">
        <v>1683</v>
      </c>
      <c r="AA192" s="22">
        <v>1692</v>
      </c>
      <c r="AB192" s="22">
        <v>1710</v>
      </c>
      <c r="AC192" s="22">
        <v>1718</v>
      </c>
      <c r="AD192" s="22">
        <v>1691</v>
      </c>
      <c r="AE192" s="22">
        <v>1733</v>
      </c>
      <c r="AF192" s="22">
        <v>1725</v>
      </c>
      <c r="AG192" s="22">
        <v>1685</v>
      </c>
      <c r="AH192" s="22">
        <v>1718</v>
      </c>
      <c r="AI192" s="22">
        <v>1731</v>
      </c>
      <c r="AJ192" s="22">
        <v>1776</v>
      </c>
      <c r="AK192" s="22">
        <v>1759</v>
      </c>
      <c r="AL192" s="22">
        <v>1771</v>
      </c>
      <c r="AM192" s="22">
        <v>1750</v>
      </c>
      <c r="AN192" s="22">
        <v>1824</v>
      </c>
      <c r="AO192" s="22">
        <v>1815</v>
      </c>
      <c r="AP192" s="22">
        <v>1741</v>
      </c>
      <c r="AQ192" s="22">
        <v>1782.5</v>
      </c>
      <c r="AR192" s="22">
        <v>2070</v>
      </c>
      <c r="AS192" s="22">
        <v>2090</v>
      </c>
      <c r="AT192" s="22">
        <v>2071</v>
      </c>
      <c r="AU192" s="22">
        <v>2099.5</v>
      </c>
      <c r="AV192" s="22">
        <v>2101.5</v>
      </c>
      <c r="AW192" s="22">
        <v>2131</v>
      </c>
      <c r="AX192" s="22">
        <v>2088</v>
      </c>
      <c r="AY192" s="22">
        <v>2104.5</v>
      </c>
      <c r="AZ192" s="22">
        <v>2105.5</v>
      </c>
      <c r="BA192" s="22">
        <v>2073</v>
      </c>
      <c r="BB192" s="22">
        <v>2100</v>
      </c>
      <c r="BC192" s="22">
        <v>2093.5</v>
      </c>
      <c r="BD192" s="22">
        <v>2094.5</v>
      </c>
      <c r="BE192" s="22">
        <v>2162</v>
      </c>
      <c r="BF192" s="22">
        <v>2175</v>
      </c>
      <c r="BG192" s="22">
        <v>2225</v>
      </c>
      <c r="BH192" s="22">
        <v>2239.5</v>
      </c>
      <c r="BI192" s="22">
        <v>2240</v>
      </c>
      <c r="BJ192" s="22">
        <v>2177</v>
      </c>
      <c r="BK192" s="22">
        <v>2226.5</v>
      </c>
      <c r="BL192" s="22">
        <v>2251.5</v>
      </c>
      <c r="BM192" s="1">
        <v>2252</v>
      </c>
      <c r="BN192" s="1">
        <v>2260</v>
      </c>
    </row>
    <row r="193" spans="1:68" ht="15.9" customHeight="1">
      <c r="A193" s="81" t="s">
        <v>378</v>
      </c>
      <c r="B193" s="17" t="s">
        <v>379</v>
      </c>
      <c r="C193" s="26" t="str">
        <f>_xll.RssMarket("5243","始値")</f>
        <v/>
      </c>
      <c r="D193" s="25" t="e">
        <f t="shared" si="6"/>
        <v>#VALUE!</v>
      </c>
      <c r="E193" s="22">
        <v>2123</v>
      </c>
      <c r="F193" s="22">
        <v>2052</v>
      </c>
      <c r="G193" s="22">
        <v>2091</v>
      </c>
      <c r="H193" s="22">
        <v>2254</v>
      </c>
      <c r="I193" s="22">
        <v>1990</v>
      </c>
      <c r="J193" s="22">
        <v>2189</v>
      </c>
      <c r="K193" s="22">
        <v>2319</v>
      </c>
      <c r="L193" s="22">
        <v>2260</v>
      </c>
      <c r="M193" s="22">
        <v>2130</v>
      </c>
      <c r="N193" s="22">
        <v>2058</v>
      </c>
      <c r="O193" s="22">
        <v>1931</v>
      </c>
      <c r="P193" s="22">
        <v>1905</v>
      </c>
      <c r="Q193" s="22">
        <v>1860</v>
      </c>
      <c r="R193" s="22">
        <v>1764</v>
      </c>
      <c r="S193" s="22">
        <v>1730</v>
      </c>
      <c r="T193" s="22">
        <v>1760</v>
      </c>
      <c r="U193" s="22">
        <v>1781</v>
      </c>
      <c r="V193" s="22">
        <v>1823</v>
      </c>
      <c r="W193" s="22">
        <v>1758</v>
      </c>
      <c r="X193" s="22">
        <v>1889</v>
      </c>
      <c r="Y193" s="22">
        <v>1824</v>
      </c>
      <c r="Z193" s="22">
        <v>1749</v>
      </c>
      <c r="AA193" s="22">
        <v>1692</v>
      </c>
      <c r="AB193" s="22">
        <v>1678</v>
      </c>
      <c r="AC193" s="22">
        <v>1712</v>
      </c>
      <c r="AD193" s="22">
        <v>1636</v>
      </c>
      <c r="AE193" s="22">
        <v>1725</v>
      </c>
      <c r="AF193" s="22">
        <v>1795</v>
      </c>
      <c r="AG193" s="22">
        <v>1815</v>
      </c>
      <c r="AH193" s="22">
        <v>1866</v>
      </c>
      <c r="AI193" s="22">
        <v>1900</v>
      </c>
      <c r="AJ193" s="22">
        <v>1975</v>
      </c>
      <c r="AK193" s="22">
        <v>2090</v>
      </c>
      <c r="AL193" s="22">
        <v>2092</v>
      </c>
      <c r="AM193" s="22">
        <v>2200</v>
      </c>
      <c r="AN193" s="22">
        <v>2250</v>
      </c>
      <c r="AO193" s="22">
        <v>2197</v>
      </c>
      <c r="AP193" s="22">
        <v>2150</v>
      </c>
      <c r="AQ193" s="22">
        <v>2208</v>
      </c>
      <c r="AR193" s="22">
        <v>2300</v>
      </c>
      <c r="AS193" s="22">
        <v>2220</v>
      </c>
      <c r="AT193" s="22">
        <v>2299</v>
      </c>
      <c r="AU193" s="22">
        <v>2407</v>
      </c>
      <c r="AV193" s="22">
        <v>2273</v>
      </c>
      <c r="AW193" s="22">
        <v>2135</v>
      </c>
      <c r="AX193" s="22">
        <v>2160</v>
      </c>
      <c r="AY193" s="22">
        <v>2288</v>
      </c>
      <c r="AZ193" s="22">
        <v>2359</v>
      </c>
      <c r="BA193" s="22">
        <v>2405</v>
      </c>
      <c r="BB193" s="22">
        <v>2457</v>
      </c>
      <c r="BC193" s="22">
        <v>2330</v>
      </c>
      <c r="BD193" s="22">
        <v>2385</v>
      </c>
      <c r="BE193" s="22">
        <v>2476</v>
      </c>
      <c r="BF193" s="22">
        <v>2556</v>
      </c>
      <c r="BG193" s="22">
        <v>2536</v>
      </c>
      <c r="BH193" s="22">
        <v>2615</v>
      </c>
      <c r="BI193" s="22">
        <v>2570</v>
      </c>
      <c r="BJ193" s="22">
        <v>2706</v>
      </c>
      <c r="BK193" s="22">
        <v>2631</v>
      </c>
      <c r="BL193" s="22">
        <v>3400</v>
      </c>
      <c r="BM193" s="1">
        <v>2900</v>
      </c>
      <c r="BN193" s="1">
        <v>2681</v>
      </c>
      <c r="BO193" s="1">
        <v>2695</v>
      </c>
      <c r="BP193" s="1">
        <v>2694</v>
      </c>
    </row>
    <row r="194" spans="1:68" ht="15.9" customHeight="1">
      <c r="A194" s="81" t="s">
        <v>380</v>
      </c>
      <c r="B194" s="17" t="s">
        <v>381</v>
      </c>
      <c r="C194" s="26" t="str">
        <f>_xll.RssMarket("2702","始値")</f>
        <v/>
      </c>
      <c r="D194" s="25" t="e">
        <f t="shared" si="6"/>
        <v>#VALUE!</v>
      </c>
      <c r="E194" s="22">
        <v>7530</v>
      </c>
      <c r="F194" s="22">
        <v>7700</v>
      </c>
      <c r="G194" s="22">
        <v>7780</v>
      </c>
      <c r="H194" s="22">
        <v>7680</v>
      </c>
      <c r="I194" s="22">
        <v>7850</v>
      </c>
      <c r="J194" s="22">
        <v>7730</v>
      </c>
      <c r="K194" s="22">
        <v>7640</v>
      </c>
      <c r="L194" s="22">
        <v>7680</v>
      </c>
      <c r="M194" s="22">
        <v>7690</v>
      </c>
      <c r="N194" s="22">
        <v>7450</v>
      </c>
      <c r="O194" s="22">
        <v>7430</v>
      </c>
      <c r="P194" s="22">
        <v>7670</v>
      </c>
      <c r="Q194" s="22">
        <v>7470</v>
      </c>
      <c r="R194" s="22">
        <v>7420</v>
      </c>
      <c r="S194" s="22">
        <v>7240</v>
      </c>
      <c r="T194" s="22">
        <v>7140</v>
      </c>
      <c r="U194" s="22">
        <v>7130</v>
      </c>
      <c r="V194" s="22">
        <v>7250</v>
      </c>
      <c r="W194" s="22">
        <v>7290</v>
      </c>
      <c r="X194" s="22">
        <v>7410</v>
      </c>
      <c r="Y194" s="22">
        <v>7380</v>
      </c>
      <c r="Z194" s="22">
        <v>7480</v>
      </c>
      <c r="AA194" s="22">
        <v>7500</v>
      </c>
      <c r="AB194" s="22">
        <v>7410</v>
      </c>
      <c r="AC194" s="22">
        <v>7330</v>
      </c>
      <c r="AD194" s="22">
        <v>7350</v>
      </c>
      <c r="AE194" s="22">
        <v>7360</v>
      </c>
      <c r="AF194" s="22">
        <v>7460</v>
      </c>
      <c r="AG194" s="22">
        <v>7500</v>
      </c>
      <c r="AH194" s="22">
        <v>7520</v>
      </c>
      <c r="AI194" s="22">
        <v>7640</v>
      </c>
      <c r="AJ194" s="22">
        <v>7830</v>
      </c>
      <c r="AK194" s="22">
        <v>7820</v>
      </c>
      <c r="AL194" s="22">
        <v>8050</v>
      </c>
      <c r="AM194" s="22">
        <v>8180</v>
      </c>
      <c r="AN194" s="22">
        <v>8040</v>
      </c>
      <c r="AO194" s="22">
        <v>8180</v>
      </c>
      <c r="AP194" s="22">
        <v>8000</v>
      </c>
      <c r="AQ194" s="22">
        <v>7810</v>
      </c>
      <c r="AR194" s="22">
        <v>8190</v>
      </c>
      <c r="AS194" s="22">
        <v>8300</v>
      </c>
      <c r="AT194" s="22">
        <v>8580</v>
      </c>
      <c r="AU194" s="22">
        <v>8420</v>
      </c>
      <c r="AV194" s="22">
        <v>7750</v>
      </c>
      <c r="AW194" s="22">
        <v>7810</v>
      </c>
      <c r="AX194" s="22">
        <v>7970</v>
      </c>
      <c r="AY194" s="22">
        <v>8120</v>
      </c>
      <c r="AZ194" s="22">
        <v>8120</v>
      </c>
      <c r="BA194" s="22">
        <v>8190</v>
      </c>
      <c r="BB194" s="22">
        <v>8240</v>
      </c>
      <c r="BC194" s="22">
        <v>8080</v>
      </c>
      <c r="BD194" s="22">
        <v>8140</v>
      </c>
      <c r="BE194" s="22">
        <v>8180</v>
      </c>
      <c r="BF194" s="22">
        <v>8250</v>
      </c>
      <c r="BG194" s="22">
        <v>8280</v>
      </c>
      <c r="BH194" s="22">
        <v>8200</v>
      </c>
      <c r="BI194" s="22">
        <v>8200</v>
      </c>
      <c r="BJ194" s="22">
        <v>8280</v>
      </c>
      <c r="BK194" s="22">
        <v>8050</v>
      </c>
      <c r="BL194" s="22">
        <v>8040</v>
      </c>
      <c r="BM194" s="1">
        <v>8220</v>
      </c>
      <c r="BN194" s="1">
        <v>8470</v>
      </c>
      <c r="BO194" s="1">
        <v>8600</v>
      </c>
      <c r="BP194" s="1">
        <v>8660</v>
      </c>
    </row>
    <row r="195" spans="1:68" ht="15.9" customHeight="1">
      <c r="A195" s="81" t="s">
        <v>382</v>
      </c>
      <c r="B195" s="17" t="s">
        <v>383</v>
      </c>
      <c r="C195" s="26" t="str">
        <f>_xll.RssMarket("6890","始値")</f>
        <v/>
      </c>
      <c r="D195" s="25" t="e">
        <f t="shared" si="6"/>
        <v>#VALUE!</v>
      </c>
      <c r="E195" s="22">
        <v>7350</v>
      </c>
      <c r="F195" s="22">
        <v>8160</v>
      </c>
      <c r="G195" s="22">
        <v>8280</v>
      </c>
      <c r="H195" s="22">
        <v>9000</v>
      </c>
      <c r="I195" s="22">
        <v>8740</v>
      </c>
      <c r="J195" s="22">
        <v>8600</v>
      </c>
      <c r="K195" s="22">
        <v>8140</v>
      </c>
      <c r="L195" s="22">
        <v>8840</v>
      </c>
      <c r="M195" s="22">
        <v>9240</v>
      </c>
      <c r="N195" s="22">
        <v>8650</v>
      </c>
      <c r="O195" s="22">
        <v>9250</v>
      </c>
      <c r="P195" s="22">
        <v>9800</v>
      </c>
      <c r="Q195" s="22">
        <v>9330</v>
      </c>
      <c r="R195" s="22">
        <v>9240</v>
      </c>
      <c r="S195" s="22">
        <v>9790</v>
      </c>
      <c r="T195" s="22">
        <v>10400</v>
      </c>
      <c r="U195" s="22">
        <v>10500</v>
      </c>
      <c r="V195" s="22">
        <v>11610</v>
      </c>
      <c r="W195" s="22">
        <v>10590</v>
      </c>
      <c r="X195" s="22">
        <v>10580</v>
      </c>
      <c r="Y195" s="22">
        <v>9580</v>
      </c>
      <c r="Z195" s="22">
        <v>9020</v>
      </c>
      <c r="AA195" s="22">
        <v>9210</v>
      </c>
      <c r="AB195" s="22">
        <v>9390</v>
      </c>
      <c r="AC195" s="22">
        <v>8780</v>
      </c>
      <c r="AD195" s="22">
        <v>7580</v>
      </c>
      <c r="AE195" s="22">
        <v>8120</v>
      </c>
      <c r="AF195" s="22">
        <v>8500</v>
      </c>
      <c r="AG195" s="22">
        <v>8900</v>
      </c>
      <c r="AH195" s="22">
        <v>7950</v>
      </c>
      <c r="AI195" s="22">
        <v>8210</v>
      </c>
      <c r="AJ195" s="22">
        <v>8000</v>
      </c>
      <c r="AK195" s="22">
        <v>8570</v>
      </c>
      <c r="AL195" s="22">
        <v>8470</v>
      </c>
      <c r="AM195" s="22">
        <v>9200</v>
      </c>
      <c r="AN195" s="22">
        <v>9000</v>
      </c>
      <c r="AO195" s="22">
        <v>9200</v>
      </c>
      <c r="AP195" s="22">
        <v>8780</v>
      </c>
      <c r="AQ195" s="22">
        <v>9300</v>
      </c>
      <c r="AR195" s="22">
        <v>9610</v>
      </c>
      <c r="AS195" s="22">
        <v>9780</v>
      </c>
      <c r="AT195" s="22">
        <v>9650</v>
      </c>
      <c r="AU195" s="22">
        <v>9170</v>
      </c>
      <c r="AV195" s="22">
        <v>9760</v>
      </c>
      <c r="AW195" s="22">
        <v>9810</v>
      </c>
      <c r="AX195" s="22">
        <v>9090</v>
      </c>
      <c r="AY195" s="22">
        <v>8370</v>
      </c>
      <c r="AZ195" s="22">
        <v>7650</v>
      </c>
      <c r="BA195" s="22">
        <v>7740</v>
      </c>
      <c r="BB195" s="22">
        <v>7220</v>
      </c>
      <c r="BC195" s="22">
        <v>7510</v>
      </c>
      <c r="BD195" s="22">
        <v>7200</v>
      </c>
      <c r="BE195" s="22">
        <v>7100</v>
      </c>
      <c r="BF195" s="22">
        <v>6720</v>
      </c>
      <c r="BG195" s="22">
        <v>6800</v>
      </c>
      <c r="BH195" s="22">
        <v>6800</v>
      </c>
      <c r="BI195" s="22">
        <v>6780</v>
      </c>
      <c r="BJ195" s="22">
        <v>6780</v>
      </c>
      <c r="BK195" s="22">
        <v>6930</v>
      </c>
      <c r="BL195" s="22">
        <v>7130</v>
      </c>
      <c r="BM195" s="1">
        <v>7000</v>
      </c>
      <c r="BN195" s="1">
        <v>7000</v>
      </c>
      <c r="BO195" s="1">
        <v>6750</v>
      </c>
      <c r="BP195" s="1">
        <v>6740</v>
      </c>
    </row>
    <row r="196" spans="1:68" ht="15.9" customHeight="1">
      <c r="A196" s="81" t="s">
        <v>384</v>
      </c>
      <c r="B196" s="17" t="s">
        <v>385</v>
      </c>
      <c r="C196" s="26" t="str">
        <f>_xll.RssMarket("4966","始値")</f>
        <v/>
      </c>
      <c r="D196" s="25" t="e">
        <f t="shared" si="6"/>
        <v>#VALUE!</v>
      </c>
      <c r="E196" s="22">
        <v>23800</v>
      </c>
      <c r="F196" s="22">
        <v>24520</v>
      </c>
      <c r="G196" s="22">
        <v>23260</v>
      </c>
      <c r="H196" s="22">
        <v>24400</v>
      </c>
      <c r="I196" s="22">
        <v>25250</v>
      </c>
      <c r="J196" s="22">
        <v>24750</v>
      </c>
      <c r="K196" s="22">
        <v>23150</v>
      </c>
      <c r="L196" s="22">
        <v>25300</v>
      </c>
      <c r="M196" s="22">
        <v>27130</v>
      </c>
      <c r="N196" s="22">
        <v>25000</v>
      </c>
      <c r="O196" s="22">
        <v>26610</v>
      </c>
      <c r="P196" s="22">
        <v>27870</v>
      </c>
      <c r="Q196" s="22">
        <v>26850</v>
      </c>
      <c r="R196" s="22">
        <v>26670</v>
      </c>
      <c r="S196" s="22">
        <v>27500</v>
      </c>
      <c r="T196" s="22">
        <v>27690</v>
      </c>
      <c r="U196" s="22">
        <v>26930</v>
      </c>
      <c r="V196" s="22">
        <v>28200</v>
      </c>
      <c r="W196" s="22">
        <v>27540</v>
      </c>
      <c r="X196" s="22">
        <v>27140</v>
      </c>
      <c r="Y196" s="22">
        <v>26520</v>
      </c>
      <c r="Z196" s="22">
        <v>26000</v>
      </c>
      <c r="AA196" s="22">
        <v>26190</v>
      </c>
      <c r="AB196" s="22">
        <v>24840</v>
      </c>
      <c r="AC196" s="22">
        <v>24050</v>
      </c>
      <c r="AD196" s="22">
        <v>22230</v>
      </c>
      <c r="AE196" s="22">
        <v>22450</v>
      </c>
      <c r="AF196" s="22">
        <v>21240</v>
      </c>
      <c r="AG196" s="22">
        <v>23020</v>
      </c>
      <c r="AH196" s="22">
        <v>23500</v>
      </c>
      <c r="AI196" s="22">
        <v>23250</v>
      </c>
      <c r="AJ196" s="22">
        <v>23080</v>
      </c>
      <c r="AK196" s="22">
        <v>23560</v>
      </c>
      <c r="AL196" s="22">
        <v>23570</v>
      </c>
      <c r="AM196" s="22">
        <v>24110</v>
      </c>
      <c r="AN196" s="22">
        <v>24450</v>
      </c>
      <c r="AO196" s="22">
        <v>23440</v>
      </c>
      <c r="AP196" s="22">
        <v>23250</v>
      </c>
      <c r="AQ196" s="22">
        <v>22310</v>
      </c>
      <c r="AR196" s="22">
        <v>24240</v>
      </c>
      <c r="AS196" s="22">
        <v>23990</v>
      </c>
      <c r="AT196" s="22">
        <v>26180</v>
      </c>
      <c r="AU196" s="22">
        <v>25010</v>
      </c>
      <c r="AV196" s="22">
        <v>24370</v>
      </c>
      <c r="AW196" s="22">
        <v>24580</v>
      </c>
      <c r="AX196" s="22">
        <v>24000</v>
      </c>
      <c r="AY196" s="22">
        <v>23300</v>
      </c>
      <c r="AZ196" s="22">
        <v>23440</v>
      </c>
      <c r="BA196" s="22">
        <v>23440</v>
      </c>
      <c r="BB196" s="22">
        <v>23500</v>
      </c>
      <c r="BC196" s="22">
        <v>23150</v>
      </c>
      <c r="BD196" s="22">
        <v>23500</v>
      </c>
      <c r="BE196" s="22">
        <v>23160</v>
      </c>
      <c r="BF196" s="22">
        <v>23700</v>
      </c>
      <c r="BG196" s="22">
        <v>23020</v>
      </c>
      <c r="BH196" s="22">
        <v>23050</v>
      </c>
      <c r="BI196" s="22">
        <v>23000</v>
      </c>
      <c r="BJ196" s="22">
        <v>24130</v>
      </c>
      <c r="BK196" s="22">
        <v>24390</v>
      </c>
      <c r="BL196" s="22">
        <v>24500</v>
      </c>
      <c r="BM196" s="1">
        <v>24200</v>
      </c>
      <c r="BN196" s="1">
        <v>22890</v>
      </c>
      <c r="BO196" s="1">
        <v>22670</v>
      </c>
      <c r="BP196" s="1">
        <v>22600</v>
      </c>
    </row>
    <row r="197" spans="1:68" ht="15.9" customHeight="1">
      <c r="A197" s="81" t="s">
        <v>386</v>
      </c>
      <c r="B197" s="17" t="s">
        <v>387</v>
      </c>
      <c r="C197" s="26" t="str">
        <f>_xll.RssMarket("6146","始値")</f>
        <v/>
      </c>
      <c r="D197" s="25" t="e">
        <f t="shared" si="6"/>
        <v>#VALUE!</v>
      </c>
      <c r="E197" s="22">
        <v>65680</v>
      </c>
      <c r="F197" s="22">
        <v>72150</v>
      </c>
      <c r="G197" s="22">
        <v>70030</v>
      </c>
      <c r="H197" s="22">
        <v>71710</v>
      </c>
      <c r="I197" s="22">
        <v>72890</v>
      </c>
      <c r="J197" s="22">
        <v>70140</v>
      </c>
      <c r="K197" s="22">
        <v>68900</v>
      </c>
      <c r="L197" s="22">
        <v>75600</v>
      </c>
      <c r="M197" s="22">
        <v>78000</v>
      </c>
      <c r="N197" s="22">
        <v>74000</v>
      </c>
      <c r="O197" s="22">
        <v>78800</v>
      </c>
      <c r="P197" s="22">
        <v>85340</v>
      </c>
      <c r="Q197" s="22">
        <v>81820</v>
      </c>
      <c r="R197" s="22">
        <v>79590</v>
      </c>
      <c r="S197" s="22">
        <v>82970</v>
      </c>
      <c r="T197" s="22">
        <v>83940</v>
      </c>
      <c r="U197" s="22">
        <v>82120</v>
      </c>
      <c r="V197" s="22">
        <v>90970</v>
      </c>
      <c r="W197" s="22">
        <v>86030</v>
      </c>
      <c r="X197" s="22">
        <v>87540</v>
      </c>
      <c r="Y197" s="22">
        <v>83500</v>
      </c>
      <c r="Z197" s="22">
        <v>80050</v>
      </c>
      <c r="AA197" s="22">
        <v>84610</v>
      </c>
      <c r="AB197" s="22">
        <v>82650</v>
      </c>
      <c r="AC197" s="22">
        <v>73750</v>
      </c>
      <c r="AD197" s="22">
        <v>68560</v>
      </c>
      <c r="AE197" s="22">
        <v>70020</v>
      </c>
      <c r="AF197" s="22">
        <v>66580</v>
      </c>
      <c r="AG197" s="22">
        <v>73160</v>
      </c>
      <c r="AH197" s="22">
        <v>68160</v>
      </c>
      <c r="AI197" s="22">
        <v>65910</v>
      </c>
      <c r="AJ197" s="22">
        <v>63070</v>
      </c>
      <c r="AK197" s="22">
        <v>65690</v>
      </c>
      <c r="AL197" s="22">
        <v>66630</v>
      </c>
      <c r="AM197" s="22">
        <v>68740</v>
      </c>
      <c r="AN197" s="22">
        <v>67240</v>
      </c>
      <c r="AO197" s="22">
        <v>66700</v>
      </c>
      <c r="AP197" s="22">
        <v>63600</v>
      </c>
      <c r="AQ197" s="22">
        <v>61200</v>
      </c>
      <c r="AR197" s="22">
        <v>63500</v>
      </c>
      <c r="AS197" s="22">
        <v>65400</v>
      </c>
      <c r="AT197" s="22">
        <v>71500</v>
      </c>
      <c r="AU197" s="22">
        <v>73500</v>
      </c>
      <c r="AV197" s="22">
        <v>71370</v>
      </c>
      <c r="AW197" s="22">
        <v>73650</v>
      </c>
      <c r="AX197" s="22">
        <v>74770</v>
      </c>
      <c r="AY197" s="22">
        <v>75840</v>
      </c>
      <c r="AZ197" s="22">
        <v>76060</v>
      </c>
      <c r="BA197" s="22">
        <v>73860</v>
      </c>
      <c r="BB197" s="22">
        <v>74540</v>
      </c>
      <c r="BC197" s="22">
        <v>75100</v>
      </c>
      <c r="BD197" s="22">
        <v>73000</v>
      </c>
      <c r="BE197" s="22">
        <v>73030</v>
      </c>
      <c r="BF197" s="22">
        <v>76330</v>
      </c>
      <c r="BG197" s="22">
        <v>74500</v>
      </c>
      <c r="BH197" s="22">
        <v>72000</v>
      </c>
      <c r="BI197" s="22">
        <v>73400</v>
      </c>
      <c r="BJ197" s="22">
        <v>72550</v>
      </c>
      <c r="BK197" s="22">
        <v>71750</v>
      </c>
      <c r="BL197" s="22">
        <v>72950</v>
      </c>
      <c r="BM197" s="1">
        <v>70540</v>
      </c>
      <c r="BN197" s="1">
        <v>66200</v>
      </c>
      <c r="BO197" s="1">
        <v>65760</v>
      </c>
      <c r="BP197" s="1">
        <v>65500</v>
      </c>
    </row>
    <row r="198" spans="1:68" ht="15.9" customHeight="1">
      <c r="A198" s="81" t="s">
        <v>388</v>
      </c>
      <c r="B198" s="17" t="s">
        <v>389</v>
      </c>
      <c r="C198" s="26" t="str">
        <f>_xll.RssMarket("8035","始値")</f>
        <v/>
      </c>
      <c r="D198" s="25" t="e">
        <f t="shared" si="6"/>
        <v>#VALUE!</v>
      </c>
      <c r="E198" s="22">
        <v>67000</v>
      </c>
      <c r="F198" s="22">
        <v>71900</v>
      </c>
      <c r="G198" s="22">
        <v>69800</v>
      </c>
      <c r="H198" s="22">
        <v>71900</v>
      </c>
      <c r="I198" s="22">
        <v>72900</v>
      </c>
      <c r="J198" s="22">
        <v>69900</v>
      </c>
      <c r="K198" s="22">
        <v>67470</v>
      </c>
      <c r="L198" s="22">
        <v>71710</v>
      </c>
      <c r="M198" s="22">
        <v>74090</v>
      </c>
      <c r="N198" s="22">
        <v>69940</v>
      </c>
      <c r="O198" s="22">
        <v>74300</v>
      </c>
      <c r="P198" s="22">
        <v>78650</v>
      </c>
      <c r="Q198" s="22">
        <v>76980</v>
      </c>
      <c r="R198" s="22">
        <v>73500</v>
      </c>
      <c r="S198" s="22">
        <v>72560</v>
      </c>
      <c r="T198" s="22">
        <v>72400</v>
      </c>
      <c r="U198" s="22">
        <v>71760</v>
      </c>
      <c r="V198" s="22">
        <v>77500</v>
      </c>
      <c r="W198" s="22">
        <v>73990</v>
      </c>
      <c r="X198" s="22">
        <v>77580</v>
      </c>
      <c r="Y198" s="22">
        <v>73870</v>
      </c>
      <c r="Z198" s="22">
        <v>69970</v>
      </c>
      <c r="AA198" s="22">
        <v>71510</v>
      </c>
      <c r="AB198" s="22">
        <v>74800</v>
      </c>
      <c r="AC198" s="22">
        <v>68400</v>
      </c>
      <c r="AD198" s="22">
        <v>61000</v>
      </c>
      <c r="AE198" s="22">
        <v>61110</v>
      </c>
      <c r="AF198" s="22">
        <v>55650</v>
      </c>
      <c r="AG198" s="22">
        <v>62000</v>
      </c>
      <c r="AH198" s="22">
        <v>59900</v>
      </c>
      <c r="AI198" s="22">
        <v>56710</v>
      </c>
      <c r="AJ198" s="22">
        <v>53060</v>
      </c>
      <c r="AK198" s="22">
        <v>52780</v>
      </c>
      <c r="AL198" s="22">
        <v>52000</v>
      </c>
      <c r="AM198" s="22">
        <v>52870</v>
      </c>
      <c r="AN198" s="22">
        <v>50530</v>
      </c>
      <c r="AO198" s="22">
        <v>49050</v>
      </c>
      <c r="AP198" s="22">
        <v>47650</v>
      </c>
      <c r="AQ198" s="22">
        <v>46700</v>
      </c>
      <c r="AR198" s="22">
        <v>49960</v>
      </c>
      <c r="AS198" s="22">
        <v>50600</v>
      </c>
      <c r="AT198" s="22">
        <v>52150</v>
      </c>
      <c r="AU198" s="22">
        <v>51590</v>
      </c>
      <c r="AV198" s="22">
        <v>51510</v>
      </c>
      <c r="AW198" s="22">
        <v>53000</v>
      </c>
      <c r="AX198" s="22">
        <v>53500</v>
      </c>
      <c r="AY198" s="22">
        <v>51720</v>
      </c>
      <c r="AZ198" s="22">
        <v>51180</v>
      </c>
      <c r="BA198" s="22">
        <v>47000</v>
      </c>
      <c r="BB198" s="22">
        <v>45000</v>
      </c>
      <c r="BC198" s="22">
        <v>46880</v>
      </c>
      <c r="BD198" s="22">
        <v>46460</v>
      </c>
      <c r="BE198" s="22">
        <v>45450</v>
      </c>
      <c r="BF198" s="22">
        <v>46150</v>
      </c>
      <c r="BG198" s="22">
        <v>45170</v>
      </c>
      <c r="BH198" s="22">
        <v>44740</v>
      </c>
      <c r="BI198" s="22">
        <v>43870</v>
      </c>
      <c r="BJ198" s="22">
        <v>45120</v>
      </c>
      <c r="BK198" s="22">
        <v>44200</v>
      </c>
      <c r="BL198" s="22">
        <v>43870</v>
      </c>
      <c r="BM198" s="1">
        <v>43160</v>
      </c>
      <c r="BN198" s="1">
        <v>43370</v>
      </c>
      <c r="BO198" s="1">
        <v>42840</v>
      </c>
      <c r="BP198" s="1">
        <v>42830</v>
      </c>
    </row>
    <row r="199" spans="1:68" ht="15.9" customHeight="1">
      <c r="A199" s="81" t="s">
        <v>390</v>
      </c>
      <c r="B199" s="17" t="s">
        <v>391</v>
      </c>
      <c r="C199" s="26" t="str">
        <f>_xll.RssMarket("6920","始値")</f>
        <v/>
      </c>
      <c r="D199" s="25" t="e">
        <f t="shared" si="6"/>
        <v>#VALUE!</v>
      </c>
      <c r="E199" s="22">
        <v>43000</v>
      </c>
      <c r="F199" s="22">
        <v>47060</v>
      </c>
      <c r="G199" s="22">
        <v>44560</v>
      </c>
      <c r="H199" s="22">
        <v>44130</v>
      </c>
      <c r="I199" s="22">
        <v>44080</v>
      </c>
      <c r="J199" s="22">
        <v>43030</v>
      </c>
      <c r="K199" s="22">
        <v>42650</v>
      </c>
      <c r="L199" s="22">
        <v>45990</v>
      </c>
      <c r="M199" s="22">
        <v>47740</v>
      </c>
      <c r="N199" s="22">
        <v>46000</v>
      </c>
      <c r="O199" s="22">
        <v>47690</v>
      </c>
      <c r="P199" s="22">
        <v>52180</v>
      </c>
      <c r="Q199" s="22">
        <v>50600</v>
      </c>
      <c r="R199" s="22">
        <v>50400</v>
      </c>
      <c r="S199" s="22">
        <v>51590</v>
      </c>
      <c r="T199" s="22">
        <v>52610</v>
      </c>
      <c r="U199" s="22">
        <v>52540</v>
      </c>
      <c r="V199" s="22">
        <v>57270</v>
      </c>
      <c r="W199" s="22">
        <v>54800</v>
      </c>
      <c r="X199" s="22">
        <v>57500</v>
      </c>
      <c r="Y199" s="22">
        <v>53700</v>
      </c>
      <c r="Z199" s="22">
        <v>45870</v>
      </c>
      <c r="AA199" s="22">
        <v>47600</v>
      </c>
      <c r="AB199" s="22">
        <v>46000</v>
      </c>
      <c r="AC199" s="22">
        <v>42000</v>
      </c>
      <c r="AD199" s="22">
        <v>38550</v>
      </c>
      <c r="AE199" s="22">
        <v>39970</v>
      </c>
      <c r="AF199" s="22">
        <v>39380</v>
      </c>
      <c r="AG199" s="22">
        <v>42050</v>
      </c>
      <c r="AH199" s="22">
        <v>41500</v>
      </c>
      <c r="AI199" s="22">
        <v>40420</v>
      </c>
      <c r="AJ199" s="22">
        <v>38360</v>
      </c>
      <c r="AK199" s="22">
        <v>40810</v>
      </c>
      <c r="AL199" s="22">
        <v>40830</v>
      </c>
      <c r="AM199" s="22">
        <v>42990</v>
      </c>
      <c r="AN199" s="22">
        <v>40300</v>
      </c>
      <c r="AO199" s="22">
        <v>38590</v>
      </c>
      <c r="AP199" s="22">
        <v>37050</v>
      </c>
      <c r="AQ199" s="22">
        <v>36200</v>
      </c>
      <c r="AR199" s="22">
        <v>38090</v>
      </c>
      <c r="AS199" s="22">
        <v>38800</v>
      </c>
      <c r="AT199" s="22">
        <v>41190</v>
      </c>
      <c r="AU199" s="22">
        <v>42910</v>
      </c>
      <c r="AV199" s="22">
        <v>42790</v>
      </c>
      <c r="AW199" s="22">
        <v>45220</v>
      </c>
      <c r="AX199" s="22">
        <v>45300</v>
      </c>
      <c r="AY199" s="22">
        <v>44220</v>
      </c>
      <c r="AZ199" s="22">
        <v>46190</v>
      </c>
      <c r="BA199" s="22">
        <v>43540</v>
      </c>
      <c r="BB199" s="22">
        <v>43370</v>
      </c>
      <c r="BC199" s="22">
        <v>45100</v>
      </c>
      <c r="BD199" s="22">
        <v>45600</v>
      </c>
      <c r="BE199" s="22">
        <v>44530</v>
      </c>
      <c r="BF199" s="22">
        <v>45490</v>
      </c>
      <c r="BG199" s="22">
        <v>44700</v>
      </c>
      <c r="BH199" s="22">
        <v>42450</v>
      </c>
      <c r="BI199" s="22">
        <v>40640</v>
      </c>
      <c r="BJ199" s="22">
        <v>41510</v>
      </c>
      <c r="BK199" s="22">
        <v>41510</v>
      </c>
      <c r="BL199" s="22">
        <v>43500</v>
      </c>
      <c r="BM199" s="1">
        <v>42000</v>
      </c>
      <c r="BN199" s="1">
        <v>41100</v>
      </c>
      <c r="BO199" s="1">
        <v>39100</v>
      </c>
      <c r="BP199" s="1">
        <v>39000</v>
      </c>
    </row>
    <row r="200" spans="1:68" ht="15.9" customHeight="1">
      <c r="A200" s="81" t="s">
        <v>392</v>
      </c>
      <c r="B200" s="17" t="s">
        <v>393</v>
      </c>
      <c r="C200" s="26" t="str">
        <f>_xll.RssMarket("5801","始値")</f>
        <v/>
      </c>
      <c r="D200" s="25" t="e">
        <f t="shared" si="6"/>
        <v>#VALUE!</v>
      </c>
      <c r="E200" s="22">
        <v>3301</v>
      </c>
      <c r="F200" s="22">
        <v>3679</v>
      </c>
      <c r="G200" s="22">
        <v>3500</v>
      </c>
      <c r="H200" s="22">
        <v>3697</v>
      </c>
      <c r="I200" s="22">
        <v>3730</v>
      </c>
      <c r="J200" s="22">
        <v>3611</v>
      </c>
      <c r="K200" s="22">
        <v>3534</v>
      </c>
      <c r="L200" s="22">
        <v>3860</v>
      </c>
      <c r="M200" s="22">
        <v>3880</v>
      </c>
      <c r="N200" s="22">
        <v>4225</v>
      </c>
      <c r="O200" s="22">
        <v>4870</v>
      </c>
      <c r="P200" s="22">
        <v>4750</v>
      </c>
      <c r="Q200" s="22">
        <v>4532</v>
      </c>
      <c r="R200" s="22">
        <v>49050</v>
      </c>
      <c r="S200" s="22">
        <v>50000</v>
      </c>
      <c r="T200" s="22">
        <v>49000</v>
      </c>
      <c r="U200" s="22">
        <v>58000</v>
      </c>
      <c r="V200" s="22">
        <v>54500</v>
      </c>
      <c r="W200" s="22">
        <v>53360</v>
      </c>
      <c r="X200" s="22">
        <v>48120</v>
      </c>
      <c r="Y200" s="22">
        <v>44900</v>
      </c>
      <c r="Z200" s="22">
        <v>45000</v>
      </c>
      <c r="AA200" s="22">
        <v>44800</v>
      </c>
      <c r="AB200" s="22">
        <v>43250</v>
      </c>
      <c r="AC200" s="22">
        <v>38350</v>
      </c>
      <c r="AD200" s="22">
        <v>44400</v>
      </c>
      <c r="AE200" s="22">
        <v>44850</v>
      </c>
      <c r="AF200" s="22">
        <v>49600</v>
      </c>
      <c r="AG200" s="22">
        <v>52990</v>
      </c>
      <c r="AH200" s="22">
        <v>55000</v>
      </c>
      <c r="AI200" s="22">
        <v>51140</v>
      </c>
      <c r="AJ200" s="22">
        <v>52400</v>
      </c>
      <c r="AK200" s="22">
        <v>54110</v>
      </c>
      <c r="AL200" s="22">
        <v>61030</v>
      </c>
      <c r="AM200" s="22">
        <v>56480</v>
      </c>
      <c r="AN200" s="22">
        <v>51020</v>
      </c>
      <c r="AO200" s="22">
        <v>52010</v>
      </c>
      <c r="AP200" s="22">
        <v>48700</v>
      </c>
      <c r="AQ200" s="22">
        <v>53200</v>
      </c>
      <c r="AR200" s="22">
        <v>55480</v>
      </c>
      <c r="AS200" s="22">
        <v>59500</v>
      </c>
      <c r="AT200" s="22">
        <v>57620</v>
      </c>
      <c r="AU200" s="22">
        <v>51180</v>
      </c>
      <c r="AV200" s="22">
        <v>45700</v>
      </c>
      <c r="AW200" s="22">
        <v>45570</v>
      </c>
      <c r="AX200" s="22">
        <v>44830</v>
      </c>
      <c r="AY200" s="22">
        <v>44690</v>
      </c>
      <c r="AZ200" s="22">
        <v>42520</v>
      </c>
      <c r="BA200" s="22">
        <v>42720</v>
      </c>
      <c r="BB200" s="22">
        <v>41500</v>
      </c>
      <c r="BC200" s="22">
        <v>42750</v>
      </c>
      <c r="BD200" s="22">
        <v>43010</v>
      </c>
      <c r="BE200" s="22">
        <v>45030</v>
      </c>
      <c r="BF200" s="22">
        <v>44360</v>
      </c>
      <c r="BG200" s="22">
        <v>43700</v>
      </c>
      <c r="BH200" s="22">
        <v>44260</v>
      </c>
      <c r="BI200" s="22">
        <v>45910</v>
      </c>
      <c r="BJ200" s="22">
        <v>43540</v>
      </c>
      <c r="BK200" s="22">
        <v>47230</v>
      </c>
      <c r="BL200" s="22">
        <v>47220</v>
      </c>
      <c r="BM200" s="1">
        <v>46000</v>
      </c>
      <c r="BN200" s="1">
        <v>45010</v>
      </c>
      <c r="BO200" s="1">
        <v>42740</v>
      </c>
      <c r="BP200" s="1">
        <v>40000</v>
      </c>
    </row>
    <row r="201" spans="1:68" ht="15.9" customHeight="1">
      <c r="A201" s="81" t="s">
        <v>394</v>
      </c>
      <c r="B201" s="17" t="s">
        <v>395</v>
      </c>
      <c r="C201" s="26" t="str">
        <f>_xll.RssMarket("6506","始値")</f>
        <v/>
      </c>
      <c r="D201" s="25" t="e">
        <f t="shared" si="6"/>
        <v>#VALUE!</v>
      </c>
      <c r="E201" s="22">
        <v>5273</v>
      </c>
      <c r="F201" s="22">
        <v>5500</v>
      </c>
      <c r="G201" s="22">
        <v>5860</v>
      </c>
      <c r="H201" s="22">
        <v>6210</v>
      </c>
      <c r="I201" s="22">
        <v>7074</v>
      </c>
      <c r="J201" s="22">
        <v>6898</v>
      </c>
      <c r="K201" s="22">
        <v>6700</v>
      </c>
      <c r="L201" s="22">
        <v>7349</v>
      </c>
      <c r="M201" s="22">
        <v>7520</v>
      </c>
      <c r="N201" s="22">
        <v>6842</v>
      </c>
      <c r="O201" s="22">
        <v>7007</v>
      </c>
      <c r="P201" s="22">
        <v>7234</v>
      </c>
      <c r="Q201" s="22">
        <v>7001</v>
      </c>
      <c r="R201" s="22">
        <v>6864</v>
      </c>
      <c r="S201" s="22">
        <v>7201</v>
      </c>
      <c r="T201" s="22">
        <v>7303</v>
      </c>
      <c r="U201" s="22">
        <v>7142</v>
      </c>
      <c r="V201" s="22">
        <v>7654</v>
      </c>
      <c r="W201" s="22">
        <v>7335</v>
      </c>
      <c r="X201" s="22">
        <v>7304</v>
      </c>
      <c r="Y201" s="22">
        <v>7150</v>
      </c>
      <c r="Z201" s="22">
        <v>6745</v>
      </c>
      <c r="AA201" s="22">
        <v>6770</v>
      </c>
      <c r="AB201" s="22">
        <v>6594</v>
      </c>
      <c r="AC201" s="22">
        <v>6321</v>
      </c>
      <c r="AD201" s="22">
        <v>5688</v>
      </c>
      <c r="AE201" s="22">
        <v>6195</v>
      </c>
      <c r="AF201" s="22">
        <v>6262</v>
      </c>
      <c r="AG201" s="22">
        <v>6742</v>
      </c>
      <c r="AH201" s="22">
        <v>7002</v>
      </c>
      <c r="AI201" s="22">
        <v>6930</v>
      </c>
      <c r="AJ201" s="22">
        <v>7018</v>
      </c>
      <c r="AK201" s="22">
        <v>7286</v>
      </c>
      <c r="AL201" s="22">
        <v>6980</v>
      </c>
      <c r="AM201" s="22">
        <v>7593</v>
      </c>
      <c r="AN201" s="22">
        <v>7700</v>
      </c>
      <c r="AO201" s="22">
        <v>6851</v>
      </c>
      <c r="AP201" s="22">
        <v>6276</v>
      </c>
      <c r="AQ201" s="22">
        <v>6238</v>
      </c>
      <c r="AR201" s="22">
        <v>6639</v>
      </c>
      <c r="AS201" s="22">
        <v>7009</v>
      </c>
      <c r="AT201" s="22">
        <v>7133</v>
      </c>
      <c r="AU201" s="22">
        <v>7261</v>
      </c>
      <c r="AV201" s="22">
        <v>6812</v>
      </c>
      <c r="AW201" s="22">
        <v>6854</v>
      </c>
      <c r="AX201" s="22">
        <v>6390</v>
      </c>
      <c r="AY201" s="22">
        <v>5997</v>
      </c>
      <c r="AZ201" s="22">
        <v>5889</v>
      </c>
      <c r="BA201" s="22">
        <v>5527</v>
      </c>
      <c r="BB201" s="22">
        <v>5481</v>
      </c>
      <c r="BC201" s="22">
        <v>5470</v>
      </c>
      <c r="BD201" s="22">
        <v>5250</v>
      </c>
      <c r="BE201" s="22">
        <v>5247</v>
      </c>
      <c r="BF201" s="22">
        <v>5347</v>
      </c>
      <c r="BG201" s="22">
        <v>5401</v>
      </c>
      <c r="BH201" s="22">
        <v>5469</v>
      </c>
      <c r="BI201" s="22">
        <v>5367</v>
      </c>
      <c r="BJ201" s="22">
        <v>5211</v>
      </c>
      <c r="BK201" s="22">
        <v>5230</v>
      </c>
      <c r="BL201" s="22">
        <v>5340</v>
      </c>
      <c r="BM201" s="1">
        <v>5270</v>
      </c>
      <c r="BN201" s="1">
        <v>5034</v>
      </c>
      <c r="BO201" s="1">
        <v>4828</v>
      </c>
      <c r="BP201" s="1">
        <v>4729</v>
      </c>
    </row>
    <row r="202" spans="1:68" ht="15.9" customHeight="1">
      <c r="A202" s="81" t="s">
        <v>396</v>
      </c>
      <c r="B202" s="17" t="s">
        <v>397</v>
      </c>
      <c r="C202" s="26" t="str">
        <f>_xll.RssMarket("2768","始値")</f>
        <v/>
      </c>
      <c r="D202" s="25" t="e">
        <f t="shared" si="6"/>
        <v>#VALUE!</v>
      </c>
      <c r="E202" s="22">
        <v>5194</v>
      </c>
      <c r="F202" s="22">
        <v>5154</v>
      </c>
      <c r="G202" s="22">
        <v>5102</v>
      </c>
      <c r="H202" s="22">
        <v>5194</v>
      </c>
      <c r="I202" s="22">
        <v>5118</v>
      </c>
      <c r="J202" s="22">
        <v>5160</v>
      </c>
      <c r="K202" s="22">
        <v>5236</v>
      </c>
      <c r="L202" s="22">
        <v>5373</v>
      </c>
      <c r="M202" s="22">
        <v>5262</v>
      </c>
      <c r="N202" s="22">
        <v>5280</v>
      </c>
      <c r="O202" s="22">
        <v>5220</v>
      </c>
      <c r="P202" s="22">
        <v>5198</v>
      </c>
      <c r="Q202" s="22">
        <v>5225</v>
      </c>
      <c r="R202" s="22">
        <v>5340</v>
      </c>
      <c r="S202" s="22">
        <v>5299</v>
      </c>
      <c r="T202" s="22">
        <v>5287</v>
      </c>
      <c r="U202" s="22">
        <v>5200</v>
      </c>
      <c r="V202" s="22">
        <v>5350</v>
      </c>
      <c r="W202" s="22">
        <v>5256</v>
      </c>
      <c r="X202" s="22">
        <v>5345</v>
      </c>
      <c r="Y202" s="22">
        <v>5325</v>
      </c>
      <c r="Z202" s="22">
        <v>5366</v>
      </c>
      <c r="AA202" s="22">
        <v>5380</v>
      </c>
      <c r="AB202" s="22">
        <v>5240</v>
      </c>
      <c r="AC202" s="22">
        <v>5052</v>
      </c>
      <c r="AD202" s="22">
        <v>5021</v>
      </c>
      <c r="AE202" s="22">
        <v>5131</v>
      </c>
      <c r="AF202" s="22">
        <v>5091</v>
      </c>
      <c r="AG202" s="22">
        <v>5180</v>
      </c>
      <c r="AH202" s="22">
        <v>5151</v>
      </c>
      <c r="AI202" s="22">
        <v>5130</v>
      </c>
      <c r="AJ202" s="22">
        <v>5052</v>
      </c>
      <c r="AK202" s="22">
        <v>5422</v>
      </c>
      <c r="AL202" s="22">
        <v>5450</v>
      </c>
      <c r="AM202" s="22">
        <v>5601</v>
      </c>
      <c r="AN202" s="22">
        <v>5543</v>
      </c>
      <c r="AO202" s="22">
        <v>5540</v>
      </c>
      <c r="AP202" s="22">
        <v>5597</v>
      </c>
      <c r="AQ202" s="22">
        <v>5680</v>
      </c>
      <c r="AR202" s="22">
        <v>5740</v>
      </c>
      <c r="AS202" s="22">
        <v>5900</v>
      </c>
      <c r="AT202" s="22">
        <v>5867</v>
      </c>
      <c r="AU202" s="22">
        <v>5910</v>
      </c>
      <c r="AV202" s="22">
        <v>5850</v>
      </c>
      <c r="AW202" s="22">
        <v>5754</v>
      </c>
      <c r="AX202" s="22">
        <v>5636</v>
      </c>
      <c r="AY202" s="22">
        <v>5809</v>
      </c>
      <c r="AZ202" s="22">
        <v>6200</v>
      </c>
      <c r="BA202" s="22">
        <v>5920</v>
      </c>
      <c r="BB202" s="22">
        <v>5900</v>
      </c>
      <c r="BC202" s="22">
        <v>5885</v>
      </c>
      <c r="BD202" s="22">
        <v>5830</v>
      </c>
      <c r="BE202" s="22">
        <v>5912</v>
      </c>
      <c r="BF202" s="22">
        <v>5840</v>
      </c>
      <c r="BG202" s="22">
        <v>5998</v>
      </c>
      <c r="BH202" s="22">
        <v>6080</v>
      </c>
      <c r="BI202" s="22">
        <v>6135</v>
      </c>
      <c r="BJ202" s="22">
        <v>6221</v>
      </c>
      <c r="BK202" s="22">
        <v>6190</v>
      </c>
      <c r="BL202" s="22">
        <v>6260</v>
      </c>
      <c r="BM202" s="1">
        <v>6400</v>
      </c>
      <c r="BN202" s="1">
        <v>6383</v>
      </c>
      <c r="BO202" s="1">
        <v>6497</v>
      </c>
      <c r="BP202" s="1">
        <v>6600</v>
      </c>
    </row>
    <row r="203" spans="1:68" ht="15.9" customHeight="1">
      <c r="A203" s="81" t="s">
        <v>398</v>
      </c>
      <c r="B203" s="17" t="s">
        <v>399</v>
      </c>
      <c r="C203" s="26" t="str">
        <f>_xll.RssMarket("6305","始値")</f>
        <v/>
      </c>
      <c r="D203" s="25" t="e">
        <f t="shared" si="6"/>
        <v>#VALUE!</v>
      </c>
      <c r="E203" s="22">
        <v>5250</v>
      </c>
      <c r="F203" s="22">
        <v>5307</v>
      </c>
      <c r="G203" s="22">
        <v>5238</v>
      </c>
      <c r="H203" s="22">
        <v>5329</v>
      </c>
      <c r="I203" s="22">
        <v>5267</v>
      </c>
      <c r="J203" s="22">
        <v>5251</v>
      </c>
      <c r="K203" s="22">
        <v>5368</v>
      </c>
      <c r="L203" s="22">
        <v>5469</v>
      </c>
      <c r="M203" s="22">
        <v>5407</v>
      </c>
      <c r="N203" s="22">
        <v>5268</v>
      </c>
      <c r="O203" s="22">
        <v>5164</v>
      </c>
      <c r="P203" s="22">
        <v>5296</v>
      </c>
      <c r="Q203" s="22">
        <v>5333</v>
      </c>
      <c r="R203" s="22">
        <v>5314</v>
      </c>
      <c r="S203" s="22">
        <v>5282</v>
      </c>
      <c r="T203" s="22">
        <v>5387</v>
      </c>
      <c r="U203" s="22">
        <v>5301</v>
      </c>
      <c r="V203" s="22">
        <v>5491</v>
      </c>
      <c r="W203" s="22">
        <v>5308</v>
      </c>
      <c r="X203" s="22">
        <v>5461</v>
      </c>
      <c r="Y203" s="22">
        <v>5423</v>
      </c>
      <c r="Z203" s="22">
        <v>5350</v>
      </c>
      <c r="AA203" s="22">
        <v>5574</v>
      </c>
      <c r="AB203" s="22">
        <v>5430</v>
      </c>
      <c r="AC203" s="22">
        <v>5317</v>
      </c>
      <c r="AD203" s="22">
        <v>5108</v>
      </c>
      <c r="AE203" s="22">
        <v>5250</v>
      </c>
      <c r="AF203" s="22">
        <v>5315</v>
      </c>
      <c r="AG203" s="22">
        <v>5431</v>
      </c>
      <c r="AH203" s="22">
        <v>5343</v>
      </c>
      <c r="AI203" s="22">
        <v>5165</v>
      </c>
      <c r="AJ203" s="22">
        <v>4975</v>
      </c>
      <c r="AK203" s="22">
        <v>5151</v>
      </c>
      <c r="AL203" s="22">
        <v>5236</v>
      </c>
      <c r="AM203" s="22">
        <v>5199</v>
      </c>
      <c r="AN203" s="22">
        <v>5052</v>
      </c>
      <c r="AO203" s="22">
        <v>4986</v>
      </c>
      <c r="AP203" s="22">
        <v>4982</v>
      </c>
      <c r="AQ203" s="22">
        <v>5003</v>
      </c>
      <c r="AR203" s="22">
        <v>5170</v>
      </c>
      <c r="AS203" s="22">
        <v>5247</v>
      </c>
      <c r="AT203" s="22">
        <v>5300</v>
      </c>
      <c r="AU203" s="22">
        <v>5359</v>
      </c>
      <c r="AV203" s="22">
        <v>5143</v>
      </c>
      <c r="AW203" s="22">
        <v>5674</v>
      </c>
      <c r="AX203" s="22">
        <v>5676</v>
      </c>
      <c r="AY203" s="22">
        <v>5538</v>
      </c>
      <c r="AZ203" s="22">
        <v>5720</v>
      </c>
      <c r="BA203" s="22">
        <v>5450</v>
      </c>
      <c r="BB203" s="22">
        <v>5619</v>
      </c>
      <c r="BC203" s="22">
        <v>5532</v>
      </c>
      <c r="BD203" s="22">
        <v>5243</v>
      </c>
      <c r="BE203" s="22">
        <v>5567</v>
      </c>
      <c r="BF203" s="22">
        <v>5465</v>
      </c>
      <c r="BG203" s="22">
        <v>5485</v>
      </c>
      <c r="BH203" s="22">
        <v>5484</v>
      </c>
      <c r="BI203" s="22">
        <v>5460</v>
      </c>
      <c r="BJ203" s="22">
        <v>5500</v>
      </c>
      <c r="BK203" s="22">
        <v>5627</v>
      </c>
      <c r="BL203" s="22">
        <v>5643</v>
      </c>
      <c r="BM203" s="1">
        <v>5719</v>
      </c>
      <c r="BN203" s="1">
        <v>5642</v>
      </c>
      <c r="BO203" s="1">
        <v>5740</v>
      </c>
      <c r="BP203" s="1">
        <v>5749</v>
      </c>
    </row>
    <row r="204" spans="1:68" ht="15.9" customHeight="1">
      <c r="A204" s="81" t="s">
        <v>400</v>
      </c>
      <c r="B204" s="17" t="s">
        <v>401</v>
      </c>
      <c r="C204" s="26" t="str">
        <f>_xll.RssMarket("8015","始値")</f>
        <v/>
      </c>
      <c r="D204" s="25" t="e">
        <f t="shared" si="6"/>
        <v>#VALUE!</v>
      </c>
      <c r="E204" s="22">
        <v>6109</v>
      </c>
      <c r="F204" s="22">
        <v>6102</v>
      </c>
      <c r="G204" s="22">
        <v>6026</v>
      </c>
      <c r="H204" s="22">
        <v>6129</v>
      </c>
      <c r="I204" s="22">
        <v>6244</v>
      </c>
      <c r="J204" s="22">
        <v>6129</v>
      </c>
      <c r="K204" s="22">
        <v>6249</v>
      </c>
      <c r="L204" s="22">
        <v>6374</v>
      </c>
      <c r="M204" s="22">
        <v>6212</v>
      </c>
      <c r="N204" s="22">
        <v>6426</v>
      </c>
      <c r="O204" s="22">
        <v>6020</v>
      </c>
      <c r="P204" s="22">
        <v>6001</v>
      </c>
      <c r="Q204" s="22">
        <v>6020</v>
      </c>
      <c r="R204" s="22">
        <v>6012</v>
      </c>
      <c r="S204" s="22">
        <v>6020</v>
      </c>
      <c r="T204" s="22">
        <v>6172</v>
      </c>
      <c r="U204" s="22">
        <v>6187</v>
      </c>
      <c r="V204" s="22">
        <v>6271</v>
      </c>
      <c r="W204" s="22">
        <v>6110</v>
      </c>
      <c r="X204" s="22">
        <v>6053</v>
      </c>
      <c r="Y204" s="22">
        <v>6378</v>
      </c>
      <c r="Z204" s="22">
        <v>6426</v>
      </c>
      <c r="AA204" s="22">
        <v>6490</v>
      </c>
      <c r="AB204" s="22">
        <v>6438</v>
      </c>
      <c r="AC204" s="22">
        <v>6169</v>
      </c>
      <c r="AD204" s="22">
        <v>5910</v>
      </c>
      <c r="AE204" s="22">
        <v>6081</v>
      </c>
      <c r="AF204" s="22">
        <v>6439</v>
      </c>
      <c r="AG204" s="22">
        <v>6430</v>
      </c>
      <c r="AH204" s="22">
        <v>6486</v>
      </c>
      <c r="AI204" s="22">
        <v>6445</v>
      </c>
      <c r="AJ204" s="22">
        <v>6409</v>
      </c>
      <c r="AK204" s="22">
        <v>6692</v>
      </c>
      <c r="AL204" s="22">
        <v>6798</v>
      </c>
      <c r="AM204" s="22">
        <v>7019</v>
      </c>
      <c r="AN204" s="22">
        <v>6965</v>
      </c>
      <c r="AO204" s="22">
        <v>6887</v>
      </c>
      <c r="AP204" s="22">
        <v>6842</v>
      </c>
      <c r="AQ204" s="22">
        <v>6991</v>
      </c>
      <c r="AR204" s="22">
        <v>7040</v>
      </c>
      <c r="AS204" s="22">
        <v>7237</v>
      </c>
      <c r="AT204" s="22">
        <v>7374</v>
      </c>
      <c r="AU204" s="22">
        <v>7357</v>
      </c>
      <c r="AV204" s="22">
        <v>7130</v>
      </c>
      <c r="AW204" s="22">
        <v>7091</v>
      </c>
      <c r="AX204" s="22">
        <v>6732</v>
      </c>
      <c r="AY204" s="22">
        <v>6809</v>
      </c>
      <c r="AZ204" s="22">
        <v>7049</v>
      </c>
      <c r="BA204" s="22">
        <v>6359</v>
      </c>
      <c r="BB204" s="22">
        <v>5979</v>
      </c>
      <c r="BC204" s="22">
        <v>6360</v>
      </c>
      <c r="BD204" s="22">
        <v>6053</v>
      </c>
      <c r="BE204" s="22">
        <v>6225</v>
      </c>
      <c r="BF204" s="22">
        <v>6160</v>
      </c>
      <c r="BG204" s="22">
        <v>6258</v>
      </c>
      <c r="BH204" s="22">
        <v>6292</v>
      </c>
      <c r="BI204" s="22">
        <v>6339</v>
      </c>
      <c r="BJ204" s="22">
        <v>6352</v>
      </c>
      <c r="BK204" s="22">
        <v>6288</v>
      </c>
      <c r="BL204" s="22">
        <v>6446</v>
      </c>
      <c r="BM204" s="1">
        <v>6486</v>
      </c>
      <c r="BN204" s="1">
        <v>6544</v>
      </c>
      <c r="BO204" s="1">
        <v>6699</v>
      </c>
      <c r="BP204" s="1">
        <v>6574</v>
      </c>
    </row>
    <row r="205" spans="1:68" ht="18.75" customHeight="1">
      <c r="A205" s="81" t="s">
        <v>402</v>
      </c>
      <c r="B205" s="17" t="s">
        <v>403</v>
      </c>
      <c r="C205" s="26" t="str">
        <f>_xll.RssMarket("6758","始値")</f>
        <v/>
      </c>
      <c r="D205" s="25" t="e">
        <f t="shared" si="6"/>
        <v>#VALUE!</v>
      </c>
      <c r="E205" s="2">
        <v>3438</v>
      </c>
      <c r="F205" s="2">
        <v>3380</v>
      </c>
      <c r="G205" s="2">
        <v>3367</v>
      </c>
      <c r="H205" s="2">
        <v>3374</v>
      </c>
      <c r="I205" s="2">
        <v>3409</v>
      </c>
      <c r="J205" s="2">
        <v>3398</v>
      </c>
      <c r="K205" s="2">
        <v>3502</v>
      </c>
      <c r="L205" s="2">
        <v>3415</v>
      </c>
      <c r="M205" s="2">
        <v>3390</v>
      </c>
      <c r="N205" s="2">
        <v>3315</v>
      </c>
      <c r="O205" s="2">
        <v>3280</v>
      </c>
      <c r="P205" s="2">
        <v>3312</v>
      </c>
      <c r="Q205" s="2">
        <v>3216</v>
      </c>
      <c r="R205" s="2">
        <v>3150</v>
      </c>
      <c r="S205" s="2">
        <v>3232</v>
      </c>
      <c r="T205" s="2">
        <v>3217</v>
      </c>
      <c r="U205" s="2">
        <v>3177</v>
      </c>
      <c r="V205" s="2">
        <v>3120</v>
      </c>
      <c r="W205" s="2">
        <v>3180</v>
      </c>
      <c r="X205" s="2">
        <v>3280</v>
      </c>
      <c r="Y205" s="2">
        <v>3297</v>
      </c>
      <c r="Z205" s="2">
        <v>3253</v>
      </c>
      <c r="AA205" s="2">
        <v>3339</v>
      </c>
      <c r="AB205" s="2">
        <v>3349</v>
      </c>
      <c r="AC205" s="2">
        <v>3315</v>
      </c>
      <c r="AD205" s="2">
        <v>3436</v>
      </c>
      <c r="AE205" s="2">
        <v>3489</v>
      </c>
      <c r="AF205" s="2">
        <v>3580</v>
      </c>
      <c r="AG205" s="2">
        <v>3589</v>
      </c>
      <c r="AH205" s="2">
        <v>3599</v>
      </c>
      <c r="AI205" s="2">
        <v>3584</v>
      </c>
      <c r="AJ205" s="2">
        <v>3462</v>
      </c>
      <c r="AK205" s="2">
        <v>3438</v>
      </c>
      <c r="AL205" s="2">
        <v>3492</v>
      </c>
      <c r="AM205" s="2">
        <v>3595</v>
      </c>
      <c r="AN205" s="2">
        <v>3540</v>
      </c>
      <c r="AO205" s="2">
        <v>3594</v>
      </c>
      <c r="AP205" s="2">
        <v>3676</v>
      </c>
      <c r="AQ205" s="2">
        <v>3596</v>
      </c>
      <c r="AR205" s="2">
        <v>3589</v>
      </c>
      <c r="AS205" s="2">
        <v>3548</v>
      </c>
      <c r="AT205" s="2">
        <v>3528</v>
      </c>
      <c r="AU205" s="2">
        <v>3634</v>
      </c>
      <c r="AV205" s="2">
        <v>3395</v>
      </c>
      <c r="AW205" s="2">
        <v>3352</v>
      </c>
      <c r="AX205" s="2">
        <v>6809</v>
      </c>
      <c r="AY205" s="2">
        <v>7049</v>
      </c>
      <c r="AZ205" s="2">
        <v>6359</v>
      </c>
      <c r="BA205" s="2">
        <v>5979</v>
      </c>
      <c r="BB205" s="2">
        <v>6360</v>
      </c>
      <c r="BC205" s="2">
        <v>6053</v>
      </c>
      <c r="BD205" s="2">
        <v>6225</v>
      </c>
      <c r="BE205" s="2">
        <v>6160</v>
      </c>
      <c r="BF205" s="2">
        <v>6258</v>
      </c>
      <c r="BG205" s="2">
        <v>6292</v>
      </c>
      <c r="BH205" s="2">
        <v>6339</v>
      </c>
      <c r="BI205" s="2">
        <v>6352</v>
      </c>
      <c r="BJ205" s="2">
        <v>6288</v>
      </c>
      <c r="BK205" s="2">
        <v>6446</v>
      </c>
      <c r="BL205" s="2">
        <v>6486</v>
      </c>
      <c r="BM205" s="1">
        <v>6544</v>
      </c>
      <c r="BN205" s="1">
        <v>6699</v>
      </c>
      <c r="BO205" s="1">
        <v>6574</v>
      </c>
      <c r="BP205" s="1">
        <v>6418</v>
      </c>
    </row>
    <row r="206" spans="1:68" ht="18.75" customHeight="1">
      <c r="A206" s="81" t="s">
        <v>404</v>
      </c>
      <c r="B206" s="17" t="s">
        <v>405</v>
      </c>
      <c r="C206" s="26" t="str">
        <f>_xll.RssMarket("9101","始値")</f>
        <v/>
      </c>
      <c r="D206" s="25" t="e">
        <f t="shared" si="6"/>
        <v>#VALUE!</v>
      </c>
      <c r="E206" s="2">
        <v>5610</v>
      </c>
      <c r="F206" s="2">
        <v>5520</v>
      </c>
      <c r="G206" s="2">
        <v>5386</v>
      </c>
      <c r="H206" s="2">
        <v>5338</v>
      </c>
      <c r="I206" s="2">
        <v>5405</v>
      </c>
      <c r="J206" s="2">
        <v>5399</v>
      </c>
      <c r="K206" s="2">
        <v>5325</v>
      </c>
      <c r="L206" s="2">
        <v>5070</v>
      </c>
      <c r="M206" s="2">
        <v>5232</v>
      </c>
      <c r="N206" s="2">
        <v>5230</v>
      </c>
      <c r="O206" s="2">
        <v>5115</v>
      </c>
      <c r="P206" s="2">
        <v>5201</v>
      </c>
      <c r="Q206" s="2">
        <v>5245</v>
      </c>
      <c r="R206" s="2">
        <v>5259</v>
      </c>
      <c r="S206" s="2">
        <v>5233</v>
      </c>
      <c r="T206" s="2">
        <v>5369</v>
      </c>
      <c r="U206" s="2">
        <v>5314</v>
      </c>
      <c r="V206" s="2">
        <v>5231</v>
      </c>
      <c r="W206" s="2">
        <v>5134</v>
      </c>
      <c r="X206" s="2">
        <v>5230</v>
      </c>
      <c r="Y206" s="2">
        <v>5290</v>
      </c>
      <c r="Z206" s="2">
        <v>5409</v>
      </c>
      <c r="AA206" s="2">
        <v>5484</v>
      </c>
      <c r="AB206" s="2">
        <v>5594</v>
      </c>
      <c r="AC206" s="2">
        <v>5669</v>
      </c>
      <c r="AD206" s="2">
        <v>5582</v>
      </c>
      <c r="AE206" s="2">
        <v>5713</v>
      </c>
      <c r="AF206" s="2">
        <v>5568</v>
      </c>
      <c r="AG206" s="2">
        <v>5606</v>
      </c>
      <c r="AH206" s="2">
        <v>5391</v>
      </c>
      <c r="AI206" s="2">
        <v>5316</v>
      </c>
      <c r="AJ206" s="2">
        <v>5220</v>
      </c>
      <c r="AK206" s="2">
        <v>5302</v>
      </c>
      <c r="AL206" s="2">
        <v>5270</v>
      </c>
      <c r="AM206" s="2">
        <v>5231</v>
      </c>
      <c r="AN206" s="2">
        <v>5406</v>
      </c>
      <c r="AO206" s="2">
        <v>5441</v>
      </c>
      <c r="AP206" s="2">
        <v>5620</v>
      </c>
      <c r="AQ206" s="2">
        <v>5605</v>
      </c>
      <c r="AR206" s="2">
        <v>5505</v>
      </c>
      <c r="AS206" s="2">
        <v>5398</v>
      </c>
      <c r="AT206" s="2">
        <v>5350</v>
      </c>
      <c r="AU206" s="2">
        <v>5286</v>
      </c>
      <c r="AV206" s="2">
        <v>5400</v>
      </c>
      <c r="AW206" s="2">
        <v>5554</v>
      </c>
      <c r="AX206" s="2">
        <v>5700</v>
      </c>
      <c r="AY206" s="2">
        <v>5529</v>
      </c>
      <c r="AZ206" s="2">
        <v>5570</v>
      </c>
      <c r="BA206" s="2">
        <v>5602</v>
      </c>
      <c r="BB206" s="2">
        <v>5611</v>
      </c>
      <c r="BC206" s="2">
        <v>5804</v>
      </c>
      <c r="BD206" s="2">
        <v>5835</v>
      </c>
      <c r="BE206" s="2">
        <v>5770</v>
      </c>
      <c r="BF206" s="2">
        <v>5884</v>
      </c>
      <c r="BG206" s="2">
        <v>5898</v>
      </c>
      <c r="BH206" s="2">
        <v>6051</v>
      </c>
      <c r="BI206" s="2">
        <v>6130</v>
      </c>
      <c r="BJ206" s="2">
        <v>6043</v>
      </c>
      <c r="BK206" s="2">
        <v>6130</v>
      </c>
      <c r="BL206" s="2">
        <v>6079</v>
      </c>
      <c r="BM206" s="1">
        <v>6240</v>
      </c>
      <c r="BN206" s="1">
        <v>6219</v>
      </c>
      <c r="BO206" s="1">
        <v>6170</v>
      </c>
      <c r="BP206" s="1">
        <v>6388</v>
      </c>
    </row>
    <row r="207" spans="1:68" ht="17.25" customHeight="1">
      <c r="A207" s="82" t="s">
        <v>406</v>
      </c>
      <c r="B207" s="1" t="s">
        <v>407</v>
      </c>
      <c r="C207" s="57" t="str">
        <f>_xll.RssMarket("7011","始値")</f>
        <v/>
      </c>
      <c r="D207" s="16" t="e">
        <f t="shared" si="6"/>
        <v>#VALUE!</v>
      </c>
      <c r="E207" s="2">
        <v>3750</v>
      </c>
      <c r="F207" s="2">
        <v>3855</v>
      </c>
      <c r="G207" s="2">
        <v>3797</v>
      </c>
      <c r="H207" s="2">
        <v>3810</v>
      </c>
      <c r="I207" s="2">
        <v>3807</v>
      </c>
      <c r="J207" s="2">
        <v>3939</v>
      </c>
      <c r="K207" s="2">
        <v>4051</v>
      </c>
      <c r="L207" s="2">
        <v>3848</v>
      </c>
      <c r="M207" s="2">
        <v>3858</v>
      </c>
      <c r="N207" s="2">
        <v>3783</v>
      </c>
      <c r="O207" s="2">
        <v>3760</v>
      </c>
      <c r="P207" s="2">
        <v>3716</v>
      </c>
      <c r="Q207" s="2">
        <v>3679</v>
      </c>
      <c r="R207" s="2">
        <v>3629</v>
      </c>
      <c r="S207" s="2">
        <v>3755</v>
      </c>
      <c r="T207" s="2">
        <v>3725</v>
      </c>
      <c r="U207" s="2">
        <v>3909</v>
      </c>
      <c r="V207" s="2">
        <v>3867</v>
      </c>
      <c r="W207" s="2">
        <v>4029</v>
      </c>
      <c r="X207" s="2">
        <v>4053</v>
      </c>
      <c r="Y207" s="2">
        <v>3810</v>
      </c>
      <c r="Z207" s="2">
        <v>3700</v>
      </c>
      <c r="AA207" s="2">
        <v>3647</v>
      </c>
      <c r="AB207" s="2">
        <v>3545</v>
      </c>
      <c r="AC207" s="2">
        <v>3450</v>
      </c>
      <c r="AD207" s="2">
        <v>3669</v>
      </c>
      <c r="AE207" s="2">
        <v>3713</v>
      </c>
      <c r="AF207" s="2">
        <v>3560</v>
      </c>
      <c r="AG207" s="2">
        <v>3556</v>
      </c>
      <c r="AH207" s="2">
        <v>3496</v>
      </c>
      <c r="AI207" s="2">
        <v>3768</v>
      </c>
      <c r="AJ207" s="2">
        <v>3950</v>
      </c>
      <c r="AK207" s="2">
        <v>4025</v>
      </c>
      <c r="AL207" s="2">
        <v>3931</v>
      </c>
      <c r="AM207" s="2">
        <v>3998</v>
      </c>
      <c r="AN207" s="2">
        <v>3985</v>
      </c>
      <c r="AO207" s="2">
        <v>4083</v>
      </c>
      <c r="AP207" s="2">
        <v>4205</v>
      </c>
      <c r="AQ207" s="2">
        <v>4084</v>
      </c>
      <c r="AR207" s="2">
        <v>4120</v>
      </c>
      <c r="AS207" s="2">
        <v>4405</v>
      </c>
      <c r="AT207" s="2">
        <v>4370</v>
      </c>
      <c r="AU207" s="2">
        <v>4350</v>
      </c>
      <c r="AV207" s="2">
        <v>4500</v>
      </c>
      <c r="AW207" s="2">
        <v>4488</v>
      </c>
      <c r="AX207" s="2">
        <v>4552</v>
      </c>
      <c r="AY207" s="2">
        <v>4562</v>
      </c>
      <c r="AZ207" s="2">
        <v>4600</v>
      </c>
      <c r="BA207" s="2">
        <v>4680</v>
      </c>
      <c r="BB207" s="2">
        <v>4724</v>
      </c>
      <c r="BC207" s="2">
        <v>4749</v>
      </c>
      <c r="BD207" s="2">
        <v>4589</v>
      </c>
      <c r="BE207" s="2">
        <v>4400</v>
      </c>
      <c r="BF207" s="2">
        <v>4499</v>
      </c>
      <c r="BG207" s="2">
        <v>4511</v>
      </c>
      <c r="BH207" s="2">
        <v>4509</v>
      </c>
      <c r="BI207" s="2">
        <v>4558</v>
      </c>
      <c r="BJ207" s="2">
        <v>4723</v>
      </c>
      <c r="BK207" s="2">
        <v>4815</v>
      </c>
      <c r="BL207" s="2">
        <v>4725</v>
      </c>
      <c r="BM207" s="1">
        <v>4782</v>
      </c>
      <c r="BN207" s="1">
        <v>4832</v>
      </c>
      <c r="BO207" s="1">
        <v>4924</v>
      </c>
    </row>
    <row r="208" spans="1:68" ht="17.25" customHeight="1">
      <c r="A208" s="82" t="s">
        <v>408</v>
      </c>
      <c r="B208" s="1" t="s">
        <v>409</v>
      </c>
      <c r="C208" s="57" t="str">
        <f>_xll.RssMarket("1812","始値")</f>
        <v/>
      </c>
      <c r="D208" s="16" t="e">
        <f t="shared" si="6"/>
        <v>#VALUE!</v>
      </c>
      <c r="E208" s="2">
        <v>5594</v>
      </c>
      <c r="F208" s="2">
        <v>5618</v>
      </c>
      <c r="G208" s="2">
        <v>5637</v>
      </c>
      <c r="H208" s="2">
        <v>5775</v>
      </c>
      <c r="I208" s="2">
        <v>5850</v>
      </c>
      <c r="J208" s="2">
        <v>5769</v>
      </c>
      <c r="K208" s="2">
        <v>6010</v>
      </c>
      <c r="L208" s="2">
        <v>6262</v>
      </c>
      <c r="M208" s="2">
        <v>6191</v>
      </c>
      <c r="N208" s="2">
        <v>6192</v>
      </c>
      <c r="O208" s="2">
        <v>5862</v>
      </c>
      <c r="P208" s="2">
        <v>5972</v>
      </c>
      <c r="Q208" s="2">
        <v>5892</v>
      </c>
      <c r="R208" s="2">
        <v>5769</v>
      </c>
      <c r="S208" s="2">
        <v>5730</v>
      </c>
      <c r="T208" s="2">
        <v>5801</v>
      </c>
      <c r="U208" s="2">
        <v>5730</v>
      </c>
      <c r="V208" s="2">
        <v>6070</v>
      </c>
      <c r="W208" s="2">
        <v>5925</v>
      </c>
      <c r="X208" s="2">
        <v>5904</v>
      </c>
      <c r="Y208" s="2">
        <v>5910</v>
      </c>
      <c r="Z208" s="2">
        <v>5968</v>
      </c>
      <c r="AA208" s="2">
        <v>6128</v>
      </c>
      <c r="AB208" s="2">
        <v>5778</v>
      </c>
      <c r="AC208" s="2">
        <v>5575</v>
      </c>
      <c r="AD208" s="2">
        <v>5476</v>
      </c>
      <c r="AE208" s="2">
        <v>5550</v>
      </c>
      <c r="AF208" s="2">
        <v>5520</v>
      </c>
      <c r="AG208" s="2">
        <v>5440</v>
      </c>
      <c r="AH208" s="2">
        <v>5489</v>
      </c>
      <c r="AI208" s="2">
        <v>5500</v>
      </c>
      <c r="AJ208" s="2">
        <v>5541</v>
      </c>
      <c r="AK208" s="2">
        <v>5771</v>
      </c>
      <c r="AL208" s="2">
        <v>5802</v>
      </c>
      <c r="AM208" s="2">
        <v>6013</v>
      </c>
      <c r="AN208" s="2">
        <v>5569</v>
      </c>
      <c r="AO208" s="2">
        <v>5589</v>
      </c>
      <c r="AP208" s="2">
        <v>5639</v>
      </c>
      <c r="AQ208" s="2">
        <v>5748</v>
      </c>
      <c r="AR208" s="2">
        <v>5686</v>
      </c>
      <c r="AS208" s="2">
        <v>5818</v>
      </c>
      <c r="AT208" s="2">
        <v>6183</v>
      </c>
      <c r="AU208" s="2">
        <v>6536</v>
      </c>
      <c r="AV208" s="2">
        <v>6748</v>
      </c>
      <c r="AW208" s="2">
        <v>6257</v>
      </c>
      <c r="AX208" s="2">
        <v>6019</v>
      </c>
      <c r="AY208" s="2">
        <v>6177</v>
      </c>
      <c r="AZ208" s="2">
        <v>6177</v>
      </c>
      <c r="BA208" s="2">
        <v>6193</v>
      </c>
      <c r="BB208" s="2">
        <v>6420</v>
      </c>
      <c r="BC208" s="2">
        <v>6054</v>
      </c>
      <c r="BD208" s="2">
        <v>5850</v>
      </c>
      <c r="BE208" s="2">
        <v>5980</v>
      </c>
      <c r="BF208" s="2">
        <v>5884</v>
      </c>
      <c r="BG208" s="2">
        <v>5973</v>
      </c>
      <c r="BH208" s="2">
        <v>6072</v>
      </c>
      <c r="BI208" s="2">
        <v>6032</v>
      </c>
      <c r="BJ208" s="2">
        <v>6120</v>
      </c>
      <c r="BK208" s="2">
        <v>6094</v>
      </c>
      <c r="BL208" s="2">
        <v>6310</v>
      </c>
      <c r="BM208" s="1">
        <v>6230</v>
      </c>
      <c r="BN208" s="1">
        <v>6127</v>
      </c>
      <c r="BO208" s="1">
        <v>6310</v>
      </c>
      <c r="BP208" s="1">
        <v>6377</v>
      </c>
    </row>
    <row r="209" spans="1:68" ht="17.25" customHeight="1">
      <c r="A209" s="82" t="s">
        <v>410</v>
      </c>
      <c r="B209" s="1" t="str">
        <f>銘柄管理!C209</f>
        <v/>
      </c>
      <c r="C209" s="57" t="str">
        <f>_xll.RssMarket("6861","始値")</f>
        <v/>
      </c>
      <c r="D209" s="16"/>
      <c r="E209" s="2">
        <v>71850</v>
      </c>
      <c r="F209" s="2">
        <v>76700</v>
      </c>
      <c r="G209" s="2">
        <v>76500</v>
      </c>
      <c r="H209" s="2">
        <v>77240</v>
      </c>
      <c r="I209" s="2">
        <v>77000</v>
      </c>
      <c r="J209" s="2">
        <v>75100</v>
      </c>
      <c r="K209" s="2">
        <v>76680</v>
      </c>
      <c r="L209" s="2">
        <v>80470</v>
      </c>
      <c r="M209" s="2">
        <v>81030</v>
      </c>
      <c r="N209" s="2">
        <v>79000</v>
      </c>
      <c r="O209" s="2">
        <v>79920</v>
      </c>
      <c r="P209" s="2">
        <v>81540</v>
      </c>
      <c r="Q209" s="2">
        <v>80200</v>
      </c>
      <c r="R209" s="2">
        <v>77160</v>
      </c>
      <c r="S209" s="2">
        <v>76570</v>
      </c>
      <c r="T209" s="2">
        <v>77560</v>
      </c>
      <c r="U209" s="2">
        <v>75500</v>
      </c>
      <c r="V209" s="2">
        <v>78130</v>
      </c>
      <c r="W209" s="2">
        <v>77110</v>
      </c>
      <c r="X209" s="2">
        <v>77450</v>
      </c>
      <c r="Y209" s="2">
        <v>76870</v>
      </c>
      <c r="Z209" s="2">
        <v>73710</v>
      </c>
      <c r="AA209" s="2">
        <v>75420</v>
      </c>
      <c r="AB209" s="2">
        <v>74980</v>
      </c>
      <c r="AC209" s="2">
        <v>72040</v>
      </c>
      <c r="AD209" s="2">
        <v>69670</v>
      </c>
      <c r="AE209" s="2">
        <v>73600</v>
      </c>
      <c r="AF209" s="2">
        <v>74010</v>
      </c>
      <c r="AG209" s="2">
        <v>78540</v>
      </c>
      <c r="AH209" s="2">
        <v>80840</v>
      </c>
      <c r="AI209" s="2">
        <v>79060</v>
      </c>
      <c r="AJ209" s="2">
        <v>79020</v>
      </c>
      <c r="AK209" s="2">
        <v>79900</v>
      </c>
      <c r="AL209" s="2">
        <v>76600</v>
      </c>
      <c r="AM209" s="2">
        <v>75620</v>
      </c>
      <c r="AN209" s="2">
        <v>78070</v>
      </c>
      <c r="AO209" s="2">
        <v>78460</v>
      </c>
      <c r="AP209" s="2">
        <v>76170</v>
      </c>
      <c r="AQ209" s="2">
        <v>75000</v>
      </c>
      <c r="AR209" s="2">
        <v>75710</v>
      </c>
      <c r="AS209" s="2">
        <v>76430</v>
      </c>
      <c r="AT209" s="2">
        <v>78340</v>
      </c>
      <c r="AU209" s="2">
        <v>79200</v>
      </c>
      <c r="AV209" s="2">
        <v>78980</v>
      </c>
      <c r="AW209" s="2">
        <v>83000</v>
      </c>
      <c r="AX209" s="2">
        <v>83460</v>
      </c>
      <c r="AY209" s="2">
        <v>81330</v>
      </c>
      <c r="AZ209" s="2">
        <v>80280</v>
      </c>
      <c r="BA209" s="2">
        <v>72470</v>
      </c>
      <c r="BB209" s="2">
        <v>73920</v>
      </c>
      <c r="BC209" s="2">
        <v>73180</v>
      </c>
      <c r="BD209" s="2">
        <v>73180</v>
      </c>
      <c r="BE209" s="2">
        <v>64150</v>
      </c>
      <c r="BF209" s="2">
        <v>64330</v>
      </c>
      <c r="BG209" s="2">
        <v>63170</v>
      </c>
      <c r="BH209" s="2">
        <v>63320</v>
      </c>
      <c r="BI209" s="2">
        <v>63060</v>
      </c>
      <c r="BJ209" s="2">
        <v>63050</v>
      </c>
      <c r="BK209" s="2">
        <v>62710</v>
      </c>
      <c r="BL209" s="2">
        <v>62900</v>
      </c>
      <c r="BM209" s="1">
        <v>63650</v>
      </c>
      <c r="BN209" s="1">
        <v>62440</v>
      </c>
      <c r="BO209" s="1">
        <v>61580</v>
      </c>
      <c r="BP209" s="1">
        <v>60650</v>
      </c>
    </row>
    <row r="210" spans="1:68" ht="17.25" customHeight="1">
      <c r="A210" s="82" t="s">
        <v>411</v>
      </c>
      <c r="B210" s="1" t="s">
        <v>412</v>
      </c>
      <c r="C210" s="57" t="str">
        <f>_xll.RssMarket("6324","始値")</f>
        <v/>
      </c>
      <c r="D210" s="16" t="e">
        <f t="shared" ref="D210:D221" si="7">C210-E210</f>
        <v>#VALUE!</v>
      </c>
      <c r="E210" s="2">
        <v>6900</v>
      </c>
      <c r="F210" s="2">
        <v>7660</v>
      </c>
      <c r="G210" s="2">
        <v>7220</v>
      </c>
      <c r="H210" s="2">
        <v>7950</v>
      </c>
      <c r="I210" s="2">
        <v>7700</v>
      </c>
      <c r="J210" s="2">
        <v>7650</v>
      </c>
      <c r="K210" s="2">
        <v>7820</v>
      </c>
      <c r="L210" s="2">
        <v>8590</v>
      </c>
      <c r="M210" s="2">
        <v>8800</v>
      </c>
      <c r="N210" s="2">
        <v>7840</v>
      </c>
      <c r="O210" s="2">
        <v>7800</v>
      </c>
      <c r="P210" s="2">
        <v>7520</v>
      </c>
      <c r="Q210" s="2">
        <v>7070</v>
      </c>
      <c r="R210" s="2">
        <v>7690</v>
      </c>
      <c r="S210" s="2">
        <v>8050</v>
      </c>
      <c r="T210" s="2">
        <v>7750</v>
      </c>
      <c r="U210" s="2">
        <v>8640</v>
      </c>
      <c r="V210" s="2">
        <v>8220</v>
      </c>
      <c r="W210" s="2">
        <v>7920</v>
      </c>
      <c r="X210" s="2">
        <v>7950</v>
      </c>
      <c r="Y210" s="2">
        <v>7280</v>
      </c>
      <c r="Z210" s="2">
        <v>6970</v>
      </c>
      <c r="AA210" s="2">
        <v>6920</v>
      </c>
      <c r="AB210" s="2">
        <v>6580</v>
      </c>
      <c r="AC210" s="2">
        <v>5960</v>
      </c>
      <c r="AD210" s="2">
        <v>6710</v>
      </c>
      <c r="AE210" s="2">
        <v>6540</v>
      </c>
      <c r="AF210" s="2">
        <v>6790</v>
      </c>
      <c r="AG210" s="2">
        <v>7300</v>
      </c>
      <c r="AH210" s="2">
        <v>7400</v>
      </c>
      <c r="AI210" s="2">
        <v>7560</v>
      </c>
      <c r="AJ210" s="2">
        <v>7880</v>
      </c>
      <c r="AK210" s="2">
        <v>7420</v>
      </c>
      <c r="AL210" s="2">
        <v>8300</v>
      </c>
      <c r="AM210" s="2">
        <v>7500</v>
      </c>
      <c r="AN210" s="2">
        <v>6700</v>
      </c>
      <c r="AO210" s="2">
        <v>6180</v>
      </c>
      <c r="AP210" s="2">
        <v>5950</v>
      </c>
      <c r="AQ210" s="2">
        <v>6700</v>
      </c>
      <c r="AR210" s="2">
        <v>6980</v>
      </c>
      <c r="AS210" s="2">
        <v>6930</v>
      </c>
      <c r="AT210" s="2">
        <v>6970</v>
      </c>
      <c r="AU210" s="2">
        <v>6440</v>
      </c>
      <c r="AV210" s="2">
        <v>6540</v>
      </c>
      <c r="AW210" s="2">
        <v>6430</v>
      </c>
      <c r="AX210" s="2">
        <v>5610</v>
      </c>
      <c r="AY210" s="2">
        <v>5480</v>
      </c>
      <c r="AZ210" s="2">
        <v>5120</v>
      </c>
      <c r="BA210" s="2">
        <v>4745</v>
      </c>
      <c r="BB210" s="2">
        <v>4880</v>
      </c>
      <c r="BC210" s="2">
        <v>4475</v>
      </c>
      <c r="BD210" s="2">
        <v>4285</v>
      </c>
      <c r="BE210" s="2">
        <v>4385</v>
      </c>
      <c r="BF210" s="2">
        <v>4355</v>
      </c>
      <c r="BG210" s="2">
        <v>4685</v>
      </c>
      <c r="BH210" s="2">
        <v>4500</v>
      </c>
      <c r="BI210" s="2">
        <v>4585</v>
      </c>
      <c r="BJ210" s="2">
        <v>4540</v>
      </c>
      <c r="BK210" s="2">
        <v>4220</v>
      </c>
      <c r="BL210" s="2">
        <v>4250</v>
      </c>
      <c r="BM210" s="1">
        <v>4005</v>
      </c>
      <c r="BN210" s="1">
        <v>3990</v>
      </c>
      <c r="BO210" s="1">
        <v>4115</v>
      </c>
      <c r="BP210" s="1">
        <v>3910</v>
      </c>
    </row>
    <row r="211" spans="1:68" ht="17.25" customHeight="1">
      <c r="A211" s="82" t="s">
        <v>413</v>
      </c>
      <c r="B211" s="1" t="s">
        <v>414</v>
      </c>
      <c r="C211" s="57" t="str">
        <f>_xll.RssMarket("6273","始値")</f>
        <v/>
      </c>
      <c r="D211" s="16" t="e">
        <f t="shared" si="7"/>
        <v>#VALUE!</v>
      </c>
      <c r="E211" s="2">
        <v>71930</v>
      </c>
      <c r="F211" s="2">
        <v>74010</v>
      </c>
      <c r="G211" s="2">
        <v>71600</v>
      </c>
      <c r="H211" s="2">
        <v>75580</v>
      </c>
      <c r="I211" s="2">
        <v>73520</v>
      </c>
      <c r="J211" s="2">
        <v>71390</v>
      </c>
      <c r="K211" s="2">
        <v>71270</v>
      </c>
      <c r="L211" s="2">
        <v>75770</v>
      </c>
      <c r="M211" s="2">
        <v>76500</v>
      </c>
      <c r="N211" s="2">
        <v>72680</v>
      </c>
      <c r="O211" s="2">
        <v>72960</v>
      </c>
      <c r="P211" s="2">
        <v>72830</v>
      </c>
      <c r="Q211" s="2">
        <v>71460</v>
      </c>
      <c r="R211" s="2">
        <v>71780</v>
      </c>
      <c r="S211" s="2">
        <v>72070</v>
      </c>
      <c r="T211" s="2">
        <v>71220</v>
      </c>
      <c r="U211" s="2">
        <v>71230</v>
      </c>
      <c r="V211" s="2">
        <v>74260</v>
      </c>
      <c r="W211" s="2">
        <v>72110</v>
      </c>
      <c r="X211" s="2">
        <v>74100</v>
      </c>
      <c r="Y211" s="2">
        <v>72850</v>
      </c>
      <c r="Z211" s="2">
        <v>70450</v>
      </c>
      <c r="AA211" s="2">
        <v>69410</v>
      </c>
      <c r="AB211" s="2">
        <v>68170</v>
      </c>
      <c r="AC211" s="2">
        <v>65920</v>
      </c>
      <c r="AD211" s="2">
        <v>59000</v>
      </c>
      <c r="AE211" s="2">
        <v>60490</v>
      </c>
      <c r="AF211" s="2">
        <v>62040</v>
      </c>
      <c r="AG211" s="2">
        <v>64660</v>
      </c>
      <c r="AH211" s="2">
        <v>65560</v>
      </c>
      <c r="AI211" s="2">
        <v>63890</v>
      </c>
      <c r="AJ211" s="2">
        <v>65830</v>
      </c>
      <c r="AK211" s="2">
        <v>68880</v>
      </c>
      <c r="AL211" s="2">
        <v>66650</v>
      </c>
      <c r="AM211" s="2">
        <v>66430</v>
      </c>
      <c r="AN211" s="2">
        <v>65620</v>
      </c>
      <c r="AO211" s="2">
        <v>66140</v>
      </c>
      <c r="AP211" s="2">
        <v>65120</v>
      </c>
      <c r="AQ211" s="2">
        <v>67070</v>
      </c>
      <c r="AR211" s="2">
        <v>67000</v>
      </c>
      <c r="AS211" s="2">
        <v>72760</v>
      </c>
      <c r="AT211" s="2">
        <v>84730</v>
      </c>
      <c r="AU211" s="2">
        <v>82580</v>
      </c>
      <c r="AV211" s="2">
        <v>84340</v>
      </c>
      <c r="AW211" s="2">
        <v>84360</v>
      </c>
      <c r="AX211" s="2">
        <v>79580</v>
      </c>
      <c r="AY211" s="2">
        <v>78230</v>
      </c>
      <c r="AZ211" s="2">
        <v>77580</v>
      </c>
      <c r="BA211" s="2">
        <v>76950</v>
      </c>
      <c r="BB211" s="2">
        <v>76980</v>
      </c>
      <c r="BC211" s="2">
        <v>72440</v>
      </c>
      <c r="BD211" s="2">
        <v>70890</v>
      </c>
      <c r="BE211" s="2">
        <v>71620</v>
      </c>
      <c r="BF211" s="2">
        <v>71000</v>
      </c>
      <c r="BG211" s="2">
        <v>71580</v>
      </c>
      <c r="BH211" s="2">
        <v>70850</v>
      </c>
      <c r="BI211" s="2">
        <v>71940</v>
      </c>
      <c r="BJ211" s="2">
        <v>71820</v>
      </c>
      <c r="BK211" s="2">
        <v>72520</v>
      </c>
      <c r="BL211" s="2">
        <v>73150</v>
      </c>
      <c r="BM211" s="1">
        <v>70020</v>
      </c>
      <c r="BN211" s="1">
        <v>68330</v>
      </c>
      <c r="BO211" s="1">
        <v>67470</v>
      </c>
      <c r="BP211" s="1">
        <v>66130</v>
      </c>
    </row>
    <row r="212" spans="1:68" ht="17.25" customHeight="1">
      <c r="A212" s="82" t="s">
        <v>415</v>
      </c>
      <c r="B212" s="1" t="s">
        <v>416</v>
      </c>
      <c r="C212" s="57" t="str">
        <f>_xll.RssMarket("4502","始値")</f>
        <v/>
      </c>
      <c r="D212" s="16" t="e">
        <f t="shared" si="7"/>
        <v>#VALUE!</v>
      </c>
      <c r="E212" s="2">
        <v>5445</v>
      </c>
      <c r="F212" s="2">
        <v>5287</v>
      </c>
      <c r="G212" s="2">
        <v>5380</v>
      </c>
      <c r="H212" s="2">
        <v>5340</v>
      </c>
      <c r="I212" s="2">
        <v>5385</v>
      </c>
      <c r="J212" s="2">
        <v>5400</v>
      </c>
      <c r="K212" s="2">
        <v>5503</v>
      </c>
      <c r="L212" s="2">
        <v>5480</v>
      </c>
      <c r="M212" s="2">
        <v>5426</v>
      </c>
      <c r="N212" s="2">
        <v>5420</v>
      </c>
      <c r="O212" s="2">
        <v>5215</v>
      </c>
      <c r="P212" s="2">
        <v>5126</v>
      </c>
      <c r="Q212" s="2">
        <v>5176</v>
      </c>
      <c r="R212" s="2">
        <v>5100</v>
      </c>
      <c r="S212" s="2">
        <v>5070</v>
      </c>
      <c r="T212" s="2">
        <v>5100</v>
      </c>
      <c r="U212" s="2">
        <v>5000</v>
      </c>
      <c r="V212" s="2">
        <v>4960</v>
      </c>
      <c r="W212" s="2">
        <v>4910</v>
      </c>
      <c r="X212" s="2">
        <v>4911</v>
      </c>
      <c r="Y212" s="2">
        <v>4968</v>
      </c>
      <c r="Z212" s="2">
        <v>5018</v>
      </c>
      <c r="AA212" s="2">
        <v>5040</v>
      </c>
      <c r="AB212" s="2">
        <v>5078</v>
      </c>
      <c r="AC212" s="2">
        <v>5048</v>
      </c>
      <c r="AD212" s="2">
        <v>5018</v>
      </c>
      <c r="AE212" s="2">
        <v>5040</v>
      </c>
      <c r="AF212" s="2">
        <v>4896</v>
      </c>
      <c r="AG212" s="2">
        <v>4933</v>
      </c>
      <c r="AH212" s="2">
        <v>4800</v>
      </c>
      <c r="AI212" s="2">
        <v>4837</v>
      </c>
      <c r="AJ212" s="2">
        <v>5079</v>
      </c>
      <c r="AK212" s="2">
        <v>5128</v>
      </c>
      <c r="AL212" s="2">
        <v>5090</v>
      </c>
      <c r="AM212" s="2">
        <v>5141</v>
      </c>
      <c r="AN212" s="2">
        <v>5190</v>
      </c>
      <c r="AO212" s="2">
        <v>5300</v>
      </c>
      <c r="AP212" s="2">
        <v>5323</v>
      </c>
      <c r="AQ212" s="2">
        <v>5325</v>
      </c>
      <c r="AR212" s="2">
        <v>5291</v>
      </c>
      <c r="AS212" s="2">
        <v>5256</v>
      </c>
      <c r="AT212" s="2">
        <v>5124</v>
      </c>
      <c r="AU212" s="2">
        <v>5193</v>
      </c>
      <c r="AV212" s="2">
        <v>5167</v>
      </c>
      <c r="AW212" s="2">
        <v>5207</v>
      </c>
      <c r="AX212" s="2">
        <v>5339</v>
      </c>
      <c r="AY212" s="2">
        <v>5206</v>
      </c>
      <c r="AZ212" s="2">
        <v>5260</v>
      </c>
      <c r="BA212" s="2">
        <v>5214</v>
      </c>
      <c r="BB212" s="2">
        <v>5292</v>
      </c>
      <c r="BC212" s="2">
        <v>5235</v>
      </c>
      <c r="BD212" s="2">
        <v>5352</v>
      </c>
      <c r="BE212" s="2">
        <v>5318</v>
      </c>
      <c r="BF212" s="2">
        <v>5485</v>
      </c>
      <c r="BG212" s="2">
        <v>5520</v>
      </c>
      <c r="BH212" s="2">
        <v>5622</v>
      </c>
      <c r="BI212" s="2">
        <v>5602</v>
      </c>
      <c r="BJ212" s="2">
        <v>5676</v>
      </c>
      <c r="BK212" s="2">
        <v>5612</v>
      </c>
      <c r="BL212" s="2">
        <v>5669</v>
      </c>
      <c r="BM212" s="1">
        <v>5736</v>
      </c>
      <c r="BN212" s="1">
        <v>5750</v>
      </c>
      <c r="BO212" s="1">
        <v>5900</v>
      </c>
      <c r="BP212" s="1">
        <v>5914</v>
      </c>
    </row>
    <row r="213" spans="1:68" ht="17.25" customHeight="1">
      <c r="A213" s="82" t="s">
        <v>417</v>
      </c>
      <c r="B213" s="1" t="s">
        <v>418</v>
      </c>
      <c r="C213" s="57" t="str">
        <f>_xll.RssMarket("4004","始値")</f>
        <v/>
      </c>
      <c r="D213" s="16" t="e">
        <f t="shared" si="7"/>
        <v>#VALUE!</v>
      </c>
      <c r="E213" s="2">
        <v>14310</v>
      </c>
      <c r="F213" s="2">
        <v>15620</v>
      </c>
      <c r="G213" s="2">
        <v>15100</v>
      </c>
      <c r="H213" s="2">
        <v>16550</v>
      </c>
      <c r="I213" s="2">
        <v>16270</v>
      </c>
      <c r="J213" s="2">
        <v>15850</v>
      </c>
      <c r="K213" s="2">
        <v>14875</v>
      </c>
      <c r="L213" s="2">
        <v>16500</v>
      </c>
      <c r="M213" s="2">
        <v>17520</v>
      </c>
      <c r="N213" s="2">
        <v>16700</v>
      </c>
      <c r="O213" s="2">
        <v>18075</v>
      </c>
      <c r="P213" s="2">
        <v>18400</v>
      </c>
      <c r="Q213" s="2">
        <v>17865</v>
      </c>
      <c r="R213" s="2">
        <v>17315</v>
      </c>
      <c r="S213" s="2">
        <v>17465</v>
      </c>
      <c r="T213" s="2">
        <v>18550</v>
      </c>
      <c r="U213" s="2">
        <v>18025</v>
      </c>
      <c r="V213" s="2">
        <v>19500</v>
      </c>
      <c r="W213" s="2">
        <v>18375</v>
      </c>
      <c r="X213" s="2">
        <v>19705</v>
      </c>
      <c r="Y213" s="2">
        <v>18695</v>
      </c>
      <c r="Z213" s="2">
        <v>17735</v>
      </c>
      <c r="AA213" s="2">
        <v>18500</v>
      </c>
      <c r="AB213" s="2">
        <v>18100</v>
      </c>
      <c r="AC213" s="2">
        <v>17120</v>
      </c>
      <c r="AD213" s="2">
        <v>14635</v>
      </c>
      <c r="AE213" s="2">
        <v>16350</v>
      </c>
      <c r="AF213" s="2">
        <v>15585</v>
      </c>
      <c r="AG213" s="2">
        <v>17295</v>
      </c>
      <c r="AH213" s="2">
        <v>18595</v>
      </c>
      <c r="AI213" s="2">
        <v>19400</v>
      </c>
      <c r="AJ213" s="2">
        <v>18560</v>
      </c>
      <c r="AK213" s="2">
        <v>18980</v>
      </c>
      <c r="AL213" s="2">
        <v>18875</v>
      </c>
      <c r="AM213" s="2">
        <v>19870</v>
      </c>
      <c r="AN213" s="2">
        <v>18890</v>
      </c>
      <c r="AO213" s="2">
        <v>17370</v>
      </c>
      <c r="AP213" s="2">
        <v>16660</v>
      </c>
      <c r="AQ213" s="2">
        <v>16290</v>
      </c>
      <c r="AR213" s="2">
        <v>16540</v>
      </c>
      <c r="AS213" s="2">
        <v>17200</v>
      </c>
      <c r="AT213" s="2">
        <v>18980</v>
      </c>
      <c r="AU213" s="2">
        <v>20005</v>
      </c>
      <c r="AV213" s="2">
        <v>17110</v>
      </c>
      <c r="AW213" s="2">
        <v>17510</v>
      </c>
      <c r="AX213" s="2">
        <v>16480</v>
      </c>
      <c r="AY213" s="2">
        <v>15190</v>
      </c>
      <c r="AZ213" s="2">
        <v>15035</v>
      </c>
      <c r="BA213" s="2">
        <v>14290</v>
      </c>
      <c r="BB213" s="2">
        <v>13870</v>
      </c>
      <c r="BC213" s="2">
        <v>13700</v>
      </c>
      <c r="BD213" s="2">
        <v>13850</v>
      </c>
      <c r="BE213" s="2">
        <v>13930</v>
      </c>
      <c r="BF213" s="2">
        <v>14520</v>
      </c>
      <c r="BG213" s="2">
        <v>13860</v>
      </c>
      <c r="BH213" s="2">
        <v>12730</v>
      </c>
      <c r="BI213" s="2">
        <v>12600</v>
      </c>
      <c r="BJ213" s="2">
        <v>13000</v>
      </c>
      <c r="BK213" s="2">
        <v>13000</v>
      </c>
      <c r="BL213" s="2">
        <v>13580</v>
      </c>
      <c r="BM213" s="1">
        <v>13660</v>
      </c>
      <c r="BN213" s="1">
        <v>13000</v>
      </c>
      <c r="BO213" s="1">
        <v>13500</v>
      </c>
      <c r="BP213" s="1">
        <v>12850</v>
      </c>
    </row>
    <row r="214" spans="1:68" ht="17.25" customHeight="1">
      <c r="A214" s="82" t="s">
        <v>419</v>
      </c>
      <c r="B214" s="1" t="s">
        <v>420</v>
      </c>
      <c r="C214" s="57" t="str">
        <f>_xll.RssMarket("9519","始値")</f>
        <v/>
      </c>
      <c r="D214" s="16" t="e">
        <f t="shared" si="7"/>
        <v>#VALUE!</v>
      </c>
      <c r="E214" s="2">
        <v>1021</v>
      </c>
      <c r="F214" s="2">
        <v>974</v>
      </c>
      <c r="G214" s="2">
        <v>951</v>
      </c>
      <c r="H214" s="2">
        <v>943</v>
      </c>
      <c r="I214" s="2">
        <v>939</v>
      </c>
      <c r="J214" s="2">
        <v>934</v>
      </c>
      <c r="K214" s="2">
        <v>963</v>
      </c>
      <c r="L214" s="2">
        <v>966</v>
      </c>
      <c r="M214" s="2">
        <v>997</v>
      </c>
      <c r="N214" s="2">
        <v>988</v>
      </c>
      <c r="O214" s="2">
        <v>981</v>
      </c>
      <c r="P214" s="2">
        <v>985</v>
      </c>
      <c r="Q214" s="2">
        <v>984</v>
      </c>
      <c r="R214" s="2">
        <v>950</v>
      </c>
      <c r="S214" s="2">
        <v>884</v>
      </c>
      <c r="T214" s="2">
        <v>922</v>
      </c>
      <c r="U214" s="2">
        <v>890</v>
      </c>
      <c r="V214" s="2">
        <v>893</v>
      </c>
      <c r="W214" s="2">
        <v>836</v>
      </c>
      <c r="X214" s="2">
        <v>830</v>
      </c>
      <c r="Y214" s="2">
        <v>875</v>
      </c>
      <c r="Z214" s="2">
        <v>881</v>
      </c>
      <c r="AA214" s="2">
        <v>902</v>
      </c>
      <c r="AB214" s="2">
        <v>895</v>
      </c>
      <c r="AC214" s="2">
        <v>896</v>
      </c>
      <c r="AD214" s="2">
        <v>927</v>
      </c>
      <c r="AE214" s="2">
        <v>1001</v>
      </c>
      <c r="AF214" s="2">
        <v>954</v>
      </c>
      <c r="AG214" s="2">
        <v>1003</v>
      </c>
      <c r="AH214" s="2">
        <v>1087</v>
      </c>
      <c r="AI214" s="2">
        <v>1173</v>
      </c>
      <c r="AJ214" s="2">
        <v>1323</v>
      </c>
      <c r="AK214" s="2">
        <v>1288</v>
      </c>
      <c r="AL214" s="2">
        <v>1270</v>
      </c>
      <c r="AM214" s="2">
        <v>1370</v>
      </c>
      <c r="AN214" s="2">
        <v>1335</v>
      </c>
      <c r="AO214" s="2">
        <v>1292</v>
      </c>
      <c r="AP214" s="2">
        <v>1361</v>
      </c>
      <c r="AQ214" s="2">
        <v>1310</v>
      </c>
      <c r="AR214" s="2">
        <v>1360</v>
      </c>
      <c r="AS214" s="2">
        <v>1320</v>
      </c>
      <c r="AT214" s="2">
        <v>1268</v>
      </c>
      <c r="AU214" s="2">
        <v>1215</v>
      </c>
      <c r="AV214" s="2">
        <v>1221</v>
      </c>
      <c r="AW214" s="2">
        <v>1160</v>
      </c>
      <c r="AX214" s="2">
        <v>1138</v>
      </c>
      <c r="AY214" s="2">
        <v>1111</v>
      </c>
      <c r="AZ214" s="2">
        <v>1130</v>
      </c>
      <c r="BA214" s="2">
        <v>1111</v>
      </c>
      <c r="BB214" s="2">
        <v>1088</v>
      </c>
      <c r="BC214" s="2">
        <v>1042</v>
      </c>
      <c r="BD214" s="2">
        <v>991</v>
      </c>
      <c r="BE214" s="2">
        <v>964</v>
      </c>
      <c r="BF214" s="2">
        <v>971</v>
      </c>
      <c r="BG214" s="2">
        <v>1036</v>
      </c>
      <c r="BH214" s="2">
        <v>1041</v>
      </c>
      <c r="BI214" s="2">
        <v>1068</v>
      </c>
      <c r="BJ214" s="2">
        <v>1060</v>
      </c>
      <c r="BK214" s="2">
        <v>1020</v>
      </c>
      <c r="BL214" s="2">
        <v>996</v>
      </c>
      <c r="BM214" s="1">
        <v>960</v>
      </c>
      <c r="BN214" s="1">
        <v>998</v>
      </c>
      <c r="BO214" s="1">
        <v>932</v>
      </c>
      <c r="BP214" s="1">
        <v>929</v>
      </c>
    </row>
    <row r="215" spans="1:68" ht="17.25" customHeight="1">
      <c r="A215" s="82" t="s">
        <v>421</v>
      </c>
      <c r="B215" s="1" t="s">
        <v>422</v>
      </c>
      <c r="C215" s="57" t="str">
        <f>_xll.RssMarket("6752","始値")</f>
        <v/>
      </c>
      <c r="D215" s="16" t="e">
        <f t="shared" si="7"/>
        <v>#VALUE!</v>
      </c>
      <c r="E215" s="2">
        <v>3993</v>
      </c>
      <c r="F215" s="2">
        <v>4239</v>
      </c>
      <c r="G215" s="2">
        <v>4300</v>
      </c>
      <c r="H215" s="2">
        <v>4658</v>
      </c>
      <c r="I215" s="2">
        <v>4516</v>
      </c>
      <c r="J215" s="2">
        <v>4387</v>
      </c>
      <c r="K215" s="2">
        <v>4260</v>
      </c>
      <c r="L215" s="2">
        <v>4560</v>
      </c>
      <c r="M215" s="2">
        <v>4592</v>
      </c>
      <c r="N215" s="2">
        <v>4400</v>
      </c>
      <c r="O215" s="2">
        <v>4490</v>
      </c>
      <c r="P215" s="2">
        <v>4642</v>
      </c>
      <c r="Q215" s="2">
        <v>4401</v>
      </c>
      <c r="R215" s="2">
        <v>4487</v>
      </c>
      <c r="S215" s="2">
        <v>4570</v>
      </c>
      <c r="T215" s="2">
        <v>4469</v>
      </c>
      <c r="U215" s="2">
        <v>4220</v>
      </c>
      <c r="V215" s="2">
        <v>4380</v>
      </c>
      <c r="W215" s="2">
        <v>4415</v>
      </c>
      <c r="X215" s="2">
        <v>4445</v>
      </c>
      <c r="Y215" s="2">
        <v>4237</v>
      </c>
      <c r="Z215" s="2">
        <v>4184</v>
      </c>
      <c r="AA215" s="2">
        <v>4100</v>
      </c>
      <c r="AB215" s="2">
        <v>3930</v>
      </c>
      <c r="AC215" s="2">
        <v>3837</v>
      </c>
      <c r="AD215" s="2">
        <v>3613</v>
      </c>
      <c r="AE215" s="2">
        <v>3780</v>
      </c>
      <c r="AF215" s="2">
        <v>3450</v>
      </c>
      <c r="AG215" s="2">
        <v>3744</v>
      </c>
      <c r="AH215" s="2">
        <v>3642</v>
      </c>
      <c r="AI215" s="2">
        <v>3690</v>
      </c>
      <c r="AJ215" s="2">
        <v>3567</v>
      </c>
      <c r="AK215" s="2">
        <v>3591</v>
      </c>
      <c r="AL215" s="2">
        <v>3499</v>
      </c>
      <c r="AM215" s="2">
        <v>3619</v>
      </c>
      <c r="AN215" s="2">
        <v>3540</v>
      </c>
      <c r="AO215" s="2">
        <v>3472</v>
      </c>
      <c r="AP215" s="2">
        <v>3230</v>
      </c>
      <c r="AQ215" s="2">
        <v>3283</v>
      </c>
      <c r="AR215" s="2">
        <v>3350</v>
      </c>
      <c r="AS215" s="2">
        <v>3231</v>
      </c>
      <c r="AT215" s="2">
        <v>3400</v>
      </c>
      <c r="AU215" s="2">
        <v>3322</v>
      </c>
      <c r="AV215" s="2">
        <v>3165</v>
      </c>
      <c r="AW215" s="2">
        <v>3341</v>
      </c>
      <c r="AX215" s="2">
        <v>3231</v>
      </c>
      <c r="AY215" s="2">
        <v>3224</v>
      </c>
      <c r="AZ215" s="2">
        <v>3423</v>
      </c>
      <c r="BA215" s="2">
        <v>3273</v>
      </c>
      <c r="BB215" s="2">
        <v>3091</v>
      </c>
      <c r="BC215" s="2">
        <v>3103</v>
      </c>
      <c r="BD215" s="2">
        <v>2950</v>
      </c>
      <c r="BE215" s="2">
        <v>2900</v>
      </c>
      <c r="BF215" s="2">
        <v>2914.5</v>
      </c>
      <c r="BG215" s="2">
        <v>2977</v>
      </c>
      <c r="BH215" s="2">
        <v>3000</v>
      </c>
      <c r="BI215" s="2">
        <v>2893.5</v>
      </c>
      <c r="BJ215" s="2">
        <v>2953</v>
      </c>
      <c r="BK215" s="2">
        <v>2939</v>
      </c>
      <c r="BL215" s="2">
        <v>2936.5</v>
      </c>
      <c r="BM215" s="1">
        <v>2911</v>
      </c>
      <c r="BN215" s="1">
        <v>2812</v>
      </c>
      <c r="BO215" s="1">
        <v>2923</v>
      </c>
      <c r="BP215" s="1">
        <v>2891</v>
      </c>
    </row>
    <row r="216" spans="1:68" ht="17.25" customHeight="1">
      <c r="A216" s="82" t="s">
        <v>423</v>
      </c>
      <c r="B216" s="1" t="s">
        <v>424</v>
      </c>
      <c r="C216" s="57" t="str">
        <f>_xll.RssMarket("6622","始値")</f>
        <v/>
      </c>
      <c r="D216" s="16" t="e">
        <f t="shared" si="7"/>
        <v>#VALUE!</v>
      </c>
      <c r="E216" s="2">
        <v>14450</v>
      </c>
      <c r="F216" s="2">
        <v>15300</v>
      </c>
      <c r="G216" s="2">
        <v>14980</v>
      </c>
      <c r="H216" s="2">
        <v>15570</v>
      </c>
      <c r="I216" s="2">
        <v>15540</v>
      </c>
      <c r="J216" s="2">
        <v>15200</v>
      </c>
      <c r="K216" s="2">
        <v>15010</v>
      </c>
      <c r="L216" s="2">
        <v>17010</v>
      </c>
      <c r="M216" s="2">
        <v>17340</v>
      </c>
      <c r="N216" s="2">
        <v>15960</v>
      </c>
      <c r="O216" s="2">
        <v>17650</v>
      </c>
      <c r="P216" s="2">
        <v>18550</v>
      </c>
      <c r="Q216" s="2">
        <v>18110</v>
      </c>
      <c r="R216" s="2">
        <v>18190</v>
      </c>
      <c r="S216" s="2">
        <v>18530</v>
      </c>
      <c r="T216" s="2">
        <v>18950</v>
      </c>
      <c r="U216" s="2">
        <v>18450</v>
      </c>
      <c r="V216" s="2">
        <v>19500</v>
      </c>
      <c r="W216" s="2">
        <v>17870</v>
      </c>
      <c r="X216" s="2">
        <v>18900</v>
      </c>
      <c r="Y216" s="2">
        <v>17360</v>
      </c>
      <c r="Z216" s="2">
        <v>16170</v>
      </c>
      <c r="AA216" s="2">
        <v>16290</v>
      </c>
      <c r="AB216" s="2">
        <v>16000</v>
      </c>
      <c r="AC216" s="2">
        <v>15200</v>
      </c>
      <c r="AD216" s="2">
        <v>14050</v>
      </c>
      <c r="AE216" s="2">
        <v>15100</v>
      </c>
      <c r="AF216" s="2">
        <v>14600</v>
      </c>
      <c r="AG216" s="2">
        <v>15520</v>
      </c>
      <c r="AH216" s="2">
        <v>15320</v>
      </c>
      <c r="AI216" s="2">
        <v>15480</v>
      </c>
      <c r="AJ216" s="2">
        <v>15610</v>
      </c>
      <c r="AK216" s="2">
        <v>16530</v>
      </c>
      <c r="AL216" s="2">
        <v>16420</v>
      </c>
      <c r="AM216" s="2">
        <v>17360</v>
      </c>
      <c r="AN216" s="2">
        <v>16910</v>
      </c>
      <c r="AO216" s="2">
        <v>16400</v>
      </c>
      <c r="AP216" s="2">
        <v>15610</v>
      </c>
      <c r="AQ216" s="2">
        <v>15400</v>
      </c>
      <c r="AR216" s="2">
        <v>16620</v>
      </c>
      <c r="AS216" s="2">
        <v>17300</v>
      </c>
      <c r="AT216" s="2">
        <v>17600</v>
      </c>
      <c r="AU216" s="2">
        <v>18150</v>
      </c>
      <c r="AV216" s="2">
        <v>17500</v>
      </c>
      <c r="AW216" s="2">
        <v>19790</v>
      </c>
      <c r="AX216" s="2">
        <v>17880</v>
      </c>
      <c r="AY216" s="2">
        <v>16700</v>
      </c>
      <c r="AZ216" s="2">
        <v>16830</v>
      </c>
      <c r="BA216" s="2">
        <v>15460</v>
      </c>
      <c r="BB216" s="2">
        <v>15190</v>
      </c>
      <c r="BC216" s="2">
        <v>14700</v>
      </c>
      <c r="BD216" s="2">
        <v>14080</v>
      </c>
      <c r="BE216" s="2">
        <v>13790</v>
      </c>
      <c r="BF216" s="2">
        <v>13940</v>
      </c>
      <c r="BG216" s="2">
        <v>14080</v>
      </c>
      <c r="BH216" s="2">
        <v>14050</v>
      </c>
      <c r="BI216" s="2">
        <v>13820</v>
      </c>
      <c r="BJ216" s="2">
        <v>14320</v>
      </c>
      <c r="BK216" s="2">
        <v>14340</v>
      </c>
      <c r="BL216" s="2">
        <v>14740</v>
      </c>
      <c r="BM216" s="1">
        <v>14550</v>
      </c>
      <c r="BN216" s="1">
        <v>13880</v>
      </c>
      <c r="BO216" s="1">
        <v>13800</v>
      </c>
      <c r="BP216" s="1">
        <v>13650</v>
      </c>
    </row>
    <row r="217" spans="1:68" ht="17.25" customHeight="1">
      <c r="A217" s="82" t="s">
        <v>425</v>
      </c>
      <c r="B217" s="1" t="s">
        <v>426</v>
      </c>
      <c r="C217" s="57" t="str">
        <f>_xll.RssMarket("1407","始値")</f>
        <v/>
      </c>
      <c r="D217" s="16" t="e">
        <f t="shared" si="7"/>
        <v>#VALUE!</v>
      </c>
      <c r="E217" s="2">
        <v>2683</v>
      </c>
      <c r="F217" s="2">
        <v>2352</v>
      </c>
      <c r="G217" s="2">
        <v>2258</v>
      </c>
      <c r="H217" s="2">
        <v>2182</v>
      </c>
      <c r="I217" s="2">
        <v>2294</v>
      </c>
      <c r="J217" s="2">
        <v>2280</v>
      </c>
      <c r="K217" s="2">
        <v>2256</v>
      </c>
      <c r="L217" s="2">
        <v>2330</v>
      </c>
      <c r="M217" s="2">
        <v>2413</v>
      </c>
      <c r="N217" s="2">
        <v>2321</v>
      </c>
      <c r="O217" s="2">
        <v>2356</v>
      </c>
      <c r="P217" s="2">
        <v>2390</v>
      </c>
      <c r="Q217" s="2">
        <v>2428</v>
      </c>
      <c r="R217" s="2">
        <v>2395</v>
      </c>
      <c r="S217" s="2">
        <v>2293</v>
      </c>
      <c r="T217" s="2">
        <v>2299</v>
      </c>
      <c r="U217" s="2">
        <v>2375</v>
      </c>
      <c r="V217" s="2">
        <v>2300</v>
      </c>
      <c r="W217" s="2">
        <v>2212</v>
      </c>
      <c r="X217" s="2">
        <v>2280</v>
      </c>
      <c r="Y217" s="2">
        <v>2334</v>
      </c>
      <c r="Z217" s="2">
        <v>2220</v>
      </c>
      <c r="AA217" s="2">
        <v>2234</v>
      </c>
      <c r="AB217" s="2">
        <v>2332</v>
      </c>
      <c r="AC217" s="2">
        <v>2305</v>
      </c>
      <c r="AD217" s="2">
        <v>2238</v>
      </c>
      <c r="AE217" s="2">
        <v>2335</v>
      </c>
      <c r="AF217" s="2">
        <v>2355</v>
      </c>
      <c r="AG217" s="2">
        <v>2386</v>
      </c>
      <c r="AH217" s="2">
        <v>2564</v>
      </c>
      <c r="AI217" s="2">
        <v>2524</v>
      </c>
      <c r="AJ217" s="2">
        <v>2600</v>
      </c>
      <c r="AK217" s="2">
        <v>2863</v>
      </c>
      <c r="AL217" s="2">
        <v>3045</v>
      </c>
      <c r="AM217" s="2">
        <v>3165</v>
      </c>
      <c r="AN217" s="2">
        <v>2900</v>
      </c>
      <c r="AO217" s="2">
        <v>2918</v>
      </c>
      <c r="AP217" s="2">
        <v>3100</v>
      </c>
      <c r="AQ217" s="2">
        <v>3040</v>
      </c>
      <c r="AR217" s="2">
        <v>3015</v>
      </c>
      <c r="AS217" s="2">
        <v>3030</v>
      </c>
      <c r="AT217" s="2">
        <v>3140</v>
      </c>
      <c r="AU217" s="2">
        <v>3040</v>
      </c>
      <c r="AV217" s="2">
        <v>2850</v>
      </c>
      <c r="AW217" s="2">
        <v>3180</v>
      </c>
      <c r="AX217" s="2">
        <v>3110</v>
      </c>
      <c r="AY217" s="2">
        <v>2862</v>
      </c>
      <c r="AZ217" s="2">
        <v>2880</v>
      </c>
      <c r="BA217" s="2">
        <v>2927</v>
      </c>
      <c r="BB217" s="2">
        <v>2731</v>
      </c>
      <c r="BC217" s="2">
        <v>2683</v>
      </c>
      <c r="BD217" s="2">
        <v>2541</v>
      </c>
      <c r="BE217" s="2">
        <v>2383</v>
      </c>
      <c r="BF217" s="2">
        <v>2320</v>
      </c>
      <c r="BG217" s="2">
        <v>2288</v>
      </c>
      <c r="BH217" s="2">
        <v>2305</v>
      </c>
      <c r="BI217" s="2">
        <v>2205</v>
      </c>
      <c r="BJ217" s="2">
        <v>2320</v>
      </c>
      <c r="BK217" s="2">
        <v>2096</v>
      </c>
      <c r="BL217" s="2">
        <v>1944</v>
      </c>
      <c r="BM217" s="1">
        <v>1815</v>
      </c>
      <c r="BN217" s="1">
        <v>1843</v>
      </c>
      <c r="BO217" s="1">
        <v>1890</v>
      </c>
      <c r="BP217" s="1">
        <v>1834</v>
      </c>
    </row>
    <row r="218" spans="1:68" ht="17.25" customHeight="1">
      <c r="A218" s="82" t="s">
        <v>427</v>
      </c>
      <c r="B218" s="1" t="s">
        <v>428</v>
      </c>
      <c r="C218" s="57" t="str">
        <f>_xll.RssMarket("285A","始値")</f>
        <v/>
      </c>
      <c r="D218" s="16" t="e">
        <f t="shared" si="7"/>
        <v>#VALUE!</v>
      </c>
      <c r="E218" s="2">
        <v>55900</v>
      </c>
      <c r="F218" s="2">
        <v>72740</v>
      </c>
      <c r="G218" s="2">
        <v>65300</v>
      </c>
      <c r="H218" s="75">
        <v>75500</v>
      </c>
      <c r="I218" s="2">
        <v>82080</v>
      </c>
      <c r="J218" s="2">
        <v>77220</v>
      </c>
      <c r="K218" s="2">
        <v>69400</v>
      </c>
      <c r="L218" s="2">
        <v>78000</v>
      </c>
      <c r="M218" s="2">
        <v>84800</v>
      </c>
      <c r="N218" s="2">
        <v>68000</v>
      </c>
      <c r="O218" s="2">
        <v>79130</v>
      </c>
      <c r="P218" s="2">
        <v>91180</v>
      </c>
      <c r="Q218" s="2">
        <v>88450</v>
      </c>
      <c r="R218" s="2">
        <v>92730</v>
      </c>
      <c r="S218" s="2">
        <v>100000</v>
      </c>
      <c r="T218" s="2">
        <v>106000</v>
      </c>
      <c r="U218" s="2">
        <v>95290</v>
      </c>
      <c r="V218" s="2">
        <v>110750</v>
      </c>
      <c r="W218" s="2">
        <v>105600</v>
      </c>
      <c r="X218" s="2">
        <v>100300</v>
      </c>
      <c r="Y218" s="2">
        <v>97500</v>
      </c>
      <c r="Z218" s="2">
        <v>93500</v>
      </c>
      <c r="AA218" s="2">
        <v>93910</v>
      </c>
      <c r="AB218" s="2">
        <v>85700</v>
      </c>
      <c r="AC218" s="2">
        <v>80500</v>
      </c>
      <c r="AD218" s="2">
        <v>67750</v>
      </c>
      <c r="AE218" s="2">
        <v>74950</v>
      </c>
      <c r="AF218" s="2">
        <v>69140</v>
      </c>
      <c r="AG218" s="2">
        <v>74010</v>
      </c>
      <c r="AH218" s="2">
        <v>77000</v>
      </c>
      <c r="AI218" s="2">
        <v>79660</v>
      </c>
      <c r="AJ218" s="2">
        <v>74000</v>
      </c>
      <c r="AK218" s="2">
        <v>62500</v>
      </c>
      <c r="AL218" s="2">
        <v>59000</v>
      </c>
      <c r="AM218" s="2">
        <v>65890</v>
      </c>
      <c r="AN218" s="2">
        <v>58380</v>
      </c>
      <c r="AO218" s="2">
        <v>57500</v>
      </c>
      <c r="AP218" s="2">
        <v>53290</v>
      </c>
      <c r="AQ218" s="2">
        <v>51000</v>
      </c>
      <c r="AR218" s="2">
        <v>52010</v>
      </c>
      <c r="AS218" s="2">
        <v>51450</v>
      </c>
      <c r="AT218" s="2">
        <v>48460</v>
      </c>
      <c r="AU218" s="2">
        <v>50070</v>
      </c>
      <c r="AV218" s="2">
        <v>44800</v>
      </c>
      <c r="AW218" s="2">
        <v>46900</v>
      </c>
      <c r="AX218" s="2">
        <v>49200</v>
      </c>
      <c r="AY218" s="2">
        <v>43350</v>
      </c>
      <c r="AZ218" s="2">
        <v>43410</v>
      </c>
      <c r="BA218" s="2">
        <v>36500</v>
      </c>
      <c r="BB218" s="2">
        <v>37460</v>
      </c>
      <c r="BC218" s="2">
        <v>36400</v>
      </c>
      <c r="BD218" s="2">
        <v>35410</v>
      </c>
      <c r="BE218" s="2">
        <v>35250</v>
      </c>
      <c r="BF218" s="2">
        <v>36500</v>
      </c>
      <c r="BG218" s="2">
        <v>33000</v>
      </c>
      <c r="BH218" s="2">
        <v>30780</v>
      </c>
      <c r="BI218" s="2">
        <v>31180</v>
      </c>
      <c r="BJ218" s="2">
        <v>33440</v>
      </c>
      <c r="BK218" s="2">
        <v>33000</v>
      </c>
      <c r="BL218" s="2">
        <v>35000</v>
      </c>
      <c r="BM218" s="1">
        <v>36170</v>
      </c>
      <c r="BN218" s="1">
        <v>29550</v>
      </c>
      <c r="BO218" s="1">
        <v>29000</v>
      </c>
      <c r="BP218" s="1">
        <v>26915</v>
      </c>
    </row>
    <row r="219" spans="1:68" ht="17.25" customHeight="1">
      <c r="A219" s="82" t="s">
        <v>429</v>
      </c>
      <c r="B219" s="1" t="s">
        <v>430</v>
      </c>
      <c r="C219" s="57" t="str">
        <f>_xll.RssMarket("141A","始値")</f>
        <v/>
      </c>
      <c r="D219" s="16" t="e">
        <f t="shared" si="7"/>
        <v>#VALUE!</v>
      </c>
      <c r="E219" s="2">
        <v>3055</v>
      </c>
      <c r="F219" s="2">
        <v>3045</v>
      </c>
      <c r="G219" s="2">
        <v>3050</v>
      </c>
      <c r="H219" s="2">
        <v>3040</v>
      </c>
      <c r="I219" s="2">
        <v>3095</v>
      </c>
      <c r="J219" s="2">
        <v>3000</v>
      </c>
      <c r="K219" s="2">
        <v>3110</v>
      </c>
      <c r="L219" s="2">
        <v>3105</v>
      </c>
      <c r="M219" s="2">
        <v>3060</v>
      </c>
      <c r="N219" s="2">
        <v>3090</v>
      </c>
      <c r="O219" s="2">
        <v>2939</v>
      </c>
      <c r="P219" s="2">
        <v>2992</v>
      </c>
      <c r="Q219" s="2">
        <v>3170</v>
      </c>
      <c r="R219" s="2">
        <v>3040</v>
      </c>
      <c r="S219" s="2">
        <v>3025</v>
      </c>
      <c r="T219" s="2">
        <v>3030</v>
      </c>
      <c r="U219" s="2">
        <v>2793</v>
      </c>
      <c r="V219" s="2">
        <v>2747</v>
      </c>
      <c r="W219" s="2">
        <v>2731</v>
      </c>
      <c r="X219" s="2">
        <v>2757</v>
      </c>
      <c r="Y219" s="2">
        <v>2802</v>
      </c>
      <c r="Z219" s="2">
        <v>2791</v>
      </c>
      <c r="AA219" s="2">
        <v>2833</v>
      </c>
      <c r="AB219" s="2">
        <v>2837</v>
      </c>
      <c r="AC219" s="2">
        <v>2889</v>
      </c>
      <c r="AD219" s="2">
        <v>2876</v>
      </c>
      <c r="AE219" s="2">
        <v>2830</v>
      </c>
      <c r="AF219" s="2">
        <v>2750</v>
      </c>
      <c r="AG219" s="2">
        <v>2669</v>
      </c>
      <c r="AH219" s="2">
        <v>2702</v>
      </c>
      <c r="AI219" s="2">
        <v>2538</v>
      </c>
      <c r="AJ219" s="2">
        <v>2620</v>
      </c>
      <c r="AK219" s="2">
        <v>2929</v>
      </c>
      <c r="AL219" s="2">
        <v>2846</v>
      </c>
      <c r="AM219" s="2">
        <v>2718</v>
      </c>
      <c r="AN219" s="2">
        <v>3000</v>
      </c>
      <c r="AO219" s="2">
        <v>3055</v>
      </c>
      <c r="AP219" s="2">
        <v>3110</v>
      </c>
      <c r="AQ219" s="2">
        <v>3180</v>
      </c>
      <c r="AR219" s="2">
        <v>2948</v>
      </c>
      <c r="AS219" s="2">
        <v>3505</v>
      </c>
      <c r="AT219" s="2">
        <v>3710</v>
      </c>
      <c r="AU219" s="2">
        <v>4440</v>
      </c>
      <c r="AV219" s="2">
        <v>4305</v>
      </c>
      <c r="AW219" s="2">
        <v>4300</v>
      </c>
      <c r="AX219" s="2">
        <v>4120</v>
      </c>
      <c r="AY219" s="2">
        <v>4215</v>
      </c>
      <c r="AZ219" s="2">
        <v>3900</v>
      </c>
      <c r="BA219" s="2">
        <v>3960</v>
      </c>
      <c r="BB219" s="2">
        <v>4000</v>
      </c>
      <c r="BC219" s="2">
        <v>3870</v>
      </c>
      <c r="BD219" s="2">
        <v>3970</v>
      </c>
      <c r="BE219" s="2">
        <v>4215</v>
      </c>
      <c r="BF219" s="2">
        <v>4400</v>
      </c>
      <c r="BG219" s="2">
        <v>4760</v>
      </c>
      <c r="BH219" s="2">
        <v>4695</v>
      </c>
      <c r="BI219" s="2">
        <v>4455</v>
      </c>
      <c r="BJ219" s="2">
        <v>4475</v>
      </c>
      <c r="BK219" s="2">
        <v>4420</v>
      </c>
      <c r="BL219" s="2">
        <v>4320</v>
      </c>
      <c r="BM219" s="1">
        <v>4190</v>
      </c>
      <c r="BN219" s="1">
        <v>4375</v>
      </c>
      <c r="BO219" s="1">
        <v>4535</v>
      </c>
      <c r="BP219" s="1">
        <v>4655</v>
      </c>
    </row>
    <row r="220" spans="1:68" ht="17.25" customHeight="1">
      <c r="A220" s="82" t="s">
        <v>431</v>
      </c>
      <c r="B220" s="1" t="s">
        <v>432</v>
      </c>
      <c r="C220" s="57" t="str">
        <f>_xll.RssMarket("464A","始値")</f>
        <v/>
      </c>
      <c r="D220" s="16" t="e">
        <f t="shared" si="7"/>
        <v>#VALUE!</v>
      </c>
      <c r="E220" s="2">
        <v>1664</v>
      </c>
      <c r="F220" s="2">
        <v>1845</v>
      </c>
      <c r="G220" s="2">
        <v>1800</v>
      </c>
      <c r="H220" s="2">
        <v>1840</v>
      </c>
      <c r="I220" s="2">
        <v>1843</v>
      </c>
      <c r="J220" s="2">
        <v>1801</v>
      </c>
      <c r="K220" s="2">
        <v>1890</v>
      </c>
      <c r="L220" s="2">
        <v>2020</v>
      </c>
      <c r="M220" s="2">
        <v>2098</v>
      </c>
      <c r="N220" s="2">
        <v>1984</v>
      </c>
      <c r="O220" s="2">
        <v>2070</v>
      </c>
      <c r="P220" s="2">
        <v>1938</v>
      </c>
      <c r="Q220" s="2">
        <v>1954</v>
      </c>
      <c r="R220" s="2">
        <v>1906</v>
      </c>
      <c r="S220" s="2">
        <v>1975</v>
      </c>
      <c r="T220" s="2">
        <v>1950</v>
      </c>
      <c r="U220" s="2">
        <v>2050</v>
      </c>
      <c r="V220" s="2">
        <v>2232</v>
      </c>
      <c r="W220" s="2">
        <v>2180</v>
      </c>
      <c r="X220" s="2">
        <v>2227</v>
      </c>
      <c r="Y220" s="2">
        <v>2252</v>
      </c>
      <c r="Z220" s="2">
        <v>2380</v>
      </c>
      <c r="AA220" s="2">
        <v>2424</v>
      </c>
      <c r="AB220" s="2">
        <v>2746</v>
      </c>
      <c r="AC220" s="2">
        <v>2807</v>
      </c>
      <c r="AD220" s="2">
        <v>2483</v>
      </c>
      <c r="AE220" s="2">
        <v>2611</v>
      </c>
      <c r="AF220" s="2">
        <v>2772</v>
      </c>
      <c r="AG220" s="2">
        <v>2995</v>
      </c>
      <c r="AH220" s="2">
        <v>2748</v>
      </c>
      <c r="AI220" s="2">
        <v>3150</v>
      </c>
      <c r="AJ220" s="2">
        <v>3145</v>
      </c>
      <c r="AK220" s="2">
        <v>4335</v>
      </c>
      <c r="AL220" s="2">
        <v>4135</v>
      </c>
      <c r="AM220" s="2">
        <v>4410</v>
      </c>
      <c r="AN220" s="2">
        <v>3935</v>
      </c>
      <c r="AO220" s="2">
        <v>3435</v>
      </c>
      <c r="AP220" s="2">
        <v>3380</v>
      </c>
      <c r="AQ220" s="2">
        <v>3495</v>
      </c>
      <c r="AR220" s="2">
        <v>3370</v>
      </c>
      <c r="AS220" s="2">
        <v>3350</v>
      </c>
      <c r="AT220" s="2">
        <v>3320</v>
      </c>
      <c r="AU220" s="2">
        <v>3235</v>
      </c>
      <c r="AV220" s="2">
        <v>2907</v>
      </c>
      <c r="AW220" s="2">
        <v>3040</v>
      </c>
      <c r="AX220" s="2">
        <v>2950</v>
      </c>
      <c r="AY220" s="2">
        <v>2647</v>
      </c>
      <c r="AZ220" s="2">
        <v>2650</v>
      </c>
      <c r="BA220" s="2">
        <v>2520</v>
      </c>
      <c r="BB220" s="2">
        <v>2500</v>
      </c>
      <c r="BC220" s="2">
        <v>2440</v>
      </c>
      <c r="BD220" s="2">
        <v>2595</v>
      </c>
      <c r="BE220" s="2">
        <v>2570</v>
      </c>
      <c r="BF220" s="2">
        <v>2686</v>
      </c>
      <c r="BG220" s="2">
        <v>2783</v>
      </c>
      <c r="BH220" s="2">
        <v>2690</v>
      </c>
      <c r="BI220" s="2">
        <v>2675</v>
      </c>
      <c r="BJ220" s="2">
        <v>2677</v>
      </c>
      <c r="BK220" s="2">
        <v>2564</v>
      </c>
      <c r="BL220" s="2">
        <v>2645</v>
      </c>
      <c r="BM220" s="1">
        <v>2768</v>
      </c>
      <c r="BN220" s="1">
        <v>2782</v>
      </c>
      <c r="BO220" s="1">
        <v>2665</v>
      </c>
      <c r="BP220" s="1">
        <v>2677</v>
      </c>
    </row>
    <row r="221" spans="1:68" ht="17.25" customHeight="1">
      <c r="A221" s="82" t="s">
        <v>433</v>
      </c>
      <c r="B221" s="1" t="s">
        <v>434</v>
      </c>
      <c r="C221" s="57" t="str">
        <f>_xll.RssMarket("485A","始値")</f>
        <v/>
      </c>
      <c r="D221" s="16" t="e">
        <f t="shared" si="7"/>
        <v>#VALUE!</v>
      </c>
      <c r="E221" s="2">
        <v>1900</v>
      </c>
      <c r="F221" s="2">
        <v>1871</v>
      </c>
      <c r="G221" s="2">
        <v>1820</v>
      </c>
      <c r="H221" s="2">
        <v>1886</v>
      </c>
      <c r="I221" s="2">
        <v>1982</v>
      </c>
      <c r="J221" s="2">
        <v>1842</v>
      </c>
      <c r="K221" s="2">
        <v>1897</v>
      </c>
      <c r="L221" s="2">
        <v>2017</v>
      </c>
      <c r="M221" s="2">
        <v>2011</v>
      </c>
      <c r="N221" s="2">
        <v>1861</v>
      </c>
      <c r="O221" s="2">
        <v>1747</v>
      </c>
      <c r="P221" s="2">
        <v>1887</v>
      </c>
      <c r="Q221" s="2">
        <v>1935</v>
      </c>
      <c r="R221" s="2">
        <v>1938</v>
      </c>
      <c r="S221" s="2">
        <v>1920</v>
      </c>
      <c r="T221" s="2">
        <v>2200</v>
      </c>
      <c r="U221" s="2">
        <v>2084</v>
      </c>
      <c r="V221" s="2">
        <v>2550</v>
      </c>
      <c r="W221" s="2">
        <v>2000</v>
      </c>
      <c r="X221" s="2">
        <v>2060</v>
      </c>
      <c r="Y221" s="2">
        <v>2166</v>
      </c>
      <c r="Z221" s="2">
        <v>2441</v>
      </c>
      <c r="AA221" s="2">
        <v>2366</v>
      </c>
      <c r="AB221" s="2">
        <v>2662</v>
      </c>
      <c r="AC221" s="2">
        <v>2600</v>
      </c>
      <c r="AD221" s="2">
        <v>2141</v>
      </c>
      <c r="AE221" s="2">
        <v>2401</v>
      </c>
      <c r="AF221" s="2">
        <v>2689</v>
      </c>
      <c r="AG221" s="2">
        <v>2743</v>
      </c>
      <c r="AH221" s="2">
        <v>3770</v>
      </c>
      <c r="AI221" s="2">
        <v>3425</v>
      </c>
      <c r="AJ221" s="2">
        <v>3300</v>
      </c>
      <c r="AK221" s="2">
        <v>4430</v>
      </c>
      <c r="AL221" s="2">
        <v>4460</v>
      </c>
      <c r="AM221" s="2">
        <v>13800</v>
      </c>
      <c r="AN221" s="2">
        <v>12950</v>
      </c>
      <c r="AO221" s="2">
        <v>13380</v>
      </c>
      <c r="AP221" s="2">
        <v>14200</v>
      </c>
      <c r="AQ221" s="2">
        <v>14300</v>
      </c>
      <c r="AR221" s="2">
        <v>14980</v>
      </c>
      <c r="AS221" s="2">
        <v>12850</v>
      </c>
      <c r="AT221" s="2">
        <v>13650</v>
      </c>
      <c r="AU221" s="2">
        <v>13000</v>
      </c>
      <c r="AV221" s="2">
        <v>11580</v>
      </c>
      <c r="AW221" s="2">
        <v>14390</v>
      </c>
      <c r="AX221" s="2">
        <v>14220</v>
      </c>
      <c r="AY221" s="2">
        <v>12400</v>
      </c>
      <c r="AZ221" s="2">
        <v>10730</v>
      </c>
      <c r="BA221" s="2">
        <v>10990</v>
      </c>
      <c r="BB221" s="2">
        <v>9820</v>
      </c>
      <c r="BC221" s="2">
        <v>9310</v>
      </c>
      <c r="BD221" s="2">
        <v>8040</v>
      </c>
      <c r="BE221" s="2">
        <v>7490</v>
      </c>
      <c r="BF221" s="2">
        <v>7770</v>
      </c>
      <c r="BG221" s="2">
        <v>7010</v>
      </c>
      <c r="BH221" s="2">
        <v>6890</v>
      </c>
      <c r="BI221" s="2">
        <v>6700</v>
      </c>
      <c r="BJ221" s="2">
        <v>7330</v>
      </c>
      <c r="BK221" s="2">
        <v>6650</v>
      </c>
      <c r="BL221" s="2">
        <v>7110</v>
      </c>
      <c r="BM221" s="1">
        <v>6900</v>
      </c>
      <c r="BN221" s="1">
        <v>7600</v>
      </c>
      <c r="BO221" s="1">
        <v>6800</v>
      </c>
      <c r="BP221" s="1">
        <v>6160</v>
      </c>
    </row>
    <row r="222" spans="1:68" ht="17.25" customHeight="1">
      <c r="A222" s="82" t="s">
        <v>435</v>
      </c>
      <c r="B222" s="1" t="str">
        <f>銘柄管理!C222</f>
        <v/>
      </c>
      <c r="C222" s="57" t="str">
        <f>_xll.RssMarket("1570","始値")</f>
        <v/>
      </c>
      <c r="D222" s="16"/>
      <c r="E222" s="2">
        <v>69190</v>
      </c>
      <c r="F222" s="2">
        <v>74990</v>
      </c>
      <c r="G222" s="2">
        <v>71840</v>
      </c>
      <c r="H222" s="2">
        <v>75420</v>
      </c>
      <c r="I222" s="2">
        <v>76580</v>
      </c>
      <c r="J222" s="2">
        <v>73700</v>
      </c>
      <c r="K222" s="2">
        <v>72600</v>
      </c>
      <c r="L222" s="2">
        <v>78000</v>
      </c>
      <c r="M222" s="2">
        <v>79090</v>
      </c>
      <c r="N222" s="2">
        <v>75410</v>
      </c>
      <c r="O222" s="2">
        <v>76800</v>
      </c>
      <c r="P222" s="2">
        <v>82300</v>
      </c>
      <c r="Q222" s="2">
        <v>79850</v>
      </c>
      <c r="R222" s="2">
        <v>78440</v>
      </c>
      <c r="S222" s="2">
        <v>81770</v>
      </c>
      <c r="T222" s="2">
        <v>81670</v>
      </c>
      <c r="U222" s="2">
        <v>78500</v>
      </c>
      <c r="V222" s="2">
        <v>85820</v>
      </c>
      <c r="W222" s="2">
        <v>82380</v>
      </c>
      <c r="X222" s="2">
        <v>83700</v>
      </c>
      <c r="Y222" s="2">
        <v>80760</v>
      </c>
      <c r="Z222" s="2">
        <v>76910</v>
      </c>
      <c r="AA222" s="2">
        <v>78320</v>
      </c>
      <c r="AB222" s="2">
        <v>76320</v>
      </c>
      <c r="AC222" s="2">
        <v>71830</v>
      </c>
      <c r="AD222" s="2">
        <v>63960</v>
      </c>
      <c r="AE222" s="2">
        <v>68160</v>
      </c>
      <c r="AF222" s="2">
        <v>66640</v>
      </c>
      <c r="AG222" s="2">
        <v>73450</v>
      </c>
      <c r="AH222" s="2">
        <v>75220</v>
      </c>
      <c r="AI222" s="2">
        <v>75310</v>
      </c>
      <c r="AJ222" s="2">
        <v>73900</v>
      </c>
      <c r="AK222" s="2">
        <v>70670</v>
      </c>
      <c r="AL222" s="2">
        <v>68560</v>
      </c>
      <c r="AM222" s="2">
        <v>72450</v>
      </c>
      <c r="AN222" s="2">
        <v>66880</v>
      </c>
      <c r="AO222" s="2">
        <v>63980</v>
      </c>
      <c r="AP222" s="2">
        <v>61820</v>
      </c>
      <c r="AQ222" s="2">
        <v>60220</v>
      </c>
      <c r="AR222" s="2">
        <v>61890</v>
      </c>
      <c r="AS222" s="2">
        <v>62680</v>
      </c>
      <c r="AT222" s="2">
        <v>65350</v>
      </c>
      <c r="AU222" s="2">
        <v>66780</v>
      </c>
      <c r="AV222" s="2">
        <v>63950</v>
      </c>
      <c r="AW222" s="2">
        <v>65150</v>
      </c>
      <c r="AX222" s="2">
        <v>66270</v>
      </c>
      <c r="AY222" s="2">
        <v>64560</v>
      </c>
      <c r="AZ222" s="2">
        <v>63400</v>
      </c>
      <c r="BA222" s="2">
        <v>58940</v>
      </c>
      <c r="BB222" s="2">
        <v>57960</v>
      </c>
      <c r="BC222" s="2">
        <v>60380</v>
      </c>
      <c r="BD222" s="2">
        <v>59790</v>
      </c>
      <c r="BE222" s="2">
        <v>58500</v>
      </c>
      <c r="BF222" s="2">
        <v>59540</v>
      </c>
      <c r="BG222" s="2">
        <v>57860</v>
      </c>
      <c r="BH222" s="2">
        <v>57830</v>
      </c>
      <c r="BI222" s="2">
        <v>57570</v>
      </c>
      <c r="BJ222" s="2">
        <v>58390</v>
      </c>
      <c r="BK222" s="2">
        <v>56940</v>
      </c>
      <c r="BL222" s="2">
        <v>57000</v>
      </c>
      <c r="BM222" s="1">
        <v>54760</v>
      </c>
      <c r="BN222" s="1">
        <v>52800</v>
      </c>
      <c r="BO222" s="1">
        <v>53070</v>
      </c>
      <c r="BP222" s="1">
        <v>52870</v>
      </c>
    </row>
    <row r="223" spans="1:68">
      <c r="A223" s="77" t="s">
        <v>436</v>
      </c>
      <c r="B223" s="1" t="str">
        <f>銘柄管理!C223</f>
        <v/>
      </c>
      <c r="C223" s="57" t="str">
        <f>_xll.RssMarket("6135","始値")</f>
        <v/>
      </c>
      <c r="D223" s="16"/>
      <c r="E223" s="2">
        <v>14360</v>
      </c>
      <c r="F223" s="1">
        <v>14850</v>
      </c>
      <c r="G223" s="1">
        <v>14790</v>
      </c>
      <c r="H223" s="1">
        <v>15020</v>
      </c>
      <c r="I223" s="1">
        <v>14930</v>
      </c>
      <c r="J223" s="1">
        <v>14520</v>
      </c>
      <c r="K223" s="1">
        <v>14820</v>
      </c>
      <c r="L223" s="1">
        <v>15000</v>
      </c>
      <c r="M223" s="1">
        <v>15390</v>
      </c>
      <c r="N223" s="1">
        <v>15010</v>
      </c>
      <c r="O223" s="1">
        <v>15270</v>
      </c>
      <c r="P223" s="1">
        <v>15250</v>
      </c>
      <c r="Q223" s="1">
        <v>15150</v>
      </c>
      <c r="R223" s="1">
        <v>15200</v>
      </c>
      <c r="S223" s="1">
        <v>15540</v>
      </c>
      <c r="T223" s="1">
        <v>13920</v>
      </c>
      <c r="U223" s="1">
        <v>14650</v>
      </c>
      <c r="V223" s="1">
        <v>14680</v>
      </c>
      <c r="W223" s="1">
        <v>14500</v>
      </c>
      <c r="X223" s="1">
        <v>14350</v>
      </c>
      <c r="Y223" s="1">
        <v>14480</v>
      </c>
      <c r="Z223" s="1">
        <v>14100</v>
      </c>
      <c r="AA223" s="1">
        <v>14240</v>
      </c>
      <c r="AB223" s="1">
        <v>14050</v>
      </c>
      <c r="AC223" s="1">
        <v>14000</v>
      </c>
      <c r="AD223" s="1">
        <v>14920</v>
      </c>
      <c r="AE223" s="1">
        <v>13960</v>
      </c>
      <c r="AF223" s="1">
        <v>14140</v>
      </c>
      <c r="AG223" s="1">
        <v>14100</v>
      </c>
      <c r="AH223" s="1">
        <v>13800</v>
      </c>
      <c r="AI223" s="1">
        <v>14010</v>
      </c>
      <c r="AJ223" s="1">
        <v>13210</v>
      </c>
      <c r="AK223" s="1">
        <v>13220</v>
      </c>
      <c r="AL223" s="1">
        <v>13050</v>
      </c>
      <c r="AM223" s="1">
        <v>13290</v>
      </c>
      <c r="AN223" s="1">
        <v>13210</v>
      </c>
      <c r="AO223" s="1">
        <v>13250</v>
      </c>
      <c r="AP223" s="1">
        <v>13670</v>
      </c>
      <c r="AQ223" s="1">
        <v>13690</v>
      </c>
      <c r="AR223" s="1">
        <v>13900</v>
      </c>
      <c r="AS223" s="1">
        <v>14100</v>
      </c>
      <c r="AT223" s="1">
        <v>13610</v>
      </c>
      <c r="AU223" s="1">
        <v>13740</v>
      </c>
      <c r="AV223" s="1">
        <v>13770</v>
      </c>
      <c r="AW223" s="1">
        <v>13390</v>
      </c>
      <c r="AX223" s="1">
        <v>13770</v>
      </c>
      <c r="AY223" s="1">
        <v>13260</v>
      </c>
      <c r="AZ223" s="1">
        <v>11950</v>
      </c>
      <c r="BA223" s="1">
        <v>11730</v>
      </c>
      <c r="BB223" s="1">
        <v>11750</v>
      </c>
      <c r="BC223" s="1">
        <v>11840</v>
      </c>
      <c r="BD223" s="1">
        <v>11760</v>
      </c>
      <c r="BE223" s="1">
        <v>10720</v>
      </c>
      <c r="BF223" s="1">
        <v>11620</v>
      </c>
      <c r="BG223" s="1">
        <v>11620</v>
      </c>
      <c r="BH223" s="1">
        <v>11620</v>
      </c>
      <c r="BI223" s="1">
        <v>11610</v>
      </c>
      <c r="BJ223" s="1">
        <v>11610</v>
      </c>
      <c r="BK223" s="1">
        <v>11610</v>
      </c>
      <c r="BL223" s="1">
        <v>11590</v>
      </c>
      <c r="BM223" s="1">
        <v>11580</v>
      </c>
      <c r="BN223" s="1">
        <v>11620</v>
      </c>
      <c r="BO223" s="1">
        <v>11560</v>
      </c>
      <c r="BP223" s="1">
        <v>11570</v>
      </c>
    </row>
    <row r="224" spans="1:68">
      <c r="A224" s="77" t="s">
        <v>437</v>
      </c>
      <c r="B224" s="1" t="str">
        <f>銘柄管理!C224</f>
        <v/>
      </c>
      <c r="C224" s="57" t="str">
        <f>_xll.RssMarket("6055","始値")</f>
        <v/>
      </c>
      <c r="D224" s="16"/>
      <c r="E224" s="2">
        <v>2341</v>
      </c>
      <c r="F224" s="1">
        <v>2531</v>
      </c>
      <c r="G224" s="1">
        <v>2573</v>
      </c>
      <c r="H224" s="1">
        <v>2630</v>
      </c>
      <c r="I224" s="1">
        <v>2649</v>
      </c>
      <c r="J224" s="1">
        <v>2600</v>
      </c>
      <c r="K224" s="1">
        <v>2490</v>
      </c>
      <c r="L224" s="1">
        <v>2492</v>
      </c>
      <c r="M224" s="1">
        <v>2511</v>
      </c>
      <c r="N224" s="1">
        <v>2340</v>
      </c>
      <c r="O224" s="1">
        <v>2573</v>
      </c>
      <c r="P224" s="1">
        <v>2659</v>
      </c>
      <c r="Q224" s="1">
        <v>2655</v>
      </c>
      <c r="R224" s="1">
        <v>2636</v>
      </c>
      <c r="S224" s="1">
        <v>2618</v>
      </c>
      <c r="T224" s="1">
        <v>2700</v>
      </c>
      <c r="U224" s="1">
        <v>2552</v>
      </c>
      <c r="V224" s="1">
        <v>2632</v>
      </c>
      <c r="W224" s="1">
        <v>2453</v>
      </c>
      <c r="X224" s="1">
        <v>2491</v>
      </c>
      <c r="Y224" s="1">
        <v>2388</v>
      </c>
      <c r="Z224" s="1">
        <v>2331</v>
      </c>
      <c r="AA224" s="1">
        <v>2465</v>
      </c>
      <c r="AB224" s="1">
        <v>2456</v>
      </c>
      <c r="AC224" s="1">
        <v>2283</v>
      </c>
      <c r="AD224" s="1">
        <v>2087</v>
      </c>
      <c r="AE224" s="1">
        <v>2165</v>
      </c>
      <c r="AF224" s="1">
        <v>2090</v>
      </c>
      <c r="AG224" s="1">
        <v>2180</v>
      </c>
      <c r="AH224" s="1">
        <v>2118</v>
      </c>
      <c r="AI224" s="1">
        <v>2122</v>
      </c>
      <c r="AJ224" s="1">
        <v>2090</v>
      </c>
      <c r="AK224" s="1">
        <v>2033</v>
      </c>
      <c r="AL224" s="1">
        <v>2161</v>
      </c>
      <c r="AM224" s="1">
        <v>2033</v>
      </c>
      <c r="AN224" s="1">
        <v>2060</v>
      </c>
      <c r="AO224" s="1">
        <v>2013</v>
      </c>
      <c r="AP224" s="1">
        <v>1932</v>
      </c>
      <c r="AQ224" s="1">
        <v>2100</v>
      </c>
      <c r="AR224" s="1">
        <v>2230</v>
      </c>
      <c r="AS224" s="1">
        <v>2017</v>
      </c>
      <c r="AT224" s="1">
        <v>2187</v>
      </c>
      <c r="AU224" s="1">
        <v>2080</v>
      </c>
      <c r="AV224" s="1">
        <v>2101</v>
      </c>
      <c r="AW224" s="1">
        <v>2015</v>
      </c>
      <c r="AX224" s="1">
        <v>1928</v>
      </c>
      <c r="AY224" s="1">
        <v>1929</v>
      </c>
      <c r="AZ224" s="1">
        <v>1796</v>
      </c>
      <c r="BA224" s="1">
        <v>1771</v>
      </c>
      <c r="BB224" s="1">
        <v>1850</v>
      </c>
      <c r="BC224" s="1">
        <v>1854</v>
      </c>
      <c r="BD224" s="1">
        <v>1788</v>
      </c>
      <c r="BE224" s="1">
        <v>1864</v>
      </c>
      <c r="BF224" s="1">
        <v>1844</v>
      </c>
      <c r="BG224" s="1">
        <v>1865</v>
      </c>
      <c r="BH224" s="1">
        <v>1886</v>
      </c>
      <c r="BI224" s="1">
        <v>1900</v>
      </c>
      <c r="BJ224" s="1">
        <v>1918</v>
      </c>
      <c r="BK224" s="1">
        <v>1930</v>
      </c>
      <c r="BL224" s="1">
        <v>1847</v>
      </c>
      <c r="BM224" s="1">
        <v>1800</v>
      </c>
      <c r="BN224" s="1">
        <v>1799</v>
      </c>
      <c r="BO224" s="1">
        <v>1787</v>
      </c>
      <c r="BP224" s="1">
        <v>1745</v>
      </c>
    </row>
    <row r="225" spans="1:68">
      <c r="A225" s="77" t="s">
        <v>438</v>
      </c>
      <c r="B225" s="1" t="str">
        <f>銘柄管理!C225</f>
        <v/>
      </c>
      <c r="C225" s="1" t="str">
        <f>_xll.RssMarket("6862","始値")</f>
        <v/>
      </c>
      <c r="E225" s="2">
        <v>1925</v>
      </c>
      <c r="F225" s="1">
        <v>2026</v>
      </c>
      <c r="G225" s="1">
        <v>1962</v>
      </c>
      <c r="H225" s="1">
        <v>2031</v>
      </c>
      <c r="I225" s="1">
        <v>2019</v>
      </c>
      <c r="J225" s="1">
        <v>1971</v>
      </c>
      <c r="K225" s="1">
        <v>1974</v>
      </c>
      <c r="L225" s="1">
        <v>2078</v>
      </c>
      <c r="M225" s="1">
        <v>2164</v>
      </c>
      <c r="N225" s="1">
        <v>2056</v>
      </c>
      <c r="O225" s="1">
        <v>2098</v>
      </c>
      <c r="P225" s="1">
        <v>2159</v>
      </c>
      <c r="Q225" s="1">
        <v>2220</v>
      </c>
      <c r="R225" s="1">
        <v>2270</v>
      </c>
      <c r="S225" s="1">
        <v>2396</v>
      </c>
      <c r="T225" s="1">
        <v>2197</v>
      </c>
      <c r="U225" s="1">
        <v>2370</v>
      </c>
      <c r="V225" s="1">
        <v>2590</v>
      </c>
      <c r="W225" s="1">
        <v>2315</v>
      </c>
      <c r="X225" s="1">
        <v>2223</v>
      </c>
      <c r="Y225" s="1">
        <v>2100</v>
      </c>
      <c r="Z225" s="1">
        <v>2079</v>
      </c>
      <c r="AA225" s="1">
        <v>2000</v>
      </c>
      <c r="AB225" s="1">
        <v>2015</v>
      </c>
      <c r="AC225" s="1">
        <v>1924</v>
      </c>
      <c r="AD225" s="1">
        <v>2054</v>
      </c>
      <c r="AE225" s="1">
        <v>2105</v>
      </c>
      <c r="AF225" s="1">
        <v>2130</v>
      </c>
      <c r="AG225" s="1">
        <v>2182</v>
      </c>
      <c r="AH225" s="1">
        <v>2240</v>
      </c>
      <c r="AI225" s="1">
        <v>2165</v>
      </c>
      <c r="AJ225" s="1">
        <v>2240</v>
      </c>
      <c r="AK225" s="1">
        <v>2298</v>
      </c>
      <c r="AL225" s="1">
        <v>2499</v>
      </c>
      <c r="AM225" s="1">
        <v>2617</v>
      </c>
      <c r="AN225" s="1">
        <v>2576</v>
      </c>
      <c r="AO225" s="1">
        <v>2505</v>
      </c>
      <c r="AP225" s="1">
        <v>2494</v>
      </c>
      <c r="AQ225" s="1">
        <v>2731</v>
      </c>
      <c r="AR225" s="1">
        <v>2867</v>
      </c>
      <c r="AS225" s="1">
        <v>2942</v>
      </c>
      <c r="AT225" s="1">
        <v>2880</v>
      </c>
      <c r="AU225" s="1">
        <v>2930</v>
      </c>
      <c r="AV225" s="1">
        <v>3555</v>
      </c>
      <c r="AW225" s="1">
        <v>4165</v>
      </c>
      <c r="AX225" s="1">
        <v>3695</v>
      </c>
      <c r="AY225" s="1">
        <v>3715</v>
      </c>
      <c r="AZ225" s="1">
        <v>2798</v>
      </c>
      <c r="BA225" s="1">
        <v>2622</v>
      </c>
      <c r="BB225" s="1">
        <v>2651</v>
      </c>
      <c r="BC225" s="1">
        <v>2532</v>
      </c>
      <c r="BD225" s="1">
        <v>2403</v>
      </c>
      <c r="BE225" s="1">
        <v>2530</v>
      </c>
      <c r="BF225" s="1">
        <v>2555</v>
      </c>
      <c r="BG225" s="1">
        <v>2559</v>
      </c>
      <c r="BH225" s="1">
        <v>2422</v>
      </c>
      <c r="BI225" s="1">
        <v>2473</v>
      </c>
      <c r="BJ225" s="1">
        <v>2416</v>
      </c>
      <c r="BK225" s="1">
        <v>2601</v>
      </c>
      <c r="BL225" s="1">
        <v>2446</v>
      </c>
      <c r="BM225" s="1">
        <v>2189</v>
      </c>
      <c r="BN225" s="1">
        <v>2218</v>
      </c>
      <c r="BO225" s="1">
        <v>2209</v>
      </c>
      <c r="BP225" s="1">
        <v>2168</v>
      </c>
    </row>
    <row r="226" spans="1:68">
      <c r="A226" s="77" t="s">
        <v>439</v>
      </c>
      <c r="B226" s="1" t="str">
        <f>銘柄管理!C226</f>
        <v/>
      </c>
      <c r="C226" s="1" t="str">
        <f>_xll.RssMarket("2267","始値")</f>
        <v/>
      </c>
      <c r="E226" s="2">
        <v>2804.5</v>
      </c>
      <c r="F226" s="1">
        <v>2848</v>
      </c>
      <c r="G226" s="1">
        <v>2843.5</v>
      </c>
      <c r="H226" s="1">
        <v>2850</v>
      </c>
      <c r="I226" s="1">
        <v>2820</v>
      </c>
      <c r="J226" s="1">
        <v>2909</v>
      </c>
      <c r="K226" s="1">
        <v>2903.5</v>
      </c>
      <c r="L226" s="1">
        <v>2884.5</v>
      </c>
      <c r="M226" s="1">
        <v>2854</v>
      </c>
      <c r="N226" s="1">
        <v>2811.5</v>
      </c>
      <c r="O226" s="1">
        <v>2749</v>
      </c>
      <c r="P226" s="1">
        <v>2706.5</v>
      </c>
      <c r="Q226" s="1">
        <v>2745</v>
      </c>
      <c r="R226" s="1">
        <v>2757</v>
      </c>
      <c r="S226" s="1">
        <v>2749</v>
      </c>
      <c r="T226" s="1">
        <v>2727.5</v>
      </c>
      <c r="U226" s="1">
        <v>2701.5</v>
      </c>
      <c r="V226" s="1">
        <v>2699</v>
      </c>
      <c r="W226" s="1">
        <v>2689.5</v>
      </c>
      <c r="X226" s="1">
        <v>2685</v>
      </c>
      <c r="Y226" s="1">
        <v>2616.5</v>
      </c>
      <c r="Z226" s="1">
        <v>2647</v>
      </c>
      <c r="AA226" s="1">
        <v>2644.5</v>
      </c>
      <c r="AB226" s="1">
        <v>2679.5</v>
      </c>
      <c r="AC226" s="1">
        <v>2650</v>
      </c>
      <c r="AD226" s="1">
        <v>2715</v>
      </c>
      <c r="AE226" s="1">
        <v>2705</v>
      </c>
      <c r="AF226" s="1">
        <v>2641</v>
      </c>
      <c r="AG226" s="1">
        <v>2684.5</v>
      </c>
      <c r="AH226" s="1">
        <v>2687.5</v>
      </c>
      <c r="AI226" s="1">
        <v>2699</v>
      </c>
      <c r="AJ226" s="1">
        <v>2657.5</v>
      </c>
      <c r="AK226" s="1">
        <v>2693</v>
      </c>
      <c r="AL226" s="1">
        <v>2734</v>
      </c>
      <c r="AM226" s="1">
        <v>2660.5</v>
      </c>
      <c r="AN226" s="1">
        <v>2806.5</v>
      </c>
      <c r="AO226" s="1">
        <v>2746</v>
      </c>
      <c r="AP226" s="1">
        <v>2768</v>
      </c>
      <c r="AQ226" s="1">
        <v>2831.5</v>
      </c>
      <c r="AR226" s="1">
        <v>2749</v>
      </c>
      <c r="AS226" s="1">
        <v>2762</v>
      </c>
      <c r="AT226" s="1">
        <v>2753</v>
      </c>
      <c r="AU226" s="1">
        <v>2800.5</v>
      </c>
      <c r="AV226" s="1">
        <v>2670</v>
      </c>
      <c r="AW226" s="1">
        <v>2900</v>
      </c>
      <c r="AX226" s="1">
        <v>2916.5</v>
      </c>
      <c r="AY226" s="1">
        <v>2978</v>
      </c>
      <c r="AZ226" s="1">
        <v>3056</v>
      </c>
      <c r="BA226" s="1">
        <v>2820</v>
      </c>
      <c r="BB226" s="1">
        <v>2722.5</v>
      </c>
      <c r="BC226" s="1">
        <v>2742</v>
      </c>
      <c r="BD226" s="1">
        <v>2749</v>
      </c>
      <c r="BE226" s="1">
        <v>2653</v>
      </c>
      <c r="BF226" s="1">
        <v>2596</v>
      </c>
      <c r="BG226" s="1">
        <v>2605</v>
      </c>
      <c r="BH226" s="1">
        <v>2625</v>
      </c>
      <c r="BI226" s="1">
        <v>2672</v>
      </c>
      <c r="BJ226" s="1">
        <v>2650</v>
      </c>
      <c r="BK226" s="1">
        <v>2700</v>
      </c>
      <c r="BL226" s="1">
        <v>2628.5</v>
      </c>
      <c r="BM226" s="1">
        <v>2629</v>
      </c>
      <c r="BN226" s="1">
        <v>2640</v>
      </c>
      <c r="BO226" s="1">
        <v>2701</v>
      </c>
      <c r="BP226" s="1">
        <v>2793</v>
      </c>
    </row>
    <row r="227" spans="1:68">
      <c r="A227" s="77" t="s">
        <v>440</v>
      </c>
      <c r="B227" s="1" t="str">
        <f>銘柄管理!C227</f>
        <v/>
      </c>
      <c r="C227" s="1" t="str">
        <f>_xll.RssMarket("1618","始値")</f>
        <v/>
      </c>
      <c r="E227" s="2">
        <v>32000</v>
      </c>
      <c r="F227" s="1">
        <v>32710</v>
      </c>
      <c r="G227" s="1">
        <v>32130</v>
      </c>
      <c r="H227" s="1">
        <v>32780</v>
      </c>
      <c r="I227" s="1">
        <v>32700</v>
      </c>
      <c r="J227" s="1">
        <v>33060</v>
      </c>
      <c r="K227" s="1">
        <v>32340</v>
      </c>
      <c r="L227" s="1">
        <v>32560</v>
      </c>
      <c r="M227" s="1">
        <v>31760</v>
      </c>
      <c r="N227" s="1">
        <v>31690</v>
      </c>
      <c r="O227" s="1">
        <v>31060</v>
      </c>
      <c r="P227" s="1">
        <v>31300</v>
      </c>
      <c r="Q227" s="1">
        <v>31350</v>
      </c>
      <c r="R227" s="1">
        <v>30630</v>
      </c>
      <c r="S227" s="1">
        <v>31090</v>
      </c>
      <c r="T227" s="1">
        <v>32460</v>
      </c>
      <c r="U227" s="1">
        <v>32120</v>
      </c>
      <c r="V227" s="1">
        <v>32700</v>
      </c>
      <c r="W227" s="1">
        <v>32800</v>
      </c>
      <c r="X227" s="1">
        <v>32000</v>
      </c>
      <c r="Y227" s="1">
        <v>32330</v>
      </c>
      <c r="Z227" s="1">
        <v>32080</v>
      </c>
      <c r="AA227" s="1">
        <v>32450</v>
      </c>
      <c r="AB227" s="1">
        <v>33120</v>
      </c>
      <c r="AC227" s="1">
        <v>32980</v>
      </c>
      <c r="AD227" s="1">
        <v>32720</v>
      </c>
      <c r="AE227" s="1">
        <v>32660</v>
      </c>
      <c r="AF227" s="1">
        <v>33310</v>
      </c>
      <c r="AG227" s="1">
        <v>34200</v>
      </c>
      <c r="AH227" s="1">
        <v>34510</v>
      </c>
      <c r="AI227" s="1">
        <v>34250</v>
      </c>
      <c r="AJ227" s="1">
        <v>33040</v>
      </c>
      <c r="AK227" s="1">
        <v>33600</v>
      </c>
      <c r="AL227" s="1">
        <v>33490</v>
      </c>
      <c r="AM227" s="1">
        <v>33670</v>
      </c>
      <c r="AN227" s="1">
        <v>34600</v>
      </c>
      <c r="AO227" s="1">
        <v>34730</v>
      </c>
      <c r="AP227" s="1">
        <v>35740</v>
      </c>
      <c r="AQ227" s="1">
        <v>36280</v>
      </c>
      <c r="AR227" s="1">
        <v>36430</v>
      </c>
      <c r="AS227" s="1">
        <v>36910</v>
      </c>
      <c r="AT227" s="1">
        <v>35810</v>
      </c>
      <c r="AU227" s="1">
        <v>35900</v>
      </c>
      <c r="AV227" s="1">
        <v>36470</v>
      </c>
      <c r="AW227" s="1">
        <v>36030</v>
      </c>
      <c r="AX227" s="1">
        <v>34580</v>
      </c>
      <c r="AY227" s="1">
        <v>35140</v>
      </c>
      <c r="AZ227" s="1">
        <v>36060</v>
      </c>
      <c r="BA227" s="1">
        <v>36090</v>
      </c>
      <c r="BB227" s="1">
        <v>36900</v>
      </c>
      <c r="BC227" s="1">
        <v>35220</v>
      </c>
      <c r="BD227" s="1">
        <v>35740</v>
      </c>
      <c r="BE227" s="1">
        <v>35940</v>
      </c>
      <c r="BF227" s="1">
        <v>35000</v>
      </c>
      <c r="BG227" s="1">
        <v>35790</v>
      </c>
      <c r="BH227" s="1">
        <v>36360</v>
      </c>
      <c r="BI227" s="1">
        <v>36790</v>
      </c>
      <c r="BJ227" s="1">
        <v>37830</v>
      </c>
      <c r="BK227" s="1">
        <v>38270</v>
      </c>
      <c r="BL227" s="1">
        <v>38300</v>
      </c>
      <c r="BM227" s="1">
        <v>39000</v>
      </c>
      <c r="BN227" s="1">
        <v>39530</v>
      </c>
      <c r="BO227" s="1">
        <v>38930</v>
      </c>
      <c r="BP227" s="1">
        <v>39170</v>
      </c>
    </row>
    <row r="228" spans="1:68">
      <c r="A228" s="77" t="s">
        <v>441</v>
      </c>
      <c r="C228" s="1" t="str">
        <f>_xll.RssMarket("3696","始値")</f>
        <v/>
      </c>
      <c r="E228" s="2">
        <v>2129</v>
      </c>
      <c r="F228" s="1">
        <v>2155</v>
      </c>
      <c r="G228" s="1">
        <v>2133</v>
      </c>
      <c r="H228" s="1">
        <v>2156</v>
      </c>
      <c r="I228" s="1">
        <v>2170</v>
      </c>
      <c r="J228" s="1">
        <v>2120</v>
      </c>
      <c r="K228" s="1">
        <v>2229</v>
      </c>
      <c r="L228" s="1">
        <v>2098</v>
      </c>
      <c r="M228" s="1">
        <v>2101</v>
      </c>
      <c r="N228" s="1">
        <v>2176</v>
      </c>
      <c r="O228" s="1">
        <v>2134</v>
      </c>
      <c r="P228" s="1">
        <v>2141</v>
      </c>
      <c r="Q228" s="1">
        <v>2070</v>
      </c>
      <c r="R228" s="1">
        <v>2043</v>
      </c>
      <c r="S228" s="1">
        <v>2002</v>
      </c>
      <c r="T228" s="1">
        <v>1712</v>
      </c>
      <c r="U228" s="1">
        <v>1733</v>
      </c>
      <c r="V228" s="1">
        <v>1745</v>
      </c>
      <c r="W228" s="1">
        <v>1751</v>
      </c>
      <c r="X228" s="1">
        <v>1813</v>
      </c>
      <c r="Y228" s="1">
        <v>1812</v>
      </c>
      <c r="Z228" s="1">
        <v>1794</v>
      </c>
      <c r="AA228" s="1">
        <v>1826</v>
      </c>
      <c r="AB228" s="1">
        <v>1816</v>
      </c>
      <c r="AC228" s="1">
        <v>1745</v>
      </c>
      <c r="AD228" s="1">
        <v>1746</v>
      </c>
      <c r="AE228" s="1">
        <v>1772</v>
      </c>
      <c r="AF228" s="1">
        <v>1749</v>
      </c>
      <c r="AG228" s="1">
        <v>1745</v>
      </c>
      <c r="AH228" s="1">
        <v>1747</v>
      </c>
      <c r="AI228" s="1">
        <v>1805</v>
      </c>
      <c r="AJ228" s="1">
        <v>1802</v>
      </c>
      <c r="AK228" s="1">
        <v>1756</v>
      </c>
      <c r="AL228" s="1">
        <v>1714</v>
      </c>
      <c r="AM228" s="1">
        <v>1785</v>
      </c>
      <c r="AN228" s="1">
        <v>1819</v>
      </c>
      <c r="AO228" s="1">
        <v>1838</v>
      </c>
      <c r="AP228" s="1">
        <v>1830</v>
      </c>
      <c r="AQ228" s="1">
        <v>1871</v>
      </c>
      <c r="AR228" s="1">
        <v>1913</v>
      </c>
      <c r="AS228" s="1">
        <v>1932</v>
      </c>
      <c r="AT228" s="1">
        <v>1887</v>
      </c>
      <c r="AU228" s="1">
        <v>1902</v>
      </c>
      <c r="AV228" s="1">
        <v>1901</v>
      </c>
      <c r="AW228" s="1">
        <v>4300</v>
      </c>
      <c r="AX228" s="1">
        <v>4120</v>
      </c>
      <c r="AY228" s="1">
        <v>4215</v>
      </c>
      <c r="AZ228" s="1">
        <v>3900</v>
      </c>
      <c r="BA228" s="1">
        <v>3960</v>
      </c>
      <c r="BB228" s="1">
        <v>4000</v>
      </c>
      <c r="BC228" s="1">
        <v>3870</v>
      </c>
      <c r="BD228" s="1">
        <v>3970</v>
      </c>
      <c r="BE228" s="1">
        <v>4215</v>
      </c>
      <c r="BF228" s="1">
        <v>4400</v>
      </c>
      <c r="BG228" s="1">
        <v>4760</v>
      </c>
      <c r="BH228" s="1">
        <v>4695</v>
      </c>
      <c r="BI228" s="1">
        <v>4455</v>
      </c>
      <c r="BJ228" s="1">
        <v>4475</v>
      </c>
      <c r="BK228" s="1">
        <v>4420</v>
      </c>
      <c r="BL228" s="1">
        <v>4320</v>
      </c>
      <c r="BM228" s="1">
        <v>4190</v>
      </c>
      <c r="BN228" s="1">
        <v>4375</v>
      </c>
      <c r="BO228" s="1">
        <v>4535</v>
      </c>
      <c r="BP228" s="1">
        <v>4655</v>
      </c>
    </row>
    <row r="229" spans="1:68">
      <c r="A229" s="77" t="s">
        <v>442</v>
      </c>
      <c r="B229" s="1" t="str">
        <f>銘柄管理!C229</f>
        <v/>
      </c>
      <c r="C229" s="1" t="str">
        <f>_xll.RssMarket("4222","始値")</f>
        <v/>
      </c>
      <c r="E229" s="2">
        <v>617</v>
      </c>
      <c r="F229" s="1">
        <v>645</v>
      </c>
      <c r="G229" s="1">
        <v>647</v>
      </c>
      <c r="H229" s="1">
        <v>661</v>
      </c>
      <c r="I229" s="1">
        <v>647</v>
      </c>
      <c r="J229" s="1">
        <v>643</v>
      </c>
      <c r="K229" s="1">
        <v>657</v>
      </c>
      <c r="L229" s="1">
        <v>684</v>
      </c>
      <c r="M229" s="1">
        <v>688</v>
      </c>
      <c r="N229" s="1">
        <v>655</v>
      </c>
      <c r="O229" s="1">
        <v>649</v>
      </c>
      <c r="P229" s="1">
        <v>638</v>
      </c>
      <c r="Q229" s="1">
        <v>655</v>
      </c>
      <c r="R229" s="1">
        <v>677</v>
      </c>
      <c r="S229" s="1">
        <v>664</v>
      </c>
      <c r="T229" s="1">
        <v>681</v>
      </c>
      <c r="U229" s="1">
        <v>702</v>
      </c>
      <c r="V229" s="1">
        <v>723</v>
      </c>
      <c r="W229" s="1">
        <v>721</v>
      </c>
      <c r="X229" s="1">
        <v>705</v>
      </c>
      <c r="Y229" s="1">
        <v>729</v>
      </c>
      <c r="Z229" s="1">
        <v>687</v>
      </c>
      <c r="AA229" s="1">
        <v>697</v>
      </c>
      <c r="AB229" s="1">
        <v>664</v>
      </c>
      <c r="AC229" s="1">
        <v>674</v>
      </c>
      <c r="AD229" s="1">
        <v>685</v>
      </c>
      <c r="AE229" s="1">
        <v>691</v>
      </c>
      <c r="AF229" s="1">
        <v>681</v>
      </c>
      <c r="AG229" s="1">
        <v>700</v>
      </c>
      <c r="AH229" s="1">
        <v>702</v>
      </c>
      <c r="AI229" s="1">
        <v>694</v>
      </c>
      <c r="AJ229" s="1">
        <v>701</v>
      </c>
      <c r="AK229" s="1">
        <v>750</v>
      </c>
      <c r="AL229" s="1">
        <v>785</v>
      </c>
      <c r="AM229" s="1">
        <v>815</v>
      </c>
      <c r="AN229" s="1">
        <v>802</v>
      </c>
      <c r="AO229" s="1">
        <v>828</v>
      </c>
      <c r="AP229" s="1">
        <v>850</v>
      </c>
      <c r="AQ229" s="1">
        <v>878</v>
      </c>
      <c r="AR229" s="1">
        <v>909</v>
      </c>
      <c r="AS229" s="1">
        <v>954</v>
      </c>
      <c r="AT229" s="1">
        <v>1226</v>
      </c>
      <c r="AU229" s="1">
        <v>1249</v>
      </c>
      <c r="AV229" s="1">
        <v>1315</v>
      </c>
      <c r="AW229" s="1">
        <v>1186</v>
      </c>
      <c r="AX229" s="1">
        <v>1155</v>
      </c>
      <c r="AY229" s="1">
        <v>1125</v>
      </c>
      <c r="AZ229" s="1">
        <v>1115</v>
      </c>
      <c r="BA229" s="1">
        <v>1117</v>
      </c>
      <c r="BB229" s="1">
        <v>1150</v>
      </c>
      <c r="BC229" s="1">
        <v>1141</v>
      </c>
      <c r="BD229" s="1">
        <v>1134</v>
      </c>
      <c r="BE229" s="1">
        <v>1165</v>
      </c>
      <c r="BF229" s="1">
        <v>1172</v>
      </c>
      <c r="BG229" s="1">
        <v>1200</v>
      </c>
      <c r="BH229" s="1">
        <v>1150</v>
      </c>
      <c r="BI229" s="1">
        <v>1166</v>
      </c>
      <c r="BJ229" s="1">
        <v>1160</v>
      </c>
      <c r="BK229" s="1">
        <v>1151</v>
      </c>
      <c r="BL229" s="1">
        <v>1140</v>
      </c>
      <c r="BM229" s="1">
        <v>1083</v>
      </c>
      <c r="BN229" s="1">
        <v>1124</v>
      </c>
      <c r="BO229" s="1">
        <v>1150</v>
      </c>
      <c r="BP229" s="1">
        <v>1085</v>
      </c>
    </row>
    <row r="230" spans="1:68">
      <c r="A230" s="77" t="s">
        <v>443</v>
      </c>
      <c r="B230" s="1" t="str">
        <f>銘柄管理!C230</f>
        <v/>
      </c>
      <c r="C230" s="1" t="str">
        <f>_xll.RssMarket("3563","始値")</f>
        <v/>
      </c>
      <c r="E230" s="1">
        <v>5362</v>
      </c>
      <c r="F230" s="1">
        <v>5260</v>
      </c>
      <c r="G230" s="1">
        <v>5082</v>
      </c>
      <c r="H230" s="1">
        <v>4876</v>
      </c>
      <c r="I230" s="1">
        <v>4830</v>
      </c>
      <c r="J230" s="1">
        <v>4845</v>
      </c>
      <c r="K230" s="1">
        <v>4950</v>
      </c>
      <c r="L230" s="1">
        <v>4555</v>
      </c>
      <c r="M230" s="1">
        <v>4654</v>
      </c>
      <c r="N230" s="1">
        <v>4653</v>
      </c>
      <c r="O230" s="1">
        <v>4918</v>
      </c>
      <c r="P230" s="1">
        <v>4858</v>
      </c>
      <c r="Q230" s="1">
        <v>5055</v>
      </c>
      <c r="R230" s="1">
        <v>4998</v>
      </c>
      <c r="S230" s="1">
        <v>10000</v>
      </c>
      <c r="T230" s="1">
        <v>9500</v>
      </c>
      <c r="U230" s="1">
        <v>9254</v>
      </c>
      <c r="V230" s="1">
        <v>9248</v>
      </c>
      <c r="W230" s="1">
        <v>9650</v>
      </c>
      <c r="X230" s="1">
        <v>9546</v>
      </c>
      <c r="Y230" s="1">
        <v>10300</v>
      </c>
      <c r="Z230" s="1">
        <v>10170</v>
      </c>
      <c r="AA230" s="1">
        <v>10045</v>
      </c>
      <c r="AB230" s="1">
        <v>9869</v>
      </c>
      <c r="AC230" s="1">
        <v>9950</v>
      </c>
      <c r="AD230" s="1">
        <v>9609</v>
      </c>
      <c r="AE230" s="1">
        <v>9761</v>
      </c>
      <c r="AF230" s="1">
        <v>9691</v>
      </c>
      <c r="AG230" s="1">
        <v>10240</v>
      </c>
      <c r="AH230" s="1">
        <v>10500</v>
      </c>
      <c r="AI230" s="1">
        <v>10350</v>
      </c>
      <c r="AJ230" s="1">
        <v>10425</v>
      </c>
      <c r="AK230" s="1">
        <v>10160</v>
      </c>
      <c r="AL230" s="1">
        <v>10185</v>
      </c>
      <c r="AM230" s="1">
        <v>10900</v>
      </c>
      <c r="AN230" s="1">
        <v>10565</v>
      </c>
      <c r="AO230" s="1">
        <v>11000</v>
      </c>
      <c r="AP230" s="1">
        <v>10820</v>
      </c>
      <c r="AQ230" s="1">
        <v>10600</v>
      </c>
      <c r="AR230" s="1">
        <v>10450</v>
      </c>
      <c r="AS230" s="1">
        <v>10700</v>
      </c>
      <c r="AT230" s="1">
        <v>10710</v>
      </c>
      <c r="AU230" s="1">
        <v>10560</v>
      </c>
      <c r="AV230" s="1">
        <v>10660</v>
      </c>
      <c r="AW230" s="1">
        <v>10500</v>
      </c>
      <c r="AX230" s="1">
        <v>9905</v>
      </c>
      <c r="AY230" s="1">
        <v>9200</v>
      </c>
      <c r="AZ230" s="1">
        <v>9050</v>
      </c>
      <c r="BA230" s="1">
        <v>8864</v>
      </c>
      <c r="BB230" s="1">
        <v>9055</v>
      </c>
      <c r="BC230" s="1">
        <v>9030</v>
      </c>
      <c r="BD230" s="1">
        <v>9202</v>
      </c>
      <c r="BE230" s="1">
        <v>9014</v>
      </c>
      <c r="BF230" s="1">
        <v>9311</v>
      </c>
      <c r="BG230" s="1">
        <v>9570</v>
      </c>
      <c r="BH230" s="1">
        <v>9400</v>
      </c>
      <c r="BI230" s="1">
        <v>9420</v>
      </c>
      <c r="BJ230" s="1">
        <v>9490</v>
      </c>
      <c r="BK230" s="1">
        <v>9700</v>
      </c>
      <c r="BL230" s="1">
        <v>9614</v>
      </c>
      <c r="BM230" s="1">
        <v>9577</v>
      </c>
      <c r="BN230" s="1">
        <v>9351</v>
      </c>
      <c r="BO230" s="1">
        <v>9619</v>
      </c>
      <c r="BP230" s="1">
        <v>9800</v>
      </c>
    </row>
    <row r="231" spans="1:68">
      <c r="A231" s="77" t="s">
        <v>444</v>
      </c>
      <c r="B231" s="1" t="str">
        <f>銘柄管理!C231</f>
        <v/>
      </c>
      <c r="C231" s="1" t="str">
        <f>_xll.RssMarket("7013","始値")</f>
        <v/>
      </c>
      <c r="E231" s="1">
        <v>2807</v>
      </c>
      <c r="F231" s="1">
        <v>2817.5</v>
      </c>
      <c r="G231" s="1">
        <v>2785.5</v>
      </c>
      <c r="H231" s="1">
        <v>2784</v>
      </c>
      <c r="I231" s="1">
        <v>2780</v>
      </c>
      <c r="J231" s="1">
        <v>2845</v>
      </c>
      <c r="K231" s="1">
        <v>2932</v>
      </c>
      <c r="L231" s="1">
        <v>3065</v>
      </c>
      <c r="M231" s="1">
        <v>2898</v>
      </c>
      <c r="N231" s="1">
        <v>2824</v>
      </c>
      <c r="O231" s="1">
        <v>2740</v>
      </c>
      <c r="P231" s="1">
        <v>2690</v>
      </c>
      <c r="Q231" s="1">
        <v>2674</v>
      </c>
      <c r="R231" s="1">
        <v>2688</v>
      </c>
      <c r="S231" s="1">
        <v>2700</v>
      </c>
      <c r="T231" s="1">
        <v>2825</v>
      </c>
      <c r="U231" s="1">
        <v>2700.5</v>
      </c>
      <c r="V231" s="1">
        <v>2827</v>
      </c>
      <c r="W231" s="1">
        <v>2835.5</v>
      </c>
      <c r="X231" s="1">
        <v>2916</v>
      </c>
      <c r="Y231" s="1">
        <v>2954</v>
      </c>
      <c r="Z231" s="1">
        <v>2808</v>
      </c>
      <c r="AA231" s="1">
        <v>2855</v>
      </c>
      <c r="AB231" s="1">
        <v>2520</v>
      </c>
      <c r="AC231" s="1">
        <v>2405.5</v>
      </c>
      <c r="AD231" s="1">
        <v>2302.5</v>
      </c>
      <c r="AE231" s="1">
        <v>2470</v>
      </c>
      <c r="AF231" s="1">
        <v>2486</v>
      </c>
      <c r="AG231" s="1">
        <v>2570</v>
      </c>
      <c r="AH231" s="1">
        <v>2460</v>
      </c>
      <c r="AI231" s="1">
        <v>2558</v>
      </c>
      <c r="AJ231" s="1">
        <v>2613.5</v>
      </c>
      <c r="AK231" s="1">
        <v>2750</v>
      </c>
      <c r="AL231" s="1">
        <v>2800</v>
      </c>
      <c r="AM231" s="1">
        <v>2960</v>
      </c>
      <c r="AN231" s="1">
        <v>2830</v>
      </c>
      <c r="AO231" s="1">
        <v>2775</v>
      </c>
      <c r="AP231" s="1">
        <v>2612.5</v>
      </c>
      <c r="AQ231" s="1">
        <v>2545.5</v>
      </c>
      <c r="AR231" s="1">
        <v>2693</v>
      </c>
      <c r="AS231" s="1">
        <v>2727.5</v>
      </c>
      <c r="AT231" s="1">
        <v>2664</v>
      </c>
      <c r="AU231" s="1">
        <v>2750</v>
      </c>
      <c r="AV231" s="1">
        <v>2766</v>
      </c>
      <c r="AW231" s="1">
        <v>2845</v>
      </c>
      <c r="AX231" s="1">
        <v>2950</v>
      </c>
      <c r="AY231" s="1">
        <v>3098</v>
      </c>
      <c r="AZ231" s="1">
        <v>2880</v>
      </c>
      <c r="BA231" s="1">
        <v>2876.5</v>
      </c>
      <c r="BB231" s="1">
        <v>2962</v>
      </c>
      <c r="BC231" s="1">
        <v>2948</v>
      </c>
      <c r="BD231" s="1">
        <v>2924</v>
      </c>
      <c r="BE231" s="1">
        <v>3071</v>
      </c>
      <c r="BF231" s="1">
        <v>3071</v>
      </c>
      <c r="BG231" s="1">
        <v>2947</v>
      </c>
      <c r="BH231" s="1">
        <v>3131</v>
      </c>
      <c r="BI231" s="1">
        <v>3130</v>
      </c>
      <c r="BJ231" s="1">
        <v>3179</v>
      </c>
      <c r="BK231" s="1">
        <v>3185</v>
      </c>
      <c r="BL231" s="1">
        <v>3310</v>
      </c>
      <c r="BM231" s="1">
        <v>3344</v>
      </c>
      <c r="BN231" s="1">
        <v>3299</v>
      </c>
      <c r="BO231" s="1">
        <v>3352</v>
      </c>
      <c r="BP231" s="1">
        <v>3445</v>
      </c>
    </row>
    <row r="232" spans="1:68">
      <c r="A232" s="77" t="s">
        <v>445</v>
      </c>
      <c r="B232" s="1" t="str">
        <f>銘柄管理!C232</f>
        <v/>
      </c>
      <c r="C232" s="1" t="str">
        <f>_xll.RssMarket("8793","始値")</f>
        <v/>
      </c>
      <c r="E232" s="1">
        <v>4100</v>
      </c>
      <c r="F232" s="1">
        <v>4140</v>
      </c>
      <c r="G232" s="1">
        <v>4135</v>
      </c>
      <c r="H232" s="1">
        <v>4145</v>
      </c>
      <c r="I232" s="1">
        <v>4120</v>
      </c>
      <c r="J232" s="1">
        <v>4100</v>
      </c>
      <c r="K232" s="1">
        <v>4115</v>
      </c>
      <c r="L232" s="1">
        <v>4100</v>
      </c>
      <c r="M232" s="1">
        <v>4035</v>
      </c>
      <c r="N232" s="1">
        <v>4020</v>
      </c>
      <c r="O232" s="1">
        <v>4000</v>
      </c>
      <c r="P232" s="1">
        <v>4005</v>
      </c>
      <c r="Q232" s="1">
        <v>4010</v>
      </c>
      <c r="R232" s="1">
        <v>4005</v>
      </c>
      <c r="S232" s="1">
        <v>4015</v>
      </c>
      <c r="T232" s="1">
        <v>4010</v>
      </c>
      <c r="U232" s="1">
        <v>4045</v>
      </c>
      <c r="V232" s="1">
        <v>4085</v>
      </c>
      <c r="W232" s="1">
        <v>4100</v>
      </c>
      <c r="X232" s="1">
        <v>4145</v>
      </c>
      <c r="Y232" s="1">
        <v>4160</v>
      </c>
      <c r="Z232" s="1">
        <v>4130</v>
      </c>
      <c r="AA232" s="1">
        <v>4155</v>
      </c>
      <c r="AB232" s="1">
        <v>4105</v>
      </c>
      <c r="AC232" s="1">
        <v>4160</v>
      </c>
      <c r="AD232" s="1">
        <v>4140</v>
      </c>
      <c r="AE232" s="1">
        <v>4010</v>
      </c>
      <c r="AF232" s="1">
        <v>3950</v>
      </c>
      <c r="AG232" s="1">
        <v>3920</v>
      </c>
      <c r="AH232" s="1">
        <v>3885</v>
      </c>
      <c r="AI232" s="1">
        <v>3900</v>
      </c>
      <c r="AJ232" s="1">
        <v>3960</v>
      </c>
      <c r="AK232" s="1">
        <v>3940</v>
      </c>
      <c r="AL232" s="1">
        <v>3965</v>
      </c>
      <c r="AM232" s="1">
        <v>3980</v>
      </c>
      <c r="AN232" s="1">
        <v>4025</v>
      </c>
      <c r="AO232" s="1">
        <v>3980</v>
      </c>
      <c r="AP232" s="1">
        <v>3965</v>
      </c>
      <c r="AQ232" s="1">
        <v>3935</v>
      </c>
      <c r="AR232" s="1">
        <v>3970</v>
      </c>
      <c r="AS232" s="1">
        <v>4010</v>
      </c>
      <c r="AT232" s="1">
        <v>4030</v>
      </c>
      <c r="AU232" s="1">
        <v>4055</v>
      </c>
      <c r="AV232" s="1">
        <v>4055</v>
      </c>
      <c r="AW232" s="1">
        <v>4055</v>
      </c>
      <c r="AX232" s="1">
        <v>4030</v>
      </c>
      <c r="AY232" s="1">
        <v>4010</v>
      </c>
      <c r="AZ232" s="1">
        <v>4090</v>
      </c>
      <c r="BA232" s="1">
        <v>4195</v>
      </c>
      <c r="BB232" s="1">
        <v>4195</v>
      </c>
      <c r="BC232" s="1">
        <v>4280</v>
      </c>
      <c r="BD232" s="1">
        <v>4210</v>
      </c>
      <c r="BE232" s="1">
        <v>4215</v>
      </c>
      <c r="BF232" s="1">
        <v>4270</v>
      </c>
      <c r="BG232" s="1">
        <v>4315</v>
      </c>
      <c r="BH232" s="1">
        <v>4260</v>
      </c>
      <c r="BI232" s="1">
        <v>4240</v>
      </c>
      <c r="BJ232" s="1">
        <v>4280</v>
      </c>
      <c r="BK232" s="1">
        <v>4245</v>
      </c>
      <c r="BL232" s="1">
        <v>4170</v>
      </c>
      <c r="BM232" s="1">
        <v>4170</v>
      </c>
      <c r="BN232" s="1">
        <v>4245</v>
      </c>
      <c r="BO232" s="1">
        <v>4265</v>
      </c>
      <c r="BP232" s="1">
        <v>4230</v>
      </c>
    </row>
    <row r="233" spans="1:68">
      <c r="A233" s="77" t="s">
        <v>446</v>
      </c>
      <c r="B233" s="1" t="str">
        <f>銘柄管理!C233</f>
        <v/>
      </c>
      <c r="C233" s="1" t="str">
        <f>_xll.RssMarket("9962","始値")</f>
        <v/>
      </c>
      <c r="E233" s="1">
        <v>3702</v>
      </c>
      <c r="F233" s="1">
        <v>3853</v>
      </c>
      <c r="G233" s="1">
        <v>3782</v>
      </c>
      <c r="H233" s="1">
        <v>3999</v>
      </c>
      <c r="I233" s="1">
        <v>4075</v>
      </c>
      <c r="J233" s="1">
        <v>3907</v>
      </c>
      <c r="K233" s="1">
        <v>3789</v>
      </c>
      <c r="L233" s="1">
        <v>4128</v>
      </c>
      <c r="M233" s="1">
        <v>4193</v>
      </c>
      <c r="N233" s="1">
        <v>4023</v>
      </c>
      <c r="O233" s="1">
        <v>3911</v>
      </c>
      <c r="P233" s="1">
        <v>3981</v>
      </c>
      <c r="Q233" s="1">
        <v>3938</v>
      </c>
      <c r="R233" s="1">
        <v>3858</v>
      </c>
      <c r="S233" s="1">
        <v>3977</v>
      </c>
      <c r="T233" s="1">
        <v>3843</v>
      </c>
      <c r="U233" s="1">
        <v>3639</v>
      </c>
      <c r="V233" s="1">
        <v>3838</v>
      </c>
      <c r="W233" s="1">
        <v>3857</v>
      </c>
      <c r="X233" s="1">
        <v>3954</v>
      </c>
      <c r="Y233" s="1">
        <v>3892</v>
      </c>
      <c r="Z233" s="1">
        <v>3883</v>
      </c>
      <c r="AA233" s="1">
        <v>3812</v>
      </c>
      <c r="AB233" s="1">
        <v>3835</v>
      </c>
      <c r="AC233" s="1">
        <v>3720</v>
      </c>
      <c r="AD233" s="1">
        <v>3568</v>
      </c>
      <c r="AE233" s="1">
        <v>3559</v>
      </c>
      <c r="AF233" s="1">
        <v>3574</v>
      </c>
      <c r="AG233" s="1">
        <v>3762</v>
      </c>
      <c r="AH233" s="1">
        <v>3761</v>
      </c>
      <c r="AI233" s="1">
        <v>3760</v>
      </c>
      <c r="AJ233" s="1">
        <v>3617</v>
      </c>
      <c r="AK233" s="1">
        <v>3705</v>
      </c>
      <c r="AL233" s="1">
        <v>3526</v>
      </c>
      <c r="AM233" s="1">
        <v>3597</v>
      </c>
      <c r="AN233" s="1">
        <v>3446</v>
      </c>
      <c r="AO233" s="1">
        <v>3454</v>
      </c>
      <c r="AP233" s="1">
        <v>3199</v>
      </c>
      <c r="AQ233" s="1">
        <v>3087</v>
      </c>
      <c r="AR233" s="1">
        <v>3166</v>
      </c>
      <c r="AS233" s="1">
        <v>3184</v>
      </c>
      <c r="AT233" s="1">
        <v>3326</v>
      </c>
      <c r="AU233" s="1">
        <v>3359</v>
      </c>
      <c r="AV233" s="1">
        <v>3319</v>
      </c>
      <c r="AW233" s="1">
        <v>3470</v>
      </c>
      <c r="AX233" s="1">
        <v>3466</v>
      </c>
      <c r="AY233" s="1">
        <v>3406</v>
      </c>
      <c r="AZ233" s="1">
        <v>3498</v>
      </c>
      <c r="BA233" s="1">
        <v>3309</v>
      </c>
      <c r="BB233" s="1">
        <v>3393</v>
      </c>
      <c r="BC233" s="1">
        <v>3395</v>
      </c>
      <c r="BD233" s="1">
        <v>3065</v>
      </c>
      <c r="BE233" s="1">
        <v>3025</v>
      </c>
      <c r="BF233" s="1">
        <v>3060</v>
      </c>
      <c r="BG233" s="1">
        <v>3100</v>
      </c>
      <c r="BH233" s="1">
        <v>3150</v>
      </c>
      <c r="BI233" s="1">
        <v>3086</v>
      </c>
      <c r="BJ233" s="1">
        <v>3015</v>
      </c>
      <c r="BK233" s="1">
        <v>3034</v>
      </c>
      <c r="BL233" s="1">
        <v>2992</v>
      </c>
      <c r="BM233" s="1">
        <v>3032</v>
      </c>
      <c r="BN233" s="1">
        <v>2951.5</v>
      </c>
      <c r="BO233" s="1">
        <v>2998</v>
      </c>
      <c r="BP233" s="1">
        <v>2980.5</v>
      </c>
    </row>
    <row r="234" spans="1:68">
      <c r="A234" s="77" t="s">
        <v>447</v>
      </c>
      <c r="B234" s="1" t="str">
        <f>銘柄管理!C234</f>
        <v/>
      </c>
      <c r="C234" s="1" t="str">
        <f>_xll.RssMarket("6762","始値")</f>
        <v/>
      </c>
      <c r="E234" s="1">
        <v>3000</v>
      </c>
      <c r="F234" s="1">
        <v>3270</v>
      </c>
      <c r="G234" s="1">
        <v>3190</v>
      </c>
      <c r="H234" s="1">
        <v>3387</v>
      </c>
      <c r="I234" s="1">
        <v>3452</v>
      </c>
      <c r="J234" s="1">
        <v>3360</v>
      </c>
      <c r="K234" s="1">
        <v>3251</v>
      </c>
      <c r="L234" s="1">
        <v>3501</v>
      </c>
      <c r="M234" s="1">
        <v>3700</v>
      </c>
      <c r="N234" s="1">
        <v>3642</v>
      </c>
      <c r="O234" s="1">
        <v>3666</v>
      </c>
      <c r="P234" s="1">
        <v>3663</v>
      </c>
      <c r="Q234" s="1">
        <v>3550</v>
      </c>
      <c r="R234" s="1">
        <v>3768</v>
      </c>
      <c r="S234" s="1">
        <v>3900</v>
      </c>
      <c r="T234" s="1">
        <v>3873</v>
      </c>
      <c r="U234" s="1">
        <v>4133</v>
      </c>
      <c r="V234" s="1">
        <v>3979</v>
      </c>
      <c r="W234" s="1">
        <v>3995</v>
      </c>
      <c r="X234" s="1">
        <v>3850</v>
      </c>
      <c r="Y234" s="1">
        <v>3732</v>
      </c>
      <c r="Z234" s="1">
        <v>3848</v>
      </c>
      <c r="AA234" s="1">
        <v>3644</v>
      </c>
      <c r="AB234" s="1">
        <v>3756</v>
      </c>
      <c r="AC234" s="1">
        <v>3450</v>
      </c>
      <c r="AD234" s="1">
        <v>3700</v>
      </c>
      <c r="AE234" s="1">
        <v>3899</v>
      </c>
      <c r="AF234" s="1">
        <v>3950</v>
      </c>
      <c r="AG234" s="1">
        <v>3919</v>
      </c>
      <c r="AH234" s="1">
        <v>4083</v>
      </c>
      <c r="AI234" s="1">
        <v>3999</v>
      </c>
      <c r="AJ234" s="1">
        <v>3590</v>
      </c>
      <c r="AK234" s="1">
        <v>3750</v>
      </c>
      <c r="AL234" s="1">
        <v>3580</v>
      </c>
      <c r="AM234" s="1">
        <v>3137</v>
      </c>
      <c r="AN234" s="1">
        <v>2993</v>
      </c>
      <c r="AO234" s="1">
        <v>2885.5</v>
      </c>
      <c r="AP234" s="1">
        <v>3025</v>
      </c>
      <c r="AQ234" s="1">
        <v>2988.5</v>
      </c>
      <c r="AR234" s="1">
        <v>3110</v>
      </c>
      <c r="AS234" s="1">
        <v>2979</v>
      </c>
      <c r="AT234" s="1">
        <v>2911</v>
      </c>
      <c r="AU234" s="1">
        <v>2936</v>
      </c>
      <c r="AV234" s="1">
        <v>2990</v>
      </c>
      <c r="AW234" s="1">
        <v>2930</v>
      </c>
      <c r="AX234" s="1">
        <v>2920</v>
      </c>
      <c r="AY234" s="1">
        <v>2886</v>
      </c>
      <c r="AZ234" s="1">
        <v>2927</v>
      </c>
      <c r="BA234" s="1">
        <v>2740</v>
      </c>
      <c r="BB234" s="1">
        <v>2767.5</v>
      </c>
      <c r="BC234" s="1">
        <v>2700.5</v>
      </c>
      <c r="BD234" s="1">
        <v>2750</v>
      </c>
      <c r="BE234" s="1">
        <v>2548.5</v>
      </c>
      <c r="BF234" s="1">
        <v>2536</v>
      </c>
      <c r="BG234" s="1">
        <v>2600</v>
      </c>
      <c r="BH234" s="1">
        <v>2527.5</v>
      </c>
      <c r="BI234" s="1">
        <v>2280</v>
      </c>
      <c r="BJ234" s="1">
        <v>2300.5</v>
      </c>
      <c r="BK234" s="1">
        <v>2310</v>
      </c>
      <c r="BL234" s="1">
        <v>2266</v>
      </c>
      <c r="BM234" s="1">
        <v>2249</v>
      </c>
      <c r="BN234" s="1">
        <v>2200</v>
      </c>
      <c r="BO234" s="1">
        <v>2200</v>
      </c>
      <c r="BP234" s="1">
        <v>2019</v>
      </c>
    </row>
    <row r="235" spans="1:68">
      <c r="A235" s="77" t="s">
        <v>448</v>
      </c>
      <c r="B235" s="1" t="str">
        <f>銘柄管理!C235</f>
        <v/>
      </c>
      <c r="C235" s="1" t="str">
        <f>_xll.RssMarket("4392","始値")</f>
        <v/>
      </c>
      <c r="E235" s="1">
        <v>1080</v>
      </c>
      <c r="F235" s="1">
        <v>1052</v>
      </c>
      <c r="G235" s="1">
        <v>1032</v>
      </c>
      <c r="H235" s="1">
        <v>1095</v>
      </c>
      <c r="I235" s="1">
        <v>1063</v>
      </c>
      <c r="J235" s="1">
        <v>1109</v>
      </c>
      <c r="K235" s="1">
        <v>1069</v>
      </c>
      <c r="L235" s="1">
        <v>1133</v>
      </c>
      <c r="M235" s="1">
        <v>1214</v>
      </c>
      <c r="N235" s="1">
        <v>1101</v>
      </c>
      <c r="O235" s="1">
        <v>1087</v>
      </c>
      <c r="P235" s="1">
        <v>1125</v>
      </c>
      <c r="Q235" s="1">
        <v>1099</v>
      </c>
      <c r="R235" s="1">
        <v>1145</v>
      </c>
      <c r="S235" s="1">
        <v>1130</v>
      </c>
      <c r="T235" s="1">
        <v>1225</v>
      </c>
      <c r="U235" s="1">
        <v>1149</v>
      </c>
      <c r="V235" s="1">
        <v>1191</v>
      </c>
      <c r="W235" s="1">
        <v>1173</v>
      </c>
      <c r="X235" s="1">
        <v>1290</v>
      </c>
      <c r="Y235" s="1">
        <v>1252</v>
      </c>
      <c r="Z235" s="1">
        <v>1230</v>
      </c>
      <c r="AA235" s="1">
        <v>1299</v>
      </c>
      <c r="AB235" s="1">
        <v>1376</v>
      </c>
      <c r="AC235" s="1">
        <v>1532</v>
      </c>
      <c r="AD235" s="1">
        <v>1588</v>
      </c>
      <c r="AE235" s="1">
        <v>1482</v>
      </c>
      <c r="AF235" s="1">
        <v>1252</v>
      </c>
      <c r="AG235" s="1">
        <v>1301</v>
      </c>
      <c r="AH235" s="1">
        <v>1555</v>
      </c>
      <c r="AI235" s="1">
        <v>1632</v>
      </c>
      <c r="AJ235" s="1">
        <v>1845</v>
      </c>
      <c r="AK235" s="1">
        <v>2189</v>
      </c>
      <c r="AL235" s="1">
        <v>2064</v>
      </c>
      <c r="AM235" s="1">
        <v>2800</v>
      </c>
      <c r="AN235" s="1">
        <v>1985</v>
      </c>
      <c r="AO235" s="1">
        <v>1969</v>
      </c>
      <c r="AP235" s="1">
        <v>1821</v>
      </c>
      <c r="AQ235" s="1">
        <v>1300</v>
      </c>
      <c r="AR235" s="1">
        <v>1360</v>
      </c>
      <c r="AS235" s="1">
        <v>1060</v>
      </c>
      <c r="AT235" s="1">
        <v>910</v>
      </c>
      <c r="AU235" s="1">
        <v>769</v>
      </c>
      <c r="AV235" s="1">
        <v>780</v>
      </c>
      <c r="AW235" s="1">
        <v>859</v>
      </c>
      <c r="AX235" s="1">
        <v>509</v>
      </c>
      <c r="AY235" s="1">
        <v>429</v>
      </c>
      <c r="AZ235" s="1">
        <v>350</v>
      </c>
      <c r="BA235" s="1">
        <v>345</v>
      </c>
      <c r="BB235" s="1">
        <v>350</v>
      </c>
      <c r="BC235" s="1">
        <v>359</v>
      </c>
      <c r="BD235" s="1">
        <v>356</v>
      </c>
      <c r="BE235" s="1">
        <v>348</v>
      </c>
      <c r="BF235" s="1">
        <v>352</v>
      </c>
      <c r="BG235" s="1">
        <v>347</v>
      </c>
      <c r="BH235" s="1">
        <v>349</v>
      </c>
      <c r="BI235" s="1">
        <v>328</v>
      </c>
      <c r="BJ235" s="1">
        <v>327</v>
      </c>
      <c r="BK235" s="1">
        <v>326</v>
      </c>
      <c r="BL235" s="1">
        <v>324</v>
      </c>
      <c r="BM235" s="1">
        <v>323</v>
      </c>
      <c r="BN235" s="1">
        <v>323</v>
      </c>
      <c r="BO235" s="1">
        <v>326</v>
      </c>
      <c r="BP235" s="1">
        <v>332</v>
      </c>
    </row>
    <row r="236" spans="1:68">
      <c r="A236" s="77" t="s">
        <v>449</v>
      </c>
      <c r="B236" s="1" t="str">
        <f>銘柄管理!C236</f>
        <v/>
      </c>
      <c r="C236" s="1" t="str">
        <f>_xll.RssMarket("8005","始値")</f>
        <v/>
      </c>
      <c r="E236" s="1">
        <v>1730</v>
      </c>
      <c r="F236" s="1">
        <v>1728</v>
      </c>
      <c r="G236" s="1">
        <v>1732</v>
      </c>
      <c r="H236" s="1">
        <v>1715</v>
      </c>
      <c r="I236" s="1">
        <v>1706</v>
      </c>
      <c r="J236" s="1">
        <v>1718</v>
      </c>
      <c r="K236" s="1">
        <v>1721</v>
      </c>
      <c r="L236" s="1">
        <v>1701</v>
      </c>
      <c r="M236" s="1">
        <v>1659</v>
      </c>
      <c r="N236" s="1">
        <v>1645</v>
      </c>
      <c r="O236" s="1">
        <v>1628</v>
      </c>
      <c r="P236" s="1">
        <v>1626</v>
      </c>
      <c r="Q236" s="1">
        <v>1637</v>
      </c>
      <c r="R236" s="1">
        <v>1643</v>
      </c>
      <c r="S236" s="1">
        <v>1648</v>
      </c>
      <c r="T236" s="1">
        <v>1641</v>
      </c>
      <c r="U236" s="1">
        <v>1645</v>
      </c>
      <c r="V236" s="1">
        <v>1638</v>
      </c>
      <c r="W236" s="1">
        <v>1626</v>
      </c>
      <c r="X236" s="1">
        <v>1650</v>
      </c>
      <c r="Y236" s="1">
        <v>1631</v>
      </c>
      <c r="Z236" s="1">
        <v>1640</v>
      </c>
      <c r="AA236" s="1">
        <v>1624</v>
      </c>
      <c r="AB236" s="1">
        <v>1620</v>
      </c>
      <c r="AC236" s="1">
        <v>1625</v>
      </c>
      <c r="AD236" s="1">
        <v>1628</v>
      </c>
      <c r="AE236" s="1">
        <v>1612</v>
      </c>
      <c r="AF236" s="1">
        <v>1621</v>
      </c>
      <c r="AG236" s="1">
        <v>1628</v>
      </c>
      <c r="AH236" s="1">
        <v>1634</v>
      </c>
      <c r="AI236" s="1">
        <v>1638</v>
      </c>
      <c r="AJ236" s="1">
        <v>1672</v>
      </c>
      <c r="AK236" s="1">
        <v>1630</v>
      </c>
      <c r="AL236" s="1">
        <v>1635</v>
      </c>
      <c r="AM236" s="1">
        <v>1640</v>
      </c>
      <c r="AN236" s="1">
        <v>1638</v>
      </c>
      <c r="AO236" s="1">
        <v>1651</v>
      </c>
      <c r="AP236" s="1">
        <v>1669</v>
      </c>
      <c r="AQ236" s="1">
        <v>1660</v>
      </c>
      <c r="AR236" s="1">
        <v>1655</v>
      </c>
      <c r="AS236" s="1">
        <v>1612</v>
      </c>
      <c r="AT236" s="1">
        <v>1649</v>
      </c>
      <c r="AU236" s="1">
        <v>1633</v>
      </c>
      <c r="AV236" s="1">
        <v>1656</v>
      </c>
      <c r="AW236" s="1">
        <v>1705</v>
      </c>
      <c r="AX236" s="1">
        <v>1757</v>
      </c>
      <c r="AY236" s="1">
        <v>1597</v>
      </c>
      <c r="AZ236" s="1">
        <v>1324</v>
      </c>
      <c r="BA236" s="1">
        <v>1320</v>
      </c>
      <c r="BB236" s="1">
        <v>1323</v>
      </c>
      <c r="BC236" s="1">
        <v>1310</v>
      </c>
      <c r="BD236" s="1">
        <v>1320</v>
      </c>
      <c r="BE236" s="1">
        <v>1320</v>
      </c>
      <c r="BF236" s="1">
        <v>1320</v>
      </c>
      <c r="BG236" s="1">
        <v>1345</v>
      </c>
      <c r="BH236" s="1">
        <v>1359</v>
      </c>
      <c r="BI236" s="1">
        <v>1352</v>
      </c>
      <c r="BJ236" s="1">
        <v>1355</v>
      </c>
      <c r="BK236" s="1">
        <v>1348</v>
      </c>
      <c r="BL236" s="1">
        <v>1331</v>
      </c>
      <c r="BM236" s="1">
        <v>1315</v>
      </c>
      <c r="BN236" s="1">
        <v>1328</v>
      </c>
      <c r="BO236" s="1">
        <v>1346</v>
      </c>
      <c r="BP236" s="1">
        <v>1361</v>
      </c>
    </row>
    <row r="237" spans="1:68">
      <c r="A237" s="77" t="s">
        <v>450</v>
      </c>
      <c r="B237" s="1" t="str">
        <f>銘柄管理!C237</f>
        <v/>
      </c>
      <c r="C237" s="1" t="str">
        <f>_xll.RssMarket("2326","始値")</f>
        <v/>
      </c>
      <c r="E237" s="1">
        <v>3980</v>
      </c>
      <c r="F237" s="1">
        <v>3985</v>
      </c>
      <c r="G237" s="1">
        <v>3990</v>
      </c>
      <c r="H237" s="1">
        <v>3945</v>
      </c>
      <c r="I237" s="1">
        <v>3900</v>
      </c>
      <c r="J237" s="1">
        <v>3860</v>
      </c>
      <c r="K237" s="1">
        <v>3950</v>
      </c>
      <c r="L237" s="1">
        <v>3885</v>
      </c>
      <c r="M237" s="1">
        <v>3875</v>
      </c>
      <c r="N237" s="1">
        <v>3880</v>
      </c>
      <c r="O237" s="1">
        <v>3725</v>
      </c>
      <c r="P237" s="1">
        <v>3700</v>
      </c>
      <c r="Q237" s="1">
        <v>3740</v>
      </c>
      <c r="R237" s="1">
        <v>3680</v>
      </c>
      <c r="S237" s="1">
        <v>3595</v>
      </c>
      <c r="T237" s="1">
        <v>3580</v>
      </c>
      <c r="U237" s="1">
        <v>3515</v>
      </c>
      <c r="V237" s="1">
        <v>3600</v>
      </c>
      <c r="W237" s="1">
        <v>3545</v>
      </c>
      <c r="X237" s="1">
        <v>3600</v>
      </c>
      <c r="Y237" s="1">
        <v>3595</v>
      </c>
      <c r="Z237" s="1">
        <v>3615</v>
      </c>
      <c r="AA237" s="1">
        <v>3540</v>
      </c>
      <c r="AB237" s="1">
        <v>3570</v>
      </c>
      <c r="AC237" s="1">
        <v>3610</v>
      </c>
      <c r="AD237" s="1">
        <v>3625</v>
      </c>
      <c r="AE237" s="1">
        <v>3690</v>
      </c>
      <c r="AF237" s="1">
        <v>3760</v>
      </c>
      <c r="AG237" s="1">
        <v>3740</v>
      </c>
      <c r="AH237" s="1">
        <v>3625</v>
      </c>
      <c r="AI237" s="1">
        <v>3735</v>
      </c>
      <c r="AJ237" s="1">
        <v>3800</v>
      </c>
      <c r="AK237" s="1">
        <v>4040</v>
      </c>
      <c r="AL237" s="1">
        <v>4050</v>
      </c>
      <c r="AM237" s="1">
        <v>4110</v>
      </c>
      <c r="AN237" s="1">
        <v>4180</v>
      </c>
      <c r="AO237" s="1">
        <v>4100</v>
      </c>
      <c r="AP237" s="1">
        <v>4125</v>
      </c>
      <c r="AQ237" s="1">
        <v>4280</v>
      </c>
      <c r="AR237" s="1">
        <v>4290</v>
      </c>
      <c r="AS237" s="1">
        <v>4205</v>
      </c>
      <c r="AT237" s="1">
        <v>4055</v>
      </c>
      <c r="AU237" s="1">
        <v>4005</v>
      </c>
      <c r="AV237" s="1">
        <v>3955</v>
      </c>
      <c r="AW237" s="1">
        <v>4100</v>
      </c>
      <c r="AX237" s="1">
        <v>4310</v>
      </c>
      <c r="AY237" s="1">
        <v>4940</v>
      </c>
      <c r="AZ237" s="1">
        <v>5790</v>
      </c>
      <c r="BA237" s="1">
        <v>5510</v>
      </c>
      <c r="BB237" s="1">
        <v>5480</v>
      </c>
      <c r="BC237" s="1">
        <v>5460</v>
      </c>
      <c r="BD237" s="1">
        <v>5500</v>
      </c>
      <c r="BE237" s="1">
        <v>5590</v>
      </c>
      <c r="BF237" s="1">
        <v>6010</v>
      </c>
      <c r="BG237" s="1">
        <v>5980</v>
      </c>
      <c r="BH237" s="1">
        <v>5900</v>
      </c>
      <c r="BI237" s="1">
        <v>5840</v>
      </c>
      <c r="BJ237" s="1">
        <v>5780</v>
      </c>
      <c r="BK237" s="1">
        <v>5740</v>
      </c>
      <c r="BL237" s="1">
        <v>5580</v>
      </c>
      <c r="BM237" s="1">
        <v>5550</v>
      </c>
      <c r="BN237" s="1">
        <v>5360</v>
      </c>
      <c r="BO237" s="1">
        <v>5340</v>
      </c>
      <c r="BP237" s="1">
        <v>5510</v>
      </c>
    </row>
    <row r="238" spans="1:68">
      <c r="A238" s="77" t="s">
        <v>451</v>
      </c>
      <c r="B238" s="1" t="str">
        <f>銘柄管理!C238</f>
        <v/>
      </c>
      <c r="C238" s="1" t="str">
        <f>_xll.RssMarket("6809","始値")</f>
        <v/>
      </c>
      <c r="E238" s="1">
        <v>1590</v>
      </c>
      <c r="F238" s="1">
        <v>1615</v>
      </c>
      <c r="G238" s="1">
        <v>1612</v>
      </c>
      <c r="H238" s="1">
        <v>1610</v>
      </c>
      <c r="I238" s="1">
        <v>1628</v>
      </c>
      <c r="J238" s="1">
        <v>1625</v>
      </c>
      <c r="K238" s="1">
        <v>1640</v>
      </c>
      <c r="L238" s="1">
        <v>1633</v>
      </c>
      <c r="M238" s="1">
        <v>1605</v>
      </c>
      <c r="N238" s="1">
        <v>1580</v>
      </c>
      <c r="O238" s="1">
        <v>1554</v>
      </c>
      <c r="P238" s="1">
        <v>1556</v>
      </c>
      <c r="Q238" s="1">
        <v>1576</v>
      </c>
      <c r="R238" s="1">
        <v>1586</v>
      </c>
      <c r="S238" s="1">
        <v>1574</v>
      </c>
      <c r="T238" s="1">
        <v>1575</v>
      </c>
      <c r="U238" s="1">
        <v>1558</v>
      </c>
      <c r="V238" s="1">
        <v>1557</v>
      </c>
      <c r="W238" s="1">
        <v>1555</v>
      </c>
      <c r="X238" s="1">
        <v>1570</v>
      </c>
      <c r="Y238" s="1">
        <v>1569</v>
      </c>
      <c r="Z238" s="1">
        <v>1565</v>
      </c>
      <c r="AA238" s="1">
        <v>1560</v>
      </c>
      <c r="AB238" s="1">
        <v>1577</v>
      </c>
      <c r="AC238" s="1">
        <v>1560</v>
      </c>
      <c r="AD238" s="1">
        <v>1562</v>
      </c>
      <c r="AE238" s="1">
        <v>1572</v>
      </c>
      <c r="AF238" s="1">
        <v>1543</v>
      </c>
      <c r="AG238" s="1">
        <v>1550</v>
      </c>
      <c r="AH238" s="1">
        <v>1536</v>
      </c>
      <c r="AI238" s="1">
        <v>1554</v>
      </c>
      <c r="AJ238" s="1">
        <v>1540</v>
      </c>
      <c r="AK238" s="1">
        <v>1542</v>
      </c>
      <c r="AL238" s="1">
        <v>1526</v>
      </c>
      <c r="AM238" s="1">
        <v>1560</v>
      </c>
      <c r="AN238" s="1">
        <v>1582</v>
      </c>
      <c r="AO238" s="1">
        <v>1547</v>
      </c>
      <c r="AP238" s="1">
        <v>1533</v>
      </c>
      <c r="AQ238" s="1">
        <v>1601</v>
      </c>
      <c r="AR238" s="1">
        <v>1580</v>
      </c>
      <c r="AS238" s="1">
        <v>1598</v>
      </c>
      <c r="AT238" s="1">
        <v>1586</v>
      </c>
      <c r="AU238" s="1">
        <v>1569</v>
      </c>
      <c r="AV238" s="1">
        <v>1562</v>
      </c>
      <c r="AW238" s="1">
        <v>1570</v>
      </c>
      <c r="AX238" s="1">
        <v>1580</v>
      </c>
      <c r="AY238" s="1">
        <v>1604</v>
      </c>
      <c r="AZ238" s="1">
        <v>1775</v>
      </c>
      <c r="BA238" s="1">
        <v>1730</v>
      </c>
      <c r="BB238" s="1">
        <v>1726</v>
      </c>
      <c r="BC238" s="1">
        <v>1700</v>
      </c>
      <c r="BD238" s="1">
        <v>1720</v>
      </c>
      <c r="BE238" s="1">
        <v>1757</v>
      </c>
      <c r="BF238" s="1">
        <v>1750</v>
      </c>
      <c r="BG238" s="1">
        <v>1786</v>
      </c>
      <c r="BH238" s="1">
        <v>1773</v>
      </c>
      <c r="BI238" s="1">
        <v>1800</v>
      </c>
      <c r="BJ238" s="1">
        <v>1784</v>
      </c>
      <c r="BK238" s="1">
        <v>1780</v>
      </c>
      <c r="BL238" s="1">
        <v>1792</v>
      </c>
      <c r="BM238" s="1">
        <v>1800</v>
      </c>
      <c r="BN238" s="1">
        <v>1800</v>
      </c>
      <c r="BO238" s="1">
        <v>1821</v>
      </c>
      <c r="BP238" s="1">
        <v>1849</v>
      </c>
    </row>
    <row r="239" spans="1:68">
      <c r="A239" s="77" t="s">
        <v>452</v>
      </c>
      <c r="B239" s="1" t="str">
        <f>銘柄管理!C239</f>
        <v/>
      </c>
      <c r="C239" s="1" t="str">
        <f>_xll.RssMarket("3984","始値")</f>
        <v/>
      </c>
      <c r="E239" s="1">
        <v>1804</v>
      </c>
      <c r="F239" s="1">
        <v>1790</v>
      </c>
      <c r="G239" s="1">
        <v>1794</v>
      </c>
      <c r="H239" s="1">
        <v>1790</v>
      </c>
      <c r="I239" s="1">
        <v>1768</v>
      </c>
      <c r="J239" s="1">
        <v>1740</v>
      </c>
      <c r="K239" s="1">
        <v>1775</v>
      </c>
      <c r="L239" s="1">
        <v>1783</v>
      </c>
      <c r="M239" s="1">
        <v>1785</v>
      </c>
      <c r="N239" s="1">
        <v>1744</v>
      </c>
      <c r="O239" s="1">
        <v>1707</v>
      </c>
      <c r="P239" s="1">
        <v>1625</v>
      </c>
      <c r="Q239" s="1">
        <v>1609</v>
      </c>
      <c r="R239" s="1">
        <v>1608</v>
      </c>
      <c r="S239" s="1">
        <v>1638</v>
      </c>
      <c r="T239" s="1">
        <v>1700</v>
      </c>
      <c r="U239" s="1">
        <v>1703</v>
      </c>
      <c r="V239" s="1">
        <v>1750</v>
      </c>
      <c r="W239" s="1">
        <v>1736</v>
      </c>
      <c r="X239" s="1">
        <v>1810</v>
      </c>
      <c r="Y239" s="1">
        <v>1815</v>
      </c>
      <c r="Z239" s="1">
        <v>1775</v>
      </c>
      <c r="AA239" s="1">
        <v>1785</v>
      </c>
      <c r="AB239" s="1">
        <v>1793</v>
      </c>
      <c r="AC239" s="1">
        <v>1840</v>
      </c>
      <c r="AD239" s="1">
        <v>1781</v>
      </c>
      <c r="AE239" s="1">
        <v>1815</v>
      </c>
      <c r="AF239" s="1">
        <v>1850</v>
      </c>
      <c r="AG239" s="1">
        <v>1836</v>
      </c>
      <c r="AH239" s="1">
        <v>1808</v>
      </c>
      <c r="AI239" s="1">
        <v>1793</v>
      </c>
      <c r="AJ239" s="1">
        <v>1826</v>
      </c>
      <c r="AK239" s="1">
        <v>1705</v>
      </c>
      <c r="AL239" s="1">
        <v>1706</v>
      </c>
      <c r="AM239" s="1">
        <v>1710</v>
      </c>
      <c r="AN239" s="1">
        <v>1797</v>
      </c>
      <c r="AO239" s="1">
        <v>1760</v>
      </c>
      <c r="AP239" s="1">
        <v>1773</v>
      </c>
      <c r="AQ239" s="1">
        <v>1767</v>
      </c>
      <c r="AR239" s="1">
        <v>1723</v>
      </c>
      <c r="AS239" s="1">
        <v>1717</v>
      </c>
      <c r="AT239" s="1">
        <v>1710</v>
      </c>
      <c r="AU239" s="1">
        <v>1745</v>
      </c>
      <c r="AV239" s="1">
        <v>1726</v>
      </c>
      <c r="AW239" s="1">
        <v>1796</v>
      </c>
      <c r="AX239" s="1">
        <v>1814</v>
      </c>
      <c r="AY239" s="1">
        <v>1736</v>
      </c>
      <c r="AZ239" s="1">
        <v>1600</v>
      </c>
      <c r="BA239" s="1">
        <v>1540</v>
      </c>
      <c r="BB239" s="1">
        <v>1559</v>
      </c>
      <c r="BC239" s="1">
        <v>1550</v>
      </c>
      <c r="BD239" s="1">
        <v>1571</v>
      </c>
      <c r="BE239" s="1">
        <v>1555</v>
      </c>
      <c r="BF239" s="1">
        <v>1595</v>
      </c>
      <c r="BG239" s="1">
        <v>1593</v>
      </c>
      <c r="BH239" s="1">
        <v>1585</v>
      </c>
      <c r="BI239" s="1">
        <v>1574</v>
      </c>
      <c r="BJ239" s="1">
        <v>1577</v>
      </c>
      <c r="BK239" s="1">
        <v>1578</v>
      </c>
      <c r="BL239" s="1">
        <v>1498</v>
      </c>
      <c r="BM239" s="1">
        <v>1452</v>
      </c>
      <c r="BN239" s="1">
        <v>1433</v>
      </c>
      <c r="BO239" s="1">
        <v>1490</v>
      </c>
      <c r="BP239" s="1">
        <v>1522</v>
      </c>
    </row>
    <row r="240" spans="1:68">
      <c r="A240" s="77" t="s">
        <v>453</v>
      </c>
      <c r="B240" s="1" t="str">
        <f>銘柄管理!C240</f>
        <v/>
      </c>
      <c r="C240" s="1" t="str">
        <f>_xll.RssMarket("7609","始値")</f>
        <v/>
      </c>
      <c r="E240" s="1">
        <v>3345</v>
      </c>
      <c r="F240" s="1">
        <v>3395</v>
      </c>
      <c r="G240" s="1">
        <v>3355</v>
      </c>
      <c r="H240" s="1">
        <v>3550</v>
      </c>
      <c r="I240" s="1">
        <v>3520</v>
      </c>
      <c r="J240" s="1">
        <v>3460</v>
      </c>
      <c r="K240" s="1">
        <v>3415</v>
      </c>
      <c r="L240" s="1">
        <v>3610</v>
      </c>
      <c r="M240" s="1">
        <v>3705</v>
      </c>
      <c r="N240" s="1">
        <v>3515</v>
      </c>
      <c r="O240" s="1">
        <v>3715</v>
      </c>
      <c r="P240" s="1">
        <v>3740</v>
      </c>
      <c r="Q240" s="1">
        <v>3700</v>
      </c>
      <c r="R240" s="1">
        <v>3705</v>
      </c>
      <c r="S240" s="1">
        <v>3750</v>
      </c>
      <c r="T240" s="1">
        <v>3765</v>
      </c>
      <c r="U240" s="1">
        <v>3715</v>
      </c>
      <c r="V240" s="1">
        <v>3915</v>
      </c>
      <c r="W240" s="1">
        <v>3925</v>
      </c>
      <c r="X240" s="1">
        <v>3860</v>
      </c>
      <c r="Y240" s="1">
        <v>3775</v>
      </c>
      <c r="Z240" s="1">
        <v>3525</v>
      </c>
      <c r="AA240" s="1">
        <v>3630</v>
      </c>
      <c r="AB240" s="1">
        <v>3605</v>
      </c>
      <c r="AC240" s="1">
        <v>3490</v>
      </c>
      <c r="AD240" s="1">
        <v>3350</v>
      </c>
      <c r="AE240" s="1">
        <v>3525</v>
      </c>
      <c r="AF240" s="1">
        <v>3565</v>
      </c>
      <c r="AG240" s="1">
        <v>3735</v>
      </c>
      <c r="AH240" s="1">
        <v>3635</v>
      </c>
      <c r="AI240" s="1">
        <v>3640</v>
      </c>
      <c r="AJ240" s="1">
        <v>3495</v>
      </c>
      <c r="AK240" s="1">
        <v>3610</v>
      </c>
      <c r="AL240" s="1">
        <v>3480</v>
      </c>
      <c r="AM240" s="1">
        <v>3665</v>
      </c>
      <c r="AN240" s="1">
        <v>3620</v>
      </c>
      <c r="AO240" s="1">
        <v>3600</v>
      </c>
      <c r="AP240" s="1">
        <v>3540</v>
      </c>
      <c r="AQ240" s="1">
        <v>3535</v>
      </c>
      <c r="AR240" s="1">
        <v>3875</v>
      </c>
      <c r="AS240" s="1">
        <v>3840</v>
      </c>
      <c r="AT240" s="1">
        <v>4000</v>
      </c>
      <c r="AU240" s="1">
        <v>3920</v>
      </c>
      <c r="AV240" s="1">
        <v>3850</v>
      </c>
      <c r="AW240" s="1">
        <v>3935</v>
      </c>
      <c r="AX240" s="1">
        <v>3905</v>
      </c>
      <c r="AY240" s="1">
        <v>3850</v>
      </c>
      <c r="AZ240" s="1">
        <v>3290</v>
      </c>
      <c r="BA240" s="1">
        <v>2944</v>
      </c>
      <c r="BB240" s="1">
        <v>2870</v>
      </c>
      <c r="BC240" s="1">
        <v>2895</v>
      </c>
      <c r="BD240" s="1">
        <v>2891</v>
      </c>
      <c r="BE240" s="1">
        <v>2906</v>
      </c>
      <c r="BF240" s="1">
        <v>2827</v>
      </c>
      <c r="BG240" s="1">
        <v>2881</v>
      </c>
      <c r="BH240" s="1">
        <v>2877</v>
      </c>
      <c r="BI240" s="1">
        <v>2861</v>
      </c>
      <c r="BJ240" s="1">
        <v>2957</v>
      </c>
      <c r="BK240" s="1">
        <v>2885</v>
      </c>
      <c r="BL240" s="1">
        <v>2969</v>
      </c>
      <c r="BM240" s="1">
        <v>2832</v>
      </c>
      <c r="BN240" s="1">
        <v>2798</v>
      </c>
      <c r="BO240" s="1">
        <v>2791</v>
      </c>
      <c r="BP240" s="1">
        <v>2843</v>
      </c>
    </row>
    <row r="241" spans="1:68">
      <c r="A241" s="77" t="s">
        <v>454</v>
      </c>
      <c r="B241" s="1" t="str">
        <f>銘柄管理!C241</f>
        <v/>
      </c>
      <c r="C241" s="1" t="str">
        <f>_xll.RssMarket("7972","始値")</f>
        <v/>
      </c>
      <c r="E241" s="1">
        <v>2810</v>
      </c>
      <c r="F241" s="1">
        <v>2870</v>
      </c>
      <c r="G241" s="1">
        <v>2778</v>
      </c>
      <c r="H241" s="1">
        <v>2820</v>
      </c>
      <c r="I241" s="1">
        <v>2860</v>
      </c>
      <c r="J241" s="1">
        <v>2830</v>
      </c>
      <c r="K241" s="1">
        <v>2875</v>
      </c>
      <c r="L241" s="1">
        <v>2840</v>
      </c>
      <c r="M241" s="1">
        <v>2772</v>
      </c>
      <c r="N241" s="1">
        <v>2690</v>
      </c>
      <c r="O241" s="1">
        <v>2642</v>
      </c>
      <c r="P241" s="1">
        <v>2643</v>
      </c>
      <c r="Q241" s="1">
        <v>2675</v>
      </c>
      <c r="R241" s="1">
        <v>2640</v>
      </c>
      <c r="S241" s="1">
        <v>2621</v>
      </c>
      <c r="T241" s="1">
        <v>2588</v>
      </c>
      <c r="U241" s="1">
        <v>2525</v>
      </c>
      <c r="V241" s="1">
        <v>2584</v>
      </c>
      <c r="W241" s="1">
        <v>2499</v>
      </c>
      <c r="X241" s="1">
        <v>2486</v>
      </c>
      <c r="Y241" s="1">
        <v>2438</v>
      </c>
      <c r="Z241" s="1">
        <v>2455</v>
      </c>
      <c r="AA241" s="1">
        <v>2446</v>
      </c>
      <c r="AB241" s="1">
        <v>2480</v>
      </c>
      <c r="AC241" s="1">
        <v>2416</v>
      </c>
      <c r="AD241" s="1">
        <v>2396</v>
      </c>
      <c r="AE241" s="1">
        <v>2403</v>
      </c>
      <c r="AF241" s="1">
        <v>2381</v>
      </c>
      <c r="AG241" s="1">
        <v>2411</v>
      </c>
      <c r="AH241" s="1">
        <v>2396</v>
      </c>
      <c r="AI241" s="1">
        <v>2405</v>
      </c>
      <c r="AJ241" s="1">
        <v>2480</v>
      </c>
      <c r="AK241" s="1">
        <v>2619</v>
      </c>
      <c r="AL241" s="1">
        <v>2699</v>
      </c>
      <c r="AM241" s="1">
        <v>2700</v>
      </c>
      <c r="AN241" s="1">
        <v>2624</v>
      </c>
      <c r="AO241" s="1">
        <v>2611</v>
      </c>
      <c r="AP241" s="1">
        <v>2699</v>
      </c>
      <c r="AQ241" s="1">
        <v>2718</v>
      </c>
      <c r="AR241" s="1">
        <v>2737</v>
      </c>
      <c r="AS241" s="1">
        <v>2722</v>
      </c>
      <c r="AT241" s="1">
        <v>2789</v>
      </c>
      <c r="AU241" s="1">
        <v>2805</v>
      </c>
      <c r="AV241" s="1">
        <v>2799</v>
      </c>
      <c r="AW241" s="1">
        <v>2799</v>
      </c>
      <c r="AX241" s="1">
        <v>2894</v>
      </c>
      <c r="AY241" s="1">
        <v>2920</v>
      </c>
      <c r="AZ241" s="1">
        <v>3225</v>
      </c>
      <c r="BA241" s="1">
        <v>3145</v>
      </c>
      <c r="BB241" s="1">
        <v>3220</v>
      </c>
      <c r="BC241" s="1">
        <v>3215</v>
      </c>
      <c r="BD241" s="1">
        <v>3175</v>
      </c>
      <c r="BE241" s="1">
        <v>3195</v>
      </c>
      <c r="BF241" s="1">
        <v>3210</v>
      </c>
      <c r="BG241" s="1">
        <v>3295</v>
      </c>
      <c r="BH241" s="1">
        <v>3325</v>
      </c>
      <c r="BI241" s="1">
        <v>3315</v>
      </c>
      <c r="BJ241" s="1">
        <v>3335</v>
      </c>
      <c r="BK241" s="1">
        <v>3365</v>
      </c>
      <c r="BL241" s="1">
        <v>3590</v>
      </c>
      <c r="BM241" s="1">
        <v>3600</v>
      </c>
      <c r="BN241" s="1">
        <v>3505</v>
      </c>
      <c r="BO241" s="1">
        <v>3500</v>
      </c>
      <c r="BP241" s="1">
        <v>3480</v>
      </c>
    </row>
    <row r="242" spans="1:68">
      <c r="A242" s="77" t="s">
        <v>455</v>
      </c>
      <c r="B242" s="1" t="str">
        <f>銘柄管理!C242</f>
        <v/>
      </c>
      <c r="C242" s="1" t="str">
        <f>_xll.RssMarket("6521","始値")</f>
        <v/>
      </c>
      <c r="E242" s="1">
        <v>3550</v>
      </c>
      <c r="F242" s="1">
        <v>3850</v>
      </c>
      <c r="G242" s="1">
        <v>4175</v>
      </c>
      <c r="H242" s="1">
        <v>4300</v>
      </c>
      <c r="I242" s="1">
        <v>4330</v>
      </c>
      <c r="J242" s="1">
        <v>4140</v>
      </c>
      <c r="K242" s="1">
        <v>4080</v>
      </c>
      <c r="L242" s="1">
        <v>4420</v>
      </c>
      <c r="M242" s="1">
        <v>4540</v>
      </c>
      <c r="N242" s="1">
        <v>4415</v>
      </c>
      <c r="O242" s="1">
        <v>4530</v>
      </c>
      <c r="P242" s="1">
        <v>4835</v>
      </c>
      <c r="Q242" s="1">
        <v>4700</v>
      </c>
      <c r="R242" s="1">
        <v>4790</v>
      </c>
      <c r="S242" s="1">
        <v>4870</v>
      </c>
      <c r="T242" s="1">
        <v>5230</v>
      </c>
      <c r="U242" s="1">
        <v>4840</v>
      </c>
      <c r="V242" s="1">
        <v>5240</v>
      </c>
      <c r="W242" s="1">
        <v>5000</v>
      </c>
      <c r="X242" s="1">
        <v>4845</v>
      </c>
      <c r="Y242" s="1">
        <v>4790</v>
      </c>
      <c r="Z242" s="1">
        <v>4555</v>
      </c>
      <c r="AA242" s="1">
        <v>4505</v>
      </c>
      <c r="AB242" s="1">
        <v>4600</v>
      </c>
      <c r="AC242" s="1">
        <v>4570</v>
      </c>
      <c r="AD242" s="1">
        <v>4360</v>
      </c>
      <c r="AE242" s="1">
        <v>4695</v>
      </c>
      <c r="AF242" s="1">
        <v>4720</v>
      </c>
      <c r="AG242" s="1">
        <v>4870</v>
      </c>
      <c r="AH242" s="1">
        <v>5000</v>
      </c>
      <c r="AI242" s="1">
        <v>5260</v>
      </c>
      <c r="AJ242" s="1">
        <v>5230</v>
      </c>
      <c r="AK242" s="1">
        <v>5940</v>
      </c>
      <c r="AL242" s="1">
        <v>5620</v>
      </c>
      <c r="AM242" s="1">
        <v>5900</v>
      </c>
      <c r="AN242" s="1">
        <v>6450</v>
      </c>
      <c r="AO242" s="1">
        <v>5790</v>
      </c>
      <c r="AP242" s="1">
        <v>5940</v>
      </c>
      <c r="AQ242" s="1">
        <v>5850</v>
      </c>
      <c r="AR242" s="1">
        <v>6710</v>
      </c>
      <c r="AS242" s="1">
        <v>6330</v>
      </c>
      <c r="AT242" s="1">
        <v>6500</v>
      </c>
      <c r="AU242" s="1">
        <v>6320</v>
      </c>
      <c r="AV242" s="1">
        <v>6050</v>
      </c>
      <c r="AW242" s="1">
        <v>6540</v>
      </c>
      <c r="AX242" s="1">
        <v>6710</v>
      </c>
      <c r="AY242" s="1">
        <v>5150</v>
      </c>
      <c r="AZ242" s="1">
        <v>4800</v>
      </c>
      <c r="BA242" s="1">
        <v>4580</v>
      </c>
      <c r="BB242" s="1">
        <v>4750</v>
      </c>
      <c r="BC242" s="1">
        <v>4600</v>
      </c>
      <c r="BD242" s="1">
        <v>4710</v>
      </c>
      <c r="BE242" s="1">
        <v>4670</v>
      </c>
      <c r="BF242" s="1">
        <v>4895</v>
      </c>
      <c r="BG242" s="1">
        <v>5140</v>
      </c>
      <c r="BH242" s="1">
        <v>4595</v>
      </c>
      <c r="BI242" s="1">
        <v>4120</v>
      </c>
      <c r="BJ242" s="1">
        <v>4485</v>
      </c>
      <c r="BK242" s="1">
        <v>4350</v>
      </c>
      <c r="BL242" s="1">
        <v>4990</v>
      </c>
      <c r="BM242" s="1">
        <v>5150</v>
      </c>
      <c r="BN242" s="1">
        <v>4645</v>
      </c>
      <c r="BO242" s="1">
        <v>4595</v>
      </c>
      <c r="BP242" s="1">
        <v>4455</v>
      </c>
    </row>
    <row r="243" spans="1:68">
      <c r="A243" s="77" t="s">
        <v>456</v>
      </c>
      <c r="B243" s="1" t="str">
        <f>銘柄管理!C243</f>
        <v/>
      </c>
      <c r="C243" s="1" t="str">
        <f>_xll.RssMarket("9165","始値")</f>
        <v/>
      </c>
      <c r="E243" s="1">
        <v>1700</v>
      </c>
      <c r="F243" s="1">
        <v>1745</v>
      </c>
      <c r="G243" s="1">
        <v>1747</v>
      </c>
      <c r="H243" s="1">
        <v>1753</v>
      </c>
      <c r="I243" s="1">
        <v>1775</v>
      </c>
      <c r="J243" s="1">
        <v>1745</v>
      </c>
      <c r="K243" s="1">
        <v>1729</v>
      </c>
      <c r="L243" s="1">
        <v>1753</v>
      </c>
      <c r="M243" s="1">
        <v>1777</v>
      </c>
      <c r="N243" s="1">
        <v>1734</v>
      </c>
      <c r="O243" s="1">
        <v>1761</v>
      </c>
      <c r="P243" s="1">
        <v>1735</v>
      </c>
      <c r="Q243" s="1">
        <v>1706</v>
      </c>
      <c r="R243" s="1">
        <v>1730</v>
      </c>
      <c r="S243" s="1">
        <v>1750</v>
      </c>
      <c r="T243" s="1">
        <v>1742</v>
      </c>
      <c r="U243" s="1">
        <v>1761</v>
      </c>
      <c r="V243" s="1">
        <v>1819</v>
      </c>
      <c r="W243" s="1">
        <v>1724</v>
      </c>
      <c r="X243" s="1">
        <v>1746</v>
      </c>
      <c r="Y243" s="1">
        <v>1692</v>
      </c>
      <c r="Z243" s="1">
        <v>1686</v>
      </c>
      <c r="AA243" s="1">
        <v>1711</v>
      </c>
      <c r="AB243" s="1">
        <v>1718</v>
      </c>
      <c r="AC243" s="1">
        <v>1701</v>
      </c>
      <c r="AD243" s="1">
        <v>1667</v>
      </c>
      <c r="AE243" s="1">
        <v>1714</v>
      </c>
      <c r="AF243" s="1">
        <v>1761</v>
      </c>
      <c r="AG243" s="1">
        <v>1801</v>
      </c>
      <c r="AH243" s="1">
        <v>1808</v>
      </c>
      <c r="AI243" s="1">
        <v>1781</v>
      </c>
      <c r="AJ243" s="1">
        <v>1815</v>
      </c>
      <c r="AK243" s="1">
        <v>1872</v>
      </c>
      <c r="AL243" s="1">
        <v>1928</v>
      </c>
      <c r="AM243" s="1">
        <v>2067</v>
      </c>
      <c r="AN243" s="1">
        <v>2350</v>
      </c>
      <c r="AO243" s="1">
        <v>1790</v>
      </c>
      <c r="AP243" s="1">
        <v>1825</v>
      </c>
      <c r="AQ243" s="1">
        <v>1850</v>
      </c>
      <c r="AR243" s="1">
        <v>1850</v>
      </c>
      <c r="AS243" s="1">
        <v>1712</v>
      </c>
      <c r="AT243" s="1">
        <v>1736</v>
      </c>
      <c r="AU243" s="1">
        <v>1784</v>
      </c>
      <c r="AV243" s="1">
        <v>1725</v>
      </c>
      <c r="AW243" s="1">
        <v>1850</v>
      </c>
      <c r="AX243" s="1">
        <v>1840</v>
      </c>
      <c r="AY243" s="1">
        <v>1680</v>
      </c>
      <c r="AZ243" s="1">
        <v>1476</v>
      </c>
      <c r="BA243" s="1">
        <v>1471</v>
      </c>
      <c r="BB243" s="1">
        <v>1479</v>
      </c>
      <c r="BC243" s="1">
        <v>1460</v>
      </c>
      <c r="BD243" s="1">
        <v>1480</v>
      </c>
      <c r="BE243" s="1">
        <v>1468</v>
      </c>
      <c r="BF243" s="1">
        <v>1467</v>
      </c>
      <c r="BG243" s="1">
        <v>1470</v>
      </c>
      <c r="BH243" s="1">
        <v>1450</v>
      </c>
      <c r="BI243" s="1">
        <v>1447</v>
      </c>
      <c r="BJ243" s="1">
        <v>1464</v>
      </c>
      <c r="BK243" s="1">
        <v>1458</v>
      </c>
      <c r="BL243" s="1">
        <v>1456</v>
      </c>
      <c r="BM243" s="1">
        <v>1445</v>
      </c>
      <c r="BN243" s="1">
        <v>1430</v>
      </c>
      <c r="BO243" s="1">
        <v>1434</v>
      </c>
      <c r="BP243" s="1">
        <v>1494</v>
      </c>
    </row>
    <row r="244" spans="1:68">
      <c r="A244" s="77" t="s">
        <v>457</v>
      </c>
      <c r="B244" s="1" t="str">
        <f>銘柄管理!C244</f>
        <v/>
      </c>
      <c r="C244" s="1" t="str">
        <f>_xll.RssMarket("6902","始値")</f>
        <v/>
      </c>
      <c r="E244" s="1">
        <v>1971</v>
      </c>
      <c r="F244" s="1">
        <v>1957</v>
      </c>
      <c r="G244" s="1">
        <v>1941</v>
      </c>
      <c r="H244" s="1">
        <v>1937</v>
      </c>
      <c r="I244" s="1">
        <v>1958.5</v>
      </c>
      <c r="J244" s="1">
        <v>1925</v>
      </c>
      <c r="K244" s="1">
        <v>1970</v>
      </c>
      <c r="L244" s="1">
        <v>2016</v>
      </c>
      <c r="M244" s="1">
        <v>1980</v>
      </c>
      <c r="N244" s="1">
        <v>1969</v>
      </c>
      <c r="O244" s="1">
        <v>1898</v>
      </c>
      <c r="P244" s="1">
        <v>1878</v>
      </c>
      <c r="Q244" s="1">
        <v>1896</v>
      </c>
      <c r="R244" s="1">
        <v>1892</v>
      </c>
      <c r="S244" s="1">
        <v>1879.5</v>
      </c>
      <c r="T244" s="1">
        <v>1890</v>
      </c>
      <c r="U244" s="1">
        <v>1885</v>
      </c>
      <c r="V244" s="1">
        <v>1888</v>
      </c>
      <c r="W244" s="1">
        <v>1930</v>
      </c>
      <c r="X244" s="1">
        <v>1917</v>
      </c>
      <c r="Y244" s="1">
        <v>1920</v>
      </c>
      <c r="Z244" s="1">
        <v>1886.5</v>
      </c>
      <c r="AA244" s="1">
        <v>1886</v>
      </c>
      <c r="AB244" s="1">
        <v>1851</v>
      </c>
      <c r="AC244" s="1">
        <v>1824</v>
      </c>
      <c r="AD244" s="1">
        <v>1920</v>
      </c>
      <c r="AE244" s="1">
        <v>1880</v>
      </c>
      <c r="AF244" s="1">
        <v>1907</v>
      </c>
      <c r="AG244" s="1">
        <v>1904.5</v>
      </c>
      <c r="AH244" s="1">
        <v>1874.5</v>
      </c>
      <c r="AI244" s="1">
        <v>1853</v>
      </c>
      <c r="AJ244" s="1">
        <v>1870</v>
      </c>
      <c r="AK244" s="1">
        <v>1889</v>
      </c>
      <c r="AL244" s="1">
        <v>1860</v>
      </c>
      <c r="AM244" s="1">
        <v>1850</v>
      </c>
      <c r="AN244" s="1">
        <v>1860</v>
      </c>
      <c r="AO244" s="1">
        <v>1865</v>
      </c>
      <c r="AP244" s="1">
        <v>1866</v>
      </c>
      <c r="AQ244" s="1">
        <v>1900</v>
      </c>
      <c r="AR244" s="1">
        <v>1885.5</v>
      </c>
      <c r="AS244" s="1">
        <v>1850</v>
      </c>
      <c r="AT244" s="1">
        <v>1872</v>
      </c>
      <c r="AU244" s="1">
        <v>1871</v>
      </c>
      <c r="AV244" s="1">
        <v>1888</v>
      </c>
      <c r="AW244" s="1">
        <v>1945</v>
      </c>
      <c r="AX244" s="1">
        <v>1895</v>
      </c>
      <c r="AY244" s="1">
        <v>1850</v>
      </c>
      <c r="AZ244" s="1">
        <v>1843</v>
      </c>
      <c r="BA244" s="1">
        <v>1914</v>
      </c>
      <c r="BB244" s="1">
        <v>1895.5</v>
      </c>
      <c r="BC244" s="1">
        <v>1890</v>
      </c>
      <c r="BD244" s="1">
        <v>1916.5</v>
      </c>
      <c r="BE244" s="1">
        <v>1933</v>
      </c>
      <c r="BF244" s="1">
        <v>1970</v>
      </c>
      <c r="BG244" s="1">
        <v>1953</v>
      </c>
      <c r="BH244" s="1">
        <v>1931</v>
      </c>
      <c r="BI244" s="1">
        <v>1924</v>
      </c>
      <c r="BJ244" s="1">
        <v>1938</v>
      </c>
      <c r="BK244" s="1">
        <v>1930</v>
      </c>
      <c r="BL244" s="1">
        <v>1911</v>
      </c>
      <c r="BM244" s="1">
        <v>1951.5</v>
      </c>
      <c r="BN244" s="1">
        <v>1986.5</v>
      </c>
      <c r="BO244" s="1">
        <v>1973.5</v>
      </c>
      <c r="BP244" s="1">
        <v>1911.5</v>
      </c>
    </row>
    <row r="245" spans="1:68">
      <c r="A245" s="77" t="s">
        <v>458</v>
      </c>
      <c r="B245" s="1" t="str">
        <f>銘柄管理!C245</f>
        <v/>
      </c>
      <c r="C245" s="1" t="str">
        <f>_xll.RssMarket("3936","始値")</f>
        <v/>
      </c>
      <c r="E245" s="1">
        <v>162</v>
      </c>
      <c r="F245" s="1">
        <v>164</v>
      </c>
      <c r="G245" s="1">
        <v>159</v>
      </c>
      <c r="H245" s="1">
        <v>161</v>
      </c>
      <c r="I245" s="1">
        <v>155</v>
      </c>
      <c r="J245" s="1">
        <v>151</v>
      </c>
      <c r="K245" s="1">
        <v>152</v>
      </c>
      <c r="L245" s="1">
        <v>160</v>
      </c>
      <c r="M245" s="1">
        <v>157</v>
      </c>
      <c r="N245" s="1">
        <v>149</v>
      </c>
      <c r="O245" s="1">
        <v>147</v>
      </c>
      <c r="P245" s="1">
        <v>148</v>
      </c>
      <c r="Q245" s="1">
        <v>151</v>
      </c>
      <c r="R245" s="1">
        <v>157</v>
      </c>
      <c r="S245" s="1">
        <v>159</v>
      </c>
      <c r="T245" s="1">
        <v>158</v>
      </c>
      <c r="U245" s="1">
        <v>160</v>
      </c>
      <c r="V245" s="1">
        <v>165</v>
      </c>
      <c r="W245" s="1">
        <v>166</v>
      </c>
      <c r="X245" s="1">
        <v>170</v>
      </c>
      <c r="Y245" s="1">
        <v>155</v>
      </c>
      <c r="Z245" s="1">
        <v>156</v>
      </c>
      <c r="AA245" s="1">
        <v>162</v>
      </c>
      <c r="AB245" s="1">
        <v>165</v>
      </c>
      <c r="AC245" s="1">
        <v>168</v>
      </c>
      <c r="AD245" s="1">
        <v>173</v>
      </c>
      <c r="AE245" s="1">
        <v>174</v>
      </c>
      <c r="AF245" s="1">
        <v>171</v>
      </c>
      <c r="AG245" s="1">
        <v>174</v>
      </c>
      <c r="AH245" s="1">
        <v>168</v>
      </c>
      <c r="AI245" s="1">
        <v>165</v>
      </c>
      <c r="AJ245" s="1">
        <v>170</v>
      </c>
      <c r="AK245" s="1">
        <v>157</v>
      </c>
      <c r="AL245" s="1">
        <v>164</v>
      </c>
      <c r="AM245" s="1">
        <v>158</v>
      </c>
      <c r="AN245" s="1">
        <v>163</v>
      </c>
      <c r="AO245" s="1">
        <v>168</v>
      </c>
      <c r="AP245" s="1">
        <v>177</v>
      </c>
      <c r="AQ245" s="1">
        <v>166</v>
      </c>
      <c r="AR245" s="1">
        <v>167</v>
      </c>
      <c r="AS245" s="1">
        <v>211</v>
      </c>
      <c r="AT245" s="1">
        <v>206</v>
      </c>
      <c r="AU245" s="1">
        <v>170</v>
      </c>
      <c r="AV245" s="1">
        <v>177</v>
      </c>
      <c r="AW245" s="1">
        <v>169</v>
      </c>
      <c r="AX245" s="1">
        <v>174</v>
      </c>
      <c r="AY245" s="1">
        <v>177</v>
      </c>
      <c r="AZ245" s="1">
        <v>170</v>
      </c>
      <c r="BA245" s="1">
        <v>183</v>
      </c>
      <c r="BB245" s="1">
        <v>205</v>
      </c>
      <c r="BC245" s="1">
        <v>231</v>
      </c>
      <c r="BD245" s="1">
        <v>251</v>
      </c>
      <c r="BE245" s="1">
        <v>192</v>
      </c>
      <c r="BF245" s="1">
        <v>212</v>
      </c>
      <c r="BG245" s="1">
        <v>154</v>
      </c>
      <c r="BH245" s="1">
        <v>131</v>
      </c>
      <c r="BI245" s="1">
        <v>127</v>
      </c>
      <c r="BJ245" s="1">
        <v>124</v>
      </c>
      <c r="BK245" s="1">
        <v>125</v>
      </c>
      <c r="BL245" s="1">
        <v>125</v>
      </c>
      <c r="BM245" s="1">
        <v>128</v>
      </c>
      <c r="BN245" s="1">
        <v>129</v>
      </c>
      <c r="BO245" s="1">
        <v>128</v>
      </c>
      <c r="BP245" s="1">
        <v>126</v>
      </c>
    </row>
    <row r="246" spans="1:68">
      <c r="A246" s="77" t="s">
        <v>459</v>
      </c>
      <c r="B246" s="1" t="str">
        <f>銘柄管理!C246</f>
        <v/>
      </c>
      <c r="C246" s="1" t="str">
        <f>_xll.RssMarket("6928","始値")</f>
        <v/>
      </c>
      <c r="E246" s="1">
        <v>2735</v>
      </c>
      <c r="F246" s="1">
        <v>2870</v>
      </c>
      <c r="G246" s="1">
        <v>2891</v>
      </c>
      <c r="H246" s="1">
        <v>2838</v>
      </c>
      <c r="I246" s="1">
        <v>2760</v>
      </c>
      <c r="J246" s="1">
        <v>2780</v>
      </c>
      <c r="K246" s="1">
        <v>2900</v>
      </c>
      <c r="L246" s="1">
        <v>2911</v>
      </c>
      <c r="M246" s="1">
        <v>2895</v>
      </c>
      <c r="N246" s="1">
        <v>3000</v>
      </c>
      <c r="O246" s="1">
        <v>3090</v>
      </c>
      <c r="P246" s="1">
        <v>3135</v>
      </c>
      <c r="Q246" s="1">
        <v>3165</v>
      </c>
      <c r="R246" s="1">
        <v>3325</v>
      </c>
      <c r="S246" s="1">
        <v>3445</v>
      </c>
      <c r="T246" s="1">
        <v>3355</v>
      </c>
      <c r="U246" s="1">
        <v>3520</v>
      </c>
      <c r="V246" s="1">
        <v>3535</v>
      </c>
      <c r="W246" s="1">
        <v>3550</v>
      </c>
      <c r="X246" s="1">
        <v>3365</v>
      </c>
      <c r="Y246" s="1">
        <v>3275</v>
      </c>
      <c r="Z246" s="1">
        <v>3385</v>
      </c>
      <c r="AA246" s="1">
        <v>3230</v>
      </c>
      <c r="AB246" s="1">
        <v>3385</v>
      </c>
      <c r="AC246" s="1">
        <v>3355</v>
      </c>
      <c r="AD246" s="1">
        <v>3500</v>
      </c>
      <c r="AE246" s="1">
        <v>3495</v>
      </c>
      <c r="AF246" s="1">
        <v>3675</v>
      </c>
      <c r="AG246" s="1">
        <v>3700</v>
      </c>
      <c r="AH246" s="1">
        <v>3715</v>
      </c>
      <c r="AI246" s="1">
        <v>3880</v>
      </c>
      <c r="AJ246" s="1">
        <v>3795</v>
      </c>
      <c r="AK246" s="1">
        <v>3510</v>
      </c>
      <c r="AL246" s="1">
        <v>3745</v>
      </c>
      <c r="AM246" s="1">
        <v>3650</v>
      </c>
      <c r="AN246" s="1">
        <v>3500</v>
      </c>
      <c r="AO246" s="1">
        <v>3570</v>
      </c>
      <c r="AP246" s="1">
        <v>3475</v>
      </c>
      <c r="AQ246" s="1">
        <v>3560</v>
      </c>
      <c r="AR246" s="1">
        <v>3470</v>
      </c>
      <c r="AS246" s="1">
        <v>3505</v>
      </c>
      <c r="AT246" s="1">
        <v>3530</v>
      </c>
      <c r="AU246" s="1">
        <v>3415</v>
      </c>
      <c r="AV246" s="1">
        <v>3480</v>
      </c>
      <c r="AW246" s="1">
        <v>3760</v>
      </c>
      <c r="AX246" s="1">
        <v>3530</v>
      </c>
      <c r="AY246" s="1">
        <v>3580</v>
      </c>
      <c r="AZ246" s="1">
        <v>3295</v>
      </c>
      <c r="BA246" s="1">
        <v>3150</v>
      </c>
      <c r="BB246" s="1">
        <v>3165</v>
      </c>
      <c r="BC246" s="1">
        <v>3165</v>
      </c>
      <c r="BD246" s="1">
        <v>3165</v>
      </c>
      <c r="BE246" s="1">
        <v>3185</v>
      </c>
      <c r="BF246" s="1">
        <v>3185</v>
      </c>
      <c r="BG246" s="1">
        <v>3230</v>
      </c>
      <c r="BH246" s="1">
        <v>3270</v>
      </c>
      <c r="BI246" s="1">
        <v>3335</v>
      </c>
      <c r="BJ246" s="1">
        <v>3290</v>
      </c>
      <c r="BK246" s="1">
        <v>3255</v>
      </c>
      <c r="BL246" s="1">
        <v>3220</v>
      </c>
      <c r="BM246" s="1">
        <v>3125</v>
      </c>
      <c r="BN246" s="1">
        <v>3110</v>
      </c>
      <c r="BO246" s="1">
        <v>3090</v>
      </c>
    </row>
    <row r="247" spans="1:68">
      <c r="A247" s="77" t="s">
        <v>460</v>
      </c>
      <c r="B247" s="1" t="str">
        <f>銘柄管理!C247</f>
        <v/>
      </c>
      <c r="C247" s="1" t="str">
        <f>_xll.RssMarket("5632","始値")</f>
        <v/>
      </c>
      <c r="E247" s="1">
        <v>2145</v>
      </c>
      <c r="F247" s="1">
        <v>2170</v>
      </c>
      <c r="G247" s="1">
        <v>2109</v>
      </c>
      <c r="H247" s="1">
        <v>2137</v>
      </c>
      <c r="I247" s="1">
        <v>2114</v>
      </c>
      <c r="J247" s="1">
        <v>2122</v>
      </c>
      <c r="K247" s="1">
        <v>2158</v>
      </c>
      <c r="L247" s="1">
        <v>2208</v>
      </c>
      <c r="M247" s="1">
        <v>2211</v>
      </c>
      <c r="N247" s="1">
        <v>2169</v>
      </c>
      <c r="O247" s="1">
        <v>2117</v>
      </c>
      <c r="P247" s="1">
        <v>2152</v>
      </c>
      <c r="Q247" s="1">
        <v>2180</v>
      </c>
      <c r="R247" s="1">
        <v>2200</v>
      </c>
      <c r="S247" s="1">
        <v>2228</v>
      </c>
      <c r="T247" s="1">
        <v>2250</v>
      </c>
      <c r="U247" s="1">
        <v>2258</v>
      </c>
      <c r="V247" s="1">
        <v>2430</v>
      </c>
      <c r="W247" s="1">
        <v>2333</v>
      </c>
      <c r="X247" s="1">
        <v>2301</v>
      </c>
      <c r="Y247" s="1">
        <v>2169</v>
      </c>
      <c r="Z247" s="1">
        <v>2162</v>
      </c>
      <c r="AA247" s="1">
        <v>2200</v>
      </c>
      <c r="AB247" s="1">
        <v>2175</v>
      </c>
      <c r="AC247" s="1">
        <v>2133</v>
      </c>
      <c r="AD247" s="1">
        <v>2100</v>
      </c>
      <c r="AE247" s="1">
        <v>2089</v>
      </c>
      <c r="AF247" s="1">
        <v>2100</v>
      </c>
      <c r="AG247" s="1">
        <v>2120</v>
      </c>
      <c r="AH247" s="1">
        <v>2060</v>
      </c>
      <c r="AI247" s="1">
        <v>2099</v>
      </c>
      <c r="AJ247" s="1">
        <v>2088</v>
      </c>
      <c r="AK247" s="1">
        <v>2128</v>
      </c>
      <c r="AL247" s="1">
        <v>2122</v>
      </c>
      <c r="AM247" s="1">
        <v>2115</v>
      </c>
      <c r="AN247" s="1">
        <v>2155</v>
      </c>
      <c r="AO247" s="1">
        <v>2110</v>
      </c>
      <c r="AP247" s="1">
        <v>2048</v>
      </c>
      <c r="AQ247" s="1">
        <v>2061</v>
      </c>
      <c r="AR247" s="1">
        <v>2080</v>
      </c>
      <c r="AS247" s="1">
        <v>2145</v>
      </c>
      <c r="AT247" s="1">
        <v>2074</v>
      </c>
      <c r="AU247" s="1">
        <v>2020</v>
      </c>
      <c r="AV247" s="1">
        <v>1865</v>
      </c>
      <c r="AW247" s="1">
        <v>1902</v>
      </c>
      <c r="AX247" s="1">
        <v>1840</v>
      </c>
      <c r="AY247" s="1">
        <v>1853</v>
      </c>
      <c r="AZ247" s="1">
        <v>1838</v>
      </c>
      <c r="BA247" s="1">
        <v>1791</v>
      </c>
      <c r="BB247" s="1">
        <v>1805</v>
      </c>
      <c r="BC247" s="1">
        <v>1780</v>
      </c>
      <c r="BD247" s="1">
        <v>1793</v>
      </c>
      <c r="BE247" s="1">
        <v>1804</v>
      </c>
      <c r="BF247" s="1">
        <v>1804</v>
      </c>
      <c r="BG247" s="1">
        <v>1833</v>
      </c>
      <c r="BH247" s="1">
        <v>1843</v>
      </c>
      <c r="BI247" s="1">
        <v>1841</v>
      </c>
      <c r="BJ247" s="1">
        <v>1826</v>
      </c>
      <c r="BK247" s="1">
        <v>1828</v>
      </c>
      <c r="BL247" s="1">
        <v>1833</v>
      </c>
      <c r="BM247" s="1">
        <v>1802</v>
      </c>
      <c r="BN247" s="1">
        <v>1788</v>
      </c>
      <c r="BO247" s="1">
        <v>1821</v>
      </c>
      <c r="BP247" s="1">
        <v>1846</v>
      </c>
    </row>
    <row r="248" spans="1:68">
      <c r="A248" s="77" t="s">
        <v>461</v>
      </c>
      <c r="B248" s="1" t="str">
        <f>銘柄管理!C248</f>
        <v/>
      </c>
      <c r="C248" s="1" t="str">
        <f>_xll.RssMarket("6098","始値")</f>
        <v/>
      </c>
      <c r="E248" s="1">
        <v>12715</v>
      </c>
      <c r="F248" s="1">
        <v>12360</v>
      </c>
      <c r="G248" s="1">
        <v>12600</v>
      </c>
      <c r="H248" s="1">
        <v>12005</v>
      </c>
      <c r="I248" s="1">
        <v>12605</v>
      </c>
      <c r="J248" s="1">
        <v>12325</v>
      </c>
      <c r="K248" s="1">
        <v>12320</v>
      </c>
      <c r="L248" s="1">
        <v>12000</v>
      </c>
      <c r="M248" s="1">
        <v>11765</v>
      </c>
      <c r="N248" s="1">
        <v>11885</v>
      </c>
      <c r="O248" s="1">
        <v>11985</v>
      </c>
      <c r="P248" s="1">
        <v>11630</v>
      </c>
      <c r="Q248" s="1">
        <v>11335</v>
      </c>
      <c r="R248" s="1">
        <v>11310</v>
      </c>
      <c r="S248" s="1">
        <v>11220</v>
      </c>
      <c r="T248" s="1">
        <v>11335</v>
      </c>
      <c r="U248" s="1">
        <v>11045</v>
      </c>
      <c r="V248" s="1">
        <v>11300</v>
      </c>
      <c r="W248" s="1">
        <v>10820</v>
      </c>
      <c r="X248" s="1">
        <v>11030</v>
      </c>
      <c r="Y248" s="1">
        <v>11300</v>
      </c>
      <c r="Z248" s="1">
        <v>10640</v>
      </c>
      <c r="AA248" s="1">
        <v>10560</v>
      </c>
      <c r="AB248" s="1">
        <v>10800</v>
      </c>
      <c r="AC248" s="1">
        <v>11140</v>
      </c>
      <c r="AD248" s="1">
        <v>11080</v>
      </c>
      <c r="AE248" s="1">
        <v>11400</v>
      </c>
      <c r="AF248" s="1">
        <v>10775</v>
      </c>
      <c r="AG248" s="1">
        <v>10915</v>
      </c>
      <c r="AH248" s="1">
        <v>10620</v>
      </c>
      <c r="AI248" s="1">
        <v>10930</v>
      </c>
      <c r="AJ248" s="1">
        <v>11105</v>
      </c>
      <c r="AK248" s="1">
        <v>10375</v>
      </c>
      <c r="AL248" s="1">
        <v>9951</v>
      </c>
      <c r="AM248" s="1">
        <v>10075</v>
      </c>
      <c r="AN248" s="1">
        <v>9693</v>
      </c>
      <c r="AO248" s="1">
        <v>9414</v>
      </c>
      <c r="AP248" s="1">
        <v>9648</v>
      </c>
      <c r="AQ248" s="1">
        <v>9990</v>
      </c>
      <c r="AR248" s="1">
        <v>9322</v>
      </c>
      <c r="AS248" s="1">
        <v>9025</v>
      </c>
      <c r="AT248" s="1">
        <v>7805</v>
      </c>
      <c r="AU248" s="1">
        <v>7680</v>
      </c>
      <c r="AV248" s="1">
        <v>7688</v>
      </c>
      <c r="AW248" s="1">
        <v>7616</v>
      </c>
      <c r="AX248" s="1">
        <v>7822</v>
      </c>
      <c r="AY248" s="1">
        <v>7848</v>
      </c>
      <c r="AZ248" s="1">
        <v>7570</v>
      </c>
      <c r="BA248" s="1">
        <v>7204</v>
      </c>
      <c r="BB248" s="1">
        <v>7164</v>
      </c>
      <c r="BC248" s="1">
        <v>7452</v>
      </c>
      <c r="BD248" s="1">
        <v>7340</v>
      </c>
      <c r="BE248" s="1">
        <v>7380</v>
      </c>
      <c r="BF248" s="1">
        <v>7567</v>
      </c>
      <c r="BG248" s="1">
        <v>7853</v>
      </c>
      <c r="BH248" s="1">
        <v>7620</v>
      </c>
      <c r="BI248" s="1">
        <v>7524</v>
      </c>
      <c r="BJ248" s="1">
        <v>7300</v>
      </c>
      <c r="BK248" s="1">
        <v>7327</v>
      </c>
      <c r="BL248" s="1">
        <v>6966</v>
      </c>
      <c r="BM248" s="1">
        <v>7096</v>
      </c>
      <c r="BN248" s="1">
        <v>6975</v>
      </c>
      <c r="BO248" s="1">
        <v>7035</v>
      </c>
      <c r="BP248" s="1">
        <v>7210</v>
      </c>
    </row>
    <row r="249" spans="1:68">
      <c r="A249" s="77" t="s">
        <v>462</v>
      </c>
      <c r="B249" s="1" t="str">
        <f>銘柄管理!C249</f>
        <v/>
      </c>
      <c r="C249" s="1" t="str">
        <f>_xll.RssMarket("6361","始値")</f>
        <v/>
      </c>
      <c r="E249" s="1">
        <v>5650</v>
      </c>
      <c r="F249" s="1">
        <v>6181</v>
      </c>
      <c r="G249" s="1">
        <v>5772</v>
      </c>
      <c r="H249" s="1">
        <v>6080</v>
      </c>
      <c r="I249" s="1">
        <v>5995</v>
      </c>
      <c r="J249" s="1">
        <v>5871</v>
      </c>
      <c r="K249" s="1">
        <v>5741</v>
      </c>
      <c r="L249" s="1">
        <v>6130</v>
      </c>
      <c r="M249" s="1">
        <v>6163</v>
      </c>
      <c r="N249" s="1">
        <v>5800</v>
      </c>
      <c r="O249" s="1">
        <v>6100</v>
      </c>
      <c r="P249" s="1">
        <v>6266</v>
      </c>
      <c r="Q249" s="1">
        <v>6264</v>
      </c>
      <c r="R249" s="1">
        <v>6155</v>
      </c>
      <c r="S249" s="1">
        <v>6410</v>
      </c>
      <c r="T249" s="1">
        <v>6379</v>
      </c>
      <c r="U249" s="1">
        <v>6302</v>
      </c>
      <c r="V249" s="1">
        <v>6711</v>
      </c>
      <c r="W249" s="1">
        <v>6565</v>
      </c>
      <c r="X249" s="1">
        <v>6825</v>
      </c>
      <c r="Y249" s="1">
        <v>6578</v>
      </c>
      <c r="Z249" s="1">
        <v>6093</v>
      </c>
      <c r="AA249" s="1">
        <v>6284</v>
      </c>
      <c r="AB249" s="1">
        <v>5765</v>
      </c>
      <c r="AC249" s="1">
        <v>5476</v>
      </c>
      <c r="AD249" s="1">
        <v>5065</v>
      </c>
      <c r="AE249" s="1">
        <v>5283</v>
      </c>
      <c r="AF249" s="1">
        <v>4982</v>
      </c>
      <c r="AG249" s="1">
        <v>5471</v>
      </c>
      <c r="AH249" s="1">
        <v>5555</v>
      </c>
      <c r="AI249" s="1">
        <v>5279</v>
      </c>
      <c r="AJ249" s="1">
        <v>5698</v>
      </c>
      <c r="AK249" s="1">
        <v>5599</v>
      </c>
      <c r="AL249" s="1">
        <v>5572</v>
      </c>
      <c r="AM249" s="1">
        <v>5742</v>
      </c>
      <c r="AN249" s="1">
        <v>5697</v>
      </c>
      <c r="AO249" s="1">
        <v>5393</v>
      </c>
      <c r="AP249" s="1">
        <v>5100</v>
      </c>
      <c r="AQ249" s="1">
        <v>4980</v>
      </c>
      <c r="AR249" s="1">
        <v>5398</v>
      </c>
      <c r="AS249" s="1">
        <v>5533</v>
      </c>
      <c r="AT249" s="1">
        <v>5819</v>
      </c>
      <c r="AU249" s="1">
        <v>5797</v>
      </c>
      <c r="AV249" s="1">
        <v>5666</v>
      </c>
      <c r="AW249" s="1">
        <v>5945</v>
      </c>
      <c r="AX249" s="1">
        <v>5800</v>
      </c>
      <c r="AY249" s="1">
        <v>5749</v>
      </c>
      <c r="AZ249" s="1">
        <v>5742</v>
      </c>
      <c r="BA249" s="1">
        <v>5343</v>
      </c>
      <c r="BB249" s="1">
        <v>5523</v>
      </c>
      <c r="BC249" s="1">
        <v>5515</v>
      </c>
      <c r="BD249" s="1">
        <v>5370</v>
      </c>
      <c r="BE249" s="1">
        <v>5461</v>
      </c>
      <c r="BF249" s="1">
        <v>5390</v>
      </c>
      <c r="BG249" s="1">
        <v>5187</v>
      </c>
      <c r="BH249" s="1">
        <v>5193</v>
      </c>
      <c r="BI249" s="1">
        <v>5070</v>
      </c>
      <c r="BJ249" s="1">
        <v>5090</v>
      </c>
      <c r="BK249" s="1">
        <v>4993</v>
      </c>
      <c r="BL249" s="1">
        <v>5267</v>
      </c>
      <c r="BM249" s="1">
        <v>5254</v>
      </c>
      <c r="BN249" s="1">
        <v>5078</v>
      </c>
      <c r="BO249" s="1">
        <v>5063</v>
      </c>
      <c r="BP249" s="1">
        <v>5051</v>
      </c>
    </row>
    <row r="250" spans="1:68">
      <c r="A250" s="77" t="s">
        <v>463</v>
      </c>
      <c r="B250" s="1" t="str">
        <f>銘柄管理!C250</f>
        <v/>
      </c>
      <c r="C250" s="1" t="str">
        <f>_xll.RssMarket("155A","始値")</f>
        <v/>
      </c>
      <c r="E250" s="1">
        <v>879</v>
      </c>
      <c r="F250" s="1">
        <v>910</v>
      </c>
      <c r="G250" s="1">
        <v>907</v>
      </c>
      <c r="H250" s="1">
        <v>892</v>
      </c>
      <c r="I250" s="1">
        <v>882</v>
      </c>
      <c r="J250" s="1">
        <v>890</v>
      </c>
      <c r="K250" s="1">
        <v>900</v>
      </c>
      <c r="L250" s="1">
        <v>920</v>
      </c>
      <c r="M250" s="1">
        <v>897</v>
      </c>
      <c r="N250" s="1">
        <v>858</v>
      </c>
      <c r="O250" s="1">
        <v>866</v>
      </c>
      <c r="P250" s="1">
        <v>871</v>
      </c>
      <c r="Q250" s="1">
        <v>868</v>
      </c>
      <c r="R250" s="1">
        <v>840</v>
      </c>
      <c r="S250" s="1">
        <v>873</v>
      </c>
      <c r="T250" s="1">
        <v>844</v>
      </c>
      <c r="U250" s="1">
        <v>852</v>
      </c>
      <c r="V250" s="1">
        <v>915</v>
      </c>
      <c r="W250" s="1">
        <v>897</v>
      </c>
      <c r="X250" s="1">
        <v>888</v>
      </c>
      <c r="Y250" s="1">
        <v>875</v>
      </c>
      <c r="Z250" s="1">
        <v>830</v>
      </c>
      <c r="AA250" s="1">
        <v>847</v>
      </c>
      <c r="AB250" s="1">
        <v>850</v>
      </c>
      <c r="AC250" s="1">
        <v>860</v>
      </c>
      <c r="AD250" s="1">
        <v>880</v>
      </c>
      <c r="AE250" s="1">
        <v>838</v>
      </c>
      <c r="AF250" s="1">
        <v>840</v>
      </c>
      <c r="AG250" s="1">
        <v>834</v>
      </c>
      <c r="AH250" s="1">
        <v>835</v>
      </c>
      <c r="AI250" s="1">
        <v>822</v>
      </c>
      <c r="AJ250" s="1">
        <v>868</v>
      </c>
      <c r="AK250" s="1">
        <v>878</v>
      </c>
      <c r="AL250" s="1">
        <v>855</v>
      </c>
      <c r="AM250" s="1">
        <v>867</v>
      </c>
      <c r="AN250" s="1">
        <v>835</v>
      </c>
      <c r="AO250" s="1">
        <v>839</v>
      </c>
      <c r="AP250" s="1">
        <v>877</v>
      </c>
      <c r="AQ250" s="1">
        <v>893</v>
      </c>
      <c r="AR250" s="1">
        <v>904</v>
      </c>
      <c r="AS250" s="1">
        <v>874</v>
      </c>
      <c r="AT250" s="1">
        <v>777</v>
      </c>
      <c r="AU250" s="1">
        <v>788</v>
      </c>
      <c r="AV250" s="1">
        <v>799</v>
      </c>
      <c r="AW250" s="1">
        <v>810</v>
      </c>
      <c r="AX250" s="1">
        <v>817</v>
      </c>
      <c r="AY250" s="1">
        <v>803</v>
      </c>
      <c r="AZ250" s="1">
        <v>801</v>
      </c>
      <c r="BA250" s="1">
        <v>813</v>
      </c>
      <c r="BB250" s="1">
        <v>820</v>
      </c>
      <c r="BC250" s="1">
        <v>813</v>
      </c>
      <c r="BD250" s="1">
        <v>828</v>
      </c>
      <c r="BE250" s="1">
        <v>860</v>
      </c>
      <c r="BF250" s="1">
        <v>850</v>
      </c>
      <c r="BG250" s="1">
        <v>842</v>
      </c>
      <c r="BH250" s="1">
        <v>833</v>
      </c>
      <c r="BI250" s="1">
        <v>830</v>
      </c>
      <c r="BJ250" s="1">
        <v>829</v>
      </c>
      <c r="BK250" s="1">
        <v>813</v>
      </c>
      <c r="BL250" s="1">
        <v>817</v>
      </c>
      <c r="BM250" s="1">
        <v>811</v>
      </c>
      <c r="BN250" s="1">
        <v>847</v>
      </c>
      <c r="BO250" s="1">
        <v>873</v>
      </c>
      <c r="BP250" s="1">
        <v>868</v>
      </c>
    </row>
    <row r="251" spans="1:68">
      <c r="A251" s="77" t="s">
        <v>464</v>
      </c>
      <c r="B251" s="1" t="str">
        <f>銘柄管理!C251</f>
        <v/>
      </c>
      <c r="C251" s="1" t="str">
        <f>_xll.RssMarket("278A","始値")</f>
        <v/>
      </c>
      <c r="E251" s="1">
        <v>12420</v>
      </c>
      <c r="F251" s="1">
        <v>10750</v>
      </c>
      <c r="G251" s="1">
        <v>11000</v>
      </c>
      <c r="H251" s="1">
        <v>11760</v>
      </c>
      <c r="I251" s="1">
        <v>9500</v>
      </c>
      <c r="J251" s="1">
        <v>9200</v>
      </c>
      <c r="K251" s="1">
        <v>9090</v>
      </c>
      <c r="L251" s="1">
        <v>9600</v>
      </c>
      <c r="M251" s="1">
        <v>8860</v>
      </c>
      <c r="N251" s="1">
        <v>8160</v>
      </c>
      <c r="O251" s="1">
        <v>7910</v>
      </c>
      <c r="P251" s="1">
        <v>7770</v>
      </c>
      <c r="Q251" s="1">
        <v>7750</v>
      </c>
      <c r="R251" s="1">
        <v>7800</v>
      </c>
      <c r="S251" s="1">
        <v>7890</v>
      </c>
      <c r="T251" s="1">
        <v>8170</v>
      </c>
      <c r="U251" s="1">
        <v>8000</v>
      </c>
      <c r="V251" s="1">
        <v>8820</v>
      </c>
      <c r="W251" s="1">
        <v>7880</v>
      </c>
      <c r="X251" s="1">
        <v>8450</v>
      </c>
      <c r="Y251" s="1">
        <v>7980</v>
      </c>
      <c r="Z251" s="1">
        <v>9550</v>
      </c>
      <c r="AA251" s="1">
        <v>8750</v>
      </c>
      <c r="AB251" s="1">
        <v>7800</v>
      </c>
      <c r="AC251" s="1">
        <v>8720</v>
      </c>
      <c r="AD251" s="1">
        <v>8540</v>
      </c>
      <c r="AE251" s="1">
        <v>8900</v>
      </c>
      <c r="AF251" s="1">
        <v>8340</v>
      </c>
      <c r="AG251" s="1">
        <v>7900</v>
      </c>
      <c r="AH251" s="1">
        <v>8440</v>
      </c>
      <c r="AI251" s="1">
        <v>8410</v>
      </c>
      <c r="AJ251" s="1">
        <v>8850</v>
      </c>
      <c r="AK251" s="1">
        <v>10580</v>
      </c>
      <c r="AL251" s="1">
        <v>8900</v>
      </c>
      <c r="AM251" s="1">
        <v>9700</v>
      </c>
      <c r="AN251" s="1">
        <v>11300</v>
      </c>
      <c r="AO251" s="1">
        <v>10700</v>
      </c>
      <c r="AP251" s="1">
        <v>11510</v>
      </c>
      <c r="AQ251" s="1">
        <v>12000</v>
      </c>
      <c r="AR251" s="1">
        <v>13250</v>
      </c>
      <c r="AS251" s="1">
        <v>12700</v>
      </c>
      <c r="AT251" s="1">
        <v>11000</v>
      </c>
      <c r="AU251" s="1">
        <v>12240</v>
      </c>
      <c r="AV251" s="1">
        <v>10000</v>
      </c>
      <c r="AW251" s="1">
        <v>19600</v>
      </c>
      <c r="AX251" s="1">
        <v>15230</v>
      </c>
      <c r="AY251" s="1">
        <v>12020</v>
      </c>
      <c r="AZ251" s="1">
        <v>12570</v>
      </c>
      <c r="BA251" s="1">
        <v>10000</v>
      </c>
      <c r="BB251" s="1">
        <v>8220</v>
      </c>
      <c r="BC251" s="1">
        <v>7380</v>
      </c>
      <c r="BD251" s="1">
        <v>7990</v>
      </c>
      <c r="BE251" s="1">
        <v>8410</v>
      </c>
      <c r="BF251" s="1">
        <v>7820</v>
      </c>
      <c r="BG251" s="1">
        <v>7000</v>
      </c>
      <c r="BH251" s="1">
        <v>6650</v>
      </c>
      <c r="BI251" s="1">
        <v>6570</v>
      </c>
      <c r="BJ251" s="1">
        <v>6500</v>
      </c>
      <c r="BK251" s="1">
        <v>6500</v>
      </c>
      <c r="BL251" s="1">
        <v>5790</v>
      </c>
      <c r="BM251" s="1">
        <v>6000</v>
      </c>
      <c r="BN251" s="1">
        <v>5330</v>
      </c>
      <c r="BO251" s="1">
        <v>4475</v>
      </c>
      <c r="BP251" s="1">
        <v>4260</v>
      </c>
    </row>
    <row r="252" spans="1:68">
      <c r="A252" s="77" t="s">
        <v>465</v>
      </c>
      <c r="B252" s="1" t="str">
        <f>銘柄管理!C252</f>
        <v/>
      </c>
      <c r="C252" s="1" t="str">
        <f>_xll.RssMarket("300A","始値")</f>
        <v/>
      </c>
      <c r="E252" s="1">
        <v>2870</v>
      </c>
      <c r="F252" s="1">
        <v>2840</v>
      </c>
      <c r="G252" s="1">
        <v>2871</v>
      </c>
      <c r="H252" s="1">
        <v>2884</v>
      </c>
      <c r="I252" s="1">
        <v>2873</v>
      </c>
      <c r="J252" s="1">
        <v>2875</v>
      </c>
      <c r="K252" s="1">
        <v>2910</v>
      </c>
      <c r="L252" s="1">
        <v>2876</v>
      </c>
      <c r="M252" s="1">
        <v>2917</v>
      </c>
      <c r="N252" s="1">
        <v>2939</v>
      </c>
      <c r="O252" s="1">
        <v>2923</v>
      </c>
      <c r="P252" s="1">
        <v>2887</v>
      </c>
      <c r="Q252" s="1">
        <v>2944</v>
      </c>
      <c r="R252" s="1">
        <v>2850</v>
      </c>
      <c r="S252" s="1">
        <v>2790</v>
      </c>
      <c r="T252" s="1">
        <v>2800</v>
      </c>
      <c r="U252" s="1">
        <v>2777</v>
      </c>
      <c r="V252" s="1">
        <v>2800</v>
      </c>
      <c r="W252" s="1">
        <v>2790</v>
      </c>
      <c r="X252" s="1">
        <v>2800</v>
      </c>
      <c r="Y252" s="1">
        <v>2845</v>
      </c>
      <c r="Z252" s="1">
        <v>2810</v>
      </c>
      <c r="AA252" s="1">
        <v>2835</v>
      </c>
      <c r="AB252" s="1">
        <v>2867</v>
      </c>
      <c r="AC252" s="1">
        <v>2800</v>
      </c>
      <c r="AD252" s="1">
        <v>2797</v>
      </c>
      <c r="AE252" s="1">
        <v>2800</v>
      </c>
      <c r="AF252" s="1">
        <v>2774</v>
      </c>
      <c r="AG252" s="1">
        <v>2755</v>
      </c>
      <c r="AH252" s="1">
        <v>2799</v>
      </c>
      <c r="AI252" s="1">
        <v>2801</v>
      </c>
      <c r="AJ252" s="1">
        <v>2847</v>
      </c>
      <c r="AK252" s="1">
        <v>2899</v>
      </c>
      <c r="AL252" s="1">
        <v>2841</v>
      </c>
      <c r="AM252" s="1">
        <v>2871</v>
      </c>
      <c r="AN252" s="1">
        <v>2918</v>
      </c>
      <c r="AO252" s="1">
        <v>2864</v>
      </c>
      <c r="AP252" s="1">
        <v>2938</v>
      </c>
      <c r="AQ252" s="1">
        <v>2920</v>
      </c>
      <c r="AR252" s="1">
        <v>2848</v>
      </c>
      <c r="AS252" s="1">
        <v>2930</v>
      </c>
      <c r="AT252" s="1">
        <v>2904</v>
      </c>
      <c r="AU252" s="1">
        <v>2790</v>
      </c>
      <c r="AV252" s="1">
        <v>2760</v>
      </c>
      <c r="AW252" s="1">
        <v>2789</v>
      </c>
      <c r="AX252" s="1">
        <v>2782</v>
      </c>
      <c r="AY252" s="1">
        <v>2750</v>
      </c>
      <c r="AZ252" s="1">
        <v>2795</v>
      </c>
      <c r="BA252" s="1">
        <v>2769</v>
      </c>
      <c r="BB252" s="1">
        <v>2885</v>
      </c>
      <c r="BC252" s="1">
        <v>2783</v>
      </c>
      <c r="BD252" s="1">
        <v>2851</v>
      </c>
      <c r="BE252" s="1">
        <v>2934</v>
      </c>
      <c r="BF252" s="1">
        <v>3070</v>
      </c>
      <c r="BG252" s="1">
        <v>3095</v>
      </c>
      <c r="BH252" s="1">
        <v>3050</v>
      </c>
      <c r="BI252" s="1">
        <v>3000</v>
      </c>
      <c r="BJ252" s="1">
        <v>3005</v>
      </c>
      <c r="BK252" s="1">
        <v>2964</v>
      </c>
      <c r="BL252" s="1">
        <v>2942</v>
      </c>
      <c r="BM252" s="1">
        <v>2898</v>
      </c>
      <c r="BN252" s="1">
        <v>2878</v>
      </c>
      <c r="BO252" s="1">
        <v>2853</v>
      </c>
      <c r="BP252" s="1">
        <v>2830</v>
      </c>
    </row>
    <row r="253" spans="1:68">
      <c r="A253" s="77" t="s">
        <v>466</v>
      </c>
      <c r="B253" s="1" t="str">
        <f>銘柄管理!C253</f>
        <v/>
      </c>
      <c r="C253" s="1" t="str">
        <f>_xll.RssMarket("4776","始値")</f>
        <v/>
      </c>
      <c r="E253" s="1">
        <v>2610</v>
      </c>
      <c r="F253" s="1">
        <v>2561</v>
      </c>
      <c r="G253" s="1">
        <v>2600</v>
      </c>
      <c r="H253" s="1">
        <v>2602</v>
      </c>
      <c r="I253" s="1">
        <v>2623</v>
      </c>
      <c r="J253" s="1">
        <v>2590</v>
      </c>
      <c r="K253" s="1">
        <v>2631</v>
      </c>
      <c r="L253" s="1">
        <v>2599</v>
      </c>
      <c r="M253" s="1">
        <v>2498</v>
      </c>
      <c r="N253" s="1">
        <v>2531</v>
      </c>
      <c r="O253" s="1">
        <v>2386</v>
      </c>
      <c r="P253" s="1">
        <v>2238</v>
      </c>
      <c r="Q253" s="1">
        <v>2331</v>
      </c>
      <c r="R253" s="1">
        <v>2275</v>
      </c>
      <c r="S253" s="1">
        <v>2141</v>
      </c>
      <c r="T253" s="1">
        <v>2229</v>
      </c>
      <c r="U253" s="1">
        <v>2244</v>
      </c>
      <c r="V253" s="1">
        <v>2277</v>
      </c>
      <c r="W253" s="1">
        <v>2304</v>
      </c>
      <c r="X253" s="1">
        <v>2376</v>
      </c>
      <c r="Y253" s="1">
        <v>2301</v>
      </c>
      <c r="Z253" s="1">
        <v>2321</v>
      </c>
      <c r="AA253" s="1">
        <v>2344</v>
      </c>
      <c r="AB253" s="1">
        <v>2315</v>
      </c>
      <c r="AC253" s="1">
        <v>2297</v>
      </c>
      <c r="AD253" s="1">
        <v>2389</v>
      </c>
      <c r="AE253" s="1">
        <v>2355</v>
      </c>
      <c r="AF253" s="1">
        <v>2430</v>
      </c>
      <c r="AG253" s="1">
        <v>2436</v>
      </c>
      <c r="AH253" s="1">
        <v>2420</v>
      </c>
      <c r="AI253" s="1">
        <v>2557</v>
      </c>
      <c r="AJ253" s="1">
        <v>2650</v>
      </c>
      <c r="AK253" s="1">
        <v>2552</v>
      </c>
      <c r="AL253" s="1">
        <v>2575</v>
      </c>
      <c r="AM253" s="1">
        <v>2570</v>
      </c>
      <c r="AN253" s="1">
        <v>2550</v>
      </c>
      <c r="AO253" s="1">
        <v>2489</v>
      </c>
      <c r="AP253" s="1">
        <v>2501</v>
      </c>
      <c r="AQ253" s="1">
        <v>2490</v>
      </c>
      <c r="AR253" s="1">
        <v>2383</v>
      </c>
      <c r="AS253" s="1">
        <v>2407</v>
      </c>
      <c r="AT253" s="1">
        <v>2274</v>
      </c>
      <c r="AU253" s="1">
        <v>2159</v>
      </c>
      <c r="AV253" s="1">
        <v>2157</v>
      </c>
      <c r="AW253" s="1">
        <v>2160</v>
      </c>
      <c r="AX253" s="1">
        <v>2189</v>
      </c>
      <c r="AY253" s="1">
        <v>2171</v>
      </c>
      <c r="AZ253" s="1">
        <v>2053</v>
      </c>
      <c r="BA253" s="1">
        <v>2082</v>
      </c>
      <c r="BB253" s="1">
        <v>2090</v>
      </c>
      <c r="BC253" s="1">
        <v>2101</v>
      </c>
      <c r="BD253" s="1">
        <v>2119</v>
      </c>
      <c r="BE253" s="1">
        <v>2100</v>
      </c>
      <c r="BF253" s="1">
        <v>2139</v>
      </c>
      <c r="BG253" s="1">
        <v>2165</v>
      </c>
      <c r="BH253" s="1">
        <v>2204</v>
      </c>
      <c r="BI253" s="1">
        <v>2264</v>
      </c>
      <c r="BJ253" s="1">
        <v>2226</v>
      </c>
      <c r="BK253" s="1">
        <v>2240</v>
      </c>
      <c r="BL253" s="1">
        <v>2064</v>
      </c>
      <c r="BM253" s="1">
        <v>2039</v>
      </c>
      <c r="BN253" s="1">
        <v>1963</v>
      </c>
      <c r="BO253" s="1">
        <v>2000</v>
      </c>
      <c r="BP253" s="1">
        <v>2083</v>
      </c>
    </row>
    <row r="254" spans="1:68">
      <c r="A254" s="77" t="s">
        <v>467</v>
      </c>
      <c r="B254" s="1" t="str">
        <f>銘柄管理!C254</f>
        <v/>
      </c>
      <c r="C254" s="1" t="str">
        <f>_xll.RssMarket("4704","始値")</f>
        <v/>
      </c>
      <c r="E254" s="1">
        <v>6429</v>
      </c>
      <c r="F254" s="1">
        <v>6325</v>
      </c>
      <c r="G254" s="1">
        <v>6299</v>
      </c>
      <c r="H254" s="1">
        <v>6182</v>
      </c>
      <c r="I254" s="1">
        <v>6291</v>
      </c>
      <c r="J254" s="1">
        <v>6185</v>
      </c>
      <c r="K254" s="1">
        <v>6320</v>
      </c>
      <c r="L254" s="1">
        <v>6369</v>
      </c>
      <c r="M254" s="1">
        <v>6294</v>
      </c>
      <c r="N254" s="1">
        <v>6533</v>
      </c>
      <c r="O254" s="1">
        <v>6249</v>
      </c>
      <c r="P254" s="1">
        <v>5965</v>
      </c>
      <c r="Q254" s="1">
        <v>5988</v>
      </c>
      <c r="R254" s="1">
        <v>5757</v>
      </c>
      <c r="S254" s="1">
        <v>5605</v>
      </c>
      <c r="T254" s="1">
        <v>5643</v>
      </c>
      <c r="U254" s="1">
        <v>5540</v>
      </c>
      <c r="V254" s="1">
        <v>5620</v>
      </c>
      <c r="W254" s="1">
        <v>5623</v>
      </c>
      <c r="X254" s="1">
        <v>5854</v>
      </c>
      <c r="Y254" s="1">
        <v>5746</v>
      </c>
      <c r="Z254" s="1">
        <v>5771</v>
      </c>
      <c r="AA254" s="1">
        <v>5850</v>
      </c>
      <c r="AB254" s="1">
        <v>5931</v>
      </c>
      <c r="AC254" s="1">
        <v>6136</v>
      </c>
      <c r="AD254" s="1">
        <v>6183</v>
      </c>
      <c r="AE254" s="1">
        <v>6186</v>
      </c>
      <c r="AF254" s="1">
        <v>6478</v>
      </c>
      <c r="AG254" s="1">
        <v>6725</v>
      </c>
      <c r="AH254" s="1">
        <v>6145</v>
      </c>
      <c r="AI254" s="1">
        <v>6251</v>
      </c>
      <c r="AJ254" s="1">
        <v>6453</v>
      </c>
      <c r="AK254" s="1">
        <v>5980</v>
      </c>
      <c r="AL254" s="1">
        <v>6037</v>
      </c>
      <c r="AM254" s="1">
        <v>6066</v>
      </c>
      <c r="AN254" s="1">
        <v>6203</v>
      </c>
      <c r="AO254" s="1">
        <v>6015</v>
      </c>
      <c r="AP254" s="1">
        <v>5911</v>
      </c>
      <c r="AQ254" s="1">
        <v>6060</v>
      </c>
      <c r="AR254" s="1">
        <v>6081</v>
      </c>
      <c r="AS254" s="1">
        <v>5730</v>
      </c>
      <c r="AT254" s="1">
        <v>5400</v>
      </c>
      <c r="AU254" s="1">
        <v>5511</v>
      </c>
      <c r="AV254" s="1">
        <v>5725</v>
      </c>
      <c r="AW254" s="1">
        <v>5592</v>
      </c>
      <c r="AX254" s="1">
        <v>5715</v>
      </c>
      <c r="AY254" s="1">
        <v>5729</v>
      </c>
      <c r="AZ254" s="1">
        <v>5339</v>
      </c>
      <c r="BA254" s="1">
        <v>5376</v>
      </c>
      <c r="BB254" s="1">
        <v>5552</v>
      </c>
      <c r="BC254" s="1">
        <v>5514</v>
      </c>
      <c r="BD254" s="1">
        <v>5632</v>
      </c>
      <c r="BE254" s="1">
        <v>5601</v>
      </c>
      <c r="BF254" s="1">
        <v>5859</v>
      </c>
      <c r="BG254" s="1">
        <v>6050</v>
      </c>
      <c r="BH254" s="1">
        <v>5907</v>
      </c>
      <c r="BI254" s="1">
        <v>5998</v>
      </c>
      <c r="BJ254" s="1">
        <v>6012</v>
      </c>
      <c r="BK254" s="1">
        <v>5859</v>
      </c>
      <c r="BL254" s="1">
        <v>5433</v>
      </c>
      <c r="BM254" s="1">
        <v>5317</v>
      </c>
      <c r="BN254" s="1">
        <v>5073</v>
      </c>
      <c r="BO254" s="1">
        <v>5260</v>
      </c>
      <c r="BP254" s="1">
        <v>5435</v>
      </c>
    </row>
    <row r="255" spans="1:68">
      <c r="A255" s="77" t="s">
        <v>468</v>
      </c>
      <c r="B255" s="1" t="str">
        <f>銘柄管理!C255</f>
        <v/>
      </c>
      <c r="C255" s="1" t="str">
        <f>_xll.RssMarket("6370","始値")</f>
        <v/>
      </c>
      <c r="E255" s="1">
        <v>8781</v>
      </c>
      <c r="F255" s="1">
        <v>9121</v>
      </c>
      <c r="G255" s="1">
        <v>8982</v>
      </c>
      <c r="H255" s="1">
        <v>9170</v>
      </c>
      <c r="I255" s="1">
        <v>9040</v>
      </c>
      <c r="J255" s="1">
        <v>8805</v>
      </c>
      <c r="K255" s="1">
        <v>8705</v>
      </c>
      <c r="L255" s="1">
        <v>9443</v>
      </c>
      <c r="M255" s="1">
        <v>9591</v>
      </c>
      <c r="N255" s="1">
        <v>8950</v>
      </c>
      <c r="O255" s="1">
        <v>9305</v>
      </c>
      <c r="P255" s="1">
        <v>9369</v>
      </c>
      <c r="Q255" s="1">
        <v>9221</v>
      </c>
      <c r="R255" s="1">
        <v>9110</v>
      </c>
      <c r="S255" s="1">
        <v>9292</v>
      </c>
      <c r="T255" s="1">
        <v>9614</v>
      </c>
      <c r="U255" s="1">
        <v>9231</v>
      </c>
      <c r="V255" s="1">
        <v>9613</v>
      </c>
      <c r="W255" s="1">
        <v>9567</v>
      </c>
      <c r="X255" s="1">
        <v>9779</v>
      </c>
      <c r="Y255" s="1">
        <v>9340</v>
      </c>
      <c r="Z255" s="1">
        <v>9335</v>
      </c>
      <c r="AA255" s="1">
        <v>8761</v>
      </c>
      <c r="AB255" s="1">
        <v>8639</v>
      </c>
      <c r="AC255" s="1">
        <v>8300</v>
      </c>
      <c r="AD255" s="1">
        <v>7901</v>
      </c>
      <c r="AE255" s="1">
        <v>8286</v>
      </c>
      <c r="AF255" s="1">
        <v>8212</v>
      </c>
      <c r="AG255" s="1">
        <v>8808</v>
      </c>
      <c r="AH255" s="1">
        <v>8803</v>
      </c>
      <c r="AI255" s="1">
        <v>8714</v>
      </c>
      <c r="AJ255" s="1">
        <v>8549</v>
      </c>
      <c r="AK255" s="1">
        <v>8691</v>
      </c>
      <c r="AL255" s="1">
        <v>8728</v>
      </c>
      <c r="AM255" s="1">
        <v>9077</v>
      </c>
      <c r="AN255" s="1">
        <v>8834</v>
      </c>
      <c r="AO255" s="1">
        <v>8713</v>
      </c>
      <c r="AP255" s="1">
        <v>8538</v>
      </c>
      <c r="AQ255" s="1">
        <v>8616</v>
      </c>
      <c r="AR255" s="1">
        <v>8773</v>
      </c>
      <c r="AS255" s="1">
        <v>8918</v>
      </c>
      <c r="AT255" s="1">
        <v>9500</v>
      </c>
      <c r="AU255" s="1">
        <v>9010</v>
      </c>
      <c r="AV255" s="1">
        <v>9000</v>
      </c>
      <c r="AW255" s="1">
        <v>9184</v>
      </c>
      <c r="AX255" s="1">
        <v>8900</v>
      </c>
      <c r="AY255" s="1">
        <v>8362</v>
      </c>
      <c r="AZ255" s="1">
        <v>8296</v>
      </c>
      <c r="BA255" s="1">
        <v>8290</v>
      </c>
      <c r="BB255" s="1">
        <v>8401</v>
      </c>
      <c r="BC255" s="1">
        <v>8297</v>
      </c>
      <c r="BD255" s="1">
        <v>7905</v>
      </c>
      <c r="BE255" s="1">
        <v>7916</v>
      </c>
      <c r="BF255" s="1">
        <v>7847</v>
      </c>
      <c r="BG255" s="1">
        <v>7990</v>
      </c>
      <c r="BH255" s="1">
        <v>8188</v>
      </c>
      <c r="BI255" s="1">
        <v>8095</v>
      </c>
      <c r="BJ255" s="1">
        <v>8010</v>
      </c>
      <c r="BK255" s="1">
        <v>7950</v>
      </c>
      <c r="BL255" s="1">
        <v>7998</v>
      </c>
      <c r="BM255" s="1">
        <v>8201</v>
      </c>
      <c r="BN255" s="1">
        <v>8069</v>
      </c>
      <c r="BO255" s="1">
        <v>8040</v>
      </c>
      <c r="BP255" s="1">
        <v>8212</v>
      </c>
    </row>
    <row r="256" spans="1:68">
      <c r="A256" s="77" t="s">
        <v>469</v>
      </c>
      <c r="B256" s="1" t="str">
        <f>銘柄管理!C256</f>
        <v/>
      </c>
      <c r="C256" s="1" t="str">
        <f>_xll.RssMarket("7014","始値")</f>
        <v/>
      </c>
      <c r="E256" s="1">
        <v>3755</v>
      </c>
      <c r="F256" s="1">
        <v>3950</v>
      </c>
      <c r="G256" s="1">
        <v>3750</v>
      </c>
      <c r="H256" s="1">
        <v>3770</v>
      </c>
      <c r="I256" s="1">
        <v>3760</v>
      </c>
      <c r="J256" s="1">
        <v>3880</v>
      </c>
      <c r="K256" s="1">
        <v>4090</v>
      </c>
      <c r="L256" s="1">
        <v>4250</v>
      </c>
      <c r="M256" s="1">
        <v>3675</v>
      </c>
      <c r="N256" s="1">
        <v>3640</v>
      </c>
      <c r="O256" s="1">
        <v>3510</v>
      </c>
      <c r="P256" s="1">
        <v>3620</v>
      </c>
      <c r="Q256" s="1">
        <v>3655</v>
      </c>
      <c r="R256" s="1">
        <v>3620</v>
      </c>
      <c r="S256" s="1">
        <v>3730</v>
      </c>
      <c r="T256" s="1">
        <v>3670</v>
      </c>
      <c r="U256" s="1">
        <v>3875</v>
      </c>
      <c r="V256" s="1">
        <v>3800</v>
      </c>
      <c r="W256" s="1">
        <v>3840</v>
      </c>
      <c r="X256" s="1">
        <v>3845</v>
      </c>
      <c r="Y256" s="1">
        <v>3755</v>
      </c>
      <c r="Z256" s="1">
        <v>3765</v>
      </c>
      <c r="AA256" s="1">
        <v>3685</v>
      </c>
      <c r="AB256" s="1">
        <v>3480</v>
      </c>
      <c r="AC256" s="1">
        <v>3345</v>
      </c>
      <c r="AD256" s="1">
        <v>3440</v>
      </c>
      <c r="AE256" s="1">
        <v>3550</v>
      </c>
      <c r="AF256" s="1">
        <v>3655</v>
      </c>
      <c r="AG256" s="1">
        <v>3485</v>
      </c>
      <c r="AH256" s="1">
        <v>3475</v>
      </c>
      <c r="AI256" s="1">
        <v>3455</v>
      </c>
      <c r="AJ256" s="1">
        <v>3790</v>
      </c>
      <c r="AK256" s="1">
        <v>4085</v>
      </c>
      <c r="AL256" s="1">
        <v>4240</v>
      </c>
      <c r="AM256" s="1">
        <v>3945</v>
      </c>
      <c r="AN256" s="1">
        <v>3800</v>
      </c>
      <c r="AO256" s="1">
        <v>8538</v>
      </c>
      <c r="AP256" s="1">
        <v>8616</v>
      </c>
      <c r="AQ256" s="1">
        <v>8773</v>
      </c>
      <c r="AR256" s="1">
        <v>8918</v>
      </c>
      <c r="AS256" s="1">
        <v>9500</v>
      </c>
      <c r="AT256" s="1">
        <v>9010</v>
      </c>
      <c r="AU256" s="1">
        <v>9000</v>
      </c>
      <c r="AV256" s="1">
        <v>9184</v>
      </c>
      <c r="AW256" s="1">
        <v>8900</v>
      </c>
      <c r="AX256" s="1">
        <v>8362</v>
      </c>
      <c r="AY256" s="1">
        <v>8296</v>
      </c>
      <c r="AZ256" s="1">
        <v>8290</v>
      </c>
      <c r="BA256" s="1">
        <v>8401</v>
      </c>
      <c r="BB256" s="1">
        <v>8297</v>
      </c>
      <c r="BC256" s="1">
        <v>7905</v>
      </c>
      <c r="BD256" s="1">
        <v>7916</v>
      </c>
      <c r="BE256" s="1">
        <v>7847</v>
      </c>
      <c r="BF256" s="1">
        <v>7990</v>
      </c>
      <c r="BG256" s="1">
        <v>8188</v>
      </c>
      <c r="BH256" s="1">
        <v>8095</v>
      </c>
      <c r="BI256" s="1">
        <v>8010</v>
      </c>
      <c r="BJ256" s="1">
        <v>7950</v>
      </c>
      <c r="BK256" s="1">
        <v>7998</v>
      </c>
      <c r="BL256" s="1">
        <v>8201</v>
      </c>
      <c r="BM256" s="1">
        <v>8069</v>
      </c>
      <c r="BN256" s="1">
        <v>8040</v>
      </c>
      <c r="BO256" s="1">
        <v>8212</v>
      </c>
      <c r="BP256" s="1">
        <v>8048</v>
      </c>
    </row>
    <row r="257" spans="1:68">
      <c r="A257" s="77" t="s">
        <v>470</v>
      </c>
      <c r="B257" s="1" t="str">
        <f>銘柄管理!C257</f>
        <v/>
      </c>
      <c r="C257" s="1" t="str">
        <f>_xll.RssMarket("9880","始値")</f>
        <v/>
      </c>
      <c r="E257" s="1">
        <v>3330</v>
      </c>
      <c r="F257" s="1">
        <v>3520</v>
      </c>
      <c r="G257" s="1">
        <v>3445</v>
      </c>
      <c r="H257" s="1">
        <v>3580</v>
      </c>
      <c r="I257" s="1">
        <v>3610</v>
      </c>
      <c r="J257" s="1">
        <v>3585</v>
      </c>
      <c r="K257" s="1">
        <v>3425</v>
      </c>
      <c r="L257" s="1">
        <v>3760</v>
      </c>
      <c r="M257" s="1">
        <v>3825</v>
      </c>
      <c r="N257" s="1">
        <v>3595</v>
      </c>
      <c r="O257" s="1">
        <v>3840</v>
      </c>
      <c r="P257" s="1">
        <v>4070</v>
      </c>
      <c r="Q257" s="1">
        <v>4000</v>
      </c>
      <c r="R257" s="1">
        <v>4060</v>
      </c>
      <c r="S257" s="1">
        <v>4220</v>
      </c>
      <c r="T257" s="1">
        <v>4460</v>
      </c>
      <c r="U257" s="1">
        <v>4240</v>
      </c>
      <c r="V257" s="1">
        <v>4555</v>
      </c>
      <c r="W257" s="1">
        <v>4355</v>
      </c>
      <c r="X257" s="1">
        <v>4250</v>
      </c>
      <c r="Y257" s="1">
        <v>4185</v>
      </c>
      <c r="Z257" s="1">
        <v>3900</v>
      </c>
      <c r="AA257" s="1">
        <v>4130</v>
      </c>
      <c r="AB257" s="1">
        <v>4200</v>
      </c>
      <c r="AC257" s="1">
        <v>4105</v>
      </c>
      <c r="AD257" s="1">
        <v>3910</v>
      </c>
      <c r="AE257" s="1">
        <v>4140</v>
      </c>
      <c r="AF257" s="1">
        <v>4200</v>
      </c>
      <c r="AG257" s="1">
        <v>4390</v>
      </c>
      <c r="AH257" s="1">
        <v>4300</v>
      </c>
      <c r="AI257" s="1">
        <v>4320</v>
      </c>
      <c r="AJ257" s="1">
        <v>4360</v>
      </c>
      <c r="AK257" s="1">
        <v>4220</v>
      </c>
      <c r="AL257" s="1">
        <v>4650</v>
      </c>
      <c r="AM257" s="1">
        <v>4380</v>
      </c>
      <c r="AN257" s="1">
        <v>4400</v>
      </c>
      <c r="AO257" s="1">
        <v>4380</v>
      </c>
      <c r="AP257" s="1">
        <v>4225</v>
      </c>
      <c r="AQ257" s="1">
        <v>4750</v>
      </c>
      <c r="AR257" s="1">
        <v>4505</v>
      </c>
      <c r="AS257" s="1">
        <v>3975</v>
      </c>
      <c r="AT257" s="1">
        <v>3360</v>
      </c>
      <c r="AU257" s="1">
        <v>3270</v>
      </c>
      <c r="AV257" s="1">
        <v>3380</v>
      </c>
      <c r="AW257" s="1">
        <v>3325</v>
      </c>
      <c r="AX257" s="1">
        <v>3185</v>
      </c>
      <c r="AY257" s="1">
        <v>2950</v>
      </c>
      <c r="AZ257" s="1">
        <v>2834</v>
      </c>
      <c r="BA257" s="1">
        <v>2790</v>
      </c>
      <c r="BB257" s="1">
        <v>2760</v>
      </c>
      <c r="BC257" s="1">
        <v>2805</v>
      </c>
      <c r="BD257" s="1">
        <v>2674</v>
      </c>
      <c r="BE257" s="1">
        <v>2710</v>
      </c>
      <c r="BF257" s="1">
        <v>2728</v>
      </c>
      <c r="BG257" s="1">
        <v>2763</v>
      </c>
      <c r="BH257" s="1">
        <v>2823</v>
      </c>
      <c r="BI257" s="1">
        <v>2896</v>
      </c>
      <c r="BJ257" s="1">
        <v>2900</v>
      </c>
      <c r="BK257" s="1">
        <v>2889</v>
      </c>
      <c r="BL257" s="1">
        <v>2640</v>
      </c>
      <c r="BM257" s="1">
        <v>2561</v>
      </c>
      <c r="BN257" s="1">
        <v>2580</v>
      </c>
      <c r="BO257" s="1">
        <v>2604</v>
      </c>
      <c r="BP257" s="1">
        <v>2555</v>
      </c>
    </row>
    <row r="258" spans="1:68">
      <c r="A258" s="77" t="s">
        <v>471</v>
      </c>
      <c r="B258" s="1" t="str">
        <f>銘柄管理!C258</f>
        <v/>
      </c>
      <c r="C258" s="1" t="str">
        <f>_xll.RssMarket("5253","始値")</f>
        <v/>
      </c>
      <c r="E258" s="1">
        <v>1668</v>
      </c>
      <c r="F258" s="1">
        <v>1672</v>
      </c>
      <c r="G258" s="1">
        <v>1660</v>
      </c>
      <c r="H258" s="1">
        <v>1601</v>
      </c>
      <c r="I258" s="1">
        <v>1625</v>
      </c>
      <c r="J258" s="1">
        <v>1586</v>
      </c>
      <c r="K258" s="1">
        <v>1609</v>
      </c>
      <c r="L258" s="1">
        <v>1608</v>
      </c>
      <c r="M258" s="1">
        <v>1552</v>
      </c>
      <c r="N258" s="1">
        <v>1488</v>
      </c>
      <c r="O258" s="1">
        <v>1401</v>
      </c>
      <c r="P258" s="1">
        <v>1347</v>
      </c>
      <c r="Q258" s="1">
        <v>1350</v>
      </c>
      <c r="R258" s="1">
        <v>1217</v>
      </c>
      <c r="S258" s="1">
        <v>1152</v>
      </c>
      <c r="T258" s="1">
        <v>1189</v>
      </c>
      <c r="U258" s="1">
        <v>1201</v>
      </c>
      <c r="V258" s="1">
        <v>1279</v>
      </c>
      <c r="W258" s="1">
        <v>1301</v>
      </c>
      <c r="X258" s="1">
        <v>1380</v>
      </c>
      <c r="Y258" s="1">
        <v>1460</v>
      </c>
      <c r="Z258" s="1">
        <v>1415</v>
      </c>
      <c r="AA258" s="1">
        <v>1418</v>
      </c>
      <c r="AB258" s="1">
        <v>1458</v>
      </c>
      <c r="AC258" s="1">
        <v>1522</v>
      </c>
      <c r="AD258" s="1">
        <v>1444</v>
      </c>
      <c r="AE258" s="1">
        <v>1620</v>
      </c>
      <c r="AF258" s="1">
        <v>1616</v>
      </c>
      <c r="AG258" s="1">
        <v>1624</v>
      </c>
      <c r="AH258" s="1">
        <v>1636</v>
      </c>
      <c r="AI258" s="1">
        <v>1631</v>
      </c>
      <c r="AJ258" s="1">
        <v>1620</v>
      </c>
      <c r="AK258" s="1">
        <v>1600</v>
      </c>
      <c r="AL258" s="1">
        <v>1551</v>
      </c>
      <c r="AM258" s="1">
        <v>1583</v>
      </c>
      <c r="AN258" s="1">
        <v>1760</v>
      </c>
      <c r="AO258" s="1">
        <v>1758</v>
      </c>
      <c r="AP258" s="1">
        <v>1666</v>
      </c>
      <c r="AQ258" s="1">
        <v>1671</v>
      </c>
      <c r="AR258" s="1">
        <v>1600</v>
      </c>
      <c r="AS258" s="1">
        <v>1526</v>
      </c>
      <c r="AT258" s="1">
        <v>1324</v>
      </c>
      <c r="AU258" s="1">
        <v>1435</v>
      </c>
      <c r="AV258" s="1">
        <v>1412</v>
      </c>
      <c r="AW258" s="1">
        <v>1393</v>
      </c>
      <c r="AX258" s="1">
        <v>1420</v>
      </c>
      <c r="AY258" s="1">
        <v>1445</v>
      </c>
      <c r="AZ258" s="1">
        <v>1393</v>
      </c>
      <c r="BA258" s="1">
        <v>1365</v>
      </c>
      <c r="BB258" s="1">
        <v>1365</v>
      </c>
      <c r="BC258" s="1">
        <v>1370</v>
      </c>
      <c r="BD258" s="1">
        <v>1370</v>
      </c>
      <c r="BE258" s="1">
        <v>1400</v>
      </c>
      <c r="BF258" s="1">
        <v>1420</v>
      </c>
      <c r="BG258" s="1">
        <v>1441</v>
      </c>
      <c r="BH258" s="1">
        <v>1455</v>
      </c>
      <c r="BI258" s="1">
        <v>1474</v>
      </c>
      <c r="BJ258" s="1">
        <v>1451</v>
      </c>
      <c r="BK258" s="1">
        <v>1482</v>
      </c>
      <c r="BL258" s="1">
        <v>1480</v>
      </c>
      <c r="BM258" s="1">
        <v>1438</v>
      </c>
      <c r="BN258" s="1">
        <v>1402</v>
      </c>
      <c r="BO258" s="1">
        <v>1471</v>
      </c>
      <c r="BP258" s="1">
        <v>1482</v>
      </c>
    </row>
    <row r="259" spans="1:68">
      <c r="A259" s="77" t="s">
        <v>472</v>
      </c>
      <c r="B259" s="1" t="str">
        <f>銘柄管理!C259</f>
        <v/>
      </c>
      <c r="C259" s="1" t="str">
        <f>_xll.RssMarket("9104","始値")</f>
        <v/>
      </c>
      <c r="E259" s="1">
        <v>5550</v>
      </c>
      <c r="F259" s="1">
        <v>5539</v>
      </c>
      <c r="G259" s="1">
        <v>5402</v>
      </c>
      <c r="H259" s="1">
        <v>5380</v>
      </c>
      <c r="I259" s="1">
        <v>5460</v>
      </c>
      <c r="J259" s="1">
        <v>5425</v>
      </c>
      <c r="K259" s="1">
        <v>5391</v>
      </c>
      <c r="L259" s="1">
        <v>5285</v>
      </c>
      <c r="M259" s="1">
        <v>5210</v>
      </c>
      <c r="N259" s="1">
        <v>5200</v>
      </c>
      <c r="O259" s="1">
        <v>5050</v>
      </c>
      <c r="P259" s="1">
        <v>5210</v>
      </c>
      <c r="Q259" s="1">
        <v>5263</v>
      </c>
      <c r="R259" s="1">
        <v>5230</v>
      </c>
      <c r="S259" s="1">
        <v>5275</v>
      </c>
      <c r="T259" s="1">
        <v>5342</v>
      </c>
      <c r="U259" s="1">
        <v>5388</v>
      </c>
      <c r="V259" s="1">
        <v>5293</v>
      </c>
      <c r="W259" s="1">
        <v>5251</v>
      </c>
      <c r="X259" s="1">
        <v>5343</v>
      </c>
      <c r="Y259" s="1">
        <v>5420</v>
      </c>
      <c r="Z259" s="1">
        <v>5459</v>
      </c>
      <c r="AA259" s="1">
        <v>5686</v>
      </c>
      <c r="AB259" s="1">
        <v>5742</v>
      </c>
      <c r="AC259" s="1">
        <v>5757</v>
      </c>
      <c r="AD259" s="1">
        <v>5636</v>
      </c>
      <c r="AE259" s="1">
        <v>5878</v>
      </c>
      <c r="AF259" s="1">
        <v>5784</v>
      </c>
      <c r="AG259" s="1">
        <v>5685</v>
      </c>
      <c r="AH259" s="1">
        <v>5433</v>
      </c>
      <c r="AI259" s="1">
        <v>5484</v>
      </c>
      <c r="AJ259" s="1">
        <v>5421</v>
      </c>
      <c r="AK259" s="1">
        <v>5400</v>
      </c>
      <c r="AL259" s="1">
        <v>5420</v>
      </c>
      <c r="AM259" s="1">
        <v>5570</v>
      </c>
      <c r="AN259" s="1">
        <v>5681</v>
      </c>
      <c r="AO259" s="1">
        <v>5648</v>
      </c>
      <c r="AP259" s="1">
        <v>5827</v>
      </c>
      <c r="AQ259" s="1">
        <v>5794</v>
      </c>
      <c r="AR259" s="1">
        <v>5839</v>
      </c>
      <c r="AS259" s="1">
        <v>5861</v>
      </c>
      <c r="AT259" s="1">
        <v>5850</v>
      </c>
      <c r="AU259" s="1">
        <v>5886</v>
      </c>
      <c r="AV259" s="1">
        <v>5804</v>
      </c>
      <c r="AW259" s="1">
        <v>5783</v>
      </c>
      <c r="AX259" s="1">
        <v>5676</v>
      </c>
      <c r="AY259" s="1">
        <v>5796</v>
      </c>
      <c r="AZ259" s="1">
        <v>5817</v>
      </c>
      <c r="BA259" s="1">
        <v>5890</v>
      </c>
      <c r="BB259" s="1">
        <v>6000</v>
      </c>
      <c r="BC259" s="1">
        <v>5812</v>
      </c>
      <c r="BD259" s="1">
        <v>5950</v>
      </c>
      <c r="BE259" s="1">
        <v>6088</v>
      </c>
      <c r="BF259" s="1">
        <v>6051</v>
      </c>
      <c r="BG259" s="1">
        <v>6100</v>
      </c>
      <c r="BH259" s="1">
        <v>6100</v>
      </c>
      <c r="BI259" s="1">
        <v>6252</v>
      </c>
      <c r="BJ259" s="1">
        <v>6394</v>
      </c>
      <c r="BK259" s="1">
        <v>6300</v>
      </c>
      <c r="BL259" s="1">
        <v>6434</v>
      </c>
      <c r="BM259" s="1">
        <v>6300</v>
      </c>
      <c r="BN259" s="1">
        <v>6500</v>
      </c>
      <c r="BO259" s="1">
        <v>6600</v>
      </c>
      <c r="BP259" s="1">
        <v>6655</v>
      </c>
    </row>
    <row r="260" spans="1:68">
      <c r="A260" s="77" t="s">
        <v>473</v>
      </c>
      <c r="B260" s="1" t="str">
        <f>銘柄管理!C260</f>
        <v/>
      </c>
      <c r="C260" s="1" t="str">
        <f>_xll.RssMarket("6366","始値")</f>
        <v/>
      </c>
      <c r="E260" s="1">
        <v>661</v>
      </c>
      <c r="F260" s="1">
        <v>680</v>
      </c>
      <c r="G260" s="1">
        <v>653</v>
      </c>
      <c r="H260" s="1">
        <v>680</v>
      </c>
      <c r="I260" s="1">
        <v>685</v>
      </c>
      <c r="J260" s="1">
        <v>695</v>
      </c>
      <c r="K260" s="1">
        <v>720</v>
      </c>
      <c r="L260" s="1">
        <v>732</v>
      </c>
      <c r="M260" s="1">
        <v>716</v>
      </c>
      <c r="N260" s="1">
        <v>688</v>
      </c>
      <c r="O260" s="1">
        <v>654</v>
      </c>
      <c r="P260" s="1">
        <v>671</v>
      </c>
      <c r="Q260" s="1">
        <v>687</v>
      </c>
      <c r="R260" s="1">
        <v>676</v>
      </c>
      <c r="S260" s="1">
        <v>680</v>
      </c>
      <c r="T260" s="1">
        <v>731</v>
      </c>
      <c r="U260" s="1">
        <v>699</v>
      </c>
      <c r="V260" s="1">
        <v>730</v>
      </c>
      <c r="W260" s="1">
        <v>745</v>
      </c>
      <c r="X260" s="1">
        <v>783</v>
      </c>
      <c r="Y260" s="1">
        <v>800</v>
      </c>
      <c r="Z260" s="1">
        <v>776</v>
      </c>
      <c r="AA260" s="1">
        <v>759</v>
      </c>
      <c r="AB260" s="1">
        <v>837</v>
      </c>
      <c r="AC260" s="1">
        <v>704</v>
      </c>
      <c r="AD260" s="1">
        <v>650</v>
      </c>
      <c r="AE260" s="1">
        <v>698</v>
      </c>
      <c r="AF260" s="1">
        <v>703</v>
      </c>
      <c r="AG260" s="1">
        <v>723</v>
      </c>
      <c r="AH260" s="1">
        <v>700</v>
      </c>
      <c r="AI260" s="1">
        <v>719</v>
      </c>
      <c r="AJ260" s="1">
        <v>701</v>
      </c>
      <c r="AK260" s="1">
        <v>748</v>
      </c>
      <c r="AL260" s="1">
        <v>775</v>
      </c>
      <c r="AM260" s="1">
        <v>832</v>
      </c>
      <c r="AN260" s="1">
        <v>807</v>
      </c>
      <c r="AO260" s="1">
        <v>700</v>
      </c>
      <c r="AP260" s="1">
        <v>740</v>
      </c>
      <c r="AQ260" s="1">
        <v>757</v>
      </c>
      <c r="AR260" s="1">
        <v>771</v>
      </c>
      <c r="AS260" s="1">
        <v>807</v>
      </c>
      <c r="AT260" s="1">
        <v>821</v>
      </c>
      <c r="AU260" s="1">
        <v>810</v>
      </c>
      <c r="AV260" s="1">
        <v>810</v>
      </c>
      <c r="AW260" s="1">
        <v>828</v>
      </c>
      <c r="AX260" s="1">
        <v>986</v>
      </c>
      <c r="AY260" s="1">
        <v>992</v>
      </c>
      <c r="AZ260" s="1">
        <v>1049</v>
      </c>
      <c r="BA260" s="1">
        <v>1010</v>
      </c>
      <c r="BB260" s="1">
        <v>1045</v>
      </c>
      <c r="BC260" s="1">
        <v>1027</v>
      </c>
      <c r="BD260" s="1">
        <v>1000</v>
      </c>
      <c r="BE260" s="1">
        <v>1065</v>
      </c>
      <c r="BF260" s="1">
        <v>1050</v>
      </c>
      <c r="BG260" s="1">
        <v>1070</v>
      </c>
      <c r="BH260" s="1">
        <v>1101</v>
      </c>
      <c r="BI260" s="1">
        <v>1166</v>
      </c>
      <c r="BJ260" s="1">
        <v>1170</v>
      </c>
      <c r="BK260" s="1">
        <v>1120</v>
      </c>
      <c r="BL260" s="1">
        <v>1163</v>
      </c>
      <c r="BM260" s="1">
        <v>1162</v>
      </c>
      <c r="BN260" s="1">
        <v>1135</v>
      </c>
      <c r="BO260" s="1">
        <v>1213</v>
      </c>
      <c r="BP260" s="1">
        <v>1146</v>
      </c>
    </row>
    <row r="261" spans="1:68">
      <c r="A261" s="77" t="s">
        <v>474</v>
      </c>
      <c r="B261" s="1" t="str">
        <f>銘柄管理!C261</f>
        <v/>
      </c>
      <c r="C261" s="1" t="str">
        <f>_xll.RssMarket("6140","始値")</f>
        <v/>
      </c>
      <c r="E261" s="1">
        <v>1173</v>
      </c>
      <c r="F261" s="1">
        <v>1194</v>
      </c>
      <c r="G261" s="1">
        <v>1153</v>
      </c>
      <c r="H261" s="1">
        <v>1186</v>
      </c>
      <c r="I261" s="1">
        <v>1180</v>
      </c>
      <c r="J261" s="1">
        <v>1185</v>
      </c>
      <c r="K261" s="1">
        <v>1170</v>
      </c>
      <c r="L261" s="1">
        <v>1240</v>
      </c>
      <c r="M261" s="1">
        <v>1263</v>
      </c>
      <c r="N261" s="1">
        <v>1210</v>
      </c>
      <c r="O261" s="1">
        <v>1212</v>
      </c>
      <c r="P261" s="1">
        <v>1228</v>
      </c>
      <c r="Q261" s="1">
        <v>1233</v>
      </c>
      <c r="R261" s="1">
        <v>1230</v>
      </c>
      <c r="S261" s="1">
        <v>1219</v>
      </c>
      <c r="T261" s="1">
        <v>1224</v>
      </c>
      <c r="U261" s="1">
        <v>1213</v>
      </c>
      <c r="V261" s="1">
        <v>1345</v>
      </c>
      <c r="W261" s="1">
        <v>1314</v>
      </c>
      <c r="X261" s="1">
        <v>1328</v>
      </c>
      <c r="Y261" s="1">
        <v>1320</v>
      </c>
      <c r="Z261" s="1">
        <v>1284</v>
      </c>
      <c r="AA261" s="1">
        <v>1313</v>
      </c>
      <c r="AB261" s="1">
        <v>1284</v>
      </c>
      <c r="AC261" s="1">
        <v>1238</v>
      </c>
      <c r="AD261" s="1">
        <v>1196</v>
      </c>
      <c r="AE261" s="1">
        <v>1259</v>
      </c>
      <c r="AF261" s="1">
        <v>1286</v>
      </c>
      <c r="AG261" s="1">
        <v>1300</v>
      </c>
      <c r="AH261" s="1">
        <v>1301</v>
      </c>
      <c r="AI261" s="1">
        <v>1319</v>
      </c>
      <c r="AJ261" s="1">
        <v>1350</v>
      </c>
      <c r="AK261" s="1">
        <v>1357</v>
      </c>
      <c r="AL261" s="1">
        <v>1335</v>
      </c>
      <c r="AM261" s="1">
        <v>1399</v>
      </c>
      <c r="AN261" s="1">
        <v>1370</v>
      </c>
      <c r="AO261" s="1">
        <v>1271</v>
      </c>
      <c r="AP261" s="1">
        <v>1320</v>
      </c>
      <c r="AQ261" s="1">
        <v>1272</v>
      </c>
      <c r="AR261" s="1">
        <v>1315</v>
      </c>
      <c r="AS261" s="1">
        <v>1280</v>
      </c>
      <c r="AT261" s="1">
        <v>1375</v>
      </c>
      <c r="AU261" s="1">
        <v>1402</v>
      </c>
      <c r="AV261" s="1">
        <v>1355</v>
      </c>
      <c r="AW261" s="1">
        <v>1333</v>
      </c>
      <c r="AX261" s="1">
        <v>1341</v>
      </c>
      <c r="AY261" s="1">
        <v>1310</v>
      </c>
      <c r="AZ261" s="1">
        <v>1314</v>
      </c>
      <c r="BA261" s="1">
        <v>1285</v>
      </c>
      <c r="BB261" s="1">
        <v>1289</v>
      </c>
      <c r="BC261" s="1">
        <v>1287</v>
      </c>
      <c r="BD261" s="1">
        <v>1310</v>
      </c>
      <c r="BE261" s="1">
        <v>1300</v>
      </c>
      <c r="BF261" s="1">
        <v>1302</v>
      </c>
      <c r="BG261" s="1">
        <v>1301</v>
      </c>
      <c r="BH261" s="1">
        <v>1321</v>
      </c>
      <c r="BI261" s="1">
        <v>1392</v>
      </c>
      <c r="BJ261" s="1">
        <v>1293</v>
      </c>
      <c r="BK261" s="1">
        <v>1163</v>
      </c>
      <c r="BL261" s="1">
        <v>1176</v>
      </c>
      <c r="BM261" s="1">
        <v>1173</v>
      </c>
      <c r="BN261" s="1">
        <v>1147</v>
      </c>
      <c r="BO261" s="1">
        <v>1165</v>
      </c>
      <c r="BP261" s="1">
        <v>1200</v>
      </c>
    </row>
    <row r="262" spans="1:68">
      <c r="A262" s="77" t="s">
        <v>475</v>
      </c>
      <c r="B262" s="1" t="str">
        <f>銘柄管理!C262</f>
        <v/>
      </c>
      <c r="C262" s="1" t="str">
        <f>_xll.RssMarket("1514","始値")</f>
        <v/>
      </c>
      <c r="E262" s="1">
        <v>579</v>
      </c>
      <c r="F262" s="1">
        <v>584</v>
      </c>
      <c r="G262" s="1">
        <v>575</v>
      </c>
      <c r="H262" s="1">
        <v>585</v>
      </c>
      <c r="I262" s="1">
        <v>560</v>
      </c>
      <c r="J262" s="1">
        <v>561</v>
      </c>
      <c r="K262" s="1">
        <v>550</v>
      </c>
      <c r="L262" s="1">
        <v>585</v>
      </c>
      <c r="M262" s="1">
        <v>556</v>
      </c>
      <c r="N262" s="1">
        <v>549</v>
      </c>
      <c r="O262" s="1">
        <v>525</v>
      </c>
      <c r="P262" s="1">
        <v>526</v>
      </c>
      <c r="Q262" s="1">
        <v>525</v>
      </c>
      <c r="R262" s="1">
        <v>530</v>
      </c>
      <c r="S262" s="1">
        <v>524</v>
      </c>
      <c r="T262" s="1">
        <v>528</v>
      </c>
      <c r="U262" s="1">
        <v>532</v>
      </c>
      <c r="V262" s="1">
        <v>550</v>
      </c>
      <c r="W262" s="1">
        <v>531</v>
      </c>
      <c r="X262" s="1">
        <v>530</v>
      </c>
      <c r="Y262" s="1">
        <v>550</v>
      </c>
      <c r="Z262" s="1">
        <v>544</v>
      </c>
      <c r="AA262" s="1">
        <v>554</v>
      </c>
      <c r="AB262" s="1">
        <v>551</v>
      </c>
      <c r="AC262" s="1">
        <v>553</v>
      </c>
      <c r="AD262" s="1">
        <v>550</v>
      </c>
      <c r="AE262" s="1">
        <v>561</v>
      </c>
      <c r="AF262" s="1">
        <v>566</v>
      </c>
      <c r="AG262" s="1">
        <v>564</v>
      </c>
      <c r="AH262" s="1">
        <v>557</v>
      </c>
      <c r="AI262" s="1">
        <v>564</v>
      </c>
      <c r="AJ262" s="1">
        <v>563</v>
      </c>
      <c r="AK262" s="1">
        <v>588</v>
      </c>
      <c r="AL262" s="1">
        <v>605</v>
      </c>
      <c r="AM262" s="1">
        <v>620</v>
      </c>
      <c r="AN262" s="1">
        <v>603</v>
      </c>
      <c r="AO262" s="1">
        <v>599</v>
      </c>
      <c r="AP262" s="1">
        <v>598</v>
      </c>
      <c r="AQ262" s="1">
        <v>615</v>
      </c>
      <c r="AR262" s="1">
        <v>631</v>
      </c>
      <c r="AS262" s="1">
        <v>647</v>
      </c>
      <c r="AT262" s="1">
        <v>700</v>
      </c>
      <c r="AU262" s="1">
        <v>720</v>
      </c>
      <c r="AV262" s="1">
        <v>730</v>
      </c>
      <c r="AW262" s="1">
        <v>738</v>
      </c>
      <c r="AX262" s="1">
        <v>744</v>
      </c>
      <c r="AY262" s="1">
        <v>760</v>
      </c>
      <c r="AZ262" s="1">
        <v>745</v>
      </c>
      <c r="BA262" s="1">
        <v>760</v>
      </c>
      <c r="BB262" s="1">
        <v>795</v>
      </c>
      <c r="BC262" s="1">
        <v>771</v>
      </c>
      <c r="BD262" s="1">
        <v>784</v>
      </c>
      <c r="BE262" s="1">
        <v>810</v>
      </c>
      <c r="BF262" s="1">
        <v>835</v>
      </c>
      <c r="BG262" s="1">
        <v>860</v>
      </c>
      <c r="BH262" s="1">
        <v>869</v>
      </c>
      <c r="BI262" s="1">
        <v>850</v>
      </c>
      <c r="BJ262" s="1">
        <v>873</v>
      </c>
      <c r="BK262" s="1">
        <v>890</v>
      </c>
      <c r="BL262" s="1">
        <v>842</v>
      </c>
      <c r="BM262" s="1">
        <v>850</v>
      </c>
      <c r="BN262" s="1">
        <v>867</v>
      </c>
      <c r="BO262" s="1">
        <v>872</v>
      </c>
      <c r="BP262" s="1">
        <v>899</v>
      </c>
    </row>
    <row r="263" spans="1:68">
      <c r="A263" s="77" t="s">
        <v>476</v>
      </c>
      <c r="B263" s="1" t="str">
        <f>銘柄管理!C263</f>
        <v/>
      </c>
      <c r="C263" s="1" t="str">
        <f>_xll.RssMarket("5631","始値")</f>
        <v/>
      </c>
      <c r="E263" s="1">
        <v>7759</v>
      </c>
      <c r="F263" s="1">
        <v>7750</v>
      </c>
      <c r="G263" s="1">
        <v>7723</v>
      </c>
      <c r="H263" s="1">
        <v>7800</v>
      </c>
      <c r="I263" s="1">
        <v>7937</v>
      </c>
      <c r="J263" s="1">
        <v>8100</v>
      </c>
      <c r="K263" s="1">
        <v>8369</v>
      </c>
      <c r="L263" s="1">
        <v>8640</v>
      </c>
      <c r="M263" s="1">
        <v>8039</v>
      </c>
      <c r="N263" s="1">
        <v>7971</v>
      </c>
      <c r="O263" s="1">
        <v>7818</v>
      </c>
      <c r="P263" s="1">
        <v>7827</v>
      </c>
      <c r="Q263" s="1">
        <v>7670</v>
      </c>
      <c r="R263" s="1">
        <v>7776</v>
      </c>
      <c r="S263" s="1">
        <v>7860</v>
      </c>
      <c r="T263" s="1">
        <v>7953</v>
      </c>
      <c r="U263" s="1">
        <v>7838</v>
      </c>
      <c r="V263" s="1">
        <v>8280</v>
      </c>
      <c r="W263" s="1">
        <v>7952</v>
      </c>
      <c r="X263" s="1">
        <v>8258</v>
      </c>
      <c r="Y263" s="1">
        <v>8519</v>
      </c>
      <c r="Z263" s="1">
        <v>7850</v>
      </c>
      <c r="AA263" s="1">
        <v>7828</v>
      </c>
      <c r="AB263" s="1">
        <v>7749</v>
      </c>
      <c r="AC263" s="1">
        <v>7414</v>
      </c>
      <c r="AD263" s="1">
        <v>6779</v>
      </c>
      <c r="AE263" s="1">
        <v>7317</v>
      </c>
      <c r="AF263" s="1">
        <v>7660</v>
      </c>
      <c r="AG263" s="1">
        <v>7486</v>
      </c>
      <c r="AH263" s="1">
        <v>7255</v>
      </c>
      <c r="AI263" s="1">
        <v>7349</v>
      </c>
      <c r="AJ263" s="1">
        <v>7418</v>
      </c>
      <c r="AK263" s="1">
        <v>7703</v>
      </c>
      <c r="AL263" s="1">
        <v>8000</v>
      </c>
      <c r="AM263" s="1">
        <v>8393</v>
      </c>
      <c r="AN263" s="1">
        <v>7992</v>
      </c>
      <c r="AO263" s="1">
        <v>7767</v>
      </c>
      <c r="AP263" s="1">
        <v>8085</v>
      </c>
      <c r="AQ263" s="1">
        <v>8086</v>
      </c>
      <c r="AR263" s="1">
        <v>7881</v>
      </c>
      <c r="AS263" s="1">
        <v>7873</v>
      </c>
      <c r="AT263" s="1">
        <v>8100</v>
      </c>
      <c r="AU263" s="1">
        <v>8601</v>
      </c>
      <c r="AV263" s="1">
        <v>8825</v>
      </c>
      <c r="AW263" s="1">
        <v>9067</v>
      </c>
      <c r="AX263" s="1">
        <v>9359</v>
      </c>
      <c r="AY263" s="1">
        <v>9149</v>
      </c>
      <c r="AZ263" s="1">
        <v>9280</v>
      </c>
      <c r="BA263" s="1">
        <v>9450</v>
      </c>
      <c r="BB263" s="1">
        <v>9681</v>
      </c>
      <c r="BC263" s="1">
        <v>9603</v>
      </c>
      <c r="BD263" s="1">
        <v>9780</v>
      </c>
      <c r="BE263" s="1">
        <v>9846</v>
      </c>
      <c r="BF263" s="1">
        <v>9640</v>
      </c>
      <c r="BG263" s="1">
        <v>9322</v>
      </c>
      <c r="BH263" s="1">
        <v>9197</v>
      </c>
      <c r="BI263" s="1">
        <v>9080</v>
      </c>
      <c r="BJ263" s="1">
        <v>9210</v>
      </c>
      <c r="BK263" s="1">
        <v>9100</v>
      </c>
      <c r="BL263" s="1">
        <v>9849</v>
      </c>
      <c r="BM263" s="1">
        <v>9880</v>
      </c>
      <c r="BN263" s="1">
        <v>9735</v>
      </c>
      <c r="BO263" s="1">
        <v>9990</v>
      </c>
      <c r="BP263" s="1">
        <v>9760</v>
      </c>
    </row>
    <row r="264" spans="1:68">
      <c r="A264" s="77" t="s">
        <v>477</v>
      </c>
      <c r="B264" s="1" t="str">
        <f>銘柄管理!C264</f>
        <v/>
      </c>
      <c r="C264" s="1" t="str">
        <f>_xll.RssMarket("6674","始値")</f>
        <v/>
      </c>
      <c r="E264" s="1">
        <v>5800</v>
      </c>
      <c r="F264" s="1">
        <v>5995</v>
      </c>
      <c r="G264" s="1">
        <v>5980</v>
      </c>
      <c r="H264" s="1">
        <v>6258</v>
      </c>
      <c r="I264" s="1">
        <v>6286</v>
      </c>
      <c r="J264" s="1">
        <v>6227</v>
      </c>
      <c r="K264" s="1">
        <v>6300</v>
      </c>
      <c r="L264" s="1">
        <v>6636</v>
      </c>
      <c r="M264" s="1">
        <v>6770</v>
      </c>
      <c r="N264" s="1">
        <v>6520</v>
      </c>
      <c r="O264" s="1">
        <v>6640</v>
      </c>
      <c r="P264" s="1">
        <v>6562</v>
      </c>
      <c r="Q264" s="1">
        <v>6700</v>
      </c>
      <c r="R264" s="1">
        <v>6736</v>
      </c>
      <c r="S264" s="1">
        <v>7122</v>
      </c>
      <c r="T264" s="1">
        <v>7447</v>
      </c>
      <c r="U264" s="1">
        <v>7088</v>
      </c>
      <c r="V264" s="1">
        <v>7550</v>
      </c>
      <c r="W264" s="1">
        <v>7696</v>
      </c>
      <c r="X264" s="1">
        <v>6786</v>
      </c>
      <c r="Y264" s="1">
        <v>6660</v>
      </c>
      <c r="Z264" s="1">
        <v>6668</v>
      </c>
      <c r="AA264" s="1">
        <v>6319</v>
      </c>
      <c r="AB264" s="1">
        <v>6380</v>
      </c>
      <c r="AC264" s="1">
        <v>6397</v>
      </c>
      <c r="AD264" s="1">
        <v>6112</v>
      </c>
      <c r="AE264" s="1">
        <v>6769</v>
      </c>
      <c r="AF264" s="1">
        <v>6933</v>
      </c>
      <c r="AG264" s="1">
        <v>7113</v>
      </c>
      <c r="AH264" s="1">
        <v>7500</v>
      </c>
      <c r="AI264" s="1">
        <v>7202</v>
      </c>
      <c r="AJ264" s="1">
        <v>7000</v>
      </c>
      <c r="AK264" s="1">
        <v>6700</v>
      </c>
      <c r="AL264" s="1">
        <v>6284</v>
      </c>
      <c r="AM264" s="1">
        <v>6348</v>
      </c>
      <c r="AN264" s="1">
        <v>6300</v>
      </c>
      <c r="AO264" s="1">
        <v>6030</v>
      </c>
      <c r="AP264" s="1">
        <v>6160</v>
      </c>
      <c r="AQ264" s="1">
        <v>6236</v>
      </c>
      <c r="AR264" s="1">
        <v>6319</v>
      </c>
      <c r="AS264" s="1">
        <v>6365</v>
      </c>
      <c r="AT264" s="1">
        <v>6368</v>
      </c>
      <c r="AU264" s="1">
        <v>6439</v>
      </c>
      <c r="AV264" s="1">
        <v>6604</v>
      </c>
      <c r="AW264" s="1">
        <v>6665</v>
      </c>
      <c r="AX264" s="1">
        <v>6750</v>
      </c>
      <c r="AY264" s="1">
        <v>6465</v>
      </c>
      <c r="AZ264" s="1">
        <v>6533</v>
      </c>
      <c r="BA264" s="1">
        <v>6224</v>
      </c>
      <c r="BB264" s="1">
        <v>6081</v>
      </c>
      <c r="BC264" s="1">
        <v>6190</v>
      </c>
      <c r="BD264" s="1">
        <v>6280</v>
      </c>
      <c r="BE264" s="1">
        <v>6300</v>
      </c>
      <c r="BF264" s="1">
        <v>6352</v>
      </c>
      <c r="BG264" s="1">
        <v>6521</v>
      </c>
      <c r="BH264" s="1">
        <v>6803</v>
      </c>
      <c r="BI264" s="1">
        <v>6787</v>
      </c>
      <c r="BJ264" s="1">
        <v>6757</v>
      </c>
      <c r="BK264" s="1">
        <v>6620</v>
      </c>
      <c r="BL264" s="1">
        <v>6797</v>
      </c>
      <c r="BM264" s="1">
        <v>6464</v>
      </c>
      <c r="BN264" s="1">
        <v>6287</v>
      </c>
      <c r="BO264" s="1">
        <v>6236</v>
      </c>
      <c r="BP264" s="1">
        <v>6176</v>
      </c>
    </row>
    <row r="265" spans="1:68">
      <c r="A265" s="77" t="s">
        <v>478</v>
      </c>
      <c r="B265" s="1" t="str">
        <f>銘柄管理!C265</f>
        <v/>
      </c>
      <c r="C265" s="1" t="str">
        <f>_xll.RssMarket("6955","始値")</f>
        <v/>
      </c>
      <c r="E265" s="1">
        <v>409</v>
      </c>
      <c r="F265" s="1">
        <v>432</v>
      </c>
      <c r="G265" s="1">
        <v>438</v>
      </c>
      <c r="H265" s="1">
        <v>441</v>
      </c>
      <c r="I265" s="1">
        <v>432</v>
      </c>
      <c r="J265" s="1">
        <v>444</v>
      </c>
      <c r="K265" s="1">
        <v>452</v>
      </c>
      <c r="L265" s="1">
        <v>489</v>
      </c>
      <c r="M265" s="1">
        <v>498</v>
      </c>
      <c r="N265" s="1">
        <v>481</v>
      </c>
      <c r="O265" s="1">
        <v>488</v>
      </c>
      <c r="P265" s="1">
        <v>507</v>
      </c>
      <c r="Q265" s="1">
        <v>503</v>
      </c>
      <c r="R265" s="1">
        <v>519</v>
      </c>
      <c r="S265" s="1">
        <v>527</v>
      </c>
      <c r="T265" s="1">
        <v>502</v>
      </c>
      <c r="U265" s="1">
        <v>539</v>
      </c>
      <c r="V265" s="1">
        <v>521</v>
      </c>
      <c r="W265" s="1">
        <v>510</v>
      </c>
      <c r="X265" s="1">
        <v>502</v>
      </c>
      <c r="Y265" s="1">
        <v>478</v>
      </c>
      <c r="Z265" s="1">
        <v>517</v>
      </c>
      <c r="AA265" s="1">
        <v>515</v>
      </c>
      <c r="AB265" s="1">
        <v>506</v>
      </c>
      <c r="AC265" s="1">
        <v>551</v>
      </c>
      <c r="AD265" s="1">
        <v>604</v>
      </c>
      <c r="AE265" s="1">
        <v>495</v>
      </c>
      <c r="AF265" s="1">
        <v>489</v>
      </c>
      <c r="AG265" s="1">
        <v>469</v>
      </c>
      <c r="AH265" s="1">
        <v>431</v>
      </c>
      <c r="AI265" s="1">
        <v>451</v>
      </c>
      <c r="AJ265" s="1">
        <v>432</v>
      </c>
      <c r="AK265" s="1">
        <v>411</v>
      </c>
      <c r="AL265" s="1">
        <v>413</v>
      </c>
      <c r="AM265" s="1">
        <v>407</v>
      </c>
      <c r="AN265" s="1">
        <v>414</v>
      </c>
      <c r="AO265" s="1">
        <v>416</v>
      </c>
      <c r="AP265" s="1">
        <v>416</v>
      </c>
      <c r="AQ265" s="1">
        <v>418</v>
      </c>
      <c r="AR265" s="1">
        <v>432</v>
      </c>
      <c r="AS265" s="1">
        <v>426</v>
      </c>
      <c r="AT265" s="1">
        <v>435</v>
      </c>
      <c r="AU265" s="1">
        <v>432</v>
      </c>
      <c r="AV265" s="1">
        <v>443</v>
      </c>
      <c r="AW265" s="1">
        <v>455</v>
      </c>
      <c r="AX265" s="1">
        <v>452</v>
      </c>
      <c r="AY265" s="1">
        <v>432</v>
      </c>
      <c r="AZ265" s="1">
        <v>447</v>
      </c>
      <c r="BA265" s="1">
        <v>454</v>
      </c>
      <c r="BB265" s="1">
        <v>450</v>
      </c>
      <c r="BC265" s="1">
        <v>451</v>
      </c>
      <c r="BD265" s="1">
        <v>448</v>
      </c>
      <c r="BE265" s="1">
        <v>450</v>
      </c>
      <c r="BF265" s="1">
        <v>457</v>
      </c>
      <c r="BG265" s="1">
        <v>453</v>
      </c>
      <c r="BH265" s="1">
        <v>458</v>
      </c>
      <c r="BI265" s="1">
        <v>452</v>
      </c>
      <c r="BJ265" s="1">
        <v>456</v>
      </c>
      <c r="BK265" s="1">
        <v>457</v>
      </c>
      <c r="BL265" s="1">
        <v>446</v>
      </c>
      <c r="BM265" s="1">
        <v>470</v>
      </c>
      <c r="BN265" s="1">
        <v>492</v>
      </c>
      <c r="BO265" s="1">
        <v>484</v>
      </c>
    </row>
    <row r="266" spans="1:68">
      <c r="A266" s="77" t="s">
        <v>479</v>
      </c>
      <c r="B266" s="1" t="str">
        <f>銘柄管理!C266</f>
        <v/>
      </c>
      <c r="C266" s="1" t="str">
        <f>_xll.RssMarket("281A","始値")</f>
        <v/>
      </c>
      <c r="E266" s="1">
        <v>463</v>
      </c>
      <c r="F266" s="1">
        <v>502</v>
      </c>
      <c r="G266" s="1">
        <v>520</v>
      </c>
      <c r="H266" s="1">
        <v>524</v>
      </c>
      <c r="I266" s="1">
        <v>486</v>
      </c>
      <c r="J266" s="1">
        <v>519</v>
      </c>
      <c r="K266" s="1">
        <v>625</v>
      </c>
      <c r="L266" s="1">
        <v>631</v>
      </c>
      <c r="M266" s="1">
        <v>619</v>
      </c>
      <c r="N266" s="1">
        <v>624</v>
      </c>
      <c r="O266" s="1">
        <v>666</v>
      </c>
      <c r="P266" s="1">
        <v>713</v>
      </c>
      <c r="Q266" s="1">
        <v>680</v>
      </c>
      <c r="R266" s="1">
        <v>723</v>
      </c>
      <c r="S266" s="1">
        <v>752</v>
      </c>
      <c r="T266" s="1">
        <v>685</v>
      </c>
      <c r="U266" s="1">
        <v>606</v>
      </c>
      <c r="V266" s="1">
        <v>570</v>
      </c>
      <c r="W266" s="1">
        <v>620</v>
      </c>
      <c r="X266" s="1">
        <v>645</v>
      </c>
      <c r="Y266" s="1">
        <v>605</v>
      </c>
      <c r="Z266" s="1">
        <v>644</v>
      </c>
      <c r="AA266" s="1">
        <v>634</v>
      </c>
      <c r="AB266" s="1">
        <v>547</v>
      </c>
      <c r="AC266" s="1">
        <v>533</v>
      </c>
      <c r="AD266" s="1">
        <v>555</v>
      </c>
      <c r="AE266" s="1">
        <v>586</v>
      </c>
      <c r="AF266" s="1">
        <v>642</v>
      </c>
      <c r="AG266" s="1">
        <v>705</v>
      </c>
      <c r="AH266" s="1">
        <v>699</v>
      </c>
      <c r="AI266" s="1">
        <v>697</v>
      </c>
      <c r="AJ266" s="1">
        <v>834</v>
      </c>
      <c r="AK266" s="1">
        <v>835</v>
      </c>
      <c r="AL266" s="1">
        <v>890</v>
      </c>
      <c r="AM266" s="1">
        <v>848</v>
      </c>
      <c r="AN266" s="1">
        <v>765</v>
      </c>
      <c r="AO266" s="1">
        <v>783</v>
      </c>
      <c r="AP266" s="1">
        <v>833</v>
      </c>
      <c r="AQ266" s="1">
        <v>823</v>
      </c>
      <c r="AR266" s="1">
        <v>735</v>
      </c>
      <c r="AS266" s="1">
        <v>791</v>
      </c>
      <c r="AT266" s="1">
        <v>748</v>
      </c>
      <c r="AU266" s="1">
        <v>754</v>
      </c>
      <c r="AV266" s="1">
        <v>795</v>
      </c>
      <c r="AW266" s="1">
        <v>824</v>
      </c>
      <c r="AX266" s="1">
        <v>766</v>
      </c>
      <c r="AY266" s="1">
        <v>760</v>
      </c>
      <c r="AZ266" s="1">
        <v>717</v>
      </c>
      <c r="BA266" s="1">
        <v>720</v>
      </c>
      <c r="BB266" s="1">
        <v>769</v>
      </c>
      <c r="BC266" s="1">
        <v>808</v>
      </c>
      <c r="BD266" s="1">
        <v>800</v>
      </c>
      <c r="BE266" s="1">
        <v>792</v>
      </c>
      <c r="BF266" s="1">
        <v>880</v>
      </c>
      <c r="BG266" s="1">
        <v>958</v>
      </c>
      <c r="BH266" s="1">
        <v>803</v>
      </c>
      <c r="BI266" s="1">
        <v>742</v>
      </c>
      <c r="BJ266" s="1">
        <v>765</v>
      </c>
      <c r="BK266" s="1">
        <v>675</v>
      </c>
      <c r="BL266" s="1">
        <v>674</v>
      </c>
      <c r="BM266" s="1">
        <v>687</v>
      </c>
      <c r="BN266" s="1">
        <v>681</v>
      </c>
      <c r="BO266" s="1">
        <v>562</v>
      </c>
      <c r="BP266" s="1">
        <v>527</v>
      </c>
    </row>
    <row r="267" spans="1:68">
      <c r="A267" s="77" t="s">
        <v>480</v>
      </c>
      <c r="B267" s="1" t="str">
        <f>銘柄管理!C267</f>
        <v/>
      </c>
      <c r="C267" s="1" t="str">
        <f>_xll.RssMarket("6356","始値")</f>
        <v/>
      </c>
      <c r="E267" s="1">
        <v>1505</v>
      </c>
      <c r="F267" s="1">
        <v>1575</v>
      </c>
      <c r="G267" s="1">
        <v>1490</v>
      </c>
      <c r="H267" s="1">
        <v>1480</v>
      </c>
      <c r="I267" s="1">
        <v>1503</v>
      </c>
      <c r="J267" s="1">
        <v>1528</v>
      </c>
      <c r="K267" s="1">
        <v>1541</v>
      </c>
      <c r="L267" s="1">
        <v>1700</v>
      </c>
      <c r="M267" s="1">
        <v>1750</v>
      </c>
      <c r="N267" s="1">
        <v>1558</v>
      </c>
      <c r="O267" s="1">
        <v>1480</v>
      </c>
      <c r="P267" s="1">
        <v>1490</v>
      </c>
      <c r="Q267" s="1">
        <v>1498</v>
      </c>
      <c r="R267" s="1">
        <v>1510</v>
      </c>
      <c r="S267" s="1">
        <v>1500</v>
      </c>
      <c r="T267" s="1">
        <v>1530</v>
      </c>
      <c r="U267" s="1">
        <v>1478</v>
      </c>
      <c r="V267" s="1">
        <v>1590</v>
      </c>
      <c r="W267" s="1">
        <v>1500</v>
      </c>
      <c r="X267" s="1">
        <v>1542</v>
      </c>
      <c r="Y267" s="1">
        <v>1556</v>
      </c>
      <c r="Z267" s="1">
        <v>1420</v>
      </c>
      <c r="AA267" s="1">
        <v>1445</v>
      </c>
      <c r="AB267" s="1">
        <v>1437</v>
      </c>
      <c r="AC267" s="1">
        <v>1468</v>
      </c>
      <c r="AD267" s="1">
        <v>1365</v>
      </c>
      <c r="AE267" s="1">
        <v>1526</v>
      </c>
      <c r="AF267" s="1">
        <v>1506</v>
      </c>
      <c r="AG267" s="1">
        <v>1531</v>
      </c>
      <c r="AH267" s="1">
        <v>1488</v>
      </c>
      <c r="AI267" s="1">
        <v>1477</v>
      </c>
      <c r="AJ267" s="1">
        <v>1481</v>
      </c>
      <c r="AK267" s="1">
        <v>1707</v>
      </c>
      <c r="AL267" s="1">
        <v>1661</v>
      </c>
      <c r="AM267" s="1">
        <v>1766</v>
      </c>
      <c r="AN267" s="1">
        <v>1525</v>
      </c>
      <c r="AO267" s="1">
        <v>1361</v>
      </c>
      <c r="AP267" s="1">
        <v>1401</v>
      </c>
      <c r="AQ267" s="1">
        <v>1462</v>
      </c>
      <c r="AR267" s="1">
        <v>1398</v>
      </c>
      <c r="AS267" s="1">
        <v>1438</v>
      </c>
      <c r="AT267" s="1">
        <v>1406</v>
      </c>
      <c r="AU267" s="1">
        <v>1475</v>
      </c>
      <c r="AV267" s="1">
        <v>1580</v>
      </c>
      <c r="AW267" s="1">
        <v>1482</v>
      </c>
      <c r="AX267" s="1">
        <v>1495</v>
      </c>
      <c r="AY267" s="1">
        <v>1507</v>
      </c>
      <c r="AZ267" s="1">
        <v>1574</v>
      </c>
      <c r="BA267" s="1">
        <v>1679</v>
      </c>
      <c r="BB267" s="1">
        <v>1628</v>
      </c>
      <c r="BC267" s="1">
        <v>1649</v>
      </c>
      <c r="BD267" s="1">
        <v>1486</v>
      </c>
      <c r="BE267" s="1">
        <v>1450</v>
      </c>
      <c r="BF267" s="1">
        <v>1265</v>
      </c>
      <c r="BG267" s="1">
        <v>1320</v>
      </c>
      <c r="BH267" s="1">
        <v>1318</v>
      </c>
      <c r="BI267" s="1">
        <v>1328</v>
      </c>
      <c r="BJ267" s="1">
        <v>1328</v>
      </c>
      <c r="BK267" s="1">
        <v>1293</v>
      </c>
      <c r="BL267" s="1">
        <v>1318</v>
      </c>
      <c r="BM267" s="1">
        <v>1200</v>
      </c>
      <c r="BN267" s="1">
        <v>1284</v>
      </c>
      <c r="BO267" s="1">
        <v>1274</v>
      </c>
      <c r="BP267" s="1">
        <v>1219</v>
      </c>
    </row>
    <row r="268" spans="1:68">
      <c r="A268" s="77" t="s">
        <v>481</v>
      </c>
      <c r="B268" s="1" t="str">
        <f>銘柄管理!C268</f>
        <v/>
      </c>
      <c r="C268" s="1" t="str">
        <f>_xll.RssMarket("7711","始値")</f>
        <v/>
      </c>
      <c r="E268" s="1">
        <v>4860</v>
      </c>
      <c r="F268" s="1">
        <v>5100</v>
      </c>
      <c r="G268" s="1">
        <v>4885</v>
      </c>
      <c r="H268" s="1">
        <v>4755</v>
      </c>
      <c r="I268" s="1">
        <v>4675</v>
      </c>
      <c r="J268" s="1">
        <v>4850</v>
      </c>
      <c r="K268" s="1">
        <v>4895</v>
      </c>
      <c r="L268" s="1">
        <v>5180</v>
      </c>
      <c r="M268" s="1">
        <v>5130</v>
      </c>
      <c r="N268" s="1">
        <v>4815</v>
      </c>
      <c r="O268" s="1">
        <v>4840</v>
      </c>
      <c r="P268" s="1">
        <v>4860</v>
      </c>
      <c r="Q268" s="1">
        <v>4975</v>
      </c>
      <c r="R268" s="1">
        <v>4925</v>
      </c>
      <c r="S268" s="1">
        <v>5000</v>
      </c>
      <c r="T268" s="1">
        <v>5180</v>
      </c>
      <c r="U268" s="1">
        <v>5030</v>
      </c>
      <c r="V268" s="1">
        <v>5460</v>
      </c>
      <c r="W268" s="1">
        <v>5600</v>
      </c>
      <c r="X268" s="1">
        <v>5470</v>
      </c>
      <c r="Y268" s="1">
        <v>5660</v>
      </c>
      <c r="Z268" s="1">
        <v>5200</v>
      </c>
      <c r="AA268" s="1">
        <v>4835</v>
      </c>
      <c r="AB268" s="1">
        <v>4855</v>
      </c>
      <c r="AC268" s="1">
        <v>4800</v>
      </c>
      <c r="AD268" s="1">
        <v>4515</v>
      </c>
      <c r="AE268" s="1">
        <v>4840</v>
      </c>
      <c r="AF268" s="1">
        <v>5190</v>
      </c>
      <c r="AG268" s="1">
        <v>5360</v>
      </c>
      <c r="AH268" s="1">
        <v>5050</v>
      </c>
      <c r="AI268" s="1">
        <v>5240</v>
      </c>
      <c r="AJ268" s="1">
        <v>5260</v>
      </c>
      <c r="AK268" s="1">
        <v>5450</v>
      </c>
      <c r="AL268" s="1">
        <v>5490</v>
      </c>
      <c r="AM268" s="1">
        <v>5980</v>
      </c>
      <c r="AN268" s="1">
        <v>5350</v>
      </c>
      <c r="AO268" s="1">
        <v>5080</v>
      </c>
      <c r="AP268" s="1">
        <v>5120</v>
      </c>
      <c r="AQ268" s="1">
        <v>5130</v>
      </c>
      <c r="AR268" s="1">
        <v>5380</v>
      </c>
      <c r="AS268" s="1">
        <v>5410</v>
      </c>
      <c r="AT268" s="1">
        <v>5360</v>
      </c>
      <c r="AU268" s="1">
        <v>5650</v>
      </c>
      <c r="AV268" s="1">
        <v>5620</v>
      </c>
      <c r="AW268" s="1">
        <v>5800</v>
      </c>
      <c r="AX268" s="1">
        <v>6000</v>
      </c>
      <c r="AY268" s="1">
        <v>6040</v>
      </c>
      <c r="AZ268" s="1">
        <v>6110</v>
      </c>
      <c r="BA268" s="1">
        <v>5960</v>
      </c>
      <c r="BB268" s="1">
        <v>6100</v>
      </c>
      <c r="BC268" s="1">
        <v>6180</v>
      </c>
      <c r="BD268" s="1">
        <v>6360</v>
      </c>
      <c r="BE268" s="1">
        <v>6620</v>
      </c>
      <c r="BF268" s="1">
        <v>6480</v>
      </c>
      <c r="BG268" s="1">
        <v>6380</v>
      </c>
      <c r="BH268" s="1">
        <v>6320</v>
      </c>
      <c r="BI268" s="1">
        <v>6280</v>
      </c>
      <c r="BJ268" s="1">
        <v>6290</v>
      </c>
      <c r="BK268" s="1">
        <v>6160</v>
      </c>
      <c r="BL268" s="1">
        <v>6300</v>
      </c>
      <c r="BM268" s="1">
        <v>6340</v>
      </c>
      <c r="BN268" s="1">
        <v>6240</v>
      </c>
      <c r="BO268" s="1">
        <v>6470</v>
      </c>
      <c r="BP268" s="1">
        <v>6680</v>
      </c>
    </row>
    <row r="269" spans="1:68">
      <c r="A269" s="77" t="s">
        <v>482</v>
      </c>
      <c r="B269" s="1" t="str">
        <f>銘柄管理!C269</f>
        <v/>
      </c>
      <c r="C269" s="1" t="str">
        <f>_xll.RssMarket("6376","始値")</f>
        <v/>
      </c>
      <c r="E269" s="1">
        <v>3800</v>
      </c>
      <c r="F269" s="1">
        <v>3825</v>
      </c>
      <c r="G269" s="1">
        <v>3605</v>
      </c>
      <c r="H269" s="1">
        <v>3710</v>
      </c>
      <c r="I269" s="1">
        <v>3780</v>
      </c>
      <c r="J269" s="1">
        <v>3795</v>
      </c>
      <c r="K269" s="1">
        <v>3840</v>
      </c>
      <c r="L269" s="1">
        <v>4070</v>
      </c>
      <c r="M269" s="1">
        <v>4100</v>
      </c>
      <c r="N269" s="1">
        <v>3840</v>
      </c>
      <c r="O269" s="1">
        <v>3850</v>
      </c>
      <c r="P269" s="1">
        <v>4105</v>
      </c>
      <c r="Q269" s="1">
        <v>4225</v>
      </c>
      <c r="R269" s="1">
        <v>4205</v>
      </c>
      <c r="S269" s="1">
        <v>4150</v>
      </c>
      <c r="T269" s="1">
        <v>4180</v>
      </c>
      <c r="U269" s="1">
        <v>3955</v>
      </c>
      <c r="V269" s="1">
        <v>4100</v>
      </c>
      <c r="W269" s="1">
        <v>3935</v>
      </c>
      <c r="X269" s="1">
        <v>3960</v>
      </c>
      <c r="Y269" s="1">
        <v>3865</v>
      </c>
      <c r="Z269" s="1">
        <v>3715</v>
      </c>
      <c r="AA269" s="1">
        <v>3700</v>
      </c>
      <c r="AB269" s="1">
        <v>3705</v>
      </c>
      <c r="AC269" s="1">
        <v>3640</v>
      </c>
      <c r="AD269" s="1">
        <v>3500</v>
      </c>
      <c r="AE269" s="1">
        <v>3420</v>
      </c>
      <c r="AF269" s="1">
        <v>3190</v>
      </c>
      <c r="AG269" s="1">
        <v>3200</v>
      </c>
      <c r="AH269" s="1">
        <v>3100</v>
      </c>
      <c r="AI269" s="1">
        <v>3090</v>
      </c>
      <c r="AJ269" s="1">
        <v>3260</v>
      </c>
      <c r="AK269" s="1">
        <v>3285</v>
      </c>
      <c r="AL269" s="1">
        <v>3235</v>
      </c>
      <c r="AM269" s="1">
        <v>3500</v>
      </c>
      <c r="AN269" s="1">
        <v>3275</v>
      </c>
      <c r="AO269" s="1">
        <v>3070</v>
      </c>
      <c r="AP269" s="1">
        <v>3115</v>
      </c>
      <c r="AQ269" s="1">
        <v>2925</v>
      </c>
      <c r="AR269" s="1">
        <v>3100</v>
      </c>
      <c r="AS269" s="1">
        <v>2940</v>
      </c>
      <c r="AT269" s="1">
        <v>2716</v>
      </c>
      <c r="AU269" s="1">
        <v>2662</v>
      </c>
      <c r="AV269" s="1">
        <v>2617</v>
      </c>
      <c r="AW269" s="1">
        <v>2691</v>
      </c>
      <c r="AX269" s="1">
        <v>2670</v>
      </c>
      <c r="AY269" s="1">
        <v>2617</v>
      </c>
      <c r="AZ269" s="1">
        <v>2684</v>
      </c>
      <c r="BA269" s="1">
        <v>2660</v>
      </c>
      <c r="BB269" s="1">
        <v>2608</v>
      </c>
      <c r="BC269" s="1">
        <v>2572</v>
      </c>
      <c r="BD269" s="1">
        <v>2645</v>
      </c>
      <c r="BE269" s="1">
        <v>2595</v>
      </c>
      <c r="BF269" s="1">
        <v>2548</v>
      </c>
      <c r="BG269" s="1">
        <v>2551</v>
      </c>
      <c r="BH269" s="1">
        <v>2657</v>
      </c>
      <c r="BI269" s="1">
        <v>2648</v>
      </c>
      <c r="BJ269" s="1">
        <v>2720</v>
      </c>
      <c r="BK269" s="1">
        <v>2774</v>
      </c>
      <c r="BL269" s="1">
        <v>2866</v>
      </c>
      <c r="BM269" s="1">
        <v>2875</v>
      </c>
      <c r="BN269" s="1">
        <v>2820</v>
      </c>
      <c r="BO269" s="1">
        <v>2800</v>
      </c>
      <c r="BP269" s="1">
        <v>2736</v>
      </c>
    </row>
    <row r="270" spans="1:68">
      <c r="A270" s="77" t="s">
        <v>483</v>
      </c>
      <c r="B270" s="1" t="str">
        <f>銘柄管理!C270</f>
        <v/>
      </c>
      <c r="C270" s="1" t="str">
        <f>_xll.RssMarket("9115","始値")</f>
        <v/>
      </c>
      <c r="E270" s="1">
        <v>823</v>
      </c>
      <c r="F270" s="1">
        <v>834</v>
      </c>
      <c r="G270" s="1">
        <v>823</v>
      </c>
      <c r="H270" s="1">
        <v>816</v>
      </c>
      <c r="I270" s="1">
        <v>844</v>
      </c>
      <c r="J270" s="1">
        <v>816</v>
      </c>
      <c r="K270" s="1">
        <v>823</v>
      </c>
      <c r="L270" s="1">
        <v>845</v>
      </c>
      <c r="M270" s="1">
        <v>840</v>
      </c>
      <c r="N270" s="1">
        <v>830</v>
      </c>
      <c r="O270" s="1">
        <v>822</v>
      </c>
      <c r="P270" s="1">
        <v>803</v>
      </c>
      <c r="Q270" s="1">
        <v>812</v>
      </c>
      <c r="R270" s="1">
        <v>800</v>
      </c>
      <c r="S270" s="1">
        <v>790</v>
      </c>
      <c r="T270" s="1">
        <v>791</v>
      </c>
      <c r="U270" s="1">
        <v>800</v>
      </c>
      <c r="V270" s="1">
        <v>769</v>
      </c>
      <c r="W270" s="1">
        <v>768</v>
      </c>
      <c r="X270" s="1">
        <v>781</v>
      </c>
      <c r="Y270" s="1">
        <v>803</v>
      </c>
      <c r="Z270" s="1">
        <v>826</v>
      </c>
      <c r="AA270" s="1">
        <v>824</v>
      </c>
      <c r="AB270" s="1">
        <v>850</v>
      </c>
      <c r="AC270" s="1">
        <v>904</v>
      </c>
      <c r="AD270" s="1">
        <v>919</v>
      </c>
      <c r="AE270" s="1">
        <v>940</v>
      </c>
      <c r="AF270" s="1">
        <v>985</v>
      </c>
      <c r="AG270" s="1">
        <v>999</v>
      </c>
      <c r="AH270" s="1">
        <v>1066</v>
      </c>
      <c r="AI270" s="1">
        <v>1039</v>
      </c>
      <c r="AJ270" s="1">
        <v>1143</v>
      </c>
      <c r="AK270" s="1">
        <v>1161</v>
      </c>
      <c r="AL270" s="1">
        <v>1146</v>
      </c>
      <c r="AM270" s="1">
        <v>1111</v>
      </c>
      <c r="AN270" s="1">
        <v>1096</v>
      </c>
      <c r="AO270" s="1">
        <v>1146</v>
      </c>
      <c r="AP270" s="1">
        <v>1201</v>
      </c>
      <c r="AQ270" s="1">
        <v>1202</v>
      </c>
      <c r="AR270" s="1">
        <v>1191</v>
      </c>
      <c r="AS270" s="1">
        <v>1178</v>
      </c>
      <c r="AT270" s="1">
        <v>1216</v>
      </c>
      <c r="AU270" s="1">
        <v>1272</v>
      </c>
      <c r="AV270" s="1">
        <v>1242</v>
      </c>
      <c r="AW270" s="1">
        <v>1303</v>
      </c>
      <c r="AX270" s="1">
        <v>1309</v>
      </c>
      <c r="AY270" s="1">
        <v>1250</v>
      </c>
      <c r="AZ270" s="1">
        <v>1240</v>
      </c>
      <c r="BA270" s="1">
        <v>1182</v>
      </c>
      <c r="BB270" s="1">
        <v>1175</v>
      </c>
      <c r="BC270" s="1">
        <v>1188</v>
      </c>
      <c r="BD270" s="1">
        <v>1206</v>
      </c>
      <c r="BE270" s="1">
        <v>1253</v>
      </c>
      <c r="BF270" s="1">
        <v>1282</v>
      </c>
      <c r="BG270" s="1">
        <v>1236</v>
      </c>
      <c r="BH270" s="1">
        <v>1294</v>
      </c>
      <c r="BI270" s="1">
        <v>1289</v>
      </c>
      <c r="BJ270" s="1">
        <v>1282</v>
      </c>
      <c r="BK270" s="1">
        <v>1340</v>
      </c>
      <c r="BL270" s="1">
        <v>1345</v>
      </c>
      <c r="BM270" s="1">
        <v>1299</v>
      </c>
      <c r="BN270" s="1">
        <v>1259</v>
      </c>
      <c r="BO270" s="1">
        <v>1217</v>
      </c>
      <c r="BP270" s="1">
        <v>1322</v>
      </c>
    </row>
    <row r="271" spans="1:68">
      <c r="A271" s="77" t="s">
        <v>484</v>
      </c>
      <c r="B271" s="1" t="str">
        <f>銘柄管理!C271</f>
        <v/>
      </c>
      <c r="C271" s="1" t="str">
        <f>_xll.RssMarket("3864","始値")</f>
        <v/>
      </c>
      <c r="E271" s="1">
        <v>1095</v>
      </c>
      <c r="F271" s="1">
        <v>1059</v>
      </c>
      <c r="G271" s="1">
        <v>1010</v>
      </c>
      <c r="H271" s="1">
        <v>1009</v>
      </c>
      <c r="I271" s="1">
        <v>1007</v>
      </c>
      <c r="J271" s="1">
        <v>998</v>
      </c>
      <c r="K271" s="1">
        <v>1015</v>
      </c>
      <c r="L271" s="1">
        <v>1021</v>
      </c>
      <c r="M271" s="1">
        <v>1005</v>
      </c>
      <c r="N271" s="1">
        <v>1019</v>
      </c>
      <c r="O271" s="1">
        <v>1015</v>
      </c>
      <c r="P271" s="1">
        <v>1040</v>
      </c>
      <c r="Q271" s="1">
        <v>1039</v>
      </c>
      <c r="R271" s="1">
        <v>1033</v>
      </c>
      <c r="S271" s="1">
        <v>1024</v>
      </c>
      <c r="T271" s="1">
        <v>1035</v>
      </c>
      <c r="U271" s="1">
        <v>1031</v>
      </c>
      <c r="V271" s="1">
        <v>1045</v>
      </c>
      <c r="W271" s="1">
        <v>1077</v>
      </c>
      <c r="X271" s="1">
        <v>1076</v>
      </c>
      <c r="Y271" s="1">
        <v>1091</v>
      </c>
      <c r="Z271" s="1">
        <v>1074</v>
      </c>
      <c r="AA271" s="1">
        <v>1062</v>
      </c>
      <c r="AB271" s="1">
        <v>1067</v>
      </c>
      <c r="AC271" s="1">
        <v>1063</v>
      </c>
      <c r="AD271" s="1">
        <v>1047</v>
      </c>
      <c r="AE271" s="1">
        <v>1053</v>
      </c>
      <c r="AF271" s="1">
        <v>1060</v>
      </c>
      <c r="AG271" s="1">
        <v>1048</v>
      </c>
      <c r="AH271" s="1">
        <v>1054</v>
      </c>
      <c r="AI271" s="1">
        <v>1137</v>
      </c>
      <c r="AJ271" s="1">
        <v>1102</v>
      </c>
      <c r="AK271" s="1">
        <v>1097</v>
      </c>
      <c r="AL271" s="1">
        <v>1099</v>
      </c>
      <c r="AM271" s="1">
        <v>1090</v>
      </c>
      <c r="AN271" s="1">
        <v>1060</v>
      </c>
      <c r="AO271" s="1">
        <v>1020</v>
      </c>
      <c r="AP271" s="1">
        <v>1046</v>
      </c>
      <c r="AQ271" s="1">
        <v>993</v>
      </c>
      <c r="AR271" s="1">
        <v>958</v>
      </c>
      <c r="AS271" s="1">
        <v>902</v>
      </c>
      <c r="AT271" s="1">
        <v>931</v>
      </c>
      <c r="AU271" s="1">
        <v>937</v>
      </c>
      <c r="AV271" s="1">
        <v>936</v>
      </c>
      <c r="AW271" s="1">
        <v>937</v>
      </c>
      <c r="AX271" s="1">
        <v>940</v>
      </c>
      <c r="AY271" s="1">
        <v>929</v>
      </c>
      <c r="AZ271" s="1">
        <v>940</v>
      </c>
      <c r="BA271" s="1">
        <v>945</v>
      </c>
      <c r="BB271" s="1">
        <v>960</v>
      </c>
      <c r="BC271" s="1">
        <v>951</v>
      </c>
      <c r="BD271" s="1">
        <v>961</v>
      </c>
      <c r="BE271" s="1">
        <v>985</v>
      </c>
      <c r="BF271" s="1">
        <v>973</v>
      </c>
      <c r="BG271" s="1">
        <v>990</v>
      </c>
      <c r="BH271" s="1">
        <v>974</v>
      </c>
      <c r="BI271" s="1">
        <v>956</v>
      </c>
      <c r="BJ271" s="1">
        <v>925</v>
      </c>
      <c r="BK271" s="1">
        <v>923</v>
      </c>
      <c r="BL271" s="1">
        <v>892</v>
      </c>
      <c r="BM271" s="1">
        <v>910</v>
      </c>
      <c r="BN271" s="1">
        <v>894</v>
      </c>
      <c r="BO271" s="1">
        <v>881</v>
      </c>
    </row>
    <row r="272" spans="1:68">
      <c r="A272" s="77" t="s">
        <v>485</v>
      </c>
      <c r="B272" s="1" t="str">
        <f>銘柄管理!C272</f>
        <v/>
      </c>
      <c r="C272" s="1" t="str">
        <f>_xll.RssMarket("6997","始値")</f>
        <v/>
      </c>
      <c r="E272" s="1">
        <v>3350</v>
      </c>
      <c r="F272" s="1">
        <v>3640</v>
      </c>
      <c r="G272" s="1">
        <v>3600</v>
      </c>
      <c r="H272" s="1">
        <v>4025</v>
      </c>
      <c r="I272" s="1">
        <v>3960</v>
      </c>
      <c r="J272" s="1">
        <v>3950</v>
      </c>
      <c r="K272" s="1">
        <v>4180</v>
      </c>
      <c r="L272" s="1">
        <v>4905</v>
      </c>
      <c r="M272" s="1">
        <v>5500</v>
      </c>
      <c r="N272" s="1">
        <v>4980</v>
      </c>
      <c r="O272" s="1">
        <v>5600</v>
      </c>
      <c r="P272" s="1">
        <v>5560</v>
      </c>
      <c r="Q272" s="1">
        <v>5600</v>
      </c>
      <c r="R272" s="1">
        <v>5590</v>
      </c>
      <c r="S272" s="1">
        <v>5780</v>
      </c>
      <c r="T272" s="1">
        <v>5680</v>
      </c>
      <c r="U272" s="1">
        <v>5340</v>
      </c>
      <c r="V272" s="1">
        <v>5990</v>
      </c>
      <c r="W272" s="1">
        <v>6000</v>
      </c>
      <c r="X272" s="1">
        <v>5630</v>
      </c>
      <c r="Y272" s="1">
        <v>5160</v>
      </c>
      <c r="Z272" s="1">
        <v>4480</v>
      </c>
      <c r="AA272" s="1">
        <v>4720</v>
      </c>
      <c r="AB272" s="1">
        <v>4360</v>
      </c>
      <c r="AC272" s="1">
        <v>4250</v>
      </c>
      <c r="AD272" s="1">
        <v>3995</v>
      </c>
      <c r="AE272" s="1">
        <v>4355</v>
      </c>
      <c r="AF272" s="1">
        <v>4490</v>
      </c>
      <c r="AG272" s="1">
        <v>4525</v>
      </c>
      <c r="AH272" s="1">
        <v>4570</v>
      </c>
      <c r="AI272" s="1">
        <v>4790</v>
      </c>
      <c r="AJ272" s="1">
        <v>5650</v>
      </c>
      <c r="AK272" s="1">
        <v>4800</v>
      </c>
      <c r="AL272" s="1">
        <v>3725</v>
      </c>
      <c r="AM272" s="1">
        <v>4180</v>
      </c>
      <c r="AN272" s="1">
        <v>3600</v>
      </c>
      <c r="AO272" s="1">
        <v>2973</v>
      </c>
      <c r="AP272" s="1">
        <v>3045</v>
      </c>
      <c r="AQ272" s="1">
        <v>3030</v>
      </c>
      <c r="AR272" s="1">
        <v>2894</v>
      </c>
      <c r="AS272" s="1">
        <v>2995</v>
      </c>
      <c r="AT272" s="1">
        <v>3485</v>
      </c>
      <c r="AU272" s="1">
        <v>3250</v>
      </c>
      <c r="AV272" s="1">
        <v>3140</v>
      </c>
      <c r="AW272" s="1">
        <v>3235</v>
      </c>
      <c r="AX272" s="1">
        <v>3230</v>
      </c>
      <c r="AY272" s="1">
        <v>2919</v>
      </c>
      <c r="AZ272" s="1">
        <v>2751</v>
      </c>
      <c r="BA272" s="1">
        <v>2610</v>
      </c>
      <c r="BB272" s="1">
        <v>2412</v>
      </c>
      <c r="BC272" s="1">
        <v>2299</v>
      </c>
      <c r="BD272" s="1">
        <v>2304</v>
      </c>
      <c r="BE272" s="1">
        <v>2256</v>
      </c>
      <c r="BF272" s="1">
        <v>2451</v>
      </c>
      <c r="BG272" s="1">
        <v>2346</v>
      </c>
      <c r="BH272" s="1">
        <v>2400</v>
      </c>
      <c r="BI272" s="1">
        <v>2215</v>
      </c>
      <c r="BJ272" s="1">
        <v>2218</v>
      </c>
      <c r="BK272" s="1">
        <v>2082</v>
      </c>
      <c r="BL272" s="1">
        <v>1974</v>
      </c>
      <c r="BM272" s="1">
        <v>1780</v>
      </c>
      <c r="BN272" s="1">
        <v>1650</v>
      </c>
      <c r="BO272" s="1">
        <v>1664</v>
      </c>
      <c r="BP272" s="1">
        <v>1650</v>
      </c>
    </row>
    <row r="273" spans="1:68">
      <c r="A273" s="77" t="s">
        <v>486</v>
      </c>
      <c r="B273" s="1" t="str">
        <f>銘柄管理!C273</f>
        <v/>
      </c>
      <c r="C273" s="1" t="str">
        <f>_xll.RssMarket("4544","始値")</f>
        <v/>
      </c>
      <c r="E273" s="1">
        <v>3366</v>
      </c>
      <c r="F273" s="1">
        <v>3352</v>
      </c>
      <c r="G273" s="1">
        <v>3382</v>
      </c>
      <c r="H273" s="1">
        <v>3390</v>
      </c>
      <c r="I273" s="1">
        <v>3345</v>
      </c>
      <c r="J273" s="1">
        <v>3476</v>
      </c>
      <c r="K273" s="1">
        <v>3498</v>
      </c>
      <c r="L273" s="1">
        <v>3430</v>
      </c>
      <c r="M273" s="1">
        <v>3400</v>
      </c>
      <c r="N273" s="1">
        <v>3419</v>
      </c>
      <c r="O273" s="1">
        <v>3328</v>
      </c>
      <c r="P273" s="1">
        <v>3295</v>
      </c>
      <c r="Q273" s="1">
        <v>3288</v>
      </c>
      <c r="R273" s="1">
        <v>3255</v>
      </c>
      <c r="S273" s="1">
        <v>3245</v>
      </c>
      <c r="T273" s="1">
        <v>3145</v>
      </c>
      <c r="U273" s="1">
        <v>3147</v>
      </c>
      <c r="V273" s="1">
        <v>3159</v>
      </c>
      <c r="W273" s="1">
        <v>3093</v>
      </c>
      <c r="X273" s="1">
        <v>3165</v>
      </c>
      <c r="Y273" s="1">
        <v>3126</v>
      </c>
      <c r="Z273" s="1">
        <v>3251</v>
      </c>
      <c r="AA273" s="1">
        <v>3238</v>
      </c>
      <c r="AB273" s="1">
        <v>3379</v>
      </c>
      <c r="AC273" s="1">
        <v>3436</v>
      </c>
      <c r="AD273" s="1">
        <v>3465</v>
      </c>
      <c r="AE273" s="1">
        <v>3442</v>
      </c>
      <c r="AF273" s="1">
        <v>3293</v>
      </c>
      <c r="AG273" s="1">
        <v>3333</v>
      </c>
      <c r="AH273" s="1">
        <v>3283</v>
      </c>
      <c r="AI273" s="1">
        <v>3121</v>
      </c>
      <c r="AJ273" s="1">
        <v>3156</v>
      </c>
      <c r="AK273" s="1">
        <v>3146</v>
      </c>
      <c r="AL273" s="1">
        <v>3156</v>
      </c>
      <c r="AM273" s="1">
        <v>3144</v>
      </c>
      <c r="AN273" s="1">
        <v>3171</v>
      </c>
      <c r="AO273" s="1">
        <v>3168</v>
      </c>
      <c r="AP273" s="1">
        <v>3225</v>
      </c>
      <c r="AQ273" s="1">
        <v>3249</v>
      </c>
      <c r="AR273" s="1">
        <v>3198</v>
      </c>
      <c r="AS273" s="1">
        <v>3204</v>
      </c>
      <c r="AT273" s="1">
        <v>3139</v>
      </c>
      <c r="AU273" s="1">
        <v>3136</v>
      </c>
      <c r="AV273" s="1">
        <v>3100</v>
      </c>
      <c r="AW273" s="1">
        <v>3141</v>
      </c>
      <c r="AX273" s="1">
        <v>3074</v>
      </c>
      <c r="AY273" s="1">
        <v>3178</v>
      </c>
      <c r="AZ273" s="1">
        <v>3112</v>
      </c>
      <c r="BA273" s="1">
        <v>3081</v>
      </c>
      <c r="BB273" s="1">
        <v>3100</v>
      </c>
      <c r="BC273" s="1">
        <v>3281</v>
      </c>
      <c r="BD273" s="1">
        <v>3205</v>
      </c>
      <c r="BE273" s="1">
        <v>3160</v>
      </c>
      <c r="BF273" s="1">
        <v>3140</v>
      </c>
      <c r="BG273" s="1">
        <v>3125</v>
      </c>
      <c r="BH273" s="1">
        <v>3161</v>
      </c>
      <c r="BI273" s="1">
        <v>3146</v>
      </c>
      <c r="BJ273" s="1">
        <v>3182</v>
      </c>
      <c r="BK273" s="1">
        <v>3188</v>
      </c>
      <c r="BL273" s="1">
        <v>3165</v>
      </c>
      <c r="BM273" s="1">
        <v>3143</v>
      </c>
      <c r="BN273" s="1">
        <v>3098</v>
      </c>
      <c r="BO273" s="1">
        <v>3208</v>
      </c>
      <c r="BP273" s="1">
        <v>3221</v>
      </c>
    </row>
    <row r="274" spans="1:68">
      <c r="A274" s="77" t="s">
        <v>487</v>
      </c>
      <c r="B274" s="1" t="str">
        <f>銘柄管理!C274</f>
        <v/>
      </c>
      <c r="C274" s="1" t="str">
        <f>_xll.RssMarket("6848","始値")</f>
        <v/>
      </c>
      <c r="E274" s="1">
        <v>856</v>
      </c>
      <c r="F274" s="1">
        <v>855</v>
      </c>
      <c r="G274" s="1">
        <v>854</v>
      </c>
      <c r="H274" s="1">
        <v>856</v>
      </c>
      <c r="I274" s="1">
        <v>862</v>
      </c>
      <c r="J274" s="1">
        <v>869</v>
      </c>
      <c r="K274" s="1">
        <v>862</v>
      </c>
      <c r="L274" s="1">
        <v>858</v>
      </c>
      <c r="M274" s="1">
        <v>854</v>
      </c>
      <c r="N274" s="1">
        <v>874</v>
      </c>
      <c r="O274" s="1">
        <v>860</v>
      </c>
      <c r="P274" s="1">
        <v>868</v>
      </c>
      <c r="Q274" s="1">
        <v>856</v>
      </c>
      <c r="R274" s="1">
        <v>860</v>
      </c>
      <c r="S274" s="1">
        <v>886</v>
      </c>
      <c r="T274" s="1">
        <v>867</v>
      </c>
      <c r="U274" s="1">
        <v>858</v>
      </c>
      <c r="V274" s="1">
        <v>862</v>
      </c>
      <c r="W274" s="1">
        <v>856</v>
      </c>
      <c r="X274" s="1">
        <v>859</v>
      </c>
      <c r="Y274" s="1">
        <v>853</v>
      </c>
      <c r="Z274" s="1">
        <v>877</v>
      </c>
      <c r="AA274" s="1">
        <v>848</v>
      </c>
      <c r="AB274" s="1">
        <v>850</v>
      </c>
      <c r="AC274" s="1">
        <v>852</v>
      </c>
      <c r="AD274" s="1">
        <v>851</v>
      </c>
      <c r="AE274" s="1">
        <v>861</v>
      </c>
      <c r="AF274" s="1">
        <v>869</v>
      </c>
      <c r="AG274" s="1">
        <v>856</v>
      </c>
      <c r="AH274" s="1">
        <v>862</v>
      </c>
      <c r="AI274" s="1">
        <v>865</v>
      </c>
      <c r="AJ274" s="1">
        <v>859</v>
      </c>
      <c r="AK274" s="1">
        <v>865</v>
      </c>
      <c r="AL274" s="1">
        <v>850</v>
      </c>
      <c r="AM274" s="1">
        <v>875</v>
      </c>
      <c r="AN274" s="1">
        <v>877</v>
      </c>
      <c r="AO274" s="1">
        <v>870</v>
      </c>
      <c r="AP274" s="1">
        <v>871</v>
      </c>
      <c r="AQ274" s="1">
        <v>877</v>
      </c>
      <c r="AR274" s="1">
        <v>869</v>
      </c>
      <c r="AS274" s="1">
        <v>880</v>
      </c>
      <c r="AT274" s="1">
        <v>883</v>
      </c>
      <c r="AU274" s="1">
        <v>874</v>
      </c>
      <c r="AV274" s="1">
        <v>869</v>
      </c>
      <c r="AW274" s="1">
        <v>865</v>
      </c>
      <c r="AX274" s="1">
        <v>876</v>
      </c>
      <c r="AY274" s="1">
        <v>870</v>
      </c>
      <c r="AZ274" s="1">
        <v>880</v>
      </c>
      <c r="BA274" s="1">
        <v>874</v>
      </c>
      <c r="BB274" s="1">
        <v>883</v>
      </c>
      <c r="BC274" s="1">
        <v>884</v>
      </c>
      <c r="BD274" s="1">
        <v>880</v>
      </c>
      <c r="BE274" s="1">
        <v>884</v>
      </c>
      <c r="BF274" s="1">
        <v>872</v>
      </c>
      <c r="BG274" s="1">
        <v>871</v>
      </c>
      <c r="BH274" s="1">
        <v>875</v>
      </c>
      <c r="BI274" s="1">
        <v>875</v>
      </c>
      <c r="BJ274" s="1">
        <v>872</v>
      </c>
      <c r="BK274" s="1">
        <v>882</v>
      </c>
      <c r="BL274" s="1">
        <v>888</v>
      </c>
      <c r="BM274" s="1">
        <v>880</v>
      </c>
      <c r="BN274" s="1">
        <v>879</v>
      </c>
    </row>
    <row r="275" spans="1:68">
      <c r="A275" s="77" t="s">
        <v>488</v>
      </c>
      <c r="B275" s="1" t="str">
        <f>銘柄管理!C275</f>
        <v/>
      </c>
      <c r="C275" s="1" t="str">
        <f>_xll.RssMarket("5702","始値")</f>
        <v/>
      </c>
      <c r="E275" s="1">
        <v>1491</v>
      </c>
      <c r="F275" s="1">
        <v>1517</v>
      </c>
      <c r="G275" s="1">
        <v>1465</v>
      </c>
      <c r="H275" s="1">
        <v>1485</v>
      </c>
      <c r="I275" s="1">
        <v>1477</v>
      </c>
      <c r="J275" s="1">
        <v>1454</v>
      </c>
      <c r="K275" s="1">
        <v>1470</v>
      </c>
      <c r="L275" s="1">
        <v>1520</v>
      </c>
      <c r="M275" s="1">
        <v>1526</v>
      </c>
      <c r="N275" s="1">
        <v>1489</v>
      </c>
      <c r="O275" s="1">
        <v>1500</v>
      </c>
      <c r="P275" s="1">
        <v>1483</v>
      </c>
      <c r="Q275" s="1">
        <v>1490</v>
      </c>
      <c r="R275" s="1">
        <v>1525</v>
      </c>
      <c r="S275" s="1">
        <v>1534</v>
      </c>
      <c r="T275" s="1">
        <v>1590</v>
      </c>
      <c r="U275" s="1">
        <v>1610</v>
      </c>
      <c r="V275" s="1">
        <v>1645</v>
      </c>
      <c r="W275" s="1">
        <v>1666</v>
      </c>
      <c r="X275" s="1">
        <v>1678</v>
      </c>
      <c r="Y275" s="1">
        <v>1719</v>
      </c>
      <c r="Z275" s="1">
        <v>1745</v>
      </c>
      <c r="AA275" s="1">
        <v>1798</v>
      </c>
      <c r="AB275" s="1">
        <v>1877</v>
      </c>
      <c r="AC275" s="1">
        <v>1850</v>
      </c>
      <c r="AD275" s="1">
        <v>1800</v>
      </c>
      <c r="AE275" s="1">
        <v>1823</v>
      </c>
      <c r="AF275" s="1">
        <v>1885</v>
      </c>
      <c r="AG275" s="1">
        <v>1957</v>
      </c>
      <c r="AH275" s="1">
        <v>2020</v>
      </c>
      <c r="AI275" s="1">
        <v>1903</v>
      </c>
      <c r="AJ275" s="1">
        <v>1993</v>
      </c>
      <c r="AK275" s="1">
        <v>1971</v>
      </c>
      <c r="AL275" s="1">
        <v>2070</v>
      </c>
      <c r="AM275" s="1">
        <v>1931</v>
      </c>
      <c r="AN275" s="1">
        <v>1895</v>
      </c>
      <c r="AO275" s="1">
        <v>1823</v>
      </c>
      <c r="AP275" s="1">
        <v>1800</v>
      </c>
      <c r="AQ275" s="1">
        <v>1802</v>
      </c>
      <c r="AR275" s="1">
        <v>1820</v>
      </c>
      <c r="AS275" s="1">
        <v>1853</v>
      </c>
      <c r="AT275" s="1">
        <v>1590</v>
      </c>
      <c r="AU275" s="1">
        <v>1569</v>
      </c>
      <c r="AV275" s="1">
        <v>1612</v>
      </c>
      <c r="AW275" s="1">
        <v>1613</v>
      </c>
      <c r="AX275" s="1">
        <v>1550</v>
      </c>
      <c r="AY275" s="1">
        <v>1531</v>
      </c>
      <c r="AZ275" s="1">
        <v>1485</v>
      </c>
      <c r="BA275" s="1">
        <v>1461</v>
      </c>
      <c r="BB275" s="1">
        <v>1470</v>
      </c>
      <c r="BC275" s="1">
        <v>1440</v>
      </c>
      <c r="BD275" s="1">
        <v>1454</v>
      </c>
      <c r="BE275" s="1">
        <v>1475</v>
      </c>
      <c r="BF275" s="1">
        <v>1491</v>
      </c>
      <c r="BG275" s="1">
        <v>1530</v>
      </c>
      <c r="BH275" s="1">
        <v>1518</v>
      </c>
      <c r="BI275" s="1">
        <v>1555</v>
      </c>
      <c r="BJ275" s="1">
        <v>1575</v>
      </c>
      <c r="BK275" s="1">
        <v>1595</v>
      </c>
      <c r="BL275" s="1">
        <v>1590</v>
      </c>
      <c r="BM275" s="1">
        <v>1550</v>
      </c>
      <c r="BN275" s="1">
        <v>1580</v>
      </c>
      <c r="BO275" s="1">
        <v>1559</v>
      </c>
      <c r="BP275" s="1">
        <v>1520</v>
      </c>
    </row>
    <row r="276" spans="1:68">
      <c r="A276" s="77" t="s">
        <v>489</v>
      </c>
      <c r="B276" s="1" t="str">
        <f>銘柄管理!C276</f>
        <v/>
      </c>
      <c r="C276" s="1" t="str">
        <f>_xll.RssMarket("7952","始値")</f>
        <v/>
      </c>
      <c r="E276" s="1">
        <v>3300</v>
      </c>
      <c r="F276" s="1">
        <v>3190</v>
      </c>
      <c r="G276" s="1">
        <v>3195</v>
      </c>
      <c r="H276" s="1">
        <v>3205</v>
      </c>
      <c r="I276" s="1">
        <v>3260</v>
      </c>
      <c r="J276" s="1">
        <v>3190</v>
      </c>
      <c r="K276" s="1">
        <v>3245</v>
      </c>
      <c r="L276" s="1">
        <v>3275</v>
      </c>
      <c r="M276" s="1">
        <v>3285</v>
      </c>
      <c r="N276" s="1">
        <v>3195</v>
      </c>
      <c r="O276" s="1">
        <v>3235</v>
      </c>
      <c r="P276" s="1">
        <v>3240</v>
      </c>
      <c r="Q276" s="1">
        <v>3210</v>
      </c>
      <c r="R276" s="1">
        <v>3380</v>
      </c>
      <c r="S276" s="1">
        <v>3340</v>
      </c>
      <c r="T276" s="1">
        <v>3320</v>
      </c>
      <c r="U276" s="1">
        <v>3250</v>
      </c>
      <c r="V276" s="1">
        <v>3300</v>
      </c>
      <c r="W276" s="1">
        <v>3350</v>
      </c>
      <c r="X276" s="1">
        <v>3295</v>
      </c>
      <c r="Y276" s="1">
        <v>3250</v>
      </c>
      <c r="Z276" s="1">
        <v>3195</v>
      </c>
      <c r="AA276" s="1">
        <v>3070</v>
      </c>
      <c r="AB276" s="1">
        <v>3020</v>
      </c>
      <c r="AC276" s="1">
        <v>3065</v>
      </c>
      <c r="AD276" s="1">
        <v>3155</v>
      </c>
      <c r="AE276" s="1">
        <v>3130</v>
      </c>
      <c r="AF276" s="1">
        <v>3185</v>
      </c>
      <c r="AG276" s="1">
        <v>3200</v>
      </c>
      <c r="AH276" s="1">
        <v>3145</v>
      </c>
      <c r="AI276" s="1">
        <v>3250</v>
      </c>
      <c r="AJ276" s="1">
        <v>3035</v>
      </c>
      <c r="AK276" s="1">
        <v>3020</v>
      </c>
      <c r="AL276" s="1">
        <v>2991</v>
      </c>
      <c r="AM276" s="1">
        <v>2993</v>
      </c>
      <c r="AN276" s="1">
        <v>2937</v>
      </c>
      <c r="AO276" s="1">
        <v>3100</v>
      </c>
      <c r="AP276" s="1">
        <v>3135</v>
      </c>
      <c r="AQ276" s="1">
        <v>3125</v>
      </c>
      <c r="AR276" s="1">
        <v>3075</v>
      </c>
      <c r="AS276" s="1">
        <v>2981</v>
      </c>
      <c r="AT276" s="1">
        <v>2940</v>
      </c>
      <c r="AU276" s="1">
        <v>2810</v>
      </c>
      <c r="AV276" s="1">
        <v>2719</v>
      </c>
      <c r="AW276" s="1">
        <v>2783</v>
      </c>
      <c r="AX276" s="1">
        <v>2810</v>
      </c>
      <c r="AY276" s="1">
        <v>2758</v>
      </c>
      <c r="AZ276" s="1">
        <v>2800</v>
      </c>
      <c r="BA276" s="1">
        <v>2876</v>
      </c>
      <c r="BB276" s="1">
        <v>2834</v>
      </c>
      <c r="BC276" s="1">
        <v>2899</v>
      </c>
      <c r="BD276" s="1">
        <v>3005</v>
      </c>
      <c r="BE276" s="1">
        <v>3065</v>
      </c>
      <c r="BF276" s="1">
        <v>3075</v>
      </c>
      <c r="BG276" s="1">
        <v>3050</v>
      </c>
      <c r="BH276" s="1">
        <v>3130</v>
      </c>
      <c r="BI276" s="1">
        <v>3070</v>
      </c>
      <c r="BJ276" s="1">
        <v>3020</v>
      </c>
      <c r="BK276" s="1">
        <v>3005</v>
      </c>
      <c r="BL276" s="1">
        <v>2995</v>
      </c>
      <c r="BM276" s="1">
        <v>2986</v>
      </c>
      <c r="BN276" s="1">
        <v>3000</v>
      </c>
      <c r="BO276" s="1">
        <v>3060</v>
      </c>
      <c r="BP276" s="1">
        <v>3000</v>
      </c>
    </row>
    <row r="277" spans="1:68">
      <c r="A277" s="77" t="s">
        <v>490</v>
      </c>
      <c r="B277" s="1" t="str">
        <f>銘柄管理!C277</f>
        <v/>
      </c>
      <c r="C277" s="1" t="str">
        <f>_xll.RssMarket("3002","始値")</f>
        <v/>
      </c>
      <c r="E277" s="1">
        <v>3985</v>
      </c>
      <c r="F277" s="1">
        <v>4000</v>
      </c>
      <c r="G277" s="1">
        <v>3970</v>
      </c>
      <c r="H277" s="1">
        <v>3980</v>
      </c>
      <c r="I277" s="1">
        <v>4030</v>
      </c>
      <c r="J277" s="1">
        <v>4015</v>
      </c>
      <c r="K277" s="1">
        <v>4030</v>
      </c>
      <c r="L277" s="1">
        <v>4050</v>
      </c>
      <c r="M277" s="1">
        <v>4020</v>
      </c>
      <c r="N277" s="1">
        <v>3945</v>
      </c>
      <c r="O277" s="1">
        <v>3860</v>
      </c>
      <c r="P277" s="1">
        <v>3865</v>
      </c>
      <c r="Q277" s="1">
        <v>3890</v>
      </c>
      <c r="R277" s="1">
        <v>3860</v>
      </c>
      <c r="S277" s="1">
        <v>3875</v>
      </c>
      <c r="T277" s="1">
        <v>3850</v>
      </c>
      <c r="U277" s="1">
        <v>3830</v>
      </c>
      <c r="V277" s="1">
        <v>3835</v>
      </c>
      <c r="W277" s="1">
        <v>3850</v>
      </c>
      <c r="X277" s="1">
        <v>3840</v>
      </c>
      <c r="Y277" s="1">
        <v>3810</v>
      </c>
      <c r="Z277" s="1">
        <v>3815</v>
      </c>
      <c r="AA277" s="1">
        <v>3845</v>
      </c>
      <c r="AB277" s="1">
        <v>3800</v>
      </c>
      <c r="AC277" s="1">
        <v>3735</v>
      </c>
      <c r="AD277" s="1">
        <v>3725</v>
      </c>
      <c r="AE277" s="1">
        <v>3680</v>
      </c>
      <c r="AF277" s="1">
        <v>3700</v>
      </c>
      <c r="AG277" s="1">
        <v>3690</v>
      </c>
      <c r="AH277" s="1">
        <v>3685</v>
      </c>
      <c r="AI277" s="1">
        <v>3690</v>
      </c>
      <c r="AJ277" s="1">
        <v>3715</v>
      </c>
      <c r="AK277" s="1">
        <v>3700</v>
      </c>
      <c r="AL277" s="1">
        <v>3670</v>
      </c>
      <c r="AM277" s="1">
        <v>3655</v>
      </c>
      <c r="AN277" s="1">
        <v>3695</v>
      </c>
      <c r="AO277" s="1">
        <v>3670</v>
      </c>
      <c r="AP277" s="1">
        <v>3715</v>
      </c>
      <c r="AQ277" s="1">
        <v>3725</v>
      </c>
      <c r="AR277" s="1">
        <v>3740</v>
      </c>
      <c r="AS277" s="1">
        <v>3680</v>
      </c>
      <c r="AT277" s="1">
        <v>3580</v>
      </c>
      <c r="AU277" s="1">
        <v>3590</v>
      </c>
      <c r="AV277" s="1">
        <v>3625</v>
      </c>
      <c r="AW277" s="1">
        <v>3625</v>
      </c>
      <c r="AX277" s="1">
        <v>3630</v>
      </c>
      <c r="AY277" s="1">
        <v>3620</v>
      </c>
      <c r="AZ277" s="1">
        <v>3600</v>
      </c>
      <c r="BA277" s="1">
        <v>3665</v>
      </c>
      <c r="BB277" s="1">
        <v>3680</v>
      </c>
      <c r="BC277" s="1">
        <v>3655</v>
      </c>
      <c r="BD277" s="1">
        <v>3730</v>
      </c>
      <c r="BE277" s="1">
        <v>3730</v>
      </c>
      <c r="BF277" s="1">
        <v>3825</v>
      </c>
      <c r="BG277" s="1">
        <v>3950</v>
      </c>
      <c r="BH277" s="1">
        <v>3925</v>
      </c>
      <c r="BI277" s="1">
        <v>3920</v>
      </c>
      <c r="BJ277" s="1">
        <v>3880</v>
      </c>
      <c r="BK277" s="1">
        <v>3890</v>
      </c>
      <c r="BL277" s="1">
        <v>3900</v>
      </c>
      <c r="BM277" s="1">
        <v>3925</v>
      </c>
      <c r="BN277" s="1">
        <v>3970</v>
      </c>
      <c r="BO277" s="1">
        <v>3980</v>
      </c>
      <c r="BP277" s="1">
        <v>3930</v>
      </c>
    </row>
    <row r="278" spans="1:68">
      <c r="A278" s="77" t="s">
        <v>491</v>
      </c>
      <c r="B278" s="1" t="str">
        <f>銘柄管理!C278</f>
        <v/>
      </c>
      <c r="C278" s="1" t="str">
        <f>_xll.RssMarket("8871","始値")</f>
        <v/>
      </c>
      <c r="E278" s="1">
        <v>3390</v>
      </c>
      <c r="F278" s="1">
        <v>3375</v>
      </c>
      <c r="G278" s="1">
        <v>3355</v>
      </c>
      <c r="H278" s="1">
        <v>3370</v>
      </c>
      <c r="I278" s="1">
        <v>3365</v>
      </c>
      <c r="J278" s="1">
        <v>3415</v>
      </c>
      <c r="K278" s="1">
        <v>3330</v>
      </c>
      <c r="L278" s="1">
        <v>3300</v>
      </c>
      <c r="M278" s="1">
        <v>3285</v>
      </c>
      <c r="N278" s="1">
        <v>3295</v>
      </c>
      <c r="O278" s="1">
        <v>3240</v>
      </c>
      <c r="P278" s="1">
        <v>3340</v>
      </c>
      <c r="Q278" s="1">
        <v>3290</v>
      </c>
      <c r="R278" s="1">
        <v>3220</v>
      </c>
      <c r="S278" s="1">
        <v>3225</v>
      </c>
      <c r="T278" s="1">
        <v>3230</v>
      </c>
      <c r="U278" s="1">
        <v>3290</v>
      </c>
      <c r="V278" s="1">
        <v>3235</v>
      </c>
      <c r="W278" s="1">
        <v>3260</v>
      </c>
      <c r="X278" s="1">
        <v>3305</v>
      </c>
      <c r="Y278" s="1">
        <v>3310</v>
      </c>
      <c r="Z278" s="1">
        <v>3420</v>
      </c>
      <c r="AA278" s="1">
        <v>3305</v>
      </c>
      <c r="AB278" s="1">
        <v>3330</v>
      </c>
      <c r="AC278" s="1">
        <v>3275</v>
      </c>
      <c r="AD278" s="1">
        <v>3250</v>
      </c>
      <c r="AE278" s="1">
        <v>3240</v>
      </c>
      <c r="AF278" s="1">
        <v>3300</v>
      </c>
      <c r="AG278" s="1">
        <v>3400</v>
      </c>
      <c r="AH278" s="1">
        <v>3470</v>
      </c>
      <c r="AI278" s="1">
        <v>3585</v>
      </c>
      <c r="AJ278" s="1">
        <v>3540</v>
      </c>
      <c r="AK278" s="1">
        <v>3600</v>
      </c>
      <c r="AL278" s="1">
        <v>3505</v>
      </c>
      <c r="AM278" s="1">
        <v>3585</v>
      </c>
      <c r="AN278" s="1">
        <v>3600</v>
      </c>
      <c r="AO278" s="1">
        <v>3660</v>
      </c>
      <c r="AP278" s="1">
        <v>3675</v>
      </c>
      <c r="AQ278" s="1">
        <v>3705</v>
      </c>
      <c r="AR278" s="1">
        <v>3850</v>
      </c>
      <c r="AS278" s="1">
        <v>3285</v>
      </c>
      <c r="AT278" s="1">
        <v>3345</v>
      </c>
      <c r="AU278" s="1">
        <v>3320</v>
      </c>
      <c r="AV278" s="1">
        <v>3305</v>
      </c>
      <c r="AW278" s="1">
        <v>3335</v>
      </c>
      <c r="AX278" s="1">
        <v>3325</v>
      </c>
      <c r="AY278" s="1">
        <v>3325</v>
      </c>
      <c r="AZ278" s="1">
        <v>3320</v>
      </c>
      <c r="BA278" s="1">
        <v>3335</v>
      </c>
      <c r="BB278" s="1">
        <v>3290</v>
      </c>
      <c r="BC278" s="1">
        <v>3320</v>
      </c>
      <c r="BD278" s="1">
        <v>3290</v>
      </c>
      <c r="BE278" s="1">
        <v>3395</v>
      </c>
      <c r="BF278" s="1">
        <v>3440</v>
      </c>
      <c r="BG278" s="1">
        <v>3420</v>
      </c>
      <c r="BH278" s="1">
        <v>3465</v>
      </c>
      <c r="BI278" s="1">
        <v>3480</v>
      </c>
      <c r="BJ278" s="1">
        <v>3440</v>
      </c>
      <c r="BK278" s="1">
        <v>3500</v>
      </c>
      <c r="BL278" s="1">
        <v>3465</v>
      </c>
      <c r="BM278" s="1">
        <v>3500</v>
      </c>
      <c r="BN278" s="1">
        <v>3525</v>
      </c>
      <c r="BO278" s="1">
        <v>3585</v>
      </c>
    </row>
    <row r="279" spans="1:68">
      <c r="A279" s="77" t="s">
        <v>492</v>
      </c>
      <c r="B279" s="1" t="str">
        <f>銘柄管理!C279</f>
        <v/>
      </c>
      <c r="C279" s="1" t="str">
        <f>_xll.RssMarket("6918","始値")</f>
        <v/>
      </c>
      <c r="E279" s="1">
        <v>3200</v>
      </c>
      <c r="F279" s="1">
        <v>3300</v>
      </c>
      <c r="G279" s="1">
        <v>3210</v>
      </c>
      <c r="H279" s="1">
        <v>3260</v>
      </c>
      <c r="I279" s="1">
        <v>3200</v>
      </c>
      <c r="J279" s="1">
        <v>3180</v>
      </c>
      <c r="K279" s="1">
        <v>3205</v>
      </c>
      <c r="L279" s="1">
        <v>3350</v>
      </c>
      <c r="M279" s="1">
        <v>3405</v>
      </c>
      <c r="N279" s="1">
        <v>3335</v>
      </c>
      <c r="O279" s="1">
        <v>3360</v>
      </c>
      <c r="P279" s="1">
        <v>3350</v>
      </c>
      <c r="Q279" s="1">
        <v>3265</v>
      </c>
      <c r="R279" s="1">
        <v>3300</v>
      </c>
      <c r="S279" s="1">
        <v>3390</v>
      </c>
      <c r="T279" s="1">
        <v>3400</v>
      </c>
      <c r="U279" s="1">
        <v>3340</v>
      </c>
      <c r="V279" s="1">
        <v>3515</v>
      </c>
      <c r="W279" s="1">
        <v>3415</v>
      </c>
      <c r="X279" s="1">
        <v>3495</v>
      </c>
      <c r="Y279" s="1">
        <v>3400</v>
      </c>
      <c r="Z279" s="1">
        <v>3265</v>
      </c>
      <c r="AA279" s="1">
        <v>3240</v>
      </c>
      <c r="AB279" s="1">
        <v>3185</v>
      </c>
      <c r="AC279" s="1">
        <v>3095</v>
      </c>
      <c r="AD279" s="1">
        <v>2890</v>
      </c>
      <c r="AE279" s="1">
        <v>3000</v>
      </c>
      <c r="AF279" s="1">
        <v>3075</v>
      </c>
      <c r="AG279" s="1">
        <v>3285</v>
      </c>
      <c r="AH279" s="1">
        <v>3260</v>
      </c>
      <c r="AI279" s="1">
        <v>3430</v>
      </c>
      <c r="AJ279" s="1">
        <v>3530</v>
      </c>
      <c r="AK279" s="1">
        <v>3500</v>
      </c>
      <c r="AL279" s="1">
        <v>3405</v>
      </c>
      <c r="AM279" s="1">
        <v>3400</v>
      </c>
      <c r="AN279" s="1">
        <v>3405</v>
      </c>
      <c r="AO279" s="1">
        <v>3460</v>
      </c>
      <c r="AP279" s="1">
        <v>3360</v>
      </c>
      <c r="AQ279" s="1">
        <v>3525</v>
      </c>
      <c r="AR279" s="1">
        <v>3750</v>
      </c>
      <c r="AS279" s="1">
        <v>3590</v>
      </c>
      <c r="AT279" s="1">
        <v>3465</v>
      </c>
      <c r="AU279" s="1">
        <v>3635</v>
      </c>
      <c r="AV279" s="1">
        <v>3600</v>
      </c>
      <c r="AW279" s="1">
        <v>3700</v>
      </c>
      <c r="AX279" s="1">
        <v>3375</v>
      </c>
      <c r="AY279" s="1">
        <v>3245</v>
      </c>
      <c r="AZ279" s="1">
        <v>3175</v>
      </c>
      <c r="BA279" s="1">
        <v>2912</v>
      </c>
      <c r="BB279" s="1">
        <v>2891</v>
      </c>
      <c r="BC279" s="1">
        <v>2950</v>
      </c>
      <c r="BD279" s="1">
        <v>3025</v>
      </c>
      <c r="BE279" s="1">
        <v>2986</v>
      </c>
      <c r="BF279" s="1">
        <v>3030</v>
      </c>
      <c r="BG279" s="1">
        <v>3055</v>
      </c>
      <c r="BH279" s="1">
        <v>2907</v>
      </c>
      <c r="BI279" s="1">
        <v>2851</v>
      </c>
      <c r="BJ279" s="1">
        <v>2873</v>
      </c>
      <c r="BK279" s="1">
        <v>2819</v>
      </c>
      <c r="BL279" s="1">
        <v>2896</v>
      </c>
      <c r="BM279" s="1">
        <v>2820</v>
      </c>
      <c r="BN279" s="1">
        <v>2777</v>
      </c>
      <c r="BO279" s="1">
        <v>2727</v>
      </c>
      <c r="BP279" s="1">
        <v>2685</v>
      </c>
    </row>
    <row r="280" spans="1:68">
      <c r="A280" s="77" t="s">
        <v>493</v>
      </c>
      <c r="B280" s="1" t="str">
        <f>銘柄管理!C280</f>
        <v/>
      </c>
      <c r="C280" s="1" t="str">
        <f>_xll.RssMarket("6488","始値")</f>
        <v/>
      </c>
      <c r="E280" s="1">
        <v>976</v>
      </c>
      <c r="F280" s="1">
        <v>971</v>
      </c>
      <c r="G280" s="1">
        <v>980</v>
      </c>
      <c r="H280" s="1">
        <v>970</v>
      </c>
      <c r="I280" s="1">
        <v>962</v>
      </c>
      <c r="J280" s="1">
        <v>960</v>
      </c>
      <c r="K280" s="1">
        <v>970</v>
      </c>
      <c r="L280" s="1">
        <v>962</v>
      </c>
      <c r="M280" s="1">
        <v>955</v>
      </c>
      <c r="N280" s="1">
        <v>948</v>
      </c>
      <c r="O280" s="1">
        <v>940</v>
      </c>
      <c r="P280" s="1">
        <v>935</v>
      </c>
      <c r="Q280" s="1">
        <v>936</v>
      </c>
      <c r="R280" s="1">
        <v>927</v>
      </c>
      <c r="S280" s="1">
        <v>937</v>
      </c>
      <c r="T280" s="1">
        <v>942</v>
      </c>
      <c r="U280" s="1">
        <v>948</v>
      </c>
      <c r="V280" s="1">
        <v>939</v>
      </c>
      <c r="W280" s="1">
        <v>930</v>
      </c>
      <c r="X280" s="1">
        <v>924</v>
      </c>
      <c r="Y280" s="1">
        <v>920</v>
      </c>
      <c r="Z280" s="1">
        <v>919</v>
      </c>
      <c r="AA280" s="1">
        <v>915</v>
      </c>
      <c r="AB280" s="1">
        <v>920</v>
      </c>
      <c r="AC280" s="1">
        <v>931</v>
      </c>
      <c r="AD280" s="1">
        <v>928</v>
      </c>
      <c r="AE280" s="1">
        <v>939</v>
      </c>
      <c r="AF280" s="1">
        <v>930</v>
      </c>
      <c r="AG280" s="1">
        <v>932</v>
      </c>
      <c r="AH280" s="1">
        <v>927</v>
      </c>
      <c r="AI280" s="1">
        <v>930</v>
      </c>
      <c r="AJ280" s="1">
        <v>937</v>
      </c>
      <c r="AK280" s="1">
        <v>943</v>
      </c>
      <c r="AL280" s="1">
        <v>960</v>
      </c>
      <c r="AM280" s="1">
        <v>972</v>
      </c>
      <c r="AN280" s="1">
        <v>970</v>
      </c>
      <c r="AO280" s="1">
        <v>967</v>
      </c>
      <c r="AP280" s="1">
        <v>966</v>
      </c>
      <c r="AQ280" s="1">
        <v>988</v>
      </c>
      <c r="AR280" s="1">
        <v>995</v>
      </c>
      <c r="AS280" s="1">
        <v>939</v>
      </c>
      <c r="AT280" s="1">
        <v>931</v>
      </c>
      <c r="AU280" s="1">
        <v>940</v>
      </c>
      <c r="AV280" s="1">
        <v>935</v>
      </c>
      <c r="AW280" s="1">
        <v>935</v>
      </c>
      <c r="AX280" s="1">
        <v>932</v>
      </c>
      <c r="AY280" s="1">
        <v>943</v>
      </c>
      <c r="AZ280" s="1">
        <v>944</v>
      </c>
      <c r="BA280" s="1">
        <v>935</v>
      </c>
      <c r="BB280" s="1">
        <v>933</v>
      </c>
      <c r="BC280" s="1">
        <v>940</v>
      </c>
      <c r="BD280" s="1">
        <v>931</v>
      </c>
      <c r="BE280" s="1">
        <v>933</v>
      </c>
      <c r="BF280" s="1">
        <v>953</v>
      </c>
      <c r="BG280" s="1">
        <v>959</v>
      </c>
      <c r="BH280" s="1">
        <v>954</v>
      </c>
      <c r="BI280" s="1">
        <v>930</v>
      </c>
      <c r="BJ280" s="1">
        <v>937</v>
      </c>
      <c r="BK280" s="1">
        <v>944</v>
      </c>
      <c r="BL280" s="1">
        <v>945</v>
      </c>
      <c r="BM280" s="1">
        <v>942</v>
      </c>
      <c r="BN280" s="1">
        <v>948</v>
      </c>
      <c r="BO280" s="1">
        <v>938</v>
      </c>
    </row>
    <row r="281" spans="1:68">
      <c r="A281" s="77" t="s">
        <v>494</v>
      </c>
      <c r="B281" s="1" t="str">
        <f>銘柄管理!C281</f>
        <v/>
      </c>
      <c r="C281" s="1" t="str">
        <f>_xll.RssMarket("8007","始値")</f>
        <v/>
      </c>
      <c r="E281" s="1">
        <v>784</v>
      </c>
      <c r="F281" s="1">
        <v>782</v>
      </c>
      <c r="G281" s="1">
        <v>776</v>
      </c>
      <c r="H281" s="1">
        <v>788</v>
      </c>
      <c r="I281" s="1">
        <v>776</v>
      </c>
      <c r="J281" s="1">
        <v>773</v>
      </c>
      <c r="K281" s="1">
        <v>772</v>
      </c>
      <c r="L281" s="1">
        <v>775</v>
      </c>
      <c r="M281" s="1">
        <v>769</v>
      </c>
      <c r="N281" s="1">
        <v>756</v>
      </c>
      <c r="O281" s="1">
        <v>754</v>
      </c>
      <c r="P281" s="1">
        <v>765</v>
      </c>
      <c r="Q281" s="1">
        <v>768</v>
      </c>
      <c r="R281" s="1">
        <v>753</v>
      </c>
      <c r="S281" s="1">
        <v>745</v>
      </c>
      <c r="T281" s="1">
        <v>747</v>
      </c>
      <c r="U281" s="1">
        <v>743</v>
      </c>
      <c r="V281" s="1">
        <v>745</v>
      </c>
      <c r="W281" s="1">
        <v>743</v>
      </c>
      <c r="X281" s="1">
        <v>745</v>
      </c>
      <c r="Y281" s="1">
        <v>749</v>
      </c>
      <c r="Z281" s="1">
        <v>754</v>
      </c>
      <c r="AA281" s="1">
        <v>765</v>
      </c>
      <c r="AB281" s="1">
        <v>748</v>
      </c>
      <c r="AC281" s="1">
        <v>741</v>
      </c>
      <c r="AD281" s="1">
        <v>740</v>
      </c>
      <c r="AE281" s="1">
        <v>741</v>
      </c>
      <c r="AF281" s="1">
        <v>727</v>
      </c>
      <c r="AG281" s="1">
        <v>733</v>
      </c>
      <c r="AH281" s="1">
        <v>731</v>
      </c>
      <c r="AI281" s="1">
        <v>726</v>
      </c>
      <c r="AJ281" s="1">
        <v>727</v>
      </c>
      <c r="AK281" s="1">
        <v>763</v>
      </c>
      <c r="AL281" s="1">
        <v>753</v>
      </c>
      <c r="AM281" s="1">
        <v>754</v>
      </c>
      <c r="AN281" s="1">
        <v>738</v>
      </c>
      <c r="AO281" s="1">
        <v>745</v>
      </c>
      <c r="AP281" s="1">
        <v>738</v>
      </c>
      <c r="AQ281" s="1">
        <v>744</v>
      </c>
      <c r="AR281" s="1">
        <v>755</v>
      </c>
      <c r="AS281" s="1">
        <v>770</v>
      </c>
      <c r="AT281" s="1">
        <v>770</v>
      </c>
      <c r="AU281" s="1">
        <v>696</v>
      </c>
      <c r="AV281" s="1">
        <v>767</v>
      </c>
      <c r="AW281" s="1">
        <v>774</v>
      </c>
      <c r="AX281" s="1">
        <v>780</v>
      </c>
      <c r="AY281" s="1">
        <v>789</v>
      </c>
      <c r="AZ281" s="1">
        <v>794</v>
      </c>
      <c r="BA281" s="1">
        <v>788</v>
      </c>
      <c r="BB281" s="1">
        <v>799</v>
      </c>
      <c r="BC281" s="1">
        <v>775</v>
      </c>
      <c r="BD281" s="1">
        <v>770</v>
      </c>
      <c r="BE281" s="1">
        <v>775</v>
      </c>
      <c r="BF281" s="1">
        <v>774</v>
      </c>
      <c r="BG281" s="1">
        <v>786</v>
      </c>
      <c r="BH281" s="1">
        <v>794</v>
      </c>
      <c r="BI281" s="1">
        <v>804</v>
      </c>
      <c r="BJ281" s="1">
        <v>809</v>
      </c>
      <c r="BK281" s="1">
        <v>814</v>
      </c>
      <c r="BL281" s="1">
        <v>819</v>
      </c>
      <c r="BM281" s="1">
        <v>813</v>
      </c>
      <c r="BN281" s="1">
        <v>814</v>
      </c>
      <c r="BO281" s="1">
        <v>826</v>
      </c>
      <c r="BP281" s="1">
        <v>832</v>
      </c>
    </row>
    <row r="282" spans="1:68">
      <c r="A282" s="77" t="s">
        <v>495</v>
      </c>
      <c r="B282" s="1" t="str">
        <f>銘柄管理!C282</f>
        <v/>
      </c>
      <c r="C282" s="1" t="str">
        <f>_xll.RssMarket("4218","始値")</f>
        <v/>
      </c>
      <c r="E282" s="1">
        <v>1929</v>
      </c>
      <c r="F282" s="1">
        <v>1907</v>
      </c>
      <c r="G282" s="1">
        <v>1914</v>
      </c>
      <c r="H282" s="1">
        <v>1915</v>
      </c>
      <c r="I282" s="1">
        <v>1906</v>
      </c>
      <c r="J282" s="1">
        <v>1921</v>
      </c>
      <c r="K282" s="1">
        <v>1905</v>
      </c>
      <c r="L282" s="1">
        <v>1886</v>
      </c>
      <c r="M282" s="1">
        <v>1895</v>
      </c>
      <c r="N282" s="1">
        <v>1881</v>
      </c>
      <c r="O282" s="1">
        <v>1890</v>
      </c>
      <c r="P282" s="1">
        <v>1897</v>
      </c>
      <c r="Q282" s="1">
        <v>1881</v>
      </c>
      <c r="R282" s="1">
        <v>1864</v>
      </c>
      <c r="S282" s="1">
        <v>1861</v>
      </c>
      <c r="T282" s="1">
        <v>1860</v>
      </c>
      <c r="U282" s="1">
        <v>1836</v>
      </c>
      <c r="V282" s="1">
        <v>1817</v>
      </c>
      <c r="W282" s="1">
        <v>1830</v>
      </c>
      <c r="X282" s="1">
        <v>1850</v>
      </c>
      <c r="Y282" s="1">
        <v>1835</v>
      </c>
      <c r="Z282" s="1">
        <v>1841</v>
      </c>
      <c r="AA282" s="1">
        <v>1843</v>
      </c>
      <c r="AB282" s="1">
        <v>1829</v>
      </c>
      <c r="AC282" s="1">
        <v>1826</v>
      </c>
      <c r="AD282" s="1">
        <v>1803</v>
      </c>
      <c r="AE282" s="1">
        <v>1801</v>
      </c>
      <c r="AF282" s="1">
        <v>1795</v>
      </c>
      <c r="AG282" s="1">
        <v>1810</v>
      </c>
      <c r="AH282" s="1">
        <v>1792</v>
      </c>
      <c r="AI282" s="1">
        <v>1818</v>
      </c>
      <c r="AJ282" s="1">
        <v>1849</v>
      </c>
      <c r="AK282" s="1">
        <v>1857</v>
      </c>
      <c r="AL282" s="1">
        <v>1875</v>
      </c>
      <c r="AM282" s="1">
        <v>1874</v>
      </c>
      <c r="AN282" s="1">
        <v>1863</v>
      </c>
      <c r="AO282" s="1">
        <v>1880</v>
      </c>
      <c r="AP282" s="1">
        <v>1878</v>
      </c>
      <c r="AQ282" s="1">
        <v>1894</v>
      </c>
      <c r="AR282" s="1">
        <v>1910</v>
      </c>
      <c r="AS282" s="1">
        <v>1846</v>
      </c>
      <c r="AT282" s="1">
        <v>1823</v>
      </c>
      <c r="AU282" s="1">
        <v>1821</v>
      </c>
      <c r="AV282" s="1">
        <v>1825</v>
      </c>
      <c r="AW282" s="1">
        <v>1841</v>
      </c>
      <c r="AX282" s="1">
        <v>1845</v>
      </c>
      <c r="AY282" s="1">
        <v>1823</v>
      </c>
      <c r="AZ282" s="1">
        <v>1825</v>
      </c>
      <c r="BA282" s="1">
        <v>1818</v>
      </c>
      <c r="BB282" s="1">
        <v>1822</v>
      </c>
      <c r="BC282" s="1">
        <v>1842</v>
      </c>
      <c r="BD282" s="1">
        <v>1855</v>
      </c>
      <c r="BE282" s="1">
        <v>1874</v>
      </c>
      <c r="BF282" s="1">
        <v>1886</v>
      </c>
      <c r="BG282" s="1">
        <v>1898</v>
      </c>
      <c r="BH282" s="1">
        <v>1890</v>
      </c>
      <c r="BI282" s="1">
        <v>1889</v>
      </c>
      <c r="BJ282" s="1">
        <v>1882</v>
      </c>
      <c r="BK282" s="1">
        <v>1892</v>
      </c>
      <c r="BL282" s="1">
        <v>1891</v>
      </c>
      <c r="BM282" s="1">
        <v>1900</v>
      </c>
      <c r="BN282" s="1">
        <v>1910</v>
      </c>
      <c r="BO282" s="1">
        <v>1920</v>
      </c>
      <c r="BP282" s="1">
        <v>1900</v>
      </c>
    </row>
    <row r="283" spans="1:68">
      <c r="A283" s="77" t="s">
        <v>496</v>
      </c>
      <c r="B283" s="1" t="str">
        <f>銘柄管理!C283</f>
        <v/>
      </c>
      <c r="C283" s="1" t="str">
        <f>_xll.RssMarket("7735","始値")</f>
        <v/>
      </c>
      <c r="E283" s="1">
        <v>17270</v>
      </c>
      <c r="F283" s="1">
        <v>18525</v>
      </c>
      <c r="G283" s="1">
        <v>17650</v>
      </c>
      <c r="H283" s="1">
        <v>18200</v>
      </c>
      <c r="I283" s="1">
        <v>18250</v>
      </c>
      <c r="J283" s="1">
        <v>17690</v>
      </c>
      <c r="K283" s="1">
        <v>16290</v>
      </c>
      <c r="L283" s="1">
        <v>17500</v>
      </c>
      <c r="M283" s="1">
        <v>18915</v>
      </c>
      <c r="N283" s="1">
        <v>17500</v>
      </c>
      <c r="O283" s="1">
        <v>17890</v>
      </c>
      <c r="P283" s="1">
        <v>18410</v>
      </c>
      <c r="Q283" s="1">
        <v>17300</v>
      </c>
      <c r="R283" s="1">
        <v>16620</v>
      </c>
      <c r="S283" s="1">
        <v>17280</v>
      </c>
      <c r="T283" s="1">
        <v>17190</v>
      </c>
      <c r="U283" s="1">
        <v>16470</v>
      </c>
      <c r="V283" s="1">
        <v>17140</v>
      </c>
      <c r="W283" s="1">
        <v>16490</v>
      </c>
      <c r="X283" s="1">
        <v>16830</v>
      </c>
      <c r="Y283" s="1">
        <v>15595</v>
      </c>
      <c r="Z283" s="1">
        <v>14600</v>
      </c>
      <c r="AA283" s="1">
        <v>14870</v>
      </c>
      <c r="AB283" s="1">
        <v>14760</v>
      </c>
      <c r="AC283" s="1">
        <v>13805</v>
      </c>
      <c r="AD283" s="1">
        <v>12500</v>
      </c>
      <c r="AE283" s="1">
        <v>12690</v>
      </c>
      <c r="AF283" s="1">
        <v>11370</v>
      </c>
      <c r="AG283" s="1">
        <v>13035</v>
      </c>
      <c r="AH283" s="1">
        <v>13250</v>
      </c>
      <c r="AI283" s="1">
        <v>12815</v>
      </c>
      <c r="AJ283" s="1">
        <v>11140</v>
      </c>
      <c r="AK283" s="1">
        <v>11230</v>
      </c>
      <c r="AL283" s="1">
        <v>11000</v>
      </c>
      <c r="AM283" s="1">
        <v>11145</v>
      </c>
      <c r="AN283" s="1">
        <v>10820</v>
      </c>
      <c r="AO283" s="1">
        <v>10900</v>
      </c>
      <c r="AP283" s="1">
        <v>10540</v>
      </c>
      <c r="AQ283" s="1">
        <v>10900</v>
      </c>
      <c r="AR283" s="1">
        <v>11335</v>
      </c>
      <c r="AS283" s="1">
        <v>12400</v>
      </c>
      <c r="AT283" s="1">
        <v>12350</v>
      </c>
      <c r="AU283" s="1">
        <v>11090</v>
      </c>
      <c r="AV283" s="1">
        <v>11325</v>
      </c>
      <c r="AW283" s="1">
        <v>11535</v>
      </c>
      <c r="AX283" s="1">
        <v>11080</v>
      </c>
      <c r="AY283" s="1">
        <v>11000</v>
      </c>
      <c r="AZ283" s="1">
        <v>10470</v>
      </c>
      <c r="BA283" s="1">
        <v>10350</v>
      </c>
      <c r="BB283" s="1">
        <v>10590</v>
      </c>
      <c r="BC283" s="1">
        <v>10910</v>
      </c>
      <c r="BD283" s="1">
        <v>10390</v>
      </c>
      <c r="BE283" s="1">
        <v>10715</v>
      </c>
      <c r="BF283" s="1">
        <v>10605</v>
      </c>
      <c r="BG283" s="1">
        <v>10750</v>
      </c>
      <c r="BH283" s="1">
        <v>10570</v>
      </c>
      <c r="BI283" s="1">
        <v>11085</v>
      </c>
      <c r="BJ283" s="1">
        <v>10900</v>
      </c>
      <c r="BK283" s="1">
        <v>11365</v>
      </c>
      <c r="BL283" s="1">
        <v>11060</v>
      </c>
      <c r="BM283" s="1">
        <v>10805</v>
      </c>
      <c r="BN283" s="1">
        <v>10410</v>
      </c>
      <c r="BO283" s="1">
        <v>10140</v>
      </c>
      <c r="BP283" s="1">
        <v>9885</v>
      </c>
    </row>
    <row r="284" spans="1:68">
      <c r="A284" s="77" t="s">
        <v>497</v>
      </c>
      <c r="B284" s="1" t="str">
        <f>銘柄管理!C284</f>
        <v/>
      </c>
      <c r="C284" s="1" t="str">
        <f>_xll.RssMarket("3905","始値")</f>
        <v/>
      </c>
      <c r="E284" s="1">
        <v>2592</v>
      </c>
      <c r="F284" s="1">
        <v>2841</v>
      </c>
      <c r="G284" s="1">
        <v>2790</v>
      </c>
      <c r="H284" s="1">
        <v>2879</v>
      </c>
      <c r="I284" s="1">
        <v>2941</v>
      </c>
      <c r="J284" s="1">
        <v>2813</v>
      </c>
      <c r="K284" s="1">
        <v>2727</v>
      </c>
      <c r="L284" s="1">
        <v>3000</v>
      </c>
      <c r="M284" s="1">
        <v>3230</v>
      </c>
      <c r="N284" s="1">
        <v>3035</v>
      </c>
      <c r="O284" s="1">
        <v>3200</v>
      </c>
      <c r="P284" s="1">
        <v>3505</v>
      </c>
      <c r="Q284" s="1">
        <v>3735</v>
      </c>
      <c r="R284" s="1">
        <v>4250</v>
      </c>
      <c r="S284" s="1">
        <v>4680</v>
      </c>
      <c r="T284" s="1">
        <v>4780</v>
      </c>
      <c r="U284" s="1">
        <v>4590</v>
      </c>
      <c r="V284" s="1">
        <v>5000</v>
      </c>
      <c r="W284" s="1">
        <v>5260</v>
      </c>
      <c r="X284" s="1">
        <v>5170</v>
      </c>
      <c r="Y284" s="1">
        <v>4845</v>
      </c>
      <c r="Z284" s="1">
        <v>5000</v>
      </c>
      <c r="AA284" s="1">
        <v>4775</v>
      </c>
      <c r="AB284" s="1">
        <v>4790</v>
      </c>
      <c r="AC284" s="1">
        <v>4505</v>
      </c>
      <c r="AD284" s="1">
        <v>4310</v>
      </c>
      <c r="AE284" s="1">
        <v>4460</v>
      </c>
      <c r="AF284" s="1">
        <v>4480</v>
      </c>
      <c r="AG284" s="1">
        <v>5700</v>
      </c>
      <c r="AH284" s="1">
        <v>5060</v>
      </c>
      <c r="AI284" s="1">
        <v>4805</v>
      </c>
      <c r="AJ284" s="1">
        <v>5400</v>
      </c>
      <c r="AK284" s="1">
        <v>4335</v>
      </c>
      <c r="AL284" s="1">
        <v>4760</v>
      </c>
      <c r="AM284" s="1">
        <v>4800</v>
      </c>
      <c r="AN284" s="1">
        <v>4240</v>
      </c>
      <c r="AO284" s="1">
        <v>3500</v>
      </c>
      <c r="AP284" s="1">
        <v>3135</v>
      </c>
      <c r="AQ284" s="1">
        <v>3345</v>
      </c>
      <c r="AR284" s="1">
        <v>2843</v>
      </c>
      <c r="AS284" s="1">
        <v>2213</v>
      </c>
      <c r="AT284" s="1">
        <v>2302</v>
      </c>
      <c r="AU284" s="1">
        <v>2193</v>
      </c>
      <c r="AV284" s="1">
        <v>2336</v>
      </c>
      <c r="AW284" s="1">
        <v>2060</v>
      </c>
      <c r="AX284" s="1">
        <v>1673</v>
      </c>
      <c r="AY284" s="1">
        <v>1524</v>
      </c>
      <c r="AZ284" s="1">
        <v>1488</v>
      </c>
      <c r="BA284" s="1">
        <v>1500</v>
      </c>
      <c r="BB284" s="1">
        <v>1461</v>
      </c>
      <c r="BC284" s="1">
        <v>1467</v>
      </c>
      <c r="BD284" s="1">
        <v>1492</v>
      </c>
      <c r="BE284" s="1">
        <v>1535</v>
      </c>
      <c r="BF284" s="1">
        <v>1551</v>
      </c>
      <c r="BG284" s="1">
        <v>1600</v>
      </c>
      <c r="BH284" s="1">
        <v>1562</v>
      </c>
      <c r="BI284" s="1">
        <v>1584</v>
      </c>
      <c r="BJ284" s="1">
        <v>1520</v>
      </c>
      <c r="BK284" s="1">
        <v>1473</v>
      </c>
      <c r="BL284" s="1">
        <v>1380</v>
      </c>
      <c r="BM284" s="1">
        <v>1346</v>
      </c>
      <c r="BN284" s="1">
        <v>1379</v>
      </c>
      <c r="BO284" s="1">
        <v>1375</v>
      </c>
      <c r="BP284" s="1">
        <v>1363</v>
      </c>
    </row>
    <row r="285" spans="1:68">
      <c r="A285" s="77" t="s">
        <v>498</v>
      </c>
      <c r="B285" s="1" t="str">
        <f>銘柄管理!C285</f>
        <v/>
      </c>
      <c r="C285" s="1" t="str">
        <f>_xll.RssMarket("3397","始値")</f>
        <v/>
      </c>
      <c r="E285" s="1">
        <v>4186</v>
      </c>
      <c r="F285" s="1">
        <v>4109</v>
      </c>
      <c r="G285" s="1">
        <v>4053</v>
      </c>
      <c r="H285" s="1">
        <v>4000</v>
      </c>
      <c r="I285" s="1">
        <v>4006</v>
      </c>
      <c r="J285" s="1">
        <v>4096</v>
      </c>
      <c r="K285" s="1">
        <v>4000</v>
      </c>
      <c r="L285" s="1">
        <v>3920</v>
      </c>
      <c r="M285" s="1">
        <v>3846</v>
      </c>
      <c r="N285" s="1">
        <v>3941</v>
      </c>
      <c r="O285" s="1">
        <v>3864</v>
      </c>
      <c r="P285" s="1">
        <v>3840</v>
      </c>
      <c r="Q285" s="1">
        <v>3890</v>
      </c>
      <c r="R285" s="1">
        <v>3798</v>
      </c>
      <c r="S285" s="1">
        <v>3781</v>
      </c>
      <c r="T285" s="1">
        <v>3666</v>
      </c>
      <c r="U285" s="1">
        <v>3600</v>
      </c>
      <c r="V285" s="1">
        <v>3550</v>
      </c>
      <c r="W285" s="1">
        <v>3570</v>
      </c>
      <c r="X285" s="1">
        <v>3574</v>
      </c>
      <c r="Y285" s="1">
        <v>3625</v>
      </c>
      <c r="Z285" s="1">
        <v>3728</v>
      </c>
      <c r="AA285" s="1">
        <v>3730</v>
      </c>
      <c r="AB285" s="1">
        <v>3819</v>
      </c>
      <c r="AC285" s="1">
        <v>3885</v>
      </c>
      <c r="AD285" s="1">
        <v>3906</v>
      </c>
      <c r="AE285" s="1">
        <v>3771</v>
      </c>
      <c r="AF285" s="1">
        <v>3700</v>
      </c>
      <c r="AG285" s="1">
        <v>3707</v>
      </c>
      <c r="AH285" s="1">
        <v>3819</v>
      </c>
      <c r="AI285" s="1">
        <v>3802</v>
      </c>
      <c r="AJ285" s="1">
        <v>3798</v>
      </c>
      <c r="AK285" s="1">
        <v>3795</v>
      </c>
      <c r="AL285" s="1">
        <v>3756</v>
      </c>
      <c r="AM285" s="1">
        <v>3661</v>
      </c>
      <c r="AN285" s="1">
        <v>3860</v>
      </c>
      <c r="AO285" s="1">
        <v>3800</v>
      </c>
      <c r="AP285" s="1">
        <v>3889</v>
      </c>
      <c r="AQ285" s="1">
        <v>3862</v>
      </c>
      <c r="AR285" s="1">
        <v>3799</v>
      </c>
      <c r="AS285" s="1">
        <v>3799</v>
      </c>
      <c r="AT285" s="1">
        <v>3939</v>
      </c>
      <c r="AU285" s="1">
        <v>3980</v>
      </c>
      <c r="AV285" s="1">
        <v>3963</v>
      </c>
      <c r="AW285" s="1">
        <v>3950</v>
      </c>
      <c r="AX285" s="1">
        <v>3961</v>
      </c>
      <c r="AY285" s="1">
        <v>4025</v>
      </c>
      <c r="AZ285" s="1">
        <v>3997</v>
      </c>
      <c r="BA285" s="1">
        <v>4039</v>
      </c>
      <c r="BB285" s="1">
        <v>4061</v>
      </c>
      <c r="BC285" s="1">
        <v>4055</v>
      </c>
      <c r="BD285" s="1">
        <v>4072</v>
      </c>
      <c r="BE285" s="1">
        <v>4100</v>
      </c>
      <c r="BF285" s="1">
        <v>4121</v>
      </c>
      <c r="BG285" s="1">
        <v>4159</v>
      </c>
      <c r="BH285" s="1">
        <v>4212</v>
      </c>
      <c r="BI285" s="1">
        <v>4182</v>
      </c>
      <c r="BJ285" s="1">
        <v>4197</v>
      </c>
      <c r="BK285" s="1">
        <v>4291</v>
      </c>
      <c r="BL285" s="1">
        <v>4250</v>
      </c>
      <c r="BM285" s="1">
        <v>4251</v>
      </c>
      <c r="BN285" s="1">
        <v>4297</v>
      </c>
      <c r="BO285" s="1">
        <v>4356</v>
      </c>
      <c r="BP285" s="1">
        <v>4494</v>
      </c>
    </row>
    <row r="286" spans="1:68">
      <c r="A286" s="77" t="s">
        <v>499</v>
      </c>
      <c r="B286" s="1" t="str">
        <f>銘柄管理!C286</f>
        <v/>
      </c>
      <c r="C286" s="1" t="str">
        <f>_xll.RssMarket("7270","始値")</f>
        <v/>
      </c>
      <c r="E286" s="1">
        <v>2530</v>
      </c>
      <c r="F286" s="1">
        <v>2492.5</v>
      </c>
      <c r="G286" s="1">
        <v>2506.5</v>
      </c>
      <c r="H286" s="1">
        <v>2520</v>
      </c>
      <c r="I286" s="1">
        <v>2489</v>
      </c>
      <c r="J286" s="1">
        <v>2490.5</v>
      </c>
      <c r="K286" s="1">
        <v>2557</v>
      </c>
      <c r="L286" s="1">
        <v>2596</v>
      </c>
      <c r="M286" s="1">
        <v>2535</v>
      </c>
      <c r="N286" s="1">
        <v>2551.5</v>
      </c>
      <c r="O286" s="1">
        <v>2442.5</v>
      </c>
      <c r="P286" s="1">
        <v>2404.5</v>
      </c>
      <c r="Q286" s="1">
        <v>2421.5</v>
      </c>
      <c r="R286" s="1">
        <v>2430</v>
      </c>
      <c r="S286" s="1">
        <v>2401</v>
      </c>
      <c r="T286" s="1">
        <v>2370</v>
      </c>
      <c r="U286" s="1">
        <v>2415</v>
      </c>
      <c r="V286" s="1">
        <v>2428</v>
      </c>
      <c r="W286" s="1">
        <v>2444.5</v>
      </c>
      <c r="X286" s="1">
        <v>2497.5</v>
      </c>
      <c r="Y286" s="1">
        <v>2582.5</v>
      </c>
      <c r="Z286" s="1">
        <v>2570</v>
      </c>
      <c r="AA286" s="1">
        <v>2520</v>
      </c>
      <c r="AB286" s="1">
        <v>2512.5</v>
      </c>
      <c r="AC286" s="1">
        <v>2518.5</v>
      </c>
      <c r="AD286" s="1">
        <v>2485.5</v>
      </c>
      <c r="AE286" s="1">
        <v>2573</v>
      </c>
      <c r="AF286" s="1">
        <v>2462</v>
      </c>
      <c r="AG286" s="1">
        <v>2487</v>
      </c>
      <c r="AH286" s="1">
        <v>2453</v>
      </c>
      <c r="AI286" s="1">
        <v>2440</v>
      </c>
      <c r="AJ286" s="1">
        <v>2366</v>
      </c>
      <c r="AK286" s="1">
        <v>2450</v>
      </c>
      <c r="AL286" s="1">
        <v>2475.5</v>
      </c>
      <c r="AM286" s="1">
        <v>2446</v>
      </c>
      <c r="AN286" s="1">
        <v>2482.5</v>
      </c>
      <c r="AO286" s="1">
        <v>2480</v>
      </c>
      <c r="AP286" s="1">
        <v>2453</v>
      </c>
      <c r="AQ286" s="1">
        <v>2460</v>
      </c>
      <c r="AR286" s="1">
        <v>2360</v>
      </c>
      <c r="AS286" s="1">
        <v>2417.5</v>
      </c>
      <c r="AT286" s="1">
        <v>2446</v>
      </c>
      <c r="AU286" s="1">
        <v>2346.5</v>
      </c>
      <c r="AV286" s="1">
        <v>2290.5</v>
      </c>
      <c r="AW286" s="1">
        <v>2279.5</v>
      </c>
      <c r="AX286" s="1">
        <v>2330</v>
      </c>
      <c r="AY286" s="1">
        <v>2373.5</v>
      </c>
      <c r="AZ286" s="1">
        <v>2371.5</v>
      </c>
      <c r="BA286" s="1">
        <v>2335</v>
      </c>
      <c r="BB286" s="1">
        <v>2371</v>
      </c>
      <c r="BC286" s="1">
        <v>2490</v>
      </c>
      <c r="BD286" s="1">
        <v>2440</v>
      </c>
      <c r="BE286" s="1">
        <v>2494</v>
      </c>
      <c r="BF286" s="1">
        <v>2498</v>
      </c>
      <c r="BG286" s="1">
        <v>2530.5</v>
      </c>
      <c r="BH286" s="1">
        <v>2549</v>
      </c>
      <c r="BI286" s="1">
        <v>2576</v>
      </c>
      <c r="BJ286" s="1">
        <v>2534.5</v>
      </c>
      <c r="BK286" s="1">
        <v>2556</v>
      </c>
      <c r="BL286" s="1">
        <v>2530</v>
      </c>
      <c r="BM286" s="1">
        <v>2538</v>
      </c>
      <c r="BN286" s="1">
        <v>2511</v>
      </c>
      <c r="BO286" s="1">
        <v>2533.5</v>
      </c>
      <c r="BP286" s="1">
        <v>2582</v>
      </c>
    </row>
    <row r="287" spans="1:68">
      <c r="A287" s="77" t="s">
        <v>500</v>
      </c>
      <c r="B287" s="1" t="str">
        <f>銘柄管理!C287</f>
        <v/>
      </c>
      <c r="C287" s="1" t="str">
        <f>_xll.RssMarket("6736","始値")</f>
        <v/>
      </c>
      <c r="E287" s="1">
        <v>9090</v>
      </c>
      <c r="F287" s="1">
        <v>9200</v>
      </c>
      <c r="G287" s="1">
        <v>9550</v>
      </c>
      <c r="H287" s="1">
        <v>9960</v>
      </c>
      <c r="I287" s="1">
        <v>10850</v>
      </c>
      <c r="J287" s="1">
        <v>10610</v>
      </c>
      <c r="K287" s="1">
        <v>11040</v>
      </c>
      <c r="L287" s="1">
        <v>10950</v>
      </c>
      <c r="M287" s="1">
        <v>9390</v>
      </c>
      <c r="N287" s="1">
        <v>9540</v>
      </c>
      <c r="O287" s="1">
        <v>8800</v>
      </c>
      <c r="P287" s="1">
        <v>8580</v>
      </c>
      <c r="Q287" s="1">
        <v>8820</v>
      </c>
      <c r="R287" s="1">
        <v>9030</v>
      </c>
      <c r="S287" s="1">
        <v>9000</v>
      </c>
      <c r="T287" s="1">
        <v>8600</v>
      </c>
      <c r="U287" s="1">
        <v>8820</v>
      </c>
      <c r="V287" s="1">
        <v>9150</v>
      </c>
      <c r="W287" s="1">
        <v>9100</v>
      </c>
      <c r="X287" s="1">
        <v>9200</v>
      </c>
      <c r="Y287" s="1">
        <v>9250</v>
      </c>
      <c r="Z287" s="1">
        <v>9170</v>
      </c>
      <c r="AA287" s="1">
        <v>8840</v>
      </c>
      <c r="AB287" s="1">
        <v>8880</v>
      </c>
      <c r="AC287" s="1">
        <v>8970</v>
      </c>
      <c r="AD287" s="1">
        <v>8600</v>
      </c>
      <c r="AE287" s="1">
        <v>8670</v>
      </c>
      <c r="AF287" s="1">
        <v>9090</v>
      </c>
      <c r="AG287" s="1">
        <v>9250</v>
      </c>
      <c r="AH287" s="1">
        <v>9500</v>
      </c>
      <c r="AI287" s="1">
        <v>9230</v>
      </c>
      <c r="AJ287" s="1">
        <v>9100</v>
      </c>
      <c r="AK287" s="1">
        <v>9320</v>
      </c>
      <c r="AL287" s="1">
        <v>9330</v>
      </c>
      <c r="AM287" s="1">
        <v>9420</v>
      </c>
      <c r="AN287" s="1">
        <v>8850</v>
      </c>
      <c r="AO287" s="1">
        <v>8940</v>
      </c>
      <c r="AP287" s="1">
        <v>9680</v>
      </c>
      <c r="AQ287" s="1">
        <v>9160</v>
      </c>
      <c r="AR287" s="1">
        <v>8760</v>
      </c>
      <c r="AS287" s="1">
        <v>8500</v>
      </c>
      <c r="AT287" s="1">
        <v>8480</v>
      </c>
      <c r="AU287" s="1">
        <v>8920</v>
      </c>
      <c r="AV287" s="1">
        <v>8890</v>
      </c>
      <c r="AW287" s="1">
        <v>8700</v>
      </c>
      <c r="AX287" s="1">
        <v>8610</v>
      </c>
      <c r="AY287" s="1">
        <v>8520</v>
      </c>
      <c r="AZ287" s="1">
        <v>8300</v>
      </c>
      <c r="BA287" s="1">
        <v>8190</v>
      </c>
      <c r="BB287" s="1">
        <v>8130</v>
      </c>
      <c r="BC287" s="1">
        <v>7980</v>
      </c>
      <c r="BD287" s="1">
        <v>8240</v>
      </c>
      <c r="BE287" s="1">
        <v>7950</v>
      </c>
      <c r="BF287" s="1">
        <v>8040</v>
      </c>
      <c r="BG287" s="1">
        <v>8010</v>
      </c>
      <c r="BH287" s="1">
        <v>8160</v>
      </c>
      <c r="BI287" s="1">
        <v>7990</v>
      </c>
      <c r="BJ287" s="1">
        <v>7320</v>
      </c>
      <c r="BK287" s="1">
        <v>7760</v>
      </c>
      <c r="BL287" s="1">
        <v>8110</v>
      </c>
      <c r="BM287" s="1">
        <v>8850</v>
      </c>
      <c r="BN287" s="1">
        <v>9090</v>
      </c>
      <c r="BO287" s="1">
        <v>8510</v>
      </c>
      <c r="BP287" s="1">
        <v>8470</v>
      </c>
    </row>
    <row r="288" spans="1:68">
      <c r="A288" s="77" t="s">
        <v>501</v>
      </c>
      <c r="B288" s="1" t="str">
        <f>銘柄管理!C288</f>
        <v/>
      </c>
      <c r="C288" s="1" t="str">
        <f>_xll.RssMarket("2933","始値")</f>
        <v/>
      </c>
      <c r="E288" s="1">
        <v>1081</v>
      </c>
      <c r="F288" s="1">
        <v>1083</v>
      </c>
      <c r="G288" s="1">
        <v>1081</v>
      </c>
      <c r="H288" s="1">
        <v>1075</v>
      </c>
      <c r="I288" s="1">
        <v>1080</v>
      </c>
      <c r="J288" s="1">
        <v>1082</v>
      </c>
      <c r="K288" s="1">
        <v>1066</v>
      </c>
      <c r="L288" s="1">
        <v>1065</v>
      </c>
      <c r="M288" s="1">
        <v>1064</v>
      </c>
      <c r="N288" s="1">
        <v>1067</v>
      </c>
      <c r="O288" s="1">
        <v>1069</v>
      </c>
      <c r="P288" s="1">
        <v>1065</v>
      </c>
      <c r="Q288" s="1">
        <v>1064</v>
      </c>
      <c r="R288" s="1">
        <v>1065</v>
      </c>
      <c r="S288" s="1">
        <v>1050</v>
      </c>
      <c r="T288" s="1">
        <v>1060</v>
      </c>
      <c r="U288" s="1">
        <v>1065</v>
      </c>
      <c r="V288" s="1">
        <v>1056</v>
      </c>
      <c r="W288" s="1">
        <v>1049</v>
      </c>
      <c r="X288" s="1">
        <v>1050</v>
      </c>
      <c r="Y288" s="1">
        <v>1044</v>
      </c>
      <c r="Z288" s="1">
        <v>1045</v>
      </c>
      <c r="AA288" s="1">
        <v>1048</v>
      </c>
      <c r="AB288" s="1">
        <v>1044</v>
      </c>
      <c r="AC288" s="1">
        <v>1038</v>
      </c>
      <c r="AD288" s="1">
        <v>1028</v>
      </c>
      <c r="AE288" s="1">
        <v>1023</v>
      </c>
      <c r="AF288" s="1">
        <v>1017</v>
      </c>
      <c r="AG288" s="1">
        <v>1027</v>
      </c>
      <c r="AH288" s="1">
        <v>1043</v>
      </c>
      <c r="AI288" s="1">
        <v>1036</v>
      </c>
      <c r="AJ288" s="1">
        <v>1035</v>
      </c>
      <c r="AK288" s="1">
        <v>1037</v>
      </c>
      <c r="AL288" s="1">
        <v>1046</v>
      </c>
      <c r="AM288" s="1">
        <v>1048</v>
      </c>
      <c r="AN288" s="1">
        <v>1044</v>
      </c>
      <c r="AO288" s="1">
        <v>1043</v>
      </c>
      <c r="AP288" s="1">
        <v>1048</v>
      </c>
      <c r="AQ288" s="1">
        <v>1030</v>
      </c>
      <c r="AR288" s="1">
        <v>1030</v>
      </c>
      <c r="AS288" s="1">
        <v>1033</v>
      </c>
      <c r="AT288" s="1">
        <v>1025</v>
      </c>
      <c r="AU288" s="1">
        <v>1025</v>
      </c>
      <c r="AV288" s="1">
        <v>1032</v>
      </c>
      <c r="AW288" s="1">
        <v>1034</v>
      </c>
      <c r="AX288" s="1">
        <v>1041</v>
      </c>
      <c r="AY288" s="1">
        <v>1025</v>
      </c>
      <c r="AZ288" s="1">
        <v>1025</v>
      </c>
      <c r="BA288" s="1">
        <v>1030</v>
      </c>
      <c r="BB288" s="1">
        <v>1044</v>
      </c>
      <c r="BC288" s="1">
        <v>1040</v>
      </c>
      <c r="BD288" s="1">
        <v>1051</v>
      </c>
      <c r="BE288" s="1">
        <v>1065</v>
      </c>
      <c r="BF288" s="1">
        <v>1065</v>
      </c>
      <c r="BG288" s="1">
        <v>1061</v>
      </c>
      <c r="BH288" s="1">
        <v>1058</v>
      </c>
      <c r="BI288" s="1">
        <v>1051</v>
      </c>
      <c r="BJ288" s="1">
        <v>1057</v>
      </c>
      <c r="BK288" s="1">
        <v>1058</v>
      </c>
      <c r="BL288" s="1">
        <v>1064</v>
      </c>
      <c r="BM288" s="1">
        <v>1065</v>
      </c>
      <c r="BN288" s="1">
        <v>1070</v>
      </c>
      <c r="BO288" s="1">
        <v>1065</v>
      </c>
    </row>
    <row r="289" spans="1:68">
      <c r="A289" s="77" t="s">
        <v>502</v>
      </c>
      <c r="B289" s="1" t="str">
        <f>銘柄管理!C289</f>
        <v/>
      </c>
      <c r="C289" s="1" t="str">
        <f>_xll.RssMarket("4047","始値")</f>
        <v/>
      </c>
      <c r="E289" s="1">
        <v>2802</v>
      </c>
      <c r="F289" s="1">
        <v>3070</v>
      </c>
      <c r="G289" s="1">
        <v>2900</v>
      </c>
      <c r="H289" s="1">
        <v>3070</v>
      </c>
      <c r="I289" s="1">
        <v>3180</v>
      </c>
      <c r="J289" s="1">
        <v>3105</v>
      </c>
      <c r="K289" s="1">
        <v>3340</v>
      </c>
      <c r="L289" s="1">
        <v>3490</v>
      </c>
      <c r="M289" s="1">
        <v>3275</v>
      </c>
      <c r="N289" s="1">
        <v>3430</v>
      </c>
      <c r="O289" s="1">
        <v>3620</v>
      </c>
      <c r="P289" s="1">
        <v>3635</v>
      </c>
      <c r="Q289" s="1">
        <v>3705</v>
      </c>
      <c r="R289" s="1">
        <v>3915</v>
      </c>
      <c r="S289" s="1">
        <v>4035</v>
      </c>
      <c r="T289" s="1">
        <v>3735</v>
      </c>
      <c r="U289" s="1">
        <v>3895</v>
      </c>
      <c r="V289" s="1">
        <v>4000</v>
      </c>
      <c r="W289" s="1">
        <v>3900</v>
      </c>
      <c r="X289" s="1">
        <v>3750</v>
      </c>
      <c r="Y289" s="1">
        <v>3745</v>
      </c>
      <c r="Z289" s="1">
        <v>4030</v>
      </c>
      <c r="AA289" s="1">
        <v>4090</v>
      </c>
      <c r="AB289" s="1">
        <v>3665</v>
      </c>
      <c r="AC289" s="1">
        <v>4050</v>
      </c>
      <c r="AD289" s="1">
        <v>3675</v>
      </c>
      <c r="AE289" s="1">
        <v>4195</v>
      </c>
      <c r="AF289" s="1">
        <v>3705</v>
      </c>
      <c r="AG289" s="1">
        <v>3740</v>
      </c>
      <c r="AH289" s="1">
        <v>3440</v>
      </c>
      <c r="AI289" s="1">
        <v>3605</v>
      </c>
      <c r="AJ289" s="1">
        <v>3260</v>
      </c>
      <c r="AK289" s="1">
        <v>3540</v>
      </c>
      <c r="AL289" s="1">
        <v>3135</v>
      </c>
      <c r="AM289" s="1">
        <v>2894</v>
      </c>
      <c r="AN289" s="1">
        <v>2750</v>
      </c>
      <c r="AO289" s="1">
        <v>2677</v>
      </c>
      <c r="AP289" s="1">
        <v>2750</v>
      </c>
      <c r="AQ289" s="1">
        <v>2550</v>
      </c>
      <c r="AR289" s="1">
        <v>2125</v>
      </c>
      <c r="AS289" s="1">
        <v>2133</v>
      </c>
      <c r="AT289" s="1">
        <v>1975</v>
      </c>
      <c r="AU289" s="1">
        <v>1964</v>
      </c>
      <c r="AV289" s="1">
        <v>1899</v>
      </c>
      <c r="AW289" s="1">
        <v>1800</v>
      </c>
      <c r="AX289" s="1">
        <v>1802</v>
      </c>
      <c r="AY289" s="1">
        <v>1683</v>
      </c>
      <c r="AZ289" s="1">
        <v>1660</v>
      </c>
      <c r="BA289" s="1">
        <v>1680</v>
      </c>
      <c r="BB289" s="1">
        <v>1660</v>
      </c>
      <c r="BC289" s="1">
        <v>1632</v>
      </c>
      <c r="BD289" s="1">
        <v>1650</v>
      </c>
      <c r="BE289" s="1">
        <v>1671</v>
      </c>
      <c r="BF289" s="1">
        <v>1646</v>
      </c>
      <c r="BG289" s="1">
        <v>1625</v>
      </c>
      <c r="BH289" s="1">
        <v>1646</v>
      </c>
      <c r="BI289" s="1">
        <v>1654</v>
      </c>
      <c r="BJ289" s="1">
        <v>1740</v>
      </c>
      <c r="BK289" s="1">
        <v>1666</v>
      </c>
      <c r="BL289" s="1">
        <v>1610</v>
      </c>
      <c r="BM289" s="1">
        <v>1587</v>
      </c>
      <c r="BN289" s="1">
        <v>1602</v>
      </c>
      <c r="BO289" s="1">
        <v>1502</v>
      </c>
      <c r="BP289" s="1">
        <v>1408</v>
      </c>
    </row>
    <row r="290" spans="1:68">
      <c r="A290" s="77" t="s">
        <v>503</v>
      </c>
      <c r="B290" s="1" t="str">
        <f>銘柄管理!C290</f>
        <v/>
      </c>
      <c r="C290" s="1" t="str">
        <f>_xll.RssMarket("6482","始値")</f>
        <v/>
      </c>
      <c r="E290" s="1">
        <v>671</v>
      </c>
      <c r="F290" s="1">
        <v>665</v>
      </c>
      <c r="G290" s="1">
        <v>671</v>
      </c>
      <c r="H290" s="1">
        <v>683</v>
      </c>
      <c r="I290" s="1">
        <v>687</v>
      </c>
      <c r="J290" s="1">
        <v>702</v>
      </c>
      <c r="K290" s="1">
        <v>700</v>
      </c>
      <c r="L290" s="1">
        <v>696</v>
      </c>
      <c r="M290" s="1">
        <v>690</v>
      </c>
      <c r="N290" s="1">
        <v>694</v>
      </c>
      <c r="O290" s="1">
        <v>689</v>
      </c>
      <c r="P290" s="1">
        <v>702</v>
      </c>
      <c r="Q290" s="1">
        <v>705</v>
      </c>
      <c r="R290" s="1">
        <v>720</v>
      </c>
      <c r="S290" s="1">
        <v>715</v>
      </c>
      <c r="T290" s="1">
        <v>726</v>
      </c>
      <c r="U290" s="1">
        <v>746</v>
      </c>
      <c r="V290" s="1">
        <v>737</v>
      </c>
      <c r="W290" s="1">
        <v>752</v>
      </c>
      <c r="X290" s="1">
        <v>771</v>
      </c>
      <c r="Y290" s="1">
        <v>714</v>
      </c>
      <c r="Z290" s="1">
        <v>697</v>
      </c>
      <c r="AA290" s="1">
        <v>687</v>
      </c>
      <c r="AB290" s="1">
        <v>677</v>
      </c>
      <c r="AC290" s="1">
        <v>667</v>
      </c>
      <c r="AD290" s="1">
        <v>680</v>
      </c>
      <c r="AE290" s="1">
        <v>667</v>
      </c>
      <c r="AF290" s="1">
        <v>671</v>
      </c>
      <c r="AG290" s="1">
        <v>653</v>
      </c>
      <c r="AH290" s="1">
        <v>638</v>
      </c>
      <c r="AI290" s="1">
        <v>658</v>
      </c>
      <c r="AJ290" s="1">
        <v>672</v>
      </c>
      <c r="AK290" s="1">
        <v>664</v>
      </c>
      <c r="AL290" s="1">
        <v>666</v>
      </c>
      <c r="AM290" s="1">
        <v>722</v>
      </c>
      <c r="AN290" s="1">
        <v>703</v>
      </c>
      <c r="AO290" s="1">
        <v>714</v>
      </c>
      <c r="AP290" s="1">
        <v>708</v>
      </c>
      <c r="AQ290" s="1">
        <v>720</v>
      </c>
      <c r="AR290" s="1">
        <v>730</v>
      </c>
      <c r="AS290" s="1">
        <v>755</v>
      </c>
      <c r="AT290" s="1">
        <v>725</v>
      </c>
      <c r="AU290" s="1">
        <v>724</v>
      </c>
      <c r="AV290" s="1">
        <v>713</v>
      </c>
      <c r="AW290" s="1">
        <v>693</v>
      </c>
      <c r="AX290" s="1">
        <v>680</v>
      </c>
      <c r="AY290" s="1">
        <v>685</v>
      </c>
      <c r="AZ290" s="1">
        <v>664</v>
      </c>
      <c r="BA290" s="1">
        <v>659</v>
      </c>
      <c r="BB290" s="1">
        <v>662</v>
      </c>
      <c r="BC290" s="1">
        <v>656</v>
      </c>
      <c r="BD290" s="1">
        <v>667</v>
      </c>
      <c r="BE290" s="1">
        <v>670</v>
      </c>
      <c r="BF290" s="1">
        <v>675</v>
      </c>
      <c r="BG290" s="1">
        <v>678</v>
      </c>
      <c r="BH290" s="1">
        <v>673</v>
      </c>
      <c r="BI290" s="1">
        <v>678</v>
      </c>
      <c r="BJ290" s="1">
        <v>685</v>
      </c>
      <c r="BK290" s="1">
        <v>689</v>
      </c>
      <c r="BL290" s="1">
        <v>678</v>
      </c>
      <c r="BM290" s="1">
        <v>679</v>
      </c>
      <c r="BN290" s="1">
        <v>686</v>
      </c>
      <c r="BO290" s="1">
        <v>698</v>
      </c>
    </row>
    <row r="291" spans="1:68">
      <c r="A291" s="77" t="s">
        <v>504</v>
      </c>
      <c r="B291" s="1" t="str">
        <f>銘柄管理!C291</f>
        <v/>
      </c>
      <c r="C291" s="1" t="str">
        <f>_xll.RssMarket("6706","始値")</f>
        <v/>
      </c>
      <c r="E291" s="1">
        <v>2950</v>
      </c>
      <c r="F291" s="1">
        <v>3000</v>
      </c>
      <c r="G291" s="1">
        <v>2988</v>
      </c>
      <c r="H291" s="1">
        <v>3055</v>
      </c>
      <c r="I291" s="1">
        <v>3080</v>
      </c>
      <c r="J291" s="1">
        <v>2980</v>
      </c>
      <c r="K291" s="1">
        <v>2999</v>
      </c>
      <c r="L291" s="1">
        <v>3000</v>
      </c>
      <c r="M291" s="1">
        <v>3045</v>
      </c>
      <c r="N291" s="1">
        <v>3070</v>
      </c>
      <c r="O291" s="1">
        <v>3020</v>
      </c>
      <c r="P291" s="1">
        <v>3160</v>
      </c>
      <c r="Q291" s="1">
        <v>3085</v>
      </c>
      <c r="R291" s="1">
        <v>3100</v>
      </c>
      <c r="S291" s="1">
        <v>3155</v>
      </c>
      <c r="T291" s="1">
        <v>3105</v>
      </c>
      <c r="U291" s="1">
        <v>3180</v>
      </c>
      <c r="V291" s="1">
        <v>3205</v>
      </c>
      <c r="W291" s="1">
        <v>3210</v>
      </c>
      <c r="X291" s="1">
        <v>3180</v>
      </c>
      <c r="Y291" s="1">
        <v>3160</v>
      </c>
      <c r="Z291" s="1">
        <v>3275</v>
      </c>
      <c r="AA291" s="1">
        <v>3250</v>
      </c>
      <c r="AB291" s="1">
        <v>3200</v>
      </c>
      <c r="AC291" s="1">
        <v>3290</v>
      </c>
      <c r="AD291" s="1">
        <v>3350</v>
      </c>
      <c r="AE291" s="1">
        <v>3360</v>
      </c>
      <c r="AF291" s="1">
        <v>3455</v>
      </c>
      <c r="AG291" s="1">
        <v>3470</v>
      </c>
      <c r="AH291" s="1">
        <v>3485</v>
      </c>
      <c r="AI291" s="1">
        <v>3515</v>
      </c>
      <c r="AJ291" s="1">
        <v>3525</v>
      </c>
      <c r="AK291" s="1">
        <v>3435</v>
      </c>
      <c r="AL291" s="1">
        <v>3495</v>
      </c>
      <c r="AM291" s="1">
        <v>3455</v>
      </c>
      <c r="AN291" s="1">
        <v>3430</v>
      </c>
      <c r="AO291" s="1">
        <v>3440</v>
      </c>
      <c r="AP291" s="1">
        <v>3430</v>
      </c>
      <c r="AQ291" s="1">
        <v>3490</v>
      </c>
      <c r="AR291" s="1">
        <v>3390</v>
      </c>
      <c r="AS291" s="1">
        <v>3500</v>
      </c>
      <c r="AT291" s="1">
        <v>3485</v>
      </c>
      <c r="AU291" s="1">
        <v>3500</v>
      </c>
      <c r="AV291" s="1">
        <v>3495</v>
      </c>
      <c r="AW291" s="1">
        <v>3455</v>
      </c>
      <c r="AX291" s="1">
        <v>3390</v>
      </c>
      <c r="AY291" s="1">
        <v>3380</v>
      </c>
      <c r="AZ291" s="1">
        <v>3305</v>
      </c>
      <c r="BA291" s="1">
        <v>3280</v>
      </c>
      <c r="BB291" s="1">
        <v>3295</v>
      </c>
      <c r="BC291" s="1">
        <v>3325</v>
      </c>
      <c r="BD291" s="1">
        <v>3325</v>
      </c>
      <c r="BE291" s="1">
        <v>3275</v>
      </c>
      <c r="BF291" s="1">
        <v>3275</v>
      </c>
      <c r="BG291" s="1">
        <v>3300</v>
      </c>
      <c r="BH291" s="1">
        <v>3275</v>
      </c>
      <c r="BI291" s="1">
        <v>3285</v>
      </c>
      <c r="BJ291" s="1">
        <v>3305</v>
      </c>
      <c r="BK291" s="1">
        <v>3250</v>
      </c>
      <c r="BL291" s="1">
        <v>3200</v>
      </c>
      <c r="BM291" s="1">
        <v>3080</v>
      </c>
      <c r="BN291" s="1">
        <v>3095</v>
      </c>
      <c r="BO291" s="1">
        <v>3130</v>
      </c>
      <c r="BP291" s="1">
        <v>3125</v>
      </c>
    </row>
    <row r="292" spans="1:68">
      <c r="A292" s="77" t="s">
        <v>505</v>
      </c>
      <c r="B292" s="1" t="str">
        <f>銘柄管理!C292</f>
        <v/>
      </c>
      <c r="C292" s="1" t="str">
        <f>_xll.RssMarket("8141","始値")</f>
        <v/>
      </c>
      <c r="E292" s="1">
        <v>1601</v>
      </c>
      <c r="F292" s="1">
        <v>1597</v>
      </c>
      <c r="G292" s="1">
        <v>1590</v>
      </c>
      <c r="H292" s="1">
        <v>1589</v>
      </c>
      <c r="I292" s="1">
        <v>1584</v>
      </c>
      <c r="J292" s="1">
        <v>1590</v>
      </c>
      <c r="K292" s="1">
        <v>1588</v>
      </c>
      <c r="L292" s="1">
        <v>1589</v>
      </c>
      <c r="M292" s="1">
        <v>1587</v>
      </c>
      <c r="N292" s="1">
        <v>1588</v>
      </c>
      <c r="O292" s="1">
        <v>1586</v>
      </c>
      <c r="P292" s="1">
        <v>1580</v>
      </c>
      <c r="Q292" s="1">
        <v>1570</v>
      </c>
      <c r="R292" s="1">
        <v>1566</v>
      </c>
      <c r="S292" s="1">
        <v>1577</v>
      </c>
      <c r="T292" s="1">
        <v>1586</v>
      </c>
      <c r="U292" s="1">
        <v>1581</v>
      </c>
      <c r="V292" s="1">
        <v>1583</v>
      </c>
      <c r="W292" s="1">
        <v>1582</v>
      </c>
      <c r="X292" s="1">
        <v>1581</v>
      </c>
      <c r="Y292" s="1">
        <v>1579</v>
      </c>
      <c r="Z292" s="1">
        <v>1580</v>
      </c>
      <c r="AA292" s="1">
        <v>1583</v>
      </c>
      <c r="AB292" s="1">
        <v>1578</v>
      </c>
      <c r="AC292" s="1">
        <v>1581</v>
      </c>
      <c r="AD292" s="1">
        <v>1585</v>
      </c>
      <c r="AE292" s="1">
        <v>1580</v>
      </c>
      <c r="AF292" s="1">
        <v>1578</v>
      </c>
      <c r="AG292" s="1">
        <v>1576</v>
      </c>
      <c r="AH292" s="1">
        <v>1577</v>
      </c>
      <c r="AI292" s="1">
        <v>1583</v>
      </c>
      <c r="AJ292" s="1">
        <v>1600</v>
      </c>
      <c r="AK292" s="1">
        <v>1610</v>
      </c>
      <c r="AL292" s="1">
        <v>1603</v>
      </c>
      <c r="AM292" s="1">
        <v>1604</v>
      </c>
      <c r="AN292" s="1">
        <v>1604</v>
      </c>
      <c r="AO292" s="1">
        <v>1611</v>
      </c>
      <c r="AP292" s="1">
        <v>1537</v>
      </c>
      <c r="AQ292" s="1">
        <v>1576</v>
      </c>
      <c r="AR292" s="1">
        <v>1618</v>
      </c>
      <c r="AS292" s="1">
        <v>1660</v>
      </c>
      <c r="AT292" s="1">
        <v>1732</v>
      </c>
      <c r="AU292" s="1">
        <v>1710</v>
      </c>
      <c r="AV292" s="1">
        <v>1686</v>
      </c>
      <c r="AW292" s="1">
        <v>1615</v>
      </c>
      <c r="AX292" s="1">
        <v>1605</v>
      </c>
      <c r="AY292" s="1">
        <v>1558</v>
      </c>
      <c r="AZ292" s="1">
        <v>1538</v>
      </c>
      <c r="BA292" s="1">
        <v>1529</v>
      </c>
      <c r="BB292" s="1">
        <v>1599</v>
      </c>
      <c r="BC292" s="1">
        <v>1556</v>
      </c>
      <c r="BD292" s="1">
        <v>1554</v>
      </c>
      <c r="BE292" s="1">
        <v>1500</v>
      </c>
      <c r="BF292" s="1">
        <v>1465</v>
      </c>
      <c r="BG292" s="1">
        <v>1443</v>
      </c>
      <c r="BH292" s="1">
        <v>1368</v>
      </c>
      <c r="BI292" s="1">
        <v>1470</v>
      </c>
      <c r="BJ292" s="1">
        <v>1433</v>
      </c>
      <c r="BK292" s="1">
        <v>1410</v>
      </c>
      <c r="BL292" s="1">
        <v>1372</v>
      </c>
      <c r="BM292" s="1">
        <v>1380</v>
      </c>
      <c r="BN292" s="1">
        <v>1310</v>
      </c>
      <c r="BO292" s="1">
        <v>1300</v>
      </c>
      <c r="BP292" s="1">
        <v>1300</v>
      </c>
    </row>
    <row r="293" spans="1:68">
      <c r="A293" s="77" t="s">
        <v>506</v>
      </c>
      <c r="B293" s="1" t="str">
        <f>銘柄管理!C293</f>
        <v/>
      </c>
      <c r="C293" s="1" t="str">
        <f>_xll.RssMarket("8344","始値")</f>
        <v/>
      </c>
      <c r="E293" s="1">
        <v>3870</v>
      </c>
      <c r="F293" s="1">
        <v>3790</v>
      </c>
      <c r="G293" s="1">
        <v>3700</v>
      </c>
      <c r="H293" s="1">
        <v>3730</v>
      </c>
      <c r="I293" s="1">
        <v>3825</v>
      </c>
      <c r="J293" s="1">
        <v>3850</v>
      </c>
      <c r="K293" s="1">
        <v>3875</v>
      </c>
      <c r="L293" s="1">
        <v>4070</v>
      </c>
      <c r="M293" s="1">
        <v>3965</v>
      </c>
      <c r="N293" s="1">
        <v>3840</v>
      </c>
      <c r="O293" s="1">
        <v>3670</v>
      </c>
      <c r="P293" s="1">
        <v>3525</v>
      </c>
      <c r="Q293" s="1">
        <v>3495</v>
      </c>
      <c r="R293" s="1">
        <v>3385</v>
      </c>
      <c r="S293" s="1">
        <v>3315</v>
      </c>
      <c r="T293" s="1">
        <v>3320</v>
      </c>
      <c r="U293" s="1">
        <v>3315</v>
      </c>
      <c r="V293" s="1">
        <v>3425</v>
      </c>
      <c r="W293" s="1">
        <v>3350</v>
      </c>
      <c r="X293" s="1">
        <v>3470</v>
      </c>
      <c r="Y293" s="1">
        <v>3535</v>
      </c>
      <c r="Z293" s="1">
        <v>3580</v>
      </c>
      <c r="AA293" s="1">
        <v>3545</v>
      </c>
      <c r="AB293" s="1">
        <v>3550</v>
      </c>
      <c r="AC293" s="1">
        <v>3405</v>
      </c>
      <c r="AD293" s="1">
        <v>3350</v>
      </c>
      <c r="AE293" s="1">
        <v>3200</v>
      </c>
      <c r="AF293" s="1">
        <v>2982</v>
      </c>
      <c r="AG293" s="1">
        <v>3075</v>
      </c>
      <c r="AH293" s="1">
        <v>2963</v>
      </c>
      <c r="AI293" s="1">
        <v>3055</v>
      </c>
      <c r="AJ293" s="1">
        <v>3020</v>
      </c>
      <c r="AK293" s="1">
        <v>3125</v>
      </c>
      <c r="AL293" s="1">
        <v>3080</v>
      </c>
      <c r="AM293" s="1">
        <v>3070</v>
      </c>
      <c r="AN293" s="1">
        <v>3025</v>
      </c>
      <c r="AO293" s="1">
        <v>3080</v>
      </c>
      <c r="AP293" s="1">
        <v>3050</v>
      </c>
      <c r="AQ293" s="1">
        <v>2955</v>
      </c>
      <c r="AR293" s="1">
        <v>2904</v>
      </c>
      <c r="AS293" s="1">
        <v>2755</v>
      </c>
      <c r="AT293" s="1">
        <v>2650</v>
      </c>
      <c r="AU293" s="1">
        <v>2615</v>
      </c>
      <c r="AV293" s="1">
        <v>2543</v>
      </c>
      <c r="AW293" s="1">
        <v>2576</v>
      </c>
      <c r="AX293" s="1">
        <v>2514</v>
      </c>
      <c r="AY293" s="1">
        <v>2558</v>
      </c>
      <c r="AZ293" s="1">
        <v>2603</v>
      </c>
      <c r="BA293" s="1">
        <v>2537</v>
      </c>
      <c r="BB293" s="1">
        <v>2485</v>
      </c>
      <c r="BC293" s="1">
        <v>2417</v>
      </c>
      <c r="BD293" s="1">
        <v>2391</v>
      </c>
      <c r="BE293" s="1">
        <v>2476</v>
      </c>
      <c r="BF293" s="1">
        <v>2513</v>
      </c>
      <c r="BG293" s="1">
        <v>2611</v>
      </c>
      <c r="BH293" s="1">
        <v>2733</v>
      </c>
      <c r="BI293" s="1">
        <v>2794</v>
      </c>
      <c r="BJ293" s="1">
        <v>2789</v>
      </c>
      <c r="BK293" s="1">
        <v>2752</v>
      </c>
      <c r="BL293" s="1">
        <v>2720</v>
      </c>
      <c r="BM293" s="1">
        <v>2702</v>
      </c>
      <c r="BN293" s="1">
        <v>2628</v>
      </c>
      <c r="BO293" s="1">
        <v>2700</v>
      </c>
      <c r="BP293" s="1">
        <v>2675</v>
      </c>
    </row>
    <row r="294" spans="1:68">
      <c r="A294" s="77" t="s">
        <v>507</v>
      </c>
      <c r="B294" s="1" t="str">
        <f>銘柄管理!C294</f>
        <v/>
      </c>
      <c r="C294" s="1" t="str">
        <f>_xll.RssMarket("7414","始値")</f>
        <v/>
      </c>
      <c r="E294" s="1">
        <v>1418</v>
      </c>
      <c r="F294" s="1">
        <v>1390</v>
      </c>
      <c r="G294" s="1">
        <v>1382</v>
      </c>
      <c r="H294" s="1">
        <v>1380</v>
      </c>
      <c r="I294" s="1">
        <v>1373</v>
      </c>
      <c r="J294" s="1">
        <v>1372</v>
      </c>
      <c r="K294" s="1">
        <v>1361</v>
      </c>
      <c r="L294" s="1">
        <v>1342</v>
      </c>
      <c r="M294" s="1">
        <v>1329</v>
      </c>
      <c r="N294" s="1">
        <v>1337</v>
      </c>
      <c r="O294" s="1">
        <v>1341</v>
      </c>
      <c r="P294" s="1">
        <v>1330</v>
      </c>
      <c r="Q294" s="1">
        <v>1329</v>
      </c>
      <c r="R294" s="1">
        <v>1324</v>
      </c>
      <c r="S294" s="1">
        <v>1331</v>
      </c>
      <c r="T294" s="1">
        <v>1319</v>
      </c>
      <c r="U294" s="1">
        <v>1331</v>
      </c>
      <c r="V294" s="1">
        <v>1330</v>
      </c>
      <c r="W294" s="1">
        <v>1320</v>
      </c>
      <c r="X294" s="1">
        <v>1325</v>
      </c>
      <c r="Y294" s="1">
        <v>1314</v>
      </c>
      <c r="Z294" s="1">
        <v>1311</v>
      </c>
      <c r="AA294" s="1">
        <v>1303</v>
      </c>
      <c r="AB294" s="1">
        <v>1325</v>
      </c>
      <c r="AC294" s="1">
        <v>1319</v>
      </c>
      <c r="AD294" s="1">
        <v>1310</v>
      </c>
      <c r="AE294" s="1">
        <v>1299</v>
      </c>
      <c r="AF294" s="1">
        <v>1312</v>
      </c>
      <c r="AG294" s="1">
        <v>1345</v>
      </c>
      <c r="AH294" s="1">
        <v>1340</v>
      </c>
      <c r="AI294" s="1">
        <v>1333</v>
      </c>
      <c r="AJ294" s="1">
        <v>1325</v>
      </c>
      <c r="AK294" s="1">
        <v>1330</v>
      </c>
      <c r="AL294" s="1">
        <v>1349</v>
      </c>
      <c r="AM294" s="1">
        <v>1348</v>
      </c>
      <c r="AN294" s="1">
        <v>1377</v>
      </c>
      <c r="AO294" s="1">
        <v>1444</v>
      </c>
      <c r="AP294" s="1">
        <v>1446</v>
      </c>
      <c r="AQ294" s="1">
        <v>1440</v>
      </c>
      <c r="AR294" s="1">
        <v>1435</v>
      </c>
      <c r="AS294" s="1">
        <v>1423</v>
      </c>
      <c r="AT294" s="1">
        <v>1442</v>
      </c>
      <c r="AU294" s="1">
        <v>1415</v>
      </c>
      <c r="AV294" s="1">
        <v>1394</v>
      </c>
      <c r="AW294" s="1">
        <v>1394</v>
      </c>
      <c r="AX294" s="1">
        <v>1380</v>
      </c>
      <c r="AY294" s="1">
        <v>1387</v>
      </c>
      <c r="AZ294" s="1">
        <v>1374</v>
      </c>
      <c r="BA294" s="1">
        <v>1385</v>
      </c>
      <c r="BB294" s="1">
        <v>1395</v>
      </c>
      <c r="BC294" s="1">
        <v>1410</v>
      </c>
      <c r="BD294" s="1">
        <v>1403</v>
      </c>
      <c r="BE294" s="1">
        <v>1400</v>
      </c>
      <c r="BF294" s="1">
        <v>1414</v>
      </c>
      <c r="BG294" s="1">
        <v>1415</v>
      </c>
      <c r="BH294" s="1">
        <v>1418</v>
      </c>
      <c r="BI294" s="1">
        <v>1412</v>
      </c>
      <c r="BJ294" s="1">
        <v>1421</v>
      </c>
      <c r="BK294" s="1">
        <v>1430</v>
      </c>
      <c r="BL294" s="1">
        <v>1437</v>
      </c>
      <c r="BM294" s="1">
        <v>1398</v>
      </c>
      <c r="BN294" s="1">
        <v>1395</v>
      </c>
    </row>
    <row r="295" spans="1:68">
      <c r="A295" s="77" t="s">
        <v>508</v>
      </c>
      <c r="B295" s="1" t="str">
        <f>銘柄管理!C295</f>
        <v/>
      </c>
      <c r="C295" s="1" t="str">
        <f>_xll.RssMarket("6407","始値")</f>
        <v/>
      </c>
      <c r="E295" s="1">
        <v>6410</v>
      </c>
      <c r="F295" s="1">
        <v>6830</v>
      </c>
      <c r="G295" s="1">
        <v>6750</v>
      </c>
      <c r="H295" s="1">
        <v>7140</v>
      </c>
      <c r="I295" s="1">
        <v>6960</v>
      </c>
      <c r="J295" s="1">
        <v>6880</v>
      </c>
      <c r="K295" s="1">
        <v>6680</v>
      </c>
      <c r="L295" s="1">
        <v>7330</v>
      </c>
      <c r="M295" s="1">
        <v>7600</v>
      </c>
      <c r="N295" s="1">
        <v>6860</v>
      </c>
      <c r="O295" s="1">
        <v>7400</v>
      </c>
      <c r="P295" s="1">
        <v>7720</v>
      </c>
      <c r="Q295" s="1">
        <v>7590</v>
      </c>
      <c r="R295" s="1">
        <v>7420</v>
      </c>
      <c r="S295" s="1">
        <v>7690</v>
      </c>
      <c r="T295" s="1">
        <v>8050</v>
      </c>
      <c r="U295" s="1">
        <v>7460</v>
      </c>
      <c r="V295" s="1">
        <v>8230</v>
      </c>
      <c r="W295" s="1">
        <v>7870</v>
      </c>
      <c r="X295" s="1">
        <v>8010</v>
      </c>
      <c r="Y295" s="1">
        <v>7730</v>
      </c>
      <c r="Z295" s="1">
        <v>7400</v>
      </c>
      <c r="AA295" s="1">
        <v>7470</v>
      </c>
      <c r="AB295" s="1">
        <v>7190</v>
      </c>
      <c r="AC295" s="1">
        <v>6540</v>
      </c>
      <c r="AD295" s="1">
        <v>5890</v>
      </c>
      <c r="AE295" s="1">
        <v>6080</v>
      </c>
      <c r="AF295" s="1">
        <v>5680</v>
      </c>
      <c r="AG295" s="1">
        <v>6300</v>
      </c>
      <c r="AH295" s="1">
        <v>6460</v>
      </c>
      <c r="AI295" s="1">
        <v>6410</v>
      </c>
      <c r="AJ295" s="1">
        <v>6320</v>
      </c>
      <c r="AK295" s="1">
        <v>6730</v>
      </c>
      <c r="AL295" s="1">
        <v>6460</v>
      </c>
      <c r="AM295" s="1">
        <v>6990</v>
      </c>
      <c r="AN295" s="1">
        <v>6740</v>
      </c>
      <c r="AO295" s="1">
        <v>6960</v>
      </c>
      <c r="AP295" s="1">
        <v>6020</v>
      </c>
      <c r="AQ295" s="1">
        <v>6000</v>
      </c>
      <c r="AR295" s="1">
        <v>6030</v>
      </c>
      <c r="AS295" s="1">
        <v>6120</v>
      </c>
      <c r="AT295" s="1">
        <v>7300</v>
      </c>
      <c r="AU295" s="1">
        <v>6970</v>
      </c>
      <c r="AV295" s="1">
        <v>6770</v>
      </c>
      <c r="AW295" s="1">
        <v>6880</v>
      </c>
      <c r="AX295" s="1">
        <v>6770</v>
      </c>
      <c r="AY295" s="1">
        <v>6270</v>
      </c>
      <c r="AZ295" s="1">
        <v>6830</v>
      </c>
      <c r="BA295" s="1">
        <v>6040</v>
      </c>
      <c r="BB295" s="1">
        <v>5870</v>
      </c>
      <c r="BC295" s="1">
        <v>5790</v>
      </c>
      <c r="BD295" s="1">
        <v>5500</v>
      </c>
      <c r="BE295" s="1">
        <v>5450</v>
      </c>
      <c r="BF295" s="1">
        <v>5750</v>
      </c>
      <c r="BG295" s="1">
        <v>5710</v>
      </c>
      <c r="BH295" s="1">
        <v>5660</v>
      </c>
      <c r="BI295" s="1">
        <v>5610</v>
      </c>
      <c r="BJ295" s="1">
        <v>5670</v>
      </c>
      <c r="BK295" s="1">
        <v>5550</v>
      </c>
      <c r="BL295" s="1">
        <v>5830</v>
      </c>
      <c r="BM295" s="1">
        <v>5750</v>
      </c>
      <c r="BN295" s="1">
        <v>5540</v>
      </c>
      <c r="BO295" s="1">
        <v>5420</v>
      </c>
      <c r="BP295" s="1">
        <v>5080</v>
      </c>
    </row>
    <row r="296" spans="1:68">
      <c r="A296" s="77" t="s">
        <v>509</v>
      </c>
      <c r="B296" s="1" t="str">
        <f>銘柄管理!C296</f>
        <v/>
      </c>
      <c r="C296" s="1" t="str">
        <f>_xll.RssMarket("7048","始値")</f>
        <v/>
      </c>
      <c r="E296" s="1">
        <v>180</v>
      </c>
      <c r="F296" s="1">
        <v>179</v>
      </c>
      <c r="G296" s="1">
        <v>171</v>
      </c>
      <c r="H296" s="1">
        <v>174</v>
      </c>
      <c r="I296" s="1">
        <v>165</v>
      </c>
      <c r="J296" s="1">
        <v>163</v>
      </c>
      <c r="K296" s="1">
        <v>161</v>
      </c>
      <c r="L296" s="1">
        <v>168</v>
      </c>
      <c r="M296" s="1">
        <v>172</v>
      </c>
      <c r="N296" s="1">
        <v>170</v>
      </c>
      <c r="O296" s="1">
        <v>163</v>
      </c>
      <c r="P296" s="1">
        <v>164</v>
      </c>
      <c r="Q296" s="1">
        <v>168</v>
      </c>
      <c r="R296" s="1">
        <v>163</v>
      </c>
      <c r="S296" s="1">
        <v>165</v>
      </c>
      <c r="T296" s="1">
        <v>173</v>
      </c>
      <c r="U296" s="1">
        <v>193</v>
      </c>
      <c r="V296" s="1">
        <v>176</v>
      </c>
      <c r="W296" s="1">
        <v>154</v>
      </c>
      <c r="X296" s="1">
        <v>160</v>
      </c>
      <c r="Y296" s="1">
        <v>131</v>
      </c>
      <c r="Z296" s="1">
        <v>124</v>
      </c>
      <c r="AA296" s="1">
        <v>127</v>
      </c>
      <c r="AB296" s="1">
        <v>121</v>
      </c>
      <c r="AC296" s="1">
        <v>116</v>
      </c>
      <c r="AD296" s="1">
        <v>120</v>
      </c>
      <c r="AE296" s="1">
        <v>122</v>
      </c>
      <c r="AF296" s="1">
        <v>128</v>
      </c>
      <c r="AG296" s="1">
        <v>133</v>
      </c>
      <c r="AH296" s="1">
        <v>127</v>
      </c>
      <c r="AI296" s="1">
        <v>130</v>
      </c>
      <c r="AJ296" s="1">
        <v>129</v>
      </c>
      <c r="AK296" s="1">
        <v>130</v>
      </c>
      <c r="AL296" s="1">
        <v>133</v>
      </c>
      <c r="AM296" s="1">
        <v>136</v>
      </c>
      <c r="AN296" s="1">
        <v>143</v>
      </c>
      <c r="AO296" s="1">
        <v>142</v>
      </c>
      <c r="AP296" s="1">
        <v>144</v>
      </c>
      <c r="AQ296" s="1">
        <v>147</v>
      </c>
      <c r="AR296" s="1">
        <v>145</v>
      </c>
      <c r="AS296" s="1">
        <v>145</v>
      </c>
      <c r="AT296" s="1">
        <v>154</v>
      </c>
      <c r="AU296" s="1">
        <v>161</v>
      </c>
      <c r="AV296" s="1">
        <v>164</v>
      </c>
      <c r="AW296" s="1">
        <v>162</v>
      </c>
      <c r="AX296" s="1">
        <v>165</v>
      </c>
      <c r="AY296" s="1">
        <v>162</v>
      </c>
      <c r="AZ296" s="1">
        <v>163</v>
      </c>
      <c r="BA296" s="1">
        <v>160</v>
      </c>
      <c r="BB296" s="1">
        <v>162</v>
      </c>
      <c r="BC296" s="1">
        <v>165</v>
      </c>
      <c r="BD296" s="1">
        <v>163</v>
      </c>
      <c r="BE296" s="1">
        <v>166</v>
      </c>
      <c r="BF296" s="1">
        <v>171</v>
      </c>
      <c r="BG296" s="1">
        <v>178</v>
      </c>
      <c r="BH296" s="1">
        <v>186</v>
      </c>
      <c r="BI296" s="1">
        <v>190</v>
      </c>
      <c r="BJ296" s="1">
        <v>189</v>
      </c>
      <c r="BK296" s="1">
        <v>178</v>
      </c>
      <c r="BL296" s="1">
        <v>176</v>
      </c>
      <c r="BM296" s="1">
        <v>175</v>
      </c>
      <c r="BN296" s="1">
        <v>171</v>
      </c>
      <c r="BO296" s="1">
        <v>178</v>
      </c>
      <c r="BP296" s="1">
        <v>190</v>
      </c>
    </row>
    <row r="297" spans="1:68">
      <c r="A297" s="77" t="s">
        <v>510</v>
      </c>
      <c r="B297" s="1" t="str">
        <f>銘柄管理!C297</f>
        <v/>
      </c>
      <c r="C297" s="1" t="str">
        <f>_xll.RssMarket("1808","始値")</f>
        <v/>
      </c>
      <c r="E297" s="1">
        <v>2840</v>
      </c>
      <c r="F297" s="1">
        <v>2818.5</v>
      </c>
      <c r="G297" s="1">
        <v>2786</v>
      </c>
      <c r="H297" s="1">
        <v>2822</v>
      </c>
      <c r="I297" s="1">
        <v>2811</v>
      </c>
      <c r="J297" s="1">
        <v>2800.5</v>
      </c>
      <c r="K297" s="1">
        <v>2880</v>
      </c>
      <c r="L297" s="1">
        <v>2884.5</v>
      </c>
      <c r="M297" s="1">
        <v>2834</v>
      </c>
      <c r="N297" s="1">
        <v>2845</v>
      </c>
      <c r="O297" s="1">
        <v>2793</v>
      </c>
      <c r="P297" s="1">
        <v>2812.5</v>
      </c>
      <c r="Q297" s="1">
        <v>2841.5</v>
      </c>
      <c r="R297" s="1">
        <v>2870</v>
      </c>
      <c r="S297" s="1">
        <v>2785</v>
      </c>
      <c r="T297" s="1">
        <v>2781.5</v>
      </c>
      <c r="U297" s="1">
        <v>2759</v>
      </c>
      <c r="V297" s="1">
        <v>2768</v>
      </c>
      <c r="W297" s="1">
        <v>2736</v>
      </c>
      <c r="X297" s="1">
        <v>2638</v>
      </c>
      <c r="Y297" s="1">
        <v>2707</v>
      </c>
      <c r="Z297" s="1">
        <v>2730</v>
      </c>
      <c r="AA297" s="1">
        <v>2708.5</v>
      </c>
      <c r="AB297" s="1">
        <v>2700</v>
      </c>
      <c r="AC297" s="1">
        <v>2766.5</v>
      </c>
      <c r="AD297" s="1">
        <v>2745</v>
      </c>
      <c r="AE297" s="1">
        <v>2707.5</v>
      </c>
      <c r="AF297" s="1">
        <v>2645.5</v>
      </c>
      <c r="AG297" s="1">
        <v>2643</v>
      </c>
      <c r="AH297" s="1">
        <v>2599.5</v>
      </c>
      <c r="AI297" s="1">
        <v>2620</v>
      </c>
      <c r="AJ297" s="1">
        <v>2624</v>
      </c>
      <c r="AK297" s="1">
        <v>2700</v>
      </c>
      <c r="AL297" s="1">
        <v>2717</v>
      </c>
      <c r="AM297" s="1">
        <v>2693</v>
      </c>
      <c r="AN297" s="1">
        <v>2679</v>
      </c>
      <c r="AO297" s="1">
        <v>2730</v>
      </c>
      <c r="AP297" s="1">
        <v>2715</v>
      </c>
      <c r="AQ297" s="1">
        <v>2790</v>
      </c>
      <c r="AR297" s="1">
        <v>2840</v>
      </c>
      <c r="AS297" s="1">
        <v>2881</v>
      </c>
      <c r="AT297" s="1">
        <v>2695</v>
      </c>
      <c r="AU297" s="1">
        <v>2790</v>
      </c>
      <c r="AV297" s="1">
        <v>2808.5</v>
      </c>
      <c r="AW297" s="1">
        <v>2771</v>
      </c>
      <c r="AX297" s="1">
        <v>2745</v>
      </c>
      <c r="AY297" s="1">
        <v>2757</v>
      </c>
      <c r="AZ297" s="1">
        <v>2743.5</v>
      </c>
      <c r="BA297" s="1">
        <v>2700.5</v>
      </c>
      <c r="BB297" s="1">
        <v>2778</v>
      </c>
      <c r="BC297" s="1">
        <v>2750</v>
      </c>
      <c r="BD297" s="1">
        <v>2670</v>
      </c>
      <c r="BE297" s="1">
        <v>2713.5</v>
      </c>
      <c r="BF297" s="1">
        <v>2724.5</v>
      </c>
      <c r="BG297" s="1">
        <v>2749</v>
      </c>
      <c r="BH297" s="1">
        <v>2815</v>
      </c>
      <c r="BI297" s="1">
        <v>2766.5</v>
      </c>
      <c r="BJ297" s="1">
        <v>2761.5</v>
      </c>
      <c r="BK297" s="1">
        <v>2760</v>
      </c>
      <c r="BL297" s="1">
        <v>2736.5</v>
      </c>
      <c r="BM297" s="1">
        <v>2866.5</v>
      </c>
      <c r="BN297" s="1">
        <v>2890</v>
      </c>
      <c r="BO297" s="1">
        <v>2922</v>
      </c>
      <c r="BP297" s="1">
        <v>2999</v>
      </c>
    </row>
    <row r="298" spans="1:68">
      <c r="A298" s="77" t="s">
        <v>511</v>
      </c>
      <c r="B298" s="1" t="str">
        <f>銘柄管理!C298</f>
        <v/>
      </c>
      <c r="C298" s="1" t="str">
        <f>_xll.RssMarket("4208","始値")</f>
        <v/>
      </c>
      <c r="E298" s="1">
        <v>3243</v>
      </c>
      <c r="F298" s="1">
        <v>3227</v>
      </c>
      <c r="G298" s="1">
        <v>3102</v>
      </c>
      <c r="H298" s="1">
        <v>3181</v>
      </c>
      <c r="I298" s="1">
        <v>3187</v>
      </c>
      <c r="J298" s="1">
        <v>3163</v>
      </c>
      <c r="K298" s="1">
        <v>3180</v>
      </c>
      <c r="L298" s="1">
        <v>3270</v>
      </c>
      <c r="M298" s="1">
        <v>3203</v>
      </c>
      <c r="N298" s="1">
        <v>3190</v>
      </c>
      <c r="O298" s="1">
        <v>3189</v>
      </c>
      <c r="P298" s="1">
        <v>3162</v>
      </c>
      <c r="Q298" s="1">
        <v>3170</v>
      </c>
      <c r="R298" s="1">
        <v>3163</v>
      </c>
      <c r="S298" s="1">
        <v>3174</v>
      </c>
      <c r="T298" s="1">
        <v>3111</v>
      </c>
      <c r="U298" s="1">
        <v>3220</v>
      </c>
      <c r="V298" s="1">
        <v>3195</v>
      </c>
      <c r="W298" s="1">
        <v>3294</v>
      </c>
      <c r="X298" s="1">
        <v>3230</v>
      </c>
      <c r="Y298" s="1">
        <v>3197</v>
      </c>
      <c r="Z298" s="1">
        <v>3240</v>
      </c>
      <c r="AA298" s="1">
        <v>3125</v>
      </c>
      <c r="AB298" s="1">
        <v>3036</v>
      </c>
      <c r="AC298" s="1">
        <v>2993</v>
      </c>
      <c r="AD298" s="1">
        <v>2973.5</v>
      </c>
      <c r="AE298" s="1">
        <v>2905</v>
      </c>
      <c r="AF298" s="1">
        <v>2939</v>
      </c>
      <c r="AG298" s="1">
        <v>2992</v>
      </c>
      <c r="AH298" s="1">
        <v>2964.5</v>
      </c>
      <c r="AI298" s="1">
        <v>2900.5</v>
      </c>
      <c r="AJ298" s="1">
        <v>2950</v>
      </c>
      <c r="AK298" s="1">
        <v>2980</v>
      </c>
      <c r="AL298" s="1">
        <v>3030</v>
      </c>
      <c r="AM298" s="1">
        <v>3000</v>
      </c>
      <c r="AN298" s="1">
        <v>3045</v>
      </c>
      <c r="AO298" s="1">
        <v>2940.5</v>
      </c>
      <c r="AP298" s="1">
        <v>2688</v>
      </c>
      <c r="AQ298" s="1">
        <v>2424.5</v>
      </c>
      <c r="AR298" s="1">
        <v>2416.5</v>
      </c>
      <c r="AS298" s="1">
        <v>2450</v>
      </c>
      <c r="AT298" s="1">
        <v>2478</v>
      </c>
      <c r="AU298" s="1">
        <v>2338</v>
      </c>
      <c r="AV298" s="1">
        <v>2357</v>
      </c>
      <c r="AW298" s="1">
        <v>2386.5</v>
      </c>
      <c r="AX298" s="1">
        <v>2395</v>
      </c>
      <c r="AY298" s="1">
        <v>2403</v>
      </c>
      <c r="AZ298" s="1">
        <v>2360</v>
      </c>
      <c r="BA298" s="1">
        <v>2344</v>
      </c>
      <c r="BB298" s="1">
        <v>2368</v>
      </c>
      <c r="BC298" s="1">
        <v>2351</v>
      </c>
      <c r="BD298" s="1">
        <v>2367</v>
      </c>
      <c r="BE298" s="1">
        <v>2363</v>
      </c>
      <c r="BF298" s="1">
        <v>2409</v>
      </c>
      <c r="BG298" s="1">
        <v>2425</v>
      </c>
      <c r="BH298" s="1">
        <v>2444.5</v>
      </c>
      <c r="BI298" s="1">
        <v>2438</v>
      </c>
      <c r="BJ298" s="1">
        <v>2425.5</v>
      </c>
      <c r="BK298" s="1">
        <v>2411</v>
      </c>
      <c r="BL298" s="1">
        <v>2424.5</v>
      </c>
      <c r="BM298" s="1">
        <v>2434</v>
      </c>
      <c r="BN298" s="1">
        <v>2473.5</v>
      </c>
      <c r="BO298" s="1">
        <v>2518</v>
      </c>
      <c r="BP298" s="1">
        <v>2527</v>
      </c>
    </row>
    <row r="299" spans="1:68">
      <c r="A299" s="77" t="s">
        <v>512</v>
      </c>
      <c r="B299" s="1" t="str">
        <f>銘柄管理!C299</f>
        <v/>
      </c>
      <c r="C299" s="1" t="str">
        <f>_xll.RssMarket("186A","始値")</f>
        <v/>
      </c>
      <c r="E299" s="1">
        <v>1000</v>
      </c>
      <c r="F299" s="1">
        <v>1055</v>
      </c>
      <c r="G299" s="1">
        <v>1078</v>
      </c>
      <c r="H299" s="1">
        <v>1105</v>
      </c>
      <c r="I299" s="1">
        <v>1108</v>
      </c>
      <c r="J299" s="1">
        <v>1076</v>
      </c>
      <c r="K299" s="1">
        <v>1112</v>
      </c>
      <c r="L299" s="1">
        <v>1210</v>
      </c>
      <c r="M299" s="1">
        <v>1236</v>
      </c>
      <c r="N299" s="1">
        <v>1145</v>
      </c>
      <c r="O299" s="1">
        <v>1135</v>
      </c>
      <c r="P299" s="1">
        <v>1176</v>
      </c>
      <c r="Q299" s="1">
        <v>1179</v>
      </c>
      <c r="R299" s="1">
        <v>1113</v>
      </c>
      <c r="S299" s="1">
        <v>1150</v>
      </c>
      <c r="T299" s="1">
        <v>1173</v>
      </c>
      <c r="U299" s="1">
        <v>1180</v>
      </c>
      <c r="V299" s="1">
        <v>1290</v>
      </c>
      <c r="W299" s="1">
        <v>1205</v>
      </c>
      <c r="X299" s="1">
        <v>1285</v>
      </c>
      <c r="Y299" s="1">
        <v>1356</v>
      </c>
      <c r="Z299" s="1">
        <v>1450</v>
      </c>
      <c r="AA299" s="1">
        <v>1465</v>
      </c>
      <c r="AB299" s="1">
        <v>1676</v>
      </c>
      <c r="AC299" s="1">
        <v>1956</v>
      </c>
      <c r="AD299" s="1">
        <v>1710</v>
      </c>
      <c r="AE299" s="1">
        <v>1806</v>
      </c>
      <c r="AF299" s="1">
        <v>1922</v>
      </c>
      <c r="AG299" s="1">
        <v>2085</v>
      </c>
      <c r="AH299" s="1">
        <v>1955</v>
      </c>
      <c r="AI299" s="1">
        <v>2195</v>
      </c>
      <c r="AJ299" s="1">
        <v>2101</v>
      </c>
      <c r="AK299" s="1">
        <v>2868</v>
      </c>
      <c r="AL299" s="1">
        <v>2644</v>
      </c>
      <c r="AM299" s="1">
        <v>3000</v>
      </c>
      <c r="AN299" s="1">
        <v>2639</v>
      </c>
      <c r="AO299" s="1">
        <v>1992</v>
      </c>
      <c r="AP299" s="1">
        <v>2050</v>
      </c>
      <c r="AQ299" s="1">
        <v>2065</v>
      </c>
      <c r="AR299" s="1">
        <v>1932</v>
      </c>
      <c r="AS299" s="1">
        <v>2100</v>
      </c>
      <c r="AT299" s="1">
        <v>1900</v>
      </c>
      <c r="AU299" s="1">
        <v>1864</v>
      </c>
      <c r="AV299" s="1">
        <v>1737</v>
      </c>
      <c r="AW299" s="1">
        <v>1796</v>
      </c>
      <c r="AX299" s="1">
        <v>1730</v>
      </c>
      <c r="AY299" s="1">
        <v>1413</v>
      </c>
      <c r="AZ299" s="1">
        <v>1373</v>
      </c>
      <c r="BA299" s="1">
        <v>1263</v>
      </c>
      <c r="BB299" s="1">
        <v>1282</v>
      </c>
      <c r="BC299" s="1">
        <v>1221</v>
      </c>
      <c r="BD299" s="1">
        <v>1317</v>
      </c>
      <c r="BE299" s="1">
        <v>1400</v>
      </c>
      <c r="BF299" s="1">
        <v>1454</v>
      </c>
      <c r="BG299" s="1">
        <v>1458</v>
      </c>
      <c r="BH299" s="1">
        <v>1489</v>
      </c>
      <c r="BI299" s="1">
        <v>1366</v>
      </c>
      <c r="BJ299" s="1">
        <v>1410</v>
      </c>
      <c r="BK299" s="1">
        <v>1365</v>
      </c>
      <c r="BL299" s="1">
        <v>1403</v>
      </c>
      <c r="BM299" s="1">
        <v>1363</v>
      </c>
      <c r="BN299" s="1">
        <v>1301</v>
      </c>
      <c r="BO299" s="1">
        <v>1250</v>
      </c>
      <c r="BP299" s="1">
        <v>1180</v>
      </c>
    </row>
    <row r="300" spans="1:68">
      <c r="A300" s="77" t="s">
        <v>513</v>
      </c>
      <c r="B300" s="1" t="str">
        <f>銘柄管理!C300</f>
        <v/>
      </c>
      <c r="C300" s="1" t="str">
        <f>_xll.RssMarket("6965","始値")</f>
        <v/>
      </c>
      <c r="E300" s="1">
        <v>2345</v>
      </c>
      <c r="F300" s="1">
        <v>2450</v>
      </c>
      <c r="G300" s="1">
        <v>2416.5</v>
      </c>
      <c r="H300" s="1">
        <v>2509</v>
      </c>
      <c r="I300" s="1">
        <v>2499</v>
      </c>
      <c r="J300" s="1">
        <v>2474</v>
      </c>
      <c r="K300" s="1">
        <v>2400</v>
      </c>
      <c r="L300" s="1">
        <v>2551</v>
      </c>
      <c r="M300" s="1">
        <v>2675.5</v>
      </c>
      <c r="N300" s="1">
        <v>2566</v>
      </c>
      <c r="O300" s="1">
        <v>2685</v>
      </c>
      <c r="P300" s="1">
        <v>2726.5</v>
      </c>
      <c r="Q300" s="1">
        <v>2685.5</v>
      </c>
      <c r="R300" s="1">
        <v>2615</v>
      </c>
      <c r="S300" s="1">
        <v>2685</v>
      </c>
      <c r="T300" s="1">
        <v>2765</v>
      </c>
      <c r="U300" s="1">
        <v>2645</v>
      </c>
      <c r="V300" s="1">
        <v>2837.5</v>
      </c>
      <c r="W300" s="1">
        <v>2843.5</v>
      </c>
      <c r="X300" s="1">
        <v>2840</v>
      </c>
      <c r="Y300" s="1">
        <v>2776</v>
      </c>
      <c r="Z300" s="1">
        <v>2634.5</v>
      </c>
      <c r="AA300" s="1">
        <v>2653</v>
      </c>
      <c r="AB300" s="1">
        <v>2565.5</v>
      </c>
      <c r="AC300" s="1">
        <v>2487.5</v>
      </c>
      <c r="AD300" s="1">
        <v>2288</v>
      </c>
      <c r="AE300" s="1">
        <v>2502</v>
      </c>
      <c r="AF300" s="1">
        <v>2614</v>
      </c>
      <c r="AG300" s="1">
        <v>2891.5</v>
      </c>
      <c r="AH300" s="1">
        <v>2827.5</v>
      </c>
      <c r="AI300" s="1">
        <v>2879</v>
      </c>
      <c r="AJ300" s="1">
        <v>2854.5</v>
      </c>
      <c r="AK300" s="1">
        <v>2873</v>
      </c>
      <c r="AL300" s="1">
        <v>2686.5</v>
      </c>
      <c r="AM300" s="1">
        <v>2937</v>
      </c>
      <c r="AN300" s="1">
        <v>2995</v>
      </c>
      <c r="AO300" s="1">
        <v>2731.5</v>
      </c>
      <c r="AP300" s="1">
        <v>2703</v>
      </c>
      <c r="AQ300" s="1">
        <v>2637.5</v>
      </c>
      <c r="AR300" s="1">
        <v>2785</v>
      </c>
      <c r="AS300" s="1">
        <v>2756.5</v>
      </c>
      <c r="AT300" s="1">
        <v>2600</v>
      </c>
      <c r="AU300" s="1">
        <v>2173</v>
      </c>
      <c r="AV300" s="1">
        <v>2110</v>
      </c>
      <c r="AW300" s="1">
        <v>2192</v>
      </c>
      <c r="AX300" s="1">
        <v>2243</v>
      </c>
      <c r="AY300" s="1">
        <v>2119</v>
      </c>
      <c r="AZ300" s="1">
        <v>2041</v>
      </c>
      <c r="BA300" s="1">
        <v>2019</v>
      </c>
      <c r="BB300" s="1">
        <v>2002.5</v>
      </c>
      <c r="BC300" s="1">
        <v>2036</v>
      </c>
      <c r="BD300" s="1">
        <v>1949</v>
      </c>
      <c r="BE300" s="1">
        <v>1941</v>
      </c>
      <c r="BF300" s="1">
        <v>1946</v>
      </c>
      <c r="BG300" s="1">
        <v>1947</v>
      </c>
      <c r="BH300" s="1">
        <v>1955</v>
      </c>
      <c r="BI300" s="1">
        <v>1934.5</v>
      </c>
      <c r="BJ300" s="1">
        <v>1990</v>
      </c>
      <c r="BK300" s="1">
        <v>1910</v>
      </c>
      <c r="BL300" s="1">
        <v>1953.5</v>
      </c>
      <c r="BM300" s="1">
        <v>1970</v>
      </c>
      <c r="BN300" s="1">
        <v>1921</v>
      </c>
      <c r="BO300" s="1">
        <v>1954</v>
      </c>
      <c r="BP300" s="1">
        <v>1950</v>
      </c>
    </row>
    <row r="301" spans="1:68">
      <c r="A301" s="77" t="s">
        <v>514</v>
      </c>
      <c r="B301" s="1" t="str">
        <f>銘柄管理!C301</f>
        <v/>
      </c>
      <c r="C301" s="1" t="str">
        <f>_xll.RssMarket("6331","始値")</f>
        <v/>
      </c>
      <c r="E301" s="1">
        <v>3275</v>
      </c>
      <c r="F301" s="1">
        <v>3475</v>
      </c>
      <c r="G301" s="1">
        <v>3415</v>
      </c>
      <c r="H301" s="1">
        <v>3585</v>
      </c>
      <c r="I301" s="1">
        <v>3555</v>
      </c>
      <c r="J301" s="1">
        <v>3605</v>
      </c>
      <c r="K301" s="1">
        <v>3850</v>
      </c>
      <c r="L301" s="1">
        <v>3935</v>
      </c>
      <c r="M301" s="1">
        <v>3840</v>
      </c>
      <c r="N301" s="1">
        <v>3675</v>
      </c>
      <c r="O301" s="1">
        <v>3700</v>
      </c>
      <c r="P301" s="1">
        <v>3695</v>
      </c>
      <c r="Q301" s="1">
        <v>3795</v>
      </c>
      <c r="R301" s="1">
        <v>3855</v>
      </c>
      <c r="S301" s="1">
        <v>3875</v>
      </c>
      <c r="T301" s="1">
        <v>3890</v>
      </c>
      <c r="U301" s="1">
        <v>3880</v>
      </c>
      <c r="V301" s="1">
        <v>4160</v>
      </c>
      <c r="W301" s="1">
        <v>4000</v>
      </c>
      <c r="X301" s="1">
        <v>4080</v>
      </c>
      <c r="Y301" s="1">
        <v>4100</v>
      </c>
      <c r="Z301" s="1">
        <v>3900</v>
      </c>
      <c r="AA301" s="1">
        <v>3840</v>
      </c>
      <c r="AB301" s="1">
        <v>3795</v>
      </c>
      <c r="AC301" s="1">
        <v>3680</v>
      </c>
      <c r="AD301" s="1">
        <v>3555</v>
      </c>
      <c r="AE301" s="1">
        <v>3500</v>
      </c>
      <c r="AF301" s="1">
        <v>3470</v>
      </c>
      <c r="AG301" s="1">
        <v>3465</v>
      </c>
      <c r="AH301" s="1">
        <v>3655</v>
      </c>
      <c r="AI301" s="1">
        <v>3455</v>
      </c>
      <c r="AJ301" s="1">
        <v>3450</v>
      </c>
      <c r="AK301" s="1">
        <v>3690</v>
      </c>
      <c r="AL301" s="1">
        <v>3650</v>
      </c>
      <c r="AM301" s="1">
        <v>3790</v>
      </c>
      <c r="AN301" s="1">
        <v>3425</v>
      </c>
      <c r="AO301" s="1">
        <v>3550</v>
      </c>
      <c r="AP301" s="1">
        <v>3485</v>
      </c>
      <c r="AQ301" s="1">
        <v>3585</v>
      </c>
      <c r="AR301" s="1">
        <v>3840</v>
      </c>
      <c r="AS301" s="1">
        <v>3600</v>
      </c>
      <c r="AT301" s="1">
        <v>3375</v>
      </c>
      <c r="AU301" s="1">
        <v>3380</v>
      </c>
      <c r="AV301" s="1">
        <v>3295</v>
      </c>
      <c r="AW301" s="1">
        <v>3320</v>
      </c>
      <c r="AX301" s="1">
        <v>3260</v>
      </c>
      <c r="AY301" s="1">
        <v>3265</v>
      </c>
      <c r="AZ301" s="1">
        <v>3330</v>
      </c>
      <c r="BA301" s="1">
        <v>3220</v>
      </c>
      <c r="BB301" s="1">
        <v>3190</v>
      </c>
      <c r="BC301" s="1">
        <v>3260</v>
      </c>
      <c r="BD301" s="1">
        <v>3205</v>
      </c>
      <c r="BE301" s="1">
        <v>3160</v>
      </c>
      <c r="BF301" s="1">
        <v>3050</v>
      </c>
      <c r="BG301" s="1">
        <v>3030</v>
      </c>
      <c r="BH301" s="1">
        <v>3045</v>
      </c>
      <c r="BI301" s="1">
        <v>3055</v>
      </c>
      <c r="BJ301" s="1">
        <v>3060</v>
      </c>
      <c r="BK301" s="1">
        <v>3045</v>
      </c>
      <c r="BL301" s="1">
        <v>3150</v>
      </c>
      <c r="BM301" s="1">
        <v>3130</v>
      </c>
      <c r="BN301" s="1">
        <v>3150</v>
      </c>
      <c r="BO301" s="1">
        <v>3205</v>
      </c>
      <c r="BP301" s="1">
        <v>3235</v>
      </c>
    </row>
    <row r="302" spans="1:68">
      <c r="A302" s="77" t="s">
        <v>515</v>
      </c>
      <c r="B302" s="1" t="str">
        <f>銘柄管理!C302</f>
        <v/>
      </c>
      <c r="C302" s="1" t="str">
        <f>_xll.RssMarket("7741","始値")</f>
        <v/>
      </c>
      <c r="E302" s="1">
        <v>24900</v>
      </c>
      <c r="F302" s="1">
        <v>25570</v>
      </c>
      <c r="G302" s="1">
        <v>25830</v>
      </c>
      <c r="H302" s="1">
        <v>25035</v>
      </c>
      <c r="I302" s="1">
        <v>25200</v>
      </c>
      <c r="J302" s="1">
        <v>24290</v>
      </c>
      <c r="K302" s="1">
        <v>25200</v>
      </c>
      <c r="L302" s="1">
        <v>25525</v>
      </c>
      <c r="M302" s="1">
        <v>26100</v>
      </c>
      <c r="N302" s="1">
        <v>25845</v>
      </c>
      <c r="O302" s="1">
        <v>25775</v>
      </c>
      <c r="P302" s="1">
        <v>25940</v>
      </c>
      <c r="Q302" s="1">
        <v>26045</v>
      </c>
      <c r="R302" s="1">
        <v>25570</v>
      </c>
      <c r="S302" s="1">
        <v>26500</v>
      </c>
      <c r="T302" s="1">
        <v>26825</v>
      </c>
      <c r="U302" s="1">
        <v>26200</v>
      </c>
      <c r="V302" s="1">
        <v>27205</v>
      </c>
      <c r="W302" s="1">
        <v>26945</v>
      </c>
      <c r="X302" s="1">
        <v>28865</v>
      </c>
      <c r="Y302" s="1">
        <v>28000</v>
      </c>
      <c r="Z302" s="1">
        <v>27025</v>
      </c>
      <c r="AA302" s="1">
        <v>26590</v>
      </c>
      <c r="AB302" s="1">
        <v>26945</v>
      </c>
      <c r="AC302" s="1">
        <v>26420</v>
      </c>
      <c r="AD302" s="1">
        <v>25300</v>
      </c>
      <c r="AE302" s="1">
        <v>25420</v>
      </c>
      <c r="AF302" s="1">
        <v>25400</v>
      </c>
      <c r="AG302" s="1">
        <v>26290</v>
      </c>
      <c r="AH302" s="1">
        <v>27480</v>
      </c>
      <c r="AI302" s="1">
        <v>26500</v>
      </c>
      <c r="AJ302" s="1">
        <v>26175</v>
      </c>
      <c r="AK302" s="1">
        <v>27020</v>
      </c>
      <c r="AL302" s="1">
        <v>27080</v>
      </c>
      <c r="AM302" s="1">
        <v>27220</v>
      </c>
      <c r="AN302" s="1">
        <v>26055</v>
      </c>
      <c r="AO302" s="1">
        <v>26620</v>
      </c>
      <c r="AP302" s="1">
        <v>26900</v>
      </c>
      <c r="AQ302" s="1">
        <v>26945</v>
      </c>
      <c r="AR302" s="1">
        <v>27700</v>
      </c>
      <c r="AS302" s="1">
        <v>27900</v>
      </c>
      <c r="AT302" s="1">
        <v>27740</v>
      </c>
      <c r="AU302" s="1">
        <v>27870</v>
      </c>
      <c r="AV302" s="1">
        <v>27370</v>
      </c>
      <c r="AW302" s="1">
        <v>27270</v>
      </c>
      <c r="AX302" s="1">
        <v>27360</v>
      </c>
      <c r="AY302" s="1">
        <v>27410</v>
      </c>
      <c r="AZ302" s="1">
        <v>28275</v>
      </c>
      <c r="BA302" s="1">
        <v>29200</v>
      </c>
      <c r="BB302" s="1">
        <v>29130</v>
      </c>
      <c r="BC302" s="1">
        <v>29320</v>
      </c>
      <c r="BD302" s="1">
        <v>28900</v>
      </c>
      <c r="BE302" s="1">
        <v>28310</v>
      </c>
      <c r="BF302" s="1">
        <v>28590</v>
      </c>
      <c r="BG302" s="1">
        <v>29090</v>
      </c>
      <c r="BH302" s="1">
        <v>29465</v>
      </c>
      <c r="BI302" s="1">
        <v>29495</v>
      </c>
      <c r="BJ302" s="1">
        <v>29495</v>
      </c>
      <c r="BK302" s="1">
        <v>29770</v>
      </c>
      <c r="BL302" s="1">
        <v>29770</v>
      </c>
      <c r="BM302" s="1">
        <v>29670</v>
      </c>
      <c r="BN302" s="1">
        <v>29265</v>
      </c>
      <c r="BO302" s="1">
        <v>28985</v>
      </c>
      <c r="BP302" s="1">
        <v>28955</v>
      </c>
    </row>
    <row r="303" spans="1:68">
      <c r="A303" s="77" t="s">
        <v>882</v>
      </c>
      <c r="B303" s="1" t="str">
        <f>銘柄管理!C303</f>
        <v/>
      </c>
      <c r="C303" s="1" t="str">
        <f>_xll.RssMarket("1321","始値")</f>
        <v/>
      </c>
      <c r="E303" s="1">
        <v>67960</v>
      </c>
      <c r="F303" s="1">
        <v>70670</v>
      </c>
      <c r="G303" s="1">
        <v>69250</v>
      </c>
      <c r="H303" s="1">
        <v>70810</v>
      </c>
      <c r="I303" s="1">
        <v>71410</v>
      </c>
      <c r="J303" s="1">
        <v>70000</v>
      </c>
      <c r="K303" s="1">
        <v>69950</v>
      </c>
      <c r="L303" s="1">
        <v>72040</v>
      </c>
      <c r="M303" s="1">
        <v>73300</v>
      </c>
      <c r="N303" s="1">
        <v>71560</v>
      </c>
      <c r="O303" s="1">
        <v>72350</v>
      </c>
      <c r="P303" s="1">
        <v>74450</v>
      </c>
      <c r="Q303" s="1">
        <v>73850</v>
      </c>
      <c r="R303" s="1">
        <v>72920</v>
      </c>
      <c r="S303" s="1">
        <v>74240</v>
      </c>
      <c r="T303" s="1">
        <v>74160</v>
      </c>
      <c r="U303" s="1">
        <v>72820</v>
      </c>
      <c r="V303" s="1">
        <v>76070</v>
      </c>
      <c r="W303" s="1">
        <v>74510</v>
      </c>
      <c r="X303" s="1">
        <v>75500</v>
      </c>
      <c r="Y303" s="1">
        <v>73680</v>
      </c>
      <c r="Z303" s="1">
        <v>71980</v>
      </c>
      <c r="AA303" s="1">
        <v>72630</v>
      </c>
      <c r="AB303" s="1">
        <v>71530</v>
      </c>
      <c r="AC303" s="1">
        <v>69680</v>
      </c>
      <c r="AD303" s="1">
        <v>65670</v>
      </c>
      <c r="AE303" s="1">
        <v>67500</v>
      </c>
      <c r="AF303" s="1">
        <v>66910</v>
      </c>
      <c r="AG303" s="1">
        <v>70100</v>
      </c>
      <c r="AH303" s="1">
        <v>70740</v>
      </c>
      <c r="AI303" s="1">
        <v>70830</v>
      </c>
      <c r="AJ303" s="1">
        <v>70300</v>
      </c>
      <c r="AK303" s="1">
        <v>68700</v>
      </c>
      <c r="AL303" s="1">
        <v>67620</v>
      </c>
      <c r="AM303" s="1">
        <v>69440</v>
      </c>
      <c r="AN303" s="1">
        <v>66970</v>
      </c>
      <c r="AO303" s="1">
        <v>65230</v>
      </c>
      <c r="AP303" s="1">
        <v>64110</v>
      </c>
      <c r="AQ303" s="1">
        <v>63250</v>
      </c>
      <c r="AR303" s="1">
        <v>64170</v>
      </c>
      <c r="AS303" s="1">
        <v>64540</v>
      </c>
      <c r="AT303" s="1">
        <v>65850</v>
      </c>
      <c r="AU303" s="1">
        <v>66560</v>
      </c>
      <c r="AV303" s="1">
        <v>65160</v>
      </c>
      <c r="AW303" s="1">
        <v>65800</v>
      </c>
      <c r="AX303" s="1">
        <v>66400</v>
      </c>
      <c r="AY303" s="1">
        <v>65330</v>
      </c>
      <c r="AZ303" s="1">
        <v>64730</v>
      </c>
      <c r="BA303" s="1">
        <v>62450</v>
      </c>
      <c r="BB303" s="1">
        <v>61940</v>
      </c>
      <c r="BC303" s="1">
        <v>63150</v>
      </c>
      <c r="BD303" s="1">
        <v>62880</v>
      </c>
      <c r="BE303" s="1">
        <v>62160</v>
      </c>
      <c r="BF303" s="1">
        <v>62670</v>
      </c>
      <c r="BG303" s="1">
        <v>61790</v>
      </c>
      <c r="BH303" s="1">
        <v>61770</v>
      </c>
      <c r="BI303" s="1">
        <v>61610</v>
      </c>
      <c r="BJ303" s="1">
        <v>62020</v>
      </c>
      <c r="BK303" s="1">
        <v>61250</v>
      </c>
      <c r="BL303" s="1">
        <v>61360</v>
      </c>
      <c r="BM303" s="1">
        <v>60070</v>
      </c>
      <c r="BN303" s="1">
        <v>58980</v>
      </c>
      <c r="BO303" s="1">
        <v>59090</v>
      </c>
      <c r="BP303" s="1">
        <v>58900</v>
      </c>
    </row>
    <row r="304" spans="1:68">
      <c r="A304" s="77" t="s">
        <v>884</v>
      </c>
      <c r="B304" s="1" t="str">
        <f>銘柄管理!C304</f>
        <v/>
      </c>
      <c r="C304" s="1" t="str">
        <f>_xll.RssMarket("1944","始値")</f>
        <v/>
      </c>
      <c r="E304" s="1">
        <v>7244</v>
      </c>
      <c r="F304" s="1">
        <v>7445</v>
      </c>
      <c r="G304" s="1">
        <v>7425</v>
      </c>
      <c r="H304" s="1">
        <v>7620</v>
      </c>
      <c r="I304" s="1">
        <v>7737</v>
      </c>
      <c r="J304" s="1">
        <v>7750</v>
      </c>
      <c r="K304" s="1">
        <v>8026</v>
      </c>
      <c r="L304" s="1">
        <v>8015</v>
      </c>
      <c r="M304" s="1">
        <v>8010</v>
      </c>
      <c r="N304" s="1">
        <v>7931</v>
      </c>
      <c r="O304" s="1">
        <v>7755</v>
      </c>
      <c r="P304" s="1">
        <v>8011</v>
      </c>
      <c r="Q304" s="1">
        <v>8077</v>
      </c>
      <c r="R304" s="1">
        <v>8090</v>
      </c>
      <c r="S304" s="1">
        <v>8224</v>
      </c>
      <c r="T304" s="1">
        <v>8500</v>
      </c>
      <c r="U304" s="1">
        <v>8141</v>
      </c>
      <c r="V304" s="1">
        <v>8499</v>
      </c>
      <c r="W304" s="1">
        <v>8179</v>
      </c>
      <c r="X304" s="1">
        <v>8114</v>
      </c>
      <c r="Y304" s="1">
        <v>7870</v>
      </c>
      <c r="Z304" s="1">
        <v>7670</v>
      </c>
      <c r="AA304" s="1">
        <v>7370</v>
      </c>
      <c r="AB304" s="1">
        <v>7080</v>
      </c>
      <c r="AC304" s="1">
        <v>6934</v>
      </c>
      <c r="AD304" s="1">
        <v>6778</v>
      </c>
      <c r="AE304" s="1">
        <v>7098</v>
      </c>
      <c r="AF304" s="1">
        <v>6521</v>
      </c>
      <c r="AG304" s="1">
        <v>6500</v>
      </c>
      <c r="AH304" s="1">
        <v>6503</v>
      </c>
      <c r="AI304" s="1">
        <v>6770</v>
      </c>
      <c r="AJ304" s="1">
        <v>6723</v>
      </c>
      <c r="AK304" s="1">
        <v>7230</v>
      </c>
      <c r="AL304" s="1">
        <v>7052</v>
      </c>
      <c r="AM304" s="1">
        <v>7300</v>
      </c>
      <c r="AN304" s="1">
        <v>6871</v>
      </c>
      <c r="AO304" s="1">
        <v>6919</v>
      </c>
      <c r="AP304" s="1">
        <v>6928</v>
      </c>
      <c r="AQ304" s="1">
        <v>7009</v>
      </c>
      <c r="AR304" s="1">
        <v>6900</v>
      </c>
      <c r="AS304" s="1">
        <v>7423</v>
      </c>
      <c r="AT304" s="1">
        <v>7774</v>
      </c>
      <c r="AU304" s="1">
        <v>7988</v>
      </c>
      <c r="AV304" s="1">
        <v>8028</v>
      </c>
      <c r="AW304" s="1">
        <v>8300</v>
      </c>
      <c r="AX304" s="1">
        <v>8250</v>
      </c>
      <c r="AY304" s="1">
        <v>8306</v>
      </c>
      <c r="AZ304" s="1">
        <v>8263</v>
      </c>
      <c r="BA304" s="1">
        <v>8290</v>
      </c>
      <c r="BB304" s="1">
        <v>7949</v>
      </c>
      <c r="BC304" s="1">
        <v>7932</v>
      </c>
      <c r="BD304" s="1">
        <v>7063</v>
      </c>
      <c r="BE304" s="1">
        <v>7141</v>
      </c>
      <c r="BF304" s="1">
        <v>7019</v>
      </c>
      <c r="BG304" s="1">
        <v>7016</v>
      </c>
      <c r="BH304" s="1">
        <v>7099</v>
      </c>
      <c r="BI304" s="1">
        <v>7151</v>
      </c>
      <c r="BJ304" s="1">
        <v>7040</v>
      </c>
      <c r="BK304" s="1">
        <v>6980</v>
      </c>
      <c r="BL304" s="1">
        <v>7340</v>
      </c>
      <c r="BM304" s="1">
        <v>7428</v>
      </c>
      <c r="BN304" s="1">
        <v>7305</v>
      </c>
      <c r="BO304" s="1">
        <v>7431</v>
      </c>
      <c r="BP304" s="1">
        <v>7458</v>
      </c>
    </row>
    <row r="305" spans="1:65">
      <c r="A305" s="77" t="s">
        <v>1144</v>
      </c>
      <c r="B305" s="1" t="str">
        <f>銘柄管理!C305</f>
        <v/>
      </c>
      <c r="C305" s="1" t="str">
        <f>_xll.RssMarket("7532","始値")</f>
        <v/>
      </c>
      <c r="E305" s="1">
        <v>884</v>
      </c>
      <c r="F305" s="1">
        <v>872</v>
      </c>
      <c r="G305" s="1">
        <v>881.8</v>
      </c>
      <c r="H305" s="1">
        <v>852.5</v>
      </c>
      <c r="I305" s="1">
        <v>867.6</v>
      </c>
      <c r="J305" s="1">
        <v>874.6</v>
      </c>
      <c r="K305" s="1">
        <v>881.7</v>
      </c>
      <c r="L305" s="1">
        <v>852</v>
      </c>
      <c r="M305" s="1">
        <v>821</v>
      </c>
      <c r="N305" s="1">
        <v>835</v>
      </c>
      <c r="O305" s="1">
        <v>814</v>
      </c>
      <c r="P305" s="1">
        <v>811</v>
      </c>
      <c r="Q305" s="1">
        <v>851</v>
      </c>
      <c r="R305" s="1">
        <v>822.5</v>
      </c>
      <c r="S305" s="1">
        <v>822.8</v>
      </c>
      <c r="T305" s="1">
        <v>822.7</v>
      </c>
      <c r="U305" s="1">
        <v>815.9</v>
      </c>
      <c r="V305" s="1">
        <v>811.9</v>
      </c>
      <c r="W305" s="1">
        <v>815.1</v>
      </c>
      <c r="X305" s="1">
        <v>826.7</v>
      </c>
      <c r="Y305" s="1">
        <v>840</v>
      </c>
      <c r="Z305" s="1">
        <v>836</v>
      </c>
      <c r="AA305" s="1">
        <v>827.8</v>
      </c>
      <c r="AB305" s="1">
        <v>852.4</v>
      </c>
      <c r="AC305" s="1">
        <v>860.6</v>
      </c>
      <c r="AD305" s="1">
        <v>883</v>
      </c>
      <c r="AE305" s="1">
        <v>846</v>
      </c>
      <c r="AF305" s="1">
        <v>846.9</v>
      </c>
      <c r="AG305" s="1">
        <v>825</v>
      </c>
      <c r="AH305" s="1">
        <v>825</v>
      </c>
      <c r="AI305" s="1">
        <v>814</v>
      </c>
      <c r="AJ305" s="1">
        <v>808.5</v>
      </c>
      <c r="AK305" s="1">
        <v>861.9</v>
      </c>
      <c r="AL305" s="1">
        <v>839.8</v>
      </c>
      <c r="AM305" s="1">
        <v>819.4</v>
      </c>
      <c r="AN305" s="1">
        <v>862.9</v>
      </c>
      <c r="AO305" s="1">
        <v>855.6</v>
      </c>
      <c r="AP305" s="1">
        <v>872.4</v>
      </c>
      <c r="AQ305" s="1">
        <v>895</v>
      </c>
      <c r="AR305" s="1">
        <v>886.3</v>
      </c>
      <c r="AS305" s="1">
        <v>871.6</v>
      </c>
      <c r="AT305" s="1">
        <v>843</v>
      </c>
      <c r="AU305" s="1">
        <v>868.6</v>
      </c>
      <c r="AV305" s="1">
        <v>885</v>
      </c>
      <c r="AW305" s="1">
        <v>896.7</v>
      </c>
      <c r="AX305" s="1">
        <v>887.3</v>
      </c>
      <c r="AY305" s="1">
        <v>888</v>
      </c>
      <c r="AZ305" s="1">
        <v>890</v>
      </c>
      <c r="BA305" s="1">
        <v>880</v>
      </c>
      <c r="BB305" s="1">
        <v>889.1</v>
      </c>
      <c r="BC305" s="1">
        <v>902.1</v>
      </c>
      <c r="BD305" s="1">
        <v>914</v>
      </c>
      <c r="BE305" s="1">
        <v>919.5</v>
      </c>
      <c r="BF305" s="1">
        <v>944.3</v>
      </c>
      <c r="BG305" s="1">
        <v>949</v>
      </c>
      <c r="BH305" s="1">
        <v>959.4</v>
      </c>
      <c r="BI305" s="1">
        <v>950</v>
      </c>
      <c r="BJ305" s="1">
        <v>953.9</v>
      </c>
      <c r="BK305" s="1">
        <v>957</v>
      </c>
      <c r="BL305" s="1">
        <v>969.5</v>
      </c>
      <c r="BM305" s="1">
        <v>949.6</v>
      </c>
    </row>
    <row r="306" spans="1:65">
      <c r="A306" s="78"/>
    </row>
    <row r="307" spans="1:65">
      <c r="A307" s="78"/>
    </row>
    <row r="308" spans="1:65">
      <c r="A308" s="78"/>
    </row>
    <row r="309" spans="1:65">
      <c r="A309" s="78"/>
    </row>
    <row r="310" spans="1:65">
      <c r="A310" s="78"/>
    </row>
    <row r="311" spans="1:65">
      <c r="A311" s="78"/>
    </row>
    <row r="312" spans="1:65">
      <c r="A312" s="78"/>
    </row>
    <row r="313" spans="1:65">
      <c r="A313" s="78"/>
    </row>
    <row r="314" spans="1:65">
      <c r="A314" s="78"/>
    </row>
    <row r="315" spans="1:65">
      <c r="A315" s="78"/>
    </row>
    <row r="316" spans="1:65">
      <c r="A316" s="78"/>
    </row>
    <row r="317" spans="1:65">
      <c r="A317" s="78"/>
    </row>
    <row r="318" spans="1:65">
      <c r="A318" s="78"/>
    </row>
    <row r="319" spans="1:65">
      <c r="A319" s="78"/>
    </row>
    <row r="320" spans="1:65">
      <c r="A320" s="78"/>
    </row>
    <row r="321" spans="1:1">
      <c r="A321" s="78"/>
    </row>
    <row r="322" spans="1:1">
      <c r="A322" s="78"/>
    </row>
    <row r="323" spans="1:1">
      <c r="A323" s="78"/>
    </row>
    <row r="324" spans="1:1">
      <c r="A324" s="78"/>
    </row>
    <row r="325" spans="1:1">
      <c r="A325" s="78"/>
    </row>
    <row r="326" spans="1:1">
      <c r="A326" s="78"/>
    </row>
    <row r="327" spans="1:1">
      <c r="A327" s="78"/>
    </row>
    <row r="328" spans="1:1">
      <c r="A328" s="78"/>
    </row>
    <row r="329" spans="1:1">
      <c r="A329" s="78"/>
    </row>
    <row r="330" spans="1:1">
      <c r="A330" s="78"/>
    </row>
    <row r="331" spans="1:1">
      <c r="A331" s="78"/>
    </row>
    <row r="332" spans="1:1">
      <c r="A332" s="78"/>
    </row>
    <row r="333" spans="1:1">
      <c r="A333" s="78"/>
    </row>
    <row r="334" spans="1:1">
      <c r="A334" s="78"/>
    </row>
    <row r="335" spans="1:1">
      <c r="A335" s="78"/>
    </row>
    <row r="336" spans="1:1">
      <c r="A336" s="78"/>
    </row>
    <row r="337" spans="1:1">
      <c r="A337" s="78"/>
    </row>
    <row r="338" spans="1:1">
      <c r="A338" s="78"/>
    </row>
    <row r="339" spans="1:1">
      <c r="A339" s="78"/>
    </row>
    <row r="340" spans="1:1">
      <c r="A340" s="78"/>
    </row>
    <row r="341" spans="1:1">
      <c r="A341" s="78"/>
    </row>
    <row r="342" spans="1:1">
      <c r="A342" s="78"/>
    </row>
    <row r="343" spans="1:1">
      <c r="A343" s="78"/>
    </row>
    <row r="344" spans="1:1">
      <c r="A344" s="78"/>
    </row>
    <row r="345" spans="1:1">
      <c r="A345" s="78"/>
    </row>
    <row r="346" spans="1:1">
      <c r="A346" s="78"/>
    </row>
    <row r="347" spans="1:1">
      <c r="A347" s="78"/>
    </row>
    <row r="348" spans="1:1">
      <c r="A348" s="78"/>
    </row>
    <row r="349" spans="1:1">
      <c r="A349" s="78"/>
    </row>
    <row r="350" spans="1:1">
      <c r="A350" s="78"/>
    </row>
    <row r="351" spans="1:1">
      <c r="A351" s="78"/>
    </row>
    <row r="352" spans="1:1">
      <c r="A352" s="78"/>
    </row>
    <row r="353" spans="1:1">
      <c r="A353" s="78"/>
    </row>
    <row r="354" spans="1:1">
      <c r="A354" s="78"/>
    </row>
    <row r="355" spans="1:1">
      <c r="A355" s="78"/>
    </row>
    <row r="356" spans="1:1">
      <c r="A356" s="78"/>
    </row>
    <row r="357" spans="1:1">
      <c r="A357" s="78"/>
    </row>
    <row r="358" spans="1:1">
      <c r="A358" s="78"/>
    </row>
    <row r="359" spans="1:1">
      <c r="A359" s="78"/>
    </row>
    <row r="360" spans="1:1">
      <c r="A360" s="78"/>
    </row>
    <row r="361" spans="1:1">
      <c r="A361" s="78"/>
    </row>
    <row r="362" spans="1:1">
      <c r="A362" s="78"/>
    </row>
    <row r="363" spans="1:1">
      <c r="A363" s="78"/>
    </row>
    <row r="364" spans="1:1">
      <c r="A364" s="78"/>
    </row>
    <row r="365" spans="1:1">
      <c r="A365" s="78"/>
    </row>
    <row r="366" spans="1:1">
      <c r="A366" s="78"/>
    </row>
    <row r="367" spans="1:1">
      <c r="A367" s="78"/>
    </row>
    <row r="368" spans="1:1">
      <c r="A368" s="78"/>
    </row>
    <row r="369" spans="1:1">
      <c r="A369" s="78"/>
    </row>
    <row r="370" spans="1:1">
      <c r="A370" s="78"/>
    </row>
    <row r="371" spans="1:1">
      <c r="A371" s="78"/>
    </row>
    <row r="372" spans="1:1">
      <c r="A372" s="78"/>
    </row>
    <row r="373" spans="1:1">
      <c r="A373" s="78"/>
    </row>
    <row r="374" spans="1:1">
      <c r="A374" s="78"/>
    </row>
    <row r="375" spans="1:1">
      <c r="A375" s="78"/>
    </row>
    <row r="376" spans="1:1">
      <c r="A376" s="78"/>
    </row>
    <row r="377" spans="1:1">
      <c r="A377" s="78"/>
    </row>
    <row r="378" spans="1:1">
      <c r="A378" s="78"/>
    </row>
    <row r="379" spans="1:1">
      <c r="A379" s="78"/>
    </row>
    <row r="380" spans="1:1">
      <c r="A380" s="78"/>
    </row>
    <row r="381" spans="1:1">
      <c r="A381" s="78"/>
    </row>
    <row r="382" spans="1:1">
      <c r="A382" s="78"/>
    </row>
    <row r="383" spans="1:1">
      <c r="A383" s="78"/>
    </row>
    <row r="384" spans="1:1">
      <c r="A384" s="78"/>
    </row>
    <row r="385" spans="1:1">
      <c r="A385" s="78"/>
    </row>
    <row r="386" spans="1:1">
      <c r="A386" s="78"/>
    </row>
    <row r="387" spans="1:1">
      <c r="A387" s="78"/>
    </row>
    <row r="388" spans="1:1">
      <c r="A388" s="78"/>
    </row>
    <row r="389" spans="1:1">
      <c r="A389" s="78"/>
    </row>
    <row r="390" spans="1:1">
      <c r="A390" s="78"/>
    </row>
    <row r="391" spans="1:1">
      <c r="A391" s="78"/>
    </row>
    <row r="392" spans="1:1">
      <c r="A392" s="78"/>
    </row>
    <row r="393" spans="1:1">
      <c r="A393" s="78"/>
    </row>
    <row r="394" spans="1:1">
      <c r="A394" s="78"/>
    </row>
    <row r="395" spans="1:1">
      <c r="A395" s="78"/>
    </row>
    <row r="396" spans="1:1">
      <c r="A396" s="78"/>
    </row>
    <row r="397" spans="1:1">
      <c r="A397" s="78"/>
    </row>
    <row r="398" spans="1:1">
      <c r="A398" s="78"/>
    </row>
    <row r="399" spans="1:1">
      <c r="A399" s="78"/>
    </row>
    <row r="400" spans="1:1">
      <c r="A400" s="78"/>
    </row>
    <row r="401" spans="1:1">
      <c r="A401" s="78"/>
    </row>
    <row r="402" spans="1:1">
      <c r="A402" s="78"/>
    </row>
    <row r="403" spans="1:1">
      <c r="A403" s="78"/>
    </row>
    <row r="404" spans="1:1">
      <c r="A404" s="78"/>
    </row>
    <row r="405" spans="1:1">
      <c r="A405" s="78"/>
    </row>
    <row r="406" spans="1:1">
      <c r="A406" s="78"/>
    </row>
    <row r="407" spans="1:1">
      <c r="A407" s="78"/>
    </row>
    <row r="408" spans="1:1">
      <c r="A408" s="78"/>
    </row>
    <row r="409" spans="1:1">
      <c r="A409" s="78"/>
    </row>
    <row r="410" spans="1:1">
      <c r="A410" s="78"/>
    </row>
    <row r="411" spans="1:1">
      <c r="A411" s="78"/>
    </row>
    <row r="412" spans="1:1">
      <c r="A412" s="78"/>
    </row>
    <row r="413" spans="1:1">
      <c r="A413" s="78"/>
    </row>
    <row r="414" spans="1:1">
      <c r="A414" s="78"/>
    </row>
    <row r="415" spans="1:1">
      <c r="A415" s="78"/>
    </row>
    <row r="416" spans="1:1">
      <c r="A416" s="78"/>
    </row>
    <row r="417" spans="1:1">
      <c r="A417" s="78"/>
    </row>
    <row r="418" spans="1:1">
      <c r="A418" s="78"/>
    </row>
    <row r="419" spans="1:1">
      <c r="A419" s="78"/>
    </row>
    <row r="420" spans="1:1">
      <c r="A420" s="78"/>
    </row>
    <row r="421" spans="1:1">
      <c r="A421" s="78"/>
    </row>
    <row r="422" spans="1:1">
      <c r="A422" s="78"/>
    </row>
    <row r="423" spans="1:1">
      <c r="A423" s="78"/>
    </row>
    <row r="424" spans="1:1">
      <c r="A424" s="78"/>
    </row>
    <row r="425" spans="1:1">
      <c r="A425" s="78"/>
    </row>
    <row r="426" spans="1:1">
      <c r="A426" s="78"/>
    </row>
    <row r="427" spans="1:1">
      <c r="A427" s="78"/>
    </row>
    <row r="428" spans="1:1">
      <c r="A428" s="78"/>
    </row>
    <row r="429" spans="1:1">
      <c r="A429" s="78"/>
    </row>
    <row r="430" spans="1:1">
      <c r="A430" s="78"/>
    </row>
    <row r="431" spans="1:1">
      <c r="A431" s="78"/>
    </row>
    <row r="432" spans="1:1">
      <c r="A432" s="78"/>
    </row>
    <row r="433" spans="1:1">
      <c r="A433" s="78"/>
    </row>
    <row r="434" spans="1:1">
      <c r="A434" s="78"/>
    </row>
    <row r="435" spans="1:1">
      <c r="A435" s="78"/>
    </row>
    <row r="436" spans="1:1">
      <c r="A436" s="78"/>
    </row>
    <row r="437" spans="1:1">
      <c r="A437" s="78"/>
    </row>
    <row r="438" spans="1:1">
      <c r="A438" s="78"/>
    </row>
    <row r="439" spans="1:1">
      <c r="A439" s="78"/>
    </row>
    <row r="440" spans="1:1">
      <c r="A440" s="78"/>
    </row>
    <row r="441" spans="1:1">
      <c r="A441" s="78"/>
    </row>
    <row r="442" spans="1:1">
      <c r="A442" s="78"/>
    </row>
    <row r="443" spans="1:1">
      <c r="A443" s="78"/>
    </row>
    <row r="444" spans="1:1">
      <c r="A444" s="78"/>
    </row>
    <row r="445" spans="1:1">
      <c r="A445" s="78"/>
    </row>
    <row r="446" spans="1:1">
      <c r="A446" s="78"/>
    </row>
    <row r="447" spans="1:1">
      <c r="A447" s="78"/>
    </row>
    <row r="448" spans="1:1">
      <c r="A448" s="78"/>
    </row>
    <row r="449" spans="1:1">
      <c r="A449" s="78"/>
    </row>
    <row r="450" spans="1:1">
      <c r="A450" s="78"/>
    </row>
    <row r="451" spans="1:1">
      <c r="A451" s="78"/>
    </row>
    <row r="452" spans="1:1">
      <c r="A452" s="78"/>
    </row>
    <row r="453" spans="1:1">
      <c r="A453" s="78"/>
    </row>
    <row r="454" spans="1:1">
      <c r="A454" s="78"/>
    </row>
    <row r="455" spans="1:1">
      <c r="A455" s="78"/>
    </row>
    <row r="456" spans="1:1">
      <c r="A456" s="78"/>
    </row>
    <row r="457" spans="1:1">
      <c r="A457" s="78"/>
    </row>
    <row r="458" spans="1:1">
      <c r="A458" s="78"/>
    </row>
    <row r="459" spans="1:1">
      <c r="A459" s="78"/>
    </row>
    <row r="460" spans="1:1">
      <c r="A460" s="78"/>
    </row>
    <row r="461" spans="1:1">
      <c r="A461" s="78"/>
    </row>
    <row r="462" spans="1:1">
      <c r="A462" s="78"/>
    </row>
    <row r="463" spans="1:1">
      <c r="A463" s="78"/>
    </row>
    <row r="464" spans="1:1">
      <c r="A464" s="78"/>
    </row>
    <row r="465" spans="1:1">
      <c r="A465" s="78"/>
    </row>
    <row r="466" spans="1:1">
      <c r="A466" s="78"/>
    </row>
    <row r="467" spans="1:1">
      <c r="A467" s="78"/>
    </row>
    <row r="468" spans="1:1">
      <c r="A468" s="78"/>
    </row>
    <row r="469" spans="1:1">
      <c r="A469" s="78"/>
    </row>
    <row r="470" spans="1:1">
      <c r="A470" s="78"/>
    </row>
    <row r="471" spans="1:1">
      <c r="A471" s="78"/>
    </row>
    <row r="472" spans="1:1">
      <c r="A472" s="78"/>
    </row>
    <row r="473" spans="1:1">
      <c r="A473" s="78"/>
    </row>
    <row r="474" spans="1:1">
      <c r="A474" s="78"/>
    </row>
    <row r="475" spans="1:1">
      <c r="A475" s="78"/>
    </row>
    <row r="476" spans="1:1">
      <c r="A476" s="78"/>
    </row>
    <row r="477" spans="1:1">
      <c r="A477" s="78"/>
    </row>
    <row r="478" spans="1:1">
      <c r="A478" s="78"/>
    </row>
    <row r="479" spans="1:1">
      <c r="A479" s="78"/>
    </row>
    <row r="480" spans="1:1">
      <c r="A480" s="78"/>
    </row>
    <row r="481" spans="1:1">
      <c r="A481" s="78"/>
    </row>
    <row r="482" spans="1:1">
      <c r="A482" s="78"/>
    </row>
    <row r="483" spans="1:1">
      <c r="A483" s="78"/>
    </row>
    <row r="484" spans="1:1">
      <c r="A484" s="78"/>
    </row>
    <row r="485" spans="1:1">
      <c r="A485" s="78"/>
    </row>
    <row r="486" spans="1:1">
      <c r="A486" s="78"/>
    </row>
    <row r="487" spans="1:1">
      <c r="A487" s="78"/>
    </row>
    <row r="488" spans="1:1">
      <c r="A488" s="78"/>
    </row>
    <row r="489" spans="1:1">
      <c r="A489" s="78"/>
    </row>
    <row r="490" spans="1:1">
      <c r="A490" s="78"/>
    </row>
    <row r="491" spans="1:1">
      <c r="A491" s="78"/>
    </row>
    <row r="492" spans="1:1">
      <c r="A492" s="78"/>
    </row>
    <row r="493" spans="1:1">
      <c r="A493" s="78"/>
    </row>
    <row r="494" spans="1:1">
      <c r="A494" s="78"/>
    </row>
    <row r="495" spans="1:1">
      <c r="A495" s="78"/>
    </row>
    <row r="496" spans="1:1">
      <c r="A496" s="78"/>
    </row>
    <row r="497" spans="1:1">
      <c r="A497" s="78"/>
    </row>
    <row r="498" spans="1:1">
      <c r="A498" s="78"/>
    </row>
    <row r="499" spans="1:1">
      <c r="A499" s="78"/>
    </row>
    <row r="500" spans="1:1">
      <c r="A500" s="78"/>
    </row>
    <row r="501" spans="1:1">
      <c r="A501" s="78"/>
    </row>
    <row r="502" spans="1:1">
      <c r="A502" s="78"/>
    </row>
    <row r="503" spans="1:1">
      <c r="A503" s="78"/>
    </row>
    <row r="504" spans="1:1">
      <c r="A504" s="78"/>
    </row>
    <row r="505" spans="1:1">
      <c r="A505" s="78"/>
    </row>
  </sheetData>
  <sheetProtection algorithmName="SHA-512" hashValue="Wx54alCaAQef9sHSUalNzhTQfq6/01c5rvDkYPqxjUd5EGn69OuztjTxy/jeu3zd+0dGuHYFcfAHkJQ3WCquWw==" saltValue="/R8QZl+ubX64NaOFbpJgrQ==" spinCount="100000" sheet="1" objects="1" scenarios="1"/>
  <mergeCells count="1">
    <mergeCell ref="A1:BL1"/>
  </mergeCells>
  <phoneticPr fontId="16"/>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6" tint="-0.499984740745262"/>
  </sheetPr>
  <dimension ref="A1:BP505"/>
  <sheetViews>
    <sheetView showGridLines="0" workbookViewId="0">
      <pane xSplit="4" ySplit="4" topLeftCell="E5" activePane="bottomRight" state="frozen"/>
      <selection activeCell="C162" sqref="C162"/>
      <selection pane="topRight" activeCell="C162" sqref="C162"/>
      <selection pane="bottomLeft" activeCell="C162" sqref="C162"/>
      <selection pane="bottomRight" activeCell="C5" sqref="C5"/>
    </sheetView>
  </sheetViews>
  <sheetFormatPr defaultColWidth="9" defaultRowHeight="13.2"/>
  <cols>
    <col min="1" max="1" width="9" style="1" customWidth="1"/>
    <col min="2" max="2" width="18" style="1" customWidth="1"/>
    <col min="3" max="4" width="10" style="1" customWidth="1"/>
    <col min="5" max="5" width="9.33203125" style="1" bestFit="1" customWidth="1"/>
    <col min="6" max="6" width="8" style="1" bestFit="1" customWidth="1"/>
    <col min="7" max="7" width="9.33203125" style="1" bestFit="1" customWidth="1"/>
    <col min="8" max="8" width="9.21875" style="1" bestFit="1" customWidth="1"/>
    <col min="9" max="9" width="9.44140625" style="1" bestFit="1" customWidth="1"/>
    <col min="10" max="11" width="9.21875" style="1" bestFit="1" customWidth="1"/>
    <col min="12" max="13" width="9.44140625" style="1" bestFit="1" customWidth="1"/>
    <col min="14" max="15" width="9.21875" style="1" bestFit="1" customWidth="1"/>
    <col min="16" max="16" width="9.44140625" style="1" bestFit="1" customWidth="1"/>
    <col min="17" max="17" width="9.21875" style="1" bestFit="1" customWidth="1"/>
    <col min="18" max="18" width="9.44140625" style="1" bestFit="1" customWidth="1"/>
    <col min="19" max="19" width="9.21875" style="1" bestFit="1" customWidth="1"/>
    <col min="20" max="34" width="9.44140625" style="1" bestFit="1" customWidth="1"/>
    <col min="35" max="35" width="9.33203125" style="1" bestFit="1" customWidth="1"/>
    <col min="36" max="64" width="7" style="1" customWidth="1"/>
    <col min="65" max="65" width="9" style="1" customWidth="1"/>
    <col min="66" max="16384" width="9" style="1"/>
  </cols>
  <sheetData>
    <row r="1" spans="1:68" ht="30" customHeight="1">
      <c r="A1" s="543" t="s">
        <v>582</v>
      </c>
      <c r="B1" s="526"/>
      <c r="C1" s="526"/>
      <c r="D1" s="526"/>
      <c r="E1" s="526"/>
      <c r="F1" s="526"/>
      <c r="G1" s="526"/>
      <c r="H1" s="526"/>
      <c r="I1" s="526"/>
      <c r="J1" s="526"/>
      <c r="K1" s="526"/>
      <c r="L1" s="526"/>
      <c r="M1" s="526"/>
      <c r="N1" s="526"/>
      <c r="O1" s="526"/>
      <c r="P1" s="526"/>
      <c r="Q1" s="526"/>
      <c r="R1" s="526"/>
      <c r="S1" s="526"/>
      <c r="T1" s="526"/>
      <c r="U1" s="526"/>
      <c r="V1" s="526"/>
      <c r="W1" s="526"/>
      <c r="X1" s="526"/>
      <c r="Y1" s="526"/>
      <c r="Z1" s="526"/>
      <c r="AA1" s="526"/>
      <c r="AB1" s="526"/>
      <c r="AC1" s="526"/>
      <c r="AD1" s="526"/>
      <c r="AE1" s="526"/>
      <c r="AF1" s="526"/>
      <c r="AG1" s="526"/>
      <c r="AH1" s="526"/>
      <c r="AI1" s="526"/>
      <c r="AJ1" s="526"/>
      <c r="AK1" s="526"/>
      <c r="AL1" s="526"/>
      <c r="AM1" s="526"/>
      <c r="AN1" s="526"/>
      <c r="AO1" s="526"/>
      <c r="AP1" s="526"/>
      <c r="AQ1" s="526"/>
      <c r="AR1" s="526"/>
      <c r="AS1" s="526"/>
      <c r="AT1" s="526"/>
      <c r="AU1" s="526"/>
      <c r="AV1" s="526"/>
      <c r="AW1" s="526"/>
      <c r="AX1" s="526"/>
      <c r="AY1" s="526"/>
      <c r="AZ1" s="526"/>
      <c r="BA1" s="526"/>
      <c r="BB1" s="526"/>
      <c r="BC1" s="526"/>
      <c r="BD1" s="526"/>
      <c r="BE1" s="526"/>
      <c r="BF1" s="526"/>
      <c r="BG1" s="526"/>
      <c r="BH1" s="526"/>
      <c r="BI1" s="526"/>
      <c r="BJ1" s="526"/>
      <c r="BK1" s="526"/>
      <c r="BL1" s="526"/>
    </row>
    <row r="2" spans="1:68" ht="18" customHeight="1">
      <c r="A2" s="184" t="s">
        <v>1</v>
      </c>
      <c r="B2" s="184" t="s">
        <v>2</v>
      </c>
      <c r="C2" s="184" t="s">
        <v>583</v>
      </c>
      <c r="D2" s="184" t="s">
        <v>4</v>
      </c>
      <c r="E2" s="185"/>
      <c r="F2" s="185"/>
      <c r="G2" s="185"/>
      <c r="H2" s="185"/>
      <c r="I2" s="185"/>
      <c r="J2" s="185"/>
      <c r="K2" s="185"/>
      <c r="L2" s="185"/>
      <c r="M2" s="185"/>
      <c r="N2" s="185"/>
      <c r="O2" s="185"/>
      <c r="P2" s="185"/>
      <c r="Q2" s="185"/>
      <c r="R2" s="185"/>
      <c r="S2" s="185"/>
      <c r="T2" s="185"/>
      <c r="U2" s="185"/>
      <c r="V2" s="185"/>
      <c r="W2" s="185"/>
      <c r="X2" s="185"/>
      <c r="Y2" s="185"/>
      <c r="Z2" s="185"/>
      <c r="AA2" s="185"/>
      <c r="AB2" s="185"/>
      <c r="AC2" s="185"/>
      <c r="AD2" s="185"/>
      <c r="AE2" s="185"/>
      <c r="AF2" s="185"/>
      <c r="AG2" s="185"/>
      <c r="AH2" s="185"/>
      <c r="AI2" s="185"/>
      <c r="AJ2" s="185"/>
      <c r="AK2" s="185"/>
      <c r="AL2" s="185"/>
      <c r="AM2" s="185"/>
      <c r="AN2" s="185"/>
      <c r="AO2" s="185"/>
      <c r="AP2" s="185"/>
      <c r="AQ2" s="185"/>
      <c r="AR2" s="185"/>
      <c r="AS2" s="185"/>
      <c r="AT2" s="185"/>
      <c r="AU2" s="185"/>
      <c r="AV2" s="185"/>
      <c r="AW2" s="185"/>
      <c r="AX2" s="185"/>
      <c r="AY2" s="185"/>
      <c r="AZ2" s="185"/>
      <c r="BA2" s="185"/>
      <c r="BB2" s="185"/>
      <c r="BC2" s="185"/>
      <c r="BD2" s="185"/>
      <c r="BE2" s="185"/>
      <c r="BF2" s="185"/>
      <c r="BG2" s="185"/>
      <c r="BH2" s="185"/>
      <c r="BI2" s="185"/>
      <c r="BJ2" s="185"/>
      <c r="BK2" s="185"/>
      <c r="BL2" s="185"/>
    </row>
    <row r="3" spans="1:68" ht="14.1" customHeight="1">
      <c r="A3" s="180" t="s">
        <v>5</v>
      </c>
      <c r="B3" s="181"/>
      <c r="C3" s="208" t="s">
        <v>6</v>
      </c>
      <c r="D3" s="181"/>
      <c r="E3" s="182">
        <v>46220</v>
      </c>
      <c r="F3" s="182">
        <v>46218</v>
      </c>
      <c r="G3" s="182">
        <v>46217</v>
      </c>
      <c r="H3" s="182">
        <v>46216</v>
      </c>
      <c r="I3" s="182">
        <v>46213</v>
      </c>
      <c r="J3" s="182">
        <v>46212</v>
      </c>
      <c r="K3" s="182">
        <v>46211</v>
      </c>
      <c r="L3" s="182">
        <v>46210</v>
      </c>
      <c r="M3" s="182">
        <v>46209</v>
      </c>
      <c r="N3" s="182">
        <v>46206</v>
      </c>
      <c r="O3" s="182">
        <v>46205</v>
      </c>
      <c r="P3" s="182">
        <v>46204</v>
      </c>
      <c r="Q3" s="182">
        <v>46203</v>
      </c>
      <c r="R3" s="182">
        <v>46202</v>
      </c>
      <c r="S3" s="182">
        <v>46199</v>
      </c>
      <c r="T3" s="182">
        <v>46198</v>
      </c>
      <c r="U3" s="182">
        <v>46197</v>
      </c>
      <c r="V3" s="182">
        <v>46196</v>
      </c>
      <c r="W3" s="182">
        <v>46195</v>
      </c>
      <c r="X3" s="182">
        <v>46192</v>
      </c>
      <c r="Y3" s="182">
        <v>46191</v>
      </c>
      <c r="Z3" s="182">
        <v>46190</v>
      </c>
      <c r="AA3" s="182">
        <v>46189</v>
      </c>
      <c r="AB3" s="182">
        <v>46188</v>
      </c>
      <c r="AC3" s="182">
        <v>46185</v>
      </c>
      <c r="AD3" s="182">
        <v>46184</v>
      </c>
      <c r="AE3" s="182">
        <v>46183</v>
      </c>
      <c r="AF3" s="182">
        <v>46181</v>
      </c>
      <c r="AG3" s="182">
        <v>46178</v>
      </c>
      <c r="AH3" s="182">
        <v>46177</v>
      </c>
      <c r="AI3" s="182">
        <v>46176</v>
      </c>
      <c r="AJ3" s="182">
        <v>46175</v>
      </c>
      <c r="AK3" s="182">
        <v>46171</v>
      </c>
      <c r="AL3" s="182">
        <v>46170</v>
      </c>
      <c r="AM3" s="182">
        <v>46169</v>
      </c>
      <c r="AN3" s="182">
        <v>46167</v>
      </c>
      <c r="AO3" s="182">
        <v>46164</v>
      </c>
      <c r="AP3" s="182">
        <v>46163</v>
      </c>
      <c r="AQ3" s="182">
        <v>46162</v>
      </c>
      <c r="AR3" s="182">
        <v>46161</v>
      </c>
      <c r="AS3" s="182">
        <v>46160</v>
      </c>
      <c r="AT3" s="182">
        <v>46157</v>
      </c>
      <c r="AU3" s="182">
        <v>46156</v>
      </c>
      <c r="AV3" s="182">
        <v>46155</v>
      </c>
      <c r="AW3" s="182">
        <v>46154</v>
      </c>
      <c r="AX3" s="182">
        <v>46153</v>
      </c>
      <c r="AY3" s="182">
        <v>46150</v>
      </c>
      <c r="AZ3" s="182">
        <v>46149</v>
      </c>
      <c r="BA3" s="182">
        <v>46143</v>
      </c>
      <c r="BB3" s="182">
        <v>46142</v>
      </c>
      <c r="BC3" s="182">
        <v>46140</v>
      </c>
      <c r="BD3" s="182">
        <v>46139</v>
      </c>
      <c r="BE3" s="182">
        <v>46136</v>
      </c>
      <c r="BF3" s="182">
        <v>46135</v>
      </c>
      <c r="BG3" s="182">
        <v>46134</v>
      </c>
      <c r="BH3" s="182">
        <v>46133</v>
      </c>
      <c r="BI3" s="182">
        <v>46132</v>
      </c>
      <c r="BJ3" s="182">
        <v>46129</v>
      </c>
      <c r="BK3" s="182">
        <v>46128</v>
      </c>
      <c r="BL3" s="182">
        <v>46127</v>
      </c>
      <c r="BM3" s="69">
        <v>46126</v>
      </c>
      <c r="BN3" s="69">
        <v>46125</v>
      </c>
      <c r="BO3" s="69">
        <v>46122</v>
      </c>
      <c r="BP3" s="69">
        <v>46121</v>
      </c>
    </row>
    <row r="4" spans="1:68" ht="18" customHeight="1">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88"/>
      <c r="BJ4" s="88"/>
      <c r="BK4" s="88"/>
      <c r="BL4" s="88"/>
    </row>
    <row r="5" spans="1:68" ht="15.9" customHeight="1">
      <c r="A5" s="27" t="str">
        <f>IF(銘柄管理!B5="","",銘柄管理!B5)</f>
        <v>TOPX</v>
      </c>
      <c r="B5" s="28" t="str">
        <f>IF(銘柄管理!C5="","",銘柄管理!C5)</f>
        <v/>
      </c>
      <c r="C5" s="29" t="str">
        <f t="array" ref="C5">_xll.RssIndexMarket("TOPX", "高値")</f>
        <v/>
      </c>
      <c r="D5" s="30" t="e">
        <f>IF(OR(C5=0,E5=0),"",C5-E5)</f>
        <v>#VALUE!</v>
      </c>
      <c r="E5" s="31">
        <v>4017.29</v>
      </c>
      <c r="F5" s="31">
        <v>4088.12</v>
      </c>
      <c r="G5" s="31">
        <v>4047.12</v>
      </c>
      <c r="H5" s="31">
        <v>4073.79</v>
      </c>
      <c r="I5" s="31">
        <v>4061</v>
      </c>
      <c r="J5" s="31">
        <v>4035.46</v>
      </c>
      <c r="K5" s="31">
        <v>4065.09</v>
      </c>
      <c r="L5" s="31">
        <v>4137.62</v>
      </c>
      <c r="M5" s="31">
        <v>4109.6099999999997</v>
      </c>
      <c r="N5" s="31">
        <v>4064.6</v>
      </c>
      <c r="O5" s="31">
        <v>4052.98</v>
      </c>
      <c r="P5" s="31">
        <v>4050.33</v>
      </c>
      <c r="Q5" s="31">
        <v>4020.32</v>
      </c>
      <c r="R5" s="31">
        <v>3995.57</v>
      </c>
      <c r="S5" s="31">
        <v>4016.25</v>
      </c>
      <c r="T5" s="31">
        <v>4032.66</v>
      </c>
      <c r="U5" s="31">
        <v>4007.63</v>
      </c>
      <c r="V5" s="31">
        <v>4097.01</v>
      </c>
      <c r="W5" s="31">
        <v>4103.76</v>
      </c>
      <c r="X5" s="31">
        <v>4086.96</v>
      </c>
      <c r="Y5" s="31">
        <v>4088.25</v>
      </c>
      <c r="Z5" s="31">
        <v>4035.32</v>
      </c>
      <c r="AA5" s="31">
        <v>4008.81</v>
      </c>
      <c r="AB5" s="31">
        <v>4032.39</v>
      </c>
      <c r="AC5" s="31">
        <v>3924.34</v>
      </c>
      <c r="AD5" s="31">
        <v>3836.12</v>
      </c>
      <c r="AE5" s="31">
        <v>3894.24</v>
      </c>
      <c r="AF5" s="31">
        <v>3923.62</v>
      </c>
      <c r="AG5" s="31">
        <v>3966.32</v>
      </c>
      <c r="AH5" s="31">
        <v>3970.82</v>
      </c>
      <c r="AI5" s="31">
        <v>4015.72</v>
      </c>
      <c r="AJ5" s="31">
        <v>3924.26</v>
      </c>
      <c r="AK5" s="31">
        <v>3984.58</v>
      </c>
      <c r="AL5" s="31">
        <v>3915.5</v>
      </c>
      <c r="AM5" s="31">
        <v>3971.77</v>
      </c>
      <c r="AN5" s="31">
        <v>3953.89</v>
      </c>
      <c r="AO5" s="31">
        <v>3905.13</v>
      </c>
      <c r="AP5" s="31">
        <v>3878.24</v>
      </c>
      <c r="AQ5" s="32">
        <v>3852.29</v>
      </c>
      <c r="AR5" s="32">
        <v>3877.84</v>
      </c>
      <c r="AS5" s="32">
        <v>3870.65</v>
      </c>
      <c r="AT5" s="32">
        <v>3927.98</v>
      </c>
      <c r="AU5" s="32">
        <v>3919.72</v>
      </c>
      <c r="AV5" s="32"/>
      <c r="AW5" s="32"/>
      <c r="AX5" s="32"/>
      <c r="AY5" s="32"/>
      <c r="AZ5" s="32"/>
      <c r="BA5" s="32"/>
      <c r="BB5" s="32"/>
      <c r="BC5" s="32"/>
      <c r="BD5" s="32"/>
      <c r="BE5" s="32"/>
      <c r="BF5" s="32"/>
      <c r="BG5" s="32"/>
      <c r="BH5" s="32"/>
      <c r="BI5" s="32"/>
      <c r="BJ5" s="32"/>
      <c r="BK5" s="32"/>
      <c r="BL5" s="33"/>
    </row>
    <row r="6" spans="1:68" ht="15.9" customHeight="1">
      <c r="A6" s="68" t="s">
        <v>7</v>
      </c>
      <c r="B6" s="28" t="s">
        <v>8</v>
      </c>
      <c r="C6" s="42" t="str">
        <f>_xll.RssMarket("5706","高値")</f>
        <v/>
      </c>
      <c r="D6" s="41" t="e">
        <f t="shared" ref="D6:D37" si="0">C6-E6</f>
        <v>#VALUE!</v>
      </c>
      <c r="E6" s="35">
        <v>30760</v>
      </c>
      <c r="F6" s="35">
        <v>35830</v>
      </c>
      <c r="G6" s="35">
        <v>35090</v>
      </c>
      <c r="H6" s="35">
        <v>37100</v>
      </c>
      <c r="I6" s="35">
        <v>37640</v>
      </c>
      <c r="J6" s="35">
        <v>36120</v>
      </c>
      <c r="K6" s="35">
        <v>36080</v>
      </c>
      <c r="L6" s="35">
        <v>37640</v>
      </c>
      <c r="M6" s="35">
        <v>39060</v>
      </c>
      <c r="N6" s="35">
        <v>38860</v>
      </c>
      <c r="O6" s="35">
        <v>41540</v>
      </c>
      <c r="P6" s="35">
        <v>44590</v>
      </c>
      <c r="Q6" s="35">
        <v>43020</v>
      </c>
      <c r="R6" s="35">
        <v>42500</v>
      </c>
      <c r="S6" s="35">
        <v>45570</v>
      </c>
      <c r="T6" s="35">
        <v>47690</v>
      </c>
      <c r="U6" s="35">
        <v>48370</v>
      </c>
      <c r="V6" s="35">
        <v>54440</v>
      </c>
      <c r="W6" s="35">
        <v>53570</v>
      </c>
      <c r="X6" s="35">
        <v>50670</v>
      </c>
      <c r="Y6" s="35">
        <v>49700</v>
      </c>
      <c r="Z6" s="35">
        <v>48750</v>
      </c>
      <c r="AA6" s="35">
        <v>46950</v>
      </c>
      <c r="AB6" s="35">
        <v>44240</v>
      </c>
      <c r="AC6" s="35">
        <v>37840</v>
      </c>
      <c r="AD6" s="35">
        <v>39110</v>
      </c>
      <c r="AE6" s="35">
        <v>41930</v>
      </c>
      <c r="AF6" s="35">
        <v>45130</v>
      </c>
      <c r="AG6" s="35">
        <v>47390</v>
      </c>
      <c r="AH6" s="35">
        <v>50870</v>
      </c>
      <c r="AI6" s="35">
        <v>53290</v>
      </c>
      <c r="AJ6" s="35">
        <v>51920</v>
      </c>
      <c r="AK6" s="35">
        <v>51140</v>
      </c>
      <c r="AL6" s="35">
        <v>57700</v>
      </c>
      <c r="AM6" s="35">
        <v>53990</v>
      </c>
      <c r="AN6" s="35">
        <v>50610</v>
      </c>
      <c r="AO6" s="35">
        <v>48130</v>
      </c>
      <c r="AP6" s="36">
        <v>45110</v>
      </c>
      <c r="AQ6" s="37">
        <v>48200</v>
      </c>
      <c r="AR6" s="32">
        <v>49590</v>
      </c>
      <c r="AS6" s="32">
        <v>51200</v>
      </c>
      <c r="AT6" s="32">
        <v>53340</v>
      </c>
      <c r="AU6" s="32">
        <v>55860</v>
      </c>
      <c r="AV6" s="32">
        <v>52970</v>
      </c>
      <c r="AW6" s="32">
        <v>53200</v>
      </c>
      <c r="AX6" s="32">
        <v>50000</v>
      </c>
      <c r="AY6" s="32">
        <v>48060</v>
      </c>
      <c r="AZ6" s="32">
        <v>42950</v>
      </c>
      <c r="BA6" s="32">
        <v>42880</v>
      </c>
      <c r="BB6" s="32">
        <v>41670</v>
      </c>
      <c r="BC6" s="32">
        <v>40050</v>
      </c>
      <c r="BD6" s="32">
        <v>39290</v>
      </c>
      <c r="BE6" s="32">
        <v>39060</v>
      </c>
      <c r="BF6" s="32">
        <v>38570</v>
      </c>
      <c r="BG6" s="32">
        <v>37550</v>
      </c>
      <c r="BH6" s="32">
        <v>36650</v>
      </c>
      <c r="BI6" s="32">
        <v>37600</v>
      </c>
      <c r="BJ6" s="32">
        <v>38050</v>
      </c>
      <c r="BK6" s="32">
        <v>39830</v>
      </c>
      <c r="BL6" s="33">
        <v>38730</v>
      </c>
      <c r="BM6" s="1">
        <v>36980</v>
      </c>
      <c r="BN6" s="1">
        <v>37200</v>
      </c>
      <c r="BO6" s="1">
        <v>35200</v>
      </c>
      <c r="BP6" s="1">
        <v>35330</v>
      </c>
    </row>
    <row r="7" spans="1:68" ht="15.9" customHeight="1">
      <c r="A7" s="68" t="s">
        <v>9</v>
      </c>
      <c r="B7" s="28" t="s">
        <v>10</v>
      </c>
      <c r="C7" s="42" t="str">
        <f>_xll.RssMarket("5423","高値")</f>
        <v/>
      </c>
      <c r="D7" s="41" t="e">
        <f t="shared" si="0"/>
        <v>#VALUE!</v>
      </c>
      <c r="E7" s="35">
        <v>1789</v>
      </c>
      <c r="F7" s="35">
        <v>1781</v>
      </c>
      <c r="G7" s="35">
        <v>1789</v>
      </c>
      <c r="H7" s="35">
        <v>1750</v>
      </c>
      <c r="I7" s="35">
        <v>1730</v>
      </c>
      <c r="J7" s="35">
        <v>1750</v>
      </c>
      <c r="K7" s="35">
        <v>1770</v>
      </c>
      <c r="L7" s="35">
        <v>1768</v>
      </c>
      <c r="M7" s="35">
        <v>1778</v>
      </c>
      <c r="N7" s="35">
        <v>1750</v>
      </c>
      <c r="O7" s="35">
        <v>1723</v>
      </c>
      <c r="P7" s="35">
        <v>1714</v>
      </c>
      <c r="Q7" s="35">
        <v>1697</v>
      </c>
      <c r="R7" s="35">
        <v>1692</v>
      </c>
      <c r="S7" s="35">
        <v>1691</v>
      </c>
      <c r="T7" s="35">
        <v>1719</v>
      </c>
      <c r="U7" s="35">
        <v>1737</v>
      </c>
      <c r="V7" s="35">
        <v>1798</v>
      </c>
      <c r="W7" s="35">
        <v>1807</v>
      </c>
      <c r="X7" s="35">
        <v>1770</v>
      </c>
      <c r="Y7" s="35">
        <v>1793</v>
      </c>
      <c r="Z7" s="35">
        <v>1788</v>
      </c>
      <c r="AA7" s="35">
        <v>1750</v>
      </c>
      <c r="AB7" s="35">
        <v>1760</v>
      </c>
      <c r="AC7" s="35">
        <v>1750</v>
      </c>
      <c r="AD7" s="35">
        <v>1690</v>
      </c>
      <c r="AE7" s="35">
        <v>1684</v>
      </c>
      <c r="AF7" s="35">
        <v>1735</v>
      </c>
      <c r="AG7" s="35">
        <v>1703</v>
      </c>
      <c r="AH7" s="35">
        <v>1727</v>
      </c>
      <c r="AI7" s="35">
        <v>1719</v>
      </c>
      <c r="AJ7" s="35">
        <v>1704</v>
      </c>
      <c r="AK7" s="35">
        <v>1758</v>
      </c>
      <c r="AL7" s="35">
        <v>1714</v>
      </c>
      <c r="AM7" s="35">
        <v>1727</v>
      </c>
      <c r="AN7" s="35">
        <v>1732</v>
      </c>
      <c r="AO7" s="35">
        <v>1755</v>
      </c>
      <c r="AP7" s="36">
        <v>1775</v>
      </c>
      <c r="AQ7" s="37">
        <v>1758</v>
      </c>
      <c r="AR7" s="32">
        <v>1814</v>
      </c>
      <c r="AS7" s="32">
        <v>1821</v>
      </c>
      <c r="AT7" s="32">
        <v>1887</v>
      </c>
      <c r="AU7" s="32">
        <v>1850</v>
      </c>
      <c r="AV7" s="32">
        <v>1724</v>
      </c>
      <c r="AW7" s="32">
        <v>1700</v>
      </c>
      <c r="AX7" s="32">
        <v>1678</v>
      </c>
      <c r="AY7" s="32">
        <v>1710</v>
      </c>
      <c r="AZ7" s="32">
        <v>1707</v>
      </c>
      <c r="BA7" s="32">
        <v>1697</v>
      </c>
      <c r="BB7" s="32">
        <v>1713</v>
      </c>
      <c r="BC7" s="32">
        <v>1706</v>
      </c>
      <c r="BD7" s="32">
        <v>1750</v>
      </c>
      <c r="BE7" s="32">
        <v>1802</v>
      </c>
      <c r="BF7" s="32">
        <v>1804</v>
      </c>
      <c r="BG7" s="32">
        <v>1840</v>
      </c>
      <c r="BH7" s="32">
        <v>1862</v>
      </c>
      <c r="BI7" s="32">
        <v>1813</v>
      </c>
      <c r="BJ7" s="32">
        <v>1799</v>
      </c>
      <c r="BK7" s="32">
        <v>1793</v>
      </c>
      <c r="BL7" s="33">
        <v>1740</v>
      </c>
      <c r="BM7" s="1">
        <v>1755</v>
      </c>
      <c r="BN7" s="1">
        <v>1745</v>
      </c>
      <c r="BO7" s="1">
        <v>1794</v>
      </c>
      <c r="BP7" s="1">
        <v>1823</v>
      </c>
    </row>
    <row r="8" spans="1:68" ht="15.9" customHeight="1">
      <c r="A8" s="68" t="s">
        <v>11</v>
      </c>
      <c r="B8" s="28" t="s">
        <v>12</v>
      </c>
      <c r="C8" s="42" t="str">
        <f>_xll.RssMarket("5713","高値")</f>
        <v/>
      </c>
      <c r="D8" s="41" t="e">
        <f t="shared" si="0"/>
        <v>#VALUE!</v>
      </c>
      <c r="E8" s="38">
        <v>7100</v>
      </c>
      <c r="F8" s="38">
        <v>7509</v>
      </c>
      <c r="G8" s="38">
        <v>7450</v>
      </c>
      <c r="H8" s="38">
        <v>7382</v>
      </c>
      <c r="I8" s="38">
        <v>7366</v>
      </c>
      <c r="J8" s="38">
        <v>7354</v>
      </c>
      <c r="K8" s="38">
        <v>7579</v>
      </c>
      <c r="L8" s="38">
        <v>7849</v>
      </c>
      <c r="M8" s="38">
        <v>8090</v>
      </c>
      <c r="N8" s="38">
        <v>7969</v>
      </c>
      <c r="O8" s="38">
        <v>7739</v>
      </c>
      <c r="P8" s="38">
        <v>7551</v>
      </c>
      <c r="Q8" s="38">
        <v>7610</v>
      </c>
      <c r="R8" s="38">
        <v>7617</v>
      </c>
      <c r="S8" s="38">
        <v>7763</v>
      </c>
      <c r="T8" s="38">
        <v>7900</v>
      </c>
      <c r="U8" s="38">
        <v>8282</v>
      </c>
      <c r="V8" s="38">
        <v>8939</v>
      </c>
      <c r="W8" s="38">
        <v>8934</v>
      </c>
      <c r="X8" s="38">
        <v>8990</v>
      </c>
      <c r="Y8" s="38">
        <v>9406</v>
      </c>
      <c r="Z8" s="38">
        <v>9255</v>
      </c>
      <c r="AA8" s="38">
        <v>9340</v>
      </c>
      <c r="AB8" s="38">
        <v>9244</v>
      </c>
      <c r="AC8" s="38">
        <v>8674</v>
      </c>
      <c r="AD8" s="38">
        <v>7796</v>
      </c>
      <c r="AE8" s="38">
        <v>8026</v>
      </c>
      <c r="AF8" s="38">
        <v>8211</v>
      </c>
      <c r="AG8" s="38">
        <v>8792</v>
      </c>
      <c r="AH8" s="38">
        <v>8929</v>
      </c>
      <c r="AI8" s="38">
        <v>9382</v>
      </c>
      <c r="AJ8" s="38">
        <v>8880</v>
      </c>
      <c r="AK8" s="38">
        <v>9222</v>
      </c>
      <c r="AL8" s="38">
        <v>9450</v>
      </c>
      <c r="AM8" s="38">
        <v>10360</v>
      </c>
      <c r="AN8" s="38">
        <v>9940</v>
      </c>
      <c r="AO8" s="38">
        <v>9636</v>
      </c>
      <c r="AP8" s="36">
        <v>9387</v>
      </c>
      <c r="AQ8" s="37">
        <v>9201</v>
      </c>
      <c r="AR8" s="32">
        <v>9558</v>
      </c>
      <c r="AS8" s="32">
        <v>10010</v>
      </c>
      <c r="AT8" s="32">
        <v>11180</v>
      </c>
      <c r="AU8" s="32">
        <v>11140</v>
      </c>
      <c r="AV8" s="32">
        <v>11145</v>
      </c>
      <c r="AW8" s="32">
        <v>10995</v>
      </c>
      <c r="AX8" s="32">
        <v>10765</v>
      </c>
      <c r="AY8" s="32">
        <v>10615</v>
      </c>
      <c r="AZ8" s="32">
        <v>10140</v>
      </c>
      <c r="BA8" s="32">
        <v>9629</v>
      </c>
      <c r="BB8" s="32">
        <v>9474</v>
      </c>
      <c r="BC8" s="32">
        <v>9989</v>
      </c>
      <c r="BD8" s="32">
        <v>9864</v>
      </c>
      <c r="BE8" s="32">
        <v>10315</v>
      </c>
      <c r="BF8" s="32">
        <v>10050</v>
      </c>
      <c r="BG8" s="32">
        <v>10290</v>
      </c>
      <c r="BH8" s="32">
        <v>10215</v>
      </c>
      <c r="BI8" s="32">
        <v>10780</v>
      </c>
      <c r="BJ8" s="32">
        <v>11050</v>
      </c>
      <c r="BK8" s="32">
        <v>11150</v>
      </c>
      <c r="BL8" s="33">
        <v>10415</v>
      </c>
      <c r="BM8" s="1">
        <v>10180</v>
      </c>
      <c r="BN8" s="1">
        <v>10085</v>
      </c>
      <c r="BO8" s="1">
        <v>10255</v>
      </c>
      <c r="BP8" s="1">
        <v>10380</v>
      </c>
    </row>
    <row r="9" spans="1:68" ht="15.9" customHeight="1">
      <c r="A9" s="68" t="s">
        <v>13</v>
      </c>
      <c r="B9" s="28" t="s">
        <v>14</v>
      </c>
      <c r="C9" s="42" t="str">
        <f>_xll.RssMarket("5711","高値")</f>
        <v/>
      </c>
      <c r="D9" s="41" t="e">
        <f t="shared" si="0"/>
        <v>#VALUE!</v>
      </c>
      <c r="E9" s="32">
        <v>4110</v>
      </c>
      <c r="F9" s="32">
        <v>4313</v>
      </c>
      <c r="G9" s="32">
        <v>4160</v>
      </c>
      <c r="H9" s="39">
        <v>4140</v>
      </c>
      <c r="I9" s="36">
        <v>4092</v>
      </c>
      <c r="J9" s="36">
        <v>4075</v>
      </c>
      <c r="K9" s="36">
        <v>4356</v>
      </c>
      <c r="L9" s="36">
        <v>4600</v>
      </c>
      <c r="M9" s="36">
        <v>4654</v>
      </c>
      <c r="N9" s="36">
        <v>4566</v>
      </c>
      <c r="O9" s="36">
        <v>4499</v>
      </c>
      <c r="P9" s="36">
        <v>4399</v>
      </c>
      <c r="Q9" s="36">
        <v>4400</v>
      </c>
      <c r="R9" s="36">
        <v>4331</v>
      </c>
      <c r="S9" s="36">
        <v>4453</v>
      </c>
      <c r="T9" s="36">
        <v>4638</v>
      </c>
      <c r="U9" s="36">
        <v>4693</v>
      </c>
      <c r="V9" s="36">
        <v>4950</v>
      </c>
      <c r="W9" s="36">
        <v>4990</v>
      </c>
      <c r="X9" s="36">
        <v>4908</v>
      </c>
      <c r="Y9" s="36">
        <v>4968</v>
      </c>
      <c r="Z9" s="36">
        <v>4965</v>
      </c>
      <c r="AA9" s="36">
        <v>5050</v>
      </c>
      <c r="AB9" s="36">
        <v>5007</v>
      </c>
      <c r="AC9" s="36">
        <v>4648</v>
      </c>
      <c r="AD9" s="36">
        <v>4443</v>
      </c>
      <c r="AE9" s="36">
        <v>4592</v>
      </c>
      <c r="AF9" s="36">
        <v>4750</v>
      </c>
      <c r="AG9" s="36">
        <v>4957</v>
      </c>
      <c r="AH9" s="36">
        <v>5074</v>
      </c>
      <c r="AI9" s="36">
        <v>5298</v>
      </c>
      <c r="AJ9" s="36">
        <v>5066</v>
      </c>
      <c r="AK9" s="36">
        <v>5263</v>
      </c>
      <c r="AL9" s="36">
        <v>5224</v>
      </c>
      <c r="AM9" s="36">
        <v>5565</v>
      </c>
      <c r="AN9" s="36">
        <v>5280</v>
      </c>
      <c r="AO9" s="36">
        <v>5142</v>
      </c>
      <c r="AP9" s="36">
        <v>4946</v>
      </c>
      <c r="AQ9" s="37">
        <v>4879</v>
      </c>
      <c r="AR9" s="32">
        <v>5050</v>
      </c>
      <c r="AS9" s="32">
        <v>5264</v>
      </c>
      <c r="AT9" s="32">
        <v>5516</v>
      </c>
      <c r="AU9" s="32">
        <v>5646</v>
      </c>
      <c r="AV9" s="32">
        <v>6113</v>
      </c>
      <c r="AW9" s="32">
        <v>5838</v>
      </c>
      <c r="AX9" s="32">
        <v>5698</v>
      </c>
      <c r="AY9" s="32">
        <v>5562</v>
      </c>
      <c r="AZ9" s="32">
        <v>5353</v>
      </c>
      <c r="BA9" s="32">
        <v>5153</v>
      </c>
      <c r="BB9" s="32">
        <v>5092</v>
      </c>
      <c r="BC9" s="32">
        <v>5227</v>
      </c>
      <c r="BD9" s="32">
        <v>5328</v>
      </c>
      <c r="BE9" s="32">
        <v>5435</v>
      </c>
      <c r="BF9" s="32">
        <v>5460</v>
      </c>
      <c r="BG9" s="32">
        <v>5581</v>
      </c>
      <c r="BH9" s="32">
        <v>5595</v>
      </c>
      <c r="BI9" s="32">
        <v>5739</v>
      </c>
      <c r="BJ9" s="32">
        <v>5784</v>
      </c>
      <c r="BK9" s="32">
        <v>5795</v>
      </c>
      <c r="BL9" s="33">
        <v>5742</v>
      </c>
      <c r="BM9" s="1">
        <v>5580</v>
      </c>
      <c r="BN9" s="1">
        <v>5615</v>
      </c>
      <c r="BO9" s="1">
        <v>5640</v>
      </c>
      <c r="BP9" s="1">
        <v>5637</v>
      </c>
    </row>
    <row r="10" spans="1:68" ht="15.9" customHeight="1">
      <c r="A10" s="68" t="s">
        <v>15</v>
      </c>
      <c r="B10" s="28" t="s">
        <v>16</v>
      </c>
      <c r="C10" s="42" t="str">
        <f>_xll.RssMarket("5714","高値")</f>
        <v/>
      </c>
      <c r="D10" s="41" t="e">
        <f t="shared" si="0"/>
        <v>#VALUE!</v>
      </c>
      <c r="E10" s="32">
        <v>8245</v>
      </c>
      <c r="F10" s="32">
        <v>8530</v>
      </c>
      <c r="G10" s="32">
        <v>8419</v>
      </c>
      <c r="H10" s="32">
        <v>8506</v>
      </c>
      <c r="I10" s="32">
        <v>8490</v>
      </c>
      <c r="J10" s="32">
        <v>8429</v>
      </c>
      <c r="K10" s="32">
        <v>8598</v>
      </c>
      <c r="L10" s="32">
        <v>8891</v>
      </c>
      <c r="M10" s="32">
        <v>9020</v>
      </c>
      <c r="N10" s="32">
        <v>8971</v>
      </c>
      <c r="O10" s="32">
        <v>8918</v>
      </c>
      <c r="P10" s="32">
        <v>8749</v>
      </c>
      <c r="Q10" s="32">
        <v>8850</v>
      </c>
      <c r="R10" s="32">
        <v>8870</v>
      </c>
      <c r="S10" s="32">
        <v>8806</v>
      </c>
      <c r="T10" s="32">
        <v>9001</v>
      </c>
      <c r="U10" s="32">
        <v>9250</v>
      </c>
      <c r="V10" s="32">
        <v>9744</v>
      </c>
      <c r="W10" s="32">
        <v>9763</v>
      </c>
      <c r="X10" s="32">
        <v>9607</v>
      </c>
      <c r="Y10" s="32">
        <v>9864</v>
      </c>
      <c r="Z10" s="32">
        <v>9927</v>
      </c>
      <c r="AA10" s="32">
        <v>9915</v>
      </c>
      <c r="AB10" s="32">
        <v>9919</v>
      </c>
      <c r="AC10" s="32">
        <v>9464</v>
      </c>
      <c r="AD10" s="32">
        <v>8955</v>
      </c>
      <c r="AE10" s="32">
        <v>9159</v>
      </c>
      <c r="AF10" s="32">
        <v>9718</v>
      </c>
      <c r="AG10" s="32">
        <v>10105</v>
      </c>
      <c r="AH10" s="32">
        <v>10180</v>
      </c>
      <c r="AI10" s="32">
        <v>10570</v>
      </c>
      <c r="AJ10" s="32">
        <v>10275</v>
      </c>
      <c r="AK10" s="32">
        <v>10700</v>
      </c>
      <c r="AL10" s="32">
        <v>10805</v>
      </c>
      <c r="AM10" s="32">
        <v>11170</v>
      </c>
      <c r="AN10" s="32">
        <v>11090</v>
      </c>
      <c r="AO10" s="32">
        <v>10485</v>
      </c>
      <c r="AP10" s="32">
        <v>10355</v>
      </c>
      <c r="AQ10" s="32">
        <v>10235</v>
      </c>
      <c r="AR10" s="32">
        <v>11125</v>
      </c>
      <c r="AS10" s="32">
        <v>11550</v>
      </c>
      <c r="AT10" s="32">
        <v>12380</v>
      </c>
      <c r="AU10" s="32">
        <v>10555</v>
      </c>
      <c r="AV10" s="32">
        <v>10685</v>
      </c>
      <c r="AW10" s="32">
        <v>10640</v>
      </c>
      <c r="AX10" s="32">
        <v>10565</v>
      </c>
      <c r="AY10" s="32">
        <v>10180</v>
      </c>
      <c r="AZ10" s="32">
        <v>9878</v>
      </c>
      <c r="BA10" s="32">
        <v>9574</v>
      </c>
      <c r="BB10" s="32">
        <v>9566</v>
      </c>
      <c r="BC10" s="32">
        <v>9740</v>
      </c>
      <c r="BD10" s="32">
        <v>9653</v>
      </c>
      <c r="BE10" s="32">
        <v>9742</v>
      </c>
      <c r="BF10" s="32">
        <v>9903</v>
      </c>
      <c r="BG10" s="32">
        <v>9827</v>
      </c>
      <c r="BH10" s="32">
        <v>9998</v>
      </c>
      <c r="BI10" s="32">
        <v>10040</v>
      </c>
      <c r="BJ10" s="32">
        <v>10215</v>
      </c>
      <c r="BK10" s="32">
        <v>10385</v>
      </c>
      <c r="BL10" s="33">
        <v>10295</v>
      </c>
      <c r="BM10" s="1">
        <v>10060</v>
      </c>
      <c r="BN10" s="1">
        <v>9791</v>
      </c>
      <c r="BO10" s="1">
        <v>9900</v>
      </c>
      <c r="BP10" s="1">
        <v>9952</v>
      </c>
    </row>
    <row r="11" spans="1:68" ht="15.9" customHeight="1">
      <c r="A11" s="68" t="s">
        <v>17</v>
      </c>
      <c r="B11" s="28" t="s">
        <v>18</v>
      </c>
      <c r="C11" s="42" t="str">
        <f>_xll.RssMarket("6701","高値")</f>
        <v/>
      </c>
      <c r="D11" s="41" t="e">
        <f t="shared" si="0"/>
        <v>#VALUE!</v>
      </c>
      <c r="E11" s="32">
        <v>4472</v>
      </c>
      <c r="F11" s="32">
        <v>4312</v>
      </c>
      <c r="G11" s="32">
        <v>4525</v>
      </c>
      <c r="H11" s="32">
        <v>4355</v>
      </c>
      <c r="I11" s="32">
        <v>4368</v>
      </c>
      <c r="J11" s="32">
        <v>4422</v>
      </c>
      <c r="K11" s="32">
        <v>4444</v>
      </c>
      <c r="L11" s="32">
        <v>4409</v>
      </c>
      <c r="M11" s="32">
        <v>4355</v>
      </c>
      <c r="N11" s="32">
        <v>4307</v>
      </c>
      <c r="O11" s="32">
        <v>4298</v>
      </c>
      <c r="P11" s="32">
        <v>4037</v>
      </c>
      <c r="Q11" s="32">
        <v>4074</v>
      </c>
      <c r="R11" s="32">
        <v>4050</v>
      </c>
      <c r="S11" s="32">
        <v>3818</v>
      </c>
      <c r="T11" s="32">
        <v>3822</v>
      </c>
      <c r="U11" s="32">
        <v>3885</v>
      </c>
      <c r="V11" s="32">
        <v>3726</v>
      </c>
      <c r="W11" s="32">
        <v>3778</v>
      </c>
      <c r="X11" s="32">
        <v>3789</v>
      </c>
      <c r="Y11" s="32">
        <v>4020</v>
      </c>
      <c r="Z11" s="32">
        <v>3891</v>
      </c>
      <c r="AA11" s="32">
        <v>3860</v>
      </c>
      <c r="AB11" s="32">
        <v>3930</v>
      </c>
      <c r="AC11" s="32">
        <v>4027</v>
      </c>
      <c r="AD11" s="32">
        <v>4107</v>
      </c>
      <c r="AE11" s="32">
        <v>4080</v>
      </c>
      <c r="AF11" s="32">
        <v>4236</v>
      </c>
      <c r="AG11" s="32">
        <v>4315</v>
      </c>
      <c r="AH11" s="32">
        <v>4292</v>
      </c>
      <c r="AI11" s="32">
        <v>4314</v>
      </c>
      <c r="AJ11" s="32">
        <v>4470</v>
      </c>
      <c r="AK11" s="32">
        <v>4277</v>
      </c>
      <c r="AL11" s="32">
        <v>4201</v>
      </c>
      <c r="AM11" s="32">
        <v>4154</v>
      </c>
      <c r="AN11" s="32">
        <v>4143</v>
      </c>
      <c r="AO11" s="32">
        <v>4155</v>
      </c>
      <c r="AP11" s="32">
        <v>4245</v>
      </c>
      <c r="AQ11" s="32">
        <v>4312</v>
      </c>
      <c r="AR11" s="32">
        <v>4372</v>
      </c>
      <c r="AS11" s="32">
        <v>4184</v>
      </c>
      <c r="AT11" s="32">
        <v>4142</v>
      </c>
      <c r="AU11" s="32">
        <v>4115</v>
      </c>
      <c r="AV11" s="32">
        <v>4359</v>
      </c>
      <c r="AW11" s="32">
        <v>4172</v>
      </c>
      <c r="AX11" s="32">
        <v>4246</v>
      </c>
      <c r="AY11" s="32">
        <v>4110</v>
      </c>
      <c r="AZ11" s="32">
        <v>4092</v>
      </c>
      <c r="BA11" s="32">
        <v>4202</v>
      </c>
      <c r="BB11" s="32">
        <v>4707</v>
      </c>
      <c r="BC11" s="32">
        <v>4613</v>
      </c>
      <c r="BD11" s="32">
        <v>4448</v>
      </c>
      <c r="BE11" s="32">
        <v>4530</v>
      </c>
      <c r="BF11" s="32">
        <v>4493</v>
      </c>
      <c r="BG11" s="32">
        <v>4358</v>
      </c>
      <c r="BH11" s="32">
        <v>4430</v>
      </c>
      <c r="BI11" s="32">
        <v>4447</v>
      </c>
      <c r="BJ11" s="32">
        <v>4323</v>
      </c>
      <c r="BK11" s="32">
        <v>4173</v>
      </c>
      <c r="BL11" s="33">
        <v>3931</v>
      </c>
      <c r="BM11" s="1">
        <v>3981</v>
      </c>
      <c r="BN11" s="1">
        <v>4143</v>
      </c>
      <c r="BO11" s="1">
        <v>4197</v>
      </c>
      <c r="BP11" s="1">
        <v>4086</v>
      </c>
    </row>
    <row r="12" spans="1:68" ht="15.9" customHeight="1">
      <c r="A12" s="68" t="s">
        <v>19</v>
      </c>
      <c r="B12" s="28" t="s">
        <v>20</v>
      </c>
      <c r="C12" s="42" t="str">
        <f>_xll.RssMarket("1605","高値")</f>
        <v/>
      </c>
      <c r="D12" s="41" t="e">
        <f t="shared" si="0"/>
        <v>#VALUE!</v>
      </c>
      <c r="E12" s="32">
        <v>3457</v>
      </c>
      <c r="F12" s="32">
        <v>3528</v>
      </c>
      <c r="G12" s="32">
        <v>3550</v>
      </c>
      <c r="H12" s="32">
        <v>3419</v>
      </c>
      <c r="I12" s="32">
        <v>3407</v>
      </c>
      <c r="J12" s="32">
        <v>3470</v>
      </c>
      <c r="K12" s="32">
        <v>3412</v>
      </c>
      <c r="L12" s="32">
        <v>3330</v>
      </c>
      <c r="M12" s="32">
        <v>3316</v>
      </c>
      <c r="N12" s="32">
        <v>3261</v>
      </c>
      <c r="O12" s="32">
        <v>3238</v>
      </c>
      <c r="P12" s="32">
        <v>3297</v>
      </c>
      <c r="Q12" s="32">
        <v>3294</v>
      </c>
      <c r="R12" s="32">
        <v>3324</v>
      </c>
      <c r="S12" s="32">
        <v>3351</v>
      </c>
      <c r="T12" s="32">
        <v>3412</v>
      </c>
      <c r="U12" s="32">
        <v>3458</v>
      </c>
      <c r="V12" s="32">
        <v>3475</v>
      </c>
      <c r="W12" s="32">
        <v>3502</v>
      </c>
      <c r="X12" s="32">
        <v>3500</v>
      </c>
      <c r="Y12" s="32">
        <v>3505</v>
      </c>
      <c r="Z12" s="32">
        <v>3428</v>
      </c>
      <c r="AA12" s="32">
        <v>3475</v>
      </c>
      <c r="AB12" s="32">
        <v>3636</v>
      </c>
      <c r="AC12" s="32">
        <v>3588</v>
      </c>
      <c r="AD12" s="32">
        <v>3649</v>
      </c>
      <c r="AE12" s="32">
        <v>3553</v>
      </c>
      <c r="AF12" s="32">
        <v>3690</v>
      </c>
      <c r="AG12" s="32">
        <v>3726</v>
      </c>
      <c r="AH12" s="32">
        <v>3660</v>
      </c>
      <c r="AI12" s="32">
        <v>3732</v>
      </c>
      <c r="AJ12" s="32">
        <v>3597</v>
      </c>
      <c r="AK12" s="32">
        <v>3643</v>
      </c>
      <c r="AL12" s="32">
        <v>3722</v>
      </c>
      <c r="AM12" s="32">
        <v>3727</v>
      </c>
      <c r="AN12" s="32">
        <v>3791</v>
      </c>
      <c r="AO12" s="32">
        <v>3849</v>
      </c>
      <c r="AP12" s="32">
        <v>3934</v>
      </c>
      <c r="AQ12" s="32">
        <v>4026</v>
      </c>
      <c r="AR12" s="32">
        <v>4049</v>
      </c>
      <c r="AS12" s="32">
        <v>4002</v>
      </c>
      <c r="AT12" s="32">
        <v>3921</v>
      </c>
      <c r="AU12" s="32">
        <v>4007</v>
      </c>
      <c r="AV12" s="32">
        <v>3988</v>
      </c>
      <c r="AW12" s="32">
        <v>3910</v>
      </c>
      <c r="AX12" s="32">
        <v>3820</v>
      </c>
      <c r="AY12" s="32">
        <v>3912</v>
      </c>
      <c r="AZ12" s="32">
        <v>4165</v>
      </c>
      <c r="BA12" s="32">
        <v>4180</v>
      </c>
      <c r="BB12" s="32">
        <v>4123</v>
      </c>
      <c r="BC12" s="32">
        <v>3984</v>
      </c>
      <c r="BD12" s="32">
        <v>4098</v>
      </c>
      <c r="BE12" s="32">
        <v>3988</v>
      </c>
      <c r="BF12" s="32">
        <v>3912</v>
      </c>
      <c r="BG12" s="32">
        <v>3885</v>
      </c>
      <c r="BH12" s="32">
        <v>3959</v>
      </c>
      <c r="BI12" s="32">
        <v>4029</v>
      </c>
      <c r="BJ12" s="32">
        <v>4063</v>
      </c>
      <c r="BK12" s="32">
        <v>4133</v>
      </c>
      <c r="BL12" s="33">
        <v>4232</v>
      </c>
      <c r="BM12" s="1">
        <v>4388</v>
      </c>
      <c r="BN12" s="1">
        <v>4259</v>
      </c>
      <c r="BO12" s="1">
        <v>4279</v>
      </c>
      <c r="BP12" s="1">
        <v>4306</v>
      </c>
    </row>
    <row r="13" spans="1:68" ht="15.9" customHeight="1">
      <c r="A13" s="68" t="s">
        <v>21</v>
      </c>
      <c r="B13" s="28" t="s">
        <v>22</v>
      </c>
      <c r="C13" s="42" t="str">
        <f>_xll.RssMarket("5703","高値")</f>
        <v/>
      </c>
      <c r="D13" s="41" t="e">
        <f t="shared" si="0"/>
        <v>#VALUE!</v>
      </c>
      <c r="E13" s="32">
        <v>2706</v>
      </c>
      <c r="F13" s="32">
        <v>2798</v>
      </c>
      <c r="G13" s="32">
        <v>2770</v>
      </c>
      <c r="H13" s="32">
        <v>2746</v>
      </c>
      <c r="I13" s="32">
        <v>2735</v>
      </c>
      <c r="J13" s="32">
        <v>2667</v>
      </c>
      <c r="K13" s="32">
        <v>2686</v>
      </c>
      <c r="L13" s="32">
        <v>2775</v>
      </c>
      <c r="M13" s="32">
        <v>2800</v>
      </c>
      <c r="N13" s="32">
        <v>2774</v>
      </c>
      <c r="O13" s="32">
        <v>2754</v>
      </c>
      <c r="P13" s="32">
        <v>2764</v>
      </c>
      <c r="Q13" s="32">
        <v>2825</v>
      </c>
      <c r="R13" s="32">
        <v>2850</v>
      </c>
      <c r="S13" s="32">
        <v>2885</v>
      </c>
      <c r="T13" s="32">
        <v>2888</v>
      </c>
      <c r="U13" s="32">
        <v>2970</v>
      </c>
      <c r="V13" s="32">
        <v>3035</v>
      </c>
      <c r="W13" s="32">
        <v>3000</v>
      </c>
      <c r="X13" s="32">
        <v>3005</v>
      </c>
      <c r="Y13" s="32">
        <v>3065</v>
      </c>
      <c r="Z13" s="32">
        <v>3085</v>
      </c>
      <c r="AA13" s="32">
        <v>3130</v>
      </c>
      <c r="AB13" s="32">
        <v>3105</v>
      </c>
      <c r="AC13" s="32">
        <v>3005</v>
      </c>
      <c r="AD13" s="32">
        <v>3140</v>
      </c>
      <c r="AE13" s="32">
        <v>3205</v>
      </c>
      <c r="AF13" s="32">
        <v>3255</v>
      </c>
      <c r="AG13" s="32">
        <v>3275</v>
      </c>
      <c r="AH13" s="32">
        <v>3290</v>
      </c>
      <c r="AI13" s="32">
        <v>3190</v>
      </c>
      <c r="AJ13" s="32">
        <v>3270</v>
      </c>
      <c r="AK13" s="32">
        <v>3195</v>
      </c>
      <c r="AL13" s="32">
        <v>3325</v>
      </c>
      <c r="AM13" s="32">
        <v>3330</v>
      </c>
      <c r="AN13" s="32">
        <v>3140</v>
      </c>
      <c r="AO13" s="32">
        <v>3125</v>
      </c>
      <c r="AP13" s="32">
        <v>3070</v>
      </c>
      <c r="AQ13" s="32">
        <v>3140</v>
      </c>
      <c r="AR13" s="32">
        <v>3200</v>
      </c>
      <c r="AS13" s="32">
        <v>3260</v>
      </c>
      <c r="AT13" s="32">
        <v>3080</v>
      </c>
      <c r="AU13" s="32">
        <v>2965</v>
      </c>
      <c r="AV13" s="32">
        <v>2971</v>
      </c>
      <c r="AW13" s="32">
        <v>2966</v>
      </c>
      <c r="AX13" s="32">
        <v>2928</v>
      </c>
      <c r="AY13" s="32">
        <v>2939</v>
      </c>
      <c r="AZ13" s="32">
        <v>2834</v>
      </c>
      <c r="BA13" s="32">
        <v>2854</v>
      </c>
      <c r="BB13" s="32">
        <v>2880</v>
      </c>
      <c r="BC13" s="32">
        <v>2909</v>
      </c>
      <c r="BD13" s="32">
        <v>2879</v>
      </c>
      <c r="BE13" s="32">
        <v>2918</v>
      </c>
      <c r="BF13" s="32">
        <v>2939</v>
      </c>
      <c r="BG13" s="32">
        <v>3025</v>
      </c>
      <c r="BH13" s="32">
        <v>3005</v>
      </c>
      <c r="BI13" s="32">
        <v>3035</v>
      </c>
      <c r="BJ13" s="32">
        <v>3050</v>
      </c>
      <c r="BK13" s="32">
        <v>3090</v>
      </c>
      <c r="BL13" s="33">
        <v>3095</v>
      </c>
      <c r="BM13" s="1">
        <v>3030</v>
      </c>
      <c r="BN13" s="1">
        <v>3000</v>
      </c>
      <c r="BO13" s="1">
        <v>2988</v>
      </c>
      <c r="BP13" s="1">
        <v>2993</v>
      </c>
    </row>
    <row r="14" spans="1:68" ht="15.9" customHeight="1">
      <c r="A14" s="68" t="s">
        <v>23</v>
      </c>
      <c r="B14" s="28" t="s">
        <v>24</v>
      </c>
      <c r="C14" s="42" t="str">
        <f>_xll.RssMarket("8002","高値")</f>
        <v/>
      </c>
      <c r="D14" s="41" t="e">
        <f t="shared" si="0"/>
        <v>#VALUE!</v>
      </c>
      <c r="E14" s="32">
        <v>5176</v>
      </c>
      <c r="F14" s="32">
        <v>5132</v>
      </c>
      <c r="G14" s="32">
        <v>4942</v>
      </c>
      <c r="H14" s="32">
        <v>4960</v>
      </c>
      <c r="I14" s="32">
        <v>4920</v>
      </c>
      <c r="J14" s="32">
        <v>4935</v>
      </c>
      <c r="K14" s="32">
        <v>5086</v>
      </c>
      <c r="L14" s="32">
        <v>5162</v>
      </c>
      <c r="M14" s="32">
        <v>5084</v>
      </c>
      <c r="N14" s="32">
        <v>4984</v>
      </c>
      <c r="O14" s="32">
        <v>4877</v>
      </c>
      <c r="P14" s="32">
        <v>4701</v>
      </c>
      <c r="Q14" s="32">
        <v>4730</v>
      </c>
      <c r="R14" s="32">
        <v>4803</v>
      </c>
      <c r="S14" s="32">
        <v>4768</v>
      </c>
      <c r="T14" s="32">
        <v>4757</v>
      </c>
      <c r="U14" s="32">
        <v>4795</v>
      </c>
      <c r="V14" s="32">
        <v>4947</v>
      </c>
      <c r="W14" s="32">
        <v>4930</v>
      </c>
      <c r="X14" s="32">
        <v>4907</v>
      </c>
      <c r="Y14" s="32">
        <v>4993</v>
      </c>
      <c r="Z14" s="32">
        <v>5019</v>
      </c>
      <c r="AA14" s="32">
        <v>5058</v>
      </c>
      <c r="AB14" s="32">
        <v>5174</v>
      </c>
      <c r="AC14" s="32">
        <v>4951</v>
      </c>
      <c r="AD14" s="32">
        <v>4825</v>
      </c>
      <c r="AE14" s="32">
        <v>4880</v>
      </c>
      <c r="AF14" s="32">
        <v>4996</v>
      </c>
      <c r="AG14" s="32">
        <v>5089</v>
      </c>
      <c r="AH14" s="32">
        <v>5065</v>
      </c>
      <c r="AI14" s="32">
        <v>5039</v>
      </c>
      <c r="AJ14" s="32">
        <v>4940</v>
      </c>
      <c r="AK14" s="32">
        <v>5259</v>
      </c>
      <c r="AL14" s="32">
        <v>5264</v>
      </c>
      <c r="AM14" s="32">
        <v>5411</v>
      </c>
      <c r="AN14" s="32">
        <v>5367</v>
      </c>
      <c r="AO14" s="32">
        <v>5356</v>
      </c>
      <c r="AP14" s="32">
        <v>5477</v>
      </c>
      <c r="AQ14" s="32">
        <v>5486</v>
      </c>
      <c r="AR14" s="32">
        <v>5725</v>
      </c>
      <c r="AS14" s="32">
        <v>5849</v>
      </c>
      <c r="AT14" s="32">
        <v>6078</v>
      </c>
      <c r="AU14" s="32">
        <v>5928</v>
      </c>
      <c r="AV14" s="32">
        <v>5818</v>
      </c>
      <c r="AW14" s="32">
        <v>5608</v>
      </c>
      <c r="AX14" s="32">
        <v>5509</v>
      </c>
      <c r="AY14" s="32">
        <v>5535</v>
      </c>
      <c r="AZ14" s="32">
        <v>5749</v>
      </c>
      <c r="BA14" s="32">
        <v>6160</v>
      </c>
      <c r="BB14" s="32">
        <v>6099</v>
      </c>
      <c r="BC14" s="32">
        <v>6106</v>
      </c>
      <c r="BD14" s="32">
        <v>5966</v>
      </c>
      <c r="BE14" s="32">
        <v>6075</v>
      </c>
      <c r="BF14" s="32">
        <v>5986</v>
      </c>
      <c r="BG14" s="32">
        <v>5961</v>
      </c>
      <c r="BH14" s="32">
        <v>6020</v>
      </c>
      <c r="BI14" s="32">
        <v>5973</v>
      </c>
      <c r="BJ14" s="32">
        <v>6040</v>
      </c>
      <c r="BK14" s="32">
        <v>6049</v>
      </c>
      <c r="BL14" s="33">
        <v>6018</v>
      </c>
      <c r="BM14" s="1">
        <v>6033</v>
      </c>
      <c r="BN14" s="1">
        <v>6010</v>
      </c>
      <c r="BO14" s="1">
        <v>6071</v>
      </c>
      <c r="BP14" s="1">
        <v>6180</v>
      </c>
    </row>
    <row r="15" spans="1:68" ht="15.9" customHeight="1">
      <c r="A15" s="68" t="s">
        <v>25</v>
      </c>
      <c r="B15" s="28" t="s">
        <v>26</v>
      </c>
      <c r="C15" s="42" t="str">
        <f>_xll.RssMarket("5021","高値")</f>
        <v/>
      </c>
      <c r="D15" s="41" t="e">
        <f t="shared" si="0"/>
        <v>#VALUE!</v>
      </c>
      <c r="E15" s="32">
        <v>3840</v>
      </c>
      <c r="F15" s="32">
        <v>3902</v>
      </c>
      <c r="G15" s="32">
        <v>3916</v>
      </c>
      <c r="H15" s="32">
        <v>3903</v>
      </c>
      <c r="I15" s="32">
        <v>3895</v>
      </c>
      <c r="J15" s="32">
        <v>3933</v>
      </c>
      <c r="K15" s="32">
        <v>3915</v>
      </c>
      <c r="L15" s="32">
        <v>3999</v>
      </c>
      <c r="M15" s="32">
        <v>3977</v>
      </c>
      <c r="N15" s="32">
        <v>3921</v>
      </c>
      <c r="O15" s="32">
        <v>3892</v>
      </c>
      <c r="P15" s="32">
        <v>3830</v>
      </c>
      <c r="Q15" s="32">
        <v>3842</v>
      </c>
      <c r="R15" s="32">
        <v>3775</v>
      </c>
      <c r="S15" s="32">
        <v>3757</v>
      </c>
      <c r="T15" s="32">
        <v>3800</v>
      </c>
      <c r="U15" s="32">
        <v>3725</v>
      </c>
      <c r="V15" s="32">
        <v>3747</v>
      </c>
      <c r="W15" s="32">
        <v>3791</v>
      </c>
      <c r="X15" s="32">
        <v>3775</v>
      </c>
      <c r="Y15" s="32">
        <v>3768</v>
      </c>
      <c r="Z15" s="32">
        <v>3693</v>
      </c>
      <c r="AA15" s="32">
        <v>3699</v>
      </c>
      <c r="AB15" s="32">
        <v>3707</v>
      </c>
      <c r="AC15" s="32">
        <v>3584</v>
      </c>
      <c r="AD15" s="32">
        <v>3540</v>
      </c>
      <c r="AE15" s="32">
        <v>3500</v>
      </c>
      <c r="AF15" s="32">
        <v>3592</v>
      </c>
      <c r="AG15" s="32">
        <v>3688</v>
      </c>
      <c r="AH15" s="32">
        <v>3790</v>
      </c>
      <c r="AI15" s="32">
        <v>3835</v>
      </c>
      <c r="AJ15" s="32">
        <v>3746</v>
      </c>
      <c r="AK15" s="32">
        <v>3789</v>
      </c>
      <c r="AL15" s="32">
        <v>3729</v>
      </c>
      <c r="AM15" s="32">
        <v>3686</v>
      </c>
      <c r="AN15" s="32">
        <v>3772</v>
      </c>
      <c r="AO15" s="32">
        <v>3717</v>
      </c>
      <c r="AP15" s="32">
        <v>3766</v>
      </c>
      <c r="AQ15" s="32">
        <v>3788</v>
      </c>
      <c r="AR15" s="32">
        <v>3799</v>
      </c>
      <c r="AS15" s="32">
        <v>3870</v>
      </c>
      <c r="AT15" s="32">
        <v>3885</v>
      </c>
      <c r="AU15" s="32">
        <v>3893</v>
      </c>
      <c r="AV15" s="32">
        <v>3916</v>
      </c>
      <c r="AW15" s="32">
        <v>4001</v>
      </c>
      <c r="AX15" s="32">
        <v>4016</v>
      </c>
      <c r="AY15" s="32">
        <v>3975</v>
      </c>
      <c r="AZ15" s="32">
        <v>3951</v>
      </c>
      <c r="BA15" s="32">
        <v>3996</v>
      </c>
      <c r="BB15" s="32">
        <v>4011</v>
      </c>
      <c r="BC15" s="32">
        <v>3985</v>
      </c>
      <c r="BD15" s="32">
        <v>3946</v>
      </c>
      <c r="BE15" s="32">
        <v>4038</v>
      </c>
      <c r="BF15" s="32">
        <v>4021</v>
      </c>
      <c r="BG15" s="32">
        <v>4236</v>
      </c>
      <c r="BH15" s="32">
        <v>4288</v>
      </c>
      <c r="BI15" s="32">
        <v>4316</v>
      </c>
      <c r="BJ15" s="32">
        <v>4400</v>
      </c>
      <c r="BK15" s="32">
        <v>4406</v>
      </c>
      <c r="BL15" s="33">
        <v>4393</v>
      </c>
      <c r="BM15" s="1">
        <v>4393</v>
      </c>
      <c r="BN15" s="1">
        <v>4467</v>
      </c>
      <c r="BO15" s="1">
        <v>4548</v>
      </c>
      <c r="BP15" s="1">
        <v>4580</v>
      </c>
    </row>
    <row r="16" spans="1:68" ht="15.9" customHeight="1">
      <c r="A16" s="68" t="s">
        <v>27</v>
      </c>
      <c r="B16" s="28" t="s">
        <v>28</v>
      </c>
      <c r="C16" s="42" t="str">
        <f>_xll.RssMarket("8058","高値")</f>
        <v/>
      </c>
      <c r="D16" s="41" t="e">
        <f t="shared" si="0"/>
        <v>#VALUE!</v>
      </c>
      <c r="E16" s="32">
        <v>4555</v>
      </c>
      <c r="F16" s="32">
        <v>4606</v>
      </c>
      <c r="G16" s="32">
        <v>4522</v>
      </c>
      <c r="H16" s="32">
        <v>4518</v>
      </c>
      <c r="I16" s="32">
        <v>4444</v>
      </c>
      <c r="J16" s="32">
        <v>4459</v>
      </c>
      <c r="K16" s="32">
        <v>4574</v>
      </c>
      <c r="L16" s="32">
        <v>4662</v>
      </c>
      <c r="M16" s="32">
        <v>4545</v>
      </c>
      <c r="N16" s="32">
        <v>4574</v>
      </c>
      <c r="O16" s="32">
        <v>4463</v>
      </c>
      <c r="P16" s="32">
        <v>4372</v>
      </c>
      <c r="Q16" s="32">
        <v>4427</v>
      </c>
      <c r="R16" s="32">
        <v>4512</v>
      </c>
      <c r="S16" s="32">
        <v>4464</v>
      </c>
      <c r="T16" s="32">
        <v>4585</v>
      </c>
      <c r="U16" s="32">
        <v>4608</v>
      </c>
      <c r="V16" s="32">
        <v>4657</v>
      </c>
      <c r="W16" s="32">
        <v>4614</v>
      </c>
      <c r="X16" s="32">
        <v>4541</v>
      </c>
      <c r="Y16" s="32">
        <v>4669</v>
      </c>
      <c r="Z16" s="32">
        <v>4672</v>
      </c>
      <c r="AA16" s="32">
        <v>4739</v>
      </c>
      <c r="AB16" s="32">
        <v>4872</v>
      </c>
      <c r="AC16" s="32">
        <v>4712</v>
      </c>
      <c r="AD16" s="32">
        <v>4608</v>
      </c>
      <c r="AE16" s="32">
        <v>4755</v>
      </c>
      <c r="AF16" s="32">
        <v>4849</v>
      </c>
      <c r="AG16" s="32">
        <v>4967</v>
      </c>
      <c r="AH16" s="32">
        <v>4999</v>
      </c>
      <c r="AI16" s="32">
        <v>5004</v>
      </c>
      <c r="AJ16" s="32">
        <v>5019</v>
      </c>
      <c r="AK16" s="32">
        <v>5088</v>
      </c>
      <c r="AL16" s="32">
        <v>5144</v>
      </c>
      <c r="AM16" s="32">
        <v>5217</v>
      </c>
      <c r="AN16" s="32">
        <v>5419</v>
      </c>
      <c r="AO16" s="32">
        <v>5450</v>
      </c>
      <c r="AP16" s="32">
        <v>5510</v>
      </c>
      <c r="AQ16" s="32">
        <v>5582</v>
      </c>
      <c r="AR16" s="32">
        <v>5604</v>
      </c>
      <c r="AS16" s="32">
        <v>5800</v>
      </c>
      <c r="AT16" s="32">
        <v>6012</v>
      </c>
      <c r="AU16" s="32">
        <v>5939</v>
      </c>
      <c r="AV16" s="32">
        <v>5935</v>
      </c>
      <c r="AW16" s="32">
        <v>5508</v>
      </c>
      <c r="AX16" s="32">
        <v>5317</v>
      </c>
      <c r="AY16" s="32">
        <v>5350</v>
      </c>
      <c r="AZ16" s="32">
        <v>5411</v>
      </c>
      <c r="BA16" s="32">
        <v>5445</v>
      </c>
      <c r="BB16" s="32">
        <v>4990</v>
      </c>
      <c r="BC16" s="32">
        <v>4928</v>
      </c>
      <c r="BD16" s="32">
        <v>4849</v>
      </c>
      <c r="BE16" s="32">
        <v>4980</v>
      </c>
      <c r="BF16" s="32">
        <v>4828</v>
      </c>
      <c r="BG16" s="32">
        <v>4840</v>
      </c>
      <c r="BH16" s="32">
        <v>4914</v>
      </c>
      <c r="BI16" s="32">
        <v>5016</v>
      </c>
      <c r="BJ16" s="32">
        <v>5080</v>
      </c>
      <c r="BK16" s="32">
        <v>5099</v>
      </c>
      <c r="BL16" s="33">
        <v>5239</v>
      </c>
      <c r="BM16" s="1">
        <v>5330</v>
      </c>
      <c r="BN16" s="1">
        <v>5433</v>
      </c>
      <c r="BO16" s="1">
        <v>5449</v>
      </c>
      <c r="BP16" s="1">
        <v>5516</v>
      </c>
    </row>
    <row r="17" spans="1:68" ht="15.9" customHeight="1">
      <c r="A17" s="68" t="s">
        <v>29</v>
      </c>
      <c r="B17" s="28" t="s">
        <v>30</v>
      </c>
      <c r="C17" s="42" t="str">
        <f>_xll.RssMarket("5333","高値")</f>
        <v/>
      </c>
      <c r="D17" s="41" t="e">
        <f t="shared" si="0"/>
        <v>#VALUE!</v>
      </c>
      <c r="E17" s="32">
        <v>6362</v>
      </c>
      <c r="F17" s="32">
        <v>6787</v>
      </c>
      <c r="G17" s="32">
        <v>6649</v>
      </c>
      <c r="H17" s="32">
        <v>7124</v>
      </c>
      <c r="I17" s="32">
        <v>7259</v>
      </c>
      <c r="J17" s="32">
        <v>7182</v>
      </c>
      <c r="K17" s="32">
        <v>7186</v>
      </c>
      <c r="L17" s="32">
        <v>7480</v>
      </c>
      <c r="M17" s="32">
        <v>7534</v>
      </c>
      <c r="N17" s="32">
        <v>7492</v>
      </c>
      <c r="O17" s="32">
        <v>7580</v>
      </c>
      <c r="P17" s="32">
        <v>7860</v>
      </c>
      <c r="Q17" s="32">
        <v>7680</v>
      </c>
      <c r="R17" s="32">
        <v>7559</v>
      </c>
      <c r="S17" s="32">
        <v>7864</v>
      </c>
      <c r="T17" s="32">
        <v>7894</v>
      </c>
      <c r="U17" s="32">
        <v>7548</v>
      </c>
      <c r="V17" s="32">
        <v>7815</v>
      </c>
      <c r="W17" s="32">
        <v>7700</v>
      </c>
      <c r="X17" s="32">
        <v>7594</v>
      </c>
      <c r="Y17" s="32">
        <v>7308</v>
      </c>
      <c r="Z17" s="32">
        <v>6974</v>
      </c>
      <c r="AA17" s="32">
        <v>6807</v>
      </c>
      <c r="AB17" s="32">
        <v>6640</v>
      </c>
      <c r="AC17" s="32">
        <v>6347</v>
      </c>
      <c r="AD17" s="32">
        <v>5962</v>
      </c>
      <c r="AE17" s="32">
        <v>6198</v>
      </c>
      <c r="AF17" s="32">
        <v>6185</v>
      </c>
      <c r="AG17" s="32">
        <v>6615</v>
      </c>
      <c r="AH17" s="32">
        <v>6431</v>
      </c>
      <c r="AI17" s="32">
        <v>6538</v>
      </c>
      <c r="AJ17" s="32">
        <v>6350</v>
      </c>
      <c r="AK17" s="32">
        <v>6395</v>
      </c>
      <c r="AL17" s="32">
        <v>6143</v>
      </c>
      <c r="AM17" s="32">
        <v>6483</v>
      </c>
      <c r="AN17" s="32">
        <v>6260</v>
      </c>
      <c r="AO17" s="32">
        <v>5912</v>
      </c>
      <c r="AP17" s="32">
        <v>5742</v>
      </c>
      <c r="AQ17" s="32">
        <v>5485</v>
      </c>
      <c r="AR17" s="32">
        <v>5678</v>
      </c>
      <c r="AS17" s="32">
        <v>5755</v>
      </c>
      <c r="AT17" s="32">
        <v>5892</v>
      </c>
      <c r="AU17" s="32">
        <v>5838</v>
      </c>
      <c r="AV17" s="32">
        <v>5749</v>
      </c>
      <c r="AW17" s="32">
        <v>5707</v>
      </c>
      <c r="AX17" s="32">
        <v>5604</v>
      </c>
      <c r="AY17" s="32">
        <v>5415</v>
      </c>
      <c r="AZ17" s="32">
        <v>5420</v>
      </c>
      <c r="BA17" s="32">
        <v>5142</v>
      </c>
      <c r="BB17" s="32">
        <v>5035</v>
      </c>
      <c r="BC17" s="32">
        <v>4680</v>
      </c>
      <c r="BD17" s="32">
        <v>4670</v>
      </c>
      <c r="BE17" s="32">
        <v>4470</v>
      </c>
      <c r="BF17" s="32">
        <v>4459</v>
      </c>
      <c r="BG17" s="32">
        <v>4528</v>
      </c>
      <c r="BH17" s="32">
        <v>4595</v>
      </c>
      <c r="BI17" s="32">
        <v>4569</v>
      </c>
      <c r="BJ17" s="32">
        <v>4537</v>
      </c>
      <c r="BK17" s="32">
        <v>4586</v>
      </c>
      <c r="BL17" s="33">
        <v>4553</v>
      </c>
      <c r="BM17" s="1">
        <v>4465</v>
      </c>
      <c r="BN17" s="1">
        <v>4474</v>
      </c>
      <c r="BO17" s="1">
        <v>4491</v>
      </c>
      <c r="BP17" s="1">
        <v>4453</v>
      </c>
    </row>
    <row r="18" spans="1:68" ht="15.9" customHeight="1">
      <c r="A18" s="68" t="s">
        <v>31</v>
      </c>
      <c r="B18" s="28" t="s">
        <v>32</v>
      </c>
      <c r="C18" s="42" t="str">
        <f>_xll.RssMarket("1662","高値")</f>
        <v/>
      </c>
      <c r="D18" s="41" t="e">
        <f t="shared" si="0"/>
        <v>#VALUE!</v>
      </c>
      <c r="E18" s="32">
        <v>1697</v>
      </c>
      <c r="F18" s="32">
        <v>1739</v>
      </c>
      <c r="G18" s="32">
        <v>1753</v>
      </c>
      <c r="H18" s="32">
        <v>1700</v>
      </c>
      <c r="I18" s="32">
        <v>1684</v>
      </c>
      <c r="J18" s="32">
        <v>1723</v>
      </c>
      <c r="K18" s="32">
        <v>1704</v>
      </c>
      <c r="L18" s="32">
        <v>1692</v>
      </c>
      <c r="M18" s="32">
        <v>1669</v>
      </c>
      <c r="N18" s="32">
        <v>1622</v>
      </c>
      <c r="O18" s="32">
        <v>1613</v>
      </c>
      <c r="P18" s="32">
        <v>1601</v>
      </c>
      <c r="Q18" s="32">
        <v>1619</v>
      </c>
      <c r="R18" s="32">
        <v>1617</v>
      </c>
      <c r="S18" s="32">
        <v>1612</v>
      </c>
      <c r="T18" s="32">
        <v>1623</v>
      </c>
      <c r="U18" s="32">
        <v>1636</v>
      </c>
      <c r="V18" s="32">
        <v>1639</v>
      </c>
      <c r="W18" s="32">
        <v>1644</v>
      </c>
      <c r="X18" s="32">
        <v>1637</v>
      </c>
      <c r="Y18" s="32">
        <v>1681</v>
      </c>
      <c r="Z18" s="32">
        <v>1660</v>
      </c>
      <c r="AA18" s="32">
        <v>1663</v>
      </c>
      <c r="AB18" s="32">
        <v>1697</v>
      </c>
      <c r="AC18" s="32">
        <v>1662</v>
      </c>
      <c r="AD18" s="32">
        <v>1718</v>
      </c>
      <c r="AE18" s="32">
        <v>1733</v>
      </c>
      <c r="AF18" s="32">
        <v>1749</v>
      </c>
      <c r="AG18" s="32">
        <v>1769</v>
      </c>
      <c r="AH18" s="32">
        <v>1749</v>
      </c>
      <c r="AI18" s="32">
        <v>1798</v>
      </c>
      <c r="AJ18" s="32">
        <v>1808</v>
      </c>
      <c r="AK18" s="32">
        <v>1837</v>
      </c>
      <c r="AL18" s="32">
        <v>1887</v>
      </c>
      <c r="AM18" s="32">
        <v>1894</v>
      </c>
      <c r="AN18" s="32">
        <v>1895</v>
      </c>
      <c r="AO18" s="32">
        <v>1921</v>
      </c>
      <c r="AP18" s="32">
        <v>1927</v>
      </c>
      <c r="AQ18" s="32">
        <v>2046</v>
      </c>
      <c r="AR18" s="32">
        <v>1998</v>
      </c>
      <c r="AS18" s="32">
        <v>1989</v>
      </c>
      <c r="AT18" s="32">
        <v>2001</v>
      </c>
      <c r="AU18" s="32">
        <v>2012</v>
      </c>
      <c r="AV18" s="32">
        <v>2248</v>
      </c>
      <c r="AW18" s="32">
        <v>2211</v>
      </c>
      <c r="AX18" s="32">
        <v>2196</v>
      </c>
      <c r="AY18" s="32">
        <v>2165</v>
      </c>
      <c r="AZ18" s="32">
        <v>2127</v>
      </c>
      <c r="BA18" s="32">
        <v>2254</v>
      </c>
      <c r="BB18" s="32">
        <v>2339</v>
      </c>
      <c r="BC18" s="32">
        <v>2295</v>
      </c>
      <c r="BD18" s="32">
        <v>2230</v>
      </c>
      <c r="BE18" s="32">
        <v>2303</v>
      </c>
      <c r="BF18" s="32">
        <v>2323</v>
      </c>
      <c r="BG18" s="32">
        <v>2217</v>
      </c>
      <c r="BH18" s="32">
        <v>2176</v>
      </c>
      <c r="BI18" s="32">
        <v>2265</v>
      </c>
      <c r="BJ18" s="32">
        <v>2426</v>
      </c>
      <c r="BK18" s="32">
        <v>2419</v>
      </c>
      <c r="BL18" s="33">
        <v>2458</v>
      </c>
      <c r="BM18" s="1">
        <v>2512</v>
      </c>
      <c r="BN18" s="1">
        <v>2529</v>
      </c>
      <c r="BO18" s="1">
        <v>2525</v>
      </c>
      <c r="BP18" s="1">
        <v>2525</v>
      </c>
    </row>
    <row r="19" spans="1:68" ht="15.9" customHeight="1">
      <c r="A19" s="68" t="s">
        <v>33</v>
      </c>
      <c r="B19" s="28" t="s">
        <v>34</v>
      </c>
      <c r="C19" s="42" t="str">
        <f>_xll.RssMarket("8411","高値")</f>
        <v/>
      </c>
      <c r="D19" s="41" t="e">
        <f t="shared" si="0"/>
        <v>#VALUE!</v>
      </c>
      <c r="E19" s="32">
        <v>8370</v>
      </c>
      <c r="F19" s="32">
        <v>8693</v>
      </c>
      <c r="G19" s="32">
        <v>8497</v>
      </c>
      <c r="H19" s="32">
        <v>8541</v>
      </c>
      <c r="I19" s="32">
        <v>8440</v>
      </c>
      <c r="J19" s="32">
        <v>8265</v>
      </c>
      <c r="K19" s="32">
        <v>8369</v>
      </c>
      <c r="L19" s="32">
        <v>8551</v>
      </c>
      <c r="M19" s="32">
        <v>8208</v>
      </c>
      <c r="N19" s="32">
        <v>8083</v>
      </c>
      <c r="O19" s="32">
        <v>8086</v>
      </c>
      <c r="P19" s="32">
        <v>7918</v>
      </c>
      <c r="Q19" s="32">
        <v>7783</v>
      </c>
      <c r="R19" s="32">
        <v>7854</v>
      </c>
      <c r="S19" s="32">
        <v>7833</v>
      </c>
      <c r="T19" s="32">
        <v>7831</v>
      </c>
      <c r="U19" s="32">
        <v>7930</v>
      </c>
      <c r="V19" s="32">
        <v>8092</v>
      </c>
      <c r="W19" s="32">
        <v>8067</v>
      </c>
      <c r="X19" s="32">
        <v>8259</v>
      </c>
      <c r="Y19" s="32">
        <v>8304</v>
      </c>
      <c r="Z19" s="32">
        <v>8120</v>
      </c>
      <c r="AA19" s="32">
        <v>7845</v>
      </c>
      <c r="AB19" s="32">
        <v>7958</v>
      </c>
      <c r="AC19" s="32">
        <v>7706</v>
      </c>
      <c r="AD19" s="32">
        <v>7479</v>
      </c>
      <c r="AE19" s="32">
        <v>7855</v>
      </c>
      <c r="AF19" s="32">
        <v>7686</v>
      </c>
      <c r="AG19" s="32">
        <v>7966</v>
      </c>
      <c r="AH19" s="32">
        <v>7796</v>
      </c>
      <c r="AI19" s="32">
        <v>7687</v>
      </c>
      <c r="AJ19" s="32">
        <v>7346</v>
      </c>
      <c r="AK19" s="32">
        <v>7286</v>
      </c>
      <c r="AL19" s="32">
        <v>7140</v>
      </c>
      <c r="AM19" s="32">
        <v>7313</v>
      </c>
      <c r="AN19" s="32">
        <v>7396</v>
      </c>
      <c r="AO19" s="32">
        <v>7528</v>
      </c>
      <c r="AP19" s="32">
        <v>7413</v>
      </c>
      <c r="AQ19" s="32">
        <v>7130</v>
      </c>
      <c r="AR19" s="32">
        <v>6908</v>
      </c>
      <c r="AS19" s="32">
        <v>6583</v>
      </c>
      <c r="AT19" s="32">
        <v>7132</v>
      </c>
      <c r="AU19" s="32">
        <v>7124</v>
      </c>
      <c r="AV19" s="32">
        <v>7074</v>
      </c>
      <c r="AW19" s="32">
        <v>7006</v>
      </c>
      <c r="AX19" s="32">
        <v>6968</v>
      </c>
      <c r="AY19" s="32">
        <v>6807</v>
      </c>
      <c r="AZ19" s="32">
        <v>6980</v>
      </c>
      <c r="BA19" s="32">
        <v>6731</v>
      </c>
      <c r="BB19" s="32">
        <v>6919</v>
      </c>
      <c r="BC19" s="32">
        <v>6966</v>
      </c>
      <c r="BD19" s="32">
        <v>6663</v>
      </c>
      <c r="BE19" s="32">
        <v>6556</v>
      </c>
      <c r="BF19" s="32">
        <v>6601</v>
      </c>
      <c r="BG19" s="32">
        <v>6664</v>
      </c>
      <c r="BH19" s="32">
        <v>6775</v>
      </c>
      <c r="BI19" s="32">
        <v>6888</v>
      </c>
      <c r="BJ19" s="32">
        <v>6863</v>
      </c>
      <c r="BK19" s="32">
        <v>7029</v>
      </c>
      <c r="BL19" s="33">
        <v>7059</v>
      </c>
      <c r="BM19" s="1">
        <v>6858</v>
      </c>
      <c r="BN19" s="1">
        <v>6851</v>
      </c>
      <c r="BO19" s="1">
        <v>6809</v>
      </c>
      <c r="BP19" s="1">
        <v>6938</v>
      </c>
    </row>
    <row r="20" spans="1:68" ht="15.9" customHeight="1">
      <c r="A20" s="68" t="s">
        <v>35</v>
      </c>
      <c r="B20" s="28" t="s">
        <v>36</v>
      </c>
      <c r="C20" s="42" t="str">
        <f>_xll.RssMarket("5541","高値")</f>
        <v/>
      </c>
      <c r="D20" s="41" t="e">
        <f t="shared" si="0"/>
        <v>#VALUE!</v>
      </c>
      <c r="E20" s="32">
        <v>2293</v>
      </c>
      <c r="F20" s="32">
        <v>2320</v>
      </c>
      <c r="G20" s="32">
        <v>2285</v>
      </c>
      <c r="H20" s="32">
        <v>2293</v>
      </c>
      <c r="I20" s="32">
        <v>2270</v>
      </c>
      <c r="J20" s="32">
        <v>2238</v>
      </c>
      <c r="K20" s="32">
        <v>2267</v>
      </c>
      <c r="L20" s="32">
        <v>2357</v>
      </c>
      <c r="M20" s="32">
        <v>2376</v>
      </c>
      <c r="N20" s="32">
        <v>2323</v>
      </c>
      <c r="O20" s="32">
        <v>2328</v>
      </c>
      <c r="P20" s="32">
        <v>2273</v>
      </c>
      <c r="Q20" s="32">
        <v>2200</v>
      </c>
      <c r="R20" s="32">
        <v>2198</v>
      </c>
      <c r="S20" s="32">
        <v>2199</v>
      </c>
      <c r="T20" s="32">
        <v>2212</v>
      </c>
      <c r="U20" s="32">
        <v>2259</v>
      </c>
      <c r="V20" s="32">
        <v>2330</v>
      </c>
      <c r="W20" s="32">
        <v>2320</v>
      </c>
      <c r="X20" s="32">
        <v>2286</v>
      </c>
      <c r="Y20" s="32">
        <v>2316</v>
      </c>
      <c r="Z20" s="32">
        <v>2330</v>
      </c>
      <c r="AA20" s="32">
        <v>2339</v>
      </c>
      <c r="AB20" s="32">
        <v>2193</v>
      </c>
      <c r="AC20" s="32">
        <v>2110</v>
      </c>
      <c r="AD20" s="32">
        <v>2159</v>
      </c>
      <c r="AE20" s="32">
        <v>2232</v>
      </c>
      <c r="AF20" s="32">
        <v>2304</v>
      </c>
      <c r="AG20" s="32">
        <v>2310</v>
      </c>
      <c r="AH20" s="32">
        <v>2348</v>
      </c>
      <c r="AI20" s="32">
        <v>2256</v>
      </c>
      <c r="AJ20" s="32">
        <v>2362</v>
      </c>
      <c r="AK20" s="32">
        <v>2278</v>
      </c>
      <c r="AL20" s="32">
        <v>2388</v>
      </c>
      <c r="AM20" s="32">
        <v>2247</v>
      </c>
      <c r="AN20" s="32">
        <v>2180</v>
      </c>
      <c r="AO20" s="32">
        <v>2181</v>
      </c>
      <c r="AP20" s="32">
        <v>2203</v>
      </c>
      <c r="AQ20" s="32">
        <v>2254</v>
      </c>
      <c r="AR20" s="32">
        <v>2403</v>
      </c>
      <c r="AS20" s="32">
        <v>2475</v>
      </c>
      <c r="AT20" s="32">
        <v>2477</v>
      </c>
      <c r="AU20" s="32">
        <v>2548</v>
      </c>
      <c r="AV20" s="32">
        <v>2678</v>
      </c>
      <c r="AW20" s="32">
        <v>2653</v>
      </c>
      <c r="AX20" s="32">
        <v>2669</v>
      </c>
      <c r="AY20" s="32">
        <v>2632</v>
      </c>
      <c r="AZ20" s="32">
        <v>2559</v>
      </c>
      <c r="BA20" s="32">
        <v>2680</v>
      </c>
      <c r="BB20" s="32">
        <v>2444</v>
      </c>
      <c r="BC20" s="32">
        <v>2488</v>
      </c>
      <c r="BD20" s="32">
        <v>2535</v>
      </c>
      <c r="BE20" s="32">
        <v>2519</v>
      </c>
      <c r="BF20" s="32">
        <v>2574</v>
      </c>
      <c r="BG20" s="32">
        <v>2597</v>
      </c>
      <c r="BH20" s="32">
        <v>2650</v>
      </c>
      <c r="BI20" s="32">
        <v>2734</v>
      </c>
      <c r="BJ20" s="32">
        <v>2738</v>
      </c>
      <c r="BK20" s="32">
        <v>2695</v>
      </c>
      <c r="BL20" s="33">
        <v>2675</v>
      </c>
      <c r="BM20" s="1">
        <v>2719</v>
      </c>
      <c r="BN20" s="1">
        <v>2808</v>
      </c>
      <c r="BO20" s="1">
        <v>2839</v>
      </c>
      <c r="BP20" s="1">
        <v>2694</v>
      </c>
    </row>
    <row r="21" spans="1:68" ht="15.9" customHeight="1">
      <c r="A21" s="68" t="s">
        <v>37</v>
      </c>
      <c r="B21" s="28" t="s">
        <v>38</v>
      </c>
      <c r="C21" s="42" t="str">
        <f>_xll.RssMarket("5332","高値")</f>
        <v/>
      </c>
      <c r="D21" s="41" t="e">
        <f t="shared" si="0"/>
        <v>#VALUE!</v>
      </c>
      <c r="E21" s="32">
        <v>7715</v>
      </c>
      <c r="F21" s="32">
        <v>8088</v>
      </c>
      <c r="G21" s="32">
        <v>8032</v>
      </c>
      <c r="H21" s="32">
        <v>8139</v>
      </c>
      <c r="I21" s="32">
        <v>8213</v>
      </c>
      <c r="J21" s="32">
        <v>8192</v>
      </c>
      <c r="K21" s="32">
        <v>8293</v>
      </c>
      <c r="L21" s="32">
        <v>8670</v>
      </c>
      <c r="M21" s="32">
        <v>8740</v>
      </c>
      <c r="N21" s="32">
        <v>8586</v>
      </c>
      <c r="O21" s="32">
        <v>8606</v>
      </c>
      <c r="P21" s="32">
        <v>8779</v>
      </c>
      <c r="Q21" s="32">
        <v>8739</v>
      </c>
      <c r="R21" s="32">
        <v>8537</v>
      </c>
      <c r="S21" s="32">
        <v>8812</v>
      </c>
      <c r="T21" s="32">
        <v>8997</v>
      </c>
      <c r="U21" s="32">
        <v>8827</v>
      </c>
      <c r="V21" s="32">
        <v>9500</v>
      </c>
      <c r="W21" s="32">
        <v>9360</v>
      </c>
      <c r="X21" s="32">
        <v>8620</v>
      </c>
      <c r="Y21" s="32">
        <v>8326</v>
      </c>
      <c r="Z21" s="32">
        <v>8297</v>
      </c>
      <c r="AA21" s="32">
        <v>8362</v>
      </c>
      <c r="AB21" s="32">
        <v>8241</v>
      </c>
      <c r="AC21" s="32">
        <v>7799</v>
      </c>
      <c r="AD21" s="32">
        <v>7511</v>
      </c>
      <c r="AE21" s="32">
        <v>7609</v>
      </c>
      <c r="AF21" s="32">
        <v>7709</v>
      </c>
      <c r="AG21" s="32">
        <v>8185</v>
      </c>
      <c r="AH21" s="32">
        <v>8332</v>
      </c>
      <c r="AI21" s="32">
        <v>8049</v>
      </c>
      <c r="AJ21" s="32">
        <v>7442</v>
      </c>
      <c r="AK21" s="32">
        <v>7799</v>
      </c>
      <c r="AL21" s="32">
        <v>7410</v>
      </c>
      <c r="AM21" s="32">
        <v>7486</v>
      </c>
      <c r="AN21" s="32">
        <v>7086</v>
      </c>
      <c r="AO21" s="32">
        <v>6873</v>
      </c>
      <c r="AP21" s="32">
        <v>6698</v>
      </c>
      <c r="AQ21" s="32">
        <v>6625</v>
      </c>
      <c r="AR21" s="32">
        <v>6928</v>
      </c>
      <c r="AS21" s="32">
        <v>7171</v>
      </c>
      <c r="AT21" s="32">
        <v>7380</v>
      </c>
      <c r="AU21" s="32">
        <v>7289</v>
      </c>
      <c r="AV21" s="32">
        <v>6970</v>
      </c>
      <c r="AW21" s="32">
        <v>7270</v>
      </c>
      <c r="AX21" s="32">
        <v>7290</v>
      </c>
      <c r="AY21" s="32">
        <v>7104</v>
      </c>
      <c r="AZ21" s="32">
        <v>7011</v>
      </c>
      <c r="BA21" s="32">
        <v>6425</v>
      </c>
      <c r="BB21" s="32">
        <v>5497</v>
      </c>
      <c r="BC21" s="32">
        <v>5440</v>
      </c>
      <c r="BD21" s="32">
        <v>5459</v>
      </c>
      <c r="BE21" s="32">
        <v>5375</v>
      </c>
      <c r="BF21" s="32">
        <v>5260</v>
      </c>
      <c r="BG21" s="32">
        <v>5360</v>
      </c>
      <c r="BH21" s="32">
        <v>5524</v>
      </c>
      <c r="BI21" s="32">
        <v>5630</v>
      </c>
      <c r="BJ21" s="32">
        <v>5596</v>
      </c>
      <c r="BK21" s="32">
        <v>5765</v>
      </c>
      <c r="BL21" s="33">
        <v>5611</v>
      </c>
      <c r="BM21" s="1">
        <v>5565</v>
      </c>
      <c r="BN21" s="1">
        <v>5763</v>
      </c>
      <c r="BO21" s="1">
        <v>5794</v>
      </c>
      <c r="BP21" s="1">
        <v>5779</v>
      </c>
    </row>
    <row r="22" spans="1:68" ht="15.9" customHeight="1">
      <c r="A22" s="68" t="s">
        <v>39</v>
      </c>
      <c r="B22" s="28" t="s">
        <v>40</v>
      </c>
      <c r="C22" s="42" t="str">
        <f>_xll.RssMarket("8725","高値")</f>
        <v/>
      </c>
      <c r="D22" s="41" t="e">
        <f t="shared" si="0"/>
        <v>#VALUE!</v>
      </c>
      <c r="E22" s="32">
        <v>4580</v>
      </c>
      <c r="F22" s="32">
        <v>4594</v>
      </c>
      <c r="G22" s="32">
        <v>4513</v>
      </c>
      <c r="H22" s="32">
        <v>4442</v>
      </c>
      <c r="I22" s="32">
        <v>4505</v>
      </c>
      <c r="J22" s="32">
        <v>4549</v>
      </c>
      <c r="K22" s="32">
        <v>4594</v>
      </c>
      <c r="L22" s="32">
        <v>4554</v>
      </c>
      <c r="M22" s="32">
        <v>4461</v>
      </c>
      <c r="N22" s="32">
        <v>4416</v>
      </c>
      <c r="O22" s="32">
        <v>4285</v>
      </c>
      <c r="P22" s="32">
        <v>4287</v>
      </c>
      <c r="Q22" s="32">
        <v>4301</v>
      </c>
      <c r="R22" s="32">
        <v>4292</v>
      </c>
      <c r="S22" s="32">
        <v>4316</v>
      </c>
      <c r="T22" s="32">
        <v>4614</v>
      </c>
      <c r="U22" s="32">
        <v>4661</v>
      </c>
      <c r="V22" s="32">
        <v>4662</v>
      </c>
      <c r="W22" s="32">
        <v>4594</v>
      </c>
      <c r="X22" s="32">
        <v>4620</v>
      </c>
      <c r="Y22" s="32">
        <v>4689</v>
      </c>
      <c r="Z22" s="32">
        <v>4626</v>
      </c>
      <c r="AA22" s="32">
        <v>4742</v>
      </c>
      <c r="AB22" s="32">
        <v>4676</v>
      </c>
      <c r="AC22" s="32">
        <v>4590</v>
      </c>
      <c r="AD22" s="32">
        <v>4706</v>
      </c>
      <c r="AE22" s="32">
        <v>4402</v>
      </c>
      <c r="AF22" s="32">
        <v>4394</v>
      </c>
      <c r="AG22" s="32">
        <v>4284</v>
      </c>
      <c r="AH22" s="32">
        <v>4365</v>
      </c>
      <c r="AI22" s="32">
        <v>4298</v>
      </c>
      <c r="AJ22" s="32">
        <v>4333</v>
      </c>
      <c r="AK22" s="32">
        <v>4288</v>
      </c>
      <c r="AL22" s="32">
        <v>4295</v>
      </c>
      <c r="AM22" s="32">
        <v>4245</v>
      </c>
      <c r="AN22" s="32">
        <v>4341</v>
      </c>
      <c r="AO22" s="32">
        <v>4475</v>
      </c>
      <c r="AP22" s="32">
        <v>4522</v>
      </c>
      <c r="AQ22" s="32">
        <v>4536</v>
      </c>
      <c r="AR22" s="32">
        <v>4491</v>
      </c>
      <c r="AS22" s="32">
        <v>4437</v>
      </c>
      <c r="AT22" s="32">
        <v>4427</v>
      </c>
      <c r="AU22" s="32">
        <v>4415</v>
      </c>
      <c r="AV22" s="32">
        <v>4285</v>
      </c>
      <c r="AW22" s="32">
        <v>4032</v>
      </c>
      <c r="AX22" s="32">
        <v>4013</v>
      </c>
      <c r="AY22" s="32">
        <v>4044</v>
      </c>
      <c r="AZ22" s="32">
        <v>4004</v>
      </c>
      <c r="BA22" s="32">
        <v>4034</v>
      </c>
      <c r="BB22" s="32">
        <v>4028</v>
      </c>
      <c r="BC22" s="32">
        <v>3939</v>
      </c>
      <c r="BD22" s="32">
        <v>4001</v>
      </c>
      <c r="BE22" s="32">
        <v>3979</v>
      </c>
      <c r="BF22" s="32">
        <v>4036</v>
      </c>
      <c r="BG22" s="32">
        <v>4057</v>
      </c>
      <c r="BH22" s="32">
        <v>4102</v>
      </c>
      <c r="BI22" s="32">
        <v>4134</v>
      </c>
      <c r="BJ22" s="32">
        <v>4134</v>
      </c>
      <c r="BK22" s="32">
        <v>4090</v>
      </c>
      <c r="BL22" s="33">
        <v>4112</v>
      </c>
      <c r="BM22" s="1">
        <v>4099</v>
      </c>
      <c r="BN22" s="1">
        <v>4123</v>
      </c>
      <c r="BO22" s="1">
        <v>4167</v>
      </c>
      <c r="BP22" s="1">
        <v>4245</v>
      </c>
    </row>
    <row r="23" spans="1:68" ht="15.9" customHeight="1">
      <c r="A23" s="68" t="s">
        <v>41</v>
      </c>
      <c r="B23" s="28" t="s">
        <v>42</v>
      </c>
      <c r="C23" s="42" t="str">
        <f>_xll.RssMarket("8795","高値")</f>
        <v/>
      </c>
      <c r="D23" s="41" t="e">
        <f t="shared" si="0"/>
        <v>#VALUE!</v>
      </c>
      <c r="E23" s="32">
        <v>4950</v>
      </c>
      <c r="F23" s="32">
        <v>5065</v>
      </c>
      <c r="G23" s="32">
        <v>4976</v>
      </c>
      <c r="H23" s="32">
        <v>4961</v>
      </c>
      <c r="I23" s="32">
        <v>5018</v>
      </c>
      <c r="J23" s="32">
        <v>4960</v>
      </c>
      <c r="K23" s="32">
        <v>4988</v>
      </c>
      <c r="L23" s="32">
        <v>5098</v>
      </c>
      <c r="M23" s="32">
        <v>5053</v>
      </c>
      <c r="N23" s="32">
        <v>4979</v>
      </c>
      <c r="O23" s="32">
        <v>4909</v>
      </c>
      <c r="P23" s="32">
        <v>4926</v>
      </c>
      <c r="Q23" s="32">
        <v>4850</v>
      </c>
      <c r="R23" s="32">
        <v>4748</v>
      </c>
      <c r="S23" s="32">
        <v>4740</v>
      </c>
      <c r="T23" s="32">
        <v>4741</v>
      </c>
      <c r="U23" s="32">
        <v>4900</v>
      </c>
      <c r="V23" s="32">
        <v>5053</v>
      </c>
      <c r="W23" s="32">
        <v>4984</v>
      </c>
      <c r="X23" s="32">
        <v>4975</v>
      </c>
      <c r="Y23" s="32">
        <v>4930</v>
      </c>
      <c r="Z23" s="32">
        <v>5017</v>
      </c>
      <c r="AA23" s="32">
        <v>4914</v>
      </c>
      <c r="AB23" s="32">
        <v>4900</v>
      </c>
      <c r="AC23" s="32">
        <v>4755</v>
      </c>
      <c r="AD23" s="32">
        <v>4786</v>
      </c>
      <c r="AE23" s="32">
        <v>4981</v>
      </c>
      <c r="AF23" s="32">
        <v>4482</v>
      </c>
      <c r="AG23" s="32">
        <v>4475</v>
      </c>
      <c r="AH23" s="32">
        <v>4231</v>
      </c>
      <c r="AI23" s="32">
        <v>4258</v>
      </c>
      <c r="AJ23" s="32">
        <v>4253</v>
      </c>
      <c r="AK23" s="32">
        <v>4224</v>
      </c>
      <c r="AL23" s="32">
        <v>4135</v>
      </c>
      <c r="AM23" s="32">
        <v>4159</v>
      </c>
      <c r="AN23" s="32">
        <v>4148</v>
      </c>
      <c r="AO23" s="32">
        <v>4154</v>
      </c>
      <c r="AP23" s="32">
        <v>4168</v>
      </c>
      <c r="AQ23" s="32">
        <v>4230</v>
      </c>
      <c r="AR23" s="32">
        <v>4204</v>
      </c>
      <c r="AS23" s="32">
        <v>4046</v>
      </c>
      <c r="AT23" s="32">
        <v>4058</v>
      </c>
      <c r="AU23" s="32">
        <v>4002</v>
      </c>
      <c r="AV23" s="32">
        <v>4040</v>
      </c>
      <c r="AW23" s="32">
        <v>4035</v>
      </c>
      <c r="AX23" s="32">
        <v>3986</v>
      </c>
      <c r="AY23" s="32">
        <v>3939</v>
      </c>
      <c r="AZ23" s="32">
        <v>3945</v>
      </c>
      <c r="BA23" s="32">
        <v>3789</v>
      </c>
      <c r="BB23" s="32">
        <v>3792</v>
      </c>
      <c r="BC23" s="32">
        <v>3794</v>
      </c>
      <c r="BD23" s="32">
        <v>3676</v>
      </c>
      <c r="BE23" s="32">
        <v>3741</v>
      </c>
      <c r="BF23" s="32">
        <v>3728</v>
      </c>
      <c r="BG23" s="32">
        <v>3809</v>
      </c>
      <c r="BH23" s="32">
        <v>3925</v>
      </c>
      <c r="BI23" s="32">
        <v>4040</v>
      </c>
      <c r="BJ23" s="32">
        <v>4082</v>
      </c>
      <c r="BK23" s="32">
        <v>4083</v>
      </c>
      <c r="BL23" s="33">
        <v>4135</v>
      </c>
      <c r="BM23" s="1">
        <v>4095</v>
      </c>
      <c r="BN23" s="1">
        <v>4050</v>
      </c>
      <c r="BO23" s="1">
        <v>4065</v>
      </c>
      <c r="BP23" s="1">
        <v>4162</v>
      </c>
    </row>
    <row r="24" spans="1:68" ht="15.9" customHeight="1">
      <c r="A24" s="68" t="s">
        <v>43</v>
      </c>
      <c r="B24" s="28" t="s">
        <v>44</v>
      </c>
      <c r="C24" s="42" t="str">
        <f>_xll.RssMarket("5019","高値")</f>
        <v/>
      </c>
      <c r="D24" s="41" t="e">
        <f t="shared" si="0"/>
        <v>#VALUE!</v>
      </c>
      <c r="E24" s="32">
        <v>1264.5</v>
      </c>
      <c r="F24" s="32">
        <v>1290</v>
      </c>
      <c r="G24" s="32">
        <v>1273.5</v>
      </c>
      <c r="H24" s="32">
        <v>1257.5</v>
      </c>
      <c r="I24" s="32">
        <v>1255</v>
      </c>
      <c r="J24" s="32">
        <v>1255.5</v>
      </c>
      <c r="K24" s="32">
        <v>1252.5</v>
      </c>
      <c r="L24" s="32">
        <v>1246.5</v>
      </c>
      <c r="M24" s="32">
        <v>1222</v>
      </c>
      <c r="N24" s="32">
        <v>1209</v>
      </c>
      <c r="O24" s="32">
        <v>1202.5</v>
      </c>
      <c r="P24" s="32">
        <v>1226</v>
      </c>
      <c r="Q24" s="32">
        <v>1227</v>
      </c>
      <c r="R24" s="32">
        <v>1229.5</v>
      </c>
      <c r="S24" s="32">
        <v>1281</v>
      </c>
      <c r="T24" s="32">
        <v>1252</v>
      </c>
      <c r="U24" s="32">
        <v>1271.5</v>
      </c>
      <c r="V24" s="32">
        <v>1264.5</v>
      </c>
      <c r="W24" s="32">
        <v>1259.5</v>
      </c>
      <c r="X24" s="32">
        <v>1295</v>
      </c>
      <c r="Y24" s="32">
        <v>1293</v>
      </c>
      <c r="Z24" s="32">
        <v>1320</v>
      </c>
      <c r="AA24" s="32">
        <v>1362.5</v>
      </c>
      <c r="AB24" s="32">
        <v>1365</v>
      </c>
      <c r="AC24" s="32">
        <v>1369.5</v>
      </c>
      <c r="AD24" s="32">
        <v>1342.5</v>
      </c>
      <c r="AE24" s="32">
        <v>1377.5</v>
      </c>
      <c r="AF24" s="32">
        <v>1413</v>
      </c>
      <c r="AG24" s="32">
        <v>1409</v>
      </c>
      <c r="AH24" s="32">
        <v>1415</v>
      </c>
      <c r="AI24" s="32">
        <v>1368</v>
      </c>
      <c r="AJ24" s="32">
        <v>1398.5</v>
      </c>
      <c r="AK24" s="32">
        <v>1322</v>
      </c>
      <c r="AL24" s="32">
        <v>1329.5</v>
      </c>
      <c r="AM24" s="32">
        <v>1341.5</v>
      </c>
      <c r="AN24" s="32">
        <v>1338.5</v>
      </c>
      <c r="AO24" s="32">
        <v>1371.5</v>
      </c>
      <c r="AP24" s="32">
        <v>1393.5</v>
      </c>
      <c r="AQ24" s="32">
        <v>1394.5</v>
      </c>
      <c r="AR24" s="32">
        <v>1446</v>
      </c>
      <c r="AS24" s="32">
        <v>1447.5</v>
      </c>
      <c r="AT24" s="32">
        <v>1425.5</v>
      </c>
      <c r="AU24" s="32">
        <v>1406</v>
      </c>
      <c r="AV24" s="32">
        <v>1409.5</v>
      </c>
      <c r="AW24" s="32">
        <v>1365.5</v>
      </c>
      <c r="AX24" s="32">
        <v>1374.5</v>
      </c>
      <c r="AY24" s="32">
        <v>1385</v>
      </c>
      <c r="AZ24" s="32">
        <v>1370</v>
      </c>
      <c r="BA24" s="32">
        <v>1380</v>
      </c>
      <c r="BB24" s="32">
        <v>1350.5</v>
      </c>
      <c r="BC24" s="32">
        <v>1334.5</v>
      </c>
      <c r="BD24" s="32">
        <v>1360</v>
      </c>
      <c r="BE24" s="32">
        <v>1352.5</v>
      </c>
      <c r="BF24" s="32">
        <v>1421.5</v>
      </c>
      <c r="BG24" s="32">
        <v>1450</v>
      </c>
      <c r="BH24" s="32">
        <v>1492.5</v>
      </c>
      <c r="BI24" s="32">
        <v>1516.5</v>
      </c>
      <c r="BJ24" s="32">
        <v>1524.5</v>
      </c>
      <c r="BK24" s="32">
        <v>1539</v>
      </c>
      <c r="BL24" s="33">
        <v>1545.5</v>
      </c>
      <c r="BM24" s="1">
        <v>1580.5</v>
      </c>
      <c r="BN24" s="1">
        <v>1576.5</v>
      </c>
      <c r="BO24" s="1">
        <v>1602.5</v>
      </c>
      <c r="BP24" s="1">
        <v>1669</v>
      </c>
    </row>
    <row r="25" spans="1:68" ht="15.9" customHeight="1">
      <c r="A25" s="68" t="s">
        <v>45</v>
      </c>
      <c r="B25" s="28" t="s">
        <v>46</v>
      </c>
      <c r="C25" s="42" t="str">
        <f>_xll.RssMarket("8053","高値")</f>
        <v/>
      </c>
      <c r="D25" s="41" t="e">
        <f t="shared" si="0"/>
        <v>#VALUE!</v>
      </c>
      <c r="E25" s="32">
        <v>1573.5</v>
      </c>
      <c r="F25" s="32">
        <v>1596.5</v>
      </c>
      <c r="G25" s="32">
        <v>1576.5</v>
      </c>
      <c r="H25" s="32">
        <v>1583</v>
      </c>
      <c r="I25" s="32">
        <v>1569</v>
      </c>
      <c r="J25" s="32">
        <v>1572</v>
      </c>
      <c r="K25" s="32">
        <v>1610.5</v>
      </c>
      <c r="L25" s="32">
        <v>1650.5</v>
      </c>
      <c r="M25" s="32">
        <v>1614</v>
      </c>
      <c r="N25" s="32">
        <v>1619.5</v>
      </c>
      <c r="O25" s="32">
        <v>1626.5</v>
      </c>
      <c r="P25" s="32">
        <v>1578</v>
      </c>
      <c r="Q25" s="32">
        <v>1577.5</v>
      </c>
      <c r="R25" s="32">
        <v>6222</v>
      </c>
      <c r="S25" s="32">
        <v>6370</v>
      </c>
      <c r="T25" s="32">
        <v>6378</v>
      </c>
      <c r="U25" s="32">
        <v>6537</v>
      </c>
      <c r="V25" s="32">
        <v>6492</v>
      </c>
      <c r="W25" s="32">
        <v>6568</v>
      </c>
      <c r="X25" s="32">
        <v>6616</v>
      </c>
      <c r="Y25" s="32">
        <v>6645</v>
      </c>
      <c r="Z25" s="32">
        <v>6565</v>
      </c>
      <c r="AA25" s="32">
        <v>6640</v>
      </c>
      <c r="AB25" s="32">
        <v>6325</v>
      </c>
      <c r="AC25" s="32">
        <v>6264</v>
      </c>
      <c r="AD25" s="32">
        <v>6566</v>
      </c>
      <c r="AE25" s="32">
        <v>6780</v>
      </c>
      <c r="AF25" s="32">
        <v>6886</v>
      </c>
      <c r="AG25" s="32">
        <v>6847</v>
      </c>
      <c r="AH25" s="32">
        <v>6962</v>
      </c>
      <c r="AI25" s="32">
        <v>6898</v>
      </c>
      <c r="AJ25" s="32">
        <v>7251</v>
      </c>
      <c r="AK25" s="32">
        <v>7142</v>
      </c>
      <c r="AL25" s="32">
        <v>7350</v>
      </c>
      <c r="AM25" s="32">
        <v>7361</v>
      </c>
      <c r="AN25" s="32">
        <v>7168</v>
      </c>
      <c r="AO25" s="32">
        <v>7187</v>
      </c>
      <c r="AP25" s="32">
        <v>7255</v>
      </c>
      <c r="AQ25" s="32">
        <v>7349</v>
      </c>
      <c r="AR25" s="32">
        <v>7554</v>
      </c>
      <c r="AS25" s="32">
        <v>7726</v>
      </c>
      <c r="AT25" s="32">
        <v>7671</v>
      </c>
      <c r="AU25" s="32">
        <v>7775</v>
      </c>
      <c r="AV25" s="32">
        <v>7509</v>
      </c>
      <c r="AW25" s="32">
        <v>7347</v>
      </c>
      <c r="AX25" s="32">
        <v>7447</v>
      </c>
      <c r="AY25" s="32">
        <v>7556</v>
      </c>
      <c r="AZ25" s="32">
        <v>6840</v>
      </c>
      <c r="BA25" s="32">
        <v>5840</v>
      </c>
      <c r="BB25" s="32">
        <v>5822</v>
      </c>
      <c r="BC25" s="32">
        <v>5739</v>
      </c>
      <c r="BD25" s="32">
        <v>5887</v>
      </c>
      <c r="BE25" s="32">
        <v>5836</v>
      </c>
      <c r="BF25" s="32">
        <v>5929</v>
      </c>
      <c r="BG25" s="32">
        <v>6032</v>
      </c>
      <c r="BH25" s="32">
        <v>6083</v>
      </c>
      <c r="BI25" s="32">
        <v>6088</v>
      </c>
      <c r="BJ25" s="32">
        <v>6149</v>
      </c>
      <c r="BK25" s="32">
        <v>6130</v>
      </c>
      <c r="BL25" s="33">
        <v>6162</v>
      </c>
      <c r="BM25" s="1">
        <v>6138</v>
      </c>
      <c r="BN25" s="1">
        <v>6269</v>
      </c>
      <c r="BO25" s="1">
        <v>6352</v>
      </c>
      <c r="BP25" s="1">
        <v>6345</v>
      </c>
    </row>
    <row r="26" spans="1:68" ht="15.9" customHeight="1">
      <c r="A26" s="68" t="s">
        <v>47</v>
      </c>
      <c r="B26" s="28" t="s">
        <v>48</v>
      </c>
      <c r="C26" s="42" t="str">
        <f>_xll.RssMarket("8591","高値")</f>
        <v/>
      </c>
      <c r="D26" s="41" t="e">
        <f t="shared" si="0"/>
        <v>#VALUE!</v>
      </c>
      <c r="E26" s="32">
        <v>6463</v>
      </c>
      <c r="F26" s="32">
        <v>6593</v>
      </c>
      <c r="G26" s="32">
        <v>6472</v>
      </c>
      <c r="H26" s="32">
        <v>6580</v>
      </c>
      <c r="I26" s="32">
        <v>6508</v>
      </c>
      <c r="J26" s="32">
        <v>6452</v>
      </c>
      <c r="K26" s="32">
        <v>6444</v>
      </c>
      <c r="L26" s="32">
        <v>6526</v>
      </c>
      <c r="M26" s="32">
        <v>6405</v>
      </c>
      <c r="N26" s="32">
        <v>6345</v>
      </c>
      <c r="O26" s="32">
        <v>6321</v>
      </c>
      <c r="P26" s="32">
        <v>6278</v>
      </c>
      <c r="Q26" s="32">
        <v>6224</v>
      </c>
      <c r="R26" s="32">
        <v>6210</v>
      </c>
      <c r="S26" s="32">
        <v>6246</v>
      </c>
      <c r="T26" s="32">
        <v>6310</v>
      </c>
      <c r="U26" s="32">
        <v>6344</v>
      </c>
      <c r="V26" s="32">
        <v>6545</v>
      </c>
      <c r="W26" s="32">
        <v>6502</v>
      </c>
      <c r="X26" s="32">
        <v>6448</v>
      </c>
      <c r="Y26" s="32">
        <v>6566</v>
      </c>
      <c r="Z26" s="32">
        <v>6417</v>
      </c>
      <c r="AA26" s="32">
        <v>6305</v>
      </c>
      <c r="AB26" s="32">
        <v>6239</v>
      </c>
      <c r="AC26" s="32">
        <v>6150</v>
      </c>
      <c r="AD26" s="32">
        <v>6080</v>
      </c>
      <c r="AE26" s="32">
        <v>6335</v>
      </c>
      <c r="AF26" s="32">
        <v>6180</v>
      </c>
      <c r="AG26" s="32">
        <v>6305</v>
      </c>
      <c r="AH26" s="32">
        <v>6367</v>
      </c>
      <c r="AI26" s="32">
        <v>6368</v>
      </c>
      <c r="AJ26" s="32">
        <v>6220</v>
      </c>
      <c r="AK26" s="32">
        <v>6309</v>
      </c>
      <c r="AL26" s="32">
        <v>6153</v>
      </c>
      <c r="AM26" s="32">
        <v>6378</v>
      </c>
      <c r="AN26" s="32">
        <v>6308</v>
      </c>
      <c r="AO26" s="32">
        <v>6282</v>
      </c>
      <c r="AP26" s="32">
        <v>6348</v>
      </c>
      <c r="AQ26" s="32">
        <v>6109</v>
      </c>
      <c r="AR26" s="32">
        <v>5950</v>
      </c>
      <c r="AS26" s="32">
        <v>5939</v>
      </c>
      <c r="AT26" s="32">
        <v>5817</v>
      </c>
      <c r="AU26" s="32">
        <v>5970</v>
      </c>
      <c r="AV26" s="32">
        <v>6060</v>
      </c>
      <c r="AW26" s="32">
        <v>6049</v>
      </c>
      <c r="AX26" s="32">
        <v>5520</v>
      </c>
      <c r="AY26" s="32">
        <v>5330</v>
      </c>
      <c r="AZ26" s="32">
        <v>5314</v>
      </c>
      <c r="BA26" s="32">
        <v>5231</v>
      </c>
      <c r="BB26" s="32">
        <v>5275</v>
      </c>
      <c r="BC26" s="32">
        <v>5462</v>
      </c>
      <c r="BD26" s="32">
        <v>4883</v>
      </c>
      <c r="BE26" s="32">
        <v>4885</v>
      </c>
      <c r="BF26" s="32">
        <v>4894</v>
      </c>
      <c r="BG26" s="32">
        <v>4980</v>
      </c>
      <c r="BH26" s="32">
        <v>5051</v>
      </c>
      <c r="BI26" s="32">
        <v>5084</v>
      </c>
      <c r="BJ26" s="32">
        <v>5047</v>
      </c>
      <c r="BK26" s="32">
        <v>5093</v>
      </c>
      <c r="BL26" s="33">
        <v>5092</v>
      </c>
      <c r="BM26" s="1">
        <v>5014</v>
      </c>
      <c r="BN26" s="1">
        <v>4891</v>
      </c>
      <c r="BO26" s="1">
        <v>4910</v>
      </c>
      <c r="BP26" s="1">
        <v>4939</v>
      </c>
    </row>
    <row r="27" spans="1:68" ht="15.9" customHeight="1">
      <c r="A27" s="68" t="s">
        <v>49</v>
      </c>
      <c r="B27" s="28" t="s">
        <v>50</v>
      </c>
      <c r="C27" s="42" t="str">
        <f>_xll.RssMarket("3401","高値")</f>
        <v/>
      </c>
      <c r="D27" s="41" t="e">
        <f t="shared" si="0"/>
        <v>#VALUE!</v>
      </c>
      <c r="E27" s="32">
        <v>1768</v>
      </c>
      <c r="F27" s="32">
        <v>1722</v>
      </c>
      <c r="G27" s="32">
        <v>1699.5</v>
      </c>
      <c r="H27" s="32">
        <v>1680</v>
      </c>
      <c r="I27" s="32">
        <v>1687.5</v>
      </c>
      <c r="J27" s="32">
        <v>1732.5</v>
      </c>
      <c r="K27" s="32">
        <v>1744.5</v>
      </c>
      <c r="L27" s="32">
        <v>1750</v>
      </c>
      <c r="M27" s="32">
        <v>1772</v>
      </c>
      <c r="N27" s="32">
        <v>1734</v>
      </c>
      <c r="O27" s="32">
        <v>1659.5</v>
      </c>
      <c r="P27" s="32">
        <v>1636.5</v>
      </c>
      <c r="Q27" s="32">
        <v>1648.5</v>
      </c>
      <c r="R27" s="32">
        <v>1652.5</v>
      </c>
      <c r="S27" s="32">
        <v>1662</v>
      </c>
      <c r="T27" s="32">
        <v>1633</v>
      </c>
      <c r="U27" s="32">
        <v>1599</v>
      </c>
      <c r="V27" s="32">
        <v>1620.5</v>
      </c>
      <c r="W27" s="32">
        <v>1618</v>
      </c>
      <c r="X27" s="32">
        <v>1644.5</v>
      </c>
      <c r="Y27" s="32">
        <v>1660</v>
      </c>
      <c r="Z27" s="32">
        <v>1675</v>
      </c>
      <c r="AA27" s="32">
        <v>1645.5</v>
      </c>
      <c r="AB27" s="32">
        <v>1683.5</v>
      </c>
      <c r="AC27" s="32">
        <v>1656.5</v>
      </c>
      <c r="AD27" s="32">
        <v>1614.5</v>
      </c>
      <c r="AE27" s="32">
        <v>1634</v>
      </c>
      <c r="AF27" s="32">
        <v>1618</v>
      </c>
      <c r="AG27" s="32">
        <v>1636.5</v>
      </c>
      <c r="AH27" s="32">
        <v>1640.5</v>
      </c>
      <c r="AI27" s="32">
        <v>1649</v>
      </c>
      <c r="AJ27" s="32">
        <v>1625</v>
      </c>
      <c r="AK27" s="32">
        <v>1656.5</v>
      </c>
      <c r="AL27" s="32">
        <v>1616.5</v>
      </c>
      <c r="AM27" s="32">
        <v>1658</v>
      </c>
      <c r="AN27" s="32">
        <v>1667</v>
      </c>
      <c r="AO27" s="32">
        <v>1605</v>
      </c>
      <c r="AP27" s="32">
        <v>1635</v>
      </c>
      <c r="AQ27" s="32">
        <v>1641</v>
      </c>
      <c r="AR27" s="32">
        <v>1669</v>
      </c>
      <c r="AS27" s="32">
        <v>1677.5</v>
      </c>
      <c r="AT27" s="32">
        <v>1706</v>
      </c>
      <c r="AU27" s="32">
        <v>1773</v>
      </c>
      <c r="AV27" s="32">
        <v>1742</v>
      </c>
      <c r="AW27" s="32">
        <v>1713</v>
      </c>
      <c r="AX27" s="32">
        <v>1706</v>
      </c>
      <c r="AY27" s="32">
        <v>1608</v>
      </c>
      <c r="AZ27" s="32">
        <v>1612.5</v>
      </c>
      <c r="BA27" s="32">
        <v>1574</v>
      </c>
      <c r="BB27" s="32">
        <v>4910</v>
      </c>
      <c r="BC27" s="32">
        <v>1610</v>
      </c>
      <c r="BD27" s="32">
        <v>4854</v>
      </c>
      <c r="BE27" s="32">
        <v>1593</v>
      </c>
      <c r="BF27" s="32">
        <v>4825</v>
      </c>
      <c r="BG27" s="32">
        <v>1558.5</v>
      </c>
      <c r="BH27" s="32">
        <v>4806</v>
      </c>
      <c r="BI27" s="32">
        <v>1577</v>
      </c>
      <c r="BJ27" s="32">
        <v>4906</v>
      </c>
      <c r="BK27" s="32">
        <v>1590.5</v>
      </c>
      <c r="BL27" s="33">
        <v>5045</v>
      </c>
      <c r="BM27" s="1">
        <v>1610</v>
      </c>
      <c r="BN27" s="1">
        <v>5014</v>
      </c>
      <c r="BO27" s="1">
        <v>1578</v>
      </c>
      <c r="BP27" s="1">
        <v>4943</v>
      </c>
    </row>
    <row r="28" spans="1:68" ht="15.9" customHeight="1">
      <c r="A28" s="68" t="s">
        <v>51</v>
      </c>
      <c r="B28" s="28" t="s">
        <v>52</v>
      </c>
      <c r="C28" s="42" t="str">
        <f>_xll.RssMarket("3436","高値")</f>
        <v/>
      </c>
      <c r="D28" s="41" t="e">
        <f t="shared" si="0"/>
        <v>#VALUE!</v>
      </c>
      <c r="E28" s="32">
        <v>4551</v>
      </c>
      <c r="F28" s="32">
        <v>5490</v>
      </c>
      <c r="G28" s="32">
        <v>5536</v>
      </c>
      <c r="H28" s="32">
        <v>5939</v>
      </c>
      <c r="I28" s="32">
        <v>5244</v>
      </c>
      <c r="J28" s="32">
        <v>4743</v>
      </c>
      <c r="K28" s="32">
        <v>4656</v>
      </c>
      <c r="L28" s="32">
        <v>5133</v>
      </c>
      <c r="M28" s="32">
        <v>5309</v>
      </c>
      <c r="N28" s="32">
        <v>5100</v>
      </c>
      <c r="O28" s="32">
        <v>4857</v>
      </c>
      <c r="P28" s="32">
        <v>4729</v>
      </c>
      <c r="Q28" s="32">
        <v>4070</v>
      </c>
      <c r="R28" s="32">
        <v>3848</v>
      </c>
      <c r="S28" s="32">
        <v>3967</v>
      </c>
      <c r="T28" s="32">
        <v>3924</v>
      </c>
      <c r="U28" s="32">
        <v>3968</v>
      </c>
      <c r="V28" s="32">
        <v>4246</v>
      </c>
      <c r="W28" s="32">
        <v>4366</v>
      </c>
      <c r="X28" s="32">
        <v>4509</v>
      </c>
      <c r="Y28" s="32">
        <v>4394</v>
      </c>
      <c r="Z28" s="32">
        <v>4212</v>
      </c>
      <c r="AA28" s="32">
        <v>4434</v>
      </c>
      <c r="AB28" s="32">
        <v>4353</v>
      </c>
      <c r="AC28" s="32">
        <v>3807</v>
      </c>
      <c r="AD28" s="32">
        <v>3473</v>
      </c>
      <c r="AE28" s="32">
        <v>3274</v>
      </c>
      <c r="AF28" s="32">
        <v>3758</v>
      </c>
      <c r="AG28" s="32">
        <v>4156</v>
      </c>
      <c r="AH28" s="32">
        <v>4481</v>
      </c>
      <c r="AI28" s="32">
        <v>4564</v>
      </c>
      <c r="AJ28" s="32">
        <v>4371</v>
      </c>
      <c r="AK28" s="32">
        <v>4047</v>
      </c>
      <c r="AL28" s="32">
        <v>3530</v>
      </c>
      <c r="AM28" s="32">
        <v>3440</v>
      </c>
      <c r="AN28" s="32">
        <v>3518</v>
      </c>
      <c r="AO28" s="32">
        <v>3326</v>
      </c>
      <c r="AP28" s="32">
        <v>3127</v>
      </c>
      <c r="AQ28" s="32">
        <v>3103</v>
      </c>
      <c r="AR28" s="32">
        <v>3040</v>
      </c>
      <c r="AS28" s="32">
        <v>3168</v>
      </c>
      <c r="AT28" s="32">
        <v>3322</v>
      </c>
      <c r="AU28" s="32">
        <v>3859</v>
      </c>
      <c r="AV28" s="32">
        <v>3557</v>
      </c>
      <c r="AW28" s="32">
        <v>3765</v>
      </c>
      <c r="AX28" s="32">
        <v>3662</v>
      </c>
      <c r="AY28" s="32">
        <v>3688</v>
      </c>
      <c r="AZ28" s="32">
        <v>3033</v>
      </c>
      <c r="BA28" s="32">
        <v>2571</v>
      </c>
      <c r="BB28" s="32">
        <v>2797</v>
      </c>
      <c r="BC28" s="32">
        <v>2416</v>
      </c>
      <c r="BD28" s="32">
        <v>2379.5</v>
      </c>
      <c r="BE28" s="32">
        <v>2267</v>
      </c>
      <c r="BF28" s="32">
        <v>2234.5</v>
      </c>
      <c r="BG28" s="32">
        <v>2331</v>
      </c>
      <c r="BH28" s="32">
        <v>2232.5</v>
      </c>
      <c r="BI28" s="32">
        <v>2141.5</v>
      </c>
      <c r="BJ28" s="32">
        <v>2306</v>
      </c>
      <c r="BK28" s="32">
        <v>2450.5</v>
      </c>
      <c r="BL28" s="33">
        <v>2267.5</v>
      </c>
      <c r="BM28" s="1">
        <v>2225</v>
      </c>
      <c r="BN28" s="1">
        <v>2193.5</v>
      </c>
      <c r="BO28" s="1">
        <v>2077.5</v>
      </c>
      <c r="BP28" s="1">
        <v>1964</v>
      </c>
    </row>
    <row r="29" spans="1:68" ht="15.9" customHeight="1">
      <c r="A29" s="68" t="s">
        <v>53</v>
      </c>
      <c r="B29" s="28" t="s">
        <v>54</v>
      </c>
      <c r="C29" s="42" t="str">
        <f>_xll.RssMarket("5020","高値")</f>
        <v/>
      </c>
      <c r="D29" s="41" t="e">
        <f t="shared" si="0"/>
        <v>#VALUE!</v>
      </c>
      <c r="E29" s="32">
        <v>1269</v>
      </c>
      <c r="F29" s="32">
        <v>1298.5</v>
      </c>
      <c r="G29" s="32">
        <v>1269</v>
      </c>
      <c r="H29" s="32">
        <v>1269.5</v>
      </c>
      <c r="I29" s="32">
        <v>1258.5</v>
      </c>
      <c r="J29" s="32">
        <v>1268</v>
      </c>
      <c r="K29" s="32">
        <v>1257</v>
      </c>
      <c r="L29" s="32">
        <v>1279.5</v>
      </c>
      <c r="M29" s="32">
        <v>1265</v>
      </c>
      <c r="N29" s="32">
        <v>1237</v>
      </c>
      <c r="O29" s="32">
        <v>1228</v>
      </c>
      <c r="P29" s="32">
        <v>1212.5</v>
      </c>
      <c r="Q29" s="32">
        <v>1208</v>
      </c>
      <c r="R29" s="32">
        <v>1212</v>
      </c>
      <c r="S29" s="32">
        <v>1214.5</v>
      </c>
      <c r="T29" s="32">
        <v>1253</v>
      </c>
      <c r="U29" s="32">
        <v>1237.5</v>
      </c>
      <c r="V29" s="32">
        <v>1266.5</v>
      </c>
      <c r="W29" s="32">
        <v>1265</v>
      </c>
      <c r="X29" s="32">
        <v>1264</v>
      </c>
      <c r="Y29" s="32">
        <v>1251.5</v>
      </c>
      <c r="Z29" s="32">
        <v>1259</v>
      </c>
      <c r="AA29" s="32">
        <v>1247</v>
      </c>
      <c r="AB29" s="32">
        <v>1278</v>
      </c>
      <c r="AC29" s="32">
        <v>1241</v>
      </c>
      <c r="AD29" s="32">
        <v>1232.5</v>
      </c>
      <c r="AE29" s="32">
        <v>1221.5</v>
      </c>
      <c r="AF29" s="32">
        <v>1260</v>
      </c>
      <c r="AG29" s="32">
        <v>1305</v>
      </c>
      <c r="AH29" s="32">
        <v>1319</v>
      </c>
      <c r="AI29" s="32">
        <v>1341.5</v>
      </c>
      <c r="AJ29" s="32">
        <v>1292.5</v>
      </c>
      <c r="AK29" s="32">
        <v>1305.5</v>
      </c>
      <c r="AL29" s="32">
        <v>1300.5</v>
      </c>
      <c r="AM29" s="32">
        <v>1310.5</v>
      </c>
      <c r="AN29" s="32">
        <v>1322</v>
      </c>
      <c r="AO29" s="32">
        <v>1306.5</v>
      </c>
      <c r="AP29" s="32">
        <v>1321</v>
      </c>
      <c r="AQ29" s="32">
        <v>1361</v>
      </c>
      <c r="AR29" s="32">
        <v>1370</v>
      </c>
      <c r="AS29" s="32">
        <v>1397.5</v>
      </c>
      <c r="AT29" s="32">
        <v>1390</v>
      </c>
      <c r="AU29" s="32">
        <v>1380</v>
      </c>
      <c r="AV29" s="32">
        <v>1374</v>
      </c>
      <c r="AW29" s="32">
        <v>1384</v>
      </c>
      <c r="AX29" s="32">
        <v>1317</v>
      </c>
      <c r="AY29" s="32">
        <v>1295</v>
      </c>
      <c r="AZ29" s="32">
        <v>1342</v>
      </c>
      <c r="BA29" s="32">
        <v>1325.5</v>
      </c>
      <c r="BB29" s="32">
        <v>1329.5</v>
      </c>
      <c r="BC29" s="32">
        <v>1307.5</v>
      </c>
      <c r="BD29" s="32">
        <v>1294</v>
      </c>
      <c r="BE29" s="32">
        <v>1318</v>
      </c>
      <c r="BF29" s="32">
        <v>1314.5</v>
      </c>
      <c r="BG29" s="32">
        <v>1330</v>
      </c>
      <c r="BH29" s="32">
        <v>1359</v>
      </c>
      <c r="BI29" s="32">
        <v>1376</v>
      </c>
      <c r="BJ29" s="32">
        <v>1413</v>
      </c>
      <c r="BK29" s="32">
        <v>1423.5</v>
      </c>
      <c r="BL29" s="33">
        <v>1441.5</v>
      </c>
      <c r="BM29" s="1">
        <v>1435.5</v>
      </c>
      <c r="BN29" s="1">
        <v>1458</v>
      </c>
      <c r="BO29" s="1">
        <v>1464.5</v>
      </c>
      <c r="BP29" s="1">
        <v>1483.5</v>
      </c>
    </row>
    <row r="30" spans="1:68" ht="15.9" customHeight="1">
      <c r="A30" s="68" t="s">
        <v>55</v>
      </c>
      <c r="B30" s="28" t="s">
        <v>56</v>
      </c>
      <c r="C30" s="42" t="str">
        <f>_xll.RssMarket("6254","高値")</f>
        <v/>
      </c>
      <c r="D30" s="41" t="e">
        <f t="shared" si="0"/>
        <v>#VALUE!</v>
      </c>
      <c r="E30" s="32">
        <v>4155</v>
      </c>
      <c r="F30" s="32">
        <v>4415</v>
      </c>
      <c r="G30" s="32">
        <v>4375</v>
      </c>
      <c r="H30" s="32">
        <v>4680</v>
      </c>
      <c r="I30" s="32">
        <v>4730</v>
      </c>
      <c r="J30" s="32">
        <v>4400</v>
      </c>
      <c r="K30" s="32">
        <v>4430</v>
      </c>
      <c r="L30" s="32">
        <v>4630</v>
      </c>
      <c r="M30" s="32">
        <v>4980</v>
      </c>
      <c r="N30" s="32">
        <v>4940</v>
      </c>
      <c r="O30" s="32">
        <v>4970</v>
      </c>
      <c r="P30" s="32">
        <v>5340</v>
      </c>
      <c r="Q30" s="32">
        <v>5150</v>
      </c>
      <c r="R30" s="32">
        <v>5070</v>
      </c>
      <c r="S30" s="32">
        <v>4830</v>
      </c>
      <c r="T30" s="32">
        <v>5010</v>
      </c>
      <c r="U30" s="32">
        <v>5040</v>
      </c>
      <c r="V30" s="32">
        <v>5450</v>
      </c>
      <c r="W30" s="32">
        <v>5500</v>
      </c>
      <c r="X30" s="32">
        <v>5260</v>
      </c>
      <c r="Y30" s="32">
        <v>5180</v>
      </c>
      <c r="Z30" s="32">
        <v>4990</v>
      </c>
      <c r="AA30" s="32">
        <v>4655</v>
      </c>
      <c r="AB30" s="32">
        <v>4845</v>
      </c>
      <c r="AC30" s="32">
        <v>4395</v>
      </c>
      <c r="AD30" s="32">
        <v>3970</v>
      </c>
      <c r="AE30" s="32">
        <v>4225</v>
      </c>
      <c r="AF30" s="32">
        <v>4115</v>
      </c>
      <c r="AG30" s="32">
        <v>4385</v>
      </c>
      <c r="AH30" s="32">
        <v>4515</v>
      </c>
      <c r="AI30" s="32">
        <v>4555</v>
      </c>
      <c r="AJ30" s="32">
        <v>4545</v>
      </c>
      <c r="AK30" s="32">
        <v>4850</v>
      </c>
      <c r="AL30" s="32">
        <v>4865</v>
      </c>
      <c r="AM30" s="32">
        <v>5250</v>
      </c>
      <c r="AN30" s="32">
        <v>5290</v>
      </c>
      <c r="AO30" s="32">
        <v>5140</v>
      </c>
      <c r="AP30" s="32">
        <v>4725</v>
      </c>
      <c r="AQ30" s="32">
        <v>4665</v>
      </c>
      <c r="AR30" s="32">
        <v>4910</v>
      </c>
      <c r="AS30" s="32">
        <v>5110</v>
      </c>
      <c r="AT30" s="32">
        <v>5060</v>
      </c>
      <c r="AU30" s="32">
        <v>4470</v>
      </c>
      <c r="AV30" s="32">
        <v>4440</v>
      </c>
      <c r="AW30" s="32">
        <v>4695</v>
      </c>
      <c r="AX30" s="32">
        <v>4675</v>
      </c>
      <c r="AY30" s="32">
        <v>4520</v>
      </c>
      <c r="AZ30" s="32">
        <v>4115</v>
      </c>
      <c r="BA30" s="32">
        <v>3715</v>
      </c>
      <c r="BB30" s="32">
        <v>3760</v>
      </c>
      <c r="BC30" s="32">
        <v>3765</v>
      </c>
      <c r="BD30" s="32">
        <v>3790</v>
      </c>
      <c r="BE30" s="32">
        <v>3770</v>
      </c>
      <c r="BF30" s="32">
        <v>3775</v>
      </c>
      <c r="BG30" s="32">
        <v>3845</v>
      </c>
      <c r="BH30" s="32">
        <v>3915</v>
      </c>
      <c r="BI30" s="32">
        <v>3895</v>
      </c>
      <c r="BJ30" s="32">
        <v>3760</v>
      </c>
      <c r="BK30" s="32">
        <v>3770</v>
      </c>
      <c r="BL30" s="33">
        <v>3695</v>
      </c>
      <c r="BM30" s="1">
        <v>3735</v>
      </c>
      <c r="BN30" s="1">
        <v>3645</v>
      </c>
      <c r="BO30" s="1">
        <v>3645</v>
      </c>
      <c r="BP30" s="1">
        <v>3455</v>
      </c>
    </row>
    <row r="31" spans="1:68" ht="15.9" customHeight="1">
      <c r="A31" s="68" t="s">
        <v>57</v>
      </c>
      <c r="B31" s="28" t="s">
        <v>58</v>
      </c>
      <c r="C31" s="42" t="str">
        <f>_xll.RssMarket("8309","高値")</f>
        <v/>
      </c>
      <c r="D31" s="41" t="e">
        <f t="shared" si="0"/>
        <v>#VALUE!</v>
      </c>
      <c r="E31" s="32">
        <v>6702</v>
      </c>
      <c r="F31" s="32">
        <v>6767</v>
      </c>
      <c r="G31" s="32">
        <v>6677</v>
      </c>
      <c r="H31" s="32">
        <v>6674</v>
      </c>
      <c r="I31" s="32">
        <v>6641</v>
      </c>
      <c r="J31" s="32">
        <v>6606</v>
      </c>
      <c r="K31" s="32">
        <v>6664</v>
      </c>
      <c r="L31" s="32">
        <v>6643</v>
      </c>
      <c r="M31" s="32">
        <v>6540</v>
      </c>
      <c r="N31" s="32">
        <v>6377</v>
      </c>
      <c r="O31" s="32">
        <v>6291</v>
      </c>
      <c r="P31" s="32">
        <v>6170</v>
      </c>
      <c r="Q31" s="32">
        <v>6154</v>
      </c>
      <c r="R31" s="32">
        <v>6070</v>
      </c>
      <c r="S31" s="32">
        <v>6042</v>
      </c>
      <c r="T31" s="32">
        <v>6034</v>
      </c>
      <c r="U31" s="32">
        <v>6108</v>
      </c>
      <c r="V31" s="32">
        <v>6182</v>
      </c>
      <c r="W31" s="32">
        <v>6218</v>
      </c>
      <c r="X31" s="32">
        <v>6180</v>
      </c>
      <c r="Y31" s="32">
        <v>6177</v>
      </c>
      <c r="Z31" s="32">
        <v>6081</v>
      </c>
      <c r="AA31" s="32">
        <v>5999</v>
      </c>
      <c r="AB31" s="32">
        <v>6169</v>
      </c>
      <c r="AC31" s="32">
        <v>6016</v>
      </c>
      <c r="AD31" s="32">
        <v>5937</v>
      </c>
      <c r="AE31" s="32">
        <v>6096</v>
      </c>
      <c r="AF31" s="32">
        <v>5847</v>
      </c>
      <c r="AG31" s="32">
        <v>5947</v>
      </c>
      <c r="AH31" s="32">
        <v>5806</v>
      </c>
      <c r="AI31" s="32">
        <v>5722</v>
      </c>
      <c r="AJ31" s="32">
        <v>5556</v>
      </c>
      <c r="AK31" s="32">
        <v>5650</v>
      </c>
      <c r="AL31" s="32">
        <v>5599</v>
      </c>
      <c r="AM31" s="32">
        <v>5690</v>
      </c>
      <c r="AN31" s="32">
        <v>5661</v>
      </c>
      <c r="AO31" s="32">
        <v>5711</v>
      </c>
      <c r="AP31" s="32">
        <v>5781</v>
      </c>
      <c r="AQ31" s="32">
        <v>5807</v>
      </c>
      <c r="AR31" s="32">
        <v>5715</v>
      </c>
      <c r="AS31" s="32">
        <v>5638</v>
      </c>
      <c r="AT31" s="32">
        <v>5655</v>
      </c>
      <c r="AU31" s="32">
        <v>5682</v>
      </c>
      <c r="AV31" s="32">
        <v>5661</v>
      </c>
      <c r="AW31" s="32">
        <v>5623</v>
      </c>
      <c r="AX31" s="32">
        <v>5510</v>
      </c>
      <c r="AY31" s="32">
        <v>5484</v>
      </c>
      <c r="AZ31" s="32">
        <v>5607</v>
      </c>
      <c r="BA31" s="32">
        <v>5357</v>
      </c>
      <c r="BB31" s="32">
        <v>5252</v>
      </c>
      <c r="BC31" s="32">
        <v>5329</v>
      </c>
      <c r="BD31" s="32">
        <v>5149</v>
      </c>
      <c r="BE31" s="32">
        <v>5147</v>
      </c>
      <c r="BF31" s="32">
        <v>5172</v>
      </c>
      <c r="BG31" s="32">
        <v>5199</v>
      </c>
      <c r="BH31" s="32">
        <v>5300</v>
      </c>
      <c r="BI31" s="32">
        <v>5419</v>
      </c>
      <c r="BJ31" s="32">
        <v>5468</v>
      </c>
      <c r="BK31" s="32">
        <v>5507</v>
      </c>
      <c r="BL31" s="33">
        <v>5475</v>
      </c>
      <c r="BM31" s="1">
        <v>5422</v>
      </c>
      <c r="BN31" s="1">
        <v>5380</v>
      </c>
      <c r="BO31" s="1">
        <v>5363</v>
      </c>
      <c r="BP31" s="1">
        <v>5428</v>
      </c>
    </row>
    <row r="32" spans="1:68" ht="15.9" customHeight="1">
      <c r="A32" s="68" t="s">
        <v>59</v>
      </c>
      <c r="B32" s="28" t="s">
        <v>60</v>
      </c>
      <c r="C32" s="42" t="str">
        <f>_xll.RssMarket("3863","高値")</f>
        <v/>
      </c>
      <c r="D32" s="41" t="e">
        <f t="shared" si="0"/>
        <v>#VALUE!</v>
      </c>
      <c r="E32" s="32">
        <v>1479</v>
      </c>
      <c r="F32" s="32">
        <v>1404</v>
      </c>
      <c r="G32" s="32">
        <v>1363</v>
      </c>
      <c r="H32" s="32">
        <v>1365</v>
      </c>
      <c r="I32" s="32">
        <v>1336</v>
      </c>
      <c r="J32" s="32">
        <v>1357</v>
      </c>
      <c r="K32" s="32">
        <v>1353</v>
      </c>
      <c r="L32" s="32">
        <v>1345</v>
      </c>
      <c r="M32" s="32">
        <v>1346</v>
      </c>
      <c r="N32" s="32">
        <v>1339</v>
      </c>
      <c r="O32" s="32">
        <v>1343</v>
      </c>
      <c r="P32" s="32">
        <v>1301</v>
      </c>
      <c r="Q32" s="32">
        <v>1321</v>
      </c>
      <c r="R32" s="32">
        <v>1271</v>
      </c>
      <c r="S32" s="32">
        <v>1274</v>
      </c>
      <c r="T32" s="32">
        <v>1255</v>
      </c>
      <c r="U32" s="32">
        <v>1211</v>
      </c>
      <c r="V32" s="32">
        <v>1209</v>
      </c>
      <c r="W32" s="32">
        <v>1220</v>
      </c>
      <c r="X32" s="32">
        <v>1238</v>
      </c>
      <c r="Y32" s="32">
        <v>1259</v>
      </c>
      <c r="Z32" s="32">
        <v>1253</v>
      </c>
      <c r="AA32" s="32">
        <v>1249</v>
      </c>
      <c r="AB32" s="32">
        <v>1227</v>
      </c>
      <c r="AC32" s="32">
        <v>1219</v>
      </c>
      <c r="AD32" s="32">
        <v>1239</v>
      </c>
      <c r="AE32" s="32">
        <v>1270</v>
      </c>
      <c r="AF32" s="32">
        <v>1262</v>
      </c>
      <c r="AG32" s="32">
        <v>1213</v>
      </c>
      <c r="AH32" s="32">
        <v>1236</v>
      </c>
      <c r="AI32" s="32">
        <v>1235</v>
      </c>
      <c r="AJ32" s="32">
        <v>1361</v>
      </c>
      <c r="AK32" s="32">
        <v>1379</v>
      </c>
      <c r="AL32" s="32">
        <v>1406</v>
      </c>
      <c r="AM32" s="32">
        <v>1389</v>
      </c>
      <c r="AN32" s="32">
        <v>1384</v>
      </c>
      <c r="AO32" s="32">
        <v>1426</v>
      </c>
      <c r="AP32" s="32">
        <v>1420</v>
      </c>
      <c r="AQ32" s="32">
        <v>1512</v>
      </c>
      <c r="AR32" s="32">
        <v>1490</v>
      </c>
      <c r="AS32" s="32">
        <v>1550</v>
      </c>
      <c r="AT32" s="32">
        <v>1487</v>
      </c>
      <c r="AU32" s="32">
        <v>1612</v>
      </c>
      <c r="AV32" s="32">
        <v>1513</v>
      </c>
      <c r="AW32" s="32">
        <v>1484</v>
      </c>
      <c r="AX32" s="32">
        <v>1460</v>
      </c>
      <c r="AY32" s="32">
        <v>1432</v>
      </c>
      <c r="AZ32" s="32">
        <v>1374</v>
      </c>
      <c r="BA32" s="32">
        <v>1334</v>
      </c>
      <c r="BB32" s="32">
        <v>1305</v>
      </c>
      <c r="BC32" s="32">
        <v>1437</v>
      </c>
      <c r="BD32" s="32">
        <v>1446</v>
      </c>
      <c r="BE32" s="32">
        <v>1455</v>
      </c>
      <c r="BF32" s="32">
        <v>1526</v>
      </c>
      <c r="BG32" s="32">
        <v>1500</v>
      </c>
      <c r="BH32" s="32">
        <v>1472</v>
      </c>
      <c r="BI32" s="32">
        <v>1443</v>
      </c>
      <c r="BJ32" s="32">
        <v>1407</v>
      </c>
      <c r="BK32" s="32">
        <v>1370</v>
      </c>
      <c r="BL32" s="33">
        <v>1339</v>
      </c>
      <c r="BM32" s="1">
        <v>1336</v>
      </c>
      <c r="BN32" s="1">
        <v>1327</v>
      </c>
      <c r="BO32" s="1">
        <v>1340</v>
      </c>
      <c r="BP32" s="1">
        <v>1317</v>
      </c>
    </row>
    <row r="33" spans="1:68" ht="15.9" customHeight="1">
      <c r="A33" s="68" t="s">
        <v>61</v>
      </c>
      <c r="B33" s="28" t="s">
        <v>62</v>
      </c>
      <c r="C33" s="42" t="str">
        <f>_xll.RssMarket("8601","高値")</f>
        <v/>
      </c>
      <c r="D33" s="41" t="e">
        <f t="shared" si="0"/>
        <v>#VALUE!</v>
      </c>
      <c r="E33" s="32">
        <v>1858.5</v>
      </c>
      <c r="F33" s="32">
        <v>1879</v>
      </c>
      <c r="G33" s="32">
        <v>1806.5</v>
      </c>
      <c r="H33" s="32">
        <v>1809.5</v>
      </c>
      <c r="I33" s="32">
        <v>1781</v>
      </c>
      <c r="J33" s="32">
        <v>1740</v>
      </c>
      <c r="K33" s="32">
        <v>1789.5</v>
      </c>
      <c r="L33" s="32">
        <v>1762.5</v>
      </c>
      <c r="M33" s="32">
        <v>1713.5</v>
      </c>
      <c r="N33" s="32">
        <v>1684</v>
      </c>
      <c r="O33" s="32">
        <v>1652.5</v>
      </c>
      <c r="P33" s="32">
        <v>1641</v>
      </c>
      <c r="Q33" s="32">
        <v>1618.5</v>
      </c>
      <c r="R33" s="32">
        <v>1611.5</v>
      </c>
      <c r="S33" s="32">
        <v>1620</v>
      </c>
      <c r="T33" s="32">
        <v>1604</v>
      </c>
      <c r="U33" s="32">
        <v>1612.5</v>
      </c>
      <c r="V33" s="32">
        <v>1630</v>
      </c>
      <c r="W33" s="32">
        <v>1631.5</v>
      </c>
      <c r="X33" s="32">
        <v>1626.5</v>
      </c>
      <c r="Y33" s="32">
        <v>1630</v>
      </c>
      <c r="Z33" s="32">
        <v>1625.5</v>
      </c>
      <c r="AA33" s="32">
        <v>1607</v>
      </c>
      <c r="AB33" s="32">
        <v>1626</v>
      </c>
      <c r="AC33" s="32">
        <v>1575</v>
      </c>
      <c r="AD33" s="32">
        <v>1548.5</v>
      </c>
      <c r="AE33" s="32">
        <v>1606</v>
      </c>
      <c r="AF33" s="32">
        <v>1554</v>
      </c>
      <c r="AG33" s="32">
        <v>1566.5</v>
      </c>
      <c r="AH33" s="32">
        <v>1560</v>
      </c>
      <c r="AI33" s="32">
        <v>1542.5</v>
      </c>
      <c r="AJ33" s="32">
        <v>1503.5</v>
      </c>
      <c r="AK33" s="32">
        <v>1501.5</v>
      </c>
      <c r="AL33" s="32">
        <v>1475</v>
      </c>
      <c r="AM33" s="32">
        <v>1481.5</v>
      </c>
      <c r="AN33" s="32">
        <v>1498.5</v>
      </c>
      <c r="AO33" s="32">
        <v>1511.5</v>
      </c>
      <c r="AP33" s="32">
        <v>1522.5</v>
      </c>
      <c r="AQ33" s="32">
        <v>1507</v>
      </c>
      <c r="AR33" s="32">
        <v>1509.5</v>
      </c>
      <c r="AS33" s="32">
        <v>1486.5</v>
      </c>
      <c r="AT33" s="32">
        <v>1502</v>
      </c>
      <c r="AU33" s="32">
        <v>1505</v>
      </c>
      <c r="AV33" s="32">
        <v>1498</v>
      </c>
      <c r="AW33" s="32">
        <v>1469.5</v>
      </c>
      <c r="AX33" s="32">
        <v>1489</v>
      </c>
      <c r="AY33" s="32">
        <v>1518.5</v>
      </c>
      <c r="AZ33" s="32">
        <v>1463</v>
      </c>
      <c r="BA33" s="32">
        <v>1467.5</v>
      </c>
      <c r="BB33" s="32">
        <v>1473.5</v>
      </c>
      <c r="BC33" s="32">
        <v>1526.5</v>
      </c>
      <c r="BD33" s="32">
        <v>1512.5</v>
      </c>
      <c r="BE33" s="32">
        <v>1514.5</v>
      </c>
      <c r="BF33" s="32">
        <v>1525</v>
      </c>
      <c r="BG33" s="32">
        <v>1536</v>
      </c>
      <c r="BH33" s="32">
        <v>1537</v>
      </c>
      <c r="BI33" s="32">
        <v>1553.5</v>
      </c>
      <c r="BJ33" s="32">
        <v>1599</v>
      </c>
      <c r="BK33" s="32">
        <v>1583.5</v>
      </c>
      <c r="BL33" s="33">
        <v>1572</v>
      </c>
      <c r="BM33" s="1">
        <v>1549.5</v>
      </c>
      <c r="BN33" s="1">
        <v>1556</v>
      </c>
      <c r="BO33" s="1">
        <v>1579</v>
      </c>
      <c r="BP33" s="1">
        <v>1585</v>
      </c>
    </row>
    <row r="34" spans="1:68" ht="15.9" customHeight="1">
      <c r="A34" s="68" t="s">
        <v>63</v>
      </c>
      <c r="B34" s="28" t="s">
        <v>64</v>
      </c>
      <c r="C34" s="42" t="str">
        <f>_xll.RssMarket("5233","高値")</f>
        <v/>
      </c>
      <c r="D34" s="41" t="e">
        <f t="shared" si="0"/>
        <v>#VALUE!</v>
      </c>
      <c r="E34" s="32">
        <v>3984</v>
      </c>
      <c r="F34" s="32">
        <v>3999</v>
      </c>
      <c r="G34" s="32">
        <v>3992</v>
      </c>
      <c r="H34" s="32">
        <v>3975</v>
      </c>
      <c r="I34" s="32">
        <v>3969</v>
      </c>
      <c r="J34" s="32">
        <v>4032</v>
      </c>
      <c r="K34" s="32">
        <v>4078</v>
      </c>
      <c r="L34" s="32">
        <v>4199</v>
      </c>
      <c r="M34" s="32">
        <v>4186</v>
      </c>
      <c r="N34" s="32">
        <v>4127</v>
      </c>
      <c r="O34" s="32">
        <v>4003</v>
      </c>
      <c r="P34" s="32">
        <v>3995</v>
      </c>
      <c r="Q34" s="32">
        <v>4045</v>
      </c>
      <c r="R34" s="32">
        <v>4094</v>
      </c>
      <c r="S34" s="32">
        <v>4130</v>
      </c>
      <c r="T34" s="32">
        <v>4153</v>
      </c>
      <c r="U34" s="32">
        <v>4130</v>
      </c>
      <c r="V34" s="32">
        <v>4206</v>
      </c>
      <c r="W34" s="32">
        <v>4285</v>
      </c>
      <c r="X34" s="32">
        <v>4418</v>
      </c>
      <c r="Y34" s="32">
        <v>4442</v>
      </c>
      <c r="Z34" s="32">
        <v>4447</v>
      </c>
      <c r="AA34" s="32">
        <v>4457</v>
      </c>
      <c r="AB34" s="32">
        <v>4455</v>
      </c>
      <c r="AC34" s="32">
        <v>4205</v>
      </c>
      <c r="AD34" s="32">
        <v>4108</v>
      </c>
      <c r="AE34" s="32">
        <v>4187</v>
      </c>
      <c r="AF34" s="32">
        <v>4304</v>
      </c>
      <c r="AG34" s="32">
        <v>4424</v>
      </c>
      <c r="AH34" s="32">
        <v>4448</v>
      </c>
      <c r="AI34" s="32">
        <v>4488</v>
      </c>
      <c r="AJ34" s="32">
        <v>4418</v>
      </c>
      <c r="AK34" s="32">
        <v>4657</v>
      </c>
      <c r="AL34" s="32">
        <v>4374</v>
      </c>
      <c r="AM34" s="32">
        <v>4274</v>
      </c>
      <c r="AN34" s="32">
        <v>4156</v>
      </c>
      <c r="AO34" s="32">
        <v>4180</v>
      </c>
      <c r="AP34" s="32">
        <v>4106</v>
      </c>
      <c r="AQ34" s="32">
        <v>3988</v>
      </c>
      <c r="AR34" s="32">
        <v>3942</v>
      </c>
      <c r="AS34" s="32">
        <v>3959</v>
      </c>
      <c r="AT34" s="32">
        <v>4167</v>
      </c>
      <c r="AU34" s="32">
        <v>4276</v>
      </c>
      <c r="AV34" s="32">
        <v>4217</v>
      </c>
      <c r="AW34" s="32">
        <v>3899</v>
      </c>
      <c r="AX34" s="32">
        <v>3651</v>
      </c>
      <c r="AY34" s="32">
        <v>3730</v>
      </c>
      <c r="AZ34" s="32">
        <v>3706</v>
      </c>
      <c r="BA34" s="32">
        <v>3596</v>
      </c>
      <c r="BB34" s="32">
        <v>3608</v>
      </c>
      <c r="BC34" s="32">
        <v>3666</v>
      </c>
      <c r="BD34" s="32">
        <v>3645</v>
      </c>
      <c r="BE34" s="32">
        <v>3586</v>
      </c>
      <c r="BF34" s="32">
        <v>3589</v>
      </c>
      <c r="BG34" s="32">
        <v>3684</v>
      </c>
      <c r="BH34" s="32">
        <v>3718</v>
      </c>
      <c r="BI34" s="32">
        <v>3737</v>
      </c>
      <c r="BJ34" s="32">
        <v>3710</v>
      </c>
      <c r="BK34" s="32">
        <v>3730</v>
      </c>
      <c r="BL34" s="33">
        <v>3729</v>
      </c>
      <c r="BM34" s="1">
        <v>3774</v>
      </c>
      <c r="BN34" s="1">
        <v>3756</v>
      </c>
      <c r="BO34" s="1">
        <v>3733</v>
      </c>
      <c r="BP34" s="1">
        <v>3782</v>
      </c>
    </row>
    <row r="35" spans="1:68" ht="15.9" customHeight="1">
      <c r="A35" s="68" t="s">
        <v>65</v>
      </c>
      <c r="B35" s="28" t="s">
        <v>66</v>
      </c>
      <c r="C35" s="42" t="str">
        <f>_xll.RssMarket("8308","高値")</f>
        <v/>
      </c>
      <c r="D35" s="41" t="e">
        <f t="shared" si="0"/>
        <v>#VALUE!</v>
      </c>
      <c r="E35" s="32">
        <v>2361</v>
      </c>
      <c r="F35" s="32">
        <v>2420.5</v>
      </c>
      <c r="G35" s="32">
        <v>2377.5</v>
      </c>
      <c r="H35" s="32">
        <v>2399.5</v>
      </c>
      <c r="I35" s="32">
        <v>2391.5</v>
      </c>
      <c r="J35" s="32">
        <v>2372.5</v>
      </c>
      <c r="K35" s="32">
        <v>2367.5</v>
      </c>
      <c r="L35" s="32">
        <v>2416.5</v>
      </c>
      <c r="M35" s="32">
        <v>2283</v>
      </c>
      <c r="N35" s="32">
        <v>2249</v>
      </c>
      <c r="O35" s="32">
        <v>2222.5</v>
      </c>
      <c r="P35" s="32">
        <v>2129.5</v>
      </c>
      <c r="Q35" s="32">
        <v>2143</v>
      </c>
      <c r="R35" s="32">
        <v>2127</v>
      </c>
      <c r="S35" s="32">
        <v>2146</v>
      </c>
      <c r="T35" s="32">
        <v>2156.5</v>
      </c>
      <c r="U35" s="32">
        <v>2179.5</v>
      </c>
      <c r="V35" s="32">
        <v>2261</v>
      </c>
      <c r="W35" s="32">
        <v>2238.5</v>
      </c>
      <c r="X35" s="32">
        <v>2270</v>
      </c>
      <c r="Y35" s="32">
        <v>2263.5</v>
      </c>
      <c r="Z35" s="32">
        <v>2232.5</v>
      </c>
      <c r="AA35" s="32">
        <v>2171</v>
      </c>
      <c r="AB35" s="32">
        <v>2277.5</v>
      </c>
      <c r="AC35" s="32">
        <v>2197</v>
      </c>
      <c r="AD35" s="32">
        <v>2144.5</v>
      </c>
      <c r="AE35" s="32">
        <v>2198.5</v>
      </c>
      <c r="AF35" s="32">
        <v>2099</v>
      </c>
      <c r="AG35" s="32">
        <v>2178</v>
      </c>
      <c r="AH35" s="32">
        <v>2143</v>
      </c>
      <c r="AI35" s="32">
        <v>2090.5</v>
      </c>
      <c r="AJ35" s="32">
        <v>2033.5</v>
      </c>
      <c r="AK35" s="32">
        <v>2092</v>
      </c>
      <c r="AL35" s="32">
        <v>2050</v>
      </c>
      <c r="AM35" s="32">
        <v>2065.5</v>
      </c>
      <c r="AN35" s="32">
        <v>2147.5</v>
      </c>
      <c r="AO35" s="32">
        <v>2154</v>
      </c>
      <c r="AP35" s="32">
        <v>2158.5</v>
      </c>
      <c r="AQ35" s="32">
        <v>2131</v>
      </c>
      <c r="AR35" s="32">
        <v>2086</v>
      </c>
      <c r="AS35" s="32">
        <v>2074</v>
      </c>
      <c r="AT35" s="32">
        <v>2105</v>
      </c>
      <c r="AU35" s="32">
        <v>2061</v>
      </c>
      <c r="AV35" s="32">
        <v>2077.5</v>
      </c>
      <c r="AW35" s="32">
        <v>2054</v>
      </c>
      <c r="AX35" s="32">
        <v>2008</v>
      </c>
      <c r="AY35" s="32">
        <v>1984.5</v>
      </c>
      <c r="AZ35" s="32">
        <v>2037</v>
      </c>
      <c r="BA35" s="32">
        <v>1958</v>
      </c>
      <c r="BB35" s="32">
        <v>1947.5</v>
      </c>
      <c r="BC35" s="32">
        <v>2006</v>
      </c>
      <c r="BD35" s="32">
        <v>1857</v>
      </c>
      <c r="BE35" s="32">
        <v>1854</v>
      </c>
      <c r="BF35" s="32">
        <v>1838</v>
      </c>
      <c r="BG35" s="32">
        <v>1907</v>
      </c>
      <c r="BH35" s="32">
        <v>1963</v>
      </c>
      <c r="BI35" s="32">
        <v>2009.5</v>
      </c>
      <c r="BJ35" s="32">
        <v>1966</v>
      </c>
      <c r="BK35" s="32">
        <v>1966</v>
      </c>
      <c r="BL35" s="33">
        <v>1947</v>
      </c>
      <c r="BM35" s="1">
        <v>1911.5</v>
      </c>
      <c r="BN35" s="1">
        <v>1909</v>
      </c>
      <c r="BO35" s="1">
        <v>1915.5</v>
      </c>
      <c r="BP35" s="1">
        <v>1938</v>
      </c>
    </row>
    <row r="36" spans="1:68" ht="15.9" customHeight="1">
      <c r="A36" s="68" t="s">
        <v>67</v>
      </c>
      <c r="B36" s="28" t="s">
        <v>68</v>
      </c>
      <c r="C36" s="42" t="str">
        <f>_xll.RssMarket("5938","高値")</f>
        <v/>
      </c>
      <c r="D36" s="41" t="e">
        <f t="shared" si="0"/>
        <v>#VALUE!</v>
      </c>
      <c r="E36" s="32">
        <v>1903</v>
      </c>
      <c r="F36" s="32">
        <v>1894</v>
      </c>
      <c r="G36" s="32">
        <v>1889</v>
      </c>
      <c r="H36" s="32">
        <v>1857</v>
      </c>
      <c r="I36" s="32">
        <v>1866</v>
      </c>
      <c r="J36" s="32">
        <v>1888</v>
      </c>
      <c r="K36" s="32">
        <v>1908.5</v>
      </c>
      <c r="L36" s="32">
        <v>1897</v>
      </c>
      <c r="M36" s="32">
        <v>1880</v>
      </c>
      <c r="N36" s="32">
        <v>1872.5</v>
      </c>
      <c r="O36" s="32">
        <v>1832</v>
      </c>
      <c r="P36" s="32">
        <v>1813</v>
      </c>
      <c r="Q36" s="32">
        <v>1815.5</v>
      </c>
      <c r="R36" s="32">
        <v>1797.5</v>
      </c>
      <c r="S36" s="32">
        <v>1774</v>
      </c>
      <c r="T36" s="32">
        <v>1773.5</v>
      </c>
      <c r="U36" s="32">
        <v>1718.5</v>
      </c>
      <c r="V36" s="32">
        <v>1746.5</v>
      </c>
      <c r="W36" s="32">
        <v>1721.5</v>
      </c>
      <c r="X36" s="32">
        <v>1743.5</v>
      </c>
      <c r="Y36" s="32">
        <v>1739.5</v>
      </c>
      <c r="Z36" s="32">
        <v>1746.5</v>
      </c>
      <c r="AA36" s="32">
        <v>1745</v>
      </c>
      <c r="AB36" s="32">
        <v>1732.5</v>
      </c>
      <c r="AC36" s="32">
        <v>1740</v>
      </c>
      <c r="AD36" s="32">
        <v>1724</v>
      </c>
      <c r="AE36" s="32">
        <v>1717</v>
      </c>
      <c r="AF36" s="32">
        <v>1715</v>
      </c>
      <c r="AG36" s="32">
        <v>1706.5</v>
      </c>
      <c r="AH36" s="32">
        <v>1688</v>
      </c>
      <c r="AI36" s="32">
        <v>1708</v>
      </c>
      <c r="AJ36" s="32">
        <v>1696</v>
      </c>
      <c r="AK36" s="32">
        <v>1681.5</v>
      </c>
      <c r="AL36" s="32">
        <v>1663.5</v>
      </c>
      <c r="AM36" s="32">
        <v>1649</v>
      </c>
      <c r="AN36" s="32">
        <v>1651</v>
      </c>
      <c r="AO36" s="32">
        <v>1650</v>
      </c>
      <c r="AP36" s="32">
        <v>1661.5</v>
      </c>
      <c r="AQ36" s="32">
        <v>1682</v>
      </c>
      <c r="AR36" s="32">
        <v>1673.5</v>
      </c>
      <c r="AS36" s="32">
        <v>1670</v>
      </c>
      <c r="AT36" s="32">
        <v>1688</v>
      </c>
      <c r="AU36" s="32">
        <v>1694</v>
      </c>
      <c r="AV36" s="32">
        <v>1703</v>
      </c>
      <c r="AW36" s="32">
        <v>1701.5</v>
      </c>
      <c r="AX36" s="32">
        <v>1689.5</v>
      </c>
      <c r="AY36" s="32">
        <v>1670</v>
      </c>
      <c r="AZ36" s="32">
        <v>1627.5</v>
      </c>
      <c r="BA36" s="32">
        <v>1628</v>
      </c>
      <c r="BB36" s="32">
        <v>1610.5</v>
      </c>
      <c r="BC36" s="32">
        <v>1626</v>
      </c>
      <c r="BD36" s="32">
        <v>1623.5</v>
      </c>
      <c r="BE36" s="32">
        <v>1636</v>
      </c>
      <c r="BF36" s="32">
        <v>1654.5</v>
      </c>
      <c r="BG36" s="32">
        <v>1644.5</v>
      </c>
      <c r="BH36" s="32">
        <v>1627.5</v>
      </c>
      <c r="BI36" s="32">
        <v>1645.5</v>
      </c>
      <c r="BJ36" s="32">
        <v>1623.5</v>
      </c>
      <c r="BK36" s="32">
        <v>1619.5</v>
      </c>
      <c r="BL36" s="33">
        <v>1663.5</v>
      </c>
      <c r="BM36" s="1">
        <v>1672.5</v>
      </c>
      <c r="BN36" s="1">
        <v>1686.5</v>
      </c>
      <c r="BO36" s="1">
        <v>1676.5</v>
      </c>
      <c r="BP36" s="1">
        <v>1655</v>
      </c>
    </row>
    <row r="37" spans="1:68" ht="15.9" customHeight="1">
      <c r="A37" s="68" t="s">
        <v>69</v>
      </c>
      <c r="B37" s="28" t="s">
        <v>70</v>
      </c>
      <c r="C37" s="42" t="str">
        <f>_xll.RssMarket("8570","高値")</f>
        <v/>
      </c>
      <c r="D37" s="41" t="e">
        <f t="shared" si="0"/>
        <v>#VALUE!</v>
      </c>
      <c r="E37" s="32">
        <v>1539</v>
      </c>
      <c r="F37" s="32">
        <v>1580.5</v>
      </c>
      <c r="G37" s="32">
        <v>1559.5</v>
      </c>
      <c r="H37" s="32">
        <v>1566.5</v>
      </c>
      <c r="I37" s="32">
        <v>1560</v>
      </c>
      <c r="J37" s="32">
        <v>1539</v>
      </c>
      <c r="K37" s="32">
        <v>1540</v>
      </c>
      <c r="L37" s="32">
        <v>1537</v>
      </c>
      <c r="M37" s="32">
        <v>1524.5</v>
      </c>
      <c r="N37" s="32">
        <v>1514.5</v>
      </c>
      <c r="O37" s="32">
        <v>1505</v>
      </c>
      <c r="P37" s="32">
        <v>1472.5</v>
      </c>
      <c r="Q37" s="32">
        <v>1478</v>
      </c>
      <c r="R37" s="32">
        <v>1480.5</v>
      </c>
      <c r="S37" s="32">
        <v>1471.5</v>
      </c>
      <c r="T37" s="32">
        <v>1465.5</v>
      </c>
      <c r="U37" s="32">
        <v>1461</v>
      </c>
      <c r="V37" s="32">
        <v>1468</v>
      </c>
      <c r="W37" s="32">
        <v>1469</v>
      </c>
      <c r="X37" s="32">
        <v>1495</v>
      </c>
      <c r="Y37" s="32">
        <v>1507</v>
      </c>
      <c r="Z37" s="32">
        <v>1519</v>
      </c>
      <c r="AA37" s="32">
        <v>1511</v>
      </c>
      <c r="AB37" s="32">
        <v>1531.5</v>
      </c>
      <c r="AC37" s="32">
        <v>1518.5</v>
      </c>
      <c r="AD37" s="32">
        <v>1510</v>
      </c>
      <c r="AE37" s="32">
        <v>1514.5</v>
      </c>
      <c r="AF37" s="32">
        <v>1478</v>
      </c>
      <c r="AG37" s="32">
        <v>1474.5</v>
      </c>
      <c r="AH37" s="32">
        <v>1467.5</v>
      </c>
      <c r="AI37" s="32">
        <v>1460</v>
      </c>
      <c r="AJ37" s="32">
        <v>1539.5</v>
      </c>
      <c r="AK37" s="32">
        <v>1545</v>
      </c>
      <c r="AL37" s="32">
        <v>1551.5</v>
      </c>
      <c r="AM37" s="32">
        <v>1562.5</v>
      </c>
      <c r="AN37" s="32">
        <v>1594.5</v>
      </c>
      <c r="AO37" s="32">
        <v>1619</v>
      </c>
      <c r="AP37" s="32">
        <v>1590</v>
      </c>
      <c r="AQ37" s="32">
        <v>1595</v>
      </c>
      <c r="AR37" s="32">
        <v>1595.5</v>
      </c>
      <c r="AS37" s="32">
        <v>1569</v>
      </c>
      <c r="AT37" s="32">
        <v>1566.5</v>
      </c>
      <c r="AU37" s="32">
        <v>1567.5</v>
      </c>
      <c r="AV37" s="32">
        <v>1565</v>
      </c>
      <c r="AW37" s="32">
        <v>1535.5</v>
      </c>
      <c r="AX37" s="32">
        <v>1540</v>
      </c>
      <c r="AY37" s="32">
        <v>1575</v>
      </c>
      <c r="AZ37" s="32">
        <v>1561.5</v>
      </c>
      <c r="BA37" s="32">
        <v>1561.5</v>
      </c>
      <c r="BB37" s="32">
        <v>1561.5</v>
      </c>
      <c r="BC37" s="32">
        <v>1549.5</v>
      </c>
      <c r="BD37" s="32">
        <v>1565</v>
      </c>
      <c r="BE37" s="32">
        <v>1562.5</v>
      </c>
      <c r="BF37" s="32">
        <v>1560.5</v>
      </c>
      <c r="BG37" s="32">
        <v>1571</v>
      </c>
      <c r="BH37" s="32">
        <v>1573</v>
      </c>
      <c r="BI37" s="32">
        <v>1609.5</v>
      </c>
      <c r="BJ37" s="32">
        <v>1650</v>
      </c>
      <c r="BK37" s="32">
        <v>1631</v>
      </c>
      <c r="BL37" s="33">
        <v>1625</v>
      </c>
      <c r="BM37" s="1">
        <v>1596.5</v>
      </c>
      <c r="BN37" s="1">
        <v>1558</v>
      </c>
      <c r="BO37" s="1">
        <v>1545</v>
      </c>
      <c r="BP37" s="1">
        <v>1678.5</v>
      </c>
    </row>
    <row r="38" spans="1:68" ht="15.9" customHeight="1">
      <c r="A38" s="68" t="s">
        <v>71</v>
      </c>
      <c r="B38" s="28" t="s">
        <v>72</v>
      </c>
      <c r="C38" s="42" t="str">
        <f>_xll.RssMarket("5406","高値")</f>
        <v/>
      </c>
      <c r="D38" s="41" t="e">
        <f t="shared" ref="D38:D69" si="1">C38-E38</f>
        <v>#VALUE!</v>
      </c>
      <c r="E38" s="32">
        <v>1954.5</v>
      </c>
      <c r="F38" s="32">
        <v>1938.5</v>
      </c>
      <c r="G38" s="32">
        <v>1929.5</v>
      </c>
      <c r="H38" s="32">
        <v>1886.5</v>
      </c>
      <c r="I38" s="32">
        <v>1883.5</v>
      </c>
      <c r="J38" s="32">
        <v>1888.5</v>
      </c>
      <c r="K38" s="32">
        <v>1904</v>
      </c>
      <c r="L38" s="32">
        <v>1946</v>
      </c>
      <c r="M38" s="32">
        <v>1947</v>
      </c>
      <c r="N38" s="32">
        <v>1914.5</v>
      </c>
      <c r="O38" s="32">
        <v>1882.5</v>
      </c>
      <c r="P38" s="32">
        <v>1874</v>
      </c>
      <c r="Q38" s="32">
        <v>1883</v>
      </c>
      <c r="R38" s="32">
        <v>1882.5</v>
      </c>
      <c r="S38" s="32">
        <v>1911</v>
      </c>
      <c r="T38" s="32">
        <v>1910.5</v>
      </c>
      <c r="U38" s="32">
        <v>1968.5</v>
      </c>
      <c r="V38" s="32">
        <v>1970.5</v>
      </c>
      <c r="W38" s="32">
        <v>2002.5</v>
      </c>
      <c r="X38" s="32">
        <v>2004.5</v>
      </c>
      <c r="Y38" s="32">
        <v>1995</v>
      </c>
      <c r="Z38" s="32">
        <v>2003</v>
      </c>
      <c r="AA38" s="32">
        <v>2001</v>
      </c>
      <c r="AB38" s="32">
        <v>1966.5</v>
      </c>
      <c r="AC38" s="32">
        <v>1901</v>
      </c>
      <c r="AD38" s="32">
        <v>1923</v>
      </c>
      <c r="AE38" s="32">
        <v>1932</v>
      </c>
      <c r="AF38" s="32">
        <v>1963</v>
      </c>
      <c r="AG38" s="32">
        <v>1971.5</v>
      </c>
      <c r="AH38" s="32">
        <v>1987</v>
      </c>
      <c r="AI38" s="32">
        <v>1959.5</v>
      </c>
      <c r="AJ38" s="32">
        <v>2002.5</v>
      </c>
      <c r="AK38" s="32">
        <v>1987.5</v>
      </c>
      <c r="AL38" s="32">
        <v>2018.5</v>
      </c>
      <c r="AM38" s="32">
        <v>1969</v>
      </c>
      <c r="AN38" s="32">
        <v>1966.5</v>
      </c>
      <c r="AO38" s="32">
        <v>1936</v>
      </c>
      <c r="AP38" s="32">
        <v>1917.5</v>
      </c>
      <c r="AQ38" s="32">
        <v>1929</v>
      </c>
      <c r="AR38" s="32">
        <v>1955.5</v>
      </c>
      <c r="AS38" s="32">
        <v>1979</v>
      </c>
      <c r="AT38" s="32">
        <v>1985.5</v>
      </c>
      <c r="AU38" s="32">
        <v>1996.5</v>
      </c>
      <c r="AV38" s="32">
        <v>2024</v>
      </c>
      <c r="AW38" s="32">
        <v>2052</v>
      </c>
      <c r="AX38" s="32">
        <v>1967</v>
      </c>
      <c r="AY38" s="32">
        <v>2008</v>
      </c>
      <c r="AZ38" s="32">
        <v>1950</v>
      </c>
      <c r="BA38" s="32">
        <v>1934</v>
      </c>
      <c r="BB38" s="32">
        <v>1898.5</v>
      </c>
      <c r="BC38" s="32">
        <v>1874.5</v>
      </c>
      <c r="BD38" s="32">
        <v>1858</v>
      </c>
      <c r="BE38" s="32">
        <v>1870</v>
      </c>
      <c r="BF38" s="32">
        <v>1901.5</v>
      </c>
      <c r="BG38" s="32">
        <v>1939</v>
      </c>
      <c r="BH38" s="32">
        <v>1946.5</v>
      </c>
      <c r="BI38" s="32">
        <v>1943</v>
      </c>
      <c r="BJ38" s="32">
        <v>1954.5</v>
      </c>
      <c r="BK38" s="32">
        <v>1955</v>
      </c>
      <c r="BL38" s="33">
        <v>1969</v>
      </c>
      <c r="BM38" s="1">
        <v>1953</v>
      </c>
      <c r="BN38" s="1">
        <v>1981</v>
      </c>
      <c r="BO38" s="1">
        <v>1981</v>
      </c>
      <c r="BP38" s="1">
        <v>1992</v>
      </c>
    </row>
    <row r="39" spans="1:68" ht="15.9" customHeight="1">
      <c r="A39" s="68" t="s">
        <v>73</v>
      </c>
      <c r="B39" s="28" t="s">
        <v>74</v>
      </c>
      <c r="C39" s="42" t="str">
        <f>_xll.RssMarket("8593","高値")</f>
        <v/>
      </c>
      <c r="D39" s="41" t="e">
        <f t="shared" si="1"/>
        <v>#VALUE!</v>
      </c>
      <c r="E39" s="32">
        <v>1416</v>
      </c>
      <c r="F39" s="32">
        <v>1418.5</v>
      </c>
      <c r="G39" s="32">
        <v>1401</v>
      </c>
      <c r="H39" s="32">
        <v>1381.5</v>
      </c>
      <c r="I39" s="32">
        <v>1379</v>
      </c>
      <c r="J39" s="32">
        <v>1378</v>
      </c>
      <c r="K39" s="32">
        <v>1392.5</v>
      </c>
      <c r="L39" s="32">
        <v>1388.5</v>
      </c>
      <c r="M39" s="32">
        <v>1372.5</v>
      </c>
      <c r="N39" s="32">
        <v>1362</v>
      </c>
      <c r="O39" s="32">
        <v>1332.5</v>
      </c>
      <c r="P39" s="32">
        <v>1318</v>
      </c>
      <c r="Q39" s="32">
        <v>1330.5</v>
      </c>
      <c r="R39" s="32">
        <v>1324.5</v>
      </c>
      <c r="S39" s="32">
        <v>1311</v>
      </c>
      <c r="T39" s="32">
        <v>1306</v>
      </c>
      <c r="U39" s="32">
        <v>1301.5</v>
      </c>
      <c r="V39" s="32">
        <v>1305.5</v>
      </c>
      <c r="W39" s="32">
        <v>1312</v>
      </c>
      <c r="X39" s="32">
        <v>1317</v>
      </c>
      <c r="Y39" s="32">
        <v>1324</v>
      </c>
      <c r="Z39" s="32">
        <v>1338</v>
      </c>
      <c r="AA39" s="32">
        <v>1332.5</v>
      </c>
      <c r="AB39" s="32">
        <v>1347.5</v>
      </c>
      <c r="AC39" s="32">
        <v>1324</v>
      </c>
      <c r="AD39" s="32">
        <v>1326.5</v>
      </c>
      <c r="AE39" s="32">
        <v>1335</v>
      </c>
      <c r="AF39" s="32">
        <v>1298.5</v>
      </c>
      <c r="AG39" s="32">
        <v>1289.5</v>
      </c>
      <c r="AH39" s="32">
        <v>1271.5</v>
      </c>
      <c r="AI39" s="32">
        <v>1271</v>
      </c>
      <c r="AJ39" s="32">
        <v>1270</v>
      </c>
      <c r="AK39" s="32">
        <v>1328</v>
      </c>
      <c r="AL39" s="32">
        <v>1314.5</v>
      </c>
      <c r="AM39" s="32">
        <v>1341</v>
      </c>
      <c r="AN39" s="32">
        <v>1328.5</v>
      </c>
      <c r="AO39" s="32">
        <v>1331</v>
      </c>
      <c r="AP39" s="32">
        <v>1363.5</v>
      </c>
      <c r="AQ39" s="32">
        <v>1354.5</v>
      </c>
      <c r="AR39" s="32">
        <v>1357.5</v>
      </c>
      <c r="AS39" s="32">
        <v>1383.5</v>
      </c>
      <c r="AT39" s="32">
        <v>1436.5</v>
      </c>
      <c r="AU39" s="32">
        <v>1435</v>
      </c>
      <c r="AV39" s="32">
        <v>1446.5</v>
      </c>
      <c r="AW39" s="32">
        <v>1445</v>
      </c>
      <c r="AX39" s="32">
        <v>1414.5</v>
      </c>
      <c r="AY39" s="32">
        <v>1412</v>
      </c>
      <c r="AZ39" s="32">
        <v>1420</v>
      </c>
      <c r="BA39" s="32">
        <v>1411</v>
      </c>
      <c r="BB39" s="32">
        <v>1435</v>
      </c>
      <c r="BC39" s="32">
        <v>1443</v>
      </c>
      <c r="BD39" s="32">
        <v>1421</v>
      </c>
      <c r="BE39" s="32">
        <v>1419</v>
      </c>
      <c r="BF39" s="32">
        <v>1414.5</v>
      </c>
      <c r="BG39" s="32">
        <v>1438</v>
      </c>
      <c r="BH39" s="32">
        <v>1461</v>
      </c>
      <c r="BI39" s="32">
        <v>1474.5</v>
      </c>
      <c r="BJ39" s="32">
        <v>1473.5</v>
      </c>
      <c r="BK39" s="32">
        <v>1478</v>
      </c>
      <c r="BL39" s="33">
        <v>1473.5</v>
      </c>
      <c r="BM39" s="1">
        <v>1477</v>
      </c>
      <c r="BN39" s="1">
        <v>1480.5</v>
      </c>
      <c r="BO39" s="1">
        <v>1488.5</v>
      </c>
      <c r="BP39" s="1">
        <v>1516.5</v>
      </c>
    </row>
    <row r="40" spans="1:68" ht="15.9" customHeight="1">
      <c r="A40" s="68" t="s">
        <v>75</v>
      </c>
      <c r="B40" s="28" t="s">
        <v>76</v>
      </c>
      <c r="C40" s="42" t="str">
        <f>_xll.RssMarket("8604","高値")</f>
        <v/>
      </c>
      <c r="D40" s="41" t="e">
        <f t="shared" si="1"/>
        <v>#VALUE!</v>
      </c>
      <c r="E40" s="32">
        <v>1587</v>
      </c>
      <c r="F40" s="32">
        <v>1631.5</v>
      </c>
      <c r="G40" s="32">
        <v>1563</v>
      </c>
      <c r="H40" s="32">
        <v>1577</v>
      </c>
      <c r="I40" s="32">
        <v>1554</v>
      </c>
      <c r="J40" s="32">
        <v>1528</v>
      </c>
      <c r="K40" s="32">
        <v>1554</v>
      </c>
      <c r="L40" s="32">
        <v>1546.5</v>
      </c>
      <c r="M40" s="32">
        <v>1491</v>
      </c>
      <c r="N40" s="32">
        <v>1474.5</v>
      </c>
      <c r="O40" s="32">
        <v>1458</v>
      </c>
      <c r="P40" s="32">
        <v>1465.5</v>
      </c>
      <c r="Q40" s="32">
        <v>1428.5</v>
      </c>
      <c r="R40" s="32">
        <v>1432</v>
      </c>
      <c r="S40" s="32">
        <v>1464.5</v>
      </c>
      <c r="T40" s="32">
        <v>1422.5</v>
      </c>
      <c r="U40" s="32">
        <v>1429.5</v>
      </c>
      <c r="V40" s="32">
        <v>1439</v>
      </c>
      <c r="W40" s="32">
        <v>1436.5</v>
      </c>
      <c r="X40" s="32">
        <v>1443</v>
      </c>
      <c r="Y40" s="32">
        <v>1439.5</v>
      </c>
      <c r="Z40" s="32">
        <v>1478</v>
      </c>
      <c r="AA40" s="32">
        <v>1416.5</v>
      </c>
      <c r="AB40" s="32">
        <v>1425</v>
      </c>
      <c r="AC40" s="32">
        <v>1376</v>
      </c>
      <c r="AD40" s="32">
        <v>1365</v>
      </c>
      <c r="AE40" s="32">
        <v>1419</v>
      </c>
      <c r="AF40" s="32">
        <v>1359.5</v>
      </c>
      <c r="AG40" s="32">
        <v>1386.5</v>
      </c>
      <c r="AH40" s="32">
        <v>1359.5</v>
      </c>
      <c r="AI40" s="32">
        <v>1354.5</v>
      </c>
      <c r="AJ40" s="32">
        <v>1324</v>
      </c>
      <c r="AK40" s="32">
        <v>1307.5</v>
      </c>
      <c r="AL40" s="32">
        <v>1256</v>
      </c>
      <c r="AM40" s="32">
        <v>1263.5</v>
      </c>
      <c r="AN40" s="32">
        <v>1295</v>
      </c>
      <c r="AO40" s="32">
        <v>1312</v>
      </c>
      <c r="AP40" s="32">
        <v>1298.5</v>
      </c>
      <c r="AQ40" s="32">
        <v>1278</v>
      </c>
      <c r="AR40" s="32">
        <v>1282</v>
      </c>
      <c r="AS40" s="32">
        <v>1273</v>
      </c>
      <c r="AT40" s="32">
        <v>1287.5</v>
      </c>
      <c r="AU40" s="32">
        <v>1275</v>
      </c>
      <c r="AV40" s="32">
        <v>1239</v>
      </c>
      <c r="AW40" s="32">
        <v>1233</v>
      </c>
      <c r="AX40" s="32">
        <v>1246</v>
      </c>
      <c r="AY40" s="32">
        <v>1265.5</v>
      </c>
      <c r="AZ40" s="32">
        <v>1251</v>
      </c>
      <c r="BA40" s="32">
        <v>1260</v>
      </c>
      <c r="BB40" s="32">
        <v>1275</v>
      </c>
      <c r="BC40" s="32">
        <v>1251.5</v>
      </c>
      <c r="BD40" s="32">
        <v>1330.5</v>
      </c>
      <c r="BE40" s="32">
        <v>1347.5</v>
      </c>
      <c r="BF40" s="32">
        <v>1348.5</v>
      </c>
      <c r="BG40" s="32">
        <v>1352</v>
      </c>
      <c r="BH40" s="32">
        <v>1349</v>
      </c>
      <c r="BI40" s="32">
        <v>1365</v>
      </c>
      <c r="BJ40" s="32">
        <v>1436.5</v>
      </c>
      <c r="BK40" s="32">
        <v>1372.5</v>
      </c>
      <c r="BL40" s="33">
        <v>1332.5</v>
      </c>
      <c r="BM40" s="1">
        <v>1314</v>
      </c>
      <c r="BN40" s="1">
        <v>1323</v>
      </c>
      <c r="BO40" s="1">
        <v>1337</v>
      </c>
      <c r="BP40" s="1">
        <v>1338.5</v>
      </c>
    </row>
    <row r="41" spans="1:68" ht="15.9" customHeight="1">
      <c r="A41" s="68" t="s">
        <v>77</v>
      </c>
      <c r="B41" s="28" t="s">
        <v>78</v>
      </c>
      <c r="C41" s="42" t="str">
        <f>_xll.RssMarket("3861","高値")</f>
        <v/>
      </c>
      <c r="D41" s="41" t="e">
        <f t="shared" si="1"/>
        <v>#VALUE!</v>
      </c>
      <c r="E41" s="32">
        <v>850.9</v>
      </c>
      <c r="F41" s="32">
        <v>831.5</v>
      </c>
      <c r="G41" s="32">
        <v>828</v>
      </c>
      <c r="H41" s="32">
        <v>826</v>
      </c>
      <c r="I41" s="32">
        <v>824.9</v>
      </c>
      <c r="J41" s="32">
        <v>828</v>
      </c>
      <c r="K41" s="32">
        <v>834.3</v>
      </c>
      <c r="L41" s="32">
        <v>831.8</v>
      </c>
      <c r="M41" s="32">
        <v>832.8</v>
      </c>
      <c r="N41" s="32">
        <v>835</v>
      </c>
      <c r="O41" s="32">
        <v>816</v>
      </c>
      <c r="P41" s="32">
        <v>799.2</v>
      </c>
      <c r="Q41" s="32">
        <v>808</v>
      </c>
      <c r="R41" s="32">
        <v>805.3</v>
      </c>
      <c r="S41" s="32">
        <v>790.3</v>
      </c>
      <c r="T41" s="32">
        <v>790.9</v>
      </c>
      <c r="U41" s="32">
        <v>783</v>
      </c>
      <c r="V41" s="32">
        <v>800</v>
      </c>
      <c r="W41" s="32">
        <v>804</v>
      </c>
      <c r="X41" s="32">
        <v>805</v>
      </c>
      <c r="Y41" s="32">
        <v>803.9</v>
      </c>
      <c r="Z41" s="32">
        <v>805.9</v>
      </c>
      <c r="AA41" s="32">
        <v>800</v>
      </c>
      <c r="AB41" s="32">
        <v>812.3</v>
      </c>
      <c r="AC41" s="32">
        <v>794.4</v>
      </c>
      <c r="AD41" s="32">
        <v>787.7</v>
      </c>
      <c r="AE41" s="32">
        <v>792</v>
      </c>
      <c r="AF41" s="32">
        <v>785.8</v>
      </c>
      <c r="AG41" s="32">
        <v>787.9</v>
      </c>
      <c r="AH41" s="32">
        <v>784</v>
      </c>
      <c r="AI41" s="32">
        <v>783.9</v>
      </c>
      <c r="AJ41" s="32">
        <v>771</v>
      </c>
      <c r="AK41" s="32">
        <v>789.9</v>
      </c>
      <c r="AL41" s="32">
        <v>797.7</v>
      </c>
      <c r="AM41" s="32">
        <v>786.3</v>
      </c>
      <c r="AN41" s="32">
        <v>783.6</v>
      </c>
      <c r="AO41" s="32">
        <v>796</v>
      </c>
      <c r="AP41" s="32">
        <v>821</v>
      </c>
      <c r="AQ41" s="32">
        <v>820</v>
      </c>
      <c r="AR41" s="32">
        <v>829.6</v>
      </c>
      <c r="AS41" s="32">
        <v>853.7</v>
      </c>
      <c r="AT41" s="32">
        <v>858</v>
      </c>
      <c r="AU41" s="32">
        <v>849.5</v>
      </c>
      <c r="AV41" s="32">
        <v>844.6</v>
      </c>
      <c r="AW41" s="32">
        <v>835</v>
      </c>
      <c r="AX41" s="32">
        <v>831.8</v>
      </c>
      <c r="AY41" s="32">
        <v>844</v>
      </c>
      <c r="AZ41" s="32">
        <v>839.2</v>
      </c>
      <c r="BA41" s="32">
        <v>829.3</v>
      </c>
      <c r="BB41" s="32">
        <v>825.9</v>
      </c>
      <c r="BC41" s="32">
        <v>825.8</v>
      </c>
      <c r="BD41" s="32">
        <v>826.5</v>
      </c>
      <c r="BE41" s="32">
        <v>826.8</v>
      </c>
      <c r="BF41" s="32">
        <v>826.8</v>
      </c>
      <c r="BG41" s="32">
        <v>843.3</v>
      </c>
      <c r="BH41" s="32">
        <v>845</v>
      </c>
      <c r="BI41" s="32">
        <v>852.1</v>
      </c>
      <c r="BJ41" s="32">
        <v>852.7</v>
      </c>
      <c r="BK41" s="32">
        <v>855.5</v>
      </c>
      <c r="BL41" s="33">
        <v>854.3</v>
      </c>
      <c r="BM41" s="1">
        <v>857.4</v>
      </c>
      <c r="BN41" s="1">
        <v>856</v>
      </c>
      <c r="BO41" s="1">
        <v>854.3</v>
      </c>
      <c r="BP41" s="1">
        <v>869.8</v>
      </c>
    </row>
    <row r="42" spans="1:68" ht="15.9" customHeight="1">
      <c r="A42" s="68" t="s">
        <v>79</v>
      </c>
      <c r="B42" s="28" t="s">
        <v>80</v>
      </c>
      <c r="C42" s="42" t="str">
        <f>_xll.RssMarket("5947","高値")</f>
        <v/>
      </c>
      <c r="D42" s="41" t="e">
        <f t="shared" si="1"/>
        <v>#VALUE!</v>
      </c>
      <c r="E42" s="32">
        <v>3662</v>
      </c>
      <c r="F42" s="32">
        <v>3638</v>
      </c>
      <c r="G42" s="32">
        <v>3640</v>
      </c>
      <c r="H42" s="32">
        <v>3600</v>
      </c>
      <c r="I42" s="32">
        <v>3596</v>
      </c>
      <c r="J42" s="32">
        <v>3624</v>
      </c>
      <c r="K42" s="32">
        <v>3673</v>
      </c>
      <c r="L42" s="32">
        <v>3694</v>
      </c>
      <c r="M42" s="32">
        <v>3632</v>
      </c>
      <c r="N42" s="32">
        <v>3629</v>
      </c>
      <c r="O42" s="32">
        <v>3606</v>
      </c>
      <c r="P42" s="32">
        <v>3584</v>
      </c>
      <c r="Q42" s="32">
        <v>3616</v>
      </c>
      <c r="R42" s="32">
        <v>3624</v>
      </c>
      <c r="S42" s="32">
        <v>3588</v>
      </c>
      <c r="T42" s="32">
        <v>3592</v>
      </c>
      <c r="U42" s="32">
        <v>3520</v>
      </c>
      <c r="V42" s="32">
        <v>3515</v>
      </c>
      <c r="W42" s="32">
        <v>3500</v>
      </c>
      <c r="X42" s="32">
        <v>3468</v>
      </c>
      <c r="Y42" s="32">
        <v>3465</v>
      </c>
      <c r="Z42" s="32">
        <v>3441</v>
      </c>
      <c r="AA42" s="32">
        <v>3527</v>
      </c>
      <c r="AB42" s="32">
        <v>3560</v>
      </c>
      <c r="AC42" s="32">
        <v>3542</v>
      </c>
      <c r="AD42" s="32">
        <v>3598</v>
      </c>
      <c r="AE42" s="32">
        <v>3523</v>
      </c>
      <c r="AF42" s="32">
        <v>3512</v>
      </c>
      <c r="AG42" s="32">
        <v>3432</v>
      </c>
      <c r="AH42" s="32">
        <v>3392</v>
      </c>
      <c r="AI42" s="32">
        <v>3344</v>
      </c>
      <c r="AJ42" s="32">
        <v>3433</v>
      </c>
      <c r="AK42" s="32">
        <v>3462</v>
      </c>
      <c r="AL42" s="32">
        <v>3470</v>
      </c>
      <c r="AM42" s="32">
        <v>3502</v>
      </c>
      <c r="AN42" s="32">
        <v>3558</v>
      </c>
      <c r="AO42" s="32">
        <v>3609</v>
      </c>
      <c r="AP42" s="32">
        <v>3569</v>
      </c>
      <c r="AQ42" s="32">
        <v>3596</v>
      </c>
      <c r="AR42" s="32">
        <v>3492</v>
      </c>
      <c r="AS42" s="32">
        <v>3462</v>
      </c>
      <c r="AT42" s="32">
        <v>3404</v>
      </c>
      <c r="AU42" s="32">
        <v>3461</v>
      </c>
      <c r="AV42" s="32">
        <v>3761</v>
      </c>
      <c r="AW42" s="32">
        <v>3603</v>
      </c>
      <c r="AX42" s="32">
        <v>3700</v>
      </c>
      <c r="AY42" s="32">
        <v>3750</v>
      </c>
      <c r="AZ42" s="32">
        <v>3615</v>
      </c>
      <c r="BA42" s="32">
        <v>3562</v>
      </c>
      <c r="BB42" s="32">
        <v>3606</v>
      </c>
      <c r="BC42" s="32">
        <v>3549</v>
      </c>
      <c r="BD42" s="32">
        <v>3526</v>
      </c>
      <c r="BE42" s="32">
        <v>3518</v>
      </c>
      <c r="BF42" s="32">
        <v>3527</v>
      </c>
      <c r="BG42" s="32">
        <v>3534</v>
      </c>
      <c r="BH42" s="32">
        <v>3572</v>
      </c>
      <c r="BI42" s="32">
        <v>3555</v>
      </c>
      <c r="BJ42" s="32">
        <v>3606</v>
      </c>
      <c r="BK42" s="32">
        <v>3605</v>
      </c>
      <c r="BL42" s="33">
        <v>3680</v>
      </c>
      <c r="BM42" s="1">
        <v>3748</v>
      </c>
      <c r="BN42" s="1">
        <v>3768</v>
      </c>
      <c r="BO42" s="1">
        <v>3774</v>
      </c>
      <c r="BP42" s="1">
        <v>3761</v>
      </c>
    </row>
    <row r="43" spans="1:68" ht="15.9" customHeight="1">
      <c r="A43" s="68" t="s">
        <v>81</v>
      </c>
      <c r="B43" s="28" t="s">
        <v>82</v>
      </c>
      <c r="C43" s="42" t="str">
        <f>_xll.RssMarket("8750","高値")</f>
        <v/>
      </c>
      <c r="D43" s="41" t="e">
        <f t="shared" si="1"/>
        <v>#VALUE!</v>
      </c>
      <c r="E43" s="32">
        <v>1848</v>
      </c>
      <c r="F43" s="32">
        <v>1917</v>
      </c>
      <c r="G43" s="32">
        <v>1856</v>
      </c>
      <c r="H43" s="32">
        <v>1860.5</v>
      </c>
      <c r="I43" s="32">
        <v>1901.5</v>
      </c>
      <c r="J43" s="32">
        <v>1877</v>
      </c>
      <c r="K43" s="32">
        <v>1878</v>
      </c>
      <c r="L43" s="32">
        <v>1903</v>
      </c>
      <c r="M43" s="32">
        <v>1882</v>
      </c>
      <c r="N43" s="32">
        <v>1864.5</v>
      </c>
      <c r="O43" s="32">
        <v>1840.5</v>
      </c>
      <c r="P43" s="32">
        <v>1813</v>
      </c>
      <c r="Q43" s="32">
        <v>1792.5</v>
      </c>
      <c r="R43" s="32">
        <v>1761</v>
      </c>
      <c r="S43" s="32">
        <v>1737.5</v>
      </c>
      <c r="T43" s="32">
        <v>1750</v>
      </c>
      <c r="U43" s="32">
        <v>1812</v>
      </c>
      <c r="V43" s="32">
        <v>1860</v>
      </c>
      <c r="W43" s="32">
        <v>1841.5</v>
      </c>
      <c r="X43" s="32">
        <v>1843</v>
      </c>
      <c r="Y43" s="32">
        <v>1823</v>
      </c>
      <c r="Z43" s="32">
        <v>1834</v>
      </c>
      <c r="AA43" s="32">
        <v>1789.5</v>
      </c>
      <c r="AB43" s="32">
        <v>1816</v>
      </c>
      <c r="AC43" s="32">
        <v>1777</v>
      </c>
      <c r="AD43" s="32">
        <v>1747.5</v>
      </c>
      <c r="AE43" s="32">
        <v>1787</v>
      </c>
      <c r="AF43" s="32">
        <v>1667.5</v>
      </c>
      <c r="AG43" s="32">
        <v>1714.5</v>
      </c>
      <c r="AH43" s="32">
        <v>1654</v>
      </c>
      <c r="AI43" s="32">
        <v>1655</v>
      </c>
      <c r="AJ43" s="32">
        <v>1626.5</v>
      </c>
      <c r="AK43" s="32">
        <v>1648.5</v>
      </c>
      <c r="AL43" s="32">
        <v>1653</v>
      </c>
      <c r="AM43" s="32">
        <v>1675</v>
      </c>
      <c r="AN43" s="32">
        <v>1691.5</v>
      </c>
      <c r="AO43" s="32">
        <v>1675.5</v>
      </c>
      <c r="AP43" s="32">
        <v>1695.5</v>
      </c>
      <c r="AQ43" s="32">
        <v>1678</v>
      </c>
      <c r="AR43" s="32">
        <v>1676</v>
      </c>
      <c r="AS43" s="32">
        <v>1670</v>
      </c>
      <c r="AT43" s="32">
        <v>1618</v>
      </c>
      <c r="AU43" s="32">
        <v>1501.5</v>
      </c>
      <c r="AV43" s="32">
        <v>1510.5</v>
      </c>
      <c r="AW43" s="32">
        <v>1501.5</v>
      </c>
      <c r="AX43" s="32">
        <v>1466.5</v>
      </c>
      <c r="AY43" s="32">
        <v>1459.5</v>
      </c>
      <c r="AZ43" s="32">
        <v>1472</v>
      </c>
      <c r="BA43" s="32">
        <v>1426</v>
      </c>
      <c r="BB43" s="32">
        <v>1441</v>
      </c>
      <c r="BC43" s="32">
        <v>1444</v>
      </c>
      <c r="BD43" s="32">
        <v>1406.5</v>
      </c>
      <c r="BE43" s="32">
        <v>1424</v>
      </c>
      <c r="BF43" s="32">
        <v>1424.5</v>
      </c>
      <c r="BG43" s="32">
        <v>1440.5</v>
      </c>
      <c r="BH43" s="32">
        <v>1467</v>
      </c>
      <c r="BI43" s="32">
        <v>1484</v>
      </c>
      <c r="BJ43" s="32">
        <v>1495.5</v>
      </c>
      <c r="BK43" s="32">
        <v>1516</v>
      </c>
      <c r="BL43" s="33">
        <v>1500</v>
      </c>
      <c r="BM43" s="1">
        <v>1503</v>
      </c>
      <c r="BN43" s="1">
        <v>1493.5</v>
      </c>
      <c r="BO43" s="1">
        <v>1502</v>
      </c>
      <c r="BP43" s="1">
        <v>1530.5</v>
      </c>
    </row>
    <row r="44" spans="1:68" ht="15.9" customHeight="1">
      <c r="A44" s="68" t="s">
        <v>83</v>
      </c>
      <c r="B44" s="28" t="s">
        <v>84</v>
      </c>
      <c r="C44" s="42" t="str">
        <f>_xll.RssMarket("3402","高値")</f>
        <v/>
      </c>
      <c r="D44" s="41" t="e">
        <f t="shared" si="1"/>
        <v>#VALUE!</v>
      </c>
      <c r="E44" s="32">
        <v>1166</v>
      </c>
      <c r="F44" s="32">
        <v>1182</v>
      </c>
      <c r="G44" s="32">
        <v>1161.5</v>
      </c>
      <c r="H44" s="32">
        <v>1159.5</v>
      </c>
      <c r="I44" s="32">
        <v>1158</v>
      </c>
      <c r="J44" s="32">
        <v>1158.5</v>
      </c>
      <c r="K44" s="32">
        <v>1178.5</v>
      </c>
      <c r="L44" s="32">
        <v>1170.5</v>
      </c>
      <c r="M44" s="32">
        <v>1182.5</v>
      </c>
      <c r="N44" s="32">
        <v>1175</v>
      </c>
      <c r="O44" s="32">
        <v>1144</v>
      </c>
      <c r="P44" s="32">
        <v>1137.5</v>
      </c>
      <c r="Q44" s="32">
        <v>1142</v>
      </c>
      <c r="R44" s="32">
        <v>1148.5</v>
      </c>
      <c r="S44" s="32">
        <v>1155</v>
      </c>
      <c r="T44" s="32">
        <v>1168.5</v>
      </c>
      <c r="U44" s="32">
        <v>1154</v>
      </c>
      <c r="V44" s="32">
        <v>1168.5</v>
      </c>
      <c r="W44" s="32">
        <v>1172.5</v>
      </c>
      <c r="X44" s="32">
        <v>1190</v>
      </c>
      <c r="Y44" s="32">
        <v>1208.5</v>
      </c>
      <c r="Z44" s="32">
        <v>1190.5</v>
      </c>
      <c r="AA44" s="32">
        <v>1198</v>
      </c>
      <c r="AB44" s="32">
        <v>1207</v>
      </c>
      <c r="AC44" s="32">
        <v>1152.5</v>
      </c>
      <c r="AD44" s="32">
        <v>1122.5</v>
      </c>
      <c r="AE44" s="32">
        <v>1113</v>
      </c>
      <c r="AF44" s="32">
        <v>1119</v>
      </c>
      <c r="AG44" s="32">
        <v>1124.5</v>
      </c>
      <c r="AH44" s="32">
        <v>1147</v>
      </c>
      <c r="AI44" s="32">
        <v>1182.5</v>
      </c>
      <c r="AJ44" s="32">
        <v>1135</v>
      </c>
      <c r="AK44" s="32">
        <v>1198.5</v>
      </c>
      <c r="AL44" s="32">
        <v>1159.5</v>
      </c>
      <c r="AM44" s="32">
        <v>1174.5</v>
      </c>
      <c r="AN44" s="32">
        <v>1156.5</v>
      </c>
      <c r="AO44" s="32">
        <v>1096</v>
      </c>
      <c r="AP44" s="32">
        <v>1103.5</v>
      </c>
      <c r="AQ44" s="32">
        <v>1081.5</v>
      </c>
      <c r="AR44" s="32">
        <v>1102.5</v>
      </c>
      <c r="AS44" s="32">
        <v>1139.5</v>
      </c>
      <c r="AT44" s="32">
        <v>1173</v>
      </c>
      <c r="AU44" s="32">
        <v>1202</v>
      </c>
      <c r="AV44" s="32">
        <v>1224.5</v>
      </c>
      <c r="AW44" s="32">
        <v>1147.5</v>
      </c>
      <c r="AX44" s="32">
        <v>1142.5</v>
      </c>
      <c r="AY44" s="32">
        <v>1142</v>
      </c>
      <c r="AZ44" s="32">
        <v>1146</v>
      </c>
      <c r="BA44" s="32">
        <v>1123</v>
      </c>
      <c r="BB44" s="32">
        <v>1125</v>
      </c>
      <c r="BC44" s="32">
        <v>1140.5</v>
      </c>
      <c r="BD44" s="32">
        <v>1122</v>
      </c>
      <c r="BE44" s="32">
        <v>1126</v>
      </c>
      <c r="BF44" s="32">
        <v>1121</v>
      </c>
      <c r="BG44" s="32">
        <v>1138.5</v>
      </c>
      <c r="BH44" s="32">
        <v>1159.5</v>
      </c>
      <c r="BI44" s="32">
        <v>1160.5</v>
      </c>
      <c r="BJ44" s="32">
        <v>1169.5</v>
      </c>
      <c r="BK44" s="32">
        <v>1175.5</v>
      </c>
      <c r="BL44" s="33">
        <v>1163</v>
      </c>
      <c r="BM44" s="1">
        <v>1162.5</v>
      </c>
      <c r="BN44" s="1">
        <v>1175.5</v>
      </c>
      <c r="BO44" s="1">
        <v>1191.5</v>
      </c>
      <c r="BP44" s="1">
        <v>1188.5</v>
      </c>
    </row>
    <row r="45" spans="1:68" ht="15.9" customHeight="1">
      <c r="A45" s="68" t="s">
        <v>85</v>
      </c>
      <c r="B45" s="28" t="s">
        <v>86</v>
      </c>
      <c r="C45" s="42" t="str">
        <f>_xll.RssMarket("8306","高値")</f>
        <v/>
      </c>
      <c r="D45" s="41" t="e">
        <f t="shared" si="1"/>
        <v>#VALUE!</v>
      </c>
      <c r="E45" s="32">
        <v>3618</v>
      </c>
      <c r="F45" s="32">
        <v>3733</v>
      </c>
      <c r="G45" s="32">
        <v>3600</v>
      </c>
      <c r="H45" s="32">
        <v>3564</v>
      </c>
      <c r="I45" s="32">
        <v>3478</v>
      </c>
      <c r="J45" s="32">
        <v>3424</v>
      </c>
      <c r="K45" s="32">
        <v>3474</v>
      </c>
      <c r="L45" s="32">
        <v>3518</v>
      </c>
      <c r="M45" s="32">
        <v>3370</v>
      </c>
      <c r="N45" s="32">
        <v>3337</v>
      </c>
      <c r="O45" s="32">
        <v>3338</v>
      </c>
      <c r="P45" s="32">
        <v>3267</v>
      </c>
      <c r="Q45" s="32">
        <v>3257</v>
      </c>
      <c r="R45" s="32">
        <v>3267</v>
      </c>
      <c r="S45" s="32">
        <v>3285</v>
      </c>
      <c r="T45" s="32">
        <v>3276</v>
      </c>
      <c r="U45" s="32">
        <v>3292</v>
      </c>
      <c r="V45" s="32">
        <v>3343</v>
      </c>
      <c r="W45" s="32">
        <v>3335</v>
      </c>
      <c r="X45" s="32">
        <v>3371</v>
      </c>
      <c r="Y45" s="32">
        <v>3394</v>
      </c>
      <c r="Z45" s="32">
        <v>3312</v>
      </c>
      <c r="AA45" s="32">
        <v>3236</v>
      </c>
      <c r="AB45" s="32">
        <v>3327</v>
      </c>
      <c r="AC45" s="32">
        <v>3205</v>
      </c>
      <c r="AD45" s="32">
        <v>3148</v>
      </c>
      <c r="AE45" s="32">
        <v>3305</v>
      </c>
      <c r="AF45" s="32">
        <v>3217</v>
      </c>
      <c r="AG45" s="32">
        <v>3273</v>
      </c>
      <c r="AH45" s="32">
        <v>3208</v>
      </c>
      <c r="AI45" s="32">
        <v>3149</v>
      </c>
      <c r="AJ45" s="32">
        <v>3047</v>
      </c>
      <c r="AK45" s="32">
        <v>3034</v>
      </c>
      <c r="AL45" s="32">
        <v>3011</v>
      </c>
      <c r="AM45" s="32">
        <v>3066</v>
      </c>
      <c r="AN45" s="32">
        <v>3095</v>
      </c>
      <c r="AO45" s="32">
        <v>3140</v>
      </c>
      <c r="AP45" s="32">
        <v>3148</v>
      </c>
      <c r="AQ45" s="32">
        <v>3170</v>
      </c>
      <c r="AR45" s="32">
        <v>3110</v>
      </c>
      <c r="AS45" s="32">
        <v>3063</v>
      </c>
      <c r="AT45" s="32">
        <v>2951.5</v>
      </c>
      <c r="AU45" s="32">
        <v>2923.5</v>
      </c>
      <c r="AV45" s="32">
        <v>2939</v>
      </c>
      <c r="AW45" s="32">
        <v>2899</v>
      </c>
      <c r="AX45" s="32">
        <v>2856.5</v>
      </c>
      <c r="AY45" s="32">
        <v>2827.5</v>
      </c>
      <c r="AZ45" s="32">
        <v>2891.5</v>
      </c>
      <c r="BA45" s="32">
        <v>2813</v>
      </c>
      <c r="BB45" s="32">
        <v>2868</v>
      </c>
      <c r="BC45" s="32">
        <v>2886</v>
      </c>
      <c r="BD45" s="32">
        <v>2796.5</v>
      </c>
      <c r="BE45" s="32">
        <v>2783</v>
      </c>
      <c r="BF45" s="32">
        <v>2807.5</v>
      </c>
      <c r="BG45" s="32">
        <v>2824</v>
      </c>
      <c r="BH45" s="32">
        <v>2880.5</v>
      </c>
      <c r="BI45" s="32">
        <v>2894.5</v>
      </c>
      <c r="BJ45" s="32">
        <v>2926</v>
      </c>
      <c r="BK45" s="32">
        <v>2966.5</v>
      </c>
      <c r="BL45" s="33">
        <v>2919</v>
      </c>
      <c r="BM45" s="1">
        <v>2889.5</v>
      </c>
      <c r="BN45" s="1">
        <v>2891.5</v>
      </c>
      <c r="BO45" s="1">
        <v>2882.5</v>
      </c>
      <c r="BP45" s="1">
        <v>2903</v>
      </c>
    </row>
    <row r="46" spans="1:68" ht="15.9" customHeight="1">
      <c r="A46" s="68" t="s">
        <v>87</v>
      </c>
      <c r="B46" s="28" t="s">
        <v>88</v>
      </c>
      <c r="C46" s="42" t="str">
        <f>_xll.RssMarket("5401","高値")</f>
        <v/>
      </c>
      <c r="D46" s="41" t="e">
        <f t="shared" si="1"/>
        <v>#VALUE!</v>
      </c>
      <c r="E46" s="32">
        <v>587.9</v>
      </c>
      <c r="F46" s="32">
        <v>576.6</v>
      </c>
      <c r="G46" s="32">
        <v>569</v>
      </c>
      <c r="H46" s="32">
        <v>561</v>
      </c>
      <c r="I46" s="32">
        <v>556.9</v>
      </c>
      <c r="J46" s="32">
        <v>557.6</v>
      </c>
      <c r="K46" s="32">
        <v>560.4</v>
      </c>
      <c r="L46" s="32">
        <v>562.9</v>
      </c>
      <c r="M46" s="32">
        <v>564.70000000000005</v>
      </c>
      <c r="N46" s="32">
        <v>553.6</v>
      </c>
      <c r="O46" s="32">
        <v>542.6</v>
      </c>
      <c r="P46" s="32">
        <v>541.70000000000005</v>
      </c>
      <c r="Q46" s="32">
        <v>545.70000000000005</v>
      </c>
      <c r="R46" s="32">
        <v>548.6</v>
      </c>
      <c r="S46" s="32">
        <v>546</v>
      </c>
      <c r="T46" s="32">
        <v>551.79999999999995</v>
      </c>
      <c r="U46" s="32">
        <v>552.5</v>
      </c>
      <c r="V46" s="32">
        <v>561.6</v>
      </c>
      <c r="W46" s="32">
        <v>573.70000000000005</v>
      </c>
      <c r="X46" s="32">
        <v>567.20000000000005</v>
      </c>
      <c r="Y46" s="32">
        <v>567.29999999999995</v>
      </c>
      <c r="Z46" s="32">
        <v>566.29999999999995</v>
      </c>
      <c r="AA46" s="32">
        <v>574.20000000000005</v>
      </c>
      <c r="AB46" s="32">
        <v>575.5</v>
      </c>
      <c r="AC46" s="32">
        <v>554.4</v>
      </c>
      <c r="AD46" s="32">
        <v>538</v>
      </c>
      <c r="AE46" s="32">
        <v>543.4</v>
      </c>
      <c r="AF46" s="32">
        <v>544.79999999999995</v>
      </c>
      <c r="AG46" s="32">
        <v>551.4</v>
      </c>
      <c r="AH46" s="32">
        <v>545</v>
      </c>
      <c r="AI46" s="32">
        <v>550.5</v>
      </c>
      <c r="AJ46" s="32">
        <v>544.79999999999995</v>
      </c>
      <c r="AK46" s="32">
        <v>575.79999999999995</v>
      </c>
      <c r="AL46" s="32">
        <v>567.29999999999995</v>
      </c>
      <c r="AM46" s="32">
        <v>567.79999999999995</v>
      </c>
      <c r="AN46" s="32">
        <v>560.6</v>
      </c>
      <c r="AO46" s="32">
        <v>556.20000000000005</v>
      </c>
      <c r="AP46" s="32">
        <v>548.79999999999995</v>
      </c>
      <c r="AQ46" s="32">
        <v>550</v>
      </c>
      <c r="AR46" s="32">
        <v>553.29999999999995</v>
      </c>
      <c r="AS46" s="32">
        <v>560.20000000000005</v>
      </c>
      <c r="AT46" s="32">
        <v>562.79999999999995</v>
      </c>
      <c r="AU46" s="32">
        <v>570.79999999999995</v>
      </c>
      <c r="AV46" s="32">
        <v>560.9</v>
      </c>
      <c r="AW46" s="32">
        <v>569.70000000000005</v>
      </c>
      <c r="AX46" s="32">
        <v>580</v>
      </c>
      <c r="AY46" s="32">
        <v>583.29999999999995</v>
      </c>
      <c r="AZ46" s="32">
        <v>572.70000000000005</v>
      </c>
      <c r="BA46" s="32">
        <v>576.5</v>
      </c>
      <c r="BB46" s="32">
        <v>579.1</v>
      </c>
      <c r="BC46" s="32">
        <v>580</v>
      </c>
      <c r="BD46" s="32">
        <v>581.29999999999995</v>
      </c>
      <c r="BE46" s="32">
        <v>590.20000000000005</v>
      </c>
      <c r="BF46" s="32">
        <v>593.29999999999995</v>
      </c>
      <c r="BG46" s="32">
        <v>598.4</v>
      </c>
      <c r="BH46" s="32">
        <v>599.79999999999995</v>
      </c>
      <c r="BI46" s="32">
        <v>596.9</v>
      </c>
      <c r="BJ46" s="32">
        <v>600.20000000000005</v>
      </c>
      <c r="BK46" s="32">
        <v>600.9</v>
      </c>
      <c r="BL46" s="33">
        <v>601.9</v>
      </c>
      <c r="BM46" s="1">
        <v>600.5</v>
      </c>
      <c r="BN46" s="1">
        <v>606.29999999999995</v>
      </c>
      <c r="BO46" s="1">
        <v>605.9</v>
      </c>
      <c r="BP46" s="1">
        <v>602.70000000000005</v>
      </c>
    </row>
    <row r="47" spans="1:68" ht="15.9" customHeight="1">
      <c r="A47" s="68" t="s">
        <v>89</v>
      </c>
      <c r="B47" s="28" t="s">
        <v>90</v>
      </c>
      <c r="C47" s="42" t="str">
        <f>_xll.RssMarket("8572","高値")</f>
        <v/>
      </c>
      <c r="D47" s="41" t="e">
        <f t="shared" si="1"/>
        <v>#VALUE!</v>
      </c>
      <c r="E47" s="32">
        <v>489.4</v>
      </c>
      <c r="F47" s="32">
        <v>489.5</v>
      </c>
      <c r="G47" s="32">
        <v>487.2</v>
      </c>
      <c r="H47" s="32">
        <v>486.5</v>
      </c>
      <c r="I47" s="32">
        <v>489.6</v>
      </c>
      <c r="J47" s="32">
        <v>485</v>
      </c>
      <c r="K47" s="32">
        <v>488.9</v>
      </c>
      <c r="L47" s="32">
        <v>488.5</v>
      </c>
      <c r="M47" s="32">
        <v>485</v>
      </c>
      <c r="N47" s="32">
        <v>473.7</v>
      </c>
      <c r="O47" s="32">
        <v>465.5</v>
      </c>
      <c r="P47" s="32">
        <v>455.7</v>
      </c>
      <c r="Q47" s="32">
        <v>458.5</v>
      </c>
      <c r="R47" s="32">
        <v>457.1</v>
      </c>
      <c r="S47" s="32">
        <v>450</v>
      </c>
      <c r="T47" s="32">
        <v>451.4</v>
      </c>
      <c r="U47" s="32">
        <v>451.5</v>
      </c>
      <c r="V47" s="32">
        <v>450.1</v>
      </c>
      <c r="W47" s="32">
        <v>450.4</v>
      </c>
      <c r="X47" s="32">
        <v>448.8</v>
      </c>
      <c r="Y47" s="32">
        <v>452.4</v>
      </c>
      <c r="Z47" s="32">
        <v>453.7</v>
      </c>
      <c r="AA47" s="32">
        <v>453.9</v>
      </c>
      <c r="AB47" s="32">
        <v>462.1</v>
      </c>
      <c r="AC47" s="32">
        <v>452.6</v>
      </c>
      <c r="AD47" s="32">
        <v>451</v>
      </c>
      <c r="AE47" s="32">
        <v>453.5</v>
      </c>
      <c r="AF47" s="32">
        <v>446.2</v>
      </c>
      <c r="AG47" s="32">
        <v>453.6</v>
      </c>
      <c r="AH47" s="32">
        <v>447.8</v>
      </c>
      <c r="AI47" s="32">
        <v>452.5</v>
      </c>
      <c r="AJ47" s="32">
        <v>453.3</v>
      </c>
      <c r="AK47" s="32">
        <v>474.4</v>
      </c>
      <c r="AL47" s="32">
        <v>468.7</v>
      </c>
      <c r="AM47" s="32">
        <v>470.6</v>
      </c>
      <c r="AN47" s="32">
        <v>467</v>
      </c>
      <c r="AO47" s="32">
        <v>470.9</v>
      </c>
      <c r="AP47" s="32">
        <v>473.6</v>
      </c>
      <c r="AQ47" s="32">
        <v>467.3</v>
      </c>
      <c r="AR47" s="32">
        <v>466.8</v>
      </c>
      <c r="AS47" s="32">
        <v>469.1</v>
      </c>
      <c r="AT47" s="32">
        <v>464.6</v>
      </c>
      <c r="AU47" s="32">
        <v>461.3</v>
      </c>
      <c r="AV47" s="32">
        <v>470.1</v>
      </c>
      <c r="AW47" s="32">
        <v>494.3</v>
      </c>
      <c r="AX47" s="32">
        <v>495.2</v>
      </c>
      <c r="AY47" s="32">
        <v>496</v>
      </c>
      <c r="AZ47" s="32">
        <v>499</v>
      </c>
      <c r="BA47" s="32">
        <v>497.9</v>
      </c>
      <c r="BB47" s="32">
        <v>501.8</v>
      </c>
      <c r="BC47" s="32">
        <v>504.5</v>
      </c>
      <c r="BD47" s="32">
        <v>504.1</v>
      </c>
      <c r="BE47" s="32">
        <v>504</v>
      </c>
      <c r="BF47" s="32">
        <v>513.79999999999995</v>
      </c>
      <c r="BG47" s="32">
        <v>521.9</v>
      </c>
      <c r="BH47" s="32">
        <v>519.79999999999995</v>
      </c>
      <c r="BI47" s="32">
        <v>489.3</v>
      </c>
      <c r="BJ47" s="32">
        <v>485</v>
      </c>
      <c r="BK47" s="32">
        <v>484.6</v>
      </c>
      <c r="BL47" s="33">
        <v>482</v>
      </c>
      <c r="BM47" s="1">
        <v>478.7</v>
      </c>
      <c r="BN47" s="1">
        <v>472.8</v>
      </c>
      <c r="BO47" s="1">
        <v>475.9</v>
      </c>
      <c r="BP47" s="1">
        <v>481.2</v>
      </c>
    </row>
    <row r="48" spans="1:68" ht="15.9" customHeight="1">
      <c r="A48" s="68" t="s">
        <v>91</v>
      </c>
      <c r="B48" s="28" t="s">
        <v>92</v>
      </c>
      <c r="C48" s="42" t="str">
        <f>_xll.RssMarket("3941","高値")</f>
        <v/>
      </c>
      <c r="D48" s="41" t="e">
        <f t="shared" si="1"/>
        <v>#VALUE!</v>
      </c>
      <c r="E48" s="32">
        <v>1456.5</v>
      </c>
      <c r="F48" s="32">
        <v>1447</v>
      </c>
      <c r="G48" s="32">
        <v>1423.5</v>
      </c>
      <c r="H48" s="32">
        <v>1434</v>
      </c>
      <c r="I48" s="32">
        <v>1418.5</v>
      </c>
      <c r="J48" s="32">
        <v>1444</v>
      </c>
      <c r="K48" s="32">
        <v>1448</v>
      </c>
      <c r="L48" s="32">
        <v>1430.5</v>
      </c>
      <c r="M48" s="32">
        <v>1431</v>
      </c>
      <c r="N48" s="32">
        <v>1424.5</v>
      </c>
      <c r="O48" s="32">
        <v>1427</v>
      </c>
      <c r="P48" s="32">
        <v>1422.5</v>
      </c>
      <c r="Q48" s="32">
        <v>1424.5</v>
      </c>
      <c r="R48" s="32">
        <v>1463.5</v>
      </c>
      <c r="S48" s="32">
        <v>1435.5</v>
      </c>
      <c r="T48" s="32">
        <v>1418</v>
      </c>
      <c r="U48" s="32">
        <v>1416</v>
      </c>
      <c r="V48" s="32">
        <v>1413.5</v>
      </c>
      <c r="W48" s="32">
        <v>1430</v>
      </c>
      <c r="X48" s="32">
        <v>1444</v>
      </c>
      <c r="Y48" s="32">
        <v>1428.5</v>
      </c>
      <c r="Z48" s="32">
        <v>1429</v>
      </c>
      <c r="AA48" s="32">
        <v>1421</v>
      </c>
      <c r="AB48" s="32">
        <v>1420.5</v>
      </c>
      <c r="AC48" s="32">
        <v>1392.5</v>
      </c>
      <c r="AD48" s="32">
        <v>1375</v>
      </c>
      <c r="AE48" s="32">
        <v>1416</v>
      </c>
      <c r="AF48" s="32">
        <v>1377.5</v>
      </c>
      <c r="AG48" s="32">
        <v>1406.5</v>
      </c>
      <c r="AH48" s="32">
        <v>1393</v>
      </c>
      <c r="AI48" s="32">
        <v>1412.5</v>
      </c>
      <c r="AJ48" s="32">
        <v>1400</v>
      </c>
      <c r="AK48" s="32">
        <v>1463.5</v>
      </c>
      <c r="AL48" s="32">
        <v>1432</v>
      </c>
      <c r="AM48" s="32">
        <v>1428.5</v>
      </c>
      <c r="AN48" s="32">
        <v>1403.5</v>
      </c>
      <c r="AO48" s="32">
        <v>1412.5</v>
      </c>
      <c r="AP48" s="32">
        <v>1416.5</v>
      </c>
      <c r="AQ48" s="32">
        <v>1409</v>
      </c>
      <c r="AR48" s="32">
        <v>1430</v>
      </c>
      <c r="AS48" s="32">
        <v>1411</v>
      </c>
      <c r="AT48" s="32">
        <v>1430.5</v>
      </c>
      <c r="AU48" s="32">
        <v>1402</v>
      </c>
      <c r="AV48" s="32">
        <v>1263.5</v>
      </c>
      <c r="AW48" s="32">
        <v>1246.5</v>
      </c>
      <c r="AX48" s="32">
        <v>1261.5</v>
      </c>
      <c r="AY48" s="32">
        <v>1245</v>
      </c>
      <c r="AZ48" s="32">
        <v>1247</v>
      </c>
      <c r="BA48" s="32">
        <v>1240</v>
      </c>
      <c r="BB48" s="32">
        <v>1249</v>
      </c>
      <c r="BC48" s="32">
        <v>1273</v>
      </c>
      <c r="BD48" s="32">
        <v>1351</v>
      </c>
      <c r="BE48" s="32">
        <v>1287</v>
      </c>
      <c r="BF48" s="32">
        <v>1290.5</v>
      </c>
      <c r="BG48" s="32">
        <v>1317</v>
      </c>
      <c r="BH48" s="32">
        <v>1315.5</v>
      </c>
      <c r="BI48" s="32">
        <v>1269</v>
      </c>
      <c r="BJ48" s="32">
        <v>1276</v>
      </c>
      <c r="BK48" s="32">
        <v>1283.5</v>
      </c>
      <c r="BL48" s="33">
        <v>1274.5</v>
      </c>
      <c r="BM48" s="1">
        <v>1271.5</v>
      </c>
      <c r="BN48" s="1">
        <v>1277</v>
      </c>
      <c r="BO48" s="1">
        <v>1294.5</v>
      </c>
      <c r="BP48" s="1">
        <v>1299.5</v>
      </c>
    </row>
    <row r="49" spans="1:68" ht="15.9" customHeight="1">
      <c r="A49" s="68" t="s">
        <v>93</v>
      </c>
      <c r="B49" s="28" t="s">
        <v>94</v>
      </c>
      <c r="C49" s="42" t="str">
        <f>_xll.RssMarket("5929","高値")</f>
        <v/>
      </c>
      <c r="D49" s="41" t="e">
        <f t="shared" si="1"/>
        <v>#VALUE!</v>
      </c>
      <c r="E49" s="32">
        <v>3771</v>
      </c>
      <c r="F49" s="32">
        <v>3735</v>
      </c>
      <c r="G49" s="32">
        <v>3704</v>
      </c>
      <c r="H49" s="32">
        <v>3706</v>
      </c>
      <c r="I49" s="32">
        <v>3723</v>
      </c>
      <c r="J49" s="32">
        <v>3750</v>
      </c>
      <c r="K49" s="32">
        <v>3846</v>
      </c>
      <c r="L49" s="32">
        <v>3921</v>
      </c>
      <c r="M49" s="32">
        <v>3880</v>
      </c>
      <c r="N49" s="32">
        <v>3864</v>
      </c>
      <c r="O49" s="32">
        <v>3802</v>
      </c>
      <c r="P49" s="32">
        <v>3799</v>
      </c>
      <c r="Q49" s="32">
        <v>3864</v>
      </c>
      <c r="R49" s="32">
        <v>3784</v>
      </c>
      <c r="S49" s="32">
        <v>3780</v>
      </c>
      <c r="T49" s="32">
        <v>3673</v>
      </c>
      <c r="U49" s="32">
        <v>3688</v>
      </c>
      <c r="V49" s="32">
        <v>3721</v>
      </c>
      <c r="W49" s="32">
        <v>3740</v>
      </c>
      <c r="X49" s="32">
        <v>3804</v>
      </c>
      <c r="Y49" s="32">
        <v>3779</v>
      </c>
      <c r="Z49" s="32">
        <v>3747</v>
      </c>
      <c r="AA49" s="32">
        <v>3768</v>
      </c>
      <c r="AB49" s="32">
        <v>3655</v>
      </c>
      <c r="AC49" s="32">
        <v>3646</v>
      </c>
      <c r="AD49" s="32">
        <v>3672</v>
      </c>
      <c r="AE49" s="32">
        <v>3709</v>
      </c>
      <c r="AF49" s="32">
        <v>3592</v>
      </c>
      <c r="AG49" s="32">
        <v>3513</v>
      </c>
      <c r="AH49" s="32">
        <v>3425</v>
      </c>
      <c r="AI49" s="32">
        <v>3553</v>
      </c>
      <c r="AJ49" s="32">
        <v>3685</v>
      </c>
      <c r="AK49" s="32">
        <v>3549</v>
      </c>
      <c r="AL49" s="32">
        <v>3405</v>
      </c>
      <c r="AM49" s="32">
        <v>3336</v>
      </c>
      <c r="AN49" s="32">
        <v>3339</v>
      </c>
      <c r="AO49" s="32">
        <v>3393</v>
      </c>
      <c r="AP49" s="32">
        <v>3397</v>
      </c>
      <c r="AQ49" s="32">
        <v>3389</v>
      </c>
      <c r="AR49" s="32">
        <v>3575</v>
      </c>
      <c r="AS49" s="32">
        <v>3664</v>
      </c>
      <c r="AT49" s="32">
        <v>3728</v>
      </c>
      <c r="AU49" s="32">
        <v>3552</v>
      </c>
      <c r="AV49" s="32">
        <v>3612</v>
      </c>
      <c r="AW49" s="32">
        <v>3627</v>
      </c>
      <c r="AX49" s="32">
        <v>3661</v>
      </c>
      <c r="AY49" s="32">
        <v>3648</v>
      </c>
      <c r="AZ49" s="32">
        <v>3617</v>
      </c>
      <c r="BA49" s="32">
        <v>3587</v>
      </c>
      <c r="BB49" s="32">
        <v>3676</v>
      </c>
      <c r="BC49" s="32">
        <v>3616</v>
      </c>
      <c r="BD49" s="32">
        <v>3651</v>
      </c>
      <c r="BE49" s="32">
        <v>3651</v>
      </c>
      <c r="BF49" s="32">
        <v>3676</v>
      </c>
      <c r="BG49" s="32">
        <v>3707</v>
      </c>
      <c r="BH49" s="32">
        <v>3664</v>
      </c>
      <c r="BI49" s="32">
        <v>3666</v>
      </c>
      <c r="BJ49" s="32">
        <v>3735</v>
      </c>
      <c r="BK49" s="32">
        <v>3774</v>
      </c>
      <c r="BL49" s="33">
        <v>3755</v>
      </c>
      <c r="BM49" s="1">
        <v>3704</v>
      </c>
      <c r="BN49" s="1">
        <v>3740</v>
      </c>
      <c r="BO49" s="1">
        <v>3774</v>
      </c>
      <c r="BP49" s="1">
        <v>3747</v>
      </c>
    </row>
    <row r="50" spans="1:68" ht="15.9" customHeight="1">
      <c r="A50" s="68" t="s">
        <v>95</v>
      </c>
      <c r="B50" s="28" t="s">
        <v>96</v>
      </c>
      <c r="C50" s="42" t="str">
        <f>_xll.RssMarket("8316","高値")</f>
        <v/>
      </c>
      <c r="D50" s="41" t="e">
        <f t="shared" si="1"/>
        <v>#VALUE!</v>
      </c>
      <c r="E50" s="32">
        <v>7030</v>
      </c>
      <c r="F50" s="32">
        <v>7137</v>
      </c>
      <c r="G50" s="32">
        <v>7000</v>
      </c>
      <c r="H50" s="32">
        <v>7029</v>
      </c>
      <c r="I50" s="32">
        <v>6918</v>
      </c>
      <c r="J50" s="32">
        <v>6816</v>
      </c>
      <c r="K50" s="32">
        <v>6913</v>
      </c>
      <c r="L50" s="32">
        <v>6970</v>
      </c>
      <c r="M50" s="32">
        <v>6815</v>
      </c>
      <c r="N50" s="32">
        <v>6685</v>
      </c>
      <c r="O50" s="32">
        <v>6636</v>
      </c>
      <c r="P50" s="32">
        <v>6474</v>
      </c>
      <c r="Q50" s="32">
        <v>6436</v>
      </c>
      <c r="R50" s="32">
        <v>6449</v>
      </c>
      <c r="S50" s="32">
        <v>6415</v>
      </c>
      <c r="T50" s="32">
        <v>6431</v>
      </c>
      <c r="U50" s="32">
        <v>6517</v>
      </c>
      <c r="V50" s="32">
        <v>6637</v>
      </c>
      <c r="W50" s="32">
        <v>6653</v>
      </c>
      <c r="X50" s="32">
        <v>6711</v>
      </c>
      <c r="Y50" s="32">
        <v>6733</v>
      </c>
      <c r="Z50" s="32">
        <v>6578</v>
      </c>
      <c r="AA50" s="32">
        <v>6481</v>
      </c>
      <c r="AB50" s="32">
        <v>6725</v>
      </c>
      <c r="AC50" s="32">
        <v>6439</v>
      </c>
      <c r="AD50" s="32">
        <v>6233</v>
      </c>
      <c r="AE50" s="32">
        <v>6385</v>
      </c>
      <c r="AF50" s="32">
        <v>6185</v>
      </c>
      <c r="AG50" s="32">
        <v>6408</v>
      </c>
      <c r="AH50" s="32">
        <v>6218</v>
      </c>
      <c r="AI50" s="32">
        <v>6156</v>
      </c>
      <c r="AJ50" s="32">
        <v>5951</v>
      </c>
      <c r="AK50" s="32">
        <v>5944</v>
      </c>
      <c r="AL50" s="32">
        <v>5939</v>
      </c>
      <c r="AM50" s="32">
        <v>6030</v>
      </c>
      <c r="AN50" s="32">
        <v>6086</v>
      </c>
      <c r="AO50" s="32">
        <v>6083</v>
      </c>
      <c r="AP50" s="32">
        <v>6183</v>
      </c>
      <c r="AQ50" s="32">
        <v>6109</v>
      </c>
      <c r="AR50" s="32">
        <v>5974</v>
      </c>
      <c r="AS50" s="32">
        <v>5817</v>
      </c>
      <c r="AT50" s="32">
        <v>5814</v>
      </c>
      <c r="AU50" s="32">
        <v>5804</v>
      </c>
      <c r="AV50" s="32">
        <v>5889</v>
      </c>
      <c r="AW50" s="32">
        <v>5795</v>
      </c>
      <c r="AX50" s="32">
        <v>5669</v>
      </c>
      <c r="AY50" s="32">
        <v>5605</v>
      </c>
      <c r="AZ50" s="32">
        <v>5730</v>
      </c>
      <c r="BA50" s="32">
        <v>5562</v>
      </c>
      <c r="BB50" s="32">
        <v>5609</v>
      </c>
      <c r="BC50" s="32">
        <v>5667</v>
      </c>
      <c r="BD50" s="32">
        <v>5421</v>
      </c>
      <c r="BE50" s="32">
        <v>5389</v>
      </c>
      <c r="BF50" s="32">
        <v>5428</v>
      </c>
      <c r="BG50" s="32">
        <v>5483</v>
      </c>
      <c r="BH50" s="32">
        <v>5590</v>
      </c>
      <c r="BI50" s="32">
        <v>5640</v>
      </c>
      <c r="BJ50" s="32">
        <v>5662</v>
      </c>
      <c r="BK50" s="32">
        <v>5738</v>
      </c>
      <c r="BL50" s="33">
        <v>5699</v>
      </c>
      <c r="BM50" s="1">
        <v>5630</v>
      </c>
      <c r="BN50" s="1">
        <v>5641</v>
      </c>
      <c r="BO50" s="1">
        <v>5602</v>
      </c>
      <c r="BP50" s="1">
        <v>5676</v>
      </c>
    </row>
    <row r="51" spans="1:68" ht="15.9" customHeight="1">
      <c r="A51" s="68" t="s">
        <v>97</v>
      </c>
      <c r="B51" s="28" t="s">
        <v>98</v>
      </c>
      <c r="C51" s="42" t="str">
        <f>_xll.RssMarket("5449","高値")</f>
        <v/>
      </c>
      <c r="D51" s="41" t="e">
        <f t="shared" si="1"/>
        <v>#VALUE!</v>
      </c>
      <c r="E51" s="32">
        <v>2589</v>
      </c>
      <c r="F51" s="32">
        <v>2549</v>
      </c>
      <c r="G51" s="32">
        <v>2560</v>
      </c>
      <c r="H51" s="32">
        <v>2575</v>
      </c>
      <c r="I51" s="32">
        <v>2549</v>
      </c>
      <c r="J51" s="32">
        <v>2544</v>
      </c>
      <c r="K51" s="32">
        <v>2570</v>
      </c>
      <c r="L51" s="32">
        <v>2510</v>
      </c>
      <c r="M51" s="32">
        <v>2422</v>
      </c>
      <c r="N51" s="32">
        <v>2363</v>
      </c>
      <c r="O51" s="32">
        <v>2294</v>
      </c>
      <c r="P51" s="32">
        <v>2424</v>
      </c>
      <c r="Q51" s="32">
        <v>2412</v>
      </c>
      <c r="R51" s="32">
        <v>2326</v>
      </c>
      <c r="S51" s="32">
        <v>2330</v>
      </c>
      <c r="T51" s="32">
        <v>2369</v>
      </c>
      <c r="U51" s="32">
        <v>2380</v>
      </c>
      <c r="V51" s="32">
        <v>2374</v>
      </c>
      <c r="W51" s="32">
        <v>2358</v>
      </c>
      <c r="X51" s="32">
        <v>2342</v>
      </c>
      <c r="Y51" s="32">
        <v>2401</v>
      </c>
      <c r="Z51" s="32">
        <v>2421</v>
      </c>
      <c r="AA51" s="32">
        <v>2441</v>
      </c>
      <c r="AB51" s="32">
        <v>2377</v>
      </c>
      <c r="AC51" s="32">
        <v>2322</v>
      </c>
      <c r="AD51" s="32">
        <v>2365</v>
      </c>
      <c r="AE51" s="32">
        <v>2317</v>
      </c>
      <c r="AF51" s="32">
        <v>2416</v>
      </c>
      <c r="AG51" s="32">
        <v>2376</v>
      </c>
      <c r="AH51" s="32">
        <v>2458</v>
      </c>
      <c r="AI51" s="32">
        <v>2399</v>
      </c>
      <c r="AJ51" s="32">
        <v>2669</v>
      </c>
      <c r="AK51" s="32">
        <v>2680</v>
      </c>
      <c r="AL51" s="32">
        <v>2508</v>
      </c>
      <c r="AM51" s="32">
        <v>2407</v>
      </c>
      <c r="AN51" s="32">
        <v>2388</v>
      </c>
      <c r="AO51" s="32">
        <v>2287</v>
      </c>
      <c r="AP51" s="32">
        <v>2293</v>
      </c>
      <c r="AQ51" s="32">
        <v>2372</v>
      </c>
      <c r="AR51" s="32">
        <v>2393</v>
      </c>
      <c r="AS51" s="32">
        <v>2430</v>
      </c>
      <c r="AT51" s="32">
        <v>2454</v>
      </c>
      <c r="AU51" s="32">
        <v>2606</v>
      </c>
      <c r="AV51" s="32">
        <v>2586</v>
      </c>
      <c r="AW51" s="32">
        <v>2610</v>
      </c>
      <c r="AX51" s="32">
        <v>2622</v>
      </c>
      <c r="AY51" s="32">
        <v>2539</v>
      </c>
      <c r="AZ51" s="32">
        <v>2485</v>
      </c>
      <c r="BA51" s="32">
        <v>2477</v>
      </c>
      <c r="BB51" s="32">
        <v>2376</v>
      </c>
      <c r="BC51" s="32">
        <v>2329</v>
      </c>
      <c r="BD51" s="32">
        <v>2370</v>
      </c>
      <c r="BE51" s="32">
        <v>2410</v>
      </c>
      <c r="BF51" s="32">
        <v>2453</v>
      </c>
      <c r="BG51" s="32">
        <v>2458</v>
      </c>
      <c r="BH51" s="32">
        <v>2437</v>
      </c>
      <c r="BI51" s="32">
        <v>2461</v>
      </c>
      <c r="BJ51" s="32">
        <v>2484</v>
      </c>
      <c r="BK51" s="32">
        <v>2465</v>
      </c>
      <c r="BL51" s="33">
        <v>2462</v>
      </c>
      <c r="BM51" s="1">
        <v>2648</v>
      </c>
      <c r="BN51" s="1">
        <v>2718</v>
      </c>
      <c r="BO51" s="1">
        <v>2726</v>
      </c>
      <c r="BP51" s="1">
        <v>2714</v>
      </c>
    </row>
    <row r="52" spans="1:68" ht="15.9" customHeight="1">
      <c r="A52" s="68" t="s">
        <v>99</v>
      </c>
      <c r="B52" s="28" t="s">
        <v>100</v>
      </c>
      <c r="C52" s="42" t="str">
        <f>_xll.RssMarket("8766","高値")</f>
        <v/>
      </c>
      <c r="D52" s="41" t="e">
        <f t="shared" si="1"/>
        <v>#VALUE!</v>
      </c>
      <c r="E52" s="32">
        <v>7660</v>
      </c>
      <c r="F52" s="32">
        <v>7873</v>
      </c>
      <c r="G52" s="32">
        <v>7761</v>
      </c>
      <c r="H52" s="32">
        <v>7614</v>
      </c>
      <c r="I52" s="32">
        <v>7887</v>
      </c>
      <c r="J52" s="32">
        <v>7870</v>
      </c>
      <c r="K52" s="32">
        <v>7803</v>
      </c>
      <c r="L52" s="32">
        <v>7935</v>
      </c>
      <c r="M52" s="32">
        <v>7810</v>
      </c>
      <c r="N52" s="32">
        <v>7687</v>
      </c>
      <c r="O52" s="32">
        <v>7574</v>
      </c>
      <c r="P52" s="32">
        <v>7329</v>
      </c>
      <c r="Q52" s="32">
        <v>7311</v>
      </c>
      <c r="R52" s="32">
        <v>7315</v>
      </c>
      <c r="S52" s="32">
        <v>6948</v>
      </c>
      <c r="T52" s="32">
        <v>6947</v>
      </c>
      <c r="U52" s="32">
        <v>7283</v>
      </c>
      <c r="V52" s="32">
        <v>7448</v>
      </c>
      <c r="W52" s="32">
        <v>7316</v>
      </c>
      <c r="X52" s="32">
        <v>7308</v>
      </c>
      <c r="Y52" s="32">
        <v>7368</v>
      </c>
      <c r="Z52" s="32">
        <v>7421</v>
      </c>
      <c r="AA52" s="32">
        <v>7293</v>
      </c>
      <c r="AB52" s="32">
        <v>7469</v>
      </c>
      <c r="AC52" s="32">
        <v>7454</v>
      </c>
      <c r="AD52" s="32">
        <v>7487</v>
      </c>
      <c r="AE52" s="32">
        <v>7557</v>
      </c>
      <c r="AF52" s="32">
        <v>7232</v>
      </c>
      <c r="AG52" s="32">
        <v>7068</v>
      </c>
      <c r="AH52" s="32">
        <v>7000</v>
      </c>
      <c r="AI52" s="32">
        <v>7167</v>
      </c>
      <c r="AJ52" s="32">
        <v>7130</v>
      </c>
      <c r="AK52" s="32">
        <v>7216</v>
      </c>
      <c r="AL52" s="32">
        <v>7324</v>
      </c>
      <c r="AM52" s="32">
        <v>7443</v>
      </c>
      <c r="AN52" s="32">
        <v>7469</v>
      </c>
      <c r="AO52" s="32">
        <v>7610</v>
      </c>
      <c r="AP52" s="32">
        <v>7987</v>
      </c>
      <c r="AQ52" s="32">
        <v>8038</v>
      </c>
      <c r="AR52" s="32">
        <v>7962</v>
      </c>
      <c r="AS52" s="32">
        <v>7769</v>
      </c>
      <c r="AT52" s="32">
        <v>7687</v>
      </c>
      <c r="AU52" s="32">
        <v>7416</v>
      </c>
      <c r="AV52" s="32">
        <v>7402</v>
      </c>
      <c r="AW52" s="32">
        <v>7282</v>
      </c>
      <c r="AX52" s="32">
        <v>7198</v>
      </c>
      <c r="AY52" s="32">
        <v>7195</v>
      </c>
      <c r="AZ52" s="32">
        <v>7337</v>
      </c>
      <c r="BA52" s="32">
        <v>7148</v>
      </c>
      <c r="BB52" s="32">
        <v>7300</v>
      </c>
      <c r="BC52" s="32">
        <v>7344</v>
      </c>
      <c r="BD52" s="32">
        <v>7220</v>
      </c>
      <c r="BE52" s="32">
        <v>7227</v>
      </c>
      <c r="BF52" s="32">
        <v>7100</v>
      </c>
      <c r="BG52" s="32">
        <v>7267</v>
      </c>
      <c r="BH52" s="32">
        <v>7310</v>
      </c>
      <c r="BI52" s="32">
        <v>7221</v>
      </c>
      <c r="BJ52" s="32">
        <v>7003</v>
      </c>
      <c r="BK52" s="32">
        <v>6984</v>
      </c>
      <c r="BL52" s="33">
        <v>6963</v>
      </c>
      <c r="BM52" s="1">
        <v>7068</v>
      </c>
      <c r="BN52" s="1">
        <v>7099</v>
      </c>
      <c r="BO52" s="1">
        <v>7220</v>
      </c>
      <c r="BP52" s="1">
        <v>7422</v>
      </c>
    </row>
    <row r="53" spans="1:68" ht="15.9" customHeight="1">
      <c r="A53" s="68" t="s">
        <v>101</v>
      </c>
      <c r="B53" s="28" t="s">
        <v>102</v>
      </c>
      <c r="C53" s="42" t="str">
        <f>_xll.RssMarket("5201","高値")</f>
        <v/>
      </c>
      <c r="D53" s="41" t="e">
        <f t="shared" si="1"/>
        <v>#VALUE!</v>
      </c>
      <c r="E53" s="32">
        <v>6407</v>
      </c>
      <c r="F53" s="32">
        <v>6518</v>
      </c>
      <c r="G53" s="32">
        <v>6468</v>
      </c>
      <c r="H53" s="32">
        <v>6499</v>
      </c>
      <c r="I53" s="32">
        <v>6561</v>
      </c>
      <c r="J53" s="32">
        <v>6540</v>
      </c>
      <c r="K53" s="32">
        <v>6550</v>
      </c>
      <c r="L53" s="32">
        <v>6754</v>
      </c>
      <c r="M53" s="32">
        <v>6897</v>
      </c>
      <c r="N53" s="32">
        <v>6885</v>
      </c>
      <c r="O53" s="32">
        <v>6920</v>
      </c>
      <c r="P53" s="32">
        <v>7095</v>
      </c>
      <c r="Q53" s="32">
        <v>7050</v>
      </c>
      <c r="R53" s="32">
        <v>7110</v>
      </c>
      <c r="S53" s="32">
        <v>7305</v>
      </c>
      <c r="T53" s="32">
        <v>7346</v>
      </c>
      <c r="U53" s="32">
        <v>7292</v>
      </c>
      <c r="V53" s="32">
        <v>7650</v>
      </c>
      <c r="W53" s="32">
        <v>7682</v>
      </c>
      <c r="X53" s="32">
        <v>7800</v>
      </c>
      <c r="Y53" s="32">
        <v>7687</v>
      </c>
      <c r="Z53" s="32">
        <v>7421</v>
      </c>
      <c r="AA53" s="32">
        <v>7500</v>
      </c>
      <c r="AB53" s="32">
        <v>7407</v>
      </c>
      <c r="AC53" s="32">
        <v>7148</v>
      </c>
      <c r="AD53" s="32">
        <v>7004</v>
      </c>
      <c r="AE53" s="32">
        <v>7157</v>
      </c>
      <c r="AF53" s="32">
        <v>7471</v>
      </c>
      <c r="AG53" s="32">
        <v>8069</v>
      </c>
      <c r="AH53" s="32">
        <v>8218</v>
      </c>
      <c r="AI53" s="32">
        <v>8315</v>
      </c>
      <c r="AJ53" s="32">
        <v>7686</v>
      </c>
      <c r="AK53" s="32">
        <v>6980</v>
      </c>
      <c r="AL53" s="32">
        <v>7259</v>
      </c>
      <c r="AM53" s="32">
        <v>6784</v>
      </c>
      <c r="AN53" s="32">
        <v>6545</v>
      </c>
      <c r="AO53" s="32">
        <v>6254</v>
      </c>
      <c r="AP53" s="32">
        <v>6265</v>
      </c>
      <c r="AQ53" s="32">
        <v>6395</v>
      </c>
      <c r="AR53" s="32">
        <v>6031</v>
      </c>
      <c r="AS53" s="32">
        <v>6132</v>
      </c>
      <c r="AT53" s="32">
        <v>6155</v>
      </c>
      <c r="AU53" s="32">
        <v>6098</v>
      </c>
      <c r="AV53" s="32">
        <v>6270</v>
      </c>
      <c r="AW53" s="32">
        <v>5636</v>
      </c>
      <c r="AX53" s="32">
        <v>5668</v>
      </c>
      <c r="AY53" s="32">
        <v>5733</v>
      </c>
      <c r="AZ53" s="32">
        <v>5607</v>
      </c>
      <c r="BA53" s="32">
        <v>5667</v>
      </c>
      <c r="BB53" s="32">
        <v>5754</v>
      </c>
      <c r="BC53" s="32">
        <v>5700</v>
      </c>
      <c r="BD53" s="32">
        <v>5730</v>
      </c>
      <c r="BE53" s="32">
        <v>5664</v>
      </c>
      <c r="BF53" s="32">
        <v>5779</v>
      </c>
      <c r="BG53" s="32">
        <v>5818</v>
      </c>
      <c r="BH53" s="32">
        <v>5796</v>
      </c>
      <c r="BI53" s="32">
        <v>5740</v>
      </c>
      <c r="BJ53" s="32">
        <v>5774</v>
      </c>
      <c r="BK53" s="32">
        <v>5695</v>
      </c>
      <c r="BL53" s="33">
        <v>5782</v>
      </c>
      <c r="BM53" s="1">
        <v>5784</v>
      </c>
      <c r="BN53" s="1">
        <v>5922</v>
      </c>
      <c r="BO53" s="1">
        <v>5976</v>
      </c>
      <c r="BP53" s="1">
        <v>5954</v>
      </c>
    </row>
    <row r="54" spans="1:68" ht="15.9" customHeight="1">
      <c r="A54" s="68" t="s">
        <v>103</v>
      </c>
      <c r="B54" s="28" t="s">
        <v>104</v>
      </c>
      <c r="C54" s="42" t="str">
        <f>_xll.RssMarket("8630","高値")</f>
        <v/>
      </c>
      <c r="D54" s="41" t="e">
        <f t="shared" si="1"/>
        <v>#VALUE!</v>
      </c>
      <c r="E54" s="32">
        <v>6724</v>
      </c>
      <c r="F54" s="32">
        <v>6698</v>
      </c>
      <c r="G54" s="32">
        <v>6622</v>
      </c>
      <c r="H54" s="32">
        <v>6541</v>
      </c>
      <c r="I54" s="32">
        <v>6667</v>
      </c>
      <c r="J54" s="32">
        <v>6689</v>
      </c>
      <c r="K54" s="32">
        <v>6762</v>
      </c>
      <c r="L54" s="32">
        <v>6820</v>
      </c>
      <c r="M54" s="32">
        <v>6770</v>
      </c>
      <c r="N54" s="32">
        <v>6697</v>
      </c>
      <c r="O54" s="32">
        <v>6497</v>
      </c>
      <c r="P54" s="32">
        <v>6389</v>
      </c>
      <c r="Q54" s="32">
        <v>6268</v>
      </c>
      <c r="R54" s="32">
        <v>6261</v>
      </c>
      <c r="S54" s="32">
        <v>6192</v>
      </c>
      <c r="T54" s="32">
        <v>6181</v>
      </c>
      <c r="U54" s="32">
        <v>6386</v>
      </c>
      <c r="V54" s="32">
        <v>6539</v>
      </c>
      <c r="W54" s="32">
        <v>6465</v>
      </c>
      <c r="X54" s="32">
        <v>6410</v>
      </c>
      <c r="Y54" s="32">
        <v>6442</v>
      </c>
      <c r="Z54" s="32">
        <v>6406</v>
      </c>
      <c r="AA54" s="32">
        <v>6274</v>
      </c>
      <c r="AB54" s="32">
        <v>6361</v>
      </c>
      <c r="AC54" s="32">
        <v>6191</v>
      </c>
      <c r="AD54" s="32">
        <v>6249</v>
      </c>
      <c r="AE54" s="32">
        <v>6332</v>
      </c>
      <c r="AF54" s="32">
        <v>6031</v>
      </c>
      <c r="AG54" s="32">
        <v>5956</v>
      </c>
      <c r="AH54" s="32">
        <v>5849</v>
      </c>
      <c r="AI54" s="32">
        <v>5957</v>
      </c>
      <c r="AJ54" s="32">
        <v>5986</v>
      </c>
      <c r="AK54" s="32">
        <v>5958</v>
      </c>
      <c r="AL54" s="32">
        <v>5943</v>
      </c>
      <c r="AM54" s="32">
        <v>5935</v>
      </c>
      <c r="AN54" s="32">
        <v>5625</v>
      </c>
      <c r="AO54" s="32">
        <v>5764</v>
      </c>
      <c r="AP54" s="32">
        <v>5896</v>
      </c>
      <c r="AQ54" s="32">
        <v>6435</v>
      </c>
      <c r="AR54" s="32">
        <v>6161</v>
      </c>
      <c r="AS54" s="32">
        <v>6125</v>
      </c>
      <c r="AT54" s="32">
        <v>6050</v>
      </c>
      <c r="AU54" s="32">
        <v>6129</v>
      </c>
      <c r="AV54" s="32">
        <v>5946</v>
      </c>
      <c r="AW54" s="32">
        <v>5834</v>
      </c>
      <c r="AX54" s="32">
        <v>5900</v>
      </c>
      <c r="AY54" s="32">
        <v>5926</v>
      </c>
      <c r="AZ54" s="32">
        <v>5744</v>
      </c>
      <c r="BA54" s="32">
        <v>5798</v>
      </c>
      <c r="BB54" s="32">
        <v>5815</v>
      </c>
      <c r="BC54" s="32">
        <v>5766</v>
      </c>
      <c r="BD54" s="32">
        <v>5892</v>
      </c>
      <c r="BE54" s="32">
        <v>5858</v>
      </c>
      <c r="BF54" s="32">
        <v>5948</v>
      </c>
      <c r="BG54" s="32">
        <v>5955</v>
      </c>
      <c r="BH54" s="32">
        <v>5947</v>
      </c>
      <c r="BI54" s="32">
        <v>5988</v>
      </c>
      <c r="BJ54" s="32">
        <v>5995</v>
      </c>
      <c r="BK54" s="32">
        <v>5990</v>
      </c>
      <c r="BL54" s="33">
        <v>6022</v>
      </c>
      <c r="BM54" s="1">
        <v>5982</v>
      </c>
      <c r="BN54" s="1">
        <v>6050</v>
      </c>
      <c r="BO54" s="1">
        <v>6103</v>
      </c>
      <c r="BP54" s="1">
        <v>6296</v>
      </c>
    </row>
    <row r="55" spans="1:68" ht="15.9" customHeight="1">
      <c r="A55" s="68" t="s">
        <v>105</v>
      </c>
      <c r="B55" s="28" t="s">
        <v>106</v>
      </c>
      <c r="C55" s="42" t="str">
        <f>_xll.RssMarket("5901","高値")</f>
        <v/>
      </c>
      <c r="D55" s="41" t="e">
        <f t="shared" si="1"/>
        <v>#VALUE!</v>
      </c>
      <c r="E55" s="32">
        <v>4108</v>
      </c>
      <c r="F55" s="32">
        <v>4070</v>
      </c>
      <c r="G55" s="32">
        <v>4031</v>
      </c>
      <c r="H55" s="32">
        <v>4099</v>
      </c>
      <c r="I55" s="32">
        <v>4069</v>
      </c>
      <c r="J55" s="32">
        <v>4118</v>
      </c>
      <c r="K55" s="32">
        <v>4143</v>
      </c>
      <c r="L55" s="32">
        <v>4175</v>
      </c>
      <c r="M55" s="32">
        <v>4166</v>
      </c>
      <c r="N55" s="32">
        <v>4160</v>
      </c>
      <c r="O55" s="32">
        <v>4150</v>
      </c>
      <c r="P55" s="32">
        <v>4093</v>
      </c>
      <c r="Q55" s="32">
        <v>4157</v>
      </c>
      <c r="R55" s="32">
        <v>4160</v>
      </c>
      <c r="S55" s="32">
        <v>4167</v>
      </c>
      <c r="T55" s="32">
        <v>4151</v>
      </c>
      <c r="U55" s="32">
        <v>4104</v>
      </c>
      <c r="V55" s="32">
        <v>4163</v>
      </c>
      <c r="W55" s="32">
        <v>4175</v>
      </c>
      <c r="X55" s="32">
        <v>4160</v>
      </c>
      <c r="Y55" s="32">
        <v>4135</v>
      </c>
      <c r="Z55" s="32">
        <v>4088</v>
      </c>
      <c r="AA55" s="32">
        <v>4035</v>
      </c>
      <c r="AB55" s="32">
        <v>4047</v>
      </c>
      <c r="AC55" s="32">
        <v>3938</v>
      </c>
      <c r="AD55" s="32">
        <v>3859</v>
      </c>
      <c r="AE55" s="32">
        <v>3891</v>
      </c>
      <c r="AF55" s="32">
        <v>3912</v>
      </c>
      <c r="AG55" s="32">
        <v>3827</v>
      </c>
      <c r="AH55" s="32">
        <v>3875</v>
      </c>
      <c r="AI55" s="32">
        <v>3912</v>
      </c>
      <c r="AJ55" s="32">
        <v>3920</v>
      </c>
      <c r="AK55" s="32">
        <v>4010</v>
      </c>
      <c r="AL55" s="32">
        <v>3948</v>
      </c>
      <c r="AM55" s="32">
        <v>3973</v>
      </c>
      <c r="AN55" s="32">
        <v>4043</v>
      </c>
      <c r="AO55" s="32">
        <v>4369</v>
      </c>
      <c r="AP55" s="32">
        <v>4404</v>
      </c>
      <c r="AQ55" s="32">
        <v>4097</v>
      </c>
      <c r="AR55" s="32">
        <v>4022</v>
      </c>
      <c r="AS55" s="32">
        <v>3930</v>
      </c>
      <c r="AT55" s="32">
        <v>3730</v>
      </c>
      <c r="AU55" s="32">
        <v>3472</v>
      </c>
      <c r="AV55" s="32">
        <v>3508</v>
      </c>
      <c r="AW55" s="32">
        <v>3428</v>
      </c>
      <c r="AX55" s="32">
        <v>3532</v>
      </c>
      <c r="AY55" s="32">
        <v>3651</v>
      </c>
      <c r="AZ55" s="32">
        <v>3607</v>
      </c>
      <c r="BA55" s="32">
        <v>3520</v>
      </c>
      <c r="BB55" s="32">
        <v>3258</v>
      </c>
      <c r="BC55" s="32">
        <v>3210</v>
      </c>
      <c r="BD55" s="32">
        <v>3220</v>
      </c>
      <c r="BE55" s="32">
        <v>3242</v>
      </c>
      <c r="BF55" s="32">
        <v>3264</v>
      </c>
      <c r="BG55" s="32">
        <v>3382</v>
      </c>
      <c r="BH55" s="32">
        <v>3420</v>
      </c>
      <c r="BI55" s="32">
        <v>3406</v>
      </c>
      <c r="BJ55" s="32">
        <v>3385</v>
      </c>
      <c r="BK55" s="32">
        <v>3450</v>
      </c>
      <c r="BL55" s="33">
        <v>3429</v>
      </c>
      <c r="BM55" s="1">
        <v>3438</v>
      </c>
      <c r="BN55" s="1">
        <v>3469</v>
      </c>
      <c r="BO55" s="1">
        <v>3519</v>
      </c>
      <c r="BP55" s="1">
        <v>3590</v>
      </c>
    </row>
    <row r="56" spans="1:68" ht="15.9" customHeight="1">
      <c r="A56" s="68" t="s">
        <v>107</v>
      </c>
      <c r="B56" s="28" t="s">
        <v>108</v>
      </c>
      <c r="C56" s="42" t="str">
        <f>_xll.RssMarket("9412","高値")</f>
        <v/>
      </c>
      <c r="D56" s="41" t="e">
        <f t="shared" si="1"/>
        <v>#VALUE!</v>
      </c>
      <c r="E56" s="32">
        <v>2327</v>
      </c>
      <c r="F56" s="32">
        <v>2485</v>
      </c>
      <c r="G56" s="32">
        <v>2500</v>
      </c>
      <c r="H56" s="32">
        <v>2572</v>
      </c>
      <c r="I56" s="32">
        <v>2582</v>
      </c>
      <c r="J56" s="32">
        <v>2595</v>
      </c>
      <c r="K56" s="32">
        <v>2720</v>
      </c>
      <c r="L56" s="32">
        <v>2714</v>
      </c>
      <c r="M56" s="32">
        <v>2792</v>
      </c>
      <c r="N56" s="32">
        <v>2783</v>
      </c>
      <c r="O56" s="32">
        <v>2702</v>
      </c>
      <c r="P56" s="32">
        <v>2686</v>
      </c>
      <c r="Q56" s="32">
        <v>2736</v>
      </c>
      <c r="R56" s="32">
        <v>2593</v>
      </c>
      <c r="S56" s="32">
        <v>2528</v>
      </c>
      <c r="T56" s="32">
        <v>2738</v>
      </c>
      <c r="U56" s="32">
        <v>2870</v>
      </c>
      <c r="V56" s="32">
        <v>3235</v>
      </c>
      <c r="W56" s="32">
        <v>3245</v>
      </c>
      <c r="X56" s="32">
        <v>3265</v>
      </c>
      <c r="Y56" s="32">
        <v>3495</v>
      </c>
      <c r="Z56" s="32">
        <v>3420</v>
      </c>
      <c r="AA56" s="32">
        <v>3345</v>
      </c>
      <c r="AB56" s="32">
        <v>3425</v>
      </c>
      <c r="AC56" s="32">
        <v>3505</v>
      </c>
      <c r="AD56" s="32">
        <v>3245</v>
      </c>
      <c r="AE56" s="32">
        <v>3230</v>
      </c>
      <c r="AF56" s="32">
        <v>3585</v>
      </c>
      <c r="AG56" s="32">
        <v>3670</v>
      </c>
      <c r="AH56" s="32">
        <v>3470</v>
      </c>
      <c r="AI56" s="32">
        <v>3785</v>
      </c>
      <c r="AJ56" s="32">
        <v>3910</v>
      </c>
      <c r="AK56" s="32">
        <v>4600</v>
      </c>
      <c r="AL56" s="32">
        <v>4540</v>
      </c>
      <c r="AM56" s="32">
        <v>4720</v>
      </c>
      <c r="AN56" s="32">
        <v>4530</v>
      </c>
      <c r="AO56" s="32">
        <v>4325</v>
      </c>
      <c r="AP56" s="32">
        <v>4430</v>
      </c>
      <c r="AQ56" s="32">
        <v>4240</v>
      </c>
      <c r="AR56" s="32">
        <v>4185</v>
      </c>
      <c r="AS56" s="32">
        <v>4310</v>
      </c>
      <c r="AT56" s="32">
        <v>4345</v>
      </c>
      <c r="AU56" s="32">
        <v>4335</v>
      </c>
      <c r="AV56" s="32">
        <v>4220</v>
      </c>
      <c r="AW56" s="32">
        <v>4030</v>
      </c>
      <c r="AX56" s="32">
        <v>3840</v>
      </c>
      <c r="AY56" s="32">
        <v>3715</v>
      </c>
      <c r="AZ56" s="32">
        <v>3620</v>
      </c>
      <c r="BA56" s="32">
        <v>3650</v>
      </c>
      <c r="BB56" s="32">
        <v>3530</v>
      </c>
      <c r="BC56" s="32">
        <v>3380</v>
      </c>
      <c r="BD56" s="32">
        <v>3220</v>
      </c>
      <c r="BE56" s="32">
        <v>3305</v>
      </c>
      <c r="BF56" s="32">
        <v>3200</v>
      </c>
      <c r="BG56" s="32">
        <v>3335</v>
      </c>
      <c r="BH56" s="32">
        <v>3420</v>
      </c>
      <c r="BI56" s="32">
        <v>3385</v>
      </c>
      <c r="BJ56" s="32">
        <v>3385</v>
      </c>
      <c r="BK56" s="32">
        <v>3265</v>
      </c>
      <c r="BL56" s="33">
        <v>3255</v>
      </c>
      <c r="BM56" s="1">
        <v>3175</v>
      </c>
      <c r="BN56" s="1">
        <v>3040</v>
      </c>
      <c r="BO56" s="1">
        <v>3155</v>
      </c>
      <c r="BP56" s="1">
        <v>3185</v>
      </c>
    </row>
    <row r="57" spans="1:68" ht="15.9" customHeight="1">
      <c r="A57" s="68" t="s">
        <v>109</v>
      </c>
      <c r="B57" s="28" t="s">
        <v>110</v>
      </c>
      <c r="C57" s="42" t="str">
        <f>_xll.RssMarket("6203","高値")</f>
        <v/>
      </c>
      <c r="D57" s="41" t="e">
        <f t="shared" si="1"/>
        <v>#VALUE!</v>
      </c>
      <c r="E57" s="32">
        <v>1454</v>
      </c>
      <c r="F57" s="32">
        <v>1686</v>
      </c>
      <c r="G57" s="32">
        <v>1607</v>
      </c>
      <c r="H57" s="32">
        <v>1649</v>
      </c>
      <c r="I57" s="32">
        <v>1674</v>
      </c>
      <c r="J57" s="32">
        <v>1612</v>
      </c>
      <c r="K57" s="32">
        <v>1667</v>
      </c>
      <c r="L57" s="32">
        <v>1870</v>
      </c>
      <c r="M57" s="32">
        <v>1763</v>
      </c>
      <c r="N57" s="32">
        <v>1637</v>
      </c>
      <c r="O57" s="32">
        <v>1606</v>
      </c>
      <c r="P57" s="32">
        <v>1534</v>
      </c>
      <c r="Q57" s="32">
        <v>1558</v>
      </c>
      <c r="R57" s="32">
        <v>1660</v>
      </c>
      <c r="S57" s="32">
        <v>1673</v>
      </c>
      <c r="T57" s="32">
        <v>1618</v>
      </c>
      <c r="U57" s="32">
        <v>1640</v>
      </c>
      <c r="V57" s="32">
        <v>1729</v>
      </c>
      <c r="W57" s="32">
        <v>1721</v>
      </c>
      <c r="X57" s="32">
        <v>1707</v>
      </c>
      <c r="Y57" s="32">
        <v>1753</v>
      </c>
      <c r="Z57" s="32">
        <v>1679</v>
      </c>
      <c r="AA57" s="32">
        <v>1592</v>
      </c>
      <c r="AB57" s="32">
        <v>1620</v>
      </c>
      <c r="AC57" s="32">
        <v>1648</v>
      </c>
      <c r="AD57" s="32">
        <v>1651</v>
      </c>
      <c r="AE57" s="32">
        <v>1810</v>
      </c>
      <c r="AF57" s="32">
        <v>1838</v>
      </c>
      <c r="AG57" s="32">
        <v>1839</v>
      </c>
      <c r="AH57" s="32">
        <v>1874</v>
      </c>
      <c r="AI57" s="32">
        <v>1949</v>
      </c>
      <c r="AJ57" s="32">
        <v>1993</v>
      </c>
      <c r="AK57" s="32">
        <v>2012</v>
      </c>
      <c r="AL57" s="32">
        <v>1670</v>
      </c>
      <c r="AM57" s="32">
        <v>1410</v>
      </c>
      <c r="AN57" s="32">
        <v>1384</v>
      </c>
      <c r="AO57" s="32">
        <v>1364</v>
      </c>
      <c r="AP57" s="32">
        <v>1343</v>
      </c>
      <c r="AQ57" s="32">
        <v>1312</v>
      </c>
      <c r="AR57" s="32">
        <v>1361</v>
      </c>
      <c r="AS57" s="32">
        <v>1392</v>
      </c>
      <c r="AT57" s="32">
        <v>1446</v>
      </c>
      <c r="AU57" s="32">
        <v>1431</v>
      </c>
      <c r="AV57" s="32">
        <v>1463</v>
      </c>
      <c r="AW57" s="32">
        <v>1546</v>
      </c>
      <c r="AX57" s="32">
        <v>1557</v>
      </c>
      <c r="AY57" s="32">
        <v>1510</v>
      </c>
      <c r="AZ57" s="32">
        <v>1577</v>
      </c>
      <c r="BA57" s="32">
        <v>1540</v>
      </c>
      <c r="BB57" s="32">
        <v>1565</v>
      </c>
      <c r="BC57" s="32">
        <v>1588</v>
      </c>
      <c r="BD57" s="32">
        <v>1545</v>
      </c>
      <c r="BE57" s="32">
        <v>1522</v>
      </c>
      <c r="BF57" s="32">
        <v>1606</v>
      </c>
      <c r="BG57" s="32">
        <v>1545</v>
      </c>
      <c r="BH57" s="32">
        <v>1434</v>
      </c>
      <c r="BI57" s="32">
        <v>1390</v>
      </c>
      <c r="BJ57" s="32">
        <v>1376</v>
      </c>
      <c r="BK57" s="32">
        <v>1388</v>
      </c>
      <c r="BL57" s="33">
        <v>1468</v>
      </c>
      <c r="BM57" s="1">
        <v>1489</v>
      </c>
      <c r="BN57" s="1">
        <v>1514</v>
      </c>
      <c r="BO57" s="1">
        <v>1515</v>
      </c>
      <c r="BP57" s="1">
        <v>1596</v>
      </c>
    </row>
    <row r="58" spans="1:68" ht="15.9" customHeight="1">
      <c r="A58" s="68" t="s">
        <v>111</v>
      </c>
      <c r="B58" s="28" t="s">
        <v>112</v>
      </c>
      <c r="C58" s="42" t="str">
        <f>_xll.RssMarket("4676","高値")</f>
        <v/>
      </c>
      <c r="D58" s="41" t="e">
        <f t="shared" si="1"/>
        <v>#VALUE!</v>
      </c>
      <c r="E58" s="32">
        <v>4148</v>
      </c>
      <c r="F58" s="32">
        <v>4256</v>
      </c>
      <c r="G58" s="32">
        <v>4289</v>
      </c>
      <c r="H58" s="32">
        <v>4174</v>
      </c>
      <c r="I58" s="32">
        <v>4166</v>
      </c>
      <c r="J58" s="32">
        <v>4100</v>
      </c>
      <c r="K58" s="32">
        <v>4147</v>
      </c>
      <c r="L58" s="32">
        <v>4170</v>
      </c>
      <c r="M58" s="32">
        <v>4083</v>
      </c>
      <c r="N58" s="32">
        <v>4070</v>
      </c>
      <c r="O58" s="32">
        <v>4076</v>
      </c>
      <c r="P58" s="32">
        <v>4000</v>
      </c>
      <c r="Q58" s="32">
        <v>3919</v>
      </c>
      <c r="R58" s="32">
        <v>3885</v>
      </c>
      <c r="S58" s="32">
        <v>3984</v>
      </c>
      <c r="T58" s="32">
        <v>4201</v>
      </c>
      <c r="U58" s="32">
        <v>3944</v>
      </c>
      <c r="V58" s="32">
        <v>4111</v>
      </c>
      <c r="W58" s="32">
        <v>4103</v>
      </c>
      <c r="X58" s="32">
        <v>4064</v>
      </c>
      <c r="Y58" s="32">
        <v>4074</v>
      </c>
      <c r="Z58" s="32">
        <v>4063</v>
      </c>
      <c r="AA58" s="32">
        <v>4080</v>
      </c>
      <c r="AB58" s="32">
        <v>4152</v>
      </c>
      <c r="AC58" s="32">
        <v>4097</v>
      </c>
      <c r="AD58" s="32">
        <v>4118</v>
      </c>
      <c r="AE58" s="32">
        <v>4164</v>
      </c>
      <c r="AF58" s="32">
        <v>4185</v>
      </c>
      <c r="AG58" s="32">
        <v>4272</v>
      </c>
      <c r="AH58" s="32">
        <v>3874</v>
      </c>
      <c r="AI58" s="32">
        <v>3867</v>
      </c>
      <c r="AJ58" s="32">
        <v>3923</v>
      </c>
      <c r="AK58" s="32">
        <v>3784</v>
      </c>
      <c r="AL58" s="32">
        <v>3782</v>
      </c>
      <c r="AM58" s="32">
        <v>3754</v>
      </c>
      <c r="AN58" s="32">
        <v>3781</v>
      </c>
      <c r="AO58" s="32">
        <v>3845</v>
      </c>
      <c r="AP58" s="32">
        <v>3860</v>
      </c>
      <c r="AQ58" s="32">
        <v>3842</v>
      </c>
      <c r="AR58" s="32">
        <v>3811</v>
      </c>
      <c r="AS58" s="32">
        <v>3832</v>
      </c>
      <c r="AT58" s="32">
        <v>3822</v>
      </c>
      <c r="AU58" s="32">
        <v>3872</v>
      </c>
      <c r="AV58" s="32">
        <v>3915</v>
      </c>
      <c r="AW58" s="32">
        <v>3995</v>
      </c>
      <c r="AX58" s="32">
        <v>3977</v>
      </c>
      <c r="AY58" s="32">
        <v>3994</v>
      </c>
      <c r="AZ58" s="32">
        <v>3984</v>
      </c>
      <c r="BA58" s="32">
        <v>3929</v>
      </c>
      <c r="BB58" s="32">
        <v>3867</v>
      </c>
      <c r="BC58" s="32">
        <v>3956</v>
      </c>
      <c r="BD58" s="32">
        <v>4004</v>
      </c>
      <c r="BE58" s="32">
        <v>4064</v>
      </c>
      <c r="BF58" s="32">
        <v>4034</v>
      </c>
      <c r="BG58" s="32">
        <v>4014</v>
      </c>
      <c r="BH58" s="32">
        <v>4065</v>
      </c>
      <c r="BI58" s="32">
        <v>4132</v>
      </c>
      <c r="BJ58" s="32">
        <v>3951</v>
      </c>
      <c r="BK58" s="32">
        <v>4214</v>
      </c>
      <c r="BL58" s="33">
        <v>4266</v>
      </c>
      <c r="BM58" s="1">
        <v>4239</v>
      </c>
      <c r="BN58" s="1">
        <v>4256</v>
      </c>
      <c r="BO58" s="1">
        <v>4305</v>
      </c>
      <c r="BP58" s="1">
        <v>4343</v>
      </c>
    </row>
    <row r="59" spans="1:68" ht="15.9" customHeight="1">
      <c r="A59" s="68" t="s">
        <v>113</v>
      </c>
      <c r="B59" s="28" t="s">
        <v>114</v>
      </c>
      <c r="C59" s="42" t="str">
        <f>_xll.RssMarket("1961","高値")</f>
        <v/>
      </c>
      <c r="D59" s="41" t="e">
        <f t="shared" si="1"/>
        <v>#VALUE!</v>
      </c>
      <c r="E59" s="32">
        <v>2576</v>
      </c>
      <c r="F59" s="32">
        <v>2651</v>
      </c>
      <c r="G59" s="32">
        <v>2562</v>
      </c>
      <c r="H59" s="32">
        <v>2699</v>
      </c>
      <c r="I59" s="32">
        <v>2711</v>
      </c>
      <c r="J59" s="32">
        <v>2691</v>
      </c>
      <c r="K59" s="32">
        <v>2769</v>
      </c>
      <c r="L59" s="32">
        <v>2913</v>
      </c>
      <c r="M59" s="32">
        <v>2912</v>
      </c>
      <c r="N59" s="32">
        <v>2804</v>
      </c>
      <c r="O59" s="32">
        <v>2895</v>
      </c>
      <c r="P59" s="32">
        <v>2991</v>
      </c>
      <c r="Q59" s="32">
        <v>3080</v>
      </c>
      <c r="R59" s="32">
        <v>3160</v>
      </c>
      <c r="S59" s="32">
        <v>3175</v>
      </c>
      <c r="T59" s="32">
        <v>3180</v>
      </c>
      <c r="U59" s="32">
        <v>3100</v>
      </c>
      <c r="V59" s="32">
        <v>3275</v>
      </c>
      <c r="W59" s="32">
        <v>3135</v>
      </c>
      <c r="X59" s="32">
        <v>3230</v>
      </c>
      <c r="Y59" s="32">
        <v>2987</v>
      </c>
      <c r="Z59" s="32">
        <v>2700</v>
      </c>
      <c r="AA59" s="32">
        <v>2626</v>
      </c>
      <c r="AB59" s="32">
        <v>2673</v>
      </c>
      <c r="AC59" s="32">
        <v>2520</v>
      </c>
      <c r="AD59" s="32">
        <v>2473</v>
      </c>
      <c r="AE59" s="32">
        <v>2575</v>
      </c>
      <c r="AF59" s="32">
        <v>2325</v>
      </c>
      <c r="AG59" s="32">
        <v>2349</v>
      </c>
      <c r="AH59" s="32">
        <v>2302</v>
      </c>
      <c r="AI59" s="32">
        <v>2180</v>
      </c>
      <c r="AJ59" s="32">
        <v>2205</v>
      </c>
      <c r="AK59" s="32">
        <v>2367</v>
      </c>
      <c r="AL59" s="32">
        <v>2287</v>
      </c>
      <c r="AM59" s="32">
        <v>2386</v>
      </c>
      <c r="AN59" s="32">
        <v>2259</v>
      </c>
      <c r="AO59" s="32">
        <v>2215</v>
      </c>
      <c r="AP59" s="32">
        <v>2274</v>
      </c>
      <c r="AQ59" s="32">
        <v>2378</v>
      </c>
      <c r="AR59" s="32">
        <v>2438</v>
      </c>
      <c r="AS59" s="32">
        <v>2539</v>
      </c>
      <c r="AT59" s="32">
        <v>2719</v>
      </c>
      <c r="AU59" s="32">
        <v>2687</v>
      </c>
      <c r="AV59" s="32">
        <v>2670</v>
      </c>
      <c r="AW59" s="32">
        <v>2730</v>
      </c>
      <c r="AX59" s="32">
        <v>2625</v>
      </c>
      <c r="AY59" s="32">
        <v>2557</v>
      </c>
      <c r="AZ59" s="32">
        <v>2610</v>
      </c>
      <c r="BA59" s="32">
        <v>2458</v>
      </c>
      <c r="BB59" s="32">
        <v>2439</v>
      </c>
      <c r="BC59" s="32">
        <v>2428</v>
      </c>
      <c r="BD59" s="32">
        <v>2376</v>
      </c>
      <c r="BE59" s="32">
        <v>2333</v>
      </c>
      <c r="BF59" s="32">
        <v>2283</v>
      </c>
      <c r="BG59" s="32">
        <v>2369</v>
      </c>
      <c r="BH59" s="32">
        <v>2403</v>
      </c>
      <c r="BI59" s="32">
        <v>2433</v>
      </c>
      <c r="BJ59" s="32">
        <v>2433</v>
      </c>
      <c r="BK59" s="32">
        <v>2473</v>
      </c>
      <c r="BL59" s="33">
        <v>2673</v>
      </c>
      <c r="BM59" s="1">
        <v>2776</v>
      </c>
      <c r="BN59" s="1">
        <v>2783</v>
      </c>
      <c r="BO59" s="1">
        <v>2756</v>
      </c>
      <c r="BP59" s="1">
        <v>2686</v>
      </c>
    </row>
    <row r="60" spans="1:68" ht="15.9" customHeight="1">
      <c r="A60" s="68" t="s">
        <v>115</v>
      </c>
      <c r="B60" s="28" t="s">
        <v>116</v>
      </c>
      <c r="C60" s="42" t="str">
        <f>_xll.RssMarket("3107","高値")</f>
        <v/>
      </c>
      <c r="D60" s="41" t="e">
        <f t="shared" si="1"/>
        <v>#VALUE!</v>
      </c>
      <c r="E60" s="32">
        <v>3456</v>
      </c>
      <c r="F60" s="32">
        <v>3464</v>
      </c>
      <c r="G60" s="32">
        <v>3440</v>
      </c>
      <c r="H60" s="32">
        <v>3447</v>
      </c>
      <c r="I60" s="32">
        <v>3432</v>
      </c>
      <c r="J60" s="32">
        <v>3456</v>
      </c>
      <c r="K60" s="32">
        <v>3494</v>
      </c>
      <c r="L60" s="32">
        <v>3531</v>
      </c>
      <c r="M60" s="32">
        <v>3565</v>
      </c>
      <c r="N60" s="32">
        <v>3547</v>
      </c>
      <c r="O60" s="32">
        <v>3504</v>
      </c>
      <c r="P60" s="32">
        <v>3478</v>
      </c>
      <c r="Q60" s="32">
        <v>3523</v>
      </c>
      <c r="R60" s="32">
        <v>3528</v>
      </c>
      <c r="S60" s="32">
        <v>3477</v>
      </c>
      <c r="T60" s="32">
        <v>3425</v>
      </c>
      <c r="U60" s="32">
        <v>3371</v>
      </c>
      <c r="V60" s="32">
        <v>3370</v>
      </c>
      <c r="W60" s="32">
        <v>3373</v>
      </c>
      <c r="X60" s="32">
        <v>3363</v>
      </c>
      <c r="Y60" s="32">
        <v>3374</v>
      </c>
      <c r="Z60" s="32">
        <v>3441</v>
      </c>
      <c r="AA60" s="32">
        <v>3488</v>
      </c>
      <c r="AB60" s="32">
        <v>3483</v>
      </c>
      <c r="AC60" s="32">
        <v>3500</v>
      </c>
      <c r="AD60" s="32">
        <v>3495</v>
      </c>
      <c r="AE60" s="32">
        <v>3480</v>
      </c>
      <c r="AF60" s="32">
        <v>3550</v>
      </c>
      <c r="AG60" s="32">
        <v>3520</v>
      </c>
      <c r="AH60" s="32">
        <v>3588</v>
      </c>
      <c r="AI60" s="32">
        <v>3605</v>
      </c>
      <c r="AJ60" s="32">
        <v>3622</v>
      </c>
      <c r="AK60" s="32">
        <v>3490</v>
      </c>
      <c r="AL60" s="32">
        <v>3402</v>
      </c>
      <c r="AM60" s="32">
        <v>3393</v>
      </c>
      <c r="AN60" s="32">
        <v>3511</v>
      </c>
      <c r="AO60" s="32">
        <v>3540</v>
      </c>
      <c r="AP60" s="32">
        <v>3568</v>
      </c>
      <c r="AQ60" s="32">
        <v>3594</v>
      </c>
      <c r="AR60" s="32">
        <v>3591</v>
      </c>
      <c r="AS60" s="32">
        <v>3574</v>
      </c>
      <c r="AT60" s="32">
        <v>3482</v>
      </c>
      <c r="AU60" s="32">
        <v>3485</v>
      </c>
      <c r="AV60" s="32">
        <v>3430</v>
      </c>
      <c r="AW60" s="32">
        <v>3455</v>
      </c>
      <c r="AX60" s="32">
        <v>3473</v>
      </c>
      <c r="AY60" s="32">
        <v>3427</v>
      </c>
      <c r="AZ60" s="32">
        <v>3335</v>
      </c>
      <c r="BA60" s="32">
        <v>3206</v>
      </c>
      <c r="BB60" s="32">
        <v>3225</v>
      </c>
      <c r="BC60" s="32">
        <v>3246</v>
      </c>
      <c r="BD60" s="32">
        <v>3178</v>
      </c>
      <c r="BE60" s="32">
        <v>3144</v>
      </c>
      <c r="BF60" s="32">
        <v>3119</v>
      </c>
      <c r="BG60" s="32">
        <v>3122</v>
      </c>
      <c r="BH60" s="32">
        <v>3124</v>
      </c>
      <c r="BI60" s="32">
        <v>3180</v>
      </c>
      <c r="BJ60" s="32">
        <v>3188</v>
      </c>
      <c r="BK60" s="32">
        <v>3219</v>
      </c>
      <c r="BL60" s="33">
        <v>3196</v>
      </c>
      <c r="BM60" s="1">
        <v>3187</v>
      </c>
      <c r="BN60" s="1">
        <v>3129</v>
      </c>
      <c r="BO60" s="1">
        <v>3201</v>
      </c>
      <c r="BP60" s="1">
        <v>3250</v>
      </c>
    </row>
    <row r="61" spans="1:68" ht="15.9" customHeight="1">
      <c r="A61" s="68" t="s">
        <v>117</v>
      </c>
      <c r="B61" s="28" t="s">
        <v>118</v>
      </c>
      <c r="C61" s="42" t="str">
        <f>_xll.RssMarket("4045","高値")</f>
        <v/>
      </c>
      <c r="D61" s="41" t="e">
        <f t="shared" si="1"/>
        <v>#VALUE!</v>
      </c>
      <c r="E61" s="32">
        <v>1742.5</v>
      </c>
      <c r="F61" s="32">
        <v>1760</v>
      </c>
      <c r="G61" s="32">
        <v>1734.5</v>
      </c>
      <c r="H61" s="32">
        <v>1748</v>
      </c>
      <c r="I61" s="32">
        <v>1757.5</v>
      </c>
      <c r="J61" s="32">
        <v>1750</v>
      </c>
      <c r="K61" s="32">
        <v>1761.5</v>
      </c>
      <c r="L61" s="32">
        <v>1794.5</v>
      </c>
      <c r="M61" s="32">
        <v>1792</v>
      </c>
      <c r="N61" s="32">
        <v>1833.5</v>
      </c>
      <c r="O61" s="32">
        <v>1762.5</v>
      </c>
      <c r="P61" s="32">
        <v>1767</v>
      </c>
      <c r="Q61" s="32">
        <v>1758</v>
      </c>
      <c r="R61" s="32">
        <v>1754.5</v>
      </c>
      <c r="S61" s="32">
        <v>1789.5</v>
      </c>
      <c r="T61" s="32">
        <v>1797</v>
      </c>
      <c r="U61" s="32">
        <v>1763.5</v>
      </c>
      <c r="V61" s="32">
        <v>1764.5</v>
      </c>
      <c r="W61" s="32">
        <v>1778</v>
      </c>
      <c r="X61" s="32">
        <v>1785.5</v>
      </c>
      <c r="Y61" s="32">
        <v>1787.5</v>
      </c>
      <c r="Z61" s="32">
        <v>1768.5</v>
      </c>
      <c r="AA61" s="32">
        <v>1770</v>
      </c>
      <c r="AB61" s="32">
        <v>1780</v>
      </c>
      <c r="AC61" s="32">
        <v>1741.5</v>
      </c>
      <c r="AD61" s="32">
        <v>1709</v>
      </c>
      <c r="AE61" s="32">
        <v>1713.5</v>
      </c>
      <c r="AF61" s="32">
        <v>1726</v>
      </c>
      <c r="AG61" s="32">
        <v>1758</v>
      </c>
      <c r="AH61" s="32">
        <v>1752.5</v>
      </c>
      <c r="AI61" s="32">
        <v>1768</v>
      </c>
      <c r="AJ61" s="32">
        <v>1742.5</v>
      </c>
      <c r="AK61" s="32">
        <v>1782.5</v>
      </c>
      <c r="AL61" s="32">
        <v>1748</v>
      </c>
      <c r="AM61" s="32">
        <v>1749</v>
      </c>
      <c r="AN61" s="32">
        <v>1745</v>
      </c>
      <c r="AO61" s="32">
        <v>1719</v>
      </c>
      <c r="AP61" s="32">
        <v>1724</v>
      </c>
      <c r="AQ61" s="32">
        <v>1711</v>
      </c>
      <c r="AR61" s="32">
        <v>1765</v>
      </c>
      <c r="AS61" s="32">
        <v>1753.5</v>
      </c>
      <c r="AT61" s="32">
        <v>1765</v>
      </c>
      <c r="AU61" s="32">
        <v>1769</v>
      </c>
      <c r="AV61" s="32">
        <v>1747.5</v>
      </c>
      <c r="AW61" s="32">
        <v>1745</v>
      </c>
      <c r="AX61" s="32">
        <v>1731.5</v>
      </c>
      <c r="AY61" s="32">
        <v>1735.5</v>
      </c>
      <c r="AZ61" s="32">
        <v>1767</v>
      </c>
      <c r="BA61" s="32">
        <v>1727</v>
      </c>
      <c r="BB61" s="32">
        <v>1702.5</v>
      </c>
      <c r="BC61" s="32">
        <v>1747</v>
      </c>
      <c r="BD61" s="32">
        <v>1744</v>
      </c>
      <c r="BE61" s="32">
        <v>1799</v>
      </c>
      <c r="BF61" s="32">
        <v>1804</v>
      </c>
      <c r="BG61" s="32">
        <v>1802</v>
      </c>
      <c r="BH61" s="32">
        <v>1801.5</v>
      </c>
      <c r="BI61" s="32">
        <v>1812</v>
      </c>
      <c r="BJ61" s="32">
        <v>1809.5</v>
      </c>
      <c r="BK61" s="32">
        <v>1808</v>
      </c>
      <c r="BL61" s="33">
        <v>1804</v>
      </c>
      <c r="BM61" s="1">
        <v>1789</v>
      </c>
      <c r="BN61" s="1">
        <v>1793</v>
      </c>
      <c r="BO61" s="1">
        <v>1801</v>
      </c>
      <c r="BP61" s="1">
        <v>1803.5</v>
      </c>
    </row>
    <row r="62" spans="1:68" ht="15.9" customHeight="1">
      <c r="A62" s="68" t="s">
        <v>119</v>
      </c>
      <c r="B62" s="28" t="s">
        <v>120</v>
      </c>
      <c r="C62" s="42" t="str">
        <f>_xll.RssMarket("5857","高値")</f>
        <v/>
      </c>
      <c r="D62" s="41" t="e">
        <f t="shared" si="1"/>
        <v>#VALUE!</v>
      </c>
      <c r="E62" s="32">
        <v>3025</v>
      </c>
      <c r="F62" s="32">
        <v>3130</v>
      </c>
      <c r="G62" s="32">
        <v>3045</v>
      </c>
      <c r="H62" s="32">
        <v>3015</v>
      </c>
      <c r="I62" s="32">
        <v>2998</v>
      </c>
      <c r="J62" s="32">
        <v>2964</v>
      </c>
      <c r="K62" s="32">
        <v>3025</v>
      </c>
      <c r="L62" s="32">
        <v>3090</v>
      </c>
      <c r="M62" s="32">
        <v>3130</v>
      </c>
      <c r="N62" s="32">
        <v>3045</v>
      </c>
      <c r="O62" s="32">
        <v>2994</v>
      </c>
      <c r="P62" s="32">
        <v>2979</v>
      </c>
      <c r="Q62" s="32">
        <v>2966</v>
      </c>
      <c r="R62" s="32">
        <v>2954</v>
      </c>
      <c r="S62" s="32">
        <v>2920</v>
      </c>
      <c r="T62" s="32">
        <v>3120</v>
      </c>
      <c r="U62" s="32">
        <v>3205</v>
      </c>
      <c r="V62" s="32">
        <v>3240</v>
      </c>
      <c r="W62" s="32">
        <v>3245</v>
      </c>
      <c r="X62" s="32">
        <v>3220</v>
      </c>
      <c r="Y62" s="32">
        <v>3265</v>
      </c>
      <c r="Z62" s="32">
        <v>3320</v>
      </c>
      <c r="AA62" s="32">
        <v>3245</v>
      </c>
      <c r="AB62" s="32">
        <v>3240</v>
      </c>
      <c r="AC62" s="32">
        <v>3065</v>
      </c>
      <c r="AD62" s="32">
        <v>2941</v>
      </c>
      <c r="AE62" s="32">
        <v>3065</v>
      </c>
      <c r="AF62" s="32">
        <v>3115</v>
      </c>
      <c r="AG62" s="32">
        <v>3210</v>
      </c>
      <c r="AH62" s="32">
        <v>3215</v>
      </c>
      <c r="AI62" s="32">
        <v>3305</v>
      </c>
      <c r="AJ62" s="32">
        <v>3285</v>
      </c>
      <c r="AK62" s="32">
        <v>3400</v>
      </c>
      <c r="AL62" s="32">
        <v>3325</v>
      </c>
      <c r="AM62" s="32">
        <v>3490</v>
      </c>
      <c r="AN62" s="32">
        <v>3630</v>
      </c>
      <c r="AO62" s="32">
        <v>3560</v>
      </c>
      <c r="AP62" s="32">
        <v>3510</v>
      </c>
      <c r="AQ62" s="32">
        <v>3575</v>
      </c>
      <c r="AR62" s="32">
        <v>3780</v>
      </c>
      <c r="AS62" s="32">
        <v>3870</v>
      </c>
      <c r="AT62" s="32">
        <v>4110</v>
      </c>
      <c r="AU62" s="32">
        <v>4070</v>
      </c>
      <c r="AV62" s="32">
        <v>4060</v>
      </c>
      <c r="AW62" s="32">
        <v>3970</v>
      </c>
      <c r="AX62" s="32">
        <v>4130</v>
      </c>
      <c r="AY62" s="32">
        <v>4105</v>
      </c>
      <c r="AZ62" s="32">
        <v>4030</v>
      </c>
      <c r="BA62" s="32">
        <v>3575</v>
      </c>
      <c r="BB62" s="32">
        <v>3600</v>
      </c>
      <c r="BC62" s="32">
        <v>3685</v>
      </c>
      <c r="BD62" s="32">
        <v>3675</v>
      </c>
      <c r="BE62" s="32">
        <v>3710</v>
      </c>
      <c r="BF62" s="32">
        <v>3790</v>
      </c>
      <c r="BG62" s="32">
        <v>3935</v>
      </c>
      <c r="BH62" s="32">
        <v>4045</v>
      </c>
      <c r="BI62" s="32">
        <v>3835</v>
      </c>
      <c r="BJ62" s="32">
        <v>3865</v>
      </c>
      <c r="BK62" s="32">
        <v>3875</v>
      </c>
      <c r="BL62" s="33">
        <v>3870</v>
      </c>
      <c r="BM62" s="1">
        <v>3780</v>
      </c>
      <c r="BN62" s="1">
        <v>3720</v>
      </c>
      <c r="BO62" s="1">
        <v>3805</v>
      </c>
      <c r="BP62" s="1">
        <v>3790</v>
      </c>
    </row>
    <row r="63" spans="1:68" ht="15.9" customHeight="1">
      <c r="A63" s="68" t="s">
        <v>121</v>
      </c>
      <c r="B63" s="28" t="s">
        <v>122</v>
      </c>
      <c r="C63" s="42" t="str">
        <f>_xll.RssMarket("8281","高値")</f>
        <v/>
      </c>
      <c r="D63" s="41" t="e">
        <f t="shared" si="1"/>
        <v>#VALUE!</v>
      </c>
      <c r="E63" s="32">
        <v>1121</v>
      </c>
      <c r="F63" s="32">
        <v>1101</v>
      </c>
      <c r="G63" s="32">
        <v>1111</v>
      </c>
      <c r="H63" s="32">
        <v>1106</v>
      </c>
      <c r="I63" s="32">
        <v>1098</v>
      </c>
      <c r="J63" s="32">
        <v>1105</v>
      </c>
      <c r="K63" s="32">
        <v>1122</v>
      </c>
      <c r="L63" s="32">
        <v>1124</v>
      </c>
      <c r="M63" s="32">
        <v>1112</v>
      </c>
      <c r="N63" s="32">
        <v>1082</v>
      </c>
      <c r="O63" s="32">
        <v>1076</v>
      </c>
      <c r="P63" s="32">
        <v>1056</v>
      </c>
      <c r="Q63" s="32">
        <v>1072</v>
      </c>
      <c r="R63" s="32">
        <v>1078</v>
      </c>
      <c r="S63" s="32">
        <v>1075</v>
      </c>
      <c r="T63" s="32">
        <v>1055</v>
      </c>
      <c r="U63" s="32">
        <v>1044</v>
      </c>
      <c r="V63" s="32">
        <v>1040</v>
      </c>
      <c r="W63" s="32">
        <v>1047</v>
      </c>
      <c r="X63" s="32">
        <v>1048</v>
      </c>
      <c r="Y63" s="32">
        <v>1059</v>
      </c>
      <c r="Z63" s="32">
        <v>1065</v>
      </c>
      <c r="AA63" s="32">
        <v>1069</v>
      </c>
      <c r="AB63" s="32">
        <v>1080</v>
      </c>
      <c r="AC63" s="32">
        <v>1072</v>
      </c>
      <c r="AD63" s="32">
        <v>1073</v>
      </c>
      <c r="AE63" s="32">
        <v>1067</v>
      </c>
      <c r="AF63" s="32">
        <v>1038</v>
      </c>
      <c r="AG63" s="32">
        <v>1028</v>
      </c>
      <c r="AH63" s="32">
        <v>1019</v>
      </c>
      <c r="AI63" s="32">
        <v>1042</v>
      </c>
      <c r="AJ63" s="32">
        <v>1039</v>
      </c>
      <c r="AK63" s="32">
        <v>1072</v>
      </c>
      <c r="AL63" s="32">
        <v>1057</v>
      </c>
      <c r="AM63" s="32">
        <v>1049</v>
      </c>
      <c r="AN63" s="32">
        <v>1055</v>
      </c>
      <c r="AO63" s="32">
        <v>1059</v>
      </c>
      <c r="AP63" s="32">
        <v>1064</v>
      </c>
      <c r="AQ63" s="32">
        <v>1059</v>
      </c>
      <c r="AR63" s="32">
        <v>1050</v>
      </c>
      <c r="AS63" s="32">
        <v>1028</v>
      </c>
      <c r="AT63" s="32">
        <v>1039</v>
      </c>
      <c r="AU63" s="32">
        <v>966</v>
      </c>
      <c r="AV63" s="32">
        <v>973</v>
      </c>
      <c r="AW63" s="32">
        <v>966</v>
      </c>
      <c r="AX63" s="32">
        <v>973</v>
      </c>
      <c r="AY63" s="32">
        <v>993</v>
      </c>
      <c r="AZ63" s="32">
        <v>996</v>
      </c>
      <c r="BA63" s="32">
        <v>999</v>
      </c>
      <c r="BB63" s="32">
        <v>999</v>
      </c>
      <c r="BC63" s="32">
        <v>998</v>
      </c>
      <c r="BD63" s="32">
        <v>1002</v>
      </c>
      <c r="BE63" s="32">
        <v>1005</v>
      </c>
      <c r="BF63" s="32">
        <v>1026</v>
      </c>
      <c r="BG63" s="32">
        <v>1037</v>
      </c>
      <c r="BH63" s="32">
        <v>1032</v>
      </c>
      <c r="BI63" s="32">
        <v>1024</v>
      </c>
      <c r="BJ63" s="32">
        <v>1028</v>
      </c>
      <c r="BK63" s="32">
        <v>1023</v>
      </c>
      <c r="BL63" s="33">
        <v>1018</v>
      </c>
      <c r="BM63" s="1">
        <v>1013</v>
      </c>
      <c r="BN63" s="1">
        <v>1029</v>
      </c>
      <c r="BO63" s="1">
        <v>1045</v>
      </c>
      <c r="BP63" s="1">
        <v>1044</v>
      </c>
    </row>
    <row r="64" spans="1:68" ht="15.9" customHeight="1">
      <c r="A64" s="68" t="s">
        <v>123</v>
      </c>
      <c r="B64" s="28" t="s">
        <v>124</v>
      </c>
      <c r="C64" s="42" t="str">
        <f>_xll.RssMarket("4540","高値")</f>
        <v/>
      </c>
      <c r="D64" s="41" t="e">
        <f t="shared" si="1"/>
        <v>#VALUE!</v>
      </c>
      <c r="E64" s="32">
        <v>3898</v>
      </c>
      <c r="F64" s="32">
        <v>3883</v>
      </c>
      <c r="G64" s="32">
        <v>3919</v>
      </c>
      <c r="H64" s="32">
        <v>3850</v>
      </c>
      <c r="I64" s="32">
        <v>3829</v>
      </c>
      <c r="J64" s="32">
        <v>3819</v>
      </c>
      <c r="K64" s="32">
        <v>3828</v>
      </c>
      <c r="L64" s="32">
        <v>3833</v>
      </c>
      <c r="M64" s="32">
        <v>3800</v>
      </c>
      <c r="N64" s="32">
        <v>3795</v>
      </c>
      <c r="O64" s="32">
        <v>3762</v>
      </c>
      <c r="P64" s="32">
        <v>3748</v>
      </c>
      <c r="Q64" s="32">
        <v>3751</v>
      </c>
      <c r="R64" s="32">
        <v>3744</v>
      </c>
      <c r="S64" s="32">
        <v>3740</v>
      </c>
      <c r="T64" s="32">
        <v>3810</v>
      </c>
      <c r="U64" s="32">
        <v>3845</v>
      </c>
      <c r="V64" s="32">
        <v>3755</v>
      </c>
      <c r="W64" s="32">
        <v>3759</v>
      </c>
      <c r="X64" s="32">
        <v>3754</v>
      </c>
      <c r="Y64" s="32">
        <v>3776</v>
      </c>
      <c r="Z64" s="32">
        <v>3784</v>
      </c>
      <c r="AA64" s="32">
        <v>3764</v>
      </c>
      <c r="AB64" s="32">
        <v>3757</v>
      </c>
      <c r="AC64" s="32">
        <v>3763</v>
      </c>
      <c r="AD64" s="32">
        <v>3777</v>
      </c>
      <c r="AE64" s="32">
        <v>3758</v>
      </c>
      <c r="AF64" s="32">
        <v>3752</v>
      </c>
      <c r="AG64" s="32">
        <v>3771</v>
      </c>
      <c r="AH64" s="32">
        <v>3760</v>
      </c>
      <c r="AI64" s="32">
        <v>3739</v>
      </c>
      <c r="AJ64" s="32">
        <v>3743</v>
      </c>
      <c r="AK64" s="32">
        <v>3857</v>
      </c>
      <c r="AL64" s="32">
        <v>3860</v>
      </c>
      <c r="AM64" s="32">
        <v>3861</v>
      </c>
      <c r="AN64" s="32">
        <v>3795</v>
      </c>
      <c r="AO64" s="32">
        <v>3888</v>
      </c>
      <c r="AP64" s="32">
        <v>3982</v>
      </c>
      <c r="AQ64" s="32">
        <v>4015</v>
      </c>
      <c r="AR64" s="32">
        <v>3934</v>
      </c>
      <c r="AS64" s="32">
        <v>3837</v>
      </c>
      <c r="AT64" s="32">
        <v>3819</v>
      </c>
      <c r="AU64" s="32">
        <v>3789</v>
      </c>
      <c r="AV64" s="32">
        <v>3719</v>
      </c>
      <c r="AW64" s="32">
        <v>3565</v>
      </c>
      <c r="AX64" s="32">
        <v>3588</v>
      </c>
      <c r="AY64" s="32">
        <v>3641</v>
      </c>
      <c r="AZ64" s="32">
        <v>3644</v>
      </c>
      <c r="BA64" s="32">
        <v>3653</v>
      </c>
      <c r="BB64" s="32">
        <v>3681</v>
      </c>
      <c r="BC64" s="32">
        <v>3728</v>
      </c>
      <c r="BD64" s="32">
        <v>3717</v>
      </c>
      <c r="BE64" s="32">
        <v>3703</v>
      </c>
      <c r="BF64" s="32">
        <v>3700</v>
      </c>
      <c r="BG64" s="32">
        <v>3722</v>
      </c>
      <c r="BH64" s="32">
        <v>3750</v>
      </c>
      <c r="BI64" s="32">
        <v>3791</v>
      </c>
      <c r="BJ64" s="32">
        <v>3780</v>
      </c>
      <c r="BK64" s="32">
        <v>3807</v>
      </c>
      <c r="BL64" s="33">
        <v>3782</v>
      </c>
      <c r="BM64" s="1">
        <v>3790</v>
      </c>
      <c r="BN64" s="1">
        <v>3792</v>
      </c>
      <c r="BO64" s="1">
        <v>3834</v>
      </c>
      <c r="BP64" s="1">
        <v>3870</v>
      </c>
    </row>
    <row r="65" spans="1:68" ht="15.9" customHeight="1">
      <c r="A65" s="68" t="s">
        <v>125</v>
      </c>
      <c r="B65" s="28" t="s">
        <v>126</v>
      </c>
      <c r="C65" s="42" t="str">
        <f>_xll.RssMarket("9984","高値")</f>
        <v/>
      </c>
      <c r="D65" s="41" t="e">
        <f t="shared" si="1"/>
        <v>#VALUE!</v>
      </c>
      <c r="E65" s="32">
        <v>5676</v>
      </c>
      <c r="F65" s="32">
        <v>6660</v>
      </c>
      <c r="G65" s="32">
        <v>6574</v>
      </c>
      <c r="H65" s="32">
        <v>6542</v>
      </c>
      <c r="I65" s="32">
        <v>6556</v>
      </c>
      <c r="J65" s="32">
        <v>5958</v>
      </c>
      <c r="K65" s="32">
        <v>5916</v>
      </c>
      <c r="L65" s="32">
        <v>6113</v>
      </c>
      <c r="M65" s="32">
        <v>6147</v>
      </c>
      <c r="N65" s="32">
        <v>6169</v>
      </c>
      <c r="O65" s="32">
        <v>6266</v>
      </c>
      <c r="P65" s="32">
        <v>6239</v>
      </c>
      <c r="Q65" s="32">
        <v>6047</v>
      </c>
      <c r="R65" s="32">
        <v>6322</v>
      </c>
      <c r="S65" s="32">
        <v>6489</v>
      </c>
      <c r="T65" s="32">
        <v>7188</v>
      </c>
      <c r="U65" s="32">
        <v>6723</v>
      </c>
      <c r="V65" s="32">
        <v>6977</v>
      </c>
      <c r="W65" s="32">
        <v>7394</v>
      </c>
      <c r="X65" s="32">
        <v>7562</v>
      </c>
      <c r="Y65" s="32">
        <v>7294</v>
      </c>
      <c r="Z65" s="32">
        <v>6948</v>
      </c>
      <c r="AA65" s="32">
        <v>7188</v>
      </c>
      <c r="AB65" s="32">
        <v>7327</v>
      </c>
      <c r="AC65" s="32">
        <v>6797</v>
      </c>
      <c r="AD65" s="32">
        <v>6529</v>
      </c>
      <c r="AE65" s="32">
        <v>6730</v>
      </c>
      <c r="AF65" s="32">
        <v>7022</v>
      </c>
      <c r="AG65" s="32">
        <v>7583</v>
      </c>
      <c r="AH65" s="32">
        <v>8099</v>
      </c>
      <c r="AI65" s="32">
        <v>8800</v>
      </c>
      <c r="AJ65" s="32">
        <v>9074</v>
      </c>
      <c r="AK65" s="32">
        <v>7710</v>
      </c>
      <c r="AL65" s="32">
        <v>7220</v>
      </c>
      <c r="AM65" s="32">
        <v>8038</v>
      </c>
      <c r="AN65" s="32">
        <v>7276</v>
      </c>
      <c r="AO65" s="32">
        <v>6881</v>
      </c>
      <c r="AP65" s="32">
        <v>6039</v>
      </c>
      <c r="AQ65" s="32">
        <v>5349</v>
      </c>
      <c r="AR65" s="32">
        <v>5777</v>
      </c>
      <c r="AS65" s="32">
        <v>5720</v>
      </c>
      <c r="AT65" s="32">
        <v>6020</v>
      </c>
      <c r="AU65" s="32">
        <v>6204</v>
      </c>
      <c r="AV65" s="32">
        <v>6084</v>
      </c>
      <c r="AW65" s="32">
        <v>6008</v>
      </c>
      <c r="AX65" s="32">
        <v>6292</v>
      </c>
      <c r="AY65" s="32">
        <v>6242</v>
      </c>
      <c r="AZ65" s="32">
        <v>6424</v>
      </c>
      <c r="BA65" s="32">
        <v>5466</v>
      </c>
      <c r="BB65" s="32">
        <v>5399</v>
      </c>
      <c r="BC65" s="32">
        <v>5751</v>
      </c>
      <c r="BD65" s="32">
        <v>6121</v>
      </c>
      <c r="BE65" s="32">
        <v>6000</v>
      </c>
      <c r="BF65" s="32">
        <v>6160</v>
      </c>
      <c r="BG65" s="32">
        <v>5727</v>
      </c>
      <c r="BH65" s="32">
        <v>5187</v>
      </c>
      <c r="BI65" s="32">
        <v>4818</v>
      </c>
      <c r="BJ65" s="32">
        <v>4689</v>
      </c>
      <c r="BK65" s="32">
        <v>4772</v>
      </c>
      <c r="BL65" s="33">
        <v>4525</v>
      </c>
      <c r="BM65" s="1">
        <v>4263</v>
      </c>
      <c r="BN65" s="1">
        <v>3767</v>
      </c>
      <c r="BO65" s="1">
        <v>3820</v>
      </c>
      <c r="BP65" s="1">
        <v>3823</v>
      </c>
    </row>
    <row r="66" spans="1:68" ht="15.9" customHeight="1">
      <c r="A66" s="68" t="s">
        <v>127</v>
      </c>
      <c r="B66" s="28" t="s">
        <v>128</v>
      </c>
      <c r="C66" s="40" t="str">
        <f>_xll.RssMarket("4063","高値")</f>
        <v/>
      </c>
      <c r="D66" s="41" t="e">
        <f t="shared" si="1"/>
        <v>#VALUE!</v>
      </c>
      <c r="E66" s="32">
        <v>7247</v>
      </c>
      <c r="F66" s="32">
        <v>7690</v>
      </c>
      <c r="G66" s="32">
        <v>7502</v>
      </c>
      <c r="H66" s="32">
        <v>7655</v>
      </c>
      <c r="I66" s="32">
        <v>7403</v>
      </c>
      <c r="J66" s="32">
        <v>7010</v>
      </c>
      <c r="K66" s="32">
        <v>7128</v>
      </c>
      <c r="L66" s="32">
        <v>7460</v>
      </c>
      <c r="M66" s="32">
        <v>7420</v>
      </c>
      <c r="N66" s="32">
        <v>6993</v>
      </c>
      <c r="O66" s="32">
        <v>7195</v>
      </c>
      <c r="P66" s="32">
        <v>7285</v>
      </c>
      <c r="Q66" s="32">
        <v>7058</v>
      </c>
      <c r="R66" s="32">
        <v>6942</v>
      </c>
      <c r="S66" s="32">
        <v>7055</v>
      </c>
      <c r="T66" s="32">
        <v>7268</v>
      </c>
      <c r="U66" s="32">
        <v>7153</v>
      </c>
      <c r="V66" s="32">
        <v>7419</v>
      </c>
      <c r="W66" s="32">
        <v>7377</v>
      </c>
      <c r="X66" s="32">
        <v>7528</v>
      </c>
      <c r="Y66" s="32">
        <v>7736</v>
      </c>
      <c r="Z66" s="32">
        <v>7595</v>
      </c>
      <c r="AA66" s="32">
        <v>7589</v>
      </c>
      <c r="AB66" s="32">
        <v>7567</v>
      </c>
      <c r="AC66" s="32">
        <v>7218</v>
      </c>
      <c r="AD66" s="32">
        <v>6858</v>
      </c>
      <c r="AE66" s="32">
        <v>6830</v>
      </c>
      <c r="AF66" s="32">
        <v>7056</v>
      </c>
      <c r="AG66" s="32">
        <v>7539</v>
      </c>
      <c r="AH66" s="32">
        <v>7730</v>
      </c>
      <c r="AI66" s="32">
        <v>7818</v>
      </c>
      <c r="AJ66" s="32">
        <v>7600</v>
      </c>
      <c r="AK66" s="32">
        <v>7904</v>
      </c>
      <c r="AL66" s="32">
        <v>7480</v>
      </c>
      <c r="AM66" s="32">
        <v>7572</v>
      </c>
      <c r="AN66" s="32">
        <v>7194</v>
      </c>
      <c r="AO66" s="32">
        <v>7065</v>
      </c>
      <c r="AP66" s="32">
        <v>7014</v>
      </c>
      <c r="AQ66" s="32">
        <v>6975</v>
      </c>
      <c r="AR66" s="32">
        <v>7071</v>
      </c>
      <c r="AS66" s="32">
        <v>7157</v>
      </c>
      <c r="AT66" s="32">
        <v>7464</v>
      </c>
      <c r="AU66" s="32">
        <v>7593</v>
      </c>
      <c r="AV66" s="32">
        <v>7466</v>
      </c>
      <c r="AW66" s="32">
        <v>7604</v>
      </c>
      <c r="AX66" s="32">
        <v>7668</v>
      </c>
      <c r="AY66" s="32">
        <v>7653</v>
      </c>
      <c r="AZ66" s="32">
        <v>7883</v>
      </c>
      <c r="BA66" s="32">
        <v>7285</v>
      </c>
      <c r="BB66" s="32">
        <v>7351</v>
      </c>
      <c r="BC66" s="32">
        <v>7082</v>
      </c>
      <c r="BD66" s="32">
        <v>7018</v>
      </c>
      <c r="BE66" s="32">
        <v>6847</v>
      </c>
      <c r="BF66" s="32">
        <v>6784</v>
      </c>
      <c r="BG66" s="32">
        <v>6742</v>
      </c>
      <c r="BH66" s="32">
        <v>6912</v>
      </c>
      <c r="BI66" s="32">
        <v>6886</v>
      </c>
      <c r="BJ66" s="32">
        <v>6996</v>
      </c>
      <c r="BK66" s="32">
        <v>6944</v>
      </c>
      <c r="BL66" s="33">
        <v>6863</v>
      </c>
      <c r="BM66" s="1">
        <v>6696</v>
      </c>
      <c r="BN66" s="1">
        <v>6694</v>
      </c>
      <c r="BO66" s="1">
        <v>6614</v>
      </c>
      <c r="BP66" s="1">
        <v>6558</v>
      </c>
    </row>
    <row r="67" spans="1:68" ht="15.9" customHeight="1">
      <c r="A67" s="68" t="s">
        <v>129</v>
      </c>
      <c r="B67" s="28" t="s">
        <v>130</v>
      </c>
      <c r="C67" s="42" t="str">
        <f>_xll.RssMarket("4536","高値")</f>
        <v/>
      </c>
      <c r="D67" s="41" t="e">
        <f t="shared" si="1"/>
        <v>#VALUE!</v>
      </c>
      <c r="E67" s="32">
        <v>2083</v>
      </c>
      <c r="F67" s="32">
        <v>2132</v>
      </c>
      <c r="G67" s="32">
        <v>2165</v>
      </c>
      <c r="H67" s="32">
        <v>2170.5</v>
      </c>
      <c r="I67" s="32">
        <v>2167</v>
      </c>
      <c r="J67" s="32">
        <v>2205</v>
      </c>
      <c r="K67" s="32">
        <v>2240</v>
      </c>
      <c r="L67" s="32">
        <v>2251</v>
      </c>
      <c r="M67" s="32">
        <v>2253.5</v>
      </c>
      <c r="N67" s="32">
        <v>2254</v>
      </c>
      <c r="O67" s="32">
        <v>2191.5</v>
      </c>
      <c r="P67" s="32">
        <v>2144.5</v>
      </c>
      <c r="Q67" s="32">
        <v>2189</v>
      </c>
      <c r="R67" s="32">
        <v>2192</v>
      </c>
      <c r="S67" s="32">
        <v>2151</v>
      </c>
      <c r="T67" s="32">
        <v>2128</v>
      </c>
      <c r="U67" s="32">
        <v>2079</v>
      </c>
      <c r="V67" s="32">
        <v>2017</v>
      </c>
      <c r="W67" s="32">
        <v>1951.5</v>
      </c>
      <c r="X67" s="32">
        <v>1876</v>
      </c>
      <c r="Y67" s="32">
        <v>1904</v>
      </c>
      <c r="Z67" s="32">
        <v>1935.5</v>
      </c>
      <c r="AA67" s="32">
        <v>1940</v>
      </c>
      <c r="AB67" s="32">
        <v>1950</v>
      </c>
      <c r="AC67" s="32">
        <v>1937.5</v>
      </c>
      <c r="AD67" s="32">
        <v>1954</v>
      </c>
      <c r="AE67" s="32">
        <v>1983</v>
      </c>
      <c r="AF67" s="32">
        <v>2043</v>
      </c>
      <c r="AG67" s="32">
        <v>1952</v>
      </c>
      <c r="AH67" s="32">
        <v>1881</v>
      </c>
      <c r="AI67" s="32">
        <v>1872</v>
      </c>
      <c r="AJ67" s="32">
        <v>1886.5</v>
      </c>
      <c r="AK67" s="32">
        <v>1939</v>
      </c>
      <c r="AL67" s="32">
        <v>1918.5</v>
      </c>
      <c r="AM67" s="32">
        <v>1941</v>
      </c>
      <c r="AN67" s="32">
        <v>1969.5</v>
      </c>
      <c r="AO67" s="32">
        <v>1927.5</v>
      </c>
      <c r="AP67" s="32">
        <v>1934.5</v>
      </c>
      <c r="AQ67" s="32">
        <v>1959.5</v>
      </c>
      <c r="AR67" s="32">
        <v>1898.5</v>
      </c>
      <c r="AS67" s="32">
        <v>1869.5</v>
      </c>
      <c r="AT67" s="32">
        <v>1879.5</v>
      </c>
      <c r="AU67" s="32">
        <v>1909</v>
      </c>
      <c r="AV67" s="32">
        <v>1815</v>
      </c>
      <c r="AW67" s="32">
        <v>1622</v>
      </c>
      <c r="AX67" s="32">
        <v>1629.5</v>
      </c>
      <c r="AY67" s="32">
        <v>1628</v>
      </c>
      <c r="AZ67" s="32">
        <v>1646.5</v>
      </c>
      <c r="BA67" s="32">
        <v>1649</v>
      </c>
      <c r="BB67" s="32">
        <v>1637</v>
      </c>
      <c r="BC67" s="32">
        <v>1652</v>
      </c>
      <c r="BD67" s="32">
        <v>1673.5</v>
      </c>
      <c r="BE67" s="32">
        <v>1695.5</v>
      </c>
      <c r="BF67" s="32">
        <v>1675.5</v>
      </c>
      <c r="BG67" s="32">
        <v>1723.5</v>
      </c>
      <c r="BH67" s="32">
        <v>1740</v>
      </c>
      <c r="BI67" s="32">
        <v>1798</v>
      </c>
      <c r="BJ67" s="32">
        <v>1802.5</v>
      </c>
      <c r="BK67" s="32">
        <v>1816.5</v>
      </c>
      <c r="BL67" s="33">
        <v>1809.5</v>
      </c>
      <c r="BM67" s="1">
        <v>1818.5</v>
      </c>
      <c r="BN67" s="1">
        <v>1827.5</v>
      </c>
      <c r="BO67" s="1">
        <v>1894</v>
      </c>
      <c r="BP67" s="1">
        <v>1937.5</v>
      </c>
    </row>
    <row r="68" spans="1:68" ht="15.9" customHeight="1">
      <c r="A68" s="68" t="s">
        <v>131</v>
      </c>
      <c r="B68" s="28" t="s">
        <v>132</v>
      </c>
      <c r="C68" s="42" t="str">
        <f>_xll.RssMarket("6503","高値")</f>
        <v/>
      </c>
      <c r="D68" s="41" t="e">
        <f t="shared" si="1"/>
        <v>#VALUE!</v>
      </c>
      <c r="E68" s="32">
        <v>5577</v>
      </c>
      <c r="F68" s="32">
        <v>5769</v>
      </c>
      <c r="G68" s="32">
        <v>5686</v>
      </c>
      <c r="H68" s="32">
        <v>5872</v>
      </c>
      <c r="I68" s="32">
        <v>5910</v>
      </c>
      <c r="J68" s="32">
        <v>5826</v>
      </c>
      <c r="K68" s="32">
        <v>5904</v>
      </c>
      <c r="L68" s="32">
        <v>6171</v>
      </c>
      <c r="M68" s="32">
        <v>6078</v>
      </c>
      <c r="N68" s="32">
        <v>5968</v>
      </c>
      <c r="O68" s="32">
        <v>6020</v>
      </c>
      <c r="P68" s="32">
        <v>6040</v>
      </c>
      <c r="Q68" s="32">
        <v>5980</v>
      </c>
      <c r="R68" s="32">
        <v>5935</v>
      </c>
      <c r="S68" s="32">
        <v>5942</v>
      </c>
      <c r="T68" s="32">
        <v>6110</v>
      </c>
      <c r="U68" s="32">
        <v>6052</v>
      </c>
      <c r="V68" s="32">
        <v>6345</v>
      </c>
      <c r="W68" s="32">
        <v>6253</v>
      </c>
      <c r="X68" s="32">
        <v>6166</v>
      </c>
      <c r="Y68" s="32">
        <v>6230</v>
      </c>
      <c r="Z68" s="32">
        <v>5925</v>
      </c>
      <c r="AA68" s="32">
        <v>6009</v>
      </c>
      <c r="AB68" s="32">
        <v>5903</v>
      </c>
      <c r="AC68" s="32">
        <v>5661</v>
      </c>
      <c r="AD68" s="32">
        <v>5446</v>
      </c>
      <c r="AE68" s="32">
        <v>5767</v>
      </c>
      <c r="AF68" s="32">
        <v>5707</v>
      </c>
      <c r="AG68" s="32">
        <v>6043</v>
      </c>
      <c r="AH68" s="32">
        <v>6084</v>
      </c>
      <c r="AI68" s="32">
        <v>6177</v>
      </c>
      <c r="AJ68" s="32">
        <v>6133</v>
      </c>
      <c r="AK68" s="32">
        <v>6641</v>
      </c>
      <c r="AL68" s="32">
        <v>6565</v>
      </c>
      <c r="AM68" s="32">
        <v>6686</v>
      </c>
      <c r="AN68" s="32">
        <v>6614</v>
      </c>
      <c r="AO68" s="32">
        <v>6359</v>
      </c>
      <c r="AP68" s="32">
        <v>6124</v>
      </c>
      <c r="AQ68" s="32">
        <v>5895</v>
      </c>
      <c r="AR68" s="32">
        <v>6330</v>
      </c>
      <c r="AS68" s="32">
        <v>6394</v>
      </c>
      <c r="AT68" s="32">
        <v>6662</v>
      </c>
      <c r="AU68" s="32">
        <v>6512</v>
      </c>
      <c r="AV68" s="32">
        <v>6495</v>
      </c>
      <c r="AW68" s="32">
        <v>6667</v>
      </c>
      <c r="AX68" s="32">
        <v>6615</v>
      </c>
      <c r="AY68" s="32">
        <v>6591</v>
      </c>
      <c r="AZ68" s="32">
        <v>6636</v>
      </c>
      <c r="BA68" s="32">
        <v>6330</v>
      </c>
      <c r="BB68" s="32">
        <v>6490</v>
      </c>
      <c r="BC68" s="32">
        <v>6231</v>
      </c>
      <c r="BD68" s="32">
        <v>6129</v>
      </c>
      <c r="BE68" s="32">
        <v>6010</v>
      </c>
      <c r="BF68" s="32">
        <v>5905</v>
      </c>
      <c r="BG68" s="32">
        <v>5938</v>
      </c>
      <c r="BH68" s="32">
        <v>6160</v>
      </c>
      <c r="BI68" s="32">
        <v>6107</v>
      </c>
      <c r="BJ68" s="32">
        <v>5944</v>
      </c>
      <c r="BK68" s="32">
        <v>5981</v>
      </c>
      <c r="BL68" s="33">
        <v>5998</v>
      </c>
      <c r="BM68" s="1">
        <v>5921</v>
      </c>
      <c r="BN68" s="1">
        <v>5867</v>
      </c>
      <c r="BO68" s="1">
        <v>5853</v>
      </c>
      <c r="BP68" s="1">
        <v>5710</v>
      </c>
    </row>
    <row r="69" spans="1:68" ht="15.9" customHeight="1">
      <c r="A69" s="68" t="s">
        <v>133</v>
      </c>
      <c r="B69" s="28" t="s">
        <v>134</v>
      </c>
      <c r="C69" s="42" t="str">
        <f>_xll.RssMarket("4980","高値")</f>
        <v/>
      </c>
      <c r="D69" s="41" t="e">
        <f t="shared" si="1"/>
        <v>#VALUE!</v>
      </c>
      <c r="E69" s="32">
        <v>3705</v>
      </c>
      <c r="F69" s="32">
        <v>3982</v>
      </c>
      <c r="G69" s="32">
        <v>3940</v>
      </c>
      <c r="H69" s="32">
        <v>4165</v>
      </c>
      <c r="I69" s="32">
        <v>4250</v>
      </c>
      <c r="J69" s="32">
        <v>4140</v>
      </c>
      <c r="K69" s="32">
        <v>4128</v>
      </c>
      <c r="L69" s="32">
        <v>4276</v>
      </c>
      <c r="M69" s="32">
        <v>4402</v>
      </c>
      <c r="N69" s="32">
        <v>4327</v>
      </c>
      <c r="O69" s="32">
        <v>4186</v>
      </c>
      <c r="P69" s="32">
        <v>4369</v>
      </c>
      <c r="Q69" s="32">
        <v>4334</v>
      </c>
      <c r="R69" s="32">
        <v>4450</v>
      </c>
      <c r="S69" s="32">
        <v>4866</v>
      </c>
      <c r="T69" s="32">
        <v>5115</v>
      </c>
      <c r="U69" s="32">
        <v>5228</v>
      </c>
      <c r="V69" s="32">
        <v>5015</v>
      </c>
      <c r="W69" s="32">
        <v>5099</v>
      </c>
      <c r="X69" s="32">
        <v>4894</v>
      </c>
      <c r="Y69" s="32">
        <v>4787</v>
      </c>
      <c r="Z69" s="32">
        <v>4694</v>
      </c>
      <c r="AA69" s="32">
        <v>4609</v>
      </c>
      <c r="AB69" s="32">
        <v>4316</v>
      </c>
      <c r="AC69" s="32">
        <v>4122</v>
      </c>
      <c r="AD69" s="32">
        <v>3813</v>
      </c>
      <c r="AE69" s="32">
        <v>3968</v>
      </c>
      <c r="AF69" s="32">
        <v>4070</v>
      </c>
      <c r="AG69" s="32">
        <v>4432</v>
      </c>
      <c r="AH69" s="32">
        <v>4525</v>
      </c>
      <c r="AI69" s="32">
        <v>4859</v>
      </c>
      <c r="AJ69" s="32">
        <v>4560</v>
      </c>
      <c r="AK69" s="32">
        <v>4133</v>
      </c>
      <c r="AL69" s="32">
        <v>4214</v>
      </c>
      <c r="AM69" s="32">
        <v>4290</v>
      </c>
      <c r="AN69" s="32">
        <v>4473</v>
      </c>
      <c r="AO69" s="32">
        <v>4313</v>
      </c>
      <c r="AP69" s="32">
        <v>4236</v>
      </c>
      <c r="AQ69" s="32">
        <v>4062</v>
      </c>
      <c r="AR69" s="32">
        <v>4217</v>
      </c>
      <c r="AS69" s="32">
        <v>4486</v>
      </c>
      <c r="AT69" s="32">
        <v>3849</v>
      </c>
      <c r="AU69" s="32">
        <v>3149</v>
      </c>
      <c r="AV69" s="32">
        <v>2682.5</v>
      </c>
      <c r="AW69" s="32">
        <v>2755</v>
      </c>
      <c r="AX69" s="32">
        <v>2800</v>
      </c>
      <c r="AY69" s="32">
        <v>2739</v>
      </c>
      <c r="AZ69" s="32">
        <v>2657</v>
      </c>
      <c r="BA69" s="32">
        <v>2508.5</v>
      </c>
      <c r="BB69" s="32">
        <v>2478.5</v>
      </c>
      <c r="BC69" s="32">
        <v>2516.5</v>
      </c>
      <c r="BD69" s="32">
        <v>2540.5</v>
      </c>
      <c r="BE69" s="32">
        <v>2458</v>
      </c>
      <c r="BF69" s="32">
        <v>2487.5</v>
      </c>
      <c r="BG69" s="32">
        <v>2481</v>
      </c>
      <c r="BH69" s="32">
        <v>2484</v>
      </c>
      <c r="BI69" s="32">
        <v>2484</v>
      </c>
      <c r="BJ69" s="32">
        <v>2473</v>
      </c>
      <c r="BK69" s="32">
        <v>2427.5</v>
      </c>
      <c r="BL69" s="33">
        <v>2442</v>
      </c>
      <c r="BM69" s="1">
        <v>2408</v>
      </c>
      <c r="BN69" s="1">
        <v>2390</v>
      </c>
      <c r="BO69" s="1">
        <v>2400</v>
      </c>
      <c r="BP69" s="1">
        <v>2355</v>
      </c>
    </row>
    <row r="70" spans="1:68" ht="15.9" customHeight="1">
      <c r="A70" s="68" t="s">
        <v>135</v>
      </c>
      <c r="B70" s="28" t="s">
        <v>136</v>
      </c>
      <c r="C70" s="42" t="str">
        <f>_xll.RssMarket("9424","高値")</f>
        <v/>
      </c>
      <c r="D70" s="41" t="e">
        <f t="shared" ref="D70:D101" si="2">C70-E70</f>
        <v>#VALUE!</v>
      </c>
      <c r="E70" s="32">
        <v>117</v>
      </c>
      <c r="F70" s="32">
        <v>118</v>
      </c>
      <c r="G70" s="32">
        <v>116</v>
      </c>
      <c r="H70" s="32">
        <v>115</v>
      </c>
      <c r="I70" s="32">
        <v>112</v>
      </c>
      <c r="J70" s="32">
        <v>113</v>
      </c>
      <c r="K70" s="32">
        <v>110</v>
      </c>
      <c r="L70" s="32">
        <v>109</v>
      </c>
      <c r="M70" s="32">
        <v>107</v>
      </c>
      <c r="N70" s="32">
        <v>108</v>
      </c>
      <c r="O70" s="32">
        <v>109</v>
      </c>
      <c r="P70" s="32">
        <v>108</v>
      </c>
      <c r="Q70" s="32">
        <v>109</v>
      </c>
      <c r="R70" s="32">
        <v>112</v>
      </c>
      <c r="S70" s="32">
        <v>115</v>
      </c>
      <c r="T70" s="32">
        <v>116</v>
      </c>
      <c r="U70" s="32">
        <v>117</v>
      </c>
      <c r="V70" s="32">
        <v>115</v>
      </c>
      <c r="W70" s="32">
        <v>114</v>
      </c>
      <c r="X70" s="32">
        <v>115</v>
      </c>
      <c r="Y70" s="32">
        <v>119</v>
      </c>
      <c r="Z70" s="32">
        <v>116</v>
      </c>
      <c r="AA70" s="32">
        <v>117</v>
      </c>
      <c r="AB70" s="32">
        <v>114</v>
      </c>
      <c r="AC70" s="32">
        <v>117</v>
      </c>
      <c r="AD70" s="32">
        <v>125</v>
      </c>
      <c r="AE70" s="32">
        <v>124</v>
      </c>
      <c r="AF70" s="32">
        <v>125</v>
      </c>
      <c r="AG70" s="32">
        <v>126</v>
      </c>
      <c r="AH70" s="32">
        <v>127</v>
      </c>
      <c r="AI70" s="32">
        <v>126</v>
      </c>
      <c r="AJ70" s="32">
        <v>128</v>
      </c>
      <c r="AK70" s="32">
        <v>129</v>
      </c>
      <c r="AL70" s="32">
        <v>131</v>
      </c>
      <c r="AM70" s="32">
        <v>127</v>
      </c>
      <c r="AN70" s="32">
        <v>126</v>
      </c>
      <c r="AO70" s="32">
        <v>125</v>
      </c>
      <c r="AP70" s="32">
        <v>126</v>
      </c>
      <c r="AQ70" s="32">
        <v>127</v>
      </c>
      <c r="AR70" s="32">
        <v>128</v>
      </c>
      <c r="AS70" s="32">
        <v>131</v>
      </c>
      <c r="AT70" s="32">
        <v>132</v>
      </c>
      <c r="AU70" s="32">
        <v>131</v>
      </c>
      <c r="AV70" s="32">
        <v>133</v>
      </c>
      <c r="AW70" s="32">
        <v>132</v>
      </c>
      <c r="AX70" s="32">
        <v>131</v>
      </c>
      <c r="AY70" s="32">
        <v>126</v>
      </c>
      <c r="AZ70" s="32">
        <v>127</v>
      </c>
      <c r="BA70" s="32">
        <v>130</v>
      </c>
      <c r="BB70" s="32">
        <v>132</v>
      </c>
      <c r="BC70" s="32">
        <v>131</v>
      </c>
      <c r="BD70" s="32">
        <v>130</v>
      </c>
      <c r="BE70" s="32">
        <v>130</v>
      </c>
      <c r="BF70" s="32">
        <v>131</v>
      </c>
      <c r="BG70" s="32">
        <v>133</v>
      </c>
      <c r="BH70" s="32">
        <v>132</v>
      </c>
      <c r="BI70" s="32">
        <v>131</v>
      </c>
      <c r="BJ70" s="32">
        <v>131</v>
      </c>
      <c r="BK70" s="32">
        <v>133</v>
      </c>
      <c r="BL70" s="33">
        <v>133</v>
      </c>
      <c r="BM70" s="1">
        <v>133</v>
      </c>
      <c r="BN70" s="1">
        <v>130</v>
      </c>
      <c r="BO70" s="1">
        <v>128</v>
      </c>
    </row>
    <row r="71" spans="1:68" ht="15.9" customHeight="1">
      <c r="A71" s="68" t="s">
        <v>137</v>
      </c>
      <c r="B71" s="28" t="s">
        <v>138</v>
      </c>
      <c r="C71" s="42" t="str">
        <f>_xll.RssMarket("3854","高値")</f>
        <v/>
      </c>
      <c r="D71" s="41" t="e">
        <f t="shared" si="2"/>
        <v>#VALUE!</v>
      </c>
      <c r="E71" s="32">
        <v>2404</v>
      </c>
      <c r="F71" s="32">
        <v>2414</v>
      </c>
      <c r="G71" s="32">
        <v>2437</v>
      </c>
      <c r="H71" s="32">
        <v>2448</v>
      </c>
      <c r="I71" s="32">
        <v>2461</v>
      </c>
      <c r="J71" s="32">
        <v>2490</v>
      </c>
      <c r="K71" s="32">
        <v>2521</v>
      </c>
      <c r="L71" s="32">
        <v>2470</v>
      </c>
      <c r="M71" s="32">
        <v>2346</v>
      </c>
      <c r="N71" s="32">
        <v>2328</v>
      </c>
      <c r="O71" s="32">
        <v>2275</v>
      </c>
      <c r="P71" s="32">
        <v>2225</v>
      </c>
      <c r="Q71" s="32">
        <v>2229</v>
      </c>
      <c r="R71" s="32">
        <v>2202</v>
      </c>
      <c r="S71" s="32">
        <v>2170</v>
      </c>
      <c r="T71" s="32">
        <v>2200</v>
      </c>
      <c r="U71" s="32">
        <v>2205</v>
      </c>
      <c r="V71" s="32">
        <v>2186</v>
      </c>
      <c r="W71" s="32">
        <v>2204</v>
      </c>
      <c r="X71" s="32">
        <v>2205</v>
      </c>
      <c r="Y71" s="32">
        <v>2210</v>
      </c>
      <c r="Z71" s="32">
        <v>2206</v>
      </c>
      <c r="AA71" s="32">
        <v>2221</v>
      </c>
      <c r="AB71" s="32">
        <v>2261</v>
      </c>
      <c r="AC71" s="32">
        <v>2320</v>
      </c>
      <c r="AD71" s="32">
        <v>2414</v>
      </c>
      <c r="AE71" s="32">
        <v>2465</v>
      </c>
      <c r="AF71" s="32">
        <v>2524</v>
      </c>
      <c r="AG71" s="32">
        <v>2550</v>
      </c>
      <c r="AH71" s="32">
        <v>2588</v>
      </c>
      <c r="AI71" s="32">
        <v>2653</v>
      </c>
      <c r="AJ71" s="32">
        <v>2640</v>
      </c>
      <c r="AK71" s="32">
        <v>2635</v>
      </c>
      <c r="AL71" s="32">
        <v>2580</v>
      </c>
      <c r="AM71" s="32">
        <v>2525</v>
      </c>
      <c r="AN71" s="32">
        <v>2615</v>
      </c>
      <c r="AO71" s="32">
        <v>2575</v>
      </c>
      <c r="AP71" s="32">
        <v>2484</v>
      </c>
      <c r="AQ71" s="32">
        <v>2467</v>
      </c>
      <c r="AR71" s="32">
        <v>2475</v>
      </c>
      <c r="AS71" s="32">
        <v>2423</v>
      </c>
      <c r="AT71" s="32">
        <v>2359</v>
      </c>
      <c r="AU71" s="32">
        <v>2380</v>
      </c>
      <c r="AV71" s="32">
        <v>2396</v>
      </c>
      <c r="AW71" s="32">
        <v>2400</v>
      </c>
      <c r="AX71" s="32">
        <v>2434</v>
      </c>
      <c r="AY71" s="32">
        <v>2430</v>
      </c>
      <c r="AZ71" s="32">
        <v>2384</v>
      </c>
      <c r="BA71" s="32">
        <v>2365</v>
      </c>
      <c r="BB71" s="32">
        <v>2397</v>
      </c>
      <c r="BC71" s="32">
        <v>2422</v>
      </c>
      <c r="BD71" s="32">
        <v>2422</v>
      </c>
      <c r="BE71" s="32">
        <v>2427</v>
      </c>
      <c r="BF71" s="32">
        <v>2471</v>
      </c>
      <c r="BG71" s="32">
        <v>2476</v>
      </c>
      <c r="BH71" s="32">
        <v>2481</v>
      </c>
      <c r="BI71" s="32">
        <v>2460</v>
      </c>
      <c r="BJ71" s="32">
        <v>2447</v>
      </c>
      <c r="BK71" s="32">
        <v>2471</v>
      </c>
      <c r="BL71" s="33">
        <v>2428</v>
      </c>
      <c r="BM71" s="1">
        <v>2421</v>
      </c>
      <c r="BN71" s="1">
        <v>2360</v>
      </c>
      <c r="BO71" s="1">
        <v>2434</v>
      </c>
      <c r="BP71" s="1">
        <v>2432</v>
      </c>
    </row>
    <row r="72" spans="1:68" ht="15.9" customHeight="1">
      <c r="A72" s="68" t="s">
        <v>139</v>
      </c>
      <c r="B72" s="28" t="s">
        <v>140</v>
      </c>
      <c r="C72" s="42" t="str">
        <f>_xll.RssMarket("6027","高値")</f>
        <v/>
      </c>
      <c r="D72" s="41" t="e">
        <f t="shared" si="2"/>
        <v>#VALUE!</v>
      </c>
      <c r="E72" s="32">
        <v>2404</v>
      </c>
      <c r="F72" s="32">
        <v>2423</v>
      </c>
      <c r="G72" s="32">
        <v>2420</v>
      </c>
      <c r="H72" s="32">
        <v>2424</v>
      </c>
      <c r="I72" s="32">
        <v>2435</v>
      </c>
      <c r="J72" s="32">
        <v>2408</v>
      </c>
      <c r="K72" s="32">
        <v>2450</v>
      </c>
      <c r="L72" s="32">
        <v>2457</v>
      </c>
      <c r="M72" s="32">
        <v>2425</v>
      </c>
      <c r="N72" s="32">
        <v>2482</v>
      </c>
      <c r="O72" s="32">
        <v>2498</v>
      </c>
      <c r="P72" s="32">
        <v>2410</v>
      </c>
      <c r="Q72" s="32">
        <v>2267</v>
      </c>
      <c r="R72" s="32">
        <v>2265</v>
      </c>
      <c r="S72" s="32">
        <v>2053</v>
      </c>
      <c r="T72" s="32">
        <v>2098</v>
      </c>
      <c r="U72" s="32">
        <v>2104</v>
      </c>
      <c r="V72" s="32">
        <v>2220</v>
      </c>
      <c r="W72" s="32">
        <v>2232</v>
      </c>
      <c r="X72" s="32">
        <v>2236</v>
      </c>
      <c r="Y72" s="32">
        <v>2149</v>
      </c>
      <c r="Z72" s="32">
        <v>2174</v>
      </c>
      <c r="AA72" s="32">
        <v>2130</v>
      </c>
      <c r="AB72" s="32">
        <v>2157</v>
      </c>
      <c r="AC72" s="32">
        <v>2192</v>
      </c>
      <c r="AD72" s="32">
        <v>2154</v>
      </c>
      <c r="AE72" s="32">
        <v>2192</v>
      </c>
      <c r="AF72" s="32">
        <v>2258</v>
      </c>
      <c r="AG72" s="32">
        <v>2307</v>
      </c>
      <c r="AH72" s="32">
        <v>2262</v>
      </c>
      <c r="AI72" s="32">
        <v>2295</v>
      </c>
      <c r="AJ72" s="32">
        <v>2384</v>
      </c>
      <c r="AK72" s="32">
        <v>2460</v>
      </c>
      <c r="AL72" s="32">
        <v>2461</v>
      </c>
      <c r="AM72" s="32">
        <v>2501</v>
      </c>
      <c r="AN72" s="32">
        <v>2578</v>
      </c>
      <c r="AO72" s="32">
        <v>2590</v>
      </c>
      <c r="AP72" s="32">
        <v>2615</v>
      </c>
      <c r="AQ72" s="32">
        <v>2766</v>
      </c>
      <c r="AR72" s="32">
        <v>2836</v>
      </c>
      <c r="AS72" s="32">
        <v>2798</v>
      </c>
      <c r="AT72" s="32">
        <v>2745</v>
      </c>
      <c r="AU72" s="32">
        <v>2777</v>
      </c>
      <c r="AV72" s="32">
        <v>2750</v>
      </c>
      <c r="AW72" s="32">
        <v>2726</v>
      </c>
      <c r="AX72" s="32">
        <v>2788</v>
      </c>
      <c r="AY72" s="32">
        <v>2758</v>
      </c>
      <c r="AZ72" s="32">
        <v>2677</v>
      </c>
      <c r="BA72" s="32">
        <v>2528</v>
      </c>
      <c r="BB72" s="32">
        <v>2500</v>
      </c>
      <c r="BC72" s="32">
        <v>2499</v>
      </c>
      <c r="BD72" s="32">
        <v>2494</v>
      </c>
      <c r="BE72" s="32">
        <v>2552</v>
      </c>
      <c r="BF72" s="32">
        <v>2617</v>
      </c>
      <c r="BG72" s="32">
        <v>2630</v>
      </c>
      <c r="BH72" s="32">
        <v>2609</v>
      </c>
      <c r="BI72" s="32">
        <v>2586</v>
      </c>
      <c r="BJ72" s="32">
        <v>2653</v>
      </c>
      <c r="BK72" s="32">
        <v>2750</v>
      </c>
      <c r="BL72" s="33">
        <v>2734</v>
      </c>
      <c r="BM72" s="1">
        <v>2625</v>
      </c>
      <c r="BN72" s="1">
        <v>2578</v>
      </c>
      <c r="BO72" s="1">
        <v>2795</v>
      </c>
      <c r="BP72" s="1">
        <v>2842</v>
      </c>
    </row>
    <row r="73" spans="1:68" ht="15.9" customHeight="1">
      <c r="A73" s="68" t="s">
        <v>141</v>
      </c>
      <c r="B73" s="28" t="s">
        <v>142</v>
      </c>
      <c r="C73" s="42" t="str">
        <f>_xll.RssMarket("7806","高値")</f>
        <v/>
      </c>
      <c r="D73" s="41" t="e">
        <f t="shared" si="2"/>
        <v>#VALUE!</v>
      </c>
      <c r="E73" s="32">
        <v>7980</v>
      </c>
      <c r="F73" s="32">
        <v>7730</v>
      </c>
      <c r="G73" s="32">
        <v>7440</v>
      </c>
      <c r="H73" s="32">
        <v>7720</v>
      </c>
      <c r="I73" s="32">
        <v>7680</v>
      </c>
      <c r="J73" s="32">
        <v>8080</v>
      </c>
      <c r="K73" s="32">
        <v>8110</v>
      </c>
      <c r="L73" s="32">
        <v>8270</v>
      </c>
      <c r="M73" s="32">
        <v>8200</v>
      </c>
      <c r="N73" s="32">
        <v>8380</v>
      </c>
      <c r="O73" s="32">
        <v>8000</v>
      </c>
      <c r="P73" s="32">
        <v>7580</v>
      </c>
      <c r="Q73" s="32">
        <v>7550</v>
      </c>
      <c r="R73" s="32">
        <v>7480</v>
      </c>
      <c r="S73" s="32">
        <v>7490</v>
      </c>
      <c r="T73" s="32">
        <v>7610</v>
      </c>
      <c r="U73" s="32">
        <v>7480</v>
      </c>
      <c r="V73" s="32">
        <v>7700</v>
      </c>
      <c r="W73" s="32">
        <v>7740</v>
      </c>
      <c r="X73" s="32">
        <v>7780</v>
      </c>
      <c r="Y73" s="32">
        <v>7790</v>
      </c>
      <c r="Z73" s="32">
        <v>7410</v>
      </c>
      <c r="AA73" s="32">
        <v>7260</v>
      </c>
      <c r="AB73" s="32">
        <v>7110</v>
      </c>
      <c r="AC73" s="32">
        <v>7350</v>
      </c>
      <c r="AD73" s="32">
        <v>7200</v>
      </c>
      <c r="AE73" s="32">
        <v>7140</v>
      </c>
      <c r="AF73" s="32">
        <v>6860</v>
      </c>
      <c r="AG73" s="32">
        <v>7020</v>
      </c>
      <c r="AH73" s="32">
        <v>7170</v>
      </c>
      <c r="AI73" s="32">
        <v>7260</v>
      </c>
      <c r="AJ73" s="32">
        <v>7500</v>
      </c>
      <c r="AK73" s="32">
        <v>7600</v>
      </c>
      <c r="AL73" s="32">
        <v>7490</v>
      </c>
      <c r="AM73" s="32">
        <v>7310</v>
      </c>
      <c r="AN73" s="32">
        <v>6390</v>
      </c>
      <c r="AO73" s="32">
        <v>6420</v>
      </c>
      <c r="AP73" s="32">
        <v>6560</v>
      </c>
      <c r="AQ73" s="32">
        <v>6790</v>
      </c>
      <c r="AR73" s="32">
        <v>6650</v>
      </c>
      <c r="AS73" s="32">
        <v>6720</v>
      </c>
      <c r="AT73" s="32">
        <v>7200</v>
      </c>
      <c r="AU73" s="32">
        <v>7310</v>
      </c>
      <c r="AV73" s="32">
        <v>6930</v>
      </c>
      <c r="AW73" s="32">
        <v>6820</v>
      </c>
      <c r="AX73" s="32">
        <v>6530</v>
      </c>
      <c r="AY73" s="32">
        <v>6400</v>
      </c>
      <c r="AZ73" s="32">
        <v>6360</v>
      </c>
      <c r="BA73" s="32">
        <v>6120</v>
      </c>
      <c r="BB73" s="32">
        <v>5890</v>
      </c>
      <c r="BC73" s="32">
        <v>5990</v>
      </c>
      <c r="BD73" s="32">
        <v>6210</v>
      </c>
      <c r="BE73" s="32">
        <v>6380</v>
      </c>
      <c r="BF73" s="32">
        <v>6600</v>
      </c>
      <c r="BG73" s="32">
        <v>6600</v>
      </c>
      <c r="BH73" s="32">
        <v>6700</v>
      </c>
      <c r="BI73" s="32">
        <v>6700</v>
      </c>
      <c r="BJ73" s="32">
        <v>6620</v>
      </c>
      <c r="BK73" s="32">
        <v>6490</v>
      </c>
      <c r="BL73" s="33">
        <v>6580</v>
      </c>
      <c r="BM73" s="1">
        <v>6350</v>
      </c>
      <c r="BN73" s="1">
        <v>6180</v>
      </c>
      <c r="BO73" s="1">
        <v>6100</v>
      </c>
      <c r="BP73" s="1">
        <v>6220</v>
      </c>
    </row>
    <row r="74" spans="1:68" ht="15.9" customHeight="1">
      <c r="A74" s="68" t="s">
        <v>143</v>
      </c>
      <c r="B74" s="28" t="s">
        <v>144</v>
      </c>
      <c r="C74" s="42" t="str">
        <f>_xll.RssMarket("9202","高値")</f>
        <v/>
      </c>
      <c r="D74" s="41" t="e">
        <f t="shared" si="2"/>
        <v>#VALUE!</v>
      </c>
      <c r="E74" s="32">
        <v>3033</v>
      </c>
      <c r="F74" s="32">
        <v>3057</v>
      </c>
      <c r="G74" s="32">
        <v>3043</v>
      </c>
      <c r="H74" s="32">
        <v>3027</v>
      </c>
      <c r="I74" s="32">
        <v>3054</v>
      </c>
      <c r="J74" s="32">
        <v>3089</v>
      </c>
      <c r="K74" s="32">
        <v>3131</v>
      </c>
      <c r="L74" s="32">
        <v>3200</v>
      </c>
      <c r="M74" s="32">
        <v>3180</v>
      </c>
      <c r="N74" s="32">
        <v>3156</v>
      </c>
      <c r="O74" s="32">
        <v>3104</v>
      </c>
      <c r="P74" s="32">
        <v>2986</v>
      </c>
      <c r="Q74" s="32">
        <v>3006</v>
      </c>
      <c r="R74" s="32">
        <v>3029</v>
      </c>
      <c r="S74" s="32">
        <v>3019</v>
      </c>
      <c r="T74" s="32">
        <v>3023</v>
      </c>
      <c r="U74" s="32">
        <v>2988</v>
      </c>
      <c r="V74" s="32">
        <v>2956</v>
      </c>
      <c r="W74" s="32">
        <v>2963</v>
      </c>
      <c r="X74" s="32">
        <v>2987</v>
      </c>
      <c r="Y74" s="32">
        <v>3033</v>
      </c>
      <c r="Z74" s="32">
        <v>3076</v>
      </c>
      <c r="AA74" s="32">
        <v>3043</v>
      </c>
      <c r="AB74" s="32">
        <v>3013</v>
      </c>
      <c r="AC74" s="32">
        <v>2842</v>
      </c>
      <c r="AD74" s="32">
        <v>2810</v>
      </c>
      <c r="AE74" s="32">
        <v>2823</v>
      </c>
      <c r="AF74" s="32">
        <v>2868.5</v>
      </c>
      <c r="AG74" s="32">
        <v>2858</v>
      </c>
      <c r="AH74" s="32">
        <v>2837</v>
      </c>
      <c r="AI74" s="32">
        <v>2850</v>
      </c>
      <c r="AJ74" s="32">
        <v>2891</v>
      </c>
      <c r="AK74" s="32">
        <v>3022</v>
      </c>
      <c r="AL74" s="32">
        <v>2921</v>
      </c>
      <c r="AM74" s="32">
        <v>2892</v>
      </c>
      <c r="AN74" s="32">
        <v>2883</v>
      </c>
      <c r="AO74" s="32">
        <v>2804.5</v>
      </c>
      <c r="AP74" s="32">
        <v>2796</v>
      </c>
      <c r="AQ74" s="32">
        <v>2759</v>
      </c>
      <c r="AR74" s="32">
        <v>2762.5</v>
      </c>
      <c r="AS74" s="32">
        <v>2779</v>
      </c>
      <c r="AT74" s="32">
        <v>2772</v>
      </c>
      <c r="AU74" s="32">
        <v>2793.5</v>
      </c>
      <c r="AV74" s="32">
        <v>2821</v>
      </c>
      <c r="AW74" s="32">
        <v>2817.5</v>
      </c>
      <c r="AX74" s="32">
        <v>2851.5</v>
      </c>
      <c r="AY74" s="32">
        <v>2876</v>
      </c>
      <c r="AZ74" s="32">
        <v>2853</v>
      </c>
      <c r="BA74" s="32">
        <v>2720</v>
      </c>
      <c r="BB74" s="32">
        <v>2651</v>
      </c>
      <c r="BC74" s="32">
        <v>2646.5</v>
      </c>
      <c r="BD74" s="32">
        <v>2700.5</v>
      </c>
      <c r="BE74" s="32">
        <v>2729.5</v>
      </c>
      <c r="BF74" s="32">
        <v>2805</v>
      </c>
      <c r="BG74" s="32">
        <v>2847.5</v>
      </c>
      <c r="BH74" s="32">
        <v>2881</v>
      </c>
      <c r="BI74" s="32">
        <v>2884.5</v>
      </c>
      <c r="BJ74" s="32">
        <v>2861</v>
      </c>
      <c r="BK74" s="32">
        <v>2899.5</v>
      </c>
      <c r="BL74" s="33">
        <v>2898</v>
      </c>
      <c r="BM74" s="1">
        <v>2882.5</v>
      </c>
      <c r="BN74" s="1">
        <v>2891</v>
      </c>
      <c r="BO74" s="1">
        <v>2909</v>
      </c>
      <c r="BP74" s="1">
        <v>2964.5</v>
      </c>
    </row>
    <row r="75" spans="1:68" ht="15.9" customHeight="1">
      <c r="A75" s="68" t="s">
        <v>145</v>
      </c>
      <c r="B75" s="28" t="s">
        <v>146</v>
      </c>
      <c r="C75" s="42" t="str">
        <f>_xll.RssMarket("7846","高値")</f>
        <v/>
      </c>
      <c r="D75" s="41" t="e">
        <f t="shared" si="2"/>
        <v>#VALUE!</v>
      </c>
      <c r="E75" s="32">
        <v>1825</v>
      </c>
      <c r="F75" s="32">
        <v>1790</v>
      </c>
      <c r="G75" s="32">
        <v>1789</v>
      </c>
      <c r="H75" s="32">
        <v>1786.5</v>
      </c>
      <c r="I75" s="32">
        <v>1782.5</v>
      </c>
      <c r="J75" s="32">
        <v>1788.5</v>
      </c>
      <c r="K75" s="32">
        <v>1776.5</v>
      </c>
      <c r="L75" s="32">
        <v>1754</v>
      </c>
      <c r="M75" s="32">
        <v>1747</v>
      </c>
      <c r="N75" s="32">
        <v>1759</v>
      </c>
      <c r="O75" s="32">
        <v>1722.5</v>
      </c>
      <c r="P75" s="32">
        <v>1709</v>
      </c>
      <c r="Q75" s="32">
        <v>1700.5</v>
      </c>
      <c r="R75" s="32">
        <v>1707</v>
      </c>
      <c r="S75" s="32">
        <v>5163</v>
      </c>
      <c r="T75" s="32">
        <v>5155</v>
      </c>
      <c r="U75" s="32">
        <v>5027</v>
      </c>
      <c r="V75" s="32">
        <v>4990</v>
      </c>
      <c r="W75" s="32">
        <v>4992</v>
      </c>
      <c r="X75" s="32">
        <v>4961</v>
      </c>
      <c r="Y75" s="32">
        <v>5006</v>
      </c>
      <c r="Z75" s="32">
        <v>5009</v>
      </c>
      <c r="AA75" s="32">
        <v>4973</v>
      </c>
      <c r="AB75" s="32">
        <v>4946</v>
      </c>
      <c r="AC75" s="32">
        <v>4914</v>
      </c>
      <c r="AD75" s="32">
        <v>4963</v>
      </c>
      <c r="AE75" s="32">
        <v>4955</v>
      </c>
      <c r="AF75" s="32">
        <v>4907</v>
      </c>
      <c r="AG75" s="32">
        <v>4868</v>
      </c>
      <c r="AH75" s="32">
        <v>4940</v>
      </c>
      <c r="AI75" s="32">
        <v>4884</v>
      </c>
      <c r="AJ75" s="32">
        <v>4994</v>
      </c>
      <c r="AK75" s="32">
        <v>4947</v>
      </c>
      <c r="AL75" s="32">
        <v>4938</v>
      </c>
      <c r="AM75" s="32">
        <v>4948</v>
      </c>
      <c r="AN75" s="32">
        <v>4968</v>
      </c>
      <c r="AO75" s="32">
        <v>4981</v>
      </c>
      <c r="AP75" s="32">
        <v>4879</v>
      </c>
      <c r="AQ75" s="32">
        <v>4803</v>
      </c>
      <c r="AR75" s="32">
        <v>4673</v>
      </c>
      <c r="AS75" s="32">
        <v>4664</v>
      </c>
      <c r="AT75" s="32">
        <v>4586</v>
      </c>
      <c r="AU75" s="32">
        <v>4569</v>
      </c>
      <c r="AV75" s="32">
        <v>4674</v>
      </c>
      <c r="AW75" s="32">
        <v>4823</v>
      </c>
      <c r="AX75" s="32">
        <v>4832</v>
      </c>
      <c r="AY75" s="32">
        <v>4891</v>
      </c>
      <c r="AZ75" s="32">
        <v>4818</v>
      </c>
      <c r="BA75" s="32">
        <v>4816</v>
      </c>
      <c r="BB75" s="32">
        <v>4843</v>
      </c>
      <c r="BC75" s="32">
        <v>4827</v>
      </c>
      <c r="BD75" s="32">
        <v>4847</v>
      </c>
      <c r="BE75" s="32">
        <v>4812</v>
      </c>
      <c r="BF75" s="32">
        <v>4836</v>
      </c>
      <c r="BG75" s="32">
        <v>4830</v>
      </c>
      <c r="BH75" s="32">
        <v>4870</v>
      </c>
      <c r="BI75" s="32">
        <v>4865</v>
      </c>
      <c r="BJ75" s="32">
        <v>4893</v>
      </c>
      <c r="BK75" s="32">
        <v>4869</v>
      </c>
      <c r="BL75" s="33">
        <v>4890</v>
      </c>
      <c r="BM75" s="1">
        <v>4912</v>
      </c>
      <c r="BN75" s="1">
        <v>4990</v>
      </c>
      <c r="BO75" s="1">
        <v>5020</v>
      </c>
      <c r="BP75" s="1">
        <v>4980</v>
      </c>
    </row>
    <row r="76" spans="1:68" ht="15.9" customHeight="1">
      <c r="A76" s="68" t="s">
        <v>147</v>
      </c>
      <c r="B76" s="28" t="s">
        <v>148</v>
      </c>
      <c r="C76" s="42" t="str">
        <f>_xll.RssMarket("2802","高値")</f>
        <v/>
      </c>
      <c r="D76" s="41" t="e">
        <f t="shared" si="2"/>
        <v>#VALUE!</v>
      </c>
      <c r="E76" s="32">
        <v>5289</v>
      </c>
      <c r="F76" s="32">
        <v>5700</v>
      </c>
      <c r="G76" s="32">
        <v>5672</v>
      </c>
      <c r="H76" s="32">
        <v>5763</v>
      </c>
      <c r="I76" s="32">
        <v>5783</v>
      </c>
      <c r="J76" s="32">
        <v>5905</v>
      </c>
      <c r="K76" s="32">
        <v>5919</v>
      </c>
      <c r="L76" s="32">
        <v>6145</v>
      </c>
      <c r="M76" s="32">
        <v>6340</v>
      </c>
      <c r="N76" s="32">
        <v>6189</v>
      </c>
      <c r="O76" s="32">
        <v>6209</v>
      </c>
      <c r="P76" s="32">
        <v>6311</v>
      </c>
      <c r="Q76" s="32">
        <v>5942</v>
      </c>
      <c r="R76" s="32">
        <v>5839</v>
      </c>
      <c r="S76" s="32">
        <v>5890</v>
      </c>
      <c r="T76" s="32">
        <v>5859</v>
      </c>
      <c r="U76" s="32">
        <v>5617</v>
      </c>
      <c r="V76" s="32">
        <v>6035</v>
      </c>
      <c r="W76" s="32">
        <v>6166</v>
      </c>
      <c r="X76" s="32">
        <v>5933</v>
      </c>
      <c r="Y76" s="32">
        <v>5843</v>
      </c>
      <c r="Z76" s="32">
        <v>5350</v>
      </c>
      <c r="AA76" s="32">
        <v>5175</v>
      </c>
      <c r="AB76" s="32">
        <v>5501</v>
      </c>
      <c r="AC76" s="32">
        <v>5257</v>
      </c>
      <c r="AD76" s="32">
        <v>5203</v>
      </c>
      <c r="AE76" s="32">
        <v>4865</v>
      </c>
      <c r="AF76" s="32">
        <v>4907</v>
      </c>
      <c r="AG76" s="32">
        <v>5070</v>
      </c>
      <c r="AH76" s="32">
        <v>5194</v>
      </c>
      <c r="AI76" s="32">
        <v>5298</v>
      </c>
      <c r="AJ76" s="32">
        <v>5351</v>
      </c>
      <c r="AK76" s="32">
        <v>5204</v>
      </c>
      <c r="AL76" s="32">
        <v>5275</v>
      </c>
      <c r="AM76" s="32">
        <v>5425</v>
      </c>
      <c r="AN76" s="32">
        <v>5505</v>
      </c>
      <c r="AO76" s="32">
        <v>5332</v>
      </c>
      <c r="AP76" s="32">
        <v>5328</v>
      </c>
      <c r="AQ76" s="32">
        <v>5296</v>
      </c>
      <c r="AR76" s="32">
        <v>5330</v>
      </c>
      <c r="AS76" s="32">
        <v>5311</v>
      </c>
      <c r="AT76" s="32">
        <v>5580</v>
      </c>
      <c r="AU76" s="32">
        <v>5716</v>
      </c>
      <c r="AV76" s="32">
        <v>5590</v>
      </c>
      <c r="AW76" s="32">
        <v>5739</v>
      </c>
      <c r="AX76" s="32">
        <v>5652</v>
      </c>
      <c r="AY76" s="32">
        <v>5030</v>
      </c>
      <c r="AZ76" s="32">
        <v>5070</v>
      </c>
      <c r="BA76" s="32">
        <v>4936</v>
      </c>
      <c r="BB76" s="32">
        <v>5090</v>
      </c>
      <c r="BC76" s="32">
        <v>4813</v>
      </c>
      <c r="BD76" s="32">
        <v>4823</v>
      </c>
      <c r="BE76" s="32">
        <v>4877</v>
      </c>
      <c r="BF76" s="32">
        <v>4672</v>
      </c>
      <c r="BG76" s="32">
        <v>4715</v>
      </c>
      <c r="BH76" s="32">
        <v>4730</v>
      </c>
      <c r="BI76" s="32">
        <v>4640</v>
      </c>
      <c r="BJ76" s="32">
        <v>4682</v>
      </c>
      <c r="BK76" s="32">
        <v>4712</v>
      </c>
      <c r="BL76" s="33">
        <v>4683</v>
      </c>
      <c r="BM76" s="1">
        <v>4692</v>
      </c>
      <c r="BN76" s="1">
        <v>4655</v>
      </c>
      <c r="BO76" s="1">
        <v>4724</v>
      </c>
      <c r="BP76" s="1">
        <v>4811</v>
      </c>
    </row>
    <row r="77" spans="1:68" ht="15.9" customHeight="1">
      <c r="A77" s="68" t="s">
        <v>149</v>
      </c>
      <c r="B77" s="28" t="s">
        <v>150</v>
      </c>
      <c r="C77" s="42" t="str">
        <f>_xll.RssMarket("7203","高値")</f>
        <v/>
      </c>
      <c r="D77" s="41" t="e">
        <f t="shared" si="2"/>
        <v>#VALUE!</v>
      </c>
      <c r="E77" s="32">
        <v>2913.5</v>
      </c>
      <c r="F77" s="32">
        <v>2875.5</v>
      </c>
      <c r="G77" s="32">
        <v>2853</v>
      </c>
      <c r="H77" s="32">
        <v>2847</v>
      </c>
      <c r="I77" s="32">
        <v>2864.5</v>
      </c>
      <c r="J77" s="32">
        <v>2865</v>
      </c>
      <c r="K77" s="32">
        <v>2942</v>
      </c>
      <c r="L77" s="32">
        <v>2980</v>
      </c>
      <c r="M77" s="32">
        <v>2923</v>
      </c>
      <c r="N77" s="32">
        <v>2856.5</v>
      </c>
      <c r="O77" s="32">
        <v>2839</v>
      </c>
      <c r="P77" s="32">
        <v>2771.5</v>
      </c>
      <c r="Q77" s="32">
        <v>2782.5</v>
      </c>
      <c r="R77" s="32">
        <v>2805</v>
      </c>
      <c r="S77" s="32">
        <v>2768</v>
      </c>
      <c r="T77" s="32">
        <v>2713.5</v>
      </c>
      <c r="U77" s="32">
        <v>2731</v>
      </c>
      <c r="V77" s="32">
        <v>2748</v>
      </c>
      <c r="W77" s="32">
        <v>2802</v>
      </c>
      <c r="X77" s="32">
        <v>2793</v>
      </c>
      <c r="Y77" s="32">
        <v>2807</v>
      </c>
      <c r="Z77" s="32">
        <v>2863.5</v>
      </c>
      <c r="AA77" s="32">
        <v>2894</v>
      </c>
      <c r="AB77" s="32">
        <v>2934.5</v>
      </c>
      <c r="AC77" s="32">
        <v>2798.5</v>
      </c>
      <c r="AD77" s="32">
        <v>2782.5</v>
      </c>
      <c r="AE77" s="32">
        <v>2840.5</v>
      </c>
      <c r="AF77" s="32">
        <v>2862</v>
      </c>
      <c r="AG77" s="32">
        <v>2885.5</v>
      </c>
      <c r="AH77" s="32">
        <v>2879.5</v>
      </c>
      <c r="AI77" s="32">
        <v>2920</v>
      </c>
      <c r="AJ77" s="32">
        <v>2863.5</v>
      </c>
      <c r="AK77" s="32">
        <v>3082</v>
      </c>
      <c r="AL77" s="32">
        <v>3072</v>
      </c>
      <c r="AM77" s="32">
        <v>3039</v>
      </c>
      <c r="AN77" s="32">
        <v>3108</v>
      </c>
      <c r="AO77" s="32">
        <v>3022</v>
      </c>
      <c r="AP77" s="32">
        <v>3027</v>
      </c>
      <c r="AQ77" s="32">
        <v>2979</v>
      </c>
      <c r="AR77" s="32">
        <v>3013</v>
      </c>
      <c r="AS77" s="32">
        <v>3086</v>
      </c>
      <c r="AT77" s="32">
        <v>3010</v>
      </c>
      <c r="AU77" s="32">
        <v>2945</v>
      </c>
      <c r="AV77" s="32">
        <v>2886.5</v>
      </c>
      <c r="AW77" s="32">
        <v>2888</v>
      </c>
      <c r="AX77" s="32">
        <v>3088</v>
      </c>
      <c r="AY77" s="32">
        <v>3047</v>
      </c>
      <c r="AZ77" s="32">
        <v>3022</v>
      </c>
      <c r="BA77" s="32">
        <v>3071</v>
      </c>
      <c r="BB77" s="32">
        <v>3135</v>
      </c>
      <c r="BC77" s="32">
        <v>3133</v>
      </c>
      <c r="BD77" s="32">
        <v>3205</v>
      </c>
      <c r="BE77" s="32">
        <v>3235</v>
      </c>
      <c r="BF77" s="32">
        <v>3356</v>
      </c>
      <c r="BG77" s="32">
        <v>3413</v>
      </c>
      <c r="BH77" s="32">
        <v>3400</v>
      </c>
      <c r="BI77" s="32">
        <v>3468</v>
      </c>
      <c r="BJ77" s="32">
        <v>3386</v>
      </c>
      <c r="BK77" s="32">
        <v>3355</v>
      </c>
      <c r="BL77" s="33">
        <v>3337</v>
      </c>
      <c r="BM77" s="1">
        <v>3363</v>
      </c>
      <c r="BN77" s="1">
        <v>3399</v>
      </c>
      <c r="BO77" s="1">
        <v>3418</v>
      </c>
      <c r="BP77" s="1">
        <v>3264</v>
      </c>
    </row>
    <row r="78" spans="1:68" ht="15.9" customHeight="1">
      <c r="A78" s="68" t="s">
        <v>151</v>
      </c>
      <c r="B78" s="28" t="s">
        <v>152</v>
      </c>
      <c r="C78" s="42" t="str">
        <f>_xll.RssMarket("6954","高値")</f>
        <v/>
      </c>
      <c r="D78" s="41" t="e">
        <f t="shared" si="2"/>
        <v>#VALUE!</v>
      </c>
      <c r="E78" s="32">
        <v>6706</v>
      </c>
      <c r="F78" s="32">
        <v>7030</v>
      </c>
      <c r="G78" s="32">
        <v>6898</v>
      </c>
      <c r="H78" s="32">
        <v>7205</v>
      </c>
      <c r="I78" s="32">
        <v>7239</v>
      </c>
      <c r="J78" s="32">
        <v>6919</v>
      </c>
      <c r="K78" s="32">
        <v>6985</v>
      </c>
      <c r="L78" s="32">
        <v>7372</v>
      </c>
      <c r="M78" s="32">
        <v>7569</v>
      </c>
      <c r="N78" s="32">
        <v>7468</v>
      </c>
      <c r="O78" s="32">
        <v>7339</v>
      </c>
      <c r="P78" s="32">
        <v>7515</v>
      </c>
      <c r="Q78" s="32">
        <v>7430</v>
      </c>
      <c r="R78" s="32">
        <v>7085</v>
      </c>
      <c r="S78" s="32">
        <v>7350</v>
      </c>
      <c r="T78" s="32">
        <v>7513</v>
      </c>
      <c r="U78" s="32">
        <v>7561</v>
      </c>
      <c r="V78" s="32">
        <v>7938</v>
      </c>
      <c r="W78" s="32">
        <v>8164</v>
      </c>
      <c r="X78" s="32">
        <v>7702</v>
      </c>
      <c r="Y78" s="32">
        <v>7704</v>
      </c>
      <c r="Z78" s="32">
        <v>7515</v>
      </c>
      <c r="AA78" s="32">
        <v>7490</v>
      </c>
      <c r="AB78" s="32">
        <v>7353</v>
      </c>
      <c r="AC78" s="32">
        <v>7122</v>
      </c>
      <c r="AD78" s="32">
        <v>6778</v>
      </c>
      <c r="AE78" s="32">
        <v>6997</v>
      </c>
      <c r="AF78" s="32">
        <v>7248</v>
      </c>
      <c r="AG78" s="32">
        <v>7690</v>
      </c>
      <c r="AH78" s="32">
        <v>7922</v>
      </c>
      <c r="AI78" s="32">
        <v>8080</v>
      </c>
      <c r="AJ78" s="32">
        <v>8010</v>
      </c>
      <c r="AK78" s="32">
        <v>8149</v>
      </c>
      <c r="AL78" s="32">
        <v>8100</v>
      </c>
      <c r="AM78" s="32">
        <v>8703</v>
      </c>
      <c r="AN78" s="32">
        <v>8562</v>
      </c>
      <c r="AO78" s="32">
        <v>8278</v>
      </c>
      <c r="AP78" s="32">
        <v>7741</v>
      </c>
      <c r="AQ78" s="32">
        <v>7650</v>
      </c>
      <c r="AR78" s="32">
        <v>8015</v>
      </c>
      <c r="AS78" s="32">
        <v>8439</v>
      </c>
      <c r="AT78" s="32">
        <v>8720</v>
      </c>
      <c r="AU78" s="32">
        <v>8880</v>
      </c>
      <c r="AV78" s="32">
        <v>7680</v>
      </c>
      <c r="AW78" s="32">
        <v>7852</v>
      </c>
      <c r="AX78" s="32">
        <v>7639</v>
      </c>
      <c r="AY78" s="32">
        <v>7654</v>
      </c>
      <c r="AZ78" s="32">
        <v>7300</v>
      </c>
      <c r="BA78" s="32">
        <v>6918</v>
      </c>
      <c r="BB78" s="32">
        <v>6957</v>
      </c>
      <c r="BC78" s="32">
        <v>7270</v>
      </c>
      <c r="BD78" s="32">
        <v>7256</v>
      </c>
      <c r="BE78" s="32">
        <v>6367</v>
      </c>
      <c r="BF78" s="32">
        <v>6467</v>
      </c>
      <c r="BG78" s="32">
        <v>6552</v>
      </c>
      <c r="BH78" s="32">
        <v>6575</v>
      </c>
      <c r="BI78" s="32">
        <v>6564</v>
      </c>
      <c r="BJ78" s="32">
        <v>6331</v>
      </c>
      <c r="BK78" s="32">
        <v>6364</v>
      </c>
      <c r="BL78" s="33">
        <v>6280</v>
      </c>
      <c r="BM78" s="1">
        <v>6301</v>
      </c>
      <c r="BN78" s="1">
        <v>6271</v>
      </c>
      <c r="BO78" s="1">
        <v>6303</v>
      </c>
      <c r="BP78" s="1">
        <v>6029</v>
      </c>
    </row>
    <row r="79" spans="1:68" ht="15.9" customHeight="1">
      <c r="A79" s="68" t="s">
        <v>153</v>
      </c>
      <c r="B79" s="28" t="s">
        <v>154</v>
      </c>
      <c r="C79" s="42" t="str">
        <f>_xll.RssMarket("6479","高値")</f>
        <v/>
      </c>
      <c r="D79" s="41" t="e">
        <f t="shared" si="2"/>
        <v>#VALUE!</v>
      </c>
      <c r="E79" s="32">
        <v>3999</v>
      </c>
      <c r="F79" s="32">
        <v>4216</v>
      </c>
      <c r="G79" s="32">
        <v>4174</v>
      </c>
      <c r="H79" s="32">
        <v>4385</v>
      </c>
      <c r="I79" s="32">
        <v>4448</v>
      </c>
      <c r="J79" s="32">
        <v>4449</v>
      </c>
      <c r="K79" s="32">
        <v>4473</v>
      </c>
      <c r="L79" s="32">
        <v>4560</v>
      </c>
      <c r="M79" s="32">
        <v>4918</v>
      </c>
      <c r="N79" s="32">
        <v>4848</v>
      </c>
      <c r="O79" s="32">
        <v>4868</v>
      </c>
      <c r="P79" s="32">
        <v>5013</v>
      </c>
      <c r="Q79" s="32">
        <v>4864</v>
      </c>
      <c r="R79" s="32">
        <v>4851</v>
      </c>
      <c r="S79" s="32">
        <v>5259</v>
      </c>
      <c r="T79" s="32">
        <v>5307</v>
      </c>
      <c r="U79" s="32">
        <v>5085</v>
      </c>
      <c r="V79" s="32">
        <v>5262</v>
      </c>
      <c r="W79" s="32">
        <v>5132</v>
      </c>
      <c r="X79" s="32">
        <v>4726</v>
      </c>
      <c r="Y79" s="32">
        <v>4745</v>
      </c>
      <c r="Z79" s="32">
        <v>4720</v>
      </c>
      <c r="AA79" s="32">
        <v>4723</v>
      </c>
      <c r="AB79" s="32">
        <v>4532</v>
      </c>
      <c r="AC79" s="32">
        <v>4477</v>
      </c>
      <c r="AD79" s="32">
        <v>4338</v>
      </c>
      <c r="AE79" s="32">
        <v>4640</v>
      </c>
      <c r="AF79" s="32">
        <v>4733</v>
      </c>
      <c r="AG79" s="32">
        <v>5088</v>
      </c>
      <c r="AH79" s="32">
        <v>5005</v>
      </c>
      <c r="AI79" s="32">
        <v>4967</v>
      </c>
      <c r="AJ79" s="32">
        <v>4740</v>
      </c>
      <c r="AK79" s="32">
        <v>4617</v>
      </c>
      <c r="AL79" s="32">
        <v>4328</v>
      </c>
      <c r="AM79" s="32">
        <v>4393</v>
      </c>
      <c r="AN79" s="32">
        <v>4246</v>
      </c>
      <c r="AO79" s="32">
        <v>4057</v>
      </c>
      <c r="AP79" s="32">
        <v>3944</v>
      </c>
      <c r="AQ79" s="32">
        <v>3898</v>
      </c>
      <c r="AR79" s="32">
        <v>3882</v>
      </c>
      <c r="AS79" s="32">
        <v>3990</v>
      </c>
      <c r="AT79" s="32">
        <v>4087</v>
      </c>
      <c r="AU79" s="32">
        <v>4088</v>
      </c>
      <c r="AV79" s="32">
        <v>3915</v>
      </c>
      <c r="AW79" s="32">
        <v>3604</v>
      </c>
      <c r="AX79" s="32">
        <v>3458</v>
      </c>
      <c r="AY79" s="32">
        <v>3384</v>
      </c>
      <c r="AZ79" s="32">
        <v>3319</v>
      </c>
      <c r="BA79" s="32">
        <v>3152</v>
      </c>
      <c r="BB79" s="32">
        <v>3150</v>
      </c>
      <c r="BC79" s="32">
        <v>3124</v>
      </c>
      <c r="BD79" s="32">
        <v>3150</v>
      </c>
      <c r="BE79" s="32">
        <v>3100</v>
      </c>
      <c r="BF79" s="32">
        <v>3130</v>
      </c>
      <c r="BG79" s="32">
        <v>3149</v>
      </c>
      <c r="BH79" s="32">
        <v>3135</v>
      </c>
      <c r="BI79" s="32">
        <v>3120</v>
      </c>
      <c r="BJ79" s="32">
        <v>3009</v>
      </c>
      <c r="BK79" s="32">
        <v>3033</v>
      </c>
      <c r="BL79" s="33">
        <v>2898.5</v>
      </c>
      <c r="BM79" s="1">
        <v>2918.5</v>
      </c>
      <c r="BN79" s="1">
        <v>2905.5</v>
      </c>
      <c r="BO79" s="1">
        <v>2883</v>
      </c>
      <c r="BP79" s="1">
        <v>2784.5</v>
      </c>
    </row>
    <row r="80" spans="1:68" ht="15.9" customHeight="1">
      <c r="A80" s="68" t="s">
        <v>155</v>
      </c>
      <c r="B80" s="28" t="s">
        <v>156</v>
      </c>
      <c r="C80" s="42" t="str">
        <f>_xll.RssMarket("1833","高値")</f>
        <v/>
      </c>
      <c r="D80" s="41" t="e">
        <f t="shared" si="2"/>
        <v>#VALUE!</v>
      </c>
      <c r="E80" s="32">
        <v>5690</v>
      </c>
      <c r="F80" s="32">
        <v>5710</v>
      </c>
      <c r="G80" s="32">
        <v>5650</v>
      </c>
      <c r="H80" s="32">
        <v>5680</v>
      </c>
      <c r="I80" s="32">
        <v>5730</v>
      </c>
      <c r="J80" s="32">
        <v>5770</v>
      </c>
      <c r="K80" s="32">
        <v>5760</v>
      </c>
      <c r="L80" s="32">
        <v>5880</v>
      </c>
      <c r="M80" s="32">
        <v>5800</v>
      </c>
      <c r="N80" s="32">
        <v>5730</v>
      </c>
      <c r="O80" s="32">
        <v>5740</v>
      </c>
      <c r="P80" s="32">
        <v>5680</v>
      </c>
      <c r="Q80" s="32">
        <v>5720</v>
      </c>
      <c r="R80" s="32">
        <v>5760</v>
      </c>
      <c r="S80" s="32">
        <v>5660</v>
      </c>
      <c r="T80" s="32">
        <v>5700</v>
      </c>
      <c r="U80" s="32">
        <v>5680</v>
      </c>
      <c r="V80" s="32">
        <v>5730</v>
      </c>
      <c r="W80" s="32">
        <v>5720</v>
      </c>
      <c r="X80" s="32">
        <v>5850</v>
      </c>
      <c r="Y80" s="32">
        <v>5790</v>
      </c>
      <c r="Z80" s="32">
        <v>5870</v>
      </c>
      <c r="AA80" s="32">
        <v>5700</v>
      </c>
      <c r="AB80" s="32">
        <v>5590</v>
      </c>
      <c r="AC80" s="32">
        <v>5580</v>
      </c>
      <c r="AD80" s="32">
        <v>5560</v>
      </c>
      <c r="AE80" s="32">
        <v>5630</v>
      </c>
      <c r="AF80" s="32">
        <v>5560</v>
      </c>
      <c r="AG80" s="32">
        <v>5600</v>
      </c>
      <c r="AH80" s="32">
        <v>5570</v>
      </c>
      <c r="AI80" s="32">
        <v>5630</v>
      </c>
      <c r="AJ80" s="32">
        <v>5660</v>
      </c>
      <c r="AK80" s="32">
        <v>5620</v>
      </c>
      <c r="AL80" s="32">
        <v>5610</v>
      </c>
      <c r="AM80" s="32">
        <v>5700</v>
      </c>
      <c r="AN80" s="32">
        <v>5730</v>
      </c>
      <c r="AO80" s="32">
        <v>5820</v>
      </c>
      <c r="AP80" s="32">
        <v>5790</v>
      </c>
      <c r="AQ80" s="32">
        <v>6070</v>
      </c>
      <c r="AR80" s="32">
        <v>6160</v>
      </c>
      <c r="AS80" s="32">
        <v>6340</v>
      </c>
      <c r="AT80" s="32">
        <v>6400</v>
      </c>
      <c r="AU80" s="32">
        <v>6280</v>
      </c>
      <c r="AV80" s="32">
        <v>6180</v>
      </c>
      <c r="AW80" s="32">
        <v>6290</v>
      </c>
      <c r="AX80" s="32">
        <v>6180</v>
      </c>
      <c r="AY80" s="32">
        <v>6160</v>
      </c>
      <c r="AZ80" s="32">
        <v>6140</v>
      </c>
      <c r="BA80" s="32">
        <v>6010</v>
      </c>
      <c r="BB80" s="32">
        <v>6150</v>
      </c>
      <c r="BC80" s="32">
        <v>6090</v>
      </c>
      <c r="BD80" s="32">
        <v>6090</v>
      </c>
      <c r="BE80" s="32">
        <v>6150</v>
      </c>
      <c r="BF80" s="32">
        <v>6170</v>
      </c>
      <c r="BG80" s="32">
        <v>6210</v>
      </c>
      <c r="BH80" s="32">
        <v>6270</v>
      </c>
      <c r="BI80" s="32">
        <v>6340</v>
      </c>
      <c r="BJ80" s="32">
        <v>6290</v>
      </c>
      <c r="BK80" s="32">
        <v>6360</v>
      </c>
      <c r="BL80" s="33">
        <v>6440</v>
      </c>
      <c r="BM80" s="1">
        <v>6550</v>
      </c>
      <c r="BN80" s="1">
        <v>6540</v>
      </c>
      <c r="BO80" s="1">
        <v>6420</v>
      </c>
      <c r="BP80" s="1">
        <v>6470</v>
      </c>
    </row>
    <row r="81" spans="1:68" ht="15.9" customHeight="1">
      <c r="A81" s="68" t="s">
        <v>157</v>
      </c>
      <c r="B81" s="28" t="s">
        <v>158</v>
      </c>
      <c r="C81" s="42" t="str">
        <f>_xll.RssMarket("6841","高値")</f>
        <v/>
      </c>
      <c r="D81" s="41" t="e">
        <f t="shared" si="2"/>
        <v>#VALUE!</v>
      </c>
      <c r="E81" s="32">
        <v>5532</v>
      </c>
      <c r="F81" s="32">
        <v>5647</v>
      </c>
      <c r="G81" s="32">
        <v>5518</v>
      </c>
      <c r="H81" s="32">
        <v>5659</v>
      </c>
      <c r="I81" s="32">
        <v>5622</v>
      </c>
      <c r="J81" s="32">
        <v>5526</v>
      </c>
      <c r="K81" s="32">
        <v>5658</v>
      </c>
      <c r="L81" s="32">
        <v>5914</v>
      </c>
      <c r="M81" s="32">
        <v>5934</v>
      </c>
      <c r="N81" s="32">
        <v>5812</v>
      </c>
      <c r="O81" s="32">
        <v>5722</v>
      </c>
      <c r="P81" s="32">
        <v>5787</v>
      </c>
      <c r="Q81" s="32">
        <v>5694</v>
      </c>
      <c r="R81" s="32">
        <v>5594</v>
      </c>
      <c r="S81" s="32">
        <v>5670</v>
      </c>
      <c r="T81" s="32">
        <v>5627</v>
      </c>
      <c r="U81" s="32">
        <v>5621</v>
      </c>
      <c r="V81" s="32">
        <v>5876</v>
      </c>
      <c r="W81" s="32">
        <v>5740</v>
      </c>
      <c r="X81" s="32">
        <v>5481</v>
      </c>
      <c r="Y81" s="32">
        <v>5503</v>
      </c>
      <c r="Z81" s="32">
        <v>5413</v>
      </c>
      <c r="AA81" s="32">
        <v>5271</v>
      </c>
      <c r="AB81" s="32">
        <v>5195</v>
      </c>
      <c r="AC81" s="32">
        <v>5191</v>
      </c>
      <c r="AD81" s="32">
        <v>4809</v>
      </c>
      <c r="AE81" s="32">
        <v>4930</v>
      </c>
      <c r="AF81" s="32">
        <v>5129</v>
      </c>
      <c r="AG81" s="32">
        <v>5347</v>
      </c>
      <c r="AH81" s="32">
        <v>5388</v>
      </c>
      <c r="AI81" s="32">
        <v>5412</v>
      </c>
      <c r="AJ81" s="32">
        <v>5174</v>
      </c>
      <c r="AK81" s="32">
        <v>5052</v>
      </c>
      <c r="AL81" s="32">
        <v>4939</v>
      </c>
      <c r="AM81" s="32">
        <v>4980</v>
      </c>
      <c r="AN81" s="32">
        <v>5045</v>
      </c>
      <c r="AO81" s="32">
        <v>4907</v>
      </c>
      <c r="AP81" s="32">
        <v>4841</v>
      </c>
      <c r="AQ81" s="32">
        <v>4746</v>
      </c>
      <c r="AR81" s="32">
        <v>4936</v>
      </c>
      <c r="AS81" s="32">
        <v>5000</v>
      </c>
      <c r="AT81" s="32">
        <v>5174</v>
      </c>
      <c r="AU81" s="32">
        <v>5403</v>
      </c>
      <c r="AV81" s="32">
        <v>5283</v>
      </c>
      <c r="AW81" s="32">
        <v>5339</v>
      </c>
      <c r="AX81" s="32">
        <v>5371</v>
      </c>
      <c r="AY81" s="32">
        <v>5446</v>
      </c>
      <c r="AZ81" s="32">
        <v>5796</v>
      </c>
      <c r="BA81" s="32">
        <v>5500</v>
      </c>
      <c r="BB81" s="32">
        <v>5508</v>
      </c>
      <c r="BC81" s="32">
        <v>5493</v>
      </c>
      <c r="BD81" s="32">
        <v>5507</v>
      </c>
      <c r="BE81" s="32">
        <v>5332</v>
      </c>
      <c r="BF81" s="32">
        <v>5432</v>
      </c>
      <c r="BG81" s="32">
        <v>5578</v>
      </c>
      <c r="BH81" s="32">
        <v>5669</v>
      </c>
      <c r="BI81" s="32">
        <v>5518</v>
      </c>
      <c r="BJ81" s="32">
        <v>5518</v>
      </c>
      <c r="BK81" s="32">
        <v>5469</v>
      </c>
      <c r="BL81" s="33">
        <v>5622</v>
      </c>
      <c r="BM81" s="1">
        <v>5726</v>
      </c>
      <c r="BN81" s="1">
        <v>5635</v>
      </c>
      <c r="BO81" s="1">
        <v>5697</v>
      </c>
      <c r="BP81" s="1">
        <v>5698</v>
      </c>
    </row>
    <row r="82" spans="1:68" ht="15.9" customHeight="1">
      <c r="A82" s="68" t="s">
        <v>159</v>
      </c>
      <c r="B82" s="28" t="s">
        <v>160</v>
      </c>
      <c r="C82" s="42" t="str">
        <f>_xll.RssMarket("7167","高値")</f>
        <v/>
      </c>
      <c r="D82" s="41" t="e">
        <f t="shared" si="2"/>
        <v>#VALUE!</v>
      </c>
      <c r="E82" s="32">
        <v>1515</v>
      </c>
      <c r="F82" s="32">
        <v>1538.5</v>
      </c>
      <c r="G82" s="32">
        <v>1528.5</v>
      </c>
      <c r="H82" s="32">
        <v>1565.5</v>
      </c>
      <c r="I82" s="32">
        <v>1585.5</v>
      </c>
      <c r="J82" s="32">
        <v>1566</v>
      </c>
      <c r="K82" s="32">
        <v>1575.5</v>
      </c>
      <c r="L82" s="32">
        <v>1572</v>
      </c>
      <c r="M82" s="32">
        <v>1529.5</v>
      </c>
      <c r="N82" s="32">
        <v>1512.5</v>
      </c>
      <c r="O82" s="32">
        <v>1484</v>
      </c>
      <c r="P82" s="32">
        <v>1438.5</v>
      </c>
      <c r="Q82" s="32">
        <v>1439</v>
      </c>
      <c r="R82" s="32">
        <v>1426.5</v>
      </c>
      <c r="S82" s="32">
        <v>1410</v>
      </c>
      <c r="T82" s="32">
        <v>1411</v>
      </c>
      <c r="U82" s="32">
        <v>1424</v>
      </c>
      <c r="V82" s="32">
        <v>1443.5</v>
      </c>
      <c r="W82" s="32">
        <v>1435.5</v>
      </c>
      <c r="X82" s="32">
        <v>1444.5</v>
      </c>
      <c r="Y82" s="32">
        <v>1439.5</v>
      </c>
      <c r="Z82" s="32">
        <v>1446.5</v>
      </c>
      <c r="AA82" s="32">
        <v>1417</v>
      </c>
      <c r="AB82" s="32">
        <v>1456.5</v>
      </c>
      <c r="AC82" s="32">
        <v>1423</v>
      </c>
      <c r="AD82" s="32">
        <v>1380</v>
      </c>
      <c r="AE82" s="32">
        <v>1423.5</v>
      </c>
      <c r="AF82" s="32">
        <v>1357</v>
      </c>
      <c r="AG82" s="32">
        <v>1376</v>
      </c>
      <c r="AH82" s="32">
        <v>1359</v>
      </c>
      <c r="AI82" s="32">
        <v>1343.5</v>
      </c>
      <c r="AJ82" s="32">
        <v>1325.5</v>
      </c>
      <c r="AK82" s="32">
        <v>1369.5</v>
      </c>
      <c r="AL82" s="32">
        <v>1374</v>
      </c>
      <c r="AM82" s="32">
        <v>1386.5</v>
      </c>
      <c r="AN82" s="32">
        <v>1406.5</v>
      </c>
      <c r="AO82" s="32">
        <v>1429</v>
      </c>
      <c r="AP82" s="32">
        <v>1433.5</v>
      </c>
      <c r="AQ82" s="32">
        <v>1406</v>
      </c>
      <c r="AR82" s="32">
        <v>1393.5</v>
      </c>
      <c r="AS82" s="32">
        <v>1390</v>
      </c>
      <c r="AT82" s="32">
        <v>1403</v>
      </c>
      <c r="AU82" s="32">
        <v>1386</v>
      </c>
      <c r="AV82" s="32">
        <v>1399.5</v>
      </c>
      <c r="AW82" s="32">
        <v>1369</v>
      </c>
      <c r="AX82" s="32">
        <v>1341.5</v>
      </c>
      <c r="AY82" s="32">
        <v>1326.5</v>
      </c>
      <c r="AZ82" s="32">
        <v>1361</v>
      </c>
      <c r="BA82" s="32">
        <v>1309</v>
      </c>
      <c r="BB82" s="32">
        <v>1300</v>
      </c>
      <c r="BC82" s="32">
        <v>1319.5</v>
      </c>
      <c r="BD82" s="32">
        <v>1238.5</v>
      </c>
      <c r="BE82" s="32">
        <v>1235.5</v>
      </c>
      <c r="BF82" s="32">
        <v>1241.5</v>
      </c>
      <c r="BG82" s="32">
        <v>1284.5</v>
      </c>
      <c r="BH82" s="32">
        <v>1321</v>
      </c>
      <c r="BI82" s="32">
        <v>1357</v>
      </c>
      <c r="BJ82" s="32">
        <v>1363.5</v>
      </c>
      <c r="BK82" s="32">
        <v>1370.5</v>
      </c>
      <c r="BL82" s="33">
        <v>1376.5</v>
      </c>
      <c r="BM82" s="1">
        <v>1353</v>
      </c>
      <c r="BN82" s="1">
        <v>1360.5</v>
      </c>
      <c r="BO82" s="1">
        <v>1381</v>
      </c>
      <c r="BP82" s="1">
        <v>1363.5</v>
      </c>
    </row>
    <row r="83" spans="1:68" ht="15.9" customHeight="1">
      <c r="A83" s="68" t="s">
        <v>161</v>
      </c>
      <c r="B83" s="28" t="s">
        <v>162</v>
      </c>
      <c r="C83" s="42" t="str">
        <f>_xll.RssMarket("1925","高値")</f>
        <v/>
      </c>
      <c r="D83" s="41" t="e">
        <f t="shared" si="2"/>
        <v>#VALUE!</v>
      </c>
      <c r="E83" s="32">
        <v>4684</v>
      </c>
      <c r="F83" s="32">
        <v>4628</v>
      </c>
      <c r="G83" s="32">
        <v>4615</v>
      </c>
      <c r="H83" s="32">
        <v>4553</v>
      </c>
      <c r="I83" s="32">
        <v>4575</v>
      </c>
      <c r="J83" s="32">
        <v>4549</v>
      </c>
      <c r="K83" s="32">
        <v>4600</v>
      </c>
      <c r="L83" s="32">
        <v>4585</v>
      </c>
      <c r="M83" s="32">
        <v>4557</v>
      </c>
      <c r="N83" s="32">
        <v>4463</v>
      </c>
      <c r="O83" s="32">
        <v>4419</v>
      </c>
      <c r="P83" s="32">
        <v>4493</v>
      </c>
      <c r="Q83" s="32">
        <v>4500</v>
      </c>
      <c r="R83" s="32">
        <v>4425</v>
      </c>
      <c r="S83" s="32">
        <v>4404</v>
      </c>
      <c r="T83" s="32">
        <v>4342</v>
      </c>
      <c r="U83" s="32">
        <v>4330</v>
      </c>
      <c r="V83" s="32">
        <v>4309</v>
      </c>
      <c r="W83" s="32">
        <v>4378</v>
      </c>
      <c r="X83" s="32">
        <v>4380</v>
      </c>
      <c r="Y83" s="32">
        <v>4435</v>
      </c>
      <c r="Z83" s="32">
        <v>4373</v>
      </c>
      <c r="AA83" s="32">
        <v>4422</v>
      </c>
      <c r="AB83" s="32">
        <v>4345</v>
      </c>
      <c r="AC83" s="32">
        <v>4374</v>
      </c>
      <c r="AD83" s="32">
        <v>4381</v>
      </c>
      <c r="AE83" s="32">
        <v>4262</v>
      </c>
      <c r="AF83" s="32">
        <v>4270</v>
      </c>
      <c r="AG83" s="32">
        <v>4276</v>
      </c>
      <c r="AH83" s="32">
        <v>4287</v>
      </c>
      <c r="AI83" s="32">
        <v>4194</v>
      </c>
      <c r="AJ83" s="32">
        <v>4421</v>
      </c>
      <c r="AK83" s="32">
        <v>4429</v>
      </c>
      <c r="AL83" s="32">
        <v>4434</v>
      </c>
      <c r="AM83" s="32">
        <v>4489</v>
      </c>
      <c r="AN83" s="32">
        <v>4472</v>
      </c>
      <c r="AO83" s="32">
        <v>4548</v>
      </c>
      <c r="AP83" s="32">
        <v>4582</v>
      </c>
      <c r="AQ83" s="32">
        <v>4576</v>
      </c>
      <c r="AR83" s="32">
        <v>4551</v>
      </c>
      <c r="AS83" s="32">
        <v>4570</v>
      </c>
      <c r="AT83" s="32">
        <v>4693</v>
      </c>
      <c r="AU83" s="32">
        <v>4831</v>
      </c>
      <c r="AV83" s="32">
        <v>4809</v>
      </c>
      <c r="AW83" s="32">
        <v>4800</v>
      </c>
      <c r="AX83" s="32">
        <v>4835</v>
      </c>
      <c r="AY83" s="32">
        <v>4825</v>
      </c>
      <c r="AZ83" s="32">
        <v>4795</v>
      </c>
      <c r="BA83" s="32">
        <v>4828</v>
      </c>
      <c r="BB83" s="32">
        <v>4884</v>
      </c>
      <c r="BC83" s="32">
        <v>4799</v>
      </c>
      <c r="BD83" s="32">
        <v>4823</v>
      </c>
      <c r="BE83" s="32">
        <v>4851</v>
      </c>
      <c r="BF83" s="32">
        <v>4899</v>
      </c>
      <c r="BG83" s="32">
        <v>4929</v>
      </c>
      <c r="BH83" s="32">
        <v>4914</v>
      </c>
      <c r="BI83" s="32">
        <v>4916</v>
      </c>
      <c r="BJ83" s="32">
        <v>4949</v>
      </c>
      <c r="BK83" s="32">
        <v>4939</v>
      </c>
      <c r="BL83" s="33">
        <v>4938</v>
      </c>
      <c r="BM83" s="1">
        <v>4973</v>
      </c>
      <c r="BN83" s="1">
        <v>5009</v>
      </c>
      <c r="BO83" s="1">
        <v>5098</v>
      </c>
      <c r="BP83" s="1">
        <v>5070</v>
      </c>
    </row>
    <row r="84" spans="1:68" ht="15.9" customHeight="1">
      <c r="A84" s="68" t="s">
        <v>163</v>
      </c>
      <c r="B84" s="28" t="s">
        <v>164</v>
      </c>
      <c r="C84" s="42" t="str">
        <f>_xll.RssMarket("5411","高値")</f>
        <v/>
      </c>
      <c r="D84" s="41" t="e">
        <f t="shared" si="2"/>
        <v>#VALUE!</v>
      </c>
      <c r="E84" s="32">
        <v>1706.5</v>
      </c>
      <c r="F84" s="32">
        <v>1688.5</v>
      </c>
      <c r="G84" s="32">
        <v>1666</v>
      </c>
      <c r="H84" s="32">
        <v>1644</v>
      </c>
      <c r="I84" s="32">
        <v>1627</v>
      </c>
      <c r="J84" s="32">
        <v>1644</v>
      </c>
      <c r="K84" s="32">
        <v>1658</v>
      </c>
      <c r="L84" s="32">
        <v>1673</v>
      </c>
      <c r="M84" s="32">
        <v>1662</v>
      </c>
      <c r="N84" s="32">
        <v>1612.5</v>
      </c>
      <c r="O84" s="32">
        <v>1584</v>
      </c>
      <c r="P84" s="32">
        <v>1567.5</v>
      </c>
      <c r="Q84" s="32">
        <v>1572</v>
      </c>
      <c r="R84" s="32">
        <v>1563.5</v>
      </c>
      <c r="S84" s="32">
        <v>1558.5</v>
      </c>
      <c r="T84" s="32">
        <v>1573</v>
      </c>
      <c r="U84" s="32">
        <v>1581</v>
      </c>
      <c r="V84" s="32">
        <v>1604</v>
      </c>
      <c r="W84" s="32">
        <v>1617</v>
      </c>
      <c r="X84" s="32">
        <v>1642</v>
      </c>
      <c r="Y84" s="32">
        <v>1658.5</v>
      </c>
      <c r="Z84" s="32">
        <v>1653</v>
      </c>
      <c r="AA84" s="32">
        <v>1659</v>
      </c>
      <c r="AB84" s="32">
        <v>1653.5</v>
      </c>
      <c r="AC84" s="32">
        <v>1622.5</v>
      </c>
      <c r="AD84" s="32">
        <v>1577.5</v>
      </c>
      <c r="AE84" s="32">
        <v>1587</v>
      </c>
      <c r="AF84" s="32">
        <v>1623</v>
      </c>
      <c r="AG84" s="32">
        <v>1620</v>
      </c>
      <c r="AH84" s="32">
        <v>1610</v>
      </c>
      <c r="AI84" s="32">
        <v>1612</v>
      </c>
      <c r="AJ84" s="32">
        <v>1618</v>
      </c>
      <c r="AK84" s="32">
        <v>1723.5</v>
      </c>
      <c r="AL84" s="32">
        <v>1687</v>
      </c>
      <c r="AM84" s="32">
        <v>1686</v>
      </c>
      <c r="AN84" s="32">
        <v>1654</v>
      </c>
      <c r="AO84" s="32">
        <v>1661.5</v>
      </c>
      <c r="AP84" s="32">
        <v>1664.5</v>
      </c>
      <c r="AQ84" s="32">
        <v>1672.5</v>
      </c>
      <c r="AR84" s="32">
        <v>1684</v>
      </c>
      <c r="AS84" s="32">
        <v>1674.5</v>
      </c>
      <c r="AT84" s="32">
        <v>1707.5</v>
      </c>
      <c r="AU84" s="32">
        <v>1724.5</v>
      </c>
      <c r="AV84" s="32">
        <v>1731</v>
      </c>
      <c r="AW84" s="32">
        <v>1705.5</v>
      </c>
      <c r="AX84" s="32">
        <v>1747</v>
      </c>
      <c r="AY84" s="32">
        <v>1814.5</v>
      </c>
      <c r="AZ84" s="32">
        <v>1747</v>
      </c>
      <c r="BA84" s="32">
        <v>1723.5</v>
      </c>
      <c r="BB84" s="32">
        <v>1718.5</v>
      </c>
      <c r="BC84" s="32">
        <v>1700.5</v>
      </c>
      <c r="BD84" s="32">
        <v>1691.5</v>
      </c>
      <c r="BE84" s="32">
        <v>1707</v>
      </c>
      <c r="BF84" s="32">
        <v>1731</v>
      </c>
      <c r="BG84" s="32">
        <v>1746</v>
      </c>
      <c r="BH84" s="32">
        <v>1767</v>
      </c>
      <c r="BI84" s="32">
        <v>1807.5</v>
      </c>
      <c r="BJ84" s="32">
        <v>1824</v>
      </c>
      <c r="BK84" s="32">
        <v>1830</v>
      </c>
      <c r="BL84" s="33">
        <v>1838.5</v>
      </c>
      <c r="BM84" s="1">
        <v>1859.5</v>
      </c>
      <c r="BN84" s="1">
        <v>1867.5</v>
      </c>
      <c r="BO84" s="1">
        <v>1877.5</v>
      </c>
      <c r="BP84" s="1">
        <v>1890</v>
      </c>
    </row>
    <row r="85" spans="1:68" ht="15.9" customHeight="1">
      <c r="A85" s="68" t="s">
        <v>165</v>
      </c>
      <c r="B85" s="28" t="s">
        <v>166</v>
      </c>
      <c r="C85" s="42" t="str">
        <f>_xll.RssMarket("7182","高値")</f>
        <v/>
      </c>
      <c r="D85" s="41" t="e">
        <f t="shared" si="2"/>
        <v>#VALUE!</v>
      </c>
      <c r="E85" s="32">
        <v>3261</v>
      </c>
      <c r="F85" s="32">
        <v>3352</v>
      </c>
      <c r="G85" s="32">
        <v>3324</v>
      </c>
      <c r="H85" s="32">
        <v>3363</v>
      </c>
      <c r="I85" s="32">
        <v>3348</v>
      </c>
      <c r="J85" s="32">
        <v>3317</v>
      </c>
      <c r="K85" s="32">
        <v>3363</v>
      </c>
      <c r="L85" s="32">
        <v>3402</v>
      </c>
      <c r="M85" s="32">
        <v>3263</v>
      </c>
      <c r="N85" s="32">
        <v>3230</v>
      </c>
      <c r="O85" s="32">
        <v>3169</v>
      </c>
      <c r="P85" s="32">
        <v>3123</v>
      </c>
      <c r="Q85" s="32">
        <v>3127</v>
      </c>
      <c r="R85" s="32">
        <v>3089</v>
      </c>
      <c r="S85" s="32">
        <v>3092</v>
      </c>
      <c r="T85" s="32">
        <v>3100</v>
      </c>
      <c r="U85" s="32">
        <v>3242</v>
      </c>
      <c r="V85" s="32">
        <v>3293</v>
      </c>
      <c r="W85" s="32">
        <v>3286</v>
      </c>
      <c r="X85" s="32">
        <v>3287</v>
      </c>
      <c r="Y85" s="32">
        <v>3296</v>
      </c>
      <c r="Z85" s="32">
        <v>3235</v>
      </c>
      <c r="AA85" s="32">
        <v>3183</v>
      </c>
      <c r="AB85" s="32">
        <v>3308</v>
      </c>
      <c r="AC85" s="32">
        <v>3255</v>
      </c>
      <c r="AD85" s="32">
        <v>3113</v>
      </c>
      <c r="AE85" s="32">
        <v>3248</v>
      </c>
      <c r="AF85" s="32">
        <v>3145</v>
      </c>
      <c r="AG85" s="32">
        <v>3277</v>
      </c>
      <c r="AH85" s="32">
        <v>3234</v>
      </c>
      <c r="AI85" s="32">
        <v>3175</v>
      </c>
      <c r="AJ85" s="32">
        <v>3066</v>
      </c>
      <c r="AK85" s="32">
        <v>3072</v>
      </c>
      <c r="AL85" s="32">
        <v>2977</v>
      </c>
      <c r="AM85" s="32">
        <v>3033</v>
      </c>
      <c r="AN85" s="32">
        <v>3137</v>
      </c>
      <c r="AO85" s="32">
        <v>3200</v>
      </c>
      <c r="AP85" s="32">
        <v>3208</v>
      </c>
      <c r="AQ85" s="32">
        <v>3165</v>
      </c>
      <c r="AR85" s="32">
        <v>3060</v>
      </c>
      <c r="AS85" s="32">
        <v>2990</v>
      </c>
      <c r="AT85" s="32">
        <v>2861.5</v>
      </c>
      <c r="AU85" s="32">
        <v>2864</v>
      </c>
      <c r="AV85" s="32">
        <v>2876.5</v>
      </c>
      <c r="AW85" s="32">
        <v>2876</v>
      </c>
      <c r="AX85" s="32">
        <v>2797</v>
      </c>
      <c r="AY85" s="32">
        <v>2770</v>
      </c>
      <c r="AZ85" s="32">
        <v>2823.5</v>
      </c>
      <c r="BA85" s="32">
        <v>2704.5</v>
      </c>
      <c r="BB85" s="32">
        <v>2699</v>
      </c>
      <c r="BC85" s="32">
        <v>2696.5</v>
      </c>
      <c r="BD85" s="32">
        <v>2549.5</v>
      </c>
      <c r="BE85" s="32">
        <v>2535</v>
      </c>
      <c r="BF85" s="32">
        <v>2558.5</v>
      </c>
      <c r="BG85" s="32">
        <v>2611</v>
      </c>
      <c r="BH85" s="32">
        <v>2710</v>
      </c>
      <c r="BI85" s="32">
        <v>2759</v>
      </c>
      <c r="BJ85" s="32">
        <v>2798.5</v>
      </c>
      <c r="BK85" s="32">
        <v>2811</v>
      </c>
      <c r="BL85" s="33">
        <v>2787.5</v>
      </c>
      <c r="BM85" s="1">
        <v>2751</v>
      </c>
      <c r="BN85" s="1">
        <v>2749.5</v>
      </c>
      <c r="BO85" s="1">
        <v>2747</v>
      </c>
      <c r="BP85" s="1">
        <v>2816.5</v>
      </c>
    </row>
    <row r="86" spans="1:68" ht="15.9" customHeight="1">
      <c r="A86" s="68" t="s">
        <v>167</v>
      </c>
      <c r="B86" s="28" t="s">
        <v>168</v>
      </c>
      <c r="C86" s="42" t="str">
        <f>_xll.RssMarket("1963","高値")</f>
        <v/>
      </c>
      <c r="D86" s="41" t="e">
        <f t="shared" si="2"/>
        <v>#VALUE!</v>
      </c>
      <c r="E86" s="32">
        <v>2255</v>
      </c>
      <c r="F86" s="32">
        <v>2337.5</v>
      </c>
      <c r="G86" s="32">
        <v>2311.5</v>
      </c>
      <c r="H86" s="32">
        <v>2432</v>
      </c>
      <c r="I86" s="32">
        <v>2359</v>
      </c>
      <c r="J86" s="32">
        <v>2379</v>
      </c>
      <c r="K86" s="32">
        <v>2478.5</v>
      </c>
      <c r="L86" s="32">
        <v>2583</v>
      </c>
      <c r="M86" s="32">
        <v>2566.5</v>
      </c>
      <c r="N86" s="32">
        <v>2525</v>
      </c>
      <c r="O86" s="32">
        <v>2521</v>
      </c>
      <c r="P86" s="32">
        <v>2537</v>
      </c>
      <c r="Q86" s="32">
        <v>2591</v>
      </c>
      <c r="R86" s="32">
        <v>2607</v>
      </c>
      <c r="S86" s="32">
        <v>2554</v>
      </c>
      <c r="T86" s="32">
        <v>2603</v>
      </c>
      <c r="U86" s="32">
        <v>2605</v>
      </c>
      <c r="V86" s="32">
        <v>2673.5</v>
      </c>
      <c r="W86" s="32">
        <v>2650.5</v>
      </c>
      <c r="X86" s="32">
        <v>2813.5</v>
      </c>
      <c r="Y86" s="32">
        <v>2834</v>
      </c>
      <c r="Z86" s="32">
        <v>2806.5</v>
      </c>
      <c r="AA86" s="32">
        <v>2704.5</v>
      </c>
      <c r="AB86" s="32">
        <v>2825</v>
      </c>
      <c r="AC86" s="32">
        <v>2584</v>
      </c>
      <c r="AD86" s="32">
        <v>2494</v>
      </c>
      <c r="AE86" s="32">
        <v>2576</v>
      </c>
      <c r="AF86" s="32">
        <v>2601.5</v>
      </c>
      <c r="AG86" s="32">
        <v>2664</v>
      </c>
      <c r="AH86" s="32">
        <v>2647</v>
      </c>
      <c r="AI86" s="32">
        <v>2683</v>
      </c>
      <c r="AJ86" s="32">
        <v>2654.5</v>
      </c>
      <c r="AK86" s="32">
        <v>2753</v>
      </c>
      <c r="AL86" s="32">
        <v>2858</v>
      </c>
      <c r="AM86" s="32">
        <v>2873.5</v>
      </c>
      <c r="AN86" s="32">
        <v>2927.5</v>
      </c>
      <c r="AO86" s="32">
        <v>2832.5</v>
      </c>
      <c r="AP86" s="32">
        <v>2745</v>
      </c>
      <c r="AQ86" s="32">
        <v>2711.5</v>
      </c>
      <c r="AR86" s="32">
        <v>2655.5</v>
      </c>
      <c r="AS86" s="32">
        <v>2699</v>
      </c>
      <c r="AT86" s="32">
        <v>2809</v>
      </c>
      <c r="AU86" s="32">
        <v>2452</v>
      </c>
      <c r="AV86" s="32">
        <v>2472.5</v>
      </c>
      <c r="AW86" s="32">
        <v>2489.5</v>
      </c>
      <c r="AX86" s="32">
        <v>2555</v>
      </c>
      <c r="AY86" s="32">
        <v>2518</v>
      </c>
      <c r="AZ86" s="32">
        <v>2484.5</v>
      </c>
      <c r="BA86" s="32">
        <v>2413</v>
      </c>
      <c r="BB86" s="32">
        <v>2448</v>
      </c>
      <c r="BC86" s="32">
        <v>2468</v>
      </c>
      <c r="BD86" s="32">
        <v>2405</v>
      </c>
      <c r="BE86" s="32">
        <v>2410</v>
      </c>
      <c r="BF86" s="32">
        <v>2368</v>
      </c>
      <c r="BG86" s="32">
        <v>2372.5</v>
      </c>
      <c r="BH86" s="32">
        <v>2439</v>
      </c>
      <c r="BI86" s="32">
        <v>2531.5</v>
      </c>
      <c r="BJ86" s="32">
        <v>2557</v>
      </c>
      <c r="BK86" s="32">
        <v>2575.5</v>
      </c>
      <c r="BL86" s="33">
        <v>2692</v>
      </c>
      <c r="BM86" s="1">
        <v>2724</v>
      </c>
      <c r="BN86" s="1">
        <v>2807.5</v>
      </c>
      <c r="BO86" s="1">
        <v>2850</v>
      </c>
      <c r="BP86" s="1">
        <v>2862</v>
      </c>
    </row>
    <row r="87" spans="1:68" ht="15.9" customHeight="1">
      <c r="A87" s="68" t="s">
        <v>169</v>
      </c>
      <c r="B87" s="28" t="s">
        <v>170</v>
      </c>
      <c r="C87" s="42" t="str">
        <f>_xll.RssMarket("2914","高値")</f>
        <v/>
      </c>
      <c r="D87" s="41" t="e">
        <f t="shared" si="2"/>
        <v>#VALUE!</v>
      </c>
      <c r="E87" s="32">
        <v>6376</v>
      </c>
      <c r="F87" s="32">
        <v>6150</v>
      </c>
      <c r="G87" s="32">
        <v>6214</v>
      </c>
      <c r="H87" s="32">
        <v>6152</v>
      </c>
      <c r="I87" s="32">
        <v>6215</v>
      </c>
      <c r="J87" s="32">
        <v>6222</v>
      </c>
      <c r="K87" s="32">
        <v>6278</v>
      </c>
      <c r="L87" s="32">
        <v>6219</v>
      </c>
      <c r="M87" s="32">
        <v>6189</v>
      </c>
      <c r="N87" s="32">
        <v>6207</v>
      </c>
      <c r="O87" s="32">
        <v>6097</v>
      </c>
      <c r="P87" s="32">
        <v>6036</v>
      </c>
      <c r="Q87" s="32">
        <v>6042</v>
      </c>
      <c r="R87" s="32">
        <v>6047</v>
      </c>
      <c r="S87" s="32">
        <v>6089</v>
      </c>
      <c r="T87" s="32">
        <v>6007</v>
      </c>
      <c r="U87" s="32">
        <v>6011</v>
      </c>
      <c r="V87" s="32">
        <v>5976</v>
      </c>
      <c r="W87" s="32">
        <v>6038</v>
      </c>
      <c r="X87" s="32">
        <v>6088</v>
      </c>
      <c r="Y87" s="32">
        <v>6094</v>
      </c>
      <c r="Z87" s="32">
        <v>6160</v>
      </c>
      <c r="AA87" s="32">
        <v>6099</v>
      </c>
      <c r="AB87" s="32">
        <v>6215</v>
      </c>
      <c r="AC87" s="32">
        <v>6363</v>
      </c>
      <c r="AD87" s="32">
        <v>6338</v>
      </c>
      <c r="AE87" s="32">
        <v>6164</v>
      </c>
      <c r="AF87" s="32">
        <v>6135</v>
      </c>
      <c r="AG87" s="32">
        <v>6067</v>
      </c>
      <c r="AH87" s="32">
        <v>6109</v>
      </c>
      <c r="AI87" s="32">
        <v>6154</v>
      </c>
      <c r="AJ87" s="32">
        <v>6161</v>
      </c>
      <c r="AK87" s="32">
        <v>6200</v>
      </c>
      <c r="AL87" s="32">
        <v>6201</v>
      </c>
      <c r="AM87" s="32">
        <v>6121</v>
      </c>
      <c r="AN87" s="32">
        <v>6134</v>
      </c>
      <c r="AO87" s="32">
        <v>6231</v>
      </c>
      <c r="AP87" s="32">
        <v>6359</v>
      </c>
      <c r="AQ87" s="32">
        <v>6455</v>
      </c>
      <c r="AR87" s="32">
        <v>6474</v>
      </c>
      <c r="AS87" s="32">
        <v>6396</v>
      </c>
      <c r="AT87" s="32">
        <v>6315</v>
      </c>
      <c r="AU87" s="32">
        <v>6278</v>
      </c>
      <c r="AV87" s="32">
        <v>6214</v>
      </c>
      <c r="AW87" s="32">
        <v>6136</v>
      </c>
      <c r="AX87" s="32">
        <v>6164</v>
      </c>
      <c r="AY87" s="32">
        <v>5863</v>
      </c>
      <c r="AZ87" s="32">
        <v>5964</v>
      </c>
      <c r="BA87" s="32">
        <v>5905</v>
      </c>
      <c r="BB87" s="32">
        <v>5865</v>
      </c>
      <c r="BC87" s="32">
        <v>5788</v>
      </c>
      <c r="BD87" s="32">
        <v>5821</v>
      </c>
      <c r="BE87" s="32">
        <v>5907</v>
      </c>
      <c r="BF87" s="32">
        <v>5866</v>
      </c>
      <c r="BG87" s="32">
        <v>5719</v>
      </c>
      <c r="BH87" s="32">
        <v>5808</v>
      </c>
      <c r="BI87" s="32">
        <v>5835</v>
      </c>
      <c r="BJ87" s="32">
        <v>5853</v>
      </c>
      <c r="BK87" s="32">
        <v>5880</v>
      </c>
      <c r="BL87" s="33">
        <v>5918</v>
      </c>
      <c r="BM87" s="1">
        <v>5961</v>
      </c>
      <c r="BN87" s="1">
        <v>6048</v>
      </c>
      <c r="BO87" s="1">
        <v>6047</v>
      </c>
      <c r="BP87" s="1">
        <v>6106</v>
      </c>
    </row>
    <row r="88" spans="1:68" ht="15.9" customHeight="1">
      <c r="A88" s="68" t="s">
        <v>171</v>
      </c>
      <c r="B88" s="28" t="s">
        <v>172</v>
      </c>
      <c r="C88" s="42" t="str">
        <f>_xll.RssMarket("3003","高値")</f>
        <v/>
      </c>
      <c r="D88" s="41" t="e">
        <f t="shared" si="2"/>
        <v>#VALUE!</v>
      </c>
      <c r="E88" s="32">
        <v>1821.5</v>
      </c>
      <c r="F88" s="32">
        <v>1798.5</v>
      </c>
      <c r="G88" s="32">
        <v>1788</v>
      </c>
      <c r="H88" s="32">
        <v>1774.5</v>
      </c>
      <c r="I88" s="32">
        <v>1758</v>
      </c>
      <c r="J88" s="32">
        <v>1771</v>
      </c>
      <c r="K88" s="32">
        <v>1809</v>
      </c>
      <c r="L88" s="32">
        <v>1777</v>
      </c>
      <c r="M88" s="32">
        <v>1763</v>
      </c>
      <c r="N88" s="32">
        <v>1750.5</v>
      </c>
      <c r="O88" s="32">
        <v>1713.5</v>
      </c>
      <c r="P88" s="32">
        <v>1699.5</v>
      </c>
      <c r="Q88" s="32">
        <v>1720</v>
      </c>
      <c r="R88" s="32">
        <v>1716</v>
      </c>
      <c r="S88" s="32">
        <v>1715</v>
      </c>
      <c r="T88" s="32">
        <v>1714.5</v>
      </c>
      <c r="U88" s="32">
        <v>1699</v>
      </c>
      <c r="V88" s="32">
        <v>1693</v>
      </c>
      <c r="W88" s="32">
        <v>1717</v>
      </c>
      <c r="X88" s="32">
        <v>1733</v>
      </c>
      <c r="Y88" s="32">
        <v>1734.5</v>
      </c>
      <c r="Z88" s="32">
        <v>1758</v>
      </c>
      <c r="AA88" s="32">
        <v>1739.5</v>
      </c>
      <c r="AB88" s="32">
        <v>1744</v>
      </c>
      <c r="AC88" s="32">
        <v>1736.5</v>
      </c>
      <c r="AD88" s="32">
        <v>1677</v>
      </c>
      <c r="AE88" s="32">
        <v>1670.5</v>
      </c>
      <c r="AF88" s="32">
        <v>1651.5</v>
      </c>
      <c r="AG88" s="32">
        <v>1662</v>
      </c>
      <c r="AH88" s="32">
        <v>1652.5</v>
      </c>
      <c r="AI88" s="32">
        <v>1709</v>
      </c>
      <c r="AJ88" s="32">
        <v>1670</v>
      </c>
      <c r="AK88" s="32">
        <v>1687.5</v>
      </c>
      <c r="AL88" s="32">
        <v>1679</v>
      </c>
      <c r="AM88" s="32">
        <v>1667.5</v>
      </c>
      <c r="AN88" s="32">
        <v>1744.5</v>
      </c>
      <c r="AO88" s="32">
        <v>1748</v>
      </c>
      <c r="AP88" s="32">
        <v>1750</v>
      </c>
      <c r="AQ88" s="32">
        <v>1767</v>
      </c>
      <c r="AR88" s="32">
        <v>1777.5</v>
      </c>
      <c r="AS88" s="32">
        <v>1789.5</v>
      </c>
      <c r="AT88" s="32">
        <v>1813.5</v>
      </c>
      <c r="AU88" s="32">
        <v>1808.5</v>
      </c>
      <c r="AV88" s="32">
        <v>1805</v>
      </c>
      <c r="AW88" s="32">
        <v>1815</v>
      </c>
      <c r="AX88" s="32">
        <v>1829.5</v>
      </c>
      <c r="AY88" s="32">
        <v>1804</v>
      </c>
      <c r="AZ88" s="32">
        <v>1784</v>
      </c>
      <c r="BA88" s="32">
        <v>1827</v>
      </c>
      <c r="BB88" s="32">
        <v>1856</v>
      </c>
      <c r="BC88" s="32">
        <v>1835.5</v>
      </c>
      <c r="BD88" s="32">
        <v>1831</v>
      </c>
      <c r="BE88" s="32">
        <v>1860</v>
      </c>
      <c r="BF88" s="32">
        <v>1899.5</v>
      </c>
      <c r="BG88" s="32">
        <v>1904.5</v>
      </c>
      <c r="BH88" s="32">
        <v>1904</v>
      </c>
      <c r="BI88" s="32">
        <v>1902.5</v>
      </c>
      <c r="BJ88" s="32">
        <v>1918</v>
      </c>
      <c r="BK88" s="32">
        <v>1904.5</v>
      </c>
      <c r="BL88" s="33">
        <v>1888.5</v>
      </c>
      <c r="BM88" s="1">
        <v>1896</v>
      </c>
      <c r="BN88" s="1">
        <v>1940</v>
      </c>
      <c r="BO88" s="1">
        <v>1948</v>
      </c>
      <c r="BP88" s="1">
        <v>1905.5</v>
      </c>
    </row>
    <row r="89" spans="1:68" ht="15.9" customHeight="1">
      <c r="A89" s="68" t="s">
        <v>173</v>
      </c>
      <c r="B89" s="28" t="s">
        <v>174</v>
      </c>
      <c r="C89" s="42" t="str">
        <f>_xll.RssMarket("5892","高値")</f>
        <v/>
      </c>
      <c r="D89" s="41" t="e">
        <f t="shared" si="2"/>
        <v>#VALUE!</v>
      </c>
      <c r="E89" s="32">
        <v>2077</v>
      </c>
      <c r="F89" s="32">
        <v>2118</v>
      </c>
      <c r="G89" s="32">
        <v>2084</v>
      </c>
      <c r="H89" s="32">
        <v>2100</v>
      </c>
      <c r="I89" s="32">
        <v>2091</v>
      </c>
      <c r="J89" s="32">
        <v>2100</v>
      </c>
      <c r="K89" s="32">
        <v>2128</v>
      </c>
      <c r="L89" s="32">
        <v>2193</v>
      </c>
      <c r="M89" s="32">
        <v>2140</v>
      </c>
      <c r="N89" s="32">
        <v>2092</v>
      </c>
      <c r="O89" s="32">
        <v>2073</v>
      </c>
      <c r="P89" s="32">
        <v>2084</v>
      </c>
      <c r="Q89" s="32">
        <v>2114</v>
      </c>
      <c r="R89" s="32">
        <v>2000</v>
      </c>
      <c r="S89" s="32">
        <v>2046</v>
      </c>
      <c r="T89" s="32">
        <v>2023</v>
      </c>
      <c r="U89" s="32">
        <v>2065</v>
      </c>
      <c r="V89" s="32">
        <v>2115</v>
      </c>
      <c r="W89" s="32">
        <v>2122</v>
      </c>
      <c r="X89" s="32">
        <v>2144</v>
      </c>
      <c r="Y89" s="32">
        <v>2214</v>
      </c>
      <c r="Z89" s="32">
        <v>2040</v>
      </c>
      <c r="AA89" s="32">
        <v>2020</v>
      </c>
      <c r="AB89" s="32">
        <v>2121</v>
      </c>
      <c r="AC89" s="32">
        <v>2160</v>
      </c>
      <c r="AD89" s="32">
        <v>2260</v>
      </c>
      <c r="AE89" s="32">
        <v>2328</v>
      </c>
      <c r="AF89" s="32">
        <v>2420</v>
      </c>
      <c r="AG89" s="32">
        <v>2227</v>
      </c>
      <c r="AH89" s="32">
        <v>2156</v>
      </c>
      <c r="AI89" s="32">
        <v>2181</v>
      </c>
      <c r="AJ89" s="32">
        <v>2350</v>
      </c>
      <c r="AK89" s="32">
        <v>2378</v>
      </c>
      <c r="AL89" s="32">
        <v>2541</v>
      </c>
      <c r="AM89" s="32">
        <v>2476</v>
      </c>
      <c r="AN89" s="32">
        <v>2469</v>
      </c>
      <c r="AO89" s="32">
        <v>2549</v>
      </c>
      <c r="AP89" s="32">
        <v>2677</v>
      </c>
      <c r="AQ89" s="32">
        <v>2733</v>
      </c>
      <c r="AR89" s="32">
        <v>2640</v>
      </c>
      <c r="AS89" s="32">
        <v>2384</v>
      </c>
      <c r="AT89" s="32">
        <v>2093</v>
      </c>
      <c r="AU89" s="32">
        <v>2115</v>
      </c>
      <c r="AV89" s="32">
        <v>1948</v>
      </c>
      <c r="AW89" s="32">
        <v>1970</v>
      </c>
      <c r="AX89" s="32">
        <v>2042</v>
      </c>
      <c r="AY89" s="32">
        <v>2001</v>
      </c>
      <c r="AZ89" s="32">
        <v>2028</v>
      </c>
      <c r="BA89" s="32">
        <v>1989</v>
      </c>
      <c r="BB89" s="32">
        <v>2042</v>
      </c>
      <c r="BC89" s="32">
        <v>2090</v>
      </c>
      <c r="BD89" s="32">
        <v>2100</v>
      </c>
      <c r="BE89" s="32">
        <v>2187</v>
      </c>
      <c r="BF89" s="32">
        <v>2221</v>
      </c>
      <c r="BG89" s="32">
        <v>2277</v>
      </c>
      <c r="BH89" s="32">
        <v>2254</v>
      </c>
      <c r="BI89" s="32">
        <v>2230</v>
      </c>
      <c r="BJ89" s="32">
        <v>2291</v>
      </c>
      <c r="BK89" s="32">
        <v>2348</v>
      </c>
      <c r="BL89" s="33">
        <v>2392</v>
      </c>
      <c r="BM89" s="1">
        <v>2211</v>
      </c>
      <c r="BN89" s="1">
        <v>2216</v>
      </c>
      <c r="BO89" s="1">
        <v>2217</v>
      </c>
      <c r="BP89" s="1">
        <v>2182</v>
      </c>
    </row>
    <row r="90" spans="1:68" ht="15.9" customHeight="1">
      <c r="A90" s="68" t="s">
        <v>175</v>
      </c>
      <c r="B90" s="28" t="s">
        <v>176</v>
      </c>
      <c r="C90" s="42" t="str">
        <f>_xll.RssMarket("6323","高値")</f>
        <v/>
      </c>
      <c r="D90" s="41" t="e">
        <f t="shared" si="2"/>
        <v>#VALUE!</v>
      </c>
      <c r="E90" s="32">
        <v>4428</v>
      </c>
      <c r="F90" s="32">
        <v>5149</v>
      </c>
      <c r="G90" s="32">
        <v>4623</v>
      </c>
      <c r="H90" s="32">
        <v>5023</v>
      </c>
      <c r="I90" s="32">
        <v>5121</v>
      </c>
      <c r="J90" s="32">
        <v>4659</v>
      </c>
      <c r="K90" s="32">
        <v>4480</v>
      </c>
      <c r="L90" s="32">
        <v>4668</v>
      </c>
      <c r="M90" s="32">
        <v>4953</v>
      </c>
      <c r="N90" s="32">
        <v>4945</v>
      </c>
      <c r="O90" s="32">
        <v>4882</v>
      </c>
      <c r="P90" s="32">
        <v>5199</v>
      </c>
      <c r="Q90" s="32">
        <v>4912</v>
      </c>
      <c r="R90" s="32">
        <v>4580</v>
      </c>
      <c r="S90" s="32">
        <v>4839</v>
      </c>
      <c r="T90" s="32">
        <v>4877</v>
      </c>
      <c r="U90" s="32">
        <v>4699</v>
      </c>
      <c r="V90" s="32">
        <v>5030</v>
      </c>
      <c r="W90" s="32">
        <v>5148</v>
      </c>
      <c r="X90" s="32">
        <v>5048</v>
      </c>
      <c r="Y90" s="32">
        <v>4883</v>
      </c>
      <c r="Z90" s="32">
        <v>4580</v>
      </c>
      <c r="AA90" s="32">
        <v>4555</v>
      </c>
      <c r="AB90" s="32">
        <v>4519</v>
      </c>
      <c r="AC90" s="32">
        <v>4219</v>
      </c>
      <c r="AD90" s="32">
        <v>3872</v>
      </c>
      <c r="AE90" s="32">
        <v>4019</v>
      </c>
      <c r="AF90" s="32">
        <v>4084</v>
      </c>
      <c r="AG90" s="32">
        <v>4289</v>
      </c>
      <c r="AH90" s="32">
        <v>4590</v>
      </c>
      <c r="AI90" s="32">
        <v>4314</v>
      </c>
      <c r="AJ90" s="32">
        <v>3835</v>
      </c>
      <c r="AK90" s="32">
        <v>4097</v>
      </c>
      <c r="AL90" s="32">
        <v>3989</v>
      </c>
      <c r="AM90" s="32">
        <v>4068</v>
      </c>
      <c r="AN90" s="32">
        <v>4114</v>
      </c>
      <c r="AO90" s="32">
        <v>3922</v>
      </c>
      <c r="AP90" s="32">
        <v>3807</v>
      </c>
      <c r="AQ90" s="32">
        <v>3625</v>
      </c>
      <c r="AR90" s="32">
        <v>3713</v>
      </c>
      <c r="AS90" s="32">
        <v>3816</v>
      </c>
      <c r="AT90" s="32">
        <v>4157</v>
      </c>
      <c r="AU90" s="32">
        <v>4127</v>
      </c>
      <c r="AV90" s="32">
        <v>3986</v>
      </c>
      <c r="AW90" s="32">
        <v>4210</v>
      </c>
      <c r="AX90" s="32">
        <v>4098</v>
      </c>
      <c r="AY90" s="32">
        <v>4024</v>
      </c>
      <c r="AZ90" s="32">
        <v>3987</v>
      </c>
      <c r="BA90" s="32">
        <v>3816</v>
      </c>
      <c r="BB90" s="32">
        <v>3810</v>
      </c>
      <c r="BC90" s="32">
        <v>3944</v>
      </c>
      <c r="BD90" s="32">
        <v>4000</v>
      </c>
      <c r="BE90" s="32">
        <v>3690</v>
      </c>
      <c r="BF90" s="32">
        <v>3736</v>
      </c>
      <c r="BG90" s="32">
        <v>3699</v>
      </c>
      <c r="BH90" s="32">
        <v>3784</v>
      </c>
      <c r="BI90" s="32">
        <v>3769</v>
      </c>
      <c r="BJ90" s="32">
        <v>3782</v>
      </c>
      <c r="BK90" s="32">
        <v>3878</v>
      </c>
      <c r="BL90" s="33">
        <v>4028</v>
      </c>
      <c r="BM90" s="1">
        <v>4090</v>
      </c>
      <c r="BN90" s="1">
        <v>4127</v>
      </c>
      <c r="BO90" s="1">
        <v>3969</v>
      </c>
      <c r="BP90" s="1">
        <v>3288</v>
      </c>
    </row>
    <row r="91" spans="1:68" ht="15.9" customHeight="1">
      <c r="A91" s="68" t="s">
        <v>177</v>
      </c>
      <c r="B91" s="28" t="s">
        <v>178</v>
      </c>
      <c r="C91" s="42" t="str">
        <f>_xll.RssMarket("6501","高値")</f>
        <v/>
      </c>
      <c r="D91" s="41" t="e">
        <f t="shared" si="2"/>
        <v>#VALUE!</v>
      </c>
      <c r="E91" s="32">
        <v>4779</v>
      </c>
      <c r="F91" s="32">
        <v>4812</v>
      </c>
      <c r="G91" s="32">
        <v>4817</v>
      </c>
      <c r="H91" s="32">
        <v>4775</v>
      </c>
      <c r="I91" s="32">
        <v>4768</v>
      </c>
      <c r="J91" s="32">
        <v>4810</v>
      </c>
      <c r="K91" s="32">
        <v>4890</v>
      </c>
      <c r="L91" s="32">
        <v>5004</v>
      </c>
      <c r="M91" s="32">
        <v>4805</v>
      </c>
      <c r="N91" s="32">
        <v>4713</v>
      </c>
      <c r="O91" s="32">
        <v>4719</v>
      </c>
      <c r="P91" s="32">
        <v>4555</v>
      </c>
      <c r="Q91" s="32">
        <v>4499</v>
      </c>
      <c r="R91" s="32">
        <v>4541</v>
      </c>
      <c r="S91" s="32">
        <v>4547</v>
      </c>
      <c r="T91" s="32">
        <v>4717</v>
      </c>
      <c r="U91" s="32">
        <v>4747</v>
      </c>
      <c r="V91" s="32">
        <v>4948</v>
      </c>
      <c r="W91" s="32">
        <v>4914</v>
      </c>
      <c r="X91" s="32">
        <v>4854</v>
      </c>
      <c r="Y91" s="32">
        <v>4805</v>
      </c>
      <c r="Z91" s="32">
        <v>4736</v>
      </c>
      <c r="AA91" s="32">
        <v>4798</v>
      </c>
      <c r="AB91" s="32">
        <v>4828</v>
      </c>
      <c r="AC91" s="32">
        <v>4740</v>
      </c>
      <c r="AD91" s="32">
        <v>4679</v>
      </c>
      <c r="AE91" s="32">
        <v>4924</v>
      </c>
      <c r="AF91" s="32">
        <v>5148</v>
      </c>
      <c r="AG91" s="32">
        <v>5369</v>
      </c>
      <c r="AH91" s="32">
        <v>5215</v>
      </c>
      <c r="AI91" s="32">
        <v>5375</v>
      </c>
      <c r="AJ91" s="32">
        <v>5140</v>
      </c>
      <c r="AK91" s="32">
        <v>5375</v>
      </c>
      <c r="AL91" s="32">
        <v>5194</v>
      </c>
      <c r="AM91" s="32">
        <v>5108</v>
      </c>
      <c r="AN91" s="32">
        <v>5102</v>
      </c>
      <c r="AO91" s="32">
        <v>5153</v>
      </c>
      <c r="AP91" s="32">
        <v>5123</v>
      </c>
      <c r="AQ91" s="32">
        <v>4934</v>
      </c>
      <c r="AR91" s="32">
        <v>5019</v>
      </c>
      <c r="AS91" s="32">
        <v>4818</v>
      </c>
      <c r="AT91" s="32">
        <v>4845</v>
      </c>
      <c r="AU91" s="32">
        <v>4736</v>
      </c>
      <c r="AV91" s="32">
        <v>4844</v>
      </c>
      <c r="AW91" s="32">
        <v>4959</v>
      </c>
      <c r="AX91" s="32">
        <v>5012</v>
      </c>
      <c r="AY91" s="32">
        <v>4973</v>
      </c>
      <c r="AZ91" s="32">
        <v>4981</v>
      </c>
      <c r="BA91" s="32">
        <v>4861</v>
      </c>
      <c r="BB91" s="32">
        <v>5018</v>
      </c>
      <c r="BC91" s="32">
        <v>5202</v>
      </c>
      <c r="BD91" s="32">
        <v>5422</v>
      </c>
      <c r="BE91" s="32">
        <v>5235</v>
      </c>
      <c r="BF91" s="32">
        <v>5298</v>
      </c>
      <c r="BG91" s="32">
        <v>5138</v>
      </c>
      <c r="BH91" s="32">
        <v>5189</v>
      </c>
      <c r="BI91" s="32">
        <v>5257</v>
      </c>
      <c r="BJ91" s="32">
        <v>5210</v>
      </c>
      <c r="BK91" s="32">
        <v>5274</v>
      </c>
      <c r="BL91" s="33">
        <v>5233</v>
      </c>
      <c r="BM91" s="1">
        <v>4957</v>
      </c>
      <c r="BN91" s="1">
        <v>4945</v>
      </c>
      <c r="BO91" s="1">
        <v>4859</v>
      </c>
      <c r="BP91" s="1">
        <v>4946</v>
      </c>
    </row>
    <row r="92" spans="1:68" ht="15.9" customHeight="1">
      <c r="A92" s="68" t="s">
        <v>179</v>
      </c>
      <c r="B92" s="28" t="s">
        <v>180</v>
      </c>
      <c r="C92" s="42" t="str">
        <f>_xll.RssMarket("6134","高値")</f>
        <v/>
      </c>
      <c r="D92" s="41" t="e">
        <f t="shared" si="2"/>
        <v>#VALUE!</v>
      </c>
      <c r="E92" s="32">
        <v>7421</v>
      </c>
      <c r="F92" s="32">
        <v>8040</v>
      </c>
      <c r="G92" s="32">
        <v>7713</v>
      </c>
      <c r="H92" s="32">
        <v>8272</v>
      </c>
      <c r="I92" s="32">
        <v>8474</v>
      </c>
      <c r="J92" s="32">
        <v>7863</v>
      </c>
      <c r="K92" s="32">
        <v>7903</v>
      </c>
      <c r="L92" s="32">
        <v>8550</v>
      </c>
      <c r="M92" s="32">
        <v>8924</v>
      </c>
      <c r="N92" s="32">
        <v>8748</v>
      </c>
      <c r="O92" s="32">
        <v>8677</v>
      </c>
      <c r="P92" s="32">
        <v>8943</v>
      </c>
      <c r="Q92" s="32">
        <v>8550</v>
      </c>
      <c r="R92" s="32">
        <v>8012</v>
      </c>
      <c r="S92" s="32">
        <v>8410</v>
      </c>
      <c r="T92" s="32">
        <v>8585</v>
      </c>
      <c r="U92" s="32">
        <v>8394</v>
      </c>
      <c r="V92" s="32">
        <v>8629</v>
      </c>
      <c r="W92" s="32">
        <v>8740</v>
      </c>
      <c r="X92" s="32">
        <v>8737</v>
      </c>
      <c r="Y92" s="32">
        <v>8700</v>
      </c>
      <c r="Z92" s="32">
        <v>8377</v>
      </c>
      <c r="AA92" s="32">
        <v>8382</v>
      </c>
      <c r="AB92" s="32">
        <v>8324</v>
      </c>
      <c r="AC92" s="32">
        <v>7848</v>
      </c>
      <c r="AD92" s="32">
        <v>7494</v>
      </c>
      <c r="AE92" s="32">
        <v>7600</v>
      </c>
      <c r="AF92" s="32">
        <v>7291</v>
      </c>
      <c r="AG92" s="32">
        <v>7835</v>
      </c>
      <c r="AH92" s="32">
        <v>7860</v>
      </c>
      <c r="AI92" s="32">
        <v>8205</v>
      </c>
      <c r="AJ92" s="32">
        <v>8063</v>
      </c>
      <c r="AK92" s="32">
        <v>8256</v>
      </c>
      <c r="AL92" s="32">
        <v>8008</v>
      </c>
      <c r="AM92" s="32">
        <v>8449</v>
      </c>
      <c r="AN92" s="32">
        <v>8530</v>
      </c>
      <c r="AO92" s="32">
        <v>8073</v>
      </c>
      <c r="AP92" s="32">
        <v>7899</v>
      </c>
      <c r="AQ92" s="32">
        <v>7653</v>
      </c>
      <c r="AR92" s="32">
        <v>7923</v>
      </c>
      <c r="AS92" s="32">
        <v>8146</v>
      </c>
      <c r="AT92" s="32">
        <v>8701</v>
      </c>
      <c r="AU92" s="32">
        <v>7538</v>
      </c>
      <c r="AV92" s="32">
        <v>7030</v>
      </c>
      <c r="AW92" s="32">
        <v>6987</v>
      </c>
      <c r="AX92" s="32">
        <v>6799</v>
      </c>
      <c r="AY92" s="32">
        <v>6635</v>
      </c>
      <c r="AZ92" s="32">
        <v>6346</v>
      </c>
      <c r="BA92" s="32">
        <v>6134</v>
      </c>
      <c r="BB92" s="32">
        <v>6084</v>
      </c>
      <c r="BC92" s="32">
        <v>6063</v>
      </c>
      <c r="BD92" s="32">
        <v>6083</v>
      </c>
      <c r="BE92" s="32">
        <v>5912</v>
      </c>
      <c r="BF92" s="32">
        <v>5931</v>
      </c>
      <c r="BG92" s="32">
        <v>5988</v>
      </c>
      <c r="BH92" s="32">
        <v>5980</v>
      </c>
      <c r="BI92" s="32">
        <v>5809</v>
      </c>
      <c r="BJ92" s="32">
        <v>5806</v>
      </c>
      <c r="BK92" s="32">
        <v>5867</v>
      </c>
      <c r="BL92" s="33">
        <v>5933</v>
      </c>
      <c r="BM92" s="1">
        <v>5810</v>
      </c>
      <c r="BN92" s="1">
        <v>5525</v>
      </c>
      <c r="BO92" s="1">
        <v>5508</v>
      </c>
      <c r="BP92" s="1">
        <v>5364</v>
      </c>
    </row>
    <row r="93" spans="1:68" ht="15.9" customHeight="1">
      <c r="A93" s="68" t="s">
        <v>181</v>
      </c>
      <c r="B93" s="28" t="s">
        <v>182</v>
      </c>
      <c r="C93" s="42" t="str">
        <f>_xll.RssMarket("7746","高値")</f>
        <v/>
      </c>
      <c r="D93" s="41" t="e">
        <f t="shared" si="2"/>
        <v>#VALUE!</v>
      </c>
      <c r="E93" s="32">
        <v>810</v>
      </c>
      <c r="F93" s="32">
        <v>808</v>
      </c>
      <c r="G93" s="32">
        <v>798</v>
      </c>
      <c r="H93" s="32">
        <v>793</v>
      </c>
      <c r="I93" s="32">
        <v>794</v>
      </c>
      <c r="J93" s="32">
        <v>792</v>
      </c>
      <c r="K93" s="32">
        <v>809</v>
      </c>
      <c r="L93" s="32">
        <v>852</v>
      </c>
      <c r="M93" s="32">
        <v>870</v>
      </c>
      <c r="N93" s="32">
        <v>872</v>
      </c>
      <c r="O93" s="32">
        <v>902</v>
      </c>
      <c r="P93" s="32">
        <v>916</v>
      </c>
      <c r="Q93" s="32">
        <v>970</v>
      </c>
      <c r="R93" s="32">
        <v>997</v>
      </c>
      <c r="S93" s="32">
        <v>908</v>
      </c>
      <c r="T93" s="32">
        <v>776</v>
      </c>
      <c r="U93" s="32">
        <v>774</v>
      </c>
      <c r="V93" s="32">
        <v>798</v>
      </c>
      <c r="W93" s="32">
        <v>822</v>
      </c>
      <c r="X93" s="32">
        <v>844</v>
      </c>
      <c r="Y93" s="32">
        <v>857</v>
      </c>
      <c r="Z93" s="32">
        <v>897</v>
      </c>
      <c r="AA93" s="32">
        <v>856</v>
      </c>
      <c r="AB93" s="32">
        <v>745</v>
      </c>
      <c r="AC93" s="32">
        <v>782</v>
      </c>
      <c r="AD93" s="32">
        <v>729</v>
      </c>
      <c r="AE93" s="32">
        <v>769</v>
      </c>
      <c r="AF93" s="32">
        <v>793</v>
      </c>
      <c r="AG93" s="32">
        <v>786</v>
      </c>
      <c r="AH93" s="32">
        <v>815</v>
      </c>
      <c r="AI93" s="32">
        <v>803</v>
      </c>
      <c r="AJ93" s="32">
        <v>900</v>
      </c>
      <c r="AK93" s="32">
        <v>866</v>
      </c>
      <c r="AL93" s="32">
        <v>909</v>
      </c>
      <c r="AM93" s="32">
        <v>939</v>
      </c>
      <c r="AN93" s="32">
        <v>918</v>
      </c>
      <c r="AO93" s="32">
        <v>1034</v>
      </c>
      <c r="AP93" s="32">
        <v>1090</v>
      </c>
      <c r="AQ93" s="32">
        <v>1054</v>
      </c>
      <c r="AR93" s="32">
        <v>904</v>
      </c>
      <c r="AS93" s="32">
        <v>779</v>
      </c>
      <c r="AT93" s="32">
        <v>825</v>
      </c>
      <c r="AU93" s="32">
        <v>817</v>
      </c>
      <c r="AV93" s="32">
        <v>884</v>
      </c>
      <c r="AW93" s="32">
        <v>885</v>
      </c>
      <c r="AX93" s="32">
        <v>873</v>
      </c>
      <c r="AY93" s="32">
        <v>849</v>
      </c>
      <c r="AZ93" s="32">
        <v>930</v>
      </c>
      <c r="BA93" s="32">
        <v>940</v>
      </c>
      <c r="BB93" s="32">
        <v>955</v>
      </c>
      <c r="BC93" s="32">
        <v>983</v>
      </c>
      <c r="BD93" s="32">
        <v>1024</v>
      </c>
      <c r="BE93" s="32">
        <v>1008</v>
      </c>
      <c r="BF93" s="32">
        <v>1048</v>
      </c>
      <c r="BG93" s="32">
        <v>1082</v>
      </c>
      <c r="BH93" s="32">
        <v>962</v>
      </c>
      <c r="BI93" s="32">
        <v>1000</v>
      </c>
      <c r="BJ93" s="32">
        <v>1003</v>
      </c>
      <c r="BK93" s="32">
        <v>1003</v>
      </c>
      <c r="BL93" s="33">
        <v>1010</v>
      </c>
      <c r="BM93" s="1">
        <v>1062</v>
      </c>
      <c r="BN93" s="1">
        <v>1088</v>
      </c>
      <c r="BO93" s="1">
        <v>1149</v>
      </c>
      <c r="BP93" s="1">
        <v>1070</v>
      </c>
    </row>
    <row r="94" spans="1:68" ht="15.9" customHeight="1">
      <c r="A94" s="68" t="s">
        <v>183</v>
      </c>
      <c r="B94" s="28" t="s">
        <v>184</v>
      </c>
      <c r="C94" s="42" t="str">
        <f>_xll.RssMarket("3407","高値")</f>
        <v/>
      </c>
      <c r="D94" s="41" t="e">
        <f t="shared" si="2"/>
        <v>#VALUE!</v>
      </c>
      <c r="E94" s="32">
        <v>1866.5</v>
      </c>
      <c r="F94" s="32">
        <v>1905</v>
      </c>
      <c r="G94" s="32">
        <v>1876</v>
      </c>
      <c r="H94" s="32">
        <v>1868.5</v>
      </c>
      <c r="I94" s="32">
        <v>1871.5</v>
      </c>
      <c r="J94" s="32">
        <v>1884</v>
      </c>
      <c r="K94" s="32">
        <v>1893</v>
      </c>
      <c r="L94" s="32">
        <v>1900</v>
      </c>
      <c r="M94" s="32">
        <v>1906</v>
      </c>
      <c r="N94" s="32">
        <v>1849</v>
      </c>
      <c r="O94" s="32">
        <v>1803.5</v>
      </c>
      <c r="P94" s="32">
        <v>1801</v>
      </c>
      <c r="Q94" s="32">
        <v>1807.5</v>
      </c>
      <c r="R94" s="32">
        <v>1815</v>
      </c>
      <c r="S94" s="32">
        <v>1824</v>
      </c>
      <c r="T94" s="32">
        <v>1826</v>
      </c>
      <c r="U94" s="32">
        <v>1807</v>
      </c>
      <c r="V94" s="32">
        <v>1822.5</v>
      </c>
      <c r="W94" s="32">
        <v>1837</v>
      </c>
      <c r="X94" s="32">
        <v>1813</v>
      </c>
      <c r="Y94" s="32">
        <v>1811.5</v>
      </c>
      <c r="Z94" s="32">
        <v>1790</v>
      </c>
      <c r="AA94" s="32">
        <v>1768</v>
      </c>
      <c r="AB94" s="32">
        <v>1834.5</v>
      </c>
      <c r="AC94" s="32">
        <v>1812</v>
      </c>
      <c r="AD94" s="32">
        <v>1770</v>
      </c>
      <c r="AE94" s="32">
        <v>1785</v>
      </c>
      <c r="AF94" s="32">
        <v>1803.5</v>
      </c>
      <c r="AG94" s="32">
        <v>1787.5</v>
      </c>
      <c r="AH94" s="32">
        <v>1783.5</v>
      </c>
      <c r="AI94" s="32">
        <v>1773.5</v>
      </c>
      <c r="AJ94" s="32">
        <v>1802.5</v>
      </c>
      <c r="AK94" s="32">
        <v>1760</v>
      </c>
      <c r="AL94" s="32">
        <v>1777.5</v>
      </c>
      <c r="AM94" s="32">
        <v>1792</v>
      </c>
      <c r="AN94" s="32">
        <v>1727</v>
      </c>
      <c r="AO94" s="32">
        <v>1740</v>
      </c>
      <c r="AP94" s="32">
        <v>1699</v>
      </c>
      <c r="AQ94" s="32">
        <v>1703.5</v>
      </c>
      <c r="AR94" s="32">
        <v>1714</v>
      </c>
      <c r="AS94" s="32">
        <v>1742</v>
      </c>
      <c r="AT94" s="32">
        <v>1758.5</v>
      </c>
      <c r="AU94" s="32">
        <v>1759.5</v>
      </c>
      <c r="AV94" s="32">
        <v>1664</v>
      </c>
      <c r="AW94" s="32">
        <v>1546.5</v>
      </c>
      <c r="AX94" s="32">
        <v>1543</v>
      </c>
      <c r="AY94" s="32">
        <v>1581</v>
      </c>
      <c r="AZ94" s="32">
        <v>1527.5</v>
      </c>
      <c r="BA94" s="32">
        <v>1538</v>
      </c>
      <c r="BB94" s="32">
        <v>1549</v>
      </c>
      <c r="BC94" s="32">
        <v>1535.5</v>
      </c>
      <c r="BD94" s="32">
        <v>1545</v>
      </c>
      <c r="BE94" s="32">
        <v>1533</v>
      </c>
      <c r="BF94" s="32">
        <v>1551.5</v>
      </c>
      <c r="BG94" s="32">
        <v>1578</v>
      </c>
      <c r="BH94" s="32">
        <v>1605.5</v>
      </c>
      <c r="BI94" s="32">
        <v>1618</v>
      </c>
      <c r="BJ94" s="32">
        <v>1620</v>
      </c>
      <c r="BK94" s="32">
        <v>1630.5</v>
      </c>
      <c r="BL94" s="33">
        <v>1635</v>
      </c>
      <c r="BM94" s="1">
        <v>1635</v>
      </c>
      <c r="BN94" s="1">
        <v>1658.5</v>
      </c>
      <c r="BO94" s="1">
        <v>1667.5</v>
      </c>
      <c r="BP94" s="1">
        <v>1658</v>
      </c>
    </row>
    <row r="95" spans="1:68" ht="15.9" customHeight="1">
      <c r="A95" s="68" t="s">
        <v>185</v>
      </c>
      <c r="B95" s="28" t="s">
        <v>186</v>
      </c>
      <c r="C95" s="42" t="str">
        <f>_xll.RssMarket("4008","高値")</f>
        <v/>
      </c>
      <c r="D95" s="41" t="e">
        <f t="shared" si="2"/>
        <v>#VALUE!</v>
      </c>
      <c r="E95" s="43">
        <v>1274</v>
      </c>
      <c r="F95" s="43">
        <v>1318</v>
      </c>
      <c r="G95" s="43">
        <v>1287</v>
      </c>
      <c r="H95" s="43">
        <v>1288</v>
      </c>
      <c r="I95" s="32">
        <v>1295</v>
      </c>
      <c r="J95" s="32">
        <v>1307</v>
      </c>
      <c r="K95" s="32">
        <v>1319</v>
      </c>
      <c r="L95" s="32">
        <v>1353</v>
      </c>
      <c r="M95" s="32">
        <v>1398</v>
      </c>
      <c r="N95" s="32">
        <v>1384</v>
      </c>
      <c r="O95" s="32">
        <v>1318</v>
      </c>
      <c r="P95" s="32">
        <v>1299</v>
      </c>
      <c r="Q95" s="32">
        <v>1296</v>
      </c>
      <c r="R95" s="32">
        <v>1302</v>
      </c>
      <c r="S95" s="32">
        <v>1305</v>
      </c>
      <c r="T95" s="32">
        <v>1302</v>
      </c>
      <c r="U95" s="32">
        <v>1289</v>
      </c>
      <c r="V95" s="32">
        <v>1326</v>
      </c>
      <c r="W95" s="32">
        <v>1342</v>
      </c>
      <c r="X95" s="32">
        <v>1337</v>
      </c>
      <c r="Y95" s="32">
        <v>1335</v>
      </c>
      <c r="Z95" s="32">
        <v>1329</v>
      </c>
      <c r="AA95" s="32">
        <v>1334</v>
      </c>
      <c r="AB95" s="32">
        <v>1307</v>
      </c>
      <c r="AC95" s="32">
        <v>1256</v>
      </c>
      <c r="AD95" s="32">
        <v>1279</v>
      </c>
      <c r="AE95" s="32">
        <v>1267</v>
      </c>
      <c r="AF95" s="32">
        <v>1289</v>
      </c>
      <c r="AG95" s="32">
        <v>1301</v>
      </c>
      <c r="AH95" s="32">
        <v>1317</v>
      </c>
      <c r="AI95" s="32">
        <v>1292</v>
      </c>
      <c r="AJ95" s="32">
        <v>1346</v>
      </c>
      <c r="AK95" s="32">
        <v>1326</v>
      </c>
      <c r="AL95" s="32">
        <v>1319</v>
      </c>
      <c r="AM95" s="32">
        <v>1307</v>
      </c>
      <c r="AN95" s="32">
        <v>1286</v>
      </c>
      <c r="AO95" s="32">
        <v>1256</v>
      </c>
      <c r="AP95" s="32">
        <v>1223</v>
      </c>
      <c r="AQ95" s="32">
        <v>1255</v>
      </c>
      <c r="AR95" s="32">
        <v>1283</v>
      </c>
      <c r="AS95" s="32">
        <v>1260</v>
      </c>
      <c r="AT95" s="32">
        <v>1266</v>
      </c>
      <c r="AU95" s="32">
        <v>1260</v>
      </c>
      <c r="AV95" s="32">
        <v>1250</v>
      </c>
      <c r="AW95" s="32">
        <v>1222</v>
      </c>
      <c r="AX95" s="32">
        <v>1215</v>
      </c>
      <c r="AY95" s="32">
        <v>1227</v>
      </c>
      <c r="AZ95" s="32">
        <v>1201</v>
      </c>
      <c r="BA95" s="32">
        <v>1203</v>
      </c>
      <c r="BB95" s="32">
        <v>1207</v>
      </c>
      <c r="BC95" s="32">
        <v>1198</v>
      </c>
      <c r="BD95" s="32">
        <v>1212</v>
      </c>
      <c r="BE95" s="32">
        <v>1200</v>
      </c>
      <c r="BF95" s="32">
        <v>1245</v>
      </c>
      <c r="BG95" s="32">
        <v>1277</v>
      </c>
      <c r="BH95" s="32">
        <v>1282</v>
      </c>
      <c r="BI95" s="32">
        <v>1279</v>
      </c>
      <c r="BJ95" s="32">
        <v>1290</v>
      </c>
      <c r="BK95" s="32">
        <v>1299</v>
      </c>
      <c r="BL95" s="33">
        <v>1276</v>
      </c>
      <c r="BM95" s="1">
        <v>1266</v>
      </c>
      <c r="BN95" s="1">
        <v>1265</v>
      </c>
      <c r="BO95" s="1">
        <v>1275</v>
      </c>
      <c r="BP95" s="1">
        <v>1270</v>
      </c>
    </row>
    <row r="96" spans="1:68" ht="15.9" customHeight="1">
      <c r="A96" s="68" t="s">
        <v>187</v>
      </c>
      <c r="B96" s="28" t="s">
        <v>188</v>
      </c>
      <c r="C96" s="42" t="str">
        <f>_xll.RssMarket("4062","高値")</f>
        <v/>
      </c>
      <c r="D96" s="41" t="e">
        <f t="shared" si="2"/>
        <v>#VALUE!</v>
      </c>
      <c r="E96" s="37">
        <v>16790</v>
      </c>
      <c r="F96" s="37">
        <v>19455</v>
      </c>
      <c r="G96" s="32">
        <v>18685</v>
      </c>
      <c r="H96" s="32">
        <v>20465</v>
      </c>
      <c r="I96" s="32">
        <v>20670</v>
      </c>
      <c r="J96" s="32">
        <v>20515</v>
      </c>
      <c r="K96" s="32">
        <v>20485</v>
      </c>
      <c r="L96" s="32">
        <v>21620</v>
      </c>
      <c r="M96" s="32">
        <v>23595</v>
      </c>
      <c r="N96" s="32">
        <v>23545</v>
      </c>
      <c r="O96" s="32">
        <v>24385</v>
      </c>
      <c r="P96" s="32">
        <v>27480</v>
      </c>
      <c r="Q96" s="32">
        <v>24555</v>
      </c>
      <c r="R96" s="32">
        <v>24070</v>
      </c>
      <c r="S96" s="32">
        <v>26805</v>
      </c>
      <c r="T96" s="32">
        <v>26600</v>
      </c>
      <c r="U96" s="32">
        <v>26010</v>
      </c>
      <c r="V96" s="32">
        <v>26950</v>
      </c>
      <c r="W96" s="32">
        <v>27285</v>
      </c>
      <c r="X96" s="32">
        <v>27020</v>
      </c>
      <c r="Y96" s="32">
        <v>26390</v>
      </c>
      <c r="Z96" s="32">
        <v>24080</v>
      </c>
      <c r="AA96" s="32">
        <v>23640</v>
      </c>
      <c r="AB96" s="32">
        <v>22800</v>
      </c>
      <c r="AC96" s="32">
        <v>20050</v>
      </c>
      <c r="AD96" s="32">
        <v>18410</v>
      </c>
      <c r="AE96" s="32">
        <v>18375</v>
      </c>
      <c r="AF96" s="32">
        <v>17550</v>
      </c>
      <c r="AG96" s="32">
        <v>19165</v>
      </c>
      <c r="AH96" s="32">
        <v>21865</v>
      </c>
      <c r="AI96" s="32">
        <v>22430</v>
      </c>
      <c r="AJ96" s="32">
        <v>22670</v>
      </c>
      <c r="AK96" s="32">
        <v>23000</v>
      </c>
      <c r="AL96" s="32">
        <v>20845</v>
      </c>
      <c r="AM96" s="32">
        <v>21610</v>
      </c>
      <c r="AN96" s="32">
        <v>21275</v>
      </c>
      <c r="AO96" s="32">
        <v>19340</v>
      </c>
      <c r="AP96" s="32">
        <v>18225</v>
      </c>
      <c r="AQ96" s="32">
        <v>15665</v>
      </c>
      <c r="AR96" s="32">
        <v>16130</v>
      </c>
      <c r="AS96" s="32">
        <v>15710</v>
      </c>
      <c r="AT96" s="32">
        <v>17435</v>
      </c>
      <c r="AU96" s="32">
        <v>18000</v>
      </c>
      <c r="AV96" s="32">
        <v>17270</v>
      </c>
      <c r="AW96" s="32">
        <v>18365</v>
      </c>
      <c r="AX96" s="32">
        <v>16080</v>
      </c>
      <c r="AY96" s="32">
        <v>15605</v>
      </c>
      <c r="AZ96" s="32">
        <v>16375</v>
      </c>
      <c r="BA96" s="32">
        <v>13640</v>
      </c>
      <c r="BB96" s="32">
        <v>13870</v>
      </c>
      <c r="BC96" s="32">
        <v>12980</v>
      </c>
      <c r="BD96" s="32">
        <v>13130</v>
      </c>
      <c r="BE96" s="32">
        <v>12830</v>
      </c>
      <c r="BF96" s="32">
        <v>11515</v>
      </c>
      <c r="BG96" s="32">
        <v>11200</v>
      </c>
      <c r="BH96" s="32">
        <v>10560</v>
      </c>
      <c r="BI96" s="32">
        <v>9624</v>
      </c>
      <c r="BJ96" s="32">
        <v>9468</v>
      </c>
      <c r="BK96" s="32">
        <v>9648</v>
      </c>
      <c r="BL96" s="33">
        <v>10110</v>
      </c>
      <c r="BM96" s="1">
        <v>9997</v>
      </c>
      <c r="BN96" s="1">
        <v>9929</v>
      </c>
      <c r="BO96" s="1">
        <v>10050</v>
      </c>
      <c r="BP96" s="1">
        <v>9980</v>
      </c>
    </row>
    <row r="97" spans="1:68" ht="15.9" customHeight="1">
      <c r="A97" s="68" t="s">
        <v>189</v>
      </c>
      <c r="B97" s="28" t="s">
        <v>190</v>
      </c>
      <c r="C97" s="42" t="str">
        <f>_xll.RssMarket("4182","高値")</f>
        <v/>
      </c>
      <c r="D97" s="41" t="e">
        <f t="shared" si="2"/>
        <v>#VALUE!</v>
      </c>
      <c r="E97" s="37">
        <v>4480</v>
      </c>
      <c r="F97" s="37">
        <v>4783</v>
      </c>
      <c r="G97" s="32">
        <v>4650</v>
      </c>
      <c r="H97" s="32">
        <v>4787</v>
      </c>
      <c r="I97" s="32">
        <v>4795</v>
      </c>
      <c r="J97" s="32">
        <v>4710</v>
      </c>
      <c r="K97" s="32">
        <v>4738</v>
      </c>
      <c r="L97" s="32">
        <v>4887</v>
      </c>
      <c r="M97" s="32">
        <v>4985</v>
      </c>
      <c r="N97" s="32">
        <v>4973</v>
      </c>
      <c r="O97" s="32">
        <v>5029</v>
      </c>
      <c r="P97" s="32">
        <v>5215</v>
      </c>
      <c r="Q97" s="32">
        <v>5160</v>
      </c>
      <c r="R97" s="32">
        <v>5171</v>
      </c>
      <c r="S97" s="32">
        <v>5335</v>
      </c>
      <c r="T97" s="32">
        <v>5375</v>
      </c>
      <c r="U97" s="32">
        <v>5360</v>
      </c>
      <c r="V97" s="32">
        <v>5699</v>
      </c>
      <c r="W97" s="32">
        <v>5738</v>
      </c>
      <c r="X97" s="32">
        <v>5585</v>
      </c>
      <c r="Y97" s="32">
        <v>5398</v>
      </c>
      <c r="Z97" s="32">
        <v>5174</v>
      </c>
      <c r="AA97" s="32">
        <v>5166</v>
      </c>
      <c r="AB97" s="32">
        <v>5186</v>
      </c>
      <c r="AC97" s="32">
        <v>5076</v>
      </c>
      <c r="AD97" s="32">
        <v>4488</v>
      </c>
      <c r="AE97" s="32">
        <v>4621</v>
      </c>
      <c r="AF97" s="32">
        <v>4857</v>
      </c>
      <c r="AG97" s="32">
        <v>5211</v>
      </c>
      <c r="AH97" s="32">
        <v>5364</v>
      </c>
      <c r="AI97" s="32">
        <v>5492</v>
      </c>
      <c r="AJ97" s="32">
        <v>5414</v>
      </c>
      <c r="AK97" s="32">
        <v>5626</v>
      </c>
      <c r="AL97" s="32">
        <v>5453</v>
      </c>
      <c r="AM97" s="32">
        <v>5521</v>
      </c>
      <c r="AN97" s="32">
        <v>5392</v>
      </c>
      <c r="AO97" s="32">
        <v>5147</v>
      </c>
      <c r="AP97" s="32">
        <v>5081</v>
      </c>
      <c r="AQ97" s="32">
        <v>4660</v>
      </c>
      <c r="AR97" s="32">
        <v>4668</v>
      </c>
      <c r="AS97" s="32">
        <v>4656</v>
      </c>
      <c r="AT97" s="32">
        <v>4943</v>
      </c>
      <c r="AU97" s="32">
        <v>5237</v>
      </c>
      <c r="AV97" s="32">
        <v>4933</v>
      </c>
      <c r="AW97" s="32">
        <v>4945</v>
      </c>
      <c r="AX97" s="32">
        <v>4739</v>
      </c>
      <c r="AY97" s="32">
        <v>4643</v>
      </c>
      <c r="AZ97" s="32">
        <v>4732</v>
      </c>
      <c r="BA97" s="32">
        <v>4433</v>
      </c>
      <c r="BB97" s="32">
        <v>4427</v>
      </c>
      <c r="BC97" s="32">
        <v>4410</v>
      </c>
      <c r="BD97" s="32">
        <v>4410</v>
      </c>
      <c r="BE97" s="32">
        <v>4445</v>
      </c>
      <c r="BF97" s="32">
        <v>4363</v>
      </c>
      <c r="BG97" s="32">
        <v>4367</v>
      </c>
      <c r="BH97" s="32">
        <v>4389</v>
      </c>
      <c r="BI97" s="32">
        <v>4354</v>
      </c>
      <c r="BJ97" s="32">
        <v>4249</v>
      </c>
      <c r="BK97" s="32">
        <v>4260</v>
      </c>
      <c r="BL97" s="33">
        <v>4335</v>
      </c>
      <c r="BM97" s="1">
        <v>4268</v>
      </c>
      <c r="BN97" s="1">
        <v>4212</v>
      </c>
      <c r="BO97" s="1">
        <v>4244</v>
      </c>
      <c r="BP97" s="1">
        <v>4215</v>
      </c>
    </row>
    <row r="98" spans="1:68" ht="15.9" customHeight="1">
      <c r="A98" s="68" t="s">
        <v>191</v>
      </c>
      <c r="B98" s="28" t="s">
        <v>192</v>
      </c>
      <c r="C98" s="42" t="str">
        <f>_xll.RssMarket("4188","高値")</f>
        <v/>
      </c>
      <c r="D98" s="41" t="e">
        <f t="shared" si="2"/>
        <v>#VALUE!</v>
      </c>
      <c r="E98" s="37">
        <v>1196.5</v>
      </c>
      <c r="F98" s="37">
        <v>1228.5</v>
      </c>
      <c r="G98" s="32">
        <v>1205</v>
      </c>
      <c r="H98" s="32">
        <v>1182.5</v>
      </c>
      <c r="I98" s="32">
        <v>1194.5</v>
      </c>
      <c r="J98" s="32">
        <v>1176.5</v>
      </c>
      <c r="K98" s="32">
        <v>1195</v>
      </c>
      <c r="L98" s="32">
        <v>1204.5</v>
      </c>
      <c r="M98" s="32">
        <v>1207.5</v>
      </c>
      <c r="N98" s="32">
        <v>1175.5</v>
      </c>
      <c r="O98" s="32">
        <v>1140</v>
      </c>
      <c r="P98" s="32">
        <v>1144</v>
      </c>
      <c r="Q98" s="32">
        <v>1139.5</v>
      </c>
      <c r="R98" s="32">
        <v>1110</v>
      </c>
      <c r="S98" s="32">
        <v>1113.5</v>
      </c>
      <c r="T98" s="32">
        <v>1090.5</v>
      </c>
      <c r="U98" s="32">
        <v>1104.5</v>
      </c>
      <c r="V98" s="32">
        <v>1111</v>
      </c>
      <c r="W98" s="32">
        <v>1132.5</v>
      </c>
      <c r="X98" s="32">
        <v>1163</v>
      </c>
      <c r="Y98" s="32">
        <v>1140</v>
      </c>
      <c r="Z98" s="32">
        <v>1119</v>
      </c>
      <c r="AA98" s="32">
        <v>1147</v>
      </c>
      <c r="AB98" s="32">
        <v>1099</v>
      </c>
      <c r="AC98" s="32">
        <v>1038</v>
      </c>
      <c r="AD98" s="32">
        <v>1032.5</v>
      </c>
      <c r="AE98" s="32">
        <v>1055.5</v>
      </c>
      <c r="AF98" s="32">
        <v>1069.5</v>
      </c>
      <c r="AG98" s="32">
        <v>1112.5</v>
      </c>
      <c r="AH98" s="32">
        <v>1112</v>
      </c>
      <c r="AI98" s="32">
        <v>1091.5</v>
      </c>
      <c r="AJ98" s="32">
        <v>1163</v>
      </c>
      <c r="AK98" s="32">
        <v>1125</v>
      </c>
      <c r="AL98" s="32">
        <v>1145</v>
      </c>
      <c r="AM98" s="32">
        <v>1124</v>
      </c>
      <c r="AN98" s="32">
        <v>1032.5</v>
      </c>
      <c r="AO98" s="32">
        <v>1027</v>
      </c>
      <c r="AP98" s="32">
        <v>1020</v>
      </c>
      <c r="AQ98" s="32">
        <v>1033</v>
      </c>
      <c r="AR98" s="32">
        <v>1019</v>
      </c>
      <c r="AS98" s="32">
        <v>1025</v>
      </c>
      <c r="AT98" s="32">
        <v>1057</v>
      </c>
      <c r="AU98" s="32">
        <v>1074.5</v>
      </c>
      <c r="AV98" s="32">
        <v>942.6</v>
      </c>
      <c r="AW98" s="32">
        <v>930.2</v>
      </c>
      <c r="AX98" s="32">
        <v>929.6</v>
      </c>
      <c r="AY98" s="32">
        <v>947.5</v>
      </c>
      <c r="AZ98" s="32">
        <v>915</v>
      </c>
      <c r="BA98" s="32">
        <v>917.9</v>
      </c>
      <c r="BB98" s="32">
        <v>925.2</v>
      </c>
      <c r="BC98" s="32">
        <v>922</v>
      </c>
      <c r="BD98" s="32">
        <v>927.4</v>
      </c>
      <c r="BE98" s="32">
        <v>933</v>
      </c>
      <c r="BF98" s="32">
        <v>962.2</v>
      </c>
      <c r="BG98" s="32">
        <v>977.4</v>
      </c>
      <c r="BH98" s="32">
        <v>995.5</v>
      </c>
      <c r="BI98" s="32">
        <v>995.5</v>
      </c>
      <c r="BJ98" s="32">
        <v>1006.5</v>
      </c>
      <c r="BK98" s="32">
        <v>1006.5</v>
      </c>
      <c r="BL98" s="33">
        <v>988.6</v>
      </c>
      <c r="BM98" s="1">
        <v>991.8</v>
      </c>
      <c r="BN98" s="1">
        <v>1007</v>
      </c>
      <c r="BO98" s="1">
        <v>1015.5</v>
      </c>
      <c r="BP98" s="1">
        <v>1004.5</v>
      </c>
    </row>
    <row r="99" spans="1:68" ht="15.9" customHeight="1">
      <c r="A99" s="68" t="s">
        <v>193</v>
      </c>
      <c r="B99" s="28" t="s">
        <v>194</v>
      </c>
      <c r="C99" s="42" t="str">
        <f>_xll.RssMarket("4523","高値")</f>
        <v/>
      </c>
      <c r="D99" s="41" t="e">
        <f t="shared" si="2"/>
        <v>#VALUE!</v>
      </c>
      <c r="E99" s="37">
        <v>4457</v>
      </c>
      <c r="F99" s="37">
        <v>4331</v>
      </c>
      <c r="G99" s="32">
        <v>4433</v>
      </c>
      <c r="H99" s="32">
        <v>4316</v>
      </c>
      <c r="I99" s="32">
        <v>4328</v>
      </c>
      <c r="J99" s="32">
        <v>4343</v>
      </c>
      <c r="K99" s="32">
        <v>4366</v>
      </c>
      <c r="L99" s="32">
        <v>4337</v>
      </c>
      <c r="M99" s="32">
        <v>4352</v>
      </c>
      <c r="N99" s="32">
        <v>4342</v>
      </c>
      <c r="O99" s="32">
        <v>4188</v>
      </c>
      <c r="P99" s="32">
        <v>4129</v>
      </c>
      <c r="Q99" s="32">
        <v>4170</v>
      </c>
      <c r="R99" s="32">
        <v>4145</v>
      </c>
      <c r="S99" s="32">
        <v>4009</v>
      </c>
      <c r="T99" s="32">
        <v>3952</v>
      </c>
      <c r="U99" s="32">
        <v>3918</v>
      </c>
      <c r="V99" s="32">
        <v>3947</v>
      </c>
      <c r="W99" s="32">
        <v>3908</v>
      </c>
      <c r="X99" s="32">
        <v>3944</v>
      </c>
      <c r="Y99" s="32">
        <v>3976</v>
      </c>
      <c r="Z99" s="32">
        <v>3886</v>
      </c>
      <c r="AA99" s="32">
        <v>3799</v>
      </c>
      <c r="AB99" s="32">
        <v>3840</v>
      </c>
      <c r="AC99" s="32">
        <v>3790</v>
      </c>
      <c r="AD99" s="32">
        <v>3739</v>
      </c>
      <c r="AE99" s="32">
        <v>3749</v>
      </c>
      <c r="AF99" s="32">
        <v>3866</v>
      </c>
      <c r="AG99" s="32">
        <v>3856</v>
      </c>
      <c r="AH99" s="32">
        <v>3853</v>
      </c>
      <c r="AI99" s="32">
        <v>3818</v>
      </c>
      <c r="AJ99" s="32">
        <v>3853</v>
      </c>
      <c r="AK99" s="32">
        <v>3994</v>
      </c>
      <c r="AL99" s="32">
        <v>4057</v>
      </c>
      <c r="AM99" s="32">
        <v>4068</v>
      </c>
      <c r="AN99" s="32">
        <v>4178</v>
      </c>
      <c r="AO99" s="32">
        <v>4249</v>
      </c>
      <c r="AP99" s="32">
        <v>4298</v>
      </c>
      <c r="AQ99" s="32">
        <v>4470</v>
      </c>
      <c r="AR99" s="32">
        <v>4512</v>
      </c>
      <c r="AS99" s="32">
        <v>4529</v>
      </c>
      <c r="AT99" s="32">
        <v>4739</v>
      </c>
      <c r="AU99" s="32">
        <v>4748</v>
      </c>
      <c r="AV99" s="32">
        <v>4736</v>
      </c>
      <c r="AW99" s="32">
        <v>4737</v>
      </c>
      <c r="AX99" s="32">
        <v>4669</v>
      </c>
      <c r="AY99" s="32">
        <v>4761</v>
      </c>
      <c r="AZ99" s="32">
        <v>4765</v>
      </c>
      <c r="BA99" s="32">
        <v>4694</v>
      </c>
      <c r="BB99" s="32">
        <v>4705</v>
      </c>
      <c r="BC99" s="32">
        <v>4635</v>
      </c>
      <c r="BD99" s="32">
        <v>4653</v>
      </c>
      <c r="BE99" s="32">
        <v>4778</v>
      </c>
      <c r="BF99" s="32">
        <v>4821</v>
      </c>
      <c r="BG99" s="32">
        <v>4960</v>
      </c>
      <c r="BH99" s="32">
        <v>4901</v>
      </c>
      <c r="BI99" s="32">
        <v>4924</v>
      </c>
      <c r="BJ99" s="32">
        <v>5033</v>
      </c>
      <c r="BK99" s="32">
        <v>5077</v>
      </c>
      <c r="BL99" s="33">
        <v>5030</v>
      </c>
      <c r="BM99" s="1">
        <v>4955</v>
      </c>
      <c r="BN99" s="1">
        <v>4988</v>
      </c>
      <c r="BO99" s="1">
        <v>5165</v>
      </c>
      <c r="BP99" s="1">
        <v>5233</v>
      </c>
    </row>
    <row r="100" spans="1:68" ht="15.9" customHeight="1">
      <c r="A100" s="68" t="s">
        <v>195</v>
      </c>
      <c r="B100" s="28" t="s">
        <v>196</v>
      </c>
      <c r="C100" s="42" t="str">
        <f>_xll.RssMarket("4528","高値")</f>
        <v/>
      </c>
      <c r="D100" s="41" t="e">
        <f t="shared" si="2"/>
        <v>#VALUE!</v>
      </c>
      <c r="E100" s="37">
        <v>2440</v>
      </c>
      <c r="F100" s="37">
        <v>2418</v>
      </c>
      <c r="G100" s="32">
        <v>2451</v>
      </c>
      <c r="H100" s="32">
        <v>2449.5</v>
      </c>
      <c r="I100" s="32">
        <v>2471.5</v>
      </c>
      <c r="J100" s="32">
        <v>2507</v>
      </c>
      <c r="K100" s="32">
        <v>2500</v>
      </c>
      <c r="L100" s="32">
        <v>2466.5</v>
      </c>
      <c r="M100" s="32">
        <v>2454.5</v>
      </c>
      <c r="N100" s="32">
        <v>2469.5</v>
      </c>
      <c r="O100" s="32">
        <v>2422</v>
      </c>
      <c r="P100" s="32">
        <v>2390</v>
      </c>
      <c r="Q100" s="32">
        <v>2431</v>
      </c>
      <c r="R100" s="32">
        <v>2417</v>
      </c>
      <c r="S100" s="32">
        <v>2377.5</v>
      </c>
      <c r="T100" s="32">
        <v>2384.5</v>
      </c>
      <c r="U100" s="32">
        <v>2364.5</v>
      </c>
      <c r="V100" s="32">
        <v>2352</v>
      </c>
      <c r="W100" s="32">
        <v>2390</v>
      </c>
      <c r="X100" s="32">
        <v>2249</v>
      </c>
      <c r="Y100" s="32">
        <v>2290</v>
      </c>
      <c r="Z100" s="32">
        <v>2277</v>
      </c>
      <c r="AA100" s="32">
        <v>2289.5</v>
      </c>
      <c r="AB100" s="32">
        <v>2310.5</v>
      </c>
      <c r="AC100" s="32">
        <v>2246</v>
      </c>
      <c r="AD100" s="32">
        <v>2232</v>
      </c>
      <c r="AE100" s="32">
        <v>2273.5</v>
      </c>
      <c r="AF100" s="32">
        <v>2234</v>
      </c>
      <c r="AG100" s="32">
        <v>2228.5</v>
      </c>
      <c r="AH100" s="32">
        <v>2204</v>
      </c>
      <c r="AI100" s="32">
        <v>2297</v>
      </c>
      <c r="AJ100" s="32">
        <v>2419.5</v>
      </c>
      <c r="AK100" s="32">
        <v>2407.5</v>
      </c>
      <c r="AL100" s="32">
        <v>2378</v>
      </c>
      <c r="AM100" s="32">
        <v>2511</v>
      </c>
      <c r="AN100" s="32">
        <v>2539</v>
      </c>
      <c r="AO100" s="32">
        <v>2489</v>
      </c>
      <c r="AP100" s="32">
        <v>2485.5</v>
      </c>
      <c r="AQ100" s="32">
        <v>2439.5</v>
      </c>
      <c r="AR100" s="32">
        <v>2517</v>
      </c>
      <c r="AS100" s="32">
        <v>2565</v>
      </c>
      <c r="AT100" s="32">
        <v>2573.5</v>
      </c>
      <c r="AU100" s="32">
        <v>2556.5</v>
      </c>
      <c r="AV100" s="32">
        <v>2509.5</v>
      </c>
      <c r="AW100" s="32">
        <v>2523.5</v>
      </c>
      <c r="AX100" s="32">
        <v>2480.5</v>
      </c>
      <c r="AY100" s="32">
        <v>2362</v>
      </c>
      <c r="AZ100" s="32">
        <v>2328</v>
      </c>
      <c r="BA100" s="32">
        <v>2315</v>
      </c>
      <c r="BB100" s="32">
        <v>2316</v>
      </c>
      <c r="BC100" s="32">
        <v>2326.5</v>
      </c>
      <c r="BD100" s="32">
        <v>2350</v>
      </c>
      <c r="BE100" s="32">
        <v>2319.5</v>
      </c>
      <c r="BF100" s="32">
        <v>2345</v>
      </c>
      <c r="BG100" s="32">
        <v>2413.5</v>
      </c>
      <c r="BH100" s="32">
        <v>2429.5</v>
      </c>
      <c r="BI100" s="32">
        <v>2468.5</v>
      </c>
      <c r="BJ100" s="32">
        <v>2496</v>
      </c>
      <c r="BK100" s="32">
        <v>2495</v>
      </c>
      <c r="BL100" s="33">
        <v>2516</v>
      </c>
      <c r="BM100" s="1">
        <v>2528</v>
      </c>
      <c r="BN100" s="1">
        <v>2565</v>
      </c>
      <c r="BO100" s="1">
        <v>2589</v>
      </c>
      <c r="BP100" s="1">
        <v>2604</v>
      </c>
    </row>
    <row r="101" spans="1:68" ht="15.9" customHeight="1">
      <c r="A101" s="68" t="s">
        <v>197</v>
      </c>
      <c r="B101" s="28" t="s">
        <v>198</v>
      </c>
      <c r="C101" s="42" t="str">
        <f>_xll.RssMarket("4661","高値")</f>
        <v/>
      </c>
      <c r="D101" s="41" t="e">
        <f t="shared" si="2"/>
        <v>#VALUE!</v>
      </c>
      <c r="E101" s="37">
        <v>2768</v>
      </c>
      <c r="F101" s="37">
        <v>2726</v>
      </c>
      <c r="G101" s="32">
        <v>2814</v>
      </c>
      <c r="H101" s="32">
        <v>2650</v>
      </c>
      <c r="I101" s="32">
        <v>2627.5</v>
      </c>
      <c r="J101" s="32">
        <v>2626.5</v>
      </c>
      <c r="K101" s="32">
        <v>2628</v>
      </c>
      <c r="L101" s="32">
        <v>2589</v>
      </c>
      <c r="M101" s="32">
        <v>2565</v>
      </c>
      <c r="N101" s="32">
        <v>2582.5</v>
      </c>
      <c r="O101" s="32">
        <v>2518</v>
      </c>
      <c r="P101" s="32">
        <v>2482.5</v>
      </c>
      <c r="Q101" s="32">
        <v>2519</v>
      </c>
      <c r="R101" s="32">
        <v>2504</v>
      </c>
      <c r="S101" s="32">
        <v>2416.5</v>
      </c>
      <c r="T101" s="32">
        <v>2408</v>
      </c>
      <c r="U101" s="32">
        <v>2399.5</v>
      </c>
      <c r="V101" s="32">
        <v>2377</v>
      </c>
      <c r="W101" s="32">
        <v>2351.5</v>
      </c>
      <c r="X101" s="32">
        <v>2336.5</v>
      </c>
      <c r="Y101" s="32">
        <v>2300</v>
      </c>
      <c r="Z101" s="32">
        <v>2303.5</v>
      </c>
      <c r="AA101" s="32">
        <v>2293.5</v>
      </c>
      <c r="AB101" s="32">
        <v>2263.5</v>
      </c>
      <c r="AC101" s="32">
        <v>2300</v>
      </c>
      <c r="AD101" s="32">
        <v>2332</v>
      </c>
      <c r="AE101" s="32">
        <v>2292.5</v>
      </c>
      <c r="AF101" s="32">
        <v>2257.5</v>
      </c>
      <c r="AG101" s="32">
        <v>2227.5</v>
      </c>
      <c r="AH101" s="32">
        <v>2215.5</v>
      </c>
      <c r="AI101" s="32">
        <v>2231.5</v>
      </c>
      <c r="AJ101" s="32">
        <v>2238</v>
      </c>
      <c r="AK101" s="32">
        <v>2327</v>
      </c>
      <c r="AL101" s="32">
        <v>2259</v>
      </c>
      <c r="AM101" s="32">
        <v>2200</v>
      </c>
      <c r="AN101" s="32">
        <v>2141</v>
      </c>
      <c r="AO101" s="32">
        <v>2149</v>
      </c>
      <c r="AP101" s="32">
        <v>2202.5</v>
      </c>
      <c r="AQ101" s="32">
        <v>2245.5</v>
      </c>
      <c r="AR101" s="32">
        <v>2232.5</v>
      </c>
      <c r="AS101" s="32">
        <v>2188</v>
      </c>
      <c r="AT101" s="32">
        <v>2166</v>
      </c>
      <c r="AU101" s="32">
        <v>2171</v>
      </c>
      <c r="AV101" s="32">
        <v>2223</v>
      </c>
      <c r="AW101" s="32">
        <v>2211</v>
      </c>
      <c r="AX101" s="32">
        <v>2234.5</v>
      </c>
      <c r="AY101" s="32">
        <v>2274</v>
      </c>
      <c r="AZ101" s="32">
        <v>2247.5</v>
      </c>
      <c r="BA101" s="32">
        <v>2232</v>
      </c>
      <c r="BB101" s="32">
        <v>2266.5</v>
      </c>
      <c r="BC101" s="32">
        <v>2434.5</v>
      </c>
      <c r="BD101" s="32">
        <v>2424</v>
      </c>
      <c r="BE101" s="32">
        <v>2470</v>
      </c>
      <c r="BF101" s="32">
        <v>2576</v>
      </c>
      <c r="BG101" s="32">
        <v>2626.5</v>
      </c>
      <c r="BH101" s="32">
        <v>2654</v>
      </c>
      <c r="BI101" s="32">
        <v>2665</v>
      </c>
      <c r="BJ101" s="32">
        <v>2658</v>
      </c>
      <c r="BK101" s="32">
        <v>2696</v>
      </c>
      <c r="BL101" s="33">
        <v>2647.5</v>
      </c>
      <c r="BM101" s="1">
        <v>2615</v>
      </c>
      <c r="BN101" s="1">
        <v>2615</v>
      </c>
      <c r="BO101" s="1">
        <v>2616</v>
      </c>
      <c r="BP101" s="1">
        <v>2691.5</v>
      </c>
    </row>
    <row r="102" spans="1:68" ht="15.9" customHeight="1">
      <c r="A102" s="68" t="s">
        <v>199</v>
      </c>
      <c r="B102" s="28" t="s">
        <v>200</v>
      </c>
      <c r="C102" s="42" t="str">
        <f>_xll.RssMarket("5802","高値")</f>
        <v/>
      </c>
      <c r="D102" s="41" t="e">
        <f t="shared" ref="D102:D133" si="3">C102-E102</f>
        <v>#VALUE!</v>
      </c>
      <c r="E102" s="37">
        <v>2315</v>
      </c>
      <c r="F102" s="37">
        <v>2538</v>
      </c>
      <c r="G102" s="32">
        <v>2469.5</v>
      </c>
      <c r="H102" s="32">
        <v>2620.5</v>
      </c>
      <c r="I102" s="32">
        <v>2624</v>
      </c>
      <c r="J102" s="32">
        <v>2487</v>
      </c>
      <c r="K102" s="32">
        <v>2454</v>
      </c>
      <c r="L102" s="32">
        <v>2620</v>
      </c>
      <c r="M102" s="32">
        <v>2696</v>
      </c>
      <c r="N102" s="32">
        <v>2688</v>
      </c>
      <c r="O102" s="32">
        <v>2783.5</v>
      </c>
      <c r="P102" s="32">
        <v>3017</v>
      </c>
      <c r="Q102" s="32">
        <v>3019</v>
      </c>
      <c r="R102" s="32">
        <v>2979</v>
      </c>
      <c r="S102" s="32">
        <v>12595</v>
      </c>
      <c r="T102" s="32">
        <v>12670</v>
      </c>
      <c r="U102" s="32">
        <v>12505</v>
      </c>
      <c r="V102" s="32">
        <v>14345</v>
      </c>
      <c r="W102" s="32">
        <v>13940</v>
      </c>
      <c r="X102" s="32">
        <v>14305</v>
      </c>
      <c r="Y102" s="32">
        <v>12470</v>
      </c>
      <c r="Z102" s="32">
        <v>12415</v>
      </c>
      <c r="AA102" s="32">
        <v>12605</v>
      </c>
      <c r="AB102" s="32">
        <v>11640</v>
      </c>
      <c r="AC102" s="32">
        <v>11280</v>
      </c>
      <c r="AD102" s="32">
        <v>10470</v>
      </c>
      <c r="AE102" s="32">
        <v>11585</v>
      </c>
      <c r="AF102" s="32">
        <v>12395</v>
      </c>
      <c r="AG102" s="32">
        <v>13300</v>
      </c>
      <c r="AH102" s="32">
        <v>14135</v>
      </c>
      <c r="AI102" s="32">
        <v>14850</v>
      </c>
      <c r="AJ102" s="32">
        <v>13340</v>
      </c>
      <c r="AK102" s="32">
        <v>12585</v>
      </c>
      <c r="AL102" s="32">
        <v>12075</v>
      </c>
      <c r="AM102" s="32">
        <v>12910</v>
      </c>
      <c r="AN102" s="32">
        <v>12550</v>
      </c>
      <c r="AO102" s="32">
        <v>11890</v>
      </c>
      <c r="AP102" s="32">
        <v>10995</v>
      </c>
      <c r="AQ102" s="32">
        <v>10770</v>
      </c>
      <c r="AR102" s="32">
        <v>11350</v>
      </c>
      <c r="AS102" s="32">
        <v>11735</v>
      </c>
      <c r="AT102" s="32">
        <v>12425</v>
      </c>
      <c r="AU102" s="32">
        <v>13030</v>
      </c>
      <c r="AV102" s="32">
        <v>12845</v>
      </c>
      <c r="AW102" s="32">
        <v>12745</v>
      </c>
      <c r="AX102" s="32">
        <v>11670</v>
      </c>
      <c r="AY102" s="32">
        <v>11310</v>
      </c>
      <c r="AZ102" s="32">
        <v>11345</v>
      </c>
      <c r="BA102" s="32">
        <v>10320</v>
      </c>
      <c r="BB102" s="32">
        <v>10270</v>
      </c>
      <c r="BC102" s="32">
        <v>10190</v>
      </c>
      <c r="BD102" s="32">
        <v>10190</v>
      </c>
      <c r="BE102" s="32">
        <v>10405</v>
      </c>
      <c r="BF102" s="32">
        <v>10845</v>
      </c>
      <c r="BG102" s="32">
        <v>10760</v>
      </c>
      <c r="BH102" s="32">
        <v>10560</v>
      </c>
      <c r="BI102" s="32">
        <v>10315</v>
      </c>
      <c r="BJ102" s="32">
        <v>10130</v>
      </c>
      <c r="BK102" s="32">
        <v>10150</v>
      </c>
      <c r="BL102" s="33">
        <v>10380</v>
      </c>
      <c r="BM102" s="1">
        <v>10230</v>
      </c>
      <c r="BN102" s="1">
        <v>10835</v>
      </c>
      <c r="BO102" s="1">
        <v>10615</v>
      </c>
      <c r="BP102" s="1">
        <v>10570</v>
      </c>
    </row>
    <row r="103" spans="1:68" ht="15.9" customHeight="1">
      <c r="A103" s="68" t="s">
        <v>201</v>
      </c>
      <c r="B103" s="28" t="s">
        <v>202</v>
      </c>
      <c r="C103" s="42" t="str">
        <f>_xll.RssMarket("5803","高値")</f>
        <v/>
      </c>
      <c r="D103" s="41" t="e">
        <f t="shared" si="3"/>
        <v>#VALUE!</v>
      </c>
      <c r="E103" s="37">
        <v>4611</v>
      </c>
      <c r="F103" s="37">
        <v>5149</v>
      </c>
      <c r="G103" s="32">
        <v>4820</v>
      </c>
      <c r="H103" s="32">
        <v>5380</v>
      </c>
      <c r="I103" s="32">
        <v>5437</v>
      </c>
      <c r="J103" s="32">
        <v>5209</v>
      </c>
      <c r="K103" s="32">
        <v>5106</v>
      </c>
      <c r="L103" s="32">
        <v>5370</v>
      </c>
      <c r="M103" s="32">
        <v>5452</v>
      </c>
      <c r="N103" s="32">
        <v>5379</v>
      </c>
      <c r="O103" s="32">
        <v>5555</v>
      </c>
      <c r="P103" s="32">
        <v>6431</v>
      </c>
      <c r="Q103" s="32">
        <v>6320</v>
      </c>
      <c r="R103" s="32">
        <v>6166</v>
      </c>
      <c r="S103" s="32">
        <v>6579</v>
      </c>
      <c r="T103" s="32">
        <v>6649</v>
      </c>
      <c r="U103" s="32">
        <v>6568</v>
      </c>
      <c r="V103" s="32">
        <v>7068</v>
      </c>
      <c r="W103" s="32">
        <v>6161</v>
      </c>
      <c r="X103" s="32">
        <v>5161</v>
      </c>
      <c r="Y103" s="32">
        <v>4910</v>
      </c>
      <c r="Z103" s="32">
        <v>4763</v>
      </c>
      <c r="AA103" s="32">
        <v>4829</v>
      </c>
      <c r="AB103" s="32">
        <v>4492</v>
      </c>
      <c r="AC103" s="32">
        <v>4357</v>
      </c>
      <c r="AD103" s="32">
        <v>4162</v>
      </c>
      <c r="AE103" s="32">
        <v>4412</v>
      </c>
      <c r="AF103" s="32">
        <v>4525</v>
      </c>
      <c r="AG103" s="32">
        <v>4825</v>
      </c>
      <c r="AH103" s="32">
        <v>4866</v>
      </c>
      <c r="AI103" s="32">
        <v>5163</v>
      </c>
      <c r="AJ103" s="32">
        <v>4666</v>
      </c>
      <c r="AK103" s="32">
        <v>5047</v>
      </c>
      <c r="AL103" s="32">
        <v>5196</v>
      </c>
      <c r="AM103" s="32">
        <v>5555</v>
      </c>
      <c r="AN103" s="32">
        <v>5550</v>
      </c>
      <c r="AO103" s="32">
        <v>5031</v>
      </c>
      <c r="AP103" s="32">
        <v>4662</v>
      </c>
      <c r="AQ103" s="32">
        <v>4516</v>
      </c>
      <c r="AR103" s="32">
        <v>5639</v>
      </c>
      <c r="AS103" s="32">
        <v>5969</v>
      </c>
      <c r="AT103" s="32">
        <v>6999</v>
      </c>
      <c r="AU103" s="32">
        <v>7933</v>
      </c>
      <c r="AV103" s="32">
        <v>7915</v>
      </c>
      <c r="AW103" s="32">
        <v>7770</v>
      </c>
      <c r="AX103" s="32">
        <v>6980</v>
      </c>
      <c r="AY103" s="32">
        <v>6582</v>
      </c>
      <c r="AZ103" s="32">
        <v>6500</v>
      </c>
      <c r="BA103" s="32">
        <v>6027</v>
      </c>
      <c r="BB103" s="32">
        <v>6083</v>
      </c>
      <c r="BC103" s="32">
        <v>6321</v>
      </c>
      <c r="BD103" s="32">
        <v>6397</v>
      </c>
      <c r="BE103" s="32">
        <v>6100</v>
      </c>
      <c r="BF103" s="32">
        <v>6218</v>
      </c>
      <c r="BG103" s="32">
        <v>5989</v>
      </c>
      <c r="BH103" s="32">
        <v>5889</v>
      </c>
      <c r="BI103" s="32">
        <v>5898</v>
      </c>
      <c r="BJ103" s="32">
        <v>5987</v>
      </c>
      <c r="BK103" s="32">
        <v>5959</v>
      </c>
      <c r="BL103" s="33">
        <v>6037</v>
      </c>
      <c r="BM103" s="1">
        <v>5985</v>
      </c>
      <c r="BN103" s="1">
        <v>6004</v>
      </c>
      <c r="BO103" s="1">
        <v>5644</v>
      </c>
      <c r="BP103" s="1">
        <v>5073</v>
      </c>
    </row>
    <row r="104" spans="1:68" ht="15.9" customHeight="1">
      <c r="A104" s="68" t="s">
        <v>203</v>
      </c>
      <c r="B104" s="28" t="s">
        <v>204</v>
      </c>
      <c r="C104" s="42" t="str">
        <f>_xll.RssMarket("6178","高値")</f>
        <v/>
      </c>
      <c r="D104" s="41" t="e">
        <f t="shared" si="3"/>
        <v>#VALUE!</v>
      </c>
      <c r="E104" s="37">
        <v>2397</v>
      </c>
      <c r="F104" s="37">
        <v>2417</v>
      </c>
      <c r="G104" s="32">
        <v>2362</v>
      </c>
      <c r="H104" s="32">
        <v>2353.5</v>
      </c>
      <c r="I104" s="32">
        <v>2383</v>
      </c>
      <c r="J104" s="32">
        <v>2382</v>
      </c>
      <c r="K104" s="32">
        <v>2395</v>
      </c>
      <c r="L104" s="32">
        <v>2372.5</v>
      </c>
      <c r="M104" s="32">
        <v>2326</v>
      </c>
      <c r="N104" s="32">
        <v>2290</v>
      </c>
      <c r="O104" s="32">
        <v>2245</v>
      </c>
      <c r="P104" s="32">
        <v>2197</v>
      </c>
      <c r="Q104" s="32">
        <v>2182.5</v>
      </c>
      <c r="R104" s="32">
        <v>2183.5</v>
      </c>
      <c r="S104" s="32">
        <v>2199.5</v>
      </c>
      <c r="T104" s="32">
        <v>2231</v>
      </c>
      <c r="U104" s="32">
        <v>2252.5</v>
      </c>
      <c r="V104" s="32">
        <v>2244.5</v>
      </c>
      <c r="W104" s="32">
        <v>2241</v>
      </c>
      <c r="X104" s="32">
        <v>2263</v>
      </c>
      <c r="Y104" s="32">
        <v>2249</v>
      </c>
      <c r="Z104" s="32">
        <v>2279.5</v>
      </c>
      <c r="AA104" s="32">
        <v>2264.5</v>
      </c>
      <c r="AB104" s="32">
        <v>2344.5</v>
      </c>
      <c r="AC104" s="32">
        <v>2361</v>
      </c>
      <c r="AD104" s="32">
        <v>2252</v>
      </c>
      <c r="AE104" s="32">
        <v>2246.5</v>
      </c>
      <c r="AF104" s="32">
        <v>2147.5</v>
      </c>
      <c r="AG104" s="32">
        <v>2177</v>
      </c>
      <c r="AH104" s="32">
        <v>2145.5</v>
      </c>
      <c r="AI104" s="32">
        <v>2125</v>
      </c>
      <c r="AJ104" s="32">
        <v>2074</v>
      </c>
      <c r="AK104" s="32">
        <v>2075</v>
      </c>
      <c r="AL104" s="32">
        <v>2037.5</v>
      </c>
      <c r="AM104" s="32">
        <v>2093</v>
      </c>
      <c r="AN104" s="32">
        <v>2128</v>
      </c>
      <c r="AO104" s="32">
        <v>2138.5</v>
      </c>
      <c r="AP104" s="32">
        <v>2154.5</v>
      </c>
      <c r="AQ104" s="32">
        <v>2139.5</v>
      </c>
      <c r="AR104" s="32">
        <v>2115.5</v>
      </c>
      <c r="AS104" s="32">
        <v>2068</v>
      </c>
      <c r="AT104" s="32">
        <v>1981.5</v>
      </c>
      <c r="AU104" s="32">
        <v>1956.5</v>
      </c>
      <c r="AV104" s="32">
        <v>1944.5</v>
      </c>
      <c r="AW104" s="32">
        <v>1911</v>
      </c>
      <c r="AX104" s="32">
        <v>1871.5</v>
      </c>
      <c r="AY104" s="32">
        <v>1859.5</v>
      </c>
      <c r="AZ104" s="32">
        <v>1871.5</v>
      </c>
      <c r="BA104" s="32">
        <v>1819</v>
      </c>
      <c r="BB104" s="32">
        <v>1829</v>
      </c>
      <c r="BC104" s="32">
        <v>1826.5</v>
      </c>
      <c r="BD104" s="32">
        <v>1773</v>
      </c>
      <c r="BE104" s="32">
        <v>1789</v>
      </c>
      <c r="BF104" s="32">
        <v>1789</v>
      </c>
      <c r="BG104" s="32">
        <v>1821.5</v>
      </c>
      <c r="BH104" s="32">
        <v>1861</v>
      </c>
      <c r="BI104" s="32">
        <v>1885</v>
      </c>
      <c r="BJ104" s="32">
        <v>1889.5</v>
      </c>
      <c r="BK104" s="32">
        <v>1903</v>
      </c>
      <c r="BL104" s="33">
        <v>1878</v>
      </c>
      <c r="BM104" s="1">
        <v>1882</v>
      </c>
      <c r="BN104" s="1">
        <v>1867.5</v>
      </c>
      <c r="BO104" s="1">
        <v>1893.5</v>
      </c>
      <c r="BP104" s="1">
        <v>1918</v>
      </c>
    </row>
    <row r="105" spans="1:68" ht="15.9" customHeight="1">
      <c r="A105" s="68" t="s">
        <v>205</v>
      </c>
      <c r="B105" s="28" t="s">
        <v>206</v>
      </c>
      <c r="C105" s="42" t="str">
        <f>_xll.RssMarket("6925","高値")</f>
        <v/>
      </c>
      <c r="D105" s="41" t="e">
        <f t="shared" si="3"/>
        <v>#VALUE!</v>
      </c>
      <c r="E105" s="37">
        <v>3941</v>
      </c>
      <c r="F105" s="37">
        <v>4264</v>
      </c>
      <c r="G105" s="32">
        <v>4108</v>
      </c>
      <c r="H105" s="32">
        <v>4364</v>
      </c>
      <c r="I105" s="32">
        <v>4507</v>
      </c>
      <c r="J105" s="32">
        <v>4341</v>
      </c>
      <c r="K105" s="32">
        <v>4353</v>
      </c>
      <c r="L105" s="32">
        <v>4520</v>
      </c>
      <c r="M105" s="32">
        <v>4689</v>
      </c>
      <c r="N105" s="32">
        <v>4712</v>
      </c>
      <c r="O105" s="32">
        <v>4820</v>
      </c>
      <c r="P105" s="32">
        <v>5164</v>
      </c>
      <c r="Q105" s="32">
        <v>4535</v>
      </c>
      <c r="R105" s="32">
        <v>4405</v>
      </c>
      <c r="S105" s="32">
        <v>4501</v>
      </c>
      <c r="T105" s="32">
        <v>4547</v>
      </c>
      <c r="U105" s="32">
        <v>4522</v>
      </c>
      <c r="V105" s="32">
        <v>4840</v>
      </c>
      <c r="W105" s="32">
        <v>4890</v>
      </c>
      <c r="X105" s="32">
        <v>4830</v>
      </c>
      <c r="Y105" s="32">
        <v>4733</v>
      </c>
      <c r="Z105" s="32">
        <v>4620</v>
      </c>
      <c r="AA105" s="32">
        <v>4340</v>
      </c>
      <c r="AB105" s="32">
        <v>4284</v>
      </c>
      <c r="AC105" s="32">
        <v>4196</v>
      </c>
      <c r="AD105" s="32">
        <v>3956</v>
      </c>
      <c r="AE105" s="32">
        <v>4085</v>
      </c>
      <c r="AF105" s="32">
        <v>4082</v>
      </c>
      <c r="AG105" s="32">
        <v>4328</v>
      </c>
      <c r="AH105" s="32">
        <v>4310</v>
      </c>
      <c r="AI105" s="32">
        <v>4198</v>
      </c>
      <c r="AJ105" s="32">
        <v>4088</v>
      </c>
      <c r="AK105" s="32">
        <v>4264</v>
      </c>
      <c r="AL105" s="32">
        <v>4220</v>
      </c>
      <c r="AM105" s="32">
        <v>4275</v>
      </c>
      <c r="AN105" s="32">
        <v>4270</v>
      </c>
      <c r="AO105" s="32">
        <v>4104</v>
      </c>
      <c r="AP105" s="32">
        <v>4072</v>
      </c>
      <c r="AQ105" s="32">
        <v>3938</v>
      </c>
      <c r="AR105" s="32">
        <v>4204</v>
      </c>
      <c r="AS105" s="32">
        <v>4416</v>
      </c>
      <c r="AT105" s="32">
        <v>4239</v>
      </c>
      <c r="AU105" s="32">
        <v>3591</v>
      </c>
      <c r="AV105" s="32">
        <v>3524</v>
      </c>
      <c r="AW105" s="32">
        <v>3530</v>
      </c>
      <c r="AX105" s="32">
        <v>3437</v>
      </c>
      <c r="AY105" s="32">
        <v>3390</v>
      </c>
      <c r="AZ105" s="32">
        <v>3419</v>
      </c>
      <c r="BA105" s="32">
        <v>3205</v>
      </c>
      <c r="BB105" s="32">
        <v>3183</v>
      </c>
      <c r="BC105" s="32">
        <v>3135</v>
      </c>
      <c r="BD105" s="32">
        <v>3224</v>
      </c>
      <c r="BE105" s="32">
        <v>3246</v>
      </c>
      <c r="BF105" s="32">
        <v>3162</v>
      </c>
      <c r="BG105" s="32">
        <v>3185</v>
      </c>
      <c r="BH105" s="32">
        <v>3234</v>
      </c>
      <c r="BI105" s="32">
        <v>3222</v>
      </c>
      <c r="BJ105" s="32">
        <v>3321</v>
      </c>
      <c r="BK105" s="32">
        <v>3337</v>
      </c>
      <c r="BL105" s="33">
        <v>3325</v>
      </c>
      <c r="BM105" s="1">
        <v>3301</v>
      </c>
      <c r="BN105" s="1">
        <v>3257</v>
      </c>
      <c r="BO105" s="1">
        <v>3270</v>
      </c>
      <c r="BP105" s="1">
        <v>3220</v>
      </c>
    </row>
    <row r="106" spans="1:68" ht="15.9" customHeight="1">
      <c r="A106" s="68" t="s">
        <v>207</v>
      </c>
      <c r="B106" s="28" t="s">
        <v>208</v>
      </c>
      <c r="C106" s="42" t="str">
        <f>_xll.RssMarket("7021","高値")</f>
        <v/>
      </c>
      <c r="D106" s="41" t="e">
        <f t="shared" si="3"/>
        <v>#VALUE!</v>
      </c>
      <c r="E106" s="37">
        <v>1876</v>
      </c>
      <c r="F106" s="37">
        <v>1877</v>
      </c>
      <c r="G106" s="32">
        <v>1849</v>
      </c>
      <c r="H106" s="32">
        <v>1869</v>
      </c>
      <c r="I106" s="32">
        <v>1857</v>
      </c>
      <c r="J106" s="32">
        <v>1839</v>
      </c>
      <c r="K106" s="32">
        <v>1849</v>
      </c>
      <c r="L106" s="32">
        <v>1839</v>
      </c>
      <c r="M106" s="32">
        <v>1829</v>
      </c>
      <c r="N106" s="32">
        <v>1808</v>
      </c>
      <c r="O106" s="32">
        <v>1814</v>
      </c>
      <c r="P106" s="32">
        <v>1799</v>
      </c>
      <c r="Q106" s="32">
        <v>1815</v>
      </c>
      <c r="R106" s="32">
        <v>1817</v>
      </c>
      <c r="S106" s="32">
        <v>1808</v>
      </c>
      <c r="T106" s="32">
        <v>1805</v>
      </c>
      <c r="U106" s="32">
        <v>1774</v>
      </c>
      <c r="V106" s="32">
        <v>1810</v>
      </c>
      <c r="W106" s="32">
        <v>1794</v>
      </c>
      <c r="X106" s="32">
        <v>1788</v>
      </c>
      <c r="Y106" s="32">
        <v>1793</v>
      </c>
      <c r="Z106" s="32">
        <v>1810</v>
      </c>
      <c r="AA106" s="32">
        <v>1809</v>
      </c>
      <c r="AB106" s="32">
        <v>1826</v>
      </c>
      <c r="AC106" s="32">
        <v>1805</v>
      </c>
      <c r="AD106" s="32">
        <v>1812</v>
      </c>
      <c r="AE106" s="32">
        <v>1809</v>
      </c>
      <c r="AF106" s="32">
        <v>1770</v>
      </c>
      <c r="AG106" s="32">
        <v>1811</v>
      </c>
      <c r="AH106" s="32">
        <v>1770</v>
      </c>
      <c r="AI106" s="32">
        <v>1827</v>
      </c>
      <c r="AJ106" s="32">
        <v>1803</v>
      </c>
      <c r="AK106" s="32">
        <v>1854</v>
      </c>
      <c r="AL106" s="32">
        <v>1894</v>
      </c>
      <c r="AM106" s="32">
        <v>1828</v>
      </c>
      <c r="AN106" s="32">
        <v>1823</v>
      </c>
      <c r="AO106" s="32">
        <v>1868</v>
      </c>
      <c r="AP106" s="32">
        <v>1881</v>
      </c>
      <c r="AQ106" s="32">
        <v>1915</v>
      </c>
      <c r="AR106" s="32">
        <v>1980</v>
      </c>
      <c r="AS106" s="32">
        <v>2089</v>
      </c>
      <c r="AT106" s="32">
        <v>2193</v>
      </c>
      <c r="AU106" s="32">
        <v>2190</v>
      </c>
      <c r="AV106" s="32">
        <v>2188</v>
      </c>
      <c r="AW106" s="32">
        <v>2161</v>
      </c>
      <c r="AX106" s="32">
        <v>2170</v>
      </c>
      <c r="AY106" s="32">
        <v>2166</v>
      </c>
      <c r="AZ106" s="32">
        <v>2175</v>
      </c>
      <c r="BA106" s="32">
        <v>2225</v>
      </c>
      <c r="BB106" s="32">
        <v>2230</v>
      </c>
      <c r="BC106" s="32">
        <v>2259</v>
      </c>
      <c r="BD106" s="32">
        <v>2294</v>
      </c>
      <c r="BE106" s="32">
        <v>2299</v>
      </c>
      <c r="BF106" s="32">
        <v>2310</v>
      </c>
      <c r="BG106" s="32">
        <v>2364</v>
      </c>
      <c r="BH106" s="32">
        <v>2344</v>
      </c>
      <c r="BI106" s="32">
        <v>2374</v>
      </c>
      <c r="BJ106" s="32">
        <v>2368</v>
      </c>
      <c r="BK106" s="32">
        <v>2365</v>
      </c>
      <c r="BL106" s="33">
        <v>2350</v>
      </c>
      <c r="BM106" s="1">
        <v>2346</v>
      </c>
      <c r="BN106" s="1">
        <v>2324</v>
      </c>
      <c r="BO106" s="1">
        <v>2337</v>
      </c>
      <c r="BP106" s="1">
        <v>2325</v>
      </c>
    </row>
    <row r="107" spans="1:68" ht="15.9" customHeight="1">
      <c r="A107" s="68" t="s">
        <v>209</v>
      </c>
      <c r="B107" s="28" t="s">
        <v>210</v>
      </c>
      <c r="C107" s="42" t="str">
        <f>_xll.RssMarket("7729","高値")</f>
        <v/>
      </c>
      <c r="D107" s="41" t="e">
        <f t="shared" si="3"/>
        <v>#VALUE!</v>
      </c>
      <c r="E107" s="37">
        <v>17965</v>
      </c>
      <c r="F107" s="37">
        <v>19210</v>
      </c>
      <c r="G107" s="32">
        <v>18505</v>
      </c>
      <c r="H107" s="32">
        <v>19420</v>
      </c>
      <c r="I107" s="32">
        <v>19295</v>
      </c>
      <c r="J107" s="32">
        <v>18235</v>
      </c>
      <c r="K107" s="32">
        <v>18095</v>
      </c>
      <c r="L107" s="32">
        <v>18735</v>
      </c>
      <c r="M107" s="32">
        <v>19550</v>
      </c>
      <c r="N107" s="32">
        <v>19540</v>
      </c>
      <c r="O107" s="32">
        <v>20185</v>
      </c>
      <c r="P107" s="32">
        <v>21310</v>
      </c>
      <c r="Q107" s="32">
        <v>20345</v>
      </c>
      <c r="R107" s="32">
        <v>19370</v>
      </c>
      <c r="S107" s="32">
        <v>19940</v>
      </c>
      <c r="T107" s="32">
        <v>20170</v>
      </c>
      <c r="U107" s="32">
        <v>19530</v>
      </c>
      <c r="V107" s="32">
        <v>20495</v>
      </c>
      <c r="W107" s="32">
        <v>20415</v>
      </c>
      <c r="X107" s="32">
        <v>20845</v>
      </c>
      <c r="Y107" s="32">
        <v>20485</v>
      </c>
      <c r="Z107" s="32">
        <v>19530</v>
      </c>
      <c r="AA107" s="32">
        <v>19880</v>
      </c>
      <c r="AB107" s="32">
        <v>19840</v>
      </c>
      <c r="AC107" s="32">
        <v>19220</v>
      </c>
      <c r="AD107" s="32">
        <v>17865</v>
      </c>
      <c r="AE107" s="32">
        <v>18280</v>
      </c>
      <c r="AF107" s="32">
        <v>16810</v>
      </c>
      <c r="AG107" s="32">
        <v>18085</v>
      </c>
      <c r="AH107" s="32">
        <v>18765</v>
      </c>
      <c r="AI107" s="32">
        <v>17955</v>
      </c>
      <c r="AJ107" s="32">
        <v>16990</v>
      </c>
      <c r="AK107" s="32">
        <v>17970</v>
      </c>
      <c r="AL107" s="32">
        <v>17740</v>
      </c>
      <c r="AM107" s="32">
        <v>18310</v>
      </c>
      <c r="AN107" s="32">
        <v>18455</v>
      </c>
      <c r="AO107" s="32">
        <v>17080</v>
      </c>
      <c r="AP107" s="32">
        <v>16665</v>
      </c>
      <c r="AQ107" s="32">
        <v>15905</v>
      </c>
      <c r="AR107" s="32">
        <v>16445</v>
      </c>
      <c r="AS107" s="32">
        <v>16590</v>
      </c>
      <c r="AT107" s="32">
        <v>18230</v>
      </c>
      <c r="AU107" s="32">
        <v>19320</v>
      </c>
      <c r="AV107" s="32">
        <v>19070</v>
      </c>
      <c r="AW107" s="32">
        <v>19365</v>
      </c>
      <c r="AX107" s="32">
        <v>19400</v>
      </c>
      <c r="AY107" s="32">
        <v>18765</v>
      </c>
      <c r="AZ107" s="32">
        <v>18675</v>
      </c>
      <c r="BA107" s="32">
        <v>17430</v>
      </c>
      <c r="BB107" s="32">
        <v>17635</v>
      </c>
      <c r="BC107" s="32">
        <v>17675</v>
      </c>
      <c r="BD107" s="32">
        <v>17800</v>
      </c>
      <c r="BE107" s="32">
        <v>17610</v>
      </c>
      <c r="BF107" s="32">
        <v>17295</v>
      </c>
      <c r="BG107" s="32">
        <v>16820</v>
      </c>
      <c r="BH107" s="32">
        <v>16720</v>
      </c>
      <c r="BI107" s="32">
        <v>16665</v>
      </c>
      <c r="BJ107" s="32">
        <v>16900</v>
      </c>
      <c r="BK107" s="32">
        <v>16995</v>
      </c>
      <c r="BL107" s="33">
        <v>16765</v>
      </c>
      <c r="BM107" s="1">
        <v>16315</v>
      </c>
      <c r="BN107" s="1">
        <v>15815</v>
      </c>
      <c r="BO107" s="1">
        <v>15925</v>
      </c>
      <c r="BP107" s="1">
        <v>15395</v>
      </c>
    </row>
    <row r="108" spans="1:68" ht="15.9" customHeight="1">
      <c r="A108" s="68" t="s">
        <v>211</v>
      </c>
      <c r="B108" s="28" t="s">
        <v>212</v>
      </c>
      <c r="C108" s="42" t="str">
        <f>_xll.RssMarket("8424","高値")</f>
        <v/>
      </c>
      <c r="D108" s="41" t="e">
        <f t="shared" si="3"/>
        <v>#VALUE!</v>
      </c>
      <c r="E108" s="37">
        <v>4392</v>
      </c>
      <c r="F108" s="37">
        <v>4390</v>
      </c>
      <c r="G108" s="32">
        <v>4361</v>
      </c>
      <c r="H108" s="32">
        <v>4318</v>
      </c>
      <c r="I108" s="32">
        <v>4291</v>
      </c>
      <c r="J108" s="32">
        <v>4306</v>
      </c>
      <c r="K108" s="32">
        <v>4309</v>
      </c>
      <c r="L108" s="32">
        <v>4245</v>
      </c>
      <c r="M108" s="32">
        <v>4239</v>
      </c>
      <c r="N108" s="32">
        <v>4236</v>
      </c>
      <c r="O108" s="32">
        <v>4230</v>
      </c>
      <c r="P108" s="32">
        <v>4250</v>
      </c>
      <c r="Q108" s="32">
        <v>4274</v>
      </c>
      <c r="R108" s="32">
        <v>4260</v>
      </c>
      <c r="S108" s="32">
        <v>4250</v>
      </c>
      <c r="T108" s="32">
        <v>4216</v>
      </c>
      <c r="U108" s="32">
        <v>4222</v>
      </c>
      <c r="V108" s="32">
        <v>4249</v>
      </c>
      <c r="W108" s="32">
        <v>4289</v>
      </c>
      <c r="X108" s="32">
        <v>4265</v>
      </c>
      <c r="Y108" s="32">
        <v>4333</v>
      </c>
      <c r="Z108" s="32">
        <v>4300</v>
      </c>
      <c r="AA108" s="32">
        <v>4347</v>
      </c>
      <c r="AB108" s="32">
        <v>4299</v>
      </c>
      <c r="AC108" s="32">
        <v>4318</v>
      </c>
      <c r="AD108" s="32">
        <v>4338</v>
      </c>
      <c r="AE108" s="32">
        <v>4192</v>
      </c>
      <c r="AF108" s="32">
        <v>4170</v>
      </c>
      <c r="AG108" s="32">
        <v>4097</v>
      </c>
      <c r="AH108" s="32">
        <v>4107</v>
      </c>
      <c r="AI108" s="32">
        <v>4081</v>
      </c>
      <c r="AJ108" s="32">
        <v>4254</v>
      </c>
      <c r="AK108" s="32">
        <v>4196</v>
      </c>
      <c r="AL108" s="32">
        <v>4200</v>
      </c>
      <c r="AM108" s="32">
        <v>4289</v>
      </c>
      <c r="AN108" s="32">
        <v>4384</v>
      </c>
      <c r="AO108" s="32">
        <v>4414</v>
      </c>
      <c r="AP108" s="32">
        <v>4398</v>
      </c>
      <c r="AQ108" s="32">
        <v>4406</v>
      </c>
      <c r="AR108" s="32">
        <v>4388</v>
      </c>
      <c r="AS108" s="32">
        <v>4396</v>
      </c>
      <c r="AT108" s="32">
        <v>4394</v>
      </c>
      <c r="AU108" s="32">
        <v>4397</v>
      </c>
      <c r="AV108" s="32">
        <v>4460</v>
      </c>
      <c r="AW108" s="32">
        <v>4317</v>
      </c>
      <c r="AX108" s="32">
        <v>4343</v>
      </c>
      <c r="AY108" s="32">
        <v>4344</v>
      </c>
      <c r="AZ108" s="32">
        <v>4315</v>
      </c>
      <c r="BA108" s="32">
        <v>4337</v>
      </c>
      <c r="BB108" s="32">
        <v>4350</v>
      </c>
      <c r="BC108" s="32">
        <v>4294</v>
      </c>
      <c r="BD108" s="32">
        <v>4286</v>
      </c>
      <c r="BE108" s="32">
        <v>4268</v>
      </c>
      <c r="BF108" s="32">
        <v>4282</v>
      </c>
      <c r="BG108" s="32">
        <v>4316</v>
      </c>
      <c r="BH108" s="32">
        <v>4367</v>
      </c>
      <c r="BI108" s="32">
        <v>4350</v>
      </c>
      <c r="BJ108" s="32">
        <v>4383</v>
      </c>
      <c r="BK108" s="32">
        <v>4357</v>
      </c>
      <c r="BL108" s="33">
        <v>4360</v>
      </c>
      <c r="BM108" s="1">
        <v>4382</v>
      </c>
      <c r="BN108" s="1">
        <v>4440</v>
      </c>
      <c r="BO108" s="1">
        <v>4505</v>
      </c>
      <c r="BP108" s="1">
        <v>4453</v>
      </c>
    </row>
    <row r="109" spans="1:68" ht="15.9" customHeight="1">
      <c r="A109" s="68" t="s">
        <v>213</v>
      </c>
      <c r="B109" s="28" t="s">
        <v>214</v>
      </c>
      <c r="C109" s="42" t="str">
        <f>_xll.RssMarket("9020","高値")</f>
        <v/>
      </c>
      <c r="D109" s="41" t="e">
        <f t="shared" si="3"/>
        <v>#VALUE!</v>
      </c>
      <c r="E109" s="37">
        <v>3677</v>
      </c>
      <c r="F109" s="37">
        <v>3605</v>
      </c>
      <c r="G109" s="32">
        <v>3614</v>
      </c>
      <c r="H109" s="32">
        <v>3539</v>
      </c>
      <c r="I109" s="32">
        <v>3528</v>
      </c>
      <c r="J109" s="32">
        <v>3531</v>
      </c>
      <c r="K109" s="32">
        <v>3588</v>
      </c>
      <c r="L109" s="32">
        <v>3566</v>
      </c>
      <c r="M109" s="32">
        <v>3519</v>
      </c>
      <c r="N109" s="32">
        <v>3544</v>
      </c>
      <c r="O109" s="32">
        <v>3443</v>
      </c>
      <c r="P109" s="32">
        <v>3394</v>
      </c>
      <c r="Q109" s="32">
        <v>3472</v>
      </c>
      <c r="R109" s="32">
        <v>3476</v>
      </c>
      <c r="S109" s="32">
        <v>3388</v>
      </c>
      <c r="T109" s="32">
        <v>3393</v>
      </c>
      <c r="U109" s="32">
        <v>3407</v>
      </c>
      <c r="V109" s="32">
        <v>3373</v>
      </c>
      <c r="W109" s="32">
        <v>3382</v>
      </c>
      <c r="X109" s="32">
        <v>3415</v>
      </c>
      <c r="Y109" s="32">
        <v>3400</v>
      </c>
      <c r="Z109" s="32">
        <v>3455</v>
      </c>
      <c r="AA109" s="32">
        <v>3400</v>
      </c>
      <c r="AB109" s="32">
        <v>3443</v>
      </c>
      <c r="AC109" s="32">
        <v>3467</v>
      </c>
      <c r="AD109" s="32">
        <v>3513</v>
      </c>
      <c r="AE109" s="32">
        <v>3463</v>
      </c>
      <c r="AF109" s="32">
        <v>3418</v>
      </c>
      <c r="AG109" s="32">
        <v>3399</v>
      </c>
      <c r="AH109" s="32">
        <v>3318</v>
      </c>
      <c r="AI109" s="32">
        <v>3333</v>
      </c>
      <c r="AJ109" s="32">
        <v>3365</v>
      </c>
      <c r="AK109" s="32">
        <v>3500</v>
      </c>
      <c r="AL109" s="32">
        <v>3531</v>
      </c>
      <c r="AM109" s="32">
        <v>3535</v>
      </c>
      <c r="AN109" s="32">
        <v>3597</v>
      </c>
      <c r="AO109" s="32">
        <v>3670</v>
      </c>
      <c r="AP109" s="32">
        <v>3844</v>
      </c>
      <c r="AQ109" s="32">
        <v>3819</v>
      </c>
      <c r="AR109" s="32">
        <v>3796</v>
      </c>
      <c r="AS109" s="32">
        <v>3773</v>
      </c>
      <c r="AT109" s="32">
        <v>3724</v>
      </c>
      <c r="AU109" s="32">
        <v>3802</v>
      </c>
      <c r="AV109" s="32">
        <v>3698</v>
      </c>
      <c r="AW109" s="32">
        <v>3690</v>
      </c>
      <c r="AX109" s="32">
        <v>3666</v>
      </c>
      <c r="AY109" s="32">
        <v>3709</v>
      </c>
      <c r="AZ109" s="32">
        <v>3785</v>
      </c>
      <c r="BA109" s="32">
        <v>3451</v>
      </c>
      <c r="BB109" s="32">
        <v>3464</v>
      </c>
      <c r="BC109" s="32">
        <v>3461</v>
      </c>
      <c r="BD109" s="32">
        <v>3485</v>
      </c>
      <c r="BE109" s="32">
        <v>3512</v>
      </c>
      <c r="BF109" s="32">
        <v>3545</v>
      </c>
      <c r="BG109" s="32">
        <v>3544</v>
      </c>
      <c r="BH109" s="32">
        <v>3535</v>
      </c>
      <c r="BI109" s="32">
        <v>3530</v>
      </c>
      <c r="BJ109" s="32">
        <v>3590</v>
      </c>
      <c r="BK109" s="32">
        <v>3584</v>
      </c>
      <c r="BL109" s="33">
        <v>3584</v>
      </c>
      <c r="BM109" s="1">
        <v>3635</v>
      </c>
      <c r="BN109" s="1">
        <v>3617</v>
      </c>
      <c r="BO109" s="1">
        <v>3634</v>
      </c>
      <c r="BP109" s="1">
        <v>3637</v>
      </c>
    </row>
    <row r="110" spans="1:68" ht="15.9" customHeight="1">
      <c r="A110" s="68" t="s">
        <v>215</v>
      </c>
      <c r="B110" s="28" t="s">
        <v>216</v>
      </c>
      <c r="C110" s="42" t="str">
        <f>_xll.RssMarket("9069","高値")</f>
        <v/>
      </c>
      <c r="D110" s="41" t="e">
        <f t="shared" si="3"/>
        <v>#VALUE!</v>
      </c>
      <c r="E110" s="37">
        <v>2195</v>
      </c>
      <c r="F110" s="37">
        <v>2145</v>
      </c>
      <c r="G110" s="32">
        <v>2144</v>
      </c>
      <c r="H110" s="32">
        <v>2114</v>
      </c>
      <c r="I110" s="32">
        <v>2062.5</v>
      </c>
      <c r="J110" s="32">
        <v>2057.5</v>
      </c>
      <c r="K110" s="32">
        <v>2032.5</v>
      </c>
      <c r="L110" s="32">
        <v>2026.5</v>
      </c>
      <c r="M110" s="32">
        <v>2005</v>
      </c>
      <c r="N110" s="32">
        <v>1988</v>
      </c>
      <c r="O110" s="32">
        <v>1937.5</v>
      </c>
      <c r="P110" s="32">
        <v>1953</v>
      </c>
      <c r="Q110" s="32">
        <v>1966.5</v>
      </c>
      <c r="R110" s="32">
        <v>1953.5</v>
      </c>
      <c r="S110" s="32">
        <v>1924.5</v>
      </c>
      <c r="T110" s="32">
        <v>1917.5</v>
      </c>
      <c r="U110" s="32">
        <v>1905.5</v>
      </c>
      <c r="V110" s="32">
        <v>1906.5</v>
      </c>
      <c r="W110" s="32">
        <v>1911</v>
      </c>
      <c r="X110" s="32">
        <v>1902</v>
      </c>
      <c r="Y110" s="32">
        <v>1917</v>
      </c>
      <c r="Z110" s="32">
        <v>1952.5</v>
      </c>
      <c r="AA110" s="32">
        <v>1956.5</v>
      </c>
      <c r="AB110" s="32">
        <v>1993</v>
      </c>
      <c r="AC110" s="32">
        <v>1956</v>
      </c>
      <c r="AD110" s="32">
        <v>1961</v>
      </c>
      <c r="AE110" s="32">
        <v>1965.5</v>
      </c>
      <c r="AF110" s="32">
        <v>1959.5</v>
      </c>
      <c r="AG110" s="32">
        <v>1930</v>
      </c>
      <c r="AH110" s="32">
        <v>1912.5</v>
      </c>
      <c r="AI110" s="32">
        <v>1925</v>
      </c>
      <c r="AJ110" s="32">
        <v>1902.5</v>
      </c>
      <c r="AK110" s="32">
        <v>1942.5</v>
      </c>
      <c r="AL110" s="32">
        <v>1939</v>
      </c>
      <c r="AM110" s="32">
        <v>1932</v>
      </c>
      <c r="AN110" s="32">
        <v>1964</v>
      </c>
      <c r="AO110" s="32">
        <v>2034</v>
      </c>
      <c r="AP110" s="32">
        <v>2053</v>
      </c>
      <c r="AQ110" s="32">
        <v>2027</v>
      </c>
      <c r="AR110" s="32">
        <v>2044.5</v>
      </c>
      <c r="AS110" s="32">
        <v>2022.5</v>
      </c>
      <c r="AT110" s="32">
        <v>2056</v>
      </c>
      <c r="AU110" s="32">
        <v>2029</v>
      </c>
      <c r="AV110" s="32">
        <v>1864</v>
      </c>
      <c r="AW110" s="32">
        <v>1867</v>
      </c>
      <c r="AX110" s="32">
        <v>1868.5</v>
      </c>
      <c r="AY110" s="32">
        <v>1874</v>
      </c>
      <c r="AZ110" s="32">
        <v>1884</v>
      </c>
      <c r="BA110" s="32">
        <v>1855.5</v>
      </c>
      <c r="BB110" s="32">
        <v>1861</v>
      </c>
      <c r="BC110" s="32">
        <v>1868</v>
      </c>
      <c r="BD110" s="32">
        <v>1840</v>
      </c>
      <c r="BE110" s="32">
        <v>1887</v>
      </c>
      <c r="BF110" s="32">
        <v>1909</v>
      </c>
      <c r="BG110" s="32">
        <v>1915</v>
      </c>
      <c r="BH110" s="32">
        <v>1920</v>
      </c>
      <c r="BI110" s="32">
        <v>1908</v>
      </c>
      <c r="BJ110" s="32">
        <v>1922.5</v>
      </c>
      <c r="BK110" s="32">
        <v>1924</v>
      </c>
      <c r="BL110" s="33">
        <v>1927</v>
      </c>
      <c r="BM110" s="1">
        <v>1884.5</v>
      </c>
      <c r="BN110" s="1">
        <v>1898</v>
      </c>
      <c r="BO110" s="1">
        <v>1939</v>
      </c>
      <c r="BP110" s="1">
        <v>1933.5</v>
      </c>
    </row>
    <row r="111" spans="1:68" ht="15.9" customHeight="1">
      <c r="A111" s="68" t="s">
        <v>217</v>
      </c>
      <c r="B111" s="28" t="s">
        <v>218</v>
      </c>
      <c r="C111" s="42" t="str">
        <f>_xll.RssMarket("9227","高値")</f>
        <v/>
      </c>
      <c r="D111" s="41" t="e">
        <f t="shared" si="3"/>
        <v>#VALUE!</v>
      </c>
      <c r="E111" s="37">
        <v>811</v>
      </c>
      <c r="F111" s="37">
        <v>846</v>
      </c>
      <c r="G111" s="32">
        <v>888</v>
      </c>
      <c r="H111" s="32">
        <v>882</v>
      </c>
      <c r="I111" s="32">
        <v>902</v>
      </c>
      <c r="J111" s="32">
        <v>949</v>
      </c>
      <c r="K111" s="32">
        <v>989</v>
      </c>
      <c r="L111" s="32">
        <v>955</v>
      </c>
      <c r="M111" s="32">
        <v>942</v>
      </c>
      <c r="N111" s="32">
        <v>957</v>
      </c>
      <c r="O111" s="32">
        <v>963</v>
      </c>
      <c r="P111" s="32">
        <v>913</v>
      </c>
      <c r="Q111" s="32">
        <v>898</v>
      </c>
      <c r="R111" s="32">
        <v>902</v>
      </c>
      <c r="S111" s="32">
        <v>900</v>
      </c>
      <c r="T111" s="32">
        <v>902</v>
      </c>
      <c r="U111" s="32">
        <v>957</v>
      </c>
      <c r="V111" s="32">
        <v>917</v>
      </c>
      <c r="W111" s="32">
        <v>903</v>
      </c>
      <c r="X111" s="32">
        <v>896</v>
      </c>
      <c r="Y111" s="32">
        <v>906</v>
      </c>
      <c r="Z111" s="32">
        <v>936</v>
      </c>
      <c r="AA111" s="32">
        <v>890</v>
      </c>
      <c r="AB111" s="32">
        <v>878</v>
      </c>
      <c r="AC111" s="32">
        <v>920</v>
      </c>
      <c r="AD111" s="32">
        <v>928</v>
      </c>
      <c r="AE111" s="32">
        <v>944</v>
      </c>
      <c r="AF111" s="32">
        <v>912</v>
      </c>
      <c r="AG111" s="32">
        <v>940</v>
      </c>
      <c r="AH111" s="32">
        <v>960</v>
      </c>
      <c r="AI111" s="32">
        <v>1103</v>
      </c>
      <c r="AJ111" s="32">
        <v>1268</v>
      </c>
      <c r="AK111" s="32">
        <v>1415</v>
      </c>
      <c r="AL111" s="32">
        <v>1093</v>
      </c>
      <c r="AM111" s="32">
        <v>943</v>
      </c>
      <c r="AN111" s="32">
        <v>806</v>
      </c>
      <c r="AO111" s="32">
        <v>801</v>
      </c>
      <c r="AP111" s="32">
        <v>857</v>
      </c>
      <c r="AQ111" s="32">
        <v>840</v>
      </c>
      <c r="AR111" s="32">
        <v>855</v>
      </c>
      <c r="AS111" s="32">
        <v>854</v>
      </c>
      <c r="AT111" s="32">
        <v>876</v>
      </c>
      <c r="AU111" s="32">
        <v>1007</v>
      </c>
      <c r="AV111" s="32">
        <v>1015</v>
      </c>
      <c r="AW111" s="32">
        <v>1019</v>
      </c>
      <c r="AX111" s="32">
        <v>1047</v>
      </c>
      <c r="AY111" s="32">
        <v>1044</v>
      </c>
      <c r="AZ111" s="32">
        <v>1084</v>
      </c>
      <c r="BA111" s="32">
        <v>1125</v>
      </c>
      <c r="BB111" s="32">
        <v>1072</v>
      </c>
      <c r="BC111" s="32">
        <v>1121</v>
      </c>
      <c r="BD111" s="32">
        <v>1165</v>
      </c>
      <c r="BE111" s="32">
        <v>1180</v>
      </c>
      <c r="BF111" s="32">
        <v>1315</v>
      </c>
      <c r="BG111" s="32">
        <v>1244</v>
      </c>
      <c r="BH111" s="32">
        <v>1064</v>
      </c>
      <c r="BI111" s="32">
        <v>1078</v>
      </c>
      <c r="BJ111" s="32">
        <v>1048</v>
      </c>
      <c r="BK111" s="32">
        <v>1034</v>
      </c>
      <c r="BL111" s="33">
        <v>1000</v>
      </c>
      <c r="BM111" s="1">
        <v>984</v>
      </c>
      <c r="BN111" s="1">
        <v>1000</v>
      </c>
      <c r="BO111" s="1">
        <v>1000</v>
      </c>
    </row>
    <row r="112" spans="1:68" ht="15.9" customHeight="1">
      <c r="A112" s="68" t="s">
        <v>219</v>
      </c>
      <c r="B112" s="28" t="s">
        <v>220</v>
      </c>
      <c r="C112" s="42" t="str">
        <f>_xll.RssMarket("9348","高値")</f>
        <v/>
      </c>
      <c r="D112" s="41" t="e">
        <f t="shared" si="3"/>
        <v>#VALUE!</v>
      </c>
      <c r="E112" s="37">
        <v>417</v>
      </c>
      <c r="F112" s="37">
        <v>450</v>
      </c>
      <c r="G112" s="32">
        <v>443</v>
      </c>
      <c r="H112" s="32">
        <v>464</v>
      </c>
      <c r="I112" s="32">
        <v>500</v>
      </c>
      <c r="J112" s="32">
        <v>508</v>
      </c>
      <c r="K112" s="32">
        <v>437</v>
      </c>
      <c r="L112" s="32">
        <v>456</v>
      </c>
      <c r="M112" s="32">
        <v>458</v>
      </c>
      <c r="N112" s="32">
        <v>453</v>
      </c>
      <c r="O112" s="32">
        <v>448</v>
      </c>
      <c r="P112" s="32">
        <v>446</v>
      </c>
      <c r="Q112" s="32">
        <v>458</v>
      </c>
      <c r="R112" s="32">
        <v>442</v>
      </c>
      <c r="S112" s="32">
        <v>446</v>
      </c>
      <c r="T112" s="32">
        <v>451</v>
      </c>
      <c r="U112" s="32">
        <v>456</v>
      </c>
      <c r="V112" s="32">
        <v>465</v>
      </c>
      <c r="W112" s="32">
        <v>469</v>
      </c>
      <c r="X112" s="32">
        <v>482</v>
      </c>
      <c r="Y112" s="32">
        <v>494</v>
      </c>
      <c r="Z112" s="32">
        <v>512</v>
      </c>
      <c r="AA112" s="32">
        <v>550</v>
      </c>
      <c r="AB112" s="32">
        <v>603</v>
      </c>
      <c r="AC112" s="32">
        <v>581</v>
      </c>
      <c r="AD112" s="32">
        <v>589</v>
      </c>
      <c r="AE112" s="32">
        <v>611</v>
      </c>
      <c r="AF112" s="32">
        <v>633</v>
      </c>
      <c r="AG112" s="32">
        <v>584</v>
      </c>
      <c r="AH112" s="32">
        <v>605</v>
      </c>
      <c r="AI112" s="32">
        <v>589</v>
      </c>
      <c r="AJ112" s="32">
        <v>710</v>
      </c>
      <c r="AK112" s="32">
        <v>700</v>
      </c>
      <c r="AL112" s="32">
        <v>690</v>
      </c>
      <c r="AM112" s="32">
        <v>627</v>
      </c>
      <c r="AN112" s="32">
        <v>584</v>
      </c>
      <c r="AO112" s="32">
        <v>521</v>
      </c>
      <c r="AP112" s="32">
        <v>536</v>
      </c>
      <c r="AQ112" s="32">
        <v>541</v>
      </c>
      <c r="AR112" s="32">
        <v>506</v>
      </c>
      <c r="AS112" s="32">
        <v>522</v>
      </c>
      <c r="AT112" s="32">
        <v>518</v>
      </c>
      <c r="AU112" s="32">
        <v>498</v>
      </c>
      <c r="AV112" s="32">
        <v>511</v>
      </c>
      <c r="AW112" s="32">
        <v>520</v>
      </c>
      <c r="AX112" s="32">
        <v>504</v>
      </c>
      <c r="AY112" s="32">
        <v>489</v>
      </c>
      <c r="AZ112" s="32">
        <v>475</v>
      </c>
      <c r="BA112" s="32">
        <v>477</v>
      </c>
      <c r="BB112" s="32">
        <v>481</v>
      </c>
      <c r="BC112" s="32">
        <v>482</v>
      </c>
      <c r="BD112" s="32">
        <v>490</v>
      </c>
      <c r="BE112" s="32">
        <v>496</v>
      </c>
      <c r="BF112" s="32">
        <v>498</v>
      </c>
      <c r="BG112" s="32">
        <v>499</v>
      </c>
      <c r="BH112" s="32">
        <v>511</v>
      </c>
      <c r="BI112" s="32">
        <v>505</v>
      </c>
      <c r="BJ112" s="32">
        <v>518</v>
      </c>
      <c r="BK112" s="32">
        <v>522</v>
      </c>
      <c r="BL112" s="33">
        <v>514</v>
      </c>
      <c r="BM112" s="1">
        <v>521</v>
      </c>
      <c r="BN112" s="1">
        <v>529</v>
      </c>
      <c r="BO112" s="1">
        <v>467</v>
      </c>
      <c r="BP112" s="1">
        <v>457</v>
      </c>
    </row>
    <row r="113" spans="1:68" ht="15.9" customHeight="1">
      <c r="A113" s="68" t="s">
        <v>221</v>
      </c>
      <c r="B113" s="28" t="s">
        <v>222</v>
      </c>
      <c r="C113" s="42" t="str">
        <f>_xll.RssMarket("9449","高値")</f>
        <v/>
      </c>
      <c r="D113" s="41" t="e">
        <f t="shared" si="3"/>
        <v>#VALUE!</v>
      </c>
      <c r="E113" s="37">
        <v>4112</v>
      </c>
      <c r="F113" s="37">
        <v>4058</v>
      </c>
      <c r="G113" s="32">
        <v>4050</v>
      </c>
      <c r="H113" s="32">
        <v>3935</v>
      </c>
      <c r="I113" s="32">
        <v>4000</v>
      </c>
      <c r="J113" s="32">
        <v>3843</v>
      </c>
      <c r="K113" s="32">
        <v>3863</v>
      </c>
      <c r="L113" s="32">
        <v>3720</v>
      </c>
      <c r="M113" s="32">
        <v>3652</v>
      </c>
      <c r="N113" s="32">
        <v>3640</v>
      </c>
      <c r="O113" s="32">
        <v>3623</v>
      </c>
      <c r="P113" s="32">
        <v>3415</v>
      </c>
      <c r="Q113" s="32">
        <v>3424</v>
      </c>
      <c r="R113" s="32">
        <v>3503</v>
      </c>
      <c r="S113" s="32">
        <v>3298</v>
      </c>
      <c r="T113" s="32">
        <v>3263</v>
      </c>
      <c r="U113" s="32">
        <v>3285</v>
      </c>
      <c r="V113" s="32">
        <v>3535</v>
      </c>
      <c r="W113" s="32">
        <v>3576</v>
      </c>
      <c r="X113" s="32">
        <v>3112</v>
      </c>
      <c r="Y113" s="32">
        <v>3149</v>
      </c>
      <c r="Z113" s="32">
        <v>3128</v>
      </c>
      <c r="AA113" s="32">
        <v>3101</v>
      </c>
      <c r="AB113" s="32">
        <v>3137</v>
      </c>
      <c r="AC113" s="32">
        <v>3145</v>
      </c>
      <c r="AD113" s="32">
        <v>3180</v>
      </c>
      <c r="AE113" s="32">
        <v>3208</v>
      </c>
      <c r="AF113" s="32">
        <v>3196</v>
      </c>
      <c r="AG113" s="32">
        <v>3274</v>
      </c>
      <c r="AH113" s="32">
        <v>3332</v>
      </c>
      <c r="AI113" s="32">
        <v>3315</v>
      </c>
      <c r="AJ113" s="32">
        <v>3370</v>
      </c>
      <c r="AK113" s="32">
        <v>3416</v>
      </c>
      <c r="AL113" s="32">
        <v>3311</v>
      </c>
      <c r="AM113" s="32">
        <v>3401</v>
      </c>
      <c r="AN113" s="32">
        <v>3445</v>
      </c>
      <c r="AO113" s="32">
        <v>3431</v>
      </c>
      <c r="AP113" s="32">
        <v>3355</v>
      </c>
      <c r="AQ113" s="32">
        <v>3378</v>
      </c>
      <c r="AR113" s="32">
        <v>3367</v>
      </c>
      <c r="AS113" s="32">
        <v>3345</v>
      </c>
      <c r="AT113" s="32">
        <v>3154</v>
      </c>
      <c r="AU113" s="32">
        <v>3172</v>
      </c>
      <c r="AV113" s="32">
        <v>3205</v>
      </c>
      <c r="AW113" s="32">
        <v>3220</v>
      </c>
      <c r="AX113" s="32">
        <v>3216</v>
      </c>
      <c r="AY113" s="32">
        <v>3189</v>
      </c>
      <c r="AZ113" s="32">
        <v>3124</v>
      </c>
      <c r="BA113" s="32">
        <v>3068</v>
      </c>
      <c r="BB113" s="32">
        <v>3086</v>
      </c>
      <c r="BC113" s="32">
        <v>3143</v>
      </c>
      <c r="BD113" s="32">
        <v>3157</v>
      </c>
      <c r="BE113" s="32">
        <v>3166</v>
      </c>
      <c r="BF113" s="32">
        <v>3246</v>
      </c>
      <c r="BG113" s="32">
        <v>3343</v>
      </c>
      <c r="BH113" s="32">
        <v>3334</v>
      </c>
      <c r="BI113" s="32">
        <v>3287</v>
      </c>
      <c r="BJ113" s="32">
        <v>3306</v>
      </c>
      <c r="BK113" s="32">
        <v>3302</v>
      </c>
      <c r="BL113" s="33">
        <v>3099</v>
      </c>
      <c r="BM113" s="1">
        <v>3065</v>
      </c>
      <c r="BN113" s="1">
        <v>2980.5</v>
      </c>
      <c r="BO113" s="1">
        <v>3032</v>
      </c>
      <c r="BP113" s="1">
        <v>3122</v>
      </c>
    </row>
    <row r="114" spans="1:68" ht="15.9" customHeight="1">
      <c r="A114" s="68" t="s">
        <v>223</v>
      </c>
      <c r="B114" s="28" t="s">
        <v>224</v>
      </c>
      <c r="C114" s="42" t="str">
        <f>_xll.RssMarket("9501","高値")</f>
        <v/>
      </c>
      <c r="D114" s="41" t="e">
        <f t="shared" si="3"/>
        <v>#VALUE!</v>
      </c>
      <c r="E114" s="37">
        <v>507</v>
      </c>
      <c r="F114" s="37">
        <v>516.79999999999995</v>
      </c>
      <c r="G114" s="32">
        <v>509.7</v>
      </c>
      <c r="H114" s="32">
        <v>494.8</v>
      </c>
      <c r="I114" s="32">
        <v>497</v>
      </c>
      <c r="J114" s="32">
        <v>482.4</v>
      </c>
      <c r="K114" s="32">
        <v>484.4</v>
      </c>
      <c r="L114" s="32">
        <v>470.2</v>
      </c>
      <c r="M114" s="32">
        <v>475.5</v>
      </c>
      <c r="N114" s="32">
        <v>472.7</v>
      </c>
      <c r="O114" s="32">
        <v>464.1</v>
      </c>
      <c r="P114" s="32">
        <v>459</v>
      </c>
      <c r="Q114" s="32">
        <v>469.4</v>
      </c>
      <c r="R114" s="32">
        <v>477.2</v>
      </c>
      <c r="S114" s="32">
        <v>489</v>
      </c>
      <c r="T114" s="32">
        <v>477.7</v>
      </c>
      <c r="U114" s="32">
        <v>480.9</v>
      </c>
      <c r="V114" s="32">
        <v>524</v>
      </c>
      <c r="W114" s="32">
        <v>526</v>
      </c>
      <c r="X114" s="32">
        <v>516.79999999999995</v>
      </c>
      <c r="Y114" s="32">
        <v>523.5</v>
      </c>
      <c r="Z114" s="32">
        <v>530</v>
      </c>
      <c r="AA114" s="32">
        <v>536.6</v>
      </c>
      <c r="AB114" s="32">
        <v>511.6</v>
      </c>
      <c r="AC114" s="32">
        <v>509.3</v>
      </c>
      <c r="AD114" s="32">
        <v>524.20000000000005</v>
      </c>
      <c r="AE114" s="32">
        <v>536.29999999999995</v>
      </c>
      <c r="AF114" s="32">
        <v>555.6</v>
      </c>
      <c r="AG114" s="32">
        <v>571.5</v>
      </c>
      <c r="AH114" s="32">
        <v>580.70000000000005</v>
      </c>
      <c r="AI114" s="32">
        <v>565.70000000000005</v>
      </c>
      <c r="AJ114" s="32">
        <v>573.4</v>
      </c>
      <c r="AK114" s="32">
        <v>570.5</v>
      </c>
      <c r="AL114" s="32">
        <v>592.9</v>
      </c>
      <c r="AM114" s="32">
        <v>573.9</v>
      </c>
      <c r="AN114" s="32">
        <v>567.20000000000005</v>
      </c>
      <c r="AO114" s="32">
        <v>561.79999999999995</v>
      </c>
      <c r="AP114" s="32">
        <v>578</v>
      </c>
      <c r="AQ114" s="32">
        <v>592.9</v>
      </c>
      <c r="AR114" s="32">
        <v>598.29999999999995</v>
      </c>
      <c r="AS114" s="32">
        <v>615.79999999999995</v>
      </c>
      <c r="AT114" s="32">
        <v>631.9</v>
      </c>
      <c r="AU114" s="32">
        <v>642.4</v>
      </c>
      <c r="AV114" s="32">
        <v>663</v>
      </c>
      <c r="AW114" s="32">
        <v>654.9</v>
      </c>
      <c r="AX114" s="32">
        <v>632.79999999999995</v>
      </c>
      <c r="AY114" s="32">
        <v>627.79999999999995</v>
      </c>
      <c r="AZ114" s="32">
        <v>615.9</v>
      </c>
      <c r="BA114" s="32">
        <v>603.9</v>
      </c>
      <c r="BB114" s="32">
        <v>613.70000000000005</v>
      </c>
      <c r="BC114" s="32">
        <v>589.70000000000005</v>
      </c>
      <c r="BD114" s="32">
        <v>593.4</v>
      </c>
      <c r="BE114" s="32">
        <v>623</v>
      </c>
      <c r="BF114" s="32">
        <v>629.9</v>
      </c>
      <c r="BG114" s="32">
        <v>618.29999999999995</v>
      </c>
      <c r="BH114" s="32">
        <v>622</v>
      </c>
      <c r="BI114" s="32">
        <v>644.29999999999995</v>
      </c>
      <c r="BJ114" s="32">
        <v>639.9</v>
      </c>
      <c r="BK114" s="32">
        <v>660.9</v>
      </c>
      <c r="BL114" s="33">
        <v>657.4</v>
      </c>
      <c r="BM114" s="1">
        <v>660</v>
      </c>
      <c r="BN114" s="1">
        <v>701.2</v>
      </c>
      <c r="BO114" s="1">
        <v>662.6</v>
      </c>
      <c r="BP114" s="1">
        <v>650.79999999999995</v>
      </c>
    </row>
    <row r="115" spans="1:68" ht="15.9" customHeight="1">
      <c r="A115" s="68" t="s">
        <v>225</v>
      </c>
      <c r="B115" s="28" t="s">
        <v>226</v>
      </c>
      <c r="C115" s="42" t="str">
        <f>_xll.RssMarket("9531","高値")</f>
        <v/>
      </c>
      <c r="D115" s="41" t="e">
        <f t="shared" si="3"/>
        <v>#VALUE!</v>
      </c>
      <c r="E115" s="37">
        <v>6144</v>
      </c>
      <c r="F115" s="37">
        <v>6150</v>
      </c>
      <c r="G115" s="32">
        <v>6059</v>
      </c>
      <c r="H115" s="32">
        <v>6030</v>
      </c>
      <c r="I115" s="32">
        <v>6070</v>
      </c>
      <c r="J115" s="32">
        <v>6158</v>
      </c>
      <c r="K115" s="32">
        <v>6174</v>
      </c>
      <c r="L115" s="32">
        <v>6173</v>
      </c>
      <c r="M115" s="32">
        <v>6192</v>
      </c>
      <c r="N115" s="32">
        <v>6124</v>
      </c>
      <c r="O115" s="32">
        <v>6098</v>
      </c>
      <c r="P115" s="32">
        <v>6083</v>
      </c>
      <c r="Q115" s="32">
        <v>6227</v>
      </c>
      <c r="R115" s="32">
        <v>6201</v>
      </c>
      <c r="S115" s="32">
        <v>6112</v>
      </c>
      <c r="T115" s="32">
        <v>6147</v>
      </c>
      <c r="U115" s="32">
        <v>6196</v>
      </c>
      <c r="V115" s="32">
        <v>6205</v>
      </c>
      <c r="W115" s="32">
        <v>6251</v>
      </c>
      <c r="X115" s="32">
        <v>6208</v>
      </c>
      <c r="Y115" s="32">
        <v>6226</v>
      </c>
      <c r="Z115" s="32">
        <v>6300</v>
      </c>
      <c r="AA115" s="32">
        <v>6269</v>
      </c>
      <c r="AB115" s="32">
        <v>6382</v>
      </c>
      <c r="AC115" s="32">
        <v>6471</v>
      </c>
      <c r="AD115" s="32">
        <v>6395</v>
      </c>
      <c r="AE115" s="32">
        <v>6462</v>
      </c>
      <c r="AF115" s="32">
        <v>6319</v>
      </c>
      <c r="AG115" s="32">
        <v>6295</v>
      </c>
      <c r="AH115" s="32">
        <v>6365</v>
      </c>
      <c r="AI115" s="32">
        <v>6353</v>
      </c>
      <c r="AJ115" s="32">
        <v>6255</v>
      </c>
      <c r="AK115" s="32">
        <v>6432</v>
      </c>
      <c r="AL115" s="32">
        <v>6481</v>
      </c>
      <c r="AM115" s="32">
        <v>6536</v>
      </c>
      <c r="AN115" s="32">
        <v>6600</v>
      </c>
      <c r="AO115" s="32">
        <v>6698</v>
      </c>
      <c r="AP115" s="32">
        <v>6724</v>
      </c>
      <c r="AQ115" s="32">
        <v>6825</v>
      </c>
      <c r="AR115" s="32">
        <v>6765</v>
      </c>
      <c r="AS115" s="32">
        <v>6832</v>
      </c>
      <c r="AT115" s="32">
        <v>6779</v>
      </c>
      <c r="AU115" s="32">
        <v>6640</v>
      </c>
      <c r="AV115" s="32">
        <v>6702</v>
      </c>
      <c r="AW115" s="32">
        <v>6795</v>
      </c>
      <c r="AX115" s="32">
        <v>6747</v>
      </c>
      <c r="AY115" s="32">
        <v>6786</v>
      </c>
      <c r="AZ115" s="32">
        <v>6842</v>
      </c>
      <c r="BA115" s="32">
        <v>6753</v>
      </c>
      <c r="BB115" s="32">
        <v>6774</v>
      </c>
      <c r="BC115" s="32">
        <v>6979</v>
      </c>
      <c r="BD115" s="32">
        <v>6533</v>
      </c>
      <c r="BE115" s="32">
        <v>6552</v>
      </c>
      <c r="BF115" s="32">
        <v>6489</v>
      </c>
      <c r="BG115" s="32">
        <v>6596</v>
      </c>
      <c r="BH115" s="32">
        <v>6667</v>
      </c>
      <c r="BI115" s="32">
        <v>6924</v>
      </c>
      <c r="BJ115" s="32">
        <v>7128</v>
      </c>
      <c r="BK115" s="32">
        <v>7146</v>
      </c>
      <c r="BL115" s="33">
        <v>7072</v>
      </c>
      <c r="BM115" s="1">
        <v>7085</v>
      </c>
      <c r="BN115" s="1">
        <v>7286</v>
      </c>
      <c r="BO115" s="1">
        <v>7406</v>
      </c>
      <c r="BP115" s="1">
        <v>7426</v>
      </c>
    </row>
    <row r="116" spans="1:68" ht="15.9" customHeight="1">
      <c r="A116" s="68" t="s">
        <v>227</v>
      </c>
      <c r="B116" s="28" t="s">
        <v>228</v>
      </c>
      <c r="C116" s="42" t="str">
        <f>_xll.RssMarket("9882","高値")</f>
        <v/>
      </c>
      <c r="D116" s="41" t="e">
        <f t="shared" si="3"/>
        <v>#VALUE!</v>
      </c>
      <c r="E116" s="37">
        <v>1849</v>
      </c>
      <c r="F116" s="37">
        <v>1827</v>
      </c>
      <c r="G116" s="32">
        <v>1838</v>
      </c>
      <c r="H116" s="32">
        <v>1848</v>
      </c>
      <c r="I116" s="32">
        <v>1846</v>
      </c>
      <c r="J116" s="32">
        <v>1851</v>
      </c>
      <c r="K116" s="32">
        <v>1857</v>
      </c>
      <c r="L116" s="32">
        <v>1840</v>
      </c>
      <c r="M116" s="32">
        <v>1817</v>
      </c>
      <c r="N116" s="32">
        <v>1794</v>
      </c>
      <c r="O116" s="32">
        <v>1778</v>
      </c>
      <c r="P116" s="32">
        <v>1764</v>
      </c>
      <c r="Q116" s="32">
        <v>1774</v>
      </c>
      <c r="R116" s="32">
        <v>1787</v>
      </c>
      <c r="S116" s="32">
        <v>1776</v>
      </c>
      <c r="T116" s="32">
        <v>1783</v>
      </c>
      <c r="U116" s="32">
        <v>1757</v>
      </c>
      <c r="V116" s="32">
        <v>1764</v>
      </c>
      <c r="W116" s="32">
        <v>1770</v>
      </c>
      <c r="X116" s="32">
        <v>1773</v>
      </c>
      <c r="Y116" s="32">
        <v>1778</v>
      </c>
      <c r="Z116" s="32">
        <v>1757</v>
      </c>
      <c r="AA116" s="32">
        <v>1744</v>
      </c>
      <c r="AB116" s="32">
        <v>1748</v>
      </c>
      <c r="AC116" s="32">
        <v>1728</v>
      </c>
      <c r="AD116" s="32">
        <v>1733</v>
      </c>
      <c r="AE116" s="32">
        <v>1692</v>
      </c>
      <c r="AF116" s="32">
        <v>1675</v>
      </c>
      <c r="AG116" s="32">
        <v>1687</v>
      </c>
      <c r="AH116" s="32">
        <v>1688</v>
      </c>
      <c r="AI116" s="32">
        <v>1640</v>
      </c>
      <c r="AJ116" s="32">
        <v>1663</v>
      </c>
      <c r="AK116" s="32">
        <v>1637</v>
      </c>
      <c r="AL116" s="32">
        <v>1633</v>
      </c>
      <c r="AM116" s="32">
        <v>1627</v>
      </c>
      <c r="AN116" s="32">
        <v>1632</v>
      </c>
      <c r="AO116" s="32">
        <v>1650</v>
      </c>
      <c r="AP116" s="32">
        <v>1646</v>
      </c>
      <c r="AQ116" s="32">
        <v>1652</v>
      </c>
      <c r="AR116" s="32">
        <v>1649</v>
      </c>
      <c r="AS116" s="32">
        <v>1637</v>
      </c>
      <c r="AT116" s="32">
        <v>1629</v>
      </c>
      <c r="AU116" s="32">
        <v>1638</v>
      </c>
      <c r="AV116" s="32">
        <v>1670</v>
      </c>
      <c r="AW116" s="32">
        <v>1679</v>
      </c>
      <c r="AX116" s="32">
        <v>1510</v>
      </c>
      <c r="AY116" s="32">
        <v>1519</v>
      </c>
      <c r="AZ116" s="32">
        <v>1513</v>
      </c>
      <c r="BA116" s="32">
        <v>1521</v>
      </c>
      <c r="BB116" s="32">
        <v>1515</v>
      </c>
      <c r="BC116" s="32">
        <v>1521</v>
      </c>
      <c r="BD116" s="32">
        <v>1525</v>
      </c>
      <c r="BE116" s="32">
        <v>1534</v>
      </c>
      <c r="BF116" s="32">
        <v>1577</v>
      </c>
      <c r="BG116" s="32">
        <v>1579</v>
      </c>
      <c r="BH116" s="32">
        <v>1575</v>
      </c>
      <c r="BI116" s="32">
        <v>1564</v>
      </c>
      <c r="BJ116" s="32">
        <v>1570</v>
      </c>
      <c r="BK116" s="32">
        <v>1585</v>
      </c>
      <c r="BL116" s="33">
        <v>1580</v>
      </c>
      <c r="BM116" s="1">
        <v>1596</v>
      </c>
      <c r="BN116" s="1">
        <v>1612</v>
      </c>
      <c r="BO116" s="1">
        <v>1638</v>
      </c>
      <c r="BP116" s="1">
        <v>1635</v>
      </c>
    </row>
    <row r="117" spans="1:68" ht="15.9" customHeight="1">
      <c r="A117" s="68" t="s">
        <v>229</v>
      </c>
      <c r="B117" s="28" t="s">
        <v>230</v>
      </c>
      <c r="C117" s="42" t="str">
        <f>_xll.RssMarket("5838","高値")</f>
        <v/>
      </c>
      <c r="D117" s="41" t="e">
        <f t="shared" si="3"/>
        <v>#VALUE!</v>
      </c>
      <c r="E117" s="37">
        <v>5486</v>
      </c>
      <c r="F117" s="37">
        <v>5947</v>
      </c>
      <c r="G117" s="32">
        <v>5888</v>
      </c>
      <c r="H117" s="32">
        <v>5913</v>
      </c>
      <c r="I117" s="32">
        <v>5857</v>
      </c>
      <c r="J117" s="32">
        <v>5870</v>
      </c>
      <c r="K117" s="32">
        <v>5941</v>
      </c>
      <c r="L117" s="32">
        <v>5858</v>
      </c>
      <c r="M117" s="32">
        <v>5456</v>
      </c>
      <c r="N117" s="32">
        <v>5409</v>
      </c>
      <c r="O117" s="32">
        <v>5392</v>
      </c>
      <c r="P117" s="32">
        <v>5171</v>
      </c>
      <c r="Q117" s="32">
        <v>5313</v>
      </c>
      <c r="R117" s="32">
        <v>5111</v>
      </c>
      <c r="S117" s="32">
        <v>5077</v>
      </c>
      <c r="T117" s="32">
        <v>5035</v>
      </c>
      <c r="U117" s="32">
        <v>5104</v>
      </c>
      <c r="V117" s="32">
        <v>5224</v>
      </c>
      <c r="W117" s="32">
        <v>5148</v>
      </c>
      <c r="X117" s="32">
        <v>5286</v>
      </c>
      <c r="Y117" s="32">
        <v>5356</v>
      </c>
      <c r="Z117" s="32">
        <v>5311</v>
      </c>
      <c r="AA117" s="32">
        <v>5335</v>
      </c>
      <c r="AB117" s="32">
        <v>5416</v>
      </c>
      <c r="AC117" s="32">
        <v>5279</v>
      </c>
      <c r="AD117" s="32">
        <v>5218</v>
      </c>
      <c r="AE117" s="32">
        <v>5154</v>
      </c>
      <c r="AF117" s="32">
        <v>4980</v>
      </c>
      <c r="AG117" s="32">
        <v>5174</v>
      </c>
      <c r="AH117" s="32">
        <v>5060</v>
      </c>
      <c r="AI117" s="32">
        <v>4965</v>
      </c>
      <c r="AJ117" s="32">
        <v>4575</v>
      </c>
      <c r="AK117" s="32">
        <v>4938</v>
      </c>
      <c r="AL117" s="32">
        <v>4907</v>
      </c>
      <c r="AM117" s="32">
        <v>4965</v>
      </c>
      <c r="AN117" s="32">
        <v>5110</v>
      </c>
      <c r="AO117" s="32">
        <v>5350</v>
      </c>
      <c r="AP117" s="32">
        <v>5642</v>
      </c>
      <c r="AQ117" s="32">
        <v>6896</v>
      </c>
      <c r="AR117" s="32">
        <v>7026</v>
      </c>
      <c r="AS117" s="32">
        <v>6665</v>
      </c>
      <c r="AT117" s="32">
        <v>6078</v>
      </c>
      <c r="AU117" s="32">
        <v>6204</v>
      </c>
      <c r="AV117" s="32">
        <v>6219</v>
      </c>
      <c r="AW117" s="32">
        <v>6422</v>
      </c>
      <c r="AX117" s="32">
        <v>6341</v>
      </c>
      <c r="AY117" s="32">
        <v>6327</v>
      </c>
      <c r="AZ117" s="32">
        <v>6380</v>
      </c>
      <c r="BA117" s="32">
        <v>6345</v>
      </c>
      <c r="BB117" s="32">
        <v>6386</v>
      </c>
      <c r="BC117" s="32">
        <v>6439</v>
      </c>
      <c r="BD117" s="32">
        <v>6194</v>
      </c>
      <c r="BE117" s="32">
        <v>6231</v>
      </c>
      <c r="BF117" s="32">
        <v>6290</v>
      </c>
      <c r="BG117" s="32">
        <v>6308</v>
      </c>
      <c r="BH117" s="32">
        <v>6490</v>
      </c>
      <c r="BI117" s="32">
        <v>6582</v>
      </c>
      <c r="BJ117" s="32">
        <v>6746</v>
      </c>
      <c r="BK117" s="32">
        <v>6799</v>
      </c>
      <c r="BL117" s="33">
        <v>6838</v>
      </c>
      <c r="BM117" s="1">
        <v>6880</v>
      </c>
      <c r="BN117" s="1">
        <v>6854</v>
      </c>
      <c r="BO117" s="1">
        <v>6865</v>
      </c>
      <c r="BP117" s="1">
        <v>6755</v>
      </c>
    </row>
    <row r="118" spans="1:68" ht="15.9" customHeight="1">
      <c r="A118" s="68" t="s">
        <v>231</v>
      </c>
      <c r="B118" s="28" t="s">
        <v>232</v>
      </c>
      <c r="C118" s="42" t="str">
        <f>_xll.RssMarket("5844","高値")</f>
        <v/>
      </c>
      <c r="D118" s="41" t="e">
        <f t="shared" si="3"/>
        <v>#VALUE!</v>
      </c>
      <c r="E118" s="37">
        <v>4630</v>
      </c>
      <c r="F118" s="37">
        <v>4780</v>
      </c>
      <c r="G118" s="32">
        <v>4704</v>
      </c>
      <c r="H118" s="32">
        <v>4729</v>
      </c>
      <c r="I118" s="32">
        <v>4783</v>
      </c>
      <c r="J118" s="32">
        <v>4798</v>
      </c>
      <c r="K118" s="32">
        <v>4817</v>
      </c>
      <c r="L118" s="32">
        <v>4890</v>
      </c>
      <c r="M118" s="32">
        <v>4805</v>
      </c>
      <c r="N118" s="32">
        <v>4729</v>
      </c>
      <c r="O118" s="32">
        <v>4665</v>
      </c>
      <c r="P118" s="32">
        <v>4603</v>
      </c>
      <c r="Q118" s="32">
        <v>4548</v>
      </c>
      <c r="R118" s="32">
        <v>4526</v>
      </c>
      <c r="S118" s="32">
        <v>4581</v>
      </c>
      <c r="T118" s="32">
        <v>4590</v>
      </c>
      <c r="U118" s="32">
        <v>4660</v>
      </c>
      <c r="V118" s="32">
        <v>4812</v>
      </c>
      <c r="W118" s="32">
        <v>4882</v>
      </c>
      <c r="X118" s="32">
        <v>4808</v>
      </c>
      <c r="Y118" s="32">
        <v>4668</v>
      </c>
      <c r="Z118" s="32">
        <v>4733</v>
      </c>
      <c r="AA118" s="32">
        <v>4669</v>
      </c>
      <c r="AB118" s="32">
        <v>4583</v>
      </c>
      <c r="AC118" s="32">
        <v>4529</v>
      </c>
      <c r="AD118" s="32">
        <v>4498</v>
      </c>
      <c r="AE118" s="32">
        <v>4755</v>
      </c>
      <c r="AF118" s="32">
        <v>4612</v>
      </c>
      <c r="AG118" s="32">
        <v>4694</v>
      </c>
      <c r="AH118" s="32">
        <v>4527</v>
      </c>
      <c r="AI118" s="32">
        <v>4396</v>
      </c>
      <c r="AJ118" s="32">
        <v>4384</v>
      </c>
      <c r="AK118" s="32">
        <v>4484</v>
      </c>
      <c r="AL118" s="32">
        <v>4540</v>
      </c>
      <c r="AM118" s="32">
        <v>4530</v>
      </c>
      <c r="AN118" s="32">
        <v>4605</v>
      </c>
      <c r="AO118" s="32">
        <v>4519</v>
      </c>
      <c r="AP118" s="32">
        <v>4547</v>
      </c>
      <c r="AQ118" s="32">
        <v>4494</v>
      </c>
      <c r="AR118" s="32">
        <v>4453</v>
      </c>
      <c r="AS118" s="32">
        <v>4428</v>
      </c>
      <c r="AT118" s="32">
        <v>4534</v>
      </c>
      <c r="AU118" s="32">
        <v>4483</v>
      </c>
      <c r="AV118" s="32">
        <v>4491</v>
      </c>
      <c r="AW118" s="32">
        <v>4467</v>
      </c>
      <c r="AX118" s="32">
        <v>4441</v>
      </c>
      <c r="AY118" s="32">
        <v>4420</v>
      </c>
      <c r="AZ118" s="32">
        <v>4521</v>
      </c>
      <c r="BA118" s="32">
        <v>4402</v>
      </c>
      <c r="BB118" s="32">
        <v>4344</v>
      </c>
      <c r="BC118" s="32">
        <v>4362</v>
      </c>
      <c r="BD118" s="32">
        <v>4231</v>
      </c>
      <c r="BE118" s="32">
        <v>4327</v>
      </c>
      <c r="BF118" s="32">
        <v>4280</v>
      </c>
      <c r="BG118" s="32">
        <v>4367</v>
      </c>
      <c r="BH118" s="32">
        <v>4384</v>
      </c>
      <c r="BI118" s="32">
        <v>4459</v>
      </c>
      <c r="BJ118" s="32">
        <v>4435</v>
      </c>
      <c r="BK118" s="32">
        <v>4467</v>
      </c>
      <c r="BL118" s="33">
        <v>4421</v>
      </c>
      <c r="BM118" s="1">
        <v>4418</v>
      </c>
      <c r="BN118" s="1">
        <v>4387</v>
      </c>
      <c r="BO118" s="1">
        <v>4472</v>
      </c>
      <c r="BP118" s="1">
        <v>4506</v>
      </c>
    </row>
    <row r="119" spans="1:68" ht="15.9" customHeight="1">
      <c r="A119" s="68" t="s">
        <v>233</v>
      </c>
      <c r="B119" s="28" t="s">
        <v>234</v>
      </c>
      <c r="C119" s="42" t="str">
        <f>_xll.RssMarket("9404","高値")</f>
        <v/>
      </c>
      <c r="D119" s="41" t="e">
        <f t="shared" si="3"/>
        <v>#VALUE!</v>
      </c>
      <c r="E119" s="37">
        <v>2967</v>
      </c>
      <c r="F119" s="37">
        <v>2900</v>
      </c>
      <c r="G119" s="32">
        <v>2925.5</v>
      </c>
      <c r="H119" s="32">
        <v>2917</v>
      </c>
      <c r="I119" s="32">
        <v>2931.5</v>
      </c>
      <c r="J119" s="32">
        <v>2926</v>
      </c>
      <c r="K119" s="32">
        <v>2989.5</v>
      </c>
      <c r="L119" s="32">
        <v>2946</v>
      </c>
      <c r="M119" s="32">
        <v>2902.5</v>
      </c>
      <c r="N119" s="32">
        <v>2940</v>
      </c>
      <c r="O119" s="32">
        <v>2922.5</v>
      </c>
      <c r="P119" s="32">
        <v>2830</v>
      </c>
      <c r="Q119" s="32">
        <v>2820</v>
      </c>
      <c r="R119" s="32">
        <v>2755</v>
      </c>
      <c r="S119" s="32">
        <v>2725</v>
      </c>
      <c r="T119" s="32">
        <v>2745</v>
      </c>
      <c r="U119" s="32">
        <v>2750</v>
      </c>
      <c r="V119" s="32">
        <v>2762</v>
      </c>
      <c r="W119" s="32">
        <v>2787</v>
      </c>
      <c r="X119" s="32">
        <v>2847.5</v>
      </c>
      <c r="Y119" s="32">
        <v>2875.5</v>
      </c>
      <c r="Z119" s="32">
        <v>2900</v>
      </c>
      <c r="AA119" s="32">
        <v>2884</v>
      </c>
      <c r="AB119" s="32">
        <v>2856.5</v>
      </c>
      <c r="AC119" s="32">
        <v>2871.5</v>
      </c>
      <c r="AD119" s="32">
        <v>2914.5</v>
      </c>
      <c r="AE119" s="32">
        <v>2904.5</v>
      </c>
      <c r="AF119" s="32">
        <v>2897</v>
      </c>
      <c r="AG119" s="32">
        <v>2888</v>
      </c>
      <c r="AH119" s="32">
        <v>2800</v>
      </c>
      <c r="AI119" s="32">
        <v>2794</v>
      </c>
      <c r="AJ119" s="32">
        <v>2820</v>
      </c>
      <c r="AK119" s="32">
        <v>2888.5</v>
      </c>
      <c r="AL119" s="32">
        <v>2883</v>
      </c>
      <c r="AM119" s="32">
        <v>2887</v>
      </c>
      <c r="AN119" s="32">
        <v>2919.5</v>
      </c>
      <c r="AO119" s="32">
        <v>2933.5</v>
      </c>
      <c r="AP119" s="32">
        <v>2983.5</v>
      </c>
      <c r="AQ119" s="32">
        <v>2982.5</v>
      </c>
      <c r="AR119" s="32">
        <v>2959.5</v>
      </c>
      <c r="AS119" s="32">
        <v>2949.5</v>
      </c>
      <c r="AT119" s="32">
        <v>2941</v>
      </c>
      <c r="AU119" s="32">
        <v>2944</v>
      </c>
      <c r="AV119" s="32">
        <v>2996.5</v>
      </c>
      <c r="AW119" s="32">
        <v>2957.5</v>
      </c>
      <c r="AX119" s="32">
        <v>2976.5</v>
      </c>
      <c r="AY119" s="32">
        <v>3019</v>
      </c>
      <c r="AZ119" s="32">
        <v>3006</v>
      </c>
      <c r="BA119" s="32">
        <v>3005</v>
      </c>
      <c r="BB119" s="32">
        <v>2994.5</v>
      </c>
      <c r="BC119" s="32">
        <v>3045</v>
      </c>
      <c r="BD119" s="32">
        <v>3059</v>
      </c>
      <c r="BE119" s="32">
        <v>2992.5</v>
      </c>
      <c r="BF119" s="32">
        <v>3058</v>
      </c>
      <c r="BG119" s="32">
        <v>3152</v>
      </c>
      <c r="BH119" s="32">
        <v>3177</v>
      </c>
      <c r="BI119" s="32">
        <v>3220</v>
      </c>
      <c r="BJ119" s="32">
        <v>3202</v>
      </c>
      <c r="BK119" s="32">
        <v>3199</v>
      </c>
      <c r="BL119" s="33">
        <v>3196</v>
      </c>
      <c r="BM119" s="1">
        <v>3174</v>
      </c>
      <c r="BN119" s="1">
        <v>3139</v>
      </c>
      <c r="BO119" s="1">
        <v>3175</v>
      </c>
      <c r="BP119" s="1">
        <v>3198</v>
      </c>
    </row>
    <row r="120" spans="1:68" ht="15.9" customHeight="1">
      <c r="A120" s="68" t="s">
        <v>235</v>
      </c>
      <c r="B120" s="28" t="s">
        <v>236</v>
      </c>
      <c r="C120" s="42" t="str">
        <f>_xll.RssMarket("6744","高値")</f>
        <v/>
      </c>
      <c r="D120" s="41" t="e">
        <f t="shared" si="3"/>
        <v>#VALUE!</v>
      </c>
      <c r="E120" s="37">
        <v>4265</v>
      </c>
      <c r="F120" s="37">
        <v>4350</v>
      </c>
      <c r="G120" s="32">
        <v>4295</v>
      </c>
      <c r="H120" s="32">
        <v>4355</v>
      </c>
      <c r="I120" s="32">
        <v>4370</v>
      </c>
      <c r="J120" s="32">
        <v>4345</v>
      </c>
      <c r="K120" s="32">
        <v>4410</v>
      </c>
      <c r="L120" s="32">
        <v>4525</v>
      </c>
      <c r="M120" s="32">
        <v>4415</v>
      </c>
      <c r="N120" s="32">
        <v>4435</v>
      </c>
      <c r="O120" s="32">
        <v>4200</v>
      </c>
      <c r="P120" s="32">
        <v>4125</v>
      </c>
      <c r="Q120" s="32">
        <v>4210</v>
      </c>
      <c r="R120" s="32">
        <v>4180</v>
      </c>
      <c r="S120" s="32">
        <v>4135</v>
      </c>
      <c r="T120" s="32">
        <v>4215</v>
      </c>
      <c r="U120" s="32">
        <v>4245</v>
      </c>
      <c r="V120" s="32">
        <v>4265</v>
      </c>
      <c r="W120" s="32">
        <v>4285</v>
      </c>
      <c r="X120" s="32">
        <v>4295</v>
      </c>
      <c r="Y120" s="32">
        <v>4275</v>
      </c>
      <c r="Z120" s="32">
        <v>4230</v>
      </c>
      <c r="AA120" s="32">
        <v>4225</v>
      </c>
      <c r="AB120" s="32">
        <v>4330</v>
      </c>
      <c r="AC120" s="32">
        <v>4275</v>
      </c>
      <c r="AD120" s="32">
        <v>4290</v>
      </c>
      <c r="AE120" s="32">
        <v>4385</v>
      </c>
      <c r="AF120" s="32">
        <v>4420</v>
      </c>
      <c r="AG120" s="32">
        <v>4590</v>
      </c>
      <c r="AH120" s="32">
        <v>4725</v>
      </c>
      <c r="AI120" s="32">
        <v>4685</v>
      </c>
      <c r="AJ120" s="32">
        <v>4940</v>
      </c>
      <c r="AK120" s="32">
        <v>4840</v>
      </c>
      <c r="AL120" s="32">
        <v>5000</v>
      </c>
      <c r="AM120" s="32">
        <v>4875</v>
      </c>
      <c r="AN120" s="32">
        <v>4670</v>
      </c>
      <c r="AO120" s="32">
        <v>4675</v>
      </c>
      <c r="AP120" s="32">
        <v>4615</v>
      </c>
      <c r="AQ120" s="32">
        <v>4800</v>
      </c>
      <c r="AR120" s="32">
        <v>4725</v>
      </c>
      <c r="AS120" s="32">
        <v>4815</v>
      </c>
      <c r="AT120" s="32">
        <v>4600</v>
      </c>
      <c r="AU120" s="32">
        <v>4395</v>
      </c>
      <c r="AV120" s="32">
        <v>4450</v>
      </c>
      <c r="AW120" s="32">
        <v>4490</v>
      </c>
      <c r="AX120" s="32">
        <v>4360</v>
      </c>
      <c r="AY120" s="32">
        <v>4420</v>
      </c>
      <c r="AZ120" s="32">
        <v>4325</v>
      </c>
      <c r="BA120" s="32">
        <v>4130</v>
      </c>
      <c r="BB120" s="32">
        <v>4055</v>
      </c>
      <c r="BC120" s="32">
        <v>4000</v>
      </c>
      <c r="BD120" s="32">
        <v>3965</v>
      </c>
      <c r="BE120" s="32">
        <v>4000</v>
      </c>
      <c r="BF120" s="32">
        <v>4040</v>
      </c>
      <c r="BG120" s="32">
        <v>4115</v>
      </c>
      <c r="BH120" s="32">
        <v>4140</v>
      </c>
      <c r="BI120" s="32">
        <v>4210</v>
      </c>
      <c r="BJ120" s="32">
        <v>4280</v>
      </c>
      <c r="BK120" s="32">
        <v>4440</v>
      </c>
      <c r="BL120" s="33">
        <v>4440</v>
      </c>
      <c r="BM120" s="1">
        <v>4425</v>
      </c>
      <c r="BN120" s="1">
        <v>4430</v>
      </c>
      <c r="BO120" s="1">
        <v>4440</v>
      </c>
      <c r="BP120" s="1">
        <v>4425</v>
      </c>
    </row>
    <row r="121" spans="1:68" ht="15.9" customHeight="1">
      <c r="A121" s="68" t="s">
        <v>237</v>
      </c>
      <c r="B121" s="28" t="s">
        <v>238</v>
      </c>
      <c r="C121" s="42" t="str">
        <f>_xll.RssMarket("7685","高値")</f>
        <v/>
      </c>
      <c r="D121" s="41" t="e">
        <f t="shared" si="3"/>
        <v>#VALUE!</v>
      </c>
      <c r="E121" s="37">
        <v>3555</v>
      </c>
      <c r="F121" s="37">
        <v>3595</v>
      </c>
      <c r="G121" s="32">
        <v>3540</v>
      </c>
      <c r="H121" s="32">
        <v>3620</v>
      </c>
      <c r="I121" s="32">
        <v>3595</v>
      </c>
      <c r="J121" s="32">
        <v>3705</v>
      </c>
      <c r="K121" s="32">
        <v>3690</v>
      </c>
      <c r="L121" s="32">
        <v>3620</v>
      </c>
      <c r="M121" s="32">
        <v>3600</v>
      </c>
      <c r="N121" s="32">
        <v>3695</v>
      </c>
      <c r="O121" s="32">
        <v>3475</v>
      </c>
      <c r="P121" s="32">
        <v>3415</v>
      </c>
      <c r="Q121" s="32">
        <v>3345</v>
      </c>
      <c r="R121" s="32">
        <v>3490</v>
      </c>
      <c r="S121" s="32">
        <v>3420</v>
      </c>
      <c r="T121" s="32">
        <v>3715</v>
      </c>
      <c r="U121" s="32">
        <v>3770</v>
      </c>
      <c r="V121" s="32">
        <v>3745</v>
      </c>
      <c r="W121" s="32">
        <v>3510</v>
      </c>
      <c r="X121" s="32">
        <v>3595</v>
      </c>
      <c r="Y121" s="32">
        <v>3670</v>
      </c>
      <c r="Z121" s="32">
        <v>3725</v>
      </c>
      <c r="AA121" s="32">
        <v>3740</v>
      </c>
      <c r="AB121" s="32">
        <v>3770</v>
      </c>
      <c r="AC121" s="32">
        <v>3935</v>
      </c>
      <c r="AD121" s="32">
        <v>3850</v>
      </c>
      <c r="AE121" s="32">
        <v>4035</v>
      </c>
      <c r="AF121" s="32">
        <v>3715</v>
      </c>
      <c r="AG121" s="32">
        <v>3790</v>
      </c>
      <c r="AH121" s="32">
        <v>3870</v>
      </c>
      <c r="AI121" s="32">
        <v>3975</v>
      </c>
      <c r="AJ121" s="32">
        <v>4085</v>
      </c>
      <c r="AK121" s="32">
        <v>4155</v>
      </c>
      <c r="AL121" s="32">
        <v>4025</v>
      </c>
      <c r="AM121" s="32">
        <v>3995</v>
      </c>
      <c r="AN121" s="32">
        <v>3855</v>
      </c>
      <c r="AO121" s="32">
        <v>3840</v>
      </c>
      <c r="AP121" s="32">
        <v>3700</v>
      </c>
      <c r="AQ121" s="32">
        <v>3875</v>
      </c>
      <c r="AR121" s="32">
        <v>3770</v>
      </c>
      <c r="AS121" s="32">
        <v>3475</v>
      </c>
      <c r="AT121" s="32">
        <v>3700</v>
      </c>
      <c r="AU121" s="32">
        <v>3500</v>
      </c>
      <c r="AV121" s="32">
        <v>3345</v>
      </c>
      <c r="AW121" s="32">
        <v>3340</v>
      </c>
      <c r="AX121" s="32">
        <v>3445</v>
      </c>
      <c r="AY121" s="32">
        <v>3290</v>
      </c>
      <c r="AZ121" s="32">
        <v>3205</v>
      </c>
      <c r="BA121" s="32">
        <v>3300</v>
      </c>
      <c r="BB121" s="32">
        <v>3385</v>
      </c>
      <c r="BC121" s="32">
        <v>3225</v>
      </c>
      <c r="BD121" s="32">
        <v>3190</v>
      </c>
      <c r="BE121" s="32">
        <v>3255</v>
      </c>
      <c r="BF121" s="32">
        <v>3345</v>
      </c>
      <c r="BG121" s="32">
        <v>3470</v>
      </c>
      <c r="BH121" s="32">
        <v>3500</v>
      </c>
      <c r="BI121" s="32">
        <v>3510</v>
      </c>
      <c r="BJ121" s="32">
        <v>3660</v>
      </c>
      <c r="BK121" s="32">
        <v>3700</v>
      </c>
      <c r="BL121" s="33">
        <v>3680</v>
      </c>
      <c r="BM121" s="1">
        <v>3580</v>
      </c>
      <c r="BN121" s="1">
        <v>3525</v>
      </c>
      <c r="BO121" s="1">
        <v>3470</v>
      </c>
      <c r="BP121" s="1">
        <v>3500</v>
      </c>
    </row>
    <row r="122" spans="1:68" ht="15.9" customHeight="1">
      <c r="A122" s="68" t="s">
        <v>239</v>
      </c>
      <c r="B122" s="28" t="s">
        <v>240</v>
      </c>
      <c r="C122" s="42" t="str">
        <f>_xll.RssMarket("8334","高値")</f>
        <v/>
      </c>
      <c r="D122" s="41" t="e">
        <f t="shared" si="3"/>
        <v>#VALUE!</v>
      </c>
      <c r="E122" s="37">
        <v>2629.5</v>
      </c>
      <c r="F122" s="37">
        <v>2625</v>
      </c>
      <c r="G122" s="32">
        <v>2567.5</v>
      </c>
      <c r="H122" s="32">
        <v>2552</v>
      </c>
      <c r="I122" s="32">
        <v>2533.5</v>
      </c>
      <c r="J122" s="32">
        <v>2545</v>
      </c>
      <c r="K122" s="32">
        <v>2520</v>
      </c>
      <c r="L122" s="32">
        <v>2523</v>
      </c>
      <c r="M122" s="32">
        <v>2481.5</v>
      </c>
      <c r="N122" s="32">
        <v>2454</v>
      </c>
      <c r="O122" s="32">
        <v>2432.5</v>
      </c>
      <c r="P122" s="32">
        <v>2374.5</v>
      </c>
      <c r="Q122" s="32">
        <v>2369</v>
      </c>
      <c r="R122" s="32">
        <v>2358.5</v>
      </c>
      <c r="S122" s="32">
        <v>2346</v>
      </c>
      <c r="T122" s="32">
        <v>2330</v>
      </c>
      <c r="U122" s="32">
        <v>2347</v>
      </c>
      <c r="V122" s="32">
        <v>2351</v>
      </c>
      <c r="W122" s="32">
        <v>2357.5</v>
      </c>
      <c r="X122" s="32">
        <v>2342</v>
      </c>
      <c r="Y122" s="32">
        <v>2346</v>
      </c>
      <c r="Z122" s="32">
        <v>2384</v>
      </c>
      <c r="AA122" s="32">
        <v>2333.5</v>
      </c>
      <c r="AB122" s="32">
        <v>2425</v>
      </c>
      <c r="AC122" s="32">
        <v>2364</v>
      </c>
      <c r="AD122" s="32">
        <v>2329</v>
      </c>
      <c r="AE122" s="32">
        <v>2403</v>
      </c>
      <c r="AF122" s="32">
        <v>2265.5</v>
      </c>
      <c r="AG122" s="32">
        <v>2300</v>
      </c>
      <c r="AH122" s="32">
        <v>2260</v>
      </c>
      <c r="AI122" s="32">
        <v>2199</v>
      </c>
      <c r="AJ122" s="32">
        <v>2177.5</v>
      </c>
      <c r="AK122" s="32">
        <v>2284</v>
      </c>
      <c r="AL122" s="32">
        <v>2279.5</v>
      </c>
      <c r="AM122" s="32">
        <v>2291</v>
      </c>
      <c r="AN122" s="32">
        <v>2336</v>
      </c>
      <c r="AO122" s="32">
        <v>2375</v>
      </c>
      <c r="AP122" s="32">
        <v>2392</v>
      </c>
      <c r="AQ122" s="32">
        <v>2332.5</v>
      </c>
      <c r="AR122" s="32">
        <v>2323</v>
      </c>
      <c r="AS122" s="32">
        <v>2269</v>
      </c>
      <c r="AT122" s="32">
        <v>2234.5</v>
      </c>
      <c r="AU122" s="32">
        <v>2209</v>
      </c>
      <c r="AV122" s="32">
        <v>2221</v>
      </c>
      <c r="AW122" s="32">
        <v>2232</v>
      </c>
      <c r="AX122" s="32">
        <v>2240</v>
      </c>
      <c r="AY122" s="32">
        <v>2204.5</v>
      </c>
      <c r="AZ122" s="32">
        <v>2247</v>
      </c>
      <c r="BA122" s="32">
        <v>2165</v>
      </c>
      <c r="BB122" s="32">
        <v>2200</v>
      </c>
      <c r="BC122" s="32">
        <v>2215.5</v>
      </c>
      <c r="BD122" s="32">
        <v>2026.5</v>
      </c>
      <c r="BE122" s="32">
        <v>2060.5</v>
      </c>
      <c r="BF122" s="32">
        <v>2054</v>
      </c>
      <c r="BG122" s="32">
        <v>2135</v>
      </c>
      <c r="BH122" s="32">
        <v>2195</v>
      </c>
      <c r="BI122" s="32">
        <v>2265</v>
      </c>
      <c r="BJ122" s="32">
        <v>2272</v>
      </c>
      <c r="BK122" s="32">
        <v>2295</v>
      </c>
      <c r="BL122" s="33">
        <v>2292.5</v>
      </c>
      <c r="BM122" s="1">
        <v>2292.5</v>
      </c>
      <c r="BN122" s="1">
        <v>2304</v>
      </c>
      <c r="BO122" s="1">
        <v>2338.5</v>
      </c>
      <c r="BP122" s="1">
        <v>2325</v>
      </c>
    </row>
    <row r="123" spans="1:68" ht="15.9" customHeight="1">
      <c r="A123" s="68" t="s">
        <v>241</v>
      </c>
      <c r="B123" s="28" t="s">
        <v>242</v>
      </c>
      <c r="C123" s="42" t="str">
        <f>_xll.RssMarket("8359","高値")</f>
        <v/>
      </c>
      <c r="D123" s="41" t="e">
        <f t="shared" si="3"/>
        <v>#VALUE!</v>
      </c>
      <c r="E123" s="37">
        <v>2621</v>
      </c>
      <c r="F123" s="37">
        <v>2638.5</v>
      </c>
      <c r="G123" s="32">
        <v>2590</v>
      </c>
      <c r="H123" s="32">
        <v>2613</v>
      </c>
      <c r="I123" s="32">
        <v>2621.5</v>
      </c>
      <c r="J123" s="32">
        <v>2580</v>
      </c>
      <c r="K123" s="32">
        <v>2609</v>
      </c>
      <c r="L123" s="32">
        <v>2640</v>
      </c>
      <c r="M123" s="32">
        <v>2553.5</v>
      </c>
      <c r="N123" s="32">
        <v>2536.5</v>
      </c>
      <c r="O123" s="32">
        <v>2491</v>
      </c>
      <c r="P123" s="32">
        <v>2423</v>
      </c>
      <c r="Q123" s="32">
        <v>2424</v>
      </c>
      <c r="R123" s="32">
        <v>2423.5</v>
      </c>
      <c r="S123" s="32">
        <v>2400.5</v>
      </c>
      <c r="T123" s="32">
        <v>2389.5</v>
      </c>
      <c r="U123" s="32">
        <v>2412.5</v>
      </c>
      <c r="V123" s="32">
        <v>2427.5</v>
      </c>
      <c r="W123" s="32">
        <v>2412.5</v>
      </c>
      <c r="X123" s="32">
        <v>2354.5</v>
      </c>
      <c r="Y123" s="32">
        <v>2357</v>
      </c>
      <c r="Z123" s="32">
        <v>2397</v>
      </c>
      <c r="AA123" s="32">
        <v>2360.5</v>
      </c>
      <c r="AB123" s="32">
        <v>2465</v>
      </c>
      <c r="AC123" s="32">
        <v>2379.5</v>
      </c>
      <c r="AD123" s="32">
        <v>2354.5</v>
      </c>
      <c r="AE123" s="32">
        <v>2470.5</v>
      </c>
      <c r="AF123" s="32">
        <v>2358</v>
      </c>
      <c r="AG123" s="32">
        <v>2442.5</v>
      </c>
      <c r="AH123" s="32">
        <v>2376.5</v>
      </c>
      <c r="AI123" s="32">
        <v>2351</v>
      </c>
      <c r="AJ123" s="32">
        <v>2319.5</v>
      </c>
      <c r="AK123" s="32">
        <v>2348</v>
      </c>
      <c r="AL123" s="32">
        <v>2299</v>
      </c>
      <c r="AM123" s="32">
        <v>2316</v>
      </c>
      <c r="AN123" s="32">
        <v>2381</v>
      </c>
      <c r="AO123" s="32">
        <v>2378.5</v>
      </c>
      <c r="AP123" s="32">
        <v>2384.5</v>
      </c>
      <c r="AQ123" s="32">
        <v>2323.5</v>
      </c>
      <c r="AR123" s="32">
        <v>2299</v>
      </c>
      <c r="AS123" s="32">
        <v>2374.5</v>
      </c>
      <c r="AT123" s="32">
        <v>2403</v>
      </c>
      <c r="AU123" s="32">
        <v>2357</v>
      </c>
      <c r="AV123" s="32">
        <v>2361.5</v>
      </c>
      <c r="AW123" s="32">
        <v>2350.5</v>
      </c>
      <c r="AX123" s="32">
        <v>2301.5</v>
      </c>
      <c r="AY123" s="32">
        <v>2245</v>
      </c>
      <c r="AZ123" s="32">
        <v>2307.5</v>
      </c>
      <c r="BA123" s="32">
        <v>2123</v>
      </c>
      <c r="BB123" s="32">
        <v>2150.5</v>
      </c>
      <c r="BC123" s="32">
        <v>2168</v>
      </c>
      <c r="BD123" s="32">
        <v>2025.5</v>
      </c>
      <c r="BE123" s="32">
        <v>2047.5</v>
      </c>
      <c r="BF123" s="32">
        <v>2029</v>
      </c>
      <c r="BG123" s="32">
        <v>2046</v>
      </c>
      <c r="BH123" s="32">
        <v>2094.5</v>
      </c>
      <c r="BI123" s="32">
        <v>2129</v>
      </c>
      <c r="BJ123" s="32">
        <v>2117.5</v>
      </c>
      <c r="BK123" s="32">
        <v>2128.5</v>
      </c>
      <c r="BL123" s="33">
        <v>2120</v>
      </c>
      <c r="BM123" s="1">
        <v>2098</v>
      </c>
      <c r="BN123" s="1">
        <v>2122.5</v>
      </c>
      <c r="BO123" s="1">
        <v>2152.5</v>
      </c>
      <c r="BP123" s="1">
        <v>2147</v>
      </c>
    </row>
    <row r="124" spans="1:68" ht="15.9" customHeight="1">
      <c r="A124" s="68" t="s">
        <v>243</v>
      </c>
      <c r="B124" s="28" t="s">
        <v>244</v>
      </c>
      <c r="C124" s="42" t="str">
        <f>_xll.RssMarket("8801","高値")</f>
        <v/>
      </c>
      <c r="D124" s="41" t="e">
        <f t="shared" si="3"/>
        <v>#VALUE!</v>
      </c>
      <c r="E124" s="37">
        <v>1567</v>
      </c>
      <c r="F124" s="37">
        <v>1558</v>
      </c>
      <c r="G124" s="32">
        <v>1552.5</v>
      </c>
      <c r="H124" s="32">
        <v>1532</v>
      </c>
      <c r="I124" s="32">
        <v>1519</v>
      </c>
      <c r="J124" s="32">
        <v>1527</v>
      </c>
      <c r="K124" s="32">
        <v>1583.5</v>
      </c>
      <c r="L124" s="32">
        <v>1584.5</v>
      </c>
      <c r="M124" s="32">
        <v>1566</v>
      </c>
      <c r="N124" s="32">
        <v>1567</v>
      </c>
      <c r="O124" s="32">
        <v>1525.5</v>
      </c>
      <c r="P124" s="32">
        <v>1493.5</v>
      </c>
      <c r="Q124" s="32">
        <v>1528.5</v>
      </c>
      <c r="R124" s="32">
        <v>1520.5</v>
      </c>
      <c r="S124" s="32">
        <v>1480</v>
      </c>
      <c r="T124" s="32">
        <v>1495</v>
      </c>
      <c r="U124" s="32">
        <v>1471</v>
      </c>
      <c r="V124" s="32">
        <v>1469.5</v>
      </c>
      <c r="W124" s="32">
        <v>1497.5</v>
      </c>
      <c r="X124" s="32">
        <v>1510.5</v>
      </c>
      <c r="Y124" s="32">
        <v>1528</v>
      </c>
      <c r="Z124" s="32">
        <v>1554.5</v>
      </c>
      <c r="AA124" s="32">
        <v>1572.5</v>
      </c>
      <c r="AB124" s="32">
        <v>1593.5</v>
      </c>
      <c r="AC124" s="32">
        <v>1578.5</v>
      </c>
      <c r="AD124" s="32">
        <v>1597</v>
      </c>
      <c r="AE124" s="32">
        <v>1551</v>
      </c>
      <c r="AF124" s="32">
        <v>1475.5</v>
      </c>
      <c r="AG124" s="32">
        <v>1506.5</v>
      </c>
      <c r="AH124" s="32">
        <v>1493.5</v>
      </c>
      <c r="AI124" s="32">
        <v>1520</v>
      </c>
      <c r="AJ124" s="32">
        <v>1516</v>
      </c>
      <c r="AK124" s="32">
        <v>1543</v>
      </c>
      <c r="AL124" s="32">
        <v>1539</v>
      </c>
      <c r="AM124" s="32">
        <v>1557.5</v>
      </c>
      <c r="AN124" s="32">
        <v>1547.5</v>
      </c>
      <c r="AO124" s="32">
        <v>1503</v>
      </c>
      <c r="AP124" s="32">
        <v>1557</v>
      </c>
      <c r="AQ124" s="32">
        <v>1531.5</v>
      </c>
      <c r="AR124" s="32">
        <v>1545</v>
      </c>
      <c r="AS124" s="32">
        <v>1565.5</v>
      </c>
      <c r="AT124" s="32">
        <v>1557.5</v>
      </c>
      <c r="AU124" s="32">
        <v>1606</v>
      </c>
      <c r="AV124" s="32">
        <v>1697.5</v>
      </c>
      <c r="AW124" s="32">
        <v>1688</v>
      </c>
      <c r="AX124" s="32">
        <v>1679</v>
      </c>
      <c r="AY124" s="32">
        <v>1700</v>
      </c>
      <c r="AZ124" s="32">
        <v>1736.5</v>
      </c>
      <c r="BA124" s="32">
        <v>1705</v>
      </c>
      <c r="BB124" s="32">
        <v>1724</v>
      </c>
      <c r="BC124" s="32">
        <v>1732</v>
      </c>
      <c r="BD124" s="32">
        <v>1728.5</v>
      </c>
      <c r="BE124" s="32">
        <v>1722.5</v>
      </c>
      <c r="BF124" s="32">
        <v>1767.5</v>
      </c>
      <c r="BG124" s="32">
        <v>1741</v>
      </c>
      <c r="BH124" s="32">
        <v>1770</v>
      </c>
      <c r="BI124" s="32">
        <v>1776.5</v>
      </c>
      <c r="BJ124" s="32">
        <v>1757.5</v>
      </c>
      <c r="BK124" s="32">
        <v>1783.5</v>
      </c>
      <c r="BL124" s="33">
        <v>1825.5</v>
      </c>
      <c r="BM124" s="1">
        <v>1803</v>
      </c>
      <c r="BN124" s="1">
        <v>1732</v>
      </c>
      <c r="BO124" s="1">
        <v>1735.5</v>
      </c>
      <c r="BP124" s="1">
        <v>1785</v>
      </c>
    </row>
    <row r="125" spans="1:68" ht="15.9" customHeight="1">
      <c r="A125" s="68" t="s">
        <v>245</v>
      </c>
      <c r="B125" s="28" t="s">
        <v>246</v>
      </c>
      <c r="C125" s="42" t="str">
        <f>_xll.RssMarket("8934","高値")</f>
        <v/>
      </c>
      <c r="D125" s="41" t="e">
        <f t="shared" si="3"/>
        <v>#VALUE!</v>
      </c>
      <c r="E125" s="37">
        <v>2577</v>
      </c>
      <c r="F125" s="37">
        <v>2549</v>
      </c>
      <c r="G125" s="32">
        <v>2514</v>
      </c>
      <c r="H125" s="32">
        <v>2508</v>
      </c>
      <c r="I125" s="32">
        <v>2514</v>
      </c>
      <c r="J125" s="32">
        <v>2534</v>
      </c>
      <c r="K125" s="32">
        <v>2559</v>
      </c>
      <c r="L125" s="32">
        <v>2529</v>
      </c>
      <c r="M125" s="32">
        <v>2512</v>
      </c>
      <c r="N125" s="32">
        <v>2475</v>
      </c>
      <c r="O125" s="32">
        <v>2439</v>
      </c>
      <c r="P125" s="32">
        <v>2426</v>
      </c>
      <c r="Q125" s="32">
        <v>2461</v>
      </c>
      <c r="R125" s="32">
        <v>2456</v>
      </c>
      <c r="S125" s="32">
        <v>2394</v>
      </c>
      <c r="T125" s="32">
        <v>2382</v>
      </c>
      <c r="U125" s="32">
        <v>2357</v>
      </c>
      <c r="V125" s="32">
        <v>2351</v>
      </c>
      <c r="W125" s="32">
        <v>2363</v>
      </c>
      <c r="X125" s="32">
        <v>2380</v>
      </c>
      <c r="Y125" s="32">
        <v>2366</v>
      </c>
      <c r="Z125" s="32">
        <v>2395</v>
      </c>
      <c r="AA125" s="32">
        <v>2393</v>
      </c>
      <c r="AB125" s="32">
        <v>2416</v>
      </c>
      <c r="AC125" s="32">
        <v>2384</v>
      </c>
      <c r="AD125" s="32">
        <v>2392</v>
      </c>
      <c r="AE125" s="32">
        <v>2410</v>
      </c>
      <c r="AF125" s="32">
        <v>2331</v>
      </c>
      <c r="AG125" s="32">
        <v>2341</v>
      </c>
      <c r="AH125" s="32">
        <v>2305</v>
      </c>
      <c r="AI125" s="32">
        <v>2287</v>
      </c>
      <c r="AJ125" s="32">
        <v>2266</v>
      </c>
      <c r="AK125" s="32">
        <v>2425</v>
      </c>
      <c r="AL125" s="32">
        <v>2360</v>
      </c>
      <c r="AM125" s="32">
        <v>2371</v>
      </c>
      <c r="AN125" s="32">
        <v>2380</v>
      </c>
      <c r="AO125" s="32">
        <v>2388</v>
      </c>
      <c r="AP125" s="32">
        <v>2420</v>
      </c>
      <c r="AQ125" s="32">
        <v>2422</v>
      </c>
      <c r="AR125" s="32">
        <v>2461</v>
      </c>
      <c r="AS125" s="32">
        <v>2470</v>
      </c>
      <c r="AT125" s="32">
        <v>2473</v>
      </c>
      <c r="AU125" s="32">
        <v>2468</v>
      </c>
      <c r="AV125" s="32">
        <v>2464</v>
      </c>
      <c r="AW125" s="32">
        <v>2549</v>
      </c>
      <c r="AX125" s="32">
        <v>2601</v>
      </c>
      <c r="AY125" s="32">
        <v>2625</v>
      </c>
      <c r="AZ125" s="32">
        <v>2680</v>
      </c>
      <c r="BA125" s="32">
        <v>2695</v>
      </c>
      <c r="BB125" s="32">
        <v>2729</v>
      </c>
      <c r="BC125" s="32">
        <v>2702</v>
      </c>
      <c r="BD125" s="32">
        <v>2685</v>
      </c>
      <c r="BE125" s="32">
        <v>2697</v>
      </c>
      <c r="BF125" s="32">
        <v>2737</v>
      </c>
      <c r="BG125" s="32">
        <v>2750</v>
      </c>
      <c r="BH125" s="32">
        <v>2773</v>
      </c>
      <c r="BI125" s="32">
        <v>2802</v>
      </c>
      <c r="BJ125" s="32">
        <v>2804</v>
      </c>
      <c r="BK125" s="32">
        <v>2838</v>
      </c>
      <c r="BL125" s="33">
        <v>2865</v>
      </c>
      <c r="BM125" s="1">
        <v>2858</v>
      </c>
      <c r="BN125" s="1">
        <v>2885</v>
      </c>
      <c r="BO125" s="1">
        <v>2812</v>
      </c>
      <c r="BP125" s="1">
        <v>2815</v>
      </c>
    </row>
    <row r="126" spans="1:68" ht="15.9" customHeight="1">
      <c r="A126" s="68" t="s">
        <v>247</v>
      </c>
      <c r="B126" s="28" t="s">
        <v>248</v>
      </c>
      <c r="C126" s="42" t="str">
        <f>_xll.RssMarket("9416","高値")</f>
        <v/>
      </c>
      <c r="D126" s="41" t="e">
        <f t="shared" si="3"/>
        <v>#VALUE!</v>
      </c>
      <c r="E126" s="37">
        <v>1016</v>
      </c>
      <c r="F126" s="37">
        <v>1024</v>
      </c>
      <c r="G126" s="32">
        <v>1034</v>
      </c>
      <c r="H126" s="32">
        <v>1028</v>
      </c>
      <c r="I126" s="32">
        <v>1024</v>
      </c>
      <c r="J126" s="32">
        <v>1009</v>
      </c>
      <c r="K126" s="32">
        <v>1014</v>
      </c>
      <c r="L126" s="32">
        <v>1022</v>
      </c>
      <c r="M126" s="32">
        <v>1017</v>
      </c>
      <c r="N126" s="32">
        <v>1008</v>
      </c>
      <c r="O126" s="32">
        <v>990</v>
      </c>
      <c r="P126" s="32">
        <v>969</v>
      </c>
      <c r="Q126" s="32">
        <v>980</v>
      </c>
      <c r="R126" s="32">
        <v>983</v>
      </c>
      <c r="S126" s="32">
        <v>987</v>
      </c>
      <c r="T126" s="32">
        <v>990</v>
      </c>
      <c r="U126" s="32">
        <v>999</v>
      </c>
      <c r="V126" s="32">
        <v>1023</v>
      </c>
      <c r="W126" s="32">
        <v>1037</v>
      </c>
      <c r="X126" s="32">
        <v>1026</v>
      </c>
      <c r="Y126" s="32">
        <v>1020</v>
      </c>
      <c r="Z126" s="32">
        <v>1030</v>
      </c>
      <c r="AA126" s="32">
        <v>1020</v>
      </c>
      <c r="AB126" s="32">
        <v>1017</v>
      </c>
      <c r="AC126" s="32">
        <v>1015</v>
      </c>
      <c r="AD126" s="32">
        <v>1034</v>
      </c>
      <c r="AE126" s="32">
        <v>1036</v>
      </c>
      <c r="AF126" s="32">
        <v>1018</v>
      </c>
      <c r="AG126" s="32">
        <v>1023</v>
      </c>
      <c r="AH126" s="32">
        <v>1027</v>
      </c>
      <c r="AI126" s="32">
        <v>1080</v>
      </c>
      <c r="AJ126" s="32">
        <v>1063</v>
      </c>
      <c r="AK126" s="32">
        <v>1064</v>
      </c>
      <c r="AL126" s="32">
        <v>1104</v>
      </c>
      <c r="AM126" s="32">
        <v>1021</v>
      </c>
      <c r="AN126" s="32">
        <v>1033</v>
      </c>
      <c r="AO126" s="32">
        <v>1032</v>
      </c>
      <c r="AP126" s="32">
        <v>1028</v>
      </c>
      <c r="AQ126" s="32">
        <v>1045</v>
      </c>
      <c r="AR126" s="32">
        <v>1039</v>
      </c>
      <c r="AS126" s="32">
        <v>1140</v>
      </c>
      <c r="AT126" s="32">
        <v>1105</v>
      </c>
      <c r="AU126" s="32">
        <v>1115</v>
      </c>
      <c r="AV126" s="32">
        <v>1116</v>
      </c>
      <c r="AW126" s="32">
        <v>1114</v>
      </c>
      <c r="AX126" s="32">
        <v>1099</v>
      </c>
      <c r="AY126" s="32">
        <v>1103</v>
      </c>
      <c r="AZ126" s="32">
        <v>1106</v>
      </c>
      <c r="BA126" s="32">
        <v>1099</v>
      </c>
      <c r="BB126" s="32">
        <v>1111</v>
      </c>
      <c r="BC126" s="32">
        <v>1112</v>
      </c>
      <c r="BD126" s="32">
        <v>1146</v>
      </c>
      <c r="BE126" s="32">
        <v>1179</v>
      </c>
      <c r="BF126" s="32">
        <v>1186</v>
      </c>
      <c r="BG126" s="32">
        <v>1202</v>
      </c>
      <c r="BH126" s="32">
        <v>1218</v>
      </c>
      <c r="BI126" s="32">
        <v>1212</v>
      </c>
      <c r="BJ126" s="32">
        <v>1203</v>
      </c>
      <c r="BK126" s="32">
        <v>1208</v>
      </c>
      <c r="BL126" s="33">
        <v>1208</v>
      </c>
      <c r="BM126" s="1">
        <v>1206</v>
      </c>
      <c r="BN126" s="1">
        <v>1209</v>
      </c>
      <c r="BO126" s="1">
        <v>1195</v>
      </c>
      <c r="BP126" s="1">
        <v>1178</v>
      </c>
    </row>
    <row r="127" spans="1:68" ht="15.9" customHeight="1">
      <c r="A127" s="68" t="s">
        <v>249</v>
      </c>
      <c r="B127" s="28" t="s">
        <v>250</v>
      </c>
      <c r="C127" s="42" t="str">
        <f>_xll.RssMarket("9532","高値")</f>
        <v/>
      </c>
      <c r="D127" s="41" t="e">
        <f t="shared" si="3"/>
        <v>#VALUE!</v>
      </c>
      <c r="E127" s="37">
        <v>5430</v>
      </c>
      <c r="F127" s="37">
        <v>5422</v>
      </c>
      <c r="G127" s="32">
        <v>5398</v>
      </c>
      <c r="H127" s="32">
        <v>5403</v>
      </c>
      <c r="I127" s="32">
        <v>5411</v>
      </c>
      <c r="J127" s="32">
        <v>5544</v>
      </c>
      <c r="K127" s="32">
        <v>5564</v>
      </c>
      <c r="L127" s="32">
        <v>5547</v>
      </c>
      <c r="M127" s="32">
        <v>5515</v>
      </c>
      <c r="N127" s="32">
        <v>5448</v>
      </c>
      <c r="O127" s="32">
        <v>5375</v>
      </c>
      <c r="P127" s="32">
        <v>5456</v>
      </c>
      <c r="Q127" s="32">
        <v>5518</v>
      </c>
      <c r="R127" s="32">
        <v>5493</v>
      </c>
      <c r="S127" s="32">
        <v>5407</v>
      </c>
      <c r="T127" s="32">
        <v>5447</v>
      </c>
      <c r="U127" s="32">
        <v>5449</v>
      </c>
      <c r="V127" s="32">
        <v>5470</v>
      </c>
      <c r="W127" s="32">
        <v>5451</v>
      </c>
      <c r="X127" s="32">
        <v>5411</v>
      </c>
      <c r="Y127" s="32">
        <v>5502</v>
      </c>
      <c r="Z127" s="32">
        <v>5543</v>
      </c>
      <c r="AA127" s="32">
        <v>5526</v>
      </c>
      <c r="AB127" s="32">
        <v>5644</v>
      </c>
      <c r="AC127" s="32">
        <v>5776</v>
      </c>
      <c r="AD127" s="32">
        <v>5675</v>
      </c>
      <c r="AE127" s="32">
        <v>5557</v>
      </c>
      <c r="AF127" s="32">
        <v>5516</v>
      </c>
      <c r="AG127" s="32">
        <v>5564</v>
      </c>
      <c r="AH127" s="32">
        <v>5628</v>
      </c>
      <c r="AI127" s="32">
        <v>5648</v>
      </c>
      <c r="AJ127" s="32">
        <v>5403</v>
      </c>
      <c r="AK127" s="32">
        <v>5412</v>
      </c>
      <c r="AL127" s="32">
        <v>5485</v>
      </c>
      <c r="AM127" s="32">
        <v>5593</v>
      </c>
      <c r="AN127" s="32">
        <v>5694</v>
      </c>
      <c r="AO127" s="32">
        <v>5770</v>
      </c>
      <c r="AP127" s="32">
        <v>5779</v>
      </c>
      <c r="AQ127" s="32">
        <v>5879</v>
      </c>
      <c r="AR127" s="32">
        <v>5814</v>
      </c>
      <c r="AS127" s="32">
        <v>5762</v>
      </c>
      <c r="AT127" s="32">
        <v>5770</v>
      </c>
      <c r="AU127" s="32">
        <v>5778</v>
      </c>
      <c r="AV127" s="32">
        <v>5805</v>
      </c>
      <c r="AW127" s="32">
        <v>5699</v>
      </c>
      <c r="AX127" s="32">
        <v>5809</v>
      </c>
      <c r="AY127" s="32">
        <v>5850</v>
      </c>
      <c r="AZ127" s="32">
        <v>5825</v>
      </c>
      <c r="BA127" s="32">
        <v>5769</v>
      </c>
      <c r="BB127" s="32">
        <v>5950</v>
      </c>
      <c r="BC127" s="32">
        <v>5984</v>
      </c>
      <c r="BD127" s="32">
        <v>5838</v>
      </c>
      <c r="BE127" s="32">
        <v>5967</v>
      </c>
      <c r="BF127" s="32">
        <v>5856</v>
      </c>
      <c r="BG127" s="32">
        <v>5905</v>
      </c>
      <c r="BH127" s="32">
        <v>6005</v>
      </c>
      <c r="BI127" s="32">
        <v>6154</v>
      </c>
      <c r="BJ127" s="32">
        <v>6261</v>
      </c>
      <c r="BK127" s="32">
        <v>6261</v>
      </c>
      <c r="BL127" s="33">
        <v>6290</v>
      </c>
      <c r="BM127" s="1">
        <v>6316</v>
      </c>
      <c r="BN127" s="1">
        <v>6400</v>
      </c>
      <c r="BO127" s="1">
        <v>6636</v>
      </c>
      <c r="BP127" s="1">
        <v>6632</v>
      </c>
    </row>
    <row r="128" spans="1:68" ht="15.9" customHeight="1">
      <c r="A128" s="68" t="s">
        <v>251</v>
      </c>
      <c r="B128" s="28" t="s">
        <v>252</v>
      </c>
      <c r="C128" s="42" t="str">
        <f>_xll.RssMarket("6330","高値")</f>
        <v/>
      </c>
      <c r="D128" s="41" t="e">
        <f t="shared" si="3"/>
        <v>#VALUE!</v>
      </c>
      <c r="E128" s="37">
        <v>1846</v>
      </c>
      <c r="F128" s="37">
        <v>1976</v>
      </c>
      <c r="G128" s="32">
        <v>1971</v>
      </c>
      <c r="H128" s="32">
        <v>1978</v>
      </c>
      <c r="I128" s="32">
        <v>1992</v>
      </c>
      <c r="J128" s="32">
        <v>1988</v>
      </c>
      <c r="K128" s="32">
        <v>2038</v>
      </c>
      <c r="L128" s="32">
        <v>2202</v>
      </c>
      <c r="M128" s="32">
        <v>2204</v>
      </c>
      <c r="N128" s="32">
        <v>2067</v>
      </c>
      <c r="O128" s="32">
        <v>2083</v>
      </c>
      <c r="P128" s="32">
        <v>2020</v>
      </c>
      <c r="Q128" s="32">
        <v>2277</v>
      </c>
      <c r="R128" s="32">
        <v>2155</v>
      </c>
      <c r="S128" s="32">
        <v>1978</v>
      </c>
      <c r="T128" s="32">
        <v>1984</v>
      </c>
      <c r="U128" s="32">
        <v>1945</v>
      </c>
      <c r="V128" s="32">
        <v>2016</v>
      </c>
      <c r="W128" s="32">
        <v>2071</v>
      </c>
      <c r="X128" s="32">
        <v>2147</v>
      </c>
      <c r="Y128" s="32">
        <v>2237</v>
      </c>
      <c r="Z128" s="32">
        <v>2266</v>
      </c>
      <c r="AA128" s="32">
        <v>2097</v>
      </c>
      <c r="AB128" s="32">
        <v>2095</v>
      </c>
      <c r="AC128" s="32">
        <v>1937</v>
      </c>
      <c r="AD128" s="32">
        <v>1853</v>
      </c>
      <c r="AE128" s="32">
        <v>1987</v>
      </c>
      <c r="AF128" s="32">
        <v>2045</v>
      </c>
      <c r="AG128" s="32">
        <v>2093</v>
      </c>
      <c r="AH128" s="32">
        <v>2007</v>
      </c>
      <c r="AI128" s="32">
        <v>2050</v>
      </c>
      <c r="AJ128" s="32">
        <v>1944</v>
      </c>
      <c r="AK128" s="32">
        <v>2153</v>
      </c>
      <c r="AL128" s="32">
        <v>2154</v>
      </c>
      <c r="AM128" s="32">
        <v>2206</v>
      </c>
      <c r="AN128" s="32">
        <v>2285</v>
      </c>
      <c r="AO128" s="32">
        <v>2187</v>
      </c>
      <c r="AP128" s="32">
        <v>2083</v>
      </c>
      <c r="AQ128" s="32">
        <v>2085</v>
      </c>
      <c r="AR128" s="32">
        <v>2167</v>
      </c>
      <c r="AS128" s="32">
        <v>2149</v>
      </c>
      <c r="AT128" s="32">
        <v>2203</v>
      </c>
      <c r="AU128" s="32">
        <v>2485</v>
      </c>
      <c r="AV128" s="32">
        <v>2217</v>
      </c>
      <c r="AW128" s="32">
        <v>2305</v>
      </c>
      <c r="AX128" s="32">
        <v>2352</v>
      </c>
      <c r="AY128" s="32">
        <v>2350</v>
      </c>
      <c r="AZ128" s="32">
        <v>2335</v>
      </c>
      <c r="BA128" s="32">
        <v>2339</v>
      </c>
      <c r="BB128" s="32">
        <v>2375</v>
      </c>
      <c r="BC128" s="32">
        <v>2423</v>
      </c>
      <c r="BD128" s="32">
        <v>2380</v>
      </c>
      <c r="BE128" s="32">
        <v>2461</v>
      </c>
      <c r="BF128" s="32">
        <v>2505</v>
      </c>
      <c r="BG128" s="32">
        <v>2545</v>
      </c>
      <c r="BH128" s="32">
        <v>2697</v>
      </c>
      <c r="BI128" s="32">
        <v>2797</v>
      </c>
      <c r="BJ128" s="32">
        <v>2680</v>
      </c>
      <c r="BK128" s="32">
        <v>2493</v>
      </c>
      <c r="BL128" s="33">
        <v>2409</v>
      </c>
      <c r="BM128" s="1">
        <v>2384</v>
      </c>
      <c r="BN128" s="1">
        <v>2373</v>
      </c>
      <c r="BO128" s="1">
        <v>2379</v>
      </c>
      <c r="BP128" s="1">
        <v>2375</v>
      </c>
    </row>
    <row r="129" spans="1:68" ht="15.9" customHeight="1">
      <c r="A129" s="68" t="s">
        <v>253</v>
      </c>
      <c r="B129" s="28" t="s">
        <v>254</v>
      </c>
      <c r="C129" s="42" t="str">
        <f>_xll.RssMarket("4082","高値")</f>
        <v/>
      </c>
      <c r="D129" s="41" t="e">
        <f t="shared" si="3"/>
        <v>#VALUE!</v>
      </c>
      <c r="E129" s="37">
        <v>1863</v>
      </c>
      <c r="F129" s="37">
        <v>1979</v>
      </c>
      <c r="G129" s="32">
        <v>1971</v>
      </c>
      <c r="H129" s="32">
        <v>1983</v>
      </c>
      <c r="I129" s="32">
        <v>1997</v>
      </c>
      <c r="J129" s="32">
        <v>2020</v>
      </c>
      <c r="K129" s="32">
        <v>2065</v>
      </c>
      <c r="L129" s="32">
        <v>2076</v>
      </c>
      <c r="M129" s="32">
        <v>2102</v>
      </c>
      <c r="N129" s="32">
        <v>2055</v>
      </c>
      <c r="O129" s="32">
        <v>2081</v>
      </c>
      <c r="P129" s="32">
        <v>2059</v>
      </c>
      <c r="Q129" s="32">
        <v>2102</v>
      </c>
      <c r="R129" s="32">
        <v>2118</v>
      </c>
      <c r="S129" s="32">
        <v>2135</v>
      </c>
      <c r="T129" s="32">
        <v>2235</v>
      </c>
      <c r="U129" s="32">
        <v>2060</v>
      </c>
      <c r="V129" s="32">
        <v>2144</v>
      </c>
      <c r="W129" s="32">
        <v>2146</v>
      </c>
      <c r="X129" s="32">
        <v>2128</v>
      </c>
      <c r="Y129" s="32">
        <v>2148</v>
      </c>
      <c r="Z129" s="32">
        <v>2130</v>
      </c>
      <c r="AA129" s="32">
        <v>2026</v>
      </c>
      <c r="AB129" s="32">
        <v>2000</v>
      </c>
      <c r="AC129" s="32">
        <v>1924</v>
      </c>
      <c r="AD129" s="32">
        <v>1875</v>
      </c>
      <c r="AE129" s="32">
        <v>1963</v>
      </c>
      <c r="AF129" s="32">
        <v>2039</v>
      </c>
      <c r="AG129" s="32">
        <v>2138</v>
      </c>
      <c r="AH129" s="32">
        <v>2172</v>
      </c>
      <c r="AI129" s="32">
        <v>2282</v>
      </c>
      <c r="AJ129" s="32">
        <v>2225</v>
      </c>
      <c r="AK129" s="32">
        <v>2463</v>
      </c>
      <c r="AL129" s="32">
        <v>2264</v>
      </c>
      <c r="AM129" s="32">
        <v>2340</v>
      </c>
      <c r="AN129" s="32">
        <v>2141</v>
      </c>
      <c r="AO129" s="32">
        <v>2048</v>
      </c>
      <c r="AP129" s="32">
        <v>1998</v>
      </c>
      <c r="AQ129" s="32">
        <v>2113</v>
      </c>
      <c r="AR129" s="32">
        <v>2215</v>
      </c>
      <c r="AS129" s="32">
        <v>2222</v>
      </c>
      <c r="AT129" s="32">
        <v>2288</v>
      </c>
      <c r="AU129" s="32">
        <v>2658</v>
      </c>
      <c r="AV129" s="32">
        <v>2830</v>
      </c>
      <c r="AW129" s="32">
        <v>2746</v>
      </c>
      <c r="AX129" s="32">
        <v>2541</v>
      </c>
      <c r="AY129" s="32">
        <v>2382</v>
      </c>
      <c r="AZ129" s="32">
        <v>2358</v>
      </c>
      <c r="BA129" s="32">
        <v>2367</v>
      </c>
      <c r="BB129" s="32">
        <v>2357</v>
      </c>
      <c r="BC129" s="32">
        <v>2283</v>
      </c>
      <c r="BD129" s="32">
        <v>2474</v>
      </c>
      <c r="BE129" s="32">
        <v>2331</v>
      </c>
      <c r="BF129" s="32">
        <v>2384</v>
      </c>
      <c r="BG129" s="32">
        <v>2565</v>
      </c>
      <c r="BH129" s="32">
        <v>2625</v>
      </c>
      <c r="BI129" s="32">
        <v>2396</v>
      </c>
      <c r="BJ129" s="32">
        <v>2268</v>
      </c>
      <c r="BK129" s="32">
        <v>2140</v>
      </c>
      <c r="BL129" s="33">
        <v>2110</v>
      </c>
      <c r="BM129" s="1">
        <v>2081</v>
      </c>
      <c r="BN129" s="1">
        <v>2160</v>
      </c>
      <c r="BO129" s="1">
        <v>2178</v>
      </c>
      <c r="BP129" s="1">
        <v>2214</v>
      </c>
    </row>
    <row r="130" spans="1:68" ht="15.9" customHeight="1">
      <c r="A130" s="68" t="s">
        <v>255</v>
      </c>
      <c r="B130" s="28" t="s">
        <v>256</v>
      </c>
      <c r="C130" s="42" t="str">
        <f>_xll.RssMarket("4519","高値")</f>
        <v/>
      </c>
      <c r="D130" s="41" t="e">
        <f t="shared" si="3"/>
        <v>#VALUE!</v>
      </c>
      <c r="E130" s="37">
        <v>7344</v>
      </c>
      <c r="F130" s="37">
        <v>7231</v>
      </c>
      <c r="G130" s="32">
        <v>7342</v>
      </c>
      <c r="H130" s="32">
        <v>7350</v>
      </c>
      <c r="I130" s="32">
        <v>7420</v>
      </c>
      <c r="J130" s="32">
        <v>7460</v>
      </c>
      <c r="K130" s="32">
        <v>7762</v>
      </c>
      <c r="L130" s="32">
        <v>7654</v>
      </c>
      <c r="M130" s="32">
        <v>7719</v>
      </c>
      <c r="N130" s="32">
        <v>7939</v>
      </c>
      <c r="O130" s="32">
        <v>7484</v>
      </c>
      <c r="P130" s="32">
        <v>7494</v>
      </c>
      <c r="Q130" s="32">
        <v>7630</v>
      </c>
      <c r="R130" s="32">
        <v>7660</v>
      </c>
      <c r="S130" s="32">
        <v>7540</v>
      </c>
      <c r="T130" s="32">
        <v>7596</v>
      </c>
      <c r="U130" s="32">
        <v>7583</v>
      </c>
      <c r="V130" s="32">
        <v>7560</v>
      </c>
      <c r="W130" s="32">
        <v>7583</v>
      </c>
      <c r="X130" s="32">
        <v>7550</v>
      </c>
      <c r="Y130" s="32">
        <v>7678</v>
      </c>
      <c r="Z130" s="32">
        <v>7689</v>
      </c>
      <c r="AA130" s="32">
        <v>7719</v>
      </c>
      <c r="AB130" s="32">
        <v>7567</v>
      </c>
      <c r="AC130" s="32">
        <v>7506</v>
      </c>
      <c r="AD130" s="32">
        <v>7472</v>
      </c>
      <c r="AE130" s="32">
        <v>7560</v>
      </c>
      <c r="AF130" s="32">
        <v>7599</v>
      </c>
      <c r="AG130" s="32">
        <v>7658</v>
      </c>
      <c r="AH130" s="32">
        <v>7595</v>
      </c>
      <c r="AI130" s="32">
        <v>7629</v>
      </c>
      <c r="AJ130" s="32">
        <v>7624</v>
      </c>
      <c r="AK130" s="32">
        <v>7944</v>
      </c>
      <c r="AL130" s="32">
        <v>7936</v>
      </c>
      <c r="AM130" s="32">
        <v>7888</v>
      </c>
      <c r="AN130" s="32">
        <v>8215</v>
      </c>
      <c r="AO130" s="32">
        <v>8090</v>
      </c>
      <c r="AP130" s="32">
        <v>8151</v>
      </c>
      <c r="AQ130" s="32">
        <v>8047</v>
      </c>
      <c r="AR130" s="32">
        <v>8022</v>
      </c>
      <c r="AS130" s="32">
        <v>8013</v>
      </c>
      <c r="AT130" s="32">
        <v>8111</v>
      </c>
      <c r="AU130" s="32">
        <v>8096</v>
      </c>
      <c r="AV130" s="32">
        <v>7841</v>
      </c>
      <c r="AW130" s="32">
        <v>7961</v>
      </c>
      <c r="AX130" s="32">
        <v>7996</v>
      </c>
      <c r="AY130" s="32">
        <v>8248</v>
      </c>
      <c r="AZ130" s="32">
        <v>8148</v>
      </c>
      <c r="BA130" s="32">
        <v>8893</v>
      </c>
      <c r="BB130" s="32">
        <v>8236</v>
      </c>
      <c r="BC130" s="32">
        <v>7948</v>
      </c>
      <c r="BD130" s="32">
        <v>8034</v>
      </c>
      <c r="BE130" s="32">
        <v>9013</v>
      </c>
      <c r="BF130" s="32">
        <v>8984</v>
      </c>
      <c r="BG130" s="32">
        <v>8888</v>
      </c>
      <c r="BH130" s="32">
        <v>8788</v>
      </c>
      <c r="BI130" s="32">
        <v>8920</v>
      </c>
      <c r="BJ130" s="32">
        <v>8462</v>
      </c>
      <c r="BK130" s="32">
        <v>8777</v>
      </c>
      <c r="BL130" s="33">
        <v>8693</v>
      </c>
      <c r="BM130" s="1">
        <v>8656</v>
      </c>
      <c r="BN130" s="1">
        <v>8675</v>
      </c>
      <c r="BO130" s="1">
        <v>8816</v>
      </c>
      <c r="BP130" s="1">
        <v>8952</v>
      </c>
    </row>
    <row r="131" spans="1:68" ht="15.9" customHeight="1">
      <c r="A131" s="68" t="s">
        <v>257</v>
      </c>
      <c r="B131" s="28" t="s">
        <v>258</v>
      </c>
      <c r="C131" s="42" t="str">
        <f>_xll.RssMarket("2160","高値")</f>
        <v/>
      </c>
      <c r="D131" s="41" t="e">
        <f t="shared" si="3"/>
        <v>#VALUE!</v>
      </c>
      <c r="E131" s="37">
        <v>2516</v>
      </c>
      <c r="F131" s="37">
        <v>2615</v>
      </c>
      <c r="G131" s="32">
        <v>2620</v>
      </c>
      <c r="H131" s="32">
        <v>2626</v>
      </c>
      <c r="I131" s="32">
        <v>2641</v>
      </c>
      <c r="J131" s="32">
        <v>2658</v>
      </c>
      <c r="K131" s="32">
        <v>2807</v>
      </c>
      <c r="L131" s="32">
        <v>2910</v>
      </c>
      <c r="M131" s="32">
        <v>2908</v>
      </c>
      <c r="N131" s="32">
        <v>2955</v>
      </c>
      <c r="O131" s="32">
        <v>2922</v>
      </c>
      <c r="P131" s="32">
        <v>2867</v>
      </c>
      <c r="Q131" s="32">
        <v>2876</v>
      </c>
      <c r="R131" s="32">
        <v>2800</v>
      </c>
      <c r="S131" s="32">
        <v>2554</v>
      </c>
      <c r="T131" s="32">
        <v>2588</v>
      </c>
      <c r="U131" s="32">
        <v>2554</v>
      </c>
      <c r="V131" s="32">
        <v>2544</v>
      </c>
      <c r="W131" s="32">
        <v>2587</v>
      </c>
      <c r="X131" s="32">
        <v>2632</v>
      </c>
      <c r="Y131" s="32">
        <v>2643</v>
      </c>
      <c r="Z131" s="32">
        <v>2595</v>
      </c>
      <c r="AA131" s="32">
        <v>2560</v>
      </c>
      <c r="AB131" s="32">
        <v>2554</v>
      </c>
      <c r="AC131" s="32">
        <v>2735</v>
      </c>
      <c r="AD131" s="32">
        <v>2704</v>
      </c>
      <c r="AE131" s="32">
        <v>2799</v>
      </c>
      <c r="AF131" s="32">
        <v>3090</v>
      </c>
      <c r="AG131" s="32">
        <v>2940</v>
      </c>
      <c r="AH131" s="32">
        <v>2740</v>
      </c>
      <c r="AI131" s="32">
        <v>2643</v>
      </c>
      <c r="AJ131" s="32">
        <v>2630</v>
      </c>
      <c r="AK131" s="32">
        <v>2680</v>
      </c>
      <c r="AL131" s="32">
        <v>2679</v>
      </c>
      <c r="AM131" s="32">
        <v>2739</v>
      </c>
      <c r="AN131" s="32">
        <v>2860</v>
      </c>
      <c r="AO131" s="32">
        <v>2923</v>
      </c>
      <c r="AP131" s="32">
        <v>2866</v>
      </c>
      <c r="AQ131" s="32">
        <v>2832</v>
      </c>
      <c r="AR131" s="32">
        <v>2848</v>
      </c>
      <c r="AS131" s="32">
        <v>2999</v>
      </c>
      <c r="AT131" s="32">
        <v>3050</v>
      </c>
      <c r="AU131" s="32">
        <v>3115</v>
      </c>
      <c r="AV131" s="32">
        <v>3345</v>
      </c>
      <c r="AW131" s="32">
        <v>3050</v>
      </c>
      <c r="AX131" s="32">
        <v>3005</v>
      </c>
      <c r="AY131" s="32">
        <v>3080</v>
      </c>
      <c r="AZ131" s="32">
        <v>3130</v>
      </c>
      <c r="BA131" s="32">
        <v>3040</v>
      </c>
      <c r="BB131" s="32">
        <v>3055</v>
      </c>
      <c r="BC131" s="32">
        <v>3170</v>
      </c>
      <c r="BD131" s="32">
        <v>3160</v>
      </c>
      <c r="BE131" s="32">
        <v>3185</v>
      </c>
      <c r="BF131" s="32">
        <v>3275</v>
      </c>
      <c r="BG131" s="32">
        <v>3395</v>
      </c>
      <c r="BH131" s="32">
        <v>3455</v>
      </c>
      <c r="BI131" s="32">
        <v>3515</v>
      </c>
      <c r="BJ131" s="32">
        <v>3405</v>
      </c>
      <c r="BK131" s="32">
        <v>3410</v>
      </c>
      <c r="BL131" s="33">
        <v>3340</v>
      </c>
      <c r="BM131" s="1">
        <v>3270</v>
      </c>
      <c r="BN131" s="1">
        <v>3140</v>
      </c>
      <c r="BO131" s="1">
        <v>3250</v>
      </c>
      <c r="BP131" s="1">
        <v>3175</v>
      </c>
    </row>
    <row r="132" spans="1:68" ht="15.9" customHeight="1">
      <c r="A132" s="68" t="s">
        <v>259</v>
      </c>
      <c r="B132" s="28" t="s">
        <v>260</v>
      </c>
      <c r="C132" s="42" t="str">
        <f>_xll.RssMarket("6227","高値")</f>
        <v/>
      </c>
      <c r="D132" s="41" t="e">
        <f t="shared" si="3"/>
        <v>#VALUE!</v>
      </c>
      <c r="E132" s="37">
        <v>7200</v>
      </c>
      <c r="F132" s="37">
        <v>8150</v>
      </c>
      <c r="G132" s="32">
        <v>8200</v>
      </c>
      <c r="H132" s="32">
        <v>7790</v>
      </c>
      <c r="I132" s="32">
        <v>6790</v>
      </c>
      <c r="J132" s="32">
        <v>5900</v>
      </c>
      <c r="K132" s="32">
        <v>5930</v>
      </c>
      <c r="L132" s="32">
        <v>6830</v>
      </c>
      <c r="M132" s="32">
        <v>7040</v>
      </c>
      <c r="N132" s="32">
        <v>6950</v>
      </c>
      <c r="O132" s="32">
        <v>7200</v>
      </c>
      <c r="P132" s="32">
        <v>7920</v>
      </c>
      <c r="Q132" s="32">
        <v>7020</v>
      </c>
      <c r="R132" s="32">
        <v>6760</v>
      </c>
      <c r="S132" s="32">
        <v>7260</v>
      </c>
      <c r="T132" s="32">
        <v>7850</v>
      </c>
      <c r="U132" s="32">
        <v>7620</v>
      </c>
      <c r="V132" s="32">
        <v>7880</v>
      </c>
      <c r="W132" s="32">
        <v>7970</v>
      </c>
      <c r="X132" s="32">
        <v>7740</v>
      </c>
      <c r="Y132" s="32">
        <v>8390</v>
      </c>
      <c r="Z132" s="32">
        <v>8830</v>
      </c>
      <c r="AA132" s="32">
        <v>8490</v>
      </c>
      <c r="AB132" s="32">
        <v>9190</v>
      </c>
      <c r="AC132" s="32">
        <v>7850</v>
      </c>
      <c r="AD132" s="32">
        <v>7080</v>
      </c>
      <c r="AE132" s="32">
        <v>7620</v>
      </c>
      <c r="AF132" s="32">
        <v>7440</v>
      </c>
      <c r="AG132" s="32">
        <v>7490</v>
      </c>
      <c r="AH132" s="32">
        <v>6750</v>
      </c>
      <c r="AI132" s="32">
        <v>6410</v>
      </c>
      <c r="AJ132" s="32">
        <v>6300</v>
      </c>
      <c r="AK132" s="32">
        <v>5790</v>
      </c>
      <c r="AL132" s="32">
        <v>5650</v>
      </c>
      <c r="AM132" s="32">
        <v>6280</v>
      </c>
      <c r="AN132" s="32">
        <v>6470</v>
      </c>
      <c r="AO132" s="32">
        <v>6230</v>
      </c>
      <c r="AP132" s="32">
        <v>7160</v>
      </c>
      <c r="AQ132" s="32">
        <v>7170</v>
      </c>
      <c r="AR132" s="32">
        <v>7310</v>
      </c>
      <c r="AS132" s="32">
        <v>7250</v>
      </c>
      <c r="AT132" s="32">
        <v>6930</v>
      </c>
      <c r="AU132" s="32">
        <v>7150</v>
      </c>
      <c r="AV132" s="32">
        <v>6780</v>
      </c>
      <c r="AW132" s="32">
        <v>7220</v>
      </c>
      <c r="AX132" s="32">
        <v>6940</v>
      </c>
      <c r="AY132" s="32">
        <v>6840</v>
      </c>
      <c r="AZ132" s="32">
        <v>6920</v>
      </c>
      <c r="BA132" s="32">
        <v>6330</v>
      </c>
      <c r="BB132" s="32">
        <v>6560</v>
      </c>
      <c r="BC132" s="32">
        <v>6530</v>
      </c>
      <c r="BD132" s="32">
        <v>6690</v>
      </c>
      <c r="BE132" s="32">
        <v>6700</v>
      </c>
      <c r="BF132" s="32">
        <v>7060</v>
      </c>
      <c r="BG132" s="32">
        <v>7190</v>
      </c>
      <c r="BH132" s="32">
        <v>7610</v>
      </c>
      <c r="BI132" s="32">
        <v>8290</v>
      </c>
      <c r="BJ132" s="32">
        <v>8220</v>
      </c>
      <c r="BK132" s="32">
        <v>8680</v>
      </c>
      <c r="BL132" s="33">
        <v>8800</v>
      </c>
      <c r="BM132" s="1">
        <v>7700</v>
      </c>
      <c r="BN132" s="1">
        <v>6780</v>
      </c>
      <c r="BO132" s="1">
        <v>6270</v>
      </c>
      <c r="BP132" s="1">
        <v>6000</v>
      </c>
    </row>
    <row r="133" spans="1:68" ht="15.9" customHeight="1">
      <c r="A133" s="68" t="s">
        <v>261</v>
      </c>
      <c r="B133" s="28" t="s">
        <v>262</v>
      </c>
      <c r="C133" s="42" t="str">
        <f>_xll.RssMarket("6327","高値")</f>
        <v/>
      </c>
      <c r="D133" s="41" t="e">
        <f t="shared" si="3"/>
        <v>#VALUE!</v>
      </c>
      <c r="E133" s="37">
        <v>4170</v>
      </c>
      <c r="F133" s="37">
        <v>5680</v>
      </c>
      <c r="G133" s="32">
        <v>5320</v>
      </c>
      <c r="H133" s="32">
        <v>6360</v>
      </c>
      <c r="I133" s="32">
        <v>6130</v>
      </c>
      <c r="J133" s="32">
        <v>5510</v>
      </c>
      <c r="K133" s="32">
        <v>5730</v>
      </c>
      <c r="L133" s="32">
        <v>6850</v>
      </c>
      <c r="M133" s="32">
        <v>8200</v>
      </c>
      <c r="N133" s="32">
        <v>8210</v>
      </c>
      <c r="O133" s="32">
        <v>9480</v>
      </c>
      <c r="P133" s="32">
        <v>9350</v>
      </c>
      <c r="Q133" s="32">
        <v>7900</v>
      </c>
      <c r="R133" s="32">
        <v>6970</v>
      </c>
      <c r="S133" s="32">
        <v>7190</v>
      </c>
      <c r="T133" s="32">
        <v>6660</v>
      </c>
      <c r="U133" s="32">
        <v>6620</v>
      </c>
      <c r="V133" s="32">
        <v>6800</v>
      </c>
      <c r="W133" s="32">
        <v>6190</v>
      </c>
      <c r="X133" s="32">
        <v>7150</v>
      </c>
      <c r="Y133" s="32">
        <v>6150</v>
      </c>
      <c r="Z133" s="32">
        <v>5150</v>
      </c>
      <c r="AA133" s="32">
        <v>4445</v>
      </c>
      <c r="AB133" s="32">
        <v>3745</v>
      </c>
      <c r="AC133" s="32">
        <v>3400</v>
      </c>
      <c r="AD133" s="32">
        <v>3225</v>
      </c>
      <c r="AE133" s="32">
        <v>3400</v>
      </c>
      <c r="AF133" s="32">
        <v>3720</v>
      </c>
      <c r="AG133" s="32">
        <v>4090</v>
      </c>
      <c r="AH133" s="32">
        <v>4220</v>
      </c>
      <c r="AI133" s="32">
        <v>5580</v>
      </c>
      <c r="AJ133" s="32">
        <v>5230</v>
      </c>
      <c r="AK133" s="32">
        <v>6000</v>
      </c>
      <c r="AL133" s="32">
        <v>5000</v>
      </c>
      <c r="AM133" s="32">
        <v>4300</v>
      </c>
      <c r="AN133" s="32">
        <v>3415</v>
      </c>
      <c r="AO133" s="32">
        <v>2914</v>
      </c>
      <c r="AP133" s="32">
        <v>2484</v>
      </c>
      <c r="AQ133" s="32">
        <v>2375</v>
      </c>
      <c r="AR133" s="32">
        <v>2622</v>
      </c>
      <c r="AS133" s="32">
        <v>2657</v>
      </c>
      <c r="AT133" s="32">
        <v>2716</v>
      </c>
      <c r="AU133" s="32">
        <v>2800</v>
      </c>
      <c r="AV133" s="32">
        <v>2889</v>
      </c>
      <c r="AW133" s="32">
        <v>3460</v>
      </c>
      <c r="AX133" s="32">
        <v>3595</v>
      </c>
      <c r="AY133" s="32">
        <v>3620</v>
      </c>
      <c r="AZ133" s="32">
        <v>3400</v>
      </c>
      <c r="BA133" s="32">
        <v>2971</v>
      </c>
      <c r="BB133" s="32">
        <v>3090</v>
      </c>
      <c r="BC133" s="32">
        <v>2685</v>
      </c>
      <c r="BD133" s="32">
        <v>2185</v>
      </c>
      <c r="BE133" s="32">
        <v>2118</v>
      </c>
      <c r="BF133" s="32">
        <v>2176</v>
      </c>
      <c r="BG133" s="32">
        <v>2240</v>
      </c>
      <c r="BH133" s="32">
        <v>2250</v>
      </c>
      <c r="BI133" s="32">
        <v>2120</v>
      </c>
      <c r="BJ133" s="32">
        <v>2141</v>
      </c>
      <c r="BK133" s="32">
        <v>2128</v>
      </c>
      <c r="BL133" s="33">
        <v>2160</v>
      </c>
      <c r="BM133" s="1">
        <v>2107</v>
      </c>
      <c r="BN133" s="1">
        <v>2025</v>
      </c>
      <c r="BO133" s="1">
        <v>1998</v>
      </c>
      <c r="BP133" s="1">
        <v>1970</v>
      </c>
    </row>
    <row r="134" spans="1:68" ht="15.9" customHeight="1">
      <c r="A134" s="68" t="s">
        <v>263</v>
      </c>
      <c r="B134" s="28" t="s">
        <v>264</v>
      </c>
      <c r="C134" s="42" t="str">
        <f>_xll.RssMarket("3110","高値")</f>
        <v/>
      </c>
      <c r="D134" s="41" t="e">
        <f t="shared" ref="D134:D141" si="4">C134-E134</f>
        <v>#VALUE!</v>
      </c>
      <c r="E134" s="37">
        <v>3155</v>
      </c>
      <c r="F134" s="37">
        <v>3625</v>
      </c>
      <c r="G134" s="32">
        <v>3475</v>
      </c>
      <c r="H134" s="32">
        <v>3680</v>
      </c>
      <c r="I134" s="32">
        <v>3630</v>
      </c>
      <c r="J134" s="32">
        <v>3725</v>
      </c>
      <c r="K134" s="32">
        <v>3710</v>
      </c>
      <c r="L134" s="32">
        <v>3870</v>
      </c>
      <c r="M134" s="32">
        <v>3620</v>
      </c>
      <c r="N134" s="32">
        <v>3660</v>
      </c>
      <c r="O134" s="32">
        <v>3860</v>
      </c>
      <c r="P134" s="32">
        <v>4325</v>
      </c>
      <c r="Q134" s="32">
        <v>4460</v>
      </c>
      <c r="R134" s="32">
        <v>4580</v>
      </c>
      <c r="S134" s="32">
        <v>20080</v>
      </c>
      <c r="T134" s="32">
        <v>21520</v>
      </c>
      <c r="U134" s="32">
        <v>20660</v>
      </c>
      <c r="V134" s="32">
        <v>21180</v>
      </c>
      <c r="W134" s="32">
        <v>21530</v>
      </c>
      <c r="X134" s="32">
        <v>19790</v>
      </c>
      <c r="Y134" s="32">
        <v>21340</v>
      </c>
      <c r="Z134" s="32">
        <v>21630</v>
      </c>
      <c r="AA134" s="32">
        <v>22490</v>
      </c>
      <c r="AB134" s="32">
        <v>20180</v>
      </c>
      <c r="AC134" s="32">
        <v>19310</v>
      </c>
      <c r="AD134" s="32">
        <v>17630</v>
      </c>
      <c r="AE134" s="32">
        <v>18070</v>
      </c>
      <c r="AF134" s="32">
        <v>18700</v>
      </c>
      <c r="AG134" s="32">
        <v>20370</v>
      </c>
      <c r="AH134" s="32">
        <v>21210</v>
      </c>
      <c r="AI134" s="32">
        <v>22840</v>
      </c>
      <c r="AJ134" s="32">
        <v>22810</v>
      </c>
      <c r="AK134" s="32">
        <v>23020</v>
      </c>
      <c r="AL134" s="32">
        <v>23220</v>
      </c>
      <c r="AM134" s="32">
        <v>25890</v>
      </c>
      <c r="AN134" s="32">
        <v>28590</v>
      </c>
      <c r="AO134" s="32">
        <v>26390</v>
      </c>
      <c r="AP134" s="32">
        <v>22840</v>
      </c>
      <c r="AQ134" s="32">
        <v>22040</v>
      </c>
      <c r="AR134" s="32">
        <v>22070</v>
      </c>
      <c r="AS134" s="32">
        <v>24080</v>
      </c>
      <c r="AT134" s="32">
        <v>26550</v>
      </c>
      <c r="AU134" s="32">
        <v>27630</v>
      </c>
      <c r="AV134" s="32">
        <v>27350</v>
      </c>
      <c r="AW134" s="32">
        <v>30400</v>
      </c>
      <c r="AX134" s="32">
        <v>30500</v>
      </c>
      <c r="AY134" s="32">
        <v>30950</v>
      </c>
      <c r="AZ134" s="32">
        <v>32900</v>
      </c>
      <c r="BA134" s="32">
        <v>29120</v>
      </c>
      <c r="BB134" s="32">
        <v>28990</v>
      </c>
      <c r="BC134" s="32">
        <v>28300</v>
      </c>
      <c r="BD134" s="32">
        <v>27940</v>
      </c>
      <c r="BE134" s="32">
        <v>27820</v>
      </c>
      <c r="BF134" s="32">
        <v>28150</v>
      </c>
      <c r="BG134" s="32">
        <v>27510</v>
      </c>
      <c r="BH134" s="32">
        <v>27690</v>
      </c>
      <c r="BI134" s="32">
        <v>27850</v>
      </c>
      <c r="BJ134" s="32">
        <v>27970</v>
      </c>
      <c r="BK134" s="32">
        <v>27440</v>
      </c>
      <c r="BL134" s="33">
        <v>30100</v>
      </c>
      <c r="BM134" s="1">
        <v>30950</v>
      </c>
      <c r="BN134" s="1">
        <v>29230</v>
      </c>
      <c r="BO134" s="1">
        <v>27590</v>
      </c>
      <c r="BP134" s="1">
        <v>26290</v>
      </c>
    </row>
    <row r="135" spans="1:68" ht="15.9" customHeight="1">
      <c r="A135" s="68" t="s">
        <v>265</v>
      </c>
      <c r="B135" s="28" t="s">
        <v>266</v>
      </c>
      <c r="C135" s="42" t="str">
        <f>_xll.RssMarket("6232","高値")</f>
        <v/>
      </c>
      <c r="D135" s="41" t="e">
        <f t="shared" si="4"/>
        <v>#VALUE!</v>
      </c>
      <c r="E135" s="37">
        <v>1735</v>
      </c>
      <c r="F135" s="37">
        <v>1831</v>
      </c>
      <c r="G135" s="32">
        <v>1767</v>
      </c>
      <c r="H135" s="32">
        <v>1896</v>
      </c>
      <c r="I135" s="32">
        <v>1823</v>
      </c>
      <c r="J135" s="32">
        <v>1770</v>
      </c>
      <c r="K135" s="32">
        <v>1826</v>
      </c>
      <c r="L135" s="32">
        <v>2008</v>
      </c>
      <c r="M135" s="32">
        <v>1967</v>
      </c>
      <c r="N135" s="32">
        <v>1861</v>
      </c>
      <c r="O135" s="32">
        <v>1805</v>
      </c>
      <c r="P135" s="32">
        <v>1785</v>
      </c>
      <c r="Q135" s="32">
        <v>1758</v>
      </c>
      <c r="R135" s="32">
        <v>1725</v>
      </c>
      <c r="S135" s="32">
        <v>1804</v>
      </c>
      <c r="T135" s="32">
        <v>1901</v>
      </c>
      <c r="U135" s="32">
        <v>1980</v>
      </c>
      <c r="V135" s="32">
        <v>1992</v>
      </c>
      <c r="W135" s="32">
        <v>2050</v>
      </c>
      <c r="X135" s="32">
        <v>1934</v>
      </c>
      <c r="Y135" s="32">
        <v>1887</v>
      </c>
      <c r="Z135" s="32">
        <v>1895</v>
      </c>
      <c r="AA135" s="32">
        <v>1879</v>
      </c>
      <c r="AB135" s="32">
        <v>1831</v>
      </c>
      <c r="AC135" s="32">
        <v>1888</v>
      </c>
      <c r="AD135" s="32">
        <v>1878</v>
      </c>
      <c r="AE135" s="32">
        <v>2076</v>
      </c>
      <c r="AF135" s="32">
        <v>2108</v>
      </c>
      <c r="AG135" s="32">
        <v>2169</v>
      </c>
      <c r="AH135" s="32">
        <v>2009</v>
      </c>
      <c r="AI135" s="32">
        <v>2085</v>
      </c>
      <c r="AJ135" s="32">
        <v>2150</v>
      </c>
      <c r="AK135" s="32">
        <v>2547</v>
      </c>
      <c r="AL135" s="32">
        <v>2508</v>
      </c>
      <c r="AM135" s="32">
        <v>2495</v>
      </c>
      <c r="AN135" s="32">
        <v>2911</v>
      </c>
      <c r="AO135" s="32">
        <v>2927</v>
      </c>
      <c r="AP135" s="32">
        <v>2915</v>
      </c>
      <c r="AQ135" s="32">
        <v>3220</v>
      </c>
      <c r="AR135" s="32">
        <v>3570</v>
      </c>
      <c r="AS135" s="32">
        <v>3330</v>
      </c>
      <c r="AT135" s="32">
        <v>3435</v>
      </c>
      <c r="AU135" s="32">
        <v>3140</v>
      </c>
      <c r="AV135" s="32">
        <v>3225</v>
      </c>
      <c r="AW135" s="32">
        <v>4130</v>
      </c>
      <c r="AX135" s="32">
        <v>3430</v>
      </c>
      <c r="AY135" s="32">
        <v>2927</v>
      </c>
      <c r="AZ135" s="32">
        <v>2637</v>
      </c>
      <c r="BA135" s="32">
        <v>2722</v>
      </c>
      <c r="BB135" s="32">
        <v>2478</v>
      </c>
      <c r="BC135" s="32">
        <v>2380</v>
      </c>
      <c r="BD135" s="32">
        <v>2598</v>
      </c>
      <c r="BE135" s="32">
        <v>2747</v>
      </c>
      <c r="BF135" s="32">
        <v>2397</v>
      </c>
      <c r="BG135" s="32">
        <v>2122</v>
      </c>
      <c r="BH135" s="32">
        <v>1802</v>
      </c>
      <c r="BI135" s="32">
        <v>1810</v>
      </c>
      <c r="BJ135" s="32">
        <v>1794</v>
      </c>
      <c r="BK135" s="32">
        <v>1921</v>
      </c>
      <c r="BL135" s="33">
        <v>1916</v>
      </c>
      <c r="BM135" s="1">
        <v>1889</v>
      </c>
      <c r="BN135" s="1">
        <v>1817</v>
      </c>
      <c r="BO135" s="1">
        <v>1630</v>
      </c>
      <c r="BP135" s="1">
        <v>1630</v>
      </c>
    </row>
    <row r="136" spans="1:68" ht="15.9" customHeight="1">
      <c r="A136" s="68" t="s">
        <v>267</v>
      </c>
      <c r="B136" s="28" t="s">
        <v>268</v>
      </c>
      <c r="C136" s="42" t="str">
        <f>_xll.RssMarket("7794","高値")</f>
        <v/>
      </c>
      <c r="D136" s="41" t="e">
        <f t="shared" si="4"/>
        <v>#VALUE!</v>
      </c>
      <c r="E136" s="37">
        <v>932</v>
      </c>
      <c r="F136" s="37">
        <v>1036</v>
      </c>
      <c r="G136" s="32">
        <v>1059</v>
      </c>
      <c r="H136" s="32">
        <v>1076</v>
      </c>
      <c r="I136" s="32">
        <v>1084</v>
      </c>
      <c r="J136" s="32">
        <v>1103</v>
      </c>
      <c r="K136" s="32">
        <v>1106</v>
      </c>
      <c r="L136" s="32">
        <v>1174</v>
      </c>
      <c r="M136" s="32">
        <v>1251</v>
      </c>
      <c r="N136" s="32">
        <v>1229</v>
      </c>
      <c r="O136" s="32">
        <v>1245</v>
      </c>
      <c r="P136" s="32">
        <v>1251</v>
      </c>
      <c r="Q136" s="32">
        <v>1258</v>
      </c>
      <c r="R136" s="32">
        <v>1170</v>
      </c>
      <c r="S136" s="32">
        <v>1049</v>
      </c>
      <c r="T136" s="32">
        <v>1088</v>
      </c>
      <c r="U136" s="32">
        <v>1115</v>
      </c>
      <c r="V136" s="32">
        <v>1208</v>
      </c>
      <c r="W136" s="32">
        <v>1209</v>
      </c>
      <c r="X136" s="32">
        <v>1130</v>
      </c>
      <c r="Y136" s="32">
        <v>1112</v>
      </c>
      <c r="Z136" s="32">
        <v>1098</v>
      </c>
      <c r="AA136" s="32">
        <v>1095</v>
      </c>
      <c r="AB136" s="32">
        <v>1144</v>
      </c>
      <c r="AC136" s="32">
        <v>1114</v>
      </c>
      <c r="AD136" s="32">
        <v>1090</v>
      </c>
      <c r="AE136" s="32">
        <v>1118</v>
      </c>
      <c r="AF136" s="32">
        <v>1155</v>
      </c>
      <c r="AG136" s="32">
        <v>1113</v>
      </c>
      <c r="AH136" s="32">
        <v>1071</v>
      </c>
      <c r="AI136" s="32">
        <v>1130</v>
      </c>
      <c r="AJ136" s="32">
        <v>1160</v>
      </c>
      <c r="AK136" s="32">
        <v>1250</v>
      </c>
      <c r="AL136" s="32">
        <v>1394</v>
      </c>
      <c r="AM136" s="32">
        <v>1137</v>
      </c>
      <c r="AN136" s="32">
        <v>1184</v>
      </c>
      <c r="AO136" s="32">
        <v>1148</v>
      </c>
      <c r="AP136" s="32">
        <v>1103</v>
      </c>
      <c r="AQ136" s="32">
        <v>1122</v>
      </c>
      <c r="AR136" s="32">
        <v>1158</v>
      </c>
      <c r="AS136" s="32">
        <v>1165</v>
      </c>
      <c r="AT136" s="32">
        <v>1170</v>
      </c>
      <c r="AU136" s="32">
        <v>1240</v>
      </c>
      <c r="AV136" s="32">
        <v>1364</v>
      </c>
      <c r="AW136" s="32">
        <v>1408</v>
      </c>
      <c r="AX136" s="32">
        <v>1475</v>
      </c>
      <c r="AY136" s="32">
        <v>1387</v>
      </c>
      <c r="AZ136" s="32">
        <v>1342</v>
      </c>
      <c r="BA136" s="32">
        <v>1350</v>
      </c>
      <c r="BB136" s="32">
        <v>1388</v>
      </c>
      <c r="BC136" s="32">
        <v>1344</v>
      </c>
      <c r="BD136" s="32">
        <v>1429</v>
      </c>
      <c r="BE136" s="32">
        <v>1520</v>
      </c>
      <c r="BF136" s="32">
        <v>1516</v>
      </c>
      <c r="BG136" s="32">
        <v>1678</v>
      </c>
      <c r="BH136" s="32">
        <v>1621</v>
      </c>
      <c r="BI136" s="32">
        <v>1584</v>
      </c>
      <c r="BJ136" s="32">
        <v>1287</v>
      </c>
      <c r="BK136" s="32">
        <v>1245</v>
      </c>
      <c r="BL136" s="33">
        <v>1236</v>
      </c>
      <c r="BM136" s="1">
        <v>1227</v>
      </c>
      <c r="BN136" s="1">
        <v>1216</v>
      </c>
      <c r="BO136" s="1">
        <v>1230</v>
      </c>
      <c r="BP136" s="1">
        <v>1229</v>
      </c>
    </row>
    <row r="137" spans="1:68" ht="15.9" customHeight="1">
      <c r="A137" s="68" t="s">
        <v>269</v>
      </c>
      <c r="B137" s="28" t="s">
        <v>270</v>
      </c>
      <c r="C137" s="42" t="str">
        <f>_xll.RssMarket("6085","高値")</f>
        <v/>
      </c>
      <c r="D137" s="41" t="e">
        <f t="shared" si="4"/>
        <v>#VALUE!</v>
      </c>
      <c r="E137" s="37">
        <v>168</v>
      </c>
      <c r="F137" s="37">
        <v>215</v>
      </c>
      <c r="G137" s="32">
        <v>211</v>
      </c>
      <c r="H137" s="32">
        <v>230</v>
      </c>
      <c r="I137" s="32">
        <v>231</v>
      </c>
      <c r="J137" s="32">
        <v>235</v>
      </c>
      <c r="K137" s="32">
        <v>266</v>
      </c>
      <c r="L137" s="32">
        <v>277</v>
      </c>
      <c r="M137" s="32">
        <v>254</v>
      </c>
      <c r="N137" s="32">
        <v>238</v>
      </c>
      <c r="O137" s="32">
        <v>255</v>
      </c>
      <c r="P137" s="32">
        <v>268</v>
      </c>
      <c r="Q137" s="32">
        <v>285</v>
      </c>
      <c r="R137" s="32">
        <v>312</v>
      </c>
      <c r="S137" s="32">
        <v>304</v>
      </c>
      <c r="T137" s="32">
        <v>318</v>
      </c>
      <c r="U137" s="32">
        <v>361</v>
      </c>
      <c r="V137" s="32">
        <v>382</v>
      </c>
      <c r="W137" s="32">
        <v>331</v>
      </c>
      <c r="X137" s="32">
        <v>350</v>
      </c>
      <c r="Y137" s="32">
        <v>327</v>
      </c>
      <c r="Z137" s="32">
        <v>320</v>
      </c>
      <c r="AA137" s="32">
        <v>361</v>
      </c>
      <c r="AB137" s="32">
        <v>424</v>
      </c>
      <c r="AC137" s="32">
        <v>413</v>
      </c>
      <c r="AD137" s="32">
        <v>450</v>
      </c>
      <c r="AE137" s="32">
        <v>329</v>
      </c>
      <c r="AF137" s="32">
        <v>323</v>
      </c>
      <c r="AG137" s="32">
        <v>267</v>
      </c>
      <c r="AH137" s="32">
        <v>275</v>
      </c>
      <c r="AI137" s="32">
        <v>380</v>
      </c>
      <c r="AJ137" s="32">
        <v>347</v>
      </c>
      <c r="AK137" s="32">
        <v>434</v>
      </c>
      <c r="AL137" s="32">
        <v>514</v>
      </c>
      <c r="AM137" s="32">
        <v>544</v>
      </c>
      <c r="AN137" s="32">
        <v>488</v>
      </c>
      <c r="AO137" s="32">
        <v>472</v>
      </c>
      <c r="AP137" s="32">
        <v>463</v>
      </c>
      <c r="AQ137" s="32">
        <v>584</v>
      </c>
      <c r="AR137" s="32">
        <v>585</v>
      </c>
      <c r="AS137" s="32">
        <v>536</v>
      </c>
      <c r="AT137" s="32">
        <v>562</v>
      </c>
      <c r="AU137" s="32">
        <v>541</v>
      </c>
      <c r="AV137" s="32">
        <v>586</v>
      </c>
      <c r="AW137" s="32">
        <v>604</v>
      </c>
      <c r="AX137" s="32">
        <v>647</v>
      </c>
      <c r="AY137" s="32">
        <v>615</v>
      </c>
      <c r="AZ137" s="32">
        <v>648</v>
      </c>
      <c r="BA137" s="32">
        <v>720</v>
      </c>
      <c r="BB137" s="32">
        <v>640</v>
      </c>
      <c r="BC137" s="32">
        <v>609</v>
      </c>
      <c r="BD137" s="32">
        <v>521</v>
      </c>
      <c r="BE137" s="32">
        <v>480</v>
      </c>
      <c r="BF137" s="32">
        <v>460</v>
      </c>
      <c r="BG137" s="32">
        <v>399</v>
      </c>
      <c r="BH137" s="32">
        <v>399</v>
      </c>
      <c r="BI137" s="32">
        <v>372</v>
      </c>
      <c r="BJ137" s="32">
        <v>336.5</v>
      </c>
      <c r="BK137" s="32">
        <v>300</v>
      </c>
      <c r="BL137" s="33">
        <v>320</v>
      </c>
      <c r="BM137" s="1">
        <v>314.5</v>
      </c>
      <c r="BN137" s="1">
        <v>275</v>
      </c>
      <c r="BO137" s="1">
        <v>259.89999999999998</v>
      </c>
      <c r="BP137" s="1">
        <v>264.89999999999998</v>
      </c>
    </row>
    <row r="138" spans="1:68" ht="15.9" customHeight="1">
      <c r="A138" s="68" t="s">
        <v>271</v>
      </c>
      <c r="B138" s="28" t="s">
        <v>272</v>
      </c>
      <c r="C138" s="42" t="str">
        <f>_xll.RssMarket("3103","高値")</f>
        <v/>
      </c>
      <c r="D138" s="41" t="e">
        <f t="shared" si="4"/>
        <v>#VALUE!</v>
      </c>
      <c r="E138" s="37">
        <v>935</v>
      </c>
      <c r="F138" s="37">
        <v>982</v>
      </c>
      <c r="G138" s="32">
        <v>917</v>
      </c>
      <c r="H138" s="32">
        <v>960</v>
      </c>
      <c r="I138" s="32">
        <v>963</v>
      </c>
      <c r="J138" s="32">
        <v>950</v>
      </c>
      <c r="K138" s="32">
        <v>989</v>
      </c>
      <c r="L138" s="32">
        <v>1067</v>
      </c>
      <c r="M138" s="32">
        <v>1046</v>
      </c>
      <c r="N138" s="32">
        <v>1034</v>
      </c>
      <c r="O138" s="32">
        <v>1020</v>
      </c>
      <c r="P138" s="32">
        <v>1041</v>
      </c>
      <c r="Q138" s="32">
        <v>1055</v>
      </c>
      <c r="R138" s="32">
        <v>1065</v>
      </c>
      <c r="S138" s="32">
        <v>1082</v>
      </c>
      <c r="T138" s="32">
        <v>1088</v>
      </c>
      <c r="U138" s="32">
        <v>1133</v>
      </c>
      <c r="V138" s="32">
        <v>1225</v>
      </c>
      <c r="W138" s="32">
        <v>1329</v>
      </c>
      <c r="X138" s="32">
        <v>1156</v>
      </c>
      <c r="Y138" s="32">
        <v>1298</v>
      </c>
      <c r="Z138" s="32">
        <v>1260</v>
      </c>
      <c r="AA138" s="32">
        <v>1183</v>
      </c>
      <c r="AB138" s="32">
        <v>1212</v>
      </c>
      <c r="AC138" s="32">
        <v>1154</v>
      </c>
      <c r="AD138" s="32">
        <v>1197</v>
      </c>
      <c r="AE138" s="32">
        <v>1269</v>
      </c>
      <c r="AF138" s="32">
        <v>1240</v>
      </c>
      <c r="AG138" s="32">
        <v>1273</v>
      </c>
      <c r="AH138" s="32">
        <v>1258</v>
      </c>
      <c r="AI138" s="32">
        <v>1320</v>
      </c>
      <c r="AJ138" s="32">
        <v>1317</v>
      </c>
      <c r="AK138" s="32">
        <v>1411</v>
      </c>
      <c r="AL138" s="32">
        <v>1453</v>
      </c>
      <c r="AM138" s="32">
        <v>1710</v>
      </c>
      <c r="AN138" s="32">
        <v>1858</v>
      </c>
      <c r="AO138" s="32">
        <v>1574</v>
      </c>
      <c r="AP138" s="32">
        <v>1370</v>
      </c>
      <c r="AQ138" s="32">
        <v>1424</v>
      </c>
      <c r="AR138" s="32">
        <v>1520</v>
      </c>
      <c r="AS138" s="32">
        <v>1630</v>
      </c>
      <c r="AT138" s="32">
        <v>1415</v>
      </c>
      <c r="AU138" s="32">
        <v>2448</v>
      </c>
      <c r="AV138" s="32">
        <v>2419</v>
      </c>
      <c r="AW138" s="32">
        <v>2407</v>
      </c>
      <c r="AX138" s="32">
        <v>2583</v>
      </c>
      <c r="AY138" s="32">
        <v>2667</v>
      </c>
      <c r="AZ138" s="32">
        <v>2549</v>
      </c>
      <c r="BA138" s="32">
        <v>2610</v>
      </c>
      <c r="BB138" s="32">
        <v>2588</v>
      </c>
      <c r="BC138" s="32">
        <v>2737</v>
      </c>
      <c r="BD138" s="32">
        <v>2692</v>
      </c>
      <c r="BE138" s="32">
        <v>2959</v>
      </c>
      <c r="BF138" s="32">
        <v>3335</v>
      </c>
      <c r="BG138" s="32">
        <v>3400</v>
      </c>
      <c r="BH138" s="32">
        <v>4380</v>
      </c>
      <c r="BI138" s="32">
        <v>3785</v>
      </c>
      <c r="BJ138" s="32">
        <v>3085</v>
      </c>
      <c r="BK138" s="32">
        <v>2581</v>
      </c>
      <c r="BL138" s="33">
        <v>2535</v>
      </c>
      <c r="BM138" s="1">
        <v>2163</v>
      </c>
      <c r="BN138" s="1">
        <v>1763</v>
      </c>
      <c r="BO138" s="1">
        <v>1463</v>
      </c>
      <c r="BP138" s="1">
        <v>1170</v>
      </c>
    </row>
    <row r="139" spans="1:68" ht="15.9" customHeight="1">
      <c r="A139" s="68" t="s">
        <v>273</v>
      </c>
      <c r="B139" s="28" t="s">
        <v>274</v>
      </c>
      <c r="C139" s="42" t="str">
        <f>_xll.RssMarket("4422","高値")</f>
        <v/>
      </c>
      <c r="D139" s="41" t="e">
        <f t="shared" si="4"/>
        <v>#VALUE!</v>
      </c>
      <c r="E139" s="37">
        <v>554</v>
      </c>
      <c r="F139" s="37">
        <v>572</v>
      </c>
      <c r="G139" s="32">
        <v>551</v>
      </c>
      <c r="H139" s="32">
        <v>592</v>
      </c>
      <c r="I139" s="32">
        <v>584</v>
      </c>
      <c r="J139" s="32">
        <v>596</v>
      </c>
      <c r="K139" s="32">
        <v>563</v>
      </c>
      <c r="L139" s="32">
        <v>615</v>
      </c>
      <c r="M139" s="32">
        <v>607</v>
      </c>
      <c r="N139" s="32">
        <v>585</v>
      </c>
      <c r="O139" s="32">
        <v>572</v>
      </c>
      <c r="P139" s="32">
        <v>575</v>
      </c>
      <c r="Q139" s="32">
        <v>583</v>
      </c>
      <c r="R139" s="32">
        <v>593</v>
      </c>
      <c r="S139" s="32">
        <v>583</v>
      </c>
      <c r="T139" s="32">
        <v>581</v>
      </c>
      <c r="U139" s="32">
        <v>593</v>
      </c>
      <c r="V139" s="32">
        <v>613</v>
      </c>
      <c r="W139" s="32">
        <v>617</v>
      </c>
      <c r="X139" s="32">
        <v>636</v>
      </c>
      <c r="Y139" s="32">
        <v>632</v>
      </c>
      <c r="Z139" s="32">
        <v>703</v>
      </c>
      <c r="AA139" s="32">
        <v>651</v>
      </c>
      <c r="AB139" s="32">
        <v>678</v>
      </c>
      <c r="AC139" s="32">
        <v>738</v>
      </c>
      <c r="AD139" s="32">
        <v>803</v>
      </c>
      <c r="AE139" s="32">
        <v>795</v>
      </c>
      <c r="AF139" s="32">
        <v>915</v>
      </c>
      <c r="AG139" s="32">
        <v>765</v>
      </c>
      <c r="AH139" s="32">
        <v>674</v>
      </c>
      <c r="AI139" s="32">
        <v>687</v>
      </c>
      <c r="AJ139" s="32">
        <v>698</v>
      </c>
      <c r="AK139" s="32">
        <v>732</v>
      </c>
      <c r="AL139" s="32">
        <v>764</v>
      </c>
      <c r="AM139" s="32">
        <v>804</v>
      </c>
      <c r="AN139" s="32">
        <v>885</v>
      </c>
      <c r="AO139" s="32">
        <v>806</v>
      </c>
      <c r="AP139" s="32">
        <v>832</v>
      </c>
      <c r="AQ139" s="32">
        <v>807</v>
      </c>
      <c r="AR139" s="32">
        <v>869</v>
      </c>
      <c r="AS139" s="32">
        <v>873</v>
      </c>
      <c r="AT139" s="32">
        <v>903</v>
      </c>
      <c r="AU139" s="32">
        <v>952</v>
      </c>
      <c r="AV139" s="32">
        <v>1064</v>
      </c>
      <c r="AW139" s="32">
        <v>1082</v>
      </c>
      <c r="AX139" s="32">
        <v>1034</v>
      </c>
      <c r="AY139" s="32">
        <v>1037</v>
      </c>
      <c r="AZ139" s="32">
        <v>1062</v>
      </c>
      <c r="BA139" s="32">
        <v>1089</v>
      </c>
      <c r="BB139" s="32">
        <v>1196</v>
      </c>
      <c r="BC139" s="32">
        <v>1233</v>
      </c>
      <c r="BD139" s="32">
        <v>1397</v>
      </c>
      <c r="BE139" s="32">
        <v>1630</v>
      </c>
      <c r="BF139" s="32">
        <v>1434</v>
      </c>
      <c r="BG139" s="32">
        <v>1277</v>
      </c>
      <c r="BH139" s="32">
        <v>1524</v>
      </c>
      <c r="BI139" s="32">
        <v>1599</v>
      </c>
      <c r="BJ139" s="32">
        <v>1397</v>
      </c>
      <c r="BK139" s="32">
        <v>1097</v>
      </c>
      <c r="BL139" s="33">
        <v>1116</v>
      </c>
      <c r="BM139" s="1">
        <v>1243</v>
      </c>
      <c r="BN139" s="1">
        <v>1050</v>
      </c>
      <c r="BO139" s="1">
        <v>999</v>
      </c>
      <c r="BP139" s="1">
        <v>1041</v>
      </c>
    </row>
    <row r="140" spans="1:68" ht="15.9" customHeight="1">
      <c r="A140" s="68" t="s">
        <v>275</v>
      </c>
      <c r="B140" s="28" t="s">
        <v>276</v>
      </c>
      <c r="C140" s="42" t="str">
        <f>_xll.RssMarket("6740","高値")</f>
        <v/>
      </c>
      <c r="D140" s="41" t="e">
        <f t="shared" si="4"/>
        <v>#VALUE!</v>
      </c>
      <c r="E140" s="37">
        <v>49</v>
      </c>
      <c r="F140" s="37">
        <v>52</v>
      </c>
      <c r="G140" s="32">
        <v>53</v>
      </c>
      <c r="H140" s="32">
        <v>54</v>
      </c>
      <c r="I140" s="32">
        <v>55</v>
      </c>
      <c r="J140" s="32">
        <v>54</v>
      </c>
      <c r="K140" s="32">
        <v>56</v>
      </c>
      <c r="L140" s="32">
        <v>59</v>
      </c>
      <c r="M140" s="32">
        <v>54</v>
      </c>
      <c r="N140" s="32">
        <v>55</v>
      </c>
      <c r="O140" s="32">
        <v>57</v>
      </c>
      <c r="P140" s="32">
        <v>61</v>
      </c>
      <c r="Q140" s="32">
        <v>76</v>
      </c>
      <c r="R140" s="32">
        <v>60</v>
      </c>
      <c r="S140" s="32">
        <v>55</v>
      </c>
      <c r="T140" s="32">
        <v>62</v>
      </c>
      <c r="U140" s="32">
        <v>55</v>
      </c>
      <c r="V140" s="32">
        <v>54</v>
      </c>
      <c r="W140" s="32">
        <v>53</v>
      </c>
      <c r="X140" s="32">
        <v>47</v>
      </c>
      <c r="Y140" s="32">
        <v>54</v>
      </c>
      <c r="Z140" s="32">
        <v>55</v>
      </c>
      <c r="AA140" s="32">
        <v>59</v>
      </c>
      <c r="AB140" s="32">
        <v>55</v>
      </c>
      <c r="AC140" s="32">
        <v>57</v>
      </c>
      <c r="AD140" s="32">
        <v>55</v>
      </c>
      <c r="AE140" s="32">
        <v>56</v>
      </c>
      <c r="AF140" s="32">
        <v>57</v>
      </c>
      <c r="AG140" s="32">
        <v>60</v>
      </c>
      <c r="AH140" s="32">
        <v>56</v>
      </c>
      <c r="AI140" s="32">
        <v>59</v>
      </c>
      <c r="AJ140" s="32">
        <v>69</v>
      </c>
      <c r="AK140" s="32">
        <v>65</v>
      </c>
      <c r="AL140" s="32">
        <v>68</v>
      </c>
      <c r="AM140" s="32">
        <v>72</v>
      </c>
      <c r="AN140" s="32">
        <v>74</v>
      </c>
      <c r="AO140" s="32">
        <v>81</v>
      </c>
      <c r="AP140" s="32">
        <v>76</v>
      </c>
      <c r="AQ140" s="32">
        <v>78</v>
      </c>
      <c r="AR140" s="32">
        <v>81</v>
      </c>
      <c r="AS140" s="32">
        <v>82</v>
      </c>
      <c r="AT140" s="32">
        <v>86</v>
      </c>
      <c r="AU140" s="32">
        <v>92</v>
      </c>
      <c r="AV140" s="32">
        <v>102</v>
      </c>
      <c r="AW140" s="32">
        <v>124</v>
      </c>
      <c r="AX140" s="32">
        <v>96</v>
      </c>
      <c r="AY140" s="32">
        <v>101</v>
      </c>
      <c r="AZ140" s="32">
        <v>102</v>
      </c>
      <c r="BA140" s="32">
        <v>102</v>
      </c>
      <c r="BB140" s="32">
        <v>112</v>
      </c>
      <c r="BC140" s="32">
        <v>124</v>
      </c>
      <c r="BD140" s="32">
        <v>123</v>
      </c>
      <c r="BE140" s="32">
        <v>115</v>
      </c>
      <c r="BF140" s="32">
        <v>109</v>
      </c>
      <c r="BG140" s="32">
        <v>99</v>
      </c>
      <c r="BH140" s="32">
        <v>91</v>
      </c>
      <c r="BI140" s="32">
        <v>85</v>
      </c>
      <c r="BJ140" s="32">
        <v>94</v>
      </c>
      <c r="BK140" s="32">
        <v>90</v>
      </c>
      <c r="BL140" s="33">
        <v>92</v>
      </c>
      <c r="BM140" s="1">
        <v>89</v>
      </c>
      <c r="BN140" s="1">
        <v>96</v>
      </c>
      <c r="BO140" s="1">
        <v>110</v>
      </c>
      <c r="BP140" s="1">
        <v>113</v>
      </c>
    </row>
    <row r="141" spans="1:68" ht="15.9" customHeight="1">
      <c r="A141" s="68" t="s">
        <v>277</v>
      </c>
      <c r="B141" s="28" t="s">
        <v>278</v>
      </c>
      <c r="C141" s="42" t="str">
        <f>_xll.RssMarket("6613","高値")</f>
        <v/>
      </c>
      <c r="D141" s="41" t="e">
        <f t="shared" si="4"/>
        <v>#VALUE!</v>
      </c>
      <c r="E141" s="37">
        <v>1766</v>
      </c>
      <c r="F141" s="37">
        <v>2456</v>
      </c>
      <c r="G141" s="32">
        <v>2465</v>
      </c>
      <c r="H141" s="32">
        <v>2700</v>
      </c>
      <c r="I141" s="32">
        <v>2609</v>
      </c>
      <c r="J141" s="32">
        <v>2673</v>
      </c>
      <c r="K141" s="32">
        <v>2665</v>
      </c>
      <c r="L141" s="32">
        <v>2682</v>
      </c>
      <c r="M141" s="32">
        <v>2855</v>
      </c>
      <c r="N141" s="32">
        <v>2650</v>
      </c>
      <c r="O141" s="32">
        <v>2680</v>
      </c>
      <c r="P141" s="32">
        <v>2916</v>
      </c>
      <c r="Q141" s="32">
        <v>2838</v>
      </c>
      <c r="R141" s="32">
        <v>2839</v>
      </c>
      <c r="S141" s="32">
        <v>3115</v>
      </c>
      <c r="T141" s="32">
        <v>3255</v>
      </c>
      <c r="U141" s="32">
        <v>2945</v>
      </c>
      <c r="V141" s="32">
        <v>3530</v>
      </c>
      <c r="W141" s="32">
        <v>3020</v>
      </c>
      <c r="X141" s="32">
        <v>2648</v>
      </c>
      <c r="Y141" s="32">
        <v>2588</v>
      </c>
      <c r="Z141" s="32">
        <v>2530</v>
      </c>
      <c r="AA141" s="32">
        <v>2838</v>
      </c>
      <c r="AB141" s="32">
        <v>2958</v>
      </c>
      <c r="AC141" s="32">
        <v>2737</v>
      </c>
      <c r="AD141" s="32">
        <v>2580</v>
      </c>
      <c r="AE141" s="32">
        <v>2594</v>
      </c>
      <c r="AF141" s="32">
        <v>2570</v>
      </c>
      <c r="AG141" s="32">
        <v>2614</v>
      </c>
      <c r="AH141" s="32">
        <v>2650</v>
      </c>
      <c r="AI141" s="32">
        <v>2835</v>
      </c>
      <c r="AJ141" s="32">
        <v>2923</v>
      </c>
      <c r="AK141" s="32">
        <v>2790</v>
      </c>
      <c r="AL141" s="32">
        <v>2820</v>
      </c>
      <c r="AM141" s="32">
        <v>3220</v>
      </c>
      <c r="AN141" s="32">
        <v>3620</v>
      </c>
      <c r="AO141" s="32">
        <v>3100</v>
      </c>
      <c r="AP141" s="32">
        <v>2868</v>
      </c>
      <c r="AQ141" s="32">
        <v>2627</v>
      </c>
      <c r="AR141" s="32">
        <v>2127</v>
      </c>
      <c r="AS141" s="32">
        <v>1886</v>
      </c>
      <c r="AT141" s="32">
        <v>1667</v>
      </c>
      <c r="AU141" s="32">
        <v>1659</v>
      </c>
      <c r="AV141" s="32">
        <v>1775</v>
      </c>
      <c r="AW141" s="32">
        <v>2048</v>
      </c>
      <c r="AX141" s="32">
        <v>1895</v>
      </c>
      <c r="AY141" s="32">
        <v>1610</v>
      </c>
      <c r="AZ141" s="32">
        <v>1535</v>
      </c>
      <c r="BA141" s="32">
        <v>1503</v>
      </c>
      <c r="BB141" s="32">
        <v>1552</v>
      </c>
      <c r="BC141" s="32">
        <v>1550</v>
      </c>
      <c r="BD141" s="32">
        <v>1574</v>
      </c>
      <c r="BE141" s="32">
        <v>1687</v>
      </c>
      <c r="BF141" s="32">
        <v>1596</v>
      </c>
      <c r="BG141" s="32">
        <v>1877</v>
      </c>
      <c r="BH141" s="32">
        <v>1585</v>
      </c>
      <c r="BI141" s="32">
        <v>1379</v>
      </c>
      <c r="BJ141" s="32">
        <v>1447</v>
      </c>
      <c r="BK141" s="32">
        <v>1489</v>
      </c>
      <c r="BL141" s="33">
        <v>1485</v>
      </c>
      <c r="BM141" s="1">
        <v>1269</v>
      </c>
      <c r="BN141" s="1">
        <v>1132</v>
      </c>
      <c r="BO141" s="1">
        <v>1115</v>
      </c>
      <c r="BP141" s="1">
        <v>1152</v>
      </c>
    </row>
    <row r="142" spans="1:68" ht="15.9" customHeight="1">
      <c r="A142" s="68" t="s">
        <v>279</v>
      </c>
      <c r="B142" s="28" t="str">
        <f>銘柄管理!C142</f>
        <v/>
      </c>
      <c r="C142" s="42" t="str">
        <f>_xll.RssMarket("4568","高値")</f>
        <v/>
      </c>
      <c r="D142" s="41"/>
      <c r="E142" s="37">
        <v>2802</v>
      </c>
      <c r="F142" s="37">
        <v>2677</v>
      </c>
      <c r="G142" s="32">
        <v>2727</v>
      </c>
      <c r="H142" s="32">
        <v>2722.5</v>
      </c>
      <c r="I142" s="32">
        <v>2754.5</v>
      </c>
      <c r="J142" s="32">
        <v>2743</v>
      </c>
      <c r="K142" s="32">
        <v>2787.5</v>
      </c>
      <c r="L142" s="32">
        <v>2770</v>
      </c>
      <c r="M142" s="32">
        <v>2775</v>
      </c>
      <c r="N142" s="32">
        <v>2722</v>
      </c>
      <c r="O142" s="32">
        <v>2645</v>
      </c>
      <c r="P142" s="32">
        <v>2607</v>
      </c>
      <c r="Q142" s="32">
        <v>2624</v>
      </c>
      <c r="R142" s="32">
        <v>2662.5</v>
      </c>
      <c r="S142" s="32">
        <v>2588</v>
      </c>
      <c r="T142" s="32">
        <v>2567</v>
      </c>
      <c r="U142" s="32">
        <v>2564</v>
      </c>
      <c r="V142" s="32">
        <v>2534.5</v>
      </c>
      <c r="W142" s="32">
        <v>2577</v>
      </c>
      <c r="X142" s="32">
        <v>2662</v>
      </c>
      <c r="Y142" s="32">
        <v>2706</v>
      </c>
      <c r="Z142" s="32">
        <v>2632</v>
      </c>
      <c r="AA142" s="32">
        <v>2546.5</v>
      </c>
      <c r="AB142" s="32">
        <v>2573.5</v>
      </c>
      <c r="AC142" s="32">
        <v>2524.5</v>
      </c>
      <c r="AD142" s="32">
        <v>2519.5</v>
      </c>
      <c r="AE142" s="32">
        <v>2510.5</v>
      </c>
      <c r="AF142" s="32">
        <v>2540</v>
      </c>
      <c r="AG142" s="32">
        <v>2504</v>
      </c>
      <c r="AH142" s="32">
        <v>2453.5</v>
      </c>
      <c r="AI142" s="32">
        <v>2535</v>
      </c>
      <c r="AJ142" s="32">
        <v>2635.5</v>
      </c>
      <c r="AK142" s="32">
        <v>2765.5</v>
      </c>
      <c r="AL142" s="32">
        <v>2753</v>
      </c>
      <c r="AM142" s="32">
        <v>2790</v>
      </c>
      <c r="AN142" s="32">
        <v>2773</v>
      </c>
      <c r="AO142" s="32">
        <v>2680.5</v>
      </c>
      <c r="AP142" s="32">
        <v>2682.5</v>
      </c>
      <c r="AQ142" s="32">
        <v>2636</v>
      </c>
      <c r="AR142" s="32">
        <v>2674</v>
      </c>
      <c r="AS142" s="32">
        <v>2646.5</v>
      </c>
      <c r="AT142" s="32">
        <v>2593.5</v>
      </c>
      <c r="AU142" s="32">
        <v>2672</v>
      </c>
      <c r="AV142" s="32">
        <v>2745.5</v>
      </c>
      <c r="AW142" s="32">
        <v>2758.5</v>
      </c>
      <c r="AX142" s="32">
        <v>2704</v>
      </c>
      <c r="AY142" s="32">
        <v>2674.5</v>
      </c>
      <c r="AZ142" s="32">
        <v>2621.5</v>
      </c>
      <c r="BA142" s="32">
        <v>2649.5</v>
      </c>
      <c r="BB142" s="32">
        <v>2692</v>
      </c>
      <c r="BC142" s="32">
        <v>2670</v>
      </c>
      <c r="BD142" s="32">
        <v>2629.5</v>
      </c>
      <c r="BE142" s="32">
        <v>2682</v>
      </c>
      <c r="BF142" s="32">
        <v>2830</v>
      </c>
      <c r="BG142" s="32">
        <v>2890.5</v>
      </c>
      <c r="BH142" s="32">
        <v>2989.5</v>
      </c>
      <c r="BI142" s="32">
        <v>3016</v>
      </c>
      <c r="BJ142" s="32">
        <v>2967.5</v>
      </c>
      <c r="BK142" s="32">
        <v>2949</v>
      </c>
      <c r="BL142" s="33">
        <v>2893</v>
      </c>
      <c r="BM142" s="1">
        <v>2761</v>
      </c>
      <c r="BN142" s="1">
        <v>2762</v>
      </c>
      <c r="BO142" s="1">
        <v>2790.5</v>
      </c>
      <c r="BP142" s="1">
        <v>2840</v>
      </c>
    </row>
    <row r="143" spans="1:68" ht="15.9" customHeight="1">
      <c r="A143" s="68" t="s">
        <v>280</v>
      </c>
      <c r="B143" s="28" t="s">
        <v>281</v>
      </c>
      <c r="C143" s="42" t="str">
        <f>_xll.RssMarket("6522","高値")</f>
        <v/>
      </c>
      <c r="D143" s="41" t="e">
        <f t="shared" ref="D143:D188" si="5">C143-E143</f>
        <v>#VALUE!</v>
      </c>
      <c r="E143" s="37">
        <v>1409</v>
      </c>
      <c r="F143" s="37">
        <v>1908</v>
      </c>
      <c r="G143" s="32">
        <v>2060</v>
      </c>
      <c r="H143" s="32">
        <v>2379</v>
      </c>
      <c r="I143" s="32">
        <v>2110</v>
      </c>
      <c r="J143" s="32">
        <v>2240</v>
      </c>
      <c r="K143" s="32">
        <v>2580</v>
      </c>
      <c r="L143" s="32">
        <v>2096</v>
      </c>
      <c r="M143" s="32">
        <v>1979</v>
      </c>
      <c r="N143" s="32">
        <v>2267</v>
      </c>
      <c r="O143" s="32">
        <v>1960</v>
      </c>
      <c r="P143" s="32">
        <v>1630</v>
      </c>
      <c r="Q143" s="32">
        <v>1330</v>
      </c>
      <c r="R143" s="32">
        <v>1053</v>
      </c>
      <c r="S143" s="32">
        <v>1106</v>
      </c>
      <c r="T143" s="32">
        <v>1159</v>
      </c>
      <c r="U143" s="32">
        <v>1212</v>
      </c>
      <c r="V143" s="32">
        <v>1275</v>
      </c>
      <c r="W143" s="32">
        <v>1279</v>
      </c>
      <c r="X143" s="32">
        <v>1031</v>
      </c>
      <c r="Y143" s="32">
        <v>881</v>
      </c>
      <c r="Z143" s="32">
        <v>740</v>
      </c>
      <c r="AA143" s="32">
        <v>727</v>
      </c>
      <c r="AB143" s="32">
        <v>735</v>
      </c>
      <c r="AC143" s="32">
        <v>754</v>
      </c>
      <c r="AD143" s="32">
        <v>748</v>
      </c>
      <c r="AE143" s="32">
        <v>771</v>
      </c>
      <c r="AF143" s="32">
        <v>755</v>
      </c>
      <c r="AG143" s="32">
        <v>793</v>
      </c>
      <c r="AH143" s="32">
        <v>796</v>
      </c>
      <c r="AI143" s="32">
        <v>849</v>
      </c>
      <c r="AJ143" s="32">
        <v>903</v>
      </c>
      <c r="AK143" s="32">
        <v>852</v>
      </c>
      <c r="AL143" s="32">
        <v>844</v>
      </c>
      <c r="AM143" s="32">
        <v>920</v>
      </c>
      <c r="AN143" s="32">
        <v>991</v>
      </c>
      <c r="AO143" s="32">
        <v>995</v>
      </c>
      <c r="AP143" s="32">
        <v>966</v>
      </c>
      <c r="AQ143" s="32">
        <v>1010</v>
      </c>
      <c r="AR143" s="32">
        <v>1037</v>
      </c>
      <c r="AS143" s="32">
        <v>1016</v>
      </c>
      <c r="AT143" s="32">
        <v>1053</v>
      </c>
      <c r="AU143" s="32">
        <v>1074</v>
      </c>
      <c r="AV143" s="32">
        <v>1076</v>
      </c>
      <c r="AW143" s="32">
        <v>1190</v>
      </c>
      <c r="AX143" s="32">
        <v>1247</v>
      </c>
      <c r="AY143" s="32">
        <v>1266</v>
      </c>
      <c r="AZ143" s="32">
        <v>1229</v>
      </c>
      <c r="BA143" s="32">
        <v>1260</v>
      </c>
      <c r="BB143" s="32">
        <v>1210</v>
      </c>
      <c r="BC143" s="32">
        <v>1230</v>
      </c>
      <c r="BD143" s="32">
        <v>1340</v>
      </c>
      <c r="BE143" s="32">
        <v>1360</v>
      </c>
      <c r="BF143" s="32">
        <v>1371</v>
      </c>
      <c r="BG143" s="32">
        <v>1599</v>
      </c>
      <c r="BH143" s="32">
        <v>1336</v>
      </c>
      <c r="BI143" s="32">
        <v>1138</v>
      </c>
      <c r="BJ143" s="32">
        <v>1116</v>
      </c>
      <c r="BK143" s="32">
        <v>1086</v>
      </c>
      <c r="BL143" s="33">
        <v>1195</v>
      </c>
      <c r="BM143" s="1">
        <v>1070</v>
      </c>
      <c r="BN143" s="1">
        <v>1025</v>
      </c>
      <c r="BO143" s="1">
        <v>1034</v>
      </c>
      <c r="BP143" s="1">
        <v>1061</v>
      </c>
    </row>
    <row r="144" spans="1:68" ht="15.9" customHeight="1">
      <c r="A144" s="68" t="s">
        <v>282</v>
      </c>
      <c r="B144" s="28" t="s">
        <v>283</v>
      </c>
      <c r="C144" s="42" t="str">
        <f>_xll.RssMarket("6777","高値")</f>
        <v/>
      </c>
      <c r="D144" s="41" t="e">
        <f t="shared" si="5"/>
        <v>#VALUE!</v>
      </c>
      <c r="E144" s="37">
        <v>19950</v>
      </c>
      <c r="F144" s="37">
        <v>22210</v>
      </c>
      <c r="G144" s="32">
        <v>21200</v>
      </c>
      <c r="H144" s="32">
        <v>21730</v>
      </c>
      <c r="I144" s="32">
        <v>21890</v>
      </c>
      <c r="J144" s="32">
        <v>20950</v>
      </c>
      <c r="K144" s="32">
        <v>21230</v>
      </c>
      <c r="L144" s="32">
        <v>23180</v>
      </c>
      <c r="M144" s="32">
        <v>24800</v>
      </c>
      <c r="N144" s="32">
        <v>23470</v>
      </c>
      <c r="O144" s="32">
        <v>25170</v>
      </c>
      <c r="P144" s="32">
        <v>27900</v>
      </c>
      <c r="Q144" s="32">
        <v>27400</v>
      </c>
      <c r="R144" s="32">
        <v>26860</v>
      </c>
      <c r="S144" s="32">
        <v>29460</v>
      </c>
      <c r="T144" s="32">
        <v>28930</v>
      </c>
      <c r="U144" s="32">
        <v>29580</v>
      </c>
      <c r="V144" s="32">
        <v>30850</v>
      </c>
      <c r="W144" s="32">
        <v>30300</v>
      </c>
      <c r="X144" s="32">
        <v>29830</v>
      </c>
      <c r="Y144" s="32">
        <v>27990</v>
      </c>
      <c r="Z144" s="32">
        <v>27580</v>
      </c>
      <c r="AA144" s="32">
        <v>27700</v>
      </c>
      <c r="AB144" s="32">
        <v>25460</v>
      </c>
      <c r="AC144" s="32">
        <v>24100</v>
      </c>
      <c r="AD144" s="32">
        <v>23410</v>
      </c>
      <c r="AE144" s="32">
        <v>25350</v>
      </c>
      <c r="AF144" s="32">
        <v>23630</v>
      </c>
      <c r="AG144" s="32">
        <v>25820</v>
      </c>
      <c r="AH144" s="32">
        <v>26320</v>
      </c>
      <c r="AI144" s="32">
        <v>28460</v>
      </c>
      <c r="AJ144" s="32">
        <v>26190</v>
      </c>
      <c r="AK144" s="32">
        <v>25930</v>
      </c>
      <c r="AL144" s="32">
        <v>25490</v>
      </c>
      <c r="AM144" s="32">
        <v>26800</v>
      </c>
      <c r="AN144" s="32">
        <v>31450</v>
      </c>
      <c r="AO144" s="32">
        <v>28060</v>
      </c>
      <c r="AP144" s="32">
        <v>28130</v>
      </c>
      <c r="AQ144" s="32">
        <v>28700</v>
      </c>
      <c r="AR144" s="32">
        <v>31600</v>
      </c>
      <c r="AS144" s="32">
        <v>34550</v>
      </c>
      <c r="AT144" s="32">
        <v>32500</v>
      </c>
      <c r="AU144" s="32">
        <v>34700</v>
      </c>
      <c r="AV144" s="32">
        <v>33300</v>
      </c>
      <c r="AW144" s="32">
        <v>31950</v>
      </c>
      <c r="AX144" s="32">
        <v>29280</v>
      </c>
      <c r="AY144" s="32">
        <v>27830</v>
      </c>
      <c r="AZ144" s="32">
        <v>30300</v>
      </c>
      <c r="BA144" s="32">
        <v>28470</v>
      </c>
      <c r="BB144" s="32">
        <v>29410</v>
      </c>
      <c r="BC144" s="32">
        <v>29200</v>
      </c>
      <c r="BD144" s="32">
        <v>29720</v>
      </c>
      <c r="BE144" s="32">
        <v>30550</v>
      </c>
      <c r="BF144" s="32">
        <v>34300</v>
      </c>
      <c r="BG144" s="32">
        <v>30300</v>
      </c>
      <c r="BH144" s="32">
        <v>30400</v>
      </c>
      <c r="BI144" s="32">
        <v>30150</v>
      </c>
      <c r="BJ144" s="32">
        <v>26940</v>
      </c>
      <c r="BK144" s="32">
        <v>25310</v>
      </c>
      <c r="BL144" s="33">
        <v>26750</v>
      </c>
      <c r="BM144" s="1">
        <v>25390</v>
      </c>
      <c r="BN144" s="1">
        <v>23760</v>
      </c>
      <c r="BO144" s="1">
        <v>22250</v>
      </c>
      <c r="BP144" s="1">
        <v>21480</v>
      </c>
    </row>
    <row r="145" spans="1:68" ht="15.9" customHeight="1">
      <c r="A145" s="68" t="s">
        <v>284</v>
      </c>
      <c r="B145" s="28" t="s">
        <v>285</v>
      </c>
      <c r="C145" s="42" t="str">
        <f>_xll.RssMarket("6787","高値")</f>
        <v/>
      </c>
      <c r="D145" s="41" t="e">
        <f t="shared" si="5"/>
        <v>#VALUE!</v>
      </c>
      <c r="E145" s="37">
        <v>23960</v>
      </c>
      <c r="F145" s="37">
        <v>26960</v>
      </c>
      <c r="G145" s="32">
        <v>25970</v>
      </c>
      <c r="H145" s="32">
        <v>27600</v>
      </c>
      <c r="I145" s="32">
        <v>27340</v>
      </c>
      <c r="J145" s="32">
        <v>26870</v>
      </c>
      <c r="K145" s="32">
        <v>26790</v>
      </c>
      <c r="L145" s="32">
        <v>27520</v>
      </c>
      <c r="M145" s="32">
        <v>29550</v>
      </c>
      <c r="N145" s="32">
        <v>30000</v>
      </c>
      <c r="O145" s="32">
        <v>29150</v>
      </c>
      <c r="P145" s="32">
        <v>31600</v>
      </c>
      <c r="Q145" s="32">
        <v>32500</v>
      </c>
      <c r="R145" s="32">
        <v>31900</v>
      </c>
      <c r="S145" s="32">
        <v>31750</v>
      </c>
      <c r="T145" s="32">
        <v>34300</v>
      </c>
      <c r="U145" s="32">
        <v>34900</v>
      </c>
      <c r="V145" s="32">
        <v>37050</v>
      </c>
      <c r="W145" s="32">
        <v>39900</v>
      </c>
      <c r="X145" s="32">
        <v>40900</v>
      </c>
      <c r="Y145" s="32">
        <v>37550</v>
      </c>
      <c r="Z145" s="32">
        <v>36600</v>
      </c>
      <c r="AA145" s="32">
        <v>37250</v>
      </c>
      <c r="AB145" s="32">
        <v>32950</v>
      </c>
      <c r="AC145" s="32">
        <v>32050</v>
      </c>
      <c r="AD145" s="32">
        <v>31500</v>
      </c>
      <c r="AE145" s="32">
        <v>32850</v>
      </c>
      <c r="AF145" s="32">
        <v>34600</v>
      </c>
      <c r="AG145" s="32">
        <v>36200</v>
      </c>
      <c r="AH145" s="32">
        <v>37350</v>
      </c>
      <c r="AI145" s="32">
        <v>40550</v>
      </c>
      <c r="AJ145" s="32">
        <v>40400</v>
      </c>
      <c r="AK145" s="32">
        <v>40700</v>
      </c>
      <c r="AL145" s="32">
        <v>38850</v>
      </c>
      <c r="AM145" s="32">
        <v>40550</v>
      </c>
      <c r="AN145" s="32">
        <v>45300</v>
      </c>
      <c r="AO145" s="32">
        <v>44250</v>
      </c>
      <c r="AP145" s="32">
        <v>41900</v>
      </c>
      <c r="AQ145" s="32">
        <v>36300</v>
      </c>
      <c r="AR145" s="32">
        <v>40150</v>
      </c>
      <c r="AS145" s="32">
        <v>40700</v>
      </c>
      <c r="AT145" s="32">
        <v>40950</v>
      </c>
      <c r="AU145" s="32">
        <v>38650</v>
      </c>
      <c r="AV145" s="32">
        <v>31650</v>
      </c>
      <c r="AW145" s="32">
        <v>32950</v>
      </c>
      <c r="AX145" s="32">
        <v>33800</v>
      </c>
      <c r="AY145" s="32">
        <v>33600</v>
      </c>
      <c r="AZ145" s="32">
        <v>32000</v>
      </c>
      <c r="BA145" s="32">
        <v>30750</v>
      </c>
      <c r="BB145" s="32">
        <v>32100</v>
      </c>
      <c r="BC145" s="32">
        <v>32400</v>
      </c>
      <c r="BD145" s="32">
        <v>31400</v>
      </c>
      <c r="BE145" s="32">
        <v>29610</v>
      </c>
      <c r="BF145" s="32">
        <v>30150</v>
      </c>
      <c r="BG145" s="32">
        <v>29590</v>
      </c>
      <c r="BH145" s="32">
        <v>28510</v>
      </c>
      <c r="BI145" s="32">
        <v>28680</v>
      </c>
      <c r="BJ145" s="32">
        <v>29620</v>
      </c>
      <c r="BK145" s="32">
        <v>29870</v>
      </c>
      <c r="BL145" s="33">
        <v>29870</v>
      </c>
      <c r="BM145" s="1">
        <v>30050</v>
      </c>
      <c r="BN145" s="1">
        <v>27070</v>
      </c>
      <c r="BO145" s="1">
        <v>28450</v>
      </c>
      <c r="BP145" s="1">
        <v>27650</v>
      </c>
    </row>
    <row r="146" spans="1:68" ht="15.9" customHeight="1">
      <c r="A146" s="68" t="s">
        <v>286</v>
      </c>
      <c r="B146" s="28" t="s">
        <v>287</v>
      </c>
      <c r="C146" s="42" t="str">
        <f>_xll.RssMarket("4888","高値")</f>
        <v/>
      </c>
      <c r="D146" s="41" t="e">
        <f t="shared" si="5"/>
        <v>#VALUE!</v>
      </c>
      <c r="E146" s="37">
        <v>314</v>
      </c>
      <c r="F146" s="37">
        <v>338</v>
      </c>
      <c r="G146" s="32">
        <v>328</v>
      </c>
      <c r="H146" s="32">
        <v>335</v>
      </c>
      <c r="I146" s="32">
        <v>324</v>
      </c>
      <c r="J146" s="32">
        <v>305</v>
      </c>
      <c r="K146" s="32">
        <v>307</v>
      </c>
      <c r="L146" s="32">
        <v>316</v>
      </c>
      <c r="M146" s="32">
        <v>323</v>
      </c>
      <c r="N146" s="32">
        <v>314</v>
      </c>
      <c r="O146" s="32">
        <v>317</v>
      </c>
      <c r="P146" s="32">
        <v>311</v>
      </c>
      <c r="Q146" s="32">
        <v>326</v>
      </c>
      <c r="R146" s="32">
        <v>315</v>
      </c>
      <c r="S146" s="32">
        <v>313</v>
      </c>
      <c r="T146" s="32">
        <v>328</v>
      </c>
      <c r="U146" s="32">
        <v>327</v>
      </c>
      <c r="V146" s="32">
        <v>337</v>
      </c>
      <c r="W146" s="32">
        <v>351</v>
      </c>
      <c r="X146" s="32">
        <v>393</v>
      </c>
      <c r="Y146" s="32">
        <v>426</v>
      </c>
      <c r="Z146" s="32">
        <v>361</v>
      </c>
      <c r="AA146" s="32">
        <v>339</v>
      </c>
      <c r="AB146" s="32">
        <v>342</v>
      </c>
      <c r="AC146" s="32">
        <v>336</v>
      </c>
      <c r="AD146" s="32">
        <v>319</v>
      </c>
      <c r="AE146" s="32">
        <v>320</v>
      </c>
      <c r="AF146" s="32">
        <v>312</v>
      </c>
      <c r="AG146" s="32">
        <v>352</v>
      </c>
      <c r="AH146" s="32">
        <v>353</v>
      </c>
      <c r="AI146" s="32">
        <v>349</v>
      </c>
      <c r="AJ146" s="32">
        <v>339</v>
      </c>
      <c r="AK146" s="32">
        <v>384</v>
      </c>
      <c r="AL146" s="32">
        <v>397</v>
      </c>
      <c r="AM146" s="32">
        <v>422</v>
      </c>
      <c r="AN146" s="32">
        <v>449</v>
      </c>
      <c r="AO146" s="32">
        <v>462</v>
      </c>
      <c r="AP146" s="32">
        <v>452</v>
      </c>
      <c r="AQ146" s="32">
        <v>434</v>
      </c>
      <c r="AR146" s="32">
        <v>456</v>
      </c>
      <c r="AS146" s="32">
        <v>469</v>
      </c>
      <c r="AT146" s="32">
        <v>445</v>
      </c>
      <c r="AU146" s="32">
        <v>440</v>
      </c>
      <c r="AV146" s="32">
        <v>505</v>
      </c>
      <c r="AW146" s="32">
        <v>502</v>
      </c>
      <c r="AX146" s="32">
        <v>541</v>
      </c>
      <c r="AY146" s="32">
        <v>543</v>
      </c>
      <c r="AZ146" s="32">
        <v>555</v>
      </c>
      <c r="BA146" s="32">
        <v>541</v>
      </c>
      <c r="BB146" s="32">
        <v>530</v>
      </c>
      <c r="BC146" s="32">
        <v>552</v>
      </c>
      <c r="BD146" s="32">
        <v>565</v>
      </c>
      <c r="BE146" s="32">
        <v>562</v>
      </c>
      <c r="BF146" s="32">
        <v>573</v>
      </c>
      <c r="BG146" s="32">
        <v>618</v>
      </c>
      <c r="BH146" s="32">
        <v>719</v>
      </c>
      <c r="BI146" s="32">
        <v>749</v>
      </c>
      <c r="BJ146" s="32">
        <v>793</v>
      </c>
      <c r="BK146" s="32">
        <v>750</v>
      </c>
      <c r="BL146" s="33">
        <v>703</v>
      </c>
      <c r="BM146" s="1">
        <v>742</v>
      </c>
      <c r="BN146" s="1">
        <v>745</v>
      </c>
      <c r="BO146" s="1">
        <v>807</v>
      </c>
      <c r="BP146" s="1">
        <v>709</v>
      </c>
    </row>
    <row r="147" spans="1:68" ht="15.9" customHeight="1">
      <c r="A147" s="68" t="s">
        <v>288</v>
      </c>
      <c r="B147" s="28" t="s">
        <v>289</v>
      </c>
      <c r="C147" s="42" t="str">
        <f>_xll.RssMarket("6387","高値")</f>
        <v/>
      </c>
      <c r="D147" s="41" t="e">
        <f t="shared" si="5"/>
        <v>#VALUE!</v>
      </c>
      <c r="E147" s="37">
        <v>10620</v>
      </c>
      <c r="F147" s="37">
        <v>12450</v>
      </c>
      <c r="G147" s="32">
        <v>12860</v>
      </c>
      <c r="H147" s="32">
        <v>13750</v>
      </c>
      <c r="I147" s="32">
        <v>13950</v>
      </c>
      <c r="J147" s="32">
        <v>12100</v>
      </c>
      <c r="K147" s="32">
        <v>11830</v>
      </c>
      <c r="L147" s="32">
        <v>12980</v>
      </c>
      <c r="M147" s="32">
        <v>13500</v>
      </c>
      <c r="N147" s="32">
        <v>13550</v>
      </c>
      <c r="O147" s="32">
        <v>14560</v>
      </c>
      <c r="P147" s="32">
        <v>14430</v>
      </c>
      <c r="Q147" s="32">
        <v>14000</v>
      </c>
      <c r="R147" s="32">
        <v>14350</v>
      </c>
      <c r="S147" s="32">
        <v>15240</v>
      </c>
      <c r="T147" s="32">
        <v>15270</v>
      </c>
      <c r="U147" s="32">
        <v>15780</v>
      </c>
      <c r="V147" s="32">
        <v>16190</v>
      </c>
      <c r="W147" s="32">
        <v>15950</v>
      </c>
      <c r="X147" s="32">
        <v>16030</v>
      </c>
      <c r="Y147" s="32">
        <v>16300</v>
      </c>
      <c r="Z147" s="32">
        <v>16930</v>
      </c>
      <c r="AA147" s="32">
        <v>15200</v>
      </c>
      <c r="AB147" s="32">
        <v>12480</v>
      </c>
      <c r="AC147" s="32">
        <v>11580</v>
      </c>
      <c r="AD147" s="32">
        <v>12320</v>
      </c>
      <c r="AE147" s="32">
        <v>12290</v>
      </c>
      <c r="AF147" s="32">
        <v>12700</v>
      </c>
      <c r="AG147" s="32">
        <v>13150</v>
      </c>
      <c r="AH147" s="32">
        <v>13400</v>
      </c>
      <c r="AI147" s="32">
        <v>12090</v>
      </c>
      <c r="AJ147" s="32">
        <v>10590</v>
      </c>
      <c r="AK147" s="32">
        <v>10470</v>
      </c>
      <c r="AL147" s="32">
        <v>11670</v>
      </c>
      <c r="AM147" s="32">
        <v>12320</v>
      </c>
      <c r="AN147" s="32">
        <v>11970</v>
      </c>
      <c r="AO147" s="32">
        <v>11340</v>
      </c>
      <c r="AP147" s="32">
        <v>11150</v>
      </c>
      <c r="AQ147" s="32">
        <v>12120</v>
      </c>
      <c r="AR147" s="32">
        <v>12630</v>
      </c>
      <c r="AS147" s="32">
        <v>13450</v>
      </c>
      <c r="AT147" s="32">
        <v>14100</v>
      </c>
      <c r="AU147" s="32">
        <v>13290</v>
      </c>
      <c r="AV147" s="32">
        <v>13340</v>
      </c>
      <c r="AW147" s="32">
        <v>14000</v>
      </c>
      <c r="AX147" s="32">
        <v>13920</v>
      </c>
      <c r="AY147" s="32">
        <v>14470</v>
      </c>
      <c r="AZ147" s="32">
        <v>11790</v>
      </c>
      <c r="BA147" s="32">
        <v>11780</v>
      </c>
      <c r="BB147" s="32">
        <v>11300</v>
      </c>
      <c r="BC147" s="32">
        <v>11540</v>
      </c>
      <c r="BD147" s="32">
        <v>11380</v>
      </c>
      <c r="BE147" s="32">
        <v>11040</v>
      </c>
      <c r="BF147" s="32">
        <v>10440</v>
      </c>
      <c r="BG147" s="32">
        <v>9880</v>
      </c>
      <c r="BH147" s="32">
        <v>9820</v>
      </c>
      <c r="BI147" s="32">
        <v>9920</v>
      </c>
      <c r="BJ147" s="32">
        <v>10400</v>
      </c>
      <c r="BK147" s="32">
        <v>10470</v>
      </c>
      <c r="BL147" s="33">
        <v>10760</v>
      </c>
      <c r="BM147" s="1">
        <v>9820</v>
      </c>
      <c r="BN147" s="1">
        <v>9520</v>
      </c>
      <c r="BO147" s="1">
        <v>9340</v>
      </c>
      <c r="BP147" s="1">
        <v>9330</v>
      </c>
    </row>
    <row r="148" spans="1:68" ht="15.9" customHeight="1">
      <c r="A148" s="68" t="s">
        <v>290</v>
      </c>
      <c r="B148" s="28" t="s">
        <v>291</v>
      </c>
      <c r="C148" s="42" t="str">
        <f>_xll.RssMarket("6838","高値")</f>
        <v/>
      </c>
      <c r="D148" s="41" t="e">
        <f t="shared" si="5"/>
        <v>#VALUE!</v>
      </c>
      <c r="E148" s="37">
        <v>1431</v>
      </c>
      <c r="F148" s="37">
        <v>1499</v>
      </c>
      <c r="G148" s="32">
        <v>1467</v>
      </c>
      <c r="H148" s="32">
        <v>1551</v>
      </c>
      <c r="I148" s="32">
        <v>1571</v>
      </c>
      <c r="J148" s="32">
        <v>1580</v>
      </c>
      <c r="K148" s="32">
        <v>1617</v>
      </c>
      <c r="L148" s="32">
        <v>1726</v>
      </c>
      <c r="M148" s="32">
        <v>1865</v>
      </c>
      <c r="N148" s="32">
        <v>1749</v>
      </c>
      <c r="O148" s="32">
        <v>1777</v>
      </c>
      <c r="P148" s="32">
        <v>1800</v>
      </c>
      <c r="Q148" s="32">
        <v>1854</v>
      </c>
      <c r="R148" s="32">
        <v>1942</v>
      </c>
      <c r="S148" s="32">
        <v>2075</v>
      </c>
      <c r="T148" s="32">
        <v>2166</v>
      </c>
      <c r="U148" s="32">
        <v>2070</v>
      </c>
      <c r="V148" s="32">
        <v>2074</v>
      </c>
      <c r="W148" s="32">
        <v>2141</v>
      </c>
      <c r="X148" s="32">
        <v>2262</v>
      </c>
      <c r="Y148" s="32">
        <v>2265</v>
      </c>
      <c r="Z148" s="32">
        <v>2490</v>
      </c>
      <c r="AA148" s="32">
        <v>2280</v>
      </c>
      <c r="AB148" s="32">
        <v>1895</v>
      </c>
      <c r="AC148" s="32">
        <v>1856</v>
      </c>
      <c r="AD148" s="32">
        <v>1813</v>
      </c>
      <c r="AE148" s="32">
        <v>1933</v>
      </c>
      <c r="AF148" s="32">
        <v>2285</v>
      </c>
      <c r="AG148" s="32">
        <v>2483</v>
      </c>
      <c r="AH148" s="32">
        <v>2463</v>
      </c>
      <c r="AI148" s="32">
        <v>2496</v>
      </c>
      <c r="AJ148" s="32">
        <v>2348</v>
      </c>
      <c r="AK148" s="32">
        <v>2286</v>
      </c>
      <c r="AL148" s="32">
        <v>2244</v>
      </c>
      <c r="AM148" s="32">
        <v>2440</v>
      </c>
      <c r="AN148" s="32">
        <v>2199</v>
      </c>
      <c r="AO148" s="32">
        <v>2134</v>
      </c>
      <c r="AP148" s="32">
        <v>1971</v>
      </c>
      <c r="AQ148" s="32">
        <v>2044</v>
      </c>
      <c r="AR148" s="32">
        <v>2183</v>
      </c>
      <c r="AS148" s="32">
        <v>2192</v>
      </c>
      <c r="AT148" s="32">
        <v>2098</v>
      </c>
      <c r="AU148" s="32">
        <v>2044</v>
      </c>
      <c r="AV148" s="32">
        <v>2091</v>
      </c>
      <c r="AW148" s="32">
        <v>2150</v>
      </c>
      <c r="AX148" s="32">
        <v>2326</v>
      </c>
      <c r="AY148" s="32">
        <v>1958</v>
      </c>
      <c r="AZ148" s="32">
        <v>1783</v>
      </c>
      <c r="BA148" s="32">
        <v>1686</v>
      </c>
      <c r="BB148" s="32">
        <v>1736</v>
      </c>
      <c r="BC148" s="32">
        <v>1658</v>
      </c>
      <c r="BD148" s="32">
        <v>1728</v>
      </c>
      <c r="BE148" s="32">
        <v>1820</v>
      </c>
      <c r="BF148" s="32">
        <v>1927</v>
      </c>
      <c r="BG148" s="32">
        <v>1841</v>
      </c>
      <c r="BH148" s="32">
        <v>1899</v>
      </c>
      <c r="BI148" s="32">
        <v>1787</v>
      </c>
      <c r="BJ148" s="32">
        <v>1560</v>
      </c>
      <c r="BK148" s="32">
        <v>1398</v>
      </c>
      <c r="BL148" s="33">
        <v>1348</v>
      </c>
      <c r="BM148" s="1">
        <v>1334</v>
      </c>
      <c r="BN148" s="1">
        <v>1321</v>
      </c>
      <c r="BO148" s="1">
        <v>1387</v>
      </c>
      <c r="BP148" s="1">
        <v>1398</v>
      </c>
    </row>
    <row r="149" spans="1:68" ht="15.9" customHeight="1">
      <c r="A149" s="68" t="s">
        <v>292</v>
      </c>
      <c r="B149" s="28" t="s">
        <v>293</v>
      </c>
      <c r="C149" s="42" t="str">
        <f>_xll.RssMarket("7375","高値")</f>
        <v/>
      </c>
      <c r="D149" s="41" t="e">
        <f t="shared" si="5"/>
        <v>#VALUE!</v>
      </c>
      <c r="E149" s="37">
        <v>1275</v>
      </c>
      <c r="F149" s="37">
        <v>1306</v>
      </c>
      <c r="G149" s="32">
        <v>1380</v>
      </c>
      <c r="H149" s="32">
        <v>1332</v>
      </c>
      <c r="I149" s="32">
        <v>1280</v>
      </c>
      <c r="J149" s="32">
        <v>1268</v>
      </c>
      <c r="K149" s="32">
        <v>1260</v>
      </c>
      <c r="L149" s="32">
        <v>1275</v>
      </c>
      <c r="M149" s="32">
        <v>1284</v>
      </c>
      <c r="N149" s="32">
        <v>1254</v>
      </c>
      <c r="O149" s="32">
        <v>1265</v>
      </c>
      <c r="P149" s="32">
        <v>1257</v>
      </c>
      <c r="Q149" s="32">
        <v>1250</v>
      </c>
      <c r="R149" s="32">
        <v>1345</v>
      </c>
      <c r="S149" s="32">
        <v>1363</v>
      </c>
      <c r="T149" s="32">
        <v>1375</v>
      </c>
      <c r="U149" s="32">
        <v>1428</v>
      </c>
      <c r="V149" s="32">
        <v>1450</v>
      </c>
      <c r="W149" s="32">
        <v>1385</v>
      </c>
      <c r="X149" s="32">
        <v>1388</v>
      </c>
      <c r="Y149" s="32">
        <v>1369</v>
      </c>
      <c r="Z149" s="32">
        <v>1346</v>
      </c>
      <c r="AA149" s="32">
        <v>1288</v>
      </c>
      <c r="AB149" s="32">
        <v>1314</v>
      </c>
      <c r="AC149" s="32">
        <v>1448</v>
      </c>
      <c r="AD149" s="32">
        <v>1391</v>
      </c>
      <c r="AE149" s="32">
        <v>1433</v>
      </c>
      <c r="AF149" s="32">
        <v>1442</v>
      </c>
      <c r="AG149" s="32">
        <v>1479</v>
      </c>
      <c r="AH149" s="32">
        <v>1460</v>
      </c>
      <c r="AI149" s="32">
        <v>1517</v>
      </c>
      <c r="AJ149" s="32">
        <v>1562</v>
      </c>
      <c r="AK149" s="32">
        <v>1665</v>
      </c>
      <c r="AL149" s="32">
        <v>1684</v>
      </c>
      <c r="AM149" s="32">
        <v>2048</v>
      </c>
      <c r="AN149" s="32">
        <v>2095</v>
      </c>
      <c r="AO149" s="32">
        <v>1860</v>
      </c>
      <c r="AP149" s="32">
        <v>1950</v>
      </c>
      <c r="AQ149" s="32">
        <v>2130</v>
      </c>
      <c r="AR149" s="32">
        <v>1940</v>
      </c>
      <c r="AS149" s="32">
        <v>1590</v>
      </c>
      <c r="AT149" s="32">
        <v>1617</v>
      </c>
      <c r="AU149" s="32">
        <v>1792</v>
      </c>
      <c r="AV149" s="32">
        <v>1730</v>
      </c>
      <c r="AW149" s="32">
        <v>1725</v>
      </c>
      <c r="AX149" s="32">
        <v>1843</v>
      </c>
      <c r="AY149" s="32">
        <v>1818</v>
      </c>
      <c r="AZ149" s="32">
        <v>2008</v>
      </c>
      <c r="BA149" s="32">
        <v>2369</v>
      </c>
      <c r="BB149" s="32">
        <v>2235</v>
      </c>
      <c r="BC149" s="32">
        <v>2034</v>
      </c>
      <c r="BD149" s="32">
        <v>2254</v>
      </c>
      <c r="BE149" s="32">
        <v>2399</v>
      </c>
      <c r="BF149" s="32">
        <v>2660</v>
      </c>
      <c r="BG149" s="32">
        <v>2262</v>
      </c>
      <c r="BH149" s="32">
        <v>2067</v>
      </c>
      <c r="BI149" s="32">
        <v>2190</v>
      </c>
      <c r="BJ149" s="32">
        <v>2400</v>
      </c>
      <c r="BK149" s="32">
        <v>2127</v>
      </c>
      <c r="BL149" s="33">
        <v>1890</v>
      </c>
      <c r="BM149" s="1">
        <v>1644</v>
      </c>
      <c r="BN149" s="1">
        <v>1504</v>
      </c>
      <c r="BO149" s="1">
        <v>1750</v>
      </c>
      <c r="BP149" s="1">
        <v>1663</v>
      </c>
    </row>
    <row r="150" spans="1:68" ht="15.9" customHeight="1">
      <c r="A150" s="68" t="s">
        <v>294</v>
      </c>
      <c r="B150" s="28" t="s">
        <v>295</v>
      </c>
      <c r="C150" s="42" t="str">
        <f>_xll.RssMarket("4307","高値")</f>
        <v/>
      </c>
      <c r="D150" s="41" t="e">
        <f t="shared" si="5"/>
        <v>#VALUE!</v>
      </c>
      <c r="E150" s="37">
        <v>5180</v>
      </c>
      <c r="F150" s="37">
        <v>5010</v>
      </c>
      <c r="G150" s="32">
        <v>5199</v>
      </c>
      <c r="H150" s="32">
        <v>5049</v>
      </c>
      <c r="I150" s="32">
        <v>5070</v>
      </c>
      <c r="J150" s="32">
        <v>5078</v>
      </c>
      <c r="K150" s="32">
        <v>5236</v>
      </c>
      <c r="L150" s="32">
        <v>5175</v>
      </c>
      <c r="M150" s="32">
        <v>5117</v>
      </c>
      <c r="N150" s="32">
        <v>5046</v>
      </c>
      <c r="O150" s="32">
        <v>5007</v>
      </c>
      <c r="P150" s="32">
        <v>4612</v>
      </c>
      <c r="Q150" s="32">
        <v>4642</v>
      </c>
      <c r="R150" s="32">
        <v>4649</v>
      </c>
      <c r="S150" s="32">
        <v>4344</v>
      </c>
      <c r="T150" s="32">
        <v>4336</v>
      </c>
      <c r="U150" s="32">
        <v>4443</v>
      </c>
      <c r="V150" s="32">
        <v>4338</v>
      </c>
      <c r="W150" s="32">
        <v>4332</v>
      </c>
      <c r="X150" s="32">
        <v>4534</v>
      </c>
      <c r="Y150" s="32">
        <v>4687</v>
      </c>
      <c r="Z150" s="32">
        <v>4649</v>
      </c>
      <c r="AA150" s="32">
        <v>4517</v>
      </c>
      <c r="AB150" s="32">
        <v>4712</v>
      </c>
      <c r="AC150" s="32">
        <v>4610</v>
      </c>
      <c r="AD150" s="32">
        <v>4694</v>
      </c>
      <c r="AE150" s="32">
        <v>4685</v>
      </c>
      <c r="AF150" s="32">
        <v>4912</v>
      </c>
      <c r="AG150" s="32">
        <v>4930</v>
      </c>
      <c r="AH150" s="32">
        <v>4800</v>
      </c>
      <c r="AI150" s="32">
        <v>4971</v>
      </c>
      <c r="AJ150" s="32">
        <v>5329</v>
      </c>
      <c r="AK150" s="32">
        <v>5117</v>
      </c>
      <c r="AL150" s="32">
        <v>4859</v>
      </c>
      <c r="AM150" s="32">
        <v>4755</v>
      </c>
      <c r="AN150" s="32">
        <v>4695</v>
      </c>
      <c r="AO150" s="32">
        <v>4704</v>
      </c>
      <c r="AP150" s="32">
        <v>4758</v>
      </c>
      <c r="AQ150" s="32">
        <v>4849</v>
      </c>
      <c r="AR150" s="32">
        <v>4848</v>
      </c>
      <c r="AS150" s="32">
        <v>4595</v>
      </c>
      <c r="AT150" s="32">
        <v>4362</v>
      </c>
      <c r="AU150" s="32">
        <v>4275</v>
      </c>
      <c r="AV150" s="32">
        <v>4367</v>
      </c>
      <c r="AW150" s="32">
        <v>4248</v>
      </c>
      <c r="AX150" s="32">
        <v>4402</v>
      </c>
      <c r="AY150" s="32">
        <v>4469</v>
      </c>
      <c r="AZ150" s="32">
        <v>4273</v>
      </c>
      <c r="BA150" s="32">
        <v>4216</v>
      </c>
      <c r="BB150" s="32">
        <v>4300</v>
      </c>
      <c r="BC150" s="32">
        <v>4592</v>
      </c>
      <c r="BD150" s="32">
        <v>4874</v>
      </c>
      <c r="BE150" s="32">
        <v>5224</v>
      </c>
      <c r="BF150" s="32">
        <v>5148</v>
      </c>
      <c r="BG150" s="32">
        <v>5171</v>
      </c>
      <c r="BH150" s="32">
        <v>5078</v>
      </c>
      <c r="BI150" s="32">
        <v>5008</v>
      </c>
      <c r="BJ150" s="32">
        <v>5018</v>
      </c>
      <c r="BK150" s="32">
        <v>5014</v>
      </c>
      <c r="BL150" s="33">
        <v>4908</v>
      </c>
      <c r="BM150" s="1">
        <v>4706</v>
      </c>
      <c r="BN150" s="1">
        <v>4559</v>
      </c>
      <c r="BO150" s="1">
        <v>4469</v>
      </c>
      <c r="BP150" s="1">
        <v>4584</v>
      </c>
    </row>
    <row r="151" spans="1:68" ht="15.9" customHeight="1">
      <c r="A151" s="68" t="s">
        <v>296</v>
      </c>
      <c r="B151" s="28" t="s">
        <v>297</v>
      </c>
      <c r="C151" s="42" t="str">
        <f>_xll.RssMarket("6516","高値")</f>
        <v/>
      </c>
      <c r="D151" s="41" t="e">
        <f t="shared" si="5"/>
        <v>#VALUE!</v>
      </c>
      <c r="E151" s="37">
        <v>5580</v>
      </c>
      <c r="F151" s="37">
        <v>5960</v>
      </c>
      <c r="G151" s="32">
        <v>5880</v>
      </c>
      <c r="H151" s="32">
        <v>6150</v>
      </c>
      <c r="I151" s="32">
        <v>6170</v>
      </c>
      <c r="J151" s="32">
        <v>6030</v>
      </c>
      <c r="K151" s="32">
        <v>6140</v>
      </c>
      <c r="L151" s="32">
        <v>6420</v>
      </c>
      <c r="M151" s="32">
        <v>6600</v>
      </c>
      <c r="N151" s="32">
        <v>6570</v>
      </c>
      <c r="O151" s="32">
        <v>6600</v>
      </c>
      <c r="P151" s="32">
        <v>6750</v>
      </c>
      <c r="Q151" s="32">
        <v>6620</v>
      </c>
      <c r="R151" s="32">
        <v>6930</v>
      </c>
      <c r="S151" s="32">
        <v>7060</v>
      </c>
      <c r="T151" s="32">
        <v>7250</v>
      </c>
      <c r="U151" s="32">
        <v>7360</v>
      </c>
      <c r="V151" s="32">
        <v>7390</v>
      </c>
      <c r="W151" s="32">
        <v>7100</v>
      </c>
      <c r="X151" s="32">
        <v>6910</v>
      </c>
      <c r="Y151" s="32">
        <v>6900</v>
      </c>
      <c r="Z151" s="32">
        <v>6810</v>
      </c>
      <c r="AA151" s="32">
        <v>6720</v>
      </c>
      <c r="AB151" s="32">
        <v>6580</v>
      </c>
      <c r="AC151" s="32">
        <v>6450</v>
      </c>
      <c r="AD151" s="32">
        <v>6300</v>
      </c>
      <c r="AE151" s="32">
        <v>6460</v>
      </c>
      <c r="AF151" s="32">
        <v>6480</v>
      </c>
      <c r="AG151" s="32">
        <v>6770</v>
      </c>
      <c r="AH151" s="32">
        <v>6830</v>
      </c>
      <c r="AI151" s="32">
        <v>6770</v>
      </c>
      <c r="AJ151" s="32">
        <v>6690</v>
      </c>
      <c r="AK151" s="32">
        <v>6920</v>
      </c>
      <c r="AL151" s="32">
        <v>6820</v>
      </c>
      <c r="AM151" s="32">
        <v>7080</v>
      </c>
      <c r="AN151" s="32">
        <v>7260</v>
      </c>
      <c r="AO151" s="32">
        <v>7290</v>
      </c>
      <c r="AP151" s="32">
        <v>7270</v>
      </c>
      <c r="AQ151" s="32">
        <v>6990</v>
      </c>
      <c r="AR151" s="32">
        <v>7330</v>
      </c>
      <c r="AS151" s="32">
        <v>7480</v>
      </c>
      <c r="AT151" s="32">
        <v>7870</v>
      </c>
      <c r="AU151" s="32">
        <v>7810</v>
      </c>
      <c r="AV151" s="32">
        <v>7640</v>
      </c>
      <c r="AW151" s="32">
        <v>7880</v>
      </c>
      <c r="AX151" s="32">
        <v>7800</v>
      </c>
      <c r="AY151" s="32">
        <v>7500</v>
      </c>
      <c r="AZ151" s="32">
        <v>7380</v>
      </c>
      <c r="BA151" s="32">
        <v>6880</v>
      </c>
      <c r="BB151" s="32">
        <v>7200</v>
      </c>
      <c r="BC151" s="32">
        <v>7300</v>
      </c>
      <c r="BD151" s="32">
        <v>6640</v>
      </c>
      <c r="BE151" s="32">
        <v>5750</v>
      </c>
      <c r="BF151" s="32">
        <v>5310</v>
      </c>
      <c r="BG151" s="32">
        <v>5430</v>
      </c>
      <c r="BH151" s="32">
        <v>5280</v>
      </c>
      <c r="BI151" s="32">
        <v>5200</v>
      </c>
      <c r="BJ151" s="32">
        <v>5220</v>
      </c>
      <c r="BK151" s="32">
        <v>5300</v>
      </c>
      <c r="BL151" s="33">
        <v>5430</v>
      </c>
      <c r="BM151" s="1">
        <v>5360</v>
      </c>
      <c r="BN151" s="1">
        <v>5100</v>
      </c>
      <c r="BO151" s="1">
        <v>5080</v>
      </c>
      <c r="BP151" s="1">
        <v>4910</v>
      </c>
    </row>
    <row r="152" spans="1:68" ht="15.9" customHeight="1">
      <c r="A152" s="68" t="s">
        <v>298</v>
      </c>
      <c r="B152" s="28" t="s">
        <v>299</v>
      </c>
      <c r="C152" s="42" t="str">
        <f>_xll.RssMarket("7381","高値")</f>
        <v/>
      </c>
      <c r="D152" s="41" t="e">
        <f t="shared" si="5"/>
        <v>#VALUE!</v>
      </c>
      <c r="E152" s="37">
        <v>1151</v>
      </c>
      <c r="F152" s="37">
        <v>1126</v>
      </c>
      <c r="G152" s="32">
        <v>1081</v>
      </c>
      <c r="H152" s="32">
        <v>1060</v>
      </c>
      <c r="I152" s="32">
        <v>1063</v>
      </c>
      <c r="J152" s="32">
        <v>1077</v>
      </c>
      <c r="K152" s="32">
        <v>1088</v>
      </c>
      <c r="L152" s="32">
        <v>1080</v>
      </c>
      <c r="M152" s="32">
        <v>1057</v>
      </c>
      <c r="N152" s="32">
        <v>1048</v>
      </c>
      <c r="O152" s="32">
        <v>1055</v>
      </c>
      <c r="P152" s="32">
        <v>1044</v>
      </c>
      <c r="Q152" s="32">
        <v>1041</v>
      </c>
      <c r="R152" s="32">
        <v>1005</v>
      </c>
      <c r="S152" s="32">
        <v>996</v>
      </c>
      <c r="T152" s="32">
        <v>981</v>
      </c>
      <c r="U152" s="32">
        <v>977</v>
      </c>
      <c r="V152" s="32">
        <v>985</v>
      </c>
      <c r="W152" s="32">
        <v>976</v>
      </c>
      <c r="X152" s="32">
        <v>987</v>
      </c>
      <c r="Y152" s="32">
        <v>998</v>
      </c>
      <c r="Z152" s="32">
        <v>1019</v>
      </c>
      <c r="AA152" s="32">
        <v>1006</v>
      </c>
      <c r="AB152" s="32">
        <v>1023</v>
      </c>
      <c r="AC152" s="32">
        <v>1004</v>
      </c>
      <c r="AD152" s="32">
        <v>992</v>
      </c>
      <c r="AE152" s="32">
        <v>1010</v>
      </c>
      <c r="AF152" s="32">
        <v>1029</v>
      </c>
      <c r="AG152" s="32">
        <v>1052</v>
      </c>
      <c r="AH152" s="32">
        <v>1039</v>
      </c>
      <c r="AI152" s="32">
        <v>1035</v>
      </c>
      <c r="AJ152" s="32">
        <v>1018</v>
      </c>
      <c r="AK152" s="32">
        <v>1060</v>
      </c>
      <c r="AL152" s="32">
        <v>1052</v>
      </c>
      <c r="AM152" s="32">
        <v>1067</v>
      </c>
      <c r="AN152" s="32">
        <v>1063</v>
      </c>
      <c r="AO152" s="32">
        <v>1089</v>
      </c>
      <c r="AP152" s="32">
        <v>1094</v>
      </c>
      <c r="AQ152" s="32">
        <v>1038</v>
      </c>
      <c r="AR152" s="32">
        <v>1054</v>
      </c>
      <c r="AS152" s="32">
        <v>1052</v>
      </c>
      <c r="AT152" s="32">
        <v>1071</v>
      </c>
      <c r="AU152" s="32">
        <v>1050</v>
      </c>
      <c r="AV152" s="32">
        <v>1034</v>
      </c>
      <c r="AW152" s="32">
        <v>1023</v>
      </c>
      <c r="AX152" s="32">
        <v>1032</v>
      </c>
      <c r="AY152" s="32">
        <v>1019</v>
      </c>
      <c r="AZ152" s="32">
        <v>1038</v>
      </c>
      <c r="BA152" s="32">
        <v>973</v>
      </c>
      <c r="BB152" s="32">
        <v>949</v>
      </c>
      <c r="BC152" s="32">
        <v>984</v>
      </c>
      <c r="BD152" s="32">
        <v>922</v>
      </c>
      <c r="BE152" s="32">
        <v>927</v>
      </c>
      <c r="BF152" s="32">
        <v>926</v>
      </c>
      <c r="BG152" s="32">
        <v>971</v>
      </c>
      <c r="BH152" s="32">
        <v>1002</v>
      </c>
      <c r="BI152" s="32">
        <v>1022</v>
      </c>
      <c r="BJ152" s="32">
        <v>1038</v>
      </c>
      <c r="BK152" s="32">
        <v>1053</v>
      </c>
      <c r="BL152" s="33">
        <v>1049</v>
      </c>
      <c r="BM152" s="1">
        <v>1029</v>
      </c>
      <c r="BN152" s="1">
        <v>1032</v>
      </c>
      <c r="BO152" s="1">
        <v>1050</v>
      </c>
      <c r="BP152" s="1">
        <v>1052</v>
      </c>
    </row>
    <row r="153" spans="1:68" ht="15.9" customHeight="1">
      <c r="A153" s="68" t="s">
        <v>300</v>
      </c>
      <c r="B153" s="28" t="s">
        <v>301</v>
      </c>
      <c r="C153" s="42" t="str">
        <f>_xll.RssMarket("4417","高値")</f>
        <v/>
      </c>
      <c r="D153" s="41" t="e">
        <f t="shared" si="5"/>
        <v>#VALUE!</v>
      </c>
      <c r="E153" s="37">
        <v>4500</v>
      </c>
      <c r="F153" s="37">
        <v>4390</v>
      </c>
      <c r="G153" s="32">
        <v>4005</v>
      </c>
      <c r="H153" s="32">
        <v>4015</v>
      </c>
      <c r="I153" s="32">
        <v>3965</v>
      </c>
      <c r="J153" s="32">
        <v>3980</v>
      </c>
      <c r="K153" s="32">
        <v>4500</v>
      </c>
      <c r="L153" s="32">
        <v>4415</v>
      </c>
      <c r="M153" s="32">
        <v>4530</v>
      </c>
      <c r="N153" s="32">
        <v>4180</v>
      </c>
      <c r="O153" s="32">
        <v>3950</v>
      </c>
      <c r="P153" s="32">
        <v>4000</v>
      </c>
      <c r="Q153" s="32">
        <v>3850</v>
      </c>
      <c r="R153" s="32">
        <v>3320</v>
      </c>
      <c r="S153" s="32">
        <v>3235</v>
      </c>
      <c r="T153" s="32">
        <v>3300</v>
      </c>
      <c r="U153" s="32">
        <v>3305</v>
      </c>
      <c r="V153" s="32">
        <v>3335</v>
      </c>
      <c r="W153" s="32">
        <v>3350</v>
      </c>
      <c r="X153" s="32">
        <v>3260</v>
      </c>
      <c r="Y153" s="32">
        <v>3140</v>
      </c>
      <c r="Z153" s="32">
        <v>3135</v>
      </c>
      <c r="AA153" s="32">
        <v>3100</v>
      </c>
      <c r="AB153" s="32">
        <v>3090</v>
      </c>
      <c r="AC153" s="32">
        <v>3220</v>
      </c>
      <c r="AD153" s="32">
        <v>3170</v>
      </c>
      <c r="AE153" s="32">
        <v>3205</v>
      </c>
      <c r="AF153" s="32">
        <v>3095</v>
      </c>
      <c r="AG153" s="32">
        <v>3420</v>
      </c>
      <c r="AH153" s="32">
        <v>3380</v>
      </c>
      <c r="AI153" s="32">
        <v>3575</v>
      </c>
      <c r="AJ153" s="32">
        <v>3285</v>
      </c>
      <c r="AK153" s="32">
        <v>3385</v>
      </c>
      <c r="AL153" s="32">
        <v>3270</v>
      </c>
      <c r="AM153" s="32">
        <v>3140</v>
      </c>
      <c r="AN153" s="32">
        <v>2995</v>
      </c>
      <c r="AO153" s="32">
        <v>2914</v>
      </c>
      <c r="AP153" s="32">
        <v>2809</v>
      </c>
      <c r="AQ153" s="32">
        <v>2945</v>
      </c>
      <c r="AR153" s="32">
        <v>3040</v>
      </c>
      <c r="AS153" s="32">
        <v>3095</v>
      </c>
      <c r="AT153" s="32">
        <v>2920</v>
      </c>
      <c r="AU153" s="32">
        <v>2936</v>
      </c>
      <c r="AV153" s="32">
        <v>2870</v>
      </c>
      <c r="AW153" s="32">
        <v>2890</v>
      </c>
      <c r="AX153" s="32">
        <v>2527</v>
      </c>
      <c r="AY153" s="32">
        <v>2511</v>
      </c>
      <c r="AZ153" s="32">
        <v>2529</v>
      </c>
      <c r="BA153" s="32">
        <v>2513</v>
      </c>
      <c r="BB153" s="32">
        <v>2501</v>
      </c>
      <c r="BC153" s="32">
        <v>2528</v>
      </c>
      <c r="BD153" s="32">
        <v>2471</v>
      </c>
      <c r="BE153" s="32">
        <v>2528</v>
      </c>
      <c r="BF153" s="32">
        <v>2525</v>
      </c>
      <c r="BG153" s="32">
        <v>2525</v>
      </c>
      <c r="BH153" s="32">
        <v>2377</v>
      </c>
      <c r="BI153" s="32">
        <v>2340</v>
      </c>
      <c r="BJ153" s="32">
        <v>2395</v>
      </c>
      <c r="BK153" s="32">
        <v>2524</v>
      </c>
      <c r="BL153" s="33">
        <v>2589</v>
      </c>
      <c r="BM153" s="1">
        <v>2620</v>
      </c>
      <c r="BN153" s="1">
        <v>2578</v>
      </c>
      <c r="BO153" s="1">
        <v>2547</v>
      </c>
    </row>
    <row r="154" spans="1:68" ht="15.9" customHeight="1">
      <c r="A154" s="68" t="s">
        <v>302</v>
      </c>
      <c r="B154" s="28" t="s">
        <v>303</v>
      </c>
      <c r="C154" s="42" t="str">
        <f>_xll.RssMarket("6981","高値")</f>
        <v/>
      </c>
      <c r="D154" s="41" t="e">
        <f t="shared" si="5"/>
        <v>#VALUE!</v>
      </c>
      <c r="E154" s="37">
        <v>8021</v>
      </c>
      <c r="F154" s="37">
        <v>9188</v>
      </c>
      <c r="G154" s="32">
        <v>9136</v>
      </c>
      <c r="H154" s="32">
        <v>10060</v>
      </c>
      <c r="I154" s="32">
        <v>10085</v>
      </c>
      <c r="J154" s="32">
        <v>9609</v>
      </c>
      <c r="K154" s="32">
        <v>9660</v>
      </c>
      <c r="L154" s="32">
        <v>10380</v>
      </c>
      <c r="M154" s="32">
        <v>11090</v>
      </c>
      <c r="N154" s="32">
        <v>11080</v>
      </c>
      <c r="O154" s="32">
        <v>11370</v>
      </c>
      <c r="P154" s="32">
        <v>12280</v>
      </c>
      <c r="Q154" s="32">
        <v>11640</v>
      </c>
      <c r="R154" s="32">
        <v>11085</v>
      </c>
      <c r="S154" s="32">
        <v>11550</v>
      </c>
      <c r="T154" s="32">
        <v>12020</v>
      </c>
      <c r="U154" s="32">
        <v>11450</v>
      </c>
      <c r="V154" s="32">
        <v>12145</v>
      </c>
      <c r="W154" s="32">
        <v>12895</v>
      </c>
      <c r="X154" s="32">
        <v>12410</v>
      </c>
      <c r="Y154" s="32">
        <v>12850</v>
      </c>
      <c r="Z154" s="32">
        <v>11095</v>
      </c>
      <c r="AA154" s="32">
        <v>10995</v>
      </c>
      <c r="AB154" s="32">
        <v>10060</v>
      </c>
      <c r="AC154" s="32">
        <v>9665</v>
      </c>
      <c r="AD154" s="32">
        <v>9018</v>
      </c>
      <c r="AE154" s="32">
        <v>9580</v>
      </c>
      <c r="AF154" s="32">
        <v>9285</v>
      </c>
      <c r="AG154" s="32">
        <v>10035</v>
      </c>
      <c r="AH154" s="32">
        <v>10380</v>
      </c>
      <c r="AI154" s="32">
        <v>10940</v>
      </c>
      <c r="AJ154" s="32">
        <v>11040</v>
      </c>
      <c r="AK154" s="32">
        <v>10040</v>
      </c>
      <c r="AL154" s="32">
        <v>8899</v>
      </c>
      <c r="AM154" s="32">
        <v>8383</v>
      </c>
      <c r="AN154" s="32">
        <v>8413</v>
      </c>
      <c r="AO154" s="32">
        <v>7226</v>
      </c>
      <c r="AP154" s="32">
        <v>6788</v>
      </c>
      <c r="AQ154" s="32">
        <v>6200</v>
      </c>
      <c r="AR154" s="32">
        <v>6323</v>
      </c>
      <c r="AS154" s="32">
        <v>6292</v>
      </c>
      <c r="AT154" s="32">
        <v>6541</v>
      </c>
      <c r="AU154" s="32">
        <v>6508</v>
      </c>
      <c r="AV154" s="32">
        <v>6118</v>
      </c>
      <c r="AW154" s="32">
        <v>6311</v>
      </c>
      <c r="AX154" s="32">
        <v>6018</v>
      </c>
      <c r="AY154" s="32">
        <v>5910</v>
      </c>
      <c r="AZ154" s="32">
        <v>5716</v>
      </c>
      <c r="BA154" s="32">
        <v>5253</v>
      </c>
      <c r="BB154" s="32">
        <v>5265</v>
      </c>
      <c r="BC154" s="32">
        <v>4995</v>
      </c>
      <c r="BD154" s="32">
        <v>5013</v>
      </c>
      <c r="BE154" s="32">
        <v>5016</v>
      </c>
      <c r="BF154" s="32">
        <v>4867</v>
      </c>
      <c r="BG154" s="32">
        <v>4977</v>
      </c>
      <c r="BH154" s="32">
        <v>4852</v>
      </c>
      <c r="BI154" s="32">
        <v>4813</v>
      </c>
      <c r="BJ154" s="32">
        <v>4796</v>
      </c>
      <c r="BK154" s="32">
        <v>4878</v>
      </c>
      <c r="BL154" s="33">
        <v>4525</v>
      </c>
      <c r="BM154" s="1">
        <v>4353</v>
      </c>
      <c r="BN154" s="1">
        <v>4196</v>
      </c>
      <c r="BO154" s="1">
        <v>4165</v>
      </c>
      <c r="BP154" s="1">
        <v>3990</v>
      </c>
    </row>
    <row r="155" spans="1:68" ht="15.9" customHeight="1">
      <c r="A155" s="68" t="s">
        <v>304</v>
      </c>
      <c r="B155" s="28" t="s">
        <v>305</v>
      </c>
      <c r="C155" s="42" t="str">
        <f>_xll.RssMarket("6754","高値")</f>
        <v/>
      </c>
      <c r="D155" s="41" t="e">
        <f t="shared" si="5"/>
        <v>#VALUE!</v>
      </c>
      <c r="E155" s="37">
        <v>3808</v>
      </c>
      <c r="F155" s="37">
        <v>4139</v>
      </c>
      <c r="G155" s="32">
        <v>4050</v>
      </c>
      <c r="H155" s="32">
        <v>4265</v>
      </c>
      <c r="I155" s="32">
        <v>4327</v>
      </c>
      <c r="J155" s="32">
        <v>4162</v>
      </c>
      <c r="K155" s="32">
        <v>4153</v>
      </c>
      <c r="L155" s="32">
        <v>4280</v>
      </c>
      <c r="M155" s="32">
        <v>4558</v>
      </c>
      <c r="N155" s="32">
        <v>4500</v>
      </c>
      <c r="O155" s="32">
        <v>4606</v>
      </c>
      <c r="P155" s="32">
        <v>4764</v>
      </c>
      <c r="Q155" s="32">
        <v>4440</v>
      </c>
      <c r="R155" s="32">
        <v>4407</v>
      </c>
      <c r="S155" s="32">
        <v>4561</v>
      </c>
      <c r="T155" s="32">
        <v>4699</v>
      </c>
      <c r="U155" s="32">
        <v>4581</v>
      </c>
      <c r="V155" s="32">
        <v>4773</v>
      </c>
      <c r="W155" s="32">
        <v>4396</v>
      </c>
      <c r="X155" s="32">
        <v>4392</v>
      </c>
      <c r="Y155" s="32">
        <v>4186</v>
      </c>
      <c r="Z155" s="32">
        <v>4123</v>
      </c>
      <c r="AA155" s="32">
        <v>4156</v>
      </c>
      <c r="AB155" s="32">
        <v>4073</v>
      </c>
      <c r="AC155" s="32">
        <v>4030</v>
      </c>
      <c r="AD155" s="32">
        <v>3879</v>
      </c>
      <c r="AE155" s="32">
        <v>4151</v>
      </c>
      <c r="AF155" s="32">
        <v>4350</v>
      </c>
      <c r="AG155" s="32">
        <v>4730</v>
      </c>
      <c r="AH155" s="32">
        <v>4732</v>
      </c>
      <c r="AI155" s="32">
        <v>4855</v>
      </c>
      <c r="AJ155" s="32">
        <v>4710</v>
      </c>
      <c r="AK155" s="32">
        <v>4658</v>
      </c>
      <c r="AL155" s="32">
        <v>4606</v>
      </c>
      <c r="AM155" s="32">
        <v>4728</v>
      </c>
      <c r="AN155" s="32">
        <v>4848</v>
      </c>
      <c r="AO155" s="32">
        <v>4630</v>
      </c>
      <c r="AP155" s="32">
        <v>4545</v>
      </c>
      <c r="AQ155" s="32">
        <v>4425</v>
      </c>
      <c r="AR155" s="32">
        <v>4233</v>
      </c>
      <c r="AS155" s="32">
        <v>4272</v>
      </c>
      <c r="AT155" s="32">
        <v>4386</v>
      </c>
      <c r="AU155" s="32">
        <v>4313</v>
      </c>
      <c r="AV155" s="32">
        <v>4209</v>
      </c>
      <c r="AW155" s="32">
        <v>4242</v>
      </c>
      <c r="AX155" s="32">
        <v>4328</v>
      </c>
      <c r="AY155" s="32">
        <v>4263</v>
      </c>
      <c r="AZ155" s="32">
        <v>4137</v>
      </c>
      <c r="BA155" s="32">
        <v>3968</v>
      </c>
      <c r="BB155" s="32">
        <v>4229</v>
      </c>
      <c r="BC155" s="32">
        <v>4235</v>
      </c>
      <c r="BD155" s="32">
        <v>3806</v>
      </c>
      <c r="BE155" s="32">
        <v>3634</v>
      </c>
      <c r="BF155" s="32">
        <v>3649</v>
      </c>
      <c r="BG155" s="32">
        <v>3646</v>
      </c>
      <c r="BH155" s="32">
        <v>3679</v>
      </c>
      <c r="BI155" s="32">
        <v>3514</v>
      </c>
      <c r="BJ155" s="32">
        <v>3465</v>
      </c>
      <c r="BK155" s="32">
        <v>3453</v>
      </c>
      <c r="BL155" s="33">
        <v>3530</v>
      </c>
      <c r="BM155" s="1">
        <v>3454</v>
      </c>
      <c r="BN155" s="1">
        <v>3478</v>
      </c>
      <c r="BO155" s="1">
        <v>3422</v>
      </c>
      <c r="BP155" s="1">
        <v>3305</v>
      </c>
    </row>
    <row r="156" spans="1:68" ht="15.9" customHeight="1">
      <c r="A156" s="68" t="s">
        <v>306</v>
      </c>
      <c r="B156" s="28" t="s">
        <v>307</v>
      </c>
      <c r="C156" s="42" t="str">
        <f>_xll.RssMarket("4088","高値")</f>
        <v/>
      </c>
      <c r="D156" s="41" t="e">
        <f t="shared" si="5"/>
        <v>#VALUE!</v>
      </c>
      <c r="E156" s="37">
        <v>2580</v>
      </c>
      <c r="F156" s="37">
        <v>2588</v>
      </c>
      <c r="G156" s="32">
        <v>2566</v>
      </c>
      <c r="H156" s="32">
        <v>2628</v>
      </c>
      <c r="I156" s="32">
        <v>2676</v>
      </c>
      <c r="J156" s="32">
        <v>2740</v>
      </c>
      <c r="K156" s="32">
        <v>2803</v>
      </c>
      <c r="L156" s="32">
        <v>2836</v>
      </c>
      <c r="M156" s="32">
        <v>2851</v>
      </c>
      <c r="N156" s="32">
        <v>2796</v>
      </c>
      <c r="O156" s="32">
        <v>2800</v>
      </c>
      <c r="P156" s="32">
        <v>2900</v>
      </c>
      <c r="Q156" s="32">
        <v>2781</v>
      </c>
      <c r="R156" s="32">
        <v>2861</v>
      </c>
      <c r="S156" s="32">
        <v>2949</v>
      </c>
      <c r="T156" s="32">
        <v>2763</v>
      </c>
      <c r="U156" s="32">
        <v>2740</v>
      </c>
      <c r="V156" s="32">
        <v>2510</v>
      </c>
      <c r="W156" s="32">
        <v>2525</v>
      </c>
      <c r="X156" s="32">
        <v>2520</v>
      </c>
      <c r="Y156" s="32">
        <v>2530</v>
      </c>
      <c r="Z156" s="32">
        <v>2580</v>
      </c>
      <c r="AA156" s="32">
        <v>2568</v>
      </c>
      <c r="AB156" s="32">
        <v>2480</v>
      </c>
      <c r="AC156" s="32">
        <v>2468</v>
      </c>
      <c r="AD156" s="32">
        <v>2487</v>
      </c>
      <c r="AE156" s="32">
        <v>2470</v>
      </c>
      <c r="AF156" s="32">
        <v>2481</v>
      </c>
      <c r="AG156" s="32">
        <v>2536</v>
      </c>
      <c r="AH156" s="32">
        <v>2508</v>
      </c>
      <c r="AI156" s="32">
        <v>2495</v>
      </c>
      <c r="AJ156" s="32">
        <v>2627</v>
      </c>
      <c r="AK156" s="32">
        <v>2630</v>
      </c>
      <c r="AL156" s="32">
        <v>2674</v>
      </c>
      <c r="AM156" s="32">
        <v>2663</v>
      </c>
      <c r="AN156" s="32">
        <v>2648</v>
      </c>
      <c r="AO156" s="32">
        <v>2589</v>
      </c>
      <c r="AP156" s="32">
        <v>2678</v>
      </c>
      <c r="AQ156" s="32">
        <v>2554</v>
      </c>
      <c r="AR156" s="32">
        <v>2331</v>
      </c>
      <c r="AS156" s="32">
        <v>2310</v>
      </c>
      <c r="AT156" s="32">
        <v>2192</v>
      </c>
      <c r="AU156" s="32">
        <v>2103</v>
      </c>
      <c r="AV156" s="32">
        <v>2078</v>
      </c>
      <c r="AW156" s="32">
        <v>2040</v>
      </c>
      <c r="AX156" s="32">
        <v>1948.5</v>
      </c>
      <c r="AY156" s="32">
        <v>1968.5</v>
      </c>
      <c r="AZ156" s="32">
        <v>2045</v>
      </c>
      <c r="BA156" s="32">
        <v>2243.5</v>
      </c>
      <c r="BB156" s="32">
        <v>2261</v>
      </c>
      <c r="BC156" s="32">
        <v>2244.5</v>
      </c>
      <c r="BD156" s="32">
        <v>2236.5</v>
      </c>
      <c r="BE156" s="32">
        <v>2215.5</v>
      </c>
      <c r="BF156" s="32">
        <v>2259</v>
      </c>
      <c r="BG156" s="32">
        <v>2282</v>
      </c>
      <c r="BH156" s="32">
        <v>2289.5</v>
      </c>
      <c r="BI156" s="32">
        <v>2302</v>
      </c>
      <c r="BJ156" s="32">
        <v>2314</v>
      </c>
      <c r="BK156" s="32">
        <v>2338</v>
      </c>
      <c r="BL156" s="33">
        <v>2271</v>
      </c>
      <c r="BM156" s="1">
        <v>2245</v>
      </c>
      <c r="BN156" s="1">
        <v>2265</v>
      </c>
      <c r="BO156" s="1">
        <v>2296</v>
      </c>
    </row>
    <row r="157" spans="1:68" ht="15.9" customHeight="1">
      <c r="A157" s="68" t="s">
        <v>308</v>
      </c>
      <c r="B157" s="28" t="s">
        <v>309</v>
      </c>
      <c r="C157" s="42" t="str">
        <f>_xll.RssMarket("4091","高値")</f>
        <v/>
      </c>
      <c r="D157" s="41" t="e">
        <f t="shared" si="5"/>
        <v>#VALUE!</v>
      </c>
      <c r="E157" s="37">
        <v>6227</v>
      </c>
      <c r="F157" s="37">
        <v>6189</v>
      </c>
      <c r="G157" s="32">
        <v>6108</v>
      </c>
      <c r="H157" s="32">
        <v>6101</v>
      </c>
      <c r="I157" s="32">
        <v>6239</v>
      </c>
      <c r="J157" s="32">
        <v>6158</v>
      </c>
      <c r="K157" s="32">
        <v>6256</v>
      </c>
      <c r="L157" s="32">
        <v>6300</v>
      </c>
      <c r="M157" s="32">
        <v>6420</v>
      </c>
      <c r="N157" s="32">
        <v>6286</v>
      </c>
      <c r="O157" s="32">
        <v>6345</v>
      </c>
      <c r="P157" s="32">
        <v>6020</v>
      </c>
      <c r="Q157" s="32">
        <v>6034</v>
      </c>
      <c r="R157" s="32">
        <v>6030</v>
      </c>
      <c r="S157" s="32">
        <v>5975</v>
      </c>
      <c r="T157" s="32">
        <v>5715</v>
      </c>
      <c r="U157" s="32">
        <v>5632</v>
      </c>
      <c r="V157" s="32">
        <v>5744</v>
      </c>
      <c r="W157" s="32">
        <v>5557</v>
      </c>
      <c r="X157" s="32">
        <v>5649</v>
      </c>
      <c r="Y157" s="32">
        <v>5652</v>
      </c>
      <c r="Z157" s="32">
        <v>5615</v>
      </c>
      <c r="AA157" s="32">
        <v>5611</v>
      </c>
      <c r="AB157" s="32">
        <v>5757</v>
      </c>
      <c r="AC157" s="32">
        <v>5435</v>
      </c>
      <c r="AD157" s="32">
        <v>5299</v>
      </c>
      <c r="AE157" s="32">
        <v>5388</v>
      </c>
      <c r="AF157" s="32">
        <v>5607</v>
      </c>
      <c r="AG157" s="32">
        <v>5674</v>
      </c>
      <c r="AH157" s="32">
        <v>5684</v>
      </c>
      <c r="AI157" s="32">
        <v>5771</v>
      </c>
      <c r="AJ157" s="32">
        <v>5824</v>
      </c>
      <c r="AK157" s="32">
        <v>6406</v>
      </c>
      <c r="AL157" s="32">
        <v>6377</v>
      </c>
      <c r="AM157" s="32">
        <v>6509</v>
      </c>
      <c r="AN157" s="32">
        <v>6429</v>
      </c>
      <c r="AO157" s="32">
        <v>6278</v>
      </c>
      <c r="AP157" s="32">
        <v>5959</v>
      </c>
      <c r="AQ157" s="32">
        <v>5888</v>
      </c>
      <c r="AR157" s="32">
        <v>6101</v>
      </c>
      <c r="AS157" s="32">
        <v>6108</v>
      </c>
      <c r="AT157" s="32">
        <v>6231</v>
      </c>
      <c r="AU157" s="32">
        <v>6108</v>
      </c>
      <c r="AV157" s="32">
        <v>5925</v>
      </c>
      <c r="AW157" s="32">
        <v>6162</v>
      </c>
      <c r="AX157" s="32">
        <v>6225</v>
      </c>
      <c r="AY157" s="32">
        <v>5800</v>
      </c>
      <c r="AZ157" s="32">
        <v>5782</v>
      </c>
      <c r="BA157" s="32">
        <v>5621</v>
      </c>
      <c r="BB157" s="32">
        <v>5675</v>
      </c>
      <c r="BC157" s="32">
        <v>5691</v>
      </c>
      <c r="BD157" s="32">
        <v>5711</v>
      </c>
      <c r="BE157" s="32">
        <v>5753</v>
      </c>
      <c r="BF157" s="32">
        <v>5694</v>
      </c>
      <c r="BG157" s="32">
        <v>5740</v>
      </c>
      <c r="BH157" s="32">
        <v>5942</v>
      </c>
      <c r="BI157" s="32">
        <v>5875</v>
      </c>
      <c r="BJ157" s="32">
        <v>6076</v>
      </c>
      <c r="BK157" s="32">
        <v>6044</v>
      </c>
      <c r="BL157" s="33">
        <v>5891</v>
      </c>
      <c r="BM157" s="1">
        <v>6009</v>
      </c>
      <c r="BN157" s="1">
        <v>5907</v>
      </c>
      <c r="BO157" s="1">
        <v>5979</v>
      </c>
      <c r="BP157" s="1">
        <v>5942</v>
      </c>
    </row>
    <row r="158" spans="1:68" ht="15.9" customHeight="1">
      <c r="A158" s="68" t="s">
        <v>310</v>
      </c>
      <c r="B158" s="28" t="s">
        <v>311</v>
      </c>
      <c r="C158" s="42" t="str">
        <f>_xll.RssMarket("6857","高値")</f>
        <v/>
      </c>
      <c r="D158" s="41" t="e">
        <f t="shared" si="5"/>
        <v>#VALUE!</v>
      </c>
      <c r="E158" s="37">
        <v>28150</v>
      </c>
      <c r="F158" s="37">
        <v>31550</v>
      </c>
      <c r="G158" s="32">
        <v>29780</v>
      </c>
      <c r="H158" s="32">
        <v>30020</v>
      </c>
      <c r="I158" s="32">
        <v>30580</v>
      </c>
      <c r="J158" s="32">
        <v>29820</v>
      </c>
      <c r="K158" s="32">
        <v>29375</v>
      </c>
      <c r="L158" s="32">
        <v>30120</v>
      </c>
      <c r="M158" s="32">
        <v>30230</v>
      </c>
      <c r="N158" s="32">
        <v>29385</v>
      </c>
      <c r="O158" s="32">
        <v>30650</v>
      </c>
      <c r="P158" s="32">
        <v>34200</v>
      </c>
      <c r="Q158" s="32">
        <v>33010</v>
      </c>
      <c r="R158" s="32">
        <v>32930</v>
      </c>
      <c r="S158" s="32">
        <v>35350</v>
      </c>
      <c r="T158" s="32">
        <v>35940</v>
      </c>
      <c r="U158" s="32">
        <v>31780</v>
      </c>
      <c r="V158" s="32">
        <v>33260</v>
      </c>
      <c r="W158" s="32">
        <v>32600</v>
      </c>
      <c r="X158" s="32">
        <v>32000</v>
      </c>
      <c r="Y158" s="32">
        <v>30670</v>
      </c>
      <c r="Z158" s="32">
        <v>31170</v>
      </c>
      <c r="AA158" s="32">
        <v>31280</v>
      </c>
      <c r="AB158" s="32">
        <v>29620</v>
      </c>
      <c r="AC158" s="32">
        <v>27800</v>
      </c>
      <c r="AD158" s="32">
        <v>25475</v>
      </c>
      <c r="AE158" s="32">
        <v>26035</v>
      </c>
      <c r="AF158" s="32">
        <v>25780</v>
      </c>
      <c r="AG158" s="32">
        <v>27590</v>
      </c>
      <c r="AH158" s="32">
        <v>28435</v>
      </c>
      <c r="AI158" s="32">
        <v>27970</v>
      </c>
      <c r="AJ158" s="32">
        <v>26350</v>
      </c>
      <c r="AK158" s="32">
        <v>26605</v>
      </c>
      <c r="AL158" s="32">
        <v>27195</v>
      </c>
      <c r="AM158" s="32">
        <v>27780</v>
      </c>
      <c r="AN158" s="32">
        <v>28515</v>
      </c>
      <c r="AO158" s="32">
        <v>27120</v>
      </c>
      <c r="AP158" s="32">
        <v>27020</v>
      </c>
      <c r="AQ158" s="32">
        <v>26145</v>
      </c>
      <c r="AR158" s="32">
        <v>26420</v>
      </c>
      <c r="AS158" s="32">
        <v>26580</v>
      </c>
      <c r="AT158" s="32">
        <v>29020</v>
      </c>
      <c r="AU158" s="32">
        <v>29940</v>
      </c>
      <c r="AV158" s="32">
        <v>28340</v>
      </c>
      <c r="AW158" s="32">
        <v>29405</v>
      </c>
      <c r="AX158" s="32">
        <v>30580</v>
      </c>
      <c r="AY158" s="32">
        <v>30070</v>
      </c>
      <c r="AZ158" s="32">
        <v>30260</v>
      </c>
      <c r="BA158" s="32">
        <v>29160</v>
      </c>
      <c r="BB158" s="32">
        <v>29700</v>
      </c>
      <c r="BC158" s="32">
        <v>30710</v>
      </c>
      <c r="BD158" s="32">
        <v>32400</v>
      </c>
      <c r="BE158" s="32">
        <v>29460</v>
      </c>
      <c r="BF158" s="32">
        <v>29070</v>
      </c>
      <c r="BG158" s="32">
        <v>28360</v>
      </c>
      <c r="BH158" s="32">
        <v>27895</v>
      </c>
      <c r="BI158" s="32">
        <v>28055</v>
      </c>
      <c r="BJ158" s="32">
        <v>29050</v>
      </c>
      <c r="BK158" s="32">
        <v>28800</v>
      </c>
      <c r="BL158" s="33">
        <v>28610</v>
      </c>
      <c r="BM158" s="1">
        <v>27130</v>
      </c>
      <c r="BN158" s="1">
        <v>25245</v>
      </c>
      <c r="BO158" s="1">
        <v>25800</v>
      </c>
      <c r="BP158" s="1">
        <v>25010</v>
      </c>
    </row>
    <row r="159" spans="1:68" ht="15.9" customHeight="1">
      <c r="A159" s="68" t="s">
        <v>312</v>
      </c>
      <c r="B159" s="28" t="s">
        <v>313</v>
      </c>
      <c r="C159" s="42" t="str">
        <f>_xll.RssMarket("3891","高値")</f>
        <v/>
      </c>
      <c r="D159" s="41" t="e">
        <f t="shared" si="5"/>
        <v>#VALUE!</v>
      </c>
      <c r="E159" s="37">
        <v>7160</v>
      </c>
      <c r="F159" s="37">
        <v>7950</v>
      </c>
      <c r="G159" s="32">
        <v>7540</v>
      </c>
      <c r="H159" s="32">
        <v>8180</v>
      </c>
      <c r="I159" s="32">
        <v>8330</v>
      </c>
      <c r="J159" s="32">
        <v>8380</v>
      </c>
      <c r="K159" s="32">
        <v>8230</v>
      </c>
      <c r="L159" s="32">
        <v>8790</v>
      </c>
      <c r="M159" s="32">
        <v>9460</v>
      </c>
      <c r="N159" s="32">
        <v>9310</v>
      </c>
      <c r="O159" s="32">
        <v>9780</v>
      </c>
      <c r="P159" s="32">
        <v>10510</v>
      </c>
      <c r="Q159" s="32">
        <v>10300</v>
      </c>
      <c r="R159" s="32">
        <v>10010</v>
      </c>
      <c r="S159" s="32">
        <v>10410</v>
      </c>
      <c r="T159" s="32">
        <v>10560</v>
      </c>
      <c r="U159" s="32">
        <v>10250</v>
      </c>
      <c r="V159" s="32">
        <v>10810</v>
      </c>
      <c r="W159" s="32">
        <v>10750</v>
      </c>
      <c r="X159" s="32">
        <v>11100</v>
      </c>
      <c r="Y159" s="32">
        <v>11110</v>
      </c>
      <c r="Z159" s="32">
        <v>10110</v>
      </c>
      <c r="AA159" s="32">
        <v>9140</v>
      </c>
      <c r="AB159" s="32">
        <v>9040</v>
      </c>
      <c r="AC159" s="32">
        <v>9650</v>
      </c>
      <c r="AD159" s="32">
        <v>9140</v>
      </c>
      <c r="AE159" s="32">
        <v>9750</v>
      </c>
      <c r="AF159" s="32">
        <v>9490</v>
      </c>
      <c r="AG159" s="32">
        <v>9180</v>
      </c>
      <c r="AH159" s="32">
        <v>8640</v>
      </c>
      <c r="AI159" s="32">
        <v>8620</v>
      </c>
      <c r="AJ159" s="32">
        <v>8250</v>
      </c>
      <c r="AK159" s="32">
        <v>7650</v>
      </c>
      <c r="AL159" s="32">
        <v>7110</v>
      </c>
      <c r="AM159" s="32">
        <v>7590</v>
      </c>
      <c r="AN159" s="32">
        <v>7810</v>
      </c>
      <c r="AO159" s="32">
        <v>7510</v>
      </c>
      <c r="AP159" s="32">
        <v>7140</v>
      </c>
      <c r="AQ159" s="32">
        <v>6900</v>
      </c>
      <c r="AR159" s="32">
        <v>6680</v>
      </c>
      <c r="AS159" s="32">
        <v>6490</v>
      </c>
      <c r="AT159" s="32">
        <v>6540</v>
      </c>
      <c r="AU159" s="32">
        <v>6590</v>
      </c>
      <c r="AV159" s="32">
        <v>6550</v>
      </c>
      <c r="AW159" s="32">
        <v>6740</v>
      </c>
      <c r="AX159" s="32">
        <v>6660</v>
      </c>
      <c r="AY159" s="32">
        <v>6460</v>
      </c>
      <c r="AZ159" s="32">
        <v>6600</v>
      </c>
      <c r="BA159" s="32">
        <v>6570</v>
      </c>
      <c r="BB159" s="32">
        <v>6150</v>
      </c>
      <c r="BC159" s="32">
        <v>5150</v>
      </c>
      <c r="BD159" s="32">
        <v>4555</v>
      </c>
      <c r="BE159" s="32">
        <v>4645</v>
      </c>
      <c r="BF159" s="32">
        <v>4670</v>
      </c>
      <c r="BG159" s="32">
        <v>4465</v>
      </c>
      <c r="BH159" s="32">
        <v>4490</v>
      </c>
      <c r="BI159" s="32">
        <v>4645</v>
      </c>
      <c r="BJ159" s="32">
        <v>4560</v>
      </c>
      <c r="BK159" s="32">
        <v>4340</v>
      </c>
      <c r="BL159" s="33">
        <v>4165</v>
      </c>
      <c r="BM159" s="1">
        <v>4130</v>
      </c>
      <c r="BN159" s="1">
        <v>4105</v>
      </c>
      <c r="BO159" s="1">
        <v>4175</v>
      </c>
      <c r="BP159" s="1">
        <v>3865</v>
      </c>
    </row>
    <row r="160" spans="1:68" ht="15.9" customHeight="1">
      <c r="A160" s="68" t="s">
        <v>314</v>
      </c>
      <c r="B160" s="28" t="s">
        <v>315</v>
      </c>
      <c r="C160" s="42" t="str">
        <f>_xll.RssMarket("4373","高値")</f>
        <v/>
      </c>
      <c r="D160" s="41" t="e">
        <f t="shared" si="5"/>
        <v>#VALUE!</v>
      </c>
      <c r="E160" s="37">
        <v>1096</v>
      </c>
      <c r="F160" s="37">
        <v>1038</v>
      </c>
      <c r="G160" s="32">
        <v>1068</v>
      </c>
      <c r="H160" s="32">
        <v>1058</v>
      </c>
      <c r="I160" s="32">
        <v>1066</v>
      </c>
      <c r="J160" s="32">
        <v>1062</v>
      </c>
      <c r="K160" s="32">
        <v>1084</v>
      </c>
      <c r="L160" s="32">
        <v>1080</v>
      </c>
      <c r="M160" s="32">
        <v>1032</v>
      </c>
      <c r="N160" s="32">
        <v>1023</v>
      </c>
      <c r="O160" s="32">
        <v>995</v>
      </c>
      <c r="P160" s="32">
        <v>958</v>
      </c>
      <c r="Q160" s="32">
        <v>955</v>
      </c>
      <c r="R160" s="32">
        <v>964</v>
      </c>
      <c r="S160" s="32">
        <v>915</v>
      </c>
      <c r="T160" s="32">
        <v>932</v>
      </c>
      <c r="U160" s="32">
        <v>931</v>
      </c>
      <c r="V160" s="32">
        <v>933</v>
      </c>
      <c r="W160" s="32">
        <v>952</v>
      </c>
      <c r="X160" s="32">
        <v>942</v>
      </c>
      <c r="Y160" s="32">
        <v>966</v>
      </c>
      <c r="Z160" s="32">
        <v>974</v>
      </c>
      <c r="AA160" s="32">
        <v>962</v>
      </c>
      <c r="AB160" s="32">
        <v>996</v>
      </c>
      <c r="AC160" s="32">
        <v>1004</v>
      </c>
      <c r="AD160" s="32">
        <v>1039</v>
      </c>
      <c r="AE160" s="32">
        <v>1066</v>
      </c>
      <c r="AF160" s="32">
        <v>1090</v>
      </c>
      <c r="AG160" s="32">
        <v>1113</v>
      </c>
      <c r="AH160" s="32">
        <v>1118</v>
      </c>
      <c r="AI160" s="32">
        <v>1128</v>
      </c>
      <c r="AJ160" s="32">
        <v>1158</v>
      </c>
      <c r="AK160" s="32">
        <v>1104</v>
      </c>
      <c r="AL160" s="32">
        <v>1056</v>
      </c>
      <c r="AM160" s="32">
        <v>1042</v>
      </c>
      <c r="AN160" s="32">
        <v>1044</v>
      </c>
      <c r="AO160" s="32">
        <v>1046</v>
      </c>
      <c r="AP160" s="32">
        <v>1030</v>
      </c>
      <c r="AQ160" s="32">
        <v>1027</v>
      </c>
      <c r="AR160" s="32">
        <v>1070</v>
      </c>
      <c r="AS160" s="32">
        <v>965</v>
      </c>
      <c r="AT160" s="32">
        <v>954</v>
      </c>
      <c r="AU160" s="32">
        <v>962</v>
      </c>
      <c r="AV160" s="32">
        <v>979</v>
      </c>
      <c r="AW160" s="32">
        <v>965</v>
      </c>
      <c r="AX160" s="32">
        <v>952</v>
      </c>
      <c r="AY160" s="32">
        <v>939</v>
      </c>
      <c r="AZ160" s="32">
        <v>924</v>
      </c>
      <c r="BA160" s="32">
        <v>938</v>
      </c>
      <c r="BB160" s="32">
        <v>892</v>
      </c>
      <c r="BC160" s="32">
        <v>888</v>
      </c>
      <c r="BD160" s="32">
        <v>921</v>
      </c>
      <c r="BE160" s="32">
        <v>926</v>
      </c>
      <c r="BF160" s="32">
        <v>953</v>
      </c>
      <c r="BG160" s="32">
        <v>967</v>
      </c>
      <c r="BH160" s="32">
        <v>959</v>
      </c>
      <c r="BI160" s="32">
        <v>952</v>
      </c>
      <c r="BJ160" s="32">
        <v>949</v>
      </c>
      <c r="BK160" s="32">
        <v>936</v>
      </c>
      <c r="BL160" s="33">
        <v>922</v>
      </c>
      <c r="BM160" s="1">
        <v>852</v>
      </c>
      <c r="BN160" s="1">
        <v>819</v>
      </c>
      <c r="BO160" s="1">
        <v>830</v>
      </c>
      <c r="BP160" s="1">
        <v>850</v>
      </c>
    </row>
    <row r="161" spans="1:68" ht="15.9" customHeight="1">
      <c r="A161" s="68" t="s">
        <v>316</v>
      </c>
      <c r="B161" s="28" t="s">
        <v>317</v>
      </c>
      <c r="C161" s="42" t="str">
        <f>_xll.RssMarket("8892","高値")</f>
        <v/>
      </c>
      <c r="D161" s="41" t="e">
        <f t="shared" si="5"/>
        <v>#VALUE!</v>
      </c>
      <c r="E161" s="37">
        <v>1118</v>
      </c>
      <c r="F161" s="37">
        <v>1130</v>
      </c>
      <c r="G161" s="32">
        <v>1128</v>
      </c>
      <c r="H161" s="32">
        <v>1139</v>
      </c>
      <c r="I161" s="32">
        <v>1129</v>
      </c>
      <c r="J161" s="32">
        <v>1118</v>
      </c>
      <c r="K161" s="32">
        <v>1113</v>
      </c>
      <c r="L161" s="32">
        <v>1106</v>
      </c>
      <c r="M161" s="32">
        <v>1103</v>
      </c>
      <c r="N161" s="32">
        <v>1093</v>
      </c>
      <c r="O161" s="32">
        <v>1082</v>
      </c>
      <c r="P161" s="32">
        <v>1091</v>
      </c>
      <c r="Q161" s="32">
        <v>1082</v>
      </c>
      <c r="R161" s="32">
        <v>1070</v>
      </c>
      <c r="S161" s="32">
        <v>1065</v>
      </c>
      <c r="T161" s="32">
        <v>1067</v>
      </c>
      <c r="U161" s="32">
        <v>1069</v>
      </c>
      <c r="V161" s="32">
        <v>1077</v>
      </c>
      <c r="W161" s="32">
        <v>1086</v>
      </c>
      <c r="X161" s="32">
        <v>1105</v>
      </c>
      <c r="Y161" s="32">
        <v>1123</v>
      </c>
      <c r="Z161" s="32">
        <v>1110</v>
      </c>
      <c r="AA161" s="32">
        <v>1109</v>
      </c>
      <c r="AB161" s="32">
        <v>1106</v>
      </c>
      <c r="AC161" s="32">
        <v>1097</v>
      </c>
      <c r="AD161" s="32">
        <v>1096</v>
      </c>
      <c r="AE161" s="32">
        <v>1075</v>
      </c>
      <c r="AF161" s="32">
        <v>1084</v>
      </c>
      <c r="AG161" s="32">
        <v>1083</v>
      </c>
      <c r="AH161" s="32">
        <v>1109</v>
      </c>
      <c r="AI161" s="32">
        <v>1107</v>
      </c>
      <c r="AJ161" s="32">
        <v>1109</v>
      </c>
      <c r="AK161" s="32">
        <v>1122</v>
      </c>
      <c r="AL161" s="32">
        <v>1138</v>
      </c>
      <c r="AM161" s="32">
        <v>1142</v>
      </c>
      <c r="AN161" s="32">
        <v>1145</v>
      </c>
      <c r="AO161" s="32">
        <v>1159</v>
      </c>
      <c r="AP161" s="32">
        <v>1125</v>
      </c>
      <c r="AQ161" s="32">
        <v>1154</v>
      </c>
      <c r="AR161" s="32">
        <v>1160</v>
      </c>
      <c r="AS161" s="32">
        <v>1176</v>
      </c>
      <c r="AT161" s="32">
        <v>1185</v>
      </c>
      <c r="AU161" s="32">
        <v>1168</v>
      </c>
      <c r="AV161" s="32">
        <v>1171</v>
      </c>
      <c r="AW161" s="32">
        <v>1178</v>
      </c>
      <c r="AX161" s="32">
        <v>1176</v>
      </c>
      <c r="AY161" s="32">
        <v>1183</v>
      </c>
      <c r="AZ161" s="32">
        <v>1206</v>
      </c>
      <c r="BA161" s="32">
        <v>1223</v>
      </c>
      <c r="BB161" s="32">
        <v>1142</v>
      </c>
      <c r="BC161" s="32">
        <v>1131</v>
      </c>
      <c r="BD161" s="32">
        <v>1141</v>
      </c>
      <c r="BE161" s="32">
        <v>1163</v>
      </c>
      <c r="BF161" s="32">
        <v>1148</v>
      </c>
      <c r="BG161" s="32">
        <v>1139</v>
      </c>
      <c r="BH161" s="32">
        <v>1152</v>
      </c>
      <c r="BI161" s="32">
        <v>1149</v>
      </c>
      <c r="BJ161" s="32">
        <v>1143</v>
      </c>
      <c r="BK161" s="32">
        <v>1136</v>
      </c>
      <c r="BL161" s="33">
        <v>1138</v>
      </c>
      <c r="BM161" s="1">
        <v>1139</v>
      </c>
      <c r="BN161" s="1">
        <v>1143</v>
      </c>
      <c r="BO161" s="1">
        <v>1128</v>
      </c>
      <c r="BP161" s="1">
        <v>1122</v>
      </c>
    </row>
    <row r="162" spans="1:68" ht="15.9" customHeight="1">
      <c r="A162" s="68" t="s">
        <v>318</v>
      </c>
      <c r="B162" s="28" t="s">
        <v>319</v>
      </c>
      <c r="C162" s="42" t="str">
        <f>_xll.RssMarket("9687","高値")</f>
        <v/>
      </c>
      <c r="D162" s="41" t="e">
        <f t="shared" si="5"/>
        <v>#VALUE!</v>
      </c>
      <c r="E162" s="37">
        <v>4400</v>
      </c>
      <c r="F162" s="37">
        <v>4410</v>
      </c>
      <c r="G162" s="32">
        <v>4415</v>
      </c>
      <c r="H162" s="32">
        <v>4395</v>
      </c>
      <c r="I162" s="32">
        <v>4375</v>
      </c>
      <c r="J162" s="32">
        <v>4380</v>
      </c>
      <c r="K162" s="32">
        <v>4375</v>
      </c>
      <c r="L162" s="32">
        <v>4350</v>
      </c>
      <c r="M162" s="32">
        <v>4360</v>
      </c>
      <c r="N162" s="32">
        <v>4370</v>
      </c>
      <c r="O162" s="32">
        <v>4300</v>
      </c>
      <c r="P162" s="32">
        <v>4380</v>
      </c>
      <c r="Q162" s="32">
        <v>4350</v>
      </c>
      <c r="R162" s="32">
        <v>4425</v>
      </c>
      <c r="S162" s="32">
        <v>4360</v>
      </c>
      <c r="T162" s="32">
        <v>4355</v>
      </c>
      <c r="U162" s="32">
        <v>4350</v>
      </c>
      <c r="V162" s="32">
        <v>4355</v>
      </c>
      <c r="W162" s="32">
        <v>4350</v>
      </c>
      <c r="X162" s="32">
        <v>4335</v>
      </c>
      <c r="Y162" s="32">
        <v>4350</v>
      </c>
      <c r="Z162" s="32">
        <v>4345</v>
      </c>
      <c r="AA162" s="32">
        <v>4340</v>
      </c>
      <c r="AB162" s="32">
        <v>4330</v>
      </c>
      <c r="AC162" s="32">
        <v>4345</v>
      </c>
      <c r="AD162" s="32">
        <v>4335</v>
      </c>
      <c r="AE162" s="32">
        <v>4350</v>
      </c>
      <c r="AF162" s="32">
        <v>4335</v>
      </c>
      <c r="AG162" s="32">
        <v>4350</v>
      </c>
      <c r="AH162" s="32">
        <v>4370</v>
      </c>
      <c r="AI162" s="32">
        <v>4380</v>
      </c>
      <c r="AJ162" s="32">
        <v>4370</v>
      </c>
      <c r="AK162" s="32">
        <v>4380</v>
      </c>
      <c r="AL162" s="32">
        <v>4385</v>
      </c>
      <c r="AM162" s="32">
        <v>4390</v>
      </c>
      <c r="AN162" s="32">
        <v>4365</v>
      </c>
      <c r="AO162" s="32">
        <v>4350</v>
      </c>
      <c r="AP162" s="32">
        <v>4395</v>
      </c>
      <c r="AQ162" s="32">
        <v>4380</v>
      </c>
      <c r="AR162" s="32">
        <v>4400</v>
      </c>
      <c r="AS162" s="32">
        <v>4420</v>
      </c>
      <c r="AT162" s="32">
        <v>4400</v>
      </c>
      <c r="AU162" s="32">
        <v>4440</v>
      </c>
      <c r="AV162" s="32">
        <v>4610</v>
      </c>
      <c r="AW162" s="32">
        <v>4415</v>
      </c>
      <c r="AX162" s="32">
        <v>4385</v>
      </c>
      <c r="AY162" s="32">
        <v>4350</v>
      </c>
      <c r="AZ162" s="32">
        <v>4375</v>
      </c>
      <c r="BA162" s="32">
        <v>4375</v>
      </c>
      <c r="BB162" s="32">
        <v>4385</v>
      </c>
      <c r="BC162" s="32">
        <v>4385</v>
      </c>
      <c r="BD162" s="32">
        <v>4445</v>
      </c>
      <c r="BE162" s="32">
        <v>4385</v>
      </c>
      <c r="BF162" s="32">
        <v>4375</v>
      </c>
      <c r="BG162" s="32">
        <v>4355</v>
      </c>
      <c r="BH162" s="32">
        <v>4390</v>
      </c>
      <c r="BI162" s="32">
        <v>4435</v>
      </c>
      <c r="BJ162" s="32">
        <v>4455</v>
      </c>
      <c r="BK162" s="32">
        <v>4455</v>
      </c>
      <c r="BL162" s="33">
        <v>4390</v>
      </c>
      <c r="BM162" s="1">
        <v>4390</v>
      </c>
      <c r="BN162" s="1">
        <v>4405</v>
      </c>
      <c r="BO162" s="1">
        <v>4405</v>
      </c>
      <c r="BP162" s="1">
        <v>4365</v>
      </c>
    </row>
    <row r="163" spans="1:68" ht="15.9" customHeight="1">
      <c r="A163" s="68" t="s">
        <v>320</v>
      </c>
      <c r="B163" s="28" t="s">
        <v>321</v>
      </c>
      <c r="C163" s="42" t="str">
        <f>_xll.RssMarket("1930","高値")</f>
        <v/>
      </c>
      <c r="D163" s="41" t="e">
        <f t="shared" si="5"/>
        <v>#VALUE!</v>
      </c>
      <c r="E163" s="37">
        <v>1608</v>
      </c>
      <c r="F163" s="37">
        <v>1617</v>
      </c>
      <c r="G163" s="32">
        <v>1601</v>
      </c>
      <c r="H163" s="32">
        <v>1639</v>
      </c>
      <c r="I163" s="32">
        <v>1670</v>
      </c>
      <c r="J163" s="32">
        <v>1633</v>
      </c>
      <c r="K163" s="32">
        <v>1703</v>
      </c>
      <c r="L163" s="32">
        <v>1692</v>
      </c>
      <c r="M163" s="32">
        <v>1677</v>
      </c>
      <c r="N163" s="32">
        <v>1692</v>
      </c>
      <c r="O163" s="32">
        <v>1701</v>
      </c>
      <c r="P163" s="32">
        <v>1700</v>
      </c>
      <c r="Q163" s="32">
        <v>1735</v>
      </c>
      <c r="R163" s="32">
        <v>1734</v>
      </c>
      <c r="S163" s="32">
        <v>1724</v>
      </c>
      <c r="T163" s="32">
        <v>1709</v>
      </c>
      <c r="U163" s="32">
        <v>1749</v>
      </c>
      <c r="V163" s="32">
        <v>1725</v>
      </c>
      <c r="W163" s="32">
        <v>1769</v>
      </c>
      <c r="X163" s="32">
        <v>1749</v>
      </c>
      <c r="Y163" s="32">
        <v>1701</v>
      </c>
      <c r="Z163" s="32">
        <v>1715</v>
      </c>
      <c r="AA163" s="32">
        <v>1712</v>
      </c>
      <c r="AB163" s="32">
        <v>1621</v>
      </c>
      <c r="AC163" s="32">
        <v>1586</v>
      </c>
      <c r="AD163" s="32">
        <v>1610</v>
      </c>
      <c r="AE163" s="32">
        <v>1615</v>
      </c>
      <c r="AF163" s="32">
        <v>1624</v>
      </c>
      <c r="AG163" s="32">
        <v>1578</v>
      </c>
      <c r="AH163" s="32">
        <v>1594</v>
      </c>
      <c r="AI163" s="32">
        <v>1619</v>
      </c>
      <c r="AJ163" s="32">
        <v>1721</v>
      </c>
      <c r="AK163" s="32">
        <v>1709</v>
      </c>
      <c r="AL163" s="32">
        <v>1740</v>
      </c>
      <c r="AM163" s="32">
        <v>1683</v>
      </c>
      <c r="AN163" s="32">
        <v>1608</v>
      </c>
      <c r="AO163" s="32">
        <v>1630</v>
      </c>
      <c r="AP163" s="32">
        <v>1645</v>
      </c>
      <c r="AQ163" s="32">
        <v>1658</v>
      </c>
      <c r="AR163" s="32">
        <v>1651</v>
      </c>
      <c r="AS163" s="32">
        <v>1720</v>
      </c>
      <c r="AT163" s="32">
        <v>1750</v>
      </c>
      <c r="AU163" s="32">
        <v>1782</v>
      </c>
      <c r="AV163" s="32">
        <v>1777</v>
      </c>
      <c r="AW163" s="32">
        <v>1743</v>
      </c>
      <c r="AX163" s="32">
        <v>1684</v>
      </c>
      <c r="AY163" s="32">
        <v>1740</v>
      </c>
      <c r="AZ163" s="32">
        <v>1744</v>
      </c>
      <c r="BA163" s="32">
        <v>1717</v>
      </c>
      <c r="BB163" s="32">
        <v>1510</v>
      </c>
      <c r="BC163" s="32">
        <v>1463</v>
      </c>
      <c r="BD163" s="32">
        <v>1464</v>
      </c>
      <c r="BE163" s="32">
        <v>1447</v>
      </c>
      <c r="BF163" s="32">
        <v>1472</v>
      </c>
      <c r="BG163" s="32">
        <v>1486</v>
      </c>
      <c r="BH163" s="32">
        <v>1477</v>
      </c>
      <c r="BI163" s="32">
        <v>1479</v>
      </c>
      <c r="BJ163" s="32">
        <v>1473</v>
      </c>
      <c r="BK163" s="32">
        <v>1478</v>
      </c>
      <c r="BL163" s="33">
        <v>1456</v>
      </c>
      <c r="BM163" s="1">
        <v>1474</v>
      </c>
      <c r="BN163" s="1">
        <v>1504</v>
      </c>
      <c r="BO163" s="1">
        <v>1522</v>
      </c>
      <c r="BP163" s="1">
        <v>1522</v>
      </c>
    </row>
    <row r="164" spans="1:68" ht="15.9" customHeight="1">
      <c r="A164" s="68" t="s">
        <v>322</v>
      </c>
      <c r="B164" s="28" t="s">
        <v>323</v>
      </c>
      <c r="C164" s="42" t="str">
        <f>_xll.RssMarket("8704","高値")</f>
        <v/>
      </c>
      <c r="D164" s="41" t="e">
        <f t="shared" si="5"/>
        <v>#VALUE!</v>
      </c>
      <c r="E164" s="37">
        <v>1294</v>
      </c>
      <c r="F164" s="37">
        <v>1314</v>
      </c>
      <c r="G164" s="32">
        <v>1281</v>
      </c>
      <c r="H164" s="32">
        <v>1272</v>
      </c>
      <c r="I164" s="32">
        <v>1258</v>
      </c>
      <c r="J164" s="32">
        <v>1228</v>
      </c>
      <c r="K164" s="32">
        <v>1250</v>
      </c>
      <c r="L164" s="32">
        <v>1298</v>
      </c>
      <c r="M164" s="32">
        <v>1286</v>
      </c>
      <c r="N164" s="32">
        <v>1269</v>
      </c>
      <c r="O164" s="32">
        <v>1249</v>
      </c>
      <c r="P164" s="32">
        <v>1228</v>
      </c>
      <c r="Q164" s="32">
        <v>1191</v>
      </c>
      <c r="R164" s="32">
        <v>1172</v>
      </c>
      <c r="S164" s="32">
        <v>1178</v>
      </c>
      <c r="T164" s="32">
        <v>1193</v>
      </c>
      <c r="U164" s="32">
        <v>1208</v>
      </c>
      <c r="V164" s="32">
        <v>1239</v>
      </c>
      <c r="W164" s="32">
        <v>1221</v>
      </c>
      <c r="X164" s="32">
        <v>1172</v>
      </c>
      <c r="Y164" s="32">
        <v>1198</v>
      </c>
      <c r="Z164" s="32">
        <v>1175</v>
      </c>
      <c r="AA164" s="32">
        <v>1166</v>
      </c>
      <c r="AB164" s="32">
        <v>1191</v>
      </c>
      <c r="AC164" s="32">
        <v>1158</v>
      </c>
      <c r="AD164" s="32">
        <v>1111</v>
      </c>
      <c r="AE164" s="32">
        <v>1140</v>
      </c>
      <c r="AF164" s="32">
        <v>1137</v>
      </c>
      <c r="AG164" s="32">
        <v>1147</v>
      </c>
      <c r="AH164" s="32">
        <v>1162</v>
      </c>
      <c r="AI164" s="32">
        <v>1210</v>
      </c>
      <c r="AJ164" s="32">
        <v>1200</v>
      </c>
      <c r="AK164" s="32">
        <v>1206</v>
      </c>
      <c r="AL164" s="32">
        <v>1151</v>
      </c>
      <c r="AM164" s="32">
        <v>1166</v>
      </c>
      <c r="AN164" s="32">
        <v>1152</v>
      </c>
      <c r="AO164" s="32">
        <v>1141</v>
      </c>
      <c r="AP164" s="32">
        <v>1147</v>
      </c>
      <c r="AQ164" s="32">
        <v>1126</v>
      </c>
      <c r="AR164" s="32">
        <v>1180</v>
      </c>
      <c r="AS164" s="32">
        <v>1174</v>
      </c>
      <c r="AT164" s="32">
        <v>1205</v>
      </c>
      <c r="AU164" s="32">
        <v>1210</v>
      </c>
      <c r="AV164" s="32">
        <v>1222</v>
      </c>
      <c r="AW164" s="32">
        <v>1236</v>
      </c>
      <c r="AX164" s="32">
        <v>1243</v>
      </c>
      <c r="AY164" s="32">
        <v>1241</v>
      </c>
      <c r="AZ164" s="32">
        <v>1200</v>
      </c>
      <c r="BA164" s="32">
        <v>1165</v>
      </c>
      <c r="BB164" s="32">
        <v>1078</v>
      </c>
      <c r="BC164" s="32">
        <v>1081</v>
      </c>
      <c r="BD164" s="32">
        <v>1035</v>
      </c>
      <c r="BE164" s="32">
        <v>1042</v>
      </c>
      <c r="BF164" s="32">
        <v>1042</v>
      </c>
      <c r="BG164" s="32">
        <v>1063</v>
      </c>
      <c r="BH164" s="32">
        <v>1071</v>
      </c>
      <c r="BI164" s="32">
        <v>1059</v>
      </c>
      <c r="BJ164" s="32">
        <v>1062</v>
      </c>
      <c r="BK164" s="32">
        <v>1065</v>
      </c>
      <c r="BL164" s="33">
        <v>1057</v>
      </c>
      <c r="BM164" s="1">
        <v>1059</v>
      </c>
      <c r="BN164" s="1">
        <v>1047</v>
      </c>
      <c r="BO164" s="1">
        <v>1064</v>
      </c>
      <c r="BP164" s="1">
        <v>1078</v>
      </c>
    </row>
    <row r="165" spans="1:68" ht="15.9" customHeight="1">
      <c r="A165" s="68" t="s">
        <v>324</v>
      </c>
      <c r="B165" s="28" t="s">
        <v>325</v>
      </c>
      <c r="C165" s="42" t="str">
        <f>_xll.RssMarket("4733","高値")</f>
        <v/>
      </c>
      <c r="D165" s="41" t="e">
        <f t="shared" si="5"/>
        <v>#VALUE!</v>
      </c>
      <c r="E165" s="37">
        <v>6704</v>
      </c>
      <c r="F165" s="37">
        <v>6554</v>
      </c>
      <c r="G165" s="32">
        <v>6756</v>
      </c>
      <c r="H165" s="32">
        <v>6616</v>
      </c>
      <c r="I165" s="32">
        <v>6593</v>
      </c>
      <c r="J165" s="32">
        <v>6556</v>
      </c>
      <c r="K165" s="32">
        <v>6614</v>
      </c>
      <c r="L165" s="32">
        <v>6669</v>
      </c>
      <c r="M165" s="32">
        <v>6542</v>
      </c>
      <c r="N165" s="32">
        <v>6579</v>
      </c>
      <c r="O165" s="32">
        <v>6430</v>
      </c>
      <c r="P165" s="32">
        <v>6089</v>
      </c>
      <c r="Q165" s="32">
        <v>6177</v>
      </c>
      <c r="R165" s="32">
        <v>6145</v>
      </c>
      <c r="S165" s="32">
        <v>5836</v>
      </c>
      <c r="T165" s="32">
        <v>5780</v>
      </c>
      <c r="U165" s="32">
        <v>5843</v>
      </c>
      <c r="V165" s="32">
        <v>5698</v>
      </c>
      <c r="W165" s="32">
        <v>5760</v>
      </c>
      <c r="X165" s="32">
        <v>5914</v>
      </c>
      <c r="Y165" s="32">
        <v>5947</v>
      </c>
      <c r="Z165" s="32">
        <v>5939</v>
      </c>
      <c r="AA165" s="32">
        <v>5871</v>
      </c>
      <c r="AB165" s="32">
        <v>5973</v>
      </c>
      <c r="AC165" s="32">
        <v>5949</v>
      </c>
      <c r="AD165" s="32">
        <v>5976</v>
      </c>
      <c r="AE165" s="32">
        <v>5980</v>
      </c>
      <c r="AF165" s="32">
        <v>6113</v>
      </c>
      <c r="AG165" s="32">
        <v>6086</v>
      </c>
      <c r="AH165" s="32">
        <v>6115</v>
      </c>
      <c r="AI165" s="32">
        <v>6312</v>
      </c>
      <c r="AJ165" s="32">
        <v>6509</v>
      </c>
      <c r="AK165" s="32">
        <v>6277</v>
      </c>
      <c r="AL165" s="32">
        <v>6180</v>
      </c>
      <c r="AM165" s="32">
        <v>6173</v>
      </c>
      <c r="AN165" s="32">
        <v>6091</v>
      </c>
      <c r="AO165" s="32">
        <v>6147</v>
      </c>
      <c r="AP165" s="32">
        <v>6163</v>
      </c>
      <c r="AQ165" s="32">
        <v>6241</v>
      </c>
      <c r="AR165" s="32">
        <v>6249</v>
      </c>
      <c r="AS165" s="32">
        <v>6183</v>
      </c>
      <c r="AT165" s="32">
        <v>6057</v>
      </c>
      <c r="AU165" s="32">
        <v>6142</v>
      </c>
      <c r="AV165" s="32">
        <v>6153</v>
      </c>
      <c r="AW165" s="32">
        <v>6123</v>
      </c>
      <c r="AX165" s="32">
        <v>6332</v>
      </c>
      <c r="AY165" s="32">
        <v>6344</v>
      </c>
      <c r="AZ165" s="32">
        <v>6159</v>
      </c>
      <c r="BA165" s="32">
        <v>6191</v>
      </c>
      <c r="BB165" s="32">
        <v>6263</v>
      </c>
      <c r="BC165" s="32">
        <v>6353</v>
      </c>
      <c r="BD165" s="32">
        <v>6337</v>
      </c>
      <c r="BE165" s="32">
        <v>6395</v>
      </c>
      <c r="BF165" s="32">
        <v>6636</v>
      </c>
      <c r="BG165" s="32">
        <v>6906</v>
      </c>
      <c r="BH165" s="32">
        <v>6775</v>
      </c>
      <c r="BI165" s="32">
        <v>6780</v>
      </c>
      <c r="BJ165" s="32">
        <v>6731</v>
      </c>
      <c r="BK165" s="32">
        <v>6913</v>
      </c>
      <c r="BL165" s="33">
        <v>6750</v>
      </c>
      <c r="BM165" s="1">
        <v>6664</v>
      </c>
      <c r="BN165" s="1">
        <v>6309</v>
      </c>
      <c r="BO165" s="1">
        <v>6293</v>
      </c>
      <c r="BP165" s="1">
        <v>6397</v>
      </c>
    </row>
    <row r="166" spans="1:68" ht="15.9" customHeight="1">
      <c r="A166" s="68" t="s">
        <v>326</v>
      </c>
      <c r="B166" s="28" t="s">
        <v>327</v>
      </c>
      <c r="C166" s="42" t="str">
        <f>_xll.RssMarket("9733","高値")</f>
        <v/>
      </c>
      <c r="D166" s="41" t="e">
        <f t="shared" si="5"/>
        <v>#VALUE!</v>
      </c>
      <c r="E166" s="37">
        <v>2365</v>
      </c>
      <c r="F166" s="37">
        <v>2356</v>
      </c>
      <c r="G166" s="32">
        <v>2380</v>
      </c>
      <c r="H166" s="32">
        <v>2394</v>
      </c>
      <c r="I166" s="32">
        <v>2380</v>
      </c>
      <c r="J166" s="32">
        <v>2386</v>
      </c>
      <c r="K166" s="32">
        <v>2403</v>
      </c>
      <c r="L166" s="32">
        <v>2406</v>
      </c>
      <c r="M166" s="32">
        <v>2400</v>
      </c>
      <c r="N166" s="32">
        <v>2364</v>
      </c>
      <c r="O166" s="32">
        <v>2345</v>
      </c>
      <c r="P166" s="32">
        <v>2310</v>
      </c>
      <c r="Q166" s="32">
        <v>2342</v>
      </c>
      <c r="R166" s="32">
        <v>2334</v>
      </c>
      <c r="S166" s="32">
        <v>2267</v>
      </c>
      <c r="T166" s="32">
        <v>2244</v>
      </c>
      <c r="U166" s="32">
        <v>2249</v>
      </c>
      <c r="V166" s="32">
        <v>2231</v>
      </c>
      <c r="W166" s="32">
        <v>2221</v>
      </c>
      <c r="X166" s="32">
        <v>2219</v>
      </c>
      <c r="Y166" s="32">
        <v>2214</v>
      </c>
      <c r="Z166" s="32">
        <v>2238</v>
      </c>
      <c r="AA166" s="32">
        <v>2235</v>
      </c>
      <c r="AB166" s="32">
        <v>2260</v>
      </c>
      <c r="AC166" s="32">
        <v>2238</v>
      </c>
      <c r="AD166" s="32">
        <v>2246</v>
      </c>
      <c r="AE166" s="32">
        <v>2251</v>
      </c>
      <c r="AF166" s="32">
        <v>2217</v>
      </c>
      <c r="AG166" s="32">
        <v>2223</v>
      </c>
      <c r="AH166" s="32">
        <v>2211</v>
      </c>
      <c r="AI166" s="32">
        <v>2220</v>
      </c>
      <c r="AJ166" s="32">
        <v>2240</v>
      </c>
      <c r="AK166" s="32">
        <v>2303</v>
      </c>
      <c r="AL166" s="32">
        <v>2270</v>
      </c>
      <c r="AM166" s="32">
        <v>2266</v>
      </c>
      <c r="AN166" s="32">
        <v>2337</v>
      </c>
      <c r="AO166" s="32">
        <v>2313</v>
      </c>
      <c r="AP166" s="32">
        <v>2329</v>
      </c>
      <c r="AQ166" s="32">
        <v>2320</v>
      </c>
      <c r="AR166" s="32">
        <v>2316</v>
      </c>
      <c r="AS166" s="32">
        <v>2295</v>
      </c>
      <c r="AT166" s="32">
        <v>2284</v>
      </c>
      <c r="AU166" s="32">
        <v>2295</v>
      </c>
      <c r="AV166" s="32">
        <v>2300</v>
      </c>
      <c r="AW166" s="32">
        <v>2307</v>
      </c>
      <c r="AX166" s="32">
        <v>2302</v>
      </c>
      <c r="AY166" s="32">
        <v>2290</v>
      </c>
      <c r="AZ166" s="32">
        <v>2348</v>
      </c>
      <c r="BA166" s="32">
        <v>2334</v>
      </c>
      <c r="BB166" s="32">
        <v>2340</v>
      </c>
      <c r="BC166" s="32">
        <v>2335</v>
      </c>
      <c r="BD166" s="32">
        <v>2318</v>
      </c>
      <c r="BE166" s="32">
        <v>2354</v>
      </c>
      <c r="BF166" s="32">
        <v>2381</v>
      </c>
      <c r="BG166" s="32">
        <v>2381</v>
      </c>
      <c r="BH166" s="32">
        <v>2416</v>
      </c>
      <c r="BI166" s="32">
        <v>2469</v>
      </c>
      <c r="BJ166" s="32">
        <v>2479</v>
      </c>
      <c r="BK166" s="32">
        <v>2465</v>
      </c>
      <c r="BL166" s="33">
        <v>2491</v>
      </c>
      <c r="BM166" s="1">
        <v>2512</v>
      </c>
      <c r="BN166" s="1">
        <v>2545</v>
      </c>
      <c r="BO166" s="1">
        <v>2535</v>
      </c>
      <c r="BP166" s="1">
        <v>2584</v>
      </c>
    </row>
    <row r="167" spans="1:68" ht="15.9" customHeight="1">
      <c r="A167" s="68" t="s">
        <v>328</v>
      </c>
      <c r="B167" s="28" t="s">
        <v>329</v>
      </c>
      <c r="C167" s="42" t="str">
        <f>_xll.RssMarket("9551","高値")</f>
        <v/>
      </c>
      <c r="D167" s="41" t="e">
        <f t="shared" si="5"/>
        <v>#VALUE!</v>
      </c>
      <c r="E167" s="37">
        <v>3160</v>
      </c>
      <c r="F167" s="37">
        <v>3240</v>
      </c>
      <c r="G167" s="32">
        <v>3210</v>
      </c>
      <c r="H167" s="32">
        <v>3290</v>
      </c>
      <c r="I167" s="32">
        <v>3315</v>
      </c>
      <c r="J167" s="32">
        <v>3290</v>
      </c>
      <c r="K167" s="32">
        <v>3260</v>
      </c>
      <c r="L167" s="32">
        <v>3370</v>
      </c>
      <c r="M167" s="32">
        <v>3340</v>
      </c>
      <c r="N167" s="32">
        <v>3370</v>
      </c>
      <c r="O167" s="32">
        <v>3385</v>
      </c>
      <c r="P167" s="32">
        <v>3420</v>
      </c>
      <c r="Q167" s="32">
        <v>3600</v>
      </c>
      <c r="R167" s="32">
        <v>3595</v>
      </c>
      <c r="S167" s="32">
        <v>3615</v>
      </c>
      <c r="T167" s="32">
        <v>3555</v>
      </c>
      <c r="U167" s="32">
        <v>3585</v>
      </c>
      <c r="V167" s="32">
        <v>3535</v>
      </c>
      <c r="W167" s="32">
        <v>3540</v>
      </c>
      <c r="X167" s="32">
        <v>3485</v>
      </c>
      <c r="Y167" s="32">
        <v>3435</v>
      </c>
      <c r="Z167" s="32">
        <v>3380</v>
      </c>
      <c r="AA167" s="32">
        <v>3330</v>
      </c>
      <c r="AB167" s="32">
        <v>3185</v>
      </c>
      <c r="AC167" s="32">
        <v>3125</v>
      </c>
      <c r="AD167" s="32">
        <v>3235</v>
      </c>
      <c r="AE167" s="32">
        <v>3255</v>
      </c>
      <c r="AF167" s="32">
        <v>3320</v>
      </c>
      <c r="AG167" s="32">
        <v>3300</v>
      </c>
      <c r="AH167" s="32">
        <v>3325</v>
      </c>
      <c r="AI167" s="32">
        <v>3320</v>
      </c>
      <c r="AJ167" s="32">
        <v>3675</v>
      </c>
      <c r="AK167" s="32">
        <v>3275</v>
      </c>
      <c r="AL167" s="32">
        <v>3345</v>
      </c>
      <c r="AM167" s="32">
        <v>3350</v>
      </c>
      <c r="AN167" s="32">
        <v>3310</v>
      </c>
      <c r="AO167" s="32">
        <v>3305</v>
      </c>
      <c r="AP167" s="32">
        <v>3270</v>
      </c>
      <c r="AQ167" s="32">
        <v>3410</v>
      </c>
      <c r="AR167" s="32">
        <v>3490</v>
      </c>
      <c r="AS167" s="32">
        <v>3545</v>
      </c>
      <c r="AT167" s="32">
        <v>3455</v>
      </c>
      <c r="AU167" s="32">
        <v>3475</v>
      </c>
      <c r="AV167" s="32">
        <v>3420</v>
      </c>
      <c r="AW167" s="32">
        <v>3465</v>
      </c>
      <c r="AX167" s="32">
        <v>3470</v>
      </c>
      <c r="AY167" s="32">
        <v>3480</v>
      </c>
      <c r="AZ167" s="32">
        <v>3440</v>
      </c>
      <c r="BA167" s="32">
        <v>3435</v>
      </c>
      <c r="BB167" s="32">
        <v>3420</v>
      </c>
      <c r="BC167" s="32">
        <v>3410</v>
      </c>
      <c r="BD167" s="32">
        <v>3695</v>
      </c>
      <c r="BE167" s="32">
        <v>3645</v>
      </c>
      <c r="BF167" s="32">
        <v>3690</v>
      </c>
      <c r="BG167" s="32">
        <v>3705</v>
      </c>
      <c r="BH167" s="32">
        <v>3735</v>
      </c>
      <c r="BI167" s="32">
        <v>3730</v>
      </c>
      <c r="BJ167" s="32">
        <v>3715</v>
      </c>
      <c r="BK167" s="32">
        <v>3755</v>
      </c>
      <c r="BL167" s="33">
        <v>3730</v>
      </c>
      <c r="BM167" s="1">
        <v>3705</v>
      </c>
      <c r="BN167" s="1">
        <v>3775</v>
      </c>
      <c r="BO167" s="1">
        <v>3750</v>
      </c>
      <c r="BP167" s="1">
        <v>3740</v>
      </c>
    </row>
    <row r="168" spans="1:68" ht="15.9" customHeight="1">
      <c r="A168" s="68" t="s">
        <v>330</v>
      </c>
      <c r="B168" s="28" t="s">
        <v>331</v>
      </c>
      <c r="C168" s="42" t="str">
        <f>_xll.RssMarket("2359","高値")</f>
        <v/>
      </c>
      <c r="D168" s="41" t="e">
        <f t="shared" si="5"/>
        <v>#VALUE!</v>
      </c>
      <c r="E168" s="37">
        <v>2007</v>
      </c>
      <c r="F168" s="37">
        <v>2022</v>
      </c>
      <c r="G168" s="32">
        <v>2017</v>
      </c>
      <c r="H168" s="32">
        <v>2022</v>
      </c>
      <c r="I168" s="32">
        <v>1996</v>
      </c>
      <c r="J168" s="32">
        <v>1961</v>
      </c>
      <c r="K168" s="32">
        <v>1966</v>
      </c>
      <c r="L168" s="32">
        <v>1974</v>
      </c>
      <c r="M168" s="32">
        <v>1958</v>
      </c>
      <c r="N168" s="32">
        <v>1968</v>
      </c>
      <c r="O168" s="32">
        <v>1958</v>
      </c>
      <c r="P168" s="32">
        <v>1952</v>
      </c>
      <c r="Q168" s="32">
        <v>1988</v>
      </c>
      <c r="R168" s="32">
        <v>2040</v>
      </c>
      <c r="S168" s="32">
        <v>2015</v>
      </c>
      <c r="T168" s="32">
        <v>2024</v>
      </c>
      <c r="U168" s="32">
        <v>2039</v>
      </c>
      <c r="V168" s="32">
        <v>2024</v>
      </c>
      <c r="W168" s="32">
        <v>2065</v>
      </c>
      <c r="X168" s="32">
        <v>2048</v>
      </c>
      <c r="Y168" s="32">
        <v>2039</v>
      </c>
      <c r="Z168" s="32">
        <v>2030</v>
      </c>
      <c r="AA168" s="32">
        <v>2011</v>
      </c>
      <c r="AB168" s="32">
        <v>2025</v>
      </c>
      <c r="AC168" s="32">
        <v>2009</v>
      </c>
      <c r="AD168" s="32">
        <v>2027</v>
      </c>
      <c r="AE168" s="32">
        <v>2039</v>
      </c>
      <c r="AF168" s="32">
        <v>2069</v>
      </c>
      <c r="AG168" s="32">
        <v>2104</v>
      </c>
      <c r="AH168" s="32">
        <v>2098</v>
      </c>
      <c r="AI168" s="32">
        <v>2053</v>
      </c>
      <c r="AJ168" s="32">
        <v>2043</v>
      </c>
      <c r="AK168" s="32">
        <v>2085</v>
      </c>
      <c r="AL168" s="32">
        <v>2060</v>
      </c>
      <c r="AM168" s="32">
        <v>2120</v>
      </c>
      <c r="AN168" s="32">
        <v>2149</v>
      </c>
      <c r="AO168" s="32">
        <v>2125</v>
      </c>
      <c r="AP168" s="32">
        <v>2136</v>
      </c>
      <c r="AQ168" s="32">
        <v>2100</v>
      </c>
      <c r="AR168" s="32">
        <v>2099</v>
      </c>
      <c r="AS168" s="32">
        <v>2062</v>
      </c>
      <c r="AT168" s="32">
        <v>2064</v>
      </c>
      <c r="AU168" s="32">
        <v>2069</v>
      </c>
      <c r="AV168" s="32">
        <v>2052</v>
      </c>
      <c r="AW168" s="32">
        <v>2023</v>
      </c>
      <c r="AX168" s="32">
        <v>2028</v>
      </c>
      <c r="AY168" s="32">
        <v>2037</v>
      </c>
      <c r="AZ168" s="32">
        <v>2045</v>
      </c>
      <c r="BA168" s="32">
        <v>2075</v>
      </c>
      <c r="BB168" s="32">
        <v>2079</v>
      </c>
      <c r="BC168" s="32">
        <v>2230</v>
      </c>
      <c r="BD168" s="32">
        <v>2246</v>
      </c>
      <c r="BE168" s="32">
        <v>2167</v>
      </c>
      <c r="BF168" s="32">
        <v>2200</v>
      </c>
      <c r="BG168" s="32">
        <v>2253</v>
      </c>
      <c r="BH168" s="32">
        <v>2257</v>
      </c>
      <c r="BI168" s="32">
        <v>2260</v>
      </c>
      <c r="BJ168" s="32">
        <v>2270</v>
      </c>
      <c r="BK168" s="32">
        <v>2249</v>
      </c>
      <c r="BL168" s="33">
        <v>2267</v>
      </c>
      <c r="BM168" s="1">
        <v>2260</v>
      </c>
      <c r="BN168" s="1">
        <v>2250</v>
      </c>
      <c r="BO168" s="1">
        <v>2282</v>
      </c>
      <c r="BP168" s="1">
        <v>2312</v>
      </c>
    </row>
    <row r="169" spans="1:68" ht="15.9" customHeight="1">
      <c r="A169" s="68" t="s">
        <v>332</v>
      </c>
      <c r="B169" s="28" t="s">
        <v>333</v>
      </c>
      <c r="C169" s="42" t="str">
        <f>_xll.RssMarket("8103","高値")</f>
        <v/>
      </c>
      <c r="D169" s="41" t="e">
        <f t="shared" si="5"/>
        <v>#VALUE!</v>
      </c>
      <c r="E169" s="37">
        <v>906</v>
      </c>
      <c r="F169" s="37">
        <v>919</v>
      </c>
      <c r="G169" s="32">
        <v>907</v>
      </c>
      <c r="H169" s="32">
        <v>925</v>
      </c>
      <c r="I169" s="32">
        <v>919</v>
      </c>
      <c r="J169" s="32">
        <v>914</v>
      </c>
      <c r="K169" s="32">
        <v>917</v>
      </c>
      <c r="L169" s="32">
        <v>924</v>
      </c>
      <c r="M169" s="32">
        <v>909</v>
      </c>
      <c r="N169" s="32">
        <v>899</v>
      </c>
      <c r="O169" s="32">
        <v>887</v>
      </c>
      <c r="P169" s="32">
        <v>883</v>
      </c>
      <c r="Q169" s="32">
        <v>879</v>
      </c>
      <c r="R169" s="32">
        <v>873</v>
      </c>
      <c r="S169" s="32">
        <v>872</v>
      </c>
      <c r="T169" s="32">
        <v>870</v>
      </c>
      <c r="U169" s="32">
        <v>880</v>
      </c>
      <c r="V169" s="32">
        <v>884</v>
      </c>
      <c r="W169" s="32">
        <v>874</v>
      </c>
      <c r="X169" s="32">
        <v>884</v>
      </c>
      <c r="Y169" s="32">
        <v>886</v>
      </c>
      <c r="Z169" s="32">
        <v>880</v>
      </c>
      <c r="AA169" s="32">
        <v>888</v>
      </c>
      <c r="AB169" s="32">
        <v>871</v>
      </c>
      <c r="AC169" s="32">
        <v>867</v>
      </c>
      <c r="AD169" s="32">
        <v>880</v>
      </c>
      <c r="AE169" s="32">
        <v>888</v>
      </c>
      <c r="AF169" s="32">
        <v>892</v>
      </c>
      <c r="AG169" s="32">
        <v>888</v>
      </c>
      <c r="AH169" s="32">
        <v>893</v>
      </c>
      <c r="AI169" s="32">
        <v>881</v>
      </c>
      <c r="AJ169" s="32">
        <v>896</v>
      </c>
      <c r="AK169" s="32">
        <v>893</v>
      </c>
      <c r="AL169" s="32">
        <v>903</v>
      </c>
      <c r="AM169" s="32">
        <v>917</v>
      </c>
      <c r="AN169" s="32">
        <v>910</v>
      </c>
      <c r="AO169" s="32">
        <v>901</v>
      </c>
      <c r="AP169" s="32">
        <v>908</v>
      </c>
      <c r="AQ169" s="32">
        <v>913</v>
      </c>
      <c r="AR169" s="32">
        <v>903</v>
      </c>
      <c r="AS169" s="32">
        <v>914</v>
      </c>
      <c r="AT169" s="32">
        <v>915</v>
      </c>
      <c r="AU169" s="32">
        <v>905</v>
      </c>
      <c r="AV169" s="32">
        <v>896</v>
      </c>
      <c r="AW169" s="32">
        <v>904</v>
      </c>
      <c r="AX169" s="32">
        <v>910</v>
      </c>
      <c r="AY169" s="32">
        <v>867</v>
      </c>
      <c r="AZ169" s="32">
        <v>846</v>
      </c>
      <c r="BA169" s="32">
        <v>773</v>
      </c>
      <c r="BB169" s="32">
        <v>770</v>
      </c>
      <c r="BC169" s="32">
        <v>773</v>
      </c>
      <c r="BD169" s="32">
        <v>772</v>
      </c>
      <c r="BE169" s="32">
        <v>780</v>
      </c>
      <c r="BF169" s="32">
        <v>782</v>
      </c>
      <c r="BG169" s="32">
        <v>787</v>
      </c>
      <c r="BH169" s="32">
        <v>787</v>
      </c>
      <c r="BI169" s="32">
        <v>784</v>
      </c>
      <c r="BJ169" s="32">
        <v>789</v>
      </c>
      <c r="BK169" s="32">
        <v>792</v>
      </c>
      <c r="BL169" s="33">
        <v>801</v>
      </c>
      <c r="BM169" s="1">
        <v>810</v>
      </c>
      <c r="BN169" s="1">
        <v>811</v>
      </c>
      <c r="BO169" s="1">
        <v>808</v>
      </c>
      <c r="BP169" s="1">
        <v>799</v>
      </c>
    </row>
    <row r="170" spans="1:68" ht="15.9" customHeight="1">
      <c r="A170" s="68" t="s">
        <v>334</v>
      </c>
      <c r="B170" s="28" t="s">
        <v>335</v>
      </c>
      <c r="C170" s="42" t="str">
        <f>_xll.RssMarket("4709","高値")</f>
        <v/>
      </c>
      <c r="D170" s="41" t="e">
        <f t="shared" si="5"/>
        <v>#VALUE!</v>
      </c>
      <c r="E170" s="37">
        <v>1129</v>
      </c>
      <c r="F170" s="37">
        <v>1130</v>
      </c>
      <c r="G170" s="32">
        <v>1121</v>
      </c>
      <c r="H170" s="32">
        <v>1110</v>
      </c>
      <c r="I170" s="32">
        <v>1113</v>
      </c>
      <c r="J170" s="32">
        <v>1106</v>
      </c>
      <c r="K170" s="32">
        <v>1108</v>
      </c>
      <c r="L170" s="32">
        <v>1105</v>
      </c>
      <c r="M170" s="32">
        <v>1078</v>
      </c>
      <c r="N170" s="32">
        <v>1080</v>
      </c>
      <c r="O170" s="32">
        <v>1085</v>
      </c>
      <c r="P170" s="32">
        <v>1073</v>
      </c>
      <c r="Q170" s="32">
        <v>1080</v>
      </c>
      <c r="R170" s="32">
        <v>1083</v>
      </c>
      <c r="S170" s="32">
        <v>1063</v>
      </c>
      <c r="T170" s="32">
        <v>1054</v>
      </c>
      <c r="U170" s="32">
        <v>1066</v>
      </c>
      <c r="V170" s="32">
        <v>1052</v>
      </c>
      <c r="W170" s="32">
        <v>1071</v>
      </c>
      <c r="X170" s="32">
        <v>1072</v>
      </c>
      <c r="Y170" s="32">
        <v>1101</v>
      </c>
      <c r="Z170" s="32">
        <v>1134</v>
      </c>
      <c r="AA170" s="32">
        <v>1110</v>
      </c>
      <c r="AB170" s="32">
        <v>1082</v>
      </c>
      <c r="AC170" s="32">
        <v>1063</v>
      </c>
      <c r="AD170" s="32">
        <v>1098</v>
      </c>
      <c r="AE170" s="32">
        <v>1089</v>
      </c>
      <c r="AF170" s="32">
        <v>1024</v>
      </c>
      <c r="AG170" s="32">
        <v>1012</v>
      </c>
      <c r="AH170" s="32">
        <v>1000</v>
      </c>
      <c r="AI170" s="32">
        <v>1024</v>
      </c>
      <c r="AJ170" s="32">
        <v>1032</v>
      </c>
      <c r="AK170" s="32">
        <v>1053</v>
      </c>
      <c r="AL170" s="32">
        <v>1028</v>
      </c>
      <c r="AM170" s="32">
        <v>1015</v>
      </c>
      <c r="AN170" s="32">
        <v>1049</v>
      </c>
      <c r="AO170" s="32">
        <v>1046</v>
      </c>
      <c r="AP170" s="32">
        <v>1058</v>
      </c>
      <c r="AQ170" s="32">
        <v>1055</v>
      </c>
      <c r="AR170" s="32">
        <v>1053</v>
      </c>
      <c r="AS170" s="32">
        <v>1038</v>
      </c>
      <c r="AT170" s="32">
        <v>1035</v>
      </c>
      <c r="AU170" s="32">
        <v>1067</v>
      </c>
      <c r="AV170" s="32">
        <v>1076</v>
      </c>
      <c r="AW170" s="32">
        <v>1074</v>
      </c>
      <c r="AX170" s="32">
        <v>1035</v>
      </c>
      <c r="AY170" s="32">
        <v>1055</v>
      </c>
      <c r="AZ170" s="32">
        <v>1069</v>
      </c>
      <c r="BA170" s="32">
        <v>1015</v>
      </c>
      <c r="BB170" s="32">
        <v>902</v>
      </c>
      <c r="BC170" s="32">
        <v>902</v>
      </c>
      <c r="BD170" s="32">
        <v>896</v>
      </c>
      <c r="BE170" s="32">
        <v>905</v>
      </c>
      <c r="BF170" s="32">
        <v>921</v>
      </c>
      <c r="BG170" s="32">
        <v>930</v>
      </c>
      <c r="BH170" s="32">
        <v>949</v>
      </c>
      <c r="BI170" s="32">
        <v>943</v>
      </c>
      <c r="BJ170" s="32">
        <v>946</v>
      </c>
      <c r="BK170" s="32">
        <v>933</v>
      </c>
      <c r="BL170" s="33">
        <v>930</v>
      </c>
      <c r="BM170" s="1">
        <v>925</v>
      </c>
      <c r="BN170" s="1">
        <v>939</v>
      </c>
      <c r="BO170" s="1">
        <v>956</v>
      </c>
      <c r="BP170" s="1">
        <v>969</v>
      </c>
    </row>
    <row r="171" spans="1:68" ht="15.9" customHeight="1">
      <c r="A171" s="68" t="s">
        <v>336</v>
      </c>
      <c r="B171" s="28" t="s">
        <v>337</v>
      </c>
      <c r="C171" s="42" t="str">
        <f>_xll.RssMarket("7981","高値")</f>
        <v/>
      </c>
      <c r="D171" s="41" t="e">
        <f t="shared" si="5"/>
        <v>#VALUE!</v>
      </c>
      <c r="E171" s="37">
        <v>3110</v>
      </c>
      <c r="F171" s="37">
        <v>3130</v>
      </c>
      <c r="G171" s="32">
        <v>3100</v>
      </c>
      <c r="H171" s="32">
        <v>3085</v>
      </c>
      <c r="I171" s="32">
        <v>3100</v>
      </c>
      <c r="J171" s="32">
        <v>3125</v>
      </c>
      <c r="K171" s="32">
        <v>3175</v>
      </c>
      <c r="L171" s="32">
        <v>3130</v>
      </c>
      <c r="M171" s="32">
        <v>3115</v>
      </c>
      <c r="N171" s="32">
        <v>3095</v>
      </c>
      <c r="O171" s="32">
        <v>3120</v>
      </c>
      <c r="P171" s="32">
        <v>3110</v>
      </c>
      <c r="Q171" s="32">
        <v>3140</v>
      </c>
      <c r="R171" s="32">
        <v>3160</v>
      </c>
      <c r="S171" s="32">
        <v>3210</v>
      </c>
      <c r="T171" s="32">
        <v>3095</v>
      </c>
      <c r="U171" s="32">
        <v>3100</v>
      </c>
      <c r="V171" s="32">
        <v>3075</v>
      </c>
      <c r="W171" s="32">
        <v>3070</v>
      </c>
      <c r="X171" s="32">
        <v>3055</v>
      </c>
      <c r="Y171" s="32">
        <v>3020</v>
      </c>
      <c r="Z171" s="32">
        <v>3060</v>
      </c>
      <c r="AA171" s="32">
        <v>3015</v>
      </c>
      <c r="AB171" s="32">
        <v>2961</v>
      </c>
      <c r="AC171" s="32">
        <v>3000</v>
      </c>
      <c r="AD171" s="32">
        <v>2960</v>
      </c>
      <c r="AE171" s="32">
        <v>2981</v>
      </c>
      <c r="AF171" s="32">
        <v>2944</v>
      </c>
      <c r="AG171" s="32">
        <v>2975</v>
      </c>
      <c r="AH171" s="32">
        <v>2941</v>
      </c>
      <c r="AI171" s="32">
        <v>3030</v>
      </c>
      <c r="AJ171" s="32">
        <v>2981</v>
      </c>
      <c r="AK171" s="32">
        <v>2989</v>
      </c>
      <c r="AL171" s="32">
        <v>3055</v>
      </c>
      <c r="AM171" s="32">
        <v>2925</v>
      </c>
      <c r="AN171" s="32">
        <v>2953</v>
      </c>
      <c r="AO171" s="32">
        <v>2945</v>
      </c>
      <c r="AP171" s="32">
        <v>2969</v>
      </c>
      <c r="AQ171" s="32">
        <v>3000</v>
      </c>
      <c r="AR171" s="32">
        <v>3030</v>
      </c>
      <c r="AS171" s="32">
        <v>3035</v>
      </c>
      <c r="AT171" s="32">
        <v>3045</v>
      </c>
      <c r="AU171" s="32">
        <v>3130</v>
      </c>
      <c r="AV171" s="32">
        <v>3100</v>
      </c>
      <c r="AW171" s="32">
        <v>3200</v>
      </c>
      <c r="AX171" s="32">
        <v>3265</v>
      </c>
      <c r="AY171" s="32">
        <v>3135</v>
      </c>
      <c r="AZ171" s="32">
        <v>3180</v>
      </c>
      <c r="BA171" s="32">
        <v>2829</v>
      </c>
      <c r="BB171" s="32">
        <v>2747</v>
      </c>
      <c r="BC171" s="32">
        <v>2668</v>
      </c>
      <c r="BD171" s="32">
        <v>2668</v>
      </c>
      <c r="BE171" s="32">
        <v>2682</v>
      </c>
      <c r="BF171" s="32">
        <v>2714</v>
      </c>
      <c r="BG171" s="32">
        <v>2749</v>
      </c>
      <c r="BH171" s="32">
        <v>2783</v>
      </c>
      <c r="BI171" s="32">
        <v>2782</v>
      </c>
      <c r="BJ171" s="32">
        <v>2738</v>
      </c>
      <c r="BK171" s="32">
        <v>2775</v>
      </c>
      <c r="BL171" s="33">
        <v>2922</v>
      </c>
      <c r="BM171" s="1">
        <v>3000</v>
      </c>
      <c r="BN171" s="1">
        <v>2979</v>
      </c>
      <c r="BO171" s="1">
        <v>2928</v>
      </c>
      <c r="BP171" s="1">
        <v>2853</v>
      </c>
    </row>
    <row r="172" spans="1:68" ht="15.9" customHeight="1">
      <c r="A172" s="68" t="s">
        <v>338</v>
      </c>
      <c r="B172" s="28" t="s">
        <v>339</v>
      </c>
      <c r="C172" s="42" t="str">
        <f>_xll.RssMarket("8303","高値")</f>
        <v/>
      </c>
      <c r="D172" s="41" t="e">
        <f t="shared" si="5"/>
        <v>#VALUE!</v>
      </c>
      <c r="E172" s="37">
        <v>1469.5</v>
      </c>
      <c r="F172" s="37">
        <v>1478.5</v>
      </c>
      <c r="G172" s="32">
        <v>1471.5</v>
      </c>
      <c r="H172" s="32">
        <v>1464.5</v>
      </c>
      <c r="I172" s="32">
        <v>1464</v>
      </c>
      <c r="J172" s="32">
        <v>1465</v>
      </c>
      <c r="K172" s="32">
        <v>1506.5</v>
      </c>
      <c r="L172" s="32">
        <v>1532</v>
      </c>
      <c r="M172" s="32">
        <v>1482</v>
      </c>
      <c r="N172" s="32">
        <v>1454.5</v>
      </c>
      <c r="O172" s="32">
        <v>1427</v>
      </c>
      <c r="P172" s="32">
        <v>1387.5</v>
      </c>
      <c r="Q172" s="32">
        <v>1416</v>
      </c>
      <c r="R172" s="32">
        <v>1425</v>
      </c>
      <c r="S172" s="32">
        <v>1414</v>
      </c>
      <c r="T172" s="32">
        <v>1441</v>
      </c>
      <c r="U172" s="32">
        <v>1431.5</v>
      </c>
      <c r="V172" s="32">
        <v>1434.5</v>
      </c>
      <c r="W172" s="32">
        <v>1452.5</v>
      </c>
      <c r="X172" s="32">
        <v>1495</v>
      </c>
      <c r="Y172" s="32">
        <v>1494</v>
      </c>
      <c r="Z172" s="32">
        <v>1496</v>
      </c>
      <c r="AA172" s="32">
        <v>1509</v>
      </c>
      <c r="AB172" s="32">
        <v>1526</v>
      </c>
      <c r="AC172" s="32">
        <v>1461.5</v>
      </c>
      <c r="AD172" s="32">
        <v>1463</v>
      </c>
      <c r="AE172" s="32">
        <v>1551</v>
      </c>
      <c r="AF172" s="32">
        <v>1413.5</v>
      </c>
      <c r="AG172" s="32">
        <v>1455.5</v>
      </c>
      <c r="AH172" s="32">
        <v>1442</v>
      </c>
      <c r="AI172" s="32">
        <v>1412</v>
      </c>
      <c r="AJ172" s="32">
        <v>1378</v>
      </c>
      <c r="AK172" s="32">
        <v>1412</v>
      </c>
      <c r="AL172" s="32">
        <v>1406</v>
      </c>
      <c r="AM172" s="32">
        <v>1423</v>
      </c>
      <c r="AN172" s="32">
        <v>1485</v>
      </c>
      <c r="AO172" s="32">
        <v>1538.5</v>
      </c>
      <c r="AP172" s="32">
        <v>1588.5</v>
      </c>
      <c r="AQ172" s="32">
        <v>1607.5</v>
      </c>
      <c r="AR172" s="32">
        <v>1651.5</v>
      </c>
      <c r="AS172" s="32">
        <v>1658.5</v>
      </c>
      <c r="AT172" s="32">
        <v>1648.5</v>
      </c>
      <c r="AU172" s="32">
        <v>1652.5</v>
      </c>
      <c r="AV172" s="32">
        <v>1673.5</v>
      </c>
      <c r="AW172" s="32">
        <v>1671.5</v>
      </c>
      <c r="AX172" s="32">
        <v>1670</v>
      </c>
      <c r="AY172" s="32">
        <v>1701.5</v>
      </c>
      <c r="AZ172" s="32">
        <v>1727</v>
      </c>
      <c r="BA172" s="32">
        <v>1867.5</v>
      </c>
      <c r="BB172" s="32">
        <v>1835.5</v>
      </c>
      <c r="BC172" s="32">
        <v>1821.5</v>
      </c>
      <c r="BD172" s="32">
        <v>1727</v>
      </c>
      <c r="BE172" s="32">
        <v>1732.5</v>
      </c>
      <c r="BF172" s="32">
        <v>1764.5</v>
      </c>
      <c r="BG172" s="32">
        <v>1661.5</v>
      </c>
      <c r="BH172" s="32">
        <v>1679</v>
      </c>
      <c r="BI172" s="32">
        <v>1697</v>
      </c>
      <c r="BJ172" s="32">
        <v>1718.5</v>
      </c>
      <c r="BK172" s="32">
        <v>1729</v>
      </c>
      <c r="BL172" s="33">
        <v>1699</v>
      </c>
      <c r="BM172" s="1">
        <v>1697.5</v>
      </c>
      <c r="BN172" s="1">
        <v>1703</v>
      </c>
      <c r="BO172" s="1">
        <v>1742.5</v>
      </c>
      <c r="BP172" s="1">
        <v>1764</v>
      </c>
    </row>
    <row r="173" spans="1:68" ht="15.9" customHeight="1">
      <c r="A173" s="68" t="s">
        <v>340</v>
      </c>
      <c r="B173" s="28" t="s">
        <v>341</v>
      </c>
      <c r="C173" s="42" t="str">
        <f>_xll.RssMarket("4382","高値")</f>
        <v/>
      </c>
      <c r="D173" s="41" t="e">
        <f t="shared" si="5"/>
        <v>#VALUE!</v>
      </c>
      <c r="E173" s="37">
        <v>730</v>
      </c>
      <c r="F173" s="37">
        <v>731</v>
      </c>
      <c r="G173" s="32">
        <v>712</v>
      </c>
      <c r="H173" s="32">
        <v>710</v>
      </c>
      <c r="I173" s="32">
        <v>707</v>
      </c>
      <c r="J173" s="32">
        <v>720</v>
      </c>
      <c r="K173" s="32">
        <v>729</v>
      </c>
      <c r="L173" s="32">
        <v>724</v>
      </c>
      <c r="M173" s="32">
        <v>728</v>
      </c>
      <c r="N173" s="32">
        <v>725</v>
      </c>
      <c r="O173" s="32">
        <v>732</v>
      </c>
      <c r="P173" s="32">
        <v>750</v>
      </c>
      <c r="Q173" s="32">
        <v>766</v>
      </c>
      <c r="R173" s="32">
        <v>730</v>
      </c>
      <c r="S173" s="32">
        <v>731</v>
      </c>
      <c r="T173" s="32">
        <v>718</v>
      </c>
      <c r="U173" s="32">
        <v>733</v>
      </c>
      <c r="V173" s="32">
        <v>762</v>
      </c>
      <c r="W173" s="32">
        <v>770</v>
      </c>
      <c r="X173" s="32">
        <v>795</v>
      </c>
      <c r="Y173" s="32">
        <v>800</v>
      </c>
      <c r="Z173" s="32">
        <v>805</v>
      </c>
      <c r="AA173" s="32">
        <v>850</v>
      </c>
      <c r="AB173" s="32">
        <v>815</v>
      </c>
      <c r="AC173" s="32">
        <v>778</v>
      </c>
      <c r="AD173" s="32">
        <v>815</v>
      </c>
      <c r="AE173" s="32">
        <v>715</v>
      </c>
      <c r="AF173" s="32">
        <v>720</v>
      </c>
      <c r="AG173" s="32">
        <v>699</v>
      </c>
      <c r="AH173" s="32">
        <v>704</v>
      </c>
      <c r="AI173" s="32">
        <v>710</v>
      </c>
      <c r="AJ173" s="32">
        <v>727</v>
      </c>
      <c r="AK173" s="32">
        <v>747</v>
      </c>
      <c r="AL173" s="32">
        <v>755</v>
      </c>
      <c r="AM173" s="32">
        <v>771</v>
      </c>
      <c r="AN173" s="32">
        <v>774</v>
      </c>
      <c r="AO173" s="32">
        <v>766</v>
      </c>
      <c r="AP173" s="32">
        <v>774</v>
      </c>
      <c r="AQ173" s="32">
        <v>768</v>
      </c>
      <c r="AR173" s="32">
        <v>784</v>
      </c>
      <c r="AS173" s="32">
        <v>782</v>
      </c>
      <c r="AT173" s="32">
        <v>790</v>
      </c>
      <c r="AU173" s="32">
        <v>796</v>
      </c>
      <c r="AV173" s="32">
        <v>805</v>
      </c>
      <c r="AW173" s="32">
        <v>812</v>
      </c>
      <c r="AX173" s="32">
        <v>822</v>
      </c>
      <c r="AY173" s="32">
        <v>820</v>
      </c>
      <c r="AZ173" s="32">
        <v>811</v>
      </c>
      <c r="BA173" s="32">
        <v>823</v>
      </c>
      <c r="BB173" s="32">
        <v>872</v>
      </c>
      <c r="BC173" s="32">
        <v>850</v>
      </c>
      <c r="BD173" s="32">
        <v>854</v>
      </c>
      <c r="BE173" s="32">
        <v>860</v>
      </c>
      <c r="BF173" s="32">
        <v>873</v>
      </c>
      <c r="BG173" s="32">
        <v>881</v>
      </c>
      <c r="BH173" s="32">
        <v>916</v>
      </c>
      <c r="BI173" s="32">
        <v>900</v>
      </c>
      <c r="BJ173" s="32">
        <v>896</v>
      </c>
      <c r="BK173" s="32">
        <v>873</v>
      </c>
      <c r="BL173" s="33">
        <v>864</v>
      </c>
      <c r="BM173" s="1">
        <v>868</v>
      </c>
      <c r="BN173" s="1">
        <v>881</v>
      </c>
      <c r="BO173" s="1">
        <v>890</v>
      </c>
      <c r="BP173" s="1">
        <v>883</v>
      </c>
    </row>
    <row r="174" spans="1:68" ht="15.9" customHeight="1">
      <c r="A174" s="68" t="s">
        <v>342</v>
      </c>
      <c r="B174" s="28" t="s">
        <v>343</v>
      </c>
      <c r="C174" s="42" t="str">
        <f>_xll.RssMarket("2327","高値")</f>
        <v/>
      </c>
      <c r="D174" s="41" t="e">
        <f t="shared" si="5"/>
        <v>#VALUE!</v>
      </c>
      <c r="E174" s="37">
        <v>3882</v>
      </c>
      <c r="F174" s="37">
        <v>3844</v>
      </c>
      <c r="G174" s="32">
        <v>3887</v>
      </c>
      <c r="H174" s="32">
        <v>3823</v>
      </c>
      <c r="I174" s="32">
        <v>3797</v>
      </c>
      <c r="J174" s="32">
        <v>3818</v>
      </c>
      <c r="K174" s="32">
        <v>3845</v>
      </c>
      <c r="L174" s="32">
        <v>3795</v>
      </c>
      <c r="M174" s="32">
        <v>3671</v>
      </c>
      <c r="N174" s="32">
        <v>3635</v>
      </c>
      <c r="O174" s="32">
        <v>3504</v>
      </c>
      <c r="P174" s="32">
        <v>3419</v>
      </c>
      <c r="Q174" s="32">
        <v>3415</v>
      </c>
      <c r="R174" s="32">
        <v>3379</v>
      </c>
      <c r="S174" s="32">
        <v>3254</v>
      </c>
      <c r="T174" s="32">
        <v>3261</v>
      </c>
      <c r="U174" s="32">
        <v>3241</v>
      </c>
      <c r="V174" s="32">
        <v>3230</v>
      </c>
      <c r="W174" s="32">
        <v>3300</v>
      </c>
      <c r="X174" s="32">
        <v>3247</v>
      </c>
      <c r="Y174" s="32">
        <v>3193</v>
      </c>
      <c r="Z174" s="32">
        <v>3167</v>
      </c>
      <c r="AA174" s="32">
        <v>3225</v>
      </c>
      <c r="AB174" s="32">
        <v>3291</v>
      </c>
      <c r="AC174" s="32">
        <v>3267</v>
      </c>
      <c r="AD174" s="32">
        <v>3279</v>
      </c>
      <c r="AE174" s="32">
        <v>3315</v>
      </c>
      <c r="AF174" s="32">
        <v>3397</v>
      </c>
      <c r="AG174" s="32">
        <v>3484</v>
      </c>
      <c r="AH174" s="32">
        <v>3448</v>
      </c>
      <c r="AI174" s="32">
        <v>3590</v>
      </c>
      <c r="AJ174" s="32">
        <v>3620</v>
      </c>
      <c r="AK174" s="32">
        <v>3587</v>
      </c>
      <c r="AL174" s="32">
        <v>3593</v>
      </c>
      <c r="AM174" s="32">
        <v>3610</v>
      </c>
      <c r="AN174" s="32">
        <v>3658</v>
      </c>
      <c r="AO174" s="32">
        <v>3596</v>
      </c>
      <c r="AP174" s="32">
        <v>3605</v>
      </c>
      <c r="AQ174" s="32">
        <v>3600</v>
      </c>
      <c r="AR174" s="32">
        <v>3590</v>
      </c>
      <c r="AS174" s="32">
        <v>3566</v>
      </c>
      <c r="AT174" s="32">
        <v>3531</v>
      </c>
      <c r="AU174" s="32">
        <v>3584</v>
      </c>
      <c r="AV174" s="32">
        <v>3646</v>
      </c>
      <c r="AW174" s="32">
        <v>3715</v>
      </c>
      <c r="AX174" s="32">
        <v>3663</v>
      </c>
      <c r="AY174" s="32">
        <v>3673</v>
      </c>
      <c r="AZ174" s="32">
        <v>3655</v>
      </c>
      <c r="BA174" s="32">
        <v>3642</v>
      </c>
      <c r="BB174" s="32">
        <v>3679</v>
      </c>
      <c r="BC174" s="32">
        <v>3725</v>
      </c>
      <c r="BD174" s="32">
        <v>3723</v>
      </c>
      <c r="BE174" s="32">
        <v>3711</v>
      </c>
      <c r="BF174" s="32">
        <v>3867</v>
      </c>
      <c r="BG174" s="32">
        <v>3930</v>
      </c>
      <c r="BH174" s="32">
        <v>3894</v>
      </c>
      <c r="BI174" s="32">
        <v>3897</v>
      </c>
      <c r="BJ174" s="32">
        <v>3935</v>
      </c>
      <c r="BK174" s="32">
        <v>3957</v>
      </c>
      <c r="BL174" s="33">
        <v>3877</v>
      </c>
      <c r="BM174" s="1">
        <v>3811</v>
      </c>
      <c r="BN174" s="1">
        <v>3790</v>
      </c>
      <c r="BO174" s="1">
        <v>3808</v>
      </c>
      <c r="BP174" s="1">
        <v>3859</v>
      </c>
    </row>
    <row r="175" spans="1:68" ht="15.9" customHeight="1">
      <c r="A175" s="68" t="s">
        <v>344</v>
      </c>
      <c r="B175" s="28" t="s">
        <v>345</v>
      </c>
      <c r="C175" s="42" t="str">
        <f>_xll.RssMarket("1942","高値")</f>
        <v/>
      </c>
      <c r="D175" s="41" t="e">
        <f t="shared" si="5"/>
        <v>#VALUE!</v>
      </c>
      <c r="E175" s="37">
        <v>6068</v>
      </c>
      <c r="F175" s="37">
        <v>6332</v>
      </c>
      <c r="G175" s="32">
        <v>6188</v>
      </c>
      <c r="H175" s="32">
        <v>6389</v>
      </c>
      <c r="I175" s="32">
        <v>6423</v>
      </c>
      <c r="J175" s="32">
        <v>6452</v>
      </c>
      <c r="K175" s="32">
        <v>6840</v>
      </c>
      <c r="L175" s="32">
        <v>7007</v>
      </c>
      <c r="M175" s="32">
        <v>6949</v>
      </c>
      <c r="N175" s="32">
        <v>6772</v>
      </c>
      <c r="O175" s="32">
        <v>6785</v>
      </c>
      <c r="P175" s="32">
        <v>6870</v>
      </c>
      <c r="Q175" s="32">
        <v>6871</v>
      </c>
      <c r="R175" s="32">
        <v>6850</v>
      </c>
      <c r="S175" s="32">
        <v>6785</v>
      </c>
      <c r="T175" s="32">
        <v>6840</v>
      </c>
      <c r="U175" s="32">
        <v>6790</v>
      </c>
      <c r="V175" s="32">
        <v>6842</v>
      </c>
      <c r="W175" s="32">
        <v>6848</v>
      </c>
      <c r="X175" s="32">
        <v>6829</v>
      </c>
      <c r="Y175" s="32">
        <v>6670</v>
      </c>
      <c r="Z175" s="32">
        <v>6500</v>
      </c>
      <c r="AA175" s="32">
        <v>6320</v>
      </c>
      <c r="AB175" s="32">
        <v>6396</v>
      </c>
      <c r="AC175" s="32">
        <v>5944</v>
      </c>
      <c r="AD175" s="32">
        <v>5886</v>
      </c>
      <c r="AE175" s="32">
        <v>6087</v>
      </c>
      <c r="AF175" s="32">
        <v>5865</v>
      </c>
      <c r="AG175" s="32">
        <v>5914</v>
      </c>
      <c r="AH175" s="32">
        <v>5909</v>
      </c>
      <c r="AI175" s="32">
        <v>6032</v>
      </c>
      <c r="AJ175" s="32">
        <v>6127</v>
      </c>
      <c r="AK175" s="32">
        <v>6648</v>
      </c>
      <c r="AL175" s="32">
        <v>6626</v>
      </c>
      <c r="AM175" s="32">
        <v>6710</v>
      </c>
      <c r="AN175" s="32">
        <v>6442</v>
      </c>
      <c r="AO175" s="32">
        <v>6129</v>
      </c>
      <c r="AP175" s="32">
        <v>6252</v>
      </c>
      <c r="AQ175" s="32">
        <v>6355</v>
      </c>
      <c r="AR175" s="32">
        <v>6587</v>
      </c>
      <c r="AS175" s="32">
        <v>6823</v>
      </c>
      <c r="AT175" s="32">
        <v>7047</v>
      </c>
      <c r="AU175" s="32">
        <v>7250</v>
      </c>
      <c r="AV175" s="32">
        <v>7372</v>
      </c>
      <c r="AW175" s="32">
        <v>7460</v>
      </c>
      <c r="AX175" s="32">
        <v>7198</v>
      </c>
      <c r="AY175" s="32">
        <v>7054</v>
      </c>
      <c r="AZ175" s="32">
        <v>7025</v>
      </c>
      <c r="BA175" s="32">
        <v>7029</v>
      </c>
      <c r="BB175" s="32">
        <v>6838</v>
      </c>
      <c r="BC175" s="32">
        <v>6797</v>
      </c>
      <c r="BD175" s="32">
        <v>6110</v>
      </c>
      <c r="BE175" s="32">
        <v>6109</v>
      </c>
      <c r="BF175" s="32">
        <v>6092</v>
      </c>
      <c r="BG175" s="32">
        <v>6140</v>
      </c>
      <c r="BH175" s="32">
        <v>6198</v>
      </c>
      <c r="BI175" s="32">
        <v>6217</v>
      </c>
      <c r="BJ175" s="32">
        <v>6195</v>
      </c>
      <c r="BK175" s="32">
        <v>6202</v>
      </c>
      <c r="BL175" s="33">
        <v>6427</v>
      </c>
      <c r="BM175" s="1">
        <v>6379</v>
      </c>
      <c r="BN175" s="1">
        <v>6368</v>
      </c>
      <c r="BO175" s="1">
        <v>6453</v>
      </c>
      <c r="BP175" s="1">
        <v>6408</v>
      </c>
    </row>
    <row r="176" spans="1:68" ht="15.9" customHeight="1">
      <c r="A176" s="68" t="s">
        <v>346</v>
      </c>
      <c r="B176" s="28" t="s">
        <v>347</v>
      </c>
      <c r="C176" s="42" t="str">
        <f>_xll.RssMarket("1938","高値")</f>
        <v/>
      </c>
      <c r="D176" s="41" t="e">
        <f t="shared" si="5"/>
        <v>#VALUE!</v>
      </c>
      <c r="E176" s="37">
        <v>2550</v>
      </c>
      <c r="F176" s="37">
        <v>2602</v>
      </c>
      <c r="G176" s="32">
        <v>2589</v>
      </c>
      <c r="H176" s="32">
        <v>2607</v>
      </c>
      <c r="I176" s="32">
        <v>2600</v>
      </c>
      <c r="J176" s="32">
        <v>2590</v>
      </c>
      <c r="K176" s="32">
        <v>2655</v>
      </c>
      <c r="L176" s="32">
        <v>2784</v>
      </c>
      <c r="M176" s="32">
        <v>2751</v>
      </c>
      <c r="N176" s="32">
        <v>2703</v>
      </c>
      <c r="O176" s="32">
        <v>2708</v>
      </c>
      <c r="P176" s="32">
        <v>2730</v>
      </c>
      <c r="Q176" s="32">
        <v>2779</v>
      </c>
      <c r="R176" s="32">
        <v>2773</v>
      </c>
      <c r="S176" s="32">
        <v>2728</v>
      </c>
      <c r="T176" s="32">
        <v>2761</v>
      </c>
      <c r="U176" s="32">
        <v>2854</v>
      </c>
      <c r="V176" s="32">
        <v>2804</v>
      </c>
      <c r="W176" s="32">
        <v>2892</v>
      </c>
      <c r="X176" s="32">
        <v>2865</v>
      </c>
      <c r="Y176" s="32">
        <v>2841</v>
      </c>
      <c r="Z176" s="32">
        <v>2791</v>
      </c>
      <c r="AA176" s="32">
        <v>2821</v>
      </c>
      <c r="AB176" s="32">
        <v>2738</v>
      </c>
      <c r="AC176" s="32">
        <v>2712</v>
      </c>
      <c r="AD176" s="32">
        <v>2754</v>
      </c>
      <c r="AE176" s="32">
        <v>2745</v>
      </c>
      <c r="AF176" s="32">
        <v>2822</v>
      </c>
      <c r="AG176" s="32">
        <v>2788</v>
      </c>
      <c r="AH176" s="32">
        <v>2772</v>
      </c>
      <c r="AI176" s="32">
        <v>2736</v>
      </c>
      <c r="AJ176" s="32">
        <v>2870</v>
      </c>
      <c r="AK176" s="32">
        <v>2840</v>
      </c>
      <c r="AL176" s="32">
        <v>2850</v>
      </c>
      <c r="AM176" s="32">
        <v>2830</v>
      </c>
      <c r="AN176" s="32">
        <v>2668</v>
      </c>
      <c r="AO176" s="32">
        <v>2756</v>
      </c>
      <c r="AP176" s="32">
        <v>2773</v>
      </c>
      <c r="AQ176" s="32">
        <v>2899</v>
      </c>
      <c r="AR176" s="32">
        <v>2883</v>
      </c>
      <c r="AS176" s="32">
        <v>3030</v>
      </c>
      <c r="AT176" s="32">
        <v>3015</v>
      </c>
      <c r="AU176" s="32">
        <v>3220</v>
      </c>
      <c r="AV176" s="32">
        <v>3125</v>
      </c>
      <c r="AW176" s="32">
        <v>3040</v>
      </c>
      <c r="AX176" s="32">
        <v>2926</v>
      </c>
      <c r="AY176" s="32">
        <v>2924</v>
      </c>
      <c r="AZ176" s="32">
        <v>2833</v>
      </c>
      <c r="BA176" s="32">
        <v>2718</v>
      </c>
      <c r="BB176" s="32">
        <v>2749</v>
      </c>
      <c r="BC176" s="32">
        <v>2558</v>
      </c>
      <c r="BD176" s="32">
        <v>2606</v>
      </c>
      <c r="BE176" s="32">
        <v>2575</v>
      </c>
      <c r="BF176" s="32">
        <v>2570</v>
      </c>
      <c r="BG176" s="32">
        <v>2617</v>
      </c>
      <c r="BH176" s="32">
        <v>2554</v>
      </c>
      <c r="BI176" s="32">
        <v>2585</v>
      </c>
      <c r="BJ176" s="32">
        <v>2632</v>
      </c>
      <c r="BK176" s="32">
        <v>2687</v>
      </c>
      <c r="BL176" s="33">
        <v>2735</v>
      </c>
      <c r="BM176" s="1">
        <v>2711</v>
      </c>
      <c r="BN176" s="1">
        <v>2708</v>
      </c>
      <c r="BO176" s="1">
        <v>2726</v>
      </c>
      <c r="BP176" s="1">
        <v>2700</v>
      </c>
    </row>
    <row r="177" spans="1:68" ht="15.9" customHeight="1">
      <c r="A177" s="68" t="s">
        <v>348</v>
      </c>
      <c r="B177" s="28" t="s">
        <v>349</v>
      </c>
      <c r="C177" s="42" t="str">
        <f>_xll.RssMarket("7236","高値")</f>
        <v/>
      </c>
      <c r="D177" s="41" t="e">
        <f t="shared" si="5"/>
        <v>#VALUE!</v>
      </c>
      <c r="E177" s="37">
        <v>1502</v>
      </c>
      <c r="F177" s="37">
        <v>1538</v>
      </c>
      <c r="G177" s="32">
        <v>1511</v>
      </c>
      <c r="H177" s="32">
        <v>1519</v>
      </c>
      <c r="I177" s="32">
        <v>1525</v>
      </c>
      <c r="J177" s="32">
        <v>1520</v>
      </c>
      <c r="K177" s="32">
        <v>1596</v>
      </c>
      <c r="L177" s="32">
        <v>1571</v>
      </c>
      <c r="M177" s="32">
        <v>1578</v>
      </c>
      <c r="N177" s="32">
        <v>1550</v>
      </c>
      <c r="O177" s="32">
        <v>1548</v>
      </c>
      <c r="P177" s="32">
        <v>1480</v>
      </c>
      <c r="Q177" s="32">
        <v>1535</v>
      </c>
      <c r="R177" s="32">
        <v>15170</v>
      </c>
      <c r="S177" s="32">
        <v>14840</v>
      </c>
      <c r="T177" s="32">
        <v>14800</v>
      </c>
      <c r="U177" s="32">
        <v>15020</v>
      </c>
      <c r="V177" s="32">
        <v>15050</v>
      </c>
      <c r="W177" s="32">
        <v>14550</v>
      </c>
      <c r="X177" s="32">
        <v>14580</v>
      </c>
      <c r="Y177" s="32">
        <v>14520</v>
      </c>
      <c r="Z177" s="32">
        <v>14430</v>
      </c>
      <c r="AA177" s="32">
        <v>14730</v>
      </c>
      <c r="AB177" s="32">
        <v>14340</v>
      </c>
      <c r="AC177" s="32">
        <v>14200</v>
      </c>
      <c r="AD177" s="32">
        <v>14630</v>
      </c>
      <c r="AE177" s="32">
        <v>14180</v>
      </c>
      <c r="AF177" s="32">
        <v>14410</v>
      </c>
      <c r="AG177" s="32">
        <v>14300</v>
      </c>
      <c r="AH177" s="32">
        <v>15160</v>
      </c>
      <c r="AI177" s="32">
        <v>15180</v>
      </c>
      <c r="AJ177" s="32">
        <v>15240</v>
      </c>
      <c r="AK177" s="32">
        <v>14910</v>
      </c>
      <c r="AL177" s="32">
        <v>15400</v>
      </c>
      <c r="AM177" s="32">
        <v>15810</v>
      </c>
      <c r="AN177" s="32">
        <v>14960</v>
      </c>
      <c r="AO177" s="32">
        <v>14360</v>
      </c>
      <c r="AP177" s="32">
        <v>13800</v>
      </c>
      <c r="AQ177" s="32">
        <v>13950</v>
      </c>
      <c r="AR177" s="32">
        <v>14320</v>
      </c>
      <c r="AS177" s="32">
        <v>14690</v>
      </c>
      <c r="AT177" s="32">
        <v>14800</v>
      </c>
      <c r="AU177" s="32">
        <v>14790</v>
      </c>
      <c r="AV177" s="32">
        <v>15220</v>
      </c>
      <c r="AW177" s="32">
        <v>15090</v>
      </c>
      <c r="AX177" s="32">
        <v>15290</v>
      </c>
      <c r="AY177" s="32">
        <v>15900</v>
      </c>
      <c r="AZ177" s="32">
        <v>11110</v>
      </c>
      <c r="BA177" s="32">
        <v>9610</v>
      </c>
      <c r="BB177" s="32">
        <v>8180</v>
      </c>
      <c r="BC177" s="32">
        <v>8810</v>
      </c>
      <c r="BD177" s="32">
        <v>8790</v>
      </c>
      <c r="BE177" s="32">
        <v>9140</v>
      </c>
      <c r="BF177" s="32">
        <v>9260</v>
      </c>
      <c r="BG177" s="32">
        <v>9230</v>
      </c>
      <c r="BH177" s="32">
        <v>9140</v>
      </c>
      <c r="BI177" s="32">
        <v>9140</v>
      </c>
      <c r="BJ177" s="32">
        <v>8550</v>
      </c>
      <c r="BK177" s="32">
        <v>8400</v>
      </c>
      <c r="BL177" s="33">
        <v>8350</v>
      </c>
      <c r="BM177" s="1">
        <v>8400</v>
      </c>
      <c r="BN177" s="1">
        <v>8400</v>
      </c>
      <c r="BO177" s="1">
        <v>8530</v>
      </c>
      <c r="BP177" s="1">
        <v>8200</v>
      </c>
    </row>
    <row r="178" spans="1:68" ht="15.9" customHeight="1">
      <c r="A178" s="68" t="s">
        <v>350</v>
      </c>
      <c r="B178" s="28" t="s">
        <v>351</v>
      </c>
      <c r="C178" s="42" t="str">
        <f>_xll.RssMarket("6436","高値")</f>
        <v/>
      </c>
      <c r="D178" s="41" t="e">
        <f t="shared" si="5"/>
        <v>#VALUE!</v>
      </c>
      <c r="E178" s="37">
        <v>3838</v>
      </c>
      <c r="F178" s="37">
        <v>3790</v>
      </c>
      <c r="G178" s="32">
        <v>3770</v>
      </c>
      <c r="H178" s="32">
        <v>3781</v>
      </c>
      <c r="I178" s="32">
        <v>3763</v>
      </c>
      <c r="J178" s="32">
        <v>3758</v>
      </c>
      <c r="K178" s="32">
        <v>3772</v>
      </c>
      <c r="L178" s="32">
        <v>3764</v>
      </c>
      <c r="M178" s="32">
        <v>3729</v>
      </c>
      <c r="N178" s="32">
        <v>3712</v>
      </c>
      <c r="O178" s="32">
        <v>3675</v>
      </c>
      <c r="P178" s="32">
        <v>3681</v>
      </c>
      <c r="Q178" s="32">
        <v>3691</v>
      </c>
      <c r="R178" s="32">
        <v>3645</v>
      </c>
      <c r="S178" s="32">
        <v>3630</v>
      </c>
      <c r="T178" s="32">
        <v>3595</v>
      </c>
      <c r="U178" s="32">
        <v>3605</v>
      </c>
      <c r="V178" s="32">
        <v>3597</v>
      </c>
      <c r="W178" s="32">
        <v>3581</v>
      </c>
      <c r="X178" s="32">
        <v>3599</v>
      </c>
      <c r="Y178" s="32">
        <v>3578</v>
      </c>
      <c r="Z178" s="32">
        <v>3640</v>
      </c>
      <c r="AA178" s="32">
        <v>3637</v>
      </c>
      <c r="AB178" s="32">
        <v>3646</v>
      </c>
      <c r="AC178" s="32">
        <v>3642</v>
      </c>
      <c r="AD178" s="32">
        <v>3577</v>
      </c>
      <c r="AE178" s="32">
        <v>3555</v>
      </c>
      <c r="AF178" s="32">
        <v>3526</v>
      </c>
      <c r="AG178" s="32">
        <v>3543</v>
      </c>
      <c r="AH178" s="32">
        <v>3544</v>
      </c>
      <c r="AI178" s="32">
        <v>3618</v>
      </c>
      <c r="AJ178" s="32">
        <v>3585</v>
      </c>
      <c r="AK178" s="32">
        <v>3574</v>
      </c>
      <c r="AL178" s="32">
        <v>3660</v>
      </c>
      <c r="AM178" s="32">
        <v>3635</v>
      </c>
      <c r="AN178" s="32">
        <v>3669</v>
      </c>
      <c r="AO178" s="32">
        <v>3696</v>
      </c>
      <c r="AP178" s="32">
        <v>3717</v>
      </c>
      <c r="AQ178" s="32">
        <v>3687</v>
      </c>
      <c r="AR178" s="32">
        <v>3705</v>
      </c>
      <c r="AS178" s="32">
        <v>3689</v>
      </c>
      <c r="AT178" s="32">
        <v>3682</v>
      </c>
      <c r="AU178" s="32">
        <v>3702</v>
      </c>
      <c r="AV178" s="32">
        <v>3711</v>
      </c>
      <c r="AW178" s="32">
        <v>3687</v>
      </c>
      <c r="AX178" s="32">
        <v>3627</v>
      </c>
      <c r="AY178" s="32">
        <v>3623</v>
      </c>
      <c r="AZ178" s="32">
        <v>3717</v>
      </c>
      <c r="BA178" s="32">
        <v>3762</v>
      </c>
      <c r="BB178" s="32">
        <v>3929</v>
      </c>
      <c r="BC178" s="32">
        <v>3845</v>
      </c>
      <c r="BD178" s="32">
        <v>3850</v>
      </c>
      <c r="BE178" s="32">
        <v>3876</v>
      </c>
      <c r="BF178" s="32">
        <v>3877</v>
      </c>
      <c r="BG178" s="32">
        <v>3969</v>
      </c>
      <c r="BH178" s="32">
        <v>3927</v>
      </c>
      <c r="BI178" s="32">
        <v>3912</v>
      </c>
      <c r="BJ178" s="32">
        <v>3894</v>
      </c>
      <c r="BK178" s="32">
        <v>3910</v>
      </c>
      <c r="BL178" s="33">
        <v>3910</v>
      </c>
      <c r="BM178" s="1">
        <v>3954</v>
      </c>
      <c r="BN178" s="1">
        <v>3968</v>
      </c>
      <c r="BO178" s="1">
        <v>3939</v>
      </c>
      <c r="BP178" s="1">
        <v>3911</v>
      </c>
    </row>
    <row r="179" spans="1:68" ht="15.9" customHeight="1">
      <c r="A179" s="68" t="s">
        <v>352</v>
      </c>
      <c r="B179" s="28" t="s">
        <v>353</v>
      </c>
      <c r="C179" s="42" t="str">
        <f>_xll.RssMarket("5410","高値")</f>
        <v/>
      </c>
      <c r="D179" s="41" t="e">
        <f t="shared" si="5"/>
        <v>#VALUE!</v>
      </c>
      <c r="E179" s="37">
        <v>2702</v>
      </c>
      <c r="F179" s="37">
        <v>2713</v>
      </c>
      <c r="G179" s="32">
        <v>2731</v>
      </c>
      <c r="H179" s="32">
        <v>2715</v>
      </c>
      <c r="I179" s="32">
        <v>2682</v>
      </c>
      <c r="J179" s="32">
        <v>2706</v>
      </c>
      <c r="K179" s="32">
        <v>2730</v>
      </c>
      <c r="L179" s="32">
        <v>2699</v>
      </c>
      <c r="M179" s="32">
        <v>2662</v>
      </c>
      <c r="N179" s="32">
        <v>2607</v>
      </c>
      <c r="O179" s="32">
        <v>2587</v>
      </c>
      <c r="P179" s="32">
        <v>2626</v>
      </c>
      <c r="Q179" s="32">
        <v>2622</v>
      </c>
      <c r="R179" s="32">
        <v>2602</v>
      </c>
      <c r="S179" s="32">
        <v>2620</v>
      </c>
      <c r="T179" s="32">
        <v>2604</v>
      </c>
      <c r="U179" s="32">
        <v>2625</v>
      </c>
      <c r="V179" s="32">
        <v>2633</v>
      </c>
      <c r="W179" s="32">
        <v>2624</v>
      </c>
      <c r="X179" s="32">
        <v>2668</v>
      </c>
      <c r="Y179" s="32">
        <v>2623</v>
      </c>
      <c r="Z179" s="32">
        <v>2656</v>
      </c>
      <c r="AA179" s="32">
        <v>2609</v>
      </c>
      <c r="AB179" s="32">
        <v>2555</v>
      </c>
      <c r="AC179" s="32">
        <v>2553</v>
      </c>
      <c r="AD179" s="32">
        <v>2588</v>
      </c>
      <c r="AE179" s="32">
        <v>2593</v>
      </c>
      <c r="AF179" s="32">
        <v>2579</v>
      </c>
      <c r="AG179" s="32">
        <v>2617</v>
      </c>
      <c r="AH179" s="32">
        <v>2601</v>
      </c>
      <c r="AI179" s="32">
        <v>2776</v>
      </c>
      <c r="AJ179" s="32">
        <v>2733</v>
      </c>
      <c r="AK179" s="32">
        <v>2722</v>
      </c>
      <c r="AL179" s="32">
        <v>2693</v>
      </c>
      <c r="AM179" s="32">
        <v>2725</v>
      </c>
      <c r="AN179" s="32">
        <v>2729</v>
      </c>
      <c r="AO179" s="32">
        <v>2762</v>
      </c>
      <c r="AP179" s="32">
        <v>2816</v>
      </c>
      <c r="AQ179" s="32">
        <v>2838</v>
      </c>
      <c r="AR179" s="32">
        <v>2875</v>
      </c>
      <c r="AS179" s="32">
        <v>2871</v>
      </c>
      <c r="AT179" s="32">
        <v>2880</v>
      </c>
      <c r="AU179" s="32">
        <v>2875</v>
      </c>
      <c r="AV179" s="32">
        <v>2886</v>
      </c>
      <c r="AW179" s="32">
        <v>2892</v>
      </c>
      <c r="AX179" s="32">
        <v>2919</v>
      </c>
      <c r="AY179" s="32">
        <v>2896</v>
      </c>
      <c r="AZ179" s="32">
        <v>2926</v>
      </c>
      <c r="BA179" s="32">
        <v>3035</v>
      </c>
      <c r="BB179" s="32">
        <v>3635</v>
      </c>
      <c r="BC179" s="32">
        <v>3460</v>
      </c>
      <c r="BD179" s="32">
        <v>3510</v>
      </c>
      <c r="BE179" s="32">
        <v>3545</v>
      </c>
      <c r="BF179" s="32">
        <v>3570</v>
      </c>
      <c r="BG179" s="32">
        <v>3575</v>
      </c>
      <c r="BH179" s="32">
        <v>3575</v>
      </c>
      <c r="BI179" s="32">
        <v>3580</v>
      </c>
      <c r="BJ179" s="32">
        <v>3605</v>
      </c>
      <c r="BK179" s="32">
        <v>3580</v>
      </c>
      <c r="BL179" s="33">
        <v>3620</v>
      </c>
      <c r="BM179" s="1">
        <v>3660</v>
      </c>
      <c r="BN179" s="1">
        <v>3720</v>
      </c>
      <c r="BO179" s="1">
        <v>3760</v>
      </c>
    </row>
    <row r="180" spans="1:68" ht="15.9" customHeight="1">
      <c r="A180" s="68" t="s">
        <v>354</v>
      </c>
      <c r="B180" s="28" t="s">
        <v>355</v>
      </c>
      <c r="C180" s="42" t="str">
        <f>_xll.RssMarket("5440","高値")</f>
        <v/>
      </c>
      <c r="D180" s="41" t="e">
        <f t="shared" si="5"/>
        <v>#VALUE!</v>
      </c>
      <c r="E180" s="37">
        <v>1850</v>
      </c>
      <c r="F180" s="37">
        <v>1855</v>
      </c>
      <c r="G180" s="32">
        <v>1832</v>
      </c>
      <c r="H180" s="32">
        <v>1829</v>
      </c>
      <c r="I180" s="32">
        <v>1816</v>
      </c>
      <c r="J180" s="32">
        <v>1804</v>
      </c>
      <c r="K180" s="32">
        <v>1813</v>
      </c>
      <c r="L180" s="32">
        <v>1831</v>
      </c>
      <c r="M180" s="32">
        <v>1802</v>
      </c>
      <c r="N180" s="32">
        <v>1784</v>
      </c>
      <c r="O180" s="32">
        <v>1761</v>
      </c>
      <c r="P180" s="32">
        <v>1752</v>
      </c>
      <c r="Q180" s="32">
        <v>1756</v>
      </c>
      <c r="R180" s="32">
        <v>1766</v>
      </c>
      <c r="S180" s="32">
        <v>1740</v>
      </c>
      <c r="T180" s="32">
        <v>1726</v>
      </c>
      <c r="U180" s="32">
        <v>1728</v>
      </c>
      <c r="V180" s="32">
        <v>1750</v>
      </c>
      <c r="W180" s="32">
        <v>1767</v>
      </c>
      <c r="X180" s="32">
        <v>1756</v>
      </c>
      <c r="Y180" s="32">
        <v>1787</v>
      </c>
      <c r="Z180" s="32">
        <v>1772</v>
      </c>
      <c r="AA180" s="32">
        <v>1788</v>
      </c>
      <c r="AB180" s="32">
        <v>1771</v>
      </c>
      <c r="AC180" s="32">
        <v>1721</v>
      </c>
      <c r="AD180" s="32">
        <v>1727</v>
      </c>
      <c r="AE180" s="32">
        <v>1743</v>
      </c>
      <c r="AF180" s="32">
        <v>1766</v>
      </c>
      <c r="AG180" s="32">
        <v>1754</v>
      </c>
      <c r="AH180" s="32">
        <v>1757</v>
      </c>
      <c r="AI180" s="32">
        <v>1750</v>
      </c>
      <c r="AJ180" s="32">
        <v>1839</v>
      </c>
      <c r="AK180" s="32">
        <v>1837</v>
      </c>
      <c r="AL180" s="32">
        <v>1836</v>
      </c>
      <c r="AM180" s="32">
        <v>1880</v>
      </c>
      <c r="AN180" s="32">
        <v>1862</v>
      </c>
      <c r="AO180" s="32">
        <v>1865</v>
      </c>
      <c r="AP180" s="32">
        <v>1831</v>
      </c>
      <c r="AQ180" s="32">
        <v>1865</v>
      </c>
      <c r="AR180" s="32">
        <v>1875</v>
      </c>
      <c r="AS180" s="32">
        <v>1883</v>
      </c>
      <c r="AT180" s="32">
        <v>1890</v>
      </c>
      <c r="AU180" s="32">
        <v>1841</v>
      </c>
      <c r="AV180" s="32">
        <v>1847</v>
      </c>
      <c r="AW180" s="32">
        <v>1840</v>
      </c>
      <c r="AX180" s="32">
        <v>1828</v>
      </c>
      <c r="AY180" s="32">
        <v>1847</v>
      </c>
      <c r="AZ180" s="32">
        <v>1915</v>
      </c>
      <c r="BA180" s="32">
        <v>2267</v>
      </c>
      <c r="BB180" s="32">
        <v>2185</v>
      </c>
      <c r="BC180" s="32">
        <v>2240</v>
      </c>
      <c r="BD180" s="32">
        <v>2254</v>
      </c>
      <c r="BE180" s="32">
        <v>2276</v>
      </c>
      <c r="BF180" s="32">
        <v>2280</v>
      </c>
      <c r="BG180" s="32">
        <v>2334</v>
      </c>
      <c r="BH180" s="32">
        <v>2313</v>
      </c>
      <c r="BI180" s="32">
        <v>2313</v>
      </c>
      <c r="BJ180" s="32">
        <v>2347</v>
      </c>
      <c r="BK180" s="32">
        <v>2373</v>
      </c>
      <c r="BL180" s="33">
        <v>2373</v>
      </c>
      <c r="BM180" s="1">
        <v>2388</v>
      </c>
      <c r="BN180" s="1">
        <v>2415</v>
      </c>
      <c r="BO180" s="1">
        <v>2439</v>
      </c>
      <c r="BP180" s="1">
        <v>2436</v>
      </c>
    </row>
    <row r="181" spans="1:68" ht="15.9" customHeight="1">
      <c r="A181" s="68" t="s">
        <v>356</v>
      </c>
      <c r="B181" s="28" t="s">
        <v>357</v>
      </c>
      <c r="C181" s="42" t="str">
        <f>_xll.RssMarket("9505","高値")</f>
        <v/>
      </c>
      <c r="D181" s="41" t="e">
        <f t="shared" si="5"/>
        <v>#VALUE!</v>
      </c>
      <c r="E181" s="37">
        <v>921.8</v>
      </c>
      <c r="F181" s="37">
        <v>919.8</v>
      </c>
      <c r="G181" s="32">
        <v>904.7</v>
      </c>
      <c r="H181" s="32">
        <v>909.5</v>
      </c>
      <c r="I181" s="32">
        <v>911.5</v>
      </c>
      <c r="J181" s="32">
        <v>920.7</v>
      </c>
      <c r="K181" s="32">
        <v>922</v>
      </c>
      <c r="L181" s="32">
        <v>921.5</v>
      </c>
      <c r="M181" s="32">
        <v>922.7</v>
      </c>
      <c r="N181" s="32">
        <v>899.5</v>
      </c>
      <c r="O181" s="32">
        <v>892.8</v>
      </c>
      <c r="P181" s="32">
        <v>876.1</v>
      </c>
      <c r="Q181" s="32">
        <v>880.4</v>
      </c>
      <c r="R181" s="32">
        <v>879.5</v>
      </c>
      <c r="S181" s="32">
        <v>876.9</v>
      </c>
      <c r="T181" s="32">
        <v>870.5</v>
      </c>
      <c r="U181" s="32">
        <v>861</v>
      </c>
      <c r="V181" s="32">
        <v>852.5</v>
      </c>
      <c r="W181" s="32">
        <v>849.7</v>
      </c>
      <c r="X181" s="32">
        <v>854.6</v>
      </c>
      <c r="Y181" s="32">
        <v>863.8</v>
      </c>
      <c r="Z181" s="32">
        <v>859.5</v>
      </c>
      <c r="AA181" s="32">
        <v>873.2</v>
      </c>
      <c r="AB181" s="32">
        <v>888</v>
      </c>
      <c r="AC181" s="32">
        <v>866.5</v>
      </c>
      <c r="AD181" s="32">
        <v>869</v>
      </c>
      <c r="AE181" s="32">
        <v>857.8</v>
      </c>
      <c r="AF181" s="32">
        <v>833.3</v>
      </c>
      <c r="AG181" s="32">
        <v>827.2</v>
      </c>
      <c r="AH181" s="32">
        <v>813</v>
      </c>
      <c r="AI181" s="32">
        <v>827.1</v>
      </c>
      <c r="AJ181" s="32">
        <v>811.7</v>
      </c>
      <c r="AK181" s="32">
        <v>843.6</v>
      </c>
      <c r="AL181" s="32">
        <v>861.2</v>
      </c>
      <c r="AM181" s="32">
        <v>867.7</v>
      </c>
      <c r="AN181" s="32">
        <v>870.4</v>
      </c>
      <c r="AO181" s="32">
        <v>882.5</v>
      </c>
      <c r="AP181" s="32">
        <v>881.5</v>
      </c>
      <c r="AQ181" s="32">
        <v>886.7</v>
      </c>
      <c r="AR181" s="32">
        <v>879.7</v>
      </c>
      <c r="AS181" s="32">
        <v>901</v>
      </c>
      <c r="AT181" s="32">
        <v>921.8</v>
      </c>
      <c r="AU181" s="32">
        <v>922</v>
      </c>
      <c r="AV181" s="32">
        <v>927.7</v>
      </c>
      <c r="AW181" s="32">
        <v>921.2</v>
      </c>
      <c r="AX181" s="32">
        <v>905.1</v>
      </c>
      <c r="AY181" s="32">
        <v>914.7</v>
      </c>
      <c r="AZ181" s="32">
        <v>900.5</v>
      </c>
      <c r="BA181" s="32">
        <v>871.7</v>
      </c>
      <c r="BB181" s="32">
        <v>916.6</v>
      </c>
      <c r="BC181" s="32">
        <v>1005</v>
      </c>
      <c r="BD181" s="32">
        <v>994</v>
      </c>
      <c r="BE181" s="32">
        <v>1006.5</v>
      </c>
      <c r="BF181" s="32">
        <v>998.3</v>
      </c>
      <c r="BG181" s="32">
        <v>1011.5</v>
      </c>
      <c r="BH181" s="32">
        <v>1032</v>
      </c>
      <c r="BI181" s="32">
        <v>1064</v>
      </c>
      <c r="BJ181" s="32">
        <v>1080</v>
      </c>
      <c r="BK181" s="32">
        <v>1090</v>
      </c>
      <c r="BL181" s="33">
        <v>1097</v>
      </c>
      <c r="BM181" s="1">
        <v>1096.5</v>
      </c>
      <c r="BN181" s="1">
        <v>1114.5</v>
      </c>
      <c r="BO181" s="1">
        <v>1134</v>
      </c>
      <c r="BP181" s="1">
        <v>1118</v>
      </c>
    </row>
    <row r="182" spans="1:68" ht="15.9" customHeight="1">
      <c r="A182" s="68" t="s">
        <v>358</v>
      </c>
      <c r="B182" s="28" t="s">
        <v>359</v>
      </c>
      <c r="C182" s="42" t="str">
        <f>_xll.RssMarket("8091","高値")</f>
        <v/>
      </c>
      <c r="D182" s="41" t="e">
        <f t="shared" si="5"/>
        <v>#VALUE!</v>
      </c>
      <c r="E182" s="37">
        <v>2340</v>
      </c>
      <c r="F182" s="37">
        <v>2323</v>
      </c>
      <c r="G182" s="32">
        <v>2289</v>
      </c>
      <c r="H182" s="32">
        <v>2319</v>
      </c>
      <c r="I182" s="32">
        <v>2311</v>
      </c>
      <c r="J182" s="32">
        <v>2288</v>
      </c>
      <c r="K182" s="32">
        <v>2338</v>
      </c>
      <c r="L182" s="32">
        <v>2349</v>
      </c>
      <c r="M182" s="32">
        <v>2340</v>
      </c>
      <c r="N182" s="32">
        <v>2310</v>
      </c>
      <c r="O182" s="32">
        <v>2296</v>
      </c>
      <c r="P182" s="32">
        <v>2297</v>
      </c>
      <c r="Q182" s="32">
        <v>2300</v>
      </c>
      <c r="R182" s="32">
        <v>2301</v>
      </c>
      <c r="S182" s="32">
        <v>2285</v>
      </c>
      <c r="T182" s="32">
        <v>2308</v>
      </c>
      <c r="U182" s="32">
        <v>2287</v>
      </c>
      <c r="V182" s="32">
        <v>2294</v>
      </c>
      <c r="W182" s="32">
        <v>2300</v>
      </c>
      <c r="X182" s="32">
        <v>2261</v>
      </c>
      <c r="Y182" s="32">
        <v>2240</v>
      </c>
      <c r="Z182" s="32">
        <v>2214</v>
      </c>
      <c r="AA182" s="32">
        <v>2228</v>
      </c>
      <c r="AB182" s="32">
        <v>2200</v>
      </c>
      <c r="AC182" s="32">
        <v>2211</v>
      </c>
      <c r="AD182" s="32">
        <v>2206</v>
      </c>
      <c r="AE182" s="32">
        <v>2210</v>
      </c>
      <c r="AF182" s="32">
        <v>2228</v>
      </c>
      <c r="AG182" s="32">
        <v>2181</v>
      </c>
      <c r="AH182" s="32">
        <v>2147</v>
      </c>
      <c r="AI182" s="32">
        <v>2135</v>
      </c>
      <c r="AJ182" s="32">
        <v>2186</v>
      </c>
      <c r="AK182" s="32">
        <v>2175</v>
      </c>
      <c r="AL182" s="32">
        <v>2149</v>
      </c>
      <c r="AM182" s="32">
        <v>2146</v>
      </c>
      <c r="AN182" s="32">
        <v>2169</v>
      </c>
      <c r="AO182" s="32">
        <v>2177</v>
      </c>
      <c r="AP182" s="32">
        <v>2190</v>
      </c>
      <c r="AQ182" s="32">
        <v>2197</v>
      </c>
      <c r="AR182" s="32">
        <v>2206</v>
      </c>
      <c r="AS182" s="32">
        <v>2311</v>
      </c>
      <c r="AT182" s="32">
        <v>2285</v>
      </c>
      <c r="AU182" s="32">
        <v>2281</v>
      </c>
      <c r="AV182" s="32">
        <v>2278</v>
      </c>
      <c r="AW182" s="32">
        <v>2285</v>
      </c>
      <c r="AX182" s="32">
        <v>2256</v>
      </c>
      <c r="AY182" s="32">
        <v>2262</v>
      </c>
      <c r="AZ182" s="32">
        <v>2253</v>
      </c>
      <c r="BA182" s="32">
        <v>2270</v>
      </c>
      <c r="BB182" s="32">
        <v>2307</v>
      </c>
      <c r="BC182" s="32">
        <v>2397</v>
      </c>
      <c r="BD182" s="32">
        <v>2452</v>
      </c>
      <c r="BE182" s="32">
        <v>2478</v>
      </c>
      <c r="BF182" s="32">
        <v>2495</v>
      </c>
      <c r="BG182" s="32">
        <v>2507</v>
      </c>
      <c r="BH182" s="32">
        <v>2522</v>
      </c>
      <c r="BI182" s="32">
        <v>2530</v>
      </c>
      <c r="BJ182" s="32">
        <v>2545</v>
      </c>
      <c r="BK182" s="32">
        <v>2553</v>
      </c>
      <c r="BL182" s="33">
        <v>2556</v>
      </c>
      <c r="BM182" s="1">
        <v>2550</v>
      </c>
      <c r="BN182" s="1">
        <v>2577</v>
      </c>
      <c r="BO182" s="1">
        <v>2625</v>
      </c>
      <c r="BP182" s="1">
        <v>2598</v>
      </c>
    </row>
    <row r="183" spans="1:68" ht="15.9" customHeight="1">
      <c r="A183" s="68" t="s">
        <v>360</v>
      </c>
      <c r="B183" s="28" t="s">
        <v>361</v>
      </c>
      <c r="C183" s="42" t="str">
        <f>_xll.RssMarket("6507","高値")</f>
        <v/>
      </c>
      <c r="D183" s="41" t="e">
        <f t="shared" si="5"/>
        <v>#VALUE!</v>
      </c>
      <c r="E183" s="37">
        <v>14150</v>
      </c>
      <c r="F183" s="37">
        <v>14990</v>
      </c>
      <c r="G183" s="32">
        <v>14360</v>
      </c>
      <c r="H183" s="32">
        <v>15200</v>
      </c>
      <c r="I183" s="32">
        <v>15610</v>
      </c>
      <c r="J183" s="32">
        <v>15090</v>
      </c>
      <c r="K183" s="32">
        <v>15440</v>
      </c>
      <c r="L183" s="32">
        <v>16700</v>
      </c>
      <c r="M183" s="32">
        <v>16660</v>
      </c>
      <c r="N183" s="32">
        <v>15690</v>
      </c>
      <c r="O183" s="32">
        <v>16000</v>
      </c>
      <c r="P183" s="32">
        <v>16630</v>
      </c>
      <c r="Q183" s="32">
        <v>16500</v>
      </c>
      <c r="R183" s="32">
        <v>15400</v>
      </c>
      <c r="S183" s="32">
        <v>15810</v>
      </c>
      <c r="T183" s="32">
        <v>16500</v>
      </c>
      <c r="U183" s="32">
        <v>16050</v>
      </c>
      <c r="V183" s="32">
        <v>16900</v>
      </c>
      <c r="W183" s="32">
        <v>16890</v>
      </c>
      <c r="X183" s="32">
        <v>16770</v>
      </c>
      <c r="Y183" s="32">
        <v>16460</v>
      </c>
      <c r="Z183" s="32">
        <v>15880</v>
      </c>
      <c r="AA183" s="32">
        <v>14800</v>
      </c>
      <c r="AB183" s="32">
        <v>14160</v>
      </c>
      <c r="AC183" s="32">
        <v>13900</v>
      </c>
      <c r="AD183" s="32">
        <v>13310</v>
      </c>
      <c r="AE183" s="32">
        <v>13900</v>
      </c>
      <c r="AF183" s="32">
        <v>14610</v>
      </c>
      <c r="AG183" s="32">
        <v>15480</v>
      </c>
      <c r="AH183" s="32">
        <v>15340</v>
      </c>
      <c r="AI183" s="32">
        <v>14490</v>
      </c>
      <c r="AJ183" s="32">
        <v>14420</v>
      </c>
      <c r="AK183" s="32">
        <v>14300</v>
      </c>
      <c r="AL183" s="32">
        <v>14450</v>
      </c>
      <c r="AM183" s="32">
        <v>15310</v>
      </c>
      <c r="AN183" s="32">
        <v>14610</v>
      </c>
      <c r="AO183" s="32">
        <v>14240</v>
      </c>
      <c r="AP183" s="32">
        <v>13800</v>
      </c>
      <c r="AQ183" s="32">
        <v>13290</v>
      </c>
      <c r="AR183" s="32">
        <v>15720</v>
      </c>
      <c r="AS183" s="32">
        <v>15460</v>
      </c>
      <c r="AT183" s="32">
        <v>16900</v>
      </c>
      <c r="AU183" s="32">
        <v>16110</v>
      </c>
      <c r="AV183" s="32">
        <v>14820</v>
      </c>
      <c r="AW183" s="32">
        <v>15290</v>
      </c>
      <c r="AX183" s="32">
        <v>15200</v>
      </c>
      <c r="AY183" s="32">
        <v>14950</v>
      </c>
      <c r="AZ183" s="32">
        <v>15640</v>
      </c>
      <c r="BA183" s="32">
        <v>14640</v>
      </c>
      <c r="BB183" s="32">
        <v>14430</v>
      </c>
      <c r="BC183" s="32">
        <v>14150</v>
      </c>
      <c r="BD183" s="32">
        <v>13900</v>
      </c>
      <c r="BE183" s="32">
        <v>13470</v>
      </c>
      <c r="BF183" s="32">
        <v>13600</v>
      </c>
      <c r="BG183" s="32">
        <v>13480</v>
      </c>
      <c r="BH183" s="32">
        <v>13720</v>
      </c>
      <c r="BI183" s="32">
        <v>13920</v>
      </c>
      <c r="BJ183" s="32">
        <v>13890</v>
      </c>
      <c r="BK183" s="32">
        <v>14060</v>
      </c>
      <c r="BL183" s="33">
        <v>13550</v>
      </c>
      <c r="BM183" s="1">
        <v>13700</v>
      </c>
      <c r="BN183" s="1">
        <v>13590</v>
      </c>
      <c r="BO183" s="1">
        <v>13540</v>
      </c>
      <c r="BP183" s="1">
        <v>13030</v>
      </c>
    </row>
    <row r="184" spans="1:68" ht="15.9" customHeight="1">
      <c r="A184" s="68" t="s">
        <v>362</v>
      </c>
      <c r="B184" s="28" t="s">
        <v>363</v>
      </c>
      <c r="C184" s="42" t="str">
        <f>_xll.RssMarket("9022","高値")</f>
        <v/>
      </c>
      <c r="D184" s="41" t="e">
        <f t="shared" si="5"/>
        <v>#VALUE!</v>
      </c>
      <c r="E184" s="37">
        <v>3803</v>
      </c>
      <c r="F184" s="37">
        <v>3750</v>
      </c>
      <c r="G184" s="32">
        <v>3736</v>
      </c>
      <c r="H184" s="32">
        <v>3671</v>
      </c>
      <c r="I184" s="32">
        <v>3677</v>
      </c>
      <c r="J184" s="32">
        <v>3659</v>
      </c>
      <c r="K184" s="32">
        <v>3720</v>
      </c>
      <c r="L184" s="32">
        <v>3723</v>
      </c>
      <c r="M184" s="32">
        <v>3559</v>
      </c>
      <c r="N184" s="32">
        <v>3570</v>
      </c>
      <c r="O184" s="32">
        <v>3517</v>
      </c>
      <c r="P184" s="32">
        <v>3456</v>
      </c>
      <c r="Q184" s="32">
        <v>3507</v>
      </c>
      <c r="R184" s="32">
        <v>3506</v>
      </c>
      <c r="S184" s="32">
        <v>3420</v>
      </c>
      <c r="T184" s="32">
        <v>3383</v>
      </c>
      <c r="U184" s="32">
        <v>3397</v>
      </c>
      <c r="V184" s="32">
        <v>3359</v>
      </c>
      <c r="W184" s="32">
        <v>3259</v>
      </c>
      <c r="X184" s="32">
        <v>3269</v>
      </c>
      <c r="Y184" s="32">
        <v>3352</v>
      </c>
      <c r="Z184" s="32">
        <v>3371</v>
      </c>
      <c r="AA184" s="32">
        <v>3351</v>
      </c>
      <c r="AB184" s="32">
        <v>3428</v>
      </c>
      <c r="AC184" s="32">
        <v>3410</v>
      </c>
      <c r="AD184" s="32">
        <v>3516</v>
      </c>
      <c r="AE184" s="32">
        <v>3509</v>
      </c>
      <c r="AF184" s="32">
        <v>3394</v>
      </c>
      <c r="AG184" s="32">
        <v>3390</v>
      </c>
      <c r="AH184" s="32">
        <v>3323</v>
      </c>
      <c r="AI184" s="32">
        <v>3348</v>
      </c>
      <c r="AJ184" s="32">
        <v>3398</v>
      </c>
      <c r="AK184" s="32">
        <v>3532</v>
      </c>
      <c r="AL184" s="32">
        <v>3526</v>
      </c>
      <c r="AM184" s="32">
        <v>3540</v>
      </c>
      <c r="AN184" s="32">
        <v>3553</v>
      </c>
      <c r="AO184" s="32">
        <v>3573</v>
      </c>
      <c r="AP184" s="32">
        <v>3601</v>
      </c>
      <c r="AQ184" s="32">
        <v>3609</v>
      </c>
      <c r="AR184" s="32">
        <v>3634</v>
      </c>
      <c r="AS184" s="32">
        <v>3627</v>
      </c>
      <c r="AT184" s="32">
        <v>3641</v>
      </c>
      <c r="AU184" s="32">
        <v>3659</v>
      </c>
      <c r="AV184" s="32">
        <v>3663</v>
      </c>
      <c r="AW184" s="32">
        <v>3613</v>
      </c>
      <c r="AX184" s="32">
        <v>3647</v>
      </c>
      <c r="AY184" s="32">
        <v>3715</v>
      </c>
      <c r="AZ184" s="32">
        <v>3721</v>
      </c>
      <c r="BA184" s="32">
        <v>3707</v>
      </c>
      <c r="BB184" s="32">
        <v>3833</v>
      </c>
      <c r="BC184" s="32">
        <v>4161</v>
      </c>
      <c r="BD184" s="32">
        <v>4102</v>
      </c>
      <c r="BE184" s="32">
        <v>4122</v>
      </c>
      <c r="BF184" s="32">
        <v>4101</v>
      </c>
      <c r="BG184" s="32">
        <v>4200</v>
      </c>
      <c r="BH184" s="32">
        <v>4290</v>
      </c>
      <c r="BI184" s="32">
        <v>4275</v>
      </c>
      <c r="BJ184" s="32">
        <v>4290</v>
      </c>
      <c r="BK184" s="32">
        <v>4341</v>
      </c>
      <c r="BL184" s="33">
        <v>4430</v>
      </c>
      <c r="BM184" s="1">
        <v>4261</v>
      </c>
      <c r="BN184" s="1">
        <v>4247</v>
      </c>
      <c r="BO184" s="1">
        <v>4283</v>
      </c>
      <c r="BP184" s="1">
        <v>4278</v>
      </c>
    </row>
    <row r="185" spans="1:68" ht="15.9" customHeight="1">
      <c r="A185" s="68" t="s">
        <v>364</v>
      </c>
      <c r="B185" s="28" t="s">
        <v>365</v>
      </c>
      <c r="C185" s="42" t="str">
        <f>_xll.RssMarket("9536","高値")</f>
        <v/>
      </c>
      <c r="D185" s="41" t="e">
        <f t="shared" si="5"/>
        <v>#VALUE!</v>
      </c>
      <c r="E185" s="37">
        <v>2341</v>
      </c>
      <c r="F185" s="37">
        <v>2335</v>
      </c>
      <c r="G185" s="32">
        <v>2329</v>
      </c>
      <c r="H185" s="32">
        <v>2346</v>
      </c>
      <c r="I185" s="32">
        <v>2340</v>
      </c>
      <c r="J185" s="32">
        <v>2359</v>
      </c>
      <c r="K185" s="32">
        <v>2360</v>
      </c>
      <c r="L185" s="32">
        <v>2336</v>
      </c>
      <c r="M185" s="32">
        <v>2319</v>
      </c>
      <c r="N185" s="32">
        <v>2275</v>
      </c>
      <c r="O185" s="32">
        <v>2244</v>
      </c>
      <c r="P185" s="32">
        <v>2249</v>
      </c>
      <c r="Q185" s="32">
        <v>2270</v>
      </c>
      <c r="R185" s="32">
        <v>2278</v>
      </c>
      <c r="S185" s="32">
        <v>2246</v>
      </c>
      <c r="T185" s="32">
        <v>2240</v>
      </c>
      <c r="U185" s="32">
        <v>2232</v>
      </c>
      <c r="V185" s="32">
        <v>2219</v>
      </c>
      <c r="W185" s="32">
        <v>2231</v>
      </c>
      <c r="X185" s="32">
        <v>2254</v>
      </c>
      <c r="Y185" s="32">
        <v>2253</v>
      </c>
      <c r="Z185" s="32">
        <v>2262</v>
      </c>
      <c r="AA185" s="32">
        <v>2278</v>
      </c>
      <c r="AB185" s="32">
        <v>2275</v>
      </c>
      <c r="AC185" s="32">
        <v>2248</v>
      </c>
      <c r="AD185" s="32">
        <v>2244</v>
      </c>
      <c r="AE185" s="32">
        <v>2245</v>
      </c>
      <c r="AF185" s="32">
        <v>2210</v>
      </c>
      <c r="AG185" s="32">
        <v>2230</v>
      </c>
      <c r="AH185" s="32">
        <v>2191</v>
      </c>
      <c r="AI185" s="32">
        <v>2193</v>
      </c>
      <c r="AJ185" s="32">
        <v>2181</v>
      </c>
      <c r="AK185" s="32">
        <v>2227</v>
      </c>
      <c r="AL185" s="32">
        <v>2210</v>
      </c>
      <c r="AM185" s="32">
        <v>2225</v>
      </c>
      <c r="AN185" s="32">
        <v>2228</v>
      </c>
      <c r="AO185" s="32">
        <v>2233</v>
      </c>
      <c r="AP185" s="32">
        <v>2225</v>
      </c>
      <c r="AQ185" s="32">
        <v>2233</v>
      </c>
      <c r="AR185" s="32">
        <v>2249</v>
      </c>
      <c r="AS185" s="32">
        <v>2250</v>
      </c>
      <c r="AT185" s="32">
        <v>2264</v>
      </c>
      <c r="AU185" s="32">
        <v>2254</v>
      </c>
      <c r="AV185" s="32">
        <v>2240</v>
      </c>
      <c r="AW185" s="32">
        <v>2266</v>
      </c>
      <c r="AX185" s="32">
        <v>2255</v>
      </c>
      <c r="AY185" s="32">
        <v>2256</v>
      </c>
      <c r="AZ185" s="32">
        <v>2278</v>
      </c>
      <c r="BA185" s="32">
        <v>2246</v>
      </c>
      <c r="BB185" s="32">
        <v>2358</v>
      </c>
      <c r="BC185" s="32">
        <v>2457</v>
      </c>
      <c r="BD185" s="32">
        <v>2470</v>
      </c>
      <c r="BE185" s="32">
        <v>2478</v>
      </c>
      <c r="BF185" s="32">
        <v>2460</v>
      </c>
      <c r="BG185" s="32">
        <v>2519</v>
      </c>
      <c r="BH185" s="32">
        <v>2562</v>
      </c>
      <c r="BI185" s="32">
        <v>2588</v>
      </c>
      <c r="BJ185" s="32">
        <v>2629</v>
      </c>
      <c r="BK185" s="32">
        <v>2616</v>
      </c>
      <c r="BL185" s="33">
        <v>2602</v>
      </c>
      <c r="BM185" s="1">
        <v>2582</v>
      </c>
      <c r="BN185" s="1">
        <v>2582</v>
      </c>
      <c r="BO185" s="1">
        <v>2595</v>
      </c>
      <c r="BP185" s="1">
        <v>2634</v>
      </c>
    </row>
    <row r="186" spans="1:68" ht="15.9" customHeight="1">
      <c r="A186" s="68" t="s">
        <v>366</v>
      </c>
      <c r="B186" s="28" t="s">
        <v>367</v>
      </c>
      <c r="C186" s="42" t="str">
        <f>_xll.RssMarket("9506","高値")</f>
        <v/>
      </c>
      <c r="D186" s="41" t="e">
        <f t="shared" si="5"/>
        <v>#VALUE!</v>
      </c>
      <c r="E186" s="37">
        <v>1143</v>
      </c>
      <c r="F186" s="37">
        <v>1136.5</v>
      </c>
      <c r="G186" s="32">
        <v>1107</v>
      </c>
      <c r="H186" s="32">
        <v>1100.5</v>
      </c>
      <c r="I186" s="32">
        <v>1100</v>
      </c>
      <c r="J186" s="32">
        <v>1109.5</v>
      </c>
      <c r="K186" s="32">
        <v>1097</v>
      </c>
      <c r="L186" s="32">
        <v>1097.5</v>
      </c>
      <c r="M186" s="32">
        <v>1072.5</v>
      </c>
      <c r="N186" s="32">
        <v>1073.5</v>
      </c>
      <c r="O186" s="32">
        <v>1064</v>
      </c>
      <c r="P186" s="32">
        <v>1073</v>
      </c>
      <c r="Q186" s="32">
        <v>1060</v>
      </c>
      <c r="R186" s="32">
        <v>1057</v>
      </c>
      <c r="S186" s="32">
        <v>1048</v>
      </c>
      <c r="T186" s="32">
        <v>1039.5</v>
      </c>
      <c r="U186" s="32">
        <v>1049.5</v>
      </c>
      <c r="V186" s="32">
        <v>1049</v>
      </c>
      <c r="W186" s="32">
        <v>1055.5</v>
      </c>
      <c r="X186" s="32">
        <v>1063.5</v>
      </c>
      <c r="Y186" s="32">
        <v>1053</v>
      </c>
      <c r="Z186" s="32">
        <v>1066</v>
      </c>
      <c r="AA186" s="32">
        <v>1067</v>
      </c>
      <c r="AB186" s="32">
        <v>1033.5</v>
      </c>
      <c r="AC186" s="32">
        <v>1034.5</v>
      </c>
      <c r="AD186" s="32">
        <v>1020</v>
      </c>
      <c r="AE186" s="32">
        <v>1006.5</v>
      </c>
      <c r="AF186" s="32">
        <v>1014</v>
      </c>
      <c r="AG186" s="32">
        <v>1005.5</v>
      </c>
      <c r="AH186" s="32">
        <v>1016</v>
      </c>
      <c r="AI186" s="32">
        <v>990.6</v>
      </c>
      <c r="AJ186" s="32">
        <v>1011.5</v>
      </c>
      <c r="AK186" s="32">
        <v>1001.5</v>
      </c>
      <c r="AL186" s="32">
        <v>1020.5</v>
      </c>
      <c r="AM186" s="32">
        <v>1019.5</v>
      </c>
      <c r="AN186" s="32">
        <v>1033.5</v>
      </c>
      <c r="AO186" s="32">
        <v>1034.5</v>
      </c>
      <c r="AP186" s="32">
        <v>1024</v>
      </c>
      <c r="AQ186" s="32">
        <v>1053</v>
      </c>
      <c r="AR186" s="32">
        <v>1066</v>
      </c>
      <c r="AS186" s="32">
        <v>1061.5</v>
      </c>
      <c r="AT186" s="32">
        <v>1077</v>
      </c>
      <c r="AU186" s="32">
        <v>1073.5</v>
      </c>
      <c r="AV186" s="32">
        <v>1068.5</v>
      </c>
      <c r="AW186" s="32">
        <v>1104.5</v>
      </c>
      <c r="AX186" s="32">
        <v>1111.5</v>
      </c>
      <c r="AY186" s="32">
        <v>1095</v>
      </c>
      <c r="AZ186" s="32">
        <v>1140.5</v>
      </c>
      <c r="BA186" s="32">
        <v>1157</v>
      </c>
      <c r="BB186" s="32">
        <v>1131</v>
      </c>
      <c r="BC186" s="32">
        <v>1149</v>
      </c>
      <c r="BD186" s="32">
        <v>1128</v>
      </c>
      <c r="BE186" s="32">
        <v>1153</v>
      </c>
      <c r="BF186" s="32">
        <v>1168</v>
      </c>
      <c r="BG186" s="32">
        <v>1194.5</v>
      </c>
      <c r="BH186" s="32">
        <v>1193</v>
      </c>
      <c r="BI186" s="32">
        <v>1185</v>
      </c>
      <c r="BJ186" s="32">
        <v>1191</v>
      </c>
      <c r="BK186" s="32">
        <v>1175.5</v>
      </c>
      <c r="BL186" s="33">
        <v>1175.5</v>
      </c>
      <c r="BM186" s="1">
        <v>1192</v>
      </c>
      <c r="BN186" s="1">
        <v>1192</v>
      </c>
      <c r="BO186" s="1">
        <v>1200</v>
      </c>
      <c r="BP186" s="1">
        <v>1194.5</v>
      </c>
    </row>
    <row r="187" spans="1:68" ht="15.9" customHeight="1">
      <c r="A187" s="68" t="s">
        <v>368</v>
      </c>
      <c r="B187" s="28" t="s">
        <v>369</v>
      </c>
      <c r="C187" s="42" t="str">
        <f>_xll.RssMarket("2127","高値")</f>
        <v/>
      </c>
      <c r="D187" s="41" t="e">
        <f t="shared" si="5"/>
        <v>#VALUE!</v>
      </c>
      <c r="E187" s="37">
        <v>683.2</v>
      </c>
      <c r="F187" s="37">
        <v>683.9</v>
      </c>
      <c r="G187" s="32">
        <v>685.1</v>
      </c>
      <c r="H187" s="32">
        <v>682.8</v>
      </c>
      <c r="I187" s="32">
        <v>681.2</v>
      </c>
      <c r="J187" s="32">
        <v>684.4</v>
      </c>
      <c r="K187" s="32">
        <v>699.4</v>
      </c>
      <c r="L187" s="32">
        <v>691.5</v>
      </c>
      <c r="M187" s="32">
        <v>679.5</v>
      </c>
      <c r="N187" s="32">
        <v>657.6</v>
      </c>
      <c r="O187" s="32">
        <v>654</v>
      </c>
      <c r="P187" s="32">
        <v>639</v>
      </c>
      <c r="Q187" s="32">
        <v>642</v>
      </c>
      <c r="R187" s="32">
        <v>634</v>
      </c>
      <c r="S187" s="32">
        <v>623.29999999999995</v>
      </c>
      <c r="T187" s="32">
        <v>634.1</v>
      </c>
      <c r="U187" s="32">
        <v>636</v>
      </c>
      <c r="V187" s="32">
        <v>636.4</v>
      </c>
      <c r="W187" s="32">
        <v>643.70000000000005</v>
      </c>
      <c r="X187" s="32">
        <v>658.2</v>
      </c>
      <c r="Y187" s="32">
        <v>668.5</v>
      </c>
      <c r="Z187" s="32">
        <v>653.4</v>
      </c>
      <c r="AA187" s="32">
        <v>640.79999999999995</v>
      </c>
      <c r="AB187" s="32">
        <v>647.5</v>
      </c>
      <c r="AC187" s="32">
        <v>653</v>
      </c>
      <c r="AD187" s="32">
        <v>644.70000000000005</v>
      </c>
      <c r="AE187" s="32">
        <v>642.9</v>
      </c>
      <c r="AF187" s="32">
        <v>641.79999999999995</v>
      </c>
      <c r="AG187" s="32">
        <v>645.79999999999995</v>
      </c>
      <c r="AH187" s="32">
        <v>628.4</v>
      </c>
      <c r="AI187" s="32">
        <v>648.20000000000005</v>
      </c>
      <c r="AJ187" s="32">
        <v>659</v>
      </c>
      <c r="AK187" s="32">
        <v>661.8</v>
      </c>
      <c r="AL187" s="32">
        <v>660</v>
      </c>
      <c r="AM187" s="32">
        <v>672.6</v>
      </c>
      <c r="AN187" s="32">
        <v>666.3</v>
      </c>
      <c r="AO187" s="32">
        <v>664.5</v>
      </c>
      <c r="AP187" s="32">
        <v>662.8</v>
      </c>
      <c r="AQ187" s="32">
        <v>653.70000000000005</v>
      </c>
      <c r="AR187" s="32">
        <v>660.2</v>
      </c>
      <c r="AS187" s="32">
        <v>643.6</v>
      </c>
      <c r="AT187" s="32">
        <v>643.9</v>
      </c>
      <c r="AU187" s="32">
        <v>644.5</v>
      </c>
      <c r="AV187" s="32">
        <v>644.79999999999995</v>
      </c>
      <c r="AW187" s="32">
        <v>654.79999999999995</v>
      </c>
      <c r="AX187" s="32">
        <v>659</v>
      </c>
      <c r="AY187" s="32">
        <v>656.3</v>
      </c>
      <c r="AZ187" s="32">
        <v>652.6</v>
      </c>
      <c r="BA187" s="32">
        <v>636.4</v>
      </c>
      <c r="BB187" s="32">
        <v>682.3</v>
      </c>
      <c r="BC187" s="32">
        <v>696.9</v>
      </c>
      <c r="BD187" s="32">
        <v>679.7</v>
      </c>
      <c r="BE187" s="32">
        <v>688.5</v>
      </c>
      <c r="BF187" s="32">
        <v>688</v>
      </c>
      <c r="BG187" s="32">
        <v>702.5</v>
      </c>
      <c r="BH187" s="32">
        <v>698</v>
      </c>
      <c r="BI187" s="32">
        <v>691.5</v>
      </c>
      <c r="BJ187" s="32">
        <v>695</v>
      </c>
      <c r="BK187" s="32">
        <v>690.8</v>
      </c>
      <c r="BL187" s="33">
        <v>677</v>
      </c>
      <c r="BM187" s="1">
        <v>670.5</v>
      </c>
      <c r="BN187" s="1">
        <v>659</v>
      </c>
      <c r="BO187" s="1">
        <v>665.6</v>
      </c>
      <c r="BP187" s="1">
        <v>672.6</v>
      </c>
    </row>
    <row r="188" spans="1:68" ht="15.9" customHeight="1">
      <c r="A188" s="68" t="s">
        <v>370</v>
      </c>
      <c r="B188" s="28" t="s">
        <v>371</v>
      </c>
      <c r="C188" s="42" t="str">
        <f>_xll.RssMarket("6753","高値")</f>
        <v/>
      </c>
      <c r="D188" s="41" t="e">
        <f t="shared" si="5"/>
        <v>#VALUE!</v>
      </c>
      <c r="E188" s="37">
        <v>644.29999999999995</v>
      </c>
      <c r="F188" s="37">
        <v>656.5</v>
      </c>
      <c r="G188" s="32">
        <v>651.79999999999995</v>
      </c>
      <c r="H188" s="32">
        <v>653.9</v>
      </c>
      <c r="I188" s="32">
        <v>654</v>
      </c>
      <c r="J188" s="32">
        <v>652.79999999999995</v>
      </c>
      <c r="K188" s="32">
        <v>659</v>
      </c>
      <c r="L188" s="32">
        <v>659.7</v>
      </c>
      <c r="M188" s="32">
        <v>647.1</v>
      </c>
      <c r="N188" s="32">
        <v>654.79999999999995</v>
      </c>
      <c r="O188" s="32">
        <v>652</v>
      </c>
      <c r="P188" s="32">
        <v>655</v>
      </c>
      <c r="Q188" s="32">
        <v>663.5</v>
      </c>
      <c r="R188" s="32">
        <v>634</v>
      </c>
      <c r="S188" s="32">
        <v>609</v>
      </c>
      <c r="T188" s="32">
        <v>659</v>
      </c>
      <c r="U188" s="32">
        <v>671</v>
      </c>
      <c r="V188" s="32">
        <v>588.4</v>
      </c>
      <c r="W188" s="32">
        <v>591.9</v>
      </c>
      <c r="X188" s="32">
        <v>596.9</v>
      </c>
      <c r="Y188" s="32">
        <v>600.6</v>
      </c>
      <c r="Z188" s="32">
        <v>601</v>
      </c>
      <c r="AA188" s="32">
        <v>610</v>
      </c>
      <c r="AB188" s="32">
        <v>625.9</v>
      </c>
      <c r="AC188" s="32">
        <v>631.9</v>
      </c>
      <c r="AD188" s="32">
        <v>628.5</v>
      </c>
      <c r="AE188" s="32">
        <v>652.79999999999995</v>
      </c>
      <c r="AF188" s="32">
        <v>673</v>
      </c>
      <c r="AG188" s="32">
        <v>681.6</v>
      </c>
      <c r="AH188" s="32">
        <v>675</v>
      </c>
      <c r="AI188" s="32">
        <v>673.8</v>
      </c>
      <c r="AJ188" s="32">
        <v>652.70000000000005</v>
      </c>
      <c r="AK188" s="32">
        <v>626.1</v>
      </c>
      <c r="AL188" s="32">
        <v>624.79999999999995</v>
      </c>
      <c r="AM188" s="32">
        <v>631.29999999999995</v>
      </c>
      <c r="AN188" s="32">
        <v>647.9</v>
      </c>
      <c r="AO188" s="32">
        <v>641.6</v>
      </c>
      <c r="AP188" s="32">
        <v>615.29999999999995</v>
      </c>
      <c r="AQ188" s="32">
        <v>636</v>
      </c>
      <c r="AR188" s="32">
        <v>642.9</v>
      </c>
      <c r="AS188" s="32">
        <v>624.9</v>
      </c>
      <c r="AT188" s="32">
        <v>610.79999999999995</v>
      </c>
      <c r="AU188" s="32">
        <v>585</v>
      </c>
      <c r="AV188" s="32">
        <v>615.1</v>
      </c>
      <c r="AW188" s="32">
        <v>592.79999999999995</v>
      </c>
      <c r="AX188" s="32">
        <v>576.5</v>
      </c>
      <c r="AY188" s="32">
        <v>568.1</v>
      </c>
      <c r="AZ188" s="32">
        <v>591</v>
      </c>
      <c r="BA188" s="32">
        <v>587.4</v>
      </c>
      <c r="BB188" s="32">
        <v>566.1</v>
      </c>
      <c r="BC188" s="32">
        <v>566.1</v>
      </c>
      <c r="BD188" s="32">
        <v>551.70000000000005</v>
      </c>
      <c r="BE188" s="32">
        <v>583</v>
      </c>
      <c r="BF188" s="32">
        <v>607.70000000000005</v>
      </c>
      <c r="BG188" s="32">
        <v>612.79999999999995</v>
      </c>
      <c r="BH188" s="32">
        <v>617</v>
      </c>
      <c r="BI188" s="32">
        <v>622.1</v>
      </c>
      <c r="BJ188" s="32">
        <v>622.6</v>
      </c>
      <c r="BK188" s="32">
        <v>607.70000000000005</v>
      </c>
      <c r="BL188" s="33">
        <v>603.9</v>
      </c>
      <c r="BM188" s="1">
        <v>597</v>
      </c>
      <c r="BN188" s="1">
        <v>598</v>
      </c>
      <c r="BO188" s="1">
        <v>610.79999999999995</v>
      </c>
      <c r="BP188" s="1">
        <v>629.79999999999995</v>
      </c>
    </row>
    <row r="189" spans="1:68" ht="15.9" customHeight="1">
      <c r="A189" s="68" t="s">
        <v>372</v>
      </c>
      <c r="B189" s="28" t="str">
        <f>銘柄管理!C189</f>
        <v/>
      </c>
      <c r="C189" s="42" t="str">
        <f>_xll.RssMarket("9064","高値")</f>
        <v/>
      </c>
      <c r="D189" s="41"/>
      <c r="E189" s="37">
        <v>2022</v>
      </c>
      <c r="F189" s="37">
        <v>1979.5</v>
      </c>
      <c r="G189" s="32">
        <v>1995.5</v>
      </c>
      <c r="H189" s="32">
        <v>1966.5</v>
      </c>
      <c r="I189" s="32">
        <v>1981</v>
      </c>
      <c r="J189" s="32">
        <v>1973</v>
      </c>
      <c r="K189" s="32">
        <v>1983</v>
      </c>
      <c r="L189" s="32">
        <v>1993</v>
      </c>
      <c r="M189" s="32">
        <v>2003</v>
      </c>
      <c r="N189" s="32">
        <v>1958.5</v>
      </c>
      <c r="O189" s="32">
        <v>1910</v>
      </c>
      <c r="P189" s="32">
        <v>1843.5</v>
      </c>
      <c r="Q189" s="32">
        <v>1855.5</v>
      </c>
      <c r="R189" s="32">
        <v>1857.5</v>
      </c>
      <c r="S189" s="32">
        <v>1833.5</v>
      </c>
      <c r="T189" s="32">
        <v>1822</v>
      </c>
      <c r="U189" s="32">
        <v>1777.5</v>
      </c>
      <c r="V189" s="32">
        <v>1793</v>
      </c>
      <c r="W189" s="32">
        <v>1771.5</v>
      </c>
      <c r="X189" s="32">
        <v>1779</v>
      </c>
      <c r="Y189" s="32">
        <v>1775</v>
      </c>
      <c r="Z189" s="32">
        <v>1780</v>
      </c>
      <c r="AA189" s="32">
        <v>1780.5</v>
      </c>
      <c r="AB189" s="32">
        <v>1808</v>
      </c>
      <c r="AC189" s="32">
        <v>1836</v>
      </c>
      <c r="AD189" s="32">
        <v>1821.5</v>
      </c>
      <c r="AE189" s="32">
        <v>1808.5</v>
      </c>
      <c r="AF189" s="32">
        <v>1816.5</v>
      </c>
      <c r="AG189" s="32">
        <v>1828.5</v>
      </c>
      <c r="AH189" s="32">
        <v>1830</v>
      </c>
      <c r="AI189" s="32">
        <v>1833.5</v>
      </c>
      <c r="AJ189" s="32">
        <v>1816</v>
      </c>
      <c r="AK189" s="32">
        <v>1839</v>
      </c>
      <c r="AL189" s="32">
        <v>1795</v>
      </c>
      <c r="AM189" s="32">
        <v>1794</v>
      </c>
      <c r="AN189" s="32">
        <v>1787.5</v>
      </c>
      <c r="AO189" s="32">
        <v>1780.5</v>
      </c>
      <c r="AP189" s="32">
        <v>1792</v>
      </c>
      <c r="AQ189" s="32">
        <v>1767.5</v>
      </c>
      <c r="AR189" s="32">
        <v>1795.5</v>
      </c>
      <c r="AS189" s="32">
        <v>1749.5</v>
      </c>
      <c r="AT189" s="32">
        <v>1754</v>
      </c>
      <c r="AU189" s="32">
        <v>1786</v>
      </c>
      <c r="AV189" s="32">
        <v>1763</v>
      </c>
      <c r="AW189" s="32">
        <v>1749</v>
      </c>
      <c r="AX189" s="32">
        <v>1790</v>
      </c>
      <c r="AY189" s="32">
        <v>1833</v>
      </c>
      <c r="AZ189" s="32">
        <v>1824</v>
      </c>
      <c r="BA189" s="32">
        <v>1764.5</v>
      </c>
      <c r="BB189" s="32">
        <v>1792</v>
      </c>
      <c r="BC189" s="32">
        <v>1805</v>
      </c>
      <c r="BD189" s="32">
        <v>1798</v>
      </c>
      <c r="BE189" s="32">
        <v>1782</v>
      </c>
      <c r="BF189" s="32">
        <v>1796</v>
      </c>
      <c r="BG189" s="32">
        <v>1827.5</v>
      </c>
      <c r="BH189" s="32">
        <v>1843.5</v>
      </c>
      <c r="BI189" s="32">
        <v>1855</v>
      </c>
      <c r="BJ189" s="32">
        <v>1867</v>
      </c>
      <c r="BK189" s="32">
        <v>1875</v>
      </c>
      <c r="BL189" s="33">
        <v>1883</v>
      </c>
      <c r="BM189" s="1">
        <v>1866.5</v>
      </c>
      <c r="BN189" s="1">
        <v>1854</v>
      </c>
      <c r="BO189" s="1">
        <v>1875</v>
      </c>
      <c r="BP189" s="1">
        <v>1899</v>
      </c>
    </row>
    <row r="190" spans="1:68" ht="15.9" customHeight="1">
      <c r="A190" s="68" t="s">
        <v>373</v>
      </c>
      <c r="B190" s="28" t="s">
        <v>374</v>
      </c>
      <c r="C190" s="42" t="str">
        <f>_xll.RssMarket("7181","高値")</f>
        <v/>
      </c>
      <c r="D190" s="41" t="e">
        <f>C190-E190</f>
        <v>#VALUE!</v>
      </c>
      <c r="E190" s="37">
        <v>1655.5</v>
      </c>
      <c r="F190" s="37">
        <v>1674.5</v>
      </c>
      <c r="G190" s="32">
        <v>1664</v>
      </c>
      <c r="H190" s="32">
        <v>1638.5</v>
      </c>
      <c r="I190" s="32">
        <v>1647.5</v>
      </c>
      <c r="J190" s="32">
        <v>1649</v>
      </c>
      <c r="K190" s="32">
        <v>1666.5</v>
      </c>
      <c r="L190" s="32">
        <v>1685</v>
      </c>
      <c r="M190" s="32">
        <v>1654.5</v>
      </c>
      <c r="N190" s="32">
        <v>1626</v>
      </c>
      <c r="O190" s="32">
        <v>1581.5</v>
      </c>
      <c r="P190" s="32">
        <v>1542.5</v>
      </c>
      <c r="Q190" s="32">
        <v>1520</v>
      </c>
      <c r="R190" s="32">
        <v>1495</v>
      </c>
      <c r="S190" s="32">
        <v>1504.5</v>
      </c>
      <c r="T190" s="32">
        <v>1569</v>
      </c>
      <c r="U190" s="32">
        <v>1539</v>
      </c>
      <c r="V190" s="32">
        <v>1528</v>
      </c>
      <c r="W190" s="32">
        <v>1553.5</v>
      </c>
      <c r="X190" s="32">
        <v>1551</v>
      </c>
      <c r="Y190" s="32">
        <v>1596</v>
      </c>
      <c r="Z190" s="32">
        <v>1561</v>
      </c>
      <c r="AA190" s="32">
        <v>1588.5</v>
      </c>
      <c r="AB190" s="32">
        <v>1562.5</v>
      </c>
      <c r="AC190" s="32">
        <v>1587.5</v>
      </c>
      <c r="AD190" s="32">
        <v>1615</v>
      </c>
      <c r="AE190" s="32">
        <v>1455</v>
      </c>
      <c r="AF190" s="32">
        <v>1457.5</v>
      </c>
      <c r="AG190" s="32">
        <v>1414</v>
      </c>
      <c r="AH190" s="32">
        <v>1452.5</v>
      </c>
      <c r="AI190" s="32">
        <v>1409.5</v>
      </c>
      <c r="AJ190" s="32">
        <v>1441.5</v>
      </c>
      <c r="AK190" s="32">
        <v>1465</v>
      </c>
      <c r="AL190" s="32">
        <v>1495.5</v>
      </c>
      <c r="AM190" s="32">
        <v>1518.5</v>
      </c>
      <c r="AN190" s="32">
        <v>1559.5</v>
      </c>
      <c r="AO190" s="32">
        <v>1564</v>
      </c>
      <c r="AP190" s="32">
        <v>1558</v>
      </c>
      <c r="AQ190" s="32">
        <v>1525</v>
      </c>
      <c r="AR190" s="32">
        <v>1556</v>
      </c>
      <c r="AS190" s="32">
        <v>1650</v>
      </c>
      <c r="AT190" s="32">
        <v>1618</v>
      </c>
      <c r="AU190" s="32">
        <v>1628.5</v>
      </c>
      <c r="AV190" s="32">
        <v>1572</v>
      </c>
      <c r="AW190" s="32">
        <v>1553.5</v>
      </c>
      <c r="AX190" s="32">
        <v>1573</v>
      </c>
      <c r="AY190" s="32">
        <v>1585</v>
      </c>
      <c r="AZ190" s="32">
        <v>1544</v>
      </c>
      <c r="BA190" s="32">
        <v>1533</v>
      </c>
      <c r="BB190" s="32">
        <v>1526</v>
      </c>
      <c r="BC190" s="32">
        <v>1493.5</v>
      </c>
      <c r="BD190" s="32">
        <v>1513</v>
      </c>
      <c r="BE190" s="32">
        <v>1513.5</v>
      </c>
      <c r="BF190" s="32">
        <v>1545</v>
      </c>
      <c r="BG190" s="32">
        <v>1579.5</v>
      </c>
      <c r="BH190" s="32">
        <v>1615</v>
      </c>
      <c r="BI190" s="32">
        <v>1669</v>
      </c>
      <c r="BJ190" s="32">
        <v>1676.5</v>
      </c>
      <c r="BK190" s="32">
        <v>1669.5</v>
      </c>
      <c r="BL190" s="33">
        <v>1636.5</v>
      </c>
      <c r="BM190" s="1">
        <v>1608</v>
      </c>
      <c r="BN190" s="1">
        <v>1608</v>
      </c>
      <c r="BO190" s="1">
        <v>1632.5</v>
      </c>
      <c r="BP190" s="1">
        <v>1657.5</v>
      </c>
    </row>
    <row r="191" spans="1:68" ht="15.9" customHeight="1">
      <c r="A191" s="68" t="s">
        <v>375</v>
      </c>
      <c r="B191" s="28" t="str">
        <f>銘柄管理!C191</f>
        <v/>
      </c>
      <c r="C191" s="42" t="str">
        <f>_xll.RssMarket("6485","高値")</f>
        <v/>
      </c>
      <c r="D191" s="41"/>
      <c r="E191" s="37">
        <v>1556</v>
      </c>
      <c r="F191" s="37">
        <v>1564</v>
      </c>
      <c r="G191" s="32">
        <v>1550</v>
      </c>
      <c r="H191" s="32">
        <v>1579</v>
      </c>
      <c r="I191" s="32">
        <v>1572</v>
      </c>
      <c r="J191" s="32">
        <v>1561</v>
      </c>
      <c r="K191" s="32">
        <v>1541</v>
      </c>
      <c r="L191" s="32">
        <v>1555</v>
      </c>
      <c r="M191" s="32">
        <v>1544</v>
      </c>
      <c r="N191" s="32">
        <v>1522</v>
      </c>
      <c r="O191" s="32">
        <v>1504</v>
      </c>
      <c r="P191" s="32">
        <v>1515</v>
      </c>
      <c r="Q191" s="32">
        <v>1503</v>
      </c>
      <c r="R191" s="32">
        <v>1485</v>
      </c>
      <c r="S191" s="32">
        <v>1475</v>
      </c>
      <c r="T191" s="32">
        <v>1470</v>
      </c>
      <c r="U191" s="32">
        <v>1490</v>
      </c>
      <c r="V191" s="32">
        <v>1488</v>
      </c>
      <c r="W191" s="32">
        <v>1479</v>
      </c>
      <c r="X191" s="32">
        <v>1469</v>
      </c>
      <c r="Y191" s="32">
        <v>1450</v>
      </c>
      <c r="Z191" s="32">
        <v>1449</v>
      </c>
      <c r="AA191" s="32">
        <v>1433</v>
      </c>
      <c r="AB191" s="32">
        <v>1437</v>
      </c>
      <c r="AC191" s="32">
        <v>1439</v>
      </c>
      <c r="AD191" s="32">
        <v>1434</v>
      </c>
      <c r="AE191" s="32">
        <v>1443</v>
      </c>
      <c r="AF191" s="32">
        <v>1421</v>
      </c>
      <c r="AG191" s="32">
        <v>1402</v>
      </c>
      <c r="AH191" s="32">
        <v>1399</v>
      </c>
      <c r="AI191" s="32">
        <v>1439</v>
      </c>
      <c r="AJ191" s="32">
        <v>1429</v>
      </c>
      <c r="AK191" s="32">
        <v>1425</v>
      </c>
      <c r="AL191" s="32">
        <v>1432</v>
      </c>
      <c r="AM191" s="32">
        <v>1421</v>
      </c>
      <c r="AN191" s="32">
        <v>1435</v>
      </c>
      <c r="AO191" s="32">
        <v>1452</v>
      </c>
      <c r="AP191" s="32">
        <v>1478</v>
      </c>
      <c r="AQ191" s="32">
        <v>1482</v>
      </c>
      <c r="AR191" s="32">
        <v>1508</v>
      </c>
      <c r="AS191" s="32">
        <v>1496</v>
      </c>
      <c r="AT191" s="32">
        <v>1518</v>
      </c>
      <c r="AU191" s="32">
        <v>1530</v>
      </c>
      <c r="AV191" s="32">
        <v>1529</v>
      </c>
      <c r="AW191" s="32">
        <v>1518</v>
      </c>
      <c r="AX191" s="32">
        <v>1521</v>
      </c>
      <c r="AY191" s="32">
        <v>1505</v>
      </c>
      <c r="AZ191" s="32">
        <v>1523</v>
      </c>
      <c r="BA191" s="32">
        <v>1555</v>
      </c>
      <c r="BB191" s="32">
        <v>1519</v>
      </c>
      <c r="BC191" s="32">
        <v>1528</v>
      </c>
      <c r="BD191" s="32">
        <v>1527</v>
      </c>
      <c r="BE191" s="32">
        <v>1554</v>
      </c>
      <c r="BF191" s="32">
        <v>1566</v>
      </c>
      <c r="BG191" s="32">
        <v>1565</v>
      </c>
      <c r="BH191" s="32">
        <v>1569</v>
      </c>
      <c r="BI191" s="32">
        <v>1586</v>
      </c>
      <c r="BJ191" s="32">
        <v>1605</v>
      </c>
      <c r="BK191" s="32">
        <v>1604</v>
      </c>
      <c r="BL191" s="33">
        <v>1617</v>
      </c>
      <c r="BM191" s="1">
        <v>1634</v>
      </c>
      <c r="BN191" s="1">
        <v>1638</v>
      </c>
      <c r="BO191" s="1">
        <v>1636</v>
      </c>
      <c r="BP191" s="1">
        <v>1608</v>
      </c>
    </row>
    <row r="192" spans="1:68" ht="15.9" customHeight="1">
      <c r="A192" s="68" t="s">
        <v>376</v>
      </c>
      <c r="B192" s="28" t="s">
        <v>377</v>
      </c>
      <c r="C192" s="42" t="str">
        <f>_xll.RssMarket("4887","高値")</f>
        <v/>
      </c>
      <c r="D192" s="41" t="e">
        <f t="shared" ref="D192:D208" si="6">C192-E192</f>
        <v>#VALUE!</v>
      </c>
      <c r="E192" s="37">
        <v>1691.5</v>
      </c>
      <c r="F192" s="37">
        <v>1699.5</v>
      </c>
      <c r="G192" s="32">
        <v>1683.5</v>
      </c>
      <c r="H192" s="32">
        <v>1689.5</v>
      </c>
      <c r="I192" s="32">
        <v>1682.5</v>
      </c>
      <c r="J192" s="32">
        <v>1705.5</v>
      </c>
      <c r="K192" s="32">
        <v>1754.5</v>
      </c>
      <c r="L192" s="32">
        <v>1757</v>
      </c>
      <c r="M192" s="32">
        <v>1758.5</v>
      </c>
      <c r="N192" s="32">
        <v>1730</v>
      </c>
      <c r="O192" s="32">
        <v>1715</v>
      </c>
      <c r="P192" s="32">
        <v>1691.5</v>
      </c>
      <c r="Q192" s="32">
        <v>1696.5</v>
      </c>
      <c r="R192" s="32">
        <v>1674</v>
      </c>
      <c r="S192" s="32">
        <v>1629.5</v>
      </c>
      <c r="T192" s="32">
        <v>1670</v>
      </c>
      <c r="U192" s="32">
        <v>1666.5</v>
      </c>
      <c r="V192" s="32">
        <v>1656.5</v>
      </c>
      <c r="W192" s="32">
        <v>1645.5</v>
      </c>
      <c r="X192" s="32">
        <v>1643.5</v>
      </c>
      <c r="Y192" s="32">
        <v>1676.5</v>
      </c>
      <c r="Z192" s="32">
        <v>1683</v>
      </c>
      <c r="AA192" s="32">
        <v>1674</v>
      </c>
      <c r="AB192" s="32">
        <v>1710</v>
      </c>
      <c r="AC192" s="32">
        <v>1714.5</v>
      </c>
      <c r="AD192" s="32">
        <v>1719</v>
      </c>
      <c r="AE192" s="32">
        <v>1734</v>
      </c>
      <c r="AF192" s="32">
        <v>1715</v>
      </c>
      <c r="AG192" s="32">
        <v>1736.5</v>
      </c>
      <c r="AH192" s="32">
        <v>1738.5</v>
      </c>
      <c r="AI192" s="32">
        <v>1731.5</v>
      </c>
      <c r="AJ192" s="32">
        <v>1722.5</v>
      </c>
      <c r="AK192" s="32">
        <v>1766</v>
      </c>
      <c r="AL192" s="32">
        <v>1778</v>
      </c>
      <c r="AM192" s="32">
        <v>1773.5</v>
      </c>
      <c r="AN192" s="32">
        <v>1803</v>
      </c>
      <c r="AO192" s="32">
        <v>1768</v>
      </c>
      <c r="AP192" s="32">
        <v>1824</v>
      </c>
      <c r="AQ192" s="32">
        <v>1823</v>
      </c>
      <c r="AR192" s="32">
        <v>1821.5</v>
      </c>
      <c r="AS192" s="32">
        <v>1797</v>
      </c>
      <c r="AT192" s="32">
        <v>2126</v>
      </c>
      <c r="AU192" s="32">
        <v>2099</v>
      </c>
      <c r="AV192" s="32">
        <v>2088</v>
      </c>
      <c r="AW192" s="32">
        <v>2110.5</v>
      </c>
      <c r="AX192" s="32">
        <v>2134</v>
      </c>
      <c r="AY192" s="32">
        <v>2137</v>
      </c>
      <c r="AZ192" s="32">
        <v>2146.5</v>
      </c>
      <c r="BA192" s="32">
        <v>2105.5</v>
      </c>
      <c r="BB192" s="32">
        <v>2110.5</v>
      </c>
      <c r="BC192" s="32">
        <v>2112.5</v>
      </c>
      <c r="BD192" s="32">
        <v>2100</v>
      </c>
      <c r="BE192" s="32">
        <v>2123.5</v>
      </c>
      <c r="BF192" s="32">
        <v>2111.5</v>
      </c>
      <c r="BG192" s="32">
        <v>2162</v>
      </c>
      <c r="BH192" s="32">
        <v>2179.5</v>
      </c>
      <c r="BI192" s="32">
        <v>2225</v>
      </c>
      <c r="BJ192" s="32">
        <v>2249.5</v>
      </c>
      <c r="BK192" s="32">
        <v>2257</v>
      </c>
      <c r="BL192" s="33">
        <v>2222</v>
      </c>
      <c r="BM192" s="1">
        <v>2251</v>
      </c>
      <c r="BN192" s="1">
        <v>2269</v>
      </c>
      <c r="BO192" s="1">
        <v>2262.5</v>
      </c>
      <c r="BP192" s="1">
        <v>2286</v>
      </c>
    </row>
    <row r="193" spans="1:68" ht="15.9" customHeight="1">
      <c r="A193" s="68" t="s">
        <v>378</v>
      </c>
      <c r="B193" s="28" t="s">
        <v>379</v>
      </c>
      <c r="C193" s="42" t="str">
        <f>_xll.RssMarket("5243","高値")</f>
        <v/>
      </c>
      <c r="D193" s="41" t="e">
        <f t="shared" si="6"/>
        <v>#VALUE!</v>
      </c>
      <c r="E193" s="37">
        <v>2140</v>
      </c>
      <c r="F193" s="37">
        <v>2159</v>
      </c>
      <c r="G193" s="32">
        <v>2120</v>
      </c>
      <c r="H193" s="32">
        <v>2260</v>
      </c>
      <c r="I193" s="32">
        <v>2268</v>
      </c>
      <c r="J193" s="32">
        <v>2206</v>
      </c>
      <c r="K193" s="32">
        <v>2499</v>
      </c>
      <c r="L193" s="32">
        <v>2311</v>
      </c>
      <c r="M193" s="32">
        <v>2250</v>
      </c>
      <c r="N193" s="32">
        <v>2089</v>
      </c>
      <c r="O193" s="32">
        <v>2110</v>
      </c>
      <c r="P193" s="32">
        <v>1937</v>
      </c>
      <c r="Q193" s="32">
        <v>1920</v>
      </c>
      <c r="R193" s="32">
        <v>1841</v>
      </c>
      <c r="S193" s="32">
        <v>1781</v>
      </c>
      <c r="T193" s="32">
        <v>1785</v>
      </c>
      <c r="U193" s="32">
        <v>1801</v>
      </c>
      <c r="V193" s="32">
        <v>1828</v>
      </c>
      <c r="W193" s="32">
        <v>1819</v>
      </c>
      <c r="X193" s="32">
        <v>1889</v>
      </c>
      <c r="Y193" s="32">
        <v>1895</v>
      </c>
      <c r="Z193" s="32">
        <v>1855</v>
      </c>
      <c r="AA193" s="32">
        <v>1750</v>
      </c>
      <c r="AB193" s="32">
        <v>1702</v>
      </c>
      <c r="AC193" s="32">
        <v>1719</v>
      </c>
      <c r="AD193" s="32">
        <v>1685</v>
      </c>
      <c r="AE193" s="32">
        <v>1737</v>
      </c>
      <c r="AF193" s="32">
        <v>1831</v>
      </c>
      <c r="AG193" s="32">
        <v>1886</v>
      </c>
      <c r="AH193" s="32">
        <v>1883</v>
      </c>
      <c r="AI193" s="32">
        <v>1995</v>
      </c>
      <c r="AJ193" s="32">
        <v>2010</v>
      </c>
      <c r="AK193" s="32">
        <v>2120</v>
      </c>
      <c r="AL193" s="32">
        <v>2147</v>
      </c>
      <c r="AM193" s="32">
        <v>2220</v>
      </c>
      <c r="AN193" s="32">
        <v>2281</v>
      </c>
      <c r="AO193" s="32">
        <v>2262</v>
      </c>
      <c r="AP193" s="32">
        <v>2227</v>
      </c>
      <c r="AQ193" s="32">
        <v>2236</v>
      </c>
      <c r="AR193" s="32">
        <v>2347</v>
      </c>
      <c r="AS193" s="32">
        <v>2274</v>
      </c>
      <c r="AT193" s="32">
        <v>2345</v>
      </c>
      <c r="AU193" s="32">
        <v>2413</v>
      </c>
      <c r="AV193" s="32">
        <v>2410</v>
      </c>
      <c r="AW193" s="32">
        <v>2284</v>
      </c>
      <c r="AX193" s="32">
        <v>2202</v>
      </c>
      <c r="AY193" s="32">
        <v>2302</v>
      </c>
      <c r="AZ193" s="32">
        <v>2359</v>
      </c>
      <c r="BA193" s="32">
        <v>2434</v>
      </c>
      <c r="BB193" s="32">
        <v>2481</v>
      </c>
      <c r="BC193" s="32">
        <v>2505</v>
      </c>
      <c r="BD193" s="32">
        <v>2390</v>
      </c>
      <c r="BE193" s="32">
        <v>2489</v>
      </c>
      <c r="BF193" s="32">
        <v>2625</v>
      </c>
      <c r="BG193" s="32">
        <v>2727</v>
      </c>
      <c r="BH193" s="32">
        <v>2743</v>
      </c>
      <c r="BI193" s="32">
        <v>2658</v>
      </c>
      <c r="BJ193" s="32">
        <v>2730</v>
      </c>
      <c r="BK193" s="32">
        <v>2842</v>
      </c>
      <c r="BL193" s="33">
        <v>3405</v>
      </c>
      <c r="BM193" s="1">
        <v>3030</v>
      </c>
      <c r="BN193" s="1">
        <v>2966</v>
      </c>
      <c r="BO193" s="1">
        <v>2736</v>
      </c>
      <c r="BP193" s="1">
        <v>2710</v>
      </c>
    </row>
    <row r="194" spans="1:68" ht="15.9" customHeight="1">
      <c r="A194" s="68" t="s">
        <v>380</v>
      </c>
      <c r="B194" s="28" t="s">
        <v>381</v>
      </c>
      <c r="C194" s="42" t="str">
        <f>_xll.RssMarket("2702","高値")</f>
        <v/>
      </c>
      <c r="D194" s="41" t="e">
        <f t="shared" si="6"/>
        <v>#VALUE!</v>
      </c>
      <c r="E194" s="37">
        <v>7660</v>
      </c>
      <c r="F194" s="37">
        <v>7710</v>
      </c>
      <c r="G194" s="32">
        <v>7860</v>
      </c>
      <c r="H194" s="32">
        <v>7760</v>
      </c>
      <c r="I194" s="32">
        <v>7890</v>
      </c>
      <c r="J194" s="32">
        <v>7920</v>
      </c>
      <c r="K194" s="32">
        <v>7870</v>
      </c>
      <c r="L194" s="32">
        <v>7780</v>
      </c>
      <c r="M194" s="32">
        <v>7690</v>
      </c>
      <c r="N194" s="32">
        <v>7840</v>
      </c>
      <c r="O194" s="32">
        <v>7570</v>
      </c>
      <c r="P194" s="32">
        <v>7470</v>
      </c>
      <c r="Q194" s="32">
        <v>7710</v>
      </c>
      <c r="R194" s="32">
        <v>7590</v>
      </c>
      <c r="S194" s="32">
        <v>7560</v>
      </c>
      <c r="T194" s="32">
        <v>7450</v>
      </c>
      <c r="U194" s="32">
        <v>7300</v>
      </c>
      <c r="V194" s="32">
        <v>7150</v>
      </c>
      <c r="W194" s="32">
        <v>7300</v>
      </c>
      <c r="X194" s="32">
        <v>7360</v>
      </c>
      <c r="Y194" s="32">
        <v>7430</v>
      </c>
      <c r="Z194" s="32">
        <v>7490</v>
      </c>
      <c r="AA194" s="32">
        <v>7480</v>
      </c>
      <c r="AB194" s="32">
        <v>7590</v>
      </c>
      <c r="AC194" s="32">
        <v>7500</v>
      </c>
      <c r="AD194" s="32">
        <v>7480</v>
      </c>
      <c r="AE194" s="32">
        <v>7380</v>
      </c>
      <c r="AF194" s="32">
        <v>7490</v>
      </c>
      <c r="AG194" s="32">
        <v>7530</v>
      </c>
      <c r="AH194" s="32">
        <v>7590</v>
      </c>
      <c r="AI194" s="32">
        <v>7710</v>
      </c>
      <c r="AJ194" s="32">
        <v>7860</v>
      </c>
      <c r="AK194" s="32">
        <v>7900</v>
      </c>
      <c r="AL194" s="32">
        <v>8160</v>
      </c>
      <c r="AM194" s="32">
        <v>8180</v>
      </c>
      <c r="AN194" s="32">
        <v>8140</v>
      </c>
      <c r="AO194" s="32">
        <v>8230</v>
      </c>
      <c r="AP194" s="32">
        <v>8110</v>
      </c>
      <c r="AQ194" s="32">
        <v>8010</v>
      </c>
      <c r="AR194" s="32">
        <v>8190</v>
      </c>
      <c r="AS194" s="32">
        <v>8300</v>
      </c>
      <c r="AT194" s="32">
        <v>8590</v>
      </c>
      <c r="AU194" s="32">
        <v>8780</v>
      </c>
      <c r="AV194" s="32">
        <v>7830</v>
      </c>
      <c r="AW194" s="32">
        <v>7880</v>
      </c>
      <c r="AX194" s="32">
        <v>8030</v>
      </c>
      <c r="AY194" s="32">
        <v>8160</v>
      </c>
      <c r="AZ194" s="32">
        <v>8170</v>
      </c>
      <c r="BA194" s="32">
        <v>8220</v>
      </c>
      <c r="BB194" s="32">
        <v>8270</v>
      </c>
      <c r="BC194" s="32">
        <v>8250</v>
      </c>
      <c r="BD194" s="32">
        <v>8150</v>
      </c>
      <c r="BE194" s="32">
        <v>8210</v>
      </c>
      <c r="BF194" s="32">
        <v>8260</v>
      </c>
      <c r="BG194" s="32">
        <v>8310</v>
      </c>
      <c r="BH194" s="32">
        <v>8260</v>
      </c>
      <c r="BI194" s="32">
        <v>8280</v>
      </c>
      <c r="BJ194" s="32">
        <v>8280</v>
      </c>
      <c r="BK194" s="32">
        <v>8250</v>
      </c>
      <c r="BL194" s="33">
        <v>8170</v>
      </c>
      <c r="BM194" s="1">
        <v>8280</v>
      </c>
      <c r="BN194" s="1">
        <v>8490</v>
      </c>
      <c r="BO194" s="1">
        <v>8690</v>
      </c>
      <c r="BP194" s="1">
        <v>8760</v>
      </c>
    </row>
    <row r="195" spans="1:68" ht="15.9" customHeight="1">
      <c r="A195" s="68" t="s">
        <v>382</v>
      </c>
      <c r="B195" s="28" t="s">
        <v>383</v>
      </c>
      <c r="C195" s="42" t="str">
        <f>_xll.RssMarket("6890","高値")</f>
        <v/>
      </c>
      <c r="D195" s="41" t="e">
        <f t="shared" si="6"/>
        <v>#VALUE!</v>
      </c>
      <c r="E195" s="37">
        <v>7370</v>
      </c>
      <c r="F195" s="37">
        <v>8260</v>
      </c>
      <c r="G195" s="32">
        <v>8330</v>
      </c>
      <c r="H195" s="32">
        <v>9280</v>
      </c>
      <c r="I195" s="32">
        <v>9150</v>
      </c>
      <c r="J195" s="32">
        <v>8680</v>
      </c>
      <c r="K195" s="32">
        <v>8470</v>
      </c>
      <c r="L195" s="32">
        <v>9090</v>
      </c>
      <c r="M195" s="32">
        <v>9290</v>
      </c>
      <c r="N195" s="32">
        <v>9280</v>
      </c>
      <c r="O195" s="32">
        <v>9400</v>
      </c>
      <c r="P195" s="32">
        <v>9940</v>
      </c>
      <c r="Q195" s="32">
        <v>9740</v>
      </c>
      <c r="R195" s="32">
        <v>9360</v>
      </c>
      <c r="S195" s="32">
        <v>9930</v>
      </c>
      <c r="T195" s="32">
        <v>10440</v>
      </c>
      <c r="U195" s="32">
        <v>10910</v>
      </c>
      <c r="V195" s="32">
        <v>11640</v>
      </c>
      <c r="W195" s="32">
        <v>11700</v>
      </c>
      <c r="X195" s="32">
        <v>10880</v>
      </c>
      <c r="Y195" s="32">
        <v>10490</v>
      </c>
      <c r="Z195" s="32">
        <v>9500</v>
      </c>
      <c r="AA195" s="32">
        <v>9600</v>
      </c>
      <c r="AB195" s="32">
        <v>9390</v>
      </c>
      <c r="AC195" s="32">
        <v>9440</v>
      </c>
      <c r="AD195" s="32">
        <v>7990</v>
      </c>
      <c r="AE195" s="32">
        <v>8220</v>
      </c>
      <c r="AF195" s="32">
        <v>8640</v>
      </c>
      <c r="AG195" s="32">
        <v>9150</v>
      </c>
      <c r="AH195" s="32">
        <v>9070</v>
      </c>
      <c r="AI195" s="32">
        <v>8330</v>
      </c>
      <c r="AJ195" s="32">
        <v>8050</v>
      </c>
      <c r="AK195" s="32">
        <v>9020</v>
      </c>
      <c r="AL195" s="32">
        <v>8630</v>
      </c>
      <c r="AM195" s="32">
        <v>9340</v>
      </c>
      <c r="AN195" s="32">
        <v>9380</v>
      </c>
      <c r="AO195" s="32">
        <v>9150</v>
      </c>
      <c r="AP195" s="32">
        <v>9230</v>
      </c>
      <c r="AQ195" s="32">
        <v>9140</v>
      </c>
      <c r="AR195" s="32">
        <v>9340</v>
      </c>
      <c r="AS195" s="32">
        <v>9610</v>
      </c>
      <c r="AT195" s="32">
        <v>10030</v>
      </c>
      <c r="AU195" s="32">
        <v>10430</v>
      </c>
      <c r="AV195" s="32">
        <v>9500</v>
      </c>
      <c r="AW195" s="32">
        <v>10110</v>
      </c>
      <c r="AX195" s="32">
        <v>9980</v>
      </c>
      <c r="AY195" s="32">
        <v>9690</v>
      </c>
      <c r="AZ195" s="32">
        <v>9240</v>
      </c>
      <c r="BA195" s="32">
        <v>8190</v>
      </c>
      <c r="BB195" s="32">
        <v>7870</v>
      </c>
      <c r="BC195" s="32">
        <v>7750</v>
      </c>
      <c r="BD195" s="32">
        <v>7590</v>
      </c>
      <c r="BE195" s="32">
        <v>7590</v>
      </c>
      <c r="BF195" s="32">
        <v>7290</v>
      </c>
      <c r="BG195" s="32">
        <v>7010</v>
      </c>
      <c r="BH195" s="32">
        <v>6910</v>
      </c>
      <c r="BI195" s="32">
        <v>6830</v>
      </c>
      <c r="BJ195" s="32">
        <v>6820</v>
      </c>
      <c r="BK195" s="32">
        <v>6820</v>
      </c>
      <c r="BL195" s="33">
        <v>6950</v>
      </c>
      <c r="BM195" s="1">
        <v>7220</v>
      </c>
      <c r="BN195" s="1">
        <v>7050</v>
      </c>
      <c r="BO195" s="1">
        <v>7170</v>
      </c>
      <c r="BP195" s="1">
        <v>6990</v>
      </c>
    </row>
    <row r="196" spans="1:68" ht="15.9" customHeight="1">
      <c r="A196" s="68" t="s">
        <v>384</v>
      </c>
      <c r="B196" s="28" t="s">
        <v>385</v>
      </c>
      <c r="C196" s="42" t="str">
        <f>_xll.RssMarket("4966","高値")</f>
        <v/>
      </c>
      <c r="D196" s="41" t="e">
        <f t="shared" si="6"/>
        <v>#VALUE!</v>
      </c>
      <c r="E196" s="37">
        <v>23800</v>
      </c>
      <c r="F196" s="37">
        <v>25250</v>
      </c>
      <c r="G196" s="32">
        <v>24200</v>
      </c>
      <c r="H196" s="32">
        <v>25090</v>
      </c>
      <c r="I196" s="32">
        <v>25550</v>
      </c>
      <c r="J196" s="32">
        <v>24900</v>
      </c>
      <c r="K196" s="32">
        <v>24430</v>
      </c>
      <c r="L196" s="32">
        <v>25710</v>
      </c>
      <c r="M196" s="32">
        <v>27130</v>
      </c>
      <c r="N196" s="32">
        <v>26730</v>
      </c>
      <c r="O196" s="32">
        <v>27520</v>
      </c>
      <c r="P196" s="32">
        <v>28400</v>
      </c>
      <c r="Q196" s="32">
        <v>27910</v>
      </c>
      <c r="R196" s="32">
        <v>26960</v>
      </c>
      <c r="S196" s="32">
        <v>27710</v>
      </c>
      <c r="T196" s="32">
        <v>28130</v>
      </c>
      <c r="U196" s="32">
        <v>27580</v>
      </c>
      <c r="V196" s="32">
        <v>28200</v>
      </c>
      <c r="W196" s="32">
        <v>28430</v>
      </c>
      <c r="X196" s="32">
        <v>27700</v>
      </c>
      <c r="Y196" s="32">
        <v>27590</v>
      </c>
      <c r="Z196" s="32">
        <v>26440</v>
      </c>
      <c r="AA196" s="32">
        <v>26620</v>
      </c>
      <c r="AB196" s="32">
        <v>26410</v>
      </c>
      <c r="AC196" s="32">
        <v>24720</v>
      </c>
      <c r="AD196" s="32">
        <v>23320</v>
      </c>
      <c r="AE196" s="32">
        <v>22900</v>
      </c>
      <c r="AF196" s="32">
        <v>22140</v>
      </c>
      <c r="AG196" s="32">
        <v>23020</v>
      </c>
      <c r="AH196" s="32">
        <v>23620</v>
      </c>
      <c r="AI196" s="32">
        <v>24190</v>
      </c>
      <c r="AJ196" s="32">
        <v>23200</v>
      </c>
      <c r="AK196" s="32">
        <v>23710</v>
      </c>
      <c r="AL196" s="32">
        <v>23600</v>
      </c>
      <c r="AM196" s="32">
        <v>24360</v>
      </c>
      <c r="AN196" s="32">
        <v>24770</v>
      </c>
      <c r="AO196" s="32">
        <v>24460</v>
      </c>
      <c r="AP196" s="32">
        <v>23700</v>
      </c>
      <c r="AQ196" s="32">
        <v>23150</v>
      </c>
      <c r="AR196" s="32">
        <v>24240</v>
      </c>
      <c r="AS196" s="32">
        <v>24500</v>
      </c>
      <c r="AT196" s="32">
        <v>26180</v>
      </c>
      <c r="AU196" s="32">
        <v>26500</v>
      </c>
      <c r="AV196" s="32">
        <v>26960</v>
      </c>
      <c r="AW196" s="32">
        <v>25350</v>
      </c>
      <c r="AX196" s="32">
        <v>24210</v>
      </c>
      <c r="AY196" s="32">
        <v>23790</v>
      </c>
      <c r="AZ196" s="32">
        <v>23850</v>
      </c>
      <c r="BA196" s="32">
        <v>23440</v>
      </c>
      <c r="BB196" s="32">
        <v>23670</v>
      </c>
      <c r="BC196" s="32">
        <v>23650</v>
      </c>
      <c r="BD196" s="32">
        <v>23660</v>
      </c>
      <c r="BE196" s="32">
        <v>23710</v>
      </c>
      <c r="BF196" s="32">
        <v>23700</v>
      </c>
      <c r="BG196" s="32">
        <v>23640</v>
      </c>
      <c r="BH196" s="32">
        <v>23520</v>
      </c>
      <c r="BI196" s="32">
        <v>23130</v>
      </c>
      <c r="BJ196" s="32">
        <v>24130</v>
      </c>
      <c r="BK196" s="32">
        <v>24420</v>
      </c>
      <c r="BL196" s="33">
        <v>24650</v>
      </c>
      <c r="BM196" s="1">
        <v>24360</v>
      </c>
      <c r="BN196" s="1">
        <v>23310</v>
      </c>
      <c r="BO196" s="1">
        <v>23130</v>
      </c>
      <c r="BP196" s="1">
        <v>22790</v>
      </c>
    </row>
    <row r="197" spans="1:68" ht="15.9" customHeight="1">
      <c r="A197" s="68" t="s">
        <v>386</v>
      </c>
      <c r="B197" s="28" t="s">
        <v>387</v>
      </c>
      <c r="C197" s="42" t="str">
        <f>_xll.RssMarket("6146","高値")</f>
        <v/>
      </c>
      <c r="D197" s="41" t="e">
        <f t="shared" si="6"/>
        <v>#VALUE!</v>
      </c>
      <c r="E197" s="37">
        <v>66590</v>
      </c>
      <c r="F197" s="37">
        <v>74240</v>
      </c>
      <c r="G197" s="32">
        <v>71710</v>
      </c>
      <c r="H197" s="32">
        <v>74930</v>
      </c>
      <c r="I197" s="32">
        <v>73770</v>
      </c>
      <c r="J197" s="32">
        <v>72340</v>
      </c>
      <c r="K197" s="32">
        <v>71710</v>
      </c>
      <c r="L197" s="32">
        <v>76900</v>
      </c>
      <c r="M197" s="32">
        <v>78830</v>
      </c>
      <c r="N197" s="32">
        <v>76910</v>
      </c>
      <c r="O197" s="32">
        <v>80390</v>
      </c>
      <c r="P197" s="32">
        <v>88580</v>
      </c>
      <c r="Q197" s="32">
        <v>83870</v>
      </c>
      <c r="R197" s="32">
        <v>79590</v>
      </c>
      <c r="S197" s="32">
        <v>84220</v>
      </c>
      <c r="T197" s="32">
        <v>86880</v>
      </c>
      <c r="U197" s="32">
        <v>83400</v>
      </c>
      <c r="V197" s="32">
        <v>91680</v>
      </c>
      <c r="W197" s="32">
        <v>89250</v>
      </c>
      <c r="X197" s="32">
        <v>89100</v>
      </c>
      <c r="Y197" s="32">
        <v>85550</v>
      </c>
      <c r="Z197" s="32">
        <v>85390</v>
      </c>
      <c r="AA197" s="32">
        <v>85200</v>
      </c>
      <c r="AB197" s="32">
        <v>86140</v>
      </c>
      <c r="AC197" s="32">
        <v>80100</v>
      </c>
      <c r="AD197" s="32">
        <v>70760</v>
      </c>
      <c r="AE197" s="32">
        <v>73590</v>
      </c>
      <c r="AF197" s="32">
        <v>68700</v>
      </c>
      <c r="AG197" s="32">
        <v>74440</v>
      </c>
      <c r="AH197" s="32">
        <v>72630</v>
      </c>
      <c r="AI197" s="32">
        <v>69970</v>
      </c>
      <c r="AJ197" s="32">
        <v>64200</v>
      </c>
      <c r="AK197" s="32">
        <v>66520</v>
      </c>
      <c r="AL197" s="32">
        <v>67630</v>
      </c>
      <c r="AM197" s="32">
        <v>70550</v>
      </c>
      <c r="AN197" s="32">
        <v>70260</v>
      </c>
      <c r="AO197" s="32">
        <v>66960</v>
      </c>
      <c r="AP197" s="32">
        <v>66660</v>
      </c>
      <c r="AQ197" s="32">
        <v>62150</v>
      </c>
      <c r="AR197" s="32">
        <v>63690</v>
      </c>
      <c r="AS197" s="32">
        <v>65450</v>
      </c>
      <c r="AT197" s="32">
        <v>71520</v>
      </c>
      <c r="AU197" s="32">
        <v>73990</v>
      </c>
      <c r="AV197" s="32">
        <v>73010</v>
      </c>
      <c r="AW197" s="32">
        <v>73730</v>
      </c>
      <c r="AX197" s="32">
        <v>76010</v>
      </c>
      <c r="AY197" s="32">
        <v>76340</v>
      </c>
      <c r="AZ197" s="32">
        <v>77800</v>
      </c>
      <c r="BA197" s="32">
        <v>74460</v>
      </c>
      <c r="BB197" s="32">
        <v>76060</v>
      </c>
      <c r="BC197" s="32">
        <v>78150</v>
      </c>
      <c r="BD197" s="32">
        <v>76250</v>
      </c>
      <c r="BE197" s="32">
        <v>74310</v>
      </c>
      <c r="BF197" s="32">
        <v>76350</v>
      </c>
      <c r="BG197" s="32">
        <v>75500</v>
      </c>
      <c r="BH197" s="32">
        <v>74350</v>
      </c>
      <c r="BI197" s="32">
        <v>75320</v>
      </c>
      <c r="BJ197" s="32">
        <v>73530</v>
      </c>
      <c r="BK197" s="32">
        <v>73050</v>
      </c>
      <c r="BL197" s="33">
        <v>72950</v>
      </c>
      <c r="BM197" s="1">
        <v>72450</v>
      </c>
      <c r="BN197" s="1">
        <v>67390</v>
      </c>
      <c r="BO197" s="1">
        <v>67090</v>
      </c>
      <c r="BP197" s="1">
        <v>65870</v>
      </c>
    </row>
    <row r="198" spans="1:68" ht="15.9" customHeight="1">
      <c r="A198" s="68" t="s">
        <v>388</v>
      </c>
      <c r="B198" s="28" t="s">
        <v>389</v>
      </c>
      <c r="C198" s="42" t="str">
        <f>_xll.RssMarket("8035","高値")</f>
        <v/>
      </c>
      <c r="D198" s="41" t="e">
        <f t="shared" si="6"/>
        <v>#VALUE!</v>
      </c>
      <c r="E198" s="37">
        <v>67080</v>
      </c>
      <c r="F198" s="37">
        <v>74810</v>
      </c>
      <c r="G198" s="32">
        <v>72140</v>
      </c>
      <c r="H198" s="32">
        <v>74470</v>
      </c>
      <c r="I198" s="32">
        <v>74550</v>
      </c>
      <c r="J198" s="32">
        <v>71540</v>
      </c>
      <c r="K198" s="32">
        <v>69600</v>
      </c>
      <c r="L198" s="32">
        <v>73090</v>
      </c>
      <c r="M198" s="32">
        <v>75290</v>
      </c>
      <c r="N198" s="32">
        <v>73830</v>
      </c>
      <c r="O198" s="32">
        <v>75740</v>
      </c>
      <c r="P198" s="32">
        <v>81260</v>
      </c>
      <c r="Q198" s="32">
        <v>80500</v>
      </c>
      <c r="R198" s="32">
        <v>74700</v>
      </c>
      <c r="S198" s="32">
        <v>74430</v>
      </c>
      <c r="T198" s="32">
        <v>75850</v>
      </c>
      <c r="U198" s="32">
        <v>73360</v>
      </c>
      <c r="V198" s="32">
        <v>79800</v>
      </c>
      <c r="W198" s="32">
        <v>77850</v>
      </c>
      <c r="X198" s="32">
        <v>77600</v>
      </c>
      <c r="Y198" s="32">
        <v>76650</v>
      </c>
      <c r="Z198" s="32">
        <v>73220</v>
      </c>
      <c r="AA198" s="32">
        <v>73130</v>
      </c>
      <c r="AB198" s="32">
        <v>74800</v>
      </c>
      <c r="AC198" s="32">
        <v>71000</v>
      </c>
      <c r="AD198" s="32">
        <v>64070</v>
      </c>
      <c r="AE198" s="32">
        <v>65310</v>
      </c>
      <c r="AF198" s="32">
        <v>56450</v>
      </c>
      <c r="AG198" s="32">
        <v>62210</v>
      </c>
      <c r="AH198" s="32">
        <v>63660</v>
      </c>
      <c r="AI198" s="32">
        <v>61420</v>
      </c>
      <c r="AJ198" s="32">
        <v>53750</v>
      </c>
      <c r="AK198" s="32">
        <v>53320</v>
      </c>
      <c r="AL198" s="32">
        <v>52730</v>
      </c>
      <c r="AM198" s="32">
        <v>54700</v>
      </c>
      <c r="AN198" s="32">
        <v>52530</v>
      </c>
      <c r="AO198" s="32">
        <v>50220</v>
      </c>
      <c r="AP198" s="32">
        <v>48800</v>
      </c>
      <c r="AQ198" s="32">
        <v>47220</v>
      </c>
      <c r="AR198" s="32">
        <v>49980</v>
      </c>
      <c r="AS198" s="32">
        <v>50900</v>
      </c>
      <c r="AT198" s="32">
        <v>52530</v>
      </c>
      <c r="AU198" s="32">
        <v>52730</v>
      </c>
      <c r="AV198" s="32">
        <v>51920</v>
      </c>
      <c r="AW198" s="32">
        <v>53000</v>
      </c>
      <c r="AX198" s="32">
        <v>53870</v>
      </c>
      <c r="AY198" s="32">
        <v>52650</v>
      </c>
      <c r="AZ198" s="32">
        <v>51960</v>
      </c>
      <c r="BA198" s="32">
        <v>48190</v>
      </c>
      <c r="BB198" s="32">
        <v>45290</v>
      </c>
      <c r="BC198" s="32">
        <v>46970</v>
      </c>
      <c r="BD198" s="32">
        <v>47710</v>
      </c>
      <c r="BE198" s="32">
        <v>46110</v>
      </c>
      <c r="BF198" s="32">
        <v>46560</v>
      </c>
      <c r="BG198" s="32">
        <v>45540</v>
      </c>
      <c r="BH198" s="32">
        <v>46460</v>
      </c>
      <c r="BI198" s="32">
        <v>44490</v>
      </c>
      <c r="BJ198" s="32">
        <v>45280</v>
      </c>
      <c r="BK198" s="32">
        <v>46150</v>
      </c>
      <c r="BL198" s="33">
        <v>44570</v>
      </c>
      <c r="BM198" s="1">
        <v>43820</v>
      </c>
      <c r="BN198" s="1">
        <v>43480</v>
      </c>
      <c r="BO198" s="1">
        <v>44040</v>
      </c>
      <c r="BP198" s="1">
        <v>42830</v>
      </c>
    </row>
    <row r="199" spans="1:68" ht="15.9" customHeight="1">
      <c r="A199" s="68" t="s">
        <v>390</v>
      </c>
      <c r="B199" s="28" t="s">
        <v>391</v>
      </c>
      <c r="C199" s="42" t="str">
        <f>_xll.RssMarket("6920","高値")</f>
        <v/>
      </c>
      <c r="D199" s="41" t="e">
        <f t="shared" si="6"/>
        <v>#VALUE!</v>
      </c>
      <c r="E199" s="37">
        <v>43280</v>
      </c>
      <c r="F199" s="37">
        <v>50940</v>
      </c>
      <c r="G199" s="32">
        <v>45230</v>
      </c>
      <c r="H199" s="32">
        <v>47680</v>
      </c>
      <c r="I199" s="32">
        <v>45480</v>
      </c>
      <c r="J199" s="32">
        <v>43850</v>
      </c>
      <c r="K199" s="32">
        <v>44300</v>
      </c>
      <c r="L199" s="32">
        <v>46050</v>
      </c>
      <c r="M199" s="32">
        <v>48490</v>
      </c>
      <c r="N199" s="32">
        <v>47650</v>
      </c>
      <c r="O199" s="32">
        <v>49030</v>
      </c>
      <c r="P199" s="32">
        <v>54080</v>
      </c>
      <c r="Q199" s="32">
        <v>50910</v>
      </c>
      <c r="R199" s="32">
        <v>50480</v>
      </c>
      <c r="S199" s="32">
        <v>52520</v>
      </c>
      <c r="T199" s="32">
        <v>53440</v>
      </c>
      <c r="U199" s="32">
        <v>52940</v>
      </c>
      <c r="V199" s="32">
        <v>58490</v>
      </c>
      <c r="W199" s="32">
        <v>57550</v>
      </c>
      <c r="X199" s="32">
        <v>58580</v>
      </c>
      <c r="Y199" s="32">
        <v>57330</v>
      </c>
      <c r="Z199" s="32">
        <v>52980</v>
      </c>
      <c r="AA199" s="32">
        <v>48270</v>
      </c>
      <c r="AB199" s="32">
        <v>48640</v>
      </c>
      <c r="AC199" s="32">
        <v>44590</v>
      </c>
      <c r="AD199" s="32">
        <v>40470</v>
      </c>
      <c r="AE199" s="32">
        <v>42950</v>
      </c>
      <c r="AF199" s="32">
        <v>40670</v>
      </c>
      <c r="AG199" s="32">
        <v>42470</v>
      </c>
      <c r="AH199" s="32">
        <v>43600</v>
      </c>
      <c r="AI199" s="32">
        <v>42800</v>
      </c>
      <c r="AJ199" s="32">
        <v>39250</v>
      </c>
      <c r="AK199" s="32">
        <v>40820</v>
      </c>
      <c r="AL199" s="32">
        <v>41290</v>
      </c>
      <c r="AM199" s="32">
        <v>44040</v>
      </c>
      <c r="AN199" s="32">
        <v>43590</v>
      </c>
      <c r="AO199" s="32">
        <v>38980</v>
      </c>
      <c r="AP199" s="32">
        <v>38840</v>
      </c>
      <c r="AQ199" s="32">
        <v>36280</v>
      </c>
      <c r="AR199" s="32">
        <v>38180</v>
      </c>
      <c r="AS199" s="32">
        <v>39340</v>
      </c>
      <c r="AT199" s="32">
        <v>41190</v>
      </c>
      <c r="AU199" s="32">
        <v>43140</v>
      </c>
      <c r="AV199" s="32">
        <v>42860</v>
      </c>
      <c r="AW199" s="32">
        <v>45650</v>
      </c>
      <c r="AX199" s="32">
        <v>45950</v>
      </c>
      <c r="AY199" s="32">
        <v>44660</v>
      </c>
      <c r="AZ199" s="32">
        <v>46720</v>
      </c>
      <c r="BA199" s="32">
        <v>44520</v>
      </c>
      <c r="BB199" s="32">
        <v>44460</v>
      </c>
      <c r="BC199" s="32">
        <v>46090</v>
      </c>
      <c r="BD199" s="32">
        <v>46450</v>
      </c>
      <c r="BE199" s="32">
        <v>45950</v>
      </c>
      <c r="BF199" s="32">
        <v>45990</v>
      </c>
      <c r="BG199" s="32">
        <v>45520</v>
      </c>
      <c r="BH199" s="32">
        <v>44590</v>
      </c>
      <c r="BI199" s="32">
        <v>42390</v>
      </c>
      <c r="BJ199" s="32">
        <v>41700</v>
      </c>
      <c r="BK199" s="32">
        <v>42300</v>
      </c>
      <c r="BL199" s="33">
        <v>44940</v>
      </c>
      <c r="BM199" s="1">
        <v>43530</v>
      </c>
      <c r="BN199" s="1">
        <v>41570</v>
      </c>
      <c r="BO199" s="1">
        <v>41630</v>
      </c>
      <c r="BP199" s="1">
        <v>39250</v>
      </c>
    </row>
    <row r="200" spans="1:68" ht="15.9" customHeight="1">
      <c r="A200" s="68" t="s">
        <v>392</v>
      </c>
      <c r="B200" s="28" t="s">
        <v>393</v>
      </c>
      <c r="C200" s="42" t="str">
        <f>_xll.RssMarket("5801","高値")</f>
        <v/>
      </c>
      <c r="D200" s="41" t="e">
        <f t="shared" si="6"/>
        <v>#VALUE!</v>
      </c>
      <c r="E200" s="37">
        <v>3309</v>
      </c>
      <c r="F200" s="37">
        <v>3793</v>
      </c>
      <c r="G200" s="32">
        <v>3568</v>
      </c>
      <c r="H200" s="32">
        <v>3933</v>
      </c>
      <c r="I200" s="32">
        <v>3846</v>
      </c>
      <c r="J200" s="32">
        <v>3687</v>
      </c>
      <c r="K200" s="32">
        <v>3720</v>
      </c>
      <c r="L200" s="32">
        <v>3900</v>
      </c>
      <c r="M200" s="32">
        <v>3998</v>
      </c>
      <c r="N200" s="32">
        <v>4015</v>
      </c>
      <c r="O200" s="32">
        <v>4225</v>
      </c>
      <c r="P200" s="32">
        <v>4870</v>
      </c>
      <c r="Q200" s="32">
        <v>4829</v>
      </c>
      <c r="R200" s="32">
        <v>4545</v>
      </c>
      <c r="S200" s="32">
        <v>49170</v>
      </c>
      <c r="T200" s="32">
        <v>50500</v>
      </c>
      <c r="U200" s="32">
        <v>49460</v>
      </c>
      <c r="V200" s="32">
        <v>58240</v>
      </c>
      <c r="W200" s="32">
        <v>58790</v>
      </c>
      <c r="X200" s="32">
        <v>53360</v>
      </c>
      <c r="Y200" s="32">
        <v>48990</v>
      </c>
      <c r="Z200" s="32">
        <v>47660</v>
      </c>
      <c r="AA200" s="32">
        <v>48310</v>
      </c>
      <c r="AB200" s="32">
        <v>45700</v>
      </c>
      <c r="AC200" s="32">
        <v>43780</v>
      </c>
      <c r="AD200" s="32">
        <v>41460</v>
      </c>
      <c r="AE200" s="32">
        <v>44470</v>
      </c>
      <c r="AF200" s="32">
        <v>45900</v>
      </c>
      <c r="AG200" s="32">
        <v>51140</v>
      </c>
      <c r="AH200" s="32">
        <v>53440</v>
      </c>
      <c r="AI200" s="32">
        <v>56120</v>
      </c>
      <c r="AJ200" s="32">
        <v>52450</v>
      </c>
      <c r="AK200" s="32">
        <v>55350</v>
      </c>
      <c r="AL200" s="32">
        <v>62410</v>
      </c>
      <c r="AM200" s="32">
        <v>59330</v>
      </c>
      <c r="AN200" s="32">
        <v>54350</v>
      </c>
      <c r="AO200" s="32">
        <v>52050</v>
      </c>
      <c r="AP200" s="32">
        <v>52070</v>
      </c>
      <c r="AQ200" s="32">
        <v>53850</v>
      </c>
      <c r="AR200" s="32">
        <v>57060</v>
      </c>
      <c r="AS200" s="32">
        <v>60040</v>
      </c>
      <c r="AT200" s="32">
        <v>60150</v>
      </c>
      <c r="AU200" s="32">
        <v>58990</v>
      </c>
      <c r="AV200" s="32">
        <v>50430</v>
      </c>
      <c r="AW200" s="32">
        <v>46550</v>
      </c>
      <c r="AX200" s="32">
        <v>46030</v>
      </c>
      <c r="AY200" s="32">
        <v>46300</v>
      </c>
      <c r="AZ200" s="32">
        <v>43140</v>
      </c>
      <c r="BA200" s="32">
        <v>42850</v>
      </c>
      <c r="BB200" s="32">
        <v>43460</v>
      </c>
      <c r="BC200" s="32">
        <v>43550</v>
      </c>
      <c r="BD200" s="32">
        <v>43770</v>
      </c>
      <c r="BE200" s="32">
        <v>45050</v>
      </c>
      <c r="BF200" s="32">
        <v>44440</v>
      </c>
      <c r="BG200" s="32">
        <v>45230</v>
      </c>
      <c r="BH200" s="32">
        <v>45380</v>
      </c>
      <c r="BI200" s="32">
        <v>46490</v>
      </c>
      <c r="BJ200" s="32">
        <v>46090</v>
      </c>
      <c r="BK200" s="32">
        <v>47230</v>
      </c>
      <c r="BL200" s="33">
        <v>47940</v>
      </c>
      <c r="BM200" s="1">
        <v>47210</v>
      </c>
      <c r="BN200" s="1">
        <v>46020</v>
      </c>
      <c r="BO200" s="1">
        <v>45480</v>
      </c>
      <c r="BP200" s="1">
        <v>42980</v>
      </c>
    </row>
    <row r="201" spans="1:68" ht="15.9" customHeight="1">
      <c r="A201" s="68" t="s">
        <v>394</v>
      </c>
      <c r="B201" s="28" t="s">
        <v>395</v>
      </c>
      <c r="C201" s="42" t="str">
        <f>_xll.RssMarket("6506","高値")</f>
        <v/>
      </c>
      <c r="D201" s="41" t="e">
        <f t="shared" si="6"/>
        <v>#VALUE!</v>
      </c>
      <c r="E201" s="37">
        <v>5306</v>
      </c>
      <c r="F201" s="37">
        <v>5569</v>
      </c>
      <c r="G201" s="32">
        <v>5860</v>
      </c>
      <c r="H201" s="32">
        <v>6275</v>
      </c>
      <c r="I201" s="32">
        <v>7225</v>
      </c>
      <c r="J201" s="32">
        <v>7044</v>
      </c>
      <c r="K201" s="32">
        <v>6932</v>
      </c>
      <c r="L201" s="32">
        <v>7398</v>
      </c>
      <c r="M201" s="32">
        <v>7856</v>
      </c>
      <c r="N201" s="32">
        <v>7479</v>
      </c>
      <c r="O201" s="32">
        <v>7156</v>
      </c>
      <c r="P201" s="32">
        <v>7465</v>
      </c>
      <c r="Q201" s="32">
        <v>7237</v>
      </c>
      <c r="R201" s="32">
        <v>6954</v>
      </c>
      <c r="S201" s="32">
        <v>7347</v>
      </c>
      <c r="T201" s="32">
        <v>7324</v>
      </c>
      <c r="U201" s="32">
        <v>7228</v>
      </c>
      <c r="V201" s="32">
        <v>7682</v>
      </c>
      <c r="W201" s="32">
        <v>7915</v>
      </c>
      <c r="X201" s="32">
        <v>7359</v>
      </c>
      <c r="Y201" s="32">
        <v>7416</v>
      </c>
      <c r="Z201" s="32">
        <v>7060</v>
      </c>
      <c r="AA201" s="32">
        <v>6943</v>
      </c>
      <c r="AB201" s="32">
        <v>6732</v>
      </c>
      <c r="AC201" s="32">
        <v>6508</v>
      </c>
      <c r="AD201" s="32">
        <v>6055</v>
      </c>
      <c r="AE201" s="32">
        <v>6257</v>
      </c>
      <c r="AF201" s="32">
        <v>6513</v>
      </c>
      <c r="AG201" s="32">
        <v>6918</v>
      </c>
      <c r="AH201" s="32">
        <v>7115</v>
      </c>
      <c r="AI201" s="32">
        <v>7228</v>
      </c>
      <c r="AJ201" s="32">
        <v>7069</v>
      </c>
      <c r="AK201" s="32">
        <v>7315</v>
      </c>
      <c r="AL201" s="32">
        <v>7210</v>
      </c>
      <c r="AM201" s="32">
        <v>7689</v>
      </c>
      <c r="AN201" s="32">
        <v>7700</v>
      </c>
      <c r="AO201" s="32">
        <v>7092</v>
      </c>
      <c r="AP201" s="32">
        <v>6709</v>
      </c>
      <c r="AQ201" s="32">
        <v>6310</v>
      </c>
      <c r="AR201" s="32">
        <v>6739</v>
      </c>
      <c r="AS201" s="32">
        <v>7076</v>
      </c>
      <c r="AT201" s="32">
        <v>7395</v>
      </c>
      <c r="AU201" s="32">
        <v>7578</v>
      </c>
      <c r="AV201" s="32">
        <v>7028</v>
      </c>
      <c r="AW201" s="32">
        <v>7030</v>
      </c>
      <c r="AX201" s="32">
        <v>6625</v>
      </c>
      <c r="AY201" s="32">
        <v>6424</v>
      </c>
      <c r="AZ201" s="32">
        <v>6018</v>
      </c>
      <c r="BA201" s="32">
        <v>5648</v>
      </c>
      <c r="BB201" s="32">
        <v>5637</v>
      </c>
      <c r="BC201" s="32">
        <v>5495</v>
      </c>
      <c r="BD201" s="32">
        <v>5532</v>
      </c>
      <c r="BE201" s="32">
        <v>5252</v>
      </c>
      <c r="BF201" s="32">
        <v>5406</v>
      </c>
      <c r="BG201" s="32">
        <v>5490</v>
      </c>
      <c r="BH201" s="32">
        <v>5657</v>
      </c>
      <c r="BI201" s="32">
        <v>5507</v>
      </c>
      <c r="BJ201" s="32">
        <v>5265</v>
      </c>
      <c r="BK201" s="32">
        <v>5364</v>
      </c>
      <c r="BL201" s="33">
        <v>5376</v>
      </c>
      <c r="BM201" s="1">
        <v>5275</v>
      </c>
      <c r="BN201" s="1">
        <v>5260</v>
      </c>
      <c r="BO201" s="1">
        <v>4926</v>
      </c>
      <c r="BP201" s="1">
        <v>4735</v>
      </c>
    </row>
    <row r="202" spans="1:68" ht="15.9" customHeight="1">
      <c r="A202" s="68" t="s">
        <v>396</v>
      </c>
      <c r="B202" s="28" t="s">
        <v>397</v>
      </c>
      <c r="C202" s="42" t="str">
        <f>_xll.RssMarket("2768","高値")</f>
        <v/>
      </c>
      <c r="D202" s="41" t="e">
        <f t="shared" si="6"/>
        <v>#VALUE!</v>
      </c>
      <c r="E202" s="37">
        <v>5213</v>
      </c>
      <c r="F202" s="37">
        <v>5220</v>
      </c>
      <c r="G202" s="32">
        <v>5120</v>
      </c>
      <c r="H202" s="32">
        <v>5204</v>
      </c>
      <c r="I202" s="32">
        <v>5151</v>
      </c>
      <c r="J202" s="32">
        <v>5178</v>
      </c>
      <c r="K202" s="32">
        <v>5283</v>
      </c>
      <c r="L202" s="32">
        <v>5425</v>
      </c>
      <c r="M202" s="32">
        <v>5408</v>
      </c>
      <c r="N202" s="32">
        <v>5305</v>
      </c>
      <c r="O202" s="32">
        <v>5287</v>
      </c>
      <c r="P202" s="32">
        <v>5210</v>
      </c>
      <c r="Q202" s="32">
        <v>5250</v>
      </c>
      <c r="R202" s="32">
        <v>5357</v>
      </c>
      <c r="S202" s="32">
        <v>5292</v>
      </c>
      <c r="T202" s="32">
        <v>5232</v>
      </c>
      <c r="U202" s="32">
        <v>5362</v>
      </c>
      <c r="V202" s="32">
        <v>5300</v>
      </c>
      <c r="W202" s="32">
        <v>5406</v>
      </c>
      <c r="X202" s="32">
        <v>5372</v>
      </c>
      <c r="Y202" s="32">
        <v>5387</v>
      </c>
      <c r="Z202" s="32">
        <v>5374</v>
      </c>
      <c r="AA202" s="32">
        <v>5091</v>
      </c>
      <c r="AB202" s="32">
        <v>5067</v>
      </c>
      <c r="AC202" s="32">
        <v>5139</v>
      </c>
      <c r="AD202" s="32">
        <v>5147</v>
      </c>
      <c r="AE202" s="32">
        <v>5275</v>
      </c>
      <c r="AF202" s="32">
        <v>5190</v>
      </c>
      <c r="AG202" s="32">
        <v>5192</v>
      </c>
      <c r="AH202" s="32">
        <v>5134</v>
      </c>
      <c r="AI202" s="32">
        <v>5494</v>
      </c>
      <c r="AJ202" s="32">
        <v>5475</v>
      </c>
      <c r="AK202" s="32">
        <v>5650</v>
      </c>
      <c r="AL202" s="32">
        <v>5634</v>
      </c>
      <c r="AM202" s="32">
        <v>5576</v>
      </c>
      <c r="AN202" s="32">
        <v>5617</v>
      </c>
      <c r="AO202" s="32">
        <v>5690</v>
      </c>
      <c r="AP202" s="32">
        <v>5767</v>
      </c>
      <c r="AQ202" s="32">
        <v>5900</v>
      </c>
      <c r="AR202" s="32">
        <v>5989</v>
      </c>
      <c r="AS202" s="32">
        <v>5910</v>
      </c>
      <c r="AT202" s="32">
        <v>5964</v>
      </c>
      <c r="AU202" s="32">
        <v>5880</v>
      </c>
      <c r="AV202" s="32">
        <v>5756</v>
      </c>
      <c r="AW202" s="32">
        <v>5811</v>
      </c>
      <c r="AX202" s="32">
        <v>6215</v>
      </c>
      <c r="AY202" s="32">
        <v>6400</v>
      </c>
      <c r="AZ202" s="32">
        <v>5930</v>
      </c>
      <c r="BA202" s="32">
        <v>5977</v>
      </c>
      <c r="BB202" s="32">
        <v>5871</v>
      </c>
      <c r="BC202" s="32">
        <v>5948</v>
      </c>
      <c r="BD202" s="32">
        <v>5905</v>
      </c>
      <c r="BE202" s="32">
        <v>5998</v>
      </c>
      <c r="BF202" s="32">
        <v>6120</v>
      </c>
      <c r="BG202" s="32">
        <v>6147</v>
      </c>
      <c r="BH202" s="32">
        <v>6250</v>
      </c>
      <c r="BI202" s="32">
        <v>6280</v>
      </c>
      <c r="BJ202" s="32">
        <v>6290</v>
      </c>
      <c r="BK202" s="32">
        <v>6401</v>
      </c>
      <c r="BL202" s="33">
        <v>6482</v>
      </c>
      <c r="BM202" s="1">
        <v>6522</v>
      </c>
      <c r="BN202" s="1">
        <v>6645</v>
      </c>
      <c r="BO202" s="1">
        <v>6640</v>
      </c>
      <c r="BP202" s="1">
        <v>6449</v>
      </c>
    </row>
    <row r="203" spans="1:68" ht="15.9" customHeight="1">
      <c r="A203" s="68" t="s">
        <v>398</v>
      </c>
      <c r="B203" s="28" t="s">
        <v>399</v>
      </c>
      <c r="C203" s="42" t="str">
        <f>_xll.RssMarket("6305","高値")</f>
        <v/>
      </c>
      <c r="D203" s="41" t="e">
        <f t="shared" si="6"/>
        <v>#VALUE!</v>
      </c>
      <c r="E203" s="37">
        <v>5287</v>
      </c>
      <c r="F203" s="37">
        <v>5341</v>
      </c>
      <c r="G203" s="32">
        <v>5283</v>
      </c>
      <c r="H203" s="32">
        <v>5339</v>
      </c>
      <c r="I203" s="32">
        <v>5302</v>
      </c>
      <c r="J203" s="32">
        <v>5300</v>
      </c>
      <c r="K203" s="32">
        <v>5405</v>
      </c>
      <c r="L203" s="32">
        <v>5486</v>
      </c>
      <c r="M203" s="32">
        <v>5523</v>
      </c>
      <c r="N203" s="32">
        <v>5360</v>
      </c>
      <c r="O203" s="32">
        <v>5288</v>
      </c>
      <c r="P203" s="32">
        <v>5331</v>
      </c>
      <c r="Q203" s="32">
        <v>5368</v>
      </c>
      <c r="R203" s="32">
        <v>5364</v>
      </c>
      <c r="S203" s="32">
        <v>5369</v>
      </c>
      <c r="T203" s="32">
        <v>5404</v>
      </c>
      <c r="U203" s="32">
        <v>5345</v>
      </c>
      <c r="V203" s="32">
        <v>5498</v>
      </c>
      <c r="W203" s="32">
        <v>5422</v>
      </c>
      <c r="X203" s="32">
        <v>5486</v>
      </c>
      <c r="Y203" s="32">
        <v>5465</v>
      </c>
      <c r="Z203" s="32">
        <v>5436</v>
      </c>
      <c r="AA203" s="32">
        <v>5596</v>
      </c>
      <c r="AB203" s="32">
        <v>5600</v>
      </c>
      <c r="AC203" s="32">
        <v>5339</v>
      </c>
      <c r="AD203" s="32">
        <v>5177</v>
      </c>
      <c r="AE203" s="32">
        <v>5339</v>
      </c>
      <c r="AF203" s="32">
        <v>5324</v>
      </c>
      <c r="AG203" s="32">
        <v>5462</v>
      </c>
      <c r="AH203" s="32">
        <v>5413</v>
      </c>
      <c r="AI203" s="32">
        <v>5415</v>
      </c>
      <c r="AJ203" s="32">
        <v>5152</v>
      </c>
      <c r="AK203" s="32">
        <v>5278</v>
      </c>
      <c r="AL203" s="32">
        <v>5280</v>
      </c>
      <c r="AM203" s="32">
        <v>5340</v>
      </c>
      <c r="AN203" s="32">
        <v>5067</v>
      </c>
      <c r="AO203" s="32">
        <v>5034</v>
      </c>
      <c r="AP203" s="32">
        <v>5032</v>
      </c>
      <c r="AQ203" s="32">
        <v>5038</v>
      </c>
      <c r="AR203" s="32">
        <v>5178</v>
      </c>
      <c r="AS203" s="32">
        <v>5274</v>
      </c>
      <c r="AT203" s="32">
        <v>5337</v>
      </c>
      <c r="AU203" s="32">
        <v>5420</v>
      </c>
      <c r="AV203" s="32">
        <v>5326</v>
      </c>
      <c r="AW203" s="32">
        <v>5765</v>
      </c>
      <c r="AX203" s="32">
        <v>5701</v>
      </c>
      <c r="AY203" s="32">
        <v>5718</v>
      </c>
      <c r="AZ203" s="32">
        <v>5723</v>
      </c>
      <c r="BA203" s="32">
        <v>5568</v>
      </c>
      <c r="BB203" s="32">
        <v>5653</v>
      </c>
      <c r="BC203" s="32">
        <v>5688</v>
      </c>
      <c r="BD203" s="32">
        <v>5658</v>
      </c>
      <c r="BE203" s="32">
        <v>5570</v>
      </c>
      <c r="BF203" s="32">
        <v>5567</v>
      </c>
      <c r="BG203" s="32">
        <v>5505</v>
      </c>
      <c r="BH203" s="32">
        <v>5539</v>
      </c>
      <c r="BI203" s="32">
        <v>5470</v>
      </c>
      <c r="BJ203" s="32">
        <v>5502</v>
      </c>
      <c r="BK203" s="32">
        <v>5665</v>
      </c>
      <c r="BL203" s="33">
        <v>5692</v>
      </c>
      <c r="BM203" s="1">
        <v>5726</v>
      </c>
      <c r="BN203" s="1">
        <v>5749</v>
      </c>
      <c r="BO203" s="1">
        <v>5773</v>
      </c>
      <c r="BP203" s="1">
        <v>5759</v>
      </c>
    </row>
    <row r="204" spans="1:68" ht="15.9" customHeight="1">
      <c r="A204" s="68" t="s">
        <v>400</v>
      </c>
      <c r="B204" s="28" t="s">
        <v>401</v>
      </c>
      <c r="C204" s="42" t="str">
        <f>_xll.RssMarket("8015","高値")</f>
        <v/>
      </c>
      <c r="D204" s="41" t="e">
        <f t="shared" si="6"/>
        <v>#VALUE!</v>
      </c>
      <c r="E204" s="37">
        <v>6228</v>
      </c>
      <c r="F204" s="37">
        <v>6241</v>
      </c>
      <c r="G204" s="32">
        <v>6065</v>
      </c>
      <c r="H204" s="32">
        <v>6144</v>
      </c>
      <c r="I204" s="32">
        <v>6248</v>
      </c>
      <c r="J204" s="32">
        <v>6190</v>
      </c>
      <c r="K204" s="32">
        <v>6323</v>
      </c>
      <c r="L204" s="32">
        <v>6510</v>
      </c>
      <c r="M204" s="32">
        <v>6304</v>
      </c>
      <c r="N204" s="32">
        <v>6426</v>
      </c>
      <c r="O204" s="32">
        <v>6202</v>
      </c>
      <c r="P204" s="32">
        <v>6134</v>
      </c>
      <c r="Q204" s="32">
        <v>6062</v>
      </c>
      <c r="R204" s="32">
        <v>6054</v>
      </c>
      <c r="S204" s="32">
        <v>6063</v>
      </c>
      <c r="T204" s="32">
        <v>6215</v>
      </c>
      <c r="U204" s="32">
        <v>6199</v>
      </c>
      <c r="V204" s="32">
        <v>6276</v>
      </c>
      <c r="W204" s="32">
        <v>6226</v>
      </c>
      <c r="X204" s="32">
        <v>6212</v>
      </c>
      <c r="Y204" s="32">
        <v>6434</v>
      </c>
      <c r="Z204" s="32">
        <v>6456</v>
      </c>
      <c r="AA204" s="32">
        <v>6531</v>
      </c>
      <c r="AB204" s="32">
        <v>6594</v>
      </c>
      <c r="AC204" s="32">
        <v>6254</v>
      </c>
      <c r="AD204" s="32">
        <v>5978</v>
      </c>
      <c r="AE204" s="32">
        <v>6156</v>
      </c>
      <c r="AF204" s="32">
        <v>6450</v>
      </c>
      <c r="AG204" s="32">
        <v>6493</v>
      </c>
      <c r="AH204" s="32">
        <v>6560</v>
      </c>
      <c r="AI204" s="32">
        <v>6600</v>
      </c>
      <c r="AJ204" s="32">
        <v>6558</v>
      </c>
      <c r="AK204" s="32">
        <v>7000</v>
      </c>
      <c r="AL204" s="32">
        <v>6845</v>
      </c>
      <c r="AM204" s="32">
        <v>7039</v>
      </c>
      <c r="AN204" s="32">
        <v>7164</v>
      </c>
      <c r="AO204" s="32">
        <v>6993</v>
      </c>
      <c r="AP204" s="32">
        <v>7027</v>
      </c>
      <c r="AQ204" s="32">
        <v>7006</v>
      </c>
      <c r="AR204" s="32">
        <v>7143</v>
      </c>
      <c r="AS204" s="32">
        <v>7285</v>
      </c>
      <c r="AT204" s="32">
        <v>7559</v>
      </c>
      <c r="AU204" s="32">
        <v>7443</v>
      </c>
      <c r="AV204" s="32">
        <v>7488</v>
      </c>
      <c r="AW204" s="32">
        <v>7256</v>
      </c>
      <c r="AX204" s="32">
        <v>7039</v>
      </c>
      <c r="AY204" s="32">
        <v>6894</v>
      </c>
      <c r="AZ204" s="32">
        <v>7070</v>
      </c>
      <c r="BA204" s="32">
        <v>7048</v>
      </c>
      <c r="BB204" s="32">
        <v>6270</v>
      </c>
      <c r="BC204" s="32">
        <v>6469</v>
      </c>
      <c r="BD204" s="32">
        <v>6268</v>
      </c>
      <c r="BE204" s="32">
        <v>6235</v>
      </c>
      <c r="BF204" s="32">
        <v>6248</v>
      </c>
      <c r="BG204" s="32">
        <v>6280</v>
      </c>
      <c r="BH204" s="32">
        <v>6383</v>
      </c>
      <c r="BI204" s="32">
        <v>6368</v>
      </c>
      <c r="BJ204" s="32">
        <v>6374</v>
      </c>
      <c r="BK204" s="32">
        <v>6381</v>
      </c>
      <c r="BL204" s="33">
        <v>6449</v>
      </c>
      <c r="BM204" s="1">
        <v>6522</v>
      </c>
      <c r="BN204" s="1">
        <v>6590</v>
      </c>
      <c r="BO204" s="1">
        <v>6700</v>
      </c>
      <c r="BP204" s="1">
        <v>6769</v>
      </c>
    </row>
    <row r="205" spans="1:68">
      <c r="A205" s="65" t="s">
        <v>402</v>
      </c>
      <c r="B205" s="34" t="s">
        <v>403</v>
      </c>
      <c r="C205" s="42" t="str">
        <f>_xll.RssMarket("6758","高値")</f>
        <v/>
      </c>
      <c r="D205" s="41" t="e">
        <f t="shared" si="6"/>
        <v>#VALUE!</v>
      </c>
      <c r="E205" s="72">
        <v>3510</v>
      </c>
      <c r="F205" s="72">
        <v>3390</v>
      </c>
      <c r="G205" s="72">
        <v>3424</v>
      </c>
      <c r="H205" s="72">
        <v>3384</v>
      </c>
      <c r="I205" s="72">
        <v>3410</v>
      </c>
      <c r="J205" s="72">
        <v>3432</v>
      </c>
      <c r="K205" s="72">
        <v>3549</v>
      </c>
      <c r="L205" s="72">
        <v>3516</v>
      </c>
      <c r="M205" s="72">
        <v>3422</v>
      </c>
      <c r="N205" s="72">
        <v>3497</v>
      </c>
      <c r="O205" s="72">
        <v>3400</v>
      </c>
      <c r="P205" s="72">
        <v>3340</v>
      </c>
      <c r="Q205" s="72">
        <v>3319</v>
      </c>
      <c r="R205" s="72">
        <v>3308</v>
      </c>
      <c r="S205" s="72">
        <v>3199</v>
      </c>
      <c r="T205" s="72">
        <v>3258</v>
      </c>
      <c r="U205" s="72">
        <v>3267</v>
      </c>
      <c r="V205" s="72">
        <v>3184</v>
      </c>
      <c r="W205" s="72">
        <v>3207</v>
      </c>
      <c r="X205" s="72">
        <v>3203</v>
      </c>
      <c r="Y205" s="72">
        <v>3304</v>
      </c>
      <c r="Z205" s="72">
        <v>3314</v>
      </c>
      <c r="AA205" s="72">
        <v>3296</v>
      </c>
      <c r="AB205" s="72">
        <v>3350</v>
      </c>
      <c r="AC205" s="72">
        <v>3363</v>
      </c>
      <c r="AD205" s="72">
        <v>3398</v>
      </c>
      <c r="AE205" s="72">
        <v>3446</v>
      </c>
      <c r="AF205" s="72">
        <v>3555</v>
      </c>
      <c r="AG205" s="72">
        <v>3633</v>
      </c>
      <c r="AH205" s="72">
        <v>3606</v>
      </c>
      <c r="AI205" s="72">
        <v>3658</v>
      </c>
      <c r="AJ205" s="72">
        <v>3672</v>
      </c>
      <c r="AK205" s="72">
        <v>3496</v>
      </c>
      <c r="AL205" s="72">
        <v>3494</v>
      </c>
      <c r="AM205" s="72">
        <v>3525</v>
      </c>
      <c r="AN205" s="72">
        <v>3606</v>
      </c>
      <c r="AO205" s="72">
        <v>3552</v>
      </c>
      <c r="AP205" s="72">
        <v>3600</v>
      </c>
      <c r="AQ205" s="72">
        <v>3677</v>
      </c>
      <c r="AR205" s="72">
        <v>3722</v>
      </c>
      <c r="AS205" s="72">
        <v>3697</v>
      </c>
      <c r="AT205" s="72">
        <v>3647</v>
      </c>
      <c r="AU205" s="72">
        <v>3542</v>
      </c>
      <c r="AV205" s="72">
        <v>3728</v>
      </c>
      <c r="AW205" s="72">
        <v>3532</v>
      </c>
      <c r="AX205" s="72">
        <v>3477</v>
      </c>
      <c r="AY205" s="72">
        <v>6894</v>
      </c>
      <c r="AZ205" s="72">
        <v>7070</v>
      </c>
      <c r="BA205" s="72">
        <v>7048</v>
      </c>
      <c r="BB205" s="72">
        <v>6270</v>
      </c>
      <c r="BC205" s="72">
        <v>6469</v>
      </c>
      <c r="BD205" s="72">
        <v>6268</v>
      </c>
      <c r="BE205" s="72">
        <v>6235</v>
      </c>
      <c r="BF205" s="72">
        <v>6248</v>
      </c>
      <c r="BG205" s="72">
        <v>6280</v>
      </c>
      <c r="BH205" s="72">
        <v>6383</v>
      </c>
      <c r="BI205" s="72">
        <v>6368</v>
      </c>
      <c r="BJ205" s="72">
        <v>6374</v>
      </c>
      <c r="BK205" s="72">
        <v>6381</v>
      </c>
      <c r="BL205" s="2">
        <v>6449</v>
      </c>
      <c r="BM205" s="1">
        <v>6522</v>
      </c>
      <c r="BN205" s="1">
        <v>6590</v>
      </c>
      <c r="BO205" s="1">
        <v>6700</v>
      </c>
      <c r="BP205" s="1">
        <v>6769</v>
      </c>
    </row>
    <row r="206" spans="1:68">
      <c r="A206" s="65" t="s">
        <v>404</v>
      </c>
      <c r="B206" s="34" t="s">
        <v>405</v>
      </c>
      <c r="C206" s="42" t="str">
        <f>_xll.RssMarket("9101","高値")</f>
        <v/>
      </c>
      <c r="D206" s="41" t="e">
        <f t="shared" si="6"/>
        <v>#VALUE!</v>
      </c>
      <c r="E206" s="72">
        <v>5784</v>
      </c>
      <c r="F206" s="72">
        <v>5614</v>
      </c>
      <c r="G206" s="72">
        <v>5509</v>
      </c>
      <c r="H206" s="72">
        <v>5348</v>
      </c>
      <c r="I206" s="72">
        <v>5406</v>
      </c>
      <c r="J206" s="72">
        <v>5495</v>
      </c>
      <c r="K206" s="72">
        <v>5393</v>
      </c>
      <c r="L206" s="72">
        <v>5295</v>
      </c>
      <c r="M206" s="72">
        <v>5370</v>
      </c>
      <c r="N206" s="72">
        <v>5289</v>
      </c>
      <c r="O206" s="72">
        <v>5190</v>
      </c>
      <c r="P206" s="72">
        <v>5203</v>
      </c>
      <c r="Q206" s="72">
        <v>5265</v>
      </c>
      <c r="R206" s="72">
        <v>5310</v>
      </c>
      <c r="S206" s="72">
        <v>5267</v>
      </c>
      <c r="T206" s="72">
        <v>5410</v>
      </c>
      <c r="U206" s="72">
        <v>5396</v>
      </c>
      <c r="V206" s="72">
        <v>5303</v>
      </c>
      <c r="W206" s="72">
        <v>5203</v>
      </c>
      <c r="X206" s="72">
        <v>5234</v>
      </c>
      <c r="Y206" s="72">
        <v>5300</v>
      </c>
      <c r="Z206" s="72">
        <v>5410</v>
      </c>
      <c r="AA206" s="72">
        <v>5532</v>
      </c>
      <c r="AB206" s="72">
        <v>5672</v>
      </c>
      <c r="AC206" s="72">
        <v>5689</v>
      </c>
      <c r="AD206" s="72">
        <v>5690</v>
      </c>
      <c r="AE206" s="72">
        <v>5720</v>
      </c>
      <c r="AF206" s="72">
        <v>5646</v>
      </c>
      <c r="AG206" s="72">
        <v>5723</v>
      </c>
      <c r="AH206" s="72">
        <v>5515</v>
      </c>
      <c r="AI206" s="72">
        <v>5362</v>
      </c>
      <c r="AJ206" s="72">
        <v>5343</v>
      </c>
      <c r="AK206" s="72">
        <v>5376</v>
      </c>
      <c r="AL206" s="72">
        <v>5358</v>
      </c>
      <c r="AM206" s="72">
        <v>5289</v>
      </c>
      <c r="AN206" s="72">
        <v>5412</v>
      </c>
      <c r="AO206" s="72">
        <v>5450</v>
      </c>
      <c r="AP206" s="72">
        <v>5630</v>
      </c>
      <c r="AQ206" s="72">
        <v>5695</v>
      </c>
      <c r="AR206" s="72">
        <v>5620</v>
      </c>
      <c r="AS206" s="72">
        <v>5636</v>
      </c>
      <c r="AT206" s="72">
        <v>5498</v>
      </c>
      <c r="AU206" s="72">
        <v>5446</v>
      </c>
      <c r="AV206" s="72">
        <v>5389</v>
      </c>
      <c r="AW206" s="72">
        <v>5486</v>
      </c>
      <c r="AX206" s="72">
        <v>5740</v>
      </c>
      <c r="AY206" s="72">
        <v>5700</v>
      </c>
      <c r="AZ206" s="72">
        <v>5675</v>
      </c>
      <c r="BA206" s="72">
        <v>5648</v>
      </c>
      <c r="BB206" s="72">
        <v>5702</v>
      </c>
      <c r="BC206" s="72">
        <v>5681</v>
      </c>
      <c r="BD206" s="72">
        <v>5807</v>
      </c>
      <c r="BE206" s="72">
        <v>5923</v>
      </c>
      <c r="BF206" s="72">
        <v>5852</v>
      </c>
      <c r="BG206" s="72">
        <v>5910</v>
      </c>
      <c r="BH206" s="72">
        <v>5930</v>
      </c>
      <c r="BI206" s="72">
        <v>6068</v>
      </c>
      <c r="BJ206" s="72">
        <v>6178</v>
      </c>
      <c r="BK206" s="72">
        <v>6127</v>
      </c>
      <c r="BL206" s="2">
        <v>6138</v>
      </c>
      <c r="BM206" s="1">
        <v>6153</v>
      </c>
      <c r="BN206" s="1">
        <v>6282</v>
      </c>
      <c r="BO206" s="1">
        <v>6250</v>
      </c>
      <c r="BP206" s="1">
        <v>6246</v>
      </c>
    </row>
    <row r="207" spans="1:68">
      <c r="A207" s="65" t="s">
        <v>406</v>
      </c>
      <c r="B207" s="1" t="s">
        <v>407</v>
      </c>
      <c r="C207" s="57" t="str">
        <f>_xll.RssMarket("7011","高値")</f>
        <v/>
      </c>
      <c r="D207" s="16" t="e">
        <f t="shared" si="6"/>
        <v>#VALUE!</v>
      </c>
      <c r="E207" s="2">
        <v>3754</v>
      </c>
      <c r="F207" s="2">
        <v>3855</v>
      </c>
      <c r="G207" s="2">
        <v>3816</v>
      </c>
      <c r="H207" s="2">
        <v>3818</v>
      </c>
      <c r="I207" s="2">
        <v>3872</v>
      </c>
      <c r="J207" s="2">
        <v>3867</v>
      </c>
      <c r="K207" s="2">
        <v>3994</v>
      </c>
      <c r="L207" s="2">
        <v>4146</v>
      </c>
      <c r="M207" s="2">
        <v>4110</v>
      </c>
      <c r="N207" s="2">
        <v>3899</v>
      </c>
      <c r="O207" s="2">
        <v>3867</v>
      </c>
      <c r="P207" s="2">
        <v>3825</v>
      </c>
      <c r="Q207" s="2">
        <v>3717</v>
      </c>
      <c r="R207" s="2">
        <v>3774</v>
      </c>
      <c r="S207" s="2">
        <v>3639</v>
      </c>
      <c r="T207" s="2">
        <v>3784</v>
      </c>
      <c r="U207" s="2">
        <v>3809</v>
      </c>
      <c r="V207" s="2">
        <v>3913</v>
      </c>
      <c r="W207" s="2">
        <v>3914</v>
      </c>
      <c r="X207" s="2">
        <v>4030</v>
      </c>
      <c r="Y207" s="2">
        <v>4095</v>
      </c>
      <c r="Z207" s="2">
        <v>3905</v>
      </c>
      <c r="AA207" s="2">
        <v>3838</v>
      </c>
      <c r="AB207" s="2">
        <v>3720</v>
      </c>
      <c r="AC207" s="2">
        <v>3594</v>
      </c>
      <c r="AD207" s="2">
        <v>3502</v>
      </c>
      <c r="AE207" s="2">
        <v>3686</v>
      </c>
      <c r="AF207" s="2">
        <v>3783</v>
      </c>
      <c r="AG207" s="2">
        <v>3828</v>
      </c>
      <c r="AH207" s="2">
        <v>3772</v>
      </c>
      <c r="AI207" s="2">
        <v>3640</v>
      </c>
      <c r="AJ207" s="2">
        <v>3516</v>
      </c>
      <c r="AK207" s="2">
        <v>3836</v>
      </c>
      <c r="AL207" s="2">
        <v>3999</v>
      </c>
      <c r="AM207" s="2">
        <v>4050</v>
      </c>
      <c r="AN207" s="2">
        <v>3944</v>
      </c>
      <c r="AO207" s="2">
        <v>4023</v>
      </c>
      <c r="AP207" s="2">
        <v>4032</v>
      </c>
      <c r="AQ207" s="2">
        <v>4100</v>
      </c>
      <c r="AR207" s="2">
        <v>4255</v>
      </c>
      <c r="AS207" s="2">
        <v>4140</v>
      </c>
      <c r="AT207" s="2">
        <v>4148</v>
      </c>
      <c r="AU207" s="2">
        <v>4405</v>
      </c>
      <c r="AV207" s="2">
        <v>4456</v>
      </c>
      <c r="AW207" s="2">
        <v>4363</v>
      </c>
      <c r="AX207" s="2">
        <v>4543</v>
      </c>
      <c r="AY207" s="2">
        <v>4571</v>
      </c>
      <c r="AZ207" s="2">
        <v>4620</v>
      </c>
      <c r="BA207" s="2">
        <v>4638</v>
      </c>
      <c r="BB207" s="2">
        <v>4640</v>
      </c>
      <c r="BC207" s="2">
        <v>4823</v>
      </c>
      <c r="BD207" s="2">
        <v>4733</v>
      </c>
      <c r="BE207" s="2">
        <v>4810</v>
      </c>
      <c r="BF207" s="2">
        <v>4770</v>
      </c>
      <c r="BG207" s="2">
        <v>4532</v>
      </c>
      <c r="BH207" s="2">
        <v>4570</v>
      </c>
      <c r="BI207" s="2">
        <v>4593</v>
      </c>
      <c r="BJ207" s="2">
        <v>4511</v>
      </c>
      <c r="BK207" s="2">
        <v>4607</v>
      </c>
      <c r="BL207" s="2">
        <v>4735</v>
      </c>
      <c r="BM207" s="1">
        <v>4815</v>
      </c>
      <c r="BN207" s="1">
        <v>4834</v>
      </c>
      <c r="BO207" s="1">
        <v>4819</v>
      </c>
      <c r="BP207" s="1">
        <v>4854</v>
      </c>
    </row>
    <row r="208" spans="1:68">
      <c r="A208" s="65" t="s">
        <v>408</v>
      </c>
      <c r="B208" s="1" t="s">
        <v>409</v>
      </c>
      <c r="C208" s="57" t="str">
        <f>_xll.RssMarket("1812","高値")</f>
        <v/>
      </c>
      <c r="D208" s="16" t="e">
        <f t="shared" si="6"/>
        <v>#VALUE!</v>
      </c>
      <c r="E208" s="2">
        <v>5631</v>
      </c>
      <c r="F208" s="2">
        <v>5726</v>
      </c>
      <c r="G208" s="2">
        <v>5639</v>
      </c>
      <c r="H208" s="2">
        <v>5794</v>
      </c>
      <c r="I208" s="2">
        <v>5880</v>
      </c>
      <c r="J208" s="2">
        <v>5849</v>
      </c>
      <c r="K208" s="2">
        <v>6033</v>
      </c>
      <c r="L208" s="2">
        <v>6291</v>
      </c>
      <c r="M208" s="2">
        <v>6339</v>
      </c>
      <c r="N208" s="2">
        <v>6213</v>
      </c>
      <c r="O208" s="2">
        <v>6070</v>
      </c>
      <c r="P208" s="2">
        <v>6170</v>
      </c>
      <c r="Q208" s="2">
        <v>5941</v>
      </c>
      <c r="R208" s="2">
        <v>5932</v>
      </c>
      <c r="S208" s="2">
        <v>5803</v>
      </c>
      <c r="T208" s="2">
        <v>5801</v>
      </c>
      <c r="U208" s="2">
        <v>5753</v>
      </c>
      <c r="V208" s="2">
        <v>6075</v>
      </c>
      <c r="W208" s="2">
        <v>6030</v>
      </c>
      <c r="X208" s="2">
        <v>6069</v>
      </c>
      <c r="Y208" s="2">
        <v>6094</v>
      </c>
      <c r="Z208" s="2">
        <v>6044</v>
      </c>
      <c r="AA208" s="2">
        <v>6138</v>
      </c>
      <c r="AB208" s="2">
        <v>6163</v>
      </c>
      <c r="AC208" s="2">
        <v>5634</v>
      </c>
      <c r="AD208" s="2">
        <v>5502</v>
      </c>
      <c r="AE208" s="2">
        <v>5578</v>
      </c>
      <c r="AF208" s="2">
        <v>5551</v>
      </c>
      <c r="AG208" s="2">
        <v>5566</v>
      </c>
      <c r="AH208" s="2">
        <v>5551</v>
      </c>
      <c r="AI208" s="2">
        <v>5599</v>
      </c>
      <c r="AJ208" s="2">
        <v>5550</v>
      </c>
      <c r="AK208" s="2">
        <v>5953</v>
      </c>
      <c r="AL208" s="2">
        <v>5903</v>
      </c>
      <c r="AM208" s="2">
        <v>6074</v>
      </c>
      <c r="AN208" s="2">
        <v>5740</v>
      </c>
      <c r="AO208" s="2">
        <v>5591</v>
      </c>
      <c r="AP208" s="2">
        <v>5695</v>
      </c>
      <c r="AQ208" s="2">
        <v>5766</v>
      </c>
      <c r="AR208" s="2">
        <v>5952</v>
      </c>
      <c r="AS208" s="2">
        <v>5843</v>
      </c>
      <c r="AT208" s="2">
        <v>6264</v>
      </c>
      <c r="AU208" s="2">
        <v>6536</v>
      </c>
      <c r="AV208" s="2">
        <v>6751</v>
      </c>
      <c r="AW208" s="2">
        <v>6599</v>
      </c>
      <c r="AX208" s="2">
        <v>6279</v>
      </c>
      <c r="AY208" s="2">
        <v>6269</v>
      </c>
      <c r="AZ208" s="2">
        <v>6314</v>
      </c>
      <c r="BA208" s="2">
        <v>6243</v>
      </c>
      <c r="BB208" s="2">
        <v>6429</v>
      </c>
      <c r="BC208" s="2">
        <v>6499</v>
      </c>
      <c r="BD208" s="2">
        <v>6011</v>
      </c>
      <c r="BE208" s="2">
        <v>5980</v>
      </c>
      <c r="BF208" s="2">
        <v>5998</v>
      </c>
      <c r="BG208" s="2">
        <v>5987</v>
      </c>
      <c r="BH208" s="2">
        <v>6120</v>
      </c>
      <c r="BI208" s="2">
        <v>6092</v>
      </c>
      <c r="BJ208" s="2">
        <v>6134</v>
      </c>
      <c r="BK208" s="2">
        <v>6203</v>
      </c>
      <c r="BL208" s="2">
        <v>6320</v>
      </c>
      <c r="BM208" s="1">
        <v>6238</v>
      </c>
      <c r="BN208" s="1">
        <v>6266</v>
      </c>
      <c r="BO208" s="1">
        <v>6318</v>
      </c>
      <c r="BP208" s="1">
        <v>6460</v>
      </c>
    </row>
    <row r="209" spans="1:68">
      <c r="A209" s="65" t="s">
        <v>410</v>
      </c>
      <c r="B209" s="1" t="str">
        <f>銘柄管理!C209</f>
        <v/>
      </c>
      <c r="C209" s="57" t="str">
        <f>_xll.RssMarket("6861","高値")</f>
        <v/>
      </c>
      <c r="D209" s="16"/>
      <c r="E209" s="2">
        <v>72450</v>
      </c>
      <c r="F209" s="2">
        <v>76780</v>
      </c>
      <c r="G209" s="2">
        <v>76700</v>
      </c>
      <c r="H209" s="2">
        <v>77460</v>
      </c>
      <c r="I209" s="2">
        <v>77480</v>
      </c>
      <c r="J209" s="2">
        <v>76190</v>
      </c>
      <c r="K209" s="2">
        <v>77320</v>
      </c>
      <c r="L209" s="2">
        <v>80550</v>
      </c>
      <c r="M209" s="2">
        <v>82030</v>
      </c>
      <c r="N209" s="2">
        <v>80390</v>
      </c>
      <c r="O209" s="2">
        <v>82080</v>
      </c>
      <c r="P209" s="2">
        <v>82400</v>
      </c>
      <c r="Q209" s="2">
        <v>82320</v>
      </c>
      <c r="R209" s="2">
        <v>78200</v>
      </c>
      <c r="S209" s="2">
        <v>77640</v>
      </c>
      <c r="T209" s="2">
        <v>78690</v>
      </c>
      <c r="U209" s="2">
        <v>77000</v>
      </c>
      <c r="V209" s="2">
        <v>78160</v>
      </c>
      <c r="W209" s="2">
        <v>78890</v>
      </c>
      <c r="X209" s="2">
        <v>77700</v>
      </c>
      <c r="Y209" s="2">
        <v>77820</v>
      </c>
      <c r="Z209" s="2">
        <v>76250</v>
      </c>
      <c r="AA209" s="2">
        <v>76090</v>
      </c>
      <c r="AB209" s="2">
        <v>76740</v>
      </c>
      <c r="AC209" s="2">
        <v>73460</v>
      </c>
      <c r="AD209" s="2">
        <v>71660</v>
      </c>
      <c r="AE209" s="2">
        <v>73890</v>
      </c>
      <c r="AF209" s="2">
        <v>75030</v>
      </c>
      <c r="AG209" s="2">
        <v>78800</v>
      </c>
      <c r="AH209" s="2">
        <v>80870</v>
      </c>
      <c r="AI209" s="2">
        <v>81100</v>
      </c>
      <c r="AJ209" s="2">
        <v>79400</v>
      </c>
      <c r="AK209" s="2">
        <v>81380</v>
      </c>
      <c r="AL209" s="2">
        <v>77000</v>
      </c>
      <c r="AM209" s="2">
        <v>77330</v>
      </c>
      <c r="AN209" s="2">
        <v>79740</v>
      </c>
      <c r="AO209" s="2">
        <v>80220</v>
      </c>
      <c r="AP209" s="2">
        <v>77840</v>
      </c>
      <c r="AQ209" s="2">
        <v>75410</v>
      </c>
      <c r="AR209" s="2">
        <v>76670</v>
      </c>
      <c r="AS209" s="2">
        <v>77190</v>
      </c>
      <c r="AT209" s="2">
        <v>78840</v>
      </c>
      <c r="AU209" s="2">
        <v>79680</v>
      </c>
      <c r="AV209" s="2">
        <v>79830</v>
      </c>
      <c r="AW209" s="2">
        <v>83000</v>
      </c>
      <c r="AX209" s="2">
        <v>83460</v>
      </c>
      <c r="AY209" s="2">
        <v>84170</v>
      </c>
      <c r="AZ209" s="2">
        <v>81720</v>
      </c>
      <c r="BA209" s="2">
        <v>76790</v>
      </c>
      <c r="BB209" s="2">
        <v>73980</v>
      </c>
      <c r="BC209" s="2">
        <v>76100</v>
      </c>
      <c r="BD209" s="2">
        <v>73180</v>
      </c>
      <c r="BE209" s="2">
        <v>64190</v>
      </c>
      <c r="BF209" s="2">
        <v>64700</v>
      </c>
      <c r="BG209" s="2">
        <v>64340</v>
      </c>
      <c r="BH209" s="2">
        <v>64600</v>
      </c>
      <c r="BI209" s="2">
        <v>64360</v>
      </c>
      <c r="BJ209" s="2">
        <v>64150</v>
      </c>
      <c r="BK209" s="2">
        <v>63660</v>
      </c>
      <c r="BL209" s="2">
        <v>62940</v>
      </c>
      <c r="BM209" s="1">
        <v>64100</v>
      </c>
      <c r="BN209" s="1">
        <v>63760</v>
      </c>
      <c r="BO209" s="1">
        <v>62500</v>
      </c>
      <c r="BP209" s="1">
        <v>61960</v>
      </c>
    </row>
    <row r="210" spans="1:68">
      <c r="A210" s="65" t="s">
        <v>411</v>
      </c>
      <c r="B210" s="1" t="s">
        <v>412</v>
      </c>
      <c r="C210" s="57" t="str">
        <f>_xll.RssMarket("6324","高値")</f>
        <v/>
      </c>
      <c r="D210" s="16" t="e">
        <f t="shared" ref="D210:D221" si="7">C210-E210</f>
        <v>#VALUE!</v>
      </c>
      <c r="E210" s="2">
        <v>6910</v>
      </c>
      <c r="F210" s="2">
        <v>7680</v>
      </c>
      <c r="G210" s="2">
        <v>7550</v>
      </c>
      <c r="H210" s="2">
        <v>8070</v>
      </c>
      <c r="I210" s="2">
        <v>8200</v>
      </c>
      <c r="J210" s="2">
        <v>7930</v>
      </c>
      <c r="K210" s="2">
        <v>8090</v>
      </c>
      <c r="L210" s="2">
        <v>8730</v>
      </c>
      <c r="M210" s="2">
        <v>9150</v>
      </c>
      <c r="N210" s="2">
        <v>8840</v>
      </c>
      <c r="O210" s="2">
        <v>8470</v>
      </c>
      <c r="P210" s="2">
        <v>8080</v>
      </c>
      <c r="Q210" s="2">
        <v>7970</v>
      </c>
      <c r="R210" s="2">
        <v>7130</v>
      </c>
      <c r="S210" s="2">
        <v>7910</v>
      </c>
      <c r="T210" s="2">
        <v>8050</v>
      </c>
      <c r="U210" s="2">
        <v>8070</v>
      </c>
      <c r="V210" s="2">
        <v>8750</v>
      </c>
      <c r="W210" s="2">
        <v>8870</v>
      </c>
      <c r="X210" s="2">
        <v>7980</v>
      </c>
      <c r="Y210" s="2">
        <v>8240</v>
      </c>
      <c r="Z210" s="2">
        <v>7890</v>
      </c>
      <c r="AA210" s="2">
        <v>7160</v>
      </c>
      <c r="AB210" s="2">
        <v>6920</v>
      </c>
      <c r="AC210" s="2">
        <v>6890</v>
      </c>
      <c r="AD210" s="2">
        <v>6300</v>
      </c>
      <c r="AE210" s="2">
        <v>6750</v>
      </c>
      <c r="AF210" s="2">
        <v>7440</v>
      </c>
      <c r="AG210" s="2">
        <v>7220</v>
      </c>
      <c r="AH210" s="2">
        <v>7450</v>
      </c>
      <c r="AI210" s="2">
        <v>7720</v>
      </c>
      <c r="AJ210" s="2">
        <v>7560</v>
      </c>
      <c r="AK210" s="2">
        <v>7970</v>
      </c>
      <c r="AL210" s="2">
        <v>7870</v>
      </c>
      <c r="AM210" s="2">
        <v>8400</v>
      </c>
      <c r="AN210" s="2">
        <v>7850</v>
      </c>
      <c r="AO210" s="2">
        <v>7180</v>
      </c>
      <c r="AP210" s="2">
        <v>6590</v>
      </c>
      <c r="AQ210" s="2">
        <v>6050</v>
      </c>
      <c r="AR210" s="2">
        <v>6720</v>
      </c>
      <c r="AS210" s="2">
        <v>7070</v>
      </c>
      <c r="AT210" s="2">
        <v>7380</v>
      </c>
      <c r="AU210" s="2">
        <v>7230</v>
      </c>
      <c r="AV210" s="2">
        <v>7060</v>
      </c>
      <c r="AW210" s="2">
        <v>6750</v>
      </c>
      <c r="AX210" s="2">
        <v>6560</v>
      </c>
      <c r="AY210" s="2">
        <v>6280</v>
      </c>
      <c r="AZ210" s="2">
        <v>5750</v>
      </c>
      <c r="BA210" s="2">
        <v>5290</v>
      </c>
      <c r="BB210" s="2">
        <v>5310</v>
      </c>
      <c r="BC210" s="2">
        <v>4930</v>
      </c>
      <c r="BD210" s="2">
        <v>4895</v>
      </c>
      <c r="BE210" s="2">
        <v>4330</v>
      </c>
      <c r="BF210" s="2">
        <v>4465</v>
      </c>
      <c r="BG210" s="2">
        <v>4425</v>
      </c>
      <c r="BH210" s="2">
        <v>4710</v>
      </c>
      <c r="BI210" s="2">
        <v>4675</v>
      </c>
      <c r="BJ210" s="2">
        <v>4585</v>
      </c>
      <c r="BK210" s="2">
        <v>4815</v>
      </c>
      <c r="BL210" s="2">
        <v>4405</v>
      </c>
      <c r="BM210" s="1">
        <v>4255</v>
      </c>
      <c r="BN210" s="1">
        <v>4225</v>
      </c>
      <c r="BO210" s="1">
        <v>4040</v>
      </c>
      <c r="BP210" s="1">
        <v>4140</v>
      </c>
    </row>
    <row r="211" spans="1:68">
      <c r="A211" s="65" t="s">
        <v>413</v>
      </c>
      <c r="B211" s="1" t="s">
        <v>414</v>
      </c>
      <c r="C211" s="57" t="str">
        <f>_xll.RssMarket("6273","高値")</f>
        <v/>
      </c>
      <c r="D211" s="16" t="e">
        <f t="shared" si="7"/>
        <v>#VALUE!</v>
      </c>
      <c r="E211" s="2">
        <v>72880</v>
      </c>
      <c r="F211" s="2">
        <v>75200</v>
      </c>
      <c r="G211" s="2">
        <v>72950</v>
      </c>
      <c r="H211" s="2">
        <v>76500</v>
      </c>
      <c r="I211" s="2">
        <v>76440</v>
      </c>
      <c r="J211" s="2">
        <v>72500</v>
      </c>
      <c r="K211" s="2">
        <v>72330</v>
      </c>
      <c r="L211" s="2">
        <v>76360</v>
      </c>
      <c r="M211" s="2">
        <v>77260</v>
      </c>
      <c r="N211" s="2">
        <v>76280</v>
      </c>
      <c r="O211" s="2">
        <v>73870</v>
      </c>
      <c r="P211" s="2">
        <v>75690</v>
      </c>
      <c r="Q211" s="2">
        <v>72500</v>
      </c>
      <c r="R211" s="2">
        <v>71780</v>
      </c>
      <c r="S211" s="2">
        <v>73460</v>
      </c>
      <c r="T211" s="2">
        <v>73490</v>
      </c>
      <c r="U211" s="2">
        <v>71290</v>
      </c>
      <c r="V211" s="2">
        <v>74550</v>
      </c>
      <c r="W211" s="2">
        <v>74980</v>
      </c>
      <c r="X211" s="2">
        <v>74660</v>
      </c>
      <c r="Y211" s="2">
        <v>73580</v>
      </c>
      <c r="Z211" s="2">
        <v>72760</v>
      </c>
      <c r="AA211" s="2">
        <v>70480</v>
      </c>
      <c r="AB211" s="2">
        <v>70430</v>
      </c>
      <c r="AC211" s="2">
        <v>67040</v>
      </c>
      <c r="AD211" s="2">
        <v>62270</v>
      </c>
      <c r="AE211" s="2">
        <v>61840</v>
      </c>
      <c r="AF211" s="2">
        <v>62820</v>
      </c>
      <c r="AG211" s="2">
        <v>65540</v>
      </c>
      <c r="AH211" s="2">
        <v>66000</v>
      </c>
      <c r="AI211" s="2">
        <v>66210</v>
      </c>
      <c r="AJ211" s="2">
        <v>65960</v>
      </c>
      <c r="AK211" s="2">
        <v>70050</v>
      </c>
      <c r="AL211" s="2">
        <v>69390</v>
      </c>
      <c r="AM211" s="2">
        <v>68860</v>
      </c>
      <c r="AN211" s="2">
        <v>67120</v>
      </c>
      <c r="AO211" s="2">
        <v>66590</v>
      </c>
      <c r="AP211" s="2">
        <v>66140</v>
      </c>
      <c r="AQ211" s="2">
        <v>65620</v>
      </c>
      <c r="AR211" s="2">
        <v>68310</v>
      </c>
      <c r="AS211" s="2">
        <v>68000</v>
      </c>
      <c r="AT211" s="2">
        <v>74660</v>
      </c>
      <c r="AU211" s="2">
        <v>86800</v>
      </c>
      <c r="AV211" s="2">
        <v>84880</v>
      </c>
      <c r="AW211" s="2">
        <v>85140</v>
      </c>
      <c r="AX211" s="2">
        <v>84580</v>
      </c>
      <c r="AY211" s="2">
        <v>82860</v>
      </c>
      <c r="AZ211" s="2">
        <v>79790</v>
      </c>
      <c r="BA211" s="2">
        <v>77580</v>
      </c>
      <c r="BB211" s="2">
        <v>78670</v>
      </c>
      <c r="BC211" s="2">
        <v>78530</v>
      </c>
      <c r="BD211" s="2">
        <v>78160</v>
      </c>
      <c r="BE211" s="2">
        <v>70920</v>
      </c>
      <c r="BF211" s="2">
        <v>72240</v>
      </c>
      <c r="BG211" s="2">
        <v>71700</v>
      </c>
      <c r="BH211" s="2">
        <v>72180</v>
      </c>
      <c r="BI211" s="2">
        <v>71770</v>
      </c>
      <c r="BJ211" s="2">
        <v>71940</v>
      </c>
      <c r="BK211" s="2">
        <v>72990</v>
      </c>
      <c r="BL211" s="2">
        <v>72520</v>
      </c>
      <c r="BM211" s="1">
        <v>73150</v>
      </c>
      <c r="BN211" s="1">
        <v>72200</v>
      </c>
      <c r="BO211" s="1">
        <v>70500</v>
      </c>
      <c r="BP211" s="1">
        <v>68510</v>
      </c>
    </row>
    <row r="212" spans="1:68">
      <c r="A212" s="65" t="s">
        <v>415</v>
      </c>
      <c r="B212" s="1" t="s">
        <v>416</v>
      </c>
      <c r="C212" s="57" t="str">
        <f>_xll.RssMarket("4502","高値")</f>
        <v/>
      </c>
      <c r="D212" s="16" t="e">
        <f t="shared" si="7"/>
        <v>#VALUE!</v>
      </c>
      <c r="E212" s="2">
        <v>5496</v>
      </c>
      <c r="F212" s="2">
        <v>5325</v>
      </c>
      <c r="G212" s="2">
        <v>5395</v>
      </c>
      <c r="H212" s="2">
        <v>5374</v>
      </c>
      <c r="I212" s="2">
        <v>5397</v>
      </c>
      <c r="J212" s="2">
        <v>5449</v>
      </c>
      <c r="K212" s="2">
        <v>5527</v>
      </c>
      <c r="L212" s="2">
        <v>5480</v>
      </c>
      <c r="M212" s="2">
        <v>5517</v>
      </c>
      <c r="N212" s="2">
        <v>5515</v>
      </c>
      <c r="O212" s="2">
        <v>5275</v>
      </c>
      <c r="P212" s="2">
        <v>5175</v>
      </c>
      <c r="Q212" s="2">
        <v>5205</v>
      </c>
      <c r="R212" s="2">
        <v>5200</v>
      </c>
      <c r="S212" s="2">
        <v>5120</v>
      </c>
      <c r="T212" s="2">
        <v>5100</v>
      </c>
      <c r="U212" s="2">
        <v>5128</v>
      </c>
      <c r="V212" s="2">
        <v>5047</v>
      </c>
      <c r="W212" s="2">
        <v>4975</v>
      </c>
      <c r="X212" s="2">
        <v>4970</v>
      </c>
      <c r="Y212" s="2">
        <v>5038</v>
      </c>
      <c r="Z212" s="2">
        <v>5037</v>
      </c>
      <c r="AA212" s="2">
        <v>5045</v>
      </c>
      <c r="AB212" s="2">
        <v>5158</v>
      </c>
      <c r="AC212" s="2">
        <v>5100</v>
      </c>
      <c r="AD212" s="2">
        <v>5062</v>
      </c>
      <c r="AE212" s="2">
        <v>5086</v>
      </c>
      <c r="AF212" s="2">
        <v>5050</v>
      </c>
      <c r="AG212" s="2">
        <v>4977</v>
      </c>
      <c r="AH212" s="2">
        <v>4880</v>
      </c>
      <c r="AI212" s="2">
        <v>4809</v>
      </c>
      <c r="AJ212" s="2">
        <v>4905</v>
      </c>
      <c r="AK212" s="2">
        <v>5146</v>
      </c>
      <c r="AL212" s="2">
        <v>5182</v>
      </c>
      <c r="AM212" s="2">
        <v>5130</v>
      </c>
      <c r="AN212" s="2">
        <v>5166</v>
      </c>
      <c r="AO212" s="2">
        <v>5206</v>
      </c>
      <c r="AP212" s="2">
        <v>5320</v>
      </c>
      <c r="AQ212" s="2">
        <v>5362</v>
      </c>
      <c r="AR212" s="2">
        <v>5352</v>
      </c>
      <c r="AS212" s="2">
        <v>5309</v>
      </c>
      <c r="AT212" s="2">
        <v>5327</v>
      </c>
      <c r="AU212" s="2">
        <v>5288</v>
      </c>
      <c r="AV212" s="2">
        <v>5234</v>
      </c>
      <c r="AW212" s="2">
        <v>5196</v>
      </c>
      <c r="AX212" s="2">
        <v>5222</v>
      </c>
      <c r="AY212" s="2">
        <v>5339</v>
      </c>
      <c r="AZ212" s="2">
        <v>5338</v>
      </c>
      <c r="BA212" s="2">
        <v>5260</v>
      </c>
      <c r="BB212" s="2">
        <v>5270</v>
      </c>
      <c r="BC212" s="2">
        <v>5295</v>
      </c>
      <c r="BD212" s="2">
        <v>5269</v>
      </c>
      <c r="BE212" s="2">
        <v>5378</v>
      </c>
      <c r="BF212" s="2">
        <v>5336</v>
      </c>
      <c r="BG212" s="2">
        <v>5494</v>
      </c>
      <c r="BH212" s="2">
        <v>5555</v>
      </c>
      <c r="BI212" s="2">
        <v>5626</v>
      </c>
      <c r="BJ212" s="2">
        <v>5660</v>
      </c>
      <c r="BK212" s="2">
        <v>5716</v>
      </c>
      <c r="BL212" s="2">
        <v>5667</v>
      </c>
      <c r="BM212" s="1">
        <v>5685</v>
      </c>
      <c r="BN212" s="1">
        <v>5757</v>
      </c>
      <c r="BO212" s="1">
        <v>5774</v>
      </c>
      <c r="BP212" s="1">
        <v>5936</v>
      </c>
    </row>
    <row r="213" spans="1:68">
      <c r="A213" s="65" t="s">
        <v>417</v>
      </c>
      <c r="B213" s="1" t="s">
        <v>418</v>
      </c>
      <c r="C213" s="57" t="str">
        <f>_xll.RssMarket("4004","高値")</f>
        <v/>
      </c>
      <c r="D213" s="16" t="e">
        <f t="shared" si="7"/>
        <v>#VALUE!</v>
      </c>
      <c r="E213" s="2">
        <v>14480</v>
      </c>
      <c r="F213" s="2">
        <v>16165</v>
      </c>
      <c r="G213" s="2">
        <v>15555</v>
      </c>
      <c r="H213" s="2">
        <v>16620</v>
      </c>
      <c r="I213" s="2">
        <v>16435</v>
      </c>
      <c r="J213" s="2">
        <v>16160</v>
      </c>
      <c r="K213" s="2">
        <v>16100</v>
      </c>
      <c r="L213" s="2">
        <v>16980</v>
      </c>
      <c r="M213" s="2">
        <v>17680</v>
      </c>
      <c r="N213" s="2">
        <v>17615</v>
      </c>
      <c r="O213" s="2">
        <v>18345</v>
      </c>
      <c r="P213" s="2">
        <v>18850</v>
      </c>
      <c r="Q213" s="2">
        <v>18000</v>
      </c>
      <c r="R213" s="2">
        <v>17865</v>
      </c>
      <c r="S213" s="2">
        <v>18060</v>
      </c>
      <c r="T213" s="2">
        <v>18735</v>
      </c>
      <c r="U213" s="2">
        <v>18320</v>
      </c>
      <c r="V213" s="2">
        <v>19825</v>
      </c>
      <c r="W213" s="2">
        <v>19585</v>
      </c>
      <c r="X213" s="2">
        <v>19840</v>
      </c>
      <c r="Y213" s="2">
        <v>19285</v>
      </c>
      <c r="Z213" s="2">
        <v>18535</v>
      </c>
      <c r="AA213" s="2">
        <v>18730</v>
      </c>
      <c r="AB213" s="2">
        <v>18665</v>
      </c>
      <c r="AC213" s="2">
        <v>17790</v>
      </c>
      <c r="AD213" s="2">
        <v>16430</v>
      </c>
      <c r="AE213" s="2">
        <v>16660</v>
      </c>
      <c r="AF213" s="2">
        <v>16415</v>
      </c>
      <c r="AG213" s="2">
        <v>17670</v>
      </c>
      <c r="AH213" s="2">
        <v>18735</v>
      </c>
      <c r="AI213" s="2">
        <v>19450</v>
      </c>
      <c r="AJ213" s="2">
        <v>18620</v>
      </c>
      <c r="AK213" s="2">
        <v>18980</v>
      </c>
      <c r="AL213" s="2">
        <v>19150</v>
      </c>
      <c r="AM213" s="2">
        <v>19945</v>
      </c>
      <c r="AN213" s="2">
        <v>20195</v>
      </c>
      <c r="AO213" s="2">
        <v>18310</v>
      </c>
      <c r="AP213" s="2">
        <v>17485</v>
      </c>
      <c r="AQ213" s="2">
        <v>16630</v>
      </c>
      <c r="AR213" s="2">
        <v>16890</v>
      </c>
      <c r="AS213" s="2">
        <v>17600</v>
      </c>
      <c r="AT213" s="2">
        <v>19000</v>
      </c>
      <c r="AU213" s="2">
        <v>20495</v>
      </c>
      <c r="AV213" s="2">
        <v>18150</v>
      </c>
      <c r="AW213" s="2">
        <v>17925</v>
      </c>
      <c r="AX213" s="2">
        <v>16935</v>
      </c>
      <c r="AY213" s="2">
        <v>16085</v>
      </c>
      <c r="AZ213" s="2">
        <v>15700</v>
      </c>
      <c r="BA213" s="2">
        <v>14410</v>
      </c>
      <c r="BB213" s="2">
        <v>14335</v>
      </c>
      <c r="BC213" s="2">
        <v>14155</v>
      </c>
      <c r="BD213" s="2">
        <v>14160</v>
      </c>
      <c r="BE213" s="2">
        <v>14550</v>
      </c>
      <c r="BF213" s="2">
        <v>14520</v>
      </c>
      <c r="BG213" s="2">
        <v>14530</v>
      </c>
      <c r="BH213" s="2">
        <v>13545</v>
      </c>
      <c r="BI213" s="2">
        <v>12785</v>
      </c>
      <c r="BJ213" s="2">
        <v>13075</v>
      </c>
      <c r="BK213" s="2">
        <v>13315</v>
      </c>
      <c r="BL213" s="2">
        <v>13710</v>
      </c>
      <c r="BM213" s="1">
        <v>13760</v>
      </c>
      <c r="BN213" s="1">
        <v>13310</v>
      </c>
      <c r="BO213" s="1">
        <v>13830</v>
      </c>
      <c r="BP213" s="1">
        <v>13235</v>
      </c>
    </row>
    <row r="214" spans="1:68">
      <c r="A214" s="65" t="s">
        <v>419</v>
      </c>
      <c r="B214" s="1" t="s">
        <v>420</v>
      </c>
      <c r="C214" s="57" t="str">
        <f>_xll.RssMarket("9519","高値")</f>
        <v/>
      </c>
      <c r="D214" s="16" t="e">
        <f t="shared" si="7"/>
        <v>#VALUE!</v>
      </c>
      <c r="E214" s="2">
        <v>1027</v>
      </c>
      <c r="F214" s="2">
        <v>1046</v>
      </c>
      <c r="G214" s="2">
        <v>971</v>
      </c>
      <c r="H214" s="2">
        <v>959</v>
      </c>
      <c r="I214" s="2">
        <v>942</v>
      </c>
      <c r="J214" s="2">
        <v>950</v>
      </c>
      <c r="K214" s="2">
        <v>969</v>
      </c>
      <c r="L214" s="2">
        <v>995</v>
      </c>
      <c r="M214" s="2">
        <v>1024</v>
      </c>
      <c r="N214" s="2">
        <v>1003</v>
      </c>
      <c r="O214" s="2">
        <v>1006</v>
      </c>
      <c r="P214" s="2">
        <v>985</v>
      </c>
      <c r="Q214" s="2">
        <v>1025</v>
      </c>
      <c r="R214" s="2">
        <v>988</v>
      </c>
      <c r="S214" s="2">
        <v>924</v>
      </c>
      <c r="T214" s="2">
        <v>934</v>
      </c>
      <c r="U214" s="2">
        <v>957</v>
      </c>
      <c r="V214" s="2">
        <v>946</v>
      </c>
      <c r="W214" s="2">
        <v>890</v>
      </c>
      <c r="X214" s="2">
        <v>841</v>
      </c>
      <c r="Y214" s="2">
        <v>890</v>
      </c>
      <c r="Z214" s="2">
        <v>893</v>
      </c>
      <c r="AA214" s="2">
        <v>916</v>
      </c>
      <c r="AB214" s="2">
        <v>918</v>
      </c>
      <c r="AC214" s="2">
        <v>915</v>
      </c>
      <c r="AD214" s="2">
        <v>911</v>
      </c>
      <c r="AE214" s="2">
        <v>933</v>
      </c>
      <c r="AF214" s="2">
        <v>1030</v>
      </c>
      <c r="AG214" s="2">
        <v>1043</v>
      </c>
      <c r="AH214" s="2">
        <v>1009</v>
      </c>
      <c r="AI214" s="2">
        <v>1090</v>
      </c>
      <c r="AJ214" s="2">
        <v>1181</v>
      </c>
      <c r="AK214" s="2">
        <v>1346</v>
      </c>
      <c r="AL214" s="2">
        <v>1288</v>
      </c>
      <c r="AM214" s="2">
        <v>1318</v>
      </c>
      <c r="AN214" s="2">
        <v>1395</v>
      </c>
      <c r="AO214" s="2">
        <v>1400</v>
      </c>
      <c r="AP214" s="2">
        <v>1338</v>
      </c>
      <c r="AQ214" s="2">
        <v>1363</v>
      </c>
      <c r="AR214" s="2">
        <v>1388</v>
      </c>
      <c r="AS214" s="2">
        <v>1365</v>
      </c>
      <c r="AT214" s="2">
        <v>1234</v>
      </c>
      <c r="AU214" s="2">
        <v>1262</v>
      </c>
      <c r="AV214" s="2">
        <v>1245</v>
      </c>
      <c r="AW214" s="2">
        <v>1187</v>
      </c>
      <c r="AX214" s="2">
        <v>1144</v>
      </c>
      <c r="AY214" s="2">
        <v>1150</v>
      </c>
      <c r="AZ214" s="2">
        <v>1146</v>
      </c>
      <c r="BA214" s="2">
        <v>1134</v>
      </c>
      <c r="BB214" s="2">
        <v>1085</v>
      </c>
      <c r="BC214" s="2">
        <v>1073</v>
      </c>
      <c r="BD214" s="2">
        <v>1006</v>
      </c>
      <c r="BE214" s="2">
        <v>985</v>
      </c>
      <c r="BF214" s="2">
        <v>1048</v>
      </c>
      <c r="BG214" s="2">
        <v>1060</v>
      </c>
      <c r="BH214" s="2">
        <v>1073</v>
      </c>
      <c r="BI214" s="2">
        <v>1120</v>
      </c>
      <c r="BJ214" s="2">
        <v>1060</v>
      </c>
      <c r="BK214" s="2">
        <v>1023</v>
      </c>
      <c r="BL214" s="2">
        <v>1006</v>
      </c>
      <c r="BM214" s="1">
        <v>1023</v>
      </c>
      <c r="BN214" s="1">
        <v>991</v>
      </c>
      <c r="BO214" s="1">
        <v>950</v>
      </c>
      <c r="BP214" s="1">
        <v>909</v>
      </c>
    </row>
    <row r="215" spans="1:68">
      <c r="A215" s="65" t="s">
        <v>421</v>
      </c>
      <c r="B215" s="1" t="s">
        <v>422</v>
      </c>
      <c r="C215" s="57" t="str">
        <f>_xll.RssMarket("6752","高値")</f>
        <v/>
      </c>
      <c r="D215" s="16" t="e">
        <f t="shared" si="7"/>
        <v>#VALUE!</v>
      </c>
      <c r="E215" s="2">
        <v>4122</v>
      </c>
      <c r="F215" s="2">
        <v>4318</v>
      </c>
      <c r="G215" s="2">
        <v>4305</v>
      </c>
      <c r="H215" s="2">
        <v>4685</v>
      </c>
      <c r="I215" s="2">
        <v>4602</v>
      </c>
      <c r="J215" s="2">
        <v>4587</v>
      </c>
      <c r="K215" s="2">
        <v>4458</v>
      </c>
      <c r="L215" s="2">
        <v>4587</v>
      </c>
      <c r="M215" s="2">
        <v>4659</v>
      </c>
      <c r="N215" s="2">
        <v>4544</v>
      </c>
      <c r="O215" s="2">
        <v>4666</v>
      </c>
      <c r="P215" s="2">
        <v>4770</v>
      </c>
      <c r="Q215" s="2">
        <v>4630</v>
      </c>
      <c r="R215" s="2">
        <v>4500</v>
      </c>
      <c r="S215" s="2">
        <v>4693</v>
      </c>
      <c r="T215" s="2">
        <v>4656</v>
      </c>
      <c r="U215" s="2">
        <v>4581</v>
      </c>
      <c r="V215" s="2">
        <v>4464</v>
      </c>
      <c r="W215" s="2">
        <v>4510</v>
      </c>
      <c r="X215" s="2">
        <v>4449</v>
      </c>
      <c r="Y215" s="2">
        <v>4420</v>
      </c>
      <c r="Z215" s="2">
        <v>4272</v>
      </c>
      <c r="AA215" s="2">
        <v>4144</v>
      </c>
      <c r="AB215" s="2">
        <v>4039</v>
      </c>
      <c r="AC215" s="2">
        <v>3929</v>
      </c>
      <c r="AD215" s="2">
        <v>3799</v>
      </c>
      <c r="AE215" s="2">
        <v>3851</v>
      </c>
      <c r="AF215" s="2">
        <v>3607</v>
      </c>
      <c r="AG215" s="2">
        <v>3805</v>
      </c>
      <c r="AH215" s="2">
        <v>3801</v>
      </c>
      <c r="AI215" s="2">
        <v>3994</v>
      </c>
      <c r="AJ215" s="2">
        <v>3640</v>
      </c>
      <c r="AK215" s="2">
        <v>3774</v>
      </c>
      <c r="AL215" s="2">
        <v>3596</v>
      </c>
      <c r="AM215" s="2">
        <v>3702</v>
      </c>
      <c r="AN215" s="2">
        <v>3615</v>
      </c>
      <c r="AO215" s="2">
        <v>3589</v>
      </c>
      <c r="AP215" s="2">
        <v>3474</v>
      </c>
      <c r="AQ215" s="2">
        <v>3302</v>
      </c>
      <c r="AR215" s="2">
        <v>3418</v>
      </c>
      <c r="AS215" s="2">
        <v>3370</v>
      </c>
      <c r="AT215" s="2">
        <v>3465</v>
      </c>
      <c r="AU215" s="2">
        <v>3460</v>
      </c>
      <c r="AV215" s="2">
        <v>3317</v>
      </c>
      <c r="AW215" s="2">
        <v>3467</v>
      </c>
      <c r="AX215" s="2">
        <v>3359</v>
      </c>
      <c r="AY215" s="2">
        <v>3335</v>
      </c>
      <c r="AZ215" s="2">
        <v>3450</v>
      </c>
      <c r="BA215" s="2">
        <v>3339</v>
      </c>
      <c r="BB215" s="2">
        <v>3203</v>
      </c>
      <c r="BC215" s="2">
        <v>3116</v>
      </c>
      <c r="BD215" s="2">
        <v>3119</v>
      </c>
      <c r="BE215" s="2">
        <v>2905</v>
      </c>
      <c r="BF215" s="2">
        <v>2965</v>
      </c>
      <c r="BG215" s="2">
        <v>3010</v>
      </c>
      <c r="BH215" s="2">
        <v>3082</v>
      </c>
      <c r="BI215" s="2">
        <v>2983</v>
      </c>
      <c r="BJ215" s="2">
        <v>2988</v>
      </c>
      <c r="BK215" s="2">
        <v>3008</v>
      </c>
      <c r="BL215" s="2">
        <v>2950</v>
      </c>
      <c r="BM215" s="1">
        <v>2951.5</v>
      </c>
      <c r="BN215" s="1">
        <v>2917</v>
      </c>
      <c r="BO215" s="1">
        <v>2960</v>
      </c>
      <c r="BP215" s="1">
        <v>2939.5</v>
      </c>
    </row>
    <row r="216" spans="1:68">
      <c r="A216" s="65" t="s">
        <v>423</v>
      </c>
      <c r="B216" s="1" t="s">
        <v>424</v>
      </c>
      <c r="C216" s="57" t="str">
        <f>_xll.RssMarket("6622","高値")</f>
        <v/>
      </c>
      <c r="D216" s="16" t="e">
        <f t="shared" si="7"/>
        <v>#VALUE!</v>
      </c>
      <c r="E216" s="2">
        <v>14770</v>
      </c>
      <c r="F216" s="2">
        <v>15750</v>
      </c>
      <c r="G216" s="2">
        <v>15190</v>
      </c>
      <c r="H216" s="2">
        <v>15830</v>
      </c>
      <c r="I216" s="2">
        <v>15890</v>
      </c>
      <c r="J216" s="2">
        <v>15570</v>
      </c>
      <c r="K216" s="2">
        <v>15500</v>
      </c>
      <c r="L216" s="2">
        <v>17280</v>
      </c>
      <c r="M216" s="2">
        <v>17420</v>
      </c>
      <c r="N216" s="2">
        <v>17000</v>
      </c>
      <c r="O216" s="2">
        <v>17710</v>
      </c>
      <c r="P216" s="2">
        <v>18900</v>
      </c>
      <c r="Q216" s="2">
        <v>18320</v>
      </c>
      <c r="R216" s="2">
        <v>18190</v>
      </c>
      <c r="S216" s="2">
        <v>18920</v>
      </c>
      <c r="T216" s="2">
        <v>19150</v>
      </c>
      <c r="U216" s="2">
        <v>19180</v>
      </c>
      <c r="V216" s="2">
        <v>19620</v>
      </c>
      <c r="W216" s="2">
        <v>19450</v>
      </c>
      <c r="X216" s="2">
        <v>19050</v>
      </c>
      <c r="Y216" s="2">
        <v>18470</v>
      </c>
      <c r="Z216" s="2">
        <v>16830</v>
      </c>
      <c r="AA216" s="2">
        <v>16500</v>
      </c>
      <c r="AB216" s="2">
        <v>16220</v>
      </c>
      <c r="AC216" s="2">
        <v>15320</v>
      </c>
      <c r="AD216" s="2">
        <v>14610</v>
      </c>
      <c r="AE216" s="2">
        <v>15320</v>
      </c>
      <c r="AF216" s="2">
        <v>15470</v>
      </c>
      <c r="AG216" s="2">
        <v>16270</v>
      </c>
      <c r="AH216" s="2">
        <v>15880</v>
      </c>
      <c r="AI216" s="2">
        <v>15870</v>
      </c>
      <c r="AJ216" s="2">
        <v>15740</v>
      </c>
      <c r="AK216" s="2">
        <v>16650</v>
      </c>
      <c r="AL216" s="2">
        <v>16540</v>
      </c>
      <c r="AM216" s="2">
        <v>17720</v>
      </c>
      <c r="AN216" s="2">
        <v>17360</v>
      </c>
      <c r="AO216" s="2">
        <v>16690</v>
      </c>
      <c r="AP216" s="2">
        <v>16040</v>
      </c>
      <c r="AQ216" s="2">
        <v>15530</v>
      </c>
      <c r="AR216" s="2">
        <v>16840</v>
      </c>
      <c r="AS216" s="2">
        <v>17320</v>
      </c>
      <c r="AT216" s="2">
        <v>18180</v>
      </c>
      <c r="AU216" s="2">
        <v>18220</v>
      </c>
      <c r="AV216" s="2">
        <v>19790</v>
      </c>
      <c r="AW216" s="2">
        <v>18140</v>
      </c>
      <c r="AX216" s="2">
        <v>17280</v>
      </c>
      <c r="AY216" s="2">
        <v>17150</v>
      </c>
      <c r="AZ216" s="2">
        <v>16100</v>
      </c>
      <c r="BA216" s="2">
        <v>15710</v>
      </c>
      <c r="BB216" s="2">
        <v>14990</v>
      </c>
      <c r="BC216" s="2">
        <v>14950</v>
      </c>
      <c r="BD216" s="2">
        <v>14040</v>
      </c>
      <c r="BE216" s="2">
        <v>14150</v>
      </c>
      <c r="BF216" s="2">
        <v>14080</v>
      </c>
      <c r="BG216" s="2">
        <v>14210</v>
      </c>
      <c r="BH216" s="2">
        <v>14090</v>
      </c>
      <c r="BI216" s="2">
        <v>14320</v>
      </c>
      <c r="BJ216" s="2">
        <v>14440</v>
      </c>
      <c r="BK216" s="2">
        <v>14830</v>
      </c>
      <c r="BL216" s="2">
        <v>14620</v>
      </c>
      <c r="BM216" s="1">
        <v>14140</v>
      </c>
      <c r="BN216" s="1">
        <v>14060</v>
      </c>
      <c r="BO216" s="1">
        <v>13650</v>
      </c>
      <c r="BP216" s="1">
        <v>13730</v>
      </c>
    </row>
    <row r="217" spans="1:68">
      <c r="A217" s="65" t="s">
        <v>425</v>
      </c>
      <c r="B217" s="1" t="s">
        <v>426</v>
      </c>
      <c r="C217" s="57" t="str">
        <f>_xll.RssMarket("1407","高値")</f>
        <v/>
      </c>
      <c r="D217" s="16" t="e">
        <f t="shared" si="7"/>
        <v>#VALUE!</v>
      </c>
      <c r="E217" s="2">
        <v>2869</v>
      </c>
      <c r="F217" s="2">
        <v>2802</v>
      </c>
      <c r="G217" s="2">
        <v>2327</v>
      </c>
      <c r="H217" s="2">
        <v>2273</v>
      </c>
      <c r="I217" s="2">
        <v>2294</v>
      </c>
      <c r="J217" s="2">
        <v>2318</v>
      </c>
      <c r="K217" s="2">
        <v>2303</v>
      </c>
      <c r="L217" s="2">
        <v>2373</v>
      </c>
      <c r="M217" s="2">
        <v>2413</v>
      </c>
      <c r="N217" s="2">
        <v>2389</v>
      </c>
      <c r="O217" s="2">
        <v>2406</v>
      </c>
      <c r="P217" s="2">
        <v>2423</v>
      </c>
      <c r="Q217" s="2">
        <v>2462</v>
      </c>
      <c r="R217" s="2">
        <v>2465</v>
      </c>
      <c r="S217" s="2">
        <v>2360</v>
      </c>
      <c r="T217" s="2">
        <v>2382</v>
      </c>
      <c r="U217" s="2">
        <v>2478</v>
      </c>
      <c r="V217" s="2">
        <v>2469</v>
      </c>
      <c r="W217" s="2">
        <v>2302</v>
      </c>
      <c r="X217" s="2">
        <v>2325</v>
      </c>
      <c r="Y217" s="2">
        <v>2347</v>
      </c>
      <c r="Z217" s="2">
        <v>2350</v>
      </c>
      <c r="AA217" s="2">
        <v>2357</v>
      </c>
      <c r="AB217" s="2">
        <v>2336</v>
      </c>
      <c r="AC217" s="2">
        <v>2355</v>
      </c>
      <c r="AD217" s="2">
        <v>2348</v>
      </c>
      <c r="AE217" s="2">
        <v>2369</v>
      </c>
      <c r="AF217" s="2">
        <v>2506</v>
      </c>
      <c r="AG217" s="2">
        <v>2491</v>
      </c>
      <c r="AH217" s="2">
        <v>2630</v>
      </c>
      <c r="AI217" s="2">
        <v>2612</v>
      </c>
      <c r="AJ217" s="2">
        <v>2600</v>
      </c>
      <c r="AK217" s="2">
        <v>2928</v>
      </c>
      <c r="AL217" s="2">
        <v>3045</v>
      </c>
      <c r="AM217" s="2">
        <v>3270</v>
      </c>
      <c r="AN217" s="2">
        <v>2992</v>
      </c>
      <c r="AO217" s="2">
        <v>2964</v>
      </c>
      <c r="AP217" s="2">
        <v>3150</v>
      </c>
      <c r="AQ217" s="2">
        <v>3120</v>
      </c>
      <c r="AR217" s="2">
        <v>3085</v>
      </c>
      <c r="AS217" s="2">
        <v>3065</v>
      </c>
      <c r="AT217" s="2">
        <v>3200</v>
      </c>
      <c r="AU217" s="2">
        <v>3185</v>
      </c>
      <c r="AV217" s="2">
        <v>3025</v>
      </c>
      <c r="AW217" s="2">
        <v>3200</v>
      </c>
      <c r="AX217" s="2">
        <v>3230</v>
      </c>
      <c r="AY217" s="2">
        <v>3000</v>
      </c>
      <c r="AZ217" s="2">
        <v>2947</v>
      </c>
      <c r="BA217" s="2">
        <v>3090</v>
      </c>
      <c r="BB217" s="2">
        <v>2915</v>
      </c>
      <c r="BC217" s="2">
        <v>2762</v>
      </c>
      <c r="BD217" s="2">
        <v>2710</v>
      </c>
      <c r="BE217" s="2">
        <v>2598</v>
      </c>
      <c r="BF217" s="2">
        <v>2424</v>
      </c>
      <c r="BG217" s="2">
        <v>2295</v>
      </c>
      <c r="BH217" s="2">
        <v>2357</v>
      </c>
      <c r="BI217" s="2">
        <v>2330</v>
      </c>
      <c r="BJ217" s="2">
        <v>2374</v>
      </c>
      <c r="BK217" s="2">
        <v>2371</v>
      </c>
      <c r="BL217" s="2">
        <v>2163</v>
      </c>
      <c r="BM217" s="1">
        <v>1947</v>
      </c>
      <c r="BN217" s="1">
        <v>1863</v>
      </c>
      <c r="BO217" s="1">
        <v>1920</v>
      </c>
      <c r="BP217" s="1">
        <v>1841</v>
      </c>
    </row>
    <row r="218" spans="1:68">
      <c r="A218" s="65" t="s">
        <v>427</v>
      </c>
      <c r="B218" s="1" t="s">
        <v>428</v>
      </c>
      <c r="C218" s="57" t="str">
        <f>_xll.RssMarket("285A","高値")</f>
        <v/>
      </c>
      <c r="D218" s="16" t="e">
        <f t="shared" si="7"/>
        <v>#VALUE!</v>
      </c>
      <c r="E218" s="2">
        <v>56750</v>
      </c>
      <c r="F218" s="2">
        <v>74940</v>
      </c>
      <c r="G218" s="2">
        <v>70920</v>
      </c>
      <c r="H218" s="2">
        <v>77160</v>
      </c>
      <c r="I218" s="2">
        <v>84050</v>
      </c>
      <c r="J218" s="2">
        <v>79950</v>
      </c>
      <c r="K218" s="2">
        <v>77480</v>
      </c>
      <c r="L218" s="2">
        <v>79470</v>
      </c>
      <c r="M218" s="2">
        <v>84800</v>
      </c>
      <c r="N218" s="2">
        <v>84390</v>
      </c>
      <c r="O218" s="2">
        <v>80990</v>
      </c>
      <c r="P218" s="2">
        <v>93060</v>
      </c>
      <c r="Q218" s="2">
        <v>94880</v>
      </c>
      <c r="R218" s="2">
        <v>93140</v>
      </c>
      <c r="S218" s="2">
        <v>102000</v>
      </c>
      <c r="T218" s="2">
        <v>106150</v>
      </c>
      <c r="U218" s="2">
        <v>98190</v>
      </c>
      <c r="V218" s="2">
        <v>111500</v>
      </c>
      <c r="W218" s="2">
        <v>112700</v>
      </c>
      <c r="X218" s="2">
        <v>108600</v>
      </c>
      <c r="Y218" s="2">
        <v>99500</v>
      </c>
      <c r="Z218" s="2">
        <v>96400</v>
      </c>
      <c r="AA218" s="2">
        <v>97610</v>
      </c>
      <c r="AB218" s="2">
        <v>90990</v>
      </c>
      <c r="AC218" s="2">
        <v>83140</v>
      </c>
      <c r="AD218" s="2">
        <v>77360</v>
      </c>
      <c r="AE218" s="2">
        <v>75680</v>
      </c>
      <c r="AF218" s="2">
        <v>74500</v>
      </c>
      <c r="AG218" s="2">
        <v>78840</v>
      </c>
      <c r="AH218" s="2">
        <v>79830</v>
      </c>
      <c r="AI218" s="2">
        <v>83140</v>
      </c>
      <c r="AJ218" s="2">
        <v>77540</v>
      </c>
      <c r="AK218" s="2">
        <v>65850</v>
      </c>
      <c r="AL218" s="2">
        <v>61840</v>
      </c>
      <c r="AM218" s="2">
        <v>67340</v>
      </c>
      <c r="AN218" s="2">
        <v>65790</v>
      </c>
      <c r="AO218" s="2">
        <v>58880</v>
      </c>
      <c r="AP218" s="2">
        <v>59420</v>
      </c>
      <c r="AQ218" s="2">
        <v>51450</v>
      </c>
      <c r="AR218" s="2">
        <v>52590</v>
      </c>
      <c r="AS218" s="2">
        <v>51450</v>
      </c>
      <c r="AT218" s="2">
        <v>48470</v>
      </c>
      <c r="AU218" s="2">
        <v>53490</v>
      </c>
      <c r="AV218" s="2">
        <v>50670</v>
      </c>
      <c r="AW218" s="2">
        <v>47180</v>
      </c>
      <c r="AX218" s="2">
        <v>49430</v>
      </c>
      <c r="AY218" s="2">
        <v>45550</v>
      </c>
      <c r="AZ218" s="2">
        <v>43410</v>
      </c>
      <c r="BA218" s="2">
        <v>36990</v>
      </c>
      <c r="BB218" s="2">
        <v>38270</v>
      </c>
      <c r="BC218" s="2">
        <v>37430</v>
      </c>
      <c r="BD218" s="2">
        <v>36440</v>
      </c>
      <c r="BE218" s="2">
        <v>35600</v>
      </c>
      <c r="BF218" s="2">
        <v>36680</v>
      </c>
      <c r="BG218" s="2">
        <v>35080</v>
      </c>
      <c r="BH218" s="2">
        <v>32880</v>
      </c>
      <c r="BI218" s="2">
        <v>31730</v>
      </c>
      <c r="BJ218" s="2">
        <v>33480</v>
      </c>
      <c r="BK218" s="2">
        <v>33950</v>
      </c>
      <c r="BL218" s="2">
        <v>35150</v>
      </c>
      <c r="BM218" s="1">
        <v>36870</v>
      </c>
      <c r="BN218" s="1">
        <v>31380</v>
      </c>
      <c r="BO218" s="1">
        <v>30490</v>
      </c>
      <c r="BP218" s="1">
        <v>28215</v>
      </c>
    </row>
    <row r="219" spans="1:68">
      <c r="A219" s="65" t="s">
        <v>429</v>
      </c>
      <c r="B219" s="1" t="s">
        <v>430</v>
      </c>
      <c r="C219" s="57" t="str">
        <f>_xll.RssMarket("141A","高値")</f>
        <v/>
      </c>
      <c r="D219" s="16" t="e">
        <f t="shared" si="7"/>
        <v>#VALUE!</v>
      </c>
      <c r="E219" s="2">
        <v>3115</v>
      </c>
      <c r="F219" s="2">
        <v>3060</v>
      </c>
      <c r="G219" s="2">
        <v>3165</v>
      </c>
      <c r="H219" s="2">
        <v>3065</v>
      </c>
      <c r="I219" s="2">
        <v>3100</v>
      </c>
      <c r="J219" s="2">
        <v>3115</v>
      </c>
      <c r="K219" s="2">
        <v>3120</v>
      </c>
      <c r="L219" s="2">
        <v>3215</v>
      </c>
      <c r="M219" s="2">
        <v>3120</v>
      </c>
      <c r="N219" s="2">
        <v>3145</v>
      </c>
      <c r="O219" s="2">
        <v>3065</v>
      </c>
      <c r="P219" s="2">
        <v>3015</v>
      </c>
      <c r="Q219" s="2">
        <v>3200</v>
      </c>
      <c r="R219" s="2">
        <v>3100</v>
      </c>
      <c r="S219" s="2">
        <v>3085</v>
      </c>
      <c r="T219" s="2">
        <v>3225</v>
      </c>
      <c r="U219" s="2">
        <v>3060</v>
      </c>
      <c r="V219" s="2">
        <v>2825</v>
      </c>
      <c r="W219" s="2">
        <v>2775</v>
      </c>
      <c r="X219" s="2">
        <v>2806</v>
      </c>
      <c r="Y219" s="2">
        <v>2805</v>
      </c>
      <c r="Z219" s="2">
        <v>2850</v>
      </c>
      <c r="AA219" s="2">
        <v>2865</v>
      </c>
      <c r="AB219" s="2">
        <v>2873</v>
      </c>
      <c r="AC219" s="2">
        <v>2937</v>
      </c>
      <c r="AD219" s="2">
        <v>2925</v>
      </c>
      <c r="AE219" s="2">
        <v>2841</v>
      </c>
      <c r="AF219" s="2">
        <v>2873</v>
      </c>
      <c r="AG219" s="2">
        <v>2849</v>
      </c>
      <c r="AH219" s="2">
        <v>2792</v>
      </c>
      <c r="AI219" s="2">
        <v>2734</v>
      </c>
      <c r="AJ219" s="2">
        <v>2645</v>
      </c>
      <c r="AK219" s="2">
        <v>2965</v>
      </c>
      <c r="AL219" s="2">
        <v>3015</v>
      </c>
      <c r="AM219" s="2">
        <v>2913</v>
      </c>
      <c r="AN219" s="2">
        <v>3075</v>
      </c>
      <c r="AO219" s="2">
        <v>3060</v>
      </c>
      <c r="AP219" s="2">
        <v>3145</v>
      </c>
      <c r="AQ219" s="2">
        <v>3270</v>
      </c>
      <c r="AR219" s="2">
        <v>3195</v>
      </c>
      <c r="AS219" s="2">
        <v>3505</v>
      </c>
      <c r="AT219" s="2">
        <v>3735</v>
      </c>
      <c r="AU219" s="2">
        <v>4465</v>
      </c>
      <c r="AV219" s="2">
        <v>4460</v>
      </c>
      <c r="AW219" s="2">
        <v>4410</v>
      </c>
      <c r="AX219" s="2">
        <v>4290</v>
      </c>
      <c r="AY219" s="2">
        <v>4315</v>
      </c>
      <c r="AZ219" s="2">
        <v>4225</v>
      </c>
      <c r="BA219" s="2">
        <v>3995</v>
      </c>
      <c r="BB219" s="2">
        <v>4055</v>
      </c>
      <c r="BC219" s="2">
        <v>4050</v>
      </c>
      <c r="BD219" s="2">
        <v>4010</v>
      </c>
      <c r="BE219" s="2">
        <v>4215</v>
      </c>
      <c r="BF219" s="2">
        <v>4400</v>
      </c>
      <c r="BG219" s="2">
        <v>4790</v>
      </c>
      <c r="BH219" s="2">
        <v>4785</v>
      </c>
      <c r="BI219" s="2">
        <v>4655</v>
      </c>
      <c r="BJ219" s="2">
        <v>4555</v>
      </c>
      <c r="BK219" s="2">
        <v>4495</v>
      </c>
      <c r="BL219" s="2">
        <v>4445</v>
      </c>
      <c r="BM219" s="1">
        <v>4285</v>
      </c>
      <c r="BN219" s="1">
        <v>4385</v>
      </c>
      <c r="BO219" s="1">
        <v>4725</v>
      </c>
      <c r="BP219" s="1">
        <v>4670</v>
      </c>
    </row>
    <row r="220" spans="1:68">
      <c r="A220" s="65" t="s">
        <v>431</v>
      </c>
      <c r="B220" s="1" t="s">
        <v>432</v>
      </c>
      <c r="C220" s="57" t="str">
        <f>_xll.RssMarket("464A","高値")</f>
        <v/>
      </c>
      <c r="D220" s="16" t="e">
        <f t="shared" si="7"/>
        <v>#VALUE!</v>
      </c>
      <c r="E220" s="2">
        <v>1664</v>
      </c>
      <c r="F220" s="2">
        <v>1906</v>
      </c>
      <c r="G220" s="2">
        <v>1849</v>
      </c>
      <c r="H220" s="2">
        <v>1941</v>
      </c>
      <c r="I220" s="2">
        <v>1875</v>
      </c>
      <c r="J220" s="2">
        <v>1842</v>
      </c>
      <c r="K220" s="2">
        <v>1890</v>
      </c>
      <c r="L220" s="2">
        <v>2021</v>
      </c>
      <c r="M220" s="2">
        <v>2137</v>
      </c>
      <c r="N220" s="2">
        <v>2104</v>
      </c>
      <c r="O220" s="2">
        <v>2112</v>
      </c>
      <c r="P220" s="2">
        <v>1948</v>
      </c>
      <c r="Q220" s="2">
        <v>1997</v>
      </c>
      <c r="R220" s="2">
        <v>1938</v>
      </c>
      <c r="S220" s="2">
        <v>1980</v>
      </c>
      <c r="T220" s="2">
        <v>2024</v>
      </c>
      <c r="U220" s="2">
        <v>2055</v>
      </c>
      <c r="V220" s="2">
        <v>2232</v>
      </c>
      <c r="W220" s="2">
        <v>2333</v>
      </c>
      <c r="X220" s="2">
        <v>2242</v>
      </c>
      <c r="Y220" s="2">
        <v>2336</v>
      </c>
      <c r="Z220" s="2">
        <v>2430</v>
      </c>
      <c r="AA220" s="2">
        <v>2424</v>
      </c>
      <c r="AB220" s="2">
        <v>2749</v>
      </c>
      <c r="AC220" s="2">
        <v>2839</v>
      </c>
      <c r="AD220" s="2">
        <v>2629</v>
      </c>
      <c r="AE220" s="2">
        <v>2630</v>
      </c>
      <c r="AF220" s="2">
        <v>2923</v>
      </c>
      <c r="AG220" s="2">
        <v>3165</v>
      </c>
      <c r="AH220" s="2">
        <v>2783</v>
      </c>
      <c r="AI220" s="2">
        <v>3160</v>
      </c>
      <c r="AJ220" s="2">
        <v>3185</v>
      </c>
      <c r="AK220" s="2">
        <v>4485</v>
      </c>
      <c r="AL220" s="2">
        <v>4460</v>
      </c>
      <c r="AM220" s="2">
        <v>4475</v>
      </c>
      <c r="AN220" s="2">
        <v>4060</v>
      </c>
      <c r="AO220" s="2">
        <v>3850</v>
      </c>
      <c r="AP220" s="2">
        <v>3505</v>
      </c>
      <c r="AQ220" s="2">
        <v>3510</v>
      </c>
      <c r="AR220" s="2">
        <v>3680</v>
      </c>
      <c r="AS220" s="2">
        <v>3350</v>
      </c>
      <c r="AT220" s="2">
        <v>3485</v>
      </c>
      <c r="AU220" s="2">
        <v>3440</v>
      </c>
      <c r="AV220" s="2">
        <v>3145</v>
      </c>
      <c r="AW220" s="2">
        <v>3070</v>
      </c>
      <c r="AX220" s="2">
        <v>3065</v>
      </c>
      <c r="AY220" s="2">
        <v>2840</v>
      </c>
      <c r="AZ220" s="2">
        <v>2708</v>
      </c>
      <c r="BA220" s="2">
        <v>2596</v>
      </c>
      <c r="BB220" s="2">
        <v>2604</v>
      </c>
      <c r="BC220" s="2">
        <v>2564</v>
      </c>
      <c r="BD220" s="2">
        <v>2616</v>
      </c>
      <c r="BE220" s="2">
        <v>2630</v>
      </c>
      <c r="BF220" s="2">
        <v>2726</v>
      </c>
      <c r="BG220" s="2">
        <v>2793</v>
      </c>
      <c r="BH220" s="2">
        <v>2771</v>
      </c>
      <c r="BI220" s="2">
        <v>2740</v>
      </c>
      <c r="BJ220" s="2">
        <v>2714</v>
      </c>
      <c r="BK220" s="2">
        <v>2644</v>
      </c>
      <c r="BL220" s="2">
        <v>2745</v>
      </c>
      <c r="BM220" s="1">
        <v>2780</v>
      </c>
      <c r="BN220" s="1">
        <v>2839</v>
      </c>
      <c r="BO220" s="1">
        <v>2854</v>
      </c>
      <c r="BP220" s="1">
        <v>2685</v>
      </c>
    </row>
    <row r="221" spans="1:68">
      <c r="A221" s="65" t="s">
        <v>433</v>
      </c>
      <c r="B221" s="1" t="s">
        <v>434</v>
      </c>
      <c r="C221" s="57" t="str">
        <f>_xll.RssMarket("485A","高値")</f>
        <v/>
      </c>
      <c r="D221" s="16" t="e">
        <f t="shared" si="7"/>
        <v>#VALUE!</v>
      </c>
      <c r="E221" s="2">
        <v>2015</v>
      </c>
      <c r="F221" s="2">
        <v>2175</v>
      </c>
      <c r="G221" s="2">
        <v>1880</v>
      </c>
      <c r="H221" s="2">
        <v>2035</v>
      </c>
      <c r="I221" s="2">
        <v>2019</v>
      </c>
      <c r="J221" s="2">
        <v>2043</v>
      </c>
      <c r="K221" s="2">
        <v>1937</v>
      </c>
      <c r="L221" s="2">
        <v>2116</v>
      </c>
      <c r="M221" s="2">
        <v>2110</v>
      </c>
      <c r="N221" s="2">
        <v>2011</v>
      </c>
      <c r="O221" s="2">
        <v>1907</v>
      </c>
      <c r="P221" s="2">
        <v>1890</v>
      </c>
      <c r="Q221" s="2">
        <v>1968</v>
      </c>
      <c r="R221" s="2">
        <v>2008</v>
      </c>
      <c r="S221" s="2">
        <v>2126</v>
      </c>
      <c r="T221" s="2">
        <v>2204</v>
      </c>
      <c r="U221" s="2">
        <v>2255</v>
      </c>
      <c r="V221" s="2">
        <v>2561</v>
      </c>
      <c r="W221" s="2">
        <v>2200</v>
      </c>
      <c r="X221" s="2">
        <v>2061</v>
      </c>
      <c r="Y221" s="2">
        <v>2208</v>
      </c>
      <c r="Z221" s="2">
        <v>2488</v>
      </c>
      <c r="AA221" s="2">
        <v>2869</v>
      </c>
      <c r="AB221" s="2">
        <v>2677</v>
      </c>
      <c r="AC221" s="2">
        <v>2730</v>
      </c>
      <c r="AD221" s="2">
        <v>2693</v>
      </c>
      <c r="AE221" s="2">
        <v>2439</v>
      </c>
      <c r="AF221" s="2">
        <v>2934</v>
      </c>
      <c r="AG221" s="2">
        <v>2980</v>
      </c>
      <c r="AH221" s="2">
        <v>3870</v>
      </c>
      <c r="AI221" s="2">
        <v>3635</v>
      </c>
      <c r="AJ221" s="2">
        <v>3500</v>
      </c>
      <c r="AK221" s="2">
        <v>4490</v>
      </c>
      <c r="AL221" s="2">
        <v>4980</v>
      </c>
      <c r="AM221" s="2">
        <v>14260</v>
      </c>
      <c r="AN221" s="2">
        <v>14850</v>
      </c>
      <c r="AO221" s="2">
        <v>13790</v>
      </c>
      <c r="AP221" s="2">
        <v>14300</v>
      </c>
      <c r="AQ221" s="2">
        <v>14490</v>
      </c>
      <c r="AR221" s="2">
        <v>16280</v>
      </c>
      <c r="AS221" s="2">
        <v>15320</v>
      </c>
      <c r="AT221" s="2">
        <v>14540</v>
      </c>
      <c r="AU221" s="2">
        <v>13730</v>
      </c>
      <c r="AV221" s="2">
        <v>13260</v>
      </c>
      <c r="AW221" s="2">
        <v>15570</v>
      </c>
      <c r="AX221" s="2">
        <v>16730</v>
      </c>
      <c r="AY221" s="2">
        <v>14090</v>
      </c>
      <c r="AZ221" s="2">
        <v>11400</v>
      </c>
      <c r="BA221" s="2">
        <v>11680</v>
      </c>
      <c r="BB221" s="2">
        <v>10850</v>
      </c>
      <c r="BC221" s="2">
        <v>10030</v>
      </c>
      <c r="BD221" s="2">
        <v>9240</v>
      </c>
      <c r="BE221" s="2">
        <v>7970</v>
      </c>
      <c r="BF221" s="2">
        <v>7850</v>
      </c>
      <c r="BG221" s="2">
        <v>7690</v>
      </c>
      <c r="BH221" s="2">
        <v>7180</v>
      </c>
      <c r="BI221" s="2">
        <v>6940</v>
      </c>
      <c r="BJ221" s="2">
        <v>7420</v>
      </c>
      <c r="BK221" s="2">
        <v>7490</v>
      </c>
      <c r="BL221" s="2">
        <v>7200</v>
      </c>
      <c r="BM221" s="1">
        <v>7340</v>
      </c>
      <c r="BN221" s="1">
        <v>7820</v>
      </c>
      <c r="BO221" s="1">
        <v>7700</v>
      </c>
      <c r="BP221" s="1">
        <v>7100</v>
      </c>
    </row>
    <row r="222" spans="1:68">
      <c r="A222" s="65" t="s">
        <v>435</v>
      </c>
      <c r="B222" s="1" t="str">
        <f>銘柄管理!C222</f>
        <v/>
      </c>
      <c r="C222" s="57" t="str">
        <f>_xll.RssMarket("1570","高値")</f>
        <v/>
      </c>
      <c r="D222" s="16"/>
      <c r="E222" s="2">
        <v>69330</v>
      </c>
      <c r="F222" s="2">
        <v>76120</v>
      </c>
      <c r="G222" s="2">
        <v>73960</v>
      </c>
      <c r="H222" s="2">
        <v>76830</v>
      </c>
      <c r="I222" s="2">
        <v>77470</v>
      </c>
      <c r="J222" s="2">
        <v>75500</v>
      </c>
      <c r="K222" s="2">
        <v>75530</v>
      </c>
      <c r="L222" s="2">
        <v>78980</v>
      </c>
      <c r="M222" s="2">
        <v>79930</v>
      </c>
      <c r="N222" s="2">
        <v>78680</v>
      </c>
      <c r="O222" s="2">
        <v>78920</v>
      </c>
      <c r="P222" s="2">
        <v>83580</v>
      </c>
      <c r="Q222" s="2">
        <v>80640</v>
      </c>
      <c r="R222" s="2">
        <v>78520</v>
      </c>
      <c r="S222" s="2">
        <v>82250</v>
      </c>
      <c r="T222" s="2">
        <v>85200</v>
      </c>
      <c r="U222" s="2">
        <v>79920</v>
      </c>
      <c r="V222" s="2">
        <v>85870</v>
      </c>
      <c r="W222" s="2">
        <v>86380</v>
      </c>
      <c r="X222" s="2">
        <v>84370</v>
      </c>
      <c r="Y222" s="2">
        <v>82770</v>
      </c>
      <c r="Z222" s="2">
        <v>79880</v>
      </c>
      <c r="AA222" s="2">
        <v>79600</v>
      </c>
      <c r="AB222" s="2">
        <v>78840</v>
      </c>
      <c r="AC222" s="2">
        <v>73130</v>
      </c>
      <c r="AD222" s="2">
        <v>67630</v>
      </c>
      <c r="AE222" s="2">
        <v>69190</v>
      </c>
      <c r="AF222" s="2">
        <v>68570</v>
      </c>
      <c r="AG222" s="2">
        <v>73450</v>
      </c>
      <c r="AH222" s="2">
        <v>75470</v>
      </c>
      <c r="AI222" s="2">
        <v>77440</v>
      </c>
      <c r="AJ222" s="2">
        <v>73930</v>
      </c>
      <c r="AK222" s="2">
        <v>72510</v>
      </c>
      <c r="AL222" s="2">
        <v>69710</v>
      </c>
      <c r="AM222" s="2">
        <v>72490</v>
      </c>
      <c r="AN222" s="2">
        <v>70160</v>
      </c>
      <c r="AO222" s="2">
        <v>66050</v>
      </c>
      <c r="AP222" s="2">
        <v>63230</v>
      </c>
      <c r="AQ222" s="2">
        <v>60220</v>
      </c>
      <c r="AR222" s="2">
        <v>62230</v>
      </c>
      <c r="AS222" s="2">
        <v>62900</v>
      </c>
      <c r="AT222" s="2">
        <v>65900</v>
      </c>
      <c r="AU222" s="2">
        <v>67090</v>
      </c>
      <c r="AV222" s="2">
        <v>66140</v>
      </c>
      <c r="AW222" s="2">
        <v>65870</v>
      </c>
      <c r="AX222" s="2">
        <v>66320</v>
      </c>
      <c r="AY222" s="2">
        <v>64950</v>
      </c>
      <c r="AZ222" s="2">
        <v>65900</v>
      </c>
      <c r="BA222" s="2">
        <v>59010</v>
      </c>
      <c r="BB222" s="2">
        <v>58630</v>
      </c>
      <c r="BC222" s="2">
        <v>60560</v>
      </c>
      <c r="BD222" s="2">
        <v>61420</v>
      </c>
      <c r="BE222" s="2">
        <v>59150</v>
      </c>
      <c r="BF222" s="2">
        <v>60050</v>
      </c>
      <c r="BG222" s="2">
        <v>59090</v>
      </c>
      <c r="BH222" s="2">
        <v>58930</v>
      </c>
      <c r="BI222" s="2">
        <v>58080</v>
      </c>
      <c r="BJ222" s="2">
        <v>58580</v>
      </c>
      <c r="BK222" s="2">
        <v>59150</v>
      </c>
      <c r="BL222" s="2">
        <v>57000</v>
      </c>
      <c r="BM222" s="1">
        <v>55860</v>
      </c>
      <c r="BN222" s="1">
        <v>53580</v>
      </c>
      <c r="BO222" s="1">
        <v>54020</v>
      </c>
      <c r="BP222" s="1">
        <v>52980</v>
      </c>
    </row>
    <row r="223" spans="1:68">
      <c r="A223" s="65" t="s">
        <v>436</v>
      </c>
      <c r="B223" s="1" t="str">
        <f>銘柄管理!C223</f>
        <v/>
      </c>
      <c r="C223" s="57" t="str">
        <f>_xll.RssMarket("6135","高値")</f>
        <v/>
      </c>
      <c r="D223" s="16"/>
      <c r="E223" s="2">
        <v>14540</v>
      </c>
      <c r="F223" s="1">
        <v>14930</v>
      </c>
      <c r="G223" s="1">
        <v>14830</v>
      </c>
      <c r="H223" s="1">
        <v>15050</v>
      </c>
      <c r="I223" s="1">
        <v>15070</v>
      </c>
      <c r="J223" s="1">
        <v>14810</v>
      </c>
      <c r="K223" s="1">
        <v>14860</v>
      </c>
      <c r="L223" s="1">
        <v>15110</v>
      </c>
      <c r="M223" s="1">
        <v>15410</v>
      </c>
      <c r="N223" s="1">
        <v>15390</v>
      </c>
      <c r="O223" s="1">
        <v>15400</v>
      </c>
      <c r="P223" s="1">
        <v>15480</v>
      </c>
      <c r="Q223" s="1">
        <v>15220</v>
      </c>
      <c r="R223" s="1">
        <v>15310</v>
      </c>
      <c r="S223" s="1">
        <v>15590</v>
      </c>
      <c r="T223" s="1">
        <v>15940</v>
      </c>
      <c r="U223" s="1">
        <v>14480</v>
      </c>
      <c r="V223" s="1">
        <v>14650</v>
      </c>
      <c r="W223" s="1">
        <v>14760</v>
      </c>
      <c r="X223" s="1">
        <v>14680</v>
      </c>
      <c r="Y223" s="1">
        <v>14410</v>
      </c>
      <c r="Z223" s="1">
        <v>14480</v>
      </c>
      <c r="AA223" s="1">
        <v>14430</v>
      </c>
      <c r="AB223" s="1">
        <v>14400</v>
      </c>
      <c r="AC223" s="1">
        <v>14320</v>
      </c>
      <c r="AD223" s="1">
        <v>14410</v>
      </c>
      <c r="AE223" s="1">
        <v>14950</v>
      </c>
      <c r="AF223" s="1">
        <v>14250</v>
      </c>
      <c r="AG223" s="1">
        <v>14630</v>
      </c>
      <c r="AH223" s="1">
        <v>14180</v>
      </c>
      <c r="AI223" s="1">
        <v>14080</v>
      </c>
      <c r="AJ223" s="1">
        <v>14100</v>
      </c>
      <c r="AK223" s="1">
        <v>13570</v>
      </c>
      <c r="AL223" s="1">
        <v>13280</v>
      </c>
      <c r="AM223" s="1">
        <v>13310</v>
      </c>
      <c r="AN223" s="1">
        <v>13750</v>
      </c>
      <c r="AO223" s="1">
        <v>13240</v>
      </c>
      <c r="AP223" s="1">
        <v>13370</v>
      </c>
      <c r="AQ223" s="1">
        <v>13750</v>
      </c>
      <c r="AR223" s="1">
        <v>13850</v>
      </c>
      <c r="AS223" s="1">
        <v>13970</v>
      </c>
      <c r="AT223" s="1">
        <v>14100</v>
      </c>
      <c r="AU223" s="1">
        <v>14160</v>
      </c>
      <c r="AV223" s="1">
        <v>13780</v>
      </c>
      <c r="AW223" s="1">
        <v>13770</v>
      </c>
      <c r="AX223" s="1">
        <v>13820</v>
      </c>
      <c r="AY223" s="1">
        <v>14030</v>
      </c>
      <c r="AZ223" s="1">
        <v>14170</v>
      </c>
      <c r="BA223" s="1">
        <v>12710</v>
      </c>
      <c r="BB223" s="1">
        <v>11940</v>
      </c>
      <c r="BC223" s="1">
        <v>11800</v>
      </c>
      <c r="BD223" s="1">
        <v>11840</v>
      </c>
      <c r="BE223" s="1">
        <v>11880</v>
      </c>
      <c r="BF223" s="1">
        <v>10870</v>
      </c>
      <c r="BG223" s="1">
        <v>11630</v>
      </c>
      <c r="BH223" s="1">
        <v>11630</v>
      </c>
      <c r="BI223" s="1">
        <v>11640</v>
      </c>
      <c r="BJ223" s="1">
        <v>11630</v>
      </c>
      <c r="BK223" s="1">
        <v>11610</v>
      </c>
      <c r="BL223" s="1">
        <v>11650</v>
      </c>
      <c r="BM223" s="1">
        <v>11610</v>
      </c>
      <c r="BN223" s="1">
        <v>11590</v>
      </c>
      <c r="BO223" s="1">
        <v>11630</v>
      </c>
      <c r="BP223" s="1">
        <v>11610</v>
      </c>
    </row>
    <row r="224" spans="1:68">
      <c r="A224" s="65" t="s">
        <v>437</v>
      </c>
      <c r="B224" s="1" t="str">
        <f>銘柄管理!C224</f>
        <v/>
      </c>
      <c r="C224" s="57" t="str">
        <f>_xll.RssMarket("6055","高値")</f>
        <v/>
      </c>
      <c r="D224" s="16"/>
      <c r="E224" s="2">
        <v>2354</v>
      </c>
      <c r="F224" s="1">
        <v>2618</v>
      </c>
      <c r="G224" s="1">
        <v>2596</v>
      </c>
      <c r="H224" s="1">
        <v>2690</v>
      </c>
      <c r="I224" s="1">
        <v>2710</v>
      </c>
      <c r="J224" s="1">
        <v>2621</v>
      </c>
      <c r="K224" s="1">
        <v>2586</v>
      </c>
      <c r="L224" s="1">
        <v>2739</v>
      </c>
      <c r="M224" s="1">
        <v>2514</v>
      </c>
      <c r="N224" s="1">
        <v>2508</v>
      </c>
      <c r="O224" s="1">
        <v>2588</v>
      </c>
      <c r="P224" s="1">
        <v>2770</v>
      </c>
      <c r="Q224" s="1">
        <v>2658</v>
      </c>
      <c r="R224" s="1">
        <v>2657</v>
      </c>
      <c r="S224" s="1">
        <v>2723</v>
      </c>
      <c r="T224" s="1">
        <v>2736</v>
      </c>
      <c r="U224" s="1">
        <v>2677</v>
      </c>
      <c r="V224" s="1">
        <v>2712</v>
      </c>
      <c r="W224" s="1">
        <v>2697</v>
      </c>
      <c r="X224" s="1">
        <v>2496</v>
      </c>
      <c r="Y224" s="1">
        <v>2495</v>
      </c>
      <c r="Z224" s="1">
        <v>2416</v>
      </c>
      <c r="AA224" s="1">
        <v>2486</v>
      </c>
      <c r="AB224" s="1">
        <v>2470</v>
      </c>
      <c r="AC224" s="1">
        <v>2340</v>
      </c>
      <c r="AD224" s="1">
        <v>2174</v>
      </c>
      <c r="AE224" s="1">
        <v>2230</v>
      </c>
      <c r="AF224" s="1">
        <v>2174</v>
      </c>
      <c r="AG224" s="1">
        <v>2320</v>
      </c>
      <c r="AH224" s="1">
        <v>2425</v>
      </c>
      <c r="AI224" s="1">
        <v>2165</v>
      </c>
      <c r="AJ224" s="1">
        <v>2127</v>
      </c>
      <c r="AK224" s="1">
        <v>2099</v>
      </c>
      <c r="AL224" s="1">
        <v>2093</v>
      </c>
      <c r="AM224" s="1">
        <v>2182</v>
      </c>
      <c r="AN224" s="1">
        <v>2156</v>
      </c>
      <c r="AO224" s="1">
        <v>2060</v>
      </c>
      <c r="AP224" s="1">
        <v>2076</v>
      </c>
      <c r="AQ224" s="1">
        <v>1944</v>
      </c>
      <c r="AR224" s="1">
        <v>2123</v>
      </c>
      <c r="AS224" s="1">
        <v>2230</v>
      </c>
      <c r="AT224" s="1">
        <v>2052</v>
      </c>
      <c r="AU224" s="1">
        <v>2244</v>
      </c>
      <c r="AV224" s="1">
        <v>2200</v>
      </c>
      <c r="AW224" s="1">
        <v>2253</v>
      </c>
      <c r="AX224" s="1">
        <v>2099</v>
      </c>
      <c r="AY224" s="1">
        <v>1988</v>
      </c>
      <c r="AZ224" s="1">
        <v>1996</v>
      </c>
      <c r="BA224" s="1">
        <v>1820</v>
      </c>
      <c r="BB224" s="1">
        <v>1819</v>
      </c>
      <c r="BC224" s="1">
        <v>1865</v>
      </c>
      <c r="BD224" s="1">
        <v>1885</v>
      </c>
      <c r="BE224" s="1">
        <v>1826</v>
      </c>
      <c r="BF224" s="1">
        <v>1876</v>
      </c>
      <c r="BG224" s="1">
        <v>1846</v>
      </c>
      <c r="BH224" s="1">
        <v>1888</v>
      </c>
      <c r="BI224" s="1">
        <v>1886</v>
      </c>
      <c r="BJ224" s="1">
        <v>1906</v>
      </c>
      <c r="BK224" s="1">
        <v>1940</v>
      </c>
      <c r="BL224" s="1">
        <v>1946</v>
      </c>
      <c r="BM224" s="1">
        <v>1908</v>
      </c>
      <c r="BN224" s="1">
        <v>1816</v>
      </c>
      <c r="BO224" s="1">
        <v>1833</v>
      </c>
      <c r="BP224" s="1">
        <v>1792</v>
      </c>
    </row>
    <row r="225" spans="1:68">
      <c r="A225" s="65" t="s">
        <v>438</v>
      </c>
      <c r="B225" s="1" t="str">
        <f>銘柄管理!C225</f>
        <v/>
      </c>
      <c r="C225" s="1" t="str">
        <f>_xll.RssMarket("6862","高値")</f>
        <v/>
      </c>
      <c r="E225" s="2">
        <v>1930</v>
      </c>
      <c r="F225" s="1">
        <v>2081</v>
      </c>
      <c r="G225" s="1">
        <v>2021</v>
      </c>
      <c r="H225" s="1">
        <v>2080</v>
      </c>
      <c r="I225" s="1">
        <v>1991</v>
      </c>
      <c r="J225" s="1">
        <v>2047</v>
      </c>
      <c r="K225" s="1">
        <v>2112</v>
      </c>
      <c r="L225" s="1">
        <v>2168</v>
      </c>
      <c r="M225" s="1">
        <v>2139</v>
      </c>
      <c r="N225" s="1">
        <v>2184</v>
      </c>
      <c r="O225" s="1">
        <v>2160</v>
      </c>
      <c r="P225" s="1">
        <v>2220</v>
      </c>
      <c r="Q225" s="1">
        <v>2292</v>
      </c>
      <c r="R225" s="1">
        <v>2462</v>
      </c>
      <c r="S225" s="1">
        <v>2287</v>
      </c>
      <c r="T225" s="1">
        <v>2443</v>
      </c>
      <c r="U225" s="1">
        <v>2635</v>
      </c>
      <c r="V225" s="1">
        <v>2544</v>
      </c>
      <c r="W225" s="1">
        <v>2320</v>
      </c>
      <c r="X225" s="1">
        <v>2259</v>
      </c>
      <c r="Y225" s="1">
        <v>2210</v>
      </c>
      <c r="Z225" s="1">
        <v>2062</v>
      </c>
      <c r="AA225" s="1">
        <v>2018</v>
      </c>
      <c r="AB225" s="1">
        <v>1972</v>
      </c>
      <c r="AC225" s="1">
        <v>2054</v>
      </c>
      <c r="AD225" s="1">
        <v>2149</v>
      </c>
      <c r="AE225" s="1">
        <v>2275</v>
      </c>
      <c r="AF225" s="1">
        <v>2196</v>
      </c>
      <c r="AG225" s="1">
        <v>2306</v>
      </c>
      <c r="AH225" s="1">
        <v>2216</v>
      </c>
      <c r="AI225" s="1">
        <v>2317</v>
      </c>
      <c r="AJ225" s="1">
        <v>2300</v>
      </c>
      <c r="AK225" s="1">
        <v>2549</v>
      </c>
      <c r="AL225" s="1">
        <v>2724</v>
      </c>
      <c r="AM225" s="1">
        <v>2670</v>
      </c>
      <c r="AN225" s="1">
        <v>2530</v>
      </c>
      <c r="AO225" s="1">
        <v>2521</v>
      </c>
      <c r="AP225" s="1">
        <v>2743</v>
      </c>
      <c r="AQ225" s="1">
        <v>2930</v>
      </c>
      <c r="AR225" s="1">
        <v>2947</v>
      </c>
      <c r="AS225" s="1">
        <v>3330</v>
      </c>
      <c r="AT225" s="1">
        <v>2930</v>
      </c>
      <c r="AU225" s="1">
        <v>3820</v>
      </c>
      <c r="AV225" s="1">
        <v>4165</v>
      </c>
      <c r="AW225" s="1">
        <v>3930</v>
      </c>
      <c r="AX225" s="1">
        <v>3760</v>
      </c>
      <c r="AY225" s="1">
        <v>3155</v>
      </c>
      <c r="AZ225" s="1">
        <v>2996</v>
      </c>
      <c r="BA225" s="1">
        <v>2709</v>
      </c>
      <c r="BB225" s="1">
        <v>2818</v>
      </c>
      <c r="BC225" s="1">
        <v>2580</v>
      </c>
      <c r="BD225" s="1">
        <v>2575</v>
      </c>
      <c r="BE225" s="1">
        <v>2560</v>
      </c>
      <c r="BF225" s="1">
        <v>2560</v>
      </c>
      <c r="BG225" s="1">
        <v>2585</v>
      </c>
      <c r="BH225" s="1">
        <v>2497</v>
      </c>
      <c r="BI225" s="1">
        <v>2499</v>
      </c>
      <c r="BJ225" s="1">
        <v>2604</v>
      </c>
      <c r="BK225" s="1">
        <v>2625</v>
      </c>
      <c r="BL225" s="1">
        <v>2385</v>
      </c>
      <c r="BM225" s="1">
        <v>2240</v>
      </c>
      <c r="BN225" s="1">
        <v>2334</v>
      </c>
      <c r="BO225" s="1">
        <v>2359</v>
      </c>
    </row>
    <row r="226" spans="1:68">
      <c r="A226" s="65" t="s">
        <v>439</v>
      </c>
      <c r="B226" s="1" t="str">
        <f>銘柄管理!C226</f>
        <v/>
      </c>
      <c r="C226" s="1" t="str">
        <f>_xll.RssMarket("2267","高値")</f>
        <v/>
      </c>
      <c r="E226" s="2">
        <v>2853.5</v>
      </c>
      <c r="F226" s="1">
        <v>2848.5</v>
      </c>
      <c r="G226" s="1">
        <v>2873</v>
      </c>
      <c r="H226" s="1">
        <v>2883</v>
      </c>
      <c r="I226" s="1">
        <v>2851</v>
      </c>
      <c r="J226" s="1">
        <v>2910</v>
      </c>
      <c r="K226" s="1">
        <v>2933.5</v>
      </c>
      <c r="L226" s="1">
        <v>2912.5</v>
      </c>
      <c r="M226" s="1">
        <v>2910</v>
      </c>
      <c r="N226" s="1">
        <v>2856</v>
      </c>
      <c r="O226" s="1">
        <v>2814</v>
      </c>
      <c r="P226" s="1">
        <v>2741</v>
      </c>
      <c r="Q226" s="1">
        <v>2764</v>
      </c>
      <c r="R226" s="1">
        <v>2777.5</v>
      </c>
      <c r="S226" s="1">
        <v>2777</v>
      </c>
      <c r="T226" s="1">
        <v>2752</v>
      </c>
      <c r="U226" s="1">
        <v>2742.5</v>
      </c>
      <c r="V226" s="1">
        <v>2729</v>
      </c>
      <c r="W226" s="1">
        <v>2719.5</v>
      </c>
      <c r="X226" s="1">
        <v>2711</v>
      </c>
      <c r="Y226" s="1">
        <v>2697.5</v>
      </c>
      <c r="Z226" s="1">
        <v>2664</v>
      </c>
      <c r="AA226" s="1">
        <v>2661</v>
      </c>
      <c r="AB226" s="1">
        <v>2686</v>
      </c>
      <c r="AC226" s="1">
        <v>2712.5</v>
      </c>
      <c r="AD226" s="1">
        <v>2721</v>
      </c>
      <c r="AE226" s="1">
        <v>2717</v>
      </c>
      <c r="AF226" s="1">
        <v>2688</v>
      </c>
      <c r="AG226" s="1">
        <v>2718</v>
      </c>
      <c r="AH226" s="1">
        <v>2709</v>
      </c>
      <c r="AI226" s="1">
        <v>2742</v>
      </c>
      <c r="AJ226" s="1">
        <v>2715</v>
      </c>
      <c r="AK226" s="1">
        <v>2709.5</v>
      </c>
      <c r="AL226" s="1">
        <v>2756.5</v>
      </c>
      <c r="AM226" s="1">
        <v>2733.5</v>
      </c>
      <c r="AN226" s="1">
        <v>2827.5</v>
      </c>
      <c r="AO226" s="1">
        <v>2807</v>
      </c>
      <c r="AP226" s="1">
        <v>2808</v>
      </c>
      <c r="AQ226" s="1">
        <v>2847</v>
      </c>
      <c r="AR226" s="1">
        <v>2820</v>
      </c>
      <c r="AS226" s="1">
        <v>2778.5</v>
      </c>
      <c r="AT226" s="1">
        <v>2783</v>
      </c>
      <c r="AU226" s="1">
        <v>2826.5</v>
      </c>
      <c r="AV226" s="1">
        <v>2818.5</v>
      </c>
      <c r="AW226" s="1">
        <v>2938</v>
      </c>
      <c r="AX226" s="1">
        <v>2916.5</v>
      </c>
      <c r="AY226" s="1">
        <v>3025</v>
      </c>
      <c r="AZ226" s="1">
        <v>3057</v>
      </c>
      <c r="BA226" s="1">
        <v>3092</v>
      </c>
      <c r="BB226" s="1">
        <v>2745.5</v>
      </c>
      <c r="BC226" s="1">
        <v>2763.5</v>
      </c>
      <c r="BD226" s="1">
        <v>2779.5</v>
      </c>
      <c r="BE226" s="1">
        <v>2916.5</v>
      </c>
      <c r="BF226" s="1">
        <v>2642.5</v>
      </c>
      <c r="BG226" s="1">
        <v>2615.5</v>
      </c>
      <c r="BH226" s="1">
        <v>2633.5</v>
      </c>
      <c r="BI226" s="1">
        <v>2680</v>
      </c>
      <c r="BJ226" s="1">
        <v>2681</v>
      </c>
      <c r="BK226" s="1">
        <v>2700</v>
      </c>
      <c r="BL226" s="1">
        <v>2724</v>
      </c>
      <c r="BM226" s="1">
        <v>2645</v>
      </c>
      <c r="BN226" s="1">
        <v>2670</v>
      </c>
      <c r="BO226" s="1">
        <v>2719.5</v>
      </c>
      <c r="BP226" s="1">
        <v>2795</v>
      </c>
    </row>
    <row r="227" spans="1:68">
      <c r="A227" s="65" t="s">
        <v>440</v>
      </c>
      <c r="B227" s="1" t="str">
        <f>銘柄管理!C227</f>
        <v/>
      </c>
      <c r="C227" s="1" t="str">
        <f>_xll.RssMarket("1618","高値")</f>
        <v/>
      </c>
      <c r="E227" s="2">
        <v>32210</v>
      </c>
      <c r="F227" s="1">
        <v>32910</v>
      </c>
      <c r="G227" s="1">
        <v>32660</v>
      </c>
      <c r="H227" s="1">
        <v>33770</v>
      </c>
      <c r="I227" s="1">
        <v>32700</v>
      </c>
      <c r="J227" s="1">
        <v>33060</v>
      </c>
      <c r="K227" s="1">
        <v>32730</v>
      </c>
      <c r="L227" s="1">
        <v>32880</v>
      </c>
      <c r="M227" s="1">
        <v>32500</v>
      </c>
      <c r="N227" s="1">
        <v>31900</v>
      </c>
      <c r="O227" s="1">
        <v>31540</v>
      </c>
      <c r="P227" s="1">
        <v>31440</v>
      </c>
      <c r="Q227" s="1">
        <v>31600</v>
      </c>
      <c r="R227" s="1">
        <v>31670</v>
      </c>
      <c r="S227" s="1">
        <v>31580</v>
      </c>
      <c r="T227" s="1">
        <v>32460</v>
      </c>
      <c r="U227" s="1">
        <v>32230</v>
      </c>
      <c r="V227" s="1">
        <v>32700</v>
      </c>
      <c r="W227" s="1">
        <v>32910</v>
      </c>
      <c r="X227" s="1">
        <v>32950</v>
      </c>
      <c r="Y227" s="1">
        <v>32660</v>
      </c>
      <c r="Z227" s="1">
        <v>32690</v>
      </c>
      <c r="AA227" s="1">
        <v>32580</v>
      </c>
      <c r="AB227" s="1">
        <v>33760</v>
      </c>
      <c r="AC227" s="1">
        <v>33000</v>
      </c>
      <c r="AD227" s="1">
        <v>33190</v>
      </c>
      <c r="AE227" s="1">
        <v>33360</v>
      </c>
      <c r="AF227" s="1">
        <v>33540</v>
      </c>
      <c r="AG227" s="1">
        <v>34440</v>
      </c>
      <c r="AH227" s="1">
        <v>34510</v>
      </c>
      <c r="AI227" s="1">
        <v>34950</v>
      </c>
      <c r="AJ227" s="1">
        <v>33760</v>
      </c>
      <c r="AK227" s="1">
        <v>34200</v>
      </c>
      <c r="AL227" s="1">
        <v>34190</v>
      </c>
      <c r="AM227" s="1">
        <v>34490</v>
      </c>
      <c r="AN227" s="1">
        <v>35770</v>
      </c>
      <c r="AO227" s="1">
        <v>34860</v>
      </c>
      <c r="AP227" s="1">
        <v>35900</v>
      </c>
      <c r="AQ227" s="1">
        <v>36280</v>
      </c>
      <c r="AR227" s="1">
        <v>36500</v>
      </c>
      <c r="AS227" s="1">
        <v>36950</v>
      </c>
      <c r="AT227" s="1">
        <v>36390</v>
      </c>
      <c r="AU227" s="1">
        <v>36110</v>
      </c>
      <c r="AV227" s="1">
        <v>36600</v>
      </c>
      <c r="AW227" s="1">
        <v>36690</v>
      </c>
      <c r="AX227" s="1">
        <v>35570</v>
      </c>
      <c r="AY227" s="1">
        <v>35140</v>
      </c>
      <c r="AZ227" s="1">
        <v>36060</v>
      </c>
      <c r="BA227" s="1">
        <v>36580</v>
      </c>
      <c r="BB227" s="1">
        <v>37000</v>
      </c>
      <c r="BC227" s="1">
        <v>36270</v>
      </c>
      <c r="BD227" s="1">
        <v>35740</v>
      </c>
      <c r="BE227" s="1">
        <v>36140</v>
      </c>
      <c r="BF227" s="1">
        <v>35790</v>
      </c>
      <c r="BG227" s="1">
        <v>35980</v>
      </c>
      <c r="BH227" s="1">
        <v>36360</v>
      </c>
      <c r="BI227" s="1">
        <v>36790</v>
      </c>
      <c r="BJ227" s="1">
        <v>37830</v>
      </c>
      <c r="BK227" s="1">
        <v>38480</v>
      </c>
      <c r="BL227" s="1">
        <v>38430</v>
      </c>
      <c r="BM227" s="1">
        <v>39000</v>
      </c>
      <c r="BN227" s="1">
        <v>39780</v>
      </c>
      <c r="BO227" s="1">
        <v>39350</v>
      </c>
      <c r="BP227" s="1">
        <v>39780</v>
      </c>
    </row>
    <row r="228" spans="1:68">
      <c r="A228" s="65" t="s">
        <v>441</v>
      </c>
      <c r="C228" s="1" t="str">
        <f>_xll.RssMarket("3696","高値")</f>
        <v/>
      </c>
      <c r="E228" s="2">
        <v>2150</v>
      </c>
      <c r="F228" s="1">
        <v>2173</v>
      </c>
      <c r="G228" s="1">
        <v>2190</v>
      </c>
      <c r="H228" s="1">
        <v>2196</v>
      </c>
      <c r="I228" s="1">
        <v>2185</v>
      </c>
      <c r="J228" s="1">
        <v>2151</v>
      </c>
      <c r="K228" s="1">
        <v>2232</v>
      </c>
      <c r="L228" s="1">
        <v>2151</v>
      </c>
      <c r="M228" s="1">
        <v>2140</v>
      </c>
      <c r="N228" s="1">
        <v>2178</v>
      </c>
      <c r="O228" s="1">
        <v>2234</v>
      </c>
      <c r="P228" s="1">
        <v>2200</v>
      </c>
      <c r="Q228" s="1">
        <v>2138</v>
      </c>
      <c r="R228" s="1">
        <v>2084</v>
      </c>
      <c r="S228" s="1">
        <v>2095</v>
      </c>
      <c r="T228" s="1">
        <v>1730</v>
      </c>
      <c r="U228" s="1">
        <v>1748</v>
      </c>
      <c r="V228" s="1">
        <v>1745</v>
      </c>
      <c r="W228" s="1">
        <v>1773</v>
      </c>
      <c r="X228" s="1">
        <v>1820</v>
      </c>
      <c r="Y228" s="1">
        <v>1824</v>
      </c>
      <c r="Z228" s="1">
        <v>1845</v>
      </c>
      <c r="AA228" s="1">
        <v>1826</v>
      </c>
      <c r="AB228" s="1">
        <v>1855</v>
      </c>
      <c r="AC228" s="1">
        <v>1797</v>
      </c>
      <c r="AD228" s="1">
        <v>1779</v>
      </c>
      <c r="AE228" s="1">
        <v>1813</v>
      </c>
      <c r="AF228" s="1">
        <v>1786</v>
      </c>
      <c r="AG228" s="1">
        <v>1805</v>
      </c>
      <c r="AH228" s="1">
        <v>1777</v>
      </c>
      <c r="AI228" s="1">
        <v>1817</v>
      </c>
      <c r="AJ228" s="1">
        <v>1889</v>
      </c>
      <c r="AK228" s="1">
        <v>1825</v>
      </c>
      <c r="AL228" s="1">
        <v>1784</v>
      </c>
      <c r="AM228" s="1">
        <v>1789</v>
      </c>
      <c r="AN228" s="1">
        <v>1829</v>
      </c>
      <c r="AO228" s="1">
        <v>1842</v>
      </c>
      <c r="AP228" s="1">
        <v>1864</v>
      </c>
      <c r="AQ228" s="1">
        <v>1876</v>
      </c>
      <c r="AR228" s="1">
        <v>1918</v>
      </c>
      <c r="AS228" s="1">
        <v>1954</v>
      </c>
      <c r="AT228" s="1">
        <v>1943</v>
      </c>
      <c r="AU228" s="1">
        <v>1913</v>
      </c>
      <c r="AV228" s="1">
        <v>1945</v>
      </c>
      <c r="AW228" s="1">
        <v>4410</v>
      </c>
      <c r="AX228" s="1">
        <v>4290</v>
      </c>
      <c r="AY228" s="1">
        <v>4315</v>
      </c>
      <c r="AZ228" s="1">
        <v>4225</v>
      </c>
      <c r="BA228" s="1">
        <v>3995</v>
      </c>
      <c r="BB228" s="1">
        <v>4055</v>
      </c>
      <c r="BC228" s="1">
        <v>4050</v>
      </c>
      <c r="BD228" s="1">
        <v>4010</v>
      </c>
      <c r="BE228" s="1">
        <v>4215</v>
      </c>
      <c r="BF228" s="1">
        <v>4400</v>
      </c>
      <c r="BG228" s="1">
        <v>4790</v>
      </c>
      <c r="BH228" s="1">
        <v>4785</v>
      </c>
      <c r="BI228" s="1">
        <v>4655</v>
      </c>
      <c r="BJ228" s="1">
        <v>4555</v>
      </c>
      <c r="BK228" s="1">
        <v>4495</v>
      </c>
      <c r="BL228" s="1">
        <v>4445</v>
      </c>
      <c r="BM228" s="1">
        <v>4285</v>
      </c>
      <c r="BN228" s="1">
        <v>4385</v>
      </c>
      <c r="BO228" s="1">
        <v>4725</v>
      </c>
      <c r="BP228" s="1">
        <v>4670</v>
      </c>
    </row>
    <row r="229" spans="1:68">
      <c r="A229" s="65" t="s">
        <v>442</v>
      </c>
      <c r="B229" s="1" t="str">
        <f>銘柄管理!C229</f>
        <v/>
      </c>
      <c r="C229" s="1" t="str">
        <f>_xll.RssMarket("4222","高値")</f>
        <v/>
      </c>
      <c r="E229" s="2">
        <v>617</v>
      </c>
      <c r="F229" s="1">
        <v>656</v>
      </c>
      <c r="G229" s="1">
        <v>674</v>
      </c>
      <c r="H229" s="1">
        <v>670</v>
      </c>
      <c r="I229" s="1">
        <v>650</v>
      </c>
      <c r="J229" s="1">
        <v>664</v>
      </c>
      <c r="K229" s="1">
        <v>694</v>
      </c>
      <c r="L229" s="1">
        <v>697</v>
      </c>
      <c r="M229" s="1">
        <v>681</v>
      </c>
      <c r="N229" s="1">
        <v>671</v>
      </c>
      <c r="O229" s="1">
        <v>649</v>
      </c>
      <c r="P229" s="1">
        <v>660</v>
      </c>
      <c r="Q229" s="1">
        <v>681</v>
      </c>
      <c r="R229" s="1">
        <v>666</v>
      </c>
      <c r="S229" s="1">
        <v>681</v>
      </c>
      <c r="T229" s="1">
        <v>718</v>
      </c>
      <c r="U229" s="1">
        <v>727</v>
      </c>
      <c r="V229" s="1">
        <v>759</v>
      </c>
      <c r="W229" s="1">
        <v>715</v>
      </c>
      <c r="X229" s="1">
        <v>741</v>
      </c>
      <c r="Y229" s="1">
        <v>729</v>
      </c>
      <c r="Z229" s="1">
        <v>703</v>
      </c>
      <c r="AA229" s="1">
        <v>710</v>
      </c>
      <c r="AB229" s="1">
        <v>684</v>
      </c>
      <c r="AC229" s="1">
        <v>688</v>
      </c>
      <c r="AD229" s="1">
        <v>691</v>
      </c>
      <c r="AE229" s="1">
        <v>695</v>
      </c>
      <c r="AF229" s="1">
        <v>725</v>
      </c>
      <c r="AG229" s="1">
        <v>712</v>
      </c>
      <c r="AH229" s="1">
        <v>722</v>
      </c>
      <c r="AI229" s="1">
        <v>703</v>
      </c>
      <c r="AJ229" s="1">
        <v>758</v>
      </c>
      <c r="AK229" s="1">
        <v>764</v>
      </c>
      <c r="AL229" s="1">
        <v>790</v>
      </c>
      <c r="AM229" s="1">
        <v>826</v>
      </c>
      <c r="AN229" s="1">
        <v>802</v>
      </c>
      <c r="AO229" s="1">
        <v>828</v>
      </c>
      <c r="AP229" s="1">
        <v>856</v>
      </c>
      <c r="AQ229" s="1">
        <v>896</v>
      </c>
      <c r="AR229" s="1">
        <v>924</v>
      </c>
      <c r="AS229" s="1">
        <v>986</v>
      </c>
      <c r="AT229" s="1">
        <v>1227</v>
      </c>
      <c r="AU229" s="1">
        <v>1260</v>
      </c>
      <c r="AV229" s="1">
        <v>1344</v>
      </c>
      <c r="AW229" s="1">
        <v>1268</v>
      </c>
      <c r="AX229" s="1">
        <v>1165</v>
      </c>
      <c r="AY229" s="1">
        <v>1157</v>
      </c>
      <c r="AZ229" s="1">
        <v>1115</v>
      </c>
      <c r="BA229" s="1">
        <v>1139</v>
      </c>
      <c r="BB229" s="1">
        <v>1165</v>
      </c>
      <c r="BC229" s="1">
        <v>1162</v>
      </c>
      <c r="BD229" s="1">
        <v>1155</v>
      </c>
      <c r="BE229" s="1">
        <v>1165</v>
      </c>
      <c r="BF229" s="1">
        <v>1184</v>
      </c>
      <c r="BG229" s="1">
        <v>1200</v>
      </c>
      <c r="BH229" s="1">
        <v>1200</v>
      </c>
      <c r="BI229" s="1">
        <v>1179</v>
      </c>
      <c r="BJ229" s="1">
        <v>1189</v>
      </c>
      <c r="BK229" s="1">
        <v>1187</v>
      </c>
      <c r="BL229" s="1">
        <v>1158</v>
      </c>
      <c r="BM229" s="1">
        <v>1122</v>
      </c>
      <c r="BN229" s="1">
        <v>1147</v>
      </c>
      <c r="BO229" s="1">
        <v>1159</v>
      </c>
    </row>
    <row r="230" spans="1:68">
      <c r="A230" s="65" t="s">
        <v>443</v>
      </c>
      <c r="B230" s="1" t="str">
        <f>銘柄管理!C230</f>
        <v/>
      </c>
      <c r="C230" s="1" t="str">
        <f>_xll.RssMarket("3563","高値")</f>
        <v/>
      </c>
      <c r="E230" s="1">
        <v>5578</v>
      </c>
      <c r="F230" s="1">
        <v>5327</v>
      </c>
      <c r="G230" s="1">
        <v>5302</v>
      </c>
      <c r="H230" s="1">
        <v>5122</v>
      </c>
      <c r="I230" s="1">
        <v>4905</v>
      </c>
      <c r="J230" s="1">
        <v>4869</v>
      </c>
      <c r="K230" s="1">
        <v>4986</v>
      </c>
      <c r="L230" s="1">
        <v>4853</v>
      </c>
      <c r="M230" s="1">
        <v>4694</v>
      </c>
      <c r="N230" s="1">
        <v>4842</v>
      </c>
      <c r="O230" s="1">
        <v>4928</v>
      </c>
      <c r="P230" s="1">
        <v>4858</v>
      </c>
      <c r="Q230" s="1">
        <v>5091</v>
      </c>
      <c r="R230" s="1">
        <v>5157</v>
      </c>
      <c r="S230" s="1">
        <v>10070</v>
      </c>
      <c r="T230" s="1">
        <v>9913</v>
      </c>
      <c r="U230" s="1">
        <v>9769</v>
      </c>
      <c r="V230" s="1">
        <v>9611</v>
      </c>
      <c r="W230" s="1">
        <v>9471</v>
      </c>
      <c r="X230" s="1">
        <v>9666</v>
      </c>
      <c r="Y230" s="1">
        <v>9679</v>
      </c>
      <c r="Z230" s="1">
        <v>10525</v>
      </c>
      <c r="AA230" s="1">
        <v>10170</v>
      </c>
      <c r="AB230" s="1">
        <v>10175</v>
      </c>
      <c r="AC230" s="1">
        <v>10030</v>
      </c>
      <c r="AD230" s="1">
        <v>10045</v>
      </c>
      <c r="AE230" s="1">
        <v>9975</v>
      </c>
      <c r="AF230" s="1">
        <v>9927</v>
      </c>
      <c r="AG230" s="1">
        <v>10075</v>
      </c>
      <c r="AH230" s="1">
        <v>10270</v>
      </c>
      <c r="AI230" s="1">
        <v>10720</v>
      </c>
      <c r="AJ230" s="1">
        <v>10515</v>
      </c>
      <c r="AK230" s="1">
        <v>10935</v>
      </c>
      <c r="AL230" s="1">
        <v>10480</v>
      </c>
      <c r="AM230" s="1">
        <v>10265</v>
      </c>
      <c r="AN230" s="1">
        <v>10900</v>
      </c>
      <c r="AO230" s="1">
        <v>10920</v>
      </c>
      <c r="AP230" s="1">
        <v>11175</v>
      </c>
      <c r="AQ230" s="1">
        <v>10875</v>
      </c>
      <c r="AR230" s="1">
        <v>10955</v>
      </c>
      <c r="AS230" s="1">
        <v>10575</v>
      </c>
      <c r="AT230" s="1">
        <v>10840</v>
      </c>
      <c r="AU230" s="1">
        <v>10740</v>
      </c>
      <c r="AV230" s="1">
        <v>10975</v>
      </c>
      <c r="AW230" s="1">
        <v>10785</v>
      </c>
      <c r="AX230" s="1">
        <v>10670</v>
      </c>
      <c r="AY230" s="1">
        <v>10845</v>
      </c>
      <c r="AZ230" s="1">
        <v>9582</v>
      </c>
      <c r="BA230" s="1">
        <v>9299</v>
      </c>
      <c r="BB230" s="1">
        <v>9120</v>
      </c>
      <c r="BC230" s="1">
        <v>9094</v>
      </c>
      <c r="BD230" s="1">
        <v>9161</v>
      </c>
      <c r="BE230" s="1">
        <v>9225</v>
      </c>
      <c r="BF230" s="1">
        <v>9209</v>
      </c>
      <c r="BG230" s="1">
        <v>9312</v>
      </c>
      <c r="BH230" s="1">
        <v>9599</v>
      </c>
      <c r="BI230" s="1">
        <v>9575</v>
      </c>
      <c r="BJ230" s="1">
        <v>9550</v>
      </c>
      <c r="BK230" s="1">
        <v>9564</v>
      </c>
      <c r="BL230" s="1">
        <v>9769</v>
      </c>
      <c r="BM230" s="1">
        <v>9684</v>
      </c>
      <c r="BN230" s="1">
        <v>9596</v>
      </c>
      <c r="BO230" s="1">
        <v>9588</v>
      </c>
      <c r="BP230" s="1">
        <v>9653</v>
      </c>
    </row>
    <row r="231" spans="1:68">
      <c r="A231" s="65" t="s">
        <v>444</v>
      </c>
      <c r="B231" s="1" t="str">
        <f>銘柄管理!C231</f>
        <v/>
      </c>
      <c r="C231" s="1" t="str">
        <f>_xll.RssMarket("7013","高値")</f>
        <v/>
      </c>
      <c r="E231" s="1">
        <v>2860</v>
      </c>
      <c r="F231" s="1">
        <v>2839.5</v>
      </c>
      <c r="G231" s="1">
        <v>2838.5</v>
      </c>
      <c r="H231" s="1">
        <v>2873</v>
      </c>
      <c r="I231" s="1">
        <v>2852</v>
      </c>
      <c r="J231" s="1">
        <v>2878</v>
      </c>
      <c r="K231" s="1">
        <v>2978</v>
      </c>
      <c r="L231" s="1">
        <v>3150</v>
      </c>
      <c r="M231" s="1">
        <v>3075</v>
      </c>
      <c r="N231" s="1">
        <v>2879</v>
      </c>
      <c r="O231" s="1">
        <v>2824</v>
      </c>
      <c r="P231" s="1">
        <v>2759.5</v>
      </c>
      <c r="Q231" s="1">
        <v>2731.5</v>
      </c>
      <c r="R231" s="1">
        <v>2760</v>
      </c>
      <c r="S231" s="1">
        <v>2717.5</v>
      </c>
      <c r="T231" s="1">
        <v>2839</v>
      </c>
      <c r="U231" s="1">
        <v>2848</v>
      </c>
      <c r="V231" s="1">
        <v>2855</v>
      </c>
      <c r="W231" s="1">
        <v>2864.5</v>
      </c>
      <c r="X231" s="1">
        <v>2935</v>
      </c>
      <c r="Y231" s="1">
        <v>3025</v>
      </c>
      <c r="Z231" s="1">
        <v>2958.5</v>
      </c>
      <c r="AA231" s="1">
        <v>2907.5</v>
      </c>
      <c r="AB231" s="1">
        <v>2729</v>
      </c>
      <c r="AC231" s="1">
        <v>2455</v>
      </c>
      <c r="AD231" s="1">
        <v>2375</v>
      </c>
      <c r="AE231" s="1">
        <v>2514</v>
      </c>
      <c r="AF231" s="1">
        <v>2552.5</v>
      </c>
      <c r="AG231" s="1">
        <v>2635.5</v>
      </c>
      <c r="AH231" s="1">
        <v>2608.5</v>
      </c>
      <c r="AI231" s="1">
        <v>2571.5</v>
      </c>
      <c r="AJ231" s="1">
        <v>2640</v>
      </c>
      <c r="AK231" s="1">
        <v>2822.5</v>
      </c>
      <c r="AL231" s="1">
        <v>2835</v>
      </c>
      <c r="AM231" s="1">
        <v>2978</v>
      </c>
      <c r="AN231" s="1">
        <v>2846</v>
      </c>
      <c r="AO231" s="1">
        <v>2859</v>
      </c>
      <c r="AP231" s="1">
        <v>2722</v>
      </c>
      <c r="AQ231" s="1">
        <v>2592.5</v>
      </c>
      <c r="AR231" s="1">
        <v>2693.5</v>
      </c>
      <c r="AS231" s="1">
        <v>2761</v>
      </c>
      <c r="AT231" s="1">
        <v>2734.5</v>
      </c>
      <c r="AU231" s="1">
        <v>2750.5</v>
      </c>
      <c r="AV231" s="1">
        <v>2852</v>
      </c>
      <c r="AW231" s="1">
        <v>2899.5</v>
      </c>
      <c r="AX231" s="1">
        <v>2958</v>
      </c>
      <c r="AY231" s="1">
        <v>3323</v>
      </c>
      <c r="AZ231" s="1">
        <v>3068</v>
      </c>
      <c r="BA231" s="1">
        <v>2920</v>
      </c>
      <c r="BB231" s="1">
        <v>2988</v>
      </c>
      <c r="BC231" s="1">
        <v>3020</v>
      </c>
      <c r="BD231" s="1">
        <v>2941</v>
      </c>
      <c r="BE231" s="1">
        <v>3075</v>
      </c>
      <c r="BF231" s="1">
        <v>3108</v>
      </c>
      <c r="BG231" s="1">
        <v>3069</v>
      </c>
      <c r="BH231" s="1">
        <v>3137</v>
      </c>
      <c r="BI231" s="1">
        <v>3183</v>
      </c>
      <c r="BJ231" s="1">
        <v>3186</v>
      </c>
      <c r="BK231" s="1">
        <v>3227</v>
      </c>
      <c r="BL231" s="1">
        <v>3311</v>
      </c>
      <c r="BM231" s="1">
        <v>3356</v>
      </c>
      <c r="BN231" s="1">
        <v>3414</v>
      </c>
      <c r="BO231" s="1">
        <v>3375</v>
      </c>
      <c r="BP231" s="1">
        <v>3475</v>
      </c>
    </row>
    <row r="232" spans="1:68">
      <c r="A232" s="65" t="s">
        <v>445</v>
      </c>
      <c r="B232" s="1" t="str">
        <f>銘柄管理!C232</f>
        <v/>
      </c>
      <c r="C232" s="1" t="str">
        <f>_xll.RssMarket("8793","高値")</f>
        <v/>
      </c>
      <c r="E232" s="1">
        <v>4105</v>
      </c>
      <c r="F232" s="1">
        <v>4165</v>
      </c>
      <c r="G232" s="1">
        <v>4180</v>
      </c>
      <c r="H232" s="1">
        <v>4175</v>
      </c>
      <c r="I232" s="1">
        <v>4155</v>
      </c>
      <c r="J232" s="1">
        <v>4140</v>
      </c>
      <c r="K232" s="1">
        <v>4135</v>
      </c>
      <c r="L232" s="1">
        <v>4085</v>
      </c>
      <c r="M232" s="1">
        <v>4040</v>
      </c>
      <c r="N232" s="1">
        <v>4010</v>
      </c>
      <c r="O232" s="1">
        <v>4015</v>
      </c>
      <c r="P232" s="1">
        <v>4045</v>
      </c>
      <c r="Q232" s="1">
        <v>4015</v>
      </c>
      <c r="R232" s="1">
        <v>4045</v>
      </c>
      <c r="S232" s="1">
        <v>4050</v>
      </c>
      <c r="T232" s="1">
        <v>4065</v>
      </c>
      <c r="U232" s="1">
        <v>4090</v>
      </c>
      <c r="V232" s="1">
        <v>4135</v>
      </c>
      <c r="W232" s="1">
        <v>4145</v>
      </c>
      <c r="X232" s="1">
        <v>4180</v>
      </c>
      <c r="Y232" s="1">
        <v>4165</v>
      </c>
      <c r="Z232" s="1">
        <v>4185</v>
      </c>
      <c r="AA232" s="1">
        <v>4160</v>
      </c>
      <c r="AB232" s="1">
        <v>4230</v>
      </c>
      <c r="AC232" s="1">
        <v>4070</v>
      </c>
      <c r="AD232" s="1">
        <v>4045</v>
      </c>
      <c r="AE232" s="1">
        <v>3960</v>
      </c>
      <c r="AF232" s="1">
        <v>3930</v>
      </c>
      <c r="AG232" s="1">
        <v>3915</v>
      </c>
      <c r="AH232" s="1">
        <v>4020</v>
      </c>
      <c r="AI232" s="1">
        <v>3960</v>
      </c>
      <c r="AJ232" s="1">
        <v>3975</v>
      </c>
      <c r="AK232" s="1">
        <v>3980</v>
      </c>
      <c r="AL232" s="1">
        <v>4025</v>
      </c>
      <c r="AM232" s="1">
        <v>4030</v>
      </c>
      <c r="AN232" s="1">
        <v>3980</v>
      </c>
      <c r="AO232" s="1">
        <v>3985</v>
      </c>
      <c r="AP232" s="1">
        <v>3975</v>
      </c>
      <c r="AQ232" s="1">
        <v>4020</v>
      </c>
      <c r="AR232" s="1">
        <v>4010</v>
      </c>
      <c r="AS232" s="1">
        <v>4040</v>
      </c>
      <c r="AT232" s="1">
        <v>4055</v>
      </c>
      <c r="AU232" s="1">
        <v>4060</v>
      </c>
      <c r="AV232" s="1">
        <v>4065</v>
      </c>
      <c r="AW232" s="1">
        <v>4060</v>
      </c>
      <c r="AX232" s="1">
        <v>4090</v>
      </c>
      <c r="AY232" s="1">
        <v>4200</v>
      </c>
      <c r="AZ232" s="1">
        <v>4280</v>
      </c>
      <c r="BA232" s="1">
        <v>4280</v>
      </c>
      <c r="BB232" s="1">
        <v>4270</v>
      </c>
      <c r="BC232" s="1">
        <v>4215</v>
      </c>
      <c r="BD232" s="1">
        <v>4270</v>
      </c>
      <c r="BE232" s="1">
        <v>4315</v>
      </c>
      <c r="BF232" s="1">
        <v>4285</v>
      </c>
      <c r="BG232" s="1">
        <v>4295</v>
      </c>
      <c r="BH232" s="1">
        <v>4320</v>
      </c>
      <c r="BI232" s="1">
        <v>4275</v>
      </c>
      <c r="BJ232" s="1">
        <v>4215</v>
      </c>
      <c r="BK232" s="1">
        <v>4190</v>
      </c>
      <c r="BL232" s="1">
        <v>4245</v>
      </c>
      <c r="BM232" s="1">
        <v>4285</v>
      </c>
      <c r="BN232" s="1">
        <v>4275</v>
      </c>
      <c r="BO232" s="1">
        <v>4230</v>
      </c>
    </row>
    <row r="233" spans="1:68">
      <c r="A233" s="65" t="s">
        <v>446</v>
      </c>
      <c r="B233" s="1" t="str">
        <f>銘柄管理!C233</f>
        <v/>
      </c>
      <c r="C233" s="1" t="str">
        <f>_xll.RssMarket("9962","高値")</f>
        <v/>
      </c>
      <c r="E233" s="1">
        <v>3738</v>
      </c>
      <c r="F233" s="1">
        <v>3869</v>
      </c>
      <c r="G233" s="1">
        <v>3800</v>
      </c>
      <c r="H233" s="1">
        <v>4025</v>
      </c>
      <c r="I233" s="1">
        <v>4099</v>
      </c>
      <c r="J233" s="1">
        <v>4040</v>
      </c>
      <c r="K233" s="1">
        <v>3998</v>
      </c>
      <c r="L233" s="1">
        <v>4143</v>
      </c>
      <c r="M233" s="1">
        <v>4204</v>
      </c>
      <c r="N233" s="1">
        <v>4187</v>
      </c>
      <c r="O233" s="1">
        <v>4103</v>
      </c>
      <c r="P233" s="1">
        <v>4038</v>
      </c>
      <c r="Q233" s="1">
        <v>4010</v>
      </c>
      <c r="R233" s="1">
        <v>3932</v>
      </c>
      <c r="S233" s="1">
        <v>3977</v>
      </c>
      <c r="T233" s="1">
        <v>3873</v>
      </c>
      <c r="U233" s="1">
        <v>3773</v>
      </c>
      <c r="V233" s="1">
        <v>3870</v>
      </c>
      <c r="W233" s="1">
        <v>3923</v>
      </c>
      <c r="X233" s="1">
        <v>3969</v>
      </c>
      <c r="Y233" s="1">
        <v>3924</v>
      </c>
      <c r="Z233" s="1">
        <v>3915</v>
      </c>
      <c r="AA233" s="1">
        <v>3945</v>
      </c>
      <c r="AB233" s="1">
        <v>3862</v>
      </c>
      <c r="AC233" s="1">
        <v>3818</v>
      </c>
      <c r="AD233" s="1">
        <v>3645</v>
      </c>
      <c r="AE233" s="1">
        <v>3643</v>
      </c>
      <c r="AF233" s="1">
        <v>3788</v>
      </c>
      <c r="AG233" s="1">
        <v>3805</v>
      </c>
      <c r="AH233" s="1">
        <v>3841</v>
      </c>
      <c r="AI233" s="1">
        <v>3680</v>
      </c>
      <c r="AJ233" s="1">
        <v>3814</v>
      </c>
      <c r="AK233" s="1">
        <v>3663</v>
      </c>
      <c r="AL233" s="1">
        <v>3654</v>
      </c>
      <c r="AM233" s="1">
        <v>3509</v>
      </c>
      <c r="AN233" s="1">
        <v>3491</v>
      </c>
      <c r="AO233" s="1">
        <v>3300</v>
      </c>
      <c r="AP233" s="1">
        <v>3135</v>
      </c>
      <c r="AQ233" s="1">
        <v>3212</v>
      </c>
      <c r="AR233" s="1">
        <v>3195</v>
      </c>
      <c r="AS233" s="1">
        <v>3403</v>
      </c>
      <c r="AT233" s="1">
        <v>3486</v>
      </c>
      <c r="AU233" s="1">
        <v>3385</v>
      </c>
      <c r="AV233" s="1">
        <v>3493</v>
      </c>
      <c r="AW233" s="1">
        <v>3487</v>
      </c>
      <c r="AX233" s="1">
        <v>3530</v>
      </c>
      <c r="AY233" s="1">
        <v>3545</v>
      </c>
      <c r="AZ233" s="1">
        <v>3500</v>
      </c>
      <c r="BA233" s="1">
        <v>3723</v>
      </c>
      <c r="BB233" s="1">
        <v>3395</v>
      </c>
      <c r="BC233" s="1">
        <v>3393</v>
      </c>
      <c r="BD233" s="1">
        <v>3042</v>
      </c>
      <c r="BE233" s="1">
        <v>3078</v>
      </c>
      <c r="BF233" s="1">
        <v>3113</v>
      </c>
      <c r="BG233" s="1">
        <v>3166</v>
      </c>
      <c r="BH233" s="1">
        <v>3156</v>
      </c>
      <c r="BI233" s="1">
        <v>3060</v>
      </c>
      <c r="BJ233" s="1">
        <v>3072</v>
      </c>
      <c r="BK233" s="1">
        <v>3034</v>
      </c>
      <c r="BL233" s="1">
        <v>3032</v>
      </c>
      <c r="BM233" s="1">
        <v>2998.5</v>
      </c>
      <c r="BN233" s="1">
        <v>3038</v>
      </c>
      <c r="BO233" s="1">
        <v>3034</v>
      </c>
      <c r="BP233" s="1">
        <v>2958.5</v>
      </c>
    </row>
    <row r="234" spans="1:68">
      <c r="A234" s="65" t="s">
        <v>447</v>
      </c>
      <c r="B234" s="1" t="str">
        <f>銘柄管理!C234</f>
        <v/>
      </c>
      <c r="C234" s="1" t="str">
        <f>_xll.RssMarket("6762","高値")</f>
        <v/>
      </c>
      <c r="E234" s="1">
        <v>3024</v>
      </c>
      <c r="F234" s="1">
        <v>3273</v>
      </c>
      <c r="G234" s="1">
        <v>3265</v>
      </c>
      <c r="H234" s="1">
        <v>3402</v>
      </c>
      <c r="I234" s="1">
        <v>3460</v>
      </c>
      <c r="J234" s="1">
        <v>3422</v>
      </c>
      <c r="K234" s="1">
        <v>3440</v>
      </c>
      <c r="L234" s="1">
        <v>3513</v>
      </c>
      <c r="M234" s="1">
        <v>3705</v>
      </c>
      <c r="N234" s="1">
        <v>3736</v>
      </c>
      <c r="O234" s="1">
        <v>3768</v>
      </c>
      <c r="P234" s="1">
        <v>3762</v>
      </c>
      <c r="Q234" s="1">
        <v>3665</v>
      </c>
      <c r="R234" s="1">
        <v>3615</v>
      </c>
      <c r="S234" s="1">
        <v>3831</v>
      </c>
      <c r="T234" s="1">
        <v>3933</v>
      </c>
      <c r="U234" s="1">
        <v>3957</v>
      </c>
      <c r="V234" s="1">
        <v>4189</v>
      </c>
      <c r="W234" s="1">
        <v>4123</v>
      </c>
      <c r="X234" s="1">
        <v>3995</v>
      </c>
      <c r="Y234" s="1">
        <v>4094</v>
      </c>
      <c r="Z234" s="1">
        <v>3888</v>
      </c>
      <c r="AA234" s="1">
        <v>3962</v>
      </c>
      <c r="AB234" s="1">
        <v>3928</v>
      </c>
      <c r="AC234" s="1">
        <v>3756</v>
      </c>
      <c r="AD234" s="1">
        <v>3575</v>
      </c>
      <c r="AE234" s="1">
        <v>3833</v>
      </c>
      <c r="AF234" s="1">
        <v>3824</v>
      </c>
      <c r="AG234" s="1">
        <v>4174</v>
      </c>
      <c r="AH234" s="1">
        <v>3995</v>
      </c>
      <c r="AI234" s="1">
        <v>4068</v>
      </c>
      <c r="AJ234" s="1">
        <v>4095</v>
      </c>
      <c r="AK234" s="1">
        <v>4200</v>
      </c>
      <c r="AL234" s="1">
        <v>3911</v>
      </c>
      <c r="AM234" s="1">
        <v>3803</v>
      </c>
      <c r="AN234" s="1">
        <v>3795</v>
      </c>
      <c r="AO234" s="1">
        <v>3383</v>
      </c>
      <c r="AP234" s="1">
        <v>3236</v>
      </c>
      <c r="AQ234" s="1">
        <v>2959</v>
      </c>
      <c r="AR234" s="1">
        <v>3026</v>
      </c>
      <c r="AS234" s="1">
        <v>3019</v>
      </c>
      <c r="AT234" s="1">
        <v>3185</v>
      </c>
      <c r="AU234" s="1">
        <v>3118</v>
      </c>
      <c r="AV234" s="1">
        <v>2949.5</v>
      </c>
      <c r="AW234" s="1">
        <v>2984</v>
      </c>
      <c r="AX234" s="1">
        <v>3015</v>
      </c>
      <c r="AY234" s="1">
        <v>2996.5</v>
      </c>
      <c r="AZ234" s="1">
        <v>2955.5</v>
      </c>
      <c r="BA234" s="1">
        <v>2956</v>
      </c>
      <c r="BB234" s="1">
        <v>2985</v>
      </c>
      <c r="BC234" s="1">
        <v>2752.5</v>
      </c>
      <c r="BD234" s="1">
        <v>2768</v>
      </c>
      <c r="BE234" s="1">
        <v>2765.5</v>
      </c>
      <c r="BF234" s="1">
        <v>2772</v>
      </c>
      <c r="BG234" s="1">
        <v>2725</v>
      </c>
      <c r="BH234" s="1">
        <v>2576</v>
      </c>
      <c r="BI234" s="1">
        <v>2621</v>
      </c>
      <c r="BJ234" s="1">
        <v>2632.5</v>
      </c>
      <c r="BK234" s="1">
        <v>2548.5</v>
      </c>
      <c r="BL234" s="1">
        <v>2308</v>
      </c>
      <c r="BM234" s="1">
        <v>2310</v>
      </c>
      <c r="BN234" s="1">
        <v>2314.5</v>
      </c>
      <c r="BO234" s="1">
        <v>2322</v>
      </c>
      <c r="BP234" s="1">
        <v>2225</v>
      </c>
    </row>
    <row r="235" spans="1:68">
      <c r="A235" s="65" t="s">
        <v>448</v>
      </c>
      <c r="B235" s="1" t="str">
        <f>銘柄管理!C235</f>
        <v/>
      </c>
      <c r="C235" s="1" t="str">
        <f>_xll.RssMarket("4392","高値")</f>
        <v/>
      </c>
      <c r="E235" s="1">
        <v>1104</v>
      </c>
      <c r="F235" s="1">
        <v>1138</v>
      </c>
      <c r="G235" s="1">
        <v>1038</v>
      </c>
      <c r="H235" s="1">
        <v>1115</v>
      </c>
      <c r="I235" s="1">
        <v>1135</v>
      </c>
      <c r="J235" s="1">
        <v>1110</v>
      </c>
      <c r="K235" s="1">
        <v>1105</v>
      </c>
      <c r="L235" s="1">
        <v>1155</v>
      </c>
      <c r="M235" s="1">
        <v>1220</v>
      </c>
      <c r="N235" s="1">
        <v>1185</v>
      </c>
      <c r="O235" s="1">
        <v>1162</v>
      </c>
      <c r="P235" s="1">
        <v>1170</v>
      </c>
      <c r="Q235" s="1">
        <v>1142</v>
      </c>
      <c r="R235" s="1">
        <v>1152</v>
      </c>
      <c r="S235" s="1">
        <v>1132</v>
      </c>
      <c r="T235" s="1">
        <v>1230</v>
      </c>
      <c r="U235" s="1">
        <v>1220</v>
      </c>
      <c r="V235" s="1">
        <v>1209</v>
      </c>
      <c r="W235" s="1">
        <v>1294</v>
      </c>
      <c r="X235" s="1">
        <v>1305</v>
      </c>
      <c r="Y235" s="1">
        <v>1358</v>
      </c>
      <c r="Z235" s="1">
        <v>1295</v>
      </c>
      <c r="AA235" s="1">
        <v>1320</v>
      </c>
      <c r="AB235" s="1">
        <v>1456</v>
      </c>
      <c r="AC235" s="1">
        <v>1532</v>
      </c>
      <c r="AD235" s="1">
        <v>1771</v>
      </c>
      <c r="AE235" s="1">
        <v>1693</v>
      </c>
      <c r="AF235" s="1">
        <v>1650</v>
      </c>
      <c r="AG235" s="1">
        <v>1546</v>
      </c>
      <c r="AH235" s="1">
        <v>1597</v>
      </c>
      <c r="AI235" s="1">
        <v>1707</v>
      </c>
      <c r="AJ235" s="1">
        <v>1915</v>
      </c>
      <c r="AK235" s="1">
        <v>2200</v>
      </c>
      <c r="AL235" s="1">
        <v>2458</v>
      </c>
      <c r="AM235" s="1">
        <v>3075</v>
      </c>
      <c r="AN235" s="1">
        <v>2185</v>
      </c>
      <c r="AO235" s="1">
        <v>2045</v>
      </c>
      <c r="AP235" s="1">
        <v>1981</v>
      </c>
      <c r="AQ235" s="1">
        <v>1966</v>
      </c>
      <c r="AR235" s="1">
        <v>1360</v>
      </c>
      <c r="AS235" s="1">
        <v>1060</v>
      </c>
      <c r="AT235" s="1">
        <v>910</v>
      </c>
      <c r="AU235" s="1">
        <v>880</v>
      </c>
      <c r="AV235" s="1">
        <v>840</v>
      </c>
      <c r="AW235" s="1">
        <v>874</v>
      </c>
      <c r="AX235" s="1">
        <v>509</v>
      </c>
      <c r="AY235" s="1">
        <v>429</v>
      </c>
      <c r="AZ235" s="1">
        <v>354</v>
      </c>
      <c r="BA235" s="1">
        <v>346</v>
      </c>
      <c r="BB235" s="1">
        <v>352</v>
      </c>
      <c r="BC235" s="1">
        <v>367</v>
      </c>
      <c r="BD235" s="1">
        <v>360</v>
      </c>
      <c r="BE235" s="1">
        <v>352</v>
      </c>
      <c r="BF235" s="1">
        <v>360</v>
      </c>
      <c r="BG235" s="1">
        <v>355</v>
      </c>
      <c r="BH235" s="1">
        <v>351</v>
      </c>
      <c r="BI235" s="1">
        <v>339</v>
      </c>
      <c r="BJ235" s="1">
        <v>330</v>
      </c>
      <c r="BK235" s="1">
        <v>331</v>
      </c>
      <c r="BL235" s="1">
        <v>327</v>
      </c>
      <c r="BM235" s="1">
        <v>326</v>
      </c>
      <c r="BN235" s="1">
        <v>324</v>
      </c>
      <c r="BO235" s="1">
        <v>329</v>
      </c>
      <c r="BP235" s="1">
        <v>332</v>
      </c>
    </row>
    <row r="236" spans="1:68">
      <c r="A236" s="65" t="s">
        <v>449</v>
      </c>
      <c r="B236" s="1" t="str">
        <f>銘柄管理!C236</f>
        <v/>
      </c>
      <c r="C236" s="1" t="str">
        <f>_xll.RssMarket("8005","高値")</f>
        <v/>
      </c>
      <c r="E236" s="1">
        <v>1739</v>
      </c>
      <c r="F236" s="1">
        <v>1747</v>
      </c>
      <c r="G236" s="1">
        <v>1744</v>
      </c>
      <c r="H236" s="1">
        <v>1732</v>
      </c>
      <c r="I236" s="1">
        <v>1722</v>
      </c>
      <c r="J236" s="1">
        <v>1720</v>
      </c>
      <c r="K236" s="1">
        <v>1737</v>
      </c>
      <c r="L236" s="1">
        <v>1720</v>
      </c>
      <c r="M236" s="1">
        <v>1706</v>
      </c>
      <c r="N236" s="1">
        <v>1687</v>
      </c>
      <c r="O236" s="1">
        <v>1645</v>
      </c>
      <c r="P236" s="1">
        <v>1631</v>
      </c>
      <c r="Q236" s="1">
        <v>1647</v>
      </c>
      <c r="R236" s="1">
        <v>1655</v>
      </c>
      <c r="S236" s="1">
        <v>1652</v>
      </c>
      <c r="T236" s="1">
        <v>1649</v>
      </c>
      <c r="U236" s="1">
        <v>1645</v>
      </c>
      <c r="V236" s="1">
        <v>1644</v>
      </c>
      <c r="W236" s="1">
        <v>1656</v>
      </c>
      <c r="X236" s="1">
        <v>1669</v>
      </c>
      <c r="Y236" s="1">
        <v>1657</v>
      </c>
      <c r="Z236" s="1">
        <v>1638</v>
      </c>
      <c r="AA236" s="1">
        <v>1631</v>
      </c>
      <c r="AB236" s="1">
        <v>1630</v>
      </c>
      <c r="AC236" s="1">
        <v>1639</v>
      </c>
      <c r="AD236" s="1">
        <v>1642</v>
      </c>
      <c r="AE236" s="1">
        <v>1627</v>
      </c>
      <c r="AF236" s="1">
        <v>1644</v>
      </c>
      <c r="AG236" s="1">
        <v>1649</v>
      </c>
      <c r="AH236" s="1">
        <v>1655</v>
      </c>
      <c r="AI236" s="1">
        <v>1676</v>
      </c>
      <c r="AJ236" s="1">
        <v>1667</v>
      </c>
      <c r="AK236" s="1">
        <v>1639</v>
      </c>
      <c r="AL236" s="1">
        <v>1642</v>
      </c>
      <c r="AM236" s="1">
        <v>1645</v>
      </c>
      <c r="AN236" s="1">
        <v>1651</v>
      </c>
      <c r="AO236" s="1">
        <v>1670</v>
      </c>
      <c r="AP236" s="1">
        <v>1669</v>
      </c>
      <c r="AQ236" s="1">
        <v>1685</v>
      </c>
      <c r="AR236" s="1">
        <v>1662</v>
      </c>
      <c r="AS236" s="1">
        <v>1664</v>
      </c>
      <c r="AT236" s="1">
        <v>1644</v>
      </c>
      <c r="AU236" s="1">
        <v>1678</v>
      </c>
      <c r="AV236" s="1">
        <v>1705</v>
      </c>
      <c r="AW236" s="1">
        <v>1805</v>
      </c>
      <c r="AX236" s="1">
        <v>1597</v>
      </c>
      <c r="AY236" s="1">
        <v>1330</v>
      </c>
      <c r="AZ236" s="1">
        <v>1322</v>
      </c>
      <c r="BA236" s="1">
        <v>1326</v>
      </c>
      <c r="BB236" s="1">
        <v>1333</v>
      </c>
      <c r="BC236" s="1">
        <v>1327</v>
      </c>
      <c r="BD236" s="1">
        <v>1322</v>
      </c>
      <c r="BE236" s="1">
        <v>1324</v>
      </c>
      <c r="BF236" s="1">
        <v>1345</v>
      </c>
      <c r="BG236" s="1">
        <v>1365</v>
      </c>
      <c r="BH236" s="1">
        <v>1357</v>
      </c>
      <c r="BI236" s="1">
        <v>1360</v>
      </c>
      <c r="BJ236" s="1">
        <v>1363</v>
      </c>
      <c r="BK236" s="1">
        <v>1345</v>
      </c>
      <c r="BL236" s="1">
        <v>1322</v>
      </c>
      <c r="BM236" s="1">
        <v>1333</v>
      </c>
      <c r="BN236" s="1">
        <v>1356</v>
      </c>
      <c r="BO236" s="1">
        <v>1370</v>
      </c>
      <c r="BP236" s="1">
        <v>1362</v>
      </c>
    </row>
    <row r="237" spans="1:68">
      <c r="A237" s="65" t="s">
        <v>450</v>
      </c>
      <c r="B237" s="1" t="str">
        <f>銘柄管理!C237</f>
        <v/>
      </c>
      <c r="C237" s="1" t="str">
        <f>_xll.RssMarket("2326","高値")</f>
        <v/>
      </c>
      <c r="E237" s="1">
        <v>4060</v>
      </c>
      <c r="F237" s="1">
        <v>4035</v>
      </c>
      <c r="G237" s="1">
        <v>4065</v>
      </c>
      <c r="H237" s="1">
        <v>4000</v>
      </c>
      <c r="I237" s="1">
        <v>3995</v>
      </c>
      <c r="J237" s="1">
        <v>3935</v>
      </c>
      <c r="K237" s="1">
        <v>3970</v>
      </c>
      <c r="L237" s="1">
        <v>3960</v>
      </c>
      <c r="M237" s="1">
        <v>3915</v>
      </c>
      <c r="N237" s="1">
        <v>3805</v>
      </c>
      <c r="O237" s="1">
        <v>3720</v>
      </c>
      <c r="P237" s="1">
        <v>3740</v>
      </c>
      <c r="Q237" s="1">
        <v>3720</v>
      </c>
      <c r="R237" s="1">
        <v>3635</v>
      </c>
      <c r="S237" s="1">
        <v>3610</v>
      </c>
      <c r="T237" s="1">
        <v>3595</v>
      </c>
      <c r="U237" s="1">
        <v>3610</v>
      </c>
      <c r="V237" s="1">
        <v>3625</v>
      </c>
      <c r="W237" s="1">
        <v>3620</v>
      </c>
      <c r="X237" s="1">
        <v>3655</v>
      </c>
      <c r="Y237" s="1">
        <v>3650</v>
      </c>
      <c r="Z237" s="1">
        <v>3620</v>
      </c>
      <c r="AA237" s="1">
        <v>3660</v>
      </c>
      <c r="AB237" s="1">
        <v>3610</v>
      </c>
      <c r="AC237" s="1">
        <v>3675</v>
      </c>
      <c r="AD237" s="1">
        <v>3700</v>
      </c>
      <c r="AE237" s="1">
        <v>3845</v>
      </c>
      <c r="AF237" s="1">
        <v>3880</v>
      </c>
      <c r="AG237" s="1">
        <v>3735</v>
      </c>
      <c r="AH237" s="1">
        <v>3745</v>
      </c>
      <c r="AI237" s="1">
        <v>3865</v>
      </c>
      <c r="AJ237" s="1">
        <v>4090</v>
      </c>
      <c r="AK237" s="1">
        <v>4085</v>
      </c>
      <c r="AL237" s="1">
        <v>4160</v>
      </c>
      <c r="AM237" s="1">
        <v>4185</v>
      </c>
      <c r="AN237" s="1">
        <v>4150</v>
      </c>
      <c r="AO237" s="1">
        <v>4165</v>
      </c>
      <c r="AP237" s="1">
        <v>4295</v>
      </c>
      <c r="AQ237" s="1">
        <v>4420</v>
      </c>
      <c r="AR237" s="1">
        <v>4290</v>
      </c>
      <c r="AS237" s="1">
        <v>4240</v>
      </c>
      <c r="AT237" s="1">
        <v>4035</v>
      </c>
      <c r="AU237" s="1">
        <v>4150</v>
      </c>
      <c r="AV237" s="1">
        <v>4155</v>
      </c>
      <c r="AW237" s="1">
        <v>4315</v>
      </c>
      <c r="AX237" s="1">
        <v>4940</v>
      </c>
      <c r="AY237" s="1">
        <v>5990</v>
      </c>
      <c r="AZ237" s="1">
        <v>5640</v>
      </c>
      <c r="BA237" s="1">
        <v>5620</v>
      </c>
      <c r="BB237" s="1">
        <v>5550</v>
      </c>
      <c r="BC237" s="1">
        <v>5570</v>
      </c>
      <c r="BD237" s="1">
        <v>5640</v>
      </c>
      <c r="BE237" s="1">
        <v>6010</v>
      </c>
      <c r="BF237" s="1">
        <v>6120</v>
      </c>
      <c r="BG237" s="1">
        <v>6020</v>
      </c>
      <c r="BH237" s="1">
        <v>6000</v>
      </c>
      <c r="BI237" s="1">
        <v>5880</v>
      </c>
      <c r="BJ237" s="1">
        <v>5920</v>
      </c>
      <c r="BK237" s="1">
        <v>5630</v>
      </c>
      <c r="BL237" s="1">
        <v>5620</v>
      </c>
      <c r="BM237" s="1">
        <v>5460</v>
      </c>
      <c r="BN237" s="1">
        <v>5460</v>
      </c>
      <c r="BO237" s="1">
        <v>5550</v>
      </c>
      <c r="BP237" s="1">
        <v>5690</v>
      </c>
    </row>
    <row r="238" spans="1:68">
      <c r="A238" s="65" t="s">
        <v>451</v>
      </c>
      <c r="B238" s="1" t="str">
        <f>銘柄管理!C238</f>
        <v/>
      </c>
      <c r="C238" s="1" t="str">
        <f>_xll.RssMarket("6809","高値")</f>
        <v/>
      </c>
      <c r="E238" s="1">
        <v>1591</v>
      </c>
      <c r="F238" s="1">
        <v>1617</v>
      </c>
      <c r="G238" s="1">
        <v>1620</v>
      </c>
      <c r="H238" s="1">
        <v>1619</v>
      </c>
      <c r="I238" s="1">
        <v>1628</v>
      </c>
      <c r="J238" s="1">
        <v>1632</v>
      </c>
      <c r="K238" s="1">
        <v>1645</v>
      </c>
      <c r="L238" s="1">
        <v>1654</v>
      </c>
      <c r="M238" s="1">
        <v>1633</v>
      </c>
      <c r="N238" s="1">
        <v>1603</v>
      </c>
      <c r="O238" s="1">
        <v>1578</v>
      </c>
      <c r="P238" s="1">
        <v>1569</v>
      </c>
      <c r="Q238" s="1">
        <v>1579</v>
      </c>
      <c r="R238" s="1">
        <v>1604</v>
      </c>
      <c r="S238" s="1">
        <v>1586</v>
      </c>
      <c r="T238" s="1">
        <v>1584</v>
      </c>
      <c r="U238" s="1">
        <v>1573</v>
      </c>
      <c r="V238" s="1">
        <v>1567</v>
      </c>
      <c r="W238" s="1">
        <v>1574</v>
      </c>
      <c r="X238" s="1">
        <v>1579</v>
      </c>
      <c r="Y238" s="1">
        <v>1577</v>
      </c>
      <c r="Z238" s="1">
        <v>1583</v>
      </c>
      <c r="AA238" s="1">
        <v>1565</v>
      </c>
      <c r="AB238" s="1">
        <v>1580</v>
      </c>
      <c r="AC238" s="1">
        <v>1562</v>
      </c>
      <c r="AD238" s="1">
        <v>1563</v>
      </c>
      <c r="AE238" s="1">
        <v>1586</v>
      </c>
      <c r="AF238" s="1">
        <v>1553</v>
      </c>
      <c r="AG238" s="1">
        <v>1582</v>
      </c>
      <c r="AH238" s="1">
        <v>1555</v>
      </c>
      <c r="AI238" s="1">
        <v>1560</v>
      </c>
      <c r="AJ238" s="1">
        <v>1558</v>
      </c>
      <c r="AK238" s="1">
        <v>1568</v>
      </c>
      <c r="AL238" s="1">
        <v>1549</v>
      </c>
      <c r="AM238" s="1">
        <v>1563</v>
      </c>
      <c r="AN238" s="1">
        <v>1582</v>
      </c>
      <c r="AO238" s="1">
        <v>1559</v>
      </c>
      <c r="AP238" s="1">
        <v>1550</v>
      </c>
      <c r="AQ238" s="1">
        <v>1602</v>
      </c>
      <c r="AR238" s="1">
        <v>1599</v>
      </c>
      <c r="AS238" s="1">
        <v>1598</v>
      </c>
      <c r="AT238" s="1">
        <v>1614</v>
      </c>
      <c r="AU238" s="1">
        <v>1585</v>
      </c>
      <c r="AV238" s="1">
        <v>1584</v>
      </c>
      <c r="AW238" s="1">
        <v>1575</v>
      </c>
      <c r="AX238" s="1">
        <v>1600</v>
      </c>
      <c r="AY238" s="1">
        <v>1608</v>
      </c>
      <c r="AZ238" s="1">
        <v>1805</v>
      </c>
      <c r="BA238" s="1">
        <v>1756</v>
      </c>
      <c r="BB238" s="1">
        <v>1730</v>
      </c>
      <c r="BC238" s="1">
        <v>1744</v>
      </c>
      <c r="BD238" s="1">
        <v>1734</v>
      </c>
      <c r="BE238" s="1">
        <v>1757</v>
      </c>
      <c r="BF238" s="1">
        <v>1761</v>
      </c>
      <c r="BG238" s="1">
        <v>1786</v>
      </c>
      <c r="BH238" s="1">
        <v>1790</v>
      </c>
      <c r="BI238" s="1">
        <v>1807</v>
      </c>
      <c r="BJ238" s="1">
        <v>1792</v>
      </c>
      <c r="BK238" s="1">
        <v>1796</v>
      </c>
      <c r="BL238" s="1">
        <v>1817</v>
      </c>
      <c r="BM238" s="1">
        <v>1806</v>
      </c>
      <c r="BN238" s="1">
        <v>1820</v>
      </c>
      <c r="BO238" s="1">
        <v>1836</v>
      </c>
      <c r="BP238" s="1">
        <v>1852</v>
      </c>
    </row>
    <row r="239" spans="1:68">
      <c r="A239" s="65" t="s">
        <v>452</v>
      </c>
      <c r="B239" s="1" t="str">
        <f>銘柄管理!C239</f>
        <v/>
      </c>
      <c r="C239" s="1" t="str">
        <f>_xll.RssMarket("3984","高値")</f>
        <v/>
      </c>
      <c r="E239" s="1">
        <v>1822</v>
      </c>
      <c r="F239" s="1">
        <v>1835</v>
      </c>
      <c r="G239" s="1">
        <v>1830</v>
      </c>
      <c r="H239" s="1">
        <v>1822</v>
      </c>
      <c r="I239" s="1">
        <v>1803</v>
      </c>
      <c r="J239" s="1">
        <v>1788</v>
      </c>
      <c r="K239" s="1">
        <v>1784</v>
      </c>
      <c r="L239" s="1">
        <v>1812</v>
      </c>
      <c r="M239" s="1">
        <v>1815</v>
      </c>
      <c r="N239" s="1">
        <v>1793</v>
      </c>
      <c r="O239" s="1">
        <v>1750</v>
      </c>
      <c r="P239" s="1">
        <v>1717</v>
      </c>
      <c r="Q239" s="1">
        <v>1662</v>
      </c>
      <c r="R239" s="1">
        <v>1645</v>
      </c>
      <c r="S239" s="1">
        <v>1700</v>
      </c>
      <c r="T239" s="1">
        <v>1715</v>
      </c>
      <c r="U239" s="1">
        <v>1750</v>
      </c>
      <c r="V239" s="1">
        <v>1753</v>
      </c>
      <c r="W239" s="1">
        <v>1810</v>
      </c>
      <c r="X239" s="1">
        <v>1828</v>
      </c>
      <c r="Y239" s="1">
        <v>1785</v>
      </c>
      <c r="Z239" s="1">
        <v>1794</v>
      </c>
      <c r="AA239" s="1">
        <v>1844</v>
      </c>
      <c r="AB239" s="1">
        <v>1800</v>
      </c>
      <c r="AC239" s="1">
        <v>1836</v>
      </c>
      <c r="AD239" s="1">
        <v>1890</v>
      </c>
      <c r="AE239" s="1">
        <v>1915</v>
      </c>
      <c r="AF239" s="1">
        <v>1826</v>
      </c>
      <c r="AG239" s="1">
        <v>1824</v>
      </c>
      <c r="AH239" s="1">
        <v>1834</v>
      </c>
      <c r="AI239" s="1">
        <v>1767</v>
      </c>
      <c r="AJ239" s="1">
        <v>1708</v>
      </c>
      <c r="AK239" s="1">
        <v>1732</v>
      </c>
      <c r="AL239" s="1">
        <v>1797</v>
      </c>
      <c r="AM239" s="1">
        <v>1796</v>
      </c>
      <c r="AN239" s="1">
        <v>1783</v>
      </c>
      <c r="AO239" s="1">
        <v>1778</v>
      </c>
      <c r="AP239" s="1">
        <v>1746</v>
      </c>
      <c r="AQ239" s="1">
        <v>1730</v>
      </c>
      <c r="AR239" s="1">
        <v>1732</v>
      </c>
      <c r="AS239" s="1">
        <v>1745</v>
      </c>
      <c r="AT239" s="1">
        <v>1753</v>
      </c>
      <c r="AU239" s="1">
        <v>1807</v>
      </c>
      <c r="AV239" s="1">
        <v>1845</v>
      </c>
      <c r="AW239" s="1">
        <v>1833</v>
      </c>
      <c r="AX239" s="1">
        <v>1605</v>
      </c>
      <c r="AY239" s="1">
        <v>1549</v>
      </c>
      <c r="AZ239" s="1">
        <v>1566</v>
      </c>
      <c r="BA239" s="1">
        <v>1563</v>
      </c>
      <c r="BB239" s="1">
        <v>1589</v>
      </c>
      <c r="BC239" s="1">
        <v>1579</v>
      </c>
      <c r="BD239" s="1">
        <v>1605</v>
      </c>
      <c r="BE239" s="1">
        <v>1629</v>
      </c>
      <c r="BF239" s="1">
        <v>1600</v>
      </c>
      <c r="BG239" s="1">
        <v>1575</v>
      </c>
      <c r="BH239" s="1">
        <v>1600</v>
      </c>
      <c r="BI239" s="1">
        <v>1583</v>
      </c>
      <c r="BJ239" s="1">
        <v>1517</v>
      </c>
      <c r="BK239" s="1">
        <v>1504</v>
      </c>
      <c r="BL239" s="1">
        <v>1454</v>
      </c>
      <c r="BM239" s="1">
        <v>1492</v>
      </c>
      <c r="BN239" s="1">
        <v>1522</v>
      </c>
      <c r="BO239" s="1">
        <v>1544</v>
      </c>
      <c r="BP239" s="1">
        <v>1491</v>
      </c>
    </row>
    <row r="240" spans="1:68">
      <c r="A240" s="65" t="s">
        <v>453</v>
      </c>
      <c r="B240" s="1" t="str">
        <f>銘柄管理!C240</f>
        <v/>
      </c>
      <c r="C240" s="1" t="str">
        <f>_xll.RssMarket("7609","高値")</f>
        <v/>
      </c>
      <c r="E240" s="1">
        <v>3370</v>
      </c>
      <c r="F240" s="1">
        <v>3505</v>
      </c>
      <c r="G240" s="1">
        <v>3390</v>
      </c>
      <c r="H240" s="1">
        <v>3590</v>
      </c>
      <c r="I240" s="1">
        <v>3565</v>
      </c>
      <c r="J240" s="1">
        <v>3500</v>
      </c>
      <c r="K240" s="1">
        <v>3515</v>
      </c>
      <c r="L240" s="1">
        <v>3640</v>
      </c>
      <c r="M240" s="1">
        <v>3710</v>
      </c>
      <c r="N240" s="1">
        <v>3670</v>
      </c>
      <c r="O240" s="1">
        <v>3735</v>
      </c>
      <c r="P240" s="1">
        <v>3795</v>
      </c>
      <c r="Q240" s="1">
        <v>3720</v>
      </c>
      <c r="R240" s="1">
        <v>3710</v>
      </c>
      <c r="S240" s="1">
        <v>3795</v>
      </c>
      <c r="T240" s="1">
        <v>3835</v>
      </c>
      <c r="U240" s="1">
        <v>3865</v>
      </c>
      <c r="V240" s="1">
        <v>3960</v>
      </c>
      <c r="W240" s="1">
        <v>3990</v>
      </c>
      <c r="X240" s="1">
        <v>3930</v>
      </c>
      <c r="Y240" s="1">
        <v>3885</v>
      </c>
      <c r="Z240" s="1">
        <v>3650</v>
      </c>
      <c r="AA240" s="1">
        <v>3630</v>
      </c>
      <c r="AB240" s="1">
        <v>3640</v>
      </c>
      <c r="AC240" s="1">
        <v>3540</v>
      </c>
      <c r="AD240" s="1">
        <v>3435</v>
      </c>
      <c r="AE240" s="1">
        <v>3560</v>
      </c>
      <c r="AF240" s="1">
        <v>3650</v>
      </c>
      <c r="AG240" s="1">
        <v>3785</v>
      </c>
      <c r="AH240" s="1">
        <v>3795</v>
      </c>
      <c r="AI240" s="1">
        <v>3730</v>
      </c>
      <c r="AJ240" s="1">
        <v>3615</v>
      </c>
      <c r="AK240" s="1">
        <v>3655</v>
      </c>
      <c r="AL240" s="1">
        <v>3580</v>
      </c>
      <c r="AM240" s="1">
        <v>3700</v>
      </c>
      <c r="AN240" s="1">
        <v>3690</v>
      </c>
      <c r="AO240" s="1">
        <v>3680</v>
      </c>
      <c r="AP240" s="1">
        <v>3625</v>
      </c>
      <c r="AQ240" s="1">
        <v>3535</v>
      </c>
      <c r="AR240" s="1">
        <v>3875</v>
      </c>
      <c r="AS240" s="1">
        <v>3910</v>
      </c>
      <c r="AT240" s="1">
        <v>4075</v>
      </c>
      <c r="AU240" s="1">
        <v>4090</v>
      </c>
      <c r="AV240" s="1">
        <v>3895</v>
      </c>
      <c r="AW240" s="1">
        <v>3985</v>
      </c>
      <c r="AX240" s="1">
        <v>4015</v>
      </c>
      <c r="AY240" s="1">
        <v>3975</v>
      </c>
      <c r="AZ240" s="1">
        <v>3420</v>
      </c>
      <c r="BA240" s="1">
        <v>3205</v>
      </c>
      <c r="BB240" s="1">
        <v>2941</v>
      </c>
      <c r="BC240" s="1">
        <v>2908</v>
      </c>
      <c r="BD240" s="1">
        <v>2917</v>
      </c>
      <c r="BE240" s="1">
        <v>2906</v>
      </c>
      <c r="BF240" s="1">
        <v>2864</v>
      </c>
      <c r="BG240" s="1">
        <v>2882</v>
      </c>
      <c r="BH240" s="1">
        <v>2912</v>
      </c>
      <c r="BI240" s="1">
        <v>2886</v>
      </c>
      <c r="BJ240" s="1">
        <v>2957</v>
      </c>
      <c r="BK240" s="1">
        <v>2961</v>
      </c>
      <c r="BL240" s="1">
        <v>2987</v>
      </c>
      <c r="BM240" s="1">
        <v>2930</v>
      </c>
      <c r="BN240" s="1">
        <v>2855</v>
      </c>
      <c r="BO240" s="1">
        <v>2823</v>
      </c>
      <c r="BP240" s="1">
        <v>2843</v>
      </c>
    </row>
    <row r="241" spans="1:68">
      <c r="A241" s="65" t="s">
        <v>454</v>
      </c>
      <c r="B241" s="1" t="str">
        <f>銘柄管理!C241</f>
        <v/>
      </c>
      <c r="C241" s="1" t="str">
        <f>_xll.RssMarket("7972","高値")</f>
        <v/>
      </c>
      <c r="E241" s="1">
        <v>2810</v>
      </c>
      <c r="F241" s="1">
        <v>2876</v>
      </c>
      <c r="G241" s="1">
        <v>2850</v>
      </c>
      <c r="H241" s="1">
        <v>2832</v>
      </c>
      <c r="I241" s="1">
        <v>2875</v>
      </c>
      <c r="J241" s="1">
        <v>2865</v>
      </c>
      <c r="K241" s="1">
        <v>2955</v>
      </c>
      <c r="L241" s="1">
        <v>2892</v>
      </c>
      <c r="M241" s="1">
        <v>2863</v>
      </c>
      <c r="N241" s="1">
        <v>2740</v>
      </c>
      <c r="O241" s="1">
        <v>2656</v>
      </c>
      <c r="P241" s="1">
        <v>2655</v>
      </c>
      <c r="Q241" s="1">
        <v>2687</v>
      </c>
      <c r="R241" s="1">
        <v>2666</v>
      </c>
      <c r="S241" s="1">
        <v>2638</v>
      </c>
      <c r="T241" s="1">
        <v>2605</v>
      </c>
      <c r="U241" s="1">
        <v>2581</v>
      </c>
      <c r="V241" s="1">
        <v>2585</v>
      </c>
      <c r="W241" s="1">
        <v>2599</v>
      </c>
      <c r="X241" s="1">
        <v>2530</v>
      </c>
      <c r="Y241" s="1">
        <v>2494</v>
      </c>
      <c r="Z241" s="1">
        <v>2470</v>
      </c>
      <c r="AA241" s="1">
        <v>2477</v>
      </c>
      <c r="AB241" s="1">
        <v>2485</v>
      </c>
      <c r="AC241" s="1">
        <v>2454</v>
      </c>
      <c r="AD241" s="1">
        <v>2429</v>
      </c>
      <c r="AE241" s="1">
        <v>2430</v>
      </c>
      <c r="AF241" s="1">
        <v>2428</v>
      </c>
      <c r="AG241" s="1">
        <v>2460</v>
      </c>
      <c r="AH241" s="1">
        <v>2434</v>
      </c>
      <c r="AI241" s="1">
        <v>2477</v>
      </c>
      <c r="AJ241" s="1">
        <v>2486</v>
      </c>
      <c r="AK241" s="1">
        <v>2620</v>
      </c>
      <c r="AL241" s="1">
        <v>2700</v>
      </c>
      <c r="AM241" s="1">
        <v>2757</v>
      </c>
      <c r="AN241" s="1">
        <v>2639</v>
      </c>
      <c r="AO241" s="1">
        <v>2649</v>
      </c>
      <c r="AP241" s="1">
        <v>2699</v>
      </c>
      <c r="AQ241" s="1">
        <v>2719</v>
      </c>
      <c r="AR241" s="1">
        <v>2813</v>
      </c>
      <c r="AS241" s="1">
        <v>2725</v>
      </c>
      <c r="AT241" s="1">
        <v>2801</v>
      </c>
      <c r="AU241" s="1">
        <v>2827</v>
      </c>
      <c r="AV241" s="1">
        <v>2833</v>
      </c>
      <c r="AW241" s="1">
        <v>2837</v>
      </c>
      <c r="AX241" s="1">
        <v>2922</v>
      </c>
      <c r="AY241" s="1">
        <v>2964</v>
      </c>
      <c r="AZ241" s="1">
        <v>3295</v>
      </c>
      <c r="BA241" s="1">
        <v>3160</v>
      </c>
      <c r="BB241" s="1">
        <v>3220</v>
      </c>
      <c r="BC241" s="1">
        <v>3300</v>
      </c>
      <c r="BD241" s="1">
        <v>3270</v>
      </c>
      <c r="BE241" s="1">
        <v>3225</v>
      </c>
      <c r="BF241" s="1">
        <v>3240</v>
      </c>
      <c r="BG241" s="1">
        <v>3325</v>
      </c>
      <c r="BH241" s="1">
        <v>3370</v>
      </c>
      <c r="BI241" s="1">
        <v>3355</v>
      </c>
      <c r="BJ241" s="1">
        <v>3335</v>
      </c>
      <c r="BK241" s="1">
        <v>3380</v>
      </c>
      <c r="BL241" s="1">
        <v>3600</v>
      </c>
      <c r="BM241" s="1">
        <v>3620</v>
      </c>
      <c r="BN241" s="1">
        <v>3585</v>
      </c>
      <c r="BO241" s="1">
        <v>3535</v>
      </c>
      <c r="BP241" s="1">
        <v>3525</v>
      </c>
    </row>
    <row r="242" spans="1:68">
      <c r="A242" s="65" t="s">
        <v>455</v>
      </c>
      <c r="B242" s="1" t="str">
        <f>銘柄管理!C242</f>
        <v/>
      </c>
      <c r="C242" s="1" t="str">
        <f>_xll.RssMarket("6521","高値")</f>
        <v/>
      </c>
      <c r="E242" s="1">
        <v>3580</v>
      </c>
      <c r="F242" s="1">
        <v>3985</v>
      </c>
      <c r="G242" s="1">
        <v>4230</v>
      </c>
      <c r="H242" s="1">
        <v>4475</v>
      </c>
      <c r="I242" s="1">
        <v>4440</v>
      </c>
      <c r="J242" s="1">
        <v>4330</v>
      </c>
      <c r="K242" s="1">
        <v>4170</v>
      </c>
      <c r="L242" s="1">
        <v>4465</v>
      </c>
      <c r="M242" s="1">
        <v>4565</v>
      </c>
      <c r="N242" s="1">
        <v>4585</v>
      </c>
      <c r="O242" s="1">
        <v>4530</v>
      </c>
      <c r="P242" s="1">
        <v>4885</v>
      </c>
      <c r="Q242" s="1">
        <v>4760</v>
      </c>
      <c r="R242" s="1">
        <v>4845</v>
      </c>
      <c r="S242" s="1">
        <v>4905</v>
      </c>
      <c r="T242" s="1">
        <v>5280</v>
      </c>
      <c r="U242" s="1">
        <v>5360</v>
      </c>
      <c r="V242" s="1">
        <v>5290</v>
      </c>
      <c r="W242" s="1">
        <v>5280</v>
      </c>
      <c r="X242" s="1">
        <v>5210</v>
      </c>
      <c r="Y242" s="1">
        <v>4795</v>
      </c>
      <c r="Z242" s="1">
        <v>4900</v>
      </c>
      <c r="AA242" s="1">
        <v>4800</v>
      </c>
      <c r="AB242" s="1">
        <v>4610</v>
      </c>
      <c r="AC242" s="1">
        <v>4575</v>
      </c>
      <c r="AD242" s="1">
        <v>4455</v>
      </c>
      <c r="AE242" s="1">
        <v>4730</v>
      </c>
      <c r="AF242" s="1">
        <v>4935</v>
      </c>
      <c r="AG242" s="1">
        <v>5170</v>
      </c>
      <c r="AH242" s="1">
        <v>5000</v>
      </c>
      <c r="AI242" s="1">
        <v>5380</v>
      </c>
      <c r="AJ242" s="1">
        <v>5290</v>
      </c>
      <c r="AK242" s="1">
        <v>5940</v>
      </c>
      <c r="AL242" s="1">
        <v>6180</v>
      </c>
      <c r="AM242" s="1">
        <v>5950</v>
      </c>
      <c r="AN242" s="1">
        <v>6450</v>
      </c>
      <c r="AO242" s="1">
        <v>6440</v>
      </c>
      <c r="AP242" s="1">
        <v>5940</v>
      </c>
      <c r="AQ242" s="1">
        <v>6000</v>
      </c>
      <c r="AR242" s="1">
        <v>6710</v>
      </c>
      <c r="AS242" s="1">
        <v>6800</v>
      </c>
      <c r="AT242" s="1">
        <v>6520</v>
      </c>
      <c r="AU242" s="1">
        <v>6890</v>
      </c>
      <c r="AV242" s="1">
        <v>6390</v>
      </c>
      <c r="AW242" s="1">
        <v>7420</v>
      </c>
      <c r="AX242" s="1">
        <v>7050</v>
      </c>
      <c r="AY242" s="1">
        <v>6210</v>
      </c>
      <c r="AZ242" s="1">
        <v>5350</v>
      </c>
      <c r="BA242" s="1">
        <v>4835</v>
      </c>
      <c r="BB242" s="1">
        <v>4840</v>
      </c>
      <c r="BC242" s="1">
        <v>4755</v>
      </c>
      <c r="BD242" s="1">
        <v>4835</v>
      </c>
      <c r="BE242" s="1">
        <v>4850</v>
      </c>
      <c r="BF242" s="1">
        <v>4935</v>
      </c>
      <c r="BG242" s="1">
        <v>5220</v>
      </c>
      <c r="BH242" s="1">
        <v>5090</v>
      </c>
      <c r="BI242" s="1">
        <v>4425</v>
      </c>
      <c r="BJ242" s="1">
        <v>4485</v>
      </c>
      <c r="BK242" s="1">
        <v>4555</v>
      </c>
      <c r="BL242" s="1">
        <v>5290</v>
      </c>
      <c r="BM242" s="1">
        <v>5640</v>
      </c>
      <c r="BN242" s="1">
        <v>5070</v>
      </c>
      <c r="BO242" s="1">
        <v>4725</v>
      </c>
      <c r="BP242" s="1">
        <v>4545</v>
      </c>
    </row>
    <row r="243" spans="1:68">
      <c r="A243" s="65" t="s">
        <v>456</v>
      </c>
      <c r="B243" s="1" t="str">
        <f>銘柄管理!C243</f>
        <v/>
      </c>
      <c r="C243" s="1" t="str">
        <f>_xll.RssMarket("9165","高値")</f>
        <v/>
      </c>
      <c r="E243" s="1">
        <v>1713</v>
      </c>
      <c r="F243" s="1">
        <v>1745</v>
      </c>
      <c r="G243" s="1">
        <v>1772</v>
      </c>
      <c r="H243" s="1">
        <v>1785</v>
      </c>
      <c r="I243" s="1">
        <v>1808</v>
      </c>
      <c r="J243" s="1">
        <v>1773</v>
      </c>
      <c r="K243" s="1">
        <v>1756</v>
      </c>
      <c r="L243" s="1">
        <v>1761</v>
      </c>
      <c r="M243" s="1">
        <v>1804</v>
      </c>
      <c r="N243" s="1">
        <v>1777</v>
      </c>
      <c r="O243" s="1">
        <v>1770</v>
      </c>
      <c r="P243" s="1">
        <v>1800</v>
      </c>
      <c r="Q243" s="1">
        <v>1780</v>
      </c>
      <c r="R243" s="1">
        <v>1769</v>
      </c>
      <c r="S243" s="1">
        <v>1766</v>
      </c>
      <c r="T243" s="1">
        <v>1782</v>
      </c>
      <c r="U243" s="1">
        <v>1795</v>
      </c>
      <c r="V243" s="1">
        <v>1820</v>
      </c>
      <c r="W243" s="1">
        <v>1849</v>
      </c>
      <c r="X243" s="1">
        <v>1746</v>
      </c>
      <c r="Y243" s="1">
        <v>1741</v>
      </c>
      <c r="Z243" s="1">
        <v>1772</v>
      </c>
      <c r="AA243" s="1">
        <v>1723</v>
      </c>
      <c r="AB243" s="1">
        <v>1740</v>
      </c>
      <c r="AC243" s="1">
        <v>1725</v>
      </c>
      <c r="AD243" s="1">
        <v>1690</v>
      </c>
      <c r="AE243" s="1">
        <v>1714</v>
      </c>
      <c r="AF243" s="1">
        <v>1761</v>
      </c>
      <c r="AG243" s="1">
        <v>1876</v>
      </c>
      <c r="AH243" s="1">
        <v>1879</v>
      </c>
      <c r="AI243" s="1">
        <v>1839</v>
      </c>
      <c r="AJ243" s="1">
        <v>1818</v>
      </c>
      <c r="AK243" s="1">
        <v>1910</v>
      </c>
      <c r="AL243" s="1">
        <v>1964</v>
      </c>
      <c r="AM243" s="1">
        <v>2171</v>
      </c>
      <c r="AN243" s="1">
        <v>2350</v>
      </c>
      <c r="AO243" s="1">
        <v>2005</v>
      </c>
      <c r="AP243" s="1">
        <v>1825</v>
      </c>
      <c r="AQ243" s="1">
        <v>1917</v>
      </c>
      <c r="AR243" s="1">
        <v>1850</v>
      </c>
      <c r="AS243" s="1">
        <v>1847</v>
      </c>
      <c r="AT243" s="1">
        <v>1799</v>
      </c>
      <c r="AU243" s="1">
        <v>1786</v>
      </c>
      <c r="AV243" s="1">
        <v>1777</v>
      </c>
      <c r="AW243" s="1">
        <v>1850</v>
      </c>
      <c r="AX243" s="1">
        <v>1864</v>
      </c>
      <c r="AY243" s="1">
        <v>1959</v>
      </c>
      <c r="AZ243" s="1">
        <v>1611</v>
      </c>
      <c r="BA243" s="1">
        <v>1490</v>
      </c>
      <c r="BB243" s="1">
        <v>1479</v>
      </c>
      <c r="BC243" s="1">
        <v>1470</v>
      </c>
      <c r="BD243" s="1">
        <v>1480</v>
      </c>
      <c r="BE243" s="1">
        <v>1469</v>
      </c>
      <c r="BF243" s="1">
        <v>1469</v>
      </c>
      <c r="BG243" s="1">
        <v>1470</v>
      </c>
      <c r="BH243" s="1">
        <v>1477</v>
      </c>
      <c r="BI243" s="1">
        <v>1472</v>
      </c>
      <c r="BJ243" s="1">
        <v>1477</v>
      </c>
      <c r="BK243" s="1">
        <v>1472</v>
      </c>
      <c r="BL243" s="1">
        <v>1457</v>
      </c>
      <c r="BM243" s="1">
        <v>1446</v>
      </c>
      <c r="BN243" s="1">
        <v>1437</v>
      </c>
      <c r="BO243" s="1">
        <v>1448</v>
      </c>
      <c r="BP243" s="1">
        <v>1500</v>
      </c>
    </row>
    <row r="244" spans="1:68">
      <c r="A244" s="65" t="s">
        <v>457</v>
      </c>
      <c r="B244" s="1" t="str">
        <f>銘柄管理!C244</f>
        <v/>
      </c>
      <c r="C244" s="1" t="str">
        <f>_xll.RssMarket("6902","高値")</f>
        <v/>
      </c>
      <c r="E244" s="1">
        <v>1983.5</v>
      </c>
      <c r="F244" s="1">
        <v>1963</v>
      </c>
      <c r="G244" s="1">
        <v>1951</v>
      </c>
      <c r="H244" s="1">
        <v>1946</v>
      </c>
      <c r="I244" s="1">
        <v>1958.5</v>
      </c>
      <c r="J244" s="1">
        <v>1937</v>
      </c>
      <c r="K244" s="1">
        <v>1986</v>
      </c>
      <c r="L244" s="1">
        <v>2018</v>
      </c>
      <c r="M244" s="1">
        <v>1999</v>
      </c>
      <c r="N244" s="1">
        <v>1981.5</v>
      </c>
      <c r="O244" s="1">
        <v>1939</v>
      </c>
      <c r="P244" s="1">
        <v>1888</v>
      </c>
      <c r="Q244" s="1">
        <v>1897</v>
      </c>
      <c r="R244" s="1">
        <v>1894</v>
      </c>
      <c r="S244" s="1">
        <v>1881</v>
      </c>
      <c r="T244" s="1">
        <v>1890</v>
      </c>
      <c r="U244" s="1">
        <v>1896</v>
      </c>
      <c r="V244" s="1">
        <v>1901.5</v>
      </c>
      <c r="W244" s="1">
        <v>1905.5</v>
      </c>
      <c r="X244" s="1">
        <v>1933</v>
      </c>
      <c r="Y244" s="1">
        <v>1939</v>
      </c>
      <c r="Z244" s="1">
        <v>1923</v>
      </c>
      <c r="AA244" s="1">
        <v>1902</v>
      </c>
      <c r="AB244" s="1">
        <v>1923</v>
      </c>
      <c r="AC244" s="1">
        <v>1863.5</v>
      </c>
      <c r="AD244" s="1">
        <v>1842</v>
      </c>
      <c r="AE244" s="1">
        <v>1925</v>
      </c>
      <c r="AF244" s="1">
        <v>1931</v>
      </c>
      <c r="AG244" s="1">
        <v>1914.5</v>
      </c>
      <c r="AH244" s="1">
        <v>1941</v>
      </c>
      <c r="AI244" s="1">
        <v>1942.5</v>
      </c>
      <c r="AJ244" s="1">
        <v>1873</v>
      </c>
      <c r="AK244" s="1">
        <v>1927.5</v>
      </c>
      <c r="AL244" s="1">
        <v>1904.5</v>
      </c>
      <c r="AM244" s="1">
        <v>1894</v>
      </c>
      <c r="AN244" s="1">
        <v>1865.5</v>
      </c>
      <c r="AO244" s="1">
        <v>1851</v>
      </c>
      <c r="AP244" s="1">
        <v>1869</v>
      </c>
      <c r="AQ244" s="1">
        <v>1872.5</v>
      </c>
      <c r="AR244" s="1">
        <v>1870</v>
      </c>
      <c r="AS244" s="1">
        <v>1908</v>
      </c>
      <c r="AT244" s="1">
        <v>1958.5</v>
      </c>
      <c r="AU244" s="1">
        <v>1910</v>
      </c>
      <c r="AV244" s="1">
        <v>1928</v>
      </c>
      <c r="AW244" s="1">
        <v>1896</v>
      </c>
      <c r="AX244" s="1">
        <v>1914</v>
      </c>
      <c r="AY244" s="1">
        <v>1948.5</v>
      </c>
      <c r="AZ244" s="1">
        <v>1927</v>
      </c>
      <c r="BA244" s="1">
        <v>1903.5</v>
      </c>
      <c r="BB244" s="1">
        <v>1899.5</v>
      </c>
      <c r="BC244" s="1">
        <v>1945</v>
      </c>
      <c r="BD244" s="1">
        <v>1942</v>
      </c>
      <c r="BE244" s="1">
        <v>1900</v>
      </c>
      <c r="BF244" s="1">
        <v>1923.5</v>
      </c>
      <c r="BG244" s="1">
        <v>1941</v>
      </c>
      <c r="BH244" s="1">
        <v>1972</v>
      </c>
      <c r="BI244" s="1">
        <v>1962.5</v>
      </c>
      <c r="BJ244" s="1">
        <v>1942.5</v>
      </c>
      <c r="BK244" s="1">
        <v>1950</v>
      </c>
      <c r="BL244" s="1">
        <v>1988</v>
      </c>
      <c r="BM244" s="1">
        <v>1941</v>
      </c>
      <c r="BN244" s="1">
        <v>1932.5</v>
      </c>
      <c r="BO244" s="1">
        <v>1965.5</v>
      </c>
      <c r="BP244" s="1">
        <v>1987</v>
      </c>
    </row>
    <row r="245" spans="1:68">
      <c r="A245" s="65" t="s">
        <v>458</v>
      </c>
      <c r="B245" s="1" t="str">
        <f>銘柄管理!C245</f>
        <v/>
      </c>
      <c r="C245" s="1" t="str">
        <f>_xll.RssMarket("3936","高値")</f>
        <v/>
      </c>
      <c r="E245" s="1">
        <v>162</v>
      </c>
      <c r="F245" s="1">
        <v>171</v>
      </c>
      <c r="G245" s="1">
        <v>166</v>
      </c>
      <c r="H245" s="1">
        <v>167</v>
      </c>
      <c r="I245" s="1">
        <v>162</v>
      </c>
      <c r="J245" s="1">
        <v>156</v>
      </c>
      <c r="K245" s="1">
        <v>154</v>
      </c>
      <c r="L245" s="1">
        <v>163</v>
      </c>
      <c r="M245" s="1">
        <v>168</v>
      </c>
      <c r="N245" s="1">
        <v>157</v>
      </c>
      <c r="O245" s="1">
        <v>154</v>
      </c>
      <c r="P245" s="1">
        <v>150</v>
      </c>
      <c r="Q245" s="1">
        <v>151</v>
      </c>
      <c r="R245" s="1">
        <v>157</v>
      </c>
      <c r="S245" s="1">
        <v>161</v>
      </c>
      <c r="T245" s="1">
        <v>165</v>
      </c>
      <c r="U245" s="1">
        <v>166</v>
      </c>
      <c r="V245" s="1">
        <v>167</v>
      </c>
      <c r="W245" s="1">
        <v>174</v>
      </c>
      <c r="X245" s="1">
        <v>170</v>
      </c>
      <c r="Y245" s="1">
        <v>166</v>
      </c>
      <c r="Z245" s="1">
        <v>157</v>
      </c>
      <c r="AA245" s="1">
        <v>164</v>
      </c>
      <c r="AB245" s="1">
        <v>170</v>
      </c>
      <c r="AC245" s="1">
        <v>165</v>
      </c>
      <c r="AD245" s="1">
        <v>168</v>
      </c>
      <c r="AE245" s="1">
        <v>175</v>
      </c>
      <c r="AF245" s="1">
        <v>184</v>
      </c>
      <c r="AG245" s="1">
        <v>188</v>
      </c>
      <c r="AH245" s="1">
        <v>178</v>
      </c>
      <c r="AI245" s="1">
        <v>171</v>
      </c>
      <c r="AJ245" s="1">
        <v>170</v>
      </c>
      <c r="AK245" s="1">
        <v>173</v>
      </c>
      <c r="AL245" s="1">
        <v>178</v>
      </c>
      <c r="AM245" s="1">
        <v>209</v>
      </c>
      <c r="AN245" s="1">
        <v>168</v>
      </c>
      <c r="AO245" s="1">
        <v>165</v>
      </c>
      <c r="AP245" s="1">
        <v>169</v>
      </c>
      <c r="AQ245" s="1">
        <v>171</v>
      </c>
      <c r="AR245" s="1">
        <v>181</v>
      </c>
      <c r="AS245" s="1">
        <v>177</v>
      </c>
      <c r="AT245" s="1">
        <v>176</v>
      </c>
      <c r="AU245" s="1">
        <v>214</v>
      </c>
      <c r="AV245" s="1">
        <v>206</v>
      </c>
      <c r="AW245" s="1">
        <v>172</v>
      </c>
      <c r="AX245" s="1">
        <v>179</v>
      </c>
      <c r="AY245" s="1">
        <v>178</v>
      </c>
      <c r="AZ245" s="1">
        <v>176</v>
      </c>
      <c r="BA245" s="1">
        <v>182</v>
      </c>
      <c r="BB245" s="1">
        <v>193</v>
      </c>
      <c r="BC245" s="1">
        <v>193</v>
      </c>
      <c r="BD245" s="1">
        <v>235</v>
      </c>
      <c r="BE245" s="1">
        <v>239</v>
      </c>
      <c r="BF245" s="1">
        <v>279</v>
      </c>
      <c r="BG245" s="1">
        <v>237</v>
      </c>
      <c r="BH245" s="1">
        <v>249</v>
      </c>
      <c r="BI245" s="1">
        <v>199</v>
      </c>
      <c r="BJ245" s="1">
        <v>165</v>
      </c>
      <c r="BK245" s="1">
        <v>131</v>
      </c>
      <c r="BL245" s="1">
        <v>128</v>
      </c>
      <c r="BM245" s="1">
        <v>125</v>
      </c>
      <c r="BN245" s="1">
        <v>126</v>
      </c>
      <c r="BO245" s="1">
        <v>128</v>
      </c>
      <c r="BP245" s="1">
        <v>129</v>
      </c>
    </row>
    <row r="246" spans="1:68">
      <c r="A246" s="65" t="s">
        <v>459</v>
      </c>
      <c r="B246" s="1" t="str">
        <f>銘柄管理!C246</f>
        <v/>
      </c>
      <c r="C246" s="1" t="str">
        <f>_xll.RssMarket("6928","高値")</f>
        <v/>
      </c>
      <c r="E246" s="1">
        <v>2735</v>
      </c>
      <c r="F246" s="1">
        <v>2878</v>
      </c>
      <c r="G246" s="1">
        <v>2887</v>
      </c>
      <c r="H246" s="1">
        <v>2940</v>
      </c>
      <c r="I246" s="1">
        <v>2949</v>
      </c>
      <c r="J246" s="1">
        <v>2864</v>
      </c>
      <c r="K246" s="1">
        <v>2806</v>
      </c>
      <c r="L246" s="1">
        <v>2922</v>
      </c>
      <c r="M246" s="1">
        <v>2944</v>
      </c>
      <c r="N246" s="1">
        <v>2917</v>
      </c>
      <c r="O246" s="1">
        <v>3000</v>
      </c>
      <c r="P246" s="1">
        <v>3110</v>
      </c>
      <c r="Q246" s="1">
        <v>3135</v>
      </c>
      <c r="R246" s="1">
        <v>3165</v>
      </c>
      <c r="S246" s="1">
        <v>3325</v>
      </c>
      <c r="T246" s="1">
        <v>3485</v>
      </c>
      <c r="U246" s="1">
        <v>3470</v>
      </c>
      <c r="V246" s="1">
        <v>3535</v>
      </c>
      <c r="W246" s="1">
        <v>3620</v>
      </c>
      <c r="X246" s="1">
        <v>3590</v>
      </c>
      <c r="Y246" s="1">
        <v>3500</v>
      </c>
      <c r="Z246" s="1">
        <v>3400</v>
      </c>
      <c r="AA246" s="1">
        <v>3385</v>
      </c>
      <c r="AB246" s="1">
        <v>3355</v>
      </c>
      <c r="AC246" s="1">
        <v>3390</v>
      </c>
      <c r="AD246" s="1">
        <v>3385</v>
      </c>
      <c r="AE246" s="1">
        <v>3530</v>
      </c>
      <c r="AF246" s="1">
        <v>3495</v>
      </c>
      <c r="AG246" s="1">
        <v>3690</v>
      </c>
      <c r="AH246" s="1">
        <v>3720</v>
      </c>
      <c r="AI246" s="1">
        <v>3820</v>
      </c>
      <c r="AJ246" s="1">
        <v>3880</v>
      </c>
      <c r="AK246" s="1">
        <v>3905</v>
      </c>
      <c r="AL246" s="1">
        <v>3735</v>
      </c>
      <c r="AM246" s="1">
        <v>3745</v>
      </c>
      <c r="AN246" s="1">
        <v>3700</v>
      </c>
      <c r="AO246" s="1">
        <v>3670</v>
      </c>
      <c r="AP246" s="1">
        <v>3580</v>
      </c>
      <c r="AQ246" s="1">
        <v>3520</v>
      </c>
      <c r="AR246" s="1">
        <v>3560</v>
      </c>
      <c r="AS246" s="1">
        <v>3560</v>
      </c>
      <c r="AT246" s="1">
        <v>3680</v>
      </c>
      <c r="AU246" s="1">
        <v>3620</v>
      </c>
      <c r="AV246" s="1">
        <v>3540</v>
      </c>
      <c r="AW246" s="1">
        <v>3620</v>
      </c>
      <c r="AX246" s="1">
        <v>3980</v>
      </c>
      <c r="AY246" s="1">
        <v>3620</v>
      </c>
      <c r="AZ246" s="1">
        <v>3655</v>
      </c>
      <c r="BA246" s="1">
        <v>3470</v>
      </c>
      <c r="BB246" s="1">
        <v>3305</v>
      </c>
      <c r="BC246" s="1">
        <v>3235</v>
      </c>
      <c r="BD246" s="1">
        <v>3165</v>
      </c>
      <c r="BE246" s="1">
        <v>3210</v>
      </c>
      <c r="BF246" s="1">
        <v>3230</v>
      </c>
      <c r="BG246" s="1">
        <v>3230</v>
      </c>
      <c r="BH246" s="1">
        <v>3295</v>
      </c>
      <c r="BI246" s="1">
        <v>3270</v>
      </c>
      <c r="BJ246" s="1">
        <v>3335</v>
      </c>
      <c r="BK246" s="1">
        <v>3370</v>
      </c>
      <c r="BL246" s="1">
        <v>3345</v>
      </c>
      <c r="BM246" s="1">
        <v>3245</v>
      </c>
      <c r="BN246" s="1">
        <v>3160</v>
      </c>
      <c r="BO246" s="1">
        <v>3200</v>
      </c>
      <c r="BP246" s="1">
        <v>3110</v>
      </c>
    </row>
    <row r="247" spans="1:68">
      <c r="A247" s="65" t="s">
        <v>460</v>
      </c>
      <c r="B247" s="1" t="str">
        <f>銘柄管理!C247</f>
        <v/>
      </c>
      <c r="C247" s="1" t="str">
        <f>_xll.RssMarket("5632","高値")</f>
        <v/>
      </c>
      <c r="E247" s="1">
        <v>2147</v>
      </c>
      <c r="F247" s="1">
        <v>2200</v>
      </c>
      <c r="G247" s="1">
        <v>2155</v>
      </c>
      <c r="H247" s="1">
        <v>2144</v>
      </c>
      <c r="I247" s="1">
        <v>2133</v>
      </c>
      <c r="J247" s="1">
        <v>2138</v>
      </c>
      <c r="K247" s="1">
        <v>2171</v>
      </c>
      <c r="L247" s="1">
        <v>2230</v>
      </c>
      <c r="M247" s="1">
        <v>2244</v>
      </c>
      <c r="N247" s="1">
        <v>2208</v>
      </c>
      <c r="O247" s="1">
        <v>2170</v>
      </c>
      <c r="P247" s="1">
        <v>2197</v>
      </c>
      <c r="Q247" s="1">
        <v>2224</v>
      </c>
      <c r="R247" s="1">
        <v>2230</v>
      </c>
      <c r="S247" s="1">
        <v>2262</v>
      </c>
      <c r="T247" s="1">
        <v>2292</v>
      </c>
      <c r="U247" s="1">
        <v>2430</v>
      </c>
      <c r="V247" s="1">
        <v>2425</v>
      </c>
      <c r="W247" s="1">
        <v>2347</v>
      </c>
      <c r="X247" s="1">
        <v>2292</v>
      </c>
      <c r="Y247" s="1">
        <v>2185</v>
      </c>
      <c r="Z247" s="1">
        <v>2207</v>
      </c>
      <c r="AA247" s="1">
        <v>2215</v>
      </c>
      <c r="AB247" s="1">
        <v>2188</v>
      </c>
      <c r="AC247" s="1">
        <v>2111</v>
      </c>
      <c r="AD247" s="1">
        <v>2123</v>
      </c>
      <c r="AE247" s="1">
        <v>2111</v>
      </c>
      <c r="AF247" s="1">
        <v>2157</v>
      </c>
      <c r="AG247" s="1">
        <v>2117</v>
      </c>
      <c r="AH247" s="1">
        <v>2137</v>
      </c>
      <c r="AI247" s="1">
        <v>2115</v>
      </c>
      <c r="AJ247" s="1">
        <v>2195</v>
      </c>
      <c r="AK247" s="1">
        <v>2142</v>
      </c>
      <c r="AL247" s="1">
        <v>2170</v>
      </c>
      <c r="AM247" s="1">
        <v>2169</v>
      </c>
      <c r="AN247" s="1">
        <v>2158</v>
      </c>
      <c r="AO247" s="1">
        <v>2122</v>
      </c>
      <c r="AP247" s="1">
        <v>2061</v>
      </c>
      <c r="AQ247" s="1">
        <v>2094</v>
      </c>
      <c r="AR247" s="1">
        <v>2145</v>
      </c>
      <c r="AS247" s="1">
        <v>2210</v>
      </c>
      <c r="AT247" s="1">
        <v>2077</v>
      </c>
      <c r="AU247" s="1">
        <v>2020</v>
      </c>
      <c r="AV247" s="1">
        <v>1915</v>
      </c>
      <c r="AW247" s="1">
        <v>1908</v>
      </c>
      <c r="AX247" s="1">
        <v>1853</v>
      </c>
      <c r="AY247" s="1">
        <v>1857</v>
      </c>
      <c r="AZ247" s="1">
        <v>1814</v>
      </c>
      <c r="BA247" s="1">
        <v>1808</v>
      </c>
      <c r="BB247" s="1">
        <v>1824</v>
      </c>
      <c r="BC247" s="1">
        <v>1796</v>
      </c>
      <c r="BD247" s="1">
        <v>1811</v>
      </c>
      <c r="BE247" s="1">
        <v>1816</v>
      </c>
      <c r="BF247" s="1">
        <v>1833</v>
      </c>
      <c r="BG247" s="1">
        <v>1851</v>
      </c>
      <c r="BH247" s="1">
        <v>1845</v>
      </c>
      <c r="BI247" s="1">
        <v>1841</v>
      </c>
      <c r="BJ247" s="1">
        <v>1848</v>
      </c>
      <c r="BK247" s="1">
        <v>1847</v>
      </c>
      <c r="BL247" s="1">
        <v>1821</v>
      </c>
      <c r="BM247" s="1">
        <v>1809</v>
      </c>
      <c r="BN247" s="1">
        <v>1834</v>
      </c>
      <c r="BO247" s="1">
        <v>1846</v>
      </c>
      <c r="BP247" s="1">
        <v>1860</v>
      </c>
    </row>
    <row r="248" spans="1:68">
      <c r="A248" s="65" t="s">
        <v>461</v>
      </c>
      <c r="B248" s="1" t="str">
        <f>銘柄管理!C248</f>
        <v/>
      </c>
      <c r="C248" s="1" t="str">
        <f>_xll.RssMarket("6098","高値")</f>
        <v/>
      </c>
      <c r="E248" s="1">
        <v>12880</v>
      </c>
      <c r="F248" s="1">
        <v>12580</v>
      </c>
      <c r="G248" s="1">
        <v>12885</v>
      </c>
      <c r="H248" s="1">
        <v>12370</v>
      </c>
      <c r="I248" s="1">
        <v>12610</v>
      </c>
      <c r="J248" s="1">
        <v>12615</v>
      </c>
      <c r="K248" s="1">
        <v>12425</v>
      </c>
      <c r="L248" s="1">
        <v>12395</v>
      </c>
      <c r="M248" s="1">
        <v>11940</v>
      </c>
      <c r="N248" s="1">
        <v>12195</v>
      </c>
      <c r="O248" s="1">
        <v>12040</v>
      </c>
      <c r="P248" s="1">
        <v>11935</v>
      </c>
      <c r="Q248" s="1">
        <v>11670</v>
      </c>
      <c r="R248" s="1">
        <v>11375</v>
      </c>
      <c r="S248" s="1">
        <v>11240</v>
      </c>
      <c r="T248" s="1">
        <v>11435</v>
      </c>
      <c r="U248" s="1">
        <v>11270</v>
      </c>
      <c r="V248" s="1">
        <v>11300</v>
      </c>
      <c r="W248" s="1">
        <v>11230</v>
      </c>
      <c r="X248" s="1">
        <v>11105</v>
      </c>
      <c r="Y248" s="1">
        <v>11385</v>
      </c>
      <c r="Z248" s="1">
        <v>10800</v>
      </c>
      <c r="AA248" s="1">
        <v>10815</v>
      </c>
      <c r="AB248" s="1">
        <v>10980</v>
      </c>
      <c r="AC248" s="1">
        <v>11140</v>
      </c>
      <c r="AD248" s="1">
        <v>11410</v>
      </c>
      <c r="AE248" s="1">
        <v>11755</v>
      </c>
      <c r="AF248" s="1">
        <v>10845</v>
      </c>
      <c r="AG248" s="1">
        <v>10915</v>
      </c>
      <c r="AH248" s="1">
        <v>10775</v>
      </c>
      <c r="AI248" s="1">
        <v>11015</v>
      </c>
      <c r="AJ248" s="1">
        <v>11190</v>
      </c>
      <c r="AK248" s="1">
        <v>10855</v>
      </c>
      <c r="AL248" s="1">
        <v>10275</v>
      </c>
      <c r="AM248" s="1">
        <v>10100</v>
      </c>
      <c r="AN248" s="1">
        <v>9819</v>
      </c>
      <c r="AO248" s="1">
        <v>9817</v>
      </c>
      <c r="AP248" s="1">
        <v>9747</v>
      </c>
      <c r="AQ248" s="1">
        <v>10010</v>
      </c>
      <c r="AR248" s="1">
        <v>9912</v>
      </c>
      <c r="AS248" s="1">
        <v>9320</v>
      </c>
      <c r="AT248" s="1">
        <v>7842</v>
      </c>
      <c r="AU248" s="1">
        <v>7837</v>
      </c>
      <c r="AV248" s="1">
        <v>7846</v>
      </c>
      <c r="AW248" s="1">
        <v>7722</v>
      </c>
      <c r="AX248" s="1">
        <v>7871</v>
      </c>
      <c r="AY248" s="1">
        <v>7987</v>
      </c>
      <c r="AZ248" s="1">
        <v>7592</v>
      </c>
      <c r="BA248" s="1">
        <v>7387</v>
      </c>
      <c r="BB248" s="1">
        <v>7400</v>
      </c>
      <c r="BC248" s="1">
        <v>7481</v>
      </c>
      <c r="BD248" s="1">
        <v>7435</v>
      </c>
      <c r="BE248" s="1">
        <v>7451</v>
      </c>
      <c r="BF248" s="1">
        <v>7682</v>
      </c>
      <c r="BG248" s="1">
        <v>8011</v>
      </c>
      <c r="BH248" s="1">
        <v>7860</v>
      </c>
      <c r="BI248" s="1">
        <v>7627</v>
      </c>
      <c r="BJ248" s="1">
        <v>7614</v>
      </c>
      <c r="BK248" s="1">
        <v>7345</v>
      </c>
      <c r="BL248" s="1">
        <v>7163</v>
      </c>
      <c r="BM248" s="1">
        <v>7140</v>
      </c>
      <c r="BN248" s="1">
        <v>7113</v>
      </c>
      <c r="BO248" s="1">
        <v>7161</v>
      </c>
      <c r="BP248" s="1">
        <v>7284</v>
      </c>
    </row>
    <row r="249" spans="1:68">
      <c r="A249" s="65" t="s">
        <v>462</v>
      </c>
      <c r="B249" s="1" t="str">
        <f>銘柄管理!C249</f>
        <v/>
      </c>
      <c r="C249" s="1" t="str">
        <f>_xll.RssMarket("6361","高値")</f>
        <v/>
      </c>
      <c r="E249" s="1">
        <v>5705</v>
      </c>
      <c r="F249" s="1">
        <v>6288</v>
      </c>
      <c r="G249" s="1">
        <v>5885</v>
      </c>
      <c r="H249" s="1">
        <v>6247</v>
      </c>
      <c r="I249" s="1">
        <v>6225</v>
      </c>
      <c r="J249" s="1">
        <v>5954</v>
      </c>
      <c r="K249" s="1">
        <v>6045</v>
      </c>
      <c r="L249" s="1">
        <v>6299</v>
      </c>
      <c r="M249" s="1">
        <v>6270</v>
      </c>
      <c r="N249" s="1">
        <v>6098</v>
      </c>
      <c r="O249" s="1">
        <v>6195</v>
      </c>
      <c r="P249" s="1">
        <v>6444</v>
      </c>
      <c r="Q249" s="1">
        <v>6316</v>
      </c>
      <c r="R249" s="1">
        <v>6232</v>
      </c>
      <c r="S249" s="1">
        <v>6523</v>
      </c>
      <c r="T249" s="1">
        <v>6513</v>
      </c>
      <c r="U249" s="1">
        <v>6480</v>
      </c>
      <c r="V249" s="1">
        <v>6814</v>
      </c>
      <c r="W249" s="1">
        <v>6825</v>
      </c>
      <c r="X249" s="1">
        <v>6890</v>
      </c>
      <c r="Y249" s="1">
        <v>6774</v>
      </c>
      <c r="Z249" s="1">
        <v>6527</v>
      </c>
      <c r="AA249" s="1">
        <v>6300</v>
      </c>
      <c r="AB249" s="1">
        <v>6204</v>
      </c>
      <c r="AC249" s="1">
        <v>5609</v>
      </c>
      <c r="AD249" s="1">
        <v>5316</v>
      </c>
      <c r="AE249" s="1">
        <v>5388</v>
      </c>
      <c r="AF249" s="1">
        <v>5184</v>
      </c>
      <c r="AG249" s="1">
        <v>5553</v>
      </c>
      <c r="AH249" s="1">
        <v>5613</v>
      </c>
      <c r="AI249" s="1">
        <v>5782</v>
      </c>
      <c r="AJ249" s="1">
        <v>5700</v>
      </c>
      <c r="AK249" s="1">
        <v>5683</v>
      </c>
      <c r="AL249" s="1">
        <v>5625</v>
      </c>
      <c r="AM249" s="1">
        <v>5875</v>
      </c>
      <c r="AN249" s="1">
        <v>5830</v>
      </c>
      <c r="AO249" s="1">
        <v>5465</v>
      </c>
      <c r="AP249" s="1">
        <v>5160</v>
      </c>
      <c r="AQ249" s="1">
        <v>5055</v>
      </c>
      <c r="AR249" s="1">
        <v>5454</v>
      </c>
      <c r="AS249" s="1">
        <v>5650</v>
      </c>
      <c r="AT249" s="1">
        <v>5892</v>
      </c>
      <c r="AU249" s="1">
        <v>5895</v>
      </c>
      <c r="AV249" s="1">
        <v>5778</v>
      </c>
      <c r="AW249" s="1">
        <v>6073</v>
      </c>
      <c r="AX249" s="1">
        <v>5955</v>
      </c>
      <c r="AY249" s="1">
        <v>5863</v>
      </c>
      <c r="AZ249" s="1">
        <v>5942</v>
      </c>
      <c r="BA249" s="1">
        <v>5356</v>
      </c>
      <c r="BB249" s="1">
        <v>5538</v>
      </c>
      <c r="BC249" s="1">
        <v>5563</v>
      </c>
      <c r="BD249" s="1">
        <v>5477</v>
      </c>
      <c r="BE249" s="1">
        <v>5461</v>
      </c>
      <c r="BF249" s="1">
        <v>5400</v>
      </c>
      <c r="BG249" s="1">
        <v>5471</v>
      </c>
      <c r="BH249" s="1">
        <v>5205</v>
      </c>
      <c r="BI249" s="1">
        <v>5185</v>
      </c>
      <c r="BJ249" s="1">
        <v>5115</v>
      </c>
      <c r="BK249" s="1">
        <v>5244</v>
      </c>
      <c r="BL249" s="1">
        <v>5280</v>
      </c>
      <c r="BM249" s="1">
        <v>5278</v>
      </c>
      <c r="BN249" s="1">
        <v>5150</v>
      </c>
      <c r="BO249" s="1">
        <v>5197</v>
      </c>
      <c r="BP249" s="1">
        <v>5080</v>
      </c>
    </row>
    <row r="250" spans="1:68">
      <c r="A250" s="65" t="s">
        <v>463</v>
      </c>
      <c r="B250" s="1" t="str">
        <f>銘柄管理!C250</f>
        <v/>
      </c>
      <c r="C250" s="1" t="str">
        <f>_xll.RssMarket("155A","高値")</f>
        <v/>
      </c>
      <c r="E250" s="1">
        <v>887</v>
      </c>
      <c r="F250" s="1">
        <v>917</v>
      </c>
      <c r="G250" s="1">
        <v>920</v>
      </c>
      <c r="H250" s="1">
        <v>917</v>
      </c>
      <c r="I250" s="1">
        <v>909</v>
      </c>
      <c r="J250" s="1">
        <v>907</v>
      </c>
      <c r="K250" s="1">
        <v>910</v>
      </c>
      <c r="L250" s="1">
        <v>924</v>
      </c>
      <c r="M250" s="1">
        <v>927</v>
      </c>
      <c r="N250" s="1">
        <v>895</v>
      </c>
      <c r="O250" s="1">
        <v>890</v>
      </c>
      <c r="P250" s="1">
        <v>883</v>
      </c>
      <c r="Q250" s="1">
        <v>885</v>
      </c>
      <c r="R250" s="1">
        <v>861</v>
      </c>
      <c r="S250" s="1">
        <v>875</v>
      </c>
      <c r="T250" s="1">
        <v>877</v>
      </c>
      <c r="U250" s="1">
        <v>876</v>
      </c>
      <c r="V250" s="1">
        <v>923</v>
      </c>
      <c r="W250" s="1">
        <v>932</v>
      </c>
      <c r="X250" s="1">
        <v>911</v>
      </c>
      <c r="Y250" s="1">
        <v>897</v>
      </c>
      <c r="Z250" s="1">
        <v>878</v>
      </c>
      <c r="AA250" s="1">
        <v>847</v>
      </c>
      <c r="AB250" s="1">
        <v>854</v>
      </c>
      <c r="AC250" s="1">
        <v>873</v>
      </c>
      <c r="AD250" s="1">
        <v>889</v>
      </c>
      <c r="AE250" s="1">
        <v>850</v>
      </c>
      <c r="AF250" s="1">
        <v>882</v>
      </c>
      <c r="AG250" s="1">
        <v>864</v>
      </c>
      <c r="AH250" s="1">
        <v>889</v>
      </c>
      <c r="AI250" s="1">
        <v>838</v>
      </c>
      <c r="AJ250" s="1">
        <v>908</v>
      </c>
      <c r="AK250" s="1">
        <v>881</v>
      </c>
      <c r="AL250" s="1">
        <v>880</v>
      </c>
      <c r="AM250" s="1">
        <v>854</v>
      </c>
      <c r="AN250" s="1">
        <v>869</v>
      </c>
      <c r="AO250" s="1">
        <v>877</v>
      </c>
      <c r="AP250" s="1">
        <v>923</v>
      </c>
      <c r="AQ250" s="1">
        <v>913</v>
      </c>
      <c r="AR250" s="1">
        <v>889</v>
      </c>
      <c r="AS250" s="1">
        <v>782</v>
      </c>
      <c r="AT250" s="1">
        <v>788</v>
      </c>
      <c r="AU250" s="1">
        <v>809</v>
      </c>
      <c r="AV250" s="1">
        <v>825</v>
      </c>
      <c r="AW250" s="1">
        <v>834</v>
      </c>
      <c r="AX250" s="1">
        <v>823</v>
      </c>
      <c r="AY250" s="1">
        <v>806</v>
      </c>
      <c r="AZ250" s="1">
        <v>813</v>
      </c>
      <c r="BA250" s="1">
        <v>822</v>
      </c>
      <c r="BB250" s="1">
        <v>825</v>
      </c>
      <c r="BC250" s="1">
        <v>836</v>
      </c>
      <c r="BD250" s="1">
        <v>864</v>
      </c>
      <c r="BE250" s="1">
        <v>862</v>
      </c>
      <c r="BF250" s="1">
        <v>865</v>
      </c>
      <c r="BG250" s="1">
        <v>849</v>
      </c>
      <c r="BH250" s="1">
        <v>850</v>
      </c>
      <c r="BI250" s="1">
        <v>851</v>
      </c>
      <c r="BJ250" s="1">
        <v>845</v>
      </c>
      <c r="BK250" s="1">
        <v>820</v>
      </c>
      <c r="BL250" s="1">
        <v>824</v>
      </c>
      <c r="BM250" s="1">
        <v>847</v>
      </c>
      <c r="BN250" s="1">
        <v>877</v>
      </c>
      <c r="BO250" s="1">
        <v>880</v>
      </c>
      <c r="BP250" s="1">
        <v>875</v>
      </c>
    </row>
    <row r="251" spans="1:68">
      <c r="A251" s="65" t="s">
        <v>464</v>
      </c>
      <c r="B251" s="1" t="str">
        <f>銘柄管理!C251</f>
        <v/>
      </c>
      <c r="C251" s="1" t="str">
        <f>_xll.RssMarket("278A","高値")</f>
        <v/>
      </c>
      <c r="E251" s="1">
        <v>13830</v>
      </c>
      <c r="F251" s="1">
        <v>13500</v>
      </c>
      <c r="G251" s="1">
        <v>11550</v>
      </c>
      <c r="H251" s="1">
        <v>12210</v>
      </c>
      <c r="I251" s="1">
        <v>10870</v>
      </c>
      <c r="J251" s="1">
        <v>9650</v>
      </c>
      <c r="K251" s="1">
        <v>9150</v>
      </c>
      <c r="L251" s="1">
        <v>10030</v>
      </c>
      <c r="M251" s="1">
        <v>9890</v>
      </c>
      <c r="N251" s="1">
        <v>8450</v>
      </c>
      <c r="O251" s="1">
        <v>8200</v>
      </c>
      <c r="P251" s="1">
        <v>7980</v>
      </c>
      <c r="Q251" s="1">
        <v>7890</v>
      </c>
      <c r="R251" s="1">
        <v>7970</v>
      </c>
      <c r="S251" s="1">
        <v>7990</v>
      </c>
      <c r="T251" s="1">
        <v>8200</v>
      </c>
      <c r="U251" s="1">
        <v>8300</v>
      </c>
      <c r="V251" s="1">
        <v>8820</v>
      </c>
      <c r="W251" s="1">
        <v>9420</v>
      </c>
      <c r="X251" s="1">
        <v>8450</v>
      </c>
      <c r="Y251" s="1">
        <v>8570</v>
      </c>
      <c r="Z251" s="1">
        <v>10120</v>
      </c>
      <c r="AA251" s="1">
        <v>8750</v>
      </c>
      <c r="AB251" s="1">
        <v>7950</v>
      </c>
      <c r="AC251" s="1">
        <v>8820</v>
      </c>
      <c r="AD251" s="1">
        <v>8880</v>
      </c>
      <c r="AE251" s="1">
        <v>9710</v>
      </c>
      <c r="AF251" s="1">
        <v>9150</v>
      </c>
      <c r="AG251" s="1">
        <v>8800</v>
      </c>
      <c r="AH251" s="1">
        <v>8600</v>
      </c>
      <c r="AI251" s="1">
        <v>8800</v>
      </c>
      <c r="AJ251" s="1">
        <v>9110</v>
      </c>
      <c r="AK251" s="1">
        <v>10750</v>
      </c>
      <c r="AL251" s="1">
        <v>10600</v>
      </c>
      <c r="AM251" s="1">
        <v>9780</v>
      </c>
      <c r="AN251" s="1">
        <v>11300</v>
      </c>
      <c r="AO251" s="1">
        <v>11480</v>
      </c>
      <c r="AP251" s="1">
        <v>11580</v>
      </c>
      <c r="AQ251" s="1">
        <v>12560</v>
      </c>
      <c r="AR251" s="1">
        <v>14410</v>
      </c>
      <c r="AS251" s="1">
        <v>12900</v>
      </c>
      <c r="AT251" s="1">
        <v>12930</v>
      </c>
      <c r="AU251" s="1">
        <v>13200</v>
      </c>
      <c r="AV251" s="1">
        <v>12270</v>
      </c>
      <c r="AW251" s="1">
        <v>19610</v>
      </c>
      <c r="AX251" s="1">
        <v>16400</v>
      </c>
      <c r="AY251" s="1">
        <v>14530</v>
      </c>
      <c r="AZ251" s="1">
        <v>13660</v>
      </c>
      <c r="BA251" s="1">
        <v>10770</v>
      </c>
      <c r="BB251" s="1">
        <v>9270</v>
      </c>
      <c r="BC251" s="1">
        <v>7920</v>
      </c>
      <c r="BD251" s="1">
        <v>8050</v>
      </c>
      <c r="BE251" s="1">
        <v>8480</v>
      </c>
      <c r="BF251" s="1">
        <v>8640</v>
      </c>
      <c r="BG251" s="1">
        <v>7220</v>
      </c>
      <c r="BH251" s="1">
        <v>6790</v>
      </c>
      <c r="BI251" s="1">
        <v>6900</v>
      </c>
      <c r="BJ251" s="1">
        <v>6950</v>
      </c>
      <c r="BK251" s="1">
        <v>7000</v>
      </c>
      <c r="BL251" s="1">
        <v>6020</v>
      </c>
      <c r="BM251" s="1">
        <v>6190</v>
      </c>
      <c r="BN251" s="1">
        <v>5660</v>
      </c>
      <c r="BO251" s="1">
        <v>4965</v>
      </c>
      <c r="BP251" s="1">
        <v>4625</v>
      </c>
    </row>
    <row r="252" spans="1:68">
      <c r="A252" s="65" t="s">
        <v>465</v>
      </c>
      <c r="B252" s="1" t="str">
        <f>銘柄管理!C252</f>
        <v/>
      </c>
      <c r="C252" s="1" t="str">
        <f>_xll.RssMarket("300A","高値")</f>
        <v/>
      </c>
      <c r="E252" s="1">
        <v>2909</v>
      </c>
      <c r="F252" s="1">
        <v>2896</v>
      </c>
      <c r="G252" s="1">
        <v>2895</v>
      </c>
      <c r="H252" s="1">
        <v>2906</v>
      </c>
      <c r="I252" s="1">
        <v>2925</v>
      </c>
      <c r="J252" s="1">
        <v>2906</v>
      </c>
      <c r="K252" s="1">
        <v>2916</v>
      </c>
      <c r="L252" s="1">
        <v>2932</v>
      </c>
      <c r="M252" s="1">
        <v>2944</v>
      </c>
      <c r="N252" s="1">
        <v>2967</v>
      </c>
      <c r="O252" s="1">
        <v>3015</v>
      </c>
      <c r="P252" s="1">
        <v>2990</v>
      </c>
      <c r="Q252" s="1">
        <v>2945</v>
      </c>
      <c r="R252" s="1">
        <v>2930</v>
      </c>
      <c r="S252" s="1">
        <v>2846</v>
      </c>
      <c r="T252" s="1">
        <v>2808</v>
      </c>
      <c r="U252" s="1">
        <v>2806</v>
      </c>
      <c r="V252" s="1">
        <v>2809</v>
      </c>
      <c r="W252" s="1">
        <v>2833</v>
      </c>
      <c r="X252" s="1">
        <v>2812</v>
      </c>
      <c r="Y252" s="1">
        <v>2847</v>
      </c>
      <c r="Z252" s="1">
        <v>2874</v>
      </c>
      <c r="AA252" s="1">
        <v>2835</v>
      </c>
      <c r="AB252" s="1">
        <v>2918</v>
      </c>
      <c r="AC252" s="1">
        <v>2867</v>
      </c>
      <c r="AD252" s="1">
        <v>2797</v>
      </c>
      <c r="AE252" s="1">
        <v>2821</v>
      </c>
      <c r="AF252" s="1">
        <v>2799</v>
      </c>
      <c r="AG252" s="1">
        <v>2845</v>
      </c>
      <c r="AH252" s="1">
        <v>2842</v>
      </c>
      <c r="AI252" s="1">
        <v>2848</v>
      </c>
      <c r="AJ252" s="1">
        <v>2899</v>
      </c>
      <c r="AK252" s="1">
        <v>2887</v>
      </c>
      <c r="AL252" s="1">
        <v>2871</v>
      </c>
      <c r="AM252" s="1">
        <v>2918</v>
      </c>
      <c r="AN252" s="1">
        <v>2940</v>
      </c>
      <c r="AO252" s="1">
        <v>2938</v>
      </c>
      <c r="AP252" s="1">
        <v>2934</v>
      </c>
      <c r="AQ252" s="1">
        <v>2926</v>
      </c>
      <c r="AR252" s="1">
        <v>2930</v>
      </c>
      <c r="AS252" s="1">
        <v>3040</v>
      </c>
      <c r="AT252" s="1">
        <v>2800</v>
      </c>
      <c r="AU252" s="1">
        <v>2821</v>
      </c>
      <c r="AV252" s="1">
        <v>2815</v>
      </c>
      <c r="AW252" s="1">
        <v>2818</v>
      </c>
      <c r="AX252" s="1">
        <v>2792</v>
      </c>
      <c r="AY252" s="1">
        <v>2811</v>
      </c>
      <c r="AZ252" s="1">
        <v>2795</v>
      </c>
      <c r="BA252" s="1">
        <v>2885</v>
      </c>
      <c r="BB252" s="1">
        <v>2849</v>
      </c>
      <c r="BC252" s="1">
        <v>2851</v>
      </c>
      <c r="BD252" s="1">
        <v>2953</v>
      </c>
      <c r="BE252" s="1">
        <v>3070</v>
      </c>
      <c r="BF252" s="1">
        <v>3110</v>
      </c>
      <c r="BG252" s="1">
        <v>3085</v>
      </c>
      <c r="BH252" s="1">
        <v>3045</v>
      </c>
      <c r="BI252" s="1">
        <v>3045</v>
      </c>
      <c r="BJ252" s="1">
        <v>3055</v>
      </c>
      <c r="BK252" s="1">
        <v>2953</v>
      </c>
      <c r="BL252" s="1">
        <v>2955</v>
      </c>
      <c r="BM252" s="1">
        <v>2910</v>
      </c>
      <c r="BN252" s="1">
        <v>2980</v>
      </c>
      <c r="BO252" s="1">
        <v>2859</v>
      </c>
      <c r="BP252" s="1">
        <v>2839</v>
      </c>
    </row>
    <row r="253" spans="1:68">
      <c r="A253" s="65" t="s">
        <v>466</v>
      </c>
      <c r="B253" s="1" t="str">
        <f>銘柄管理!C253</f>
        <v/>
      </c>
      <c r="C253" s="1" t="str">
        <f>_xll.RssMarket("4776","高値")</f>
        <v/>
      </c>
      <c r="E253" s="1">
        <v>2645</v>
      </c>
      <c r="F253" s="1">
        <v>2578</v>
      </c>
      <c r="G253" s="1">
        <v>2646</v>
      </c>
      <c r="H253" s="1">
        <v>2626</v>
      </c>
      <c r="I253" s="1">
        <v>2654</v>
      </c>
      <c r="J253" s="1">
        <v>2636</v>
      </c>
      <c r="K253" s="1">
        <v>2645</v>
      </c>
      <c r="L253" s="1">
        <v>2639</v>
      </c>
      <c r="M253" s="1">
        <v>2580</v>
      </c>
      <c r="N253" s="1">
        <v>2568</v>
      </c>
      <c r="O253" s="1">
        <v>2490</v>
      </c>
      <c r="P253" s="1">
        <v>2310</v>
      </c>
      <c r="Q253" s="1">
        <v>2348</v>
      </c>
      <c r="R253" s="1">
        <v>2356</v>
      </c>
      <c r="S253" s="1">
        <v>2145</v>
      </c>
      <c r="T253" s="1">
        <v>2229</v>
      </c>
      <c r="U253" s="1">
        <v>2262</v>
      </c>
      <c r="V253" s="1">
        <v>2286</v>
      </c>
      <c r="W253" s="1">
        <v>2350</v>
      </c>
      <c r="X253" s="1">
        <v>2390</v>
      </c>
      <c r="Y253" s="1">
        <v>2386</v>
      </c>
      <c r="Z253" s="1">
        <v>2340</v>
      </c>
      <c r="AA253" s="1">
        <v>2353</v>
      </c>
      <c r="AB253" s="1">
        <v>2359</v>
      </c>
      <c r="AC253" s="1">
        <v>2317</v>
      </c>
      <c r="AD253" s="1">
        <v>2400</v>
      </c>
      <c r="AE253" s="1">
        <v>2372</v>
      </c>
      <c r="AF253" s="1">
        <v>2470</v>
      </c>
      <c r="AG253" s="1">
        <v>2477</v>
      </c>
      <c r="AH253" s="1">
        <v>2439</v>
      </c>
      <c r="AI253" s="1">
        <v>2570</v>
      </c>
      <c r="AJ253" s="1">
        <v>2670</v>
      </c>
      <c r="AK253" s="1">
        <v>2642</v>
      </c>
      <c r="AL253" s="1">
        <v>2606</v>
      </c>
      <c r="AM253" s="1">
        <v>2586</v>
      </c>
      <c r="AN253" s="1">
        <v>2601</v>
      </c>
      <c r="AO253" s="1">
        <v>2525</v>
      </c>
      <c r="AP253" s="1">
        <v>2563</v>
      </c>
      <c r="AQ253" s="1">
        <v>2502</v>
      </c>
      <c r="AR253" s="1">
        <v>2458</v>
      </c>
      <c r="AS253" s="1">
        <v>2434</v>
      </c>
      <c r="AT253" s="1">
        <v>2396</v>
      </c>
      <c r="AU253" s="1">
        <v>2163</v>
      </c>
      <c r="AV253" s="1">
        <v>2197</v>
      </c>
      <c r="AW253" s="1">
        <v>2166</v>
      </c>
      <c r="AX253" s="1">
        <v>2190</v>
      </c>
      <c r="AY253" s="1">
        <v>2199</v>
      </c>
      <c r="AZ253" s="1">
        <v>2121</v>
      </c>
      <c r="BA253" s="1">
        <v>2120</v>
      </c>
      <c r="BB253" s="1">
        <v>2106</v>
      </c>
      <c r="BC253" s="1">
        <v>2130</v>
      </c>
      <c r="BD253" s="1">
        <v>2138</v>
      </c>
      <c r="BE253" s="1">
        <v>2133</v>
      </c>
      <c r="BF253" s="1">
        <v>2144</v>
      </c>
      <c r="BG253" s="1">
        <v>2175</v>
      </c>
      <c r="BH253" s="1">
        <v>2210</v>
      </c>
      <c r="BI253" s="1">
        <v>2268</v>
      </c>
      <c r="BJ253" s="1">
        <v>2337</v>
      </c>
      <c r="BK253" s="1">
        <v>2274</v>
      </c>
      <c r="BL253" s="1">
        <v>2122</v>
      </c>
      <c r="BM253" s="1">
        <v>2072</v>
      </c>
      <c r="BN253" s="1">
        <v>1989</v>
      </c>
      <c r="BO253" s="1">
        <v>2018</v>
      </c>
      <c r="BP253" s="1">
        <v>2083</v>
      </c>
    </row>
    <row r="254" spans="1:68">
      <c r="A254" s="65" t="s">
        <v>467</v>
      </c>
      <c r="B254" s="1" t="str">
        <f>銘柄管理!C254</f>
        <v/>
      </c>
      <c r="C254" s="1" t="str">
        <f>_xll.RssMarket("4704","高値")</f>
        <v/>
      </c>
      <c r="E254" s="1">
        <v>6657</v>
      </c>
      <c r="F254" s="1">
        <v>6450</v>
      </c>
      <c r="G254" s="1">
        <v>6446</v>
      </c>
      <c r="H254" s="1">
        <v>6269</v>
      </c>
      <c r="I254" s="1">
        <v>6318</v>
      </c>
      <c r="J254" s="1">
        <v>6275</v>
      </c>
      <c r="K254" s="1">
        <v>6366</v>
      </c>
      <c r="L254" s="1">
        <v>6411</v>
      </c>
      <c r="M254" s="1">
        <v>6372</v>
      </c>
      <c r="N254" s="1">
        <v>6565</v>
      </c>
      <c r="O254" s="1">
        <v>6344</v>
      </c>
      <c r="P254" s="1">
        <v>6030</v>
      </c>
      <c r="Q254" s="1">
        <v>6110</v>
      </c>
      <c r="R254" s="1">
        <v>6064</v>
      </c>
      <c r="S254" s="1">
        <v>5634</v>
      </c>
      <c r="T254" s="1">
        <v>5722</v>
      </c>
      <c r="U254" s="1">
        <v>5673</v>
      </c>
      <c r="V254" s="1">
        <v>5636</v>
      </c>
      <c r="W254" s="1">
        <v>5745</v>
      </c>
      <c r="X254" s="1">
        <v>5881</v>
      </c>
      <c r="Y254" s="1">
        <v>5909</v>
      </c>
      <c r="Z254" s="1">
        <v>5852</v>
      </c>
      <c r="AA254" s="1">
        <v>5876</v>
      </c>
      <c r="AB254" s="1">
        <v>6003</v>
      </c>
      <c r="AC254" s="1">
        <v>6200</v>
      </c>
      <c r="AD254" s="1">
        <v>6261</v>
      </c>
      <c r="AE254" s="1">
        <v>6263</v>
      </c>
      <c r="AF254" s="1">
        <v>6571</v>
      </c>
      <c r="AG254" s="1">
        <v>6900</v>
      </c>
      <c r="AH254" s="1">
        <v>6451</v>
      </c>
      <c r="AI254" s="1">
        <v>6375</v>
      </c>
      <c r="AJ254" s="1">
        <v>6575</v>
      </c>
      <c r="AK254" s="1">
        <v>6232</v>
      </c>
      <c r="AL254" s="1">
        <v>6085</v>
      </c>
      <c r="AM254" s="1">
        <v>6166</v>
      </c>
      <c r="AN254" s="1">
        <v>6371</v>
      </c>
      <c r="AO254" s="1">
        <v>6235</v>
      </c>
      <c r="AP254" s="1">
        <v>6007</v>
      </c>
      <c r="AQ254" s="1">
        <v>6125</v>
      </c>
      <c r="AR254" s="1">
        <v>6138</v>
      </c>
      <c r="AS254" s="1">
        <v>5913</v>
      </c>
      <c r="AT254" s="1">
        <v>5681</v>
      </c>
      <c r="AU254" s="1">
        <v>5560</v>
      </c>
      <c r="AV254" s="1">
        <v>5775</v>
      </c>
      <c r="AW254" s="1">
        <v>5696</v>
      </c>
      <c r="AX254" s="1">
        <v>5746</v>
      </c>
      <c r="AY254" s="1">
        <v>5776</v>
      </c>
      <c r="AZ254" s="1">
        <v>5538</v>
      </c>
      <c r="BA254" s="1">
        <v>5452</v>
      </c>
      <c r="BB254" s="1">
        <v>5558</v>
      </c>
      <c r="BC254" s="1">
        <v>5627</v>
      </c>
      <c r="BD254" s="1">
        <v>5673</v>
      </c>
      <c r="BE254" s="1">
        <v>5700</v>
      </c>
      <c r="BF254" s="1">
        <v>5880</v>
      </c>
      <c r="BG254" s="1">
        <v>6115</v>
      </c>
      <c r="BH254" s="1">
        <v>5986</v>
      </c>
      <c r="BI254" s="1">
        <v>6002</v>
      </c>
      <c r="BJ254" s="1">
        <v>6092</v>
      </c>
      <c r="BK254" s="1">
        <v>6294</v>
      </c>
      <c r="BL254" s="1">
        <v>5591</v>
      </c>
      <c r="BM254" s="1">
        <v>5390</v>
      </c>
      <c r="BN254" s="1">
        <v>5166</v>
      </c>
      <c r="BO254" s="1">
        <v>5284</v>
      </c>
      <c r="BP254" s="1">
        <v>5471</v>
      </c>
    </row>
    <row r="255" spans="1:68">
      <c r="A255" s="65" t="s">
        <v>468</v>
      </c>
      <c r="B255" s="1" t="str">
        <f>銘柄管理!C255</f>
        <v/>
      </c>
      <c r="C255" s="1" t="str">
        <f>_xll.RssMarket("6370","高値")</f>
        <v/>
      </c>
      <c r="E255" s="1">
        <v>8854</v>
      </c>
      <c r="F255" s="1">
        <v>9270</v>
      </c>
      <c r="G255" s="1">
        <v>9065</v>
      </c>
      <c r="H255" s="1">
        <v>9321</v>
      </c>
      <c r="I255" s="1">
        <v>9211</v>
      </c>
      <c r="J255" s="1">
        <v>9113</v>
      </c>
      <c r="K255" s="1">
        <v>8992</v>
      </c>
      <c r="L255" s="1">
        <v>9443</v>
      </c>
      <c r="M255" s="1">
        <v>9656</v>
      </c>
      <c r="N255" s="1">
        <v>9398</v>
      </c>
      <c r="O255" s="1">
        <v>9414</v>
      </c>
      <c r="P255" s="1">
        <v>9511</v>
      </c>
      <c r="Q255" s="1">
        <v>9304</v>
      </c>
      <c r="R255" s="1">
        <v>9150</v>
      </c>
      <c r="S255" s="1">
        <v>9373</v>
      </c>
      <c r="T255" s="1">
        <v>9614</v>
      </c>
      <c r="U255" s="1">
        <v>9389</v>
      </c>
      <c r="V255" s="1">
        <v>9613</v>
      </c>
      <c r="W255" s="1">
        <v>9642</v>
      </c>
      <c r="X255" s="1">
        <v>9919</v>
      </c>
      <c r="Y255" s="1">
        <v>9650</v>
      </c>
      <c r="Z255" s="1">
        <v>9450</v>
      </c>
      <c r="AA255" s="1">
        <v>9213</v>
      </c>
      <c r="AB255" s="1">
        <v>8766</v>
      </c>
      <c r="AC255" s="1">
        <v>8559</v>
      </c>
      <c r="AD255" s="1">
        <v>8146</v>
      </c>
      <c r="AE255" s="1">
        <v>8351</v>
      </c>
      <c r="AF255" s="1">
        <v>8387</v>
      </c>
      <c r="AG255" s="1">
        <v>8870</v>
      </c>
      <c r="AH255" s="1">
        <v>8866</v>
      </c>
      <c r="AI255" s="1">
        <v>8981</v>
      </c>
      <c r="AJ255" s="1">
        <v>8600</v>
      </c>
      <c r="AK255" s="1">
        <v>8892</v>
      </c>
      <c r="AL255" s="1">
        <v>8789</v>
      </c>
      <c r="AM255" s="1">
        <v>9227</v>
      </c>
      <c r="AN255" s="1">
        <v>8972</v>
      </c>
      <c r="AO255" s="1">
        <v>8792</v>
      </c>
      <c r="AP255" s="1">
        <v>8647</v>
      </c>
      <c r="AQ255" s="1">
        <v>8705</v>
      </c>
      <c r="AR255" s="1">
        <v>8961</v>
      </c>
      <c r="AS255" s="1">
        <v>9024</v>
      </c>
      <c r="AT255" s="1">
        <v>9508</v>
      </c>
      <c r="AU255" s="1">
        <v>9318</v>
      </c>
      <c r="AV255" s="1">
        <v>9000</v>
      </c>
      <c r="AW255" s="1">
        <v>9257</v>
      </c>
      <c r="AX255" s="1">
        <v>9063</v>
      </c>
      <c r="AY255" s="1">
        <v>8648</v>
      </c>
      <c r="AZ255" s="1">
        <v>8410</v>
      </c>
      <c r="BA255" s="1">
        <v>8333</v>
      </c>
      <c r="BB255" s="1">
        <v>8573</v>
      </c>
      <c r="BC255" s="1">
        <v>8514</v>
      </c>
      <c r="BD255" s="1">
        <v>8303</v>
      </c>
      <c r="BE255" s="1">
        <v>7954</v>
      </c>
      <c r="BF255" s="1">
        <v>7976</v>
      </c>
      <c r="BG255" s="1">
        <v>8064</v>
      </c>
      <c r="BH255" s="1">
        <v>8200</v>
      </c>
      <c r="BI255" s="1">
        <v>8224</v>
      </c>
      <c r="BJ255" s="1">
        <v>8120</v>
      </c>
      <c r="BK255" s="1">
        <v>8002</v>
      </c>
      <c r="BL255" s="1">
        <v>8080</v>
      </c>
      <c r="BM255" s="1">
        <v>8214</v>
      </c>
      <c r="BN255" s="1">
        <v>8144</v>
      </c>
      <c r="BO255" s="1">
        <v>8163</v>
      </c>
      <c r="BP255" s="1">
        <v>8240</v>
      </c>
    </row>
    <row r="256" spans="1:68">
      <c r="A256" s="65" t="s">
        <v>469</v>
      </c>
      <c r="B256" s="1" t="str">
        <f>銘柄管理!C256</f>
        <v/>
      </c>
      <c r="C256" s="1" t="str">
        <f>_xll.RssMarket("7014","高値")</f>
        <v/>
      </c>
      <c r="E256" s="1">
        <v>3785</v>
      </c>
      <c r="F256" s="1">
        <v>4050</v>
      </c>
      <c r="G256" s="1">
        <v>3935</v>
      </c>
      <c r="H256" s="1">
        <v>3925</v>
      </c>
      <c r="I256" s="1">
        <v>3885</v>
      </c>
      <c r="J256" s="1">
        <v>3905</v>
      </c>
      <c r="K256" s="1">
        <v>4245</v>
      </c>
      <c r="L256" s="1">
        <v>4395</v>
      </c>
      <c r="M256" s="1">
        <v>4185</v>
      </c>
      <c r="N256" s="1">
        <v>3710</v>
      </c>
      <c r="O256" s="1">
        <v>3680</v>
      </c>
      <c r="P256" s="1">
        <v>3615</v>
      </c>
      <c r="Q256" s="1">
        <v>3645</v>
      </c>
      <c r="R256" s="1">
        <v>3755</v>
      </c>
      <c r="S256" s="1">
        <v>3730</v>
      </c>
      <c r="T256" s="1">
        <v>3775</v>
      </c>
      <c r="U256" s="1">
        <v>3755</v>
      </c>
      <c r="V256" s="1">
        <v>3905</v>
      </c>
      <c r="W256" s="1">
        <v>3865</v>
      </c>
      <c r="X256" s="1">
        <v>3890</v>
      </c>
      <c r="Y256" s="1">
        <v>4015</v>
      </c>
      <c r="Z256" s="1">
        <v>3965</v>
      </c>
      <c r="AA256" s="1">
        <v>3865</v>
      </c>
      <c r="AB256" s="1">
        <v>3850</v>
      </c>
      <c r="AC256" s="1">
        <v>3625</v>
      </c>
      <c r="AD256" s="1">
        <v>3510</v>
      </c>
      <c r="AE256" s="1">
        <v>3550</v>
      </c>
      <c r="AF256" s="1">
        <v>3655</v>
      </c>
      <c r="AG256" s="1">
        <v>3735</v>
      </c>
      <c r="AH256" s="1">
        <v>3545</v>
      </c>
      <c r="AI256" s="1">
        <v>3645</v>
      </c>
      <c r="AJ256" s="1">
        <v>3490</v>
      </c>
      <c r="AK256" s="1">
        <v>3800</v>
      </c>
      <c r="AL256" s="1">
        <v>4110</v>
      </c>
      <c r="AM256" s="1">
        <v>4295</v>
      </c>
      <c r="AN256" s="1">
        <v>4080</v>
      </c>
      <c r="AO256" s="1">
        <v>3895</v>
      </c>
      <c r="AP256" s="1">
        <v>8647</v>
      </c>
      <c r="AQ256" s="1">
        <v>8705</v>
      </c>
      <c r="AR256" s="1">
        <v>8961</v>
      </c>
      <c r="AS256" s="1">
        <v>9024</v>
      </c>
      <c r="AT256" s="1">
        <v>9508</v>
      </c>
      <c r="AU256" s="1">
        <v>9318</v>
      </c>
      <c r="AV256" s="1">
        <v>9000</v>
      </c>
      <c r="AW256" s="1">
        <v>9257</v>
      </c>
      <c r="AX256" s="1">
        <v>9063</v>
      </c>
      <c r="AY256" s="1">
        <v>8648</v>
      </c>
      <c r="AZ256" s="1">
        <v>8410</v>
      </c>
      <c r="BA256" s="1">
        <v>8333</v>
      </c>
      <c r="BB256" s="1">
        <v>8573</v>
      </c>
      <c r="BC256" s="1">
        <v>8514</v>
      </c>
      <c r="BD256" s="1">
        <v>8303</v>
      </c>
      <c r="BE256" s="1">
        <v>7954</v>
      </c>
      <c r="BF256" s="1">
        <v>7976</v>
      </c>
      <c r="BG256" s="1">
        <v>8064</v>
      </c>
      <c r="BH256" s="1">
        <v>8200</v>
      </c>
      <c r="BI256" s="1">
        <v>8224</v>
      </c>
      <c r="BJ256" s="1">
        <v>8120</v>
      </c>
      <c r="BK256" s="1">
        <v>8002</v>
      </c>
      <c r="BL256" s="1">
        <v>8080</v>
      </c>
      <c r="BM256" s="1">
        <v>8214</v>
      </c>
      <c r="BN256" s="1">
        <v>8144</v>
      </c>
      <c r="BO256" s="1">
        <v>8163</v>
      </c>
      <c r="BP256" s="1">
        <v>8240</v>
      </c>
    </row>
    <row r="257" spans="1:68">
      <c r="A257" s="65" t="s">
        <v>470</v>
      </c>
      <c r="B257" s="1" t="str">
        <f>銘柄管理!C257</f>
        <v/>
      </c>
      <c r="C257" s="1" t="str">
        <f>_xll.RssMarket("9880","高値")</f>
        <v/>
      </c>
      <c r="E257" s="1">
        <v>3335</v>
      </c>
      <c r="F257" s="1">
        <v>3570</v>
      </c>
      <c r="G257" s="1">
        <v>3515</v>
      </c>
      <c r="H257" s="1">
        <v>3645</v>
      </c>
      <c r="I257" s="1">
        <v>3660</v>
      </c>
      <c r="J257" s="1">
        <v>3690</v>
      </c>
      <c r="K257" s="1">
        <v>3635</v>
      </c>
      <c r="L257" s="1">
        <v>3820</v>
      </c>
      <c r="M257" s="1">
        <v>3865</v>
      </c>
      <c r="N257" s="1">
        <v>3860</v>
      </c>
      <c r="O257" s="1">
        <v>4120</v>
      </c>
      <c r="P257" s="1">
        <v>4025</v>
      </c>
      <c r="Q257" s="1">
        <v>4060</v>
      </c>
      <c r="R257" s="1">
        <v>4250</v>
      </c>
      <c r="S257" s="1">
        <v>4460</v>
      </c>
      <c r="T257" s="1">
        <v>4370</v>
      </c>
      <c r="U257" s="1">
        <v>4600</v>
      </c>
      <c r="V257" s="1">
        <v>4625</v>
      </c>
      <c r="W257" s="1">
        <v>4370</v>
      </c>
      <c r="X257" s="1">
        <v>4385</v>
      </c>
      <c r="Y257" s="1">
        <v>4195</v>
      </c>
      <c r="Z257" s="1">
        <v>4135</v>
      </c>
      <c r="AA257" s="1">
        <v>4210</v>
      </c>
      <c r="AB257" s="1">
        <v>4195</v>
      </c>
      <c r="AC257" s="1">
        <v>4095</v>
      </c>
      <c r="AD257" s="1">
        <v>4235</v>
      </c>
      <c r="AE257" s="1">
        <v>4260</v>
      </c>
      <c r="AF257" s="1">
        <v>4545</v>
      </c>
      <c r="AG257" s="1">
        <v>4600</v>
      </c>
      <c r="AH257" s="1">
        <v>4495</v>
      </c>
      <c r="AI257" s="1">
        <v>4365</v>
      </c>
      <c r="AJ257" s="1">
        <v>4360</v>
      </c>
      <c r="AK257" s="1">
        <v>4340</v>
      </c>
      <c r="AL257" s="1">
        <v>4680</v>
      </c>
      <c r="AM257" s="1">
        <v>4670</v>
      </c>
      <c r="AN257" s="1">
        <v>4490</v>
      </c>
      <c r="AO257" s="1">
        <v>4465</v>
      </c>
      <c r="AP257" s="1">
        <v>4250</v>
      </c>
      <c r="AQ257" s="1">
        <v>4760</v>
      </c>
      <c r="AR257" s="1">
        <v>4540</v>
      </c>
      <c r="AS257" s="1">
        <v>4045</v>
      </c>
      <c r="AT257" s="1">
        <v>3460</v>
      </c>
      <c r="AU257" s="1">
        <v>3315</v>
      </c>
      <c r="AV257" s="1">
        <v>3445</v>
      </c>
      <c r="AW257" s="1">
        <v>3445</v>
      </c>
      <c r="AX257" s="1">
        <v>3220</v>
      </c>
      <c r="AY257" s="1">
        <v>3325</v>
      </c>
      <c r="AZ257" s="1">
        <v>2850</v>
      </c>
      <c r="BA257" s="1">
        <v>2879</v>
      </c>
      <c r="BB257" s="1">
        <v>2814</v>
      </c>
      <c r="BC257" s="1">
        <v>2805</v>
      </c>
      <c r="BD257" s="1">
        <v>2756</v>
      </c>
      <c r="BE257" s="1">
        <v>2728</v>
      </c>
      <c r="BF257" s="1">
        <v>2758</v>
      </c>
      <c r="BG257" s="1">
        <v>2803</v>
      </c>
      <c r="BH257" s="1">
        <v>2826</v>
      </c>
      <c r="BI257" s="1">
        <v>2899</v>
      </c>
      <c r="BJ257" s="1">
        <v>2939</v>
      </c>
      <c r="BK257" s="1">
        <v>2910</v>
      </c>
      <c r="BL257" s="1">
        <v>2711</v>
      </c>
      <c r="BM257" s="1">
        <v>2631</v>
      </c>
      <c r="BN257" s="1">
        <v>2613</v>
      </c>
      <c r="BO257" s="1">
        <v>2604</v>
      </c>
      <c r="BP257" s="1">
        <v>2624</v>
      </c>
    </row>
    <row r="258" spans="1:68">
      <c r="A258" s="65" t="s">
        <v>471</v>
      </c>
      <c r="B258" s="1" t="str">
        <f>銘柄管理!C258</f>
        <v/>
      </c>
      <c r="C258" s="1" t="str">
        <f>_xll.RssMarket("5253","高値")</f>
        <v/>
      </c>
      <c r="E258" s="1">
        <v>1688</v>
      </c>
      <c r="F258" s="1">
        <v>1702</v>
      </c>
      <c r="G258" s="1">
        <v>1698</v>
      </c>
      <c r="H258" s="1">
        <v>1651</v>
      </c>
      <c r="I258" s="1">
        <v>1645</v>
      </c>
      <c r="J258" s="1">
        <v>1649</v>
      </c>
      <c r="K258" s="1">
        <v>1677</v>
      </c>
      <c r="L258" s="1">
        <v>1655</v>
      </c>
      <c r="M258" s="1">
        <v>1629</v>
      </c>
      <c r="N258" s="1">
        <v>1561</v>
      </c>
      <c r="O258" s="1">
        <v>1469</v>
      </c>
      <c r="P258" s="1">
        <v>1366</v>
      </c>
      <c r="Q258" s="1">
        <v>1377</v>
      </c>
      <c r="R258" s="1">
        <v>1370</v>
      </c>
      <c r="S258" s="1">
        <v>1220</v>
      </c>
      <c r="T258" s="1">
        <v>1197</v>
      </c>
      <c r="U258" s="1">
        <v>1218</v>
      </c>
      <c r="V258" s="1">
        <v>1279</v>
      </c>
      <c r="W258" s="1">
        <v>1314</v>
      </c>
      <c r="X258" s="1">
        <v>1380</v>
      </c>
      <c r="Y258" s="1">
        <v>1470</v>
      </c>
      <c r="Z258" s="1">
        <v>1458</v>
      </c>
      <c r="AA258" s="1">
        <v>1443</v>
      </c>
      <c r="AB258" s="1">
        <v>1460</v>
      </c>
      <c r="AC258" s="1">
        <v>1522</v>
      </c>
      <c r="AD258" s="1">
        <v>1538</v>
      </c>
      <c r="AE258" s="1">
        <v>1620</v>
      </c>
      <c r="AF258" s="1">
        <v>1642</v>
      </c>
      <c r="AG258" s="1">
        <v>1685</v>
      </c>
      <c r="AH258" s="1">
        <v>1669</v>
      </c>
      <c r="AI258" s="1">
        <v>1657</v>
      </c>
      <c r="AJ258" s="1">
        <v>1639</v>
      </c>
      <c r="AK258" s="1">
        <v>1647</v>
      </c>
      <c r="AL258" s="1">
        <v>1596</v>
      </c>
      <c r="AM258" s="1">
        <v>1621</v>
      </c>
      <c r="AN258" s="1">
        <v>1764</v>
      </c>
      <c r="AO258" s="1">
        <v>1832</v>
      </c>
      <c r="AP258" s="1">
        <v>1765</v>
      </c>
      <c r="AQ258" s="1">
        <v>1700</v>
      </c>
      <c r="AR258" s="1">
        <v>1708</v>
      </c>
      <c r="AS258" s="1">
        <v>1585</v>
      </c>
      <c r="AT258" s="1">
        <v>1529</v>
      </c>
      <c r="AU258" s="1">
        <v>1447</v>
      </c>
      <c r="AV258" s="1">
        <v>1452</v>
      </c>
      <c r="AW258" s="1">
        <v>1417</v>
      </c>
      <c r="AX258" s="1">
        <v>1453</v>
      </c>
      <c r="AY258" s="1">
        <v>1450</v>
      </c>
      <c r="AZ258" s="1">
        <v>1428</v>
      </c>
      <c r="BA258" s="1">
        <v>1436</v>
      </c>
      <c r="BB258" s="1">
        <v>1385</v>
      </c>
      <c r="BC258" s="1">
        <v>1394</v>
      </c>
      <c r="BD258" s="1">
        <v>1373</v>
      </c>
      <c r="BE258" s="1">
        <v>1408</v>
      </c>
      <c r="BF258" s="1">
        <v>1430</v>
      </c>
      <c r="BG258" s="1">
        <v>1452</v>
      </c>
      <c r="BH258" s="1">
        <v>1458</v>
      </c>
      <c r="BI258" s="1">
        <v>1475</v>
      </c>
      <c r="BJ258" s="1">
        <v>1474</v>
      </c>
      <c r="BK258" s="1">
        <v>1504</v>
      </c>
      <c r="BL258" s="1">
        <v>1482</v>
      </c>
      <c r="BM258" s="1">
        <v>1449</v>
      </c>
      <c r="BN258" s="1">
        <v>1432</v>
      </c>
      <c r="BO258" s="1">
        <v>1473</v>
      </c>
      <c r="BP258" s="1">
        <v>1482</v>
      </c>
    </row>
    <row r="259" spans="1:68">
      <c r="A259" s="65" t="s">
        <v>472</v>
      </c>
      <c r="B259" s="1" t="str">
        <f>銘柄管理!C259</f>
        <v/>
      </c>
      <c r="C259" s="1" t="str">
        <f>_xll.RssMarket("9104","高値")</f>
        <v/>
      </c>
      <c r="E259" s="1">
        <v>5688</v>
      </c>
      <c r="F259" s="1">
        <v>5617</v>
      </c>
      <c r="G259" s="1">
        <v>5505</v>
      </c>
      <c r="H259" s="1">
        <v>5398</v>
      </c>
      <c r="I259" s="1">
        <v>5460</v>
      </c>
      <c r="J259" s="1">
        <v>5550</v>
      </c>
      <c r="K259" s="1">
        <v>5491</v>
      </c>
      <c r="L259" s="1">
        <v>5344</v>
      </c>
      <c r="M259" s="1">
        <v>5395</v>
      </c>
      <c r="N259" s="1">
        <v>5277</v>
      </c>
      <c r="O259" s="1">
        <v>5123</v>
      </c>
      <c r="P259" s="1">
        <v>5215</v>
      </c>
      <c r="Q259" s="1">
        <v>5290</v>
      </c>
      <c r="R259" s="1">
        <v>5296</v>
      </c>
      <c r="S259" s="1">
        <v>5301</v>
      </c>
      <c r="T259" s="1">
        <v>5380</v>
      </c>
      <c r="U259" s="1">
        <v>5447</v>
      </c>
      <c r="V259" s="1">
        <v>5342</v>
      </c>
      <c r="W259" s="1">
        <v>5333</v>
      </c>
      <c r="X259" s="1">
        <v>5345</v>
      </c>
      <c r="Y259" s="1">
        <v>5420</v>
      </c>
      <c r="Z259" s="1">
        <v>5532</v>
      </c>
      <c r="AA259" s="1">
        <v>5750</v>
      </c>
      <c r="AB259" s="1">
        <v>5811</v>
      </c>
      <c r="AC259" s="1">
        <v>5785</v>
      </c>
      <c r="AD259" s="1">
        <v>5815</v>
      </c>
      <c r="AE259" s="1">
        <v>5878</v>
      </c>
      <c r="AF259" s="1">
        <v>5849</v>
      </c>
      <c r="AG259" s="1">
        <v>5856</v>
      </c>
      <c r="AH259" s="1">
        <v>5608</v>
      </c>
      <c r="AI259" s="1">
        <v>5485</v>
      </c>
      <c r="AJ259" s="1">
        <v>5509</v>
      </c>
      <c r="AK259" s="1">
        <v>5532</v>
      </c>
      <c r="AL259" s="1">
        <v>5508</v>
      </c>
      <c r="AM259" s="1">
        <v>5581</v>
      </c>
      <c r="AN259" s="1">
        <v>5693</v>
      </c>
      <c r="AO259" s="1">
        <v>5705</v>
      </c>
      <c r="AP259" s="1">
        <v>5828</v>
      </c>
      <c r="AQ259" s="1">
        <v>5810</v>
      </c>
      <c r="AR259" s="1">
        <v>5888</v>
      </c>
      <c r="AS259" s="1">
        <v>5942</v>
      </c>
      <c r="AT259" s="1">
        <v>5925</v>
      </c>
      <c r="AU259" s="1">
        <v>5901</v>
      </c>
      <c r="AV259" s="1">
        <v>5989</v>
      </c>
      <c r="AW259" s="1">
        <v>5971</v>
      </c>
      <c r="AX259" s="1">
        <v>5898</v>
      </c>
      <c r="AY259" s="1">
        <v>5810</v>
      </c>
      <c r="AZ259" s="1">
        <v>5980</v>
      </c>
      <c r="BA259" s="1">
        <v>5992</v>
      </c>
      <c r="BB259" s="1">
        <v>6127</v>
      </c>
      <c r="BC259" s="1">
        <v>6039</v>
      </c>
      <c r="BD259" s="1">
        <v>5950</v>
      </c>
      <c r="BE259" s="1">
        <v>6187</v>
      </c>
      <c r="BF259" s="1">
        <v>6155</v>
      </c>
      <c r="BG259" s="1">
        <v>6156</v>
      </c>
      <c r="BH259" s="1">
        <v>6140</v>
      </c>
      <c r="BI259" s="1">
        <v>6284</v>
      </c>
      <c r="BJ259" s="1">
        <v>6419</v>
      </c>
      <c r="BK259" s="1">
        <v>6433</v>
      </c>
      <c r="BL259" s="1">
        <v>6448</v>
      </c>
      <c r="BM259" s="1">
        <v>6475</v>
      </c>
      <c r="BN259" s="1">
        <v>6596</v>
      </c>
      <c r="BO259" s="1">
        <v>6604</v>
      </c>
      <c r="BP259" s="1">
        <v>6716</v>
      </c>
    </row>
    <row r="260" spans="1:68">
      <c r="A260" s="65" t="s">
        <v>473</v>
      </c>
      <c r="B260" s="1" t="str">
        <f>銘柄管理!C260</f>
        <v/>
      </c>
      <c r="C260" s="1" t="str">
        <f>_xll.RssMarket("6366","高値")</f>
        <v/>
      </c>
      <c r="E260" s="1">
        <v>664</v>
      </c>
      <c r="F260" s="1">
        <v>702</v>
      </c>
      <c r="G260" s="1">
        <v>677</v>
      </c>
      <c r="H260" s="1">
        <v>691</v>
      </c>
      <c r="I260" s="1">
        <v>695</v>
      </c>
      <c r="J260" s="1">
        <v>701</v>
      </c>
      <c r="K260" s="1">
        <v>734</v>
      </c>
      <c r="L260" s="1">
        <v>760</v>
      </c>
      <c r="M260" s="1">
        <v>755</v>
      </c>
      <c r="N260" s="1">
        <v>699</v>
      </c>
      <c r="O260" s="1">
        <v>695</v>
      </c>
      <c r="P260" s="1">
        <v>678</v>
      </c>
      <c r="Q260" s="1">
        <v>690</v>
      </c>
      <c r="R260" s="1">
        <v>686</v>
      </c>
      <c r="S260" s="1">
        <v>683</v>
      </c>
      <c r="T260" s="1">
        <v>733</v>
      </c>
      <c r="U260" s="1">
        <v>740</v>
      </c>
      <c r="V260" s="1">
        <v>737</v>
      </c>
      <c r="W260" s="1">
        <v>747</v>
      </c>
      <c r="X260" s="1">
        <v>795</v>
      </c>
      <c r="Y260" s="1">
        <v>818</v>
      </c>
      <c r="Z260" s="1">
        <v>821</v>
      </c>
      <c r="AA260" s="1">
        <v>770</v>
      </c>
      <c r="AB260" s="1">
        <v>837</v>
      </c>
      <c r="AC260" s="1">
        <v>730</v>
      </c>
      <c r="AD260" s="1">
        <v>669</v>
      </c>
      <c r="AE260" s="1">
        <v>699</v>
      </c>
      <c r="AF260" s="1">
        <v>718</v>
      </c>
      <c r="AG260" s="1">
        <v>743</v>
      </c>
      <c r="AH260" s="1">
        <v>731</v>
      </c>
      <c r="AI260" s="1">
        <v>733</v>
      </c>
      <c r="AJ260" s="1">
        <v>726</v>
      </c>
      <c r="AK260" s="1">
        <v>770</v>
      </c>
      <c r="AL260" s="1">
        <v>776</v>
      </c>
      <c r="AM260" s="1">
        <v>835</v>
      </c>
      <c r="AN260" s="1">
        <v>868</v>
      </c>
      <c r="AO260" s="1">
        <v>750</v>
      </c>
      <c r="AP260" s="1">
        <v>740</v>
      </c>
      <c r="AQ260" s="1">
        <v>757</v>
      </c>
      <c r="AR260" s="1">
        <v>785</v>
      </c>
      <c r="AS260" s="1">
        <v>817</v>
      </c>
      <c r="AT260" s="1">
        <v>842</v>
      </c>
      <c r="AU260" s="1">
        <v>856</v>
      </c>
      <c r="AV260" s="1">
        <v>859</v>
      </c>
      <c r="AW260" s="1">
        <v>833</v>
      </c>
      <c r="AX260" s="1">
        <v>994</v>
      </c>
      <c r="AY260" s="1">
        <v>1008</v>
      </c>
      <c r="AZ260" s="1">
        <v>1059</v>
      </c>
      <c r="BA260" s="1">
        <v>1025</v>
      </c>
      <c r="BB260" s="1">
        <v>1071</v>
      </c>
      <c r="BC260" s="1">
        <v>1074</v>
      </c>
      <c r="BD260" s="1">
        <v>1060</v>
      </c>
      <c r="BE260" s="1">
        <v>1074</v>
      </c>
      <c r="BF260" s="1">
        <v>1083</v>
      </c>
      <c r="BG260" s="1">
        <v>1072</v>
      </c>
      <c r="BH260" s="1">
        <v>1116</v>
      </c>
      <c r="BI260" s="1">
        <v>1173</v>
      </c>
      <c r="BJ260" s="1">
        <v>1226</v>
      </c>
      <c r="BK260" s="1">
        <v>1190</v>
      </c>
      <c r="BL260" s="1">
        <v>1193</v>
      </c>
      <c r="BM260" s="1">
        <v>1178</v>
      </c>
      <c r="BN260" s="1">
        <v>1163</v>
      </c>
      <c r="BO260" s="1">
        <v>1213</v>
      </c>
      <c r="BP260" s="1">
        <v>1239</v>
      </c>
    </row>
    <row r="261" spans="1:68">
      <c r="A261" s="65" t="s">
        <v>474</v>
      </c>
      <c r="B261" s="1" t="str">
        <f>銘柄管理!C261</f>
        <v/>
      </c>
      <c r="C261" s="1" t="str">
        <f>_xll.RssMarket("6140","高値")</f>
        <v/>
      </c>
      <c r="E261" s="1">
        <v>1190</v>
      </c>
      <c r="F261" s="1">
        <v>1242</v>
      </c>
      <c r="G261" s="1">
        <v>1187</v>
      </c>
      <c r="H261" s="1">
        <v>1197</v>
      </c>
      <c r="I261" s="1">
        <v>1203</v>
      </c>
      <c r="J261" s="1">
        <v>1199</v>
      </c>
      <c r="K261" s="1">
        <v>1192</v>
      </c>
      <c r="L261" s="1">
        <v>1245</v>
      </c>
      <c r="M261" s="1">
        <v>1273</v>
      </c>
      <c r="N261" s="1">
        <v>1249</v>
      </c>
      <c r="O261" s="1">
        <v>1234</v>
      </c>
      <c r="P261" s="1">
        <v>1245</v>
      </c>
      <c r="Q261" s="1">
        <v>1240</v>
      </c>
      <c r="R261" s="1">
        <v>1238</v>
      </c>
      <c r="S261" s="1">
        <v>1240</v>
      </c>
      <c r="T261" s="1">
        <v>1244</v>
      </c>
      <c r="U261" s="1">
        <v>1250</v>
      </c>
      <c r="V261" s="1">
        <v>1345</v>
      </c>
      <c r="W261" s="1">
        <v>1359</v>
      </c>
      <c r="X261" s="1">
        <v>1337</v>
      </c>
      <c r="Y261" s="1">
        <v>1348</v>
      </c>
      <c r="Z261" s="1">
        <v>1329</v>
      </c>
      <c r="AA261" s="1">
        <v>1319</v>
      </c>
      <c r="AB261" s="1">
        <v>1263</v>
      </c>
      <c r="AC261" s="1">
        <v>1221</v>
      </c>
      <c r="AD261" s="1">
        <v>1260</v>
      </c>
      <c r="AE261" s="1">
        <v>1315</v>
      </c>
      <c r="AF261" s="1">
        <v>1353</v>
      </c>
      <c r="AG261" s="1">
        <v>1329</v>
      </c>
      <c r="AH261" s="1">
        <v>1346</v>
      </c>
      <c r="AI261" s="1">
        <v>1358</v>
      </c>
      <c r="AJ261" s="1">
        <v>1385</v>
      </c>
      <c r="AK261" s="1">
        <v>1368</v>
      </c>
      <c r="AL261" s="1">
        <v>1439</v>
      </c>
      <c r="AM261" s="1">
        <v>1399</v>
      </c>
      <c r="AN261" s="1">
        <v>1380</v>
      </c>
      <c r="AO261" s="1">
        <v>1320</v>
      </c>
      <c r="AP261" s="1">
        <v>1295</v>
      </c>
      <c r="AQ261" s="1">
        <v>1316</v>
      </c>
      <c r="AR261" s="1">
        <v>1318</v>
      </c>
      <c r="AS261" s="1">
        <v>1387</v>
      </c>
      <c r="AT261" s="1">
        <v>1417</v>
      </c>
      <c r="AU261" s="1">
        <v>1397</v>
      </c>
      <c r="AV261" s="1">
        <v>1372</v>
      </c>
      <c r="AW261" s="1">
        <v>1348</v>
      </c>
      <c r="AX261" s="1">
        <v>1336</v>
      </c>
      <c r="AY261" s="1">
        <v>1327</v>
      </c>
      <c r="AZ261" s="1">
        <v>1301</v>
      </c>
      <c r="BA261" s="1">
        <v>1305</v>
      </c>
      <c r="BB261" s="1">
        <v>1319</v>
      </c>
      <c r="BC261" s="1">
        <v>1324</v>
      </c>
      <c r="BD261" s="1">
        <v>1352</v>
      </c>
      <c r="BE261" s="1">
        <v>1331</v>
      </c>
      <c r="BF261" s="1">
        <v>1325</v>
      </c>
      <c r="BG261" s="1">
        <v>1363</v>
      </c>
      <c r="BH261" s="1">
        <v>1430</v>
      </c>
      <c r="BI261" s="1">
        <v>1339</v>
      </c>
      <c r="BJ261" s="1">
        <v>1192</v>
      </c>
      <c r="BK261" s="1">
        <v>1202</v>
      </c>
      <c r="BL261" s="1">
        <v>1186</v>
      </c>
      <c r="BM261" s="1">
        <v>1181</v>
      </c>
      <c r="BN261" s="1">
        <v>1194</v>
      </c>
      <c r="BO261" s="1">
        <v>1200</v>
      </c>
      <c r="BP261" s="1">
        <v>1210</v>
      </c>
    </row>
    <row r="262" spans="1:68">
      <c r="A262" s="65" t="s">
        <v>475</v>
      </c>
      <c r="B262" s="1" t="str">
        <f>銘柄管理!C262</f>
        <v/>
      </c>
      <c r="C262" s="1" t="str">
        <f>_xll.RssMarket("1514","高値")</f>
        <v/>
      </c>
      <c r="E262" s="1">
        <v>583</v>
      </c>
      <c r="F262" s="1">
        <v>593</v>
      </c>
      <c r="G262" s="1">
        <v>592</v>
      </c>
      <c r="H262" s="1">
        <v>587</v>
      </c>
      <c r="I262" s="1">
        <v>566</v>
      </c>
      <c r="J262" s="1">
        <v>560</v>
      </c>
      <c r="K262" s="1">
        <v>585</v>
      </c>
      <c r="L262" s="1">
        <v>586</v>
      </c>
      <c r="M262" s="1">
        <v>550</v>
      </c>
      <c r="N262" s="1">
        <v>529</v>
      </c>
      <c r="O262" s="1">
        <v>537</v>
      </c>
      <c r="P262" s="1">
        <v>528</v>
      </c>
      <c r="Q262" s="1">
        <v>532</v>
      </c>
      <c r="R262" s="1">
        <v>544</v>
      </c>
      <c r="S262" s="1">
        <v>554</v>
      </c>
      <c r="T262" s="1">
        <v>559</v>
      </c>
      <c r="U262" s="1">
        <v>534</v>
      </c>
      <c r="V262" s="1">
        <v>561</v>
      </c>
      <c r="W262" s="1">
        <v>566</v>
      </c>
      <c r="X262" s="1">
        <v>555</v>
      </c>
      <c r="Y262" s="1">
        <v>557</v>
      </c>
      <c r="Z262" s="1">
        <v>560</v>
      </c>
      <c r="AA262" s="1">
        <v>555</v>
      </c>
      <c r="AB262" s="1">
        <v>561</v>
      </c>
      <c r="AC262" s="1">
        <v>583</v>
      </c>
      <c r="AD262" s="1">
        <v>588</v>
      </c>
      <c r="AE262" s="1">
        <v>569</v>
      </c>
      <c r="AF262" s="1">
        <v>571</v>
      </c>
      <c r="AG262" s="1">
        <v>595</v>
      </c>
      <c r="AH262" s="1">
        <v>615</v>
      </c>
      <c r="AI262" s="1">
        <v>629</v>
      </c>
      <c r="AJ262" s="1">
        <v>606</v>
      </c>
      <c r="AK262" s="1">
        <v>612</v>
      </c>
      <c r="AL262" s="1">
        <v>605</v>
      </c>
      <c r="AM262" s="1">
        <v>617</v>
      </c>
      <c r="AN262" s="1">
        <v>634</v>
      </c>
      <c r="AO262" s="1">
        <v>681</v>
      </c>
      <c r="AP262" s="1">
        <v>725</v>
      </c>
      <c r="AQ262" s="1">
        <v>731</v>
      </c>
      <c r="AR262" s="1">
        <v>742</v>
      </c>
      <c r="AS262" s="1">
        <v>753</v>
      </c>
      <c r="AT262" s="1">
        <v>755</v>
      </c>
      <c r="AU262" s="1">
        <v>760</v>
      </c>
      <c r="AV262" s="1">
        <v>755</v>
      </c>
      <c r="AW262" s="1">
        <v>766</v>
      </c>
      <c r="AX262" s="1">
        <v>795</v>
      </c>
      <c r="AY262" s="1">
        <v>784</v>
      </c>
      <c r="AZ262" s="1">
        <v>784</v>
      </c>
      <c r="BA262" s="1">
        <v>818</v>
      </c>
      <c r="BB262" s="1">
        <v>847</v>
      </c>
      <c r="BC262" s="1">
        <v>872</v>
      </c>
      <c r="BD262" s="1">
        <v>870</v>
      </c>
      <c r="BE262" s="1">
        <v>876</v>
      </c>
      <c r="BF262" s="1">
        <v>878</v>
      </c>
      <c r="BG262" s="1">
        <v>902</v>
      </c>
      <c r="BH262" s="1">
        <v>856</v>
      </c>
      <c r="BI262" s="1">
        <v>856</v>
      </c>
      <c r="BJ262" s="1">
        <v>886</v>
      </c>
      <c r="BK262" s="1">
        <v>880</v>
      </c>
      <c r="BL262" s="1">
        <v>908</v>
      </c>
      <c r="BM262" s="1">
        <v>893</v>
      </c>
      <c r="BN262" s="1">
        <v>939</v>
      </c>
      <c r="BO262" s="1">
        <v>956</v>
      </c>
    </row>
    <row r="263" spans="1:68">
      <c r="A263" s="65" t="s">
        <v>476</v>
      </c>
      <c r="B263" s="1" t="str">
        <f>銘柄管理!C263</f>
        <v/>
      </c>
      <c r="C263" s="1" t="str">
        <f>_xll.RssMarket("5631","高値")</f>
        <v/>
      </c>
      <c r="E263" s="1">
        <v>7759</v>
      </c>
      <c r="F263" s="1">
        <v>7848</v>
      </c>
      <c r="G263" s="1">
        <v>7749</v>
      </c>
      <c r="H263" s="1">
        <v>7892</v>
      </c>
      <c r="I263" s="1">
        <v>8061</v>
      </c>
      <c r="J263" s="1">
        <v>8150</v>
      </c>
      <c r="K263" s="1">
        <v>8647</v>
      </c>
      <c r="L263" s="1">
        <v>8697</v>
      </c>
      <c r="M263" s="1">
        <v>8550</v>
      </c>
      <c r="N263" s="1">
        <v>8100</v>
      </c>
      <c r="O263" s="1">
        <v>8078</v>
      </c>
      <c r="P263" s="1">
        <v>7977</v>
      </c>
      <c r="Q263" s="1">
        <v>7840</v>
      </c>
      <c r="R263" s="1">
        <v>7929</v>
      </c>
      <c r="S263" s="1">
        <v>7968</v>
      </c>
      <c r="T263" s="1">
        <v>8024</v>
      </c>
      <c r="U263" s="1">
        <v>8157</v>
      </c>
      <c r="V263" s="1">
        <v>8280</v>
      </c>
      <c r="W263" s="1">
        <v>8190</v>
      </c>
      <c r="X263" s="1">
        <v>8317</v>
      </c>
      <c r="Y263" s="1">
        <v>8618</v>
      </c>
      <c r="Z263" s="1">
        <v>8479</v>
      </c>
      <c r="AA263" s="1">
        <v>7883</v>
      </c>
      <c r="AB263" s="1">
        <v>7963</v>
      </c>
      <c r="AC263" s="1">
        <v>7628</v>
      </c>
      <c r="AD263" s="1">
        <v>7173</v>
      </c>
      <c r="AE263" s="1">
        <v>7320</v>
      </c>
      <c r="AF263" s="1">
        <v>7786</v>
      </c>
      <c r="AG263" s="1">
        <v>8143</v>
      </c>
      <c r="AH263" s="1">
        <v>7466</v>
      </c>
      <c r="AI263" s="1">
        <v>7438</v>
      </c>
      <c r="AJ263" s="1">
        <v>7451</v>
      </c>
      <c r="AK263" s="1">
        <v>7922</v>
      </c>
      <c r="AL263" s="1">
        <v>8210</v>
      </c>
      <c r="AM263" s="1">
        <v>8450</v>
      </c>
      <c r="AN263" s="1">
        <v>8122</v>
      </c>
      <c r="AO263" s="1">
        <v>7965</v>
      </c>
      <c r="AP263" s="1">
        <v>8085</v>
      </c>
      <c r="AQ263" s="1">
        <v>8179</v>
      </c>
      <c r="AR263" s="1">
        <v>8141</v>
      </c>
      <c r="AS263" s="1">
        <v>7901</v>
      </c>
      <c r="AT263" s="1">
        <v>8253</v>
      </c>
      <c r="AU263" s="1">
        <v>8870</v>
      </c>
      <c r="AV263" s="1">
        <v>8928</v>
      </c>
      <c r="AW263" s="1">
        <v>9169</v>
      </c>
      <c r="AX263" s="1">
        <v>9387</v>
      </c>
      <c r="AY263" s="1">
        <v>9375</v>
      </c>
      <c r="AZ263" s="1">
        <v>9432</v>
      </c>
      <c r="BA263" s="1">
        <v>9530</v>
      </c>
      <c r="BB263" s="1">
        <v>9768</v>
      </c>
      <c r="BC263" s="1">
        <v>9880</v>
      </c>
      <c r="BD263" s="1">
        <v>9807</v>
      </c>
      <c r="BE263" s="1">
        <v>9973</v>
      </c>
      <c r="BF263" s="1">
        <v>9837</v>
      </c>
      <c r="BG263" s="1">
        <v>9525</v>
      </c>
      <c r="BH263" s="1">
        <v>9545</v>
      </c>
      <c r="BI263" s="1">
        <v>9292</v>
      </c>
      <c r="BJ263" s="1">
        <v>9245</v>
      </c>
      <c r="BK263" s="1">
        <v>9376</v>
      </c>
      <c r="BL263" s="1">
        <v>9850</v>
      </c>
      <c r="BM263" s="1">
        <v>9916</v>
      </c>
      <c r="BN263" s="1">
        <v>9862</v>
      </c>
      <c r="BO263" s="1">
        <v>10005</v>
      </c>
      <c r="BP263" s="1">
        <v>9972</v>
      </c>
    </row>
    <row r="264" spans="1:68">
      <c r="A264" s="65" t="s">
        <v>477</v>
      </c>
      <c r="B264" s="1" t="str">
        <f>銘柄管理!C264</f>
        <v/>
      </c>
      <c r="C264" s="1" t="str">
        <f>_xll.RssMarket("6674","高値")</f>
        <v/>
      </c>
      <c r="E264" s="1">
        <v>5855</v>
      </c>
      <c r="F264" s="1">
        <v>6126</v>
      </c>
      <c r="G264" s="1">
        <v>6008</v>
      </c>
      <c r="H264" s="1">
        <v>6324</v>
      </c>
      <c r="I264" s="1">
        <v>6362</v>
      </c>
      <c r="J264" s="1">
        <v>6251</v>
      </c>
      <c r="K264" s="1">
        <v>6392</v>
      </c>
      <c r="L264" s="1">
        <v>6652</v>
      </c>
      <c r="M264" s="1">
        <v>6825</v>
      </c>
      <c r="N264" s="1">
        <v>6798</v>
      </c>
      <c r="O264" s="1">
        <v>6794</v>
      </c>
      <c r="P264" s="1">
        <v>6788</v>
      </c>
      <c r="Q264" s="1">
        <v>6711</v>
      </c>
      <c r="R264" s="1">
        <v>6774</v>
      </c>
      <c r="S264" s="1">
        <v>7125</v>
      </c>
      <c r="T264" s="1">
        <v>7447</v>
      </c>
      <c r="U264" s="1">
        <v>7267</v>
      </c>
      <c r="V264" s="1">
        <v>7603</v>
      </c>
      <c r="W264" s="1">
        <v>7899</v>
      </c>
      <c r="X264" s="1">
        <v>7108</v>
      </c>
      <c r="Y264" s="1">
        <v>6786</v>
      </c>
      <c r="Z264" s="1">
        <v>6880</v>
      </c>
      <c r="AA264" s="1">
        <v>6750</v>
      </c>
      <c r="AB264" s="1">
        <v>6432</v>
      </c>
      <c r="AC264" s="1">
        <v>6536</v>
      </c>
      <c r="AD264" s="1">
        <v>6357</v>
      </c>
      <c r="AE264" s="1">
        <v>6819</v>
      </c>
      <c r="AF264" s="1">
        <v>6940</v>
      </c>
      <c r="AG264" s="1">
        <v>7466</v>
      </c>
      <c r="AH264" s="1">
        <v>7600</v>
      </c>
      <c r="AI264" s="1">
        <v>7542</v>
      </c>
      <c r="AJ264" s="1">
        <v>7070</v>
      </c>
      <c r="AK264" s="1">
        <v>6790</v>
      </c>
      <c r="AL264" s="1">
        <v>6471</v>
      </c>
      <c r="AM264" s="1">
        <v>6524</v>
      </c>
      <c r="AN264" s="1">
        <v>6373</v>
      </c>
      <c r="AO264" s="1">
        <v>6244</v>
      </c>
      <c r="AP264" s="1">
        <v>6184</v>
      </c>
      <c r="AQ264" s="1">
        <v>6336</v>
      </c>
      <c r="AR264" s="1">
        <v>6420</v>
      </c>
      <c r="AS264" s="1">
        <v>6432</v>
      </c>
      <c r="AT264" s="1">
        <v>6712</v>
      </c>
      <c r="AU264" s="1">
        <v>6515</v>
      </c>
      <c r="AV264" s="1">
        <v>6948</v>
      </c>
      <c r="AW264" s="1">
        <v>6841</v>
      </c>
      <c r="AX264" s="1">
        <v>6863</v>
      </c>
      <c r="AY264" s="1">
        <v>6635</v>
      </c>
      <c r="AZ264" s="1">
        <v>6670</v>
      </c>
      <c r="BA264" s="1">
        <v>6392</v>
      </c>
      <c r="BB264" s="1">
        <v>6362</v>
      </c>
      <c r="BC264" s="1">
        <v>6200</v>
      </c>
      <c r="BD264" s="1">
        <v>6361</v>
      </c>
      <c r="BE264" s="1">
        <v>6323</v>
      </c>
      <c r="BF264" s="1">
        <v>6437</v>
      </c>
      <c r="BG264" s="1">
        <v>6536</v>
      </c>
      <c r="BH264" s="1">
        <v>6820</v>
      </c>
      <c r="BI264" s="1">
        <v>6801</v>
      </c>
      <c r="BJ264" s="1">
        <v>6813</v>
      </c>
      <c r="BK264" s="1">
        <v>6846</v>
      </c>
      <c r="BL264" s="1">
        <v>6812</v>
      </c>
      <c r="BM264" s="1">
        <v>6688</v>
      </c>
      <c r="BN264" s="1">
        <v>6436</v>
      </c>
      <c r="BO264" s="1">
        <v>6331</v>
      </c>
      <c r="BP264" s="1">
        <v>6273</v>
      </c>
    </row>
    <row r="265" spans="1:68">
      <c r="A265" s="65" t="s">
        <v>478</v>
      </c>
      <c r="B265" s="1" t="str">
        <f>銘柄管理!C265</f>
        <v/>
      </c>
      <c r="C265" s="1" t="str">
        <f>_xll.RssMarket("6955","高値")</f>
        <v/>
      </c>
      <c r="E265" s="1">
        <v>411</v>
      </c>
      <c r="F265" s="1">
        <v>434</v>
      </c>
      <c r="G265" s="1">
        <v>443</v>
      </c>
      <c r="H265" s="1">
        <v>449</v>
      </c>
      <c r="I265" s="1">
        <v>448</v>
      </c>
      <c r="J265" s="1">
        <v>435</v>
      </c>
      <c r="K265" s="1">
        <v>444</v>
      </c>
      <c r="L265" s="1">
        <v>457</v>
      </c>
      <c r="M265" s="1">
        <v>489</v>
      </c>
      <c r="N265" s="1">
        <v>499</v>
      </c>
      <c r="O265" s="1">
        <v>501</v>
      </c>
      <c r="P265" s="1">
        <v>502</v>
      </c>
      <c r="Q265" s="1">
        <v>507</v>
      </c>
      <c r="R265" s="1">
        <v>510</v>
      </c>
      <c r="S265" s="1">
        <v>520</v>
      </c>
      <c r="T265" s="1">
        <v>535</v>
      </c>
      <c r="U265" s="1">
        <v>526</v>
      </c>
      <c r="V265" s="1">
        <v>560</v>
      </c>
      <c r="W265" s="1">
        <v>552</v>
      </c>
      <c r="X265" s="1">
        <v>521</v>
      </c>
      <c r="Y265" s="1">
        <v>527</v>
      </c>
      <c r="Z265" s="1">
        <v>536</v>
      </c>
      <c r="AA265" s="1">
        <v>520</v>
      </c>
      <c r="AB265" s="1">
        <v>517</v>
      </c>
      <c r="AC265" s="1">
        <v>523</v>
      </c>
      <c r="AD265" s="1">
        <v>517</v>
      </c>
      <c r="AE265" s="1">
        <v>600</v>
      </c>
      <c r="AF265" s="1">
        <v>674</v>
      </c>
      <c r="AG265" s="1">
        <v>574</v>
      </c>
      <c r="AH265" s="1">
        <v>549</v>
      </c>
      <c r="AI265" s="1">
        <v>517</v>
      </c>
      <c r="AJ265" s="1">
        <v>470</v>
      </c>
      <c r="AK265" s="1">
        <v>451</v>
      </c>
      <c r="AL265" s="1">
        <v>452</v>
      </c>
      <c r="AM265" s="1">
        <v>434</v>
      </c>
      <c r="AN265" s="1">
        <v>416</v>
      </c>
      <c r="AO265" s="1">
        <v>418</v>
      </c>
      <c r="AP265" s="1">
        <v>415</v>
      </c>
      <c r="AQ265" s="1">
        <v>420</v>
      </c>
      <c r="AR265" s="1">
        <v>422</v>
      </c>
      <c r="AS265" s="1">
        <v>418</v>
      </c>
      <c r="AT265" s="1">
        <v>437</v>
      </c>
      <c r="AU265" s="1">
        <v>434</v>
      </c>
      <c r="AV265" s="1">
        <v>436</v>
      </c>
      <c r="AW265" s="1">
        <v>442</v>
      </c>
      <c r="AX265" s="1">
        <v>443</v>
      </c>
      <c r="AY265" s="1">
        <v>459</v>
      </c>
      <c r="AZ265" s="1">
        <v>479</v>
      </c>
      <c r="BA265" s="1">
        <v>434</v>
      </c>
      <c r="BB265" s="1">
        <v>447</v>
      </c>
      <c r="BC265" s="1">
        <v>454</v>
      </c>
      <c r="BD265" s="1">
        <v>460</v>
      </c>
      <c r="BE265" s="1">
        <v>456</v>
      </c>
      <c r="BF265" s="1">
        <v>456</v>
      </c>
      <c r="BG265" s="1">
        <v>450</v>
      </c>
      <c r="BH265" s="1">
        <v>465</v>
      </c>
      <c r="BI265" s="1">
        <v>462</v>
      </c>
      <c r="BJ265" s="1">
        <v>461</v>
      </c>
      <c r="BK265" s="1">
        <v>469</v>
      </c>
      <c r="BL265" s="1">
        <v>466</v>
      </c>
      <c r="BM265" s="1">
        <v>460</v>
      </c>
      <c r="BN265" s="1">
        <v>454</v>
      </c>
      <c r="BO265" s="1">
        <v>484</v>
      </c>
      <c r="BP265" s="1">
        <v>492</v>
      </c>
    </row>
    <row r="266" spans="1:68">
      <c r="A266" s="65" t="s">
        <v>479</v>
      </c>
      <c r="B266" s="1" t="str">
        <f>銘柄管理!C266</f>
        <v/>
      </c>
      <c r="C266" s="1" t="str">
        <f>_xll.RssMarket("281A","高値")</f>
        <v/>
      </c>
      <c r="E266" s="1">
        <v>470</v>
      </c>
      <c r="F266" s="1">
        <v>518</v>
      </c>
      <c r="G266" s="1">
        <v>527</v>
      </c>
      <c r="H266" s="1">
        <v>538</v>
      </c>
      <c r="I266" s="1">
        <v>525</v>
      </c>
      <c r="J266" s="1">
        <v>499</v>
      </c>
      <c r="K266" s="1">
        <v>519</v>
      </c>
      <c r="L266" s="1">
        <v>652</v>
      </c>
      <c r="M266" s="1">
        <v>629</v>
      </c>
      <c r="N266" s="1">
        <v>691</v>
      </c>
      <c r="O266" s="1">
        <v>666</v>
      </c>
      <c r="P266" s="1">
        <v>713</v>
      </c>
      <c r="Q266" s="1">
        <v>750</v>
      </c>
      <c r="R266" s="1">
        <v>735</v>
      </c>
      <c r="S266" s="1">
        <v>798</v>
      </c>
      <c r="T266" s="1">
        <v>737</v>
      </c>
      <c r="U266" s="1">
        <v>673</v>
      </c>
      <c r="V266" s="1">
        <v>623</v>
      </c>
      <c r="W266" s="1">
        <v>620</v>
      </c>
      <c r="X266" s="1">
        <v>663</v>
      </c>
      <c r="Y266" s="1">
        <v>657</v>
      </c>
      <c r="Z266" s="1">
        <v>728</v>
      </c>
      <c r="AA266" s="1">
        <v>634</v>
      </c>
      <c r="AB266" s="1">
        <v>566</v>
      </c>
      <c r="AC266" s="1">
        <v>572</v>
      </c>
      <c r="AD266" s="1">
        <v>555</v>
      </c>
      <c r="AE266" s="1">
        <v>601</v>
      </c>
      <c r="AF266" s="1">
        <v>645</v>
      </c>
      <c r="AG266" s="1">
        <v>705</v>
      </c>
      <c r="AH266" s="1">
        <v>709</v>
      </c>
      <c r="AI266" s="1">
        <v>740</v>
      </c>
      <c r="AJ266" s="1">
        <v>859</v>
      </c>
      <c r="AK266" s="1">
        <v>891</v>
      </c>
      <c r="AL266" s="1">
        <v>897</v>
      </c>
      <c r="AM266" s="1">
        <v>923</v>
      </c>
      <c r="AN266" s="1">
        <v>823</v>
      </c>
      <c r="AO266" s="1">
        <v>788</v>
      </c>
      <c r="AP266" s="1">
        <v>841</v>
      </c>
      <c r="AQ266" s="1">
        <v>932</v>
      </c>
      <c r="AR266" s="1">
        <v>850</v>
      </c>
      <c r="AS266" s="1">
        <v>860</v>
      </c>
      <c r="AT266" s="1">
        <v>771</v>
      </c>
      <c r="AU266" s="1">
        <v>772</v>
      </c>
      <c r="AV266" s="1">
        <v>840</v>
      </c>
      <c r="AW266" s="1">
        <v>842</v>
      </c>
      <c r="AX266" s="1">
        <v>819</v>
      </c>
      <c r="AY266" s="1">
        <v>762</v>
      </c>
      <c r="AZ266" s="1">
        <v>752</v>
      </c>
      <c r="BA266" s="1">
        <v>730</v>
      </c>
      <c r="BB266" s="1">
        <v>785</v>
      </c>
      <c r="BC266" s="1">
        <v>849</v>
      </c>
      <c r="BD266" s="1">
        <v>822</v>
      </c>
      <c r="BE266" s="1">
        <v>822</v>
      </c>
      <c r="BF266" s="1">
        <v>885</v>
      </c>
      <c r="BG266" s="1">
        <v>1060</v>
      </c>
      <c r="BH266" s="1">
        <v>958</v>
      </c>
      <c r="BI266" s="1">
        <v>857</v>
      </c>
      <c r="BJ266" s="1">
        <v>840</v>
      </c>
      <c r="BK266" s="1">
        <v>780</v>
      </c>
      <c r="BL266" s="1">
        <v>764</v>
      </c>
      <c r="BM266" s="1">
        <v>718</v>
      </c>
      <c r="BN266" s="1">
        <v>743</v>
      </c>
      <c r="BO266" s="1">
        <v>643</v>
      </c>
      <c r="BP266" s="1">
        <v>574</v>
      </c>
    </row>
    <row r="267" spans="1:68">
      <c r="A267" s="65" t="s">
        <v>480</v>
      </c>
      <c r="B267" s="1" t="str">
        <f>銘柄管理!C267</f>
        <v/>
      </c>
      <c r="C267" s="1" t="str">
        <f>_xll.RssMarket("6356","高値")</f>
        <v/>
      </c>
      <c r="E267" s="1">
        <v>1514</v>
      </c>
      <c r="F267" s="1">
        <v>1579</v>
      </c>
      <c r="G267" s="1">
        <v>1574</v>
      </c>
      <c r="H267" s="1">
        <v>1545</v>
      </c>
      <c r="I267" s="1">
        <v>1509</v>
      </c>
      <c r="J267" s="1">
        <v>1549</v>
      </c>
      <c r="K267" s="1">
        <v>1570</v>
      </c>
      <c r="L267" s="1">
        <v>1715</v>
      </c>
      <c r="M267" s="1">
        <v>1895</v>
      </c>
      <c r="N267" s="1">
        <v>1668</v>
      </c>
      <c r="O267" s="1">
        <v>1567</v>
      </c>
      <c r="P267" s="1">
        <v>1515</v>
      </c>
      <c r="Q267" s="1">
        <v>1520</v>
      </c>
      <c r="R267" s="1">
        <v>1579</v>
      </c>
      <c r="S267" s="1">
        <v>1509</v>
      </c>
      <c r="T267" s="1">
        <v>1530</v>
      </c>
      <c r="U267" s="1">
        <v>1544</v>
      </c>
      <c r="V267" s="1">
        <v>1593</v>
      </c>
      <c r="W267" s="1">
        <v>1609</v>
      </c>
      <c r="X267" s="1">
        <v>1570</v>
      </c>
      <c r="Y267" s="1">
        <v>1606</v>
      </c>
      <c r="Z267" s="1">
        <v>1678</v>
      </c>
      <c r="AA267" s="1">
        <v>1445</v>
      </c>
      <c r="AB267" s="1">
        <v>1460</v>
      </c>
      <c r="AC267" s="1">
        <v>1475</v>
      </c>
      <c r="AD267" s="1">
        <v>1391</v>
      </c>
      <c r="AE267" s="1">
        <v>1555</v>
      </c>
      <c r="AF267" s="1">
        <v>1534</v>
      </c>
      <c r="AG267" s="1">
        <v>1653</v>
      </c>
      <c r="AH267" s="1">
        <v>1507</v>
      </c>
      <c r="AI267" s="1">
        <v>1530</v>
      </c>
      <c r="AJ267" s="1">
        <v>1515</v>
      </c>
      <c r="AK267" s="1">
        <v>1741</v>
      </c>
      <c r="AL267" s="1">
        <v>1728</v>
      </c>
      <c r="AM267" s="1">
        <v>1845</v>
      </c>
      <c r="AN267" s="1">
        <v>1594</v>
      </c>
      <c r="AO267" s="1">
        <v>1509</v>
      </c>
      <c r="AP267" s="1">
        <v>1395</v>
      </c>
      <c r="AQ267" s="1">
        <v>1415</v>
      </c>
      <c r="AR267" s="1">
        <v>1473</v>
      </c>
      <c r="AS267" s="1">
        <v>1511</v>
      </c>
      <c r="AT267" s="1">
        <v>1439</v>
      </c>
      <c r="AU267" s="1">
        <v>1514</v>
      </c>
      <c r="AV267" s="1">
        <v>1680</v>
      </c>
      <c r="AW267" s="1">
        <v>1591</v>
      </c>
      <c r="AX267" s="1">
        <v>1550</v>
      </c>
      <c r="AY267" s="1">
        <v>1542</v>
      </c>
      <c r="AZ267" s="1">
        <v>1507</v>
      </c>
      <c r="BA267" s="1">
        <v>1628</v>
      </c>
      <c r="BB267" s="1">
        <v>1743</v>
      </c>
      <c r="BC267" s="1">
        <v>1764</v>
      </c>
      <c r="BD267" s="1">
        <v>1693</v>
      </c>
      <c r="BE267" s="1">
        <v>1768</v>
      </c>
      <c r="BF267" s="1">
        <v>1526</v>
      </c>
      <c r="BG267" s="1">
        <v>1269</v>
      </c>
      <c r="BH267" s="1">
        <v>1326</v>
      </c>
      <c r="BI267" s="1">
        <v>1362</v>
      </c>
      <c r="BJ267" s="1">
        <v>1365</v>
      </c>
      <c r="BK267" s="1">
        <v>1406</v>
      </c>
      <c r="BL267" s="1">
        <v>1368</v>
      </c>
      <c r="BM267" s="1">
        <v>1352</v>
      </c>
      <c r="BN267" s="1">
        <v>1315</v>
      </c>
      <c r="BO267" s="1">
        <v>1364</v>
      </c>
      <c r="BP267" s="1">
        <v>1314</v>
      </c>
    </row>
    <row r="268" spans="1:68">
      <c r="A268" s="65" t="s">
        <v>481</v>
      </c>
      <c r="B268" s="1" t="str">
        <f>銘柄管理!C268</f>
        <v/>
      </c>
      <c r="C268" s="1" t="str">
        <f>_xll.RssMarket("7711","高値")</f>
        <v/>
      </c>
      <c r="E268" s="1">
        <v>4865</v>
      </c>
      <c r="F268" s="1">
        <v>5220</v>
      </c>
      <c r="G268" s="1">
        <v>5160</v>
      </c>
      <c r="H268" s="1">
        <v>4860</v>
      </c>
      <c r="I268" s="1">
        <v>4820</v>
      </c>
      <c r="J268" s="1">
        <v>4900</v>
      </c>
      <c r="K268" s="1">
        <v>5070</v>
      </c>
      <c r="L268" s="1">
        <v>5250</v>
      </c>
      <c r="M268" s="1">
        <v>5190</v>
      </c>
      <c r="N268" s="1">
        <v>5050</v>
      </c>
      <c r="O268" s="1">
        <v>4985</v>
      </c>
      <c r="P268" s="1">
        <v>4915</v>
      </c>
      <c r="Q268" s="1">
        <v>4975</v>
      </c>
      <c r="R268" s="1">
        <v>5070</v>
      </c>
      <c r="S268" s="1">
        <v>5030</v>
      </c>
      <c r="T268" s="1">
        <v>5180</v>
      </c>
      <c r="U268" s="1">
        <v>5460</v>
      </c>
      <c r="V268" s="1">
        <v>5840</v>
      </c>
      <c r="W268" s="1">
        <v>5690</v>
      </c>
      <c r="X268" s="1">
        <v>5740</v>
      </c>
      <c r="Y268" s="1">
        <v>5650</v>
      </c>
      <c r="Z268" s="1">
        <v>4985</v>
      </c>
      <c r="AA268" s="1">
        <v>4940</v>
      </c>
      <c r="AB268" s="1">
        <v>4880</v>
      </c>
      <c r="AC268" s="1">
        <v>4655</v>
      </c>
      <c r="AD268" s="1">
        <v>4840</v>
      </c>
      <c r="AE268" s="1">
        <v>5240</v>
      </c>
      <c r="AF268" s="1">
        <v>5720</v>
      </c>
      <c r="AG268" s="1">
        <v>5140</v>
      </c>
      <c r="AH268" s="1">
        <v>5240</v>
      </c>
      <c r="AI268" s="1">
        <v>5340</v>
      </c>
      <c r="AJ268" s="1">
        <v>5450</v>
      </c>
      <c r="AK268" s="1">
        <v>5510</v>
      </c>
      <c r="AL268" s="1">
        <v>5980</v>
      </c>
      <c r="AM268" s="1">
        <v>5560</v>
      </c>
      <c r="AN268" s="1">
        <v>5370</v>
      </c>
      <c r="AO268" s="1">
        <v>5180</v>
      </c>
      <c r="AP268" s="1">
        <v>5210</v>
      </c>
      <c r="AQ268" s="1">
        <v>5440</v>
      </c>
      <c r="AR268" s="1">
        <v>5470</v>
      </c>
      <c r="AS268" s="1">
        <v>5610</v>
      </c>
      <c r="AT268" s="1">
        <v>5710</v>
      </c>
      <c r="AU268" s="1">
        <v>5730</v>
      </c>
      <c r="AV268" s="1">
        <v>5860</v>
      </c>
      <c r="AW268" s="1">
        <v>6070</v>
      </c>
      <c r="AX268" s="1">
        <v>6200</v>
      </c>
      <c r="AY268" s="1">
        <v>6830</v>
      </c>
      <c r="AZ268" s="1">
        <v>6010</v>
      </c>
      <c r="BA268" s="1">
        <v>6110</v>
      </c>
      <c r="BB268" s="1">
        <v>6220</v>
      </c>
      <c r="BC268" s="1">
        <v>6380</v>
      </c>
      <c r="BD268" s="1">
        <v>6640</v>
      </c>
      <c r="BE268" s="1">
        <v>6720</v>
      </c>
      <c r="BF268" s="1">
        <v>6620</v>
      </c>
      <c r="BG268" s="1">
        <v>6390</v>
      </c>
      <c r="BH268" s="1">
        <v>6450</v>
      </c>
      <c r="BI268" s="1">
        <v>6370</v>
      </c>
      <c r="BJ268" s="1">
        <v>6470</v>
      </c>
      <c r="BK268" s="1">
        <v>6350</v>
      </c>
      <c r="BL268" s="1">
        <v>6420</v>
      </c>
      <c r="BM268" s="1">
        <v>6400</v>
      </c>
      <c r="BN268" s="1">
        <v>6490</v>
      </c>
      <c r="BO268" s="1">
        <v>6680</v>
      </c>
      <c r="BP268" s="1">
        <v>6760</v>
      </c>
    </row>
    <row r="269" spans="1:68">
      <c r="A269" s="65" t="s">
        <v>482</v>
      </c>
      <c r="B269" s="1" t="str">
        <f>銘柄管理!C269</f>
        <v/>
      </c>
      <c r="C269" s="1" t="str">
        <f>_xll.RssMarket("6376","高値")</f>
        <v/>
      </c>
      <c r="E269" s="1">
        <v>3880</v>
      </c>
      <c r="F269" s="1">
        <v>3930</v>
      </c>
      <c r="G269" s="1">
        <v>3810</v>
      </c>
      <c r="H269" s="1">
        <v>3720</v>
      </c>
      <c r="I269" s="1">
        <v>3790</v>
      </c>
      <c r="J269" s="1">
        <v>3810</v>
      </c>
      <c r="K269" s="1">
        <v>3915</v>
      </c>
      <c r="L269" s="1">
        <v>4090</v>
      </c>
      <c r="M269" s="1">
        <v>4200</v>
      </c>
      <c r="N269" s="1">
        <v>4085</v>
      </c>
      <c r="O269" s="1">
        <v>4030</v>
      </c>
      <c r="P269" s="1">
        <v>4135</v>
      </c>
      <c r="Q269" s="1">
        <v>4230</v>
      </c>
      <c r="R269" s="1">
        <v>4240</v>
      </c>
      <c r="S269" s="1">
        <v>4295</v>
      </c>
      <c r="T269" s="1">
        <v>4215</v>
      </c>
      <c r="U269" s="1">
        <v>4060</v>
      </c>
      <c r="V269" s="1">
        <v>4160</v>
      </c>
      <c r="W269" s="1">
        <v>4090</v>
      </c>
      <c r="X269" s="1">
        <v>4010</v>
      </c>
      <c r="Y269" s="1">
        <v>4080</v>
      </c>
      <c r="Z269" s="1">
        <v>3970</v>
      </c>
      <c r="AA269" s="1">
        <v>3780</v>
      </c>
      <c r="AB269" s="1">
        <v>3900</v>
      </c>
      <c r="AC269" s="1">
        <v>3695</v>
      </c>
      <c r="AD269" s="1">
        <v>3600</v>
      </c>
      <c r="AE269" s="1">
        <v>3665</v>
      </c>
      <c r="AF269" s="1">
        <v>3295</v>
      </c>
      <c r="AG269" s="1">
        <v>3345</v>
      </c>
      <c r="AH269" s="1">
        <v>3215</v>
      </c>
      <c r="AI269" s="1">
        <v>3200</v>
      </c>
      <c r="AJ269" s="1">
        <v>3300</v>
      </c>
      <c r="AK269" s="1">
        <v>3340</v>
      </c>
      <c r="AL269" s="1">
        <v>3300</v>
      </c>
      <c r="AM269" s="1">
        <v>3530</v>
      </c>
      <c r="AN269" s="1">
        <v>3475</v>
      </c>
      <c r="AO269" s="1">
        <v>3250</v>
      </c>
      <c r="AP269" s="1">
        <v>3120</v>
      </c>
      <c r="AQ269" s="1">
        <v>2941</v>
      </c>
      <c r="AR269" s="1">
        <v>3100</v>
      </c>
      <c r="AS269" s="1">
        <v>3050</v>
      </c>
      <c r="AT269" s="1">
        <v>2939</v>
      </c>
      <c r="AU269" s="1">
        <v>2687</v>
      </c>
      <c r="AV269" s="1">
        <v>2682</v>
      </c>
      <c r="AW269" s="1">
        <v>2739</v>
      </c>
      <c r="AX269" s="1">
        <v>2693</v>
      </c>
      <c r="AY269" s="1">
        <v>2664</v>
      </c>
      <c r="AZ269" s="1">
        <v>2717</v>
      </c>
      <c r="BA269" s="1">
        <v>2673</v>
      </c>
      <c r="BB269" s="1">
        <v>2683</v>
      </c>
      <c r="BC269" s="1">
        <v>2634</v>
      </c>
      <c r="BD269" s="1">
        <v>2680</v>
      </c>
      <c r="BE269" s="1">
        <v>2694</v>
      </c>
      <c r="BF269" s="1">
        <v>2588</v>
      </c>
      <c r="BG269" s="1">
        <v>2581</v>
      </c>
      <c r="BH269" s="1">
        <v>2670</v>
      </c>
      <c r="BI269" s="1">
        <v>2680</v>
      </c>
      <c r="BJ269" s="1">
        <v>2734</v>
      </c>
      <c r="BK269" s="1">
        <v>2778</v>
      </c>
      <c r="BL269" s="1">
        <v>2890</v>
      </c>
      <c r="BM269" s="1">
        <v>2899</v>
      </c>
      <c r="BN269" s="1">
        <v>2845</v>
      </c>
      <c r="BO269" s="1">
        <v>2840</v>
      </c>
      <c r="BP269" s="1">
        <v>2750</v>
      </c>
    </row>
    <row r="270" spans="1:68">
      <c r="A270" s="65" t="s">
        <v>483</v>
      </c>
      <c r="B270" s="1" t="str">
        <f>銘柄管理!C270</f>
        <v/>
      </c>
      <c r="C270" s="1" t="str">
        <f>_xll.RssMarket("9115","高値")</f>
        <v/>
      </c>
      <c r="E270" s="1">
        <v>842</v>
      </c>
      <c r="F270" s="1">
        <v>865</v>
      </c>
      <c r="G270" s="1">
        <v>834</v>
      </c>
      <c r="H270" s="1">
        <v>830</v>
      </c>
      <c r="I270" s="1">
        <v>844</v>
      </c>
      <c r="J270" s="1">
        <v>847</v>
      </c>
      <c r="K270" s="1">
        <v>830</v>
      </c>
      <c r="L270" s="1">
        <v>849</v>
      </c>
      <c r="M270" s="1">
        <v>861</v>
      </c>
      <c r="N270" s="1">
        <v>841</v>
      </c>
      <c r="O270" s="1">
        <v>840</v>
      </c>
      <c r="P270" s="1">
        <v>822</v>
      </c>
      <c r="Q270" s="1">
        <v>814</v>
      </c>
      <c r="R270" s="1">
        <v>829</v>
      </c>
      <c r="S270" s="1">
        <v>800</v>
      </c>
      <c r="T270" s="1">
        <v>818</v>
      </c>
      <c r="U270" s="1">
        <v>840</v>
      </c>
      <c r="V270" s="1">
        <v>781</v>
      </c>
      <c r="W270" s="1">
        <v>790</v>
      </c>
      <c r="X270" s="1">
        <v>814</v>
      </c>
      <c r="Y270" s="1">
        <v>839</v>
      </c>
      <c r="Z270" s="1">
        <v>848</v>
      </c>
      <c r="AA270" s="1">
        <v>853</v>
      </c>
      <c r="AB270" s="1">
        <v>905</v>
      </c>
      <c r="AC270" s="1">
        <v>919</v>
      </c>
      <c r="AD270" s="1">
        <v>940</v>
      </c>
      <c r="AE270" s="1">
        <v>989</v>
      </c>
      <c r="AF270" s="1">
        <v>1017</v>
      </c>
      <c r="AG270" s="1">
        <v>1011</v>
      </c>
      <c r="AH270" s="1">
        <v>1066</v>
      </c>
      <c r="AI270" s="1">
        <v>1070</v>
      </c>
      <c r="AJ270" s="1">
        <v>1145</v>
      </c>
      <c r="AK270" s="1">
        <v>1170</v>
      </c>
      <c r="AL270" s="1">
        <v>1197</v>
      </c>
      <c r="AM270" s="1">
        <v>1198</v>
      </c>
      <c r="AN270" s="1">
        <v>1156</v>
      </c>
      <c r="AO270" s="1">
        <v>1147</v>
      </c>
      <c r="AP270" s="1">
        <v>1146</v>
      </c>
      <c r="AQ270" s="1">
        <v>1208</v>
      </c>
      <c r="AR270" s="1">
        <v>1247</v>
      </c>
      <c r="AS270" s="1">
        <v>1253</v>
      </c>
      <c r="AT270" s="1">
        <v>1272</v>
      </c>
      <c r="AU270" s="1">
        <v>1232</v>
      </c>
      <c r="AV270" s="1">
        <v>1278</v>
      </c>
      <c r="AW270" s="1">
        <v>1278</v>
      </c>
      <c r="AX270" s="1">
        <v>1303</v>
      </c>
      <c r="AY270" s="1">
        <v>1335</v>
      </c>
      <c r="AZ270" s="1">
        <v>1313</v>
      </c>
      <c r="BA270" s="1">
        <v>1277</v>
      </c>
      <c r="BB270" s="1">
        <v>1281</v>
      </c>
      <c r="BC270" s="1">
        <v>1217</v>
      </c>
      <c r="BD270" s="1">
        <v>1209</v>
      </c>
      <c r="BE270" s="1">
        <v>1245</v>
      </c>
      <c r="BF270" s="1">
        <v>1253</v>
      </c>
      <c r="BG270" s="1">
        <v>1300</v>
      </c>
      <c r="BH270" s="1">
        <v>1313</v>
      </c>
      <c r="BI270" s="1">
        <v>1313</v>
      </c>
      <c r="BJ270" s="1">
        <v>1315</v>
      </c>
      <c r="BK270" s="1">
        <v>1377</v>
      </c>
      <c r="BL270" s="1">
        <v>1340</v>
      </c>
      <c r="BM270" s="1">
        <v>1450</v>
      </c>
      <c r="BN270" s="1">
        <v>1330</v>
      </c>
      <c r="BO270" s="1">
        <v>1375</v>
      </c>
      <c r="BP270" s="1">
        <v>1271</v>
      </c>
    </row>
    <row r="271" spans="1:68">
      <c r="A271" s="65" t="s">
        <v>484</v>
      </c>
      <c r="B271" s="1" t="str">
        <f>銘柄管理!C271</f>
        <v/>
      </c>
      <c r="C271" s="1" t="str">
        <f>_xll.RssMarket("3864","高値")</f>
        <v/>
      </c>
      <c r="E271" s="1">
        <v>1100</v>
      </c>
      <c r="F271" s="1">
        <v>1118</v>
      </c>
      <c r="G271" s="1">
        <v>1087</v>
      </c>
      <c r="H271" s="1">
        <v>1070</v>
      </c>
      <c r="I271" s="1">
        <v>1017</v>
      </c>
      <c r="J271" s="1">
        <v>1012</v>
      </c>
      <c r="K271" s="1">
        <v>1022</v>
      </c>
      <c r="L271" s="1">
        <v>1023</v>
      </c>
      <c r="M271" s="1">
        <v>1027</v>
      </c>
      <c r="N271" s="1">
        <v>1018</v>
      </c>
      <c r="O271" s="1">
        <v>1020</v>
      </c>
      <c r="P271" s="1">
        <v>1027</v>
      </c>
      <c r="Q271" s="1">
        <v>1029</v>
      </c>
      <c r="R271" s="1">
        <v>1048</v>
      </c>
      <c r="S271" s="1">
        <v>1054</v>
      </c>
      <c r="T271" s="1">
        <v>1044</v>
      </c>
      <c r="U271" s="1">
        <v>1036</v>
      </c>
      <c r="V271" s="1">
        <v>1048</v>
      </c>
      <c r="W271" s="1">
        <v>1041</v>
      </c>
      <c r="X271" s="1">
        <v>1050</v>
      </c>
      <c r="Y271" s="1">
        <v>1077</v>
      </c>
      <c r="Z271" s="1">
        <v>1087</v>
      </c>
      <c r="AA271" s="1">
        <v>1091</v>
      </c>
      <c r="AB271" s="1">
        <v>1106</v>
      </c>
      <c r="AC271" s="1">
        <v>1078</v>
      </c>
      <c r="AD271" s="1">
        <v>1070</v>
      </c>
      <c r="AE271" s="1">
        <v>1081</v>
      </c>
      <c r="AF271" s="1">
        <v>1058</v>
      </c>
      <c r="AG271" s="1">
        <v>1061</v>
      </c>
      <c r="AH271" s="1">
        <v>1063</v>
      </c>
      <c r="AI271" s="1">
        <v>1072</v>
      </c>
      <c r="AJ271" s="1">
        <v>1064</v>
      </c>
      <c r="AK271" s="1">
        <v>1137</v>
      </c>
      <c r="AL271" s="1">
        <v>1136</v>
      </c>
      <c r="AM271" s="1">
        <v>1117</v>
      </c>
      <c r="AN271" s="1">
        <v>1106</v>
      </c>
      <c r="AO271" s="1">
        <v>1119</v>
      </c>
      <c r="AP271" s="1">
        <v>1090</v>
      </c>
      <c r="AQ271" s="1">
        <v>1038</v>
      </c>
      <c r="AR271" s="1">
        <v>1079</v>
      </c>
      <c r="AS271" s="1">
        <v>1038</v>
      </c>
      <c r="AT271" s="1">
        <v>1017</v>
      </c>
      <c r="AU271" s="1">
        <v>941</v>
      </c>
      <c r="AV271" s="1">
        <v>931</v>
      </c>
      <c r="AW271" s="1">
        <v>945</v>
      </c>
      <c r="AX271" s="1">
        <v>949</v>
      </c>
      <c r="AY271" s="1">
        <v>953</v>
      </c>
      <c r="AZ271" s="1">
        <v>941</v>
      </c>
      <c r="BA271" s="1">
        <v>939</v>
      </c>
      <c r="BB271" s="1">
        <v>943</v>
      </c>
      <c r="BC271" s="1">
        <v>952</v>
      </c>
      <c r="BD271" s="1">
        <v>967</v>
      </c>
      <c r="BE271" s="1">
        <v>961</v>
      </c>
      <c r="BF271" s="1">
        <v>965</v>
      </c>
      <c r="BG271" s="1">
        <v>991</v>
      </c>
      <c r="BH271" s="1">
        <v>987</v>
      </c>
      <c r="BI271" s="1">
        <v>996</v>
      </c>
      <c r="BJ271" s="1">
        <v>998</v>
      </c>
      <c r="BK271" s="1">
        <v>995</v>
      </c>
      <c r="BL271" s="1">
        <v>951</v>
      </c>
      <c r="BM271" s="1">
        <v>932</v>
      </c>
      <c r="BN271" s="1">
        <v>934</v>
      </c>
      <c r="BO271" s="1">
        <v>923</v>
      </c>
      <c r="BP271" s="1">
        <v>907</v>
      </c>
    </row>
    <row r="272" spans="1:68">
      <c r="A272" s="65" t="s">
        <v>485</v>
      </c>
      <c r="B272" s="1" t="str">
        <f>銘柄管理!C272</f>
        <v/>
      </c>
      <c r="C272" s="1" t="str">
        <f>_xll.RssMarket("6997","高値")</f>
        <v/>
      </c>
      <c r="E272" s="1">
        <v>3375</v>
      </c>
      <c r="F272" s="1">
        <v>3735</v>
      </c>
      <c r="G272" s="1">
        <v>3710</v>
      </c>
      <c r="H272" s="1">
        <v>4130</v>
      </c>
      <c r="I272" s="1">
        <v>4140</v>
      </c>
      <c r="J272" s="1">
        <v>4080</v>
      </c>
      <c r="K272" s="1">
        <v>4480</v>
      </c>
      <c r="L272" s="1">
        <v>4905</v>
      </c>
      <c r="M272" s="1">
        <v>5550</v>
      </c>
      <c r="N272" s="1">
        <v>5600</v>
      </c>
      <c r="O272" s="1">
        <v>5620</v>
      </c>
      <c r="P272" s="1">
        <v>5900</v>
      </c>
      <c r="Q272" s="1">
        <v>5650</v>
      </c>
      <c r="R272" s="1">
        <v>5870</v>
      </c>
      <c r="S272" s="1">
        <v>6100</v>
      </c>
      <c r="T272" s="1">
        <v>6180</v>
      </c>
      <c r="U272" s="1">
        <v>6090</v>
      </c>
      <c r="V272" s="1">
        <v>6040</v>
      </c>
      <c r="W272" s="1">
        <v>6190</v>
      </c>
      <c r="X272" s="1">
        <v>5940</v>
      </c>
      <c r="Y272" s="1">
        <v>5690</v>
      </c>
      <c r="Z272" s="1">
        <v>5240</v>
      </c>
      <c r="AA272" s="1">
        <v>4800</v>
      </c>
      <c r="AB272" s="1">
        <v>4790</v>
      </c>
      <c r="AC272" s="1">
        <v>4545</v>
      </c>
      <c r="AD272" s="1">
        <v>4225</v>
      </c>
      <c r="AE272" s="1">
        <v>4420</v>
      </c>
      <c r="AF272" s="1">
        <v>4730</v>
      </c>
      <c r="AG272" s="1">
        <v>5160</v>
      </c>
      <c r="AH272" s="1">
        <v>5130</v>
      </c>
      <c r="AI272" s="1">
        <v>5020</v>
      </c>
      <c r="AJ272" s="1">
        <v>5670</v>
      </c>
      <c r="AK272" s="1">
        <v>5080</v>
      </c>
      <c r="AL272" s="1">
        <v>4380</v>
      </c>
      <c r="AM272" s="1">
        <v>4210</v>
      </c>
      <c r="AN272" s="1">
        <v>4065</v>
      </c>
      <c r="AO272" s="1">
        <v>3425</v>
      </c>
      <c r="AP272" s="1">
        <v>3110</v>
      </c>
      <c r="AQ272" s="1">
        <v>3110</v>
      </c>
      <c r="AR272" s="1">
        <v>3080</v>
      </c>
      <c r="AS272" s="1">
        <v>3120</v>
      </c>
      <c r="AT272" s="1">
        <v>3550</v>
      </c>
      <c r="AU272" s="1">
        <v>3540</v>
      </c>
      <c r="AV272" s="1">
        <v>3205</v>
      </c>
      <c r="AW272" s="1">
        <v>3300</v>
      </c>
      <c r="AX272" s="1">
        <v>3300</v>
      </c>
      <c r="AY272" s="1">
        <v>3255</v>
      </c>
      <c r="AZ272" s="1">
        <v>3140</v>
      </c>
      <c r="BA272" s="1">
        <v>2670</v>
      </c>
      <c r="BB272" s="1">
        <v>2741</v>
      </c>
      <c r="BC272" s="1">
        <v>2462</v>
      </c>
      <c r="BD272" s="1">
        <v>2397</v>
      </c>
      <c r="BE272" s="1">
        <v>2350</v>
      </c>
      <c r="BF272" s="1">
        <v>2454</v>
      </c>
      <c r="BG272" s="1">
        <v>2457</v>
      </c>
      <c r="BH272" s="1">
        <v>2494</v>
      </c>
      <c r="BI272" s="1">
        <v>2484</v>
      </c>
      <c r="BJ272" s="1">
        <v>2277</v>
      </c>
      <c r="BK272" s="1">
        <v>2290</v>
      </c>
      <c r="BL272" s="1">
        <v>2074</v>
      </c>
      <c r="BM272" s="1">
        <v>1958</v>
      </c>
      <c r="BN272" s="1">
        <v>1769</v>
      </c>
      <c r="BO272" s="1">
        <v>1718</v>
      </c>
      <c r="BP272" s="1">
        <v>1669</v>
      </c>
    </row>
    <row r="273" spans="1:68">
      <c r="A273" s="65" t="s">
        <v>486</v>
      </c>
      <c r="B273" s="1" t="str">
        <f>銘柄管理!C273</f>
        <v/>
      </c>
      <c r="C273" s="1" t="str">
        <f>_xll.RssMarket("4544","高値")</f>
        <v/>
      </c>
      <c r="E273" s="1">
        <v>3409</v>
      </c>
      <c r="F273" s="1">
        <v>3375</v>
      </c>
      <c r="G273" s="1">
        <v>3383</v>
      </c>
      <c r="H273" s="1">
        <v>3400</v>
      </c>
      <c r="I273" s="1">
        <v>3397</v>
      </c>
      <c r="J273" s="1">
        <v>3487</v>
      </c>
      <c r="K273" s="1">
        <v>3523</v>
      </c>
      <c r="L273" s="1">
        <v>3470</v>
      </c>
      <c r="M273" s="1">
        <v>3450</v>
      </c>
      <c r="N273" s="1">
        <v>3431</v>
      </c>
      <c r="O273" s="1">
        <v>3415</v>
      </c>
      <c r="P273" s="1">
        <v>3304</v>
      </c>
      <c r="Q273" s="1">
        <v>3300</v>
      </c>
      <c r="R273" s="1">
        <v>3354</v>
      </c>
      <c r="S273" s="1">
        <v>3245</v>
      </c>
      <c r="T273" s="1">
        <v>3239</v>
      </c>
      <c r="U273" s="1">
        <v>3205</v>
      </c>
      <c r="V273" s="1">
        <v>3172</v>
      </c>
      <c r="W273" s="1">
        <v>3185</v>
      </c>
      <c r="X273" s="1">
        <v>3173</v>
      </c>
      <c r="Y273" s="1">
        <v>3189</v>
      </c>
      <c r="Z273" s="1">
        <v>3251</v>
      </c>
      <c r="AA273" s="1">
        <v>3257</v>
      </c>
      <c r="AB273" s="1">
        <v>3392</v>
      </c>
      <c r="AC273" s="1">
        <v>3439</v>
      </c>
      <c r="AD273" s="1">
        <v>3479</v>
      </c>
      <c r="AE273" s="1">
        <v>3485</v>
      </c>
      <c r="AF273" s="1">
        <v>3366</v>
      </c>
      <c r="AG273" s="1">
        <v>3419</v>
      </c>
      <c r="AH273" s="1">
        <v>3298</v>
      </c>
      <c r="AI273" s="1">
        <v>3339</v>
      </c>
      <c r="AJ273" s="1">
        <v>3164</v>
      </c>
      <c r="AK273" s="1">
        <v>3210</v>
      </c>
      <c r="AL273" s="1">
        <v>3168</v>
      </c>
      <c r="AM273" s="1">
        <v>3173</v>
      </c>
      <c r="AN273" s="1">
        <v>3195</v>
      </c>
      <c r="AO273" s="1">
        <v>3251</v>
      </c>
      <c r="AP273" s="1">
        <v>3264</v>
      </c>
      <c r="AQ273" s="1">
        <v>3256</v>
      </c>
      <c r="AR273" s="1">
        <v>3224</v>
      </c>
      <c r="AS273" s="1">
        <v>3235</v>
      </c>
      <c r="AT273" s="1">
        <v>3274</v>
      </c>
      <c r="AU273" s="1">
        <v>3161</v>
      </c>
      <c r="AV273" s="1">
        <v>3147</v>
      </c>
      <c r="AW273" s="1">
        <v>3130</v>
      </c>
      <c r="AX273" s="1">
        <v>3188</v>
      </c>
      <c r="AY273" s="1">
        <v>3173</v>
      </c>
      <c r="AZ273" s="1">
        <v>3111</v>
      </c>
      <c r="BA273" s="1">
        <v>3141</v>
      </c>
      <c r="BB273" s="1">
        <v>3281</v>
      </c>
      <c r="BC273" s="1">
        <v>3285</v>
      </c>
      <c r="BD273" s="1">
        <v>3202</v>
      </c>
      <c r="BE273" s="1">
        <v>3194</v>
      </c>
      <c r="BF273" s="1">
        <v>3180</v>
      </c>
      <c r="BG273" s="1">
        <v>3188</v>
      </c>
      <c r="BH273" s="1">
        <v>3174</v>
      </c>
      <c r="BI273" s="1">
        <v>3189</v>
      </c>
      <c r="BJ273" s="1">
        <v>3200</v>
      </c>
      <c r="BK273" s="1">
        <v>3212</v>
      </c>
      <c r="BL273" s="1">
        <v>3169</v>
      </c>
      <c r="BM273" s="1">
        <v>3143</v>
      </c>
      <c r="BN273" s="1">
        <v>3216</v>
      </c>
      <c r="BO273" s="1">
        <v>3258</v>
      </c>
      <c r="BP273" s="1">
        <v>3295</v>
      </c>
    </row>
    <row r="274" spans="1:68">
      <c r="A274" s="65" t="s">
        <v>487</v>
      </c>
      <c r="B274" s="1" t="str">
        <f>銘柄管理!C274</f>
        <v/>
      </c>
      <c r="C274" s="1" t="str">
        <f>_xll.RssMarket("6848","高値")</f>
        <v/>
      </c>
      <c r="E274" s="1">
        <v>856</v>
      </c>
      <c r="F274" s="1">
        <v>857</v>
      </c>
      <c r="G274" s="1">
        <v>861</v>
      </c>
      <c r="H274" s="1">
        <v>860</v>
      </c>
      <c r="I274" s="1">
        <v>856</v>
      </c>
      <c r="J274" s="1">
        <v>874</v>
      </c>
      <c r="K274" s="1">
        <v>866</v>
      </c>
      <c r="L274" s="1">
        <v>864</v>
      </c>
      <c r="M274" s="1">
        <v>854</v>
      </c>
      <c r="N274" s="1">
        <v>874</v>
      </c>
      <c r="O274" s="1">
        <v>876</v>
      </c>
      <c r="P274" s="1">
        <v>868</v>
      </c>
      <c r="Q274" s="1">
        <v>858</v>
      </c>
      <c r="R274" s="1">
        <v>865</v>
      </c>
      <c r="S274" s="1">
        <v>866</v>
      </c>
      <c r="T274" s="1">
        <v>886</v>
      </c>
      <c r="U274" s="1">
        <v>888</v>
      </c>
      <c r="V274" s="1">
        <v>865</v>
      </c>
      <c r="W274" s="1">
        <v>863</v>
      </c>
      <c r="X274" s="1">
        <v>871</v>
      </c>
      <c r="Y274" s="1">
        <v>859</v>
      </c>
      <c r="Z274" s="1">
        <v>877</v>
      </c>
      <c r="AA274" s="1">
        <v>878</v>
      </c>
      <c r="AB274" s="1">
        <v>857</v>
      </c>
      <c r="AC274" s="1">
        <v>867</v>
      </c>
      <c r="AD274" s="1">
        <v>886</v>
      </c>
      <c r="AE274" s="1">
        <v>861</v>
      </c>
      <c r="AF274" s="1">
        <v>878</v>
      </c>
      <c r="AG274" s="1">
        <v>870</v>
      </c>
      <c r="AH274" s="1">
        <v>864</v>
      </c>
      <c r="AI274" s="1">
        <v>865</v>
      </c>
      <c r="AJ274" s="1">
        <v>869</v>
      </c>
      <c r="AK274" s="1">
        <v>865</v>
      </c>
      <c r="AL274" s="1">
        <v>862</v>
      </c>
      <c r="AM274" s="1">
        <v>875</v>
      </c>
      <c r="AN274" s="1">
        <v>878</v>
      </c>
      <c r="AO274" s="1">
        <v>877</v>
      </c>
      <c r="AP274" s="1">
        <v>871</v>
      </c>
      <c r="AQ274" s="1">
        <v>880</v>
      </c>
      <c r="AR274" s="1">
        <v>881</v>
      </c>
      <c r="AS274" s="1">
        <v>880</v>
      </c>
      <c r="AT274" s="1">
        <v>883</v>
      </c>
      <c r="AU274" s="1">
        <v>880</v>
      </c>
      <c r="AV274" s="1">
        <v>877</v>
      </c>
      <c r="AW274" s="1">
        <v>868</v>
      </c>
      <c r="AX274" s="1">
        <v>883</v>
      </c>
      <c r="AY274" s="1">
        <v>876</v>
      </c>
      <c r="AZ274" s="1">
        <v>880</v>
      </c>
      <c r="BA274" s="1">
        <v>881</v>
      </c>
      <c r="BB274" s="1">
        <v>883</v>
      </c>
      <c r="BC274" s="1">
        <v>884</v>
      </c>
      <c r="BD274" s="1">
        <v>880</v>
      </c>
      <c r="BE274" s="1">
        <v>888</v>
      </c>
      <c r="BF274" s="1">
        <v>879</v>
      </c>
      <c r="BG274" s="1">
        <v>874</v>
      </c>
      <c r="BH274" s="1">
        <v>875</v>
      </c>
      <c r="BI274" s="1">
        <v>875</v>
      </c>
      <c r="BJ274" s="1">
        <v>878</v>
      </c>
      <c r="BK274" s="1">
        <v>882</v>
      </c>
      <c r="BL274" s="1">
        <v>891</v>
      </c>
      <c r="BM274" s="1">
        <v>891</v>
      </c>
      <c r="BN274" s="1">
        <v>880</v>
      </c>
      <c r="BO274" s="1">
        <v>891</v>
      </c>
      <c r="BP274" s="1">
        <v>891</v>
      </c>
    </row>
    <row r="275" spans="1:68">
      <c r="A275" s="65" t="s">
        <v>488</v>
      </c>
      <c r="B275" s="1" t="str">
        <f>銘柄管理!C275</f>
        <v/>
      </c>
      <c r="C275" s="1" t="str">
        <f>_xll.RssMarket("5702","高値")</f>
        <v/>
      </c>
      <c r="E275" s="1">
        <v>1494</v>
      </c>
      <c r="F275" s="1">
        <v>1526</v>
      </c>
      <c r="G275" s="1">
        <v>1515</v>
      </c>
      <c r="H275" s="1">
        <v>1509</v>
      </c>
      <c r="I275" s="1">
        <v>1487</v>
      </c>
      <c r="J275" s="1">
        <v>1477</v>
      </c>
      <c r="K275" s="1">
        <v>1489</v>
      </c>
      <c r="L275" s="1">
        <v>1523</v>
      </c>
      <c r="M275" s="1">
        <v>1536</v>
      </c>
      <c r="N275" s="1">
        <v>1520</v>
      </c>
      <c r="O275" s="1">
        <v>1510</v>
      </c>
      <c r="P275" s="1">
        <v>1507</v>
      </c>
      <c r="Q275" s="1">
        <v>1506</v>
      </c>
      <c r="R275" s="1">
        <v>1536</v>
      </c>
      <c r="S275" s="1">
        <v>1541</v>
      </c>
      <c r="T275" s="1">
        <v>1599</v>
      </c>
      <c r="U275" s="1">
        <v>1639</v>
      </c>
      <c r="V275" s="1">
        <v>1664</v>
      </c>
      <c r="W275" s="1">
        <v>1682</v>
      </c>
      <c r="X275" s="1">
        <v>1745</v>
      </c>
      <c r="Y275" s="1">
        <v>1753</v>
      </c>
      <c r="Z275" s="1">
        <v>1798</v>
      </c>
      <c r="AA275" s="1">
        <v>1877</v>
      </c>
      <c r="AB275" s="1">
        <v>1880</v>
      </c>
      <c r="AC275" s="1">
        <v>1831</v>
      </c>
      <c r="AD275" s="1">
        <v>1861</v>
      </c>
      <c r="AE275" s="1">
        <v>1879</v>
      </c>
      <c r="AF275" s="1">
        <v>1938</v>
      </c>
      <c r="AG275" s="1">
        <v>1958</v>
      </c>
      <c r="AH275" s="1">
        <v>2039</v>
      </c>
      <c r="AI275" s="1">
        <v>1965</v>
      </c>
      <c r="AJ275" s="1">
        <v>2017</v>
      </c>
      <c r="AK275" s="1">
        <v>1973</v>
      </c>
      <c r="AL275" s="1">
        <v>2074</v>
      </c>
      <c r="AM275" s="1">
        <v>1997</v>
      </c>
      <c r="AN275" s="1">
        <v>1922</v>
      </c>
      <c r="AO275" s="1">
        <v>1877</v>
      </c>
      <c r="AP275" s="1">
        <v>1821</v>
      </c>
      <c r="AQ275" s="1">
        <v>1839</v>
      </c>
      <c r="AR275" s="1">
        <v>1840</v>
      </c>
      <c r="AS275" s="1">
        <v>1899</v>
      </c>
      <c r="AT275" s="1">
        <v>1941</v>
      </c>
      <c r="AU275" s="1">
        <v>1609</v>
      </c>
      <c r="AV275" s="1">
        <v>1627</v>
      </c>
      <c r="AW275" s="1">
        <v>1621</v>
      </c>
      <c r="AX275" s="1">
        <v>1613</v>
      </c>
      <c r="AY275" s="1">
        <v>1544</v>
      </c>
      <c r="AZ275" s="1">
        <v>1508</v>
      </c>
      <c r="BA275" s="1">
        <v>1524</v>
      </c>
      <c r="BB275" s="1">
        <v>1491</v>
      </c>
      <c r="BC275" s="1">
        <v>1467</v>
      </c>
      <c r="BD275" s="1">
        <v>1468</v>
      </c>
      <c r="BE275" s="1">
        <v>1491</v>
      </c>
      <c r="BF275" s="1">
        <v>1497</v>
      </c>
      <c r="BG275" s="1">
        <v>1545</v>
      </c>
      <c r="BH275" s="1">
        <v>1520</v>
      </c>
      <c r="BI275" s="1">
        <v>1556</v>
      </c>
      <c r="BJ275" s="1">
        <v>1578</v>
      </c>
      <c r="BK275" s="1">
        <v>1612</v>
      </c>
      <c r="BL275" s="1">
        <v>1619</v>
      </c>
      <c r="BM275" s="1">
        <v>1580</v>
      </c>
      <c r="BN275" s="1">
        <v>1598</v>
      </c>
      <c r="BO275" s="1">
        <v>1589</v>
      </c>
      <c r="BP275" s="1">
        <v>1569</v>
      </c>
    </row>
    <row r="276" spans="1:68">
      <c r="A276" s="65" t="s">
        <v>489</v>
      </c>
      <c r="B276" s="1" t="str">
        <f>銘柄管理!C276</f>
        <v/>
      </c>
      <c r="C276" s="1" t="str">
        <f>_xll.RssMarket("7952","高値")</f>
        <v/>
      </c>
      <c r="E276" s="1">
        <v>3320</v>
      </c>
      <c r="F276" s="1">
        <v>3205</v>
      </c>
      <c r="G276" s="1">
        <v>3260</v>
      </c>
      <c r="H276" s="1">
        <v>3220</v>
      </c>
      <c r="I276" s="1">
        <v>3260</v>
      </c>
      <c r="J276" s="1">
        <v>3220</v>
      </c>
      <c r="K276" s="1">
        <v>3265</v>
      </c>
      <c r="L276" s="1">
        <v>3295</v>
      </c>
      <c r="M276" s="1">
        <v>3300</v>
      </c>
      <c r="N276" s="1">
        <v>3265</v>
      </c>
      <c r="O276" s="1">
        <v>3270</v>
      </c>
      <c r="P276" s="1">
        <v>3320</v>
      </c>
      <c r="Q276" s="1">
        <v>3235</v>
      </c>
      <c r="R276" s="1">
        <v>3380</v>
      </c>
      <c r="S276" s="1">
        <v>3385</v>
      </c>
      <c r="T276" s="1">
        <v>3360</v>
      </c>
      <c r="U276" s="1">
        <v>3340</v>
      </c>
      <c r="V276" s="1">
        <v>3335</v>
      </c>
      <c r="W276" s="1">
        <v>3370</v>
      </c>
      <c r="X276" s="1">
        <v>3385</v>
      </c>
      <c r="Y276" s="1">
        <v>3300</v>
      </c>
      <c r="Z276" s="1">
        <v>3340</v>
      </c>
      <c r="AA276" s="1">
        <v>3295</v>
      </c>
      <c r="AB276" s="1">
        <v>3220</v>
      </c>
      <c r="AC276" s="1">
        <v>3050</v>
      </c>
      <c r="AD276" s="1">
        <v>3090</v>
      </c>
      <c r="AE276" s="1">
        <v>3245</v>
      </c>
      <c r="AF276" s="1">
        <v>3230</v>
      </c>
      <c r="AG276" s="1">
        <v>3240</v>
      </c>
      <c r="AH276" s="1">
        <v>3235</v>
      </c>
      <c r="AI276" s="1">
        <v>3245</v>
      </c>
      <c r="AJ276" s="1">
        <v>3250</v>
      </c>
      <c r="AK276" s="1">
        <v>3320</v>
      </c>
      <c r="AL276" s="1">
        <v>3240</v>
      </c>
      <c r="AM276" s="1">
        <v>3055</v>
      </c>
      <c r="AN276" s="1">
        <v>3035</v>
      </c>
      <c r="AO276" s="1">
        <v>2993</v>
      </c>
      <c r="AP276" s="1">
        <v>2984</v>
      </c>
      <c r="AQ276" s="1">
        <v>3100</v>
      </c>
      <c r="AR276" s="1">
        <v>3155</v>
      </c>
      <c r="AS276" s="1">
        <v>3170</v>
      </c>
      <c r="AT276" s="1">
        <v>3225</v>
      </c>
      <c r="AU276" s="1">
        <v>3015</v>
      </c>
      <c r="AV276" s="1">
        <v>3000</v>
      </c>
      <c r="AW276" s="1">
        <v>2959</v>
      </c>
      <c r="AX276" s="1">
        <v>2828</v>
      </c>
      <c r="AY276" s="1">
        <v>2783</v>
      </c>
      <c r="AZ276" s="1">
        <v>2840</v>
      </c>
      <c r="BA276" s="1">
        <v>2794</v>
      </c>
      <c r="BB276" s="1">
        <v>2801</v>
      </c>
      <c r="BC276" s="1">
        <v>2876</v>
      </c>
      <c r="BD276" s="1">
        <v>2834</v>
      </c>
      <c r="BE276" s="1">
        <v>2899</v>
      </c>
      <c r="BF276" s="1">
        <v>3020</v>
      </c>
      <c r="BG276" s="1">
        <v>3090</v>
      </c>
      <c r="BH276" s="1">
        <v>3100</v>
      </c>
      <c r="BI276" s="1">
        <v>3070</v>
      </c>
      <c r="BJ276" s="1">
        <v>3130</v>
      </c>
      <c r="BK276" s="1">
        <v>3155</v>
      </c>
      <c r="BL276" s="1">
        <v>3070</v>
      </c>
      <c r="BM276" s="1">
        <v>3035</v>
      </c>
      <c r="BN276" s="1">
        <v>3045</v>
      </c>
      <c r="BO276" s="1">
        <v>3045</v>
      </c>
      <c r="BP276" s="1">
        <v>3000</v>
      </c>
    </row>
    <row r="277" spans="1:68">
      <c r="A277" s="65" t="s">
        <v>490</v>
      </c>
      <c r="B277" s="1" t="str">
        <f>銘柄管理!C277</f>
        <v/>
      </c>
      <c r="C277" s="1" t="str">
        <f>_xll.RssMarket("3002","高値")</f>
        <v/>
      </c>
      <c r="E277" s="1">
        <v>4000</v>
      </c>
      <c r="F277" s="1">
        <v>4005</v>
      </c>
      <c r="G277" s="1">
        <v>3995</v>
      </c>
      <c r="H277" s="1">
        <v>4075</v>
      </c>
      <c r="I277" s="1">
        <v>4045</v>
      </c>
      <c r="J277" s="1">
        <v>4055</v>
      </c>
      <c r="K277" s="1">
        <v>4070</v>
      </c>
      <c r="L277" s="1">
        <v>4040</v>
      </c>
      <c r="M277" s="1">
        <v>4020</v>
      </c>
      <c r="N277" s="1">
        <v>3965</v>
      </c>
      <c r="O277" s="1">
        <v>3880</v>
      </c>
      <c r="P277" s="1">
        <v>3895</v>
      </c>
      <c r="Q277" s="1">
        <v>3875</v>
      </c>
      <c r="R277" s="1">
        <v>3880</v>
      </c>
      <c r="S277" s="1">
        <v>3835</v>
      </c>
      <c r="T277" s="1">
        <v>3850</v>
      </c>
      <c r="U277" s="1">
        <v>3865</v>
      </c>
      <c r="V277" s="1">
        <v>3835</v>
      </c>
      <c r="W277" s="1">
        <v>3820</v>
      </c>
      <c r="X277" s="1">
        <v>3865</v>
      </c>
      <c r="Y277" s="1">
        <v>3880</v>
      </c>
      <c r="Z277" s="1">
        <v>3750</v>
      </c>
      <c r="AA277" s="1">
        <v>3780</v>
      </c>
      <c r="AB277" s="1">
        <v>3700</v>
      </c>
      <c r="AC277" s="1">
        <v>3745</v>
      </c>
      <c r="AD277" s="1">
        <v>3695</v>
      </c>
      <c r="AE277" s="1">
        <v>3710</v>
      </c>
      <c r="AF277" s="1">
        <v>3690</v>
      </c>
      <c r="AG277" s="1">
        <v>3745</v>
      </c>
      <c r="AH277" s="1">
        <v>3710</v>
      </c>
      <c r="AI277" s="1">
        <v>3725</v>
      </c>
      <c r="AJ277" s="1">
        <v>3675</v>
      </c>
      <c r="AK277" s="1">
        <v>3695</v>
      </c>
      <c r="AL277" s="1">
        <v>3705</v>
      </c>
      <c r="AM277" s="1">
        <v>3725</v>
      </c>
      <c r="AN277" s="1">
        <v>3735</v>
      </c>
      <c r="AO277" s="1">
        <v>3740</v>
      </c>
      <c r="AP277" s="1">
        <v>3765</v>
      </c>
      <c r="AQ277" s="1">
        <v>3825</v>
      </c>
      <c r="AR277" s="1">
        <v>3615</v>
      </c>
      <c r="AS277" s="1">
        <v>3635</v>
      </c>
      <c r="AT277" s="1">
        <v>3645</v>
      </c>
      <c r="AU277" s="1">
        <v>3630</v>
      </c>
      <c r="AV277" s="1">
        <v>3640</v>
      </c>
      <c r="AW277" s="1">
        <v>3630</v>
      </c>
      <c r="AX277" s="1">
        <v>3670</v>
      </c>
      <c r="AY277" s="1">
        <v>3710</v>
      </c>
      <c r="AZ277" s="1">
        <v>3685</v>
      </c>
      <c r="BA277" s="1">
        <v>3730</v>
      </c>
      <c r="BB277" s="1">
        <v>3730</v>
      </c>
      <c r="BC277" s="1">
        <v>3830</v>
      </c>
      <c r="BD277" s="1">
        <v>3950</v>
      </c>
      <c r="BE277" s="1">
        <v>3950</v>
      </c>
      <c r="BF277" s="1">
        <v>3940</v>
      </c>
      <c r="BG277" s="1">
        <v>3935</v>
      </c>
      <c r="BH277" s="1">
        <v>3915</v>
      </c>
      <c r="BI277" s="1">
        <v>3930</v>
      </c>
      <c r="BJ277" s="1">
        <v>3955</v>
      </c>
      <c r="BK277" s="1">
        <v>3995</v>
      </c>
      <c r="BL277" s="1">
        <v>4000</v>
      </c>
      <c r="BM277" s="1">
        <v>3960</v>
      </c>
      <c r="BN277" s="1">
        <v>3925</v>
      </c>
      <c r="BO277" s="1">
        <v>3860</v>
      </c>
    </row>
    <row r="278" spans="1:68">
      <c r="A278" s="65" t="s">
        <v>491</v>
      </c>
      <c r="B278" s="1" t="str">
        <f>銘柄管理!C278</f>
        <v/>
      </c>
      <c r="C278" s="1" t="str">
        <f>_xll.RssMarket("8871","高値")</f>
        <v/>
      </c>
      <c r="E278" s="1">
        <v>3405</v>
      </c>
      <c r="F278" s="1">
        <v>3395</v>
      </c>
      <c r="G278" s="1">
        <v>3405</v>
      </c>
      <c r="H278" s="1">
        <v>3365</v>
      </c>
      <c r="I278" s="1">
        <v>3375</v>
      </c>
      <c r="J278" s="1">
        <v>3380</v>
      </c>
      <c r="K278" s="1">
        <v>3450</v>
      </c>
      <c r="L278" s="1">
        <v>3385</v>
      </c>
      <c r="M278" s="1">
        <v>3340</v>
      </c>
      <c r="N278" s="1">
        <v>3325</v>
      </c>
      <c r="O278" s="1">
        <v>3310</v>
      </c>
      <c r="P278" s="1">
        <v>3305</v>
      </c>
      <c r="Q278" s="1">
        <v>3340</v>
      </c>
      <c r="R278" s="1">
        <v>3275</v>
      </c>
      <c r="S278" s="1">
        <v>3250</v>
      </c>
      <c r="T278" s="1">
        <v>3255</v>
      </c>
      <c r="U278" s="1">
        <v>3290</v>
      </c>
      <c r="V278" s="1">
        <v>3265</v>
      </c>
      <c r="W278" s="1">
        <v>3345</v>
      </c>
      <c r="X278" s="1">
        <v>3350</v>
      </c>
      <c r="Y278" s="1">
        <v>3420</v>
      </c>
      <c r="Z278" s="1">
        <v>3370</v>
      </c>
      <c r="AA278" s="1">
        <v>3375</v>
      </c>
      <c r="AB278" s="1">
        <v>3350</v>
      </c>
      <c r="AC278" s="1">
        <v>3300</v>
      </c>
      <c r="AD278" s="1">
        <v>3280</v>
      </c>
      <c r="AE278" s="1">
        <v>3300</v>
      </c>
      <c r="AF278" s="1">
        <v>3400</v>
      </c>
      <c r="AG278" s="1">
        <v>3480</v>
      </c>
      <c r="AH278" s="1">
        <v>3645</v>
      </c>
      <c r="AI278" s="1">
        <v>3605</v>
      </c>
      <c r="AJ278" s="1">
        <v>3670</v>
      </c>
      <c r="AK278" s="1">
        <v>3515</v>
      </c>
      <c r="AL278" s="1">
        <v>3585</v>
      </c>
      <c r="AM278" s="1">
        <v>3620</v>
      </c>
      <c r="AN278" s="1">
        <v>3665</v>
      </c>
      <c r="AO278" s="1">
        <v>3770</v>
      </c>
      <c r="AP278" s="1">
        <v>3725</v>
      </c>
      <c r="AQ278" s="1">
        <v>3850</v>
      </c>
      <c r="AR278" s="1">
        <v>3320</v>
      </c>
      <c r="AS278" s="1">
        <v>3360</v>
      </c>
      <c r="AT278" s="1">
        <v>3350</v>
      </c>
      <c r="AU278" s="1">
        <v>3335</v>
      </c>
      <c r="AV278" s="1">
        <v>3340</v>
      </c>
      <c r="AW278" s="1">
        <v>3365</v>
      </c>
      <c r="AX278" s="1">
        <v>3355</v>
      </c>
      <c r="AY278" s="1">
        <v>3340</v>
      </c>
      <c r="AZ278" s="1">
        <v>3375</v>
      </c>
      <c r="BA278" s="1">
        <v>3370</v>
      </c>
      <c r="BB278" s="1">
        <v>3325</v>
      </c>
      <c r="BC278" s="1">
        <v>3335</v>
      </c>
      <c r="BD278" s="1">
        <v>3400</v>
      </c>
      <c r="BE278" s="1">
        <v>3440</v>
      </c>
      <c r="BF278" s="1">
        <v>3445</v>
      </c>
      <c r="BG278" s="1">
        <v>3485</v>
      </c>
      <c r="BH278" s="1">
        <v>3495</v>
      </c>
      <c r="BI278" s="1">
        <v>3505</v>
      </c>
      <c r="BJ278" s="1">
        <v>3500</v>
      </c>
      <c r="BK278" s="1">
        <v>3510</v>
      </c>
      <c r="BL278" s="1">
        <v>3550</v>
      </c>
      <c r="BM278" s="1">
        <v>3535</v>
      </c>
      <c r="BN278" s="1">
        <v>3585</v>
      </c>
      <c r="BO278" s="1">
        <v>3520</v>
      </c>
      <c r="BP278" s="1">
        <v>3460</v>
      </c>
    </row>
    <row r="279" spans="1:68">
      <c r="A279" s="65" t="s">
        <v>492</v>
      </c>
      <c r="B279" s="1" t="str">
        <f>銘柄管理!C279</f>
        <v/>
      </c>
      <c r="C279" s="1" t="str">
        <f>_xll.RssMarket("6918","高値")</f>
        <v/>
      </c>
      <c r="E279" s="1">
        <v>3200</v>
      </c>
      <c r="F279" s="1">
        <v>3330</v>
      </c>
      <c r="G279" s="1">
        <v>3250</v>
      </c>
      <c r="H279" s="1">
        <v>3330</v>
      </c>
      <c r="I279" s="1">
        <v>3380</v>
      </c>
      <c r="J279" s="1">
        <v>3190</v>
      </c>
      <c r="K279" s="1">
        <v>3210</v>
      </c>
      <c r="L279" s="1">
        <v>3350</v>
      </c>
      <c r="M279" s="1">
        <v>3470</v>
      </c>
      <c r="N279" s="1">
        <v>3395</v>
      </c>
      <c r="O279" s="1">
        <v>3380</v>
      </c>
      <c r="P279" s="1">
        <v>3465</v>
      </c>
      <c r="Q279" s="1">
        <v>3320</v>
      </c>
      <c r="R279" s="1">
        <v>3330</v>
      </c>
      <c r="S279" s="1">
        <v>3390</v>
      </c>
      <c r="T279" s="1">
        <v>3485</v>
      </c>
      <c r="U279" s="1">
        <v>3460</v>
      </c>
      <c r="V279" s="1">
        <v>3525</v>
      </c>
      <c r="W279" s="1">
        <v>3595</v>
      </c>
      <c r="X279" s="1">
        <v>3500</v>
      </c>
      <c r="Y279" s="1">
        <v>3345</v>
      </c>
      <c r="Z279" s="1">
        <v>3335</v>
      </c>
      <c r="AA279" s="1">
        <v>3240</v>
      </c>
      <c r="AB279" s="1">
        <v>3130</v>
      </c>
      <c r="AC279" s="1">
        <v>2978</v>
      </c>
      <c r="AD279" s="1">
        <v>3070</v>
      </c>
      <c r="AE279" s="1">
        <v>3090</v>
      </c>
      <c r="AF279" s="1">
        <v>3295</v>
      </c>
      <c r="AG279" s="1">
        <v>3350</v>
      </c>
      <c r="AH279" s="1">
        <v>3430</v>
      </c>
      <c r="AI279" s="1">
        <v>3530</v>
      </c>
      <c r="AJ279" s="1">
        <v>3570</v>
      </c>
      <c r="AK279" s="1">
        <v>3565</v>
      </c>
      <c r="AL279" s="1">
        <v>3430</v>
      </c>
      <c r="AM279" s="1">
        <v>3515</v>
      </c>
      <c r="AN279" s="1">
        <v>3505</v>
      </c>
      <c r="AO279" s="1">
        <v>3485</v>
      </c>
      <c r="AP279" s="1">
        <v>3525</v>
      </c>
      <c r="AQ279" s="1">
        <v>3750</v>
      </c>
      <c r="AR279" s="1">
        <v>3790</v>
      </c>
      <c r="AS279" s="1">
        <v>3615</v>
      </c>
      <c r="AT279" s="1">
        <v>3645</v>
      </c>
      <c r="AU279" s="1">
        <v>3665</v>
      </c>
      <c r="AV279" s="1">
        <v>3750</v>
      </c>
      <c r="AW279" s="1">
        <v>3700</v>
      </c>
      <c r="AX279" s="1">
        <v>3330</v>
      </c>
      <c r="AY279" s="1">
        <v>3320</v>
      </c>
      <c r="AZ279" s="1">
        <v>3140</v>
      </c>
      <c r="BA279" s="1">
        <v>2944</v>
      </c>
      <c r="BB279" s="1">
        <v>3000</v>
      </c>
      <c r="BC279" s="1">
        <v>3050</v>
      </c>
      <c r="BD279" s="1">
        <v>3070</v>
      </c>
      <c r="BE279" s="1">
        <v>3030</v>
      </c>
      <c r="BF279" s="1">
        <v>3100</v>
      </c>
      <c r="BG279" s="1">
        <v>3075</v>
      </c>
      <c r="BH279" s="1">
        <v>2980</v>
      </c>
      <c r="BI279" s="1">
        <v>2875</v>
      </c>
      <c r="BJ279" s="1">
        <v>2854</v>
      </c>
      <c r="BK279" s="1">
        <v>2896</v>
      </c>
      <c r="BL279" s="1">
        <v>2894</v>
      </c>
      <c r="BM279" s="1">
        <v>2814</v>
      </c>
      <c r="BN279" s="1">
        <v>2786</v>
      </c>
      <c r="BO279" s="1">
        <v>2750</v>
      </c>
      <c r="BP279" s="1">
        <v>2710</v>
      </c>
    </row>
    <row r="280" spans="1:68">
      <c r="A280" s="65" t="s">
        <v>493</v>
      </c>
      <c r="B280" s="1" t="str">
        <f>銘柄管理!C280</f>
        <v/>
      </c>
      <c r="C280" s="1" t="str">
        <f>_xll.RssMarket("6488","高値")</f>
        <v/>
      </c>
      <c r="E280" s="1">
        <v>976</v>
      </c>
      <c r="F280" s="1">
        <v>983</v>
      </c>
      <c r="G280" s="1">
        <v>980</v>
      </c>
      <c r="H280" s="1">
        <v>971</v>
      </c>
      <c r="I280" s="1">
        <v>967</v>
      </c>
      <c r="J280" s="1">
        <v>962</v>
      </c>
      <c r="K280" s="1">
        <v>970</v>
      </c>
      <c r="L280" s="1">
        <v>966</v>
      </c>
      <c r="M280" s="1">
        <v>975</v>
      </c>
      <c r="N280" s="1">
        <v>968</v>
      </c>
      <c r="O280" s="1">
        <v>945</v>
      </c>
      <c r="P280" s="1">
        <v>940</v>
      </c>
      <c r="Q280" s="1">
        <v>939</v>
      </c>
      <c r="R280" s="1">
        <v>936</v>
      </c>
      <c r="S280" s="1">
        <v>937</v>
      </c>
      <c r="T280" s="1">
        <v>942</v>
      </c>
      <c r="U280" s="1">
        <v>948</v>
      </c>
      <c r="V280" s="1">
        <v>947</v>
      </c>
      <c r="W280" s="1">
        <v>939</v>
      </c>
      <c r="X280" s="1">
        <v>930</v>
      </c>
      <c r="Y280" s="1">
        <v>920</v>
      </c>
      <c r="Z280" s="1">
        <v>921</v>
      </c>
      <c r="AA280" s="1">
        <v>920</v>
      </c>
      <c r="AB280" s="1">
        <v>931</v>
      </c>
      <c r="AC280" s="1">
        <v>933</v>
      </c>
      <c r="AD280" s="1">
        <v>939</v>
      </c>
      <c r="AE280" s="1">
        <v>938</v>
      </c>
      <c r="AF280" s="1">
        <v>939</v>
      </c>
      <c r="AG280" s="1">
        <v>931</v>
      </c>
      <c r="AH280" s="1">
        <v>933</v>
      </c>
      <c r="AI280" s="1">
        <v>939</v>
      </c>
      <c r="AJ280" s="1">
        <v>943</v>
      </c>
      <c r="AK280" s="1">
        <v>960</v>
      </c>
      <c r="AL280" s="1">
        <v>972</v>
      </c>
      <c r="AM280" s="1">
        <v>973</v>
      </c>
      <c r="AN280" s="1">
        <v>967</v>
      </c>
      <c r="AO280" s="1">
        <v>980</v>
      </c>
      <c r="AP280" s="1">
        <v>988</v>
      </c>
      <c r="AQ280" s="1">
        <v>995</v>
      </c>
      <c r="AR280" s="1">
        <v>1014</v>
      </c>
      <c r="AS280" s="1">
        <v>938</v>
      </c>
      <c r="AT280" s="1">
        <v>940</v>
      </c>
      <c r="AU280" s="1">
        <v>947</v>
      </c>
      <c r="AV280" s="1">
        <v>946</v>
      </c>
      <c r="AW280" s="1">
        <v>935</v>
      </c>
      <c r="AX280" s="1">
        <v>943</v>
      </c>
      <c r="AY280" s="1">
        <v>944</v>
      </c>
      <c r="AZ280" s="1">
        <v>944</v>
      </c>
      <c r="BA280" s="1">
        <v>940</v>
      </c>
      <c r="BB280" s="1">
        <v>940</v>
      </c>
      <c r="BC280" s="1">
        <v>934</v>
      </c>
      <c r="BD280" s="1">
        <v>935</v>
      </c>
      <c r="BE280" s="1">
        <v>953</v>
      </c>
      <c r="BF280" s="1">
        <v>959</v>
      </c>
      <c r="BG280" s="1">
        <v>960</v>
      </c>
      <c r="BH280" s="1">
        <v>956</v>
      </c>
      <c r="BI280" s="1">
        <v>946</v>
      </c>
      <c r="BJ280" s="1">
        <v>948</v>
      </c>
      <c r="BK280" s="1">
        <v>945</v>
      </c>
      <c r="BL280" s="1">
        <v>945</v>
      </c>
      <c r="BM280" s="1">
        <v>948</v>
      </c>
      <c r="BN280" s="1">
        <v>957</v>
      </c>
      <c r="BO280" s="1">
        <v>936</v>
      </c>
    </row>
    <row r="281" spans="1:68">
      <c r="A281" s="65" t="s">
        <v>494</v>
      </c>
      <c r="B281" s="1" t="str">
        <f>銘柄管理!C281</f>
        <v/>
      </c>
      <c r="C281" s="1" t="str">
        <f>_xll.RssMarket("8007","高値")</f>
        <v/>
      </c>
      <c r="E281" s="1">
        <v>788</v>
      </c>
      <c r="F281" s="1">
        <v>790</v>
      </c>
      <c r="G281" s="1">
        <v>782</v>
      </c>
      <c r="H281" s="1">
        <v>790</v>
      </c>
      <c r="I281" s="1">
        <v>784</v>
      </c>
      <c r="J281" s="1">
        <v>775</v>
      </c>
      <c r="K281" s="1">
        <v>776</v>
      </c>
      <c r="L281" s="1">
        <v>777</v>
      </c>
      <c r="M281" s="1">
        <v>774</v>
      </c>
      <c r="N281" s="1">
        <v>765</v>
      </c>
      <c r="O281" s="1">
        <v>763</v>
      </c>
      <c r="P281" s="1">
        <v>765</v>
      </c>
      <c r="Q281" s="1">
        <v>768</v>
      </c>
      <c r="R281" s="1">
        <v>765</v>
      </c>
      <c r="S281" s="1">
        <v>752</v>
      </c>
      <c r="T281" s="1">
        <v>753</v>
      </c>
      <c r="U281" s="1">
        <v>750</v>
      </c>
      <c r="V281" s="1">
        <v>749</v>
      </c>
      <c r="W281" s="1">
        <v>756</v>
      </c>
      <c r="X281" s="1">
        <v>751</v>
      </c>
      <c r="Y281" s="1">
        <v>753</v>
      </c>
      <c r="Z281" s="1">
        <v>761</v>
      </c>
      <c r="AA281" s="1">
        <v>765</v>
      </c>
      <c r="AB281" s="1">
        <v>763</v>
      </c>
      <c r="AC281" s="1">
        <v>746</v>
      </c>
      <c r="AD281" s="1">
        <v>740</v>
      </c>
      <c r="AE281" s="1">
        <v>744</v>
      </c>
      <c r="AF281" s="1">
        <v>740</v>
      </c>
      <c r="AG281" s="1">
        <v>744</v>
      </c>
      <c r="AH281" s="1">
        <v>735</v>
      </c>
      <c r="AI281" s="1">
        <v>734</v>
      </c>
      <c r="AJ281" s="1">
        <v>729</v>
      </c>
      <c r="AK281" s="1">
        <v>767</v>
      </c>
      <c r="AL281" s="1">
        <v>765</v>
      </c>
      <c r="AM281" s="1">
        <v>755</v>
      </c>
      <c r="AN281" s="1">
        <v>750</v>
      </c>
      <c r="AO281" s="1">
        <v>748</v>
      </c>
      <c r="AP281" s="1">
        <v>746</v>
      </c>
      <c r="AQ281" s="1">
        <v>745</v>
      </c>
      <c r="AR281" s="1">
        <v>758</v>
      </c>
      <c r="AS281" s="1">
        <v>770</v>
      </c>
      <c r="AT281" s="1">
        <v>802</v>
      </c>
      <c r="AU281" s="1">
        <v>785</v>
      </c>
      <c r="AV281" s="1">
        <v>777</v>
      </c>
      <c r="AW281" s="1">
        <v>779</v>
      </c>
      <c r="AX281" s="1">
        <v>782</v>
      </c>
      <c r="AY281" s="1">
        <v>789</v>
      </c>
      <c r="AZ281" s="1">
        <v>796</v>
      </c>
      <c r="BA281" s="1">
        <v>794</v>
      </c>
      <c r="BB281" s="1">
        <v>799</v>
      </c>
      <c r="BC281" s="1">
        <v>798</v>
      </c>
      <c r="BD281" s="1">
        <v>774</v>
      </c>
      <c r="BE281" s="1">
        <v>777</v>
      </c>
      <c r="BF281" s="1">
        <v>776</v>
      </c>
      <c r="BG281" s="1">
        <v>787</v>
      </c>
      <c r="BH281" s="1">
        <v>797</v>
      </c>
      <c r="BI281" s="1">
        <v>805</v>
      </c>
      <c r="BJ281" s="1">
        <v>812</v>
      </c>
      <c r="BK281" s="1">
        <v>816</v>
      </c>
      <c r="BL281" s="1">
        <v>821</v>
      </c>
      <c r="BM281" s="1">
        <v>818</v>
      </c>
      <c r="BN281" s="1">
        <v>820</v>
      </c>
      <c r="BO281" s="1">
        <v>830</v>
      </c>
      <c r="BP281" s="1">
        <v>837</v>
      </c>
    </row>
    <row r="282" spans="1:68">
      <c r="A282" s="65" t="s">
        <v>495</v>
      </c>
      <c r="B282" s="1" t="str">
        <f>銘柄管理!C282</f>
        <v/>
      </c>
      <c r="C282" s="1" t="str">
        <f>_xll.RssMarket("4218","高値")</f>
        <v/>
      </c>
      <c r="E282" s="1">
        <v>1935</v>
      </c>
      <c r="F282" s="1">
        <v>1916</v>
      </c>
      <c r="G282" s="1">
        <v>1924</v>
      </c>
      <c r="H282" s="1">
        <v>1915</v>
      </c>
      <c r="I282" s="1">
        <v>1912</v>
      </c>
      <c r="J282" s="1">
        <v>1922</v>
      </c>
      <c r="K282" s="1">
        <v>1923</v>
      </c>
      <c r="L282" s="1">
        <v>1914</v>
      </c>
      <c r="M282" s="1">
        <v>1908</v>
      </c>
      <c r="N282" s="1">
        <v>1907</v>
      </c>
      <c r="O282" s="1">
        <v>1903</v>
      </c>
      <c r="P282" s="1">
        <v>1897</v>
      </c>
      <c r="Q282" s="1">
        <v>1889</v>
      </c>
      <c r="R282" s="1">
        <v>1895</v>
      </c>
      <c r="S282" s="1">
        <v>1873</v>
      </c>
      <c r="T282" s="1">
        <v>1861</v>
      </c>
      <c r="U282" s="1">
        <v>1850</v>
      </c>
      <c r="V282" s="1">
        <v>1842</v>
      </c>
      <c r="W282" s="1">
        <v>1838</v>
      </c>
      <c r="X282" s="1">
        <v>1858</v>
      </c>
      <c r="Y282" s="1">
        <v>1850</v>
      </c>
      <c r="Z282" s="1">
        <v>1855</v>
      </c>
      <c r="AA282" s="1">
        <v>1845</v>
      </c>
      <c r="AB282" s="1">
        <v>1848</v>
      </c>
      <c r="AC282" s="1">
        <v>1850</v>
      </c>
      <c r="AD282" s="1">
        <v>1841</v>
      </c>
      <c r="AE282" s="1">
        <v>1829</v>
      </c>
      <c r="AF282" s="1">
        <v>1822</v>
      </c>
      <c r="AG282" s="1">
        <v>1811</v>
      </c>
      <c r="AH282" s="1">
        <v>1816</v>
      </c>
      <c r="AI282" s="1">
        <v>1813</v>
      </c>
      <c r="AJ282" s="1">
        <v>1818</v>
      </c>
      <c r="AK282" s="1">
        <v>1852</v>
      </c>
      <c r="AL282" s="1">
        <v>1866</v>
      </c>
      <c r="AM282" s="1">
        <v>1865</v>
      </c>
      <c r="AN282" s="1">
        <v>1875</v>
      </c>
      <c r="AO282" s="1">
        <v>1874</v>
      </c>
      <c r="AP282" s="1">
        <v>1875</v>
      </c>
      <c r="AQ282" s="1">
        <v>1881</v>
      </c>
      <c r="AR282" s="1">
        <v>1897</v>
      </c>
      <c r="AS282" s="1">
        <v>1900</v>
      </c>
      <c r="AT282" s="1">
        <v>1914</v>
      </c>
      <c r="AU282" s="1">
        <v>1920</v>
      </c>
      <c r="AV282" s="1">
        <v>1854</v>
      </c>
      <c r="AW282" s="1">
        <v>1833</v>
      </c>
      <c r="AX282" s="1">
        <v>1830</v>
      </c>
      <c r="AY282" s="1">
        <v>1846</v>
      </c>
      <c r="AZ282" s="1">
        <v>1857</v>
      </c>
      <c r="BA282" s="1">
        <v>1838</v>
      </c>
      <c r="BB282" s="1">
        <v>1825</v>
      </c>
      <c r="BC282" s="1">
        <v>1825</v>
      </c>
      <c r="BD282" s="1">
        <v>1825</v>
      </c>
      <c r="BE282" s="1">
        <v>1846</v>
      </c>
      <c r="BF282" s="1">
        <v>1857</v>
      </c>
      <c r="BG282" s="1">
        <v>1883</v>
      </c>
      <c r="BH282" s="1">
        <v>1889</v>
      </c>
      <c r="BI282" s="1">
        <v>1898</v>
      </c>
      <c r="BJ282" s="1">
        <v>1893</v>
      </c>
      <c r="BK282" s="1">
        <v>1897</v>
      </c>
      <c r="BL282" s="1">
        <v>1895</v>
      </c>
      <c r="BM282" s="1">
        <v>1898</v>
      </c>
      <c r="BN282" s="1">
        <v>1898</v>
      </c>
      <c r="BO282" s="1">
        <v>1913</v>
      </c>
      <c r="BP282" s="1">
        <v>1913</v>
      </c>
    </row>
    <row r="283" spans="1:68">
      <c r="A283" s="65" t="s">
        <v>496</v>
      </c>
      <c r="B283" s="1" t="str">
        <f>銘柄管理!C283</f>
        <v/>
      </c>
      <c r="C283" s="1" t="str">
        <f>_xll.RssMarket("7735","高値")</f>
        <v/>
      </c>
      <c r="E283" s="1">
        <v>17445</v>
      </c>
      <c r="F283" s="1">
        <v>19020</v>
      </c>
      <c r="G283" s="1">
        <v>18240</v>
      </c>
      <c r="H283" s="1">
        <v>18690</v>
      </c>
      <c r="I283" s="1">
        <v>18530</v>
      </c>
      <c r="J283" s="1">
        <v>18055</v>
      </c>
      <c r="K283" s="1">
        <v>17490</v>
      </c>
      <c r="L283" s="1">
        <v>18020</v>
      </c>
      <c r="M283" s="1">
        <v>19065</v>
      </c>
      <c r="N283" s="1">
        <v>18945</v>
      </c>
      <c r="O283" s="1">
        <v>18870</v>
      </c>
      <c r="P283" s="1">
        <v>19770</v>
      </c>
      <c r="Q283" s="1">
        <v>18350</v>
      </c>
      <c r="R283" s="1">
        <v>16875</v>
      </c>
      <c r="S283" s="1">
        <v>17815</v>
      </c>
      <c r="T283" s="1">
        <v>17640</v>
      </c>
      <c r="U283" s="1">
        <v>16830</v>
      </c>
      <c r="V283" s="1">
        <v>17495</v>
      </c>
      <c r="W283" s="1">
        <v>17455</v>
      </c>
      <c r="X283" s="1">
        <v>17160</v>
      </c>
      <c r="Y283" s="1">
        <v>16550</v>
      </c>
      <c r="Z283" s="1">
        <v>15375</v>
      </c>
      <c r="AA283" s="1">
        <v>15720</v>
      </c>
      <c r="AB283" s="1">
        <v>14985</v>
      </c>
      <c r="AC283" s="1">
        <v>14225</v>
      </c>
      <c r="AD283" s="1">
        <v>13080</v>
      </c>
      <c r="AE283" s="1">
        <v>13690</v>
      </c>
      <c r="AF283" s="1">
        <v>11940</v>
      </c>
      <c r="AG283" s="1">
        <v>13075</v>
      </c>
      <c r="AH283" s="1">
        <v>13465</v>
      </c>
      <c r="AI283" s="1">
        <v>13420</v>
      </c>
      <c r="AJ283" s="1">
        <v>11370</v>
      </c>
      <c r="AK283" s="1">
        <v>11290</v>
      </c>
      <c r="AL283" s="1">
        <v>11215</v>
      </c>
      <c r="AM283" s="1">
        <v>11550</v>
      </c>
      <c r="AN283" s="1">
        <v>11180</v>
      </c>
      <c r="AO283" s="1">
        <v>11105</v>
      </c>
      <c r="AP283" s="1">
        <v>10990</v>
      </c>
      <c r="AQ283" s="1">
        <v>10730</v>
      </c>
      <c r="AR283" s="1">
        <v>11035</v>
      </c>
      <c r="AS283" s="1">
        <v>11405</v>
      </c>
      <c r="AT283" s="1">
        <v>12525</v>
      </c>
      <c r="AU283" s="1">
        <v>13155</v>
      </c>
      <c r="AV283" s="1">
        <v>11460</v>
      </c>
      <c r="AW283" s="1">
        <v>11630</v>
      </c>
      <c r="AX283" s="1">
        <v>11675</v>
      </c>
      <c r="AY283" s="1">
        <v>11380</v>
      </c>
      <c r="AZ283" s="1">
        <v>11325</v>
      </c>
      <c r="BA283" s="1">
        <v>10680</v>
      </c>
      <c r="BB283" s="1">
        <v>10450</v>
      </c>
      <c r="BC283" s="1">
        <v>10795</v>
      </c>
      <c r="BD283" s="1">
        <v>11070</v>
      </c>
      <c r="BE283" s="1">
        <v>10730</v>
      </c>
      <c r="BF283" s="1">
        <v>10765</v>
      </c>
      <c r="BG283" s="1">
        <v>10625</v>
      </c>
      <c r="BH283" s="1">
        <v>10920</v>
      </c>
      <c r="BI283" s="1">
        <v>10815</v>
      </c>
      <c r="BJ283" s="1">
        <v>11120</v>
      </c>
      <c r="BK283" s="1">
        <v>11310</v>
      </c>
      <c r="BL283" s="1">
        <v>11370</v>
      </c>
      <c r="BM283" s="1">
        <v>11230</v>
      </c>
      <c r="BN283" s="1">
        <v>10815</v>
      </c>
      <c r="BO283" s="1">
        <v>10780</v>
      </c>
      <c r="BP283" s="1">
        <v>10290</v>
      </c>
    </row>
    <row r="284" spans="1:68">
      <c r="A284" s="65" t="s">
        <v>497</v>
      </c>
      <c r="B284" s="1" t="str">
        <f>銘柄管理!C284</f>
        <v/>
      </c>
      <c r="C284" s="1" t="str">
        <f>_xll.RssMarket("3905","高値")</f>
        <v/>
      </c>
      <c r="E284" s="1">
        <v>2605</v>
      </c>
      <c r="F284" s="1">
        <v>2998</v>
      </c>
      <c r="G284" s="1">
        <v>2877</v>
      </c>
      <c r="H284" s="1">
        <v>3090</v>
      </c>
      <c r="I284" s="1">
        <v>3000</v>
      </c>
      <c r="J284" s="1">
        <v>2936</v>
      </c>
      <c r="K284" s="1">
        <v>2838</v>
      </c>
      <c r="L284" s="1">
        <v>3080</v>
      </c>
      <c r="M284" s="1">
        <v>3305</v>
      </c>
      <c r="N284" s="1">
        <v>3225</v>
      </c>
      <c r="O284" s="1">
        <v>3360</v>
      </c>
      <c r="P284" s="1">
        <v>3545</v>
      </c>
      <c r="Q284" s="1">
        <v>3750</v>
      </c>
      <c r="R284" s="1">
        <v>4275</v>
      </c>
      <c r="S284" s="1">
        <v>4680</v>
      </c>
      <c r="T284" s="1">
        <v>5010</v>
      </c>
      <c r="U284" s="1">
        <v>4905</v>
      </c>
      <c r="V284" s="1">
        <v>5110</v>
      </c>
      <c r="W284" s="1">
        <v>5410</v>
      </c>
      <c r="X284" s="1">
        <v>5950</v>
      </c>
      <c r="Y284" s="1">
        <v>5360</v>
      </c>
      <c r="Z284" s="1">
        <v>5030</v>
      </c>
      <c r="AA284" s="1">
        <v>5240</v>
      </c>
      <c r="AB284" s="1">
        <v>5100</v>
      </c>
      <c r="AC284" s="1">
        <v>4645</v>
      </c>
      <c r="AD284" s="1">
        <v>4715</v>
      </c>
      <c r="AE284" s="1">
        <v>4470</v>
      </c>
      <c r="AF284" s="1">
        <v>5040</v>
      </c>
      <c r="AG284" s="1">
        <v>5740</v>
      </c>
      <c r="AH284" s="1">
        <v>5690</v>
      </c>
      <c r="AI284" s="1">
        <v>5060</v>
      </c>
      <c r="AJ284" s="1">
        <v>4865</v>
      </c>
      <c r="AK284" s="1">
        <v>6140</v>
      </c>
      <c r="AL284" s="1">
        <v>5140</v>
      </c>
      <c r="AM284" s="1">
        <v>4820</v>
      </c>
      <c r="AN284" s="1">
        <v>5000</v>
      </c>
      <c r="AO284" s="1">
        <v>4800</v>
      </c>
      <c r="AP284" s="1">
        <v>4100</v>
      </c>
      <c r="AQ284" s="1">
        <v>3465</v>
      </c>
      <c r="AR284" s="1">
        <v>3345</v>
      </c>
      <c r="AS284" s="1">
        <v>2843</v>
      </c>
      <c r="AT284" s="1">
        <v>2465</v>
      </c>
      <c r="AU284" s="1">
        <v>2367</v>
      </c>
      <c r="AV284" s="1">
        <v>2318</v>
      </c>
      <c r="AW284" s="1">
        <v>2498</v>
      </c>
      <c r="AX284" s="1">
        <v>2550</v>
      </c>
      <c r="AY284" s="1">
        <v>2089</v>
      </c>
      <c r="AZ284" s="1">
        <v>1689</v>
      </c>
      <c r="BA284" s="1">
        <v>1509</v>
      </c>
      <c r="BB284" s="1">
        <v>1515</v>
      </c>
      <c r="BC284" s="1">
        <v>1503</v>
      </c>
      <c r="BD284" s="1">
        <v>1478</v>
      </c>
      <c r="BE284" s="1">
        <v>1519</v>
      </c>
      <c r="BF284" s="1">
        <v>1545</v>
      </c>
      <c r="BG284" s="1">
        <v>1590</v>
      </c>
      <c r="BH284" s="1">
        <v>1673</v>
      </c>
      <c r="BI284" s="1">
        <v>1648</v>
      </c>
      <c r="BJ284" s="1">
        <v>1619</v>
      </c>
      <c r="BK284" s="1">
        <v>1680</v>
      </c>
      <c r="BL284" s="1">
        <v>1509</v>
      </c>
      <c r="BM284" s="1">
        <v>1451</v>
      </c>
      <c r="BN284" s="1">
        <v>1369</v>
      </c>
      <c r="BO284" s="1">
        <v>1418</v>
      </c>
      <c r="BP284" s="1">
        <v>1385</v>
      </c>
    </row>
    <row r="285" spans="1:68">
      <c r="A285" s="65" t="s">
        <v>498</v>
      </c>
      <c r="B285" s="1" t="str">
        <f>銘柄管理!C285</f>
        <v/>
      </c>
      <c r="C285" s="1" t="str">
        <f>_xll.RssMarket("3397","高値")</f>
        <v/>
      </c>
      <c r="E285" s="1">
        <v>4224</v>
      </c>
      <c r="F285" s="1">
        <v>4123</v>
      </c>
      <c r="G285" s="1">
        <v>4167</v>
      </c>
      <c r="H285" s="1">
        <v>4038</v>
      </c>
      <c r="I285" s="1">
        <v>4012</v>
      </c>
      <c r="J285" s="1">
        <v>4111</v>
      </c>
      <c r="K285" s="1">
        <v>4054</v>
      </c>
      <c r="L285" s="1">
        <v>3997</v>
      </c>
      <c r="M285" s="1">
        <v>3907</v>
      </c>
      <c r="N285" s="1">
        <v>3959</v>
      </c>
      <c r="O285" s="1">
        <v>3910</v>
      </c>
      <c r="P285" s="1">
        <v>3844</v>
      </c>
      <c r="Q285" s="1">
        <v>3900</v>
      </c>
      <c r="R285" s="1">
        <v>3889</v>
      </c>
      <c r="S285" s="1">
        <v>3781</v>
      </c>
      <c r="T285" s="1">
        <v>3787</v>
      </c>
      <c r="U285" s="1">
        <v>3693</v>
      </c>
      <c r="V285" s="1">
        <v>3600</v>
      </c>
      <c r="W285" s="1">
        <v>3614</v>
      </c>
      <c r="X285" s="1">
        <v>3603</v>
      </c>
      <c r="Y285" s="1">
        <v>3653</v>
      </c>
      <c r="Z285" s="1">
        <v>3742</v>
      </c>
      <c r="AA285" s="1">
        <v>3754</v>
      </c>
      <c r="AB285" s="1">
        <v>3820</v>
      </c>
      <c r="AC285" s="1">
        <v>3913</v>
      </c>
      <c r="AD285" s="1">
        <v>3923</v>
      </c>
      <c r="AE285" s="1">
        <v>3869</v>
      </c>
      <c r="AF285" s="1">
        <v>3809</v>
      </c>
      <c r="AG285" s="1">
        <v>3755</v>
      </c>
      <c r="AH285" s="1">
        <v>3822</v>
      </c>
      <c r="AI285" s="1">
        <v>3869</v>
      </c>
      <c r="AJ285" s="1">
        <v>3853</v>
      </c>
      <c r="AK285" s="1">
        <v>3841</v>
      </c>
      <c r="AL285" s="1">
        <v>3790</v>
      </c>
      <c r="AM285" s="1">
        <v>3739</v>
      </c>
      <c r="AN285" s="1">
        <v>3913</v>
      </c>
      <c r="AO285" s="1">
        <v>3858</v>
      </c>
      <c r="AP285" s="1">
        <v>3897</v>
      </c>
      <c r="AQ285" s="1">
        <v>3925</v>
      </c>
      <c r="AR285" s="1">
        <v>3864</v>
      </c>
      <c r="AS285" s="1">
        <v>3806</v>
      </c>
      <c r="AT285" s="1">
        <v>3965</v>
      </c>
      <c r="AU285" s="1">
        <v>3980</v>
      </c>
      <c r="AV285" s="1">
        <v>4030</v>
      </c>
      <c r="AW285" s="1">
        <v>3950</v>
      </c>
      <c r="AX285" s="1">
        <v>3975</v>
      </c>
      <c r="AY285" s="1">
        <v>4052</v>
      </c>
      <c r="AZ285" s="1">
        <v>4014</v>
      </c>
      <c r="BA285" s="1">
        <v>4039</v>
      </c>
      <c r="BB285" s="1">
        <v>4099</v>
      </c>
      <c r="BC285" s="1">
        <v>4108</v>
      </c>
      <c r="BD285" s="1">
        <v>4106</v>
      </c>
      <c r="BE285" s="1">
        <v>4100</v>
      </c>
      <c r="BF285" s="1">
        <v>4139</v>
      </c>
      <c r="BG285" s="1">
        <v>4169</v>
      </c>
      <c r="BH285" s="1">
        <v>4230</v>
      </c>
      <c r="BI285" s="1">
        <v>4215</v>
      </c>
      <c r="BJ285" s="1">
        <v>4212</v>
      </c>
      <c r="BK285" s="1">
        <v>4320</v>
      </c>
      <c r="BL285" s="1">
        <v>4272</v>
      </c>
      <c r="BM285" s="1">
        <v>4277</v>
      </c>
      <c r="BN285" s="1">
        <v>4330</v>
      </c>
      <c r="BO285" s="1">
        <v>4365</v>
      </c>
      <c r="BP285" s="1">
        <v>4510</v>
      </c>
    </row>
    <row r="286" spans="1:68">
      <c r="A286" s="65" t="s">
        <v>499</v>
      </c>
      <c r="B286" s="1" t="str">
        <f>銘柄管理!C286</f>
        <v/>
      </c>
      <c r="C286" s="1" t="str">
        <f>_xll.RssMarket("7270","高値")</f>
        <v/>
      </c>
      <c r="E286" s="1">
        <v>2544.5</v>
      </c>
      <c r="F286" s="1">
        <v>2503</v>
      </c>
      <c r="G286" s="1">
        <v>2507.5</v>
      </c>
      <c r="H286" s="1">
        <v>2521</v>
      </c>
      <c r="I286" s="1">
        <v>2510.5</v>
      </c>
      <c r="J286" s="1">
        <v>2512</v>
      </c>
      <c r="K286" s="1">
        <v>2570</v>
      </c>
      <c r="L286" s="1">
        <v>2608.5</v>
      </c>
      <c r="M286" s="1">
        <v>2616</v>
      </c>
      <c r="N286" s="1">
        <v>2562</v>
      </c>
      <c r="O286" s="1">
        <v>2518</v>
      </c>
      <c r="P286" s="1">
        <v>2436</v>
      </c>
      <c r="Q286" s="1">
        <v>2426</v>
      </c>
      <c r="R286" s="1">
        <v>2430</v>
      </c>
      <c r="S286" s="1">
        <v>2407</v>
      </c>
      <c r="T286" s="1">
        <v>2421</v>
      </c>
      <c r="U286" s="1">
        <v>2416</v>
      </c>
      <c r="V286" s="1">
        <v>2442.5</v>
      </c>
      <c r="W286" s="1">
        <v>2465.5</v>
      </c>
      <c r="X286" s="1">
        <v>2524</v>
      </c>
      <c r="Y286" s="1">
        <v>2595.5</v>
      </c>
      <c r="Z286" s="1">
        <v>2601.5</v>
      </c>
      <c r="AA286" s="1">
        <v>2564.5</v>
      </c>
      <c r="AB286" s="1">
        <v>2585</v>
      </c>
      <c r="AC286" s="1">
        <v>2533.5</v>
      </c>
      <c r="AD286" s="1">
        <v>2512</v>
      </c>
      <c r="AE286" s="1">
        <v>2582</v>
      </c>
      <c r="AF286" s="1">
        <v>2535</v>
      </c>
      <c r="AG286" s="1">
        <v>2501</v>
      </c>
      <c r="AH286" s="1">
        <v>2523.5</v>
      </c>
      <c r="AI286" s="1">
        <v>2492</v>
      </c>
      <c r="AJ286" s="1">
        <v>2448.5</v>
      </c>
      <c r="AK286" s="1">
        <v>2488</v>
      </c>
      <c r="AL286" s="1">
        <v>2487.5</v>
      </c>
      <c r="AM286" s="1">
        <v>2470</v>
      </c>
      <c r="AN286" s="1">
        <v>2497.5</v>
      </c>
      <c r="AO286" s="1">
        <v>2489</v>
      </c>
      <c r="AP286" s="1">
        <v>2507.5</v>
      </c>
      <c r="AQ286" s="1">
        <v>2471.5</v>
      </c>
      <c r="AR286" s="1">
        <v>2451</v>
      </c>
      <c r="AS286" s="1">
        <v>2461.5</v>
      </c>
      <c r="AT286" s="1">
        <v>2717.5</v>
      </c>
      <c r="AU286" s="1">
        <v>2402</v>
      </c>
      <c r="AV286" s="1">
        <v>2348.5</v>
      </c>
      <c r="AW286" s="1">
        <v>2326</v>
      </c>
      <c r="AX286" s="1">
        <v>2389.5</v>
      </c>
      <c r="AY286" s="1">
        <v>2398.5</v>
      </c>
      <c r="AZ286" s="1">
        <v>2379.5</v>
      </c>
      <c r="BA286" s="1">
        <v>2381</v>
      </c>
      <c r="BB286" s="1">
        <v>2377.5</v>
      </c>
      <c r="BC286" s="1">
        <v>2490.5</v>
      </c>
      <c r="BD286" s="1">
        <v>2461</v>
      </c>
      <c r="BE286" s="1">
        <v>2498</v>
      </c>
      <c r="BF286" s="1">
        <v>2522</v>
      </c>
      <c r="BG286" s="1">
        <v>2537.5</v>
      </c>
      <c r="BH286" s="1">
        <v>2571.5</v>
      </c>
      <c r="BI286" s="1">
        <v>2576.5</v>
      </c>
      <c r="BJ286" s="1">
        <v>2565.5</v>
      </c>
      <c r="BK286" s="1">
        <v>2578</v>
      </c>
      <c r="BL286" s="1">
        <v>2538</v>
      </c>
      <c r="BM286" s="1">
        <v>2548</v>
      </c>
      <c r="BN286" s="1">
        <v>2529.5</v>
      </c>
      <c r="BO286" s="1">
        <v>2558</v>
      </c>
      <c r="BP286" s="1">
        <v>2591</v>
      </c>
    </row>
    <row r="287" spans="1:68">
      <c r="A287" s="65" t="s">
        <v>500</v>
      </c>
      <c r="B287" s="1" t="str">
        <f>銘柄管理!C287</f>
        <v/>
      </c>
      <c r="C287" s="1" t="str">
        <f>_xll.RssMarket("6736","高値")</f>
        <v/>
      </c>
      <c r="E287" s="1">
        <v>9100</v>
      </c>
      <c r="F287" s="1">
        <v>9200</v>
      </c>
      <c r="G287" s="1">
        <v>9690</v>
      </c>
      <c r="H287" s="1">
        <v>9980</v>
      </c>
      <c r="I287" s="1">
        <v>10850</v>
      </c>
      <c r="J287" s="1">
        <v>10940</v>
      </c>
      <c r="K287" s="1">
        <v>11410</v>
      </c>
      <c r="L287" s="1">
        <v>12850</v>
      </c>
      <c r="M287" s="1">
        <v>10880</v>
      </c>
      <c r="N287" s="1">
        <v>9600</v>
      </c>
      <c r="O287" s="1">
        <v>9680</v>
      </c>
      <c r="P287" s="1">
        <v>8860</v>
      </c>
      <c r="Q287" s="1">
        <v>8820</v>
      </c>
      <c r="R287" s="1">
        <v>9110</v>
      </c>
      <c r="S287" s="1">
        <v>9150</v>
      </c>
      <c r="T287" s="1">
        <v>8930</v>
      </c>
      <c r="U287" s="1">
        <v>9150</v>
      </c>
      <c r="V287" s="1">
        <v>9200</v>
      </c>
      <c r="W287" s="1">
        <v>9240</v>
      </c>
      <c r="X287" s="1">
        <v>9200</v>
      </c>
      <c r="Y287" s="1">
        <v>9290</v>
      </c>
      <c r="Z287" s="1">
        <v>9250</v>
      </c>
      <c r="AA287" s="1">
        <v>9170</v>
      </c>
      <c r="AB287" s="1">
        <v>8890</v>
      </c>
      <c r="AC287" s="1">
        <v>9060</v>
      </c>
      <c r="AD287" s="1">
        <v>9270</v>
      </c>
      <c r="AE287" s="1">
        <v>8730</v>
      </c>
      <c r="AF287" s="1">
        <v>8760</v>
      </c>
      <c r="AG287" s="1">
        <v>9090</v>
      </c>
      <c r="AH287" s="1">
        <v>9250</v>
      </c>
      <c r="AI287" s="1">
        <v>9500</v>
      </c>
      <c r="AJ287" s="1">
        <v>9320</v>
      </c>
      <c r="AK287" s="1">
        <v>9240</v>
      </c>
      <c r="AL287" s="1">
        <v>9320</v>
      </c>
      <c r="AM287" s="1">
        <v>9340</v>
      </c>
      <c r="AN287" s="1">
        <v>9420</v>
      </c>
      <c r="AO287" s="1">
        <v>9800</v>
      </c>
      <c r="AP287" s="1">
        <v>9030</v>
      </c>
      <c r="AQ287" s="1">
        <v>9690</v>
      </c>
      <c r="AR287" s="1">
        <v>9720</v>
      </c>
      <c r="AS287" s="1">
        <v>9120</v>
      </c>
      <c r="AT287" s="1">
        <v>8760</v>
      </c>
      <c r="AU287" s="1">
        <v>8600</v>
      </c>
      <c r="AV287" s="1">
        <v>8920</v>
      </c>
      <c r="AW287" s="1">
        <v>9070</v>
      </c>
      <c r="AX287" s="1">
        <v>8830</v>
      </c>
      <c r="AY287" s="1">
        <v>8630</v>
      </c>
      <c r="AZ287" s="1">
        <v>8660</v>
      </c>
      <c r="BA287" s="1">
        <v>8690</v>
      </c>
      <c r="BB287" s="1">
        <v>8340</v>
      </c>
      <c r="BC287" s="1">
        <v>8310</v>
      </c>
      <c r="BD287" s="1">
        <v>8180</v>
      </c>
      <c r="BE287" s="1">
        <v>8240</v>
      </c>
      <c r="BF287" s="1">
        <v>8360</v>
      </c>
      <c r="BG287" s="1">
        <v>8050</v>
      </c>
      <c r="BH287" s="1">
        <v>8210</v>
      </c>
      <c r="BI287" s="1">
        <v>8440</v>
      </c>
      <c r="BJ287" s="1">
        <v>8010</v>
      </c>
      <c r="BK287" s="1">
        <v>7840</v>
      </c>
      <c r="BL287" s="1">
        <v>8000</v>
      </c>
      <c r="BM287" s="1">
        <v>8220</v>
      </c>
      <c r="BN287" s="1">
        <v>8850</v>
      </c>
      <c r="BO287" s="1">
        <v>9150</v>
      </c>
      <c r="BP287" s="1">
        <v>9320</v>
      </c>
    </row>
    <row r="288" spans="1:68">
      <c r="A288" s="65" t="s">
        <v>501</v>
      </c>
      <c r="B288" s="1" t="str">
        <f>銘柄管理!C288</f>
        <v/>
      </c>
      <c r="C288" s="1" t="str">
        <f>_xll.RssMarket("2933","高値")</f>
        <v/>
      </c>
      <c r="E288" s="1">
        <v>1093</v>
      </c>
      <c r="F288" s="1">
        <v>1088</v>
      </c>
      <c r="G288" s="1">
        <v>1086</v>
      </c>
      <c r="H288" s="1">
        <v>1085</v>
      </c>
      <c r="I288" s="1">
        <v>1083</v>
      </c>
      <c r="J288" s="1">
        <v>1085</v>
      </c>
      <c r="K288" s="1">
        <v>1079</v>
      </c>
      <c r="L288" s="1">
        <v>1074</v>
      </c>
      <c r="M288" s="1">
        <v>1076</v>
      </c>
      <c r="N288" s="1">
        <v>1074</v>
      </c>
      <c r="O288" s="1">
        <v>1069</v>
      </c>
      <c r="P288" s="1">
        <v>1074</v>
      </c>
      <c r="Q288" s="1">
        <v>1080</v>
      </c>
      <c r="R288" s="1">
        <v>1068</v>
      </c>
      <c r="S288" s="1">
        <v>1063</v>
      </c>
      <c r="T288" s="1">
        <v>1068</v>
      </c>
      <c r="U288" s="1">
        <v>1062</v>
      </c>
      <c r="V288" s="1">
        <v>1067</v>
      </c>
      <c r="W288" s="1">
        <v>1065</v>
      </c>
      <c r="X288" s="1">
        <v>1059</v>
      </c>
      <c r="Y288" s="1">
        <v>1057</v>
      </c>
      <c r="Z288" s="1">
        <v>1050</v>
      </c>
      <c r="AA288" s="1">
        <v>1053</v>
      </c>
      <c r="AB288" s="1">
        <v>1054</v>
      </c>
      <c r="AC288" s="1">
        <v>1051</v>
      </c>
      <c r="AD288" s="1">
        <v>1048</v>
      </c>
      <c r="AE288" s="1">
        <v>1041</v>
      </c>
      <c r="AF288" s="1">
        <v>1029</v>
      </c>
      <c r="AG288" s="1">
        <v>1028</v>
      </c>
      <c r="AH288" s="1">
        <v>1027</v>
      </c>
      <c r="AI288" s="1">
        <v>1049</v>
      </c>
      <c r="AJ288" s="1">
        <v>1047</v>
      </c>
      <c r="AK288" s="1">
        <v>1038</v>
      </c>
      <c r="AL288" s="1">
        <v>1043</v>
      </c>
      <c r="AM288" s="1">
        <v>1046</v>
      </c>
      <c r="AN288" s="1">
        <v>1048</v>
      </c>
      <c r="AO288" s="1">
        <v>1050</v>
      </c>
      <c r="AP288" s="1">
        <v>1048</v>
      </c>
      <c r="AQ288" s="1">
        <v>1059</v>
      </c>
      <c r="AR288" s="1">
        <v>1042</v>
      </c>
      <c r="AS288" s="1">
        <v>1033</v>
      </c>
      <c r="AT288" s="1">
        <v>1037</v>
      </c>
      <c r="AU288" s="1">
        <v>1033</v>
      </c>
      <c r="AV288" s="1">
        <v>1029</v>
      </c>
      <c r="AW288" s="1">
        <v>1034</v>
      </c>
      <c r="AX288" s="1">
        <v>1039</v>
      </c>
      <c r="AY288" s="1">
        <v>1041</v>
      </c>
      <c r="AZ288" s="1">
        <v>1032</v>
      </c>
      <c r="BA288" s="1">
        <v>1028</v>
      </c>
      <c r="BB288" s="1">
        <v>1033</v>
      </c>
      <c r="BC288" s="1">
        <v>1044</v>
      </c>
      <c r="BD288" s="1">
        <v>1041</v>
      </c>
      <c r="BE288" s="1">
        <v>1052</v>
      </c>
      <c r="BF288" s="1">
        <v>1065</v>
      </c>
      <c r="BG288" s="1">
        <v>1066</v>
      </c>
      <c r="BH288" s="1">
        <v>1064</v>
      </c>
      <c r="BI288" s="1">
        <v>1062</v>
      </c>
      <c r="BJ288" s="1">
        <v>1058</v>
      </c>
      <c r="BK288" s="1">
        <v>1059</v>
      </c>
      <c r="BL288" s="1">
        <v>1064</v>
      </c>
      <c r="BM288" s="1">
        <v>1064</v>
      </c>
      <c r="BN288" s="1">
        <v>1069</v>
      </c>
      <c r="BO288" s="1">
        <v>1073</v>
      </c>
      <c r="BP288" s="1">
        <v>1069</v>
      </c>
    </row>
    <row r="289" spans="1:68">
      <c r="A289" s="65" t="s">
        <v>502</v>
      </c>
      <c r="B289" s="1" t="str">
        <f>銘柄管理!C289</f>
        <v/>
      </c>
      <c r="C289" s="1" t="str">
        <f>_xll.RssMarket("4047","高値")</f>
        <v/>
      </c>
      <c r="E289" s="1">
        <v>2827</v>
      </c>
      <c r="F289" s="1">
        <v>3095</v>
      </c>
      <c r="G289" s="1">
        <v>3075</v>
      </c>
      <c r="H289" s="1">
        <v>3105</v>
      </c>
      <c r="I289" s="1">
        <v>3195</v>
      </c>
      <c r="J289" s="1">
        <v>3140</v>
      </c>
      <c r="K289" s="1">
        <v>3225</v>
      </c>
      <c r="L289" s="1">
        <v>3370</v>
      </c>
      <c r="M289" s="1">
        <v>3610</v>
      </c>
      <c r="N289" s="1">
        <v>3480</v>
      </c>
      <c r="O289" s="1">
        <v>3655</v>
      </c>
      <c r="P289" s="1">
        <v>3650</v>
      </c>
      <c r="Q289" s="1">
        <v>3715</v>
      </c>
      <c r="R289" s="1">
        <v>3935</v>
      </c>
      <c r="S289" s="1">
        <v>4120</v>
      </c>
      <c r="T289" s="1">
        <v>3945</v>
      </c>
      <c r="U289" s="1">
        <v>3950</v>
      </c>
      <c r="V289" s="1">
        <v>4140</v>
      </c>
      <c r="W289" s="1">
        <v>4080</v>
      </c>
      <c r="X289" s="1">
        <v>4025</v>
      </c>
      <c r="Y289" s="1">
        <v>3965</v>
      </c>
      <c r="Z289" s="1">
        <v>3870</v>
      </c>
      <c r="AA289" s="1">
        <v>4170</v>
      </c>
      <c r="AB289" s="1">
        <v>4270</v>
      </c>
      <c r="AC289" s="1">
        <v>4025</v>
      </c>
      <c r="AD289" s="1">
        <v>4165</v>
      </c>
      <c r="AE289" s="1">
        <v>3985</v>
      </c>
      <c r="AF289" s="1">
        <v>4400</v>
      </c>
      <c r="AG289" s="1">
        <v>4405</v>
      </c>
      <c r="AH289" s="1">
        <v>3860</v>
      </c>
      <c r="AI289" s="1">
        <v>3565</v>
      </c>
      <c r="AJ289" s="1">
        <v>3775</v>
      </c>
      <c r="AK289" s="1">
        <v>3485</v>
      </c>
      <c r="AL289" s="1">
        <v>3550</v>
      </c>
      <c r="AM289" s="1">
        <v>3490</v>
      </c>
      <c r="AN289" s="1">
        <v>3125</v>
      </c>
      <c r="AO289" s="1">
        <v>2970</v>
      </c>
      <c r="AP289" s="1">
        <v>2775</v>
      </c>
      <c r="AQ289" s="1">
        <v>2940</v>
      </c>
      <c r="AR289" s="1">
        <v>2550</v>
      </c>
      <c r="AS289" s="1">
        <v>2148</v>
      </c>
      <c r="AT289" s="1">
        <v>2187</v>
      </c>
      <c r="AU289" s="1">
        <v>2120</v>
      </c>
      <c r="AV289" s="1">
        <v>2029</v>
      </c>
      <c r="AW289" s="1">
        <v>1914</v>
      </c>
      <c r="AX289" s="1">
        <v>1864</v>
      </c>
      <c r="AY289" s="1">
        <v>1860</v>
      </c>
      <c r="AZ289" s="1">
        <v>1719</v>
      </c>
      <c r="BA289" s="1">
        <v>1694</v>
      </c>
      <c r="BB289" s="1">
        <v>1700</v>
      </c>
      <c r="BC289" s="1">
        <v>1679</v>
      </c>
      <c r="BD289" s="1">
        <v>1660</v>
      </c>
      <c r="BE289" s="1">
        <v>1661</v>
      </c>
      <c r="BF289" s="1">
        <v>1671</v>
      </c>
      <c r="BG289" s="1">
        <v>1681</v>
      </c>
      <c r="BH289" s="1">
        <v>1654</v>
      </c>
      <c r="BI289" s="1">
        <v>1665</v>
      </c>
      <c r="BJ289" s="1">
        <v>1687</v>
      </c>
      <c r="BK289" s="1">
        <v>1764</v>
      </c>
      <c r="BL289" s="1">
        <v>1709</v>
      </c>
      <c r="BM289" s="1">
        <v>1653</v>
      </c>
      <c r="BN289" s="1">
        <v>1635</v>
      </c>
      <c r="BO289" s="1">
        <v>1607</v>
      </c>
      <c r="BP289" s="1">
        <v>1615</v>
      </c>
    </row>
    <row r="290" spans="1:68">
      <c r="A290" s="65" t="s">
        <v>503</v>
      </c>
      <c r="B290" s="1" t="str">
        <f>銘柄管理!C290</f>
        <v/>
      </c>
      <c r="C290" s="1" t="str">
        <f>_xll.RssMarket("6482","高値")</f>
        <v/>
      </c>
      <c r="E290" s="1">
        <v>678</v>
      </c>
      <c r="F290" s="1">
        <v>671</v>
      </c>
      <c r="G290" s="1">
        <v>674</v>
      </c>
      <c r="H290" s="1">
        <v>689</v>
      </c>
      <c r="I290" s="1">
        <v>691</v>
      </c>
      <c r="J290" s="1">
        <v>693</v>
      </c>
      <c r="K290" s="1">
        <v>702</v>
      </c>
      <c r="L290" s="1">
        <v>708</v>
      </c>
      <c r="M290" s="1">
        <v>716</v>
      </c>
      <c r="N290" s="1">
        <v>693</v>
      </c>
      <c r="O290" s="1">
        <v>709</v>
      </c>
      <c r="P290" s="1">
        <v>700</v>
      </c>
      <c r="Q290" s="1">
        <v>702</v>
      </c>
      <c r="R290" s="1">
        <v>713</v>
      </c>
      <c r="S290" s="1">
        <v>720</v>
      </c>
      <c r="T290" s="1">
        <v>721</v>
      </c>
      <c r="U290" s="1">
        <v>726</v>
      </c>
      <c r="V290" s="1">
        <v>746</v>
      </c>
      <c r="W290" s="1">
        <v>755</v>
      </c>
      <c r="X290" s="1">
        <v>754</v>
      </c>
      <c r="Y290" s="1">
        <v>785</v>
      </c>
      <c r="Z290" s="1">
        <v>780</v>
      </c>
      <c r="AA290" s="1">
        <v>713</v>
      </c>
      <c r="AB290" s="1">
        <v>704</v>
      </c>
      <c r="AC290" s="1">
        <v>684</v>
      </c>
      <c r="AD290" s="1">
        <v>675</v>
      </c>
      <c r="AE290" s="1">
        <v>689</v>
      </c>
      <c r="AF290" s="1">
        <v>667</v>
      </c>
      <c r="AG290" s="1">
        <v>673</v>
      </c>
      <c r="AH290" s="1">
        <v>671</v>
      </c>
      <c r="AI290" s="1">
        <v>662</v>
      </c>
      <c r="AJ290" s="1">
        <v>658</v>
      </c>
      <c r="AK290" s="1">
        <v>678</v>
      </c>
      <c r="AL290" s="1">
        <v>681</v>
      </c>
      <c r="AM290" s="1">
        <v>678</v>
      </c>
      <c r="AN290" s="1">
        <v>722</v>
      </c>
      <c r="AO290" s="1">
        <v>721</v>
      </c>
      <c r="AP290" s="1">
        <v>714</v>
      </c>
      <c r="AQ290" s="1">
        <v>712</v>
      </c>
      <c r="AR290" s="1">
        <v>736</v>
      </c>
      <c r="AS290" s="1">
        <v>746</v>
      </c>
      <c r="AT290" s="1">
        <v>755</v>
      </c>
      <c r="AU290" s="1">
        <v>756</v>
      </c>
      <c r="AV290" s="1">
        <v>735</v>
      </c>
      <c r="AW290" s="1">
        <v>744</v>
      </c>
      <c r="AX290" s="1">
        <v>703</v>
      </c>
      <c r="AY290" s="1">
        <v>686</v>
      </c>
      <c r="AZ290" s="1">
        <v>695</v>
      </c>
      <c r="BA290" s="1">
        <v>681</v>
      </c>
      <c r="BB290" s="1">
        <v>669</v>
      </c>
      <c r="BC290" s="1">
        <v>669</v>
      </c>
      <c r="BD290" s="1">
        <v>663</v>
      </c>
      <c r="BE290" s="1">
        <v>672</v>
      </c>
      <c r="BF290" s="1">
        <v>671</v>
      </c>
      <c r="BG290" s="1">
        <v>680</v>
      </c>
      <c r="BH290" s="1">
        <v>685</v>
      </c>
      <c r="BI290" s="1">
        <v>680</v>
      </c>
      <c r="BJ290" s="1">
        <v>678</v>
      </c>
      <c r="BK290" s="1">
        <v>685</v>
      </c>
      <c r="BL290" s="1">
        <v>689</v>
      </c>
      <c r="BM290" s="1">
        <v>686</v>
      </c>
      <c r="BN290" s="1">
        <v>686</v>
      </c>
      <c r="BO290" s="1">
        <v>688</v>
      </c>
      <c r="BP290" s="1">
        <v>698</v>
      </c>
    </row>
    <row r="291" spans="1:68">
      <c r="A291" s="65" t="s">
        <v>504</v>
      </c>
      <c r="B291" s="1" t="str">
        <f>銘柄管理!C291</f>
        <v/>
      </c>
      <c r="C291" s="1" t="str">
        <f>_xll.RssMarket("6706","高値")</f>
        <v/>
      </c>
      <c r="E291" s="1">
        <v>2976</v>
      </c>
      <c r="F291" s="1">
        <v>3045</v>
      </c>
      <c r="G291" s="1">
        <v>3020</v>
      </c>
      <c r="H291" s="1">
        <v>3085</v>
      </c>
      <c r="I291" s="1">
        <v>3095</v>
      </c>
      <c r="J291" s="1">
        <v>3090</v>
      </c>
      <c r="K291" s="1">
        <v>2999</v>
      </c>
      <c r="L291" s="1">
        <v>3055</v>
      </c>
      <c r="M291" s="1">
        <v>3045</v>
      </c>
      <c r="N291" s="1">
        <v>3110</v>
      </c>
      <c r="O291" s="1">
        <v>3065</v>
      </c>
      <c r="P291" s="1">
        <v>3160</v>
      </c>
      <c r="Q291" s="1">
        <v>3125</v>
      </c>
      <c r="R291" s="1">
        <v>3145</v>
      </c>
      <c r="S291" s="1">
        <v>3155</v>
      </c>
      <c r="T291" s="1">
        <v>3140</v>
      </c>
      <c r="U291" s="1">
        <v>3225</v>
      </c>
      <c r="V291" s="1">
        <v>3295</v>
      </c>
      <c r="W291" s="1">
        <v>3225</v>
      </c>
      <c r="X291" s="1">
        <v>3180</v>
      </c>
      <c r="Y291" s="1">
        <v>3240</v>
      </c>
      <c r="Z291" s="1">
        <v>3275</v>
      </c>
      <c r="AA291" s="1">
        <v>3300</v>
      </c>
      <c r="AB291" s="1">
        <v>3245</v>
      </c>
      <c r="AC291" s="1">
        <v>3290</v>
      </c>
      <c r="AD291" s="1">
        <v>3385</v>
      </c>
      <c r="AE291" s="1">
        <v>3435</v>
      </c>
      <c r="AF291" s="1">
        <v>3505</v>
      </c>
      <c r="AG291" s="1">
        <v>3500</v>
      </c>
      <c r="AH291" s="1">
        <v>3545</v>
      </c>
      <c r="AI291" s="1">
        <v>3515</v>
      </c>
      <c r="AJ291" s="1">
        <v>3580</v>
      </c>
      <c r="AK291" s="1">
        <v>3520</v>
      </c>
      <c r="AL291" s="1">
        <v>3510</v>
      </c>
      <c r="AM291" s="1">
        <v>3535</v>
      </c>
      <c r="AN291" s="1">
        <v>3440</v>
      </c>
      <c r="AO291" s="1">
        <v>3485</v>
      </c>
      <c r="AP291" s="1">
        <v>3430</v>
      </c>
      <c r="AQ291" s="1">
        <v>3490</v>
      </c>
      <c r="AR291" s="1">
        <v>3545</v>
      </c>
      <c r="AS291" s="1">
        <v>3500</v>
      </c>
      <c r="AT291" s="1">
        <v>3515</v>
      </c>
      <c r="AU291" s="1">
        <v>3515</v>
      </c>
      <c r="AV291" s="1">
        <v>3565</v>
      </c>
      <c r="AW291" s="1">
        <v>3455</v>
      </c>
      <c r="AX291" s="1">
        <v>3435</v>
      </c>
      <c r="AY291" s="1">
        <v>3500</v>
      </c>
      <c r="AZ291" s="1">
        <v>3360</v>
      </c>
      <c r="BA291" s="1">
        <v>3335</v>
      </c>
      <c r="BB291" s="1">
        <v>3345</v>
      </c>
      <c r="BC291" s="1">
        <v>3325</v>
      </c>
      <c r="BD291" s="1">
        <v>3340</v>
      </c>
      <c r="BE291" s="1">
        <v>3330</v>
      </c>
      <c r="BF291" s="1">
        <v>3320</v>
      </c>
      <c r="BG291" s="1">
        <v>3335</v>
      </c>
      <c r="BH291" s="1">
        <v>3340</v>
      </c>
      <c r="BI291" s="1">
        <v>3330</v>
      </c>
      <c r="BJ291" s="1">
        <v>3305</v>
      </c>
      <c r="BK291" s="1">
        <v>3335</v>
      </c>
      <c r="BL291" s="1">
        <v>3250</v>
      </c>
      <c r="BM291" s="1">
        <v>3175</v>
      </c>
      <c r="BN291" s="1">
        <v>3115</v>
      </c>
      <c r="BO291" s="1">
        <v>3155</v>
      </c>
      <c r="BP291" s="1">
        <v>3190</v>
      </c>
    </row>
    <row r="292" spans="1:68">
      <c r="A292" s="65" t="s">
        <v>505</v>
      </c>
      <c r="B292" s="1" t="str">
        <f>銘柄管理!C292</f>
        <v/>
      </c>
      <c r="C292" s="1" t="str">
        <f>_xll.RssMarket("8141","高値")</f>
        <v/>
      </c>
      <c r="E292" s="1">
        <v>1616</v>
      </c>
      <c r="F292" s="1">
        <v>1625</v>
      </c>
      <c r="G292" s="1">
        <v>1593</v>
      </c>
      <c r="H292" s="1">
        <v>1589</v>
      </c>
      <c r="I292" s="1">
        <v>1591</v>
      </c>
      <c r="J292" s="1">
        <v>1590</v>
      </c>
      <c r="K292" s="1">
        <v>1594</v>
      </c>
      <c r="L292" s="1">
        <v>1592</v>
      </c>
      <c r="M292" s="1">
        <v>1591</v>
      </c>
      <c r="N292" s="1">
        <v>1593</v>
      </c>
      <c r="O292" s="1">
        <v>1585</v>
      </c>
      <c r="P292" s="1">
        <v>1577</v>
      </c>
      <c r="Q292" s="1">
        <v>1578</v>
      </c>
      <c r="R292" s="1">
        <v>1580</v>
      </c>
      <c r="S292" s="1">
        <v>1605</v>
      </c>
      <c r="T292" s="1">
        <v>1599</v>
      </c>
      <c r="U292" s="1">
        <v>1583</v>
      </c>
      <c r="V292" s="1">
        <v>1585</v>
      </c>
      <c r="W292" s="1">
        <v>1584</v>
      </c>
      <c r="X292" s="1">
        <v>1581</v>
      </c>
      <c r="Y292" s="1">
        <v>1582</v>
      </c>
      <c r="Z292" s="1">
        <v>1584</v>
      </c>
      <c r="AA292" s="1">
        <v>1582</v>
      </c>
      <c r="AB292" s="1">
        <v>1584</v>
      </c>
      <c r="AC292" s="1">
        <v>1585</v>
      </c>
      <c r="AD292" s="1">
        <v>1588</v>
      </c>
      <c r="AE292" s="1">
        <v>1590</v>
      </c>
      <c r="AF292" s="1">
        <v>1580</v>
      </c>
      <c r="AG292" s="1">
        <v>1579</v>
      </c>
      <c r="AH292" s="1">
        <v>1584</v>
      </c>
      <c r="AI292" s="1">
        <v>1601</v>
      </c>
      <c r="AJ292" s="1">
        <v>1606</v>
      </c>
      <c r="AK292" s="1">
        <v>1616</v>
      </c>
      <c r="AL292" s="1">
        <v>1617</v>
      </c>
      <c r="AM292" s="1">
        <v>1613</v>
      </c>
      <c r="AN292" s="1">
        <v>1620</v>
      </c>
      <c r="AO292" s="1">
        <v>1642</v>
      </c>
      <c r="AP292" s="1">
        <v>1565</v>
      </c>
      <c r="AQ292" s="1">
        <v>1606</v>
      </c>
      <c r="AR292" s="1">
        <v>1638</v>
      </c>
      <c r="AS292" s="1">
        <v>1717</v>
      </c>
      <c r="AT292" s="1">
        <v>1772</v>
      </c>
      <c r="AU292" s="1">
        <v>1719</v>
      </c>
      <c r="AV292" s="1">
        <v>1772</v>
      </c>
      <c r="AW292" s="1">
        <v>1671</v>
      </c>
      <c r="AX292" s="1">
        <v>1662</v>
      </c>
      <c r="AY292" s="1">
        <v>1601</v>
      </c>
      <c r="AZ292" s="1">
        <v>1554</v>
      </c>
      <c r="BA292" s="1">
        <v>1565</v>
      </c>
      <c r="BB292" s="1">
        <v>1599</v>
      </c>
      <c r="BC292" s="1">
        <v>1584</v>
      </c>
      <c r="BD292" s="1">
        <v>1583</v>
      </c>
      <c r="BE292" s="1">
        <v>1570</v>
      </c>
      <c r="BF292" s="1">
        <v>1497</v>
      </c>
      <c r="BG292" s="1">
        <v>1491</v>
      </c>
      <c r="BH292" s="1">
        <v>1434</v>
      </c>
      <c r="BI292" s="1">
        <v>1470</v>
      </c>
      <c r="BJ292" s="1">
        <v>1483</v>
      </c>
      <c r="BK292" s="1">
        <v>1421</v>
      </c>
      <c r="BL292" s="1">
        <v>1407</v>
      </c>
      <c r="BM292" s="1">
        <v>1395</v>
      </c>
      <c r="BN292" s="1">
        <v>1366</v>
      </c>
      <c r="BO292" s="1">
        <v>1318</v>
      </c>
    </row>
    <row r="293" spans="1:68">
      <c r="A293" s="65" t="s">
        <v>506</v>
      </c>
      <c r="B293" s="1" t="str">
        <f>銘柄管理!C293</f>
        <v/>
      </c>
      <c r="C293" s="1" t="str">
        <f>_xll.RssMarket("8344","高値")</f>
        <v/>
      </c>
      <c r="E293" s="1">
        <v>3900</v>
      </c>
      <c r="F293" s="1">
        <v>3930</v>
      </c>
      <c r="G293" s="1">
        <v>3780</v>
      </c>
      <c r="H293" s="1">
        <v>3790</v>
      </c>
      <c r="I293" s="1">
        <v>3865</v>
      </c>
      <c r="J293" s="1">
        <v>3850</v>
      </c>
      <c r="K293" s="1">
        <v>3935</v>
      </c>
      <c r="L293" s="1">
        <v>4245</v>
      </c>
      <c r="M293" s="1">
        <v>4050</v>
      </c>
      <c r="N293" s="1">
        <v>4010</v>
      </c>
      <c r="O293" s="1">
        <v>3875</v>
      </c>
      <c r="P293" s="1">
        <v>3610</v>
      </c>
      <c r="Q293" s="1">
        <v>3550</v>
      </c>
      <c r="R293" s="1">
        <v>3455</v>
      </c>
      <c r="S293" s="1">
        <v>3385</v>
      </c>
      <c r="T293" s="1">
        <v>3345</v>
      </c>
      <c r="U293" s="1">
        <v>3355</v>
      </c>
      <c r="V293" s="1">
        <v>3465</v>
      </c>
      <c r="W293" s="1">
        <v>3395</v>
      </c>
      <c r="X293" s="1">
        <v>3485</v>
      </c>
      <c r="Y293" s="1">
        <v>3545</v>
      </c>
      <c r="Z293" s="1">
        <v>3660</v>
      </c>
      <c r="AA293" s="1">
        <v>3580</v>
      </c>
      <c r="AB293" s="1">
        <v>3600</v>
      </c>
      <c r="AC293" s="1">
        <v>3540</v>
      </c>
      <c r="AD293" s="1">
        <v>3445</v>
      </c>
      <c r="AE293" s="1">
        <v>3430</v>
      </c>
      <c r="AF293" s="1">
        <v>3075</v>
      </c>
      <c r="AG293" s="1">
        <v>3105</v>
      </c>
      <c r="AH293" s="1">
        <v>3080</v>
      </c>
      <c r="AI293" s="1">
        <v>3065</v>
      </c>
      <c r="AJ293" s="1">
        <v>3060</v>
      </c>
      <c r="AK293" s="1">
        <v>3175</v>
      </c>
      <c r="AL293" s="1">
        <v>3115</v>
      </c>
      <c r="AM293" s="1">
        <v>3105</v>
      </c>
      <c r="AN293" s="1">
        <v>3025</v>
      </c>
      <c r="AO293" s="1">
        <v>3165</v>
      </c>
      <c r="AP293" s="1">
        <v>3150</v>
      </c>
      <c r="AQ293" s="1">
        <v>3010</v>
      </c>
      <c r="AR293" s="1">
        <v>2980</v>
      </c>
      <c r="AS293" s="1">
        <v>2891</v>
      </c>
      <c r="AT293" s="1">
        <v>2678</v>
      </c>
      <c r="AU293" s="1">
        <v>2637</v>
      </c>
      <c r="AV293" s="1">
        <v>2616</v>
      </c>
      <c r="AW293" s="1">
        <v>2586</v>
      </c>
      <c r="AX293" s="1">
        <v>2552</v>
      </c>
      <c r="AY293" s="1">
        <v>2570</v>
      </c>
      <c r="AZ293" s="1">
        <v>2627</v>
      </c>
      <c r="BA293" s="1">
        <v>2545</v>
      </c>
      <c r="BB293" s="1">
        <v>2545</v>
      </c>
      <c r="BC293" s="1">
        <v>2563</v>
      </c>
      <c r="BD293" s="1">
        <v>2413</v>
      </c>
      <c r="BE293" s="1">
        <v>2482</v>
      </c>
      <c r="BF293" s="1">
        <v>2521</v>
      </c>
      <c r="BG293" s="1">
        <v>2630</v>
      </c>
      <c r="BH293" s="1">
        <v>2736</v>
      </c>
      <c r="BI293" s="1">
        <v>2799</v>
      </c>
      <c r="BJ293" s="1">
        <v>2807</v>
      </c>
      <c r="BK293" s="1">
        <v>2797</v>
      </c>
      <c r="BL293" s="1">
        <v>2780</v>
      </c>
      <c r="BM293" s="1">
        <v>2706</v>
      </c>
      <c r="BN293" s="1">
        <v>2702</v>
      </c>
      <c r="BO293" s="1">
        <v>2729</v>
      </c>
      <c r="BP293" s="1">
        <v>2704</v>
      </c>
    </row>
    <row r="294" spans="1:68">
      <c r="A294" s="65" t="s">
        <v>507</v>
      </c>
      <c r="B294" s="1" t="str">
        <f>銘柄管理!C294</f>
        <v/>
      </c>
      <c r="C294" s="1" t="str">
        <f>_xll.RssMarket("7414","高値")</f>
        <v/>
      </c>
      <c r="E294" s="1">
        <v>1424</v>
      </c>
      <c r="F294" s="1">
        <v>1430</v>
      </c>
      <c r="G294" s="1">
        <v>1393</v>
      </c>
      <c r="H294" s="1">
        <v>1395</v>
      </c>
      <c r="I294" s="1">
        <v>1389</v>
      </c>
      <c r="J294" s="1">
        <v>1381</v>
      </c>
      <c r="K294" s="1">
        <v>1384</v>
      </c>
      <c r="L294" s="1">
        <v>1378</v>
      </c>
      <c r="M294" s="1">
        <v>1375</v>
      </c>
      <c r="N294" s="1">
        <v>1357</v>
      </c>
      <c r="O294" s="1">
        <v>1348</v>
      </c>
      <c r="P294" s="1">
        <v>1337</v>
      </c>
      <c r="Q294" s="1">
        <v>1341</v>
      </c>
      <c r="R294" s="1">
        <v>1348</v>
      </c>
      <c r="S294" s="1">
        <v>1332</v>
      </c>
      <c r="T294" s="1">
        <v>1331</v>
      </c>
      <c r="U294" s="1">
        <v>1338</v>
      </c>
      <c r="V294" s="1">
        <v>1331</v>
      </c>
      <c r="W294" s="1">
        <v>1332</v>
      </c>
      <c r="X294" s="1">
        <v>1339</v>
      </c>
      <c r="Y294" s="1">
        <v>1343</v>
      </c>
      <c r="Z294" s="1">
        <v>1344</v>
      </c>
      <c r="AA294" s="1">
        <v>1329</v>
      </c>
      <c r="AB294" s="1">
        <v>1332</v>
      </c>
      <c r="AC294" s="1">
        <v>1323</v>
      </c>
      <c r="AD294" s="1">
        <v>1315</v>
      </c>
      <c r="AE294" s="1">
        <v>1311</v>
      </c>
      <c r="AF294" s="1">
        <v>1325</v>
      </c>
      <c r="AG294" s="1">
        <v>1333</v>
      </c>
      <c r="AH294" s="1">
        <v>1315</v>
      </c>
      <c r="AI294" s="1">
        <v>1317</v>
      </c>
      <c r="AJ294" s="1">
        <v>1312</v>
      </c>
      <c r="AK294" s="1">
        <v>1360</v>
      </c>
      <c r="AL294" s="1">
        <v>1346</v>
      </c>
      <c r="AM294" s="1">
        <v>1343</v>
      </c>
      <c r="AN294" s="1">
        <v>1329</v>
      </c>
      <c r="AO294" s="1">
        <v>1331</v>
      </c>
      <c r="AP294" s="1">
        <v>1339</v>
      </c>
      <c r="AQ294" s="1">
        <v>1349</v>
      </c>
      <c r="AR294" s="1">
        <v>1351</v>
      </c>
      <c r="AS294" s="1">
        <v>1379</v>
      </c>
      <c r="AT294" s="1">
        <v>1463</v>
      </c>
      <c r="AU294" s="1">
        <v>1446</v>
      </c>
      <c r="AV294" s="1">
        <v>1448</v>
      </c>
      <c r="AW294" s="1">
        <v>1455</v>
      </c>
      <c r="AX294" s="1">
        <v>1437</v>
      </c>
      <c r="AY294" s="1">
        <v>1447</v>
      </c>
      <c r="AZ294" s="1">
        <v>1448</v>
      </c>
      <c r="BA294" s="1">
        <v>1415</v>
      </c>
      <c r="BB294" s="1">
        <v>1396</v>
      </c>
      <c r="BC294" s="1">
        <v>1402</v>
      </c>
      <c r="BD294" s="1">
        <v>1388</v>
      </c>
      <c r="BE294" s="1">
        <v>1390</v>
      </c>
      <c r="BF294" s="1">
        <v>1385</v>
      </c>
      <c r="BG294" s="1">
        <v>1399</v>
      </c>
      <c r="BH294" s="1">
        <v>1413</v>
      </c>
      <c r="BI294" s="1">
        <v>1410</v>
      </c>
      <c r="BJ294" s="1">
        <v>1407</v>
      </c>
      <c r="BK294" s="1">
        <v>1419</v>
      </c>
      <c r="BL294" s="1">
        <v>1425</v>
      </c>
      <c r="BM294" s="1">
        <v>1418</v>
      </c>
      <c r="BN294" s="1">
        <v>1423</v>
      </c>
      <c r="BO294" s="1">
        <v>1432</v>
      </c>
      <c r="BP294" s="1">
        <v>1437</v>
      </c>
    </row>
    <row r="295" spans="1:68">
      <c r="A295" s="65" t="s">
        <v>508</v>
      </c>
      <c r="B295" s="1" t="str">
        <f>銘柄管理!C295</f>
        <v/>
      </c>
      <c r="C295" s="1" t="str">
        <f>_xll.RssMarket("6407","高値")</f>
        <v/>
      </c>
      <c r="E295" s="1">
        <v>6420</v>
      </c>
      <c r="F295" s="1">
        <v>7280</v>
      </c>
      <c r="G295" s="1">
        <v>6750</v>
      </c>
      <c r="H295" s="1">
        <v>7350</v>
      </c>
      <c r="I295" s="1">
        <v>7370</v>
      </c>
      <c r="J295" s="1">
        <v>7010</v>
      </c>
      <c r="K295" s="1">
        <v>6990</v>
      </c>
      <c r="L295" s="1">
        <v>7370</v>
      </c>
      <c r="M295" s="1">
        <v>7660</v>
      </c>
      <c r="N295" s="1">
        <v>7580</v>
      </c>
      <c r="O295" s="1">
        <v>7670</v>
      </c>
      <c r="P295" s="1">
        <v>7920</v>
      </c>
      <c r="Q295" s="1">
        <v>7620</v>
      </c>
      <c r="R295" s="1">
        <v>7530</v>
      </c>
      <c r="S295" s="1">
        <v>7840</v>
      </c>
      <c r="T295" s="1">
        <v>8120</v>
      </c>
      <c r="U295" s="1">
        <v>7660</v>
      </c>
      <c r="V295" s="1">
        <v>8330</v>
      </c>
      <c r="W295" s="1">
        <v>8210</v>
      </c>
      <c r="X295" s="1">
        <v>8130</v>
      </c>
      <c r="Y295" s="1">
        <v>8090</v>
      </c>
      <c r="Z295" s="1">
        <v>7540</v>
      </c>
      <c r="AA295" s="1">
        <v>7560</v>
      </c>
      <c r="AB295" s="1">
        <v>7450</v>
      </c>
      <c r="AC295" s="1">
        <v>6910</v>
      </c>
      <c r="AD295" s="1">
        <v>6200</v>
      </c>
      <c r="AE295" s="1">
        <v>6320</v>
      </c>
      <c r="AF295" s="1">
        <v>5990</v>
      </c>
      <c r="AG295" s="1">
        <v>6370</v>
      </c>
      <c r="AH295" s="1">
        <v>6540</v>
      </c>
      <c r="AI295" s="1">
        <v>6630</v>
      </c>
      <c r="AJ295" s="1">
        <v>6420</v>
      </c>
      <c r="AK295" s="1">
        <v>6760</v>
      </c>
      <c r="AL295" s="1">
        <v>6800</v>
      </c>
      <c r="AM295" s="1">
        <v>7100</v>
      </c>
      <c r="AN295" s="1">
        <v>7240</v>
      </c>
      <c r="AO295" s="1">
        <v>7340</v>
      </c>
      <c r="AP295" s="1">
        <v>6420</v>
      </c>
      <c r="AQ295" s="1">
        <v>6100</v>
      </c>
      <c r="AR295" s="1">
        <v>6200</v>
      </c>
      <c r="AS295" s="1">
        <v>6600</v>
      </c>
      <c r="AT295" s="1">
        <v>7470</v>
      </c>
      <c r="AU295" s="1">
        <v>7170</v>
      </c>
      <c r="AV295" s="1">
        <v>6960</v>
      </c>
      <c r="AW295" s="1">
        <v>7170</v>
      </c>
      <c r="AX295" s="1">
        <v>6820</v>
      </c>
      <c r="AY295" s="1">
        <v>6650</v>
      </c>
      <c r="AZ295" s="1">
        <v>6950</v>
      </c>
      <c r="BA295" s="1">
        <v>6100</v>
      </c>
      <c r="BB295" s="1">
        <v>6110</v>
      </c>
      <c r="BC295" s="1">
        <v>5870</v>
      </c>
      <c r="BD295" s="1">
        <v>5900</v>
      </c>
      <c r="BE295" s="1">
        <v>5580</v>
      </c>
      <c r="BF295" s="1">
        <v>5810</v>
      </c>
      <c r="BG295" s="1">
        <v>5810</v>
      </c>
      <c r="BH295" s="1">
        <v>5690</v>
      </c>
      <c r="BI295" s="1">
        <v>5760</v>
      </c>
      <c r="BJ295" s="1">
        <v>5700</v>
      </c>
      <c r="BK295" s="1">
        <v>5790</v>
      </c>
      <c r="BL295" s="1">
        <v>5860</v>
      </c>
      <c r="BM295" s="1">
        <v>5870</v>
      </c>
      <c r="BN295" s="1">
        <v>6010</v>
      </c>
      <c r="BO295" s="1">
        <v>5620</v>
      </c>
      <c r="BP295" s="1">
        <v>5210</v>
      </c>
    </row>
    <row r="296" spans="1:68">
      <c r="A296" s="65" t="s">
        <v>509</v>
      </c>
      <c r="B296" s="1" t="str">
        <f>銘柄管理!C296</f>
        <v/>
      </c>
      <c r="C296" s="1" t="str">
        <f>_xll.RssMarket("7048","高値")</f>
        <v/>
      </c>
      <c r="E296" s="1">
        <v>180</v>
      </c>
      <c r="F296" s="1">
        <v>184</v>
      </c>
      <c r="G296" s="1">
        <v>182</v>
      </c>
      <c r="H296" s="1">
        <v>179</v>
      </c>
      <c r="I296" s="1">
        <v>177</v>
      </c>
      <c r="J296" s="1">
        <v>167</v>
      </c>
      <c r="K296" s="1">
        <v>166</v>
      </c>
      <c r="L296" s="1">
        <v>168</v>
      </c>
      <c r="M296" s="1">
        <v>175</v>
      </c>
      <c r="N296" s="1">
        <v>173</v>
      </c>
      <c r="O296" s="1">
        <v>166</v>
      </c>
      <c r="P296" s="1">
        <v>168</v>
      </c>
      <c r="Q296" s="1">
        <v>169</v>
      </c>
      <c r="R296" s="1">
        <v>180</v>
      </c>
      <c r="S296" s="1">
        <v>196</v>
      </c>
      <c r="T296" s="1">
        <v>219</v>
      </c>
      <c r="U296" s="1">
        <v>174</v>
      </c>
      <c r="V296" s="1">
        <v>161</v>
      </c>
      <c r="W296" s="1">
        <v>158</v>
      </c>
      <c r="X296" s="1">
        <v>133</v>
      </c>
      <c r="Y296" s="1">
        <v>129</v>
      </c>
      <c r="Z296" s="1">
        <v>163</v>
      </c>
      <c r="AA296" s="1">
        <v>119</v>
      </c>
      <c r="AB296" s="1">
        <v>121</v>
      </c>
      <c r="AC296" s="1">
        <v>124</v>
      </c>
      <c r="AD296" s="1">
        <v>129</v>
      </c>
      <c r="AE296" s="1">
        <v>133</v>
      </c>
      <c r="AF296" s="1">
        <v>128</v>
      </c>
      <c r="AG296" s="1">
        <v>130</v>
      </c>
      <c r="AH296" s="1">
        <v>132</v>
      </c>
      <c r="AI296" s="1">
        <v>136</v>
      </c>
      <c r="AJ296" s="1">
        <v>137</v>
      </c>
      <c r="AK296" s="1">
        <v>143</v>
      </c>
      <c r="AL296" s="1">
        <v>145</v>
      </c>
      <c r="AM296" s="1">
        <v>147</v>
      </c>
      <c r="AN296" s="1">
        <v>150</v>
      </c>
      <c r="AO296" s="1">
        <v>151</v>
      </c>
      <c r="AP296" s="1">
        <v>154</v>
      </c>
      <c r="AQ296" s="1">
        <v>163</v>
      </c>
      <c r="AR296" s="1">
        <v>165</v>
      </c>
      <c r="AS296" s="1">
        <v>164</v>
      </c>
      <c r="AT296" s="1">
        <v>166</v>
      </c>
      <c r="AU296" s="1">
        <v>165</v>
      </c>
      <c r="AV296" s="1">
        <v>163</v>
      </c>
      <c r="AW296" s="1">
        <v>163</v>
      </c>
      <c r="AX296" s="1">
        <v>162</v>
      </c>
      <c r="AY296" s="1">
        <v>166</v>
      </c>
      <c r="AZ296" s="1">
        <v>165</v>
      </c>
      <c r="BA296" s="1">
        <v>167</v>
      </c>
      <c r="BB296" s="1">
        <v>171</v>
      </c>
      <c r="BC296" s="1">
        <v>178</v>
      </c>
      <c r="BD296" s="1">
        <v>186</v>
      </c>
      <c r="BE296" s="1">
        <v>190</v>
      </c>
      <c r="BF296" s="1">
        <v>190</v>
      </c>
      <c r="BG296" s="1">
        <v>182</v>
      </c>
      <c r="BH296" s="1">
        <v>179</v>
      </c>
      <c r="BI296" s="1">
        <v>176</v>
      </c>
      <c r="BJ296" s="1">
        <v>174</v>
      </c>
      <c r="BK296" s="1">
        <v>178</v>
      </c>
      <c r="BL296" s="1">
        <v>190</v>
      </c>
      <c r="BM296" s="1">
        <v>189</v>
      </c>
      <c r="BN296" s="1">
        <v>182</v>
      </c>
      <c r="BO296" s="1">
        <v>181</v>
      </c>
      <c r="BP296" s="1">
        <v>179</v>
      </c>
    </row>
    <row r="297" spans="1:68">
      <c r="A297" s="65" t="s">
        <v>510</v>
      </c>
      <c r="B297" s="1" t="str">
        <f>銘柄管理!C297</f>
        <v/>
      </c>
      <c r="C297" s="1" t="str">
        <f>_xll.RssMarket("1808","高値")</f>
        <v/>
      </c>
      <c r="E297" s="1">
        <v>2858</v>
      </c>
      <c r="F297" s="1">
        <v>2835.5</v>
      </c>
      <c r="G297" s="1">
        <v>2820</v>
      </c>
      <c r="H297" s="1">
        <v>2824.5</v>
      </c>
      <c r="I297" s="1">
        <v>2876.5</v>
      </c>
      <c r="J297" s="1">
        <v>2829.5</v>
      </c>
      <c r="K297" s="1">
        <v>2894.5</v>
      </c>
      <c r="L297" s="1">
        <v>2898</v>
      </c>
      <c r="M297" s="1">
        <v>2870.5</v>
      </c>
      <c r="N297" s="1">
        <v>2826</v>
      </c>
      <c r="O297" s="1">
        <v>2843.5</v>
      </c>
      <c r="P297" s="1">
        <v>2874</v>
      </c>
      <c r="Q297" s="1">
        <v>2894</v>
      </c>
      <c r="R297" s="1">
        <v>2858.5</v>
      </c>
      <c r="S297" s="1">
        <v>2782</v>
      </c>
      <c r="T297" s="1">
        <v>2760</v>
      </c>
      <c r="U297" s="1">
        <v>2772</v>
      </c>
      <c r="V297" s="1">
        <v>2739</v>
      </c>
      <c r="W297" s="1">
        <v>2730</v>
      </c>
      <c r="X297" s="1">
        <v>2714</v>
      </c>
      <c r="Y297" s="1">
        <v>2743</v>
      </c>
      <c r="Z297" s="1">
        <v>2729.5</v>
      </c>
      <c r="AA297" s="1">
        <v>2762</v>
      </c>
      <c r="AB297" s="1">
        <v>2770</v>
      </c>
      <c r="AC297" s="1">
        <v>2763</v>
      </c>
      <c r="AD297" s="1">
        <v>2732</v>
      </c>
      <c r="AE297" s="1">
        <v>2659</v>
      </c>
      <c r="AF297" s="1">
        <v>2672.5</v>
      </c>
      <c r="AG297" s="1">
        <v>2648.5</v>
      </c>
      <c r="AH297" s="1">
        <v>2644</v>
      </c>
      <c r="AI297" s="1">
        <v>2638</v>
      </c>
      <c r="AJ297" s="1">
        <v>2741</v>
      </c>
      <c r="AK297" s="1">
        <v>2730.5</v>
      </c>
      <c r="AL297" s="1">
        <v>2721</v>
      </c>
      <c r="AM297" s="1">
        <v>2724.5</v>
      </c>
      <c r="AN297" s="1">
        <v>2745</v>
      </c>
      <c r="AO297" s="1">
        <v>2769.5</v>
      </c>
      <c r="AP297" s="1">
        <v>2790</v>
      </c>
      <c r="AQ297" s="1">
        <v>2871</v>
      </c>
      <c r="AR297" s="1">
        <v>2897.5</v>
      </c>
      <c r="AS297" s="1">
        <v>2728</v>
      </c>
      <c r="AT297" s="1">
        <v>2790</v>
      </c>
      <c r="AU297" s="1">
        <v>2822</v>
      </c>
      <c r="AV297" s="1">
        <v>2827</v>
      </c>
      <c r="AW297" s="1">
        <v>2790</v>
      </c>
      <c r="AX297" s="1">
        <v>2780</v>
      </c>
      <c r="AY297" s="1">
        <v>2799</v>
      </c>
      <c r="AZ297" s="1">
        <v>2748.5</v>
      </c>
      <c r="BA297" s="1">
        <v>2801</v>
      </c>
      <c r="BB297" s="1">
        <v>2818</v>
      </c>
      <c r="BC297" s="1">
        <v>2743.5</v>
      </c>
      <c r="BD297" s="1">
        <v>2727</v>
      </c>
      <c r="BE297" s="1">
        <v>2749</v>
      </c>
      <c r="BF297" s="1">
        <v>2767.5</v>
      </c>
      <c r="BG297" s="1">
        <v>2816</v>
      </c>
      <c r="BH297" s="1">
        <v>2839</v>
      </c>
      <c r="BI297" s="1">
        <v>2782.5</v>
      </c>
      <c r="BJ297" s="1">
        <v>2833.5</v>
      </c>
      <c r="BK297" s="1">
        <v>2765.5</v>
      </c>
      <c r="BL297" s="1">
        <v>2884.5</v>
      </c>
      <c r="BM297" s="1">
        <v>2915.5</v>
      </c>
      <c r="BN297" s="1">
        <v>2931.5</v>
      </c>
      <c r="BO297" s="1">
        <v>3001</v>
      </c>
      <c r="BP297" s="1">
        <v>3000</v>
      </c>
    </row>
    <row r="298" spans="1:68">
      <c r="A298" s="65" t="s">
        <v>511</v>
      </c>
      <c r="B298" s="1" t="str">
        <f>銘柄管理!C298</f>
        <v/>
      </c>
      <c r="C298" s="1" t="str">
        <f>_xll.RssMarket("4208","高値")</f>
        <v/>
      </c>
      <c r="E298" s="1">
        <v>3263</v>
      </c>
      <c r="F298" s="1">
        <v>3290</v>
      </c>
      <c r="G298" s="1">
        <v>3227</v>
      </c>
      <c r="H298" s="1">
        <v>3188</v>
      </c>
      <c r="I298" s="1">
        <v>3191</v>
      </c>
      <c r="J298" s="1">
        <v>3182</v>
      </c>
      <c r="K298" s="1">
        <v>3213</v>
      </c>
      <c r="L298" s="1">
        <v>3270</v>
      </c>
      <c r="M298" s="1">
        <v>3279</v>
      </c>
      <c r="N298" s="1">
        <v>3244</v>
      </c>
      <c r="O298" s="1">
        <v>3210</v>
      </c>
      <c r="P298" s="1">
        <v>3203</v>
      </c>
      <c r="Q298" s="1">
        <v>3208</v>
      </c>
      <c r="R298" s="1">
        <v>3180</v>
      </c>
      <c r="S298" s="1">
        <v>3193</v>
      </c>
      <c r="T298" s="1">
        <v>3188</v>
      </c>
      <c r="U298" s="1">
        <v>3151</v>
      </c>
      <c r="V298" s="1">
        <v>3223</v>
      </c>
      <c r="W298" s="1">
        <v>3238</v>
      </c>
      <c r="X298" s="1">
        <v>3321</v>
      </c>
      <c r="Y298" s="1">
        <v>3350</v>
      </c>
      <c r="Z298" s="1">
        <v>3200</v>
      </c>
      <c r="AA298" s="1">
        <v>3244</v>
      </c>
      <c r="AB298" s="1">
        <v>3214</v>
      </c>
      <c r="AC298" s="1">
        <v>3090</v>
      </c>
      <c r="AD298" s="1">
        <v>3015</v>
      </c>
      <c r="AE298" s="1">
        <v>3028</v>
      </c>
      <c r="AF298" s="1">
        <v>2955</v>
      </c>
      <c r="AG298" s="1">
        <v>2992</v>
      </c>
      <c r="AH298" s="1">
        <v>3006</v>
      </c>
      <c r="AI298" s="1">
        <v>2951.5</v>
      </c>
      <c r="AJ298" s="1">
        <v>3004</v>
      </c>
      <c r="AK298" s="1">
        <v>2984.5</v>
      </c>
      <c r="AL298" s="1">
        <v>3051</v>
      </c>
      <c r="AM298" s="1">
        <v>3044</v>
      </c>
      <c r="AN298" s="1">
        <v>3049</v>
      </c>
      <c r="AO298" s="1">
        <v>3067</v>
      </c>
      <c r="AP298" s="1">
        <v>2890.5</v>
      </c>
      <c r="AQ298" s="1">
        <v>2425.5</v>
      </c>
      <c r="AR298" s="1">
        <v>2418</v>
      </c>
      <c r="AS298" s="1">
        <v>2450</v>
      </c>
      <c r="AT298" s="1">
        <v>2501</v>
      </c>
      <c r="AU298" s="1">
        <v>2361.5</v>
      </c>
      <c r="AV298" s="1">
        <v>2362</v>
      </c>
      <c r="AW298" s="1">
        <v>2394</v>
      </c>
      <c r="AX298" s="1">
        <v>2396.5</v>
      </c>
      <c r="AY298" s="1">
        <v>2412.5</v>
      </c>
      <c r="AZ298" s="1">
        <v>2383.5</v>
      </c>
      <c r="BA298" s="1">
        <v>2374</v>
      </c>
      <c r="BB298" s="1">
        <v>2397.5</v>
      </c>
      <c r="BC298" s="1">
        <v>2376.5</v>
      </c>
      <c r="BD298" s="1">
        <v>2370</v>
      </c>
      <c r="BE298" s="1">
        <v>2363</v>
      </c>
      <c r="BF298" s="1">
        <v>2411.5</v>
      </c>
      <c r="BG298" s="1">
        <v>2427.5</v>
      </c>
      <c r="BH298" s="1">
        <v>2457</v>
      </c>
      <c r="BI298" s="1">
        <v>2454</v>
      </c>
      <c r="BJ298" s="1">
        <v>2437.5</v>
      </c>
      <c r="BK298" s="1">
        <v>2437.5</v>
      </c>
      <c r="BL298" s="1">
        <v>2438</v>
      </c>
      <c r="BM298" s="1">
        <v>2448</v>
      </c>
      <c r="BN298" s="1">
        <v>2489</v>
      </c>
      <c r="BO298" s="1">
        <v>2522</v>
      </c>
      <c r="BP298" s="1">
        <v>2527</v>
      </c>
    </row>
    <row r="299" spans="1:68">
      <c r="A299" s="65" t="s">
        <v>512</v>
      </c>
      <c r="B299" s="1" t="str">
        <f>銘柄管理!C299</f>
        <v/>
      </c>
      <c r="C299" s="1" t="str">
        <f>_xll.RssMarket("186A","高値")</f>
        <v/>
      </c>
      <c r="E299" s="1">
        <v>1004</v>
      </c>
      <c r="F299" s="1">
        <v>1120</v>
      </c>
      <c r="G299" s="1">
        <v>1094</v>
      </c>
      <c r="H299" s="1">
        <v>1214</v>
      </c>
      <c r="I299" s="1">
        <v>1128</v>
      </c>
      <c r="J299" s="1">
        <v>1133</v>
      </c>
      <c r="K299" s="1">
        <v>1127</v>
      </c>
      <c r="L299" s="1">
        <v>1210</v>
      </c>
      <c r="M299" s="1">
        <v>1262</v>
      </c>
      <c r="N299" s="1">
        <v>1224</v>
      </c>
      <c r="O299" s="1">
        <v>1166</v>
      </c>
      <c r="P299" s="1">
        <v>1195</v>
      </c>
      <c r="Q299" s="1">
        <v>1225</v>
      </c>
      <c r="R299" s="1">
        <v>1161</v>
      </c>
      <c r="S299" s="1">
        <v>1197</v>
      </c>
      <c r="T299" s="1">
        <v>1192</v>
      </c>
      <c r="U299" s="1">
        <v>1223</v>
      </c>
      <c r="V299" s="1">
        <v>1290</v>
      </c>
      <c r="W299" s="1">
        <v>1358</v>
      </c>
      <c r="X299" s="1">
        <v>1285</v>
      </c>
      <c r="Y299" s="1">
        <v>1409</v>
      </c>
      <c r="Z299" s="1">
        <v>1454</v>
      </c>
      <c r="AA299" s="1">
        <v>1478</v>
      </c>
      <c r="AB299" s="1">
        <v>1676</v>
      </c>
      <c r="AC299" s="1">
        <v>1975</v>
      </c>
      <c r="AD299" s="1">
        <v>1819</v>
      </c>
      <c r="AE299" s="1">
        <v>1837</v>
      </c>
      <c r="AF299" s="1">
        <v>2150</v>
      </c>
      <c r="AG299" s="1">
        <v>2220</v>
      </c>
      <c r="AH299" s="1">
        <v>1997</v>
      </c>
      <c r="AI299" s="1">
        <v>2245</v>
      </c>
      <c r="AJ299" s="1">
        <v>2200</v>
      </c>
      <c r="AK299" s="1">
        <v>2958</v>
      </c>
      <c r="AL299" s="1">
        <v>2993</v>
      </c>
      <c r="AM299" s="1">
        <v>3015</v>
      </c>
      <c r="AN299" s="1">
        <v>2852</v>
      </c>
      <c r="AO299" s="1">
        <v>2352</v>
      </c>
      <c r="AP299" s="1">
        <v>2079</v>
      </c>
      <c r="AQ299" s="1">
        <v>2148</v>
      </c>
      <c r="AR299" s="1">
        <v>2170</v>
      </c>
      <c r="AS299" s="1">
        <v>2100</v>
      </c>
      <c r="AT299" s="1">
        <v>2048</v>
      </c>
      <c r="AU299" s="1">
        <v>1899</v>
      </c>
      <c r="AV299" s="1">
        <v>1854</v>
      </c>
      <c r="AW299" s="1">
        <v>1866</v>
      </c>
      <c r="AX299" s="1">
        <v>1810</v>
      </c>
      <c r="AY299" s="1">
        <v>1570</v>
      </c>
      <c r="AZ299" s="1">
        <v>1437</v>
      </c>
      <c r="BA299" s="1">
        <v>1347</v>
      </c>
      <c r="BB299" s="1">
        <v>1311</v>
      </c>
      <c r="BC299" s="1">
        <v>1320</v>
      </c>
      <c r="BD299" s="1">
        <v>1334</v>
      </c>
      <c r="BE299" s="1">
        <v>1405</v>
      </c>
      <c r="BF299" s="1">
        <v>1459</v>
      </c>
      <c r="BG299" s="1">
        <v>1484</v>
      </c>
      <c r="BH299" s="1">
        <v>1500</v>
      </c>
      <c r="BI299" s="1">
        <v>1493</v>
      </c>
      <c r="BJ299" s="1">
        <v>1422</v>
      </c>
      <c r="BK299" s="1">
        <v>1409</v>
      </c>
      <c r="BL299" s="1">
        <v>1435</v>
      </c>
      <c r="BM299" s="1">
        <v>1420</v>
      </c>
      <c r="BN299" s="1">
        <v>1352</v>
      </c>
      <c r="BO299" s="1">
        <v>1373</v>
      </c>
      <c r="BP299" s="1">
        <v>1257</v>
      </c>
    </row>
    <row r="300" spans="1:68">
      <c r="A300" s="65" t="s">
        <v>513</v>
      </c>
      <c r="B300" s="1" t="str">
        <f>銘柄管理!C300</f>
        <v/>
      </c>
      <c r="C300" s="1" t="str">
        <f>_xll.RssMarket("6965","高値")</f>
        <v/>
      </c>
      <c r="E300" s="1">
        <v>2368</v>
      </c>
      <c r="F300" s="1">
        <v>2522</v>
      </c>
      <c r="G300" s="1">
        <v>2455.5</v>
      </c>
      <c r="H300" s="1">
        <v>2551.5</v>
      </c>
      <c r="I300" s="1">
        <v>2551</v>
      </c>
      <c r="J300" s="1">
        <v>2476</v>
      </c>
      <c r="K300" s="1">
        <v>2508</v>
      </c>
      <c r="L300" s="1">
        <v>2568.5</v>
      </c>
      <c r="M300" s="1">
        <v>2682</v>
      </c>
      <c r="N300" s="1">
        <v>2669</v>
      </c>
      <c r="O300" s="1">
        <v>2724</v>
      </c>
      <c r="P300" s="1">
        <v>2757.5</v>
      </c>
      <c r="Q300" s="1">
        <v>2703.5</v>
      </c>
      <c r="R300" s="1">
        <v>2661</v>
      </c>
      <c r="S300" s="1">
        <v>2741</v>
      </c>
      <c r="T300" s="1">
        <v>2765.5</v>
      </c>
      <c r="U300" s="1">
        <v>2746</v>
      </c>
      <c r="V300" s="1">
        <v>2837.5</v>
      </c>
      <c r="W300" s="1">
        <v>2887</v>
      </c>
      <c r="X300" s="1">
        <v>2864</v>
      </c>
      <c r="Y300" s="1">
        <v>2843.5</v>
      </c>
      <c r="Z300" s="1">
        <v>2794.5</v>
      </c>
      <c r="AA300" s="1">
        <v>2669.5</v>
      </c>
      <c r="AB300" s="1">
        <v>2676</v>
      </c>
      <c r="AC300" s="1">
        <v>2587</v>
      </c>
      <c r="AD300" s="1">
        <v>2428</v>
      </c>
      <c r="AE300" s="1">
        <v>2504</v>
      </c>
      <c r="AF300" s="1">
        <v>2696.5</v>
      </c>
      <c r="AG300" s="1">
        <v>2912.5</v>
      </c>
      <c r="AH300" s="1">
        <v>2964</v>
      </c>
      <c r="AI300" s="1">
        <v>2915</v>
      </c>
      <c r="AJ300" s="1">
        <v>2855</v>
      </c>
      <c r="AK300" s="1">
        <v>2997</v>
      </c>
      <c r="AL300" s="1">
        <v>2824</v>
      </c>
      <c r="AM300" s="1">
        <v>2941.5</v>
      </c>
      <c r="AN300" s="1">
        <v>3100</v>
      </c>
      <c r="AO300" s="1">
        <v>2923</v>
      </c>
      <c r="AP300" s="1">
        <v>2759</v>
      </c>
      <c r="AQ300" s="1">
        <v>2668.5</v>
      </c>
      <c r="AR300" s="1">
        <v>2829.5</v>
      </c>
      <c r="AS300" s="1">
        <v>2875</v>
      </c>
      <c r="AT300" s="1">
        <v>2657</v>
      </c>
      <c r="AU300" s="1">
        <v>2241</v>
      </c>
      <c r="AV300" s="1">
        <v>2162.5</v>
      </c>
      <c r="AW300" s="1">
        <v>2239.5</v>
      </c>
      <c r="AX300" s="1">
        <v>2245</v>
      </c>
      <c r="AY300" s="1">
        <v>2207.5</v>
      </c>
      <c r="AZ300" s="1">
        <v>2163</v>
      </c>
      <c r="BA300" s="1">
        <v>2034.5</v>
      </c>
      <c r="BB300" s="1">
        <v>2062</v>
      </c>
      <c r="BC300" s="1">
        <v>2047</v>
      </c>
      <c r="BD300" s="1">
        <v>2068.5</v>
      </c>
      <c r="BE300" s="1">
        <v>1942</v>
      </c>
      <c r="BF300" s="1">
        <v>1967.5</v>
      </c>
      <c r="BG300" s="1">
        <v>1963</v>
      </c>
      <c r="BH300" s="1">
        <v>1972</v>
      </c>
      <c r="BI300" s="1">
        <v>1986.5</v>
      </c>
      <c r="BJ300" s="1">
        <v>1994</v>
      </c>
      <c r="BK300" s="1">
        <v>1977</v>
      </c>
      <c r="BL300" s="1">
        <v>1956.5</v>
      </c>
      <c r="BM300" s="1">
        <v>1973</v>
      </c>
      <c r="BN300" s="1">
        <v>1961.5</v>
      </c>
      <c r="BO300" s="1">
        <v>1970.5</v>
      </c>
      <c r="BP300" s="1">
        <v>1977</v>
      </c>
    </row>
    <row r="301" spans="1:68">
      <c r="A301" s="65" t="s">
        <v>514</v>
      </c>
      <c r="B301" s="1" t="str">
        <f>銘柄管理!C301</f>
        <v/>
      </c>
      <c r="C301" s="1" t="str">
        <f>_xll.RssMarket("6331","高値")</f>
        <v/>
      </c>
      <c r="E301" s="1">
        <v>3300</v>
      </c>
      <c r="F301" s="1">
        <v>3490</v>
      </c>
      <c r="G301" s="1">
        <v>3430</v>
      </c>
      <c r="H301" s="1">
        <v>3610</v>
      </c>
      <c r="I301" s="1">
        <v>3620</v>
      </c>
      <c r="J301" s="1">
        <v>3630</v>
      </c>
      <c r="K301" s="1">
        <v>3855</v>
      </c>
      <c r="L301" s="1">
        <v>4010</v>
      </c>
      <c r="M301" s="1">
        <v>4015</v>
      </c>
      <c r="N301" s="1">
        <v>3825</v>
      </c>
      <c r="O301" s="1">
        <v>3795</v>
      </c>
      <c r="P301" s="1">
        <v>3785</v>
      </c>
      <c r="Q301" s="1">
        <v>3795</v>
      </c>
      <c r="R301" s="1">
        <v>3865</v>
      </c>
      <c r="S301" s="1">
        <v>3895</v>
      </c>
      <c r="T301" s="1">
        <v>3975</v>
      </c>
      <c r="U301" s="1">
        <v>3945</v>
      </c>
      <c r="V301" s="1">
        <v>4180</v>
      </c>
      <c r="W301" s="1">
        <v>4145</v>
      </c>
      <c r="X301" s="1">
        <v>4090</v>
      </c>
      <c r="Y301" s="1">
        <v>4120</v>
      </c>
      <c r="Z301" s="1">
        <v>4100</v>
      </c>
      <c r="AA301" s="1">
        <v>3910</v>
      </c>
      <c r="AB301" s="1">
        <v>3840</v>
      </c>
      <c r="AC301" s="1">
        <v>3740</v>
      </c>
      <c r="AD301" s="1">
        <v>3645</v>
      </c>
      <c r="AE301" s="1">
        <v>3720</v>
      </c>
      <c r="AF301" s="1">
        <v>3590</v>
      </c>
      <c r="AG301" s="1">
        <v>3635</v>
      </c>
      <c r="AH301" s="1">
        <v>3720</v>
      </c>
      <c r="AI301" s="1">
        <v>3680</v>
      </c>
      <c r="AJ301" s="1">
        <v>3450</v>
      </c>
      <c r="AK301" s="1">
        <v>3690</v>
      </c>
      <c r="AL301" s="1">
        <v>3705</v>
      </c>
      <c r="AM301" s="1">
        <v>3800</v>
      </c>
      <c r="AN301" s="1">
        <v>3525</v>
      </c>
      <c r="AO301" s="1">
        <v>3560</v>
      </c>
      <c r="AP301" s="1">
        <v>3560</v>
      </c>
      <c r="AQ301" s="1">
        <v>3610</v>
      </c>
      <c r="AR301" s="1">
        <v>3880</v>
      </c>
      <c r="AS301" s="1">
        <v>3845</v>
      </c>
      <c r="AT301" s="1">
        <v>3675</v>
      </c>
      <c r="AU301" s="1">
        <v>3385</v>
      </c>
      <c r="AV301" s="1">
        <v>3345</v>
      </c>
      <c r="AW301" s="1">
        <v>3350</v>
      </c>
      <c r="AX301" s="1">
        <v>3320</v>
      </c>
      <c r="AY301" s="1">
        <v>3295</v>
      </c>
      <c r="AZ301" s="1">
        <v>3345</v>
      </c>
      <c r="BA301" s="1">
        <v>3310</v>
      </c>
      <c r="BB301" s="1">
        <v>3225</v>
      </c>
      <c r="BC301" s="1">
        <v>3280</v>
      </c>
      <c r="BD301" s="1">
        <v>3320</v>
      </c>
      <c r="BE301" s="1">
        <v>3235</v>
      </c>
      <c r="BF301" s="1">
        <v>3185</v>
      </c>
      <c r="BG301" s="1">
        <v>3065</v>
      </c>
      <c r="BH301" s="1">
        <v>3065</v>
      </c>
      <c r="BI301" s="1">
        <v>3065</v>
      </c>
      <c r="BJ301" s="1">
        <v>3060</v>
      </c>
      <c r="BK301" s="1">
        <v>3075</v>
      </c>
      <c r="BL301" s="1">
        <v>3150</v>
      </c>
      <c r="BM301" s="1">
        <v>3140</v>
      </c>
      <c r="BN301" s="1">
        <v>3175</v>
      </c>
      <c r="BO301" s="1">
        <v>3255</v>
      </c>
      <c r="BP301" s="1">
        <v>3235</v>
      </c>
    </row>
    <row r="302" spans="1:68">
      <c r="A302" s="65" t="s">
        <v>515</v>
      </c>
      <c r="B302" s="1" t="str">
        <f>銘柄管理!C302</f>
        <v/>
      </c>
      <c r="C302" s="1" t="str">
        <f>_xll.RssMarket("7741","高値")</f>
        <v/>
      </c>
      <c r="E302" s="1">
        <v>25215</v>
      </c>
      <c r="F302" s="1">
        <v>25925</v>
      </c>
      <c r="G302" s="1">
        <v>25965</v>
      </c>
      <c r="H302" s="1">
        <v>25515</v>
      </c>
      <c r="I302" s="1">
        <v>25370</v>
      </c>
      <c r="J302" s="1">
        <v>24820</v>
      </c>
      <c r="K302" s="1">
        <v>25405</v>
      </c>
      <c r="L302" s="1">
        <v>26055</v>
      </c>
      <c r="M302" s="1">
        <v>26100</v>
      </c>
      <c r="N302" s="1">
        <v>26190</v>
      </c>
      <c r="O302" s="1">
        <v>25925</v>
      </c>
      <c r="P302" s="1">
        <v>26265</v>
      </c>
      <c r="Q302" s="1">
        <v>26255</v>
      </c>
      <c r="R302" s="1">
        <v>25805</v>
      </c>
      <c r="S302" s="1">
        <v>26710</v>
      </c>
      <c r="T302" s="1">
        <v>26850</v>
      </c>
      <c r="U302" s="1">
        <v>26510</v>
      </c>
      <c r="V302" s="1">
        <v>27230</v>
      </c>
      <c r="W302" s="1">
        <v>27355</v>
      </c>
      <c r="X302" s="1">
        <v>28880</v>
      </c>
      <c r="Y302" s="1">
        <v>28720</v>
      </c>
      <c r="Z302" s="1">
        <v>27685</v>
      </c>
      <c r="AA302" s="1">
        <v>27255</v>
      </c>
      <c r="AB302" s="1">
        <v>26975</v>
      </c>
      <c r="AC302" s="1">
        <v>26545</v>
      </c>
      <c r="AD302" s="1">
        <v>25920</v>
      </c>
      <c r="AE302" s="1">
        <v>25750</v>
      </c>
      <c r="AF302" s="1">
        <v>25800</v>
      </c>
      <c r="AG302" s="1">
        <v>26395</v>
      </c>
      <c r="AH302" s="1">
        <v>27495</v>
      </c>
      <c r="AI302" s="1">
        <v>27575</v>
      </c>
      <c r="AJ302" s="1">
        <v>26385</v>
      </c>
      <c r="AK302" s="1">
        <v>27510</v>
      </c>
      <c r="AL302" s="1">
        <v>27400</v>
      </c>
      <c r="AM302" s="1">
        <v>27835</v>
      </c>
      <c r="AN302" s="1">
        <v>26455</v>
      </c>
      <c r="AO302" s="1">
        <v>26885</v>
      </c>
      <c r="AP302" s="1">
        <v>27130</v>
      </c>
      <c r="AQ302" s="1">
        <v>26970</v>
      </c>
      <c r="AR302" s="1">
        <v>27700</v>
      </c>
      <c r="AS302" s="1">
        <v>28050</v>
      </c>
      <c r="AT302" s="1">
        <v>28465</v>
      </c>
      <c r="AU302" s="1">
        <v>28135</v>
      </c>
      <c r="AV302" s="1">
        <v>27825</v>
      </c>
      <c r="AW302" s="1">
        <v>27870</v>
      </c>
      <c r="AX302" s="1">
        <v>27585</v>
      </c>
      <c r="AY302" s="1">
        <v>27940</v>
      </c>
      <c r="AZ302" s="1">
        <v>28345</v>
      </c>
      <c r="BA302" s="1">
        <v>29200</v>
      </c>
      <c r="BB302" s="1">
        <v>29700</v>
      </c>
      <c r="BC302" s="1">
        <v>29380</v>
      </c>
      <c r="BD302" s="1">
        <v>29260</v>
      </c>
      <c r="BE302" s="1">
        <v>28670</v>
      </c>
      <c r="BF302" s="1">
        <v>28700</v>
      </c>
      <c r="BG302" s="1">
        <v>29185</v>
      </c>
      <c r="BH302" s="1">
        <v>29555</v>
      </c>
      <c r="BI302" s="1">
        <v>29795</v>
      </c>
      <c r="BJ302" s="1">
        <v>29840</v>
      </c>
      <c r="BK302" s="1">
        <v>30030</v>
      </c>
      <c r="BL302" s="1">
        <v>30400</v>
      </c>
      <c r="BM302" s="1">
        <v>29770</v>
      </c>
      <c r="BN302" s="1">
        <v>29390</v>
      </c>
      <c r="BO302" s="1">
        <v>30030</v>
      </c>
      <c r="BP302" s="1">
        <v>29360</v>
      </c>
    </row>
    <row r="303" spans="1:68">
      <c r="A303" s="65" t="s">
        <v>882</v>
      </c>
      <c r="B303" s="1" t="str">
        <f>銘柄管理!C303</f>
        <v/>
      </c>
      <c r="C303" s="1" t="str">
        <f>_xll.RssMarket("1321","高値")</f>
        <v/>
      </c>
      <c r="E303" s="1">
        <v>68010</v>
      </c>
      <c r="F303" s="1">
        <v>71190</v>
      </c>
      <c r="G303" s="1">
        <v>70160</v>
      </c>
      <c r="H303" s="1">
        <v>71490</v>
      </c>
      <c r="I303" s="1">
        <v>71770</v>
      </c>
      <c r="J303" s="1">
        <v>70850</v>
      </c>
      <c r="K303" s="1">
        <v>70880</v>
      </c>
      <c r="L303" s="1">
        <v>72500</v>
      </c>
      <c r="M303" s="1">
        <v>73660</v>
      </c>
      <c r="N303" s="1">
        <v>73140</v>
      </c>
      <c r="O303" s="1">
        <v>73180</v>
      </c>
      <c r="P303" s="1">
        <v>75310</v>
      </c>
      <c r="Q303" s="1">
        <v>73960</v>
      </c>
      <c r="R303" s="1">
        <v>72950</v>
      </c>
      <c r="S303" s="1">
        <v>74610</v>
      </c>
      <c r="T303" s="1">
        <v>75920</v>
      </c>
      <c r="U303" s="1">
        <v>73460</v>
      </c>
      <c r="V303" s="1">
        <v>76090</v>
      </c>
      <c r="W303" s="1">
        <v>76330</v>
      </c>
      <c r="X303" s="1">
        <v>75500</v>
      </c>
      <c r="Y303" s="1">
        <v>74690</v>
      </c>
      <c r="Z303" s="1">
        <v>73360</v>
      </c>
      <c r="AA303" s="1">
        <v>73210</v>
      </c>
      <c r="AB303" s="1">
        <v>72880</v>
      </c>
      <c r="AC303" s="1">
        <v>70150</v>
      </c>
      <c r="AD303" s="1">
        <v>67390</v>
      </c>
      <c r="AE303" s="1">
        <v>68120</v>
      </c>
      <c r="AF303" s="1">
        <v>67760</v>
      </c>
      <c r="AG303" s="1">
        <v>70100</v>
      </c>
      <c r="AH303" s="1">
        <v>71040</v>
      </c>
      <c r="AI303" s="1">
        <v>71950</v>
      </c>
      <c r="AJ303" s="1">
        <v>70300</v>
      </c>
      <c r="AK303" s="1">
        <v>69580</v>
      </c>
      <c r="AL303" s="1">
        <v>68180</v>
      </c>
      <c r="AM303" s="1">
        <v>69540</v>
      </c>
      <c r="AN303" s="1">
        <v>68410</v>
      </c>
      <c r="AO303" s="1">
        <v>66360</v>
      </c>
      <c r="AP303" s="1">
        <v>64900</v>
      </c>
      <c r="AQ303" s="1">
        <v>63270</v>
      </c>
      <c r="AR303" s="1">
        <v>64320</v>
      </c>
      <c r="AS303" s="1">
        <v>64640</v>
      </c>
      <c r="AT303" s="1">
        <v>66150</v>
      </c>
      <c r="AU303" s="1">
        <v>66740</v>
      </c>
      <c r="AV303" s="1">
        <v>66260</v>
      </c>
      <c r="AW303" s="1">
        <v>66130</v>
      </c>
      <c r="AX303" s="1">
        <v>66400</v>
      </c>
      <c r="AY303" s="1">
        <v>65630</v>
      </c>
      <c r="AZ303" s="1">
        <v>66110</v>
      </c>
      <c r="BA303" s="1">
        <v>62470</v>
      </c>
      <c r="BB303" s="1">
        <v>62240</v>
      </c>
      <c r="BC303" s="1">
        <v>63230</v>
      </c>
      <c r="BD303" s="1">
        <v>63690</v>
      </c>
      <c r="BE303" s="1">
        <v>62480</v>
      </c>
      <c r="BF303" s="1">
        <v>62950</v>
      </c>
      <c r="BG303" s="1">
        <v>62440</v>
      </c>
      <c r="BH303" s="1">
        <v>62350</v>
      </c>
      <c r="BI303" s="1">
        <v>61900</v>
      </c>
      <c r="BJ303" s="1">
        <v>62130</v>
      </c>
      <c r="BK303" s="1">
        <v>62430</v>
      </c>
      <c r="BL303" s="1">
        <v>61360</v>
      </c>
      <c r="BM303" s="1">
        <v>60640</v>
      </c>
      <c r="BN303" s="1">
        <v>59370</v>
      </c>
      <c r="BO303" s="1">
        <v>59640</v>
      </c>
      <c r="BP303" s="1">
        <v>59000</v>
      </c>
    </row>
    <row r="304" spans="1:68">
      <c r="A304" s="65" t="s">
        <v>884</v>
      </c>
      <c r="B304" s="1" t="str">
        <f>銘柄管理!C304</f>
        <v/>
      </c>
      <c r="C304" s="1" t="str">
        <f>_xll.RssMarket("1944","高値")</f>
        <v/>
      </c>
      <c r="E304" s="1">
        <v>7347</v>
      </c>
      <c r="F304" s="1">
        <v>7564</v>
      </c>
      <c r="G304" s="1">
        <v>7450</v>
      </c>
      <c r="H304" s="1">
        <v>7675</v>
      </c>
      <c r="I304" s="1">
        <v>7880</v>
      </c>
      <c r="J304" s="1">
        <v>7883</v>
      </c>
      <c r="K304" s="1">
        <v>8130</v>
      </c>
      <c r="L304" s="1">
        <v>8246</v>
      </c>
      <c r="M304" s="1">
        <v>8107</v>
      </c>
      <c r="N304" s="1">
        <v>7980</v>
      </c>
      <c r="O304" s="1">
        <v>7930</v>
      </c>
      <c r="P304" s="1">
        <v>8077</v>
      </c>
      <c r="Q304" s="1">
        <v>8094</v>
      </c>
      <c r="R304" s="1">
        <v>8189</v>
      </c>
      <c r="S304" s="1">
        <v>8263</v>
      </c>
      <c r="T304" s="1">
        <v>8500</v>
      </c>
      <c r="U304" s="1">
        <v>8412</v>
      </c>
      <c r="V304" s="1">
        <v>8572</v>
      </c>
      <c r="W304" s="1">
        <v>8382</v>
      </c>
      <c r="X304" s="1">
        <v>8317</v>
      </c>
      <c r="Y304" s="1">
        <v>8060</v>
      </c>
      <c r="Z304" s="1">
        <v>7829</v>
      </c>
      <c r="AA304" s="1">
        <v>7375</v>
      </c>
      <c r="AB304" s="1">
        <v>7342</v>
      </c>
      <c r="AC304" s="1">
        <v>6982</v>
      </c>
      <c r="AD304" s="1">
        <v>6844</v>
      </c>
      <c r="AE304" s="1">
        <v>7214</v>
      </c>
      <c r="AF304" s="1">
        <v>6816</v>
      </c>
      <c r="AG304" s="1">
        <v>6672</v>
      </c>
      <c r="AH304" s="1">
        <v>6608</v>
      </c>
      <c r="AI304" s="1">
        <v>6804</v>
      </c>
      <c r="AJ304" s="1">
        <v>6817</v>
      </c>
      <c r="AK304" s="1">
        <v>7261</v>
      </c>
      <c r="AL304" s="1">
        <v>7305</v>
      </c>
      <c r="AM304" s="1">
        <v>7342</v>
      </c>
      <c r="AN304" s="1">
        <v>7244</v>
      </c>
      <c r="AO304" s="1">
        <v>6930</v>
      </c>
      <c r="AP304" s="1">
        <v>6948</v>
      </c>
      <c r="AQ304" s="1">
        <v>7050</v>
      </c>
      <c r="AR304" s="1">
        <v>7050</v>
      </c>
      <c r="AS304" s="1">
        <v>7440</v>
      </c>
      <c r="AT304" s="1">
        <v>7815</v>
      </c>
      <c r="AU304" s="1">
        <v>8005</v>
      </c>
      <c r="AV304" s="1">
        <v>8207</v>
      </c>
      <c r="AW304" s="1">
        <v>8422</v>
      </c>
      <c r="AX304" s="1">
        <v>8386</v>
      </c>
      <c r="AY304" s="1">
        <v>8422</v>
      </c>
      <c r="AZ304" s="1">
        <v>8525</v>
      </c>
      <c r="BA304" s="1">
        <v>8324</v>
      </c>
      <c r="BB304" s="1">
        <v>8382</v>
      </c>
      <c r="BC304" s="1">
        <v>7932</v>
      </c>
      <c r="BD304" s="1">
        <v>7094</v>
      </c>
      <c r="BE304" s="1">
        <v>7241</v>
      </c>
      <c r="BF304" s="1">
        <v>7189</v>
      </c>
      <c r="BG304" s="1">
        <v>7042</v>
      </c>
      <c r="BH304" s="1">
        <v>7124</v>
      </c>
      <c r="BI304" s="1">
        <v>7196</v>
      </c>
      <c r="BJ304" s="1">
        <v>7150</v>
      </c>
      <c r="BK304" s="1">
        <v>7148</v>
      </c>
      <c r="BL304" s="1">
        <v>7369</v>
      </c>
      <c r="BM304" s="1">
        <v>7498</v>
      </c>
      <c r="BN304" s="1">
        <v>7449</v>
      </c>
      <c r="BO304" s="1">
        <v>7500</v>
      </c>
      <c r="BP304" s="1">
        <v>7520</v>
      </c>
    </row>
    <row r="305" spans="1:65">
      <c r="A305" s="65" t="s">
        <v>1144</v>
      </c>
      <c r="B305" s="1" t="str">
        <f>銘柄管理!C305</f>
        <v/>
      </c>
      <c r="C305" s="1" t="str">
        <f>_xll.RssMarket("7532","高値")</f>
        <v/>
      </c>
      <c r="E305" s="1">
        <v>903.9</v>
      </c>
      <c r="F305" s="1">
        <v>874.5</v>
      </c>
      <c r="G305" s="1">
        <v>890.6</v>
      </c>
      <c r="H305" s="1">
        <v>873.5</v>
      </c>
      <c r="I305" s="1">
        <v>867.6</v>
      </c>
      <c r="J305" s="1">
        <v>877.8</v>
      </c>
      <c r="K305" s="1">
        <v>882.6</v>
      </c>
      <c r="L305" s="1">
        <v>869.8</v>
      </c>
      <c r="M305" s="1">
        <v>852.7</v>
      </c>
      <c r="N305" s="1">
        <v>847.6</v>
      </c>
      <c r="O305" s="1">
        <v>829.5</v>
      </c>
      <c r="P305" s="1">
        <v>818.1</v>
      </c>
      <c r="Q305" s="1">
        <v>854</v>
      </c>
      <c r="R305" s="1">
        <v>846.4</v>
      </c>
      <c r="S305" s="1">
        <v>828</v>
      </c>
      <c r="T305" s="1">
        <v>831</v>
      </c>
      <c r="U305" s="1">
        <v>832</v>
      </c>
      <c r="V305" s="1">
        <v>824.4</v>
      </c>
      <c r="W305" s="1">
        <v>822.3</v>
      </c>
      <c r="X305" s="1">
        <v>828.7</v>
      </c>
      <c r="Y305" s="1">
        <v>845.4</v>
      </c>
      <c r="Z305" s="1">
        <v>852.4</v>
      </c>
      <c r="AA305" s="1">
        <v>836.3</v>
      </c>
      <c r="AB305" s="1">
        <v>858.6</v>
      </c>
      <c r="AC305" s="1">
        <v>869.7</v>
      </c>
      <c r="AD305" s="1">
        <v>893.5</v>
      </c>
      <c r="AE305" s="1">
        <v>851.8</v>
      </c>
      <c r="AF305" s="1">
        <v>856</v>
      </c>
      <c r="AG305" s="1">
        <v>843.7</v>
      </c>
      <c r="AH305" s="1">
        <v>844.4</v>
      </c>
      <c r="AI305" s="1">
        <v>829.4</v>
      </c>
      <c r="AJ305" s="1">
        <v>833.5</v>
      </c>
      <c r="AK305" s="1">
        <v>907.4</v>
      </c>
      <c r="AL305" s="1">
        <v>861.9</v>
      </c>
      <c r="AM305" s="1">
        <v>819.4</v>
      </c>
      <c r="AN305" s="1">
        <v>865</v>
      </c>
      <c r="AO305" s="1">
        <v>878.4</v>
      </c>
      <c r="AP305" s="1">
        <v>873.2</v>
      </c>
      <c r="AQ305" s="1">
        <v>895.5</v>
      </c>
      <c r="AR305" s="1">
        <v>889.8</v>
      </c>
      <c r="AS305" s="1">
        <v>888.5</v>
      </c>
      <c r="AT305" s="1">
        <v>871.3</v>
      </c>
      <c r="AU305" s="1">
        <v>875.2</v>
      </c>
      <c r="AV305" s="1">
        <v>895.3</v>
      </c>
      <c r="AW305" s="1">
        <v>903.5</v>
      </c>
      <c r="AX305" s="1">
        <v>915.5</v>
      </c>
      <c r="AY305" s="1">
        <v>897.8</v>
      </c>
      <c r="AZ305" s="1">
        <v>892.2</v>
      </c>
      <c r="BA305" s="1">
        <v>899.9</v>
      </c>
      <c r="BB305" s="1">
        <v>890.3</v>
      </c>
      <c r="BC305" s="1">
        <v>910.5</v>
      </c>
      <c r="BD305" s="1">
        <v>920.6</v>
      </c>
      <c r="BE305" s="1">
        <v>921.6</v>
      </c>
      <c r="BF305" s="1">
        <v>945.7</v>
      </c>
      <c r="BG305" s="1">
        <v>956.5</v>
      </c>
      <c r="BH305" s="1">
        <v>962.3</v>
      </c>
      <c r="BI305" s="1">
        <v>959.3</v>
      </c>
      <c r="BJ305" s="1">
        <v>963.1</v>
      </c>
      <c r="BK305" s="1">
        <v>972.2</v>
      </c>
      <c r="BL305" s="1">
        <v>971.9</v>
      </c>
      <c r="BM305" s="1">
        <v>964.5</v>
      </c>
    </row>
    <row r="306" spans="1:65">
      <c r="A306" s="67"/>
    </row>
    <row r="307" spans="1:65">
      <c r="A307" s="67"/>
    </row>
    <row r="308" spans="1:65">
      <c r="A308" s="67"/>
    </row>
    <row r="309" spans="1:65">
      <c r="A309" s="67"/>
    </row>
    <row r="310" spans="1:65">
      <c r="A310" s="67"/>
    </row>
    <row r="311" spans="1:65">
      <c r="A311" s="67"/>
    </row>
    <row r="312" spans="1:65">
      <c r="A312" s="67"/>
    </row>
    <row r="313" spans="1:65">
      <c r="A313" s="67"/>
    </row>
    <row r="314" spans="1:65">
      <c r="A314" s="67"/>
    </row>
    <row r="315" spans="1:65">
      <c r="A315" s="67"/>
    </row>
    <row r="316" spans="1:65">
      <c r="A316" s="67"/>
    </row>
    <row r="317" spans="1:65">
      <c r="A317" s="67"/>
    </row>
    <row r="318" spans="1:65">
      <c r="A318" s="67"/>
    </row>
    <row r="319" spans="1:65">
      <c r="A319" s="67"/>
    </row>
    <row r="320" spans="1:65">
      <c r="A320" s="67"/>
    </row>
    <row r="321" spans="1:1">
      <c r="A321" s="67"/>
    </row>
    <row r="322" spans="1:1">
      <c r="A322" s="67"/>
    </row>
    <row r="323" spans="1:1">
      <c r="A323" s="67"/>
    </row>
    <row r="324" spans="1:1">
      <c r="A324" s="67"/>
    </row>
    <row r="325" spans="1:1">
      <c r="A325" s="67"/>
    </row>
    <row r="326" spans="1:1">
      <c r="A326" s="67"/>
    </row>
    <row r="327" spans="1:1">
      <c r="A327" s="67"/>
    </row>
    <row r="328" spans="1:1">
      <c r="A328" s="67"/>
    </row>
    <row r="329" spans="1:1">
      <c r="A329" s="67"/>
    </row>
    <row r="330" spans="1:1">
      <c r="A330" s="67"/>
    </row>
    <row r="331" spans="1:1">
      <c r="A331" s="67"/>
    </row>
    <row r="332" spans="1:1">
      <c r="A332" s="67"/>
    </row>
    <row r="333" spans="1:1">
      <c r="A333" s="67"/>
    </row>
    <row r="334" spans="1:1">
      <c r="A334" s="67"/>
    </row>
    <row r="335" spans="1:1">
      <c r="A335" s="67"/>
    </row>
    <row r="336" spans="1:1">
      <c r="A336" s="67"/>
    </row>
    <row r="337" spans="1:1">
      <c r="A337" s="67"/>
    </row>
    <row r="338" spans="1:1">
      <c r="A338" s="67"/>
    </row>
    <row r="339" spans="1:1">
      <c r="A339" s="67"/>
    </row>
    <row r="340" spans="1:1">
      <c r="A340" s="67"/>
    </row>
    <row r="341" spans="1:1">
      <c r="A341" s="67"/>
    </row>
    <row r="342" spans="1:1">
      <c r="A342" s="67"/>
    </row>
    <row r="343" spans="1:1">
      <c r="A343" s="67"/>
    </row>
    <row r="344" spans="1:1">
      <c r="A344" s="67"/>
    </row>
    <row r="345" spans="1:1">
      <c r="A345" s="67"/>
    </row>
    <row r="346" spans="1:1">
      <c r="A346" s="67"/>
    </row>
    <row r="347" spans="1:1">
      <c r="A347" s="67"/>
    </row>
    <row r="348" spans="1:1">
      <c r="A348" s="67"/>
    </row>
    <row r="349" spans="1:1">
      <c r="A349" s="67"/>
    </row>
    <row r="350" spans="1:1">
      <c r="A350" s="67"/>
    </row>
    <row r="351" spans="1:1">
      <c r="A351" s="67"/>
    </row>
    <row r="352" spans="1:1">
      <c r="A352" s="67"/>
    </row>
    <row r="353" spans="1:1">
      <c r="A353" s="67"/>
    </row>
    <row r="354" spans="1:1">
      <c r="A354" s="67"/>
    </row>
    <row r="355" spans="1:1">
      <c r="A355" s="67"/>
    </row>
    <row r="356" spans="1:1">
      <c r="A356" s="67"/>
    </row>
    <row r="357" spans="1:1">
      <c r="A357" s="67"/>
    </row>
    <row r="358" spans="1:1">
      <c r="A358" s="67"/>
    </row>
    <row r="359" spans="1:1">
      <c r="A359" s="67"/>
    </row>
    <row r="360" spans="1:1">
      <c r="A360" s="67"/>
    </row>
    <row r="361" spans="1:1">
      <c r="A361" s="67"/>
    </row>
    <row r="362" spans="1:1">
      <c r="A362" s="67"/>
    </row>
    <row r="363" spans="1:1">
      <c r="A363" s="67"/>
    </row>
    <row r="364" spans="1:1">
      <c r="A364" s="67"/>
    </row>
    <row r="365" spans="1:1">
      <c r="A365" s="67"/>
    </row>
    <row r="366" spans="1:1">
      <c r="A366" s="67"/>
    </row>
    <row r="367" spans="1:1">
      <c r="A367" s="67"/>
    </row>
    <row r="368" spans="1:1">
      <c r="A368" s="67"/>
    </row>
    <row r="369" spans="1:1">
      <c r="A369" s="67"/>
    </row>
    <row r="370" spans="1:1">
      <c r="A370" s="67"/>
    </row>
    <row r="371" spans="1:1">
      <c r="A371" s="67"/>
    </row>
    <row r="372" spans="1:1">
      <c r="A372" s="67"/>
    </row>
    <row r="373" spans="1:1">
      <c r="A373" s="67"/>
    </row>
    <row r="374" spans="1:1">
      <c r="A374" s="67"/>
    </row>
    <row r="375" spans="1:1">
      <c r="A375" s="67"/>
    </row>
    <row r="376" spans="1:1">
      <c r="A376" s="67"/>
    </row>
    <row r="377" spans="1:1">
      <c r="A377" s="67"/>
    </row>
    <row r="378" spans="1:1">
      <c r="A378" s="67"/>
    </row>
    <row r="379" spans="1:1">
      <c r="A379" s="67"/>
    </row>
    <row r="380" spans="1:1">
      <c r="A380" s="67"/>
    </row>
    <row r="381" spans="1:1">
      <c r="A381" s="67"/>
    </row>
    <row r="382" spans="1:1">
      <c r="A382" s="67"/>
    </row>
    <row r="383" spans="1:1">
      <c r="A383" s="67"/>
    </row>
    <row r="384" spans="1:1">
      <c r="A384" s="67"/>
    </row>
    <row r="385" spans="1:1">
      <c r="A385" s="67"/>
    </row>
    <row r="386" spans="1:1">
      <c r="A386" s="67"/>
    </row>
    <row r="387" spans="1:1">
      <c r="A387" s="67"/>
    </row>
    <row r="388" spans="1:1">
      <c r="A388" s="67"/>
    </row>
    <row r="389" spans="1:1">
      <c r="A389" s="67"/>
    </row>
    <row r="390" spans="1:1">
      <c r="A390" s="67"/>
    </row>
    <row r="391" spans="1:1">
      <c r="A391" s="67"/>
    </row>
    <row r="392" spans="1:1">
      <c r="A392" s="67"/>
    </row>
    <row r="393" spans="1:1">
      <c r="A393" s="67"/>
    </row>
    <row r="394" spans="1:1">
      <c r="A394" s="67"/>
    </row>
    <row r="395" spans="1:1">
      <c r="A395" s="67"/>
    </row>
    <row r="396" spans="1:1">
      <c r="A396" s="67"/>
    </row>
    <row r="397" spans="1:1">
      <c r="A397" s="67"/>
    </row>
    <row r="398" spans="1:1">
      <c r="A398" s="67"/>
    </row>
    <row r="399" spans="1:1">
      <c r="A399" s="67"/>
    </row>
    <row r="400" spans="1:1">
      <c r="A400" s="67"/>
    </row>
    <row r="401" spans="1:1">
      <c r="A401" s="67"/>
    </row>
    <row r="402" spans="1:1">
      <c r="A402" s="67"/>
    </row>
    <row r="403" spans="1:1">
      <c r="A403" s="67"/>
    </row>
    <row r="404" spans="1:1">
      <c r="A404" s="67"/>
    </row>
    <row r="405" spans="1:1">
      <c r="A405" s="67"/>
    </row>
    <row r="406" spans="1:1">
      <c r="A406" s="67"/>
    </row>
    <row r="407" spans="1:1">
      <c r="A407" s="67"/>
    </row>
    <row r="408" spans="1:1">
      <c r="A408" s="67"/>
    </row>
    <row r="409" spans="1:1">
      <c r="A409" s="67"/>
    </row>
    <row r="410" spans="1:1">
      <c r="A410" s="67"/>
    </row>
    <row r="411" spans="1:1">
      <c r="A411" s="67"/>
    </row>
    <row r="412" spans="1:1">
      <c r="A412" s="67"/>
    </row>
    <row r="413" spans="1:1">
      <c r="A413" s="67"/>
    </row>
    <row r="414" spans="1:1">
      <c r="A414" s="67"/>
    </row>
    <row r="415" spans="1:1">
      <c r="A415" s="67"/>
    </row>
    <row r="416" spans="1:1">
      <c r="A416" s="67"/>
    </row>
    <row r="417" spans="1:1">
      <c r="A417" s="67"/>
    </row>
    <row r="418" spans="1:1">
      <c r="A418" s="67"/>
    </row>
    <row r="419" spans="1:1">
      <c r="A419" s="67"/>
    </row>
    <row r="420" spans="1:1">
      <c r="A420" s="67"/>
    </row>
    <row r="421" spans="1:1">
      <c r="A421" s="67"/>
    </row>
    <row r="422" spans="1:1">
      <c r="A422" s="67"/>
    </row>
    <row r="423" spans="1:1">
      <c r="A423" s="67"/>
    </row>
    <row r="424" spans="1:1">
      <c r="A424" s="67"/>
    </row>
    <row r="425" spans="1:1">
      <c r="A425" s="67"/>
    </row>
    <row r="426" spans="1:1">
      <c r="A426" s="67"/>
    </row>
    <row r="427" spans="1:1">
      <c r="A427" s="67"/>
    </row>
    <row r="428" spans="1:1">
      <c r="A428" s="67"/>
    </row>
    <row r="429" spans="1:1">
      <c r="A429" s="67"/>
    </row>
    <row r="430" spans="1:1">
      <c r="A430" s="67"/>
    </row>
    <row r="431" spans="1:1">
      <c r="A431" s="67"/>
    </row>
    <row r="432" spans="1:1">
      <c r="A432" s="67"/>
    </row>
    <row r="433" spans="1:1">
      <c r="A433" s="67"/>
    </row>
    <row r="434" spans="1:1">
      <c r="A434" s="67"/>
    </row>
    <row r="435" spans="1:1">
      <c r="A435" s="67"/>
    </row>
    <row r="436" spans="1:1">
      <c r="A436" s="67"/>
    </row>
    <row r="437" spans="1:1">
      <c r="A437" s="67"/>
    </row>
    <row r="438" spans="1:1">
      <c r="A438" s="67"/>
    </row>
    <row r="439" spans="1:1">
      <c r="A439" s="67"/>
    </row>
    <row r="440" spans="1:1">
      <c r="A440" s="67"/>
    </row>
    <row r="441" spans="1:1">
      <c r="A441" s="67"/>
    </row>
    <row r="442" spans="1:1">
      <c r="A442" s="67"/>
    </row>
    <row r="443" spans="1:1">
      <c r="A443" s="67"/>
    </row>
    <row r="444" spans="1:1">
      <c r="A444" s="67"/>
    </row>
    <row r="445" spans="1:1">
      <c r="A445" s="67"/>
    </row>
    <row r="446" spans="1:1">
      <c r="A446" s="67"/>
    </row>
    <row r="447" spans="1:1">
      <c r="A447" s="67"/>
    </row>
    <row r="448" spans="1:1">
      <c r="A448" s="67"/>
    </row>
    <row r="449" spans="1:1">
      <c r="A449" s="67"/>
    </row>
    <row r="450" spans="1:1">
      <c r="A450" s="67"/>
    </row>
    <row r="451" spans="1:1">
      <c r="A451" s="67"/>
    </row>
    <row r="452" spans="1:1">
      <c r="A452" s="67"/>
    </row>
    <row r="453" spans="1:1">
      <c r="A453" s="67"/>
    </row>
    <row r="454" spans="1:1">
      <c r="A454" s="67"/>
    </row>
    <row r="455" spans="1:1">
      <c r="A455" s="67"/>
    </row>
    <row r="456" spans="1:1">
      <c r="A456" s="67"/>
    </row>
    <row r="457" spans="1:1">
      <c r="A457" s="67"/>
    </row>
    <row r="458" spans="1:1">
      <c r="A458" s="67"/>
    </row>
    <row r="459" spans="1:1">
      <c r="A459" s="67"/>
    </row>
    <row r="460" spans="1:1">
      <c r="A460" s="67"/>
    </row>
    <row r="461" spans="1:1">
      <c r="A461" s="67"/>
    </row>
    <row r="462" spans="1:1">
      <c r="A462" s="67"/>
    </row>
    <row r="463" spans="1:1">
      <c r="A463" s="67"/>
    </row>
    <row r="464" spans="1:1">
      <c r="A464" s="67"/>
    </row>
    <row r="465" spans="1:1">
      <c r="A465" s="67"/>
    </row>
    <row r="466" spans="1:1">
      <c r="A466" s="67"/>
    </row>
    <row r="467" spans="1:1">
      <c r="A467" s="67"/>
    </row>
    <row r="468" spans="1:1">
      <c r="A468" s="67"/>
    </row>
    <row r="469" spans="1:1">
      <c r="A469" s="67"/>
    </row>
    <row r="470" spans="1:1">
      <c r="A470" s="67"/>
    </row>
    <row r="471" spans="1:1">
      <c r="A471" s="67"/>
    </row>
    <row r="472" spans="1:1">
      <c r="A472" s="67"/>
    </row>
    <row r="473" spans="1:1">
      <c r="A473" s="67"/>
    </row>
    <row r="474" spans="1:1">
      <c r="A474" s="67"/>
    </row>
    <row r="475" spans="1:1">
      <c r="A475" s="67"/>
    </row>
    <row r="476" spans="1:1">
      <c r="A476" s="67"/>
    </row>
    <row r="477" spans="1:1">
      <c r="A477" s="67"/>
    </row>
    <row r="478" spans="1:1">
      <c r="A478" s="67"/>
    </row>
    <row r="479" spans="1:1">
      <c r="A479" s="67"/>
    </row>
    <row r="480" spans="1:1">
      <c r="A480" s="67"/>
    </row>
    <row r="481" spans="1:1">
      <c r="A481" s="67"/>
    </row>
    <row r="482" spans="1:1">
      <c r="A482" s="67"/>
    </row>
    <row r="483" spans="1:1">
      <c r="A483" s="67"/>
    </row>
    <row r="484" spans="1:1">
      <c r="A484" s="67"/>
    </row>
    <row r="485" spans="1:1">
      <c r="A485" s="67"/>
    </row>
    <row r="486" spans="1:1">
      <c r="A486" s="67"/>
    </row>
    <row r="487" spans="1:1">
      <c r="A487" s="67"/>
    </row>
    <row r="488" spans="1:1">
      <c r="A488" s="67"/>
    </row>
    <row r="489" spans="1:1">
      <c r="A489" s="67"/>
    </row>
    <row r="490" spans="1:1">
      <c r="A490" s="67"/>
    </row>
    <row r="491" spans="1:1">
      <c r="A491" s="67"/>
    </row>
    <row r="492" spans="1:1">
      <c r="A492" s="67"/>
    </row>
    <row r="493" spans="1:1">
      <c r="A493" s="67"/>
    </row>
    <row r="494" spans="1:1">
      <c r="A494" s="67"/>
    </row>
    <row r="495" spans="1:1">
      <c r="A495" s="67"/>
    </row>
    <row r="496" spans="1:1">
      <c r="A496" s="67"/>
    </row>
    <row r="497" spans="1:1">
      <c r="A497" s="67"/>
    </row>
    <row r="498" spans="1:1">
      <c r="A498" s="67"/>
    </row>
    <row r="499" spans="1:1">
      <c r="A499" s="67"/>
    </row>
    <row r="500" spans="1:1">
      <c r="A500" s="67"/>
    </row>
    <row r="501" spans="1:1">
      <c r="A501" s="67"/>
    </row>
    <row r="502" spans="1:1">
      <c r="A502" s="67"/>
    </row>
    <row r="503" spans="1:1">
      <c r="A503" s="67"/>
    </row>
    <row r="504" spans="1:1">
      <c r="A504" s="67"/>
    </row>
    <row r="505" spans="1:1">
      <c r="A505" s="67"/>
    </row>
  </sheetData>
  <sheetProtection algorithmName="SHA-512" hashValue="vfaw1ngP0P9dnLTOWY7d6hMiBjZdzsdNcRkdctUOWyIEJC3V4ywWiwmfhDr4CvoyiTzeZS6h8LAQ/sKa5eeI6Q==" saltValue="7KOykSpnz41V4BVXhhs6Nw==" spinCount="100000" sheet="1" objects="1" scenarios="1"/>
  <mergeCells count="1">
    <mergeCell ref="A1:BL1"/>
  </mergeCells>
  <phoneticPr fontId="16"/>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6" tint="-0.499984740745262"/>
  </sheetPr>
  <dimension ref="A1:BP505"/>
  <sheetViews>
    <sheetView showGridLines="0" tabSelected="1" workbookViewId="0">
      <pane xSplit="4" ySplit="4" topLeftCell="E14" activePane="bottomRight" state="frozen"/>
      <selection activeCell="C162" sqref="C162"/>
      <selection pane="topRight" activeCell="C162" sqref="C162"/>
      <selection pane="bottomLeft" activeCell="C162" sqref="C162"/>
      <selection pane="bottomRight" activeCell="I12" sqref="I12"/>
    </sheetView>
  </sheetViews>
  <sheetFormatPr defaultColWidth="9" defaultRowHeight="13.2"/>
  <cols>
    <col min="1" max="1" width="9" style="1" customWidth="1"/>
    <col min="2" max="2" width="18" style="1" customWidth="1"/>
    <col min="3" max="4" width="10" style="1" customWidth="1"/>
    <col min="5" max="64" width="7" style="1" customWidth="1"/>
    <col min="65" max="65" width="9" style="1" customWidth="1"/>
    <col min="66" max="16384" width="9" style="1"/>
  </cols>
  <sheetData>
    <row r="1" spans="1:68" ht="30" customHeight="1">
      <c r="A1" s="544" t="s">
        <v>0</v>
      </c>
      <c r="B1" s="526"/>
      <c r="C1" s="526"/>
      <c r="D1" s="526"/>
      <c r="E1" s="526"/>
      <c r="F1" s="526"/>
      <c r="G1" s="526"/>
      <c r="H1" s="526"/>
      <c r="I1" s="526"/>
      <c r="J1" s="526"/>
      <c r="K1" s="526"/>
      <c r="L1" s="526"/>
      <c r="M1" s="526"/>
      <c r="N1" s="526"/>
      <c r="O1" s="526"/>
      <c r="P1" s="526"/>
      <c r="Q1" s="526"/>
      <c r="R1" s="526"/>
      <c r="S1" s="526"/>
      <c r="T1" s="526"/>
      <c r="U1" s="526"/>
      <c r="V1" s="526"/>
      <c r="W1" s="526"/>
      <c r="X1" s="526"/>
      <c r="Y1" s="526"/>
      <c r="Z1" s="526"/>
      <c r="AA1" s="526"/>
      <c r="AB1" s="526"/>
      <c r="AC1" s="526"/>
      <c r="AD1" s="526"/>
      <c r="AE1" s="526"/>
      <c r="AF1" s="526"/>
      <c r="AG1" s="526"/>
      <c r="AH1" s="526"/>
      <c r="AI1" s="526"/>
      <c r="AJ1" s="526"/>
      <c r="AK1" s="526"/>
      <c r="AL1" s="526"/>
      <c r="AM1" s="526"/>
      <c r="AN1" s="526"/>
      <c r="AO1" s="526"/>
      <c r="AP1" s="526"/>
      <c r="AQ1" s="526"/>
      <c r="AR1" s="526"/>
      <c r="AS1" s="526"/>
      <c r="AT1" s="526"/>
      <c r="AU1" s="526"/>
      <c r="AV1" s="526"/>
      <c r="AW1" s="526"/>
      <c r="AX1" s="526"/>
      <c r="AY1" s="526"/>
      <c r="AZ1" s="526"/>
      <c r="BA1" s="526"/>
      <c r="BB1" s="526"/>
      <c r="BC1" s="526"/>
      <c r="BD1" s="526"/>
      <c r="BE1" s="526"/>
      <c r="BF1" s="526"/>
      <c r="BG1" s="526"/>
      <c r="BH1" s="526"/>
      <c r="BI1" s="526"/>
      <c r="BJ1" s="526"/>
      <c r="BK1" s="526"/>
      <c r="BL1" s="526"/>
    </row>
    <row r="2" spans="1:68" ht="18" customHeight="1">
      <c r="A2" s="186" t="s">
        <v>1</v>
      </c>
      <c r="B2" s="186" t="s">
        <v>2</v>
      </c>
      <c r="C2" s="186" t="s">
        <v>3</v>
      </c>
      <c r="D2" s="186" t="s">
        <v>4</v>
      </c>
      <c r="E2" s="187"/>
      <c r="F2" s="187"/>
      <c r="G2" s="187"/>
      <c r="H2" s="187"/>
      <c r="I2" s="187"/>
      <c r="J2" s="187"/>
      <c r="K2" s="187"/>
      <c r="L2" s="187"/>
      <c r="M2" s="187"/>
      <c r="N2" s="187"/>
      <c r="O2" s="187"/>
      <c r="P2" s="187"/>
      <c r="Q2" s="187"/>
      <c r="R2" s="187"/>
      <c r="S2" s="187"/>
      <c r="T2" s="187"/>
      <c r="U2" s="187"/>
      <c r="V2" s="187"/>
      <c r="W2" s="187"/>
      <c r="X2" s="187"/>
      <c r="Y2" s="187"/>
      <c r="Z2" s="187"/>
      <c r="AA2" s="187"/>
      <c r="AB2" s="187"/>
      <c r="AC2" s="187"/>
      <c r="AD2" s="187"/>
      <c r="AE2" s="187"/>
      <c r="AF2" s="187"/>
      <c r="AG2" s="187"/>
      <c r="AH2" s="187"/>
      <c r="AI2" s="187"/>
      <c r="AJ2" s="187"/>
      <c r="AK2" s="187"/>
      <c r="AL2" s="187"/>
      <c r="AM2" s="187"/>
      <c r="AN2" s="187"/>
      <c r="AO2" s="187"/>
      <c r="AP2" s="187"/>
      <c r="AQ2" s="187"/>
      <c r="AR2" s="187"/>
      <c r="AS2" s="187"/>
      <c r="AT2" s="187"/>
      <c r="AU2" s="187"/>
      <c r="AV2" s="187"/>
      <c r="AW2" s="187"/>
      <c r="AX2" s="187"/>
      <c r="AY2" s="187"/>
      <c r="AZ2" s="187"/>
      <c r="BA2" s="187"/>
      <c r="BB2" s="187"/>
      <c r="BC2" s="187"/>
      <c r="BD2" s="187"/>
      <c r="BE2" s="187"/>
      <c r="BF2" s="187"/>
      <c r="BG2" s="187"/>
      <c r="BH2" s="187"/>
      <c r="BI2" s="187"/>
      <c r="BJ2" s="187"/>
      <c r="BK2" s="187"/>
      <c r="BL2" s="187"/>
    </row>
    <row r="3" spans="1:68" ht="14.1" customHeight="1">
      <c r="A3" s="180" t="s">
        <v>5</v>
      </c>
      <c r="B3" s="181"/>
      <c r="C3" s="208" t="s">
        <v>6</v>
      </c>
      <c r="D3" s="181"/>
      <c r="E3" s="182">
        <v>46220</v>
      </c>
      <c r="F3" s="182">
        <v>46218</v>
      </c>
      <c r="G3" s="182">
        <v>46217</v>
      </c>
      <c r="H3" s="182">
        <v>46216</v>
      </c>
      <c r="I3" s="182">
        <v>46213</v>
      </c>
      <c r="J3" s="182">
        <v>46212</v>
      </c>
      <c r="K3" s="182">
        <v>46211</v>
      </c>
      <c r="L3" s="182">
        <v>46210</v>
      </c>
      <c r="M3" s="182">
        <v>46209</v>
      </c>
      <c r="N3" s="182">
        <v>46206</v>
      </c>
      <c r="O3" s="182">
        <v>46205</v>
      </c>
      <c r="P3" s="182">
        <v>46204</v>
      </c>
      <c r="Q3" s="182">
        <v>46203</v>
      </c>
      <c r="R3" s="182">
        <v>46202</v>
      </c>
      <c r="S3" s="182">
        <v>46199</v>
      </c>
      <c r="T3" s="182">
        <v>46198</v>
      </c>
      <c r="U3" s="182">
        <v>46197</v>
      </c>
      <c r="V3" s="182">
        <v>46196</v>
      </c>
      <c r="W3" s="182">
        <v>46195</v>
      </c>
      <c r="X3" s="182">
        <v>46192</v>
      </c>
      <c r="Y3" s="182">
        <v>46191</v>
      </c>
      <c r="Z3" s="182">
        <v>46190</v>
      </c>
      <c r="AA3" s="182">
        <v>46189</v>
      </c>
      <c r="AB3" s="182">
        <v>46188</v>
      </c>
      <c r="AC3" s="182">
        <v>46185</v>
      </c>
      <c r="AD3" s="182">
        <v>46184</v>
      </c>
      <c r="AE3" s="182">
        <v>46183</v>
      </c>
      <c r="AF3" s="182">
        <v>46181</v>
      </c>
      <c r="AG3" s="182">
        <v>46178</v>
      </c>
      <c r="AH3" s="182">
        <v>46177</v>
      </c>
      <c r="AI3" s="182">
        <v>46176</v>
      </c>
      <c r="AJ3" s="182">
        <v>46175</v>
      </c>
      <c r="AK3" s="182">
        <v>46171</v>
      </c>
      <c r="AL3" s="182">
        <v>46170</v>
      </c>
      <c r="AM3" s="182">
        <v>46169</v>
      </c>
      <c r="AN3" s="182">
        <v>46167</v>
      </c>
      <c r="AO3" s="182">
        <v>46164</v>
      </c>
      <c r="AP3" s="182">
        <v>46163</v>
      </c>
      <c r="AQ3" s="182">
        <v>46162</v>
      </c>
      <c r="AR3" s="182">
        <v>46161</v>
      </c>
      <c r="AS3" s="182">
        <v>46160</v>
      </c>
      <c r="AT3" s="182">
        <v>46157</v>
      </c>
      <c r="AU3" s="182">
        <v>46156</v>
      </c>
      <c r="AV3" s="182">
        <v>46155</v>
      </c>
      <c r="AW3" s="182">
        <v>46154</v>
      </c>
      <c r="AX3" s="182">
        <v>46153</v>
      </c>
      <c r="AY3" s="182">
        <v>46150</v>
      </c>
      <c r="AZ3" s="182">
        <v>46149</v>
      </c>
      <c r="BA3" s="182">
        <v>46143</v>
      </c>
      <c r="BB3" s="182">
        <v>46142</v>
      </c>
      <c r="BC3" s="182">
        <v>46140</v>
      </c>
      <c r="BD3" s="182">
        <v>46139</v>
      </c>
      <c r="BE3" s="182">
        <v>46136</v>
      </c>
      <c r="BF3" s="182">
        <v>46135</v>
      </c>
      <c r="BG3" s="182">
        <v>46134</v>
      </c>
      <c r="BH3" s="182">
        <v>46133</v>
      </c>
      <c r="BI3" s="182">
        <v>46132</v>
      </c>
      <c r="BJ3" s="182">
        <v>46129</v>
      </c>
      <c r="BK3" s="182">
        <v>46128</v>
      </c>
      <c r="BL3" s="182">
        <v>46127</v>
      </c>
      <c r="BM3" s="69">
        <v>46126</v>
      </c>
      <c r="BN3" s="69">
        <v>46125</v>
      </c>
      <c r="BO3" s="69">
        <v>46122</v>
      </c>
      <c r="BP3" s="69">
        <v>46121</v>
      </c>
    </row>
    <row r="4" spans="1:68" ht="18" customHeight="1">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88"/>
      <c r="BJ4" s="88"/>
      <c r="BK4" s="88"/>
      <c r="BL4" s="88"/>
    </row>
    <row r="5" spans="1:68" ht="15.9" customHeight="1">
      <c r="A5" s="27" t="str">
        <f>IF(銘柄管理!B5="","",銘柄管理!B5)</f>
        <v>TOPX</v>
      </c>
      <c r="B5" s="44" t="str">
        <f>IF(銘柄管理!C5="","",銘柄管理!C5)</f>
        <v/>
      </c>
      <c r="C5" s="45" t="str">
        <f t="array" ref="C5">_xll.RssIndexMarket("TOPX", "安値")</f>
        <v/>
      </c>
      <c r="D5" s="46" t="e">
        <f>IF(OR(C5=0,E5=0),"",C5-E5)</f>
        <v>#VALUE!</v>
      </c>
      <c r="E5" s="21">
        <v>3859.13</v>
      </c>
      <c r="F5" s="21">
        <v>4035.73</v>
      </c>
      <c r="G5" s="21">
        <v>3984.49</v>
      </c>
      <c r="H5" s="21">
        <v>3986.18</v>
      </c>
      <c r="I5" s="21">
        <v>4030.28</v>
      </c>
      <c r="J5" s="21">
        <v>3995.49</v>
      </c>
      <c r="K5" s="21">
        <v>4006.43</v>
      </c>
      <c r="L5" s="21">
        <v>4055.32</v>
      </c>
      <c r="M5" s="21">
        <v>4067.71</v>
      </c>
      <c r="N5" s="21">
        <v>4002.27</v>
      </c>
      <c r="O5" s="21">
        <v>4001.69</v>
      </c>
      <c r="P5" s="21">
        <v>3998.13</v>
      </c>
      <c r="Q5" s="21">
        <v>3972.49</v>
      </c>
      <c r="R5" s="21">
        <v>3940.45</v>
      </c>
      <c r="S5" s="21">
        <v>3931.13</v>
      </c>
      <c r="T5" s="21">
        <v>3987.08</v>
      </c>
      <c r="U5" s="21">
        <v>3938.94</v>
      </c>
      <c r="V5" s="21">
        <v>3990.38</v>
      </c>
      <c r="W5" s="21">
        <v>4028.61</v>
      </c>
      <c r="X5" s="21">
        <v>4018.69</v>
      </c>
      <c r="Y5" s="21">
        <v>4028.43</v>
      </c>
      <c r="Z5" s="21">
        <v>3989.06</v>
      </c>
      <c r="AA5" s="21">
        <v>3980.34</v>
      </c>
      <c r="AB5" s="21">
        <v>3927.17</v>
      </c>
      <c r="AC5" s="21">
        <v>3859.97</v>
      </c>
      <c r="AD5" s="21">
        <v>3766</v>
      </c>
      <c r="AE5" s="21">
        <v>3828.49</v>
      </c>
      <c r="AF5" s="21">
        <v>3820.06</v>
      </c>
      <c r="AG5" s="21">
        <v>3931.13</v>
      </c>
      <c r="AH5" s="21">
        <v>3932.81</v>
      </c>
      <c r="AI5" s="21">
        <v>3943.25</v>
      </c>
      <c r="AJ5" s="21">
        <v>3874.88</v>
      </c>
      <c r="AK5" s="21">
        <v>3914.77</v>
      </c>
      <c r="AL5" s="21">
        <v>3864.22</v>
      </c>
      <c r="AM5" s="21">
        <v>3917.49</v>
      </c>
      <c r="AN5" s="21">
        <v>3891.62</v>
      </c>
      <c r="AO5" s="21">
        <v>3855.77</v>
      </c>
      <c r="AP5" s="22">
        <v>3816.66</v>
      </c>
      <c r="AQ5" s="22">
        <v>3764.5</v>
      </c>
      <c r="AR5" s="22">
        <v>3833.64</v>
      </c>
      <c r="AS5" s="22">
        <v>3814.22</v>
      </c>
      <c r="AT5" s="22">
        <v>3830.54</v>
      </c>
      <c r="AU5" s="22">
        <v>3877.44</v>
      </c>
      <c r="AV5" s="22"/>
      <c r="AW5" s="22"/>
      <c r="AX5" s="22"/>
      <c r="AY5" s="22"/>
      <c r="AZ5" s="22"/>
      <c r="BA5" s="22"/>
      <c r="BB5" s="22"/>
      <c r="BC5" s="22"/>
      <c r="BD5" s="22"/>
      <c r="BE5" s="22"/>
      <c r="BF5" s="22"/>
      <c r="BG5" s="22"/>
      <c r="BH5" s="22"/>
      <c r="BI5" s="22"/>
      <c r="BJ5" s="22"/>
      <c r="BK5" s="22"/>
      <c r="BL5" s="22"/>
    </row>
    <row r="6" spans="1:68" ht="15.9" customHeight="1">
      <c r="A6" s="68" t="s">
        <v>7</v>
      </c>
      <c r="B6" s="44" t="s">
        <v>8</v>
      </c>
      <c r="C6" s="48" t="str">
        <f>_xll.RssMarket("5706","安値")</f>
        <v/>
      </c>
      <c r="D6" s="16" t="e">
        <f t="shared" ref="D6:D37" si="0">C6-E6</f>
        <v>#VALUE!</v>
      </c>
      <c r="E6" s="21">
        <v>28595</v>
      </c>
      <c r="F6" s="21">
        <v>33750</v>
      </c>
      <c r="G6" s="21">
        <v>33260</v>
      </c>
      <c r="H6" s="21">
        <v>34460</v>
      </c>
      <c r="I6" s="21">
        <v>36120</v>
      </c>
      <c r="J6" s="21">
        <v>34280</v>
      </c>
      <c r="K6" s="21">
        <v>33700</v>
      </c>
      <c r="L6" s="21">
        <v>35270</v>
      </c>
      <c r="M6" s="21">
        <v>37160</v>
      </c>
      <c r="N6" s="21">
        <v>36190</v>
      </c>
      <c r="O6" s="21">
        <v>38080</v>
      </c>
      <c r="P6" s="21">
        <v>42180</v>
      </c>
      <c r="Q6" s="21">
        <v>41700</v>
      </c>
      <c r="R6" s="21">
        <v>40360</v>
      </c>
      <c r="S6" s="21">
        <v>41950</v>
      </c>
      <c r="T6" s="21">
        <v>45440</v>
      </c>
      <c r="U6" s="21">
        <v>45110</v>
      </c>
      <c r="V6" s="21">
        <v>45730</v>
      </c>
      <c r="W6" s="21">
        <v>49650</v>
      </c>
      <c r="X6" s="21">
        <v>47110</v>
      </c>
      <c r="Y6" s="21">
        <v>46990</v>
      </c>
      <c r="Z6" s="21">
        <v>46090</v>
      </c>
      <c r="AA6" s="21">
        <v>44990</v>
      </c>
      <c r="AB6" s="21">
        <v>44610</v>
      </c>
      <c r="AC6" s="21">
        <v>40530</v>
      </c>
      <c r="AD6" s="21">
        <v>35040</v>
      </c>
      <c r="AE6" s="21">
        <v>36240</v>
      </c>
      <c r="AF6" s="21">
        <v>40040</v>
      </c>
      <c r="AG6" s="21">
        <v>42530</v>
      </c>
      <c r="AH6" s="21">
        <v>45100</v>
      </c>
      <c r="AI6" s="21">
        <v>47220</v>
      </c>
      <c r="AJ6" s="21">
        <v>48260</v>
      </c>
      <c r="AK6" s="21">
        <v>48810</v>
      </c>
      <c r="AL6" s="21">
        <v>47830</v>
      </c>
      <c r="AM6" s="21">
        <v>51630</v>
      </c>
      <c r="AN6" s="21">
        <v>50080</v>
      </c>
      <c r="AO6" s="21">
        <v>47080</v>
      </c>
      <c r="AP6" s="22">
        <v>44570</v>
      </c>
      <c r="AQ6" s="22">
        <v>43020</v>
      </c>
      <c r="AR6" s="22">
        <v>43900</v>
      </c>
      <c r="AS6" s="22">
        <v>45210</v>
      </c>
      <c r="AT6" s="22">
        <v>45280</v>
      </c>
      <c r="AU6" s="22">
        <v>47900</v>
      </c>
      <c r="AV6" s="22">
        <v>49810</v>
      </c>
      <c r="AW6" s="22">
        <v>49640</v>
      </c>
      <c r="AX6" s="22">
        <v>50300</v>
      </c>
      <c r="AY6" s="22">
        <v>47320</v>
      </c>
      <c r="AZ6" s="22">
        <v>45500</v>
      </c>
      <c r="BA6" s="22">
        <v>41050</v>
      </c>
      <c r="BB6" s="22">
        <v>40560</v>
      </c>
      <c r="BC6" s="22">
        <v>39380</v>
      </c>
      <c r="BD6" s="22">
        <v>37120</v>
      </c>
      <c r="BE6" s="22">
        <v>37620</v>
      </c>
      <c r="BF6" s="22">
        <v>36400</v>
      </c>
      <c r="BG6" s="22">
        <v>36230</v>
      </c>
      <c r="BH6" s="22">
        <v>35770</v>
      </c>
      <c r="BI6" s="22">
        <v>35400</v>
      </c>
      <c r="BJ6" s="22">
        <v>36390</v>
      </c>
      <c r="BK6" s="22">
        <v>35730</v>
      </c>
      <c r="BL6" s="22">
        <v>35380</v>
      </c>
      <c r="BM6" s="1">
        <v>37950</v>
      </c>
      <c r="BN6" s="1">
        <v>35470</v>
      </c>
      <c r="BO6" s="1">
        <v>34800</v>
      </c>
      <c r="BP6" s="1">
        <v>33740</v>
      </c>
    </row>
    <row r="7" spans="1:68" ht="15.9" customHeight="1">
      <c r="A7" s="68" t="s">
        <v>9</v>
      </c>
      <c r="B7" s="44" t="s">
        <v>10</v>
      </c>
      <c r="C7" s="48" t="str">
        <f>_xll.RssMarket("5423","安値")</f>
        <v/>
      </c>
      <c r="D7" s="16" t="e">
        <f t="shared" si="0"/>
        <v>#VALUE!</v>
      </c>
      <c r="E7" s="21">
        <v>1579</v>
      </c>
      <c r="F7" s="21">
        <v>1753</v>
      </c>
      <c r="G7" s="21">
        <v>1701</v>
      </c>
      <c r="H7" s="21">
        <v>1718</v>
      </c>
      <c r="I7" s="21">
        <v>1707</v>
      </c>
      <c r="J7" s="21">
        <v>1711</v>
      </c>
      <c r="K7" s="21">
        <v>1744</v>
      </c>
      <c r="L7" s="21">
        <v>1731</v>
      </c>
      <c r="M7" s="21">
        <v>1740</v>
      </c>
      <c r="N7" s="21">
        <v>1719</v>
      </c>
      <c r="O7" s="21">
        <v>1701</v>
      </c>
      <c r="P7" s="21">
        <v>1676</v>
      </c>
      <c r="Q7" s="21">
        <v>1682</v>
      </c>
      <c r="R7" s="21">
        <v>1674</v>
      </c>
      <c r="S7" s="21">
        <v>1661</v>
      </c>
      <c r="T7" s="21">
        <v>1677</v>
      </c>
      <c r="U7" s="21">
        <v>1706</v>
      </c>
      <c r="V7" s="21">
        <v>1739</v>
      </c>
      <c r="W7" s="21">
        <v>1763</v>
      </c>
      <c r="X7" s="21">
        <v>1731</v>
      </c>
      <c r="Y7" s="21">
        <v>1759</v>
      </c>
      <c r="Z7" s="21">
        <v>1749</v>
      </c>
      <c r="AA7" s="21">
        <v>1722</v>
      </c>
      <c r="AB7" s="21">
        <v>1713</v>
      </c>
      <c r="AC7" s="21">
        <v>1703</v>
      </c>
      <c r="AD7" s="21">
        <v>1645</v>
      </c>
      <c r="AE7" s="21">
        <v>1664</v>
      </c>
      <c r="AF7" s="21">
        <v>1683</v>
      </c>
      <c r="AG7" s="21">
        <v>1686</v>
      </c>
      <c r="AH7" s="21">
        <v>1696</v>
      </c>
      <c r="AI7" s="21">
        <v>1681</v>
      </c>
      <c r="AJ7" s="21">
        <v>1663</v>
      </c>
      <c r="AK7" s="21">
        <v>1696</v>
      </c>
      <c r="AL7" s="21">
        <v>1688</v>
      </c>
      <c r="AM7" s="21">
        <v>1697</v>
      </c>
      <c r="AN7" s="21">
        <v>1700</v>
      </c>
      <c r="AO7" s="21">
        <v>1725</v>
      </c>
      <c r="AP7" s="22">
        <v>1709</v>
      </c>
      <c r="AQ7" s="22">
        <v>1694</v>
      </c>
      <c r="AR7" s="22">
        <v>1740</v>
      </c>
      <c r="AS7" s="22">
        <v>1782</v>
      </c>
      <c r="AT7" s="22">
        <v>1816</v>
      </c>
      <c r="AU7" s="22">
        <v>1717</v>
      </c>
      <c r="AV7" s="22">
        <v>1661</v>
      </c>
      <c r="AW7" s="22">
        <v>1660</v>
      </c>
      <c r="AX7" s="22">
        <v>1642</v>
      </c>
      <c r="AY7" s="22">
        <v>1653</v>
      </c>
      <c r="AZ7" s="22">
        <v>1664</v>
      </c>
      <c r="BA7" s="22">
        <v>1659</v>
      </c>
      <c r="BB7" s="22">
        <v>1662</v>
      </c>
      <c r="BC7" s="22">
        <v>1651</v>
      </c>
      <c r="BD7" s="22">
        <v>1605</v>
      </c>
      <c r="BE7" s="22">
        <v>1616</v>
      </c>
      <c r="BF7" s="22">
        <v>1736</v>
      </c>
      <c r="BG7" s="22">
        <v>1786</v>
      </c>
      <c r="BH7" s="22">
        <v>1783</v>
      </c>
      <c r="BI7" s="22">
        <v>1758</v>
      </c>
      <c r="BJ7" s="22">
        <v>1748</v>
      </c>
      <c r="BK7" s="22">
        <v>1741</v>
      </c>
      <c r="BL7" s="22">
        <v>1707</v>
      </c>
      <c r="BM7" s="1">
        <v>1714</v>
      </c>
      <c r="BN7" s="1">
        <v>1700</v>
      </c>
      <c r="BO7" s="1">
        <v>1736</v>
      </c>
      <c r="BP7" s="1">
        <v>1777</v>
      </c>
    </row>
    <row r="8" spans="1:68" ht="15.9" customHeight="1">
      <c r="A8" s="68" t="s">
        <v>11</v>
      </c>
      <c r="B8" s="44" t="s">
        <v>12</v>
      </c>
      <c r="C8" s="48" t="str">
        <f>_xll.RssMarket("5713","安値")</f>
        <v/>
      </c>
      <c r="D8" s="16" t="e">
        <f t="shared" si="0"/>
        <v>#VALUE!</v>
      </c>
      <c r="E8" s="23">
        <v>6578</v>
      </c>
      <c r="F8" s="23">
        <v>7261</v>
      </c>
      <c r="G8" s="23">
        <v>6922</v>
      </c>
      <c r="H8" s="23">
        <v>7023</v>
      </c>
      <c r="I8" s="23">
        <v>7224</v>
      </c>
      <c r="J8" s="23">
        <v>7103</v>
      </c>
      <c r="K8" s="23">
        <v>7294</v>
      </c>
      <c r="L8" s="23">
        <v>7396</v>
      </c>
      <c r="M8" s="23">
        <v>7856</v>
      </c>
      <c r="N8" s="23">
        <v>7581</v>
      </c>
      <c r="O8" s="23">
        <v>7401</v>
      </c>
      <c r="P8" s="23">
        <v>7303</v>
      </c>
      <c r="Q8" s="23">
        <v>7432</v>
      </c>
      <c r="R8" s="23">
        <v>7227</v>
      </c>
      <c r="S8" s="23">
        <v>7498</v>
      </c>
      <c r="T8" s="23">
        <v>7637</v>
      </c>
      <c r="U8" s="23">
        <v>7844</v>
      </c>
      <c r="V8" s="23">
        <v>8214</v>
      </c>
      <c r="W8" s="23">
        <v>8486</v>
      </c>
      <c r="X8" s="23">
        <v>8580</v>
      </c>
      <c r="Y8" s="23">
        <v>9001</v>
      </c>
      <c r="Z8" s="23">
        <v>8779</v>
      </c>
      <c r="AA8" s="23">
        <v>8863</v>
      </c>
      <c r="AB8" s="23">
        <v>8851</v>
      </c>
      <c r="AC8" s="23">
        <v>8215</v>
      </c>
      <c r="AD8" s="23">
        <v>7477</v>
      </c>
      <c r="AE8" s="23">
        <v>7597</v>
      </c>
      <c r="AF8" s="23">
        <v>7881</v>
      </c>
      <c r="AG8" s="23">
        <v>8509</v>
      </c>
      <c r="AH8" s="23">
        <v>8617</v>
      </c>
      <c r="AI8" s="23">
        <v>9000</v>
      </c>
      <c r="AJ8" s="23">
        <v>8413</v>
      </c>
      <c r="AK8" s="23">
        <v>8810</v>
      </c>
      <c r="AL8" s="23">
        <v>8691</v>
      </c>
      <c r="AM8" s="23">
        <v>9580</v>
      </c>
      <c r="AN8" s="23">
        <v>9681</v>
      </c>
      <c r="AO8" s="23">
        <v>9363</v>
      </c>
      <c r="AP8" s="22">
        <v>9003</v>
      </c>
      <c r="AQ8" s="22">
        <v>8872</v>
      </c>
      <c r="AR8" s="22">
        <v>9088</v>
      </c>
      <c r="AS8" s="22">
        <v>9538</v>
      </c>
      <c r="AT8" s="22">
        <v>10110</v>
      </c>
      <c r="AU8" s="22">
        <v>10560</v>
      </c>
      <c r="AV8" s="22">
        <v>10620</v>
      </c>
      <c r="AW8" s="22">
        <v>10565</v>
      </c>
      <c r="AX8" s="22">
        <v>9532</v>
      </c>
      <c r="AY8" s="22">
        <v>10030</v>
      </c>
      <c r="AZ8" s="22">
        <v>9845</v>
      </c>
      <c r="BA8" s="22">
        <v>9259</v>
      </c>
      <c r="BB8" s="22">
        <v>9306</v>
      </c>
      <c r="BC8" s="22">
        <v>9631</v>
      </c>
      <c r="BD8" s="22">
        <v>9663</v>
      </c>
      <c r="BE8" s="22">
        <v>9558</v>
      </c>
      <c r="BF8" s="22">
        <v>9826</v>
      </c>
      <c r="BG8" s="22">
        <v>10030</v>
      </c>
      <c r="BH8" s="22">
        <v>10005</v>
      </c>
      <c r="BI8" s="22">
        <v>10150</v>
      </c>
      <c r="BJ8" s="22">
        <v>10530</v>
      </c>
      <c r="BK8" s="22">
        <v>10440</v>
      </c>
      <c r="BL8" s="22">
        <v>10130</v>
      </c>
      <c r="BM8" s="1">
        <v>9755</v>
      </c>
      <c r="BN8" s="1">
        <v>9820</v>
      </c>
      <c r="BO8" s="1">
        <v>9795</v>
      </c>
      <c r="BP8" s="1">
        <v>9988</v>
      </c>
    </row>
    <row r="9" spans="1:68" ht="15.9" customHeight="1">
      <c r="A9" s="68" t="s">
        <v>13</v>
      </c>
      <c r="B9" s="44" t="s">
        <v>14</v>
      </c>
      <c r="C9" s="48" t="str">
        <f>_xll.RssMarket("5711","安値")</f>
        <v/>
      </c>
      <c r="D9" s="16" t="e">
        <f t="shared" si="0"/>
        <v>#VALUE!</v>
      </c>
      <c r="E9" s="22">
        <v>3854</v>
      </c>
      <c r="F9" s="22">
        <v>4186</v>
      </c>
      <c r="G9" s="22">
        <v>3958</v>
      </c>
      <c r="H9" s="22">
        <v>3987</v>
      </c>
      <c r="I9" s="22">
        <v>3974</v>
      </c>
      <c r="J9" s="22">
        <v>3927</v>
      </c>
      <c r="K9" s="22">
        <v>4242</v>
      </c>
      <c r="L9" s="22">
        <v>4339</v>
      </c>
      <c r="M9" s="22">
        <v>4531</v>
      </c>
      <c r="N9" s="22">
        <v>4403</v>
      </c>
      <c r="O9" s="22">
        <v>4369</v>
      </c>
      <c r="P9" s="22">
        <v>4289</v>
      </c>
      <c r="Q9" s="22">
        <v>4235</v>
      </c>
      <c r="R9" s="22">
        <v>4160</v>
      </c>
      <c r="S9" s="22">
        <v>4291</v>
      </c>
      <c r="T9" s="22">
        <v>4403</v>
      </c>
      <c r="U9" s="22">
        <v>4505</v>
      </c>
      <c r="V9" s="22">
        <v>4581</v>
      </c>
      <c r="W9" s="22">
        <v>4830</v>
      </c>
      <c r="X9" s="22">
        <v>4794</v>
      </c>
      <c r="Y9" s="22">
        <v>4837</v>
      </c>
      <c r="Z9" s="22">
        <v>4842</v>
      </c>
      <c r="AA9" s="22">
        <v>4898</v>
      </c>
      <c r="AB9" s="22">
        <v>4883</v>
      </c>
      <c r="AC9" s="22">
        <v>4510</v>
      </c>
      <c r="AD9" s="22">
        <v>4276</v>
      </c>
      <c r="AE9" s="22">
        <v>4448</v>
      </c>
      <c r="AF9" s="22">
        <v>4537</v>
      </c>
      <c r="AG9" s="22">
        <v>4850</v>
      </c>
      <c r="AH9" s="22">
        <v>4950</v>
      </c>
      <c r="AI9" s="22">
        <v>5087</v>
      </c>
      <c r="AJ9" s="22">
        <v>4920</v>
      </c>
      <c r="AK9" s="22">
        <v>5048</v>
      </c>
      <c r="AL9" s="22">
        <v>5036</v>
      </c>
      <c r="AM9" s="22">
        <v>5260</v>
      </c>
      <c r="AN9" s="22">
        <v>5132</v>
      </c>
      <c r="AO9" s="22">
        <v>5036</v>
      </c>
      <c r="AP9" s="22">
        <v>4782</v>
      </c>
      <c r="AQ9" s="22">
        <v>4691</v>
      </c>
      <c r="AR9" s="22">
        <v>4903</v>
      </c>
      <c r="AS9" s="22">
        <v>5035</v>
      </c>
      <c r="AT9" s="22">
        <v>5321</v>
      </c>
      <c r="AU9" s="22">
        <v>5285</v>
      </c>
      <c r="AV9" s="22">
        <v>5833</v>
      </c>
      <c r="AW9" s="22">
        <v>5560</v>
      </c>
      <c r="AX9" s="22">
        <v>5511</v>
      </c>
      <c r="AY9" s="22">
        <v>5284</v>
      </c>
      <c r="AZ9" s="22">
        <v>5243</v>
      </c>
      <c r="BA9" s="22">
        <v>5010</v>
      </c>
      <c r="BB9" s="22">
        <v>4990</v>
      </c>
      <c r="BC9" s="22">
        <v>5145</v>
      </c>
      <c r="BD9" s="22">
        <v>5229</v>
      </c>
      <c r="BE9" s="22">
        <v>5209</v>
      </c>
      <c r="BF9" s="22">
        <v>5358</v>
      </c>
      <c r="BG9" s="22">
        <v>5500</v>
      </c>
      <c r="BH9" s="22">
        <v>5473</v>
      </c>
      <c r="BI9" s="22">
        <v>5523</v>
      </c>
      <c r="BJ9" s="22">
        <v>5678</v>
      </c>
      <c r="BK9" s="22">
        <v>5557</v>
      </c>
      <c r="BL9" s="22">
        <v>5586</v>
      </c>
      <c r="BM9" s="1">
        <v>5390</v>
      </c>
      <c r="BN9" s="1">
        <v>5505</v>
      </c>
      <c r="BO9" s="1">
        <v>5510</v>
      </c>
      <c r="BP9" s="1">
        <v>5415</v>
      </c>
    </row>
    <row r="10" spans="1:68" ht="15.9" customHeight="1">
      <c r="A10" s="68" t="s">
        <v>15</v>
      </c>
      <c r="B10" s="44" t="s">
        <v>16</v>
      </c>
      <c r="C10" s="48" t="str">
        <f>_xll.RssMarket("5714","安値")</f>
        <v/>
      </c>
      <c r="D10" s="16" t="e">
        <f t="shared" si="0"/>
        <v>#VALUE!</v>
      </c>
      <c r="E10" s="22">
        <v>7725</v>
      </c>
      <c r="F10" s="22">
        <v>8354</v>
      </c>
      <c r="G10" s="22">
        <v>8116</v>
      </c>
      <c r="H10" s="22">
        <v>8171</v>
      </c>
      <c r="I10" s="22">
        <v>8347</v>
      </c>
      <c r="J10" s="22">
        <v>8220</v>
      </c>
      <c r="K10" s="22">
        <v>8403</v>
      </c>
      <c r="L10" s="22">
        <v>8547</v>
      </c>
      <c r="M10" s="22">
        <v>8821</v>
      </c>
      <c r="N10" s="22">
        <v>8667</v>
      </c>
      <c r="O10" s="22">
        <v>8596</v>
      </c>
      <c r="P10" s="22">
        <v>8530</v>
      </c>
      <c r="Q10" s="22">
        <v>8526</v>
      </c>
      <c r="R10" s="22">
        <v>8510</v>
      </c>
      <c r="S10" s="22">
        <v>8602</v>
      </c>
      <c r="T10" s="22">
        <v>8728</v>
      </c>
      <c r="U10" s="22">
        <v>8774</v>
      </c>
      <c r="V10" s="22">
        <v>9172</v>
      </c>
      <c r="W10" s="22">
        <v>9477</v>
      </c>
      <c r="X10" s="22">
        <v>9369</v>
      </c>
      <c r="Y10" s="22">
        <v>9702</v>
      </c>
      <c r="Z10" s="22">
        <v>9615</v>
      </c>
      <c r="AA10" s="22">
        <v>9685</v>
      </c>
      <c r="AB10" s="22">
        <v>9652</v>
      </c>
      <c r="AC10" s="22">
        <v>9139</v>
      </c>
      <c r="AD10" s="22">
        <v>8656</v>
      </c>
      <c r="AE10" s="22">
        <v>8910</v>
      </c>
      <c r="AF10" s="22">
        <v>9165</v>
      </c>
      <c r="AG10" s="22">
        <v>9800</v>
      </c>
      <c r="AH10" s="22">
        <v>9710</v>
      </c>
      <c r="AI10" s="22">
        <v>10230</v>
      </c>
      <c r="AJ10" s="22">
        <v>9886</v>
      </c>
      <c r="AK10" s="22">
        <v>10270</v>
      </c>
      <c r="AL10" s="22">
        <v>10285</v>
      </c>
      <c r="AM10" s="22">
        <v>10605</v>
      </c>
      <c r="AN10" s="22">
        <v>10720</v>
      </c>
      <c r="AO10" s="22">
        <v>10240</v>
      </c>
      <c r="AP10" s="22">
        <v>10020</v>
      </c>
      <c r="AQ10" s="22">
        <v>9897</v>
      </c>
      <c r="AR10" s="22">
        <v>10300</v>
      </c>
      <c r="AS10" s="22">
        <v>11120</v>
      </c>
      <c r="AT10" s="22">
        <v>11390</v>
      </c>
      <c r="AU10" s="22">
        <v>9914</v>
      </c>
      <c r="AV10" s="22">
        <v>10200</v>
      </c>
      <c r="AW10" s="22">
        <v>10260</v>
      </c>
      <c r="AX10" s="22">
        <v>10270</v>
      </c>
      <c r="AY10" s="22">
        <v>9729</v>
      </c>
      <c r="AZ10" s="22">
        <v>9573</v>
      </c>
      <c r="BA10" s="22">
        <v>9390</v>
      </c>
      <c r="BB10" s="22">
        <v>9356</v>
      </c>
      <c r="BC10" s="22">
        <v>9506</v>
      </c>
      <c r="BD10" s="22">
        <v>9378</v>
      </c>
      <c r="BE10" s="22">
        <v>9524</v>
      </c>
      <c r="BF10" s="22">
        <v>9543</v>
      </c>
      <c r="BG10" s="22">
        <v>9650</v>
      </c>
      <c r="BH10" s="22">
        <v>9838</v>
      </c>
      <c r="BI10" s="22">
        <v>9724</v>
      </c>
      <c r="BJ10" s="22">
        <v>9916</v>
      </c>
      <c r="BK10" s="22">
        <v>10065</v>
      </c>
      <c r="BL10" s="22">
        <v>9920</v>
      </c>
      <c r="BM10" s="1">
        <v>9781</v>
      </c>
      <c r="BN10" s="1">
        <v>9582</v>
      </c>
      <c r="BO10" s="1">
        <v>9718</v>
      </c>
      <c r="BP10" s="1">
        <v>9749</v>
      </c>
    </row>
    <row r="11" spans="1:68" ht="15.9" customHeight="1">
      <c r="A11" s="68" t="s">
        <v>17</v>
      </c>
      <c r="B11" s="44" t="s">
        <v>18</v>
      </c>
      <c r="C11" s="48" t="str">
        <f>_xll.RssMarket("6701","安値")</f>
        <v/>
      </c>
      <c r="D11" s="16" t="e">
        <f t="shared" si="0"/>
        <v>#VALUE!</v>
      </c>
      <c r="E11" s="22">
        <v>4346</v>
      </c>
      <c r="F11" s="22">
        <v>4218</v>
      </c>
      <c r="G11" s="22">
        <v>4359</v>
      </c>
      <c r="H11" s="22">
        <v>4282</v>
      </c>
      <c r="I11" s="22">
        <v>4306</v>
      </c>
      <c r="J11" s="22">
        <v>4260</v>
      </c>
      <c r="K11" s="22">
        <v>4300</v>
      </c>
      <c r="L11" s="22">
        <v>4288</v>
      </c>
      <c r="M11" s="22">
        <v>4216</v>
      </c>
      <c r="N11" s="22">
        <v>4125</v>
      </c>
      <c r="O11" s="22">
        <v>4150</v>
      </c>
      <c r="P11" s="22">
        <v>3912</v>
      </c>
      <c r="Q11" s="22">
        <v>3925</v>
      </c>
      <c r="R11" s="22">
        <v>3916</v>
      </c>
      <c r="S11" s="22">
        <v>3682</v>
      </c>
      <c r="T11" s="22">
        <v>3754</v>
      </c>
      <c r="U11" s="22">
        <v>3722</v>
      </c>
      <c r="V11" s="22">
        <v>3657</v>
      </c>
      <c r="W11" s="22">
        <v>3709</v>
      </c>
      <c r="X11" s="22">
        <v>3685</v>
      </c>
      <c r="Y11" s="22">
        <v>3868</v>
      </c>
      <c r="Z11" s="22">
        <v>3796</v>
      </c>
      <c r="AA11" s="22">
        <v>3773</v>
      </c>
      <c r="AB11" s="22">
        <v>3818</v>
      </c>
      <c r="AC11" s="22">
        <v>3862</v>
      </c>
      <c r="AD11" s="22">
        <v>3970</v>
      </c>
      <c r="AE11" s="22">
        <v>3921</v>
      </c>
      <c r="AF11" s="22">
        <v>4060</v>
      </c>
      <c r="AG11" s="22">
        <v>4208</v>
      </c>
      <c r="AH11" s="22">
        <v>4178</v>
      </c>
      <c r="AI11" s="22">
        <v>4187</v>
      </c>
      <c r="AJ11" s="22">
        <v>4282</v>
      </c>
      <c r="AK11" s="22">
        <v>4076</v>
      </c>
      <c r="AL11" s="22">
        <v>4058</v>
      </c>
      <c r="AM11" s="22">
        <v>4002</v>
      </c>
      <c r="AN11" s="22">
        <v>4036</v>
      </c>
      <c r="AO11" s="22">
        <v>4065</v>
      </c>
      <c r="AP11" s="22">
        <v>4118</v>
      </c>
      <c r="AQ11" s="22">
        <v>4055</v>
      </c>
      <c r="AR11" s="22">
        <v>4236</v>
      </c>
      <c r="AS11" s="22">
        <v>4093</v>
      </c>
      <c r="AT11" s="22">
        <v>3961</v>
      </c>
      <c r="AU11" s="22">
        <v>3988</v>
      </c>
      <c r="AV11" s="22">
        <v>4169</v>
      </c>
      <c r="AW11" s="22">
        <v>4058</v>
      </c>
      <c r="AX11" s="22">
        <v>4073</v>
      </c>
      <c r="AY11" s="22">
        <v>4095</v>
      </c>
      <c r="AZ11" s="22">
        <v>3989</v>
      </c>
      <c r="BA11" s="22">
        <v>3960</v>
      </c>
      <c r="BB11" s="22">
        <v>4027</v>
      </c>
      <c r="BC11" s="22">
        <v>4577</v>
      </c>
      <c r="BD11" s="22">
        <v>4452</v>
      </c>
      <c r="BE11" s="22">
        <v>4258</v>
      </c>
      <c r="BF11" s="22">
        <v>4411</v>
      </c>
      <c r="BG11" s="22">
        <v>4385</v>
      </c>
      <c r="BH11" s="22">
        <v>4276</v>
      </c>
      <c r="BI11" s="22">
        <v>4328</v>
      </c>
      <c r="BJ11" s="22">
        <v>4300</v>
      </c>
      <c r="BK11" s="22">
        <v>4156</v>
      </c>
      <c r="BL11" s="22">
        <v>4043</v>
      </c>
      <c r="BM11" s="1">
        <v>3792</v>
      </c>
      <c r="BN11" s="1">
        <v>3860</v>
      </c>
      <c r="BO11" s="1">
        <v>4021</v>
      </c>
      <c r="BP11" s="1">
        <v>4120</v>
      </c>
    </row>
    <row r="12" spans="1:68" ht="15.9" customHeight="1">
      <c r="A12" s="68" t="s">
        <v>19</v>
      </c>
      <c r="B12" s="44" t="s">
        <v>20</v>
      </c>
      <c r="C12" s="48" t="str">
        <f>_xll.RssMarket("1605","安値")</f>
        <v/>
      </c>
      <c r="D12" s="16" t="e">
        <f t="shared" si="0"/>
        <v>#VALUE!</v>
      </c>
      <c r="E12" s="22">
        <v>3375</v>
      </c>
      <c r="F12" s="22">
        <v>3424</v>
      </c>
      <c r="G12" s="22">
        <v>3452</v>
      </c>
      <c r="H12" s="22">
        <v>3359</v>
      </c>
      <c r="I12" s="22">
        <v>3345</v>
      </c>
      <c r="J12" s="22">
        <v>3391</v>
      </c>
      <c r="K12" s="22">
        <v>3324</v>
      </c>
      <c r="L12" s="22">
        <v>3261</v>
      </c>
      <c r="M12" s="22">
        <v>3240</v>
      </c>
      <c r="N12" s="22">
        <v>3215</v>
      </c>
      <c r="O12" s="22">
        <v>3192</v>
      </c>
      <c r="P12" s="22">
        <v>3194</v>
      </c>
      <c r="Q12" s="22">
        <v>3230</v>
      </c>
      <c r="R12" s="22">
        <v>3278</v>
      </c>
      <c r="S12" s="22">
        <v>3296</v>
      </c>
      <c r="T12" s="22">
        <v>3258</v>
      </c>
      <c r="U12" s="22">
        <v>3386</v>
      </c>
      <c r="V12" s="22">
        <v>3420</v>
      </c>
      <c r="W12" s="22">
        <v>3442</v>
      </c>
      <c r="X12" s="22">
        <v>3371</v>
      </c>
      <c r="Y12" s="22">
        <v>3402</v>
      </c>
      <c r="Z12" s="22">
        <v>3293</v>
      </c>
      <c r="AA12" s="22">
        <v>3361</v>
      </c>
      <c r="AB12" s="22">
        <v>3468</v>
      </c>
      <c r="AC12" s="22">
        <v>3518</v>
      </c>
      <c r="AD12" s="22">
        <v>3561</v>
      </c>
      <c r="AE12" s="22">
        <v>3450</v>
      </c>
      <c r="AF12" s="22">
        <v>3604</v>
      </c>
      <c r="AG12" s="22">
        <v>3639</v>
      </c>
      <c r="AH12" s="22">
        <v>3585</v>
      </c>
      <c r="AI12" s="22">
        <v>3649</v>
      </c>
      <c r="AJ12" s="22">
        <v>3428</v>
      </c>
      <c r="AK12" s="22">
        <v>3578</v>
      </c>
      <c r="AL12" s="22">
        <v>3588</v>
      </c>
      <c r="AM12" s="22">
        <v>3643</v>
      </c>
      <c r="AN12" s="22">
        <v>3640</v>
      </c>
      <c r="AO12" s="22">
        <v>3778</v>
      </c>
      <c r="AP12" s="22">
        <v>3859</v>
      </c>
      <c r="AQ12" s="22">
        <v>3952</v>
      </c>
      <c r="AR12" s="22">
        <v>3948</v>
      </c>
      <c r="AS12" s="22">
        <v>3913</v>
      </c>
      <c r="AT12" s="22">
        <v>3788</v>
      </c>
      <c r="AU12" s="22">
        <v>3811</v>
      </c>
      <c r="AV12" s="22">
        <v>3921</v>
      </c>
      <c r="AW12" s="22">
        <v>3900</v>
      </c>
      <c r="AX12" s="22">
        <v>3776</v>
      </c>
      <c r="AY12" s="22">
        <v>3719</v>
      </c>
      <c r="AZ12" s="22">
        <v>3821</v>
      </c>
      <c r="BA12" s="22">
        <v>4043</v>
      </c>
      <c r="BB12" s="22">
        <v>4063</v>
      </c>
      <c r="BC12" s="22">
        <v>3985</v>
      </c>
      <c r="BD12" s="22">
        <v>3882</v>
      </c>
      <c r="BE12" s="22">
        <v>3969</v>
      </c>
      <c r="BF12" s="22">
        <v>3840</v>
      </c>
      <c r="BG12" s="22">
        <v>3805</v>
      </c>
      <c r="BH12" s="22">
        <v>3785</v>
      </c>
      <c r="BI12" s="22">
        <v>3831</v>
      </c>
      <c r="BJ12" s="22">
        <v>3908</v>
      </c>
      <c r="BK12" s="22">
        <v>3948</v>
      </c>
      <c r="BL12" s="22">
        <v>3990</v>
      </c>
      <c r="BM12" s="1">
        <v>4094</v>
      </c>
      <c r="BN12" s="1">
        <v>4237</v>
      </c>
      <c r="BO12" s="1">
        <v>4122</v>
      </c>
      <c r="BP12" s="1">
        <v>4182</v>
      </c>
    </row>
    <row r="13" spans="1:68" ht="15.9" customHeight="1">
      <c r="A13" s="68" t="s">
        <v>21</v>
      </c>
      <c r="B13" s="44" t="s">
        <v>22</v>
      </c>
      <c r="C13" s="48" t="str">
        <f>_xll.RssMarket("5703","安値")</f>
        <v/>
      </c>
      <c r="D13" s="16" t="e">
        <f t="shared" si="0"/>
        <v>#VALUE!</v>
      </c>
      <c r="E13" s="22">
        <v>2591</v>
      </c>
      <c r="F13" s="22">
        <v>2726</v>
      </c>
      <c r="G13" s="22">
        <v>2645</v>
      </c>
      <c r="H13" s="22">
        <v>2659</v>
      </c>
      <c r="I13" s="22">
        <v>2662</v>
      </c>
      <c r="J13" s="22">
        <v>2617</v>
      </c>
      <c r="K13" s="22">
        <v>2620</v>
      </c>
      <c r="L13" s="22">
        <v>2681</v>
      </c>
      <c r="M13" s="22">
        <v>2733</v>
      </c>
      <c r="N13" s="22">
        <v>2708</v>
      </c>
      <c r="O13" s="22">
        <v>2701</v>
      </c>
      <c r="P13" s="22">
        <v>2717</v>
      </c>
      <c r="Q13" s="22">
        <v>2719</v>
      </c>
      <c r="R13" s="22">
        <v>2745</v>
      </c>
      <c r="S13" s="22">
        <v>2790</v>
      </c>
      <c r="T13" s="22">
        <v>2817</v>
      </c>
      <c r="U13" s="22">
        <v>2858</v>
      </c>
      <c r="V13" s="22">
        <v>2910</v>
      </c>
      <c r="W13" s="22">
        <v>2996</v>
      </c>
      <c r="X13" s="22">
        <v>2960</v>
      </c>
      <c r="Y13" s="22">
        <v>2945</v>
      </c>
      <c r="Z13" s="22">
        <v>2999</v>
      </c>
      <c r="AA13" s="22">
        <v>3075</v>
      </c>
      <c r="AB13" s="22">
        <v>3015</v>
      </c>
      <c r="AC13" s="22">
        <v>2893</v>
      </c>
      <c r="AD13" s="22">
        <v>3040</v>
      </c>
      <c r="AE13" s="22">
        <v>3090</v>
      </c>
      <c r="AF13" s="22">
        <v>3115</v>
      </c>
      <c r="AG13" s="22">
        <v>3145</v>
      </c>
      <c r="AH13" s="22">
        <v>3215</v>
      </c>
      <c r="AI13" s="22">
        <v>3045</v>
      </c>
      <c r="AJ13" s="22">
        <v>3150</v>
      </c>
      <c r="AK13" s="22">
        <v>3040</v>
      </c>
      <c r="AL13" s="22">
        <v>3195</v>
      </c>
      <c r="AM13" s="22">
        <v>3145</v>
      </c>
      <c r="AN13" s="22">
        <v>3035</v>
      </c>
      <c r="AO13" s="22">
        <v>3030</v>
      </c>
      <c r="AP13" s="22">
        <v>3000</v>
      </c>
      <c r="AQ13" s="22">
        <v>3035</v>
      </c>
      <c r="AR13" s="22">
        <v>3010</v>
      </c>
      <c r="AS13" s="22">
        <v>3025</v>
      </c>
      <c r="AT13" s="22">
        <v>2907</v>
      </c>
      <c r="AU13" s="22">
        <v>2911</v>
      </c>
      <c r="AV13" s="22">
        <v>2901</v>
      </c>
      <c r="AW13" s="22">
        <v>2869</v>
      </c>
      <c r="AX13" s="22">
        <v>2820</v>
      </c>
      <c r="AY13" s="22">
        <v>2856</v>
      </c>
      <c r="AZ13" s="22">
        <v>2703</v>
      </c>
      <c r="BA13" s="22">
        <v>2788</v>
      </c>
      <c r="BB13" s="22">
        <v>2838</v>
      </c>
      <c r="BC13" s="22">
        <v>2838</v>
      </c>
      <c r="BD13" s="22">
        <v>2831</v>
      </c>
      <c r="BE13" s="22">
        <v>2809</v>
      </c>
      <c r="BF13" s="22">
        <v>2898</v>
      </c>
      <c r="BG13" s="22">
        <v>2954</v>
      </c>
      <c r="BH13" s="22">
        <v>2934</v>
      </c>
      <c r="BI13" s="22">
        <v>2979</v>
      </c>
      <c r="BJ13" s="22">
        <v>3015</v>
      </c>
      <c r="BK13" s="22">
        <v>3000</v>
      </c>
      <c r="BL13" s="22">
        <v>3020</v>
      </c>
      <c r="BM13" s="1">
        <v>2959</v>
      </c>
      <c r="BN13" s="1">
        <v>2964</v>
      </c>
      <c r="BO13" s="1">
        <v>2923</v>
      </c>
      <c r="BP13" s="1">
        <v>2936</v>
      </c>
    </row>
    <row r="14" spans="1:68" ht="15.9" customHeight="1">
      <c r="A14" s="68" t="s">
        <v>23</v>
      </c>
      <c r="B14" s="44" t="s">
        <v>24</v>
      </c>
      <c r="C14" s="48" t="str">
        <f>_xll.RssMarket("8002","安値")</f>
        <v/>
      </c>
      <c r="D14" s="16" t="e">
        <f t="shared" si="0"/>
        <v>#VALUE!</v>
      </c>
      <c r="E14" s="22">
        <v>4901</v>
      </c>
      <c r="F14" s="22">
        <v>4999</v>
      </c>
      <c r="G14" s="22">
        <v>4837</v>
      </c>
      <c r="H14" s="22">
        <v>4810</v>
      </c>
      <c r="I14" s="22">
        <v>4833</v>
      </c>
      <c r="J14" s="22">
        <v>4873</v>
      </c>
      <c r="K14" s="22">
        <v>4961</v>
      </c>
      <c r="L14" s="22">
        <v>5033</v>
      </c>
      <c r="M14" s="22">
        <v>4915</v>
      </c>
      <c r="N14" s="22">
        <v>4837</v>
      </c>
      <c r="O14" s="22">
        <v>4772</v>
      </c>
      <c r="P14" s="22">
        <v>4630</v>
      </c>
      <c r="Q14" s="22">
        <v>4664</v>
      </c>
      <c r="R14" s="22">
        <v>4677</v>
      </c>
      <c r="S14" s="22">
        <v>4612</v>
      </c>
      <c r="T14" s="22">
        <v>4570</v>
      </c>
      <c r="U14" s="22">
        <v>4647</v>
      </c>
      <c r="V14" s="22">
        <v>4789</v>
      </c>
      <c r="W14" s="22">
        <v>4830</v>
      </c>
      <c r="X14" s="22">
        <v>4805</v>
      </c>
      <c r="Y14" s="22">
        <v>4909</v>
      </c>
      <c r="Z14" s="22">
        <v>4886</v>
      </c>
      <c r="AA14" s="22">
        <v>4900</v>
      </c>
      <c r="AB14" s="22">
        <v>4994</v>
      </c>
      <c r="AC14" s="22">
        <v>4848</v>
      </c>
      <c r="AD14" s="22">
        <v>4713</v>
      </c>
      <c r="AE14" s="22">
        <v>4747</v>
      </c>
      <c r="AF14" s="22">
        <v>4820</v>
      </c>
      <c r="AG14" s="22">
        <v>4983</v>
      </c>
      <c r="AH14" s="22">
        <v>4947</v>
      </c>
      <c r="AI14" s="22">
        <v>4873</v>
      </c>
      <c r="AJ14" s="22">
        <v>4823</v>
      </c>
      <c r="AK14" s="22">
        <v>5135</v>
      </c>
      <c r="AL14" s="22">
        <v>5150</v>
      </c>
      <c r="AM14" s="22">
        <v>5220</v>
      </c>
      <c r="AN14" s="22">
        <v>5216</v>
      </c>
      <c r="AO14" s="22">
        <v>5235</v>
      </c>
      <c r="AP14" s="22">
        <v>5322</v>
      </c>
      <c r="AQ14" s="22">
        <v>5287</v>
      </c>
      <c r="AR14" s="22">
        <v>5525</v>
      </c>
      <c r="AS14" s="22">
        <v>5596</v>
      </c>
      <c r="AT14" s="22">
        <v>5792</v>
      </c>
      <c r="AU14" s="22">
        <v>5800</v>
      </c>
      <c r="AV14" s="22">
        <v>5551</v>
      </c>
      <c r="AW14" s="22">
        <v>5433</v>
      </c>
      <c r="AX14" s="22">
        <v>5351</v>
      </c>
      <c r="AY14" s="22">
        <v>5366</v>
      </c>
      <c r="AZ14" s="22">
        <v>5375</v>
      </c>
      <c r="BA14" s="22">
        <v>5744</v>
      </c>
      <c r="BB14" s="22">
        <v>5956</v>
      </c>
      <c r="BC14" s="22">
        <v>5966</v>
      </c>
      <c r="BD14" s="22">
        <v>5822</v>
      </c>
      <c r="BE14" s="22">
        <v>5916</v>
      </c>
      <c r="BF14" s="22">
        <v>5792</v>
      </c>
      <c r="BG14" s="22">
        <v>5832</v>
      </c>
      <c r="BH14" s="22">
        <v>5852</v>
      </c>
      <c r="BI14" s="22">
        <v>5872</v>
      </c>
      <c r="BJ14" s="22">
        <v>5838</v>
      </c>
      <c r="BK14" s="22">
        <v>5899</v>
      </c>
      <c r="BL14" s="22">
        <v>5882</v>
      </c>
      <c r="BM14" s="1">
        <v>5902</v>
      </c>
      <c r="BN14" s="1">
        <v>5861</v>
      </c>
      <c r="BO14" s="1">
        <v>5892</v>
      </c>
      <c r="BP14" s="1">
        <v>6061</v>
      </c>
    </row>
    <row r="15" spans="1:68" ht="15.9" customHeight="1">
      <c r="A15" s="68" t="s">
        <v>25</v>
      </c>
      <c r="B15" s="44" t="s">
        <v>26</v>
      </c>
      <c r="C15" s="48" t="str">
        <f>_xll.RssMarket("5021","安値")</f>
        <v/>
      </c>
      <c r="D15" s="16" t="e">
        <f t="shared" si="0"/>
        <v>#VALUE!</v>
      </c>
      <c r="E15" s="22">
        <v>3753</v>
      </c>
      <c r="F15" s="22">
        <v>3843</v>
      </c>
      <c r="G15" s="22">
        <v>3859</v>
      </c>
      <c r="H15" s="22">
        <v>3843</v>
      </c>
      <c r="I15" s="22">
        <v>3850</v>
      </c>
      <c r="J15" s="22">
        <v>3832</v>
      </c>
      <c r="K15" s="22">
        <v>3817</v>
      </c>
      <c r="L15" s="22">
        <v>3878</v>
      </c>
      <c r="M15" s="22">
        <v>3901</v>
      </c>
      <c r="N15" s="22">
        <v>3851</v>
      </c>
      <c r="O15" s="22">
        <v>3840</v>
      </c>
      <c r="P15" s="22">
        <v>3758</v>
      </c>
      <c r="Q15" s="22">
        <v>3755</v>
      </c>
      <c r="R15" s="22">
        <v>3705</v>
      </c>
      <c r="S15" s="22">
        <v>3698</v>
      </c>
      <c r="T15" s="22">
        <v>3646</v>
      </c>
      <c r="U15" s="22">
        <v>3677</v>
      </c>
      <c r="V15" s="22">
        <v>3682</v>
      </c>
      <c r="W15" s="22">
        <v>3678</v>
      </c>
      <c r="X15" s="22">
        <v>3687</v>
      </c>
      <c r="Y15" s="22">
        <v>3641</v>
      </c>
      <c r="Z15" s="22">
        <v>3617</v>
      </c>
      <c r="AA15" s="22">
        <v>3622</v>
      </c>
      <c r="AB15" s="22">
        <v>3600</v>
      </c>
      <c r="AC15" s="22">
        <v>3503</v>
      </c>
      <c r="AD15" s="22">
        <v>3451</v>
      </c>
      <c r="AE15" s="22">
        <v>3452</v>
      </c>
      <c r="AF15" s="22">
        <v>3533</v>
      </c>
      <c r="AG15" s="22">
        <v>3595</v>
      </c>
      <c r="AH15" s="22">
        <v>3636</v>
      </c>
      <c r="AI15" s="22">
        <v>3701</v>
      </c>
      <c r="AJ15" s="22">
        <v>3634</v>
      </c>
      <c r="AK15" s="22">
        <v>3676</v>
      </c>
      <c r="AL15" s="22">
        <v>3635</v>
      </c>
      <c r="AM15" s="22">
        <v>3630</v>
      </c>
      <c r="AN15" s="22">
        <v>3676</v>
      </c>
      <c r="AO15" s="22">
        <v>3675</v>
      </c>
      <c r="AP15" s="22">
        <v>3689</v>
      </c>
      <c r="AQ15" s="22">
        <v>3705</v>
      </c>
      <c r="AR15" s="22">
        <v>3732</v>
      </c>
      <c r="AS15" s="22">
        <v>3733</v>
      </c>
      <c r="AT15" s="22">
        <v>3778</v>
      </c>
      <c r="AU15" s="22">
        <v>3737</v>
      </c>
      <c r="AV15" s="22">
        <v>3760</v>
      </c>
      <c r="AW15" s="22">
        <v>3952</v>
      </c>
      <c r="AX15" s="22">
        <v>3925</v>
      </c>
      <c r="AY15" s="22">
        <v>3868</v>
      </c>
      <c r="AZ15" s="22">
        <v>3853</v>
      </c>
      <c r="BA15" s="22">
        <v>3938</v>
      </c>
      <c r="BB15" s="22">
        <v>3919</v>
      </c>
      <c r="BC15" s="22">
        <v>3895</v>
      </c>
      <c r="BD15" s="22">
        <v>3831</v>
      </c>
      <c r="BE15" s="22">
        <v>3906</v>
      </c>
      <c r="BF15" s="22">
        <v>3863</v>
      </c>
      <c r="BG15" s="22">
        <v>4067</v>
      </c>
      <c r="BH15" s="22">
        <v>4185</v>
      </c>
      <c r="BI15" s="22">
        <v>4228</v>
      </c>
      <c r="BJ15" s="22">
        <v>4342</v>
      </c>
      <c r="BK15" s="22">
        <v>4356</v>
      </c>
      <c r="BL15" s="22">
        <v>4330</v>
      </c>
      <c r="BM15" s="1">
        <v>4303</v>
      </c>
      <c r="BN15" s="1">
        <v>4350</v>
      </c>
      <c r="BO15" s="1">
        <v>4419</v>
      </c>
      <c r="BP15" s="1">
        <v>4477</v>
      </c>
    </row>
    <row r="16" spans="1:68" ht="15.9" customHeight="1">
      <c r="A16" s="68" t="s">
        <v>27</v>
      </c>
      <c r="B16" s="44" t="s">
        <v>28</v>
      </c>
      <c r="C16" s="48" t="str">
        <f>_xll.RssMarket("8058","安値")</f>
        <v/>
      </c>
      <c r="D16" s="16" t="e">
        <f t="shared" si="0"/>
        <v>#VALUE!</v>
      </c>
      <c r="E16" s="22">
        <v>4374</v>
      </c>
      <c r="F16" s="22">
        <v>4530</v>
      </c>
      <c r="G16" s="22">
        <v>4435</v>
      </c>
      <c r="H16" s="22">
        <v>4404</v>
      </c>
      <c r="I16" s="22">
        <v>4361</v>
      </c>
      <c r="J16" s="22">
        <v>4380</v>
      </c>
      <c r="K16" s="22">
        <v>4464</v>
      </c>
      <c r="L16" s="22">
        <v>4495</v>
      </c>
      <c r="M16" s="22">
        <v>4446</v>
      </c>
      <c r="N16" s="22">
        <v>4455</v>
      </c>
      <c r="O16" s="22">
        <v>4368</v>
      </c>
      <c r="P16" s="22">
        <v>4286</v>
      </c>
      <c r="Q16" s="22">
        <v>4338</v>
      </c>
      <c r="R16" s="22">
        <v>4393</v>
      </c>
      <c r="S16" s="22">
        <v>4363</v>
      </c>
      <c r="T16" s="22">
        <v>4385</v>
      </c>
      <c r="U16" s="22">
        <v>4508</v>
      </c>
      <c r="V16" s="22">
        <v>4565</v>
      </c>
      <c r="W16" s="22">
        <v>4498</v>
      </c>
      <c r="X16" s="22">
        <v>4450</v>
      </c>
      <c r="Y16" s="22">
        <v>4570</v>
      </c>
      <c r="Z16" s="22">
        <v>4595</v>
      </c>
      <c r="AA16" s="22">
        <v>4588</v>
      </c>
      <c r="AB16" s="22">
        <v>4728</v>
      </c>
      <c r="AC16" s="22">
        <v>4610</v>
      </c>
      <c r="AD16" s="22">
        <v>4522</v>
      </c>
      <c r="AE16" s="22">
        <v>4575</v>
      </c>
      <c r="AF16" s="22">
        <v>4760</v>
      </c>
      <c r="AG16" s="22">
        <v>4855</v>
      </c>
      <c r="AH16" s="22">
        <v>4871</v>
      </c>
      <c r="AI16" s="22">
        <v>4931</v>
      </c>
      <c r="AJ16" s="22">
        <v>4864</v>
      </c>
      <c r="AK16" s="22">
        <v>4966</v>
      </c>
      <c r="AL16" s="22">
        <v>5003</v>
      </c>
      <c r="AM16" s="22">
        <v>5093</v>
      </c>
      <c r="AN16" s="22">
        <v>5283</v>
      </c>
      <c r="AO16" s="22">
        <v>5290</v>
      </c>
      <c r="AP16" s="22">
        <v>5345</v>
      </c>
      <c r="AQ16" s="22">
        <v>5362</v>
      </c>
      <c r="AR16" s="22">
        <v>5492</v>
      </c>
      <c r="AS16" s="22">
        <v>5500</v>
      </c>
      <c r="AT16" s="22">
        <v>5780</v>
      </c>
      <c r="AU16" s="22">
        <v>5774</v>
      </c>
      <c r="AV16" s="22">
        <v>5625</v>
      </c>
      <c r="AW16" s="22">
        <v>5301</v>
      </c>
      <c r="AX16" s="22">
        <v>5175</v>
      </c>
      <c r="AY16" s="22">
        <v>5169</v>
      </c>
      <c r="AZ16" s="22">
        <v>5108</v>
      </c>
      <c r="BA16" s="22">
        <v>4842</v>
      </c>
      <c r="BB16" s="22">
        <v>4867</v>
      </c>
      <c r="BC16" s="22">
        <v>4835</v>
      </c>
      <c r="BD16" s="22">
        <v>4738</v>
      </c>
      <c r="BE16" s="22">
        <v>4824</v>
      </c>
      <c r="BF16" s="22">
        <v>4693</v>
      </c>
      <c r="BG16" s="22">
        <v>4744</v>
      </c>
      <c r="BH16" s="22">
        <v>4844</v>
      </c>
      <c r="BI16" s="22">
        <v>4891</v>
      </c>
      <c r="BJ16" s="22">
        <v>4938</v>
      </c>
      <c r="BK16" s="22">
        <v>5002</v>
      </c>
      <c r="BL16" s="22">
        <v>4977</v>
      </c>
      <c r="BM16" s="1">
        <v>5182</v>
      </c>
      <c r="BN16" s="1">
        <v>5255</v>
      </c>
      <c r="BO16" s="1">
        <v>5307</v>
      </c>
      <c r="BP16" s="1">
        <v>5382</v>
      </c>
    </row>
    <row r="17" spans="1:68" ht="15.9" customHeight="1">
      <c r="A17" s="68" t="s">
        <v>29</v>
      </c>
      <c r="B17" s="44" t="s">
        <v>30</v>
      </c>
      <c r="C17" s="48" t="str">
        <f>_xll.RssMarket("5333","安値")</f>
        <v/>
      </c>
      <c r="D17" s="16" t="e">
        <f t="shared" si="0"/>
        <v>#VALUE!</v>
      </c>
      <c r="E17" s="22">
        <v>5814</v>
      </c>
      <c r="F17" s="22">
        <v>6607</v>
      </c>
      <c r="G17" s="22">
        <v>6417</v>
      </c>
      <c r="H17" s="22">
        <v>6623</v>
      </c>
      <c r="I17" s="22">
        <v>7023</v>
      </c>
      <c r="J17" s="22">
        <v>6966</v>
      </c>
      <c r="K17" s="22">
        <v>6742</v>
      </c>
      <c r="L17" s="22">
        <v>7110</v>
      </c>
      <c r="M17" s="22">
        <v>7217</v>
      </c>
      <c r="N17" s="22">
        <v>7052</v>
      </c>
      <c r="O17" s="22">
        <v>7236</v>
      </c>
      <c r="P17" s="22">
        <v>7593</v>
      </c>
      <c r="Q17" s="22">
        <v>7432</v>
      </c>
      <c r="R17" s="22">
        <v>7175</v>
      </c>
      <c r="S17" s="22">
        <v>7450</v>
      </c>
      <c r="T17" s="22">
        <v>7586</v>
      </c>
      <c r="U17" s="22">
        <v>7284</v>
      </c>
      <c r="V17" s="22">
        <v>7410</v>
      </c>
      <c r="W17" s="22">
        <v>7372</v>
      </c>
      <c r="X17" s="22">
        <v>7329</v>
      </c>
      <c r="Y17" s="22">
        <v>6978</v>
      </c>
      <c r="Z17" s="22">
        <v>6706</v>
      </c>
      <c r="AA17" s="22">
        <v>6619</v>
      </c>
      <c r="AB17" s="22">
        <v>6383</v>
      </c>
      <c r="AC17" s="22">
        <v>6106</v>
      </c>
      <c r="AD17" s="22">
        <v>5551</v>
      </c>
      <c r="AE17" s="22">
        <v>5913</v>
      </c>
      <c r="AF17" s="22">
        <v>5966</v>
      </c>
      <c r="AG17" s="22">
        <v>6386</v>
      </c>
      <c r="AH17" s="22">
        <v>6184</v>
      </c>
      <c r="AI17" s="22">
        <v>6265</v>
      </c>
      <c r="AJ17" s="22">
        <v>6063</v>
      </c>
      <c r="AK17" s="22">
        <v>6103</v>
      </c>
      <c r="AL17" s="22">
        <v>5862</v>
      </c>
      <c r="AM17" s="22">
        <v>6069</v>
      </c>
      <c r="AN17" s="22">
        <v>5906</v>
      </c>
      <c r="AO17" s="22">
        <v>5755</v>
      </c>
      <c r="AP17" s="22">
        <v>5543</v>
      </c>
      <c r="AQ17" s="22">
        <v>5292</v>
      </c>
      <c r="AR17" s="22">
        <v>5470</v>
      </c>
      <c r="AS17" s="22">
        <v>5570</v>
      </c>
      <c r="AT17" s="22">
        <v>5613</v>
      </c>
      <c r="AU17" s="22">
        <v>5707</v>
      </c>
      <c r="AV17" s="22">
        <v>5521</v>
      </c>
      <c r="AW17" s="22">
        <v>5534</v>
      </c>
      <c r="AX17" s="22">
        <v>5444</v>
      </c>
      <c r="AY17" s="22">
        <v>5218</v>
      </c>
      <c r="AZ17" s="22">
        <v>5245</v>
      </c>
      <c r="BA17" s="22">
        <v>4887</v>
      </c>
      <c r="BB17" s="22">
        <v>4563</v>
      </c>
      <c r="BC17" s="22">
        <v>4613</v>
      </c>
      <c r="BD17" s="22">
        <v>4422</v>
      </c>
      <c r="BE17" s="22">
        <v>4386</v>
      </c>
      <c r="BF17" s="22">
        <v>4322</v>
      </c>
      <c r="BG17" s="22">
        <v>4426</v>
      </c>
      <c r="BH17" s="22">
        <v>4530</v>
      </c>
      <c r="BI17" s="22">
        <v>4510</v>
      </c>
      <c r="BJ17" s="22">
        <v>4473</v>
      </c>
      <c r="BK17" s="22">
        <v>4423</v>
      </c>
      <c r="BL17" s="22">
        <v>4420</v>
      </c>
      <c r="BM17" s="1">
        <v>4422</v>
      </c>
      <c r="BN17" s="1">
        <v>4381</v>
      </c>
      <c r="BO17" s="1">
        <v>4411</v>
      </c>
      <c r="BP17" s="1">
        <v>4350</v>
      </c>
    </row>
    <row r="18" spans="1:68" ht="15.9" customHeight="1">
      <c r="A18" s="68" t="s">
        <v>31</v>
      </c>
      <c r="B18" s="44" t="s">
        <v>32</v>
      </c>
      <c r="C18" s="48" t="str">
        <f>_xll.RssMarket("1662","安値")</f>
        <v/>
      </c>
      <c r="D18" s="16" t="e">
        <f t="shared" si="0"/>
        <v>#VALUE!</v>
      </c>
      <c r="E18" s="22">
        <v>1653</v>
      </c>
      <c r="F18" s="22">
        <v>1691</v>
      </c>
      <c r="G18" s="22">
        <v>1701</v>
      </c>
      <c r="H18" s="22">
        <v>1661</v>
      </c>
      <c r="I18" s="22">
        <v>1655</v>
      </c>
      <c r="J18" s="22">
        <v>1671</v>
      </c>
      <c r="K18" s="22">
        <v>1662</v>
      </c>
      <c r="L18" s="22">
        <v>1640</v>
      </c>
      <c r="M18" s="22">
        <v>1611</v>
      </c>
      <c r="N18" s="22">
        <v>1601</v>
      </c>
      <c r="O18" s="22">
        <v>1590</v>
      </c>
      <c r="P18" s="22">
        <v>1561</v>
      </c>
      <c r="Q18" s="22">
        <v>1592</v>
      </c>
      <c r="R18" s="22">
        <v>1594</v>
      </c>
      <c r="S18" s="22">
        <v>1579</v>
      </c>
      <c r="T18" s="22">
        <v>1567</v>
      </c>
      <c r="U18" s="22">
        <v>1607</v>
      </c>
      <c r="V18" s="22">
        <v>1600</v>
      </c>
      <c r="W18" s="22">
        <v>1616</v>
      </c>
      <c r="X18" s="22">
        <v>1595</v>
      </c>
      <c r="Y18" s="22">
        <v>1633</v>
      </c>
      <c r="Z18" s="22">
        <v>1621</v>
      </c>
      <c r="AA18" s="22">
        <v>1628</v>
      </c>
      <c r="AB18" s="22">
        <v>1635</v>
      </c>
      <c r="AC18" s="22">
        <v>1627</v>
      </c>
      <c r="AD18" s="22">
        <v>1646</v>
      </c>
      <c r="AE18" s="22">
        <v>1631</v>
      </c>
      <c r="AF18" s="22">
        <v>1702</v>
      </c>
      <c r="AG18" s="22">
        <v>1718</v>
      </c>
      <c r="AH18" s="22">
        <v>1708</v>
      </c>
      <c r="AI18" s="22">
        <v>1741</v>
      </c>
      <c r="AJ18" s="22">
        <v>1744</v>
      </c>
      <c r="AK18" s="22">
        <v>1789</v>
      </c>
      <c r="AL18" s="22">
        <v>1832</v>
      </c>
      <c r="AM18" s="22">
        <v>1839</v>
      </c>
      <c r="AN18" s="22">
        <v>1808</v>
      </c>
      <c r="AO18" s="22">
        <v>1867</v>
      </c>
      <c r="AP18" s="22">
        <v>1878</v>
      </c>
      <c r="AQ18" s="22">
        <v>1982</v>
      </c>
      <c r="AR18" s="22">
        <v>1933</v>
      </c>
      <c r="AS18" s="22">
        <v>1924</v>
      </c>
      <c r="AT18" s="22">
        <v>1919</v>
      </c>
      <c r="AU18" s="22">
        <v>1933</v>
      </c>
      <c r="AV18" s="22">
        <v>1972</v>
      </c>
      <c r="AW18" s="22">
        <v>2169</v>
      </c>
      <c r="AX18" s="22">
        <v>2130</v>
      </c>
      <c r="AY18" s="22">
        <v>2084</v>
      </c>
      <c r="AZ18" s="22">
        <v>2050</v>
      </c>
      <c r="BA18" s="22">
        <v>2196</v>
      </c>
      <c r="BB18" s="22">
        <v>2235</v>
      </c>
      <c r="BC18" s="22">
        <v>2191</v>
      </c>
      <c r="BD18" s="22">
        <v>2151</v>
      </c>
      <c r="BE18" s="22">
        <v>2246</v>
      </c>
      <c r="BF18" s="22">
        <v>2182</v>
      </c>
      <c r="BG18" s="22">
        <v>2126</v>
      </c>
      <c r="BH18" s="22">
        <v>2095</v>
      </c>
      <c r="BI18" s="22">
        <v>2130</v>
      </c>
      <c r="BJ18" s="22">
        <v>2336</v>
      </c>
      <c r="BK18" s="22">
        <v>2374</v>
      </c>
      <c r="BL18" s="22">
        <v>2396</v>
      </c>
      <c r="BM18" s="1">
        <v>2365</v>
      </c>
      <c r="BN18" s="1">
        <v>2474</v>
      </c>
      <c r="BO18" s="1">
        <v>2378</v>
      </c>
      <c r="BP18" s="1">
        <v>2444</v>
      </c>
    </row>
    <row r="19" spans="1:68" ht="15.9" customHeight="1">
      <c r="A19" s="68" t="s">
        <v>33</v>
      </c>
      <c r="B19" s="44" t="s">
        <v>34</v>
      </c>
      <c r="C19" s="48" t="str">
        <f>_xll.RssMarket("8411","安値")</f>
        <v/>
      </c>
      <c r="D19" s="16" t="e">
        <f t="shared" si="0"/>
        <v>#VALUE!</v>
      </c>
      <c r="E19" s="22">
        <v>7790</v>
      </c>
      <c r="F19" s="22">
        <v>8411</v>
      </c>
      <c r="G19" s="22">
        <v>8286</v>
      </c>
      <c r="H19" s="22">
        <v>8357</v>
      </c>
      <c r="I19" s="22">
        <v>8229</v>
      </c>
      <c r="J19" s="22">
        <v>8108</v>
      </c>
      <c r="K19" s="22">
        <v>8151</v>
      </c>
      <c r="L19" s="22">
        <v>8227</v>
      </c>
      <c r="M19" s="22">
        <v>8046</v>
      </c>
      <c r="N19" s="22">
        <v>7907</v>
      </c>
      <c r="O19" s="22">
        <v>7931</v>
      </c>
      <c r="P19" s="22">
        <v>7750</v>
      </c>
      <c r="Q19" s="22">
        <v>7662</v>
      </c>
      <c r="R19" s="22">
        <v>7639</v>
      </c>
      <c r="S19" s="22">
        <v>7679</v>
      </c>
      <c r="T19" s="22">
        <v>7698</v>
      </c>
      <c r="U19" s="22">
        <v>7637</v>
      </c>
      <c r="V19" s="22">
        <v>7820</v>
      </c>
      <c r="W19" s="22">
        <v>7808</v>
      </c>
      <c r="X19" s="22">
        <v>7848</v>
      </c>
      <c r="Y19" s="22">
        <v>8094</v>
      </c>
      <c r="Z19" s="22">
        <v>7902</v>
      </c>
      <c r="AA19" s="22">
        <v>7702</v>
      </c>
      <c r="AB19" s="22">
        <v>7717</v>
      </c>
      <c r="AC19" s="22">
        <v>7510</v>
      </c>
      <c r="AD19" s="22">
        <v>7322</v>
      </c>
      <c r="AE19" s="22">
        <v>7555</v>
      </c>
      <c r="AF19" s="22">
        <v>7437</v>
      </c>
      <c r="AG19" s="22">
        <v>7698</v>
      </c>
      <c r="AH19" s="22">
        <v>7472</v>
      </c>
      <c r="AI19" s="22">
        <v>7389</v>
      </c>
      <c r="AJ19" s="22">
        <v>7064</v>
      </c>
      <c r="AK19" s="22">
        <v>7045</v>
      </c>
      <c r="AL19" s="22">
        <v>6996</v>
      </c>
      <c r="AM19" s="22">
        <v>7178</v>
      </c>
      <c r="AN19" s="22">
        <v>7194</v>
      </c>
      <c r="AO19" s="22">
        <v>7302</v>
      </c>
      <c r="AP19" s="22">
        <v>7138</v>
      </c>
      <c r="AQ19" s="22">
        <v>6844</v>
      </c>
      <c r="AR19" s="22">
        <v>6685</v>
      </c>
      <c r="AS19" s="22">
        <v>6379</v>
      </c>
      <c r="AT19" s="22">
        <v>6827</v>
      </c>
      <c r="AU19" s="22">
        <v>6971</v>
      </c>
      <c r="AV19" s="22">
        <v>6920</v>
      </c>
      <c r="AW19" s="22">
        <v>6833</v>
      </c>
      <c r="AX19" s="22">
        <v>6774</v>
      </c>
      <c r="AY19" s="22">
        <v>6624</v>
      </c>
      <c r="AZ19" s="22">
        <v>6791</v>
      </c>
      <c r="BA19" s="22">
        <v>6584</v>
      </c>
      <c r="BB19" s="22">
        <v>6609</v>
      </c>
      <c r="BC19" s="22">
        <v>6598</v>
      </c>
      <c r="BD19" s="22">
        <v>6350</v>
      </c>
      <c r="BE19" s="22">
        <v>6389</v>
      </c>
      <c r="BF19" s="22">
        <v>6467</v>
      </c>
      <c r="BG19" s="22">
        <v>6552</v>
      </c>
      <c r="BH19" s="22">
        <v>6625</v>
      </c>
      <c r="BI19" s="22">
        <v>6775</v>
      </c>
      <c r="BJ19" s="22">
        <v>6700</v>
      </c>
      <c r="BK19" s="22">
        <v>6872</v>
      </c>
      <c r="BL19" s="22">
        <v>6904</v>
      </c>
      <c r="BM19" s="1">
        <v>6728</v>
      </c>
      <c r="BN19" s="1">
        <v>6701</v>
      </c>
      <c r="BO19" s="1">
        <v>6711</v>
      </c>
      <c r="BP19" s="1">
        <v>6706</v>
      </c>
    </row>
    <row r="20" spans="1:68" ht="15.9" customHeight="1">
      <c r="A20" s="68" t="s">
        <v>35</v>
      </c>
      <c r="B20" s="44" t="s">
        <v>36</v>
      </c>
      <c r="C20" s="48" t="str">
        <f>_xll.RssMarket("5541","安値")</f>
        <v/>
      </c>
      <c r="D20" s="16" t="e">
        <f t="shared" si="0"/>
        <v>#VALUE!</v>
      </c>
      <c r="E20" s="22">
        <v>2222</v>
      </c>
      <c r="F20" s="22">
        <v>2266</v>
      </c>
      <c r="G20" s="22">
        <v>2218</v>
      </c>
      <c r="H20" s="22">
        <v>2214</v>
      </c>
      <c r="I20" s="22">
        <v>2221</v>
      </c>
      <c r="J20" s="22">
        <v>2203</v>
      </c>
      <c r="K20" s="22">
        <v>2218</v>
      </c>
      <c r="L20" s="22">
        <v>2271</v>
      </c>
      <c r="M20" s="22">
        <v>2325</v>
      </c>
      <c r="N20" s="22">
        <v>2245</v>
      </c>
      <c r="O20" s="22">
        <v>2232</v>
      </c>
      <c r="P20" s="22">
        <v>2181</v>
      </c>
      <c r="Q20" s="22">
        <v>2143</v>
      </c>
      <c r="R20" s="22">
        <v>2128</v>
      </c>
      <c r="S20" s="22">
        <v>2138</v>
      </c>
      <c r="T20" s="22">
        <v>2158</v>
      </c>
      <c r="U20" s="22">
        <v>2190</v>
      </c>
      <c r="V20" s="22">
        <v>2215</v>
      </c>
      <c r="W20" s="22">
        <v>2246</v>
      </c>
      <c r="X20" s="22">
        <v>2245</v>
      </c>
      <c r="Y20" s="22">
        <v>2268</v>
      </c>
      <c r="Z20" s="22">
        <v>2257</v>
      </c>
      <c r="AA20" s="22">
        <v>2262</v>
      </c>
      <c r="AB20" s="22">
        <v>2249</v>
      </c>
      <c r="AC20" s="22">
        <v>2118</v>
      </c>
      <c r="AD20" s="22">
        <v>2061</v>
      </c>
      <c r="AE20" s="22">
        <v>2115</v>
      </c>
      <c r="AF20" s="22">
        <v>2164</v>
      </c>
      <c r="AG20" s="22">
        <v>2234</v>
      </c>
      <c r="AH20" s="22">
        <v>2250</v>
      </c>
      <c r="AI20" s="22">
        <v>2182</v>
      </c>
      <c r="AJ20" s="22">
        <v>2275</v>
      </c>
      <c r="AK20" s="22">
        <v>2212</v>
      </c>
      <c r="AL20" s="22">
        <v>2272</v>
      </c>
      <c r="AM20" s="22">
        <v>2205</v>
      </c>
      <c r="AN20" s="22">
        <v>2140</v>
      </c>
      <c r="AO20" s="22">
        <v>2120</v>
      </c>
      <c r="AP20" s="22">
        <v>2116</v>
      </c>
      <c r="AQ20" s="22">
        <v>2180</v>
      </c>
      <c r="AR20" s="22">
        <v>2245</v>
      </c>
      <c r="AS20" s="22">
        <v>2363</v>
      </c>
      <c r="AT20" s="22">
        <v>2373</v>
      </c>
      <c r="AU20" s="22">
        <v>2370</v>
      </c>
      <c r="AV20" s="22">
        <v>2215</v>
      </c>
      <c r="AW20" s="22">
        <v>2623</v>
      </c>
      <c r="AX20" s="22">
        <v>2563</v>
      </c>
      <c r="AY20" s="22">
        <v>2605</v>
      </c>
      <c r="AZ20" s="22">
        <v>2522</v>
      </c>
      <c r="BA20" s="22">
        <v>2491</v>
      </c>
      <c r="BB20" s="22">
        <v>2429</v>
      </c>
      <c r="BC20" s="22">
        <v>2356</v>
      </c>
      <c r="BD20" s="22">
        <v>2430</v>
      </c>
      <c r="BE20" s="22">
        <v>2440</v>
      </c>
      <c r="BF20" s="22">
        <v>2477</v>
      </c>
      <c r="BG20" s="22">
        <v>2530</v>
      </c>
      <c r="BH20" s="22">
        <v>2515</v>
      </c>
      <c r="BI20" s="22">
        <v>2582</v>
      </c>
      <c r="BJ20" s="22">
        <v>2660</v>
      </c>
      <c r="BK20" s="22">
        <v>2626</v>
      </c>
      <c r="BL20" s="22">
        <v>2619</v>
      </c>
      <c r="BM20" s="1">
        <v>2585</v>
      </c>
      <c r="BN20" s="1">
        <v>2644</v>
      </c>
      <c r="BO20" s="1">
        <v>2692</v>
      </c>
      <c r="BP20" s="1">
        <v>2745</v>
      </c>
    </row>
    <row r="21" spans="1:68" ht="15.9" customHeight="1">
      <c r="A21" s="68" t="s">
        <v>37</v>
      </c>
      <c r="B21" s="44" t="s">
        <v>38</v>
      </c>
      <c r="C21" s="48" t="str">
        <f>_xll.RssMarket("5332","安値")</f>
        <v/>
      </c>
      <c r="D21" s="16" t="e">
        <f t="shared" si="0"/>
        <v>#VALUE!</v>
      </c>
      <c r="E21" s="22">
        <v>7229</v>
      </c>
      <c r="F21" s="22">
        <v>7765</v>
      </c>
      <c r="G21" s="22">
        <v>7686</v>
      </c>
      <c r="H21" s="22">
        <v>7775</v>
      </c>
      <c r="I21" s="22">
        <v>8040</v>
      </c>
      <c r="J21" s="22">
        <v>8042</v>
      </c>
      <c r="K21" s="22">
        <v>8325</v>
      </c>
      <c r="L21" s="22">
        <v>8458</v>
      </c>
      <c r="M21" s="22">
        <v>8202</v>
      </c>
      <c r="N21" s="22">
        <v>8330</v>
      </c>
      <c r="O21" s="22">
        <v>8236</v>
      </c>
      <c r="P21" s="22">
        <v>8387</v>
      </c>
      <c r="Q21" s="22">
        <v>8260</v>
      </c>
      <c r="R21" s="22">
        <v>8473</v>
      </c>
      <c r="S21" s="22">
        <v>8693</v>
      </c>
      <c r="T21" s="22">
        <v>8590</v>
      </c>
      <c r="U21" s="22">
        <v>8838</v>
      </c>
      <c r="V21" s="22">
        <v>8663</v>
      </c>
      <c r="W21" s="22">
        <v>8330</v>
      </c>
      <c r="X21" s="22">
        <v>8177</v>
      </c>
      <c r="Y21" s="22">
        <v>7938</v>
      </c>
      <c r="Z21" s="22">
        <v>8105</v>
      </c>
      <c r="AA21" s="22">
        <v>7887</v>
      </c>
      <c r="AB21" s="22">
        <v>7590</v>
      </c>
      <c r="AC21" s="22">
        <v>7120</v>
      </c>
      <c r="AD21" s="22">
        <v>7397</v>
      </c>
      <c r="AE21" s="22">
        <v>7463</v>
      </c>
      <c r="AF21" s="22">
        <v>7803</v>
      </c>
      <c r="AG21" s="22">
        <v>7898</v>
      </c>
      <c r="AH21" s="22">
        <v>7445</v>
      </c>
      <c r="AI21" s="22">
        <v>7110</v>
      </c>
      <c r="AJ21" s="22">
        <v>7430</v>
      </c>
      <c r="AK21" s="22">
        <v>7231</v>
      </c>
      <c r="AL21" s="22">
        <v>7172</v>
      </c>
      <c r="AM21" s="22">
        <v>6815</v>
      </c>
      <c r="AN21" s="22">
        <v>6637</v>
      </c>
      <c r="AO21" s="22">
        <v>6523</v>
      </c>
      <c r="AP21" s="22">
        <v>6308</v>
      </c>
      <c r="AQ21" s="22">
        <v>6663</v>
      </c>
      <c r="AR21" s="22">
        <v>6855</v>
      </c>
      <c r="AS21" s="22">
        <v>7044</v>
      </c>
      <c r="AT21" s="22">
        <v>6933</v>
      </c>
      <c r="AU21" s="22">
        <v>6810</v>
      </c>
      <c r="AV21" s="22">
        <v>6857</v>
      </c>
      <c r="AW21" s="22">
        <v>7104</v>
      </c>
      <c r="AX21" s="22">
        <v>6741</v>
      </c>
      <c r="AY21" s="22">
        <v>6614</v>
      </c>
      <c r="AZ21" s="22">
        <v>6015</v>
      </c>
      <c r="BA21" s="22">
        <v>5377</v>
      </c>
      <c r="BB21" s="22">
        <v>5364</v>
      </c>
      <c r="BC21" s="22">
        <v>5352</v>
      </c>
      <c r="BD21" s="22">
        <v>5265</v>
      </c>
      <c r="BE21" s="22">
        <v>5182</v>
      </c>
      <c r="BF21" s="22">
        <v>5218</v>
      </c>
      <c r="BG21" s="22">
        <v>5384</v>
      </c>
      <c r="BH21" s="22">
        <v>5532</v>
      </c>
      <c r="BI21" s="22">
        <v>5507</v>
      </c>
      <c r="BJ21" s="22">
        <v>5432</v>
      </c>
      <c r="BK21" s="22">
        <v>5464</v>
      </c>
      <c r="BL21" s="22">
        <v>5385</v>
      </c>
      <c r="BM21" s="1">
        <v>5226</v>
      </c>
      <c r="BN21" s="1">
        <v>5686</v>
      </c>
      <c r="BO21" s="1">
        <v>5670</v>
      </c>
      <c r="BP21" s="1">
        <v>5507</v>
      </c>
    </row>
    <row r="22" spans="1:68" ht="15.9" customHeight="1">
      <c r="A22" s="68" t="s">
        <v>39</v>
      </c>
      <c r="B22" s="44" t="s">
        <v>40</v>
      </c>
      <c r="C22" s="48" t="str">
        <f>_xll.RssMarket("8725","安値")</f>
        <v/>
      </c>
      <c r="D22" s="16" t="e">
        <f t="shared" si="0"/>
        <v>#VALUE!</v>
      </c>
      <c r="E22" s="22">
        <v>4473</v>
      </c>
      <c r="F22" s="22">
        <v>4526</v>
      </c>
      <c r="G22" s="22">
        <v>4442</v>
      </c>
      <c r="H22" s="22">
        <v>4395</v>
      </c>
      <c r="I22" s="22">
        <v>4413</v>
      </c>
      <c r="J22" s="22">
        <v>4447</v>
      </c>
      <c r="K22" s="22">
        <v>4495</v>
      </c>
      <c r="L22" s="22">
        <v>4502</v>
      </c>
      <c r="M22" s="22">
        <v>4438</v>
      </c>
      <c r="N22" s="22">
        <v>4401</v>
      </c>
      <c r="O22" s="22">
        <v>4281</v>
      </c>
      <c r="P22" s="22">
        <v>4228</v>
      </c>
      <c r="Q22" s="22">
        <v>4225</v>
      </c>
      <c r="R22" s="22">
        <v>4204</v>
      </c>
      <c r="S22" s="22">
        <v>4210</v>
      </c>
      <c r="T22" s="22">
        <v>4222</v>
      </c>
      <c r="U22" s="22">
        <v>4437</v>
      </c>
      <c r="V22" s="22">
        <v>4606</v>
      </c>
      <c r="W22" s="22">
        <v>4501</v>
      </c>
      <c r="X22" s="22">
        <v>4510</v>
      </c>
      <c r="Y22" s="22">
        <v>4534</v>
      </c>
      <c r="Z22" s="22">
        <v>4554</v>
      </c>
      <c r="AA22" s="22">
        <v>4556</v>
      </c>
      <c r="AB22" s="22">
        <v>4597</v>
      </c>
      <c r="AC22" s="22">
        <v>4596</v>
      </c>
      <c r="AD22" s="22">
        <v>4516</v>
      </c>
      <c r="AE22" s="22">
        <v>4569</v>
      </c>
      <c r="AF22" s="22">
        <v>4339</v>
      </c>
      <c r="AG22" s="22">
        <v>4299</v>
      </c>
      <c r="AH22" s="22">
        <v>4224</v>
      </c>
      <c r="AI22" s="22">
        <v>4294</v>
      </c>
      <c r="AJ22" s="22">
        <v>4169</v>
      </c>
      <c r="AK22" s="22">
        <v>4209</v>
      </c>
      <c r="AL22" s="22">
        <v>4219</v>
      </c>
      <c r="AM22" s="22">
        <v>4197</v>
      </c>
      <c r="AN22" s="22">
        <v>4153</v>
      </c>
      <c r="AO22" s="22">
        <v>4182</v>
      </c>
      <c r="AP22" s="22">
        <v>4286</v>
      </c>
      <c r="AQ22" s="22">
        <v>4356</v>
      </c>
      <c r="AR22" s="22">
        <v>4403</v>
      </c>
      <c r="AS22" s="22">
        <v>4401</v>
      </c>
      <c r="AT22" s="22">
        <v>4356</v>
      </c>
      <c r="AU22" s="22">
        <v>4360</v>
      </c>
      <c r="AV22" s="22">
        <v>4294</v>
      </c>
      <c r="AW22" s="22">
        <v>4150</v>
      </c>
      <c r="AX22" s="22">
        <v>3958</v>
      </c>
      <c r="AY22" s="22">
        <v>3941</v>
      </c>
      <c r="AZ22" s="22">
        <v>3970</v>
      </c>
      <c r="BA22" s="22">
        <v>3961</v>
      </c>
      <c r="BB22" s="22">
        <v>3960</v>
      </c>
      <c r="BC22" s="22">
        <v>3939</v>
      </c>
      <c r="BD22" s="22">
        <v>3886</v>
      </c>
      <c r="BE22" s="22">
        <v>3946</v>
      </c>
      <c r="BF22" s="22">
        <v>3916</v>
      </c>
      <c r="BG22" s="22">
        <v>3996</v>
      </c>
      <c r="BH22" s="22">
        <v>4014</v>
      </c>
      <c r="BI22" s="22">
        <v>4026</v>
      </c>
      <c r="BJ22" s="22">
        <v>4052</v>
      </c>
      <c r="BK22" s="22">
        <v>4082</v>
      </c>
      <c r="BL22" s="22">
        <v>4033</v>
      </c>
      <c r="BM22" s="1">
        <v>4024</v>
      </c>
      <c r="BN22" s="1">
        <v>4035</v>
      </c>
      <c r="BO22" s="1">
        <v>4069</v>
      </c>
      <c r="BP22" s="1">
        <v>4090</v>
      </c>
    </row>
    <row r="23" spans="1:68" ht="15.9" customHeight="1">
      <c r="A23" s="68" t="s">
        <v>41</v>
      </c>
      <c r="B23" s="44" t="s">
        <v>42</v>
      </c>
      <c r="C23" s="48" t="str">
        <f>_xll.RssMarket("8795","安値")</f>
        <v/>
      </c>
      <c r="D23" s="16" t="e">
        <f t="shared" si="0"/>
        <v>#VALUE!</v>
      </c>
      <c r="E23" s="22">
        <v>4726</v>
      </c>
      <c r="F23" s="22">
        <v>4993</v>
      </c>
      <c r="G23" s="22">
        <v>4867</v>
      </c>
      <c r="H23" s="22">
        <v>4878</v>
      </c>
      <c r="I23" s="22">
        <v>4906</v>
      </c>
      <c r="J23" s="22">
        <v>4865</v>
      </c>
      <c r="K23" s="22">
        <v>4901</v>
      </c>
      <c r="L23" s="22">
        <v>4947</v>
      </c>
      <c r="M23" s="22">
        <v>4910</v>
      </c>
      <c r="N23" s="22">
        <v>4853</v>
      </c>
      <c r="O23" s="22">
        <v>4807</v>
      </c>
      <c r="P23" s="22">
        <v>4778</v>
      </c>
      <c r="Q23" s="22">
        <v>4703</v>
      </c>
      <c r="R23" s="22">
        <v>4615</v>
      </c>
      <c r="S23" s="22">
        <v>4640</v>
      </c>
      <c r="T23" s="22">
        <v>4628</v>
      </c>
      <c r="U23" s="22">
        <v>4565</v>
      </c>
      <c r="V23" s="22">
        <v>4902</v>
      </c>
      <c r="W23" s="22">
        <v>4801</v>
      </c>
      <c r="X23" s="22">
        <v>4878</v>
      </c>
      <c r="Y23" s="22">
        <v>4811</v>
      </c>
      <c r="Z23" s="22">
        <v>4718</v>
      </c>
      <c r="AA23" s="22">
        <v>4761</v>
      </c>
      <c r="AB23" s="22">
        <v>4789</v>
      </c>
      <c r="AC23" s="22">
        <v>4648</v>
      </c>
      <c r="AD23" s="22">
        <v>4598</v>
      </c>
      <c r="AE23" s="22">
        <v>4654</v>
      </c>
      <c r="AF23" s="22">
        <v>4351</v>
      </c>
      <c r="AG23" s="22">
        <v>4356</v>
      </c>
      <c r="AH23" s="22">
        <v>4091</v>
      </c>
      <c r="AI23" s="22">
        <v>4130</v>
      </c>
      <c r="AJ23" s="22">
        <v>4110</v>
      </c>
      <c r="AK23" s="22">
        <v>4022</v>
      </c>
      <c r="AL23" s="22">
        <v>4054</v>
      </c>
      <c r="AM23" s="22">
        <v>4079</v>
      </c>
      <c r="AN23" s="22">
        <v>4030</v>
      </c>
      <c r="AO23" s="22">
        <v>4069</v>
      </c>
      <c r="AP23" s="22">
        <v>4056</v>
      </c>
      <c r="AQ23" s="22">
        <v>4077</v>
      </c>
      <c r="AR23" s="22">
        <v>4114</v>
      </c>
      <c r="AS23" s="22">
        <v>3900</v>
      </c>
      <c r="AT23" s="22">
        <v>3754</v>
      </c>
      <c r="AU23" s="22">
        <v>3943</v>
      </c>
      <c r="AV23" s="22">
        <v>3936</v>
      </c>
      <c r="AW23" s="22">
        <v>3945</v>
      </c>
      <c r="AX23" s="22">
        <v>3861</v>
      </c>
      <c r="AY23" s="22">
        <v>3838</v>
      </c>
      <c r="AZ23" s="22">
        <v>3821</v>
      </c>
      <c r="BA23" s="22">
        <v>3727</v>
      </c>
      <c r="BB23" s="22">
        <v>3707</v>
      </c>
      <c r="BC23" s="22">
        <v>3671</v>
      </c>
      <c r="BD23" s="22">
        <v>3606</v>
      </c>
      <c r="BE23" s="22">
        <v>3679</v>
      </c>
      <c r="BF23" s="22">
        <v>3657</v>
      </c>
      <c r="BG23" s="22">
        <v>3728</v>
      </c>
      <c r="BH23" s="22">
        <v>3820</v>
      </c>
      <c r="BI23" s="22">
        <v>3914</v>
      </c>
      <c r="BJ23" s="22">
        <v>4000</v>
      </c>
      <c r="BK23" s="22">
        <v>4020</v>
      </c>
      <c r="BL23" s="22">
        <v>4012</v>
      </c>
      <c r="BM23" s="1">
        <v>4026</v>
      </c>
      <c r="BN23" s="1">
        <v>3980</v>
      </c>
      <c r="BO23" s="1">
        <v>4013</v>
      </c>
      <c r="BP23" s="1">
        <v>4031</v>
      </c>
    </row>
    <row r="24" spans="1:68" ht="15.9" customHeight="1">
      <c r="A24" s="68" t="s">
        <v>43</v>
      </c>
      <c r="B24" s="44" t="s">
        <v>44</v>
      </c>
      <c r="C24" s="48" t="str">
        <f>_xll.RssMarket("5019","安値")</f>
        <v/>
      </c>
      <c r="D24" s="16" t="e">
        <f t="shared" si="0"/>
        <v>#VALUE!</v>
      </c>
      <c r="E24" s="22">
        <v>1235</v>
      </c>
      <c r="F24" s="22">
        <v>1269.5</v>
      </c>
      <c r="G24" s="22">
        <v>1247</v>
      </c>
      <c r="H24" s="22">
        <v>1241.5</v>
      </c>
      <c r="I24" s="22">
        <v>1232</v>
      </c>
      <c r="J24" s="22">
        <v>1228.5</v>
      </c>
      <c r="K24" s="22">
        <v>1231</v>
      </c>
      <c r="L24" s="22">
        <v>1228.5</v>
      </c>
      <c r="M24" s="22">
        <v>1216</v>
      </c>
      <c r="N24" s="22">
        <v>1207</v>
      </c>
      <c r="O24" s="22">
        <v>1186.5</v>
      </c>
      <c r="P24" s="22">
        <v>1175.5</v>
      </c>
      <c r="Q24" s="22">
        <v>1189</v>
      </c>
      <c r="R24" s="22">
        <v>1204</v>
      </c>
      <c r="S24" s="22">
        <v>1209</v>
      </c>
      <c r="T24" s="22">
        <v>1203.5</v>
      </c>
      <c r="U24" s="22">
        <v>1229.5</v>
      </c>
      <c r="V24" s="22">
        <v>1244.5</v>
      </c>
      <c r="W24" s="22">
        <v>1237.5</v>
      </c>
      <c r="X24" s="22">
        <v>1216.5</v>
      </c>
      <c r="Y24" s="22">
        <v>1243.5</v>
      </c>
      <c r="Z24" s="22">
        <v>1251</v>
      </c>
      <c r="AA24" s="22">
        <v>1287.5</v>
      </c>
      <c r="AB24" s="22">
        <v>1318.5</v>
      </c>
      <c r="AC24" s="22">
        <v>1301</v>
      </c>
      <c r="AD24" s="22">
        <v>1333</v>
      </c>
      <c r="AE24" s="22">
        <v>1320.5</v>
      </c>
      <c r="AF24" s="22">
        <v>1336.5</v>
      </c>
      <c r="AG24" s="22">
        <v>1373</v>
      </c>
      <c r="AH24" s="22">
        <v>1386</v>
      </c>
      <c r="AI24" s="22">
        <v>1360.5</v>
      </c>
      <c r="AJ24" s="22">
        <v>1318</v>
      </c>
      <c r="AK24" s="22">
        <v>1296</v>
      </c>
      <c r="AL24" s="22">
        <v>1300</v>
      </c>
      <c r="AM24" s="22">
        <v>1305.5</v>
      </c>
      <c r="AN24" s="22">
        <v>1302.5</v>
      </c>
      <c r="AO24" s="22">
        <v>1320.5</v>
      </c>
      <c r="AP24" s="22">
        <v>1336.5</v>
      </c>
      <c r="AQ24" s="22">
        <v>1370.5</v>
      </c>
      <c r="AR24" s="22">
        <v>1352.5</v>
      </c>
      <c r="AS24" s="22">
        <v>1365.5</v>
      </c>
      <c r="AT24" s="22">
        <v>1404.5</v>
      </c>
      <c r="AU24" s="22">
        <v>1366</v>
      </c>
      <c r="AV24" s="22">
        <v>1319</v>
      </c>
      <c r="AW24" s="22">
        <v>1370.5</v>
      </c>
      <c r="AX24" s="22">
        <v>1323</v>
      </c>
      <c r="AY24" s="22">
        <v>1326.5</v>
      </c>
      <c r="AZ24" s="22">
        <v>1339.5</v>
      </c>
      <c r="BA24" s="22">
        <v>1325.5</v>
      </c>
      <c r="BB24" s="22">
        <v>1335.5</v>
      </c>
      <c r="BC24" s="22">
        <v>1326.5</v>
      </c>
      <c r="BD24" s="22">
        <v>1300</v>
      </c>
      <c r="BE24" s="22">
        <v>1335.5</v>
      </c>
      <c r="BF24" s="22">
        <v>1324</v>
      </c>
      <c r="BG24" s="22">
        <v>1385</v>
      </c>
      <c r="BH24" s="22">
        <v>1411.5</v>
      </c>
      <c r="BI24" s="22">
        <v>1443</v>
      </c>
      <c r="BJ24" s="22">
        <v>1487.5</v>
      </c>
      <c r="BK24" s="22">
        <v>1505</v>
      </c>
      <c r="BL24" s="22">
        <v>1498</v>
      </c>
      <c r="BM24" s="1">
        <v>1495</v>
      </c>
      <c r="BN24" s="1">
        <v>1538</v>
      </c>
      <c r="BO24" s="1">
        <v>1537</v>
      </c>
      <c r="BP24" s="1">
        <v>1522</v>
      </c>
    </row>
    <row r="25" spans="1:68" ht="15.9" customHeight="1">
      <c r="A25" s="68" t="s">
        <v>45</v>
      </c>
      <c r="B25" s="44" t="s">
        <v>46</v>
      </c>
      <c r="C25" s="48" t="str">
        <f>_xll.RssMarket("8053","安値")</f>
        <v/>
      </c>
      <c r="D25" s="16" t="e">
        <f t="shared" si="0"/>
        <v>#VALUE!</v>
      </c>
      <c r="E25" s="22">
        <v>1489</v>
      </c>
      <c r="F25" s="22">
        <v>1575.5</v>
      </c>
      <c r="G25" s="22">
        <v>1553.5</v>
      </c>
      <c r="H25" s="22">
        <v>1548.5</v>
      </c>
      <c r="I25" s="22">
        <v>1547</v>
      </c>
      <c r="J25" s="22">
        <v>1551</v>
      </c>
      <c r="K25" s="22">
        <v>1564.5</v>
      </c>
      <c r="L25" s="22">
        <v>1600</v>
      </c>
      <c r="M25" s="22">
        <v>1578.5</v>
      </c>
      <c r="N25" s="22">
        <v>1570</v>
      </c>
      <c r="O25" s="22">
        <v>1575</v>
      </c>
      <c r="P25" s="22">
        <v>1535</v>
      </c>
      <c r="Q25" s="22">
        <v>1540.5</v>
      </c>
      <c r="R25" s="22">
        <v>1532.5</v>
      </c>
      <c r="S25" s="22">
        <v>6104</v>
      </c>
      <c r="T25" s="22">
        <v>6130</v>
      </c>
      <c r="U25" s="22">
        <v>6208</v>
      </c>
      <c r="V25" s="22">
        <v>6380</v>
      </c>
      <c r="W25" s="22">
        <v>6360</v>
      </c>
      <c r="X25" s="22">
        <v>6332</v>
      </c>
      <c r="Y25" s="22">
        <v>6493</v>
      </c>
      <c r="Z25" s="22">
        <v>6478</v>
      </c>
      <c r="AA25" s="22">
        <v>6470</v>
      </c>
      <c r="AB25" s="22">
        <v>6388</v>
      </c>
      <c r="AC25" s="22">
        <v>6200</v>
      </c>
      <c r="AD25" s="22">
        <v>6119</v>
      </c>
      <c r="AE25" s="22">
        <v>6319</v>
      </c>
      <c r="AF25" s="22">
        <v>6539</v>
      </c>
      <c r="AG25" s="22">
        <v>6775</v>
      </c>
      <c r="AH25" s="22">
        <v>6716</v>
      </c>
      <c r="AI25" s="22">
        <v>6842</v>
      </c>
      <c r="AJ25" s="22">
        <v>6746</v>
      </c>
      <c r="AK25" s="22">
        <v>7099</v>
      </c>
      <c r="AL25" s="22">
        <v>6997</v>
      </c>
      <c r="AM25" s="22">
        <v>7179</v>
      </c>
      <c r="AN25" s="22">
        <v>7098</v>
      </c>
      <c r="AO25" s="22">
        <v>7032</v>
      </c>
      <c r="AP25" s="22">
        <v>7010</v>
      </c>
      <c r="AQ25" s="22">
        <v>6936</v>
      </c>
      <c r="AR25" s="22">
        <v>7213</v>
      </c>
      <c r="AS25" s="22">
        <v>7220</v>
      </c>
      <c r="AT25" s="22">
        <v>7428</v>
      </c>
      <c r="AU25" s="22">
        <v>7375</v>
      </c>
      <c r="AV25" s="22">
        <v>7475</v>
      </c>
      <c r="AW25" s="22">
        <v>7237</v>
      </c>
      <c r="AX25" s="22">
        <v>7180</v>
      </c>
      <c r="AY25" s="22">
        <v>7149</v>
      </c>
      <c r="AZ25" s="22">
        <v>6808</v>
      </c>
      <c r="BA25" s="22">
        <v>5691</v>
      </c>
      <c r="BB25" s="22">
        <v>5681</v>
      </c>
      <c r="BC25" s="22">
        <v>5600</v>
      </c>
      <c r="BD25" s="22">
        <v>5665</v>
      </c>
      <c r="BE25" s="22">
        <v>5781</v>
      </c>
      <c r="BF25" s="22">
        <v>5711</v>
      </c>
      <c r="BG25" s="22">
        <v>5783</v>
      </c>
      <c r="BH25" s="22">
        <v>5961</v>
      </c>
      <c r="BI25" s="22">
        <v>5991</v>
      </c>
      <c r="BJ25" s="22">
        <v>5954</v>
      </c>
      <c r="BK25" s="22">
        <v>6071</v>
      </c>
      <c r="BL25" s="22">
        <v>6043</v>
      </c>
      <c r="BM25" s="1">
        <v>6065</v>
      </c>
      <c r="BN25" s="1">
        <v>5996</v>
      </c>
      <c r="BO25" s="1">
        <v>6084</v>
      </c>
      <c r="BP25" s="1">
        <v>6208</v>
      </c>
    </row>
    <row r="26" spans="1:68" ht="15.9" customHeight="1">
      <c r="A26" s="68" t="s">
        <v>47</v>
      </c>
      <c r="B26" s="44" t="s">
        <v>48</v>
      </c>
      <c r="C26" s="48" t="str">
        <f>_xll.RssMarket("8591","安値")</f>
        <v/>
      </c>
      <c r="D26" s="16" t="e">
        <f t="shared" si="0"/>
        <v>#VALUE!</v>
      </c>
      <c r="E26" s="22">
        <v>6115</v>
      </c>
      <c r="F26" s="22">
        <v>6509</v>
      </c>
      <c r="G26" s="22">
        <v>6321</v>
      </c>
      <c r="H26" s="22">
        <v>6364</v>
      </c>
      <c r="I26" s="22">
        <v>6419</v>
      </c>
      <c r="J26" s="22">
        <v>6311</v>
      </c>
      <c r="K26" s="22">
        <v>6326</v>
      </c>
      <c r="L26" s="22">
        <v>6417</v>
      </c>
      <c r="M26" s="22">
        <v>6332</v>
      </c>
      <c r="N26" s="22">
        <v>6209</v>
      </c>
      <c r="O26" s="22">
        <v>6187</v>
      </c>
      <c r="P26" s="22">
        <v>6145</v>
      </c>
      <c r="Q26" s="22">
        <v>6128</v>
      </c>
      <c r="R26" s="22">
        <v>6077</v>
      </c>
      <c r="S26" s="22">
        <v>6109</v>
      </c>
      <c r="T26" s="22">
        <v>6091</v>
      </c>
      <c r="U26" s="22">
        <v>6144</v>
      </c>
      <c r="V26" s="22">
        <v>6333</v>
      </c>
      <c r="W26" s="22">
        <v>6280</v>
      </c>
      <c r="X26" s="22">
        <v>6306</v>
      </c>
      <c r="Y26" s="22">
        <v>6375</v>
      </c>
      <c r="Z26" s="22">
        <v>6280</v>
      </c>
      <c r="AA26" s="22">
        <v>6168</v>
      </c>
      <c r="AB26" s="22">
        <v>6142</v>
      </c>
      <c r="AC26" s="22">
        <v>6056</v>
      </c>
      <c r="AD26" s="22">
        <v>5961</v>
      </c>
      <c r="AE26" s="22">
        <v>6145</v>
      </c>
      <c r="AF26" s="22">
        <v>6014</v>
      </c>
      <c r="AG26" s="22">
        <v>6113</v>
      </c>
      <c r="AH26" s="22">
        <v>6211</v>
      </c>
      <c r="AI26" s="22">
        <v>6215</v>
      </c>
      <c r="AJ26" s="22">
        <v>6047</v>
      </c>
      <c r="AK26" s="22">
        <v>6087</v>
      </c>
      <c r="AL26" s="22">
        <v>6042</v>
      </c>
      <c r="AM26" s="22">
        <v>6156</v>
      </c>
      <c r="AN26" s="22">
        <v>6187</v>
      </c>
      <c r="AO26" s="22">
        <v>6156</v>
      </c>
      <c r="AP26" s="22">
        <v>6210</v>
      </c>
      <c r="AQ26" s="22">
        <v>5960</v>
      </c>
      <c r="AR26" s="22">
        <v>5797</v>
      </c>
      <c r="AS26" s="22">
        <v>5716</v>
      </c>
      <c r="AT26" s="22">
        <v>5724</v>
      </c>
      <c r="AU26" s="22">
        <v>5782</v>
      </c>
      <c r="AV26" s="22">
        <v>5875</v>
      </c>
      <c r="AW26" s="22">
        <v>5801</v>
      </c>
      <c r="AX26" s="22">
        <v>5338</v>
      </c>
      <c r="AY26" s="22">
        <v>5247</v>
      </c>
      <c r="AZ26" s="22">
        <v>5181</v>
      </c>
      <c r="BA26" s="22">
        <v>5164</v>
      </c>
      <c r="BB26" s="22">
        <v>5112</v>
      </c>
      <c r="BC26" s="22">
        <v>5261</v>
      </c>
      <c r="BD26" s="22">
        <v>4768</v>
      </c>
      <c r="BE26" s="22">
        <v>4805</v>
      </c>
      <c r="BF26" s="22">
        <v>4811</v>
      </c>
      <c r="BG26" s="22">
        <v>4881</v>
      </c>
      <c r="BH26" s="22">
        <v>4947</v>
      </c>
      <c r="BI26" s="22">
        <v>5005</v>
      </c>
      <c r="BJ26" s="22">
        <v>4978</v>
      </c>
      <c r="BK26" s="22">
        <v>5052</v>
      </c>
      <c r="BL26" s="22">
        <v>5015</v>
      </c>
      <c r="BM26" s="1">
        <v>4891</v>
      </c>
      <c r="BN26" s="1">
        <v>4801</v>
      </c>
      <c r="BO26" s="1">
        <v>4866</v>
      </c>
      <c r="BP26" s="1">
        <v>4830</v>
      </c>
    </row>
    <row r="27" spans="1:68" ht="15.9" customHeight="1">
      <c r="A27" s="68" t="s">
        <v>49</v>
      </c>
      <c r="B27" s="44" t="s">
        <v>50</v>
      </c>
      <c r="C27" s="48" t="str">
        <f>_xll.RssMarket("3401","安値")</f>
        <v/>
      </c>
      <c r="D27" s="16" t="e">
        <f t="shared" si="0"/>
        <v>#VALUE!</v>
      </c>
      <c r="E27" s="22">
        <v>1666</v>
      </c>
      <c r="F27" s="22">
        <v>1672</v>
      </c>
      <c r="G27" s="22">
        <v>1654</v>
      </c>
      <c r="H27" s="22">
        <v>1641</v>
      </c>
      <c r="I27" s="22">
        <v>1655</v>
      </c>
      <c r="J27" s="22">
        <v>1677</v>
      </c>
      <c r="K27" s="22">
        <v>1717</v>
      </c>
      <c r="L27" s="22">
        <v>1710.5</v>
      </c>
      <c r="M27" s="22">
        <v>1715.5</v>
      </c>
      <c r="N27" s="22">
        <v>1654.5</v>
      </c>
      <c r="O27" s="22">
        <v>1628</v>
      </c>
      <c r="P27" s="22">
        <v>1615.5</v>
      </c>
      <c r="Q27" s="22">
        <v>1617.5</v>
      </c>
      <c r="R27" s="22">
        <v>1621.5</v>
      </c>
      <c r="S27" s="22">
        <v>1600</v>
      </c>
      <c r="T27" s="22">
        <v>1578.5</v>
      </c>
      <c r="U27" s="22">
        <v>1587.5</v>
      </c>
      <c r="V27" s="22">
        <v>1591</v>
      </c>
      <c r="W27" s="22">
        <v>1594.5</v>
      </c>
      <c r="X27" s="22">
        <v>1620.5</v>
      </c>
      <c r="Y27" s="22">
        <v>1628</v>
      </c>
      <c r="Z27" s="22">
        <v>1625.5</v>
      </c>
      <c r="AA27" s="22">
        <v>1654.5</v>
      </c>
      <c r="AB27" s="22">
        <v>1625</v>
      </c>
      <c r="AC27" s="22">
        <v>1581.5</v>
      </c>
      <c r="AD27" s="22">
        <v>1612</v>
      </c>
      <c r="AE27" s="22">
        <v>1564.5</v>
      </c>
      <c r="AF27" s="22">
        <v>1605</v>
      </c>
      <c r="AG27" s="22">
        <v>1601.5</v>
      </c>
      <c r="AH27" s="22">
        <v>1608</v>
      </c>
      <c r="AI27" s="22">
        <v>1590</v>
      </c>
      <c r="AJ27" s="22">
        <v>1607.5</v>
      </c>
      <c r="AK27" s="22">
        <v>1585.5</v>
      </c>
      <c r="AL27" s="22">
        <v>1601.5</v>
      </c>
      <c r="AM27" s="22">
        <v>1561.5</v>
      </c>
      <c r="AN27" s="22">
        <v>1596.5</v>
      </c>
      <c r="AO27" s="22">
        <v>1594</v>
      </c>
      <c r="AP27" s="22">
        <v>1626</v>
      </c>
      <c r="AQ27" s="22">
        <v>1611</v>
      </c>
      <c r="AR27" s="22">
        <v>1642.5</v>
      </c>
      <c r="AS27" s="22">
        <v>1717</v>
      </c>
      <c r="AT27" s="22">
        <v>1653</v>
      </c>
      <c r="AU27" s="22">
        <v>1599</v>
      </c>
      <c r="AV27" s="22">
        <v>1556.5</v>
      </c>
      <c r="AW27" s="22">
        <v>1550</v>
      </c>
      <c r="AX27" s="22">
        <v>1573.5</v>
      </c>
      <c r="AY27" s="22">
        <v>1545.5</v>
      </c>
      <c r="AZ27" s="22">
        <v>4838</v>
      </c>
      <c r="BA27" s="22">
        <v>1580</v>
      </c>
      <c r="BB27" s="22">
        <v>4751</v>
      </c>
      <c r="BC27" s="22">
        <v>1568</v>
      </c>
      <c r="BD27" s="22">
        <v>4729</v>
      </c>
      <c r="BE27" s="22">
        <v>1536</v>
      </c>
      <c r="BF27" s="22">
        <v>4700</v>
      </c>
      <c r="BG27" s="22">
        <v>1549.5</v>
      </c>
      <c r="BH27" s="22">
        <v>4776</v>
      </c>
      <c r="BI27" s="22">
        <v>1562</v>
      </c>
      <c r="BJ27" s="22">
        <v>4896</v>
      </c>
      <c r="BK27" s="22">
        <v>1585</v>
      </c>
      <c r="BL27" s="22">
        <v>4893</v>
      </c>
      <c r="BM27" s="1">
        <v>1559</v>
      </c>
      <c r="BN27" s="1">
        <v>4764</v>
      </c>
      <c r="BO27" s="1">
        <v>1524</v>
      </c>
      <c r="BP27" s="1">
        <v>4890</v>
      </c>
    </row>
    <row r="28" spans="1:68" ht="15.9" customHeight="1">
      <c r="A28" s="68" t="s">
        <v>51</v>
      </c>
      <c r="B28" s="44" t="s">
        <v>52</v>
      </c>
      <c r="C28" s="48" t="str">
        <f>_xll.RssMarket("3436","安値")</f>
        <v/>
      </c>
      <c r="D28" s="16" t="e">
        <f t="shared" si="0"/>
        <v>#VALUE!</v>
      </c>
      <c r="E28" s="22">
        <v>3914</v>
      </c>
      <c r="F28" s="22">
        <v>5006</v>
      </c>
      <c r="G28" s="22">
        <v>4822</v>
      </c>
      <c r="H28" s="22">
        <v>5133</v>
      </c>
      <c r="I28" s="22">
        <v>4790</v>
      </c>
      <c r="J28" s="22">
        <v>4468</v>
      </c>
      <c r="K28" s="22">
        <v>4336</v>
      </c>
      <c r="L28" s="22">
        <v>4537</v>
      </c>
      <c r="M28" s="22">
        <v>4920</v>
      </c>
      <c r="N28" s="22">
        <v>4119</v>
      </c>
      <c r="O28" s="22">
        <v>4389</v>
      </c>
      <c r="P28" s="22">
        <v>4112</v>
      </c>
      <c r="Q28" s="22">
        <v>3756</v>
      </c>
      <c r="R28" s="22">
        <v>3628</v>
      </c>
      <c r="S28" s="22">
        <v>3649</v>
      </c>
      <c r="T28" s="22">
        <v>3723</v>
      </c>
      <c r="U28" s="22">
        <v>3572</v>
      </c>
      <c r="V28" s="22">
        <v>3817</v>
      </c>
      <c r="W28" s="22">
        <v>4188</v>
      </c>
      <c r="X28" s="22">
        <v>4193</v>
      </c>
      <c r="Y28" s="22">
        <v>4090</v>
      </c>
      <c r="Z28" s="22">
        <v>3978</v>
      </c>
      <c r="AA28" s="22">
        <v>4108</v>
      </c>
      <c r="AB28" s="22">
        <v>3820</v>
      </c>
      <c r="AC28" s="22">
        <v>3562</v>
      </c>
      <c r="AD28" s="22">
        <v>2954</v>
      </c>
      <c r="AE28" s="22">
        <v>3102</v>
      </c>
      <c r="AF28" s="22">
        <v>3461</v>
      </c>
      <c r="AG28" s="22">
        <v>3865</v>
      </c>
      <c r="AH28" s="22">
        <v>4190</v>
      </c>
      <c r="AI28" s="22">
        <v>4178</v>
      </c>
      <c r="AJ28" s="22">
        <v>4015</v>
      </c>
      <c r="AK28" s="22">
        <v>3704</v>
      </c>
      <c r="AL28" s="22">
        <v>3137</v>
      </c>
      <c r="AM28" s="22">
        <v>3220</v>
      </c>
      <c r="AN28" s="22">
        <v>3317</v>
      </c>
      <c r="AO28" s="22">
        <v>3173</v>
      </c>
      <c r="AP28" s="22">
        <v>2956.5</v>
      </c>
      <c r="AQ28" s="22">
        <v>2941</v>
      </c>
      <c r="AR28" s="22">
        <v>2922</v>
      </c>
      <c r="AS28" s="22">
        <v>2889</v>
      </c>
      <c r="AT28" s="22">
        <v>3033</v>
      </c>
      <c r="AU28" s="22">
        <v>3337</v>
      </c>
      <c r="AV28" s="22">
        <v>3060</v>
      </c>
      <c r="AW28" s="22">
        <v>3535</v>
      </c>
      <c r="AX28" s="22">
        <v>3420</v>
      </c>
      <c r="AY28" s="22">
        <v>2985</v>
      </c>
      <c r="AZ28" s="22">
        <v>3033</v>
      </c>
      <c r="BA28" s="22">
        <v>2367</v>
      </c>
      <c r="BB28" s="22">
        <v>2452.5</v>
      </c>
      <c r="BC28" s="22">
        <v>2305.5</v>
      </c>
      <c r="BD28" s="22">
        <v>2239.5</v>
      </c>
      <c r="BE28" s="22">
        <v>2153.5</v>
      </c>
      <c r="BF28" s="22">
        <v>2110</v>
      </c>
      <c r="BG28" s="22">
        <v>2211</v>
      </c>
      <c r="BH28" s="22">
        <v>2134.5</v>
      </c>
      <c r="BI28" s="22">
        <v>2041</v>
      </c>
      <c r="BJ28" s="22">
        <v>2095</v>
      </c>
      <c r="BK28" s="22">
        <v>2238.5</v>
      </c>
      <c r="BL28" s="22">
        <v>2155</v>
      </c>
      <c r="BM28" s="1">
        <v>2151</v>
      </c>
      <c r="BN28" s="1">
        <v>1990</v>
      </c>
      <c r="BO28" s="1">
        <v>1988.5</v>
      </c>
      <c r="BP28" s="1">
        <v>1882</v>
      </c>
    </row>
    <row r="29" spans="1:68" ht="15.9" customHeight="1">
      <c r="A29" s="68" t="s">
        <v>53</v>
      </c>
      <c r="B29" s="44" t="s">
        <v>54</v>
      </c>
      <c r="C29" s="48" t="str">
        <f>_xll.RssMarket("5020","安値")</f>
        <v/>
      </c>
      <c r="D29" s="16" t="e">
        <f t="shared" si="0"/>
        <v>#VALUE!</v>
      </c>
      <c r="E29" s="22">
        <v>1229</v>
      </c>
      <c r="F29" s="22">
        <v>1271</v>
      </c>
      <c r="G29" s="22">
        <v>1249.5</v>
      </c>
      <c r="H29" s="22">
        <v>1244</v>
      </c>
      <c r="I29" s="22">
        <v>1240.5</v>
      </c>
      <c r="J29" s="22">
        <v>1246</v>
      </c>
      <c r="K29" s="22">
        <v>1241.5</v>
      </c>
      <c r="L29" s="22">
        <v>1245</v>
      </c>
      <c r="M29" s="22">
        <v>1225</v>
      </c>
      <c r="N29" s="22">
        <v>1216.5</v>
      </c>
      <c r="O29" s="22">
        <v>1203</v>
      </c>
      <c r="P29" s="22">
        <v>1191.5</v>
      </c>
      <c r="Q29" s="22">
        <v>1179.5</v>
      </c>
      <c r="R29" s="22">
        <v>1182</v>
      </c>
      <c r="S29" s="22">
        <v>1190</v>
      </c>
      <c r="T29" s="22">
        <v>1188</v>
      </c>
      <c r="U29" s="22">
        <v>1199.5</v>
      </c>
      <c r="V29" s="22">
        <v>1238.5</v>
      </c>
      <c r="W29" s="22">
        <v>1249</v>
      </c>
      <c r="X29" s="22">
        <v>1192.5</v>
      </c>
      <c r="Y29" s="22">
        <v>1220</v>
      </c>
      <c r="Z29" s="22">
        <v>1228.5</v>
      </c>
      <c r="AA29" s="22">
        <v>1219</v>
      </c>
      <c r="AB29" s="22">
        <v>1228</v>
      </c>
      <c r="AC29" s="22">
        <v>1217</v>
      </c>
      <c r="AD29" s="22">
        <v>1201</v>
      </c>
      <c r="AE29" s="22">
        <v>1202</v>
      </c>
      <c r="AF29" s="22">
        <v>1225.5</v>
      </c>
      <c r="AG29" s="22">
        <v>1271.5</v>
      </c>
      <c r="AH29" s="22">
        <v>1283</v>
      </c>
      <c r="AI29" s="22">
        <v>1305.5</v>
      </c>
      <c r="AJ29" s="22">
        <v>1242.5</v>
      </c>
      <c r="AK29" s="22">
        <v>1280.5</v>
      </c>
      <c r="AL29" s="22">
        <v>1279</v>
      </c>
      <c r="AM29" s="22">
        <v>1290</v>
      </c>
      <c r="AN29" s="22">
        <v>1277</v>
      </c>
      <c r="AO29" s="22">
        <v>1282.5</v>
      </c>
      <c r="AP29" s="22">
        <v>1295.5</v>
      </c>
      <c r="AQ29" s="22">
        <v>1305.5</v>
      </c>
      <c r="AR29" s="22">
        <v>1340.5</v>
      </c>
      <c r="AS29" s="22">
        <v>1358</v>
      </c>
      <c r="AT29" s="22">
        <v>1350</v>
      </c>
      <c r="AU29" s="22">
        <v>1266</v>
      </c>
      <c r="AV29" s="22">
        <v>1335.5</v>
      </c>
      <c r="AW29" s="22">
        <v>1343.5</v>
      </c>
      <c r="AX29" s="22">
        <v>1280.5</v>
      </c>
      <c r="AY29" s="22">
        <v>1266.5</v>
      </c>
      <c r="AZ29" s="22">
        <v>1311</v>
      </c>
      <c r="BA29" s="22">
        <v>1278.5</v>
      </c>
      <c r="BB29" s="22">
        <v>1276</v>
      </c>
      <c r="BC29" s="22">
        <v>1285</v>
      </c>
      <c r="BD29" s="22">
        <v>1257.5</v>
      </c>
      <c r="BE29" s="22">
        <v>1284.5</v>
      </c>
      <c r="BF29" s="22">
        <v>1287</v>
      </c>
      <c r="BG29" s="22">
        <v>1310</v>
      </c>
      <c r="BH29" s="22">
        <v>1325.5</v>
      </c>
      <c r="BI29" s="22">
        <v>1328.5</v>
      </c>
      <c r="BJ29" s="22">
        <v>1375</v>
      </c>
      <c r="BK29" s="22">
        <v>1406.5</v>
      </c>
      <c r="BL29" s="22">
        <v>1402.5</v>
      </c>
      <c r="BM29" s="1">
        <v>1392.5</v>
      </c>
      <c r="BN29" s="1">
        <v>1426.5</v>
      </c>
      <c r="BO29" s="1">
        <v>1416.5</v>
      </c>
      <c r="BP29" s="1">
        <v>1439</v>
      </c>
    </row>
    <row r="30" spans="1:68" ht="15.9" customHeight="1">
      <c r="A30" s="68" t="s">
        <v>55</v>
      </c>
      <c r="B30" s="44" t="s">
        <v>56</v>
      </c>
      <c r="C30" s="48" t="str">
        <f>_xll.RssMarket("6254","安値")</f>
        <v/>
      </c>
      <c r="D30" s="16" t="e">
        <f t="shared" si="0"/>
        <v>#VALUE!</v>
      </c>
      <c r="E30" s="22">
        <v>3700</v>
      </c>
      <c r="F30" s="22">
        <v>4280</v>
      </c>
      <c r="G30" s="22">
        <v>4155</v>
      </c>
      <c r="H30" s="22">
        <v>4330</v>
      </c>
      <c r="I30" s="22">
        <v>4510</v>
      </c>
      <c r="J30" s="22">
        <v>4235</v>
      </c>
      <c r="K30" s="22">
        <v>4190</v>
      </c>
      <c r="L30" s="22">
        <v>4360</v>
      </c>
      <c r="M30" s="22">
        <v>4630</v>
      </c>
      <c r="N30" s="22">
        <v>4530</v>
      </c>
      <c r="O30" s="22">
        <v>4665</v>
      </c>
      <c r="P30" s="22">
        <v>5060</v>
      </c>
      <c r="Q30" s="22">
        <v>4810</v>
      </c>
      <c r="R30" s="22">
        <v>4435</v>
      </c>
      <c r="S30" s="22">
        <v>4535</v>
      </c>
      <c r="T30" s="22">
        <v>4810</v>
      </c>
      <c r="U30" s="22">
        <v>4675</v>
      </c>
      <c r="V30" s="22">
        <v>5010</v>
      </c>
      <c r="W30" s="22">
        <v>4840</v>
      </c>
      <c r="X30" s="22">
        <v>4715</v>
      </c>
      <c r="Y30" s="22">
        <v>4940</v>
      </c>
      <c r="Z30" s="22">
        <v>4495</v>
      </c>
      <c r="AA30" s="22">
        <v>4485</v>
      </c>
      <c r="AB30" s="22">
        <v>4525</v>
      </c>
      <c r="AC30" s="22">
        <v>4090</v>
      </c>
      <c r="AD30" s="22">
        <v>3695</v>
      </c>
      <c r="AE30" s="22">
        <v>3915</v>
      </c>
      <c r="AF30" s="22">
        <v>3905</v>
      </c>
      <c r="AG30" s="22">
        <v>4180</v>
      </c>
      <c r="AH30" s="22">
        <v>4290</v>
      </c>
      <c r="AI30" s="22">
        <v>4245</v>
      </c>
      <c r="AJ30" s="22">
        <v>4200</v>
      </c>
      <c r="AK30" s="22">
        <v>4575</v>
      </c>
      <c r="AL30" s="22">
        <v>4485</v>
      </c>
      <c r="AM30" s="22">
        <v>4625</v>
      </c>
      <c r="AN30" s="22">
        <v>5090</v>
      </c>
      <c r="AO30" s="22">
        <v>4710</v>
      </c>
      <c r="AP30" s="22">
        <v>4475</v>
      </c>
      <c r="AQ30" s="22">
        <v>4375</v>
      </c>
      <c r="AR30" s="22">
        <v>4595</v>
      </c>
      <c r="AS30" s="22">
        <v>4710</v>
      </c>
      <c r="AT30" s="22">
        <v>4750</v>
      </c>
      <c r="AU30" s="22">
        <v>4265</v>
      </c>
      <c r="AV30" s="22">
        <v>4260</v>
      </c>
      <c r="AW30" s="22">
        <v>4415</v>
      </c>
      <c r="AX30" s="22">
        <v>4510</v>
      </c>
      <c r="AY30" s="22">
        <v>4005</v>
      </c>
      <c r="AZ30" s="22">
        <v>3900</v>
      </c>
      <c r="BA30" s="22">
        <v>3620</v>
      </c>
      <c r="BB30" s="22">
        <v>3655</v>
      </c>
      <c r="BC30" s="22">
        <v>3665</v>
      </c>
      <c r="BD30" s="22">
        <v>3620</v>
      </c>
      <c r="BE30" s="22">
        <v>3630</v>
      </c>
      <c r="BF30" s="22">
        <v>3600</v>
      </c>
      <c r="BG30" s="22">
        <v>3660</v>
      </c>
      <c r="BH30" s="22">
        <v>3795</v>
      </c>
      <c r="BI30" s="22">
        <v>3785</v>
      </c>
      <c r="BJ30" s="22">
        <v>3660</v>
      </c>
      <c r="BK30" s="22">
        <v>3655</v>
      </c>
      <c r="BL30" s="22">
        <v>3565</v>
      </c>
      <c r="BM30" s="1">
        <v>3590</v>
      </c>
      <c r="BN30" s="1">
        <v>3500</v>
      </c>
      <c r="BO30" s="1">
        <v>3455</v>
      </c>
      <c r="BP30" s="1">
        <v>3335</v>
      </c>
    </row>
    <row r="31" spans="1:68" ht="15.9" customHeight="1">
      <c r="A31" s="68" t="s">
        <v>57</v>
      </c>
      <c r="B31" s="44" t="s">
        <v>58</v>
      </c>
      <c r="C31" s="48" t="str">
        <f>_xll.RssMarket("8309","安値")</f>
        <v/>
      </c>
      <c r="D31" s="16" t="e">
        <f t="shared" si="0"/>
        <v>#VALUE!</v>
      </c>
      <c r="E31" s="22">
        <v>6362</v>
      </c>
      <c r="F31" s="22">
        <v>6662</v>
      </c>
      <c r="G31" s="22">
        <v>6542</v>
      </c>
      <c r="H31" s="22">
        <v>6572</v>
      </c>
      <c r="I31" s="22">
        <v>6505</v>
      </c>
      <c r="J31" s="22">
        <v>6531</v>
      </c>
      <c r="K31" s="22">
        <v>6525</v>
      </c>
      <c r="L31" s="22">
        <v>6531</v>
      </c>
      <c r="M31" s="22">
        <v>6352</v>
      </c>
      <c r="N31" s="22">
        <v>6283</v>
      </c>
      <c r="O31" s="22">
        <v>6153</v>
      </c>
      <c r="P31" s="22">
        <v>6071</v>
      </c>
      <c r="Q31" s="22">
        <v>6030</v>
      </c>
      <c r="R31" s="22">
        <v>5943</v>
      </c>
      <c r="S31" s="22">
        <v>5940</v>
      </c>
      <c r="T31" s="22">
        <v>5908</v>
      </c>
      <c r="U31" s="22">
        <v>5883</v>
      </c>
      <c r="V31" s="22">
        <v>6048</v>
      </c>
      <c r="W31" s="22">
        <v>5990</v>
      </c>
      <c r="X31" s="22">
        <v>6030</v>
      </c>
      <c r="Y31" s="22">
        <v>6066</v>
      </c>
      <c r="Z31" s="22">
        <v>6002</v>
      </c>
      <c r="AA31" s="22">
        <v>5911</v>
      </c>
      <c r="AB31" s="22">
        <v>6002</v>
      </c>
      <c r="AC31" s="22">
        <v>5915</v>
      </c>
      <c r="AD31" s="22">
        <v>5832</v>
      </c>
      <c r="AE31" s="22">
        <v>5887</v>
      </c>
      <c r="AF31" s="22">
        <v>5715</v>
      </c>
      <c r="AG31" s="22">
        <v>5805</v>
      </c>
      <c r="AH31" s="22">
        <v>5628</v>
      </c>
      <c r="AI31" s="22">
        <v>5576</v>
      </c>
      <c r="AJ31" s="22">
        <v>5380</v>
      </c>
      <c r="AK31" s="22">
        <v>5474</v>
      </c>
      <c r="AL31" s="22">
        <v>5499</v>
      </c>
      <c r="AM31" s="22">
        <v>5576</v>
      </c>
      <c r="AN31" s="22">
        <v>5572</v>
      </c>
      <c r="AO31" s="22">
        <v>5596</v>
      </c>
      <c r="AP31" s="22">
        <v>5692</v>
      </c>
      <c r="AQ31" s="22">
        <v>5576</v>
      </c>
      <c r="AR31" s="22">
        <v>5557</v>
      </c>
      <c r="AS31" s="22">
        <v>5455</v>
      </c>
      <c r="AT31" s="22">
        <v>5533</v>
      </c>
      <c r="AU31" s="22">
        <v>5623</v>
      </c>
      <c r="AV31" s="22">
        <v>5529</v>
      </c>
      <c r="AW31" s="22">
        <v>5526</v>
      </c>
      <c r="AX31" s="22">
        <v>5381</v>
      </c>
      <c r="AY31" s="22">
        <v>5326</v>
      </c>
      <c r="AZ31" s="22">
        <v>5394</v>
      </c>
      <c r="BA31" s="22">
        <v>5203</v>
      </c>
      <c r="BB31" s="22">
        <v>5139</v>
      </c>
      <c r="BC31" s="22">
        <v>5124</v>
      </c>
      <c r="BD31" s="22">
        <v>5018</v>
      </c>
      <c r="BE31" s="22">
        <v>5088</v>
      </c>
      <c r="BF31" s="22">
        <v>5091</v>
      </c>
      <c r="BG31" s="22">
        <v>5135</v>
      </c>
      <c r="BH31" s="22">
        <v>5176</v>
      </c>
      <c r="BI31" s="22">
        <v>5307</v>
      </c>
      <c r="BJ31" s="22">
        <v>5365</v>
      </c>
      <c r="BK31" s="22">
        <v>5457</v>
      </c>
      <c r="BL31" s="22">
        <v>5408</v>
      </c>
      <c r="BM31" s="1">
        <v>5343</v>
      </c>
      <c r="BN31" s="1">
        <v>5305</v>
      </c>
      <c r="BO31" s="1">
        <v>5310</v>
      </c>
      <c r="BP31" s="1">
        <v>5279</v>
      </c>
    </row>
    <row r="32" spans="1:68" ht="15.9" customHeight="1">
      <c r="A32" s="68" t="s">
        <v>59</v>
      </c>
      <c r="B32" s="44" t="s">
        <v>60</v>
      </c>
      <c r="C32" s="48" t="str">
        <f>_xll.RssMarket("3863","安値")</f>
        <v/>
      </c>
      <c r="D32" s="16" t="e">
        <f t="shared" si="0"/>
        <v>#VALUE!</v>
      </c>
      <c r="E32" s="22">
        <v>1442</v>
      </c>
      <c r="F32" s="22">
        <v>1344</v>
      </c>
      <c r="G32" s="22">
        <v>1345</v>
      </c>
      <c r="H32" s="22">
        <v>1319</v>
      </c>
      <c r="I32" s="22">
        <v>1298</v>
      </c>
      <c r="J32" s="22">
        <v>1316</v>
      </c>
      <c r="K32" s="22">
        <v>1334</v>
      </c>
      <c r="L32" s="22">
        <v>1325</v>
      </c>
      <c r="M32" s="22">
        <v>1307</v>
      </c>
      <c r="N32" s="22">
        <v>1306</v>
      </c>
      <c r="O32" s="22">
        <v>1307</v>
      </c>
      <c r="P32" s="22">
        <v>1273</v>
      </c>
      <c r="Q32" s="22">
        <v>1264</v>
      </c>
      <c r="R32" s="22">
        <v>1254</v>
      </c>
      <c r="S32" s="22">
        <v>1238</v>
      </c>
      <c r="T32" s="22">
        <v>1201</v>
      </c>
      <c r="U32" s="22">
        <v>1191</v>
      </c>
      <c r="V32" s="22">
        <v>1184</v>
      </c>
      <c r="W32" s="22">
        <v>1191</v>
      </c>
      <c r="X32" s="22">
        <v>1163</v>
      </c>
      <c r="Y32" s="22">
        <v>1190</v>
      </c>
      <c r="Z32" s="22">
        <v>1241</v>
      </c>
      <c r="AA32" s="22">
        <v>1219</v>
      </c>
      <c r="AB32" s="22">
        <v>1223</v>
      </c>
      <c r="AC32" s="22">
        <v>1204</v>
      </c>
      <c r="AD32" s="22">
        <v>1189</v>
      </c>
      <c r="AE32" s="22">
        <v>1207</v>
      </c>
      <c r="AF32" s="22">
        <v>1214</v>
      </c>
      <c r="AG32" s="22">
        <v>1173</v>
      </c>
      <c r="AH32" s="22">
        <v>1145</v>
      </c>
      <c r="AI32" s="22">
        <v>1172</v>
      </c>
      <c r="AJ32" s="22">
        <v>1194</v>
      </c>
      <c r="AK32" s="22">
        <v>1259</v>
      </c>
      <c r="AL32" s="22">
        <v>1339</v>
      </c>
      <c r="AM32" s="22">
        <v>1318</v>
      </c>
      <c r="AN32" s="22">
        <v>1359</v>
      </c>
      <c r="AO32" s="22">
        <v>1353</v>
      </c>
      <c r="AP32" s="22">
        <v>1368</v>
      </c>
      <c r="AQ32" s="22">
        <v>1348</v>
      </c>
      <c r="AR32" s="22">
        <v>1428</v>
      </c>
      <c r="AS32" s="22">
        <v>1414</v>
      </c>
      <c r="AT32" s="22">
        <v>1421</v>
      </c>
      <c r="AU32" s="22">
        <v>1456</v>
      </c>
      <c r="AV32" s="22">
        <v>1463</v>
      </c>
      <c r="AW32" s="22">
        <v>1445</v>
      </c>
      <c r="AX32" s="22">
        <v>1422</v>
      </c>
      <c r="AY32" s="22">
        <v>1399</v>
      </c>
      <c r="AZ32" s="22">
        <v>1372</v>
      </c>
      <c r="BA32" s="22">
        <v>1300</v>
      </c>
      <c r="BB32" s="22">
        <v>1247</v>
      </c>
      <c r="BC32" s="22">
        <v>1251</v>
      </c>
      <c r="BD32" s="22">
        <v>1288</v>
      </c>
      <c r="BE32" s="22">
        <v>1416</v>
      </c>
      <c r="BF32" s="22">
        <v>1332</v>
      </c>
      <c r="BG32" s="22">
        <v>1481</v>
      </c>
      <c r="BH32" s="22">
        <v>1457</v>
      </c>
      <c r="BI32" s="22">
        <v>1437</v>
      </c>
      <c r="BJ32" s="22">
        <v>1405</v>
      </c>
      <c r="BK32" s="22">
        <v>1372</v>
      </c>
      <c r="BL32" s="22">
        <v>1332</v>
      </c>
      <c r="BM32" s="1">
        <v>1311</v>
      </c>
      <c r="BN32" s="1">
        <v>1315</v>
      </c>
      <c r="BO32" s="1">
        <v>1307</v>
      </c>
      <c r="BP32" s="1">
        <v>1299</v>
      </c>
    </row>
    <row r="33" spans="1:68" ht="15.9" customHeight="1">
      <c r="A33" s="68" t="s">
        <v>61</v>
      </c>
      <c r="B33" s="44" t="s">
        <v>62</v>
      </c>
      <c r="C33" s="48" t="str">
        <f>_xll.RssMarket("8601","安値")</f>
        <v/>
      </c>
      <c r="D33" s="16" t="e">
        <f t="shared" si="0"/>
        <v>#VALUE!</v>
      </c>
      <c r="E33" s="22">
        <v>1744</v>
      </c>
      <c r="F33" s="22">
        <v>1826.5</v>
      </c>
      <c r="G33" s="22">
        <v>1765.5</v>
      </c>
      <c r="H33" s="22">
        <v>1776</v>
      </c>
      <c r="I33" s="22">
        <v>1738.5</v>
      </c>
      <c r="J33" s="22">
        <v>1717</v>
      </c>
      <c r="K33" s="22">
        <v>1751.5</v>
      </c>
      <c r="L33" s="22">
        <v>1727</v>
      </c>
      <c r="M33" s="22">
        <v>1685.5</v>
      </c>
      <c r="N33" s="22">
        <v>1654</v>
      </c>
      <c r="O33" s="22">
        <v>1620</v>
      </c>
      <c r="P33" s="22">
        <v>1600</v>
      </c>
      <c r="Q33" s="22">
        <v>1591.5</v>
      </c>
      <c r="R33" s="22">
        <v>1581.5</v>
      </c>
      <c r="S33" s="22">
        <v>1589</v>
      </c>
      <c r="T33" s="22">
        <v>1572.5</v>
      </c>
      <c r="U33" s="22">
        <v>1569.5</v>
      </c>
      <c r="V33" s="22">
        <v>1587.5</v>
      </c>
      <c r="W33" s="22">
        <v>1581</v>
      </c>
      <c r="X33" s="22">
        <v>1588</v>
      </c>
      <c r="Y33" s="22">
        <v>1608.5</v>
      </c>
      <c r="Z33" s="22">
        <v>1593</v>
      </c>
      <c r="AA33" s="22">
        <v>1568</v>
      </c>
      <c r="AB33" s="22">
        <v>1591.5</v>
      </c>
      <c r="AC33" s="22">
        <v>1546.5</v>
      </c>
      <c r="AD33" s="22">
        <v>1518</v>
      </c>
      <c r="AE33" s="22">
        <v>1548.5</v>
      </c>
      <c r="AF33" s="22">
        <v>1516.5</v>
      </c>
      <c r="AG33" s="22">
        <v>1542</v>
      </c>
      <c r="AH33" s="22">
        <v>1522.5</v>
      </c>
      <c r="AI33" s="22">
        <v>1495</v>
      </c>
      <c r="AJ33" s="22">
        <v>1478</v>
      </c>
      <c r="AK33" s="22">
        <v>1476.5</v>
      </c>
      <c r="AL33" s="22">
        <v>1446</v>
      </c>
      <c r="AM33" s="22">
        <v>1442.5</v>
      </c>
      <c r="AN33" s="22">
        <v>1471</v>
      </c>
      <c r="AO33" s="22">
        <v>1482</v>
      </c>
      <c r="AP33" s="22">
        <v>1494</v>
      </c>
      <c r="AQ33" s="22">
        <v>1468</v>
      </c>
      <c r="AR33" s="22">
        <v>1479.5</v>
      </c>
      <c r="AS33" s="22">
        <v>1460.5</v>
      </c>
      <c r="AT33" s="22">
        <v>1474</v>
      </c>
      <c r="AU33" s="22">
        <v>1478</v>
      </c>
      <c r="AV33" s="22">
        <v>1464</v>
      </c>
      <c r="AW33" s="22">
        <v>1453</v>
      </c>
      <c r="AX33" s="22">
        <v>1439</v>
      </c>
      <c r="AY33" s="22">
        <v>1437</v>
      </c>
      <c r="AZ33" s="22">
        <v>1452.5</v>
      </c>
      <c r="BA33" s="22">
        <v>1423.5</v>
      </c>
      <c r="BB33" s="22">
        <v>1425</v>
      </c>
      <c r="BC33" s="22">
        <v>1412.5</v>
      </c>
      <c r="BD33" s="22">
        <v>1480</v>
      </c>
      <c r="BE33" s="22">
        <v>1490</v>
      </c>
      <c r="BF33" s="22">
        <v>1491</v>
      </c>
      <c r="BG33" s="22">
        <v>1498.5</v>
      </c>
      <c r="BH33" s="22">
        <v>1519</v>
      </c>
      <c r="BI33" s="22">
        <v>1517</v>
      </c>
      <c r="BJ33" s="22">
        <v>1526</v>
      </c>
      <c r="BK33" s="22">
        <v>1559</v>
      </c>
      <c r="BL33" s="22">
        <v>1565.5</v>
      </c>
      <c r="BM33" s="1">
        <v>1545.5</v>
      </c>
      <c r="BN33" s="1">
        <v>1524</v>
      </c>
      <c r="BO33" s="1">
        <v>1540</v>
      </c>
      <c r="BP33" s="1">
        <v>1531</v>
      </c>
    </row>
    <row r="34" spans="1:68" ht="15.9" customHeight="1">
      <c r="A34" s="68" t="s">
        <v>63</v>
      </c>
      <c r="B34" s="44" t="s">
        <v>64</v>
      </c>
      <c r="C34" s="48" t="str">
        <f>_xll.RssMarket("5233","安値")</f>
        <v/>
      </c>
      <c r="D34" s="16" t="e">
        <f t="shared" si="0"/>
        <v>#VALUE!</v>
      </c>
      <c r="E34" s="22">
        <v>3875</v>
      </c>
      <c r="F34" s="22">
        <v>3952</v>
      </c>
      <c r="G34" s="22">
        <v>3882</v>
      </c>
      <c r="H34" s="22">
        <v>3822</v>
      </c>
      <c r="I34" s="22">
        <v>3883</v>
      </c>
      <c r="J34" s="22">
        <v>3938</v>
      </c>
      <c r="K34" s="22">
        <v>3998</v>
      </c>
      <c r="L34" s="22">
        <v>4061</v>
      </c>
      <c r="M34" s="22">
        <v>4074</v>
      </c>
      <c r="N34" s="22">
        <v>4001</v>
      </c>
      <c r="O34" s="22">
        <v>3898</v>
      </c>
      <c r="P34" s="22">
        <v>3866</v>
      </c>
      <c r="Q34" s="22">
        <v>3971</v>
      </c>
      <c r="R34" s="22">
        <v>4018</v>
      </c>
      <c r="S34" s="22">
        <v>4080</v>
      </c>
      <c r="T34" s="22">
        <v>4089</v>
      </c>
      <c r="U34" s="22">
        <v>4067</v>
      </c>
      <c r="V34" s="22">
        <v>4124</v>
      </c>
      <c r="W34" s="22">
        <v>4190</v>
      </c>
      <c r="X34" s="22">
        <v>4280</v>
      </c>
      <c r="Y34" s="22">
        <v>4344</v>
      </c>
      <c r="Z34" s="22">
        <v>4302</v>
      </c>
      <c r="AA34" s="22">
        <v>4370</v>
      </c>
      <c r="AB34" s="22">
        <v>4301</v>
      </c>
      <c r="AC34" s="22">
        <v>4097</v>
      </c>
      <c r="AD34" s="22">
        <v>4000</v>
      </c>
      <c r="AE34" s="22">
        <v>4115</v>
      </c>
      <c r="AF34" s="22">
        <v>4204</v>
      </c>
      <c r="AG34" s="22">
        <v>4322</v>
      </c>
      <c r="AH34" s="22">
        <v>4361</v>
      </c>
      <c r="AI34" s="22">
        <v>4381</v>
      </c>
      <c r="AJ34" s="22">
        <v>4291</v>
      </c>
      <c r="AK34" s="22">
        <v>4475</v>
      </c>
      <c r="AL34" s="22">
        <v>4213</v>
      </c>
      <c r="AM34" s="22">
        <v>4171</v>
      </c>
      <c r="AN34" s="22">
        <v>4048</v>
      </c>
      <c r="AO34" s="22">
        <v>4113</v>
      </c>
      <c r="AP34" s="22">
        <v>4028</v>
      </c>
      <c r="AQ34" s="22">
        <v>3918</v>
      </c>
      <c r="AR34" s="22">
        <v>3883</v>
      </c>
      <c r="AS34" s="22">
        <v>3803</v>
      </c>
      <c r="AT34" s="22">
        <v>3959</v>
      </c>
      <c r="AU34" s="22">
        <v>4059</v>
      </c>
      <c r="AV34" s="22">
        <v>4053</v>
      </c>
      <c r="AW34" s="22">
        <v>3627</v>
      </c>
      <c r="AX34" s="22">
        <v>3541</v>
      </c>
      <c r="AY34" s="22">
        <v>3600</v>
      </c>
      <c r="AZ34" s="22">
        <v>3608</v>
      </c>
      <c r="BA34" s="22">
        <v>3518</v>
      </c>
      <c r="BB34" s="22">
        <v>3523</v>
      </c>
      <c r="BC34" s="22">
        <v>3601</v>
      </c>
      <c r="BD34" s="22">
        <v>3537</v>
      </c>
      <c r="BE34" s="22">
        <v>3519</v>
      </c>
      <c r="BF34" s="22">
        <v>3486</v>
      </c>
      <c r="BG34" s="22">
        <v>3601</v>
      </c>
      <c r="BH34" s="22">
        <v>3657</v>
      </c>
      <c r="BI34" s="22">
        <v>3661</v>
      </c>
      <c r="BJ34" s="22">
        <v>3646</v>
      </c>
      <c r="BK34" s="22">
        <v>3665</v>
      </c>
      <c r="BL34" s="22">
        <v>3664</v>
      </c>
      <c r="BM34" s="1">
        <v>3691</v>
      </c>
      <c r="BN34" s="1">
        <v>3672</v>
      </c>
      <c r="BO34" s="1">
        <v>3669</v>
      </c>
      <c r="BP34" s="1">
        <v>3689</v>
      </c>
    </row>
    <row r="35" spans="1:68" ht="15.9" customHeight="1">
      <c r="A35" s="68" t="s">
        <v>65</v>
      </c>
      <c r="B35" s="44" t="s">
        <v>66</v>
      </c>
      <c r="C35" s="48" t="str">
        <f>_xll.RssMarket("8308","安値")</f>
        <v/>
      </c>
      <c r="D35" s="16" t="e">
        <f t="shared" si="0"/>
        <v>#VALUE!</v>
      </c>
      <c r="E35" s="22">
        <v>2197</v>
      </c>
      <c r="F35" s="22">
        <v>2358.5</v>
      </c>
      <c r="G35" s="22">
        <v>2324.5</v>
      </c>
      <c r="H35" s="22">
        <v>2340</v>
      </c>
      <c r="I35" s="22">
        <v>2316.5</v>
      </c>
      <c r="J35" s="22">
        <v>2332</v>
      </c>
      <c r="K35" s="22">
        <v>2316.5</v>
      </c>
      <c r="L35" s="22">
        <v>2314.5</v>
      </c>
      <c r="M35" s="22">
        <v>2231.5</v>
      </c>
      <c r="N35" s="22">
        <v>2185</v>
      </c>
      <c r="O35" s="22">
        <v>2145</v>
      </c>
      <c r="P35" s="22">
        <v>2085</v>
      </c>
      <c r="Q35" s="22">
        <v>2106</v>
      </c>
      <c r="R35" s="22">
        <v>2074</v>
      </c>
      <c r="S35" s="22">
        <v>2078.5</v>
      </c>
      <c r="T35" s="22">
        <v>2098</v>
      </c>
      <c r="U35" s="22">
        <v>2108.5</v>
      </c>
      <c r="V35" s="22">
        <v>2162</v>
      </c>
      <c r="W35" s="22">
        <v>2150</v>
      </c>
      <c r="X35" s="22">
        <v>2193</v>
      </c>
      <c r="Y35" s="22">
        <v>2206</v>
      </c>
      <c r="Z35" s="22">
        <v>2160.5</v>
      </c>
      <c r="AA35" s="22">
        <v>2108.5</v>
      </c>
      <c r="AB35" s="22">
        <v>2201</v>
      </c>
      <c r="AC35" s="22">
        <v>2135.5</v>
      </c>
      <c r="AD35" s="22">
        <v>2089.5</v>
      </c>
      <c r="AE35" s="22">
        <v>2124</v>
      </c>
      <c r="AF35" s="22">
        <v>2043.5</v>
      </c>
      <c r="AG35" s="22">
        <v>2117</v>
      </c>
      <c r="AH35" s="22">
        <v>2049</v>
      </c>
      <c r="AI35" s="22">
        <v>2033.5</v>
      </c>
      <c r="AJ35" s="22">
        <v>1958</v>
      </c>
      <c r="AK35" s="22">
        <v>2032</v>
      </c>
      <c r="AL35" s="22">
        <v>2003</v>
      </c>
      <c r="AM35" s="22">
        <v>2023</v>
      </c>
      <c r="AN35" s="22">
        <v>2096.5</v>
      </c>
      <c r="AO35" s="22">
        <v>2099.5</v>
      </c>
      <c r="AP35" s="22">
        <v>2068</v>
      </c>
      <c r="AQ35" s="22">
        <v>2016</v>
      </c>
      <c r="AR35" s="22">
        <v>2033</v>
      </c>
      <c r="AS35" s="22">
        <v>2016.5</v>
      </c>
      <c r="AT35" s="22">
        <v>2006</v>
      </c>
      <c r="AU35" s="22">
        <v>2032.5</v>
      </c>
      <c r="AV35" s="22">
        <v>2022.5</v>
      </c>
      <c r="AW35" s="22">
        <v>1996.5</v>
      </c>
      <c r="AX35" s="22">
        <v>1933.5</v>
      </c>
      <c r="AY35" s="22">
        <v>1916.5</v>
      </c>
      <c r="AZ35" s="22">
        <v>1980</v>
      </c>
      <c r="BA35" s="22">
        <v>1892.5</v>
      </c>
      <c r="BB35" s="22">
        <v>1885</v>
      </c>
      <c r="BC35" s="22">
        <v>1851</v>
      </c>
      <c r="BD35" s="22">
        <v>1786</v>
      </c>
      <c r="BE35" s="22">
        <v>1810</v>
      </c>
      <c r="BF35" s="22">
        <v>1796</v>
      </c>
      <c r="BG35" s="22">
        <v>1854</v>
      </c>
      <c r="BH35" s="22">
        <v>1905</v>
      </c>
      <c r="BI35" s="22">
        <v>1948.5</v>
      </c>
      <c r="BJ35" s="22">
        <v>1926</v>
      </c>
      <c r="BK35" s="22">
        <v>1909.5</v>
      </c>
      <c r="BL35" s="22">
        <v>1904.5</v>
      </c>
      <c r="BM35" s="1">
        <v>1857.5</v>
      </c>
      <c r="BN35" s="1">
        <v>1871</v>
      </c>
      <c r="BO35" s="1">
        <v>1883</v>
      </c>
      <c r="BP35" s="1">
        <v>1877</v>
      </c>
    </row>
    <row r="36" spans="1:68" ht="15.9" customHeight="1">
      <c r="A36" s="68" t="s">
        <v>67</v>
      </c>
      <c r="B36" s="44" t="s">
        <v>68</v>
      </c>
      <c r="C36" s="48" t="str">
        <f>_xll.RssMarket("5938","安値")</f>
        <v/>
      </c>
      <c r="D36" s="16" t="e">
        <f t="shared" si="0"/>
        <v>#VALUE!</v>
      </c>
      <c r="E36" s="22">
        <v>1863</v>
      </c>
      <c r="F36" s="22">
        <v>1870</v>
      </c>
      <c r="G36" s="22">
        <v>1843.5</v>
      </c>
      <c r="H36" s="22">
        <v>1828</v>
      </c>
      <c r="I36" s="22">
        <v>1834</v>
      </c>
      <c r="J36" s="22">
        <v>1858</v>
      </c>
      <c r="K36" s="22">
        <v>1866</v>
      </c>
      <c r="L36" s="22">
        <v>1876</v>
      </c>
      <c r="M36" s="22">
        <v>1864</v>
      </c>
      <c r="N36" s="22">
        <v>1832.5</v>
      </c>
      <c r="O36" s="22">
        <v>1796</v>
      </c>
      <c r="P36" s="22">
        <v>1784.5</v>
      </c>
      <c r="Q36" s="22">
        <v>1790.5</v>
      </c>
      <c r="R36" s="22">
        <v>1765.5</v>
      </c>
      <c r="S36" s="22">
        <v>1754.5</v>
      </c>
      <c r="T36" s="22">
        <v>1739.5</v>
      </c>
      <c r="U36" s="22">
        <v>1695</v>
      </c>
      <c r="V36" s="22">
        <v>1706.5</v>
      </c>
      <c r="W36" s="22">
        <v>1723</v>
      </c>
      <c r="X36" s="22">
        <v>1718.5</v>
      </c>
      <c r="Y36" s="22">
        <v>1703.5</v>
      </c>
      <c r="Z36" s="22">
        <v>1717</v>
      </c>
      <c r="AA36" s="22">
        <v>1727.5</v>
      </c>
      <c r="AB36" s="22">
        <v>1726.5</v>
      </c>
      <c r="AC36" s="22">
        <v>1721</v>
      </c>
      <c r="AD36" s="22">
        <v>1704</v>
      </c>
      <c r="AE36" s="22">
        <v>1711.5</v>
      </c>
      <c r="AF36" s="22">
        <v>1701</v>
      </c>
      <c r="AG36" s="22">
        <v>1693.5</v>
      </c>
      <c r="AH36" s="22">
        <v>1690.5</v>
      </c>
      <c r="AI36" s="22">
        <v>1677.5</v>
      </c>
      <c r="AJ36" s="22">
        <v>1652</v>
      </c>
      <c r="AK36" s="22">
        <v>1686.5</v>
      </c>
      <c r="AL36" s="22">
        <v>1670.5</v>
      </c>
      <c r="AM36" s="22">
        <v>1648</v>
      </c>
      <c r="AN36" s="22">
        <v>1644</v>
      </c>
      <c r="AO36" s="22">
        <v>1630</v>
      </c>
      <c r="AP36" s="22">
        <v>1635</v>
      </c>
      <c r="AQ36" s="22">
        <v>1616.5</v>
      </c>
      <c r="AR36" s="22">
        <v>1646</v>
      </c>
      <c r="AS36" s="22">
        <v>1633.5</v>
      </c>
      <c r="AT36" s="22">
        <v>1655</v>
      </c>
      <c r="AU36" s="22">
        <v>1651</v>
      </c>
      <c r="AV36" s="22">
        <v>1673</v>
      </c>
      <c r="AW36" s="22">
        <v>1669.5</v>
      </c>
      <c r="AX36" s="22">
        <v>1662.5</v>
      </c>
      <c r="AY36" s="22">
        <v>1669.5</v>
      </c>
      <c r="AZ36" s="22">
        <v>1639</v>
      </c>
      <c r="BA36" s="22">
        <v>1605</v>
      </c>
      <c r="BB36" s="22">
        <v>1571.5</v>
      </c>
      <c r="BC36" s="22">
        <v>1604</v>
      </c>
      <c r="BD36" s="22">
        <v>1595.5</v>
      </c>
      <c r="BE36" s="22">
        <v>1608</v>
      </c>
      <c r="BF36" s="22">
        <v>1585</v>
      </c>
      <c r="BG36" s="22">
        <v>1615</v>
      </c>
      <c r="BH36" s="22">
        <v>1636</v>
      </c>
      <c r="BI36" s="22">
        <v>1628</v>
      </c>
      <c r="BJ36" s="22">
        <v>1615</v>
      </c>
      <c r="BK36" s="22">
        <v>1616.5</v>
      </c>
      <c r="BL36" s="22">
        <v>1610</v>
      </c>
      <c r="BM36" s="1">
        <v>1598</v>
      </c>
      <c r="BN36" s="1">
        <v>1589</v>
      </c>
      <c r="BO36" s="1">
        <v>1655</v>
      </c>
      <c r="BP36" s="1">
        <v>1658</v>
      </c>
    </row>
    <row r="37" spans="1:68" ht="15.9" customHeight="1">
      <c r="A37" s="68" t="s">
        <v>69</v>
      </c>
      <c r="B37" s="44" t="s">
        <v>70</v>
      </c>
      <c r="C37" s="48" t="str">
        <f>_xll.RssMarket("8570","安値")</f>
        <v/>
      </c>
      <c r="D37" s="16" t="e">
        <f t="shared" si="0"/>
        <v>#VALUE!</v>
      </c>
      <c r="E37" s="22">
        <v>1515.5</v>
      </c>
      <c r="F37" s="22">
        <v>1535</v>
      </c>
      <c r="G37" s="22">
        <v>1521</v>
      </c>
      <c r="H37" s="22">
        <v>1535</v>
      </c>
      <c r="I37" s="22">
        <v>1508</v>
      </c>
      <c r="J37" s="22">
        <v>1505</v>
      </c>
      <c r="K37" s="22">
        <v>1515.5</v>
      </c>
      <c r="L37" s="22">
        <v>1521.5</v>
      </c>
      <c r="M37" s="22">
        <v>1502</v>
      </c>
      <c r="N37" s="22">
        <v>1481</v>
      </c>
      <c r="O37" s="22">
        <v>1474.5</v>
      </c>
      <c r="P37" s="22">
        <v>1462</v>
      </c>
      <c r="Q37" s="22">
        <v>1463.5</v>
      </c>
      <c r="R37" s="22">
        <v>1461.5</v>
      </c>
      <c r="S37" s="22">
        <v>1458</v>
      </c>
      <c r="T37" s="22">
        <v>1444</v>
      </c>
      <c r="U37" s="22">
        <v>1443</v>
      </c>
      <c r="V37" s="22">
        <v>1446.5</v>
      </c>
      <c r="W37" s="22">
        <v>1466.5</v>
      </c>
      <c r="X37" s="22">
        <v>1473.5</v>
      </c>
      <c r="Y37" s="22">
        <v>1491.5</v>
      </c>
      <c r="Z37" s="22">
        <v>1485</v>
      </c>
      <c r="AA37" s="22">
        <v>1508</v>
      </c>
      <c r="AB37" s="22">
        <v>1493</v>
      </c>
      <c r="AC37" s="22">
        <v>1488</v>
      </c>
      <c r="AD37" s="22">
        <v>1486</v>
      </c>
      <c r="AE37" s="22">
        <v>1442</v>
      </c>
      <c r="AF37" s="22">
        <v>1441</v>
      </c>
      <c r="AG37" s="22">
        <v>1427.5</v>
      </c>
      <c r="AH37" s="22">
        <v>1447</v>
      </c>
      <c r="AI37" s="22">
        <v>1413.5</v>
      </c>
      <c r="AJ37" s="22">
        <v>1496</v>
      </c>
      <c r="AK37" s="22">
        <v>1506</v>
      </c>
      <c r="AL37" s="22">
        <v>1526.5</v>
      </c>
      <c r="AM37" s="22">
        <v>1541</v>
      </c>
      <c r="AN37" s="22">
        <v>1550</v>
      </c>
      <c r="AO37" s="22">
        <v>1584</v>
      </c>
      <c r="AP37" s="22">
        <v>1562</v>
      </c>
      <c r="AQ37" s="22">
        <v>1563</v>
      </c>
      <c r="AR37" s="22">
        <v>1560</v>
      </c>
      <c r="AS37" s="22">
        <v>1545.5</v>
      </c>
      <c r="AT37" s="22">
        <v>1547.5</v>
      </c>
      <c r="AU37" s="22">
        <v>1554.5</v>
      </c>
      <c r="AV37" s="22">
        <v>1545.5</v>
      </c>
      <c r="AW37" s="22">
        <v>1515</v>
      </c>
      <c r="AX37" s="22">
        <v>1499.5</v>
      </c>
      <c r="AY37" s="22">
        <v>1551.5</v>
      </c>
      <c r="AZ37" s="22">
        <v>1532.5</v>
      </c>
      <c r="BA37" s="22">
        <v>1531</v>
      </c>
      <c r="BB37" s="22">
        <v>1531.5</v>
      </c>
      <c r="BC37" s="22">
        <v>1521.5</v>
      </c>
      <c r="BD37" s="22">
        <v>1544.5</v>
      </c>
      <c r="BE37" s="22">
        <v>1538</v>
      </c>
      <c r="BF37" s="22">
        <v>1536.5</v>
      </c>
      <c r="BG37" s="22">
        <v>1537</v>
      </c>
      <c r="BH37" s="22">
        <v>1558.5</v>
      </c>
      <c r="BI37" s="22">
        <v>1564.5</v>
      </c>
      <c r="BJ37" s="22">
        <v>1609.5</v>
      </c>
      <c r="BK37" s="22">
        <v>1606</v>
      </c>
      <c r="BL37" s="22">
        <v>1586</v>
      </c>
      <c r="BM37" s="1">
        <v>1516</v>
      </c>
      <c r="BN37" s="1">
        <v>1523</v>
      </c>
      <c r="BO37" s="1">
        <v>1500</v>
      </c>
      <c r="BP37" s="1">
        <v>1637.5</v>
      </c>
    </row>
    <row r="38" spans="1:68" ht="15.9" customHeight="1">
      <c r="A38" s="68" t="s">
        <v>71</v>
      </c>
      <c r="B38" s="44" t="s">
        <v>72</v>
      </c>
      <c r="C38" s="48" t="str">
        <f>_xll.RssMarket("5406","安値")</f>
        <v/>
      </c>
      <c r="D38" s="16" t="e">
        <f t="shared" ref="D38:D69" si="1">C38-E38</f>
        <v>#VALUE!</v>
      </c>
      <c r="E38" s="22">
        <v>1912</v>
      </c>
      <c r="F38" s="22">
        <v>1914.5</v>
      </c>
      <c r="G38" s="22">
        <v>1876</v>
      </c>
      <c r="H38" s="22">
        <v>1836.5</v>
      </c>
      <c r="I38" s="22">
        <v>1860</v>
      </c>
      <c r="J38" s="22">
        <v>1868.5</v>
      </c>
      <c r="K38" s="22">
        <v>1880.5</v>
      </c>
      <c r="L38" s="22">
        <v>1906</v>
      </c>
      <c r="M38" s="22">
        <v>1875</v>
      </c>
      <c r="N38" s="22">
        <v>1789</v>
      </c>
      <c r="O38" s="22">
        <v>1841</v>
      </c>
      <c r="P38" s="22">
        <v>1855.5</v>
      </c>
      <c r="Q38" s="22">
        <v>1858</v>
      </c>
      <c r="R38" s="22">
        <v>1865.5</v>
      </c>
      <c r="S38" s="22">
        <v>1868</v>
      </c>
      <c r="T38" s="22">
        <v>1873.5</v>
      </c>
      <c r="U38" s="22">
        <v>1891.5</v>
      </c>
      <c r="V38" s="22">
        <v>1942.5</v>
      </c>
      <c r="W38" s="22">
        <v>1965</v>
      </c>
      <c r="X38" s="22">
        <v>1950.5</v>
      </c>
      <c r="Y38" s="22">
        <v>1973</v>
      </c>
      <c r="Z38" s="22">
        <v>1981.5</v>
      </c>
      <c r="AA38" s="22">
        <v>1953</v>
      </c>
      <c r="AB38" s="22">
        <v>1918.5</v>
      </c>
      <c r="AC38" s="22">
        <v>1860</v>
      </c>
      <c r="AD38" s="22">
        <v>1888</v>
      </c>
      <c r="AE38" s="22">
        <v>1884</v>
      </c>
      <c r="AF38" s="22">
        <v>1932.5</v>
      </c>
      <c r="AG38" s="22">
        <v>1933</v>
      </c>
      <c r="AH38" s="22">
        <v>1953</v>
      </c>
      <c r="AI38" s="22">
        <v>1929</v>
      </c>
      <c r="AJ38" s="22">
        <v>1952.5</v>
      </c>
      <c r="AK38" s="22">
        <v>1933</v>
      </c>
      <c r="AL38" s="22">
        <v>1965.5</v>
      </c>
      <c r="AM38" s="22">
        <v>1934</v>
      </c>
      <c r="AN38" s="22">
        <v>1930</v>
      </c>
      <c r="AO38" s="22">
        <v>1900.5</v>
      </c>
      <c r="AP38" s="22">
        <v>1857</v>
      </c>
      <c r="AQ38" s="22">
        <v>1885</v>
      </c>
      <c r="AR38" s="22">
        <v>1873.5</v>
      </c>
      <c r="AS38" s="22">
        <v>1939.5</v>
      </c>
      <c r="AT38" s="22">
        <v>1961.5</v>
      </c>
      <c r="AU38" s="22">
        <v>1960.5</v>
      </c>
      <c r="AV38" s="22">
        <v>1955</v>
      </c>
      <c r="AW38" s="22">
        <v>1912</v>
      </c>
      <c r="AX38" s="22">
        <v>1914</v>
      </c>
      <c r="AY38" s="22">
        <v>1974</v>
      </c>
      <c r="AZ38" s="22">
        <v>1895</v>
      </c>
      <c r="BA38" s="22">
        <v>1877</v>
      </c>
      <c r="BB38" s="22">
        <v>1870</v>
      </c>
      <c r="BC38" s="22">
        <v>1840</v>
      </c>
      <c r="BD38" s="22">
        <v>1843</v>
      </c>
      <c r="BE38" s="22">
        <v>1839</v>
      </c>
      <c r="BF38" s="22">
        <v>1870.5</v>
      </c>
      <c r="BG38" s="22">
        <v>1904</v>
      </c>
      <c r="BH38" s="22">
        <v>1927.5</v>
      </c>
      <c r="BI38" s="22">
        <v>1919</v>
      </c>
      <c r="BJ38" s="22">
        <v>1941</v>
      </c>
      <c r="BK38" s="22">
        <v>1933.5</v>
      </c>
      <c r="BL38" s="22">
        <v>1944</v>
      </c>
      <c r="BM38" s="1">
        <v>1931</v>
      </c>
      <c r="BN38" s="1">
        <v>1950.5</v>
      </c>
      <c r="BO38" s="1">
        <v>1947</v>
      </c>
      <c r="BP38" s="1">
        <v>1955</v>
      </c>
    </row>
    <row r="39" spans="1:68" ht="15.9" customHeight="1">
      <c r="A39" s="68" t="s">
        <v>73</v>
      </c>
      <c r="B39" s="44" t="s">
        <v>74</v>
      </c>
      <c r="C39" s="48" t="str">
        <f>_xll.RssMarket("8593","安値")</f>
        <v/>
      </c>
      <c r="D39" s="16" t="e">
        <f t="shared" si="1"/>
        <v>#VALUE!</v>
      </c>
      <c r="E39" s="22">
        <v>1380</v>
      </c>
      <c r="F39" s="22">
        <v>1406.5</v>
      </c>
      <c r="G39" s="22">
        <v>1385.5</v>
      </c>
      <c r="H39" s="22">
        <v>1369.5</v>
      </c>
      <c r="I39" s="22">
        <v>1360.5</v>
      </c>
      <c r="J39" s="22">
        <v>1362.5</v>
      </c>
      <c r="K39" s="22">
        <v>1378.5</v>
      </c>
      <c r="L39" s="22">
        <v>1379</v>
      </c>
      <c r="M39" s="22">
        <v>1345</v>
      </c>
      <c r="N39" s="22">
        <v>1346</v>
      </c>
      <c r="O39" s="22">
        <v>1318.5</v>
      </c>
      <c r="P39" s="22">
        <v>1301.5</v>
      </c>
      <c r="Q39" s="22">
        <v>1314</v>
      </c>
      <c r="R39" s="22">
        <v>1310</v>
      </c>
      <c r="S39" s="22">
        <v>1301</v>
      </c>
      <c r="T39" s="22">
        <v>1293</v>
      </c>
      <c r="U39" s="22">
        <v>1290</v>
      </c>
      <c r="V39" s="22">
        <v>1289</v>
      </c>
      <c r="W39" s="22">
        <v>1300.5</v>
      </c>
      <c r="X39" s="22">
        <v>1305</v>
      </c>
      <c r="Y39" s="22">
        <v>1318.5</v>
      </c>
      <c r="Z39" s="22">
        <v>1310</v>
      </c>
      <c r="AA39" s="22">
        <v>1326.5</v>
      </c>
      <c r="AB39" s="22">
        <v>1307</v>
      </c>
      <c r="AC39" s="22">
        <v>1303</v>
      </c>
      <c r="AD39" s="22">
        <v>1313.5</v>
      </c>
      <c r="AE39" s="22">
        <v>1267</v>
      </c>
      <c r="AF39" s="22">
        <v>1272</v>
      </c>
      <c r="AG39" s="22">
        <v>1254</v>
      </c>
      <c r="AH39" s="22">
        <v>1249</v>
      </c>
      <c r="AI39" s="22">
        <v>1239.5</v>
      </c>
      <c r="AJ39" s="22">
        <v>1301.5</v>
      </c>
      <c r="AK39" s="22">
        <v>1300.5</v>
      </c>
      <c r="AL39" s="22">
        <v>1308</v>
      </c>
      <c r="AM39" s="22">
        <v>1305.5</v>
      </c>
      <c r="AN39" s="22">
        <v>1311</v>
      </c>
      <c r="AO39" s="22">
        <v>1333</v>
      </c>
      <c r="AP39" s="22">
        <v>1337</v>
      </c>
      <c r="AQ39" s="22">
        <v>1321.5</v>
      </c>
      <c r="AR39" s="22">
        <v>1410.5</v>
      </c>
      <c r="AS39" s="22">
        <v>1418</v>
      </c>
      <c r="AT39" s="22">
        <v>1430.5</v>
      </c>
      <c r="AU39" s="22">
        <v>1424</v>
      </c>
      <c r="AV39" s="22">
        <v>1401</v>
      </c>
      <c r="AW39" s="22">
        <v>1397.5</v>
      </c>
      <c r="AX39" s="22">
        <v>1393</v>
      </c>
      <c r="AY39" s="22">
        <v>1400</v>
      </c>
      <c r="AZ39" s="22">
        <v>1412</v>
      </c>
      <c r="BA39" s="22">
        <v>1421.5</v>
      </c>
      <c r="BB39" s="22">
        <v>1398</v>
      </c>
      <c r="BC39" s="22">
        <v>1400.5</v>
      </c>
      <c r="BD39" s="22">
        <v>1399</v>
      </c>
      <c r="BE39" s="22">
        <v>1411</v>
      </c>
      <c r="BF39" s="22">
        <v>1432</v>
      </c>
      <c r="BG39" s="22">
        <v>1446</v>
      </c>
      <c r="BH39" s="22">
        <v>1460</v>
      </c>
      <c r="BI39" s="22">
        <v>1466</v>
      </c>
      <c r="BJ39" s="22">
        <v>1462</v>
      </c>
      <c r="BK39" s="22">
        <v>1459.5</v>
      </c>
      <c r="BL39" s="22">
        <v>1456</v>
      </c>
      <c r="BM39" s="1">
        <v>1467</v>
      </c>
      <c r="BN39" s="1">
        <v>1480</v>
      </c>
      <c r="BO39" s="1">
        <v>1499</v>
      </c>
      <c r="BP39" s="1">
        <v>1474.5</v>
      </c>
    </row>
    <row r="40" spans="1:68" ht="15.9" customHeight="1">
      <c r="A40" s="68" t="s">
        <v>75</v>
      </c>
      <c r="B40" s="44" t="s">
        <v>76</v>
      </c>
      <c r="C40" s="48" t="str">
        <f>_xll.RssMarket("8604","安値")</f>
        <v/>
      </c>
      <c r="D40" s="16" t="e">
        <f t="shared" si="1"/>
        <v>#VALUE!</v>
      </c>
      <c r="E40" s="22">
        <v>1496.5</v>
      </c>
      <c r="F40" s="22">
        <v>1581.5</v>
      </c>
      <c r="G40" s="22">
        <v>1538.5</v>
      </c>
      <c r="H40" s="22">
        <v>1542.5</v>
      </c>
      <c r="I40" s="22">
        <v>1523</v>
      </c>
      <c r="J40" s="22">
        <v>1500.5</v>
      </c>
      <c r="K40" s="22">
        <v>1516</v>
      </c>
      <c r="L40" s="22">
        <v>1504</v>
      </c>
      <c r="M40" s="22">
        <v>1467</v>
      </c>
      <c r="N40" s="22">
        <v>1452</v>
      </c>
      <c r="O40" s="22">
        <v>1436</v>
      </c>
      <c r="P40" s="22">
        <v>1420</v>
      </c>
      <c r="Q40" s="22">
        <v>1402</v>
      </c>
      <c r="R40" s="22">
        <v>1396</v>
      </c>
      <c r="S40" s="22">
        <v>1415.5</v>
      </c>
      <c r="T40" s="22">
        <v>1400.5</v>
      </c>
      <c r="U40" s="22">
        <v>1396</v>
      </c>
      <c r="V40" s="22">
        <v>1401</v>
      </c>
      <c r="W40" s="22">
        <v>1403</v>
      </c>
      <c r="X40" s="22">
        <v>1397.5</v>
      </c>
      <c r="Y40" s="22">
        <v>1417</v>
      </c>
      <c r="Z40" s="22">
        <v>1428.5</v>
      </c>
      <c r="AA40" s="22">
        <v>1371.5</v>
      </c>
      <c r="AB40" s="22">
        <v>1399.5</v>
      </c>
      <c r="AC40" s="22">
        <v>1351</v>
      </c>
      <c r="AD40" s="22">
        <v>1333.5</v>
      </c>
      <c r="AE40" s="22">
        <v>1377</v>
      </c>
      <c r="AF40" s="22">
        <v>1328.5</v>
      </c>
      <c r="AG40" s="22">
        <v>1360.5</v>
      </c>
      <c r="AH40" s="22">
        <v>1336.5</v>
      </c>
      <c r="AI40" s="22">
        <v>1321.5</v>
      </c>
      <c r="AJ40" s="22">
        <v>1285</v>
      </c>
      <c r="AK40" s="22">
        <v>1260.5</v>
      </c>
      <c r="AL40" s="22">
        <v>1237</v>
      </c>
      <c r="AM40" s="22">
        <v>1247.5</v>
      </c>
      <c r="AN40" s="22">
        <v>1264.5</v>
      </c>
      <c r="AO40" s="22">
        <v>1287</v>
      </c>
      <c r="AP40" s="22">
        <v>1263.5</v>
      </c>
      <c r="AQ40" s="22">
        <v>1239.5</v>
      </c>
      <c r="AR40" s="22">
        <v>1256</v>
      </c>
      <c r="AS40" s="22">
        <v>1248</v>
      </c>
      <c r="AT40" s="22">
        <v>1256.5</v>
      </c>
      <c r="AU40" s="22">
        <v>1259</v>
      </c>
      <c r="AV40" s="22">
        <v>1242.5</v>
      </c>
      <c r="AW40" s="22">
        <v>1219</v>
      </c>
      <c r="AX40" s="22">
        <v>1210.5</v>
      </c>
      <c r="AY40" s="22">
        <v>1213.5</v>
      </c>
      <c r="AZ40" s="22">
        <v>1224.5</v>
      </c>
      <c r="BA40" s="22">
        <v>1214</v>
      </c>
      <c r="BB40" s="22">
        <v>1236</v>
      </c>
      <c r="BC40" s="22">
        <v>1248</v>
      </c>
      <c r="BD40" s="22">
        <v>1227</v>
      </c>
      <c r="BE40" s="22">
        <v>1306</v>
      </c>
      <c r="BF40" s="22">
        <v>1315.5</v>
      </c>
      <c r="BG40" s="22">
        <v>1325</v>
      </c>
      <c r="BH40" s="22">
        <v>1334.5</v>
      </c>
      <c r="BI40" s="22">
        <v>1333.5</v>
      </c>
      <c r="BJ40" s="22">
        <v>1329.5</v>
      </c>
      <c r="BK40" s="22">
        <v>1382</v>
      </c>
      <c r="BL40" s="22">
        <v>1351</v>
      </c>
      <c r="BM40" s="1">
        <v>1316.5</v>
      </c>
      <c r="BN40" s="1">
        <v>1295</v>
      </c>
      <c r="BO40" s="1">
        <v>1305</v>
      </c>
      <c r="BP40" s="1">
        <v>1304.5</v>
      </c>
    </row>
    <row r="41" spans="1:68" ht="15.9" customHeight="1">
      <c r="A41" s="68" t="s">
        <v>77</v>
      </c>
      <c r="B41" s="44" t="s">
        <v>78</v>
      </c>
      <c r="C41" s="48" t="str">
        <f>_xll.RssMarket("3861","安値")</f>
        <v/>
      </c>
      <c r="D41" s="16" t="e">
        <f t="shared" si="1"/>
        <v>#VALUE!</v>
      </c>
      <c r="E41" s="22">
        <v>836.2</v>
      </c>
      <c r="F41" s="22">
        <v>821</v>
      </c>
      <c r="G41" s="22">
        <v>814.2</v>
      </c>
      <c r="H41" s="22">
        <v>814.5</v>
      </c>
      <c r="I41" s="22">
        <v>815</v>
      </c>
      <c r="J41" s="22">
        <v>820.2</v>
      </c>
      <c r="K41" s="22">
        <v>825</v>
      </c>
      <c r="L41" s="22">
        <v>821.5</v>
      </c>
      <c r="M41" s="22">
        <v>816</v>
      </c>
      <c r="N41" s="22">
        <v>813.8</v>
      </c>
      <c r="O41" s="22">
        <v>802.5</v>
      </c>
      <c r="P41" s="22">
        <v>790.5</v>
      </c>
      <c r="Q41" s="22">
        <v>795.4</v>
      </c>
      <c r="R41" s="22">
        <v>790.7</v>
      </c>
      <c r="S41" s="22">
        <v>782.4</v>
      </c>
      <c r="T41" s="22">
        <v>778.1</v>
      </c>
      <c r="U41" s="22">
        <v>771.3</v>
      </c>
      <c r="V41" s="22">
        <v>785</v>
      </c>
      <c r="W41" s="22">
        <v>789.6</v>
      </c>
      <c r="X41" s="22">
        <v>787.6</v>
      </c>
      <c r="Y41" s="22">
        <v>797.6</v>
      </c>
      <c r="Z41" s="22">
        <v>796.8</v>
      </c>
      <c r="AA41" s="22">
        <v>787.2</v>
      </c>
      <c r="AB41" s="22">
        <v>797.3</v>
      </c>
      <c r="AC41" s="22">
        <v>783.7</v>
      </c>
      <c r="AD41" s="22">
        <v>776.7</v>
      </c>
      <c r="AE41" s="22">
        <v>770.2</v>
      </c>
      <c r="AF41" s="22">
        <v>770.5</v>
      </c>
      <c r="AG41" s="22">
        <v>768.8</v>
      </c>
      <c r="AH41" s="22">
        <v>774</v>
      </c>
      <c r="AI41" s="22">
        <v>766.6</v>
      </c>
      <c r="AJ41" s="22">
        <v>754.5</v>
      </c>
      <c r="AK41" s="22">
        <v>779.6</v>
      </c>
      <c r="AL41" s="22">
        <v>785.5</v>
      </c>
      <c r="AM41" s="22">
        <v>768.6</v>
      </c>
      <c r="AN41" s="22">
        <v>771</v>
      </c>
      <c r="AO41" s="22">
        <v>777.1</v>
      </c>
      <c r="AP41" s="22">
        <v>793.2</v>
      </c>
      <c r="AQ41" s="22">
        <v>799</v>
      </c>
      <c r="AR41" s="22">
        <v>809.1</v>
      </c>
      <c r="AS41" s="22">
        <v>810</v>
      </c>
      <c r="AT41" s="22">
        <v>805.7</v>
      </c>
      <c r="AU41" s="22">
        <v>833.7</v>
      </c>
      <c r="AV41" s="22">
        <v>830.9</v>
      </c>
      <c r="AW41" s="22">
        <v>820</v>
      </c>
      <c r="AX41" s="22">
        <v>817.6</v>
      </c>
      <c r="AY41" s="22">
        <v>826.9</v>
      </c>
      <c r="AZ41" s="22">
        <v>821.5</v>
      </c>
      <c r="BA41" s="22">
        <v>818.2</v>
      </c>
      <c r="BB41" s="22">
        <v>813.3</v>
      </c>
      <c r="BC41" s="22">
        <v>815.2</v>
      </c>
      <c r="BD41" s="22">
        <v>815.2</v>
      </c>
      <c r="BE41" s="22">
        <v>818.8</v>
      </c>
      <c r="BF41" s="22">
        <v>815</v>
      </c>
      <c r="BG41" s="22">
        <v>833.6</v>
      </c>
      <c r="BH41" s="22">
        <v>835.7</v>
      </c>
      <c r="BI41" s="22">
        <v>839.5</v>
      </c>
      <c r="BJ41" s="22">
        <v>842.1</v>
      </c>
      <c r="BK41" s="22">
        <v>848</v>
      </c>
      <c r="BL41" s="22">
        <v>844.2</v>
      </c>
      <c r="BM41" s="1">
        <v>850</v>
      </c>
      <c r="BN41" s="1">
        <v>847.7</v>
      </c>
      <c r="BO41" s="1">
        <v>848.4</v>
      </c>
      <c r="BP41" s="1">
        <v>855</v>
      </c>
    </row>
    <row r="42" spans="1:68" ht="15.9" customHeight="1">
      <c r="A42" s="68" t="s">
        <v>79</v>
      </c>
      <c r="B42" s="44" t="s">
        <v>80</v>
      </c>
      <c r="C42" s="48" t="str">
        <f>_xll.RssMarket("5947","安値")</f>
        <v/>
      </c>
      <c r="D42" s="16" t="e">
        <f t="shared" si="1"/>
        <v>#VALUE!</v>
      </c>
      <c r="E42" s="22">
        <v>3613</v>
      </c>
      <c r="F42" s="22">
        <v>3571</v>
      </c>
      <c r="G42" s="22">
        <v>3570</v>
      </c>
      <c r="H42" s="22">
        <v>3531</v>
      </c>
      <c r="I42" s="22">
        <v>3543</v>
      </c>
      <c r="J42" s="22">
        <v>3563</v>
      </c>
      <c r="K42" s="22">
        <v>3621</v>
      </c>
      <c r="L42" s="22">
        <v>3630</v>
      </c>
      <c r="M42" s="22">
        <v>3589</v>
      </c>
      <c r="N42" s="22">
        <v>3591</v>
      </c>
      <c r="O42" s="22">
        <v>3554</v>
      </c>
      <c r="P42" s="22">
        <v>3550</v>
      </c>
      <c r="Q42" s="22">
        <v>3536</v>
      </c>
      <c r="R42" s="22">
        <v>3575</v>
      </c>
      <c r="S42" s="22">
        <v>3553</v>
      </c>
      <c r="T42" s="22">
        <v>3533</v>
      </c>
      <c r="U42" s="22">
        <v>3464</v>
      </c>
      <c r="V42" s="22">
        <v>3470</v>
      </c>
      <c r="W42" s="22">
        <v>3423</v>
      </c>
      <c r="X42" s="22">
        <v>3421</v>
      </c>
      <c r="Y42" s="22">
        <v>3420</v>
      </c>
      <c r="Z42" s="22">
        <v>3428</v>
      </c>
      <c r="AA42" s="22">
        <v>3392</v>
      </c>
      <c r="AB42" s="22">
        <v>3461</v>
      </c>
      <c r="AC42" s="22">
        <v>3483</v>
      </c>
      <c r="AD42" s="22">
        <v>3500</v>
      </c>
      <c r="AE42" s="22">
        <v>3522</v>
      </c>
      <c r="AF42" s="22">
        <v>3455</v>
      </c>
      <c r="AG42" s="22">
        <v>3450</v>
      </c>
      <c r="AH42" s="22">
        <v>3377</v>
      </c>
      <c r="AI42" s="22">
        <v>3326</v>
      </c>
      <c r="AJ42" s="22">
        <v>3251</v>
      </c>
      <c r="AK42" s="22">
        <v>3393</v>
      </c>
      <c r="AL42" s="22">
        <v>3405</v>
      </c>
      <c r="AM42" s="22">
        <v>3403</v>
      </c>
      <c r="AN42" s="22">
        <v>3420</v>
      </c>
      <c r="AO42" s="22">
        <v>3475</v>
      </c>
      <c r="AP42" s="22">
        <v>3528</v>
      </c>
      <c r="AQ42" s="22">
        <v>3522</v>
      </c>
      <c r="AR42" s="22">
        <v>3510</v>
      </c>
      <c r="AS42" s="22">
        <v>3427</v>
      </c>
      <c r="AT42" s="22">
        <v>3394</v>
      </c>
      <c r="AU42" s="22">
        <v>3322</v>
      </c>
      <c r="AV42" s="22">
        <v>3211</v>
      </c>
      <c r="AW42" s="22">
        <v>3553</v>
      </c>
      <c r="AX42" s="22">
        <v>3574</v>
      </c>
      <c r="AY42" s="22">
        <v>3647</v>
      </c>
      <c r="AZ42" s="22">
        <v>3553</v>
      </c>
      <c r="BA42" s="22">
        <v>3507</v>
      </c>
      <c r="BB42" s="22">
        <v>3536</v>
      </c>
      <c r="BC42" s="22">
        <v>3492</v>
      </c>
      <c r="BD42" s="22">
        <v>3481</v>
      </c>
      <c r="BE42" s="22">
        <v>3478</v>
      </c>
      <c r="BF42" s="22">
        <v>3479</v>
      </c>
      <c r="BG42" s="22">
        <v>3486</v>
      </c>
      <c r="BH42" s="22">
        <v>3518</v>
      </c>
      <c r="BI42" s="22">
        <v>3492</v>
      </c>
      <c r="BJ42" s="22">
        <v>3523</v>
      </c>
      <c r="BK42" s="22">
        <v>3568</v>
      </c>
      <c r="BL42" s="22">
        <v>3557</v>
      </c>
      <c r="BM42" s="1">
        <v>3697</v>
      </c>
      <c r="BN42" s="1">
        <v>3720</v>
      </c>
      <c r="BO42" s="1">
        <v>3731</v>
      </c>
      <c r="BP42" s="1">
        <v>3703</v>
      </c>
    </row>
    <row r="43" spans="1:68" ht="15.9" customHeight="1">
      <c r="A43" s="68" t="s">
        <v>81</v>
      </c>
      <c r="B43" s="44" t="s">
        <v>82</v>
      </c>
      <c r="C43" s="48" t="str">
        <f>_xll.RssMarket("8750","安値")</f>
        <v/>
      </c>
      <c r="D43" s="16" t="e">
        <f t="shared" si="1"/>
        <v>#VALUE!</v>
      </c>
      <c r="E43" s="22">
        <v>1775.5</v>
      </c>
      <c r="F43" s="22">
        <v>1861.5</v>
      </c>
      <c r="G43" s="22">
        <v>1810.5</v>
      </c>
      <c r="H43" s="22">
        <v>1828</v>
      </c>
      <c r="I43" s="22">
        <v>1845</v>
      </c>
      <c r="J43" s="22">
        <v>1838</v>
      </c>
      <c r="K43" s="22">
        <v>1850.5</v>
      </c>
      <c r="L43" s="22">
        <v>1853.5</v>
      </c>
      <c r="M43" s="22">
        <v>1840</v>
      </c>
      <c r="N43" s="22">
        <v>1819</v>
      </c>
      <c r="O43" s="22">
        <v>1804</v>
      </c>
      <c r="P43" s="22">
        <v>1767</v>
      </c>
      <c r="Q43" s="22">
        <v>1743</v>
      </c>
      <c r="R43" s="22">
        <v>1715</v>
      </c>
      <c r="S43" s="22">
        <v>1708.5</v>
      </c>
      <c r="T43" s="22">
        <v>1688</v>
      </c>
      <c r="U43" s="22">
        <v>1722.5</v>
      </c>
      <c r="V43" s="22">
        <v>1803.5</v>
      </c>
      <c r="W43" s="22">
        <v>1790</v>
      </c>
      <c r="X43" s="22">
        <v>1800</v>
      </c>
      <c r="Y43" s="22">
        <v>1786.5</v>
      </c>
      <c r="Z43" s="22">
        <v>1788.5</v>
      </c>
      <c r="AA43" s="22">
        <v>1756.5</v>
      </c>
      <c r="AB43" s="22">
        <v>1758.5</v>
      </c>
      <c r="AC43" s="22">
        <v>1734.5</v>
      </c>
      <c r="AD43" s="22">
        <v>1704</v>
      </c>
      <c r="AE43" s="22">
        <v>1726</v>
      </c>
      <c r="AF43" s="22">
        <v>1623</v>
      </c>
      <c r="AG43" s="22">
        <v>1657</v>
      </c>
      <c r="AH43" s="22">
        <v>1606</v>
      </c>
      <c r="AI43" s="22">
        <v>1626.5</v>
      </c>
      <c r="AJ43" s="22">
        <v>1587</v>
      </c>
      <c r="AK43" s="22">
        <v>1605</v>
      </c>
      <c r="AL43" s="22">
        <v>1615</v>
      </c>
      <c r="AM43" s="22">
        <v>1648.5</v>
      </c>
      <c r="AN43" s="22">
        <v>1640</v>
      </c>
      <c r="AO43" s="22">
        <v>1625.5</v>
      </c>
      <c r="AP43" s="22">
        <v>1632</v>
      </c>
      <c r="AQ43" s="22">
        <v>1619</v>
      </c>
      <c r="AR43" s="22">
        <v>1594.5</v>
      </c>
      <c r="AS43" s="22">
        <v>1594</v>
      </c>
      <c r="AT43" s="22">
        <v>1474</v>
      </c>
      <c r="AU43" s="22">
        <v>1479.5</v>
      </c>
      <c r="AV43" s="22">
        <v>1476</v>
      </c>
      <c r="AW43" s="22">
        <v>1471.5</v>
      </c>
      <c r="AX43" s="22">
        <v>1421.5</v>
      </c>
      <c r="AY43" s="22">
        <v>1416</v>
      </c>
      <c r="AZ43" s="22">
        <v>1433</v>
      </c>
      <c r="BA43" s="22">
        <v>1408.5</v>
      </c>
      <c r="BB43" s="22">
        <v>1411</v>
      </c>
      <c r="BC43" s="22">
        <v>1395</v>
      </c>
      <c r="BD43" s="22">
        <v>1371</v>
      </c>
      <c r="BE43" s="22">
        <v>1396.5</v>
      </c>
      <c r="BF43" s="22">
        <v>1391</v>
      </c>
      <c r="BG43" s="22">
        <v>1424</v>
      </c>
      <c r="BH43" s="22">
        <v>1439</v>
      </c>
      <c r="BI43" s="22">
        <v>1446.5</v>
      </c>
      <c r="BJ43" s="22">
        <v>1454</v>
      </c>
      <c r="BK43" s="22">
        <v>1490</v>
      </c>
      <c r="BL43" s="22">
        <v>1481</v>
      </c>
      <c r="BM43" s="1">
        <v>1476</v>
      </c>
      <c r="BN43" s="1">
        <v>1463</v>
      </c>
      <c r="BO43" s="1">
        <v>1482</v>
      </c>
      <c r="BP43" s="1">
        <v>1490.5</v>
      </c>
    </row>
    <row r="44" spans="1:68" ht="15.9" customHeight="1">
      <c r="A44" s="68" t="s">
        <v>83</v>
      </c>
      <c r="B44" s="44" t="s">
        <v>84</v>
      </c>
      <c r="C44" s="48" t="str">
        <f>_xll.RssMarket("3402","安値")</f>
        <v/>
      </c>
      <c r="D44" s="16" t="e">
        <f t="shared" si="1"/>
        <v>#VALUE!</v>
      </c>
      <c r="E44" s="22">
        <v>1127.5</v>
      </c>
      <c r="F44" s="22">
        <v>1156.5</v>
      </c>
      <c r="G44" s="22">
        <v>1124</v>
      </c>
      <c r="H44" s="22">
        <v>1128.5</v>
      </c>
      <c r="I44" s="22">
        <v>1137</v>
      </c>
      <c r="J44" s="22">
        <v>1139.5</v>
      </c>
      <c r="K44" s="22">
        <v>1146</v>
      </c>
      <c r="L44" s="22">
        <v>1140</v>
      </c>
      <c r="M44" s="22">
        <v>1166.5</v>
      </c>
      <c r="N44" s="22">
        <v>1139</v>
      </c>
      <c r="O44" s="22">
        <v>1121</v>
      </c>
      <c r="P44" s="22">
        <v>1113</v>
      </c>
      <c r="Q44" s="22">
        <v>1116</v>
      </c>
      <c r="R44" s="22">
        <v>1124.5</v>
      </c>
      <c r="S44" s="22">
        <v>1128.5</v>
      </c>
      <c r="T44" s="22">
        <v>1152.5</v>
      </c>
      <c r="U44" s="22">
        <v>1126</v>
      </c>
      <c r="V44" s="22">
        <v>1136.5</v>
      </c>
      <c r="W44" s="22">
        <v>1145</v>
      </c>
      <c r="X44" s="22">
        <v>1154.5</v>
      </c>
      <c r="Y44" s="22">
        <v>1180</v>
      </c>
      <c r="Z44" s="22">
        <v>1170</v>
      </c>
      <c r="AA44" s="22">
        <v>1172</v>
      </c>
      <c r="AB44" s="22">
        <v>1188.5</v>
      </c>
      <c r="AC44" s="22">
        <v>1126</v>
      </c>
      <c r="AD44" s="22">
        <v>1097.5</v>
      </c>
      <c r="AE44" s="22">
        <v>1091.5</v>
      </c>
      <c r="AF44" s="22">
        <v>1081.5</v>
      </c>
      <c r="AG44" s="22">
        <v>1092</v>
      </c>
      <c r="AH44" s="22">
        <v>1100</v>
      </c>
      <c r="AI44" s="22">
        <v>1152</v>
      </c>
      <c r="AJ44" s="22">
        <v>1107.5</v>
      </c>
      <c r="AK44" s="22">
        <v>1138</v>
      </c>
      <c r="AL44" s="22">
        <v>1116.5</v>
      </c>
      <c r="AM44" s="22">
        <v>1140.5</v>
      </c>
      <c r="AN44" s="22">
        <v>1099</v>
      </c>
      <c r="AO44" s="22">
        <v>1079.5</v>
      </c>
      <c r="AP44" s="22">
        <v>1084</v>
      </c>
      <c r="AQ44" s="22">
        <v>1056</v>
      </c>
      <c r="AR44" s="22">
        <v>1071.5</v>
      </c>
      <c r="AS44" s="22">
        <v>1074.5</v>
      </c>
      <c r="AT44" s="22">
        <v>1142</v>
      </c>
      <c r="AU44" s="22">
        <v>1158</v>
      </c>
      <c r="AV44" s="22">
        <v>1102</v>
      </c>
      <c r="AW44" s="22">
        <v>1129.5</v>
      </c>
      <c r="AX44" s="22">
        <v>1119</v>
      </c>
      <c r="AY44" s="22">
        <v>1110.5</v>
      </c>
      <c r="AZ44" s="22">
        <v>1118.5</v>
      </c>
      <c r="BA44" s="22">
        <v>1104</v>
      </c>
      <c r="BB44" s="22">
        <v>1101.5</v>
      </c>
      <c r="BC44" s="22">
        <v>1123</v>
      </c>
      <c r="BD44" s="22">
        <v>1094</v>
      </c>
      <c r="BE44" s="22">
        <v>1105</v>
      </c>
      <c r="BF44" s="22">
        <v>1100.5</v>
      </c>
      <c r="BG44" s="22">
        <v>1121</v>
      </c>
      <c r="BH44" s="22">
        <v>1145</v>
      </c>
      <c r="BI44" s="22">
        <v>1145.5</v>
      </c>
      <c r="BJ44" s="22">
        <v>1153</v>
      </c>
      <c r="BK44" s="22">
        <v>1143</v>
      </c>
      <c r="BL44" s="22">
        <v>1143.5</v>
      </c>
      <c r="BM44" s="1">
        <v>1145</v>
      </c>
      <c r="BN44" s="1">
        <v>1150</v>
      </c>
      <c r="BO44" s="1">
        <v>1161</v>
      </c>
      <c r="BP44" s="1">
        <v>1170.5</v>
      </c>
    </row>
    <row r="45" spans="1:68" ht="15.9" customHeight="1">
      <c r="A45" s="68" t="s">
        <v>85</v>
      </c>
      <c r="B45" s="44" t="s">
        <v>86</v>
      </c>
      <c r="C45" s="48" t="str">
        <f>_xll.RssMarket("8306","安値")</f>
        <v/>
      </c>
      <c r="D45" s="16" t="e">
        <f t="shared" si="1"/>
        <v>#VALUE!</v>
      </c>
      <c r="E45" s="22">
        <v>3411</v>
      </c>
      <c r="F45" s="22">
        <v>3642</v>
      </c>
      <c r="G45" s="22">
        <v>3501</v>
      </c>
      <c r="H45" s="22">
        <v>3486</v>
      </c>
      <c r="I45" s="22">
        <v>3410</v>
      </c>
      <c r="J45" s="22">
        <v>3381</v>
      </c>
      <c r="K45" s="22">
        <v>3401</v>
      </c>
      <c r="L45" s="22">
        <v>3426</v>
      </c>
      <c r="M45" s="22">
        <v>3294</v>
      </c>
      <c r="N45" s="22">
        <v>3298</v>
      </c>
      <c r="O45" s="22">
        <v>3255</v>
      </c>
      <c r="P45" s="22">
        <v>3215</v>
      </c>
      <c r="Q45" s="22">
        <v>3207</v>
      </c>
      <c r="R45" s="22">
        <v>3180</v>
      </c>
      <c r="S45" s="22">
        <v>3220</v>
      </c>
      <c r="T45" s="22">
        <v>3211</v>
      </c>
      <c r="U45" s="22">
        <v>3201</v>
      </c>
      <c r="V45" s="22">
        <v>3265</v>
      </c>
      <c r="W45" s="22">
        <v>3239</v>
      </c>
      <c r="X45" s="22">
        <v>3258</v>
      </c>
      <c r="Y45" s="22">
        <v>3317</v>
      </c>
      <c r="Z45" s="22">
        <v>3260</v>
      </c>
      <c r="AA45" s="22">
        <v>3186</v>
      </c>
      <c r="AB45" s="22">
        <v>3225</v>
      </c>
      <c r="AC45" s="22">
        <v>3129</v>
      </c>
      <c r="AD45" s="22">
        <v>3080</v>
      </c>
      <c r="AE45" s="22">
        <v>3171</v>
      </c>
      <c r="AF45" s="22">
        <v>3135</v>
      </c>
      <c r="AG45" s="22">
        <v>3202</v>
      </c>
      <c r="AH45" s="22">
        <v>3081</v>
      </c>
      <c r="AI45" s="22">
        <v>3052</v>
      </c>
      <c r="AJ45" s="22">
        <v>2972.5</v>
      </c>
      <c r="AK45" s="22">
        <v>2984</v>
      </c>
      <c r="AL45" s="22">
        <v>2964</v>
      </c>
      <c r="AM45" s="22">
        <v>3017</v>
      </c>
      <c r="AN45" s="22">
        <v>3043</v>
      </c>
      <c r="AO45" s="22">
        <v>3073</v>
      </c>
      <c r="AP45" s="22">
        <v>3067</v>
      </c>
      <c r="AQ45" s="22">
        <v>3024</v>
      </c>
      <c r="AR45" s="22">
        <v>3026</v>
      </c>
      <c r="AS45" s="22">
        <v>2973</v>
      </c>
      <c r="AT45" s="22">
        <v>2877.5</v>
      </c>
      <c r="AU45" s="22">
        <v>2875</v>
      </c>
      <c r="AV45" s="22">
        <v>2863</v>
      </c>
      <c r="AW45" s="22">
        <v>2846</v>
      </c>
      <c r="AX45" s="22">
        <v>2801.5</v>
      </c>
      <c r="AY45" s="22">
        <v>2788</v>
      </c>
      <c r="AZ45" s="22">
        <v>2817.5</v>
      </c>
      <c r="BA45" s="22">
        <v>2754</v>
      </c>
      <c r="BB45" s="22">
        <v>2785</v>
      </c>
      <c r="BC45" s="22">
        <v>2796.5</v>
      </c>
      <c r="BD45" s="22">
        <v>2715</v>
      </c>
      <c r="BE45" s="22">
        <v>2740</v>
      </c>
      <c r="BF45" s="22">
        <v>2728</v>
      </c>
      <c r="BG45" s="22">
        <v>2772</v>
      </c>
      <c r="BH45" s="22">
        <v>2830.5</v>
      </c>
      <c r="BI45" s="22">
        <v>2866</v>
      </c>
      <c r="BJ45" s="22">
        <v>2847</v>
      </c>
      <c r="BK45" s="22">
        <v>2932</v>
      </c>
      <c r="BL45" s="22">
        <v>2865</v>
      </c>
      <c r="BM45" s="1">
        <v>2825</v>
      </c>
      <c r="BN45" s="1">
        <v>2829</v>
      </c>
      <c r="BO45" s="1">
        <v>2842</v>
      </c>
      <c r="BP45" s="1">
        <v>2830.5</v>
      </c>
    </row>
    <row r="46" spans="1:68" ht="15.9" customHeight="1">
      <c r="A46" s="68" t="s">
        <v>87</v>
      </c>
      <c r="B46" s="44" t="s">
        <v>88</v>
      </c>
      <c r="C46" s="48" t="str">
        <f>_xll.RssMarket("5401","安値")</f>
        <v/>
      </c>
      <c r="D46" s="16" t="e">
        <f t="shared" si="1"/>
        <v>#VALUE!</v>
      </c>
      <c r="E46" s="22">
        <v>579.4</v>
      </c>
      <c r="F46" s="22">
        <v>569.5</v>
      </c>
      <c r="G46" s="22">
        <v>559.29999999999995</v>
      </c>
      <c r="H46" s="22">
        <v>553.1</v>
      </c>
      <c r="I46" s="22">
        <v>549.9</v>
      </c>
      <c r="J46" s="22">
        <v>552.1</v>
      </c>
      <c r="K46" s="22">
        <v>554.20000000000005</v>
      </c>
      <c r="L46" s="22">
        <v>555.6</v>
      </c>
      <c r="M46" s="22">
        <v>552.29999999999995</v>
      </c>
      <c r="N46" s="22">
        <v>546.9</v>
      </c>
      <c r="O46" s="22">
        <v>530.5</v>
      </c>
      <c r="P46" s="22">
        <v>531</v>
      </c>
      <c r="Q46" s="22">
        <v>536.1</v>
      </c>
      <c r="R46" s="22">
        <v>541.6</v>
      </c>
      <c r="S46" s="22">
        <v>539.5</v>
      </c>
      <c r="T46" s="22">
        <v>545.29999999999995</v>
      </c>
      <c r="U46" s="22">
        <v>544.6</v>
      </c>
      <c r="V46" s="22">
        <v>550.1</v>
      </c>
      <c r="W46" s="22">
        <v>558</v>
      </c>
      <c r="X46" s="22">
        <v>558.29999999999995</v>
      </c>
      <c r="Y46" s="22">
        <v>556.6</v>
      </c>
      <c r="Z46" s="22">
        <v>564.5</v>
      </c>
      <c r="AA46" s="22">
        <v>556.4</v>
      </c>
      <c r="AB46" s="22">
        <v>540.1</v>
      </c>
      <c r="AC46" s="22">
        <v>531.1</v>
      </c>
      <c r="AD46" s="22">
        <v>535.4</v>
      </c>
      <c r="AE46" s="22">
        <v>533.29999999999995</v>
      </c>
      <c r="AF46" s="22">
        <v>543.5</v>
      </c>
      <c r="AG46" s="22">
        <v>537.9</v>
      </c>
      <c r="AH46" s="22">
        <v>538.1</v>
      </c>
      <c r="AI46" s="22">
        <v>536.4</v>
      </c>
      <c r="AJ46" s="22">
        <v>565</v>
      </c>
      <c r="AK46" s="22">
        <v>559.6</v>
      </c>
      <c r="AL46" s="22">
        <v>556.4</v>
      </c>
      <c r="AM46" s="22">
        <v>550.4</v>
      </c>
      <c r="AN46" s="22">
        <v>547.29999999999995</v>
      </c>
      <c r="AO46" s="22">
        <v>542.5</v>
      </c>
      <c r="AP46" s="22">
        <v>539</v>
      </c>
      <c r="AQ46" s="22">
        <v>547.29999999999995</v>
      </c>
      <c r="AR46" s="22">
        <v>548.79999999999995</v>
      </c>
      <c r="AS46" s="22">
        <v>550.20000000000005</v>
      </c>
      <c r="AT46" s="22">
        <v>553.4</v>
      </c>
      <c r="AU46" s="22">
        <v>555.20000000000005</v>
      </c>
      <c r="AV46" s="22">
        <v>553.4</v>
      </c>
      <c r="AW46" s="22">
        <v>559.79999999999995</v>
      </c>
      <c r="AX46" s="22">
        <v>568.1</v>
      </c>
      <c r="AY46" s="22">
        <v>577.70000000000005</v>
      </c>
      <c r="AZ46" s="22">
        <v>566.29999999999995</v>
      </c>
      <c r="BA46" s="22">
        <v>570.70000000000005</v>
      </c>
      <c r="BB46" s="22">
        <v>571.1</v>
      </c>
      <c r="BC46" s="22">
        <v>568.6</v>
      </c>
      <c r="BD46" s="22">
        <v>571.29999999999995</v>
      </c>
      <c r="BE46" s="22">
        <v>577.6</v>
      </c>
      <c r="BF46" s="22">
        <v>586.79999999999995</v>
      </c>
      <c r="BG46" s="22">
        <v>592.20000000000005</v>
      </c>
      <c r="BH46" s="22">
        <v>595.5</v>
      </c>
      <c r="BI46" s="22">
        <v>590.6</v>
      </c>
      <c r="BJ46" s="22">
        <v>594.79999999999995</v>
      </c>
      <c r="BK46" s="22">
        <v>595.1</v>
      </c>
      <c r="BL46" s="22">
        <v>592</v>
      </c>
      <c r="BM46" s="1">
        <v>592.79999999999995</v>
      </c>
      <c r="BN46" s="1">
        <v>597.29999999999995</v>
      </c>
      <c r="BO46" s="1">
        <v>597.79999999999995</v>
      </c>
      <c r="BP46" s="1">
        <v>591.9</v>
      </c>
    </row>
    <row r="47" spans="1:68" ht="15.9" customHeight="1">
      <c r="A47" s="68" t="s">
        <v>89</v>
      </c>
      <c r="B47" s="44" t="s">
        <v>90</v>
      </c>
      <c r="C47" s="48" t="str">
        <f>_xll.RssMarket("8572","安値")</f>
        <v/>
      </c>
      <c r="D47" s="16" t="e">
        <f t="shared" si="1"/>
        <v>#VALUE!</v>
      </c>
      <c r="E47" s="22">
        <v>479.3</v>
      </c>
      <c r="F47" s="22">
        <v>485.6</v>
      </c>
      <c r="G47" s="22">
        <v>480.5</v>
      </c>
      <c r="H47" s="22">
        <v>480</v>
      </c>
      <c r="I47" s="22">
        <v>480.9</v>
      </c>
      <c r="J47" s="22">
        <v>482.2</v>
      </c>
      <c r="K47" s="22">
        <v>481</v>
      </c>
      <c r="L47" s="22">
        <v>470.3</v>
      </c>
      <c r="M47" s="22">
        <v>464.1</v>
      </c>
      <c r="N47" s="22">
        <v>455.8</v>
      </c>
      <c r="O47" s="22">
        <v>450.4</v>
      </c>
      <c r="P47" s="22">
        <v>452.5</v>
      </c>
      <c r="Q47" s="22">
        <v>451.9</v>
      </c>
      <c r="R47" s="22">
        <v>444</v>
      </c>
      <c r="S47" s="22">
        <v>445.1</v>
      </c>
      <c r="T47" s="22">
        <v>443.4</v>
      </c>
      <c r="U47" s="22">
        <v>446.1</v>
      </c>
      <c r="V47" s="22">
        <v>444.9</v>
      </c>
      <c r="W47" s="22">
        <v>444.3</v>
      </c>
      <c r="X47" s="22">
        <v>444.7</v>
      </c>
      <c r="Y47" s="22">
        <v>449</v>
      </c>
      <c r="Z47" s="22">
        <v>446.3</v>
      </c>
      <c r="AA47" s="22">
        <v>453.2</v>
      </c>
      <c r="AB47" s="22">
        <v>446.4</v>
      </c>
      <c r="AC47" s="22">
        <v>446.8</v>
      </c>
      <c r="AD47" s="22">
        <v>448.5</v>
      </c>
      <c r="AE47" s="22">
        <v>440.5</v>
      </c>
      <c r="AF47" s="22">
        <v>445</v>
      </c>
      <c r="AG47" s="22">
        <v>441.8</v>
      </c>
      <c r="AH47" s="22">
        <v>445.9</v>
      </c>
      <c r="AI47" s="22">
        <v>444.3</v>
      </c>
      <c r="AJ47" s="22">
        <v>466.4</v>
      </c>
      <c r="AK47" s="22">
        <v>464.3</v>
      </c>
      <c r="AL47" s="22">
        <v>463.4</v>
      </c>
      <c r="AM47" s="22">
        <v>461.1</v>
      </c>
      <c r="AN47" s="22">
        <v>463.6</v>
      </c>
      <c r="AO47" s="22">
        <v>460.3</v>
      </c>
      <c r="AP47" s="22">
        <v>458.1</v>
      </c>
      <c r="AQ47" s="22">
        <v>459.8</v>
      </c>
      <c r="AR47" s="22">
        <v>455.6</v>
      </c>
      <c r="AS47" s="22">
        <v>457</v>
      </c>
      <c r="AT47" s="22">
        <v>454.3</v>
      </c>
      <c r="AU47" s="22">
        <v>451.3</v>
      </c>
      <c r="AV47" s="22">
        <v>489.3</v>
      </c>
      <c r="AW47" s="22">
        <v>488</v>
      </c>
      <c r="AX47" s="22">
        <v>491.2</v>
      </c>
      <c r="AY47" s="22">
        <v>490.9</v>
      </c>
      <c r="AZ47" s="22">
        <v>490.6</v>
      </c>
      <c r="BA47" s="22">
        <v>496.1</v>
      </c>
      <c r="BB47" s="22">
        <v>495.4</v>
      </c>
      <c r="BC47" s="22">
        <v>495.3</v>
      </c>
      <c r="BD47" s="22">
        <v>496</v>
      </c>
      <c r="BE47" s="22">
        <v>499.1</v>
      </c>
      <c r="BF47" s="22">
        <v>510.8</v>
      </c>
      <c r="BG47" s="22">
        <v>501.5</v>
      </c>
      <c r="BH47" s="22">
        <v>481.1</v>
      </c>
      <c r="BI47" s="22">
        <v>481.1</v>
      </c>
      <c r="BJ47" s="22">
        <v>478.4</v>
      </c>
      <c r="BK47" s="22">
        <v>476.6</v>
      </c>
      <c r="BL47" s="22">
        <v>472.4</v>
      </c>
      <c r="BM47" s="1">
        <v>467.6</v>
      </c>
      <c r="BN47" s="1">
        <v>470</v>
      </c>
      <c r="BO47" s="1">
        <v>471.5</v>
      </c>
    </row>
    <row r="48" spans="1:68" ht="15.9" customHeight="1">
      <c r="A48" s="68" t="s">
        <v>91</v>
      </c>
      <c r="B48" s="44" t="s">
        <v>92</v>
      </c>
      <c r="C48" s="48" t="str">
        <f>_xll.RssMarket("3941","安値")</f>
        <v/>
      </c>
      <c r="D48" s="16" t="e">
        <f t="shared" si="1"/>
        <v>#VALUE!</v>
      </c>
      <c r="E48" s="22">
        <v>1415</v>
      </c>
      <c r="F48" s="22">
        <v>1422.5</v>
      </c>
      <c r="G48" s="22">
        <v>1399</v>
      </c>
      <c r="H48" s="22">
        <v>1402</v>
      </c>
      <c r="I48" s="22">
        <v>1400.5</v>
      </c>
      <c r="J48" s="22">
        <v>1401</v>
      </c>
      <c r="K48" s="22">
        <v>1413.5</v>
      </c>
      <c r="L48" s="22">
        <v>1410</v>
      </c>
      <c r="M48" s="22">
        <v>1401</v>
      </c>
      <c r="N48" s="22">
        <v>1396</v>
      </c>
      <c r="O48" s="22">
        <v>1402</v>
      </c>
      <c r="P48" s="22">
        <v>1397.5</v>
      </c>
      <c r="Q48" s="22">
        <v>1429.5</v>
      </c>
      <c r="R48" s="22">
        <v>1408</v>
      </c>
      <c r="S48" s="22">
        <v>1400</v>
      </c>
      <c r="T48" s="22">
        <v>1393</v>
      </c>
      <c r="U48" s="22">
        <v>1390</v>
      </c>
      <c r="V48" s="22">
        <v>1398.5</v>
      </c>
      <c r="W48" s="22">
        <v>1417.5</v>
      </c>
      <c r="X48" s="22">
        <v>1403</v>
      </c>
      <c r="Y48" s="22">
        <v>1400</v>
      </c>
      <c r="Z48" s="22">
        <v>1391</v>
      </c>
      <c r="AA48" s="22">
        <v>1374</v>
      </c>
      <c r="AB48" s="22">
        <v>1351</v>
      </c>
      <c r="AC48" s="22">
        <v>1386</v>
      </c>
      <c r="AD48" s="22">
        <v>1351</v>
      </c>
      <c r="AE48" s="22">
        <v>1383.5</v>
      </c>
      <c r="AF48" s="22">
        <v>1360.5</v>
      </c>
      <c r="AG48" s="22">
        <v>1394.5</v>
      </c>
      <c r="AH48" s="22">
        <v>1370</v>
      </c>
      <c r="AI48" s="22">
        <v>1422.5</v>
      </c>
      <c r="AJ48" s="22">
        <v>1405.5</v>
      </c>
      <c r="AK48" s="22">
        <v>1400.5</v>
      </c>
      <c r="AL48" s="22">
        <v>1379.5</v>
      </c>
      <c r="AM48" s="22">
        <v>1390.5</v>
      </c>
      <c r="AN48" s="22">
        <v>1397.5</v>
      </c>
      <c r="AO48" s="22">
        <v>1376.5</v>
      </c>
      <c r="AP48" s="22">
        <v>1390.5</v>
      </c>
      <c r="AQ48" s="22">
        <v>1372.5</v>
      </c>
      <c r="AR48" s="22">
        <v>1380</v>
      </c>
      <c r="AS48" s="22">
        <v>1251.5</v>
      </c>
      <c r="AT48" s="22">
        <v>1227.5</v>
      </c>
      <c r="AU48" s="22">
        <v>1214</v>
      </c>
      <c r="AV48" s="22">
        <v>1216.5</v>
      </c>
      <c r="AW48" s="22">
        <v>1223.5</v>
      </c>
      <c r="AX48" s="22">
        <v>1212.5</v>
      </c>
      <c r="AY48" s="22">
        <v>1204.5</v>
      </c>
      <c r="AZ48" s="22">
        <v>1217</v>
      </c>
      <c r="BA48" s="22">
        <v>1252.5</v>
      </c>
      <c r="BB48" s="22">
        <v>1266</v>
      </c>
      <c r="BC48" s="22">
        <v>1263</v>
      </c>
      <c r="BD48" s="22">
        <v>1260.5</v>
      </c>
      <c r="BE48" s="22">
        <v>1290</v>
      </c>
      <c r="BF48" s="22">
        <v>1281.5</v>
      </c>
      <c r="BG48" s="22">
        <v>1252</v>
      </c>
      <c r="BH48" s="22">
        <v>1245.5</v>
      </c>
      <c r="BI48" s="22">
        <v>1255</v>
      </c>
      <c r="BJ48" s="22">
        <v>1253.5</v>
      </c>
      <c r="BK48" s="22">
        <v>1258.5</v>
      </c>
      <c r="BL48" s="22">
        <v>1259</v>
      </c>
      <c r="BM48" s="1">
        <v>1264.5</v>
      </c>
      <c r="BN48" s="1">
        <v>1278.5</v>
      </c>
      <c r="BO48" s="1">
        <v>1265</v>
      </c>
    </row>
    <row r="49" spans="1:68" ht="15.9" customHeight="1">
      <c r="A49" s="68" t="s">
        <v>93</v>
      </c>
      <c r="B49" s="44" t="s">
        <v>94</v>
      </c>
      <c r="C49" s="48" t="str">
        <f>_xll.RssMarket("5929","安値")</f>
        <v/>
      </c>
      <c r="D49" s="16" t="e">
        <f t="shared" si="1"/>
        <v>#VALUE!</v>
      </c>
      <c r="E49" s="22">
        <v>3712</v>
      </c>
      <c r="F49" s="22">
        <v>3689</v>
      </c>
      <c r="G49" s="22">
        <v>3672</v>
      </c>
      <c r="H49" s="22">
        <v>3637</v>
      </c>
      <c r="I49" s="22">
        <v>3656</v>
      </c>
      <c r="J49" s="22">
        <v>3682</v>
      </c>
      <c r="K49" s="22">
        <v>3852</v>
      </c>
      <c r="L49" s="22">
        <v>3833</v>
      </c>
      <c r="M49" s="22">
        <v>3803</v>
      </c>
      <c r="N49" s="22">
        <v>3742</v>
      </c>
      <c r="O49" s="22">
        <v>3700</v>
      </c>
      <c r="P49" s="22">
        <v>3768</v>
      </c>
      <c r="Q49" s="22">
        <v>3780</v>
      </c>
      <c r="R49" s="22">
        <v>3711</v>
      </c>
      <c r="S49" s="22">
        <v>3687</v>
      </c>
      <c r="T49" s="22">
        <v>3632</v>
      </c>
      <c r="U49" s="22">
        <v>3653</v>
      </c>
      <c r="V49" s="22">
        <v>3655</v>
      </c>
      <c r="W49" s="22">
        <v>3672</v>
      </c>
      <c r="X49" s="22">
        <v>3709</v>
      </c>
      <c r="Y49" s="22">
        <v>3698</v>
      </c>
      <c r="Z49" s="22">
        <v>3642</v>
      </c>
      <c r="AA49" s="22">
        <v>3666</v>
      </c>
      <c r="AB49" s="22">
        <v>3599</v>
      </c>
      <c r="AC49" s="22">
        <v>3544</v>
      </c>
      <c r="AD49" s="22">
        <v>3577</v>
      </c>
      <c r="AE49" s="22">
        <v>3467</v>
      </c>
      <c r="AF49" s="22">
        <v>3502</v>
      </c>
      <c r="AG49" s="22">
        <v>3429</v>
      </c>
      <c r="AH49" s="22">
        <v>3306</v>
      </c>
      <c r="AI49" s="22">
        <v>3326</v>
      </c>
      <c r="AJ49" s="22">
        <v>3512</v>
      </c>
      <c r="AK49" s="22">
        <v>3400</v>
      </c>
      <c r="AL49" s="22">
        <v>3307</v>
      </c>
      <c r="AM49" s="22">
        <v>3279</v>
      </c>
      <c r="AN49" s="22">
        <v>3258</v>
      </c>
      <c r="AO49" s="22">
        <v>3297</v>
      </c>
      <c r="AP49" s="22">
        <v>3265</v>
      </c>
      <c r="AQ49" s="22">
        <v>3303</v>
      </c>
      <c r="AR49" s="22">
        <v>3315</v>
      </c>
      <c r="AS49" s="22">
        <v>3430</v>
      </c>
      <c r="AT49" s="22">
        <v>3445</v>
      </c>
      <c r="AU49" s="22">
        <v>3462</v>
      </c>
      <c r="AV49" s="22">
        <v>3508</v>
      </c>
      <c r="AW49" s="22">
        <v>3591</v>
      </c>
      <c r="AX49" s="22">
        <v>3599</v>
      </c>
      <c r="AY49" s="22">
        <v>3547</v>
      </c>
      <c r="AZ49" s="22">
        <v>3529</v>
      </c>
      <c r="BA49" s="22">
        <v>3545</v>
      </c>
      <c r="BB49" s="22">
        <v>3625</v>
      </c>
      <c r="BC49" s="22">
        <v>3578</v>
      </c>
      <c r="BD49" s="22">
        <v>3578</v>
      </c>
      <c r="BE49" s="22">
        <v>3587</v>
      </c>
      <c r="BF49" s="22">
        <v>3624</v>
      </c>
      <c r="BG49" s="22">
        <v>3623</v>
      </c>
      <c r="BH49" s="22">
        <v>3615</v>
      </c>
      <c r="BI49" s="22">
        <v>3599</v>
      </c>
      <c r="BJ49" s="22">
        <v>3632</v>
      </c>
      <c r="BK49" s="22">
        <v>3707</v>
      </c>
      <c r="BL49" s="22">
        <v>3677</v>
      </c>
      <c r="BM49" s="1">
        <v>3644</v>
      </c>
      <c r="BN49" s="1">
        <v>3660</v>
      </c>
      <c r="BO49" s="1">
        <v>3687</v>
      </c>
      <c r="BP49" s="1">
        <v>3657</v>
      </c>
    </row>
    <row r="50" spans="1:68" ht="15.9" customHeight="1">
      <c r="A50" s="68" t="s">
        <v>95</v>
      </c>
      <c r="B50" s="44" t="s">
        <v>96</v>
      </c>
      <c r="C50" s="48" t="str">
        <f>_xll.RssMarket("8316","安値")</f>
        <v/>
      </c>
      <c r="D50" s="16" t="e">
        <f t="shared" si="1"/>
        <v>#VALUE!</v>
      </c>
      <c r="E50" s="22">
        <v>6576</v>
      </c>
      <c r="F50" s="22">
        <v>6976</v>
      </c>
      <c r="G50" s="22">
        <v>6843</v>
      </c>
      <c r="H50" s="22">
        <v>6883</v>
      </c>
      <c r="I50" s="22">
        <v>6772</v>
      </c>
      <c r="J50" s="22">
        <v>6702</v>
      </c>
      <c r="K50" s="22">
        <v>6785</v>
      </c>
      <c r="L50" s="22">
        <v>6812</v>
      </c>
      <c r="M50" s="22">
        <v>6632</v>
      </c>
      <c r="N50" s="22">
        <v>6583</v>
      </c>
      <c r="O50" s="22">
        <v>6469</v>
      </c>
      <c r="P50" s="22">
        <v>6346</v>
      </c>
      <c r="Q50" s="22">
        <v>6329</v>
      </c>
      <c r="R50" s="22">
        <v>6287</v>
      </c>
      <c r="S50" s="22">
        <v>6311</v>
      </c>
      <c r="T50" s="22">
        <v>6320</v>
      </c>
      <c r="U50" s="22">
        <v>6338</v>
      </c>
      <c r="V50" s="22">
        <v>6458</v>
      </c>
      <c r="W50" s="22">
        <v>6456</v>
      </c>
      <c r="X50" s="22">
        <v>6471</v>
      </c>
      <c r="Y50" s="22">
        <v>6573</v>
      </c>
      <c r="Z50" s="22">
        <v>6450</v>
      </c>
      <c r="AA50" s="22">
        <v>6363</v>
      </c>
      <c r="AB50" s="22">
        <v>6495</v>
      </c>
      <c r="AC50" s="22">
        <v>6309</v>
      </c>
      <c r="AD50" s="22">
        <v>6077</v>
      </c>
      <c r="AE50" s="22">
        <v>6207</v>
      </c>
      <c r="AF50" s="22">
        <v>6028</v>
      </c>
      <c r="AG50" s="22">
        <v>6213</v>
      </c>
      <c r="AH50" s="22">
        <v>6005</v>
      </c>
      <c r="AI50" s="22">
        <v>6012</v>
      </c>
      <c r="AJ50" s="22">
        <v>5794</v>
      </c>
      <c r="AK50" s="22">
        <v>5819</v>
      </c>
      <c r="AL50" s="22">
        <v>5810</v>
      </c>
      <c r="AM50" s="22">
        <v>5933</v>
      </c>
      <c r="AN50" s="22">
        <v>5970</v>
      </c>
      <c r="AO50" s="22">
        <v>5978</v>
      </c>
      <c r="AP50" s="22">
        <v>6031</v>
      </c>
      <c r="AQ50" s="22">
        <v>5842</v>
      </c>
      <c r="AR50" s="22">
        <v>5845</v>
      </c>
      <c r="AS50" s="22">
        <v>5703</v>
      </c>
      <c r="AT50" s="22">
        <v>5630</v>
      </c>
      <c r="AU50" s="22">
        <v>5644</v>
      </c>
      <c r="AV50" s="22">
        <v>5795</v>
      </c>
      <c r="AW50" s="22">
        <v>5676</v>
      </c>
      <c r="AX50" s="22">
        <v>5553</v>
      </c>
      <c r="AY50" s="22">
        <v>5498</v>
      </c>
      <c r="AZ50" s="22">
        <v>5574</v>
      </c>
      <c r="BA50" s="22">
        <v>5431</v>
      </c>
      <c r="BB50" s="22">
        <v>5420</v>
      </c>
      <c r="BC50" s="22">
        <v>5437</v>
      </c>
      <c r="BD50" s="22">
        <v>5268</v>
      </c>
      <c r="BE50" s="22">
        <v>5298</v>
      </c>
      <c r="BF50" s="22">
        <v>5297</v>
      </c>
      <c r="BG50" s="22">
        <v>5388</v>
      </c>
      <c r="BH50" s="22">
        <v>5452</v>
      </c>
      <c r="BI50" s="22">
        <v>5568</v>
      </c>
      <c r="BJ50" s="22">
        <v>5559</v>
      </c>
      <c r="BK50" s="22">
        <v>5660</v>
      </c>
      <c r="BL50" s="22">
        <v>5611</v>
      </c>
      <c r="BM50" s="1">
        <v>5522</v>
      </c>
      <c r="BN50" s="1">
        <v>5520</v>
      </c>
      <c r="BO50" s="1">
        <v>5536</v>
      </c>
      <c r="BP50" s="1">
        <v>5546</v>
      </c>
    </row>
    <row r="51" spans="1:68" ht="15.9" customHeight="1">
      <c r="A51" s="68" t="s">
        <v>97</v>
      </c>
      <c r="B51" s="44" t="s">
        <v>98</v>
      </c>
      <c r="C51" s="48" t="str">
        <f>_xll.RssMarket("5449","安値")</f>
        <v/>
      </c>
      <c r="D51" s="16" t="e">
        <f t="shared" si="1"/>
        <v>#VALUE!</v>
      </c>
      <c r="E51" s="22">
        <v>2525</v>
      </c>
      <c r="F51" s="22">
        <v>2471</v>
      </c>
      <c r="G51" s="22">
        <v>2475</v>
      </c>
      <c r="H51" s="22">
        <v>2511</v>
      </c>
      <c r="I51" s="22">
        <v>2491</v>
      </c>
      <c r="J51" s="22">
        <v>2442</v>
      </c>
      <c r="K51" s="22">
        <v>2476</v>
      </c>
      <c r="L51" s="22">
        <v>2390</v>
      </c>
      <c r="M51" s="22">
        <v>2377</v>
      </c>
      <c r="N51" s="22">
        <v>2345</v>
      </c>
      <c r="O51" s="22">
        <v>2284</v>
      </c>
      <c r="P51" s="22">
        <v>2255</v>
      </c>
      <c r="Q51" s="22">
        <v>2264</v>
      </c>
      <c r="R51" s="22">
        <v>2342</v>
      </c>
      <c r="S51" s="22">
        <v>2284</v>
      </c>
      <c r="T51" s="22">
        <v>2301</v>
      </c>
      <c r="U51" s="22">
        <v>2330</v>
      </c>
      <c r="V51" s="22">
        <v>2308</v>
      </c>
      <c r="W51" s="22">
        <v>2293</v>
      </c>
      <c r="X51" s="22">
        <v>2221</v>
      </c>
      <c r="Y51" s="22">
        <v>2238</v>
      </c>
      <c r="Z51" s="22">
        <v>2373</v>
      </c>
      <c r="AA51" s="22">
        <v>2363</v>
      </c>
      <c r="AB51" s="22">
        <v>2320</v>
      </c>
      <c r="AC51" s="22">
        <v>2284</v>
      </c>
      <c r="AD51" s="22">
        <v>2314</v>
      </c>
      <c r="AE51" s="22">
        <v>2245</v>
      </c>
      <c r="AF51" s="22">
        <v>2335</v>
      </c>
      <c r="AG51" s="22">
        <v>2280</v>
      </c>
      <c r="AH51" s="22">
        <v>2321</v>
      </c>
      <c r="AI51" s="22">
        <v>2307</v>
      </c>
      <c r="AJ51" s="22">
        <v>2557</v>
      </c>
      <c r="AK51" s="22">
        <v>2552</v>
      </c>
      <c r="AL51" s="22">
        <v>2381</v>
      </c>
      <c r="AM51" s="22">
        <v>2325</v>
      </c>
      <c r="AN51" s="22">
        <v>2308</v>
      </c>
      <c r="AO51" s="22">
        <v>2239</v>
      </c>
      <c r="AP51" s="22">
        <v>2245</v>
      </c>
      <c r="AQ51" s="22">
        <v>2251</v>
      </c>
      <c r="AR51" s="22">
        <v>2318</v>
      </c>
      <c r="AS51" s="22">
        <v>2311</v>
      </c>
      <c r="AT51" s="22">
        <v>2288</v>
      </c>
      <c r="AU51" s="22">
        <v>2469</v>
      </c>
      <c r="AV51" s="22">
        <v>2505</v>
      </c>
      <c r="AW51" s="22">
        <v>2489</v>
      </c>
      <c r="AX51" s="22">
        <v>2518</v>
      </c>
      <c r="AY51" s="22">
        <v>2429</v>
      </c>
      <c r="AZ51" s="22">
        <v>2443</v>
      </c>
      <c r="BA51" s="22">
        <v>2353</v>
      </c>
      <c r="BB51" s="22">
        <v>2306</v>
      </c>
      <c r="BC51" s="22">
        <v>2284</v>
      </c>
      <c r="BD51" s="22">
        <v>2297</v>
      </c>
      <c r="BE51" s="22">
        <v>2348</v>
      </c>
      <c r="BF51" s="22">
        <v>2384</v>
      </c>
      <c r="BG51" s="22">
        <v>2424</v>
      </c>
      <c r="BH51" s="22">
        <v>2383</v>
      </c>
      <c r="BI51" s="22">
        <v>2405</v>
      </c>
      <c r="BJ51" s="22">
        <v>2435</v>
      </c>
      <c r="BK51" s="22">
        <v>2368</v>
      </c>
      <c r="BL51" s="22">
        <v>2364</v>
      </c>
      <c r="BM51" s="1">
        <v>2481</v>
      </c>
      <c r="BN51" s="1">
        <v>2648</v>
      </c>
      <c r="BO51" s="1">
        <v>2694</v>
      </c>
      <c r="BP51" s="1">
        <v>2645</v>
      </c>
    </row>
    <row r="52" spans="1:68" ht="15.9" customHeight="1">
      <c r="A52" s="68" t="s">
        <v>99</v>
      </c>
      <c r="B52" s="44" t="s">
        <v>100</v>
      </c>
      <c r="C52" s="48" t="str">
        <f>_xll.RssMarket("8766","安値")</f>
        <v/>
      </c>
      <c r="D52" s="16" t="e">
        <f t="shared" si="1"/>
        <v>#VALUE!</v>
      </c>
      <c r="E52" s="22">
        <v>7461</v>
      </c>
      <c r="F52" s="22">
        <v>7734</v>
      </c>
      <c r="G52" s="22">
        <v>7611</v>
      </c>
      <c r="H52" s="22">
        <v>7450</v>
      </c>
      <c r="I52" s="22">
        <v>7569</v>
      </c>
      <c r="J52" s="22">
        <v>7648</v>
      </c>
      <c r="K52" s="22">
        <v>7690</v>
      </c>
      <c r="L52" s="22">
        <v>7716</v>
      </c>
      <c r="M52" s="22">
        <v>7560</v>
      </c>
      <c r="N52" s="22">
        <v>7546</v>
      </c>
      <c r="O52" s="22">
        <v>7222</v>
      </c>
      <c r="P52" s="22">
        <v>7074</v>
      </c>
      <c r="Q52" s="22">
        <v>7202</v>
      </c>
      <c r="R52" s="22">
        <v>7077</v>
      </c>
      <c r="S52" s="22">
        <v>6798</v>
      </c>
      <c r="T52" s="22">
        <v>6847</v>
      </c>
      <c r="U52" s="22">
        <v>6970</v>
      </c>
      <c r="V52" s="22">
        <v>7288</v>
      </c>
      <c r="W52" s="22">
        <v>7120</v>
      </c>
      <c r="X52" s="22">
        <v>7186</v>
      </c>
      <c r="Y52" s="22">
        <v>7260</v>
      </c>
      <c r="Z52" s="22">
        <v>7252</v>
      </c>
      <c r="AA52" s="22">
        <v>7190</v>
      </c>
      <c r="AB52" s="22">
        <v>7210</v>
      </c>
      <c r="AC52" s="22">
        <v>7310</v>
      </c>
      <c r="AD52" s="22">
        <v>7326</v>
      </c>
      <c r="AE52" s="22">
        <v>7368</v>
      </c>
      <c r="AF52" s="22">
        <v>6952</v>
      </c>
      <c r="AG52" s="22">
        <v>6960</v>
      </c>
      <c r="AH52" s="22">
        <v>6891</v>
      </c>
      <c r="AI52" s="22">
        <v>7043</v>
      </c>
      <c r="AJ52" s="22">
        <v>6976</v>
      </c>
      <c r="AK52" s="22">
        <v>7075</v>
      </c>
      <c r="AL52" s="22">
        <v>7141</v>
      </c>
      <c r="AM52" s="22">
        <v>7322</v>
      </c>
      <c r="AN52" s="22">
        <v>7306</v>
      </c>
      <c r="AO52" s="22">
        <v>7316</v>
      </c>
      <c r="AP52" s="22">
        <v>7623</v>
      </c>
      <c r="AQ52" s="22">
        <v>7808</v>
      </c>
      <c r="AR52" s="22">
        <v>7795</v>
      </c>
      <c r="AS52" s="22">
        <v>7592</v>
      </c>
      <c r="AT52" s="22">
        <v>7512</v>
      </c>
      <c r="AU52" s="22">
        <v>7321</v>
      </c>
      <c r="AV52" s="22">
        <v>7145</v>
      </c>
      <c r="AW52" s="22">
        <v>7125</v>
      </c>
      <c r="AX52" s="22">
        <v>6950</v>
      </c>
      <c r="AY52" s="22">
        <v>7030</v>
      </c>
      <c r="AZ52" s="22">
        <v>7166</v>
      </c>
      <c r="BA52" s="22">
        <v>7048</v>
      </c>
      <c r="BB52" s="22">
        <v>7125</v>
      </c>
      <c r="BC52" s="22">
        <v>7152</v>
      </c>
      <c r="BD52" s="22">
        <v>7081</v>
      </c>
      <c r="BE52" s="22">
        <v>7097</v>
      </c>
      <c r="BF52" s="22">
        <v>6934</v>
      </c>
      <c r="BG52" s="22">
        <v>7106</v>
      </c>
      <c r="BH52" s="22">
        <v>7159</v>
      </c>
      <c r="BI52" s="22">
        <v>7033</v>
      </c>
      <c r="BJ52" s="22">
        <v>6839</v>
      </c>
      <c r="BK52" s="22">
        <v>6894</v>
      </c>
      <c r="BL52" s="22">
        <v>6822</v>
      </c>
      <c r="BM52" s="1">
        <v>6913</v>
      </c>
      <c r="BN52" s="1">
        <v>6996</v>
      </c>
      <c r="BO52" s="1">
        <v>7025</v>
      </c>
      <c r="BP52" s="1">
        <v>7202</v>
      </c>
    </row>
    <row r="53" spans="1:68" ht="15.9" customHeight="1">
      <c r="A53" s="68" t="s">
        <v>101</v>
      </c>
      <c r="B53" s="44" t="s">
        <v>102</v>
      </c>
      <c r="C53" s="48" t="str">
        <f>_xll.RssMarket("5201","安値")</f>
        <v/>
      </c>
      <c r="D53" s="16" t="e">
        <f t="shared" si="1"/>
        <v>#VALUE!</v>
      </c>
      <c r="E53" s="22">
        <v>5997</v>
      </c>
      <c r="F53" s="22">
        <v>6417</v>
      </c>
      <c r="G53" s="22">
        <v>6262</v>
      </c>
      <c r="H53" s="22">
        <v>6293</v>
      </c>
      <c r="I53" s="22">
        <v>6389</v>
      </c>
      <c r="J53" s="22">
        <v>6422</v>
      </c>
      <c r="K53" s="22">
        <v>6393</v>
      </c>
      <c r="L53" s="22">
        <v>6475</v>
      </c>
      <c r="M53" s="22">
        <v>6678</v>
      </c>
      <c r="N53" s="22">
        <v>6715</v>
      </c>
      <c r="O53" s="22">
        <v>6740</v>
      </c>
      <c r="P53" s="22">
        <v>6851</v>
      </c>
      <c r="Q53" s="22">
        <v>6861</v>
      </c>
      <c r="R53" s="22">
        <v>6851</v>
      </c>
      <c r="S53" s="22">
        <v>7060</v>
      </c>
      <c r="T53" s="22">
        <v>7221</v>
      </c>
      <c r="U53" s="22">
        <v>7090</v>
      </c>
      <c r="V53" s="22">
        <v>7250</v>
      </c>
      <c r="W53" s="22">
        <v>7520</v>
      </c>
      <c r="X53" s="22">
        <v>7561</v>
      </c>
      <c r="Y53" s="22">
        <v>7373</v>
      </c>
      <c r="Z53" s="22">
        <v>7190</v>
      </c>
      <c r="AA53" s="22">
        <v>7270</v>
      </c>
      <c r="AB53" s="22">
        <v>7156</v>
      </c>
      <c r="AC53" s="22">
        <v>6986</v>
      </c>
      <c r="AD53" s="22">
        <v>6636</v>
      </c>
      <c r="AE53" s="22">
        <v>6907</v>
      </c>
      <c r="AF53" s="22">
        <v>7130</v>
      </c>
      <c r="AG53" s="22">
        <v>7659</v>
      </c>
      <c r="AH53" s="22">
        <v>7519</v>
      </c>
      <c r="AI53" s="22">
        <v>6990</v>
      </c>
      <c r="AJ53" s="22">
        <v>6840</v>
      </c>
      <c r="AK53" s="22">
        <v>6772</v>
      </c>
      <c r="AL53" s="22">
        <v>7011</v>
      </c>
      <c r="AM53" s="22">
        <v>6480</v>
      </c>
      <c r="AN53" s="22">
        <v>6225</v>
      </c>
      <c r="AO53" s="22">
        <v>6067</v>
      </c>
      <c r="AP53" s="22">
        <v>5992</v>
      </c>
      <c r="AQ53" s="22">
        <v>6177</v>
      </c>
      <c r="AR53" s="22">
        <v>5861</v>
      </c>
      <c r="AS53" s="22">
        <v>5923</v>
      </c>
      <c r="AT53" s="22">
        <v>6020</v>
      </c>
      <c r="AU53" s="22">
        <v>5929</v>
      </c>
      <c r="AV53" s="22">
        <v>5623</v>
      </c>
      <c r="AW53" s="22">
        <v>5573</v>
      </c>
      <c r="AX53" s="22">
        <v>5512</v>
      </c>
      <c r="AY53" s="22">
        <v>5550</v>
      </c>
      <c r="AZ53" s="22">
        <v>5470</v>
      </c>
      <c r="BA53" s="22">
        <v>5559</v>
      </c>
      <c r="BB53" s="22">
        <v>5697</v>
      </c>
      <c r="BC53" s="22">
        <v>5577</v>
      </c>
      <c r="BD53" s="22">
        <v>5616</v>
      </c>
      <c r="BE53" s="22">
        <v>5546</v>
      </c>
      <c r="BF53" s="22">
        <v>5662</v>
      </c>
      <c r="BG53" s="22">
        <v>5739</v>
      </c>
      <c r="BH53" s="22">
        <v>5727</v>
      </c>
      <c r="BI53" s="22">
        <v>5669</v>
      </c>
      <c r="BJ53" s="22">
        <v>5642</v>
      </c>
      <c r="BK53" s="22">
        <v>5585</v>
      </c>
      <c r="BL53" s="22">
        <v>5627</v>
      </c>
      <c r="BM53" s="1">
        <v>5682</v>
      </c>
      <c r="BN53" s="1">
        <v>5827</v>
      </c>
      <c r="BO53" s="1">
        <v>5859</v>
      </c>
      <c r="BP53" s="1">
        <v>5781</v>
      </c>
    </row>
    <row r="54" spans="1:68" ht="15.9" customHeight="1">
      <c r="A54" s="68" t="s">
        <v>103</v>
      </c>
      <c r="B54" s="44" t="s">
        <v>104</v>
      </c>
      <c r="C54" s="48" t="str">
        <f>_xll.RssMarket("8630","安値")</f>
        <v/>
      </c>
      <c r="D54" s="16" t="e">
        <f t="shared" si="1"/>
        <v>#VALUE!</v>
      </c>
      <c r="E54" s="22">
        <v>6580</v>
      </c>
      <c r="F54" s="22">
        <v>6613</v>
      </c>
      <c r="G54" s="22">
        <v>6470</v>
      </c>
      <c r="H54" s="22">
        <v>6468</v>
      </c>
      <c r="I54" s="22">
        <v>6488</v>
      </c>
      <c r="J54" s="22">
        <v>6544</v>
      </c>
      <c r="K54" s="22">
        <v>6672</v>
      </c>
      <c r="L54" s="22">
        <v>6642</v>
      </c>
      <c r="M54" s="22">
        <v>6607</v>
      </c>
      <c r="N54" s="22">
        <v>6584</v>
      </c>
      <c r="O54" s="22">
        <v>6326</v>
      </c>
      <c r="P54" s="22">
        <v>6214</v>
      </c>
      <c r="Q54" s="22">
        <v>6210</v>
      </c>
      <c r="R54" s="22">
        <v>6107</v>
      </c>
      <c r="S54" s="22">
        <v>6063</v>
      </c>
      <c r="T54" s="22">
        <v>6050</v>
      </c>
      <c r="U54" s="22">
        <v>6098</v>
      </c>
      <c r="V54" s="22">
        <v>6320</v>
      </c>
      <c r="W54" s="22">
        <v>6232</v>
      </c>
      <c r="X54" s="22">
        <v>6292</v>
      </c>
      <c r="Y54" s="22">
        <v>6250</v>
      </c>
      <c r="Z54" s="22">
        <v>6194</v>
      </c>
      <c r="AA54" s="22">
        <v>6169</v>
      </c>
      <c r="AB54" s="22">
        <v>6150</v>
      </c>
      <c r="AC54" s="22">
        <v>6040</v>
      </c>
      <c r="AD54" s="22">
        <v>6112</v>
      </c>
      <c r="AE54" s="22">
        <v>6115</v>
      </c>
      <c r="AF54" s="22">
        <v>5880</v>
      </c>
      <c r="AG54" s="22">
        <v>5827</v>
      </c>
      <c r="AH54" s="22">
        <v>5736</v>
      </c>
      <c r="AI54" s="22">
        <v>5870</v>
      </c>
      <c r="AJ54" s="22">
        <v>5868</v>
      </c>
      <c r="AK54" s="22">
        <v>5777</v>
      </c>
      <c r="AL54" s="22">
        <v>5813</v>
      </c>
      <c r="AM54" s="22">
        <v>5843</v>
      </c>
      <c r="AN54" s="22">
        <v>5523</v>
      </c>
      <c r="AO54" s="22">
        <v>5568</v>
      </c>
      <c r="AP54" s="22">
        <v>5562</v>
      </c>
      <c r="AQ54" s="22">
        <v>6145</v>
      </c>
      <c r="AR54" s="22">
        <v>6286</v>
      </c>
      <c r="AS54" s="22">
        <v>6053</v>
      </c>
      <c r="AT54" s="22">
        <v>6007</v>
      </c>
      <c r="AU54" s="22">
        <v>5977</v>
      </c>
      <c r="AV54" s="22">
        <v>5965</v>
      </c>
      <c r="AW54" s="22">
        <v>5789</v>
      </c>
      <c r="AX54" s="22">
        <v>5670</v>
      </c>
      <c r="AY54" s="22">
        <v>5717</v>
      </c>
      <c r="AZ54" s="22">
        <v>5774</v>
      </c>
      <c r="BA54" s="22">
        <v>5615</v>
      </c>
      <c r="BB54" s="22">
        <v>5676</v>
      </c>
      <c r="BC54" s="22">
        <v>5704</v>
      </c>
      <c r="BD54" s="22">
        <v>5620</v>
      </c>
      <c r="BE54" s="22">
        <v>5805</v>
      </c>
      <c r="BF54" s="22">
        <v>5734</v>
      </c>
      <c r="BG54" s="22">
        <v>5820</v>
      </c>
      <c r="BH54" s="22">
        <v>5870</v>
      </c>
      <c r="BI54" s="22">
        <v>5872</v>
      </c>
      <c r="BJ54" s="22">
        <v>5898</v>
      </c>
      <c r="BK54" s="22">
        <v>5950</v>
      </c>
      <c r="BL54" s="22">
        <v>5884</v>
      </c>
      <c r="BM54" s="1">
        <v>5875</v>
      </c>
      <c r="BN54" s="1">
        <v>5878</v>
      </c>
      <c r="BO54" s="1">
        <v>5967</v>
      </c>
      <c r="BP54" s="1">
        <v>5973</v>
      </c>
    </row>
    <row r="55" spans="1:68" ht="15.9" customHeight="1">
      <c r="A55" s="68" t="s">
        <v>105</v>
      </c>
      <c r="B55" s="44" t="s">
        <v>106</v>
      </c>
      <c r="C55" s="48" t="str">
        <f>_xll.RssMarket("5901","安値")</f>
        <v/>
      </c>
      <c r="D55" s="16" t="e">
        <f t="shared" si="1"/>
        <v>#VALUE!</v>
      </c>
      <c r="E55" s="22">
        <v>3986</v>
      </c>
      <c r="F55" s="22">
        <v>3991</v>
      </c>
      <c r="G55" s="22">
        <v>3981</v>
      </c>
      <c r="H55" s="22">
        <v>4026</v>
      </c>
      <c r="I55" s="22">
        <v>4006</v>
      </c>
      <c r="J55" s="22">
        <v>4090</v>
      </c>
      <c r="K55" s="22">
        <v>4128</v>
      </c>
      <c r="L55" s="22">
        <v>4110</v>
      </c>
      <c r="M55" s="22">
        <v>4091</v>
      </c>
      <c r="N55" s="22">
        <v>4060</v>
      </c>
      <c r="O55" s="22">
        <v>4024</v>
      </c>
      <c r="P55" s="22">
        <v>4057</v>
      </c>
      <c r="Q55" s="22">
        <v>4091</v>
      </c>
      <c r="R55" s="22">
        <v>4073</v>
      </c>
      <c r="S55" s="22">
        <v>4079</v>
      </c>
      <c r="T55" s="22">
        <v>4038</v>
      </c>
      <c r="U55" s="22">
        <v>4083</v>
      </c>
      <c r="V55" s="22">
        <v>4076</v>
      </c>
      <c r="W55" s="22">
        <v>3987</v>
      </c>
      <c r="X55" s="22">
        <v>4050</v>
      </c>
      <c r="Y55" s="22">
        <v>3964</v>
      </c>
      <c r="Z55" s="22">
        <v>3958</v>
      </c>
      <c r="AA55" s="22">
        <v>3945</v>
      </c>
      <c r="AB55" s="22">
        <v>3861</v>
      </c>
      <c r="AC55" s="22">
        <v>3791</v>
      </c>
      <c r="AD55" s="22">
        <v>3804</v>
      </c>
      <c r="AE55" s="22">
        <v>3753</v>
      </c>
      <c r="AF55" s="22">
        <v>3741</v>
      </c>
      <c r="AG55" s="22">
        <v>3786</v>
      </c>
      <c r="AH55" s="22">
        <v>3750</v>
      </c>
      <c r="AI55" s="22">
        <v>3762</v>
      </c>
      <c r="AJ55" s="22">
        <v>3870</v>
      </c>
      <c r="AK55" s="22">
        <v>3813</v>
      </c>
      <c r="AL55" s="22">
        <v>3885</v>
      </c>
      <c r="AM55" s="22">
        <v>3925</v>
      </c>
      <c r="AN55" s="22">
        <v>3961</v>
      </c>
      <c r="AO55" s="22">
        <v>4088</v>
      </c>
      <c r="AP55" s="22">
        <v>3952</v>
      </c>
      <c r="AQ55" s="22">
        <v>3884</v>
      </c>
      <c r="AR55" s="22">
        <v>3740</v>
      </c>
      <c r="AS55" s="22">
        <v>3512</v>
      </c>
      <c r="AT55" s="22">
        <v>3393</v>
      </c>
      <c r="AU55" s="22">
        <v>3369</v>
      </c>
      <c r="AV55" s="22">
        <v>3357</v>
      </c>
      <c r="AW55" s="22">
        <v>3380</v>
      </c>
      <c r="AX55" s="22">
        <v>3531</v>
      </c>
      <c r="AY55" s="22">
        <v>3437</v>
      </c>
      <c r="AZ55" s="22">
        <v>3305</v>
      </c>
      <c r="BA55" s="22">
        <v>3116</v>
      </c>
      <c r="BB55" s="22">
        <v>3150</v>
      </c>
      <c r="BC55" s="22">
        <v>3132</v>
      </c>
      <c r="BD55" s="22">
        <v>3175</v>
      </c>
      <c r="BE55" s="22">
        <v>3173</v>
      </c>
      <c r="BF55" s="22">
        <v>3288</v>
      </c>
      <c r="BG55" s="22">
        <v>3372</v>
      </c>
      <c r="BH55" s="22">
        <v>3335</v>
      </c>
      <c r="BI55" s="22">
        <v>3312</v>
      </c>
      <c r="BJ55" s="22">
        <v>3409</v>
      </c>
      <c r="BK55" s="22">
        <v>3364</v>
      </c>
      <c r="BL55" s="22">
        <v>3331</v>
      </c>
      <c r="BM55" s="1">
        <v>3403</v>
      </c>
      <c r="BN55" s="1">
        <v>3471</v>
      </c>
      <c r="BO55" s="1">
        <v>3492</v>
      </c>
    </row>
    <row r="56" spans="1:68" ht="15.9" customHeight="1">
      <c r="A56" s="68" t="s">
        <v>107</v>
      </c>
      <c r="B56" s="44" t="s">
        <v>108</v>
      </c>
      <c r="C56" s="48" t="str">
        <f>_xll.RssMarket("9412","安値")</f>
        <v/>
      </c>
      <c r="D56" s="16" t="e">
        <f t="shared" si="1"/>
        <v>#VALUE!</v>
      </c>
      <c r="E56" s="22">
        <v>2226</v>
      </c>
      <c r="F56" s="22">
        <v>2417</v>
      </c>
      <c r="G56" s="22">
        <v>2435</v>
      </c>
      <c r="H56" s="22">
        <v>2452</v>
      </c>
      <c r="I56" s="22">
        <v>2523</v>
      </c>
      <c r="J56" s="22">
        <v>2529</v>
      </c>
      <c r="K56" s="22">
        <v>2554</v>
      </c>
      <c r="L56" s="22">
        <v>2551</v>
      </c>
      <c r="M56" s="22">
        <v>2645</v>
      </c>
      <c r="N56" s="22">
        <v>2565</v>
      </c>
      <c r="O56" s="22">
        <v>2529</v>
      </c>
      <c r="P56" s="22">
        <v>2615</v>
      </c>
      <c r="Q56" s="22">
        <v>2469</v>
      </c>
      <c r="R56" s="22">
        <v>2431</v>
      </c>
      <c r="S56" s="22">
        <v>2592</v>
      </c>
      <c r="T56" s="22">
        <v>2741</v>
      </c>
      <c r="U56" s="22">
        <v>2859</v>
      </c>
      <c r="V56" s="22">
        <v>3070</v>
      </c>
      <c r="W56" s="22">
        <v>3135</v>
      </c>
      <c r="X56" s="22">
        <v>3275</v>
      </c>
      <c r="Y56" s="22">
        <v>3295</v>
      </c>
      <c r="Z56" s="22">
        <v>3240</v>
      </c>
      <c r="AA56" s="22">
        <v>3195</v>
      </c>
      <c r="AB56" s="22">
        <v>3345</v>
      </c>
      <c r="AC56" s="22">
        <v>3085</v>
      </c>
      <c r="AD56" s="22">
        <v>3105</v>
      </c>
      <c r="AE56" s="22">
        <v>3350</v>
      </c>
      <c r="AF56" s="22">
        <v>3525</v>
      </c>
      <c r="AG56" s="22">
        <v>3290</v>
      </c>
      <c r="AH56" s="22">
        <v>3570</v>
      </c>
      <c r="AI56" s="22">
        <v>3595</v>
      </c>
      <c r="AJ56" s="22">
        <v>4435</v>
      </c>
      <c r="AK56" s="22">
        <v>4265</v>
      </c>
      <c r="AL56" s="22">
        <v>4425</v>
      </c>
      <c r="AM56" s="22">
        <v>4365</v>
      </c>
      <c r="AN56" s="22">
        <v>4050</v>
      </c>
      <c r="AO56" s="22">
        <v>4090</v>
      </c>
      <c r="AP56" s="22">
        <v>3865</v>
      </c>
      <c r="AQ56" s="22">
        <v>4035</v>
      </c>
      <c r="AR56" s="22">
        <v>3980</v>
      </c>
      <c r="AS56" s="22">
        <v>4085</v>
      </c>
      <c r="AT56" s="22">
        <v>4135</v>
      </c>
      <c r="AU56" s="22">
        <v>3835</v>
      </c>
      <c r="AV56" s="22">
        <v>3750</v>
      </c>
      <c r="AW56" s="22">
        <v>3705</v>
      </c>
      <c r="AX56" s="22">
        <v>3500</v>
      </c>
      <c r="AY56" s="22">
        <v>3470</v>
      </c>
      <c r="AZ56" s="22">
        <v>3490</v>
      </c>
      <c r="BA56" s="22">
        <v>3330</v>
      </c>
      <c r="BB56" s="22">
        <v>3085</v>
      </c>
      <c r="BC56" s="22">
        <v>3060</v>
      </c>
      <c r="BD56" s="22">
        <v>3140</v>
      </c>
      <c r="BE56" s="22">
        <v>3100</v>
      </c>
      <c r="BF56" s="22">
        <v>3170</v>
      </c>
      <c r="BG56" s="22">
        <v>3260</v>
      </c>
      <c r="BH56" s="22">
        <v>3270</v>
      </c>
      <c r="BI56" s="22">
        <v>3215</v>
      </c>
      <c r="BJ56" s="22">
        <v>3170</v>
      </c>
      <c r="BK56" s="22">
        <v>3125</v>
      </c>
      <c r="BL56" s="22">
        <v>3055</v>
      </c>
      <c r="BM56" s="1">
        <v>2980</v>
      </c>
      <c r="BN56" s="1">
        <v>3040</v>
      </c>
      <c r="BO56" s="1">
        <v>3090</v>
      </c>
      <c r="BP56" s="1">
        <v>3080</v>
      </c>
    </row>
    <row r="57" spans="1:68" ht="15.9" customHeight="1">
      <c r="A57" s="68" t="s">
        <v>109</v>
      </c>
      <c r="B57" s="44" t="s">
        <v>110</v>
      </c>
      <c r="C57" s="48" t="str">
        <f>_xll.RssMarket("6203","安値")</f>
        <v/>
      </c>
      <c r="D57" s="16" t="e">
        <f t="shared" si="1"/>
        <v>#VALUE!</v>
      </c>
      <c r="E57" s="22">
        <v>1372</v>
      </c>
      <c r="F57" s="22">
        <v>1522</v>
      </c>
      <c r="G57" s="22">
        <v>1532</v>
      </c>
      <c r="H57" s="22">
        <v>1542</v>
      </c>
      <c r="I57" s="22">
        <v>1573</v>
      </c>
      <c r="J57" s="22">
        <v>1557</v>
      </c>
      <c r="K57" s="22">
        <v>1584</v>
      </c>
      <c r="L57" s="22">
        <v>1651</v>
      </c>
      <c r="M57" s="22">
        <v>1641</v>
      </c>
      <c r="N57" s="22">
        <v>1576</v>
      </c>
      <c r="O57" s="22">
        <v>1500</v>
      </c>
      <c r="P57" s="22">
        <v>1485</v>
      </c>
      <c r="Q57" s="22">
        <v>1515</v>
      </c>
      <c r="R57" s="22">
        <v>1558</v>
      </c>
      <c r="S57" s="22">
        <v>1530</v>
      </c>
      <c r="T57" s="22">
        <v>1547</v>
      </c>
      <c r="U57" s="22">
        <v>1594</v>
      </c>
      <c r="V57" s="22">
        <v>1610</v>
      </c>
      <c r="W57" s="22">
        <v>1592</v>
      </c>
      <c r="X57" s="22">
        <v>1635</v>
      </c>
      <c r="Y57" s="22">
        <v>1570</v>
      </c>
      <c r="Z57" s="22">
        <v>1480</v>
      </c>
      <c r="AA57" s="22">
        <v>1530</v>
      </c>
      <c r="AB57" s="22">
        <v>1500</v>
      </c>
      <c r="AC57" s="22">
        <v>1543</v>
      </c>
      <c r="AD57" s="22">
        <v>1625</v>
      </c>
      <c r="AE57" s="22">
        <v>1700</v>
      </c>
      <c r="AF57" s="22">
        <v>1688</v>
      </c>
      <c r="AG57" s="22">
        <v>1683</v>
      </c>
      <c r="AH57" s="22">
        <v>1820</v>
      </c>
      <c r="AI57" s="22">
        <v>1802</v>
      </c>
      <c r="AJ57" s="22">
        <v>1704</v>
      </c>
      <c r="AK57" s="22">
        <v>1450</v>
      </c>
      <c r="AL57" s="22">
        <v>1340</v>
      </c>
      <c r="AM57" s="22">
        <v>1349</v>
      </c>
      <c r="AN57" s="22">
        <v>1327</v>
      </c>
      <c r="AO57" s="22">
        <v>1297</v>
      </c>
      <c r="AP57" s="22">
        <v>1262</v>
      </c>
      <c r="AQ57" s="22">
        <v>1298</v>
      </c>
      <c r="AR57" s="22">
        <v>1272</v>
      </c>
      <c r="AS57" s="22">
        <v>1319</v>
      </c>
      <c r="AT57" s="22">
        <v>1380</v>
      </c>
      <c r="AU57" s="22">
        <v>1406</v>
      </c>
      <c r="AV57" s="22">
        <v>1450</v>
      </c>
      <c r="AW57" s="22">
        <v>1491</v>
      </c>
      <c r="AX57" s="22">
        <v>1441</v>
      </c>
      <c r="AY57" s="22">
        <v>1530</v>
      </c>
      <c r="AZ57" s="22">
        <v>1503</v>
      </c>
      <c r="BA57" s="22">
        <v>1482</v>
      </c>
      <c r="BB57" s="22">
        <v>1496</v>
      </c>
      <c r="BC57" s="22">
        <v>1459</v>
      </c>
      <c r="BD57" s="22">
        <v>1457</v>
      </c>
      <c r="BE57" s="22">
        <v>1468</v>
      </c>
      <c r="BF57" s="22">
        <v>1417</v>
      </c>
      <c r="BG57" s="22">
        <v>1334</v>
      </c>
      <c r="BH57" s="22">
        <v>1357</v>
      </c>
      <c r="BI57" s="22">
        <v>1339</v>
      </c>
      <c r="BJ57" s="22">
        <v>1336</v>
      </c>
      <c r="BK57" s="22">
        <v>1389</v>
      </c>
      <c r="BL57" s="22">
        <v>1445</v>
      </c>
      <c r="BM57" s="1">
        <v>1446</v>
      </c>
      <c r="BN57" s="1">
        <v>1468</v>
      </c>
      <c r="BO57" s="1">
        <v>1484</v>
      </c>
      <c r="BP57" s="1">
        <v>1548</v>
      </c>
    </row>
    <row r="58" spans="1:68" ht="15.9" customHeight="1">
      <c r="A58" s="68" t="s">
        <v>111</v>
      </c>
      <c r="B58" s="44" t="s">
        <v>112</v>
      </c>
      <c r="C58" s="48" t="str">
        <f>_xll.RssMarket("4676","安値")</f>
        <v/>
      </c>
      <c r="D58" s="16" t="e">
        <f t="shared" si="1"/>
        <v>#VALUE!</v>
      </c>
      <c r="E58" s="22">
        <v>3989</v>
      </c>
      <c r="F58" s="22">
        <v>4164</v>
      </c>
      <c r="G58" s="22">
        <v>4132</v>
      </c>
      <c r="H58" s="22">
        <v>4097</v>
      </c>
      <c r="I58" s="22">
        <v>4080</v>
      </c>
      <c r="J58" s="22">
        <v>4007</v>
      </c>
      <c r="K58" s="22">
        <v>4065</v>
      </c>
      <c r="L58" s="22">
        <v>4074</v>
      </c>
      <c r="M58" s="22">
        <v>3985</v>
      </c>
      <c r="N58" s="22">
        <v>3966</v>
      </c>
      <c r="O58" s="22">
        <v>3967</v>
      </c>
      <c r="P58" s="22">
        <v>3864</v>
      </c>
      <c r="Q58" s="22">
        <v>3821</v>
      </c>
      <c r="R58" s="22">
        <v>3806</v>
      </c>
      <c r="S58" s="22">
        <v>3835</v>
      </c>
      <c r="T58" s="22">
        <v>3826</v>
      </c>
      <c r="U58" s="22">
        <v>3796</v>
      </c>
      <c r="V58" s="22">
        <v>3871</v>
      </c>
      <c r="W58" s="22">
        <v>3976</v>
      </c>
      <c r="X58" s="22">
        <v>3914</v>
      </c>
      <c r="Y58" s="22">
        <v>3960</v>
      </c>
      <c r="Z58" s="22">
        <v>3999</v>
      </c>
      <c r="AA58" s="22">
        <v>3952</v>
      </c>
      <c r="AB58" s="22">
        <v>4026</v>
      </c>
      <c r="AC58" s="22">
        <v>4014</v>
      </c>
      <c r="AD58" s="22">
        <v>4037</v>
      </c>
      <c r="AE58" s="22">
        <v>4092</v>
      </c>
      <c r="AF58" s="22">
        <v>4089</v>
      </c>
      <c r="AG58" s="22">
        <v>4033</v>
      </c>
      <c r="AH58" s="22">
        <v>3787</v>
      </c>
      <c r="AI58" s="22">
        <v>3793</v>
      </c>
      <c r="AJ58" s="22">
        <v>3792</v>
      </c>
      <c r="AK58" s="22">
        <v>3703</v>
      </c>
      <c r="AL58" s="22">
        <v>3721</v>
      </c>
      <c r="AM58" s="22">
        <v>3639</v>
      </c>
      <c r="AN58" s="22">
        <v>3686</v>
      </c>
      <c r="AO58" s="22">
        <v>3799</v>
      </c>
      <c r="AP58" s="22">
        <v>3758</v>
      </c>
      <c r="AQ58" s="22">
        <v>3767</v>
      </c>
      <c r="AR58" s="22">
        <v>3721</v>
      </c>
      <c r="AS58" s="22">
        <v>3615</v>
      </c>
      <c r="AT58" s="22">
        <v>3753</v>
      </c>
      <c r="AU58" s="22">
        <v>3728</v>
      </c>
      <c r="AV58" s="22">
        <v>3635</v>
      </c>
      <c r="AW58" s="22">
        <v>3861</v>
      </c>
      <c r="AX58" s="22">
        <v>3862</v>
      </c>
      <c r="AY58" s="22">
        <v>3874</v>
      </c>
      <c r="AZ58" s="22">
        <v>3850</v>
      </c>
      <c r="BA58" s="22">
        <v>3826</v>
      </c>
      <c r="BB58" s="22">
        <v>3728</v>
      </c>
      <c r="BC58" s="22">
        <v>3868</v>
      </c>
      <c r="BD58" s="22">
        <v>3925</v>
      </c>
      <c r="BE58" s="22">
        <v>3932</v>
      </c>
      <c r="BF58" s="22">
        <v>3901</v>
      </c>
      <c r="BG58" s="22">
        <v>3867</v>
      </c>
      <c r="BH58" s="22">
        <v>3931</v>
      </c>
      <c r="BI58" s="22">
        <v>3831</v>
      </c>
      <c r="BJ58" s="22">
        <v>3761</v>
      </c>
      <c r="BK58" s="22">
        <v>3718</v>
      </c>
      <c r="BL58" s="22">
        <v>4148</v>
      </c>
      <c r="BM58" s="1">
        <v>4171</v>
      </c>
      <c r="BN58" s="1">
        <v>4170</v>
      </c>
      <c r="BO58" s="1">
        <v>4244</v>
      </c>
      <c r="BP58" s="1">
        <v>4268</v>
      </c>
    </row>
    <row r="59" spans="1:68" ht="15.9" customHeight="1">
      <c r="A59" s="68" t="s">
        <v>113</v>
      </c>
      <c r="B59" s="44" t="s">
        <v>114</v>
      </c>
      <c r="C59" s="48" t="str">
        <f>_xll.RssMarket("1961","安値")</f>
        <v/>
      </c>
      <c r="D59" s="16" t="e">
        <f t="shared" si="1"/>
        <v>#VALUE!</v>
      </c>
      <c r="E59" s="22">
        <v>2426</v>
      </c>
      <c r="F59" s="22">
        <v>2566</v>
      </c>
      <c r="G59" s="22">
        <v>2452</v>
      </c>
      <c r="H59" s="22">
        <v>2542</v>
      </c>
      <c r="I59" s="22">
        <v>2645</v>
      </c>
      <c r="J59" s="22">
        <v>2617</v>
      </c>
      <c r="K59" s="22">
        <v>2640</v>
      </c>
      <c r="L59" s="22">
        <v>2787</v>
      </c>
      <c r="M59" s="22">
        <v>2796</v>
      </c>
      <c r="N59" s="22">
        <v>2712</v>
      </c>
      <c r="O59" s="22">
        <v>2764</v>
      </c>
      <c r="P59" s="22">
        <v>2853</v>
      </c>
      <c r="Q59" s="22">
        <v>2958</v>
      </c>
      <c r="R59" s="22">
        <v>3030</v>
      </c>
      <c r="S59" s="22">
        <v>3080</v>
      </c>
      <c r="T59" s="22">
        <v>3065</v>
      </c>
      <c r="U59" s="22">
        <v>2979</v>
      </c>
      <c r="V59" s="22">
        <v>3025</v>
      </c>
      <c r="W59" s="22">
        <v>3020</v>
      </c>
      <c r="X59" s="22">
        <v>3005</v>
      </c>
      <c r="Y59" s="22">
        <v>2719</v>
      </c>
      <c r="Z59" s="22">
        <v>2639</v>
      </c>
      <c r="AA59" s="22">
        <v>2556</v>
      </c>
      <c r="AB59" s="22">
        <v>2578</v>
      </c>
      <c r="AC59" s="22">
        <v>2453</v>
      </c>
      <c r="AD59" s="22">
        <v>2383</v>
      </c>
      <c r="AE59" s="22">
        <v>2450</v>
      </c>
      <c r="AF59" s="22">
        <v>2254</v>
      </c>
      <c r="AG59" s="22">
        <v>2287</v>
      </c>
      <c r="AH59" s="22">
        <v>2180</v>
      </c>
      <c r="AI59" s="22">
        <v>2116</v>
      </c>
      <c r="AJ59" s="22">
        <v>2114</v>
      </c>
      <c r="AK59" s="22">
        <v>2235</v>
      </c>
      <c r="AL59" s="22">
        <v>2196</v>
      </c>
      <c r="AM59" s="22">
        <v>2227</v>
      </c>
      <c r="AN59" s="22">
        <v>2198</v>
      </c>
      <c r="AO59" s="22">
        <v>2170</v>
      </c>
      <c r="AP59" s="22">
        <v>2171</v>
      </c>
      <c r="AQ59" s="22">
        <v>2221</v>
      </c>
      <c r="AR59" s="22">
        <v>2387</v>
      </c>
      <c r="AS59" s="22">
        <v>2388</v>
      </c>
      <c r="AT59" s="22">
        <v>2529</v>
      </c>
      <c r="AU59" s="22">
        <v>2486</v>
      </c>
      <c r="AV59" s="22">
        <v>2592</v>
      </c>
      <c r="AW59" s="22">
        <v>2636</v>
      </c>
      <c r="AX59" s="22">
        <v>2531</v>
      </c>
      <c r="AY59" s="22">
        <v>2474</v>
      </c>
      <c r="AZ59" s="22">
        <v>2498</v>
      </c>
      <c r="BA59" s="22">
        <v>2352</v>
      </c>
      <c r="BB59" s="22">
        <v>2350</v>
      </c>
      <c r="BC59" s="22">
        <v>2264</v>
      </c>
      <c r="BD59" s="22">
        <v>2279</v>
      </c>
      <c r="BE59" s="22">
        <v>2266</v>
      </c>
      <c r="BF59" s="22">
        <v>2216</v>
      </c>
      <c r="BG59" s="22">
        <v>2319</v>
      </c>
      <c r="BH59" s="22">
        <v>2349</v>
      </c>
      <c r="BI59" s="22">
        <v>2326</v>
      </c>
      <c r="BJ59" s="22">
        <v>2356</v>
      </c>
      <c r="BK59" s="22">
        <v>2359</v>
      </c>
      <c r="BL59" s="22">
        <v>2436</v>
      </c>
      <c r="BM59" s="1">
        <v>2636</v>
      </c>
      <c r="BN59" s="1">
        <v>2699</v>
      </c>
      <c r="BO59" s="1">
        <v>2679</v>
      </c>
      <c r="BP59" s="1">
        <v>2583</v>
      </c>
    </row>
    <row r="60" spans="1:68" ht="15.9" customHeight="1">
      <c r="A60" s="68" t="s">
        <v>115</v>
      </c>
      <c r="B60" s="44" t="s">
        <v>116</v>
      </c>
      <c r="C60" s="48" t="str">
        <f>_xll.RssMarket("3107","安値")</f>
        <v/>
      </c>
      <c r="D60" s="16" t="e">
        <f t="shared" si="1"/>
        <v>#VALUE!</v>
      </c>
      <c r="E60" s="22">
        <v>3365</v>
      </c>
      <c r="F60" s="22">
        <v>3377</v>
      </c>
      <c r="G60" s="22">
        <v>3336</v>
      </c>
      <c r="H60" s="22">
        <v>3326</v>
      </c>
      <c r="I60" s="22">
        <v>3373</v>
      </c>
      <c r="J60" s="22">
        <v>3390</v>
      </c>
      <c r="K60" s="22">
        <v>3394</v>
      </c>
      <c r="L60" s="22">
        <v>3447</v>
      </c>
      <c r="M60" s="22">
        <v>3498</v>
      </c>
      <c r="N60" s="22">
        <v>3469</v>
      </c>
      <c r="O60" s="22">
        <v>3419</v>
      </c>
      <c r="P60" s="22">
        <v>3408</v>
      </c>
      <c r="Q60" s="22">
        <v>3449</v>
      </c>
      <c r="R60" s="22">
        <v>3412</v>
      </c>
      <c r="S60" s="22">
        <v>3409</v>
      </c>
      <c r="T60" s="22">
        <v>3347</v>
      </c>
      <c r="U60" s="22">
        <v>3318</v>
      </c>
      <c r="V60" s="22">
        <v>3320</v>
      </c>
      <c r="W60" s="22">
        <v>3316</v>
      </c>
      <c r="X60" s="22">
        <v>3311</v>
      </c>
      <c r="Y60" s="22">
        <v>3309</v>
      </c>
      <c r="Z60" s="22">
        <v>3325</v>
      </c>
      <c r="AA60" s="22">
        <v>3394</v>
      </c>
      <c r="AB60" s="22">
        <v>3412</v>
      </c>
      <c r="AC60" s="22">
        <v>3411</v>
      </c>
      <c r="AD60" s="22">
        <v>3392</v>
      </c>
      <c r="AE60" s="22">
        <v>3408</v>
      </c>
      <c r="AF60" s="22">
        <v>3461</v>
      </c>
      <c r="AG60" s="22">
        <v>3458</v>
      </c>
      <c r="AH60" s="22">
        <v>3451</v>
      </c>
      <c r="AI60" s="22">
        <v>3534</v>
      </c>
      <c r="AJ60" s="22">
        <v>3500</v>
      </c>
      <c r="AK60" s="22">
        <v>3396</v>
      </c>
      <c r="AL60" s="22">
        <v>3346</v>
      </c>
      <c r="AM60" s="22">
        <v>3328</v>
      </c>
      <c r="AN60" s="22">
        <v>3329</v>
      </c>
      <c r="AO60" s="22">
        <v>3481</v>
      </c>
      <c r="AP60" s="22">
        <v>3523</v>
      </c>
      <c r="AQ60" s="22">
        <v>3477</v>
      </c>
      <c r="AR60" s="22">
        <v>3489</v>
      </c>
      <c r="AS60" s="22">
        <v>3451</v>
      </c>
      <c r="AT60" s="22">
        <v>3381</v>
      </c>
      <c r="AU60" s="22">
        <v>3401</v>
      </c>
      <c r="AV60" s="22">
        <v>3386</v>
      </c>
      <c r="AW60" s="22">
        <v>3363</v>
      </c>
      <c r="AX60" s="22">
        <v>3372</v>
      </c>
      <c r="AY60" s="22">
        <v>3303</v>
      </c>
      <c r="AZ60" s="22">
        <v>3211</v>
      </c>
      <c r="BA60" s="22">
        <v>3136</v>
      </c>
      <c r="BB60" s="22">
        <v>3149</v>
      </c>
      <c r="BC60" s="22">
        <v>3181</v>
      </c>
      <c r="BD60" s="22">
        <v>3122</v>
      </c>
      <c r="BE60" s="22">
        <v>3091</v>
      </c>
      <c r="BF60" s="22">
        <v>3064</v>
      </c>
      <c r="BG60" s="22">
        <v>3060</v>
      </c>
      <c r="BH60" s="22">
        <v>3083</v>
      </c>
      <c r="BI60" s="22">
        <v>3109</v>
      </c>
      <c r="BJ60" s="22">
        <v>3163</v>
      </c>
      <c r="BK60" s="22">
        <v>3165</v>
      </c>
      <c r="BL60" s="22">
        <v>3150</v>
      </c>
      <c r="BM60" s="1">
        <v>3127</v>
      </c>
      <c r="BN60" s="1">
        <v>3071</v>
      </c>
      <c r="BO60" s="1">
        <v>3098</v>
      </c>
      <c r="BP60" s="1">
        <v>3189</v>
      </c>
    </row>
    <row r="61" spans="1:68" ht="15.9" customHeight="1">
      <c r="A61" s="68" t="s">
        <v>117</v>
      </c>
      <c r="B61" s="44" t="s">
        <v>118</v>
      </c>
      <c r="C61" s="48" t="str">
        <f>_xll.RssMarket("4045","安値")</f>
        <v/>
      </c>
      <c r="D61" s="16" t="e">
        <f t="shared" si="1"/>
        <v>#VALUE!</v>
      </c>
      <c r="E61" s="22">
        <v>1702</v>
      </c>
      <c r="F61" s="22">
        <v>1739.5</v>
      </c>
      <c r="G61" s="22">
        <v>1709</v>
      </c>
      <c r="H61" s="22">
        <v>1702.5</v>
      </c>
      <c r="I61" s="22">
        <v>1723.5</v>
      </c>
      <c r="J61" s="22">
        <v>1735</v>
      </c>
      <c r="K61" s="22">
        <v>1737</v>
      </c>
      <c r="L61" s="22">
        <v>1755</v>
      </c>
      <c r="M61" s="22">
        <v>1768</v>
      </c>
      <c r="N61" s="22">
        <v>1745</v>
      </c>
      <c r="O61" s="22">
        <v>1740.5</v>
      </c>
      <c r="P61" s="22">
        <v>1734.5</v>
      </c>
      <c r="Q61" s="22">
        <v>1736</v>
      </c>
      <c r="R61" s="22">
        <v>1731.5</v>
      </c>
      <c r="S61" s="22">
        <v>1764</v>
      </c>
      <c r="T61" s="22">
        <v>1777.5</v>
      </c>
      <c r="U61" s="22">
        <v>1727</v>
      </c>
      <c r="V61" s="22">
        <v>1740.5</v>
      </c>
      <c r="W61" s="22">
        <v>1759</v>
      </c>
      <c r="X61" s="22">
        <v>1755</v>
      </c>
      <c r="Y61" s="22">
        <v>1763</v>
      </c>
      <c r="Z61" s="22">
        <v>1749</v>
      </c>
      <c r="AA61" s="22">
        <v>1745.5</v>
      </c>
      <c r="AB61" s="22">
        <v>1750</v>
      </c>
      <c r="AC61" s="22">
        <v>1722</v>
      </c>
      <c r="AD61" s="22">
        <v>1683</v>
      </c>
      <c r="AE61" s="22">
        <v>1688.5</v>
      </c>
      <c r="AF61" s="22">
        <v>1700</v>
      </c>
      <c r="AG61" s="22">
        <v>1728</v>
      </c>
      <c r="AH61" s="22">
        <v>1729.5</v>
      </c>
      <c r="AI61" s="22">
        <v>1738</v>
      </c>
      <c r="AJ61" s="22">
        <v>1705.5</v>
      </c>
      <c r="AK61" s="22">
        <v>1748</v>
      </c>
      <c r="AL61" s="22">
        <v>1725</v>
      </c>
      <c r="AM61" s="22">
        <v>1722</v>
      </c>
      <c r="AN61" s="22">
        <v>1720</v>
      </c>
      <c r="AO61" s="22">
        <v>1705</v>
      </c>
      <c r="AP61" s="22">
        <v>1698.5</v>
      </c>
      <c r="AQ61" s="22">
        <v>1681</v>
      </c>
      <c r="AR61" s="22">
        <v>1717</v>
      </c>
      <c r="AS61" s="22">
        <v>1734.5</v>
      </c>
      <c r="AT61" s="22">
        <v>1733</v>
      </c>
      <c r="AU61" s="22">
        <v>1747</v>
      </c>
      <c r="AV61" s="22">
        <v>1723.5</v>
      </c>
      <c r="AW61" s="22">
        <v>1718</v>
      </c>
      <c r="AX61" s="22">
        <v>1715</v>
      </c>
      <c r="AY61" s="22">
        <v>1707</v>
      </c>
      <c r="AZ61" s="22">
        <v>1724.5</v>
      </c>
      <c r="BA61" s="22">
        <v>1690</v>
      </c>
      <c r="BB61" s="22">
        <v>1666</v>
      </c>
      <c r="BC61" s="22">
        <v>1663.5</v>
      </c>
      <c r="BD61" s="22">
        <v>1708</v>
      </c>
      <c r="BE61" s="22">
        <v>1743.5</v>
      </c>
      <c r="BF61" s="22">
        <v>1751</v>
      </c>
      <c r="BG61" s="22">
        <v>1748.5</v>
      </c>
      <c r="BH61" s="22">
        <v>1790</v>
      </c>
      <c r="BI61" s="22">
        <v>1783.5</v>
      </c>
      <c r="BJ61" s="22">
        <v>1796</v>
      </c>
      <c r="BK61" s="22">
        <v>1783</v>
      </c>
      <c r="BL61" s="22">
        <v>1782.5</v>
      </c>
      <c r="BM61" s="1">
        <v>1772.5</v>
      </c>
      <c r="BN61" s="1">
        <v>1770.5</v>
      </c>
      <c r="BO61" s="1">
        <v>1780.5</v>
      </c>
      <c r="BP61" s="1">
        <v>1778</v>
      </c>
    </row>
    <row r="62" spans="1:68" ht="15.9" customHeight="1">
      <c r="A62" s="68" t="s">
        <v>119</v>
      </c>
      <c r="B62" s="44" t="s">
        <v>120</v>
      </c>
      <c r="C62" s="48" t="str">
        <f>_xll.RssMarket("5857","安値")</f>
        <v/>
      </c>
      <c r="D62" s="16" t="e">
        <f t="shared" si="1"/>
        <v>#VALUE!</v>
      </c>
      <c r="E62" s="22">
        <v>2863</v>
      </c>
      <c r="F62" s="22">
        <v>3030</v>
      </c>
      <c r="G62" s="22">
        <v>2949</v>
      </c>
      <c r="H62" s="22">
        <v>2938</v>
      </c>
      <c r="I62" s="22">
        <v>2930</v>
      </c>
      <c r="J62" s="22">
        <v>2924</v>
      </c>
      <c r="K62" s="22">
        <v>2967</v>
      </c>
      <c r="L62" s="22">
        <v>3000</v>
      </c>
      <c r="M62" s="22">
        <v>3055</v>
      </c>
      <c r="N62" s="22">
        <v>2951</v>
      </c>
      <c r="O62" s="22">
        <v>2921</v>
      </c>
      <c r="P62" s="22">
        <v>2907</v>
      </c>
      <c r="Q62" s="22">
        <v>2880</v>
      </c>
      <c r="R62" s="22">
        <v>2838</v>
      </c>
      <c r="S62" s="22">
        <v>2860</v>
      </c>
      <c r="T62" s="22">
        <v>3060</v>
      </c>
      <c r="U62" s="22">
        <v>3100</v>
      </c>
      <c r="V62" s="22">
        <v>3190</v>
      </c>
      <c r="W62" s="22">
        <v>3150</v>
      </c>
      <c r="X62" s="22">
        <v>3175</v>
      </c>
      <c r="Y62" s="22">
        <v>3190</v>
      </c>
      <c r="Z62" s="22">
        <v>3155</v>
      </c>
      <c r="AA62" s="22">
        <v>3135</v>
      </c>
      <c r="AB62" s="22">
        <v>2947</v>
      </c>
      <c r="AC62" s="22">
        <v>2865</v>
      </c>
      <c r="AD62" s="22">
        <v>2982</v>
      </c>
      <c r="AE62" s="22">
        <v>3010</v>
      </c>
      <c r="AF62" s="22">
        <v>3150</v>
      </c>
      <c r="AG62" s="22">
        <v>3130</v>
      </c>
      <c r="AH62" s="22">
        <v>3230</v>
      </c>
      <c r="AI62" s="22">
        <v>3085</v>
      </c>
      <c r="AJ62" s="22">
        <v>3260</v>
      </c>
      <c r="AK62" s="22">
        <v>3185</v>
      </c>
      <c r="AL62" s="22">
        <v>3305</v>
      </c>
      <c r="AM62" s="22">
        <v>3445</v>
      </c>
      <c r="AN62" s="22">
        <v>3430</v>
      </c>
      <c r="AO62" s="22">
        <v>3420</v>
      </c>
      <c r="AP62" s="22">
        <v>3660</v>
      </c>
      <c r="AQ62" s="22">
        <v>3695</v>
      </c>
      <c r="AR62" s="22">
        <v>3840</v>
      </c>
      <c r="AS62" s="22">
        <v>3860</v>
      </c>
      <c r="AT62" s="22">
        <v>3835</v>
      </c>
      <c r="AU62" s="22">
        <v>3855</v>
      </c>
      <c r="AV62" s="22">
        <v>3845</v>
      </c>
      <c r="AW62" s="22">
        <v>3880</v>
      </c>
      <c r="AX62" s="22">
        <v>3690</v>
      </c>
      <c r="AY62" s="22">
        <v>3485</v>
      </c>
      <c r="AZ62" s="22">
        <v>3470</v>
      </c>
      <c r="BA62" s="22">
        <v>3610</v>
      </c>
      <c r="BB62" s="22">
        <v>3555</v>
      </c>
      <c r="BC62" s="22">
        <v>3625</v>
      </c>
      <c r="BD62" s="22">
        <v>3640</v>
      </c>
      <c r="BE62" s="22">
        <v>3755</v>
      </c>
      <c r="BF62" s="22">
        <v>3925</v>
      </c>
      <c r="BG62" s="22">
        <v>3720</v>
      </c>
      <c r="BH62" s="22">
        <v>3775</v>
      </c>
      <c r="BI62" s="22">
        <v>3735</v>
      </c>
      <c r="BJ62" s="22">
        <v>3730</v>
      </c>
      <c r="BK62" s="22">
        <v>3710</v>
      </c>
      <c r="BL62" s="22">
        <v>3650</v>
      </c>
      <c r="BM62" s="1">
        <v>3670</v>
      </c>
      <c r="BN62" s="1">
        <v>3690</v>
      </c>
      <c r="BO62" s="1">
        <v>3715</v>
      </c>
      <c r="BP62" s="1">
        <v>3550</v>
      </c>
    </row>
    <row r="63" spans="1:68" ht="15.9" customHeight="1">
      <c r="A63" s="68" t="s">
        <v>121</v>
      </c>
      <c r="B63" s="44" t="s">
        <v>122</v>
      </c>
      <c r="C63" s="48" t="str">
        <f>_xll.RssMarket("8281","安値")</f>
        <v/>
      </c>
      <c r="D63" s="16" t="e">
        <f t="shared" si="1"/>
        <v>#VALUE!</v>
      </c>
      <c r="E63" s="22">
        <v>1099</v>
      </c>
      <c r="F63" s="22">
        <v>1093</v>
      </c>
      <c r="G63" s="22">
        <v>1085</v>
      </c>
      <c r="H63" s="22">
        <v>1078</v>
      </c>
      <c r="I63" s="22">
        <v>1085</v>
      </c>
      <c r="J63" s="22">
        <v>1093</v>
      </c>
      <c r="K63" s="22">
        <v>1107</v>
      </c>
      <c r="L63" s="22">
        <v>1103</v>
      </c>
      <c r="M63" s="22">
        <v>1080</v>
      </c>
      <c r="N63" s="22">
        <v>1068</v>
      </c>
      <c r="O63" s="22">
        <v>1063</v>
      </c>
      <c r="P63" s="22">
        <v>1042</v>
      </c>
      <c r="Q63" s="22">
        <v>1052</v>
      </c>
      <c r="R63" s="22">
        <v>1060</v>
      </c>
      <c r="S63" s="22">
        <v>1059</v>
      </c>
      <c r="T63" s="22">
        <v>1035</v>
      </c>
      <c r="U63" s="22">
        <v>1025</v>
      </c>
      <c r="V63" s="22">
        <v>1018</v>
      </c>
      <c r="W63" s="22">
        <v>1024</v>
      </c>
      <c r="X63" s="22">
        <v>1035</v>
      </c>
      <c r="Y63" s="22">
        <v>1038</v>
      </c>
      <c r="Z63" s="22">
        <v>1050</v>
      </c>
      <c r="AA63" s="22">
        <v>1044</v>
      </c>
      <c r="AB63" s="22">
        <v>1061</v>
      </c>
      <c r="AC63" s="22">
        <v>1052</v>
      </c>
      <c r="AD63" s="22">
        <v>1048</v>
      </c>
      <c r="AE63" s="22">
        <v>1036</v>
      </c>
      <c r="AF63" s="22">
        <v>1020</v>
      </c>
      <c r="AG63" s="22">
        <v>1018</v>
      </c>
      <c r="AH63" s="22">
        <v>999</v>
      </c>
      <c r="AI63" s="22">
        <v>1006</v>
      </c>
      <c r="AJ63" s="22">
        <v>1013</v>
      </c>
      <c r="AK63" s="22">
        <v>1058</v>
      </c>
      <c r="AL63" s="22">
        <v>1040</v>
      </c>
      <c r="AM63" s="22">
        <v>1029</v>
      </c>
      <c r="AN63" s="22">
        <v>1041</v>
      </c>
      <c r="AO63" s="22">
        <v>1044</v>
      </c>
      <c r="AP63" s="22">
        <v>1035</v>
      </c>
      <c r="AQ63" s="22">
        <v>1021</v>
      </c>
      <c r="AR63" s="22">
        <v>990</v>
      </c>
      <c r="AS63" s="22">
        <v>960</v>
      </c>
      <c r="AT63" s="22">
        <v>954</v>
      </c>
      <c r="AU63" s="22">
        <v>957</v>
      </c>
      <c r="AV63" s="22">
        <v>954</v>
      </c>
      <c r="AW63" s="22">
        <v>959</v>
      </c>
      <c r="AX63" s="22">
        <v>962</v>
      </c>
      <c r="AY63" s="22">
        <v>951</v>
      </c>
      <c r="AZ63" s="22">
        <v>984</v>
      </c>
      <c r="BA63" s="22">
        <v>986</v>
      </c>
      <c r="BB63" s="22">
        <v>990</v>
      </c>
      <c r="BC63" s="22">
        <v>987</v>
      </c>
      <c r="BD63" s="22">
        <v>991</v>
      </c>
      <c r="BE63" s="22">
        <v>997</v>
      </c>
      <c r="BF63" s="22">
        <v>1006</v>
      </c>
      <c r="BG63" s="22">
        <v>1020</v>
      </c>
      <c r="BH63" s="22">
        <v>1020</v>
      </c>
      <c r="BI63" s="22">
        <v>1015</v>
      </c>
      <c r="BJ63" s="22">
        <v>1015</v>
      </c>
      <c r="BK63" s="22">
        <v>1013</v>
      </c>
      <c r="BL63" s="22">
        <v>1004</v>
      </c>
      <c r="BM63" s="1">
        <v>1001</v>
      </c>
      <c r="BN63" s="1">
        <v>1008</v>
      </c>
      <c r="BO63" s="1">
        <v>1024</v>
      </c>
      <c r="BP63" s="1">
        <v>1033</v>
      </c>
    </row>
    <row r="64" spans="1:68" ht="15.9" customHeight="1">
      <c r="A64" s="68" t="s">
        <v>123</v>
      </c>
      <c r="B64" s="44" t="s">
        <v>124</v>
      </c>
      <c r="C64" s="48" t="str">
        <f>_xll.RssMarket("4540","安値")</f>
        <v/>
      </c>
      <c r="D64" s="16" t="e">
        <f t="shared" si="1"/>
        <v>#VALUE!</v>
      </c>
      <c r="E64" s="22">
        <v>3814</v>
      </c>
      <c r="F64" s="22">
        <v>3848</v>
      </c>
      <c r="G64" s="22">
        <v>3824</v>
      </c>
      <c r="H64" s="22">
        <v>3810</v>
      </c>
      <c r="I64" s="22">
        <v>3775</v>
      </c>
      <c r="J64" s="22">
        <v>3765</v>
      </c>
      <c r="K64" s="22">
        <v>3786</v>
      </c>
      <c r="L64" s="22">
        <v>3775</v>
      </c>
      <c r="M64" s="22">
        <v>3756</v>
      </c>
      <c r="N64" s="22">
        <v>3745</v>
      </c>
      <c r="O64" s="22">
        <v>3711</v>
      </c>
      <c r="P64" s="22">
        <v>3696</v>
      </c>
      <c r="Q64" s="22">
        <v>3698</v>
      </c>
      <c r="R64" s="22">
        <v>3700</v>
      </c>
      <c r="S64" s="22">
        <v>3701</v>
      </c>
      <c r="T64" s="22">
        <v>3697</v>
      </c>
      <c r="U64" s="22">
        <v>3723</v>
      </c>
      <c r="V64" s="22">
        <v>3710</v>
      </c>
      <c r="W64" s="22">
        <v>3709</v>
      </c>
      <c r="X64" s="22">
        <v>3712</v>
      </c>
      <c r="Y64" s="22">
        <v>3713</v>
      </c>
      <c r="Z64" s="22">
        <v>3703</v>
      </c>
      <c r="AA64" s="22">
        <v>3687</v>
      </c>
      <c r="AB64" s="22">
        <v>3716</v>
      </c>
      <c r="AC64" s="22">
        <v>3715</v>
      </c>
      <c r="AD64" s="22">
        <v>3727</v>
      </c>
      <c r="AE64" s="22">
        <v>3700</v>
      </c>
      <c r="AF64" s="22">
        <v>3661</v>
      </c>
      <c r="AG64" s="22">
        <v>3670</v>
      </c>
      <c r="AH64" s="22">
        <v>3705</v>
      </c>
      <c r="AI64" s="22">
        <v>3672</v>
      </c>
      <c r="AJ64" s="22">
        <v>3677</v>
      </c>
      <c r="AK64" s="22">
        <v>3784</v>
      </c>
      <c r="AL64" s="22">
        <v>3736</v>
      </c>
      <c r="AM64" s="22">
        <v>3723</v>
      </c>
      <c r="AN64" s="22">
        <v>3720</v>
      </c>
      <c r="AO64" s="22">
        <v>3796</v>
      </c>
      <c r="AP64" s="22">
        <v>3895</v>
      </c>
      <c r="AQ64" s="22">
        <v>3898</v>
      </c>
      <c r="AR64" s="22">
        <v>3821</v>
      </c>
      <c r="AS64" s="22">
        <v>3780</v>
      </c>
      <c r="AT64" s="22">
        <v>3750</v>
      </c>
      <c r="AU64" s="22">
        <v>3668</v>
      </c>
      <c r="AV64" s="22">
        <v>3536</v>
      </c>
      <c r="AW64" s="22">
        <v>3513</v>
      </c>
      <c r="AX64" s="22">
        <v>3557</v>
      </c>
      <c r="AY64" s="22">
        <v>3569</v>
      </c>
      <c r="AZ64" s="22">
        <v>3591</v>
      </c>
      <c r="BA64" s="22">
        <v>3615</v>
      </c>
      <c r="BB64" s="22">
        <v>3628</v>
      </c>
      <c r="BC64" s="22">
        <v>3630</v>
      </c>
      <c r="BD64" s="22">
        <v>3679</v>
      </c>
      <c r="BE64" s="22">
        <v>3659</v>
      </c>
      <c r="BF64" s="22">
        <v>3667</v>
      </c>
      <c r="BG64" s="22">
        <v>3664</v>
      </c>
      <c r="BH64" s="22">
        <v>3715</v>
      </c>
      <c r="BI64" s="22">
        <v>3742</v>
      </c>
      <c r="BJ64" s="22">
        <v>3748</v>
      </c>
      <c r="BK64" s="22">
        <v>3753</v>
      </c>
      <c r="BL64" s="22">
        <v>3750</v>
      </c>
      <c r="BM64" s="1">
        <v>3735</v>
      </c>
      <c r="BN64" s="1">
        <v>3752</v>
      </c>
      <c r="BO64" s="1">
        <v>3778</v>
      </c>
      <c r="BP64" s="1">
        <v>3814</v>
      </c>
    </row>
    <row r="65" spans="1:68" ht="15.9" customHeight="1">
      <c r="A65" s="68" t="s">
        <v>125</v>
      </c>
      <c r="B65" s="44" t="s">
        <v>126</v>
      </c>
      <c r="C65" s="48" t="str">
        <f>_xll.RssMarket("9984","安値")</f>
        <v/>
      </c>
      <c r="D65" s="16" t="e">
        <f t="shared" si="1"/>
        <v>#VALUE!</v>
      </c>
      <c r="E65" s="22">
        <v>5191</v>
      </c>
      <c r="F65" s="22">
        <v>6311</v>
      </c>
      <c r="G65" s="22">
        <v>6018</v>
      </c>
      <c r="H65" s="22">
        <v>6231</v>
      </c>
      <c r="I65" s="22">
        <v>6004</v>
      </c>
      <c r="J65" s="22">
        <v>5724</v>
      </c>
      <c r="K65" s="22">
        <v>5567</v>
      </c>
      <c r="L65" s="22">
        <v>5691</v>
      </c>
      <c r="M65" s="22">
        <v>5866</v>
      </c>
      <c r="N65" s="22">
        <v>5831</v>
      </c>
      <c r="O65" s="22">
        <v>5741</v>
      </c>
      <c r="P65" s="22">
        <v>5975</v>
      </c>
      <c r="Q65" s="22">
        <v>5711</v>
      </c>
      <c r="R65" s="22">
        <v>5828</v>
      </c>
      <c r="S65" s="22">
        <v>6114</v>
      </c>
      <c r="T65" s="22">
        <v>6401</v>
      </c>
      <c r="U65" s="22">
        <v>6356</v>
      </c>
      <c r="V65" s="22">
        <v>6500</v>
      </c>
      <c r="W65" s="22">
        <v>7104</v>
      </c>
      <c r="X65" s="22">
        <v>7087</v>
      </c>
      <c r="Y65" s="22">
        <v>7051</v>
      </c>
      <c r="Z65" s="22">
        <v>6730</v>
      </c>
      <c r="AA65" s="22">
        <v>6854</v>
      </c>
      <c r="AB65" s="22">
        <v>7010</v>
      </c>
      <c r="AC65" s="22">
        <v>6373</v>
      </c>
      <c r="AD65" s="22">
        <v>5977</v>
      </c>
      <c r="AE65" s="22">
        <v>6315</v>
      </c>
      <c r="AF65" s="22">
        <v>6641</v>
      </c>
      <c r="AG65" s="22">
        <v>7105</v>
      </c>
      <c r="AH65" s="22">
        <v>7363</v>
      </c>
      <c r="AI65" s="22">
        <v>8180</v>
      </c>
      <c r="AJ65" s="22">
        <v>8261</v>
      </c>
      <c r="AK65" s="22">
        <v>7321</v>
      </c>
      <c r="AL65" s="22">
        <v>6861</v>
      </c>
      <c r="AM65" s="22">
        <v>7262</v>
      </c>
      <c r="AN65" s="22">
        <v>6642</v>
      </c>
      <c r="AO65" s="22">
        <v>6614</v>
      </c>
      <c r="AP65" s="22">
        <v>5700</v>
      </c>
      <c r="AQ65" s="22">
        <v>4880</v>
      </c>
      <c r="AR65" s="22">
        <v>5278</v>
      </c>
      <c r="AS65" s="22">
        <v>5430</v>
      </c>
      <c r="AT65" s="22">
        <v>5686</v>
      </c>
      <c r="AU65" s="22">
        <v>5714</v>
      </c>
      <c r="AV65" s="22">
        <v>5781</v>
      </c>
      <c r="AW65" s="22">
        <v>5812</v>
      </c>
      <c r="AX65" s="22">
        <v>5700</v>
      </c>
      <c r="AY65" s="22">
        <v>6008</v>
      </c>
      <c r="AZ65" s="22">
        <v>5887</v>
      </c>
      <c r="BA65" s="22">
        <v>5249</v>
      </c>
      <c r="BB65" s="22">
        <v>4956</v>
      </c>
      <c r="BC65" s="22">
        <v>5227</v>
      </c>
      <c r="BD65" s="22">
        <v>5800</v>
      </c>
      <c r="BE65" s="22">
        <v>5743</v>
      </c>
      <c r="BF65" s="22">
        <v>5664</v>
      </c>
      <c r="BG65" s="22">
        <v>5114</v>
      </c>
      <c r="BH65" s="22">
        <v>4892</v>
      </c>
      <c r="BI65" s="22">
        <v>4556</v>
      </c>
      <c r="BJ65" s="22">
        <v>4493</v>
      </c>
      <c r="BK65" s="22">
        <v>4437</v>
      </c>
      <c r="BL65" s="22">
        <v>4346</v>
      </c>
      <c r="BM65" s="1">
        <v>3903</v>
      </c>
      <c r="BN65" s="1">
        <v>3648</v>
      </c>
      <c r="BO65" s="1">
        <v>3711</v>
      </c>
      <c r="BP65" s="1">
        <v>3640</v>
      </c>
    </row>
    <row r="66" spans="1:68" ht="15.9" customHeight="1">
      <c r="A66" s="68" t="s">
        <v>127</v>
      </c>
      <c r="B66" s="44" t="s">
        <v>128</v>
      </c>
      <c r="C66" s="47" t="str">
        <f>_xll.RssMarket("4063","安値")</f>
        <v/>
      </c>
      <c r="D66" s="16" t="e">
        <f t="shared" si="1"/>
        <v>#VALUE!</v>
      </c>
      <c r="E66" s="22">
        <v>6984</v>
      </c>
      <c r="F66" s="22">
        <v>7482</v>
      </c>
      <c r="G66" s="22">
        <v>7256</v>
      </c>
      <c r="H66" s="22">
        <v>7309</v>
      </c>
      <c r="I66" s="22">
        <v>7216</v>
      </c>
      <c r="J66" s="22">
        <v>6890</v>
      </c>
      <c r="K66" s="22">
        <v>6920</v>
      </c>
      <c r="L66" s="22">
        <v>7115</v>
      </c>
      <c r="M66" s="22">
        <v>7050</v>
      </c>
      <c r="N66" s="22">
        <v>6789</v>
      </c>
      <c r="O66" s="22">
        <v>6992</v>
      </c>
      <c r="P66" s="22">
        <v>6975</v>
      </c>
      <c r="Q66" s="22">
        <v>6932</v>
      </c>
      <c r="R66" s="22">
        <v>6733</v>
      </c>
      <c r="S66" s="22">
        <v>6835</v>
      </c>
      <c r="T66" s="22">
        <v>7074</v>
      </c>
      <c r="U66" s="22">
        <v>6955</v>
      </c>
      <c r="V66" s="22">
        <v>7216</v>
      </c>
      <c r="W66" s="22">
        <v>7139</v>
      </c>
      <c r="X66" s="22">
        <v>7294</v>
      </c>
      <c r="Y66" s="22">
        <v>7407</v>
      </c>
      <c r="Z66" s="22">
        <v>7372</v>
      </c>
      <c r="AA66" s="22">
        <v>7435</v>
      </c>
      <c r="AB66" s="22">
        <v>7393</v>
      </c>
      <c r="AC66" s="22">
        <v>7025</v>
      </c>
      <c r="AD66" s="22">
        <v>6473</v>
      </c>
      <c r="AE66" s="22">
        <v>6570</v>
      </c>
      <c r="AF66" s="22">
        <v>6783</v>
      </c>
      <c r="AG66" s="22">
        <v>7233</v>
      </c>
      <c r="AH66" s="22">
        <v>7492</v>
      </c>
      <c r="AI66" s="22">
        <v>7526</v>
      </c>
      <c r="AJ66" s="22">
        <v>7194</v>
      </c>
      <c r="AK66" s="22">
        <v>7451</v>
      </c>
      <c r="AL66" s="22">
        <v>7233</v>
      </c>
      <c r="AM66" s="22">
        <v>7219</v>
      </c>
      <c r="AN66" s="22">
        <v>6996</v>
      </c>
      <c r="AO66" s="22">
        <v>6834</v>
      </c>
      <c r="AP66" s="22">
        <v>6857</v>
      </c>
      <c r="AQ66" s="22">
        <v>6766</v>
      </c>
      <c r="AR66" s="22">
        <v>6928</v>
      </c>
      <c r="AS66" s="22">
        <v>6945</v>
      </c>
      <c r="AT66" s="22">
        <v>7040</v>
      </c>
      <c r="AU66" s="22">
        <v>7363</v>
      </c>
      <c r="AV66" s="22">
        <v>7334</v>
      </c>
      <c r="AW66" s="22">
        <v>7455</v>
      </c>
      <c r="AX66" s="22">
        <v>7509</v>
      </c>
      <c r="AY66" s="22">
        <v>7451</v>
      </c>
      <c r="AZ66" s="22">
        <v>7509</v>
      </c>
      <c r="BA66" s="22">
        <v>7054</v>
      </c>
      <c r="BB66" s="22">
        <v>7076</v>
      </c>
      <c r="BC66" s="22">
        <v>6940</v>
      </c>
      <c r="BD66" s="22">
        <v>6780</v>
      </c>
      <c r="BE66" s="22">
        <v>6722</v>
      </c>
      <c r="BF66" s="22">
        <v>6584</v>
      </c>
      <c r="BG66" s="22">
        <v>6634</v>
      </c>
      <c r="BH66" s="22">
        <v>6733</v>
      </c>
      <c r="BI66" s="22">
        <v>6730</v>
      </c>
      <c r="BJ66" s="22">
        <v>6772</v>
      </c>
      <c r="BK66" s="22">
        <v>6654</v>
      </c>
      <c r="BL66" s="22">
        <v>6725</v>
      </c>
      <c r="BM66" s="1">
        <v>6573</v>
      </c>
      <c r="BN66" s="1">
        <v>6552</v>
      </c>
      <c r="BO66" s="1">
        <v>6490</v>
      </c>
      <c r="BP66" s="1">
        <v>6422</v>
      </c>
    </row>
    <row r="67" spans="1:68" ht="15.9" customHeight="1">
      <c r="A67" s="68" t="s">
        <v>129</v>
      </c>
      <c r="B67" s="44" t="s">
        <v>130</v>
      </c>
      <c r="C67" s="48" t="str">
        <f>_xll.RssMarket("4536","安値")</f>
        <v/>
      </c>
      <c r="D67" s="16" t="e">
        <f t="shared" si="1"/>
        <v>#VALUE!</v>
      </c>
      <c r="E67" s="22">
        <v>2018</v>
      </c>
      <c r="F67" s="22">
        <v>2095</v>
      </c>
      <c r="G67" s="22">
        <v>2115.5</v>
      </c>
      <c r="H67" s="22">
        <v>2122.5</v>
      </c>
      <c r="I67" s="22">
        <v>2120</v>
      </c>
      <c r="J67" s="22">
        <v>2160.5</v>
      </c>
      <c r="K67" s="22">
        <v>2145</v>
      </c>
      <c r="L67" s="22">
        <v>2218.5</v>
      </c>
      <c r="M67" s="22">
        <v>2211</v>
      </c>
      <c r="N67" s="22">
        <v>2195</v>
      </c>
      <c r="O67" s="22">
        <v>2134</v>
      </c>
      <c r="P67" s="22">
        <v>2100</v>
      </c>
      <c r="Q67" s="22">
        <v>2123.5</v>
      </c>
      <c r="R67" s="22">
        <v>2133</v>
      </c>
      <c r="S67" s="22">
        <v>2114.5</v>
      </c>
      <c r="T67" s="22">
        <v>2042</v>
      </c>
      <c r="U67" s="22">
        <v>1952.5</v>
      </c>
      <c r="V67" s="22">
        <v>1901</v>
      </c>
      <c r="W67" s="22">
        <v>1855</v>
      </c>
      <c r="X67" s="22">
        <v>1835</v>
      </c>
      <c r="Y67" s="22">
        <v>1878</v>
      </c>
      <c r="Z67" s="22">
        <v>1863.5</v>
      </c>
      <c r="AA67" s="22">
        <v>1883</v>
      </c>
      <c r="AB67" s="22">
        <v>1899</v>
      </c>
      <c r="AC67" s="22">
        <v>1882.5</v>
      </c>
      <c r="AD67" s="22">
        <v>1916.5</v>
      </c>
      <c r="AE67" s="22">
        <v>1942</v>
      </c>
      <c r="AF67" s="22">
        <v>1936</v>
      </c>
      <c r="AG67" s="22">
        <v>1903</v>
      </c>
      <c r="AH67" s="22">
        <v>1856</v>
      </c>
      <c r="AI67" s="22">
        <v>1829</v>
      </c>
      <c r="AJ67" s="22">
        <v>1841</v>
      </c>
      <c r="AK67" s="22">
        <v>1887</v>
      </c>
      <c r="AL67" s="22">
        <v>1879</v>
      </c>
      <c r="AM67" s="22">
        <v>1882</v>
      </c>
      <c r="AN67" s="22">
        <v>1919.5</v>
      </c>
      <c r="AO67" s="22">
        <v>1875</v>
      </c>
      <c r="AP67" s="22">
        <v>1872</v>
      </c>
      <c r="AQ67" s="22">
        <v>1890.5</v>
      </c>
      <c r="AR67" s="22">
        <v>1799</v>
      </c>
      <c r="AS67" s="22">
        <v>1820</v>
      </c>
      <c r="AT67" s="22">
        <v>1829</v>
      </c>
      <c r="AU67" s="22">
        <v>1791</v>
      </c>
      <c r="AV67" s="22">
        <v>1652.5</v>
      </c>
      <c r="AW67" s="22">
        <v>1561.5</v>
      </c>
      <c r="AX67" s="22">
        <v>1602.5</v>
      </c>
      <c r="AY67" s="22">
        <v>1588</v>
      </c>
      <c r="AZ67" s="22">
        <v>1622</v>
      </c>
      <c r="BA67" s="22">
        <v>1611</v>
      </c>
      <c r="BB67" s="22">
        <v>1595.5</v>
      </c>
      <c r="BC67" s="22">
        <v>1631</v>
      </c>
      <c r="BD67" s="22">
        <v>1643</v>
      </c>
      <c r="BE67" s="22">
        <v>1664.5</v>
      </c>
      <c r="BF67" s="22">
        <v>1649</v>
      </c>
      <c r="BG67" s="22">
        <v>1679.5</v>
      </c>
      <c r="BH67" s="22">
        <v>1712.5</v>
      </c>
      <c r="BI67" s="22">
        <v>1747</v>
      </c>
      <c r="BJ67" s="22">
        <v>1772</v>
      </c>
      <c r="BK67" s="22">
        <v>1772.5</v>
      </c>
      <c r="BL67" s="22">
        <v>1790.5</v>
      </c>
      <c r="BM67" s="1">
        <v>1789</v>
      </c>
      <c r="BN67" s="1">
        <v>1803</v>
      </c>
      <c r="BO67" s="1">
        <v>1826.5</v>
      </c>
      <c r="BP67" s="1">
        <v>1892</v>
      </c>
    </row>
    <row r="68" spans="1:68" ht="15.9" customHeight="1">
      <c r="A68" s="68" t="s">
        <v>131</v>
      </c>
      <c r="B68" s="44" t="s">
        <v>132</v>
      </c>
      <c r="C68" s="48" t="str">
        <f>_xll.RssMarket("6503","安値")</f>
        <v/>
      </c>
      <c r="D68" s="16" t="e">
        <f t="shared" si="1"/>
        <v>#VALUE!</v>
      </c>
      <c r="E68" s="22">
        <v>5203</v>
      </c>
      <c r="F68" s="22">
        <v>5609</v>
      </c>
      <c r="G68" s="22">
        <v>5512</v>
      </c>
      <c r="H68" s="22">
        <v>5598</v>
      </c>
      <c r="I68" s="22">
        <v>5800</v>
      </c>
      <c r="J68" s="22">
        <v>5722</v>
      </c>
      <c r="K68" s="22">
        <v>5699</v>
      </c>
      <c r="L68" s="22">
        <v>5896</v>
      </c>
      <c r="M68" s="22">
        <v>5938</v>
      </c>
      <c r="N68" s="22">
        <v>5795</v>
      </c>
      <c r="O68" s="22">
        <v>5845</v>
      </c>
      <c r="P68" s="22">
        <v>5888</v>
      </c>
      <c r="Q68" s="22">
        <v>5782</v>
      </c>
      <c r="R68" s="22">
        <v>5724</v>
      </c>
      <c r="S68" s="22">
        <v>5790</v>
      </c>
      <c r="T68" s="22">
        <v>5927</v>
      </c>
      <c r="U68" s="22">
        <v>5882</v>
      </c>
      <c r="V68" s="22">
        <v>6087</v>
      </c>
      <c r="W68" s="22">
        <v>6065</v>
      </c>
      <c r="X68" s="22">
        <v>6023</v>
      </c>
      <c r="Y68" s="22">
        <v>6040</v>
      </c>
      <c r="Z68" s="22">
        <v>5790</v>
      </c>
      <c r="AA68" s="22">
        <v>5820</v>
      </c>
      <c r="AB68" s="22">
        <v>5676</v>
      </c>
      <c r="AC68" s="22">
        <v>5455</v>
      </c>
      <c r="AD68" s="22">
        <v>5225</v>
      </c>
      <c r="AE68" s="22">
        <v>5471</v>
      </c>
      <c r="AF68" s="22">
        <v>5490</v>
      </c>
      <c r="AG68" s="22">
        <v>5797</v>
      </c>
      <c r="AH68" s="22">
        <v>5908</v>
      </c>
      <c r="AI68" s="22">
        <v>6030</v>
      </c>
      <c r="AJ68" s="22">
        <v>5867</v>
      </c>
      <c r="AK68" s="22">
        <v>6290</v>
      </c>
      <c r="AL68" s="22">
        <v>6320</v>
      </c>
      <c r="AM68" s="22">
        <v>6488</v>
      </c>
      <c r="AN68" s="22">
        <v>6392</v>
      </c>
      <c r="AO68" s="22">
        <v>6080</v>
      </c>
      <c r="AP68" s="22">
        <v>5957</v>
      </c>
      <c r="AQ68" s="22">
        <v>5623</v>
      </c>
      <c r="AR68" s="22">
        <v>6018</v>
      </c>
      <c r="AS68" s="22">
        <v>6200</v>
      </c>
      <c r="AT68" s="22">
        <v>6296</v>
      </c>
      <c r="AU68" s="22">
        <v>6382</v>
      </c>
      <c r="AV68" s="22">
        <v>6296</v>
      </c>
      <c r="AW68" s="22">
        <v>6373</v>
      </c>
      <c r="AX68" s="22">
        <v>6382</v>
      </c>
      <c r="AY68" s="22">
        <v>6401</v>
      </c>
      <c r="AZ68" s="22">
        <v>6349</v>
      </c>
      <c r="BA68" s="22">
        <v>6061</v>
      </c>
      <c r="BB68" s="22">
        <v>6115</v>
      </c>
      <c r="BC68" s="22">
        <v>5955</v>
      </c>
      <c r="BD68" s="22">
        <v>5943</v>
      </c>
      <c r="BE68" s="22">
        <v>5814</v>
      </c>
      <c r="BF68" s="22">
        <v>5739</v>
      </c>
      <c r="BG68" s="22">
        <v>5845</v>
      </c>
      <c r="BH68" s="22">
        <v>6028</v>
      </c>
      <c r="BI68" s="22">
        <v>5866</v>
      </c>
      <c r="BJ68" s="22">
        <v>5799</v>
      </c>
      <c r="BK68" s="22">
        <v>5878</v>
      </c>
      <c r="BL68" s="22">
        <v>5777</v>
      </c>
      <c r="BM68" s="1">
        <v>5835</v>
      </c>
      <c r="BN68" s="1">
        <v>5704</v>
      </c>
      <c r="BO68" s="1">
        <v>5664</v>
      </c>
      <c r="BP68" s="1">
        <v>5590</v>
      </c>
    </row>
    <row r="69" spans="1:68" ht="15.9" customHeight="1">
      <c r="A69" s="68" t="s">
        <v>133</v>
      </c>
      <c r="B69" s="44" t="s">
        <v>134</v>
      </c>
      <c r="C69" s="48" t="str">
        <f>_xll.RssMarket("4980","安値")</f>
        <v/>
      </c>
      <c r="D69" s="16" t="e">
        <f t="shared" si="1"/>
        <v>#VALUE!</v>
      </c>
      <c r="E69" s="22">
        <v>3402</v>
      </c>
      <c r="F69" s="22">
        <v>3870</v>
      </c>
      <c r="G69" s="22">
        <v>3788</v>
      </c>
      <c r="H69" s="22">
        <v>3891</v>
      </c>
      <c r="I69" s="22">
        <v>4139</v>
      </c>
      <c r="J69" s="22">
        <v>3982</v>
      </c>
      <c r="K69" s="22">
        <v>3887</v>
      </c>
      <c r="L69" s="22">
        <v>4013</v>
      </c>
      <c r="M69" s="22">
        <v>4176</v>
      </c>
      <c r="N69" s="22">
        <v>3971</v>
      </c>
      <c r="O69" s="22">
        <v>4025</v>
      </c>
      <c r="P69" s="22">
        <v>4185</v>
      </c>
      <c r="Q69" s="22">
        <v>4178</v>
      </c>
      <c r="R69" s="22">
        <v>4160</v>
      </c>
      <c r="S69" s="22">
        <v>4354</v>
      </c>
      <c r="T69" s="22">
        <v>4850</v>
      </c>
      <c r="U69" s="22">
        <v>4817</v>
      </c>
      <c r="V69" s="22">
        <v>4819</v>
      </c>
      <c r="W69" s="22">
        <v>4872</v>
      </c>
      <c r="X69" s="22">
        <v>4683</v>
      </c>
      <c r="Y69" s="22">
        <v>4582</v>
      </c>
      <c r="Z69" s="22">
        <v>4361</v>
      </c>
      <c r="AA69" s="22">
        <v>4280</v>
      </c>
      <c r="AB69" s="22">
        <v>4122</v>
      </c>
      <c r="AC69" s="22">
        <v>3950</v>
      </c>
      <c r="AD69" s="22">
        <v>3567</v>
      </c>
      <c r="AE69" s="22">
        <v>3653</v>
      </c>
      <c r="AF69" s="22">
        <v>3886</v>
      </c>
      <c r="AG69" s="22">
        <v>4217</v>
      </c>
      <c r="AH69" s="22">
        <v>4232</v>
      </c>
      <c r="AI69" s="22">
        <v>4448</v>
      </c>
      <c r="AJ69" s="22">
        <v>4300</v>
      </c>
      <c r="AK69" s="22">
        <v>3965</v>
      </c>
      <c r="AL69" s="22">
        <v>3913</v>
      </c>
      <c r="AM69" s="22">
        <v>3965</v>
      </c>
      <c r="AN69" s="22">
        <v>4126</v>
      </c>
      <c r="AO69" s="22">
        <v>4081</v>
      </c>
      <c r="AP69" s="22">
        <v>3795</v>
      </c>
      <c r="AQ69" s="22">
        <v>3512</v>
      </c>
      <c r="AR69" s="22">
        <v>3750</v>
      </c>
      <c r="AS69" s="22">
        <v>4056</v>
      </c>
      <c r="AT69" s="22">
        <v>3849</v>
      </c>
      <c r="AU69" s="22">
        <v>3149</v>
      </c>
      <c r="AV69" s="22">
        <v>2573.5</v>
      </c>
      <c r="AW69" s="22">
        <v>2656</v>
      </c>
      <c r="AX69" s="22">
        <v>2697</v>
      </c>
      <c r="AY69" s="22">
        <v>2601</v>
      </c>
      <c r="AZ69" s="22">
        <v>2555</v>
      </c>
      <c r="BA69" s="22">
        <v>2435</v>
      </c>
      <c r="BB69" s="22">
        <v>2436.5</v>
      </c>
      <c r="BC69" s="22">
        <v>2452</v>
      </c>
      <c r="BD69" s="22">
        <v>2463</v>
      </c>
      <c r="BE69" s="22">
        <v>2415.5</v>
      </c>
      <c r="BF69" s="22">
        <v>2359.5</v>
      </c>
      <c r="BG69" s="22">
        <v>2443.5</v>
      </c>
      <c r="BH69" s="22">
        <v>2413</v>
      </c>
      <c r="BI69" s="22">
        <v>2436</v>
      </c>
      <c r="BJ69" s="22">
        <v>2392.5</v>
      </c>
      <c r="BK69" s="22">
        <v>2383</v>
      </c>
      <c r="BL69" s="22">
        <v>2355</v>
      </c>
      <c r="BM69" s="1">
        <v>2352.5</v>
      </c>
      <c r="BN69" s="1">
        <v>2302</v>
      </c>
      <c r="BO69" s="1">
        <v>2348</v>
      </c>
      <c r="BP69" s="1">
        <v>2300</v>
      </c>
    </row>
    <row r="70" spans="1:68" ht="15.9" customHeight="1">
      <c r="A70" s="68" t="s">
        <v>135</v>
      </c>
      <c r="B70" s="44" t="s">
        <v>136</v>
      </c>
      <c r="C70" s="48" t="str">
        <f>_xll.RssMarket("9424","安値")</f>
        <v/>
      </c>
      <c r="D70" s="16" t="e">
        <f t="shared" ref="D70:D101" si="2">C70-E70</f>
        <v>#VALUE!</v>
      </c>
      <c r="E70" s="22">
        <v>112</v>
      </c>
      <c r="F70" s="22">
        <v>115</v>
      </c>
      <c r="G70" s="22">
        <v>113</v>
      </c>
      <c r="H70" s="22">
        <v>109</v>
      </c>
      <c r="I70" s="22">
        <v>110</v>
      </c>
      <c r="J70" s="22">
        <v>111</v>
      </c>
      <c r="K70" s="22">
        <v>109</v>
      </c>
      <c r="L70" s="22">
        <v>107</v>
      </c>
      <c r="M70" s="22">
        <v>105</v>
      </c>
      <c r="N70" s="22">
        <v>104</v>
      </c>
      <c r="O70" s="22">
        <v>106</v>
      </c>
      <c r="P70" s="22">
        <v>107</v>
      </c>
      <c r="Q70" s="22">
        <v>106</v>
      </c>
      <c r="R70" s="22">
        <v>112</v>
      </c>
      <c r="S70" s="22">
        <v>113</v>
      </c>
      <c r="T70" s="22">
        <v>112</v>
      </c>
      <c r="U70" s="22">
        <v>111</v>
      </c>
      <c r="V70" s="22">
        <v>112</v>
      </c>
      <c r="W70" s="22">
        <v>111</v>
      </c>
      <c r="X70" s="22">
        <v>114</v>
      </c>
      <c r="Y70" s="22">
        <v>113</v>
      </c>
      <c r="Z70" s="22">
        <v>111</v>
      </c>
      <c r="AA70" s="22">
        <v>113</v>
      </c>
      <c r="AB70" s="22">
        <v>120</v>
      </c>
      <c r="AC70" s="22">
        <v>121</v>
      </c>
      <c r="AD70" s="22">
        <v>120</v>
      </c>
      <c r="AE70" s="22">
        <v>121</v>
      </c>
      <c r="AF70" s="22">
        <v>122</v>
      </c>
      <c r="AG70" s="22">
        <v>121</v>
      </c>
      <c r="AH70" s="22">
        <v>124</v>
      </c>
      <c r="AI70" s="22">
        <v>125</v>
      </c>
      <c r="AJ70" s="22">
        <v>126</v>
      </c>
      <c r="AK70" s="22">
        <v>123</v>
      </c>
      <c r="AL70" s="22">
        <v>124</v>
      </c>
      <c r="AM70" s="22">
        <v>123</v>
      </c>
      <c r="AN70" s="22">
        <v>123</v>
      </c>
      <c r="AO70" s="22">
        <v>124</v>
      </c>
      <c r="AP70" s="22">
        <v>125</v>
      </c>
      <c r="AQ70" s="22">
        <v>124</v>
      </c>
      <c r="AR70" s="22">
        <v>128</v>
      </c>
      <c r="AS70" s="22">
        <v>129</v>
      </c>
      <c r="AT70" s="22">
        <v>128</v>
      </c>
      <c r="AU70" s="22">
        <v>130</v>
      </c>
      <c r="AV70" s="22">
        <v>131</v>
      </c>
      <c r="AW70" s="22">
        <v>126</v>
      </c>
      <c r="AX70" s="22">
        <v>125</v>
      </c>
      <c r="AY70" s="22">
        <v>124</v>
      </c>
      <c r="AZ70" s="22">
        <v>126</v>
      </c>
      <c r="BA70" s="22">
        <v>129</v>
      </c>
      <c r="BB70" s="22">
        <v>129</v>
      </c>
      <c r="BC70" s="22">
        <v>127</v>
      </c>
      <c r="BD70" s="22">
        <v>127</v>
      </c>
      <c r="BE70" s="22">
        <v>128</v>
      </c>
      <c r="BF70" s="22">
        <v>129</v>
      </c>
      <c r="BG70" s="22">
        <v>129</v>
      </c>
      <c r="BH70" s="22">
        <v>128</v>
      </c>
      <c r="BI70" s="22">
        <v>128</v>
      </c>
      <c r="BJ70" s="22">
        <v>130</v>
      </c>
      <c r="BK70" s="22">
        <v>129</v>
      </c>
      <c r="BL70" s="22">
        <v>130</v>
      </c>
      <c r="BM70" s="1">
        <v>128</v>
      </c>
      <c r="BN70" s="1">
        <v>124</v>
      </c>
      <c r="BO70" s="1">
        <v>128</v>
      </c>
    </row>
    <row r="71" spans="1:68" ht="15.9" customHeight="1">
      <c r="A71" s="68" t="s">
        <v>137</v>
      </c>
      <c r="B71" s="44" t="s">
        <v>138</v>
      </c>
      <c r="C71" s="48" t="str">
        <f>_xll.RssMarket("3854","安値")</f>
        <v/>
      </c>
      <c r="D71" s="16" t="e">
        <f t="shared" si="2"/>
        <v>#VALUE!</v>
      </c>
      <c r="E71" s="22">
        <v>2343</v>
      </c>
      <c r="F71" s="22">
        <v>2366</v>
      </c>
      <c r="G71" s="22">
        <v>2375</v>
      </c>
      <c r="H71" s="22">
        <v>2403</v>
      </c>
      <c r="I71" s="22">
        <v>2412</v>
      </c>
      <c r="J71" s="22">
        <v>2436</v>
      </c>
      <c r="K71" s="22">
        <v>2463</v>
      </c>
      <c r="L71" s="22">
        <v>2339</v>
      </c>
      <c r="M71" s="22">
        <v>2317</v>
      </c>
      <c r="N71" s="22">
        <v>2256</v>
      </c>
      <c r="O71" s="22">
        <v>2208</v>
      </c>
      <c r="P71" s="22">
        <v>2197</v>
      </c>
      <c r="Q71" s="22">
        <v>2199</v>
      </c>
      <c r="R71" s="22">
        <v>2154</v>
      </c>
      <c r="S71" s="22">
        <v>2120</v>
      </c>
      <c r="T71" s="22">
        <v>2123</v>
      </c>
      <c r="U71" s="22">
        <v>2156</v>
      </c>
      <c r="V71" s="22">
        <v>2150</v>
      </c>
      <c r="W71" s="22">
        <v>2171</v>
      </c>
      <c r="X71" s="22">
        <v>2155</v>
      </c>
      <c r="Y71" s="22">
        <v>2172</v>
      </c>
      <c r="Z71" s="22">
        <v>2159</v>
      </c>
      <c r="AA71" s="22">
        <v>2160</v>
      </c>
      <c r="AB71" s="22">
        <v>2198</v>
      </c>
      <c r="AC71" s="22">
        <v>2210</v>
      </c>
      <c r="AD71" s="22">
        <v>2250</v>
      </c>
      <c r="AE71" s="22">
        <v>2390</v>
      </c>
      <c r="AF71" s="22">
        <v>2414</v>
      </c>
      <c r="AG71" s="22">
        <v>2490</v>
      </c>
      <c r="AH71" s="22">
        <v>2460</v>
      </c>
      <c r="AI71" s="22">
        <v>2600</v>
      </c>
      <c r="AJ71" s="22">
        <v>2551</v>
      </c>
      <c r="AK71" s="22">
        <v>2516</v>
      </c>
      <c r="AL71" s="22">
        <v>2471</v>
      </c>
      <c r="AM71" s="22">
        <v>2496</v>
      </c>
      <c r="AN71" s="22">
        <v>2476</v>
      </c>
      <c r="AO71" s="22">
        <v>2446</v>
      </c>
      <c r="AP71" s="22">
        <v>2425</v>
      </c>
      <c r="AQ71" s="22">
        <v>2405</v>
      </c>
      <c r="AR71" s="22">
        <v>2384</v>
      </c>
      <c r="AS71" s="22">
        <v>2325</v>
      </c>
      <c r="AT71" s="22">
        <v>2307</v>
      </c>
      <c r="AU71" s="22">
        <v>2363</v>
      </c>
      <c r="AV71" s="22">
        <v>2368</v>
      </c>
      <c r="AW71" s="22">
        <v>2391</v>
      </c>
      <c r="AX71" s="22">
        <v>2371</v>
      </c>
      <c r="AY71" s="22">
        <v>2360</v>
      </c>
      <c r="AZ71" s="22">
        <v>2334</v>
      </c>
      <c r="BA71" s="22">
        <v>2370</v>
      </c>
      <c r="BB71" s="22">
        <v>2384</v>
      </c>
      <c r="BC71" s="22">
        <v>2382</v>
      </c>
      <c r="BD71" s="22">
        <v>2395</v>
      </c>
      <c r="BE71" s="22">
        <v>2412</v>
      </c>
      <c r="BF71" s="22">
        <v>2427</v>
      </c>
      <c r="BG71" s="22">
        <v>2436</v>
      </c>
      <c r="BH71" s="22">
        <v>2420</v>
      </c>
      <c r="BI71" s="22">
        <v>2395</v>
      </c>
      <c r="BJ71" s="22">
        <v>2381</v>
      </c>
      <c r="BK71" s="22">
        <v>2398</v>
      </c>
      <c r="BL71" s="22">
        <v>2371</v>
      </c>
      <c r="BM71" s="1">
        <v>2320</v>
      </c>
      <c r="BN71" s="1">
        <v>2341</v>
      </c>
      <c r="BO71" s="1">
        <v>2398</v>
      </c>
      <c r="BP71" s="1">
        <v>2420</v>
      </c>
    </row>
    <row r="72" spans="1:68" ht="15.9" customHeight="1">
      <c r="A72" s="68" t="s">
        <v>139</v>
      </c>
      <c r="B72" s="44" t="s">
        <v>140</v>
      </c>
      <c r="C72" s="48" t="str">
        <f>_xll.RssMarket("6027","安値")</f>
        <v/>
      </c>
      <c r="D72" s="16" t="e">
        <f t="shared" si="2"/>
        <v>#VALUE!</v>
      </c>
      <c r="E72" s="22">
        <v>2356</v>
      </c>
      <c r="F72" s="22">
        <v>2360</v>
      </c>
      <c r="G72" s="22">
        <v>2350</v>
      </c>
      <c r="H72" s="22">
        <v>2351</v>
      </c>
      <c r="I72" s="22">
        <v>2372</v>
      </c>
      <c r="J72" s="22">
        <v>2340</v>
      </c>
      <c r="K72" s="22">
        <v>2411</v>
      </c>
      <c r="L72" s="22">
        <v>2406</v>
      </c>
      <c r="M72" s="22">
        <v>2370</v>
      </c>
      <c r="N72" s="22">
        <v>2362</v>
      </c>
      <c r="O72" s="22">
        <v>2293</v>
      </c>
      <c r="P72" s="22">
        <v>2205</v>
      </c>
      <c r="Q72" s="22">
        <v>2057</v>
      </c>
      <c r="R72" s="22">
        <v>2000</v>
      </c>
      <c r="S72" s="22">
        <v>1998</v>
      </c>
      <c r="T72" s="22">
        <v>2062</v>
      </c>
      <c r="U72" s="22">
        <v>2086</v>
      </c>
      <c r="V72" s="22">
        <v>2180</v>
      </c>
      <c r="W72" s="22">
        <v>2115</v>
      </c>
      <c r="X72" s="22">
        <v>2120</v>
      </c>
      <c r="Y72" s="22">
        <v>2097</v>
      </c>
      <c r="Z72" s="22">
        <v>2083</v>
      </c>
      <c r="AA72" s="22">
        <v>2080</v>
      </c>
      <c r="AB72" s="22">
        <v>2105</v>
      </c>
      <c r="AC72" s="22">
        <v>2104</v>
      </c>
      <c r="AD72" s="22">
        <v>2143</v>
      </c>
      <c r="AE72" s="22">
        <v>2200</v>
      </c>
      <c r="AF72" s="22">
        <v>2249</v>
      </c>
      <c r="AG72" s="22">
        <v>2212</v>
      </c>
      <c r="AH72" s="22">
        <v>2235</v>
      </c>
      <c r="AI72" s="22">
        <v>2305</v>
      </c>
      <c r="AJ72" s="22">
        <v>2406</v>
      </c>
      <c r="AK72" s="22">
        <v>2394</v>
      </c>
      <c r="AL72" s="22">
        <v>2430</v>
      </c>
      <c r="AM72" s="22">
        <v>2486</v>
      </c>
      <c r="AN72" s="22">
        <v>2539</v>
      </c>
      <c r="AO72" s="22">
        <v>2554</v>
      </c>
      <c r="AP72" s="22">
        <v>2562</v>
      </c>
      <c r="AQ72" s="22">
        <v>2733</v>
      </c>
      <c r="AR72" s="22">
        <v>2667</v>
      </c>
      <c r="AS72" s="22">
        <v>2623</v>
      </c>
      <c r="AT72" s="22">
        <v>2598</v>
      </c>
      <c r="AU72" s="22">
        <v>2643</v>
      </c>
      <c r="AV72" s="22">
        <v>2657</v>
      </c>
      <c r="AW72" s="22">
        <v>2731</v>
      </c>
      <c r="AX72" s="22">
        <v>2646</v>
      </c>
      <c r="AY72" s="22">
        <v>2550</v>
      </c>
      <c r="AZ72" s="22">
        <v>2470</v>
      </c>
      <c r="BA72" s="22">
        <v>2461</v>
      </c>
      <c r="BB72" s="22">
        <v>2412</v>
      </c>
      <c r="BC72" s="22">
        <v>2410</v>
      </c>
      <c r="BD72" s="22">
        <v>2500</v>
      </c>
      <c r="BE72" s="22">
        <v>2560</v>
      </c>
      <c r="BF72" s="22">
        <v>2580</v>
      </c>
      <c r="BG72" s="22">
        <v>2557</v>
      </c>
      <c r="BH72" s="22">
        <v>2558</v>
      </c>
      <c r="BI72" s="22">
        <v>2570</v>
      </c>
      <c r="BJ72" s="22">
        <v>2635</v>
      </c>
      <c r="BK72" s="22">
        <v>2609</v>
      </c>
      <c r="BL72" s="22">
        <v>2573</v>
      </c>
      <c r="BM72" s="1">
        <v>2480</v>
      </c>
      <c r="BN72" s="1">
        <v>2565</v>
      </c>
      <c r="BO72" s="1">
        <v>2731</v>
      </c>
      <c r="BP72" s="1">
        <v>2899</v>
      </c>
    </row>
    <row r="73" spans="1:68" ht="15.9" customHeight="1">
      <c r="A73" s="68" t="s">
        <v>141</v>
      </c>
      <c r="B73" s="44" t="s">
        <v>142</v>
      </c>
      <c r="C73" s="48" t="str">
        <f>_xll.RssMarket("7806","安値")</f>
        <v/>
      </c>
      <c r="D73" s="16" t="e">
        <f t="shared" si="2"/>
        <v>#VALUE!</v>
      </c>
      <c r="E73" s="22">
        <v>7310</v>
      </c>
      <c r="F73" s="22">
        <v>7230</v>
      </c>
      <c r="G73" s="22">
        <v>7320</v>
      </c>
      <c r="H73" s="22">
        <v>7460</v>
      </c>
      <c r="I73" s="22">
        <v>7860</v>
      </c>
      <c r="J73" s="22">
        <v>8060</v>
      </c>
      <c r="K73" s="22">
        <v>8030</v>
      </c>
      <c r="L73" s="22">
        <v>7960</v>
      </c>
      <c r="M73" s="22">
        <v>7530</v>
      </c>
      <c r="N73" s="22">
        <v>7340</v>
      </c>
      <c r="O73" s="22">
        <v>7370</v>
      </c>
      <c r="P73" s="22">
        <v>7200</v>
      </c>
      <c r="Q73" s="22">
        <v>7190</v>
      </c>
      <c r="R73" s="22">
        <v>7410</v>
      </c>
      <c r="S73" s="22">
        <v>7270</v>
      </c>
      <c r="T73" s="22">
        <v>7320</v>
      </c>
      <c r="U73" s="22">
        <v>7540</v>
      </c>
      <c r="V73" s="22">
        <v>7560</v>
      </c>
      <c r="W73" s="22">
        <v>7370</v>
      </c>
      <c r="X73" s="22">
        <v>7150</v>
      </c>
      <c r="Y73" s="22">
        <v>7030</v>
      </c>
      <c r="Z73" s="22">
        <v>6940</v>
      </c>
      <c r="AA73" s="22">
        <v>6970</v>
      </c>
      <c r="AB73" s="22">
        <v>6800</v>
      </c>
      <c r="AC73" s="22">
        <v>6930</v>
      </c>
      <c r="AD73" s="22">
        <v>6680</v>
      </c>
      <c r="AE73" s="22">
        <v>6750</v>
      </c>
      <c r="AF73" s="22">
        <v>6650</v>
      </c>
      <c r="AG73" s="22">
        <v>7000</v>
      </c>
      <c r="AH73" s="22">
        <v>6880</v>
      </c>
      <c r="AI73" s="22">
        <v>7310</v>
      </c>
      <c r="AJ73" s="22">
        <v>7000</v>
      </c>
      <c r="AK73" s="22">
        <v>6970</v>
      </c>
      <c r="AL73" s="22">
        <v>6260</v>
      </c>
      <c r="AM73" s="22">
        <v>6150</v>
      </c>
      <c r="AN73" s="22">
        <v>6300</v>
      </c>
      <c r="AO73" s="22">
        <v>6340</v>
      </c>
      <c r="AP73" s="22">
        <v>6210</v>
      </c>
      <c r="AQ73" s="22">
        <v>6240</v>
      </c>
      <c r="AR73" s="22">
        <v>6620</v>
      </c>
      <c r="AS73" s="22">
        <v>6760</v>
      </c>
      <c r="AT73" s="22">
        <v>6540</v>
      </c>
      <c r="AU73" s="22">
        <v>6080</v>
      </c>
      <c r="AV73" s="22">
        <v>6280</v>
      </c>
      <c r="AW73" s="22">
        <v>6160</v>
      </c>
      <c r="AX73" s="22">
        <v>6050</v>
      </c>
      <c r="AY73" s="22">
        <v>5800</v>
      </c>
      <c r="AZ73" s="22">
        <v>5720</v>
      </c>
      <c r="BA73" s="22">
        <v>5910</v>
      </c>
      <c r="BB73" s="22">
        <v>5960</v>
      </c>
      <c r="BC73" s="22">
        <v>6220</v>
      </c>
      <c r="BD73" s="22">
        <v>6350</v>
      </c>
      <c r="BE73" s="22">
        <v>6450</v>
      </c>
      <c r="BF73" s="22">
        <v>6470</v>
      </c>
      <c r="BG73" s="22">
        <v>6520</v>
      </c>
      <c r="BH73" s="22">
        <v>6430</v>
      </c>
      <c r="BI73" s="22">
        <v>6330</v>
      </c>
      <c r="BJ73" s="22">
        <v>6280</v>
      </c>
      <c r="BK73" s="22">
        <v>6190</v>
      </c>
      <c r="BL73" s="22">
        <v>5900</v>
      </c>
      <c r="BM73" s="1">
        <v>5950</v>
      </c>
      <c r="BN73" s="1">
        <v>6020</v>
      </c>
    </row>
    <row r="74" spans="1:68" ht="15.9" customHeight="1">
      <c r="A74" s="68" t="s">
        <v>143</v>
      </c>
      <c r="B74" s="44" t="s">
        <v>144</v>
      </c>
      <c r="C74" s="48" t="str">
        <f>_xll.RssMarket("9202","安値")</f>
        <v/>
      </c>
      <c r="D74" s="16" t="e">
        <f t="shared" si="2"/>
        <v>#VALUE!</v>
      </c>
      <c r="E74" s="22">
        <v>2995</v>
      </c>
      <c r="F74" s="22">
        <v>2998</v>
      </c>
      <c r="G74" s="22">
        <v>3009</v>
      </c>
      <c r="H74" s="22">
        <v>2991</v>
      </c>
      <c r="I74" s="22">
        <v>3002</v>
      </c>
      <c r="J74" s="22">
        <v>3038</v>
      </c>
      <c r="K74" s="22">
        <v>3090</v>
      </c>
      <c r="L74" s="22">
        <v>3140</v>
      </c>
      <c r="M74" s="22">
        <v>3112</v>
      </c>
      <c r="N74" s="22">
        <v>3107</v>
      </c>
      <c r="O74" s="22">
        <v>3030</v>
      </c>
      <c r="P74" s="22">
        <v>2933.5</v>
      </c>
      <c r="Q74" s="22">
        <v>2958.5</v>
      </c>
      <c r="R74" s="22">
        <v>2984.5</v>
      </c>
      <c r="S74" s="22">
        <v>2981</v>
      </c>
      <c r="T74" s="22">
        <v>2986.5</v>
      </c>
      <c r="U74" s="22">
        <v>2910</v>
      </c>
      <c r="V74" s="22">
        <v>2916</v>
      </c>
      <c r="W74" s="22">
        <v>2900.5</v>
      </c>
      <c r="X74" s="22">
        <v>2943</v>
      </c>
      <c r="Y74" s="22">
        <v>2979</v>
      </c>
      <c r="Z74" s="22">
        <v>3026</v>
      </c>
      <c r="AA74" s="22">
        <v>2988</v>
      </c>
      <c r="AB74" s="22">
        <v>2920</v>
      </c>
      <c r="AC74" s="22">
        <v>2810</v>
      </c>
      <c r="AD74" s="22">
        <v>2780.5</v>
      </c>
      <c r="AE74" s="22">
        <v>2788</v>
      </c>
      <c r="AF74" s="22">
        <v>2783.5</v>
      </c>
      <c r="AG74" s="22">
        <v>2818</v>
      </c>
      <c r="AH74" s="22">
        <v>2795.5</v>
      </c>
      <c r="AI74" s="22">
        <v>2797</v>
      </c>
      <c r="AJ74" s="22">
        <v>2844</v>
      </c>
      <c r="AK74" s="22">
        <v>2920.5</v>
      </c>
      <c r="AL74" s="22">
        <v>2871</v>
      </c>
      <c r="AM74" s="22">
        <v>2858.5</v>
      </c>
      <c r="AN74" s="22">
        <v>2804.5</v>
      </c>
      <c r="AO74" s="22">
        <v>2770.5</v>
      </c>
      <c r="AP74" s="22">
        <v>2762</v>
      </c>
      <c r="AQ74" s="22">
        <v>2700</v>
      </c>
      <c r="AR74" s="22">
        <v>2727</v>
      </c>
      <c r="AS74" s="22">
        <v>2717</v>
      </c>
      <c r="AT74" s="22">
        <v>2731.5</v>
      </c>
      <c r="AU74" s="22">
        <v>2763</v>
      </c>
      <c r="AV74" s="22">
        <v>2765.5</v>
      </c>
      <c r="AW74" s="22">
        <v>2772</v>
      </c>
      <c r="AX74" s="22">
        <v>2805</v>
      </c>
      <c r="AY74" s="22">
        <v>2828.5</v>
      </c>
      <c r="AZ74" s="22">
        <v>2734.5</v>
      </c>
      <c r="BA74" s="22">
        <v>2623</v>
      </c>
      <c r="BB74" s="22">
        <v>2582</v>
      </c>
      <c r="BC74" s="22">
        <v>2603</v>
      </c>
      <c r="BD74" s="22">
        <v>2666</v>
      </c>
      <c r="BE74" s="22">
        <v>2690</v>
      </c>
      <c r="BF74" s="22">
        <v>2713</v>
      </c>
      <c r="BG74" s="22">
        <v>2814.5</v>
      </c>
      <c r="BH74" s="22">
        <v>2852.5</v>
      </c>
      <c r="BI74" s="22">
        <v>2845</v>
      </c>
      <c r="BJ74" s="22">
        <v>2820</v>
      </c>
      <c r="BK74" s="22">
        <v>2858.5</v>
      </c>
      <c r="BL74" s="22">
        <v>2847.5</v>
      </c>
      <c r="BM74" s="1">
        <v>2845.5</v>
      </c>
      <c r="BN74" s="1">
        <v>2844.5</v>
      </c>
      <c r="BO74" s="1">
        <v>2882</v>
      </c>
      <c r="BP74" s="1">
        <v>2890</v>
      </c>
    </row>
    <row r="75" spans="1:68" ht="15.9" customHeight="1">
      <c r="A75" s="68" t="s">
        <v>145</v>
      </c>
      <c r="B75" s="44" t="s">
        <v>146</v>
      </c>
      <c r="C75" s="48" t="str">
        <f>_xll.RssMarket("7846","安値")</f>
        <v/>
      </c>
      <c r="D75" s="16" t="e">
        <f t="shared" si="2"/>
        <v>#VALUE!</v>
      </c>
      <c r="E75" s="22">
        <v>1790.5</v>
      </c>
      <c r="F75" s="22">
        <v>1766.5</v>
      </c>
      <c r="G75" s="22">
        <v>1761</v>
      </c>
      <c r="H75" s="22">
        <v>1755.5</v>
      </c>
      <c r="I75" s="22">
        <v>1757.5</v>
      </c>
      <c r="J75" s="22">
        <v>1758.5</v>
      </c>
      <c r="K75" s="22">
        <v>1741</v>
      </c>
      <c r="L75" s="22">
        <v>1734</v>
      </c>
      <c r="M75" s="22">
        <v>1718.5</v>
      </c>
      <c r="N75" s="22">
        <v>1672</v>
      </c>
      <c r="O75" s="22">
        <v>1698</v>
      </c>
      <c r="P75" s="22">
        <v>1677</v>
      </c>
      <c r="Q75" s="22">
        <v>1653</v>
      </c>
      <c r="R75" s="22">
        <v>1670.5</v>
      </c>
      <c r="S75" s="22">
        <v>5100</v>
      </c>
      <c r="T75" s="22">
        <v>5023</v>
      </c>
      <c r="U75" s="22">
        <v>4960</v>
      </c>
      <c r="V75" s="22">
        <v>4925</v>
      </c>
      <c r="W75" s="22">
        <v>4908</v>
      </c>
      <c r="X75" s="22">
        <v>4909</v>
      </c>
      <c r="Y75" s="22">
        <v>4927</v>
      </c>
      <c r="Z75" s="22">
        <v>4964</v>
      </c>
      <c r="AA75" s="22">
        <v>4900</v>
      </c>
      <c r="AB75" s="22">
        <v>4925</v>
      </c>
      <c r="AC75" s="22">
        <v>4881</v>
      </c>
      <c r="AD75" s="22">
        <v>4827</v>
      </c>
      <c r="AE75" s="22">
        <v>4856</v>
      </c>
      <c r="AF75" s="22">
        <v>4855</v>
      </c>
      <c r="AG75" s="22">
        <v>4845</v>
      </c>
      <c r="AH75" s="22">
        <v>4805</v>
      </c>
      <c r="AI75" s="22">
        <v>4851</v>
      </c>
      <c r="AJ75" s="22">
        <v>4798</v>
      </c>
      <c r="AK75" s="22">
        <v>4882</v>
      </c>
      <c r="AL75" s="22">
        <v>4855</v>
      </c>
      <c r="AM75" s="22">
        <v>4874</v>
      </c>
      <c r="AN75" s="22">
        <v>4896</v>
      </c>
      <c r="AO75" s="22">
        <v>4890</v>
      </c>
      <c r="AP75" s="22">
        <v>4734</v>
      </c>
      <c r="AQ75" s="22">
        <v>4690</v>
      </c>
      <c r="AR75" s="22">
        <v>4612</v>
      </c>
      <c r="AS75" s="22">
        <v>4579</v>
      </c>
      <c r="AT75" s="22">
        <v>4535</v>
      </c>
      <c r="AU75" s="22">
        <v>4509</v>
      </c>
      <c r="AV75" s="22">
        <v>4528</v>
      </c>
      <c r="AW75" s="22">
        <v>4743</v>
      </c>
      <c r="AX75" s="22">
        <v>4720</v>
      </c>
      <c r="AY75" s="22">
        <v>4786</v>
      </c>
      <c r="AZ75" s="22">
        <v>4730</v>
      </c>
      <c r="BA75" s="22">
        <v>4753</v>
      </c>
      <c r="BB75" s="22">
        <v>4771</v>
      </c>
      <c r="BC75" s="22">
        <v>4753</v>
      </c>
      <c r="BD75" s="22">
        <v>4775</v>
      </c>
      <c r="BE75" s="22">
        <v>4736</v>
      </c>
      <c r="BF75" s="22">
        <v>4780</v>
      </c>
      <c r="BG75" s="22">
        <v>4756</v>
      </c>
      <c r="BH75" s="22">
        <v>4800</v>
      </c>
      <c r="BI75" s="22">
        <v>4803</v>
      </c>
      <c r="BJ75" s="22">
        <v>4830</v>
      </c>
      <c r="BK75" s="22">
        <v>4832</v>
      </c>
      <c r="BL75" s="22">
        <v>4830</v>
      </c>
      <c r="BM75" s="1">
        <v>4855</v>
      </c>
      <c r="BN75" s="1">
        <v>4924</v>
      </c>
      <c r="BO75" s="1">
        <v>4955</v>
      </c>
      <c r="BP75" s="1">
        <v>4930</v>
      </c>
    </row>
    <row r="76" spans="1:68" ht="15.9" customHeight="1">
      <c r="A76" s="68" t="s">
        <v>147</v>
      </c>
      <c r="B76" s="44" t="s">
        <v>148</v>
      </c>
      <c r="C76" s="48" t="str">
        <f>_xll.RssMarket("2802","安値")</f>
        <v/>
      </c>
      <c r="D76" s="16" t="e">
        <f t="shared" si="2"/>
        <v>#VALUE!</v>
      </c>
      <c r="E76" s="22">
        <v>5114</v>
      </c>
      <c r="F76" s="22">
        <v>5536</v>
      </c>
      <c r="G76" s="22">
        <v>5515</v>
      </c>
      <c r="H76" s="22">
        <v>5575</v>
      </c>
      <c r="I76" s="22">
        <v>5633</v>
      </c>
      <c r="J76" s="22">
        <v>5715</v>
      </c>
      <c r="K76" s="22">
        <v>5683</v>
      </c>
      <c r="L76" s="22">
        <v>5810</v>
      </c>
      <c r="M76" s="22">
        <v>6046</v>
      </c>
      <c r="N76" s="22">
        <v>5947</v>
      </c>
      <c r="O76" s="22">
        <v>6015</v>
      </c>
      <c r="P76" s="22">
        <v>6003</v>
      </c>
      <c r="Q76" s="22">
        <v>5778</v>
      </c>
      <c r="R76" s="22">
        <v>5667</v>
      </c>
      <c r="S76" s="22">
        <v>5657</v>
      </c>
      <c r="T76" s="22">
        <v>5621</v>
      </c>
      <c r="U76" s="22">
        <v>5400</v>
      </c>
      <c r="V76" s="22">
        <v>5652</v>
      </c>
      <c r="W76" s="22">
        <v>5719</v>
      </c>
      <c r="X76" s="22">
        <v>5726</v>
      </c>
      <c r="Y76" s="22">
        <v>5379</v>
      </c>
      <c r="Z76" s="22">
        <v>5084</v>
      </c>
      <c r="AA76" s="22">
        <v>4979</v>
      </c>
      <c r="AB76" s="22">
        <v>5052</v>
      </c>
      <c r="AC76" s="22">
        <v>5095</v>
      </c>
      <c r="AD76" s="22">
        <v>4845</v>
      </c>
      <c r="AE76" s="22">
        <v>4674</v>
      </c>
      <c r="AF76" s="22">
        <v>4936</v>
      </c>
      <c r="AG76" s="22">
        <v>5095</v>
      </c>
      <c r="AH76" s="22">
        <v>5147</v>
      </c>
      <c r="AI76" s="22">
        <v>5144</v>
      </c>
      <c r="AJ76" s="22">
        <v>5101</v>
      </c>
      <c r="AK76" s="22">
        <v>5110</v>
      </c>
      <c r="AL76" s="22">
        <v>5261</v>
      </c>
      <c r="AM76" s="22">
        <v>5195</v>
      </c>
      <c r="AN76" s="22">
        <v>5183</v>
      </c>
      <c r="AO76" s="22">
        <v>5021</v>
      </c>
      <c r="AP76" s="22">
        <v>5006</v>
      </c>
      <c r="AQ76" s="22">
        <v>5165</v>
      </c>
      <c r="AR76" s="22">
        <v>5103</v>
      </c>
      <c r="AS76" s="22">
        <v>5252</v>
      </c>
      <c r="AT76" s="22">
        <v>5521</v>
      </c>
      <c r="AU76" s="22">
        <v>5338</v>
      </c>
      <c r="AV76" s="22">
        <v>5425</v>
      </c>
      <c r="AW76" s="22">
        <v>5088</v>
      </c>
      <c r="AX76" s="22">
        <v>4712</v>
      </c>
      <c r="AY76" s="22">
        <v>4739</v>
      </c>
      <c r="AZ76" s="22">
        <v>4792</v>
      </c>
      <c r="BA76" s="22">
        <v>4906</v>
      </c>
      <c r="BB76" s="22">
        <v>4750</v>
      </c>
      <c r="BC76" s="22">
        <v>4726</v>
      </c>
      <c r="BD76" s="22">
        <v>4699</v>
      </c>
      <c r="BE76" s="22">
        <v>4565</v>
      </c>
      <c r="BF76" s="22">
        <v>4621</v>
      </c>
      <c r="BG76" s="22">
        <v>4600</v>
      </c>
      <c r="BH76" s="22">
        <v>4582</v>
      </c>
      <c r="BI76" s="22">
        <v>4574</v>
      </c>
      <c r="BJ76" s="22">
        <v>4623</v>
      </c>
      <c r="BK76" s="22">
        <v>4636</v>
      </c>
      <c r="BL76" s="22">
        <v>4596</v>
      </c>
      <c r="BM76" s="1">
        <v>4565</v>
      </c>
      <c r="BN76" s="1">
        <v>4652</v>
      </c>
      <c r="BO76" s="1">
        <v>4690</v>
      </c>
      <c r="BP76" s="1">
        <v>4735</v>
      </c>
    </row>
    <row r="77" spans="1:68" ht="15.9" customHeight="1">
      <c r="A77" s="68" t="s">
        <v>149</v>
      </c>
      <c r="B77" s="44" t="s">
        <v>150</v>
      </c>
      <c r="C77" s="48" t="str">
        <f>_xll.RssMarket("7203","安値")</f>
        <v/>
      </c>
      <c r="D77" s="16" t="e">
        <f t="shared" si="2"/>
        <v>#VALUE!</v>
      </c>
      <c r="E77" s="22">
        <v>2857</v>
      </c>
      <c r="F77" s="22">
        <v>2837</v>
      </c>
      <c r="G77" s="22">
        <v>2815.5</v>
      </c>
      <c r="H77" s="22">
        <v>2794</v>
      </c>
      <c r="I77" s="22">
        <v>2817.5</v>
      </c>
      <c r="J77" s="22">
        <v>2817</v>
      </c>
      <c r="K77" s="22">
        <v>2884</v>
      </c>
      <c r="L77" s="22">
        <v>2925</v>
      </c>
      <c r="M77" s="22">
        <v>2839</v>
      </c>
      <c r="N77" s="22">
        <v>2813</v>
      </c>
      <c r="O77" s="22">
        <v>2750</v>
      </c>
      <c r="P77" s="22">
        <v>2715</v>
      </c>
      <c r="Q77" s="22">
        <v>2708</v>
      </c>
      <c r="R77" s="22">
        <v>2745</v>
      </c>
      <c r="S77" s="22">
        <v>2696.5</v>
      </c>
      <c r="T77" s="22">
        <v>2689</v>
      </c>
      <c r="U77" s="22">
        <v>2686</v>
      </c>
      <c r="V77" s="22">
        <v>2706</v>
      </c>
      <c r="W77" s="22">
        <v>2741.5</v>
      </c>
      <c r="X77" s="22">
        <v>2755</v>
      </c>
      <c r="Y77" s="22">
        <v>2774.5</v>
      </c>
      <c r="Z77" s="22">
        <v>2803.5</v>
      </c>
      <c r="AA77" s="22">
        <v>2826.5</v>
      </c>
      <c r="AB77" s="22">
        <v>2830</v>
      </c>
      <c r="AC77" s="22">
        <v>2756.5</v>
      </c>
      <c r="AD77" s="22">
        <v>2718.5</v>
      </c>
      <c r="AE77" s="22">
        <v>2787.5</v>
      </c>
      <c r="AF77" s="22">
        <v>2795.5</v>
      </c>
      <c r="AG77" s="22">
        <v>2837</v>
      </c>
      <c r="AH77" s="22">
        <v>2835</v>
      </c>
      <c r="AI77" s="22">
        <v>2833</v>
      </c>
      <c r="AJ77" s="22">
        <v>2805</v>
      </c>
      <c r="AK77" s="22">
        <v>3022</v>
      </c>
      <c r="AL77" s="22">
        <v>3023</v>
      </c>
      <c r="AM77" s="22">
        <v>2998.5</v>
      </c>
      <c r="AN77" s="22">
        <v>3006</v>
      </c>
      <c r="AO77" s="22">
        <v>2975.5</v>
      </c>
      <c r="AP77" s="22">
        <v>2961</v>
      </c>
      <c r="AQ77" s="22">
        <v>2942</v>
      </c>
      <c r="AR77" s="22">
        <v>2931</v>
      </c>
      <c r="AS77" s="22">
        <v>2940</v>
      </c>
      <c r="AT77" s="22">
        <v>2987.5</v>
      </c>
      <c r="AU77" s="22">
        <v>2943</v>
      </c>
      <c r="AV77" s="22">
        <v>2879</v>
      </c>
      <c r="AW77" s="22">
        <v>2820</v>
      </c>
      <c r="AX77" s="22">
        <v>2798</v>
      </c>
      <c r="AY77" s="22">
        <v>2874</v>
      </c>
      <c r="AZ77" s="22">
        <v>2978</v>
      </c>
      <c r="BA77" s="22">
        <v>2971</v>
      </c>
      <c r="BB77" s="22">
        <v>2997</v>
      </c>
      <c r="BC77" s="22">
        <v>3079</v>
      </c>
      <c r="BD77" s="22">
        <v>3062</v>
      </c>
      <c r="BE77" s="22">
        <v>3111</v>
      </c>
      <c r="BF77" s="22">
        <v>3191</v>
      </c>
      <c r="BG77" s="22">
        <v>3280</v>
      </c>
      <c r="BH77" s="22">
        <v>3380</v>
      </c>
      <c r="BI77" s="22">
        <v>3343</v>
      </c>
      <c r="BJ77" s="22">
        <v>3392</v>
      </c>
      <c r="BK77" s="22">
        <v>3344</v>
      </c>
      <c r="BL77" s="22">
        <v>3288</v>
      </c>
      <c r="BM77" s="1">
        <v>3280</v>
      </c>
      <c r="BN77" s="1">
        <v>3295</v>
      </c>
      <c r="BO77" s="1">
        <v>3318</v>
      </c>
      <c r="BP77" s="1">
        <v>3333</v>
      </c>
    </row>
    <row r="78" spans="1:68" ht="15.9" customHeight="1">
      <c r="A78" s="68" t="s">
        <v>151</v>
      </c>
      <c r="B78" s="44" t="s">
        <v>152</v>
      </c>
      <c r="C78" s="48" t="str">
        <f>_xll.RssMarket("6954","安値")</f>
        <v/>
      </c>
      <c r="D78" s="16" t="e">
        <f t="shared" si="2"/>
        <v>#VALUE!</v>
      </c>
      <c r="E78" s="22">
        <v>6394</v>
      </c>
      <c r="F78" s="22">
        <v>6792</v>
      </c>
      <c r="G78" s="22">
        <v>6674</v>
      </c>
      <c r="H78" s="22">
        <v>6856</v>
      </c>
      <c r="I78" s="22">
        <v>7037</v>
      </c>
      <c r="J78" s="22">
        <v>6765</v>
      </c>
      <c r="K78" s="22">
        <v>6700</v>
      </c>
      <c r="L78" s="22">
        <v>7048</v>
      </c>
      <c r="M78" s="22">
        <v>7318</v>
      </c>
      <c r="N78" s="22">
        <v>6994</v>
      </c>
      <c r="O78" s="22">
        <v>7082</v>
      </c>
      <c r="P78" s="22">
        <v>7363</v>
      </c>
      <c r="Q78" s="22">
        <v>7170</v>
      </c>
      <c r="R78" s="22">
        <v>6853</v>
      </c>
      <c r="S78" s="22">
        <v>6995</v>
      </c>
      <c r="T78" s="22">
        <v>7279</v>
      </c>
      <c r="U78" s="22">
        <v>7261</v>
      </c>
      <c r="V78" s="22">
        <v>7457</v>
      </c>
      <c r="W78" s="22">
        <v>7705</v>
      </c>
      <c r="X78" s="22">
        <v>7364</v>
      </c>
      <c r="Y78" s="22">
        <v>7538</v>
      </c>
      <c r="Z78" s="22">
        <v>7223</v>
      </c>
      <c r="AA78" s="22">
        <v>7275</v>
      </c>
      <c r="AB78" s="22">
        <v>7047</v>
      </c>
      <c r="AC78" s="22">
        <v>6914</v>
      </c>
      <c r="AD78" s="22">
        <v>6290</v>
      </c>
      <c r="AE78" s="22">
        <v>6674</v>
      </c>
      <c r="AF78" s="22">
        <v>6974</v>
      </c>
      <c r="AG78" s="22">
        <v>7441</v>
      </c>
      <c r="AH78" s="22">
        <v>7645</v>
      </c>
      <c r="AI78" s="22">
        <v>7665</v>
      </c>
      <c r="AJ78" s="22">
        <v>7453</v>
      </c>
      <c r="AK78" s="22">
        <v>7892</v>
      </c>
      <c r="AL78" s="22">
        <v>7841</v>
      </c>
      <c r="AM78" s="22">
        <v>8154</v>
      </c>
      <c r="AN78" s="22">
        <v>8300</v>
      </c>
      <c r="AO78" s="22">
        <v>8013</v>
      </c>
      <c r="AP78" s="22">
        <v>7469</v>
      </c>
      <c r="AQ78" s="22">
        <v>7279</v>
      </c>
      <c r="AR78" s="22">
        <v>7620</v>
      </c>
      <c r="AS78" s="22">
        <v>7933</v>
      </c>
      <c r="AT78" s="22">
        <v>8085</v>
      </c>
      <c r="AU78" s="22">
        <v>8036</v>
      </c>
      <c r="AV78" s="22">
        <v>7501</v>
      </c>
      <c r="AW78" s="22">
        <v>7570</v>
      </c>
      <c r="AX78" s="22">
        <v>7380</v>
      </c>
      <c r="AY78" s="22">
        <v>7093</v>
      </c>
      <c r="AZ78" s="22">
        <v>7076</v>
      </c>
      <c r="BA78" s="22">
        <v>6693</v>
      </c>
      <c r="BB78" s="22">
        <v>6690</v>
      </c>
      <c r="BC78" s="22">
        <v>6937</v>
      </c>
      <c r="BD78" s="22">
        <v>6715</v>
      </c>
      <c r="BE78" s="22">
        <v>6158</v>
      </c>
      <c r="BF78" s="22">
        <v>6227</v>
      </c>
      <c r="BG78" s="22">
        <v>6415</v>
      </c>
      <c r="BH78" s="22">
        <v>6427</v>
      </c>
      <c r="BI78" s="22">
        <v>6229</v>
      </c>
      <c r="BJ78" s="22">
        <v>6210</v>
      </c>
      <c r="BK78" s="22">
        <v>6138</v>
      </c>
      <c r="BL78" s="22">
        <v>6092</v>
      </c>
      <c r="BM78" s="1">
        <v>6201</v>
      </c>
      <c r="BN78" s="1">
        <v>6092</v>
      </c>
      <c r="BO78" s="1">
        <v>5950</v>
      </c>
      <c r="BP78" s="1">
        <v>5862</v>
      </c>
    </row>
    <row r="79" spans="1:68" ht="15.9" customHeight="1">
      <c r="A79" s="68" t="s">
        <v>153</v>
      </c>
      <c r="B79" s="44" t="s">
        <v>154</v>
      </c>
      <c r="C79" s="48" t="str">
        <f>_xll.RssMarket("6479","安値")</f>
        <v/>
      </c>
      <c r="D79" s="16" t="e">
        <f t="shared" si="2"/>
        <v>#VALUE!</v>
      </c>
      <c r="E79" s="22">
        <v>3682</v>
      </c>
      <c r="F79" s="22">
        <v>4120</v>
      </c>
      <c r="G79" s="22">
        <v>4047</v>
      </c>
      <c r="H79" s="22">
        <v>4153</v>
      </c>
      <c r="I79" s="22">
        <v>4353</v>
      </c>
      <c r="J79" s="22">
        <v>4307</v>
      </c>
      <c r="K79" s="22">
        <v>4240</v>
      </c>
      <c r="L79" s="22">
        <v>4322</v>
      </c>
      <c r="M79" s="22">
        <v>4477</v>
      </c>
      <c r="N79" s="22">
        <v>4588</v>
      </c>
      <c r="O79" s="22">
        <v>4665</v>
      </c>
      <c r="P79" s="22">
        <v>4787</v>
      </c>
      <c r="Q79" s="22">
        <v>4710</v>
      </c>
      <c r="R79" s="22">
        <v>4628</v>
      </c>
      <c r="S79" s="22">
        <v>4789</v>
      </c>
      <c r="T79" s="22">
        <v>5045</v>
      </c>
      <c r="U79" s="22">
        <v>4842</v>
      </c>
      <c r="V79" s="22">
        <v>4928</v>
      </c>
      <c r="W79" s="22">
        <v>4757</v>
      </c>
      <c r="X79" s="22">
        <v>4547</v>
      </c>
      <c r="Y79" s="22">
        <v>4584</v>
      </c>
      <c r="Z79" s="22">
        <v>4553</v>
      </c>
      <c r="AA79" s="22">
        <v>4516</v>
      </c>
      <c r="AB79" s="22">
        <v>4392</v>
      </c>
      <c r="AC79" s="22">
        <v>4211</v>
      </c>
      <c r="AD79" s="22">
        <v>4090</v>
      </c>
      <c r="AE79" s="22">
        <v>4367</v>
      </c>
      <c r="AF79" s="22">
        <v>4480</v>
      </c>
      <c r="AG79" s="22">
        <v>4768</v>
      </c>
      <c r="AH79" s="22">
        <v>4791</v>
      </c>
      <c r="AI79" s="22">
        <v>4766</v>
      </c>
      <c r="AJ79" s="22">
        <v>4452</v>
      </c>
      <c r="AK79" s="22">
        <v>4433</v>
      </c>
      <c r="AL79" s="22">
        <v>4152</v>
      </c>
      <c r="AM79" s="22">
        <v>4211</v>
      </c>
      <c r="AN79" s="22">
        <v>4002</v>
      </c>
      <c r="AO79" s="22">
        <v>3932</v>
      </c>
      <c r="AP79" s="22">
        <v>3731</v>
      </c>
      <c r="AQ79" s="22">
        <v>3682</v>
      </c>
      <c r="AR79" s="22">
        <v>3791</v>
      </c>
      <c r="AS79" s="22">
        <v>3799</v>
      </c>
      <c r="AT79" s="22">
        <v>3904</v>
      </c>
      <c r="AU79" s="22">
        <v>3912</v>
      </c>
      <c r="AV79" s="22">
        <v>3610</v>
      </c>
      <c r="AW79" s="22">
        <v>3487</v>
      </c>
      <c r="AX79" s="22">
        <v>3323</v>
      </c>
      <c r="AY79" s="22">
        <v>3252</v>
      </c>
      <c r="AZ79" s="22">
        <v>3129</v>
      </c>
      <c r="BA79" s="22">
        <v>3071</v>
      </c>
      <c r="BB79" s="22">
        <v>3073</v>
      </c>
      <c r="BC79" s="22">
        <v>3037</v>
      </c>
      <c r="BD79" s="22">
        <v>3062</v>
      </c>
      <c r="BE79" s="22">
        <v>3046</v>
      </c>
      <c r="BF79" s="22">
        <v>2993</v>
      </c>
      <c r="BG79" s="22">
        <v>3063</v>
      </c>
      <c r="BH79" s="22">
        <v>3084</v>
      </c>
      <c r="BI79" s="22">
        <v>3025</v>
      </c>
      <c r="BJ79" s="22">
        <v>2949.5</v>
      </c>
      <c r="BK79" s="22">
        <v>2906</v>
      </c>
      <c r="BL79" s="22">
        <v>2835</v>
      </c>
      <c r="BM79" s="1">
        <v>2849</v>
      </c>
      <c r="BN79" s="1">
        <v>2812</v>
      </c>
      <c r="BO79" s="1">
        <v>2730</v>
      </c>
      <c r="BP79" s="1">
        <v>2723.5</v>
      </c>
    </row>
    <row r="80" spans="1:68" ht="15.9" customHeight="1">
      <c r="A80" s="68" t="s">
        <v>155</v>
      </c>
      <c r="B80" s="44" t="s">
        <v>156</v>
      </c>
      <c r="C80" s="48" t="str">
        <f>_xll.RssMarket("1833","安値")</f>
        <v/>
      </c>
      <c r="D80" s="16" t="e">
        <f t="shared" si="2"/>
        <v>#VALUE!</v>
      </c>
      <c r="E80" s="22">
        <v>5530</v>
      </c>
      <c r="F80" s="22">
        <v>5610</v>
      </c>
      <c r="G80" s="22">
        <v>5590</v>
      </c>
      <c r="H80" s="22">
        <v>5560</v>
      </c>
      <c r="I80" s="22">
        <v>5640</v>
      </c>
      <c r="J80" s="22">
        <v>5670</v>
      </c>
      <c r="K80" s="22">
        <v>5680</v>
      </c>
      <c r="L80" s="22">
        <v>5770</v>
      </c>
      <c r="M80" s="22">
        <v>5690</v>
      </c>
      <c r="N80" s="22">
        <v>5670</v>
      </c>
      <c r="O80" s="22">
        <v>5650</v>
      </c>
      <c r="P80" s="22">
        <v>5610</v>
      </c>
      <c r="Q80" s="22">
        <v>5620</v>
      </c>
      <c r="R80" s="22">
        <v>5640</v>
      </c>
      <c r="S80" s="22">
        <v>5570</v>
      </c>
      <c r="T80" s="22">
        <v>5580</v>
      </c>
      <c r="U80" s="22">
        <v>5620</v>
      </c>
      <c r="V80" s="22">
        <v>5600</v>
      </c>
      <c r="W80" s="22">
        <v>5610</v>
      </c>
      <c r="X80" s="22">
        <v>5670</v>
      </c>
      <c r="Y80" s="22">
        <v>5740</v>
      </c>
      <c r="Z80" s="22">
        <v>5700</v>
      </c>
      <c r="AA80" s="22">
        <v>5680</v>
      </c>
      <c r="AB80" s="22">
        <v>5730</v>
      </c>
      <c r="AC80" s="22">
        <v>5600</v>
      </c>
      <c r="AD80" s="22">
        <v>5470</v>
      </c>
      <c r="AE80" s="22">
        <v>5500</v>
      </c>
      <c r="AF80" s="22">
        <v>5430</v>
      </c>
      <c r="AG80" s="22">
        <v>5530</v>
      </c>
      <c r="AH80" s="22">
        <v>5460</v>
      </c>
      <c r="AI80" s="22">
        <v>5500</v>
      </c>
      <c r="AJ80" s="22">
        <v>5420</v>
      </c>
      <c r="AK80" s="22">
        <v>5510</v>
      </c>
      <c r="AL80" s="22">
        <v>5490</v>
      </c>
      <c r="AM80" s="22">
        <v>5510</v>
      </c>
      <c r="AN80" s="22">
        <v>5490</v>
      </c>
      <c r="AO80" s="22">
        <v>5450</v>
      </c>
      <c r="AP80" s="22">
        <v>5560</v>
      </c>
      <c r="AQ80" s="22">
        <v>5520</v>
      </c>
      <c r="AR80" s="22">
        <v>5680</v>
      </c>
      <c r="AS80" s="22">
        <v>5550</v>
      </c>
      <c r="AT80" s="22">
        <v>5870</v>
      </c>
      <c r="AU80" s="22">
        <v>5980</v>
      </c>
      <c r="AV80" s="22">
        <v>6140</v>
      </c>
      <c r="AW80" s="22">
        <v>6200</v>
      </c>
      <c r="AX80" s="22">
        <v>6030</v>
      </c>
      <c r="AY80" s="22">
        <v>6010</v>
      </c>
      <c r="AZ80" s="22">
        <v>6160</v>
      </c>
      <c r="BA80" s="22">
        <v>6100</v>
      </c>
      <c r="BB80" s="22">
        <v>6020</v>
      </c>
      <c r="BC80" s="22">
        <v>6000</v>
      </c>
      <c r="BD80" s="22">
        <v>5880</v>
      </c>
      <c r="BE80" s="22">
        <v>5960</v>
      </c>
      <c r="BF80" s="22">
        <v>5900</v>
      </c>
      <c r="BG80" s="22">
        <v>6010</v>
      </c>
      <c r="BH80" s="22">
        <v>6100</v>
      </c>
      <c r="BI80" s="22">
        <v>6080</v>
      </c>
      <c r="BJ80" s="22">
        <v>6110</v>
      </c>
      <c r="BK80" s="22">
        <v>6190</v>
      </c>
      <c r="BL80" s="22">
        <v>6230</v>
      </c>
      <c r="BM80" s="1">
        <v>6230</v>
      </c>
      <c r="BN80" s="1">
        <v>6190</v>
      </c>
      <c r="BO80" s="1">
        <v>6280</v>
      </c>
      <c r="BP80" s="1">
        <v>6390</v>
      </c>
    </row>
    <row r="81" spans="1:68" ht="15.9" customHeight="1">
      <c r="A81" s="68" t="s">
        <v>157</v>
      </c>
      <c r="B81" s="44" t="s">
        <v>158</v>
      </c>
      <c r="C81" s="48" t="str">
        <f>_xll.RssMarket("6841","安値")</f>
        <v/>
      </c>
      <c r="D81" s="16" t="e">
        <f t="shared" si="2"/>
        <v>#VALUE!</v>
      </c>
      <c r="E81" s="22">
        <v>5326</v>
      </c>
      <c r="F81" s="22">
        <v>5519</v>
      </c>
      <c r="G81" s="22">
        <v>5387</v>
      </c>
      <c r="H81" s="22">
        <v>5535</v>
      </c>
      <c r="I81" s="22">
        <v>5440</v>
      </c>
      <c r="J81" s="22">
        <v>5401</v>
      </c>
      <c r="K81" s="22">
        <v>5431</v>
      </c>
      <c r="L81" s="22">
        <v>5637</v>
      </c>
      <c r="M81" s="22">
        <v>5806</v>
      </c>
      <c r="N81" s="22">
        <v>5530</v>
      </c>
      <c r="O81" s="22">
        <v>5449</v>
      </c>
      <c r="P81" s="22">
        <v>5646</v>
      </c>
      <c r="Q81" s="22">
        <v>5532</v>
      </c>
      <c r="R81" s="22">
        <v>5420</v>
      </c>
      <c r="S81" s="22">
        <v>5443</v>
      </c>
      <c r="T81" s="22">
        <v>5480</v>
      </c>
      <c r="U81" s="22">
        <v>5445</v>
      </c>
      <c r="V81" s="22">
        <v>5535</v>
      </c>
      <c r="W81" s="22">
        <v>5412</v>
      </c>
      <c r="X81" s="22">
        <v>5374</v>
      </c>
      <c r="Y81" s="22">
        <v>5380</v>
      </c>
      <c r="Z81" s="22">
        <v>5150</v>
      </c>
      <c r="AA81" s="22">
        <v>5131</v>
      </c>
      <c r="AB81" s="22">
        <v>5044</v>
      </c>
      <c r="AC81" s="22">
        <v>4848</v>
      </c>
      <c r="AD81" s="22">
        <v>4584</v>
      </c>
      <c r="AE81" s="22">
        <v>4735</v>
      </c>
      <c r="AF81" s="22">
        <v>4890</v>
      </c>
      <c r="AG81" s="22">
        <v>5169</v>
      </c>
      <c r="AH81" s="22">
        <v>5274</v>
      </c>
      <c r="AI81" s="22">
        <v>5195</v>
      </c>
      <c r="AJ81" s="22">
        <v>5053</v>
      </c>
      <c r="AK81" s="22">
        <v>4877</v>
      </c>
      <c r="AL81" s="22">
        <v>4832</v>
      </c>
      <c r="AM81" s="22">
        <v>4899</v>
      </c>
      <c r="AN81" s="22">
        <v>4895</v>
      </c>
      <c r="AO81" s="22">
        <v>4820</v>
      </c>
      <c r="AP81" s="22">
        <v>4669</v>
      </c>
      <c r="AQ81" s="22">
        <v>4607</v>
      </c>
      <c r="AR81" s="22">
        <v>4760</v>
      </c>
      <c r="AS81" s="22">
        <v>4820</v>
      </c>
      <c r="AT81" s="22">
        <v>4937</v>
      </c>
      <c r="AU81" s="22">
        <v>5093</v>
      </c>
      <c r="AV81" s="22">
        <v>5112</v>
      </c>
      <c r="AW81" s="22">
        <v>5116</v>
      </c>
      <c r="AX81" s="22">
        <v>5175</v>
      </c>
      <c r="AY81" s="22">
        <v>5058</v>
      </c>
      <c r="AZ81" s="22">
        <v>5528</v>
      </c>
      <c r="BA81" s="22">
        <v>5376</v>
      </c>
      <c r="BB81" s="22">
        <v>5376</v>
      </c>
      <c r="BC81" s="22">
        <v>5374</v>
      </c>
      <c r="BD81" s="22">
        <v>5247</v>
      </c>
      <c r="BE81" s="22">
        <v>5214</v>
      </c>
      <c r="BF81" s="22">
        <v>5218</v>
      </c>
      <c r="BG81" s="22">
        <v>5436</v>
      </c>
      <c r="BH81" s="22">
        <v>5509</v>
      </c>
      <c r="BI81" s="22">
        <v>5415</v>
      </c>
      <c r="BJ81" s="22">
        <v>5371</v>
      </c>
      <c r="BK81" s="22">
        <v>5399</v>
      </c>
      <c r="BL81" s="22">
        <v>5375</v>
      </c>
      <c r="BM81" s="1">
        <v>5597</v>
      </c>
      <c r="BN81" s="1">
        <v>5526</v>
      </c>
      <c r="BO81" s="1">
        <v>5609</v>
      </c>
      <c r="BP81" s="1">
        <v>5453</v>
      </c>
    </row>
    <row r="82" spans="1:68" ht="15.9" customHeight="1">
      <c r="A82" s="68" t="s">
        <v>159</v>
      </c>
      <c r="B82" s="44" t="s">
        <v>160</v>
      </c>
      <c r="C82" s="48" t="str">
        <f>_xll.RssMarket("7167","安値")</f>
        <v/>
      </c>
      <c r="D82" s="16" t="e">
        <f t="shared" si="2"/>
        <v>#VALUE!</v>
      </c>
      <c r="E82" s="22">
        <v>1408</v>
      </c>
      <c r="F82" s="22">
        <v>1507</v>
      </c>
      <c r="G82" s="22">
        <v>1496</v>
      </c>
      <c r="H82" s="22">
        <v>1527</v>
      </c>
      <c r="I82" s="22">
        <v>1536.5</v>
      </c>
      <c r="J82" s="22">
        <v>1536</v>
      </c>
      <c r="K82" s="22">
        <v>1529.5</v>
      </c>
      <c r="L82" s="22">
        <v>1527</v>
      </c>
      <c r="M82" s="22">
        <v>1487.5</v>
      </c>
      <c r="N82" s="22">
        <v>1483</v>
      </c>
      <c r="O82" s="22">
        <v>1447.5</v>
      </c>
      <c r="P82" s="22">
        <v>1413</v>
      </c>
      <c r="Q82" s="22">
        <v>1412</v>
      </c>
      <c r="R82" s="22">
        <v>1395.5</v>
      </c>
      <c r="S82" s="22">
        <v>1389</v>
      </c>
      <c r="T82" s="22">
        <v>1380.5</v>
      </c>
      <c r="U82" s="22">
        <v>1375</v>
      </c>
      <c r="V82" s="22">
        <v>1410</v>
      </c>
      <c r="W82" s="22">
        <v>1388.5</v>
      </c>
      <c r="X82" s="22">
        <v>1403.5</v>
      </c>
      <c r="Y82" s="22">
        <v>1407.5</v>
      </c>
      <c r="Z82" s="22">
        <v>1388.5</v>
      </c>
      <c r="AA82" s="22">
        <v>1381</v>
      </c>
      <c r="AB82" s="22">
        <v>1413.5</v>
      </c>
      <c r="AC82" s="22">
        <v>1386</v>
      </c>
      <c r="AD82" s="22">
        <v>1348.5</v>
      </c>
      <c r="AE82" s="22">
        <v>1368.5</v>
      </c>
      <c r="AF82" s="22">
        <v>1325.5</v>
      </c>
      <c r="AG82" s="22">
        <v>1353.5</v>
      </c>
      <c r="AH82" s="22">
        <v>1285.5</v>
      </c>
      <c r="AI82" s="22">
        <v>1309</v>
      </c>
      <c r="AJ82" s="22">
        <v>1255</v>
      </c>
      <c r="AK82" s="22">
        <v>1328</v>
      </c>
      <c r="AL82" s="22">
        <v>1338.5</v>
      </c>
      <c r="AM82" s="22">
        <v>1354</v>
      </c>
      <c r="AN82" s="22">
        <v>1378.5</v>
      </c>
      <c r="AO82" s="22">
        <v>1389.5</v>
      </c>
      <c r="AP82" s="22">
        <v>1405.5</v>
      </c>
      <c r="AQ82" s="22">
        <v>1367</v>
      </c>
      <c r="AR82" s="22">
        <v>1357.5</v>
      </c>
      <c r="AS82" s="22">
        <v>1350.5</v>
      </c>
      <c r="AT82" s="22">
        <v>1360.5</v>
      </c>
      <c r="AU82" s="22">
        <v>1353</v>
      </c>
      <c r="AV82" s="22">
        <v>1336.5</v>
      </c>
      <c r="AW82" s="22">
        <v>1332.5</v>
      </c>
      <c r="AX82" s="22">
        <v>1300</v>
      </c>
      <c r="AY82" s="22">
        <v>1279</v>
      </c>
      <c r="AZ82" s="22">
        <v>1320</v>
      </c>
      <c r="BA82" s="22">
        <v>1277</v>
      </c>
      <c r="BB82" s="22">
        <v>1269</v>
      </c>
      <c r="BC82" s="22">
        <v>1242</v>
      </c>
      <c r="BD82" s="22">
        <v>1192</v>
      </c>
      <c r="BE82" s="22">
        <v>1210</v>
      </c>
      <c r="BF82" s="22">
        <v>1215.5</v>
      </c>
      <c r="BG82" s="22">
        <v>1237.5</v>
      </c>
      <c r="BH82" s="22">
        <v>1281.5</v>
      </c>
      <c r="BI82" s="22">
        <v>1317</v>
      </c>
      <c r="BJ82" s="22">
        <v>1339</v>
      </c>
      <c r="BK82" s="22">
        <v>1355</v>
      </c>
      <c r="BL82" s="22">
        <v>1350.5</v>
      </c>
      <c r="BM82" s="1">
        <v>1333.5</v>
      </c>
      <c r="BN82" s="1">
        <v>1331.5</v>
      </c>
      <c r="BO82" s="1">
        <v>1352</v>
      </c>
      <c r="BP82" s="1">
        <v>1337.5</v>
      </c>
    </row>
    <row r="83" spans="1:68" ht="15.9" customHeight="1">
      <c r="A83" s="68" t="s">
        <v>161</v>
      </c>
      <c r="B83" s="44" t="s">
        <v>162</v>
      </c>
      <c r="C83" s="48" t="str">
        <f>_xll.RssMarket("1925","安値")</f>
        <v/>
      </c>
      <c r="D83" s="16" t="e">
        <f t="shared" si="2"/>
        <v>#VALUE!</v>
      </c>
      <c r="E83" s="22">
        <v>4582</v>
      </c>
      <c r="F83" s="22">
        <v>4577</v>
      </c>
      <c r="G83" s="22">
        <v>4530</v>
      </c>
      <c r="H83" s="22">
        <v>4481</v>
      </c>
      <c r="I83" s="22">
        <v>4493</v>
      </c>
      <c r="J83" s="22">
        <v>4487</v>
      </c>
      <c r="K83" s="22">
        <v>4545</v>
      </c>
      <c r="L83" s="22">
        <v>4546</v>
      </c>
      <c r="M83" s="22">
        <v>4491</v>
      </c>
      <c r="N83" s="22">
        <v>4480</v>
      </c>
      <c r="O83" s="22">
        <v>4400</v>
      </c>
      <c r="P83" s="22">
        <v>4366</v>
      </c>
      <c r="Q83" s="22">
        <v>4417</v>
      </c>
      <c r="R83" s="22">
        <v>4407</v>
      </c>
      <c r="S83" s="22">
        <v>4340</v>
      </c>
      <c r="T83" s="22">
        <v>4287</v>
      </c>
      <c r="U83" s="22">
        <v>4275</v>
      </c>
      <c r="V83" s="22">
        <v>4226</v>
      </c>
      <c r="W83" s="22">
        <v>4319</v>
      </c>
      <c r="X83" s="22">
        <v>4358</v>
      </c>
      <c r="Y83" s="22">
        <v>4304</v>
      </c>
      <c r="Z83" s="22">
        <v>4349</v>
      </c>
      <c r="AA83" s="22">
        <v>4285</v>
      </c>
      <c r="AB83" s="22">
        <v>4272</v>
      </c>
      <c r="AC83" s="22">
        <v>4297</v>
      </c>
      <c r="AD83" s="22">
        <v>4180</v>
      </c>
      <c r="AE83" s="22">
        <v>4191</v>
      </c>
      <c r="AF83" s="22">
        <v>4208</v>
      </c>
      <c r="AG83" s="22">
        <v>4164</v>
      </c>
      <c r="AH83" s="22">
        <v>4081</v>
      </c>
      <c r="AI83" s="22">
        <v>4334</v>
      </c>
      <c r="AJ83" s="22">
        <v>4374</v>
      </c>
      <c r="AK83" s="22">
        <v>4394</v>
      </c>
      <c r="AL83" s="22">
        <v>4405</v>
      </c>
      <c r="AM83" s="22">
        <v>4407</v>
      </c>
      <c r="AN83" s="22">
        <v>4453</v>
      </c>
      <c r="AO83" s="22">
        <v>4480</v>
      </c>
      <c r="AP83" s="22">
        <v>4501</v>
      </c>
      <c r="AQ83" s="22">
        <v>4462</v>
      </c>
      <c r="AR83" s="22">
        <v>4509</v>
      </c>
      <c r="AS83" s="22">
        <v>4475</v>
      </c>
      <c r="AT83" s="22">
        <v>4754</v>
      </c>
      <c r="AU83" s="22">
        <v>4749</v>
      </c>
      <c r="AV83" s="22">
        <v>4744</v>
      </c>
      <c r="AW83" s="22">
        <v>4747</v>
      </c>
      <c r="AX83" s="22">
        <v>4746</v>
      </c>
      <c r="AY83" s="22">
        <v>4730</v>
      </c>
      <c r="AZ83" s="22">
        <v>4783</v>
      </c>
      <c r="BA83" s="22">
        <v>4740</v>
      </c>
      <c r="BB83" s="22">
        <v>4777</v>
      </c>
      <c r="BC83" s="22">
        <v>4811</v>
      </c>
      <c r="BD83" s="22">
        <v>4818</v>
      </c>
      <c r="BE83" s="22">
        <v>4896</v>
      </c>
      <c r="BF83" s="22">
        <v>4856</v>
      </c>
      <c r="BG83" s="22">
        <v>4852</v>
      </c>
      <c r="BH83" s="22">
        <v>4905</v>
      </c>
      <c r="BI83" s="22">
        <v>4880</v>
      </c>
      <c r="BJ83" s="22">
        <v>4876</v>
      </c>
      <c r="BK83" s="22">
        <v>4904</v>
      </c>
      <c r="BL83" s="22">
        <v>4973</v>
      </c>
      <c r="BM83" s="1">
        <v>4988</v>
      </c>
      <c r="BN83" s="1">
        <v>5009</v>
      </c>
      <c r="BO83" s="1">
        <v>4963</v>
      </c>
      <c r="BP83" s="1">
        <v>4978</v>
      </c>
    </row>
    <row r="84" spans="1:68" ht="15.9" customHeight="1">
      <c r="A84" s="68" t="s">
        <v>163</v>
      </c>
      <c r="B84" s="44" t="s">
        <v>164</v>
      </c>
      <c r="C84" s="48" t="str">
        <f>_xll.RssMarket("5411","安値")</f>
        <v/>
      </c>
      <c r="D84" s="16" t="e">
        <f t="shared" si="2"/>
        <v>#VALUE!</v>
      </c>
      <c r="E84" s="22">
        <v>1684.5</v>
      </c>
      <c r="F84" s="22">
        <v>1663.5</v>
      </c>
      <c r="G84" s="22">
        <v>1633</v>
      </c>
      <c r="H84" s="22">
        <v>1616.5</v>
      </c>
      <c r="I84" s="22">
        <v>1609</v>
      </c>
      <c r="J84" s="22">
        <v>1615.5</v>
      </c>
      <c r="K84" s="22">
        <v>1638.5</v>
      </c>
      <c r="L84" s="22">
        <v>1643</v>
      </c>
      <c r="M84" s="22">
        <v>1611.5</v>
      </c>
      <c r="N84" s="22">
        <v>1585</v>
      </c>
      <c r="O84" s="22">
        <v>1554.5</v>
      </c>
      <c r="P84" s="22">
        <v>1546</v>
      </c>
      <c r="Q84" s="22">
        <v>1544.5</v>
      </c>
      <c r="R84" s="22">
        <v>1547</v>
      </c>
      <c r="S84" s="22">
        <v>1535</v>
      </c>
      <c r="T84" s="22">
        <v>1546</v>
      </c>
      <c r="U84" s="22">
        <v>1554.5</v>
      </c>
      <c r="V84" s="22">
        <v>1561.5</v>
      </c>
      <c r="W84" s="22">
        <v>1592</v>
      </c>
      <c r="X84" s="22">
        <v>1613.5</v>
      </c>
      <c r="Y84" s="22">
        <v>1622</v>
      </c>
      <c r="Z84" s="22">
        <v>1630.5</v>
      </c>
      <c r="AA84" s="22">
        <v>1641.5</v>
      </c>
      <c r="AB84" s="22">
        <v>1624.5</v>
      </c>
      <c r="AC84" s="22">
        <v>1590</v>
      </c>
      <c r="AD84" s="22">
        <v>1556</v>
      </c>
      <c r="AE84" s="22">
        <v>1557.5</v>
      </c>
      <c r="AF84" s="22">
        <v>1573.5</v>
      </c>
      <c r="AG84" s="22">
        <v>1599</v>
      </c>
      <c r="AH84" s="22">
        <v>1587</v>
      </c>
      <c r="AI84" s="22">
        <v>1591.5</v>
      </c>
      <c r="AJ84" s="22">
        <v>1596</v>
      </c>
      <c r="AK84" s="22">
        <v>1683</v>
      </c>
      <c r="AL84" s="22">
        <v>1663.5</v>
      </c>
      <c r="AM84" s="22">
        <v>1650.5</v>
      </c>
      <c r="AN84" s="22">
        <v>1626</v>
      </c>
      <c r="AO84" s="22">
        <v>1634.5</v>
      </c>
      <c r="AP84" s="22">
        <v>1645.5</v>
      </c>
      <c r="AQ84" s="22">
        <v>1630.5</v>
      </c>
      <c r="AR84" s="22">
        <v>1658</v>
      </c>
      <c r="AS84" s="22">
        <v>1649</v>
      </c>
      <c r="AT84" s="22">
        <v>1664</v>
      </c>
      <c r="AU84" s="22">
        <v>1688.5</v>
      </c>
      <c r="AV84" s="22">
        <v>1694.5</v>
      </c>
      <c r="AW84" s="22">
        <v>1670.5</v>
      </c>
      <c r="AX84" s="22">
        <v>1676</v>
      </c>
      <c r="AY84" s="22">
        <v>1695</v>
      </c>
      <c r="AZ84" s="22">
        <v>1712.5</v>
      </c>
      <c r="BA84" s="22">
        <v>1701</v>
      </c>
      <c r="BB84" s="22">
        <v>1685.5</v>
      </c>
      <c r="BC84" s="22">
        <v>1675</v>
      </c>
      <c r="BD84" s="22">
        <v>1667</v>
      </c>
      <c r="BE84" s="22">
        <v>1679.5</v>
      </c>
      <c r="BF84" s="22">
        <v>1691</v>
      </c>
      <c r="BG84" s="22">
        <v>1715</v>
      </c>
      <c r="BH84" s="22">
        <v>1747.5</v>
      </c>
      <c r="BI84" s="22">
        <v>1771.5</v>
      </c>
      <c r="BJ84" s="22">
        <v>1795.5</v>
      </c>
      <c r="BK84" s="22">
        <v>1821</v>
      </c>
      <c r="BL84" s="22">
        <v>1818</v>
      </c>
      <c r="BM84" s="1">
        <v>1815.5</v>
      </c>
      <c r="BN84" s="1">
        <v>1835</v>
      </c>
      <c r="BO84" s="1">
        <v>1858.5</v>
      </c>
      <c r="BP84" s="1">
        <v>1862.5</v>
      </c>
    </row>
    <row r="85" spans="1:68" ht="15.9" customHeight="1">
      <c r="A85" s="68" t="s">
        <v>165</v>
      </c>
      <c r="B85" s="44" t="s">
        <v>166</v>
      </c>
      <c r="C85" s="48" t="str">
        <f>_xll.RssMarket("7182","安値")</f>
        <v/>
      </c>
      <c r="D85" s="16" t="e">
        <f t="shared" si="2"/>
        <v>#VALUE!</v>
      </c>
      <c r="E85" s="22">
        <v>3096</v>
      </c>
      <c r="F85" s="22">
        <v>3288</v>
      </c>
      <c r="G85" s="22">
        <v>3251</v>
      </c>
      <c r="H85" s="22">
        <v>3281</v>
      </c>
      <c r="I85" s="22">
        <v>3254</v>
      </c>
      <c r="J85" s="22">
        <v>3270</v>
      </c>
      <c r="K85" s="22">
        <v>3272</v>
      </c>
      <c r="L85" s="22">
        <v>3303</v>
      </c>
      <c r="M85" s="22">
        <v>3194</v>
      </c>
      <c r="N85" s="22">
        <v>3156</v>
      </c>
      <c r="O85" s="22">
        <v>3114</v>
      </c>
      <c r="P85" s="22">
        <v>3074</v>
      </c>
      <c r="Q85" s="22">
        <v>3063</v>
      </c>
      <c r="R85" s="22">
        <v>3031</v>
      </c>
      <c r="S85" s="22">
        <v>3046</v>
      </c>
      <c r="T85" s="22">
        <v>3042</v>
      </c>
      <c r="U85" s="22">
        <v>3072</v>
      </c>
      <c r="V85" s="22">
        <v>3210</v>
      </c>
      <c r="W85" s="22">
        <v>3183</v>
      </c>
      <c r="X85" s="22">
        <v>3186</v>
      </c>
      <c r="Y85" s="22">
        <v>3215</v>
      </c>
      <c r="Z85" s="22">
        <v>3125</v>
      </c>
      <c r="AA85" s="22">
        <v>3110</v>
      </c>
      <c r="AB85" s="22">
        <v>3198</v>
      </c>
      <c r="AC85" s="22">
        <v>3152</v>
      </c>
      <c r="AD85" s="22">
        <v>3060</v>
      </c>
      <c r="AE85" s="22">
        <v>3164</v>
      </c>
      <c r="AF85" s="22">
        <v>3049</v>
      </c>
      <c r="AG85" s="22">
        <v>3145</v>
      </c>
      <c r="AH85" s="22">
        <v>3104</v>
      </c>
      <c r="AI85" s="22">
        <v>3108</v>
      </c>
      <c r="AJ85" s="22">
        <v>2952.5</v>
      </c>
      <c r="AK85" s="22">
        <v>2968</v>
      </c>
      <c r="AL85" s="22">
        <v>2901</v>
      </c>
      <c r="AM85" s="22">
        <v>2968</v>
      </c>
      <c r="AN85" s="22">
        <v>3061</v>
      </c>
      <c r="AO85" s="22">
        <v>3104</v>
      </c>
      <c r="AP85" s="22">
        <v>3140</v>
      </c>
      <c r="AQ85" s="22">
        <v>3021</v>
      </c>
      <c r="AR85" s="22">
        <v>2991.5</v>
      </c>
      <c r="AS85" s="22">
        <v>2859</v>
      </c>
      <c r="AT85" s="22">
        <v>2766.5</v>
      </c>
      <c r="AU85" s="22">
        <v>2816</v>
      </c>
      <c r="AV85" s="22">
        <v>2812.5</v>
      </c>
      <c r="AW85" s="22">
        <v>2802</v>
      </c>
      <c r="AX85" s="22">
        <v>2735</v>
      </c>
      <c r="AY85" s="22">
        <v>2700.5</v>
      </c>
      <c r="AZ85" s="22">
        <v>2730.5</v>
      </c>
      <c r="BA85" s="22">
        <v>2620</v>
      </c>
      <c r="BB85" s="22">
        <v>2613.5</v>
      </c>
      <c r="BC85" s="22">
        <v>2546.5</v>
      </c>
      <c r="BD85" s="22">
        <v>2461.5</v>
      </c>
      <c r="BE85" s="22">
        <v>2460.5</v>
      </c>
      <c r="BF85" s="22">
        <v>2513</v>
      </c>
      <c r="BG85" s="22">
        <v>2538.5</v>
      </c>
      <c r="BH85" s="22">
        <v>2600</v>
      </c>
      <c r="BI85" s="22">
        <v>2697.5</v>
      </c>
      <c r="BJ85" s="22">
        <v>2731.5</v>
      </c>
      <c r="BK85" s="22">
        <v>2772.5</v>
      </c>
      <c r="BL85" s="22">
        <v>2753.5</v>
      </c>
      <c r="BM85" s="1">
        <v>2701</v>
      </c>
      <c r="BN85" s="1">
        <v>2685.5</v>
      </c>
      <c r="BO85" s="1">
        <v>2698.5</v>
      </c>
      <c r="BP85" s="1">
        <v>2715</v>
      </c>
    </row>
    <row r="86" spans="1:68" ht="15.9" customHeight="1">
      <c r="A86" s="68" t="s">
        <v>167</v>
      </c>
      <c r="B86" s="44" t="s">
        <v>168</v>
      </c>
      <c r="C86" s="48" t="str">
        <f>_xll.RssMarket("1963","安値")</f>
        <v/>
      </c>
      <c r="D86" s="16" t="e">
        <f t="shared" si="2"/>
        <v>#VALUE!</v>
      </c>
      <c r="E86" s="22">
        <v>2149</v>
      </c>
      <c r="F86" s="22">
        <v>2295</v>
      </c>
      <c r="G86" s="22">
        <v>2261.5</v>
      </c>
      <c r="H86" s="22">
        <v>2296.5</v>
      </c>
      <c r="I86" s="22">
        <v>2315.5</v>
      </c>
      <c r="J86" s="22">
        <v>2313.5</v>
      </c>
      <c r="K86" s="22">
        <v>2342</v>
      </c>
      <c r="L86" s="22">
        <v>2474</v>
      </c>
      <c r="M86" s="22">
        <v>2519</v>
      </c>
      <c r="N86" s="22">
        <v>2442.5</v>
      </c>
      <c r="O86" s="22">
        <v>2470.5</v>
      </c>
      <c r="P86" s="22">
        <v>2468</v>
      </c>
      <c r="Q86" s="22">
        <v>2485</v>
      </c>
      <c r="R86" s="22">
        <v>2524</v>
      </c>
      <c r="S86" s="22">
        <v>2494</v>
      </c>
      <c r="T86" s="22">
        <v>2538.5</v>
      </c>
      <c r="U86" s="22">
        <v>2530</v>
      </c>
      <c r="V86" s="22">
        <v>2609</v>
      </c>
      <c r="W86" s="22">
        <v>2597.5</v>
      </c>
      <c r="X86" s="22">
        <v>2679</v>
      </c>
      <c r="Y86" s="22">
        <v>2764</v>
      </c>
      <c r="Z86" s="22">
        <v>2673.5</v>
      </c>
      <c r="AA86" s="22">
        <v>2622.5</v>
      </c>
      <c r="AB86" s="22">
        <v>2659.5</v>
      </c>
      <c r="AC86" s="22">
        <v>2512</v>
      </c>
      <c r="AD86" s="22">
        <v>2416.5</v>
      </c>
      <c r="AE86" s="22">
        <v>2495</v>
      </c>
      <c r="AF86" s="22">
        <v>2525.5</v>
      </c>
      <c r="AG86" s="22">
        <v>2589</v>
      </c>
      <c r="AH86" s="22">
        <v>2580.5</v>
      </c>
      <c r="AI86" s="22">
        <v>2615</v>
      </c>
      <c r="AJ86" s="22">
        <v>2560</v>
      </c>
      <c r="AK86" s="22">
        <v>2636.5</v>
      </c>
      <c r="AL86" s="22">
        <v>2623</v>
      </c>
      <c r="AM86" s="22">
        <v>2712</v>
      </c>
      <c r="AN86" s="22">
        <v>2767</v>
      </c>
      <c r="AO86" s="22">
        <v>2683</v>
      </c>
      <c r="AP86" s="22">
        <v>2613.5</v>
      </c>
      <c r="AQ86" s="22">
        <v>2597.5</v>
      </c>
      <c r="AR86" s="22">
        <v>2591</v>
      </c>
      <c r="AS86" s="22">
        <v>2512.5</v>
      </c>
      <c r="AT86" s="22">
        <v>2614</v>
      </c>
      <c r="AU86" s="22">
        <v>2380</v>
      </c>
      <c r="AV86" s="22">
        <v>2343.5</v>
      </c>
      <c r="AW86" s="22">
        <v>2406</v>
      </c>
      <c r="AX86" s="22">
        <v>2392.5</v>
      </c>
      <c r="AY86" s="22">
        <v>2436</v>
      </c>
      <c r="AZ86" s="22">
        <v>2399</v>
      </c>
      <c r="BA86" s="22">
        <v>2342</v>
      </c>
      <c r="BB86" s="22">
        <v>2363</v>
      </c>
      <c r="BC86" s="22">
        <v>2368</v>
      </c>
      <c r="BD86" s="22">
        <v>2276</v>
      </c>
      <c r="BE86" s="22">
        <v>2331.5</v>
      </c>
      <c r="BF86" s="22">
        <v>2264</v>
      </c>
      <c r="BG86" s="22">
        <v>2313</v>
      </c>
      <c r="BH86" s="22">
        <v>2376.5</v>
      </c>
      <c r="BI86" s="22">
        <v>2423.5</v>
      </c>
      <c r="BJ86" s="22">
        <v>2506</v>
      </c>
      <c r="BK86" s="22">
        <v>2497</v>
      </c>
      <c r="BL86" s="22">
        <v>2569</v>
      </c>
      <c r="BM86" s="1">
        <v>2604.5</v>
      </c>
      <c r="BN86" s="1">
        <v>2688.5</v>
      </c>
      <c r="BO86" s="1">
        <v>2758</v>
      </c>
      <c r="BP86" s="1">
        <v>2674</v>
      </c>
    </row>
    <row r="87" spans="1:68" ht="15.9" customHeight="1">
      <c r="A87" s="68" t="s">
        <v>169</v>
      </c>
      <c r="B87" s="44" t="s">
        <v>170</v>
      </c>
      <c r="C87" s="48" t="str">
        <f>_xll.RssMarket("2914","安値")</f>
        <v/>
      </c>
      <c r="D87" s="16" t="e">
        <f t="shared" si="2"/>
        <v>#VALUE!</v>
      </c>
      <c r="E87" s="22">
        <v>6240</v>
      </c>
      <c r="F87" s="22">
        <v>6085</v>
      </c>
      <c r="G87" s="22">
        <v>6115</v>
      </c>
      <c r="H87" s="22">
        <v>6049</v>
      </c>
      <c r="I87" s="22">
        <v>6105</v>
      </c>
      <c r="J87" s="22">
        <v>6124</v>
      </c>
      <c r="K87" s="22">
        <v>6166</v>
      </c>
      <c r="L87" s="22">
        <v>6105</v>
      </c>
      <c r="M87" s="22">
        <v>6063</v>
      </c>
      <c r="N87" s="22">
        <v>6046</v>
      </c>
      <c r="O87" s="22">
        <v>5996</v>
      </c>
      <c r="P87" s="22">
        <v>5964</v>
      </c>
      <c r="Q87" s="22">
        <v>5968</v>
      </c>
      <c r="R87" s="22">
        <v>5941</v>
      </c>
      <c r="S87" s="22">
        <v>5946</v>
      </c>
      <c r="T87" s="22">
        <v>5923</v>
      </c>
      <c r="U87" s="22">
        <v>5918</v>
      </c>
      <c r="V87" s="22">
        <v>5893</v>
      </c>
      <c r="W87" s="22">
        <v>5941</v>
      </c>
      <c r="X87" s="22">
        <v>6021</v>
      </c>
      <c r="Y87" s="22">
        <v>6046</v>
      </c>
      <c r="Z87" s="22">
        <v>6071</v>
      </c>
      <c r="AA87" s="22">
        <v>6040</v>
      </c>
      <c r="AB87" s="22">
        <v>6063</v>
      </c>
      <c r="AC87" s="22">
        <v>6177</v>
      </c>
      <c r="AD87" s="22">
        <v>6222</v>
      </c>
      <c r="AE87" s="22">
        <v>6101</v>
      </c>
      <c r="AF87" s="22">
        <v>6002</v>
      </c>
      <c r="AG87" s="22">
        <v>5971</v>
      </c>
      <c r="AH87" s="22">
        <v>6025</v>
      </c>
      <c r="AI87" s="22">
        <v>6083</v>
      </c>
      <c r="AJ87" s="22">
        <v>6022</v>
      </c>
      <c r="AK87" s="22">
        <v>6088</v>
      </c>
      <c r="AL87" s="22">
        <v>6090</v>
      </c>
      <c r="AM87" s="22">
        <v>6062</v>
      </c>
      <c r="AN87" s="22">
        <v>6060</v>
      </c>
      <c r="AO87" s="22">
        <v>6126</v>
      </c>
      <c r="AP87" s="22">
        <v>6233</v>
      </c>
      <c r="AQ87" s="22">
        <v>6308</v>
      </c>
      <c r="AR87" s="22">
        <v>6325</v>
      </c>
      <c r="AS87" s="22">
        <v>6313</v>
      </c>
      <c r="AT87" s="22">
        <v>6236</v>
      </c>
      <c r="AU87" s="22">
        <v>6172</v>
      </c>
      <c r="AV87" s="22">
        <v>6056</v>
      </c>
      <c r="AW87" s="22">
        <v>6044</v>
      </c>
      <c r="AX87" s="22">
        <v>5990</v>
      </c>
      <c r="AY87" s="22">
        <v>5769</v>
      </c>
      <c r="AZ87" s="22">
        <v>5831</v>
      </c>
      <c r="BA87" s="22">
        <v>5795</v>
      </c>
      <c r="BB87" s="22">
        <v>5751</v>
      </c>
      <c r="BC87" s="22">
        <v>5696</v>
      </c>
      <c r="BD87" s="22">
        <v>5735</v>
      </c>
      <c r="BE87" s="22">
        <v>5822</v>
      </c>
      <c r="BF87" s="22">
        <v>5695</v>
      </c>
      <c r="BG87" s="22">
        <v>5646</v>
      </c>
      <c r="BH87" s="22">
        <v>5757</v>
      </c>
      <c r="BI87" s="22">
        <v>5790</v>
      </c>
      <c r="BJ87" s="22">
        <v>5800</v>
      </c>
      <c r="BK87" s="22">
        <v>5826</v>
      </c>
      <c r="BL87" s="22">
        <v>5867</v>
      </c>
      <c r="BM87" s="1">
        <v>5874</v>
      </c>
      <c r="BN87" s="1">
        <v>5935</v>
      </c>
      <c r="BO87" s="1">
        <v>5971</v>
      </c>
      <c r="BP87" s="1">
        <v>6020</v>
      </c>
    </row>
    <row r="88" spans="1:68" ht="15.9" customHeight="1">
      <c r="A88" s="68" t="s">
        <v>171</v>
      </c>
      <c r="B88" s="44" t="s">
        <v>172</v>
      </c>
      <c r="C88" s="48" t="str">
        <f>_xll.RssMarket("3003","安値")</f>
        <v/>
      </c>
      <c r="D88" s="16" t="e">
        <f t="shared" si="2"/>
        <v>#VALUE!</v>
      </c>
      <c r="E88" s="22">
        <v>1783</v>
      </c>
      <c r="F88" s="22">
        <v>1781.5</v>
      </c>
      <c r="G88" s="22">
        <v>1753</v>
      </c>
      <c r="H88" s="22">
        <v>1755.5</v>
      </c>
      <c r="I88" s="22">
        <v>1744</v>
      </c>
      <c r="J88" s="22">
        <v>1746.5</v>
      </c>
      <c r="K88" s="22">
        <v>1779.5</v>
      </c>
      <c r="L88" s="22">
        <v>1755</v>
      </c>
      <c r="M88" s="22">
        <v>1737.5</v>
      </c>
      <c r="N88" s="22">
        <v>1726.5</v>
      </c>
      <c r="O88" s="22">
        <v>1688</v>
      </c>
      <c r="P88" s="22">
        <v>1657.5</v>
      </c>
      <c r="Q88" s="22">
        <v>1694.5</v>
      </c>
      <c r="R88" s="22">
        <v>1692</v>
      </c>
      <c r="S88" s="22">
        <v>1699.5</v>
      </c>
      <c r="T88" s="22">
        <v>1690.5</v>
      </c>
      <c r="U88" s="22">
        <v>1687.5</v>
      </c>
      <c r="V88" s="22">
        <v>1670</v>
      </c>
      <c r="W88" s="22">
        <v>1672.5</v>
      </c>
      <c r="X88" s="22">
        <v>1689</v>
      </c>
      <c r="Y88" s="22">
        <v>1695</v>
      </c>
      <c r="Z88" s="22">
        <v>1702.5</v>
      </c>
      <c r="AA88" s="22">
        <v>1698.5</v>
      </c>
      <c r="AB88" s="22">
        <v>1733</v>
      </c>
      <c r="AC88" s="22">
        <v>1711</v>
      </c>
      <c r="AD88" s="22">
        <v>1715.5</v>
      </c>
      <c r="AE88" s="22">
        <v>1689.5</v>
      </c>
      <c r="AF88" s="22">
        <v>1654</v>
      </c>
      <c r="AG88" s="22">
        <v>1647.5</v>
      </c>
      <c r="AH88" s="22">
        <v>1630</v>
      </c>
      <c r="AI88" s="22">
        <v>1643</v>
      </c>
      <c r="AJ88" s="22">
        <v>1620.5</v>
      </c>
      <c r="AK88" s="22">
        <v>1671</v>
      </c>
      <c r="AL88" s="22">
        <v>1655</v>
      </c>
      <c r="AM88" s="22">
        <v>1662.5</v>
      </c>
      <c r="AN88" s="22">
        <v>1653</v>
      </c>
      <c r="AO88" s="22">
        <v>1641</v>
      </c>
      <c r="AP88" s="22">
        <v>1732.5</v>
      </c>
      <c r="AQ88" s="22">
        <v>1716</v>
      </c>
      <c r="AR88" s="22">
        <v>1730</v>
      </c>
      <c r="AS88" s="22">
        <v>1712.5</v>
      </c>
      <c r="AT88" s="22">
        <v>1742</v>
      </c>
      <c r="AU88" s="22">
        <v>1744</v>
      </c>
      <c r="AV88" s="22">
        <v>1795</v>
      </c>
      <c r="AW88" s="22">
        <v>1790</v>
      </c>
      <c r="AX88" s="22">
        <v>1782.5</v>
      </c>
      <c r="AY88" s="22">
        <v>1785</v>
      </c>
      <c r="AZ88" s="22">
        <v>1788</v>
      </c>
      <c r="BA88" s="22">
        <v>1763</v>
      </c>
      <c r="BB88" s="22">
        <v>1762.5</v>
      </c>
      <c r="BC88" s="22">
        <v>1777</v>
      </c>
      <c r="BD88" s="22">
        <v>1742.5</v>
      </c>
      <c r="BE88" s="22">
        <v>1810.5</v>
      </c>
      <c r="BF88" s="22">
        <v>1810.5</v>
      </c>
      <c r="BG88" s="22">
        <v>1818</v>
      </c>
      <c r="BH88" s="22">
        <v>1862.5</v>
      </c>
      <c r="BI88" s="22">
        <v>1890.5</v>
      </c>
      <c r="BJ88" s="22">
        <v>1883.5</v>
      </c>
      <c r="BK88" s="22">
        <v>1888</v>
      </c>
      <c r="BL88" s="22">
        <v>1891</v>
      </c>
      <c r="BM88" s="1">
        <v>1882</v>
      </c>
      <c r="BN88" s="1">
        <v>1869</v>
      </c>
      <c r="BO88" s="1">
        <v>1877</v>
      </c>
      <c r="BP88" s="1">
        <v>1895.5</v>
      </c>
    </row>
    <row r="89" spans="1:68" ht="15.9" customHeight="1">
      <c r="A89" s="68" t="s">
        <v>173</v>
      </c>
      <c r="B89" s="44" t="s">
        <v>174</v>
      </c>
      <c r="C89" s="48" t="str">
        <f>_xll.RssMarket("5892","安値")</f>
        <v/>
      </c>
      <c r="D89" s="16" t="e">
        <f t="shared" si="2"/>
        <v>#VALUE!</v>
      </c>
      <c r="E89" s="22">
        <v>1974</v>
      </c>
      <c r="F89" s="22">
        <v>2046</v>
      </c>
      <c r="G89" s="22">
        <v>2010</v>
      </c>
      <c r="H89" s="22">
        <v>2033</v>
      </c>
      <c r="I89" s="22">
        <v>2038</v>
      </c>
      <c r="J89" s="22">
        <v>2031</v>
      </c>
      <c r="K89" s="22">
        <v>2040</v>
      </c>
      <c r="L89" s="22">
        <v>2077</v>
      </c>
      <c r="M89" s="22">
        <v>2080</v>
      </c>
      <c r="N89" s="22">
        <v>2055</v>
      </c>
      <c r="O89" s="22">
        <v>2024</v>
      </c>
      <c r="P89" s="22">
        <v>2004</v>
      </c>
      <c r="Q89" s="22">
        <v>2000</v>
      </c>
      <c r="R89" s="22">
        <v>2010</v>
      </c>
      <c r="S89" s="22">
        <v>1946</v>
      </c>
      <c r="T89" s="22">
        <v>1982</v>
      </c>
      <c r="U89" s="22">
        <v>1969</v>
      </c>
      <c r="V89" s="22">
        <v>1998</v>
      </c>
      <c r="W89" s="22">
        <v>2021</v>
      </c>
      <c r="X89" s="22">
        <v>2002</v>
      </c>
      <c r="Y89" s="22">
        <v>2072</v>
      </c>
      <c r="Z89" s="22">
        <v>2046</v>
      </c>
      <c r="AA89" s="22">
        <v>1935</v>
      </c>
      <c r="AB89" s="22">
        <v>1925</v>
      </c>
      <c r="AC89" s="22">
        <v>1979</v>
      </c>
      <c r="AD89" s="22">
        <v>2081</v>
      </c>
      <c r="AE89" s="22">
        <v>2162</v>
      </c>
      <c r="AF89" s="22">
        <v>2183</v>
      </c>
      <c r="AG89" s="22">
        <v>2229</v>
      </c>
      <c r="AH89" s="22">
        <v>2105</v>
      </c>
      <c r="AI89" s="22">
        <v>2081</v>
      </c>
      <c r="AJ89" s="22">
        <v>2100</v>
      </c>
      <c r="AK89" s="22">
        <v>2268</v>
      </c>
      <c r="AL89" s="22">
        <v>2373</v>
      </c>
      <c r="AM89" s="22">
        <v>2340</v>
      </c>
      <c r="AN89" s="22">
        <v>2371</v>
      </c>
      <c r="AO89" s="22">
        <v>2425</v>
      </c>
      <c r="AP89" s="22">
        <v>2505</v>
      </c>
      <c r="AQ89" s="22">
        <v>2557</v>
      </c>
      <c r="AR89" s="22">
        <v>2447</v>
      </c>
      <c r="AS89" s="22">
        <v>2384</v>
      </c>
      <c r="AT89" s="22">
        <v>1946</v>
      </c>
      <c r="AU89" s="22">
        <v>1936</v>
      </c>
      <c r="AV89" s="22">
        <v>1863</v>
      </c>
      <c r="AW89" s="22">
        <v>1923</v>
      </c>
      <c r="AX89" s="22">
        <v>1951</v>
      </c>
      <c r="AY89" s="22">
        <v>1939</v>
      </c>
      <c r="AZ89" s="22">
        <v>1947</v>
      </c>
      <c r="BA89" s="22">
        <v>1902</v>
      </c>
      <c r="BB89" s="22">
        <v>1991</v>
      </c>
      <c r="BC89" s="22">
        <v>2040</v>
      </c>
      <c r="BD89" s="22">
        <v>2049</v>
      </c>
      <c r="BE89" s="22">
        <v>2057</v>
      </c>
      <c r="BF89" s="22">
        <v>2149</v>
      </c>
      <c r="BG89" s="22">
        <v>2180</v>
      </c>
      <c r="BH89" s="22">
        <v>2167</v>
      </c>
      <c r="BI89" s="22">
        <v>2186</v>
      </c>
      <c r="BJ89" s="22">
        <v>2185</v>
      </c>
      <c r="BK89" s="22">
        <v>2189</v>
      </c>
      <c r="BL89" s="22">
        <v>2213</v>
      </c>
      <c r="BM89" s="1">
        <v>2155</v>
      </c>
      <c r="BN89" s="1">
        <v>2135</v>
      </c>
      <c r="BO89" s="1">
        <v>2145</v>
      </c>
      <c r="BP89" s="1">
        <v>2080</v>
      </c>
    </row>
    <row r="90" spans="1:68" ht="15.9" customHeight="1">
      <c r="A90" s="68" t="s">
        <v>175</v>
      </c>
      <c r="B90" s="44" t="s">
        <v>176</v>
      </c>
      <c r="C90" s="48" t="str">
        <f>_xll.RssMarket("6323","安値")</f>
        <v/>
      </c>
      <c r="D90" s="16" t="e">
        <f t="shared" si="2"/>
        <v>#VALUE!</v>
      </c>
      <c r="E90" s="22">
        <v>4200</v>
      </c>
      <c r="F90" s="22">
        <v>4501</v>
      </c>
      <c r="G90" s="22">
        <v>4275</v>
      </c>
      <c r="H90" s="22">
        <v>4575</v>
      </c>
      <c r="I90" s="22">
        <v>4593</v>
      </c>
      <c r="J90" s="22">
        <v>4471</v>
      </c>
      <c r="K90" s="22">
        <v>4203</v>
      </c>
      <c r="L90" s="22">
        <v>4363</v>
      </c>
      <c r="M90" s="22">
        <v>4622</v>
      </c>
      <c r="N90" s="22">
        <v>4331</v>
      </c>
      <c r="O90" s="22">
        <v>4637</v>
      </c>
      <c r="P90" s="22">
        <v>4967</v>
      </c>
      <c r="Q90" s="22">
        <v>4539</v>
      </c>
      <c r="R90" s="22">
        <v>4317</v>
      </c>
      <c r="S90" s="22">
        <v>4484</v>
      </c>
      <c r="T90" s="22">
        <v>4624</v>
      </c>
      <c r="U90" s="22">
        <v>4355</v>
      </c>
      <c r="V90" s="22">
        <v>4580</v>
      </c>
      <c r="W90" s="22">
        <v>4900</v>
      </c>
      <c r="X90" s="22">
        <v>4790</v>
      </c>
      <c r="Y90" s="22">
        <v>4535</v>
      </c>
      <c r="Z90" s="22">
        <v>4305</v>
      </c>
      <c r="AA90" s="22">
        <v>4375</v>
      </c>
      <c r="AB90" s="22">
        <v>4286</v>
      </c>
      <c r="AC90" s="22">
        <v>4060</v>
      </c>
      <c r="AD90" s="22">
        <v>3659</v>
      </c>
      <c r="AE90" s="22">
        <v>3788</v>
      </c>
      <c r="AF90" s="22">
        <v>3807</v>
      </c>
      <c r="AG90" s="22">
        <v>4002</v>
      </c>
      <c r="AH90" s="22">
        <v>4213</v>
      </c>
      <c r="AI90" s="22">
        <v>3959</v>
      </c>
      <c r="AJ90" s="22">
        <v>3616</v>
      </c>
      <c r="AK90" s="22">
        <v>3843</v>
      </c>
      <c r="AL90" s="22">
        <v>3742</v>
      </c>
      <c r="AM90" s="22">
        <v>3854</v>
      </c>
      <c r="AN90" s="22">
        <v>3982</v>
      </c>
      <c r="AO90" s="22">
        <v>3755</v>
      </c>
      <c r="AP90" s="22">
        <v>3604</v>
      </c>
      <c r="AQ90" s="22">
        <v>3421</v>
      </c>
      <c r="AR90" s="22">
        <v>3538</v>
      </c>
      <c r="AS90" s="22">
        <v>3633</v>
      </c>
      <c r="AT90" s="22">
        <v>3688</v>
      </c>
      <c r="AU90" s="22">
        <v>3995</v>
      </c>
      <c r="AV90" s="22">
        <v>3882</v>
      </c>
      <c r="AW90" s="22">
        <v>3971</v>
      </c>
      <c r="AX90" s="22">
        <v>3952</v>
      </c>
      <c r="AY90" s="22">
        <v>3857</v>
      </c>
      <c r="AZ90" s="22">
        <v>3896</v>
      </c>
      <c r="BA90" s="22">
        <v>3695</v>
      </c>
      <c r="BB90" s="22">
        <v>3643</v>
      </c>
      <c r="BC90" s="22">
        <v>3820</v>
      </c>
      <c r="BD90" s="22">
        <v>3868</v>
      </c>
      <c r="BE90" s="22">
        <v>3556</v>
      </c>
      <c r="BF90" s="22">
        <v>3491</v>
      </c>
      <c r="BG90" s="22">
        <v>3523</v>
      </c>
      <c r="BH90" s="22">
        <v>3582</v>
      </c>
      <c r="BI90" s="22">
        <v>3624</v>
      </c>
      <c r="BJ90" s="22">
        <v>3615</v>
      </c>
      <c r="BK90" s="22">
        <v>3697</v>
      </c>
      <c r="BL90" s="22">
        <v>3759</v>
      </c>
      <c r="BM90" s="1">
        <v>3895</v>
      </c>
      <c r="BN90" s="1">
        <v>3841</v>
      </c>
      <c r="BO90" s="1">
        <v>3666</v>
      </c>
      <c r="BP90" s="1">
        <v>3113</v>
      </c>
    </row>
    <row r="91" spans="1:68" ht="15.9" customHeight="1">
      <c r="A91" s="68" t="s">
        <v>177</v>
      </c>
      <c r="B91" s="44" t="s">
        <v>178</v>
      </c>
      <c r="C91" s="48" t="str">
        <f>_xll.RssMarket("6501","安値")</f>
        <v/>
      </c>
      <c r="D91" s="16" t="e">
        <f t="shared" si="2"/>
        <v>#VALUE!</v>
      </c>
      <c r="E91" s="22">
        <v>4616</v>
      </c>
      <c r="F91" s="22">
        <v>4651</v>
      </c>
      <c r="G91" s="22">
        <v>4714</v>
      </c>
      <c r="H91" s="22">
        <v>4686</v>
      </c>
      <c r="I91" s="22">
        <v>4703</v>
      </c>
      <c r="J91" s="22">
        <v>4769</v>
      </c>
      <c r="K91" s="22">
        <v>4790</v>
      </c>
      <c r="L91" s="22">
        <v>4682</v>
      </c>
      <c r="M91" s="22">
        <v>4571</v>
      </c>
      <c r="N91" s="22">
        <v>4520</v>
      </c>
      <c r="O91" s="22">
        <v>4476</v>
      </c>
      <c r="P91" s="22">
        <v>4422</v>
      </c>
      <c r="Q91" s="22">
        <v>4435</v>
      </c>
      <c r="R91" s="22">
        <v>4478</v>
      </c>
      <c r="S91" s="22">
        <v>4554</v>
      </c>
      <c r="T91" s="22">
        <v>4632</v>
      </c>
      <c r="U91" s="22">
        <v>4750</v>
      </c>
      <c r="V91" s="22">
        <v>4702</v>
      </c>
      <c r="W91" s="22">
        <v>4690</v>
      </c>
      <c r="X91" s="22">
        <v>4680</v>
      </c>
      <c r="Y91" s="22">
        <v>4670</v>
      </c>
      <c r="Z91" s="22">
        <v>4646</v>
      </c>
      <c r="AA91" s="22">
        <v>4703</v>
      </c>
      <c r="AB91" s="22">
        <v>4585</v>
      </c>
      <c r="AC91" s="22">
        <v>4579</v>
      </c>
      <c r="AD91" s="22">
        <v>4782</v>
      </c>
      <c r="AE91" s="22">
        <v>4968</v>
      </c>
      <c r="AF91" s="22">
        <v>5141</v>
      </c>
      <c r="AG91" s="22">
        <v>5131</v>
      </c>
      <c r="AH91" s="22">
        <v>5129</v>
      </c>
      <c r="AI91" s="22">
        <v>4987</v>
      </c>
      <c r="AJ91" s="22">
        <v>5166</v>
      </c>
      <c r="AK91" s="22">
        <v>4962</v>
      </c>
      <c r="AL91" s="22">
        <v>4955</v>
      </c>
      <c r="AM91" s="22">
        <v>5000</v>
      </c>
      <c r="AN91" s="22">
        <v>4995</v>
      </c>
      <c r="AO91" s="22">
        <v>4882</v>
      </c>
      <c r="AP91" s="22">
        <v>4814</v>
      </c>
      <c r="AQ91" s="22">
        <v>4863</v>
      </c>
      <c r="AR91" s="22">
        <v>4723</v>
      </c>
      <c r="AS91" s="22">
        <v>4683</v>
      </c>
      <c r="AT91" s="22">
        <v>4646</v>
      </c>
      <c r="AU91" s="22">
        <v>4702</v>
      </c>
      <c r="AV91" s="22">
        <v>4812</v>
      </c>
      <c r="AW91" s="22">
        <v>4795</v>
      </c>
      <c r="AX91" s="22">
        <v>4806</v>
      </c>
      <c r="AY91" s="22">
        <v>4850</v>
      </c>
      <c r="AZ91" s="22">
        <v>4775</v>
      </c>
      <c r="BA91" s="22">
        <v>4828</v>
      </c>
      <c r="BB91" s="22">
        <v>4990</v>
      </c>
      <c r="BC91" s="22">
        <v>5258</v>
      </c>
      <c r="BD91" s="22">
        <v>5095</v>
      </c>
      <c r="BE91" s="22">
        <v>5130</v>
      </c>
      <c r="BF91" s="22">
        <v>5034</v>
      </c>
      <c r="BG91" s="22">
        <v>5097</v>
      </c>
      <c r="BH91" s="22">
        <v>5117</v>
      </c>
      <c r="BI91" s="22">
        <v>5109</v>
      </c>
      <c r="BJ91" s="22">
        <v>5157</v>
      </c>
      <c r="BK91" s="22">
        <v>5025</v>
      </c>
      <c r="BL91" s="22">
        <v>4855</v>
      </c>
      <c r="BM91" s="1">
        <v>4826</v>
      </c>
      <c r="BN91" s="1">
        <v>4770</v>
      </c>
      <c r="BO91" s="1">
        <v>4818</v>
      </c>
    </row>
    <row r="92" spans="1:68" ht="15.9" customHeight="1">
      <c r="A92" s="68" t="s">
        <v>179</v>
      </c>
      <c r="B92" s="44" t="s">
        <v>180</v>
      </c>
      <c r="C92" s="48" t="str">
        <f>_xll.RssMarket("6134","安値")</f>
        <v/>
      </c>
      <c r="D92" s="16" t="e">
        <f t="shared" si="2"/>
        <v>#VALUE!</v>
      </c>
      <c r="E92" s="22">
        <v>6933</v>
      </c>
      <c r="F92" s="22">
        <v>7696</v>
      </c>
      <c r="G92" s="22">
        <v>7412</v>
      </c>
      <c r="H92" s="22">
        <v>7764</v>
      </c>
      <c r="I92" s="22">
        <v>8020</v>
      </c>
      <c r="J92" s="22">
        <v>7661</v>
      </c>
      <c r="K92" s="22">
        <v>7511</v>
      </c>
      <c r="L92" s="22">
        <v>7771</v>
      </c>
      <c r="M92" s="22">
        <v>8457</v>
      </c>
      <c r="N92" s="22">
        <v>8081</v>
      </c>
      <c r="O92" s="22">
        <v>8303</v>
      </c>
      <c r="P92" s="22">
        <v>8649</v>
      </c>
      <c r="Q92" s="22">
        <v>8021</v>
      </c>
      <c r="R92" s="22">
        <v>7623</v>
      </c>
      <c r="S92" s="22">
        <v>7867</v>
      </c>
      <c r="T92" s="22">
        <v>8343</v>
      </c>
      <c r="U92" s="22">
        <v>8034</v>
      </c>
      <c r="V92" s="22">
        <v>8142</v>
      </c>
      <c r="W92" s="22">
        <v>8420</v>
      </c>
      <c r="X92" s="22">
        <v>8379</v>
      </c>
      <c r="Y92" s="22">
        <v>8287</v>
      </c>
      <c r="Z92" s="22">
        <v>8162</v>
      </c>
      <c r="AA92" s="22">
        <v>8135</v>
      </c>
      <c r="AB92" s="22">
        <v>7827</v>
      </c>
      <c r="AC92" s="22">
        <v>7530</v>
      </c>
      <c r="AD92" s="22">
        <v>6890</v>
      </c>
      <c r="AE92" s="22">
        <v>7180</v>
      </c>
      <c r="AF92" s="22">
        <v>6879</v>
      </c>
      <c r="AG92" s="22">
        <v>7462</v>
      </c>
      <c r="AH92" s="22">
        <v>7509</v>
      </c>
      <c r="AI92" s="22">
        <v>7788</v>
      </c>
      <c r="AJ92" s="22">
        <v>7637</v>
      </c>
      <c r="AK92" s="22">
        <v>7938</v>
      </c>
      <c r="AL92" s="22">
        <v>7568</v>
      </c>
      <c r="AM92" s="22">
        <v>7760</v>
      </c>
      <c r="AN92" s="22">
        <v>7980</v>
      </c>
      <c r="AO92" s="22">
        <v>7652</v>
      </c>
      <c r="AP92" s="22">
        <v>7550</v>
      </c>
      <c r="AQ92" s="22">
        <v>7051</v>
      </c>
      <c r="AR92" s="22">
        <v>7385</v>
      </c>
      <c r="AS92" s="22">
        <v>7735</v>
      </c>
      <c r="AT92" s="22">
        <v>7694</v>
      </c>
      <c r="AU92" s="22">
        <v>7001</v>
      </c>
      <c r="AV92" s="22">
        <v>6712</v>
      </c>
      <c r="AW92" s="22">
        <v>6751</v>
      </c>
      <c r="AX92" s="22">
        <v>6559</v>
      </c>
      <c r="AY92" s="22">
        <v>6227</v>
      </c>
      <c r="AZ92" s="22">
        <v>6188</v>
      </c>
      <c r="BA92" s="22">
        <v>6000</v>
      </c>
      <c r="BB92" s="22">
        <v>5867</v>
      </c>
      <c r="BC92" s="22">
        <v>5970</v>
      </c>
      <c r="BD92" s="22">
        <v>5875</v>
      </c>
      <c r="BE92" s="22">
        <v>5739</v>
      </c>
      <c r="BF92" s="22">
        <v>5659</v>
      </c>
      <c r="BG92" s="22">
        <v>5893</v>
      </c>
      <c r="BH92" s="22">
        <v>5851</v>
      </c>
      <c r="BI92" s="22">
        <v>5698</v>
      </c>
      <c r="BJ92" s="22">
        <v>5625</v>
      </c>
      <c r="BK92" s="22">
        <v>5721</v>
      </c>
      <c r="BL92" s="22">
        <v>5678</v>
      </c>
      <c r="BM92" s="1">
        <v>5618</v>
      </c>
      <c r="BN92" s="1">
        <v>5416</v>
      </c>
      <c r="BO92" s="1">
        <v>5390</v>
      </c>
      <c r="BP92" s="1">
        <v>5235</v>
      </c>
    </row>
    <row r="93" spans="1:68" ht="15.9" customHeight="1">
      <c r="A93" s="68" t="s">
        <v>181</v>
      </c>
      <c r="B93" s="44" t="s">
        <v>182</v>
      </c>
      <c r="C93" s="48" t="str">
        <f>_xll.RssMarket("7746","安値")</f>
        <v/>
      </c>
      <c r="D93" s="16" t="e">
        <f t="shared" si="2"/>
        <v>#VALUE!</v>
      </c>
      <c r="E93" s="22">
        <v>731</v>
      </c>
      <c r="F93" s="22">
        <v>788</v>
      </c>
      <c r="G93" s="22">
        <v>778</v>
      </c>
      <c r="H93" s="22">
        <v>773</v>
      </c>
      <c r="I93" s="22">
        <v>762</v>
      </c>
      <c r="J93" s="22">
        <v>757</v>
      </c>
      <c r="K93" s="22">
        <v>785</v>
      </c>
      <c r="L93" s="22">
        <v>820</v>
      </c>
      <c r="M93" s="22">
        <v>837</v>
      </c>
      <c r="N93" s="22">
        <v>826</v>
      </c>
      <c r="O93" s="22">
        <v>852</v>
      </c>
      <c r="P93" s="22">
        <v>870</v>
      </c>
      <c r="Q93" s="22">
        <v>904</v>
      </c>
      <c r="R93" s="22">
        <v>856</v>
      </c>
      <c r="S93" s="22">
        <v>758</v>
      </c>
      <c r="T93" s="22">
        <v>755</v>
      </c>
      <c r="U93" s="22">
        <v>753</v>
      </c>
      <c r="V93" s="22">
        <v>768</v>
      </c>
      <c r="W93" s="22">
        <v>786</v>
      </c>
      <c r="X93" s="22">
        <v>815</v>
      </c>
      <c r="Y93" s="22">
        <v>811</v>
      </c>
      <c r="Z93" s="22">
        <v>718</v>
      </c>
      <c r="AA93" s="22">
        <v>737</v>
      </c>
      <c r="AB93" s="22">
        <v>702</v>
      </c>
      <c r="AC93" s="22">
        <v>660</v>
      </c>
      <c r="AD93" s="22">
        <v>680</v>
      </c>
      <c r="AE93" s="22">
        <v>722</v>
      </c>
      <c r="AF93" s="22">
        <v>751</v>
      </c>
      <c r="AG93" s="22">
        <v>755</v>
      </c>
      <c r="AH93" s="22">
        <v>763</v>
      </c>
      <c r="AI93" s="22">
        <v>760</v>
      </c>
      <c r="AJ93" s="22">
        <v>818</v>
      </c>
      <c r="AK93" s="22">
        <v>817</v>
      </c>
      <c r="AL93" s="22">
        <v>850</v>
      </c>
      <c r="AM93" s="22">
        <v>880</v>
      </c>
      <c r="AN93" s="22">
        <v>877</v>
      </c>
      <c r="AO93" s="22">
        <v>920</v>
      </c>
      <c r="AP93" s="22">
        <v>958</v>
      </c>
      <c r="AQ93" s="22">
        <v>925</v>
      </c>
      <c r="AR93" s="22">
        <v>829</v>
      </c>
      <c r="AS93" s="22">
        <v>746</v>
      </c>
      <c r="AT93" s="22">
        <v>760</v>
      </c>
      <c r="AU93" s="22">
        <v>761</v>
      </c>
      <c r="AV93" s="22">
        <v>758</v>
      </c>
      <c r="AW93" s="22">
        <v>820</v>
      </c>
      <c r="AX93" s="22">
        <v>840</v>
      </c>
      <c r="AY93" s="22">
        <v>833</v>
      </c>
      <c r="AZ93" s="22">
        <v>805</v>
      </c>
      <c r="BA93" s="22">
        <v>850</v>
      </c>
      <c r="BB93" s="22">
        <v>920</v>
      </c>
      <c r="BC93" s="22">
        <v>917</v>
      </c>
      <c r="BD93" s="22">
        <v>955</v>
      </c>
      <c r="BE93" s="22">
        <v>976</v>
      </c>
      <c r="BF93" s="22">
        <v>985</v>
      </c>
      <c r="BG93" s="22">
        <v>983</v>
      </c>
      <c r="BH93" s="22">
        <v>949</v>
      </c>
      <c r="BI93" s="22">
        <v>938</v>
      </c>
      <c r="BJ93" s="22">
        <v>958</v>
      </c>
      <c r="BK93" s="22">
        <v>969</v>
      </c>
      <c r="BL93" s="22">
        <v>972</v>
      </c>
      <c r="BM93" s="1">
        <v>952</v>
      </c>
      <c r="BN93" s="1">
        <v>1010</v>
      </c>
      <c r="BO93" s="1">
        <v>1033</v>
      </c>
      <c r="BP93" s="1">
        <v>1001</v>
      </c>
    </row>
    <row r="94" spans="1:68" ht="15.9" customHeight="1">
      <c r="A94" s="68" t="s">
        <v>183</v>
      </c>
      <c r="B94" s="44" t="s">
        <v>184</v>
      </c>
      <c r="C94" s="48" t="str">
        <f>_xll.RssMarket("3407","安値")</f>
        <v/>
      </c>
      <c r="D94" s="16" t="e">
        <f t="shared" si="2"/>
        <v>#VALUE!</v>
      </c>
      <c r="E94" s="22">
        <v>1804</v>
      </c>
      <c r="F94" s="22">
        <v>1868</v>
      </c>
      <c r="G94" s="22">
        <v>1813.5</v>
      </c>
      <c r="H94" s="22">
        <v>1815.5</v>
      </c>
      <c r="I94" s="22">
        <v>1831.5</v>
      </c>
      <c r="J94" s="22">
        <v>1832</v>
      </c>
      <c r="K94" s="22">
        <v>1867.5</v>
      </c>
      <c r="L94" s="22">
        <v>1850.5</v>
      </c>
      <c r="M94" s="22">
        <v>1775</v>
      </c>
      <c r="N94" s="22">
        <v>1761.5</v>
      </c>
      <c r="O94" s="22">
        <v>1765</v>
      </c>
      <c r="P94" s="22">
        <v>1776</v>
      </c>
      <c r="Q94" s="22">
        <v>1782.5</v>
      </c>
      <c r="R94" s="22">
        <v>1779</v>
      </c>
      <c r="S94" s="22">
        <v>1788.5</v>
      </c>
      <c r="T94" s="22">
        <v>1750.5</v>
      </c>
      <c r="U94" s="22">
        <v>1778.5</v>
      </c>
      <c r="V94" s="22">
        <v>1795.5</v>
      </c>
      <c r="W94" s="22">
        <v>1785</v>
      </c>
      <c r="X94" s="22">
        <v>1774</v>
      </c>
      <c r="Y94" s="22">
        <v>1750</v>
      </c>
      <c r="Z94" s="22">
        <v>1730</v>
      </c>
      <c r="AA94" s="22">
        <v>1756</v>
      </c>
      <c r="AB94" s="22">
        <v>1770</v>
      </c>
      <c r="AC94" s="22">
        <v>1707.5</v>
      </c>
      <c r="AD94" s="22">
        <v>1732</v>
      </c>
      <c r="AE94" s="22">
        <v>1727</v>
      </c>
      <c r="AF94" s="22">
        <v>1762.5</v>
      </c>
      <c r="AG94" s="22">
        <v>1745</v>
      </c>
      <c r="AH94" s="22">
        <v>1743</v>
      </c>
      <c r="AI94" s="22">
        <v>1700.5</v>
      </c>
      <c r="AJ94" s="22">
        <v>1765</v>
      </c>
      <c r="AK94" s="22">
        <v>1707</v>
      </c>
      <c r="AL94" s="22">
        <v>1742.5</v>
      </c>
      <c r="AM94" s="22">
        <v>1741</v>
      </c>
      <c r="AN94" s="22">
        <v>1695.5</v>
      </c>
      <c r="AO94" s="22">
        <v>1680.5</v>
      </c>
      <c r="AP94" s="22">
        <v>1671.5</v>
      </c>
      <c r="AQ94" s="22">
        <v>1678.5</v>
      </c>
      <c r="AR94" s="22">
        <v>1667</v>
      </c>
      <c r="AS94" s="22">
        <v>1705.5</v>
      </c>
      <c r="AT94" s="22">
        <v>1708</v>
      </c>
      <c r="AU94" s="22">
        <v>1645.5</v>
      </c>
      <c r="AV94" s="22">
        <v>1541</v>
      </c>
      <c r="AW94" s="22">
        <v>1516.5</v>
      </c>
      <c r="AX94" s="22">
        <v>1506.5</v>
      </c>
      <c r="AY94" s="22">
        <v>1537</v>
      </c>
      <c r="AZ94" s="22">
        <v>1503.5</v>
      </c>
      <c r="BA94" s="22">
        <v>1508.5</v>
      </c>
      <c r="BB94" s="22">
        <v>1527</v>
      </c>
      <c r="BC94" s="22">
        <v>1505</v>
      </c>
      <c r="BD94" s="22">
        <v>1508</v>
      </c>
      <c r="BE94" s="22">
        <v>1488</v>
      </c>
      <c r="BF94" s="22">
        <v>1528</v>
      </c>
      <c r="BG94" s="22">
        <v>1558.5</v>
      </c>
      <c r="BH94" s="22">
        <v>1556.5</v>
      </c>
      <c r="BI94" s="22">
        <v>1591</v>
      </c>
      <c r="BJ94" s="22">
        <v>1560</v>
      </c>
      <c r="BK94" s="22">
        <v>1540.5</v>
      </c>
      <c r="BL94" s="22">
        <v>1564</v>
      </c>
      <c r="BM94" s="1">
        <v>1601</v>
      </c>
      <c r="BN94" s="1">
        <v>1634</v>
      </c>
      <c r="BO94" s="1">
        <v>1632.5</v>
      </c>
      <c r="BP94" s="1">
        <v>1621.5</v>
      </c>
    </row>
    <row r="95" spans="1:68" ht="15.9" customHeight="1">
      <c r="A95" s="68" t="s">
        <v>185</v>
      </c>
      <c r="B95" s="44" t="s">
        <v>186</v>
      </c>
      <c r="C95" s="48" t="str">
        <f>_xll.RssMarket("4008","安値")</f>
        <v/>
      </c>
      <c r="D95" s="16" t="e">
        <f t="shared" si="2"/>
        <v>#VALUE!</v>
      </c>
      <c r="E95" s="2">
        <v>1242</v>
      </c>
      <c r="F95" s="33">
        <v>1293</v>
      </c>
      <c r="G95" s="33">
        <v>1263</v>
      </c>
      <c r="H95" s="33">
        <v>1259</v>
      </c>
      <c r="I95" s="33">
        <v>1265</v>
      </c>
      <c r="J95" s="33">
        <v>1275</v>
      </c>
      <c r="K95" s="33">
        <v>1287</v>
      </c>
      <c r="L95" s="33">
        <v>1307</v>
      </c>
      <c r="M95" s="33">
        <v>1343</v>
      </c>
      <c r="N95" s="33">
        <v>1307</v>
      </c>
      <c r="O95" s="33">
        <v>1295</v>
      </c>
      <c r="P95" s="33">
        <v>1275</v>
      </c>
      <c r="Q95" s="33">
        <v>1258</v>
      </c>
      <c r="R95" s="33">
        <v>1263</v>
      </c>
      <c r="S95" s="33">
        <v>1281</v>
      </c>
      <c r="T95" s="33">
        <v>1278</v>
      </c>
      <c r="U95" s="33">
        <v>1256</v>
      </c>
      <c r="V95" s="33">
        <v>1289</v>
      </c>
      <c r="W95" s="33">
        <v>1325</v>
      </c>
      <c r="X95" s="33">
        <v>1302</v>
      </c>
      <c r="Y95" s="33">
        <v>1312</v>
      </c>
      <c r="Z95" s="33">
        <v>1317</v>
      </c>
      <c r="AA95" s="33">
        <v>1313</v>
      </c>
      <c r="AB95" s="33">
        <v>1305</v>
      </c>
      <c r="AC95" s="33">
        <v>1277</v>
      </c>
      <c r="AD95" s="33">
        <v>1226</v>
      </c>
      <c r="AE95" s="33">
        <v>1250</v>
      </c>
      <c r="AF95" s="33">
        <v>1236</v>
      </c>
      <c r="AG95" s="33">
        <v>1265</v>
      </c>
      <c r="AH95" s="33">
        <v>1270</v>
      </c>
      <c r="AI95" s="33">
        <v>1297</v>
      </c>
      <c r="AJ95" s="33">
        <v>1233</v>
      </c>
      <c r="AK95" s="33">
        <v>1320</v>
      </c>
      <c r="AL95" s="33">
        <v>1297</v>
      </c>
      <c r="AM95" s="33">
        <v>1260</v>
      </c>
      <c r="AN95" s="33">
        <v>1265</v>
      </c>
      <c r="AO95" s="33">
        <v>1240</v>
      </c>
      <c r="AP95" s="33">
        <v>1231</v>
      </c>
      <c r="AQ95" s="33">
        <v>1201</v>
      </c>
      <c r="AR95" s="33">
        <v>1218</v>
      </c>
      <c r="AS95" s="33">
        <v>1237</v>
      </c>
      <c r="AT95" s="33">
        <v>1228</v>
      </c>
      <c r="AU95" s="33">
        <v>1229</v>
      </c>
      <c r="AV95" s="33">
        <v>1201</v>
      </c>
      <c r="AW95" s="33">
        <v>1151</v>
      </c>
      <c r="AX95" s="33">
        <v>1204</v>
      </c>
      <c r="AY95" s="33">
        <v>1189</v>
      </c>
      <c r="AZ95" s="33">
        <v>1206</v>
      </c>
      <c r="BA95" s="33">
        <v>1182</v>
      </c>
      <c r="BB95" s="33">
        <v>1183</v>
      </c>
      <c r="BC95" s="33">
        <v>1191</v>
      </c>
      <c r="BD95" s="33">
        <v>1184</v>
      </c>
      <c r="BE95" s="33">
        <v>1193</v>
      </c>
      <c r="BF95" s="33">
        <v>1181</v>
      </c>
      <c r="BG95" s="33">
        <v>1196</v>
      </c>
      <c r="BH95" s="33">
        <v>1239</v>
      </c>
      <c r="BI95" s="33">
        <v>1267</v>
      </c>
      <c r="BJ95" s="33">
        <v>1264</v>
      </c>
      <c r="BK95" s="33">
        <v>1274</v>
      </c>
      <c r="BL95" s="33">
        <v>1277</v>
      </c>
      <c r="BM95" s="1">
        <v>1257</v>
      </c>
      <c r="BN95" s="1">
        <v>1244</v>
      </c>
      <c r="BO95" s="1">
        <v>1251</v>
      </c>
      <c r="BP95" s="1">
        <v>1250</v>
      </c>
    </row>
    <row r="96" spans="1:68" ht="15.9" customHeight="1">
      <c r="A96" s="68" t="s">
        <v>187</v>
      </c>
      <c r="B96" s="44" t="s">
        <v>188</v>
      </c>
      <c r="C96" s="48" t="str">
        <f>_xll.RssMarket("4062","安値")</f>
        <v/>
      </c>
      <c r="D96" s="16" t="e">
        <f t="shared" si="2"/>
        <v>#VALUE!</v>
      </c>
      <c r="E96" s="33">
        <v>14860</v>
      </c>
      <c r="F96" s="33">
        <v>17805</v>
      </c>
      <c r="G96" s="33">
        <v>17030</v>
      </c>
      <c r="H96" s="33">
        <v>18145</v>
      </c>
      <c r="I96" s="33">
        <v>19945</v>
      </c>
      <c r="J96" s="33">
        <v>19180</v>
      </c>
      <c r="K96" s="33">
        <v>18635</v>
      </c>
      <c r="L96" s="33">
        <v>19670</v>
      </c>
      <c r="M96" s="33">
        <v>20915</v>
      </c>
      <c r="N96" s="33">
        <v>20900</v>
      </c>
      <c r="O96" s="33">
        <v>22955</v>
      </c>
      <c r="P96" s="33">
        <v>25125</v>
      </c>
      <c r="Q96" s="33">
        <v>23315</v>
      </c>
      <c r="R96" s="33">
        <v>22055</v>
      </c>
      <c r="S96" s="33">
        <v>23975</v>
      </c>
      <c r="T96" s="33">
        <v>24625</v>
      </c>
      <c r="U96" s="33">
        <v>23860</v>
      </c>
      <c r="V96" s="33">
        <v>24375</v>
      </c>
      <c r="W96" s="33">
        <v>24205</v>
      </c>
      <c r="X96" s="33">
        <v>24545</v>
      </c>
      <c r="Y96" s="33">
        <v>23850</v>
      </c>
      <c r="Z96" s="33">
        <v>21860</v>
      </c>
      <c r="AA96" s="33">
        <v>22250</v>
      </c>
      <c r="AB96" s="33">
        <v>20565</v>
      </c>
      <c r="AC96" s="33">
        <v>18905</v>
      </c>
      <c r="AD96" s="33">
        <v>16505</v>
      </c>
      <c r="AE96" s="33">
        <v>17110</v>
      </c>
      <c r="AF96" s="33">
        <v>16120</v>
      </c>
      <c r="AG96" s="33">
        <v>17950</v>
      </c>
      <c r="AH96" s="33">
        <v>19965</v>
      </c>
      <c r="AI96" s="33">
        <v>21125</v>
      </c>
      <c r="AJ96" s="33">
        <v>20265</v>
      </c>
      <c r="AK96" s="33">
        <v>19505</v>
      </c>
      <c r="AL96" s="33">
        <v>19135</v>
      </c>
      <c r="AM96" s="33">
        <v>20110</v>
      </c>
      <c r="AN96" s="33">
        <v>19535</v>
      </c>
      <c r="AO96" s="33">
        <v>17960</v>
      </c>
      <c r="AP96" s="33">
        <v>16975</v>
      </c>
      <c r="AQ96" s="33">
        <v>14650</v>
      </c>
      <c r="AR96" s="33">
        <v>15005</v>
      </c>
      <c r="AS96" s="33">
        <v>14970</v>
      </c>
      <c r="AT96" s="33">
        <v>15280</v>
      </c>
      <c r="AU96" s="33">
        <v>16625</v>
      </c>
      <c r="AV96" s="33">
        <v>15865</v>
      </c>
      <c r="AW96" s="33">
        <v>15235</v>
      </c>
      <c r="AX96" s="33">
        <v>15200</v>
      </c>
      <c r="AY96" s="33">
        <v>14820</v>
      </c>
      <c r="AZ96" s="33">
        <v>14805</v>
      </c>
      <c r="BA96" s="33">
        <v>13035</v>
      </c>
      <c r="BB96" s="33">
        <v>13070</v>
      </c>
      <c r="BC96" s="33">
        <v>12355</v>
      </c>
      <c r="BD96" s="33">
        <v>12200</v>
      </c>
      <c r="BE96" s="33">
        <v>12090</v>
      </c>
      <c r="BF96" s="33">
        <v>10870</v>
      </c>
      <c r="BG96" s="33">
        <v>10395</v>
      </c>
      <c r="BH96" s="33">
        <v>9769</v>
      </c>
      <c r="BI96" s="33">
        <v>9068</v>
      </c>
      <c r="BJ96" s="33">
        <v>9228</v>
      </c>
      <c r="BK96" s="33">
        <v>9401</v>
      </c>
      <c r="BL96" s="33">
        <v>9215</v>
      </c>
      <c r="BM96" s="1">
        <v>9672</v>
      </c>
      <c r="BN96" s="1">
        <v>9252</v>
      </c>
      <c r="BO96" s="1">
        <v>9772</v>
      </c>
      <c r="BP96" s="1">
        <v>9437</v>
      </c>
    </row>
    <row r="97" spans="1:68" ht="15.9" customHeight="1">
      <c r="A97" s="68" t="s">
        <v>189</v>
      </c>
      <c r="B97" s="44" t="s">
        <v>190</v>
      </c>
      <c r="C97" s="48" t="str">
        <f>_xll.RssMarket("4182","安値")</f>
        <v/>
      </c>
      <c r="D97" s="16" t="e">
        <f t="shared" si="2"/>
        <v>#VALUE!</v>
      </c>
      <c r="E97" s="33">
        <v>4168</v>
      </c>
      <c r="F97" s="33">
        <v>4640</v>
      </c>
      <c r="G97" s="33">
        <v>4433</v>
      </c>
      <c r="H97" s="33">
        <v>4496</v>
      </c>
      <c r="I97" s="33">
        <v>4660</v>
      </c>
      <c r="J97" s="33">
        <v>4600</v>
      </c>
      <c r="K97" s="33">
        <v>4544</v>
      </c>
      <c r="L97" s="33">
        <v>4626</v>
      </c>
      <c r="M97" s="33">
        <v>4757</v>
      </c>
      <c r="N97" s="33">
        <v>4660</v>
      </c>
      <c r="O97" s="33">
        <v>4822</v>
      </c>
      <c r="P97" s="33">
        <v>5071</v>
      </c>
      <c r="Q97" s="33">
        <v>4978</v>
      </c>
      <c r="R97" s="33">
        <v>4898</v>
      </c>
      <c r="S97" s="33">
        <v>5021</v>
      </c>
      <c r="T97" s="33">
        <v>5224</v>
      </c>
      <c r="U97" s="33">
        <v>5159</v>
      </c>
      <c r="V97" s="33">
        <v>5325</v>
      </c>
      <c r="W97" s="33">
        <v>5418</v>
      </c>
      <c r="X97" s="33">
        <v>5358</v>
      </c>
      <c r="Y97" s="33">
        <v>5222</v>
      </c>
      <c r="Z97" s="33">
        <v>4945</v>
      </c>
      <c r="AA97" s="33">
        <v>5012</v>
      </c>
      <c r="AB97" s="33">
        <v>4961</v>
      </c>
      <c r="AC97" s="33">
        <v>4744</v>
      </c>
      <c r="AD97" s="33">
        <v>4200</v>
      </c>
      <c r="AE97" s="33">
        <v>4406</v>
      </c>
      <c r="AF97" s="33">
        <v>4640</v>
      </c>
      <c r="AG97" s="33">
        <v>4916</v>
      </c>
      <c r="AH97" s="33">
        <v>5203</v>
      </c>
      <c r="AI97" s="33">
        <v>5325</v>
      </c>
      <c r="AJ97" s="33">
        <v>5119</v>
      </c>
      <c r="AK97" s="33">
        <v>5450</v>
      </c>
      <c r="AL97" s="33">
        <v>5212</v>
      </c>
      <c r="AM97" s="33">
        <v>5283</v>
      </c>
      <c r="AN97" s="33">
        <v>5217</v>
      </c>
      <c r="AO97" s="33">
        <v>4946</v>
      </c>
      <c r="AP97" s="33">
        <v>4742</v>
      </c>
      <c r="AQ97" s="33">
        <v>4389</v>
      </c>
      <c r="AR97" s="33">
        <v>4466</v>
      </c>
      <c r="AS97" s="33">
        <v>4443</v>
      </c>
      <c r="AT97" s="33">
        <v>4594</v>
      </c>
      <c r="AU97" s="33">
        <v>4799</v>
      </c>
      <c r="AV97" s="33">
        <v>4650</v>
      </c>
      <c r="AW97" s="33">
        <v>4795</v>
      </c>
      <c r="AX97" s="33">
        <v>4590</v>
      </c>
      <c r="AY97" s="33">
        <v>4477</v>
      </c>
      <c r="AZ97" s="33">
        <v>4445</v>
      </c>
      <c r="BA97" s="33">
        <v>4296</v>
      </c>
      <c r="BB97" s="33">
        <v>4335</v>
      </c>
      <c r="BC97" s="33">
        <v>4320</v>
      </c>
      <c r="BD97" s="33">
        <v>4251</v>
      </c>
      <c r="BE97" s="33">
        <v>4351</v>
      </c>
      <c r="BF97" s="33">
        <v>4212</v>
      </c>
      <c r="BG97" s="33">
        <v>4268</v>
      </c>
      <c r="BH97" s="33">
        <v>4279</v>
      </c>
      <c r="BI97" s="33">
        <v>4231</v>
      </c>
      <c r="BJ97" s="33">
        <v>4166</v>
      </c>
      <c r="BK97" s="33">
        <v>4156</v>
      </c>
      <c r="BL97" s="33">
        <v>4119</v>
      </c>
      <c r="BM97" s="1">
        <v>4190</v>
      </c>
      <c r="BN97" s="1">
        <v>4083</v>
      </c>
      <c r="BO97" s="1">
        <v>4160</v>
      </c>
      <c r="BP97" s="1">
        <v>4131</v>
      </c>
    </row>
    <row r="98" spans="1:68" ht="15.9" customHeight="1">
      <c r="A98" s="68" t="s">
        <v>191</v>
      </c>
      <c r="B98" s="44" t="s">
        <v>192</v>
      </c>
      <c r="C98" s="48" t="str">
        <f>_xll.RssMarket("4188","安値")</f>
        <v/>
      </c>
      <c r="D98" s="16" t="e">
        <f t="shared" si="2"/>
        <v>#VALUE!</v>
      </c>
      <c r="E98" s="33">
        <v>1144.5</v>
      </c>
      <c r="F98" s="33">
        <v>1203</v>
      </c>
      <c r="G98" s="33">
        <v>1163</v>
      </c>
      <c r="H98" s="33">
        <v>1156</v>
      </c>
      <c r="I98" s="33">
        <v>1156.5</v>
      </c>
      <c r="J98" s="33">
        <v>1155</v>
      </c>
      <c r="K98" s="33">
        <v>1160.5</v>
      </c>
      <c r="L98" s="33">
        <v>1181</v>
      </c>
      <c r="M98" s="33">
        <v>1172.5</v>
      </c>
      <c r="N98" s="33">
        <v>1126.5</v>
      </c>
      <c r="O98" s="33">
        <v>1104</v>
      </c>
      <c r="P98" s="33">
        <v>1109</v>
      </c>
      <c r="Q98" s="33">
        <v>1102.5</v>
      </c>
      <c r="R98" s="33">
        <v>1105.5</v>
      </c>
      <c r="S98" s="33">
        <v>1071</v>
      </c>
      <c r="T98" s="33">
        <v>1088.5</v>
      </c>
      <c r="U98" s="33">
        <v>1062.5</v>
      </c>
      <c r="V98" s="33">
        <v>1081</v>
      </c>
      <c r="W98" s="33">
        <v>1090.5</v>
      </c>
      <c r="X98" s="33">
        <v>1089.5</v>
      </c>
      <c r="Y98" s="33">
        <v>1120</v>
      </c>
      <c r="Z98" s="33">
        <v>1093</v>
      </c>
      <c r="AA98" s="33">
        <v>1103</v>
      </c>
      <c r="AB98" s="33">
        <v>1120</v>
      </c>
      <c r="AC98" s="33">
        <v>1055.5</v>
      </c>
      <c r="AD98" s="33">
        <v>999</v>
      </c>
      <c r="AE98" s="33">
        <v>1010</v>
      </c>
      <c r="AF98" s="33">
        <v>1020</v>
      </c>
      <c r="AG98" s="33">
        <v>1052</v>
      </c>
      <c r="AH98" s="33">
        <v>1080</v>
      </c>
      <c r="AI98" s="33">
        <v>1078.5</v>
      </c>
      <c r="AJ98" s="33">
        <v>1056.5</v>
      </c>
      <c r="AK98" s="33">
        <v>1117.5</v>
      </c>
      <c r="AL98" s="33">
        <v>1077.5</v>
      </c>
      <c r="AM98" s="33">
        <v>1109.5</v>
      </c>
      <c r="AN98" s="33">
        <v>1041.5</v>
      </c>
      <c r="AO98" s="33">
        <v>1004</v>
      </c>
      <c r="AP98" s="33">
        <v>999.2</v>
      </c>
      <c r="AQ98" s="33">
        <v>986.9</v>
      </c>
      <c r="AR98" s="33">
        <v>1005</v>
      </c>
      <c r="AS98" s="33">
        <v>991.8</v>
      </c>
      <c r="AT98" s="33">
        <v>985.9</v>
      </c>
      <c r="AU98" s="33">
        <v>1000.5</v>
      </c>
      <c r="AV98" s="33">
        <v>928.6</v>
      </c>
      <c r="AW98" s="33">
        <v>919.4</v>
      </c>
      <c r="AX98" s="33">
        <v>910.1</v>
      </c>
      <c r="AY98" s="33">
        <v>902</v>
      </c>
      <c r="AZ98" s="33">
        <v>913.8</v>
      </c>
      <c r="BA98" s="33">
        <v>896.2</v>
      </c>
      <c r="BB98" s="33">
        <v>898.1</v>
      </c>
      <c r="BC98" s="33">
        <v>910.6</v>
      </c>
      <c r="BD98" s="33">
        <v>899.4</v>
      </c>
      <c r="BE98" s="33">
        <v>909.6</v>
      </c>
      <c r="BF98" s="33">
        <v>901.6</v>
      </c>
      <c r="BG98" s="33">
        <v>937</v>
      </c>
      <c r="BH98" s="33">
        <v>965</v>
      </c>
      <c r="BI98" s="33">
        <v>960.3</v>
      </c>
      <c r="BJ98" s="33">
        <v>983.5</v>
      </c>
      <c r="BK98" s="33">
        <v>992.8</v>
      </c>
      <c r="BL98" s="33">
        <v>991</v>
      </c>
      <c r="BM98" s="1">
        <v>963.9</v>
      </c>
      <c r="BN98" s="1">
        <v>964</v>
      </c>
      <c r="BO98" s="1">
        <v>982.8</v>
      </c>
      <c r="BP98" s="1">
        <v>978.7</v>
      </c>
    </row>
    <row r="99" spans="1:68" ht="15.9" customHeight="1">
      <c r="A99" s="68" t="s">
        <v>193</v>
      </c>
      <c r="B99" s="44" t="s">
        <v>194</v>
      </c>
      <c r="C99" s="48" t="str">
        <f>_xll.RssMarket("4523","安値")</f>
        <v/>
      </c>
      <c r="D99" s="16" t="e">
        <f t="shared" si="2"/>
        <v>#VALUE!</v>
      </c>
      <c r="E99" s="33">
        <v>4379</v>
      </c>
      <c r="F99" s="33">
        <v>4238</v>
      </c>
      <c r="G99" s="33">
        <v>4310</v>
      </c>
      <c r="H99" s="33">
        <v>4222</v>
      </c>
      <c r="I99" s="33">
        <v>4252</v>
      </c>
      <c r="J99" s="33">
        <v>4263</v>
      </c>
      <c r="K99" s="33">
        <v>4295</v>
      </c>
      <c r="L99" s="33">
        <v>4269</v>
      </c>
      <c r="M99" s="33">
        <v>4280</v>
      </c>
      <c r="N99" s="33">
        <v>4242</v>
      </c>
      <c r="O99" s="33">
        <v>4114</v>
      </c>
      <c r="P99" s="33">
        <v>4050</v>
      </c>
      <c r="Q99" s="33">
        <v>4110</v>
      </c>
      <c r="R99" s="33">
        <v>4006</v>
      </c>
      <c r="S99" s="33">
        <v>3940</v>
      </c>
      <c r="T99" s="33">
        <v>3881</v>
      </c>
      <c r="U99" s="33">
        <v>3876</v>
      </c>
      <c r="V99" s="33">
        <v>3894</v>
      </c>
      <c r="W99" s="33">
        <v>3822</v>
      </c>
      <c r="X99" s="33">
        <v>3872</v>
      </c>
      <c r="Y99" s="33">
        <v>3881</v>
      </c>
      <c r="Z99" s="33">
        <v>3813</v>
      </c>
      <c r="AA99" s="33">
        <v>3719</v>
      </c>
      <c r="AB99" s="33">
        <v>3779</v>
      </c>
      <c r="AC99" s="33">
        <v>3725</v>
      </c>
      <c r="AD99" s="33">
        <v>3660</v>
      </c>
      <c r="AE99" s="33">
        <v>3706</v>
      </c>
      <c r="AF99" s="33">
        <v>3772</v>
      </c>
      <c r="AG99" s="33">
        <v>3767</v>
      </c>
      <c r="AH99" s="33">
        <v>3785</v>
      </c>
      <c r="AI99" s="33">
        <v>3719</v>
      </c>
      <c r="AJ99" s="33">
        <v>3737</v>
      </c>
      <c r="AK99" s="33">
        <v>3901</v>
      </c>
      <c r="AL99" s="33">
        <v>3973</v>
      </c>
      <c r="AM99" s="33">
        <v>4120</v>
      </c>
      <c r="AN99" s="33">
        <v>4157</v>
      </c>
      <c r="AO99" s="33">
        <v>4206</v>
      </c>
      <c r="AP99" s="33">
        <v>4231</v>
      </c>
      <c r="AQ99" s="33">
        <v>4426</v>
      </c>
      <c r="AR99" s="33">
        <v>4351</v>
      </c>
      <c r="AS99" s="33">
        <v>4615</v>
      </c>
      <c r="AT99" s="33">
        <v>4664</v>
      </c>
      <c r="AU99" s="33">
        <v>4653</v>
      </c>
      <c r="AV99" s="33">
        <v>4639</v>
      </c>
      <c r="AW99" s="33">
        <v>4511</v>
      </c>
      <c r="AX99" s="33">
        <v>4638</v>
      </c>
      <c r="AY99" s="33">
        <v>4640</v>
      </c>
      <c r="AZ99" s="33">
        <v>4600</v>
      </c>
      <c r="BA99" s="33">
        <v>4583</v>
      </c>
      <c r="BB99" s="33">
        <v>4539</v>
      </c>
      <c r="BC99" s="33">
        <v>4554</v>
      </c>
      <c r="BD99" s="33">
        <v>4715</v>
      </c>
      <c r="BE99" s="33">
        <v>4729</v>
      </c>
      <c r="BF99" s="33">
        <v>4825</v>
      </c>
      <c r="BG99" s="33">
        <v>4808</v>
      </c>
      <c r="BH99" s="33">
        <v>4863</v>
      </c>
      <c r="BI99" s="33">
        <v>4891</v>
      </c>
      <c r="BJ99" s="33">
        <v>5020</v>
      </c>
      <c r="BK99" s="33">
        <v>4890</v>
      </c>
      <c r="BL99" s="33">
        <v>4850</v>
      </c>
      <c r="BM99" s="1">
        <v>4935</v>
      </c>
      <c r="BN99" s="1">
        <v>5016</v>
      </c>
      <c r="BO99" s="1">
        <v>5163</v>
      </c>
      <c r="BP99" s="1">
        <v>5152</v>
      </c>
    </row>
    <row r="100" spans="1:68" ht="15.9" customHeight="1">
      <c r="A100" s="68" t="s">
        <v>195</v>
      </c>
      <c r="B100" s="44" t="s">
        <v>196</v>
      </c>
      <c r="C100" s="48" t="str">
        <f>_xll.RssMarket("4528","安値")</f>
        <v/>
      </c>
      <c r="D100" s="16" t="e">
        <f t="shared" si="2"/>
        <v>#VALUE!</v>
      </c>
      <c r="E100" s="33">
        <v>2354</v>
      </c>
      <c r="F100" s="33">
        <v>2364.5</v>
      </c>
      <c r="G100" s="33">
        <v>2389</v>
      </c>
      <c r="H100" s="33">
        <v>2386</v>
      </c>
      <c r="I100" s="33">
        <v>2422</v>
      </c>
      <c r="J100" s="33">
        <v>2434.5</v>
      </c>
      <c r="K100" s="33">
        <v>2449</v>
      </c>
      <c r="L100" s="33">
        <v>2423</v>
      </c>
      <c r="M100" s="33">
        <v>2425.5</v>
      </c>
      <c r="N100" s="33">
        <v>2408.5</v>
      </c>
      <c r="O100" s="33">
        <v>2352</v>
      </c>
      <c r="P100" s="33">
        <v>2336</v>
      </c>
      <c r="Q100" s="33">
        <v>2379</v>
      </c>
      <c r="R100" s="33">
        <v>2377</v>
      </c>
      <c r="S100" s="33">
        <v>2326</v>
      </c>
      <c r="T100" s="33">
        <v>2337.5</v>
      </c>
      <c r="U100" s="33">
        <v>2323</v>
      </c>
      <c r="V100" s="33">
        <v>2321</v>
      </c>
      <c r="W100" s="33">
        <v>2318.5</v>
      </c>
      <c r="X100" s="33">
        <v>2208</v>
      </c>
      <c r="Y100" s="33">
        <v>2248</v>
      </c>
      <c r="Z100" s="33">
        <v>2240</v>
      </c>
      <c r="AA100" s="33">
        <v>2245.5</v>
      </c>
      <c r="AB100" s="33">
        <v>2263.5</v>
      </c>
      <c r="AC100" s="33">
        <v>2187.5</v>
      </c>
      <c r="AD100" s="33">
        <v>2186.5</v>
      </c>
      <c r="AE100" s="33">
        <v>2189</v>
      </c>
      <c r="AF100" s="33">
        <v>2221</v>
      </c>
      <c r="AG100" s="33">
        <v>2186.5</v>
      </c>
      <c r="AH100" s="33">
        <v>2157</v>
      </c>
      <c r="AI100" s="33">
        <v>2114.5</v>
      </c>
      <c r="AJ100" s="33">
        <v>2207</v>
      </c>
      <c r="AK100" s="33">
        <v>2385</v>
      </c>
      <c r="AL100" s="33">
        <v>2362</v>
      </c>
      <c r="AM100" s="33">
        <v>2270.5</v>
      </c>
      <c r="AN100" s="33">
        <v>2428.5</v>
      </c>
      <c r="AO100" s="33">
        <v>2466.5</v>
      </c>
      <c r="AP100" s="33">
        <v>2443.5</v>
      </c>
      <c r="AQ100" s="33">
        <v>2415</v>
      </c>
      <c r="AR100" s="33">
        <v>2393.5</v>
      </c>
      <c r="AS100" s="33">
        <v>2432.5</v>
      </c>
      <c r="AT100" s="33">
        <v>2518</v>
      </c>
      <c r="AU100" s="33">
        <v>2508.5</v>
      </c>
      <c r="AV100" s="33">
        <v>2489.5</v>
      </c>
      <c r="AW100" s="33">
        <v>2454.5</v>
      </c>
      <c r="AX100" s="33">
        <v>2420.5</v>
      </c>
      <c r="AY100" s="33">
        <v>2251</v>
      </c>
      <c r="AZ100" s="33">
        <v>2292.5</v>
      </c>
      <c r="BA100" s="33">
        <v>2268.5</v>
      </c>
      <c r="BB100" s="33">
        <v>2260</v>
      </c>
      <c r="BC100" s="33">
        <v>2272</v>
      </c>
      <c r="BD100" s="33">
        <v>2294</v>
      </c>
      <c r="BE100" s="33">
        <v>2316</v>
      </c>
      <c r="BF100" s="33">
        <v>2281</v>
      </c>
      <c r="BG100" s="33">
        <v>2304.5</v>
      </c>
      <c r="BH100" s="33">
        <v>2356.5</v>
      </c>
      <c r="BI100" s="33">
        <v>2398.5</v>
      </c>
      <c r="BJ100" s="33">
        <v>2399</v>
      </c>
      <c r="BK100" s="33">
        <v>2444</v>
      </c>
      <c r="BL100" s="33">
        <v>2435.5</v>
      </c>
      <c r="BM100" s="1">
        <v>2470</v>
      </c>
      <c r="BN100" s="1">
        <v>2492</v>
      </c>
      <c r="BO100" s="1">
        <v>2507</v>
      </c>
      <c r="BP100" s="1">
        <v>2545</v>
      </c>
    </row>
    <row r="101" spans="1:68" ht="15.9" customHeight="1">
      <c r="A101" s="68" t="s">
        <v>197</v>
      </c>
      <c r="B101" s="44" t="s">
        <v>198</v>
      </c>
      <c r="C101" s="48" t="str">
        <f>_xll.RssMarket("4661","安値")</f>
        <v/>
      </c>
      <c r="D101" s="16" t="e">
        <f t="shared" si="2"/>
        <v>#VALUE!</v>
      </c>
      <c r="E101" s="33">
        <v>2709.5</v>
      </c>
      <c r="F101" s="33">
        <v>2612.5</v>
      </c>
      <c r="G101" s="33">
        <v>2672.5</v>
      </c>
      <c r="H101" s="33">
        <v>2597</v>
      </c>
      <c r="I101" s="33">
        <v>2581.5</v>
      </c>
      <c r="J101" s="33">
        <v>2546</v>
      </c>
      <c r="K101" s="33">
        <v>2584.5</v>
      </c>
      <c r="L101" s="33">
        <v>2537.5</v>
      </c>
      <c r="M101" s="33">
        <v>2502</v>
      </c>
      <c r="N101" s="33">
        <v>2538</v>
      </c>
      <c r="O101" s="33">
        <v>2455.5</v>
      </c>
      <c r="P101" s="33">
        <v>2405.5</v>
      </c>
      <c r="Q101" s="33">
        <v>2462</v>
      </c>
      <c r="R101" s="33">
        <v>2405</v>
      </c>
      <c r="S101" s="33">
        <v>2376</v>
      </c>
      <c r="T101" s="33">
        <v>2347</v>
      </c>
      <c r="U101" s="33">
        <v>2358</v>
      </c>
      <c r="V101" s="33">
        <v>2301</v>
      </c>
      <c r="W101" s="33">
        <v>2308.5</v>
      </c>
      <c r="X101" s="33">
        <v>2277.5</v>
      </c>
      <c r="Y101" s="33">
        <v>2244</v>
      </c>
      <c r="Z101" s="33">
        <v>2260.5</v>
      </c>
      <c r="AA101" s="33">
        <v>2242</v>
      </c>
      <c r="AB101" s="33">
        <v>2220</v>
      </c>
      <c r="AC101" s="33">
        <v>2239.5</v>
      </c>
      <c r="AD101" s="33">
        <v>2284</v>
      </c>
      <c r="AE101" s="33">
        <v>2211.5</v>
      </c>
      <c r="AF101" s="33">
        <v>2189</v>
      </c>
      <c r="AG101" s="33">
        <v>2180.5</v>
      </c>
      <c r="AH101" s="33">
        <v>2171.5</v>
      </c>
      <c r="AI101" s="33">
        <v>2139</v>
      </c>
      <c r="AJ101" s="33">
        <v>2173.5</v>
      </c>
      <c r="AK101" s="33">
        <v>2257</v>
      </c>
      <c r="AL101" s="33">
        <v>2213.5</v>
      </c>
      <c r="AM101" s="33">
        <v>2116</v>
      </c>
      <c r="AN101" s="33">
        <v>2103</v>
      </c>
      <c r="AO101" s="33">
        <v>2111</v>
      </c>
      <c r="AP101" s="33">
        <v>2141.5</v>
      </c>
      <c r="AQ101" s="33">
        <v>2199</v>
      </c>
      <c r="AR101" s="33">
        <v>2141.5</v>
      </c>
      <c r="AS101" s="33">
        <v>2115.5</v>
      </c>
      <c r="AT101" s="33">
        <v>2128</v>
      </c>
      <c r="AU101" s="33">
        <v>2131</v>
      </c>
      <c r="AV101" s="33">
        <v>2159</v>
      </c>
      <c r="AW101" s="33">
        <v>2168</v>
      </c>
      <c r="AX101" s="33">
        <v>2162</v>
      </c>
      <c r="AY101" s="33">
        <v>2223</v>
      </c>
      <c r="AZ101" s="33">
        <v>2144</v>
      </c>
      <c r="BA101" s="33">
        <v>2191</v>
      </c>
      <c r="BB101" s="33">
        <v>2188</v>
      </c>
      <c r="BC101" s="33">
        <v>2395</v>
      </c>
      <c r="BD101" s="33">
        <v>2378</v>
      </c>
      <c r="BE101" s="33">
        <v>2390</v>
      </c>
      <c r="BF101" s="33">
        <v>2481.5</v>
      </c>
      <c r="BG101" s="33">
        <v>2577.5</v>
      </c>
      <c r="BH101" s="33">
        <v>2613</v>
      </c>
      <c r="BI101" s="33">
        <v>2640</v>
      </c>
      <c r="BJ101" s="33">
        <v>2615</v>
      </c>
      <c r="BK101" s="33">
        <v>2638.5</v>
      </c>
      <c r="BL101" s="33">
        <v>2556.5</v>
      </c>
      <c r="BM101" s="1">
        <v>2548</v>
      </c>
      <c r="BN101" s="1">
        <v>2579</v>
      </c>
      <c r="BO101" s="1">
        <v>2584</v>
      </c>
      <c r="BP101" s="1">
        <v>2612.5</v>
      </c>
    </row>
    <row r="102" spans="1:68" ht="15.9" customHeight="1">
      <c r="A102" s="68" t="s">
        <v>199</v>
      </c>
      <c r="B102" s="44" t="s">
        <v>200</v>
      </c>
      <c r="C102" s="48" t="str">
        <f>_xll.RssMarket("5802","安値")</f>
        <v/>
      </c>
      <c r="D102" s="16" t="e">
        <f t="shared" ref="D102:D133" si="3">C102-E102</f>
        <v>#VALUE!</v>
      </c>
      <c r="E102" s="33">
        <v>2151.5</v>
      </c>
      <c r="F102" s="33">
        <v>2456.5</v>
      </c>
      <c r="G102" s="33">
        <v>2388</v>
      </c>
      <c r="H102" s="33">
        <v>2446.5</v>
      </c>
      <c r="I102" s="33">
        <v>2525</v>
      </c>
      <c r="J102" s="33">
        <v>2371</v>
      </c>
      <c r="K102" s="33">
        <v>2289</v>
      </c>
      <c r="L102" s="33">
        <v>2423.5</v>
      </c>
      <c r="M102" s="33">
        <v>2557</v>
      </c>
      <c r="N102" s="33">
        <v>2509</v>
      </c>
      <c r="O102" s="33">
        <v>2640</v>
      </c>
      <c r="P102" s="33">
        <v>2810.5</v>
      </c>
      <c r="Q102" s="33">
        <v>2882</v>
      </c>
      <c r="R102" s="33">
        <v>2768</v>
      </c>
      <c r="S102" s="33">
        <v>11805</v>
      </c>
      <c r="T102" s="33">
        <v>12100</v>
      </c>
      <c r="U102" s="33">
        <v>11885</v>
      </c>
      <c r="V102" s="33">
        <v>12480</v>
      </c>
      <c r="W102" s="33">
        <v>13245</v>
      </c>
      <c r="X102" s="33">
        <v>13230</v>
      </c>
      <c r="Y102" s="33">
        <v>11925</v>
      </c>
      <c r="Z102" s="33">
        <v>11935</v>
      </c>
      <c r="AA102" s="33">
        <v>11475</v>
      </c>
      <c r="AB102" s="33">
        <v>11240</v>
      </c>
      <c r="AC102" s="33">
        <v>10885</v>
      </c>
      <c r="AD102" s="33">
        <v>9817</v>
      </c>
      <c r="AE102" s="33">
        <v>10435</v>
      </c>
      <c r="AF102" s="33">
        <v>11705</v>
      </c>
      <c r="AG102" s="33">
        <v>12660</v>
      </c>
      <c r="AH102" s="33">
        <v>13265</v>
      </c>
      <c r="AI102" s="33">
        <v>13725</v>
      </c>
      <c r="AJ102" s="33">
        <v>12315</v>
      </c>
      <c r="AK102" s="33">
        <v>11855</v>
      </c>
      <c r="AL102" s="33">
        <v>11565</v>
      </c>
      <c r="AM102" s="33">
        <v>11985</v>
      </c>
      <c r="AN102" s="33">
        <v>12110</v>
      </c>
      <c r="AO102" s="33">
        <v>11400</v>
      </c>
      <c r="AP102" s="33">
        <v>10345</v>
      </c>
      <c r="AQ102" s="33">
        <v>10055</v>
      </c>
      <c r="AR102" s="33">
        <v>10650</v>
      </c>
      <c r="AS102" s="33">
        <v>10855</v>
      </c>
      <c r="AT102" s="33">
        <v>11675</v>
      </c>
      <c r="AU102" s="33">
        <v>11080</v>
      </c>
      <c r="AV102" s="33">
        <v>10890</v>
      </c>
      <c r="AW102" s="33">
        <v>11210</v>
      </c>
      <c r="AX102" s="33">
        <v>10835</v>
      </c>
      <c r="AY102" s="33">
        <v>10710</v>
      </c>
      <c r="AZ102" s="33">
        <v>9900</v>
      </c>
      <c r="BA102" s="33">
        <v>10030</v>
      </c>
      <c r="BB102" s="33">
        <v>9952</v>
      </c>
      <c r="BC102" s="33">
        <v>9940</v>
      </c>
      <c r="BD102" s="33">
        <v>10015</v>
      </c>
      <c r="BE102" s="33">
        <v>9995</v>
      </c>
      <c r="BF102" s="33">
        <v>10030</v>
      </c>
      <c r="BG102" s="33">
        <v>10190</v>
      </c>
      <c r="BH102" s="33">
        <v>9913</v>
      </c>
      <c r="BI102" s="33">
        <v>9852</v>
      </c>
      <c r="BJ102" s="33">
        <v>9627</v>
      </c>
      <c r="BK102" s="33">
        <v>9551</v>
      </c>
      <c r="BL102" s="33">
        <v>9859</v>
      </c>
      <c r="BM102" s="1">
        <v>9778</v>
      </c>
      <c r="BN102" s="1">
        <v>10100</v>
      </c>
      <c r="BO102" s="1">
        <v>9970</v>
      </c>
      <c r="BP102" s="1">
        <v>9916</v>
      </c>
    </row>
    <row r="103" spans="1:68" ht="15.9" customHeight="1">
      <c r="A103" s="68" t="s">
        <v>201</v>
      </c>
      <c r="B103" s="44" t="s">
        <v>202</v>
      </c>
      <c r="C103" s="48" t="str">
        <f>_xll.RssMarket("5803","安値")</f>
        <v/>
      </c>
      <c r="D103" s="16" t="e">
        <f t="shared" si="3"/>
        <v>#VALUE!</v>
      </c>
      <c r="E103" s="33">
        <v>4280</v>
      </c>
      <c r="F103" s="33">
        <v>4834</v>
      </c>
      <c r="G103" s="33">
        <v>4564</v>
      </c>
      <c r="H103" s="33">
        <v>4915</v>
      </c>
      <c r="I103" s="33">
        <v>5095</v>
      </c>
      <c r="J103" s="33">
        <v>4904</v>
      </c>
      <c r="K103" s="33">
        <v>4816</v>
      </c>
      <c r="L103" s="33">
        <v>5050</v>
      </c>
      <c r="M103" s="33">
        <v>5221</v>
      </c>
      <c r="N103" s="33">
        <v>5006</v>
      </c>
      <c r="O103" s="33">
        <v>5361</v>
      </c>
      <c r="P103" s="33">
        <v>5802</v>
      </c>
      <c r="Q103" s="33">
        <v>6039</v>
      </c>
      <c r="R103" s="33">
        <v>5611</v>
      </c>
      <c r="S103" s="33">
        <v>6066</v>
      </c>
      <c r="T103" s="33">
        <v>6302</v>
      </c>
      <c r="U103" s="33">
        <v>6138</v>
      </c>
      <c r="V103" s="33">
        <v>6314</v>
      </c>
      <c r="W103" s="33">
        <v>6161</v>
      </c>
      <c r="X103" s="33">
        <v>5161</v>
      </c>
      <c r="Y103" s="33">
        <v>4461</v>
      </c>
      <c r="Z103" s="33">
        <v>4562</v>
      </c>
      <c r="AA103" s="33">
        <v>4308</v>
      </c>
      <c r="AB103" s="33">
        <v>4301</v>
      </c>
      <c r="AC103" s="33">
        <v>4136</v>
      </c>
      <c r="AD103" s="33">
        <v>3888</v>
      </c>
      <c r="AE103" s="33">
        <v>4118</v>
      </c>
      <c r="AF103" s="33">
        <v>4337</v>
      </c>
      <c r="AG103" s="33">
        <v>4523</v>
      </c>
      <c r="AH103" s="33">
        <v>4610</v>
      </c>
      <c r="AI103" s="33">
        <v>4745</v>
      </c>
      <c r="AJ103" s="33">
        <v>4351</v>
      </c>
      <c r="AK103" s="33">
        <v>4668</v>
      </c>
      <c r="AL103" s="33">
        <v>4803</v>
      </c>
      <c r="AM103" s="33">
        <v>5035</v>
      </c>
      <c r="AN103" s="33">
        <v>5151</v>
      </c>
      <c r="AO103" s="33">
        <v>4558</v>
      </c>
      <c r="AP103" s="33">
        <v>4315</v>
      </c>
      <c r="AQ103" s="33">
        <v>4156</v>
      </c>
      <c r="AR103" s="33">
        <v>4660</v>
      </c>
      <c r="AS103" s="33">
        <v>5580</v>
      </c>
      <c r="AT103" s="33">
        <v>5725</v>
      </c>
      <c r="AU103" s="33">
        <v>6355</v>
      </c>
      <c r="AV103" s="33">
        <v>7303</v>
      </c>
      <c r="AW103" s="33">
        <v>7085</v>
      </c>
      <c r="AX103" s="33">
        <v>6634</v>
      </c>
      <c r="AY103" s="33">
        <v>6262</v>
      </c>
      <c r="AZ103" s="33">
        <v>6225</v>
      </c>
      <c r="BA103" s="33">
        <v>5803</v>
      </c>
      <c r="BB103" s="33">
        <v>5916</v>
      </c>
      <c r="BC103" s="33">
        <v>6120</v>
      </c>
      <c r="BD103" s="33">
        <v>5993</v>
      </c>
      <c r="BE103" s="33">
        <v>5894</v>
      </c>
      <c r="BF103" s="33">
        <v>5780</v>
      </c>
      <c r="BG103" s="33">
        <v>5688</v>
      </c>
      <c r="BH103" s="33">
        <v>5574</v>
      </c>
      <c r="BI103" s="33">
        <v>5523</v>
      </c>
      <c r="BJ103" s="33">
        <v>5756</v>
      </c>
      <c r="BK103" s="33">
        <v>5550</v>
      </c>
      <c r="BL103" s="33">
        <v>5625</v>
      </c>
      <c r="BM103" s="1">
        <v>5782</v>
      </c>
      <c r="BN103" s="1">
        <v>5647</v>
      </c>
      <c r="BO103" s="1">
        <v>5173</v>
      </c>
      <c r="BP103" s="1">
        <v>4740</v>
      </c>
    </row>
    <row r="104" spans="1:68" ht="15.9" customHeight="1">
      <c r="A104" s="68" t="s">
        <v>203</v>
      </c>
      <c r="B104" s="44" t="s">
        <v>204</v>
      </c>
      <c r="C104" s="48" t="str">
        <f>_xll.RssMarket("6178","安値")</f>
        <v/>
      </c>
      <c r="D104" s="16" t="e">
        <f t="shared" si="3"/>
        <v>#VALUE!</v>
      </c>
      <c r="E104" s="33">
        <v>2313.5</v>
      </c>
      <c r="F104" s="33">
        <v>2367.5</v>
      </c>
      <c r="G104" s="33">
        <v>2321</v>
      </c>
      <c r="H104" s="33">
        <v>2324</v>
      </c>
      <c r="I104" s="33">
        <v>2218</v>
      </c>
      <c r="J104" s="33">
        <v>2338.5</v>
      </c>
      <c r="K104" s="33">
        <v>2331</v>
      </c>
      <c r="L104" s="33">
        <v>2275</v>
      </c>
      <c r="M104" s="33">
        <v>2250.5</v>
      </c>
      <c r="N104" s="33">
        <v>2196</v>
      </c>
      <c r="O104" s="33">
        <v>2157</v>
      </c>
      <c r="P104" s="33">
        <v>2148</v>
      </c>
      <c r="Q104" s="33">
        <v>2129.5</v>
      </c>
      <c r="R104" s="33">
        <v>2148</v>
      </c>
      <c r="S104" s="33">
        <v>2170</v>
      </c>
      <c r="T104" s="33">
        <v>2212</v>
      </c>
      <c r="U104" s="33">
        <v>2207</v>
      </c>
      <c r="V104" s="33">
        <v>2194.5</v>
      </c>
      <c r="W104" s="33">
        <v>2201</v>
      </c>
      <c r="X104" s="33">
        <v>2203.5</v>
      </c>
      <c r="Y104" s="33">
        <v>2196.5</v>
      </c>
      <c r="Z104" s="33">
        <v>2213.5</v>
      </c>
      <c r="AA104" s="33">
        <v>2280</v>
      </c>
      <c r="AB104" s="33">
        <v>2257</v>
      </c>
      <c r="AC104" s="33">
        <v>2182.5</v>
      </c>
      <c r="AD104" s="33">
        <v>2189.5</v>
      </c>
      <c r="AE104" s="33">
        <v>2095.5</v>
      </c>
      <c r="AF104" s="33">
        <v>2106</v>
      </c>
      <c r="AG104" s="33">
        <v>2078.5</v>
      </c>
      <c r="AH104" s="33">
        <v>2062.5</v>
      </c>
      <c r="AI104" s="33">
        <v>1992.5</v>
      </c>
      <c r="AJ104" s="33">
        <v>2037</v>
      </c>
      <c r="AK104" s="33">
        <v>1995</v>
      </c>
      <c r="AL104" s="33">
        <v>2051</v>
      </c>
      <c r="AM104" s="33">
        <v>2056.5</v>
      </c>
      <c r="AN104" s="33">
        <v>2088.5</v>
      </c>
      <c r="AO104" s="33">
        <v>2097</v>
      </c>
      <c r="AP104" s="33">
        <v>2068</v>
      </c>
      <c r="AQ104" s="33">
        <v>2051</v>
      </c>
      <c r="AR104" s="33">
        <v>1986.5</v>
      </c>
      <c r="AS104" s="33">
        <v>1935.5</v>
      </c>
      <c r="AT104" s="33">
        <v>1929</v>
      </c>
      <c r="AU104" s="33">
        <v>1895</v>
      </c>
      <c r="AV104" s="33">
        <v>1869.5</v>
      </c>
      <c r="AW104" s="33">
        <v>1844</v>
      </c>
      <c r="AX104" s="33">
        <v>1824</v>
      </c>
      <c r="AY104" s="33">
        <v>1829.5</v>
      </c>
      <c r="AZ104" s="33">
        <v>1789</v>
      </c>
      <c r="BA104" s="33">
        <v>1787.5</v>
      </c>
      <c r="BB104" s="33">
        <v>1766.5</v>
      </c>
      <c r="BC104" s="33">
        <v>1740</v>
      </c>
      <c r="BD104" s="33">
        <v>1761.5</v>
      </c>
      <c r="BE104" s="33">
        <v>1752.5</v>
      </c>
      <c r="BF104" s="33">
        <v>1788.5</v>
      </c>
      <c r="BG104" s="33">
        <v>1812.5</v>
      </c>
      <c r="BH104" s="33">
        <v>1858.5</v>
      </c>
      <c r="BI104" s="33">
        <v>1869</v>
      </c>
      <c r="BJ104" s="33">
        <v>1880</v>
      </c>
      <c r="BK104" s="33">
        <v>1850</v>
      </c>
      <c r="BL104" s="33">
        <v>1836</v>
      </c>
      <c r="BM104" s="1">
        <v>1825</v>
      </c>
      <c r="BN104" s="1">
        <v>1852</v>
      </c>
      <c r="BO104" s="1">
        <v>1863</v>
      </c>
      <c r="BP104" s="1">
        <v>1893</v>
      </c>
    </row>
    <row r="105" spans="1:68" ht="15.9" customHeight="1">
      <c r="A105" s="68" t="s">
        <v>205</v>
      </c>
      <c r="B105" s="44" t="s">
        <v>206</v>
      </c>
      <c r="C105" s="48" t="str">
        <f>_xll.RssMarket("6925","安値")</f>
        <v/>
      </c>
      <c r="D105" s="16" t="e">
        <f t="shared" si="3"/>
        <v>#VALUE!</v>
      </c>
      <c r="E105" s="33">
        <v>3729</v>
      </c>
      <c r="F105" s="33">
        <v>4126</v>
      </c>
      <c r="G105" s="33">
        <v>4005</v>
      </c>
      <c r="H105" s="33">
        <v>4151</v>
      </c>
      <c r="I105" s="33">
        <v>4363</v>
      </c>
      <c r="J105" s="33">
        <v>4195</v>
      </c>
      <c r="K105" s="33">
        <v>4130</v>
      </c>
      <c r="L105" s="33">
        <v>4335</v>
      </c>
      <c r="M105" s="33">
        <v>4476</v>
      </c>
      <c r="N105" s="33">
        <v>4438</v>
      </c>
      <c r="O105" s="33">
        <v>4610</v>
      </c>
      <c r="P105" s="33">
        <v>4817</v>
      </c>
      <c r="Q105" s="33">
        <v>4286</v>
      </c>
      <c r="R105" s="33">
        <v>4181</v>
      </c>
      <c r="S105" s="33">
        <v>4287</v>
      </c>
      <c r="T105" s="33">
        <v>4458</v>
      </c>
      <c r="U105" s="33">
        <v>4351</v>
      </c>
      <c r="V105" s="33">
        <v>4523</v>
      </c>
      <c r="W105" s="33">
        <v>4652</v>
      </c>
      <c r="X105" s="33">
        <v>4608</v>
      </c>
      <c r="Y105" s="33">
        <v>4630</v>
      </c>
      <c r="Z105" s="33">
        <v>4405</v>
      </c>
      <c r="AA105" s="33">
        <v>4235</v>
      </c>
      <c r="AB105" s="33">
        <v>4145</v>
      </c>
      <c r="AC105" s="33">
        <v>3960</v>
      </c>
      <c r="AD105" s="33">
        <v>3771</v>
      </c>
      <c r="AE105" s="33">
        <v>3917</v>
      </c>
      <c r="AF105" s="33">
        <v>3883</v>
      </c>
      <c r="AG105" s="33">
        <v>4160</v>
      </c>
      <c r="AH105" s="33">
        <v>4036</v>
      </c>
      <c r="AI105" s="33">
        <v>4048</v>
      </c>
      <c r="AJ105" s="33">
        <v>3914</v>
      </c>
      <c r="AK105" s="33">
        <v>4133</v>
      </c>
      <c r="AL105" s="33">
        <v>4016</v>
      </c>
      <c r="AM105" s="33">
        <v>4143</v>
      </c>
      <c r="AN105" s="33">
        <v>4084</v>
      </c>
      <c r="AO105" s="33">
        <v>4027</v>
      </c>
      <c r="AP105" s="33">
        <v>3812</v>
      </c>
      <c r="AQ105" s="33">
        <v>3756</v>
      </c>
      <c r="AR105" s="33">
        <v>3889</v>
      </c>
      <c r="AS105" s="33">
        <v>4154</v>
      </c>
      <c r="AT105" s="33">
        <v>4239</v>
      </c>
      <c r="AU105" s="33">
        <v>3410</v>
      </c>
      <c r="AV105" s="33">
        <v>3415</v>
      </c>
      <c r="AW105" s="33">
        <v>3436</v>
      </c>
      <c r="AX105" s="33">
        <v>3370</v>
      </c>
      <c r="AY105" s="33">
        <v>3326</v>
      </c>
      <c r="AZ105" s="33">
        <v>3199</v>
      </c>
      <c r="BA105" s="33">
        <v>3095</v>
      </c>
      <c r="BB105" s="33">
        <v>3080</v>
      </c>
      <c r="BC105" s="33">
        <v>3071</v>
      </c>
      <c r="BD105" s="33">
        <v>3136</v>
      </c>
      <c r="BE105" s="33">
        <v>3192</v>
      </c>
      <c r="BF105" s="33">
        <v>3098</v>
      </c>
      <c r="BG105" s="33">
        <v>3152</v>
      </c>
      <c r="BH105" s="33">
        <v>3191</v>
      </c>
      <c r="BI105" s="33">
        <v>3120</v>
      </c>
      <c r="BJ105" s="33">
        <v>3133</v>
      </c>
      <c r="BK105" s="33">
        <v>3294</v>
      </c>
      <c r="BL105" s="33">
        <v>3282</v>
      </c>
      <c r="BM105" s="1">
        <v>3251</v>
      </c>
      <c r="BN105" s="1">
        <v>3216</v>
      </c>
      <c r="BO105" s="1">
        <v>3207</v>
      </c>
      <c r="BP105" s="1">
        <v>3168</v>
      </c>
    </row>
    <row r="106" spans="1:68" ht="15.9" customHeight="1">
      <c r="A106" s="68" t="s">
        <v>207</v>
      </c>
      <c r="B106" s="44" t="s">
        <v>208</v>
      </c>
      <c r="C106" s="48" t="str">
        <f>_xll.RssMarket("7021","安値")</f>
        <v/>
      </c>
      <c r="D106" s="16" t="e">
        <f t="shared" si="3"/>
        <v>#VALUE!</v>
      </c>
      <c r="E106" s="33">
        <v>1840</v>
      </c>
      <c r="F106" s="33">
        <v>1836</v>
      </c>
      <c r="G106" s="33">
        <v>1849</v>
      </c>
      <c r="H106" s="33">
        <v>1825</v>
      </c>
      <c r="I106" s="33">
        <v>1813</v>
      </c>
      <c r="J106" s="33">
        <v>1821</v>
      </c>
      <c r="K106" s="33">
        <v>1808</v>
      </c>
      <c r="L106" s="33">
        <v>1788</v>
      </c>
      <c r="M106" s="33">
        <v>1791</v>
      </c>
      <c r="N106" s="33">
        <v>1785</v>
      </c>
      <c r="O106" s="33">
        <v>1775</v>
      </c>
      <c r="P106" s="33">
        <v>1771</v>
      </c>
      <c r="Q106" s="33">
        <v>1770</v>
      </c>
      <c r="R106" s="33">
        <v>1761</v>
      </c>
      <c r="S106" s="33">
        <v>1760</v>
      </c>
      <c r="T106" s="33">
        <v>1753</v>
      </c>
      <c r="U106" s="33">
        <v>1751</v>
      </c>
      <c r="V106" s="33">
        <v>1800</v>
      </c>
      <c r="W106" s="33">
        <v>1780</v>
      </c>
      <c r="X106" s="33">
        <v>1764</v>
      </c>
      <c r="Y106" s="33">
        <v>1746</v>
      </c>
      <c r="Z106" s="33">
        <v>1800</v>
      </c>
      <c r="AA106" s="33">
        <v>1763</v>
      </c>
      <c r="AB106" s="33">
        <v>1759</v>
      </c>
      <c r="AC106" s="33">
        <v>1749</v>
      </c>
      <c r="AD106" s="33">
        <v>1754</v>
      </c>
      <c r="AE106" s="33">
        <v>1800</v>
      </c>
      <c r="AF106" s="33">
        <v>1854</v>
      </c>
      <c r="AG106" s="33">
        <v>1835</v>
      </c>
      <c r="AH106" s="33">
        <v>1805</v>
      </c>
      <c r="AI106" s="33">
        <v>1797</v>
      </c>
      <c r="AJ106" s="33">
        <v>1809</v>
      </c>
      <c r="AK106" s="33">
        <v>1812</v>
      </c>
      <c r="AL106" s="33">
        <v>1878</v>
      </c>
      <c r="AM106" s="33">
        <v>1877</v>
      </c>
      <c r="AN106" s="33">
        <v>1971</v>
      </c>
      <c r="AO106" s="33">
        <v>2155</v>
      </c>
      <c r="AP106" s="33">
        <v>2118</v>
      </c>
      <c r="AQ106" s="33">
        <v>2151</v>
      </c>
      <c r="AR106" s="33">
        <v>2121</v>
      </c>
      <c r="AS106" s="33">
        <v>2101</v>
      </c>
      <c r="AT106" s="33">
        <v>2142</v>
      </c>
      <c r="AU106" s="33">
        <v>2129</v>
      </c>
      <c r="AV106" s="33">
        <v>2151</v>
      </c>
      <c r="AW106" s="33">
        <v>2127</v>
      </c>
      <c r="AX106" s="33">
        <v>2212</v>
      </c>
      <c r="AY106" s="33">
        <v>2251</v>
      </c>
      <c r="AZ106" s="33">
        <v>2249</v>
      </c>
      <c r="BA106" s="33">
        <v>2289</v>
      </c>
      <c r="BB106" s="33">
        <v>2312</v>
      </c>
      <c r="BC106" s="33">
        <v>2308</v>
      </c>
      <c r="BD106" s="33">
        <v>2313</v>
      </c>
      <c r="BE106" s="33">
        <v>2334</v>
      </c>
      <c r="BF106" s="33">
        <v>2335</v>
      </c>
      <c r="BG106" s="33">
        <v>2306</v>
      </c>
      <c r="BH106" s="33">
        <v>2314</v>
      </c>
      <c r="BI106" s="33">
        <v>2298</v>
      </c>
      <c r="BJ106" s="33">
        <v>2296</v>
      </c>
      <c r="BK106" s="33">
        <v>2280</v>
      </c>
      <c r="BL106" s="33">
        <v>2260</v>
      </c>
      <c r="BM106" s="1">
        <v>2260</v>
      </c>
      <c r="BN106" s="1">
        <v>2240</v>
      </c>
      <c r="BO106" s="1">
        <v>2240</v>
      </c>
    </row>
    <row r="107" spans="1:68" ht="15.9" customHeight="1">
      <c r="A107" s="68" t="s">
        <v>209</v>
      </c>
      <c r="B107" s="44" t="s">
        <v>210</v>
      </c>
      <c r="C107" s="48" t="str">
        <f>_xll.RssMarket("7729","安値")</f>
        <v/>
      </c>
      <c r="D107" s="16" t="e">
        <f t="shared" si="3"/>
        <v>#VALUE!</v>
      </c>
      <c r="E107" s="33">
        <v>16420</v>
      </c>
      <c r="F107" s="33">
        <v>18325</v>
      </c>
      <c r="G107" s="33">
        <v>17610</v>
      </c>
      <c r="H107" s="33">
        <v>18625</v>
      </c>
      <c r="I107" s="33">
        <v>18350</v>
      </c>
      <c r="J107" s="33">
        <v>17595</v>
      </c>
      <c r="K107" s="33">
        <v>17095</v>
      </c>
      <c r="L107" s="33">
        <v>17720</v>
      </c>
      <c r="M107" s="33">
        <v>18300</v>
      </c>
      <c r="N107" s="33">
        <v>18050</v>
      </c>
      <c r="O107" s="33">
        <v>19110</v>
      </c>
      <c r="P107" s="33">
        <v>20520</v>
      </c>
      <c r="Q107" s="33">
        <v>19300</v>
      </c>
      <c r="R107" s="33">
        <v>18370</v>
      </c>
      <c r="S107" s="33">
        <v>18840</v>
      </c>
      <c r="T107" s="33">
        <v>19365</v>
      </c>
      <c r="U107" s="33">
        <v>18355</v>
      </c>
      <c r="V107" s="33">
        <v>18900</v>
      </c>
      <c r="W107" s="33">
        <v>19935</v>
      </c>
      <c r="X107" s="33">
        <v>19900</v>
      </c>
      <c r="Y107" s="33">
        <v>19785</v>
      </c>
      <c r="Z107" s="33">
        <v>18485</v>
      </c>
      <c r="AA107" s="33">
        <v>19190</v>
      </c>
      <c r="AB107" s="33">
        <v>19085</v>
      </c>
      <c r="AC107" s="33">
        <v>18300</v>
      </c>
      <c r="AD107" s="33">
        <v>16235</v>
      </c>
      <c r="AE107" s="33">
        <v>16925</v>
      </c>
      <c r="AF107" s="33">
        <v>15850</v>
      </c>
      <c r="AG107" s="33">
        <v>17290</v>
      </c>
      <c r="AH107" s="33">
        <v>17310</v>
      </c>
      <c r="AI107" s="33">
        <v>16975</v>
      </c>
      <c r="AJ107" s="33">
        <v>16240</v>
      </c>
      <c r="AK107" s="33">
        <v>17190</v>
      </c>
      <c r="AL107" s="33">
        <v>17135</v>
      </c>
      <c r="AM107" s="33">
        <v>17665</v>
      </c>
      <c r="AN107" s="33">
        <v>17580</v>
      </c>
      <c r="AO107" s="33">
        <v>16555</v>
      </c>
      <c r="AP107" s="33">
        <v>16235</v>
      </c>
      <c r="AQ107" s="33">
        <v>15260</v>
      </c>
      <c r="AR107" s="33">
        <v>15475</v>
      </c>
      <c r="AS107" s="33">
        <v>16075</v>
      </c>
      <c r="AT107" s="33">
        <v>16425</v>
      </c>
      <c r="AU107" s="33">
        <v>17560</v>
      </c>
      <c r="AV107" s="33">
        <v>18510</v>
      </c>
      <c r="AW107" s="33">
        <v>18710</v>
      </c>
      <c r="AX107" s="33">
        <v>18780</v>
      </c>
      <c r="AY107" s="33">
        <v>17740</v>
      </c>
      <c r="AZ107" s="33">
        <v>18255</v>
      </c>
      <c r="BA107" s="33">
        <v>17130</v>
      </c>
      <c r="BB107" s="33">
        <v>17095</v>
      </c>
      <c r="BC107" s="33">
        <v>17140</v>
      </c>
      <c r="BD107" s="33">
        <v>17225</v>
      </c>
      <c r="BE107" s="33">
        <v>16905</v>
      </c>
      <c r="BF107" s="33">
        <v>16745</v>
      </c>
      <c r="BG107" s="33">
        <v>16460</v>
      </c>
      <c r="BH107" s="33">
        <v>16270</v>
      </c>
      <c r="BI107" s="33">
        <v>16205</v>
      </c>
      <c r="BJ107" s="33">
        <v>16400</v>
      </c>
      <c r="BK107" s="33">
        <v>16510</v>
      </c>
      <c r="BL107" s="33">
        <v>16300</v>
      </c>
      <c r="BM107" s="1">
        <v>15905</v>
      </c>
      <c r="BN107" s="1">
        <v>15415</v>
      </c>
      <c r="BO107" s="1">
        <v>15605</v>
      </c>
      <c r="BP107" s="1">
        <v>15090</v>
      </c>
    </row>
    <row r="108" spans="1:68" ht="15.9" customHeight="1">
      <c r="A108" s="68" t="s">
        <v>211</v>
      </c>
      <c r="B108" s="44" t="s">
        <v>212</v>
      </c>
      <c r="C108" s="48" t="str">
        <f>_xll.RssMarket("8424","安値")</f>
        <v/>
      </c>
      <c r="D108" s="16" t="e">
        <f t="shared" si="3"/>
        <v>#VALUE!</v>
      </c>
      <c r="E108" s="33">
        <v>4312</v>
      </c>
      <c r="F108" s="33">
        <v>4346</v>
      </c>
      <c r="G108" s="33">
        <v>4289</v>
      </c>
      <c r="H108" s="33">
        <v>4262</v>
      </c>
      <c r="I108" s="33">
        <v>4256</v>
      </c>
      <c r="J108" s="33">
        <v>4228</v>
      </c>
      <c r="K108" s="33">
        <v>4260</v>
      </c>
      <c r="L108" s="33">
        <v>4188</v>
      </c>
      <c r="M108" s="33">
        <v>4174</v>
      </c>
      <c r="N108" s="33">
        <v>4162</v>
      </c>
      <c r="O108" s="33">
        <v>4220</v>
      </c>
      <c r="P108" s="33">
        <v>4208</v>
      </c>
      <c r="Q108" s="33">
        <v>4215</v>
      </c>
      <c r="R108" s="33">
        <v>4194</v>
      </c>
      <c r="S108" s="33">
        <v>4175</v>
      </c>
      <c r="T108" s="33">
        <v>4167</v>
      </c>
      <c r="U108" s="33">
        <v>4205</v>
      </c>
      <c r="V108" s="33">
        <v>4199</v>
      </c>
      <c r="W108" s="33">
        <v>4228</v>
      </c>
      <c r="X108" s="33">
        <v>4236</v>
      </c>
      <c r="Y108" s="33">
        <v>4295</v>
      </c>
      <c r="Z108" s="33">
        <v>4228</v>
      </c>
      <c r="AA108" s="33">
        <v>4263</v>
      </c>
      <c r="AB108" s="33">
        <v>4253</v>
      </c>
      <c r="AC108" s="33">
        <v>4101</v>
      </c>
      <c r="AD108" s="33">
        <v>4072</v>
      </c>
      <c r="AE108" s="33">
        <v>4060</v>
      </c>
      <c r="AF108" s="33">
        <v>4036</v>
      </c>
      <c r="AG108" s="33">
        <v>4016</v>
      </c>
      <c r="AH108" s="33">
        <v>4154</v>
      </c>
      <c r="AI108" s="33">
        <v>4158</v>
      </c>
      <c r="AJ108" s="33">
        <v>4151</v>
      </c>
      <c r="AK108" s="33">
        <v>4205</v>
      </c>
      <c r="AL108" s="33">
        <v>4255</v>
      </c>
      <c r="AM108" s="33">
        <v>4351</v>
      </c>
      <c r="AN108" s="33">
        <v>4310</v>
      </c>
      <c r="AO108" s="33">
        <v>4324</v>
      </c>
      <c r="AP108" s="33">
        <v>4304</v>
      </c>
      <c r="AQ108" s="33">
        <v>4342</v>
      </c>
      <c r="AR108" s="33">
        <v>4308</v>
      </c>
      <c r="AS108" s="33">
        <v>4303</v>
      </c>
      <c r="AT108" s="33">
        <v>4270</v>
      </c>
      <c r="AU108" s="33">
        <v>4267</v>
      </c>
      <c r="AV108" s="33">
        <v>4251</v>
      </c>
      <c r="AW108" s="33">
        <v>4300</v>
      </c>
      <c r="AX108" s="33">
        <v>4245</v>
      </c>
      <c r="AY108" s="33">
        <v>4298</v>
      </c>
      <c r="AZ108" s="33">
        <v>4261</v>
      </c>
      <c r="BA108" s="33">
        <v>4234</v>
      </c>
      <c r="BB108" s="33">
        <v>4237</v>
      </c>
      <c r="BC108" s="33">
        <v>4217</v>
      </c>
      <c r="BD108" s="33">
        <v>4239</v>
      </c>
      <c r="BE108" s="33">
        <v>4258</v>
      </c>
      <c r="BF108" s="33">
        <v>4303</v>
      </c>
      <c r="BG108" s="33">
        <v>4326</v>
      </c>
      <c r="BH108" s="33">
        <v>4329</v>
      </c>
      <c r="BI108" s="33">
        <v>4311</v>
      </c>
      <c r="BJ108" s="33">
        <v>4302</v>
      </c>
      <c r="BK108" s="33">
        <v>4314</v>
      </c>
      <c r="BL108" s="33">
        <v>4338</v>
      </c>
      <c r="BM108" s="1">
        <v>4395</v>
      </c>
      <c r="BN108" s="1">
        <v>4425</v>
      </c>
      <c r="BO108" s="1">
        <v>4347</v>
      </c>
      <c r="BP108" s="1">
        <v>4333</v>
      </c>
    </row>
    <row r="109" spans="1:68" ht="15.9" customHeight="1">
      <c r="A109" s="68" t="s">
        <v>213</v>
      </c>
      <c r="B109" s="44" t="s">
        <v>214</v>
      </c>
      <c r="C109" s="48" t="str">
        <f>_xll.RssMarket("9020","安値")</f>
        <v/>
      </c>
      <c r="D109" s="16" t="e">
        <f t="shared" si="3"/>
        <v>#VALUE!</v>
      </c>
      <c r="E109" s="33">
        <v>3593</v>
      </c>
      <c r="F109" s="33">
        <v>3531</v>
      </c>
      <c r="G109" s="33">
        <v>3558</v>
      </c>
      <c r="H109" s="33">
        <v>3469</v>
      </c>
      <c r="I109" s="33">
        <v>3457</v>
      </c>
      <c r="J109" s="33">
        <v>3474</v>
      </c>
      <c r="K109" s="33">
        <v>3536</v>
      </c>
      <c r="L109" s="33">
        <v>3489</v>
      </c>
      <c r="M109" s="33">
        <v>3460</v>
      </c>
      <c r="N109" s="33">
        <v>3451</v>
      </c>
      <c r="O109" s="33">
        <v>3338</v>
      </c>
      <c r="P109" s="33">
        <v>3295</v>
      </c>
      <c r="Q109" s="33">
        <v>3408</v>
      </c>
      <c r="R109" s="33">
        <v>3400</v>
      </c>
      <c r="S109" s="33">
        <v>3338</v>
      </c>
      <c r="T109" s="33">
        <v>3332</v>
      </c>
      <c r="U109" s="33">
        <v>3352</v>
      </c>
      <c r="V109" s="33">
        <v>3306</v>
      </c>
      <c r="W109" s="33">
        <v>3314</v>
      </c>
      <c r="X109" s="33">
        <v>3320</v>
      </c>
      <c r="Y109" s="33">
        <v>3313</v>
      </c>
      <c r="Z109" s="33">
        <v>3336</v>
      </c>
      <c r="AA109" s="33">
        <v>3356</v>
      </c>
      <c r="AB109" s="33">
        <v>3362</v>
      </c>
      <c r="AC109" s="33">
        <v>3389</v>
      </c>
      <c r="AD109" s="33">
        <v>3414</v>
      </c>
      <c r="AE109" s="33">
        <v>3373</v>
      </c>
      <c r="AF109" s="33">
        <v>3345</v>
      </c>
      <c r="AG109" s="33">
        <v>3279</v>
      </c>
      <c r="AH109" s="33">
        <v>3243</v>
      </c>
      <c r="AI109" s="33">
        <v>3262</v>
      </c>
      <c r="AJ109" s="33">
        <v>3292</v>
      </c>
      <c r="AK109" s="33">
        <v>3412</v>
      </c>
      <c r="AL109" s="33">
        <v>3444</v>
      </c>
      <c r="AM109" s="33">
        <v>3458</v>
      </c>
      <c r="AN109" s="33">
        <v>3518</v>
      </c>
      <c r="AO109" s="33">
        <v>3603</v>
      </c>
      <c r="AP109" s="33">
        <v>3692</v>
      </c>
      <c r="AQ109" s="33">
        <v>3729</v>
      </c>
      <c r="AR109" s="33">
        <v>3730</v>
      </c>
      <c r="AS109" s="33">
        <v>3682</v>
      </c>
      <c r="AT109" s="33">
        <v>3657</v>
      </c>
      <c r="AU109" s="33">
        <v>3661</v>
      </c>
      <c r="AV109" s="33">
        <v>3744</v>
      </c>
      <c r="AW109" s="33">
        <v>3588</v>
      </c>
      <c r="AX109" s="33">
        <v>3611</v>
      </c>
      <c r="AY109" s="33">
        <v>3600</v>
      </c>
      <c r="AZ109" s="33">
        <v>3567</v>
      </c>
      <c r="BA109" s="33">
        <v>3602</v>
      </c>
      <c r="BB109" s="33">
        <v>3277</v>
      </c>
      <c r="BC109" s="33">
        <v>3415</v>
      </c>
      <c r="BD109" s="33">
        <v>3391</v>
      </c>
      <c r="BE109" s="33">
        <v>3418</v>
      </c>
      <c r="BF109" s="33">
        <v>3476</v>
      </c>
      <c r="BG109" s="33">
        <v>3511</v>
      </c>
      <c r="BH109" s="33">
        <v>3487</v>
      </c>
      <c r="BI109" s="33">
        <v>3491</v>
      </c>
      <c r="BJ109" s="33">
        <v>3475</v>
      </c>
      <c r="BK109" s="33">
        <v>3525</v>
      </c>
      <c r="BL109" s="33">
        <v>3525</v>
      </c>
      <c r="BM109" s="1">
        <v>3505</v>
      </c>
      <c r="BN109" s="1">
        <v>3559</v>
      </c>
      <c r="BO109" s="1">
        <v>3545</v>
      </c>
      <c r="BP109" s="1">
        <v>3550</v>
      </c>
    </row>
    <row r="110" spans="1:68" ht="15.9" customHeight="1">
      <c r="A110" s="68" t="s">
        <v>215</v>
      </c>
      <c r="B110" s="44" t="s">
        <v>216</v>
      </c>
      <c r="C110" s="48" t="str">
        <f>_xll.RssMarket("9069","安値")</f>
        <v/>
      </c>
      <c r="D110" s="16" t="e">
        <f t="shared" si="3"/>
        <v>#VALUE!</v>
      </c>
      <c r="E110" s="33">
        <v>2132</v>
      </c>
      <c r="F110" s="33">
        <v>2114</v>
      </c>
      <c r="G110" s="33">
        <v>2101</v>
      </c>
      <c r="H110" s="33">
        <v>2064</v>
      </c>
      <c r="I110" s="33">
        <v>2032</v>
      </c>
      <c r="J110" s="33">
        <v>2018</v>
      </c>
      <c r="K110" s="33">
        <v>2004</v>
      </c>
      <c r="L110" s="33">
        <v>1986</v>
      </c>
      <c r="M110" s="33">
        <v>1976.5</v>
      </c>
      <c r="N110" s="33">
        <v>1952.5</v>
      </c>
      <c r="O110" s="33">
        <v>1903</v>
      </c>
      <c r="P110" s="33">
        <v>1899</v>
      </c>
      <c r="Q110" s="33">
        <v>1927</v>
      </c>
      <c r="R110" s="33">
        <v>1922</v>
      </c>
      <c r="S110" s="33">
        <v>1898.5</v>
      </c>
      <c r="T110" s="33">
        <v>1884</v>
      </c>
      <c r="U110" s="33">
        <v>1865.5</v>
      </c>
      <c r="V110" s="33">
        <v>1889.5</v>
      </c>
      <c r="W110" s="33">
        <v>1878.5</v>
      </c>
      <c r="X110" s="33">
        <v>1872</v>
      </c>
      <c r="Y110" s="33">
        <v>1888.5</v>
      </c>
      <c r="Z110" s="33">
        <v>1898</v>
      </c>
      <c r="AA110" s="33">
        <v>1932.5</v>
      </c>
      <c r="AB110" s="33">
        <v>1933.5</v>
      </c>
      <c r="AC110" s="33">
        <v>1908</v>
      </c>
      <c r="AD110" s="33">
        <v>1896.5</v>
      </c>
      <c r="AE110" s="33">
        <v>1940</v>
      </c>
      <c r="AF110" s="33">
        <v>1900</v>
      </c>
      <c r="AG110" s="33">
        <v>1897.5</v>
      </c>
      <c r="AH110" s="33">
        <v>1880.5</v>
      </c>
      <c r="AI110" s="33">
        <v>1873</v>
      </c>
      <c r="AJ110" s="33">
        <v>1860</v>
      </c>
      <c r="AK110" s="33">
        <v>1902.5</v>
      </c>
      <c r="AL110" s="33">
        <v>1892.5</v>
      </c>
      <c r="AM110" s="33">
        <v>1897.5</v>
      </c>
      <c r="AN110" s="33">
        <v>1922</v>
      </c>
      <c r="AO110" s="33">
        <v>1938.5</v>
      </c>
      <c r="AP110" s="33">
        <v>1992.5</v>
      </c>
      <c r="AQ110" s="33">
        <v>1987.5</v>
      </c>
      <c r="AR110" s="33">
        <v>2004</v>
      </c>
      <c r="AS110" s="33">
        <v>1979</v>
      </c>
      <c r="AT110" s="33">
        <v>1986.5</v>
      </c>
      <c r="AU110" s="33">
        <v>1901</v>
      </c>
      <c r="AV110" s="33">
        <v>1829.5</v>
      </c>
      <c r="AW110" s="33">
        <v>1808</v>
      </c>
      <c r="AX110" s="33">
        <v>1847.5</v>
      </c>
      <c r="AY110" s="33">
        <v>1847</v>
      </c>
      <c r="AZ110" s="33">
        <v>1812</v>
      </c>
      <c r="BA110" s="33">
        <v>1824.5</v>
      </c>
      <c r="BB110" s="33">
        <v>1834</v>
      </c>
      <c r="BC110" s="33">
        <v>1834.5</v>
      </c>
      <c r="BD110" s="33">
        <v>1802.5</v>
      </c>
      <c r="BE110" s="33">
        <v>1847</v>
      </c>
      <c r="BF110" s="33">
        <v>1863</v>
      </c>
      <c r="BG110" s="33">
        <v>1882.5</v>
      </c>
      <c r="BH110" s="33">
        <v>1900</v>
      </c>
      <c r="BI110" s="33">
        <v>1891</v>
      </c>
      <c r="BJ110" s="33">
        <v>1884.5</v>
      </c>
      <c r="BK110" s="33">
        <v>1888.5</v>
      </c>
      <c r="BL110" s="33">
        <v>1887</v>
      </c>
      <c r="BM110" s="1">
        <v>1870.5</v>
      </c>
      <c r="BN110" s="1">
        <v>1863</v>
      </c>
      <c r="BO110" s="1">
        <v>1867.5</v>
      </c>
      <c r="BP110" s="1">
        <v>1904</v>
      </c>
    </row>
    <row r="111" spans="1:68" ht="15.9" customHeight="1">
      <c r="A111" s="68" t="s">
        <v>217</v>
      </c>
      <c r="B111" s="44" t="s">
        <v>218</v>
      </c>
      <c r="C111" s="48" t="str">
        <f>_xll.RssMarket("9227","安値")</f>
        <v/>
      </c>
      <c r="D111" s="16" t="e">
        <f t="shared" si="3"/>
        <v>#VALUE!</v>
      </c>
      <c r="E111" s="33">
        <v>753</v>
      </c>
      <c r="F111" s="33">
        <v>827</v>
      </c>
      <c r="G111" s="33">
        <v>825</v>
      </c>
      <c r="H111" s="33">
        <v>827</v>
      </c>
      <c r="I111" s="33">
        <v>860</v>
      </c>
      <c r="J111" s="33">
        <v>861</v>
      </c>
      <c r="K111" s="33">
        <v>904</v>
      </c>
      <c r="L111" s="33">
        <v>933</v>
      </c>
      <c r="M111" s="33">
        <v>930</v>
      </c>
      <c r="N111" s="33">
        <v>920</v>
      </c>
      <c r="O111" s="33">
        <v>922</v>
      </c>
      <c r="P111" s="33">
        <v>912</v>
      </c>
      <c r="Q111" s="33">
        <v>884</v>
      </c>
      <c r="R111" s="33">
        <v>871</v>
      </c>
      <c r="S111" s="33">
        <v>874</v>
      </c>
      <c r="T111" s="33">
        <v>884</v>
      </c>
      <c r="U111" s="33">
        <v>883</v>
      </c>
      <c r="V111" s="33">
        <v>892</v>
      </c>
      <c r="W111" s="33">
        <v>890</v>
      </c>
      <c r="X111" s="33">
        <v>884</v>
      </c>
      <c r="Y111" s="33">
        <v>870</v>
      </c>
      <c r="Z111" s="33">
        <v>868</v>
      </c>
      <c r="AA111" s="33">
        <v>862</v>
      </c>
      <c r="AB111" s="33">
        <v>882</v>
      </c>
      <c r="AC111" s="33">
        <v>851</v>
      </c>
      <c r="AD111" s="33">
        <v>834</v>
      </c>
      <c r="AE111" s="33">
        <v>851</v>
      </c>
      <c r="AF111" s="33">
        <v>882</v>
      </c>
      <c r="AG111" s="33">
        <v>885</v>
      </c>
      <c r="AH111" s="33">
        <v>878</v>
      </c>
      <c r="AI111" s="33">
        <v>903</v>
      </c>
      <c r="AJ111" s="33">
        <v>890</v>
      </c>
      <c r="AK111" s="33">
        <v>1025</v>
      </c>
      <c r="AL111" s="33">
        <v>1087</v>
      </c>
      <c r="AM111" s="33">
        <v>1133</v>
      </c>
      <c r="AN111" s="33">
        <v>1093</v>
      </c>
      <c r="AO111" s="33">
        <v>943</v>
      </c>
      <c r="AP111" s="33">
        <v>767</v>
      </c>
      <c r="AQ111" s="33">
        <v>750</v>
      </c>
      <c r="AR111" s="33">
        <v>797</v>
      </c>
      <c r="AS111" s="33">
        <v>809</v>
      </c>
      <c r="AT111" s="33">
        <v>791</v>
      </c>
      <c r="AU111" s="33">
        <v>840</v>
      </c>
      <c r="AV111" s="33">
        <v>960</v>
      </c>
      <c r="AW111" s="33">
        <v>980</v>
      </c>
      <c r="AX111" s="33">
        <v>987</v>
      </c>
      <c r="AY111" s="33">
        <v>1004</v>
      </c>
      <c r="AZ111" s="33">
        <v>1018</v>
      </c>
      <c r="BA111" s="33">
        <v>1018</v>
      </c>
      <c r="BB111" s="33">
        <v>1030</v>
      </c>
      <c r="BC111" s="33">
        <v>1030</v>
      </c>
      <c r="BD111" s="33">
        <v>1062</v>
      </c>
      <c r="BE111" s="33">
        <v>1082</v>
      </c>
      <c r="BF111" s="33">
        <v>1125</v>
      </c>
      <c r="BG111" s="33">
        <v>1166</v>
      </c>
      <c r="BH111" s="33">
        <v>1098</v>
      </c>
      <c r="BI111" s="33">
        <v>1019</v>
      </c>
      <c r="BJ111" s="33">
        <v>1028</v>
      </c>
      <c r="BK111" s="33">
        <v>995</v>
      </c>
      <c r="BL111" s="33">
        <v>988</v>
      </c>
      <c r="BM111" s="1">
        <v>939</v>
      </c>
      <c r="BN111" s="1">
        <v>945</v>
      </c>
      <c r="BO111" s="1">
        <v>967</v>
      </c>
      <c r="BP111" s="1">
        <v>963</v>
      </c>
    </row>
    <row r="112" spans="1:68" ht="15.9" customHeight="1">
      <c r="A112" s="68" t="s">
        <v>219</v>
      </c>
      <c r="B112" s="44" t="s">
        <v>220</v>
      </c>
      <c r="C112" s="48" t="str">
        <f>_xll.RssMarket("9348","安値")</f>
        <v/>
      </c>
      <c r="D112" s="16" t="e">
        <f t="shared" si="3"/>
        <v>#VALUE!</v>
      </c>
      <c r="E112" s="33">
        <v>406</v>
      </c>
      <c r="F112" s="33">
        <v>438</v>
      </c>
      <c r="G112" s="33">
        <v>435</v>
      </c>
      <c r="H112" s="33">
        <v>440</v>
      </c>
      <c r="I112" s="33">
        <v>445</v>
      </c>
      <c r="J112" s="33">
        <v>508</v>
      </c>
      <c r="K112" s="33">
        <v>426</v>
      </c>
      <c r="L112" s="33">
        <v>440</v>
      </c>
      <c r="M112" s="33">
        <v>446</v>
      </c>
      <c r="N112" s="33">
        <v>437</v>
      </c>
      <c r="O112" s="33">
        <v>433</v>
      </c>
      <c r="P112" s="33">
        <v>435</v>
      </c>
      <c r="Q112" s="33">
        <v>439</v>
      </c>
      <c r="R112" s="33">
        <v>431</v>
      </c>
      <c r="S112" s="33">
        <v>428</v>
      </c>
      <c r="T112" s="33">
        <v>433</v>
      </c>
      <c r="U112" s="33">
        <v>450</v>
      </c>
      <c r="V112" s="33">
        <v>434</v>
      </c>
      <c r="W112" s="33">
        <v>465</v>
      </c>
      <c r="X112" s="33">
        <v>468</v>
      </c>
      <c r="Y112" s="33">
        <v>466</v>
      </c>
      <c r="Z112" s="33">
        <v>495</v>
      </c>
      <c r="AA112" s="33">
        <v>543</v>
      </c>
      <c r="AB112" s="33">
        <v>555</v>
      </c>
      <c r="AC112" s="33">
        <v>568</v>
      </c>
      <c r="AD112" s="33">
        <v>576</v>
      </c>
      <c r="AE112" s="33">
        <v>585</v>
      </c>
      <c r="AF112" s="33">
        <v>554</v>
      </c>
      <c r="AG112" s="33">
        <v>562</v>
      </c>
      <c r="AH112" s="33">
        <v>561</v>
      </c>
      <c r="AI112" s="33">
        <v>651</v>
      </c>
      <c r="AJ112" s="33">
        <v>600</v>
      </c>
      <c r="AK112" s="33">
        <v>590</v>
      </c>
      <c r="AL112" s="33">
        <v>563</v>
      </c>
      <c r="AM112" s="33">
        <v>510</v>
      </c>
      <c r="AN112" s="33">
        <v>493</v>
      </c>
      <c r="AO112" s="33">
        <v>507</v>
      </c>
      <c r="AP112" s="33">
        <v>485</v>
      </c>
      <c r="AQ112" s="33">
        <v>498</v>
      </c>
      <c r="AR112" s="33">
        <v>493</v>
      </c>
      <c r="AS112" s="33">
        <v>484</v>
      </c>
      <c r="AT112" s="33">
        <v>488</v>
      </c>
      <c r="AU112" s="33">
        <v>507</v>
      </c>
      <c r="AV112" s="33">
        <v>482</v>
      </c>
      <c r="AW112" s="33">
        <v>471</v>
      </c>
      <c r="AX112" s="33">
        <v>463</v>
      </c>
      <c r="AY112" s="33">
        <v>463</v>
      </c>
      <c r="AZ112" s="33">
        <v>463</v>
      </c>
      <c r="BA112" s="33">
        <v>461</v>
      </c>
      <c r="BB112" s="33">
        <v>471</v>
      </c>
      <c r="BC112" s="33">
        <v>469</v>
      </c>
      <c r="BD112" s="33">
        <v>484</v>
      </c>
      <c r="BE112" s="33">
        <v>475</v>
      </c>
      <c r="BF112" s="33">
        <v>493</v>
      </c>
      <c r="BG112" s="33">
        <v>492</v>
      </c>
      <c r="BH112" s="33">
        <v>487</v>
      </c>
      <c r="BI112" s="33">
        <v>498</v>
      </c>
      <c r="BJ112" s="33">
        <v>492</v>
      </c>
      <c r="BK112" s="33">
        <v>492</v>
      </c>
      <c r="BL112" s="33">
        <v>459</v>
      </c>
      <c r="BM112" s="1">
        <v>449</v>
      </c>
      <c r="BN112" s="1">
        <v>435</v>
      </c>
      <c r="BO112" s="1">
        <v>425</v>
      </c>
      <c r="BP112" s="1">
        <v>422</v>
      </c>
    </row>
    <row r="113" spans="1:68" ht="15.9" customHeight="1">
      <c r="A113" s="68" t="s">
        <v>221</v>
      </c>
      <c r="B113" s="44" t="s">
        <v>222</v>
      </c>
      <c r="C113" s="48" t="str">
        <f>_xll.RssMarket("9449","安値")</f>
        <v/>
      </c>
      <c r="D113" s="16" t="e">
        <f t="shared" si="3"/>
        <v>#VALUE!</v>
      </c>
      <c r="E113" s="33">
        <v>4003</v>
      </c>
      <c r="F113" s="33">
        <v>3951</v>
      </c>
      <c r="G113" s="33">
        <v>3912</v>
      </c>
      <c r="H113" s="33">
        <v>3870</v>
      </c>
      <c r="I113" s="33">
        <v>3800</v>
      </c>
      <c r="J113" s="33">
        <v>3731</v>
      </c>
      <c r="K113" s="33">
        <v>3741</v>
      </c>
      <c r="L113" s="33">
        <v>3651</v>
      </c>
      <c r="M113" s="33">
        <v>3586</v>
      </c>
      <c r="N113" s="33">
        <v>3571</v>
      </c>
      <c r="O113" s="33">
        <v>3443</v>
      </c>
      <c r="P113" s="33">
        <v>3343</v>
      </c>
      <c r="Q113" s="33">
        <v>3339</v>
      </c>
      <c r="R113" s="33">
        <v>3312</v>
      </c>
      <c r="S113" s="33">
        <v>3200</v>
      </c>
      <c r="T113" s="33">
        <v>3205</v>
      </c>
      <c r="U113" s="33">
        <v>3183</v>
      </c>
      <c r="V113" s="33">
        <v>3242</v>
      </c>
      <c r="W113" s="33">
        <v>3407</v>
      </c>
      <c r="X113" s="33">
        <v>2974</v>
      </c>
      <c r="Y113" s="33">
        <v>3057</v>
      </c>
      <c r="Z113" s="33">
        <v>3063</v>
      </c>
      <c r="AA113" s="33">
        <v>3042</v>
      </c>
      <c r="AB113" s="33">
        <v>3080</v>
      </c>
      <c r="AC113" s="33">
        <v>3053</v>
      </c>
      <c r="AD113" s="33">
        <v>3105</v>
      </c>
      <c r="AE113" s="33">
        <v>3132</v>
      </c>
      <c r="AF113" s="33">
        <v>3120</v>
      </c>
      <c r="AG113" s="33">
        <v>3212</v>
      </c>
      <c r="AH113" s="33">
        <v>3221</v>
      </c>
      <c r="AI113" s="33">
        <v>3141</v>
      </c>
      <c r="AJ113" s="33">
        <v>3304</v>
      </c>
      <c r="AK113" s="33">
        <v>3285</v>
      </c>
      <c r="AL113" s="33">
        <v>3242</v>
      </c>
      <c r="AM113" s="33">
        <v>3294</v>
      </c>
      <c r="AN113" s="33">
        <v>3310</v>
      </c>
      <c r="AO113" s="33">
        <v>3293</v>
      </c>
      <c r="AP113" s="33">
        <v>3260</v>
      </c>
      <c r="AQ113" s="33">
        <v>3294</v>
      </c>
      <c r="AR113" s="33">
        <v>3264</v>
      </c>
      <c r="AS113" s="33">
        <v>3217</v>
      </c>
      <c r="AT113" s="33">
        <v>3051</v>
      </c>
      <c r="AU113" s="33">
        <v>3067</v>
      </c>
      <c r="AV113" s="33">
        <v>3115</v>
      </c>
      <c r="AW113" s="33">
        <v>3109</v>
      </c>
      <c r="AX113" s="33">
        <v>3150</v>
      </c>
      <c r="AY113" s="33">
        <v>3075</v>
      </c>
      <c r="AZ113" s="33">
        <v>3034</v>
      </c>
      <c r="BA113" s="33">
        <v>3012</v>
      </c>
      <c r="BB113" s="33">
        <v>3012</v>
      </c>
      <c r="BC113" s="33">
        <v>3097</v>
      </c>
      <c r="BD113" s="33">
        <v>3072</v>
      </c>
      <c r="BE113" s="33">
        <v>3101</v>
      </c>
      <c r="BF113" s="33">
        <v>3168</v>
      </c>
      <c r="BG113" s="33">
        <v>3261</v>
      </c>
      <c r="BH113" s="33">
        <v>3222</v>
      </c>
      <c r="BI113" s="33">
        <v>3219</v>
      </c>
      <c r="BJ113" s="33">
        <v>3230</v>
      </c>
      <c r="BK113" s="33">
        <v>3185</v>
      </c>
      <c r="BL113" s="33">
        <v>3037</v>
      </c>
      <c r="BM113" s="1">
        <v>3011</v>
      </c>
      <c r="BN113" s="1">
        <v>2927</v>
      </c>
      <c r="BO113" s="1">
        <v>2955</v>
      </c>
      <c r="BP113" s="1">
        <v>3036</v>
      </c>
    </row>
    <row r="114" spans="1:68" ht="15.9" customHeight="1">
      <c r="A114" s="68" t="s">
        <v>223</v>
      </c>
      <c r="B114" s="44" t="s">
        <v>224</v>
      </c>
      <c r="C114" s="48" t="str">
        <f>_xll.RssMarket("9501","安値")</f>
        <v/>
      </c>
      <c r="D114" s="16" t="e">
        <f t="shared" si="3"/>
        <v>#VALUE!</v>
      </c>
      <c r="E114" s="33">
        <v>490.1</v>
      </c>
      <c r="F114" s="33">
        <v>499.7</v>
      </c>
      <c r="G114" s="33">
        <v>484</v>
      </c>
      <c r="H114" s="33">
        <v>477.5</v>
      </c>
      <c r="I114" s="33">
        <v>472</v>
      </c>
      <c r="J114" s="33">
        <v>462.3</v>
      </c>
      <c r="K114" s="33">
        <v>459.8</v>
      </c>
      <c r="L114" s="33">
        <v>456</v>
      </c>
      <c r="M114" s="33">
        <v>465.5</v>
      </c>
      <c r="N114" s="33">
        <v>458.4</v>
      </c>
      <c r="O114" s="33">
        <v>450.5</v>
      </c>
      <c r="P114" s="33">
        <v>442.8</v>
      </c>
      <c r="Q114" s="33">
        <v>458.3</v>
      </c>
      <c r="R114" s="33">
        <v>450.9</v>
      </c>
      <c r="S114" s="33">
        <v>466.7</v>
      </c>
      <c r="T114" s="33">
        <v>450.4</v>
      </c>
      <c r="U114" s="33">
        <v>462</v>
      </c>
      <c r="V114" s="33">
        <v>473</v>
      </c>
      <c r="W114" s="33">
        <v>505.6</v>
      </c>
      <c r="X114" s="33">
        <v>499.5</v>
      </c>
      <c r="Y114" s="33">
        <v>507.4</v>
      </c>
      <c r="Z114" s="33">
        <v>512.20000000000005</v>
      </c>
      <c r="AA114" s="33">
        <v>521.29999999999995</v>
      </c>
      <c r="AB114" s="33">
        <v>495.1</v>
      </c>
      <c r="AC114" s="33">
        <v>489.4</v>
      </c>
      <c r="AD114" s="33">
        <v>506.3</v>
      </c>
      <c r="AE114" s="33">
        <v>518.4</v>
      </c>
      <c r="AF114" s="33">
        <v>527</v>
      </c>
      <c r="AG114" s="33">
        <v>536</v>
      </c>
      <c r="AH114" s="33">
        <v>563.70000000000005</v>
      </c>
      <c r="AI114" s="33">
        <v>539.20000000000005</v>
      </c>
      <c r="AJ114" s="33">
        <v>553</v>
      </c>
      <c r="AK114" s="33">
        <v>551.5</v>
      </c>
      <c r="AL114" s="33">
        <v>567</v>
      </c>
      <c r="AM114" s="33">
        <v>551</v>
      </c>
      <c r="AN114" s="33">
        <v>548.1</v>
      </c>
      <c r="AO114" s="33">
        <v>550.79999999999995</v>
      </c>
      <c r="AP114" s="33">
        <v>543.4</v>
      </c>
      <c r="AQ114" s="33">
        <v>569.6</v>
      </c>
      <c r="AR114" s="33">
        <v>556.70000000000005</v>
      </c>
      <c r="AS114" s="33">
        <v>588.70000000000005</v>
      </c>
      <c r="AT114" s="33">
        <v>608.9</v>
      </c>
      <c r="AU114" s="33">
        <v>608.79999999999995</v>
      </c>
      <c r="AV114" s="33">
        <v>642</v>
      </c>
      <c r="AW114" s="33">
        <v>631.29999999999995</v>
      </c>
      <c r="AX114" s="33">
        <v>616.70000000000005</v>
      </c>
      <c r="AY114" s="33">
        <v>602.4</v>
      </c>
      <c r="AZ114" s="33">
        <v>581.1</v>
      </c>
      <c r="BA114" s="33">
        <v>586.4</v>
      </c>
      <c r="BB114" s="33">
        <v>581.5</v>
      </c>
      <c r="BC114" s="33">
        <v>578.9</v>
      </c>
      <c r="BD114" s="33">
        <v>577</v>
      </c>
      <c r="BE114" s="33">
        <v>584.70000000000005</v>
      </c>
      <c r="BF114" s="33">
        <v>588.70000000000005</v>
      </c>
      <c r="BG114" s="33">
        <v>600.9</v>
      </c>
      <c r="BH114" s="33">
        <v>609.4</v>
      </c>
      <c r="BI114" s="33">
        <v>624</v>
      </c>
      <c r="BJ114" s="33">
        <v>620.70000000000005</v>
      </c>
      <c r="BK114" s="33">
        <v>628</v>
      </c>
      <c r="BL114" s="33">
        <v>643.4</v>
      </c>
      <c r="BM114" s="1">
        <v>637.9</v>
      </c>
      <c r="BN114" s="1">
        <v>663.5</v>
      </c>
      <c r="BO114" s="1">
        <v>640.29999999999995</v>
      </c>
      <c r="BP114" s="1">
        <v>635.29999999999995</v>
      </c>
    </row>
    <row r="115" spans="1:68" ht="15.9" customHeight="1">
      <c r="A115" s="68" t="s">
        <v>225</v>
      </c>
      <c r="B115" s="44" t="s">
        <v>226</v>
      </c>
      <c r="C115" s="48" t="str">
        <f>_xll.RssMarket("9531","安値")</f>
        <v/>
      </c>
      <c r="D115" s="16" t="e">
        <f t="shared" si="3"/>
        <v>#VALUE!</v>
      </c>
      <c r="E115" s="33">
        <v>6035</v>
      </c>
      <c r="F115" s="33">
        <v>6025</v>
      </c>
      <c r="G115" s="33">
        <v>5973</v>
      </c>
      <c r="H115" s="33">
        <v>5905</v>
      </c>
      <c r="I115" s="33">
        <v>5952</v>
      </c>
      <c r="J115" s="33">
        <v>6068</v>
      </c>
      <c r="K115" s="33">
        <v>6092</v>
      </c>
      <c r="L115" s="33">
        <v>6070</v>
      </c>
      <c r="M115" s="33">
        <v>6028</v>
      </c>
      <c r="N115" s="33">
        <v>6021</v>
      </c>
      <c r="O115" s="33">
        <v>5977</v>
      </c>
      <c r="P115" s="33">
        <v>5896</v>
      </c>
      <c r="Q115" s="33">
        <v>6102</v>
      </c>
      <c r="R115" s="33">
        <v>6066</v>
      </c>
      <c r="S115" s="33">
        <v>5968</v>
      </c>
      <c r="T115" s="33">
        <v>6010</v>
      </c>
      <c r="U115" s="33">
        <v>6089</v>
      </c>
      <c r="V115" s="33">
        <v>6095</v>
      </c>
      <c r="W115" s="33">
        <v>6157</v>
      </c>
      <c r="X115" s="33">
        <v>6077</v>
      </c>
      <c r="Y115" s="33">
        <v>6141</v>
      </c>
      <c r="Z115" s="33">
        <v>6138</v>
      </c>
      <c r="AA115" s="33">
        <v>6178</v>
      </c>
      <c r="AB115" s="33">
        <v>6241</v>
      </c>
      <c r="AC115" s="33">
        <v>6268</v>
      </c>
      <c r="AD115" s="33">
        <v>6286</v>
      </c>
      <c r="AE115" s="33">
        <v>6273</v>
      </c>
      <c r="AF115" s="33">
        <v>6100</v>
      </c>
      <c r="AG115" s="33">
        <v>6163</v>
      </c>
      <c r="AH115" s="33">
        <v>6171</v>
      </c>
      <c r="AI115" s="33">
        <v>6246</v>
      </c>
      <c r="AJ115" s="33">
        <v>6033</v>
      </c>
      <c r="AK115" s="33">
        <v>6196</v>
      </c>
      <c r="AL115" s="33">
        <v>6258</v>
      </c>
      <c r="AM115" s="33">
        <v>6406</v>
      </c>
      <c r="AN115" s="33">
        <v>6396</v>
      </c>
      <c r="AO115" s="33">
        <v>6501</v>
      </c>
      <c r="AP115" s="33">
        <v>6618</v>
      </c>
      <c r="AQ115" s="33">
        <v>6401</v>
      </c>
      <c r="AR115" s="33">
        <v>6663</v>
      </c>
      <c r="AS115" s="33">
        <v>6480</v>
      </c>
      <c r="AT115" s="33">
        <v>6607</v>
      </c>
      <c r="AU115" s="33">
        <v>6517</v>
      </c>
      <c r="AV115" s="33">
        <v>6573</v>
      </c>
      <c r="AW115" s="33">
        <v>6623</v>
      </c>
      <c r="AX115" s="33">
        <v>6550</v>
      </c>
      <c r="AY115" s="33">
        <v>6530</v>
      </c>
      <c r="AZ115" s="33">
        <v>6615</v>
      </c>
      <c r="BA115" s="33">
        <v>6419</v>
      </c>
      <c r="BB115" s="33">
        <v>6552</v>
      </c>
      <c r="BC115" s="33">
        <v>6543</v>
      </c>
      <c r="BD115" s="33">
        <v>6372</v>
      </c>
      <c r="BE115" s="33">
        <v>6392</v>
      </c>
      <c r="BF115" s="33">
        <v>6360</v>
      </c>
      <c r="BG115" s="33">
        <v>6460</v>
      </c>
      <c r="BH115" s="33">
        <v>6559</v>
      </c>
      <c r="BI115" s="33">
        <v>6627</v>
      </c>
      <c r="BJ115" s="33">
        <v>6913</v>
      </c>
      <c r="BK115" s="33">
        <v>6972</v>
      </c>
      <c r="BL115" s="33">
        <v>6918</v>
      </c>
      <c r="BM115" s="1">
        <v>6920</v>
      </c>
      <c r="BN115" s="1">
        <v>7054</v>
      </c>
      <c r="BO115" s="1">
        <v>7225</v>
      </c>
      <c r="BP115" s="1">
        <v>7236</v>
      </c>
    </row>
    <row r="116" spans="1:68" ht="15.9" customHeight="1">
      <c r="A116" s="68" t="s">
        <v>227</v>
      </c>
      <c r="B116" s="44" t="s">
        <v>228</v>
      </c>
      <c r="C116" s="48" t="str">
        <f>_xll.RssMarket("9882","安値")</f>
        <v/>
      </c>
      <c r="D116" s="16" t="e">
        <f t="shared" si="3"/>
        <v>#VALUE!</v>
      </c>
      <c r="E116" s="33">
        <v>1807</v>
      </c>
      <c r="F116" s="33">
        <v>1809</v>
      </c>
      <c r="G116" s="33">
        <v>1805</v>
      </c>
      <c r="H116" s="33">
        <v>1806</v>
      </c>
      <c r="I116" s="33">
        <v>1814</v>
      </c>
      <c r="J116" s="33">
        <v>1822</v>
      </c>
      <c r="K116" s="33">
        <v>1820</v>
      </c>
      <c r="L116" s="33">
        <v>1814</v>
      </c>
      <c r="M116" s="33">
        <v>1770</v>
      </c>
      <c r="N116" s="33">
        <v>1769</v>
      </c>
      <c r="O116" s="33">
        <v>1741</v>
      </c>
      <c r="P116" s="33">
        <v>1737</v>
      </c>
      <c r="Q116" s="33">
        <v>1742</v>
      </c>
      <c r="R116" s="33">
        <v>1765</v>
      </c>
      <c r="S116" s="33">
        <v>1745</v>
      </c>
      <c r="T116" s="33">
        <v>1748</v>
      </c>
      <c r="U116" s="33">
        <v>1731</v>
      </c>
      <c r="V116" s="33">
        <v>1735</v>
      </c>
      <c r="W116" s="33">
        <v>1737</v>
      </c>
      <c r="X116" s="33">
        <v>1740</v>
      </c>
      <c r="Y116" s="33">
        <v>1738</v>
      </c>
      <c r="Z116" s="33">
        <v>1735</v>
      </c>
      <c r="AA116" s="33">
        <v>1711</v>
      </c>
      <c r="AB116" s="33">
        <v>1731</v>
      </c>
      <c r="AC116" s="33">
        <v>1721</v>
      </c>
      <c r="AD116" s="33">
        <v>1698</v>
      </c>
      <c r="AE116" s="33">
        <v>1700</v>
      </c>
      <c r="AF116" s="33">
        <v>1663</v>
      </c>
      <c r="AG116" s="33">
        <v>1655</v>
      </c>
      <c r="AH116" s="33">
        <v>1643</v>
      </c>
      <c r="AI116" s="33">
        <v>1618</v>
      </c>
      <c r="AJ116" s="33">
        <v>1601</v>
      </c>
      <c r="AK116" s="33">
        <v>1625</v>
      </c>
      <c r="AL116" s="33">
        <v>1622</v>
      </c>
      <c r="AM116" s="33">
        <v>1613</v>
      </c>
      <c r="AN116" s="33">
        <v>1605</v>
      </c>
      <c r="AO116" s="33">
        <v>1612</v>
      </c>
      <c r="AP116" s="33">
        <v>1622</v>
      </c>
      <c r="AQ116" s="33">
        <v>1608</v>
      </c>
      <c r="AR116" s="33">
        <v>1625</v>
      </c>
      <c r="AS116" s="33">
        <v>1611</v>
      </c>
      <c r="AT116" s="33">
        <v>1595</v>
      </c>
      <c r="AU116" s="33">
        <v>1585</v>
      </c>
      <c r="AV116" s="33">
        <v>1613</v>
      </c>
      <c r="AW116" s="33">
        <v>1633</v>
      </c>
      <c r="AX116" s="33">
        <v>1622</v>
      </c>
      <c r="AY116" s="33">
        <v>1487</v>
      </c>
      <c r="AZ116" s="33">
        <v>1502</v>
      </c>
      <c r="BA116" s="33">
        <v>1503</v>
      </c>
      <c r="BB116" s="33">
        <v>1502</v>
      </c>
      <c r="BC116" s="33">
        <v>1504</v>
      </c>
      <c r="BD116" s="33">
        <v>1504</v>
      </c>
      <c r="BE116" s="33">
        <v>1506</v>
      </c>
      <c r="BF116" s="33">
        <v>1509</v>
      </c>
      <c r="BG116" s="33">
        <v>1538</v>
      </c>
      <c r="BH116" s="33">
        <v>1561</v>
      </c>
      <c r="BI116" s="33">
        <v>1555</v>
      </c>
      <c r="BJ116" s="33">
        <v>1554</v>
      </c>
      <c r="BK116" s="33">
        <v>1549</v>
      </c>
      <c r="BL116" s="33">
        <v>1553</v>
      </c>
      <c r="BM116" s="1">
        <v>1561</v>
      </c>
      <c r="BN116" s="1">
        <v>1565</v>
      </c>
      <c r="BO116" s="1">
        <v>1590</v>
      </c>
      <c r="BP116" s="1">
        <v>1597</v>
      </c>
    </row>
    <row r="117" spans="1:68" ht="15.9" customHeight="1">
      <c r="A117" s="68" t="s">
        <v>229</v>
      </c>
      <c r="B117" s="44" t="s">
        <v>230</v>
      </c>
      <c r="C117" s="48" t="str">
        <f>_xll.RssMarket("5838","安値")</f>
        <v/>
      </c>
      <c r="D117" s="16" t="e">
        <f t="shared" si="3"/>
        <v>#VALUE!</v>
      </c>
      <c r="E117" s="33">
        <v>5173</v>
      </c>
      <c r="F117" s="33">
        <v>5637</v>
      </c>
      <c r="G117" s="33">
        <v>5734</v>
      </c>
      <c r="H117" s="33">
        <v>5670</v>
      </c>
      <c r="I117" s="33">
        <v>5731</v>
      </c>
      <c r="J117" s="33">
        <v>5691</v>
      </c>
      <c r="K117" s="33">
        <v>5697</v>
      </c>
      <c r="L117" s="33">
        <v>5519</v>
      </c>
      <c r="M117" s="33">
        <v>5314</v>
      </c>
      <c r="N117" s="33">
        <v>5290</v>
      </c>
      <c r="O117" s="33">
        <v>5123</v>
      </c>
      <c r="P117" s="33">
        <v>5083</v>
      </c>
      <c r="Q117" s="33">
        <v>5109</v>
      </c>
      <c r="R117" s="33">
        <v>5032</v>
      </c>
      <c r="S117" s="33">
        <v>4980</v>
      </c>
      <c r="T117" s="33">
        <v>4961</v>
      </c>
      <c r="U117" s="33">
        <v>4995</v>
      </c>
      <c r="V117" s="33">
        <v>5020</v>
      </c>
      <c r="W117" s="33">
        <v>4998</v>
      </c>
      <c r="X117" s="33">
        <v>5084</v>
      </c>
      <c r="Y117" s="33">
        <v>5145</v>
      </c>
      <c r="Z117" s="33">
        <v>5158</v>
      </c>
      <c r="AA117" s="33">
        <v>5102</v>
      </c>
      <c r="AB117" s="33">
        <v>5085</v>
      </c>
      <c r="AC117" s="33">
        <v>5051</v>
      </c>
      <c r="AD117" s="33">
        <v>4938</v>
      </c>
      <c r="AE117" s="33">
        <v>4688</v>
      </c>
      <c r="AF117" s="33">
        <v>4764</v>
      </c>
      <c r="AG117" s="33">
        <v>4903</v>
      </c>
      <c r="AH117" s="33">
        <v>4742</v>
      </c>
      <c r="AI117" s="33">
        <v>4500</v>
      </c>
      <c r="AJ117" s="33">
        <v>4390</v>
      </c>
      <c r="AK117" s="33">
        <v>4653</v>
      </c>
      <c r="AL117" s="33">
        <v>4751</v>
      </c>
      <c r="AM117" s="33">
        <v>4782</v>
      </c>
      <c r="AN117" s="33">
        <v>4821</v>
      </c>
      <c r="AO117" s="33">
        <v>4779</v>
      </c>
      <c r="AP117" s="33">
        <v>5480</v>
      </c>
      <c r="AQ117" s="33">
        <v>6463</v>
      </c>
      <c r="AR117" s="33">
        <v>6611</v>
      </c>
      <c r="AS117" s="33">
        <v>6234</v>
      </c>
      <c r="AT117" s="33">
        <v>5902</v>
      </c>
      <c r="AU117" s="33">
        <v>5998</v>
      </c>
      <c r="AV117" s="33">
        <v>5997</v>
      </c>
      <c r="AW117" s="33">
        <v>6198</v>
      </c>
      <c r="AX117" s="33">
        <v>6193</v>
      </c>
      <c r="AY117" s="33">
        <v>6128</v>
      </c>
      <c r="AZ117" s="33">
        <v>6191</v>
      </c>
      <c r="BA117" s="33">
        <v>6183</v>
      </c>
      <c r="BB117" s="33">
        <v>6195</v>
      </c>
      <c r="BC117" s="33">
        <v>6136</v>
      </c>
      <c r="BD117" s="33">
        <v>6062</v>
      </c>
      <c r="BE117" s="33">
        <v>6110</v>
      </c>
      <c r="BF117" s="33">
        <v>6040</v>
      </c>
      <c r="BG117" s="33">
        <v>6061</v>
      </c>
      <c r="BH117" s="33">
        <v>6411</v>
      </c>
      <c r="BI117" s="33">
        <v>6488</v>
      </c>
      <c r="BJ117" s="33">
        <v>6552</v>
      </c>
      <c r="BK117" s="33">
        <v>6656</v>
      </c>
      <c r="BL117" s="33">
        <v>6724</v>
      </c>
      <c r="BM117" s="1">
        <v>6731</v>
      </c>
      <c r="BN117" s="1">
        <v>6621</v>
      </c>
      <c r="BO117" s="1">
        <v>6662</v>
      </c>
      <c r="BP117" s="1">
        <v>6517</v>
      </c>
    </row>
    <row r="118" spans="1:68" ht="15.9" customHeight="1">
      <c r="A118" s="68" t="s">
        <v>231</v>
      </c>
      <c r="B118" s="44" t="s">
        <v>232</v>
      </c>
      <c r="C118" s="48" t="str">
        <f>_xll.RssMarket("5844","安値")</f>
        <v/>
      </c>
      <c r="D118" s="16" t="e">
        <f t="shared" si="3"/>
        <v>#VALUE!</v>
      </c>
      <c r="E118" s="33">
        <v>4300</v>
      </c>
      <c r="F118" s="33">
        <v>4697</v>
      </c>
      <c r="G118" s="33">
        <v>4645</v>
      </c>
      <c r="H118" s="33">
        <v>4651</v>
      </c>
      <c r="I118" s="33">
        <v>4643</v>
      </c>
      <c r="J118" s="33">
        <v>4715</v>
      </c>
      <c r="K118" s="33">
        <v>4717</v>
      </c>
      <c r="L118" s="33">
        <v>4719</v>
      </c>
      <c r="M118" s="33">
        <v>4641</v>
      </c>
      <c r="N118" s="33">
        <v>4626</v>
      </c>
      <c r="O118" s="33">
        <v>4573</v>
      </c>
      <c r="P118" s="33">
        <v>4525</v>
      </c>
      <c r="Q118" s="33">
        <v>4465</v>
      </c>
      <c r="R118" s="33">
        <v>4411</v>
      </c>
      <c r="S118" s="33">
        <v>4446</v>
      </c>
      <c r="T118" s="33">
        <v>4473</v>
      </c>
      <c r="U118" s="33">
        <v>4529</v>
      </c>
      <c r="V118" s="33">
        <v>4628</v>
      </c>
      <c r="W118" s="33">
        <v>4791</v>
      </c>
      <c r="X118" s="33">
        <v>4661</v>
      </c>
      <c r="Y118" s="33">
        <v>4600</v>
      </c>
      <c r="Z118" s="33">
        <v>4519</v>
      </c>
      <c r="AA118" s="33">
        <v>4375</v>
      </c>
      <c r="AB118" s="33">
        <v>4485</v>
      </c>
      <c r="AC118" s="33">
        <v>4456</v>
      </c>
      <c r="AD118" s="33">
        <v>4390</v>
      </c>
      <c r="AE118" s="33">
        <v>4485</v>
      </c>
      <c r="AF118" s="33">
        <v>4511</v>
      </c>
      <c r="AG118" s="33">
        <v>4580</v>
      </c>
      <c r="AH118" s="33">
        <v>4268</v>
      </c>
      <c r="AI118" s="33">
        <v>4271</v>
      </c>
      <c r="AJ118" s="33">
        <v>4193</v>
      </c>
      <c r="AK118" s="33">
        <v>4312</v>
      </c>
      <c r="AL118" s="33">
        <v>4386</v>
      </c>
      <c r="AM118" s="33">
        <v>4437</v>
      </c>
      <c r="AN118" s="33">
        <v>4489</v>
      </c>
      <c r="AO118" s="33">
        <v>4430</v>
      </c>
      <c r="AP118" s="33">
        <v>4443</v>
      </c>
      <c r="AQ118" s="33">
        <v>4344</v>
      </c>
      <c r="AR118" s="33">
        <v>4366</v>
      </c>
      <c r="AS118" s="33">
        <v>4282</v>
      </c>
      <c r="AT118" s="33">
        <v>4231</v>
      </c>
      <c r="AU118" s="33">
        <v>4380</v>
      </c>
      <c r="AV118" s="33">
        <v>4393</v>
      </c>
      <c r="AW118" s="33">
        <v>4381</v>
      </c>
      <c r="AX118" s="33">
        <v>4341</v>
      </c>
      <c r="AY118" s="33">
        <v>4338</v>
      </c>
      <c r="AZ118" s="33">
        <v>4396</v>
      </c>
      <c r="BA118" s="33">
        <v>4285</v>
      </c>
      <c r="BB118" s="33">
        <v>4251</v>
      </c>
      <c r="BC118" s="33">
        <v>4218</v>
      </c>
      <c r="BD118" s="33">
        <v>4143</v>
      </c>
      <c r="BE118" s="33">
        <v>4227</v>
      </c>
      <c r="BF118" s="33">
        <v>4126</v>
      </c>
      <c r="BG118" s="33">
        <v>4258</v>
      </c>
      <c r="BH118" s="33">
        <v>4305</v>
      </c>
      <c r="BI118" s="33">
        <v>4292</v>
      </c>
      <c r="BJ118" s="33">
        <v>4361</v>
      </c>
      <c r="BK118" s="33">
        <v>4392</v>
      </c>
      <c r="BL118" s="33">
        <v>4350</v>
      </c>
      <c r="BM118" s="1">
        <v>4315</v>
      </c>
      <c r="BN118" s="1">
        <v>4295</v>
      </c>
      <c r="BO118" s="1">
        <v>4330</v>
      </c>
      <c r="BP118" s="1">
        <v>4365</v>
      </c>
    </row>
    <row r="119" spans="1:68" ht="15.9" customHeight="1">
      <c r="A119" s="68" t="s">
        <v>233</v>
      </c>
      <c r="B119" s="44" t="s">
        <v>234</v>
      </c>
      <c r="C119" s="48" t="str">
        <f>_xll.RssMarket("9404","安値")</f>
        <v/>
      </c>
      <c r="D119" s="16" t="e">
        <f t="shared" si="3"/>
        <v>#VALUE!</v>
      </c>
      <c r="E119" s="33">
        <v>2876</v>
      </c>
      <c r="F119" s="33">
        <v>2854</v>
      </c>
      <c r="G119" s="33">
        <v>2875.5</v>
      </c>
      <c r="H119" s="33">
        <v>2865</v>
      </c>
      <c r="I119" s="33">
        <v>2870</v>
      </c>
      <c r="J119" s="33">
        <v>2885</v>
      </c>
      <c r="K119" s="33">
        <v>2914</v>
      </c>
      <c r="L119" s="33">
        <v>2890</v>
      </c>
      <c r="M119" s="33">
        <v>2856</v>
      </c>
      <c r="N119" s="33">
        <v>2844</v>
      </c>
      <c r="O119" s="33">
        <v>2839</v>
      </c>
      <c r="P119" s="33">
        <v>2775.5</v>
      </c>
      <c r="Q119" s="33">
        <v>2751.5</v>
      </c>
      <c r="R119" s="33">
        <v>2695</v>
      </c>
      <c r="S119" s="33">
        <v>2652</v>
      </c>
      <c r="T119" s="33">
        <v>2697.5</v>
      </c>
      <c r="U119" s="33">
        <v>2705</v>
      </c>
      <c r="V119" s="33">
        <v>2683</v>
      </c>
      <c r="W119" s="33">
        <v>2745.5</v>
      </c>
      <c r="X119" s="33">
        <v>2770</v>
      </c>
      <c r="Y119" s="33">
        <v>2816</v>
      </c>
      <c r="Z119" s="33">
        <v>2834</v>
      </c>
      <c r="AA119" s="33">
        <v>2812</v>
      </c>
      <c r="AB119" s="33">
        <v>2816.5</v>
      </c>
      <c r="AC119" s="33">
        <v>2806.5</v>
      </c>
      <c r="AD119" s="33">
        <v>2858</v>
      </c>
      <c r="AE119" s="33">
        <v>2857.5</v>
      </c>
      <c r="AF119" s="33">
        <v>2811.5</v>
      </c>
      <c r="AG119" s="33">
        <v>2780.5</v>
      </c>
      <c r="AH119" s="33">
        <v>2749.5</v>
      </c>
      <c r="AI119" s="33">
        <v>2716</v>
      </c>
      <c r="AJ119" s="33">
        <v>2782</v>
      </c>
      <c r="AK119" s="33">
        <v>2836</v>
      </c>
      <c r="AL119" s="33">
        <v>2838.5</v>
      </c>
      <c r="AM119" s="33">
        <v>2829</v>
      </c>
      <c r="AN119" s="33">
        <v>2825.5</v>
      </c>
      <c r="AO119" s="33">
        <v>2874</v>
      </c>
      <c r="AP119" s="33">
        <v>2917.5</v>
      </c>
      <c r="AQ119" s="33">
        <v>2909.5</v>
      </c>
      <c r="AR119" s="33">
        <v>2873.5</v>
      </c>
      <c r="AS119" s="33">
        <v>2860</v>
      </c>
      <c r="AT119" s="33">
        <v>2790</v>
      </c>
      <c r="AU119" s="33">
        <v>2880.5</v>
      </c>
      <c r="AV119" s="33">
        <v>2934</v>
      </c>
      <c r="AW119" s="33">
        <v>2922.5</v>
      </c>
      <c r="AX119" s="33">
        <v>2924</v>
      </c>
      <c r="AY119" s="33">
        <v>2951.5</v>
      </c>
      <c r="AZ119" s="33">
        <v>2971.5</v>
      </c>
      <c r="BA119" s="33">
        <v>2936</v>
      </c>
      <c r="BB119" s="33">
        <v>2935.5</v>
      </c>
      <c r="BC119" s="33">
        <v>3000</v>
      </c>
      <c r="BD119" s="33">
        <v>2975.5</v>
      </c>
      <c r="BE119" s="33">
        <v>2954</v>
      </c>
      <c r="BF119" s="33">
        <v>2990.5</v>
      </c>
      <c r="BG119" s="33">
        <v>3057</v>
      </c>
      <c r="BH119" s="33">
        <v>3111</v>
      </c>
      <c r="BI119" s="33">
        <v>3150</v>
      </c>
      <c r="BJ119" s="33">
        <v>3155</v>
      </c>
      <c r="BK119" s="33">
        <v>3136</v>
      </c>
      <c r="BL119" s="33">
        <v>3152</v>
      </c>
      <c r="BM119" s="1">
        <v>3128</v>
      </c>
      <c r="BN119" s="1">
        <v>3098</v>
      </c>
      <c r="BO119" s="1">
        <v>3109</v>
      </c>
      <c r="BP119" s="1">
        <v>3154</v>
      </c>
    </row>
    <row r="120" spans="1:68" ht="15.9" customHeight="1">
      <c r="A120" s="68" t="s">
        <v>235</v>
      </c>
      <c r="B120" s="44" t="s">
        <v>236</v>
      </c>
      <c r="C120" s="48" t="str">
        <f>_xll.RssMarket("6744","安値")</f>
        <v/>
      </c>
      <c r="D120" s="16" t="e">
        <f t="shared" si="3"/>
        <v>#VALUE!</v>
      </c>
      <c r="E120" s="33">
        <v>4050</v>
      </c>
      <c r="F120" s="33">
        <v>4250</v>
      </c>
      <c r="G120" s="33">
        <v>4230</v>
      </c>
      <c r="H120" s="33">
        <v>4210</v>
      </c>
      <c r="I120" s="33">
        <v>4260</v>
      </c>
      <c r="J120" s="33">
        <v>4280</v>
      </c>
      <c r="K120" s="33">
        <v>4265</v>
      </c>
      <c r="L120" s="33">
        <v>4375</v>
      </c>
      <c r="M120" s="33">
        <v>4360</v>
      </c>
      <c r="N120" s="33">
        <v>4235</v>
      </c>
      <c r="O120" s="33">
        <v>4095</v>
      </c>
      <c r="P120" s="33">
        <v>4080</v>
      </c>
      <c r="Q120" s="33">
        <v>4090</v>
      </c>
      <c r="R120" s="33">
        <v>4075</v>
      </c>
      <c r="S120" s="33">
        <v>4135</v>
      </c>
      <c r="T120" s="33">
        <v>4160</v>
      </c>
      <c r="U120" s="33">
        <v>4165</v>
      </c>
      <c r="V120" s="33">
        <v>4205</v>
      </c>
      <c r="W120" s="33">
        <v>4195</v>
      </c>
      <c r="X120" s="33">
        <v>4200</v>
      </c>
      <c r="Y120" s="33">
        <v>4155</v>
      </c>
      <c r="Z120" s="33">
        <v>4180</v>
      </c>
      <c r="AA120" s="33">
        <v>4195</v>
      </c>
      <c r="AB120" s="33">
        <v>4185</v>
      </c>
      <c r="AC120" s="33">
        <v>4165</v>
      </c>
      <c r="AD120" s="33">
        <v>4260</v>
      </c>
      <c r="AE120" s="33">
        <v>4310</v>
      </c>
      <c r="AF120" s="33">
        <v>4490</v>
      </c>
      <c r="AG120" s="33">
        <v>4480</v>
      </c>
      <c r="AH120" s="33">
        <v>4505</v>
      </c>
      <c r="AI120" s="33">
        <v>4540</v>
      </c>
      <c r="AJ120" s="33">
        <v>4780</v>
      </c>
      <c r="AK120" s="33">
        <v>4695</v>
      </c>
      <c r="AL120" s="33">
        <v>4770</v>
      </c>
      <c r="AM120" s="33">
        <v>4700</v>
      </c>
      <c r="AN120" s="33">
        <v>4575</v>
      </c>
      <c r="AO120" s="33">
        <v>4505</v>
      </c>
      <c r="AP120" s="33">
        <v>4635</v>
      </c>
      <c r="AQ120" s="33">
        <v>4640</v>
      </c>
      <c r="AR120" s="33">
        <v>4620</v>
      </c>
      <c r="AS120" s="33">
        <v>4330</v>
      </c>
      <c r="AT120" s="33">
        <v>4220</v>
      </c>
      <c r="AU120" s="33">
        <v>4250</v>
      </c>
      <c r="AV120" s="33">
        <v>4320</v>
      </c>
      <c r="AW120" s="33">
        <v>4275</v>
      </c>
      <c r="AX120" s="33">
        <v>4255</v>
      </c>
      <c r="AY120" s="33">
        <v>4090</v>
      </c>
      <c r="AZ120" s="33">
        <v>4005</v>
      </c>
      <c r="BA120" s="33">
        <v>3970</v>
      </c>
      <c r="BB120" s="33">
        <v>3855</v>
      </c>
      <c r="BC120" s="33">
        <v>3885</v>
      </c>
      <c r="BD120" s="33">
        <v>3930</v>
      </c>
      <c r="BE120" s="33">
        <v>4010</v>
      </c>
      <c r="BF120" s="33">
        <v>4035</v>
      </c>
      <c r="BG120" s="33">
        <v>4050</v>
      </c>
      <c r="BH120" s="33">
        <v>4080</v>
      </c>
      <c r="BI120" s="33">
        <v>4215</v>
      </c>
      <c r="BJ120" s="33">
        <v>4260</v>
      </c>
      <c r="BK120" s="33">
        <v>4360</v>
      </c>
      <c r="BL120" s="33">
        <v>4365</v>
      </c>
      <c r="BM120" s="1">
        <v>4375</v>
      </c>
      <c r="BN120" s="1">
        <v>4385</v>
      </c>
      <c r="BO120" s="1">
        <v>4375</v>
      </c>
      <c r="BP120" s="1">
        <v>4245</v>
      </c>
    </row>
    <row r="121" spans="1:68" ht="15.9" customHeight="1">
      <c r="A121" s="68" t="s">
        <v>237</v>
      </c>
      <c r="B121" s="44" t="s">
        <v>238</v>
      </c>
      <c r="C121" s="48" t="str">
        <f>_xll.RssMarket("7685","安値")</f>
        <v/>
      </c>
      <c r="D121" s="16" t="e">
        <f t="shared" si="3"/>
        <v>#VALUE!</v>
      </c>
      <c r="E121" s="33">
        <v>3350</v>
      </c>
      <c r="F121" s="33">
        <v>3450</v>
      </c>
      <c r="G121" s="33">
        <v>3485</v>
      </c>
      <c r="H121" s="33">
        <v>3505</v>
      </c>
      <c r="I121" s="33">
        <v>3450</v>
      </c>
      <c r="J121" s="33">
        <v>3560</v>
      </c>
      <c r="K121" s="33">
        <v>3540</v>
      </c>
      <c r="L121" s="33">
        <v>3405</v>
      </c>
      <c r="M121" s="33">
        <v>3400</v>
      </c>
      <c r="N121" s="33">
        <v>3450</v>
      </c>
      <c r="O121" s="33">
        <v>3335</v>
      </c>
      <c r="P121" s="33">
        <v>3265</v>
      </c>
      <c r="Q121" s="33">
        <v>3225</v>
      </c>
      <c r="R121" s="33">
        <v>3310</v>
      </c>
      <c r="S121" s="33">
        <v>3250</v>
      </c>
      <c r="T121" s="33">
        <v>3400</v>
      </c>
      <c r="U121" s="33">
        <v>3570</v>
      </c>
      <c r="V121" s="33">
        <v>3515</v>
      </c>
      <c r="W121" s="33">
        <v>3410</v>
      </c>
      <c r="X121" s="33">
        <v>3430</v>
      </c>
      <c r="Y121" s="33">
        <v>3480</v>
      </c>
      <c r="Z121" s="33">
        <v>3500</v>
      </c>
      <c r="AA121" s="33">
        <v>3570</v>
      </c>
      <c r="AB121" s="33">
        <v>3500</v>
      </c>
      <c r="AC121" s="33">
        <v>3680</v>
      </c>
      <c r="AD121" s="33">
        <v>3650</v>
      </c>
      <c r="AE121" s="33">
        <v>3530</v>
      </c>
      <c r="AF121" s="33">
        <v>3705</v>
      </c>
      <c r="AG121" s="33">
        <v>3670</v>
      </c>
      <c r="AH121" s="33">
        <v>3855</v>
      </c>
      <c r="AI121" s="33">
        <v>3815</v>
      </c>
      <c r="AJ121" s="33">
        <v>3990</v>
      </c>
      <c r="AK121" s="33">
        <v>3785</v>
      </c>
      <c r="AL121" s="33">
        <v>3790</v>
      </c>
      <c r="AM121" s="33">
        <v>3700</v>
      </c>
      <c r="AN121" s="33">
        <v>3570</v>
      </c>
      <c r="AO121" s="33">
        <v>3605</v>
      </c>
      <c r="AP121" s="33">
        <v>3725</v>
      </c>
      <c r="AQ121" s="33">
        <v>3330</v>
      </c>
      <c r="AR121" s="33">
        <v>3300</v>
      </c>
      <c r="AS121" s="33">
        <v>2960</v>
      </c>
      <c r="AT121" s="33">
        <v>3075</v>
      </c>
      <c r="AU121" s="33">
        <v>3295</v>
      </c>
      <c r="AV121" s="33">
        <v>3195</v>
      </c>
      <c r="AW121" s="33">
        <v>3075</v>
      </c>
      <c r="AX121" s="33">
        <v>3160</v>
      </c>
      <c r="AY121" s="33">
        <v>3210</v>
      </c>
      <c r="AZ121" s="33">
        <v>3100</v>
      </c>
      <c r="BA121" s="33">
        <v>3070</v>
      </c>
      <c r="BB121" s="33">
        <v>3105</v>
      </c>
      <c r="BC121" s="33">
        <v>3230</v>
      </c>
      <c r="BD121" s="33">
        <v>3240</v>
      </c>
      <c r="BE121" s="33">
        <v>3370</v>
      </c>
      <c r="BF121" s="33">
        <v>3320</v>
      </c>
      <c r="BG121" s="33">
        <v>3510</v>
      </c>
      <c r="BH121" s="33">
        <v>3605</v>
      </c>
      <c r="BI121" s="33">
        <v>3565</v>
      </c>
      <c r="BJ121" s="33">
        <v>3445</v>
      </c>
      <c r="BK121" s="33">
        <v>3390</v>
      </c>
      <c r="BL121" s="33">
        <v>3370</v>
      </c>
      <c r="BM121" s="1">
        <v>3380</v>
      </c>
      <c r="BN121" s="1">
        <v>3340</v>
      </c>
      <c r="BO121" s="1">
        <v>3290</v>
      </c>
      <c r="BP121" s="1">
        <v>3135</v>
      </c>
    </row>
    <row r="122" spans="1:68" ht="15.9" customHeight="1">
      <c r="A122" s="68" t="s">
        <v>239</v>
      </c>
      <c r="B122" s="44" t="s">
        <v>240</v>
      </c>
      <c r="C122" s="48" t="str">
        <f>_xll.RssMarket("8334","安値")</f>
        <v/>
      </c>
      <c r="D122" s="16" t="e">
        <f t="shared" si="3"/>
        <v>#VALUE!</v>
      </c>
      <c r="E122" s="33">
        <v>2407</v>
      </c>
      <c r="F122" s="33">
        <v>2572</v>
      </c>
      <c r="G122" s="33">
        <v>2513</v>
      </c>
      <c r="H122" s="33">
        <v>2497</v>
      </c>
      <c r="I122" s="33">
        <v>2478.5</v>
      </c>
      <c r="J122" s="33">
        <v>2469</v>
      </c>
      <c r="K122" s="33">
        <v>2442</v>
      </c>
      <c r="L122" s="33">
        <v>2436</v>
      </c>
      <c r="M122" s="33">
        <v>2408</v>
      </c>
      <c r="N122" s="33">
        <v>2400</v>
      </c>
      <c r="O122" s="33">
        <v>2377</v>
      </c>
      <c r="P122" s="33">
        <v>2336.5</v>
      </c>
      <c r="Q122" s="33">
        <v>2324</v>
      </c>
      <c r="R122" s="33">
        <v>2314</v>
      </c>
      <c r="S122" s="33">
        <v>2313.5</v>
      </c>
      <c r="T122" s="33">
        <v>2289.5</v>
      </c>
      <c r="U122" s="33">
        <v>2276</v>
      </c>
      <c r="V122" s="33">
        <v>2307</v>
      </c>
      <c r="W122" s="33">
        <v>2285</v>
      </c>
      <c r="X122" s="33">
        <v>2271</v>
      </c>
      <c r="Y122" s="33">
        <v>2304.5</v>
      </c>
      <c r="Z122" s="33">
        <v>2307</v>
      </c>
      <c r="AA122" s="33">
        <v>2285</v>
      </c>
      <c r="AB122" s="33">
        <v>2358</v>
      </c>
      <c r="AC122" s="33">
        <v>2323.5</v>
      </c>
      <c r="AD122" s="33">
        <v>2269.5</v>
      </c>
      <c r="AE122" s="33">
        <v>2302</v>
      </c>
      <c r="AF122" s="33">
        <v>2227</v>
      </c>
      <c r="AG122" s="33">
        <v>2254</v>
      </c>
      <c r="AH122" s="33">
        <v>2151</v>
      </c>
      <c r="AI122" s="33">
        <v>2166.5</v>
      </c>
      <c r="AJ122" s="33">
        <v>2093</v>
      </c>
      <c r="AK122" s="33">
        <v>2207</v>
      </c>
      <c r="AL122" s="33">
        <v>2190.5</v>
      </c>
      <c r="AM122" s="33">
        <v>2231</v>
      </c>
      <c r="AN122" s="33">
        <v>2272</v>
      </c>
      <c r="AO122" s="33">
        <v>2295</v>
      </c>
      <c r="AP122" s="33">
        <v>2337</v>
      </c>
      <c r="AQ122" s="33">
        <v>2267</v>
      </c>
      <c r="AR122" s="33">
        <v>2274.5</v>
      </c>
      <c r="AS122" s="33">
        <v>2205</v>
      </c>
      <c r="AT122" s="33">
        <v>2178</v>
      </c>
      <c r="AU122" s="33">
        <v>2174</v>
      </c>
      <c r="AV122" s="33">
        <v>2169</v>
      </c>
      <c r="AW122" s="33">
        <v>2171.5</v>
      </c>
      <c r="AX122" s="33">
        <v>2169</v>
      </c>
      <c r="AY122" s="33">
        <v>2120.5</v>
      </c>
      <c r="AZ122" s="33">
        <v>2189.5</v>
      </c>
      <c r="BA122" s="33">
        <v>2102</v>
      </c>
      <c r="BB122" s="33">
        <v>2113.5</v>
      </c>
      <c r="BC122" s="33">
        <v>2052</v>
      </c>
      <c r="BD122" s="33">
        <v>1970</v>
      </c>
      <c r="BE122" s="33">
        <v>2005</v>
      </c>
      <c r="BF122" s="33">
        <v>2014.5</v>
      </c>
      <c r="BG122" s="33">
        <v>2046.5</v>
      </c>
      <c r="BH122" s="33">
        <v>2113</v>
      </c>
      <c r="BI122" s="33">
        <v>2180</v>
      </c>
      <c r="BJ122" s="33">
        <v>2214</v>
      </c>
      <c r="BK122" s="33">
        <v>2250</v>
      </c>
      <c r="BL122" s="33">
        <v>2246</v>
      </c>
      <c r="BM122" s="1">
        <v>2225</v>
      </c>
      <c r="BN122" s="1">
        <v>2245.5</v>
      </c>
      <c r="BO122" s="1">
        <v>2266</v>
      </c>
      <c r="BP122" s="1">
        <v>2267.5</v>
      </c>
    </row>
    <row r="123" spans="1:68" ht="15.9" customHeight="1">
      <c r="A123" s="68" t="s">
        <v>241</v>
      </c>
      <c r="B123" s="44" t="s">
        <v>242</v>
      </c>
      <c r="C123" s="48" t="str">
        <f>_xll.RssMarket("8359","安値")</f>
        <v/>
      </c>
      <c r="D123" s="16" t="e">
        <f t="shared" si="3"/>
        <v>#VALUE!</v>
      </c>
      <c r="E123" s="33">
        <v>2412.5</v>
      </c>
      <c r="F123" s="33">
        <v>2575</v>
      </c>
      <c r="G123" s="33">
        <v>2536.5</v>
      </c>
      <c r="H123" s="33">
        <v>2553</v>
      </c>
      <c r="I123" s="33">
        <v>2551</v>
      </c>
      <c r="J123" s="33">
        <v>2544.5</v>
      </c>
      <c r="K123" s="33">
        <v>2548</v>
      </c>
      <c r="L123" s="33">
        <v>2549</v>
      </c>
      <c r="M123" s="33">
        <v>2505</v>
      </c>
      <c r="N123" s="33">
        <v>2480</v>
      </c>
      <c r="O123" s="33">
        <v>2428.5</v>
      </c>
      <c r="P123" s="33">
        <v>2390</v>
      </c>
      <c r="Q123" s="33">
        <v>2384</v>
      </c>
      <c r="R123" s="33">
        <v>2361.5</v>
      </c>
      <c r="S123" s="33">
        <v>2364.5</v>
      </c>
      <c r="T123" s="33">
        <v>2328.5</v>
      </c>
      <c r="U123" s="33">
        <v>2345</v>
      </c>
      <c r="V123" s="33">
        <v>2387.5</v>
      </c>
      <c r="W123" s="33">
        <v>2320</v>
      </c>
      <c r="X123" s="33">
        <v>2307</v>
      </c>
      <c r="Y123" s="33">
        <v>2290</v>
      </c>
      <c r="Z123" s="33">
        <v>2287</v>
      </c>
      <c r="AA123" s="33">
        <v>2313.5</v>
      </c>
      <c r="AB123" s="33">
        <v>2380</v>
      </c>
      <c r="AC123" s="33">
        <v>2336.5</v>
      </c>
      <c r="AD123" s="33">
        <v>2296.5</v>
      </c>
      <c r="AE123" s="33">
        <v>2331</v>
      </c>
      <c r="AF123" s="33">
        <v>2314</v>
      </c>
      <c r="AG123" s="33">
        <v>2379</v>
      </c>
      <c r="AH123" s="33">
        <v>2262.5</v>
      </c>
      <c r="AI123" s="33">
        <v>2296</v>
      </c>
      <c r="AJ123" s="33">
        <v>2235.5</v>
      </c>
      <c r="AK123" s="33">
        <v>2286</v>
      </c>
      <c r="AL123" s="33">
        <v>2248</v>
      </c>
      <c r="AM123" s="33">
        <v>2257</v>
      </c>
      <c r="AN123" s="33">
        <v>2325</v>
      </c>
      <c r="AO123" s="33">
        <v>2318</v>
      </c>
      <c r="AP123" s="33">
        <v>2335</v>
      </c>
      <c r="AQ123" s="33">
        <v>2260.5</v>
      </c>
      <c r="AR123" s="33">
        <v>2230</v>
      </c>
      <c r="AS123" s="33">
        <v>2205</v>
      </c>
      <c r="AT123" s="33">
        <v>2334.5</v>
      </c>
      <c r="AU123" s="33">
        <v>2320</v>
      </c>
      <c r="AV123" s="33">
        <v>2314</v>
      </c>
      <c r="AW123" s="33">
        <v>2293.5</v>
      </c>
      <c r="AX123" s="33">
        <v>2209</v>
      </c>
      <c r="AY123" s="33">
        <v>2159.5</v>
      </c>
      <c r="AZ123" s="33">
        <v>2137</v>
      </c>
      <c r="BA123" s="33">
        <v>2069.5</v>
      </c>
      <c r="BB123" s="33">
        <v>2088</v>
      </c>
      <c r="BC123" s="33">
        <v>2044.5</v>
      </c>
      <c r="BD123" s="33">
        <v>1964</v>
      </c>
      <c r="BE123" s="33">
        <v>2016.5</v>
      </c>
      <c r="BF123" s="33">
        <v>1981.5</v>
      </c>
      <c r="BG123" s="33">
        <v>2000.5</v>
      </c>
      <c r="BH123" s="33">
        <v>2026.5</v>
      </c>
      <c r="BI123" s="33">
        <v>2080</v>
      </c>
      <c r="BJ123" s="33">
        <v>2085</v>
      </c>
      <c r="BK123" s="33">
        <v>2102</v>
      </c>
      <c r="BL123" s="33">
        <v>2074.5</v>
      </c>
      <c r="BM123" s="1">
        <v>2048.5</v>
      </c>
      <c r="BN123" s="1">
        <v>2063</v>
      </c>
      <c r="BO123" s="1">
        <v>2105</v>
      </c>
      <c r="BP123" s="1">
        <v>2110</v>
      </c>
    </row>
    <row r="124" spans="1:68" ht="15.9" customHeight="1">
      <c r="A124" s="68" t="s">
        <v>243</v>
      </c>
      <c r="B124" s="44" t="s">
        <v>244</v>
      </c>
      <c r="C124" s="48" t="str">
        <f>_xll.RssMarket("8801","安値")</f>
        <v/>
      </c>
      <c r="D124" s="16" t="e">
        <f t="shared" si="3"/>
        <v>#VALUE!</v>
      </c>
      <c r="E124" s="33">
        <v>1534.5</v>
      </c>
      <c r="F124" s="33">
        <v>1540</v>
      </c>
      <c r="G124" s="33">
        <v>1510</v>
      </c>
      <c r="H124" s="33">
        <v>1508</v>
      </c>
      <c r="I124" s="33">
        <v>1504.5</v>
      </c>
      <c r="J124" s="33">
        <v>1544.5</v>
      </c>
      <c r="K124" s="33">
        <v>1558.5</v>
      </c>
      <c r="L124" s="33">
        <v>1541.5</v>
      </c>
      <c r="M124" s="33">
        <v>1529.5</v>
      </c>
      <c r="N124" s="33">
        <v>1484</v>
      </c>
      <c r="O124" s="33">
        <v>1457</v>
      </c>
      <c r="P124" s="33">
        <v>1499</v>
      </c>
      <c r="Q124" s="33">
        <v>1487</v>
      </c>
      <c r="R124" s="33">
        <v>1430</v>
      </c>
      <c r="S124" s="33">
        <v>1467</v>
      </c>
      <c r="T124" s="33">
        <v>1448</v>
      </c>
      <c r="U124" s="33">
        <v>1446.5</v>
      </c>
      <c r="V124" s="33">
        <v>1473</v>
      </c>
      <c r="W124" s="33">
        <v>1475</v>
      </c>
      <c r="X124" s="33">
        <v>1481</v>
      </c>
      <c r="Y124" s="33">
        <v>1516.5</v>
      </c>
      <c r="Z124" s="33">
        <v>1527</v>
      </c>
      <c r="AA124" s="33">
        <v>1563</v>
      </c>
      <c r="AB124" s="33">
        <v>1548</v>
      </c>
      <c r="AC124" s="33">
        <v>1533.5</v>
      </c>
      <c r="AD124" s="33">
        <v>1505.5</v>
      </c>
      <c r="AE124" s="33">
        <v>1443.5</v>
      </c>
      <c r="AF124" s="33">
        <v>1480</v>
      </c>
      <c r="AG124" s="33">
        <v>1450</v>
      </c>
      <c r="AH124" s="33">
        <v>1476.5</v>
      </c>
      <c r="AI124" s="33">
        <v>1455</v>
      </c>
      <c r="AJ124" s="33">
        <v>1498.5</v>
      </c>
      <c r="AK124" s="33">
        <v>1496.5</v>
      </c>
      <c r="AL124" s="33">
        <v>1530.5</v>
      </c>
      <c r="AM124" s="33">
        <v>1500.5</v>
      </c>
      <c r="AN124" s="33">
        <v>1461.5</v>
      </c>
      <c r="AO124" s="33">
        <v>1520</v>
      </c>
      <c r="AP124" s="33">
        <v>1497</v>
      </c>
      <c r="AQ124" s="33">
        <v>1512</v>
      </c>
      <c r="AR124" s="33">
        <v>1498</v>
      </c>
      <c r="AS124" s="33">
        <v>1489.5</v>
      </c>
      <c r="AT124" s="33">
        <v>1528</v>
      </c>
      <c r="AU124" s="33">
        <v>1661</v>
      </c>
      <c r="AV124" s="33">
        <v>1663</v>
      </c>
      <c r="AW124" s="33">
        <v>1650</v>
      </c>
      <c r="AX124" s="33">
        <v>1646.5</v>
      </c>
      <c r="AY124" s="33">
        <v>1699</v>
      </c>
      <c r="AZ124" s="33">
        <v>1674.5</v>
      </c>
      <c r="BA124" s="33">
        <v>1687</v>
      </c>
      <c r="BB124" s="33">
        <v>1702.5</v>
      </c>
      <c r="BC124" s="33">
        <v>1681.5</v>
      </c>
      <c r="BD124" s="33">
        <v>1696</v>
      </c>
      <c r="BE124" s="33">
        <v>1716</v>
      </c>
      <c r="BF124" s="33">
        <v>1710</v>
      </c>
      <c r="BG124" s="33">
        <v>1741.5</v>
      </c>
      <c r="BH124" s="33">
        <v>1745.5</v>
      </c>
      <c r="BI124" s="33">
        <v>1728</v>
      </c>
      <c r="BJ124" s="33">
        <v>1747.5</v>
      </c>
      <c r="BK124" s="33">
        <v>1773.5</v>
      </c>
      <c r="BL124" s="33">
        <v>1747</v>
      </c>
      <c r="BM124" s="1">
        <v>1700</v>
      </c>
      <c r="BN124" s="1">
        <v>1710</v>
      </c>
      <c r="BO124" s="1">
        <v>1720</v>
      </c>
      <c r="BP124" s="1">
        <v>1725</v>
      </c>
    </row>
    <row r="125" spans="1:68" ht="15.9" customHeight="1">
      <c r="A125" s="68" t="s">
        <v>245</v>
      </c>
      <c r="B125" s="44" t="s">
        <v>246</v>
      </c>
      <c r="C125" s="48" t="str">
        <f>_xll.RssMarket("8934","安値")</f>
        <v/>
      </c>
      <c r="D125" s="16" t="e">
        <f t="shared" si="3"/>
        <v>#VALUE!</v>
      </c>
      <c r="E125" s="33">
        <v>2498</v>
      </c>
      <c r="F125" s="33">
        <v>2529</v>
      </c>
      <c r="G125" s="33">
        <v>2483</v>
      </c>
      <c r="H125" s="33">
        <v>2461</v>
      </c>
      <c r="I125" s="33">
        <v>2479</v>
      </c>
      <c r="J125" s="33">
        <v>2498</v>
      </c>
      <c r="K125" s="33">
        <v>2521</v>
      </c>
      <c r="L125" s="33">
        <v>2500</v>
      </c>
      <c r="M125" s="33">
        <v>2475</v>
      </c>
      <c r="N125" s="33">
        <v>2431</v>
      </c>
      <c r="O125" s="33">
        <v>2412</v>
      </c>
      <c r="P125" s="33">
        <v>2385</v>
      </c>
      <c r="Q125" s="33">
        <v>2429</v>
      </c>
      <c r="R125" s="33">
        <v>2410</v>
      </c>
      <c r="S125" s="33">
        <v>2364</v>
      </c>
      <c r="T125" s="33">
        <v>2339</v>
      </c>
      <c r="U125" s="33">
        <v>2333</v>
      </c>
      <c r="V125" s="33">
        <v>2327</v>
      </c>
      <c r="W125" s="33">
        <v>2329</v>
      </c>
      <c r="X125" s="33">
        <v>2330</v>
      </c>
      <c r="Y125" s="33">
        <v>2325</v>
      </c>
      <c r="Z125" s="33">
        <v>2353</v>
      </c>
      <c r="AA125" s="33">
        <v>2352</v>
      </c>
      <c r="AB125" s="33">
        <v>2383</v>
      </c>
      <c r="AC125" s="33">
        <v>2349</v>
      </c>
      <c r="AD125" s="33">
        <v>2326</v>
      </c>
      <c r="AE125" s="33">
        <v>2375</v>
      </c>
      <c r="AF125" s="33">
        <v>2288</v>
      </c>
      <c r="AG125" s="33">
        <v>2297</v>
      </c>
      <c r="AH125" s="33">
        <v>2245</v>
      </c>
      <c r="AI125" s="33">
        <v>2251</v>
      </c>
      <c r="AJ125" s="33">
        <v>2195</v>
      </c>
      <c r="AK125" s="33">
        <v>2360</v>
      </c>
      <c r="AL125" s="33">
        <v>2321</v>
      </c>
      <c r="AM125" s="33">
        <v>2320</v>
      </c>
      <c r="AN125" s="33">
        <v>2339</v>
      </c>
      <c r="AO125" s="33">
        <v>2320</v>
      </c>
      <c r="AP125" s="33">
        <v>2372</v>
      </c>
      <c r="AQ125" s="33">
        <v>2330</v>
      </c>
      <c r="AR125" s="33">
        <v>2412</v>
      </c>
      <c r="AS125" s="33">
        <v>2390</v>
      </c>
      <c r="AT125" s="33">
        <v>2443</v>
      </c>
      <c r="AU125" s="33">
        <v>2413</v>
      </c>
      <c r="AV125" s="33">
        <v>2407</v>
      </c>
      <c r="AW125" s="33">
        <v>2539</v>
      </c>
      <c r="AX125" s="33">
        <v>2560</v>
      </c>
      <c r="AY125" s="33">
        <v>2621</v>
      </c>
      <c r="AZ125" s="33">
        <v>2634</v>
      </c>
      <c r="BA125" s="33">
        <v>2675</v>
      </c>
      <c r="BB125" s="33">
        <v>2620</v>
      </c>
      <c r="BC125" s="33">
        <v>2612</v>
      </c>
      <c r="BD125" s="33">
        <v>2626</v>
      </c>
      <c r="BE125" s="33">
        <v>2660</v>
      </c>
      <c r="BF125" s="33">
        <v>2710</v>
      </c>
      <c r="BG125" s="33">
        <v>2736</v>
      </c>
      <c r="BH125" s="33">
        <v>2729</v>
      </c>
      <c r="BI125" s="33">
        <v>2785</v>
      </c>
      <c r="BJ125" s="33">
        <v>2790</v>
      </c>
      <c r="BK125" s="33">
        <v>2815</v>
      </c>
      <c r="BL125" s="33">
        <v>2814</v>
      </c>
      <c r="BM125" s="1">
        <v>2810</v>
      </c>
      <c r="BN125" s="1">
        <v>2766</v>
      </c>
      <c r="BO125" s="1">
        <v>2737</v>
      </c>
      <c r="BP125" s="1">
        <v>2726</v>
      </c>
    </row>
    <row r="126" spans="1:68" ht="15.9" customHeight="1">
      <c r="A126" s="68" t="s">
        <v>247</v>
      </c>
      <c r="B126" s="44" t="s">
        <v>248</v>
      </c>
      <c r="C126" s="48" t="str">
        <f>_xll.RssMarket("9416","安値")</f>
        <v/>
      </c>
      <c r="D126" s="16" t="e">
        <f t="shared" si="3"/>
        <v>#VALUE!</v>
      </c>
      <c r="E126" s="33">
        <v>993</v>
      </c>
      <c r="F126" s="33">
        <v>1006</v>
      </c>
      <c r="G126" s="33">
        <v>1016</v>
      </c>
      <c r="H126" s="33">
        <v>1011</v>
      </c>
      <c r="I126" s="33">
        <v>1008</v>
      </c>
      <c r="J126" s="33">
        <v>995</v>
      </c>
      <c r="K126" s="33">
        <v>1003</v>
      </c>
      <c r="L126" s="33">
        <v>1009</v>
      </c>
      <c r="M126" s="33">
        <v>998</v>
      </c>
      <c r="N126" s="33">
        <v>984</v>
      </c>
      <c r="O126" s="33">
        <v>970</v>
      </c>
      <c r="P126" s="33">
        <v>949</v>
      </c>
      <c r="Q126" s="33">
        <v>967</v>
      </c>
      <c r="R126" s="33">
        <v>969</v>
      </c>
      <c r="S126" s="33">
        <v>966</v>
      </c>
      <c r="T126" s="33">
        <v>975</v>
      </c>
      <c r="U126" s="33">
        <v>978</v>
      </c>
      <c r="V126" s="33">
        <v>985</v>
      </c>
      <c r="W126" s="33">
        <v>1006</v>
      </c>
      <c r="X126" s="33">
        <v>1021</v>
      </c>
      <c r="Y126" s="33">
        <v>1017</v>
      </c>
      <c r="Z126" s="33">
        <v>1012</v>
      </c>
      <c r="AA126" s="33">
        <v>1009</v>
      </c>
      <c r="AB126" s="33">
        <v>1013</v>
      </c>
      <c r="AC126" s="33">
        <v>1001</v>
      </c>
      <c r="AD126" s="33">
        <v>1005</v>
      </c>
      <c r="AE126" s="33">
        <v>1020</v>
      </c>
      <c r="AF126" s="33">
        <v>1010</v>
      </c>
      <c r="AG126" s="33">
        <v>1002</v>
      </c>
      <c r="AH126" s="33">
        <v>1007</v>
      </c>
      <c r="AI126" s="33">
        <v>1056</v>
      </c>
      <c r="AJ126" s="33">
        <v>1044</v>
      </c>
      <c r="AK126" s="33">
        <v>1046</v>
      </c>
      <c r="AL126" s="33">
        <v>1060</v>
      </c>
      <c r="AM126" s="33">
        <v>1008</v>
      </c>
      <c r="AN126" s="33">
        <v>1015</v>
      </c>
      <c r="AO126" s="33">
        <v>1000</v>
      </c>
      <c r="AP126" s="33">
        <v>1004</v>
      </c>
      <c r="AQ126" s="33">
        <v>1000</v>
      </c>
      <c r="AR126" s="33">
        <v>994</v>
      </c>
      <c r="AS126" s="33">
        <v>1091</v>
      </c>
      <c r="AT126" s="33">
        <v>1089</v>
      </c>
      <c r="AU126" s="33">
        <v>1094</v>
      </c>
      <c r="AV126" s="33">
        <v>1105</v>
      </c>
      <c r="AW126" s="33">
        <v>1104</v>
      </c>
      <c r="AX126" s="33">
        <v>1100</v>
      </c>
      <c r="AY126" s="33">
        <v>1085</v>
      </c>
      <c r="AZ126" s="33">
        <v>1083</v>
      </c>
      <c r="BA126" s="33">
        <v>1093</v>
      </c>
      <c r="BB126" s="33">
        <v>1082</v>
      </c>
      <c r="BC126" s="33">
        <v>1075</v>
      </c>
      <c r="BD126" s="33">
        <v>1100</v>
      </c>
      <c r="BE126" s="33">
        <v>1114</v>
      </c>
      <c r="BF126" s="33">
        <v>1140</v>
      </c>
      <c r="BG126" s="33">
        <v>1155</v>
      </c>
      <c r="BH126" s="33">
        <v>1179</v>
      </c>
      <c r="BI126" s="33">
        <v>1190</v>
      </c>
      <c r="BJ126" s="33">
        <v>1194</v>
      </c>
      <c r="BK126" s="33">
        <v>1186</v>
      </c>
      <c r="BL126" s="33">
        <v>1185</v>
      </c>
      <c r="BM126" s="1">
        <v>1193</v>
      </c>
      <c r="BN126" s="1">
        <v>1188</v>
      </c>
      <c r="BO126" s="1">
        <v>1198</v>
      </c>
      <c r="BP126" s="1">
        <v>1172</v>
      </c>
    </row>
    <row r="127" spans="1:68" ht="15.9" customHeight="1">
      <c r="A127" s="68" t="s">
        <v>249</v>
      </c>
      <c r="B127" s="44" t="s">
        <v>250</v>
      </c>
      <c r="C127" s="48" t="str">
        <f>_xll.RssMarket("9532","安値")</f>
        <v/>
      </c>
      <c r="D127" s="16" t="e">
        <f t="shared" si="3"/>
        <v>#VALUE!</v>
      </c>
      <c r="E127" s="33">
        <v>5315</v>
      </c>
      <c r="F127" s="33">
        <v>5343</v>
      </c>
      <c r="G127" s="33">
        <v>5300</v>
      </c>
      <c r="H127" s="33">
        <v>5264</v>
      </c>
      <c r="I127" s="33">
        <v>5353</v>
      </c>
      <c r="J127" s="33">
        <v>5354</v>
      </c>
      <c r="K127" s="33">
        <v>5493</v>
      </c>
      <c r="L127" s="33">
        <v>5430</v>
      </c>
      <c r="M127" s="33">
        <v>5366</v>
      </c>
      <c r="N127" s="33">
        <v>5354</v>
      </c>
      <c r="O127" s="33">
        <v>5277</v>
      </c>
      <c r="P127" s="33">
        <v>5289</v>
      </c>
      <c r="Q127" s="33">
        <v>5430</v>
      </c>
      <c r="R127" s="33">
        <v>5406</v>
      </c>
      <c r="S127" s="33">
        <v>5350</v>
      </c>
      <c r="T127" s="33">
        <v>5349</v>
      </c>
      <c r="U127" s="33">
        <v>5393</v>
      </c>
      <c r="V127" s="33">
        <v>5401</v>
      </c>
      <c r="W127" s="33">
        <v>5374</v>
      </c>
      <c r="X127" s="33">
        <v>5304</v>
      </c>
      <c r="Y127" s="33">
        <v>5422</v>
      </c>
      <c r="Z127" s="33">
        <v>5420</v>
      </c>
      <c r="AA127" s="33">
        <v>5450</v>
      </c>
      <c r="AB127" s="33">
        <v>5493</v>
      </c>
      <c r="AC127" s="33">
        <v>5589</v>
      </c>
      <c r="AD127" s="33">
        <v>5497</v>
      </c>
      <c r="AE127" s="33">
        <v>5476</v>
      </c>
      <c r="AF127" s="33">
        <v>5421</v>
      </c>
      <c r="AG127" s="33">
        <v>5454</v>
      </c>
      <c r="AH127" s="33">
        <v>5410</v>
      </c>
      <c r="AI127" s="33">
        <v>5475</v>
      </c>
      <c r="AJ127" s="33">
        <v>5241</v>
      </c>
      <c r="AK127" s="33">
        <v>5270</v>
      </c>
      <c r="AL127" s="33">
        <v>5362</v>
      </c>
      <c r="AM127" s="33">
        <v>5455</v>
      </c>
      <c r="AN127" s="33">
        <v>5556</v>
      </c>
      <c r="AO127" s="33">
        <v>5601</v>
      </c>
      <c r="AP127" s="33">
        <v>5659</v>
      </c>
      <c r="AQ127" s="33">
        <v>5705</v>
      </c>
      <c r="AR127" s="33">
        <v>5726</v>
      </c>
      <c r="AS127" s="33">
        <v>5570</v>
      </c>
      <c r="AT127" s="33">
        <v>5654</v>
      </c>
      <c r="AU127" s="33">
        <v>5696</v>
      </c>
      <c r="AV127" s="33">
        <v>5677</v>
      </c>
      <c r="AW127" s="33">
        <v>5594</v>
      </c>
      <c r="AX127" s="33">
        <v>5560</v>
      </c>
      <c r="AY127" s="33">
        <v>5540</v>
      </c>
      <c r="AZ127" s="33">
        <v>5650</v>
      </c>
      <c r="BA127" s="33">
        <v>5626</v>
      </c>
      <c r="BB127" s="33">
        <v>5590</v>
      </c>
      <c r="BC127" s="33">
        <v>5803</v>
      </c>
      <c r="BD127" s="33">
        <v>5766</v>
      </c>
      <c r="BE127" s="33">
        <v>5795</v>
      </c>
      <c r="BF127" s="33">
        <v>5745</v>
      </c>
      <c r="BG127" s="33">
        <v>5815</v>
      </c>
      <c r="BH127" s="33">
        <v>5927</v>
      </c>
      <c r="BI127" s="33">
        <v>5958</v>
      </c>
      <c r="BJ127" s="33">
        <v>6105</v>
      </c>
      <c r="BK127" s="33">
        <v>6142</v>
      </c>
      <c r="BL127" s="33">
        <v>6179</v>
      </c>
      <c r="BM127" s="1">
        <v>6192</v>
      </c>
      <c r="BN127" s="1">
        <v>6218</v>
      </c>
      <c r="BO127" s="1">
        <v>6448</v>
      </c>
      <c r="BP127" s="1">
        <v>6411</v>
      </c>
    </row>
    <row r="128" spans="1:68" ht="15.9" customHeight="1">
      <c r="A128" s="68" t="s">
        <v>251</v>
      </c>
      <c r="B128" s="44" t="s">
        <v>252</v>
      </c>
      <c r="C128" s="48" t="str">
        <f>_xll.RssMarket("6330","安値")</f>
        <v/>
      </c>
      <c r="D128" s="16" t="e">
        <f t="shared" si="3"/>
        <v>#VALUE!</v>
      </c>
      <c r="E128" s="33">
        <v>1712</v>
      </c>
      <c r="F128" s="33">
        <v>1893</v>
      </c>
      <c r="G128" s="33">
        <v>1895</v>
      </c>
      <c r="H128" s="33">
        <v>1908</v>
      </c>
      <c r="I128" s="33">
        <v>1935</v>
      </c>
      <c r="J128" s="33">
        <v>1973</v>
      </c>
      <c r="K128" s="33">
        <v>2041</v>
      </c>
      <c r="L128" s="33">
        <v>2073</v>
      </c>
      <c r="M128" s="33">
        <v>1976</v>
      </c>
      <c r="N128" s="33">
        <v>1944</v>
      </c>
      <c r="O128" s="33">
        <v>1913</v>
      </c>
      <c r="P128" s="33">
        <v>1981</v>
      </c>
      <c r="Q128" s="33">
        <v>2040</v>
      </c>
      <c r="R128" s="33">
        <v>1903</v>
      </c>
      <c r="S128" s="33">
        <v>1875</v>
      </c>
      <c r="T128" s="33">
        <v>1863</v>
      </c>
      <c r="U128" s="33">
        <v>1886</v>
      </c>
      <c r="V128" s="33">
        <v>2004</v>
      </c>
      <c r="W128" s="33">
        <v>2037</v>
      </c>
      <c r="X128" s="33">
        <v>2107</v>
      </c>
      <c r="Y128" s="33">
        <v>2091</v>
      </c>
      <c r="Z128" s="33">
        <v>1985</v>
      </c>
      <c r="AA128" s="33">
        <v>1987</v>
      </c>
      <c r="AB128" s="33">
        <v>1844</v>
      </c>
      <c r="AC128" s="33">
        <v>1790</v>
      </c>
      <c r="AD128" s="33">
        <v>1878</v>
      </c>
      <c r="AE128" s="33">
        <v>1960</v>
      </c>
      <c r="AF128" s="33">
        <v>1940</v>
      </c>
      <c r="AG128" s="33">
        <v>1946</v>
      </c>
      <c r="AH128" s="33">
        <v>1864</v>
      </c>
      <c r="AI128" s="33">
        <v>1830</v>
      </c>
      <c r="AJ128" s="33">
        <v>2009</v>
      </c>
      <c r="AK128" s="33">
        <v>2056</v>
      </c>
      <c r="AL128" s="33">
        <v>2072</v>
      </c>
      <c r="AM128" s="33">
        <v>2127</v>
      </c>
      <c r="AN128" s="33">
        <v>2004</v>
      </c>
      <c r="AO128" s="33">
        <v>1990</v>
      </c>
      <c r="AP128" s="33">
        <v>1966</v>
      </c>
      <c r="AQ128" s="33">
        <v>2064</v>
      </c>
      <c r="AR128" s="33">
        <v>2014</v>
      </c>
      <c r="AS128" s="33">
        <v>2020</v>
      </c>
      <c r="AT128" s="33">
        <v>2085</v>
      </c>
      <c r="AU128" s="33">
        <v>2133</v>
      </c>
      <c r="AV128" s="33">
        <v>2158</v>
      </c>
      <c r="AW128" s="33">
        <v>2220</v>
      </c>
      <c r="AX128" s="33">
        <v>2237</v>
      </c>
      <c r="AY128" s="33">
        <v>2266</v>
      </c>
      <c r="AZ128" s="33">
        <v>2254</v>
      </c>
      <c r="BA128" s="33">
        <v>2266</v>
      </c>
      <c r="BB128" s="33">
        <v>2300</v>
      </c>
      <c r="BC128" s="33">
        <v>2270</v>
      </c>
      <c r="BD128" s="33">
        <v>2329</v>
      </c>
      <c r="BE128" s="33">
        <v>2348</v>
      </c>
      <c r="BF128" s="33">
        <v>2424</v>
      </c>
      <c r="BG128" s="33">
        <v>2533</v>
      </c>
      <c r="BH128" s="33">
        <v>2551</v>
      </c>
      <c r="BI128" s="33">
        <v>2455</v>
      </c>
      <c r="BJ128" s="33">
        <v>2348</v>
      </c>
      <c r="BK128" s="33">
        <v>2281</v>
      </c>
      <c r="BL128" s="33">
        <v>2161</v>
      </c>
      <c r="BM128" s="1">
        <v>2265</v>
      </c>
      <c r="BN128" s="1">
        <v>2281</v>
      </c>
      <c r="BO128" s="1">
        <v>2281</v>
      </c>
      <c r="BP128" s="1">
        <v>2250</v>
      </c>
    </row>
    <row r="129" spans="1:68" ht="15.9" customHeight="1">
      <c r="A129" s="68" t="s">
        <v>253</v>
      </c>
      <c r="B129" s="44" t="s">
        <v>254</v>
      </c>
      <c r="C129" s="48" t="str">
        <f>_xll.RssMarket("4082","安値")</f>
        <v/>
      </c>
      <c r="D129" s="16" t="e">
        <f t="shared" si="3"/>
        <v>#VALUE!</v>
      </c>
      <c r="E129" s="33">
        <v>1702</v>
      </c>
      <c r="F129" s="33">
        <v>1914</v>
      </c>
      <c r="G129" s="33">
        <v>1909</v>
      </c>
      <c r="H129" s="33">
        <v>1881</v>
      </c>
      <c r="I129" s="33">
        <v>1946</v>
      </c>
      <c r="J129" s="33">
        <v>1950</v>
      </c>
      <c r="K129" s="33">
        <v>1992</v>
      </c>
      <c r="L129" s="33">
        <v>2000</v>
      </c>
      <c r="M129" s="33">
        <v>2055</v>
      </c>
      <c r="N129" s="33">
        <v>1993</v>
      </c>
      <c r="O129" s="33">
        <v>2010</v>
      </c>
      <c r="P129" s="33">
        <v>2001</v>
      </c>
      <c r="Q129" s="33">
        <v>2010</v>
      </c>
      <c r="R129" s="33">
        <v>2032</v>
      </c>
      <c r="S129" s="33">
        <v>2010</v>
      </c>
      <c r="T129" s="33">
        <v>2025</v>
      </c>
      <c r="U129" s="33">
        <v>1993</v>
      </c>
      <c r="V129" s="33">
        <v>2050</v>
      </c>
      <c r="W129" s="33">
        <v>2008</v>
      </c>
      <c r="X129" s="33">
        <v>1996</v>
      </c>
      <c r="Y129" s="33">
        <v>1941</v>
      </c>
      <c r="Z129" s="33">
        <v>1919</v>
      </c>
      <c r="AA129" s="33">
        <v>1936</v>
      </c>
      <c r="AB129" s="33">
        <v>1839</v>
      </c>
      <c r="AC129" s="33">
        <v>1765</v>
      </c>
      <c r="AD129" s="33">
        <v>1815</v>
      </c>
      <c r="AE129" s="33">
        <v>1928</v>
      </c>
      <c r="AF129" s="33">
        <v>2041</v>
      </c>
      <c r="AG129" s="33">
        <v>2089</v>
      </c>
      <c r="AH129" s="33">
        <v>2135</v>
      </c>
      <c r="AI129" s="33">
        <v>2087</v>
      </c>
      <c r="AJ129" s="33">
        <v>2236</v>
      </c>
      <c r="AK129" s="33">
        <v>2150</v>
      </c>
      <c r="AL129" s="33">
        <v>2153</v>
      </c>
      <c r="AM129" s="33">
        <v>2016</v>
      </c>
      <c r="AN129" s="33">
        <v>1975</v>
      </c>
      <c r="AO129" s="33">
        <v>1935</v>
      </c>
      <c r="AP129" s="33">
        <v>1927</v>
      </c>
      <c r="AQ129" s="33">
        <v>2133</v>
      </c>
      <c r="AR129" s="33">
        <v>2105</v>
      </c>
      <c r="AS129" s="33">
        <v>2111</v>
      </c>
      <c r="AT129" s="33">
        <v>2480</v>
      </c>
      <c r="AU129" s="33">
        <v>2583</v>
      </c>
      <c r="AV129" s="33">
        <v>2520</v>
      </c>
      <c r="AW129" s="33">
        <v>2484</v>
      </c>
      <c r="AX129" s="33">
        <v>2388</v>
      </c>
      <c r="AY129" s="33">
        <v>2338</v>
      </c>
      <c r="AZ129" s="33">
        <v>2239</v>
      </c>
      <c r="BA129" s="33">
        <v>2285</v>
      </c>
      <c r="BB129" s="33">
        <v>2241</v>
      </c>
      <c r="BC129" s="33">
        <v>2227</v>
      </c>
      <c r="BD129" s="33">
        <v>2290</v>
      </c>
      <c r="BE129" s="33">
        <v>2251</v>
      </c>
      <c r="BF129" s="33">
        <v>2305</v>
      </c>
      <c r="BG129" s="33">
        <v>2341</v>
      </c>
      <c r="BH129" s="33">
        <v>2314</v>
      </c>
      <c r="BI129" s="33">
        <v>2202</v>
      </c>
      <c r="BJ129" s="33">
        <v>2140</v>
      </c>
      <c r="BK129" s="33">
        <v>2072</v>
      </c>
      <c r="BL129" s="33">
        <v>2046</v>
      </c>
      <c r="BM129" s="1">
        <v>2031</v>
      </c>
      <c r="BN129" s="1">
        <v>2065</v>
      </c>
      <c r="BO129" s="1">
        <v>2105</v>
      </c>
      <c r="BP129" s="1">
        <v>2120</v>
      </c>
    </row>
    <row r="130" spans="1:68" ht="15.9" customHeight="1">
      <c r="A130" s="68" t="s">
        <v>255</v>
      </c>
      <c r="B130" s="44" t="s">
        <v>256</v>
      </c>
      <c r="C130" s="48" t="str">
        <f>_xll.RssMarket("4519","安値")</f>
        <v/>
      </c>
      <c r="D130" s="16" t="e">
        <f t="shared" si="3"/>
        <v>#VALUE!</v>
      </c>
      <c r="E130" s="33">
        <v>7210</v>
      </c>
      <c r="F130" s="33">
        <v>7105</v>
      </c>
      <c r="G130" s="33">
        <v>7168</v>
      </c>
      <c r="H130" s="33">
        <v>7136</v>
      </c>
      <c r="I130" s="33">
        <v>7312</v>
      </c>
      <c r="J130" s="33">
        <v>7313</v>
      </c>
      <c r="K130" s="33">
        <v>7345</v>
      </c>
      <c r="L130" s="33">
        <v>7545</v>
      </c>
      <c r="M130" s="33">
        <v>7514</v>
      </c>
      <c r="N130" s="33">
        <v>7641</v>
      </c>
      <c r="O130" s="33">
        <v>7265</v>
      </c>
      <c r="P130" s="33">
        <v>7249</v>
      </c>
      <c r="Q130" s="33">
        <v>7488</v>
      </c>
      <c r="R130" s="33">
        <v>7441</v>
      </c>
      <c r="S130" s="33">
        <v>7434</v>
      </c>
      <c r="T130" s="33">
        <v>7463</v>
      </c>
      <c r="U130" s="33">
        <v>7466</v>
      </c>
      <c r="V130" s="33">
        <v>7434</v>
      </c>
      <c r="W130" s="33">
        <v>7442</v>
      </c>
      <c r="X130" s="33">
        <v>7386</v>
      </c>
      <c r="Y130" s="33">
        <v>7480</v>
      </c>
      <c r="Z130" s="33">
        <v>7532</v>
      </c>
      <c r="AA130" s="33">
        <v>7442</v>
      </c>
      <c r="AB130" s="33">
        <v>7376</v>
      </c>
      <c r="AC130" s="33">
        <v>7390</v>
      </c>
      <c r="AD130" s="33">
        <v>7270</v>
      </c>
      <c r="AE130" s="33">
        <v>7331</v>
      </c>
      <c r="AF130" s="33">
        <v>7430</v>
      </c>
      <c r="AG130" s="33">
        <v>7504</v>
      </c>
      <c r="AH130" s="33">
        <v>7357</v>
      </c>
      <c r="AI130" s="33">
        <v>7387</v>
      </c>
      <c r="AJ130" s="33">
        <v>7488</v>
      </c>
      <c r="AK130" s="33">
        <v>7677</v>
      </c>
      <c r="AL130" s="33">
        <v>7726</v>
      </c>
      <c r="AM130" s="33">
        <v>7625</v>
      </c>
      <c r="AN130" s="33">
        <v>8003</v>
      </c>
      <c r="AO130" s="33">
        <v>7795</v>
      </c>
      <c r="AP130" s="33">
        <v>7815</v>
      </c>
      <c r="AQ130" s="33">
        <v>7864</v>
      </c>
      <c r="AR130" s="33">
        <v>7843</v>
      </c>
      <c r="AS130" s="33">
        <v>7787</v>
      </c>
      <c r="AT130" s="33">
        <v>7925</v>
      </c>
      <c r="AU130" s="33">
        <v>7777</v>
      </c>
      <c r="AV130" s="33">
        <v>7691</v>
      </c>
      <c r="AW130" s="33">
        <v>7752</v>
      </c>
      <c r="AX130" s="33">
        <v>7740</v>
      </c>
      <c r="AY130" s="33">
        <v>7865</v>
      </c>
      <c r="AZ130" s="33">
        <v>7727</v>
      </c>
      <c r="BA130" s="33">
        <v>8245</v>
      </c>
      <c r="BB130" s="33">
        <v>7833</v>
      </c>
      <c r="BC130" s="33">
        <v>7570</v>
      </c>
      <c r="BD130" s="33">
        <v>7402</v>
      </c>
      <c r="BE130" s="33">
        <v>8702</v>
      </c>
      <c r="BF130" s="33">
        <v>8681</v>
      </c>
      <c r="BG130" s="33">
        <v>8663</v>
      </c>
      <c r="BH130" s="33">
        <v>8467</v>
      </c>
      <c r="BI130" s="33">
        <v>8580</v>
      </c>
      <c r="BJ130" s="33">
        <v>8306</v>
      </c>
      <c r="BK130" s="33">
        <v>8583</v>
      </c>
      <c r="BL130" s="33">
        <v>8511</v>
      </c>
      <c r="BM130" s="1">
        <v>8425</v>
      </c>
      <c r="BN130" s="1">
        <v>8512</v>
      </c>
      <c r="BO130" s="1">
        <v>8538</v>
      </c>
      <c r="BP130" s="1">
        <v>8775</v>
      </c>
    </row>
    <row r="131" spans="1:68" ht="15.9" customHeight="1">
      <c r="A131" s="68" t="s">
        <v>257</v>
      </c>
      <c r="B131" s="44" t="s">
        <v>258</v>
      </c>
      <c r="C131" s="48" t="str">
        <f>_xll.RssMarket("2160","安値")</f>
        <v/>
      </c>
      <c r="D131" s="16" t="e">
        <f t="shared" si="3"/>
        <v>#VALUE!</v>
      </c>
      <c r="E131" s="33">
        <v>2396</v>
      </c>
      <c r="F131" s="33">
        <v>2542</v>
      </c>
      <c r="G131" s="33">
        <v>2562</v>
      </c>
      <c r="H131" s="33">
        <v>2550</v>
      </c>
      <c r="I131" s="33">
        <v>2569</v>
      </c>
      <c r="J131" s="33">
        <v>2566</v>
      </c>
      <c r="K131" s="33">
        <v>2598</v>
      </c>
      <c r="L131" s="33">
        <v>2811</v>
      </c>
      <c r="M131" s="33">
        <v>2812</v>
      </c>
      <c r="N131" s="33">
        <v>2814</v>
      </c>
      <c r="O131" s="33">
        <v>2800</v>
      </c>
      <c r="P131" s="33">
        <v>2746</v>
      </c>
      <c r="Q131" s="33">
        <v>2741</v>
      </c>
      <c r="R131" s="33">
        <v>2602</v>
      </c>
      <c r="S131" s="33">
        <v>2492</v>
      </c>
      <c r="T131" s="33">
        <v>2509</v>
      </c>
      <c r="U131" s="33">
        <v>2495</v>
      </c>
      <c r="V131" s="33">
        <v>2454</v>
      </c>
      <c r="W131" s="33">
        <v>2464</v>
      </c>
      <c r="X131" s="33">
        <v>2481</v>
      </c>
      <c r="Y131" s="33">
        <v>2557</v>
      </c>
      <c r="Z131" s="33">
        <v>2500</v>
      </c>
      <c r="AA131" s="33">
        <v>2428</v>
      </c>
      <c r="AB131" s="33">
        <v>2463</v>
      </c>
      <c r="AC131" s="33">
        <v>2482</v>
      </c>
      <c r="AD131" s="33">
        <v>2589</v>
      </c>
      <c r="AE131" s="33">
        <v>2661</v>
      </c>
      <c r="AF131" s="33">
        <v>2763</v>
      </c>
      <c r="AG131" s="33">
        <v>2779</v>
      </c>
      <c r="AH131" s="33">
        <v>2600</v>
      </c>
      <c r="AI131" s="33">
        <v>2477</v>
      </c>
      <c r="AJ131" s="33">
        <v>2501</v>
      </c>
      <c r="AK131" s="33">
        <v>2533</v>
      </c>
      <c r="AL131" s="33">
        <v>2495</v>
      </c>
      <c r="AM131" s="33">
        <v>2631</v>
      </c>
      <c r="AN131" s="33">
        <v>2784</v>
      </c>
      <c r="AO131" s="33">
        <v>2813</v>
      </c>
      <c r="AP131" s="33">
        <v>2779</v>
      </c>
      <c r="AQ131" s="33">
        <v>2706</v>
      </c>
      <c r="AR131" s="33">
        <v>2673</v>
      </c>
      <c r="AS131" s="33">
        <v>2668</v>
      </c>
      <c r="AT131" s="33">
        <v>2905</v>
      </c>
      <c r="AU131" s="33">
        <v>3005</v>
      </c>
      <c r="AV131" s="33">
        <v>3105</v>
      </c>
      <c r="AW131" s="33">
        <v>2953</v>
      </c>
      <c r="AX131" s="33">
        <v>2955</v>
      </c>
      <c r="AY131" s="33">
        <v>2962</v>
      </c>
      <c r="AZ131" s="33">
        <v>3055</v>
      </c>
      <c r="BA131" s="33">
        <v>2952</v>
      </c>
      <c r="BB131" s="33">
        <v>2920</v>
      </c>
      <c r="BC131" s="33">
        <v>3100</v>
      </c>
      <c r="BD131" s="33">
        <v>3090</v>
      </c>
      <c r="BE131" s="33">
        <v>3060</v>
      </c>
      <c r="BF131" s="33">
        <v>3110</v>
      </c>
      <c r="BG131" s="33">
        <v>3260</v>
      </c>
      <c r="BH131" s="33">
        <v>3380</v>
      </c>
      <c r="BI131" s="33">
        <v>3355</v>
      </c>
      <c r="BJ131" s="33">
        <v>3290</v>
      </c>
      <c r="BK131" s="33">
        <v>3340</v>
      </c>
      <c r="BL131" s="33">
        <v>3220</v>
      </c>
      <c r="BM131" s="1">
        <v>3175</v>
      </c>
      <c r="BN131" s="1">
        <v>3055</v>
      </c>
      <c r="BO131" s="1">
        <v>3150</v>
      </c>
      <c r="BP131" s="1">
        <v>3090</v>
      </c>
    </row>
    <row r="132" spans="1:68" ht="15.9" customHeight="1">
      <c r="A132" s="68" t="s">
        <v>259</v>
      </c>
      <c r="B132" s="44" t="s">
        <v>260</v>
      </c>
      <c r="C132" s="48" t="str">
        <f>_xll.RssMarket("6227","安値")</f>
        <v/>
      </c>
      <c r="D132" s="16" t="e">
        <f t="shared" si="3"/>
        <v>#VALUE!</v>
      </c>
      <c r="E132" s="33">
        <v>6510</v>
      </c>
      <c r="F132" s="33">
        <v>7370</v>
      </c>
      <c r="G132" s="33">
        <v>7100</v>
      </c>
      <c r="H132" s="33">
        <v>6800</v>
      </c>
      <c r="I132" s="33">
        <v>6790</v>
      </c>
      <c r="J132" s="33">
        <v>5650</v>
      </c>
      <c r="K132" s="33">
        <v>5580</v>
      </c>
      <c r="L132" s="33">
        <v>5930</v>
      </c>
      <c r="M132" s="33">
        <v>6260</v>
      </c>
      <c r="N132" s="33">
        <v>6630</v>
      </c>
      <c r="O132" s="33">
        <v>6620</v>
      </c>
      <c r="P132" s="33">
        <v>7050</v>
      </c>
      <c r="Q132" s="33">
        <v>6580</v>
      </c>
      <c r="R132" s="33">
        <v>6260</v>
      </c>
      <c r="S132" s="33">
        <v>6330</v>
      </c>
      <c r="T132" s="33">
        <v>7370</v>
      </c>
      <c r="U132" s="33">
        <v>6850</v>
      </c>
      <c r="V132" s="33">
        <v>7230</v>
      </c>
      <c r="W132" s="33">
        <v>7090</v>
      </c>
      <c r="X132" s="33">
        <v>6880</v>
      </c>
      <c r="Y132" s="33">
        <v>7210</v>
      </c>
      <c r="Z132" s="33">
        <v>7920</v>
      </c>
      <c r="AA132" s="33">
        <v>7730</v>
      </c>
      <c r="AB132" s="33">
        <v>8030</v>
      </c>
      <c r="AC132" s="33">
        <v>6700</v>
      </c>
      <c r="AD132" s="33">
        <v>6400</v>
      </c>
      <c r="AE132" s="33">
        <v>6820</v>
      </c>
      <c r="AF132" s="33">
        <v>6440</v>
      </c>
      <c r="AG132" s="33">
        <v>6200</v>
      </c>
      <c r="AH132" s="33">
        <v>5820</v>
      </c>
      <c r="AI132" s="33">
        <v>5930</v>
      </c>
      <c r="AJ132" s="33">
        <v>5660</v>
      </c>
      <c r="AK132" s="33">
        <v>5380</v>
      </c>
      <c r="AL132" s="33">
        <v>5240</v>
      </c>
      <c r="AM132" s="33">
        <v>5470</v>
      </c>
      <c r="AN132" s="33">
        <v>5800</v>
      </c>
      <c r="AO132" s="33">
        <v>5560</v>
      </c>
      <c r="AP132" s="33">
        <v>6060</v>
      </c>
      <c r="AQ132" s="33">
        <v>6350</v>
      </c>
      <c r="AR132" s="33">
        <v>6510</v>
      </c>
      <c r="AS132" s="33">
        <v>6560</v>
      </c>
      <c r="AT132" s="33">
        <v>6120</v>
      </c>
      <c r="AU132" s="33">
        <v>6560</v>
      </c>
      <c r="AV132" s="33">
        <v>6410</v>
      </c>
      <c r="AW132" s="33">
        <v>6440</v>
      </c>
      <c r="AX132" s="33">
        <v>6320</v>
      </c>
      <c r="AY132" s="33">
        <v>6490</v>
      </c>
      <c r="AZ132" s="33">
        <v>6440</v>
      </c>
      <c r="BA132" s="33">
        <v>6080</v>
      </c>
      <c r="BB132" s="33">
        <v>6040</v>
      </c>
      <c r="BC132" s="33">
        <v>6100</v>
      </c>
      <c r="BD132" s="33">
        <v>6240</v>
      </c>
      <c r="BE132" s="33">
        <v>6420</v>
      </c>
      <c r="BF132" s="33">
        <v>6160</v>
      </c>
      <c r="BG132" s="33">
        <v>6630</v>
      </c>
      <c r="BH132" s="33">
        <v>6870</v>
      </c>
      <c r="BI132" s="33">
        <v>7470</v>
      </c>
      <c r="BJ132" s="33">
        <v>7800</v>
      </c>
      <c r="BK132" s="33">
        <v>8020</v>
      </c>
      <c r="BL132" s="33">
        <v>7750</v>
      </c>
      <c r="BM132" s="1">
        <v>6960</v>
      </c>
      <c r="BN132" s="1">
        <v>6000</v>
      </c>
      <c r="BO132" s="1">
        <v>5980</v>
      </c>
      <c r="BP132" s="1">
        <v>5700</v>
      </c>
    </row>
    <row r="133" spans="1:68" ht="15.9" customHeight="1">
      <c r="A133" s="68" t="s">
        <v>261</v>
      </c>
      <c r="B133" s="44" t="s">
        <v>262</v>
      </c>
      <c r="C133" s="48" t="str">
        <f>_xll.RssMarket("6327","安値")</f>
        <v/>
      </c>
      <c r="D133" s="16" t="e">
        <f t="shared" si="3"/>
        <v>#VALUE!</v>
      </c>
      <c r="E133" s="33">
        <v>3870</v>
      </c>
      <c r="F133" s="33">
        <v>5120</v>
      </c>
      <c r="G133" s="33">
        <v>4840</v>
      </c>
      <c r="H133" s="33">
        <v>5180</v>
      </c>
      <c r="I133" s="33">
        <v>5330</v>
      </c>
      <c r="J133" s="33">
        <v>4815</v>
      </c>
      <c r="K133" s="33">
        <v>5060</v>
      </c>
      <c r="L133" s="33">
        <v>5760</v>
      </c>
      <c r="M133" s="33">
        <v>6740</v>
      </c>
      <c r="N133" s="33">
        <v>6520</v>
      </c>
      <c r="O133" s="33">
        <v>7600</v>
      </c>
      <c r="P133" s="33">
        <v>8070</v>
      </c>
      <c r="Q133" s="33">
        <v>6900</v>
      </c>
      <c r="R133" s="33">
        <v>5910</v>
      </c>
      <c r="S133" s="33">
        <v>6250</v>
      </c>
      <c r="T133" s="33">
        <v>5440</v>
      </c>
      <c r="U133" s="33">
        <v>5400</v>
      </c>
      <c r="V133" s="33">
        <v>5500</v>
      </c>
      <c r="W133" s="33">
        <v>5360</v>
      </c>
      <c r="X133" s="33">
        <v>5150</v>
      </c>
      <c r="Y133" s="33">
        <v>5260</v>
      </c>
      <c r="Z133" s="33">
        <v>4450</v>
      </c>
      <c r="AA133" s="33">
        <v>3920</v>
      </c>
      <c r="AB133" s="33">
        <v>3195</v>
      </c>
      <c r="AC133" s="33">
        <v>2990</v>
      </c>
      <c r="AD133" s="33">
        <v>2863</v>
      </c>
      <c r="AE133" s="33">
        <v>3015</v>
      </c>
      <c r="AF133" s="33">
        <v>3305</v>
      </c>
      <c r="AG133" s="33">
        <v>3455</v>
      </c>
      <c r="AH133" s="33">
        <v>3820</v>
      </c>
      <c r="AI133" s="33">
        <v>4470</v>
      </c>
      <c r="AJ133" s="33">
        <v>4385</v>
      </c>
      <c r="AK133" s="33">
        <v>4615</v>
      </c>
      <c r="AL133" s="33">
        <v>3675</v>
      </c>
      <c r="AM133" s="33">
        <v>3520</v>
      </c>
      <c r="AN133" s="33">
        <v>2920</v>
      </c>
      <c r="AO133" s="33">
        <v>2396</v>
      </c>
      <c r="AP133" s="33">
        <v>2260</v>
      </c>
      <c r="AQ133" s="33">
        <v>2240</v>
      </c>
      <c r="AR133" s="33">
        <v>2363</v>
      </c>
      <c r="AS133" s="33">
        <v>2452</v>
      </c>
      <c r="AT133" s="33">
        <v>2510</v>
      </c>
      <c r="AU133" s="33">
        <v>2441</v>
      </c>
      <c r="AV133" s="33">
        <v>2597</v>
      </c>
      <c r="AW133" s="33">
        <v>2855</v>
      </c>
      <c r="AX133" s="33">
        <v>3260</v>
      </c>
      <c r="AY133" s="33">
        <v>3080</v>
      </c>
      <c r="AZ133" s="33">
        <v>2887</v>
      </c>
      <c r="BA133" s="33">
        <v>2716</v>
      </c>
      <c r="BB133" s="33">
        <v>2585</v>
      </c>
      <c r="BC133" s="33">
        <v>2169</v>
      </c>
      <c r="BD133" s="33">
        <v>2048</v>
      </c>
      <c r="BE133" s="33">
        <v>2043</v>
      </c>
      <c r="BF133" s="33">
        <v>2040</v>
      </c>
      <c r="BG133" s="33">
        <v>2124</v>
      </c>
      <c r="BH133" s="33">
        <v>1998</v>
      </c>
      <c r="BI133" s="33">
        <v>1996</v>
      </c>
      <c r="BJ133" s="33">
        <v>2020</v>
      </c>
      <c r="BK133" s="33">
        <v>2011</v>
      </c>
      <c r="BL133" s="33">
        <v>1995</v>
      </c>
      <c r="BM133" s="1">
        <v>1965</v>
      </c>
      <c r="BN133" s="1">
        <v>1887</v>
      </c>
      <c r="BO133" s="1">
        <v>1826</v>
      </c>
      <c r="BP133" s="1">
        <v>1819</v>
      </c>
    </row>
    <row r="134" spans="1:68" ht="15.9" customHeight="1">
      <c r="A134" s="68" t="s">
        <v>263</v>
      </c>
      <c r="B134" s="44" t="s">
        <v>264</v>
      </c>
      <c r="C134" s="48" t="str">
        <f>_xll.RssMarket("3110","安値")</f>
        <v/>
      </c>
      <c r="D134" s="16" t="e">
        <f t="shared" ref="D134:D141" si="4">C134-E134</f>
        <v>#VALUE!</v>
      </c>
      <c r="E134" s="33">
        <v>2915</v>
      </c>
      <c r="F134" s="33">
        <v>3450</v>
      </c>
      <c r="G134" s="33">
        <v>3270</v>
      </c>
      <c r="H134" s="33">
        <v>3370</v>
      </c>
      <c r="I134" s="33">
        <v>3445</v>
      </c>
      <c r="J134" s="33">
        <v>3480</v>
      </c>
      <c r="K134" s="33">
        <v>3405</v>
      </c>
      <c r="L134" s="33">
        <v>3525</v>
      </c>
      <c r="M134" s="33">
        <v>3430</v>
      </c>
      <c r="N134" s="33">
        <v>3395</v>
      </c>
      <c r="O134" s="33">
        <v>3570</v>
      </c>
      <c r="P134" s="33">
        <v>3805</v>
      </c>
      <c r="Q134" s="33">
        <v>4060</v>
      </c>
      <c r="R134" s="33">
        <v>3730</v>
      </c>
      <c r="S134" s="33">
        <v>18880</v>
      </c>
      <c r="T134" s="33">
        <v>20030</v>
      </c>
      <c r="U134" s="33">
        <v>19200</v>
      </c>
      <c r="V134" s="33">
        <v>19100</v>
      </c>
      <c r="W134" s="33">
        <v>20030</v>
      </c>
      <c r="X134" s="33">
        <v>18850</v>
      </c>
      <c r="Y134" s="33">
        <v>19190</v>
      </c>
      <c r="Z134" s="33">
        <v>20600</v>
      </c>
      <c r="AA134" s="33">
        <v>19720</v>
      </c>
      <c r="AB134" s="33">
        <v>19450</v>
      </c>
      <c r="AC134" s="33">
        <v>18100</v>
      </c>
      <c r="AD134" s="33">
        <v>16400</v>
      </c>
      <c r="AE134" s="33">
        <v>17040</v>
      </c>
      <c r="AF134" s="33">
        <v>17880</v>
      </c>
      <c r="AG134" s="33">
        <v>19290</v>
      </c>
      <c r="AH134" s="33">
        <v>19550</v>
      </c>
      <c r="AI134" s="33">
        <v>21110</v>
      </c>
      <c r="AJ134" s="33">
        <v>21260</v>
      </c>
      <c r="AK134" s="33">
        <v>21470</v>
      </c>
      <c r="AL134" s="33">
        <v>21500</v>
      </c>
      <c r="AM134" s="33">
        <v>23030</v>
      </c>
      <c r="AN134" s="33">
        <v>25130</v>
      </c>
      <c r="AO134" s="33">
        <v>22790</v>
      </c>
      <c r="AP134" s="33">
        <v>20930</v>
      </c>
      <c r="AQ134" s="33">
        <v>20430</v>
      </c>
      <c r="AR134" s="33">
        <v>21030</v>
      </c>
      <c r="AS134" s="33">
        <v>22250</v>
      </c>
      <c r="AT134" s="33">
        <v>23450</v>
      </c>
      <c r="AU134" s="33">
        <v>26000</v>
      </c>
      <c r="AV134" s="33">
        <v>25400</v>
      </c>
      <c r="AW134" s="33">
        <v>28370</v>
      </c>
      <c r="AX134" s="33">
        <v>28500</v>
      </c>
      <c r="AY134" s="33">
        <v>29690</v>
      </c>
      <c r="AZ134" s="33">
        <v>30000</v>
      </c>
      <c r="BA134" s="33">
        <v>27660</v>
      </c>
      <c r="BB134" s="33">
        <v>27840</v>
      </c>
      <c r="BC134" s="33">
        <v>26670</v>
      </c>
      <c r="BD134" s="33">
        <v>26380</v>
      </c>
      <c r="BE134" s="33">
        <v>26250</v>
      </c>
      <c r="BF134" s="33">
        <v>25410</v>
      </c>
      <c r="BG134" s="33">
        <v>25540</v>
      </c>
      <c r="BH134" s="33">
        <v>26340</v>
      </c>
      <c r="BI134" s="33">
        <v>26610</v>
      </c>
      <c r="BJ134" s="33">
        <v>26680</v>
      </c>
      <c r="BK134" s="33">
        <v>26080</v>
      </c>
      <c r="BL134" s="33">
        <v>26440</v>
      </c>
      <c r="BM134" s="1">
        <v>29320</v>
      </c>
      <c r="BN134" s="1">
        <v>27170</v>
      </c>
      <c r="BO134" s="1">
        <v>26250</v>
      </c>
      <c r="BP134" s="1">
        <v>24200</v>
      </c>
    </row>
    <row r="135" spans="1:68" ht="15.9" customHeight="1">
      <c r="A135" s="68" t="s">
        <v>265</v>
      </c>
      <c r="B135" s="44" t="s">
        <v>266</v>
      </c>
      <c r="C135" s="48" t="str">
        <f>_xll.RssMarket("6232","安値")</f>
        <v/>
      </c>
      <c r="D135" s="16" t="e">
        <f t="shared" si="4"/>
        <v>#VALUE!</v>
      </c>
      <c r="E135" s="33">
        <v>1610</v>
      </c>
      <c r="F135" s="33">
        <v>1700</v>
      </c>
      <c r="G135" s="33">
        <v>1693</v>
      </c>
      <c r="H135" s="33">
        <v>1739</v>
      </c>
      <c r="I135" s="33">
        <v>1711</v>
      </c>
      <c r="J135" s="33">
        <v>1675</v>
      </c>
      <c r="K135" s="33">
        <v>1750</v>
      </c>
      <c r="L135" s="33">
        <v>1835</v>
      </c>
      <c r="M135" s="33">
        <v>1858</v>
      </c>
      <c r="N135" s="33">
        <v>1700</v>
      </c>
      <c r="O135" s="33">
        <v>1729</v>
      </c>
      <c r="P135" s="33">
        <v>1681</v>
      </c>
      <c r="Q135" s="33">
        <v>1636</v>
      </c>
      <c r="R135" s="33">
        <v>1651</v>
      </c>
      <c r="S135" s="33">
        <v>1658</v>
      </c>
      <c r="T135" s="33">
        <v>1788</v>
      </c>
      <c r="U135" s="33">
        <v>1860</v>
      </c>
      <c r="V135" s="33">
        <v>1892</v>
      </c>
      <c r="W135" s="33">
        <v>1847</v>
      </c>
      <c r="X135" s="33">
        <v>1802</v>
      </c>
      <c r="Y135" s="33">
        <v>1751</v>
      </c>
      <c r="Z135" s="33">
        <v>1761</v>
      </c>
      <c r="AA135" s="33">
        <v>1782</v>
      </c>
      <c r="AB135" s="33">
        <v>1723</v>
      </c>
      <c r="AC135" s="33">
        <v>1733</v>
      </c>
      <c r="AD135" s="33">
        <v>1780</v>
      </c>
      <c r="AE135" s="33">
        <v>1875</v>
      </c>
      <c r="AF135" s="33">
        <v>1968</v>
      </c>
      <c r="AG135" s="33">
        <v>1989</v>
      </c>
      <c r="AH135" s="33">
        <v>1943</v>
      </c>
      <c r="AI135" s="33">
        <v>1978</v>
      </c>
      <c r="AJ135" s="33">
        <v>1964</v>
      </c>
      <c r="AK135" s="33">
        <v>2315</v>
      </c>
      <c r="AL135" s="33">
        <v>2263</v>
      </c>
      <c r="AM135" s="33">
        <v>2280</v>
      </c>
      <c r="AN135" s="33">
        <v>2630</v>
      </c>
      <c r="AO135" s="33">
        <v>2644</v>
      </c>
      <c r="AP135" s="33">
        <v>2618</v>
      </c>
      <c r="AQ135" s="33">
        <v>2750</v>
      </c>
      <c r="AR135" s="33">
        <v>3150</v>
      </c>
      <c r="AS135" s="33">
        <v>2924</v>
      </c>
      <c r="AT135" s="33">
        <v>3060</v>
      </c>
      <c r="AU135" s="33">
        <v>2845</v>
      </c>
      <c r="AV135" s="33">
        <v>2808</v>
      </c>
      <c r="AW135" s="33">
        <v>2906</v>
      </c>
      <c r="AX135" s="33">
        <v>3260</v>
      </c>
      <c r="AY135" s="33">
        <v>2370</v>
      </c>
      <c r="AZ135" s="33">
        <v>2326</v>
      </c>
      <c r="BA135" s="33">
        <v>2346</v>
      </c>
      <c r="BB135" s="33">
        <v>2239</v>
      </c>
      <c r="BC135" s="33">
        <v>2211</v>
      </c>
      <c r="BD135" s="33">
        <v>2271</v>
      </c>
      <c r="BE135" s="33">
        <v>2309</v>
      </c>
      <c r="BF135" s="33">
        <v>2136</v>
      </c>
      <c r="BG135" s="33">
        <v>1857</v>
      </c>
      <c r="BH135" s="33">
        <v>1704</v>
      </c>
      <c r="BI135" s="33">
        <v>1697</v>
      </c>
      <c r="BJ135" s="33">
        <v>1692</v>
      </c>
      <c r="BK135" s="33">
        <v>1807</v>
      </c>
      <c r="BL135" s="33">
        <v>1781</v>
      </c>
      <c r="BM135" s="1">
        <v>1716</v>
      </c>
      <c r="BN135" s="1">
        <v>1605</v>
      </c>
      <c r="BO135" s="1">
        <v>1537</v>
      </c>
      <c r="BP135" s="1">
        <v>1552</v>
      </c>
    </row>
    <row r="136" spans="1:68" ht="15.9" customHeight="1">
      <c r="A136" s="68" t="s">
        <v>267</v>
      </c>
      <c r="B136" s="44" t="s">
        <v>268</v>
      </c>
      <c r="C136" s="48" t="str">
        <f>_xll.RssMarket("7794","安値")</f>
        <v/>
      </c>
      <c r="D136" s="16" t="e">
        <f t="shared" si="4"/>
        <v>#VALUE!</v>
      </c>
      <c r="E136" s="33">
        <v>884</v>
      </c>
      <c r="F136" s="33">
        <v>1003</v>
      </c>
      <c r="G136" s="33">
        <v>1007</v>
      </c>
      <c r="H136" s="33">
        <v>1032</v>
      </c>
      <c r="I136" s="33">
        <v>1051</v>
      </c>
      <c r="J136" s="33">
        <v>1054</v>
      </c>
      <c r="K136" s="33">
        <v>1072</v>
      </c>
      <c r="L136" s="33">
        <v>1094</v>
      </c>
      <c r="M136" s="33">
        <v>1158</v>
      </c>
      <c r="N136" s="33">
        <v>1184</v>
      </c>
      <c r="O136" s="33">
        <v>1189</v>
      </c>
      <c r="P136" s="33">
        <v>1186</v>
      </c>
      <c r="Q136" s="33">
        <v>1125</v>
      </c>
      <c r="R136" s="33">
        <v>1060</v>
      </c>
      <c r="S136" s="33">
        <v>1015</v>
      </c>
      <c r="T136" s="33">
        <v>1033</v>
      </c>
      <c r="U136" s="33">
        <v>1043</v>
      </c>
      <c r="V136" s="33">
        <v>1102</v>
      </c>
      <c r="W136" s="33">
        <v>1105</v>
      </c>
      <c r="X136" s="33">
        <v>1068</v>
      </c>
      <c r="Y136" s="33">
        <v>1060</v>
      </c>
      <c r="Z136" s="33">
        <v>1062</v>
      </c>
      <c r="AA136" s="33">
        <v>1050</v>
      </c>
      <c r="AB136" s="33">
        <v>1073</v>
      </c>
      <c r="AC136" s="33">
        <v>1070</v>
      </c>
      <c r="AD136" s="33">
        <v>1048</v>
      </c>
      <c r="AE136" s="33">
        <v>1077</v>
      </c>
      <c r="AF136" s="33">
        <v>1040</v>
      </c>
      <c r="AG136" s="33">
        <v>1005</v>
      </c>
      <c r="AH136" s="33">
        <v>976</v>
      </c>
      <c r="AI136" s="33">
        <v>1070</v>
      </c>
      <c r="AJ136" s="33">
        <v>1073</v>
      </c>
      <c r="AK136" s="33">
        <v>1120</v>
      </c>
      <c r="AL136" s="33">
        <v>1261</v>
      </c>
      <c r="AM136" s="33">
        <v>1088</v>
      </c>
      <c r="AN136" s="33">
        <v>1133</v>
      </c>
      <c r="AO136" s="33">
        <v>1081</v>
      </c>
      <c r="AP136" s="33">
        <v>1050</v>
      </c>
      <c r="AQ136" s="33">
        <v>1062</v>
      </c>
      <c r="AR136" s="33">
        <v>1108</v>
      </c>
      <c r="AS136" s="33">
        <v>1085</v>
      </c>
      <c r="AT136" s="33">
        <v>1095</v>
      </c>
      <c r="AU136" s="33">
        <v>1116</v>
      </c>
      <c r="AV136" s="33">
        <v>1310</v>
      </c>
      <c r="AW136" s="33">
        <v>1318</v>
      </c>
      <c r="AX136" s="33">
        <v>1400</v>
      </c>
      <c r="AY136" s="33">
        <v>1302</v>
      </c>
      <c r="AZ136" s="33">
        <v>1280</v>
      </c>
      <c r="BA136" s="33">
        <v>1282</v>
      </c>
      <c r="BB136" s="33">
        <v>1307</v>
      </c>
      <c r="BC136" s="33">
        <v>1302</v>
      </c>
      <c r="BD136" s="33">
        <v>1325</v>
      </c>
      <c r="BE136" s="33">
        <v>1391</v>
      </c>
      <c r="BF136" s="33">
        <v>1411</v>
      </c>
      <c r="BG136" s="33">
        <v>1458</v>
      </c>
      <c r="BH136" s="33">
        <v>1450</v>
      </c>
      <c r="BI136" s="33">
        <v>1504</v>
      </c>
      <c r="BJ136" s="33">
        <v>1215</v>
      </c>
      <c r="BK136" s="33">
        <v>1183</v>
      </c>
      <c r="BL136" s="33">
        <v>1166</v>
      </c>
      <c r="BM136" s="1">
        <v>1181</v>
      </c>
      <c r="BN136" s="1">
        <v>1165</v>
      </c>
      <c r="BO136" s="1">
        <v>1182</v>
      </c>
      <c r="BP136" s="1">
        <v>1161</v>
      </c>
    </row>
    <row r="137" spans="1:68" ht="15.9" customHeight="1">
      <c r="A137" s="68" t="s">
        <v>269</v>
      </c>
      <c r="B137" s="44" t="s">
        <v>270</v>
      </c>
      <c r="C137" s="48" t="str">
        <f>_xll.RssMarket("6085","安値")</f>
        <v/>
      </c>
      <c r="D137" s="16" t="e">
        <f t="shared" si="4"/>
        <v>#VALUE!</v>
      </c>
      <c r="E137" s="33">
        <v>151</v>
      </c>
      <c r="F137" s="33">
        <v>198</v>
      </c>
      <c r="G137" s="33">
        <v>203</v>
      </c>
      <c r="H137" s="33">
        <v>199</v>
      </c>
      <c r="I137" s="33">
        <v>218</v>
      </c>
      <c r="J137" s="33">
        <v>212</v>
      </c>
      <c r="K137" s="33">
        <v>226</v>
      </c>
      <c r="L137" s="33">
        <v>250</v>
      </c>
      <c r="M137" s="33">
        <v>233</v>
      </c>
      <c r="N137" s="33">
        <v>205</v>
      </c>
      <c r="O137" s="33">
        <v>237</v>
      </c>
      <c r="P137" s="33">
        <v>265</v>
      </c>
      <c r="Q137" s="33">
        <v>270</v>
      </c>
      <c r="R137" s="33">
        <v>291</v>
      </c>
      <c r="S137" s="33">
        <v>298</v>
      </c>
      <c r="T137" s="33">
        <v>300</v>
      </c>
      <c r="U137" s="33">
        <v>324</v>
      </c>
      <c r="V137" s="33">
        <v>312</v>
      </c>
      <c r="W137" s="33">
        <v>321</v>
      </c>
      <c r="X137" s="33">
        <v>308</v>
      </c>
      <c r="Y137" s="33">
        <v>301</v>
      </c>
      <c r="Z137" s="33">
        <v>324</v>
      </c>
      <c r="AA137" s="33">
        <v>383</v>
      </c>
      <c r="AB137" s="33">
        <v>370</v>
      </c>
      <c r="AC137" s="33">
        <v>293</v>
      </c>
      <c r="AD137" s="33">
        <v>266</v>
      </c>
      <c r="AE137" s="33">
        <v>228</v>
      </c>
      <c r="AF137" s="33">
        <v>224</v>
      </c>
      <c r="AG137" s="33">
        <v>281</v>
      </c>
      <c r="AH137" s="33">
        <v>303</v>
      </c>
      <c r="AI137" s="33">
        <v>343</v>
      </c>
      <c r="AJ137" s="33">
        <v>423</v>
      </c>
      <c r="AK137" s="33">
        <v>503</v>
      </c>
      <c r="AL137" s="33">
        <v>445</v>
      </c>
      <c r="AM137" s="33">
        <v>412</v>
      </c>
      <c r="AN137" s="33">
        <v>405</v>
      </c>
      <c r="AO137" s="33">
        <v>463</v>
      </c>
      <c r="AP137" s="33">
        <v>520</v>
      </c>
      <c r="AQ137" s="33">
        <v>493</v>
      </c>
      <c r="AR137" s="33">
        <v>498</v>
      </c>
      <c r="AS137" s="33">
        <v>471</v>
      </c>
      <c r="AT137" s="33">
        <v>540</v>
      </c>
      <c r="AU137" s="33">
        <v>521</v>
      </c>
      <c r="AV137" s="33">
        <v>550</v>
      </c>
      <c r="AW137" s="33">
        <v>536</v>
      </c>
      <c r="AX137" s="33">
        <v>515</v>
      </c>
      <c r="AY137" s="33">
        <v>554</v>
      </c>
      <c r="AZ137" s="33">
        <v>551</v>
      </c>
      <c r="BA137" s="33">
        <v>510</v>
      </c>
      <c r="BB137" s="33">
        <v>460</v>
      </c>
      <c r="BC137" s="33">
        <v>415</v>
      </c>
      <c r="BD137" s="33">
        <v>393</v>
      </c>
      <c r="BE137" s="33">
        <v>370</v>
      </c>
      <c r="BF137" s="33">
        <v>364</v>
      </c>
      <c r="BG137" s="33">
        <v>340</v>
      </c>
      <c r="BH137" s="33">
        <v>296.5</v>
      </c>
      <c r="BI137" s="33">
        <v>277.5</v>
      </c>
      <c r="BJ137" s="33">
        <v>285.3</v>
      </c>
      <c r="BK137" s="33">
        <v>270.10000000000002</v>
      </c>
      <c r="BL137" s="33">
        <v>251</v>
      </c>
      <c r="BM137" s="1">
        <v>245</v>
      </c>
      <c r="BN137" s="1">
        <v>243</v>
      </c>
      <c r="BO137" s="1">
        <v>234.3</v>
      </c>
      <c r="BP137" s="1">
        <v>260.2</v>
      </c>
    </row>
    <row r="138" spans="1:68" ht="15.9" customHeight="1">
      <c r="A138" s="68" t="s">
        <v>271</v>
      </c>
      <c r="B138" s="44" t="s">
        <v>272</v>
      </c>
      <c r="C138" s="48" t="str">
        <f>_xll.RssMarket("3103","安値")</f>
        <v/>
      </c>
      <c r="D138" s="16" t="e">
        <f t="shared" si="4"/>
        <v>#VALUE!</v>
      </c>
      <c r="E138" s="33">
        <v>834</v>
      </c>
      <c r="F138" s="33">
        <v>902</v>
      </c>
      <c r="G138" s="33">
        <v>853</v>
      </c>
      <c r="H138" s="33">
        <v>873</v>
      </c>
      <c r="I138" s="33">
        <v>932</v>
      </c>
      <c r="J138" s="33">
        <v>909</v>
      </c>
      <c r="K138" s="33">
        <v>930</v>
      </c>
      <c r="L138" s="33">
        <v>977</v>
      </c>
      <c r="M138" s="33">
        <v>1002</v>
      </c>
      <c r="N138" s="33">
        <v>965</v>
      </c>
      <c r="O138" s="33">
        <v>980</v>
      </c>
      <c r="P138" s="33">
        <v>967</v>
      </c>
      <c r="Q138" s="33">
        <v>1007</v>
      </c>
      <c r="R138" s="33">
        <v>1001</v>
      </c>
      <c r="S138" s="33">
        <v>1009</v>
      </c>
      <c r="T138" s="33">
        <v>1035</v>
      </c>
      <c r="U138" s="33">
        <v>1041</v>
      </c>
      <c r="V138" s="33">
        <v>1096</v>
      </c>
      <c r="W138" s="33">
        <v>1123</v>
      </c>
      <c r="X138" s="33">
        <v>1090</v>
      </c>
      <c r="Y138" s="33">
        <v>1152</v>
      </c>
      <c r="Z138" s="33">
        <v>1125</v>
      </c>
      <c r="AA138" s="33">
        <v>1096</v>
      </c>
      <c r="AB138" s="33">
        <v>1131</v>
      </c>
      <c r="AC138" s="33">
        <v>1006</v>
      </c>
      <c r="AD138" s="33">
        <v>1121</v>
      </c>
      <c r="AE138" s="33">
        <v>1180</v>
      </c>
      <c r="AF138" s="33">
        <v>1145</v>
      </c>
      <c r="AG138" s="33">
        <v>1177</v>
      </c>
      <c r="AH138" s="33">
        <v>1165</v>
      </c>
      <c r="AI138" s="33">
        <v>1193</v>
      </c>
      <c r="AJ138" s="33">
        <v>1181</v>
      </c>
      <c r="AK138" s="33">
        <v>1312</v>
      </c>
      <c r="AL138" s="33">
        <v>1354</v>
      </c>
      <c r="AM138" s="33">
        <v>1406</v>
      </c>
      <c r="AN138" s="33">
        <v>1500</v>
      </c>
      <c r="AO138" s="33">
        <v>1254</v>
      </c>
      <c r="AP138" s="33">
        <v>1234</v>
      </c>
      <c r="AQ138" s="33">
        <v>1283</v>
      </c>
      <c r="AR138" s="33">
        <v>1303</v>
      </c>
      <c r="AS138" s="33">
        <v>1315</v>
      </c>
      <c r="AT138" s="33">
        <v>1415</v>
      </c>
      <c r="AU138" s="33">
        <v>1815</v>
      </c>
      <c r="AV138" s="33">
        <v>2136</v>
      </c>
      <c r="AW138" s="33">
        <v>2240</v>
      </c>
      <c r="AX138" s="33">
        <v>2294</v>
      </c>
      <c r="AY138" s="33">
        <v>2373</v>
      </c>
      <c r="AZ138" s="33">
        <v>2200</v>
      </c>
      <c r="BA138" s="33">
        <v>2310</v>
      </c>
      <c r="BB138" s="33">
        <v>2214</v>
      </c>
      <c r="BC138" s="33">
        <v>2180</v>
      </c>
      <c r="BD138" s="33">
        <v>2185</v>
      </c>
      <c r="BE138" s="33">
        <v>2524</v>
      </c>
      <c r="BF138" s="33">
        <v>2657</v>
      </c>
      <c r="BG138" s="33">
        <v>2662</v>
      </c>
      <c r="BH138" s="33">
        <v>3045</v>
      </c>
      <c r="BI138" s="33">
        <v>3155</v>
      </c>
      <c r="BJ138" s="33">
        <v>2656</v>
      </c>
      <c r="BK138" s="33">
        <v>2111</v>
      </c>
      <c r="BL138" s="33">
        <v>1781</v>
      </c>
      <c r="BM138" s="1">
        <v>1900</v>
      </c>
      <c r="BN138" s="1">
        <v>1417</v>
      </c>
      <c r="BO138" s="1">
        <v>1160</v>
      </c>
      <c r="BP138" s="1">
        <v>1100</v>
      </c>
    </row>
    <row r="139" spans="1:68" ht="15.9" customHeight="1">
      <c r="A139" s="68" t="s">
        <v>273</v>
      </c>
      <c r="B139" s="44" t="s">
        <v>274</v>
      </c>
      <c r="C139" s="48" t="str">
        <f>_xll.RssMarket("4422","安値")</f>
        <v/>
      </c>
      <c r="D139" s="16" t="e">
        <f t="shared" si="4"/>
        <v>#VALUE!</v>
      </c>
      <c r="E139" s="33">
        <v>504</v>
      </c>
      <c r="F139" s="33">
        <v>542</v>
      </c>
      <c r="G139" s="33">
        <v>535</v>
      </c>
      <c r="H139" s="33">
        <v>543</v>
      </c>
      <c r="I139" s="33">
        <v>553</v>
      </c>
      <c r="J139" s="33">
        <v>555</v>
      </c>
      <c r="K139" s="33">
        <v>547</v>
      </c>
      <c r="L139" s="33">
        <v>564</v>
      </c>
      <c r="M139" s="33">
        <v>580</v>
      </c>
      <c r="N139" s="33">
        <v>554</v>
      </c>
      <c r="O139" s="33">
        <v>553</v>
      </c>
      <c r="P139" s="33">
        <v>550</v>
      </c>
      <c r="Q139" s="33">
        <v>554</v>
      </c>
      <c r="R139" s="33">
        <v>559</v>
      </c>
      <c r="S139" s="33">
        <v>550</v>
      </c>
      <c r="T139" s="33">
        <v>544</v>
      </c>
      <c r="U139" s="33">
        <v>550</v>
      </c>
      <c r="V139" s="33">
        <v>575</v>
      </c>
      <c r="W139" s="33">
        <v>590</v>
      </c>
      <c r="X139" s="33">
        <v>588</v>
      </c>
      <c r="Y139" s="33">
        <v>607</v>
      </c>
      <c r="Z139" s="33">
        <v>632</v>
      </c>
      <c r="AA139" s="33">
        <v>619</v>
      </c>
      <c r="AB139" s="33">
        <v>612</v>
      </c>
      <c r="AC139" s="33">
        <v>628</v>
      </c>
      <c r="AD139" s="33">
        <v>720</v>
      </c>
      <c r="AE139" s="33">
        <v>706</v>
      </c>
      <c r="AF139" s="33">
        <v>687</v>
      </c>
      <c r="AG139" s="33">
        <v>665</v>
      </c>
      <c r="AH139" s="33">
        <v>657</v>
      </c>
      <c r="AI139" s="33">
        <v>668</v>
      </c>
      <c r="AJ139" s="33">
        <v>678</v>
      </c>
      <c r="AK139" s="33">
        <v>692</v>
      </c>
      <c r="AL139" s="33">
        <v>708</v>
      </c>
      <c r="AM139" s="33">
        <v>733</v>
      </c>
      <c r="AN139" s="33">
        <v>792</v>
      </c>
      <c r="AO139" s="33">
        <v>757</v>
      </c>
      <c r="AP139" s="33">
        <v>751</v>
      </c>
      <c r="AQ139" s="33">
        <v>752</v>
      </c>
      <c r="AR139" s="33">
        <v>800</v>
      </c>
      <c r="AS139" s="33">
        <v>828</v>
      </c>
      <c r="AT139" s="33">
        <v>859</v>
      </c>
      <c r="AU139" s="33">
        <v>935</v>
      </c>
      <c r="AV139" s="33">
        <v>982</v>
      </c>
      <c r="AW139" s="33">
        <v>905</v>
      </c>
      <c r="AX139" s="33">
        <v>986</v>
      </c>
      <c r="AY139" s="33">
        <v>963</v>
      </c>
      <c r="AZ139" s="33">
        <v>975</v>
      </c>
      <c r="BA139" s="33">
        <v>1045</v>
      </c>
      <c r="BB139" s="33">
        <v>1122</v>
      </c>
      <c r="BC139" s="33">
        <v>1172</v>
      </c>
      <c r="BD139" s="33">
        <v>1248</v>
      </c>
      <c r="BE139" s="33">
        <v>1155</v>
      </c>
      <c r="BF139" s="33">
        <v>1094</v>
      </c>
      <c r="BG139" s="33">
        <v>1262</v>
      </c>
      <c r="BH139" s="33">
        <v>1325</v>
      </c>
      <c r="BI139" s="33">
        <v>1073</v>
      </c>
      <c r="BJ139" s="33">
        <v>962</v>
      </c>
      <c r="BK139" s="33">
        <v>894</v>
      </c>
      <c r="BL139" s="33">
        <v>972</v>
      </c>
      <c r="BM139" s="1">
        <v>1050</v>
      </c>
      <c r="BN139" s="1">
        <v>812</v>
      </c>
      <c r="BO139" s="1">
        <v>886</v>
      </c>
      <c r="BP139" s="1">
        <v>811</v>
      </c>
    </row>
    <row r="140" spans="1:68" ht="15.9" customHeight="1">
      <c r="A140" s="68" t="s">
        <v>275</v>
      </c>
      <c r="B140" s="44" t="s">
        <v>276</v>
      </c>
      <c r="C140" s="48" t="str">
        <f>_xll.RssMarket("6740","安値")</f>
        <v/>
      </c>
      <c r="D140" s="16" t="e">
        <f t="shared" si="4"/>
        <v>#VALUE!</v>
      </c>
      <c r="E140" s="33">
        <v>45</v>
      </c>
      <c r="F140" s="33">
        <v>50</v>
      </c>
      <c r="G140" s="33">
        <v>51</v>
      </c>
      <c r="H140" s="33">
        <v>50</v>
      </c>
      <c r="I140" s="33">
        <v>51</v>
      </c>
      <c r="J140" s="33">
        <v>52</v>
      </c>
      <c r="K140" s="33">
        <v>53</v>
      </c>
      <c r="L140" s="33">
        <v>51</v>
      </c>
      <c r="M140" s="33">
        <v>54</v>
      </c>
      <c r="N140" s="33">
        <v>55</v>
      </c>
      <c r="O140" s="33">
        <v>54</v>
      </c>
      <c r="P140" s="33">
        <v>55</v>
      </c>
      <c r="Q140" s="33">
        <v>49</v>
      </c>
      <c r="R140" s="33">
        <v>51</v>
      </c>
      <c r="S140" s="33">
        <v>49</v>
      </c>
      <c r="T140" s="33">
        <v>44</v>
      </c>
      <c r="U140" s="33">
        <v>48</v>
      </c>
      <c r="V140" s="33">
        <v>51</v>
      </c>
      <c r="W140" s="33">
        <v>52</v>
      </c>
      <c r="X140" s="33">
        <v>53</v>
      </c>
      <c r="Y140" s="33">
        <v>50</v>
      </c>
      <c r="Z140" s="33">
        <v>52</v>
      </c>
      <c r="AA140" s="33">
        <v>51</v>
      </c>
      <c r="AB140" s="33">
        <v>53</v>
      </c>
      <c r="AC140" s="33">
        <v>54</v>
      </c>
      <c r="AD140" s="33">
        <v>50</v>
      </c>
      <c r="AE140" s="33">
        <v>55</v>
      </c>
      <c r="AF140" s="33">
        <v>62</v>
      </c>
      <c r="AG140" s="33">
        <v>61</v>
      </c>
      <c r="AH140" s="33">
        <v>62</v>
      </c>
      <c r="AI140" s="33">
        <v>66</v>
      </c>
      <c r="AJ140" s="33">
        <v>65</v>
      </c>
      <c r="AK140" s="33">
        <v>68</v>
      </c>
      <c r="AL140" s="33">
        <v>70</v>
      </c>
      <c r="AM140" s="33">
        <v>71</v>
      </c>
      <c r="AN140" s="33">
        <v>75</v>
      </c>
      <c r="AO140" s="33">
        <v>77</v>
      </c>
      <c r="AP140" s="33">
        <v>80</v>
      </c>
      <c r="AQ140" s="33">
        <v>86</v>
      </c>
      <c r="AR140" s="33">
        <v>87</v>
      </c>
      <c r="AS140" s="33">
        <v>99</v>
      </c>
      <c r="AT140" s="33">
        <v>91</v>
      </c>
      <c r="AU140" s="33">
        <v>91</v>
      </c>
      <c r="AV140" s="33">
        <v>93</v>
      </c>
      <c r="AW140" s="33">
        <v>94</v>
      </c>
      <c r="AX140" s="33">
        <v>100</v>
      </c>
      <c r="AY140" s="33">
        <v>103</v>
      </c>
      <c r="AZ140" s="33">
        <v>110</v>
      </c>
      <c r="BA140" s="33">
        <v>100</v>
      </c>
      <c r="BB140" s="33">
        <v>96</v>
      </c>
      <c r="BC140" s="33">
        <v>91</v>
      </c>
      <c r="BD140" s="33">
        <v>81</v>
      </c>
      <c r="BE140" s="33">
        <v>77</v>
      </c>
      <c r="BF140" s="33">
        <v>82</v>
      </c>
      <c r="BG140" s="33">
        <v>82</v>
      </c>
      <c r="BH140" s="33">
        <v>82</v>
      </c>
      <c r="BI140" s="33">
        <v>79</v>
      </c>
      <c r="BJ140" s="33">
        <v>82</v>
      </c>
      <c r="BK140" s="33">
        <v>88</v>
      </c>
      <c r="BL140" s="33">
        <v>88</v>
      </c>
      <c r="BM140" s="1">
        <v>74</v>
      </c>
      <c r="BN140" s="1">
        <v>72</v>
      </c>
      <c r="BO140" s="1">
        <v>69</v>
      </c>
    </row>
    <row r="141" spans="1:68" ht="15.9" customHeight="1">
      <c r="A141" s="68" t="s">
        <v>277</v>
      </c>
      <c r="B141" s="44" t="s">
        <v>278</v>
      </c>
      <c r="C141" s="48" t="str">
        <f>_xll.RssMarket("6613","安値")</f>
        <v/>
      </c>
      <c r="D141" s="16" t="e">
        <f t="shared" si="4"/>
        <v>#VALUE!</v>
      </c>
      <c r="E141" s="33">
        <v>1600</v>
      </c>
      <c r="F141" s="33">
        <v>2370</v>
      </c>
      <c r="G141" s="33">
        <v>2360</v>
      </c>
      <c r="H141" s="33">
        <v>2261</v>
      </c>
      <c r="I141" s="33">
        <v>2501</v>
      </c>
      <c r="J141" s="33">
        <v>2535</v>
      </c>
      <c r="K141" s="33">
        <v>2488</v>
      </c>
      <c r="L141" s="33">
        <v>2572</v>
      </c>
      <c r="M141" s="33">
        <v>2628</v>
      </c>
      <c r="N141" s="33">
        <v>2423</v>
      </c>
      <c r="O141" s="33">
        <v>2578</v>
      </c>
      <c r="P141" s="33">
        <v>2752</v>
      </c>
      <c r="Q141" s="33">
        <v>2700</v>
      </c>
      <c r="R141" s="33">
        <v>2602</v>
      </c>
      <c r="S141" s="33">
        <v>2766</v>
      </c>
      <c r="T141" s="33">
        <v>2822</v>
      </c>
      <c r="U141" s="33">
        <v>2704</v>
      </c>
      <c r="V141" s="33">
        <v>2843</v>
      </c>
      <c r="W141" s="33">
        <v>2906</v>
      </c>
      <c r="X141" s="33">
        <v>2470</v>
      </c>
      <c r="Y141" s="33">
        <v>2410</v>
      </c>
      <c r="Z141" s="33">
        <v>2335</v>
      </c>
      <c r="AA141" s="33">
        <v>2613</v>
      </c>
      <c r="AB141" s="33">
        <v>2730</v>
      </c>
      <c r="AC141" s="33">
        <v>2387</v>
      </c>
      <c r="AD141" s="33">
        <v>2250</v>
      </c>
      <c r="AE141" s="33">
        <v>2280</v>
      </c>
      <c r="AF141" s="33">
        <v>2338</v>
      </c>
      <c r="AG141" s="33">
        <v>2381</v>
      </c>
      <c r="AH141" s="33">
        <v>2433</v>
      </c>
      <c r="AI141" s="33">
        <v>2540</v>
      </c>
      <c r="AJ141" s="33">
        <v>2642</v>
      </c>
      <c r="AK141" s="33">
        <v>2266</v>
      </c>
      <c r="AL141" s="33">
        <v>2400</v>
      </c>
      <c r="AM141" s="33">
        <v>2620</v>
      </c>
      <c r="AN141" s="33">
        <v>3130</v>
      </c>
      <c r="AO141" s="33">
        <v>2570</v>
      </c>
      <c r="AP141" s="33">
        <v>2406</v>
      </c>
      <c r="AQ141" s="33">
        <v>2203</v>
      </c>
      <c r="AR141" s="33">
        <v>2024</v>
      </c>
      <c r="AS141" s="33">
        <v>1836</v>
      </c>
      <c r="AT141" s="33">
        <v>1671</v>
      </c>
      <c r="AU141" s="33">
        <v>1547</v>
      </c>
      <c r="AV141" s="33">
        <v>1565</v>
      </c>
      <c r="AW141" s="33">
        <v>1641</v>
      </c>
      <c r="AX141" s="33">
        <v>1684</v>
      </c>
      <c r="AY141" s="33">
        <v>1490</v>
      </c>
      <c r="AZ141" s="33">
        <v>1458</v>
      </c>
      <c r="BA141" s="33">
        <v>1415</v>
      </c>
      <c r="BB141" s="33">
        <v>1390</v>
      </c>
      <c r="BC141" s="33">
        <v>1450</v>
      </c>
      <c r="BD141" s="33">
        <v>1317</v>
      </c>
      <c r="BE141" s="33">
        <v>1446</v>
      </c>
      <c r="BF141" s="33">
        <v>1449</v>
      </c>
      <c r="BG141" s="33">
        <v>1474</v>
      </c>
      <c r="BH141" s="33">
        <v>1538</v>
      </c>
      <c r="BI141" s="33">
        <v>1275</v>
      </c>
      <c r="BJ141" s="33">
        <v>1270</v>
      </c>
      <c r="BK141" s="33">
        <v>1313</v>
      </c>
      <c r="BL141" s="33">
        <v>1315</v>
      </c>
      <c r="BM141" s="1">
        <v>1255</v>
      </c>
      <c r="BN141" s="1">
        <v>1079</v>
      </c>
      <c r="BO141" s="1">
        <v>999</v>
      </c>
      <c r="BP141" s="1">
        <v>1019</v>
      </c>
    </row>
    <row r="142" spans="1:68" ht="15.9" customHeight="1">
      <c r="A142" s="68" t="s">
        <v>279</v>
      </c>
      <c r="B142" s="44" t="str">
        <f>銘柄管理!C142</f>
        <v/>
      </c>
      <c r="C142" s="48" t="str">
        <f>_xll.RssMarket("4568","安値")</f>
        <v/>
      </c>
      <c r="D142" s="16"/>
      <c r="E142" s="33">
        <v>2742</v>
      </c>
      <c r="F142" s="33">
        <v>2636.5</v>
      </c>
      <c r="G142" s="33">
        <v>2672</v>
      </c>
      <c r="H142" s="33">
        <v>2671</v>
      </c>
      <c r="I142" s="33">
        <v>2697</v>
      </c>
      <c r="J142" s="33">
        <v>2682.5</v>
      </c>
      <c r="K142" s="33">
        <v>2689</v>
      </c>
      <c r="L142" s="33">
        <v>2715.5</v>
      </c>
      <c r="M142" s="33">
        <v>2674.5</v>
      </c>
      <c r="N142" s="33">
        <v>2638.5</v>
      </c>
      <c r="O142" s="33">
        <v>2576.5</v>
      </c>
      <c r="P142" s="33">
        <v>2565</v>
      </c>
      <c r="Q142" s="33">
        <v>2564</v>
      </c>
      <c r="R142" s="33">
        <v>2590.5</v>
      </c>
      <c r="S142" s="33">
        <v>2531.5</v>
      </c>
      <c r="T142" s="33">
        <v>2510.5</v>
      </c>
      <c r="U142" s="33">
        <v>2490.5</v>
      </c>
      <c r="V142" s="33">
        <v>2499</v>
      </c>
      <c r="W142" s="33">
        <v>2519</v>
      </c>
      <c r="X142" s="33">
        <v>2537</v>
      </c>
      <c r="Y142" s="33">
        <v>2635</v>
      </c>
      <c r="Z142" s="33">
        <v>2545</v>
      </c>
      <c r="AA142" s="33">
        <v>2489.5</v>
      </c>
      <c r="AB142" s="33">
        <v>2534.5</v>
      </c>
      <c r="AC142" s="33">
        <v>2487.5</v>
      </c>
      <c r="AD142" s="33">
        <v>2472</v>
      </c>
      <c r="AE142" s="33">
        <v>2436</v>
      </c>
      <c r="AF142" s="33">
        <v>2488</v>
      </c>
      <c r="AG142" s="33">
        <v>2390</v>
      </c>
      <c r="AH142" s="33">
        <v>2392</v>
      </c>
      <c r="AI142" s="33">
        <v>2488</v>
      </c>
      <c r="AJ142" s="33">
        <v>2548</v>
      </c>
      <c r="AK142" s="33">
        <v>2700.5</v>
      </c>
      <c r="AL142" s="33">
        <v>2655</v>
      </c>
      <c r="AM142" s="33">
        <v>2668</v>
      </c>
      <c r="AN142" s="33">
        <v>2680</v>
      </c>
      <c r="AO142" s="33">
        <v>2617.5</v>
      </c>
      <c r="AP142" s="33">
        <v>2617</v>
      </c>
      <c r="AQ142" s="33">
        <v>2558</v>
      </c>
      <c r="AR142" s="33">
        <v>2573</v>
      </c>
      <c r="AS142" s="33">
        <v>2586</v>
      </c>
      <c r="AT142" s="33">
        <v>2531.5</v>
      </c>
      <c r="AU142" s="33">
        <v>2560.5</v>
      </c>
      <c r="AV142" s="33">
        <v>2673.5</v>
      </c>
      <c r="AW142" s="33">
        <v>2655.5</v>
      </c>
      <c r="AX142" s="33">
        <v>2560</v>
      </c>
      <c r="AY142" s="33">
        <v>2552</v>
      </c>
      <c r="AZ142" s="33">
        <v>2443</v>
      </c>
      <c r="BA142" s="33">
        <v>2567.5</v>
      </c>
      <c r="BB142" s="33">
        <v>2559</v>
      </c>
      <c r="BC142" s="33">
        <v>2545.5</v>
      </c>
      <c r="BD142" s="33">
        <v>2463</v>
      </c>
      <c r="BE142" s="33">
        <v>2488</v>
      </c>
      <c r="BF142" s="33">
        <v>2775</v>
      </c>
      <c r="BG142" s="33">
        <v>2817</v>
      </c>
      <c r="BH142" s="33">
        <v>2906.5</v>
      </c>
      <c r="BI142" s="33">
        <v>2920</v>
      </c>
      <c r="BJ142" s="33">
        <v>2865.5</v>
      </c>
      <c r="BK142" s="33">
        <v>2837.5</v>
      </c>
      <c r="BL142" s="33">
        <v>2739</v>
      </c>
      <c r="BM142" s="1">
        <v>2704.5</v>
      </c>
      <c r="BN142" s="1">
        <v>2727</v>
      </c>
      <c r="BO142" s="1">
        <v>2753.5</v>
      </c>
      <c r="BP142" s="1">
        <v>2785</v>
      </c>
    </row>
    <row r="143" spans="1:68" ht="15.9" customHeight="1">
      <c r="A143" s="68" t="s">
        <v>280</v>
      </c>
      <c r="B143" s="44" t="s">
        <v>281</v>
      </c>
      <c r="C143" s="48" t="str">
        <f>_xll.RssMarket("6522","安値")</f>
        <v/>
      </c>
      <c r="D143" s="16" t="e">
        <f t="shared" ref="D143:D188" si="5">C143-E143</f>
        <v>#VALUE!</v>
      </c>
      <c r="E143" s="33">
        <v>1291</v>
      </c>
      <c r="F143" s="33">
        <v>1711</v>
      </c>
      <c r="G143" s="33">
        <v>1811</v>
      </c>
      <c r="H143" s="33">
        <v>1953</v>
      </c>
      <c r="I143" s="33">
        <v>1818</v>
      </c>
      <c r="J143" s="33">
        <v>1900</v>
      </c>
      <c r="K143" s="33">
        <v>2181</v>
      </c>
      <c r="L143" s="33">
        <v>2096</v>
      </c>
      <c r="M143" s="33">
        <v>1687</v>
      </c>
      <c r="N143" s="33">
        <v>1760</v>
      </c>
      <c r="O143" s="33">
        <v>1581</v>
      </c>
      <c r="P143" s="33">
        <v>1361</v>
      </c>
      <c r="Q143" s="33">
        <v>996</v>
      </c>
      <c r="R143" s="33">
        <v>968</v>
      </c>
      <c r="S143" s="33">
        <v>941</v>
      </c>
      <c r="T143" s="33">
        <v>1007</v>
      </c>
      <c r="U143" s="33">
        <v>1030</v>
      </c>
      <c r="V143" s="33">
        <v>1033</v>
      </c>
      <c r="W143" s="33">
        <v>929</v>
      </c>
      <c r="X143" s="33">
        <v>843</v>
      </c>
      <c r="Y143" s="33">
        <v>727</v>
      </c>
      <c r="Z143" s="33">
        <v>716</v>
      </c>
      <c r="AA143" s="33">
        <v>705</v>
      </c>
      <c r="AB143" s="33">
        <v>693</v>
      </c>
      <c r="AC143" s="33">
        <v>683</v>
      </c>
      <c r="AD143" s="33">
        <v>724</v>
      </c>
      <c r="AE143" s="33">
        <v>726</v>
      </c>
      <c r="AF143" s="33">
        <v>720</v>
      </c>
      <c r="AG143" s="33">
        <v>751</v>
      </c>
      <c r="AH143" s="33">
        <v>765</v>
      </c>
      <c r="AI143" s="33">
        <v>776</v>
      </c>
      <c r="AJ143" s="33">
        <v>795</v>
      </c>
      <c r="AK143" s="33">
        <v>789</v>
      </c>
      <c r="AL143" s="33">
        <v>771</v>
      </c>
      <c r="AM143" s="33">
        <v>804</v>
      </c>
      <c r="AN143" s="33">
        <v>934</v>
      </c>
      <c r="AO143" s="33">
        <v>920</v>
      </c>
      <c r="AP143" s="33">
        <v>910</v>
      </c>
      <c r="AQ143" s="33">
        <v>940</v>
      </c>
      <c r="AR143" s="33">
        <v>987</v>
      </c>
      <c r="AS143" s="33">
        <v>965</v>
      </c>
      <c r="AT143" s="33">
        <v>1000</v>
      </c>
      <c r="AU143" s="33">
        <v>1003</v>
      </c>
      <c r="AV143" s="33">
        <v>1013</v>
      </c>
      <c r="AW143" s="33">
        <v>1056</v>
      </c>
      <c r="AX143" s="33">
        <v>1156</v>
      </c>
      <c r="AY143" s="33">
        <v>1187</v>
      </c>
      <c r="AZ143" s="33">
        <v>1129</v>
      </c>
      <c r="BA143" s="33">
        <v>1109</v>
      </c>
      <c r="BB143" s="33">
        <v>1121</v>
      </c>
      <c r="BC143" s="33">
        <v>1156</v>
      </c>
      <c r="BD143" s="33">
        <v>1151</v>
      </c>
      <c r="BE143" s="33">
        <v>1157</v>
      </c>
      <c r="BF143" s="33">
        <v>1210</v>
      </c>
      <c r="BG143" s="33">
        <v>1320</v>
      </c>
      <c r="BH143" s="33">
        <v>1026</v>
      </c>
      <c r="BI143" s="33">
        <v>1011</v>
      </c>
      <c r="BJ143" s="33">
        <v>1023</v>
      </c>
      <c r="BK143" s="33">
        <v>941</v>
      </c>
      <c r="BL143" s="33">
        <v>893</v>
      </c>
      <c r="BM143" s="1">
        <v>996</v>
      </c>
      <c r="BN143" s="1">
        <v>971</v>
      </c>
      <c r="BO143" s="1">
        <v>975</v>
      </c>
      <c r="BP143" s="1">
        <v>956</v>
      </c>
    </row>
    <row r="144" spans="1:68" ht="15.9" customHeight="1">
      <c r="A144" s="68" t="s">
        <v>282</v>
      </c>
      <c r="B144" s="44" t="s">
        <v>283</v>
      </c>
      <c r="C144" s="48" t="str">
        <f>_xll.RssMarket("6777","安値")</f>
        <v/>
      </c>
      <c r="D144" s="16" t="e">
        <f t="shared" si="5"/>
        <v>#VALUE!</v>
      </c>
      <c r="E144" s="33">
        <v>17680</v>
      </c>
      <c r="F144" s="33">
        <v>21070</v>
      </c>
      <c r="G144" s="33">
        <v>20000</v>
      </c>
      <c r="H144" s="33">
        <v>20380</v>
      </c>
      <c r="I144" s="33">
        <v>20710</v>
      </c>
      <c r="J144" s="33">
        <v>20290</v>
      </c>
      <c r="K144" s="33">
        <v>19870</v>
      </c>
      <c r="L144" s="33">
        <v>21010</v>
      </c>
      <c r="M144" s="33">
        <v>22660</v>
      </c>
      <c r="N144" s="33">
        <v>21430</v>
      </c>
      <c r="O144" s="33">
        <v>23400</v>
      </c>
      <c r="P144" s="33">
        <v>25510</v>
      </c>
      <c r="Q144" s="33">
        <v>26260</v>
      </c>
      <c r="R144" s="33">
        <v>24920</v>
      </c>
      <c r="S144" s="33">
        <v>27040</v>
      </c>
      <c r="T144" s="33">
        <v>27200</v>
      </c>
      <c r="U144" s="33">
        <v>26760</v>
      </c>
      <c r="V144" s="33">
        <v>27180</v>
      </c>
      <c r="W144" s="33">
        <v>28800</v>
      </c>
      <c r="X144" s="33">
        <v>28500</v>
      </c>
      <c r="Y144" s="33">
        <v>26510</v>
      </c>
      <c r="Z144" s="33">
        <v>25600</v>
      </c>
      <c r="AA144" s="33">
        <v>25690</v>
      </c>
      <c r="AB144" s="33">
        <v>24520</v>
      </c>
      <c r="AC144" s="33">
        <v>22850</v>
      </c>
      <c r="AD144" s="33">
        <v>22070</v>
      </c>
      <c r="AE144" s="33">
        <v>23320</v>
      </c>
      <c r="AF144" s="33">
        <v>21710</v>
      </c>
      <c r="AG144" s="33">
        <v>24600</v>
      </c>
      <c r="AH144" s="33">
        <v>25300</v>
      </c>
      <c r="AI144" s="33">
        <v>26120</v>
      </c>
      <c r="AJ144" s="33">
        <v>23910</v>
      </c>
      <c r="AK144" s="33">
        <v>24120</v>
      </c>
      <c r="AL144" s="33">
        <v>23900</v>
      </c>
      <c r="AM144" s="33">
        <v>24270</v>
      </c>
      <c r="AN144" s="33">
        <v>28250</v>
      </c>
      <c r="AO144" s="33">
        <v>26990</v>
      </c>
      <c r="AP144" s="33">
        <v>25720</v>
      </c>
      <c r="AQ144" s="33">
        <v>26450</v>
      </c>
      <c r="AR144" s="33">
        <v>27620</v>
      </c>
      <c r="AS144" s="33">
        <v>31250</v>
      </c>
      <c r="AT144" s="33">
        <v>28940</v>
      </c>
      <c r="AU144" s="33">
        <v>31950</v>
      </c>
      <c r="AV144" s="33">
        <v>29700</v>
      </c>
      <c r="AW144" s="33">
        <v>29000</v>
      </c>
      <c r="AX144" s="33">
        <v>27050</v>
      </c>
      <c r="AY144" s="33">
        <v>26450</v>
      </c>
      <c r="AZ144" s="33">
        <v>27550</v>
      </c>
      <c r="BA144" s="33">
        <v>27140</v>
      </c>
      <c r="BB144" s="33">
        <v>27830</v>
      </c>
      <c r="BC144" s="33">
        <v>27860</v>
      </c>
      <c r="BD144" s="33">
        <v>27110</v>
      </c>
      <c r="BE144" s="33">
        <v>27850</v>
      </c>
      <c r="BF144" s="33">
        <v>29430</v>
      </c>
      <c r="BG144" s="33">
        <v>28600</v>
      </c>
      <c r="BH144" s="33">
        <v>28540</v>
      </c>
      <c r="BI144" s="33">
        <v>26250</v>
      </c>
      <c r="BJ144" s="33">
        <v>24120</v>
      </c>
      <c r="BK144" s="33">
        <v>23600</v>
      </c>
      <c r="BL144" s="33">
        <v>24350</v>
      </c>
      <c r="BM144" s="1">
        <v>24230</v>
      </c>
      <c r="BN144" s="1">
        <v>21410</v>
      </c>
      <c r="BO144" s="1">
        <v>20650</v>
      </c>
      <c r="BP144" s="1">
        <v>20610</v>
      </c>
    </row>
    <row r="145" spans="1:68" ht="15.9" customHeight="1">
      <c r="A145" s="68" t="s">
        <v>284</v>
      </c>
      <c r="B145" s="44" t="s">
        <v>285</v>
      </c>
      <c r="C145" s="48" t="str">
        <f>_xll.RssMarket("6787","安値")</f>
        <v/>
      </c>
      <c r="D145" s="16" t="e">
        <f t="shared" si="5"/>
        <v>#VALUE!</v>
      </c>
      <c r="E145" s="33">
        <v>21810</v>
      </c>
      <c r="F145" s="33">
        <v>25710</v>
      </c>
      <c r="G145" s="33">
        <v>24690</v>
      </c>
      <c r="H145" s="33">
        <v>25540</v>
      </c>
      <c r="I145" s="33">
        <v>25930</v>
      </c>
      <c r="J145" s="33">
        <v>25300</v>
      </c>
      <c r="K145" s="33">
        <v>25140</v>
      </c>
      <c r="L145" s="33">
        <v>25950</v>
      </c>
      <c r="M145" s="33">
        <v>27260</v>
      </c>
      <c r="N145" s="33">
        <v>27010</v>
      </c>
      <c r="O145" s="33">
        <v>27620</v>
      </c>
      <c r="P145" s="33">
        <v>28560</v>
      </c>
      <c r="Q145" s="33">
        <v>29920</v>
      </c>
      <c r="R145" s="33">
        <v>30000</v>
      </c>
      <c r="S145" s="33">
        <v>29840</v>
      </c>
      <c r="T145" s="33">
        <v>31350</v>
      </c>
      <c r="U145" s="33">
        <v>31750</v>
      </c>
      <c r="V145" s="33">
        <v>32550</v>
      </c>
      <c r="W145" s="33">
        <v>37050</v>
      </c>
      <c r="X145" s="33">
        <v>37400</v>
      </c>
      <c r="Y145" s="33">
        <v>34950</v>
      </c>
      <c r="Z145" s="33">
        <v>33600</v>
      </c>
      <c r="AA145" s="33">
        <v>30150</v>
      </c>
      <c r="AB145" s="33">
        <v>30400</v>
      </c>
      <c r="AC145" s="33">
        <v>29860</v>
      </c>
      <c r="AD145" s="33">
        <v>29160</v>
      </c>
      <c r="AE145" s="33">
        <v>30600</v>
      </c>
      <c r="AF145" s="33">
        <v>32500</v>
      </c>
      <c r="AG145" s="33">
        <v>34150</v>
      </c>
      <c r="AH145" s="33">
        <v>35400</v>
      </c>
      <c r="AI145" s="33">
        <v>37100</v>
      </c>
      <c r="AJ145" s="33">
        <v>36400</v>
      </c>
      <c r="AK145" s="33">
        <v>37100</v>
      </c>
      <c r="AL145" s="33">
        <v>36450</v>
      </c>
      <c r="AM145" s="33">
        <v>37150</v>
      </c>
      <c r="AN145" s="33">
        <v>41500</v>
      </c>
      <c r="AO145" s="33">
        <v>40300</v>
      </c>
      <c r="AP145" s="33">
        <v>36500</v>
      </c>
      <c r="AQ145" s="33">
        <v>34300</v>
      </c>
      <c r="AR145" s="33">
        <v>36400</v>
      </c>
      <c r="AS145" s="33">
        <v>35300</v>
      </c>
      <c r="AT145" s="33">
        <v>38650</v>
      </c>
      <c r="AU145" s="33">
        <v>29220</v>
      </c>
      <c r="AV145" s="33">
        <v>30650</v>
      </c>
      <c r="AW145" s="33">
        <v>31500</v>
      </c>
      <c r="AX145" s="33">
        <v>30550</v>
      </c>
      <c r="AY145" s="33">
        <v>30950</v>
      </c>
      <c r="AZ145" s="33">
        <v>29520</v>
      </c>
      <c r="BA145" s="33">
        <v>30600</v>
      </c>
      <c r="BB145" s="33">
        <v>30150</v>
      </c>
      <c r="BC145" s="33">
        <v>29560</v>
      </c>
      <c r="BD145" s="33">
        <v>28770</v>
      </c>
      <c r="BE145" s="33">
        <v>27720</v>
      </c>
      <c r="BF145" s="33">
        <v>28070</v>
      </c>
      <c r="BG145" s="33">
        <v>27300</v>
      </c>
      <c r="BH145" s="33">
        <v>27010</v>
      </c>
      <c r="BI145" s="33">
        <v>28480</v>
      </c>
      <c r="BJ145" s="33">
        <v>27910</v>
      </c>
      <c r="BK145" s="33">
        <v>27720</v>
      </c>
      <c r="BL145" s="33">
        <v>27580</v>
      </c>
      <c r="BM145" s="1">
        <v>25300</v>
      </c>
      <c r="BN145" s="1">
        <v>26410</v>
      </c>
      <c r="BO145" s="1">
        <v>25790</v>
      </c>
      <c r="BP145" s="1">
        <v>25380</v>
      </c>
    </row>
    <row r="146" spans="1:68" ht="15.9" customHeight="1">
      <c r="A146" s="68" t="s">
        <v>286</v>
      </c>
      <c r="B146" s="44" t="s">
        <v>287</v>
      </c>
      <c r="C146" s="48" t="str">
        <f>_xll.RssMarket("4888","安値")</f>
        <v/>
      </c>
      <c r="D146" s="16" t="e">
        <f t="shared" si="5"/>
        <v>#VALUE!</v>
      </c>
      <c r="E146" s="33">
        <v>295</v>
      </c>
      <c r="F146" s="33">
        <v>320</v>
      </c>
      <c r="G146" s="33">
        <v>303</v>
      </c>
      <c r="H146" s="33">
        <v>301</v>
      </c>
      <c r="I146" s="33">
        <v>300</v>
      </c>
      <c r="J146" s="33">
        <v>306</v>
      </c>
      <c r="K146" s="33">
        <v>309</v>
      </c>
      <c r="L146" s="33">
        <v>300</v>
      </c>
      <c r="M146" s="33">
        <v>302</v>
      </c>
      <c r="N146" s="33">
        <v>298</v>
      </c>
      <c r="O146" s="33">
        <v>306</v>
      </c>
      <c r="P146" s="33">
        <v>304</v>
      </c>
      <c r="Q146" s="33">
        <v>297</v>
      </c>
      <c r="R146" s="33">
        <v>312</v>
      </c>
      <c r="S146" s="33">
        <v>313</v>
      </c>
      <c r="T146" s="33">
        <v>315</v>
      </c>
      <c r="U146" s="33">
        <v>327</v>
      </c>
      <c r="V146" s="33">
        <v>346</v>
      </c>
      <c r="W146" s="33">
        <v>348</v>
      </c>
      <c r="X146" s="33">
        <v>333</v>
      </c>
      <c r="Y146" s="33">
        <v>322</v>
      </c>
      <c r="Z146" s="33">
        <v>325</v>
      </c>
      <c r="AA146" s="33">
        <v>321</v>
      </c>
      <c r="AB146" s="33">
        <v>299</v>
      </c>
      <c r="AC146" s="33">
        <v>303</v>
      </c>
      <c r="AD146" s="33">
        <v>288</v>
      </c>
      <c r="AE146" s="33">
        <v>340</v>
      </c>
      <c r="AF146" s="33">
        <v>341</v>
      </c>
      <c r="AG146" s="33">
        <v>330</v>
      </c>
      <c r="AH146" s="33">
        <v>328</v>
      </c>
      <c r="AI146" s="33">
        <v>352</v>
      </c>
      <c r="AJ146" s="33">
        <v>378</v>
      </c>
      <c r="AK146" s="33">
        <v>363</v>
      </c>
      <c r="AL146" s="33">
        <v>429</v>
      </c>
      <c r="AM146" s="33">
        <v>438</v>
      </c>
      <c r="AN146" s="33">
        <v>419</v>
      </c>
      <c r="AO146" s="33">
        <v>403</v>
      </c>
      <c r="AP146" s="33">
        <v>425</v>
      </c>
      <c r="AQ146" s="33">
        <v>408</v>
      </c>
      <c r="AR146" s="33">
        <v>405</v>
      </c>
      <c r="AS146" s="33">
        <v>399</v>
      </c>
      <c r="AT146" s="33">
        <v>461</v>
      </c>
      <c r="AU146" s="33">
        <v>469</v>
      </c>
      <c r="AV146" s="33">
        <v>466</v>
      </c>
      <c r="AW146" s="33">
        <v>518</v>
      </c>
      <c r="AX146" s="33">
        <v>513</v>
      </c>
      <c r="AY146" s="33">
        <v>520</v>
      </c>
      <c r="AZ146" s="33">
        <v>500</v>
      </c>
      <c r="BA146" s="33">
        <v>510</v>
      </c>
      <c r="BB146" s="33">
        <v>525</v>
      </c>
      <c r="BC146" s="33">
        <v>531</v>
      </c>
      <c r="BD146" s="33">
        <v>519</v>
      </c>
      <c r="BE146" s="33">
        <v>558</v>
      </c>
      <c r="BF146" s="33">
        <v>620</v>
      </c>
      <c r="BG146" s="33">
        <v>709</v>
      </c>
      <c r="BH146" s="33">
        <v>709</v>
      </c>
      <c r="BI146" s="33">
        <v>670</v>
      </c>
      <c r="BJ146" s="33">
        <v>650</v>
      </c>
      <c r="BK146" s="33">
        <v>702</v>
      </c>
      <c r="BL146" s="33">
        <v>686</v>
      </c>
      <c r="BM146" s="1">
        <v>707</v>
      </c>
      <c r="BN146" s="1">
        <v>660</v>
      </c>
    </row>
    <row r="147" spans="1:68" ht="15.9" customHeight="1">
      <c r="A147" s="68" t="s">
        <v>288</v>
      </c>
      <c r="B147" s="44" t="s">
        <v>289</v>
      </c>
      <c r="C147" s="48" t="str">
        <f>_xll.RssMarket("6387","安値")</f>
        <v/>
      </c>
      <c r="D147" s="16" t="e">
        <f t="shared" si="5"/>
        <v>#VALUE!</v>
      </c>
      <c r="E147" s="33">
        <v>9430</v>
      </c>
      <c r="F147" s="33">
        <v>11900</v>
      </c>
      <c r="G147" s="33">
        <v>11910</v>
      </c>
      <c r="H147" s="33">
        <v>12530</v>
      </c>
      <c r="I147" s="33">
        <v>12280</v>
      </c>
      <c r="J147" s="33">
        <v>11560</v>
      </c>
      <c r="K147" s="33">
        <v>11170</v>
      </c>
      <c r="L147" s="33">
        <v>11530</v>
      </c>
      <c r="M147" s="33">
        <v>11990</v>
      </c>
      <c r="N147" s="33">
        <v>12510</v>
      </c>
      <c r="O147" s="33">
        <v>12830</v>
      </c>
      <c r="P147" s="33">
        <v>13660</v>
      </c>
      <c r="Q147" s="33">
        <v>13710</v>
      </c>
      <c r="R147" s="33">
        <v>13020</v>
      </c>
      <c r="S147" s="33">
        <v>13510</v>
      </c>
      <c r="T147" s="33">
        <v>14230</v>
      </c>
      <c r="U147" s="33">
        <v>13910</v>
      </c>
      <c r="V147" s="33">
        <v>14590</v>
      </c>
      <c r="W147" s="33">
        <v>14610</v>
      </c>
      <c r="X147" s="33">
        <v>14250</v>
      </c>
      <c r="Y147" s="33">
        <v>15180</v>
      </c>
      <c r="Z147" s="33">
        <v>14700</v>
      </c>
      <c r="AA147" s="33">
        <v>15120</v>
      </c>
      <c r="AB147" s="33">
        <v>13670</v>
      </c>
      <c r="AC147" s="33">
        <v>11760</v>
      </c>
      <c r="AD147" s="33">
        <v>10840</v>
      </c>
      <c r="AE147" s="33">
        <v>11620</v>
      </c>
      <c r="AF147" s="33">
        <v>11060</v>
      </c>
      <c r="AG147" s="33">
        <v>11820</v>
      </c>
      <c r="AH147" s="33">
        <v>12110</v>
      </c>
      <c r="AI147" s="33">
        <v>12220</v>
      </c>
      <c r="AJ147" s="33">
        <v>10510</v>
      </c>
      <c r="AK147" s="33">
        <v>10080</v>
      </c>
      <c r="AL147" s="33">
        <v>9900</v>
      </c>
      <c r="AM147" s="33">
        <v>10390</v>
      </c>
      <c r="AN147" s="33">
        <v>11580</v>
      </c>
      <c r="AO147" s="33">
        <v>10910</v>
      </c>
      <c r="AP147" s="33">
        <v>10500</v>
      </c>
      <c r="AQ147" s="33">
        <v>10520</v>
      </c>
      <c r="AR147" s="33">
        <v>10910</v>
      </c>
      <c r="AS147" s="33">
        <v>11870</v>
      </c>
      <c r="AT147" s="33">
        <v>11890</v>
      </c>
      <c r="AU147" s="33">
        <v>13130</v>
      </c>
      <c r="AV147" s="33">
        <v>12340</v>
      </c>
      <c r="AW147" s="33">
        <v>12210</v>
      </c>
      <c r="AX147" s="33">
        <v>12800</v>
      </c>
      <c r="AY147" s="33">
        <v>12880</v>
      </c>
      <c r="AZ147" s="33">
        <v>12520</v>
      </c>
      <c r="BA147" s="33">
        <v>11240</v>
      </c>
      <c r="BB147" s="33">
        <v>11120</v>
      </c>
      <c r="BC147" s="33">
        <v>10840</v>
      </c>
      <c r="BD147" s="33">
        <v>10620</v>
      </c>
      <c r="BE147" s="33">
        <v>10550</v>
      </c>
      <c r="BF147" s="33">
        <v>10380</v>
      </c>
      <c r="BG147" s="33">
        <v>9350</v>
      </c>
      <c r="BH147" s="33">
        <v>9400</v>
      </c>
      <c r="BI147" s="33">
        <v>9400</v>
      </c>
      <c r="BJ147" s="33">
        <v>9600</v>
      </c>
      <c r="BK147" s="33">
        <v>9760</v>
      </c>
      <c r="BL147" s="33">
        <v>9600</v>
      </c>
      <c r="BM147" s="1">
        <v>10180</v>
      </c>
      <c r="BN147" s="1">
        <v>9090</v>
      </c>
      <c r="BO147" s="1">
        <v>8980</v>
      </c>
      <c r="BP147" s="1">
        <v>8910</v>
      </c>
    </row>
    <row r="148" spans="1:68" ht="15.9" customHeight="1">
      <c r="A148" s="68" t="s">
        <v>290</v>
      </c>
      <c r="B148" s="44" t="s">
        <v>291</v>
      </c>
      <c r="C148" s="48" t="str">
        <f>_xll.RssMarket("6838","安値")</f>
        <v/>
      </c>
      <c r="D148" s="16" t="e">
        <f t="shared" si="5"/>
        <v>#VALUE!</v>
      </c>
      <c r="E148" s="33">
        <v>1300</v>
      </c>
      <c r="F148" s="33">
        <v>1430</v>
      </c>
      <c r="G148" s="33">
        <v>1400</v>
      </c>
      <c r="H148" s="33">
        <v>1453</v>
      </c>
      <c r="I148" s="33">
        <v>1525</v>
      </c>
      <c r="J148" s="33">
        <v>1491</v>
      </c>
      <c r="K148" s="33">
        <v>1521</v>
      </c>
      <c r="L148" s="33">
        <v>1631</v>
      </c>
      <c r="M148" s="33">
        <v>1723</v>
      </c>
      <c r="N148" s="33">
        <v>1665</v>
      </c>
      <c r="O148" s="33">
        <v>1682</v>
      </c>
      <c r="P148" s="33">
        <v>1678</v>
      </c>
      <c r="Q148" s="33">
        <v>1736</v>
      </c>
      <c r="R148" s="33">
        <v>1750</v>
      </c>
      <c r="S148" s="33">
        <v>1883</v>
      </c>
      <c r="T148" s="33">
        <v>1912</v>
      </c>
      <c r="U148" s="33">
        <v>1877</v>
      </c>
      <c r="V148" s="33">
        <v>1980</v>
      </c>
      <c r="W148" s="33">
        <v>2001</v>
      </c>
      <c r="X148" s="33">
        <v>1940</v>
      </c>
      <c r="Y148" s="33">
        <v>2086</v>
      </c>
      <c r="Z148" s="33">
        <v>2122</v>
      </c>
      <c r="AA148" s="33">
        <v>2280</v>
      </c>
      <c r="AB148" s="33">
        <v>1788</v>
      </c>
      <c r="AC148" s="33">
        <v>1720</v>
      </c>
      <c r="AD148" s="33">
        <v>1655</v>
      </c>
      <c r="AE148" s="33">
        <v>1800</v>
      </c>
      <c r="AF148" s="33">
        <v>2086</v>
      </c>
      <c r="AG148" s="33">
        <v>2320</v>
      </c>
      <c r="AH148" s="33">
        <v>2220</v>
      </c>
      <c r="AI148" s="33">
        <v>2235</v>
      </c>
      <c r="AJ148" s="33">
        <v>2144</v>
      </c>
      <c r="AK148" s="33">
        <v>2062</v>
      </c>
      <c r="AL148" s="33">
        <v>2080</v>
      </c>
      <c r="AM148" s="33">
        <v>2201</v>
      </c>
      <c r="AN148" s="33">
        <v>2029</v>
      </c>
      <c r="AO148" s="33">
        <v>1950</v>
      </c>
      <c r="AP148" s="33">
        <v>1788</v>
      </c>
      <c r="AQ148" s="33">
        <v>1870</v>
      </c>
      <c r="AR148" s="33">
        <v>1932</v>
      </c>
      <c r="AS148" s="33">
        <v>1984</v>
      </c>
      <c r="AT148" s="33">
        <v>1930</v>
      </c>
      <c r="AU148" s="33">
        <v>1873</v>
      </c>
      <c r="AV148" s="33">
        <v>1911</v>
      </c>
      <c r="AW148" s="33">
        <v>1954</v>
      </c>
      <c r="AX148" s="33">
        <v>1941</v>
      </c>
      <c r="AY148" s="33">
        <v>1714</v>
      </c>
      <c r="AZ148" s="33">
        <v>1663</v>
      </c>
      <c r="BA148" s="33">
        <v>1623</v>
      </c>
      <c r="BB148" s="33">
        <v>1583</v>
      </c>
      <c r="BC148" s="33">
        <v>1581</v>
      </c>
      <c r="BD148" s="33">
        <v>1571</v>
      </c>
      <c r="BE148" s="33">
        <v>1700</v>
      </c>
      <c r="BF148" s="33">
        <v>1757</v>
      </c>
      <c r="BG148" s="33">
        <v>1722</v>
      </c>
      <c r="BH148" s="33">
        <v>1704</v>
      </c>
      <c r="BI148" s="33">
        <v>1615</v>
      </c>
      <c r="BJ148" s="33">
        <v>1391</v>
      </c>
      <c r="BK148" s="33">
        <v>1268</v>
      </c>
      <c r="BL148" s="33">
        <v>1257</v>
      </c>
      <c r="BM148" s="1">
        <v>1278</v>
      </c>
      <c r="BN148" s="1">
        <v>1265</v>
      </c>
      <c r="BO148" s="1">
        <v>1262</v>
      </c>
      <c r="BP148" s="1">
        <v>1310</v>
      </c>
    </row>
    <row r="149" spans="1:68" ht="15.9" customHeight="1">
      <c r="A149" s="68" t="s">
        <v>292</v>
      </c>
      <c r="B149" s="44" t="s">
        <v>293</v>
      </c>
      <c r="C149" s="48" t="str">
        <f>_xll.RssMarket("7375","安値")</f>
        <v/>
      </c>
      <c r="D149" s="16" t="e">
        <f t="shared" si="5"/>
        <v>#VALUE!</v>
      </c>
      <c r="E149" s="33">
        <v>1174</v>
      </c>
      <c r="F149" s="33">
        <v>1225</v>
      </c>
      <c r="G149" s="33">
        <v>1238</v>
      </c>
      <c r="H149" s="33">
        <v>1233</v>
      </c>
      <c r="I149" s="33">
        <v>1226</v>
      </c>
      <c r="J149" s="33">
        <v>1209</v>
      </c>
      <c r="K149" s="33">
        <v>1208</v>
      </c>
      <c r="L149" s="33">
        <v>1225</v>
      </c>
      <c r="M149" s="33">
        <v>1242</v>
      </c>
      <c r="N149" s="33">
        <v>1196</v>
      </c>
      <c r="O149" s="33">
        <v>1219</v>
      </c>
      <c r="P149" s="33">
        <v>1184</v>
      </c>
      <c r="Q149" s="33">
        <v>1215</v>
      </c>
      <c r="R149" s="33">
        <v>1225</v>
      </c>
      <c r="S149" s="33">
        <v>1287</v>
      </c>
      <c r="T149" s="33">
        <v>1319</v>
      </c>
      <c r="U149" s="33">
        <v>1340</v>
      </c>
      <c r="V149" s="33">
        <v>1348</v>
      </c>
      <c r="W149" s="33">
        <v>1372</v>
      </c>
      <c r="X149" s="33">
        <v>1335</v>
      </c>
      <c r="Y149" s="33">
        <v>1314</v>
      </c>
      <c r="Z149" s="33">
        <v>1312</v>
      </c>
      <c r="AA149" s="33">
        <v>1261</v>
      </c>
      <c r="AB149" s="33">
        <v>1220</v>
      </c>
      <c r="AC149" s="33">
        <v>1268</v>
      </c>
      <c r="AD149" s="33">
        <v>1306</v>
      </c>
      <c r="AE149" s="33">
        <v>1307</v>
      </c>
      <c r="AF149" s="33">
        <v>1365</v>
      </c>
      <c r="AG149" s="33">
        <v>1360</v>
      </c>
      <c r="AH149" s="33">
        <v>1394</v>
      </c>
      <c r="AI149" s="33">
        <v>1340</v>
      </c>
      <c r="AJ149" s="33">
        <v>1406</v>
      </c>
      <c r="AK149" s="33">
        <v>1453</v>
      </c>
      <c r="AL149" s="33">
        <v>1562</v>
      </c>
      <c r="AM149" s="33">
        <v>1582</v>
      </c>
      <c r="AN149" s="33">
        <v>1839</v>
      </c>
      <c r="AO149" s="33">
        <v>1716</v>
      </c>
      <c r="AP149" s="33">
        <v>1705</v>
      </c>
      <c r="AQ149" s="33">
        <v>1820</v>
      </c>
      <c r="AR149" s="33">
        <v>1880</v>
      </c>
      <c r="AS149" s="33">
        <v>1801</v>
      </c>
      <c r="AT149" s="33">
        <v>1497</v>
      </c>
      <c r="AU149" s="33">
        <v>1526</v>
      </c>
      <c r="AV149" s="33">
        <v>1594</v>
      </c>
      <c r="AW149" s="33">
        <v>1621</v>
      </c>
      <c r="AX149" s="33">
        <v>1650</v>
      </c>
      <c r="AY149" s="33">
        <v>1704</v>
      </c>
      <c r="AZ149" s="33">
        <v>1650</v>
      </c>
      <c r="BA149" s="33">
        <v>1852</v>
      </c>
      <c r="BB149" s="33">
        <v>2111</v>
      </c>
      <c r="BC149" s="33">
        <v>1982</v>
      </c>
      <c r="BD149" s="33">
        <v>1907</v>
      </c>
      <c r="BE149" s="33">
        <v>2024</v>
      </c>
      <c r="BF149" s="33">
        <v>2024</v>
      </c>
      <c r="BG149" s="33">
        <v>2215</v>
      </c>
      <c r="BH149" s="33">
        <v>2172</v>
      </c>
      <c r="BI149" s="33">
        <v>1862</v>
      </c>
      <c r="BJ149" s="33">
        <v>1970</v>
      </c>
      <c r="BK149" s="33">
        <v>1935</v>
      </c>
      <c r="BL149" s="33">
        <v>1961</v>
      </c>
      <c r="BM149" s="1">
        <v>1566</v>
      </c>
      <c r="BN149" s="1">
        <v>1433</v>
      </c>
      <c r="BO149" s="1">
        <v>1330</v>
      </c>
      <c r="BP149" s="1">
        <v>1410</v>
      </c>
    </row>
    <row r="150" spans="1:68" ht="15.9" customHeight="1">
      <c r="A150" s="68" t="s">
        <v>294</v>
      </c>
      <c r="B150" s="44" t="s">
        <v>295</v>
      </c>
      <c r="C150" s="48" t="str">
        <f>_xll.RssMarket("4307","安値")</f>
        <v/>
      </c>
      <c r="D150" s="16" t="e">
        <f t="shared" si="5"/>
        <v>#VALUE!</v>
      </c>
      <c r="E150" s="33">
        <v>5050</v>
      </c>
      <c r="F150" s="33">
        <v>4787</v>
      </c>
      <c r="G150" s="33">
        <v>5063</v>
      </c>
      <c r="H150" s="33">
        <v>4926</v>
      </c>
      <c r="I150" s="33">
        <v>4973</v>
      </c>
      <c r="J150" s="33">
        <v>4910</v>
      </c>
      <c r="K150" s="33">
        <v>5000</v>
      </c>
      <c r="L150" s="33">
        <v>5050</v>
      </c>
      <c r="M150" s="33">
        <v>4850</v>
      </c>
      <c r="N150" s="33">
        <v>4884</v>
      </c>
      <c r="O150" s="33">
        <v>4836</v>
      </c>
      <c r="P150" s="33">
        <v>4510</v>
      </c>
      <c r="Q150" s="33">
        <v>4546</v>
      </c>
      <c r="R150" s="33">
        <v>4473</v>
      </c>
      <c r="S150" s="33">
        <v>4201</v>
      </c>
      <c r="T150" s="33">
        <v>4253</v>
      </c>
      <c r="U150" s="33">
        <v>4281</v>
      </c>
      <c r="V150" s="33">
        <v>4144</v>
      </c>
      <c r="W150" s="33">
        <v>4228</v>
      </c>
      <c r="X150" s="33">
        <v>4358</v>
      </c>
      <c r="Y150" s="33">
        <v>4551</v>
      </c>
      <c r="Z150" s="33">
        <v>4475</v>
      </c>
      <c r="AA150" s="33">
        <v>4401</v>
      </c>
      <c r="AB150" s="33">
        <v>4550</v>
      </c>
      <c r="AC150" s="33">
        <v>4464</v>
      </c>
      <c r="AD150" s="33">
        <v>4562</v>
      </c>
      <c r="AE150" s="33">
        <v>4605</v>
      </c>
      <c r="AF150" s="33">
        <v>4692</v>
      </c>
      <c r="AG150" s="33">
        <v>4780</v>
      </c>
      <c r="AH150" s="33">
        <v>4638</v>
      </c>
      <c r="AI150" s="33">
        <v>4780</v>
      </c>
      <c r="AJ150" s="33">
        <v>5009</v>
      </c>
      <c r="AK150" s="33">
        <v>4938</v>
      </c>
      <c r="AL150" s="33">
        <v>4700</v>
      </c>
      <c r="AM150" s="33">
        <v>4570</v>
      </c>
      <c r="AN150" s="33">
        <v>4532</v>
      </c>
      <c r="AO150" s="33">
        <v>4571</v>
      </c>
      <c r="AP150" s="33">
        <v>4653</v>
      </c>
      <c r="AQ150" s="33">
        <v>4668</v>
      </c>
      <c r="AR150" s="33">
        <v>4640</v>
      </c>
      <c r="AS150" s="33">
        <v>4415</v>
      </c>
      <c r="AT150" s="33">
        <v>4201</v>
      </c>
      <c r="AU150" s="33">
        <v>4126</v>
      </c>
      <c r="AV150" s="33">
        <v>4230</v>
      </c>
      <c r="AW150" s="33">
        <v>4148</v>
      </c>
      <c r="AX150" s="33">
        <v>4280</v>
      </c>
      <c r="AY150" s="33">
        <v>4270</v>
      </c>
      <c r="AZ150" s="33">
        <v>4113</v>
      </c>
      <c r="BA150" s="33">
        <v>4054</v>
      </c>
      <c r="BB150" s="33">
        <v>4098</v>
      </c>
      <c r="BC150" s="33">
        <v>4286</v>
      </c>
      <c r="BD150" s="33">
        <v>4357</v>
      </c>
      <c r="BE150" s="33">
        <v>4974</v>
      </c>
      <c r="BF150" s="33">
        <v>4951</v>
      </c>
      <c r="BG150" s="33">
        <v>5050</v>
      </c>
      <c r="BH150" s="33">
        <v>4967</v>
      </c>
      <c r="BI150" s="33">
        <v>4926</v>
      </c>
      <c r="BJ150" s="33">
        <v>4885</v>
      </c>
      <c r="BK150" s="33">
        <v>4861</v>
      </c>
      <c r="BL150" s="33">
        <v>4757</v>
      </c>
      <c r="BM150" s="1">
        <v>4613</v>
      </c>
      <c r="BN150" s="1">
        <v>4374</v>
      </c>
      <c r="BO150" s="1">
        <v>4392</v>
      </c>
      <c r="BP150" s="1">
        <v>4435</v>
      </c>
    </row>
    <row r="151" spans="1:68" ht="15.9" customHeight="1">
      <c r="A151" s="68" t="s">
        <v>296</v>
      </c>
      <c r="B151" s="44" t="s">
        <v>297</v>
      </c>
      <c r="C151" s="48" t="str">
        <f>_xll.RssMarket("6516","安値")</f>
        <v/>
      </c>
      <c r="D151" s="16" t="e">
        <f t="shared" si="5"/>
        <v>#VALUE!</v>
      </c>
      <c r="E151" s="33">
        <v>5280</v>
      </c>
      <c r="F151" s="33">
        <v>5810</v>
      </c>
      <c r="G151" s="33">
        <v>5720</v>
      </c>
      <c r="H151" s="33">
        <v>5860</v>
      </c>
      <c r="I151" s="33">
        <v>6010</v>
      </c>
      <c r="J151" s="33">
        <v>5850</v>
      </c>
      <c r="K151" s="33">
        <v>5920</v>
      </c>
      <c r="L151" s="33">
        <v>6070</v>
      </c>
      <c r="M151" s="33">
        <v>6300</v>
      </c>
      <c r="N151" s="33">
        <v>6370</v>
      </c>
      <c r="O151" s="33">
        <v>6300</v>
      </c>
      <c r="P151" s="33">
        <v>6540</v>
      </c>
      <c r="Q151" s="33">
        <v>6460</v>
      </c>
      <c r="R151" s="33">
        <v>6480</v>
      </c>
      <c r="S151" s="33">
        <v>6740</v>
      </c>
      <c r="T151" s="33">
        <v>7050</v>
      </c>
      <c r="U151" s="33">
        <v>6910</v>
      </c>
      <c r="V151" s="33">
        <v>7000</v>
      </c>
      <c r="W151" s="33">
        <v>6820</v>
      </c>
      <c r="X151" s="33">
        <v>6720</v>
      </c>
      <c r="Y151" s="33">
        <v>6760</v>
      </c>
      <c r="Z151" s="33">
        <v>6430</v>
      </c>
      <c r="AA151" s="33">
        <v>6500</v>
      </c>
      <c r="AB151" s="33">
        <v>6490</v>
      </c>
      <c r="AC151" s="33">
        <v>6220</v>
      </c>
      <c r="AD151" s="33">
        <v>6000</v>
      </c>
      <c r="AE151" s="33">
        <v>6180</v>
      </c>
      <c r="AF151" s="33">
        <v>6230</v>
      </c>
      <c r="AG151" s="33">
        <v>6470</v>
      </c>
      <c r="AH151" s="33">
        <v>6600</v>
      </c>
      <c r="AI151" s="33">
        <v>6430</v>
      </c>
      <c r="AJ151" s="33">
        <v>6290</v>
      </c>
      <c r="AK151" s="33">
        <v>6700</v>
      </c>
      <c r="AL151" s="33">
        <v>6570</v>
      </c>
      <c r="AM151" s="33">
        <v>6790</v>
      </c>
      <c r="AN151" s="33">
        <v>7020</v>
      </c>
      <c r="AO151" s="33">
        <v>7080</v>
      </c>
      <c r="AP151" s="33">
        <v>6960</v>
      </c>
      <c r="AQ151" s="33">
        <v>6740</v>
      </c>
      <c r="AR151" s="33">
        <v>6960</v>
      </c>
      <c r="AS151" s="33">
        <v>7240</v>
      </c>
      <c r="AT151" s="33">
        <v>7280</v>
      </c>
      <c r="AU151" s="33">
        <v>7460</v>
      </c>
      <c r="AV151" s="33">
        <v>7390</v>
      </c>
      <c r="AW151" s="33">
        <v>7320</v>
      </c>
      <c r="AX151" s="33">
        <v>7380</v>
      </c>
      <c r="AY151" s="33">
        <v>7070</v>
      </c>
      <c r="AZ151" s="33">
        <v>7010</v>
      </c>
      <c r="BA151" s="33">
        <v>6650</v>
      </c>
      <c r="BB151" s="33">
        <v>6900</v>
      </c>
      <c r="BC151" s="33">
        <v>6740</v>
      </c>
      <c r="BD151" s="33">
        <v>5630</v>
      </c>
      <c r="BE151" s="33">
        <v>5190</v>
      </c>
      <c r="BF151" s="33">
        <v>5110</v>
      </c>
      <c r="BG151" s="33">
        <v>5130</v>
      </c>
      <c r="BH151" s="33">
        <v>5210</v>
      </c>
      <c r="BI151" s="33">
        <v>5100</v>
      </c>
      <c r="BJ151" s="33">
        <v>5100</v>
      </c>
      <c r="BK151" s="33">
        <v>5170</v>
      </c>
      <c r="BL151" s="33">
        <v>5160</v>
      </c>
      <c r="BM151" s="1">
        <v>5060</v>
      </c>
      <c r="BN151" s="1">
        <v>4960</v>
      </c>
      <c r="BO151" s="1">
        <v>4940</v>
      </c>
      <c r="BP151" s="1">
        <v>4810</v>
      </c>
    </row>
    <row r="152" spans="1:68" ht="15.9" customHeight="1">
      <c r="A152" s="68" t="s">
        <v>298</v>
      </c>
      <c r="B152" s="44" t="s">
        <v>299</v>
      </c>
      <c r="C152" s="48" t="str">
        <f>_xll.RssMarket("7381","安値")</f>
        <v/>
      </c>
      <c r="D152" s="16" t="e">
        <f t="shared" si="5"/>
        <v>#VALUE!</v>
      </c>
      <c r="E152" s="33">
        <v>1054</v>
      </c>
      <c r="F152" s="33">
        <v>1087</v>
      </c>
      <c r="G152" s="33">
        <v>1048</v>
      </c>
      <c r="H152" s="33">
        <v>1038</v>
      </c>
      <c r="I152" s="33">
        <v>1030</v>
      </c>
      <c r="J152" s="33">
        <v>1034</v>
      </c>
      <c r="K152" s="33">
        <v>1063</v>
      </c>
      <c r="L152" s="33">
        <v>1053</v>
      </c>
      <c r="M152" s="33">
        <v>1038</v>
      </c>
      <c r="N152" s="33">
        <v>1017</v>
      </c>
      <c r="O152" s="33">
        <v>1029</v>
      </c>
      <c r="P152" s="33">
        <v>1021</v>
      </c>
      <c r="Q152" s="33">
        <v>1010</v>
      </c>
      <c r="R152" s="33">
        <v>978</v>
      </c>
      <c r="S152" s="33">
        <v>967</v>
      </c>
      <c r="T152" s="33">
        <v>945</v>
      </c>
      <c r="U152" s="33">
        <v>944</v>
      </c>
      <c r="V152" s="33">
        <v>949</v>
      </c>
      <c r="W152" s="33">
        <v>951</v>
      </c>
      <c r="X152" s="33">
        <v>945</v>
      </c>
      <c r="Y152" s="33">
        <v>970</v>
      </c>
      <c r="Z152" s="33">
        <v>975</v>
      </c>
      <c r="AA152" s="33">
        <v>1003</v>
      </c>
      <c r="AB152" s="33">
        <v>983</v>
      </c>
      <c r="AC152" s="33">
        <v>956</v>
      </c>
      <c r="AD152" s="33">
        <v>976</v>
      </c>
      <c r="AE152" s="33">
        <v>969</v>
      </c>
      <c r="AF152" s="33">
        <v>1028</v>
      </c>
      <c r="AG152" s="33">
        <v>1002</v>
      </c>
      <c r="AH152" s="33">
        <v>1011</v>
      </c>
      <c r="AI152" s="33">
        <v>967</v>
      </c>
      <c r="AJ152" s="33">
        <v>1034</v>
      </c>
      <c r="AK152" s="33">
        <v>1010</v>
      </c>
      <c r="AL152" s="33">
        <v>1038</v>
      </c>
      <c r="AM152" s="33">
        <v>1052</v>
      </c>
      <c r="AN152" s="33">
        <v>1047</v>
      </c>
      <c r="AO152" s="33">
        <v>1008</v>
      </c>
      <c r="AP152" s="33">
        <v>1009</v>
      </c>
      <c r="AQ152" s="33">
        <v>1024</v>
      </c>
      <c r="AR152" s="33">
        <v>1033</v>
      </c>
      <c r="AS152" s="33">
        <v>1020</v>
      </c>
      <c r="AT152" s="33">
        <v>1011</v>
      </c>
      <c r="AU152" s="33">
        <v>1003</v>
      </c>
      <c r="AV152" s="33">
        <v>997</v>
      </c>
      <c r="AW152" s="33">
        <v>986</v>
      </c>
      <c r="AX152" s="33">
        <v>975</v>
      </c>
      <c r="AY152" s="33">
        <v>937</v>
      </c>
      <c r="AZ152" s="33">
        <v>921</v>
      </c>
      <c r="BA152" s="33">
        <v>907</v>
      </c>
      <c r="BB152" s="33">
        <v>896</v>
      </c>
      <c r="BC152" s="33">
        <v>900</v>
      </c>
      <c r="BD152" s="33">
        <v>909</v>
      </c>
      <c r="BE152" s="33">
        <v>923</v>
      </c>
      <c r="BF152" s="33">
        <v>964</v>
      </c>
      <c r="BG152" s="33">
        <v>997</v>
      </c>
      <c r="BH152" s="33">
        <v>1009</v>
      </c>
      <c r="BI152" s="33">
        <v>1034</v>
      </c>
      <c r="BJ152" s="33">
        <v>1029</v>
      </c>
      <c r="BK152" s="33">
        <v>1012</v>
      </c>
      <c r="BL152" s="33">
        <v>1008</v>
      </c>
      <c r="BM152" s="1">
        <v>1021</v>
      </c>
      <c r="BN152" s="1">
        <v>1023</v>
      </c>
      <c r="BO152" s="1">
        <v>1033</v>
      </c>
      <c r="BP152" s="1">
        <v>1006</v>
      </c>
    </row>
    <row r="153" spans="1:68" ht="15.9" customHeight="1">
      <c r="A153" s="68" t="s">
        <v>300</v>
      </c>
      <c r="B153" s="44" t="s">
        <v>301</v>
      </c>
      <c r="C153" s="48" t="str">
        <f>_xll.RssMarket("4417","安値")</f>
        <v/>
      </c>
      <c r="D153" s="16" t="e">
        <f t="shared" si="5"/>
        <v>#VALUE!</v>
      </c>
      <c r="E153" s="33">
        <v>4310</v>
      </c>
      <c r="F153" s="33">
        <v>4180</v>
      </c>
      <c r="G153" s="33">
        <v>4010</v>
      </c>
      <c r="H153" s="33">
        <v>3840</v>
      </c>
      <c r="I153" s="33">
        <v>3860</v>
      </c>
      <c r="J153" s="33">
        <v>3885</v>
      </c>
      <c r="K153" s="33">
        <v>3815</v>
      </c>
      <c r="L153" s="33">
        <v>3910</v>
      </c>
      <c r="M153" s="33">
        <v>4150</v>
      </c>
      <c r="N153" s="33">
        <v>4115</v>
      </c>
      <c r="O153" s="33">
        <v>3840</v>
      </c>
      <c r="P153" s="33">
        <v>3780</v>
      </c>
      <c r="Q153" s="33">
        <v>3730</v>
      </c>
      <c r="R153" s="33">
        <v>3500</v>
      </c>
      <c r="S153" s="33">
        <v>3190</v>
      </c>
      <c r="T153" s="33">
        <v>3185</v>
      </c>
      <c r="U153" s="33">
        <v>3140</v>
      </c>
      <c r="V153" s="33">
        <v>3120</v>
      </c>
      <c r="W153" s="33">
        <v>3240</v>
      </c>
      <c r="X153" s="33">
        <v>3215</v>
      </c>
      <c r="Y153" s="33">
        <v>3225</v>
      </c>
      <c r="Z153" s="33">
        <v>3070</v>
      </c>
      <c r="AA153" s="33">
        <v>3030</v>
      </c>
      <c r="AB153" s="33">
        <v>3055</v>
      </c>
      <c r="AC153" s="33">
        <v>2958</v>
      </c>
      <c r="AD153" s="33">
        <v>3075</v>
      </c>
      <c r="AE153" s="33">
        <v>2958</v>
      </c>
      <c r="AF153" s="33">
        <v>3040</v>
      </c>
      <c r="AG153" s="33">
        <v>2991</v>
      </c>
      <c r="AH153" s="33">
        <v>3115</v>
      </c>
      <c r="AI153" s="33">
        <v>3230</v>
      </c>
      <c r="AJ153" s="33">
        <v>3285</v>
      </c>
      <c r="AK153" s="33">
        <v>3165</v>
      </c>
      <c r="AL153" s="33">
        <v>3280</v>
      </c>
      <c r="AM153" s="33">
        <v>3260</v>
      </c>
      <c r="AN153" s="33">
        <v>3080</v>
      </c>
      <c r="AO153" s="33">
        <v>2988</v>
      </c>
      <c r="AP153" s="33">
        <v>2851</v>
      </c>
      <c r="AQ153" s="33">
        <v>2839</v>
      </c>
      <c r="AR153" s="33">
        <v>2710</v>
      </c>
      <c r="AS153" s="33">
        <v>2702</v>
      </c>
      <c r="AT153" s="33">
        <v>2721</v>
      </c>
      <c r="AU153" s="33">
        <v>2914</v>
      </c>
      <c r="AV153" s="33">
        <v>2881</v>
      </c>
      <c r="AW153" s="33">
        <v>2836</v>
      </c>
      <c r="AX153" s="33">
        <v>2705</v>
      </c>
      <c r="AY153" s="33">
        <v>2678</v>
      </c>
      <c r="AZ153" s="33">
        <v>2660</v>
      </c>
      <c r="BA153" s="33">
        <v>2411</v>
      </c>
      <c r="BB153" s="33">
        <v>2452</v>
      </c>
      <c r="BC153" s="33">
        <v>2450</v>
      </c>
      <c r="BD153" s="33">
        <v>2450</v>
      </c>
      <c r="BE153" s="33">
        <v>2438</v>
      </c>
      <c r="BF153" s="33">
        <v>2440</v>
      </c>
      <c r="BG153" s="33">
        <v>2423</v>
      </c>
      <c r="BH153" s="33">
        <v>2483</v>
      </c>
      <c r="BI153" s="33">
        <v>2464</v>
      </c>
      <c r="BJ153" s="33">
        <v>2456</v>
      </c>
      <c r="BK153" s="33">
        <v>2281</v>
      </c>
      <c r="BL153" s="33">
        <v>2228</v>
      </c>
      <c r="BM153" s="1">
        <v>2232</v>
      </c>
      <c r="BN153" s="1">
        <v>2450</v>
      </c>
      <c r="BO153" s="1">
        <v>2503</v>
      </c>
      <c r="BP153" s="1">
        <v>2558</v>
      </c>
    </row>
    <row r="154" spans="1:68" ht="15.9" customHeight="1">
      <c r="A154" s="68" t="s">
        <v>302</v>
      </c>
      <c r="B154" s="44" t="s">
        <v>303</v>
      </c>
      <c r="C154" s="48" t="str">
        <f>_xll.RssMarket("6981","安値")</f>
        <v/>
      </c>
      <c r="D154" s="16" t="e">
        <f t="shared" si="5"/>
        <v>#VALUE!</v>
      </c>
      <c r="E154" s="33">
        <v>7270</v>
      </c>
      <c r="F154" s="33">
        <v>8745</v>
      </c>
      <c r="G154" s="33">
        <v>8469</v>
      </c>
      <c r="H154" s="33">
        <v>8795</v>
      </c>
      <c r="I154" s="33">
        <v>9582</v>
      </c>
      <c r="J154" s="33">
        <v>9265</v>
      </c>
      <c r="K154" s="33">
        <v>8823</v>
      </c>
      <c r="L154" s="33">
        <v>9181</v>
      </c>
      <c r="M154" s="33">
        <v>9901</v>
      </c>
      <c r="N154" s="33">
        <v>9951</v>
      </c>
      <c r="O154" s="33">
        <v>10765</v>
      </c>
      <c r="P154" s="33">
        <v>11530</v>
      </c>
      <c r="Q154" s="33">
        <v>10450</v>
      </c>
      <c r="R154" s="33">
        <v>10355</v>
      </c>
      <c r="S154" s="33">
        <v>10580</v>
      </c>
      <c r="T154" s="33">
        <v>11125</v>
      </c>
      <c r="U154" s="33">
        <v>10780</v>
      </c>
      <c r="V154" s="33">
        <v>11005</v>
      </c>
      <c r="W154" s="33">
        <v>12120</v>
      </c>
      <c r="X154" s="33">
        <v>11280</v>
      </c>
      <c r="Y154" s="33">
        <v>11715</v>
      </c>
      <c r="Z154" s="33">
        <v>10200</v>
      </c>
      <c r="AA154" s="33">
        <v>10320</v>
      </c>
      <c r="AB154" s="33">
        <v>9415</v>
      </c>
      <c r="AC154" s="33">
        <v>8521</v>
      </c>
      <c r="AD154" s="33">
        <v>8083</v>
      </c>
      <c r="AE154" s="33">
        <v>8550</v>
      </c>
      <c r="AF154" s="33">
        <v>8624</v>
      </c>
      <c r="AG154" s="33">
        <v>9225</v>
      </c>
      <c r="AH154" s="33">
        <v>9858</v>
      </c>
      <c r="AI154" s="33">
        <v>9928</v>
      </c>
      <c r="AJ154" s="33">
        <v>9700</v>
      </c>
      <c r="AK154" s="33">
        <v>9033</v>
      </c>
      <c r="AL154" s="33">
        <v>7700</v>
      </c>
      <c r="AM154" s="33">
        <v>7750</v>
      </c>
      <c r="AN154" s="33">
        <v>7315</v>
      </c>
      <c r="AO154" s="33">
        <v>6659</v>
      </c>
      <c r="AP154" s="33">
        <v>6316</v>
      </c>
      <c r="AQ154" s="33">
        <v>5825</v>
      </c>
      <c r="AR154" s="33">
        <v>6128</v>
      </c>
      <c r="AS154" s="33">
        <v>5930</v>
      </c>
      <c r="AT154" s="33">
        <v>6035</v>
      </c>
      <c r="AU154" s="33">
        <v>6138</v>
      </c>
      <c r="AV154" s="33">
        <v>5900</v>
      </c>
      <c r="AW154" s="33">
        <v>6040</v>
      </c>
      <c r="AX154" s="33">
        <v>5808</v>
      </c>
      <c r="AY154" s="33">
        <v>5551</v>
      </c>
      <c r="AZ154" s="33">
        <v>5398</v>
      </c>
      <c r="BA154" s="33">
        <v>4905</v>
      </c>
      <c r="BB154" s="33">
        <v>4750</v>
      </c>
      <c r="BC154" s="33">
        <v>4810</v>
      </c>
      <c r="BD154" s="33">
        <v>4770</v>
      </c>
      <c r="BE154" s="33">
        <v>4890</v>
      </c>
      <c r="BF154" s="33">
        <v>4672</v>
      </c>
      <c r="BG154" s="33">
        <v>4821</v>
      </c>
      <c r="BH154" s="33">
        <v>4736</v>
      </c>
      <c r="BI154" s="33">
        <v>4658</v>
      </c>
      <c r="BJ154" s="33">
        <v>4600</v>
      </c>
      <c r="BK154" s="33">
        <v>4537</v>
      </c>
      <c r="BL154" s="33">
        <v>4431</v>
      </c>
      <c r="BM154" s="1">
        <v>4205</v>
      </c>
      <c r="BN154" s="1">
        <v>4042</v>
      </c>
      <c r="BO154" s="1">
        <v>3975</v>
      </c>
      <c r="BP154" s="1">
        <v>3913</v>
      </c>
    </row>
    <row r="155" spans="1:68" ht="15.9" customHeight="1">
      <c r="A155" s="68" t="s">
        <v>304</v>
      </c>
      <c r="B155" s="44" t="s">
        <v>305</v>
      </c>
      <c r="C155" s="48" t="str">
        <f>_xll.RssMarket("6754","安値")</f>
        <v/>
      </c>
      <c r="D155" s="16" t="e">
        <f t="shared" si="5"/>
        <v>#VALUE!</v>
      </c>
      <c r="E155" s="33">
        <v>3533</v>
      </c>
      <c r="F155" s="33">
        <v>4056</v>
      </c>
      <c r="G155" s="33">
        <v>3913</v>
      </c>
      <c r="H155" s="33">
        <v>4026</v>
      </c>
      <c r="I155" s="33">
        <v>4149</v>
      </c>
      <c r="J155" s="33">
        <v>4035</v>
      </c>
      <c r="K155" s="33">
        <v>3919</v>
      </c>
      <c r="L155" s="33">
        <v>4052</v>
      </c>
      <c r="M155" s="33">
        <v>4141</v>
      </c>
      <c r="N155" s="33">
        <v>4245</v>
      </c>
      <c r="O155" s="33">
        <v>4401</v>
      </c>
      <c r="P155" s="33">
        <v>4590</v>
      </c>
      <c r="Q155" s="33">
        <v>4268</v>
      </c>
      <c r="R155" s="33">
        <v>4166</v>
      </c>
      <c r="S155" s="33">
        <v>4270</v>
      </c>
      <c r="T155" s="33">
        <v>4503</v>
      </c>
      <c r="U155" s="33">
        <v>4357</v>
      </c>
      <c r="V155" s="33">
        <v>4449</v>
      </c>
      <c r="W155" s="33">
        <v>4245</v>
      </c>
      <c r="X155" s="33">
        <v>4196</v>
      </c>
      <c r="Y155" s="33">
        <v>4010</v>
      </c>
      <c r="Z155" s="33">
        <v>3968</v>
      </c>
      <c r="AA155" s="33">
        <v>3935</v>
      </c>
      <c r="AB155" s="33">
        <v>3931</v>
      </c>
      <c r="AC155" s="33">
        <v>3865</v>
      </c>
      <c r="AD155" s="33">
        <v>3621</v>
      </c>
      <c r="AE155" s="33">
        <v>3749</v>
      </c>
      <c r="AF155" s="33">
        <v>4180</v>
      </c>
      <c r="AG155" s="33">
        <v>4402</v>
      </c>
      <c r="AH155" s="33">
        <v>4603</v>
      </c>
      <c r="AI155" s="33">
        <v>4619</v>
      </c>
      <c r="AJ155" s="33">
        <v>4401</v>
      </c>
      <c r="AK155" s="33">
        <v>4434</v>
      </c>
      <c r="AL155" s="33">
        <v>4429</v>
      </c>
      <c r="AM155" s="33">
        <v>4546</v>
      </c>
      <c r="AN155" s="33">
        <v>4621</v>
      </c>
      <c r="AO155" s="33">
        <v>4511</v>
      </c>
      <c r="AP155" s="33">
        <v>4340</v>
      </c>
      <c r="AQ155" s="33">
        <v>4090</v>
      </c>
      <c r="AR155" s="33">
        <v>4054</v>
      </c>
      <c r="AS155" s="33">
        <v>4111</v>
      </c>
      <c r="AT155" s="33">
        <v>4181</v>
      </c>
      <c r="AU155" s="33">
        <v>4140</v>
      </c>
      <c r="AV155" s="33">
        <v>3969</v>
      </c>
      <c r="AW155" s="33">
        <v>3993</v>
      </c>
      <c r="AX155" s="33">
        <v>4122</v>
      </c>
      <c r="AY155" s="33">
        <v>4003</v>
      </c>
      <c r="AZ155" s="33">
        <v>3914</v>
      </c>
      <c r="BA155" s="33">
        <v>3821</v>
      </c>
      <c r="BB155" s="33">
        <v>3902</v>
      </c>
      <c r="BC155" s="33">
        <v>3870</v>
      </c>
      <c r="BD155" s="33">
        <v>3613</v>
      </c>
      <c r="BE155" s="33">
        <v>3569</v>
      </c>
      <c r="BF155" s="33">
        <v>3524</v>
      </c>
      <c r="BG155" s="33">
        <v>3521</v>
      </c>
      <c r="BH155" s="33">
        <v>3529</v>
      </c>
      <c r="BI155" s="33">
        <v>3373</v>
      </c>
      <c r="BJ155" s="33">
        <v>3400</v>
      </c>
      <c r="BK155" s="33">
        <v>3337</v>
      </c>
      <c r="BL155" s="33">
        <v>3381</v>
      </c>
      <c r="BM155" s="1">
        <v>3374</v>
      </c>
      <c r="BN155" s="1">
        <v>3341</v>
      </c>
      <c r="BO155" s="1">
        <v>3252</v>
      </c>
      <c r="BP155" s="1">
        <v>3241</v>
      </c>
    </row>
    <row r="156" spans="1:68" ht="15.9" customHeight="1">
      <c r="A156" s="68" t="s">
        <v>306</v>
      </c>
      <c r="B156" s="44" t="s">
        <v>307</v>
      </c>
      <c r="C156" s="48" t="str">
        <f>_xll.RssMarket("4088","安値")</f>
        <v/>
      </c>
      <c r="D156" s="16" t="e">
        <f t="shared" si="5"/>
        <v>#VALUE!</v>
      </c>
      <c r="E156" s="33">
        <v>2496</v>
      </c>
      <c r="F156" s="33">
        <v>2542</v>
      </c>
      <c r="G156" s="33">
        <v>2512</v>
      </c>
      <c r="H156" s="33">
        <v>2501</v>
      </c>
      <c r="I156" s="33">
        <v>2543</v>
      </c>
      <c r="J156" s="33">
        <v>2600</v>
      </c>
      <c r="K156" s="33">
        <v>2654</v>
      </c>
      <c r="L156" s="33">
        <v>2715</v>
      </c>
      <c r="M156" s="33">
        <v>2751</v>
      </c>
      <c r="N156" s="33">
        <v>2687</v>
      </c>
      <c r="O156" s="33">
        <v>2737</v>
      </c>
      <c r="P156" s="33">
        <v>2736</v>
      </c>
      <c r="Q156" s="33">
        <v>2759</v>
      </c>
      <c r="R156" s="33">
        <v>2732</v>
      </c>
      <c r="S156" s="33">
        <v>2745</v>
      </c>
      <c r="T156" s="33">
        <v>2740</v>
      </c>
      <c r="U156" s="33">
        <v>2622</v>
      </c>
      <c r="V156" s="33">
        <v>2596</v>
      </c>
      <c r="W156" s="33">
        <v>2451</v>
      </c>
      <c r="X156" s="33">
        <v>2458</v>
      </c>
      <c r="Y156" s="33">
        <v>2445</v>
      </c>
      <c r="Z156" s="33">
        <v>2478</v>
      </c>
      <c r="AA156" s="33">
        <v>2517</v>
      </c>
      <c r="AB156" s="33">
        <v>2441</v>
      </c>
      <c r="AC156" s="33">
        <v>2386</v>
      </c>
      <c r="AD156" s="33">
        <v>2393</v>
      </c>
      <c r="AE156" s="33">
        <v>2436</v>
      </c>
      <c r="AF156" s="33">
        <v>2416</v>
      </c>
      <c r="AG156" s="33">
        <v>2420</v>
      </c>
      <c r="AH156" s="33">
        <v>2460</v>
      </c>
      <c r="AI156" s="33">
        <v>2447</v>
      </c>
      <c r="AJ156" s="33">
        <v>2430</v>
      </c>
      <c r="AK156" s="33">
        <v>2562</v>
      </c>
      <c r="AL156" s="33">
        <v>2551</v>
      </c>
      <c r="AM156" s="33">
        <v>2554</v>
      </c>
      <c r="AN156" s="33">
        <v>2513</v>
      </c>
      <c r="AO156" s="33">
        <v>2556</v>
      </c>
      <c r="AP156" s="33">
        <v>2481</v>
      </c>
      <c r="AQ156" s="33">
        <v>2456</v>
      </c>
      <c r="AR156" s="33">
        <v>2402</v>
      </c>
      <c r="AS156" s="33">
        <v>2270</v>
      </c>
      <c r="AT156" s="33">
        <v>2166</v>
      </c>
      <c r="AU156" s="33">
        <v>2100</v>
      </c>
      <c r="AV156" s="33">
        <v>2044</v>
      </c>
      <c r="AW156" s="33">
        <v>1966</v>
      </c>
      <c r="AX156" s="33">
        <v>1903</v>
      </c>
      <c r="AY156" s="33">
        <v>1894</v>
      </c>
      <c r="AZ156" s="33">
        <v>1856.5</v>
      </c>
      <c r="BA156" s="33">
        <v>1718.5</v>
      </c>
      <c r="BB156" s="33">
        <v>2207.5</v>
      </c>
      <c r="BC156" s="33">
        <v>2231.5</v>
      </c>
      <c r="BD156" s="33">
        <v>2210.5</v>
      </c>
      <c r="BE156" s="33">
        <v>2211.5</v>
      </c>
      <c r="BF156" s="33">
        <v>2176</v>
      </c>
      <c r="BG156" s="33">
        <v>2215.5</v>
      </c>
      <c r="BH156" s="33">
        <v>2254</v>
      </c>
      <c r="BI156" s="33">
        <v>2248.5</v>
      </c>
      <c r="BJ156" s="33">
        <v>2253</v>
      </c>
      <c r="BK156" s="33">
        <v>2289</v>
      </c>
      <c r="BL156" s="33">
        <v>2276</v>
      </c>
      <c r="BM156" s="1">
        <v>2243</v>
      </c>
      <c r="BN156" s="1">
        <v>2219</v>
      </c>
      <c r="BO156" s="1">
        <v>2220</v>
      </c>
      <c r="BP156" s="1">
        <v>2255</v>
      </c>
    </row>
    <row r="157" spans="1:68" ht="15.9" customHeight="1">
      <c r="A157" s="68" t="s">
        <v>308</v>
      </c>
      <c r="B157" s="44" t="s">
        <v>309</v>
      </c>
      <c r="C157" s="48" t="str">
        <f>_xll.RssMarket("4091","安値")</f>
        <v/>
      </c>
      <c r="D157" s="16" t="e">
        <f t="shared" si="5"/>
        <v>#VALUE!</v>
      </c>
      <c r="E157" s="33">
        <v>5946</v>
      </c>
      <c r="F157" s="33">
        <v>6070</v>
      </c>
      <c r="G157" s="33">
        <v>5970</v>
      </c>
      <c r="H157" s="33">
        <v>6063</v>
      </c>
      <c r="I157" s="33">
        <v>6075</v>
      </c>
      <c r="J157" s="33">
        <v>6145</v>
      </c>
      <c r="K157" s="33">
        <v>6141</v>
      </c>
      <c r="L157" s="33">
        <v>6255</v>
      </c>
      <c r="M157" s="33">
        <v>6126</v>
      </c>
      <c r="N157" s="33">
        <v>6070</v>
      </c>
      <c r="O157" s="33">
        <v>5878</v>
      </c>
      <c r="P157" s="33">
        <v>5850</v>
      </c>
      <c r="Q157" s="33">
        <v>5863</v>
      </c>
      <c r="R157" s="33">
        <v>5838</v>
      </c>
      <c r="S157" s="33">
        <v>5616</v>
      </c>
      <c r="T157" s="33">
        <v>5531</v>
      </c>
      <c r="U157" s="33">
        <v>5495</v>
      </c>
      <c r="V157" s="33">
        <v>5468</v>
      </c>
      <c r="W157" s="33">
        <v>5501</v>
      </c>
      <c r="X157" s="33">
        <v>5533</v>
      </c>
      <c r="Y157" s="33">
        <v>5480</v>
      </c>
      <c r="Z157" s="33">
        <v>5522</v>
      </c>
      <c r="AA157" s="33">
        <v>5462</v>
      </c>
      <c r="AB157" s="33">
        <v>5293</v>
      </c>
      <c r="AC157" s="33">
        <v>5164</v>
      </c>
      <c r="AD157" s="33">
        <v>5248</v>
      </c>
      <c r="AE157" s="33">
        <v>5334</v>
      </c>
      <c r="AF157" s="33">
        <v>5550</v>
      </c>
      <c r="AG157" s="33">
        <v>5581</v>
      </c>
      <c r="AH157" s="33">
        <v>5657</v>
      </c>
      <c r="AI157" s="33">
        <v>5693</v>
      </c>
      <c r="AJ157" s="33">
        <v>6150</v>
      </c>
      <c r="AK157" s="33">
        <v>6203</v>
      </c>
      <c r="AL157" s="33">
        <v>6319</v>
      </c>
      <c r="AM157" s="33">
        <v>6227</v>
      </c>
      <c r="AN157" s="33">
        <v>6100</v>
      </c>
      <c r="AO157" s="33">
        <v>5820</v>
      </c>
      <c r="AP157" s="33">
        <v>5799</v>
      </c>
      <c r="AQ157" s="33">
        <v>5879</v>
      </c>
      <c r="AR157" s="33">
        <v>5927</v>
      </c>
      <c r="AS157" s="33">
        <v>6077</v>
      </c>
      <c r="AT157" s="33">
        <v>5966</v>
      </c>
      <c r="AU157" s="33">
        <v>5709</v>
      </c>
      <c r="AV157" s="33">
        <v>5650</v>
      </c>
      <c r="AW157" s="33">
        <v>5680</v>
      </c>
      <c r="AX157" s="33">
        <v>5538</v>
      </c>
      <c r="AY157" s="33">
        <v>5468</v>
      </c>
      <c r="AZ157" s="33">
        <v>5485</v>
      </c>
      <c r="BA157" s="33">
        <v>5492</v>
      </c>
      <c r="BB157" s="33">
        <v>5615</v>
      </c>
      <c r="BC157" s="33">
        <v>5569</v>
      </c>
      <c r="BD157" s="33">
        <v>5597</v>
      </c>
      <c r="BE157" s="33">
        <v>5600</v>
      </c>
      <c r="BF157" s="33">
        <v>5637</v>
      </c>
      <c r="BG157" s="33">
        <v>5772</v>
      </c>
      <c r="BH157" s="33">
        <v>5731</v>
      </c>
      <c r="BI157" s="33">
        <v>5886</v>
      </c>
      <c r="BJ157" s="33">
        <v>5845</v>
      </c>
      <c r="BK157" s="33">
        <v>5759</v>
      </c>
      <c r="BL157" s="33">
        <v>5898</v>
      </c>
      <c r="BM157" s="1">
        <v>5783</v>
      </c>
      <c r="BN157" s="1">
        <v>5846</v>
      </c>
      <c r="BO157" s="1">
        <v>5795</v>
      </c>
    </row>
    <row r="158" spans="1:68" ht="15.9" customHeight="1">
      <c r="A158" s="68" t="s">
        <v>310</v>
      </c>
      <c r="B158" s="44" t="s">
        <v>311</v>
      </c>
      <c r="C158" s="48" t="str">
        <f>_xll.RssMarket("6857","安値")</f>
        <v/>
      </c>
      <c r="D158" s="16" t="e">
        <f t="shared" si="5"/>
        <v>#VALUE!</v>
      </c>
      <c r="E158" s="33">
        <v>26000</v>
      </c>
      <c r="F158" s="33">
        <v>29730</v>
      </c>
      <c r="G158" s="33">
        <v>28230</v>
      </c>
      <c r="H158" s="33">
        <v>28415</v>
      </c>
      <c r="I158" s="33">
        <v>29640</v>
      </c>
      <c r="J158" s="33">
        <v>28785</v>
      </c>
      <c r="K158" s="33">
        <v>27545</v>
      </c>
      <c r="L158" s="33">
        <v>28625</v>
      </c>
      <c r="M158" s="33">
        <v>28735</v>
      </c>
      <c r="N158" s="33">
        <v>27665</v>
      </c>
      <c r="O158" s="33">
        <v>28815</v>
      </c>
      <c r="P158" s="33">
        <v>32000</v>
      </c>
      <c r="Q158" s="33">
        <v>31510</v>
      </c>
      <c r="R158" s="33">
        <v>30450</v>
      </c>
      <c r="S158" s="33">
        <v>31720</v>
      </c>
      <c r="T158" s="33">
        <v>32820</v>
      </c>
      <c r="U158" s="33">
        <v>30420</v>
      </c>
      <c r="V158" s="33">
        <v>31430</v>
      </c>
      <c r="W158" s="33">
        <v>31120</v>
      </c>
      <c r="X158" s="33">
        <v>31070</v>
      </c>
      <c r="Y158" s="33">
        <v>29720</v>
      </c>
      <c r="Z158" s="33">
        <v>29585</v>
      </c>
      <c r="AA158" s="33">
        <v>29510</v>
      </c>
      <c r="AB158" s="33">
        <v>28450</v>
      </c>
      <c r="AC158" s="33">
        <v>26940</v>
      </c>
      <c r="AD158" s="33">
        <v>24150</v>
      </c>
      <c r="AE158" s="33">
        <v>24910</v>
      </c>
      <c r="AF158" s="33">
        <v>24860</v>
      </c>
      <c r="AG158" s="33">
        <v>26415</v>
      </c>
      <c r="AH158" s="33">
        <v>27160</v>
      </c>
      <c r="AI158" s="33">
        <v>26620</v>
      </c>
      <c r="AJ158" s="33">
        <v>25275</v>
      </c>
      <c r="AK158" s="33">
        <v>25670</v>
      </c>
      <c r="AL158" s="33">
        <v>25915</v>
      </c>
      <c r="AM158" s="33">
        <v>27015</v>
      </c>
      <c r="AN158" s="33">
        <v>27150</v>
      </c>
      <c r="AO158" s="33">
        <v>26460</v>
      </c>
      <c r="AP158" s="33">
        <v>25995</v>
      </c>
      <c r="AQ158" s="33">
        <v>25020</v>
      </c>
      <c r="AR158" s="33">
        <v>24860</v>
      </c>
      <c r="AS158" s="33">
        <v>25475</v>
      </c>
      <c r="AT158" s="33">
        <v>26140</v>
      </c>
      <c r="AU158" s="33">
        <v>28360</v>
      </c>
      <c r="AV158" s="33">
        <v>27665</v>
      </c>
      <c r="AW158" s="33">
        <v>28335</v>
      </c>
      <c r="AX158" s="33">
        <v>28780</v>
      </c>
      <c r="AY158" s="33">
        <v>29310</v>
      </c>
      <c r="AZ158" s="33">
        <v>29715</v>
      </c>
      <c r="BA158" s="33">
        <v>27800</v>
      </c>
      <c r="BB158" s="33">
        <v>28190</v>
      </c>
      <c r="BC158" s="33">
        <v>29335</v>
      </c>
      <c r="BD158" s="33">
        <v>29390</v>
      </c>
      <c r="BE158" s="33">
        <v>27920</v>
      </c>
      <c r="BF158" s="33">
        <v>27615</v>
      </c>
      <c r="BG158" s="33">
        <v>27050</v>
      </c>
      <c r="BH158" s="33">
        <v>27120</v>
      </c>
      <c r="BI158" s="33">
        <v>27100</v>
      </c>
      <c r="BJ158" s="33">
        <v>27870</v>
      </c>
      <c r="BK158" s="33">
        <v>27710</v>
      </c>
      <c r="BL158" s="33">
        <v>27440</v>
      </c>
      <c r="BM158" s="1">
        <v>25860</v>
      </c>
      <c r="BN158" s="1">
        <v>24545</v>
      </c>
      <c r="BO158" s="1">
        <v>24990</v>
      </c>
      <c r="BP158" s="1">
        <v>24540</v>
      </c>
    </row>
    <row r="159" spans="1:68" ht="15.9" customHeight="1">
      <c r="A159" s="68" t="s">
        <v>312</v>
      </c>
      <c r="B159" s="44" t="s">
        <v>313</v>
      </c>
      <c r="C159" s="48" t="str">
        <f>_xll.RssMarket("3891","安値")</f>
        <v/>
      </c>
      <c r="D159" s="16" t="e">
        <f t="shared" si="5"/>
        <v>#VALUE!</v>
      </c>
      <c r="E159" s="33">
        <v>6600</v>
      </c>
      <c r="F159" s="33">
        <v>7570</v>
      </c>
      <c r="G159" s="33">
        <v>7190</v>
      </c>
      <c r="H159" s="33">
        <v>7450</v>
      </c>
      <c r="I159" s="33">
        <v>7990</v>
      </c>
      <c r="J159" s="33">
        <v>7550</v>
      </c>
      <c r="K159" s="33">
        <v>7690</v>
      </c>
      <c r="L159" s="33">
        <v>8070</v>
      </c>
      <c r="M159" s="33">
        <v>8520</v>
      </c>
      <c r="N159" s="33">
        <v>9320</v>
      </c>
      <c r="O159" s="33">
        <v>10060</v>
      </c>
      <c r="P159" s="33">
        <v>9670</v>
      </c>
      <c r="Q159" s="33">
        <v>9480</v>
      </c>
      <c r="R159" s="33">
        <v>9820</v>
      </c>
      <c r="S159" s="33">
        <v>9680</v>
      </c>
      <c r="T159" s="33">
        <v>9400</v>
      </c>
      <c r="U159" s="33">
        <v>9520</v>
      </c>
      <c r="V159" s="33">
        <v>10080</v>
      </c>
      <c r="W159" s="33">
        <v>10220</v>
      </c>
      <c r="X159" s="33">
        <v>9720</v>
      </c>
      <c r="Y159" s="33">
        <v>8780</v>
      </c>
      <c r="Z159" s="33">
        <v>8300</v>
      </c>
      <c r="AA159" s="33">
        <v>8580</v>
      </c>
      <c r="AB159" s="33">
        <v>8370</v>
      </c>
      <c r="AC159" s="33">
        <v>8090</v>
      </c>
      <c r="AD159" s="33">
        <v>8980</v>
      </c>
      <c r="AE159" s="33">
        <v>8100</v>
      </c>
      <c r="AF159" s="33">
        <v>8140</v>
      </c>
      <c r="AG159" s="33">
        <v>8030</v>
      </c>
      <c r="AH159" s="33">
        <v>8020</v>
      </c>
      <c r="AI159" s="33">
        <v>7690</v>
      </c>
      <c r="AJ159" s="33">
        <v>7170</v>
      </c>
      <c r="AK159" s="33">
        <v>6660</v>
      </c>
      <c r="AL159" s="33">
        <v>6870</v>
      </c>
      <c r="AM159" s="33">
        <v>7420</v>
      </c>
      <c r="AN159" s="33">
        <v>6980</v>
      </c>
      <c r="AO159" s="33">
        <v>6680</v>
      </c>
      <c r="AP159" s="33">
        <v>6070</v>
      </c>
      <c r="AQ159" s="33">
        <v>6410</v>
      </c>
      <c r="AR159" s="33">
        <v>6110</v>
      </c>
      <c r="AS159" s="33">
        <v>5960</v>
      </c>
      <c r="AT159" s="33">
        <v>6190</v>
      </c>
      <c r="AU159" s="33">
        <v>6300</v>
      </c>
      <c r="AV159" s="33">
        <v>6260</v>
      </c>
      <c r="AW159" s="33">
        <v>6420</v>
      </c>
      <c r="AX159" s="33">
        <v>6270</v>
      </c>
      <c r="AY159" s="33">
        <v>6180</v>
      </c>
      <c r="AZ159" s="33">
        <v>6050</v>
      </c>
      <c r="BA159" s="33">
        <v>6210</v>
      </c>
      <c r="BB159" s="33">
        <v>6080</v>
      </c>
      <c r="BC159" s="33">
        <v>5860</v>
      </c>
      <c r="BD159" s="33">
        <v>4350</v>
      </c>
      <c r="BE159" s="33">
        <v>4290</v>
      </c>
      <c r="BF159" s="33">
        <v>4425</v>
      </c>
      <c r="BG159" s="33">
        <v>4405</v>
      </c>
      <c r="BH159" s="33">
        <v>4280</v>
      </c>
      <c r="BI159" s="33">
        <v>4275</v>
      </c>
      <c r="BJ159" s="33">
        <v>4450</v>
      </c>
      <c r="BK159" s="33">
        <v>4415</v>
      </c>
      <c r="BL159" s="33">
        <v>4230</v>
      </c>
      <c r="BM159" s="1">
        <v>4045</v>
      </c>
      <c r="BN159" s="1">
        <v>4025</v>
      </c>
      <c r="BO159" s="1">
        <v>4010</v>
      </c>
      <c r="BP159" s="1">
        <v>3935</v>
      </c>
    </row>
    <row r="160" spans="1:68" ht="15.9" customHeight="1">
      <c r="A160" s="68" t="s">
        <v>314</v>
      </c>
      <c r="B160" s="44" t="s">
        <v>315</v>
      </c>
      <c r="C160" s="48" t="str">
        <f>_xll.RssMarket("4373","安値")</f>
        <v/>
      </c>
      <c r="D160" s="16" t="e">
        <f t="shared" si="5"/>
        <v>#VALUE!</v>
      </c>
      <c r="E160" s="33">
        <v>1045</v>
      </c>
      <c r="F160" s="33">
        <v>1005</v>
      </c>
      <c r="G160" s="33">
        <v>1041</v>
      </c>
      <c r="H160" s="33">
        <v>1030</v>
      </c>
      <c r="I160" s="33">
        <v>1046</v>
      </c>
      <c r="J160" s="33">
        <v>1036</v>
      </c>
      <c r="K160" s="33">
        <v>1035</v>
      </c>
      <c r="L160" s="33">
        <v>1036</v>
      </c>
      <c r="M160" s="33">
        <v>1012</v>
      </c>
      <c r="N160" s="33">
        <v>998</v>
      </c>
      <c r="O160" s="33">
        <v>968</v>
      </c>
      <c r="P160" s="33">
        <v>930</v>
      </c>
      <c r="Q160" s="33">
        <v>937</v>
      </c>
      <c r="R160" s="33">
        <v>926</v>
      </c>
      <c r="S160" s="33">
        <v>896</v>
      </c>
      <c r="T160" s="33">
        <v>914</v>
      </c>
      <c r="U160" s="33">
        <v>895</v>
      </c>
      <c r="V160" s="33">
        <v>908</v>
      </c>
      <c r="W160" s="33">
        <v>928</v>
      </c>
      <c r="X160" s="33">
        <v>909</v>
      </c>
      <c r="Y160" s="33">
        <v>934</v>
      </c>
      <c r="Z160" s="33">
        <v>950</v>
      </c>
      <c r="AA160" s="33">
        <v>934</v>
      </c>
      <c r="AB160" s="33">
        <v>960</v>
      </c>
      <c r="AC160" s="33">
        <v>975</v>
      </c>
      <c r="AD160" s="33">
        <v>1013</v>
      </c>
      <c r="AE160" s="33">
        <v>1029</v>
      </c>
      <c r="AF160" s="33">
        <v>1063</v>
      </c>
      <c r="AG160" s="33">
        <v>1075</v>
      </c>
      <c r="AH160" s="33">
        <v>1077</v>
      </c>
      <c r="AI160" s="33">
        <v>1108</v>
      </c>
      <c r="AJ160" s="33">
        <v>1039</v>
      </c>
      <c r="AK160" s="33">
        <v>1020</v>
      </c>
      <c r="AL160" s="33">
        <v>996</v>
      </c>
      <c r="AM160" s="33">
        <v>1007</v>
      </c>
      <c r="AN160" s="33">
        <v>1013</v>
      </c>
      <c r="AO160" s="33">
        <v>1000</v>
      </c>
      <c r="AP160" s="33">
        <v>985</v>
      </c>
      <c r="AQ160" s="33">
        <v>1008</v>
      </c>
      <c r="AR160" s="33">
        <v>941</v>
      </c>
      <c r="AS160" s="33">
        <v>932</v>
      </c>
      <c r="AT160" s="33">
        <v>931</v>
      </c>
      <c r="AU160" s="33">
        <v>947</v>
      </c>
      <c r="AV160" s="33">
        <v>942</v>
      </c>
      <c r="AW160" s="33">
        <v>925</v>
      </c>
      <c r="AX160" s="33">
        <v>915</v>
      </c>
      <c r="AY160" s="33">
        <v>889</v>
      </c>
      <c r="AZ160" s="33">
        <v>867</v>
      </c>
      <c r="BA160" s="33">
        <v>868</v>
      </c>
      <c r="BB160" s="33">
        <v>870</v>
      </c>
      <c r="BC160" s="33">
        <v>876</v>
      </c>
      <c r="BD160" s="33">
        <v>905</v>
      </c>
      <c r="BE160" s="33">
        <v>923</v>
      </c>
      <c r="BF160" s="33">
        <v>944</v>
      </c>
      <c r="BG160" s="33">
        <v>927</v>
      </c>
      <c r="BH160" s="33">
        <v>939</v>
      </c>
      <c r="BI160" s="33">
        <v>899</v>
      </c>
      <c r="BJ160" s="33">
        <v>899</v>
      </c>
      <c r="BK160" s="33">
        <v>862</v>
      </c>
      <c r="BL160" s="33">
        <v>836</v>
      </c>
      <c r="BM160" s="1">
        <v>802</v>
      </c>
      <c r="BN160" s="1">
        <v>809</v>
      </c>
      <c r="BO160" s="1">
        <v>836</v>
      </c>
      <c r="BP160" s="1">
        <v>842</v>
      </c>
    </row>
    <row r="161" spans="1:68" ht="15.9" customHeight="1">
      <c r="A161" s="68" t="s">
        <v>316</v>
      </c>
      <c r="B161" s="44" t="s">
        <v>317</v>
      </c>
      <c r="C161" s="48" t="str">
        <f>_xll.RssMarket("8892","安値")</f>
        <v/>
      </c>
      <c r="D161" s="16" t="e">
        <f t="shared" si="5"/>
        <v>#VALUE!</v>
      </c>
      <c r="E161" s="33">
        <v>1098</v>
      </c>
      <c r="F161" s="33">
        <v>1115</v>
      </c>
      <c r="G161" s="33">
        <v>1117</v>
      </c>
      <c r="H161" s="33">
        <v>1111</v>
      </c>
      <c r="I161" s="33">
        <v>1113</v>
      </c>
      <c r="J161" s="33">
        <v>1100</v>
      </c>
      <c r="K161" s="33">
        <v>1098</v>
      </c>
      <c r="L161" s="33">
        <v>1095</v>
      </c>
      <c r="M161" s="33">
        <v>1096</v>
      </c>
      <c r="N161" s="33">
        <v>1090</v>
      </c>
      <c r="O161" s="33">
        <v>1077</v>
      </c>
      <c r="P161" s="33">
        <v>1072</v>
      </c>
      <c r="Q161" s="33">
        <v>1077</v>
      </c>
      <c r="R161" s="33">
        <v>1064</v>
      </c>
      <c r="S161" s="33">
        <v>1056</v>
      </c>
      <c r="T161" s="33">
        <v>1055</v>
      </c>
      <c r="U161" s="33">
        <v>1050</v>
      </c>
      <c r="V161" s="33">
        <v>1055</v>
      </c>
      <c r="W161" s="33">
        <v>1056</v>
      </c>
      <c r="X161" s="33">
        <v>1062</v>
      </c>
      <c r="Y161" s="33">
        <v>1070</v>
      </c>
      <c r="Z161" s="33">
        <v>1077</v>
      </c>
      <c r="AA161" s="33">
        <v>1093</v>
      </c>
      <c r="AB161" s="33">
        <v>1107</v>
      </c>
      <c r="AC161" s="33">
        <v>1090</v>
      </c>
      <c r="AD161" s="33">
        <v>1087</v>
      </c>
      <c r="AE161" s="33">
        <v>1092</v>
      </c>
      <c r="AF161" s="33">
        <v>1077</v>
      </c>
      <c r="AG161" s="33">
        <v>1069</v>
      </c>
      <c r="AH161" s="33">
        <v>1060</v>
      </c>
      <c r="AI161" s="33">
        <v>1066</v>
      </c>
      <c r="AJ161" s="33">
        <v>1058</v>
      </c>
      <c r="AK161" s="33">
        <v>1087</v>
      </c>
      <c r="AL161" s="33">
        <v>1096</v>
      </c>
      <c r="AM161" s="33">
        <v>1094</v>
      </c>
      <c r="AN161" s="33">
        <v>1100</v>
      </c>
      <c r="AO161" s="33">
        <v>1107</v>
      </c>
      <c r="AP161" s="33">
        <v>1129</v>
      </c>
      <c r="AQ161" s="33">
        <v>1104</v>
      </c>
      <c r="AR161" s="33">
        <v>1130</v>
      </c>
      <c r="AS161" s="33">
        <v>1107</v>
      </c>
      <c r="AT161" s="33">
        <v>1124</v>
      </c>
      <c r="AU161" s="33">
        <v>1146</v>
      </c>
      <c r="AV161" s="33">
        <v>1155</v>
      </c>
      <c r="AW161" s="33">
        <v>1166</v>
      </c>
      <c r="AX161" s="33">
        <v>1160</v>
      </c>
      <c r="AY161" s="33">
        <v>1152</v>
      </c>
      <c r="AZ161" s="33">
        <v>1150</v>
      </c>
      <c r="BA161" s="33">
        <v>1156</v>
      </c>
      <c r="BB161" s="33">
        <v>1163</v>
      </c>
      <c r="BC161" s="33">
        <v>1179</v>
      </c>
      <c r="BD161" s="33">
        <v>1140</v>
      </c>
      <c r="BE161" s="33">
        <v>1126</v>
      </c>
      <c r="BF161" s="33">
        <v>1121</v>
      </c>
      <c r="BG161" s="33">
        <v>1123</v>
      </c>
      <c r="BH161" s="33">
        <v>1136</v>
      </c>
      <c r="BI161" s="33">
        <v>1135</v>
      </c>
      <c r="BJ161" s="33">
        <v>1128</v>
      </c>
      <c r="BK161" s="33">
        <v>1135</v>
      </c>
      <c r="BL161" s="33">
        <v>1138</v>
      </c>
      <c r="BM161" s="1">
        <v>1121</v>
      </c>
      <c r="BN161" s="1">
        <v>1121</v>
      </c>
      <c r="BO161" s="1">
        <v>1120</v>
      </c>
      <c r="BP161" s="1">
        <v>1118</v>
      </c>
    </row>
    <row r="162" spans="1:68" ht="15.9" customHeight="1">
      <c r="A162" s="68" t="s">
        <v>318</v>
      </c>
      <c r="B162" s="44" t="s">
        <v>319</v>
      </c>
      <c r="C162" s="48" t="str">
        <f>_xll.RssMarket("9687","安値")</f>
        <v/>
      </c>
      <c r="D162" s="16" t="e">
        <f t="shared" si="5"/>
        <v>#VALUE!</v>
      </c>
      <c r="E162" s="33">
        <v>4355</v>
      </c>
      <c r="F162" s="33">
        <v>4395</v>
      </c>
      <c r="G162" s="33">
        <v>4380</v>
      </c>
      <c r="H162" s="33">
        <v>4375</v>
      </c>
      <c r="I162" s="33">
        <v>4335</v>
      </c>
      <c r="J162" s="33">
        <v>4350</v>
      </c>
      <c r="K162" s="33">
        <v>4315</v>
      </c>
      <c r="L162" s="33">
        <v>4350</v>
      </c>
      <c r="M162" s="33">
        <v>4355</v>
      </c>
      <c r="N162" s="33">
        <v>4350</v>
      </c>
      <c r="O162" s="33">
        <v>4310</v>
      </c>
      <c r="P162" s="33">
        <v>4300</v>
      </c>
      <c r="Q162" s="33">
        <v>4310</v>
      </c>
      <c r="R162" s="33">
        <v>4370</v>
      </c>
      <c r="S162" s="33">
        <v>4355</v>
      </c>
      <c r="T162" s="33">
        <v>4335</v>
      </c>
      <c r="U162" s="33">
        <v>4330</v>
      </c>
      <c r="V162" s="33">
        <v>4245</v>
      </c>
      <c r="W162" s="33">
        <v>4315</v>
      </c>
      <c r="X162" s="33">
        <v>4325</v>
      </c>
      <c r="Y162" s="33">
        <v>4295</v>
      </c>
      <c r="Z162" s="33">
        <v>4290</v>
      </c>
      <c r="AA162" s="33">
        <v>4260</v>
      </c>
      <c r="AB162" s="33">
        <v>4300</v>
      </c>
      <c r="AC162" s="33">
        <v>4335</v>
      </c>
      <c r="AD162" s="33">
        <v>4325</v>
      </c>
      <c r="AE162" s="33">
        <v>4330</v>
      </c>
      <c r="AF162" s="33">
        <v>4350</v>
      </c>
      <c r="AG162" s="33">
        <v>4355</v>
      </c>
      <c r="AH162" s="33">
        <v>4350</v>
      </c>
      <c r="AI162" s="33">
        <v>4330</v>
      </c>
      <c r="AJ162" s="33">
        <v>4305</v>
      </c>
      <c r="AK162" s="33">
        <v>4290</v>
      </c>
      <c r="AL162" s="33">
        <v>4330</v>
      </c>
      <c r="AM162" s="33">
        <v>4335</v>
      </c>
      <c r="AN162" s="33">
        <v>4350</v>
      </c>
      <c r="AO162" s="33">
        <v>4390</v>
      </c>
      <c r="AP162" s="33">
        <v>4360</v>
      </c>
      <c r="AQ162" s="33">
        <v>4210</v>
      </c>
      <c r="AR162" s="33">
        <v>4350</v>
      </c>
      <c r="AS162" s="33">
        <v>4350</v>
      </c>
      <c r="AT162" s="33">
        <v>4335</v>
      </c>
      <c r="AU162" s="33">
        <v>4315</v>
      </c>
      <c r="AV162" s="33">
        <v>4350</v>
      </c>
      <c r="AW162" s="33">
        <v>4350</v>
      </c>
      <c r="AX162" s="33">
        <v>4350</v>
      </c>
      <c r="AY162" s="33">
        <v>4350</v>
      </c>
      <c r="AZ162" s="33">
        <v>4360</v>
      </c>
      <c r="BA162" s="33">
        <v>4315</v>
      </c>
      <c r="BB162" s="33">
        <v>4250</v>
      </c>
      <c r="BC162" s="33">
        <v>4320</v>
      </c>
      <c r="BD162" s="33">
        <v>4350</v>
      </c>
      <c r="BE162" s="33">
        <v>4375</v>
      </c>
      <c r="BF162" s="33">
        <v>4400</v>
      </c>
      <c r="BG162" s="33">
        <v>4390</v>
      </c>
      <c r="BH162" s="33">
        <v>4345</v>
      </c>
      <c r="BI162" s="33">
        <v>4355</v>
      </c>
      <c r="BJ162" s="33">
        <v>4380</v>
      </c>
      <c r="BK162" s="33">
        <v>4245</v>
      </c>
      <c r="BL162" s="33">
        <v>4250</v>
      </c>
      <c r="BM162" s="1">
        <v>4285</v>
      </c>
      <c r="BN162" s="1">
        <v>4175</v>
      </c>
      <c r="BO162" s="1">
        <v>4405</v>
      </c>
    </row>
    <row r="163" spans="1:68" ht="15.9" customHeight="1">
      <c r="A163" s="68" t="s">
        <v>320</v>
      </c>
      <c r="B163" s="44" t="s">
        <v>321</v>
      </c>
      <c r="C163" s="48" t="str">
        <f>_xll.RssMarket("1930","安値")</f>
        <v/>
      </c>
      <c r="D163" s="16" t="e">
        <f t="shared" si="5"/>
        <v>#VALUE!</v>
      </c>
      <c r="E163" s="33">
        <v>1529</v>
      </c>
      <c r="F163" s="33">
        <v>1588</v>
      </c>
      <c r="G163" s="33">
        <v>1569</v>
      </c>
      <c r="H163" s="33">
        <v>1580</v>
      </c>
      <c r="I163" s="33">
        <v>1627</v>
      </c>
      <c r="J163" s="33">
        <v>1606</v>
      </c>
      <c r="K163" s="33">
        <v>1613</v>
      </c>
      <c r="L163" s="33">
        <v>1637</v>
      </c>
      <c r="M163" s="33">
        <v>1659</v>
      </c>
      <c r="N163" s="33">
        <v>1643</v>
      </c>
      <c r="O163" s="33">
        <v>1654</v>
      </c>
      <c r="P163" s="33">
        <v>1663</v>
      </c>
      <c r="Q163" s="33">
        <v>1646</v>
      </c>
      <c r="R163" s="33">
        <v>1675</v>
      </c>
      <c r="S163" s="33">
        <v>1695</v>
      </c>
      <c r="T163" s="33">
        <v>1680</v>
      </c>
      <c r="U163" s="33">
        <v>1659</v>
      </c>
      <c r="V163" s="33">
        <v>1693</v>
      </c>
      <c r="W163" s="33">
        <v>1689</v>
      </c>
      <c r="X163" s="33">
        <v>1696</v>
      </c>
      <c r="Y163" s="33">
        <v>1700</v>
      </c>
      <c r="Z163" s="33">
        <v>1664</v>
      </c>
      <c r="AA163" s="33">
        <v>1651</v>
      </c>
      <c r="AB163" s="33">
        <v>1655</v>
      </c>
      <c r="AC163" s="33">
        <v>1585</v>
      </c>
      <c r="AD163" s="33">
        <v>1548</v>
      </c>
      <c r="AE163" s="33">
        <v>1577</v>
      </c>
      <c r="AF163" s="33">
        <v>1561</v>
      </c>
      <c r="AG163" s="33">
        <v>1567</v>
      </c>
      <c r="AH163" s="33">
        <v>1551</v>
      </c>
      <c r="AI163" s="33">
        <v>1560</v>
      </c>
      <c r="AJ163" s="33">
        <v>1538</v>
      </c>
      <c r="AK163" s="33">
        <v>1677</v>
      </c>
      <c r="AL163" s="33">
        <v>1654</v>
      </c>
      <c r="AM163" s="33">
        <v>1681</v>
      </c>
      <c r="AN163" s="33">
        <v>1644</v>
      </c>
      <c r="AO163" s="33">
        <v>1582</v>
      </c>
      <c r="AP163" s="33">
        <v>1590</v>
      </c>
      <c r="AQ163" s="33">
        <v>1565</v>
      </c>
      <c r="AR163" s="33">
        <v>1600</v>
      </c>
      <c r="AS163" s="33">
        <v>1585</v>
      </c>
      <c r="AT163" s="33">
        <v>1647</v>
      </c>
      <c r="AU163" s="33">
        <v>1683</v>
      </c>
      <c r="AV163" s="33">
        <v>1739</v>
      </c>
      <c r="AW163" s="33">
        <v>1721</v>
      </c>
      <c r="AX163" s="33">
        <v>1692</v>
      </c>
      <c r="AY163" s="33">
        <v>1635</v>
      </c>
      <c r="AZ163" s="33">
        <v>1665</v>
      </c>
      <c r="BA163" s="33">
        <v>1688</v>
      </c>
      <c r="BB163" s="33">
        <v>1616</v>
      </c>
      <c r="BC163" s="33">
        <v>1454</v>
      </c>
      <c r="BD163" s="33">
        <v>1438</v>
      </c>
      <c r="BE163" s="33">
        <v>1434</v>
      </c>
      <c r="BF163" s="33">
        <v>1423</v>
      </c>
      <c r="BG163" s="33">
        <v>1437</v>
      </c>
      <c r="BH163" s="33">
        <v>1468</v>
      </c>
      <c r="BI163" s="33">
        <v>1452</v>
      </c>
      <c r="BJ163" s="33">
        <v>1452</v>
      </c>
      <c r="BK163" s="33">
        <v>1451</v>
      </c>
      <c r="BL163" s="33">
        <v>1438</v>
      </c>
      <c r="BM163" s="1">
        <v>1439</v>
      </c>
      <c r="BN163" s="1">
        <v>1434</v>
      </c>
      <c r="BO163" s="1">
        <v>1468</v>
      </c>
      <c r="BP163" s="1">
        <v>1485</v>
      </c>
    </row>
    <row r="164" spans="1:68" ht="15.9" customHeight="1">
      <c r="A164" s="68" t="s">
        <v>322</v>
      </c>
      <c r="B164" s="44" t="s">
        <v>323</v>
      </c>
      <c r="C164" s="48" t="str">
        <f>_xll.RssMarket("8704","安値")</f>
        <v/>
      </c>
      <c r="D164" s="16" t="e">
        <f t="shared" si="5"/>
        <v>#VALUE!</v>
      </c>
      <c r="E164" s="33">
        <v>1225</v>
      </c>
      <c r="F164" s="33">
        <v>1274</v>
      </c>
      <c r="G164" s="33">
        <v>1227</v>
      </c>
      <c r="H164" s="33">
        <v>1231</v>
      </c>
      <c r="I164" s="33">
        <v>1225</v>
      </c>
      <c r="J164" s="33">
        <v>1206</v>
      </c>
      <c r="K164" s="33">
        <v>1213</v>
      </c>
      <c r="L164" s="33">
        <v>1241</v>
      </c>
      <c r="M164" s="33">
        <v>1217</v>
      </c>
      <c r="N164" s="33">
        <v>1215</v>
      </c>
      <c r="O164" s="33">
        <v>1210</v>
      </c>
      <c r="P164" s="33">
        <v>1182</v>
      </c>
      <c r="Q164" s="33">
        <v>1127</v>
      </c>
      <c r="R164" s="33">
        <v>1116</v>
      </c>
      <c r="S164" s="33">
        <v>1139</v>
      </c>
      <c r="T164" s="33">
        <v>1155</v>
      </c>
      <c r="U164" s="33">
        <v>1149</v>
      </c>
      <c r="V164" s="33">
        <v>1198</v>
      </c>
      <c r="W164" s="33">
        <v>1155</v>
      </c>
      <c r="X164" s="33">
        <v>1153</v>
      </c>
      <c r="Y164" s="33">
        <v>1168</v>
      </c>
      <c r="Z164" s="33">
        <v>1145</v>
      </c>
      <c r="AA164" s="33">
        <v>1137</v>
      </c>
      <c r="AB164" s="33">
        <v>1158</v>
      </c>
      <c r="AC164" s="33">
        <v>1113</v>
      </c>
      <c r="AD164" s="33">
        <v>1050</v>
      </c>
      <c r="AE164" s="33">
        <v>1091</v>
      </c>
      <c r="AF164" s="33">
        <v>1103</v>
      </c>
      <c r="AG164" s="33">
        <v>1111</v>
      </c>
      <c r="AH164" s="33">
        <v>1105</v>
      </c>
      <c r="AI164" s="33">
        <v>1174</v>
      </c>
      <c r="AJ164" s="33">
        <v>1158</v>
      </c>
      <c r="AK164" s="33">
        <v>1148</v>
      </c>
      <c r="AL164" s="33">
        <v>1121</v>
      </c>
      <c r="AM164" s="33">
        <v>1136</v>
      </c>
      <c r="AN164" s="33">
        <v>1129</v>
      </c>
      <c r="AO164" s="33">
        <v>1117</v>
      </c>
      <c r="AP164" s="33">
        <v>1120</v>
      </c>
      <c r="AQ164" s="33">
        <v>1087</v>
      </c>
      <c r="AR164" s="33">
        <v>1131</v>
      </c>
      <c r="AS164" s="33">
        <v>1135</v>
      </c>
      <c r="AT164" s="33">
        <v>1151</v>
      </c>
      <c r="AU164" s="33">
        <v>1169</v>
      </c>
      <c r="AV164" s="33">
        <v>1174</v>
      </c>
      <c r="AW164" s="33">
        <v>1208</v>
      </c>
      <c r="AX164" s="33">
        <v>1197</v>
      </c>
      <c r="AY164" s="33">
        <v>1155</v>
      </c>
      <c r="AZ164" s="33">
        <v>1130</v>
      </c>
      <c r="BA164" s="33">
        <v>1096</v>
      </c>
      <c r="BB164" s="33">
        <v>1038</v>
      </c>
      <c r="BC164" s="33">
        <v>1025</v>
      </c>
      <c r="BD164" s="33">
        <v>1013</v>
      </c>
      <c r="BE164" s="33">
        <v>1015</v>
      </c>
      <c r="BF164" s="33">
        <v>1024</v>
      </c>
      <c r="BG164" s="33">
        <v>1037</v>
      </c>
      <c r="BH164" s="33">
        <v>1055</v>
      </c>
      <c r="BI164" s="33">
        <v>1038</v>
      </c>
      <c r="BJ164" s="33">
        <v>1042</v>
      </c>
      <c r="BK164" s="33">
        <v>1045</v>
      </c>
      <c r="BL164" s="33">
        <v>1034</v>
      </c>
      <c r="BM164" s="1">
        <v>1028</v>
      </c>
      <c r="BN164" s="1">
        <v>1027</v>
      </c>
      <c r="BO164" s="1">
        <v>1042</v>
      </c>
      <c r="BP164" s="1">
        <v>1051</v>
      </c>
    </row>
    <row r="165" spans="1:68" ht="15.9" customHeight="1">
      <c r="A165" s="68" t="s">
        <v>324</v>
      </c>
      <c r="B165" s="44" t="s">
        <v>325</v>
      </c>
      <c r="C165" s="48" t="str">
        <f>_xll.RssMarket("4733","安値")</f>
        <v/>
      </c>
      <c r="D165" s="16" t="e">
        <f t="shared" si="5"/>
        <v>#VALUE!</v>
      </c>
      <c r="E165" s="33">
        <v>6563</v>
      </c>
      <c r="F165" s="33">
        <v>6411</v>
      </c>
      <c r="G165" s="33">
        <v>6598</v>
      </c>
      <c r="H165" s="33">
        <v>6516</v>
      </c>
      <c r="I165" s="33">
        <v>6485</v>
      </c>
      <c r="J165" s="33">
        <v>6418</v>
      </c>
      <c r="K165" s="33">
        <v>6505</v>
      </c>
      <c r="L165" s="33">
        <v>6506</v>
      </c>
      <c r="M165" s="33">
        <v>6429</v>
      </c>
      <c r="N165" s="33">
        <v>6425</v>
      </c>
      <c r="O165" s="33">
        <v>6230</v>
      </c>
      <c r="P165" s="33">
        <v>5975</v>
      </c>
      <c r="Q165" s="33">
        <v>6074</v>
      </c>
      <c r="R165" s="33">
        <v>5999</v>
      </c>
      <c r="S165" s="33">
        <v>5706</v>
      </c>
      <c r="T165" s="33">
        <v>5697</v>
      </c>
      <c r="U165" s="33">
        <v>5666</v>
      </c>
      <c r="V165" s="33">
        <v>5564</v>
      </c>
      <c r="W165" s="33">
        <v>5650</v>
      </c>
      <c r="X165" s="33">
        <v>5643</v>
      </c>
      <c r="Y165" s="33">
        <v>5842</v>
      </c>
      <c r="Z165" s="33">
        <v>5824</v>
      </c>
      <c r="AA165" s="33">
        <v>5796</v>
      </c>
      <c r="AB165" s="33">
        <v>5870</v>
      </c>
      <c r="AC165" s="33">
        <v>5785</v>
      </c>
      <c r="AD165" s="33">
        <v>5880</v>
      </c>
      <c r="AE165" s="33">
        <v>5874</v>
      </c>
      <c r="AF165" s="33">
        <v>5977</v>
      </c>
      <c r="AG165" s="33">
        <v>6006</v>
      </c>
      <c r="AH165" s="33">
        <v>5961</v>
      </c>
      <c r="AI165" s="33">
        <v>6130</v>
      </c>
      <c r="AJ165" s="33">
        <v>6369</v>
      </c>
      <c r="AK165" s="33">
        <v>6071</v>
      </c>
      <c r="AL165" s="33">
        <v>6040</v>
      </c>
      <c r="AM165" s="33">
        <v>5965</v>
      </c>
      <c r="AN165" s="33">
        <v>5897</v>
      </c>
      <c r="AO165" s="33">
        <v>6033</v>
      </c>
      <c r="AP165" s="33">
        <v>6038</v>
      </c>
      <c r="AQ165" s="33">
        <v>6086</v>
      </c>
      <c r="AR165" s="33">
        <v>6137</v>
      </c>
      <c r="AS165" s="33">
        <v>6059</v>
      </c>
      <c r="AT165" s="33">
        <v>5940</v>
      </c>
      <c r="AU165" s="33">
        <v>5943</v>
      </c>
      <c r="AV165" s="33">
        <v>6042</v>
      </c>
      <c r="AW165" s="33">
        <v>6016</v>
      </c>
      <c r="AX165" s="33">
        <v>6153</v>
      </c>
      <c r="AY165" s="33">
        <v>6191</v>
      </c>
      <c r="AZ165" s="33">
        <v>6055</v>
      </c>
      <c r="BA165" s="33">
        <v>6029</v>
      </c>
      <c r="BB165" s="33">
        <v>6121</v>
      </c>
      <c r="BC165" s="33">
        <v>6156</v>
      </c>
      <c r="BD165" s="33">
        <v>6144</v>
      </c>
      <c r="BE165" s="33">
        <v>6167</v>
      </c>
      <c r="BF165" s="33">
        <v>6231</v>
      </c>
      <c r="BG165" s="33">
        <v>6694</v>
      </c>
      <c r="BH165" s="33">
        <v>6293</v>
      </c>
      <c r="BI165" s="33">
        <v>6671</v>
      </c>
      <c r="BJ165" s="33">
        <v>6619</v>
      </c>
      <c r="BK165" s="33">
        <v>6598</v>
      </c>
      <c r="BL165" s="33">
        <v>6584</v>
      </c>
      <c r="BM165" s="1">
        <v>6510</v>
      </c>
      <c r="BN165" s="1">
        <v>6087</v>
      </c>
      <c r="BO165" s="1">
        <v>6121</v>
      </c>
      <c r="BP165" s="1">
        <v>6278</v>
      </c>
    </row>
    <row r="166" spans="1:68" ht="15.9" customHeight="1">
      <c r="A166" s="68" t="s">
        <v>326</v>
      </c>
      <c r="B166" s="44" t="s">
        <v>327</v>
      </c>
      <c r="C166" s="48" t="str">
        <f>_xll.RssMarket("9733","安値")</f>
        <v/>
      </c>
      <c r="D166" s="16" t="e">
        <f t="shared" si="5"/>
        <v>#VALUE!</v>
      </c>
      <c r="E166" s="33">
        <v>2326</v>
      </c>
      <c r="F166" s="33">
        <v>2337</v>
      </c>
      <c r="G166" s="33">
        <v>2349</v>
      </c>
      <c r="H166" s="33">
        <v>2361</v>
      </c>
      <c r="I166" s="33">
        <v>2356</v>
      </c>
      <c r="J166" s="33">
        <v>2362</v>
      </c>
      <c r="K166" s="33">
        <v>2386</v>
      </c>
      <c r="L166" s="33">
        <v>2389</v>
      </c>
      <c r="M166" s="33">
        <v>2354</v>
      </c>
      <c r="N166" s="33">
        <v>2328</v>
      </c>
      <c r="O166" s="33">
        <v>2310</v>
      </c>
      <c r="P166" s="33">
        <v>2291</v>
      </c>
      <c r="Q166" s="33">
        <v>2284</v>
      </c>
      <c r="R166" s="33">
        <v>2278</v>
      </c>
      <c r="S166" s="33">
        <v>2212</v>
      </c>
      <c r="T166" s="33">
        <v>2204</v>
      </c>
      <c r="U166" s="33">
        <v>2208</v>
      </c>
      <c r="V166" s="33">
        <v>2201</v>
      </c>
      <c r="W166" s="33">
        <v>2188</v>
      </c>
      <c r="X166" s="33">
        <v>2195</v>
      </c>
      <c r="Y166" s="33">
        <v>2201</v>
      </c>
      <c r="Z166" s="33">
        <v>2203</v>
      </c>
      <c r="AA166" s="33">
        <v>2222</v>
      </c>
      <c r="AB166" s="33">
        <v>2215</v>
      </c>
      <c r="AC166" s="33">
        <v>2196</v>
      </c>
      <c r="AD166" s="33">
        <v>2223</v>
      </c>
      <c r="AE166" s="33">
        <v>2169</v>
      </c>
      <c r="AF166" s="33">
        <v>2187</v>
      </c>
      <c r="AG166" s="33">
        <v>2180</v>
      </c>
      <c r="AH166" s="33">
        <v>2191</v>
      </c>
      <c r="AI166" s="33">
        <v>2200</v>
      </c>
      <c r="AJ166" s="33">
        <v>2266</v>
      </c>
      <c r="AK166" s="33">
        <v>2241</v>
      </c>
      <c r="AL166" s="33">
        <v>2225</v>
      </c>
      <c r="AM166" s="33">
        <v>2269</v>
      </c>
      <c r="AN166" s="33">
        <v>2279</v>
      </c>
      <c r="AO166" s="33">
        <v>2290</v>
      </c>
      <c r="AP166" s="33">
        <v>2275</v>
      </c>
      <c r="AQ166" s="33">
        <v>2267</v>
      </c>
      <c r="AR166" s="33">
        <v>2261</v>
      </c>
      <c r="AS166" s="33">
        <v>2264</v>
      </c>
      <c r="AT166" s="33">
        <v>2260</v>
      </c>
      <c r="AU166" s="33">
        <v>2263</v>
      </c>
      <c r="AV166" s="33">
        <v>2280</v>
      </c>
      <c r="AW166" s="33">
        <v>2263</v>
      </c>
      <c r="AX166" s="33">
        <v>2273</v>
      </c>
      <c r="AY166" s="33">
        <v>2275</v>
      </c>
      <c r="AZ166" s="33">
        <v>2300</v>
      </c>
      <c r="BA166" s="33">
        <v>2297</v>
      </c>
      <c r="BB166" s="33">
        <v>2286</v>
      </c>
      <c r="BC166" s="33">
        <v>2311</v>
      </c>
      <c r="BD166" s="33">
        <v>2339</v>
      </c>
      <c r="BE166" s="33">
        <v>2351</v>
      </c>
      <c r="BF166" s="33">
        <v>2358</v>
      </c>
      <c r="BG166" s="33">
        <v>2405</v>
      </c>
      <c r="BH166" s="33">
        <v>2447</v>
      </c>
      <c r="BI166" s="33">
        <v>2427</v>
      </c>
      <c r="BJ166" s="33">
        <v>2412</v>
      </c>
      <c r="BK166" s="33">
        <v>2481</v>
      </c>
      <c r="BL166" s="33">
        <v>2496</v>
      </c>
      <c r="BM166" s="1">
        <v>2493</v>
      </c>
      <c r="BN166" s="1">
        <v>2523</v>
      </c>
      <c r="BO166" s="1">
        <v>2525</v>
      </c>
      <c r="BP166" s="1">
        <v>2500</v>
      </c>
    </row>
    <row r="167" spans="1:68" ht="15.9" customHeight="1">
      <c r="A167" s="68" t="s">
        <v>328</v>
      </c>
      <c r="B167" s="44" t="s">
        <v>329</v>
      </c>
      <c r="C167" s="48" t="str">
        <f>_xll.RssMarket("9551","安値")</f>
        <v/>
      </c>
      <c r="D167" s="16" t="e">
        <f t="shared" si="5"/>
        <v>#VALUE!</v>
      </c>
      <c r="E167" s="33">
        <v>3040</v>
      </c>
      <c r="F167" s="33">
        <v>3175</v>
      </c>
      <c r="G167" s="33">
        <v>3160</v>
      </c>
      <c r="H167" s="33">
        <v>3180</v>
      </c>
      <c r="I167" s="33">
        <v>3220</v>
      </c>
      <c r="J167" s="33">
        <v>3210</v>
      </c>
      <c r="K167" s="33">
        <v>3175</v>
      </c>
      <c r="L167" s="33">
        <v>3265</v>
      </c>
      <c r="M167" s="33">
        <v>3310</v>
      </c>
      <c r="N167" s="33">
        <v>3260</v>
      </c>
      <c r="O167" s="33">
        <v>3285</v>
      </c>
      <c r="P167" s="33">
        <v>3320</v>
      </c>
      <c r="Q167" s="33">
        <v>3310</v>
      </c>
      <c r="R167" s="33">
        <v>3345</v>
      </c>
      <c r="S167" s="33">
        <v>3535</v>
      </c>
      <c r="T167" s="33">
        <v>3555</v>
      </c>
      <c r="U167" s="33">
        <v>3455</v>
      </c>
      <c r="V167" s="33">
        <v>3480</v>
      </c>
      <c r="W167" s="33">
        <v>3460</v>
      </c>
      <c r="X167" s="33">
        <v>3450</v>
      </c>
      <c r="Y167" s="33">
        <v>3435</v>
      </c>
      <c r="Z167" s="33">
        <v>3350</v>
      </c>
      <c r="AA167" s="33">
        <v>3320</v>
      </c>
      <c r="AB167" s="33">
        <v>3205</v>
      </c>
      <c r="AC167" s="33">
        <v>3130</v>
      </c>
      <c r="AD167" s="33">
        <v>3045</v>
      </c>
      <c r="AE167" s="33">
        <v>3125</v>
      </c>
      <c r="AF167" s="33">
        <v>3190</v>
      </c>
      <c r="AG167" s="33">
        <v>3280</v>
      </c>
      <c r="AH167" s="33">
        <v>3235</v>
      </c>
      <c r="AI167" s="33">
        <v>3265</v>
      </c>
      <c r="AJ167" s="33">
        <v>3205</v>
      </c>
      <c r="AK167" s="33">
        <v>3525</v>
      </c>
      <c r="AL167" s="33">
        <v>3200</v>
      </c>
      <c r="AM167" s="33">
        <v>3225</v>
      </c>
      <c r="AN167" s="33">
        <v>3265</v>
      </c>
      <c r="AO167" s="33">
        <v>3235</v>
      </c>
      <c r="AP167" s="33">
        <v>3255</v>
      </c>
      <c r="AQ167" s="33">
        <v>3195</v>
      </c>
      <c r="AR167" s="33">
        <v>3260</v>
      </c>
      <c r="AS167" s="33">
        <v>3335</v>
      </c>
      <c r="AT167" s="33">
        <v>3450</v>
      </c>
      <c r="AU167" s="33">
        <v>3410</v>
      </c>
      <c r="AV167" s="33">
        <v>3380</v>
      </c>
      <c r="AW167" s="33">
        <v>3345</v>
      </c>
      <c r="AX167" s="33">
        <v>3415</v>
      </c>
      <c r="AY167" s="33">
        <v>3370</v>
      </c>
      <c r="AZ167" s="33">
        <v>3400</v>
      </c>
      <c r="BA167" s="33">
        <v>3355</v>
      </c>
      <c r="BB167" s="33">
        <v>3325</v>
      </c>
      <c r="BC167" s="33">
        <v>3315</v>
      </c>
      <c r="BD167" s="33">
        <v>3255</v>
      </c>
      <c r="BE167" s="33">
        <v>3580</v>
      </c>
      <c r="BF167" s="33">
        <v>3545</v>
      </c>
      <c r="BG167" s="33">
        <v>3610</v>
      </c>
      <c r="BH167" s="33">
        <v>3640</v>
      </c>
      <c r="BI167" s="33">
        <v>3680</v>
      </c>
      <c r="BJ167" s="33">
        <v>3685</v>
      </c>
      <c r="BK167" s="33">
        <v>3665</v>
      </c>
      <c r="BL167" s="33">
        <v>3645</v>
      </c>
      <c r="BM167" s="1">
        <v>3670</v>
      </c>
      <c r="BN167" s="1">
        <v>3595</v>
      </c>
      <c r="BO167" s="1">
        <v>3655</v>
      </c>
      <c r="BP167" s="1">
        <v>3680</v>
      </c>
    </row>
    <row r="168" spans="1:68" ht="15.9" customHeight="1">
      <c r="A168" s="68" t="s">
        <v>330</v>
      </c>
      <c r="B168" s="44" t="s">
        <v>331</v>
      </c>
      <c r="C168" s="48" t="str">
        <f>_xll.RssMarket("2359","安値")</f>
        <v/>
      </c>
      <c r="D168" s="16" t="e">
        <f t="shared" si="5"/>
        <v>#VALUE!</v>
      </c>
      <c r="E168" s="33">
        <v>1966</v>
      </c>
      <c r="F168" s="33">
        <v>2000</v>
      </c>
      <c r="G168" s="33">
        <v>1995</v>
      </c>
      <c r="H168" s="33">
        <v>1984</v>
      </c>
      <c r="I168" s="33">
        <v>1955</v>
      </c>
      <c r="J168" s="33">
        <v>1948</v>
      </c>
      <c r="K168" s="33">
        <v>1951</v>
      </c>
      <c r="L168" s="33">
        <v>1955</v>
      </c>
      <c r="M168" s="33">
        <v>1949</v>
      </c>
      <c r="N168" s="33">
        <v>1937</v>
      </c>
      <c r="O168" s="33">
        <v>1940</v>
      </c>
      <c r="P168" s="33">
        <v>1924</v>
      </c>
      <c r="Q168" s="33">
        <v>1952</v>
      </c>
      <c r="R168" s="33">
        <v>1969</v>
      </c>
      <c r="S168" s="33">
        <v>1999</v>
      </c>
      <c r="T168" s="33">
        <v>2004</v>
      </c>
      <c r="U168" s="33">
        <v>2019</v>
      </c>
      <c r="V168" s="33">
        <v>2010</v>
      </c>
      <c r="W168" s="33">
        <v>2030</v>
      </c>
      <c r="X168" s="33">
        <v>2026</v>
      </c>
      <c r="Y168" s="33">
        <v>2020</v>
      </c>
      <c r="Z168" s="33">
        <v>2007</v>
      </c>
      <c r="AA168" s="33">
        <v>1979</v>
      </c>
      <c r="AB168" s="33">
        <v>2008</v>
      </c>
      <c r="AC168" s="33">
        <v>1991</v>
      </c>
      <c r="AD168" s="33">
        <v>2005</v>
      </c>
      <c r="AE168" s="33">
        <v>2017</v>
      </c>
      <c r="AF168" s="33">
        <v>2024</v>
      </c>
      <c r="AG168" s="33">
        <v>2059</v>
      </c>
      <c r="AH168" s="33">
        <v>2020</v>
      </c>
      <c r="AI168" s="33">
        <v>2016</v>
      </c>
      <c r="AJ168" s="33">
        <v>2015</v>
      </c>
      <c r="AK168" s="33">
        <v>2020</v>
      </c>
      <c r="AL168" s="33">
        <v>2014</v>
      </c>
      <c r="AM168" s="33">
        <v>2013</v>
      </c>
      <c r="AN168" s="33">
        <v>2075</v>
      </c>
      <c r="AO168" s="33">
        <v>2081</v>
      </c>
      <c r="AP168" s="33">
        <v>2102</v>
      </c>
      <c r="AQ168" s="33">
        <v>2075</v>
      </c>
      <c r="AR168" s="33">
        <v>2050</v>
      </c>
      <c r="AS168" s="33">
        <v>2035</v>
      </c>
      <c r="AT168" s="33">
        <v>2041</v>
      </c>
      <c r="AU168" s="33">
        <v>2042</v>
      </c>
      <c r="AV168" s="33">
        <v>2015</v>
      </c>
      <c r="AW168" s="33">
        <v>2009</v>
      </c>
      <c r="AX168" s="33">
        <v>1990</v>
      </c>
      <c r="AY168" s="33">
        <v>1993</v>
      </c>
      <c r="AZ168" s="33">
        <v>1983</v>
      </c>
      <c r="BA168" s="33">
        <v>2013</v>
      </c>
      <c r="BB168" s="33">
        <v>2010</v>
      </c>
      <c r="BC168" s="33">
        <v>2165</v>
      </c>
      <c r="BD168" s="33">
        <v>2144</v>
      </c>
      <c r="BE168" s="33">
        <v>2137</v>
      </c>
      <c r="BF168" s="33">
        <v>2137</v>
      </c>
      <c r="BG168" s="33">
        <v>2206</v>
      </c>
      <c r="BH168" s="33">
        <v>2235</v>
      </c>
      <c r="BI168" s="33">
        <v>2239</v>
      </c>
      <c r="BJ168" s="33">
        <v>2248</v>
      </c>
      <c r="BK168" s="33">
        <v>2232</v>
      </c>
      <c r="BL168" s="33">
        <v>2241</v>
      </c>
      <c r="BM168" s="1">
        <v>2215</v>
      </c>
      <c r="BN168" s="1">
        <v>2210</v>
      </c>
      <c r="BO168" s="1">
        <v>2236</v>
      </c>
      <c r="BP168" s="1">
        <v>2265</v>
      </c>
    </row>
    <row r="169" spans="1:68" ht="15.9" customHeight="1">
      <c r="A169" s="68" t="s">
        <v>332</v>
      </c>
      <c r="B169" s="44" t="s">
        <v>333</v>
      </c>
      <c r="C169" s="48" t="str">
        <f>_xll.RssMarket("8103","安値")</f>
        <v/>
      </c>
      <c r="D169" s="16" t="e">
        <f t="shared" si="5"/>
        <v>#VALUE!</v>
      </c>
      <c r="E169" s="33">
        <v>889</v>
      </c>
      <c r="F169" s="33">
        <v>905</v>
      </c>
      <c r="G169" s="33">
        <v>897</v>
      </c>
      <c r="H169" s="33">
        <v>898</v>
      </c>
      <c r="I169" s="33">
        <v>909</v>
      </c>
      <c r="J169" s="33">
        <v>905</v>
      </c>
      <c r="K169" s="33">
        <v>908</v>
      </c>
      <c r="L169" s="33">
        <v>910</v>
      </c>
      <c r="M169" s="33">
        <v>906</v>
      </c>
      <c r="N169" s="33">
        <v>890</v>
      </c>
      <c r="O169" s="33">
        <v>883</v>
      </c>
      <c r="P169" s="33">
        <v>876</v>
      </c>
      <c r="Q169" s="33">
        <v>868</v>
      </c>
      <c r="R169" s="33">
        <v>865</v>
      </c>
      <c r="S169" s="33">
        <v>855</v>
      </c>
      <c r="T169" s="33">
        <v>860</v>
      </c>
      <c r="U169" s="33">
        <v>853</v>
      </c>
      <c r="V169" s="33">
        <v>869</v>
      </c>
      <c r="W169" s="33">
        <v>867</v>
      </c>
      <c r="X169" s="33">
        <v>868</v>
      </c>
      <c r="Y169" s="33">
        <v>872</v>
      </c>
      <c r="Z169" s="33">
        <v>861</v>
      </c>
      <c r="AA169" s="33">
        <v>853</v>
      </c>
      <c r="AB169" s="33">
        <v>854</v>
      </c>
      <c r="AC169" s="33">
        <v>862</v>
      </c>
      <c r="AD169" s="33">
        <v>879</v>
      </c>
      <c r="AE169" s="33">
        <v>876</v>
      </c>
      <c r="AF169" s="33">
        <v>870</v>
      </c>
      <c r="AG169" s="33">
        <v>864</v>
      </c>
      <c r="AH169" s="33">
        <v>880</v>
      </c>
      <c r="AI169" s="33">
        <v>875</v>
      </c>
      <c r="AJ169" s="33">
        <v>880</v>
      </c>
      <c r="AK169" s="33">
        <v>903</v>
      </c>
      <c r="AL169" s="33">
        <v>891</v>
      </c>
      <c r="AM169" s="33">
        <v>884</v>
      </c>
      <c r="AN169" s="33">
        <v>876</v>
      </c>
      <c r="AO169" s="33">
        <v>903</v>
      </c>
      <c r="AP169" s="33">
        <v>887</v>
      </c>
      <c r="AQ169" s="33">
        <v>892</v>
      </c>
      <c r="AR169" s="33">
        <v>900</v>
      </c>
      <c r="AS169" s="33">
        <v>879</v>
      </c>
      <c r="AT169" s="33">
        <v>877</v>
      </c>
      <c r="AU169" s="33">
        <v>885</v>
      </c>
      <c r="AV169" s="33">
        <v>878</v>
      </c>
      <c r="AW169" s="33">
        <v>857</v>
      </c>
      <c r="AX169" s="33">
        <v>832</v>
      </c>
      <c r="AY169" s="33">
        <v>752</v>
      </c>
      <c r="AZ169" s="33">
        <v>764</v>
      </c>
      <c r="BA169" s="33">
        <v>760</v>
      </c>
      <c r="BB169" s="33">
        <v>762</v>
      </c>
      <c r="BC169" s="33">
        <v>758</v>
      </c>
      <c r="BD169" s="33">
        <v>764</v>
      </c>
      <c r="BE169" s="33">
        <v>773</v>
      </c>
      <c r="BF169" s="33">
        <v>778</v>
      </c>
      <c r="BG169" s="33">
        <v>778</v>
      </c>
      <c r="BH169" s="33">
        <v>773</v>
      </c>
      <c r="BI169" s="33">
        <v>773</v>
      </c>
      <c r="BJ169" s="33">
        <v>777</v>
      </c>
      <c r="BK169" s="33">
        <v>785</v>
      </c>
      <c r="BL169" s="33">
        <v>795</v>
      </c>
      <c r="BM169" s="1">
        <v>800</v>
      </c>
      <c r="BN169" s="1">
        <v>801</v>
      </c>
      <c r="BO169" s="1">
        <v>791</v>
      </c>
      <c r="BP169" s="1">
        <v>787</v>
      </c>
    </row>
    <row r="170" spans="1:68" ht="15.9" customHeight="1">
      <c r="A170" s="68" t="s">
        <v>334</v>
      </c>
      <c r="B170" s="44" t="s">
        <v>335</v>
      </c>
      <c r="C170" s="48" t="str">
        <f>_xll.RssMarket("4709","安値")</f>
        <v/>
      </c>
      <c r="D170" s="16" t="e">
        <f t="shared" si="5"/>
        <v>#VALUE!</v>
      </c>
      <c r="E170" s="33">
        <v>1110</v>
      </c>
      <c r="F170" s="33">
        <v>1114</v>
      </c>
      <c r="G170" s="33">
        <v>1105</v>
      </c>
      <c r="H170" s="33">
        <v>1099</v>
      </c>
      <c r="I170" s="33">
        <v>1095</v>
      </c>
      <c r="J170" s="33">
        <v>1089</v>
      </c>
      <c r="K170" s="33">
        <v>1081</v>
      </c>
      <c r="L170" s="33">
        <v>1078</v>
      </c>
      <c r="M170" s="33">
        <v>1064</v>
      </c>
      <c r="N170" s="33">
        <v>1062</v>
      </c>
      <c r="O170" s="33">
        <v>1057</v>
      </c>
      <c r="P170" s="33">
        <v>1051</v>
      </c>
      <c r="Q170" s="33">
        <v>1058</v>
      </c>
      <c r="R170" s="33">
        <v>1059</v>
      </c>
      <c r="S170" s="33">
        <v>1044</v>
      </c>
      <c r="T170" s="33">
        <v>1030</v>
      </c>
      <c r="U170" s="33">
        <v>1037</v>
      </c>
      <c r="V170" s="33">
        <v>1039</v>
      </c>
      <c r="W170" s="33">
        <v>1050</v>
      </c>
      <c r="X170" s="33">
        <v>1042</v>
      </c>
      <c r="Y170" s="33">
        <v>1064</v>
      </c>
      <c r="Z170" s="33">
        <v>1091</v>
      </c>
      <c r="AA170" s="33">
        <v>1068</v>
      </c>
      <c r="AB170" s="33">
        <v>1061</v>
      </c>
      <c r="AC170" s="33">
        <v>1035</v>
      </c>
      <c r="AD170" s="33">
        <v>1054</v>
      </c>
      <c r="AE170" s="33">
        <v>1042</v>
      </c>
      <c r="AF170" s="33">
        <v>995</v>
      </c>
      <c r="AG170" s="33">
        <v>998</v>
      </c>
      <c r="AH170" s="33">
        <v>981</v>
      </c>
      <c r="AI170" s="33">
        <v>990</v>
      </c>
      <c r="AJ170" s="33">
        <v>1015</v>
      </c>
      <c r="AK170" s="33">
        <v>1020</v>
      </c>
      <c r="AL170" s="33">
        <v>1001</v>
      </c>
      <c r="AM170" s="33">
        <v>996</v>
      </c>
      <c r="AN170" s="33">
        <v>1019</v>
      </c>
      <c r="AO170" s="33">
        <v>1033</v>
      </c>
      <c r="AP170" s="33">
        <v>1045</v>
      </c>
      <c r="AQ170" s="33">
        <v>1022</v>
      </c>
      <c r="AR170" s="33">
        <v>1017</v>
      </c>
      <c r="AS170" s="33">
        <v>1016</v>
      </c>
      <c r="AT170" s="33">
        <v>1018</v>
      </c>
      <c r="AU170" s="33">
        <v>1007</v>
      </c>
      <c r="AV170" s="33">
        <v>1060</v>
      </c>
      <c r="AW170" s="33">
        <v>1066</v>
      </c>
      <c r="AX170" s="33">
        <v>1044</v>
      </c>
      <c r="AY170" s="33">
        <v>1015</v>
      </c>
      <c r="AZ170" s="33">
        <v>1035</v>
      </c>
      <c r="BA170" s="33">
        <v>1006</v>
      </c>
      <c r="BB170" s="33">
        <v>885</v>
      </c>
      <c r="BC170" s="33">
        <v>892</v>
      </c>
      <c r="BD170" s="33">
        <v>883</v>
      </c>
      <c r="BE170" s="33">
        <v>881</v>
      </c>
      <c r="BF170" s="33">
        <v>881</v>
      </c>
      <c r="BG170" s="33">
        <v>905</v>
      </c>
      <c r="BH170" s="33">
        <v>919</v>
      </c>
      <c r="BI170" s="33">
        <v>917</v>
      </c>
      <c r="BJ170" s="33">
        <v>932</v>
      </c>
      <c r="BK170" s="33">
        <v>935</v>
      </c>
      <c r="BL170" s="33">
        <v>918</v>
      </c>
      <c r="BM170" s="1">
        <v>913</v>
      </c>
      <c r="BN170" s="1">
        <v>911</v>
      </c>
      <c r="BO170" s="1">
        <v>927</v>
      </c>
      <c r="BP170" s="1">
        <v>936</v>
      </c>
    </row>
    <row r="171" spans="1:68" ht="15.9" customHeight="1">
      <c r="A171" s="68" t="s">
        <v>336</v>
      </c>
      <c r="B171" s="44" t="s">
        <v>337</v>
      </c>
      <c r="C171" s="48" t="str">
        <f>_xll.RssMarket("7981","安値")</f>
        <v/>
      </c>
      <c r="D171" s="16" t="e">
        <f t="shared" si="5"/>
        <v>#VALUE!</v>
      </c>
      <c r="E171" s="33">
        <v>3020</v>
      </c>
      <c r="F171" s="33">
        <v>3090</v>
      </c>
      <c r="G171" s="33">
        <v>3060</v>
      </c>
      <c r="H171" s="33">
        <v>3040</v>
      </c>
      <c r="I171" s="33">
        <v>3030</v>
      </c>
      <c r="J171" s="33">
        <v>3040</v>
      </c>
      <c r="K171" s="33">
        <v>3060</v>
      </c>
      <c r="L171" s="33">
        <v>3120</v>
      </c>
      <c r="M171" s="33">
        <v>3095</v>
      </c>
      <c r="N171" s="33">
        <v>3075</v>
      </c>
      <c r="O171" s="33">
        <v>3035</v>
      </c>
      <c r="P171" s="33">
        <v>3070</v>
      </c>
      <c r="Q171" s="33">
        <v>3080</v>
      </c>
      <c r="R171" s="33">
        <v>3095</v>
      </c>
      <c r="S171" s="33">
        <v>3055</v>
      </c>
      <c r="T171" s="33">
        <v>3060</v>
      </c>
      <c r="U171" s="33">
        <v>2995</v>
      </c>
      <c r="V171" s="33">
        <v>3015</v>
      </c>
      <c r="W171" s="33">
        <v>3005</v>
      </c>
      <c r="X171" s="33">
        <v>2994</v>
      </c>
      <c r="Y171" s="33">
        <v>2979</v>
      </c>
      <c r="Z171" s="33">
        <v>3000</v>
      </c>
      <c r="AA171" s="33">
        <v>2967</v>
      </c>
      <c r="AB171" s="33">
        <v>2891</v>
      </c>
      <c r="AC171" s="33">
        <v>2937</v>
      </c>
      <c r="AD171" s="33">
        <v>2912</v>
      </c>
      <c r="AE171" s="33">
        <v>2941</v>
      </c>
      <c r="AF171" s="33">
        <v>2909</v>
      </c>
      <c r="AG171" s="33">
        <v>2899</v>
      </c>
      <c r="AH171" s="33">
        <v>2882</v>
      </c>
      <c r="AI171" s="33">
        <v>2935</v>
      </c>
      <c r="AJ171" s="33">
        <v>2930</v>
      </c>
      <c r="AK171" s="33">
        <v>2940</v>
      </c>
      <c r="AL171" s="33">
        <v>2973</v>
      </c>
      <c r="AM171" s="33">
        <v>2877</v>
      </c>
      <c r="AN171" s="33">
        <v>2895</v>
      </c>
      <c r="AO171" s="33">
        <v>2882</v>
      </c>
      <c r="AP171" s="33">
        <v>2907</v>
      </c>
      <c r="AQ171" s="33">
        <v>2883</v>
      </c>
      <c r="AR171" s="33">
        <v>2983</v>
      </c>
      <c r="AS171" s="33">
        <v>2941</v>
      </c>
      <c r="AT171" s="33">
        <v>2992</v>
      </c>
      <c r="AU171" s="33">
        <v>3020</v>
      </c>
      <c r="AV171" s="33">
        <v>3045</v>
      </c>
      <c r="AW171" s="33">
        <v>3050</v>
      </c>
      <c r="AX171" s="33">
        <v>3045</v>
      </c>
      <c r="AY171" s="33">
        <v>2961</v>
      </c>
      <c r="AZ171" s="33">
        <v>2782</v>
      </c>
      <c r="BA171" s="33">
        <v>2731</v>
      </c>
      <c r="BB171" s="33">
        <v>2670</v>
      </c>
      <c r="BC171" s="33">
        <v>2628</v>
      </c>
      <c r="BD171" s="33">
        <v>2626</v>
      </c>
      <c r="BE171" s="33">
        <v>2649</v>
      </c>
      <c r="BF171" s="33">
        <v>2671</v>
      </c>
      <c r="BG171" s="33">
        <v>2713</v>
      </c>
      <c r="BH171" s="33">
        <v>2717</v>
      </c>
      <c r="BI171" s="33">
        <v>2746</v>
      </c>
      <c r="BJ171" s="33">
        <v>2693</v>
      </c>
      <c r="BK171" s="33">
        <v>2646</v>
      </c>
      <c r="BL171" s="33">
        <v>2740</v>
      </c>
      <c r="BM171" s="1">
        <v>2925</v>
      </c>
      <c r="BN171" s="1">
        <v>2923</v>
      </c>
      <c r="BO171" s="1">
        <v>2897</v>
      </c>
      <c r="BP171" s="1">
        <v>2816</v>
      </c>
    </row>
    <row r="172" spans="1:68" ht="15.9" customHeight="1">
      <c r="A172" s="68" t="s">
        <v>338</v>
      </c>
      <c r="B172" s="44" t="s">
        <v>339</v>
      </c>
      <c r="C172" s="48" t="str">
        <f>_xll.RssMarket("8303","安値")</f>
        <v/>
      </c>
      <c r="D172" s="16" t="e">
        <f t="shared" si="5"/>
        <v>#VALUE!</v>
      </c>
      <c r="E172" s="33">
        <v>1392</v>
      </c>
      <c r="F172" s="33">
        <v>1452</v>
      </c>
      <c r="G172" s="33">
        <v>1448</v>
      </c>
      <c r="H172" s="33">
        <v>1439</v>
      </c>
      <c r="I172" s="33">
        <v>1442</v>
      </c>
      <c r="J172" s="33">
        <v>1431.5</v>
      </c>
      <c r="K172" s="33">
        <v>1445</v>
      </c>
      <c r="L172" s="33">
        <v>1488.5</v>
      </c>
      <c r="M172" s="33">
        <v>1449</v>
      </c>
      <c r="N172" s="33">
        <v>1430.5</v>
      </c>
      <c r="O172" s="33">
        <v>1386</v>
      </c>
      <c r="P172" s="33">
        <v>1358</v>
      </c>
      <c r="Q172" s="33">
        <v>1380</v>
      </c>
      <c r="R172" s="33">
        <v>1394</v>
      </c>
      <c r="S172" s="33">
        <v>1382</v>
      </c>
      <c r="T172" s="33">
        <v>1394.5</v>
      </c>
      <c r="U172" s="33">
        <v>1404</v>
      </c>
      <c r="V172" s="33">
        <v>1396</v>
      </c>
      <c r="W172" s="33">
        <v>1422.5</v>
      </c>
      <c r="X172" s="33">
        <v>1427</v>
      </c>
      <c r="Y172" s="33">
        <v>1440.5</v>
      </c>
      <c r="Z172" s="33">
        <v>1445</v>
      </c>
      <c r="AA172" s="33">
        <v>1435</v>
      </c>
      <c r="AB172" s="33">
        <v>1473.5</v>
      </c>
      <c r="AC172" s="33">
        <v>1393</v>
      </c>
      <c r="AD172" s="33">
        <v>1417.5</v>
      </c>
      <c r="AE172" s="33">
        <v>1444</v>
      </c>
      <c r="AF172" s="33">
        <v>1362</v>
      </c>
      <c r="AG172" s="33">
        <v>1396</v>
      </c>
      <c r="AH172" s="33">
        <v>1377</v>
      </c>
      <c r="AI172" s="33">
        <v>1333</v>
      </c>
      <c r="AJ172" s="33">
        <v>1325</v>
      </c>
      <c r="AK172" s="33">
        <v>1365</v>
      </c>
      <c r="AL172" s="33">
        <v>1348</v>
      </c>
      <c r="AM172" s="33">
        <v>1361.5</v>
      </c>
      <c r="AN172" s="33">
        <v>1457.5</v>
      </c>
      <c r="AO172" s="33">
        <v>1474</v>
      </c>
      <c r="AP172" s="33">
        <v>1494.5</v>
      </c>
      <c r="AQ172" s="33">
        <v>1555.5</v>
      </c>
      <c r="AR172" s="33">
        <v>1571</v>
      </c>
      <c r="AS172" s="33">
        <v>1619.5</v>
      </c>
      <c r="AT172" s="33">
        <v>1615</v>
      </c>
      <c r="AU172" s="33">
        <v>1607</v>
      </c>
      <c r="AV172" s="33">
        <v>1649</v>
      </c>
      <c r="AW172" s="33">
        <v>1635</v>
      </c>
      <c r="AX172" s="33">
        <v>1626</v>
      </c>
      <c r="AY172" s="33">
        <v>1673</v>
      </c>
      <c r="AZ172" s="33">
        <v>1669</v>
      </c>
      <c r="BA172" s="33">
        <v>1710</v>
      </c>
      <c r="BB172" s="33">
        <v>1785</v>
      </c>
      <c r="BC172" s="33">
        <v>1753</v>
      </c>
      <c r="BD172" s="33">
        <v>1678</v>
      </c>
      <c r="BE172" s="33">
        <v>1673.5</v>
      </c>
      <c r="BF172" s="33">
        <v>1614.5</v>
      </c>
      <c r="BG172" s="33">
        <v>1611.5</v>
      </c>
      <c r="BH172" s="33">
        <v>1655</v>
      </c>
      <c r="BI172" s="33">
        <v>1673</v>
      </c>
      <c r="BJ172" s="33">
        <v>1685</v>
      </c>
      <c r="BK172" s="33">
        <v>1698.5</v>
      </c>
      <c r="BL172" s="33">
        <v>1680</v>
      </c>
      <c r="BM172" s="1">
        <v>1670</v>
      </c>
      <c r="BN172" s="1">
        <v>1666</v>
      </c>
      <c r="BO172" s="1">
        <v>1693.5</v>
      </c>
      <c r="BP172" s="1">
        <v>1720.5</v>
      </c>
    </row>
    <row r="173" spans="1:68" ht="15.9" customHeight="1">
      <c r="A173" s="68" t="s">
        <v>340</v>
      </c>
      <c r="B173" s="44" t="s">
        <v>341</v>
      </c>
      <c r="C173" s="48" t="str">
        <f>_xll.RssMarket("4382","安値")</f>
        <v/>
      </c>
      <c r="D173" s="16" t="e">
        <f t="shared" si="5"/>
        <v>#VALUE!</v>
      </c>
      <c r="E173" s="33">
        <v>698</v>
      </c>
      <c r="F173" s="33">
        <v>705</v>
      </c>
      <c r="G173" s="33">
        <v>694</v>
      </c>
      <c r="H173" s="33">
        <v>690</v>
      </c>
      <c r="I173" s="33">
        <v>691</v>
      </c>
      <c r="J173" s="33">
        <v>715</v>
      </c>
      <c r="K173" s="33">
        <v>717</v>
      </c>
      <c r="L173" s="33">
        <v>715</v>
      </c>
      <c r="M173" s="33">
        <v>713</v>
      </c>
      <c r="N173" s="33">
        <v>709</v>
      </c>
      <c r="O173" s="33">
        <v>714</v>
      </c>
      <c r="P173" s="33">
        <v>718</v>
      </c>
      <c r="Q173" s="33">
        <v>720</v>
      </c>
      <c r="R173" s="33">
        <v>710</v>
      </c>
      <c r="S173" s="33">
        <v>715</v>
      </c>
      <c r="T173" s="33">
        <v>710</v>
      </c>
      <c r="U173" s="33">
        <v>707</v>
      </c>
      <c r="V173" s="33">
        <v>728</v>
      </c>
      <c r="W173" s="33">
        <v>723</v>
      </c>
      <c r="X173" s="33">
        <v>770</v>
      </c>
      <c r="Y173" s="33">
        <v>781</v>
      </c>
      <c r="Z173" s="33">
        <v>762</v>
      </c>
      <c r="AA173" s="33">
        <v>788</v>
      </c>
      <c r="AB173" s="33">
        <v>771</v>
      </c>
      <c r="AC173" s="33">
        <v>751</v>
      </c>
      <c r="AD173" s="33">
        <v>752</v>
      </c>
      <c r="AE173" s="33">
        <v>694</v>
      </c>
      <c r="AF173" s="33">
        <v>696</v>
      </c>
      <c r="AG173" s="33">
        <v>693</v>
      </c>
      <c r="AH173" s="33">
        <v>699</v>
      </c>
      <c r="AI173" s="33">
        <v>701</v>
      </c>
      <c r="AJ173" s="33">
        <v>713</v>
      </c>
      <c r="AK173" s="33">
        <v>717</v>
      </c>
      <c r="AL173" s="33">
        <v>748</v>
      </c>
      <c r="AM173" s="33">
        <v>755</v>
      </c>
      <c r="AN173" s="33">
        <v>760</v>
      </c>
      <c r="AO173" s="33">
        <v>762</v>
      </c>
      <c r="AP173" s="33">
        <v>760</v>
      </c>
      <c r="AQ173" s="33">
        <v>770</v>
      </c>
      <c r="AR173" s="33">
        <v>782</v>
      </c>
      <c r="AS173" s="33">
        <v>781</v>
      </c>
      <c r="AT173" s="33">
        <v>783</v>
      </c>
      <c r="AU173" s="33">
        <v>804</v>
      </c>
      <c r="AV173" s="33">
        <v>809</v>
      </c>
      <c r="AW173" s="33">
        <v>804</v>
      </c>
      <c r="AX173" s="33">
        <v>802</v>
      </c>
      <c r="AY173" s="33">
        <v>810</v>
      </c>
      <c r="AZ173" s="33">
        <v>831</v>
      </c>
      <c r="BA173" s="33">
        <v>834</v>
      </c>
      <c r="BB173" s="33">
        <v>845</v>
      </c>
      <c r="BC173" s="33">
        <v>851</v>
      </c>
      <c r="BD173" s="33">
        <v>858</v>
      </c>
      <c r="BE173" s="33">
        <v>854</v>
      </c>
      <c r="BF173" s="33">
        <v>879</v>
      </c>
      <c r="BG173" s="33">
        <v>877</v>
      </c>
      <c r="BH173" s="33">
        <v>862</v>
      </c>
      <c r="BI173" s="33">
        <v>860</v>
      </c>
      <c r="BJ173" s="33">
        <v>850</v>
      </c>
      <c r="BK173" s="33">
        <v>850</v>
      </c>
      <c r="BL173" s="33">
        <v>857</v>
      </c>
      <c r="BM173" s="1">
        <v>871</v>
      </c>
      <c r="BN173" s="1">
        <v>869</v>
      </c>
      <c r="BO173" s="1">
        <v>855</v>
      </c>
      <c r="BP173" s="1">
        <v>851</v>
      </c>
    </row>
    <row r="174" spans="1:68" ht="15.9" customHeight="1">
      <c r="A174" s="68" t="s">
        <v>342</v>
      </c>
      <c r="B174" s="44" t="s">
        <v>343</v>
      </c>
      <c r="C174" s="48" t="str">
        <f>_xll.RssMarket("2327","安値")</f>
        <v/>
      </c>
      <c r="D174" s="16" t="e">
        <f t="shared" si="5"/>
        <v>#VALUE!</v>
      </c>
      <c r="E174" s="33">
        <v>3823</v>
      </c>
      <c r="F174" s="33">
        <v>3741</v>
      </c>
      <c r="G174" s="33">
        <v>3800</v>
      </c>
      <c r="H174" s="33">
        <v>3714</v>
      </c>
      <c r="I174" s="33">
        <v>3739</v>
      </c>
      <c r="J174" s="33">
        <v>3605</v>
      </c>
      <c r="K174" s="33">
        <v>3770</v>
      </c>
      <c r="L174" s="33">
        <v>3670</v>
      </c>
      <c r="M174" s="33">
        <v>3566</v>
      </c>
      <c r="N174" s="33">
        <v>3571</v>
      </c>
      <c r="O174" s="33">
        <v>3411</v>
      </c>
      <c r="P174" s="33">
        <v>3318</v>
      </c>
      <c r="Q174" s="33">
        <v>3359</v>
      </c>
      <c r="R174" s="33">
        <v>3288</v>
      </c>
      <c r="S174" s="33">
        <v>3196</v>
      </c>
      <c r="T174" s="33">
        <v>3184</v>
      </c>
      <c r="U174" s="33">
        <v>3182</v>
      </c>
      <c r="V174" s="33">
        <v>3164</v>
      </c>
      <c r="W174" s="33">
        <v>3180</v>
      </c>
      <c r="X174" s="33">
        <v>3075</v>
      </c>
      <c r="Y174" s="33">
        <v>3110</v>
      </c>
      <c r="Z174" s="33">
        <v>3086</v>
      </c>
      <c r="AA174" s="33">
        <v>3215</v>
      </c>
      <c r="AB174" s="33">
        <v>3201</v>
      </c>
      <c r="AC174" s="33">
        <v>3210</v>
      </c>
      <c r="AD174" s="33">
        <v>3224</v>
      </c>
      <c r="AE174" s="33">
        <v>3320</v>
      </c>
      <c r="AF174" s="33">
        <v>3404</v>
      </c>
      <c r="AG174" s="33">
        <v>3325</v>
      </c>
      <c r="AH174" s="33">
        <v>3415</v>
      </c>
      <c r="AI174" s="33">
        <v>3520</v>
      </c>
      <c r="AJ174" s="33">
        <v>3485</v>
      </c>
      <c r="AK174" s="33">
        <v>3490</v>
      </c>
      <c r="AL174" s="33">
        <v>3515</v>
      </c>
      <c r="AM174" s="33">
        <v>3562</v>
      </c>
      <c r="AN174" s="33">
        <v>3501</v>
      </c>
      <c r="AO174" s="33">
        <v>3535</v>
      </c>
      <c r="AP174" s="33">
        <v>3480</v>
      </c>
      <c r="AQ174" s="33">
        <v>3530</v>
      </c>
      <c r="AR174" s="33">
        <v>3499</v>
      </c>
      <c r="AS174" s="33">
        <v>3422</v>
      </c>
      <c r="AT174" s="33">
        <v>3481</v>
      </c>
      <c r="AU174" s="33">
        <v>3558</v>
      </c>
      <c r="AV174" s="33">
        <v>3630</v>
      </c>
      <c r="AW174" s="33">
        <v>3580</v>
      </c>
      <c r="AX174" s="33">
        <v>3570</v>
      </c>
      <c r="AY174" s="33">
        <v>3530</v>
      </c>
      <c r="AZ174" s="33">
        <v>3598</v>
      </c>
      <c r="BA174" s="33">
        <v>3505</v>
      </c>
      <c r="BB174" s="33">
        <v>3578</v>
      </c>
      <c r="BC174" s="33">
        <v>3631</v>
      </c>
      <c r="BD174" s="33">
        <v>3698</v>
      </c>
      <c r="BE174" s="33">
        <v>3881</v>
      </c>
      <c r="BF174" s="33">
        <v>3825</v>
      </c>
      <c r="BG174" s="33">
        <v>3810</v>
      </c>
      <c r="BH174" s="33">
        <v>3895</v>
      </c>
      <c r="BI174" s="33">
        <v>3858</v>
      </c>
      <c r="BJ174" s="33">
        <v>3793</v>
      </c>
      <c r="BK174" s="33">
        <v>3735</v>
      </c>
      <c r="BL174" s="33">
        <v>3702</v>
      </c>
      <c r="BM174" s="1">
        <v>3754</v>
      </c>
      <c r="BN174" s="1">
        <v>3799</v>
      </c>
      <c r="BO174" s="1">
        <v>3845</v>
      </c>
      <c r="BP174" s="1">
        <v>3848</v>
      </c>
    </row>
    <row r="175" spans="1:68" ht="15.9" customHeight="1">
      <c r="A175" s="68" t="s">
        <v>344</v>
      </c>
      <c r="B175" s="44" t="s">
        <v>345</v>
      </c>
      <c r="C175" s="48" t="str">
        <f>_xll.RssMarket("1942","安値")</f>
        <v/>
      </c>
      <c r="D175" s="16" t="e">
        <f t="shared" si="5"/>
        <v>#VALUE!</v>
      </c>
      <c r="E175" s="33">
        <v>5712</v>
      </c>
      <c r="F175" s="33">
        <v>6136</v>
      </c>
      <c r="G175" s="33">
        <v>6019</v>
      </c>
      <c r="H175" s="33">
        <v>6105</v>
      </c>
      <c r="I175" s="33">
        <v>6281</v>
      </c>
      <c r="J175" s="33">
        <v>6323</v>
      </c>
      <c r="K175" s="33">
        <v>6468</v>
      </c>
      <c r="L175" s="33">
        <v>6757</v>
      </c>
      <c r="M175" s="33">
        <v>6790</v>
      </c>
      <c r="N175" s="33">
        <v>6594</v>
      </c>
      <c r="O175" s="33">
        <v>6530</v>
      </c>
      <c r="P175" s="33">
        <v>6675</v>
      </c>
      <c r="Q175" s="33">
        <v>6694</v>
      </c>
      <c r="R175" s="33">
        <v>6682</v>
      </c>
      <c r="S175" s="33">
        <v>6608</v>
      </c>
      <c r="T175" s="33">
        <v>6613</v>
      </c>
      <c r="U175" s="33">
        <v>6660</v>
      </c>
      <c r="V175" s="33">
        <v>6635</v>
      </c>
      <c r="W175" s="33">
        <v>6634</v>
      </c>
      <c r="X175" s="33">
        <v>6589</v>
      </c>
      <c r="Y175" s="33">
        <v>6467</v>
      </c>
      <c r="Z175" s="33">
        <v>6388</v>
      </c>
      <c r="AA175" s="33">
        <v>6185</v>
      </c>
      <c r="AB175" s="33">
        <v>6163</v>
      </c>
      <c r="AC175" s="33">
        <v>5711</v>
      </c>
      <c r="AD175" s="33">
        <v>5692</v>
      </c>
      <c r="AE175" s="33">
        <v>5907</v>
      </c>
      <c r="AF175" s="33">
        <v>5700</v>
      </c>
      <c r="AG175" s="33">
        <v>5794</v>
      </c>
      <c r="AH175" s="33">
        <v>5777</v>
      </c>
      <c r="AI175" s="33">
        <v>5762</v>
      </c>
      <c r="AJ175" s="33">
        <v>5932</v>
      </c>
      <c r="AK175" s="33">
        <v>6488</v>
      </c>
      <c r="AL175" s="33">
        <v>6459</v>
      </c>
      <c r="AM175" s="33">
        <v>6433</v>
      </c>
      <c r="AN175" s="33">
        <v>6008</v>
      </c>
      <c r="AO175" s="33">
        <v>5913</v>
      </c>
      <c r="AP175" s="33">
        <v>6037</v>
      </c>
      <c r="AQ175" s="33">
        <v>6028</v>
      </c>
      <c r="AR175" s="33">
        <v>6330</v>
      </c>
      <c r="AS175" s="33">
        <v>6441</v>
      </c>
      <c r="AT175" s="33">
        <v>6741</v>
      </c>
      <c r="AU175" s="33">
        <v>6912</v>
      </c>
      <c r="AV175" s="33">
        <v>7190</v>
      </c>
      <c r="AW175" s="33">
        <v>7209</v>
      </c>
      <c r="AX175" s="33">
        <v>7014</v>
      </c>
      <c r="AY175" s="33">
        <v>6841</v>
      </c>
      <c r="AZ175" s="33">
        <v>6818</v>
      </c>
      <c r="BA175" s="33">
        <v>6729</v>
      </c>
      <c r="BB175" s="33">
        <v>6522</v>
      </c>
      <c r="BC175" s="33">
        <v>6022</v>
      </c>
      <c r="BD175" s="33">
        <v>5892</v>
      </c>
      <c r="BE175" s="33">
        <v>5989</v>
      </c>
      <c r="BF175" s="33">
        <v>5908</v>
      </c>
      <c r="BG175" s="33">
        <v>6007</v>
      </c>
      <c r="BH175" s="33">
        <v>6120</v>
      </c>
      <c r="BI175" s="33">
        <v>6111</v>
      </c>
      <c r="BJ175" s="33">
        <v>6118</v>
      </c>
      <c r="BK175" s="33">
        <v>6052</v>
      </c>
      <c r="BL175" s="33">
        <v>6110</v>
      </c>
      <c r="BM175" s="1">
        <v>6266</v>
      </c>
      <c r="BN175" s="1">
        <v>6205</v>
      </c>
      <c r="BO175" s="1">
        <v>6288</v>
      </c>
      <c r="BP175" s="1">
        <v>6268</v>
      </c>
    </row>
    <row r="176" spans="1:68" ht="15.9" customHeight="1">
      <c r="A176" s="68" t="s">
        <v>346</v>
      </c>
      <c r="B176" s="44" t="s">
        <v>347</v>
      </c>
      <c r="C176" s="48" t="str">
        <f>_xll.RssMarket("1938","安値")</f>
        <v/>
      </c>
      <c r="D176" s="16" t="e">
        <f t="shared" si="5"/>
        <v>#VALUE!</v>
      </c>
      <c r="E176" s="33">
        <v>2422</v>
      </c>
      <c r="F176" s="33">
        <v>2549</v>
      </c>
      <c r="G176" s="33">
        <v>2537</v>
      </c>
      <c r="H176" s="33">
        <v>2550</v>
      </c>
      <c r="I176" s="33">
        <v>2557</v>
      </c>
      <c r="J176" s="33">
        <v>2550</v>
      </c>
      <c r="K176" s="33">
        <v>2588</v>
      </c>
      <c r="L176" s="33">
        <v>2669</v>
      </c>
      <c r="M176" s="33">
        <v>2697</v>
      </c>
      <c r="N176" s="33">
        <v>2653</v>
      </c>
      <c r="O176" s="33">
        <v>2646</v>
      </c>
      <c r="P176" s="33">
        <v>2655</v>
      </c>
      <c r="Q176" s="33">
        <v>2661</v>
      </c>
      <c r="R176" s="33">
        <v>2700</v>
      </c>
      <c r="S176" s="33">
        <v>2701</v>
      </c>
      <c r="T176" s="33">
        <v>2685</v>
      </c>
      <c r="U176" s="33">
        <v>2695</v>
      </c>
      <c r="V176" s="33">
        <v>2712</v>
      </c>
      <c r="W176" s="33">
        <v>2759</v>
      </c>
      <c r="X176" s="33">
        <v>2780</v>
      </c>
      <c r="Y176" s="33">
        <v>2775</v>
      </c>
      <c r="Z176" s="33">
        <v>2767</v>
      </c>
      <c r="AA176" s="33">
        <v>2751</v>
      </c>
      <c r="AB176" s="33">
        <v>2727</v>
      </c>
      <c r="AC176" s="33">
        <v>2669</v>
      </c>
      <c r="AD176" s="33">
        <v>2590</v>
      </c>
      <c r="AE176" s="33">
        <v>2698</v>
      </c>
      <c r="AF176" s="33">
        <v>2659</v>
      </c>
      <c r="AG176" s="33">
        <v>2759</v>
      </c>
      <c r="AH176" s="33">
        <v>2668</v>
      </c>
      <c r="AI176" s="33">
        <v>2697</v>
      </c>
      <c r="AJ176" s="33">
        <v>2620</v>
      </c>
      <c r="AK176" s="33">
        <v>2785</v>
      </c>
      <c r="AL176" s="33">
        <v>2731</v>
      </c>
      <c r="AM176" s="33">
        <v>2738</v>
      </c>
      <c r="AN176" s="33">
        <v>2666</v>
      </c>
      <c r="AO176" s="33">
        <v>2591</v>
      </c>
      <c r="AP176" s="33">
        <v>2600</v>
      </c>
      <c r="AQ176" s="33">
        <v>2672</v>
      </c>
      <c r="AR176" s="33">
        <v>2772</v>
      </c>
      <c r="AS176" s="33">
        <v>2800</v>
      </c>
      <c r="AT176" s="33">
        <v>2877</v>
      </c>
      <c r="AU176" s="33">
        <v>2919</v>
      </c>
      <c r="AV176" s="33">
        <v>3025</v>
      </c>
      <c r="AW176" s="33">
        <v>2913</v>
      </c>
      <c r="AX176" s="33">
        <v>2919</v>
      </c>
      <c r="AY176" s="33">
        <v>2857</v>
      </c>
      <c r="AZ176" s="33">
        <v>2833</v>
      </c>
      <c r="BA176" s="33">
        <v>2699</v>
      </c>
      <c r="BB176" s="33">
        <v>2665</v>
      </c>
      <c r="BC176" s="33">
        <v>2575</v>
      </c>
      <c r="BD176" s="33">
        <v>2490</v>
      </c>
      <c r="BE176" s="33">
        <v>2537</v>
      </c>
      <c r="BF176" s="33">
        <v>2490</v>
      </c>
      <c r="BG176" s="33">
        <v>2476</v>
      </c>
      <c r="BH176" s="33">
        <v>2564</v>
      </c>
      <c r="BI176" s="33">
        <v>2519</v>
      </c>
      <c r="BJ176" s="33">
        <v>2526</v>
      </c>
      <c r="BK176" s="33">
        <v>2586</v>
      </c>
      <c r="BL176" s="33">
        <v>2582</v>
      </c>
      <c r="BM176" s="1">
        <v>2557</v>
      </c>
      <c r="BN176" s="1">
        <v>2604</v>
      </c>
      <c r="BO176" s="1">
        <v>2641</v>
      </c>
      <c r="BP176" s="1">
        <v>2620</v>
      </c>
    </row>
    <row r="177" spans="1:68" ht="15.9" customHeight="1">
      <c r="A177" s="68" t="s">
        <v>348</v>
      </c>
      <c r="B177" s="44" t="s">
        <v>349</v>
      </c>
      <c r="C177" s="48" t="str">
        <f>_xll.RssMarket("7236","安値")</f>
        <v/>
      </c>
      <c r="D177" s="16" t="e">
        <f t="shared" si="5"/>
        <v>#VALUE!</v>
      </c>
      <c r="E177" s="33">
        <v>1428</v>
      </c>
      <c r="F177" s="33">
        <v>1503</v>
      </c>
      <c r="G177" s="33">
        <v>1446</v>
      </c>
      <c r="H177" s="33">
        <v>1463</v>
      </c>
      <c r="I177" s="33">
        <v>1478</v>
      </c>
      <c r="J177" s="33">
        <v>1477</v>
      </c>
      <c r="K177" s="33">
        <v>1455</v>
      </c>
      <c r="L177" s="33">
        <v>1511</v>
      </c>
      <c r="M177" s="33">
        <v>1517</v>
      </c>
      <c r="N177" s="33">
        <v>1489</v>
      </c>
      <c r="O177" s="33">
        <v>1480</v>
      </c>
      <c r="P177" s="33">
        <v>1465</v>
      </c>
      <c r="Q177" s="33">
        <v>1430</v>
      </c>
      <c r="R177" s="33">
        <v>1442</v>
      </c>
      <c r="S177" s="33">
        <v>14670</v>
      </c>
      <c r="T177" s="33">
        <v>14480</v>
      </c>
      <c r="U177" s="33">
        <v>14190</v>
      </c>
      <c r="V177" s="33">
        <v>14580</v>
      </c>
      <c r="W177" s="33">
        <v>14300</v>
      </c>
      <c r="X177" s="33">
        <v>14060</v>
      </c>
      <c r="Y177" s="33">
        <v>14220</v>
      </c>
      <c r="Z177" s="33">
        <v>14110</v>
      </c>
      <c r="AA177" s="33">
        <v>14200</v>
      </c>
      <c r="AB177" s="33">
        <v>14310</v>
      </c>
      <c r="AC177" s="33">
        <v>13850</v>
      </c>
      <c r="AD177" s="33">
        <v>13770</v>
      </c>
      <c r="AE177" s="33">
        <v>14150</v>
      </c>
      <c r="AF177" s="33">
        <v>13810</v>
      </c>
      <c r="AG177" s="33">
        <v>13960</v>
      </c>
      <c r="AH177" s="33">
        <v>14420</v>
      </c>
      <c r="AI177" s="33">
        <v>14530</v>
      </c>
      <c r="AJ177" s="33">
        <v>14800</v>
      </c>
      <c r="AK177" s="33">
        <v>14400</v>
      </c>
      <c r="AL177" s="33">
        <v>14960</v>
      </c>
      <c r="AM177" s="33">
        <v>14880</v>
      </c>
      <c r="AN177" s="33">
        <v>14370</v>
      </c>
      <c r="AO177" s="33">
        <v>13600</v>
      </c>
      <c r="AP177" s="33">
        <v>13350</v>
      </c>
      <c r="AQ177" s="33">
        <v>13500</v>
      </c>
      <c r="AR177" s="33">
        <v>13760</v>
      </c>
      <c r="AS177" s="33">
        <v>14170</v>
      </c>
      <c r="AT177" s="33">
        <v>14450</v>
      </c>
      <c r="AU177" s="33">
        <v>14360</v>
      </c>
      <c r="AV177" s="33">
        <v>14440</v>
      </c>
      <c r="AW177" s="33">
        <v>14550</v>
      </c>
      <c r="AX177" s="33">
        <v>14270</v>
      </c>
      <c r="AY177" s="33">
        <v>14500</v>
      </c>
      <c r="AZ177" s="33">
        <v>14360</v>
      </c>
      <c r="BA177" s="33">
        <v>11110</v>
      </c>
      <c r="BB177" s="33">
        <v>9610</v>
      </c>
      <c r="BC177" s="33">
        <v>7910</v>
      </c>
      <c r="BD177" s="33">
        <v>8120</v>
      </c>
      <c r="BE177" s="33">
        <v>8510</v>
      </c>
      <c r="BF177" s="33">
        <v>8800</v>
      </c>
      <c r="BG177" s="33">
        <v>9000</v>
      </c>
      <c r="BH177" s="33">
        <v>8910</v>
      </c>
      <c r="BI177" s="33">
        <v>8870</v>
      </c>
      <c r="BJ177" s="33">
        <v>8630</v>
      </c>
      <c r="BK177" s="33">
        <v>8350</v>
      </c>
      <c r="BL177" s="33">
        <v>8250</v>
      </c>
      <c r="BM177" s="1">
        <v>8160</v>
      </c>
      <c r="BN177" s="1">
        <v>8170</v>
      </c>
      <c r="BO177" s="1">
        <v>8200</v>
      </c>
      <c r="BP177" s="1">
        <v>8360</v>
      </c>
    </row>
    <row r="178" spans="1:68" ht="15.9" customHeight="1">
      <c r="A178" s="68" t="s">
        <v>350</v>
      </c>
      <c r="B178" s="44" t="s">
        <v>351</v>
      </c>
      <c r="C178" s="48" t="str">
        <f>_xll.RssMarket("6436","安値")</f>
        <v/>
      </c>
      <c r="D178" s="16" t="e">
        <f t="shared" si="5"/>
        <v>#VALUE!</v>
      </c>
      <c r="E178" s="33">
        <v>3781</v>
      </c>
      <c r="F178" s="33">
        <v>3767</v>
      </c>
      <c r="G178" s="33">
        <v>3727</v>
      </c>
      <c r="H178" s="33">
        <v>3721</v>
      </c>
      <c r="I178" s="33">
        <v>3728</v>
      </c>
      <c r="J178" s="33">
        <v>3724</v>
      </c>
      <c r="K178" s="33">
        <v>3720</v>
      </c>
      <c r="L178" s="33">
        <v>3725</v>
      </c>
      <c r="M178" s="33">
        <v>3697</v>
      </c>
      <c r="N178" s="33">
        <v>3683</v>
      </c>
      <c r="O178" s="33">
        <v>3661</v>
      </c>
      <c r="P178" s="33">
        <v>3650</v>
      </c>
      <c r="Q178" s="33">
        <v>3636</v>
      </c>
      <c r="R178" s="33">
        <v>3604</v>
      </c>
      <c r="S178" s="33">
        <v>3598</v>
      </c>
      <c r="T178" s="33">
        <v>3571</v>
      </c>
      <c r="U178" s="33">
        <v>3565</v>
      </c>
      <c r="V178" s="33">
        <v>3561</v>
      </c>
      <c r="W178" s="33">
        <v>3551</v>
      </c>
      <c r="X178" s="33">
        <v>3548</v>
      </c>
      <c r="Y178" s="33">
        <v>3546</v>
      </c>
      <c r="Z178" s="33">
        <v>3543</v>
      </c>
      <c r="AA178" s="33">
        <v>3577</v>
      </c>
      <c r="AB178" s="33">
        <v>3578</v>
      </c>
      <c r="AC178" s="33">
        <v>3592</v>
      </c>
      <c r="AD178" s="33">
        <v>3566</v>
      </c>
      <c r="AE178" s="33">
        <v>3453</v>
      </c>
      <c r="AF178" s="33">
        <v>3517</v>
      </c>
      <c r="AG178" s="33">
        <v>3482</v>
      </c>
      <c r="AH178" s="33">
        <v>3506</v>
      </c>
      <c r="AI178" s="33">
        <v>3486</v>
      </c>
      <c r="AJ178" s="33">
        <v>3557</v>
      </c>
      <c r="AK178" s="33">
        <v>3556</v>
      </c>
      <c r="AL178" s="33">
        <v>3537</v>
      </c>
      <c r="AM178" s="33">
        <v>3571</v>
      </c>
      <c r="AN178" s="33">
        <v>3593</v>
      </c>
      <c r="AO178" s="33">
        <v>3630</v>
      </c>
      <c r="AP178" s="33">
        <v>3617</v>
      </c>
      <c r="AQ178" s="33">
        <v>3651</v>
      </c>
      <c r="AR178" s="33">
        <v>3624</v>
      </c>
      <c r="AS178" s="33">
        <v>3641</v>
      </c>
      <c r="AT178" s="33">
        <v>3642</v>
      </c>
      <c r="AU178" s="33">
        <v>3635</v>
      </c>
      <c r="AV178" s="33">
        <v>3657</v>
      </c>
      <c r="AW178" s="33">
        <v>3666</v>
      </c>
      <c r="AX178" s="33">
        <v>3600</v>
      </c>
      <c r="AY178" s="33">
        <v>3575</v>
      </c>
      <c r="AZ178" s="33">
        <v>3524</v>
      </c>
      <c r="BA178" s="33">
        <v>3583</v>
      </c>
      <c r="BB178" s="33">
        <v>3648</v>
      </c>
      <c r="BC178" s="33">
        <v>3580</v>
      </c>
      <c r="BD178" s="33">
        <v>3793</v>
      </c>
      <c r="BE178" s="33">
        <v>3801</v>
      </c>
      <c r="BF178" s="33">
        <v>3821</v>
      </c>
      <c r="BG178" s="33">
        <v>3824</v>
      </c>
      <c r="BH178" s="33">
        <v>3876</v>
      </c>
      <c r="BI178" s="33">
        <v>3877</v>
      </c>
      <c r="BJ178" s="33">
        <v>3869</v>
      </c>
      <c r="BK178" s="33">
        <v>3846</v>
      </c>
      <c r="BL178" s="33">
        <v>3858</v>
      </c>
      <c r="BM178" s="1">
        <v>3868</v>
      </c>
      <c r="BN178" s="1">
        <v>3863</v>
      </c>
      <c r="BO178" s="1">
        <v>3920</v>
      </c>
      <c r="BP178" s="1">
        <v>3911</v>
      </c>
    </row>
    <row r="179" spans="1:68" ht="15.9" customHeight="1">
      <c r="A179" s="68" t="s">
        <v>352</v>
      </c>
      <c r="B179" s="44" t="s">
        <v>353</v>
      </c>
      <c r="C179" s="48" t="str">
        <f>_xll.RssMarket("5410","安値")</f>
        <v/>
      </c>
      <c r="D179" s="16" t="e">
        <f t="shared" si="5"/>
        <v>#VALUE!</v>
      </c>
      <c r="E179" s="33">
        <v>2660</v>
      </c>
      <c r="F179" s="33">
        <v>2673</v>
      </c>
      <c r="G179" s="33">
        <v>2665</v>
      </c>
      <c r="H179" s="33">
        <v>2686</v>
      </c>
      <c r="I179" s="33">
        <v>2668</v>
      </c>
      <c r="J179" s="33">
        <v>2652</v>
      </c>
      <c r="K179" s="33">
        <v>2673</v>
      </c>
      <c r="L179" s="33">
        <v>2694</v>
      </c>
      <c r="M179" s="33">
        <v>2663</v>
      </c>
      <c r="N179" s="33">
        <v>2624</v>
      </c>
      <c r="O179" s="33">
        <v>2546</v>
      </c>
      <c r="P179" s="33">
        <v>2545</v>
      </c>
      <c r="Q179" s="33">
        <v>2577</v>
      </c>
      <c r="R179" s="33">
        <v>2588</v>
      </c>
      <c r="S179" s="33">
        <v>2562</v>
      </c>
      <c r="T179" s="33">
        <v>2566</v>
      </c>
      <c r="U179" s="33">
        <v>2571</v>
      </c>
      <c r="V179" s="33">
        <v>2576</v>
      </c>
      <c r="W179" s="33">
        <v>2594</v>
      </c>
      <c r="X179" s="33">
        <v>2580</v>
      </c>
      <c r="Y179" s="33">
        <v>2609</v>
      </c>
      <c r="Z179" s="33">
        <v>2591</v>
      </c>
      <c r="AA179" s="33">
        <v>2610</v>
      </c>
      <c r="AB179" s="33">
        <v>2561</v>
      </c>
      <c r="AC179" s="33">
        <v>2506</v>
      </c>
      <c r="AD179" s="33">
        <v>2489</v>
      </c>
      <c r="AE179" s="33">
        <v>2513</v>
      </c>
      <c r="AF179" s="33">
        <v>2543</v>
      </c>
      <c r="AG179" s="33">
        <v>2528</v>
      </c>
      <c r="AH179" s="33">
        <v>2554</v>
      </c>
      <c r="AI179" s="33">
        <v>2558</v>
      </c>
      <c r="AJ179" s="33">
        <v>2704</v>
      </c>
      <c r="AK179" s="33">
        <v>2681</v>
      </c>
      <c r="AL179" s="33">
        <v>2634</v>
      </c>
      <c r="AM179" s="33">
        <v>2644</v>
      </c>
      <c r="AN179" s="33">
        <v>2669</v>
      </c>
      <c r="AO179" s="33">
        <v>2707</v>
      </c>
      <c r="AP179" s="33">
        <v>2664</v>
      </c>
      <c r="AQ179" s="33">
        <v>2771</v>
      </c>
      <c r="AR179" s="33">
        <v>2756</v>
      </c>
      <c r="AS179" s="33">
        <v>2820</v>
      </c>
      <c r="AT179" s="33">
        <v>2809</v>
      </c>
      <c r="AU179" s="33">
        <v>2819</v>
      </c>
      <c r="AV179" s="33">
        <v>2849</v>
      </c>
      <c r="AW179" s="33">
        <v>2819</v>
      </c>
      <c r="AX179" s="33">
        <v>2877</v>
      </c>
      <c r="AY179" s="33">
        <v>2802</v>
      </c>
      <c r="AZ179" s="33">
        <v>2800</v>
      </c>
      <c r="BA179" s="33">
        <v>2905</v>
      </c>
      <c r="BB179" s="33">
        <v>2956</v>
      </c>
      <c r="BC179" s="33">
        <v>3400</v>
      </c>
      <c r="BD179" s="33">
        <v>3425</v>
      </c>
      <c r="BE179" s="33">
        <v>3475</v>
      </c>
      <c r="BF179" s="33">
        <v>3530</v>
      </c>
      <c r="BG179" s="33">
        <v>3525</v>
      </c>
      <c r="BH179" s="33">
        <v>3535</v>
      </c>
      <c r="BI179" s="33">
        <v>3550</v>
      </c>
      <c r="BJ179" s="33">
        <v>3540</v>
      </c>
      <c r="BK179" s="33">
        <v>3545</v>
      </c>
      <c r="BL179" s="33">
        <v>3535</v>
      </c>
      <c r="BM179" s="1">
        <v>3570</v>
      </c>
      <c r="BN179" s="1">
        <v>3640</v>
      </c>
      <c r="BO179" s="1">
        <v>3700</v>
      </c>
      <c r="BP179" s="1">
        <v>3665</v>
      </c>
    </row>
    <row r="180" spans="1:68" ht="15.9" customHeight="1">
      <c r="A180" s="68" t="s">
        <v>354</v>
      </c>
      <c r="B180" s="44" t="s">
        <v>355</v>
      </c>
      <c r="C180" s="48" t="str">
        <f>_xll.RssMarket("5440","安値")</f>
        <v/>
      </c>
      <c r="D180" s="16" t="e">
        <f t="shared" si="5"/>
        <v>#VALUE!</v>
      </c>
      <c r="E180" s="33">
        <v>1817</v>
      </c>
      <c r="F180" s="33">
        <v>1834</v>
      </c>
      <c r="G180" s="33">
        <v>1810</v>
      </c>
      <c r="H180" s="33">
        <v>1793</v>
      </c>
      <c r="I180" s="33">
        <v>1792</v>
      </c>
      <c r="J180" s="33">
        <v>1781</v>
      </c>
      <c r="K180" s="33">
        <v>1790</v>
      </c>
      <c r="L180" s="33">
        <v>1805</v>
      </c>
      <c r="M180" s="33">
        <v>1781</v>
      </c>
      <c r="N180" s="33">
        <v>1764</v>
      </c>
      <c r="O180" s="33">
        <v>1732</v>
      </c>
      <c r="P180" s="33">
        <v>1716</v>
      </c>
      <c r="Q180" s="33">
        <v>1737</v>
      </c>
      <c r="R180" s="33">
        <v>1733</v>
      </c>
      <c r="S180" s="33">
        <v>1692</v>
      </c>
      <c r="T180" s="33">
        <v>1707</v>
      </c>
      <c r="U180" s="33">
        <v>1703</v>
      </c>
      <c r="V180" s="33">
        <v>1716</v>
      </c>
      <c r="W180" s="33">
        <v>1722</v>
      </c>
      <c r="X180" s="33">
        <v>1743</v>
      </c>
      <c r="Y180" s="33">
        <v>1732</v>
      </c>
      <c r="Z180" s="33">
        <v>1742</v>
      </c>
      <c r="AA180" s="33">
        <v>1745</v>
      </c>
      <c r="AB180" s="33">
        <v>1771</v>
      </c>
      <c r="AC180" s="33">
        <v>1728</v>
      </c>
      <c r="AD180" s="33">
        <v>1698</v>
      </c>
      <c r="AE180" s="33">
        <v>1703</v>
      </c>
      <c r="AF180" s="33">
        <v>1711</v>
      </c>
      <c r="AG180" s="33">
        <v>1740</v>
      </c>
      <c r="AH180" s="33">
        <v>1730</v>
      </c>
      <c r="AI180" s="33">
        <v>1738</v>
      </c>
      <c r="AJ180" s="33">
        <v>1712</v>
      </c>
      <c r="AK180" s="33">
        <v>1808</v>
      </c>
      <c r="AL180" s="33">
        <v>1809</v>
      </c>
      <c r="AM180" s="33">
        <v>1810</v>
      </c>
      <c r="AN180" s="33">
        <v>1834</v>
      </c>
      <c r="AO180" s="33">
        <v>1843</v>
      </c>
      <c r="AP180" s="33">
        <v>1821</v>
      </c>
      <c r="AQ180" s="33">
        <v>1784</v>
      </c>
      <c r="AR180" s="33">
        <v>1821</v>
      </c>
      <c r="AS180" s="33">
        <v>1817</v>
      </c>
      <c r="AT180" s="33">
        <v>1846</v>
      </c>
      <c r="AU180" s="33">
        <v>1824</v>
      </c>
      <c r="AV180" s="33">
        <v>1802</v>
      </c>
      <c r="AW180" s="33">
        <v>1811</v>
      </c>
      <c r="AX180" s="33">
        <v>1796</v>
      </c>
      <c r="AY180" s="33">
        <v>1781</v>
      </c>
      <c r="AZ180" s="33">
        <v>1795</v>
      </c>
      <c r="BA180" s="33">
        <v>1821</v>
      </c>
      <c r="BB180" s="33">
        <v>1899</v>
      </c>
      <c r="BC180" s="33">
        <v>2161</v>
      </c>
      <c r="BD180" s="33">
        <v>2189</v>
      </c>
      <c r="BE180" s="33">
        <v>2216</v>
      </c>
      <c r="BF180" s="33">
        <v>2226</v>
      </c>
      <c r="BG180" s="33">
        <v>2240</v>
      </c>
      <c r="BH180" s="33">
        <v>2274</v>
      </c>
      <c r="BI180" s="33">
        <v>2288</v>
      </c>
      <c r="BJ180" s="33">
        <v>2285</v>
      </c>
      <c r="BK180" s="33">
        <v>2320</v>
      </c>
      <c r="BL180" s="33">
        <v>2314</v>
      </c>
      <c r="BM180" s="1">
        <v>2339</v>
      </c>
      <c r="BN180" s="1">
        <v>2326</v>
      </c>
      <c r="BO180" s="1">
        <v>2363</v>
      </c>
      <c r="BP180" s="1">
        <v>2401</v>
      </c>
    </row>
    <row r="181" spans="1:68" ht="15.9" customHeight="1">
      <c r="A181" s="68" t="s">
        <v>356</v>
      </c>
      <c r="B181" s="44" t="s">
        <v>357</v>
      </c>
      <c r="C181" s="48" t="str">
        <f>_xll.RssMarket("9505","安値")</f>
        <v/>
      </c>
      <c r="D181" s="16" t="e">
        <f t="shared" si="5"/>
        <v>#VALUE!</v>
      </c>
      <c r="E181" s="33">
        <v>901.4</v>
      </c>
      <c r="F181" s="33">
        <v>905</v>
      </c>
      <c r="G181" s="33">
        <v>889.1</v>
      </c>
      <c r="H181" s="33">
        <v>881.1</v>
      </c>
      <c r="I181" s="33">
        <v>900.3</v>
      </c>
      <c r="J181" s="33">
        <v>906.2</v>
      </c>
      <c r="K181" s="33">
        <v>909.6</v>
      </c>
      <c r="L181" s="33">
        <v>902</v>
      </c>
      <c r="M181" s="33">
        <v>890</v>
      </c>
      <c r="N181" s="33">
        <v>882.3</v>
      </c>
      <c r="O181" s="33">
        <v>874</v>
      </c>
      <c r="P181" s="33">
        <v>860.9</v>
      </c>
      <c r="Q181" s="33">
        <v>861.6</v>
      </c>
      <c r="R181" s="33">
        <v>868.7</v>
      </c>
      <c r="S181" s="33">
        <v>861.9</v>
      </c>
      <c r="T181" s="33">
        <v>854</v>
      </c>
      <c r="U181" s="33">
        <v>849.9</v>
      </c>
      <c r="V181" s="33">
        <v>845.5</v>
      </c>
      <c r="W181" s="33">
        <v>839</v>
      </c>
      <c r="X181" s="33">
        <v>839.1</v>
      </c>
      <c r="Y181" s="33">
        <v>843.4</v>
      </c>
      <c r="Z181" s="33">
        <v>840.1</v>
      </c>
      <c r="AA181" s="33">
        <v>844.1</v>
      </c>
      <c r="AB181" s="33">
        <v>872.4</v>
      </c>
      <c r="AC181" s="33">
        <v>848.2</v>
      </c>
      <c r="AD181" s="33">
        <v>840.7</v>
      </c>
      <c r="AE181" s="33">
        <v>838.6</v>
      </c>
      <c r="AF181" s="33">
        <v>804.5</v>
      </c>
      <c r="AG181" s="33">
        <v>806.1</v>
      </c>
      <c r="AH181" s="33">
        <v>793.9</v>
      </c>
      <c r="AI181" s="33">
        <v>811</v>
      </c>
      <c r="AJ181" s="33">
        <v>782.2</v>
      </c>
      <c r="AK181" s="33">
        <v>821</v>
      </c>
      <c r="AL181" s="33">
        <v>838.9</v>
      </c>
      <c r="AM181" s="33">
        <v>853.1</v>
      </c>
      <c r="AN181" s="33">
        <v>844.3</v>
      </c>
      <c r="AO181" s="33">
        <v>860.6</v>
      </c>
      <c r="AP181" s="33">
        <v>868.5</v>
      </c>
      <c r="AQ181" s="33">
        <v>860.9</v>
      </c>
      <c r="AR181" s="33">
        <v>863.7</v>
      </c>
      <c r="AS181" s="33">
        <v>866.4</v>
      </c>
      <c r="AT181" s="33">
        <v>897</v>
      </c>
      <c r="AU181" s="33">
        <v>904</v>
      </c>
      <c r="AV181" s="33">
        <v>906</v>
      </c>
      <c r="AW181" s="33">
        <v>901.1</v>
      </c>
      <c r="AX181" s="33">
        <v>871</v>
      </c>
      <c r="AY181" s="33">
        <v>878.6</v>
      </c>
      <c r="AZ181" s="33">
        <v>856.6</v>
      </c>
      <c r="BA181" s="33">
        <v>856</v>
      </c>
      <c r="BB181" s="33">
        <v>871.3</v>
      </c>
      <c r="BC181" s="33">
        <v>984</v>
      </c>
      <c r="BD181" s="33">
        <v>973.5</v>
      </c>
      <c r="BE181" s="33">
        <v>989.3</v>
      </c>
      <c r="BF181" s="33">
        <v>978.5</v>
      </c>
      <c r="BG181" s="33">
        <v>994.5</v>
      </c>
      <c r="BH181" s="33">
        <v>1010.5</v>
      </c>
      <c r="BI181" s="33">
        <v>1025.5</v>
      </c>
      <c r="BJ181" s="33">
        <v>1058.5</v>
      </c>
      <c r="BK181" s="33">
        <v>1077</v>
      </c>
      <c r="BL181" s="33">
        <v>1073.5</v>
      </c>
      <c r="BM181" s="1">
        <v>1073.5</v>
      </c>
      <c r="BN181" s="1">
        <v>1082.5</v>
      </c>
      <c r="BO181" s="1">
        <v>1100.5</v>
      </c>
      <c r="BP181" s="1">
        <v>1101</v>
      </c>
    </row>
    <row r="182" spans="1:68" ht="15.9" customHeight="1">
      <c r="A182" s="68" t="s">
        <v>358</v>
      </c>
      <c r="B182" s="44" t="s">
        <v>359</v>
      </c>
      <c r="C182" s="48" t="str">
        <f>_xll.RssMarket("8091","安値")</f>
        <v/>
      </c>
      <c r="D182" s="16" t="e">
        <f t="shared" si="5"/>
        <v>#VALUE!</v>
      </c>
      <c r="E182" s="33">
        <v>2298</v>
      </c>
      <c r="F182" s="33">
        <v>2279</v>
      </c>
      <c r="G182" s="33">
        <v>2271</v>
      </c>
      <c r="H182" s="33">
        <v>2269</v>
      </c>
      <c r="I182" s="33">
        <v>2268</v>
      </c>
      <c r="J182" s="33">
        <v>2250</v>
      </c>
      <c r="K182" s="33">
        <v>2262</v>
      </c>
      <c r="L182" s="33">
        <v>2321</v>
      </c>
      <c r="M182" s="33">
        <v>2300</v>
      </c>
      <c r="N182" s="33">
        <v>2280</v>
      </c>
      <c r="O182" s="33">
        <v>2274</v>
      </c>
      <c r="P182" s="33">
        <v>2264</v>
      </c>
      <c r="Q182" s="33">
        <v>2277</v>
      </c>
      <c r="R182" s="33">
        <v>2265</v>
      </c>
      <c r="S182" s="33">
        <v>2261</v>
      </c>
      <c r="T182" s="33">
        <v>2277</v>
      </c>
      <c r="U182" s="33">
        <v>2265</v>
      </c>
      <c r="V182" s="33">
        <v>2261</v>
      </c>
      <c r="W182" s="33">
        <v>2240</v>
      </c>
      <c r="X182" s="33">
        <v>2261</v>
      </c>
      <c r="Y182" s="33">
        <v>2211</v>
      </c>
      <c r="Z182" s="33">
        <v>2183</v>
      </c>
      <c r="AA182" s="33">
        <v>2184</v>
      </c>
      <c r="AB182" s="33">
        <v>2154</v>
      </c>
      <c r="AC182" s="33">
        <v>2162</v>
      </c>
      <c r="AD182" s="33">
        <v>2166</v>
      </c>
      <c r="AE182" s="33">
        <v>2159</v>
      </c>
      <c r="AF182" s="33">
        <v>2187</v>
      </c>
      <c r="AG182" s="33">
        <v>2128</v>
      </c>
      <c r="AH182" s="33">
        <v>2092</v>
      </c>
      <c r="AI182" s="33">
        <v>2111</v>
      </c>
      <c r="AJ182" s="33">
        <v>2162</v>
      </c>
      <c r="AK182" s="33">
        <v>2132</v>
      </c>
      <c r="AL182" s="33">
        <v>2122</v>
      </c>
      <c r="AM182" s="33">
        <v>2111</v>
      </c>
      <c r="AN182" s="33">
        <v>2130</v>
      </c>
      <c r="AO182" s="33">
        <v>2150</v>
      </c>
      <c r="AP182" s="33">
        <v>2133</v>
      </c>
      <c r="AQ182" s="33">
        <v>2161</v>
      </c>
      <c r="AR182" s="33">
        <v>2114</v>
      </c>
      <c r="AS182" s="33">
        <v>2270</v>
      </c>
      <c r="AT182" s="33">
        <v>2265</v>
      </c>
      <c r="AU182" s="33">
        <v>2245</v>
      </c>
      <c r="AV182" s="33">
        <v>2240</v>
      </c>
      <c r="AW182" s="33">
        <v>2215</v>
      </c>
      <c r="AX182" s="33">
        <v>2227</v>
      </c>
      <c r="AY182" s="33">
        <v>2205</v>
      </c>
      <c r="AZ182" s="33">
        <v>2229</v>
      </c>
      <c r="BA182" s="33">
        <v>2260</v>
      </c>
      <c r="BB182" s="33">
        <v>2257</v>
      </c>
      <c r="BC182" s="33">
        <v>2430</v>
      </c>
      <c r="BD182" s="33">
        <v>2438</v>
      </c>
      <c r="BE182" s="33">
        <v>2464</v>
      </c>
      <c r="BF182" s="33">
        <v>2488</v>
      </c>
      <c r="BG182" s="33">
        <v>2500</v>
      </c>
      <c r="BH182" s="33">
        <v>2509</v>
      </c>
      <c r="BI182" s="33">
        <v>2520</v>
      </c>
      <c r="BJ182" s="33">
        <v>2520</v>
      </c>
      <c r="BK182" s="33">
        <v>2520</v>
      </c>
      <c r="BL182" s="33">
        <v>2509</v>
      </c>
      <c r="BM182" s="1">
        <v>2533</v>
      </c>
      <c r="BN182" s="1">
        <v>2565</v>
      </c>
      <c r="BO182" s="1">
        <v>2569</v>
      </c>
      <c r="BP182" s="1">
        <v>2543</v>
      </c>
    </row>
    <row r="183" spans="1:68" ht="15.9" customHeight="1">
      <c r="A183" s="68" t="s">
        <v>360</v>
      </c>
      <c r="B183" s="44" t="s">
        <v>361</v>
      </c>
      <c r="C183" s="48" t="str">
        <f>_xll.RssMarket("6507","安値")</f>
        <v/>
      </c>
      <c r="D183" s="16" t="e">
        <f t="shared" si="5"/>
        <v>#VALUE!</v>
      </c>
      <c r="E183" s="33">
        <v>12960</v>
      </c>
      <c r="F183" s="33">
        <v>14150</v>
      </c>
      <c r="G183" s="33">
        <v>13880</v>
      </c>
      <c r="H183" s="33">
        <v>14150</v>
      </c>
      <c r="I183" s="33">
        <v>14870</v>
      </c>
      <c r="J183" s="33">
        <v>14640</v>
      </c>
      <c r="K183" s="33">
        <v>14500</v>
      </c>
      <c r="L183" s="33">
        <v>15380</v>
      </c>
      <c r="M183" s="33">
        <v>15700</v>
      </c>
      <c r="N183" s="33">
        <v>14700</v>
      </c>
      <c r="O183" s="33">
        <v>15230</v>
      </c>
      <c r="P183" s="33">
        <v>16170</v>
      </c>
      <c r="Q183" s="33">
        <v>15460</v>
      </c>
      <c r="R183" s="33">
        <v>14790</v>
      </c>
      <c r="S183" s="33">
        <v>15240</v>
      </c>
      <c r="T183" s="33">
        <v>15800</v>
      </c>
      <c r="U183" s="33">
        <v>15340</v>
      </c>
      <c r="V183" s="33">
        <v>15550</v>
      </c>
      <c r="W183" s="33">
        <v>16470</v>
      </c>
      <c r="X183" s="33">
        <v>16120</v>
      </c>
      <c r="Y183" s="33">
        <v>15850</v>
      </c>
      <c r="Z183" s="33">
        <v>14590</v>
      </c>
      <c r="AA183" s="33">
        <v>13710</v>
      </c>
      <c r="AB183" s="33">
        <v>13640</v>
      </c>
      <c r="AC183" s="33">
        <v>13190</v>
      </c>
      <c r="AD183" s="33">
        <v>12350</v>
      </c>
      <c r="AE183" s="33">
        <v>13170</v>
      </c>
      <c r="AF183" s="33">
        <v>13940</v>
      </c>
      <c r="AG183" s="33">
        <v>14700</v>
      </c>
      <c r="AH183" s="33">
        <v>13710</v>
      </c>
      <c r="AI183" s="33">
        <v>13730</v>
      </c>
      <c r="AJ183" s="33">
        <v>13430</v>
      </c>
      <c r="AK183" s="33">
        <v>13580</v>
      </c>
      <c r="AL183" s="33">
        <v>13760</v>
      </c>
      <c r="AM183" s="33">
        <v>14420</v>
      </c>
      <c r="AN183" s="33">
        <v>14240</v>
      </c>
      <c r="AO183" s="33">
        <v>13790</v>
      </c>
      <c r="AP183" s="33">
        <v>13220</v>
      </c>
      <c r="AQ183" s="33">
        <v>12740</v>
      </c>
      <c r="AR183" s="33">
        <v>13520</v>
      </c>
      <c r="AS183" s="33">
        <v>14850</v>
      </c>
      <c r="AT183" s="33">
        <v>14930</v>
      </c>
      <c r="AU183" s="33">
        <v>14140</v>
      </c>
      <c r="AV183" s="33">
        <v>14320</v>
      </c>
      <c r="AW183" s="33">
        <v>14670</v>
      </c>
      <c r="AX183" s="33">
        <v>14720</v>
      </c>
      <c r="AY183" s="33">
        <v>14400</v>
      </c>
      <c r="AZ183" s="33">
        <v>14870</v>
      </c>
      <c r="BA183" s="33">
        <v>14090</v>
      </c>
      <c r="BB183" s="33">
        <v>13660</v>
      </c>
      <c r="BC183" s="33">
        <v>13530</v>
      </c>
      <c r="BD183" s="33">
        <v>13200</v>
      </c>
      <c r="BE183" s="33">
        <v>13050</v>
      </c>
      <c r="BF183" s="33">
        <v>12950</v>
      </c>
      <c r="BG183" s="33">
        <v>13070</v>
      </c>
      <c r="BH183" s="33">
        <v>13320</v>
      </c>
      <c r="BI183" s="33">
        <v>13490</v>
      </c>
      <c r="BJ183" s="33">
        <v>13440</v>
      </c>
      <c r="BK183" s="33">
        <v>13560</v>
      </c>
      <c r="BL183" s="33">
        <v>13080</v>
      </c>
      <c r="BM183" s="1">
        <v>13280</v>
      </c>
      <c r="BN183" s="1">
        <v>13030</v>
      </c>
      <c r="BO183" s="1">
        <v>12960</v>
      </c>
      <c r="BP183" s="1">
        <v>12710</v>
      </c>
    </row>
    <row r="184" spans="1:68" ht="15.9" customHeight="1">
      <c r="A184" s="68" t="s">
        <v>362</v>
      </c>
      <c r="B184" s="44" t="s">
        <v>363</v>
      </c>
      <c r="C184" s="48" t="str">
        <f>_xll.RssMarket("9022","安値")</f>
        <v/>
      </c>
      <c r="D184" s="16" t="e">
        <f t="shared" si="5"/>
        <v>#VALUE!</v>
      </c>
      <c r="E184" s="33">
        <v>3709</v>
      </c>
      <c r="F184" s="33">
        <v>3666</v>
      </c>
      <c r="G184" s="33">
        <v>3663</v>
      </c>
      <c r="H184" s="33">
        <v>3627</v>
      </c>
      <c r="I184" s="33">
        <v>3586</v>
      </c>
      <c r="J184" s="33">
        <v>3618</v>
      </c>
      <c r="K184" s="33">
        <v>3543</v>
      </c>
      <c r="L184" s="33">
        <v>3515</v>
      </c>
      <c r="M184" s="33">
        <v>3501</v>
      </c>
      <c r="N184" s="33">
        <v>3403</v>
      </c>
      <c r="O184" s="33">
        <v>3376</v>
      </c>
      <c r="P184" s="33">
        <v>3460</v>
      </c>
      <c r="Q184" s="33">
        <v>3430</v>
      </c>
      <c r="R184" s="33">
        <v>3335</v>
      </c>
      <c r="S184" s="33">
        <v>3322</v>
      </c>
      <c r="T184" s="33">
        <v>3343</v>
      </c>
      <c r="U184" s="33">
        <v>3238</v>
      </c>
      <c r="V184" s="33">
        <v>3202</v>
      </c>
      <c r="W184" s="33">
        <v>3222</v>
      </c>
      <c r="X184" s="33">
        <v>3276</v>
      </c>
      <c r="Y184" s="33">
        <v>3284</v>
      </c>
      <c r="Z184" s="33">
        <v>3268</v>
      </c>
      <c r="AA184" s="33">
        <v>3331</v>
      </c>
      <c r="AB184" s="33">
        <v>3349</v>
      </c>
      <c r="AC184" s="33">
        <v>3401</v>
      </c>
      <c r="AD184" s="33">
        <v>3436</v>
      </c>
      <c r="AE184" s="33">
        <v>3337</v>
      </c>
      <c r="AF184" s="33">
        <v>3300</v>
      </c>
      <c r="AG184" s="33">
        <v>3277</v>
      </c>
      <c r="AH184" s="33">
        <v>3304</v>
      </c>
      <c r="AI184" s="33">
        <v>3334</v>
      </c>
      <c r="AJ184" s="33">
        <v>3452</v>
      </c>
      <c r="AK184" s="33">
        <v>3469</v>
      </c>
      <c r="AL184" s="33">
        <v>3482</v>
      </c>
      <c r="AM184" s="33">
        <v>3496</v>
      </c>
      <c r="AN184" s="33">
        <v>3512</v>
      </c>
      <c r="AO184" s="33">
        <v>3535</v>
      </c>
      <c r="AP184" s="33">
        <v>3521</v>
      </c>
      <c r="AQ184" s="33">
        <v>3553</v>
      </c>
      <c r="AR184" s="33">
        <v>3545</v>
      </c>
      <c r="AS184" s="33">
        <v>3563</v>
      </c>
      <c r="AT184" s="33">
        <v>3591</v>
      </c>
      <c r="AU184" s="33">
        <v>3603</v>
      </c>
      <c r="AV184" s="33">
        <v>3551</v>
      </c>
      <c r="AW184" s="33">
        <v>3564</v>
      </c>
      <c r="AX184" s="33">
        <v>3569</v>
      </c>
      <c r="AY184" s="33">
        <v>3552</v>
      </c>
      <c r="AZ184" s="33">
        <v>3570</v>
      </c>
      <c r="BA184" s="33">
        <v>3691</v>
      </c>
      <c r="BB184" s="33">
        <v>4063</v>
      </c>
      <c r="BC184" s="33">
        <v>4027</v>
      </c>
      <c r="BD184" s="33">
        <v>4062</v>
      </c>
      <c r="BE184" s="33">
        <v>4010</v>
      </c>
      <c r="BF184" s="33">
        <v>4135</v>
      </c>
      <c r="BG184" s="33">
        <v>4206</v>
      </c>
      <c r="BH184" s="33">
        <v>4188</v>
      </c>
      <c r="BI184" s="33">
        <v>4192</v>
      </c>
      <c r="BJ184" s="33">
        <v>4251</v>
      </c>
      <c r="BK184" s="33">
        <v>4291</v>
      </c>
      <c r="BL184" s="33">
        <v>4183</v>
      </c>
      <c r="BM184" s="1">
        <v>4160</v>
      </c>
      <c r="BN184" s="1">
        <v>4196</v>
      </c>
      <c r="BO184" s="1">
        <v>4207</v>
      </c>
      <c r="BP184" s="1">
        <v>4149</v>
      </c>
    </row>
    <row r="185" spans="1:68" ht="15.9" customHeight="1">
      <c r="A185" s="68" t="s">
        <v>364</v>
      </c>
      <c r="B185" s="44" t="s">
        <v>365</v>
      </c>
      <c r="C185" s="48" t="str">
        <f>_xll.RssMarket("9536","安値")</f>
        <v/>
      </c>
      <c r="D185" s="16" t="e">
        <f t="shared" si="5"/>
        <v>#VALUE!</v>
      </c>
      <c r="E185" s="33">
        <v>2291</v>
      </c>
      <c r="F185" s="33">
        <v>2323</v>
      </c>
      <c r="G185" s="33">
        <v>2302</v>
      </c>
      <c r="H185" s="33">
        <v>2295</v>
      </c>
      <c r="I185" s="33">
        <v>2303</v>
      </c>
      <c r="J185" s="33">
        <v>2335</v>
      </c>
      <c r="K185" s="33">
        <v>2324</v>
      </c>
      <c r="L185" s="33">
        <v>2296</v>
      </c>
      <c r="M185" s="33">
        <v>2275</v>
      </c>
      <c r="N185" s="33">
        <v>2245</v>
      </c>
      <c r="O185" s="33">
        <v>2220</v>
      </c>
      <c r="P185" s="33">
        <v>2216</v>
      </c>
      <c r="Q185" s="33">
        <v>2248</v>
      </c>
      <c r="R185" s="33">
        <v>2247</v>
      </c>
      <c r="S185" s="33">
        <v>2221</v>
      </c>
      <c r="T185" s="33">
        <v>2211</v>
      </c>
      <c r="U185" s="33">
        <v>2216</v>
      </c>
      <c r="V185" s="33">
        <v>2201</v>
      </c>
      <c r="W185" s="33">
        <v>2205</v>
      </c>
      <c r="X185" s="33">
        <v>2226</v>
      </c>
      <c r="Y185" s="33">
        <v>2224</v>
      </c>
      <c r="Z185" s="33">
        <v>2237</v>
      </c>
      <c r="AA185" s="33">
        <v>2225</v>
      </c>
      <c r="AB185" s="33">
        <v>2248</v>
      </c>
      <c r="AC185" s="33">
        <v>2223</v>
      </c>
      <c r="AD185" s="33">
        <v>2215</v>
      </c>
      <c r="AE185" s="33">
        <v>2221</v>
      </c>
      <c r="AF185" s="33">
        <v>2170</v>
      </c>
      <c r="AG185" s="33">
        <v>2184</v>
      </c>
      <c r="AH185" s="33">
        <v>2168</v>
      </c>
      <c r="AI185" s="33">
        <v>2165</v>
      </c>
      <c r="AJ185" s="33">
        <v>2154</v>
      </c>
      <c r="AK185" s="33">
        <v>2187</v>
      </c>
      <c r="AL185" s="33">
        <v>2172</v>
      </c>
      <c r="AM185" s="33">
        <v>2196</v>
      </c>
      <c r="AN185" s="33">
        <v>2187</v>
      </c>
      <c r="AO185" s="33">
        <v>2196</v>
      </c>
      <c r="AP185" s="33">
        <v>2201</v>
      </c>
      <c r="AQ185" s="33">
        <v>2191</v>
      </c>
      <c r="AR185" s="33">
        <v>2219</v>
      </c>
      <c r="AS185" s="33">
        <v>2182</v>
      </c>
      <c r="AT185" s="33">
        <v>2242</v>
      </c>
      <c r="AU185" s="33">
        <v>2225</v>
      </c>
      <c r="AV185" s="33">
        <v>2218</v>
      </c>
      <c r="AW185" s="33">
        <v>2222</v>
      </c>
      <c r="AX185" s="33">
        <v>2220</v>
      </c>
      <c r="AY185" s="33">
        <v>2208</v>
      </c>
      <c r="AZ185" s="33">
        <v>2205</v>
      </c>
      <c r="BA185" s="33">
        <v>2188</v>
      </c>
      <c r="BB185" s="33">
        <v>2236</v>
      </c>
      <c r="BC185" s="33">
        <v>2422</v>
      </c>
      <c r="BD185" s="33">
        <v>2423</v>
      </c>
      <c r="BE185" s="33">
        <v>2445</v>
      </c>
      <c r="BF185" s="33">
        <v>2430</v>
      </c>
      <c r="BG185" s="33">
        <v>2452</v>
      </c>
      <c r="BH185" s="33">
        <v>2514</v>
      </c>
      <c r="BI185" s="33">
        <v>2523</v>
      </c>
      <c r="BJ185" s="33">
        <v>2585</v>
      </c>
      <c r="BK185" s="33">
        <v>2600</v>
      </c>
      <c r="BL185" s="33">
        <v>2577</v>
      </c>
      <c r="BM185" s="1">
        <v>2556</v>
      </c>
      <c r="BN185" s="1">
        <v>2552</v>
      </c>
      <c r="BO185" s="1">
        <v>2541</v>
      </c>
      <c r="BP185" s="1">
        <v>2575</v>
      </c>
    </row>
    <row r="186" spans="1:68" ht="15.9" customHeight="1">
      <c r="A186" s="68" t="s">
        <v>366</v>
      </c>
      <c r="B186" s="44" t="s">
        <v>367</v>
      </c>
      <c r="C186" s="48" t="str">
        <f>_xll.RssMarket("9506","安値")</f>
        <v/>
      </c>
      <c r="D186" s="16" t="e">
        <f t="shared" si="5"/>
        <v>#VALUE!</v>
      </c>
      <c r="E186" s="33">
        <v>1114</v>
      </c>
      <c r="F186" s="33">
        <v>1111.5</v>
      </c>
      <c r="G186" s="33">
        <v>1092</v>
      </c>
      <c r="H186" s="33">
        <v>1077</v>
      </c>
      <c r="I186" s="33">
        <v>1088</v>
      </c>
      <c r="J186" s="33">
        <v>1091.5</v>
      </c>
      <c r="K186" s="33">
        <v>1084.5</v>
      </c>
      <c r="L186" s="33">
        <v>1073</v>
      </c>
      <c r="M186" s="33">
        <v>1073.5</v>
      </c>
      <c r="N186" s="33">
        <v>1060.5</v>
      </c>
      <c r="O186" s="33">
        <v>1052.5</v>
      </c>
      <c r="P186" s="33">
        <v>1048</v>
      </c>
      <c r="Q186" s="33">
        <v>1050</v>
      </c>
      <c r="R186" s="33">
        <v>1039</v>
      </c>
      <c r="S186" s="33">
        <v>1032.5</v>
      </c>
      <c r="T186" s="33">
        <v>1035.5</v>
      </c>
      <c r="U186" s="33">
        <v>1027.5</v>
      </c>
      <c r="V186" s="33">
        <v>1030.5</v>
      </c>
      <c r="W186" s="33">
        <v>1033</v>
      </c>
      <c r="X186" s="33">
        <v>1041</v>
      </c>
      <c r="Y186" s="33">
        <v>1039</v>
      </c>
      <c r="Z186" s="33">
        <v>1032.5</v>
      </c>
      <c r="AA186" s="33">
        <v>1039.5</v>
      </c>
      <c r="AB186" s="33">
        <v>1033</v>
      </c>
      <c r="AC186" s="33">
        <v>1008</v>
      </c>
      <c r="AD186" s="33">
        <v>1013</v>
      </c>
      <c r="AE186" s="33">
        <v>1006</v>
      </c>
      <c r="AF186" s="33">
        <v>989.4</v>
      </c>
      <c r="AG186" s="33">
        <v>993</v>
      </c>
      <c r="AH186" s="33">
        <v>989.6</v>
      </c>
      <c r="AI186" s="33">
        <v>987.1</v>
      </c>
      <c r="AJ186" s="33">
        <v>972.2</v>
      </c>
      <c r="AK186" s="33">
        <v>985.9</v>
      </c>
      <c r="AL186" s="33">
        <v>993.2</v>
      </c>
      <c r="AM186" s="33">
        <v>996.5</v>
      </c>
      <c r="AN186" s="33">
        <v>1004</v>
      </c>
      <c r="AO186" s="33">
        <v>1006</v>
      </c>
      <c r="AP186" s="33">
        <v>1012</v>
      </c>
      <c r="AQ186" s="33">
        <v>1002</v>
      </c>
      <c r="AR186" s="33">
        <v>1012.5</v>
      </c>
      <c r="AS186" s="33">
        <v>1006.5</v>
      </c>
      <c r="AT186" s="33">
        <v>1040</v>
      </c>
      <c r="AU186" s="33">
        <v>1050</v>
      </c>
      <c r="AV186" s="33">
        <v>1061</v>
      </c>
      <c r="AW186" s="33">
        <v>1058</v>
      </c>
      <c r="AX186" s="33">
        <v>1050</v>
      </c>
      <c r="AY186" s="33">
        <v>1051.5</v>
      </c>
      <c r="AZ186" s="33">
        <v>1060.5</v>
      </c>
      <c r="BA186" s="33">
        <v>1053.5</v>
      </c>
      <c r="BB186" s="33">
        <v>1080.5</v>
      </c>
      <c r="BC186" s="33">
        <v>1124</v>
      </c>
      <c r="BD186" s="33">
        <v>1115.5</v>
      </c>
      <c r="BE186" s="33">
        <v>1127.5</v>
      </c>
      <c r="BF186" s="33">
        <v>1110</v>
      </c>
      <c r="BG186" s="33">
        <v>1126.5</v>
      </c>
      <c r="BH186" s="33">
        <v>1144.5</v>
      </c>
      <c r="BI186" s="33">
        <v>1166</v>
      </c>
      <c r="BJ186" s="33">
        <v>1173</v>
      </c>
      <c r="BK186" s="33">
        <v>1171.5</v>
      </c>
      <c r="BL186" s="33">
        <v>1170</v>
      </c>
      <c r="BM186" s="1">
        <v>1162.5</v>
      </c>
      <c r="BN186" s="1">
        <v>1157</v>
      </c>
      <c r="BO186" s="1">
        <v>1159.5</v>
      </c>
      <c r="BP186" s="1">
        <v>1166</v>
      </c>
    </row>
    <row r="187" spans="1:68" ht="15.9" customHeight="1">
      <c r="A187" s="68" t="s">
        <v>368</v>
      </c>
      <c r="B187" s="44" t="s">
        <v>369</v>
      </c>
      <c r="C187" s="48" t="str">
        <f>_xll.RssMarket("2127","安値")</f>
        <v/>
      </c>
      <c r="D187" s="16" t="e">
        <f t="shared" si="5"/>
        <v>#VALUE!</v>
      </c>
      <c r="E187" s="33">
        <v>666.1</v>
      </c>
      <c r="F187" s="33">
        <v>673.3</v>
      </c>
      <c r="G187" s="33">
        <v>675.1</v>
      </c>
      <c r="H187" s="33">
        <v>667.5</v>
      </c>
      <c r="I187" s="33">
        <v>670.5</v>
      </c>
      <c r="J187" s="33">
        <v>676.1</v>
      </c>
      <c r="K187" s="33">
        <v>679.1</v>
      </c>
      <c r="L187" s="33">
        <v>680</v>
      </c>
      <c r="M187" s="33">
        <v>656.8</v>
      </c>
      <c r="N187" s="33">
        <v>650.6</v>
      </c>
      <c r="O187" s="33">
        <v>644.29999999999995</v>
      </c>
      <c r="P187" s="33">
        <v>629.1</v>
      </c>
      <c r="Q187" s="33">
        <v>632.1</v>
      </c>
      <c r="R187" s="33">
        <v>622</v>
      </c>
      <c r="S187" s="33">
        <v>616.20000000000005</v>
      </c>
      <c r="T187" s="33">
        <v>623.79999999999995</v>
      </c>
      <c r="U187" s="33">
        <v>625.1</v>
      </c>
      <c r="V187" s="33">
        <v>627.1</v>
      </c>
      <c r="W187" s="33">
        <v>632.29999999999995</v>
      </c>
      <c r="X187" s="33">
        <v>642.29999999999995</v>
      </c>
      <c r="Y187" s="33">
        <v>650</v>
      </c>
      <c r="Z187" s="33">
        <v>640.79999999999995</v>
      </c>
      <c r="AA187" s="33">
        <v>632.70000000000005</v>
      </c>
      <c r="AB187" s="33">
        <v>636</v>
      </c>
      <c r="AC187" s="33">
        <v>633.1</v>
      </c>
      <c r="AD187" s="33">
        <v>632.5</v>
      </c>
      <c r="AE187" s="33">
        <v>633.20000000000005</v>
      </c>
      <c r="AF187" s="33">
        <v>627</v>
      </c>
      <c r="AG187" s="33">
        <v>620</v>
      </c>
      <c r="AH187" s="33">
        <v>621.20000000000005</v>
      </c>
      <c r="AI187" s="33">
        <v>628</v>
      </c>
      <c r="AJ187" s="33">
        <v>643.5</v>
      </c>
      <c r="AK187" s="33">
        <v>650.5</v>
      </c>
      <c r="AL187" s="33">
        <v>644.70000000000005</v>
      </c>
      <c r="AM187" s="33">
        <v>660.2</v>
      </c>
      <c r="AN187" s="33">
        <v>645.79999999999995</v>
      </c>
      <c r="AO187" s="33">
        <v>655.4</v>
      </c>
      <c r="AP187" s="33">
        <v>648.6</v>
      </c>
      <c r="AQ187" s="33">
        <v>640.29999999999995</v>
      </c>
      <c r="AR187" s="33">
        <v>639.79999999999995</v>
      </c>
      <c r="AS187" s="33">
        <v>631.1</v>
      </c>
      <c r="AT187" s="33">
        <v>633.4</v>
      </c>
      <c r="AU187" s="33">
        <v>634.4</v>
      </c>
      <c r="AV187" s="33">
        <v>634.1</v>
      </c>
      <c r="AW187" s="33">
        <v>636.4</v>
      </c>
      <c r="AX187" s="33">
        <v>650.5</v>
      </c>
      <c r="AY187" s="33">
        <v>637</v>
      </c>
      <c r="AZ187" s="33">
        <v>607.70000000000005</v>
      </c>
      <c r="BA187" s="33">
        <v>615.1</v>
      </c>
      <c r="BB187" s="33">
        <v>654</v>
      </c>
      <c r="BC187" s="33">
        <v>683.8</v>
      </c>
      <c r="BD187" s="33">
        <v>669</v>
      </c>
      <c r="BE187" s="33">
        <v>668.5</v>
      </c>
      <c r="BF187" s="33">
        <v>676.5</v>
      </c>
      <c r="BG187" s="33">
        <v>688.8</v>
      </c>
      <c r="BH187" s="33">
        <v>685.8</v>
      </c>
      <c r="BI187" s="33">
        <v>681</v>
      </c>
      <c r="BJ187" s="33">
        <v>687.4</v>
      </c>
      <c r="BK187" s="33">
        <v>682</v>
      </c>
      <c r="BL187" s="33">
        <v>670.5</v>
      </c>
      <c r="BM187" s="1">
        <v>662.5</v>
      </c>
      <c r="BN187" s="1">
        <v>652.29999999999995</v>
      </c>
      <c r="BO187" s="1">
        <v>654</v>
      </c>
      <c r="BP187" s="1">
        <v>659.7</v>
      </c>
    </row>
    <row r="188" spans="1:68" ht="15.9" customHeight="1">
      <c r="A188" s="68" t="s">
        <v>370</v>
      </c>
      <c r="B188" s="44" t="s">
        <v>371</v>
      </c>
      <c r="C188" s="48" t="str">
        <f>_xll.RssMarket("6753","安値")</f>
        <v/>
      </c>
      <c r="D188" s="16" t="e">
        <f t="shared" si="5"/>
        <v>#VALUE!</v>
      </c>
      <c r="E188" s="33">
        <v>620.9</v>
      </c>
      <c r="F188" s="33">
        <v>634.5</v>
      </c>
      <c r="G188" s="33">
        <v>638.4</v>
      </c>
      <c r="H188" s="33">
        <v>635</v>
      </c>
      <c r="I188" s="33">
        <v>638.79999999999995</v>
      </c>
      <c r="J188" s="33">
        <v>636</v>
      </c>
      <c r="K188" s="33">
        <v>635.70000000000005</v>
      </c>
      <c r="L188" s="33">
        <v>637.20000000000005</v>
      </c>
      <c r="M188" s="33">
        <v>631.9</v>
      </c>
      <c r="N188" s="33">
        <v>634.5</v>
      </c>
      <c r="O188" s="33">
        <v>633.5</v>
      </c>
      <c r="P188" s="33">
        <v>619.5</v>
      </c>
      <c r="Q188" s="33">
        <v>632.5</v>
      </c>
      <c r="R188" s="33">
        <v>602.4</v>
      </c>
      <c r="S188" s="33">
        <v>587</v>
      </c>
      <c r="T188" s="33">
        <v>593</v>
      </c>
      <c r="U188" s="33">
        <v>575</v>
      </c>
      <c r="V188" s="33">
        <v>570.1</v>
      </c>
      <c r="W188" s="33">
        <v>569</v>
      </c>
      <c r="X188" s="33">
        <v>570.20000000000005</v>
      </c>
      <c r="Y188" s="33">
        <v>584</v>
      </c>
      <c r="Z188" s="33">
        <v>589</v>
      </c>
      <c r="AA188" s="33">
        <v>590.70000000000005</v>
      </c>
      <c r="AB188" s="33">
        <v>610</v>
      </c>
      <c r="AC188" s="33">
        <v>604</v>
      </c>
      <c r="AD188" s="33">
        <v>614.1</v>
      </c>
      <c r="AE188" s="33">
        <v>628.79999999999995</v>
      </c>
      <c r="AF188" s="33">
        <v>647</v>
      </c>
      <c r="AG188" s="33">
        <v>654.29999999999995</v>
      </c>
      <c r="AH188" s="33">
        <v>652.70000000000005</v>
      </c>
      <c r="AI188" s="33">
        <v>650</v>
      </c>
      <c r="AJ188" s="33">
        <v>614</v>
      </c>
      <c r="AK188" s="33">
        <v>603.79999999999995</v>
      </c>
      <c r="AL188" s="33">
        <v>612.6</v>
      </c>
      <c r="AM188" s="33">
        <v>605.70000000000005</v>
      </c>
      <c r="AN188" s="33">
        <v>620.6</v>
      </c>
      <c r="AO188" s="33">
        <v>613.29999999999995</v>
      </c>
      <c r="AP188" s="33">
        <v>600</v>
      </c>
      <c r="AQ188" s="33">
        <v>601</v>
      </c>
      <c r="AR188" s="33">
        <v>609.20000000000005</v>
      </c>
      <c r="AS188" s="33">
        <v>603.4</v>
      </c>
      <c r="AT188" s="33">
        <v>574.9</v>
      </c>
      <c r="AU188" s="33">
        <v>567.6</v>
      </c>
      <c r="AV188" s="33">
        <v>550</v>
      </c>
      <c r="AW188" s="33">
        <v>554</v>
      </c>
      <c r="AX188" s="33">
        <v>554.29999999999995</v>
      </c>
      <c r="AY188" s="33">
        <v>550.79999999999995</v>
      </c>
      <c r="AZ188" s="33">
        <v>559.4</v>
      </c>
      <c r="BA188" s="33">
        <v>554.20000000000005</v>
      </c>
      <c r="BB188" s="33">
        <v>553.5</v>
      </c>
      <c r="BC188" s="33">
        <v>552</v>
      </c>
      <c r="BD188" s="33">
        <v>534.4</v>
      </c>
      <c r="BE188" s="33">
        <v>555</v>
      </c>
      <c r="BF188" s="33">
        <v>588.29999999999995</v>
      </c>
      <c r="BG188" s="33">
        <v>604.5</v>
      </c>
      <c r="BH188" s="33">
        <v>605</v>
      </c>
      <c r="BI188" s="33">
        <v>612.6</v>
      </c>
      <c r="BJ188" s="33">
        <v>604</v>
      </c>
      <c r="BK188" s="33">
        <v>597.5</v>
      </c>
      <c r="BL188" s="33">
        <v>590.20000000000005</v>
      </c>
      <c r="BM188" s="1">
        <v>585.29999999999995</v>
      </c>
      <c r="BN188" s="1">
        <v>587.79999999999995</v>
      </c>
      <c r="BO188" s="1">
        <v>601.70000000000005</v>
      </c>
      <c r="BP188" s="1">
        <v>608.70000000000005</v>
      </c>
    </row>
    <row r="189" spans="1:68" ht="15.9" customHeight="1">
      <c r="A189" s="68" t="s">
        <v>372</v>
      </c>
      <c r="B189" s="44" t="str">
        <f>銘柄管理!C189</f>
        <v/>
      </c>
      <c r="C189" s="48" t="str">
        <f>_xll.RssMarket("9064","安値")</f>
        <v/>
      </c>
      <c r="D189" s="16"/>
      <c r="E189" s="33">
        <v>1990</v>
      </c>
      <c r="F189" s="33">
        <v>1958</v>
      </c>
      <c r="G189" s="33">
        <v>1958.5</v>
      </c>
      <c r="H189" s="33">
        <v>1937.5</v>
      </c>
      <c r="I189" s="33">
        <v>1930.5</v>
      </c>
      <c r="J189" s="33">
        <v>1945.5</v>
      </c>
      <c r="K189" s="33">
        <v>1956.5</v>
      </c>
      <c r="L189" s="33">
        <v>1955.5</v>
      </c>
      <c r="M189" s="33">
        <v>1936.5</v>
      </c>
      <c r="N189" s="33">
        <v>1923.5</v>
      </c>
      <c r="O189" s="33">
        <v>1844</v>
      </c>
      <c r="P189" s="33">
        <v>1821.5</v>
      </c>
      <c r="Q189" s="33">
        <v>1823.5</v>
      </c>
      <c r="R189" s="33">
        <v>1810</v>
      </c>
      <c r="S189" s="33">
        <v>1761</v>
      </c>
      <c r="T189" s="33">
        <v>1748</v>
      </c>
      <c r="U189" s="33">
        <v>1757</v>
      </c>
      <c r="V189" s="33">
        <v>1746</v>
      </c>
      <c r="W189" s="33">
        <v>1740</v>
      </c>
      <c r="X189" s="33">
        <v>1734</v>
      </c>
      <c r="Y189" s="33">
        <v>1763</v>
      </c>
      <c r="Z189" s="33">
        <v>1760</v>
      </c>
      <c r="AA189" s="33">
        <v>1768</v>
      </c>
      <c r="AB189" s="33">
        <v>1783.5</v>
      </c>
      <c r="AC189" s="33">
        <v>1790</v>
      </c>
      <c r="AD189" s="33">
        <v>1785.5</v>
      </c>
      <c r="AE189" s="33">
        <v>1775.5</v>
      </c>
      <c r="AF189" s="33">
        <v>1790.5</v>
      </c>
      <c r="AG189" s="33">
        <v>1794.5</v>
      </c>
      <c r="AH189" s="33">
        <v>1803.5</v>
      </c>
      <c r="AI189" s="33">
        <v>1781.5</v>
      </c>
      <c r="AJ189" s="33">
        <v>1794</v>
      </c>
      <c r="AK189" s="33">
        <v>1765</v>
      </c>
      <c r="AL189" s="33">
        <v>1749</v>
      </c>
      <c r="AM189" s="33">
        <v>1752.5</v>
      </c>
      <c r="AN189" s="33">
        <v>1758</v>
      </c>
      <c r="AO189" s="33">
        <v>1756</v>
      </c>
      <c r="AP189" s="33">
        <v>1735.5</v>
      </c>
      <c r="AQ189" s="33">
        <v>1750</v>
      </c>
      <c r="AR189" s="33">
        <v>1718</v>
      </c>
      <c r="AS189" s="33">
        <v>1714</v>
      </c>
      <c r="AT189" s="33">
        <v>1745</v>
      </c>
      <c r="AU189" s="33">
        <v>1744.5</v>
      </c>
      <c r="AV189" s="33">
        <v>1722</v>
      </c>
      <c r="AW189" s="33">
        <v>1725.5</v>
      </c>
      <c r="AX189" s="33">
        <v>1776.5</v>
      </c>
      <c r="AY189" s="33">
        <v>1735</v>
      </c>
      <c r="AZ189" s="33">
        <v>1719.5</v>
      </c>
      <c r="BA189" s="33">
        <v>1756.5</v>
      </c>
      <c r="BB189" s="33">
        <v>1781.5</v>
      </c>
      <c r="BC189" s="33">
        <v>1748.5</v>
      </c>
      <c r="BD189" s="33">
        <v>1761</v>
      </c>
      <c r="BE189" s="33">
        <v>1758.5</v>
      </c>
      <c r="BF189" s="33">
        <v>1809</v>
      </c>
      <c r="BG189" s="33">
        <v>1826</v>
      </c>
      <c r="BH189" s="33">
        <v>1818.5</v>
      </c>
      <c r="BI189" s="33">
        <v>1845</v>
      </c>
      <c r="BJ189" s="33">
        <v>1856</v>
      </c>
      <c r="BK189" s="33">
        <v>1865</v>
      </c>
      <c r="BL189" s="33">
        <v>1848</v>
      </c>
      <c r="BM189" s="1">
        <v>1830</v>
      </c>
      <c r="BN189" s="1">
        <v>1832.5</v>
      </c>
      <c r="BO189" s="1">
        <v>1848.5</v>
      </c>
      <c r="BP189" s="1">
        <v>1834.5</v>
      </c>
    </row>
    <row r="190" spans="1:68" ht="15.9" customHeight="1">
      <c r="A190" s="68" t="s">
        <v>373</v>
      </c>
      <c r="B190" s="44" t="s">
        <v>374</v>
      </c>
      <c r="C190" s="48" t="str">
        <f>_xll.RssMarket("7181","安値")</f>
        <v/>
      </c>
      <c r="D190" s="16" t="e">
        <f>C190-E190</f>
        <v>#VALUE!</v>
      </c>
      <c r="E190" s="33">
        <v>1597</v>
      </c>
      <c r="F190" s="33">
        <v>1647</v>
      </c>
      <c r="G190" s="33">
        <v>1612</v>
      </c>
      <c r="H190" s="33">
        <v>1613</v>
      </c>
      <c r="I190" s="33">
        <v>1607</v>
      </c>
      <c r="J190" s="33">
        <v>1622.5</v>
      </c>
      <c r="K190" s="33">
        <v>1615</v>
      </c>
      <c r="L190" s="33">
        <v>1656.5</v>
      </c>
      <c r="M190" s="33">
        <v>1602</v>
      </c>
      <c r="N190" s="33">
        <v>1541.5</v>
      </c>
      <c r="O190" s="33">
        <v>1514</v>
      </c>
      <c r="P190" s="33">
        <v>1500</v>
      </c>
      <c r="Q190" s="33">
        <v>1483</v>
      </c>
      <c r="R190" s="33">
        <v>1466.5</v>
      </c>
      <c r="S190" s="33">
        <v>1473.5</v>
      </c>
      <c r="T190" s="33">
        <v>1479</v>
      </c>
      <c r="U190" s="33">
        <v>1511.5</v>
      </c>
      <c r="V190" s="33">
        <v>1495</v>
      </c>
      <c r="W190" s="33">
        <v>1515.5</v>
      </c>
      <c r="X190" s="33">
        <v>1524</v>
      </c>
      <c r="Y190" s="33">
        <v>1516</v>
      </c>
      <c r="Z190" s="33">
        <v>1532.5</v>
      </c>
      <c r="AA190" s="33">
        <v>1529.5</v>
      </c>
      <c r="AB190" s="33">
        <v>1519.5</v>
      </c>
      <c r="AC190" s="33">
        <v>1529</v>
      </c>
      <c r="AD190" s="33">
        <v>1555</v>
      </c>
      <c r="AE190" s="33">
        <v>1415</v>
      </c>
      <c r="AF190" s="33">
        <v>1419</v>
      </c>
      <c r="AG190" s="33">
        <v>1381.5</v>
      </c>
      <c r="AH190" s="33">
        <v>1416</v>
      </c>
      <c r="AI190" s="33">
        <v>1367</v>
      </c>
      <c r="AJ190" s="33">
        <v>1391</v>
      </c>
      <c r="AK190" s="33">
        <v>1411</v>
      </c>
      <c r="AL190" s="33">
        <v>1461.5</v>
      </c>
      <c r="AM190" s="33">
        <v>1470.5</v>
      </c>
      <c r="AN190" s="33">
        <v>1511.5</v>
      </c>
      <c r="AO190" s="33">
        <v>1527</v>
      </c>
      <c r="AP190" s="33">
        <v>1515.5</v>
      </c>
      <c r="AQ190" s="33">
        <v>1474.5</v>
      </c>
      <c r="AR190" s="33">
        <v>1450</v>
      </c>
      <c r="AS190" s="33">
        <v>1604.5</v>
      </c>
      <c r="AT190" s="33">
        <v>1594.5</v>
      </c>
      <c r="AU190" s="33">
        <v>1565</v>
      </c>
      <c r="AV190" s="33">
        <v>1540.5</v>
      </c>
      <c r="AW190" s="33">
        <v>1525</v>
      </c>
      <c r="AX190" s="33">
        <v>1540.5</v>
      </c>
      <c r="AY190" s="33">
        <v>1543</v>
      </c>
      <c r="AZ190" s="33">
        <v>1508.5</v>
      </c>
      <c r="BA190" s="33">
        <v>1497.5</v>
      </c>
      <c r="BB190" s="33">
        <v>1491.5</v>
      </c>
      <c r="BC190" s="33">
        <v>1466.5</v>
      </c>
      <c r="BD190" s="33">
        <v>1474</v>
      </c>
      <c r="BE190" s="33">
        <v>1458.5</v>
      </c>
      <c r="BF190" s="33">
        <v>1497.5</v>
      </c>
      <c r="BG190" s="33">
        <v>1542.5</v>
      </c>
      <c r="BH190" s="33">
        <v>1573.5</v>
      </c>
      <c r="BI190" s="33">
        <v>1600.5</v>
      </c>
      <c r="BJ190" s="33">
        <v>1650.5</v>
      </c>
      <c r="BK190" s="33">
        <v>1640.5</v>
      </c>
      <c r="BL190" s="33">
        <v>1608</v>
      </c>
      <c r="BM190" s="1">
        <v>1576</v>
      </c>
      <c r="BN190" s="1">
        <v>1589.5</v>
      </c>
      <c r="BO190" s="1">
        <v>1586.5</v>
      </c>
      <c r="BP190" s="1">
        <v>1626</v>
      </c>
    </row>
    <row r="191" spans="1:68" ht="15.9" customHeight="1">
      <c r="A191" s="68" t="s">
        <v>375</v>
      </c>
      <c r="B191" s="44" t="str">
        <f>銘柄管理!C191</f>
        <v/>
      </c>
      <c r="C191" s="48" t="str">
        <f>_xll.RssMarket("6485","安値")</f>
        <v/>
      </c>
      <c r="D191" s="16"/>
      <c r="E191" s="33">
        <v>1519</v>
      </c>
      <c r="F191" s="33">
        <v>1539</v>
      </c>
      <c r="G191" s="33">
        <v>1536</v>
      </c>
      <c r="H191" s="33">
        <v>1539</v>
      </c>
      <c r="I191" s="33">
        <v>1549</v>
      </c>
      <c r="J191" s="33">
        <v>1537</v>
      </c>
      <c r="K191" s="33">
        <v>1506</v>
      </c>
      <c r="L191" s="33">
        <v>1524</v>
      </c>
      <c r="M191" s="33">
        <v>1520</v>
      </c>
      <c r="N191" s="33">
        <v>1518</v>
      </c>
      <c r="O191" s="33">
        <v>1524</v>
      </c>
      <c r="P191" s="33">
        <v>1496</v>
      </c>
      <c r="Q191" s="33">
        <v>1487</v>
      </c>
      <c r="R191" s="33">
        <v>1494</v>
      </c>
      <c r="S191" s="33">
        <v>1483</v>
      </c>
      <c r="T191" s="33">
        <v>1473</v>
      </c>
      <c r="U191" s="33">
        <v>1456</v>
      </c>
      <c r="V191" s="33">
        <v>1449</v>
      </c>
      <c r="W191" s="33">
        <v>1468</v>
      </c>
      <c r="X191" s="33">
        <v>1459</v>
      </c>
      <c r="Y191" s="33">
        <v>1454</v>
      </c>
      <c r="Z191" s="33">
        <v>1434</v>
      </c>
      <c r="AA191" s="33">
        <v>1430</v>
      </c>
      <c r="AB191" s="33">
        <v>1418</v>
      </c>
      <c r="AC191" s="33">
        <v>1405</v>
      </c>
      <c r="AD191" s="33">
        <v>1418</v>
      </c>
      <c r="AE191" s="33">
        <v>1410</v>
      </c>
      <c r="AF191" s="33">
        <v>1420</v>
      </c>
      <c r="AG191" s="33">
        <v>1388</v>
      </c>
      <c r="AH191" s="33">
        <v>1374</v>
      </c>
      <c r="AI191" s="33">
        <v>1360</v>
      </c>
      <c r="AJ191" s="33">
        <v>1417</v>
      </c>
      <c r="AK191" s="33">
        <v>1407</v>
      </c>
      <c r="AL191" s="33">
        <v>1409</v>
      </c>
      <c r="AM191" s="33">
        <v>1410</v>
      </c>
      <c r="AN191" s="33">
        <v>1412</v>
      </c>
      <c r="AO191" s="33">
        <v>1445</v>
      </c>
      <c r="AP191" s="33">
        <v>1442</v>
      </c>
      <c r="AQ191" s="33">
        <v>1486</v>
      </c>
      <c r="AR191" s="33">
        <v>1462</v>
      </c>
      <c r="AS191" s="33">
        <v>1500</v>
      </c>
      <c r="AT191" s="33">
        <v>1506</v>
      </c>
      <c r="AU191" s="33">
        <v>1508</v>
      </c>
      <c r="AV191" s="33">
        <v>1496</v>
      </c>
      <c r="AW191" s="33">
        <v>1505</v>
      </c>
      <c r="AX191" s="33">
        <v>1488</v>
      </c>
      <c r="AY191" s="33">
        <v>1492</v>
      </c>
      <c r="AZ191" s="33">
        <v>1484</v>
      </c>
      <c r="BA191" s="33">
        <v>1486</v>
      </c>
      <c r="BB191" s="33">
        <v>1497</v>
      </c>
      <c r="BC191" s="33">
        <v>1501</v>
      </c>
      <c r="BD191" s="33">
        <v>1525</v>
      </c>
      <c r="BE191" s="33">
        <v>1554</v>
      </c>
      <c r="BF191" s="33">
        <v>1551</v>
      </c>
      <c r="BG191" s="33">
        <v>1555</v>
      </c>
      <c r="BH191" s="33">
        <v>1567</v>
      </c>
      <c r="BI191" s="33">
        <v>1568</v>
      </c>
      <c r="BJ191" s="33">
        <v>1574</v>
      </c>
      <c r="BK191" s="33">
        <v>1591</v>
      </c>
      <c r="BL191" s="33">
        <v>1607</v>
      </c>
      <c r="BM191" s="1">
        <v>1618</v>
      </c>
      <c r="BN191" s="1">
        <v>1620</v>
      </c>
      <c r="BO191" s="1">
        <v>1589</v>
      </c>
      <c r="BP191" s="1">
        <v>1586</v>
      </c>
    </row>
    <row r="192" spans="1:68" ht="15.9" customHeight="1">
      <c r="A192" s="68" t="s">
        <v>376</v>
      </c>
      <c r="B192" s="44" t="s">
        <v>377</v>
      </c>
      <c r="C192" s="48" t="str">
        <f>_xll.RssMarket("4887","安値")</f>
        <v/>
      </c>
      <c r="D192" s="16" t="e">
        <f t="shared" ref="D192:D208" si="6">C192-E192</f>
        <v>#VALUE!</v>
      </c>
      <c r="E192" s="33">
        <v>1670</v>
      </c>
      <c r="F192" s="33">
        <v>1655.5</v>
      </c>
      <c r="G192" s="33">
        <v>1663.5</v>
      </c>
      <c r="H192" s="33">
        <v>1655.5</v>
      </c>
      <c r="I192" s="33">
        <v>1663.5</v>
      </c>
      <c r="J192" s="33">
        <v>1687</v>
      </c>
      <c r="K192" s="33">
        <v>1716</v>
      </c>
      <c r="L192" s="33">
        <v>1736</v>
      </c>
      <c r="M192" s="33">
        <v>1710</v>
      </c>
      <c r="N192" s="33">
        <v>1712</v>
      </c>
      <c r="O192" s="33">
        <v>1683</v>
      </c>
      <c r="P192" s="33">
        <v>1667</v>
      </c>
      <c r="Q192" s="33">
        <v>1664.5</v>
      </c>
      <c r="R192" s="33">
        <v>1639</v>
      </c>
      <c r="S192" s="33">
        <v>1591</v>
      </c>
      <c r="T192" s="33">
        <v>1642.5</v>
      </c>
      <c r="U192" s="33">
        <v>1637</v>
      </c>
      <c r="V192" s="33">
        <v>1610.5</v>
      </c>
      <c r="W192" s="33">
        <v>1621.5</v>
      </c>
      <c r="X192" s="33">
        <v>1619</v>
      </c>
      <c r="Y192" s="33">
        <v>1646.5</v>
      </c>
      <c r="Z192" s="33">
        <v>1642.5</v>
      </c>
      <c r="AA192" s="33">
        <v>1648</v>
      </c>
      <c r="AB192" s="33">
        <v>1688</v>
      </c>
      <c r="AC192" s="33">
        <v>1695</v>
      </c>
      <c r="AD192" s="33">
        <v>1713.5</v>
      </c>
      <c r="AE192" s="33">
        <v>1673</v>
      </c>
      <c r="AF192" s="33">
        <v>1703</v>
      </c>
      <c r="AG192" s="33">
        <v>1707.5</v>
      </c>
      <c r="AH192" s="33">
        <v>1664.5</v>
      </c>
      <c r="AI192" s="33">
        <v>1683</v>
      </c>
      <c r="AJ192" s="33">
        <v>1731</v>
      </c>
      <c r="AK192" s="33">
        <v>1726</v>
      </c>
      <c r="AL192" s="33">
        <v>1745</v>
      </c>
      <c r="AM192" s="33">
        <v>1766</v>
      </c>
      <c r="AN192" s="33">
        <v>1740.5</v>
      </c>
      <c r="AO192" s="33">
        <v>1751</v>
      </c>
      <c r="AP192" s="33">
        <v>1778.5</v>
      </c>
      <c r="AQ192" s="33">
        <v>1741</v>
      </c>
      <c r="AR192" s="33">
        <v>1730.5</v>
      </c>
      <c r="AS192" s="33">
        <v>1972.5</v>
      </c>
      <c r="AT192" s="33">
        <v>2055</v>
      </c>
      <c r="AU192" s="33">
        <v>2063.5</v>
      </c>
      <c r="AV192" s="33">
        <v>2053</v>
      </c>
      <c r="AW192" s="33">
        <v>2085</v>
      </c>
      <c r="AX192" s="33">
        <v>2083</v>
      </c>
      <c r="AY192" s="33">
        <v>2081</v>
      </c>
      <c r="AZ192" s="33">
        <v>2057.5</v>
      </c>
      <c r="BA192" s="33">
        <v>2083</v>
      </c>
      <c r="BB192" s="33">
        <v>2068</v>
      </c>
      <c r="BC192" s="33">
        <v>2069.5</v>
      </c>
      <c r="BD192" s="33">
        <v>2087</v>
      </c>
      <c r="BE192" s="33">
        <v>2073</v>
      </c>
      <c r="BF192" s="33">
        <v>2094</v>
      </c>
      <c r="BG192" s="33">
        <v>2149</v>
      </c>
      <c r="BH192" s="33">
        <v>2173</v>
      </c>
      <c r="BI192" s="33">
        <v>2208</v>
      </c>
      <c r="BJ192" s="33">
        <v>2233.5</v>
      </c>
      <c r="BK192" s="33">
        <v>2177</v>
      </c>
      <c r="BL192" s="33">
        <v>2172.5</v>
      </c>
      <c r="BM192" s="1">
        <v>2224.5</v>
      </c>
      <c r="BN192" s="1">
        <v>2229.5</v>
      </c>
      <c r="BO192" s="1">
        <v>2250</v>
      </c>
      <c r="BP192" s="1">
        <v>2256.5</v>
      </c>
    </row>
    <row r="193" spans="1:68" ht="15.9" customHeight="1">
      <c r="A193" s="68" t="s">
        <v>378</v>
      </c>
      <c r="B193" s="44" t="s">
        <v>379</v>
      </c>
      <c r="C193" s="48" t="str">
        <f>_xll.RssMarket("5243","安値")</f>
        <v/>
      </c>
      <c r="D193" s="16" t="e">
        <f t="shared" si="6"/>
        <v>#VALUE!</v>
      </c>
      <c r="E193" s="33">
        <v>1941</v>
      </c>
      <c r="F193" s="33">
        <v>2040</v>
      </c>
      <c r="G193" s="33">
        <v>2033</v>
      </c>
      <c r="H193" s="33">
        <v>2100</v>
      </c>
      <c r="I193" s="33">
        <v>1990</v>
      </c>
      <c r="J193" s="33">
        <v>1982</v>
      </c>
      <c r="K193" s="33">
        <v>2155</v>
      </c>
      <c r="L193" s="33">
        <v>2115</v>
      </c>
      <c r="M193" s="33">
        <v>2114</v>
      </c>
      <c r="N193" s="33">
        <v>1973</v>
      </c>
      <c r="O193" s="33">
        <v>1905</v>
      </c>
      <c r="P193" s="33">
        <v>1863</v>
      </c>
      <c r="Q193" s="33">
        <v>1819</v>
      </c>
      <c r="R193" s="33">
        <v>1738</v>
      </c>
      <c r="S193" s="33">
        <v>1683</v>
      </c>
      <c r="T193" s="33">
        <v>1693</v>
      </c>
      <c r="U193" s="33">
        <v>1733</v>
      </c>
      <c r="V193" s="33">
        <v>1731</v>
      </c>
      <c r="W193" s="33">
        <v>1740</v>
      </c>
      <c r="X193" s="33">
        <v>1730</v>
      </c>
      <c r="Y193" s="33">
        <v>1803</v>
      </c>
      <c r="Z193" s="33">
        <v>1720</v>
      </c>
      <c r="AA193" s="33">
        <v>1672</v>
      </c>
      <c r="AB193" s="33">
        <v>1655</v>
      </c>
      <c r="AC193" s="33">
        <v>1635</v>
      </c>
      <c r="AD193" s="33">
        <v>1604</v>
      </c>
      <c r="AE193" s="33">
        <v>1635</v>
      </c>
      <c r="AF193" s="33">
        <v>1732</v>
      </c>
      <c r="AG193" s="33">
        <v>1815</v>
      </c>
      <c r="AH193" s="33">
        <v>1810</v>
      </c>
      <c r="AI193" s="33">
        <v>1862</v>
      </c>
      <c r="AJ193" s="33">
        <v>1881</v>
      </c>
      <c r="AK193" s="33">
        <v>2031</v>
      </c>
      <c r="AL193" s="33">
        <v>2027</v>
      </c>
      <c r="AM193" s="33">
        <v>2051</v>
      </c>
      <c r="AN193" s="33">
        <v>2181</v>
      </c>
      <c r="AO193" s="33">
        <v>2172</v>
      </c>
      <c r="AP193" s="33">
        <v>2150</v>
      </c>
      <c r="AQ193" s="33">
        <v>2145</v>
      </c>
      <c r="AR193" s="33">
        <v>2188</v>
      </c>
      <c r="AS193" s="33">
        <v>2181</v>
      </c>
      <c r="AT193" s="33">
        <v>2235</v>
      </c>
      <c r="AU193" s="33">
        <v>2272</v>
      </c>
      <c r="AV193" s="33">
        <v>2271</v>
      </c>
      <c r="AW193" s="33">
        <v>2135</v>
      </c>
      <c r="AX193" s="33">
        <v>2102</v>
      </c>
      <c r="AY193" s="33">
        <v>2134</v>
      </c>
      <c r="AZ193" s="33">
        <v>2240</v>
      </c>
      <c r="BA193" s="33">
        <v>2363</v>
      </c>
      <c r="BB193" s="33">
        <v>2396</v>
      </c>
      <c r="BC193" s="33">
        <v>2330</v>
      </c>
      <c r="BD193" s="33">
        <v>2265</v>
      </c>
      <c r="BE193" s="33">
        <v>2380</v>
      </c>
      <c r="BF193" s="33">
        <v>2467</v>
      </c>
      <c r="BG193" s="33">
        <v>2432</v>
      </c>
      <c r="BH193" s="33">
        <v>2535</v>
      </c>
      <c r="BI193" s="33">
        <v>2520</v>
      </c>
      <c r="BJ193" s="33">
        <v>2586</v>
      </c>
      <c r="BK193" s="33">
        <v>2563</v>
      </c>
      <c r="BL193" s="33">
        <v>2515</v>
      </c>
      <c r="BM193" s="1">
        <v>2853</v>
      </c>
      <c r="BN193" s="1">
        <v>2681</v>
      </c>
      <c r="BO193" s="1">
        <v>2629</v>
      </c>
      <c r="BP193" s="1">
        <v>2645</v>
      </c>
    </row>
    <row r="194" spans="1:68" ht="15.9" customHeight="1">
      <c r="A194" s="68" t="s">
        <v>380</v>
      </c>
      <c r="B194" s="44" t="s">
        <v>381</v>
      </c>
      <c r="C194" s="48" t="str">
        <f>_xll.RssMarket("2702","安値")</f>
        <v/>
      </c>
      <c r="D194" s="16" t="e">
        <f t="shared" si="6"/>
        <v>#VALUE!</v>
      </c>
      <c r="E194" s="33">
        <v>7520</v>
      </c>
      <c r="F194" s="33">
        <v>7570</v>
      </c>
      <c r="G194" s="33">
        <v>7680</v>
      </c>
      <c r="H194" s="33">
        <v>7700</v>
      </c>
      <c r="I194" s="33">
        <v>7720</v>
      </c>
      <c r="J194" s="33">
        <v>7600</v>
      </c>
      <c r="K194" s="33">
        <v>7580</v>
      </c>
      <c r="L194" s="33">
        <v>7610</v>
      </c>
      <c r="M194" s="33">
        <v>7410</v>
      </c>
      <c r="N194" s="33">
        <v>7250</v>
      </c>
      <c r="O194" s="33">
        <v>7450</v>
      </c>
      <c r="P194" s="33">
        <v>7420</v>
      </c>
      <c r="Q194" s="33">
        <v>7410</v>
      </c>
      <c r="R194" s="33">
        <v>7210</v>
      </c>
      <c r="S194" s="33">
        <v>7100</v>
      </c>
      <c r="T194" s="33">
        <v>7020</v>
      </c>
      <c r="U194" s="33">
        <v>7130</v>
      </c>
      <c r="V194" s="33">
        <v>7220</v>
      </c>
      <c r="W194" s="33">
        <v>7250</v>
      </c>
      <c r="X194" s="33">
        <v>7350</v>
      </c>
      <c r="Y194" s="33">
        <v>7320</v>
      </c>
      <c r="Z194" s="33">
        <v>7410</v>
      </c>
      <c r="AA194" s="33">
        <v>7330</v>
      </c>
      <c r="AB194" s="33">
        <v>7320</v>
      </c>
      <c r="AC194" s="33">
        <v>7160</v>
      </c>
      <c r="AD194" s="33">
        <v>7340</v>
      </c>
      <c r="AE194" s="33">
        <v>7320</v>
      </c>
      <c r="AF194" s="33">
        <v>7290</v>
      </c>
      <c r="AG194" s="33">
        <v>7440</v>
      </c>
      <c r="AH194" s="33">
        <v>7540</v>
      </c>
      <c r="AI194" s="33">
        <v>7700</v>
      </c>
      <c r="AJ194" s="33">
        <v>7760</v>
      </c>
      <c r="AK194" s="33">
        <v>7870</v>
      </c>
      <c r="AL194" s="33">
        <v>8030</v>
      </c>
      <c r="AM194" s="33">
        <v>8010</v>
      </c>
      <c r="AN194" s="33">
        <v>7960</v>
      </c>
      <c r="AO194" s="33">
        <v>7800</v>
      </c>
      <c r="AP194" s="33">
        <v>7780</v>
      </c>
      <c r="AQ194" s="33">
        <v>8110</v>
      </c>
      <c r="AR194" s="33">
        <v>8290</v>
      </c>
      <c r="AS194" s="33">
        <v>8320</v>
      </c>
      <c r="AT194" s="33">
        <v>7650</v>
      </c>
      <c r="AU194" s="33">
        <v>7740</v>
      </c>
      <c r="AV194" s="33">
        <v>7870</v>
      </c>
      <c r="AW194" s="33">
        <v>7960</v>
      </c>
      <c r="AX194" s="33">
        <v>8090</v>
      </c>
      <c r="AY194" s="33">
        <v>8110</v>
      </c>
      <c r="AZ194" s="33">
        <v>8150</v>
      </c>
      <c r="BA194" s="33">
        <v>8070</v>
      </c>
      <c r="BB194" s="33">
        <v>8070</v>
      </c>
      <c r="BC194" s="33">
        <v>8090</v>
      </c>
      <c r="BD194" s="33">
        <v>8150</v>
      </c>
      <c r="BE194" s="33">
        <v>8200</v>
      </c>
      <c r="BF194" s="33">
        <v>8170</v>
      </c>
      <c r="BG194" s="33">
        <v>8160</v>
      </c>
      <c r="BH194" s="33">
        <v>8160</v>
      </c>
      <c r="BI194" s="33">
        <v>8050</v>
      </c>
      <c r="BJ194" s="33">
        <v>8000</v>
      </c>
      <c r="BK194" s="33">
        <v>8020</v>
      </c>
      <c r="BL194" s="33">
        <v>8240</v>
      </c>
      <c r="BM194" s="1">
        <v>8470</v>
      </c>
      <c r="BN194" s="1">
        <v>8550</v>
      </c>
    </row>
    <row r="195" spans="1:68" ht="15.9" customHeight="1">
      <c r="A195" s="68" t="s">
        <v>382</v>
      </c>
      <c r="B195" s="44" t="s">
        <v>383</v>
      </c>
      <c r="C195" s="48" t="str">
        <f>_xll.RssMarket("6890","安値")</f>
        <v/>
      </c>
      <c r="D195" s="16" t="e">
        <f t="shared" si="6"/>
        <v>#VALUE!</v>
      </c>
      <c r="E195" s="33">
        <v>6750</v>
      </c>
      <c r="F195" s="33">
        <v>7930</v>
      </c>
      <c r="G195" s="33">
        <v>7770</v>
      </c>
      <c r="H195" s="33">
        <v>8420</v>
      </c>
      <c r="I195" s="33">
        <v>8690</v>
      </c>
      <c r="J195" s="33">
        <v>8260</v>
      </c>
      <c r="K195" s="33">
        <v>8060</v>
      </c>
      <c r="L195" s="33">
        <v>8410</v>
      </c>
      <c r="M195" s="33">
        <v>8750</v>
      </c>
      <c r="N195" s="33">
        <v>8400</v>
      </c>
      <c r="O195" s="33">
        <v>8870</v>
      </c>
      <c r="P195" s="33">
        <v>9370</v>
      </c>
      <c r="Q195" s="33">
        <v>9200</v>
      </c>
      <c r="R195" s="33">
        <v>8740</v>
      </c>
      <c r="S195" s="33">
        <v>9230</v>
      </c>
      <c r="T195" s="33">
        <v>10060</v>
      </c>
      <c r="U195" s="33">
        <v>9650</v>
      </c>
      <c r="V195" s="33">
        <v>10590</v>
      </c>
      <c r="W195" s="33">
        <v>10470</v>
      </c>
      <c r="X195" s="33">
        <v>10300</v>
      </c>
      <c r="Y195" s="33">
        <v>9530</v>
      </c>
      <c r="Z195" s="33">
        <v>8990</v>
      </c>
      <c r="AA195" s="33">
        <v>9010</v>
      </c>
      <c r="AB195" s="33">
        <v>9030</v>
      </c>
      <c r="AC195" s="33">
        <v>8760</v>
      </c>
      <c r="AD195" s="33">
        <v>7430</v>
      </c>
      <c r="AE195" s="33">
        <v>7730</v>
      </c>
      <c r="AF195" s="33">
        <v>8120</v>
      </c>
      <c r="AG195" s="33">
        <v>8450</v>
      </c>
      <c r="AH195" s="33">
        <v>7950</v>
      </c>
      <c r="AI195" s="33">
        <v>7840</v>
      </c>
      <c r="AJ195" s="33">
        <v>7520</v>
      </c>
      <c r="AK195" s="33">
        <v>8480</v>
      </c>
      <c r="AL195" s="33">
        <v>8270</v>
      </c>
      <c r="AM195" s="33">
        <v>8490</v>
      </c>
      <c r="AN195" s="33">
        <v>9060</v>
      </c>
      <c r="AO195" s="33">
        <v>8850</v>
      </c>
      <c r="AP195" s="33">
        <v>8630</v>
      </c>
      <c r="AQ195" s="33">
        <v>8550</v>
      </c>
      <c r="AR195" s="33">
        <v>8430</v>
      </c>
      <c r="AS195" s="33">
        <v>8850</v>
      </c>
      <c r="AT195" s="33">
        <v>9220</v>
      </c>
      <c r="AU195" s="33">
        <v>9600</v>
      </c>
      <c r="AV195" s="33">
        <v>9020</v>
      </c>
      <c r="AW195" s="33">
        <v>9540</v>
      </c>
      <c r="AX195" s="33">
        <v>9570</v>
      </c>
      <c r="AY195" s="33">
        <v>9010</v>
      </c>
      <c r="AZ195" s="33">
        <v>8330</v>
      </c>
      <c r="BA195" s="33">
        <v>7600</v>
      </c>
      <c r="BB195" s="33">
        <v>7490</v>
      </c>
      <c r="BC195" s="33">
        <v>7090</v>
      </c>
      <c r="BD195" s="33">
        <v>7200</v>
      </c>
      <c r="BE195" s="33">
        <v>7160</v>
      </c>
      <c r="BF195" s="33">
        <v>7030</v>
      </c>
      <c r="BG195" s="33">
        <v>6560</v>
      </c>
      <c r="BH195" s="33">
        <v>6640</v>
      </c>
      <c r="BI195" s="33">
        <v>6670</v>
      </c>
      <c r="BJ195" s="33">
        <v>6610</v>
      </c>
      <c r="BK195" s="33">
        <v>6720</v>
      </c>
      <c r="BL195" s="33">
        <v>6670</v>
      </c>
      <c r="BM195" s="1">
        <v>6930</v>
      </c>
      <c r="BN195" s="1">
        <v>6870</v>
      </c>
      <c r="BO195" s="1">
        <v>6920</v>
      </c>
      <c r="BP195" s="1">
        <v>6710</v>
      </c>
    </row>
    <row r="196" spans="1:68" ht="15.9" customHeight="1">
      <c r="A196" s="68" t="s">
        <v>384</v>
      </c>
      <c r="B196" s="44" t="s">
        <v>385</v>
      </c>
      <c r="C196" s="48" t="str">
        <f>_xll.RssMarket("4966","安値")</f>
        <v/>
      </c>
      <c r="D196" s="16" t="e">
        <f t="shared" si="6"/>
        <v>#VALUE!</v>
      </c>
      <c r="E196" s="33">
        <v>22000</v>
      </c>
      <c r="F196" s="33">
        <v>23870</v>
      </c>
      <c r="G196" s="33">
        <v>22860</v>
      </c>
      <c r="H196" s="33">
        <v>23280</v>
      </c>
      <c r="I196" s="33">
        <v>24430</v>
      </c>
      <c r="J196" s="33">
        <v>23980</v>
      </c>
      <c r="K196" s="33">
        <v>23150</v>
      </c>
      <c r="L196" s="33">
        <v>23980</v>
      </c>
      <c r="M196" s="33">
        <v>25500</v>
      </c>
      <c r="N196" s="33">
        <v>24800</v>
      </c>
      <c r="O196" s="33">
        <v>25510</v>
      </c>
      <c r="P196" s="33">
        <v>27530</v>
      </c>
      <c r="Q196" s="33">
        <v>26710</v>
      </c>
      <c r="R196" s="33">
        <v>25910</v>
      </c>
      <c r="S196" s="33">
        <v>26600</v>
      </c>
      <c r="T196" s="33">
        <v>27570</v>
      </c>
      <c r="U196" s="33">
        <v>26700</v>
      </c>
      <c r="V196" s="33">
        <v>26810</v>
      </c>
      <c r="W196" s="33">
        <v>27040</v>
      </c>
      <c r="X196" s="33">
        <v>26660</v>
      </c>
      <c r="Y196" s="33">
        <v>26220</v>
      </c>
      <c r="Z196" s="33">
        <v>25750</v>
      </c>
      <c r="AA196" s="33">
        <v>25890</v>
      </c>
      <c r="AB196" s="33">
        <v>24840</v>
      </c>
      <c r="AC196" s="33">
        <v>23710</v>
      </c>
      <c r="AD196" s="33">
        <v>21820</v>
      </c>
      <c r="AE196" s="33">
        <v>22000</v>
      </c>
      <c r="AF196" s="33">
        <v>20850</v>
      </c>
      <c r="AG196" s="33">
        <v>22270</v>
      </c>
      <c r="AH196" s="33">
        <v>22800</v>
      </c>
      <c r="AI196" s="33">
        <v>23060</v>
      </c>
      <c r="AJ196" s="33">
        <v>22060</v>
      </c>
      <c r="AK196" s="33">
        <v>23020</v>
      </c>
      <c r="AL196" s="33">
        <v>22900</v>
      </c>
      <c r="AM196" s="33">
        <v>23540</v>
      </c>
      <c r="AN196" s="33">
        <v>23860</v>
      </c>
      <c r="AO196" s="33">
        <v>23440</v>
      </c>
      <c r="AP196" s="33">
        <v>23000</v>
      </c>
      <c r="AQ196" s="33">
        <v>21940</v>
      </c>
      <c r="AR196" s="33">
        <v>22650</v>
      </c>
      <c r="AS196" s="33">
        <v>23450</v>
      </c>
      <c r="AT196" s="33">
        <v>23540</v>
      </c>
      <c r="AU196" s="33">
        <v>25000</v>
      </c>
      <c r="AV196" s="33">
        <v>21500</v>
      </c>
      <c r="AW196" s="33">
        <v>24360</v>
      </c>
      <c r="AX196" s="33">
        <v>23400</v>
      </c>
      <c r="AY196" s="33">
        <v>23060</v>
      </c>
      <c r="AZ196" s="33">
        <v>23120</v>
      </c>
      <c r="BA196" s="33">
        <v>22550</v>
      </c>
      <c r="BB196" s="33">
        <v>23120</v>
      </c>
      <c r="BC196" s="33">
        <v>22910</v>
      </c>
      <c r="BD196" s="33">
        <v>23100</v>
      </c>
      <c r="BE196" s="33">
        <v>23160</v>
      </c>
      <c r="BF196" s="33">
        <v>22770</v>
      </c>
      <c r="BG196" s="33">
        <v>22580</v>
      </c>
      <c r="BH196" s="33">
        <v>22840</v>
      </c>
      <c r="BI196" s="33">
        <v>22660</v>
      </c>
      <c r="BJ196" s="33">
        <v>23140</v>
      </c>
      <c r="BK196" s="33">
        <v>23340</v>
      </c>
      <c r="BL196" s="33">
        <v>23680</v>
      </c>
      <c r="BM196" s="1">
        <v>23750</v>
      </c>
      <c r="BN196" s="1">
        <v>22780</v>
      </c>
      <c r="BO196" s="1">
        <v>22560</v>
      </c>
      <c r="BP196" s="1">
        <v>22380</v>
      </c>
    </row>
    <row r="197" spans="1:68" ht="15.9" customHeight="1">
      <c r="A197" s="68" t="s">
        <v>386</v>
      </c>
      <c r="B197" s="44" t="s">
        <v>387</v>
      </c>
      <c r="C197" s="48" t="str">
        <f>_xll.RssMarket("6146","安値")</f>
        <v/>
      </c>
      <c r="D197" s="16" t="e">
        <f t="shared" si="6"/>
        <v>#VALUE!</v>
      </c>
      <c r="E197" s="33">
        <v>62260</v>
      </c>
      <c r="F197" s="33">
        <v>71480</v>
      </c>
      <c r="G197" s="33">
        <v>68730</v>
      </c>
      <c r="H197" s="33">
        <v>70330</v>
      </c>
      <c r="I197" s="33">
        <v>71620</v>
      </c>
      <c r="J197" s="33">
        <v>69230</v>
      </c>
      <c r="K197" s="33">
        <v>68030</v>
      </c>
      <c r="L197" s="33">
        <v>71600</v>
      </c>
      <c r="M197" s="33">
        <v>75230</v>
      </c>
      <c r="N197" s="33">
        <v>72750</v>
      </c>
      <c r="O197" s="33">
        <v>76770</v>
      </c>
      <c r="P197" s="33">
        <v>83720</v>
      </c>
      <c r="Q197" s="33">
        <v>79760</v>
      </c>
      <c r="R197" s="33">
        <v>75330</v>
      </c>
      <c r="S197" s="33">
        <v>78180</v>
      </c>
      <c r="T197" s="33">
        <v>83650</v>
      </c>
      <c r="U197" s="33">
        <v>77830</v>
      </c>
      <c r="V197" s="33">
        <v>82870</v>
      </c>
      <c r="W197" s="33">
        <v>85630</v>
      </c>
      <c r="X197" s="33">
        <v>84800</v>
      </c>
      <c r="Y197" s="33">
        <v>82440</v>
      </c>
      <c r="Z197" s="33">
        <v>80000</v>
      </c>
      <c r="AA197" s="33">
        <v>81210</v>
      </c>
      <c r="AB197" s="33">
        <v>80450</v>
      </c>
      <c r="AC197" s="33">
        <v>73310</v>
      </c>
      <c r="AD197" s="33">
        <v>66440</v>
      </c>
      <c r="AE197" s="33">
        <v>69320</v>
      </c>
      <c r="AF197" s="33">
        <v>66440</v>
      </c>
      <c r="AG197" s="33">
        <v>70440</v>
      </c>
      <c r="AH197" s="33">
        <v>68080</v>
      </c>
      <c r="AI197" s="33">
        <v>65130</v>
      </c>
      <c r="AJ197" s="33">
        <v>61530</v>
      </c>
      <c r="AK197" s="33">
        <v>63580</v>
      </c>
      <c r="AL197" s="33">
        <v>64800</v>
      </c>
      <c r="AM197" s="33">
        <v>67340</v>
      </c>
      <c r="AN197" s="33">
        <v>67180</v>
      </c>
      <c r="AO197" s="33">
        <v>65090</v>
      </c>
      <c r="AP197" s="33">
        <v>63220</v>
      </c>
      <c r="AQ197" s="33">
        <v>59650</v>
      </c>
      <c r="AR197" s="33">
        <v>60650</v>
      </c>
      <c r="AS197" s="33">
        <v>62280</v>
      </c>
      <c r="AT197" s="33">
        <v>64300</v>
      </c>
      <c r="AU197" s="33">
        <v>70000</v>
      </c>
      <c r="AV197" s="33">
        <v>70330</v>
      </c>
      <c r="AW197" s="33">
        <v>71370</v>
      </c>
      <c r="AX197" s="33">
        <v>73100</v>
      </c>
      <c r="AY197" s="33">
        <v>74830</v>
      </c>
      <c r="AZ197" s="33">
        <v>75800</v>
      </c>
      <c r="BA197" s="33">
        <v>72200</v>
      </c>
      <c r="BB197" s="33">
        <v>72910</v>
      </c>
      <c r="BC197" s="33">
        <v>73600</v>
      </c>
      <c r="BD197" s="33">
        <v>72800</v>
      </c>
      <c r="BE197" s="33">
        <v>71090</v>
      </c>
      <c r="BF197" s="33">
        <v>71230</v>
      </c>
      <c r="BG197" s="33">
        <v>74180</v>
      </c>
      <c r="BH197" s="33">
        <v>72000</v>
      </c>
      <c r="BI197" s="33">
        <v>71800</v>
      </c>
      <c r="BJ197" s="33">
        <v>72020</v>
      </c>
      <c r="BK197" s="33">
        <v>70640</v>
      </c>
      <c r="BL197" s="33">
        <v>70170</v>
      </c>
      <c r="BM197" s="1">
        <v>69970</v>
      </c>
      <c r="BN197" s="1">
        <v>66200</v>
      </c>
      <c r="BO197" s="1">
        <v>65530</v>
      </c>
      <c r="BP197" s="1">
        <v>64330</v>
      </c>
    </row>
    <row r="198" spans="1:68" ht="15.9" customHeight="1">
      <c r="A198" s="68" t="s">
        <v>388</v>
      </c>
      <c r="B198" s="44" t="s">
        <v>389</v>
      </c>
      <c r="C198" s="48" t="str">
        <f>_xll.RssMarket("8035","安値")</f>
        <v/>
      </c>
      <c r="D198" s="16" t="e">
        <f t="shared" si="6"/>
        <v>#VALUE!</v>
      </c>
      <c r="E198" s="33">
        <v>63150</v>
      </c>
      <c r="F198" s="33">
        <v>70780</v>
      </c>
      <c r="G198" s="33">
        <v>68680</v>
      </c>
      <c r="H198" s="33">
        <v>69940</v>
      </c>
      <c r="I198" s="33">
        <v>71610</v>
      </c>
      <c r="J198" s="33">
        <v>69300</v>
      </c>
      <c r="K198" s="33">
        <v>66560</v>
      </c>
      <c r="L198" s="33">
        <v>69130</v>
      </c>
      <c r="M198" s="33">
        <v>70670</v>
      </c>
      <c r="N198" s="33">
        <v>68970</v>
      </c>
      <c r="O198" s="33">
        <v>72940</v>
      </c>
      <c r="P198" s="33">
        <v>76690</v>
      </c>
      <c r="Q198" s="33">
        <v>74730</v>
      </c>
      <c r="R198" s="33">
        <v>70670</v>
      </c>
      <c r="S198" s="33">
        <v>71120</v>
      </c>
      <c r="T198" s="33">
        <v>71900</v>
      </c>
      <c r="U198" s="33">
        <v>68620</v>
      </c>
      <c r="V198" s="33">
        <v>72960</v>
      </c>
      <c r="W198" s="33">
        <v>73980</v>
      </c>
      <c r="X198" s="33">
        <v>73920</v>
      </c>
      <c r="Y198" s="33">
        <v>73100</v>
      </c>
      <c r="Z198" s="33">
        <v>69850</v>
      </c>
      <c r="AA198" s="33">
        <v>70820</v>
      </c>
      <c r="AB198" s="33">
        <v>72760</v>
      </c>
      <c r="AC198" s="33">
        <v>68000</v>
      </c>
      <c r="AD198" s="33">
        <v>60210</v>
      </c>
      <c r="AE198" s="33">
        <v>60810</v>
      </c>
      <c r="AF198" s="33">
        <v>54650</v>
      </c>
      <c r="AG198" s="33">
        <v>58750</v>
      </c>
      <c r="AH198" s="33">
        <v>59900</v>
      </c>
      <c r="AI198" s="33">
        <v>56390</v>
      </c>
      <c r="AJ198" s="33">
        <v>52180</v>
      </c>
      <c r="AK198" s="33">
        <v>52030</v>
      </c>
      <c r="AL198" s="33">
        <v>51150</v>
      </c>
      <c r="AM198" s="33">
        <v>52500</v>
      </c>
      <c r="AN198" s="33">
        <v>50030</v>
      </c>
      <c r="AO198" s="33">
        <v>48730</v>
      </c>
      <c r="AP198" s="33">
        <v>47450</v>
      </c>
      <c r="AQ198" s="33">
        <v>45030</v>
      </c>
      <c r="AR198" s="33">
        <v>47160</v>
      </c>
      <c r="AS198" s="33">
        <v>48810</v>
      </c>
      <c r="AT198" s="33">
        <v>49480</v>
      </c>
      <c r="AU198" s="33">
        <v>51200</v>
      </c>
      <c r="AV198" s="33">
        <v>50830</v>
      </c>
      <c r="AW198" s="33">
        <v>51630</v>
      </c>
      <c r="AX198" s="33">
        <v>51870</v>
      </c>
      <c r="AY198" s="33">
        <v>51220</v>
      </c>
      <c r="AZ198" s="33">
        <v>50240</v>
      </c>
      <c r="BA198" s="33">
        <v>46710</v>
      </c>
      <c r="BB198" s="33">
        <v>43980</v>
      </c>
      <c r="BC198" s="33">
        <v>45010</v>
      </c>
      <c r="BD198" s="33">
        <v>46300</v>
      </c>
      <c r="BE198" s="33">
        <v>45410</v>
      </c>
      <c r="BF198" s="33">
        <v>44950</v>
      </c>
      <c r="BG198" s="33">
        <v>45020</v>
      </c>
      <c r="BH198" s="33">
        <v>44670</v>
      </c>
      <c r="BI198" s="33">
        <v>43620</v>
      </c>
      <c r="BJ198" s="33">
        <v>44010</v>
      </c>
      <c r="BK198" s="33">
        <v>44100</v>
      </c>
      <c r="BL198" s="33">
        <v>43360</v>
      </c>
      <c r="BM198" s="1">
        <v>42890</v>
      </c>
      <c r="BN198" s="1">
        <v>42300</v>
      </c>
      <c r="BO198" s="1">
        <v>42620</v>
      </c>
      <c r="BP198" s="1">
        <v>41750</v>
      </c>
    </row>
    <row r="199" spans="1:68" ht="15.9" customHeight="1">
      <c r="A199" s="68" t="s">
        <v>390</v>
      </c>
      <c r="B199" s="44" t="s">
        <v>391</v>
      </c>
      <c r="C199" s="48" t="str">
        <f>_xll.RssMarket("6920","安値")</f>
        <v/>
      </c>
      <c r="D199" s="16" t="e">
        <f t="shared" si="6"/>
        <v>#VALUE!</v>
      </c>
      <c r="E199" s="33">
        <v>39850</v>
      </c>
      <c r="F199" s="33">
        <v>46830</v>
      </c>
      <c r="G199" s="33">
        <v>43400</v>
      </c>
      <c r="H199" s="33">
        <v>44020</v>
      </c>
      <c r="I199" s="33">
        <v>43470</v>
      </c>
      <c r="J199" s="33">
        <v>41810</v>
      </c>
      <c r="K199" s="33">
        <v>42000</v>
      </c>
      <c r="L199" s="33">
        <v>43420</v>
      </c>
      <c r="M199" s="33">
        <v>45550</v>
      </c>
      <c r="N199" s="33">
        <v>44340</v>
      </c>
      <c r="O199" s="33">
        <v>46950</v>
      </c>
      <c r="P199" s="33">
        <v>50380</v>
      </c>
      <c r="Q199" s="33">
        <v>48710</v>
      </c>
      <c r="R199" s="33">
        <v>46570</v>
      </c>
      <c r="S199" s="33">
        <v>49260</v>
      </c>
      <c r="T199" s="33">
        <v>50870</v>
      </c>
      <c r="U199" s="33">
        <v>49990</v>
      </c>
      <c r="V199" s="33">
        <v>51840</v>
      </c>
      <c r="W199" s="33">
        <v>54370</v>
      </c>
      <c r="X199" s="33">
        <v>53860</v>
      </c>
      <c r="Y199" s="33">
        <v>51910</v>
      </c>
      <c r="Z199" s="33">
        <v>45770</v>
      </c>
      <c r="AA199" s="33">
        <v>46450</v>
      </c>
      <c r="AB199" s="33">
        <v>45460</v>
      </c>
      <c r="AC199" s="33">
        <v>41820</v>
      </c>
      <c r="AD199" s="33">
        <v>37780</v>
      </c>
      <c r="AE199" s="33">
        <v>39660</v>
      </c>
      <c r="AF199" s="33">
        <v>38760</v>
      </c>
      <c r="AG199" s="33">
        <v>41020</v>
      </c>
      <c r="AH199" s="33">
        <v>41230</v>
      </c>
      <c r="AI199" s="33">
        <v>39340</v>
      </c>
      <c r="AJ199" s="33">
        <v>37850</v>
      </c>
      <c r="AK199" s="33">
        <v>38930</v>
      </c>
      <c r="AL199" s="33">
        <v>38860</v>
      </c>
      <c r="AM199" s="33">
        <v>41530</v>
      </c>
      <c r="AN199" s="33">
        <v>40290</v>
      </c>
      <c r="AO199" s="33">
        <v>37870</v>
      </c>
      <c r="AP199" s="33">
        <v>36720</v>
      </c>
      <c r="AQ199" s="33">
        <v>34620</v>
      </c>
      <c r="AR199" s="33">
        <v>35550</v>
      </c>
      <c r="AS199" s="33">
        <v>38080</v>
      </c>
      <c r="AT199" s="33">
        <v>38030</v>
      </c>
      <c r="AU199" s="33">
        <v>40540</v>
      </c>
      <c r="AV199" s="33">
        <v>41400</v>
      </c>
      <c r="AW199" s="33">
        <v>42700</v>
      </c>
      <c r="AX199" s="33">
        <v>43480</v>
      </c>
      <c r="AY199" s="33">
        <v>42760</v>
      </c>
      <c r="AZ199" s="33">
        <v>44380</v>
      </c>
      <c r="BA199" s="33">
        <v>40500</v>
      </c>
      <c r="BB199" s="33">
        <v>42520</v>
      </c>
      <c r="BC199" s="33">
        <v>44060</v>
      </c>
      <c r="BD199" s="33">
        <v>45000</v>
      </c>
      <c r="BE199" s="33">
        <v>44350</v>
      </c>
      <c r="BF199" s="33">
        <v>43100</v>
      </c>
      <c r="BG199" s="33">
        <v>44110</v>
      </c>
      <c r="BH199" s="33">
        <v>42340</v>
      </c>
      <c r="BI199" s="33">
        <v>40530</v>
      </c>
      <c r="BJ199" s="33">
        <v>39950</v>
      </c>
      <c r="BK199" s="33">
        <v>40630</v>
      </c>
      <c r="BL199" s="33">
        <v>41210</v>
      </c>
      <c r="BM199" s="1">
        <v>41630</v>
      </c>
      <c r="BN199" s="1">
        <v>40480</v>
      </c>
      <c r="BO199" s="1">
        <v>39000</v>
      </c>
      <c r="BP199" s="1">
        <v>38340</v>
      </c>
    </row>
    <row r="200" spans="1:68" ht="15.9" customHeight="1">
      <c r="A200" s="68" t="s">
        <v>392</v>
      </c>
      <c r="B200" s="44" t="s">
        <v>393</v>
      </c>
      <c r="C200" s="48" t="str">
        <f>_xll.RssMarket("5801","安値")</f>
        <v/>
      </c>
      <c r="D200" s="16" t="e">
        <f t="shared" si="6"/>
        <v>#VALUE!</v>
      </c>
      <c r="E200" s="33">
        <v>3079</v>
      </c>
      <c r="F200" s="33">
        <v>3550</v>
      </c>
      <c r="G200" s="33">
        <v>3357</v>
      </c>
      <c r="H200" s="33">
        <v>3566</v>
      </c>
      <c r="I200" s="33">
        <v>3719</v>
      </c>
      <c r="J200" s="33">
        <v>3507</v>
      </c>
      <c r="K200" s="33">
        <v>3442</v>
      </c>
      <c r="L200" s="33">
        <v>3656</v>
      </c>
      <c r="M200" s="33">
        <v>3793</v>
      </c>
      <c r="N200" s="33">
        <v>3711</v>
      </c>
      <c r="O200" s="33">
        <v>3925</v>
      </c>
      <c r="P200" s="33">
        <v>4218</v>
      </c>
      <c r="Q200" s="33">
        <v>4589</v>
      </c>
      <c r="R200" s="33">
        <v>4254</v>
      </c>
      <c r="S200" s="33">
        <v>44620</v>
      </c>
      <c r="T200" s="33">
        <v>47980</v>
      </c>
      <c r="U200" s="33">
        <v>46000</v>
      </c>
      <c r="V200" s="33">
        <v>48480</v>
      </c>
      <c r="W200" s="33">
        <v>54280</v>
      </c>
      <c r="X200" s="33">
        <v>52760</v>
      </c>
      <c r="Y200" s="33">
        <v>46290</v>
      </c>
      <c r="Z200" s="33">
        <v>44900</v>
      </c>
      <c r="AA200" s="33">
        <v>43580</v>
      </c>
      <c r="AB200" s="33">
        <v>43970</v>
      </c>
      <c r="AC200" s="33">
        <v>40870</v>
      </c>
      <c r="AD200" s="33">
        <v>38080</v>
      </c>
      <c r="AE200" s="33">
        <v>40220</v>
      </c>
      <c r="AF200" s="33">
        <v>43600</v>
      </c>
      <c r="AG200" s="33">
        <v>48120</v>
      </c>
      <c r="AH200" s="33">
        <v>50050</v>
      </c>
      <c r="AI200" s="33">
        <v>52720</v>
      </c>
      <c r="AJ200" s="33">
        <v>48020</v>
      </c>
      <c r="AK200" s="33">
        <v>49150</v>
      </c>
      <c r="AL200" s="33">
        <v>50650</v>
      </c>
      <c r="AM200" s="33">
        <v>55570</v>
      </c>
      <c r="AN200" s="33">
        <v>55920</v>
      </c>
      <c r="AO200" s="33">
        <v>51010</v>
      </c>
      <c r="AP200" s="33">
        <v>49130</v>
      </c>
      <c r="AQ200" s="33">
        <v>46500</v>
      </c>
      <c r="AR200" s="33">
        <v>49600</v>
      </c>
      <c r="AS200" s="33">
        <v>53740</v>
      </c>
      <c r="AT200" s="33">
        <v>53330</v>
      </c>
      <c r="AU200" s="33">
        <v>56250</v>
      </c>
      <c r="AV200" s="33">
        <v>51050</v>
      </c>
      <c r="AW200" s="33">
        <v>43660</v>
      </c>
      <c r="AX200" s="33">
        <v>43430</v>
      </c>
      <c r="AY200" s="33">
        <v>43730</v>
      </c>
      <c r="AZ200" s="33">
        <v>44590</v>
      </c>
      <c r="BA200" s="33">
        <v>41190</v>
      </c>
      <c r="BB200" s="33">
        <v>41580</v>
      </c>
      <c r="BC200" s="33">
        <v>41130</v>
      </c>
      <c r="BD200" s="33">
        <v>42090</v>
      </c>
      <c r="BE200" s="33">
        <v>42530</v>
      </c>
      <c r="BF200" s="33">
        <v>41530</v>
      </c>
      <c r="BG200" s="33">
        <v>43090</v>
      </c>
      <c r="BH200" s="33">
        <v>43600</v>
      </c>
      <c r="BI200" s="33">
        <v>43070</v>
      </c>
      <c r="BJ200" s="33">
        <v>44330</v>
      </c>
      <c r="BK200" s="33">
        <v>43500</v>
      </c>
      <c r="BL200" s="33">
        <v>44240</v>
      </c>
      <c r="BM200" s="1">
        <v>46180</v>
      </c>
      <c r="BN200" s="1">
        <v>44930</v>
      </c>
      <c r="BO200" s="1">
        <v>44350</v>
      </c>
      <c r="BP200" s="1">
        <v>41820</v>
      </c>
    </row>
    <row r="201" spans="1:68" ht="15.9" customHeight="1">
      <c r="A201" s="68" t="s">
        <v>394</v>
      </c>
      <c r="B201" s="44" t="s">
        <v>395</v>
      </c>
      <c r="C201" s="48" t="str">
        <f>_xll.RssMarket("6506","安値")</f>
        <v/>
      </c>
      <c r="D201" s="16" t="e">
        <f t="shared" si="6"/>
        <v>#VALUE!</v>
      </c>
      <c r="E201" s="33">
        <v>4900</v>
      </c>
      <c r="F201" s="33">
        <v>5288</v>
      </c>
      <c r="G201" s="33">
        <v>5205</v>
      </c>
      <c r="H201" s="33">
        <v>5972</v>
      </c>
      <c r="I201" s="33">
        <v>6900</v>
      </c>
      <c r="J201" s="33">
        <v>6741</v>
      </c>
      <c r="K201" s="33">
        <v>6550</v>
      </c>
      <c r="L201" s="33">
        <v>6900</v>
      </c>
      <c r="M201" s="33">
        <v>7309</v>
      </c>
      <c r="N201" s="33">
        <v>6711</v>
      </c>
      <c r="O201" s="33">
        <v>6820</v>
      </c>
      <c r="P201" s="33">
        <v>7158</v>
      </c>
      <c r="Q201" s="33">
        <v>6871</v>
      </c>
      <c r="R201" s="33">
        <v>6560</v>
      </c>
      <c r="S201" s="33">
        <v>6710</v>
      </c>
      <c r="T201" s="33">
        <v>7103</v>
      </c>
      <c r="U201" s="33">
        <v>6905</v>
      </c>
      <c r="V201" s="33">
        <v>7140</v>
      </c>
      <c r="W201" s="33">
        <v>7295</v>
      </c>
      <c r="X201" s="33">
        <v>7044</v>
      </c>
      <c r="Y201" s="33">
        <v>7116</v>
      </c>
      <c r="Z201" s="33">
        <v>6718</v>
      </c>
      <c r="AA201" s="33">
        <v>6655</v>
      </c>
      <c r="AB201" s="33">
        <v>6483</v>
      </c>
      <c r="AC201" s="33">
        <v>6281</v>
      </c>
      <c r="AD201" s="33">
        <v>5598</v>
      </c>
      <c r="AE201" s="33">
        <v>5880</v>
      </c>
      <c r="AF201" s="33">
        <v>6234</v>
      </c>
      <c r="AG201" s="33">
        <v>6658</v>
      </c>
      <c r="AH201" s="33">
        <v>6788</v>
      </c>
      <c r="AI201" s="33">
        <v>6888</v>
      </c>
      <c r="AJ201" s="33">
        <v>6484</v>
      </c>
      <c r="AK201" s="33">
        <v>7049</v>
      </c>
      <c r="AL201" s="33">
        <v>6860</v>
      </c>
      <c r="AM201" s="33">
        <v>7085</v>
      </c>
      <c r="AN201" s="33">
        <v>7316</v>
      </c>
      <c r="AO201" s="33">
        <v>6740</v>
      </c>
      <c r="AP201" s="33">
        <v>6229</v>
      </c>
      <c r="AQ201" s="33">
        <v>6025</v>
      </c>
      <c r="AR201" s="33">
        <v>6309</v>
      </c>
      <c r="AS201" s="33">
        <v>6643</v>
      </c>
      <c r="AT201" s="33">
        <v>6895</v>
      </c>
      <c r="AU201" s="33">
        <v>6977</v>
      </c>
      <c r="AV201" s="33">
        <v>6712</v>
      </c>
      <c r="AW201" s="33">
        <v>6686</v>
      </c>
      <c r="AX201" s="33">
        <v>6240</v>
      </c>
      <c r="AY201" s="33">
        <v>5951</v>
      </c>
      <c r="AZ201" s="33">
        <v>5868</v>
      </c>
      <c r="BA201" s="33">
        <v>5450</v>
      </c>
      <c r="BB201" s="33">
        <v>5436</v>
      </c>
      <c r="BC201" s="33">
        <v>5335</v>
      </c>
      <c r="BD201" s="33">
        <v>5192</v>
      </c>
      <c r="BE201" s="33">
        <v>5106</v>
      </c>
      <c r="BF201" s="33">
        <v>5121</v>
      </c>
      <c r="BG201" s="33">
        <v>5304</v>
      </c>
      <c r="BH201" s="33">
        <v>5411</v>
      </c>
      <c r="BI201" s="33">
        <v>5356</v>
      </c>
      <c r="BJ201" s="33">
        <v>5087</v>
      </c>
      <c r="BK201" s="33">
        <v>5201</v>
      </c>
      <c r="BL201" s="33">
        <v>5194</v>
      </c>
      <c r="BM201" s="1">
        <v>5136</v>
      </c>
      <c r="BN201" s="1">
        <v>4896</v>
      </c>
      <c r="BO201" s="1">
        <v>4806</v>
      </c>
      <c r="BP201" s="1">
        <v>4637</v>
      </c>
    </row>
    <row r="202" spans="1:68" ht="15.9" customHeight="1">
      <c r="A202" s="68" t="s">
        <v>396</v>
      </c>
      <c r="B202" s="44" t="s">
        <v>397</v>
      </c>
      <c r="C202" s="48" t="str">
        <f>_xll.RssMarket("2768","安値")</f>
        <v/>
      </c>
      <c r="D202" s="16" t="e">
        <f t="shared" si="6"/>
        <v>#VALUE!</v>
      </c>
      <c r="E202" s="33">
        <v>4996</v>
      </c>
      <c r="F202" s="33">
        <v>5140</v>
      </c>
      <c r="G202" s="33">
        <v>5039</v>
      </c>
      <c r="H202" s="33">
        <v>5021</v>
      </c>
      <c r="I202" s="33">
        <v>5085</v>
      </c>
      <c r="J202" s="33">
        <v>5118</v>
      </c>
      <c r="K202" s="33">
        <v>5199</v>
      </c>
      <c r="L202" s="33">
        <v>5236</v>
      </c>
      <c r="M202" s="33">
        <v>5250</v>
      </c>
      <c r="N202" s="33">
        <v>5226</v>
      </c>
      <c r="O202" s="33">
        <v>5193</v>
      </c>
      <c r="P202" s="33">
        <v>5118</v>
      </c>
      <c r="Q202" s="33">
        <v>5141</v>
      </c>
      <c r="R202" s="33">
        <v>5186</v>
      </c>
      <c r="S202" s="33">
        <v>5234</v>
      </c>
      <c r="T202" s="33">
        <v>5191</v>
      </c>
      <c r="U202" s="33">
        <v>5149</v>
      </c>
      <c r="V202" s="33">
        <v>5187</v>
      </c>
      <c r="W202" s="33">
        <v>5226</v>
      </c>
      <c r="X202" s="33">
        <v>5278</v>
      </c>
      <c r="Y202" s="33">
        <v>5285</v>
      </c>
      <c r="Z202" s="33">
        <v>5239</v>
      </c>
      <c r="AA202" s="33">
        <v>5250</v>
      </c>
      <c r="AB202" s="33">
        <v>5223</v>
      </c>
      <c r="AC202" s="33">
        <v>5011</v>
      </c>
      <c r="AD202" s="33">
        <v>4944</v>
      </c>
      <c r="AE202" s="33">
        <v>5040</v>
      </c>
      <c r="AF202" s="33">
        <v>5165</v>
      </c>
      <c r="AG202" s="33">
        <v>5125</v>
      </c>
      <c r="AH202" s="33">
        <v>5095</v>
      </c>
      <c r="AI202" s="33">
        <v>5015</v>
      </c>
      <c r="AJ202" s="33">
        <v>5391</v>
      </c>
      <c r="AK202" s="33">
        <v>5372</v>
      </c>
      <c r="AL202" s="33">
        <v>5500</v>
      </c>
      <c r="AM202" s="33">
        <v>5508</v>
      </c>
      <c r="AN202" s="33">
        <v>5462</v>
      </c>
      <c r="AO202" s="33">
        <v>5541</v>
      </c>
      <c r="AP202" s="33">
        <v>5512</v>
      </c>
      <c r="AQ202" s="33">
        <v>5655</v>
      </c>
      <c r="AR202" s="33">
        <v>5693</v>
      </c>
      <c r="AS202" s="33">
        <v>5837</v>
      </c>
      <c r="AT202" s="33">
        <v>5794</v>
      </c>
      <c r="AU202" s="33">
        <v>5845</v>
      </c>
      <c r="AV202" s="33">
        <v>5745</v>
      </c>
      <c r="AW202" s="33">
        <v>5628</v>
      </c>
      <c r="AX202" s="33">
        <v>5636</v>
      </c>
      <c r="AY202" s="33">
        <v>5909</v>
      </c>
      <c r="AZ202" s="33">
        <v>5790</v>
      </c>
      <c r="BA202" s="33">
        <v>5845</v>
      </c>
      <c r="BB202" s="33">
        <v>5853</v>
      </c>
      <c r="BC202" s="33">
        <v>5746</v>
      </c>
      <c r="BD202" s="33">
        <v>5870</v>
      </c>
      <c r="BE202" s="33">
        <v>5794</v>
      </c>
      <c r="BF202" s="33">
        <v>5874</v>
      </c>
      <c r="BG202" s="33">
        <v>6051</v>
      </c>
      <c r="BH202" s="33">
        <v>6013</v>
      </c>
      <c r="BI202" s="33">
        <v>6077</v>
      </c>
      <c r="BJ202" s="33">
        <v>6145</v>
      </c>
      <c r="BK202" s="33">
        <v>6118</v>
      </c>
      <c r="BL202" s="33">
        <v>6235</v>
      </c>
      <c r="BM202" s="1">
        <v>6321</v>
      </c>
      <c r="BN202" s="1">
        <v>6374</v>
      </c>
      <c r="BO202" s="1">
        <v>6454</v>
      </c>
      <c r="BP202" s="1">
        <v>6508</v>
      </c>
    </row>
    <row r="203" spans="1:68" ht="15.9" customHeight="1">
      <c r="A203" s="68" t="s">
        <v>398</v>
      </c>
      <c r="B203" s="44" t="s">
        <v>399</v>
      </c>
      <c r="C203" s="48" t="str">
        <f>_xll.RssMarket("6305","安値")</f>
        <v/>
      </c>
      <c r="D203" s="16" t="e">
        <f t="shared" si="6"/>
        <v>#VALUE!</v>
      </c>
      <c r="E203" s="33">
        <v>5042</v>
      </c>
      <c r="F203" s="33">
        <v>5189</v>
      </c>
      <c r="G203" s="33">
        <v>5171</v>
      </c>
      <c r="H203" s="33">
        <v>5136</v>
      </c>
      <c r="I203" s="33">
        <v>5217</v>
      </c>
      <c r="J203" s="33">
        <v>5228</v>
      </c>
      <c r="K203" s="33">
        <v>5284</v>
      </c>
      <c r="L203" s="33">
        <v>5353</v>
      </c>
      <c r="M203" s="33">
        <v>5384</v>
      </c>
      <c r="N203" s="33">
        <v>5207</v>
      </c>
      <c r="O203" s="33">
        <v>5133</v>
      </c>
      <c r="P203" s="33">
        <v>5193</v>
      </c>
      <c r="Q203" s="33">
        <v>5218</v>
      </c>
      <c r="R203" s="33">
        <v>5212</v>
      </c>
      <c r="S203" s="33">
        <v>5273</v>
      </c>
      <c r="T203" s="33">
        <v>5280</v>
      </c>
      <c r="U203" s="33">
        <v>5249</v>
      </c>
      <c r="V203" s="33">
        <v>5330</v>
      </c>
      <c r="W203" s="33">
        <v>5307</v>
      </c>
      <c r="X203" s="33">
        <v>5380</v>
      </c>
      <c r="Y203" s="33">
        <v>5353</v>
      </c>
      <c r="Z203" s="33">
        <v>5306</v>
      </c>
      <c r="AA203" s="33">
        <v>5395</v>
      </c>
      <c r="AB203" s="33">
        <v>5414</v>
      </c>
      <c r="AC203" s="33">
        <v>5191</v>
      </c>
      <c r="AD203" s="33">
        <v>5034</v>
      </c>
      <c r="AE203" s="33">
        <v>5196</v>
      </c>
      <c r="AF203" s="33">
        <v>5177</v>
      </c>
      <c r="AG203" s="33">
        <v>5340</v>
      </c>
      <c r="AH203" s="33">
        <v>5273</v>
      </c>
      <c r="AI203" s="33">
        <v>5139</v>
      </c>
      <c r="AJ203" s="33">
        <v>4890</v>
      </c>
      <c r="AK203" s="33">
        <v>5142</v>
      </c>
      <c r="AL203" s="33">
        <v>5109</v>
      </c>
      <c r="AM203" s="33">
        <v>5172</v>
      </c>
      <c r="AN203" s="33">
        <v>4991</v>
      </c>
      <c r="AO203" s="33">
        <v>4960</v>
      </c>
      <c r="AP203" s="33">
        <v>4939</v>
      </c>
      <c r="AQ203" s="33">
        <v>4882</v>
      </c>
      <c r="AR203" s="33">
        <v>5001</v>
      </c>
      <c r="AS203" s="33">
        <v>5052</v>
      </c>
      <c r="AT203" s="33">
        <v>5205</v>
      </c>
      <c r="AU203" s="33">
        <v>5298</v>
      </c>
      <c r="AV203" s="33">
        <v>5143</v>
      </c>
      <c r="AW203" s="33">
        <v>5180</v>
      </c>
      <c r="AX203" s="33">
        <v>5607</v>
      </c>
      <c r="AY203" s="33">
        <v>5494</v>
      </c>
      <c r="AZ203" s="33">
        <v>5407</v>
      </c>
      <c r="BA203" s="33">
        <v>5419</v>
      </c>
      <c r="BB203" s="33">
        <v>5422</v>
      </c>
      <c r="BC203" s="33">
        <v>5485</v>
      </c>
      <c r="BD203" s="33">
        <v>5223</v>
      </c>
      <c r="BE203" s="33">
        <v>5398</v>
      </c>
      <c r="BF203" s="33">
        <v>5419</v>
      </c>
      <c r="BG203" s="33">
        <v>5361</v>
      </c>
      <c r="BH203" s="33">
        <v>5428</v>
      </c>
      <c r="BI203" s="33">
        <v>5420</v>
      </c>
      <c r="BJ203" s="33">
        <v>5365</v>
      </c>
      <c r="BK203" s="33">
        <v>5522</v>
      </c>
      <c r="BL203" s="33">
        <v>5579</v>
      </c>
      <c r="BM203" s="1">
        <v>5595</v>
      </c>
      <c r="BN203" s="1">
        <v>5621</v>
      </c>
      <c r="BO203" s="1">
        <v>5650</v>
      </c>
      <c r="BP203" s="1">
        <v>5669</v>
      </c>
    </row>
    <row r="204" spans="1:68" ht="15.9" customHeight="1">
      <c r="A204" s="68" t="s">
        <v>400</v>
      </c>
      <c r="B204" s="44" t="s">
        <v>401</v>
      </c>
      <c r="C204" s="48" t="str">
        <f>_xll.RssMarket("8015","安値")</f>
        <v/>
      </c>
      <c r="D204" s="16" t="e">
        <f t="shared" si="6"/>
        <v>#VALUE!</v>
      </c>
      <c r="E204" s="33">
        <v>5939</v>
      </c>
      <c r="F204" s="33">
        <v>6070</v>
      </c>
      <c r="G204" s="33">
        <v>5965</v>
      </c>
      <c r="H204" s="33">
        <v>5963</v>
      </c>
      <c r="I204" s="33">
        <v>5988</v>
      </c>
      <c r="J204" s="33">
        <v>6044</v>
      </c>
      <c r="K204" s="33">
        <v>6142</v>
      </c>
      <c r="L204" s="33">
        <v>6264</v>
      </c>
      <c r="M204" s="33">
        <v>6169</v>
      </c>
      <c r="N204" s="33">
        <v>5972</v>
      </c>
      <c r="O204" s="33">
        <v>5923</v>
      </c>
      <c r="P204" s="33">
        <v>5922</v>
      </c>
      <c r="Q204" s="33">
        <v>5903</v>
      </c>
      <c r="R204" s="33">
        <v>5952</v>
      </c>
      <c r="S204" s="33">
        <v>6000</v>
      </c>
      <c r="T204" s="33">
        <v>6037</v>
      </c>
      <c r="U204" s="33">
        <v>6130</v>
      </c>
      <c r="V204" s="33">
        <v>6055</v>
      </c>
      <c r="W204" s="33">
        <v>6053</v>
      </c>
      <c r="X204" s="33">
        <v>6217</v>
      </c>
      <c r="Y204" s="33">
        <v>6295</v>
      </c>
      <c r="Z204" s="33">
        <v>6394</v>
      </c>
      <c r="AA204" s="33">
        <v>6410</v>
      </c>
      <c r="AB204" s="33">
        <v>6112</v>
      </c>
      <c r="AC204" s="33">
        <v>5816</v>
      </c>
      <c r="AD204" s="33">
        <v>5984</v>
      </c>
      <c r="AE204" s="33">
        <v>6114</v>
      </c>
      <c r="AF204" s="33">
        <v>6388</v>
      </c>
      <c r="AG204" s="33">
        <v>6372</v>
      </c>
      <c r="AH204" s="33">
        <v>6431</v>
      </c>
      <c r="AI204" s="33">
        <v>6369</v>
      </c>
      <c r="AJ204" s="33">
        <v>6683</v>
      </c>
      <c r="AK204" s="33">
        <v>6574</v>
      </c>
      <c r="AL204" s="33">
        <v>6790</v>
      </c>
      <c r="AM204" s="33">
        <v>6852</v>
      </c>
      <c r="AN204" s="33">
        <v>6781</v>
      </c>
      <c r="AO204" s="33">
        <v>6770</v>
      </c>
      <c r="AP204" s="33">
        <v>6700</v>
      </c>
      <c r="AQ204" s="33">
        <v>6917</v>
      </c>
      <c r="AR204" s="33">
        <v>6976</v>
      </c>
      <c r="AS204" s="33">
        <v>7351</v>
      </c>
      <c r="AT204" s="33">
        <v>7202</v>
      </c>
      <c r="AU204" s="33">
        <v>7130</v>
      </c>
      <c r="AV204" s="33">
        <v>7057</v>
      </c>
      <c r="AW204" s="33">
        <v>6723</v>
      </c>
      <c r="AX204" s="33">
        <v>6699</v>
      </c>
      <c r="AY204" s="33">
        <v>6691</v>
      </c>
      <c r="AZ204" s="33">
        <v>6329</v>
      </c>
      <c r="BA204" s="33">
        <v>5921</v>
      </c>
      <c r="BB204" s="33">
        <v>6310</v>
      </c>
      <c r="BC204" s="33">
        <v>5998</v>
      </c>
      <c r="BD204" s="33">
        <v>6044</v>
      </c>
      <c r="BE204" s="33">
        <v>6060</v>
      </c>
      <c r="BF204" s="33">
        <v>6049</v>
      </c>
      <c r="BG204" s="33">
        <v>6278</v>
      </c>
      <c r="BH204" s="33">
        <v>6275</v>
      </c>
      <c r="BI204" s="33">
        <v>6202</v>
      </c>
      <c r="BJ204" s="33">
        <v>6274</v>
      </c>
      <c r="BK204" s="33">
        <v>6218</v>
      </c>
      <c r="BL204" s="33">
        <v>6376</v>
      </c>
      <c r="BM204" s="1">
        <v>6386</v>
      </c>
      <c r="BN204" s="1">
        <v>6566</v>
      </c>
      <c r="BO204" s="1">
        <v>6525</v>
      </c>
      <c r="BP204" s="1">
        <v>6361</v>
      </c>
    </row>
    <row r="205" spans="1:68">
      <c r="A205" s="65" t="s">
        <v>402</v>
      </c>
      <c r="B205" s="1" t="s">
        <v>403</v>
      </c>
      <c r="C205" s="57" t="str">
        <f>_xll.RssMarket("6758","安値")</f>
        <v/>
      </c>
      <c r="D205" s="16" t="e">
        <f t="shared" si="6"/>
        <v>#VALUE!</v>
      </c>
      <c r="E205" s="2">
        <v>3422</v>
      </c>
      <c r="F205" s="2">
        <v>3335</v>
      </c>
      <c r="G205" s="2">
        <v>3361</v>
      </c>
      <c r="H205" s="2">
        <v>3306</v>
      </c>
      <c r="I205" s="2">
        <v>3337</v>
      </c>
      <c r="J205" s="2">
        <v>3385</v>
      </c>
      <c r="K205" s="2">
        <v>3467</v>
      </c>
      <c r="L205" s="2">
        <v>3411</v>
      </c>
      <c r="M205" s="2">
        <v>3347</v>
      </c>
      <c r="N205" s="2">
        <v>3364</v>
      </c>
      <c r="O205" s="2">
        <v>3296</v>
      </c>
      <c r="P205" s="2">
        <v>3230</v>
      </c>
      <c r="Q205" s="2">
        <v>3261</v>
      </c>
      <c r="R205" s="2">
        <v>3200</v>
      </c>
      <c r="S205" s="2">
        <v>3120</v>
      </c>
      <c r="T205" s="2">
        <v>3197</v>
      </c>
      <c r="U205" s="2">
        <v>3183</v>
      </c>
      <c r="V205" s="2">
        <v>3136</v>
      </c>
      <c r="W205" s="2">
        <v>3116</v>
      </c>
      <c r="X205" s="2">
        <v>3113</v>
      </c>
      <c r="Y205" s="2">
        <v>3215</v>
      </c>
      <c r="Z205" s="2">
        <v>3258</v>
      </c>
      <c r="AA205" s="2">
        <v>3226</v>
      </c>
      <c r="AB205" s="2">
        <v>3290</v>
      </c>
      <c r="AC205" s="2">
        <v>3246</v>
      </c>
      <c r="AD205" s="2">
        <v>3312</v>
      </c>
      <c r="AE205" s="2">
        <v>3347</v>
      </c>
      <c r="AF205" s="2">
        <v>3456</v>
      </c>
      <c r="AG205" s="2">
        <v>3559</v>
      </c>
      <c r="AH205" s="2">
        <v>3505</v>
      </c>
      <c r="AI205" s="2">
        <v>3558</v>
      </c>
      <c r="AJ205" s="2">
        <v>3562</v>
      </c>
      <c r="AK205" s="2">
        <v>3419</v>
      </c>
      <c r="AL205" s="2">
        <v>3384</v>
      </c>
      <c r="AM205" s="2">
        <v>3448</v>
      </c>
      <c r="AN205" s="2">
        <v>3532</v>
      </c>
      <c r="AO205" s="2">
        <v>3458</v>
      </c>
      <c r="AP205" s="2">
        <v>3518</v>
      </c>
      <c r="AQ205" s="2">
        <v>3555</v>
      </c>
      <c r="AR205" s="2">
        <v>3596</v>
      </c>
      <c r="AS205" s="2">
        <v>3571</v>
      </c>
      <c r="AT205" s="2">
        <v>3529</v>
      </c>
      <c r="AU205" s="2">
        <v>3410</v>
      </c>
      <c r="AV205" s="2">
        <v>3589</v>
      </c>
      <c r="AW205" s="2">
        <v>3368</v>
      </c>
      <c r="AX205" s="2">
        <v>3328</v>
      </c>
      <c r="AY205" s="2">
        <v>6699</v>
      </c>
      <c r="AZ205" s="2">
        <v>6691</v>
      </c>
      <c r="BA205" s="2">
        <v>6329</v>
      </c>
      <c r="BB205" s="2">
        <v>5921</v>
      </c>
      <c r="BC205" s="2">
        <v>6310</v>
      </c>
      <c r="BD205" s="2">
        <v>5998</v>
      </c>
      <c r="BE205" s="2">
        <v>6044</v>
      </c>
      <c r="BF205" s="2">
        <v>6060</v>
      </c>
      <c r="BG205" s="2">
        <v>6049</v>
      </c>
      <c r="BH205" s="2">
        <v>6278</v>
      </c>
      <c r="BI205" s="2">
        <v>6275</v>
      </c>
      <c r="BJ205" s="2">
        <v>6202</v>
      </c>
      <c r="BK205" s="2">
        <v>6274</v>
      </c>
      <c r="BL205" s="2">
        <v>6218</v>
      </c>
      <c r="BM205" s="1">
        <v>6376</v>
      </c>
      <c r="BN205" s="1">
        <v>6386</v>
      </c>
      <c r="BO205" s="1">
        <v>6566</v>
      </c>
      <c r="BP205" s="1">
        <v>6525</v>
      </c>
    </row>
    <row r="206" spans="1:68">
      <c r="A206" s="65" t="s">
        <v>404</v>
      </c>
      <c r="B206" s="1" t="s">
        <v>405</v>
      </c>
      <c r="C206" s="57" t="str">
        <f>_xll.RssMarket("9101","安値")</f>
        <v/>
      </c>
      <c r="D206" s="16" t="e">
        <f t="shared" si="6"/>
        <v>#VALUE!</v>
      </c>
      <c r="E206" s="2">
        <v>5591</v>
      </c>
      <c r="F206" s="2">
        <v>5480</v>
      </c>
      <c r="G206" s="2">
        <v>5356</v>
      </c>
      <c r="H206" s="2">
        <v>5296</v>
      </c>
      <c r="I206" s="2">
        <v>5271</v>
      </c>
      <c r="J206" s="2">
        <v>5362</v>
      </c>
      <c r="K206" s="2">
        <v>5300</v>
      </c>
      <c r="L206" s="2">
        <v>5070</v>
      </c>
      <c r="M206" s="2">
        <v>5194</v>
      </c>
      <c r="N206" s="2">
        <v>5211</v>
      </c>
      <c r="O206" s="2">
        <v>5086</v>
      </c>
      <c r="P206" s="2">
        <v>5062</v>
      </c>
      <c r="Q206" s="2">
        <v>5181</v>
      </c>
      <c r="R206" s="2">
        <v>5174</v>
      </c>
      <c r="S206" s="2">
        <v>5178</v>
      </c>
      <c r="T206" s="2">
        <v>5252</v>
      </c>
      <c r="U206" s="2">
        <v>5299</v>
      </c>
      <c r="V206" s="2">
        <v>5212</v>
      </c>
      <c r="W206" s="2">
        <v>5093</v>
      </c>
      <c r="X206" s="2">
        <v>5144</v>
      </c>
      <c r="Y206" s="2">
        <v>5210</v>
      </c>
      <c r="Z206" s="2">
        <v>5281</v>
      </c>
      <c r="AA206" s="2">
        <v>5427</v>
      </c>
      <c r="AB206" s="2">
        <v>5466</v>
      </c>
      <c r="AC206" s="2">
        <v>5588</v>
      </c>
      <c r="AD206" s="2">
        <v>5556</v>
      </c>
      <c r="AE206" s="2">
        <v>5520</v>
      </c>
      <c r="AF206" s="2">
        <v>5536</v>
      </c>
      <c r="AG206" s="2">
        <v>5590</v>
      </c>
      <c r="AH206" s="2">
        <v>5388</v>
      </c>
      <c r="AI206" s="2">
        <v>5250</v>
      </c>
      <c r="AJ206" s="2">
        <v>5208</v>
      </c>
      <c r="AK206" s="2">
        <v>5277</v>
      </c>
      <c r="AL206" s="2">
        <v>5252</v>
      </c>
      <c r="AM206" s="2">
        <v>5190</v>
      </c>
      <c r="AN206" s="2">
        <v>5317</v>
      </c>
      <c r="AO206" s="2">
        <v>5362</v>
      </c>
      <c r="AP206" s="2">
        <v>5497</v>
      </c>
      <c r="AQ206" s="2">
        <v>5483</v>
      </c>
      <c r="AR206" s="2">
        <v>5485</v>
      </c>
      <c r="AS206" s="2">
        <v>5503</v>
      </c>
      <c r="AT206" s="2">
        <v>5356</v>
      </c>
      <c r="AU206" s="2">
        <v>5310</v>
      </c>
      <c r="AV206" s="2">
        <v>5262</v>
      </c>
      <c r="AW206" s="2">
        <v>5301</v>
      </c>
      <c r="AX206" s="2">
        <v>5381</v>
      </c>
      <c r="AY206" s="2">
        <v>5478</v>
      </c>
      <c r="AZ206" s="2">
        <v>5474</v>
      </c>
      <c r="BA206" s="2">
        <v>5541</v>
      </c>
      <c r="BB206" s="2">
        <v>5552</v>
      </c>
      <c r="BC206" s="2">
        <v>5590</v>
      </c>
      <c r="BD206" s="2">
        <v>5580</v>
      </c>
      <c r="BE206" s="2">
        <v>5825</v>
      </c>
      <c r="BF206" s="2">
        <v>5740</v>
      </c>
      <c r="BG206" s="2">
        <v>5808</v>
      </c>
      <c r="BH206" s="2">
        <v>5850</v>
      </c>
      <c r="BI206" s="2">
        <v>5870</v>
      </c>
      <c r="BJ206" s="2">
        <v>6052</v>
      </c>
      <c r="BK206" s="2">
        <v>5989</v>
      </c>
      <c r="BL206" s="2">
        <v>6013</v>
      </c>
      <c r="BM206" s="1">
        <v>6045</v>
      </c>
      <c r="BN206" s="1">
        <v>6074</v>
      </c>
      <c r="BO206" s="1">
        <v>6128</v>
      </c>
      <c r="BP206" s="1">
        <v>6127</v>
      </c>
    </row>
    <row r="207" spans="1:68">
      <c r="A207" s="65" t="s">
        <v>406</v>
      </c>
      <c r="B207" s="1" t="s">
        <v>407</v>
      </c>
      <c r="C207" s="57" t="str">
        <f>_xll.RssMarket("7011","安値")</f>
        <v/>
      </c>
      <c r="D207" s="16" t="e">
        <f t="shared" si="6"/>
        <v>#VALUE!</v>
      </c>
      <c r="E207" s="2">
        <v>3626</v>
      </c>
      <c r="F207" s="2">
        <v>3716</v>
      </c>
      <c r="G207" s="2">
        <v>3718</v>
      </c>
      <c r="H207" s="2">
        <v>3693</v>
      </c>
      <c r="I207" s="2">
        <v>3783</v>
      </c>
      <c r="J207" s="2">
        <v>3785</v>
      </c>
      <c r="K207" s="2">
        <v>3821</v>
      </c>
      <c r="L207" s="2">
        <v>3986</v>
      </c>
      <c r="M207" s="2">
        <v>3839</v>
      </c>
      <c r="N207" s="2">
        <v>3766</v>
      </c>
      <c r="O207" s="2">
        <v>3752</v>
      </c>
      <c r="P207" s="2">
        <v>3711</v>
      </c>
      <c r="Q207" s="2">
        <v>3606</v>
      </c>
      <c r="R207" s="2">
        <v>3621</v>
      </c>
      <c r="S207" s="2">
        <v>3536</v>
      </c>
      <c r="T207" s="2">
        <v>3611</v>
      </c>
      <c r="U207" s="2">
        <v>3716</v>
      </c>
      <c r="V207" s="2">
        <v>3715</v>
      </c>
      <c r="W207" s="2">
        <v>3825</v>
      </c>
      <c r="X207" s="2">
        <v>3830</v>
      </c>
      <c r="Y207" s="2">
        <v>3943</v>
      </c>
      <c r="Z207" s="2">
        <v>3796</v>
      </c>
      <c r="AA207" s="2">
        <v>3670</v>
      </c>
      <c r="AB207" s="2">
        <v>3591</v>
      </c>
      <c r="AC207" s="2">
        <v>3486</v>
      </c>
      <c r="AD207" s="2">
        <v>3404</v>
      </c>
      <c r="AE207" s="2">
        <v>3548</v>
      </c>
      <c r="AF207" s="2">
        <v>3644</v>
      </c>
      <c r="AG207" s="2">
        <v>3688</v>
      </c>
      <c r="AH207" s="2">
        <v>3551</v>
      </c>
      <c r="AI207" s="2">
        <v>3481</v>
      </c>
      <c r="AJ207" s="2">
        <v>3415</v>
      </c>
      <c r="AK207" s="2">
        <v>3744</v>
      </c>
      <c r="AL207" s="2">
        <v>3766</v>
      </c>
      <c r="AM207" s="2">
        <v>3863</v>
      </c>
      <c r="AN207" s="2">
        <v>3860</v>
      </c>
      <c r="AO207" s="2">
        <v>3905</v>
      </c>
      <c r="AP207" s="2">
        <v>3885</v>
      </c>
      <c r="AQ207" s="2">
        <v>3940</v>
      </c>
      <c r="AR207" s="2">
        <v>4080</v>
      </c>
      <c r="AS207" s="2">
        <v>4060</v>
      </c>
      <c r="AT207" s="2">
        <v>4027</v>
      </c>
      <c r="AU207" s="2">
        <v>4096</v>
      </c>
      <c r="AV207" s="2">
        <v>4271</v>
      </c>
      <c r="AW207" s="2">
        <v>4084</v>
      </c>
      <c r="AX207" s="2">
        <v>4326</v>
      </c>
      <c r="AY207" s="2">
        <v>4451</v>
      </c>
      <c r="AZ207" s="2">
        <v>4483</v>
      </c>
      <c r="BA207" s="2">
        <v>4543</v>
      </c>
      <c r="BB207" s="2">
        <v>4519</v>
      </c>
      <c r="BC207" s="2">
        <v>4676</v>
      </c>
      <c r="BD207" s="2">
        <v>4590</v>
      </c>
      <c r="BE207" s="2">
        <v>4704</v>
      </c>
      <c r="BF207" s="2">
        <v>4571</v>
      </c>
      <c r="BG207" s="2">
        <v>4362</v>
      </c>
      <c r="BH207" s="2">
        <v>4381</v>
      </c>
      <c r="BI207" s="2">
        <v>4504</v>
      </c>
      <c r="BJ207" s="2">
        <v>4371</v>
      </c>
      <c r="BK207" s="2">
        <v>4496</v>
      </c>
      <c r="BL207" s="2">
        <v>4541</v>
      </c>
      <c r="BM207" s="1">
        <v>4715</v>
      </c>
      <c r="BN207" s="1">
        <v>4675</v>
      </c>
      <c r="BO207" s="1">
        <v>4704</v>
      </c>
      <c r="BP207" s="1">
        <v>4742</v>
      </c>
    </row>
    <row r="208" spans="1:68">
      <c r="A208" s="65" t="s">
        <v>408</v>
      </c>
      <c r="B208" s="1" t="s">
        <v>409</v>
      </c>
      <c r="C208" s="57" t="str">
        <f>_xll.RssMarket("1812","安値")</f>
        <v/>
      </c>
      <c r="D208" s="16" t="e">
        <f t="shared" si="6"/>
        <v>#VALUE!</v>
      </c>
      <c r="E208" s="2">
        <v>5389</v>
      </c>
      <c r="F208" s="2">
        <v>5600</v>
      </c>
      <c r="G208" s="2">
        <v>5504</v>
      </c>
      <c r="H208" s="2">
        <v>5540</v>
      </c>
      <c r="I208" s="2">
        <v>5747</v>
      </c>
      <c r="J208" s="2">
        <v>5715</v>
      </c>
      <c r="K208" s="2">
        <v>5840</v>
      </c>
      <c r="L208" s="2">
        <v>6073</v>
      </c>
      <c r="M208" s="2">
        <v>6158</v>
      </c>
      <c r="N208" s="2">
        <v>6051</v>
      </c>
      <c r="O208" s="2">
        <v>5831</v>
      </c>
      <c r="P208" s="2">
        <v>5931</v>
      </c>
      <c r="Q208" s="2">
        <v>5766</v>
      </c>
      <c r="R208" s="2">
        <v>5761</v>
      </c>
      <c r="S208" s="2">
        <v>5636</v>
      </c>
      <c r="T208" s="2">
        <v>5617</v>
      </c>
      <c r="U208" s="2">
        <v>5651</v>
      </c>
      <c r="V208" s="2">
        <v>5725</v>
      </c>
      <c r="W208" s="2">
        <v>5857</v>
      </c>
      <c r="X208" s="2">
        <v>5903</v>
      </c>
      <c r="Y208" s="2">
        <v>5910</v>
      </c>
      <c r="Z208" s="2">
        <v>5871</v>
      </c>
      <c r="AA208" s="2">
        <v>5890</v>
      </c>
      <c r="AB208" s="2">
        <v>5778</v>
      </c>
      <c r="AC208" s="2">
        <v>5515</v>
      </c>
      <c r="AD208" s="2">
        <v>5363</v>
      </c>
      <c r="AE208" s="2">
        <v>5480</v>
      </c>
      <c r="AF208" s="2">
        <v>5296</v>
      </c>
      <c r="AG208" s="2">
        <v>5425</v>
      </c>
      <c r="AH208" s="2">
        <v>5410</v>
      </c>
      <c r="AI208" s="2">
        <v>5470</v>
      </c>
      <c r="AJ208" s="2">
        <v>5401</v>
      </c>
      <c r="AK208" s="2">
        <v>5745</v>
      </c>
      <c r="AL208" s="2">
        <v>5725</v>
      </c>
      <c r="AM208" s="2">
        <v>5754</v>
      </c>
      <c r="AN208" s="2">
        <v>5546</v>
      </c>
      <c r="AO208" s="2">
        <v>5451</v>
      </c>
      <c r="AP208" s="2">
        <v>5562</v>
      </c>
      <c r="AQ208" s="2">
        <v>5518</v>
      </c>
      <c r="AR208" s="2">
        <v>5685</v>
      </c>
      <c r="AS208" s="2">
        <v>5545</v>
      </c>
      <c r="AT208" s="2">
        <v>5812</v>
      </c>
      <c r="AU208" s="2">
        <v>6152</v>
      </c>
      <c r="AV208" s="2">
        <v>6327</v>
      </c>
      <c r="AW208" s="2">
        <v>6185</v>
      </c>
      <c r="AX208" s="2">
        <v>6001</v>
      </c>
      <c r="AY208" s="2">
        <v>6030</v>
      </c>
      <c r="AZ208" s="2">
        <v>6110</v>
      </c>
      <c r="BA208" s="2">
        <v>6061</v>
      </c>
      <c r="BB208" s="2">
        <v>6031</v>
      </c>
      <c r="BC208" s="2">
        <v>6037</v>
      </c>
      <c r="BD208" s="2">
        <v>5793</v>
      </c>
      <c r="BE208" s="2">
        <v>5843</v>
      </c>
      <c r="BF208" s="2">
        <v>5821</v>
      </c>
      <c r="BG208" s="2">
        <v>5871</v>
      </c>
      <c r="BH208" s="2">
        <v>6015</v>
      </c>
      <c r="BI208" s="2">
        <v>5962</v>
      </c>
      <c r="BJ208" s="2">
        <v>5891</v>
      </c>
      <c r="BK208" s="2">
        <v>6017</v>
      </c>
      <c r="BL208" s="2">
        <v>6104</v>
      </c>
      <c r="BM208" s="1">
        <v>6130</v>
      </c>
      <c r="BN208" s="1">
        <v>6103</v>
      </c>
      <c r="BO208" s="1">
        <v>6187</v>
      </c>
      <c r="BP208" s="1">
        <v>6278</v>
      </c>
    </row>
    <row r="209" spans="1:68">
      <c r="A209" s="65" t="s">
        <v>410</v>
      </c>
      <c r="B209" s="1" t="str">
        <f>銘柄管理!C209</f>
        <v/>
      </c>
      <c r="C209" s="57" t="str">
        <f>_xll.RssMarket("6861","安値")</f>
        <v/>
      </c>
      <c r="D209" s="16"/>
      <c r="E209" s="2">
        <v>68930</v>
      </c>
      <c r="F209" s="2">
        <v>75500</v>
      </c>
      <c r="G209" s="2">
        <v>74520</v>
      </c>
      <c r="H209" s="2">
        <v>74900</v>
      </c>
      <c r="I209" s="2">
        <v>75860</v>
      </c>
      <c r="J209" s="2">
        <v>75000</v>
      </c>
      <c r="K209" s="2">
        <v>74610</v>
      </c>
      <c r="L209" s="2">
        <v>78180</v>
      </c>
      <c r="M209" s="2">
        <v>79380</v>
      </c>
      <c r="N209" s="2">
        <v>78130</v>
      </c>
      <c r="O209" s="2">
        <v>79470</v>
      </c>
      <c r="P209" s="2">
        <v>81000</v>
      </c>
      <c r="Q209" s="2">
        <v>79800</v>
      </c>
      <c r="R209" s="2">
        <v>76510</v>
      </c>
      <c r="S209" s="2">
        <v>76220</v>
      </c>
      <c r="T209" s="2">
        <v>76500</v>
      </c>
      <c r="U209" s="2">
        <v>75420</v>
      </c>
      <c r="V209" s="2">
        <v>75460</v>
      </c>
      <c r="W209" s="2">
        <v>77000</v>
      </c>
      <c r="X209" s="2">
        <v>75810</v>
      </c>
      <c r="Y209" s="2">
        <v>76420</v>
      </c>
      <c r="Z209" s="2">
        <v>73490</v>
      </c>
      <c r="AA209" s="2">
        <v>74810</v>
      </c>
      <c r="AB209" s="2">
        <v>74410</v>
      </c>
      <c r="AC209" s="2">
        <v>71700</v>
      </c>
      <c r="AD209" s="2">
        <v>69000</v>
      </c>
      <c r="AE209" s="2">
        <v>72020</v>
      </c>
      <c r="AF209" s="2">
        <v>73000</v>
      </c>
      <c r="AG209" s="2">
        <v>77400</v>
      </c>
      <c r="AH209" s="2">
        <v>79020</v>
      </c>
      <c r="AI209" s="2">
        <v>78410</v>
      </c>
      <c r="AJ209" s="2">
        <v>77510</v>
      </c>
      <c r="AK209" s="2">
        <v>79060</v>
      </c>
      <c r="AL209" s="2">
        <v>74270</v>
      </c>
      <c r="AM209" s="2">
        <v>75390</v>
      </c>
      <c r="AN209" s="2">
        <v>77690</v>
      </c>
      <c r="AO209" s="2">
        <v>77880</v>
      </c>
      <c r="AP209" s="2">
        <v>75250</v>
      </c>
      <c r="AQ209" s="2">
        <v>72310</v>
      </c>
      <c r="AR209" s="2">
        <v>74910</v>
      </c>
      <c r="AS209" s="2">
        <v>75540</v>
      </c>
      <c r="AT209" s="2">
        <v>76230</v>
      </c>
      <c r="AU209" s="2">
        <v>77310</v>
      </c>
      <c r="AV209" s="2">
        <v>78100</v>
      </c>
      <c r="AW209" s="2">
        <v>78740</v>
      </c>
      <c r="AX209" s="2">
        <v>81670</v>
      </c>
      <c r="AY209" s="2">
        <v>81010</v>
      </c>
      <c r="AZ209" s="2">
        <v>78960</v>
      </c>
      <c r="BA209" s="2">
        <v>72470</v>
      </c>
      <c r="BB209" s="2">
        <v>71070</v>
      </c>
      <c r="BC209" s="2">
        <v>72930</v>
      </c>
      <c r="BD209" s="2">
        <v>72730</v>
      </c>
      <c r="BE209" s="2">
        <v>63000</v>
      </c>
      <c r="BF209" s="2">
        <v>63090</v>
      </c>
      <c r="BG209" s="2">
        <v>62820</v>
      </c>
      <c r="BH209" s="2">
        <v>63170</v>
      </c>
      <c r="BI209" s="2">
        <v>63000</v>
      </c>
      <c r="BJ209" s="2">
        <v>62800</v>
      </c>
      <c r="BK209" s="2">
        <v>62530</v>
      </c>
      <c r="BL209" s="2">
        <v>61420</v>
      </c>
      <c r="BM209" s="1">
        <v>62740</v>
      </c>
      <c r="BN209" s="1">
        <v>61350</v>
      </c>
      <c r="BO209" s="1">
        <v>61520</v>
      </c>
      <c r="BP209" s="1">
        <v>60340</v>
      </c>
    </row>
    <row r="210" spans="1:68">
      <c r="A210" s="65" t="s">
        <v>411</v>
      </c>
      <c r="B210" s="1" t="s">
        <v>412</v>
      </c>
      <c r="C210" s="57" t="str">
        <f>_xll.RssMarket("6324","安値")</f>
        <v/>
      </c>
      <c r="D210" s="16" t="e">
        <f t="shared" ref="D210:D221" si="7">C210-E210</f>
        <v>#VALUE!</v>
      </c>
      <c r="E210" s="2">
        <v>6330</v>
      </c>
      <c r="F210" s="2">
        <v>7100</v>
      </c>
      <c r="G210" s="2">
        <v>6810</v>
      </c>
      <c r="H210" s="2">
        <v>6990</v>
      </c>
      <c r="I210" s="2">
        <v>7610</v>
      </c>
      <c r="J210" s="2">
        <v>7440</v>
      </c>
      <c r="K210" s="2">
        <v>7530</v>
      </c>
      <c r="L210" s="2">
        <v>7890</v>
      </c>
      <c r="M210" s="2">
        <v>8430</v>
      </c>
      <c r="N210" s="2">
        <v>7470</v>
      </c>
      <c r="O210" s="2">
        <v>7690</v>
      </c>
      <c r="P210" s="2">
        <v>7680</v>
      </c>
      <c r="Q210" s="2">
        <v>7280</v>
      </c>
      <c r="R210" s="2">
        <v>6650</v>
      </c>
      <c r="S210" s="2">
        <v>7070</v>
      </c>
      <c r="T210" s="2">
        <v>7720</v>
      </c>
      <c r="U210" s="2">
        <v>7420</v>
      </c>
      <c r="V210" s="2">
        <v>7650</v>
      </c>
      <c r="W210" s="2">
        <v>8170</v>
      </c>
      <c r="X210" s="2">
        <v>7630</v>
      </c>
      <c r="Y210" s="2">
        <v>7770</v>
      </c>
      <c r="Z210" s="2">
        <v>7190</v>
      </c>
      <c r="AA210" s="2">
        <v>6730</v>
      </c>
      <c r="AB210" s="2">
        <v>6760</v>
      </c>
      <c r="AC210" s="2">
        <v>6520</v>
      </c>
      <c r="AD210" s="2">
        <v>5770</v>
      </c>
      <c r="AE210" s="2">
        <v>6100</v>
      </c>
      <c r="AF210" s="2">
        <v>6420</v>
      </c>
      <c r="AG210" s="2">
        <v>6550</v>
      </c>
      <c r="AH210" s="2">
        <v>6830</v>
      </c>
      <c r="AI210" s="2">
        <v>7110</v>
      </c>
      <c r="AJ210" s="2">
        <v>6890</v>
      </c>
      <c r="AK210" s="2">
        <v>7540</v>
      </c>
      <c r="AL210" s="2">
        <v>7320</v>
      </c>
      <c r="AM210" s="2">
        <v>7730</v>
      </c>
      <c r="AN210" s="2">
        <v>7420</v>
      </c>
      <c r="AO210" s="2">
        <v>6640</v>
      </c>
      <c r="AP210" s="2">
        <v>6150</v>
      </c>
      <c r="AQ210" s="2">
        <v>5800</v>
      </c>
      <c r="AR210" s="2">
        <v>5920</v>
      </c>
      <c r="AS210" s="2">
        <v>6640</v>
      </c>
      <c r="AT210" s="2">
        <v>6680</v>
      </c>
      <c r="AU210" s="2">
        <v>6430</v>
      </c>
      <c r="AV210" s="2">
        <v>6440</v>
      </c>
      <c r="AW210" s="2">
        <v>6390</v>
      </c>
      <c r="AX210" s="2">
        <v>6300</v>
      </c>
      <c r="AY210" s="2">
        <v>5590</v>
      </c>
      <c r="AZ210" s="2">
        <v>5420</v>
      </c>
      <c r="BA210" s="2">
        <v>5070</v>
      </c>
      <c r="BB210" s="2">
        <v>4745</v>
      </c>
      <c r="BC210" s="2">
        <v>4705</v>
      </c>
      <c r="BD210" s="2">
        <v>4380</v>
      </c>
      <c r="BE210" s="2">
        <v>4190</v>
      </c>
      <c r="BF210" s="2">
        <v>4245</v>
      </c>
      <c r="BG210" s="2">
        <v>4315</v>
      </c>
      <c r="BH210" s="2">
        <v>4455</v>
      </c>
      <c r="BI210" s="2">
        <v>4470</v>
      </c>
      <c r="BJ210" s="2">
        <v>4420</v>
      </c>
      <c r="BK210" s="2">
        <v>4520</v>
      </c>
      <c r="BL210" s="2">
        <v>4220</v>
      </c>
      <c r="BM210" s="1">
        <v>4080</v>
      </c>
      <c r="BN210" s="1">
        <v>3990</v>
      </c>
      <c r="BO210" s="1">
        <v>3920</v>
      </c>
      <c r="BP210" s="1">
        <v>3935</v>
      </c>
    </row>
    <row r="211" spans="1:68">
      <c r="A211" s="65" t="s">
        <v>413</v>
      </c>
      <c r="B211" s="1" t="s">
        <v>414</v>
      </c>
      <c r="C211" s="57" t="str">
        <f>_xll.RssMarket("6273","安値")</f>
        <v/>
      </c>
      <c r="D211" s="16" t="e">
        <f t="shared" si="7"/>
        <v>#VALUE!</v>
      </c>
      <c r="E211" s="2">
        <v>67250</v>
      </c>
      <c r="F211" s="2">
        <v>73140</v>
      </c>
      <c r="G211" s="2">
        <v>70160</v>
      </c>
      <c r="H211" s="2">
        <v>72630</v>
      </c>
      <c r="I211" s="2">
        <v>73270</v>
      </c>
      <c r="J211" s="2">
        <v>71010</v>
      </c>
      <c r="K211" s="2">
        <v>69460</v>
      </c>
      <c r="L211" s="2">
        <v>72540</v>
      </c>
      <c r="M211" s="2">
        <v>74940</v>
      </c>
      <c r="N211" s="2">
        <v>71140</v>
      </c>
      <c r="O211" s="2">
        <v>71860</v>
      </c>
      <c r="P211" s="2">
        <v>72650</v>
      </c>
      <c r="Q211" s="2">
        <v>70760</v>
      </c>
      <c r="R211" s="2">
        <v>69520</v>
      </c>
      <c r="S211" s="2">
        <v>70270</v>
      </c>
      <c r="T211" s="2">
        <v>70630</v>
      </c>
      <c r="U211" s="2">
        <v>68440</v>
      </c>
      <c r="V211" s="2">
        <v>71220</v>
      </c>
      <c r="W211" s="2">
        <v>72070</v>
      </c>
      <c r="X211" s="2">
        <v>72600</v>
      </c>
      <c r="Y211" s="2">
        <v>72250</v>
      </c>
      <c r="Z211" s="2">
        <v>70450</v>
      </c>
      <c r="AA211" s="2">
        <v>68420</v>
      </c>
      <c r="AB211" s="2">
        <v>67650</v>
      </c>
      <c r="AC211" s="2">
        <v>65400</v>
      </c>
      <c r="AD211" s="2">
        <v>58310</v>
      </c>
      <c r="AE211" s="2">
        <v>60060</v>
      </c>
      <c r="AF211" s="2">
        <v>61150</v>
      </c>
      <c r="AG211" s="2">
        <v>63690</v>
      </c>
      <c r="AH211" s="2">
        <v>64120</v>
      </c>
      <c r="AI211" s="2">
        <v>63890</v>
      </c>
      <c r="AJ211" s="2">
        <v>63460</v>
      </c>
      <c r="AK211" s="2">
        <v>67550</v>
      </c>
      <c r="AL211" s="2">
        <v>65980</v>
      </c>
      <c r="AM211" s="2">
        <v>66450</v>
      </c>
      <c r="AN211" s="2">
        <v>65030</v>
      </c>
      <c r="AO211" s="2">
        <v>64390</v>
      </c>
      <c r="AP211" s="2">
        <v>64090</v>
      </c>
      <c r="AQ211" s="2">
        <v>63160</v>
      </c>
      <c r="AR211" s="2">
        <v>66660</v>
      </c>
      <c r="AS211" s="2">
        <v>65250</v>
      </c>
      <c r="AT211" s="2">
        <v>67550</v>
      </c>
      <c r="AU211" s="2">
        <v>79470</v>
      </c>
      <c r="AV211" s="2">
        <v>82120</v>
      </c>
      <c r="AW211" s="2">
        <v>82710</v>
      </c>
      <c r="AX211" s="2">
        <v>80830</v>
      </c>
      <c r="AY211" s="2">
        <v>79340</v>
      </c>
      <c r="AZ211" s="2">
        <v>77440</v>
      </c>
      <c r="BA211" s="2">
        <v>74920</v>
      </c>
      <c r="BB211" s="2">
        <v>75220</v>
      </c>
      <c r="BC211" s="2">
        <v>75660</v>
      </c>
      <c r="BD211" s="2">
        <v>72100</v>
      </c>
      <c r="BE211" s="2">
        <v>68850</v>
      </c>
      <c r="BF211" s="2">
        <v>69400</v>
      </c>
      <c r="BG211" s="2">
        <v>70330</v>
      </c>
      <c r="BH211" s="2">
        <v>71300</v>
      </c>
      <c r="BI211" s="2">
        <v>70510</v>
      </c>
      <c r="BJ211" s="2">
        <v>69890</v>
      </c>
      <c r="BK211" s="2">
        <v>71400</v>
      </c>
      <c r="BL211" s="2">
        <v>70950</v>
      </c>
      <c r="BM211" s="1">
        <v>70840</v>
      </c>
      <c r="BN211" s="1">
        <v>69600</v>
      </c>
      <c r="BO211" s="1">
        <v>68100</v>
      </c>
      <c r="BP211" s="1">
        <v>67110</v>
      </c>
    </row>
    <row r="212" spans="1:68">
      <c r="A212" s="65" t="s">
        <v>415</v>
      </c>
      <c r="B212" s="1" t="s">
        <v>416</v>
      </c>
      <c r="C212" s="57" t="str">
        <f>_xll.RssMarket("4502","安値")</f>
        <v/>
      </c>
      <c r="D212" s="16" t="e">
        <f t="shared" si="7"/>
        <v>#VALUE!</v>
      </c>
      <c r="E212" s="2">
        <v>5410</v>
      </c>
      <c r="F212" s="2">
        <v>5249</v>
      </c>
      <c r="G212" s="2">
        <v>5325</v>
      </c>
      <c r="H212" s="2">
        <v>5292</v>
      </c>
      <c r="I212" s="2">
        <v>5300</v>
      </c>
      <c r="J212" s="2">
        <v>5367</v>
      </c>
      <c r="K212" s="2">
        <v>5442</v>
      </c>
      <c r="L212" s="2">
        <v>5404</v>
      </c>
      <c r="M212" s="2">
        <v>5397</v>
      </c>
      <c r="N212" s="2">
        <v>5355</v>
      </c>
      <c r="O212" s="2">
        <v>5190</v>
      </c>
      <c r="P212" s="2">
        <v>5112</v>
      </c>
      <c r="Q212" s="2">
        <v>5132</v>
      </c>
      <c r="R212" s="2">
        <v>5100</v>
      </c>
      <c r="S212" s="2">
        <v>5053</v>
      </c>
      <c r="T212" s="2">
        <v>5032</v>
      </c>
      <c r="U212" s="2">
        <v>5000</v>
      </c>
      <c r="V212" s="2">
        <v>4944</v>
      </c>
      <c r="W212" s="2">
        <v>4897</v>
      </c>
      <c r="X212" s="2">
        <v>4909</v>
      </c>
      <c r="Y212" s="2">
        <v>4950</v>
      </c>
      <c r="Z212" s="2">
        <v>4938</v>
      </c>
      <c r="AA212" s="2">
        <v>4954</v>
      </c>
      <c r="AB212" s="2">
        <v>5069</v>
      </c>
      <c r="AC212" s="2">
        <v>5031</v>
      </c>
      <c r="AD212" s="2">
        <v>4998</v>
      </c>
      <c r="AE212" s="2">
        <v>5013</v>
      </c>
      <c r="AF212" s="2">
        <v>4896</v>
      </c>
      <c r="AG212" s="2">
        <v>4909</v>
      </c>
      <c r="AH212" s="2">
        <v>4766</v>
      </c>
      <c r="AI212" s="2">
        <v>4710</v>
      </c>
      <c r="AJ212" s="2">
        <v>4784</v>
      </c>
      <c r="AK212" s="2">
        <v>5074</v>
      </c>
      <c r="AL212" s="2">
        <v>5113</v>
      </c>
      <c r="AM212" s="2">
        <v>5056</v>
      </c>
      <c r="AN212" s="2">
        <v>5077</v>
      </c>
      <c r="AO212" s="2">
        <v>5109</v>
      </c>
      <c r="AP212" s="2">
        <v>5180</v>
      </c>
      <c r="AQ212" s="2">
        <v>5187</v>
      </c>
      <c r="AR212" s="2">
        <v>5244</v>
      </c>
      <c r="AS212" s="2">
        <v>5221</v>
      </c>
      <c r="AT212" s="2">
        <v>5252</v>
      </c>
      <c r="AU212" s="2">
        <v>5039</v>
      </c>
      <c r="AV212" s="2">
        <v>5174</v>
      </c>
      <c r="AW212" s="2">
        <v>5138</v>
      </c>
      <c r="AX212" s="2">
        <v>5151</v>
      </c>
      <c r="AY212" s="2">
        <v>5205</v>
      </c>
      <c r="AZ212" s="2">
        <v>5195</v>
      </c>
      <c r="BA212" s="2">
        <v>5191</v>
      </c>
      <c r="BB212" s="2">
        <v>5170</v>
      </c>
      <c r="BC212" s="2">
        <v>5224</v>
      </c>
      <c r="BD212" s="2">
        <v>5187</v>
      </c>
      <c r="BE212" s="2">
        <v>5306</v>
      </c>
      <c r="BF212" s="2">
        <v>5258</v>
      </c>
      <c r="BG212" s="2">
        <v>5316</v>
      </c>
      <c r="BH212" s="2">
        <v>5457</v>
      </c>
      <c r="BI212" s="2">
        <v>5545</v>
      </c>
      <c r="BJ212" s="2">
        <v>5585</v>
      </c>
      <c r="BK212" s="2">
        <v>5639</v>
      </c>
      <c r="BL212" s="2">
        <v>5598</v>
      </c>
      <c r="BM212" s="1">
        <v>5582</v>
      </c>
      <c r="BN212" s="1">
        <v>5630</v>
      </c>
      <c r="BO212" s="1">
        <v>5696</v>
      </c>
      <c r="BP212" s="1">
        <v>5801</v>
      </c>
    </row>
    <row r="213" spans="1:68">
      <c r="A213" s="65" t="s">
        <v>417</v>
      </c>
      <c r="B213" s="1" t="s">
        <v>418</v>
      </c>
      <c r="C213" s="57" t="str">
        <f>_xll.RssMarket("4004","安値")</f>
        <v/>
      </c>
      <c r="D213" s="16" t="e">
        <f t="shared" si="7"/>
        <v>#VALUE!</v>
      </c>
      <c r="E213" s="2">
        <v>13410</v>
      </c>
      <c r="F213" s="2">
        <v>15595</v>
      </c>
      <c r="G213" s="2">
        <v>14880</v>
      </c>
      <c r="H213" s="2">
        <v>15120</v>
      </c>
      <c r="I213" s="2">
        <v>15925</v>
      </c>
      <c r="J213" s="2">
        <v>15575</v>
      </c>
      <c r="K213" s="2">
        <v>14780</v>
      </c>
      <c r="L213" s="2">
        <v>15620</v>
      </c>
      <c r="M213" s="2">
        <v>16340</v>
      </c>
      <c r="N213" s="2">
        <v>16400</v>
      </c>
      <c r="O213" s="2">
        <v>17460</v>
      </c>
      <c r="P213" s="2">
        <v>17965</v>
      </c>
      <c r="Q213" s="2">
        <v>17280</v>
      </c>
      <c r="R213" s="2">
        <v>16635</v>
      </c>
      <c r="S213" s="2">
        <v>16675</v>
      </c>
      <c r="T213" s="2">
        <v>17705</v>
      </c>
      <c r="U213" s="2">
        <v>17400</v>
      </c>
      <c r="V213" s="2">
        <v>18350</v>
      </c>
      <c r="W213" s="2">
        <v>18340</v>
      </c>
      <c r="X213" s="2">
        <v>18380</v>
      </c>
      <c r="Y213" s="2">
        <v>18250</v>
      </c>
      <c r="Z213" s="2">
        <v>17630</v>
      </c>
      <c r="AA213" s="2">
        <v>18000</v>
      </c>
      <c r="AB213" s="2">
        <v>17780</v>
      </c>
      <c r="AC213" s="2">
        <v>16950</v>
      </c>
      <c r="AD213" s="2">
        <v>14505</v>
      </c>
      <c r="AE213" s="2">
        <v>15170</v>
      </c>
      <c r="AF213" s="2">
        <v>15540</v>
      </c>
      <c r="AG213" s="2">
        <v>16765</v>
      </c>
      <c r="AH213" s="2">
        <v>17520</v>
      </c>
      <c r="AI213" s="2">
        <v>18660</v>
      </c>
      <c r="AJ213" s="2">
        <v>16930</v>
      </c>
      <c r="AK213" s="2">
        <v>17840</v>
      </c>
      <c r="AL213" s="2">
        <v>17760</v>
      </c>
      <c r="AM213" s="2">
        <v>18955</v>
      </c>
      <c r="AN213" s="2">
        <v>18510</v>
      </c>
      <c r="AO213" s="2">
        <v>17255</v>
      </c>
      <c r="AP213" s="2">
        <v>16160</v>
      </c>
      <c r="AQ213" s="2">
        <v>15780</v>
      </c>
      <c r="AR213" s="2">
        <v>15805</v>
      </c>
      <c r="AS213" s="2">
        <v>16690</v>
      </c>
      <c r="AT213" s="2">
        <v>17010</v>
      </c>
      <c r="AU213" s="2">
        <v>18050</v>
      </c>
      <c r="AV213" s="2">
        <v>17080</v>
      </c>
      <c r="AW213" s="2">
        <v>17165</v>
      </c>
      <c r="AX213" s="2">
        <v>16245</v>
      </c>
      <c r="AY213" s="2">
        <v>15180</v>
      </c>
      <c r="AZ213" s="2">
        <v>15010</v>
      </c>
      <c r="BA213" s="2">
        <v>13920</v>
      </c>
      <c r="BB213" s="2">
        <v>13820</v>
      </c>
      <c r="BC213" s="2">
        <v>13630</v>
      </c>
      <c r="BD213" s="2">
        <v>13725</v>
      </c>
      <c r="BE213" s="2">
        <v>13755</v>
      </c>
      <c r="BF213" s="2">
        <v>13475</v>
      </c>
      <c r="BG213" s="2">
        <v>13750</v>
      </c>
      <c r="BH213" s="2">
        <v>12710</v>
      </c>
      <c r="BI213" s="2">
        <v>12440</v>
      </c>
      <c r="BJ213" s="2">
        <v>12425</v>
      </c>
      <c r="BK213" s="2">
        <v>12945</v>
      </c>
      <c r="BL213" s="2">
        <v>12775</v>
      </c>
      <c r="BM213" s="1">
        <v>13440</v>
      </c>
      <c r="BN213" s="1">
        <v>12935</v>
      </c>
      <c r="BO213" s="1">
        <v>13350</v>
      </c>
      <c r="BP213" s="1">
        <v>12575</v>
      </c>
    </row>
    <row r="214" spans="1:68">
      <c r="A214" s="65" t="s">
        <v>419</v>
      </c>
      <c r="B214" s="1" t="s">
        <v>420</v>
      </c>
      <c r="C214" s="57" t="str">
        <f>_xll.RssMarket("9519","安値")</f>
        <v/>
      </c>
      <c r="D214" s="16" t="e">
        <f t="shared" si="7"/>
        <v>#VALUE!</v>
      </c>
      <c r="E214" s="2">
        <v>971</v>
      </c>
      <c r="F214" s="2">
        <v>974</v>
      </c>
      <c r="G214" s="2">
        <v>945</v>
      </c>
      <c r="H214" s="2">
        <v>910</v>
      </c>
      <c r="I214" s="2">
        <v>917</v>
      </c>
      <c r="J214" s="2">
        <v>929</v>
      </c>
      <c r="K214" s="2">
        <v>933</v>
      </c>
      <c r="L214" s="2">
        <v>964</v>
      </c>
      <c r="M214" s="2">
        <v>959</v>
      </c>
      <c r="N214" s="2">
        <v>967</v>
      </c>
      <c r="O214" s="2">
        <v>962</v>
      </c>
      <c r="P214" s="2">
        <v>940</v>
      </c>
      <c r="Q214" s="2">
        <v>974</v>
      </c>
      <c r="R214" s="2">
        <v>937</v>
      </c>
      <c r="S214" s="2">
        <v>882</v>
      </c>
      <c r="T214" s="2">
        <v>879</v>
      </c>
      <c r="U214" s="2">
        <v>888</v>
      </c>
      <c r="V214" s="2">
        <v>893</v>
      </c>
      <c r="W214" s="2">
        <v>834</v>
      </c>
      <c r="X214" s="2">
        <v>812</v>
      </c>
      <c r="Y214" s="2">
        <v>831</v>
      </c>
      <c r="Z214" s="2">
        <v>857</v>
      </c>
      <c r="AA214" s="2">
        <v>865</v>
      </c>
      <c r="AB214" s="2">
        <v>885</v>
      </c>
      <c r="AC214" s="2">
        <v>888</v>
      </c>
      <c r="AD214" s="2">
        <v>874</v>
      </c>
      <c r="AE214" s="2">
        <v>884</v>
      </c>
      <c r="AF214" s="2">
        <v>988</v>
      </c>
      <c r="AG214" s="2">
        <v>945</v>
      </c>
      <c r="AH214" s="2">
        <v>966</v>
      </c>
      <c r="AI214" s="2">
        <v>1018</v>
      </c>
      <c r="AJ214" s="2">
        <v>1105</v>
      </c>
      <c r="AK214" s="2">
        <v>1201</v>
      </c>
      <c r="AL214" s="2">
        <v>1159</v>
      </c>
      <c r="AM214" s="2">
        <v>1264</v>
      </c>
      <c r="AN214" s="2">
        <v>1291</v>
      </c>
      <c r="AO214" s="2">
        <v>1316</v>
      </c>
      <c r="AP214" s="2">
        <v>1233</v>
      </c>
      <c r="AQ214" s="2">
        <v>1245</v>
      </c>
      <c r="AR214" s="2">
        <v>1293</v>
      </c>
      <c r="AS214" s="2">
        <v>1262</v>
      </c>
      <c r="AT214" s="2">
        <v>1287</v>
      </c>
      <c r="AU214" s="2">
        <v>1242</v>
      </c>
      <c r="AV214" s="2">
        <v>1188</v>
      </c>
      <c r="AW214" s="2">
        <v>1209</v>
      </c>
      <c r="AX214" s="2">
        <v>1160</v>
      </c>
      <c r="AY214" s="2">
        <v>1129</v>
      </c>
      <c r="AZ214" s="2">
        <v>1103</v>
      </c>
      <c r="BA214" s="2">
        <v>1089</v>
      </c>
      <c r="BB214" s="2">
        <v>1100</v>
      </c>
      <c r="BC214" s="2">
        <v>1078</v>
      </c>
      <c r="BD214" s="2">
        <v>1005</v>
      </c>
      <c r="BE214" s="2">
        <v>991</v>
      </c>
      <c r="BF214" s="2">
        <v>957</v>
      </c>
      <c r="BG214" s="2">
        <v>947</v>
      </c>
      <c r="BH214" s="2">
        <v>977</v>
      </c>
      <c r="BI214" s="2">
        <v>997</v>
      </c>
      <c r="BJ214" s="2">
        <v>1008</v>
      </c>
      <c r="BK214" s="2">
        <v>1059</v>
      </c>
      <c r="BL214" s="2">
        <v>1016</v>
      </c>
      <c r="BM214" s="1">
        <v>977</v>
      </c>
      <c r="BN214" s="1">
        <v>952</v>
      </c>
      <c r="BO214" s="1">
        <v>935</v>
      </c>
      <c r="BP214" s="1">
        <v>927</v>
      </c>
    </row>
    <row r="215" spans="1:68">
      <c r="A215" s="65" t="s">
        <v>421</v>
      </c>
      <c r="B215" s="1" t="s">
        <v>422</v>
      </c>
      <c r="C215" s="57" t="str">
        <f>_xll.RssMarket("6752","安値")</f>
        <v/>
      </c>
      <c r="D215" s="16" t="e">
        <f t="shared" si="7"/>
        <v>#VALUE!</v>
      </c>
      <c r="E215" s="2">
        <v>3900</v>
      </c>
      <c r="F215" s="2">
        <v>4178</v>
      </c>
      <c r="G215" s="2">
        <v>4093</v>
      </c>
      <c r="H215" s="2">
        <v>4354</v>
      </c>
      <c r="I215" s="2">
        <v>4476</v>
      </c>
      <c r="J215" s="2">
        <v>4376</v>
      </c>
      <c r="K215" s="2">
        <v>4250</v>
      </c>
      <c r="L215" s="2">
        <v>4353</v>
      </c>
      <c r="M215" s="2">
        <v>4493</v>
      </c>
      <c r="N215" s="2">
        <v>4362</v>
      </c>
      <c r="O215" s="2">
        <v>4456</v>
      </c>
      <c r="P215" s="2">
        <v>4580</v>
      </c>
      <c r="Q215" s="2">
        <v>4366</v>
      </c>
      <c r="R215" s="2">
        <v>4275</v>
      </c>
      <c r="S215" s="2">
        <v>4451</v>
      </c>
      <c r="T215" s="2">
        <v>4455</v>
      </c>
      <c r="U215" s="2">
        <v>4195</v>
      </c>
      <c r="V215" s="2">
        <v>4220</v>
      </c>
      <c r="W215" s="2">
        <v>4376</v>
      </c>
      <c r="X215" s="2">
        <v>4326</v>
      </c>
      <c r="Y215" s="2">
        <v>4216</v>
      </c>
      <c r="Z215" s="2">
        <v>4152</v>
      </c>
      <c r="AA215" s="2">
        <v>3993</v>
      </c>
      <c r="AB215" s="2">
        <v>3914</v>
      </c>
      <c r="AC215" s="2">
        <v>3762</v>
      </c>
      <c r="AD215" s="2">
        <v>3571</v>
      </c>
      <c r="AE215" s="2">
        <v>3712</v>
      </c>
      <c r="AF215" s="2">
        <v>3431</v>
      </c>
      <c r="AG215" s="2">
        <v>3638</v>
      </c>
      <c r="AH215" s="2">
        <v>3633</v>
      </c>
      <c r="AI215" s="2">
        <v>3680</v>
      </c>
      <c r="AJ215" s="2">
        <v>3487</v>
      </c>
      <c r="AK215" s="2">
        <v>3529</v>
      </c>
      <c r="AL215" s="2">
        <v>3416</v>
      </c>
      <c r="AM215" s="2">
        <v>3544</v>
      </c>
      <c r="AN215" s="2">
        <v>3491</v>
      </c>
      <c r="AO215" s="2">
        <v>3420</v>
      </c>
      <c r="AP215" s="2">
        <v>3214</v>
      </c>
      <c r="AQ215" s="2">
        <v>3183</v>
      </c>
      <c r="AR215" s="2">
        <v>3300</v>
      </c>
      <c r="AS215" s="2">
        <v>3221</v>
      </c>
      <c r="AT215" s="2">
        <v>3263</v>
      </c>
      <c r="AU215" s="2">
        <v>3295</v>
      </c>
      <c r="AV215" s="2">
        <v>3121</v>
      </c>
      <c r="AW215" s="2">
        <v>3333</v>
      </c>
      <c r="AX215" s="2">
        <v>3221</v>
      </c>
      <c r="AY215" s="2">
        <v>3222</v>
      </c>
      <c r="AZ215" s="2">
        <v>3297</v>
      </c>
      <c r="BA215" s="2">
        <v>3232</v>
      </c>
      <c r="BB215" s="2">
        <v>3071</v>
      </c>
      <c r="BC215" s="2">
        <v>3036</v>
      </c>
      <c r="BD215" s="2">
        <v>2931</v>
      </c>
      <c r="BE215" s="2">
        <v>2836.5</v>
      </c>
      <c r="BF215" s="2">
        <v>2877</v>
      </c>
      <c r="BG215" s="2">
        <v>2957.5</v>
      </c>
      <c r="BH215" s="2">
        <v>2999</v>
      </c>
      <c r="BI215" s="2">
        <v>2880</v>
      </c>
      <c r="BJ215" s="2">
        <v>2897</v>
      </c>
      <c r="BK215" s="2">
        <v>2927.5</v>
      </c>
      <c r="BL215" s="2">
        <v>2889.5</v>
      </c>
      <c r="BM215" s="1">
        <v>2870</v>
      </c>
      <c r="BN215" s="1">
        <v>2810</v>
      </c>
      <c r="BO215" s="1">
        <v>2855</v>
      </c>
      <c r="BP215" s="1">
        <v>2832</v>
      </c>
    </row>
    <row r="216" spans="1:68">
      <c r="A216" s="65" t="s">
        <v>423</v>
      </c>
      <c r="B216" s="1" t="s">
        <v>424</v>
      </c>
      <c r="C216" s="57" t="str">
        <f>_xll.RssMarket("6622","安値")</f>
        <v/>
      </c>
      <c r="D216" s="16" t="e">
        <f t="shared" si="7"/>
        <v>#VALUE!</v>
      </c>
      <c r="E216" s="2">
        <v>13540</v>
      </c>
      <c r="F216" s="2">
        <v>15030</v>
      </c>
      <c r="G216" s="2">
        <v>14540</v>
      </c>
      <c r="H216" s="2">
        <v>14820</v>
      </c>
      <c r="I216" s="2">
        <v>15440</v>
      </c>
      <c r="J216" s="2">
        <v>15130</v>
      </c>
      <c r="K216" s="2">
        <v>14710</v>
      </c>
      <c r="L216" s="2">
        <v>15920</v>
      </c>
      <c r="M216" s="2">
        <v>16660</v>
      </c>
      <c r="N216" s="2">
        <v>15830</v>
      </c>
      <c r="O216" s="2">
        <v>16940</v>
      </c>
      <c r="P216" s="2">
        <v>18290</v>
      </c>
      <c r="Q216" s="2">
        <v>17680</v>
      </c>
      <c r="R216" s="2">
        <v>17140</v>
      </c>
      <c r="S216" s="2">
        <v>17800</v>
      </c>
      <c r="T216" s="2">
        <v>18680</v>
      </c>
      <c r="U216" s="2">
        <v>18140</v>
      </c>
      <c r="V216" s="2">
        <v>18570</v>
      </c>
      <c r="W216" s="2">
        <v>17870</v>
      </c>
      <c r="X216" s="2">
        <v>17630</v>
      </c>
      <c r="Y216" s="2">
        <v>17290</v>
      </c>
      <c r="Z216" s="2">
        <v>16030</v>
      </c>
      <c r="AA216" s="2">
        <v>16050</v>
      </c>
      <c r="AB216" s="2">
        <v>15490</v>
      </c>
      <c r="AC216" s="2">
        <v>14700</v>
      </c>
      <c r="AD216" s="2">
        <v>13690</v>
      </c>
      <c r="AE216" s="2">
        <v>14580</v>
      </c>
      <c r="AF216" s="2">
        <v>14440</v>
      </c>
      <c r="AG216" s="2">
        <v>15310</v>
      </c>
      <c r="AH216" s="2">
        <v>15300</v>
      </c>
      <c r="AI216" s="2">
        <v>15130</v>
      </c>
      <c r="AJ216" s="2">
        <v>14840</v>
      </c>
      <c r="AK216" s="2">
        <v>15750</v>
      </c>
      <c r="AL216" s="2">
        <v>15840</v>
      </c>
      <c r="AM216" s="2">
        <v>16560</v>
      </c>
      <c r="AN216" s="2">
        <v>16710</v>
      </c>
      <c r="AO216" s="2">
        <v>16220</v>
      </c>
      <c r="AP216" s="2">
        <v>15360</v>
      </c>
      <c r="AQ216" s="2">
        <v>14980</v>
      </c>
      <c r="AR216" s="2">
        <v>15650</v>
      </c>
      <c r="AS216" s="2">
        <v>16510</v>
      </c>
      <c r="AT216" s="2">
        <v>16670</v>
      </c>
      <c r="AU216" s="2">
        <v>17250</v>
      </c>
      <c r="AV216" s="2">
        <v>17500</v>
      </c>
      <c r="AW216" s="2">
        <v>17640</v>
      </c>
      <c r="AX216" s="2">
        <v>17370</v>
      </c>
      <c r="AY216" s="2">
        <v>16570</v>
      </c>
      <c r="AZ216" s="2">
        <v>16500</v>
      </c>
      <c r="BA216" s="2">
        <v>15150</v>
      </c>
      <c r="BB216" s="2">
        <v>15000</v>
      </c>
      <c r="BC216" s="2">
        <v>14500</v>
      </c>
      <c r="BD216" s="2">
        <v>13940</v>
      </c>
      <c r="BE216" s="2">
        <v>13650</v>
      </c>
      <c r="BF216" s="2">
        <v>13420</v>
      </c>
      <c r="BG216" s="2">
        <v>13750</v>
      </c>
      <c r="BH216" s="2">
        <v>13940</v>
      </c>
      <c r="BI216" s="2">
        <v>13820</v>
      </c>
      <c r="BJ216" s="2">
        <v>13820</v>
      </c>
      <c r="BK216" s="2">
        <v>14090</v>
      </c>
      <c r="BL216" s="2">
        <v>13880</v>
      </c>
      <c r="BM216" s="1">
        <v>14270</v>
      </c>
      <c r="BN216" s="1">
        <v>13810</v>
      </c>
      <c r="BO216" s="1">
        <v>13760</v>
      </c>
      <c r="BP216" s="1">
        <v>13210</v>
      </c>
    </row>
    <row r="217" spans="1:68">
      <c r="A217" s="65" t="s">
        <v>425</v>
      </c>
      <c r="B217" s="1" t="s">
        <v>426</v>
      </c>
      <c r="C217" s="57" t="str">
        <f>_xll.RssMarket("1407","安値")</f>
        <v/>
      </c>
      <c r="D217" s="16" t="e">
        <f t="shared" si="7"/>
        <v>#VALUE!</v>
      </c>
      <c r="E217" s="2">
        <v>2675</v>
      </c>
      <c r="F217" s="2">
        <v>2339</v>
      </c>
      <c r="G217" s="2">
        <v>2234</v>
      </c>
      <c r="H217" s="2">
        <v>2165</v>
      </c>
      <c r="I217" s="2">
        <v>2134</v>
      </c>
      <c r="J217" s="2">
        <v>2231</v>
      </c>
      <c r="K217" s="2">
        <v>2236</v>
      </c>
      <c r="L217" s="2">
        <v>2240</v>
      </c>
      <c r="M217" s="2">
        <v>2308</v>
      </c>
      <c r="N217" s="2">
        <v>2318</v>
      </c>
      <c r="O217" s="2">
        <v>2310</v>
      </c>
      <c r="P217" s="2">
        <v>2328</v>
      </c>
      <c r="Q217" s="2">
        <v>2350</v>
      </c>
      <c r="R217" s="2">
        <v>2362</v>
      </c>
      <c r="S217" s="2">
        <v>2275</v>
      </c>
      <c r="T217" s="2">
        <v>2290</v>
      </c>
      <c r="U217" s="2">
        <v>2280</v>
      </c>
      <c r="V217" s="2">
        <v>2207</v>
      </c>
      <c r="W217" s="2">
        <v>2196</v>
      </c>
      <c r="X217" s="2">
        <v>2285</v>
      </c>
      <c r="Y217" s="2">
        <v>2220</v>
      </c>
      <c r="Z217" s="2">
        <v>2211</v>
      </c>
      <c r="AA217" s="2">
        <v>2240</v>
      </c>
      <c r="AB217" s="2">
        <v>2290</v>
      </c>
      <c r="AC217" s="2">
        <v>2191</v>
      </c>
      <c r="AD217" s="2">
        <v>2251</v>
      </c>
      <c r="AE217" s="2">
        <v>2307</v>
      </c>
      <c r="AF217" s="2">
        <v>2290</v>
      </c>
      <c r="AG217" s="2">
        <v>2436</v>
      </c>
      <c r="AH217" s="2">
        <v>2503</v>
      </c>
      <c r="AI217" s="2">
        <v>2430</v>
      </c>
      <c r="AJ217" s="2">
        <v>2691</v>
      </c>
      <c r="AK217" s="2">
        <v>2845</v>
      </c>
      <c r="AL217" s="2">
        <v>3075</v>
      </c>
      <c r="AM217" s="2">
        <v>2877</v>
      </c>
      <c r="AN217" s="2">
        <v>2833</v>
      </c>
      <c r="AO217" s="2">
        <v>2892</v>
      </c>
      <c r="AP217" s="2">
        <v>2903</v>
      </c>
      <c r="AQ217" s="2">
        <v>2839</v>
      </c>
      <c r="AR217" s="2">
        <v>2901</v>
      </c>
      <c r="AS217" s="2">
        <v>2985</v>
      </c>
      <c r="AT217" s="2">
        <v>2980</v>
      </c>
      <c r="AU217" s="2">
        <v>2790</v>
      </c>
      <c r="AV217" s="2">
        <v>2917</v>
      </c>
      <c r="AW217" s="2">
        <v>3050</v>
      </c>
      <c r="AX217" s="2">
        <v>2830</v>
      </c>
      <c r="AY217" s="2">
        <v>2714</v>
      </c>
      <c r="AZ217" s="2">
        <v>2820</v>
      </c>
      <c r="BA217" s="2">
        <v>2702</v>
      </c>
      <c r="BB217" s="2">
        <v>2620</v>
      </c>
      <c r="BC217" s="2">
        <v>2495</v>
      </c>
      <c r="BD217" s="2">
        <v>2383</v>
      </c>
      <c r="BE217" s="2">
        <v>2310</v>
      </c>
      <c r="BF217" s="2">
        <v>2211</v>
      </c>
      <c r="BG217" s="2">
        <v>2274</v>
      </c>
      <c r="BH217" s="2">
        <v>2161</v>
      </c>
      <c r="BI217" s="2">
        <v>2206</v>
      </c>
      <c r="BJ217" s="2">
        <v>2090</v>
      </c>
      <c r="BK217" s="2">
        <v>1903</v>
      </c>
      <c r="BL217" s="2">
        <v>1730</v>
      </c>
      <c r="BM217" s="1">
        <v>1802</v>
      </c>
      <c r="BN217" s="1">
        <v>1827</v>
      </c>
      <c r="BO217" s="1">
        <v>1803</v>
      </c>
      <c r="BP217" s="1">
        <v>1833</v>
      </c>
    </row>
    <row r="218" spans="1:68">
      <c r="A218" s="65" t="s">
        <v>427</v>
      </c>
      <c r="B218" s="1" t="s">
        <v>428</v>
      </c>
      <c r="C218" s="57" t="str">
        <f>_xll.RssMarket("285A","安値")</f>
        <v/>
      </c>
      <c r="D218" s="16" t="e">
        <f t="shared" si="7"/>
        <v>#VALUE!</v>
      </c>
      <c r="E218" s="2">
        <v>52110</v>
      </c>
      <c r="F218" s="2">
        <v>71200</v>
      </c>
      <c r="G218" s="2">
        <v>63060</v>
      </c>
      <c r="H218" s="2">
        <v>66100</v>
      </c>
      <c r="I218" s="2">
        <v>75880</v>
      </c>
      <c r="J218" s="2">
        <v>75700</v>
      </c>
      <c r="K218" s="2">
        <v>69300</v>
      </c>
      <c r="L218" s="2">
        <v>71120</v>
      </c>
      <c r="M218" s="2">
        <v>78200</v>
      </c>
      <c r="N218" s="2">
        <v>67190</v>
      </c>
      <c r="O218" s="2">
        <v>75000</v>
      </c>
      <c r="P218" s="2">
        <v>87120</v>
      </c>
      <c r="Q218" s="2">
        <v>85300</v>
      </c>
      <c r="R218" s="2">
        <v>82100</v>
      </c>
      <c r="S218" s="2">
        <v>89600</v>
      </c>
      <c r="T218" s="2">
        <v>97310</v>
      </c>
      <c r="U218" s="2">
        <v>86550</v>
      </c>
      <c r="V218" s="2">
        <v>91150</v>
      </c>
      <c r="W218" s="2">
        <v>104250</v>
      </c>
      <c r="X218" s="2">
        <v>99970</v>
      </c>
      <c r="Y218" s="2">
        <v>95800</v>
      </c>
      <c r="Z218" s="2">
        <v>92320</v>
      </c>
      <c r="AA218" s="2">
        <v>90920</v>
      </c>
      <c r="AB218" s="2">
        <v>85200</v>
      </c>
      <c r="AC218" s="2">
        <v>78920</v>
      </c>
      <c r="AD218" s="2">
        <v>67600</v>
      </c>
      <c r="AE218" s="2">
        <v>70130</v>
      </c>
      <c r="AF218" s="2">
        <v>69010</v>
      </c>
      <c r="AG218" s="2">
        <v>73290</v>
      </c>
      <c r="AH218" s="2">
        <v>75000</v>
      </c>
      <c r="AI218" s="2">
        <v>76240</v>
      </c>
      <c r="AJ218" s="2">
        <v>70230</v>
      </c>
      <c r="AK218" s="2">
        <v>61110</v>
      </c>
      <c r="AL218" s="2">
        <v>56900</v>
      </c>
      <c r="AM218" s="2">
        <v>60170</v>
      </c>
      <c r="AN218" s="2">
        <v>58090</v>
      </c>
      <c r="AO218" s="2">
        <v>56280</v>
      </c>
      <c r="AP218" s="2">
        <v>51120</v>
      </c>
      <c r="AQ218" s="2">
        <v>48270</v>
      </c>
      <c r="AR218" s="2">
        <v>48000</v>
      </c>
      <c r="AS218" s="2">
        <v>51450</v>
      </c>
      <c r="AT218" s="2">
        <v>42100</v>
      </c>
      <c r="AU218" s="2">
        <v>45110</v>
      </c>
      <c r="AV218" s="2">
        <v>44740</v>
      </c>
      <c r="AW218" s="2">
        <v>43630</v>
      </c>
      <c r="AX218" s="2">
        <v>45690</v>
      </c>
      <c r="AY218" s="2">
        <v>41900</v>
      </c>
      <c r="AZ218" s="2">
        <v>43410</v>
      </c>
      <c r="BA218" s="2">
        <v>36050</v>
      </c>
      <c r="BB218" s="2">
        <v>36920</v>
      </c>
      <c r="BC218" s="2">
        <v>36200</v>
      </c>
      <c r="BD218" s="2">
        <v>35030</v>
      </c>
      <c r="BE218" s="2">
        <v>34150</v>
      </c>
      <c r="BF218" s="2">
        <v>33750</v>
      </c>
      <c r="BG218" s="2">
        <v>32400</v>
      </c>
      <c r="BH218" s="2">
        <v>30710</v>
      </c>
      <c r="BI218" s="2">
        <v>30090</v>
      </c>
      <c r="BJ218" s="2">
        <v>30460</v>
      </c>
      <c r="BK218" s="2">
        <v>31010</v>
      </c>
      <c r="BL218" s="2">
        <v>32100</v>
      </c>
      <c r="BM218" s="1">
        <v>33820</v>
      </c>
      <c r="BN218" s="1">
        <v>29530</v>
      </c>
      <c r="BO218" s="1">
        <v>28890</v>
      </c>
      <c r="BP218" s="1">
        <v>26600</v>
      </c>
    </row>
    <row r="219" spans="1:68">
      <c r="A219" s="65" t="s">
        <v>429</v>
      </c>
      <c r="B219" s="1" t="s">
        <v>430</v>
      </c>
      <c r="C219" s="57" t="str">
        <f>_xll.RssMarket("141A","安値")</f>
        <v/>
      </c>
      <c r="D219" s="16" t="e">
        <f t="shared" si="7"/>
        <v>#VALUE!</v>
      </c>
      <c r="E219" s="2">
        <v>2973</v>
      </c>
      <c r="F219" s="2">
        <v>3005</v>
      </c>
      <c r="G219" s="2">
        <v>3030</v>
      </c>
      <c r="H219" s="2">
        <v>2960</v>
      </c>
      <c r="I219" s="2">
        <v>3010</v>
      </c>
      <c r="J219" s="2">
        <v>2983</v>
      </c>
      <c r="K219" s="2">
        <v>2976</v>
      </c>
      <c r="L219" s="2">
        <v>3070</v>
      </c>
      <c r="M219" s="2">
        <v>3025</v>
      </c>
      <c r="N219" s="2">
        <v>3055</v>
      </c>
      <c r="O219" s="2">
        <v>2917</v>
      </c>
      <c r="P219" s="2">
        <v>2880</v>
      </c>
      <c r="Q219" s="2">
        <v>2988</v>
      </c>
      <c r="R219" s="2">
        <v>2939</v>
      </c>
      <c r="S219" s="2">
        <v>2957</v>
      </c>
      <c r="T219" s="2">
        <v>2793</v>
      </c>
      <c r="U219" s="2">
        <v>2725</v>
      </c>
      <c r="V219" s="2">
        <v>2700</v>
      </c>
      <c r="W219" s="2">
        <v>2721</v>
      </c>
      <c r="X219" s="2">
        <v>2717</v>
      </c>
      <c r="Y219" s="2">
        <v>2768</v>
      </c>
      <c r="Z219" s="2">
        <v>2721</v>
      </c>
      <c r="AA219" s="2">
        <v>2746</v>
      </c>
      <c r="AB219" s="2">
        <v>2789</v>
      </c>
      <c r="AC219" s="2">
        <v>2811</v>
      </c>
      <c r="AD219" s="2">
        <v>2725</v>
      </c>
      <c r="AE219" s="2">
        <v>2716</v>
      </c>
      <c r="AF219" s="2">
        <v>2669</v>
      </c>
      <c r="AG219" s="2">
        <v>2667</v>
      </c>
      <c r="AH219" s="2">
        <v>2506</v>
      </c>
      <c r="AI219" s="2">
        <v>2545</v>
      </c>
      <c r="AJ219" s="2">
        <v>2865</v>
      </c>
      <c r="AK219" s="2">
        <v>2813</v>
      </c>
      <c r="AL219" s="2">
        <v>2617</v>
      </c>
      <c r="AM219" s="2">
        <v>2874</v>
      </c>
      <c r="AN219" s="2">
        <v>2952</v>
      </c>
      <c r="AO219" s="2">
        <v>2929</v>
      </c>
      <c r="AP219" s="2">
        <v>3085</v>
      </c>
      <c r="AQ219" s="2">
        <v>2921</v>
      </c>
      <c r="AR219" s="2">
        <v>2887</v>
      </c>
      <c r="AS219" s="2">
        <v>3570</v>
      </c>
      <c r="AT219" s="2">
        <v>4205</v>
      </c>
      <c r="AU219" s="2">
        <v>4280</v>
      </c>
      <c r="AV219" s="2">
        <v>4265</v>
      </c>
      <c r="AW219" s="2">
        <v>4090</v>
      </c>
      <c r="AX219" s="2">
        <v>4090</v>
      </c>
      <c r="AY219" s="2">
        <v>3875</v>
      </c>
      <c r="AZ219" s="2">
        <v>3870</v>
      </c>
      <c r="BA219" s="2">
        <v>3845</v>
      </c>
      <c r="BB219" s="2">
        <v>3810</v>
      </c>
      <c r="BC219" s="2">
        <v>3850</v>
      </c>
      <c r="BD219" s="2">
        <v>3970</v>
      </c>
      <c r="BE219" s="2">
        <v>4135</v>
      </c>
      <c r="BF219" s="2">
        <v>4490</v>
      </c>
      <c r="BG219" s="2">
        <v>4610</v>
      </c>
      <c r="BH219" s="2">
        <v>4455</v>
      </c>
      <c r="BI219" s="2">
        <v>4440</v>
      </c>
      <c r="BJ219" s="2">
        <v>4350</v>
      </c>
      <c r="BK219" s="2">
        <v>4310</v>
      </c>
      <c r="BL219" s="2">
        <v>4125</v>
      </c>
      <c r="BM219" s="1">
        <v>4115</v>
      </c>
      <c r="BN219" s="1">
        <v>4445</v>
      </c>
      <c r="BO219" s="1">
        <v>4370</v>
      </c>
      <c r="BP219" s="1">
        <v>4570</v>
      </c>
    </row>
    <row r="220" spans="1:68">
      <c r="A220" s="65" t="s">
        <v>431</v>
      </c>
      <c r="B220" s="1" t="s">
        <v>432</v>
      </c>
      <c r="C220" s="57" t="str">
        <f>_xll.RssMarket("464A","安値")</f>
        <v/>
      </c>
      <c r="D220" s="16" t="e">
        <f t="shared" si="7"/>
        <v>#VALUE!</v>
      </c>
      <c r="E220" s="2">
        <v>1577</v>
      </c>
      <c r="F220" s="2">
        <v>1800</v>
      </c>
      <c r="G220" s="2">
        <v>1763</v>
      </c>
      <c r="H220" s="2">
        <v>1811</v>
      </c>
      <c r="I220" s="2">
        <v>1797</v>
      </c>
      <c r="J220" s="2">
        <v>1770</v>
      </c>
      <c r="K220" s="2">
        <v>1789</v>
      </c>
      <c r="L220" s="2">
        <v>1947</v>
      </c>
      <c r="M220" s="2">
        <v>2026</v>
      </c>
      <c r="N220" s="2">
        <v>1974</v>
      </c>
      <c r="O220" s="2">
        <v>1976</v>
      </c>
      <c r="P220" s="2">
        <v>1871</v>
      </c>
      <c r="Q220" s="2">
        <v>1906</v>
      </c>
      <c r="R220" s="2">
        <v>1841</v>
      </c>
      <c r="S220" s="2">
        <v>1854</v>
      </c>
      <c r="T220" s="2">
        <v>1945</v>
      </c>
      <c r="U220" s="2">
        <v>1960</v>
      </c>
      <c r="V220" s="2">
        <v>2011</v>
      </c>
      <c r="W220" s="2">
        <v>2170</v>
      </c>
      <c r="X220" s="2">
        <v>2151</v>
      </c>
      <c r="Y220" s="2">
        <v>2215</v>
      </c>
      <c r="Z220" s="2">
        <v>2166</v>
      </c>
      <c r="AA220" s="2">
        <v>2247</v>
      </c>
      <c r="AB220" s="2">
        <v>2307</v>
      </c>
      <c r="AC220" s="2">
        <v>2685</v>
      </c>
      <c r="AD220" s="2">
        <v>2430</v>
      </c>
      <c r="AE220" s="2">
        <v>2461</v>
      </c>
      <c r="AF220" s="2">
        <v>2695</v>
      </c>
      <c r="AG220" s="2">
        <v>2833</v>
      </c>
      <c r="AH220" s="2">
        <v>2600</v>
      </c>
      <c r="AI220" s="2">
        <v>2894</v>
      </c>
      <c r="AJ220" s="2">
        <v>2900</v>
      </c>
      <c r="AK220" s="2">
        <v>3915</v>
      </c>
      <c r="AL220" s="2">
        <v>4075</v>
      </c>
      <c r="AM220" s="2">
        <v>4080</v>
      </c>
      <c r="AN220" s="2">
        <v>3780</v>
      </c>
      <c r="AO220" s="2">
        <v>3385</v>
      </c>
      <c r="AP220" s="2">
        <v>3175</v>
      </c>
      <c r="AQ220" s="2">
        <v>3220</v>
      </c>
      <c r="AR220" s="2">
        <v>3320</v>
      </c>
      <c r="AS220" s="2">
        <v>3170</v>
      </c>
      <c r="AT220" s="2">
        <v>3230</v>
      </c>
      <c r="AU220" s="2">
        <v>3175</v>
      </c>
      <c r="AV220" s="2">
        <v>2868</v>
      </c>
      <c r="AW220" s="2">
        <v>2840</v>
      </c>
      <c r="AX220" s="2">
        <v>2949</v>
      </c>
      <c r="AY220" s="2">
        <v>2635</v>
      </c>
      <c r="AZ220" s="2">
        <v>2631</v>
      </c>
      <c r="BA220" s="2">
        <v>2493</v>
      </c>
      <c r="BB220" s="2">
        <v>2473</v>
      </c>
      <c r="BC220" s="2">
        <v>2432</v>
      </c>
      <c r="BD220" s="2">
        <v>2404</v>
      </c>
      <c r="BE220" s="2">
        <v>2477</v>
      </c>
      <c r="BF220" s="2">
        <v>2501</v>
      </c>
      <c r="BG220" s="2">
        <v>2652</v>
      </c>
      <c r="BH220" s="2">
        <v>2650</v>
      </c>
      <c r="BI220" s="2">
        <v>2596</v>
      </c>
      <c r="BJ220" s="2">
        <v>2581</v>
      </c>
      <c r="BK220" s="2">
        <v>2530</v>
      </c>
      <c r="BL220" s="2">
        <v>2496</v>
      </c>
      <c r="BM220" s="1">
        <v>2543</v>
      </c>
      <c r="BN220" s="1">
        <v>2732</v>
      </c>
      <c r="BO220" s="1">
        <v>2660</v>
      </c>
      <c r="BP220" s="1">
        <v>2576</v>
      </c>
    </row>
    <row r="221" spans="1:68">
      <c r="A221" s="65" t="s">
        <v>433</v>
      </c>
      <c r="B221" s="1" t="s">
        <v>434</v>
      </c>
      <c r="C221" s="57" t="str">
        <f>_xll.RssMarket("485A","安値")</f>
        <v/>
      </c>
      <c r="D221" s="16" t="e">
        <f t="shared" si="7"/>
        <v>#VALUE!</v>
      </c>
      <c r="E221" s="2">
        <v>1845</v>
      </c>
      <c r="F221" s="2">
        <v>1855</v>
      </c>
      <c r="G221" s="2">
        <v>1786</v>
      </c>
      <c r="H221" s="2">
        <v>1795</v>
      </c>
      <c r="I221" s="2">
        <v>1846</v>
      </c>
      <c r="J221" s="2">
        <v>1842</v>
      </c>
      <c r="K221" s="2">
        <v>1810</v>
      </c>
      <c r="L221" s="2">
        <v>1928</v>
      </c>
      <c r="M221" s="2">
        <v>1962</v>
      </c>
      <c r="N221" s="2">
        <v>1851</v>
      </c>
      <c r="O221" s="2">
        <v>1696</v>
      </c>
      <c r="P221" s="2">
        <v>1721</v>
      </c>
      <c r="Q221" s="2">
        <v>1869</v>
      </c>
      <c r="R221" s="2">
        <v>1791</v>
      </c>
      <c r="S221" s="2">
        <v>1914</v>
      </c>
      <c r="T221" s="2">
        <v>2053</v>
      </c>
      <c r="U221" s="2">
        <v>2050</v>
      </c>
      <c r="V221" s="2">
        <v>1982</v>
      </c>
      <c r="W221" s="2">
        <v>1731</v>
      </c>
      <c r="X221" s="2">
        <v>1955</v>
      </c>
      <c r="Y221" s="2">
        <v>2291</v>
      </c>
      <c r="Z221" s="2">
        <v>2345</v>
      </c>
      <c r="AA221" s="2">
        <v>2323</v>
      </c>
      <c r="AB221" s="2">
        <v>2430</v>
      </c>
      <c r="AC221" s="2">
        <v>2130</v>
      </c>
      <c r="AD221" s="2">
        <v>2217</v>
      </c>
      <c r="AE221" s="2">
        <v>2628</v>
      </c>
      <c r="AF221" s="2">
        <v>2657</v>
      </c>
      <c r="AG221" s="2">
        <v>2853</v>
      </c>
      <c r="AH221" s="2">
        <v>3120</v>
      </c>
      <c r="AI221" s="2">
        <v>3075</v>
      </c>
      <c r="AJ221" s="2">
        <v>3640</v>
      </c>
      <c r="AK221" s="2">
        <v>4075</v>
      </c>
      <c r="AL221" s="2">
        <v>13500</v>
      </c>
      <c r="AM221" s="2">
        <v>12950</v>
      </c>
      <c r="AN221" s="2">
        <v>12700</v>
      </c>
      <c r="AO221" s="2">
        <v>12930</v>
      </c>
      <c r="AP221" s="2">
        <v>13220</v>
      </c>
      <c r="AQ221" s="2">
        <v>14180</v>
      </c>
      <c r="AR221" s="2">
        <v>12600</v>
      </c>
      <c r="AS221" s="2">
        <v>12040</v>
      </c>
      <c r="AT221" s="2">
        <v>11890</v>
      </c>
      <c r="AU221" s="2">
        <v>11120</v>
      </c>
      <c r="AV221" s="2">
        <v>11960</v>
      </c>
      <c r="AW221" s="2">
        <v>13800</v>
      </c>
      <c r="AX221" s="2">
        <v>12350</v>
      </c>
      <c r="AY221" s="2">
        <v>9910</v>
      </c>
      <c r="AZ221" s="2">
        <v>10210</v>
      </c>
      <c r="BA221" s="2">
        <v>9530</v>
      </c>
      <c r="BB221" s="2">
        <v>8810</v>
      </c>
      <c r="BC221" s="2">
        <v>8000</v>
      </c>
      <c r="BD221" s="2">
        <v>7260</v>
      </c>
      <c r="BE221" s="2">
        <v>6960</v>
      </c>
      <c r="BF221" s="2">
        <v>6940</v>
      </c>
      <c r="BG221" s="2">
        <v>6810</v>
      </c>
      <c r="BH221" s="2">
        <v>6540</v>
      </c>
      <c r="BI221" s="2">
        <v>6530</v>
      </c>
      <c r="BJ221" s="2">
        <v>6650</v>
      </c>
      <c r="BK221" s="2">
        <v>6700</v>
      </c>
      <c r="BL221" s="2">
        <v>6620</v>
      </c>
      <c r="BM221" s="1">
        <v>7110</v>
      </c>
      <c r="BN221" s="1">
        <v>6660</v>
      </c>
      <c r="BO221" s="1">
        <v>6110</v>
      </c>
      <c r="BP221" s="1">
        <v>5540</v>
      </c>
    </row>
    <row r="222" spans="1:68">
      <c r="A222" s="65" t="s">
        <v>435</v>
      </c>
      <c r="B222" s="1" t="str">
        <f>銘柄管理!C222</f>
        <v/>
      </c>
      <c r="C222" s="57" t="str">
        <f>_xll.RssMarket("1570","安値")</f>
        <v/>
      </c>
      <c r="D222" s="16"/>
      <c r="E222" s="2">
        <v>62900</v>
      </c>
      <c r="F222" s="2">
        <v>73980</v>
      </c>
      <c r="G222" s="2">
        <v>70640</v>
      </c>
      <c r="H222" s="2">
        <v>71480</v>
      </c>
      <c r="I222" s="2">
        <v>75460</v>
      </c>
      <c r="J222" s="2">
        <v>73370</v>
      </c>
      <c r="K222" s="2">
        <v>72330</v>
      </c>
      <c r="L222" s="2">
        <v>74600</v>
      </c>
      <c r="M222" s="2">
        <v>76630</v>
      </c>
      <c r="N222" s="2">
        <v>73830</v>
      </c>
      <c r="O222" s="2">
        <v>76190</v>
      </c>
      <c r="P222" s="2">
        <v>79440</v>
      </c>
      <c r="Q222" s="2">
        <v>77640</v>
      </c>
      <c r="R222" s="2">
        <v>74770</v>
      </c>
      <c r="S222" s="2">
        <v>76040</v>
      </c>
      <c r="T222" s="2">
        <v>80860</v>
      </c>
      <c r="U222" s="2">
        <v>75950</v>
      </c>
      <c r="V222" s="2">
        <v>79140</v>
      </c>
      <c r="W222" s="2">
        <v>82340</v>
      </c>
      <c r="X222" s="2">
        <v>81150</v>
      </c>
      <c r="Y222" s="2">
        <v>80310</v>
      </c>
      <c r="Z222" s="2">
        <v>76880</v>
      </c>
      <c r="AA222" s="2">
        <v>77580</v>
      </c>
      <c r="AB222" s="2">
        <v>76230</v>
      </c>
      <c r="AC222" s="2">
        <v>70550</v>
      </c>
      <c r="AD222" s="2">
        <v>63340</v>
      </c>
      <c r="AE222" s="2">
        <v>66310</v>
      </c>
      <c r="AF222" s="2">
        <v>65660</v>
      </c>
      <c r="AG222" s="2">
        <v>71000</v>
      </c>
      <c r="AH222" s="2">
        <v>73330</v>
      </c>
      <c r="AI222" s="2">
        <v>74440</v>
      </c>
      <c r="AJ222" s="2">
        <v>70450</v>
      </c>
      <c r="AK222" s="2">
        <v>70540</v>
      </c>
      <c r="AL222" s="2">
        <v>66970</v>
      </c>
      <c r="AM222" s="2">
        <v>69560</v>
      </c>
      <c r="AN222" s="2">
        <v>66840</v>
      </c>
      <c r="AO222" s="2">
        <v>63840</v>
      </c>
      <c r="AP222" s="2">
        <v>61640</v>
      </c>
      <c r="AQ222" s="2">
        <v>57900</v>
      </c>
      <c r="AR222" s="2">
        <v>59830</v>
      </c>
      <c r="AS222" s="2">
        <v>60050</v>
      </c>
      <c r="AT222" s="2">
        <v>61210</v>
      </c>
      <c r="AU222" s="2">
        <v>64770</v>
      </c>
      <c r="AV222" s="2">
        <v>63870</v>
      </c>
      <c r="AW222" s="2">
        <v>63710</v>
      </c>
      <c r="AX222" s="2">
        <v>64200</v>
      </c>
      <c r="AY222" s="2">
        <v>63700</v>
      </c>
      <c r="AZ222" s="2">
        <v>63130</v>
      </c>
      <c r="BA222" s="2">
        <v>58360</v>
      </c>
      <c r="BB222" s="2">
        <v>57500</v>
      </c>
      <c r="BC222" s="2">
        <v>59080</v>
      </c>
      <c r="BD222" s="2">
        <v>58860</v>
      </c>
      <c r="BE222" s="2">
        <v>58180</v>
      </c>
      <c r="BF222" s="2">
        <v>56960</v>
      </c>
      <c r="BG222" s="2">
        <v>57740</v>
      </c>
      <c r="BH222" s="2">
        <v>57800</v>
      </c>
      <c r="BI222" s="2">
        <v>57230</v>
      </c>
      <c r="BJ222" s="2">
        <v>57070</v>
      </c>
      <c r="BK222" s="2">
        <v>56910</v>
      </c>
      <c r="BL222" s="2">
        <v>55960</v>
      </c>
      <c r="BM222" s="1">
        <v>54700</v>
      </c>
      <c r="BN222" s="1">
        <v>52570</v>
      </c>
      <c r="BO222" s="1">
        <v>53010</v>
      </c>
      <c r="BP222" s="1">
        <v>51790</v>
      </c>
    </row>
    <row r="223" spans="1:68">
      <c r="A223" s="65" t="s">
        <v>436</v>
      </c>
      <c r="B223" s="1" t="str">
        <f>銘柄管理!C223</f>
        <v/>
      </c>
      <c r="C223" s="57" t="str">
        <f>_xll.RssMarket("6135","安値")</f>
        <v/>
      </c>
      <c r="D223" s="16"/>
      <c r="E223" s="2">
        <v>14110</v>
      </c>
      <c r="F223" s="1">
        <v>14720</v>
      </c>
      <c r="G223" s="1">
        <v>14570</v>
      </c>
      <c r="H223" s="1">
        <v>14530</v>
      </c>
      <c r="I223" s="1">
        <v>14800</v>
      </c>
      <c r="J223" s="1">
        <v>14510</v>
      </c>
      <c r="K223" s="1">
        <v>14530</v>
      </c>
      <c r="L223" s="1">
        <v>14830</v>
      </c>
      <c r="M223" s="1">
        <v>15050</v>
      </c>
      <c r="N223" s="1">
        <v>15010</v>
      </c>
      <c r="O223" s="1">
        <v>14990</v>
      </c>
      <c r="P223" s="1">
        <v>15250</v>
      </c>
      <c r="Q223" s="1">
        <v>14980</v>
      </c>
      <c r="R223" s="1">
        <v>14990</v>
      </c>
      <c r="S223" s="1">
        <v>15060</v>
      </c>
      <c r="T223" s="1">
        <v>15370</v>
      </c>
      <c r="U223" s="1">
        <v>13770</v>
      </c>
      <c r="V223" s="1">
        <v>14070</v>
      </c>
      <c r="W223" s="1">
        <v>14450</v>
      </c>
      <c r="X223" s="1">
        <v>14280</v>
      </c>
      <c r="Y223" s="1">
        <v>14230</v>
      </c>
      <c r="Z223" s="1">
        <v>14110</v>
      </c>
      <c r="AA223" s="1">
        <v>14060</v>
      </c>
      <c r="AB223" s="1">
        <v>14030</v>
      </c>
      <c r="AC223" s="1">
        <v>13970</v>
      </c>
      <c r="AD223" s="1">
        <v>13930</v>
      </c>
      <c r="AE223" s="1">
        <v>14420</v>
      </c>
      <c r="AF223" s="1">
        <v>13730</v>
      </c>
      <c r="AG223" s="1">
        <v>14000</v>
      </c>
      <c r="AH223" s="1">
        <v>13840</v>
      </c>
      <c r="AI223" s="1">
        <v>13530</v>
      </c>
      <c r="AJ223" s="1">
        <v>13700</v>
      </c>
      <c r="AK223" s="1">
        <v>13210</v>
      </c>
      <c r="AL223" s="1">
        <v>12920</v>
      </c>
      <c r="AM223" s="1">
        <v>12960</v>
      </c>
      <c r="AN223" s="1">
        <v>13190</v>
      </c>
      <c r="AO223" s="1">
        <v>12850</v>
      </c>
      <c r="AP223" s="1">
        <v>13180</v>
      </c>
      <c r="AQ223" s="1">
        <v>13110</v>
      </c>
      <c r="AR223" s="1">
        <v>13620</v>
      </c>
      <c r="AS223" s="1">
        <v>13510</v>
      </c>
      <c r="AT223" s="1">
        <v>13400</v>
      </c>
      <c r="AU223" s="1">
        <v>13390</v>
      </c>
      <c r="AV223" s="1">
        <v>13580</v>
      </c>
      <c r="AW223" s="1">
        <v>13510</v>
      </c>
      <c r="AX223" s="1">
        <v>12930</v>
      </c>
      <c r="AY223" s="1">
        <v>13190</v>
      </c>
      <c r="AZ223" s="1">
        <v>12950</v>
      </c>
      <c r="BA223" s="1">
        <v>11920</v>
      </c>
      <c r="BB223" s="1">
        <v>11730</v>
      </c>
      <c r="BC223" s="1">
        <v>11640</v>
      </c>
      <c r="BD223" s="1">
        <v>11640</v>
      </c>
      <c r="BE223" s="1">
        <v>11700</v>
      </c>
      <c r="BF223" s="1">
        <v>10370</v>
      </c>
      <c r="BG223" s="1">
        <v>11590</v>
      </c>
      <c r="BH223" s="1">
        <v>11610</v>
      </c>
      <c r="BI223" s="1">
        <v>11600</v>
      </c>
      <c r="BJ223" s="1">
        <v>11600</v>
      </c>
      <c r="BK223" s="1">
        <v>11580</v>
      </c>
      <c r="BL223" s="1">
        <v>11580</v>
      </c>
      <c r="BM223" s="1">
        <v>11580</v>
      </c>
      <c r="BN223" s="1">
        <v>11550</v>
      </c>
      <c r="BO223" s="1">
        <v>11590</v>
      </c>
      <c r="BP223" s="1">
        <v>11550</v>
      </c>
    </row>
    <row r="224" spans="1:68">
      <c r="A224" s="65" t="s">
        <v>437</v>
      </c>
      <c r="B224" s="1" t="str">
        <f>銘柄管理!C224</f>
        <v/>
      </c>
      <c r="C224" s="57" t="str">
        <f>_xll.RssMarket("6055","安値")</f>
        <v/>
      </c>
      <c r="D224" s="16"/>
      <c r="E224" s="2">
        <v>2151</v>
      </c>
      <c r="F224" s="1">
        <v>2525</v>
      </c>
      <c r="G224" s="1">
        <v>2495</v>
      </c>
      <c r="H224" s="1">
        <v>2582</v>
      </c>
      <c r="I224" s="1">
        <v>2620</v>
      </c>
      <c r="J224" s="1">
        <v>2498</v>
      </c>
      <c r="K224" s="1">
        <v>2469</v>
      </c>
      <c r="L224" s="1">
        <v>2482</v>
      </c>
      <c r="M224" s="1">
        <v>2377</v>
      </c>
      <c r="N224" s="1">
        <v>2301</v>
      </c>
      <c r="O224" s="1">
        <v>2460</v>
      </c>
      <c r="P224" s="1">
        <v>2655</v>
      </c>
      <c r="Q224" s="1">
        <v>2541</v>
      </c>
      <c r="R224" s="1">
        <v>2518</v>
      </c>
      <c r="S224" s="1">
        <v>2566</v>
      </c>
      <c r="T224" s="1">
        <v>2622</v>
      </c>
      <c r="U224" s="1">
        <v>2470</v>
      </c>
      <c r="V224" s="1">
        <v>2553</v>
      </c>
      <c r="W224" s="1">
        <v>2451</v>
      </c>
      <c r="X224" s="1">
        <v>2427</v>
      </c>
      <c r="Y224" s="1">
        <v>2368</v>
      </c>
      <c r="Z224" s="1">
        <v>2325</v>
      </c>
      <c r="AA224" s="1">
        <v>2391</v>
      </c>
      <c r="AB224" s="1">
        <v>2388</v>
      </c>
      <c r="AC224" s="1">
        <v>2251</v>
      </c>
      <c r="AD224" s="1">
        <v>2051</v>
      </c>
      <c r="AE224" s="1">
        <v>2087</v>
      </c>
      <c r="AF224" s="1">
        <v>2051</v>
      </c>
      <c r="AG224" s="1">
        <v>2155</v>
      </c>
      <c r="AH224" s="1">
        <v>2117</v>
      </c>
      <c r="AI224" s="1">
        <v>2039</v>
      </c>
      <c r="AJ224" s="1">
        <v>1956</v>
      </c>
      <c r="AK224" s="1">
        <v>2030</v>
      </c>
      <c r="AL224" s="1">
        <v>2000</v>
      </c>
      <c r="AM224" s="1">
        <v>2041</v>
      </c>
      <c r="AN224" s="1">
        <v>2016</v>
      </c>
      <c r="AO224" s="1">
        <v>1981</v>
      </c>
      <c r="AP224" s="1">
        <v>1963</v>
      </c>
      <c r="AQ224" s="1">
        <v>1885</v>
      </c>
      <c r="AR224" s="1">
        <v>1938</v>
      </c>
      <c r="AS224" s="1">
        <v>2065</v>
      </c>
      <c r="AT224" s="1">
        <v>1953</v>
      </c>
      <c r="AU224" s="1">
        <v>2006</v>
      </c>
      <c r="AV224" s="1">
        <v>2052</v>
      </c>
      <c r="AW224" s="1">
        <v>2095</v>
      </c>
      <c r="AX224" s="1">
        <v>1996</v>
      </c>
      <c r="AY224" s="1">
        <v>1922</v>
      </c>
      <c r="AZ224" s="1">
        <v>1914</v>
      </c>
      <c r="BA224" s="1">
        <v>1778</v>
      </c>
      <c r="BB224" s="1">
        <v>1768</v>
      </c>
      <c r="BC224" s="1">
        <v>1794</v>
      </c>
      <c r="BD224" s="1">
        <v>1838</v>
      </c>
      <c r="BE224" s="1">
        <v>1786</v>
      </c>
      <c r="BF224" s="1">
        <v>1751</v>
      </c>
      <c r="BG224" s="1">
        <v>1803</v>
      </c>
      <c r="BH224" s="1">
        <v>1834</v>
      </c>
      <c r="BI224" s="1">
        <v>1836</v>
      </c>
      <c r="BJ224" s="1">
        <v>1850</v>
      </c>
      <c r="BK224" s="1">
        <v>1886</v>
      </c>
      <c r="BL224" s="1">
        <v>1880</v>
      </c>
      <c r="BM224" s="1">
        <v>1840</v>
      </c>
      <c r="BN224" s="1">
        <v>1768</v>
      </c>
      <c r="BO224" s="1">
        <v>1789</v>
      </c>
      <c r="BP224" s="1">
        <v>1752</v>
      </c>
    </row>
    <row r="225" spans="1:68">
      <c r="A225" s="65" t="s">
        <v>438</v>
      </c>
      <c r="B225" s="1" t="str">
        <f>銘柄管理!C225</f>
        <v/>
      </c>
      <c r="C225" s="1" t="str">
        <f>_xll.RssMarket("6862","安値")</f>
        <v/>
      </c>
      <c r="E225" s="2">
        <v>1710</v>
      </c>
      <c r="F225" s="1">
        <v>2000</v>
      </c>
      <c r="G225" s="1">
        <v>1949</v>
      </c>
      <c r="H225" s="1">
        <v>1968</v>
      </c>
      <c r="I225" s="1">
        <v>2015</v>
      </c>
      <c r="J225" s="1">
        <v>1951</v>
      </c>
      <c r="K225" s="1">
        <v>1931</v>
      </c>
      <c r="L225" s="1">
        <v>2000</v>
      </c>
      <c r="M225" s="1">
        <v>2051</v>
      </c>
      <c r="N225" s="1">
        <v>2031</v>
      </c>
      <c r="O225" s="1">
        <v>2043</v>
      </c>
      <c r="P225" s="1">
        <v>2110</v>
      </c>
      <c r="Q225" s="1">
        <v>2072</v>
      </c>
      <c r="R225" s="1">
        <v>2046</v>
      </c>
      <c r="S225" s="1">
        <v>2131</v>
      </c>
      <c r="T225" s="1">
        <v>2278</v>
      </c>
      <c r="U225" s="1">
        <v>2143</v>
      </c>
      <c r="V225" s="1">
        <v>2210</v>
      </c>
      <c r="W225" s="1">
        <v>2327</v>
      </c>
      <c r="X225" s="1">
        <v>2276</v>
      </c>
      <c r="Y225" s="1">
        <v>2214</v>
      </c>
      <c r="Z225" s="1">
        <v>2050</v>
      </c>
      <c r="AA225" s="1">
        <v>2036</v>
      </c>
      <c r="AB225" s="1">
        <v>1980</v>
      </c>
      <c r="AC225" s="1">
        <v>1900</v>
      </c>
      <c r="AD225" s="1">
        <v>1891</v>
      </c>
      <c r="AE225" s="1">
        <v>1915</v>
      </c>
      <c r="AF225" s="1">
        <v>2040</v>
      </c>
      <c r="AG225" s="1">
        <v>2103</v>
      </c>
      <c r="AH225" s="1">
        <v>2097</v>
      </c>
      <c r="AI225" s="1">
        <v>2202</v>
      </c>
      <c r="AJ225" s="1">
        <v>2068</v>
      </c>
      <c r="AK225" s="1">
        <v>2180</v>
      </c>
      <c r="AL225" s="1">
        <v>2130</v>
      </c>
      <c r="AM225" s="1">
        <v>2232</v>
      </c>
      <c r="AN225" s="1">
        <v>2541</v>
      </c>
      <c r="AO225" s="1">
        <v>2513</v>
      </c>
      <c r="AP225" s="1">
        <v>2335</v>
      </c>
      <c r="AQ225" s="1">
        <v>2320</v>
      </c>
      <c r="AR225" s="1">
        <v>2500</v>
      </c>
      <c r="AS225" s="1">
        <v>2680</v>
      </c>
      <c r="AT225" s="1">
        <v>2671</v>
      </c>
      <c r="AU225" s="1">
        <v>2853</v>
      </c>
      <c r="AV225" s="1">
        <v>2930</v>
      </c>
      <c r="AW225" s="1">
        <v>3505</v>
      </c>
      <c r="AX225" s="1">
        <v>3450</v>
      </c>
      <c r="AY225" s="1">
        <v>3550</v>
      </c>
      <c r="AZ225" s="1">
        <v>3640</v>
      </c>
      <c r="BA225" s="1">
        <v>2752</v>
      </c>
      <c r="BB225" s="1">
        <v>2622</v>
      </c>
      <c r="BC225" s="1">
        <v>2585</v>
      </c>
      <c r="BD225" s="1">
        <v>2480</v>
      </c>
      <c r="BE225" s="1">
        <v>2379</v>
      </c>
      <c r="BF225" s="1">
        <v>2390</v>
      </c>
      <c r="BG225" s="1">
        <v>2430</v>
      </c>
      <c r="BH225" s="1">
        <v>2498</v>
      </c>
      <c r="BI225" s="1">
        <v>2417</v>
      </c>
      <c r="BJ225" s="1">
        <v>2367</v>
      </c>
      <c r="BK225" s="1">
        <v>2380</v>
      </c>
      <c r="BL225" s="1">
        <v>2360</v>
      </c>
      <c r="BM225" s="1">
        <v>2420</v>
      </c>
      <c r="BN225" s="1">
        <v>2171</v>
      </c>
      <c r="BO225" s="1">
        <v>2145</v>
      </c>
      <c r="BP225" s="1">
        <v>2170</v>
      </c>
    </row>
    <row r="226" spans="1:68">
      <c r="A226" s="65" t="s">
        <v>439</v>
      </c>
      <c r="B226" s="1" t="str">
        <f>銘柄管理!C226</f>
        <v/>
      </c>
      <c r="C226" s="1" t="str">
        <f>_xll.RssMarket("2267","安値")</f>
        <v/>
      </c>
      <c r="E226" s="2">
        <v>2797</v>
      </c>
      <c r="F226" s="1">
        <v>2808.5</v>
      </c>
      <c r="G226" s="1">
        <v>2827.5</v>
      </c>
      <c r="H226" s="1">
        <v>2836</v>
      </c>
      <c r="I226" s="1">
        <v>2803</v>
      </c>
      <c r="J226" s="1">
        <v>2824.5</v>
      </c>
      <c r="K226" s="1">
        <v>2878.5</v>
      </c>
      <c r="L226" s="1">
        <v>2850</v>
      </c>
      <c r="M226" s="1">
        <v>2807.5</v>
      </c>
      <c r="N226" s="1">
        <v>2716</v>
      </c>
      <c r="O226" s="1">
        <v>2689</v>
      </c>
      <c r="P226" s="1">
        <v>2727.5</v>
      </c>
      <c r="Q226" s="1">
        <v>2725.5</v>
      </c>
      <c r="R226" s="1">
        <v>2717.5</v>
      </c>
      <c r="S226" s="1">
        <v>2705</v>
      </c>
      <c r="T226" s="1">
        <v>2700</v>
      </c>
      <c r="U226" s="1">
        <v>2693.5</v>
      </c>
      <c r="V226" s="1">
        <v>2656</v>
      </c>
      <c r="W226" s="1">
        <v>2669.5</v>
      </c>
      <c r="X226" s="1">
        <v>2604.5</v>
      </c>
      <c r="Y226" s="1">
        <v>2612.5</v>
      </c>
      <c r="Z226" s="1">
        <v>2619</v>
      </c>
      <c r="AA226" s="1">
        <v>2645.5</v>
      </c>
      <c r="AB226" s="1">
        <v>2640</v>
      </c>
      <c r="AC226" s="1">
        <v>2648</v>
      </c>
      <c r="AD226" s="1">
        <v>2656</v>
      </c>
      <c r="AE226" s="1">
        <v>2633.5</v>
      </c>
      <c r="AF226" s="1">
        <v>2626</v>
      </c>
      <c r="AG226" s="1">
        <v>2669</v>
      </c>
      <c r="AH226" s="1">
        <v>2685</v>
      </c>
      <c r="AI226" s="1">
        <v>2630.5</v>
      </c>
      <c r="AJ226" s="1">
        <v>2664.5</v>
      </c>
      <c r="AK226" s="1">
        <v>2706</v>
      </c>
      <c r="AL226" s="1">
        <v>2660</v>
      </c>
      <c r="AM226" s="1">
        <v>2752</v>
      </c>
      <c r="AN226" s="1">
        <v>2704.5</v>
      </c>
      <c r="AO226" s="1">
        <v>2754</v>
      </c>
      <c r="AP226" s="1">
        <v>2757.5</v>
      </c>
      <c r="AQ226" s="1">
        <v>2714</v>
      </c>
      <c r="AR226" s="1">
        <v>2700</v>
      </c>
      <c r="AS226" s="1">
        <v>2730</v>
      </c>
      <c r="AT226" s="1">
        <v>2760</v>
      </c>
      <c r="AU226" s="1">
        <v>2642</v>
      </c>
      <c r="AV226" s="1">
        <v>2620</v>
      </c>
      <c r="AW226" s="1">
        <v>2844.5</v>
      </c>
      <c r="AX226" s="1">
        <v>2885</v>
      </c>
      <c r="AY226" s="1">
        <v>2911</v>
      </c>
      <c r="AZ226" s="1">
        <v>2798</v>
      </c>
      <c r="BA226" s="1">
        <v>2706.5</v>
      </c>
      <c r="BB226" s="1">
        <v>2711</v>
      </c>
      <c r="BC226" s="1">
        <v>2701.5</v>
      </c>
      <c r="BD226" s="1">
        <v>2615.5</v>
      </c>
      <c r="BE226" s="1">
        <v>2583.5</v>
      </c>
      <c r="BF226" s="1">
        <v>2598.5</v>
      </c>
      <c r="BG226" s="1">
        <v>2604.5</v>
      </c>
      <c r="BH226" s="1">
        <v>2618.5</v>
      </c>
      <c r="BI226" s="1">
        <v>2641</v>
      </c>
      <c r="BJ226" s="1">
        <v>2645.5</v>
      </c>
      <c r="BK226" s="1">
        <v>2625.5</v>
      </c>
      <c r="BL226" s="1">
        <v>2604</v>
      </c>
      <c r="BM226" s="1">
        <v>2637</v>
      </c>
      <c r="BN226" s="1">
        <v>2647</v>
      </c>
      <c r="BO226" s="1">
        <v>2690</v>
      </c>
      <c r="BP226" s="1">
        <v>2760.5</v>
      </c>
    </row>
    <row r="227" spans="1:68">
      <c r="A227" s="65" t="s">
        <v>440</v>
      </c>
      <c r="B227" s="1" t="str">
        <f>銘柄管理!C227</f>
        <v/>
      </c>
      <c r="C227" s="1" t="str">
        <f>_xll.RssMarket("1618","安値")</f>
        <v/>
      </c>
      <c r="E227" s="2">
        <v>31540</v>
      </c>
      <c r="F227" s="1">
        <v>32260</v>
      </c>
      <c r="G227" s="1">
        <v>32010</v>
      </c>
      <c r="H227" s="1">
        <v>32390</v>
      </c>
      <c r="I227" s="1">
        <v>32280</v>
      </c>
      <c r="J227" s="1">
        <v>32450</v>
      </c>
      <c r="K227" s="1">
        <v>32190</v>
      </c>
      <c r="L227" s="1">
        <v>31910</v>
      </c>
      <c r="M227" s="1">
        <v>31480</v>
      </c>
      <c r="N227" s="1">
        <v>31460</v>
      </c>
      <c r="O227" s="1">
        <v>30820</v>
      </c>
      <c r="P227" s="1">
        <v>30980</v>
      </c>
      <c r="Q227" s="1">
        <v>30970</v>
      </c>
      <c r="R227" s="1">
        <v>30630</v>
      </c>
      <c r="S227" s="1">
        <v>31090</v>
      </c>
      <c r="T227" s="1">
        <v>30970</v>
      </c>
      <c r="U227" s="1">
        <v>31750</v>
      </c>
      <c r="V227" s="1">
        <v>32250</v>
      </c>
      <c r="W227" s="1">
        <v>32500</v>
      </c>
      <c r="X227" s="1">
        <v>31810</v>
      </c>
      <c r="Y227" s="1">
        <v>32120</v>
      </c>
      <c r="Z227" s="1">
        <v>31780</v>
      </c>
      <c r="AA227" s="1">
        <v>32100</v>
      </c>
      <c r="AB227" s="1">
        <v>32730</v>
      </c>
      <c r="AC227" s="1">
        <v>32420</v>
      </c>
      <c r="AD227" s="1">
        <v>32350</v>
      </c>
      <c r="AE227" s="1">
        <v>32130</v>
      </c>
      <c r="AF227" s="1">
        <v>33010</v>
      </c>
      <c r="AG227" s="1">
        <v>33910</v>
      </c>
      <c r="AH227" s="1">
        <v>33790</v>
      </c>
      <c r="AI227" s="1">
        <v>34100</v>
      </c>
      <c r="AJ227" s="1">
        <v>32760</v>
      </c>
      <c r="AK227" s="1">
        <v>33520</v>
      </c>
      <c r="AL227" s="1">
        <v>33490</v>
      </c>
      <c r="AM227" s="1">
        <v>33570</v>
      </c>
      <c r="AN227" s="1">
        <v>33740</v>
      </c>
      <c r="AO227" s="1">
        <v>34370</v>
      </c>
      <c r="AP227" s="1">
        <v>34870</v>
      </c>
      <c r="AQ227" s="1">
        <v>35400</v>
      </c>
      <c r="AR227" s="1">
        <v>35710</v>
      </c>
      <c r="AS227" s="1">
        <v>35800</v>
      </c>
      <c r="AT227" s="1">
        <v>35530</v>
      </c>
      <c r="AU227" s="1">
        <v>35000</v>
      </c>
      <c r="AV227" s="1">
        <v>35800</v>
      </c>
      <c r="AW227" s="1">
        <v>35720</v>
      </c>
      <c r="AX227" s="1">
        <v>34580</v>
      </c>
      <c r="AY227" s="1">
        <v>34250</v>
      </c>
      <c r="AZ227" s="1">
        <v>35260</v>
      </c>
      <c r="BA227" s="1">
        <v>35650</v>
      </c>
      <c r="BB227" s="1">
        <v>35700</v>
      </c>
      <c r="BC227" s="1">
        <v>35220</v>
      </c>
      <c r="BD227" s="1">
        <v>34600</v>
      </c>
      <c r="BE227" s="1">
        <v>35510</v>
      </c>
      <c r="BF227" s="1">
        <v>35000</v>
      </c>
      <c r="BG227" s="1">
        <v>35340</v>
      </c>
      <c r="BH227" s="1">
        <v>35630</v>
      </c>
      <c r="BI227" s="1">
        <v>35950</v>
      </c>
      <c r="BJ227" s="1">
        <v>37150</v>
      </c>
      <c r="BK227" s="1">
        <v>37580</v>
      </c>
      <c r="BL227" s="1">
        <v>37650</v>
      </c>
      <c r="BM227" s="1">
        <v>37800</v>
      </c>
      <c r="BN227" s="1">
        <v>38820</v>
      </c>
      <c r="BO227" s="1">
        <v>38340</v>
      </c>
      <c r="BP227" s="1">
        <v>38820</v>
      </c>
    </row>
    <row r="228" spans="1:68">
      <c r="A228" s="65" t="s">
        <v>441</v>
      </c>
      <c r="C228" s="1" t="str">
        <f>_xll.RssMarket("3696","安値")</f>
        <v/>
      </c>
      <c r="E228" s="2">
        <v>2081</v>
      </c>
      <c r="F228" s="1">
        <v>2119</v>
      </c>
      <c r="G228" s="1">
        <v>2130</v>
      </c>
      <c r="H228" s="1">
        <v>2124</v>
      </c>
      <c r="I228" s="1">
        <v>2140</v>
      </c>
      <c r="J228" s="1">
        <v>2062</v>
      </c>
      <c r="K228" s="1">
        <v>2117</v>
      </c>
      <c r="L228" s="1">
        <v>2069</v>
      </c>
      <c r="M228" s="1">
        <v>2083</v>
      </c>
      <c r="N228" s="1">
        <v>2091</v>
      </c>
      <c r="O228" s="1">
        <v>2120</v>
      </c>
      <c r="P228" s="1">
        <v>2105</v>
      </c>
      <c r="Q228" s="1">
        <v>2028</v>
      </c>
      <c r="R228" s="1">
        <v>2002</v>
      </c>
      <c r="S228" s="1">
        <v>1972</v>
      </c>
      <c r="T228" s="1">
        <v>1696</v>
      </c>
      <c r="U228" s="1">
        <v>1705</v>
      </c>
      <c r="V228" s="1">
        <v>1706</v>
      </c>
      <c r="W228" s="1">
        <v>1734</v>
      </c>
      <c r="X228" s="1">
        <v>1747</v>
      </c>
      <c r="Y228" s="1">
        <v>1788</v>
      </c>
      <c r="Z228" s="1">
        <v>1794</v>
      </c>
      <c r="AA228" s="1">
        <v>1780</v>
      </c>
      <c r="AB228" s="1">
        <v>1801</v>
      </c>
      <c r="AC228" s="1">
        <v>1709</v>
      </c>
      <c r="AD228" s="1">
        <v>1701</v>
      </c>
      <c r="AE228" s="1">
        <v>1752</v>
      </c>
      <c r="AF228" s="1">
        <v>1725</v>
      </c>
      <c r="AG228" s="1">
        <v>1742</v>
      </c>
      <c r="AH228" s="1">
        <v>1694</v>
      </c>
      <c r="AI228" s="1">
        <v>1747</v>
      </c>
      <c r="AJ228" s="1">
        <v>1782</v>
      </c>
      <c r="AK228" s="1">
        <v>1754</v>
      </c>
      <c r="AL228" s="1">
        <v>1713</v>
      </c>
      <c r="AM228" s="1">
        <v>1691</v>
      </c>
      <c r="AN228" s="1">
        <v>1755</v>
      </c>
      <c r="AO228" s="1">
        <v>1774</v>
      </c>
      <c r="AP228" s="1">
        <v>1815</v>
      </c>
      <c r="AQ228" s="1">
        <v>1779</v>
      </c>
      <c r="AR228" s="1">
        <v>1883</v>
      </c>
      <c r="AS228" s="1">
        <v>1859</v>
      </c>
      <c r="AT228" s="1">
        <v>1887</v>
      </c>
      <c r="AU228" s="1">
        <v>1845</v>
      </c>
      <c r="AV228" s="1">
        <v>1886</v>
      </c>
      <c r="AW228" s="1">
        <v>4265</v>
      </c>
      <c r="AX228" s="1">
        <v>4090</v>
      </c>
      <c r="AY228" s="1">
        <v>4090</v>
      </c>
      <c r="AZ228" s="1">
        <v>3875</v>
      </c>
      <c r="BA228" s="1">
        <v>3870</v>
      </c>
      <c r="BB228" s="1">
        <v>3845</v>
      </c>
      <c r="BC228" s="1">
        <v>3810</v>
      </c>
      <c r="BD228" s="1">
        <v>3850</v>
      </c>
      <c r="BE228" s="1">
        <v>3970</v>
      </c>
      <c r="BF228" s="1">
        <v>4135</v>
      </c>
      <c r="BG228" s="1">
        <v>4490</v>
      </c>
      <c r="BH228" s="1">
        <v>4610</v>
      </c>
      <c r="BI228" s="1">
        <v>4455</v>
      </c>
      <c r="BJ228" s="1">
        <v>4440</v>
      </c>
      <c r="BK228" s="1">
        <v>4350</v>
      </c>
      <c r="BL228" s="1">
        <v>4310</v>
      </c>
      <c r="BM228" s="1">
        <v>4125</v>
      </c>
      <c r="BN228" s="1">
        <v>4115</v>
      </c>
      <c r="BO228" s="1">
        <v>4445</v>
      </c>
      <c r="BP228" s="1">
        <v>4370</v>
      </c>
    </row>
    <row r="229" spans="1:68">
      <c r="A229" s="65" t="s">
        <v>442</v>
      </c>
      <c r="B229" s="1" t="str">
        <f>銘柄管理!C229</f>
        <v/>
      </c>
      <c r="C229" s="1" t="str">
        <f>_xll.RssMarket("4222","安値")</f>
        <v/>
      </c>
      <c r="E229" s="2">
        <v>585</v>
      </c>
      <c r="F229" s="1">
        <v>633</v>
      </c>
      <c r="G229" s="1">
        <v>639</v>
      </c>
      <c r="H229" s="1">
        <v>645</v>
      </c>
      <c r="I229" s="1">
        <v>647</v>
      </c>
      <c r="J229" s="1">
        <v>632</v>
      </c>
      <c r="K229" s="1">
        <v>643</v>
      </c>
      <c r="L229" s="1">
        <v>655</v>
      </c>
      <c r="M229" s="1">
        <v>678</v>
      </c>
      <c r="N229" s="1">
        <v>648</v>
      </c>
      <c r="O229" s="1">
        <v>642</v>
      </c>
      <c r="P229" s="1">
        <v>630</v>
      </c>
      <c r="Q229" s="1">
        <v>628</v>
      </c>
      <c r="R229" s="1">
        <v>642</v>
      </c>
      <c r="S229" s="1">
        <v>646</v>
      </c>
      <c r="T229" s="1">
        <v>662</v>
      </c>
      <c r="U229" s="1">
        <v>666</v>
      </c>
      <c r="V229" s="1">
        <v>700</v>
      </c>
      <c r="W229" s="1">
        <v>709</v>
      </c>
      <c r="X229" s="1">
        <v>698</v>
      </c>
      <c r="Y229" s="1">
        <v>701</v>
      </c>
      <c r="Z229" s="1">
        <v>683</v>
      </c>
      <c r="AA229" s="1">
        <v>677</v>
      </c>
      <c r="AB229" s="1">
        <v>664</v>
      </c>
      <c r="AC229" s="1">
        <v>642</v>
      </c>
      <c r="AD229" s="1">
        <v>653</v>
      </c>
      <c r="AE229" s="1">
        <v>648</v>
      </c>
      <c r="AF229" s="1">
        <v>673</v>
      </c>
      <c r="AG229" s="1">
        <v>699</v>
      </c>
      <c r="AH229" s="1">
        <v>693</v>
      </c>
      <c r="AI229" s="1">
        <v>687</v>
      </c>
      <c r="AJ229" s="1">
        <v>681</v>
      </c>
      <c r="AK229" s="1">
        <v>726</v>
      </c>
      <c r="AL229" s="1">
        <v>728</v>
      </c>
      <c r="AM229" s="1">
        <v>753</v>
      </c>
      <c r="AN229" s="1">
        <v>790</v>
      </c>
      <c r="AO229" s="1">
        <v>774</v>
      </c>
      <c r="AP229" s="1">
        <v>800</v>
      </c>
      <c r="AQ229" s="1">
        <v>846</v>
      </c>
      <c r="AR229" s="1">
        <v>851</v>
      </c>
      <c r="AS229" s="1">
        <v>894</v>
      </c>
      <c r="AT229" s="1">
        <v>1161</v>
      </c>
      <c r="AU229" s="1">
        <v>1189</v>
      </c>
      <c r="AV229" s="1">
        <v>1241</v>
      </c>
      <c r="AW229" s="1">
        <v>1169</v>
      </c>
      <c r="AX229" s="1">
        <v>1130</v>
      </c>
      <c r="AY229" s="1">
        <v>1121</v>
      </c>
      <c r="AZ229" s="1">
        <v>1084</v>
      </c>
      <c r="BA229" s="1">
        <v>1101</v>
      </c>
      <c r="BB229" s="1">
        <v>1115</v>
      </c>
      <c r="BC229" s="1">
        <v>1132</v>
      </c>
      <c r="BD229" s="1">
        <v>1110</v>
      </c>
      <c r="BE229" s="1">
        <v>1116</v>
      </c>
      <c r="BF229" s="1">
        <v>1145</v>
      </c>
      <c r="BG229" s="1">
        <v>1151</v>
      </c>
      <c r="BH229" s="1">
        <v>1145</v>
      </c>
      <c r="BI229" s="1">
        <v>1137</v>
      </c>
      <c r="BJ229" s="1">
        <v>1142</v>
      </c>
      <c r="BK229" s="1">
        <v>1130</v>
      </c>
      <c r="BL229" s="1">
        <v>1124</v>
      </c>
      <c r="BM229" s="1">
        <v>1082</v>
      </c>
      <c r="BN229" s="1">
        <v>1105</v>
      </c>
      <c r="BO229" s="1">
        <v>1107</v>
      </c>
      <c r="BP229" s="1">
        <v>1062</v>
      </c>
    </row>
    <row r="230" spans="1:68">
      <c r="A230" s="65" t="s">
        <v>443</v>
      </c>
      <c r="B230" s="1" t="str">
        <f>銘柄管理!C230</f>
        <v/>
      </c>
      <c r="C230" s="1" t="str">
        <f>_xll.RssMarket("3563","安値")</f>
        <v/>
      </c>
      <c r="E230" s="1">
        <v>5345</v>
      </c>
      <c r="F230" s="1">
        <v>5128</v>
      </c>
      <c r="G230" s="1">
        <v>5003</v>
      </c>
      <c r="H230" s="1">
        <v>4864</v>
      </c>
      <c r="I230" s="1">
        <v>4736</v>
      </c>
      <c r="J230" s="1">
        <v>4777</v>
      </c>
      <c r="K230" s="1">
        <v>4797</v>
      </c>
      <c r="L230" s="1">
        <v>4515</v>
      </c>
      <c r="M230" s="1">
        <v>4561</v>
      </c>
      <c r="N230" s="1">
        <v>4630</v>
      </c>
      <c r="O230" s="1">
        <v>4707</v>
      </c>
      <c r="P230" s="1">
        <v>4675</v>
      </c>
      <c r="Q230" s="1">
        <v>4833</v>
      </c>
      <c r="R230" s="1">
        <v>4950</v>
      </c>
      <c r="S230" s="1">
        <v>9907</v>
      </c>
      <c r="T230" s="1">
        <v>9235</v>
      </c>
      <c r="U230" s="1">
        <v>9404</v>
      </c>
      <c r="V230" s="1">
        <v>9153</v>
      </c>
      <c r="W230" s="1">
        <v>9183</v>
      </c>
      <c r="X230" s="1">
        <v>9193</v>
      </c>
      <c r="Y230" s="1">
        <v>9302</v>
      </c>
      <c r="Z230" s="1">
        <v>9625</v>
      </c>
      <c r="AA230" s="1">
        <v>9789</v>
      </c>
      <c r="AB230" s="1">
        <v>9917</v>
      </c>
      <c r="AC230" s="1">
        <v>9669</v>
      </c>
      <c r="AD230" s="1">
        <v>9776</v>
      </c>
      <c r="AE230" s="1">
        <v>9585</v>
      </c>
      <c r="AF230" s="1">
        <v>9699</v>
      </c>
      <c r="AG230" s="1">
        <v>9660</v>
      </c>
      <c r="AH230" s="1">
        <v>9629</v>
      </c>
      <c r="AI230" s="1">
        <v>10270</v>
      </c>
      <c r="AJ230" s="1">
        <v>10280</v>
      </c>
      <c r="AK230" s="1">
        <v>10360</v>
      </c>
      <c r="AL230" s="1">
        <v>10110</v>
      </c>
      <c r="AM230" s="1">
        <v>9910</v>
      </c>
      <c r="AN230" s="1">
        <v>10115</v>
      </c>
      <c r="AO230" s="1">
        <v>10545</v>
      </c>
      <c r="AP230" s="1">
        <v>10510</v>
      </c>
      <c r="AQ230" s="1">
        <v>10680</v>
      </c>
      <c r="AR230" s="1">
        <v>10505</v>
      </c>
      <c r="AS230" s="1">
        <v>10250</v>
      </c>
      <c r="AT230" s="1">
        <v>10300</v>
      </c>
      <c r="AU230" s="1">
        <v>10520</v>
      </c>
      <c r="AV230" s="1">
        <v>10255</v>
      </c>
      <c r="AW230" s="1">
        <v>10255</v>
      </c>
      <c r="AX230" s="1">
        <v>10185</v>
      </c>
      <c r="AY230" s="1">
        <v>9720</v>
      </c>
      <c r="AZ230" s="1">
        <v>9147</v>
      </c>
      <c r="BA230" s="1">
        <v>8955</v>
      </c>
      <c r="BB230" s="1">
        <v>8815</v>
      </c>
      <c r="BC230" s="1">
        <v>8930</v>
      </c>
      <c r="BD230" s="1">
        <v>8926</v>
      </c>
      <c r="BE230" s="1">
        <v>9015</v>
      </c>
      <c r="BF230" s="1">
        <v>8938</v>
      </c>
      <c r="BG230" s="1">
        <v>9139</v>
      </c>
      <c r="BH230" s="1">
        <v>9363</v>
      </c>
      <c r="BI230" s="1">
        <v>9242</v>
      </c>
      <c r="BJ230" s="1">
        <v>9132</v>
      </c>
      <c r="BK230" s="1">
        <v>9424</v>
      </c>
      <c r="BL230" s="1">
        <v>9425</v>
      </c>
      <c r="BM230" s="1">
        <v>9481</v>
      </c>
      <c r="BN230" s="1">
        <v>9402</v>
      </c>
      <c r="BO230" s="1">
        <v>9302</v>
      </c>
      <c r="BP230" s="1">
        <v>9381</v>
      </c>
    </row>
    <row r="231" spans="1:68">
      <c r="A231" s="65" t="s">
        <v>444</v>
      </c>
      <c r="B231" s="1" t="str">
        <f>銘柄管理!C231</f>
        <v/>
      </c>
      <c r="C231" s="1" t="str">
        <f>_xll.RssMarket("7013","安値")</f>
        <v/>
      </c>
      <c r="E231" s="1">
        <v>2626</v>
      </c>
      <c r="F231" s="1">
        <v>2733</v>
      </c>
      <c r="G231" s="1">
        <v>2773.5</v>
      </c>
      <c r="H231" s="1">
        <v>2725.5</v>
      </c>
      <c r="I231" s="1">
        <v>2770</v>
      </c>
      <c r="J231" s="1">
        <v>2803</v>
      </c>
      <c r="K231" s="1">
        <v>2833</v>
      </c>
      <c r="L231" s="1">
        <v>2955.5</v>
      </c>
      <c r="M231" s="1">
        <v>2890</v>
      </c>
      <c r="N231" s="1">
        <v>2741</v>
      </c>
      <c r="O231" s="1">
        <v>2712</v>
      </c>
      <c r="P231" s="1">
        <v>2637</v>
      </c>
      <c r="Q231" s="1">
        <v>2641.5</v>
      </c>
      <c r="R231" s="1">
        <v>2653</v>
      </c>
      <c r="S231" s="1">
        <v>2639.5</v>
      </c>
      <c r="T231" s="1">
        <v>2719</v>
      </c>
      <c r="U231" s="1">
        <v>2700.5</v>
      </c>
      <c r="V231" s="1">
        <v>2703.5</v>
      </c>
      <c r="W231" s="1">
        <v>2794</v>
      </c>
      <c r="X231" s="1">
        <v>2748</v>
      </c>
      <c r="Y231" s="1">
        <v>2862</v>
      </c>
      <c r="Z231" s="1">
        <v>2800</v>
      </c>
      <c r="AA231" s="1">
        <v>2762</v>
      </c>
      <c r="AB231" s="1">
        <v>2498</v>
      </c>
      <c r="AC231" s="1">
        <v>2371</v>
      </c>
      <c r="AD231" s="1">
        <v>2245</v>
      </c>
      <c r="AE231" s="1">
        <v>2416.5</v>
      </c>
      <c r="AF231" s="1">
        <v>2475.5</v>
      </c>
      <c r="AG231" s="1">
        <v>2542.5</v>
      </c>
      <c r="AH231" s="1">
        <v>2452</v>
      </c>
      <c r="AI231" s="1">
        <v>2411</v>
      </c>
      <c r="AJ231" s="1">
        <v>2526.5</v>
      </c>
      <c r="AK231" s="1">
        <v>2718</v>
      </c>
      <c r="AL231" s="1">
        <v>2694</v>
      </c>
      <c r="AM231" s="1">
        <v>2809</v>
      </c>
      <c r="AN231" s="1">
        <v>2738</v>
      </c>
      <c r="AO231" s="1">
        <v>2711</v>
      </c>
      <c r="AP231" s="1">
        <v>2598.5</v>
      </c>
      <c r="AQ231" s="1">
        <v>2468</v>
      </c>
      <c r="AR231" s="1">
        <v>2561</v>
      </c>
      <c r="AS231" s="1">
        <v>2664.5</v>
      </c>
      <c r="AT231" s="1">
        <v>2635</v>
      </c>
      <c r="AU231" s="1">
        <v>2642</v>
      </c>
      <c r="AV231" s="1">
        <v>2735.5</v>
      </c>
      <c r="AW231" s="1">
        <v>2778.5</v>
      </c>
      <c r="AX231" s="1">
        <v>2803.5</v>
      </c>
      <c r="AY231" s="1">
        <v>3001</v>
      </c>
      <c r="AZ231" s="1">
        <v>2838</v>
      </c>
      <c r="BA231" s="1">
        <v>2827.5</v>
      </c>
      <c r="BB231" s="1">
        <v>2832.5</v>
      </c>
      <c r="BC231" s="1">
        <v>2905</v>
      </c>
      <c r="BD231" s="1">
        <v>2811</v>
      </c>
      <c r="BE231" s="1">
        <v>2969</v>
      </c>
      <c r="BF231" s="1">
        <v>3001</v>
      </c>
      <c r="BG231" s="1">
        <v>2912</v>
      </c>
      <c r="BH231" s="1">
        <v>3041</v>
      </c>
      <c r="BI231" s="1">
        <v>3099</v>
      </c>
      <c r="BJ231" s="1">
        <v>3081</v>
      </c>
      <c r="BK231" s="1">
        <v>3141</v>
      </c>
      <c r="BL231" s="1">
        <v>3145</v>
      </c>
      <c r="BM231" s="1">
        <v>3241</v>
      </c>
      <c r="BN231" s="1">
        <v>3260</v>
      </c>
      <c r="BO231" s="1">
        <v>3271</v>
      </c>
      <c r="BP231" s="1">
        <v>3354</v>
      </c>
    </row>
    <row r="232" spans="1:68">
      <c r="A232" s="65" t="s">
        <v>445</v>
      </c>
      <c r="B232" s="1" t="str">
        <f>銘柄管理!C232</f>
        <v/>
      </c>
      <c r="C232" s="1" t="str">
        <f>_xll.RssMarket("8793","安値")</f>
        <v/>
      </c>
      <c r="E232" s="1">
        <v>3990</v>
      </c>
      <c r="F232" s="1">
        <v>4100</v>
      </c>
      <c r="G232" s="1">
        <v>4130</v>
      </c>
      <c r="H232" s="1">
        <v>4135</v>
      </c>
      <c r="I232" s="1">
        <v>4120</v>
      </c>
      <c r="J232" s="1">
        <v>4080</v>
      </c>
      <c r="K232" s="1">
        <v>4105</v>
      </c>
      <c r="L232" s="1">
        <v>4090</v>
      </c>
      <c r="M232" s="1">
        <v>4020</v>
      </c>
      <c r="N232" s="1">
        <v>3990</v>
      </c>
      <c r="O232" s="1">
        <v>3970</v>
      </c>
      <c r="P232" s="1">
        <v>3975</v>
      </c>
      <c r="Q232" s="1">
        <v>3965</v>
      </c>
      <c r="R232" s="1">
        <v>3970</v>
      </c>
      <c r="S232" s="1">
        <v>4010</v>
      </c>
      <c r="T232" s="1">
        <v>3995</v>
      </c>
      <c r="U232" s="1">
        <v>4010</v>
      </c>
      <c r="V232" s="1">
        <v>4050</v>
      </c>
      <c r="W232" s="1">
        <v>4090</v>
      </c>
      <c r="X232" s="1">
        <v>4060</v>
      </c>
      <c r="Y232" s="1">
        <v>4100</v>
      </c>
      <c r="Z232" s="1">
        <v>4070</v>
      </c>
      <c r="AA232" s="1">
        <v>4135</v>
      </c>
      <c r="AB232" s="1">
        <v>4105</v>
      </c>
      <c r="AC232" s="1">
        <v>4075</v>
      </c>
      <c r="AD232" s="1">
        <v>4105</v>
      </c>
      <c r="AE232" s="1">
        <v>3985</v>
      </c>
      <c r="AF232" s="1">
        <v>3950</v>
      </c>
      <c r="AG232" s="1">
        <v>3900</v>
      </c>
      <c r="AH232" s="1">
        <v>3850</v>
      </c>
      <c r="AI232" s="1">
        <v>3960</v>
      </c>
      <c r="AJ232" s="1">
        <v>3915</v>
      </c>
      <c r="AK232" s="1">
        <v>3930</v>
      </c>
      <c r="AL232" s="1">
        <v>3950</v>
      </c>
      <c r="AM232" s="1">
        <v>3960</v>
      </c>
      <c r="AN232" s="1">
        <v>3950</v>
      </c>
      <c r="AO232" s="1">
        <v>3910</v>
      </c>
      <c r="AP232" s="1">
        <v>3925</v>
      </c>
      <c r="AQ232" s="1">
        <v>3905</v>
      </c>
      <c r="AR232" s="1">
        <v>3940</v>
      </c>
      <c r="AS232" s="1">
        <v>3975</v>
      </c>
      <c r="AT232" s="1">
        <v>4015</v>
      </c>
      <c r="AU232" s="1">
        <v>4000</v>
      </c>
      <c r="AV232" s="1">
        <v>4005</v>
      </c>
      <c r="AW232" s="1">
        <v>4020</v>
      </c>
      <c r="AX232" s="1">
        <v>3970</v>
      </c>
      <c r="AY232" s="1">
        <v>4000</v>
      </c>
      <c r="AZ232" s="1">
        <v>4025</v>
      </c>
      <c r="BA232" s="1">
        <v>4180</v>
      </c>
      <c r="BB232" s="1">
        <v>4165</v>
      </c>
      <c r="BC232" s="1">
        <v>4200</v>
      </c>
      <c r="BD232" s="1">
        <v>4175</v>
      </c>
      <c r="BE232" s="1">
        <v>4190</v>
      </c>
      <c r="BF232" s="1">
        <v>4240</v>
      </c>
      <c r="BG232" s="1">
        <v>4255</v>
      </c>
      <c r="BH232" s="1">
        <v>4235</v>
      </c>
      <c r="BI232" s="1">
        <v>4265</v>
      </c>
      <c r="BJ232" s="1">
        <v>4240</v>
      </c>
      <c r="BK232" s="1">
        <v>4150</v>
      </c>
      <c r="BL232" s="1">
        <v>4145</v>
      </c>
      <c r="BM232" s="1">
        <v>4145</v>
      </c>
      <c r="BN232" s="1">
        <v>4205</v>
      </c>
      <c r="BO232" s="1">
        <v>4230</v>
      </c>
      <c r="BP232" s="1">
        <v>4175</v>
      </c>
    </row>
    <row r="233" spans="1:68">
      <c r="A233" s="65" t="s">
        <v>446</v>
      </c>
      <c r="B233" s="1" t="str">
        <f>銘柄管理!C233</f>
        <v/>
      </c>
      <c r="C233" s="1" t="str">
        <f>_xll.RssMarket("9962","安値")</f>
        <v/>
      </c>
      <c r="E233" s="1">
        <v>3515</v>
      </c>
      <c r="F233" s="1">
        <v>3781</v>
      </c>
      <c r="G233" s="1">
        <v>3703</v>
      </c>
      <c r="H233" s="1">
        <v>3819</v>
      </c>
      <c r="I233" s="1">
        <v>3994</v>
      </c>
      <c r="J233" s="1">
        <v>3902</v>
      </c>
      <c r="K233" s="1">
        <v>3787</v>
      </c>
      <c r="L233" s="1">
        <v>3982</v>
      </c>
      <c r="M233" s="1">
        <v>4075</v>
      </c>
      <c r="N233" s="1">
        <v>3974</v>
      </c>
      <c r="O233" s="1">
        <v>3901</v>
      </c>
      <c r="P233" s="1">
        <v>3959</v>
      </c>
      <c r="Q233" s="1">
        <v>3886</v>
      </c>
      <c r="R233" s="1">
        <v>3770</v>
      </c>
      <c r="S233" s="1">
        <v>3797</v>
      </c>
      <c r="T233" s="1">
        <v>3743</v>
      </c>
      <c r="U233" s="1">
        <v>3612</v>
      </c>
      <c r="V233" s="1">
        <v>3675</v>
      </c>
      <c r="W233" s="1">
        <v>3829</v>
      </c>
      <c r="X233" s="1">
        <v>3815</v>
      </c>
      <c r="Y233" s="1">
        <v>3861</v>
      </c>
      <c r="Z233" s="1">
        <v>3832</v>
      </c>
      <c r="AA233" s="1">
        <v>3806</v>
      </c>
      <c r="AB233" s="1">
        <v>3746</v>
      </c>
      <c r="AC233" s="1">
        <v>3680</v>
      </c>
      <c r="AD233" s="1">
        <v>3505</v>
      </c>
      <c r="AE233" s="1">
        <v>3530</v>
      </c>
      <c r="AF233" s="1">
        <v>3547</v>
      </c>
      <c r="AG233" s="1">
        <v>3669</v>
      </c>
      <c r="AH233" s="1">
        <v>3726</v>
      </c>
      <c r="AI233" s="1">
        <v>3678</v>
      </c>
      <c r="AJ233" s="1">
        <v>3559</v>
      </c>
      <c r="AK233" s="1">
        <v>3683</v>
      </c>
      <c r="AL233" s="1">
        <v>3506</v>
      </c>
      <c r="AM233" s="1">
        <v>3505</v>
      </c>
      <c r="AN233" s="1">
        <v>3405</v>
      </c>
      <c r="AO233" s="1">
        <v>3376</v>
      </c>
      <c r="AP233" s="1">
        <v>3184</v>
      </c>
      <c r="AQ233" s="1">
        <v>3053</v>
      </c>
      <c r="AR233" s="1">
        <v>3071</v>
      </c>
      <c r="AS233" s="1">
        <v>3104</v>
      </c>
      <c r="AT233" s="1">
        <v>3205</v>
      </c>
      <c r="AU233" s="1">
        <v>3348</v>
      </c>
      <c r="AV233" s="1">
        <v>3248</v>
      </c>
      <c r="AW233" s="1">
        <v>3356</v>
      </c>
      <c r="AX233" s="1">
        <v>3356</v>
      </c>
      <c r="AY233" s="1">
        <v>3386</v>
      </c>
      <c r="AZ233" s="1">
        <v>3400</v>
      </c>
      <c r="BA233" s="1">
        <v>3246</v>
      </c>
      <c r="BB233" s="1">
        <v>3350</v>
      </c>
      <c r="BC233" s="1">
        <v>3309</v>
      </c>
      <c r="BD233" s="1">
        <v>3044</v>
      </c>
      <c r="BE233" s="1">
        <v>2982</v>
      </c>
      <c r="BF233" s="1">
        <v>2963.5</v>
      </c>
      <c r="BG233" s="1">
        <v>3048</v>
      </c>
      <c r="BH233" s="1">
        <v>3107</v>
      </c>
      <c r="BI233" s="1">
        <v>3062</v>
      </c>
      <c r="BJ233" s="1">
        <v>3000</v>
      </c>
      <c r="BK233" s="1">
        <v>3006</v>
      </c>
      <c r="BL233" s="1">
        <v>2982.5</v>
      </c>
      <c r="BM233" s="1">
        <v>2938</v>
      </c>
      <c r="BN233" s="1">
        <v>2935.5</v>
      </c>
      <c r="BO233" s="1">
        <v>2995.5</v>
      </c>
      <c r="BP233" s="1">
        <v>2958.5</v>
      </c>
    </row>
    <row r="234" spans="1:68">
      <c r="A234" s="65" t="s">
        <v>447</v>
      </c>
      <c r="B234" s="1" t="str">
        <f>銘柄管理!C234</f>
        <v/>
      </c>
      <c r="C234" s="1" t="str">
        <f>_xll.RssMarket("6762","安値")</f>
        <v/>
      </c>
      <c r="E234" s="1">
        <v>2847</v>
      </c>
      <c r="F234" s="1">
        <v>3195</v>
      </c>
      <c r="G234" s="1">
        <v>3130</v>
      </c>
      <c r="H234" s="1">
        <v>3166</v>
      </c>
      <c r="I234" s="1">
        <v>3359</v>
      </c>
      <c r="J234" s="1">
        <v>3328</v>
      </c>
      <c r="K234" s="1">
        <v>3241</v>
      </c>
      <c r="L234" s="1">
        <v>3332</v>
      </c>
      <c r="M234" s="1">
        <v>3444</v>
      </c>
      <c r="N234" s="1">
        <v>3514</v>
      </c>
      <c r="O234" s="1">
        <v>3575</v>
      </c>
      <c r="P234" s="1">
        <v>3604</v>
      </c>
      <c r="Q234" s="1">
        <v>3510</v>
      </c>
      <c r="R234" s="1">
        <v>3489</v>
      </c>
      <c r="S234" s="1">
        <v>3535</v>
      </c>
      <c r="T234" s="1">
        <v>3820</v>
      </c>
      <c r="U234" s="1">
        <v>3766</v>
      </c>
      <c r="V234" s="1">
        <v>3943</v>
      </c>
      <c r="W234" s="1">
        <v>3961</v>
      </c>
      <c r="X234" s="1">
        <v>3867</v>
      </c>
      <c r="Y234" s="1">
        <v>3835</v>
      </c>
      <c r="Z234" s="1">
        <v>3728</v>
      </c>
      <c r="AA234" s="1">
        <v>3802</v>
      </c>
      <c r="AB234" s="1">
        <v>3638</v>
      </c>
      <c r="AC234" s="1">
        <v>3469</v>
      </c>
      <c r="AD234" s="1">
        <v>3415</v>
      </c>
      <c r="AE234" s="1">
        <v>3587</v>
      </c>
      <c r="AF234" s="1">
        <v>3637</v>
      </c>
      <c r="AG234" s="1">
        <v>3851</v>
      </c>
      <c r="AH234" s="1">
        <v>3872</v>
      </c>
      <c r="AI234" s="1">
        <v>3895</v>
      </c>
      <c r="AJ234" s="1">
        <v>3822</v>
      </c>
      <c r="AK234" s="1">
        <v>3958</v>
      </c>
      <c r="AL234" s="1">
        <v>3572</v>
      </c>
      <c r="AM234" s="1">
        <v>3608</v>
      </c>
      <c r="AN234" s="1">
        <v>3473</v>
      </c>
      <c r="AO234" s="1">
        <v>3132</v>
      </c>
      <c r="AP234" s="1">
        <v>2962.5</v>
      </c>
      <c r="AQ234" s="1">
        <v>2836</v>
      </c>
      <c r="AR234" s="1">
        <v>2947</v>
      </c>
      <c r="AS234" s="1">
        <v>2929</v>
      </c>
      <c r="AT234" s="1">
        <v>2965.5</v>
      </c>
      <c r="AU234" s="1">
        <v>2975</v>
      </c>
      <c r="AV234" s="1">
        <v>2851</v>
      </c>
      <c r="AW234" s="1">
        <v>2906</v>
      </c>
      <c r="AX234" s="1">
        <v>2913.5</v>
      </c>
      <c r="AY234" s="1">
        <v>2890.5</v>
      </c>
      <c r="AZ234" s="1">
        <v>2817.5</v>
      </c>
      <c r="BA234" s="1">
        <v>2775</v>
      </c>
      <c r="BB234" s="1">
        <v>2839</v>
      </c>
      <c r="BC234" s="1">
        <v>2659</v>
      </c>
      <c r="BD234" s="1">
        <v>2636.5</v>
      </c>
      <c r="BE234" s="1">
        <v>2674</v>
      </c>
      <c r="BF234" s="1">
        <v>2621</v>
      </c>
      <c r="BG234" s="1">
        <v>2546</v>
      </c>
      <c r="BH234" s="1">
        <v>2498</v>
      </c>
      <c r="BI234" s="1">
        <v>2518.5</v>
      </c>
      <c r="BJ234" s="1">
        <v>2491.5</v>
      </c>
      <c r="BK234" s="1">
        <v>2270.5</v>
      </c>
      <c r="BL234" s="1">
        <v>2226</v>
      </c>
      <c r="BM234" s="1">
        <v>2259.5</v>
      </c>
      <c r="BN234" s="1">
        <v>2261.5</v>
      </c>
      <c r="BO234" s="1">
        <v>2226</v>
      </c>
      <c r="BP234" s="1">
        <v>2167</v>
      </c>
    </row>
    <row r="235" spans="1:68">
      <c r="A235" s="65" t="s">
        <v>448</v>
      </c>
      <c r="B235" s="1" t="str">
        <f>銘柄管理!C235</f>
        <v/>
      </c>
      <c r="C235" s="1" t="str">
        <f>_xll.RssMarket("4392","安値")</f>
        <v/>
      </c>
      <c r="E235" s="1">
        <v>1014</v>
      </c>
      <c r="F235" s="1">
        <v>1046</v>
      </c>
      <c r="G235" s="1">
        <v>1002</v>
      </c>
      <c r="H235" s="1">
        <v>1017</v>
      </c>
      <c r="I235" s="1">
        <v>1063</v>
      </c>
      <c r="J235" s="1">
        <v>1026</v>
      </c>
      <c r="K235" s="1">
        <v>1025</v>
      </c>
      <c r="L235" s="1">
        <v>1086</v>
      </c>
      <c r="M235" s="1">
        <v>1121</v>
      </c>
      <c r="N235" s="1">
        <v>1094</v>
      </c>
      <c r="O235" s="1">
        <v>1081</v>
      </c>
      <c r="P235" s="1">
        <v>1090</v>
      </c>
      <c r="Q235" s="1">
        <v>1065</v>
      </c>
      <c r="R235" s="1">
        <v>1066</v>
      </c>
      <c r="S235" s="1">
        <v>1070</v>
      </c>
      <c r="T235" s="1">
        <v>1112</v>
      </c>
      <c r="U235" s="1">
        <v>1133</v>
      </c>
      <c r="V235" s="1">
        <v>1106</v>
      </c>
      <c r="W235" s="1">
        <v>1165</v>
      </c>
      <c r="X235" s="1">
        <v>1138</v>
      </c>
      <c r="Y235" s="1">
        <v>1250</v>
      </c>
      <c r="Z235" s="1">
        <v>1210</v>
      </c>
      <c r="AA235" s="1">
        <v>1190</v>
      </c>
      <c r="AB235" s="1">
        <v>1315</v>
      </c>
      <c r="AC235" s="1">
        <v>1305</v>
      </c>
      <c r="AD235" s="1">
        <v>1407</v>
      </c>
      <c r="AE235" s="1">
        <v>1470</v>
      </c>
      <c r="AF235" s="1">
        <v>1251</v>
      </c>
      <c r="AG235" s="1">
        <v>1300</v>
      </c>
      <c r="AH235" s="1">
        <v>1340</v>
      </c>
      <c r="AI235" s="1">
        <v>1499</v>
      </c>
      <c r="AJ235" s="1">
        <v>1668</v>
      </c>
      <c r="AK235" s="1">
        <v>1617</v>
      </c>
      <c r="AL235" s="1">
        <v>1880</v>
      </c>
      <c r="AM235" s="1">
        <v>2071</v>
      </c>
      <c r="AN235" s="1">
        <v>1980</v>
      </c>
      <c r="AO235" s="1">
        <v>1684</v>
      </c>
      <c r="AP235" s="1">
        <v>1701</v>
      </c>
      <c r="AQ235" s="1">
        <v>1261</v>
      </c>
      <c r="AR235" s="1">
        <v>1360</v>
      </c>
      <c r="AS235" s="1">
        <v>1060</v>
      </c>
      <c r="AT235" s="1">
        <v>910</v>
      </c>
      <c r="AU235" s="1">
        <v>742</v>
      </c>
      <c r="AV235" s="1">
        <v>720</v>
      </c>
      <c r="AW235" s="1">
        <v>727</v>
      </c>
      <c r="AX235" s="1">
        <v>509</v>
      </c>
      <c r="AY235" s="1">
        <v>429</v>
      </c>
      <c r="AZ235" s="1">
        <v>346</v>
      </c>
      <c r="BA235" s="1">
        <v>339</v>
      </c>
      <c r="BB235" s="1">
        <v>344</v>
      </c>
      <c r="BC235" s="1">
        <v>350</v>
      </c>
      <c r="BD235" s="1">
        <v>351</v>
      </c>
      <c r="BE235" s="1">
        <v>341</v>
      </c>
      <c r="BF235" s="1">
        <v>342</v>
      </c>
      <c r="BG235" s="1">
        <v>344</v>
      </c>
      <c r="BH235" s="1">
        <v>337</v>
      </c>
      <c r="BI235" s="1">
        <v>327</v>
      </c>
      <c r="BJ235" s="1">
        <v>326</v>
      </c>
      <c r="BK235" s="1">
        <v>325</v>
      </c>
      <c r="BL235" s="1">
        <v>320</v>
      </c>
      <c r="BM235" s="1">
        <v>321</v>
      </c>
      <c r="BN235" s="1">
        <v>316</v>
      </c>
      <c r="BO235" s="1">
        <v>320</v>
      </c>
      <c r="BP235" s="1">
        <v>324</v>
      </c>
    </row>
    <row r="236" spans="1:68">
      <c r="A236" s="65" t="s">
        <v>449</v>
      </c>
      <c r="B236" s="1" t="str">
        <f>銘柄管理!C236</f>
        <v/>
      </c>
      <c r="C236" s="1" t="str">
        <f>_xll.RssMarket("8005","安値")</f>
        <v/>
      </c>
      <c r="E236" s="1">
        <v>1708</v>
      </c>
      <c r="F236" s="1">
        <v>1725</v>
      </c>
      <c r="G236" s="1">
        <v>1726</v>
      </c>
      <c r="H236" s="1">
        <v>1707</v>
      </c>
      <c r="I236" s="1">
        <v>1704</v>
      </c>
      <c r="J236" s="1">
        <v>1701</v>
      </c>
      <c r="K236" s="1">
        <v>1712</v>
      </c>
      <c r="L236" s="1">
        <v>1696</v>
      </c>
      <c r="M236" s="1">
        <v>1657</v>
      </c>
      <c r="N236" s="1">
        <v>1645</v>
      </c>
      <c r="O236" s="1">
        <v>1625</v>
      </c>
      <c r="P236" s="1">
        <v>1616</v>
      </c>
      <c r="Q236" s="1">
        <v>1622</v>
      </c>
      <c r="R236" s="1">
        <v>1628</v>
      </c>
      <c r="S236" s="1">
        <v>1627</v>
      </c>
      <c r="T236" s="1">
        <v>1633</v>
      </c>
      <c r="U236" s="1">
        <v>1620</v>
      </c>
      <c r="V236" s="1">
        <v>1629</v>
      </c>
      <c r="W236" s="1">
        <v>1620</v>
      </c>
      <c r="X236" s="1">
        <v>1630</v>
      </c>
      <c r="Y236" s="1">
        <v>1626</v>
      </c>
      <c r="Z236" s="1">
        <v>1639</v>
      </c>
      <c r="AA236" s="1">
        <v>1609</v>
      </c>
      <c r="AB236" s="1">
        <v>1617</v>
      </c>
      <c r="AC236" s="1">
        <v>1612</v>
      </c>
      <c r="AD236" s="1">
        <v>1610</v>
      </c>
      <c r="AE236" s="1">
        <v>1612</v>
      </c>
      <c r="AF236" s="1">
        <v>1613</v>
      </c>
      <c r="AG236" s="1">
        <v>1621</v>
      </c>
      <c r="AH236" s="1">
        <v>1620</v>
      </c>
      <c r="AI236" s="1">
        <v>1632</v>
      </c>
      <c r="AJ236" s="1">
        <v>1634</v>
      </c>
      <c r="AK236" s="1">
        <v>1626</v>
      </c>
      <c r="AL236" s="1">
        <v>1616</v>
      </c>
      <c r="AM236" s="1">
        <v>1625</v>
      </c>
      <c r="AN236" s="1">
        <v>1624</v>
      </c>
      <c r="AO236" s="1">
        <v>1628</v>
      </c>
      <c r="AP236" s="1">
        <v>1642</v>
      </c>
      <c r="AQ236" s="1">
        <v>1631</v>
      </c>
      <c r="AR236" s="1">
        <v>1642</v>
      </c>
      <c r="AS236" s="1">
        <v>1610</v>
      </c>
      <c r="AT236" s="1">
        <v>1618</v>
      </c>
      <c r="AU236" s="1">
        <v>1631</v>
      </c>
      <c r="AV236" s="1">
        <v>1652</v>
      </c>
      <c r="AW236" s="1">
        <v>1652</v>
      </c>
      <c r="AX236" s="1">
        <v>1705</v>
      </c>
      <c r="AY236" s="1">
        <v>1597</v>
      </c>
      <c r="AZ236" s="1">
        <v>1291</v>
      </c>
      <c r="BA236" s="1">
        <v>1286</v>
      </c>
      <c r="BB236" s="1">
        <v>1312</v>
      </c>
      <c r="BC236" s="1">
        <v>1310</v>
      </c>
      <c r="BD236" s="1">
        <v>1313</v>
      </c>
      <c r="BE236" s="1">
        <v>1311</v>
      </c>
      <c r="BF236" s="1">
        <v>1310</v>
      </c>
      <c r="BG236" s="1">
        <v>1325</v>
      </c>
      <c r="BH236" s="1">
        <v>1341</v>
      </c>
      <c r="BI236" s="1">
        <v>1342</v>
      </c>
      <c r="BJ236" s="1">
        <v>1346</v>
      </c>
      <c r="BK236" s="1">
        <v>1347</v>
      </c>
      <c r="BL236" s="1">
        <v>1329</v>
      </c>
      <c r="BM236" s="1">
        <v>1309</v>
      </c>
      <c r="BN236" s="1">
        <v>1309</v>
      </c>
      <c r="BO236" s="1">
        <v>1323</v>
      </c>
      <c r="BP236" s="1">
        <v>1351</v>
      </c>
    </row>
    <row r="237" spans="1:68">
      <c r="A237" s="65" t="s">
        <v>450</v>
      </c>
      <c r="B237" s="1" t="str">
        <f>銘柄管理!C237</f>
        <v/>
      </c>
      <c r="C237" s="1" t="str">
        <f>_xll.RssMarket("2326","安値")</f>
        <v/>
      </c>
      <c r="E237" s="1">
        <v>3975</v>
      </c>
      <c r="F237" s="1">
        <v>3965</v>
      </c>
      <c r="G237" s="1">
        <v>3980</v>
      </c>
      <c r="H237" s="1">
        <v>3930</v>
      </c>
      <c r="I237" s="1">
        <v>3900</v>
      </c>
      <c r="J237" s="1">
        <v>3855</v>
      </c>
      <c r="K237" s="1">
        <v>3850</v>
      </c>
      <c r="L237" s="1">
        <v>3880</v>
      </c>
      <c r="M237" s="1">
        <v>3855</v>
      </c>
      <c r="N237" s="1">
        <v>3795</v>
      </c>
      <c r="O237" s="1">
        <v>3715</v>
      </c>
      <c r="P237" s="1">
        <v>3615</v>
      </c>
      <c r="Q237" s="1">
        <v>3685</v>
      </c>
      <c r="R237" s="1">
        <v>3675</v>
      </c>
      <c r="S237" s="1">
        <v>3550</v>
      </c>
      <c r="T237" s="1">
        <v>3545</v>
      </c>
      <c r="U237" s="1">
        <v>3505</v>
      </c>
      <c r="V237" s="1">
        <v>3520</v>
      </c>
      <c r="W237" s="1">
        <v>3505</v>
      </c>
      <c r="X237" s="1">
        <v>3575</v>
      </c>
      <c r="Y237" s="1">
        <v>3585</v>
      </c>
      <c r="Z237" s="1">
        <v>3500</v>
      </c>
      <c r="AA237" s="1">
        <v>3565</v>
      </c>
      <c r="AB237" s="1">
        <v>3540</v>
      </c>
      <c r="AC237" s="1">
        <v>3575</v>
      </c>
      <c r="AD237" s="1">
        <v>3690</v>
      </c>
      <c r="AE237" s="1">
        <v>3700</v>
      </c>
      <c r="AF237" s="1">
        <v>3585</v>
      </c>
      <c r="AG237" s="1">
        <v>3595</v>
      </c>
      <c r="AH237" s="1">
        <v>3660</v>
      </c>
      <c r="AI237" s="1">
        <v>3980</v>
      </c>
      <c r="AJ237" s="1">
        <v>3990</v>
      </c>
      <c r="AK237" s="1">
        <v>4040</v>
      </c>
      <c r="AL237" s="1">
        <v>4055</v>
      </c>
      <c r="AM237" s="1">
        <v>4080</v>
      </c>
      <c r="AN237" s="1">
        <v>4105</v>
      </c>
      <c r="AO237" s="1">
        <v>4235</v>
      </c>
      <c r="AP237" s="1">
        <v>4105</v>
      </c>
      <c r="AQ237" s="1">
        <v>4015</v>
      </c>
      <c r="AR237" s="1">
        <v>3945</v>
      </c>
      <c r="AS237" s="1">
        <v>3925</v>
      </c>
      <c r="AT237" s="1">
        <v>3955</v>
      </c>
      <c r="AU237" s="1">
        <v>4240</v>
      </c>
      <c r="AV237" s="1">
        <v>4940</v>
      </c>
      <c r="AW237" s="1">
        <v>5730</v>
      </c>
      <c r="AX237" s="1">
        <v>5500</v>
      </c>
      <c r="AY237" s="1">
        <v>5420</v>
      </c>
      <c r="AZ237" s="1">
        <v>5450</v>
      </c>
      <c r="BA237" s="1">
        <v>5400</v>
      </c>
      <c r="BB237" s="1">
        <v>5500</v>
      </c>
      <c r="BC237" s="1">
        <v>5650</v>
      </c>
      <c r="BD237" s="1">
        <v>5950</v>
      </c>
      <c r="BE237" s="1">
        <v>5880</v>
      </c>
      <c r="BF237" s="1">
        <v>5760</v>
      </c>
      <c r="BG237" s="1">
        <v>5760</v>
      </c>
      <c r="BH237" s="1">
        <v>5740</v>
      </c>
      <c r="BI237" s="1">
        <v>5520</v>
      </c>
      <c r="BJ237" s="1">
        <v>5470</v>
      </c>
      <c r="BK237" s="1">
        <v>5340</v>
      </c>
      <c r="BL237" s="1">
        <v>5280</v>
      </c>
      <c r="BM237" s="1">
        <v>5400</v>
      </c>
      <c r="BN237" s="1">
        <v>5500</v>
      </c>
      <c r="BO237" s="1">
        <v>5400</v>
      </c>
      <c r="BP237" s="1">
        <v>5330</v>
      </c>
    </row>
    <row r="238" spans="1:68">
      <c r="A238" s="65" t="s">
        <v>451</v>
      </c>
      <c r="B238" s="1" t="str">
        <f>銘柄管理!C238</f>
        <v/>
      </c>
      <c r="C238" s="1" t="str">
        <f>_xll.RssMarket("6809","安値")</f>
        <v/>
      </c>
      <c r="E238" s="1">
        <v>1561</v>
      </c>
      <c r="F238" s="1">
        <v>1599</v>
      </c>
      <c r="G238" s="1">
        <v>1590</v>
      </c>
      <c r="H238" s="1">
        <v>1583</v>
      </c>
      <c r="I238" s="1">
        <v>1605</v>
      </c>
      <c r="J238" s="1">
        <v>1615</v>
      </c>
      <c r="K238" s="1">
        <v>1632</v>
      </c>
      <c r="L238" s="1">
        <v>1630</v>
      </c>
      <c r="M238" s="1">
        <v>1605</v>
      </c>
      <c r="N238" s="1">
        <v>1579</v>
      </c>
      <c r="O238" s="1">
        <v>1551</v>
      </c>
      <c r="P238" s="1">
        <v>1550</v>
      </c>
      <c r="Q238" s="1">
        <v>1559</v>
      </c>
      <c r="R238" s="1">
        <v>1564</v>
      </c>
      <c r="S238" s="1">
        <v>1557</v>
      </c>
      <c r="T238" s="1">
        <v>1568</v>
      </c>
      <c r="U238" s="1">
        <v>1554</v>
      </c>
      <c r="V238" s="1">
        <v>1552</v>
      </c>
      <c r="W238" s="1">
        <v>1551</v>
      </c>
      <c r="X238" s="1">
        <v>1560</v>
      </c>
      <c r="Y238" s="1">
        <v>1556</v>
      </c>
      <c r="Z238" s="1">
        <v>1563</v>
      </c>
      <c r="AA238" s="1">
        <v>1551</v>
      </c>
      <c r="AB238" s="1">
        <v>1566</v>
      </c>
      <c r="AC238" s="1">
        <v>1546</v>
      </c>
      <c r="AD238" s="1">
        <v>1527</v>
      </c>
      <c r="AE238" s="1">
        <v>1548</v>
      </c>
      <c r="AF238" s="1">
        <v>1533</v>
      </c>
      <c r="AG238" s="1">
        <v>1547</v>
      </c>
      <c r="AH238" s="1">
        <v>1533</v>
      </c>
      <c r="AI238" s="1">
        <v>1536</v>
      </c>
      <c r="AJ238" s="1">
        <v>1522</v>
      </c>
      <c r="AK238" s="1">
        <v>1535</v>
      </c>
      <c r="AL238" s="1">
        <v>1514</v>
      </c>
      <c r="AM238" s="1">
        <v>1530</v>
      </c>
      <c r="AN238" s="1">
        <v>1557</v>
      </c>
      <c r="AO238" s="1">
        <v>1530</v>
      </c>
      <c r="AP238" s="1">
        <v>1525</v>
      </c>
      <c r="AQ238" s="1">
        <v>1512</v>
      </c>
      <c r="AR238" s="1">
        <v>1577</v>
      </c>
      <c r="AS238" s="1">
        <v>1567</v>
      </c>
      <c r="AT238" s="1">
        <v>1584</v>
      </c>
      <c r="AU238" s="1">
        <v>1562</v>
      </c>
      <c r="AV238" s="1">
        <v>1554</v>
      </c>
      <c r="AW238" s="1">
        <v>1555</v>
      </c>
      <c r="AX238" s="1">
        <v>1566</v>
      </c>
      <c r="AY238" s="1">
        <v>1565</v>
      </c>
      <c r="AZ238" s="1">
        <v>1760</v>
      </c>
      <c r="BA238" s="1">
        <v>1707</v>
      </c>
      <c r="BB238" s="1">
        <v>1702</v>
      </c>
      <c r="BC238" s="1">
        <v>1699</v>
      </c>
      <c r="BD238" s="1">
        <v>1700</v>
      </c>
      <c r="BE238" s="1">
        <v>1713</v>
      </c>
      <c r="BF238" s="1">
        <v>1725</v>
      </c>
      <c r="BG238" s="1">
        <v>1752</v>
      </c>
      <c r="BH238" s="1">
        <v>1759</v>
      </c>
      <c r="BI238" s="1">
        <v>1769</v>
      </c>
      <c r="BJ238" s="1">
        <v>1774</v>
      </c>
      <c r="BK238" s="1">
        <v>1770</v>
      </c>
      <c r="BL238" s="1">
        <v>1768</v>
      </c>
      <c r="BM238" s="1">
        <v>1774</v>
      </c>
      <c r="BN238" s="1">
        <v>1782</v>
      </c>
      <c r="BO238" s="1">
        <v>1803</v>
      </c>
      <c r="BP238" s="1">
        <v>1813</v>
      </c>
    </row>
    <row r="239" spans="1:68">
      <c r="A239" s="65" t="s">
        <v>452</v>
      </c>
      <c r="B239" s="1" t="str">
        <f>銘柄管理!C239</f>
        <v/>
      </c>
      <c r="C239" s="1" t="str">
        <f>_xll.RssMarket("3984","安値")</f>
        <v/>
      </c>
      <c r="E239" s="1">
        <v>1761</v>
      </c>
      <c r="F239" s="1">
        <v>1772</v>
      </c>
      <c r="G239" s="1">
        <v>1793</v>
      </c>
      <c r="H239" s="1">
        <v>1776</v>
      </c>
      <c r="I239" s="1">
        <v>1760</v>
      </c>
      <c r="J239" s="1">
        <v>1732</v>
      </c>
      <c r="K239" s="1">
        <v>1759</v>
      </c>
      <c r="L239" s="1">
        <v>1762</v>
      </c>
      <c r="M239" s="1">
        <v>1770</v>
      </c>
      <c r="N239" s="1">
        <v>1727</v>
      </c>
      <c r="O239" s="1">
        <v>1707</v>
      </c>
      <c r="P239" s="1">
        <v>1620</v>
      </c>
      <c r="Q239" s="1">
        <v>1605</v>
      </c>
      <c r="R239" s="1">
        <v>1578</v>
      </c>
      <c r="S239" s="1">
        <v>1587</v>
      </c>
      <c r="T239" s="1">
        <v>1646</v>
      </c>
      <c r="U239" s="1">
        <v>1680</v>
      </c>
      <c r="V239" s="1">
        <v>1685</v>
      </c>
      <c r="W239" s="1">
        <v>1726</v>
      </c>
      <c r="X239" s="1">
        <v>1725</v>
      </c>
      <c r="Y239" s="1">
        <v>1782</v>
      </c>
      <c r="Z239" s="1">
        <v>1763</v>
      </c>
      <c r="AA239" s="1">
        <v>1755</v>
      </c>
      <c r="AB239" s="1">
        <v>1760</v>
      </c>
      <c r="AC239" s="1">
        <v>1746</v>
      </c>
      <c r="AD239" s="1">
        <v>1728</v>
      </c>
      <c r="AE239" s="1">
        <v>1777</v>
      </c>
      <c r="AF239" s="1">
        <v>1811</v>
      </c>
      <c r="AG239" s="1">
        <v>1836</v>
      </c>
      <c r="AH239" s="1">
        <v>1795</v>
      </c>
      <c r="AI239" s="1">
        <v>1772</v>
      </c>
      <c r="AJ239" s="1">
        <v>1697</v>
      </c>
      <c r="AK239" s="1">
        <v>1652</v>
      </c>
      <c r="AL239" s="1">
        <v>1689</v>
      </c>
      <c r="AM239" s="1">
        <v>1711</v>
      </c>
      <c r="AN239" s="1">
        <v>1755</v>
      </c>
      <c r="AO239" s="1">
        <v>1746</v>
      </c>
      <c r="AP239" s="1">
        <v>1719</v>
      </c>
      <c r="AQ239" s="1">
        <v>1709</v>
      </c>
      <c r="AR239" s="1">
        <v>1693</v>
      </c>
      <c r="AS239" s="1">
        <v>1679</v>
      </c>
      <c r="AT239" s="1">
        <v>1691</v>
      </c>
      <c r="AU239" s="1">
        <v>1721</v>
      </c>
      <c r="AV239" s="1">
        <v>1723</v>
      </c>
      <c r="AW239" s="1">
        <v>1786</v>
      </c>
      <c r="AX239" s="1">
        <v>1723</v>
      </c>
      <c r="AY239" s="1">
        <v>1576</v>
      </c>
      <c r="AZ239" s="1">
        <v>1532</v>
      </c>
      <c r="BA239" s="1">
        <v>1532</v>
      </c>
      <c r="BB239" s="1">
        <v>1540</v>
      </c>
      <c r="BC239" s="1">
        <v>1547</v>
      </c>
      <c r="BD239" s="1">
        <v>1554</v>
      </c>
      <c r="BE239" s="1">
        <v>1555</v>
      </c>
      <c r="BF239" s="1">
        <v>1586</v>
      </c>
      <c r="BG239" s="1">
        <v>1569</v>
      </c>
      <c r="BH239" s="1">
        <v>1556</v>
      </c>
      <c r="BI239" s="1">
        <v>1567</v>
      </c>
      <c r="BJ239" s="1">
        <v>1554</v>
      </c>
      <c r="BK239" s="1">
        <v>1495</v>
      </c>
      <c r="BL239" s="1">
        <v>1452</v>
      </c>
      <c r="BM239" s="1">
        <v>1428</v>
      </c>
      <c r="BN239" s="1">
        <v>1448</v>
      </c>
      <c r="BO239" s="1">
        <v>1490</v>
      </c>
      <c r="BP239" s="1">
        <v>1495</v>
      </c>
    </row>
    <row r="240" spans="1:68">
      <c r="A240" s="65" t="s">
        <v>453</v>
      </c>
      <c r="B240" s="1" t="str">
        <f>銘柄管理!C240</f>
        <v/>
      </c>
      <c r="C240" s="1" t="str">
        <f>_xll.RssMarket("7609","安値")</f>
        <v/>
      </c>
      <c r="E240" s="1">
        <v>3205</v>
      </c>
      <c r="F240" s="1">
        <v>3360</v>
      </c>
      <c r="G240" s="1">
        <v>3290</v>
      </c>
      <c r="H240" s="1">
        <v>3385</v>
      </c>
      <c r="I240" s="1">
        <v>3490</v>
      </c>
      <c r="J240" s="1">
        <v>3440</v>
      </c>
      <c r="K240" s="1">
        <v>3395</v>
      </c>
      <c r="L240" s="1">
        <v>3475</v>
      </c>
      <c r="M240" s="1">
        <v>3560</v>
      </c>
      <c r="N240" s="1">
        <v>3500</v>
      </c>
      <c r="O240" s="1">
        <v>3610</v>
      </c>
      <c r="P240" s="1">
        <v>3700</v>
      </c>
      <c r="Q240" s="1">
        <v>3605</v>
      </c>
      <c r="R240" s="1">
        <v>3575</v>
      </c>
      <c r="S240" s="1">
        <v>3645</v>
      </c>
      <c r="T240" s="1">
        <v>3740</v>
      </c>
      <c r="U240" s="1">
        <v>3670</v>
      </c>
      <c r="V240" s="1">
        <v>3770</v>
      </c>
      <c r="W240" s="1">
        <v>3890</v>
      </c>
      <c r="X240" s="1">
        <v>3855</v>
      </c>
      <c r="Y240" s="1">
        <v>3750</v>
      </c>
      <c r="Z240" s="1">
        <v>3525</v>
      </c>
      <c r="AA240" s="1">
        <v>3545</v>
      </c>
      <c r="AB240" s="1">
        <v>3580</v>
      </c>
      <c r="AC240" s="1">
        <v>3380</v>
      </c>
      <c r="AD240" s="1">
        <v>3260</v>
      </c>
      <c r="AE240" s="1">
        <v>3380</v>
      </c>
      <c r="AF240" s="1">
        <v>3490</v>
      </c>
      <c r="AG240" s="1">
        <v>3570</v>
      </c>
      <c r="AH240" s="1">
        <v>3635</v>
      </c>
      <c r="AI240" s="1">
        <v>3585</v>
      </c>
      <c r="AJ240" s="1">
        <v>3440</v>
      </c>
      <c r="AK240" s="1">
        <v>3550</v>
      </c>
      <c r="AL240" s="1">
        <v>3425</v>
      </c>
      <c r="AM240" s="1">
        <v>3530</v>
      </c>
      <c r="AN240" s="1">
        <v>3585</v>
      </c>
      <c r="AO240" s="1">
        <v>3560</v>
      </c>
      <c r="AP240" s="1">
        <v>3535</v>
      </c>
      <c r="AQ240" s="1">
        <v>3415</v>
      </c>
      <c r="AR240" s="1">
        <v>3575</v>
      </c>
      <c r="AS240" s="1">
        <v>3825</v>
      </c>
      <c r="AT240" s="1">
        <v>3740</v>
      </c>
      <c r="AU240" s="1">
        <v>3915</v>
      </c>
      <c r="AV240" s="1">
        <v>3785</v>
      </c>
      <c r="AW240" s="1">
        <v>3860</v>
      </c>
      <c r="AX240" s="1">
        <v>3805</v>
      </c>
      <c r="AY240" s="1">
        <v>3660</v>
      </c>
      <c r="AZ240" s="1">
        <v>3215</v>
      </c>
      <c r="BA240" s="1">
        <v>2912</v>
      </c>
      <c r="BB240" s="1">
        <v>2854</v>
      </c>
      <c r="BC240" s="1">
        <v>2860</v>
      </c>
      <c r="BD240" s="1">
        <v>2851</v>
      </c>
      <c r="BE240" s="1">
        <v>2848</v>
      </c>
      <c r="BF240" s="1">
        <v>2815</v>
      </c>
      <c r="BG240" s="1">
        <v>2822</v>
      </c>
      <c r="BH240" s="1">
        <v>2862</v>
      </c>
      <c r="BI240" s="1">
        <v>2833</v>
      </c>
      <c r="BJ240" s="1">
        <v>2852</v>
      </c>
      <c r="BK240" s="1">
        <v>2885</v>
      </c>
      <c r="BL240" s="1">
        <v>2868</v>
      </c>
      <c r="BM240" s="1">
        <v>2832</v>
      </c>
      <c r="BN240" s="1">
        <v>2798</v>
      </c>
      <c r="BO240" s="1">
        <v>2775</v>
      </c>
      <c r="BP240" s="1">
        <v>2770</v>
      </c>
    </row>
    <row r="241" spans="1:68">
      <c r="A241" s="65" t="s">
        <v>454</v>
      </c>
      <c r="B241" s="1" t="str">
        <f>銘柄管理!C241</f>
        <v/>
      </c>
      <c r="C241" s="1" t="str">
        <f>_xll.RssMarket("7972","安値")</f>
        <v/>
      </c>
      <c r="E241" s="1">
        <v>2672</v>
      </c>
      <c r="F241" s="1">
        <v>2808</v>
      </c>
      <c r="G241" s="1">
        <v>2754</v>
      </c>
      <c r="H241" s="1">
        <v>2749</v>
      </c>
      <c r="I241" s="1">
        <v>2797</v>
      </c>
      <c r="J241" s="1">
        <v>2791</v>
      </c>
      <c r="K241" s="1">
        <v>2853</v>
      </c>
      <c r="L241" s="1">
        <v>2833</v>
      </c>
      <c r="M241" s="1">
        <v>2751</v>
      </c>
      <c r="N241" s="1">
        <v>2670</v>
      </c>
      <c r="O241" s="1">
        <v>2627</v>
      </c>
      <c r="P241" s="1">
        <v>2596</v>
      </c>
      <c r="Q241" s="1">
        <v>2635</v>
      </c>
      <c r="R241" s="1">
        <v>2620</v>
      </c>
      <c r="S241" s="1">
        <v>2570</v>
      </c>
      <c r="T241" s="1">
        <v>2556</v>
      </c>
      <c r="U241" s="1">
        <v>2525</v>
      </c>
      <c r="V241" s="1">
        <v>2534</v>
      </c>
      <c r="W241" s="1">
        <v>2499</v>
      </c>
      <c r="X241" s="1">
        <v>2476</v>
      </c>
      <c r="Y241" s="1">
        <v>2421</v>
      </c>
      <c r="Z241" s="1">
        <v>2429</v>
      </c>
      <c r="AA241" s="1">
        <v>2417</v>
      </c>
      <c r="AB241" s="1">
        <v>2445</v>
      </c>
      <c r="AC241" s="1">
        <v>2409</v>
      </c>
      <c r="AD241" s="1">
        <v>2386</v>
      </c>
      <c r="AE241" s="1">
        <v>2392</v>
      </c>
      <c r="AF241" s="1">
        <v>2381</v>
      </c>
      <c r="AG241" s="1">
        <v>2389</v>
      </c>
      <c r="AH241" s="1">
        <v>2355</v>
      </c>
      <c r="AI241" s="1">
        <v>2389</v>
      </c>
      <c r="AJ241" s="1">
        <v>2412</v>
      </c>
      <c r="AK241" s="1">
        <v>2544</v>
      </c>
      <c r="AL241" s="1">
        <v>2551</v>
      </c>
      <c r="AM241" s="1">
        <v>2677</v>
      </c>
      <c r="AN241" s="1">
        <v>2581</v>
      </c>
      <c r="AO241" s="1">
        <v>2580</v>
      </c>
      <c r="AP241" s="1">
        <v>2573</v>
      </c>
      <c r="AQ241" s="1">
        <v>2619</v>
      </c>
      <c r="AR241" s="1">
        <v>2684</v>
      </c>
      <c r="AS241" s="1">
        <v>2652</v>
      </c>
      <c r="AT241" s="1">
        <v>2690</v>
      </c>
      <c r="AU241" s="1">
        <v>2789</v>
      </c>
      <c r="AV241" s="1">
        <v>2791</v>
      </c>
      <c r="AW241" s="1">
        <v>2783</v>
      </c>
      <c r="AX241" s="1">
        <v>2760</v>
      </c>
      <c r="AY241" s="1">
        <v>2775</v>
      </c>
      <c r="AZ241" s="1">
        <v>3160</v>
      </c>
      <c r="BA241" s="1">
        <v>3120</v>
      </c>
      <c r="BB241" s="1">
        <v>3080</v>
      </c>
      <c r="BC241" s="1">
        <v>3210</v>
      </c>
      <c r="BD241" s="1">
        <v>3170</v>
      </c>
      <c r="BE241" s="1">
        <v>3160</v>
      </c>
      <c r="BF241" s="1">
        <v>3185</v>
      </c>
      <c r="BG241" s="1">
        <v>3250</v>
      </c>
      <c r="BH241" s="1">
        <v>3285</v>
      </c>
      <c r="BI241" s="1">
        <v>3275</v>
      </c>
      <c r="BJ241" s="1">
        <v>3265</v>
      </c>
      <c r="BK241" s="1">
        <v>3330</v>
      </c>
      <c r="BL241" s="1">
        <v>3355</v>
      </c>
      <c r="BM241" s="1">
        <v>3530</v>
      </c>
      <c r="BN241" s="1">
        <v>3490</v>
      </c>
      <c r="BO241" s="1">
        <v>3465</v>
      </c>
      <c r="BP241" s="1">
        <v>3435</v>
      </c>
    </row>
    <row r="242" spans="1:68">
      <c r="A242" s="65" t="s">
        <v>455</v>
      </c>
      <c r="B242" s="1" t="str">
        <f>銘柄管理!C242</f>
        <v/>
      </c>
      <c r="C242" s="1" t="str">
        <f>_xll.RssMarket("6521","安値")</f>
        <v/>
      </c>
      <c r="E242" s="1">
        <v>3265</v>
      </c>
      <c r="F242" s="1">
        <v>3755</v>
      </c>
      <c r="G242" s="1">
        <v>3680</v>
      </c>
      <c r="H242" s="1">
        <v>4080</v>
      </c>
      <c r="I242" s="1">
        <v>4235</v>
      </c>
      <c r="J242" s="1">
        <v>4140</v>
      </c>
      <c r="K242" s="1">
        <v>4000</v>
      </c>
      <c r="L242" s="1">
        <v>4160</v>
      </c>
      <c r="M242" s="1">
        <v>4400</v>
      </c>
      <c r="N242" s="1">
        <v>4205</v>
      </c>
      <c r="O242" s="1">
        <v>4380</v>
      </c>
      <c r="P242" s="1">
        <v>4565</v>
      </c>
      <c r="Q242" s="1">
        <v>4530</v>
      </c>
      <c r="R242" s="1">
        <v>4610</v>
      </c>
      <c r="S242" s="1">
        <v>4930</v>
      </c>
      <c r="T242" s="1">
        <v>4840</v>
      </c>
      <c r="U242" s="1">
        <v>4835</v>
      </c>
      <c r="V242" s="1">
        <v>4935</v>
      </c>
      <c r="W242" s="1">
        <v>4795</v>
      </c>
      <c r="X242" s="1">
        <v>4635</v>
      </c>
      <c r="Y242" s="1">
        <v>4455</v>
      </c>
      <c r="Z242" s="1">
        <v>4390</v>
      </c>
      <c r="AA242" s="1">
        <v>4415</v>
      </c>
      <c r="AB242" s="1">
        <v>4265</v>
      </c>
      <c r="AC242" s="1">
        <v>4255</v>
      </c>
      <c r="AD242" s="1">
        <v>4290</v>
      </c>
      <c r="AE242" s="1">
        <v>4670</v>
      </c>
      <c r="AF242" s="1">
        <v>4855</v>
      </c>
      <c r="AG242" s="1">
        <v>4790</v>
      </c>
      <c r="AH242" s="1">
        <v>5040</v>
      </c>
      <c r="AI242" s="1">
        <v>4785</v>
      </c>
      <c r="AJ242" s="1">
        <v>5270</v>
      </c>
      <c r="AK242" s="1">
        <v>5550</v>
      </c>
      <c r="AL242" s="1">
        <v>5520</v>
      </c>
      <c r="AM242" s="1">
        <v>5900</v>
      </c>
      <c r="AN242" s="1">
        <v>5740</v>
      </c>
      <c r="AO242" s="1">
        <v>5420</v>
      </c>
      <c r="AP242" s="1">
        <v>5540</v>
      </c>
      <c r="AQ242" s="1">
        <v>5780</v>
      </c>
      <c r="AR242" s="1">
        <v>6260</v>
      </c>
      <c r="AS242" s="1">
        <v>5910</v>
      </c>
      <c r="AT242" s="1">
        <v>6300</v>
      </c>
      <c r="AU242" s="1">
        <v>5930</v>
      </c>
      <c r="AV242" s="1">
        <v>6400</v>
      </c>
      <c r="AW242" s="1">
        <v>6310</v>
      </c>
      <c r="AX242" s="1">
        <v>5110</v>
      </c>
      <c r="AY242" s="1">
        <v>4770</v>
      </c>
      <c r="AZ242" s="1">
        <v>4545</v>
      </c>
      <c r="BA242" s="1">
        <v>4590</v>
      </c>
      <c r="BB242" s="1">
        <v>4545</v>
      </c>
      <c r="BC242" s="1">
        <v>4355</v>
      </c>
      <c r="BD242" s="1">
        <v>4610</v>
      </c>
      <c r="BE242" s="1">
        <v>4600</v>
      </c>
      <c r="BF242" s="1">
        <v>4800</v>
      </c>
      <c r="BG242" s="1">
        <v>4555</v>
      </c>
      <c r="BH242" s="1">
        <v>4055</v>
      </c>
      <c r="BI242" s="1">
        <v>4040</v>
      </c>
      <c r="BJ242" s="1">
        <v>4250</v>
      </c>
      <c r="BK242" s="1">
        <v>4315</v>
      </c>
      <c r="BL242" s="1">
        <v>4745</v>
      </c>
      <c r="BM242" s="1">
        <v>4620</v>
      </c>
      <c r="BN242" s="1">
        <v>4515</v>
      </c>
      <c r="BO242" s="1">
        <v>4360</v>
      </c>
      <c r="BP242" s="1">
        <v>4460</v>
      </c>
    </row>
    <row r="243" spans="1:68">
      <c r="A243" s="65" t="s">
        <v>456</v>
      </c>
      <c r="B243" s="1" t="str">
        <f>銘柄管理!C243</f>
        <v/>
      </c>
      <c r="C243" s="1" t="str">
        <f>_xll.RssMarket("9165","安値")</f>
        <v/>
      </c>
      <c r="E243" s="1">
        <v>1676</v>
      </c>
      <c r="F243" s="1">
        <v>1711</v>
      </c>
      <c r="G243" s="1">
        <v>1708</v>
      </c>
      <c r="H243" s="1">
        <v>1746</v>
      </c>
      <c r="I243" s="1">
        <v>1758</v>
      </c>
      <c r="J243" s="1">
        <v>1720</v>
      </c>
      <c r="K243" s="1">
        <v>1713</v>
      </c>
      <c r="L243" s="1">
        <v>1733</v>
      </c>
      <c r="M243" s="1">
        <v>1746</v>
      </c>
      <c r="N243" s="1">
        <v>1682</v>
      </c>
      <c r="O243" s="1">
        <v>1727</v>
      </c>
      <c r="P243" s="1">
        <v>1733</v>
      </c>
      <c r="Q243" s="1">
        <v>1640</v>
      </c>
      <c r="R243" s="1">
        <v>1680</v>
      </c>
      <c r="S243" s="1">
        <v>1725</v>
      </c>
      <c r="T243" s="1">
        <v>1730</v>
      </c>
      <c r="U243" s="1">
        <v>1723</v>
      </c>
      <c r="V243" s="1">
        <v>1754</v>
      </c>
      <c r="W243" s="1">
        <v>1721</v>
      </c>
      <c r="X243" s="1">
        <v>1670</v>
      </c>
      <c r="Y243" s="1">
        <v>1685</v>
      </c>
      <c r="Z243" s="1">
        <v>1686</v>
      </c>
      <c r="AA243" s="1">
        <v>1680</v>
      </c>
      <c r="AB243" s="1">
        <v>1702</v>
      </c>
      <c r="AC243" s="1">
        <v>1676</v>
      </c>
      <c r="AD243" s="1">
        <v>1625</v>
      </c>
      <c r="AE243" s="1">
        <v>1678</v>
      </c>
      <c r="AF243" s="1">
        <v>1690</v>
      </c>
      <c r="AG243" s="1">
        <v>1801</v>
      </c>
      <c r="AH243" s="1">
        <v>1776</v>
      </c>
      <c r="AI243" s="1">
        <v>1755</v>
      </c>
      <c r="AJ243" s="1">
        <v>1720</v>
      </c>
      <c r="AK243" s="1">
        <v>1800</v>
      </c>
      <c r="AL243" s="1">
        <v>1757</v>
      </c>
      <c r="AM243" s="1">
        <v>1890</v>
      </c>
      <c r="AN243" s="1">
        <v>2140</v>
      </c>
      <c r="AO243" s="1">
        <v>1790</v>
      </c>
      <c r="AP243" s="1">
        <v>1725</v>
      </c>
      <c r="AQ243" s="1">
        <v>1779</v>
      </c>
      <c r="AR243" s="1">
        <v>1763</v>
      </c>
      <c r="AS243" s="1">
        <v>1708</v>
      </c>
      <c r="AT243" s="1">
        <v>1650</v>
      </c>
      <c r="AU243" s="1">
        <v>1716</v>
      </c>
      <c r="AV243" s="1">
        <v>1708</v>
      </c>
      <c r="AW243" s="1">
        <v>1723</v>
      </c>
      <c r="AX243" s="1">
        <v>1761</v>
      </c>
      <c r="AY243" s="1">
        <v>1680</v>
      </c>
      <c r="AZ243" s="1">
        <v>1476</v>
      </c>
      <c r="BA243" s="1">
        <v>1470</v>
      </c>
      <c r="BB243" s="1">
        <v>1458</v>
      </c>
      <c r="BC243" s="1">
        <v>1456</v>
      </c>
      <c r="BD243" s="1">
        <v>1460</v>
      </c>
      <c r="BE243" s="1">
        <v>1457</v>
      </c>
      <c r="BF243" s="1">
        <v>1445</v>
      </c>
      <c r="BG243" s="1">
        <v>1458</v>
      </c>
      <c r="BH243" s="1">
        <v>1450</v>
      </c>
      <c r="BI243" s="1">
        <v>1446</v>
      </c>
      <c r="BJ243" s="1">
        <v>1443</v>
      </c>
      <c r="BK243" s="1">
        <v>1427</v>
      </c>
      <c r="BL243" s="1">
        <v>1446</v>
      </c>
      <c r="BM243" s="1">
        <v>1425</v>
      </c>
      <c r="BN243" s="1">
        <v>1422</v>
      </c>
      <c r="BO243" s="1">
        <v>1420</v>
      </c>
      <c r="BP243" s="1">
        <v>1434</v>
      </c>
    </row>
    <row r="244" spans="1:68">
      <c r="A244" s="65" t="s">
        <v>457</v>
      </c>
      <c r="B244" s="1" t="str">
        <f>銘柄管理!C244</f>
        <v/>
      </c>
      <c r="C244" s="1" t="str">
        <f>_xll.RssMarket("6902","安値")</f>
        <v/>
      </c>
      <c r="E244" s="1">
        <v>1951</v>
      </c>
      <c r="F244" s="1">
        <v>1939</v>
      </c>
      <c r="G244" s="1">
        <v>1931</v>
      </c>
      <c r="H244" s="1">
        <v>1917</v>
      </c>
      <c r="I244" s="1">
        <v>1924</v>
      </c>
      <c r="J244" s="1">
        <v>1917</v>
      </c>
      <c r="K244" s="1">
        <v>1945</v>
      </c>
      <c r="L244" s="1">
        <v>1972</v>
      </c>
      <c r="M244" s="1">
        <v>1961.5</v>
      </c>
      <c r="N244" s="1">
        <v>1941</v>
      </c>
      <c r="O244" s="1">
        <v>1892</v>
      </c>
      <c r="P244" s="1">
        <v>1844.5</v>
      </c>
      <c r="Q244" s="1">
        <v>1867.5</v>
      </c>
      <c r="R244" s="1">
        <v>1860.5</v>
      </c>
      <c r="S244" s="1">
        <v>1858</v>
      </c>
      <c r="T244" s="1">
        <v>1854</v>
      </c>
      <c r="U244" s="1">
        <v>1864</v>
      </c>
      <c r="V244" s="1">
        <v>1881.5</v>
      </c>
      <c r="W244" s="1">
        <v>1877.5</v>
      </c>
      <c r="X244" s="1">
        <v>1887</v>
      </c>
      <c r="Y244" s="1">
        <v>1905.5</v>
      </c>
      <c r="Z244" s="1">
        <v>1900.5</v>
      </c>
      <c r="AA244" s="1">
        <v>1882.5</v>
      </c>
      <c r="AB244" s="1">
        <v>1876.5</v>
      </c>
      <c r="AC244" s="1">
        <v>1841</v>
      </c>
      <c r="AD244" s="1">
        <v>1813</v>
      </c>
      <c r="AE244" s="1">
        <v>1865</v>
      </c>
      <c r="AF244" s="1">
        <v>1872</v>
      </c>
      <c r="AG244" s="1">
        <v>1870</v>
      </c>
      <c r="AH244" s="1">
        <v>1901.5</v>
      </c>
      <c r="AI244" s="1">
        <v>1861.5</v>
      </c>
      <c r="AJ244" s="1">
        <v>1824.5</v>
      </c>
      <c r="AK244" s="1">
        <v>1868</v>
      </c>
      <c r="AL244" s="1">
        <v>1871.5</v>
      </c>
      <c r="AM244" s="1">
        <v>1852</v>
      </c>
      <c r="AN244" s="1">
        <v>1817</v>
      </c>
      <c r="AO244" s="1">
        <v>1833.5</v>
      </c>
      <c r="AP244" s="1">
        <v>1843.5</v>
      </c>
      <c r="AQ244" s="1">
        <v>1814.5</v>
      </c>
      <c r="AR244" s="1">
        <v>1835.5</v>
      </c>
      <c r="AS244" s="1">
        <v>1838.5</v>
      </c>
      <c r="AT244" s="1">
        <v>1885</v>
      </c>
      <c r="AU244" s="1">
        <v>1850</v>
      </c>
      <c r="AV244" s="1">
        <v>1872</v>
      </c>
      <c r="AW244" s="1">
        <v>1867</v>
      </c>
      <c r="AX244" s="1">
        <v>1873</v>
      </c>
      <c r="AY244" s="1">
        <v>1912.5</v>
      </c>
      <c r="AZ244" s="1">
        <v>1848</v>
      </c>
      <c r="BA244" s="1">
        <v>1850</v>
      </c>
      <c r="BB244" s="1">
        <v>1827</v>
      </c>
      <c r="BC244" s="1">
        <v>1801</v>
      </c>
      <c r="BD244" s="1">
        <v>1874</v>
      </c>
      <c r="BE244" s="1">
        <v>1864</v>
      </c>
      <c r="BF244" s="1">
        <v>1885</v>
      </c>
      <c r="BG244" s="1">
        <v>1918</v>
      </c>
      <c r="BH244" s="1">
        <v>1936</v>
      </c>
      <c r="BI244" s="1">
        <v>1942</v>
      </c>
      <c r="BJ244" s="1">
        <v>1921.5</v>
      </c>
      <c r="BK244" s="1">
        <v>1917.5</v>
      </c>
      <c r="BL244" s="1">
        <v>1915</v>
      </c>
      <c r="BM244" s="1">
        <v>1918.5</v>
      </c>
      <c r="BN244" s="1">
        <v>1909</v>
      </c>
      <c r="BO244" s="1">
        <v>1933</v>
      </c>
      <c r="BP244" s="1">
        <v>1949.5</v>
      </c>
    </row>
    <row r="245" spans="1:68">
      <c r="A245" s="65" t="s">
        <v>458</v>
      </c>
      <c r="B245" s="1" t="str">
        <f>銘柄管理!C245</f>
        <v/>
      </c>
      <c r="C245" s="1" t="str">
        <f>_xll.RssMarket("3936","安値")</f>
        <v/>
      </c>
      <c r="E245" s="1">
        <v>152</v>
      </c>
      <c r="F245" s="1">
        <v>161</v>
      </c>
      <c r="G245" s="1">
        <v>159</v>
      </c>
      <c r="H245" s="1">
        <v>160</v>
      </c>
      <c r="I245" s="1">
        <v>154</v>
      </c>
      <c r="J245" s="1">
        <v>151</v>
      </c>
      <c r="K245" s="1">
        <v>149</v>
      </c>
      <c r="L245" s="1">
        <v>153</v>
      </c>
      <c r="M245" s="1">
        <v>154</v>
      </c>
      <c r="N245" s="1">
        <v>148</v>
      </c>
      <c r="O245" s="1">
        <v>147</v>
      </c>
      <c r="P245" s="1">
        <v>145</v>
      </c>
      <c r="Q245" s="1">
        <v>146</v>
      </c>
      <c r="R245" s="1">
        <v>144</v>
      </c>
      <c r="S245" s="1">
        <v>147</v>
      </c>
      <c r="T245" s="1">
        <v>156</v>
      </c>
      <c r="U245" s="1">
        <v>157</v>
      </c>
      <c r="V245" s="1">
        <v>160</v>
      </c>
      <c r="W245" s="1">
        <v>164</v>
      </c>
      <c r="X245" s="1">
        <v>162</v>
      </c>
      <c r="Y245" s="1">
        <v>155</v>
      </c>
      <c r="Z245" s="1">
        <v>152</v>
      </c>
      <c r="AA245" s="1">
        <v>151</v>
      </c>
      <c r="AB245" s="1">
        <v>162</v>
      </c>
      <c r="AC245" s="1">
        <v>159</v>
      </c>
      <c r="AD245" s="1">
        <v>158</v>
      </c>
      <c r="AE245" s="1">
        <v>166</v>
      </c>
      <c r="AF245" s="1">
        <v>171</v>
      </c>
      <c r="AG245" s="1">
        <v>167</v>
      </c>
      <c r="AH245" s="1">
        <v>165</v>
      </c>
      <c r="AI245" s="1">
        <v>161</v>
      </c>
      <c r="AJ245" s="1">
        <v>163</v>
      </c>
      <c r="AK245" s="1">
        <v>164</v>
      </c>
      <c r="AL245" s="1">
        <v>156</v>
      </c>
      <c r="AM245" s="1">
        <v>160</v>
      </c>
      <c r="AN245" s="1">
        <v>155</v>
      </c>
      <c r="AO245" s="1">
        <v>160</v>
      </c>
      <c r="AP245" s="1">
        <v>165</v>
      </c>
      <c r="AQ245" s="1">
        <v>166</v>
      </c>
      <c r="AR245" s="1">
        <v>164</v>
      </c>
      <c r="AS245" s="1">
        <v>161</v>
      </c>
      <c r="AT245" s="1">
        <v>192</v>
      </c>
      <c r="AU245" s="1">
        <v>206</v>
      </c>
      <c r="AV245" s="1">
        <v>155</v>
      </c>
      <c r="AW245" s="1">
        <v>166</v>
      </c>
      <c r="AX245" s="1">
        <v>169</v>
      </c>
      <c r="AY245" s="1">
        <v>162</v>
      </c>
      <c r="AZ245" s="1">
        <v>173</v>
      </c>
      <c r="BA245" s="1">
        <v>166</v>
      </c>
      <c r="BB245" s="1">
        <v>170</v>
      </c>
      <c r="BC245" s="1">
        <v>191</v>
      </c>
      <c r="BD245" s="1">
        <v>208</v>
      </c>
      <c r="BE245" s="1">
        <v>227</v>
      </c>
      <c r="BF245" s="1">
        <v>176</v>
      </c>
      <c r="BG245" s="1">
        <v>198</v>
      </c>
      <c r="BH245" s="1">
        <v>139</v>
      </c>
      <c r="BI245" s="1">
        <v>130</v>
      </c>
      <c r="BJ245" s="1">
        <v>126</v>
      </c>
      <c r="BK245" s="1">
        <v>124</v>
      </c>
      <c r="BL245" s="1">
        <v>124</v>
      </c>
      <c r="BM245" s="1">
        <v>123</v>
      </c>
      <c r="BN245" s="1">
        <v>125</v>
      </c>
      <c r="BO245" s="1">
        <v>127</v>
      </c>
      <c r="BP245" s="1">
        <v>127</v>
      </c>
    </row>
    <row r="246" spans="1:68">
      <c r="A246" s="65" t="s">
        <v>459</v>
      </c>
      <c r="B246" s="1" t="str">
        <f>銘柄管理!C246</f>
        <v/>
      </c>
      <c r="C246" s="1" t="str">
        <f>_xll.RssMarket("6928","安値")</f>
        <v/>
      </c>
      <c r="E246" s="1">
        <v>2492</v>
      </c>
      <c r="F246" s="1">
        <v>2820</v>
      </c>
      <c r="G246" s="1">
        <v>2817</v>
      </c>
      <c r="H246" s="1">
        <v>2865</v>
      </c>
      <c r="I246" s="1">
        <v>2838</v>
      </c>
      <c r="J246" s="1">
        <v>2760</v>
      </c>
      <c r="K246" s="1">
        <v>2725</v>
      </c>
      <c r="L246" s="1">
        <v>2791</v>
      </c>
      <c r="M246" s="1">
        <v>2851</v>
      </c>
      <c r="N246" s="1">
        <v>2804</v>
      </c>
      <c r="O246" s="1">
        <v>2900</v>
      </c>
      <c r="P246" s="1">
        <v>3015</v>
      </c>
      <c r="Q246" s="1">
        <v>3035</v>
      </c>
      <c r="R246" s="1">
        <v>3015</v>
      </c>
      <c r="S246" s="1">
        <v>3125</v>
      </c>
      <c r="T246" s="1">
        <v>3370</v>
      </c>
      <c r="U246" s="1">
        <v>3305</v>
      </c>
      <c r="V246" s="1">
        <v>3380</v>
      </c>
      <c r="W246" s="1">
        <v>3465</v>
      </c>
      <c r="X246" s="1">
        <v>3435</v>
      </c>
      <c r="Y246" s="1">
        <v>3365</v>
      </c>
      <c r="Z246" s="1">
        <v>3275</v>
      </c>
      <c r="AA246" s="1">
        <v>3270</v>
      </c>
      <c r="AB246" s="1">
        <v>3230</v>
      </c>
      <c r="AC246" s="1">
        <v>3160</v>
      </c>
      <c r="AD246" s="1">
        <v>3270</v>
      </c>
      <c r="AE246" s="1">
        <v>3350</v>
      </c>
      <c r="AF246" s="1">
        <v>3270</v>
      </c>
      <c r="AG246" s="1">
        <v>3540</v>
      </c>
      <c r="AH246" s="1">
        <v>3615</v>
      </c>
      <c r="AI246" s="1">
        <v>3655</v>
      </c>
      <c r="AJ246" s="1">
        <v>3635</v>
      </c>
      <c r="AK246" s="1">
        <v>3735</v>
      </c>
      <c r="AL246" s="1">
        <v>3425</v>
      </c>
      <c r="AM246" s="1">
        <v>3505</v>
      </c>
      <c r="AN246" s="1">
        <v>3595</v>
      </c>
      <c r="AO246" s="1">
        <v>3500</v>
      </c>
      <c r="AP246" s="1">
        <v>3485</v>
      </c>
      <c r="AQ246" s="1">
        <v>3355</v>
      </c>
      <c r="AR246" s="1">
        <v>3380</v>
      </c>
      <c r="AS246" s="1">
        <v>3420</v>
      </c>
      <c r="AT246" s="1">
        <v>3405</v>
      </c>
      <c r="AU246" s="1">
        <v>3425</v>
      </c>
      <c r="AV246" s="1">
        <v>3380</v>
      </c>
      <c r="AW246" s="1">
        <v>3400</v>
      </c>
      <c r="AX246" s="1">
        <v>3355</v>
      </c>
      <c r="AY246" s="1">
        <v>3500</v>
      </c>
      <c r="AZ246" s="1">
        <v>3480</v>
      </c>
      <c r="BA246" s="1">
        <v>3200</v>
      </c>
      <c r="BB246" s="1">
        <v>3105</v>
      </c>
      <c r="BC246" s="1">
        <v>3160</v>
      </c>
      <c r="BD246" s="1">
        <v>3075</v>
      </c>
      <c r="BE246" s="1">
        <v>3140</v>
      </c>
      <c r="BF246" s="1">
        <v>3090</v>
      </c>
      <c r="BG246" s="1">
        <v>3170</v>
      </c>
      <c r="BH246" s="1">
        <v>3205</v>
      </c>
      <c r="BI246" s="1">
        <v>3190</v>
      </c>
      <c r="BJ246" s="1">
        <v>3210</v>
      </c>
      <c r="BK246" s="1">
        <v>3280</v>
      </c>
      <c r="BL246" s="1">
        <v>3230</v>
      </c>
      <c r="BM246" s="1">
        <v>3170</v>
      </c>
      <c r="BN246" s="1">
        <v>3105</v>
      </c>
      <c r="BO246" s="1">
        <v>3085</v>
      </c>
      <c r="BP246" s="1">
        <v>3045</v>
      </c>
    </row>
    <row r="247" spans="1:68">
      <c r="A247" s="65" t="s">
        <v>460</v>
      </c>
      <c r="B247" s="1" t="str">
        <f>銘柄管理!C247</f>
        <v/>
      </c>
      <c r="C247" s="1" t="str">
        <f>_xll.RssMarket("5632","安値")</f>
        <v/>
      </c>
      <c r="E247" s="1">
        <v>2055</v>
      </c>
      <c r="F247" s="1">
        <v>2146</v>
      </c>
      <c r="G247" s="1">
        <v>2088</v>
      </c>
      <c r="H247" s="1">
        <v>2059</v>
      </c>
      <c r="I247" s="1">
        <v>2107</v>
      </c>
      <c r="J247" s="1">
        <v>2091</v>
      </c>
      <c r="K247" s="1">
        <v>2120</v>
      </c>
      <c r="L247" s="1">
        <v>2170</v>
      </c>
      <c r="M247" s="1">
        <v>2183</v>
      </c>
      <c r="N247" s="1">
        <v>2151</v>
      </c>
      <c r="O247" s="1">
        <v>2111</v>
      </c>
      <c r="P247" s="1">
        <v>2140</v>
      </c>
      <c r="Q247" s="1">
        <v>2128</v>
      </c>
      <c r="R247" s="1">
        <v>2158</v>
      </c>
      <c r="S247" s="1">
        <v>2217</v>
      </c>
      <c r="T247" s="1">
        <v>2202</v>
      </c>
      <c r="U247" s="1">
        <v>2257</v>
      </c>
      <c r="V247" s="1">
        <v>2315</v>
      </c>
      <c r="W247" s="1">
        <v>2287</v>
      </c>
      <c r="X247" s="1">
        <v>2167</v>
      </c>
      <c r="Y247" s="1">
        <v>2141</v>
      </c>
      <c r="Z247" s="1">
        <v>2162</v>
      </c>
      <c r="AA247" s="1">
        <v>2169</v>
      </c>
      <c r="AB247" s="1">
        <v>2130</v>
      </c>
      <c r="AC247" s="1">
        <v>2041</v>
      </c>
      <c r="AD247" s="1">
        <v>2072</v>
      </c>
      <c r="AE247" s="1">
        <v>2037</v>
      </c>
      <c r="AF247" s="1">
        <v>2115</v>
      </c>
      <c r="AG247" s="1">
        <v>2044</v>
      </c>
      <c r="AH247" s="1">
        <v>2079</v>
      </c>
      <c r="AI247" s="1">
        <v>2042</v>
      </c>
      <c r="AJ247" s="1">
        <v>2128</v>
      </c>
      <c r="AK247" s="1">
        <v>2094</v>
      </c>
      <c r="AL247" s="1">
        <v>2115</v>
      </c>
      <c r="AM247" s="1">
        <v>2102</v>
      </c>
      <c r="AN247" s="1">
        <v>2104</v>
      </c>
      <c r="AO247" s="1">
        <v>2047</v>
      </c>
      <c r="AP247" s="1">
        <v>1993</v>
      </c>
      <c r="AQ247" s="1">
        <v>2061</v>
      </c>
      <c r="AR247" s="1">
        <v>2037</v>
      </c>
      <c r="AS247" s="1">
        <v>2054</v>
      </c>
      <c r="AT247" s="1">
        <v>1994</v>
      </c>
      <c r="AU247" s="1">
        <v>1819</v>
      </c>
      <c r="AV247" s="1">
        <v>1857</v>
      </c>
      <c r="AW247" s="1">
        <v>1800</v>
      </c>
      <c r="AX247" s="1">
        <v>1815</v>
      </c>
      <c r="AY247" s="1">
        <v>1817</v>
      </c>
      <c r="AZ247" s="1">
        <v>1774</v>
      </c>
      <c r="BA247" s="1">
        <v>1782</v>
      </c>
      <c r="BB247" s="1">
        <v>1780</v>
      </c>
      <c r="BC247" s="1">
        <v>1774</v>
      </c>
      <c r="BD247" s="1">
        <v>1776</v>
      </c>
      <c r="BE247" s="1">
        <v>1788</v>
      </c>
      <c r="BF247" s="1">
        <v>1802</v>
      </c>
      <c r="BG247" s="1">
        <v>1823</v>
      </c>
      <c r="BH247" s="1">
        <v>1829</v>
      </c>
      <c r="BI247" s="1">
        <v>1821</v>
      </c>
      <c r="BJ247" s="1">
        <v>1821</v>
      </c>
      <c r="BK247" s="1">
        <v>1813</v>
      </c>
      <c r="BL247" s="1">
        <v>1798</v>
      </c>
      <c r="BM247" s="1">
        <v>1782</v>
      </c>
      <c r="BN247" s="1">
        <v>1790</v>
      </c>
      <c r="BO247" s="1">
        <v>1808</v>
      </c>
      <c r="BP247" s="1">
        <v>1831</v>
      </c>
    </row>
    <row r="248" spans="1:68">
      <c r="A248" s="65" t="s">
        <v>461</v>
      </c>
      <c r="B248" s="1" t="str">
        <f>銘柄管理!C248</f>
        <v/>
      </c>
      <c r="C248" s="1" t="str">
        <f>_xll.RssMarket("6098","安値")</f>
        <v/>
      </c>
      <c r="E248" s="1">
        <v>12605</v>
      </c>
      <c r="F248" s="1">
        <v>12335</v>
      </c>
      <c r="G248" s="1">
        <v>12545</v>
      </c>
      <c r="H248" s="1">
        <v>11990</v>
      </c>
      <c r="I248" s="1">
        <v>12105</v>
      </c>
      <c r="J248" s="1">
        <v>12150</v>
      </c>
      <c r="K248" s="1">
        <v>12180</v>
      </c>
      <c r="L248" s="1">
        <v>11975</v>
      </c>
      <c r="M248" s="1">
        <v>11720</v>
      </c>
      <c r="N248" s="1">
        <v>11820</v>
      </c>
      <c r="O248" s="1">
        <v>11585</v>
      </c>
      <c r="P248" s="1">
        <v>11455</v>
      </c>
      <c r="Q248" s="1">
        <v>11240</v>
      </c>
      <c r="R248" s="1">
        <v>11055</v>
      </c>
      <c r="S248" s="1">
        <v>10915</v>
      </c>
      <c r="T248" s="1">
        <v>11025</v>
      </c>
      <c r="U248" s="1">
        <v>10865</v>
      </c>
      <c r="V248" s="1">
        <v>10945</v>
      </c>
      <c r="W248" s="1">
        <v>10770</v>
      </c>
      <c r="X248" s="1">
        <v>10685</v>
      </c>
      <c r="Y248" s="1">
        <v>11165</v>
      </c>
      <c r="Z248" s="1">
        <v>10505</v>
      </c>
      <c r="AA248" s="1">
        <v>10520</v>
      </c>
      <c r="AB248" s="1">
        <v>10700</v>
      </c>
      <c r="AC248" s="1">
        <v>10760</v>
      </c>
      <c r="AD248" s="1">
        <v>10990</v>
      </c>
      <c r="AE248" s="1">
        <v>11125</v>
      </c>
      <c r="AF248" s="1">
        <v>10635</v>
      </c>
      <c r="AG248" s="1">
        <v>10555</v>
      </c>
      <c r="AH248" s="1">
        <v>10560</v>
      </c>
      <c r="AI248" s="1">
        <v>10540</v>
      </c>
      <c r="AJ248" s="1">
        <v>10695</v>
      </c>
      <c r="AK248" s="1">
        <v>10325</v>
      </c>
      <c r="AL248" s="1">
        <v>9933</v>
      </c>
      <c r="AM248" s="1">
        <v>9907</v>
      </c>
      <c r="AN248" s="1">
        <v>9537</v>
      </c>
      <c r="AO248" s="1">
        <v>9401</v>
      </c>
      <c r="AP248" s="1">
        <v>9504</v>
      </c>
      <c r="AQ248" s="1">
        <v>9600</v>
      </c>
      <c r="AR248" s="1">
        <v>9308</v>
      </c>
      <c r="AS248" s="1">
        <v>8800</v>
      </c>
      <c r="AT248" s="1">
        <v>7670</v>
      </c>
      <c r="AU248" s="1">
        <v>7542</v>
      </c>
      <c r="AV248" s="1">
        <v>7660</v>
      </c>
      <c r="AW248" s="1">
        <v>7508</v>
      </c>
      <c r="AX248" s="1">
        <v>7680</v>
      </c>
      <c r="AY248" s="1">
        <v>7781</v>
      </c>
      <c r="AZ248" s="1">
        <v>7358</v>
      </c>
      <c r="BA248" s="1">
        <v>7163</v>
      </c>
      <c r="BB248" s="1">
        <v>7102</v>
      </c>
      <c r="BC248" s="1">
        <v>7324</v>
      </c>
      <c r="BD248" s="1">
        <v>7273</v>
      </c>
      <c r="BE248" s="1">
        <v>7211</v>
      </c>
      <c r="BF248" s="1">
        <v>7382</v>
      </c>
      <c r="BG248" s="1">
        <v>7826</v>
      </c>
      <c r="BH248" s="1">
        <v>7572</v>
      </c>
      <c r="BI248" s="1">
        <v>7482</v>
      </c>
      <c r="BJ248" s="1">
        <v>7270</v>
      </c>
      <c r="BK248" s="1">
        <v>7241</v>
      </c>
      <c r="BL248" s="1">
        <v>6960</v>
      </c>
      <c r="BM248" s="1">
        <v>6985</v>
      </c>
      <c r="BN248" s="1">
        <v>6902</v>
      </c>
      <c r="BO248" s="1">
        <v>6995</v>
      </c>
      <c r="BP248" s="1">
        <v>7102</v>
      </c>
    </row>
    <row r="249" spans="1:68">
      <c r="A249" s="65" t="s">
        <v>462</v>
      </c>
      <c r="B249" s="1" t="str">
        <f>銘柄管理!C249</f>
        <v/>
      </c>
      <c r="C249" s="1" t="str">
        <f>_xll.RssMarket("6361","安値")</f>
        <v/>
      </c>
      <c r="E249" s="1">
        <v>5210</v>
      </c>
      <c r="F249" s="1">
        <v>6039</v>
      </c>
      <c r="G249" s="1">
        <v>5586</v>
      </c>
      <c r="H249" s="1">
        <v>5856</v>
      </c>
      <c r="I249" s="1">
        <v>5975</v>
      </c>
      <c r="J249" s="1">
        <v>5804</v>
      </c>
      <c r="K249" s="1">
        <v>5638</v>
      </c>
      <c r="L249" s="1">
        <v>5845</v>
      </c>
      <c r="M249" s="1">
        <v>5986</v>
      </c>
      <c r="N249" s="1">
        <v>5677</v>
      </c>
      <c r="O249" s="1">
        <v>5989</v>
      </c>
      <c r="P249" s="1">
        <v>6226</v>
      </c>
      <c r="Q249" s="1">
        <v>6006</v>
      </c>
      <c r="R249" s="1">
        <v>5984</v>
      </c>
      <c r="S249" s="1">
        <v>6101</v>
      </c>
      <c r="T249" s="1">
        <v>6251</v>
      </c>
      <c r="U249" s="1">
        <v>6218</v>
      </c>
      <c r="V249" s="1">
        <v>6342</v>
      </c>
      <c r="W249" s="1">
        <v>6555</v>
      </c>
      <c r="X249" s="1">
        <v>6477</v>
      </c>
      <c r="Y249" s="1">
        <v>6538</v>
      </c>
      <c r="Z249" s="1">
        <v>6089</v>
      </c>
      <c r="AA249" s="1">
        <v>6074</v>
      </c>
      <c r="AB249" s="1">
        <v>5719</v>
      </c>
      <c r="AC249" s="1">
        <v>5471</v>
      </c>
      <c r="AD249" s="1">
        <v>5011</v>
      </c>
      <c r="AE249" s="1">
        <v>5171</v>
      </c>
      <c r="AF249" s="1">
        <v>4969</v>
      </c>
      <c r="AG249" s="1">
        <v>5342</v>
      </c>
      <c r="AH249" s="1">
        <v>5375</v>
      </c>
      <c r="AI249" s="1">
        <v>5237</v>
      </c>
      <c r="AJ249" s="1">
        <v>5247</v>
      </c>
      <c r="AK249" s="1">
        <v>5490</v>
      </c>
      <c r="AL249" s="1">
        <v>5361</v>
      </c>
      <c r="AM249" s="1">
        <v>5467</v>
      </c>
      <c r="AN249" s="1">
        <v>5651</v>
      </c>
      <c r="AO249" s="1">
        <v>5278</v>
      </c>
      <c r="AP249" s="1">
        <v>4951</v>
      </c>
      <c r="AQ249" s="1">
        <v>4870</v>
      </c>
      <c r="AR249" s="1">
        <v>5121</v>
      </c>
      <c r="AS249" s="1">
        <v>5279</v>
      </c>
      <c r="AT249" s="1">
        <v>5445</v>
      </c>
      <c r="AU249" s="1">
        <v>5727</v>
      </c>
      <c r="AV249" s="1">
        <v>5644</v>
      </c>
      <c r="AW249" s="1">
        <v>5797</v>
      </c>
      <c r="AX249" s="1">
        <v>5624</v>
      </c>
      <c r="AY249" s="1">
        <v>5637</v>
      </c>
      <c r="AZ249" s="1">
        <v>5651</v>
      </c>
      <c r="BA249" s="1">
        <v>5242</v>
      </c>
      <c r="BB249" s="1">
        <v>5272</v>
      </c>
      <c r="BC249" s="1">
        <v>5422</v>
      </c>
      <c r="BD249" s="1">
        <v>5231</v>
      </c>
      <c r="BE249" s="1">
        <v>5269</v>
      </c>
      <c r="BF249" s="1">
        <v>5223</v>
      </c>
      <c r="BG249" s="1">
        <v>5171</v>
      </c>
      <c r="BH249" s="1">
        <v>5114</v>
      </c>
      <c r="BI249" s="1">
        <v>5050</v>
      </c>
      <c r="BJ249" s="1">
        <v>4933</v>
      </c>
      <c r="BK249" s="1">
        <v>4965</v>
      </c>
      <c r="BL249" s="1">
        <v>4988</v>
      </c>
      <c r="BM249" s="1">
        <v>5166</v>
      </c>
      <c r="BN249" s="1">
        <v>5016</v>
      </c>
      <c r="BO249" s="1">
        <v>4940</v>
      </c>
      <c r="BP249" s="1">
        <v>4947</v>
      </c>
    </row>
    <row r="250" spans="1:68">
      <c r="A250" s="65" t="s">
        <v>463</v>
      </c>
      <c r="B250" s="1" t="str">
        <f>銘柄管理!C250</f>
        <v/>
      </c>
      <c r="C250" s="1" t="str">
        <f>_xll.RssMarket("155A","安値")</f>
        <v/>
      </c>
      <c r="E250" s="1">
        <v>824</v>
      </c>
      <c r="F250" s="1">
        <v>893</v>
      </c>
      <c r="G250" s="1">
        <v>902</v>
      </c>
      <c r="H250" s="1">
        <v>885</v>
      </c>
      <c r="I250" s="1">
        <v>878</v>
      </c>
      <c r="J250" s="1">
        <v>870</v>
      </c>
      <c r="K250" s="1">
        <v>878</v>
      </c>
      <c r="L250" s="1">
        <v>896</v>
      </c>
      <c r="M250" s="1">
        <v>897</v>
      </c>
      <c r="N250" s="1">
        <v>857</v>
      </c>
      <c r="O250" s="1">
        <v>860</v>
      </c>
      <c r="P250" s="1">
        <v>858</v>
      </c>
      <c r="Q250" s="1">
        <v>835</v>
      </c>
      <c r="R250" s="1">
        <v>826</v>
      </c>
      <c r="S250" s="1">
        <v>835</v>
      </c>
      <c r="T250" s="1">
        <v>813</v>
      </c>
      <c r="U250" s="1">
        <v>889</v>
      </c>
      <c r="V250" s="1">
        <v>888</v>
      </c>
      <c r="W250" s="1">
        <v>874</v>
      </c>
      <c r="X250" s="1">
        <v>872</v>
      </c>
      <c r="Y250" s="1">
        <v>830</v>
      </c>
      <c r="Z250" s="1">
        <v>816</v>
      </c>
      <c r="AA250" s="1">
        <v>832</v>
      </c>
      <c r="AB250" s="1">
        <v>830</v>
      </c>
      <c r="AC250" s="1">
        <v>853</v>
      </c>
      <c r="AD250" s="1">
        <v>860</v>
      </c>
      <c r="AE250" s="1">
        <v>828</v>
      </c>
      <c r="AF250" s="1">
        <v>834</v>
      </c>
      <c r="AG250" s="1">
        <v>827</v>
      </c>
      <c r="AH250" s="1">
        <v>828</v>
      </c>
      <c r="AI250" s="1">
        <v>803</v>
      </c>
      <c r="AJ250" s="1">
        <v>866</v>
      </c>
      <c r="AK250" s="1">
        <v>849</v>
      </c>
      <c r="AL250" s="1">
        <v>851</v>
      </c>
      <c r="AM250" s="1">
        <v>858</v>
      </c>
      <c r="AN250" s="1">
        <v>824</v>
      </c>
      <c r="AO250" s="1">
        <v>837</v>
      </c>
      <c r="AP250" s="1">
        <v>823</v>
      </c>
      <c r="AQ250" s="1">
        <v>855</v>
      </c>
      <c r="AR250" s="1">
        <v>867</v>
      </c>
      <c r="AS250" s="1">
        <v>831</v>
      </c>
      <c r="AT250" s="1">
        <v>727</v>
      </c>
      <c r="AU250" s="1">
        <v>751</v>
      </c>
      <c r="AV250" s="1">
        <v>785</v>
      </c>
      <c r="AW250" s="1">
        <v>798</v>
      </c>
      <c r="AX250" s="1">
        <v>813</v>
      </c>
      <c r="AY250" s="1">
        <v>803</v>
      </c>
      <c r="AZ250" s="1">
        <v>796</v>
      </c>
      <c r="BA250" s="1">
        <v>789</v>
      </c>
      <c r="BB250" s="1">
        <v>803</v>
      </c>
      <c r="BC250" s="1">
        <v>807</v>
      </c>
      <c r="BD250" s="1">
        <v>820</v>
      </c>
      <c r="BE250" s="1">
        <v>825</v>
      </c>
      <c r="BF250" s="1">
        <v>844</v>
      </c>
      <c r="BG250" s="1">
        <v>832</v>
      </c>
      <c r="BH250" s="1">
        <v>833</v>
      </c>
      <c r="BI250" s="1">
        <v>830</v>
      </c>
      <c r="BJ250" s="1">
        <v>829</v>
      </c>
      <c r="BK250" s="1">
        <v>813</v>
      </c>
      <c r="BL250" s="1">
        <v>806</v>
      </c>
      <c r="BM250" s="1">
        <v>794</v>
      </c>
      <c r="BN250" s="1">
        <v>817</v>
      </c>
      <c r="BO250" s="1">
        <v>843</v>
      </c>
      <c r="BP250" s="1">
        <v>853</v>
      </c>
    </row>
    <row r="251" spans="1:68">
      <c r="A251" s="65" t="s">
        <v>464</v>
      </c>
      <c r="B251" s="1" t="str">
        <f>銘柄管理!C251</f>
        <v/>
      </c>
      <c r="C251" s="1" t="str">
        <f>_xll.RssMarket("278A","安値")</f>
        <v/>
      </c>
      <c r="E251" s="1">
        <v>12170</v>
      </c>
      <c r="F251" s="1">
        <v>10690</v>
      </c>
      <c r="G251" s="1">
        <v>10480</v>
      </c>
      <c r="H251" s="1">
        <v>10520</v>
      </c>
      <c r="I251" s="1">
        <v>9240</v>
      </c>
      <c r="J251" s="1">
        <v>8610</v>
      </c>
      <c r="K251" s="1">
        <v>8700</v>
      </c>
      <c r="L251" s="1">
        <v>8990</v>
      </c>
      <c r="M251" s="1">
        <v>8820</v>
      </c>
      <c r="N251" s="1">
        <v>7870</v>
      </c>
      <c r="O251" s="1">
        <v>7710</v>
      </c>
      <c r="P251" s="1">
        <v>7640</v>
      </c>
      <c r="Q251" s="1">
        <v>7580</v>
      </c>
      <c r="R251" s="1">
        <v>7650</v>
      </c>
      <c r="S251" s="1">
        <v>7570</v>
      </c>
      <c r="T251" s="1">
        <v>7860</v>
      </c>
      <c r="U251" s="1">
        <v>7920</v>
      </c>
      <c r="V251" s="1">
        <v>7830</v>
      </c>
      <c r="W251" s="1">
        <v>7820</v>
      </c>
      <c r="X251" s="1">
        <v>7840</v>
      </c>
      <c r="Y251" s="1">
        <v>7940</v>
      </c>
      <c r="Z251" s="1">
        <v>8350</v>
      </c>
      <c r="AA251" s="1">
        <v>7050</v>
      </c>
      <c r="AB251" s="1">
        <v>8100</v>
      </c>
      <c r="AC251" s="1">
        <v>8080</v>
      </c>
      <c r="AD251" s="1">
        <v>8520</v>
      </c>
      <c r="AE251" s="1">
        <v>7930</v>
      </c>
      <c r="AF251" s="1">
        <v>7890</v>
      </c>
      <c r="AG251" s="1">
        <v>7820</v>
      </c>
      <c r="AH251" s="1">
        <v>8230</v>
      </c>
      <c r="AI251" s="1">
        <v>8350</v>
      </c>
      <c r="AJ251" s="1">
        <v>9690</v>
      </c>
      <c r="AK251" s="1">
        <v>8900</v>
      </c>
      <c r="AL251" s="1">
        <v>8660</v>
      </c>
      <c r="AM251" s="1">
        <v>10440</v>
      </c>
      <c r="AN251" s="1">
        <v>10550</v>
      </c>
      <c r="AO251" s="1">
        <v>10270</v>
      </c>
      <c r="AP251" s="1">
        <v>11030</v>
      </c>
      <c r="AQ251" s="1">
        <v>12350</v>
      </c>
      <c r="AR251" s="1">
        <v>11220</v>
      </c>
      <c r="AS251" s="1">
        <v>10930</v>
      </c>
      <c r="AT251" s="1">
        <v>10500</v>
      </c>
      <c r="AU251" s="1">
        <v>9420</v>
      </c>
      <c r="AV251" s="1">
        <v>12400</v>
      </c>
      <c r="AW251" s="1">
        <v>15060</v>
      </c>
      <c r="AX251" s="1">
        <v>12020</v>
      </c>
      <c r="AY251" s="1">
        <v>11100</v>
      </c>
      <c r="AZ251" s="1">
        <v>9960</v>
      </c>
      <c r="BA251" s="1">
        <v>8000</v>
      </c>
      <c r="BB251" s="1">
        <v>7030</v>
      </c>
      <c r="BC251" s="1">
        <v>7230</v>
      </c>
      <c r="BD251" s="1">
        <v>7780</v>
      </c>
      <c r="BE251" s="1">
        <v>7170</v>
      </c>
      <c r="BF251" s="1">
        <v>6830</v>
      </c>
      <c r="BG251" s="1">
        <v>6100</v>
      </c>
      <c r="BH251" s="1">
        <v>6390</v>
      </c>
      <c r="BI251" s="1">
        <v>6320</v>
      </c>
      <c r="BJ251" s="1">
        <v>6230</v>
      </c>
      <c r="BK251" s="1">
        <v>5510</v>
      </c>
      <c r="BL251" s="1">
        <v>5460</v>
      </c>
      <c r="BM251" s="1">
        <v>5310</v>
      </c>
      <c r="BN251" s="1">
        <v>4370</v>
      </c>
      <c r="BO251" s="1">
        <v>4125</v>
      </c>
      <c r="BP251" s="1">
        <v>4030</v>
      </c>
    </row>
    <row r="252" spans="1:68">
      <c r="A252" s="65" t="s">
        <v>465</v>
      </c>
      <c r="B252" s="1" t="str">
        <f>銘柄管理!C252</f>
        <v/>
      </c>
      <c r="C252" s="1" t="str">
        <f>_xll.RssMarket("300A","安値")</f>
        <v/>
      </c>
      <c r="E252" s="1">
        <v>2847</v>
      </c>
      <c r="F252" s="1">
        <v>2820</v>
      </c>
      <c r="G252" s="1">
        <v>2821</v>
      </c>
      <c r="H252" s="1">
        <v>2831</v>
      </c>
      <c r="I252" s="1">
        <v>2873</v>
      </c>
      <c r="J252" s="1">
        <v>2860</v>
      </c>
      <c r="K252" s="1">
        <v>2882</v>
      </c>
      <c r="L252" s="1">
        <v>2871</v>
      </c>
      <c r="M252" s="1">
        <v>2902</v>
      </c>
      <c r="N252" s="1">
        <v>2909</v>
      </c>
      <c r="O252" s="1">
        <v>2917</v>
      </c>
      <c r="P252" s="1">
        <v>2887</v>
      </c>
      <c r="Q252" s="1">
        <v>2900</v>
      </c>
      <c r="R252" s="1">
        <v>2850</v>
      </c>
      <c r="S252" s="1">
        <v>2766</v>
      </c>
      <c r="T252" s="1">
        <v>2765</v>
      </c>
      <c r="U252" s="1">
        <v>2751</v>
      </c>
      <c r="V252" s="1">
        <v>2792</v>
      </c>
      <c r="W252" s="1">
        <v>2790</v>
      </c>
      <c r="X252" s="1">
        <v>2773</v>
      </c>
      <c r="Y252" s="1">
        <v>2725</v>
      </c>
      <c r="Z252" s="1">
        <v>2810</v>
      </c>
      <c r="AA252" s="1">
        <v>2797</v>
      </c>
      <c r="AB252" s="1">
        <v>2775</v>
      </c>
      <c r="AC252" s="1">
        <v>2764</v>
      </c>
      <c r="AD252" s="1">
        <v>2737</v>
      </c>
      <c r="AE252" s="1">
        <v>2797</v>
      </c>
      <c r="AF252" s="1">
        <v>2719</v>
      </c>
      <c r="AG252" s="1">
        <v>2754</v>
      </c>
      <c r="AH252" s="1">
        <v>2733</v>
      </c>
      <c r="AI252" s="1">
        <v>2753</v>
      </c>
      <c r="AJ252" s="1">
        <v>2752</v>
      </c>
      <c r="AK252" s="1">
        <v>2835</v>
      </c>
      <c r="AL252" s="1">
        <v>2810</v>
      </c>
      <c r="AM252" s="1">
        <v>2833</v>
      </c>
      <c r="AN252" s="1">
        <v>2869</v>
      </c>
      <c r="AO252" s="1">
        <v>2864</v>
      </c>
      <c r="AP252" s="1">
        <v>2836</v>
      </c>
      <c r="AQ252" s="1">
        <v>2874</v>
      </c>
      <c r="AR252" s="1">
        <v>2848</v>
      </c>
      <c r="AS252" s="1">
        <v>2748</v>
      </c>
      <c r="AT252" s="1">
        <v>2904</v>
      </c>
      <c r="AU252" s="1">
        <v>2595</v>
      </c>
      <c r="AV252" s="1">
        <v>2753</v>
      </c>
      <c r="AW252" s="1">
        <v>2731</v>
      </c>
      <c r="AX252" s="1">
        <v>2777</v>
      </c>
      <c r="AY252" s="1">
        <v>2709</v>
      </c>
      <c r="AZ252" s="1">
        <v>2733</v>
      </c>
      <c r="BA252" s="1">
        <v>2687</v>
      </c>
      <c r="BB252" s="1">
        <v>2747</v>
      </c>
      <c r="BC252" s="1">
        <v>2783</v>
      </c>
      <c r="BD252" s="1">
        <v>2720</v>
      </c>
      <c r="BE252" s="1">
        <v>2859</v>
      </c>
      <c r="BF252" s="1">
        <v>2931</v>
      </c>
      <c r="BG252" s="1">
        <v>3045</v>
      </c>
      <c r="BH252" s="1">
        <v>3005</v>
      </c>
      <c r="BI252" s="1">
        <v>2982</v>
      </c>
      <c r="BJ252" s="1">
        <v>2964</v>
      </c>
      <c r="BK252" s="1">
        <v>2964</v>
      </c>
      <c r="BL252" s="1">
        <v>2879</v>
      </c>
      <c r="BM252" s="1">
        <v>2868</v>
      </c>
      <c r="BN252" s="1">
        <v>2828</v>
      </c>
      <c r="BO252" s="1">
        <v>2853</v>
      </c>
      <c r="BP252" s="1">
        <v>2768</v>
      </c>
    </row>
    <row r="253" spans="1:68">
      <c r="A253" s="65" t="s">
        <v>466</v>
      </c>
      <c r="B253" s="1" t="str">
        <f>銘柄管理!C253</f>
        <v/>
      </c>
      <c r="C253" s="1" t="str">
        <f>_xll.RssMarket("4776","安値")</f>
        <v/>
      </c>
      <c r="E253" s="1">
        <v>2539</v>
      </c>
      <c r="F253" s="1">
        <v>2514</v>
      </c>
      <c r="G253" s="1">
        <v>2580</v>
      </c>
      <c r="H253" s="1">
        <v>2548</v>
      </c>
      <c r="I253" s="1">
        <v>2586</v>
      </c>
      <c r="J253" s="1">
        <v>2490</v>
      </c>
      <c r="K253" s="1">
        <v>2565</v>
      </c>
      <c r="L253" s="1">
        <v>2569</v>
      </c>
      <c r="M253" s="1">
        <v>2490</v>
      </c>
      <c r="N253" s="1">
        <v>2484</v>
      </c>
      <c r="O253" s="1">
        <v>2373</v>
      </c>
      <c r="P253" s="1">
        <v>2231</v>
      </c>
      <c r="Q253" s="1">
        <v>2253</v>
      </c>
      <c r="R253" s="1">
        <v>2265</v>
      </c>
      <c r="S253" s="1">
        <v>2106</v>
      </c>
      <c r="T253" s="1">
        <v>2151</v>
      </c>
      <c r="U253" s="1">
        <v>2181</v>
      </c>
      <c r="V253" s="1">
        <v>2212</v>
      </c>
      <c r="W253" s="1">
        <v>2280</v>
      </c>
      <c r="X253" s="1">
        <v>2307</v>
      </c>
      <c r="Y253" s="1">
        <v>2301</v>
      </c>
      <c r="Z253" s="1">
        <v>2266</v>
      </c>
      <c r="AA253" s="1">
        <v>2285</v>
      </c>
      <c r="AB253" s="1">
        <v>2306</v>
      </c>
      <c r="AC253" s="1">
        <v>2235</v>
      </c>
      <c r="AD253" s="1">
        <v>2274</v>
      </c>
      <c r="AE253" s="1">
        <v>2309</v>
      </c>
      <c r="AF253" s="1">
        <v>2361</v>
      </c>
      <c r="AG253" s="1">
        <v>2425</v>
      </c>
      <c r="AH253" s="1">
        <v>2385</v>
      </c>
      <c r="AI253" s="1">
        <v>2468</v>
      </c>
      <c r="AJ253" s="1">
        <v>2572</v>
      </c>
      <c r="AK253" s="1">
        <v>2537</v>
      </c>
      <c r="AL253" s="1">
        <v>2506</v>
      </c>
      <c r="AM253" s="1">
        <v>2523</v>
      </c>
      <c r="AN253" s="1">
        <v>2500</v>
      </c>
      <c r="AO253" s="1">
        <v>2474</v>
      </c>
      <c r="AP253" s="1">
        <v>2469</v>
      </c>
      <c r="AQ253" s="1">
        <v>2416</v>
      </c>
      <c r="AR253" s="1">
        <v>2372</v>
      </c>
      <c r="AS253" s="1">
        <v>2320</v>
      </c>
      <c r="AT253" s="1">
        <v>2265</v>
      </c>
      <c r="AU253" s="1">
        <v>2086</v>
      </c>
      <c r="AV253" s="1">
        <v>2126</v>
      </c>
      <c r="AW253" s="1">
        <v>2115</v>
      </c>
      <c r="AX253" s="1">
        <v>2150</v>
      </c>
      <c r="AY253" s="1">
        <v>2108</v>
      </c>
      <c r="AZ253" s="1">
        <v>2047</v>
      </c>
      <c r="BA253" s="1">
        <v>2076</v>
      </c>
      <c r="BB253" s="1">
        <v>2050</v>
      </c>
      <c r="BC253" s="1">
        <v>2099</v>
      </c>
      <c r="BD253" s="1">
        <v>2098</v>
      </c>
      <c r="BE253" s="1">
        <v>2095</v>
      </c>
      <c r="BF253" s="1">
        <v>2086</v>
      </c>
      <c r="BG253" s="1">
        <v>2136</v>
      </c>
      <c r="BH253" s="1">
        <v>2133</v>
      </c>
      <c r="BI253" s="1">
        <v>2177</v>
      </c>
      <c r="BJ253" s="1">
        <v>2226</v>
      </c>
      <c r="BK253" s="1">
        <v>2185</v>
      </c>
      <c r="BL253" s="1">
        <v>2064</v>
      </c>
      <c r="BM253" s="1">
        <v>2014</v>
      </c>
      <c r="BN253" s="1">
        <v>1948</v>
      </c>
      <c r="BO253" s="1">
        <v>1965</v>
      </c>
      <c r="BP253" s="1">
        <v>2034</v>
      </c>
    </row>
    <row r="254" spans="1:68">
      <c r="A254" s="65" t="s">
        <v>467</v>
      </c>
      <c r="B254" s="1" t="str">
        <f>銘柄管理!C254</f>
        <v/>
      </c>
      <c r="C254" s="1" t="str">
        <f>_xll.RssMarket("4704","安値")</f>
        <v/>
      </c>
      <c r="E254" s="1">
        <v>6390</v>
      </c>
      <c r="F254" s="1">
        <v>6310</v>
      </c>
      <c r="G254" s="1">
        <v>6275</v>
      </c>
      <c r="H254" s="1">
        <v>6127</v>
      </c>
      <c r="I254" s="1">
        <v>6175</v>
      </c>
      <c r="J254" s="1">
        <v>6165</v>
      </c>
      <c r="K254" s="1">
        <v>6174</v>
      </c>
      <c r="L254" s="1">
        <v>6309</v>
      </c>
      <c r="M254" s="1">
        <v>6236</v>
      </c>
      <c r="N254" s="1">
        <v>6255</v>
      </c>
      <c r="O254" s="1">
        <v>6181</v>
      </c>
      <c r="P254" s="1">
        <v>5885</v>
      </c>
      <c r="Q254" s="1">
        <v>5917</v>
      </c>
      <c r="R254" s="1">
        <v>5750</v>
      </c>
      <c r="S254" s="1">
        <v>5500</v>
      </c>
      <c r="T254" s="1">
        <v>5566</v>
      </c>
      <c r="U254" s="1">
        <v>5528</v>
      </c>
      <c r="V254" s="1">
        <v>5419</v>
      </c>
      <c r="W254" s="1">
        <v>5606</v>
      </c>
      <c r="X254" s="1">
        <v>5727</v>
      </c>
      <c r="Y254" s="1">
        <v>5717</v>
      </c>
      <c r="Z254" s="1">
        <v>5662</v>
      </c>
      <c r="AA254" s="1">
        <v>5833</v>
      </c>
      <c r="AB254" s="1">
        <v>5900</v>
      </c>
      <c r="AC254" s="1">
        <v>6092</v>
      </c>
      <c r="AD254" s="1">
        <v>6113</v>
      </c>
      <c r="AE254" s="1">
        <v>6302</v>
      </c>
      <c r="AF254" s="1">
        <v>6615</v>
      </c>
      <c r="AG254" s="1">
        <v>6040</v>
      </c>
      <c r="AH254" s="1">
        <v>6103</v>
      </c>
      <c r="AI254" s="1">
        <v>6310</v>
      </c>
      <c r="AJ254" s="1">
        <v>5977</v>
      </c>
      <c r="AK254" s="1">
        <v>5865</v>
      </c>
      <c r="AL254" s="1">
        <v>5993</v>
      </c>
      <c r="AM254" s="1">
        <v>6072</v>
      </c>
      <c r="AN254" s="1">
        <v>6009</v>
      </c>
      <c r="AO254" s="1">
        <v>5861</v>
      </c>
      <c r="AP254" s="1">
        <v>5854</v>
      </c>
      <c r="AQ254" s="1">
        <v>6024</v>
      </c>
      <c r="AR254" s="1">
        <v>5682</v>
      </c>
      <c r="AS254" s="1">
        <v>5307</v>
      </c>
      <c r="AT254" s="1">
        <v>5375</v>
      </c>
      <c r="AU254" s="1">
        <v>5605</v>
      </c>
      <c r="AV254" s="1">
        <v>5569</v>
      </c>
      <c r="AW254" s="1">
        <v>5612</v>
      </c>
      <c r="AX254" s="1">
        <v>5581</v>
      </c>
      <c r="AY254" s="1">
        <v>5259</v>
      </c>
      <c r="AZ254" s="1">
        <v>5226</v>
      </c>
      <c r="BA254" s="1">
        <v>5386</v>
      </c>
      <c r="BB254" s="1">
        <v>5468</v>
      </c>
      <c r="BC254" s="1">
        <v>5476</v>
      </c>
      <c r="BD254" s="1">
        <v>5560</v>
      </c>
      <c r="BE254" s="1">
        <v>5682</v>
      </c>
      <c r="BF254" s="1">
        <v>5853</v>
      </c>
      <c r="BG254" s="1">
        <v>5863</v>
      </c>
      <c r="BH254" s="1">
        <v>5756</v>
      </c>
      <c r="BI254" s="1">
        <v>5965</v>
      </c>
      <c r="BJ254" s="1">
        <v>5826</v>
      </c>
      <c r="BK254" s="1">
        <v>5424</v>
      </c>
      <c r="BL254" s="1">
        <v>5267</v>
      </c>
      <c r="BM254" s="1">
        <v>5065</v>
      </c>
      <c r="BN254" s="1">
        <v>5094</v>
      </c>
      <c r="BO254" s="1">
        <v>5313</v>
      </c>
      <c r="BP254" s="1">
        <v>5496</v>
      </c>
    </row>
    <row r="255" spans="1:68">
      <c r="A255" s="65" t="s">
        <v>468</v>
      </c>
      <c r="B255" s="1" t="str">
        <f>銘柄管理!C255</f>
        <v/>
      </c>
      <c r="C255" s="1" t="str">
        <f>_xll.RssMarket("6370","安値")</f>
        <v/>
      </c>
      <c r="E255" s="1">
        <v>8383</v>
      </c>
      <c r="F255" s="1">
        <v>9114</v>
      </c>
      <c r="G255" s="1">
        <v>8820</v>
      </c>
      <c r="H255" s="1">
        <v>8982</v>
      </c>
      <c r="I255" s="1">
        <v>8973</v>
      </c>
      <c r="J255" s="1">
        <v>8759</v>
      </c>
      <c r="K255" s="1">
        <v>8615</v>
      </c>
      <c r="L255" s="1">
        <v>8939</v>
      </c>
      <c r="M255" s="1">
        <v>9382</v>
      </c>
      <c r="N255" s="1">
        <v>8876</v>
      </c>
      <c r="O255" s="1">
        <v>9012</v>
      </c>
      <c r="P255" s="1">
        <v>9336</v>
      </c>
      <c r="Q255" s="1">
        <v>9024</v>
      </c>
      <c r="R255" s="1">
        <v>8726</v>
      </c>
      <c r="S255" s="1">
        <v>8949</v>
      </c>
      <c r="T255" s="1">
        <v>9328</v>
      </c>
      <c r="U255" s="1">
        <v>9000</v>
      </c>
      <c r="V255" s="1">
        <v>9274</v>
      </c>
      <c r="W255" s="1">
        <v>9486</v>
      </c>
      <c r="X255" s="1">
        <v>9476</v>
      </c>
      <c r="Y255" s="1">
        <v>9325</v>
      </c>
      <c r="Z255" s="1">
        <v>9206</v>
      </c>
      <c r="AA255" s="1">
        <v>8700</v>
      </c>
      <c r="AB255" s="1">
        <v>8524</v>
      </c>
      <c r="AC255" s="1">
        <v>8267</v>
      </c>
      <c r="AD255" s="1">
        <v>7740</v>
      </c>
      <c r="AE255" s="1">
        <v>8125</v>
      </c>
      <c r="AF255" s="1">
        <v>8148</v>
      </c>
      <c r="AG255" s="1">
        <v>8660</v>
      </c>
      <c r="AH255" s="1">
        <v>8702</v>
      </c>
      <c r="AI255" s="1">
        <v>8653</v>
      </c>
      <c r="AJ255" s="1">
        <v>8327</v>
      </c>
      <c r="AK255" s="1">
        <v>8662</v>
      </c>
      <c r="AL255" s="1">
        <v>8535</v>
      </c>
      <c r="AM255" s="1">
        <v>8725</v>
      </c>
      <c r="AN255" s="1">
        <v>8735</v>
      </c>
      <c r="AO255" s="1">
        <v>8684</v>
      </c>
      <c r="AP255" s="1">
        <v>8456</v>
      </c>
      <c r="AQ255" s="1">
        <v>8276</v>
      </c>
      <c r="AR255" s="1">
        <v>8738</v>
      </c>
      <c r="AS255" s="1">
        <v>8661</v>
      </c>
      <c r="AT255" s="1">
        <v>8910</v>
      </c>
      <c r="AU255" s="1">
        <v>8802</v>
      </c>
      <c r="AV255" s="1">
        <v>8713</v>
      </c>
      <c r="AW255" s="1">
        <v>8936</v>
      </c>
      <c r="AX255" s="1">
        <v>8786</v>
      </c>
      <c r="AY255" s="1">
        <v>8278</v>
      </c>
      <c r="AZ255" s="1">
        <v>8209</v>
      </c>
      <c r="BA255" s="1">
        <v>8044</v>
      </c>
      <c r="BB255" s="1">
        <v>8372</v>
      </c>
      <c r="BC255" s="1">
        <v>8251</v>
      </c>
      <c r="BD255" s="1">
        <v>7811</v>
      </c>
      <c r="BE255" s="1">
        <v>7767</v>
      </c>
      <c r="BF255" s="1">
        <v>7708</v>
      </c>
      <c r="BG255" s="1">
        <v>7818</v>
      </c>
      <c r="BH255" s="1">
        <v>8015</v>
      </c>
      <c r="BI255" s="1">
        <v>8065</v>
      </c>
      <c r="BJ255" s="1">
        <v>8010</v>
      </c>
      <c r="BK255" s="1">
        <v>7882</v>
      </c>
      <c r="BL255" s="1">
        <v>7860</v>
      </c>
      <c r="BM255" s="1">
        <v>7915</v>
      </c>
      <c r="BN255" s="1">
        <v>8031</v>
      </c>
      <c r="BO255" s="1">
        <v>8014</v>
      </c>
      <c r="BP255" s="1">
        <v>8046</v>
      </c>
    </row>
    <row r="256" spans="1:68">
      <c r="A256" s="65" t="s">
        <v>469</v>
      </c>
      <c r="B256" s="1" t="str">
        <f>銘柄管理!C256</f>
        <v/>
      </c>
      <c r="C256" s="1" t="str">
        <f>_xll.RssMarket("7014","安値")</f>
        <v/>
      </c>
      <c r="E256" s="1">
        <v>3650</v>
      </c>
      <c r="F256" s="1">
        <v>3880</v>
      </c>
      <c r="G256" s="1">
        <v>3660</v>
      </c>
      <c r="H256" s="1">
        <v>3760</v>
      </c>
      <c r="I256" s="1">
        <v>3740</v>
      </c>
      <c r="J256" s="1">
        <v>3720</v>
      </c>
      <c r="K256" s="1">
        <v>3890</v>
      </c>
      <c r="L256" s="1">
        <v>4085</v>
      </c>
      <c r="M256" s="1">
        <v>3660</v>
      </c>
      <c r="N256" s="1">
        <v>3535</v>
      </c>
      <c r="O256" s="1">
        <v>3510</v>
      </c>
      <c r="P256" s="1">
        <v>3505</v>
      </c>
      <c r="Q256" s="1">
        <v>3520</v>
      </c>
      <c r="R256" s="1">
        <v>3540</v>
      </c>
      <c r="S256" s="1">
        <v>3620</v>
      </c>
      <c r="T256" s="1">
        <v>3605</v>
      </c>
      <c r="U256" s="1">
        <v>3630</v>
      </c>
      <c r="V256" s="1">
        <v>3620</v>
      </c>
      <c r="W256" s="1">
        <v>3705</v>
      </c>
      <c r="X256" s="1">
        <v>3750</v>
      </c>
      <c r="Y256" s="1">
        <v>3835</v>
      </c>
      <c r="Z256" s="1">
        <v>3750</v>
      </c>
      <c r="AA256" s="1">
        <v>3720</v>
      </c>
      <c r="AB256" s="1">
        <v>3655</v>
      </c>
      <c r="AC256" s="1">
        <v>3425</v>
      </c>
      <c r="AD256" s="1">
        <v>3250</v>
      </c>
      <c r="AE256" s="1">
        <v>3385</v>
      </c>
      <c r="AF256" s="1">
        <v>3525</v>
      </c>
      <c r="AG256" s="1">
        <v>3645</v>
      </c>
      <c r="AH256" s="1">
        <v>3420</v>
      </c>
      <c r="AI256" s="1">
        <v>3405</v>
      </c>
      <c r="AJ256" s="1">
        <v>3325</v>
      </c>
      <c r="AK256" s="1">
        <v>3605</v>
      </c>
      <c r="AL256" s="1">
        <v>3755</v>
      </c>
      <c r="AM256" s="1">
        <v>4030</v>
      </c>
      <c r="AN256" s="1">
        <v>3925</v>
      </c>
      <c r="AO256" s="1">
        <v>3725</v>
      </c>
      <c r="AP256" s="1">
        <v>8456</v>
      </c>
      <c r="AQ256" s="1">
        <v>8276</v>
      </c>
      <c r="AR256" s="1">
        <v>8738</v>
      </c>
      <c r="AS256" s="1">
        <v>8661</v>
      </c>
      <c r="AT256" s="1">
        <v>8910</v>
      </c>
      <c r="AU256" s="1">
        <v>8802</v>
      </c>
      <c r="AV256" s="1">
        <v>8713</v>
      </c>
      <c r="AW256" s="1">
        <v>8936</v>
      </c>
      <c r="AX256" s="1">
        <v>8786</v>
      </c>
      <c r="AY256" s="1">
        <v>8278</v>
      </c>
      <c r="AZ256" s="1">
        <v>8209</v>
      </c>
      <c r="BA256" s="1">
        <v>8044</v>
      </c>
      <c r="BB256" s="1">
        <v>8372</v>
      </c>
      <c r="BC256" s="1">
        <v>8251</v>
      </c>
      <c r="BD256" s="1">
        <v>7811</v>
      </c>
      <c r="BE256" s="1">
        <v>7767</v>
      </c>
      <c r="BF256" s="1">
        <v>7708</v>
      </c>
      <c r="BG256" s="1">
        <v>7818</v>
      </c>
      <c r="BH256" s="1">
        <v>8015</v>
      </c>
      <c r="BI256" s="1">
        <v>8065</v>
      </c>
      <c r="BJ256" s="1">
        <v>8010</v>
      </c>
      <c r="BK256" s="1">
        <v>7882</v>
      </c>
      <c r="BL256" s="1">
        <v>7860</v>
      </c>
      <c r="BM256" s="1">
        <v>7915</v>
      </c>
      <c r="BN256" s="1">
        <v>8031</v>
      </c>
      <c r="BO256" s="1">
        <v>8014</v>
      </c>
      <c r="BP256" s="1">
        <v>8046</v>
      </c>
    </row>
    <row r="257" spans="1:68">
      <c r="A257" s="65" t="s">
        <v>470</v>
      </c>
      <c r="B257" s="1" t="str">
        <f>銘柄管理!C257</f>
        <v/>
      </c>
      <c r="C257" s="1" t="str">
        <f>_xll.RssMarket("9880","安値")</f>
        <v/>
      </c>
      <c r="E257" s="1">
        <v>3115</v>
      </c>
      <c r="F257" s="1">
        <v>3465</v>
      </c>
      <c r="G257" s="1">
        <v>3405</v>
      </c>
      <c r="H257" s="1">
        <v>3450</v>
      </c>
      <c r="I257" s="1">
        <v>3570</v>
      </c>
      <c r="J257" s="1">
        <v>3495</v>
      </c>
      <c r="K257" s="1">
        <v>3410</v>
      </c>
      <c r="L257" s="1">
        <v>3540</v>
      </c>
      <c r="M257" s="1">
        <v>3710</v>
      </c>
      <c r="N257" s="1">
        <v>3570</v>
      </c>
      <c r="O257" s="1">
        <v>3750</v>
      </c>
      <c r="P257" s="1">
        <v>3865</v>
      </c>
      <c r="Q257" s="1">
        <v>3895</v>
      </c>
      <c r="R257" s="1">
        <v>3835</v>
      </c>
      <c r="S257" s="1">
        <v>4010</v>
      </c>
      <c r="T257" s="1">
        <v>4255</v>
      </c>
      <c r="U257" s="1">
        <v>4105</v>
      </c>
      <c r="V257" s="1">
        <v>4310</v>
      </c>
      <c r="W257" s="1">
        <v>4330</v>
      </c>
      <c r="X257" s="1">
        <v>4230</v>
      </c>
      <c r="Y257" s="1">
        <v>4175</v>
      </c>
      <c r="Z257" s="1">
        <v>3840</v>
      </c>
      <c r="AA257" s="1">
        <v>3930</v>
      </c>
      <c r="AB257" s="1">
        <v>4035</v>
      </c>
      <c r="AC257" s="1">
        <v>3950</v>
      </c>
      <c r="AD257" s="1">
        <v>3875</v>
      </c>
      <c r="AE257" s="1">
        <v>4045</v>
      </c>
      <c r="AF257" s="1">
        <v>4040</v>
      </c>
      <c r="AG257" s="1">
        <v>4180</v>
      </c>
      <c r="AH257" s="1">
        <v>4300</v>
      </c>
      <c r="AI257" s="1">
        <v>4285</v>
      </c>
      <c r="AJ257" s="1">
        <v>4100</v>
      </c>
      <c r="AK257" s="1">
        <v>4185</v>
      </c>
      <c r="AL257" s="1">
        <v>4105</v>
      </c>
      <c r="AM257" s="1">
        <v>4300</v>
      </c>
      <c r="AN257" s="1">
        <v>4330</v>
      </c>
      <c r="AO257" s="1">
        <v>4225</v>
      </c>
      <c r="AP257" s="1">
        <v>4230</v>
      </c>
      <c r="AQ257" s="1">
        <v>3995</v>
      </c>
      <c r="AR257" s="1">
        <v>4230</v>
      </c>
      <c r="AS257" s="1">
        <v>4225</v>
      </c>
      <c r="AT257" s="1">
        <v>3745</v>
      </c>
      <c r="AU257" s="1">
        <v>3265</v>
      </c>
      <c r="AV257" s="1">
        <v>3215</v>
      </c>
      <c r="AW257" s="1">
        <v>3325</v>
      </c>
      <c r="AX257" s="1">
        <v>3270</v>
      </c>
      <c r="AY257" s="1">
        <v>3120</v>
      </c>
      <c r="AZ257" s="1">
        <v>2950</v>
      </c>
      <c r="BA257" s="1">
        <v>2741</v>
      </c>
      <c r="BB257" s="1">
        <v>2767</v>
      </c>
      <c r="BC257" s="1">
        <v>2721</v>
      </c>
      <c r="BD257" s="1">
        <v>2710</v>
      </c>
      <c r="BE257" s="1">
        <v>2633</v>
      </c>
      <c r="BF257" s="1">
        <v>2613</v>
      </c>
      <c r="BG257" s="1">
        <v>2657</v>
      </c>
      <c r="BH257" s="1">
        <v>2728</v>
      </c>
      <c r="BI257" s="1">
        <v>2746</v>
      </c>
      <c r="BJ257" s="1">
        <v>2806</v>
      </c>
      <c r="BK257" s="1">
        <v>2860</v>
      </c>
      <c r="BL257" s="1">
        <v>2809</v>
      </c>
      <c r="BM257" s="1">
        <v>2639</v>
      </c>
      <c r="BN257" s="1">
        <v>2560</v>
      </c>
      <c r="BO257" s="1">
        <v>2556</v>
      </c>
      <c r="BP257" s="1">
        <v>2551</v>
      </c>
    </row>
    <row r="258" spans="1:68">
      <c r="A258" s="65" t="s">
        <v>471</v>
      </c>
      <c r="B258" s="1" t="str">
        <f>銘柄管理!C258</f>
        <v/>
      </c>
      <c r="C258" s="1" t="str">
        <f>_xll.RssMarket("5253","安値")</f>
        <v/>
      </c>
      <c r="E258" s="1">
        <v>1619</v>
      </c>
      <c r="F258" s="1">
        <v>1650</v>
      </c>
      <c r="G258" s="1">
        <v>1645</v>
      </c>
      <c r="H258" s="1">
        <v>1591</v>
      </c>
      <c r="I258" s="1">
        <v>1583</v>
      </c>
      <c r="J258" s="1">
        <v>1533</v>
      </c>
      <c r="K258" s="1">
        <v>1569</v>
      </c>
      <c r="L258" s="1">
        <v>1581</v>
      </c>
      <c r="M258" s="1">
        <v>1544</v>
      </c>
      <c r="N258" s="1">
        <v>1446</v>
      </c>
      <c r="O258" s="1">
        <v>1381</v>
      </c>
      <c r="P258" s="1">
        <v>1315</v>
      </c>
      <c r="Q258" s="1">
        <v>1310</v>
      </c>
      <c r="R258" s="1">
        <v>1215</v>
      </c>
      <c r="S258" s="1">
        <v>1141</v>
      </c>
      <c r="T258" s="1">
        <v>1164</v>
      </c>
      <c r="U258" s="1">
        <v>1163</v>
      </c>
      <c r="V258" s="1">
        <v>1197</v>
      </c>
      <c r="W258" s="1">
        <v>1259</v>
      </c>
      <c r="X258" s="1">
        <v>1280</v>
      </c>
      <c r="Y258" s="1">
        <v>1424</v>
      </c>
      <c r="Z258" s="1">
        <v>1403</v>
      </c>
      <c r="AA258" s="1">
        <v>1381</v>
      </c>
      <c r="AB258" s="1">
        <v>1412</v>
      </c>
      <c r="AC258" s="1">
        <v>1418</v>
      </c>
      <c r="AD258" s="1">
        <v>1422</v>
      </c>
      <c r="AE258" s="1">
        <v>1505</v>
      </c>
      <c r="AF258" s="1">
        <v>1585</v>
      </c>
      <c r="AG258" s="1">
        <v>1618</v>
      </c>
      <c r="AH258" s="1">
        <v>1586</v>
      </c>
      <c r="AI258" s="1">
        <v>1537</v>
      </c>
      <c r="AJ258" s="1">
        <v>1576</v>
      </c>
      <c r="AK258" s="1">
        <v>1513</v>
      </c>
      <c r="AL258" s="1">
        <v>1527</v>
      </c>
      <c r="AM258" s="1">
        <v>1654</v>
      </c>
      <c r="AN258" s="1">
        <v>1726</v>
      </c>
      <c r="AO258" s="1">
        <v>1631</v>
      </c>
      <c r="AP258" s="1">
        <v>1642</v>
      </c>
      <c r="AQ258" s="1">
        <v>1587</v>
      </c>
      <c r="AR258" s="1">
        <v>1498</v>
      </c>
      <c r="AS258" s="1">
        <v>1323</v>
      </c>
      <c r="AT258" s="1">
        <v>1402</v>
      </c>
      <c r="AU258" s="1">
        <v>1403</v>
      </c>
      <c r="AV258" s="1">
        <v>1374</v>
      </c>
      <c r="AW258" s="1">
        <v>1403</v>
      </c>
      <c r="AX258" s="1">
        <v>1408</v>
      </c>
      <c r="AY258" s="1">
        <v>1371</v>
      </c>
      <c r="AZ258" s="1">
        <v>1365</v>
      </c>
      <c r="BA258" s="1">
        <v>1350</v>
      </c>
      <c r="BB258" s="1">
        <v>1365</v>
      </c>
      <c r="BC258" s="1">
        <v>1350</v>
      </c>
      <c r="BD258" s="1">
        <v>1377</v>
      </c>
      <c r="BE258" s="1">
        <v>1390</v>
      </c>
      <c r="BF258" s="1">
        <v>1418</v>
      </c>
      <c r="BG258" s="1">
        <v>1440</v>
      </c>
      <c r="BH258" s="1">
        <v>1442</v>
      </c>
      <c r="BI258" s="1">
        <v>1451</v>
      </c>
      <c r="BJ258" s="1">
        <v>1441</v>
      </c>
      <c r="BK258" s="1">
        <v>1452</v>
      </c>
      <c r="BL258" s="1">
        <v>1427</v>
      </c>
      <c r="BM258" s="1">
        <v>1402</v>
      </c>
      <c r="BN258" s="1">
        <v>1409</v>
      </c>
      <c r="BO258" s="1">
        <v>1446</v>
      </c>
      <c r="BP258" s="1">
        <v>1431</v>
      </c>
    </row>
    <row r="259" spans="1:68">
      <c r="A259" s="65" t="s">
        <v>472</v>
      </c>
      <c r="B259" s="1" t="str">
        <f>銘柄管理!C259</f>
        <v/>
      </c>
      <c r="C259" s="1" t="str">
        <f>_xll.RssMarket("9104","安値")</f>
        <v/>
      </c>
      <c r="E259" s="1">
        <v>5534</v>
      </c>
      <c r="F259" s="1">
        <v>5522</v>
      </c>
      <c r="G259" s="1">
        <v>5370</v>
      </c>
      <c r="H259" s="1">
        <v>5330</v>
      </c>
      <c r="I259" s="1">
        <v>5318</v>
      </c>
      <c r="J259" s="1">
        <v>5425</v>
      </c>
      <c r="K259" s="1">
        <v>5328</v>
      </c>
      <c r="L259" s="1">
        <v>5171</v>
      </c>
      <c r="M259" s="1">
        <v>5195</v>
      </c>
      <c r="N259" s="1">
        <v>5170</v>
      </c>
      <c r="O259" s="1">
        <v>5045</v>
      </c>
      <c r="P259" s="1">
        <v>5010</v>
      </c>
      <c r="Q259" s="1">
        <v>5212</v>
      </c>
      <c r="R259" s="1">
        <v>5218</v>
      </c>
      <c r="S259" s="1">
        <v>5195</v>
      </c>
      <c r="T259" s="1">
        <v>5210</v>
      </c>
      <c r="U259" s="1">
        <v>5350</v>
      </c>
      <c r="V259" s="1">
        <v>5254</v>
      </c>
      <c r="W259" s="1">
        <v>5231</v>
      </c>
      <c r="X259" s="1">
        <v>5233</v>
      </c>
      <c r="Y259" s="1">
        <v>5330</v>
      </c>
      <c r="Z259" s="1">
        <v>5372</v>
      </c>
      <c r="AA259" s="1">
        <v>5547</v>
      </c>
      <c r="AB259" s="1">
        <v>5570</v>
      </c>
      <c r="AC259" s="1">
        <v>5681</v>
      </c>
      <c r="AD259" s="1">
        <v>5630</v>
      </c>
      <c r="AE259" s="1">
        <v>5613</v>
      </c>
      <c r="AF259" s="1">
        <v>5677</v>
      </c>
      <c r="AG259" s="1">
        <v>5650</v>
      </c>
      <c r="AH259" s="1">
        <v>5431</v>
      </c>
      <c r="AI259" s="1">
        <v>5382</v>
      </c>
      <c r="AJ259" s="1">
        <v>5361</v>
      </c>
      <c r="AK259" s="1">
        <v>5371</v>
      </c>
      <c r="AL259" s="1">
        <v>5397</v>
      </c>
      <c r="AM259" s="1">
        <v>5430</v>
      </c>
      <c r="AN259" s="1">
        <v>5507</v>
      </c>
      <c r="AO259" s="1">
        <v>5589</v>
      </c>
      <c r="AP259" s="1">
        <v>5703</v>
      </c>
      <c r="AQ259" s="1">
        <v>5680</v>
      </c>
      <c r="AR259" s="1">
        <v>5813</v>
      </c>
      <c r="AS259" s="1">
        <v>5823</v>
      </c>
      <c r="AT259" s="1">
        <v>5809</v>
      </c>
      <c r="AU259" s="1">
        <v>5794</v>
      </c>
      <c r="AV259" s="1">
        <v>5762</v>
      </c>
      <c r="AW259" s="1">
        <v>5751</v>
      </c>
      <c r="AX259" s="1">
        <v>5676</v>
      </c>
      <c r="AY259" s="1">
        <v>5676</v>
      </c>
      <c r="AZ259" s="1">
        <v>5723</v>
      </c>
      <c r="BA259" s="1">
        <v>5789</v>
      </c>
      <c r="BB259" s="1">
        <v>5765</v>
      </c>
      <c r="BC259" s="1">
        <v>5775</v>
      </c>
      <c r="BD259" s="1">
        <v>5761</v>
      </c>
      <c r="BE259" s="1">
        <v>6064</v>
      </c>
      <c r="BF259" s="1">
        <v>5921</v>
      </c>
      <c r="BG259" s="1">
        <v>6051</v>
      </c>
      <c r="BH259" s="1">
        <v>6018</v>
      </c>
      <c r="BI259" s="1">
        <v>6090</v>
      </c>
      <c r="BJ259" s="1">
        <v>6305</v>
      </c>
      <c r="BK259" s="1">
        <v>6267</v>
      </c>
      <c r="BL259" s="1">
        <v>6231</v>
      </c>
      <c r="BM259" s="1">
        <v>6248</v>
      </c>
      <c r="BN259" s="1">
        <v>6382</v>
      </c>
      <c r="BO259" s="1">
        <v>6423</v>
      </c>
      <c r="BP259" s="1">
        <v>6580</v>
      </c>
    </row>
    <row r="260" spans="1:68">
      <c r="A260" s="65" t="s">
        <v>473</v>
      </c>
      <c r="B260" s="1" t="str">
        <f>銘柄管理!C260</f>
        <v/>
      </c>
      <c r="C260" s="1" t="str">
        <f>_xll.RssMarket("6366","安値")</f>
        <v/>
      </c>
      <c r="E260" s="1">
        <v>624</v>
      </c>
      <c r="F260" s="1">
        <v>680</v>
      </c>
      <c r="G260" s="1">
        <v>652</v>
      </c>
      <c r="H260" s="1">
        <v>654</v>
      </c>
      <c r="I260" s="1">
        <v>681</v>
      </c>
      <c r="J260" s="1">
        <v>685</v>
      </c>
      <c r="K260" s="1">
        <v>701</v>
      </c>
      <c r="L260" s="1">
        <v>725</v>
      </c>
      <c r="M260" s="1">
        <v>714</v>
      </c>
      <c r="N260" s="1">
        <v>665</v>
      </c>
      <c r="O260" s="1">
        <v>652</v>
      </c>
      <c r="P260" s="1">
        <v>636</v>
      </c>
      <c r="Q260" s="1">
        <v>667</v>
      </c>
      <c r="R260" s="1">
        <v>659</v>
      </c>
      <c r="S260" s="1">
        <v>666</v>
      </c>
      <c r="T260" s="1">
        <v>687</v>
      </c>
      <c r="U260" s="1">
        <v>695</v>
      </c>
      <c r="V260" s="1">
        <v>704</v>
      </c>
      <c r="W260" s="1">
        <v>715</v>
      </c>
      <c r="X260" s="1">
        <v>744</v>
      </c>
      <c r="Y260" s="1">
        <v>769</v>
      </c>
      <c r="Z260" s="1">
        <v>773</v>
      </c>
      <c r="AA260" s="1">
        <v>736</v>
      </c>
      <c r="AB260" s="1">
        <v>753</v>
      </c>
      <c r="AC260" s="1">
        <v>702</v>
      </c>
      <c r="AD260" s="1">
        <v>644</v>
      </c>
      <c r="AE260" s="1">
        <v>667</v>
      </c>
      <c r="AF260" s="1">
        <v>687</v>
      </c>
      <c r="AG260" s="1">
        <v>712</v>
      </c>
      <c r="AH260" s="1">
        <v>687</v>
      </c>
      <c r="AI260" s="1">
        <v>695</v>
      </c>
      <c r="AJ260" s="1">
        <v>685</v>
      </c>
      <c r="AK260" s="1">
        <v>725</v>
      </c>
      <c r="AL260" s="1">
        <v>771</v>
      </c>
      <c r="AM260" s="1">
        <v>796</v>
      </c>
      <c r="AN260" s="1">
        <v>685</v>
      </c>
      <c r="AO260" s="1">
        <v>703</v>
      </c>
      <c r="AP260" s="1">
        <v>704</v>
      </c>
      <c r="AQ260" s="1">
        <v>759</v>
      </c>
      <c r="AR260" s="1">
        <v>751</v>
      </c>
      <c r="AS260" s="1">
        <v>790</v>
      </c>
      <c r="AT260" s="1">
        <v>803</v>
      </c>
      <c r="AU260" s="1">
        <v>791</v>
      </c>
      <c r="AV260" s="1">
        <v>746</v>
      </c>
      <c r="AW260" s="1">
        <v>843</v>
      </c>
      <c r="AX260" s="1">
        <v>982</v>
      </c>
      <c r="AY260" s="1">
        <v>1020</v>
      </c>
      <c r="AZ260" s="1">
        <v>994</v>
      </c>
      <c r="BA260" s="1">
        <v>1008</v>
      </c>
      <c r="BB260" s="1">
        <v>1027</v>
      </c>
      <c r="BC260" s="1">
        <v>977</v>
      </c>
      <c r="BD260" s="1">
        <v>1018</v>
      </c>
      <c r="BE260" s="1">
        <v>1028</v>
      </c>
      <c r="BF260" s="1">
        <v>1037</v>
      </c>
      <c r="BG260" s="1">
        <v>1061</v>
      </c>
      <c r="BH260" s="1">
        <v>1109</v>
      </c>
      <c r="BI260" s="1">
        <v>1131</v>
      </c>
      <c r="BJ260" s="1">
        <v>1113</v>
      </c>
      <c r="BK260" s="1">
        <v>1100</v>
      </c>
      <c r="BL260" s="1">
        <v>1117</v>
      </c>
      <c r="BM260" s="1">
        <v>1108</v>
      </c>
      <c r="BN260" s="1">
        <v>1131</v>
      </c>
      <c r="BO260" s="1">
        <v>1117</v>
      </c>
      <c r="BP260" s="1">
        <v>1055</v>
      </c>
    </row>
    <row r="261" spans="1:68">
      <c r="A261" s="65" t="s">
        <v>474</v>
      </c>
      <c r="B261" s="1" t="str">
        <f>銘柄管理!C261</f>
        <v/>
      </c>
      <c r="C261" s="1" t="str">
        <f>_xll.RssMarket("6140","安値")</f>
        <v/>
      </c>
      <c r="E261" s="1">
        <v>1125</v>
      </c>
      <c r="F261" s="1">
        <v>1185</v>
      </c>
      <c r="G261" s="1">
        <v>1132</v>
      </c>
      <c r="H261" s="1">
        <v>1152</v>
      </c>
      <c r="I261" s="1">
        <v>1176</v>
      </c>
      <c r="J261" s="1">
        <v>1163</v>
      </c>
      <c r="K261" s="1">
        <v>1158</v>
      </c>
      <c r="L261" s="1">
        <v>1191</v>
      </c>
      <c r="M261" s="1">
        <v>1238</v>
      </c>
      <c r="N261" s="1">
        <v>1190</v>
      </c>
      <c r="O261" s="1">
        <v>1202</v>
      </c>
      <c r="P261" s="1">
        <v>1221</v>
      </c>
      <c r="Q261" s="1">
        <v>1196</v>
      </c>
      <c r="R261" s="1">
        <v>1186</v>
      </c>
      <c r="S261" s="1">
        <v>1205</v>
      </c>
      <c r="T261" s="1">
        <v>1197</v>
      </c>
      <c r="U261" s="1">
        <v>1228</v>
      </c>
      <c r="V261" s="1">
        <v>1310</v>
      </c>
      <c r="W261" s="1">
        <v>1302</v>
      </c>
      <c r="X261" s="1">
        <v>1298</v>
      </c>
      <c r="Y261" s="1">
        <v>1281</v>
      </c>
      <c r="Z261" s="1">
        <v>1262</v>
      </c>
      <c r="AA261" s="1">
        <v>1230</v>
      </c>
      <c r="AB261" s="1">
        <v>1170</v>
      </c>
      <c r="AC261" s="1">
        <v>1212</v>
      </c>
      <c r="AD261" s="1">
        <v>1269</v>
      </c>
      <c r="AE261" s="1">
        <v>1299</v>
      </c>
      <c r="AF261" s="1">
        <v>1297</v>
      </c>
      <c r="AG261" s="1">
        <v>1310</v>
      </c>
      <c r="AH261" s="1">
        <v>1273</v>
      </c>
      <c r="AI261" s="1">
        <v>1343</v>
      </c>
      <c r="AJ261" s="1">
        <v>1306</v>
      </c>
      <c r="AK261" s="1">
        <v>1342</v>
      </c>
      <c r="AL261" s="1">
        <v>1347</v>
      </c>
      <c r="AM261" s="1">
        <v>1268</v>
      </c>
      <c r="AN261" s="1">
        <v>1272</v>
      </c>
      <c r="AO261" s="1">
        <v>1245</v>
      </c>
      <c r="AP261" s="1">
        <v>1244</v>
      </c>
      <c r="AQ261" s="1">
        <v>1267</v>
      </c>
      <c r="AR261" s="1">
        <v>1302</v>
      </c>
      <c r="AS261" s="1">
        <v>1356</v>
      </c>
      <c r="AT261" s="1">
        <v>1331</v>
      </c>
      <c r="AU261" s="1">
        <v>1326</v>
      </c>
      <c r="AV261" s="1">
        <v>1309</v>
      </c>
      <c r="AW261" s="1">
        <v>1296</v>
      </c>
      <c r="AX261" s="1">
        <v>1286</v>
      </c>
      <c r="AY261" s="1">
        <v>1271</v>
      </c>
      <c r="AZ261" s="1">
        <v>1271</v>
      </c>
      <c r="BA261" s="1">
        <v>1286</v>
      </c>
      <c r="BB261" s="1">
        <v>1275</v>
      </c>
      <c r="BC261" s="1">
        <v>1292</v>
      </c>
      <c r="BD261" s="1">
        <v>1250</v>
      </c>
      <c r="BE261" s="1">
        <v>1271</v>
      </c>
      <c r="BF261" s="1">
        <v>1301</v>
      </c>
      <c r="BG261" s="1">
        <v>1308</v>
      </c>
      <c r="BH261" s="1">
        <v>1260</v>
      </c>
      <c r="BI261" s="1">
        <v>1159</v>
      </c>
      <c r="BJ261" s="1">
        <v>1157</v>
      </c>
      <c r="BK261" s="1">
        <v>1167</v>
      </c>
      <c r="BL261" s="1">
        <v>1137</v>
      </c>
      <c r="BM261" s="1">
        <v>1157</v>
      </c>
      <c r="BN261" s="1">
        <v>1152</v>
      </c>
      <c r="BO261" s="1">
        <v>1191</v>
      </c>
      <c r="BP261" s="1">
        <v>1144</v>
      </c>
    </row>
    <row r="262" spans="1:68">
      <c r="A262" s="65" t="s">
        <v>475</v>
      </c>
      <c r="B262" s="1" t="str">
        <f>銘柄管理!C262</f>
        <v/>
      </c>
      <c r="C262" s="1" t="str">
        <f>_xll.RssMarket("1514","安値")</f>
        <v/>
      </c>
      <c r="E262" s="1">
        <v>551</v>
      </c>
      <c r="F262" s="1">
        <v>577</v>
      </c>
      <c r="G262" s="1">
        <v>573</v>
      </c>
      <c r="H262" s="1">
        <v>565</v>
      </c>
      <c r="I262" s="1">
        <v>559</v>
      </c>
      <c r="J262" s="1">
        <v>554</v>
      </c>
      <c r="K262" s="1">
        <v>549</v>
      </c>
      <c r="L262" s="1">
        <v>550</v>
      </c>
      <c r="M262" s="1">
        <v>555</v>
      </c>
      <c r="N262" s="1">
        <v>532</v>
      </c>
      <c r="O262" s="1">
        <v>525</v>
      </c>
      <c r="P262" s="1">
        <v>520</v>
      </c>
      <c r="Q262" s="1">
        <v>516</v>
      </c>
      <c r="R262" s="1">
        <v>517</v>
      </c>
      <c r="S262" s="1">
        <v>524</v>
      </c>
      <c r="T262" s="1">
        <v>532</v>
      </c>
      <c r="U262" s="1">
        <v>531</v>
      </c>
      <c r="V262" s="1">
        <v>520</v>
      </c>
      <c r="W262" s="1">
        <v>537</v>
      </c>
      <c r="X262" s="1">
        <v>541</v>
      </c>
      <c r="Y262" s="1">
        <v>543</v>
      </c>
      <c r="Z262" s="1">
        <v>545</v>
      </c>
      <c r="AA262" s="1">
        <v>547</v>
      </c>
      <c r="AB262" s="1">
        <v>542</v>
      </c>
      <c r="AC262" s="1">
        <v>550</v>
      </c>
      <c r="AD262" s="1">
        <v>563</v>
      </c>
      <c r="AE262" s="1">
        <v>564</v>
      </c>
      <c r="AF262" s="1">
        <v>550</v>
      </c>
      <c r="AG262" s="1">
        <v>558</v>
      </c>
      <c r="AH262" s="1">
        <v>557</v>
      </c>
      <c r="AI262" s="1">
        <v>585</v>
      </c>
      <c r="AJ262" s="1">
        <v>599</v>
      </c>
      <c r="AK262" s="1">
        <v>580</v>
      </c>
      <c r="AL262" s="1">
        <v>593</v>
      </c>
      <c r="AM262" s="1">
        <v>582</v>
      </c>
      <c r="AN262" s="1">
        <v>586</v>
      </c>
      <c r="AO262" s="1">
        <v>615</v>
      </c>
      <c r="AP262" s="1">
        <v>617</v>
      </c>
      <c r="AQ262" s="1">
        <v>693</v>
      </c>
      <c r="AR262" s="1">
        <v>708</v>
      </c>
      <c r="AS262" s="1">
        <v>723</v>
      </c>
      <c r="AT262" s="1">
        <v>724</v>
      </c>
      <c r="AU262" s="1">
        <v>738</v>
      </c>
      <c r="AV262" s="1">
        <v>736</v>
      </c>
      <c r="AW262" s="1">
        <v>735</v>
      </c>
      <c r="AX262" s="1">
        <v>749</v>
      </c>
      <c r="AY262" s="1">
        <v>765</v>
      </c>
      <c r="AZ262" s="1">
        <v>768</v>
      </c>
      <c r="BA262" s="1">
        <v>762</v>
      </c>
      <c r="BB262" s="1">
        <v>774</v>
      </c>
      <c r="BC262" s="1">
        <v>802</v>
      </c>
      <c r="BD262" s="1">
        <v>823</v>
      </c>
      <c r="BE262" s="1">
        <v>848</v>
      </c>
      <c r="BF262" s="1">
        <v>850</v>
      </c>
      <c r="BG262" s="1">
        <v>838</v>
      </c>
      <c r="BH262" s="1">
        <v>871</v>
      </c>
      <c r="BI262" s="1">
        <v>837</v>
      </c>
      <c r="BJ262" s="1">
        <v>837</v>
      </c>
      <c r="BK262" s="1">
        <v>853</v>
      </c>
      <c r="BL262" s="1">
        <v>819</v>
      </c>
      <c r="BM262" s="1">
        <v>865</v>
      </c>
      <c r="BN262" s="1">
        <v>863</v>
      </c>
      <c r="BO262" s="1">
        <v>893</v>
      </c>
      <c r="BP262" s="1">
        <v>916</v>
      </c>
    </row>
    <row r="263" spans="1:68">
      <c r="A263" s="65" t="s">
        <v>476</v>
      </c>
      <c r="B263" s="1" t="str">
        <f>銘柄管理!C263</f>
        <v/>
      </c>
      <c r="C263" s="1" t="str">
        <f>_xll.RssMarket("5631","安値")</f>
        <v/>
      </c>
      <c r="E263" s="1">
        <v>7182</v>
      </c>
      <c r="F263" s="1">
        <v>7591</v>
      </c>
      <c r="G263" s="1">
        <v>7450</v>
      </c>
      <c r="H263" s="1">
        <v>7627</v>
      </c>
      <c r="I263" s="1">
        <v>7810</v>
      </c>
      <c r="J263" s="1">
        <v>7891</v>
      </c>
      <c r="K263" s="1">
        <v>8140</v>
      </c>
      <c r="L263" s="1">
        <v>8200</v>
      </c>
      <c r="M263" s="1">
        <v>8020</v>
      </c>
      <c r="N263" s="1">
        <v>7754</v>
      </c>
      <c r="O263" s="1">
        <v>7770</v>
      </c>
      <c r="P263" s="1">
        <v>7730</v>
      </c>
      <c r="Q263" s="1">
        <v>7515</v>
      </c>
      <c r="R263" s="1">
        <v>7516</v>
      </c>
      <c r="S263" s="1">
        <v>7600</v>
      </c>
      <c r="T263" s="1">
        <v>7700</v>
      </c>
      <c r="U263" s="1">
        <v>7831</v>
      </c>
      <c r="V263" s="1">
        <v>7714</v>
      </c>
      <c r="W263" s="1">
        <v>7906</v>
      </c>
      <c r="X263" s="1">
        <v>7742</v>
      </c>
      <c r="Y263" s="1">
        <v>8247</v>
      </c>
      <c r="Z263" s="1">
        <v>7839</v>
      </c>
      <c r="AA263" s="1">
        <v>7669</v>
      </c>
      <c r="AB263" s="1">
        <v>7600</v>
      </c>
      <c r="AC263" s="1">
        <v>7411</v>
      </c>
      <c r="AD263" s="1">
        <v>6694</v>
      </c>
      <c r="AE263" s="1">
        <v>7063</v>
      </c>
      <c r="AF263" s="1">
        <v>7341</v>
      </c>
      <c r="AG263" s="1">
        <v>7486</v>
      </c>
      <c r="AH263" s="1">
        <v>7172</v>
      </c>
      <c r="AI263" s="1">
        <v>7280</v>
      </c>
      <c r="AJ263" s="1">
        <v>7115</v>
      </c>
      <c r="AK263" s="1">
        <v>7656</v>
      </c>
      <c r="AL263" s="1">
        <v>7615</v>
      </c>
      <c r="AM263" s="1">
        <v>7950</v>
      </c>
      <c r="AN263" s="1">
        <v>7860</v>
      </c>
      <c r="AO263" s="1">
        <v>7728</v>
      </c>
      <c r="AP263" s="1">
        <v>7612</v>
      </c>
      <c r="AQ263" s="1">
        <v>7638</v>
      </c>
      <c r="AR263" s="1">
        <v>7678</v>
      </c>
      <c r="AS263" s="1">
        <v>7650</v>
      </c>
      <c r="AT263" s="1">
        <v>7757</v>
      </c>
      <c r="AU263" s="1">
        <v>8032</v>
      </c>
      <c r="AV263" s="1">
        <v>8652</v>
      </c>
      <c r="AW263" s="1">
        <v>8771</v>
      </c>
      <c r="AX263" s="1">
        <v>8915</v>
      </c>
      <c r="AY263" s="1">
        <v>8951</v>
      </c>
      <c r="AZ263" s="1">
        <v>9165</v>
      </c>
      <c r="BA263" s="1">
        <v>9273</v>
      </c>
      <c r="BB263" s="1">
        <v>9444</v>
      </c>
      <c r="BC263" s="1">
        <v>9600</v>
      </c>
      <c r="BD263" s="1">
        <v>9485</v>
      </c>
      <c r="BE263" s="1">
        <v>9695</v>
      </c>
      <c r="BF263" s="1">
        <v>9431</v>
      </c>
      <c r="BG263" s="1">
        <v>9217</v>
      </c>
      <c r="BH263" s="1">
        <v>8968</v>
      </c>
      <c r="BI263" s="1">
        <v>9080</v>
      </c>
      <c r="BJ263" s="1">
        <v>9061</v>
      </c>
      <c r="BK263" s="1">
        <v>9032</v>
      </c>
      <c r="BL263" s="1">
        <v>9032</v>
      </c>
      <c r="BM263" s="1">
        <v>9726</v>
      </c>
      <c r="BN263" s="1">
        <v>9520</v>
      </c>
      <c r="BO263" s="1">
        <v>9815</v>
      </c>
      <c r="BP263" s="1">
        <v>9620</v>
      </c>
    </row>
    <row r="264" spans="1:68">
      <c r="A264" s="65" t="s">
        <v>477</v>
      </c>
      <c r="B264" s="1" t="str">
        <f>銘柄管理!C264</f>
        <v/>
      </c>
      <c r="C264" s="1" t="str">
        <f>_xll.RssMarket("6674","安値")</f>
        <v/>
      </c>
      <c r="E264" s="1">
        <v>5388</v>
      </c>
      <c r="F264" s="1">
        <v>5877</v>
      </c>
      <c r="G264" s="1">
        <v>5836</v>
      </c>
      <c r="H264" s="1">
        <v>5944</v>
      </c>
      <c r="I264" s="1">
        <v>6152</v>
      </c>
      <c r="J264" s="1">
        <v>6113</v>
      </c>
      <c r="K264" s="1">
        <v>6156</v>
      </c>
      <c r="L264" s="1">
        <v>6396</v>
      </c>
      <c r="M264" s="1">
        <v>6468</v>
      </c>
      <c r="N264" s="1">
        <v>6446</v>
      </c>
      <c r="O264" s="1">
        <v>6500</v>
      </c>
      <c r="P264" s="1">
        <v>6547</v>
      </c>
      <c r="Q264" s="1">
        <v>6451</v>
      </c>
      <c r="R264" s="1">
        <v>6535</v>
      </c>
      <c r="S264" s="1">
        <v>6683</v>
      </c>
      <c r="T264" s="1">
        <v>7034</v>
      </c>
      <c r="U264" s="1">
        <v>7021</v>
      </c>
      <c r="V264" s="1">
        <v>7087</v>
      </c>
      <c r="W264" s="1">
        <v>7452</v>
      </c>
      <c r="X264" s="1">
        <v>6665</v>
      </c>
      <c r="Y264" s="1">
        <v>6630</v>
      </c>
      <c r="Z264" s="1">
        <v>6580</v>
      </c>
      <c r="AA264" s="1">
        <v>6265</v>
      </c>
      <c r="AB264" s="1">
        <v>6196</v>
      </c>
      <c r="AC264" s="1">
        <v>6197</v>
      </c>
      <c r="AD264" s="1">
        <v>5971</v>
      </c>
      <c r="AE264" s="1">
        <v>6369</v>
      </c>
      <c r="AF264" s="1">
        <v>6595</v>
      </c>
      <c r="AG264" s="1">
        <v>7080</v>
      </c>
      <c r="AH264" s="1">
        <v>7143</v>
      </c>
      <c r="AI264" s="1">
        <v>7031</v>
      </c>
      <c r="AJ264" s="1">
        <v>6618</v>
      </c>
      <c r="AK264" s="1">
        <v>6470</v>
      </c>
      <c r="AL264" s="1">
        <v>6284</v>
      </c>
      <c r="AM264" s="1">
        <v>6298</v>
      </c>
      <c r="AN264" s="1">
        <v>6268</v>
      </c>
      <c r="AO264" s="1">
        <v>6017</v>
      </c>
      <c r="AP264" s="1">
        <v>5956</v>
      </c>
      <c r="AQ264" s="1">
        <v>6044</v>
      </c>
      <c r="AR264" s="1">
        <v>6154</v>
      </c>
      <c r="AS264" s="1">
        <v>6180</v>
      </c>
      <c r="AT264" s="1">
        <v>6251</v>
      </c>
      <c r="AU264" s="1">
        <v>6130</v>
      </c>
      <c r="AV264" s="1">
        <v>6130</v>
      </c>
      <c r="AW264" s="1">
        <v>6605</v>
      </c>
      <c r="AX264" s="1">
        <v>6499</v>
      </c>
      <c r="AY264" s="1">
        <v>6412</v>
      </c>
      <c r="AZ264" s="1">
        <v>6457</v>
      </c>
      <c r="BA264" s="1">
        <v>6224</v>
      </c>
      <c r="BB264" s="1">
        <v>6080</v>
      </c>
      <c r="BC264" s="1">
        <v>6080</v>
      </c>
      <c r="BD264" s="1">
        <v>6160</v>
      </c>
      <c r="BE264" s="1">
        <v>6223</v>
      </c>
      <c r="BF264" s="1">
        <v>6244</v>
      </c>
      <c r="BG264" s="1">
        <v>6354</v>
      </c>
      <c r="BH264" s="1">
        <v>6602</v>
      </c>
      <c r="BI264" s="1">
        <v>6540</v>
      </c>
      <c r="BJ264" s="1">
        <v>6703</v>
      </c>
      <c r="BK264" s="1">
        <v>6578</v>
      </c>
      <c r="BL264" s="1">
        <v>6550</v>
      </c>
      <c r="BM264" s="1">
        <v>6435</v>
      </c>
      <c r="BN264" s="1">
        <v>6258</v>
      </c>
      <c r="BO264" s="1">
        <v>6200</v>
      </c>
      <c r="BP264" s="1">
        <v>6150</v>
      </c>
    </row>
    <row r="265" spans="1:68">
      <c r="A265" s="65" t="s">
        <v>478</v>
      </c>
      <c r="B265" s="1" t="str">
        <f>銘柄管理!C265</f>
        <v/>
      </c>
      <c r="C265" s="1" t="str">
        <f>_xll.RssMarket("6955","安値")</f>
        <v/>
      </c>
      <c r="E265" s="1">
        <v>396</v>
      </c>
      <c r="F265" s="1">
        <v>422</v>
      </c>
      <c r="G265" s="1">
        <v>421</v>
      </c>
      <c r="H265" s="1">
        <v>434</v>
      </c>
      <c r="I265" s="1">
        <v>435</v>
      </c>
      <c r="J265" s="1">
        <v>428</v>
      </c>
      <c r="K265" s="1">
        <v>429</v>
      </c>
      <c r="L265" s="1">
        <v>443</v>
      </c>
      <c r="M265" s="1">
        <v>452</v>
      </c>
      <c r="N265" s="1">
        <v>478</v>
      </c>
      <c r="O265" s="1">
        <v>471</v>
      </c>
      <c r="P265" s="1">
        <v>482</v>
      </c>
      <c r="Q265" s="1">
        <v>472</v>
      </c>
      <c r="R265" s="1">
        <v>485</v>
      </c>
      <c r="S265" s="1">
        <v>492</v>
      </c>
      <c r="T265" s="1">
        <v>513</v>
      </c>
      <c r="U265" s="1">
        <v>502</v>
      </c>
      <c r="V265" s="1">
        <v>506</v>
      </c>
      <c r="W265" s="1">
        <v>521</v>
      </c>
      <c r="X265" s="1">
        <v>504</v>
      </c>
      <c r="Y265" s="1">
        <v>502</v>
      </c>
      <c r="Z265" s="1">
        <v>488</v>
      </c>
      <c r="AA265" s="1">
        <v>467</v>
      </c>
      <c r="AB265" s="1">
        <v>471</v>
      </c>
      <c r="AC265" s="1">
        <v>495</v>
      </c>
      <c r="AD265" s="1">
        <v>488</v>
      </c>
      <c r="AE265" s="1">
        <v>513</v>
      </c>
      <c r="AF265" s="1">
        <v>591</v>
      </c>
      <c r="AG265" s="1">
        <v>488</v>
      </c>
      <c r="AH265" s="1">
        <v>481</v>
      </c>
      <c r="AI265" s="1">
        <v>453</v>
      </c>
      <c r="AJ265" s="1">
        <v>426</v>
      </c>
      <c r="AK265" s="1">
        <v>422</v>
      </c>
      <c r="AL265" s="1">
        <v>407</v>
      </c>
      <c r="AM265" s="1">
        <v>400</v>
      </c>
      <c r="AN265" s="1">
        <v>407</v>
      </c>
      <c r="AO265" s="1">
        <v>404</v>
      </c>
      <c r="AP265" s="1">
        <v>402</v>
      </c>
      <c r="AQ265" s="1">
        <v>412</v>
      </c>
      <c r="AR265" s="1">
        <v>410</v>
      </c>
      <c r="AS265" s="1">
        <v>418</v>
      </c>
      <c r="AT265" s="1">
        <v>420</v>
      </c>
      <c r="AU265" s="1">
        <v>426</v>
      </c>
      <c r="AV265" s="1">
        <v>430</v>
      </c>
      <c r="AW265" s="1">
        <v>425</v>
      </c>
      <c r="AX265" s="1">
        <v>433</v>
      </c>
      <c r="AY265" s="1">
        <v>449</v>
      </c>
      <c r="AZ265" s="1">
        <v>425</v>
      </c>
      <c r="BA265" s="1">
        <v>415</v>
      </c>
      <c r="BB265" s="1">
        <v>445</v>
      </c>
      <c r="BC265" s="1">
        <v>450</v>
      </c>
      <c r="BD265" s="1">
        <v>450</v>
      </c>
      <c r="BE265" s="1">
        <v>445</v>
      </c>
      <c r="BF265" s="1">
        <v>442</v>
      </c>
      <c r="BG265" s="1">
        <v>450</v>
      </c>
      <c r="BH265" s="1">
        <v>448</v>
      </c>
      <c r="BI265" s="1">
        <v>445</v>
      </c>
      <c r="BJ265" s="1">
        <v>450</v>
      </c>
      <c r="BK265" s="1">
        <v>445</v>
      </c>
      <c r="BL265" s="1">
        <v>452</v>
      </c>
      <c r="BM265" s="1">
        <v>441</v>
      </c>
      <c r="BN265" s="1">
        <v>447</v>
      </c>
      <c r="BO265" s="1">
        <v>468</v>
      </c>
      <c r="BP265" s="1">
        <v>478</v>
      </c>
    </row>
    <row r="266" spans="1:68">
      <c r="A266" s="65" t="s">
        <v>479</v>
      </c>
      <c r="B266" s="1" t="str">
        <f>銘柄管理!C266</f>
        <v/>
      </c>
      <c r="C266" s="1" t="str">
        <f>_xll.RssMarket("281A","安値")</f>
        <v/>
      </c>
      <c r="E266" s="1">
        <v>443</v>
      </c>
      <c r="F266" s="1">
        <v>495</v>
      </c>
      <c r="G266" s="1">
        <v>497</v>
      </c>
      <c r="H266" s="1">
        <v>515</v>
      </c>
      <c r="I266" s="1">
        <v>481</v>
      </c>
      <c r="J266" s="1">
        <v>471</v>
      </c>
      <c r="K266" s="1">
        <v>519</v>
      </c>
      <c r="L266" s="1">
        <v>614</v>
      </c>
      <c r="M266" s="1">
        <v>620</v>
      </c>
      <c r="N266" s="1">
        <v>603</v>
      </c>
      <c r="O266" s="1">
        <v>617</v>
      </c>
      <c r="P266" s="1">
        <v>607</v>
      </c>
      <c r="Q266" s="1">
        <v>666</v>
      </c>
      <c r="R266" s="1">
        <v>680</v>
      </c>
      <c r="S266" s="1">
        <v>665</v>
      </c>
      <c r="T266" s="1">
        <v>715</v>
      </c>
      <c r="U266" s="1">
        <v>677</v>
      </c>
      <c r="V266" s="1">
        <v>600</v>
      </c>
      <c r="W266" s="1">
        <v>562</v>
      </c>
      <c r="X266" s="1">
        <v>565</v>
      </c>
      <c r="Y266" s="1">
        <v>616</v>
      </c>
      <c r="Z266" s="1">
        <v>602</v>
      </c>
      <c r="AA266" s="1">
        <v>604</v>
      </c>
      <c r="AB266" s="1">
        <v>634</v>
      </c>
      <c r="AC266" s="1">
        <v>526</v>
      </c>
      <c r="AD266" s="1">
        <v>518</v>
      </c>
      <c r="AE266" s="1">
        <v>515</v>
      </c>
      <c r="AF266" s="1">
        <v>568</v>
      </c>
      <c r="AG266" s="1">
        <v>606</v>
      </c>
      <c r="AH266" s="1">
        <v>650</v>
      </c>
      <c r="AI266" s="1">
        <v>665</v>
      </c>
      <c r="AJ266" s="1">
        <v>679</v>
      </c>
      <c r="AK266" s="1">
        <v>759</v>
      </c>
      <c r="AL266" s="1">
        <v>802</v>
      </c>
      <c r="AM266" s="1">
        <v>811</v>
      </c>
      <c r="AN266" s="1">
        <v>840</v>
      </c>
      <c r="AO266" s="1">
        <v>758</v>
      </c>
      <c r="AP266" s="1">
        <v>722</v>
      </c>
      <c r="AQ266" s="1">
        <v>754</v>
      </c>
      <c r="AR266" s="1">
        <v>790</v>
      </c>
      <c r="AS266" s="1">
        <v>730</v>
      </c>
      <c r="AT266" s="1">
        <v>749</v>
      </c>
      <c r="AU266" s="1">
        <v>712</v>
      </c>
      <c r="AV266" s="1">
        <v>715</v>
      </c>
      <c r="AW266" s="1">
        <v>726</v>
      </c>
      <c r="AX266" s="1">
        <v>782</v>
      </c>
      <c r="AY266" s="1">
        <v>753</v>
      </c>
      <c r="AZ266" s="1">
        <v>680</v>
      </c>
      <c r="BA266" s="1">
        <v>710</v>
      </c>
      <c r="BB266" s="1">
        <v>683</v>
      </c>
      <c r="BC266" s="1">
        <v>712</v>
      </c>
      <c r="BD266" s="1">
        <v>755</v>
      </c>
      <c r="BE266" s="1">
        <v>738</v>
      </c>
      <c r="BF266" s="1">
        <v>764</v>
      </c>
      <c r="BG266" s="1">
        <v>757</v>
      </c>
      <c r="BH266" s="1">
        <v>870</v>
      </c>
      <c r="BI266" s="1">
        <v>803</v>
      </c>
      <c r="BJ266" s="1">
        <v>731</v>
      </c>
      <c r="BK266" s="1">
        <v>712</v>
      </c>
      <c r="BL266" s="1">
        <v>661</v>
      </c>
      <c r="BM266" s="1">
        <v>643</v>
      </c>
      <c r="BN266" s="1">
        <v>631</v>
      </c>
      <c r="BO266" s="1">
        <v>620</v>
      </c>
      <c r="BP266" s="1">
        <v>558</v>
      </c>
    </row>
    <row r="267" spans="1:68">
      <c r="A267" s="65" t="s">
        <v>480</v>
      </c>
      <c r="B267" s="1" t="str">
        <f>銘柄管理!C267</f>
        <v/>
      </c>
      <c r="C267" s="1" t="str">
        <f>_xll.RssMarket("6356","安値")</f>
        <v/>
      </c>
      <c r="E267" s="1">
        <v>1385</v>
      </c>
      <c r="F267" s="1">
        <v>1523</v>
      </c>
      <c r="G267" s="1">
        <v>1490</v>
      </c>
      <c r="H267" s="1">
        <v>1455</v>
      </c>
      <c r="I267" s="1">
        <v>1412</v>
      </c>
      <c r="J267" s="1">
        <v>1492</v>
      </c>
      <c r="K267" s="1">
        <v>1575</v>
      </c>
      <c r="L267" s="1">
        <v>1708</v>
      </c>
      <c r="M267" s="1">
        <v>1521</v>
      </c>
      <c r="N267" s="1">
        <v>1455</v>
      </c>
      <c r="O267" s="1">
        <v>1472</v>
      </c>
      <c r="P267" s="1">
        <v>1475</v>
      </c>
      <c r="Q267" s="1">
        <v>1458</v>
      </c>
      <c r="R267" s="1">
        <v>1431</v>
      </c>
      <c r="S267" s="1">
        <v>1472</v>
      </c>
      <c r="T267" s="1">
        <v>1456</v>
      </c>
      <c r="U267" s="1">
        <v>1452</v>
      </c>
      <c r="V267" s="1">
        <v>1476</v>
      </c>
      <c r="W267" s="1">
        <v>1525</v>
      </c>
      <c r="X267" s="1">
        <v>1393</v>
      </c>
      <c r="Y267" s="1">
        <v>1360</v>
      </c>
      <c r="Z267" s="1">
        <v>1402</v>
      </c>
      <c r="AA267" s="1">
        <v>1393</v>
      </c>
      <c r="AB267" s="1">
        <v>1329</v>
      </c>
      <c r="AC267" s="1">
        <v>1416</v>
      </c>
      <c r="AD267" s="1">
        <v>1431</v>
      </c>
      <c r="AE267" s="1">
        <v>1517</v>
      </c>
      <c r="AF267" s="1">
        <v>1451</v>
      </c>
      <c r="AG267" s="1">
        <v>1448</v>
      </c>
      <c r="AH267" s="1">
        <v>1442</v>
      </c>
      <c r="AI267" s="1">
        <v>1633</v>
      </c>
      <c r="AJ267" s="1">
        <v>1622</v>
      </c>
      <c r="AK267" s="1">
        <v>1670</v>
      </c>
      <c r="AL267" s="1">
        <v>1496</v>
      </c>
      <c r="AM267" s="1">
        <v>1361</v>
      </c>
      <c r="AN267" s="1">
        <v>1345</v>
      </c>
      <c r="AO267" s="1">
        <v>1341</v>
      </c>
      <c r="AP267" s="1">
        <v>1403</v>
      </c>
      <c r="AQ267" s="1">
        <v>1361</v>
      </c>
      <c r="AR267" s="1">
        <v>1366</v>
      </c>
      <c r="AS267" s="1">
        <v>1403</v>
      </c>
      <c r="AT267" s="1">
        <v>1397</v>
      </c>
      <c r="AU267" s="1">
        <v>1457</v>
      </c>
      <c r="AV267" s="1">
        <v>1474</v>
      </c>
      <c r="AW267" s="1">
        <v>1464</v>
      </c>
      <c r="AX267" s="1">
        <v>1434</v>
      </c>
      <c r="AY267" s="1">
        <v>1485</v>
      </c>
      <c r="AZ267" s="1">
        <v>1586</v>
      </c>
      <c r="BA267" s="1">
        <v>1628</v>
      </c>
      <c r="BB267" s="1">
        <v>1550</v>
      </c>
      <c r="BC267" s="1">
        <v>1452</v>
      </c>
      <c r="BD267" s="1">
        <v>1411</v>
      </c>
      <c r="BE267" s="1">
        <v>1225</v>
      </c>
      <c r="BF267" s="1">
        <v>1258</v>
      </c>
      <c r="BG267" s="1">
        <v>1304</v>
      </c>
      <c r="BH267" s="1">
        <v>1293</v>
      </c>
      <c r="BI267" s="1">
        <v>1319</v>
      </c>
      <c r="BJ267" s="1">
        <v>1254</v>
      </c>
      <c r="BK267" s="1">
        <v>1271</v>
      </c>
      <c r="BL267" s="1">
        <v>1195</v>
      </c>
      <c r="BM267" s="1">
        <v>1232</v>
      </c>
      <c r="BN267" s="1">
        <v>1250</v>
      </c>
      <c r="BO267" s="1">
        <v>1213</v>
      </c>
    </row>
    <row r="268" spans="1:68">
      <c r="A268" s="65" t="s">
        <v>481</v>
      </c>
      <c r="B268" s="1" t="str">
        <f>銘柄管理!C268</f>
        <v/>
      </c>
      <c r="C268" s="1" t="str">
        <f>_xll.RssMarket("7711","安値")</f>
        <v/>
      </c>
      <c r="E268" s="1">
        <v>4320</v>
      </c>
      <c r="F268" s="1">
        <v>5080</v>
      </c>
      <c r="G268" s="1">
        <v>4865</v>
      </c>
      <c r="H268" s="1">
        <v>4690</v>
      </c>
      <c r="I268" s="1">
        <v>4635</v>
      </c>
      <c r="J268" s="1">
        <v>4620</v>
      </c>
      <c r="K268" s="1">
        <v>4835</v>
      </c>
      <c r="L268" s="1">
        <v>4920</v>
      </c>
      <c r="M268" s="1">
        <v>5060</v>
      </c>
      <c r="N268" s="1">
        <v>4815</v>
      </c>
      <c r="O268" s="1">
        <v>4800</v>
      </c>
      <c r="P268" s="1">
        <v>4825</v>
      </c>
      <c r="Q268" s="1">
        <v>4820</v>
      </c>
      <c r="R268" s="1">
        <v>4825</v>
      </c>
      <c r="S268" s="1">
        <v>4885</v>
      </c>
      <c r="T268" s="1">
        <v>4980</v>
      </c>
      <c r="U268" s="1">
        <v>5030</v>
      </c>
      <c r="V268" s="1">
        <v>5050</v>
      </c>
      <c r="W268" s="1">
        <v>5470</v>
      </c>
      <c r="X268" s="1">
        <v>5260</v>
      </c>
      <c r="Y268" s="1">
        <v>5470</v>
      </c>
      <c r="Z268" s="1">
        <v>5160</v>
      </c>
      <c r="AA268" s="1">
        <v>4705</v>
      </c>
      <c r="AB268" s="1">
        <v>4805</v>
      </c>
      <c r="AC268" s="1">
        <v>4665</v>
      </c>
      <c r="AD268" s="1">
        <v>4515</v>
      </c>
      <c r="AE268" s="1">
        <v>4645</v>
      </c>
      <c r="AF268" s="1">
        <v>5030</v>
      </c>
      <c r="AG268" s="1">
        <v>5250</v>
      </c>
      <c r="AH268" s="1">
        <v>5010</v>
      </c>
      <c r="AI268" s="1">
        <v>5080</v>
      </c>
      <c r="AJ268" s="1">
        <v>5300</v>
      </c>
      <c r="AK268" s="1">
        <v>5400</v>
      </c>
      <c r="AL268" s="1">
        <v>5320</v>
      </c>
      <c r="AM268" s="1">
        <v>5080</v>
      </c>
      <c r="AN268" s="1">
        <v>5040</v>
      </c>
      <c r="AO268" s="1">
        <v>4955</v>
      </c>
      <c r="AP268" s="1">
        <v>5160</v>
      </c>
      <c r="AQ268" s="1">
        <v>5250</v>
      </c>
      <c r="AR268" s="1">
        <v>5360</v>
      </c>
      <c r="AS268" s="1">
        <v>5370</v>
      </c>
      <c r="AT268" s="1">
        <v>5620</v>
      </c>
      <c r="AU268" s="1">
        <v>5610</v>
      </c>
      <c r="AV268" s="1">
        <v>5820</v>
      </c>
      <c r="AW268" s="1">
        <v>6000</v>
      </c>
      <c r="AX268" s="1">
        <v>6060</v>
      </c>
      <c r="AY268" s="1">
        <v>5870</v>
      </c>
      <c r="AZ268" s="1">
        <v>5960</v>
      </c>
      <c r="BA268" s="1">
        <v>6100</v>
      </c>
      <c r="BB268" s="1">
        <v>6170</v>
      </c>
      <c r="BC268" s="1">
        <v>6310</v>
      </c>
      <c r="BD268" s="1">
        <v>6340</v>
      </c>
      <c r="BE268" s="1">
        <v>6200</v>
      </c>
      <c r="BF268" s="1">
        <v>6120</v>
      </c>
      <c r="BG268" s="1">
        <v>6230</v>
      </c>
      <c r="BH268" s="1">
        <v>6230</v>
      </c>
      <c r="BI268" s="1">
        <v>6150</v>
      </c>
      <c r="BJ268" s="1">
        <v>6080</v>
      </c>
      <c r="BK268" s="1">
        <v>6240</v>
      </c>
      <c r="BL268" s="1">
        <v>6200</v>
      </c>
      <c r="BM268" s="1">
        <v>6240</v>
      </c>
      <c r="BN268" s="1">
        <v>6410</v>
      </c>
      <c r="BO268" s="1">
        <v>6400</v>
      </c>
      <c r="BP268" s="1">
        <v>6220</v>
      </c>
    </row>
    <row r="269" spans="1:68">
      <c r="A269" s="65" t="s">
        <v>482</v>
      </c>
      <c r="B269" s="1" t="str">
        <f>銘柄管理!C269</f>
        <v/>
      </c>
      <c r="C269" s="1" t="str">
        <f>_xll.RssMarket("6376","安値")</f>
        <v/>
      </c>
      <c r="E269" s="1">
        <v>3685</v>
      </c>
      <c r="F269" s="1">
        <v>3795</v>
      </c>
      <c r="G269" s="1">
        <v>3575</v>
      </c>
      <c r="H269" s="1">
        <v>3580</v>
      </c>
      <c r="I269" s="1">
        <v>3685</v>
      </c>
      <c r="J269" s="1">
        <v>3660</v>
      </c>
      <c r="K269" s="1">
        <v>3710</v>
      </c>
      <c r="L269" s="1">
        <v>3825</v>
      </c>
      <c r="M269" s="1">
        <v>4000</v>
      </c>
      <c r="N269" s="1">
        <v>3840</v>
      </c>
      <c r="O269" s="1">
        <v>3815</v>
      </c>
      <c r="P269" s="1">
        <v>4020</v>
      </c>
      <c r="Q269" s="1">
        <v>3990</v>
      </c>
      <c r="R269" s="1">
        <v>4140</v>
      </c>
      <c r="S269" s="1">
        <v>4095</v>
      </c>
      <c r="T269" s="1">
        <v>3930</v>
      </c>
      <c r="U269" s="1">
        <v>3980</v>
      </c>
      <c r="V269" s="1">
        <v>3905</v>
      </c>
      <c r="W269" s="1">
        <v>3850</v>
      </c>
      <c r="X269" s="1">
        <v>3860</v>
      </c>
      <c r="Y269" s="1">
        <v>3715</v>
      </c>
      <c r="Z269" s="1">
        <v>3665</v>
      </c>
      <c r="AA269" s="1">
        <v>3690</v>
      </c>
      <c r="AB269" s="1">
        <v>3565</v>
      </c>
      <c r="AC269" s="1">
        <v>3450</v>
      </c>
      <c r="AD269" s="1">
        <v>3390</v>
      </c>
      <c r="AE269" s="1">
        <v>3130</v>
      </c>
      <c r="AF269" s="1">
        <v>3160</v>
      </c>
      <c r="AG269" s="1">
        <v>3035</v>
      </c>
      <c r="AH269" s="1">
        <v>3065</v>
      </c>
      <c r="AI269" s="1">
        <v>3015</v>
      </c>
      <c r="AJ269" s="1">
        <v>3105</v>
      </c>
      <c r="AK269" s="1">
        <v>3140</v>
      </c>
      <c r="AL269" s="1">
        <v>3255</v>
      </c>
      <c r="AM269" s="1">
        <v>3025</v>
      </c>
      <c r="AN269" s="1">
        <v>2988</v>
      </c>
      <c r="AO269" s="1">
        <v>2794</v>
      </c>
      <c r="AP269" s="1">
        <v>2863</v>
      </c>
      <c r="AQ269" s="1">
        <v>2781</v>
      </c>
      <c r="AR269" s="1">
        <v>2530</v>
      </c>
      <c r="AS269" s="1">
        <v>2614</v>
      </c>
      <c r="AT269" s="1">
        <v>2582</v>
      </c>
      <c r="AU269" s="1">
        <v>2643</v>
      </c>
      <c r="AV269" s="1">
        <v>2614</v>
      </c>
      <c r="AW269" s="1">
        <v>2585</v>
      </c>
      <c r="AX269" s="1">
        <v>2628</v>
      </c>
      <c r="AY269" s="1">
        <v>2600</v>
      </c>
      <c r="AZ269" s="1">
        <v>2590</v>
      </c>
      <c r="BA269" s="1">
        <v>2552</v>
      </c>
      <c r="BB269" s="1">
        <v>2574</v>
      </c>
      <c r="BC269" s="1">
        <v>2581</v>
      </c>
      <c r="BD269" s="1">
        <v>2526</v>
      </c>
      <c r="BE269" s="1">
        <v>2493</v>
      </c>
      <c r="BF269" s="1">
        <v>2570</v>
      </c>
      <c r="BG269" s="1">
        <v>2622</v>
      </c>
      <c r="BH269" s="1">
        <v>2653</v>
      </c>
      <c r="BI269" s="1">
        <v>2714</v>
      </c>
      <c r="BJ269" s="1">
        <v>2747</v>
      </c>
      <c r="BK269" s="1">
        <v>2807</v>
      </c>
      <c r="BL269" s="1">
        <v>2802</v>
      </c>
      <c r="BM269" s="1">
        <v>2788</v>
      </c>
      <c r="BN269" s="1">
        <v>2692</v>
      </c>
      <c r="BO269" s="1">
        <v>2690</v>
      </c>
      <c r="BP269" s="1">
        <v>2643</v>
      </c>
    </row>
    <row r="270" spans="1:68">
      <c r="A270" s="65" t="s">
        <v>483</v>
      </c>
      <c r="B270" s="1" t="str">
        <f>銘柄管理!C270</f>
        <v/>
      </c>
      <c r="C270" s="1" t="str">
        <f>_xll.RssMarket("9115","安値")</f>
        <v/>
      </c>
      <c r="E270" s="1">
        <v>816</v>
      </c>
      <c r="F270" s="1">
        <v>828</v>
      </c>
      <c r="G270" s="1">
        <v>817</v>
      </c>
      <c r="H270" s="1">
        <v>811</v>
      </c>
      <c r="I270" s="1">
        <v>809</v>
      </c>
      <c r="J270" s="1">
        <v>815</v>
      </c>
      <c r="K270" s="1">
        <v>811</v>
      </c>
      <c r="L270" s="1">
        <v>822</v>
      </c>
      <c r="M270" s="1">
        <v>836</v>
      </c>
      <c r="N270" s="1">
        <v>817</v>
      </c>
      <c r="O270" s="1">
        <v>810</v>
      </c>
      <c r="P270" s="1">
        <v>791</v>
      </c>
      <c r="Q270" s="1">
        <v>790</v>
      </c>
      <c r="R270" s="1">
        <v>800</v>
      </c>
      <c r="S270" s="1">
        <v>779</v>
      </c>
      <c r="T270" s="1">
        <v>778</v>
      </c>
      <c r="U270" s="1">
        <v>782</v>
      </c>
      <c r="V270" s="1">
        <v>760</v>
      </c>
      <c r="W270" s="1">
        <v>753</v>
      </c>
      <c r="X270" s="1">
        <v>757</v>
      </c>
      <c r="Y270" s="1">
        <v>779</v>
      </c>
      <c r="Z270" s="1">
        <v>790</v>
      </c>
      <c r="AA270" s="1">
        <v>815</v>
      </c>
      <c r="AB270" s="1">
        <v>807</v>
      </c>
      <c r="AC270" s="1">
        <v>838</v>
      </c>
      <c r="AD270" s="1">
        <v>883</v>
      </c>
      <c r="AE270" s="1">
        <v>892</v>
      </c>
      <c r="AF270" s="1">
        <v>958</v>
      </c>
      <c r="AG270" s="1">
        <v>981</v>
      </c>
      <c r="AH270" s="1">
        <v>955</v>
      </c>
      <c r="AI270" s="1">
        <v>1002</v>
      </c>
      <c r="AJ270" s="1">
        <v>1026</v>
      </c>
      <c r="AK270" s="1">
        <v>1087</v>
      </c>
      <c r="AL270" s="1">
        <v>1078</v>
      </c>
      <c r="AM270" s="1">
        <v>1140</v>
      </c>
      <c r="AN270" s="1">
        <v>1131</v>
      </c>
      <c r="AO270" s="1">
        <v>1101</v>
      </c>
      <c r="AP270" s="1">
        <v>1096</v>
      </c>
      <c r="AQ270" s="1">
        <v>1081</v>
      </c>
      <c r="AR270" s="1">
        <v>1095</v>
      </c>
      <c r="AS270" s="1">
        <v>1192</v>
      </c>
      <c r="AT270" s="1">
        <v>1175</v>
      </c>
      <c r="AU270" s="1">
        <v>1159</v>
      </c>
      <c r="AV270" s="1">
        <v>1147</v>
      </c>
      <c r="AW270" s="1">
        <v>1216</v>
      </c>
      <c r="AX270" s="1">
        <v>1215</v>
      </c>
      <c r="AY270" s="1">
        <v>1236</v>
      </c>
      <c r="AZ270" s="1">
        <v>1284</v>
      </c>
      <c r="BA270" s="1">
        <v>1230</v>
      </c>
      <c r="BB270" s="1">
        <v>1220</v>
      </c>
      <c r="BC270" s="1">
        <v>1174</v>
      </c>
      <c r="BD270" s="1">
        <v>1169</v>
      </c>
      <c r="BE270" s="1">
        <v>1151</v>
      </c>
      <c r="BF270" s="1">
        <v>1171</v>
      </c>
      <c r="BG270" s="1">
        <v>1212</v>
      </c>
      <c r="BH270" s="1">
        <v>1240</v>
      </c>
      <c r="BI270" s="1">
        <v>1221</v>
      </c>
      <c r="BJ270" s="1">
        <v>1241</v>
      </c>
      <c r="BK270" s="1">
        <v>1284</v>
      </c>
      <c r="BL270" s="1">
        <v>1263</v>
      </c>
      <c r="BM270" s="1">
        <v>1236</v>
      </c>
      <c r="BN270" s="1">
        <v>1286</v>
      </c>
      <c r="BO270" s="1">
        <v>1225</v>
      </c>
      <c r="BP270" s="1">
        <v>1249</v>
      </c>
    </row>
    <row r="271" spans="1:68">
      <c r="A271" s="65" t="s">
        <v>484</v>
      </c>
      <c r="B271" s="1" t="str">
        <f>銘柄管理!C271</f>
        <v/>
      </c>
      <c r="C271" s="1" t="str">
        <f>_xll.RssMarket("3864","安値")</f>
        <v/>
      </c>
      <c r="E271" s="1">
        <v>1077</v>
      </c>
      <c r="F271" s="1">
        <v>1035</v>
      </c>
      <c r="G271" s="1">
        <v>1056</v>
      </c>
      <c r="H271" s="1">
        <v>1007</v>
      </c>
      <c r="I271" s="1">
        <v>1001</v>
      </c>
      <c r="J271" s="1">
        <v>992</v>
      </c>
      <c r="K271" s="1">
        <v>993</v>
      </c>
      <c r="L271" s="1">
        <v>997</v>
      </c>
      <c r="M271" s="1">
        <v>1008</v>
      </c>
      <c r="N271" s="1">
        <v>1001</v>
      </c>
      <c r="O271" s="1">
        <v>1000</v>
      </c>
      <c r="P271" s="1">
        <v>1001</v>
      </c>
      <c r="Q271" s="1">
        <v>1003</v>
      </c>
      <c r="R271" s="1">
        <v>1001</v>
      </c>
      <c r="S271" s="1">
        <v>1030</v>
      </c>
      <c r="T271" s="1">
        <v>1026</v>
      </c>
      <c r="U271" s="1">
        <v>1008</v>
      </c>
      <c r="V271" s="1">
        <v>1029</v>
      </c>
      <c r="W271" s="1">
        <v>1023</v>
      </c>
      <c r="X271" s="1">
        <v>1026</v>
      </c>
      <c r="Y271" s="1">
        <v>1058</v>
      </c>
      <c r="Z271" s="1">
        <v>1060</v>
      </c>
      <c r="AA271" s="1">
        <v>1074</v>
      </c>
      <c r="AB271" s="1">
        <v>1056</v>
      </c>
      <c r="AC271" s="1">
        <v>1046</v>
      </c>
      <c r="AD271" s="1">
        <v>1052</v>
      </c>
      <c r="AE271" s="1">
        <v>1032</v>
      </c>
      <c r="AF271" s="1">
        <v>1038</v>
      </c>
      <c r="AG271" s="1">
        <v>1025</v>
      </c>
      <c r="AH271" s="1">
        <v>1038</v>
      </c>
      <c r="AI271" s="1">
        <v>1100</v>
      </c>
      <c r="AJ271" s="1">
        <v>1102</v>
      </c>
      <c r="AK271" s="1">
        <v>1091</v>
      </c>
      <c r="AL271" s="1">
        <v>1062</v>
      </c>
      <c r="AM271" s="1">
        <v>1080</v>
      </c>
      <c r="AN271" s="1">
        <v>1051</v>
      </c>
      <c r="AO271" s="1">
        <v>997</v>
      </c>
      <c r="AP271" s="1">
        <v>1007</v>
      </c>
      <c r="AQ271" s="1">
        <v>971</v>
      </c>
      <c r="AR271" s="1">
        <v>950</v>
      </c>
      <c r="AS271" s="1">
        <v>898</v>
      </c>
      <c r="AT271" s="1">
        <v>909</v>
      </c>
      <c r="AU271" s="1">
        <v>910</v>
      </c>
      <c r="AV271" s="1">
        <v>927</v>
      </c>
      <c r="AW271" s="1">
        <v>934</v>
      </c>
      <c r="AX271" s="1">
        <v>918</v>
      </c>
      <c r="AY271" s="1">
        <v>924</v>
      </c>
      <c r="AZ271" s="1">
        <v>924</v>
      </c>
      <c r="BA271" s="1">
        <v>933</v>
      </c>
      <c r="BB271" s="1">
        <v>934</v>
      </c>
      <c r="BC271" s="1">
        <v>937</v>
      </c>
      <c r="BD271" s="1">
        <v>940</v>
      </c>
      <c r="BE271" s="1">
        <v>959</v>
      </c>
      <c r="BF271" s="1">
        <v>956</v>
      </c>
      <c r="BG271" s="1">
        <v>970</v>
      </c>
      <c r="BH271" s="1">
        <v>961</v>
      </c>
      <c r="BI271" s="1">
        <v>956</v>
      </c>
      <c r="BJ271" s="1">
        <v>915</v>
      </c>
      <c r="BK271" s="1">
        <v>918</v>
      </c>
      <c r="BL271" s="1">
        <v>892</v>
      </c>
      <c r="BM271" s="1">
        <v>892</v>
      </c>
      <c r="BN271" s="1">
        <v>880</v>
      </c>
      <c r="BO271" s="1">
        <v>881</v>
      </c>
      <c r="BP271" s="1">
        <v>857</v>
      </c>
    </row>
    <row r="272" spans="1:68">
      <c r="A272" s="65" t="s">
        <v>485</v>
      </c>
      <c r="B272" s="1" t="str">
        <f>銘柄管理!C272</f>
        <v/>
      </c>
      <c r="C272" s="1" t="str">
        <f>_xll.RssMarket("6997","安値")</f>
        <v/>
      </c>
      <c r="E272" s="1">
        <v>3025</v>
      </c>
      <c r="F272" s="1">
        <v>3585</v>
      </c>
      <c r="G272" s="1">
        <v>3425</v>
      </c>
      <c r="H272" s="1">
        <v>3620</v>
      </c>
      <c r="I272" s="1">
        <v>3935</v>
      </c>
      <c r="J272" s="1">
        <v>3815</v>
      </c>
      <c r="K272" s="1">
        <v>3920</v>
      </c>
      <c r="L272" s="1">
        <v>4215</v>
      </c>
      <c r="M272" s="1">
        <v>5020</v>
      </c>
      <c r="N272" s="1">
        <v>4745</v>
      </c>
      <c r="O272" s="1">
        <v>5140</v>
      </c>
      <c r="P272" s="1">
        <v>5480</v>
      </c>
      <c r="Q272" s="1">
        <v>5340</v>
      </c>
      <c r="R272" s="1">
        <v>5350</v>
      </c>
      <c r="S272" s="1">
        <v>5470</v>
      </c>
      <c r="T272" s="1">
        <v>5520</v>
      </c>
      <c r="U272" s="1">
        <v>5240</v>
      </c>
      <c r="V272" s="1">
        <v>5330</v>
      </c>
      <c r="W272" s="1">
        <v>5590</v>
      </c>
      <c r="X272" s="1">
        <v>5380</v>
      </c>
      <c r="Y272" s="1">
        <v>5110</v>
      </c>
      <c r="Z272" s="1">
        <v>4350</v>
      </c>
      <c r="AA272" s="1">
        <v>4505</v>
      </c>
      <c r="AB272" s="1">
        <v>4085</v>
      </c>
      <c r="AC272" s="1">
        <v>4070</v>
      </c>
      <c r="AD272" s="1">
        <v>3890</v>
      </c>
      <c r="AE272" s="1">
        <v>4050</v>
      </c>
      <c r="AF272" s="1">
        <v>4280</v>
      </c>
      <c r="AG272" s="1">
        <v>4385</v>
      </c>
      <c r="AH272" s="1">
        <v>4510</v>
      </c>
      <c r="AI272" s="1">
        <v>4450</v>
      </c>
      <c r="AJ272" s="1">
        <v>4635</v>
      </c>
      <c r="AK272" s="1">
        <v>4665</v>
      </c>
      <c r="AL272" s="1">
        <v>3685</v>
      </c>
      <c r="AM272" s="1">
        <v>3630</v>
      </c>
      <c r="AN272" s="1">
        <v>3595</v>
      </c>
      <c r="AO272" s="1">
        <v>2973</v>
      </c>
      <c r="AP272" s="1">
        <v>2834</v>
      </c>
      <c r="AQ272" s="1">
        <v>2926</v>
      </c>
      <c r="AR272" s="1">
        <v>2890</v>
      </c>
      <c r="AS272" s="1">
        <v>2869</v>
      </c>
      <c r="AT272" s="1">
        <v>2980</v>
      </c>
      <c r="AU272" s="1">
        <v>3230</v>
      </c>
      <c r="AV272" s="1">
        <v>3065</v>
      </c>
      <c r="AW272" s="1">
        <v>3110</v>
      </c>
      <c r="AX272" s="1">
        <v>3100</v>
      </c>
      <c r="AY272" s="1">
        <v>2873</v>
      </c>
      <c r="AZ272" s="1">
        <v>2736</v>
      </c>
      <c r="BA272" s="1">
        <v>2549</v>
      </c>
      <c r="BB272" s="1">
        <v>2397</v>
      </c>
      <c r="BC272" s="1">
        <v>2277</v>
      </c>
      <c r="BD272" s="1">
        <v>2205</v>
      </c>
      <c r="BE272" s="1">
        <v>2224</v>
      </c>
      <c r="BF272" s="1">
        <v>2186</v>
      </c>
      <c r="BG272" s="1">
        <v>2292</v>
      </c>
      <c r="BH272" s="1">
        <v>2354</v>
      </c>
      <c r="BI272" s="1">
        <v>2169</v>
      </c>
      <c r="BJ272" s="1">
        <v>2102</v>
      </c>
      <c r="BK272" s="1">
        <v>2057</v>
      </c>
      <c r="BL272" s="1">
        <v>1965</v>
      </c>
      <c r="BM272" s="1">
        <v>1780</v>
      </c>
      <c r="BN272" s="1">
        <v>1637</v>
      </c>
      <c r="BO272" s="1">
        <v>1656</v>
      </c>
      <c r="BP272" s="1">
        <v>1612</v>
      </c>
    </row>
    <row r="273" spans="1:68">
      <c r="A273" s="65" t="s">
        <v>486</v>
      </c>
      <c r="B273" s="1" t="str">
        <f>銘柄管理!C273</f>
        <v/>
      </c>
      <c r="C273" s="1" t="str">
        <f>_xll.RssMarket("4544","安値")</f>
        <v/>
      </c>
      <c r="E273" s="1">
        <v>3359</v>
      </c>
      <c r="F273" s="1">
        <v>3321</v>
      </c>
      <c r="G273" s="1">
        <v>3348</v>
      </c>
      <c r="H273" s="1">
        <v>3320</v>
      </c>
      <c r="I273" s="1">
        <v>3322</v>
      </c>
      <c r="J273" s="1">
        <v>3470</v>
      </c>
      <c r="K273" s="1">
        <v>3390</v>
      </c>
      <c r="L273" s="1">
        <v>3385</v>
      </c>
      <c r="M273" s="1">
        <v>3382</v>
      </c>
      <c r="N273" s="1">
        <v>3266</v>
      </c>
      <c r="O273" s="1">
        <v>3249</v>
      </c>
      <c r="P273" s="1">
        <v>3219</v>
      </c>
      <c r="Q273" s="1">
        <v>3234</v>
      </c>
      <c r="R273" s="1">
        <v>3202</v>
      </c>
      <c r="S273" s="1">
        <v>3124</v>
      </c>
      <c r="T273" s="1">
        <v>3141</v>
      </c>
      <c r="U273" s="1">
        <v>3128</v>
      </c>
      <c r="V273" s="1">
        <v>3089</v>
      </c>
      <c r="W273" s="1">
        <v>3108</v>
      </c>
      <c r="X273" s="1">
        <v>3071</v>
      </c>
      <c r="Y273" s="1">
        <v>3170</v>
      </c>
      <c r="Z273" s="1">
        <v>3211</v>
      </c>
      <c r="AA273" s="1">
        <v>3234</v>
      </c>
      <c r="AB273" s="1">
        <v>3352</v>
      </c>
      <c r="AC273" s="1">
        <v>3381</v>
      </c>
      <c r="AD273" s="1">
        <v>3424</v>
      </c>
      <c r="AE273" s="1">
        <v>3262</v>
      </c>
      <c r="AF273" s="1">
        <v>3333</v>
      </c>
      <c r="AG273" s="1">
        <v>3232</v>
      </c>
      <c r="AH273" s="1">
        <v>3083</v>
      </c>
      <c r="AI273" s="1">
        <v>3117</v>
      </c>
      <c r="AJ273" s="1">
        <v>3105</v>
      </c>
      <c r="AK273" s="1">
        <v>3111</v>
      </c>
      <c r="AL273" s="1">
        <v>3138</v>
      </c>
      <c r="AM273" s="1">
        <v>3153</v>
      </c>
      <c r="AN273" s="1">
        <v>3147</v>
      </c>
      <c r="AO273" s="1">
        <v>3190</v>
      </c>
      <c r="AP273" s="1">
        <v>3185</v>
      </c>
      <c r="AQ273" s="1">
        <v>3163</v>
      </c>
      <c r="AR273" s="1">
        <v>3067</v>
      </c>
      <c r="AS273" s="1">
        <v>3050</v>
      </c>
      <c r="AT273" s="1">
        <v>3100</v>
      </c>
      <c r="AU273" s="1">
        <v>3086</v>
      </c>
      <c r="AV273" s="1">
        <v>3056</v>
      </c>
      <c r="AW273" s="1">
        <v>3095</v>
      </c>
      <c r="AX273" s="1">
        <v>3112</v>
      </c>
      <c r="AY273" s="1">
        <v>3060</v>
      </c>
      <c r="AZ273" s="1">
        <v>3078</v>
      </c>
      <c r="BA273" s="1">
        <v>3133</v>
      </c>
      <c r="BB273" s="1">
        <v>3163</v>
      </c>
      <c r="BC273" s="1">
        <v>3128</v>
      </c>
      <c r="BD273" s="1">
        <v>3126</v>
      </c>
      <c r="BE273" s="1">
        <v>3125</v>
      </c>
      <c r="BF273" s="1">
        <v>3104</v>
      </c>
      <c r="BG273" s="1">
        <v>3134</v>
      </c>
      <c r="BH273" s="1">
        <v>3143</v>
      </c>
      <c r="BI273" s="1">
        <v>3175</v>
      </c>
      <c r="BJ273" s="1">
        <v>3156</v>
      </c>
      <c r="BK273" s="1">
        <v>3133</v>
      </c>
      <c r="BL273" s="1">
        <v>3077</v>
      </c>
      <c r="BM273" s="1">
        <v>3122</v>
      </c>
      <c r="BN273" s="1">
        <v>3200</v>
      </c>
      <c r="BO273" s="1">
        <v>3239</v>
      </c>
    </row>
    <row r="274" spans="1:68">
      <c r="A274" s="65" t="s">
        <v>487</v>
      </c>
      <c r="B274" s="1" t="str">
        <f>銘柄管理!C274</f>
        <v/>
      </c>
      <c r="C274" s="1" t="str">
        <f>_xll.RssMarket("6848","安値")</f>
        <v/>
      </c>
      <c r="E274" s="1">
        <v>850</v>
      </c>
      <c r="F274" s="1">
        <v>854</v>
      </c>
      <c r="G274" s="1">
        <v>849</v>
      </c>
      <c r="H274" s="1">
        <v>851</v>
      </c>
      <c r="I274" s="1">
        <v>850</v>
      </c>
      <c r="J274" s="1">
        <v>854</v>
      </c>
      <c r="K274" s="1">
        <v>860</v>
      </c>
      <c r="L274" s="1">
        <v>853</v>
      </c>
      <c r="M274" s="1">
        <v>852</v>
      </c>
      <c r="N274" s="1">
        <v>850</v>
      </c>
      <c r="O274" s="1">
        <v>853</v>
      </c>
      <c r="P274" s="1">
        <v>860</v>
      </c>
      <c r="Q274" s="1">
        <v>858</v>
      </c>
      <c r="R274" s="1">
        <v>853</v>
      </c>
      <c r="S274" s="1">
        <v>854</v>
      </c>
      <c r="T274" s="1">
        <v>851</v>
      </c>
      <c r="U274" s="1">
        <v>860</v>
      </c>
      <c r="V274" s="1">
        <v>857</v>
      </c>
      <c r="W274" s="1">
        <v>852</v>
      </c>
      <c r="X274" s="1">
        <v>857</v>
      </c>
      <c r="Y274" s="1">
        <v>855</v>
      </c>
      <c r="Z274" s="1">
        <v>852</v>
      </c>
      <c r="AA274" s="1">
        <v>850</v>
      </c>
      <c r="AB274" s="1">
        <v>848</v>
      </c>
      <c r="AC274" s="1">
        <v>850</v>
      </c>
      <c r="AD274" s="1">
        <v>851</v>
      </c>
      <c r="AE274" s="1">
        <v>852</v>
      </c>
      <c r="AF274" s="1">
        <v>860</v>
      </c>
      <c r="AG274" s="1">
        <v>855</v>
      </c>
      <c r="AH274" s="1">
        <v>853</v>
      </c>
      <c r="AI274" s="1">
        <v>854</v>
      </c>
      <c r="AJ274" s="1">
        <v>850</v>
      </c>
      <c r="AK274" s="1">
        <v>848</v>
      </c>
      <c r="AL274" s="1">
        <v>843</v>
      </c>
      <c r="AM274" s="1">
        <v>869</v>
      </c>
      <c r="AN274" s="1">
        <v>862</v>
      </c>
      <c r="AO274" s="1">
        <v>858</v>
      </c>
      <c r="AP274" s="1">
        <v>863</v>
      </c>
      <c r="AQ274" s="1">
        <v>865</v>
      </c>
      <c r="AR274" s="1">
        <v>864</v>
      </c>
      <c r="AS274" s="1">
        <v>869</v>
      </c>
      <c r="AT274" s="1">
        <v>870</v>
      </c>
      <c r="AU274" s="1">
        <v>863</v>
      </c>
      <c r="AV274" s="1">
        <v>862</v>
      </c>
      <c r="AW274" s="1">
        <v>870</v>
      </c>
      <c r="AX274" s="1">
        <v>863</v>
      </c>
      <c r="AY274" s="1">
        <v>866</v>
      </c>
      <c r="AZ274" s="1">
        <v>872</v>
      </c>
      <c r="BA274" s="1">
        <v>868</v>
      </c>
      <c r="BB274" s="1">
        <v>870</v>
      </c>
      <c r="BC274" s="1">
        <v>876</v>
      </c>
      <c r="BD274" s="1">
        <v>875</v>
      </c>
      <c r="BE274" s="1">
        <v>872</v>
      </c>
      <c r="BF274" s="1">
        <v>860</v>
      </c>
      <c r="BG274" s="1">
        <v>870</v>
      </c>
      <c r="BH274" s="1">
        <v>873</v>
      </c>
      <c r="BI274" s="1">
        <v>872</v>
      </c>
      <c r="BJ274" s="1">
        <v>871</v>
      </c>
      <c r="BK274" s="1">
        <v>882</v>
      </c>
      <c r="BL274" s="1">
        <v>878</v>
      </c>
      <c r="BM274" s="1">
        <v>876</v>
      </c>
      <c r="BN274" s="1">
        <v>876</v>
      </c>
      <c r="BO274" s="1">
        <v>883</v>
      </c>
    </row>
    <row r="275" spans="1:68">
      <c r="A275" s="65" t="s">
        <v>488</v>
      </c>
      <c r="B275" s="1" t="str">
        <f>銘柄管理!C275</f>
        <v/>
      </c>
      <c r="C275" s="1" t="str">
        <f>_xll.RssMarket("5702","安値")</f>
        <v/>
      </c>
      <c r="E275" s="1">
        <v>1414</v>
      </c>
      <c r="F275" s="1">
        <v>1491</v>
      </c>
      <c r="G275" s="1">
        <v>1457</v>
      </c>
      <c r="H275" s="1">
        <v>1458</v>
      </c>
      <c r="I275" s="1">
        <v>1463</v>
      </c>
      <c r="J275" s="1">
        <v>1442</v>
      </c>
      <c r="K275" s="1">
        <v>1454</v>
      </c>
      <c r="L275" s="1">
        <v>1465</v>
      </c>
      <c r="M275" s="1">
        <v>1503</v>
      </c>
      <c r="N275" s="1">
        <v>1483</v>
      </c>
      <c r="O275" s="1">
        <v>1479</v>
      </c>
      <c r="P275" s="1">
        <v>1477</v>
      </c>
      <c r="Q275" s="1">
        <v>1483</v>
      </c>
      <c r="R275" s="1">
        <v>1465</v>
      </c>
      <c r="S275" s="1">
        <v>1503</v>
      </c>
      <c r="T275" s="1">
        <v>1526</v>
      </c>
      <c r="U275" s="1">
        <v>1570</v>
      </c>
      <c r="V275" s="1">
        <v>1600</v>
      </c>
      <c r="W275" s="1">
        <v>1636</v>
      </c>
      <c r="X275" s="1">
        <v>1646</v>
      </c>
      <c r="Y275" s="1">
        <v>1698</v>
      </c>
      <c r="Z275" s="1">
        <v>1701</v>
      </c>
      <c r="AA275" s="1">
        <v>1724</v>
      </c>
      <c r="AB275" s="1">
        <v>1817</v>
      </c>
      <c r="AC275" s="1">
        <v>1813</v>
      </c>
      <c r="AD275" s="1">
        <v>1781</v>
      </c>
      <c r="AE275" s="1">
        <v>1783</v>
      </c>
      <c r="AF275" s="1">
        <v>1797</v>
      </c>
      <c r="AG275" s="1">
        <v>1823</v>
      </c>
      <c r="AH275" s="1">
        <v>1900</v>
      </c>
      <c r="AI275" s="1">
        <v>1979</v>
      </c>
      <c r="AJ275" s="1">
        <v>1867</v>
      </c>
      <c r="AK275" s="1">
        <v>1923</v>
      </c>
      <c r="AL275" s="1">
        <v>1911</v>
      </c>
      <c r="AM275" s="1">
        <v>1972</v>
      </c>
      <c r="AN275" s="1">
        <v>1909</v>
      </c>
      <c r="AO275" s="1">
        <v>1875</v>
      </c>
      <c r="AP275" s="1">
        <v>1809</v>
      </c>
      <c r="AQ275" s="1">
        <v>1785</v>
      </c>
      <c r="AR275" s="1">
        <v>1786</v>
      </c>
      <c r="AS275" s="1">
        <v>1781</v>
      </c>
      <c r="AT275" s="1">
        <v>1836</v>
      </c>
      <c r="AU275" s="1">
        <v>1554</v>
      </c>
      <c r="AV275" s="1">
        <v>1562</v>
      </c>
      <c r="AW275" s="1">
        <v>1576</v>
      </c>
      <c r="AX275" s="1">
        <v>1591</v>
      </c>
      <c r="AY275" s="1">
        <v>1547</v>
      </c>
      <c r="AZ275" s="1">
        <v>1515</v>
      </c>
      <c r="BA275" s="1">
        <v>1463</v>
      </c>
      <c r="BB275" s="1">
        <v>1444</v>
      </c>
      <c r="BC275" s="1">
        <v>1459</v>
      </c>
      <c r="BD275" s="1">
        <v>1425</v>
      </c>
      <c r="BE275" s="1">
        <v>1431</v>
      </c>
      <c r="BF275" s="1">
        <v>1435</v>
      </c>
      <c r="BG275" s="1">
        <v>1464</v>
      </c>
      <c r="BH275" s="1">
        <v>1493</v>
      </c>
      <c r="BI275" s="1">
        <v>1473</v>
      </c>
      <c r="BJ275" s="1">
        <v>1515</v>
      </c>
      <c r="BK275" s="1">
        <v>1551</v>
      </c>
      <c r="BL275" s="1">
        <v>1551</v>
      </c>
      <c r="BM275" s="1">
        <v>1584</v>
      </c>
      <c r="BN275" s="1">
        <v>1527</v>
      </c>
      <c r="BO275" s="1">
        <v>1539</v>
      </c>
      <c r="BP275" s="1">
        <v>1530</v>
      </c>
    </row>
    <row r="276" spans="1:68">
      <c r="A276" s="65" t="s">
        <v>489</v>
      </c>
      <c r="B276" s="1" t="str">
        <f>銘柄管理!C276</f>
        <v/>
      </c>
      <c r="C276" s="1" t="str">
        <f>_xll.RssMarket("7952","安値")</f>
        <v/>
      </c>
      <c r="E276" s="1">
        <v>3150</v>
      </c>
      <c r="F276" s="1">
        <v>3145</v>
      </c>
      <c r="G276" s="1">
        <v>3195</v>
      </c>
      <c r="H276" s="1">
        <v>3110</v>
      </c>
      <c r="I276" s="1">
        <v>3205</v>
      </c>
      <c r="J276" s="1">
        <v>3180</v>
      </c>
      <c r="K276" s="1">
        <v>3215</v>
      </c>
      <c r="L276" s="1">
        <v>3255</v>
      </c>
      <c r="M276" s="1">
        <v>3245</v>
      </c>
      <c r="N276" s="1">
        <v>3190</v>
      </c>
      <c r="O276" s="1">
        <v>3195</v>
      </c>
      <c r="P276" s="1">
        <v>3140</v>
      </c>
      <c r="Q276" s="1">
        <v>3050</v>
      </c>
      <c r="R276" s="1">
        <v>3135</v>
      </c>
      <c r="S276" s="1">
        <v>3305</v>
      </c>
      <c r="T276" s="1">
        <v>3290</v>
      </c>
      <c r="U276" s="1">
        <v>3250</v>
      </c>
      <c r="V276" s="1">
        <v>3275</v>
      </c>
      <c r="W276" s="1">
        <v>3310</v>
      </c>
      <c r="X276" s="1">
        <v>3195</v>
      </c>
      <c r="Y276" s="1">
        <v>3225</v>
      </c>
      <c r="Z276" s="1">
        <v>3175</v>
      </c>
      <c r="AA276" s="1">
        <v>3150</v>
      </c>
      <c r="AB276" s="1">
        <v>3070</v>
      </c>
      <c r="AC276" s="1">
        <v>2989</v>
      </c>
      <c r="AD276" s="1">
        <v>2958</v>
      </c>
      <c r="AE276" s="1">
        <v>3095</v>
      </c>
      <c r="AF276" s="1">
        <v>3075</v>
      </c>
      <c r="AG276" s="1">
        <v>3140</v>
      </c>
      <c r="AH276" s="1">
        <v>3145</v>
      </c>
      <c r="AI276" s="1">
        <v>3135</v>
      </c>
      <c r="AJ276" s="1">
        <v>3240</v>
      </c>
      <c r="AK276" s="1">
        <v>3030</v>
      </c>
      <c r="AL276" s="1">
        <v>3000</v>
      </c>
      <c r="AM276" s="1">
        <v>2950</v>
      </c>
      <c r="AN276" s="1">
        <v>2942</v>
      </c>
      <c r="AO276" s="1">
        <v>2937</v>
      </c>
      <c r="AP276" s="1">
        <v>2910</v>
      </c>
      <c r="AQ276" s="1">
        <v>3095</v>
      </c>
      <c r="AR276" s="1">
        <v>3070</v>
      </c>
      <c r="AS276" s="1">
        <v>3025</v>
      </c>
      <c r="AT276" s="1">
        <v>2981</v>
      </c>
      <c r="AU276" s="1">
        <v>2924</v>
      </c>
      <c r="AV276" s="1">
        <v>2797</v>
      </c>
      <c r="AW276" s="1">
        <v>2719</v>
      </c>
      <c r="AX276" s="1">
        <v>2707</v>
      </c>
      <c r="AY276" s="1">
        <v>2774</v>
      </c>
      <c r="AZ276" s="1">
        <v>2733</v>
      </c>
      <c r="BA276" s="1">
        <v>2737</v>
      </c>
      <c r="BB276" s="1">
        <v>2817</v>
      </c>
      <c r="BC276" s="1">
        <v>2800</v>
      </c>
      <c r="BD276" s="1">
        <v>2786</v>
      </c>
      <c r="BE276" s="1">
        <v>2868</v>
      </c>
      <c r="BF276" s="1">
        <v>3010</v>
      </c>
      <c r="BG276" s="1">
        <v>3055</v>
      </c>
      <c r="BH276" s="1">
        <v>3045</v>
      </c>
      <c r="BI276" s="1">
        <v>3045</v>
      </c>
      <c r="BJ276" s="1">
        <v>3040</v>
      </c>
      <c r="BK276" s="1">
        <v>3020</v>
      </c>
      <c r="BL276" s="1">
        <v>3000</v>
      </c>
      <c r="BM276" s="1">
        <v>2995</v>
      </c>
      <c r="BN276" s="1">
        <v>2986</v>
      </c>
      <c r="BO276" s="1">
        <v>2934</v>
      </c>
      <c r="BP276" s="1">
        <v>2991</v>
      </c>
    </row>
    <row r="277" spans="1:68">
      <c r="A277" s="65" t="s">
        <v>490</v>
      </c>
      <c r="B277" s="1" t="str">
        <f>銘柄管理!C277</f>
        <v/>
      </c>
      <c r="C277" s="1" t="str">
        <f>_xll.RssMarket("3002","安値")</f>
        <v/>
      </c>
      <c r="E277" s="1">
        <v>3900</v>
      </c>
      <c r="F277" s="1">
        <v>3970</v>
      </c>
      <c r="G277" s="1">
        <v>3955</v>
      </c>
      <c r="H277" s="1">
        <v>3945</v>
      </c>
      <c r="I277" s="1">
        <v>3960</v>
      </c>
      <c r="J277" s="1">
        <v>4015</v>
      </c>
      <c r="K277" s="1">
        <v>4020</v>
      </c>
      <c r="L277" s="1">
        <v>4000</v>
      </c>
      <c r="M277" s="1">
        <v>3945</v>
      </c>
      <c r="N277" s="1">
        <v>3860</v>
      </c>
      <c r="O277" s="1">
        <v>3845</v>
      </c>
      <c r="P277" s="1">
        <v>3835</v>
      </c>
      <c r="Q277" s="1">
        <v>3815</v>
      </c>
      <c r="R277" s="1">
        <v>3840</v>
      </c>
      <c r="S277" s="1">
        <v>3800</v>
      </c>
      <c r="T277" s="1">
        <v>3820</v>
      </c>
      <c r="U277" s="1">
        <v>3815</v>
      </c>
      <c r="V277" s="1">
        <v>3810</v>
      </c>
      <c r="W277" s="1">
        <v>3795</v>
      </c>
      <c r="X277" s="1">
        <v>3790</v>
      </c>
      <c r="Y277" s="1">
        <v>3815</v>
      </c>
      <c r="Z277" s="1">
        <v>3790</v>
      </c>
      <c r="AA277" s="1">
        <v>3695</v>
      </c>
      <c r="AB277" s="1">
        <v>3725</v>
      </c>
      <c r="AC277" s="1">
        <v>3635</v>
      </c>
      <c r="AD277" s="1">
        <v>3695</v>
      </c>
      <c r="AE277" s="1">
        <v>3665</v>
      </c>
      <c r="AF277" s="1">
        <v>3655</v>
      </c>
      <c r="AG277" s="1">
        <v>3630</v>
      </c>
      <c r="AH277" s="1">
        <v>3700</v>
      </c>
      <c r="AI277" s="1">
        <v>3670</v>
      </c>
      <c r="AJ277" s="1">
        <v>3665</v>
      </c>
      <c r="AK277" s="1">
        <v>3625</v>
      </c>
      <c r="AL277" s="1">
        <v>3650</v>
      </c>
      <c r="AM277" s="1">
        <v>3670</v>
      </c>
      <c r="AN277" s="1">
        <v>3605</v>
      </c>
      <c r="AO277" s="1">
        <v>3695</v>
      </c>
      <c r="AP277" s="1">
        <v>3660</v>
      </c>
      <c r="AQ277" s="1">
        <v>3655</v>
      </c>
      <c r="AR277" s="1">
        <v>3545</v>
      </c>
      <c r="AS277" s="1">
        <v>3570</v>
      </c>
      <c r="AT277" s="1">
        <v>3575</v>
      </c>
      <c r="AU277" s="1">
        <v>3615</v>
      </c>
      <c r="AV277" s="1">
        <v>3555</v>
      </c>
      <c r="AW277" s="1">
        <v>3620</v>
      </c>
      <c r="AX277" s="1">
        <v>3590</v>
      </c>
      <c r="AY277" s="1">
        <v>3600</v>
      </c>
      <c r="AZ277" s="1">
        <v>3665</v>
      </c>
      <c r="BA277" s="1">
        <v>3625</v>
      </c>
      <c r="BB277" s="1">
        <v>3665</v>
      </c>
      <c r="BC277" s="1">
        <v>3670</v>
      </c>
      <c r="BD277" s="1">
        <v>3740</v>
      </c>
      <c r="BE277" s="1">
        <v>3835</v>
      </c>
      <c r="BF277" s="1">
        <v>3915</v>
      </c>
      <c r="BG277" s="1">
        <v>3890</v>
      </c>
      <c r="BH277" s="1">
        <v>3880</v>
      </c>
      <c r="BI277" s="1">
        <v>3845</v>
      </c>
      <c r="BJ277" s="1">
        <v>3875</v>
      </c>
      <c r="BK277" s="1">
        <v>3900</v>
      </c>
      <c r="BL277" s="1">
        <v>3930</v>
      </c>
      <c r="BM277" s="1">
        <v>3935</v>
      </c>
      <c r="BN277" s="1">
        <v>3900</v>
      </c>
      <c r="BO277" s="1">
        <v>3835</v>
      </c>
      <c r="BP277" s="1">
        <v>3805</v>
      </c>
    </row>
    <row r="278" spans="1:68">
      <c r="A278" s="65" t="s">
        <v>491</v>
      </c>
      <c r="B278" s="1" t="str">
        <f>銘柄管理!C278</f>
        <v/>
      </c>
      <c r="C278" s="1" t="str">
        <f>_xll.RssMarket("8871","安値")</f>
        <v/>
      </c>
      <c r="E278" s="1">
        <v>3300</v>
      </c>
      <c r="F278" s="1">
        <v>3360</v>
      </c>
      <c r="G278" s="1">
        <v>3345</v>
      </c>
      <c r="H278" s="1">
        <v>3325</v>
      </c>
      <c r="I278" s="1">
        <v>3335</v>
      </c>
      <c r="J278" s="1">
        <v>3355</v>
      </c>
      <c r="K278" s="1">
        <v>3385</v>
      </c>
      <c r="L278" s="1">
        <v>3330</v>
      </c>
      <c r="M278" s="1">
        <v>3295</v>
      </c>
      <c r="N278" s="1">
        <v>3280</v>
      </c>
      <c r="O278" s="1">
        <v>3250</v>
      </c>
      <c r="P278" s="1">
        <v>3210</v>
      </c>
      <c r="Q278" s="1">
        <v>3230</v>
      </c>
      <c r="R278" s="1">
        <v>3290</v>
      </c>
      <c r="S278" s="1">
        <v>3215</v>
      </c>
      <c r="T278" s="1">
        <v>3210</v>
      </c>
      <c r="U278" s="1">
        <v>3230</v>
      </c>
      <c r="V278" s="1">
        <v>3210</v>
      </c>
      <c r="W278" s="1">
        <v>3220</v>
      </c>
      <c r="X278" s="1">
        <v>3245</v>
      </c>
      <c r="Y278" s="1">
        <v>3280</v>
      </c>
      <c r="Z278" s="1">
        <v>3335</v>
      </c>
      <c r="AA278" s="1">
        <v>3280</v>
      </c>
      <c r="AB278" s="1">
        <v>3310</v>
      </c>
      <c r="AC278" s="1">
        <v>3275</v>
      </c>
      <c r="AD278" s="1">
        <v>3220</v>
      </c>
      <c r="AE278" s="1">
        <v>3305</v>
      </c>
      <c r="AF278" s="1">
        <v>3400</v>
      </c>
      <c r="AG278" s="1">
        <v>3535</v>
      </c>
      <c r="AH278" s="1">
        <v>3475</v>
      </c>
      <c r="AI278" s="1">
        <v>3500</v>
      </c>
      <c r="AJ278" s="1">
        <v>3455</v>
      </c>
      <c r="AK278" s="1">
        <v>3485</v>
      </c>
      <c r="AL278" s="1">
        <v>3525</v>
      </c>
      <c r="AM278" s="1">
        <v>3530</v>
      </c>
      <c r="AN278" s="1">
        <v>3660</v>
      </c>
      <c r="AO278" s="1">
        <v>3615</v>
      </c>
      <c r="AP278" s="1">
        <v>3525</v>
      </c>
      <c r="AQ278" s="1">
        <v>3225</v>
      </c>
      <c r="AR278" s="1">
        <v>3275</v>
      </c>
      <c r="AS278" s="1">
        <v>3320</v>
      </c>
      <c r="AT278" s="1">
        <v>3305</v>
      </c>
      <c r="AU278" s="1">
        <v>3295</v>
      </c>
      <c r="AV278" s="1">
        <v>3320</v>
      </c>
      <c r="AW278" s="1">
        <v>3310</v>
      </c>
      <c r="AX278" s="1">
        <v>3310</v>
      </c>
      <c r="AY278" s="1">
        <v>3320</v>
      </c>
      <c r="AZ278" s="1">
        <v>3285</v>
      </c>
      <c r="BA278" s="1">
        <v>3285</v>
      </c>
      <c r="BB278" s="1">
        <v>3290</v>
      </c>
      <c r="BC278" s="1">
        <v>3295</v>
      </c>
      <c r="BD278" s="1">
        <v>3380</v>
      </c>
      <c r="BE278" s="1">
        <v>3405</v>
      </c>
      <c r="BF278" s="1">
        <v>3410</v>
      </c>
      <c r="BG278" s="1">
        <v>3460</v>
      </c>
      <c r="BH278" s="1">
        <v>3440</v>
      </c>
      <c r="BI278" s="1">
        <v>3435</v>
      </c>
      <c r="BJ278" s="1">
        <v>3460</v>
      </c>
      <c r="BK278" s="1">
        <v>3500</v>
      </c>
      <c r="BL278" s="1">
        <v>3480</v>
      </c>
      <c r="BM278" s="1">
        <v>3480</v>
      </c>
      <c r="BN278" s="1">
        <v>3430</v>
      </c>
      <c r="BO278" s="1">
        <v>3435</v>
      </c>
      <c r="BP278" s="1">
        <v>3310</v>
      </c>
    </row>
    <row r="279" spans="1:68">
      <c r="A279" s="65" t="s">
        <v>492</v>
      </c>
      <c r="B279" s="1" t="str">
        <f>銘柄管理!C279</f>
        <v/>
      </c>
      <c r="C279" s="1" t="str">
        <f>_xll.RssMarket("6918","安値")</f>
        <v/>
      </c>
      <c r="E279" s="1">
        <v>2916</v>
      </c>
      <c r="F279" s="1">
        <v>3235</v>
      </c>
      <c r="G279" s="1">
        <v>3165</v>
      </c>
      <c r="H279" s="1">
        <v>3200</v>
      </c>
      <c r="I279" s="1">
        <v>3130</v>
      </c>
      <c r="J279" s="1">
        <v>3115</v>
      </c>
      <c r="K279" s="1">
        <v>3210</v>
      </c>
      <c r="L279" s="1">
        <v>3325</v>
      </c>
      <c r="M279" s="1">
        <v>3215</v>
      </c>
      <c r="N279" s="1">
        <v>3290</v>
      </c>
      <c r="O279" s="1">
        <v>3220</v>
      </c>
      <c r="P279" s="1">
        <v>3150</v>
      </c>
      <c r="Q279" s="1">
        <v>3220</v>
      </c>
      <c r="R279" s="1">
        <v>3395</v>
      </c>
      <c r="S279" s="1">
        <v>3275</v>
      </c>
      <c r="T279" s="1">
        <v>3375</v>
      </c>
      <c r="U279" s="1">
        <v>3345</v>
      </c>
      <c r="V279" s="1">
        <v>3290</v>
      </c>
      <c r="W279" s="1">
        <v>3370</v>
      </c>
      <c r="X279" s="1">
        <v>3190</v>
      </c>
      <c r="Y279" s="1">
        <v>3200</v>
      </c>
      <c r="Z279" s="1">
        <v>3135</v>
      </c>
      <c r="AA279" s="1">
        <v>3030</v>
      </c>
      <c r="AB279" s="1">
        <v>2824</v>
      </c>
      <c r="AC279" s="1">
        <v>2866</v>
      </c>
      <c r="AD279" s="1">
        <v>3005</v>
      </c>
      <c r="AE279" s="1">
        <v>3145</v>
      </c>
      <c r="AF279" s="1">
        <v>3160</v>
      </c>
      <c r="AG279" s="1">
        <v>3260</v>
      </c>
      <c r="AH279" s="1">
        <v>3285</v>
      </c>
      <c r="AI279" s="1">
        <v>3430</v>
      </c>
      <c r="AJ279" s="1">
        <v>3290</v>
      </c>
      <c r="AK279" s="1">
        <v>3265</v>
      </c>
      <c r="AL279" s="1">
        <v>3405</v>
      </c>
      <c r="AM279" s="1">
        <v>3345</v>
      </c>
      <c r="AN279" s="1">
        <v>3360</v>
      </c>
      <c r="AO279" s="1">
        <v>3285</v>
      </c>
      <c r="AP279" s="1">
        <v>3485</v>
      </c>
      <c r="AQ279" s="1">
        <v>3560</v>
      </c>
      <c r="AR279" s="1">
        <v>3320</v>
      </c>
      <c r="AS279" s="1">
        <v>3435</v>
      </c>
      <c r="AT279" s="1">
        <v>3510</v>
      </c>
      <c r="AU279" s="1">
        <v>3605</v>
      </c>
      <c r="AV279" s="1">
        <v>3375</v>
      </c>
      <c r="AW279" s="1">
        <v>3230</v>
      </c>
      <c r="AX279" s="1">
        <v>3135</v>
      </c>
      <c r="AY279" s="1">
        <v>2908</v>
      </c>
      <c r="AZ279" s="1">
        <v>2883</v>
      </c>
      <c r="BA279" s="1">
        <v>2886</v>
      </c>
      <c r="BB279" s="1">
        <v>2952</v>
      </c>
      <c r="BC279" s="1">
        <v>2986</v>
      </c>
      <c r="BD279" s="1">
        <v>2966</v>
      </c>
      <c r="BE279" s="1">
        <v>2992</v>
      </c>
      <c r="BF279" s="1">
        <v>2907</v>
      </c>
      <c r="BG279" s="1">
        <v>2813</v>
      </c>
      <c r="BH279" s="1">
        <v>2800</v>
      </c>
      <c r="BI279" s="1">
        <v>2816</v>
      </c>
      <c r="BJ279" s="1">
        <v>2800</v>
      </c>
      <c r="BK279" s="1">
        <v>2820</v>
      </c>
      <c r="BL279" s="1">
        <v>2747</v>
      </c>
      <c r="BM279" s="1">
        <v>2727</v>
      </c>
      <c r="BN279" s="1">
        <v>2676</v>
      </c>
      <c r="BO279" s="1">
        <v>2655</v>
      </c>
    </row>
    <row r="280" spans="1:68">
      <c r="A280" s="65" t="s">
        <v>493</v>
      </c>
      <c r="B280" s="1" t="str">
        <f>銘柄管理!C280</f>
        <v/>
      </c>
      <c r="C280" s="1" t="str">
        <f>_xll.RssMarket("6488","安値")</f>
        <v/>
      </c>
      <c r="E280" s="1">
        <v>960</v>
      </c>
      <c r="F280" s="1">
        <v>970</v>
      </c>
      <c r="G280" s="1">
        <v>975</v>
      </c>
      <c r="H280" s="1">
        <v>968</v>
      </c>
      <c r="I280" s="1">
        <v>956</v>
      </c>
      <c r="J280" s="1">
        <v>953</v>
      </c>
      <c r="K280" s="1">
        <v>957</v>
      </c>
      <c r="L280" s="1">
        <v>961</v>
      </c>
      <c r="M280" s="1">
        <v>954</v>
      </c>
      <c r="N280" s="1">
        <v>943</v>
      </c>
      <c r="O280" s="1">
        <v>936</v>
      </c>
      <c r="P280" s="1">
        <v>933</v>
      </c>
      <c r="Q280" s="1">
        <v>931</v>
      </c>
      <c r="R280" s="1">
        <v>925</v>
      </c>
      <c r="S280" s="1">
        <v>932</v>
      </c>
      <c r="T280" s="1">
        <v>921</v>
      </c>
      <c r="U280" s="1">
        <v>930</v>
      </c>
      <c r="V280" s="1">
        <v>939</v>
      </c>
      <c r="W280" s="1">
        <v>930</v>
      </c>
      <c r="X280" s="1">
        <v>923</v>
      </c>
      <c r="Y280" s="1">
        <v>920</v>
      </c>
      <c r="Z280" s="1">
        <v>917</v>
      </c>
      <c r="AA280" s="1">
        <v>915</v>
      </c>
      <c r="AB280" s="1">
        <v>913</v>
      </c>
      <c r="AC280" s="1">
        <v>910</v>
      </c>
      <c r="AD280" s="1">
        <v>921</v>
      </c>
      <c r="AE280" s="1">
        <v>928</v>
      </c>
      <c r="AF280" s="1">
        <v>933</v>
      </c>
      <c r="AG280" s="1">
        <v>928</v>
      </c>
      <c r="AH280" s="1">
        <v>923</v>
      </c>
      <c r="AI280" s="1">
        <v>920</v>
      </c>
      <c r="AJ280" s="1">
        <v>925</v>
      </c>
      <c r="AK280" s="1">
        <v>920</v>
      </c>
      <c r="AL280" s="1">
        <v>930</v>
      </c>
      <c r="AM280" s="1">
        <v>950</v>
      </c>
      <c r="AN280" s="1">
        <v>960</v>
      </c>
      <c r="AO280" s="1">
        <v>953</v>
      </c>
      <c r="AP280" s="1">
        <v>961</v>
      </c>
      <c r="AQ280" s="1">
        <v>951</v>
      </c>
      <c r="AR280" s="1">
        <v>958</v>
      </c>
      <c r="AS280" s="1">
        <v>938</v>
      </c>
      <c r="AT280" s="1">
        <v>931</v>
      </c>
      <c r="AU280" s="1">
        <v>932</v>
      </c>
      <c r="AV280" s="1">
        <v>935</v>
      </c>
      <c r="AW280" s="1">
        <v>934</v>
      </c>
      <c r="AX280" s="1">
        <v>930</v>
      </c>
      <c r="AY280" s="1">
        <v>934</v>
      </c>
      <c r="AZ280" s="1">
        <v>940</v>
      </c>
      <c r="BA280" s="1">
        <v>935</v>
      </c>
      <c r="BB280" s="1">
        <v>933</v>
      </c>
      <c r="BC280" s="1">
        <v>934</v>
      </c>
      <c r="BD280" s="1">
        <v>931</v>
      </c>
      <c r="BE280" s="1">
        <v>925</v>
      </c>
      <c r="BF280" s="1">
        <v>940</v>
      </c>
      <c r="BG280" s="1">
        <v>942</v>
      </c>
      <c r="BH280" s="1">
        <v>952</v>
      </c>
      <c r="BI280" s="1">
        <v>930</v>
      </c>
      <c r="BJ280" s="1">
        <v>937</v>
      </c>
      <c r="BK280" s="1">
        <v>940</v>
      </c>
      <c r="BL280" s="1">
        <v>926</v>
      </c>
      <c r="BM280" s="1">
        <v>942</v>
      </c>
      <c r="BN280" s="1">
        <v>941</v>
      </c>
      <c r="BO280" s="1">
        <v>938</v>
      </c>
      <c r="BP280" s="1">
        <v>929</v>
      </c>
    </row>
    <row r="281" spans="1:68">
      <c r="A281" s="65" t="s">
        <v>494</v>
      </c>
      <c r="B281" s="1" t="str">
        <f>銘柄管理!C281</f>
        <v/>
      </c>
      <c r="C281" s="1" t="str">
        <f>_xll.RssMarket("8007","安値")</f>
        <v/>
      </c>
      <c r="E281" s="1">
        <v>770</v>
      </c>
      <c r="F281" s="1">
        <v>780</v>
      </c>
      <c r="G281" s="1">
        <v>773</v>
      </c>
      <c r="H281" s="1">
        <v>772</v>
      </c>
      <c r="I281" s="1">
        <v>774</v>
      </c>
      <c r="J281" s="1">
        <v>769</v>
      </c>
      <c r="K281" s="1">
        <v>770</v>
      </c>
      <c r="L281" s="1">
        <v>769</v>
      </c>
      <c r="M281" s="1">
        <v>764</v>
      </c>
      <c r="N281" s="1">
        <v>756</v>
      </c>
      <c r="O281" s="1">
        <v>753</v>
      </c>
      <c r="P281" s="1">
        <v>751</v>
      </c>
      <c r="Q281" s="1">
        <v>757</v>
      </c>
      <c r="R281" s="1">
        <v>753</v>
      </c>
      <c r="S281" s="1">
        <v>742</v>
      </c>
      <c r="T281" s="1">
        <v>738</v>
      </c>
      <c r="U281" s="1">
        <v>739</v>
      </c>
      <c r="V281" s="1">
        <v>738</v>
      </c>
      <c r="W281" s="1">
        <v>743</v>
      </c>
      <c r="X281" s="1">
        <v>741</v>
      </c>
      <c r="Y281" s="1">
        <v>746</v>
      </c>
      <c r="Z281" s="1">
        <v>741</v>
      </c>
      <c r="AA281" s="1">
        <v>746</v>
      </c>
      <c r="AB281" s="1">
        <v>735</v>
      </c>
      <c r="AC281" s="1">
        <v>729</v>
      </c>
      <c r="AD281" s="1">
        <v>737</v>
      </c>
      <c r="AE281" s="1">
        <v>725</v>
      </c>
      <c r="AF281" s="1">
        <v>732</v>
      </c>
      <c r="AG281" s="1">
        <v>724</v>
      </c>
      <c r="AH281" s="1">
        <v>720</v>
      </c>
      <c r="AI281" s="1">
        <v>715</v>
      </c>
      <c r="AJ281" s="1">
        <v>753</v>
      </c>
      <c r="AK281" s="1">
        <v>747</v>
      </c>
      <c r="AL281" s="1">
        <v>737</v>
      </c>
      <c r="AM281" s="1">
        <v>736</v>
      </c>
      <c r="AN281" s="1">
        <v>733</v>
      </c>
      <c r="AO281" s="1">
        <v>723</v>
      </c>
      <c r="AP281" s="1">
        <v>741</v>
      </c>
      <c r="AQ281" s="1">
        <v>746</v>
      </c>
      <c r="AR281" s="1">
        <v>755</v>
      </c>
      <c r="AS281" s="1">
        <v>696</v>
      </c>
      <c r="AT281" s="1">
        <v>680</v>
      </c>
      <c r="AU281" s="1">
        <v>764</v>
      </c>
      <c r="AV281" s="1">
        <v>768</v>
      </c>
      <c r="AW281" s="1">
        <v>776</v>
      </c>
      <c r="AX281" s="1">
        <v>786</v>
      </c>
      <c r="AY281" s="1">
        <v>782</v>
      </c>
      <c r="AZ281" s="1">
        <v>781</v>
      </c>
      <c r="BA281" s="1">
        <v>775</v>
      </c>
      <c r="BB281" s="1">
        <v>766</v>
      </c>
      <c r="BC281" s="1">
        <v>768</v>
      </c>
      <c r="BD281" s="1">
        <v>770</v>
      </c>
      <c r="BE281" s="1">
        <v>776</v>
      </c>
      <c r="BF281" s="1">
        <v>786</v>
      </c>
      <c r="BG281" s="1">
        <v>793</v>
      </c>
      <c r="BH281" s="1">
        <v>804</v>
      </c>
      <c r="BI281" s="1">
        <v>809</v>
      </c>
      <c r="BJ281" s="1">
        <v>808</v>
      </c>
      <c r="BK281" s="1">
        <v>809</v>
      </c>
      <c r="BL281" s="1">
        <v>808</v>
      </c>
      <c r="BM281" s="1">
        <v>814</v>
      </c>
      <c r="BN281" s="1">
        <v>824</v>
      </c>
      <c r="BO281" s="1">
        <v>826</v>
      </c>
      <c r="BP281" s="1">
        <v>822</v>
      </c>
    </row>
    <row r="282" spans="1:68">
      <c r="A282" s="65" t="s">
        <v>495</v>
      </c>
      <c r="B282" s="1" t="str">
        <f>銘柄管理!C282</f>
        <v/>
      </c>
      <c r="C282" s="1" t="str">
        <f>_xll.RssMarket("4218","安値")</f>
        <v/>
      </c>
      <c r="E282" s="1">
        <v>1924</v>
      </c>
      <c r="F282" s="1">
        <v>1905</v>
      </c>
      <c r="G282" s="1">
        <v>1894</v>
      </c>
      <c r="H282" s="1">
        <v>1897</v>
      </c>
      <c r="I282" s="1">
        <v>1906</v>
      </c>
      <c r="J282" s="1">
        <v>1900</v>
      </c>
      <c r="K282" s="1">
        <v>1886</v>
      </c>
      <c r="L282" s="1">
        <v>1885</v>
      </c>
      <c r="M282" s="1">
        <v>1881</v>
      </c>
      <c r="N282" s="1">
        <v>1875</v>
      </c>
      <c r="O282" s="1">
        <v>1870</v>
      </c>
      <c r="P282" s="1">
        <v>1873</v>
      </c>
      <c r="Q282" s="1">
        <v>1860</v>
      </c>
      <c r="R282" s="1">
        <v>1855</v>
      </c>
      <c r="S282" s="1">
        <v>1845</v>
      </c>
      <c r="T282" s="1">
        <v>1830</v>
      </c>
      <c r="U282" s="1">
        <v>1817</v>
      </c>
      <c r="V282" s="1">
        <v>1816</v>
      </c>
      <c r="W282" s="1">
        <v>1829</v>
      </c>
      <c r="X282" s="1">
        <v>1833</v>
      </c>
      <c r="Y282" s="1">
        <v>1834</v>
      </c>
      <c r="Z282" s="1">
        <v>1829</v>
      </c>
      <c r="AA282" s="1">
        <v>1840</v>
      </c>
      <c r="AB282" s="1">
        <v>1829</v>
      </c>
      <c r="AC282" s="1">
        <v>1816</v>
      </c>
      <c r="AD282" s="1">
        <v>1803</v>
      </c>
      <c r="AE282" s="1">
        <v>1790</v>
      </c>
      <c r="AF282" s="1">
        <v>1795</v>
      </c>
      <c r="AG282" s="1">
        <v>1790</v>
      </c>
      <c r="AH282" s="1">
        <v>1781</v>
      </c>
      <c r="AI282" s="1">
        <v>1790</v>
      </c>
      <c r="AJ282" s="1">
        <v>1825</v>
      </c>
      <c r="AK282" s="1">
        <v>1844</v>
      </c>
      <c r="AL282" s="1">
        <v>1856</v>
      </c>
      <c r="AM282" s="1">
        <v>1857</v>
      </c>
      <c r="AN282" s="1">
        <v>1854</v>
      </c>
      <c r="AO282" s="1">
        <v>1859</v>
      </c>
      <c r="AP282" s="1">
        <v>1851</v>
      </c>
      <c r="AQ282" s="1">
        <v>1864</v>
      </c>
      <c r="AR282" s="1">
        <v>1857</v>
      </c>
      <c r="AS282" s="1">
        <v>1870</v>
      </c>
      <c r="AT282" s="1">
        <v>1822</v>
      </c>
      <c r="AU282" s="1">
        <v>1823</v>
      </c>
      <c r="AV282" s="1">
        <v>1821</v>
      </c>
      <c r="AW282" s="1">
        <v>1817</v>
      </c>
      <c r="AX282" s="1">
        <v>1825</v>
      </c>
      <c r="AY282" s="1">
        <v>1833</v>
      </c>
      <c r="AZ282" s="1">
        <v>1810</v>
      </c>
      <c r="BA282" s="1">
        <v>1809</v>
      </c>
      <c r="BB282" s="1">
        <v>1808</v>
      </c>
      <c r="BC282" s="1">
        <v>1811</v>
      </c>
      <c r="BD282" s="1">
        <v>1823</v>
      </c>
      <c r="BE282" s="1">
        <v>1842</v>
      </c>
      <c r="BF282" s="1">
        <v>1856</v>
      </c>
      <c r="BG282" s="1">
        <v>1872</v>
      </c>
      <c r="BH282" s="1">
        <v>1884</v>
      </c>
      <c r="BI282" s="1">
        <v>1884</v>
      </c>
      <c r="BJ282" s="1">
        <v>1881</v>
      </c>
      <c r="BK282" s="1">
        <v>1882</v>
      </c>
      <c r="BL282" s="1">
        <v>1876</v>
      </c>
      <c r="BM282" s="1">
        <v>1885</v>
      </c>
      <c r="BN282" s="1">
        <v>1890</v>
      </c>
      <c r="BO282" s="1">
        <v>1896</v>
      </c>
    </row>
    <row r="283" spans="1:68">
      <c r="A283" s="65" t="s">
        <v>496</v>
      </c>
      <c r="B283" s="1" t="str">
        <f>銘柄管理!C283</f>
        <v/>
      </c>
      <c r="C283" s="1" t="str">
        <f>_xll.RssMarket("7735","安値")</f>
        <v/>
      </c>
      <c r="E283" s="1">
        <v>16030</v>
      </c>
      <c r="F283" s="1">
        <v>18100</v>
      </c>
      <c r="G283" s="1">
        <v>17270</v>
      </c>
      <c r="H283" s="1">
        <v>17645</v>
      </c>
      <c r="I283" s="1">
        <v>17805</v>
      </c>
      <c r="J283" s="1">
        <v>17315</v>
      </c>
      <c r="K283" s="1">
        <v>16265</v>
      </c>
      <c r="L283" s="1">
        <v>16750</v>
      </c>
      <c r="M283" s="1">
        <v>17295</v>
      </c>
      <c r="N283" s="1">
        <v>16920</v>
      </c>
      <c r="O283" s="1">
        <v>17840</v>
      </c>
      <c r="P283" s="1">
        <v>18385</v>
      </c>
      <c r="Q283" s="1">
        <v>16960</v>
      </c>
      <c r="R283" s="1">
        <v>15740</v>
      </c>
      <c r="S283" s="1">
        <v>16350</v>
      </c>
      <c r="T283" s="1">
        <v>16810</v>
      </c>
      <c r="U283" s="1">
        <v>15900</v>
      </c>
      <c r="V283" s="1">
        <v>16125</v>
      </c>
      <c r="W283" s="1">
        <v>16450</v>
      </c>
      <c r="X283" s="1">
        <v>16435</v>
      </c>
      <c r="Y283" s="1">
        <v>15390</v>
      </c>
      <c r="Z283" s="1">
        <v>14550</v>
      </c>
      <c r="AA283" s="1">
        <v>14750</v>
      </c>
      <c r="AB283" s="1">
        <v>14410</v>
      </c>
      <c r="AC283" s="1">
        <v>13730</v>
      </c>
      <c r="AD283" s="1">
        <v>12460</v>
      </c>
      <c r="AE283" s="1">
        <v>12560</v>
      </c>
      <c r="AF283" s="1">
        <v>11275</v>
      </c>
      <c r="AG283" s="1">
        <v>12395</v>
      </c>
      <c r="AH283" s="1">
        <v>12955</v>
      </c>
      <c r="AI283" s="1">
        <v>12305</v>
      </c>
      <c r="AJ283" s="1">
        <v>10685</v>
      </c>
      <c r="AK283" s="1">
        <v>10850</v>
      </c>
      <c r="AL283" s="1">
        <v>10775</v>
      </c>
      <c r="AM283" s="1">
        <v>10880</v>
      </c>
      <c r="AN283" s="1">
        <v>10860</v>
      </c>
      <c r="AO283" s="1">
        <v>10670</v>
      </c>
      <c r="AP283" s="1">
        <v>10650</v>
      </c>
      <c r="AQ283" s="1">
        <v>10310</v>
      </c>
      <c r="AR283" s="1">
        <v>10290</v>
      </c>
      <c r="AS283" s="1">
        <v>10710</v>
      </c>
      <c r="AT283" s="1">
        <v>11155</v>
      </c>
      <c r="AU283" s="1">
        <v>11955</v>
      </c>
      <c r="AV283" s="1">
        <v>11050</v>
      </c>
      <c r="AW283" s="1">
        <v>11250</v>
      </c>
      <c r="AX283" s="1">
        <v>11275</v>
      </c>
      <c r="AY283" s="1">
        <v>10910</v>
      </c>
      <c r="AZ283" s="1">
        <v>10930</v>
      </c>
      <c r="BA283" s="1">
        <v>10390</v>
      </c>
      <c r="BB283" s="1">
        <v>10190</v>
      </c>
      <c r="BC283" s="1">
        <v>10380</v>
      </c>
      <c r="BD283" s="1">
        <v>10630</v>
      </c>
      <c r="BE283" s="1">
        <v>10390</v>
      </c>
      <c r="BF283" s="1">
        <v>10130</v>
      </c>
      <c r="BG283" s="1">
        <v>10310</v>
      </c>
      <c r="BH283" s="1">
        <v>10650</v>
      </c>
      <c r="BI283" s="1">
        <v>10490</v>
      </c>
      <c r="BJ283" s="1">
        <v>10510</v>
      </c>
      <c r="BK283" s="1">
        <v>10720</v>
      </c>
      <c r="BL283" s="1">
        <v>10820</v>
      </c>
      <c r="BM283" s="1">
        <v>10970</v>
      </c>
      <c r="BN283" s="1">
        <v>10440</v>
      </c>
      <c r="BO283" s="1">
        <v>10335</v>
      </c>
      <c r="BP283" s="1">
        <v>9940</v>
      </c>
    </row>
    <row r="284" spans="1:68">
      <c r="A284" s="65" t="s">
        <v>497</v>
      </c>
      <c r="B284" s="1" t="str">
        <f>銘柄管理!C284</f>
        <v/>
      </c>
      <c r="C284" s="1" t="str">
        <f>_xll.RssMarket("3905","安値")</f>
        <v/>
      </c>
      <c r="E284" s="1">
        <v>2440</v>
      </c>
      <c r="F284" s="1">
        <v>2761</v>
      </c>
      <c r="G284" s="1">
        <v>2760</v>
      </c>
      <c r="H284" s="1">
        <v>2792</v>
      </c>
      <c r="I284" s="1">
        <v>2766</v>
      </c>
      <c r="J284" s="1">
        <v>2746</v>
      </c>
      <c r="K284" s="1">
        <v>2673</v>
      </c>
      <c r="L284" s="1">
        <v>2755</v>
      </c>
      <c r="M284" s="1">
        <v>2914</v>
      </c>
      <c r="N284" s="1">
        <v>2941</v>
      </c>
      <c r="O284" s="1">
        <v>3070</v>
      </c>
      <c r="P284" s="1">
        <v>3310</v>
      </c>
      <c r="Q284" s="1">
        <v>3340</v>
      </c>
      <c r="R284" s="1">
        <v>3510</v>
      </c>
      <c r="S284" s="1">
        <v>4160</v>
      </c>
      <c r="T284" s="1">
        <v>4565</v>
      </c>
      <c r="U284" s="1">
        <v>4340</v>
      </c>
      <c r="V284" s="1">
        <v>4510</v>
      </c>
      <c r="W284" s="1">
        <v>4835</v>
      </c>
      <c r="X284" s="1">
        <v>5090</v>
      </c>
      <c r="Y284" s="1">
        <v>4700</v>
      </c>
      <c r="Z284" s="1">
        <v>4780</v>
      </c>
      <c r="AA284" s="1">
        <v>4585</v>
      </c>
      <c r="AB284" s="1">
        <v>4525</v>
      </c>
      <c r="AC284" s="1">
        <v>4225</v>
      </c>
      <c r="AD284" s="1">
        <v>4260</v>
      </c>
      <c r="AE284" s="1">
        <v>4130</v>
      </c>
      <c r="AF284" s="1">
        <v>4480</v>
      </c>
      <c r="AG284" s="1">
        <v>4810</v>
      </c>
      <c r="AH284" s="1">
        <v>4715</v>
      </c>
      <c r="AI284" s="1">
        <v>5000</v>
      </c>
      <c r="AJ284" s="1">
        <v>4310</v>
      </c>
      <c r="AK284" s="1">
        <v>5360</v>
      </c>
      <c r="AL284" s="1">
        <v>4335</v>
      </c>
      <c r="AM284" s="1">
        <v>4325</v>
      </c>
      <c r="AN284" s="1">
        <v>4100</v>
      </c>
      <c r="AO284" s="1">
        <v>4200</v>
      </c>
      <c r="AP284" s="1">
        <v>3260</v>
      </c>
      <c r="AQ284" s="1">
        <v>2945</v>
      </c>
      <c r="AR284" s="1">
        <v>3345</v>
      </c>
      <c r="AS284" s="1">
        <v>2843</v>
      </c>
      <c r="AT284" s="1">
        <v>2194</v>
      </c>
      <c r="AU284" s="1">
        <v>2107</v>
      </c>
      <c r="AV284" s="1">
        <v>2105</v>
      </c>
      <c r="AW284" s="1">
        <v>2200</v>
      </c>
      <c r="AX284" s="1">
        <v>1946</v>
      </c>
      <c r="AY284" s="1">
        <v>1668</v>
      </c>
      <c r="AZ284" s="1">
        <v>1514</v>
      </c>
      <c r="BA284" s="1">
        <v>1469</v>
      </c>
      <c r="BB284" s="1">
        <v>1460</v>
      </c>
      <c r="BC284" s="1">
        <v>1441</v>
      </c>
      <c r="BD284" s="1">
        <v>1406</v>
      </c>
      <c r="BE284" s="1">
        <v>1464</v>
      </c>
      <c r="BF284" s="1">
        <v>1462</v>
      </c>
      <c r="BG284" s="1">
        <v>1486</v>
      </c>
      <c r="BH284" s="1">
        <v>1568</v>
      </c>
      <c r="BI284" s="1">
        <v>1501</v>
      </c>
      <c r="BJ284" s="1">
        <v>1551</v>
      </c>
      <c r="BK284" s="1">
        <v>1442</v>
      </c>
      <c r="BL284" s="1">
        <v>1434</v>
      </c>
      <c r="BM284" s="1">
        <v>1380</v>
      </c>
      <c r="BN284" s="1">
        <v>1343</v>
      </c>
      <c r="BO284" s="1">
        <v>1346</v>
      </c>
      <c r="BP284" s="1">
        <v>1335</v>
      </c>
    </row>
    <row r="285" spans="1:68">
      <c r="A285" s="65" t="s">
        <v>498</v>
      </c>
      <c r="B285" s="1" t="str">
        <f>銘柄管理!C285</f>
        <v/>
      </c>
      <c r="C285" s="1" t="str">
        <f>_xll.RssMarket("3397","安値")</f>
        <v/>
      </c>
      <c r="E285" s="1">
        <v>4116</v>
      </c>
      <c r="F285" s="1">
        <v>4038</v>
      </c>
      <c r="G285" s="1">
        <v>4049</v>
      </c>
      <c r="H285" s="1">
        <v>3992</v>
      </c>
      <c r="I285" s="1">
        <v>3961</v>
      </c>
      <c r="J285" s="1">
        <v>3972</v>
      </c>
      <c r="K285" s="1">
        <v>3967</v>
      </c>
      <c r="L285" s="1">
        <v>3890</v>
      </c>
      <c r="M285" s="1">
        <v>3835</v>
      </c>
      <c r="N285" s="1">
        <v>3842</v>
      </c>
      <c r="O285" s="1">
        <v>3772</v>
      </c>
      <c r="P285" s="1">
        <v>3844</v>
      </c>
      <c r="Q285" s="1">
        <v>3760</v>
      </c>
      <c r="R285" s="1">
        <v>3727</v>
      </c>
      <c r="S285" s="1">
        <v>3652</v>
      </c>
      <c r="T285" s="1">
        <v>3600</v>
      </c>
      <c r="U285" s="1">
        <v>3492</v>
      </c>
      <c r="V285" s="1">
        <v>3540</v>
      </c>
      <c r="W285" s="1">
        <v>3552</v>
      </c>
      <c r="X285" s="1">
        <v>3650</v>
      </c>
      <c r="Y285" s="1">
        <v>3702</v>
      </c>
      <c r="Z285" s="1">
        <v>3739</v>
      </c>
      <c r="AA285" s="1">
        <v>3800</v>
      </c>
      <c r="AB285" s="1">
        <v>3858</v>
      </c>
      <c r="AC285" s="1">
        <v>3768</v>
      </c>
      <c r="AD285" s="1">
        <v>3700</v>
      </c>
      <c r="AE285" s="1">
        <v>3676</v>
      </c>
      <c r="AF285" s="1">
        <v>3727</v>
      </c>
      <c r="AG285" s="1">
        <v>3780</v>
      </c>
      <c r="AH285" s="1">
        <v>3787</v>
      </c>
      <c r="AI285" s="1">
        <v>3783</v>
      </c>
      <c r="AJ285" s="1">
        <v>3736</v>
      </c>
      <c r="AK285" s="1">
        <v>3648</v>
      </c>
      <c r="AL285" s="1">
        <v>3850</v>
      </c>
      <c r="AM285" s="1">
        <v>3787</v>
      </c>
      <c r="AN285" s="1">
        <v>3800</v>
      </c>
      <c r="AO285" s="1">
        <v>3858</v>
      </c>
      <c r="AP285" s="1">
        <v>3775</v>
      </c>
      <c r="AQ285" s="1">
        <v>3715</v>
      </c>
      <c r="AR285" s="1">
        <v>3628</v>
      </c>
      <c r="AS285" s="1">
        <v>3880</v>
      </c>
      <c r="AT285" s="1">
        <v>3957</v>
      </c>
      <c r="AU285" s="1">
        <v>3913</v>
      </c>
      <c r="AV285" s="1">
        <v>3901</v>
      </c>
      <c r="AW285" s="1">
        <v>3956</v>
      </c>
      <c r="AX285" s="1">
        <v>3950</v>
      </c>
      <c r="AY285" s="1">
        <v>3996</v>
      </c>
      <c r="AZ285" s="1">
        <v>4040</v>
      </c>
      <c r="BA285" s="1">
        <v>4051</v>
      </c>
      <c r="BB285" s="1">
        <v>4053</v>
      </c>
      <c r="BC285" s="1">
        <v>4067</v>
      </c>
      <c r="BD285" s="1">
        <v>4108</v>
      </c>
      <c r="BE285" s="1">
        <v>4142</v>
      </c>
      <c r="BF285" s="1">
        <v>4157</v>
      </c>
      <c r="BG285" s="1">
        <v>4175</v>
      </c>
      <c r="BH285" s="1">
        <v>4165</v>
      </c>
      <c r="BI285" s="1">
        <v>4215</v>
      </c>
      <c r="BJ285" s="1">
        <v>4246</v>
      </c>
      <c r="BK285" s="1">
        <v>4225</v>
      </c>
      <c r="BL285" s="1">
        <v>4258</v>
      </c>
      <c r="BM285" s="1">
        <v>4286</v>
      </c>
      <c r="BN285" s="1">
        <v>4366</v>
      </c>
      <c r="BO285" s="1">
        <v>4499</v>
      </c>
      <c r="BP285" s="1">
        <v>4498</v>
      </c>
    </row>
    <row r="286" spans="1:68">
      <c r="A286" s="65" t="s">
        <v>499</v>
      </c>
      <c r="B286" s="1" t="str">
        <f>銘柄管理!C286</f>
        <v/>
      </c>
      <c r="C286" s="1" t="str">
        <f>_xll.RssMarket("7270","安値")</f>
        <v/>
      </c>
      <c r="E286" s="1">
        <v>2505</v>
      </c>
      <c r="F286" s="1">
        <v>2484</v>
      </c>
      <c r="G286" s="1">
        <v>2470</v>
      </c>
      <c r="H286" s="1">
        <v>2475</v>
      </c>
      <c r="I286" s="1">
        <v>2480.5</v>
      </c>
      <c r="J286" s="1">
        <v>2473</v>
      </c>
      <c r="K286" s="1">
        <v>2518</v>
      </c>
      <c r="L286" s="1">
        <v>2556.5</v>
      </c>
      <c r="M286" s="1">
        <v>2525</v>
      </c>
      <c r="N286" s="1">
        <v>2508</v>
      </c>
      <c r="O286" s="1">
        <v>2437.5</v>
      </c>
      <c r="P286" s="1">
        <v>2399</v>
      </c>
      <c r="Q286" s="1">
        <v>2369.5</v>
      </c>
      <c r="R286" s="1">
        <v>2371</v>
      </c>
      <c r="S286" s="1">
        <v>2370</v>
      </c>
      <c r="T286" s="1">
        <v>2365</v>
      </c>
      <c r="U286" s="1">
        <v>2371.5</v>
      </c>
      <c r="V286" s="1">
        <v>2391.5</v>
      </c>
      <c r="W286" s="1">
        <v>2400.5</v>
      </c>
      <c r="X286" s="1">
        <v>2436.5</v>
      </c>
      <c r="Y286" s="1">
        <v>2539.5</v>
      </c>
      <c r="Z286" s="1">
        <v>2569</v>
      </c>
      <c r="AA286" s="1">
        <v>2506.5</v>
      </c>
      <c r="AB286" s="1">
        <v>2505</v>
      </c>
      <c r="AC286" s="1">
        <v>2467.5</v>
      </c>
      <c r="AD286" s="1">
        <v>2472</v>
      </c>
      <c r="AE286" s="1">
        <v>2523.5</v>
      </c>
      <c r="AF286" s="1">
        <v>2462</v>
      </c>
      <c r="AG286" s="1">
        <v>2444</v>
      </c>
      <c r="AH286" s="1">
        <v>2453</v>
      </c>
      <c r="AI286" s="1">
        <v>2436.5</v>
      </c>
      <c r="AJ286" s="1">
        <v>2359.5</v>
      </c>
      <c r="AK286" s="1">
        <v>2442</v>
      </c>
      <c r="AL286" s="1">
        <v>2441.5</v>
      </c>
      <c r="AM286" s="1">
        <v>2424</v>
      </c>
      <c r="AN286" s="1">
        <v>2445</v>
      </c>
      <c r="AO286" s="1">
        <v>2439</v>
      </c>
      <c r="AP286" s="1">
        <v>2450</v>
      </c>
      <c r="AQ286" s="1">
        <v>2430.5</v>
      </c>
      <c r="AR286" s="1">
        <v>2357</v>
      </c>
      <c r="AS286" s="1">
        <v>2362</v>
      </c>
      <c r="AT286" s="1">
        <v>2435.5</v>
      </c>
      <c r="AU286" s="1">
        <v>2337.5</v>
      </c>
      <c r="AV286" s="1">
        <v>2266</v>
      </c>
      <c r="AW286" s="1">
        <v>2265</v>
      </c>
      <c r="AX286" s="1">
        <v>2247.5</v>
      </c>
      <c r="AY286" s="1">
        <v>2348</v>
      </c>
      <c r="AZ286" s="1">
        <v>2327</v>
      </c>
      <c r="BA286" s="1">
        <v>2334.5</v>
      </c>
      <c r="BB286" s="1">
        <v>2338</v>
      </c>
      <c r="BC286" s="1">
        <v>2438</v>
      </c>
      <c r="BD286" s="1">
        <v>2425</v>
      </c>
      <c r="BE286" s="1">
        <v>2447.5</v>
      </c>
      <c r="BF286" s="1">
        <v>2477.5</v>
      </c>
      <c r="BG286" s="1">
        <v>2500.5</v>
      </c>
      <c r="BH286" s="1">
        <v>2535</v>
      </c>
      <c r="BI286" s="1">
        <v>2542</v>
      </c>
      <c r="BJ286" s="1">
        <v>2527.5</v>
      </c>
      <c r="BK286" s="1">
        <v>2534.5</v>
      </c>
      <c r="BL286" s="1">
        <v>2498.5</v>
      </c>
      <c r="BM286" s="1">
        <v>2516.5</v>
      </c>
      <c r="BN286" s="1">
        <v>2501.5</v>
      </c>
      <c r="BO286" s="1">
        <v>2530</v>
      </c>
      <c r="BP286" s="1">
        <v>2531</v>
      </c>
    </row>
    <row r="287" spans="1:68">
      <c r="A287" s="65" t="s">
        <v>500</v>
      </c>
      <c r="B287" s="1" t="str">
        <f>銘柄管理!C287</f>
        <v/>
      </c>
      <c r="C287" s="1" t="str">
        <f>_xll.RssMarket("6736","安値")</f>
        <v/>
      </c>
      <c r="E287" s="1">
        <v>8740</v>
      </c>
      <c r="F287" s="1">
        <v>8780</v>
      </c>
      <c r="G287" s="1">
        <v>8720</v>
      </c>
      <c r="H287" s="1">
        <v>9390</v>
      </c>
      <c r="I287" s="1">
        <v>9860</v>
      </c>
      <c r="J287" s="1">
        <v>10470</v>
      </c>
      <c r="K287" s="1">
        <v>10280</v>
      </c>
      <c r="L287" s="1">
        <v>10950</v>
      </c>
      <c r="M287" s="1">
        <v>9390</v>
      </c>
      <c r="N287" s="1">
        <v>9290</v>
      </c>
      <c r="O287" s="1">
        <v>8800</v>
      </c>
      <c r="P287" s="1">
        <v>8520</v>
      </c>
      <c r="Q287" s="1">
        <v>8420</v>
      </c>
      <c r="R287" s="1">
        <v>8570</v>
      </c>
      <c r="S287" s="1">
        <v>9000</v>
      </c>
      <c r="T287" s="1">
        <v>8600</v>
      </c>
      <c r="U287" s="1">
        <v>8490</v>
      </c>
      <c r="V287" s="1">
        <v>8890</v>
      </c>
      <c r="W287" s="1">
        <v>9000</v>
      </c>
      <c r="X287" s="1">
        <v>9010</v>
      </c>
      <c r="Y287" s="1">
        <v>9030</v>
      </c>
      <c r="Z287" s="1">
        <v>8910</v>
      </c>
      <c r="AA287" s="1">
        <v>8980</v>
      </c>
      <c r="AB287" s="1">
        <v>8630</v>
      </c>
      <c r="AC287" s="1">
        <v>8680</v>
      </c>
      <c r="AD287" s="1">
        <v>8950</v>
      </c>
      <c r="AE287" s="1">
        <v>8380</v>
      </c>
      <c r="AF287" s="1">
        <v>8500</v>
      </c>
      <c r="AG287" s="1">
        <v>8600</v>
      </c>
      <c r="AH287" s="1">
        <v>8920</v>
      </c>
      <c r="AI287" s="1">
        <v>8950</v>
      </c>
      <c r="AJ287" s="1">
        <v>9090</v>
      </c>
      <c r="AK287" s="1">
        <v>9020</v>
      </c>
      <c r="AL287" s="1">
        <v>9030</v>
      </c>
      <c r="AM287" s="1">
        <v>8990</v>
      </c>
      <c r="AN287" s="1">
        <v>9100</v>
      </c>
      <c r="AO287" s="1">
        <v>8800</v>
      </c>
      <c r="AP287" s="1">
        <v>8690</v>
      </c>
      <c r="AQ287" s="1">
        <v>8640</v>
      </c>
      <c r="AR287" s="1">
        <v>8910</v>
      </c>
      <c r="AS287" s="1">
        <v>8760</v>
      </c>
      <c r="AT287" s="1">
        <v>8440</v>
      </c>
      <c r="AU287" s="1">
        <v>8340</v>
      </c>
      <c r="AV287" s="1">
        <v>8470</v>
      </c>
      <c r="AW287" s="1">
        <v>8860</v>
      </c>
      <c r="AX287" s="1">
        <v>8580</v>
      </c>
      <c r="AY287" s="1">
        <v>8520</v>
      </c>
      <c r="AZ287" s="1">
        <v>8520</v>
      </c>
      <c r="BA287" s="1">
        <v>8210</v>
      </c>
      <c r="BB287" s="1">
        <v>8190</v>
      </c>
      <c r="BC287" s="1">
        <v>7990</v>
      </c>
      <c r="BD287" s="1">
        <v>7970</v>
      </c>
      <c r="BE287" s="1">
        <v>7970</v>
      </c>
      <c r="BF287" s="1">
        <v>7950</v>
      </c>
      <c r="BG287" s="1">
        <v>7920</v>
      </c>
      <c r="BH287" s="1">
        <v>7920</v>
      </c>
      <c r="BI287" s="1">
        <v>7910</v>
      </c>
      <c r="BJ287" s="1">
        <v>7670</v>
      </c>
      <c r="BK287" s="1">
        <v>6970</v>
      </c>
      <c r="BL287" s="1">
        <v>7250</v>
      </c>
      <c r="BM287" s="1">
        <v>7480</v>
      </c>
      <c r="BN287" s="1">
        <v>8240</v>
      </c>
      <c r="BO287" s="1">
        <v>8710</v>
      </c>
      <c r="BP287" s="1">
        <v>8400</v>
      </c>
    </row>
    <row r="288" spans="1:68">
      <c r="A288" s="65" t="s">
        <v>501</v>
      </c>
      <c r="B288" s="1" t="str">
        <f>銘柄管理!C288</f>
        <v/>
      </c>
      <c r="C288" s="1" t="str">
        <f>_xll.RssMarket("2933","安値")</f>
        <v/>
      </c>
      <c r="E288" s="1">
        <v>1081</v>
      </c>
      <c r="F288" s="1">
        <v>1076</v>
      </c>
      <c r="G288" s="1">
        <v>1075</v>
      </c>
      <c r="H288" s="1">
        <v>1073</v>
      </c>
      <c r="I288" s="1">
        <v>1080</v>
      </c>
      <c r="J288" s="1">
        <v>1066</v>
      </c>
      <c r="K288" s="1">
        <v>1065</v>
      </c>
      <c r="L288" s="1">
        <v>1064</v>
      </c>
      <c r="M288" s="1">
        <v>1055</v>
      </c>
      <c r="N288" s="1">
        <v>1064</v>
      </c>
      <c r="O288" s="1">
        <v>1061</v>
      </c>
      <c r="P288" s="1">
        <v>1050</v>
      </c>
      <c r="Q288" s="1">
        <v>1053</v>
      </c>
      <c r="R288" s="1">
        <v>1055</v>
      </c>
      <c r="S288" s="1">
        <v>1053</v>
      </c>
      <c r="T288" s="1">
        <v>1052</v>
      </c>
      <c r="U288" s="1">
        <v>1046</v>
      </c>
      <c r="V288" s="1">
        <v>1050</v>
      </c>
      <c r="W288" s="1">
        <v>1039</v>
      </c>
      <c r="X288" s="1">
        <v>1045</v>
      </c>
      <c r="Y288" s="1">
        <v>1040</v>
      </c>
      <c r="Z288" s="1">
        <v>1043</v>
      </c>
      <c r="AA288" s="1">
        <v>1040</v>
      </c>
      <c r="AB288" s="1">
        <v>1033</v>
      </c>
      <c r="AC288" s="1">
        <v>1027</v>
      </c>
      <c r="AD288" s="1">
        <v>1022</v>
      </c>
      <c r="AE288" s="1">
        <v>1013</v>
      </c>
      <c r="AF288" s="1">
        <v>1018</v>
      </c>
      <c r="AG288" s="1">
        <v>1036</v>
      </c>
      <c r="AH288" s="1">
        <v>1033</v>
      </c>
      <c r="AI288" s="1">
        <v>1031</v>
      </c>
      <c r="AJ288" s="1">
        <v>1033</v>
      </c>
      <c r="AK288" s="1">
        <v>1038</v>
      </c>
      <c r="AL288" s="1">
        <v>1040</v>
      </c>
      <c r="AM288" s="1">
        <v>1037</v>
      </c>
      <c r="AN288" s="1">
        <v>1038</v>
      </c>
      <c r="AO288" s="1">
        <v>1033</v>
      </c>
      <c r="AP288" s="1">
        <v>1028</v>
      </c>
      <c r="AQ288" s="1">
        <v>1027</v>
      </c>
      <c r="AR288" s="1">
        <v>1030</v>
      </c>
      <c r="AS288" s="1">
        <v>1023</v>
      </c>
      <c r="AT288" s="1">
        <v>1024</v>
      </c>
      <c r="AU288" s="1">
        <v>1021</v>
      </c>
      <c r="AV288" s="1">
        <v>1030</v>
      </c>
      <c r="AW288" s="1">
        <v>1027</v>
      </c>
      <c r="AX288" s="1">
        <v>1025</v>
      </c>
      <c r="AY288" s="1">
        <v>1025</v>
      </c>
      <c r="AZ288" s="1">
        <v>1026</v>
      </c>
      <c r="BA288" s="1">
        <v>1030</v>
      </c>
      <c r="BB288" s="1">
        <v>1033</v>
      </c>
      <c r="BC288" s="1">
        <v>1040</v>
      </c>
      <c r="BD288" s="1">
        <v>1052</v>
      </c>
      <c r="BE288" s="1">
        <v>1059</v>
      </c>
      <c r="BF288" s="1">
        <v>1058</v>
      </c>
      <c r="BG288" s="1">
        <v>1055</v>
      </c>
      <c r="BH288" s="1">
        <v>1051</v>
      </c>
      <c r="BI288" s="1">
        <v>1049</v>
      </c>
      <c r="BJ288" s="1">
        <v>1056</v>
      </c>
      <c r="BK288" s="1">
        <v>1055</v>
      </c>
      <c r="BL288" s="1">
        <v>1058</v>
      </c>
      <c r="BM288" s="1">
        <v>1060</v>
      </c>
      <c r="BN288" s="1">
        <v>1058</v>
      </c>
      <c r="BO288" s="1">
        <v>1056</v>
      </c>
    </row>
    <row r="289" spans="1:68">
      <c r="A289" s="65" t="s">
        <v>502</v>
      </c>
      <c r="B289" s="1" t="str">
        <f>銘柄管理!C289</f>
        <v/>
      </c>
      <c r="C289" s="1" t="str">
        <f>_xll.RssMarket("4047","安値")</f>
        <v/>
      </c>
      <c r="E289" s="1">
        <v>2556</v>
      </c>
      <c r="F289" s="1">
        <v>3005</v>
      </c>
      <c r="G289" s="1">
        <v>2860</v>
      </c>
      <c r="H289" s="1">
        <v>2900</v>
      </c>
      <c r="I289" s="1">
        <v>3050</v>
      </c>
      <c r="J289" s="1">
        <v>3035</v>
      </c>
      <c r="K289" s="1">
        <v>3045</v>
      </c>
      <c r="L289" s="1">
        <v>3135</v>
      </c>
      <c r="M289" s="1">
        <v>3330</v>
      </c>
      <c r="N289" s="1">
        <v>3225</v>
      </c>
      <c r="O289" s="1">
        <v>3300</v>
      </c>
      <c r="P289" s="1">
        <v>3500</v>
      </c>
      <c r="Q289" s="1">
        <v>3420</v>
      </c>
      <c r="R289" s="1">
        <v>3390</v>
      </c>
      <c r="S289" s="1">
        <v>3640</v>
      </c>
      <c r="T289" s="1">
        <v>3940</v>
      </c>
      <c r="U289" s="1">
        <v>3635</v>
      </c>
      <c r="V289" s="1">
        <v>3665</v>
      </c>
      <c r="W289" s="1">
        <v>3830</v>
      </c>
      <c r="X289" s="1">
        <v>3870</v>
      </c>
      <c r="Y289" s="1">
        <v>3840</v>
      </c>
      <c r="Z289" s="1">
        <v>3610</v>
      </c>
      <c r="AA289" s="1">
        <v>3650</v>
      </c>
      <c r="AB289" s="1">
        <v>3780</v>
      </c>
      <c r="AC289" s="1">
        <v>3750</v>
      </c>
      <c r="AD289" s="1">
        <v>3580</v>
      </c>
      <c r="AE289" s="1">
        <v>3765</v>
      </c>
      <c r="AF289" s="1">
        <v>3535</v>
      </c>
      <c r="AG289" s="1">
        <v>3945</v>
      </c>
      <c r="AH289" s="1">
        <v>3705</v>
      </c>
      <c r="AI289" s="1">
        <v>3685</v>
      </c>
      <c r="AJ289" s="1">
        <v>3330</v>
      </c>
      <c r="AK289" s="1">
        <v>3550</v>
      </c>
      <c r="AL289" s="1">
        <v>3210</v>
      </c>
      <c r="AM289" s="1">
        <v>3275</v>
      </c>
      <c r="AN289" s="1">
        <v>3125</v>
      </c>
      <c r="AO289" s="1">
        <v>2879</v>
      </c>
      <c r="AP289" s="1">
        <v>2703</v>
      </c>
      <c r="AQ289" s="1">
        <v>2611</v>
      </c>
      <c r="AR289" s="1">
        <v>2668</v>
      </c>
      <c r="AS289" s="1">
        <v>2550</v>
      </c>
      <c r="AT289" s="1">
        <v>1951</v>
      </c>
      <c r="AU289" s="1">
        <v>2102</v>
      </c>
      <c r="AV289" s="1">
        <v>1951</v>
      </c>
      <c r="AW289" s="1">
        <v>1962</v>
      </c>
      <c r="AX289" s="1">
        <v>1853</v>
      </c>
      <c r="AY289" s="1">
        <v>1775</v>
      </c>
      <c r="AZ289" s="1">
        <v>1782</v>
      </c>
      <c r="BA289" s="1">
        <v>1650</v>
      </c>
      <c r="BB289" s="1">
        <v>1650</v>
      </c>
      <c r="BC289" s="1">
        <v>1666</v>
      </c>
      <c r="BD289" s="1">
        <v>1611</v>
      </c>
      <c r="BE289" s="1">
        <v>1623</v>
      </c>
      <c r="BF289" s="1">
        <v>1601</v>
      </c>
      <c r="BG289" s="1">
        <v>1620</v>
      </c>
      <c r="BH289" s="1">
        <v>1642</v>
      </c>
      <c r="BI289" s="1">
        <v>1624</v>
      </c>
      <c r="BJ289" s="1">
        <v>1629</v>
      </c>
      <c r="BK289" s="1">
        <v>1650</v>
      </c>
      <c r="BL289" s="1">
        <v>1650</v>
      </c>
      <c r="BM289" s="1">
        <v>1655</v>
      </c>
      <c r="BN289" s="1">
        <v>1603</v>
      </c>
      <c r="BO289" s="1">
        <v>1587</v>
      </c>
      <c r="BP289" s="1">
        <v>1561</v>
      </c>
    </row>
    <row r="290" spans="1:68">
      <c r="A290" s="65" t="s">
        <v>503</v>
      </c>
      <c r="B290" s="1" t="str">
        <f>銘柄管理!C290</f>
        <v/>
      </c>
      <c r="C290" s="1" t="str">
        <f>_xll.RssMarket("6482","安値")</f>
        <v/>
      </c>
      <c r="E290" s="1">
        <v>657</v>
      </c>
      <c r="F290" s="1">
        <v>665</v>
      </c>
      <c r="G290" s="1">
        <v>661</v>
      </c>
      <c r="H290" s="1">
        <v>671</v>
      </c>
      <c r="I290" s="1">
        <v>678</v>
      </c>
      <c r="J290" s="1">
        <v>673</v>
      </c>
      <c r="K290" s="1">
        <v>691</v>
      </c>
      <c r="L290" s="1">
        <v>694</v>
      </c>
      <c r="M290" s="1">
        <v>696</v>
      </c>
      <c r="N290" s="1">
        <v>683</v>
      </c>
      <c r="O290" s="1">
        <v>688</v>
      </c>
      <c r="P290" s="1">
        <v>689</v>
      </c>
      <c r="Q290" s="1">
        <v>686</v>
      </c>
      <c r="R290" s="1">
        <v>703</v>
      </c>
      <c r="S290" s="1">
        <v>699</v>
      </c>
      <c r="T290" s="1">
        <v>707</v>
      </c>
      <c r="U290" s="1">
        <v>706</v>
      </c>
      <c r="V290" s="1">
        <v>733</v>
      </c>
      <c r="W290" s="1">
        <v>732</v>
      </c>
      <c r="X290" s="1">
        <v>741</v>
      </c>
      <c r="Y290" s="1">
        <v>714</v>
      </c>
      <c r="Z290" s="1">
        <v>687</v>
      </c>
      <c r="AA290" s="1">
        <v>680</v>
      </c>
      <c r="AB290" s="1">
        <v>673</v>
      </c>
      <c r="AC290" s="1">
        <v>659</v>
      </c>
      <c r="AD290" s="1">
        <v>665</v>
      </c>
      <c r="AE290" s="1">
        <v>646</v>
      </c>
      <c r="AF290" s="1">
        <v>657</v>
      </c>
      <c r="AG290" s="1">
        <v>648</v>
      </c>
      <c r="AH290" s="1">
        <v>638</v>
      </c>
      <c r="AI290" s="1">
        <v>666</v>
      </c>
      <c r="AJ290" s="1">
        <v>655</v>
      </c>
      <c r="AK290" s="1">
        <v>657</v>
      </c>
      <c r="AL290" s="1">
        <v>709</v>
      </c>
      <c r="AM290" s="1">
        <v>703</v>
      </c>
      <c r="AN290" s="1">
        <v>705</v>
      </c>
      <c r="AO290" s="1">
        <v>705</v>
      </c>
      <c r="AP290" s="1">
        <v>706</v>
      </c>
      <c r="AQ290" s="1">
        <v>711</v>
      </c>
      <c r="AR290" s="1">
        <v>730</v>
      </c>
      <c r="AS290" s="1">
        <v>720</v>
      </c>
      <c r="AT290" s="1">
        <v>724</v>
      </c>
      <c r="AU290" s="1">
        <v>710</v>
      </c>
      <c r="AV290" s="1">
        <v>678</v>
      </c>
      <c r="AW290" s="1">
        <v>674</v>
      </c>
      <c r="AX290" s="1">
        <v>683</v>
      </c>
      <c r="AY290" s="1">
        <v>663</v>
      </c>
      <c r="AZ290" s="1">
        <v>658</v>
      </c>
      <c r="BA290" s="1">
        <v>656</v>
      </c>
      <c r="BB290" s="1">
        <v>651</v>
      </c>
      <c r="BC290" s="1">
        <v>656</v>
      </c>
      <c r="BD290" s="1">
        <v>655</v>
      </c>
      <c r="BE290" s="1">
        <v>668</v>
      </c>
      <c r="BF290" s="1">
        <v>677</v>
      </c>
      <c r="BG290" s="1">
        <v>669</v>
      </c>
      <c r="BH290" s="1">
        <v>670</v>
      </c>
      <c r="BI290" s="1">
        <v>676</v>
      </c>
      <c r="BJ290" s="1">
        <v>673</v>
      </c>
      <c r="BK290" s="1">
        <v>677</v>
      </c>
      <c r="BL290" s="1">
        <v>672</v>
      </c>
      <c r="BM290" s="1">
        <v>678</v>
      </c>
      <c r="BN290" s="1">
        <v>680</v>
      </c>
      <c r="BO290" s="1">
        <v>689</v>
      </c>
      <c r="BP290" s="1">
        <v>679</v>
      </c>
    </row>
    <row r="291" spans="1:68">
      <c r="A291" s="65" t="s">
        <v>504</v>
      </c>
      <c r="B291" s="1" t="str">
        <f>銘柄管理!C291</f>
        <v/>
      </c>
      <c r="C291" s="1" t="str">
        <f>_xll.RssMarket("6706","安値")</f>
        <v/>
      </c>
      <c r="E291" s="1">
        <v>2836</v>
      </c>
      <c r="F291" s="1">
        <v>3000</v>
      </c>
      <c r="G291" s="1">
        <v>2981</v>
      </c>
      <c r="H291" s="1">
        <v>2954</v>
      </c>
      <c r="I291" s="1">
        <v>3005</v>
      </c>
      <c r="J291" s="1">
        <v>2977</v>
      </c>
      <c r="K291" s="1">
        <v>2930</v>
      </c>
      <c r="L291" s="1">
        <v>2972</v>
      </c>
      <c r="M291" s="1">
        <v>2933</v>
      </c>
      <c r="N291" s="1">
        <v>2955</v>
      </c>
      <c r="O291" s="1">
        <v>3025</v>
      </c>
      <c r="P291" s="1">
        <v>3020</v>
      </c>
      <c r="Q291" s="1">
        <v>3010</v>
      </c>
      <c r="R291" s="1">
        <v>3075</v>
      </c>
      <c r="S291" s="1">
        <v>3065</v>
      </c>
      <c r="T291" s="1">
        <v>3110</v>
      </c>
      <c r="U291" s="1">
        <v>3035</v>
      </c>
      <c r="V291" s="1">
        <v>3090</v>
      </c>
      <c r="W291" s="1">
        <v>3105</v>
      </c>
      <c r="X291" s="1">
        <v>3160</v>
      </c>
      <c r="Y291" s="1">
        <v>3115</v>
      </c>
      <c r="Z291" s="1">
        <v>3105</v>
      </c>
      <c r="AA291" s="1">
        <v>3160</v>
      </c>
      <c r="AB291" s="1">
        <v>3230</v>
      </c>
      <c r="AC291" s="1">
        <v>3095</v>
      </c>
      <c r="AD291" s="1">
        <v>3130</v>
      </c>
      <c r="AE291" s="1">
        <v>3275</v>
      </c>
      <c r="AF291" s="1">
        <v>3315</v>
      </c>
      <c r="AG291" s="1">
        <v>3455</v>
      </c>
      <c r="AH291" s="1">
        <v>3465</v>
      </c>
      <c r="AI291" s="1">
        <v>3455</v>
      </c>
      <c r="AJ291" s="1">
        <v>3425</v>
      </c>
      <c r="AK291" s="1">
        <v>3510</v>
      </c>
      <c r="AL291" s="1">
        <v>3415</v>
      </c>
      <c r="AM291" s="1">
        <v>3435</v>
      </c>
      <c r="AN291" s="1">
        <v>3410</v>
      </c>
      <c r="AO291" s="1">
        <v>3395</v>
      </c>
      <c r="AP291" s="1">
        <v>3400</v>
      </c>
      <c r="AQ291" s="1">
        <v>3370</v>
      </c>
      <c r="AR291" s="1">
        <v>3345</v>
      </c>
      <c r="AS291" s="1">
        <v>3300</v>
      </c>
      <c r="AT291" s="1">
        <v>3415</v>
      </c>
      <c r="AU291" s="1">
        <v>3420</v>
      </c>
      <c r="AV291" s="1">
        <v>3465</v>
      </c>
      <c r="AW291" s="1">
        <v>3420</v>
      </c>
      <c r="AX291" s="1">
        <v>3385</v>
      </c>
      <c r="AY291" s="1">
        <v>3375</v>
      </c>
      <c r="AZ291" s="1">
        <v>3380</v>
      </c>
      <c r="BA291" s="1">
        <v>3285</v>
      </c>
      <c r="BB291" s="1">
        <v>3280</v>
      </c>
      <c r="BC291" s="1">
        <v>3290</v>
      </c>
      <c r="BD291" s="1">
        <v>3285</v>
      </c>
      <c r="BE291" s="1">
        <v>3285</v>
      </c>
      <c r="BF291" s="1">
        <v>3260</v>
      </c>
      <c r="BG291" s="1">
        <v>3265</v>
      </c>
      <c r="BH291" s="1">
        <v>3270</v>
      </c>
      <c r="BI291" s="1">
        <v>3270</v>
      </c>
      <c r="BJ291" s="1">
        <v>3265</v>
      </c>
      <c r="BK291" s="1">
        <v>3255</v>
      </c>
      <c r="BL291" s="1">
        <v>3250</v>
      </c>
      <c r="BM291" s="1">
        <v>3190</v>
      </c>
      <c r="BN291" s="1">
        <v>3025</v>
      </c>
      <c r="BO291" s="1">
        <v>3075</v>
      </c>
      <c r="BP291" s="1">
        <v>3090</v>
      </c>
    </row>
    <row r="292" spans="1:68">
      <c r="A292" s="65" t="s">
        <v>505</v>
      </c>
      <c r="B292" s="1" t="str">
        <f>銘柄管理!C292</f>
        <v/>
      </c>
      <c r="C292" s="1" t="str">
        <f>_xll.RssMarket("8141","安値")</f>
        <v/>
      </c>
      <c r="E292" s="1">
        <v>1595</v>
      </c>
      <c r="F292" s="1">
        <v>1597</v>
      </c>
      <c r="G292" s="1">
        <v>1583</v>
      </c>
      <c r="H292" s="1">
        <v>1581</v>
      </c>
      <c r="I292" s="1">
        <v>1584</v>
      </c>
      <c r="J292" s="1">
        <v>1585</v>
      </c>
      <c r="K292" s="1">
        <v>1587</v>
      </c>
      <c r="L292" s="1">
        <v>1586</v>
      </c>
      <c r="M292" s="1">
        <v>1587</v>
      </c>
      <c r="N292" s="1">
        <v>1585</v>
      </c>
      <c r="O292" s="1">
        <v>1586</v>
      </c>
      <c r="P292" s="1">
        <v>1580</v>
      </c>
      <c r="Q292" s="1">
        <v>1564</v>
      </c>
      <c r="R292" s="1">
        <v>1566</v>
      </c>
      <c r="S292" s="1">
        <v>1575</v>
      </c>
      <c r="T292" s="1">
        <v>1576</v>
      </c>
      <c r="U292" s="1">
        <v>1580</v>
      </c>
      <c r="V292" s="1">
        <v>1581</v>
      </c>
      <c r="W292" s="1">
        <v>1580</v>
      </c>
      <c r="X292" s="1">
        <v>1578</v>
      </c>
      <c r="Y292" s="1">
        <v>1577</v>
      </c>
      <c r="Z292" s="1">
        <v>1579</v>
      </c>
      <c r="AA292" s="1">
        <v>1577</v>
      </c>
      <c r="AB292" s="1">
        <v>1576</v>
      </c>
      <c r="AC292" s="1">
        <v>1579</v>
      </c>
      <c r="AD292" s="1">
        <v>1582</v>
      </c>
      <c r="AE292" s="1">
        <v>1579</v>
      </c>
      <c r="AF292" s="1">
        <v>1577</v>
      </c>
      <c r="AG292" s="1">
        <v>1576</v>
      </c>
      <c r="AH292" s="1">
        <v>1575</v>
      </c>
      <c r="AI292" s="1">
        <v>1577</v>
      </c>
      <c r="AJ292" s="1">
        <v>1589</v>
      </c>
      <c r="AK292" s="1">
        <v>1593</v>
      </c>
      <c r="AL292" s="1">
        <v>1598</v>
      </c>
      <c r="AM292" s="1">
        <v>1601</v>
      </c>
      <c r="AN292" s="1">
        <v>1594</v>
      </c>
      <c r="AO292" s="1">
        <v>1595</v>
      </c>
      <c r="AP292" s="1">
        <v>1590</v>
      </c>
      <c r="AQ292" s="1">
        <v>1494</v>
      </c>
      <c r="AR292" s="1">
        <v>1480</v>
      </c>
      <c r="AS292" s="1">
        <v>1440</v>
      </c>
      <c r="AT292" s="1">
        <v>1655</v>
      </c>
      <c r="AU292" s="1">
        <v>1651</v>
      </c>
      <c r="AV292" s="1">
        <v>1676</v>
      </c>
      <c r="AW292" s="1">
        <v>1675</v>
      </c>
      <c r="AX292" s="1">
        <v>1580</v>
      </c>
      <c r="AY292" s="1">
        <v>1585</v>
      </c>
      <c r="AZ292" s="1">
        <v>1546</v>
      </c>
      <c r="BA292" s="1">
        <v>1522</v>
      </c>
      <c r="BB292" s="1">
        <v>1507</v>
      </c>
      <c r="BC292" s="1">
        <v>1512</v>
      </c>
      <c r="BD292" s="1">
        <v>1542</v>
      </c>
      <c r="BE292" s="1">
        <v>1527</v>
      </c>
      <c r="BF292" s="1">
        <v>1487</v>
      </c>
      <c r="BG292" s="1">
        <v>1441</v>
      </c>
      <c r="BH292" s="1">
        <v>1443</v>
      </c>
      <c r="BI292" s="1">
        <v>1362</v>
      </c>
      <c r="BJ292" s="1">
        <v>1340</v>
      </c>
      <c r="BK292" s="1">
        <v>1419</v>
      </c>
      <c r="BL292" s="1">
        <v>1386</v>
      </c>
      <c r="BM292" s="1">
        <v>1370</v>
      </c>
      <c r="BN292" s="1">
        <v>1357</v>
      </c>
      <c r="BO292" s="1">
        <v>1310</v>
      </c>
      <c r="BP292" s="1">
        <v>1300</v>
      </c>
    </row>
    <row r="293" spans="1:68">
      <c r="A293" s="65" t="s">
        <v>506</v>
      </c>
      <c r="B293" s="1" t="str">
        <f>銘柄管理!C293</f>
        <v/>
      </c>
      <c r="C293" s="1" t="str">
        <f>_xll.RssMarket("8344","安値")</f>
        <v/>
      </c>
      <c r="E293" s="1">
        <v>3555</v>
      </c>
      <c r="F293" s="1">
        <v>3765</v>
      </c>
      <c r="G293" s="1">
        <v>3610</v>
      </c>
      <c r="H293" s="1">
        <v>3645</v>
      </c>
      <c r="I293" s="1">
        <v>3690</v>
      </c>
      <c r="J293" s="1">
        <v>3715</v>
      </c>
      <c r="K293" s="1">
        <v>3815</v>
      </c>
      <c r="L293" s="1">
        <v>3870</v>
      </c>
      <c r="M293" s="1">
        <v>3935</v>
      </c>
      <c r="N293" s="1">
        <v>3810</v>
      </c>
      <c r="O293" s="1">
        <v>3670</v>
      </c>
      <c r="P293" s="1">
        <v>3500</v>
      </c>
      <c r="Q293" s="1">
        <v>3465</v>
      </c>
      <c r="R293" s="1">
        <v>3360</v>
      </c>
      <c r="S293" s="1">
        <v>3270</v>
      </c>
      <c r="T293" s="1">
        <v>3250</v>
      </c>
      <c r="U293" s="1">
        <v>3205</v>
      </c>
      <c r="V293" s="1">
        <v>3330</v>
      </c>
      <c r="W293" s="1">
        <v>3300</v>
      </c>
      <c r="X293" s="1">
        <v>3305</v>
      </c>
      <c r="Y293" s="1">
        <v>3450</v>
      </c>
      <c r="Z293" s="1">
        <v>3440</v>
      </c>
      <c r="AA293" s="1">
        <v>3445</v>
      </c>
      <c r="AB293" s="1">
        <v>3505</v>
      </c>
      <c r="AC293" s="1">
        <v>3400</v>
      </c>
      <c r="AD293" s="1">
        <v>3305</v>
      </c>
      <c r="AE293" s="1">
        <v>3200</v>
      </c>
      <c r="AF293" s="1">
        <v>2982</v>
      </c>
      <c r="AG293" s="1">
        <v>3025</v>
      </c>
      <c r="AH293" s="1">
        <v>2919</v>
      </c>
      <c r="AI293" s="1">
        <v>2972</v>
      </c>
      <c r="AJ293" s="1">
        <v>2923</v>
      </c>
      <c r="AK293" s="1">
        <v>3085</v>
      </c>
      <c r="AL293" s="1">
        <v>3000</v>
      </c>
      <c r="AM293" s="1">
        <v>2988</v>
      </c>
      <c r="AN293" s="1">
        <v>2914</v>
      </c>
      <c r="AO293" s="1">
        <v>3025</v>
      </c>
      <c r="AP293" s="1">
        <v>2948</v>
      </c>
      <c r="AQ293" s="1">
        <v>2891</v>
      </c>
      <c r="AR293" s="1">
        <v>2666</v>
      </c>
      <c r="AS293" s="1">
        <v>2593</v>
      </c>
      <c r="AT293" s="1">
        <v>2579</v>
      </c>
      <c r="AU293" s="1">
        <v>2539</v>
      </c>
      <c r="AV293" s="1">
        <v>2538</v>
      </c>
      <c r="AW293" s="1">
        <v>2504</v>
      </c>
      <c r="AX293" s="1">
        <v>2469</v>
      </c>
      <c r="AY293" s="1">
        <v>2557</v>
      </c>
      <c r="AZ293" s="1">
        <v>2486</v>
      </c>
      <c r="BA293" s="1">
        <v>2450</v>
      </c>
      <c r="BB293" s="1">
        <v>2405</v>
      </c>
      <c r="BC293" s="1">
        <v>2357</v>
      </c>
      <c r="BD293" s="1">
        <v>2415</v>
      </c>
      <c r="BE293" s="1">
        <v>2457</v>
      </c>
      <c r="BF293" s="1">
        <v>2521</v>
      </c>
      <c r="BG293" s="1">
        <v>2628</v>
      </c>
      <c r="BH293" s="1">
        <v>2718</v>
      </c>
      <c r="BI293" s="1">
        <v>2769</v>
      </c>
      <c r="BJ293" s="1">
        <v>2751</v>
      </c>
      <c r="BK293" s="1">
        <v>2720</v>
      </c>
      <c r="BL293" s="1">
        <v>2666</v>
      </c>
      <c r="BM293" s="1">
        <v>2628</v>
      </c>
      <c r="BN293" s="1">
        <v>2666</v>
      </c>
      <c r="BO293" s="1">
        <v>2641</v>
      </c>
      <c r="BP293" s="1">
        <v>2640</v>
      </c>
    </row>
    <row r="294" spans="1:68">
      <c r="A294" s="65" t="s">
        <v>507</v>
      </c>
      <c r="B294" s="1" t="str">
        <f>銘柄管理!C294</f>
        <v/>
      </c>
      <c r="C294" s="1" t="str">
        <f>_xll.RssMarket("7414","安値")</f>
        <v/>
      </c>
      <c r="E294" s="1">
        <v>1400</v>
      </c>
      <c r="F294" s="1">
        <v>1385</v>
      </c>
      <c r="G294" s="1">
        <v>1382</v>
      </c>
      <c r="H294" s="1">
        <v>1378</v>
      </c>
      <c r="I294" s="1">
        <v>1374</v>
      </c>
      <c r="J294" s="1">
        <v>1367</v>
      </c>
      <c r="K294" s="1">
        <v>1370</v>
      </c>
      <c r="L294" s="1">
        <v>1368</v>
      </c>
      <c r="M294" s="1">
        <v>1361</v>
      </c>
      <c r="N294" s="1">
        <v>1341</v>
      </c>
      <c r="O294" s="1">
        <v>1329</v>
      </c>
      <c r="P294" s="1">
        <v>1320</v>
      </c>
      <c r="Q294" s="1">
        <v>1330</v>
      </c>
      <c r="R294" s="1">
        <v>1326</v>
      </c>
      <c r="S294" s="1">
        <v>1319</v>
      </c>
      <c r="T294" s="1">
        <v>1320</v>
      </c>
      <c r="U294" s="1">
        <v>1322</v>
      </c>
      <c r="V294" s="1">
        <v>1320</v>
      </c>
      <c r="W294" s="1">
        <v>1315</v>
      </c>
      <c r="X294" s="1">
        <v>1310</v>
      </c>
      <c r="Y294" s="1">
        <v>1324</v>
      </c>
      <c r="Z294" s="1">
        <v>1329</v>
      </c>
      <c r="AA294" s="1">
        <v>1315</v>
      </c>
      <c r="AB294" s="1">
        <v>1323</v>
      </c>
      <c r="AC294" s="1">
        <v>1309</v>
      </c>
      <c r="AD294" s="1">
        <v>1295</v>
      </c>
      <c r="AE294" s="1">
        <v>1299</v>
      </c>
      <c r="AF294" s="1">
        <v>1306</v>
      </c>
      <c r="AG294" s="1">
        <v>1314</v>
      </c>
      <c r="AH294" s="1">
        <v>1301</v>
      </c>
      <c r="AI294" s="1">
        <v>1293</v>
      </c>
      <c r="AJ294" s="1">
        <v>1289</v>
      </c>
      <c r="AK294" s="1">
        <v>1344</v>
      </c>
      <c r="AL294" s="1">
        <v>1332</v>
      </c>
      <c r="AM294" s="1">
        <v>1330</v>
      </c>
      <c r="AN294" s="1">
        <v>1315</v>
      </c>
      <c r="AO294" s="1">
        <v>1319</v>
      </c>
      <c r="AP294" s="1">
        <v>1325</v>
      </c>
      <c r="AQ294" s="1">
        <v>1320</v>
      </c>
      <c r="AR294" s="1">
        <v>1336</v>
      </c>
      <c r="AS294" s="1">
        <v>1330</v>
      </c>
      <c r="AT294" s="1">
        <v>1350</v>
      </c>
      <c r="AU294" s="1">
        <v>1429</v>
      </c>
      <c r="AV294" s="1">
        <v>1428</v>
      </c>
      <c r="AW294" s="1">
        <v>1435</v>
      </c>
      <c r="AX294" s="1">
        <v>1423</v>
      </c>
      <c r="AY294" s="1">
        <v>1418</v>
      </c>
      <c r="AZ294" s="1">
        <v>1414</v>
      </c>
      <c r="BA294" s="1">
        <v>1385</v>
      </c>
      <c r="BB294" s="1">
        <v>1381</v>
      </c>
      <c r="BC294" s="1">
        <v>1373</v>
      </c>
      <c r="BD294" s="1">
        <v>1372</v>
      </c>
      <c r="BE294" s="1">
        <v>1371</v>
      </c>
      <c r="BF294" s="1">
        <v>1365</v>
      </c>
      <c r="BG294" s="1">
        <v>1380</v>
      </c>
      <c r="BH294" s="1">
        <v>1394</v>
      </c>
      <c r="BI294" s="1">
        <v>1395</v>
      </c>
      <c r="BJ294" s="1">
        <v>1393</v>
      </c>
      <c r="BK294" s="1">
        <v>1400</v>
      </c>
      <c r="BL294" s="1">
        <v>1401</v>
      </c>
      <c r="BM294" s="1">
        <v>1402</v>
      </c>
      <c r="BN294" s="1">
        <v>1398</v>
      </c>
      <c r="BO294" s="1">
        <v>1407</v>
      </c>
      <c r="BP294" s="1">
        <v>1419</v>
      </c>
    </row>
    <row r="295" spans="1:68">
      <c r="A295" s="65" t="s">
        <v>508</v>
      </c>
      <c r="B295" s="1" t="str">
        <f>銘柄管理!C295</f>
        <v/>
      </c>
      <c r="C295" s="1" t="str">
        <f>_xll.RssMarket("6407","安値")</f>
        <v/>
      </c>
      <c r="E295" s="1">
        <v>6080</v>
      </c>
      <c r="F295" s="1">
        <v>6770</v>
      </c>
      <c r="G295" s="1">
        <v>6440</v>
      </c>
      <c r="H295" s="1">
        <v>6780</v>
      </c>
      <c r="I295" s="1">
        <v>6960</v>
      </c>
      <c r="J295" s="1">
        <v>6720</v>
      </c>
      <c r="K295" s="1">
        <v>6640</v>
      </c>
      <c r="L295" s="1">
        <v>6770</v>
      </c>
      <c r="M295" s="1">
        <v>7300</v>
      </c>
      <c r="N295" s="1">
        <v>6850</v>
      </c>
      <c r="O295" s="1">
        <v>7340</v>
      </c>
      <c r="P295" s="1">
        <v>7640</v>
      </c>
      <c r="Q295" s="1">
        <v>7360</v>
      </c>
      <c r="R295" s="1">
        <v>7050</v>
      </c>
      <c r="S295" s="1">
        <v>7210</v>
      </c>
      <c r="T295" s="1">
        <v>7720</v>
      </c>
      <c r="U295" s="1">
        <v>7300</v>
      </c>
      <c r="V295" s="1">
        <v>7600</v>
      </c>
      <c r="W295" s="1">
        <v>7780</v>
      </c>
      <c r="X295" s="1">
        <v>7620</v>
      </c>
      <c r="Y295" s="1">
        <v>7700</v>
      </c>
      <c r="Z295" s="1">
        <v>7290</v>
      </c>
      <c r="AA295" s="1">
        <v>7270</v>
      </c>
      <c r="AB295" s="1">
        <v>6890</v>
      </c>
      <c r="AC295" s="1">
        <v>6490</v>
      </c>
      <c r="AD295" s="1">
        <v>5760</v>
      </c>
      <c r="AE295" s="1">
        <v>5980</v>
      </c>
      <c r="AF295" s="1">
        <v>5680</v>
      </c>
      <c r="AG295" s="1">
        <v>6090</v>
      </c>
      <c r="AH295" s="1">
        <v>6240</v>
      </c>
      <c r="AI295" s="1">
        <v>6290</v>
      </c>
      <c r="AJ295" s="1">
        <v>6090</v>
      </c>
      <c r="AK295" s="1">
        <v>6490</v>
      </c>
      <c r="AL295" s="1">
        <v>6360</v>
      </c>
      <c r="AM295" s="1">
        <v>6650</v>
      </c>
      <c r="AN295" s="1">
        <v>6740</v>
      </c>
      <c r="AO295" s="1">
        <v>5950</v>
      </c>
      <c r="AP295" s="1">
        <v>5750</v>
      </c>
      <c r="AQ295" s="1">
        <v>5830</v>
      </c>
      <c r="AR295" s="1">
        <v>5930</v>
      </c>
      <c r="AS295" s="1">
        <v>6730</v>
      </c>
      <c r="AT295" s="1">
        <v>6890</v>
      </c>
      <c r="AU295" s="1">
        <v>6700</v>
      </c>
      <c r="AV295" s="1">
        <v>6760</v>
      </c>
      <c r="AW295" s="1">
        <v>6460</v>
      </c>
      <c r="AX295" s="1">
        <v>6240</v>
      </c>
      <c r="AY295" s="1">
        <v>6470</v>
      </c>
      <c r="AZ295" s="1">
        <v>5960</v>
      </c>
      <c r="BA295" s="1">
        <v>5870</v>
      </c>
      <c r="BB295" s="1">
        <v>5750</v>
      </c>
      <c r="BC295" s="1">
        <v>5480</v>
      </c>
      <c r="BD295" s="1">
        <v>5430</v>
      </c>
      <c r="BE295" s="1">
        <v>5450</v>
      </c>
      <c r="BF295" s="1">
        <v>5570</v>
      </c>
      <c r="BG295" s="1">
        <v>5560</v>
      </c>
      <c r="BH295" s="1">
        <v>5560</v>
      </c>
      <c r="BI295" s="1">
        <v>5540</v>
      </c>
      <c r="BJ295" s="1">
        <v>5500</v>
      </c>
      <c r="BK295" s="1">
        <v>5580</v>
      </c>
      <c r="BL295" s="1">
        <v>5690</v>
      </c>
      <c r="BM295" s="1">
        <v>5520</v>
      </c>
      <c r="BN295" s="1">
        <v>5420</v>
      </c>
      <c r="BO295" s="1">
        <v>4975</v>
      </c>
      <c r="BP295" s="1">
        <v>5060</v>
      </c>
    </row>
    <row r="296" spans="1:68">
      <c r="A296" s="65" t="s">
        <v>509</v>
      </c>
      <c r="B296" s="1" t="str">
        <f>銘柄管理!C296</f>
        <v/>
      </c>
      <c r="C296" s="1" t="str">
        <f>_xll.RssMarket("7048","安値")</f>
        <v/>
      </c>
      <c r="E296" s="1">
        <v>174</v>
      </c>
      <c r="F296" s="1">
        <v>175</v>
      </c>
      <c r="G296" s="1">
        <v>171</v>
      </c>
      <c r="H296" s="1">
        <v>170</v>
      </c>
      <c r="I296" s="1">
        <v>165</v>
      </c>
      <c r="J296" s="1">
        <v>161</v>
      </c>
      <c r="K296" s="1">
        <v>156</v>
      </c>
      <c r="L296" s="1">
        <v>161</v>
      </c>
      <c r="M296" s="1">
        <v>166</v>
      </c>
      <c r="N296" s="1">
        <v>163</v>
      </c>
      <c r="O296" s="1">
        <v>162</v>
      </c>
      <c r="P296" s="1">
        <v>163</v>
      </c>
      <c r="Q296" s="1">
        <v>161</v>
      </c>
      <c r="R296" s="1">
        <v>159</v>
      </c>
      <c r="S296" s="1">
        <v>171</v>
      </c>
      <c r="T296" s="1">
        <v>166</v>
      </c>
      <c r="U296" s="1">
        <v>148</v>
      </c>
      <c r="V296" s="1">
        <v>144</v>
      </c>
      <c r="W296" s="1">
        <v>130</v>
      </c>
      <c r="X296" s="1">
        <v>124</v>
      </c>
      <c r="Y296" s="1">
        <v>122</v>
      </c>
      <c r="Z296" s="1">
        <v>120</v>
      </c>
      <c r="AA296" s="1">
        <v>116</v>
      </c>
      <c r="AB296" s="1">
        <v>115</v>
      </c>
      <c r="AC296" s="1">
        <v>116</v>
      </c>
      <c r="AD296" s="1">
        <v>125</v>
      </c>
      <c r="AE296" s="1">
        <v>129</v>
      </c>
      <c r="AF296" s="1">
        <v>126</v>
      </c>
      <c r="AG296" s="1">
        <v>130</v>
      </c>
      <c r="AH296" s="1">
        <v>132</v>
      </c>
      <c r="AI296" s="1">
        <v>136</v>
      </c>
      <c r="AJ296" s="1">
        <v>141</v>
      </c>
      <c r="AK296" s="1">
        <v>143</v>
      </c>
      <c r="AL296" s="1">
        <v>141</v>
      </c>
      <c r="AM296" s="1">
        <v>145</v>
      </c>
      <c r="AN296" s="1">
        <v>144</v>
      </c>
      <c r="AO296" s="1">
        <v>143</v>
      </c>
      <c r="AP296" s="1">
        <v>159</v>
      </c>
      <c r="AQ296" s="1">
        <v>161</v>
      </c>
      <c r="AR296" s="1">
        <v>159</v>
      </c>
      <c r="AS296" s="1">
        <v>161</v>
      </c>
      <c r="AT296" s="1">
        <v>160</v>
      </c>
      <c r="AU296" s="1">
        <v>161</v>
      </c>
      <c r="AV296" s="1">
        <v>158</v>
      </c>
      <c r="AW296" s="1">
        <v>158</v>
      </c>
      <c r="AX296" s="1">
        <v>160</v>
      </c>
      <c r="AY296" s="1">
        <v>161</v>
      </c>
      <c r="AZ296" s="1">
        <v>162</v>
      </c>
      <c r="BA296" s="1">
        <v>167</v>
      </c>
      <c r="BB296" s="1">
        <v>172</v>
      </c>
      <c r="BC296" s="1">
        <v>178</v>
      </c>
      <c r="BD296" s="1">
        <v>182</v>
      </c>
      <c r="BE296" s="1">
        <v>184</v>
      </c>
      <c r="BF296" s="1">
        <v>176</v>
      </c>
      <c r="BG296" s="1">
        <v>175</v>
      </c>
      <c r="BH296" s="1">
        <v>172</v>
      </c>
      <c r="BI296" s="1">
        <v>169</v>
      </c>
      <c r="BJ296" s="1">
        <v>173</v>
      </c>
      <c r="BK296" s="1">
        <v>177</v>
      </c>
      <c r="BL296" s="1">
        <v>181</v>
      </c>
      <c r="BM296" s="1">
        <v>178</v>
      </c>
      <c r="BN296" s="1">
        <v>175</v>
      </c>
      <c r="BO296" s="1">
        <v>177</v>
      </c>
      <c r="BP296" s="1">
        <v>174</v>
      </c>
    </row>
    <row r="297" spans="1:68">
      <c r="A297" s="65" t="s">
        <v>510</v>
      </c>
      <c r="B297" s="1" t="str">
        <f>銘柄管理!C297</f>
        <v/>
      </c>
      <c r="C297" s="1" t="str">
        <f>_xll.RssMarket("1808","安値")</f>
        <v/>
      </c>
      <c r="E297" s="1">
        <v>2799</v>
      </c>
      <c r="F297" s="1">
        <v>2807</v>
      </c>
      <c r="G297" s="1">
        <v>2766.5</v>
      </c>
      <c r="H297" s="1">
        <v>2731</v>
      </c>
      <c r="I297" s="1">
        <v>2755.5</v>
      </c>
      <c r="J297" s="1">
        <v>2761.5</v>
      </c>
      <c r="K297" s="1">
        <v>2836</v>
      </c>
      <c r="L297" s="1">
        <v>2841</v>
      </c>
      <c r="M297" s="1">
        <v>2826</v>
      </c>
      <c r="N297" s="1">
        <v>2825</v>
      </c>
      <c r="O297" s="1">
        <v>2776</v>
      </c>
      <c r="P297" s="1">
        <v>2758</v>
      </c>
      <c r="Q297" s="1">
        <v>2822.5</v>
      </c>
      <c r="R297" s="1">
        <v>2834</v>
      </c>
      <c r="S297" s="1">
        <v>2767</v>
      </c>
      <c r="T297" s="1">
        <v>2754</v>
      </c>
      <c r="U297" s="1">
        <v>2701.5</v>
      </c>
      <c r="V297" s="1">
        <v>2711.5</v>
      </c>
      <c r="W297" s="1">
        <v>2663.5</v>
      </c>
      <c r="X297" s="1">
        <v>2628</v>
      </c>
      <c r="Y297" s="1">
        <v>2653</v>
      </c>
      <c r="Z297" s="1">
        <v>2695.5</v>
      </c>
      <c r="AA297" s="1">
        <v>2673</v>
      </c>
      <c r="AB297" s="1">
        <v>2699.5</v>
      </c>
      <c r="AC297" s="1">
        <v>2690.5</v>
      </c>
      <c r="AD297" s="1">
        <v>2706.5</v>
      </c>
      <c r="AE297" s="1">
        <v>2679</v>
      </c>
      <c r="AF297" s="1">
        <v>2619</v>
      </c>
      <c r="AG297" s="1">
        <v>2633</v>
      </c>
      <c r="AH297" s="1">
        <v>2592</v>
      </c>
      <c r="AI297" s="1">
        <v>2599.5</v>
      </c>
      <c r="AJ297" s="1">
        <v>2555</v>
      </c>
      <c r="AK297" s="1">
        <v>2686</v>
      </c>
      <c r="AL297" s="1">
        <v>2679.5</v>
      </c>
      <c r="AM297" s="1">
        <v>2692.5</v>
      </c>
      <c r="AN297" s="1">
        <v>2665</v>
      </c>
      <c r="AO297" s="1">
        <v>2686.5</v>
      </c>
      <c r="AP297" s="1">
        <v>2714.5</v>
      </c>
      <c r="AQ297" s="1">
        <v>2687</v>
      </c>
      <c r="AR297" s="1">
        <v>2754</v>
      </c>
      <c r="AS297" s="1">
        <v>2825.5</v>
      </c>
      <c r="AT297" s="1">
        <v>2657.5</v>
      </c>
      <c r="AU297" s="1">
        <v>2688</v>
      </c>
      <c r="AV297" s="1">
        <v>2770.5</v>
      </c>
      <c r="AW297" s="1">
        <v>2721.5</v>
      </c>
      <c r="AX297" s="1">
        <v>2732</v>
      </c>
      <c r="AY297" s="1">
        <v>2698.5</v>
      </c>
      <c r="AZ297" s="1">
        <v>2732.5</v>
      </c>
      <c r="BA297" s="1">
        <v>2680</v>
      </c>
      <c r="BB297" s="1">
        <v>2692.5</v>
      </c>
      <c r="BC297" s="1">
        <v>2735</v>
      </c>
      <c r="BD297" s="1">
        <v>2650.5</v>
      </c>
      <c r="BE297" s="1">
        <v>2680.5</v>
      </c>
      <c r="BF297" s="1">
        <v>2693</v>
      </c>
      <c r="BG297" s="1">
        <v>2738</v>
      </c>
      <c r="BH297" s="1">
        <v>2750</v>
      </c>
      <c r="BI297" s="1">
        <v>2762.5</v>
      </c>
      <c r="BJ297" s="1">
        <v>2730</v>
      </c>
      <c r="BK297" s="1">
        <v>2760</v>
      </c>
      <c r="BL297" s="1">
        <v>2732</v>
      </c>
      <c r="BM297" s="1">
        <v>2706</v>
      </c>
      <c r="BN297" s="1">
        <v>2861.5</v>
      </c>
      <c r="BO297" s="1">
        <v>2893</v>
      </c>
      <c r="BP297" s="1">
        <v>2925</v>
      </c>
    </row>
    <row r="298" spans="1:68">
      <c r="A298" s="65" t="s">
        <v>511</v>
      </c>
      <c r="B298" s="1" t="str">
        <f>銘柄管理!C298</f>
        <v/>
      </c>
      <c r="C298" s="1" t="str">
        <f>_xll.RssMarket("4208","安値")</f>
        <v/>
      </c>
      <c r="E298" s="1">
        <v>3166</v>
      </c>
      <c r="F298" s="1">
        <v>3214</v>
      </c>
      <c r="G298" s="1">
        <v>3100</v>
      </c>
      <c r="H298" s="1">
        <v>3096</v>
      </c>
      <c r="I298" s="1">
        <v>3141</v>
      </c>
      <c r="J298" s="1">
        <v>3146</v>
      </c>
      <c r="K298" s="1">
        <v>3166</v>
      </c>
      <c r="L298" s="1">
        <v>3189</v>
      </c>
      <c r="M298" s="1">
        <v>3243</v>
      </c>
      <c r="N298" s="1">
        <v>3175</v>
      </c>
      <c r="O298" s="1">
        <v>3166</v>
      </c>
      <c r="P298" s="1">
        <v>3137</v>
      </c>
      <c r="Q298" s="1">
        <v>3146</v>
      </c>
      <c r="R298" s="1">
        <v>3119</v>
      </c>
      <c r="S298" s="1">
        <v>3115</v>
      </c>
      <c r="T298" s="1">
        <v>3140</v>
      </c>
      <c r="U298" s="1">
        <v>3085</v>
      </c>
      <c r="V298" s="1">
        <v>3116</v>
      </c>
      <c r="W298" s="1">
        <v>3190</v>
      </c>
      <c r="X298" s="1">
        <v>3191</v>
      </c>
      <c r="Y298" s="1">
        <v>3221</v>
      </c>
      <c r="Z298" s="1">
        <v>3148</v>
      </c>
      <c r="AA298" s="1">
        <v>3168</v>
      </c>
      <c r="AB298" s="1">
        <v>3120</v>
      </c>
      <c r="AC298" s="1">
        <v>3022</v>
      </c>
      <c r="AD298" s="1">
        <v>2964</v>
      </c>
      <c r="AE298" s="1">
        <v>2962.5</v>
      </c>
      <c r="AF298" s="1">
        <v>2883</v>
      </c>
      <c r="AG298" s="1">
        <v>2897</v>
      </c>
      <c r="AH298" s="1">
        <v>2937.5</v>
      </c>
      <c r="AI298" s="1">
        <v>2951</v>
      </c>
      <c r="AJ298" s="1">
        <v>2857</v>
      </c>
      <c r="AK298" s="1">
        <v>2930.5</v>
      </c>
      <c r="AL298" s="1">
        <v>2892.5</v>
      </c>
      <c r="AM298" s="1">
        <v>2960</v>
      </c>
      <c r="AN298" s="1">
        <v>2969.5</v>
      </c>
      <c r="AO298" s="1">
        <v>2956.5</v>
      </c>
      <c r="AP298" s="1">
        <v>2900</v>
      </c>
      <c r="AQ298" s="1">
        <v>2660</v>
      </c>
      <c r="AR298" s="1">
        <v>2364</v>
      </c>
      <c r="AS298" s="1">
        <v>2376.5</v>
      </c>
      <c r="AT298" s="1">
        <v>2365.5</v>
      </c>
      <c r="AU298" s="1">
        <v>2432</v>
      </c>
      <c r="AV298" s="1">
        <v>2325.5</v>
      </c>
      <c r="AW298" s="1">
        <v>2313.5</v>
      </c>
      <c r="AX298" s="1">
        <v>2376.5</v>
      </c>
      <c r="AY298" s="1">
        <v>2358.5</v>
      </c>
      <c r="AZ298" s="1">
        <v>2379.5</v>
      </c>
      <c r="BA298" s="1">
        <v>2351.5</v>
      </c>
      <c r="BB298" s="1">
        <v>2334.5</v>
      </c>
      <c r="BC298" s="1">
        <v>2358</v>
      </c>
      <c r="BD298" s="1">
        <v>2333.5</v>
      </c>
      <c r="BE298" s="1">
        <v>2337.5</v>
      </c>
      <c r="BF298" s="1">
        <v>2327.5</v>
      </c>
      <c r="BG298" s="1">
        <v>2375.5</v>
      </c>
      <c r="BH298" s="1">
        <v>2413</v>
      </c>
      <c r="BI298" s="1">
        <v>2412.5</v>
      </c>
      <c r="BJ298" s="1">
        <v>2424.5</v>
      </c>
      <c r="BK298" s="1">
        <v>2421</v>
      </c>
      <c r="BL298" s="1">
        <v>2410</v>
      </c>
      <c r="BM298" s="1">
        <v>2400.5</v>
      </c>
      <c r="BN298" s="1">
        <v>2415</v>
      </c>
      <c r="BO298" s="1">
        <v>2440</v>
      </c>
      <c r="BP298" s="1">
        <v>2463</v>
      </c>
    </row>
    <row r="299" spans="1:68">
      <c r="A299" s="65" t="s">
        <v>512</v>
      </c>
      <c r="B299" s="1" t="str">
        <f>銘柄管理!C299</f>
        <v/>
      </c>
      <c r="C299" s="1" t="str">
        <f>_xll.RssMarket("186A","安値")</f>
        <v/>
      </c>
      <c r="E299" s="1">
        <v>945</v>
      </c>
      <c r="F299" s="1">
        <v>1055</v>
      </c>
      <c r="G299" s="1">
        <v>1046</v>
      </c>
      <c r="H299" s="1">
        <v>1093</v>
      </c>
      <c r="I299" s="1">
        <v>1078</v>
      </c>
      <c r="J299" s="1">
        <v>1053</v>
      </c>
      <c r="K299" s="1">
        <v>1067</v>
      </c>
      <c r="L299" s="1">
        <v>1141</v>
      </c>
      <c r="M299" s="1">
        <v>1208</v>
      </c>
      <c r="N299" s="1">
        <v>1128</v>
      </c>
      <c r="O299" s="1">
        <v>1102</v>
      </c>
      <c r="P299" s="1">
        <v>1108</v>
      </c>
      <c r="Q299" s="1">
        <v>1151</v>
      </c>
      <c r="R299" s="1">
        <v>1083</v>
      </c>
      <c r="S299" s="1">
        <v>1084</v>
      </c>
      <c r="T299" s="1">
        <v>1104</v>
      </c>
      <c r="U299" s="1">
        <v>1151</v>
      </c>
      <c r="V299" s="1">
        <v>1150</v>
      </c>
      <c r="W299" s="1">
        <v>1201</v>
      </c>
      <c r="X299" s="1">
        <v>1158</v>
      </c>
      <c r="Y299" s="1">
        <v>1304</v>
      </c>
      <c r="Z299" s="1">
        <v>1328</v>
      </c>
      <c r="AA299" s="1">
        <v>1505</v>
      </c>
      <c r="AB299" s="1">
        <v>1836</v>
      </c>
      <c r="AC299" s="1">
        <v>1690</v>
      </c>
      <c r="AD299" s="1">
        <v>1718</v>
      </c>
      <c r="AE299" s="1">
        <v>1910</v>
      </c>
      <c r="AF299" s="1">
        <v>2020</v>
      </c>
      <c r="AG299" s="1">
        <v>1788</v>
      </c>
      <c r="AH299" s="1">
        <v>2002</v>
      </c>
      <c r="AI299" s="1">
        <v>2015</v>
      </c>
      <c r="AJ299" s="1">
        <v>2614</v>
      </c>
      <c r="AK299" s="1">
        <v>2633</v>
      </c>
      <c r="AL299" s="1">
        <v>2616</v>
      </c>
      <c r="AM299" s="1">
        <v>2612</v>
      </c>
      <c r="AN299" s="1">
        <v>1988</v>
      </c>
      <c r="AO299" s="1">
        <v>1832</v>
      </c>
      <c r="AP299" s="1">
        <v>1863</v>
      </c>
      <c r="AQ299" s="1">
        <v>1914</v>
      </c>
      <c r="AR299" s="1">
        <v>1865</v>
      </c>
      <c r="AS299" s="1">
        <v>1873</v>
      </c>
      <c r="AT299" s="1">
        <v>1770</v>
      </c>
      <c r="AU299" s="1">
        <v>1696</v>
      </c>
      <c r="AV299" s="1">
        <v>1703</v>
      </c>
      <c r="AW299" s="1">
        <v>1651</v>
      </c>
      <c r="AX299" s="1">
        <v>1388</v>
      </c>
      <c r="AY299" s="1">
        <v>1328</v>
      </c>
      <c r="AZ299" s="1">
        <v>1237</v>
      </c>
      <c r="BA299" s="1">
        <v>1251</v>
      </c>
      <c r="BB299" s="1">
        <v>1220</v>
      </c>
      <c r="BC299" s="1">
        <v>1219</v>
      </c>
      <c r="BD299" s="1">
        <v>1285</v>
      </c>
      <c r="BE299" s="1">
        <v>1360</v>
      </c>
      <c r="BF299" s="1">
        <v>1431</v>
      </c>
      <c r="BG299" s="1">
        <v>1449</v>
      </c>
      <c r="BH299" s="1">
        <v>1353</v>
      </c>
      <c r="BI299" s="1">
        <v>1327</v>
      </c>
      <c r="BJ299" s="1">
        <v>1354</v>
      </c>
      <c r="BK299" s="1">
        <v>1335</v>
      </c>
      <c r="BL299" s="1">
        <v>1292</v>
      </c>
      <c r="BM299" s="1">
        <v>1276</v>
      </c>
      <c r="BN299" s="1">
        <v>1232</v>
      </c>
      <c r="BO299" s="1">
        <v>1154</v>
      </c>
      <c r="BP299" s="1">
        <v>1111</v>
      </c>
    </row>
    <row r="300" spans="1:68">
      <c r="A300" s="65" t="s">
        <v>513</v>
      </c>
      <c r="B300" s="1" t="str">
        <f>銘柄管理!C300</f>
        <v/>
      </c>
      <c r="C300" s="1" t="str">
        <f>_xll.RssMarket("6965","安値")</f>
        <v/>
      </c>
      <c r="E300" s="1">
        <v>2224</v>
      </c>
      <c r="F300" s="1">
        <v>2444</v>
      </c>
      <c r="G300" s="1">
        <v>2374</v>
      </c>
      <c r="H300" s="1">
        <v>2420.5</v>
      </c>
      <c r="I300" s="1">
        <v>2491</v>
      </c>
      <c r="J300" s="1">
        <v>2396.5</v>
      </c>
      <c r="K300" s="1">
        <v>2387</v>
      </c>
      <c r="L300" s="1">
        <v>2442</v>
      </c>
      <c r="M300" s="1">
        <v>2546</v>
      </c>
      <c r="N300" s="1">
        <v>2543</v>
      </c>
      <c r="O300" s="1">
        <v>2635.5</v>
      </c>
      <c r="P300" s="1">
        <v>2682.5</v>
      </c>
      <c r="Q300" s="1">
        <v>2629.5</v>
      </c>
      <c r="R300" s="1">
        <v>2530.5</v>
      </c>
      <c r="S300" s="1">
        <v>2585.5</v>
      </c>
      <c r="T300" s="1">
        <v>2663.5</v>
      </c>
      <c r="U300" s="1">
        <v>2623.5</v>
      </c>
      <c r="V300" s="1">
        <v>2646.5</v>
      </c>
      <c r="W300" s="1">
        <v>2804</v>
      </c>
      <c r="X300" s="1">
        <v>2757</v>
      </c>
      <c r="Y300" s="1">
        <v>2745</v>
      </c>
      <c r="Z300" s="1">
        <v>2594</v>
      </c>
      <c r="AA300" s="1">
        <v>2560.5</v>
      </c>
      <c r="AB300" s="1">
        <v>2521.5</v>
      </c>
      <c r="AC300" s="1">
        <v>2459.5</v>
      </c>
      <c r="AD300" s="1">
        <v>2281.5</v>
      </c>
      <c r="AE300" s="1">
        <v>2320</v>
      </c>
      <c r="AF300" s="1">
        <v>2572</v>
      </c>
      <c r="AG300" s="1">
        <v>2788</v>
      </c>
      <c r="AH300" s="1">
        <v>2820</v>
      </c>
      <c r="AI300" s="1">
        <v>2806</v>
      </c>
      <c r="AJ300" s="1">
        <v>2617</v>
      </c>
      <c r="AK300" s="1">
        <v>2807</v>
      </c>
      <c r="AL300" s="1">
        <v>2660</v>
      </c>
      <c r="AM300" s="1">
        <v>2669</v>
      </c>
      <c r="AN300" s="1">
        <v>2964</v>
      </c>
      <c r="AO300" s="1">
        <v>2727</v>
      </c>
      <c r="AP300" s="1">
        <v>2635</v>
      </c>
      <c r="AQ300" s="1">
        <v>2555</v>
      </c>
      <c r="AR300" s="1">
        <v>2627</v>
      </c>
      <c r="AS300" s="1">
        <v>2661.5</v>
      </c>
      <c r="AT300" s="1">
        <v>2577</v>
      </c>
      <c r="AU300" s="1">
        <v>2154</v>
      </c>
      <c r="AV300" s="1">
        <v>2073</v>
      </c>
      <c r="AW300" s="1">
        <v>2145</v>
      </c>
      <c r="AX300" s="1">
        <v>2133</v>
      </c>
      <c r="AY300" s="1">
        <v>2070</v>
      </c>
      <c r="AZ300" s="1">
        <v>1992</v>
      </c>
      <c r="BA300" s="1">
        <v>1988</v>
      </c>
      <c r="BB300" s="1">
        <v>1971.5</v>
      </c>
      <c r="BC300" s="1">
        <v>1990</v>
      </c>
      <c r="BD300" s="1">
        <v>1935</v>
      </c>
      <c r="BE300" s="1">
        <v>1894.5</v>
      </c>
      <c r="BF300" s="1">
        <v>1879.5</v>
      </c>
      <c r="BG300" s="1">
        <v>1926.5</v>
      </c>
      <c r="BH300" s="1">
        <v>1930.5</v>
      </c>
      <c r="BI300" s="1">
        <v>1918</v>
      </c>
      <c r="BJ300" s="1">
        <v>1912.5</v>
      </c>
      <c r="BK300" s="1">
        <v>1903</v>
      </c>
      <c r="BL300" s="1">
        <v>1889.5</v>
      </c>
      <c r="BM300" s="1">
        <v>1933.5</v>
      </c>
      <c r="BN300" s="1">
        <v>1907</v>
      </c>
      <c r="BO300" s="1">
        <v>1926</v>
      </c>
      <c r="BP300" s="1">
        <v>1922.5</v>
      </c>
    </row>
    <row r="301" spans="1:68">
      <c r="A301" s="65" t="s">
        <v>514</v>
      </c>
      <c r="B301" s="1" t="str">
        <f>銘柄管理!C301</f>
        <v/>
      </c>
      <c r="C301" s="1" t="str">
        <f>_xll.RssMarket("6331","安値")</f>
        <v/>
      </c>
      <c r="E301" s="1">
        <v>3075</v>
      </c>
      <c r="F301" s="1">
        <v>3415</v>
      </c>
      <c r="G301" s="1">
        <v>3355</v>
      </c>
      <c r="H301" s="1">
        <v>3395</v>
      </c>
      <c r="I301" s="1">
        <v>3540</v>
      </c>
      <c r="J301" s="1">
        <v>3490</v>
      </c>
      <c r="K301" s="1">
        <v>3600</v>
      </c>
      <c r="L301" s="1">
        <v>3840</v>
      </c>
      <c r="M301" s="1">
        <v>3825</v>
      </c>
      <c r="N301" s="1">
        <v>3640</v>
      </c>
      <c r="O301" s="1">
        <v>3675</v>
      </c>
      <c r="P301" s="1">
        <v>3680</v>
      </c>
      <c r="Q301" s="1">
        <v>3650</v>
      </c>
      <c r="R301" s="1">
        <v>3680</v>
      </c>
      <c r="S301" s="1">
        <v>3745</v>
      </c>
      <c r="T301" s="1">
        <v>3810</v>
      </c>
      <c r="U301" s="1">
        <v>3770</v>
      </c>
      <c r="V301" s="1">
        <v>3880</v>
      </c>
      <c r="W301" s="1">
        <v>3980</v>
      </c>
      <c r="X301" s="1">
        <v>3950</v>
      </c>
      <c r="Y301" s="1">
        <v>4010</v>
      </c>
      <c r="Z301" s="1">
        <v>3900</v>
      </c>
      <c r="AA301" s="1">
        <v>3825</v>
      </c>
      <c r="AB301" s="1">
        <v>3730</v>
      </c>
      <c r="AC301" s="1">
        <v>3635</v>
      </c>
      <c r="AD301" s="1">
        <v>3515</v>
      </c>
      <c r="AE301" s="1">
        <v>3470</v>
      </c>
      <c r="AF301" s="1">
        <v>3445</v>
      </c>
      <c r="AG301" s="1">
        <v>3465</v>
      </c>
      <c r="AH301" s="1">
        <v>3455</v>
      </c>
      <c r="AI301" s="1">
        <v>3425</v>
      </c>
      <c r="AJ301" s="1">
        <v>3300</v>
      </c>
      <c r="AK301" s="1">
        <v>3590</v>
      </c>
      <c r="AL301" s="1">
        <v>3585</v>
      </c>
      <c r="AM301" s="1">
        <v>3630</v>
      </c>
      <c r="AN301" s="1">
        <v>3420</v>
      </c>
      <c r="AO301" s="1">
        <v>3390</v>
      </c>
      <c r="AP301" s="1">
        <v>3470</v>
      </c>
      <c r="AQ301" s="1">
        <v>3365</v>
      </c>
      <c r="AR301" s="1">
        <v>3550</v>
      </c>
      <c r="AS301" s="1">
        <v>3545</v>
      </c>
      <c r="AT301" s="1">
        <v>3270</v>
      </c>
      <c r="AU301" s="1">
        <v>3290</v>
      </c>
      <c r="AV301" s="1">
        <v>3255</v>
      </c>
      <c r="AW301" s="1">
        <v>3270</v>
      </c>
      <c r="AX301" s="1">
        <v>3260</v>
      </c>
      <c r="AY301" s="1">
        <v>3210</v>
      </c>
      <c r="AZ301" s="1">
        <v>3270</v>
      </c>
      <c r="BA301" s="1">
        <v>3200</v>
      </c>
      <c r="BB301" s="1">
        <v>3115</v>
      </c>
      <c r="BC301" s="1">
        <v>3180</v>
      </c>
      <c r="BD301" s="1">
        <v>3195</v>
      </c>
      <c r="BE301" s="1">
        <v>3130</v>
      </c>
      <c r="BF301" s="1">
        <v>3040</v>
      </c>
      <c r="BG301" s="1">
        <v>2993</v>
      </c>
      <c r="BH301" s="1">
        <v>3020</v>
      </c>
      <c r="BI301" s="1">
        <v>3020</v>
      </c>
      <c r="BJ301" s="1">
        <v>3005</v>
      </c>
      <c r="BK301" s="1">
        <v>3020</v>
      </c>
      <c r="BL301" s="1">
        <v>3005</v>
      </c>
      <c r="BM301" s="1">
        <v>3080</v>
      </c>
      <c r="BN301" s="1">
        <v>3075</v>
      </c>
      <c r="BO301" s="1">
        <v>3175</v>
      </c>
      <c r="BP301" s="1">
        <v>3140</v>
      </c>
    </row>
    <row r="302" spans="1:68">
      <c r="A302" s="65" t="s">
        <v>515</v>
      </c>
      <c r="B302" s="1" t="str">
        <f>銘柄管理!C302</f>
        <v/>
      </c>
      <c r="C302" s="1" t="str">
        <f>_xll.RssMarket("7741","安値")</f>
        <v/>
      </c>
      <c r="E302" s="1">
        <v>24625</v>
      </c>
      <c r="F302" s="1">
        <v>25305</v>
      </c>
      <c r="G302" s="1">
        <v>25340</v>
      </c>
      <c r="H302" s="1">
        <v>24975</v>
      </c>
      <c r="I302" s="1">
        <v>24795</v>
      </c>
      <c r="J302" s="1">
        <v>24230</v>
      </c>
      <c r="K302" s="1">
        <v>23910</v>
      </c>
      <c r="L302" s="1">
        <v>25220</v>
      </c>
      <c r="M302" s="1">
        <v>25475</v>
      </c>
      <c r="N302" s="1">
        <v>25565</v>
      </c>
      <c r="O302" s="1">
        <v>25500</v>
      </c>
      <c r="P302" s="1">
        <v>25560</v>
      </c>
      <c r="Q302" s="1">
        <v>25625</v>
      </c>
      <c r="R302" s="1">
        <v>25170</v>
      </c>
      <c r="S302" s="1">
        <v>25020</v>
      </c>
      <c r="T302" s="1">
        <v>26120</v>
      </c>
      <c r="U302" s="1">
        <v>25875</v>
      </c>
      <c r="V302" s="1">
        <v>26485</v>
      </c>
      <c r="W302" s="1">
        <v>26860</v>
      </c>
      <c r="X302" s="1">
        <v>27035</v>
      </c>
      <c r="Y302" s="1">
        <v>27770</v>
      </c>
      <c r="Z302" s="1">
        <v>26900</v>
      </c>
      <c r="AA302" s="1">
        <v>26510</v>
      </c>
      <c r="AB302" s="1">
        <v>26445</v>
      </c>
      <c r="AC302" s="1">
        <v>25965</v>
      </c>
      <c r="AD302" s="1">
        <v>25165</v>
      </c>
      <c r="AE302" s="1">
        <v>25265</v>
      </c>
      <c r="AF302" s="1">
        <v>25100</v>
      </c>
      <c r="AG302" s="1">
        <v>26155</v>
      </c>
      <c r="AH302" s="1">
        <v>26280</v>
      </c>
      <c r="AI302" s="1">
        <v>26360</v>
      </c>
      <c r="AJ302" s="1">
        <v>25990</v>
      </c>
      <c r="AK302" s="1">
        <v>26985</v>
      </c>
      <c r="AL302" s="1">
        <v>26740</v>
      </c>
      <c r="AM302" s="1">
        <v>27025</v>
      </c>
      <c r="AN302" s="1">
        <v>25870</v>
      </c>
      <c r="AO302" s="1">
        <v>26225</v>
      </c>
      <c r="AP302" s="1">
        <v>26580</v>
      </c>
      <c r="AQ302" s="1">
        <v>26220</v>
      </c>
      <c r="AR302" s="1">
        <v>26705</v>
      </c>
      <c r="AS302" s="1">
        <v>27255</v>
      </c>
      <c r="AT302" s="1">
        <v>27630</v>
      </c>
      <c r="AU302" s="1">
        <v>27380</v>
      </c>
      <c r="AV302" s="1">
        <v>27300</v>
      </c>
      <c r="AW302" s="1">
        <v>27220</v>
      </c>
      <c r="AX302" s="1">
        <v>27050</v>
      </c>
      <c r="AY302" s="1">
        <v>27405</v>
      </c>
      <c r="AZ302" s="1">
        <v>26805</v>
      </c>
      <c r="BA302" s="1">
        <v>27750</v>
      </c>
      <c r="BB302" s="1">
        <v>27665</v>
      </c>
      <c r="BC302" s="1">
        <v>28945</v>
      </c>
      <c r="BD302" s="1">
        <v>28785</v>
      </c>
      <c r="BE302" s="1">
        <v>28300</v>
      </c>
      <c r="BF302" s="1">
        <v>28180</v>
      </c>
      <c r="BG302" s="1">
        <v>28625</v>
      </c>
      <c r="BH302" s="1">
        <v>28970</v>
      </c>
      <c r="BI302" s="1">
        <v>29290</v>
      </c>
      <c r="BJ302" s="1">
        <v>28995</v>
      </c>
      <c r="BK302" s="1">
        <v>29405</v>
      </c>
      <c r="BL302" s="1">
        <v>29620</v>
      </c>
      <c r="BM302" s="1">
        <v>29205</v>
      </c>
      <c r="BN302" s="1">
        <v>28965</v>
      </c>
      <c r="BO302" s="1">
        <v>28925</v>
      </c>
      <c r="BP302" s="1">
        <v>28900</v>
      </c>
    </row>
    <row r="303" spans="1:68">
      <c r="A303" s="65" t="s">
        <v>882</v>
      </c>
      <c r="B303" s="1" t="str">
        <f>銘柄管理!C303</f>
        <v/>
      </c>
      <c r="C303" s="1" t="str">
        <f>_xll.RssMarket("1321","安値")</f>
        <v/>
      </c>
      <c r="E303" s="1">
        <v>64880</v>
      </c>
      <c r="F303" s="1">
        <v>70180</v>
      </c>
      <c r="G303" s="1">
        <v>68580</v>
      </c>
      <c r="H303" s="1">
        <v>69000</v>
      </c>
      <c r="I303" s="1">
        <v>70850</v>
      </c>
      <c r="J303" s="1">
        <v>69830</v>
      </c>
      <c r="K303" s="1">
        <v>69530</v>
      </c>
      <c r="L303" s="1">
        <v>70560</v>
      </c>
      <c r="M303" s="1">
        <v>72170</v>
      </c>
      <c r="N303" s="1">
        <v>71000</v>
      </c>
      <c r="O303" s="1">
        <v>71950</v>
      </c>
      <c r="P303" s="1">
        <v>73420</v>
      </c>
      <c r="Q303" s="1">
        <v>72580</v>
      </c>
      <c r="R303" s="1">
        <v>71230</v>
      </c>
      <c r="S303" s="1">
        <v>71850</v>
      </c>
      <c r="T303" s="1">
        <v>73910</v>
      </c>
      <c r="U303" s="1">
        <v>71630</v>
      </c>
      <c r="V303" s="1">
        <v>73150</v>
      </c>
      <c r="W303" s="1">
        <v>74510</v>
      </c>
      <c r="X303" s="1">
        <v>73960</v>
      </c>
      <c r="Y303" s="1">
        <v>73550</v>
      </c>
      <c r="Z303" s="1">
        <v>71960</v>
      </c>
      <c r="AA303" s="1">
        <v>72290</v>
      </c>
      <c r="AB303" s="1">
        <v>71530</v>
      </c>
      <c r="AC303" s="1">
        <v>68870</v>
      </c>
      <c r="AD303" s="1">
        <v>65270</v>
      </c>
      <c r="AE303" s="1">
        <v>66720</v>
      </c>
      <c r="AF303" s="1">
        <v>66370</v>
      </c>
      <c r="AG303" s="1">
        <v>68940</v>
      </c>
      <c r="AH303" s="1">
        <v>70040</v>
      </c>
      <c r="AI303" s="1">
        <v>70520</v>
      </c>
      <c r="AJ303" s="1">
        <v>68610</v>
      </c>
      <c r="AK303" s="1">
        <v>68610</v>
      </c>
      <c r="AL303" s="1">
        <v>66850</v>
      </c>
      <c r="AM303" s="1">
        <v>68120</v>
      </c>
      <c r="AN303" s="1">
        <v>66750</v>
      </c>
      <c r="AO303" s="1">
        <v>65190</v>
      </c>
      <c r="AP303" s="1">
        <v>64060</v>
      </c>
      <c r="AQ303" s="1">
        <v>62080</v>
      </c>
      <c r="AR303" s="1">
        <v>63070</v>
      </c>
      <c r="AS303" s="1">
        <v>63190</v>
      </c>
      <c r="AT303" s="1">
        <v>63790</v>
      </c>
      <c r="AU303" s="1">
        <v>65600</v>
      </c>
      <c r="AV303" s="1">
        <v>65120</v>
      </c>
      <c r="AW303" s="1">
        <v>65040</v>
      </c>
      <c r="AX303" s="1">
        <v>65280</v>
      </c>
      <c r="AY303" s="1">
        <v>65010</v>
      </c>
      <c r="AZ303" s="1">
        <v>64660</v>
      </c>
      <c r="BA303" s="1">
        <v>62110</v>
      </c>
      <c r="BB303" s="1">
        <v>61640</v>
      </c>
      <c r="BC303" s="1">
        <v>62450</v>
      </c>
      <c r="BD303" s="1">
        <v>62330</v>
      </c>
      <c r="BE303" s="1">
        <v>61980</v>
      </c>
      <c r="BF303" s="1">
        <v>61330</v>
      </c>
      <c r="BG303" s="1">
        <v>61720</v>
      </c>
      <c r="BH303" s="1">
        <v>61750</v>
      </c>
      <c r="BI303" s="1">
        <v>61450</v>
      </c>
      <c r="BJ303" s="1">
        <v>61360</v>
      </c>
      <c r="BK303" s="1">
        <v>61220</v>
      </c>
      <c r="BL303" s="1">
        <v>60700</v>
      </c>
      <c r="BM303" s="1">
        <v>60010</v>
      </c>
      <c r="BN303" s="1">
        <v>58830</v>
      </c>
      <c r="BO303" s="1">
        <v>59050</v>
      </c>
      <c r="BP303" s="1">
        <v>58340</v>
      </c>
    </row>
    <row r="304" spans="1:68">
      <c r="A304" s="65" t="s">
        <v>884</v>
      </c>
      <c r="B304" s="1" t="str">
        <f>銘柄管理!C304</f>
        <v/>
      </c>
      <c r="C304" s="1" t="str">
        <f>_xll.RssMarket("1944","安値")</f>
        <v/>
      </c>
      <c r="E304" s="1">
        <v>6951</v>
      </c>
      <c r="F304" s="1">
        <v>7377</v>
      </c>
      <c r="G304" s="1">
        <v>7277</v>
      </c>
      <c r="H304" s="1">
        <v>7316</v>
      </c>
      <c r="I304" s="1">
        <v>7634</v>
      </c>
      <c r="J304" s="1">
        <v>7667</v>
      </c>
      <c r="K304" s="1">
        <v>7754</v>
      </c>
      <c r="L304" s="1">
        <v>7972</v>
      </c>
      <c r="M304" s="1">
        <v>7957</v>
      </c>
      <c r="N304" s="1">
        <v>7799</v>
      </c>
      <c r="O304" s="1">
        <v>7597</v>
      </c>
      <c r="P304" s="1">
        <v>7777</v>
      </c>
      <c r="Q304" s="1">
        <v>7920</v>
      </c>
      <c r="R304" s="1">
        <v>7930</v>
      </c>
      <c r="S304" s="1">
        <v>8041</v>
      </c>
      <c r="T304" s="1">
        <v>8155</v>
      </c>
      <c r="U304" s="1">
        <v>8133</v>
      </c>
      <c r="V304" s="1">
        <v>8061</v>
      </c>
      <c r="W304" s="1">
        <v>8073</v>
      </c>
      <c r="X304" s="1">
        <v>8030</v>
      </c>
      <c r="Y304" s="1">
        <v>7707</v>
      </c>
      <c r="Z304" s="1">
        <v>7650</v>
      </c>
      <c r="AA304" s="1">
        <v>7243</v>
      </c>
      <c r="AB304" s="1">
        <v>7080</v>
      </c>
      <c r="AC304" s="1">
        <v>6750</v>
      </c>
      <c r="AD304" s="1">
        <v>6653</v>
      </c>
      <c r="AE304" s="1">
        <v>6900</v>
      </c>
      <c r="AF304" s="1">
        <v>6495</v>
      </c>
      <c r="AG304" s="1">
        <v>6471</v>
      </c>
      <c r="AH304" s="1">
        <v>6451</v>
      </c>
      <c r="AI304" s="1">
        <v>6533</v>
      </c>
      <c r="AJ304" s="1">
        <v>6571</v>
      </c>
      <c r="AK304" s="1">
        <v>7090</v>
      </c>
      <c r="AL304" s="1">
        <v>7027</v>
      </c>
      <c r="AM304" s="1">
        <v>7050</v>
      </c>
      <c r="AN304" s="1">
        <v>6850</v>
      </c>
      <c r="AO304" s="1">
        <v>6720</v>
      </c>
      <c r="AP304" s="1">
        <v>6793</v>
      </c>
      <c r="AQ304" s="1">
        <v>6650</v>
      </c>
      <c r="AR304" s="1">
        <v>6790</v>
      </c>
      <c r="AS304" s="1">
        <v>6905</v>
      </c>
      <c r="AT304" s="1">
        <v>7354</v>
      </c>
      <c r="AU304" s="1">
        <v>7695</v>
      </c>
      <c r="AV304" s="1">
        <v>7973</v>
      </c>
      <c r="AW304" s="1">
        <v>8133</v>
      </c>
      <c r="AX304" s="1">
        <v>8180</v>
      </c>
      <c r="AY304" s="1">
        <v>8173</v>
      </c>
      <c r="AZ304" s="1">
        <v>8218</v>
      </c>
      <c r="BA304" s="1">
        <v>8082</v>
      </c>
      <c r="BB304" s="1">
        <v>7824</v>
      </c>
      <c r="BC304" s="1">
        <v>7932</v>
      </c>
      <c r="BD304" s="1">
        <v>6830</v>
      </c>
      <c r="BE304" s="1">
        <v>7116</v>
      </c>
      <c r="BF304" s="1">
        <v>6986</v>
      </c>
      <c r="BG304" s="1">
        <v>6911</v>
      </c>
      <c r="BH304" s="1">
        <v>6998</v>
      </c>
      <c r="BI304" s="1">
        <v>7004</v>
      </c>
      <c r="BJ304" s="1">
        <v>7009</v>
      </c>
      <c r="BK304" s="1">
        <v>6905</v>
      </c>
      <c r="BL304" s="1">
        <v>6902</v>
      </c>
      <c r="BM304" s="1">
        <v>7323</v>
      </c>
      <c r="BN304" s="1">
        <v>7222</v>
      </c>
      <c r="BO304" s="1">
        <v>7372</v>
      </c>
      <c r="BP304" s="1">
        <v>7370</v>
      </c>
    </row>
    <row r="305" spans="1:65">
      <c r="A305" s="65" t="s">
        <v>1144</v>
      </c>
      <c r="B305" s="1" t="str">
        <f>銘柄管理!C305</f>
        <v/>
      </c>
      <c r="C305" s="1" t="str">
        <f>_xll.RssMarket("7532","安値")</f>
        <v/>
      </c>
      <c r="E305" s="1">
        <v>881.3</v>
      </c>
      <c r="F305" s="1">
        <v>853</v>
      </c>
      <c r="G305" s="1">
        <v>873</v>
      </c>
      <c r="H305" s="1">
        <v>846.5</v>
      </c>
      <c r="I305" s="1">
        <v>848.9</v>
      </c>
      <c r="J305" s="1">
        <v>860.3</v>
      </c>
      <c r="K305" s="1">
        <v>856.2</v>
      </c>
      <c r="L305" s="1">
        <v>838.1</v>
      </c>
      <c r="M305" s="1">
        <v>816.8</v>
      </c>
      <c r="N305" s="1">
        <v>815.1</v>
      </c>
      <c r="O305" s="1">
        <v>808.2</v>
      </c>
      <c r="P305" s="1">
        <v>793.6</v>
      </c>
      <c r="Q305" s="1">
        <v>821</v>
      </c>
      <c r="R305" s="1">
        <v>820.1</v>
      </c>
      <c r="S305" s="1">
        <v>815.4</v>
      </c>
      <c r="T305" s="1">
        <v>813.5</v>
      </c>
      <c r="U305" s="1">
        <v>815.1</v>
      </c>
      <c r="V305" s="1">
        <v>806.1</v>
      </c>
      <c r="W305" s="1">
        <v>809.8</v>
      </c>
      <c r="X305" s="1">
        <v>811</v>
      </c>
      <c r="Y305" s="1">
        <v>825.3</v>
      </c>
      <c r="Z305" s="1">
        <v>833.8</v>
      </c>
      <c r="AA305" s="1">
        <v>822.5</v>
      </c>
      <c r="AB305" s="1">
        <v>837.2</v>
      </c>
      <c r="AC305" s="1">
        <v>851.6</v>
      </c>
      <c r="AD305" s="1">
        <v>860.6</v>
      </c>
      <c r="AE305" s="1">
        <v>836.4</v>
      </c>
      <c r="AF305" s="1">
        <v>829</v>
      </c>
      <c r="AG305" s="1">
        <v>822.2</v>
      </c>
      <c r="AH305" s="1">
        <v>820.2</v>
      </c>
      <c r="AI305" s="1">
        <v>807.3</v>
      </c>
      <c r="AJ305" s="1">
        <v>794.7</v>
      </c>
      <c r="AK305" s="1">
        <v>856.4</v>
      </c>
      <c r="AL305" s="1">
        <v>836.8</v>
      </c>
      <c r="AM305" s="1">
        <v>801</v>
      </c>
      <c r="AN305" s="1">
        <v>818.4</v>
      </c>
      <c r="AO305" s="1">
        <v>854.9</v>
      </c>
      <c r="AP305" s="1">
        <v>859.6</v>
      </c>
      <c r="AQ305" s="1">
        <v>865.3</v>
      </c>
      <c r="AR305" s="1">
        <v>866</v>
      </c>
      <c r="AS305" s="1">
        <v>868.9</v>
      </c>
      <c r="AT305" s="1">
        <v>842.1</v>
      </c>
      <c r="AU305" s="1">
        <v>841</v>
      </c>
      <c r="AV305" s="1">
        <v>878.5</v>
      </c>
      <c r="AW305" s="1">
        <v>887.5</v>
      </c>
      <c r="AX305" s="1">
        <v>881.7</v>
      </c>
      <c r="AY305" s="1">
        <v>882.1</v>
      </c>
      <c r="AZ305" s="1">
        <v>869.3</v>
      </c>
      <c r="BA305" s="1">
        <v>879</v>
      </c>
      <c r="BB305" s="1">
        <v>872.7</v>
      </c>
      <c r="BC305" s="1">
        <v>898.1</v>
      </c>
      <c r="BD305" s="1">
        <v>906.1</v>
      </c>
      <c r="BE305" s="1">
        <v>910.1</v>
      </c>
      <c r="BF305" s="1">
        <v>914.5</v>
      </c>
      <c r="BG305" s="1">
        <v>941.5</v>
      </c>
      <c r="BH305" s="1">
        <v>942</v>
      </c>
      <c r="BI305" s="1">
        <v>946.3</v>
      </c>
      <c r="BJ305" s="1">
        <v>940</v>
      </c>
      <c r="BK305" s="1">
        <v>954.1</v>
      </c>
      <c r="BL305" s="1">
        <v>954.7</v>
      </c>
      <c r="BM305" s="1">
        <v>947</v>
      </c>
    </row>
    <row r="306" spans="1:65">
      <c r="A306" s="67"/>
    </row>
    <row r="307" spans="1:65">
      <c r="A307" s="67"/>
    </row>
    <row r="308" spans="1:65">
      <c r="A308" s="67"/>
    </row>
    <row r="309" spans="1:65">
      <c r="A309" s="67"/>
    </row>
    <row r="310" spans="1:65">
      <c r="A310" s="67"/>
    </row>
    <row r="311" spans="1:65">
      <c r="A311" s="67"/>
    </row>
    <row r="312" spans="1:65">
      <c r="A312" s="67"/>
    </row>
    <row r="313" spans="1:65">
      <c r="A313" s="67"/>
    </row>
    <row r="314" spans="1:65">
      <c r="A314" s="67"/>
    </row>
    <row r="315" spans="1:65">
      <c r="A315" s="67"/>
    </row>
    <row r="316" spans="1:65">
      <c r="A316" s="67"/>
    </row>
    <row r="317" spans="1:65">
      <c r="A317" s="67"/>
    </row>
    <row r="318" spans="1:65">
      <c r="A318" s="67"/>
    </row>
    <row r="319" spans="1:65">
      <c r="A319" s="67"/>
    </row>
    <row r="320" spans="1:65">
      <c r="A320" s="67"/>
    </row>
    <row r="321" spans="1:1">
      <c r="A321" s="67"/>
    </row>
    <row r="322" spans="1:1">
      <c r="A322" s="67"/>
    </row>
    <row r="323" spans="1:1">
      <c r="A323" s="67"/>
    </row>
    <row r="324" spans="1:1">
      <c r="A324" s="67"/>
    </row>
    <row r="325" spans="1:1">
      <c r="A325" s="67"/>
    </row>
    <row r="326" spans="1:1">
      <c r="A326" s="67"/>
    </row>
    <row r="327" spans="1:1">
      <c r="A327" s="67"/>
    </row>
    <row r="328" spans="1:1">
      <c r="A328" s="67"/>
    </row>
    <row r="329" spans="1:1">
      <c r="A329" s="67"/>
    </row>
    <row r="330" spans="1:1">
      <c r="A330" s="67"/>
    </row>
    <row r="331" spans="1:1">
      <c r="A331" s="67"/>
    </row>
    <row r="332" spans="1:1">
      <c r="A332" s="67"/>
    </row>
    <row r="333" spans="1:1">
      <c r="A333" s="67"/>
    </row>
    <row r="334" spans="1:1">
      <c r="A334" s="67"/>
    </row>
    <row r="335" spans="1:1">
      <c r="A335" s="67"/>
    </row>
    <row r="336" spans="1:1">
      <c r="A336" s="67"/>
    </row>
    <row r="337" spans="1:1">
      <c r="A337" s="67"/>
    </row>
    <row r="338" spans="1:1">
      <c r="A338" s="67"/>
    </row>
    <row r="339" spans="1:1">
      <c r="A339" s="67"/>
    </row>
    <row r="340" spans="1:1">
      <c r="A340" s="67"/>
    </row>
    <row r="341" spans="1:1">
      <c r="A341" s="67"/>
    </row>
    <row r="342" spans="1:1">
      <c r="A342" s="67"/>
    </row>
    <row r="343" spans="1:1">
      <c r="A343" s="67"/>
    </row>
    <row r="344" spans="1:1">
      <c r="A344" s="67"/>
    </row>
    <row r="345" spans="1:1">
      <c r="A345" s="67"/>
    </row>
    <row r="346" spans="1:1">
      <c r="A346" s="67"/>
    </row>
    <row r="347" spans="1:1">
      <c r="A347" s="67"/>
    </row>
    <row r="348" spans="1:1">
      <c r="A348" s="67"/>
    </row>
    <row r="349" spans="1:1">
      <c r="A349" s="67"/>
    </row>
    <row r="350" spans="1:1">
      <c r="A350" s="67"/>
    </row>
    <row r="351" spans="1:1">
      <c r="A351" s="67"/>
    </row>
    <row r="352" spans="1:1">
      <c r="A352" s="67"/>
    </row>
    <row r="353" spans="1:1">
      <c r="A353" s="67"/>
    </row>
    <row r="354" spans="1:1">
      <c r="A354" s="67"/>
    </row>
    <row r="355" spans="1:1">
      <c r="A355" s="67"/>
    </row>
    <row r="356" spans="1:1">
      <c r="A356" s="67"/>
    </row>
    <row r="357" spans="1:1">
      <c r="A357" s="67"/>
    </row>
    <row r="358" spans="1:1">
      <c r="A358" s="67"/>
    </row>
    <row r="359" spans="1:1">
      <c r="A359" s="67"/>
    </row>
    <row r="360" spans="1:1">
      <c r="A360" s="67"/>
    </row>
    <row r="361" spans="1:1">
      <c r="A361" s="67"/>
    </row>
    <row r="362" spans="1:1">
      <c r="A362" s="67"/>
    </row>
    <row r="363" spans="1:1">
      <c r="A363" s="67"/>
    </row>
    <row r="364" spans="1:1">
      <c r="A364" s="67"/>
    </row>
    <row r="365" spans="1:1">
      <c r="A365" s="67"/>
    </row>
    <row r="366" spans="1:1">
      <c r="A366" s="67"/>
    </row>
    <row r="367" spans="1:1">
      <c r="A367" s="67"/>
    </row>
    <row r="368" spans="1:1">
      <c r="A368" s="67"/>
    </row>
    <row r="369" spans="1:1">
      <c r="A369" s="67"/>
    </row>
    <row r="370" spans="1:1">
      <c r="A370" s="67"/>
    </row>
    <row r="371" spans="1:1">
      <c r="A371" s="67"/>
    </row>
    <row r="372" spans="1:1">
      <c r="A372" s="67"/>
    </row>
    <row r="373" spans="1:1">
      <c r="A373" s="67"/>
    </row>
    <row r="374" spans="1:1">
      <c r="A374" s="67"/>
    </row>
    <row r="375" spans="1:1">
      <c r="A375" s="67"/>
    </row>
    <row r="376" spans="1:1">
      <c r="A376" s="67"/>
    </row>
    <row r="377" spans="1:1">
      <c r="A377" s="67"/>
    </row>
    <row r="378" spans="1:1">
      <c r="A378" s="67"/>
    </row>
    <row r="379" spans="1:1">
      <c r="A379" s="67"/>
    </row>
    <row r="380" spans="1:1">
      <c r="A380" s="67"/>
    </row>
    <row r="381" spans="1:1">
      <c r="A381" s="67"/>
    </row>
    <row r="382" spans="1:1">
      <c r="A382" s="67"/>
    </row>
    <row r="383" spans="1:1">
      <c r="A383" s="67"/>
    </row>
    <row r="384" spans="1:1">
      <c r="A384" s="67"/>
    </row>
    <row r="385" spans="1:1">
      <c r="A385" s="67"/>
    </row>
    <row r="386" spans="1:1">
      <c r="A386" s="67"/>
    </row>
    <row r="387" spans="1:1">
      <c r="A387" s="67"/>
    </row>
    <row r="388" spans="1:1">
      <c r="A388" s="67"/>
    </row>
    <row r="389" spans="1:1">
      <c r="A389" s="67"/>
    </row>
    <row r="390" spans="1:1">
      <c r="A390" s="67"/>
    </row>
    <row r="391" spans="1:1">
      <c r="A391" s="67"/>
    </row>
    <row r="392" spans="1:1">
      <c r="A392" s="67"/>
    </row>
    <row r="393" spans="1:1">
      <c r="A393" s="67"/>
    </row>
    <row r="394" spans="1:1">
      <c r="A394" s="67"/>
    </row>
    <row r="395" spans="1:1">
      <c r="A395" s="67"/>
    </row>
    <row r="396" spans="1:1">
      <c r="A396" s="67"/>
    </row>
    <row r="397" spans="1:1">
      <c r="A397" s="67"/>
    </row>
    <row r="398" spans="1:1">
      <c r="A398" s="67"/>
    </row>
    <row r="399" spans="1:1">
      <c r="A399" s="67"/>
    </row>
    <row r="400" spans="1:1">
      <c r="A400" s="67"/>
    </row>
    <row r="401" spans="1:1">
      <c r="A401" s="67"/>
    </row>
    <row r="402" spans="1:1">
      <c r="A402" s="67"/>
    </row>
    <row r="403" spans="1:1">
      <c r="A403" s="67"/>
    </row>
    <row r="404" spans="1:1">
      <c r="A404" s="67"/>
    </row>
    <row r="405" spans="1:1">
      <c r="A405" s="67"/>
    </row>
    <row r="406" spans="1:1">
      <c r="A406" s="67"/>
    </row>
    <row r="407" spans="1:1">
      <c r="A407" s="67"/>
    </row>
    <row r="408" spans="1:1">
      <c r="A408" s="67"/>
    </row>
    <row r="409" spans="1:1">
      <c r="A409" s="67"/>
    </row>
    <row r="410" spans="1:1">
      <c r="A410" s="67"/>
    </row>
    <row r="411" spans="1:1">
      <c r="A411" s="67"/>
    </row>
    <row r="412" spans="1:1">
      <c r="A412" s="67"/>
    </row>
    <row r="413" spans="1:1">
      <c r="A413" s="67"/>
    </row>
    <row r="414" spans="1:1">
      <c r="A414" s="67"/>
    </row>
    <row r="415" spans="1:1">
      <c r="A415" s="67"/>
    </row>
    <row r="416" spans="1:1">
      <c r="A416" s="67"/>
    </row>
    <row r="417" spans="1:1">
      <c r="A417" s="67"/>
    </row>
    <row r="418" spans="1:1">
      <c r="A418" s="67"/>
    </row>
    <row r="419" spans="1:1">
      <c r="A419" s="67"/>
    </row>
    <row r="420" spans="1:1">
      <c r="A420" s="67"/>
    </row>
    <row r="421" spans="1:1">
      <c r="A421" s="67"/>
    </row>
    <row r="422" spans="1:1">
      <c r="A422" s="67"/>
    </row>
    <row r="423" spans="1:1">
      <c r="A423" s="67"/>
    </row>
    <row r="424" spans="1:1">
      <c r="A424" s="67"/>
    </row>
    <row r="425" spans="1:1">
      <c r="A425" s="67"/>
    </row>
    <row r="426" spans="1:1">
      <c r="A426" s="67"/>
    </row>
    <row r="427" spans="1:1">
      <c r="A427" s="67"/>
    </row>
    <row r="428" spans="1:1">
      <c r="A428" s="67"/>
    </row>
    <row r="429" spans="1:1">
      <c r="A429" s="67"/>
    </row>
    <row r="430" spans="1:1">
      <c r="A430" s="67"/>
    </row>
    <row r="431" spans="1:1">
      <c r="A431" s="67"/>
    </row>
    <row r="432" spans="1:1">
      <c r="A432" s="67"/>
    </row>
    <row r="433" spans="1:1">
      <c r="A433" s="67"/>
    </row>
    <row r="434" spans="1:1">
      <c r="A434" s="67"/>
    </row>
    <row r="435" spans="1:1">
      <c r="A435" s="67"/>
    </row>
    <row r="436" spans="1:1">
      <c r="A436" s="67"/>
    </row>
    <row r="437" spans="1:1">
      <c r="A437" s="67"/>
    </row>
    <row r="438" spans="1:1">
      <c r="A438" s="67"/>
    </row>
    <row r="439" spans="1:1">
      <c r="A439" s="67"/>
    </row>
    <row r="440" spans="1:1">
      <c r="A440" s="67"/>
    </row>
    <row r="441" spans="1:1">
      <c r="A441" s="67"/>
    </row>
    <row r="442" spans="1:1">
      <c r="A442" s="67"/>
    </row>
    <row r="443" spans="1:1">
      <c r="A443" s="67"/>
    </row>
    <row r="444" spans="1:1">
      <c r="A444" s="67"/>
    </row>
    <row r="445" spans="1:1">
      <c r="A445" s="67"/>
    </row>
    <row r="446" spans="1:1">
      <c r="A446" s="67"/>
    </row>
    <row r="447" spans="1:1">
      <c r="A447" s="67"/>
    </row>
    <row r="448" spans="1:1">
      <c r="A448" s="67"/>
    </row>
    <row r="449" spans="1:1">
      <c r="A449" s="67"/>
    </row>
    <row r="450" spans="1:1">
      <c r="A450" s="67"/>
    </row>
    <row r="451" spans="1:1">
      <c r="A451" s="67"/>
    </row>
    <row r="452" spans="1:1">
      <c r="A452" s="67"/>
    </row>
    <row r="453" spans="1:1">
      <c r="A453" s="67"/>
    </row>
    <row r="454" spans="1:1">
      <c r="A454" s="67"/>
    </row>
    <row r="455" spans="1:1">
      <c r="A455" s="67"/>
    </row>
    <row r="456" spans="1:1">
      <c r="A456" s="67"/>
    </row>
    <row r="457" spans="1:1">
      <c r="A457" s="67"/>
    </row>
    <row r="458" spans="1:1">
      <c r="A458" s="67"/>
    </row>
    <row r="459" spans="1:1">
      <c r="A459" s="67"/>
    </row>
    <row r="460" spans="1:1">
      <c r="A460" s="67"/>
    </row>
    <row r="461" spans="1:1">
      <c r="A461" s="67"/>
    </row>
    <row r="462" spans="1:1">
      <c r="A462" s="67"/>
    </row>
    <row r="463" spans="1:1">
      <c r="A463" s="67"/>
    </row>
    <row r="464" spans="1:1">
      <c r="A464" s="67"/>
    </row>
    <row r="465" spans="1:1">
      <c r="A465" s="67"/>
    </row>
    <row r="466" spans="1:1">
      <c r="A466" s="67"/>
    </row>
    <row r="467" spans="1:1">
      <c r="A467" s="67"/>
    </row>
    <row r="468" spans="1:1">
      <c r="A468" s="67"/>
    </row>
    <row r="469" spans="1:1">
      <c r="A469" s="67"/>
    </row>
    <row r="470" spans="1:1">
      <c r="A470" s="67"/>
    </row>
    <row r="471" spans="1:1">
      <c r="A471" s="67"/>
    </row>
    <row r="472" spans="1:1">
      <c r="A472" s="67"/>
    </row>
    <row r="473" spans="1:1">
      <c r="A473" s="67"/>
    </row>
    <row r="474" spans="1:1">
      <c r="A474" s="67"/>
    </row>
    <row r="475" spans="1:1">
      <c r="A475" s="67"/>
    </row>
    <row r="476" spans="1:1">
      <c r="A476" s="67"/>
    </row>
    <row r="477" spans="1:1">
      <c r="A477" s="67"/>
    </row>
    <row r="478" spans="1:1">
      <c r="A478" s="67"/>
    </row>
    <row r="479" spans="1:1">
      <c r="A479" s="67"/>
    </row>
    <row r="480" spans="1:1">
      <c r="A480" s="67"/>
    </row>
    <row r="481" spans="1:1">
      <c r="A481" s="67"/>
    </row>
    <row r="482" spans="1:1">
      <c r="A482" s="67"/>
    </row>
    <row r="483" spans="1:1">
      <c r="A483" s="67"/>
    </row>
    <row r="484" spans="1:1">
      <c r="A484" s="67"/>
    </row>
    <row r="485" spans="1:1">
      <c r="A485" s="67"/>
    </row>
    <row r="486" spans="1:1">
      <c r="A486" s="67"/>
    </row>
    <row r="487" spans="1:1">
      <c r="A487" s="67"/>
    </row>
    <row r="488" spans="1:1">
      <c r="A488" s="67"/>
    </row>
    <row r="489" spans="1:1">
      <c r="A489" s="67"/>
    </row>
    <row r="490" spans="1:1">
      <c r="A490" s="67"/>
    </row>
    <row r="491" spans="1:1">
      <c r="A491" s="67"/>
    </row>
    <row r="492" spans="1:1">
      <c r="A492" s="67"/>
    </row>
    <row r="493" spans="1:1">
      <c r="A493" s="67"/>
    </row>
    <row r="494" spans="1:1">
      <c r="A494" s="67"/>
    </row>
    <row r="495" spans="1:1">
      <c r="A495" s="67"/>
    </row>
    <row r="496" spans="1:1">
      <c r="A496" s="67"/>
    </row>
    <row r="497" spans="1:1">
      <c r="A497" s="67"/>
    </row>
    <row r="498" spans="1:1">
      <c r="A498" s="67"/>
    </row>
    <row r="499" spans="1:1">
      <c r="A499" s="67"/>
    </row>
    <row r="500" spans="1:1">
      <c r="A500" s="67"/>
    </row>
    <row r="501" spans="1:1">
      <c r="A501" s="67"/>
    </row>
    <row r="502" spans="1:1">
      <c r="A502" s="67"/>
    </row>
    <row r="503" spans="1:1">
      <c r="A503" s="67"/>
    </row>
    <row r="504" spans="1:1">
      <c r="A504" s="67"/>
    </row>
    <row r="505" spans="1:1">
      <c r="A505" s="67"/>
    </row>
  </sheetData>
  <sheetProtection algorithmName="SHA-512" hashValue="9W7O1IzIgjWBxDERKfnKOns8/E37wwYrSs/m3Tf1mdvjK4oliJlVsF6n+eQSoOEL/dNJFJ5OchxXzzdZsOnPgw==" saltValue="WQFnVXWJjJUHMFoEoBXc2Q==" spinCount="100000" sheet="1" objects="1" scenarios="1"/>
  <mergeCells count="1">
    <mergeCell ref="A1:BL1"/>
  </mergeCells>
  <phoneticPr fontId="16"/>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6" tint="-0.499984740745262"/>
  </sheetPr>
  <dimension ref="A1:BP505"/>
  <sheetViews>
    <sheetView showGridLines="0" workbookViewId="0">
      <pane xSplit="4" ySplit="4" topLeftCell="E240" activePane="bottomRight" state="frozen"/>
      <selection activeCell="C162" sqref="C162"/>
      <selection pane="topRight" activeCell="C162" sqref="C162"/>
      <selection pane="bottomLeft" activeCell="C162" sqref="C162"/>
      <selection pane="bottomRight" activeCell="D299" sqref="D299"/>
    </sheetView>
  </sheetViews>
  <sheetFormatPr defaultColWidth="9" defaultRowHeight="13.2"/>
  <cols>
    <col min="1" max="1" width="9" style="4" customWidth="1"/>
    <col min="2" max="2" width="18" style="4" customWidth="1"/>
    <col min="3" max="4" width="10" style="4" customWidth="1"/>
    <col min="5" max="64" width="7" style="4" customWidth="1"/>
    <col min="65" max="66" width="9" style="4" customWidth="1"/>
    <col min="67" max="16384" width="9" style="4"/>
  </cols>
  <sheetData>
    <row r="1" spans="1:68" ht="30" customHeight="1">
      <c r="A1" s="545" t="s">
        <v>584</v>
      </c>
      <c r="B1" s="546"/>
      <c r="C1" s="546"/>
      <c r="D1" s="546"/>
      <c r="E1" s="546"/>
      <c r="F1" s="546"/>
      <c r="G1" s="546"/>
      <c r="H1" s="546"/>
      <c r="I1" s="546"/>
      <c r="J1" s="546"/>
      <c r="K1" s="546"/>
      <c r="L1" s="546"/>
      <c r="M1" s="546"/>
      <c r="N1" s="546"/>
      <c r="O1" s="546"/>
      <c r="P1" s="546"/>
      <c r="Q1" s="546"/>
      <c r="R1" s="546"/>
      <c r="S1" s="546"/>
      <c r="T1" s="546"/>
      <c r="U1" s="546"/>
      <c r="V1" s="546"/>
      <c r="W1" s="546"/>
      <c r="X1" s="546"/>
      <c r="Y1" s="546"/>
      <c r="Z1" s="546"/>
      <c r="AA1" s="546"/>
      <c r="AB1" s="546"/>
      <c r="AC1" s="546"/>
      <c r="AD1" s="546"/>
      <c r="AE1" s="546"/>
      <c r="AF1" s="546"/>
      <c r="AG1" s="546"/>
      <c r="AH1" s="546"/>
      <c r="AI1" s="546"/>
      <c r="AJ1" s="546"/>
      <c r="AK1" s="546"/>
      <c r="AL1" s="546"/>
      <c r="AM1" s="546"/>
      <c r="AN1" s="546"/>
      <c r="AO1" s="546"/>
      <c r="AP1" s="546"/>
      <c r="AQ1" s="546"/>
      <c r="AR1" s="546"/>
      <c r="AS1" s="546"/>
      <c r="AT1" s="546"/>
      <c r="AU1" s="546"/>
      <c r="AV1" s="546"/>
      <c r="AW1" s="546"/>
      <c r="AX1" s="546"/>
      <c r="AY1" s="546"/>
      <c r="AZ1" s="546"/>
      <c r="BA1" s="546"/>
      <c r="BB1" s="546"/>
      <c r="BC1" s="546"/>
      <c r="BD1" s="546"/>
      <c r="BE1" s="546"/>
      <c r="BF1" s="546"/>
      <c r="BG1" s="546"/>
      <c r="BH1" s="546"/>
      <c r="BI1" s="546"/>
      <c r="BJ1" s="546"/>
      <c r="BK1" s="546"/>
      <c r="BL1" s="547"/>
    </row>
    <row r="2" spans="1:68" ht="18" customHeight="1">
      <c r="A2" s="188" t="s">
        <v>1</v>
      </c>
      <c r="B2" s="188" t="s">
        <v>2</v>
      </c>
      <c r="C2" s="188" t="s">
        <v>585</v>
      </c>
      <c r="D2" s="188" t="s">
        <v>4</v>
      </c>
      <c r="E2" s="189"/>
      <c r="F2" s="189"/>
      <c r="G2" s="189"/>
      <c r="H2" s="189"/>
      <c r="I2" s="189"/>
      <c r="J2" s="189"/>
      <c r="K2" s="189"/>
      <c r="L2" s="189"/>
      <c r="M2" s="189"/>
      <c r="N2" s="189"/>
      <c r="O2" s="189"/>
      <c r="P2" s="189"/>
      <c r="Q2" s="189"/>
      <c r="R2" s="189"/>
      <c r="S2" s="189"/>
      <c r="T2" s="189"/>
      <c r="U2" s="189"/>
      <c r="V2" s="189"/>
      <c r="W2" s="189"/>
      <c r="X2" s="189"/>
      <c r="Y2" s="189"/>
      <c r="Z2" s="189"/>
      <c r="AA2" s="189"/>
      <c r="AB2" s="189"/>
      <c r="AC2" s="189"/>
      <c r="AD2" s="189"/>
      <c r="AE2" s="189"/>
      <c r="AF2" s="189"/>
      <c r="AG2" s="189"/>
      <c r="AH2" s="189"/>
      <c r="AI2" s="189"/>
      <c r="AJ2" s="189"/>
      <c r="AK2" s="189"/>
      <c r="AL2" s="189"/>
      <c r="AM2" s="189"/>
      <c r="AN2" s="189"/>
      <c r="AO2" s="189"/>
      <c r="AP2" s="189"/>
      <c r="AQ2" s="189"/>
      <c r="AR2" s="189"/>
      <c r="AS2" s="189"/>
      <c r="AT2" s="189"/>
      <c r="AU2" s="189"/>
      <c r="AV2" s="189"/>
      <c r="AW2" s="189"/>
      <c r="AX2" s="189"/>
      <c r="AY2" s="189"/>
      <c r="AZ2" s="189"/>
      <c r="BA2" s="189"/>
      <c r="BB2" s="189"/>
      <c r="BC2" s="189"/>
      <c r="BD2" s="189"/>
      <c r="BE2" s="189"/>
      <c r="BF2" s="189"/>
      <c r="BG2" s="189"/>
      <c r="BH2" s="189"/>
      <c r="BI2" s="189"/>
      <c r="BJ2" s="189"/>
      <c r="BK2" s="189"/>
      <c r="BL2" s="189"/>
    </row>
    <row r="3" spans="1:68" s="192" customFormat="1" ht="22.5" customHeight="1">
      <c r="A3" s="190" t="s">
        <v>5</v>
      </c>
      <c r="B3" s="190"/>
      <c r="C3" s="209" t="s">
        <v>6</v>
      </c>
      <c r="D3" s="190"/>
      <c r="E3" s="191">
        <v>46220</v>
      </c>
      <c r="F3" s="191">
        <v>46218</v>
      </c>
      <c r="G3" s="191">
        <v>46217</v>
      </c>
      <c r="H3" s="191">
        <v>46216</v>
      </c>
      <c r="I3" s="191">
        <v>46213</v>
      </c>
      <c r="J3" s="191">
        <v>46212</v>
      </c>
      <c r="K3" s="191">
        <v>46211</v>
      </c>
      <c r="L3" s="191">
        <v>46210</v>
      </c>
      <c r="M3" s="191">
        <v>46209</v>
      </c>
      <c r="N3" s="191">
        <v>46206</v>
      </c>
      <c r="O3" s="191">
        <v>46205</v>
      </c>
      <c r="P3" s="191">
        <v>46204</v>
      </c>
      <c r="Q3" s="191">
        <v>46203</v>
      </c>
      <c r="R3" s="191">
        <v>46202</v>
      </c>
      <c r="S3" s="191">
        <v>46199</v>
      </c>
      <c r="T3" s="191">
        <v>46198</v>
      </c>
      <c r="U3" s="191">
        <v>46197</v>
      </c>
      <c r="V3" s="191">
        <v>46196</v>
      </c>
      <c r="W3" s="191">
        <v>46195</v>
      </c>
      <c r="X3" s="191">
        <v>46192</v>
      </c>
      <c r="Y3" s="191">
        <v>46191</v>
      </c>
      <c r="Z3" s="191">
        <v>46190</v>
      </c>
      <c r="AA3" s="191">
        <v>46189</v>
      </c>
      <c r="AB3" s="191">
        <v>46188</v>
      </c>
      <c r="AC3" s="191">
        <v>46185</v>
      </c>
      <c r="AD3" s="191">
        <v>46184</v>
      </c>
      <c r="AE3" s="191">
        <v>46183</v>
      </c>
      <c r="AF3" s="191">
        <v>46181</v>
      </c>
      <c r="AG3" s="191">
        <v>46178</v>
      </c>
      <c r="AH3" s="191">
        <v>46177</v>
      </c>
      <c r="AI3" s="191">
        <v>46176</v>
      </c>
      <c r="AJ3" s="191">
        <v>46175</v>
      </c>
      <c r="AK3" s="191">
        <v>46174</v>
      </c>
      <c r="AL3" s="191">
        <v>46171</v>
      </c>
      <c r="AM3" s="191">
        <v>46170</v>
      </c>
      <c r="AN3" s="191">
        <v>46169</v>
      </c>
      <c r="AO3" s="191">
        <v>46167</v>
      </c>
      <c r="AP3" s="191">
        <v>46164</v>
      </c>
      <c r="AQ3" s="191">
        <v>46163</v>
      </c>
      <c r="AR3" s="191">
        <v>46162</v>
      </c>
      <c r="AS3" s="191">
        <v>46161</v>
      </c>
      <c r="AT3" s="191">
        <v>46160</v>
      </c>
      <c r="AU3" s="191">
        <v>46157</v>
      </c>
      <c r="AV3" s="191">
        <v>46156</v>
      </c>
      <c r="AW3" s="191">
        <v>46155</v>
      </c>
      <c r="AX3" s="191">
        <v>46154</v>
      </c>
      <c r="AY3" s="191">
        <v>46153</v>
      </c>
      <c r="AZ3" s="191">
        <v>46150</v>
      </c>
      <c r="BA3" s="191">
        <v>46149</v>
      </c>
      <c r="BB3" s="191">
        <v>46143</v>
      </c>
      <c r="BC3" s="191">
        <v>46142</v>
      </c>
      <c r="BD3" s="191">
        <v>46140</v>
      </c>
      <c r="BE3" s="191">
        <v>46139</v>
      </c>
      <c r="BF3" s="191">
        <v>46136</v>
      </c>
      <c r="BG3" s="191">
        <v>46135</v>
      </c>
      <c r="BH3" s="191">
        <v>46134</v>
      </c>
      <c r="BI3" s="191">
        <v>46133</v>
      </c>
      <c r="BJ3" s="191">
        <v>46132</v>
      </c>
      <c r="BK3" s="191">
        <v>46129</v>
      </c>
      <c r="BL3" s="191">
        <v>46128</v>
      </c>
      <c r="BM3" s="484">
        <v>46127</v>
      </c>
      <c r="BN3" s="484">
        <v>46126</v>
      </c>
      <c r="BO3" s="484">
        <v>46125</v>
      </c>
      <c r="BP3" s="484">
        <v>46122</v>
      </c>
    </row>
    <row r="4" spans="1:68" ht="22.5" customHeight="1">
      <c r="A4" s="193"/>
      <c r="B4" s="193"/>
      <c r="C4" s="193"/>
      <c r="D4" s="193"/>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194"/>
      <c r="AG4" s="194"/>
      <c r="AH4" s="194"/>
      <c r="AI4" s="194"/>
      <c r="AJ4" s="194"/>
      <c r="AK4" s="194"/>
      <c r="AL4" s="194"/>
      <c r="AM4" s="194"/>
      <c r="AN4" s="194"/>
      <c r="AO4" s="194"/>
      <c r="AP4" s="194"/>
      <c r="AQ4" s="194"/>
      <c r="AR4" s="194"/>
      <c r="AS4" s="194"/>
      <c r="AT4" s="194"/>
      <c r="AU4" s="194"/>
      <c r="AV4" s="194"/>
      <c r="AW4" s="194"/>
      <c r="AX4" s="194"/>
      <c r="AY4" s="194"/>
      <c r="AZ4" s="194"/>
      <c r="BA4" s="194"/>
      <c r="BB4" s="194"/>
      <c r="BC4" s="194"/>
      <c r="BD4" s="194"/>
      <c r="BE4" s="194"/>
      <c r="BF4" s="194"/>
      <c r="BG4" s="194"/>
      <c r="BH4" s="194"/>
      <c r="BI4" s="194"/>
      <c r="BJ4" s="194"/>
      <c r="BK4" s="194"/>
      <c r="BL4" s="194"/>
    </row>
    <row r="5" spans="1:68" ht="22.5" customHeight="1">
      <c r="A5" s="5" t="str">
        <f>IF(銘柄管理!B5="","",銘柄管理!B5)</f>
        <v>TOPX</v>
      </c>
      <c r="B5" s="6" t="str">
        <f>IF(銘柄管理!C5="","",銘柄管理!C5)</f>
        <v/>
      </c>
      <c r="C5" s="7" t="str">
        <f t="array" ref="C5">_xll.RssIndexMarket("TOPX", "現在値")</f>
        <v/>
      </c>
      <c r="D5" s="8" t="e">
        <f>IF(OR(C5=0,E5=0),"",C5-E5)</f>
        <v>#VALUE!</v>
      </c>
      <c r="E5" s="9">
        <v>3919.21</v>
      </c>
      <c r="F5" s="9">
        <v>4088.12</v>
      </c>
      <c r="G5" s="9">
        <v>4038.98</v>
      </c>
      <c r="H5" s="9">
        <v>4007.49</v>
      </c>
      <c r="I5" s="9">
        <v>4036.08</v>
      </c>
      <c r="J5" s="9">
        <v>4020.37</v>
      </c>
      <c r="K5" s="9">
        <v>4006.43</v>
      </c>
      <c r="L5" s="9">
        <v>4062.26</v>
      </c>
      <c r="M5" s="9">
        <v>4101.96</v>
      </c>
      <c r="N5" s="9">
        <v>4064.6</v>
      </c>
      <c r="O5" s="9">
        <v>4014.98</v>
      </c>
      <c r="P5" s="9">
        <v>4011.5</v>
      </c>
      <c r="Q5" s="9">
        <v>3994.76</v>
      </c>
      <c r="R5" s="9">
        <v>3982</v>
      </c>
      <c r="S5" s="9">
        <v>3963.36</v>
      </c>
      <c r="T5" s="9">
        <v>4016.47</v>
      </c>
      <c r="U5" s="9">
        <v>3963.76</v>
      </c>
      <c r="V5" s="9">
        <v>3990.38</v>
      </c>
      <c r="W5" s="9">
        <v>4095.05</v>
      </c>
      <c r="X5" s="9">
        <v>4044.96</v>
      </c>
      <c r="Y5" s="9">
        <v>4068.18</v>
      </c>
      <c r="Z5" s="9">
        <v>4013.23</v>
      </c>
      <c r="AA5" s="9">
        <v>3991.14</v>
      </c>
      <c r="AB5" s="9">
        <v>3881.96</v>
      </c>
      <c r="AC5" s="9">
        <v>3830.35</v>
      </c>
      <c r="AD5" s="9">
        <v>3847.6</v>
      </c>
      <c r="AE5" s="9">
        <v>3852.38</v>
      </c>
      <c r="AF5" s="9">
        <v>3949.09</v>
      </c>
      <c r="AG5" s="9">
        <v>3951.85</v>
      </c>
      <c r="AH5" s="9">
        <v>3996.2</v>
      </c>
      <c r="AI5" s="9">
        <v>3924.24</v>
      </c>
      <c r="AJ5" s="9">
        <v>3940.7</v>
      </c>
      <c r="AK5" s="9">
        <v>3957.17</v>
      </c>
      <c r="AL5" s="9">
        <v>3902.01</v>
      </c>
      <c r="AM5" s="9">
        <v>3918.01</v>
      </c>
      <c r="AN5" s="9">
        <v>3942.57</v>
      </c>
      <c r="AO5" s="9">
        <v>3892.46</v>
      </c>
      <c r="AP5" s="9">
        <v>3853.81</v>
      </c>
      <c r="AQ5" s="10">
        <v>3791.65</v>
      </c>
      <c r="AR5" s="10">
        <v>3850.67</v>
      </c>
      <c r="AS5" s="10">
        <v>3826.51</v>
      </c>
      <c r="AT5" s="10">
        <v>3863.97</v>
      </c>
      <c r="AU5" s="10">
        <v>3879.27</v>
      </c>
      <c r="AV5" s="10"/>
      <c r="AW5" s="10"/>
      <c r="AX5" s="10"/>
      <c r="AY5" s="10"/>
      <c r="AZ5" s="10"/>
      <c r="BA5" s="10"/>
      <c r="BB5" s="10"/>
      <c r="BC5" s="10"/>
      <c r="BD5" s="10"/>
      <c r="BE5" s="10"/>
      <c r="BF5" s="10"/>
      <c r="BG5" s="10"/>
      <c r="BH5" s="10"/>
      <c r="BI5" s="10"/>
      <c r="BJ5" s="10"/>
      <c r="BK5" s="10"/>
      <c r="BL5" s="10"/>
    </row>
    <row r="6" spans="1:68" ht="22.5" customHeight="1">
      <c r="A6" s="64" t="s">
        <v>7</v>
      </c>
      <c r="B6" s="6" t="s">
        <v>8</v>
      </c>
      <c r="C6" s="15">
        <f>自動注文決済!G42</f>
        <v>0</v>
      </c>
      <c r="D6" s="16">
        <f t="shared" ref="D6:D37" si="0">C6-E6</f>
        <v>-49550</v>
      </c>
      <c r="E6" s="11">
        <v>49550</v>
      </c>
      <c r="F6" s="11">
        <v>53840</v>
      </c>
      <c r="G6" s="11">
        <v>51630</v>
      </c>
      <c r="H6" s="12">
        <v>48750</v>
      </c>
      <c r="I6" s="11">
        <v>51800</v>
      </c>
      <c r="J6" s="11">
        <v>53330</v>
      </c>
      <c r="K6" s="11">
        <v>49610</v>
      </c>
      <c r="L6" s="11">
        <v>46670</v>
      </c>
      <c r="M6" s="11">
        <v>44360</v>
      </c>
      <c r="N6" s="11">
        <v>44790</v>
      </c>
      <c r="O6" s="11">
        <v>47320</v>
      </c>
      <c r="P6" s="11">
        <v>46640</v>
      </c>
      <c r="Q6" s="11">
        <v>50660</v>
      </c>
      <c r="R6" s="11">
        <v>54900</v>
      </c>
      <c r="S6" s="11">
        <v>50850</v>
      </c>
      <c r="T6" s="11">
        <v>51250</v>
      </c>
      <c r="U6" s="11">
        <v>50000</v>
      </c>
      <c r="V6" s="11">
        <v>48060</v>
      </c>
      <c r="W6" s="11">
        <v>41060</v>
      </c>
      <c r="X6" s="11">
        <v>42350</v>
      </c>
      <c r="Y6" s="11">
        <v>41370</v>
      </c>
      <c r="Z6" s="11">
        <v>39300</v>
      </c>
      <c r="AA6" s="11">
        <v>38660</v>
      </c>
      <c r="AB6" s="11">
        <v>36830</v>
      </c>
      <c r="AC6" s="11">
        <v>38260</v>
      </c>
      <c r="AD6" s="11">
        <v>37390</v>
      </c>
      <c r="AE6" s="11">
        <v>35480</v>
      </c>
      <c r="AF6" s="11">
        <v>36500</v>
      </c>
      <c r="AG6" s="11">
        <v>37750</v>
      </c>
      <c r="AH6" s="11">
        <v>35690</v>
      </c>
      <c r="AI6" s="11">
        <v>38260</v>
      </c>
      <c r="AJ6" s="11">
        <v>36430</v>
      </c>
      <c r="AK6" s="11">
        <v>37200</v>
      </c>
      <c r="AL6" s="11">
        <v>34770</v>
      </c>
      <c r="AM6" s="11">
        <v>35000</v>
      </c>
      <c r="AN6" s="11">
        <v>31550</v>
      </c>
      <c r="AO6" s="11">
        <v>31960</v>
      </c>
      <c r="AP6" s="11">
        <v>31520</v>
      </c>
      <c r="AQ6" s="13">
        <v>29650</v>
      </c>
      <c r="AR6" s="13">
        <v>30730</v>
      </c>
      <c r="AS6" s="13">
        <v>28040</v>
      </c>
      <c r="AT6" s="13">
        <v>29565</v>
      </c>
      <c r="AU6" s="13">
        <v>31270</v>
      </c>
      <c r="AV6" s="13">
        <v>30890</v>
      </c>
      <c r="AW6" s="13">
        <v>31630</v>
      </c>
      <c r="AX6" s="13">
        <v>30100</v>
      </c>
      <c r="AY6" s="13">
        <v>29190</v>
      </c>
      <c r="AZ6" s="13">
        <v>31110</v>
      </c>
      <c r="BA6" s="13">
        <v>32400</v>
      </c>
      <c r="BB6" s="13">
        <v>30110</v>
      </c>
      <c r="BC6" s="13">
        <v>31600</v>
      </c>
      <c r="BD6" s="13">
        <v>31580</v>
      </c>
      <c r="BE6" s="13">
        <v>31260</v>
      </c>
      <c r="BF6" s="13">
        <v>32380</v>
      </c>
      <c r="BG6" s="13">
        <v>30790</v>
      </c>
      <c r="BH6" s="13">
        <v>29485</v>
      </c>
      <c r="BI6" s="13">
        <v>32740</v>
      </c>
      <c r="BJ6" s="13">
        <v>34170</v>
      </c>
      <c r="BK6" s="13">
        <v>32830</v>
      </c>
      <c r="BL6" s="13">
        <v>36130</v>
      </c>
    </row>
    <row r="7" spans="1:68" ht="22.5" customHeight="1">
      <c r="A7" s="64" t="s">
        <v>9</v>
      </c>
      <c r="B7" s="6" t="s">
        <v>10</v>
      </c>
      <c r="C7" s="15" t="str">
        <f>_xll.RssMarket("5423","現在値")</f>
        <v/>
      </c>
      <c r="D7" s="16" t="e">
        <f t="shared" si="0"/>
        <v>#VALUE!</v>
      </c>
      <c r="E7" s="11">
        <v>1748</v>
      </c>
      <c r="F7" s="11">
        <v>1767</v>
      </c>
      <c r="G7" s="11">
        <v>1763</v>
      </c>
      <c r="H7" s="11">
        <v>1726</v>
      </c>
      <c r="I7" s="11">
        <v>1717</v>
      </c>
      <c r="J7" s="11">
        <v>1722</v>
      </c>
      <c r="K7" s="11">
        <v>1744</v>
      </c>
      <c r="L7" s="11">
        <v>1749</v>
      </c>
      <c r="M7" s="11">
        <v>1750</v>
      </c>
      <c r="N7" s="11">
        <v>1714</v>
      </c>
      <c r="O7" s="11">
        <v>1705</v>
      </c>
      <c r="P7" s="11">
        <v>1685</v>
      </c>
      <c r="Q7" s="11">
        <v>1691</v>
      </c>
      <c r="R7" s="11">
        <v>1679</v>
      </c>
      <c r="S7" s="11">
        <v>1678</v>
      </c>
      <c r="T7" s="11">
        <v>1715</v>
      </c>
      <c r="U7" s="11">
        <v>1739</v>
      </c>
      <c r="V7" s="11">
        <v>1799</v>
      </c>
      <c r="W7" s="11">
        <v>1761</v>
      </c>
      <c r="X7" s="11">
        <v>1771</v>
      </c>
      <c r="Y7" s="11">
        <v>1742</v>
      </c>
      <c r="Z7" s="11">
        <v>1717</v>
      </c>
      <c r="AA7" s="11">
        <v>1689</v>
      </c>
      <c r="AB7" s="11">
        <v>1671</v>
      </c>
      <c r="AC7" s="11">
        <v>1699</v>
      </c>
      <c r="AD7" s="11">
        <v>1698</v>
      </c>
      <c r="AE7" s="11">
        <v>1703</v>
      </c>
      <c r="AF7" s="11">
        <v>1702</v>
      </c>
      <c r="AG7" s="11">
        <v>1705</v>
      </c>
      <c r="AH7" s="11">
        <v>1756</v>
      </c>
      <c r="AI7" s="11">
        <v>1712</v>
      </c>
      <c r="AJ7" s="11">
        <v>1707</v>
      </c>
      <c r="AK7" s="11">
        <v>1708</v>
      </c>
      <c r="AL7" s="11">
        <v>1725</v>
      </c>
      <c r="AM7" s="11">
        <v>1745</v>
      </c>
      <c r="AN7" s="11">
        <v>1704</v>
      </c>
      <c r="AO7" s="11">
        <v>1758</v>
      </c>
      <c r="AP7" s="11">
        <v>1798</v>
      </c>
      <c r="AQ7" s="13">
        <v>1825</v>
      </c>
      <c r="AR7" s="13">
        <v>1844</v>
      </c>
      <c r="AS7" s="13">
        <v>1701</v>
      </c>
      <c r="AT7" s="13">
        <v>1663</v>
      </c>
      <c r="AU7" s="13">
        <v>1656</v>
      </c>
      <c r="AV7" s="13">
        <v>1657</v>
      </c>
      <c r="AW7" s="13">
        <v>1682</v>
      </c>
      <c r="AX7" s="13">
        <v>1677</v>
      </c>
      <c r="AY7" s="13">
        <v>1697</v>
      </c>
      <c r="AZ7" s="13">
        <v>1693</v>
      </c>
      <c r="BA7" s="13">
        <v>1697</v>
      </c>
      <c r="BB7" s="13">
        <v>1703</v>
      </c>
      <c r="BC7" s="13">
        <v>1736</v>
      </c>
      <c r="BD7" s="13">
        <v>1805</v>
      </c>
      <c r="BE7" s="13">
        <v>1827</v>
      </c>
      <c r="BF7" s="13">
        <v>1780</v>
      </c>
      <c r="BG7" s="13">
        <v>1768</v>
      </c>
      <c r="BH7" s="13">
        <v>1782</v>
      </c>
      <c r="BI7" s="13">
        <v>1733</v>
      </c>
      <c r="BJ7" s="13">
        <v>1725</v>
      </c>
      <c r="BK7" s="13">
        <v>1723</v>
      </c>
      <c r="BL7" s="13">
        <v>1745</v>
      </c>
      <c r="BM7" s="4">
        <v>1777</v>
      </c>
      <c r="BN7" s="4">
        <v>1826</v>
      </c>
      <c r="BO7" s="4">
        <v>1784</v>
      </c>
      <c r="BP7" s="4">
        <v>1871</v>
      </c>
    </row>
    <row r="8" spans="1:68" ht="15.9" customHeight="1">
      <c r="A8" s="64" t="s">
        <v>11</v>
      </c>
      <c r="B8" s="6" t="s">
        <v>12</v>
      </c>
      <c r="C8" s="15" t="str">
        <f>_xll.RssMarket("5713","現在値")</f>
        <v/>
      </c>
      <c r="D8" s="16" t="e">
        <f t="shared" si="0"/>
        <v>#VALUE!</v>
      </c>
      <c r="E8" s="14">
        <v>6794</v>
      </c>
      <c r="F8" s="14">
        <v>7404</v>
      </c>
      <c r="G8" s="14">
        <v>7329</v>
      </c>
      <c r="H8" s="14">
        <v>7156</v>
      </c>
      <c r="I8" s="14">
        <v>7275</v>
      </c>
      <c r="J8" s="14">
        <v>7190</v>
      </c>
      <c r="K8" s="14">
        <v>7305</v>
      </c>
      <c r="L8" s="14">
        <v>7924</v>
      </c>
      <c r="M8" s="14">
        <v>7930</v>
      </c>
      <c r="N8" s="14">
        <v>7521</v>
      </c>
      <c r="O8" s="14">
        <v>7336</v>
      </c>
      <c r="P8" s="14">
        <v>7469</v>
      </c>
      <c r="Q8" s="14">
        <v>7492</v>
      </c>
      <c r="R8" s="14">
        <v>7635</v>
      </c>
      <c r="S8" s="14">
        <v>7653</v>
      </c>
      <c r="T8" s="14">
        <v>7955</v>
      </c>
      <c r="U8" s="14">
        <v>8251</v>
      </c>
      <c r="V8" s="14">
        <v>8834</v>
      </c>
      <c r="W8" s="14">
        <v>8607</v>
      </c>
      <c r="X8" s="14">
        <v>9155</v>
      </c>
      <c r="Y8" s="14">
        <v>8863</v>
      </c>
      <c r="Z8" s="14">
        <v>8638</v>
      </c>
      <c r="AA8" s="14">
        <v>7735</v>
      </c>
      <c r="AB8" s="14">
        <v>7844</v>
      </c>
      <c r="AC8" s="14">
        <v>7996</v>
      </c>
      <c r="AD8" s="14">
        <v>8578</v>
      </c>
      <c r="AE8" s="14">
        <v>8654</v>
      </c>
      <c r="AF8" s="14">
        <v>9099</v>
      </c>
      <c r="AG8" s="14">
        <v>8779</v>
      </c>
      <c r="AH8" s="14">
        <v>8989</v>
      </c>
      <c r="AI8" s="14">
        <v>9093</v>
      </c>
      <c r="AJ8" s="14">
        <v>8910</v>
      </c>
      <c r="AK8" s="14">
        <v>9608</v>
      </c>
      <c r="AL8" s="14">
        <v>9800</v>
      </c>
      <c r="AM8" s="14">
        <v>9504</v>
      </c>
      <c r="AN8" s="14">
        <v>9193</v>
      </c>
      <c r="AO8" s="14">
        <v>8980</v>
      </c>
      <c r="AP8" s="14">
        <v>9280</v>
      </c>
      <c r="AQ8" s="13">
        <v>9560</v>
      </c>
      <c r="AR8" s="13">
        <v>10275</v>
      </c>
      <c r="AS8" s="13">
        <v>10565</v>
      </c>
      <c r="AT8" s="13">
        <v>10820</v>
      </c>
      <c r="AU8" s="13">
        <v>10725</v>
      </c>
      <c r="AV8" s="13">
        <v>10155</v>
      </c>
      <c r="AW8" s="13">
        <v>10615</v>
      </c>
      <c r="AX8" s="13">
        <v>10085</v>
      </c>
      <c r="AY8" s="13">
        <v>9532</v>
      </c>
      <c r="AZ8" s="13">
        <v>9423</v>
      </c>
      <c r="BA8" s="13">
        <v>9664</v>
      </c>
      <c r="BB8" s="13">
        <v>9713</v>
      </c>
      <c r="BC8" s="13">
        <v>9740</v>
      </c>
      <c r="BD8" s="13">
        <v>10030</v>
      </c>
      <c r="BE8" s="13">
        <v>10290</v>
      </c>
      <c r="BF8" s="13">
        <v>10070</v>
      </c>
      <c r="BG8" s="13">
        <v>10150</v>
      </c>
      <c r="BH8" s="13">
        <v>11020</v>
      </c>
      <c r="BI8" s="13">
        <v>10645</v>
      </c>
      <c r="BJ8" s="13">
        <v>10400</v>
      </c>
      <c r="BK8" s="13">
        <v>9867</v>
      </c>
      <c r="BL8" s="13">
        <v>9986</v>
      </c>
      <c r="BM8" s="4">
        <v>9922</v>
      </c>
      <c r="BN8" s="4">
        <v>10355</v>
      </c>
      <c r="BO8" s="4">
        <v>9544</v>
      </c>
      <c r="BP8" s="4">
        <v>9476</v>
      </c>
    </row>
    <row r="9" spans="1:68" ht="15.9" customHeight="1">
      <c r="A9" s="64" t="s">
        <v>13</v>
      </c>
      <c r="B9" s="6" t="s">
        <v>14</v>
      </c>
      <c r="C9" s="15" t="str">
        <f>_xll.RssMarket("5711","現在値")</f>
        <v/>
      </c>
      <c r="D9" s="16" t="e">
        <f t="shared" si="0"/>
        <v>#VALUE!</v>
      </c>
      <c r="E9" s="13">
        <v>3970</v>
      </c>
      <c r="F9" s="13">
        <v>4242</v>
      </c>
      <c r="G9" s="13">
        <v>4160</v>
      </c>
      <c r="H9" s="13">
        <v>4047</v>
      </c>
      <c r="I9" s="13">
        <v>4087</v>
      </c>
      <c r="J9" s="13">
        <v>3960</v>
      </c>
      <c r="K9" s="13">
        <v>4254</v>
      </c>
      <c r="L9" s="13">
        <v>4626</v>
      </c>
      <c r="M9" s="13">
        <v>4555</v>
      </c>
      <c r="N9" s="13">
        <v>4452</v>
      </c>
      <c r="O9" s="13">
        <v>4387</v>
      </c>
      <c r="P9" s="13">
        <v>4315</v>
      </c>
      <c r="Q9" s="13">
        <v>4322</v>
      </c>
      <c r="R9" s="13">
        <v>4363</v>
      </c>
      <c r="S9" s="13">
        <v>4424</v>
      </c>
      <c r="T9" s="13">
        <v>4559</v>
      </c>
      <c r="U9" s="13">
        <v>4630</v>
      </c>
      <c r="V9" s="13">
        <v>4889</v>
      </c>
      <c r="W9" s="13">
        <v>4836</v>
      </c>
      <c r="X9" s="13">
        <v>4882</v>
      </c>
      <c r="Y9" s="13">
        <v>4898</v>
      </c>
      <c r="Z9" s="13">
        <v>4640</v>
      </c>
      <c r="AA9" s="13">
        <v>4443</v>
      </c>
      <c r="AB9" s="13">
        <v>4471</v>
      </c>
      <c r="AC9" s="13">
        <v>4595</v>
      </c>
      <c r="AD9" s="13">
        <v>4904</v>
      </c>
      <c r="AE9" s="13">
        <v>4973</v>
      </c>
      <c r="AF9" s="13">
        <v>5187</v>
      </c>
      <c r="AG9" s="13">
        <v>5050</v>
      </c>
      <c r="AH9" s="13">
        <v>5089</v>
      </c>
      <c r="AI9" s="13">
        <v>5153</v>
      </c>
      <c r="AJ9" s="13">
        <v>5128</v>
      </c>
      <c r="AK9" s="13">
        <v>5271</v>
      </c>
      <c r="AL9" s="13">
        <v>5255</v>
      </c>
      <c r="AM9" s="13">
        <v>5038</v>
      </c>
      <c r="AN9" s="13">
        <v>4890</v>
      </c>
      <c r="AO9" s="13">
        <v>4786</v>
      </c>
      <c r="AP9" s="13">
        <v>4959</v>
      </c>
      <c r="AQ9" s="13">
        <v>5057</v>
      </c>
      <c r="AR9" s="13">
        <v>5428</v>
      </c>
      <c r="AS9" s="13">
        <v>5362</v>
      </c>
      <c r="AT9" s="13">
        <v>6100</v>
      </c>
      <c r="AU9" s="13">
        <v>5817</v>
      </c>
      <c r="AV9" s="13">
        <v>5584</v>
      </c>
      <c r="AW9" s="13">
        <v>5562</v>
      </c>
      <c r="AX9" s="13">
        <v>5340</v>
      </c>
      <c r="AY9" s="13">
        <v>5080</v>
      </c>
      <c r="AZ9" s="13">
        <v>5092</v>
      </c>
      <c r="BA9" s="13">
        <v>5215</v>
      </c>
      <c r="BB9" s="13">
        <v>5261</v>
      </c>
      <c r="BC9" s="13">
        <v>5292</v>
      </c>
      <c r="BD9" s="13">
        <v>5419</v>
      </c>
      <c r="BE9" s="13">
        <v>5548</v>
      </c>
      <c r="BF9" s="13">
        <v>5500</v>
      </c>
      <c r="BG9" s="13">
        <v>5528</v>
      </c>
      <c r="BH9" s="13">
        <v>5774</v>
      </c>
      <c r="BI9" s="13">
        <v>5652</v>
      </c>
      <c r="BJ9" s="13">
        <v>5688</v>
      </c>
      <c r="BK9" s="13">
        <v>5460</v>
      </c>
      <c r="BL9" s="13">
        <v>5560</v>
      </c>
      <c r="BM9" s="4">
        <v>5562</v>
      </c>
      <c r="BN9" s="4">
        <v>5637</v>
      </c>
      <c r="BO9" s="4">
        <v>5203</v>
      </c>
      <c r="BP9" s="4">
        <v>5168</v>
      </c>
    </row>
    <row r="10" spans="1:68" ht="15.9" customHeight="1">
      <c r="A10" s="64" t="s">
        <v>15</v>
      </c>
      <c r="B10" s="6" t="s">
        <v>16</v>
      </c>
      <c r="C10" s="15" t="str">
        <f>_xll.RssMarket("5714","現在値")</f>
        <v/>
      </c>
      <c r="D10" s="16" t="e">
        <f t="shared" si="0"/>
        <v>#VALUE!</v>
      </c>
      <c r="E10" s="13">
        <v>7946</v>
      </c>
      <c r="F10" s="13">
        <v>8443</v>
      </c>
      <c r="G10" s="13">
        <v>8369</v>
      </c>
      <c r="H10" s="13">
        <v>8280</v>
      </c>
      <c r="I10" s="13">
        <v>8376</v>
      </c>
      <c r="J10" s="13">
        <v>8257</v>
      </c>
      <c r="K10" s="13">
        <v>8425</v>
      </c>
      <c r="L10" s="13">
        <v>8963</v>
      </c>
      <c r="M10" s="13">
        <v>8834</v>
      </c>
      <c r="N10" s="13">
        <v>8790</v>
      </c>
      <c r="O10" s="13">
        <v>8602</v>
      </c>
      <c r="P10" s="13">
        <v>8666</v>
      </c>
      <c r="Q10" s="13">
        <v>8770</v>
      </c>
      <c r="R10" s="13">
        <v>8744</v>
      </c>
      <c r="S10" s="13">
        <v>8735</v>
      </c>
      <c r="T10" s="13">
        <v>8984</v>
      </c>
      <c r="U10" s="13">
        <v>9184</v>
      </c>
      <c r="V10" s="13">
        <v>9670</v>
      </c>
      <c r="W10" s="13">
        <v>9480</v>
      </c>
      <c r="X10" s="13">
        <v>9839</v>
      </c>
      <c r="Y10" s="13">
        <v>9685</v>
      </c>
      <c r="Z10" s="13">
        <v>9377</v>
      </c>
      <c r="AA10" s="13">
        <v>8905</v>
      </c>
      <c r="AB10" s="13">
        <v>8997</v>
      </c>
      <c r="AC10" s="13">
        <v>9257</v>
      </c>
      <c r="AD10" s="13">
        <v>10005</v>
      </c>
      <c r="AE10" s="13">
        <v>9834</v>
      </c>
      <c r="AF10" s="13">
        <v>10370</v>
      </c>
      <c r="AG10" s="13">
        <v>10150</v>
      </c>
      <c r="AH10" s="13">
        <v>10430</v>
      </c>
      <c r="AI10" s="13">
        <v>10300</v>
      </c>
      <c r="AJ10" s="13">
        <v>10530</v>
      </c>
      <c r="AK10" s="13">
        <v>10845</v>
      </c>
      <c r="AL10" s="13">
        <v>10935</v>
      </c>
      <c r="AM10" s="13">
        <v>10390</v>
      </c>
      <c r="AN10" s="13">
        <v>10165</v>
      </c>
      <c r="AO10" s="13">
        <v>10125</v>
      </c>
      <c r="AP10" s="13">
        <v>10370</v>
      </c>
      <c r="AQ10" s="13">
        <v>11125</v>
      </c>
      <c r="AR10" s="13">
        <v>11640</v>
      </c>
      <c r="AS10" s="13">
        <v>10025</v>
      </c>
      <c r="AT10" s="13">
        <v>10655</v>
      </c>
      <c r="AU10" s="13">
        <v>10350</v>
      </c>
      <c r="AV10" s="13">
        <v>10360</v>
      </c>
      <c r="AW10" s="13">
        <v>10180</v>
      </c>
      <c r="AX10" s="13">
        <v>9848</v>
      </c>
      <c r="AY10" s="13">
        <v>9492</v>
      </c>
      <c r="AZ10" s="13">
        <v>9476</v>
      </c>
      <c r="BA10" s="13">
        <v>9730</v>
      </c>
      <c r="BB10" s="13">
        <v>9589</v>
      </c>
      <c r="BC10" s="13">
        <v>9640</v>
      </c>
      <c r="BD10" s="13">
        <v>9667</v>
      </c>
      <c r="BE10" s="13">
        <v>9782</v>
      </c>
      <c r="BF10" s="13">
        <v>9937</v>
      </c>
      <c r="BG10" s="13">
        <v>9792</v>
      </c>
      <c r="BH10" s="13">
        <v>9962</v>
      </c>
      <c r="BI10" s="13">
        <v>10355</v>
      </c>
      <c r="BJ10" s="13">
        <v>10055</v>
      </c>
      <c r="BK10" s="13">
        <v>10055</v>
      </c>
      <c r="BL10" s="13">
        <v>9677</v>
      </c>
      <c r="BM10" s="4">
        <v>9758</v>
      </c>
      <c r="BN10" s="4">
        <v>9769</v>
      </c>
      <c r="BO10" s="4">
        <v>9891</v>
      </c>
      <c r="BP10" s="4">
        <v>9309</v>
      </c>
    </row>
    <row r="11" spans="1:68" ht="15.9" customHeight="1">
      <c r="A11" s="64" t="s">
        <v>17</v>
      </c>
      <c r="B11" s="6" t="s">
        <v>18</v>
      </c>
      <c r="C11" s="15" t="str">
        <f>_xll.RssMarket("6701","現在値")</f>
        <v/>
      </c>
      <c r="D11" s="16" t="e">
        <f t="shared" si="0"/>
        <v>#VALUE!</v>
      </c>
      <c r="E11" s="13">
        <v>4354</v>
      </c>
      <c r="F11" s="13">
        <v>4270</v>
      </c>
      <c r="G11" s="13">
        <v>4463</v>
      </c>
      <c r="H11" s="13">
        <v>4339</v>
      </c>
      <c r="I11" s="13">
        <v>4333</v>
      </c>
      <c r="J11" s="13">
        <v>4386</v>
      </c>
      <c r="K11" s="13">
        <v>4349</v>
      </c>
      <c r="L11" s="13">
        <v>4347</v>
      </c>
      <c r="M11" s="13">
        <v>4168</v>
      </c>
      <c r="N11" s="13">
        <v>4200</v>
      </c>
      <c r="O11" s="13">
        <v>3981</v>
      </c>
      <c r="P11" s="13">
        <v>3925</v>
      </c>
      <c r="Q11" s="13">
        <v>4047</v>
      </c>
      <c r="R11" s="13">
        <v>3795</v>
      </c>
      <c r="S11" s="13">
        <v>3757</v>
      </c>
      <c r="T11" s="13">
        <v>3838</v>
      </c>
      <c r="U11" s="13">
        <v>3683</v>
      </c>
      <c r="V11" s="13">
        <v>3752</v>
      </c>
      <c r="W11" s="13">
        <v>3756</v>
      </c>
      <c r="X11" s="13">
        <v>3852</v>
      </c>
      <c r="Y11" s="13">
        <v>3849</v>
      </c>
      <c r="Z11" s="13">
        <v>3879</v>
      </c>
      <c r="AA11" s="13">
        <v>4000</v>
      </c>
      <c r="AB11" s="13">
        <v>4010</v>
      </c>
      <c r="AC11" s="13">
        <v>4096</v>
      </c>
      <c r="AD11" s="13">
        <v>4253</v>
      </c>
      <c r="AE11" s="13">
        <v>4224</v>
      </c>
      <c r="AF11" s="13">
        <v>4273</v>
      </c>
      <c r="AG11" s="13">
        <v>4434</v>
      </c>
      <c r="AH11" s="13">
        <v>4369</v>
      </c>
      <c r="AI11" s="13">
        <v>4103</v>
      </c>
      <c r="AJ11" s="13">
        <v>4086</v>
      </c>
      <c r="AK11" s="13">
        <v>4146</v>
      </c>
      <c r="AL11" s="13">
        <v>4106</v>
      </c>
      <c r="AM11" s="13">
        <v>4105</v>
      </c>
      <c r="AN11" s="13">
        <v>4125</v>
      </c>
      <c r="AO11" s="13">
        <v>4140</v>
      </c>
      <c r="AP11" s="13">
        <v>4297</v>
      </c>
      <c r="AQ11" s="13">
        <v>4162</v>
      </c>
      <c r="AR11" s="13">
        <v>4004</v>
      </c>
      <c r="AS11" s="13">
        <v>4049</v>
      </c>
      <c r="AT11" s="13">
        <v>4190</v>
      </c>
      <c r="AU11" s="13">
        <v>4130</v>
      </c>
      <c r="AV11" s="13">
        <v>4101</v>
      </c>
      <c r="AW11" s="13">
        <v>4200</v>
      </c>
      <c r="AX11" s="13">
        <v>4028</v>
      </c>
      <c r="AY11" s="13">
        <v>4035</v>
      </c>
      <c r="AZ11" s="13">
        <v>4101</v>
      </c>
      <c r="BA11" s="13">
        <v>4625</v>
      </c>
      <c r="BB11" s="13">
        <v>4513</v>
      </c>
      <c r="BC11" s="13">
        <v>4292</v>
      </c>
      <c r="BD11" s="13">
        <v>4524</v>
      </c>
      <c r="BE11" s="13">
        <v>4431</v>
      </c>
      <c r="BF11" s="13">
        <v>4327</v>
      </c>
      <c r="BG11" s="13">
        <v>4328</v>
      </c>
      <c r="BH11" s="13">
        <v>4328</v>
      </c>
      <c r="BI11" s="13">
        <v>4269</v>
      </c>
      <c r="BJ11" s="13">
        <v>4083</v>
      </c>
      <c r="BK11" s="13">
        <v>3882</v>
      </c>
      <c r="BL11" s="13">
        <v>3860</v>
      </c>
      <c r="BM11" s="4">
        <v>4048</v>
      </c>
      <c r="BN11" s="4">
        <v>4188</v>
      </c>
      <c r="BO11" s="4">
        <v>4074</v>
      </c>
      <c r="BP11" s="4">
        <v>4011</v>
      </c>
    </row>
    <row r="12" spans="1:68" ht="15.9" customHeight="1">
      <c r="A12" s="64" t="s">
        <v>19</v>
      </c>
      <c r="B12" s="6" t="s">
        <v>20</v>
      </c>
      <c r="C12" s="15" t="str">
        <f>_xll.RssMarket("1605","現在値")</f>
        <v/>
      </c>
      <c r="D12" s="16" t="e">
        <f t="shared" si="0"/>
        <v>#VALUE!</v>
      </c>
      <c r="E12" s="13">
        <v>3401</v>
      </c>
      <c r="F12" s="13">
        <v>3450</v>
      </c>
      <c r="G12" s="13">
        <v>3524</v>
      </c>
      <c r="H12" s="13">
        <v>3391</v>
      </c>
      <c r="I12" s="13">
        <v>3361</v>
      </c>
      <c r="J12" s="13">
        <v>3427</v>
      </c>
      <c r="K12" s="13">
        <v>3388</v>
      </c>
      <c r="L12" s="13">
        <v>3309</v>
      </c>
      <c r="M12" s="13">
        <v>3242</v>
      </c>
      <c r="N12" s="13">
        <v>3204</v>
      </c>
      <c r="O12" s="13">
        <v>3205</v>
      </c>
      <c r="P12" s="13">
        <v>3265</v>
      </c>
      <c r="Q12" s="13">
        <v>3278</v>
      </c>
      <c r="R12" s="13">
        <v>3351</v>
      </c>
      <c r="S12" s="13">
        <v>3287</v>
      </c>
      <c r="T12" s="13">
        <v>3401</v>
      </c>
      <c r="U12" s="13">
        <v>3456</v>
      </c>
      <c r="V12" s="13">
        <v>3448</v>
      </c>
      <c r="W12" s="13">
        <v>3500</v>
      </c>
      <c r="X12" s="13">
        <v>3406</v>
      </c>
      <c r="Y12" s="13">
        <v>3378</v>
      </c>
      <c r="Z12" s="13">
        <v>3559</v>
      </c>
      <c r="AA12" s="13">
        <v>3607</v>
      </c>
      <c r="AB12" s="13">
        <v>3483</v>
      </c>
      <c r="AC12" s="13">
        <v>3641</v>
      </c>
      <c r="AD12" s="13">
        <v>3685</v>
      </c>
      <c r="AE12" s="13">
        <v>3648</v>
      </c>
      <c r="AF12" s="13">
        <v>3707</v>
      </c>
      <c r="AG12" s="13">
        <v>3567</v>
      </c>
      <c r="AH12" s="13">
        <v>3416</v>
      </c>
      <c r="AI12" s="13">
        <v>3604</v>
      </c>
      <c r="AJ12" s="13">
        <v>3693</v>
      </c>
      <c r="AK12" s="13">
        <v>3689</v>
      </c>
      <c r="AL12" s="13">
        <v>3658</v>
      </c>
      <c r="AM12" s="13">
        <v>3839</v>
      </c>
      <c r="AN12" s="13">
        <v>3885</v>
      </c>
      <c r="AO12" s="13">
        <v>3990</v>
      </c>
      <c r="AP12" s="13">
        <v>3993</v>
      </c>
      <c r="AQ12" s="13">
        <v>3934</v>
      </c>
      <c r="AR12" s="13">
        <v>3921</v>
      </c>
      <c r="AS12" s="13">
        <v>3920</v>
      </c>
      <c r="AT12" s="13">
        <v>3930</v>
      </c>
      <c r="AU12" s="13">
        <v>3944</v>
      </c>
      <c r="AV12" s="13">
        <v>3848</v>
      </c>
      <c r="AW12" s="13">
        <v>3788</v>
      </c>
      <c r="AX12" s="13">
        <v>3850</v>
      </c>
      <c r="AY12" s="13">
        <v>4118</v>
      </c>
      <c r="AZ12" s="13">
        <v>4150</v>
      </c>
      <c r="BA12" s="13">
        <v>4123</v>
      </c>
      <c r="BB12" s="13">
        <v>3930</v>
      </c>
      <c r="BC12" s="13">
        <v>4074</v>
      </c>
      <c r="BD12" s="13">
        <v>3969</v>
      </c>
      <c r="BE12" s="13">
        <v>3807</v>
      </c>
      <c r="BF12" s="13">
        <v>3830</v>
      </c>
      <c r="BG12" s="13">
        <v>3843</v>
      </c>
      <c r="BH12" s="13">
        <v>3985</v>
      </c>
      <c r="BI12" s="13">
        <v>3948</v>
      </c>
      <c r="BJ12" s="13">
        <v>4035</v>
      </c>
      <c r="BK12" s="13">
        <v>4190</v>
      </c>
      <c r="BL12" s="13">
        <v>4277</v>
      </c>
      <c r="BM12" s="4">
        <v>4147</v>
      </c>
      <c r="BN12" s="4">
        <v>4230</v>
      </c>
      <c r="BO12" s="4">
        <v>4201</v>
      </c>
      <c r="BP12" s="4">
        <v>4480</v>
      </c>
    </row>
    <row r="13" spans="1:68" ht="15.9" customHeight="1">
      <c r="A13" s="64" t="s">
        <v>21</v>
      </c>
      <c r="B13" s="6" t="s">
        <v>22</v>
      </c>
      <c r="C13" s="15" t="str">
        <f>_xll.RssMarket("5703","現在値")</f>
        <v/>
      </c>
      <c r="D13" s="16" t="e">
        <f t="shared" si="0"/>
        <v>#VALUE!</v>
      </c>
      <c r="E13" s="13">
        <v>2638</v>
      </c>
      <c r="F13" s="13">
        <v>2750</v>
      </c>
      <c r="G13" s="13">
        <v>2756</v>
      </c>
      <c r="H13" s="13">
        <v>2682</v>
      </c>
      <c r="I13" s="13">
        <v>2707</v>
      </c>
      <c r="J13" s="13">
        <v>2636</v>
      </c>
      <c r="K13" s="13">
        <v>2622</v>
      </c>
      <c r="L13" s="13">
        <v>2752</v>
      </c>
      <c r="M13" s="13">
        <v>2764</v>
      </c>
      <c r="N13" s="13">
        <v>2726</v>
      </c>
      <c r="O13" s="13">
        <v>2742</v>
      </c>
      <c r="P13" s="13">
        <v>2721</v>
      </c>
      <c r="Q13" s="13">
        <v>2795</v>
      </c>
      <c r="R13" s="13">
        <v>2819</v>
      </c>
      <c r="S13" s="13">
        <v>2822</v>
      </c>
      <c r="T13" s="13">
        <v>2869</v>
      </c>
      <c r="U13" s="13">
        <v>2910</v>
      </c>
      <c r="V13" s="13">
        <v>3010</v>
      </c>
      <c r="W13" s="13">
        <v>2983</v>
      </c>
      <c r="X13" s="13">
        <v>2958</v>
      </c>
      <c r="Y13" s="13">
        <v>3010</v>
      </c>
      <c r="Z13" s="13">
        <v>3040</v>
      </c>
      <c r="AA13" s="13">
        <v>2986</v>
      </c>
      <c r="AB13" s="13">
        <v>3065</v>
      </c>
      <c r="AC13" s="13">
        <v>3135</v>
      </c>
      <c r="AD13" s="13">
        <v>3255</v>
      </c>
      <c r="AE13" s="13">
        <v>3175</v>
      </c>
      <c r="AF13" s="13">
        <v>3270</v>
      </c>
      <c r="AG13" s="13">
        <v>3165</v>
      </c>
      <c r="AH13" s="13">
        <v>3130</v>
      </c>
      <c r="AI13" s="13">
        <v>3165</v>
      </c>
      <c r="AJ13" s="13">
        <v>3190</v>
      </c>
      <c r="AK13" s="13">
        <v>3200</v>
      </c>
      <c r="AL13" s="13">
        <v>3245</v>
      </c>
      <c r="AM13" s="13">
        <v>3050</v>
      </c>
      <c r="AN13" s="13">
        <v>3065</v>
      </c>
      <c r="AO13" s="13">
        <v>3050</v>
      </c>
      <c r="AP13" s="13">
        <v>3085</v>
      </c>
      <c r="AQ13" s="13">
        <v>3150</v>
      </c>
      <c r="AR13" s="13">
        <v>3120</v>
      </c>
      <c r="AS13" s="13">
        <v>3040</v>
      </c>
      <c r="AT13" s="13">
        <v>2951</v>
      </c>
      <c r="AU13" s="13">
        <v>2960</v>
      </c>
      <c r="AV13" s="13">
        <v>2902</v>
      </c>
      <c r="AW13" s="13">
        <v>2928</v>
      </c>
      <c r="AX13" s="13">
        <v>2930</v>
      </c>
      <c r="AY13" s="13">
        <v>2823</v>
      </c>
      <c r="AZ13" s="13">
        <v>2853</v>
      </c>
      <c r="BA13" s="13">
        <v>2868</v>
      </c>
      <c r="BB13" s="13">
        <v>2886</v>
      </c>
      <c r="BC13" s="13">
        <v>2858</v>
      </c>
      <c r="BD13" s="13">
        <v>2855</v>
      </c>
      <c r="BE13" s="13">
        <v>2908</v>
      </c>
      <c r="BF13" s="13">
        <v>2963</v>
      </c>
      <c r="BG13" s="13">
        <v>2948</v>
      </c>
      <c r="BH13" s="13">
        <v>2982</v>
      </c>
      <c r="BI13" s="13">
        <v>3045</v>
      </c>
      <c r="BJ13" s="13">
        <v>3010</v>
      </c>
      <c r="BK13" s="13">
        <v>3040</v>
      </c>
      <c r="BL13" s="13">
        <v>2999</v>
      </c>
      <c r="BM13" s="4">
        <v>2983</v>
      </c>
      <c r="BN13" s="4">
        <v>2945</v>
      </c>
      <c r="BO13" s="4">
        <v>2978</v>
      </c>
      <c r="BP13" s="4">
        <v>2893</v>
      </c>
    </row>
    <row r="14" spans="1:68" ht="15.9" customHeight="1">
      <c r="A14" s="64" t="s">
        <v>23</v>
      </c>
      <c r="B14" s="6" t="s">
        <v>24</v>
      </c>
      <c r="C14" s="15" t="str">
        <f>_xll.RssMarket("8002","現在値")</f>
        <v/>
      </c>
      <c r="D14" s="16" t="e">
        <f t="shared" si="0"/>
        <v>#VALUE!</v>
      </c>
      <c r="E14" s="13">
        <v>4988</v>
      </c>
      <c r="F14" s="13">
        <v>5110</v>
      </c>
      <c r="G14" s="13">
        <v>4920</v>
      </c>
      <c r="H14" s="13">
        <v>4862</v>
      </c>
      <c r="I14" s="13">
        <v>4879</v>
      </c>
      <c r="J14" s="13">
        <v>4924</v>
      </c>
      <c r="K14" s="13">
        <v>4961</v>
      </c>
      <c r="L14" s="13">
        <v>5026</v>
      </c>
      <c r="M14" s="13">
        <v>4963</v>
      </c>
      <c r="N14" s="13">
        <v>4806</v>
      </c>
      <c r="O14" s="13">
        <v>4668</v>
      </c>
      <c r="P14" s="13">
        <v>4690</v>
      </c>
      <c r="Q14" s="13">
        <v>4713</v>
      </c>
      <c r="R14" s="13">
        <v>4692</v>
      </c>
      <c r="S14" s="13">
        <v>4607</v>
      </c>
      <c r="T14" s="13">
        <v>4687</v>
      </c>
      <c r="U14" s="13">
        <v>4793</v>
      </c>
      <c r="V14" s="13">
        <v>4913</v>
      </c>
      <c r="W14" s="13">
        <v>4895</v>
      </c>
      <c r="X14" s="13">
        <v>4949</v>
      </c>
      <c r="Y14" s="13">
        <v>4921</v>
      </c>
      <c r="Z14" s="13">
        <v>4899</v>
      </c>
      <c r="AA14" s="13">
        <v>4812</v>
      </c>
      <c r="AB14" s="13">
        <v>4795</v>
      </c>
      <c r="AC14" s="13">
        <v>4870</v>
      </c>
      <c r="AD14" s="13">
        <v>5044</v>
      </c>
      <c r="AE14" s="13">
        <v>4968</v>
      </c>
      <c r="AF14" s="13">
        <v>4993</v>
      </c>
      <c r="AG14" s="13">
        <v>4910</v>
      </c>
      <c r="AH14" s="13">
        <v>4918</v>
      </c>
      <c r="AI14" s="13">
        <v>5196</v>
      </c>
      <c r="AJ14" s="13">
        <v>5224</v>
      </c>
      <c r="AK14" s="13">
        <v>5220</v>
      </c>
      <c r="AL14" s="13">
        <v>5312</v>
      </c>
      <c r="AM14" s="13">
        <v>5271</v>
      </c>
      <c r="AN14" s="13">
        <v>5325</v>
      </c>
      <c r="AO14" s="13">
        <v>5374</v>
      </c>
      <c r="AP14" s="13">
        <v>5553</v>
      </c>
      <c r="AQ14" s="13">
        <v>5638</v>
      </c>
      <c r="AR14" s="13">
        <v>5856</v>
      </c>
      <c r="AS14" s="13">
        <v>5898</v>
      </c>
      <c r="AT14" s="13">
        <v>5740</v>
      </c>
      <c r="AU14" s="13">
        <v>5520</v>
      </c>
      <c r="AV14" s="13">
        <v>5418</v>
      </c>
      <c r="AW14" s="13">
        <v>5495</v>
      </c>
      <c r="AX14" s="13">
        <v>5755</v>
      </c>
      <c r="AY14" s="13">
        <v>6072</v>
      </c>
      <c r="AZ14" s="13">
        <v>6084</v>
      </c>
      <c r="BA14" s="13">
        <v>5910</v>
      </c>
      <c r="BB14" s="13">
        <v>5936</v>
      </c>
      <c r="BC14" s="13">
        <v>5929</v>
      </c>
      <c r="BD14" s="13">
        <v>5908</v>
      </c>
      <c r="BE14" s="13">
        <v>6001</v>
      </c>
      <c r="BF14" s="13">
        <v>5885</v>
      </c>
      <c r="BG14" s="13">
        <v>5853</v>
      </c>
      <c r="BH14" s="13">
        <v>6040</v>
      </c>
      <c r="BI14" s="13">
        <v>5909</v>
      </c>
      <c r="BJ14" s="13">
        <v>6018</v>
      </c>
      <c r="BK14" s="13">
        <v>5932</v>
      </c>
      <c r="BL14" s="13">
        <v>5950</v>
      </c>
      <c r="BM14" s="4">
        <v>6088</v>
      </c>
      <c r="BN14" s="4">
        <v>6119</v>
      </c>
      <c r="BO14" s="4">
        <v>5919</v>
      </c>
      <c r="BP14" s="4">
        <v>5890</v>
      </c>
    </row>
    <row r="15" spans="1:68" ht="15.9" customHeight="1">
      <c r="A15" s="64" t="s">
        <v>25</v>
      </c>
      <c r="B15" s="6" t="s">
        <v>26</v>
      </c>
      <c r="C15" s="15" t="str">
        <f>_xll.RssMarket("5021","現在値")</f>
        <v/>
      </c>
      <c r="D15" s="16" t="e">
        <f t="shared" si="0"/>
        <v>#VALUE!</v>
      </c>
      <c r="E15" s="13">
        <v>3776</v>
      </c>
      <c r="F15" s="13">
        <v>3867</v>
      </c>
      <c r="G15" s="13">
        <v>3904</v>
      </c>
      <c r="H15" s="13">
        <v>3845</v>
      </c>
      <c r="I15" s="13">
        <v>3861</v>
      </c>
      <c r="J15" s="13">
        <v>3868</v>
      </c>
      <c r="K15" s="13">
        <v>3869</v>
      </c>
      <c r="L15" s="13">
        <v>3964</v>
      </c>
      <c r="M15" s="13">
        <v>3889</v>
      </c>
      <c r="N15" s="13">
        <v>3875</v>
      </c>
      <c r="O15" s="13">
        <v>3813</v>
      </c>
      <c r="P15" s="13">
        <v>3788</v>
      </c>
      <c r="Q15" s="13">
        <v>3775</v>
      </c>
      <c r="R15" s="13">
        <v>3757</v>
      </c>
      <c r="S15" s="13">
        <v>3674</v>
      </c>
      <c r="T15" s="13">
        <v>3706</v>
      </c>
      <c r="U15" s="13">
        <v>3688</v>
      </c>
      <c r="V15" s="13">
        <v>3721</v>
      </c>
      <c r="W15" s="13">
        <v>3775</v>
      </c>
      <c r="X15" s="13">
        <v>3669</v>
      </c>
      <c r="Y15" s="13">
        <v>3676</v>
      </c>
      <c r="Z15" s="13">
        <v>3571</v>
      </c>
      <c r="AA15" s="13">
        <v>3503</v>
      </c>
      <c r="AB15" s="13">
        <v>3462</v>
      </c>
      <c r="AC15" s="13">
        <v>3586</v>
      </c>
      <c r="AD15" s="13">
        <v>3611</v>
      </c>
      <c r="AE15" s="13">
        <v>3663</v>
      </c>
      <c r="AF15" s="13">
        <v>3833</v>
      </c>
      <c r="AG15" s="13">
        <v>3717</v>
      </c>
      <c r="AH15" s="13">
        <v>3671</v>
      </c>
      <c r="AI15" s="13">
        <v>3739</v>
      </c>
      <c r="AJ15" s="13">
        <v>3700</v>
      </c>
      <c r="AK15" s="13">
        <v>3685</v>
      </c>
      <c r="AL15" s="13">
        <v>3680</v>
      </c>
      <c r="AM15" s="13">
        <v>3701</v>
      </c>
      <c r="AN15" s="13">
        <v>3700</v>
      </c>
      <c r="AO15" s="13">
        <v>3739</v>
      </c>
      <c r="AP15" s="13">
        <v>3774</v>
      </c>
      <c r="AQ15" s="13">
        <v>3733</v>
      </c>
      <c r="AR15" s="13">
        <v>3832</v>
      </c>
      <c r="AS15" s="13">
        <v>3867</v>
      </c>
      <c r="AT15" s="13">
        <v>3760</v>
      </c>
      <c r="AU15" s="13">
        <v>3969</v>
      </c>
      <c r="AV15" s="13">
        <v>3958</v>
      </c>
      <c r="AW15" s="13">
        <v>3951</v>
      </c>
      <c r="AX15" s="13">
        <v>3909</v>
      </c>
      <c r="AY15" s="13">
        <v>3982</v>
      </c>
      <c r="AZ15" s="13">
        <v>4003</v>
      </c>
      <c r="BA15" s="13">
        <v>3985</v>
      </c>
      <c r="BB15" s="13">
        <v>3906</v>
      </c>
      <c r="BC15" s="13">
        <v>3943</v>
      </c>
      <c r="BD15" s="13">
        <v>4021</v>
      </c>
      <c r="BE15" s="13">
        <v>4067</v>
      </c>
      <c r="BF15" s="13">
        <v>4197</v>
      </c>
      <c r="BG15" s="13">
        <v>4267</v>
      </c>
      <c r="BH15" s="13">
        <v>4355</v>
      </c>
      <c r="BI15" s="13">
        <v>4357</v>
      </c>
      <c r="BJ15" s="13">
        <v>4374</v>
      </c>
      <c r="BK15" s="13">
        <v>4357</v>
      </c>
      <c r="BL15" s="13">
        <v>4385</v>
      </c>
      <c r="BM15" s="4">
        <v>4431</v>
      </c>
      <c r="BN15" s="4">
        <v>4507</v>
      </c>
      <c r="BO15" s="4">
        <v>4449</v>
      </c>
      <c r="BP15" s="4">
        <v>4509</v>
      </c>
    </row>
    <row r="16" spans="1:68" ht="15.9" customHeight="1">
      <c r="A16" s="64" t="s">
        <v>27</v>
      </c>
      <c r="B16" s="6" t="s">
        <v>28</v>
      </c>
      <c r="C16" s="15" t="str">
        <f>_xll.RssMarket("8058","現在値")</f>
        <v/>
      </c>
      <c r="D16" s="16" t="e">
        <f t="shared" si="0"/>
        <v>#VALUE!</v>
      </c>
      <c r="E16" s="13">
        <v>4447</v>
      </c>
      <c r="F16" s="13">
        <v>4585</v>
      </c>
      <c r="G16" s="13">
        <v>4496</v>
      </c>
      <c r="H16" s="13">
        <v>4440</v>
      </c>
      <c r="I16" s="13">
        <v>4409</v>
      </c>
      <c r="J16" s="13">
        <v>4411</v>
      </c>
      <c r="K16" s="13">
        <v>4464</v>
      </c>
      <c r="L16" s="13">
        <v>4507</v>
      </c>
      <c r="M16" s="13">
        <v>4457</v>
      </c>
      <c r="N16" s="13">
        <v>4385</v>
      </c>
      <c r="O16" s="13">
        <v>4344</v>
      </c>
      <c r="P16" s="13">
        <v>4347</v>
      </c>
      <c r="Q16" s="13">
        <v>4414</v>
      </c>
      <c r="R16" s="13">
        <v>4403</v>
      </c>
      <c r="S16" s="13">
        <v>4400</v>
      </c>
      <c r="T16" s="13">
        <v>4530</v>
      </c>
      <c r="U16" s="13">
        <v>4591</v>
      </c>
      <c r="V16" s="13">
        <v>4609</v>
      </c>
      <c r="W16" s="13">
        <v>4540</v>
      </c>
      <c r="X16" s="13">
        <v>4610</v>
      </c>
      <c r="Y16" s="13">
        <v>4595</v>
      </c>
      <c r="Z16" s="13">
        <v>4683</v>
      </c>
      <c r="AA16" s="13">
        <v>4605</v>
      </c>
      <c r="AB16" s="13">
        <v>4615</v>
      </c>
      <c r="AC16" s="13">
        <v>4833</v>
      </c>
      <c r="AD16" s="13">
        <v>4859</v>
      </c>
      <c r="AE16" s="13">
        <v>4896</v>
      </c>
      <c r="AF16" s="13">
        <v>4979</v>
      </c>
      <c r="AG16" s="13">
        <v>4924</v>
      </c>
      <c r="AH16" s="13">
        <v>4921</v>
      </c>
      <c r="AI16" s="13">
        <v>5065</v>
      </c>
      <c r="AJ16" s="13">
        <v>5038</v>
      </c>
      <c r="AK16" s="13">
        <v>5124</v>
      </c>
      <c r="AL16" s="13">
        <v>5320</v>
      </c>
      <c r="AM16" s="13">
        <v>5432</v>
      </c>
      <c r="AN16" s="13">
        <v>5411</v>
      </c>
      <c r="AO16" s="13">
        <v>5436</v>
      </c>
      <c r="AP16" s="13">
        <v>5519</v>
      </c>
      <c r="AQ16" s="13">
        <v>5500</v>
      </c>
      <c r="AR16" s="13">
        <v>5849</v>
      </c>
      <c r="AS16" s="13">
        <v>5882</v>
      </c>
      <c r="AT16" s="13">
        <v>5864</v>
      </c>
      <c r="AU16" s="13">
        <v>5500</v>
      </c>
      <c r="AV16" s="13">
        <v>5252</v>
      </c>
      <c r="AW16" s="13">
        <v>5249</v>
      </c>
      <c r="AX16" s="13">
        <v>5398</v>
      </c>
      <c r="AY16" s="13">
        <v>5219</v>
      </c>
      <c r="AZ16" s="13">
        <v>4990</v>
      </c>
      <c r="BA16" s="13">
        <v>4913</v>
      </c>
      <c r="BB16" s="13">
        <v>4810</v>
      </c>
      <c r="BC16" s="13">
        <v>4950</v>
      </c>
      <c r="BD16" s="13">
        <v>4792</v>
      </c>
      <c r="BE16" s="13">
        <v>4746</v>
      </c>
      <c r="BF16" s="13">
        <v>4844</v>
      </c>
      <c r="BG16" s="13">
        <v>4910</v>
      </c>
      <c r="BH16" s="13">
        <v>4952</v>
      </c>
      <c r="BI16" s="13">
        <v>5086</v>
      </c>
      <c r="BJ16" s="13">
        <v>4989</v>
      </c>
      <c r="BK16" s="13">
        <v>5193</v>
      </c>
      <c r="BL16" s="13">
        <v>5275</v>
      </c>
      <c r="BM16" s="4">
        <v>5307</v>
      </c>
      <c r="BN16" s="4">
        <v>5413</v>
      </c>
      <c r="BO16" s="4">
        <v>5436</v>
      </c>
      <c r="BP16" s="4">
        <v>5425</v>
      </c>
    </row>
    <row r="17" spans="1:68" ht="15.9" customHeight="1">
      <c r="A17" s="64" t="s">
        <v>29</v>
      </c>
      <c r="B17" s="6" t="s">
        <v>30</v>
      </c>
      <c r="C17" s="15" t="str">
        <f>_xll.RssMarket("5333","現在値")</f>
        <v/>
      </c>
      <c r="D17" s="16" t="e">
        <f t="shared" si="0"/>
        <v>#VALUE!</v>
      </c>
      <c r="E17" s="13">
        <v>6005</v>
      </c>
      <c r="F17" s="13">
        <v>6759</v>
      </c>
      <c r="G17" s="13">
        <v>6617</v>
      </c>
      <c r="H17" s="13">
        <v>6664</v>
      </c>
      <c r="I17" s="13">
        <v>7061</v>
      </c>
      <c r="J17" s="13">
        <v>7051</v>
      </c>
      <c r="K17" s="13">
        <v>6856</v>
      </c>
      <c r="L17" s="13">
        <v>7391</v>
      </c>
      <c r="M17" s="13">
        <v>7473</v>
      </c>
      <c r="N17" s="13">
        <v>7392</v>
      </c>
      <c r="O17" s="13">
        <v>7660</v>
      </c>
      <c r="P17" s="13">
        <v>7532</v>
      </c>
      <c r="Q17" s="13">
        <v>7441</v>
      </c>
      <c r="R17" s="13">
        <v>7509</v>
      </c>
      <c r="S17" s="13">
        <v>7853</v>
      </c>
      <c r="T17" s="13">
        <v>7478</v>
      </c>
      <c r="U17" s="13">
        <v>7424</v>
      </c>
      <c r="V17" s="13">
        <v>7695</v>
      </c>
      <c r="W17" s="13">
        <v>7332</v>
      </c>
      <c r="X17" s="13">
        <v>6972</v>
      </c>
      <c r="Y17" s="13">
        <v>6747</v>
      </c>
      <c r="Z17" s="13">
        <v>6117</v>
      </c>
      <c r="AA17" s="13">
        <v>5957</v>
      </c>
      <c r="AB17" s="13">
        <v>5933</v>
      </c>
      <c r="AC17" s="13">
        <v>6092</v>
      </c>
      <c r="AD17" s="13">
        <v>6575</v>
      </c>
      <c r="AE17" s="13">
        <v>6356</v>
      </c>
      <c r="AF17" s="13">
        <v>6483</v>
      </c>
      <c r="AG17" s="13">
        <v>6170</v>
      </c>
      <c r="AH17" s="13">
        <v>6355</v>
      </c>
      <c r="AI17" s="13">
        <v>6316</v>
      </c>
      <c r="AJ17" s="13">
        <v>6120</v>
      </c>
      <c r="AK17" s="13">
        <v>6069</v>
      </c>
      <c r="AL17" s="13">
        <v>6210</v>
      </c>
      <c r="AM17" s="13">
        <v>5861</v>
      </c>
      <c r="AN17" s="13">
        <v>5700</v>
      </c>
      <c r="AO17" s="13">
        <v>5456</v>
      </c>
      <c r="AP17" s="13">
        <v>5493</v>
      </c>
      <c r="AQ17" s="13">
        <v>5609</v>
      </c>
      <c r="AR17" s="13">
        <v>5696</v>
      </c>
      <c r="AS17" s="13">
        <v>5787</v>
      </c>
      <c r="AT17" s="13">
        <v>5731</v>
      </c>
      <c r="AU17" s="13">
        <v>5614</v>
      </c>
      <c r="AV17" s="13">
        <v>5550</v>
      </c>
      <c r="AW17" s="13">
        <v>5374</v>
      </c>
      <c r="AX17" s="13">
        <v>5345</v>
      </c>
      <c r="AY17" s="13">
        <v>5121</v>
      </c>
      <c r="AZ17" s="13">
        <v>4961</v>
      </c>
      <c r="BA17" s="13">
        <v>4670</v>
      </c>
      <c r="BB17" s="13">
        <v>4613</v>
      </c>
      <c r="BC17" s="13">
        <v>4428</v>
      </c>
      <c r="BD17" s="13">
        <v>4379</v>
      </c>
      <c r="BE17" s="13">
        <v>4481</v>
      </c>
      <c r="BF17" s="13">
        <v>4543</v>
      </c>
      <c r="BG17" s="13">
        <v>4521</v>
      </c>
      <c r="BH17" s="13">
        <v>4473</v>
      </c>
      <c r="BI17" s="13">
        <v>4561</v>
      </c>
      <c r="BJ17" s="13">
        <v>4444</v>
      </c>
      <c r="BK17" s="13">
        <v>4449</v>
      </c>
      <c r="BL17" s="13">
        <v>4412</v>
      </c>
      <c r="BM17" s="4">
        <v>4441</v>
      </c>
      <c r="BN17" s="4">
        <v>4399</v>
      </c>
      <c r="BO17" s="4">
        <v>4375</v>
      </c>
      <c r="BP17" s="4">
        <v>4145</v>
      </c>
    </row>
    <row r="18" spans="1:68" ht="15.9" customHeight="1">
      <c r="A18" s="64" t="s">
        <v>31</v>
      </c>
      <c r="B18" s="6" t="s">
        <v>32</v>
      </c>
      <c r="C18" s="15" t="str">
        <f>_xll.RssMarket("1662","現在値")</f>
        <v/>
      </c>
      <c r="D18" s="16" t="e">
        <f t="shared" si="0"/>
        <v>#VALUE!</v>
      </c>
      <c r="E18" s="13">
        <v>1664</v>
      </c>
      <c r="F18" s="13">
        <v>1705</v>
      </c>
      <c r="G18" s="13">
        <v>1729</v>
      </c>
      <c r="H18" s="13">
        <v>1668</v>
      </c>
      <c r="I18" s="13">
        <v>1661</v>
      </c>
      <c r="J18" s="13">
        <v>1684</v>
      </c>
      <c r="K18" s="13">
        <v>1670</v>
      </c>
      <c r="L18" s="13">
        <v>1669</v>
      </c>
      <c r="M18" s="13">
        <v>1613</v>
      </c>
      <c r="N18" s="13">
        <v>1604</v>
      </c>
      <c r="O18" s="13">
        <v>1570</v>
      </c>
      <c r="P18" s="13">
        <v>1601</v>
      </c>
      <c r="Q18" s="13">
        <v>1605</v>
      </c>
      <c r="R18" s="13">
        <v>1610</v>
      </c>
      <c r="S18" s="13">
        <v>1569</v>
      </c>
      <c r="T18" s="13">
        <v>1611</v>
      </c>
      <c r="U18" s="13">
        <v>1614</v>
      </c>
      <c r="V18" s="13">
        <v>1627</v>
      </c>
      <c r="W18" s="13">
        <v>1636</v>
      </c>
      <c r="X18" s="13">
        <v>1645</v>
      </c>
      <c r="Y18" s="13">
        <v>1648</v>
      </c>
      <c r="Z18" s="13">
        <v>1658</v>
      </c>
      <c r="AA18" s="13">
        <v>1668</v>
      </c>
      <c r="AB18" s="13">
        <v>1639</v>
      </c>
      <c r="AC18" s="13">
        <v>1734</v>
      </c>
      <c r="AD18" s="13">
        <v>1730</v>
      </c>
      <c r="AE18" s="13">
        <v>1721</v>
      </c>
      <c r="AF18" s="13">
        <v>1760</v>
      </c>
      <c r="AG18" s="13">
        <v>1761</v>
      </c>
      <c r="AH18" s="13">
        <v>1753</v>
      </c>
      <c r="AI18" s="13">
        <v>1789</v>
      </c>
      <c r="AJ18" s="13">
        <v>1868</v>
      </c>
      <c r="AK18" s="13">
        <v>1872</v>
      </c>
      <c r="AL18" s="13">
        <v>1840</v>
      </c>
      <c r="AM18" s="13">
        <v>1900</v>
      </c>
      <c r="AN18" s="13">
        <v>1883</v>
      </c>
      <c r="AO18" s="13">
        <v>2021</v>
      </c>
      <c r="AP18" s="13">
        <v>1955</v>
      </c>
      <c r="AQ18" s="13">
        <v>1933</v>
      </c>
      <c r="AR18" s="13">
        <v>1965</v>
      </c>
      <c r="AS18" s="13">
        <v>2012</v>
      </c>
      <c r="AT18" s="13">
        <v>1998</v>
      </c>
      <c r="AU18" s="13">
        <v>2198</v>
      </c>
      <c r="AV18" s="13">
        <v>2164</v>
      </c>
      <c r="AW18" s="13">
        <v>2155</v>
      </c>
      <c r="AX18" s="13">
        <v>2117</v>
      </c>
      <c r="AY18" s="13">
        <v>2233</v>
      </c>
      <c r="AZ18" s="13">
        <v>2275</v>
      </c>
      <c r="BA18" s="13">
        <v>2295</v>
      </c>
      <c r="BB18" s="13">
        <v>2181</v>
      </c>
      <c r="BC18" s="13">
        <v>2253</v>
      </c>
      <c r="BD18" s="13">
        <v>2315</v>
      </c>
      <c r="BE18" s="13">
        <v>2127</v>
      </c>
      <c r="BF18" s="13">
        <v>2131</v>
      </c>
      <c r="BG18" s="13">
        <v>2168</v>
      </c>
      <c r="BH18" s="13">
        <v>2348</v>
      </c>
      <c r="BI18" s="13">
        <v>2396</v>
      </c>
      <c r="BJ18" s="13">
        <v>2400</v>
      </c>
      <c r="BK18" s="13">
        <v>2491</v>
      </c>
      <c r="BL18" s="13">
        <v>2524</v>
      </c>
      <c r="BM18" s="4">
        <v>2387</v>
      </c>
      <c r="BN18" s="4">
        <v>2464</v>
      </c>
      <c r="BO18" s="4">
        <v>2414</v>
      </c>
      <c r="BP18" s="4">
        <v>2519</v>
      </c>
    </row>
    <row r="19" spans="1:68" ht="15.9" customHeight="1">
      <c r="A19" s="64" t="s">
        <v>33</v>
      </c>
      <c r="B19" s="6" t="s">
        <v>34</v>
      </c>
      <c r="C19" s="15" t="str">
        <f>_xll.RssMarket("8411","現在値")</f>
        <v/>
      </c>
      <c r="D19" s="16" t="e">
        <f t="shared" si="0"/>
        <v>#VALUE!</v>
      </c>
      <c r="E19" s="13">
        <v>7930</v>
      </c>
      <c r="F19" s="13">
        <v>8624</v>
      </c>
      <c r="G19" s="13">
        <v>8480</v>
      </c>
      <c r="H19" s="13">
        <v>8417</v>
      </c>
      <c r="I19" s="13">
        <v>8307</v>
      </c>
      <c r="J19" s="13">
        <v>8214</v>
      </c>
      <c r="K19" s="13">
        <v>8250</v>
      </c>
      <c r="L19" s="13">
        <v>8195</v>
      </c>
      <c r="M19" s="13">
        <v>8078</v>
      </c>
      <c r="N19" s="13">
        <v>7973</v>
      </c>
      <c r="O19" s="13">
        <v>7814</v>
      </c>
      <c r="P19" s="13">
        <v>7743</v>
      </c>
      <c r="Q19" s="13">
        <v>7652</v>
      </c>
      <c r="R19" s="13">
        <v>7794</v>
      </c>
      <c r="S19" s="13">
        <v>7725</v>
      </c>
      <c r="T19" s="13">
        <v>7722</v>
      </c>
      <c r="U19" s="13">
        <v>7820</v>
      </c>
      <c r="V19" s="13">
        <v>8043</v>
      </c>
      <c r="W19" s="13">
        <v>7884</v>
      </c>
      <c r="X19" s="13">
        <v>8006</v>
      </c>
      <c r="Y19" s="13">
        <v>7757</v>
      </c>
      <c r="Z19" s="13">
        <v>7563</v>
      </c>
      <c r="AA19" s="13">
        <v>7394</v>
      </c>
      <c r="AB19" s="13">
        <v>7614</v>
      </c>
      <c r="AC19" s="13">
        <v>7562</v>
      </c>
      <c r="AD19" s="13">
        <v>7716</v>
      </c>
      <c r="AE19" s="13">
        <v>7645</v>
      </c>
      <c r="AF19" s="13">
        <v>7633</v>
      </c>
      <c r="AG19" s="13">
        <v>7346</v>
      </c>
      <c r="AH19" s="13">
        <v>7185</v>
      </c>
      <c r="AI19" s="13">
        <v>7195</v>
      </c>
      <c r="AJ19" s="13">
        <v>7065</v>
      </c>
      <c r="AK19" s="13">
        <v>7217</v>
      </c>
      <c r="AL19" s="13">
        <v>7304</v>
      </c>
      <c r="AM19" s="13">
        <v>7457</v>
      </c>
      <c r="AN19" s="13">
        <v>7301</v>
      </c>
      <c r="AO19" s="13">
        <v>6982</v>
      </c>
      <c r="AP19" s="13">
        <v>6886</v>
      </c>
      <c r="AQ19" s="13">
        <v>6525</v>
      </c>
      <c r="AR19" s="13">
        <v>6912</v>
      </c>
      <c r="AS19" s="13">
        <v>6984</v>
      </c>
      <c r="AT19" s="13">
        <v>7050</v>
      </c>
      <c r="AU19" s="13">
        <v>6970</v>
      </c>
      <c r="AV19" s="13">
        <v>6890</v>
      </c>
      <c r="AW19" s="13">
        <v>6771</v>
      </c>
      <c r="AX19" s="13">
        <v>6926</v>
      </c>
      <c r="AY19" s="13">
        <v>6704</v>
      </c>
      <c r="AZ19" s="13">
        <v>6722</v>
      </c>
      <c r="BA19" s="13">
        <v>6936</v>
      </c>
      <c r="BB19" s="13">
        <v>6598</v>
      </c>
      <c r="BC19" s="13">
        <v>6427</v>
      </c>
      <c r="BD19" s="13">
        <v>6482</v>
      </c>
      <c r="BE19" s="13">
        <v>6613</v>
      </c>
      <c r="BF19" s="13">
        <v>6647</v>
      </c>
      <c r="BG19" s="13">
        <v>6775</v>
      </c>
      <c r="BH19" s="13">
        <v>6768</v>
      </c>
      <c r="BI19" s="13">
        <v>6872</v>
      </c>
      <c r="BJ19" s="13">
        <v>6955</v>
      </c>
      <c r="BK19" s="13">
        <v>6790</v>
      </c>
      <c r="BL19" s="13">
        <v>6735</v>
      </c>
      <c r="BM19" s="4">
        <v>6786</v>
      </c>
      <c r="BN19" s="4">
        <v>6730</v>
      </c>
      <c r="BO19" s="4">
        <v>6946</v>
      </c>
      <c r="BP19" s="4">
        <v>6539</v>
      </c>
    </row>
    <row r="20" spans="1:68" ht="15.9" customHeight="1">
      <c r="A20" s="64" t="s">
        <v>35</v>
      </c>
      <c r="B20" s="6" t="s">
        <v>36</v>
      </c>
      <c r="C20" s="15" t="str">
        <f>_xll.RssMarket("5541","現在値")</f>
        <v/>
      </c>
      <c r="D20" s="16" t="e">
        <f t="shared" si="0"/>
        <v>#VALUE!</v>
      </c>
      <c r="E20" s="13">
        <v>2271</v>
      </c>
      <c r="F20" s="13">
        <v>2295</v>
      </c>
      <c r="G20" s="13">
        <v>2273</v>
      </c>
      <c r="H20" s="13">
        <v>2249</v>
      </c>
      <c r="I20" s="13">
        <v>2259</v>
      </c>
      <c r="J20" s="13">
        <v>2206</v>
      </c>
      <c r="K20" s="13">
        <v>2220</v>
      </c>
      <c r="L20" s="13">
        <v>2346</v>
      </c>
      <c r="M20" s="13">
        <v>2313</v>
      </c>
      <c r="N20" s="13">
        <v>2283</v>
      </c>
      <c r="O20" s="13">
        <v>2235</v>
      </c>
      <c r="P20" s="13">
        <v>2164</v>
      </c>
      <c r="Q20" s="13">
        <v>2157</v>
      </c>
      <c r="R20" s="13">
        <v>2150</v>
      </c>
      <c r="S20" s="13">
        <v>2171</v>
      </c>
      <c r="T20" s="13">
        <v>2196</v>
      </c>
      <c r="U20" s="13">
        <v>2215</v>
      </c>
      <c r="V20" s="13">
        <v>2320</v>
      </c>
      <c r="W20" s="13">
        <v>2269</v>
      </c>
      <c r="X20" s="13">
        <v>2285</v>
      </c>
      <c r="Y20" s="13">
        <v>2271</v>
      </c>
      <c r="Z20" s="13">
        <v>2175</v>
      </c>
      <c r="AA20" s="13">
        <v>2109</v>
      </c>
      <c r="AB20" s="13">
        <v>2134</v>
      </c>
      <c r="AC20" s="13">
        <v>2200</v>
      </c>
      <c r="AD20" s="13">
        <v>2273</v>
      </c>
      <c r="AE20" s="13">
        <v>2263</v>
      </c>
      <c r="AF20" s="13">
        <v>2319</v>
      </c>
      <c r="AG20" s="13">
        <v>2230</v>
      </c>
      <c r="AH20" s="13">
        <v>2245</v>
      </c>
      <c r="AI20" s="13">
        <v>2311</v>
      </c>
      <c r="AJ20" s="13">
        <v>2248</v>
      </c>
      <c r="AK20" s="13">
        <v>2294</v>
      </c>
      <c r="AL20" s="13">
        <v>2220</v>
      </c>
      <c r="AM20" s="13">
        <v>2166</v>
      </c>
      <c r="AN20" s="13">
        <v>2165</v>
      </c>
      <c r="AO20" s="13">
        <v>2138</v>
      </c>
      <c r="AP20" s="13">
        <v>2231</v>
      </c>
      <c r="AQ20" s="13">
        <v>2254</v>
      </c>
      <c r="AR20" s="13">
        <v>2404</v>
      </c>
      <c r="AS20" s="13">
        <v>2380</v>
      </c>
      <c r="AT20" s="13">
        <v>2472</v>
      </c>
      <c r="AU20" s="13">
        <v>2312</v>
      </c>
      <c r="AV20" s="13">
        <v>2664</v>
      </c>
      <c r="AW20" s="13">
        <v>2649</v>
      </c>
      <c r="AX20" s="13">
        <v>2627</v>
      </c>
      <c r="AY20" s="13">
        <v>2580</v>
      </c>
      <c r="AZ20" s="13">
        <v>2522</v>
      </c>
      <c r="BA20" s="13">
        <v>2656</v>
      </c>
      <c r="BB20" s="13">
        <v>2431</v>
      </c>
      <c r="BC20" s="13">
        <v>2442</v>
      </c>
      <c r="BD20" s="13">
        <v>2463</v>
      </c>
      <c r="BE20" s="13">
        <v>2487</v>
      </c>
      <c r="BF20" s="13">
        <v>2554</v>
      </c>
      <c r="BG20" s="13">
        <v>2520</v>
      </c>
      <c r="BH20" s="13">
        <v>2582</v>
      </c>
      <c r="BI20" s="13">
        <v>2726</v>
      </c>
      <c r="BJ20" s="13">
        <v>2649</v>
      </c>
      <c r="BK20" s="13">
        <v>2677</v>
      </c>
      <c r="BL20" s="13">
        <v>2619</v>
      </c>
      <c r="BM20" s="4">
        <v>2673</v>
      </c>
      <c r="BN20" s="4">
        <v>2706</v>
      </c>
      <c r="BO20" s="4">
        <v>2826</v>
      </c>
      <c r="BP20" s="4">
        <v>2664</v>
      </c>
    </row>
    <row r="21" spans="1:68" ht="15.9" customHeight="1">
      <c r="A21" s="64" t="s">
        <v>37</v>
      </c>
      <c r="B21" s="6" t="s">
        <v>38</v>
      </c>
      <c r="C21" s="15" t="str">
        <f>_xll.RssMarket("5332","現在値")</f>
        <v/>
      </c>
      <c r="D21" s="16" t="e">
        <f t="shared" si="0"/>
        <v>#VALUE!</v>
      </c>
      <c r="E21" s="13">
        <v>7451</v>
      </c>
      <c r="F21" s="13">
        <v>7946</v>
      </c>
      <c r="G21" s="13">
        <v>7973</v>
      </c>
      <c r="H21" s="13">
        <v>7888</v>
      </c>
      <c r="I21" s="13">
        <v>8059</v>
      </c>
      <c r="J21" s="13">
        <v>8119</v>
      </c>
      <c r="K21" s="13">
        <v>8076</v>
      </c>
      <c r="L21" s="13">
        <v>8551</v>
      </c>
      <c r="M21" s="13">
        <v>8586</v>
      </c>
      <c r="N21" s="13">
        <v>8461</v>
      </c>
      <c r="O21" s="13">
        <v>8263</v>
      </c>
      <c r="P21" s="13">
        <v>8611</v>
      </c>
      <c r="Q21" s="13">
        <v>8490</v>
      </c>
      <c r="R21" s="13">
        <v>8533</v>
      </c>
      <c r="S21" s="13">
        <v>8868</v>
      </c>
      <c r="T21" s="13">
        <v>8701</v>
      </c>
      <c r="U21" s="13">
        <v>8853</v>
      </c>
      <c r="V21" s="13">
        <v>9315</v>
      </c>
      <c r="W21" s="13">
        <v>8390</v>
      </c>
      <c r="X21" s="13">
        <v>8297</v>
      </c>
      <c r="Y21" s="13">
        <v>8144</v>
      </c>
      <c r="Z21" s="13">
        <v>7681</v>
      </c>
      <c r="AA21" s="13">
        <v>7450</v>
      </c>
      <c r="AB21" s="13">
        <v>7500</v>
      </c>
      <c r="AC21" s="13">
        <v>7664</v>
      </c>
      <c r="AD21" s="13">
        <v>8003</v>
      </c>
      <c r="AE21" s="13">
        <v>8026</v>
      </c>
      <c r="AF21" s="13">
        <v>7926</v>
      </c>
      <c r="AG21" s="13">
        <v>7284</v>
      </c>
      <c r="AH21" s="13">
        <v>7577</v>
      </c>
      <c r="AI21" s="13">
        <v>7678</v>
      </c>
      <c r="AJ21" s="13">
        <v>7381</v>
      </c>
      <c r="AK21" s="13">
        <v>7290</v>
      </c>
      <c r="AL21" s="13">
        <v>7057</v>
      </c>
      <c r="AM21" s="13">
        <v>6820</v>
      </c>
      <c r="AN21" s="13">
        <v>6570</v>
      </c>
      <c r="AO21" s="13">
        <v>6399</v>
      </c>
      <c r="AP21" s="13">
        <v>6689</v>
      </c>
      <c r="AQ21" s="13">
        <v>6929</v>
      </c>
      <c r="AR21" s="13">
        <v>7127</v>
      </c>
      <c r="AS21" s="13">
        <v>7235</v>
      </c>
      <c r="AT21" s="13">
        <v>6906</v>
      </c>
      <c r="AU21" s="13">
        <v>6896</v>
      </c>
      <c r="AV21" s="13">
        <v>7175</v>
      </c>
      <c r="AW21" s="13">
        <v>7083</v>
      </c>
      <c r="AX21" s="13">
        <v>6740</v>
      </c>
      <c r="AY21" s="13">
        <v>6425</v>
      </c>
      <c r="AZ21" s="13">
        <v>5425</v>
      </c>
      <c r="BA21" s="13">
        <v>5425</v>
      </c>
      <c r="BB21" s="13">
        <v>5373</v>
      </c>
      <c r="BC21" s="13">
        <v>5346</v>
      </c>
      <c r="BD21" s="13">
        <v>5221</v>
      </c>
      <c r="BE21" s="13">
        <v>5242</v>
      </c>
      <c r="BF21" s="13">
        <v>5384</v>
      </c>
      <c r="BG21" s="13">
        <v>5547</v>
      </c>
      <c r="BH21" s="13">
        <v>5522</v>
      </c>
      <c r="BI21" s="13">
        <v>5578</v>
      </c>
      <c r="BJ21" s="13">
        <v>5500</v>
      </c>
      <c r="BK21" s="13">
        <v>5421</v>
      </c>
      <c r="BL21" s="13">
        <v>5322</v>
      </c>
      <c r="BM21" s="4">
        <v>5732</v>
      </c>
      <c r="BN21" s="4">
        <v>5732</v>
      </c>
      <c r="BO21" s="4">
        <v>5709</v>
      </c>
      <c r="BP21" s="4">
        <v>5410</v>
      </c>
    </row>
    <row r="22" spans="1:68" ht="15.9" customHeight="1">
      <c r="A22" s="64" t="s">
        <v>39</v>
      </c>
      <c r="B22" s="6" t="s">
        <v>40</v>
      </c>
      <c r="C22" s="15" t="str">
        <f>_xll.RssMarket("8725","現在値")</f>
        <v/>
      </c>
      <c r="D22" s="16" t="e">
        <f t="shared" si="0"/>
        <v>#VALUE!</v>
      </c>
      <c r="E22" s="13">
        <v>4483</v>
      </c>
      <c r="F22" s="13">
        <v>4574</v>
      </c>
      <c r="G22" s="13">
        <v>4513</v>
      </c>
      <c r="H22" s="13">
        <v>4431</v>
      </c>
      <c r="I22" s="13">
        <v>4428</v>
      </c>
      <c r="J22" s="13">
        <v>4505</v>
      </c>
      <c r="K22" s="13">
        <v>4520</v>
      </c>
      <c r="L22" s="13">
        <v>4552</v>
      </c>
      <c r="M22" s="13">
        <v>4454</v>
      </c>
      <c r="N22" s="13">
        <v>4395</v>
      </c>
      <c r="O22" s="13">
        <v>4281</v>
      </c>
      <c r="P22" s="13">
        <v>4240</v>
      </c>
      <c r="Q22" s="13">
        <v>4260</v>
      </c>
      <c r="R22" s="13">
        <v>4241</v>
      </c>
      <c r="S22" s="13">
        <v>4252</v>
      </c>
      <c r="T22" s="13">
        <v>4450</v>
      </c>
      <c r="U22" s="13">
        <v>4616</v>
      </c>
      <c r="V22" s="13">
        <v>4640</v>
      </c>
      <c r="W22" s="13">
        <v>4551</v>
      </c>
      <c r="X22" s="13">
        <v>4557</v>
      </c>
      <c r="Y22" s="13">
        <v>4616</v>
      </c>
      <c r="Z22" s="13">
        <v>4597</v>
      </c>
      <c r="AA22" s="13">
        <v>4552</v>
      </c>
      <c r="AB22" s="13">
        <v>4597</v>
      </c>
      <c r="AC22" s="13">
        <v>4402</v>
      </c>
      <c r="AD22" s="13">
        <v>4325</v>
      </c>
      <c r="AE22" s="13">
        <v>4247</v>
      </c>
      <c r="AF22" s="13">
        <v>4294</v>
      </c>
      <c r="AG22" s="13">
        <v>4266</v>
      </c>
      <c r="AH22" s="13">
        <v>4298</v>
      </c>
      <c r="AI22" s="13">
        <v>4287</v>
      </c>
      <c r="AJ22" s="13">
        <v>4245</v>
      </c>
      <c r="AK22" s="13">
        <v>4290</v>
      </c>
      <c r="AL22" s="13">
        <v>4216</v>
      </c>
      <c r="AM22" s="13">
        <v>4245</v>
      </c>
      <c r="AN22" s="13">
        <v>4350</v>
      </c>
      <c r="AO22" s="13">
        <v>4420</v>
      </c>
      <c r="AP22" s="13">
        <v>4503</v>
      </c>
      <c r="AQ22" s="13">
        <v>4420</v>
      </c>
      <c r="AR22" s="13">
        <v>4391</v>
      </c>
      <c r="AS22" s="13">
        <v>4399</v>
      </c>
      <c r="AT22" s="13">
        <v>4414</v>
      </c>
      <c r="AU22" s="13">
        <v>4285</v>
      </c>
      <c r="AV22" s="13">
        <v>4024</v>
      </c>
      <c r="AW22" s="13">
        <v>3978</v>
      </c>
      <c r="AX22" s="13">
        <v>4003</v>
      </c>
      <c r="AY22" s="13">
        <v>3996</v>
      </c>
      <c r="AZ22" s="13">
        <v>4034</v>
      </c>
      <c r="BA22" s="13">
        <v>4019</v>
      </c>
      <c r="BB22" s="13">
        <v>3931</v>
      </c>
      <c r="BC22" s="13">
        <v>3946</v>
      </c>
      <c r="BD22" s="13">
        <v>3974</v>
      </c>
      <c r="BE22" s="13">
        <v>3996</v>
      </c>
      <c r="BF22" s="13">
        <v>4014</v>
      </c>
      <c r="BG22" s="13">
        <v>4026</v>
      </c>
      <c r="BH22" s="13">
        <v>4055</v>
      </c>
      <c r="BI22" s="13">
        <v>4121</v>
      </c>
      <c r="BJ22" s="13">
        <v>4046</v>
      </c>
      <c r="BK22" s="13">
        <v>4046</v>
      </c>
      <c r="BL22" s="13">
        <v>4064</v>
      </c>
      <c r="BM22" s="4">
        <v>4077</v>
      </c>
      <c r="BN22" s="4">
        <v>4115</v>
      </c>
      <c r="BO22" s="4">
        <v>4158</v>
      </c>
      <c r="BP22" s="4">
        <v>4089</v>
      </c>
    </row>
    <row r="23" spans="1:68" ht="15.9" customHeight="1">
      <c r="A23" s="64" t="s">
        <v>41</v>
      </c>
      <c r="B23" s="6" t="s">
        <v>42</v>
      </c>
      <c r="C23" s="15" t="str">
        <f>_xll.RssMarket("8795","現在値")</f>
        <v/>
      </c>
      <c r="D23" s="16" t="e">
        <f t="shared" si="0"/>
        <v>#VALUE!</v>
      </c>
      <c r="E23" s="13">
        <v>4793</v>
      </c>
      <c r="F23" s="13">
        <v>5050</v>
      </c>
      <c r="G23" s="13">
        <v>4952</v>
      </c>
      <c r="H23" s="13">
        <v>4928</v>
      </c>
      <c r="I23" s="13">
        <v>4916</v>
      </c>
      <c r="J23" s="13">
        <v>4947</v>
      </c>
      <c r="K23" s="13">
        <v>4934</v>
      </c>
      <c r="L23" s="13">
        <v>5053</v>
      </c>
      <c r="M23" s="13">
        <v>4954</v>
      </c>
      <c r="N23" s="13">
        <v>4904</v>
      </c>
      <c r="O23" s="13">
        <v>4815</v>
      </c>
      <c r="P23" s="13">
        <v>4807</v>
      </c>
      <c r="Q23" s="13">
        <v>4680</v>
      </c>
      <c r="R23" s="13">
        <v>4682</v>
      </c>
      <c r="S23" s="13">
        <v>4690</v>
      </c>
      <c r="T23" s="13">
        <v>4627</v>
      </c>
      <c r="U23" s="13">
        <v>4909</v>
      </c>
      <c r="V23" s="13">
        <v>4984</v>
      </c>
      <c r="W23" s="13">
        <v>4894</v>
      </c>
      <c r="X23" s="13">
        <v>4746</v>
      </c>
      <c r="Y23" s="13">
        <v>4902</v>
      </c>
      <c r="Z23" s="13">
        <v>4712</v>
      </c>
      <c r="AA23" s="13">
        <v>4656</v>
      </c>
      <c r="AB23" s="13">
        <v>4686</v>
      </c>
      <c r="AC23" s="13">
        <v>4395</v>
      </c>
      <c r="AD23" s="13">
        <v>4390</v>
      </c>
      <c r="AE23" s="13">
        <v>4125</v>
      </c>
      <c r="AF23" s="13">
        <v>4231</v>
      </c>
      <c r="AG23" s="13">
        <v>4250</v>
      </c>
      <c r="AH23" s="13">
        <v>4202</v>
      </c>
      <c r="AI23" s="13">
        <v>4194</v>
      </c>
      <c r="AJ23" s="13">
        <v>4095</v>
      </c>
      <c r="AK23" s="13">
        <v>4151</v>
      </c>
      <c r="AL23" s="13">
        <v>4091</v>
      </c>
      <c r="AM23" s="13">
        <v>4118</v>
      </c>
      <c r="AN23" s="13">
        <v>4075</v>
      </c>
      <c r="AO23" s="13">
        <v>4140</v>
      </c>
      <c r="AP23" s="13">
        <v>4151</v>
      </c>
      <c r="AQ23" s="13">
        <v>4001</v>
      </c>
      <c r="AR23" s="13">
        <v>3949</v>
      </c>
      <c r="AS23" s="13">
        <v>4002</v>
      </c>
      <c r="AT23" s="13">
        <v>3987</v>
      </c>
      <c r="AU23" s="13">
        <v>3957</v>
      </c>
      <c r="AV23" s="13">
        <v>3986</v>
      </c>
      <c r="AW23" s="13">
        <v>3878</v>
      </c>
      <c r="AX23" s="13">
        <v>3939</v>
      </c>
      <c r="AY23" s="13">
        <v>3782</v>
      </c>
      <c r="AZ23" s="13">
        <v>3792</v>
      </c>
      <c r="BA23" s="13">
        <v>3773</v>
      </c>
      <c r="BB23" s="13">
        <v>3655</v>
      </c>
      <c r="BC23" s="13">
        <v>3680</v>
      </c>
      <c r="BD23" s="13">
        <v>3704</v>
      </c>
      <c r="BE23" s="13">
        <v>3767</v>
      </c>
      <c r="BF23" s="13">
        <v>3820</v>
      </c>
      <c r="BG23" s="13">
        <v>3921</v>
      </c>
      <c r="BH23" s="13">
        <v>4000</v>
      </c>
      <c r="BI23" s="13">
        <v>4083</v>
      </c>
      <c r="BJ23" s="13">
        <v>4012</v>
      </c>
      <c r="BK23" s="13">
        <v>4068</v>
      </c>
      <c r="BL23" s="13">
        <v>4005</v>
      </c>
      <c r="BM23" s="4">
        <v>4024</v>
      </c>
      <c r="BN23" s="4">
        <v>4053</v>
      </c>
      <c r="BO23" s="4">
        <v>4132</v>
      </c>
      <c r="BP23" s="4">
        <v>3963</v>
      </c>
    </row>
    <row r="24" spans="1:68" ht="15.9" customHeight="1">
      <c r="A24" s="64" t="s">
        <v>43</v>
      </c>
      <c r="B24" s="6" t="s">
        <v>44</v>
      </c>
      <c r="C24" s="15" t="str">
        <f>_xll.RssMarket("5019","現在値")</f>
        <v/>
      </c>
      <c r="D24" s="16" t="e">
        <f t="shared" si="0"/>
        <v>#VALUE!</v>
      </c>
      <c r="E24" s="13">
        <v>1241</v>
      </c>
      <c r="F24" s="13">
        <v>1279.5</v>
      </c>
      <c r="G24" s="13">
        <v>1270.5</v>
      </c>
      <c r="H24" s="13">
        <v>1246.5</v>
      </c>
      <c r="I24" s="13">
        <v>1240</v>
      </c>
      <c r="J24" s="13">
        <v>1243</v>
      </c>
      <c r="K24" s="13">
        <v>1236.5</v>
      </c>
      <c r="L24" s="13">
        <v>1243.5</v>
      </c>
      <c r="M24" s="13">
        <v>1214.5</v>
      </c>
      <c r="N24" s="13">
        <v>1203</v>
      </c>
      <c r="O24" s="13">
        <v>1186.5</v>
      </c>
      <c r="P24" s="13">
        <v>1198</v>
      </c>
      <c r="Q24" s="13">
        <v>1206.5</v>
      </c>
      <c r="R24" s="13">
        <v>1223.5</v>
      </c>
      <c r="S24" s="13">
        <v>1209.5</v>
      </c>
      <c r="T24" s="13">
        <v>1233</v>
      </c>
      <c r="U24" s="13">
        <v>1250</v>
      </c>
      <c r="V24" s="13">
        <v>1254</v>
      </c>
      <c r="W24" s="13">
        <v>1259.5</v>
      </c>
      <c r="X24" s="13">
        <v>1284.5</v>
      </c>
      <c r="Y24" s="13">
        <v>1287.5</v>
      </c>
      <c r="Z24" s="13">
        <v>1314.5</v>
      </c>
      <c r="AA24" s="13">
        <v>1344</v>
      </c>
      <c r="AB24" s="13">
        <v>1332</v>
      </c>
      <c r="AC24" s="13">
        <v>1348.5</v>
      </c>
      <c r="AD24" s="13">
        <v>1381</v>
      </c>
      <c r="AE24" s="13">
        <v>1397</v>
      </c>
      <c r="AF24" s="13">
        <v>1407.5</v>
      </c>
      <c r="AG24" s="13">
        <v>1354.5</v>
      </c>
      <c r="AH24" s="13">
        <v>1357</v>
      </c>
      <c r="AI24" s="13">
        <v>1398.5</v>
      </c>
      <c r="AJ24" s="13">
        <v>1314.5</v>
      </c>
      <c r="AK24" s="13">
        <v>1326.5</v>
      </c>
      <c r="AL24" s="13">
        <v>1313</v>
      </c>
      <c r="AM24" s="13">
        <v>1332</v>
      </c>
      <c r="AN24" s="13">
        <v>1346</v>
      </c>
      <c r="AO24" s="13">
        <v>1374.5</v>
      </c>
      <c r="AP24" s="13">
        <v>1376.5</v>
      </c>
      <c r="AQ24" s="13">
        <v>1365.5</v>
      </c>
      <c r="AR24" s="13">
        <v>1428</v>
      </c>
      <c r="AS24" s="13">
        <v>1417.5</v>
      </c>
      <c r="AT24" s="13">
        <v>1389</v>
      </c>
      <c r="AU24" s="13">
        <v>1394</v>
      </c>
      <c r="AV24" s="13">
        <v>1360</v>
      </c>
      <c r="AW24" s="13">
        <v>1340.5</v>
      </c>
      <c r="AX24" s="13">
        <v>1370</v>
      </c>
      <c r="AY24" s="13">
        <v>1348.5</v>
      </c>
      <c r="AZ24" s="13">
        <v>1348</v>
      </c>
      <c r="BA24" s="13">
        <v>1315</v>
      </c>
      <c r="BB24" s="13">
        <v>1336</v>
      </c>
      <c r="BC24" s="13">
        <v>1345.5</v>
      </c>
      <c r="BD24" s="13">
        <v>1385</v>
      </c>
      <c r="BE24" s="13">
        <v>1411.5</v>
      </c>
      <c r="BF24" s="13">
        <v>1444.5</v>
      </c>
      <c r="BG24" s="13">
        <v>1487.5</v>
      </c>
      <c r="BH24" s="13">
        <v>1505</v>
      </c>
      <c r="BI24" s="13">
        <v>1509</v>
      </c>
      <c r="BJ24" s="13">
        <v>1536</v>
      </c>
      <c r="BK24" s="13">
        <v>1545.5</v>
      </c>
      <c r="BL24" s="13">
        <v>1544</v>
      </c>
      <c r="BM24" s="4">
        <v>1558.5</v>
      </c>
      <c r="BN24" s="4">
        <v>1561.5</v>
      </c>
      <c r="BO24" s="4">
        <v>1659</v>
      </c>
      <c r="BP24" s="4">
        <v>1627</v>
      </c>
    </row>
    <row r="25" spans="1:68" ht="15.9" customHeight="1">
      <c r="A25" s="64" t="s">
        <v>45</v>
      </c>
      <c r="B25" s="6" t="s">
        <v>46</v>
      </c>
      <c r="C25" s="15" t="str">
        <f>_xll.RssMarket("8053","現在値")</f>
        <v/>
      </c>
      <c r="D25" s="16" t="e">
        <f t="shared" si="0"/>
        <v>#VALUE!</v>
      </c>
      <c r="E25" s="13">
        <v>1514</v>
      </c>
      <c r="F25" s="13">
        <v>1590</v>
      </c>
      <c r="G25" s="13">
        <v>1563</v>
      </c>
      <c r="H25" s="13">
        <v>1555.5</v>
      </c>
      <c r="I25" s="13">
        <v>1565.5</v>
      </c>
      <c r="J25" s="13">
        <v>1564.5</v>
      </c>
      <c r="K25" s="13">
        <v>1591</v>
      </c>
      <c r="L25" s="13">
        <v>1575</v>
      </c>
      <c r="M25" s="13">
        <v>1584</v>
      </c>
      <c r="N25" s="13">
        <v>1565.5</v>
      </c>
      <c r="O25" s="13">
        <v>1549</v>
      </c>
      <c r="P25" s="13">
        <v>1532.5</v>
      </c>
      <c r="Q25" s="13">
        <v>6201</v>
      </c>
      <c r="R25" s="13">
        <v>6130</v>
      </c>
      <c r="S25" s="13">
        <v>6270</v>
      </c>
      <c r="T25" s="13">
        <v>6380</v>
      </c>
      <c r="U25" s="13">
        <v>6489</v>
      </c>
      <c r="V25" s="13">
        <v>6435</v>
      </c>
      <c r="W25" s="13">
        <v>6547</v>
      </c>
      <c r="X25" s="13">
        <v>6529</v>
      </c>
      <c r="Y25" s="13">
        <v>6259</v>
      </c>
      <c r="Z25" s="13">
        <v>6186</v>
      </c>
      <c r="AA25" s="13">
        <v>6338</v>
      </c>
      <c r="AB25" s="13">
        <v>6617</v>
      </c>
      <c r="AC25" s="13">
        <v>6842</v>
      </c>
      <c r="AD25" s="13">
        <v>6775</v>
      </c>
      <c r="AE25" s="13">
        <v>6842</v>
      </c>
      <c r="AF25" s="13">
        <v>6820</v>
      </c>
      <c r="AG25" s="13">
        <v>6982</v>
      </c>
      <c r="AH25" s="13">
        <v>7099</v>
      </c>
      <c r="AI25" s="13">
        <v>7105</v>
      </c>
      <c r="AJ25" s="13">
        <v>7190</v>
      </c>
      <c r="AK25" s="13">
        <v>7361</v>
      </c>
      <c r="AL25" s="13">
        <v>7131</v>
      </c>
      <c r="AM25" s="13">
        <v>7120</v>
      </c>
      <c r="AN25" s="13">
        <v>7011</v>
      </c>
      <c r="AO25" s="13">
        <v>7217</v>
      </c>
      <c r="AP25" s="13">
        <v>7257</v>
      </c>
      <c r="AQ25" s="13">
        <v>7510</v>
      </c>
      <c r="AR25" s="13">
        <v>7540</v>
      </c>
      <c r="AS25" s="13">
        <v>7699</v>
      </c>
      <c r="AT25" s="13">
        <v>7428</v>
      </c>
      <c r="AU25" s="13">
        <v>7206</v>
      </c>
      <c r="AV25" s="13">
        <v>7180</v>
      </c>
      <c r="AW25" s="13">
        <v>7400</v>
      </c>
      <c r="AX25" s="13">
        <v>6840</v>
      </c>
      <c r="AY25" s="13">
        <v>5840</v>
      </c>
      <c r="AZ25" s="13">
        <v>5801</v>
      </c>
      <c r="BA25" s="13">
        <v>5693</v>
      </c>
      <c r="BB25" s="13">
        <v>5781</v>
      </c>
      <c r="BC25" s="13">
        <v>5754</v>
      </c>
      <c r="BD25" s="13">
        <v>5821</v>
      </c>
      <c r="BE25" s="13">
        <v>5990</v>
      </c>
      <c r="BF25" s="13">
        <v>6000</v>
      </c>
      <c r="BG25" s="13">
        <v>6015</v>
      </c>
      <c r="BH25" s="13">
        <v>6094</v>
      </c>
      <c r="BI25" s="13">
        <v>6062</v>
      </c>
      <c r="BJ25" s="13">
        <v>6069</v>
      </c>
      <c r="BK25" s="13">
        <v>6035</v>
      </c>
      <c r="BL25" s="13">
        <v>6084</v>
      </c>
      <c r="BM25" s="4">
        <v>6231</v>
      </c>
      <c r="BN25" s="4">
        <v>6253</v>
      </c>
      <c r="BO25" s="4">
        <v>6045</v>
      </c>
    </row>
    <row r="26" spans="1:68" ht="15.9" customHeight="1">
      <c r="A26" s="64" t="s">
        <v>47</v>
      </c>
      <c r="B26" s="6" t="s">
        <v>48</v>
      </c>
      <c r="C26" s="15" t="str">
        <f>_xll.RssMarket("8591","現在値")</f>
        <v/>
      </c>
      <c r="D26" s="16" t="e">
        <f t="shared" si="0"/>
        <v>#VALUE!</v>
      </c>
      <c r="E26" s="13">
        <v>6203</v>
      </c>
      <c r="F26" s="13">
        <v>6593</v>
      </c>
      <c r="G26" s="13">
        <v>6430</v>
      </c>
      <c r="H26" s="13">
        <v>6391</v>
      </c>
      <c r="I26" s="13">
        <v>6469</v>
      </c>
      <c r="J26" s="13">
        <v>6449</v>
      </c>
      <c r="K26" s="13">
        <v>6377</v>
      </c>
      <c r="L26" s="13">
        <v>6388</v>
      </c>
      <c r="M26" s="13">
        <v>6331</v>
      </c>
      <c r="N26" s="13">
        <v>6278</v>
      </c>
      <c r="O26" s="13">
        <v>6199</v>
      </c>
      <c r="P26" s="13">
        <v>6149</v>
      </c>
      <c r="Q26" s="13">
        <v>6138</v>
      </c>
      <c r="R26" s="13">
        <v>6140</v>
      </c>
      <c r="S26" s="13">
        <v>6169</v>
      </c>
      <c r="T26" s="13">
        <v>6207</v>
      </c>
      <c r="U26" s="13">
        <v>6334</v>
      </c>
      <c r="V26" s="13">
        <v>6485</v>
      </c>
      <c r="W26" s="13">
        <v>6325</v>
      </c>
      <c r="X26" s="13">
        <v>6336</v>
      </c>
      <c r="Y26" s="13">
        <v>6305</v>
      </c>
      <c r="Z26" s="13">
        <v>6092</v>
      </c>
      <c r="AA26" s="13">
        <v>6050</v>
      </c>
      <c r="AB26" s="13">
        <v>6167</v>
      </c>
      <c r="AC26" s="13">
        <v>6101</v>
      </c>
      <c r="AD26" s="13">
        <v>6113</v>
      </c>
      <c r="AE26" s="13">
        <v>6250</v>
      </c>
      <c r="AF26" s="13">
        <v>6300</v>
      </c>
      <c r="AG26" s="13">
        <v>6220</v>
      </c>
      <c r="AH26" s="13">
        <v>6205</v>
      </c>
      <c r="AI26" s="13">
        <v>6237</v>
      </c>
      <c r="AJ26" s="13">
        <v>6124</v>
      </c>
      <c r="AK26" s="13">
        <v>6156</v>
      </c>
      <c r="AL26" s="13">
        <v>6286</v>
      </c>
      <c r="AM26" s="13">
        <v>6230</v>
      </c>
      <c r="AN26" s="13">
        <v>6241</v>
      </c>
      <c r="AO26" s="13">
        <v>6052</v>
      </c>
      <c r="AP26" s="13">
        <v>5914</v>
      </c>
      <c r="AQ26" s="13">
        <v>5778</v>
      </c>
      <c r="AR26" s="13">
        <v>5772</v>
      </c>
      <c r="AS26" s="13">
        <v>5787</v>
      </c>
      <c r="AT26" s="13">
        <v>6018</v>
      </c>
      <c r="AU26" s="13">
        <v>5986</v>
      </c>
      <c r="AV26" s="13">
        <v>5514</v>
      </c>
      <c r="AW26" s="13">
        <v>5277</v>
      </c>
      <c r="AX26" s="13">
        <v>5252</v>
      </c>
      <c r="AY26" s="13">
        <v>5209</v>
      </c>
      <c r="AZ26" s="13">
        <v>5275</v>
      </c>
      <c r="BA26" s="13">
        <v>5350</v>
      </c>
      <c r="BB26" s="13">
        <v>4871</v>
      </c>
      <c r="BC26" s="13">
        <v>4846</v>
      </c>
      <c r="BD26" s="13">
        <v>4850</v>
      </c>
      <c r="BE26" s="13">
        <v>4897</v>
      </c>
      <c r="BF26" s="13">
        <v>4947</v>
      </c>
      <c r="BG26" s="13">
        <v>5040</v>
      </c>
      <c r="BH26" s="13">
        <v>5010</v>
      </c>
      <c r="BI26" s="13">
        <v>5069</v>
      </c>
      <c r="BJ26" s="13">
        <v>5033</v>
      </c>
      <c r="BK26" s="13">
        <v>4982</v>
      </c>
      <c r="BL26" s="13">
        <v>4835</v>
      </c>
      <c r="BM26" s="4">
        <v>4879</v>
      </c>
      <c r="BN26" s="4">
        <v>4842</v>
      </c>
      <c r="BO26" s="4">
        <v>4897</v>
      </c>
      <c r="BP26" s="4">
        <v>4731</v>
      </c>
    </row>
    <row r="27" spans="1:68" ht="15.9" customHeight="1">
      <c r="A27" s="64" t="s">
        <v>49</v>
      </c>
      <c r="B27" s="6" t="s">
        <v>50</v>
      </c>
      <c r="C27" s="15" t="str">
        <f>_xll.RssMarket("3401","現在値")</f>
        <v/>
      </c>
      <c r="D27" s="16" t="e">
        <f t="shared" si="0"/>
        <v>#VALUE!</v>
      </c>
      <c r="E27" s="13">
        <v>1688.5</v>
      </c>
      <c r="F27" s="13">
        <v>1722</v>
      </c>
      <c r="G27" s="13">
        <v>1683</v>
      </c>
      <c r="H27" s="13">
        <v>1655</v>
      </c>
      <c r="I27" s="13">
        <v>1662.5</v>
      </c>
      <c r="J27" s="13">
        <v>1681.5</v>
      </c>
      <c r="K27" s="13">
        <v>1718.5</v>
      </c>
      <c r="L27" s="13">
        <v>1742</v>
      </c>
      <c r="M27" s="13">
        <v>1718.5</v>
      </c>
      <c r="N27" s="13">
        <v>1639.5</v>
      </c>
      <c r="O27" s="13">
        <v>1622.5</v>
      </c>
      <c r="P27" s="13">
        <v>1626</v>
      </c>
      <c r="Q27" s="13">
        <v>1627</v>
      </c>
      <c r="R27" s="13">
        <v>1639.5</v>
      </c>
      <c r="S27" s="13">
        <v>1631</v>
      </c>
      <c r="T27" s="13">
        <v>1593.5</v>
      </c>
      <c r="U27" s="13">
        <v>1591</v>
      </c>
      <c r="V27" s="13">
        <v>1610</v>
      </c>
      <c r="W27" s="13">
        <v>1594.5</v>
      </c>
      <c r="X27" s="13">
        <v>1648</v>
      </c>
      <c r="Y27" s="13">
        <v>1641</v>
      </c>
      <c r="Z27" s="13">
        <v>1638.5</v>
      </c>
      <c r="AA27" s="13">
        <v>1607.5</v>
      </c>
      <c r="AB27" s="13">
        <v>1619.5</v>
      </c>
      <c r="AC27" s="13">
        <v>1600.5</v>
      </c>
      <c r="AD27" s="13">
        <v>1623</v>
      </c>
      <c r="AE27" s="13">
        <v>1626</v>
      </c>
      <c r="AF27" s="13">
        <v>1642</v>
      </c>
      <c r="AG27" s="13">
        <v>1612</v>
      </c>
      <c r="AH27" s="13">
        <v>1617</v>
      </c>
      <c r="AI27" s="13">
        <v>1651.5</v>
      </c>
      <c r="AJ27" s="13">
        <v>1607</v>
      </c>
      <c r="AK27" s="13">
        <v>1603.5</v>
      </c>
      <c r="AL27" s="13">
        <v>1630</v>
      </c>
      <c r="AM27" s="13">
        <v>1572.5</v>
      </c>
      <c r="AN27" s="13">
        <v>1606</v>
      </c>
      <c r="AO27" s="13">
        <v>1602.5</v>
      </c>
      <c r="AP27" s="13">
        <v>1644.5</v>
      </c>
      <c r="AQ27" s="13">
        <v>1615.5</v>
      </c>
      <c r="AR27" s="13">
        <v>1681.5</v>
      </c>
      <c r="AS27" s="13">
        <v>1717</v>
      </c>
      <c r="AT27" s="13">
        <v>1737</v>
      </c>
      <c r="AU27" s="13">
        <v>1711.5</v>
      </c>
      <c r="AV27" s="13">
        <v>1569.5</v>
      </c>
      <c r="AW27" s="13">
        <v>1567</v>
      </c>
      <c r="AX27" s="13">
        <v>1596</v>
      </c>
      <c r="AY27" s="13">
        <v>1563</v>
      </c>
      <c r="AZ27" s="13">
        <v>4907</v>
      </c>
      <c r="BA27" s="13">
        <v>1610</v>
      </c>
      <c r="BB27" s="13">
        <v>4804</v>
      </c>
      <c r="BC27" s="13">
        <v>1570.5</v>
      </c>
      <c r="BD27" s="13">
        <v>4757</v>
      </c>
      <c r="BE27" s="13">
        <v>1548</v>
      </c>
      <c r="BF27" s="13">
        <v>4778</v>
      </c>
      <c r="BG27" s="13">
        <v>1560.5</v>
      </c>
      <c r="BH27" s="13">
        <v>4845</v>
      </c>
      <c r="BI27" s="13">
        <v>1575.5</v>
      </c>
      <c r="BJ27" s="13">
        <v>4950</v>
      </c>
      <c r="BK27" s="13">
        <v>1593.5</v>
      </c>
      <c r="BL27" s="13">
        <v>4937</v>
      </c>
      <c r="BM27" s="4">
        <v>1573.5</v>
      </c>
      <c r="BN27" s="4">
        <v>4925</v>
      </c>
      <c r="BO27" s="4">
        <v>1540</v>
      </c>
      <c r="BP27" s="4">
        <v>5062</v>
      </c>
    </row>
    <row r="28" spans="1:68" ht="15.9" customHeight="1">
      <c r="A28" s="64" t="s">
        <v>51</v>
      </c>
      <c r="B28" s="6" t="s">
        <v>52</v>
      </c>
      <c r="C28" s="15" t="str">
        <f>_xll.RssMarket("3436","現在値")</f>
        <v/>
      </c>
      <c r="D28" s="16" t="e">
        <f t="shared" si="0"/>
        <v>#VALUE!</v>
      </c>
      <c r="E28" s="13">
        <v>3914</v>
      </c>
      <c r="F28" s="13">
        <v>5074</v>
      </c>
      <c r="G28" s="13">
        <v>5307</v>
      </c>
      <c r="H28" s="13">
        <v>5133</v>
      </c>
      <c r="I28" s="13">
        <v>5244</v>
      </c>
      <c r="J28" s="13">
        <v>4544</v>
      </c>
      <c r="K28" s="13">
        <v>4507</v>
      </c>
      <c r="L28" s="13">
        <v>5171</v>
      </c>
      <c r="M28" s="13">
        <v>5094</v>
      </c>
      <c r="N28" s="13">
        <v>4577</v>
      </c>
      <c r="O28" s="13">
        <v>4729</v>
      </c>
      <c r="P28" s="13">
        <v>4029</v>
      </c>
      <c r="Q28" s="13">
        <v>3839</v>
      </c>
      <c r="R28" s="13">
        <v>3818</v>
      </c>
      <c r="S28" s="13">
        <v>3794</v>
      </c>
      <c r="T28" s="13">
        <v>3711</v>
      </c>
      <c r="U28" s="13">
        <v>3830</v>
      </c>
      <c r="V28" s="13">
        <v>4221</v>
      </c>
      <c r="W28" s="13">
        <v>4254</v>
      </c>
      <c r="X28" s="13">
        <v>4152</v>
      </c>
      <c r="Y28" s="13">
        <v>4155</v>
      </c>
      <c r="Z28" s="13">
        <v>3653</v>
      </c>
      <c r="AA28" s="13">
        <v>3408</v>
      </c>
      <c r="AB28" s="13">
        <v>3200</v>
      </c>
      <c r="AC28" s="13">
        <v>3522</v>
      </c>
      <c r="AD28" s="13">
        <v>4041</v>
      </c>
      <c r="AE28" s="13">
        <v>4366</v>
      </c>
      <c r="AF28" s="13">
        <v>4459</v>
      </c>
      <c r="AG28" s="13">
        <v>4285</v>
      </c>
      <c r="AH28" s="13">
        <v>4372</v>
      </c>
      <c r="AI28" s="13">
        <v>3994</v>
      </c>
      <c r="AJ28" s="13">
        <v>3348</v>
      </c>
      <c r="AK28" s="13">
        <v>3285</v>
      </c>
      <c r="AL28" s="13">
        <v>3427</v>
      </c>
      <c r="AM28" s="13">
        <v>3177</v>
      </c>
      <c r="AN28" s="13">
        <v>3078</v>
      </c>
      <c r="AO28" s="13">
        <v>3020</v>
      </c>
      <c r="AP28" s="13">
        <v>2960</v>
      </c>
      <c r="AQ28" s="13">
        <v>2992</v>
      </c>
      <c r="AR28" s="13">
        <v>3090</v>
      </c>
      <c r="AS28" s="13">
        <v>3427</v>
      </c>
      <c r="AT28" s="13">
        <v>3505</v>
      </c>
      <c r="AU28" s="13">
        <v>3760</v>
      </c>
      <c r="AV28" s="13">
        <v>3613</v>
      </c>
      <c r="AW28" s="13">
        <v>3578</v>
      </c>
      <c r="AX28" s="13">
        <v>3033</v>
      </c>
      <c r="AY28" s="13">
        <v>2533</v>
      </c>
      <c r="AZ28" s="13">
        <v>2476</v>
      </c>
      <c r="BA28" s="13">
        <v>2347.5</v>
      </c>
      <c r="BB28" s="13">
        <v>2379.5</v>
      </c>
      <c r="BC28" s="13">
        <v>2242</v>
      </c>
      <c r="BD28" s="13">
        <v>2163</v>
      </c>
      <c r="BE28" s="13">
        <v>2241</v>
      </c>
      <c r="BF28" s="13">
        <v>2226</v>
      </c>
      <c r="BG28" s="13">
        <v>2110</v>
      </c>
      <c r="BH28" s="13">
        <v>2095</v>
      </c>
      <c r="BI28" s="13">
        <v>2327.5</v>
      </c>
      <c r="BJ28" s="13">
        <v>2238.5</v>
      </c>
      <c r="BK28" s="13">
        <v>2174</v>
      </c>
      <c r="BL28" s="13">
        <v>2154</v>
      </c>
      <c r="BM28" s="4">
        <v>2033.5</v>
      </c>
      <c r="BN28" s="4">
        <v>1949.5</v>
      </c>
      <c r="BO28" s="4">
        <v>1894.5</v>
      </c>
      <c r="BP28" s="4">
        <v>1763</v>
      </c>
    </row>
    <row r="29" spans="1:68" ht="15.9" customHeight="1">
      <c r="A29" s="64" t="s">
        <v>53</v>
      </c>
      <c r="B29" s="6" t="s">
        <v>54</v>
      </c>
      <c r="C29" s="15" t="str">
        <f>_xll.RssMarket("5020","現在値")</f>
        <v/>
      </c>
      <c r="D29" s="16" t="e">
        <f t="shared" si="0"/>
        <v>#VALUE!</v>
      </c>
      <c r="E29" s="13">
        <v>1243.5</v>
      </c>
      <c r="F29" s="13">
        <v>1283</v>
      </c>
      <c r="G29" s="13">
        <v>1264.5</v>
      </c>
      <c r="H29" s="13">
        <v>1254.5</v>
      </c>
      <c r="I29" s="13">
        <v>1252</v>
      </c>
      <c r="J29" s="13">
        <v>1256</v>
      </c>
      <c r="K29" s="13">
        <v>1243.5</v>
      </c>
      <c r="L29" s="13">
        <v>1260</v>
      </c>
      <c r="M29" s="13">
        <v>1221</v>
      </c>
      <c r="N29" s="13">
        <v>1219.5</v>
      </c>
      <c r="O29" s="13">
        <v>1205.5</v>
      </c>
      <c r="P29" s="13">
        <v>1197</v>
      </c>
      <c r="Q29" s="13">
        <v>1200</v>
      </c>
      <c r="R29" s="13">
        <v>1214.5</v>
      </c>
      <c r="S29" s="13">
        <v>1191</v>
      </c>
      <c r="T29" s="13">
        <v>1207</v>
      </c>
      <c r="U29" s="13">
        <v>1242.5</v>
      </c>
      <c r="V29" s="13">
        <v>1251.5</v>
      </c>
      <c r="W29" s="13">
        <v>1264</v>
      </c>
      <c r="X29" s="13">
        <v>1246.5</v>
      </c>
      <c r="Y29" s="13">
        <v>1241</v>
      </c>
      <c r="Z29" s="13">
        <v>1235.5</v>
      </c>
      <c r="AA29" s="13">
        <v>1222.5</v>
      </c>
      <c r="AB29" s="13">
        <v>1208.5</v>
      </c>
      <c r="AC29" s="13">
        <v>1250</v>
      </c>
      <c r="AD29" s="13">
        <v>1277</v>
      </c>
      <c r="AE29" s="13">
        <v>1287</v>
      </c>
      <c r="AF29" s="13">
        <v>1327.5</v>
      </c>
      <c r="AG29" s="13">
        <v>1286.5</v>
      </c>
      <c r="AH29" s="13">
        <v>1265</v>
      </c>
      <c r="AI29" s="13">
        <v>1305.5</v>
      </c>
      <c r="AJ29" s="13">
        <v>1291.5</v>
      </c>
      <c r="AK29" s="13">
        <v>1296</v>
      </c>
      <c r="AL29" s="13">
        <v>1289.5</v>
      </c>
      <c r="AM29" s="13">
        <v>1300</v>
      </c>
      <c r="AN29" s="13">
        <v>1307.5</v>
      </c>
      <c r="AO29" s="13">
        <v>1313.5</v>
      </c>
      <c r="AP29" s="13">
        <v>1360</v>
      </c>
      <c r="AQ29" s="13">
        <v>1358</v>
      </c>
      <c r="AR29" s="13">
        <v>1386</v>
      </c>
      <c r="AS29" s="13">
        <v>1315.5</v>
      </c>
      <c r="AT29" s="13">
        <v>1351.5</v>
      </c>
      <c r="AU29" s="13">
        <v>1371</v>
      </c>
      <c r="AV29" s="13">
        <v>1305</v>
      </c>
      <c r="AW29" s="13">
        <v>1289.5</v>
      </c>
      <c r="AX29" s="13">
        <v>1311</v>
      </c>
      <c r="AY29" s="13">
        <v>1325.5</v>
      </c>
      <c r="AZ29" s="13">
        <v>1320.5</v>
      </c>
      <c r="BA29" s="13">
        <v>1300.5</v>
      </c>
      <c r="BB29" s="13">
        <v>1284</v>
      </c>
      <c r="BC29" s="13">
        <v>1299.5</v>
      </c>
      <c r="BD29" s="13">
        <v>1298</v>
      </c>
      <c r="BE29" s="13">
        <v>1319</v>
      </c>
      <c r="BF29" s="13">
        <v>1325.5</v>
      </c>
      <c r="BG29" s="13">
        <v>1337.5</v>
      </c>
      <c r="BH29" s="13">
        <v>1375</v>
      </c>
      <c r="BI29" s="13">
        <v>1406.5</v>
      </c>
      <c r="BJ29" s="13">
        <v>1413.5</v>
      </c>
      <c r="BK29" s="13">
        <v>1430</v>
      </c>
      <c r="BL29" s="13">
        <v>1427.5</v>
      </c>
      <c r="BM29" s="4">
        <v>1425.5</v>
      </c>
      <c r="BN29" s="4">
        <v>1443.5</v>
      </c>
      <c r="BO29" s="4">
        <v>1464</v>
      </c>
      <c r="BP29" s="4">
        <v>1471.5</v>
      </c>
    </row>
    <row r="30" spans="1:68" ht="15.9" customHeight="1">
      <c r="A30" s="64" t="s">
        <v>55</v>
      </c>
      <c r="B30" s="6" t="s">
        <v>56</v>
      </c>
      <c r="C30" s="15" t="str">
        <f>_xll.RssMarket("6254","現在値")</f>
        <v/>
      </c>
      <c r="D30" s="16" t="e">
        <f t="shared" si="0"/>
        <v>#VALUE!</v>
      </c>
      <c r="E30" s="13">
        <v>3850</v>
      </c>
      <c r="F30" s="13">
        <v>4385</v>
      </c>
      <c r="G30" s="13">
        <v>4375</v>
      </c>
      <c r="H30" s="13">
        <v>4335</v>
      </c>
      <c r="I30" s="13">
        <v>4625</v>
      </c>
      <c r="J30" s="13">
        <v>4340</v>
      </c>
      <c r="K30" s="13">
        <v>4220</v>
      </c>
      <c r="L30" s="13">
        <v>4700</v>
      </c>
      <c r="M30" s="13">
        <v>4915</v>
      </c>
      <c r="N30" s="13">
        <v>4700</v>
      </c>
      <c r="O30" s="13">
        <v>5190</v>
      </c>
      <c r="P30" s="13">
        <v>4920</v>
      </c>
      <c r="Q30" s="13">
        <v>4980</v>
      </c>
      <c r="R30" s="13">
        <v>4645</v>
      </c>
      <c r="S30" s="13">
        <v>4940</v>
      </c>
      <c r="T30" s="13">
        <v>4740</v>
      </c>
      <c r="U30" s="13">
        <v>5030</v>
      </c>
      <c r="V30" s="13">
        <v>5450</v>
      </c>
      <c r="W30" s="13">
        <v>4805</v>
      </c>
      <c r="X30" s="13">
        <v>4900</v>
      </c>
      <c r="Y30" s="13">
        <v>4600</v>
      </c>
      <c r="Z30" s="13">
        <v>4320</v>
      </c>
      <c r="AA30" s="13">
        <v>3940</v>
      </c>
      <c r="AB30" s="13">
        <v>3965</v>
      </c>
      <c r="AC30" s="13">
        <v>4015</v>
      </c>
      <c r="AD30" s="13">
        <v>4255</v>
      </c>
      <c r="AE30" s="13">
        <v>4455</v>
      </c>
      <c r="AF30" s="13">
        <v>4385</v>
      </c>
      <c r="AG30" s="13">
        <v>4360</v>
      </c>
      <c r="AH30" s="13">
        <v>4615</v>
      </c>
      <c r="AI30" s="13">
        <v>4590</v>
      </c>
      <c r="AJ30" s="13">
        <v>4725</v>
      </c>
      <c r="AK30" s="13">
        <v>4695</v>
      </c>
      <c r="AL30" s="13">
        <v>5130</v>
      </c>
      <c r="AM30" s="13">
        <v>4980</v>
      </c>
      <c r="AN30" s="13">
        <v>4585</v>
      </c>
      <c r="AO30" s="13">
        <v>4415</v>
      </c>
      <c r="AP30" s="13">
        <v>4675</v>
      </c>
      <c r="AQ30" s="13">
        <v>4860</v>
      </c>
      <c r="AR30" s="13">
        <v>4950</v>
      </c>
      <c r="AS30" s="13">
        <v>4355</v>
      </c>
      <c r="AT30" s="13">
        <v>4325</v>
      </c>
      <c r="AU30" s="13">
        <v>4490</v>
      </c>
      <c r="AV30" s="13">
        <v>4630</v>
      </c>
      <c r="AW30" s="13">
        <v>4480</v>
      </c>
      <c r="AX30" s="13">
        <v>4070</v>
      </c>
      <c r="AY30" s="13">
        <v>3675</v>
      </c>
      <c r="AZ30" s="13">
        <v>3655</v>
      </c>
      <c r="BA30" s="13">
        <v>3765</v>
      </c>
      <c r="BB30" s="13">
        <v>3735</v>
      </c>
      <c r="BC30" s="13">
        <v>3660</v>
      </c>
      <c r="BD30" s="13">
        <v>3720</v>
      </c>
      <c r="BE30" s="13">
        <v>3720</v>
      </c>
      <c r="BF30" s="13">
        <v>3850</v>
      </c>
      <c r="BG30" s="13">
        <v>3845</v>
      </c>
      <c r="BH30" s="13">
        <v>3715</v>
      </c>
      <c r="BI30" s="13">
        <v>3770</v>
      </c>
      <c r="BJ30" s="13">
        <v>3650</v>
      </c>
      <c r="BK30" s="13">
        <v>3650</v>
      </c>
      <c r="BL30" s="13">
        <v>3565</v>
      </c>
      <c r="BM30" s="4">
        <v>3565</v>
      </c>
      <c r="BN30" s="4">
        <v>3425</v>
      </c>
      <c r="BO30" s="4">
        <v>3430</v>
      </c>
      <c r="BP30" s="4">
        <v>3150</v>
      </c>
    </row>
    <row r="31" spans="1:68" ht="15.9" customHeight="1">
      <c r="A31" s="64" t="s">
        <v>57</v>
      </c>
      <c r="B31" s="6" t="s">
        <v>58</v>
      </c>
      <c r="C31" s="15" t="str">
        <f>_xll.RssMarket("8309","現在値")</f>
        <v/>
      </c>
      <c r="D31" s="16" t="e">
        <f t="shared" si="0"/>
        <v>#VALUE!</v>
      </c>
      <c r="E31" s="13">
        <v>6450</v>
      </c>
      <c r="F31" s="13">
        <v>6757</v>
      </c>
      <c r="G31" s="13">
        <v>6654</v>
      </c>
      <c r="H31" s="13">
        <v>6632</v>
      </c>
      <c r="I31" s="13">
        <v>6558</v>
      </c>
      <c r="J31" s="13">
        <v>6577</v>
      </c>
      <c r="K31" s="13">
        <v>6579</v>
      </c>
      <c r="L31" s="13">
        <v>6540</v>
      </c>
      <c r="M31" s="13">
        <v>6326</v>
      </c>
      <c r="N31" s="13">
        <v>6260</v>
      </c>
      <c r="O31" s="13">
        <v>6120</v>
      </c>
      <c r="P31" s="13">
        <v>6057</v>
      </c>
      <c r="Q31" s="13">
        <v>6019</v>
      </c>
      <c r="R31" s="13">
        <v>5972</v>
      </c>
      <c r="S31" s="13">
        <v>5979</v>
      </c>
      <c r="T31" s="13">
        <v>5889</v>
      </c>
      <c r="U31" s="13">
        <v>6053</v>
      </c>
      <c r="V31" s="13">
        <v>6213</v>
      </c>
      <c r="W31" s="13">
        <v>6063</v>
      </c>
      <c r="X31" s="13">
        <v>6033</v>
      </c>
      <c r="Y31" s="13">
        <v>5979</v>
      </c>
      <c r="Z31" s="13">
        <v>5961</v>
      </c>
      <c r="AA31" s="13">
        <v>5876</v>
      </c>
      <c r="AB31" s="13">
        <v>5918</v>
      </c>
      <c r="AC31" s="13">
        <v>5786</v>
      </c>
      <c r="AD31" s="13">
        <v>5828</v>
      </c>
      <c r="AE31" s="13">
        <v>5726</v>
      </c>
      <c r="AF31" s="13">
        <v>5719</v>
      </c>
      <c r="AG31" s="13">
        <v>5556</v>
      </c>
      <c r="AH31" s="13">
        <v>5468</v>
      </c>
      <c r="AI31" s="13">
        <v>5474</v>
      </c>
      <c r="AJ31" s="13">
        <v>5554</v>
      </c>
      <c r="AK31" s="13">
        <v>5628</v>
      </c>
      <c r="AL31" s="13">
        <v>5661</v>
      </c>
      <c r="AM31" s="13">
        <v>5614</v>
      </c>
      <c r="AN31" s="13">
        <v>5703</v>
      </c>
      <c r="AO31" s="13">
        <v>5643</v>
      </c>
      <c r="AP31" s="13">
        <v>5715</v>
      </c>
      <c r="AQ31" s="13">
        <v>5464</v>
      </c>
      <c r="AR31" s="13">
        <v>5623</v>
      </c>
      <c r="AS31" s="13">
        <v>5636</v>
      </c>
      <c r="AT31" s="13">
        <v>5660</v>
      </c>
      <c r="AU31" s="13">
        <v>5613</v>
      </c>
      <c r="AV31" s="13">
        <v>5508</v>
      </c>
      <c r="AW31" s="13">
        <v>5406</v>
      </c>
      <c r="AX31" s="13">
        <v>5571</v>
      </c>
      <c r="AY31" s="13">
        <v>5328</v>
      </c>
      <c r="AZ31" s="13">
        <v>5178</v>
      </c>
      <c r="BA31" s="13">
        <v>5316</v>
      </c>
      <c r="BB31" s="13">
        <v>5107</v>
      </c>
      <c r="BC31" s="13">
        <v>5120</v>
      </c>
      <c r="BD31" s="13">
        <v>5134</v>
      </c>
      <c r="BE31" s="13">
        <v>5157</v>
      </c>
      <c r="BF31" s="13">
        <v>5195</v>
      </c>
      <c r="BG31" s="13">
        <v>5307</v>
      </c>
      <c r="BH31" s="13">
        <v>5376</v>
      </c>
      <c r="BI31" s="13">
        <v>5466</v>
      </c>
      <c r="BJ31" s="13">
        <v>5438</v>
      </c>
      <c r="BK31" s="13">
        <v>5388</v>
      </c>
      <c r="BL31" s="13">
        <v>5345</v>
      </c>
      <c r="BM31" s="4">
        <v>5336</v>
      </c>
      <c r="BN31" s="4">
        <v>5300</v>
      </c>
      <c r="BO31" s="4">
        <v>5360</v>
      </c>
      <c r="BP31" s="4">
        <v>5162</v>
      </c>
    </row>
    <row r="32" spans="1:68" ht="15.9" customHeight="1">
      <c r="A32" s="64" t="s">
        <v>59</v>
      </c>
      <c r="B32" s="6" t="s">
        <v>60</v>
      </c>
      <c r="C32" s="15" t="str">
        <f>_xll.RssMarket("3863","現在値")</f>
        <v/>
      </c>
      <c r="D32" s="16" t="e">
        <f t="shared" si="0"/>
        <v>#VALUE!</v>
      </c>
      <c r="E32" s="13">
        <v>1460</v>
      </c>
      <c r="F32" s="13">
        <v>1403</v>
      </c>
      <c r="G32" s="13">
        <v>1360</v>
      </c>
      <c r="H32" s="13">
        <v>1342</v>
      </c>
      <c r="I32" s="13">
        <v>1327</v>
      </c>
      <c r="J32" s="13">
        <v>1319</v>
      </c>
      <c r="K32" s="13">
        <v>1344</v>
      </c>
      <c r="L32" s="13">
        <v>1337</v>
      </c>
      <c r="M32" s="13">
        <v>1309</v>
      </c>
      <c r="N32" s="13">
        <v>1323</v>
      </c>
      <c r="O32" s="13">
        <v>1297</v>
      </c>
      <c r="P32" s="13">
        <v>1276</v>
      </c>
      <c r="Q32" s="13">
        <v>1270</v>
      </c>
      <c r="R32" s="13">
        <v>1249</v>
      </c>
      <c r="S32" s="13">
        <v>1246</v>
      </c>
      <c r="T32" s="13">
        <v>1203</v>
      </c>
      <c r="U32" s="13">
        <v>1192</v>
      </c>
      <c r="V32" s="13">
        <v>1199</v>
      </c>
      <c r="W32" s="13">
        <v>1198</v>
      </c>
      <c r="X32" s="13">
        <v>1242</v>
      </c>
      <c r="Y32" s="13">
        <v>1231</v>
      </c>
      <c r="Z32" s="13">
        <v>1218</v>
      </c>
      <c r="AA32" s="13">
        <v>1210</v>
      </c>
      <c r="AB32" s="13">
        <v>1214</v>
      </c>
      <c r="AC32" s="13">
        <v>1253</v>
      </c>
      <c r="AD32" s="13">
        <v>1220</v>
      </c>
      <c r="AE32" s="13">
        <v>1188</v>
      </c>
      <c r="AF32" s="13">
        <v>1198</v>
      </c>
      <c r="AG32" s="13">
        <v>1222</v>
      </c>
      <c r="AH32" s="13">
        <v>1224</v>
      </c>
      <c r="AI32" s="13">
        <v>1259</v>
      </c>
      <c r="AJ32" s="13">
        <v>1367</v>
      </c>
      <c r="AK32" s="13">
        <v>1351</v>
      </c>
      <c r="AL32" s="13">
        <v>1360</v>
      </c>
      <c r="AM32" s="13">
        <v>1364</v>
      </c>
      <c r="AN32" s="13">
        <v>1371</v>
      </c>
      <c r="AO32" s="13">
        <v>1397</v>
      </c>
      <c r="AP32" s="13">
        <v>1437</v>
      </c>
      <c r="AQ32" s="13">
        <v>1474</v>
      </c>
      <c r="AR32" s="13">
        <v>1450</v>
      </c>
      <c r="AS32" s="13">
        <v>1476</v>
      </c>
      <c r="AT32" s="13">
        <v>1474</v>
      </c>
      <c r="AU32" s="13">
        <v>1510</v>
      </c>
      <c r="AV32" s="13">
        <v>1443</v>
      </c>
      <c r="AW32" s="13">
        <v>1451</v>
      </c>
      <c r="AX32" s="13">
        <v>1412</v>
      </c>
      <c r="AY32" s="13">
        <v>1371</v>
      </c>
      <c r="AZ32" s="13">
        <v>1312</v>
      </c>
      <c r="BA32" s="13">
        <v>1266</v>
      </c>
      <c r="BB32" s="13">
        <v>1302</v>
      </c>
      <c r="BC32" s="13">
        <v>1432</v>
      </c>
      <c r="BD32" s="13">
        <v>1418</v>
      </c>
      <c r="BE32" s="13">
        <v>1481</v>
      </c>
      <c r="BF32" s="13">
        <v>1484</v>
      </c>
      <c r="BG32" s="13">
        <v>1451</v>
      </c>
      <c r="BH32" s="13">
        <v>1431</v>
      </c>
      <c r="BI32" s="13">
        <v>1404</v>
      </c>
      <c r="BJ32" s="13">
        <v>1361</v>
      </c>
      <c r="BK32" s="13">
        <v>1335</v>
      </c>
      <c r="BL32" s="13">
        <v>1318</v>
      </c>
      <c r="BM32" s="4">
        <v>1322</v>
      </c>
      <c r="BN32" s="4">
        <v>1299</v>
      </c>
      <c r="BO32" s="4">
        <v>1314</v>
      </c>
      <c r="BP32" s="4">
        <v>1292</v>
      </c>
    </row>
    <row r="33" spans="1:68" ht="15.9" customHeight="1">
      <c r="A33" s="64" t="s">
        <v>61</v>
      </c>
      <c r="B33" s="6" t="s">
        <v>62</v>
      </c>
      <c r="C33" s="15" t="str">
        <f>_xll.RssMarket("8601","現在値")</f>
        <v/>
      </c>
      <c r="D33" s="16" t="e">
        <f t="shared" si="0"/>
        <v>#VALUE!</v>
      </c>
      <c r="E33" s="13">
        <v>1779.5</v>
      </c>
      <c r="F33" s="13">
        <v>1879</v>
      </c>
      <c r="G33" s="13">
        <v>1802</v>
      </c>
      <c r="H33" s="13">
        <v>1777</v>
      </c>
      <c r="I33" s="13">
        <v>1768.5</v>
      </c>
      <c r="J33" s="13">
        <v>1739.5</v>
      </c>
      <c r="K33" s="13">
        <v>1777.5</v>
      </c>
      <c r="L33" s="13">
        <v>1713.5</v>
      </c>
      <c r="M33" s="13">
        <v>1684</v>
      </c>
      <c r="N33" s="13">
        <v>1647</v>
      </c>
      <c r="O33" s="13">
        <v>1631.5</v>
      </c>
      <c r="P33" s="13">
        <v>1595.5</v>
      </c>
      <c r="Q33" s="13">
        <v>1588.5</v>
      </c>
      <c r="R33" s="13">
        <v>1596.5</v>
      </c>
      <c r="S33" s="13">
        <v>1589.5</v>
      </c>
      <c r="T33" s="13">
        <v>1581</v>
      </c>
      <c r="U33" s="13">
        <v>1594.5</v>
      </c>
      <c r="V33" s="13">
        <v>1626</v>
      </c>
      <c r="W33" s="13">
        <v>1606</v>
      </c>
      <c r="X33" s="13">
        <v>1607.5</v>
      </c>
      <c r="Y33" s="13">
        <v>1602.5</v>
      </c>
      <c r="Z33" s="13">
        <v>1569.5</v>
      </c>
      <c r="AA33" s="13">
        <v>1538</v>
      </c>
      <c r="AB33" s="13">
        <v>1563</v>
      </c>
      <c r="AC33" s="13">
        <v>1535.5</v>
      </c>
      <c r="AD33" s="13">
        <v>1561</v>
      </c>
      <c r="AE33" s="13">
        <v>1532.5</v>
      </c>
      <c r="AF33" s="13">
        <v>1499</v>
      </c>
      <c r="AG33" s="13">
        <v>1494.5</v>
      </c>
      <c r="AH33" s="13">
        <v>1500.5</v>
      </c>
      <c r="AI33" s="13">
        <v>1472</v>
      </c>
      <c r="AJ33" s="13">
        <v>1466</v>
      </c>
      <c r="AK33" s="13">
        <v>1495</v>
      </c>
      <c r="AL33" s="13">
        <v>1490</v>
      </c>
      <c r="AM33" s="13">
        <v>1509</v>
      </c>
      <c r="AN33" s="13">
        <v>1472.5</v>
      </c>
      <c r="AO33" s="13">
        <v>1491.5</v>
      </c>
      <c r="AP33" s="13">
        <v>1467</v>
      </c>
      <c r="AQ33" s="13">
        <v>1482.5</v>
      </c>
      <c r="AR33" s="13">
        <v>1478</v>
      </c>
      <c r="AS33" s="13">
        <v>1495</v>
      </c>
      <c r="AT33" s="13">
        <v>1468.5</v>
      </c>
      <c r="AU33" s="13">
        <v>1464</v>
      </c>
      <c r="AV33" s="13">
        <v>1445</v>
      </c>
      <c r="AW33" s="13">
        <v>1518.5</v>
      </c>
      <c r="AX33" s="13">
        <v>1453</v>
      </c>
      <c r="AY33" s="13">
        <v>1467.5</v>
      </c>
      <c r="AZ33" s="13">
        <v>1466.5</v>
      </c>
      <c r="BA33" s="13">
        <v>1516.5</v>
      </c>
      <c r="BB33" s="13">
        <v>1505</v>
      </c>
      <c r="BC33" s="13">
        <v>1496</v>
      </c>
      <c r="BD33" s="13">
        <v>1505.5</v>
      </c>
      <c r="BE33" s="13">
        <v>1523</v>
      </c>
      <c r="BF33" s="13">
        <v>1523.5</v>
      </c>
      <c r="BG33" s="13">
        <v>1531</v>
      </c>
      <c r="BH33" s="13">
        <v>1559</v>
      </c>
      <c r="BI33" s="13">
        <v>1571.5</v>
      </c>
      <c r="BJ33" s="13">
        <v>1547.5</v>
      </c>
      <c r="BK33" s="13">
        <v>1532</v>
      </c>
      <c r="BL33" s="13">
        <v>1545.5</v>
      </c>
      <c r="BM33" s="4">
        <v>1541</v>
      </c>
      <c r="BN33" s="4">
        <v>1563.5</v>
      </c>
      <c r="BO33" s="4">
        <v>1504.5</v>
      </c>
      <c r="BP33" s="4">
        <v>1510.5</v>
      </c>
    </row>
    <row r="34" spans="1:68" ht="15.9" customHeight="1">
      <c r="A34" s="64" t="s">
        <v>63</v>
      </c>
      <c r="B34" s="6" t="s">
        <v>64</v>
      </c>
      <c r="C34" s="15" t="str">
        <f>_xll.RssMarket("5233","現在値")</f>
        <v/>
      </c>
      <c r="D34" s="16" t="e">
        <f t="shared" si="0"/>
        <v>#VALUE!</v>
      </c>
      <c r="E34" s="13">
        <v>3921</v>
      </c>
      <c r="F34" s="13">
        <v>3984</v>
      </c>
      <c r="G34" s="13">
        <v>3965</v>
      </c>
      <c r="H34" s="13">
        <v>3869</v>
      </c>
      <c r="I34" s="13">
        <v>3904</v>
      </c>
      <c r="J34" s="13">
        <v>3940</v>
      </c>
      <c r="K34" s="13">
        <v>4000</v>
      </c>
      <c r="L34" s="13">
        <v>4174</v>
      </c>
      <c r="M34" s="13">
        <v>4088</v>
      </c>
      <c r="N34" s="13">
        <v>3937</v>
      </c>
      <c r="O34" s="13">
        <v>3891</v>
      </c>
      <c r="P34" s="13">
        <v>3971</v>
      </c>
      <c r="Q34" s="13">
        <v>4052</v>
      </c>
      <c r="R34" s="13">
        <v>4087</v>
      </c>
      <c r="S34" s="13">
        <v>4092</v>
      </c>
      <c r="T34" s="13">
        <v>4081</v>
      </c>
      <c r="U34" s="13">
        <v>4133</v>
      </c>
      <c r="V34" s="13">
        <v>4206</v>
      </c>
      <c r="W34" s="13">
        <v>4280</v>
      </c>
      <c r="X34" s="13">
        <v>4425</v>
      </c>
      <c r="Y34" s="13">
        <v>4370</v>
      </c>
      <c r="Z34" s="13">
        <v>4201</v>
      </c>
      <c r="AA34" s="13">
        <v>4075</v>
      </c>
      <c r="AB34" s="13">
        <v>4130</v>
      </c>
      <c r="AC34" s="13">
        <v>4265</v>
      </c>
      <c r="AD34" s="13">
        <v>4348</v>
      </c>
      <c r="AE34" s="13">
        <v>4425</v>
      </c>
      <c r="AF34" s="13">
        <v>4460</v>
      </c>
      <c r="AG34" s="13">
        <v>4359</v>
      </c>
      <c r="AH34" s="13">
        <v>4458</v>
      </c>
      <c r="AI34" s="13">
        <v>4530</v>
      </c>
      <c r="AJ34" s="13">
        <v>4289</v>
      </c>
      <c r="AK34" s="13">
        <v>4225</v>
      </c>
      <c r="AL34" s="13">
        <v>4140</v>
      </c>
      <c r="AM34" s="13">
        <v>4137</v>
      </c>
      <c r="AN34" s="13">
        <v>4078</v>
      </c>
      <c r="AO34" s="13">
        <v>3970</v>
      </c>
      <c r="AP34" s="13">
        <v>3915</v>
      </c>
      <c r="AQ34" s="13">
        <v>3818</v>
      </c>
      <c r="AR34" s="13">
        <v>3967</v>
      </c>
      <c r="AS34" s="13">
        <v>4059</v>
      </c>
      <c r="AT34" s="13">
        <v>4213</v>
      </c>
      <c r="AU34" s="13">
        <v>3781</v>
      </c>
      <c r="AV34" s="13">
        <v>3634</v>
      </c>
      <c r="AW34" s="13">
        <v>3618</v>
      </c>
      <c r="AX34" s="13">
        <v>3690</v>
      </c>
      <c r="AY34" s="13">
        <v>3577</v>
      </c>
      <c r="AZ34" s="13">
        <v>3568</v>
      </c>
      <c r="BA34" s="13">
        <v>3639</v>
      </c>
      <c r="BB34" s="13">
        <v>3622</v>
      </c>
      <c r="BC34" s="13">
        <v>3558</v>
      </c>
      <c r="BD34" s="13">
        <v>3537</v>
      </c>
      <c r="BE34" s="13">
        <v>3615</v>
      </c>
      <c r="BF34" s="13">
        <v>3657</v>
      </c>
      <c r="BG34" s="13">
        <v>3681</v>
      </c>
      <c r="BH34" s="13">
        <v>3669</v>
      </c>
      <c r="BI34" s="13">
        <v>3714</v>
      </c>
      <c r="BJ34" s="13">
        <v>3668</v>
      </c>
      <c r="BK34" s="13">
        <v>3704</v>
      </c>
      <c r="BL34" s="13">
        <v>3691</v>
      </c>
      <c r="BM34" s="4">
        <v>3701</v>
      </c>
      <c r="BN34" s="4">
        <v>3689</v>
      </c>
      <c r="BO34" s="4">
        <v>3758</v>
      </c>
      <c r="BP34" s="4">
        <v>3554</v>
      </c>
    </row>
    <row r="35" spans="1:68" ht="15.9" customHeight="1">
      <c r="A35" s="64" t="s">
        <v>65</v>
      </c>
      <c r="B35" s="6" t="s">
        <v>66</v>
      </c>
      <c r="C35" s="15" t="str">
        <f>_xll.RssMarket("8308","現在値")</f>
        <v/>
      </c>
      <c r="D35" s="16" t="e">
        <f t="shared" si="0"/>
        <v>#VALUE!</v>
      </c>
      <c r="E35" s="13">
        <v>2224.5</v>
      </c>
      <c r="F35" s="13">
        <v>2379.5</v>
      </c>
      <c r="G35" s="13">
        <v>2370</v>
      </c>
      <c r="H35" s="13">
        <v>2362.5</v>
      </c>
      <c r="I35" s="13">
        <v>2335.5</v>
      </c>
      <c r="J35" s="13">
        <v>2364.5</v>
      </c>
      <c r="K35" s="13">
        <v>2358</v>
      </c>
      <c r="L35" s="13">
        <v>2283</v>
      </c>
      <c r="M35" s="13">
        <v>2245.5</v>
      </c>
      <c r="N35" s="13">
        <v>2197</v>
      </c>
      <c r="O35" s="13">
        <v>2114.5</v>
      </c>
      <c r="P35" s="13">
        <v>2106</v>
      </c>
      <c r="Q35" s="13">
        <v>2104.5</v>
      </c>
      <c r="R35" s="13">
        <v>2102</v>
      </c>
      <c r="S35" s="13">
        <v>2107</v>
      </c>
      <c r="T35" s="13">
        <v>2121</v>
      </c>
      <c r="U35" s="13">
        <v>2162</v>
      </c>
      <c r="V35" s="13">
        <v>2230</v>
      </c>
      <c r="W35" s="13">
        <v>2196</v>
      </c>
      <c r="X35" s="13">
        <v>2161.5</v>
      </c>
      <c r="Y35" s="13">
        <v>2144.5</v>
      </c>
      <c r="Z35" s="13">
        <v>2147</v>
      </c>
      <c r="AA35" s="13">
        <v>2116</v>
      </c>
      <c r="AB35" s="13">
        <v>2139</v>
      </c>
      <c r="AC35" s="13">
        <v>2085.5</v>
      </c>
      <c r="AD35" s="13">
        <v>2118</v>
      </c>
      <c r="AE35" s="13">
        <v>2097</v>
      </c>
      <c r="AF35" s="13">
        <v>2052.5</v>
      </c>
      <c r="AG35" s="13">
        <v>2023</v>
      </c>
      <c r="AH35" s="13">
        <v>2014.5</v>
      </c>
      <c r="AI35" s="13">
        <v>2039.5</v>
      </c>
      <c r="AJ35" s="13">
        <v>2036</v>
      </c>
      <c r="AK35" s="13">
        <v>2045.5</v>
      </c>
      <c r="AL35" s="13">
        <v>2124</v>
      </c>
      <c r="AM35" s="13">
        <v>2139.5</v>
      </c>
      <c r="AN35" s="13">
        <v>2120</v>
      </c>
      <c r="AO35" s="13">
        <v>2028.5</v>
      </c>
      <c r="AP35" s="13">
        <v>2078</v>
      </c>
      <c r="AQ35" s="13">
        <v>2020</v>
      </c>
      <c r="AR35" s="13">
        <v>2042</v>
      </c>
      <c r="AS35" s="13">
        <v>2047</v>
      </c>
      <c r="AT35" s="13">
        <v>2061.5</v>
      </c>
      <c r="AU35" s="13">
        <v>2054</v>
      </c>
      <c r="AV35" s="13">
        <v>1998</v>
      </c>
      <c r="AW35" s="13">
        <v>1940</v>
      </c>
      <c r="AX35" s="13">
        <v>2010</v>
      </c>
      <c r="AY35" s="13">
        <v>1927</v>
      </c>
      <c r="AZ35" s="13">
        <v>1938.5</v>
      </c>
      <c r="BA35" s="13">
        <v>2006</v>
      </c>
      <c r="BB35" s="13">
        <v>1838</v>
      </c>
      <c r="BC35" s="13">
        <v>1820.5</v>
      </c>
      <c r="BD35" s="13">
        <v>1810</v>
      </c>
      <c r="BE35" s="13">
        <v>1855.5</v>
      </c>
      <c r="BF35" s="13">
        <v>1913.5</v>
      </c>
      <c r="BG35" s="13">
        <v>1953.5</v>
      </c>
      <c r="BH35" s="13">
        <v>1966</v>
      </c>
      <c r="BI35" s="13">
        <v>1914</v>
      </c>
      <c r="BJ35" s="13">
        <v>1930.5</v>
      </c>
      <c r="BK35" s="13">
        <v>1866</v>
      </c>
      <c r="BL35" s="13">
        <v>1881.5</v>
      </c>
      <c r="BM35" s="4">
        <v>1888.5</v>
      </c>
      <c r="BN35" s="4">
        <v>1890</v>
      </c>
      <c r="BO35" s="4">
        <v>1922.5</v>
      </c>
      <c r="BP35" s="4">
        <v>1864</v>
      </c>
    </row>
    <row r="36" spans="1:68" ht="15.9" customHeight="1">
      <c r="A36" s="64" t="s">
        <v>67</v>
      </c>
      <c r="B36" s="6" t="s">
        <v>68</v>
      </c>
      <c r="C36" s="15" t="str">
        <f>_xll.RssMarket("5938","現在値")</f>
        <v/>
      </c>
      <c r="D36" s="16" t="e">
        <f t="shared" si="0"/>
        <v>#VALUE!</v>
      </c>
      <c r="E36" s="13">
        <v>1874.5</v>
      </c>
      <c r="F36" s="13">
        <v>1889</v>
      </c>
      <c r="G36" s="13">
        <v>1875.5</v>
      </c>
      <c r="H36" s="13">
        <v>1838.5</v>
      </c>
      <c r="I36" s="13">
        <v>1867</v>
      </c>
      <c r="J36" s="13">
        <v>1893.5</v>
      </c>
      <c r="K36" s="13">
        <v>1880</v>
      </c>
      <c r="L36" s="13">
        <v>1865.5</v>
      </c>
      <c r="M36" s="13">
        <v>1832</v>
      </c>
      <c r="N36" s="13">
        <v>1791.5</v>
      </c>
      <c r="O36" s="13">
        <v>1804</v>
      </c>
      <c r="P36" s="13">
        <v>1797.5</v>
      </c>
      <c r="Q36" s="13">
        <v>1771</v>
      </c>
      <c r="R36" s="13">
        <v>1757.5</v>
      </c>
      <c r="S36" s="13">
        <v>1701.5</v>
      </c>
      <c r="T36" s="13">
        <v>1706.5</v>
      </c>
      <c r="U36" s="13">
        <v>1741.5</v>
      </c>
      <c r="V36" s="13">
        <v>1732.5</v>
      </c>
      <c r="W36" s="13">
        <v>1721.5</v>
      </c>
      <c r="X36" s="13">
        <v>1736</v>
      </c>
      <c r="Y36" s="13">
        <v>1721</v>
      </c>
      <c r="Z36" s="13">
        <v>1728</v>
      </c>
      <c r="AA36" s="13">
        <v>1739</v>
      </c>
      <c r="AB36" s="13">
        <v>1723</v>
      </c>
      <c r="AC36" s="13">
        <v>1710</v>
      </c>
      <c r="AD36" s="13">
        <v>1700</v>
      </c>
      <c r="AE36" s="13">
        <v>1706.5</v>
      </c>
      <c r="AF36" s="13">
        <v>1674</v>
      </c>
      <c r="AG36" s="13">
        <v>1686.5</v>
      </c>
      <c r="AH36" s="13">
        <v>1694.5</v>
      </c>
      <c r="AI36" s="13">
        <v>1681.5</v>
      </c>
      <c r="AJ36" s="13">
        <v>1658</v>
      </c>
      <c r="AK36" s="13">
        <v>1645</v>
      </c>
      <c r="AL36" s="13">
        <v>1639</v>
      </c>
      <c r="AM36" s="13">
        <v>1622</v>
      </c>
      <c r="AN36" s="13">
        <v>1657</v>
      </c>
      <c r="AO36" s="13">
        <v>1634</v>
      </c>
      <c r="AP36" s="13">
        <v>1672.5</v>
      </c>
      <c r="AQ36" s="13">
        <v>1665.5</v>
      </c>
      <c r="AR36" s="13">
        <v>1674</v>
      </c>
      <c r="AS36" s="13">
        <v>1678.5</v>
      </c>
      <c r="AT36" s="13">
        <v>1670</v>
      </c>
      <c r="AU36" s="13">
        <v>1701.5</v>
      </c>
      <c r="AV36" s="13">
        <v>1679.5</v>
      </c>
      <c r="AW36" s="13">
        <v>1662</v>
      </c>
      <c r="AX36" s="13">
        <v>1619</v>
      </c>
      <c r="AY36" s="13">
        <v>1628</v>
      </c>
      <c r="AZ36" s="13">
        <v>1603.5</v>
      </c>
      <c r="BA36" s="13">
        <v>1611</v>
      </c>
      <c r="BB36" s="13">
        <v>1612</v>
      </c>
      <c r="BC36" s="13">
        <v>1617</v>
      </c>
      <c r="BD36" s="13">
        <v>1638</v>
      </c>
      <c r="BE36" s="13">
        <v>1643.5</v>
      </c>
      <c r="BF36" s="13">
        <v>1615.5</v>
      </c>
      <c r="BG36" s="13">
        <v>1625</v>
      </c>
      <c r="BH36" s="13">
        <v>1615.5</v>
      </c>
      <c r="BI36" s="13">
        <v>1608</v>
      </c>
      <c r="BJ36" s="13">
        <v>1606.5</v>
      </c>
      <c r="BK36" s="13">
        <v>1668</v>
      </c>
      <c r="BL36" s="13">
        <v>1663.5</v>
      </c>
      <c r="BM36" s="4">
        <v>1676.5</v>
      </c>
      <c r="BN36" s="4">
        <v>1639.5</v>
      </c>
      <c r="BO36" s="4">
        <v>1635</v>
      </c>
    </row>
    <row r="37" spans="1:68" ht="15.9" customHeight="1">
      <c r="A37" s="64" t="s">
        <v>69</v>
      </c>
      <c r="B37" s="6" t="s">
        <v>70</v>
      </c>
      <c r="C37" s="15" t="str">
        <f>_xll.RssMarket("8570","現在値")</f>
        <v/>
      </c>
      <c r="D37" s="16" t="e">
        <f t="shared" si="0"/>
        <v>#VALUE!</v>
      </c>
      <c r="E37" s="13">
        <v>1527</v>
      </c>
      <c r="F37" s="13">
        <v>1542.5</v>
      </c>
      <c r="G37" s="13">
        <v>1554.5</v>
      </c>
      <c r="H37" s="13">
        <v>1544.5</v>
      </c>
      <c r="I37" s="13">
        <v>1518</v>
      </c>
      <c r="J37" s="13">
        <v>1532.5</v>
      </c>
      <c r="K37" s="13">
        <v>1533.5</v>
      </c>
      <c r="L37" s="13">
        <v>1521.5</v>
      </c>
      <c r="M37" s="13">
        <v>1507</v>
      </c>
      <c r="N37" s="13">
        <v>1481.5</v>
      </c>
      <c r="O37" s="13">
        <v>1470.5</v>
      </c>
      <c r="P37" s="13">
        <v>1466</v>
      </c>
      <c r="Q37" s="13">
        <v>1469.5</v>
      </c>
      <c r="R37" s="13">
        <v>1465</v>
      </c>
      <c r="S37" s="13">
        <v>1465.5</v>
      </c>
      <c r="T37" s="13">
        <v>1445</v>
      </c>
      <c r="U37" s="13">
        <v>1443</v>
      </c>
      <c r="V37" s="13">
        <v>1463.5</v>
      </c>
      <c r="W37" s="13">
        <v>1476.5</v>
      </c>
      <c r="X37" s="13">
        <v>1491.5</v>
      </c>
      <c r="Y37" s="13">
        <v>1499.5</v>
      </c>
      <c r="Z37" s="13">
        <v>1509.5</v>
      </c>
      <c r="AA37" s="13">
        <v>1506</v>
      </c>
      <c r="AB37" s="13">
        <v>1458.5</v>
      </c>
      <c r="AC37" s="13">
        <v>1461.5</v>
      </c>
      <c r="AD37" s="13">
        <v>1434</v>
      </c>
      <c r="AE37" s="13">
        <v>1459</v>
      </c>
      <c r="AF37" s="13">
        <v>1460</v>
      </c>
      <c r="AG37" s="13">
        <v>1450.5</v>
      </c>
      <c r="AH37" s="13">
        <v>1510</v>
      </c>
      <c r="AI37" s="13">
        <v>1518</v>
      </c>
      <c r="AJ37" s="13">
        <v>1540.5</v>
      </c>
      <c r="AK37" s="13">
        <v>1550.5</v>
      </c>
      <c r="AL37" s="13">
        <v>1560</v>
      </c>
      <c r="AM37" s="13">
        <v>1592.5</v>
      </c>
      <c r="AN37" s="13">
        <v>1572.5</v>
      </c>
      <c r="AO37" s="13">
        <v>1584</v>
      </c>
      <c r="AP37" s="13">
        <v>1583.5</v>
      </c>
      <c r="AQ37" s="13">
        <v>1560</v>
      </c>
      <c r="AR37" s="13">
        <v>1551</v>
      </c>
      <c r="AS37" s="13">
        <v>1532.5</v>
      </c>
      <c r="AT37" s="13">
        <v>1504.5</v>
      </c>
      <c r="AU37" s="13">
        <v>1551.5</v>
      </c>
      <c r="AV37" s="13">
        <v>1560</v>
      </c>
      <c r="AW37" s="13">
        <v>1558.5</v>
      </c>
      <c r="AX37" s="13">
        <v>1557.5</v>
      </c>
      <c r="AY37" s="13">
        <v>1529.5</v>
      </c>
      <c r="AZ37" s="13">
        <v>1549.5</v>
      </c>
      <c r="BA37" s="13">
        <v>1555.5</v>
      </c>
      <c r="BB37" s="13">
        <v>1537</v>
      </c>
      <c r="BC37" s="13">
        <v>1548.5</v>
      </c>
      <c r="BD37" s="13">
        <v>1560</v>
      </c>
      <c r="BE37" s="13">
        <v>1564.5</v>
      </c>
      <c r="BF37" s="13">
        <v>1610</v>
      </c>
      <c r="BG37" s="13">
        <v>1606</v>
      </c>
      <c r="BH37" s="13">
        <v>1597</v>
      </c>
      <c r="BI37" s="13">
        <v>1588</v>
      </c>
      <c r="BJ37" s="13">
        <v>1523.5</v>
      </c>
      <c r="BK37" s="13">
        <v>1533.5</v>
      </c>
      <c r="BL37" s="13">
        <v>1668</v>
      </c>
      <c r="BM37" s="4">
        <v>1613.5</v>
      </c>
      <c r="BN37" s="4">
        <v>1610</v>
      </c>
      <c r="BO37" s="4">
        <v>1610</v>
      </c>
      <c r="BP37" s="4">
        <v>1599.5</v>
      </c>
    </row>
    <row r="38" spans="1:68" ht="15.9" customHeight="1">
      <c r="A38" s="64" t="s">
        <v>71</v>
      </c>
      <c r="B38" s="6" t="s">
        <v>72</v>
      </c>
      <c r="C38" s="15" t="str">
        <f>_xll.RssMarket("5406","現在値")</f>
        <v/>
      </c>
      <c r="D38" s="16" t="e">
        <f t="shared" ref="D38:D69" si="1">C38-E38</f>
        <v>#VALUE!</v>
      </c>
      <c r="E38" s="13">
        <v>1934</v>
      </c>
      <c r="F38" s="13">
        <v>1936.5</v>
      </c>
      <c r="G38" s="13">
        <v>1917</v>
      </c>
      <c r="H38" s="13">
        <v>1847.5</v>
      </c>
      <c r="I38" s="13">
        <v>1860</v>
      </c>
      <c r="J38" s="13">
        <v>1881.5</v>
      </c>
      <c r="K38" s="13">
        <v>1883</v>
      </c>
      <c r="L38" s="13">
        <v>1924</v>
      </c>
      <c r="M38" s="13">
        <v>1905.5</v>
      </c>
      <c r="N38" s="13">
        <v>1857.5</v>
      </c>
      <c r="O38" s="13">
        <v>1849</v>
      </c>
      <c r="P38" s="13">
        <v>1872.5</v>
      </c>
      <c r="Q38" s="13">
        <v>1867.5</v>
      </c>
      <c r="R38" s="13">
        <v>1876</v>
      </c>
      <c r="S38" s="13">
        <v>1875</v>
      </c>
      <c r="T38" s="13">
        <v>1883.5</v>
      </c>
      <c r="U38" s="13">
        <v>1891.5</v>
      </c>
      <c r="V38" s="13">
        <v>1966</v>
      </c>
      <c r="W38" s="13">
        <v>1978</v>
      </c>
      <c r="X38" s="13">
        <v>1989.5</v>
      </c>
      <c r="Y38" s="13">
        <v>1936.5</v>
      </c>
      <c r="Z38" s="13">
        <v>1900</v>
      </c>
      <c r="AA38" s="13">
        <v>1902</v>
      </c>
      <c r="AB38" s="13">
        <v>1910</v>
      </c>
      <c r="AC38" s="13">
        <v>1935.5</v>
      </c>
      <c r="AD38" s="13">
        <v>1940.5</v>
      </c>
      <c r="AE38" s="13">
        <v>1976.5</v>
      </c>
      <c r="AF38" s="13">
        <v>1950</v>
      </c>
      <c r="AG38" s="13">
        <v>1960</v>
      </c>
      <c r="AH38" s="13">
        <v>1980</v>
      </c>
      <c r="AI38" s="13">
        <v>1948.5</v>
      </c>
      <c r="AJ38" s="13">
        <v>1965.5</v>
      </c>
      <c r="AK38" s="13">
        <v>1960.5</v>
      </c>
      <c r="AL38" s="13">
        <v>1946.5</v>
      </c>
      <c r="AM38" s="13">
        <v>1930</v>
      </c>
      <c r="AN38" s="13">
        <v>1881.5</v>
      </c>
      <c r="AO38" s="13">
        <v>1920.5</v>
      </c>
      <c r="AP38" s="13">
        <v>1881.5</v>
      </c>
      <c r="AQ38" s="13">
        <v>1962.5</v>
      </c>
      <c r="AR38" s="13">
        <v>1979.5</v>
      </c>
      <c r="AS38" s="13">
        <v>1960.5</v>
      </c>
      <c r="AT38" s="13">
        <v>1980</v>
      </c>
      <c r="AU38" s="13">
        <v>2012</v>
      </c>
      <c r="AV38" s="13">
        <v>1937</v>
      </c>
      <c r="AW38" s="13">
        <v>1980.5</v>
      </c>
      <c r="AX38" s="13">
        <v>1941</v>
      </c>
      <c r="AY38" s="13">
        <v>1926.5</v>
      </c>
      <c r="AZ38" s="13">
        <v>1895.5</v>
      </c>
      <c r="BA38" s="13">
        <v>1860.5</v>
      </c>
      <c r="BB38" s="13">
        <v>1853.5</v>
      </c>
      <c r="BC38" s="13">
        <v>1845.5</v>
      </c>
      <c r="BD38" s="13">
        <v>1875.5</v>
      </c>
      <c r="BE38" s="13">
        <v>1905.5</v>
      </c>
      <c r="BF38" s="13">
        <v>1933.5</v>
      </c>
      <c r="BG38" s="13">
        <v>1931.5</v>
      </c>
      <c r="BH38" s="13">
        <v>1947.5</v>
      </c>
      <c r="BI38" s="13">
        <v>1944.5</v>
      </c>
      <c r="BJ38" s="13">
        <v>1950</v>
      </c>
      <c r="BK38" s="13">
        <v>1947</v>
      </c>
      <c r="BL38" s="13">
        <v>1953.5</v>
      </c>
      <c r="BM38" s="4">
        <v>1957.5</v>
      </c>
      <c r="BN38" s="4">
        <v>1980</v>
      </c>
      <c r="BO38" s="4">
        <v>1923.5</v>
      </c>
      <c r="BP38" s="4">
        <v>1928.5</v>
      </c>
    </row>
    <row r="39" spans="1:68" ht="15.9" customHeight="1">
      <c r="A39" s="64" t="s">
        <v>73</v>
      </c>
      <c r="B39" s="6" t="s">
        <v>74</v>
      </c>
      <c r="C39" s="15" t="str">
        <f>_xll.RssMarket("8593","現在値")</f>
        <v/>
      </c>
      <c r="D39" s="16" t="e">
        <f t="shared" si="1"/>
        <v>#VALUE!</v>
      </c>
      <c r="E39" s="13">
        <v>1390</v>
      </c>
      <c r="F39" s="13">
        <v>1414</v>
      </c>
      <c r="G39" s="13">
        <v>1399</v>
      </c>
      <c r="H39" s="13">
        <v>1378</v>
      </c>
      <c r="I39" s="13">
        <v>1364.5</v>
      </c>
      <c r="J39" s="13">
        <v>1372</v>
      </c>
      <c r="K39" s="13">
        <v>1385</v>
      </c>
      <c r="L39" s="13">
        <v>1372</v>
      </c>
      <c r="M39" s="13">
        <v>1351</v>
      </c>
      <c r="N39" s="13">
        <v>1330</v>
      </c>
      <c r="O39" s="13">
        <v>1308</v>
      </c>
      <c r="P39" s="13">
        <v>1314</v>
      </c>
      <c r="Q39" s="13">
        <v>1319.5</v>
      </c>
      <c r="R39" s="13">
        <v>1309</v>
      </c>
      <c r="S39" s="13">
        <v>1302.5</v>
      </c>
      <c r="T39" s="13">
        <v>1294.5</v>
      </c>
      <c r="U39" s="13">
        <v>1289</v>
      </c>
      <c r="V39" s="13">
        <v>1307.5</v>
      </c>
      <c r="W39" s="13">
        <v>1312</v>
      </c>
      <c r="X39" s="13">
        <v>1325</v>
      </c>
      <c r="Y39" s="13">
        <v>1314.5</v>
      </c>
      <c r="Z39" s="13">
        <v>1319</v>
      </c>
      <c r="AA39" s="13">
        <v>1315.5</v>
      </c>
      <c r="AB39" s="13">
        <v>1325.5</v>
      </c>
      <c r="AC39" s="13">
        <v>1298.5</v>
      </c>
      <c r="AD39" s="13">
        <v>1272.5</v>
      </c>
      <c r="AE39" s="13">
        <v>1258.5</v>
      </c>
      <c r="AF39" s="13">
        <v>1265</v>
      </c>
      <c r="AG39" s="13">
        <v>1270</v>
      </c>
      <c r="AH39" s="13">
        <v>1301.5</v>
      </c>
      <c r="AI39" s="13">
        <v>1308.5</v>
      </c>
      <c r="AJ39" s="13">
        <v>1310</v>
      </c>
      <c r="AK39" s="13">
        <v>1316</v>
      </c>
      <c r="AL39" s="13">
        <v>1315</v>
      </c>
      <c r="AM39" s="13">
        <v>1333</v>
      </c>
      <c r="AN39" s="13">
        <v>1340.5</v>
      </c>
      <c r="AO39" s="13">
        <v>1344</v>
      </c>
      <c r="AP39" s="13">
        <v>1336.5</v>
      </c>
      <c r="AQ39" s="13">
        <v>1426</v>
      </c>
      <c r="AR39" s="13">
        <v>1433.5</v>
      </c>
      <c r="AS39" s="13">
        <v>1435.5</v>
      </c>
      <c r="AT39" s="13">
        <v>1440</v>
      </c>
      <c r="AU39" s="13">
        <v>1414.5</v>
      </c>
      <c r="AV39" s="13">
        <v>1403</v>
      </c>
      <c r="AW39" s="13">
        <v>1412.5</v>
      </c>
      <c r="AX39" s="13">
        <v>1405.5</v>
      </c>
      <c r="AY39" s="13">
        <v>1423.5</v>
      </c>
      <c r="AZ39" s="13">
        <v>1443</v>
      </c>
      <c r="BA39" s="13">
        <v>1415.5</v>
      </c>
      <c r="BB39" s="13">
        <v>1414</v>
      </c>
      <c r="BC39" s="13">
        <v>1408</v>
      </c>
      <c r="BD39" s="13">
        <v>1412</v>
      </c>
      <c r="BE39" s="13">
        <v>1432</v>
      </c>
      <c r="BF39" s="13">
        <v>1450</v>
      </c>
      <c r="BG39" s="13">
        <v>1460</v>
      </c>
      <c r="BH39" s="13">
        <v>1473.5</v>
      </c>
      <c r="BI39" s="13">
        <v>1465.5</v>
      </c>
      <c r="BJ39" s="13">
        <v>1468</v>
      </c>
      <c r="BK39" s="13">
        <v>1459.5</v>
      </c>
      <c r="BL39" s="13">
        <v>1469.5</v>
      </c>
      <c r="BM39" s="4">
        <v>1480.5</v>
      </c>
      <c r="BN39" s="4">
        <v>1516.5</v>
      </c>
      <c r="BO39" s="4">
        <v>1482.5</v>
      </c>
      <c r="BP39" s="4">
        <v>1474</v>
      </c>
    </row>
    <row r="40" spans="1:68" ht="15.9" customHeight="1">
      <c r="A40" s="64" t="s">
        <v>75</v>
      </c>
      <c r="B40" s="6" t="s">
        <v>76</v>
      </c>
      <c r="C40" s="15" t="str">
        <f>_xll.RssMarket("8604","現在値")</f>
        <v/>
      </c>
      <c r="D40" s="16" t="e">
        <f t="shared" si="1"/>
        <v>#VALUE!</v>
      </c>
      <c r="E40" s="13">
        <v>1520</v>
      </c>
      <c r="F40" s="13">
        <v>1626</v>
      </c>
      <c r="G40" s="13">
        <v>1553</v>
      </c>
      <c r="H40" s="13">
        <v>1542.5</v>
      </c>
      <c r="I40" s="13">
        <v>1543</v>
      </c>
      <c r="J40" s="13">
        <v>1526</v>
      </c>
      <c r="K40" s="13">
        <v>1543</v>
      </c>
      <c r="L40" s="13">
        <v>1490</v>
      </c>
      <c r="M40" s="13">
        <v>1471.5</v>
      </c>
      <c r="N40" s="13">
        <v>1458</v>
      </c>
      <c r="O40" s="13">
        <v>1439.5</v>
      </c>
      <c r="P40" s="13">
        <v>1413.5</v>
      </c>
      <c r="Q40" s="13">
        <v>1415</v>
      </c>
      <c r="R40" s="13">
        <v>1423.5</v>
      </c>
      <c r="S40" s="13">
        <v>1413.5</v>
      </c>
      <c r="T40" s="13">
        <v>1407</v>
      </c>
      <c r="U40" s="13">
        <v>1401</v>
      </c>
      <c r="V40" s="13">
        <v>1436.5</v>
      </c>
      <c r="W40" s="13">
        <v>1408.5</v>
      </c>
      <c r="X40" s="13">
        <v>1451</v>
      </c>
      <c r="Y40" s="13">
        <v>1415</v>
      </c>
      <c r="Z40" s="13">
        <v>1364.5</v>
      </c>
      <c r="AA40" s="13">
        <v>1352.5</v>
      </c>
      <c r="AB40" s="13">
        <v>1387</v>
      </c>
      <c r="AC40" s="13">
        <v>1359.5</v>
      </c>
      <c r="AD40" s="13">
        <v>1361</v>
      </c>
      <c r="AE40" s="13">
        <v>1349.5</v>
      </c>
      <c r="AF40" s="13">
        <v>1350.5</v>
      </c>
      <c r="AG40" s="13">
        <v>1324</v>
      </c>
      <c r="AH40" s="13">
        <v>1298.5</v>
      </c>
      <c r="AI40" s="13">
        <v>1285</v>
      </c>
      <c r="AJ40" s="13">
        <v>1250.5</v>
      </c>
      <c r="AK40" s="13">
        <v>1260</v>
      </c>
      <c r="AL40" s="13">
        <v>1273</v>
      </c>
      <c r="AM40" s="13">
        <v>1287</v>
      </c>
      <c r="AN40" s="13">
        <v>1290.5</v>
      </c>
      <c r="AO40" s="13">
        <v>1250.5</v>
      </c>
      <c r="AP40" s="13">
        <v>1276</v>
      </c>
      <c r="AQ40" s="13">
        <v>1248</v>
      </c>
      <c r="AR40" s="13">
        <v>1273</v>
      </c>
      <c r="AS40" s="13">
        <v>1265</v>
      </c>
      <c r="AT40" s="13">
        <v>1273.5</v>
      </c>
      <c r="AU40" s="13">
        <v>1235</v>
      </c>
      <c r="AV40" s="13">
        <v>1228.5</v>
      </c>
      <c r="AW40" s="13">
        <v>1250.5</v>
      </c>
      <c r="AX40" s="13">
        <v>1220</v>
      </c>
      <c r="AY40" s="13">
        <v>1256.5</v>
      </c>
      <c r="AZ40" s="13">
        <v>1274</v>
      </c>
      <c r="BA40" s="13">
        <v>1230.5</v>
      </c>
      <c r="BB40" s="13">
        <v>1312</v>
      </c>
      <c r="BC40" s="13">
        <v>1332.5</v>
      </c>
      <c r="BD40" s="13">
        <v>1331.5</v>
      </c>
      <c r="BE40" s="13">
        <v>1334.5</v>
      </c>
      <c r="BF40" s="13">
        <v>1341</v>
      </c>
      <c r="BG40" s="13">
        <v>1334</v>
      </c>
      <c r="BH40" s="13">
        <v>1387.5</v>
      </c>
      <c r="BI40" s="13">
        <v>1363</v>
      </c>
      <c r="BJ40" s="13">
        <v>1318</v>
      </c>
      <c r="BK40" s="13">
        <v>1300.5</v>
      </c>
      <c r="BL40" s="13">
        <v>1305</v>
      </c>
      <c r="BM40" s="4">
        <v>1314</v>
      </c>
      <c r="BN40" s="4">
        <v>1334.5</v>
      </c>
      <c r="BO40" s="4">
        <v>1275.5</v>
      </c>
      <c r="BP40" s="4">
        <v>1263.5</v>
      </c>
    </row>
    <row r="41" spans="1:68" ht="15.9" customHeight="1">
      <c r="A41" s="64" t="s">
        <v>77</v>
      </c>
      <c r="B41" s="6" t="s">
        <v>78</v>
      </c>
      <c r="C41" s="15" t="str">
        <f>_xll.RssMarket("3861","現在値")</f>
        <v/>
      </c>
      <c r="D41" s="16" t="e">
        <f t="shared" si="1"/>
        <v>#VALUE!</v>
      </c>
      <c r="E41" s="13">
        <v>837.3</v>
      </c>
      <c r="F41" s="13">
        <v>827.5</v>
      </c>
      <c r="G41" s="13">
        <v>825</v>
      </c>
      <c r="H41" s="13">
        <v>815.3</v>
      </c>
      <c r="I41" s="13">
        <v>816.1</v>
      </c>
      <c r="J41" s="13">
        <v>824.8</v>
      </c>
      <c r="K41" s="13">
        <v>829.8</v>
      </c>
      <c r="L41" s="13">
        <v>829.7</v>
      </c>
      <c r="M41" s="13">
        <v>814.2</v>
      </c>
      <c r="N41" s="13">
        <v>812.3</v>
      </c>
      <c r="O41" s="13">
        <v>794.6</v>
      </c>
      <c r="P41" s="13">
        <v>795.4</v>
      </c>
      <c r="Q41" s="13">
        <v>805.3</v>
      </c>
      <c r="R41" s="13">
        <v>789.4</v>
      </c>
      <c r="S41" s="13">
        <v>781.5</v>
      </c>
      <c r="T41" s="13">
        <v>775.2</v>
      </c>
      <c r="U41" s="13">
        <v>785.5</v>
      </c>
      <c r="V41" s="13">
        <v>799.8</v>
      </c>
      <c r="W41" s="13">
        <v>804.7</v>
      </c>
      <c r="X41" s="13">
        <v>799.6</v>
      </c>
      <c r="Y41" s="13">
        <v>793.9</v>
      </c>
      <c r="Z41" s="13">
        <v>791</v>
      </c>
      <c r="AA41" s="13">
        <v>783</v>
      </c>
      <c r="AB41" s="13">
        <v>785.2</v>
      </c>
      <c r="AC41" s="13">
        <v>780.6</v>
      </c>
      <c r="AD41" s="13">
        <v>778.9</v>
      </c>
      <c r="AE41" s="13">
        <v>774</v>
      </c>
      <c r="AF41" s="13">
        <v>782.6</v>
      </c>
      <c r="AG41" s="13">
        <v>767.9</v>
      </c>
      <c r="AH41" s="13">
        <v>770.2</v>
      </c>
      <c r="AI41" s="13">
        <v>782.2</v>
      </c>
      <c r="AJ41" s="13">
        <v>790.5</v>
      </c>
      <c r="AK41" s="13">
        <v>780.3</v>
      </c>
      <c r="AL41" s="13">
        <v>775.8</v>
      </c>
      <c r="AM41" s="13">
        <v>777.1</v>
      </c>
      <c r="AN41" s="13">
        <v>793.2</v>
      </c>
      <c r="AO41" s="13">
        <v>806.6</v>
      </c>
      <c r="AP41" s="13">
        <v>815.1</v>
      </c>
      <c r="AQ41" s="13">
        <v>810</v>
      </c>
      <c r="AR41" s="13">
        <v>857</v>
      </c>
      <c r="AS41" s="13">
        <v>841.8</v>
      </c>
      <c r="AT41" s="13">
        <v>835.8</v>
      </c>
      <c r="AU41" s="13">
        <v>830</v>
      </c>
      <c r="AV41" s="13">
        <v>822</v>
      </c>
      <c r="AW41" s="13">
        <v>829.2</v>
      </c>
      <c r="AX41" s="13">
        <v>833.6</v>
      </c>
      <c r="AY41" s="13">
        <v>824.7</v>
      </c>
      <c r="AZ41" s="13">
        <v>822.5</v>
      </c>
      <c r="BA41" s="13">
        <v>825.8</v>
      </c>
      <c r="BB41" s="13">
        <v>815.2</v>
      </c>
      <c r="BC41" s="13">
        <v>822.2</v>
      </c>
      <c r="BD41" s="13">
        <v>820.4</v>
      </c>
      <c r="BE41" s="13">
        <v>833.6</v>
      </c>
      <c r="BF41" s="13">
        <v>837.1</v>
      </c>
      <c r="BG41" s="13">
        <v>841.4</v>
      </c>
      <c r="BH41" s="13">
        <v>842.1</v>
      </c>
      <c r="BI41" s="13">
        <v>850.6</v>
      </c>
      <c r="BJ41" s="13">
        <v>849.7</v>
      </c>
      <c r="BK41" s="13">
        <v>852.1</v>
      </c>
      <c r="BL41" s="13">
        <v>852.8</v>
      </c>
      <c r="BM41" s="4">
        <v>849</v>
      </c>
      <c r="BN41" s="4">
        <v>855</v>
      </c>
      <c r="BO41" s="4">
        <v>858.1</v>
      </c>
      <c r="BP41" s="4">
        <v>846.9</v>
      </c>
    </row>
    <row r="42" spans="1:68" ht="15.9" customHeight="1">
      <c r="A42" s="64" t="s">
        <v>79</v>
      </c>
      <c r="B42" s="6" t="s">
        <v>80</v>
      </c>
      <c r="C42" s="15" t="str">
        <f>_xll.RssMarket("5947","現在値")</f>
        <v/>
      </c>
      <c r="D42" s="16" t="e">
        <f t="shared" si="1"/>
        <v>#VALUE!</v>
      </c>
      <c r="E42" s="13">
        <v>3628</v>
      </c>
      <c r="F42" s="13">
        <v>3592</v>
      </c>
      <c r="G42" s="13">
        <v>3615</v>
      </c>
      <c r="H42" s="13">
        <v>3563</v>
      </c>
      <c r="I42" s="13">
        <v>3561</v>
      </c>
      <c r="J42" s="13">
        <v>3582</v>
      </c>
      <c r="K42" s="13">
        <v>3621</v>
      </c>
      <c r="L42" s="13">
        <v>3622</v>
      </c>
      <c r="M42" s="13">
        <v>3598</v>
      </c>
      <c r="N42" s="13">
        <v>3570</v>
      </c>
      <c r="O42" s="13">
        <v>3565</v>
      </c>
      <c r="P42" s="13">
        <v>3559</v>
      </c>
      <c r="Q42" s="13">
        <v>3600</v>
      </c>
      <c r="R42" s="13">
        <v>3588</v>
      </c>
      <c r="S42" s="13">
        <v>3543</v>
      </c>
      <c r="T42" s="13">
        <v>3516</v>
      </c>
      <c r="U42" s="13">
        <v>3477</v>
      </c>
      <c r="V42" s="13">
        <v>3485</v>
      </c>
      <c r="W42" s="13">
        <v>3438</v>
      </c>
      <c r="X42" s="13">
        <v>3465</v>
      </c>
      <c r="Y42" s="13">
        <v>3421</v>
      </c>
      <c r="Z42" s="13">
        <v>3483</v>
      </c>
      <c r="AA42" s="13">
        <v>3536</v>
      </c>
      <c r="AB42" s="13">
        <v>3504</v>
      </c>
      <c r="AC42" s="13">
        <v>3500</v>
      </c>
      <c r="AD42" s="13">
        <v>3420</v>
      </c>
      <c r="AE42" s="13">
        <v>3392</v>
      </c>
      <c r="AF42" s="13">
        <v>3342</v>
      </c>
      <c r="AG42" s="13">
        <v>3350</v>
      </c>
      <c r="AH42" s="13">
        <v>3393</v>
      </c>
      <c r="AI42" s="13">
        <v>3426</v>
      </c>
      <c r="AJ42" s="13">
        <v>3452</v>
      </c>
      <c r="AK42" s="13">
        <v>3434</v>
      </c>
      <c r="AL42" s="13">
        <v>3506</v>
      </c>
      <c r="AM42" s="13">
        <v>3537</v>
      </c>
      <c r="AN42" s="13">
        <v>3550</v>
      </c>
      <c r="AO42" s="13">
        <v>3556</v>
      </c>
      <c r="AP42" s="13">
        <v>3467</v>
      </c>
      <c r="AQ42" s="13">
        <v>3462</v>
      </c>
      <c r="AR42" s="13">
        <v>3377</v>
      </c>
      <c r="AS42" s="13">
        <v>3346</v>
      </c>
      <c r="AT42" s="13">
        <v>3431</v>
      </c>
      <c r="AU42" s="13">
        <v>3579</v>
      </c>
      <c r="AV42" s="13">
        <v>3603</v>
      </c>
      <c r="AW42" s="13">
        <v>3690</v>
      </c>
      <c r="AX42" s="13">
        <v>3588</v>
      </c>
      <c r="AY42" s="13">
        <v>3562</v>
      </c>
      <c r="AZ42" s="13">
        <v>3606</v>
      </c>
      <c r="BA42" s="13">
        <v>3549</v>
      </c>
      <c r="BB42" s="13">
        <v>3513</v>
      </c>
      <c r="BC42" s="13">
        <v>3511</v>
      </c>
      <c r="BD42" s="13">
        <v>3511</v>
      </c>
      <c r="BE42" s="13">
        <v>3492</v>
      </c>
      <c r="BF42" s="13">
        <v>3537</v>
      </c>
      <c r="BG42" s="13">
        <v>3541</v>
      </c>
      <c r="BH42" s="13">
        <v>3523</v>
      </c>
      <c r="BI42" s="13">
        <v>3594</v>
      </c>
      <c r="BJ42" s="13">
        <v>3557</v>
      </c>
      <c r="BK42" s="13">
        <v>3697</v>
      </c>
      <c r="BL42" s="13">
        <v>3754</v>
      </c>
      <c r="BM42" s="4">
        <v>3749</v>
      </c>
      <c r="BN42" s="4">
        <v>3743</v>
      </c>
      <c r="BO42" s="4">
        <v>3665</v>
      </c>
      <c r="BP42" s="4">
        <v>3671</v>
      </c>
    </row>
    <row r="43" spans="1:68" ht="15.9" customHeight="1">
      <c r="A43" s="64" t="s">
        <v>81</v>
      </c>
      <c r="B43" s="6" t="s">
        <v>82</v>
      </c>
      <c r="C43" s="15" t="str">
        <f>_xll.RssMarket("8750","現在値")</f>
        <v/>
      </c>
      <c r="D43" s="16" t="e">
        <f t="shared" si="1"/>
        <v>#VALUE!</v>
      </c>
      <c r="E43" s="13">
        <v>1799</v>
      </c>
      <c r="F43" s="13">
        <v>1884</v>
      </c>
      <c r="G43" s="13">
        <v>1856</v>
      </c>
      <c r="H43" s="13">
        <v>1828</v>
      </c>
      <c r="I43" s="13">
        <v>1861</v>
      </c>
      <c r="J43" s="13">
        <v>1877</v>
      </c>
      <c r="K43" s="13">
        <v>1864</v>
      </c>
      <c r="L43" s="13">
        <v>1875.5</v>
      </c>
      <c r="M43" s="13">
        <v>1843</v>
      </c>
      <c r="N43" s="13">
        <v>1824.5</v>
      </c>
      <c r="O43" s="13">
        <v>1791</v>
      </c>
      <c r="P43" s="13">
        <v>1778.5</v>
      </c>
      <c r="Q43" s="13">
        <v>1739</v>
      </c>
      <c r="R43" s="13">
        <v>1726.5</v>
      </c>
      <c r="S43" s="13">
        <v>1705.5</v>
      </c>
      <c r="T43" s="13">
        <v>1728</v>
      </c>
      <c r="U43" s="13">
        <v>1812</v>
      </c>
      <c r="V43" s="13">
        <v>1834.5</v>
      </c>
      <c r="W43" s="13">
        <v>1814.5</v>
      </c>
      <c r="X43" s="13">
        <v>1793</v>
      </c>
      <c r="Y43" s="13">
        <v>1789.5</v>
      </c>
      <c r="Z43" s="13">
        <v>1753.5</v>
      </c>
      <c r="AA43" s="13">
        <v>1730.5</v>
      </c>
      <c r="AB43" s="13">
        <v>1732</v>
      </c>
      <c r="AC43" s="13">
        <v>1667.5</v>
      </c>
      <c r="AD43" s="13">
        <v>1662.5</v>
      </c>
      <c r="AE43" s="13">
        <v>1647.5</v>
      </c>
      <c r="AF43" s="13">
        <v>1650</v>
      </c>
      <c r="AG43" s="13">
        <v>1622</v>
      </c>
      <c r="AH43" s="13">
        <v>1634.5</v>
      </c>
      <c r="AI43" s="13">
        <v>1636</v>
      </c>
      <c r="AJ43" s="13">
        <v>1627.5</v>
      </c>
      <c r="AK43" s="13">
        <v>1664</v>
      </c>
      <c r="AL43" s="13">
        <v>1666</v>
      </c>
      <c r="AM43" s="13">
        <v>1650.5</v>
      </c>
      <c r="AN43" s="13">
        <v>1669</v>
      </c>
      <c r="AO43" s="13">
        <v>1656</v>
      </c>
      <c r="AP43" s="13">
        <v>1654</v>
      </c>
      <c r="AQ43" s="13">
        <v>1615</v>
      </c>
      <c r="AR43" s="13">
        <v>1618</v>
      </c>
      <c r="AS43" s="13">
        <v>1500</v>
      </c>
      <c r="AT43" s="13">
        <v>1502</v>
      </c>
      <c r="AU43" s="13">
        <v>1479</v>
      </c>
      <c r="AV43" s="13">
        <v>1466.5</v>
      </c>
      <c r="AW43" s="13">
        <v>1438.5</v>
      </c>
      <c r="AX43" s="13">
        <v>1464</v>
      </c>
      <c r="AY43" s="13">
        <v>1423</v>
      </c>
      <c r="AZ43" s="13">
        <v>1440</v>
      </c>
      <c r="BA43" s="13">
        <v>1444</v>
      </c>
      <c r="BB43" s="13">
        <v>1398.5</v>
      </c>
      <c r="BC43" s="13">
        <v>1410.5</v>
      </c>
      <c r="BD43" s="13">
        <v>1415.5</v>
      </c>
      <c r="BE43" s="13">
        <v>1437</v>
      </c>
      <c r="BF43" s="13">
        <v>1444.5</v>
      </c>
      <c r="BG43" s="13">
        <v>1459</v>
      </c>
      <c r="BH43" s="13">
        <v>1459.5</v>
      </c>
      <c r="BI43" s="13">
        <v>1503</v>
      </c>
      <c r="BJ43" s="13">
        <v>1481</v>
      </c>
      <c r="BK43" s="13">
        <v>1483.5</v>
      </c>
      <c r="BL43" s="13">
        <v>1474.5</v>
      </c>
      <c r="BM43" s="4">
        <v>1482</v>
      </c>
      <c r="BN43" s="4">
        <v>1496.5</v>
      </c>
      <c r="BO43" s="4">
        <v>1533.5</v>
      </c>
      <c r="BP43" s="4">
        <v>1474</v>
      </c>
    </row>
    <row r="44" spans="1:68" ht="15.9" customHeight="1">
      <c r="A44" s="64" t="s">
        <v>83</v>
      </c>
      <c r="B44" s="6" t="s">
        <v>84</v>
      </c>
      <c r="C44" s="15" t="str">
        <f>_xll.RssMarket("3402","現在値")</f>
        <v/>
      </c>
      <c r="D44" s="16" t="e">
        <f t="shared" si="1"/>
        <v>#VALUE!</v>
      </c>
      <c r="E44" s="13">
        <v>1148.5</v>
      </c>
      <c r="F44" s="13">
        <v>1172</v>
      </c>
      <c r="G44" s="13">
        <v>1154.5</v>
      </c>
      <c r="H44" s="13">
        <v>1138</v>
      </c>
      <c r="I44" s="13">
        <v>1142.5</v>
      </c>
      <c r="J44" s="13">
        <v>1146</v>
      </c>
      <c r="K44" s="13">
        <v>1166</v>
      </c>
      <c r="L44" s="13">
        <v>1175</v>
      </c>
      <c r="M44" s="13">
        <v>1173.5</v>
      </c>
      <c r="N44" s="13">
        <v>1133</v>
      </c>
      <c r="O44" s="13">
        <v>1125</v>
      </c>
      <c r="P44" s="13">
        <v>1127.5</v>
      </c>
      <c r="Q44" s="13">
        <v>1138.5</v>
      </c>
      <c r="R44" s="13">
        <v>1158</v>
      </c>
      <c r="S44" s="13">
        <v>1147</v>
      </c>
      <c r="T44" s="13">
        <v>1141</v>
      </c>
      <c r="U44" s="13">
        <v>1171.5</v>
      </c>
      <c r="V44" s="13">
        <v>1159</v>
      </c>
      <c r="W44" s="13">
        <v>1190</v>
      </c>
      <c r="X44" s="13">
        <v>1177</v>
      </c>
      <c r="Y44" s="13">
        <v>1145</v>
      </c>
      <c r="Z44" s="13">
        <v>1118.5</v>
      </c>
      <c r="AA44" s="13">
        <v>1113</v>
      </c>
      <c r="AB44" s="13">
        <v>1094.5</v>
      </c>
      <c r="AC44" s="13">
        <v>1121.5</v>
      </c>
      <c r="AD44" s="13">
        <v>1105.5</v>
      </c>
      <c r="AE44" s="13">
        <v>1152</v>
      </c>
      <c r="AF44" s="13">
        <v>1121.5</v>
      </c>
      <c r="AG44" s="13">
        <v>1139</v>
      </c>
      <c r="AH44" s="13">
        <v>1192</v>
      </c>
      <c r="AI44" s="13">
        <v>1133</v>
      </c>
      <c r="AJ44" s="13">
        <v>1143.5</v>
      </c>
      <c r="AK44" s="13">
        <v>1135.5</v>
      </c>
      <c r="AL44" s="13">
        <v>1085.5</v>
      </c>
      <c r="AM44" s="13">
        <v>1076.5</v>
      </c>
      <c r="AN44" s="13">
        <v>1082</v>
      </c>
      <c r="AO44" s="13">
        <v>1076.5</v>
      </c>
      <c r="AP44" s="13">
        <v>1150</v>
      </c>
      <c r="AQ44" s="13">
        <v>1163.5</v>
      </c>
      <c r="AR44" s="13">
        <v>1167.5</v>
      </c>
      <c r="AS44" s="13">
        <v>1145.5</v>
      </c>
      <c r="AT44" s="13">
        <v>1133</v>
      </c>
      <c r="AU44" s="13">
        <v>1129</v>
      </c>
      <c r="AV44" s="13">
        <v>1138</v>
      </c>
      <c r="AW44" s="13">
        <v>1106</v>
      </c>
      <c r="AX44" s="13">
        <v>1121</v>
      </c>
      <c r="AY44" s="13">
        <v>1140.5</v>
      </c>
      <c r="AZ44" s="13">
        <v>1119.5</v>
      </c>
      <c r="BA44" s="13">
        <v>1110.5</v>
      </c>
      <c r="BB44" s="13">
        <v>1112.5</v>
      </c>
      <c r="BC44" s="13">
        <v>1126</v>
      </c>
      <c r="BD44" s="13">
        <v>1145</v>
      </c>
      <c r="BE44" s="13">
        <v>1147</v>
      </c>
      <c r="BF44" s="13">
        <v>1156.5</v>
      </c>
      <c r="BG44" s="13">
        <v>1171.5</v>
      </c>
      <c r="BH44" s="13">
        <v>1144</v>
      </c>
      <c r="BI44" s="13">
        <v>1151.5</v>
      </c>
      <c r="BJ44" s="13">
        <v>1150.5</v>
      </c>
      <c r="BK44" s="13">
        <v>1175.5</v>
      </c>
      <c r="BL44" s="13">
        <v>1170.5</v>
      </c>
      <c r="BM44" s="4">
        <v>1174</v>
      </c>
      <c r="BN44" s="4">
        <v>1124</v>
      </c>
      <c r="BO44" s="4">
        <v>1126.5</v>
      </c>
      <c r="BP44" s="4">
        <v>1130.5</v>
      </c>
    </row>
    <row r="45" spans="1:68" ht="15.9" customHeight="1">
      <c r="A45" s="64" t="s">
        <v>85</v>
      </c>
      <c r="B45" s="6" t="s">
        <v>86</v>
      </c>
      <c r="C45" s="15" t="str">
        <f>_xll.RssMarket("8306","現在値")</f>
        <v/>
      </c>
      <c r="D45" s="16" t="e">
        <f t="shared" si="1"/>
        <v>#VALUE!</v>
      </c>
      <c r="E45" s="13">
        <v>3473</v>
      </c>
      <c r="F45" s="13">
        <v>3697</v>
      </c>
      <c r="G45" s="13">
        <v>3600</v>
      </c>
      <c r="H45" s="13">
        <v>3541</v>
      </c>
      <c r="I45" s="13">
        <v>3461</v>
      </c>
      <c r="J45" s="13">
        <v>3414</v>
      </c>
      <c r="K45" s="13">
        <v>3433</v>
      </c>
      <c r="L45" s="13">
        <v>3370</v>
      </c>
      <c r="M45" s="13">
        <v>3326</v>
      </c>
      <c r="N45" s="13">
        <v>3306</v>
      </c>
      <c r="O45" s="13">
        <v>3247</v>
      </c>
      <c r="P45" s="13">
        <v>3207</v>
      </c>
      <c r="Q45" s="13">
        <v>3211</v>
      </c>
      <c r="R45" s="13">
        <v>3245</v>
      </c>
      <c r="S45" s="13">
        <v>3233</v>
      </c>
      <c r="T45" s="13">
        <v>3205</v>
      </c>
      <c r="U45" s="13">
        <v>3267</v>
      </c>
      <c r="V45" s="13">
        <v>3333</v>
      </c>
      <c r="W45" s="13">
        <v>3278</v>
      </c>
      <c r="X45" s="13">
        <v>3272</v>
      </c>
      <c r="Y45" s="13">
        <v>3228</v>
      </c>
      <c r="Z45" s="13">
        <v>3162</v>
      </c>
      <c r="AA45" s="13">
        <v>3141</v>
      </c>
      <c r="AB45" s="13">
        <v>3183</v>
      </c>
      <c r="AC45" s="13">
        <v>3168</v>
      </c>
      <c r="AD45" s="13">
        <v>3219</v>
      </c>
      <c r="AE45" s="13">
        <v>3169</v>
      </c>
      <c r="AF45" s="13">
        <v>3137</v>
      </c>
      <c r="AG45" s="13">
        <v>3046</v>
      </c>
      <c r="AH45" s="13">
        <v>3023</v>
      </c>
      <c r="AI45" s="13">
        <v>2999</v>
      </c>
      <c r="AJ45" s="13">
        <v>2982</v>
      </c>
      <c r="AK45" s="13">
        <v>3031</v>
      </c>
      <c r="AL45" s="13">
        <v>3066</v>
      </c>
      <c r="AM45" s="13">
        <v>3091</v>
      </c>
      <c r="AN45" s="13">
        <v>3067</v>
      </c>
      <c r="AO45" s="13">
        <v>3030</v>
      </c>
      <c r="AP45" s="13">
        <v>3108</v>
      </c>
      <c r="AQ45" s="13">
        <v>2995</v>
      </c>
      <c r="AR45" s="13">
        <v>2929</v>
      </c>
      <c r="AS45" s="13">
        <v>2877</v>
      </c>
      <c r="AT45" s="13">
        <v>2926.5</v>
      </c>
      <c r="AU45" s="13">
        <v>2886</v>
      </c>
      <c r="AV45" s="13">
        <v>2856.5</v>
      </c>
      <c r="AW45" s="13">
        <v>2806.5</v>
      </c>
      <c r="AX45" s="13">
        <v>2863</v>
      </c>
      <c r="AY45" s="13">
        <v>2798</v>
      </c>
      <c r="AZ45" s="13">
        <v>2817</v>
      </c>
      <c r="BA45" s="13">
        <v>2875</v>
      </c>
      <c r="BB45" s="13">
        <v>2788</v>
      </c>
      <c r="BC45" s="13">
        <v>2755.5</v>
      </c>
      <c r="BD45" s="13">
        <v>2752</v>
      </c>
      <c r="BE45" s="13">
        <v>2794</v>
      </c>
      <c r="BF45" s="13">
        <v>2830.5</v>
      </c>
      <c r="BG45" s="13">
        <v>2870.5</v>
      </c>
      <c r="BH45" s="13">
        <v>2870</v>
      </c>
      <c r="BI45" s="13">
        <v>2946.5</v>
      </c>
      <c r="BJ45" s="13">
        <v>2913.5</v>
      </c>
      <c r="BK45" s="13">
        <v>2850</v>
      </c>
      <c r="BL45" s="13">
        <v>2860</v>
      </c>
      <c r="BM45" s="4">
        <v>2842</v>
      </c>
      <c r="BN45" s="4">
        <v>2842.5</v>
      </c>
      <c r="BO45" s="4">
        <v>2885</v>
      </c>
      <c r="BP45" s="4">
        <v>2811</v>
      </c>
    </row>
    <row r="46" spans="1:68" ht="15.9" customHeight="1">
      <c r="A46" s="64" t="s">
        <v>87</v>
      </c>
      <c r="B46" s="6" t="s">
        <v>88</v>
      </c>
      <c r="C46" s="15" t="str">
        <f>_xll.RssMarket("5401","現在値")</f>
        <v/>
      </c>
      <c r="D46" s="16" t="e">
        <f t="shared" si="1"/>
        <v>#VALUE!</v>
      </c>
      <c r="E46" s="13">
        <v>585.6</v>
      </c>
      <c r="F46" s="13">
        <v>574.29999999999995</v>
      </c>
      <c r="G46" s="13">
        <v>567.6</v>
      </c>
      <c r="H46" s="13">
        <v>560</v>
      </c>
      <c r="I46" s="13">
        <v>550.20000000000005</v>
      </c>
      <c r="J46" s="13">
        <v>556</v>
      </c>
      <c r="K46" s="13">
        <v>559</v>
      </c>
      <c r="L46" s="13">
        <v>548.20000000000005</v>
      </c>
      <c r="M46" s="13">
        <v>542</v>
      </c>
      <c r="N46" s="13">
        <v>531</v>
      </c>
      <c r="O46" s="13">
        <v>536.1</v>
      </c>
      <c r="P46" s="13">
        <v>546.1</v>
      </c>
      <c r="Q46" s="13">
        <v>543.29999999999995</v>
      </c>
      <c r="R46" s="13">
        <v>547</v>
      </c>
      <c r="S46" s="13">
        <v>547.20000000000005</v>
      </c>
      <c r="T46" s="13">
        <v>551</v>
      </c>
      <c r="U46" s="13">
        <v>562.29999999999995</v>
      </c>
      <c r="V46" s="13">
        <v>559.79999999999995</v>
      </c>
      <c r="W46" s="13">
        <v>557.5</v>
      </c>
      <c r="X46" s="13">
        <v>566</v>
      </c>
      <c r="Y46" s="13">
        <v>551.6</v>
      </c>
      <c r="Z46" s="13">
        <v>535</v>
      </c>
      <c r="AA46" s="13">
        <v>542.29999999999995</v>
      </c>
      <c r="AB46" s="13">
        <v>538.79999999999995</v>
      </c>
      <c r="AC46" s="13">
        <v>547</v>
      </c>
      <c r="AD46" s="13">
        <v>540.5</v>
      </c>
      <c r="AE46" s="13">
        <v>546.70000000000005</v>
      </c>
      <c r="AF46" s="13">
        <v>536.6</v>
      </c>
      <c r="AG46" s="13">
        <v>549.6</v>
      </c>
      <c r="AH46" s="13">
        <v>566.6</v>
      </c>
      <c r="AI46" s="13">
        <v>563.6</v>
      </c>
      <c r="AJ46" s="13">
        <v>563.20000000000005</v>
      </c>
      <c r="AK46" s="13">
        <v>556.20000000000005</v>
      </c>
      <c r="AL46" s="13">
        <v>553.5</v>
      </c>
      <c r="AM46" s="13">
        <v>546</v>
      </c>
      <c r="AN46" s="13">
        <v>540.70000000000005</v>
      </c>
      <c r="AO46" s="13">
        <v>550</v>
      </c>
      <c r="AP46" s="13">
        <v>549</v>
      </c>
      <c r="AQ46" s="13">
        <v>559.9</v>
      </c>
      <c r="AR46" s="13">
        <v>556.20000000000005</v>
      </c>
      <c r="AS46" s="13">
        <v>559.4</v>
      </c>
      <c r="AT46" s="13">
        <v>561.1</v>
      </c>
      <c r="AU46" s="13">
        <v>570.9</v>
      </c>
      <c r="AV46" s="13">
        <v>582.70000000000005</v>
      </c>
      <c r="AW46" s="13">
        <v>571.9</v>
      </c>
      <c r="AX46" s="13">
        <v>572.29999999999995</v>
      </c>
      <c r="AY46" s="13">
        <v>577.79999999999995</v>
      </c>
      <c r="AZ46" s="13">
        <v>569</v>
      </c>
      <c r="BA46" s="13">
        <v>573.1</v>
      </c>
      <c r="BB46" s="13">
        <v>580.1</v>
      </c>
      <c r="BC46" s="13">
        <v>587.6</v>
      </c>
      <c r="BD46" s="13">
        <v>593.20000000000005</v>
      </c>
      <c r="BE46" s="13">
        <v>599.79999999999995</v>
      </c>
      <c r="BF46" s="13">
        <v>595</v>
      </c>
      <c r="BG46" s="13">
        <v>598</v>
      </c>
      <c r="BH46" s="13">
        <v>598</v>
      </c>
      <c r="BI46" s="13">
        <v>595</v>
      </c>
      <c r="BJ46" s="13">
        <v>595.79999999999995</v>
      </c>
      <c r="BK46" s="13">
        <v>600.20000000000005</v>
      </c>
      <c r="BL46" s="13">
        <v>603.4</v>
      </c>
      <c r="BM46" s="4">
        <v>600</v>
      </c>
      <c r="BN46" s="4">
        <v>586</v>
      </c>
      <c r="BO46" s="4">
        <v>586.70000000000005</v>
      </c>
      <c r="BP46" s="4">
        <v>585</v>
      </c>
    </row>
    <row r="47" spans="1:68" ht="15.9" customHeight="1">
      <c r="A47" s="64" t="s">
        <v>89</v>
      </c>
      <c r="B47" s="6" t="s">
        <v>90</v>
      </c>
      <c r="C47" s="15" t="str">
        <f>_xll.RssMarket("8572","現在値")</f>
        <v/>
      </c>
      <c r="D47" s="16" t="e">
        <f t="shared" si="1"/>
        <v>#VALUE!</v>
      </c>
      <c r="E47" s="13">
        <v>484.1</v>
      </c>
      <c r="F47" s="13">
        <v>488.5</v>
      </c>
      <c r="G47" s="13">
        <v>484</v>
      </c>
      <c r="H47" s="13">
        <v>481.8</v>
      </c>
      <c r="I47" s="13">
        <v>480</v>
      </c>
      <c r="J47" s="13">
        <v>483.7</v>
      </c>
      <c r="K47" s="13">
        <v>486.3</v>
      </c>
      <c r="L47" s="13">
        <v>485</v>
      </c>
      <c r="M47" s="13">
        <v>470.3</v>
      </c>
      <c r="N47" s="13">
        <v>462.3</v>
      </c>
      <c r="O47" s="13">
        <v>455.7</v>
      </c>
      <c r="P47" s="13">
        <v>453.8</v>
      </c>
      <c r="Q47" s="13">
        <v>454.4</v>
      </c>
      <c r="R47" s="13">
        <v>449.5</v>
      </c>
      <c r="S47" s="13">
        <v>445.5</v>
      </c>
      <c r="T47" s="13">
        <v>443.4</v>
      </c>
      <c r="U47" s="13">
        <v>447.3</v>
      </c>
      <c r="V47" s="13">
        <v>448.6</v>
      </c>
      <c r="W47" s="13">
        <v>450.6</v>
      </c>
      <c r="X47" s="13">
        <v>449.3</v>
      </c>
      <c r="Y47" s="13">
        <v>451.1</v>
      </c>
      <c r="Z47" s="13">
        <v>449.3</v>
      </c>
      <c r="AA47" s="13">
        <v>451.9</v>
      </c>
      <c r="AB47" s="13">
        <v>445.2</v>
      </c>
      <c r="AC47" s="13">
        <v>446.6</v>
      </c>
      <c r="AD47" s="13">
        <v>442.1</v>
      </c>
      <c r="AE47" s="13">
        <v>450.5</v>
      </c>
      <c r="AF47" s="13">
        <v>448.5</v>
      </c>
      <c r="AG47" s="13">
        <v>457.4</v>
      </c>
      <c r="AH47" s="13">
        <v>467.5</v>
      </c>
      <c r="AI47" s="13">
        <v>466.2</v>
      </c>
      <c r="AJ47" s="13">
        <v>463.6</v>
      </c>
      <c r="AK47" s="13">
        <v>462.9</v>
      </c>
      <c r="AL47" s="13">
        <v>464.1</v>
      </c>
      <c r="AM47" s="13">
        <v>468.8</v>
      </c>
      <c r="AN47" s="13">
        <v>460</v>
      </c>
      <c r="AO47" s="13">
        <v>465.3</v>
      </c>
      <c r="AP47" s="13">
        <v>456.9</v>
      </c>
      <c r="AQ47" s="13">
        <v>464.3</v>
      </c>
      <c r="AR47" s="13">
        <v>458.9</v>
      </c>
      <c r="AS47" s="13">
        <v>455.7</v>
      </c>
      <c r="AT47" s="13">
        <v>489.3</v>
      </c>
      <c r="AU47" s="13">
        <v>489</v>
      </c>
      <c r="AV47" s="13">
        <v>494.1</v>
      </c>
      <c r="AW47" s="13">
        <v>492.1</v>
      </c>
      <c r="AX47" s="13">
        <v>492.7</v>
      </c>
      <c r="AY47" s="13">
        <v>500.8</v>
      </c>
      <c r="AZ47" s="13">
        <v>504.5</v>
      </c>
      <c r="BA47" s="13">
        <v>495.4</v>
      </c>
      <c r="BB47" s="13">
        <v>500.2</v>
      </c>
      <c r="BC47" s="13">
        <v>500.5</v>
      </c>
      <c r="BD47" s="13">
        <v>515.29999999999995</v>
      </c>
      <c r="BE47" s="13">
        <v>517.29999999999995</v>
      </c>
      <c r="BF47" s="13">
        <v>482.9</v>
      </c>
      <c r="BG47" s="13">
        <v>484</v>
      </c>
      <c r="BH47" s="13">
        <v>480.1</v>
      </c>
      <c r="BI47" s="13">
        <v>477.1</v>
      </c>
      <c r="BJ47" s="13">
        <v>474.6</v>
      </c>
      <c r="BK47" s="13">
        <v>468.4</v>
      </c>
      <c r="BL47" s="13">
        <v>471.5</v>
      </c>
      <c r="BM47" s="4">
        <v>471.5</v>
      </c>
      <c r="BN47" s="4">
        <v>482</v>
      </c>
      <c r="BO47" s="4">
        <v>474</v>
      </c>
      <c r="BP47" s="4">
        <v>471.8</v>
      </c>
    </row>
    <row r="48" spans="1:68" ht="15.9" customHeight="1">
      <c r="A48" s="64" t="s">
        <v>91</v>
      </c>
      <c r="B48" s="6" t="s">
        <v>92</v>
      </c>
      <c r="C48" s="15" t="str">
        <f>_xll.RssMarket("3941","現在値")</f>
        <v/>
      </c>
      <c r="D48" s="16" t="e">
        <f t="shared" si="1"/>
        <v>#VALUE!</v>
      </c>
      <c r="E48" s="13">
        <v>1430.5</v>
      </c>
      <c r="F48" s="13">
        <v>1435.5</v>
      </c>
      <c r="G48" s="13">
        <v>1419.5</v>
      </c>
      <c r="H48" s="13">
        <v>1405</v>
      </c>
      <c r="I48" s="13">
        <v>1412.5</v>
      </c>
      <c r="J48" s="13">
        <v>1410.5</v>
      </c>
      <c r="K48" s="13">
        <v>1448</v>
      </c>
      <c r="L48" s="13">
        <v>1428.5</v>
      </c>
      <c r="M48" s="13">
        <v>1411</v>
      </c>
      <c r="N48" s="13">
        <v>1406.5</v>
      </c>
      <c r="O48" s="13">
        <v>1415.5</v>
      </c>
      <c r="P48" s="13">
        <v>1417.5</v>
      </c>
      <c r="Q48" s="13">
        <v>1437.5</v>
      </c>
      <c r="R48" s="13">
        <v>1435.5</v>
      </c>
      <c r="S48" s="13">
        <v>1407.5</v>
      </c>
      <c r="T48" s="13">
        <v>1393</v>
      </c>
      <c r="U48" s="13">
        <v>1404.5</v>
      </c>
      <c r="V48" s="13">
        <v>1401</v>
      </c>
      <c r="W48" s="13">
        <v>1430.5</v>
      </c>
      <c r="X48" s="13">
        <v>1408</v>
      </c>
      <c r="Y48" s="13">
        <v>1413</v>
      </c>
      <c r="Z48" s="13">
        <v>1383.5</v>
      </c>
      <c r="AA48" s="13">
        <v>1372</v>
      </c>
      <c r="AB48" s="13">
        <v>1389.5</v>
      </c>
      <c r="AC48" s="13">
        <v>1377.5</v>
      </c>
      <c r="AD48" s="13">
        <v>1389</v>
      </c>
      <c r="AE48" s="13">
        <v>1379</v>
      </c>
      <c r="AF48" s="13">
        <v>1401</v>
      </c>
      <c r="AG48" s="13">
        <v>1397</v>
      </c>
      <c r="AH48" s="13">
        <v>1413</v>
      </c>
      <c r="AI48" s="13">
        <v>1458</v>
      </c>
      <c r="AJ48" s="13">
        <v>1424.5</v>
      </c>
      <c r="AK48" s="13">
        <v>1419.5</v>
      </c>
      <c r="AL48" s="13">
        <v>1387</v>
      </c>
      <c r="AM48" s="13">
        <v>1396</v>
      </c>
      <c r="AN48" s="13">
        <v>1411</v>
      </c>
      <c r="AO48" s="13">
        <v>1392</v>
      </c>
      <c r="AP48" s="13">
        <v>1409</v>
      </c>
      <c r="AQ48" s="13">
        <v>1384.5</v>
      </c>
      <c r="AR48" s="13">
        <v>1404</v>
      </c>
      <c r="AS48" s="13">
        <v>1385</v>
      </c>
      <c r="AT48" s="13">
        <v>1244</v>
      </c>
      <c r="AU48" s="13">
        <v>1218.5</v>
      </c>
      <c r="AV48" s="13">
        <v>1228.5</v>
      </c>
      <c r="AW48" s="13">
        <v>1240</v>
      </c>
      <c r="AX48" s="13">
        <v>1236.5</v>
      </c>
      <c r="AY48" s="13">
        <v>1227</v>
      </c>
      <c r="AZ48" s="13">
        <v>1228.5</v>
      </c>
      <c r="BA48" s="13">
        <v>1256</v>
      </c>
      <c r="BB48" s="13">
        <v>1269.5</v>
      </c>
      <c r="BC48" s="13">
        <v>1274</v>
      </c>
      <c r="BD48" s="13">
        <v>1271.5</v>
      </c>
      <c r="BE48" s="13">
        <v>1292.5</v>
      </c>
      <c r="BF48" s="13">
        <v>1306</v>
      </c>
      <c r="BG48" s="13">
        <v>1265</v>
      </c>
      <c r="BH48" s="13">
        <v>1251.5</v>
      </c>
      <c r="BI48" s="13">
        <v>1282</v>
      </c>
      <c r="BJ48" s="13">
        <v>1263</v>
      </c>
      <c r="BK48" s="13">
        <v>1263.5</v>
      </c>
      <c r="BL48" s="13">
        <v>1264</v>
      </c>
      <c r="BM48" s="4">
        <v>1268</v>
      </c>
      <c r="BN48" s="4">
        <v>1288</v>
      </c>
      <c r="BO48" s="4">
        <v>1284.5</v>
      </c>
      <c r="BP48" s="4">
        <v>1256.5</v>
      </c>
    </row>
    <row r="49" spans="1:68" ht="15.9" customHeight="1">
      <c r="A49" s="64" t="s">
        <v>93</v>
      </c>
      <c r="B49" s="6" t="s">
        <v>94</v>
      </c>
      <c r="C49" s="15" t="str">
        <f>_xll.RssMarket("5929","現在値")</f>
        <v/>
      </c>
      <c r="D49" s="16" t="e">
        <f t="shared" si="1"/>
        <v>#VALUE!</v>
      </c>
      <c r="E49" s="13">
        <v>3768</v>
      </c>
      <c r="F49" s="13">
        <v>3708</v>
      </c>
      <c r="G49" s="13">
        <v>3689</v>
      </c>
      <c r="H49" s="13">
        <v>3660</v>
      </c>
      <c r="I49" s="13">
        <v>3670</v>
      </c>
      <c r="J49" s="13">
        <v>3722</v>
      </c>
      <c r="K49" s="13">
        <v>3708</v>
      </c>
      <c r="L49" s="13">
        <v>3874</v>
      </c>
      <c r="M49" s="13">
        <v>3808</v>
      </c>
      <c r="N49" s="13">
        <v>3800</v>
      </c>
      <c r="O49" s="13">
        <v>3742</v>
      </c>
      <c r="P49" s="13">
        <v>3789</v>
      </c>
      <c r="Q49" s="13">
        <v>3847</v>
      </c>
      <c r="R49" s="13">
        <v>3729</v>
      </c>
      <c r="S49" s="13">
        <v>3749</v>
      </c>
      <c r="T49" s="13">
        <v>3660</v>
      </c>
      <c r="U49" s="13">
        <v>3675</v>
      </c>
      <c r="V49" s="13">
        <v>3672</v>
      </c>
      <c r="W49" s="13">
        <v>3713</v>
      </c>
      <c r="X49" s="13">
        <v>3702</v>
      </c>
      <c r="Y49" s="13">
        <v>3618</v>
      </c>
      <c r="Z49" s="13">
        <v>3598</v>
      </c>
      <c r="AA49" s="13">
        <v>3646</v>
      </c>
      <c r="AB49" s="13">
        <v>3504</v>
      </c>
      <c r="AC49" s="13">
        <v>3538</v>
      </c>
      <c r="AD49" s="13">
        <v>3463</v>
      </c>
      <c r="AE49" s="13">
        <v>3425</v>
      </c>
      <c r="AF49" s="13">
        <v>3337</v>
      </c>
      <c r="AG49" s="13">
        <v>3599</v>
      </c>
      <c r="AH49" s="13">
        <v>3645</v>
      </c>
      <c r="AI49" s="13">
        <v>3475</v>
      </c>
      <c r="AJ49" s="13">
        <v>3400</v>
      </c>
      <c r="AK49" s="13">
        <v>3299</v>
      </c>
      <c r="AL49" s="13">
        <v>3306</v>
      </c>
      <c r="AM49" s="13">
        <v>3339</v>
      </c>
      <c r="AN49" s="13">
        <v>3283</v>
      </c>
      <c r="AO49" s="13">
        <v>3389</v>
      </c>
      <c r="AP49" s="13">
        <v>3315</v>
      </c>
      <c r="AQ49" s="13">
        <v>3455</v>
      </c>
      <c r="AR49" s="13">
        <v>3646</v>
      </c>
      <c r="AS49" s="13">
        <v>3536</v>
      </c>
      <c r="AT49" s="13">
        <v>3508</v>
      </c>
      <c r="AU49" s="13">
        <v>3602</v>
      </c>
      <c r="AV49" s="13">
        <v>3643</v>
      </c>
      <c r="AW49" s="13">
        <v>3614</v>
      </c>
      <c r="AX49" s="13">
        <v>3540</v>
      </c>
      <c r="AY49" s="13">
        <v>3569</v>
      </c>
      <c r="AZ49" s="13">
        <v>3653</v>
      </c>
      <c r="BA49" s="13">
        <v>3596</v>
      </c>
      <c r="BB49" s="13">
        <v>3591</v>
      </c>
      <c r="BC49" s="13">
        <v>3617</v>
      </c>
      <c r="BD49" s="13">
        <v>3652</v>
      </c>
      <c r="BE49" s="13">
        <v>3675</v>
      </c>
      <c r="BF49" s="13">
        <v>3663</v>
      </c>
      <c r="BG49" s="13">
        <v>3600</v>
      </c>
      <c r="BH49" s="13">
        <v>3632</v>
      </c>
      <c r="BI49" s="13">
        <v>3707</v>
      </c>
      <c r="BJ49" s="13">
        <v>3698</v>
      </c>
      <c r="BK49" s="13">
        <v>3681</v>
      </c>
      <c r="BL49" s="13">
        <v>3691</v>
      </c>
      <c r="BM49" s="4">
        <v>3719</v>
      </c>
      <c r="BN49" s="4">
        <v>3742</v>
      </c>
      <c r="BO49" s="4">
        <v>3618</v>
      </c>
      <c r="BP49" s="4">
        <v>3541</v>
      </c>
    </row>
    <row r="50" spans="1:68" ht="15.9" customHeight="1">
      <c r="A50" s="64" t="s">
        <v>95</v>
      </c>
      <c r="B50" s="6" t="s">
        <v>96</v>
      </c>
      <c r="C50" s="15" t="str">
        <f>_xll.RssMarket("8316","現在値")</f>
        <v/>
      </c>
      <c r="D50" s="16" t="e">
        <f t="shared" si="1"/>
        <v>#VALUE!</v>
      </c>
      <c r="E50" s="13">
        <v>6721</v>
      </c>
      <c r="F50" s="13">
        <v>7121</v>
      </c>
      <c r="G50" s="13">
        <v>6967</v>
      </c>
      <c r="H50" s="13">
        <v>6925</v>
      </c>
      <c r="I50" s="13">
        <v>6814</v>
      </c>
      <c r="J50" s="13">
        <v>6816</v>
      </c>
      <c r="K50" s="13">
        <v>6811</v>
      </c>
      <c r="L50" s="13">
        <v>6812</v>
      </c>
      <c r="M50" s="13">
        <v>6800</v>
      </c>
      <c r="N50" s="13">
        <v>6672</v>
      </c>
      <c r="O50" s="13">
        <v>6573</v>
      </c>
      <c r="P50" s="13">
        <v>6433</v>
      </c>
      <c r="Q50" s="13">
        <v>6346</v>
      </c>
      <c r="R50" s="13">
        <v>6344</v>
      </c>
      <c r="S50" s="13">
        <v>6391</v>
      </c>
      <c r="T50" s="13">
        <v>6340</v>
      </c>
      <c r="U50" s="13">
        <v>6356</v>
      </c>
      <c r="V50" s="13">
        <v>6458</v>
      </c>
      <c r="W50" s="13">
        <v>6645</v>
      </c>
      <c r="X50" s="13">
        <v>6482</v>
      </c>
      <c r="Y50" s="13">
        <v>6450</v>
      </c>
      <c r="Z50" s="13">
        <v>6409</v>
      </c>
      <c r="AA50" s="13">
        <v>6519</v>
      </c>
      <c r="AB50" s="13">
        <v>6406</v>
      </c>
      <c r="AC50" s="13">
        <v>6203</v>
      </c>
      <c r="AD50" s="13">
        <v>6227</v>
      </c>
      <c r="AE50" s="13">
        <v>6105</v>
      </c>
      <c r="AF50" s="13">
        <v>6230</v>
      </c>
      <c r="AG50" s="13">
        <v>6129</v>
      </c>
      <c r="AH50" s="13">
        <v>6148</v>
      </c>
      <c r="AI50" s="13">
        <v>5951</v>
      </c>
      <c r="AJ50" s="13">
        <v>5861</v>
      </c>
      <c r="AK50" s="13">
        <v>5819</v>
      </c>
      <c r="AL50" s="13">
        <v>5849</v>
      </c>
      <c r="AM50" s="13">
        <v>5950</v>
      </c>
      <c r="AN50" s="13">
        <v>6056</v>
      </c>
      <c r="AO50" s="13">
        <v>6006</v>
      </c>
      <c r="AP50" s="13">
        <v>6031</v>
      </c>
      <c r="AQ50" s="13">
        <v>5882</v>
      </c>
      <c r="AR50" s="13">
        <v>5942</v>
      </c>
      <c r="AS50" s="13">
        <v>5732</v>
      </c>
      <c r="AT50" s="13">
        <v>5702</v>
      </c>
      <c r="AU50" s="13">
        <v>5675</v>
      </c>
      <c r="AV50" s="13">
        <v>5852</v>
      </c>
      <c r="AW50" s="13">
        <v>5789</v>
      </c>
      <c r="AX50" s="13">
        <v>5661</v>
      </c>
      <c r="AY50" s="13">
        <v>5546</v>
      </c>
      <c r="AZ50" s="13">
        <v>5689</v>
      </c>
      <c r="BA50" s="13">
        <v>5541</v>
      </c>
      <c r="BB50" s="13">
        <v>5512</v>
      </c>
      <c r="BC50" s="13">
        <v>5648</v>
      </c>
      <c r="BD50" s="13">
        <v>5404</v>
      </c>
      <c r="BE50" s="13">
        <v>5347</v>
      </c>
      <c r="BF50" s="13">
        <v>5350</v>
      </c>
      <c r="BG50" s="13">
        <v>5442</v>
      </c>
      <c r="BH50" s="13">
        <v>5471</v>
      </c>
      <c r="BI50" s="13">
        <v>5575</v>
      </c>
      <c r="BJ50" s="13">
        <v>5598</v>
      </c>
      <c r="BK50" s="13">
        <v>5690</v>
      </c>
      <c r="BL50" s="13">
        <v>5650</v>
      </c>
      <c r="BM50" s="4">
        <v>5539</v>
      </c>
      <c r="BN50" s="4">
        <v>5577</v>
      </c>
      <c r="BO50" s="4">
        <v>5536</v>
      </c>
      <c r="BP50" s="4">
        <v>5552</v>
      </c>
    </row>
    <row r="51" spans="1:68" ht="15.9" customHeight="1">
      <c r="A51" s="64" t="s">
        <v>97</v>
      </c>
      <c r="B51" s="6" t="s">
        <v>98</v>
      </c>
      <c r="C51" s="15" t="str">
        <f>_xll.RssMarket("5449","現在値")</f>
        <v/>
      </c>
      <c r="D51" s="16" t="e">
        <f t="shared" si="1"/>
        <v>#VALUE!</v>
      </c>
      <c r="E51" s="13">
        <v>2539</v>
      </c>
      <c r="F51" s="13">
        <v>2537</v>
      </c>
      <c r="G51" s="13">
        <v>2486</v>
      </c>
      <c r="H51" s="13">
        <v>2532</v>
      </c>
      <c r="I51" s="13">
        <v>2526</v>
      </c>
      <c r="J51" s="13">
        <v>2478</v>
      </c>
      <c r="K51" s="13">
        <v>2513</v>
      </c>
      <c r="L51" s="13">
        <v>2405</v>
      </c>
      <c r="M51" s="13">
        <v>2421</v>
      </c>
      <c r="N51" s="13">
        <v>2328</v>
      </c>
      <c r="O51" s="13">
        <v>2265</v>
      </c>
      <c r="P51" s="13">
        <v>2278</v>
      </c>
      <c r="Q51" s="13">
        <v>2387</v>
      </c>
      <c r="R51" s="13">
        <v>2291</v>
      </c>
      <c r="S51" s="13">
        <v>2284</v>
      </c>
      <c r="T51" s="13">
        <v>2301</v>
      </c>
      <c r="U51" s="13">
        <v>2331</v>
      </c>
      <c r="V51" s="13">
        <v>2342</v>
      </c>
      <c r="W51" s="13">
        <v>2358</v>
      </c>
      <c r="X51" s="13">
        <v>2238</v>
      </c>
      <c r="Y51" s="13">
        <v>2406</v>
      </c>
      <c r="Z51" s="13">
        <v>2336</v>
      </c>
      <c r="AA51" s="13">
        <v>2306</v>
      </c>
      <c r="AB51" s="13">
        <v>2321</v>
      </c>
      <c r="AC51" s="13">
        <v>2296</v>
      </c>
      <c r="AD51" s="13">
        <v>2358</v>
      </c>
      <c r="AE51" s="13">
        <v>2359</v>
      </c>
      <c r="AF51" s="13">
        <v>2405</v>
      </c>
      <c r="AG51" s="13">
        <v>2321</v>
      </c>
      <c r="AH51" s="13">
        <v>2314</v>
      </c>
      <c r="AI51" s="13">
        <v>2593</v>
      </c>
      <c r="AJ51" s="13">
        <v>2597</v>
      </c>
      <c r="AK51" s="13">
        <v>2680</v>
      </c>
      <c r="AL51" s="13">
        <v>2508</v>
      </c>
      <c r="AM51" s="13">
        <v>2381</v>
      </c>
      <c r="AN51" s="13">
        <v>2377</v>
      </c>
      <c r="AO51" s="13">
        <v>2272</v>
      </c>
      <c r="AP51" s="13">
        <v>2263</v>
      </c>
      <c r="AQ51" s="13">
        <v>2251</v>
      </c>
      <c r="AR51" s="13">
        <v>2375</v>
      </c>
      <c r="AS51" s="13">
        <v>2343</v>
      </c>
      <c r="AT51" s="13">
        <v>2315</v>
      </c>
      <c r="AU51" s="13">
        <v>2469</v>
      </c>
      <c r="AV51" s="13">
        <v>2555</v>
      </c>
      <c r="AW51" s="13">
        <v>2545</v>
      </c>
      <c r="AX51" s="13">
        <v>2607</v>
      </c>
      <c r="AY51" s="13">
        <v>2518</v>
      </c>
      <c r="AZ51" s="13">
        <v>2459</v>
      </c>
      <c r="BA51" s="13">
        <v>2469</v>
      </c>
      <c r="BB51" s="13">
        <v>2318</v>
      </c>
      <c r="BC51" s="13">
        <v>2312</v>
      </c>
      <c r="BD51" s="13">
        <v>2315</v>
      </c>
      <c r="BE51" s="13">
        <v>2349</v>
      </c>
      <c r="BF51" s="13">
        <v>2398</v>
      </c>
      <c r="BG51" s="13">
        <v>2428</v>
      </c>
      <c r="BH51" s="13">
        <v>2416</v>
      </c>
      <c r="BI51" s="13">
        <v>2409</v>
      </c>
      <c r="BJ51" s="13">
        <v>2450</v>
      </c>
      <c r="BK51" s="13">
        <v>2456</v>
      </c>
      <c r="BL51" s="13">
        <v>2393</v>
      </c>
      <c r="BM51" s="4">
        <v>2481</v>
      </c>
      <c r="BN51" s="4">
        <v>2648</v>
      </c>
      <c r="BO51" s="4">
        <v>2702</v>
      </c>
      <c r="BP51" s="4">
        <v>2679</v>
      </c>
    </row>
    <row r="52" spans="1:68" ht="15.9" customHeight="1">
      <c r="A52" s="64" t="s">
        <v>99</v>
      </c>
      <c r="B52" s="6" t="s">
        <v>100</v>
      </c>
      <c r="C52" s="15" t="str">
        <f>_xll.RssMarket("8766","現在値")</f>
        <v/>
      </c>
      <c r="D52" s="16" t="e">
        <f t="shared" si="1"/>
        <v>#VALUE!</v>
      </c>
      <c r="E52" s="13">
        <v>7526</v>
      </c>
      <c r="F52" s="13">
        <v>7772</v>
      </c>
      <c r="G52" s="13">
        <v>7720</v>
      </c>
      <c r="H52" s="13">
        <v>7613</v>
      </c>
      <c r="I52" s="13">
        <v>7609</v>
      </c>
      <c r="J52" s="13">
        <v>7870</v>
      </c>
      <c r="K52" s="13">
        <v>7700</v>
      </c>
      <c r="L52" s="13">
        <v>7810</v>
      </c>
      <c r="M52" s="13">
        <v>7584</v>
      </c>
      <c r="N52" s="13">
        <v>7511</v>
      </c>
      <c r="O52" s="13">
        <v>7112</v>
      </c>
      <c r="P52" s="13">
        <v>7202</v>
      </c>
      <c r="Q52" s="13">
        <v>7248</v>
      </c>
      <c r="R52" s="13">
        <v>6903</v>
      </c>
      <c r="S52" s="13">
        <v>6850</v>
      </c>
      <c r="T52" s="13">
        <v>6970</v>
      </c>
      <c r="U52" s="13">
        <v>7288</v>
      </c>
      <c r="V52" s="13">
        <v>7298</v>
      </c>
      <c r="W52" s="13">
        <v>7194</v>
      </c>
      <c r="X52" s="13">
        <v>7252</v>
      </c>
      <c r="Y52" s="13">
        <v>7288</v>
      </c>
      <c r="Z52" s="13">
        <v>7325</v>
      </c>
      <c r="AA52" s="13">
        <v>7404</v>
      </c>
      <c r="AB52" s="13">
        <v>7406</v>
      </c>
      <c r="AC52" s="13">
        <v>7232</v>
      </c>
      <c r="AD52" s="13">
        <v>6996</v>
      </c>
      <c r="AE52" s="13">
        <v>6940</v>
      </c>
      <c r="AF52" s="13">
        <v>7098</v>
      </c>
      <c r="AG52" s="13">
        <v>7046</v>
      </c>
      <c r="AH52" s="13">
        <v>7108</v>
      </c>
      <c r="AI52" s="13">
        <v>7111</v>
      </c>
      <c r="AJ52" s="13">
        <v>7189</v>
      </c>
      <c r="AK52" s="13">
        <v>7367</v>
      </c>
      <c r="AL52" s="13">
        <v>7387</v>
      </c>
      <c r="AM52" s="13">
        <v>7381</v>
      </c>
      <c r="AN52" s="13">
        <v>7697</v>
      </c>
      <c r="AO52" s="13">
        <v>7817</v>
      </c>
      <c r="AP52" s="13">
        <v>7949</v>
      </c>
      <c r="AQ52" s="13">
        <v>7627</v>
      </c>
      <c r="AR52" s="13">
        <v>7568</v>
      </c>
      <c r="AS52" s="13">
        <v>7362</v>
      </c>
      <c r="AT52" s="13">
        <v>7369</v>
      </c>
      <c r="AU52" s="13">
        <v>7140</v>
      </c>
      <c r="AV52" s="13">
        <v>7150</v>
      </c>
      <c r="AW52" s="13">
        <v>7030</v>
      </c>
      <c r="AX52" s="13">
        <v>7210</v>
      </c>
      <c r="AY52" s="13">
        <v>7093</v>
      </c>
      <c r="AZ52" s="13">
        <v>7202</v>
      </c>
      <c r="BA52" s="13">
        <v>7238</v>
      </c>
      <c r="BB52" s="13">
        <v>7164</v>
      </c>
      <c r="BC52" s="13">
        <v>7176</v>
      </c>
      <c r="BD52" s="13">
        <v>7072</v>
      </c>
      <c r="BE52" s="13">
        <v>7218</v>
      </c>
      <c r="BF52" s="13">
        <v>7159</v>
      </c>
      <c r="BG52" s="13">
        <v>7175</v>
      </c>
      <c r="BH52" s="13">
        <v>6933</v>
      </c>
      <c r="BI52" s="13">
        <v>6972</v>
      </c>
      <c r="BJ52" s="13">
        <v>6836</v>
      </c>
      <c r="BK52" s="13">
        <v>6915</v>
      </c>
      <c r="BL52" s="13">
        <v>7000</v>
      </c>
      <c r="BM52" s="4">
        <v>7095</v>
      </c>
      <c r="BN52" s="4">
        <v>7250</v>
      </c>
      <c r="BO52" s="4">
        <v>7370</v>
      </c>
      <c r="BP52" s="4">
        <v>7277</v>
      </c>
    </row>
    <row r="53" spans="1:68" ht="15.9" customHeight="1">
      <c r="A53" s="64" t="s">
        <v>101</v>
      </c>
      <c r="B53" s="6" t="s">
        <v>102</v>
      </c>
      <c r="C53" s="15" t="str">
        <f>_xll.RssMarket("5201","現在値")</f>
        <v/>
      </c>
      <c r="D53" s="16" t="e">
        <f t="shared" si="1"/>
        <v>#VALUE!</v>
      </c>
      <c r="E53" s="13">
        <v>6135</v>
      </c>
      <c r="F53" s="13">
        <v>6516</v>
      </c>
      <c r="G53" s="13">
        <v>6422</v>
      </c>
      <c r="H53" s="13">
        <v>6339</v>
      </c>
      <c r="I53" s="13">
        <v>6426</v>
      </c>
      <c r="J53" s="13">
        <v>6479</v>
      </c>
      <c r="K53" s="13">
        <v>6418</v>
      </c>
      <c r="L53" s="13">
        <v>6737</v>
      </c>
      <c r="M53" s="13">
        <v>6885</v>
      </c>
      <c r="N53" s="13">
        <v>6780</v>
      </c>
      <c r="O53" s="13">
        <v>6957</v>
      </c>
      <c r="P53" s="13">
        <v>6965</v>
      </c>
      <c r="Q53" s="13">
        <v>6914</v>
      </c>
      <c r="R53" s="13">
        <v>7146</v>
      </c>
      <c r="S53" s="13">
        <v>7264</v>
      </c>
      <c r="T53" s="13">
        <v>7178</v>
      </c>
      <c r="U53" s="13">
        <v>7250</v>
      </c>
      <c r="V53" s="13">
        <v>7551</v>
      </c>
      <c r="W53" s="13">
        <v>7616</v>
      </c>
      <c r="X53" s="13">
        <v>7421</v>
      </c>
      <c r="Y53" s="13">
        <v>7270</v>
      </c>
      <c r="Z53" s="13">
        <v>7023</v>
      </c>
      <c r="AA53" s="13">
        <v>6964</v>
      </c>
      <c r="AB53" s="13">
        <v>6941</v>
      </c>
      <c r="AC53" s="13">
        <v>7214</v>
      </c>
      <c r="AD53" s="13">
        <v>7735</v>
      </c>
      <c r="AE53" s="13">
        <v>8117</v>
      </c>
      <c r="AF53" s="13">
        <v>8221</v>
      </c>
      <c r="AG53" s="13">
        <v>7643</v>
      </c>
      <c r="AH53" s="13">
        <v>7006</v>
      </c>
      <c r="AI53" s="13">
        <v>6938</v>
      </c>
      <c r="AJ53" s="13">
        <v>6883</v>
      </c>
      <c r="AK53" s="13">
        <v>7020</v>
      </c>
      <c r="AL53" s="13">
        <v>6657</v>
      </c>
      <c r="AM53" s="13">
        <v>6495</v>
      </c>
      <c r="AN53" s="13">
        <v>6216</v>
      </c>
      <c r="AO53" s="13">
        <v>6049</v>
      </c>
      <c r="AP53" s="13">
        <v>6226</v>
      </c>
      <c r="AQ53" s="13">
        <v>5957</v>
      </c>
      <c r="AR53" s="13">
        <v>5999</v>
      </c>
      <c r="AS53" s="13">
        <v>6033</v>
      </c>
      <c r="AT53" s="13">
        <v>6065</v>
      </c>
      <c r="AU53" s="13">
        <v>6014</v>
      </c>
      <c r="AV53" s="13">
        <v>5636</v>
      </c>
      <c r="AW53" s="13">
        <v>5580</v>
      </c>
      <c r="AX53" s="13">
        <v>5683</v>
      </c>
      <c r="AY53" s="13">
        <v>5574</v>
      </c>
      <c r="AZ53" s="13">
        <v>5589</v>
      </c>
      <c r="BA53" s="13">
        <v>5754</v>
      </c>
      <c r="BB53" s="13">
        <v>5689</v>
      </c>
      <c r="BC53" s="13">
        <v>5629</v>
      </c>
      <c r="BD53" s="13">
        <v>5597</v>
      </c>
      <c r="BE53" s="13">
        <v>5664</v>
      </c>
      <c r="BF53" s="13">
        <v>5769</v>
      </c>
      <c r="BG53" s="13">
        <v>5739</v>
      </c>
      <c r="BH53" s="13">
        <v>5717</v>
      </c>
      <c r="BI53" s="13">
        <v>5750</v>
      </c>
      <c r="BJ53" s="13">
        <v>5618</v>
      </c>
      <c r="BK53" s="13">
        <v>5643</v>
      </c>
      <c r="BL53" s="13">
        <v>5682</v>
      </c>
      <c r="BM53" s="4">
        <v>5827</v>
      </c>
      <c r="BN53" s="4">
        <v>5873</v>
      </c>
      <c r="BO53" s="4">
        <v>5951</v>
      </c>
      <c r="BP53" s="4">
        <v>5570</v>
      </c>
    </row>
    <row r="54" spans="1:68" ht="15.9" customHeight="1">
      <c r="A54" s="64" t="s">
        <v>103</v>
      </c>
      <c r="B54" s="6" t="s">
        <v>104</v>
      </c>
      <c r="C54" s="15" t="str">
        <f>_xll.RssMarket("8630","現在値")</f>
        <v/>
      </c>
      <c r="D54" s="16" t="e">
        <f t="shared" si="1"/>
        <v>#VALUE!</v>
      </c>
      <c r="E54" s="13">
        <v>6630</v>
      </c>
      <c r="F54" s="13">
        <v>6637</v>
      </c>
      <c r="G54" s="13">
        <v>6584</v>
      </c>
      <c r="H54" s="13">
        <v>6478</v>
      </c>
      <c r="I54" s="13">
        <v>6513</v>
      </c>
      <c r="J54" s="13">
        <v>6645</v>
      </c>
      <c r="K54" s="13">
        <v>6714</v>
      </c>
      <c r="L54" s="13">
        <v>6770</v>
      </c>
      <c r="M54" s="13">
        <v>6635</v>
      </c>
      <c r="N54" s="13">
        <v>6486</v>
      </c>
      <c r="O54" s="13">
        <v>6250</v>
      </c>
      <c r="P54" s="13">
        <v>6238</v>
      </c>
      <c r="Q54" s="13">
        <v>6214</v>
      </c>
      <c r="R54" s="13">
        <v>6126</v>
      </c>
      <c r="S54" s="13">
        <v>6105</v>
      </c>
      <c r="T54" s="13">
        <v>6151</v>
      </c>
      <c r="U54" s="13">
        <v>6352</v>
      </c>
      <c r="V54" s="13">
        <v>6459</v>
      </c>
      <c r="W54" s="13">
        <v>6342</v>
      </c>
      <c r="X54" s="13">
        <v>6194</v>
      </c>
      <c r="Y54" s="13">
        <v>6248</v>
      </c>
      <c r="Z54" s="13">
        <v>6149</v>
      </c>
      <c r="AA54" s="13">
        <v>6174</v>
      </c>
      <c r="AB54" s="13">
        <v>6146</v>
      </c>
      <c r="AC54" s="13">
        <v>5992</v>
      </c>
      <c r="AD54" s="13">
        <v>5898</v>
      </c>
      <c r="AE54" s="13">
        <v>5774</v>
      </c>
      <c r="AF54" s="13">
        <v>5900</v>
      </c>
      <c r="AG54" s="13">
        <v>5906</v>
      </c>
      <c r="AH54" s="13">
        <v>5958</v>
      </c>
      <c r="AI54" s="13">
        <v>5902</v>
      </c>
      <c r="AJ54" s="13">
        <v>5933</v>
      </c>
      <c r="AK54" s="13">
        <v>5575</v>
      </c>
      <c r="AL54" s="13">
        <v>5676</v>
      </c>
      <c r="AM54" s="13">
        <v>5568</v>
      </c>
      <c r="AN54" s="13">
        <v>6238</v>
      </c>
      <c r="AO54" s="13">
        <v>6435</v>
      </c>
      <c r="AP54" s="13">
        <v>6134</v>
      </c>
      <c r="AQ54" s="13">
        <v>6100</v>
      </c>
      <c r="AR54" s="13">
        <v>5998</v>
      </c>
      <c r="AS54" s="13">
        <v>6084</v>
      </c>
      <c r="AT54" s="13">
        <v>5893</v>
      </c>
      <c r="AU54" s="13">
        <v>5821</v>
      </c>
      <c r="AV54" s="13">
        <v>5762</v>
      </c>
      <c r="AW54" s="13">
        <v>5857</v>
      </c>
      <c r="AX54" s="13">
        <v>5705</v>
      </c>
      <c r="AY54" s="13">
        <v>5797</v>
      </c>
      <c r="AZ54" s="13">
        <v>5771</v>
      </c>
      <c r="BA54" s="13">
        <v>5695</v>
      </c>
      <c r="BB54" s="13">
        <v>5837</v>
      </c>
      <c r="BC54" s="13">
        <v>5833</v>
      </c>
      <c r="BD54" s="13">
        <v>5820</v>
      </c>
      <c r="BE54" s="13">
        <v>5888</v>
      </c>
      <c r="BF54" s="13">
        <v>5876</v>
      </c>
      <c r="BG54" s="13">
        <v>5898</v>
      </c>
      <c r="BH54" s="13">
        <v>5974</v>
      </c>
      <c r="BI54" s="13">
        <v>5900</v>
      </c>
      <c r="BJ54" s="13">
        <v>5902</v>
      </c>
      <c r="BK54" s="13">
        <v>5915</v>
      </c>
      <c r="BL54" s="13">
        <v>5976</v>
      </c>
      <c r="BM54" s="4">
        <v>5994</v>
      </c>
      <c r="BN54" s="4">
        <v>6180</v>
      </c>
      <c r="BO54" s="4">
        <v>6071</v>
      </c>
      <c r="BP54" s="4">
        <v>6018</v>
      </c>
    </row>
    <row r="55" spans="1:68" ht="15.9" customHeight="1">
      <c r="A55" s="64" t="s">
        <v>105</v>
      </c>
      <c r="B55" s="6" t="s">
        <v>106</v>
      </c>
      <c r="C55" s="15" t="str">
        <f>_xll.RssMarket("5901","現在値")</f>
        <v/>
      </c>
      <c r="D55" s="16" t="e">
        <f t="shared" si="1"/>
        <v>#VALUE!</v>
      </c>
      <c r="E55" s="13">
        <v>4053</v>
      </c>
      <c r="F55" s="13">
        <v>4027</v>
      </c>
      <c r="G55" s="13">
        <v>4005</v>
      </c>
      <c r="H55" s="13">
        <v>3999</v>
      </c>
      <c r="I55" s="13">
        <v>4027</v>
      </c>
      <c r="J55" s="13">
        <v>4046</v>
      </c>
      <c r="K55" s="13">
        <v>4105</v>
      </c>
      <c r="L55" s="13">
        <v>4162</v>
      </c>
      <c r="M55" s="13">
        <v>4111</v>
      </c>
      <c r="N55" s="13">
        <v>4074</v>
      </c>
      <c r="O55" s="13">
        <v>4079</v>
      </c>
      <c r="P55" s="13">
        <v>4083</v>
      </c>
      <c r="Q55" s="13">
        <v>4141</v>
      </c>
      <c r="R55" s="13">
        <v>4167</v>
      </c>
      <c r="S55" s="13">
        <v>4111</v>
      </c>
      <c r="T55" s="13">
        <v>4068</v>
      </c>
      <c r="U55" s="13">
        <v>4096</v>
      </c>
      <c r="V55" s="13">
        <v>4121</v>
      </c>
      <c r="W55" s="13">
        <v>4127</v>
      </c>
      <c r="X55" s="13">
        <v>4076</v>
      </c>
      <c r="Y55" s="13">
        <v>3991</v>
      </c>
      <c r="Z55" s="13">
        <v>3933</v>
      </c>
      <c r="AA55" s="13">
        <v>3837</v>
      </c>
      <c r="AB55" s="13">
        <v>3846</v>
      </c>
      <c r="AC55" s="13">
        <v>3842</v>
      </c>
      <c r="AD55" s="13">
        <v>3772</v>
      </c>
      <c r="AE55" s="13">
        <v>3795</v>
      </c>
      <c r="AF55" s="13">
        <v>3872</v>
      </c>
      <c r="AG55" s="13">
        <v>3778</v>
      </c>
      <c r="AH55" s="13">
        <v>3937</v>
      </c>
      <c r="AI55" s="13">
        <v>3890</v>
      </c>
      <c r="AJ55" s="13">
        <v>3864</v>
      </c>
      <c r="AK55" s="13">
        <v>3949</v>
      </c>
      <c r="AL55" s="13">
        <v>3973</v>
      </c>
      <c r="AM55" s="13">
        <v>3996</v>
      </c>
      <c r="AN55" s="13">
        <v>4344</v>
      </c>
      <c r="AO55" s="13">
        <v>4018</v>
      </c>
      <c r="AP55" s="13">
        <v>4003</v>
      </c>
      <c r="AQ55" s="13">
        <v>3822</v>
      </c>
      <c r="AR55" s="13">
        <v>3706</v>
      </c>
      <c r="AS55" s="13">
        <v>3433</v>
      </c>
      <c r="AT55" s="13">
        <v>3445</v>
      </c>
      <c r="AU55" s="13">
        <v>3363</v>
      </c>
      <c r="AV55" s="13">
        <v>3388</v>
      </c>
      <c r="AW55" s="13">
        <v>3531</v>
      </c>
      <c r="AX55" s="13">
        <v>3438</v>
      </c>
      <c r="AY55" s="13">
        <v>3239</v>
      </c>
      <c r="AZ55" s="13">
        <v>3207</v>
      </c>
      <c r="BA55" s="13">
        <v>3152</v>
      </c>
      <c r="BB55" s="13">
        <v>3220</v>
      </c>
      <c r="BC55" s="13">
        <v>3226</v>
      </c>
      <c r="BD55" s="13">
        <v>3288</v>
      </c>
      <c r="BE55" s="13">
        <v>3397</v>
      </c>
      <c r="BF55" s="13">
        <v>3383</v>
      </c>
      <c r="BG55" s="13">
        <v>3353</v>
      </c>
      <c r="BH55" s="13">
        <v>3409</v>
      </c>
      <c r="BI55" s="13">
        <v>3399</v>
      </c>
      <c r="BJ55" s="13">
        <v>3349</v>
      </c>
      <c r="BK55" s="13">
        <v>3414</v>
      </c>
      <c r="BL55" s="13">
        <v>3474</v>
      </c>
      <c r="BM55" s="4">
        <v>3492</v>
      </c>
      <c r="BN55" s="4">
        <v>3548</v>
      </c>
      <c r="BO55" s="4">
        <v>3458</v>
      </c>
      <c r="BP55" s="4">
        <v>3438</v>
      </c>
    </row>
    <row r="56" spans="1:68" ht="15.9" customHeight="1">
      <c r="A56" s="64" t="s">
        <v>107</v>
      </c>
      <c r="B56" s="6" t="s">
        <v>108</v>
      </c>
      <c r="C56" s="15" t="str">
        <f>_xll.RssMarket("9412","現在値")</f>
        <v/>
      </c>
      <c r="D56" s="16" t="e">
        <f t="shared" si="1"/>
        <v>#VALUE!</v>
      </c>
      <c r="E56" s="13">
        <v>2277</v>
      </c>
      <c r="F56" s="13">
        <v>2435</v>
      </c>
      <c r="G56" s="13">
        <v>2481</v>
      </c>
      <c r="H56" s="13">
        <v>2487</v>
      </c>
      <c r="I56" s="13">
        <v>2530</v>
      </c>
      <c r="J56" s="13">
        <v>2576</v>
      </c>
      <c r="K56" s="13">
        <v>2556</v>
      </c>
      <c r="L56" s="13">
        <v>2664</v>
      </c>
      <c r="M56" s="13">
        <v>2766</v>
      </c>
      <c r="N56" s="13">
        <v>2610</v>
      </c>
      <c r="O56" s="13">
        <v>2552</v>
      </c>
      <c r="P56" s="13">
        <v>2677</v>
      </c>
      <c r="Q56" s="13">
        <v>2593</v>
      </c>
      <c r="R56" s="13">
        <v>2485</v>
      </c>
      <c r="S56" s="13">
        <v>2592</v>
      </c>
      <c r="T56" s="13">
        <v>2794</v>
      </c>
      <c r="U56" s="13">
        <v>2863</v>
      </c>
      <c r="V56" s="13">
        <v>3235</v>
      </c>
      <c r="W56" s="13">
        <v>3200</v>
      </c>
      <c r="X56" s="13">
        <v>3355</v>
      </c>
      <c r="Y56" s="13">
        <v>3270</v>
      </c>
      <c r="Z56" s="13">
        <v>3485</v>
      </c>
      <c r="AA56" s="13">
        <v>3240</v>
      </c>
      <c r="AB56" s="13">
        <v>3165</v>
      </c>
      <c r="AC56" s="13">
        <v>3495</v>
      </c>
      <c r="AD56" s="13">
        <v>3645</v>
      </c>
      <c r="AE56" s="13">
        <v>3415</v>
      </c>
      <c r="AF56" s="13">
        <v>3720</v>
      </c>
      <c r="AG56" s="13">
        <v>3755</v>
      </c>
      <c r="AH56" s="13">
        <v>3950</v>
      </c>
      <c r="AI56" s="13">
        <v>4470</v>
      </c>
      <c r="AJ56" s="13">
        <v>4535</v>
      </c>
      <c r="AK56" s="13">
        <v>4455</v>
      </c>
      <c r="AL56" s="13">
        <v>4260</v>
      </c>
      <c r="AM56" s="13">
        <v>4115</v>
      </c>
      <c r="AN56" s="13">
        <v>4190</v>
      </c>
      <c r="AO56" s="13">
        <v>4045</v>
      </c>
      <c r="AP56" s="13">
        <v>4040</v>
      </c>
      <c r="AQ56" s="13">
        <v>4180</v>
      </c>
      <c r="AR56" s="13">
        <v>4145</v>
      </c>
      <c r="AS56" s="13">
        <v>4205</v>
      </c>
      <c r="AT56" s="13">
        <v>4030</v>
      </c>
      <c r="AU56" s="13">
        <v>3750</v>
      </c>
      <c r="AV56" s="13">
        <v>3690</v>
      </c>
      <c r="AW56" s="13">
        <v>3485</v>
      </c>
      <c r="AX56" s="13">
        <v>3515</v>
      </c>
      <c r="AY56" s="13">
        <v>3450</v>
      </c>
      <c r="AZ56" s="13">
        <v>3315</v>
      </c>
      <c r="BA56" s="13">
        <v>3090</v>
      </c>
      <c r="BB56" s="13">
        <v>3285</v>
      </c>
      <c r="BC56" s="13">
        <v>3170</v>
      </c>
      <c r="BD56" s="13">
        <v>3170</v>
      </c>
      <c r="BE56" s="13">
        <v>3405</v>
      </c>
      <c r="BF56" s="13">
        <v>3325</v>
      </c>
      <c r="BG56" s="13">
        <v>3370</v>
      </c>
      <c r="BH56" s="13">
        <v>3235</v>
      </c>
      <c r="BI56" s="13">
        <v>3145</v>
      </c>
      <c r="BJ56" s="13">
        <v>3155</v>
      </c>
      <c r="BK56" s="13">
        <v>3015</v>
      </c>
      <c r="BL56" s="13">
        <v>3060</v>
      </c>
      <c r="BM56" s="4">
        <v>3140</v>
      </c>
      <c r="BN56" s="4">
        <v>3135</v>
      </c>
      <c r="BO56" s="4">
        <v>3045</v>
      </c>
      <c r="BP56" s="4">
        <v>3060</v>
      </c>
    </row>
    <row r="57" spans="1:68" ht="15.9" customHeight="1">
      <c r="A57" s="64" t="s">
        <v>109</v>
      </c>
      <c r="B57" s="6" t="s">
        <v>110</v>
      </c>
      <c r="C57" s="15" t="str">
        <f>_xll.RssMarket("6203","現在値")</f>
        <v/>
      </c>
      <c r="D57" s="16" t="e">
        <f t="shared" si="1"/>
        <v>#VALUE!</v>
      </c>
      <c r="E57" s="13">
        <v>1426</v>
      </c>
      <c r="F57" s="13">
        <v>1650</v>
      </c>
      <c r="G57" s="13">
        <v>1595</v>
      </c>
      <c r="H57" s="13">
        <v>1601</v>
      </c>
      <c r="I57" s="13">
        <v>1641</v>
      </c>
      <c r="J57" s="13">
        <v>1595</v>
      </c>
      <c r="K57" s="13">
        <v>1589</v>
      </c>
      <c r="L57" s="13">
        <v>1678</v>
      </c>
      <c r="M57" s="13">
        <v>1635</v>
      </c>
      <c r="N57" s="13">
        <v>1569</v>
      </c>
      <c r="O57" s="13">
        <v>1513</v>
      </c>
      <c r="P57" s="13">
        <v>1508</v>
      </c>
      <c r="Q57" s="13">
        <v>1548</v>
      </c>
      <c r="R57" s="13">
        <v>1607</v>
      </c>
      <c r="S57" s="13">
        <v>1581</v>
      </c>
      <c r="T57" s="13">
        <v>1579</v>
      </c>
      <c r="U57" s="13">
        <v>1594</v>
      </c>
      <c r="V57" s="13">
        <v>1709</v>
      </c>
      <c r="W57" s="13">
        <v>1619</v>
      </c>
      <c r="X57" s="13">
        <v>1630</v>
      </c>
      <c r="Y57" s="13">
        <v>1556</v>
      </c>
      <c r="Z57" s="13">
        <v>1541</v>
      </c>
      <c r="AA57" s="13">
        <v>1605</v>
      </c>
      <c r="AB57" s="13">
        <v>1676</v>
      </c>
      <c r="AC57" s="13">
        <v>1795</v>
      </c>
      <c r="AD57" s="13">
        <v>1817</v>
      </c>
      <c r="AE57" s="13">
        <v>1750</v>
      </c>
      <c r="AF57" s="13">
        <v>1830</v>
      </c>
      <c r="AG57" s="13">
        <v>1927</v>
      </c>
      <c r="AH57" s="13">
        <v>1716</v>
      </c>
      <c r="AI57" s="13">
        <v>1783</v>
      </c>
      <c r="AJ57" s="13">
        <v>1670</v>
      </c>
      <c r="AK57" s="13">
        <v>1370</v>
      </c>
      <c r="AL57" s="13">
        <v>1369</v>
      </c>
      <c r="AM57" s="13">
        <v>1353</v>
      </c>
      <c r="AN57" s="13">
        <v>1318</v>
      </c>
      <c r="AO57" s="13">
        <v>1276</v>
      </c>
      <c r="AP57" s="13">
        <v>1323</v>
      </c>
      <c r="AQ57" s="13">
        <v>1301</v>
      </c>
      <c r="AR57" s="13">
        <v>1388</v>
      </c>
      <c r="AS57" s="13">
        <v>1390</v>
      </c>
      <c r="AT57" s="13">
        <v>1457</v>
      </c>
      <c r="AU57" s="13">
        <v>1455</v>
      </c>
      <c r="AV57" s="13">
        <v>1539</v>
      </c>
      <c r="AW57" s="13">
        <v>1506</v>
      </c>
      <c r="AX57" s="13">
        <v>1537</v>
      </c>
      <c r="AY57" s="13">
        <v>1525</v>
      </c>
      <c r="AZ57" s="13">
        <v>1521</v>
      </c>
      <c r="BA57" s="13">
        <v>1585</v>
      </c>
      <c r="BB57" s="13">
        <v>1505</v>
      </c>
      <c r="BC57" s="13">
        <v>1493</v>
      </c>
      <c r="BD57" s="13">
        <v>1511</v>
      </c>
      <c r="BE57" s="13">
        <v>1543</v>
      </c>
      <c r="BF57" s="13">
        <v>1403</v>
      </c>
      <c r="BG57" s="13">
        <v>1357</v>
      </c>
      <c r="BH57" s="13">
        <v>1360</v>
      </c>
      <c r="BI57" s="13">
        <v>1360</v>
      </c>
      <c r="BJ57" s="13">
        <v>1393</v>
      </c>
      <c r="BK57" s="13">
        <v>1449</v>
      </c>
      <c r="BL57" s="13">
        <v>1467</v>
      </c>
      <c r="BM57" s="4">
        <v>1472</v>
      </c>
      <c r="BN57" s="4">
        <v>1485</v>
      </c>
      <c r="BO57" s="4">
        <v>1582</v>
      </c>
      <c r="BP57" s="4">
        <v>1503</v>
      </c>
    </row>
    <row r="58" spans="1:68" ht="15.9" customHeight="1">
      <c r="A58" s="64" t="s">
        <v>111</v>
      </c>
      <c r="B58" s="6" t="s">
        <v>112</v>
      </c>
      <c r="C58" s="15" t="str">
        <f>_xll.RssMarket("4676","現在値")</f>
        <v/>
      </c>
      <c r="D58" s="16" t="e">
        <f t="shared" si="1"/>
        <v>#VALUE!</v>
      </c>
      <c r="E58" s="13">
        <v>4029</v>
      </c>
      <c r="F58" s="13">
        <v>4186</v>
      </c>
      <c r="G58" s="13">
        <v>4177</v>
      </c>
      <c r="H58" s="13">
        <v>4158</v>
      </c>
      <c r="I58" s="13">
        <v>4113</v>
      </c>
      <c r="J58" s="13">
        <v>4075</v>
      </c>
      <c r="K58" s="13">
        <v>4065</v>
      </c>
      <c r="L58" s="13">
        <v>4083</v>
      </c>
      <c r="M58" s="13">
        <v>3970</v>
      </c>
      <c r="N58" s="13">
        <v>3996</v>
      </c>
      <c r="O58" s="13">
        <v>3933</v>
      </c>
      <c r="P58" s="13">
        <v>3829</v>
      </c>
      <c r="Q58" s="13">
        <v>3825</v>
      </c>
      <c r="R58" s="13">
        <v>3843</v>
      </c>
      <c r="S58" s="13">
        <v>3989</v>
      </c>
      <c r="T58" s="13">
        <v>3806</v>
      </c>
      <c r="U58" s="13">
        <v>3900</v>
      </c>
      <c r="V58" s="13">
        <v>4103</v>
      </c>
      <c r="W58" s="13">
        <v>4001</v>
      </c>
      <c r="X58" s="13">
        <v>4007</v>
      </c>
      <c r="Y58" s="13">
        <v>4021</v>
      </c>
      <c r="Z58" s="13">
        <v>4045</v>
      </c>
      <c r="AA58" s="13">
        <v>4094</v>
      </c>
      <c r="AB58" s="13">
        <v>4122</v>
      </c>
      <c r="AC58" s="13">
        <v>4129</v>
      </c>
      <c r="AD58" s="13">
        <v>4176</v>
      </c>
      <c r="AE58" s="13">
        <v>3838</v>
      </c>
      <c r="AF58" s="13">
        <v>3843</v>
      </c>
      <c r="AG58" s="13">
        <v>3866</v>
      </c>
      <c r="AH58" s="13">
        <v>3774</v>
      </c>
      <c r="AI58" s="13">
        <v>3737</v>
      </c>
      <c r="AJ58" s="13">
        <v>3744</v>
      </c>
      <c r="AK58" s="13">
        <v>3701</v>
      </c>
      <c r="AL58" s="13">
        <v>3802</v>
      </c>
      <c r="AM58" s="13">
        <v>3808</v>
      </c>
      <c r="AN58" s="13">
        <v>3834</v>
      </c>
      <c r="AO58" s="13">
        <v>3808</v>
      </c>
      <c r="AP58" s="13">
        <v>3701</v>
      </c>
      <c r="AQ58" s="13">
        <v>3814</v>
      </c>
      <c r="AR58" s="13">
        <v>3789</v>
      </c>
      <c r="AS58" s="13">
        <v>3862</v>
      </c>
      <c r="AT58" s="13">
        <v>3861</v>
      </c>
      <c r="AU58" s="13">
        <v>3965</v>
      </c>
      <c r="AV58" s="13">
        <v>3928</v>
      </c>
      <c r="AW58" s="13">
        <v>3955</v>
      </c>
      <c r="AX58" s="13">
        <v>3910</v>
      </c>
      <c r="AY58" s="13">
        <v>3857</v>
      </c>
      <c r="AZ58" s="13">
        <v>3879</v>
      </c>
      <c r="BA58" s="13">
        <v>3937</v>
      </c>
      <c r="BB58" s="13">
        <v>4059</v>
      </c>
      <c r="BC58" s="13">
        <v>3969</v>
      </c>
      <c r="BD58" s="13">
        <v>3979</v>
      </c>
      <c r="BE58" s="13">
        <v>3932</v>
      </c>
      <c r="BF58" s="13">
        <v>4066</v>
      </c>
      <c r="BG58" s="13">
        <v>3773</v>
      </c>
      <c r="BH58" s="13">
        <v>3904</v>
      </c>
      <c r="BI58" s="13">
        <v>4164</v>
      </c>
      <c r="BJ58" s="13">
        <v>4198</v>
      </c>
      <c r="BK58" s="13">
        <v>4202</v>
      </c>
      <c r="BL58" s="13">
        <v>4260</v>
      </c>
      <c r="BM58" s="4">
        <v>4284</v>
      </c>
      <c r="BN58" s="4">
        <v>4295</v>
      </c>
      <c r="BO58" s="4">
        <v>4386</v>
      </c>
      <c r="BP58" s="4">
        <v>4294</v>
      </c>
    </row>
    <row r="59" spans="1:68" ht="15.9" customHeight="1">
      <c r="A59" s="64" t="s">
        <v>113</v>
      </c>
      <c r="B59" s="6" t="s">
        <v>114</v>
      </c>
      <c r="C59" s="15" t="str">
        <f>_xll.RssMarket("1961","現在値")</f>
        <v/>
      </c>
      <c r="D59" s="16" t="e">
        <f t="shared" si="1"/>
        <v>#VALUE!</v>
      </c>
      <c r="E59" s="13">
        <v>2470</v>
      </c>
      <c r="F59" s="13">
        <v>2628</v>
      </c>
      <c r="G59" s="13">
        <v>2550</v>
      </c>
      <c r="H59" s="13">
        <v>2552</v>
      </c>
      <c r="I59" s="13">
        <v>2650</v>
      </c>
      <c r="J59" s="13">
        <v>2667</v>
      </c>
      <c r="K59" s="13">
        <v>2640</v>
      </c>
      <c r="L59" s="13">
        <v>2899</v>
      </c>
      <c r="M59" s="13">
        <v>2796</v>
      </c>
      <c r="N59" s="13">
        <v>2851</v>
      </c>
      <c r="O59" s="13">
        <v>2867</v>
      </c>
      <c r="P59" s="13">
        <v>2962</v>
      </c>
      <c r="Q59" s="13">
        <v>3050</v>
      </c>
      <c r="R59" s="13">
        <v>3120</v>
      </c>
      <c r="S59" s="13">
        <v>3125</v>
      </c>
      <c r="T59" s="13">
        <v>3040</v>
      </c>
      <c r="U59" s="13">
        <v>3025</v>
      </c>
      <c r="V59" s="13">
        <v>3125</v>
      </c>
      <c r="W59" s="13">
        <v>3035</v>
      </c>
      <c r="X59" s="13">
        <v>2700</v>
      </c>
      <c r="Y59" s="13">
        <v>2590</v>
      </c>
      <c r="Z59" s="13">
        <v>2470</v>
      </c>
      <c r="AA59" s="13">
        <v>2453</v>
      </c>
      <c r="AB59" s="13">
        <v>2463</v>
      </c>
      <c r="AC59" s="13">
        <v>2312</v>
      </c>
      <c r="AD59" s="13">
        <v>2318</v>
      </c>
      <c r="AE59" s="13">
        <v>2253</v>
      </c>
      <c r="AF59" s="13">
        <v>2160</v>
      </c>
      <c r="AG59" s="13">
        <v>2211</v>
      </c>
      <c r="AH59" s="13">
        <v>2316</v>
      </c>
      <c r="AI59" s="13">
        <v>2257</v>
      </c>
      <c r="AJ59" s="13">
        <v>2227</v>
      </c>
      <c r="AK59" s="13">
        <v>2232</v>
      </c>
      <c r="AL59" s="13">
        <v>2189</v>
      </c>
      <c r="AM59" s="13">
        <v>2181</v>
      </c>
      <c r="AN59" s="13">
        <v>2267</v>
      </c>
      <c r="AO59" s="13">
        <v>2398</v>
      </c>
      <c r="AP59" s="13">
        <v>2414</v>
      </c>
      <c r="AQ59" s="13">
        <v>2575</v>
      </c>
      <c r="AR59" s="13">
        <v>2646</v>
      </c>
      <c r="AS59" s="13">
        <v>2596</v>
      </c>
      <c r="AT59" s="13">
        <v>2646</v>
      </c>
      <c r="AU59" s="13">
        <v>2608</v>
      </c>
      <c r="AV59" s="13">
        <v>2517</v>
      </c>
      <c r="AW59" s="13">
        <v>2549</v>
      </c>
      <c r="AX59" s="13">
        <v>2424</v>
      </c>
      <c r="AY59" s="13">
        <v>2409</v>
      </c>
      <c r="AZ59" s="13">
        <v>2413</v>
      </c>
      <c r="BA59" s="13">
        <v>2339</v>
      </c>
      <c r="BB59" s="13">
        <v>2326</v>
      </c>
      <c r="BC59" s="13">
        <v>2266</v>
      </c>
      <c r="BD59" s="13">
        <v>2329</v>
      </c>
      <c r="BE59" s="13">
        <v>2379</v>
      </c>
      <c r="BF59" s="13">
        <v>2353</v>
      </c>
      <c r="BG59" s="13">
        <v>2393</v>
      </c>
      <c r="BH59" s="13">
        <v>2439</v>
      </c>
      <c r="BI59" s="13">
        <v>2436</v>
      </c>
      <c r="BJ59" s="13">
        <v>2659</v>
      </c>
      <c r="BK59" s="13">
        <v>2729</v>
      </c>
      <c r="BL59" s="13">
        <v>2739</v>
      </c>
      <c r="BM59" s="4">
        <v>2656</v>
      </c>
      <c r="BN59" s="4">
        <v>2563</v>
      </c>
      <c r="BO59" s="4">
        <v>2466</v>
      </c>
      <c r="BP59" s="4">
        <v>2439</v>
      </c>
    </row>
    <row r="60" spans="1:68" ht="15.9" customHeight="1">
      <c r="A60" s="64" t="s">
        <v>115</v>
      </c>
      <c r="B60" s="6" t="s">
        <v>116</v>
      </c>
      <c r="C60" s="15" t="str">
        <f>_xll.RssMarket("3107","現在値")</f>
        <v/>
      </c>
      <c r="D60" s="16" t="e">
        <f t="shared" si="1"/>
        <v>#VALUE!</v>
      </c>
      <c r="E60" s="13">
        <v>3392</v>
      </c>
      <c r="F60" s="13">
        <v>3454</v>
      </c>
      <c r="G60" s="13">
        <v>3414</v>
      </c>
      <c r="H60" s="13">
        <v>3341</v>
      </c>
      <c r="I60" s="13">
        <v>3392</v>
      </c>
      <c r="J60" s="13">
        <v>3402</v>
      </c>
      <c r="K60" s="13">
        <v>3394</v>
      </c>
      <c r="L60" s="13">
        <v>3500</v>
      </c>
      <c r="M60" s="13">
        <v>3504</v>
      </c>
      <c r="N60" s="13">
        <v>3462</v>
      </c>
      <c r="O60" s="13">
        <v>3416</v>
      </c>
      <c r="P60" s="13">
        <v>3449</v>
      </c>
      <c r="Q60" s="13">
        <v>3513</v>
      </c>
      <c r="R60" s="13">
        <v>3420</v>
      </c>
      <c r="S60" s="13">
        <v>3385</v>
      </c>
      <c r="T60" s="13">
        <v>3323</v>
      </c>
      <c r="U60" s="13">
        <v>3330</v>
      </c>
      <c r="V60" s="13">
        <v>3344</v>
      </c>
      <c r="W60" s="13">
        <v>3333</v>
      </c>
      <c r="X60" s="13">
        <v>3330</v>
      </c>
      <c r="Y60" s="13">
        <v>3409</v>
      </c>
      <c r="Z60" s="13">
        <v>3411</v>
      </c>
      <c r="AA60" s="13">
        <v>3451</v>
      </c>
      <c r="AB60" s="13">
        <v>3452</v>
      </c>
      <c r="AC60" s="13">
        <v>3501</v>
      </c>
      <c r="AD60" s="13">
        <v>3513</v>
      </c>
      <c r="AE60" s="13">
        <v>3497</v>
      </c>
      <c r="AF60" s="13">
        <v>3589</v>
      </c>
      <c r="AG60" s="13">
        <v>3533</v>
      </c>
      <c r="AH60" s="13">
        <v>3471</v>
      </c>
      <c r="AI60" s="13">
        <v>3422</v>
      </c>
      <c r="AJ60" s="13">
        <v>3396</v>
      </c>
      <c r="AK60" s="13">
        <v>3346</v>
      </c>
      <c r="AL60" s="13">
        <v>3359</v>
      </c>
      <c r="AM60" s="13">
        <v>3485</v>
      </c>
      <c r="AN60" s="13">
        <v>3534</v>
      </c>
      <c r="AO60" s="13">
        <v>3514</v>
      </c>
      <c r="AP60" s="13">
        <v>3581</v>
      </c>
      <c r="AQ60" s="13">
        <v>3514</v>
      </c>
      <c r="AR60" s="13">
        <v>3450</v>
      </c>
      <c r="AS60" s="13">
        <v>3426</v>
      </c>
      <c r="AT60" s="13">
        <v>3415</v>
      </c>
      <c r="AU60" s="13">
        <v>3392</v>
      </c>
      <c r="AV60" s="13">
        <v>3385</v>
      </c>
      <c r="AW60" s="13">
        <v>3403</v>
      </c>
      <c r="AX60" s="13">
        <v>3297</v>
      </c>
      <c r="AY60" s="13">
        <v>3202</v>
      </c>
      <c r="AZ60" s="13">
        <v>3207</v>
      </c>
      <c r="BA60" s="13">
        <v>3213</v>
      </c>
      <c r="BB60" s="13">
        <v>3159</v>
      </c>
      <c r="BC60" s="13">
        <v>3134</v>
      </c>
      <c r="BD60" s="13">
        <v>3107</v>
      </c>
      <c r="BE60" s="13">
        <v>3109</v>
      </c>
      <c r="BF60" s="13">
        <v>3099</v>
      </c>
      <c r="BG60" s="13">
        <v>3126</v>
      </c>
      <c r="BH60" s="13">
        <v>3166</v>
      </c>
      <c r="BI60" s="13">
        <v>3165</v>
      </c>
      <c r="BJ60" s="13">
        <v>3158</v>
      </c>
      <c r="BK60" s="13">
        <v>3137</v>
      </c>
      <c r="BL60" s="13">
        <v>3125</v>
      </c>
      <c r="BM60" s="4">
        <v>3098</v>
      </c>
      <c r="BN60" s="4">
        <v>3191</v>
      </c>
      <c r="BO60" s="4">
        <v>3235</v>
      </c>
      <c r="BP60" s="4">
        <v>3206</v>
      </c>
    </row>
    <row r="61" spans="1:68" ht="15.9" customHeight="1">
      <c r="A61" s="64" t="s">
        <v>117</v>
      </c>
      <c r="B61" s="6" t="s">
        <v>118</v>
      </c>
      <c r="C61" s="15" t="str">
        <f>_xll.RssMarket("4045","現在値")</f>
        <v/>
      </c>
      <c r="D61" s="16" t="e">
        <f t="shared" si="1"/>
        <v>#VALUE!</v>
      </c>
      <c r="E61" s="13">
        <v>1723.5</v>
      </c>
      <c r="F61" s="13">
        <v>1745</v>
      </c>
      <c r="G61" s="13">
        <v>1734.5</v>
      </c>
      <c r="H61" s="13">
        <v>1706</v>
      </c>
      <c r="I61" s="13">
        <v>1724</v>
      </c>
      <c r="J61" s="13">
        <v>1739.5</v>
      </c>
      <c r="K61" s="13">
        <v>1737</v>
      </c>
      <c r="L61" s="13">
        <v>1784</v>
      </c>
      <c r="M61" s="13">
        <v>1771</v>
      </c>
      <c r="N61" s="13">
        <v>1754.5</v>
      </c>
      <c r="O61" s="13">
        <v>1734.5</v>
      </c>
      <c r="P61" s="13">
        <v>1740.5</v>
      </c>
      <c r="Q61" s="13">
        <v>1753.5</v>
      </c>
      <c r="R61" s="13">
        <v>1780</v>
      </c>
      <c r="S61" s="13">
        <v>1782.5</v>
      </c>
      <c r="T61" s="13">
        <v>1755.5</v>
      </c>
      <c r="U61" s="13">
        <v>1742.5</v>
      </c>
      <c r="V61" s="13">
        <v>1764</v>
      </c>
      <c r="W61" s="13">
        <v>1759</v>
      </c>
      <c r="X61" s="13">
        <v>1758.5</v>
      </c>
      <c r="Y61" s="13">
        <v>1759</v>
      </c>
      <c r="Z61" s="13">
        <v>1728</v>
      </c>
      <c r="AA61" s="13">
        <v>1706.5</v>
      </c>
      <c r="AB61" s="13">
        <v>1694</v>
      </c>
      <c r="AC61" s="13">
        <v>1720</v>
      </c>
      <c r="AD61" s="13">
        <v>1731.5</v>
      </c>
      <c r="AE61" s="13">
        <v>1744</v>
      </c>
      <c r="AF61" s="13">
        <v>1758</v>
      </c>
      <c r="AG61" s="13">
        <v>1738.5</v>
      </c>
      <c r="AH61" s="13">
        <v>1735</v>
      </c>
      <c r="AI61" s="13">
        <v>1759</v>
      </c>
      <c r="AJ61" s="13">
        <v>1747</v>
      </c>
      <c r="AK61" s="13">
        <v>1734.5</v>
      </c>
      <c r="AL61" s="13">
        <v>1730.5</v>
      </c>
      <c r="AM61" s="13">
        <v>1713.5</v>
      </c>
      <c r="AN61" s="13">
        <v>1704</v>
      </c>
      <c r="AO61" s="13">
        <v>1685.5</v>
      </c>
      <c r="AP61" s="13">
        <v>1729</v>
      </c>
      <c r="AQ61" s="13">
        <v>1746.5</v>
      </c>
      <c r="AR61" s="13">
        <v>1748.5</v>
      </c>
      <c r="AS61" s="13">
        <v>1763</v>
      </c>
      <c r="AT61" s="13">
        <v>1746</v>
      </c>
      <c r="AU61" s="13">
        <v>1733.5</v>
      </c>
      <c r="AV61" s="13">
        <v>1725</v>
      </c>
      <c r="AW61" s="13">
        <v>1719</v>
      </c>
      <c r="AX61" s="13">
        <v>1734</v>
      </c>
      <c r="AY61" s="13">
        <v>1715.5</v>
      </c>
      <c r="AZ61" s="13">
        <v>1702.5</v>
      </c>
      <c r="BA61" s="13">
        <v>1719</v>
      </c>
      <c r="BB61" s="13">
        <v>1708</v>
      </c>
      <c r="BC61" s="13">
        <v>1745</v>
      </c>
      <c r="BD61" s="13">
        <v>1775.5</v>
      </c>
      <c r="BE61" s="13">
        <v>1760</v>
      </c>
      <c r="BF61" s="13">
        <v>1790</v>
      </c>
      <c r="BG61" s="13">
        <v>1785</v>
      </c>
      <c r="BH61" s="13">
        <v>1802</v>
      </c>
      <c r="BI61" s="13">
        <v>1803.5</v>
      </c>
      <c r="BJ61" s="13">
        <v>1782.5</v>
      </c>
      <c r="BK61" s="13">
        <v>1781.5</v>
      </c>
      <c r="BL61" s="13">
        <v>1772.5</v>
      </c>
      <c r="BM61" s="4">
        <v>1791</v>
      </c>
      <c r="BN61" s="4">
        <v>1786</v>
      </c>
      <c r="BO61" s="4">
        <v>1801.5</v>
      </c>
      <c r="BP61" s="4">
        <v>1754</v>
      </c>
    </row>
    <row r="62" spans="1:68" ht="15.9" customHeight="1">
      <c r="A62" s="64" t="s">
        <v>119</v>
      </c>
      <c r="B62" s="6" t="s">
        <v>120</v>
      </c>
      <c r="C62" s="15" t="str">
        <f>_xll.RssMarket("5857","現在値")</f>
        <v/>
      </c>
      <c r="D62" s="16" t="e">
        <f t="shared" si="1"/>
        <v>#VALUE!</v>
      </c>
      <c r="E62" s="13">
        <v>2935</v>
      </c>
      <c r="F62" s="13">
        <v>3085</v>
      </c>
      <c r="G62" s="13">
        <v>3045</v>
      </c>
      <c r="H62" s="13">
        <v>2969</v>
      </c>
      <c r="I62" s="13">
        <v>2953</v>
      </c>
      <c r="J62" s="13">
        <v>2967</v>
      </c>
      <c r="K62" s="13">
        <v>3085</v>
      </c>
      <c r="L62" s="13">
        <v>3035</v>
      </c>
      <c r="M62" s="13">
        <v>2960</v>
      </c>
      <c r="N62" s="13">
        <v>2914</v>
      </c>
      <c r="O62" s="13">
        <v>2927</v>
      </c>
      <c r="P62" s="13">
        <v>2951</v>
      </c>
      <c r="Q62" s="13">
        <v>2915</v>
      </c>
      <c r="R62" s="13">
        <v>2860</v>
      </c>
      <c r="S62" s="13">
        <v>3090</v>
      </c>
      <c r="T62" s="13">
        <v>3105</v>
      </c>
      <c r="U62" s="13">
        <v>3235</v>
      </c>
      <c r="V62" s="13">
        <v>3205</v>
      </c>
      <c r="W62" s="13">
        <v>3305</v>
      </c>
      <c r="X62" s="13">
        <v>3180</v>
      </c>
      <c r="Y62" s="13">
        <v>3065</v>
      </c>
      <c r="Z62" s="13">
        <v>2929</v>
      </c>
      <c r="AA62" s="13">
        <v>3030</v>
      </c>
      <c r="AB62" s="13">
        <v>3095</v>
      </c>
      <c r="AC62" s="13">
        <v>3180</v>
      </c>
      <c r="AD62" s="13">
        <v>3160</v>
      </c>
      <c r="AE62" s="13">
        <v>3300</v>
      </c>
      <c r="AF62" s="13">
        <v>3265</v>
      </c>
      <c r="AG62" s="13">
        <v>3245</v>
      </c>
      <c r="AH62" s="13">
        <v>3375</v>
      </c>
      <c r="AI62" s="13">
        <v>3265</v>
      </c>
      <c r="AJ62" s="13">
        <v>3335</v>
      </c>
      <c r="AK62" s="13">
        <v>3485</v>
      </c>
      <c r="AL62" s="13">
        <v>3530</v>
      </c>
      <c r="AM62" s="13">
        <v>3425</v>
      </c>
      <c r="AN62" s="13">
        <v>3465</v>
      </c>
      <c r="AO62" s="13">
        <v>3690</v>
      </c>
      <c r="AP62" s="13">
        <v>3715</v>
      </c>
      <c r="AQ62" s="13">
        <v>3925</v>
      </c>
      <c r="AR62" s="13">
        <v>3860</v>
      </c>
      <c r="AS62" s="13">
        <v>4060</v>
      </c>
      <c r="AT62" s="13">
        <v>3875</v>
      </c>
      <c r="AU62" s="13">
        <v>3845</v>
      </c>
      <c r="AV62" s="13">
        <v>4075</v>
      </c>
      <c r="AW62" s="13">
        <v>4010</v>
      </c>
      <c r="AX62" s="13">
        <v>3505</v>
      </c>
      <c r="AY62" s="13">
        <v>3530</v>
      </c>
      <c r="AZ62" s="13">
        <v>3645</v>
      </c>
      <c r="BA62" s="13">
        <v>3635</v>
      </c>
      <c r="BB62" s="13">
        <v>3645</v>
      </c>
      <c r="BC62" s="13">
        <v>3665</v>
      </c>
      <c r="BD62" s="13">
        <v>3795</v>
      </c>
      <c r="BE62" s="13">
        <v>3995</v>
      </c>
      <c r="BF62" s="13">
        <v>3720</v>
      </c>
      <c r="BG62" s="13">
        <v>3800</v>
      </c>
      <c r="BH62" s="13">
        <v>3860</v>
      </c>
      <c r="BI62" s="13">
        <v>3750</v>
      </c>
      <c r="BJ62" s="13">
        <v>3780</v>
      </c>
      <c r="BK62" s="13">
        <v>3720</v>
      </c>
      <c r="BL62" s="13">
        <v>3690</v>
      </c>
      <c r="BM62" s="4">
        <v>3755</v>
      </c>
      <c r="BN62" s="4">
        <v>3785</v>
      </c>
      <c r="BO62" s="4">
        <v>3595</v>
      </c>
      <c r="BP62" s="4">
        <v>3580</v>
      </c>
    </row>
    <row r="63" spans="1:68" ht="15.9" customHeight="1">
      <c r="A63" s="64" t="s">
        <v>121</v>
      </c>
      <c r="B63" s="6" t="s">
        <v>122</v>
      </c>
      <c r="C63" s="15" t="str">
        <f>_xll.RssMarket("8281","現在値")</f>
        <v/>
      </c>
      <c r="D63" s="16" t="e">
        <f t="shared" si="1"/>
        <v>#VALUE!</v>
      </c>
      <c r="E63" s="13">
        <v>1116</v>
      </c>
      <c r="F63" s="13">
        <v>1095</v>
      </c>
      <c r="G63" s="13">
        <v>1092</v>
      </c>
      <c r="H63" s="13">
        <v>1083</v>
      </c>
      <c r="I63" s="13">
        <v>1091</v>
      </c>
      <c r="J63" s="13">
        <v>1096</v>
      </c>
      <c r="K63" s="13">
        <v>1107</v>
      </c>
      <c r="L63" s="13">
        <v>1077</v>
      </c>
      <c r="M63" s="13">
        <v>1068</v>
      </c>
      <c r="N63" s="13">
        <v>1053</v>
      </c>
      <c r="O63" s="13">
        <v>1052</v>
      </c>
      <c r="P63" s="13">
        <v>1071</v>
      </c>
      <c r="Q63" s="13">
        <v>1066</v>
      </c>
      <c r="R63" s="13">
        <v>1044</v>
      </c>
      <c r="S63" s="13">
        <v>1032</v>
      </c>
      <c r="T63" s="13">
        <v>1028</v>
      </c>
      <c r="U63" s="13">
        <v>1024</v>
      </c>
      <c r="V63" s="13">
        <v>1038</v>
      </c>
      <c r="W63" s="13">
        <v>1050</v>
      </c>
      <c r="X63" s="13">
        <v>1053</v>
      </c>
      <c r="Y63" s="13">
        <v>1072</v>
      </c>
      <c r="Z63" s="13">
        <v>1070</v>
      </c>
      <c r="AA63" s="13">
        <v>1055</v>
      </c>
      <c r="AB63" s="13">
        <v>1065</v>
      </c>
      <c r="AC63" s="13">
        <v>1031</v>
      </c>
      <c r="AD63" s="13">
        <v>1027</v>
      </c>
      <c r="AE63" s="13">
        <v>1015</v>
      </c>
      <c r="AF63" s="13">
        <v>1031</v>
      </c>
      <c r="AG63" s="13">
        <v>1034</v>
      </c>
      <c r="AH63" s="13">
        <v>1058</v>
      </c>
      <c r="AI63" s="13">
        <v>1054</v>
      </c>
      <c r="AJ63" s="13">
        <v>1044</v>
      </c>
      <c r="AK63" s="13">
        <v>1056</v>
      </c>
      <c r="AL63" s="13">
        <v>1050</v>
      </c>
      <c r="AM63" s="13">
        <v>1044</v>
      </c>
      <c r="AN63" s="13">
        <v>1049</v>
      </c>
      <c r="AO63" s="13">
        <v>1021</v>
      </c>
      <c r="AP63" s="13">
        <v>1000</v>
      </c>
      <c r="AQ63" s="13">
        <v>964</v>
      </c>
      <c r="AR63" s="13">
        <v>966</v>
      </c>
      <c r="AS63" s="13">
        <v>959</v>
      </c>
      <c r="AT63" s="13">
        <v>962</v>
      </c>
      <c r="AU63" s="13">
        <v>964</v>
      </c>
      <c r="AV63" s="13">
        <v>973</v>
      </c>
      <c r="AW63" s="13">
        <v>988</v>
      </c>
      <c r="AX63" s="13">
        <v>993</v>
      </c>
      <c r="AY63" s="13">
        <v>999</v>
      </c>
      <c r="AZ63" s="13">
        <v>990</v>
      </c>
      <c r="BA63" s="13">
        <v>993</v>
      </c>
      <c r="BB63" s="13">
        <v>997</v>
      </c>
      <c r="BC63" s="13">
        <v>1010</v>
      </c>
      <c r="BD63" s="13">
        <v>1020</v>
      </c>
      <c r="BE63" s="13">
        <v>1029</v>
      </c>
      <c r="BF63" s="13">
        <v>1016</v>
      </c>
      <c r="BG63" s="13">
        <v>1018</v>
      </c>
      <c r="BH63" s="13">
        <v>1021</v>
      </c>
      <c r="BI63" s="13">
        <v>1008</v>
      </c>
      <c r="BJ63" s="13">
        <v>1003</v>
      </c>
      <c r="BK63" s="13">
        <v>1010</v>
      </c>
      <c r="BL63" s="13">
        <v>1025</v>
      </c>
      <c r="BM63" s="4">
        <v>1043</v>
      </c>
      <c r="BN63" s="4">
        <v>1030</v>
      </c>
      <c r="BO63" s="4">
        <v>1021</v>
      </c>
      <c r="BP63" s="4">
        <v>1016</v>
      </c>
    </row>
    <row r="64" spans="1:68" ht="15.9" customHeight="1">
      <c r="A64" s="64" t="s">
        <v>123</v>
      </c>
      <c r="B64" s="6" t="s">
        <v>124</v>
      </c>
      <c r="C64" s="15" t="str">
        <f>_xll.RssMarket("4540","現在値")</f>
        <v/>
      </c>
      <c r="D64" s="16" t="e">
        <f t="shared" si="1"/>
        <v>#VALUE!</v>
      </c>
      <c r="E64" s="13">
        <v>3850</v>
      </c>
      <c r="F64" s="13">
        <v>3855</v>
      </c>
      <c r="G64" s="13">
        <v>3889</v>
      </c>
      <c r="H64" s="13">
        <v>3823</v>
      </c>
      <c r="I64" s="13">
        <v>3820</v>
      </c>
      <c r="J64" s="13">
        <v>3800</v>
      </c>
      <c r="K64" s="13">
        <v>3786</v>
      </c>
      <c r="L64" s="13">
        <v>3794</v>
      </c>
      <c r="M64" s="13">
        <v>3755</v>
      </c>
      <c r="N64" s="13">
        <v>3727</v>
      </c>
      <c r="O64" s="13">
        <v>3698</v>
      </c>
      <c r="P64" s="13">
        <v>3719</v>
      </c>
      <c r="Q64" s="13">
        <v>3739</v>
      </c>
      <c r="R64" s="13">
        <v>3729</v>
      </c>
      <c r="S64" s="13">
        <v>3697</v>
      </c>
      <c r="T64" s="13">
        <v>3790</v>
      </c>
      <c r="U64" s="13">
        <v>3716</v>
      </c>
      <c r="V64" s="13">
        <v>3747</v>
      </c>
      <c r="W64" s="13">
        <v>3725</v>
      </c>
      <c r="X64" s="13">
        <v>3704</v>
      </c>
      <c r="Y64" s="13">
        <v>3761</v>
      </c>
      <c r="Z64" s="13">
        <v>3724</v>
      </c>
      <c r="AA64" s="13">
        <v>3744</v>
      </c>
      <c r="AB64" s="13">
        <v>3751</v>
      </c>
      <c r="AC64" s="13">
        <v>3714</v>
      </c>
      <c r="AD64" s="13">
        <v>3680</v>
      </c>
      <c r="AE64" s="13">
        <v>3712</v>
      </c>
      <c r="AF64" s="13">
        <v>3727</v>
      </c>
      <c r="AG64" s="13">
        <v>3708</v>
      </c>
      <c r="AH64" s="13">
        <v>3735</v>
      </c>
      <c r="AI64" s="13">
        <v>3810</v>
      </c>
      <c r="AJ64" s="13">
        <v>3750</v>
      </c>
      <c r="AK64" s="13">
        <v>3847</v>
      </c>
      <c r="AL64" s="13">
        <v>3752</v>
      </c>
      <c r="AM64" s="13">
        <v>3820</v>
      </c>
      <c r="AN64" s="13">
        <v>3895</v>
      </c>
      <c r="AO64" s="13">
        <v>3932</v>
      </c>
      <c r="AP64" s="13">
        <v>3934</v>
      </c>
      <c r="AQ64" s="13">
        <v>3818</v>
      </c>
      <c r="AR64" s="13">
        <v>3778</v>
      </c>
      <c r="AS64" s="13">
        <v>3731</v>
      </c>
      <c r="AT64" s="13">
        <v>3702</v>
      </c>
      <c r="AU64" s="13">
        <v>3527</v>
      </c>
      <c r="AV64" s="13">
        <v>3563</v>
      </c>
      <c r="AW64" s="13">
        <v>3582</v>
      </c>
      <c r="AX64" s="13">
        <v>3628</v>
      </c>
      <c r="AY64" s="13">
        <v>3630</v>
      </c>
      <c r="AZ64" s="13">
        <v>3651</v>
      </c>
      <c r="BA64" s="13">
        <v>3700</v>
      </c>
      <c r="BB64" s="13">
        <v>3692</v>
      </c>
      <c r="BC64" s="13">
        <v>3703</v>
      </c>
      <c r="BD64" s="13">
        <v>3688</v>
      </c>
      <c r="BE64" s="13">
        <v>3690</v>
      </c>
      <c r="BF64" s="13">
        <v>3718</v>
      </c>
      <c r="BG64" s="13">
        <v>3746</v>
      </c>
      <c r="BH64" s="13">
        <v>3753</v>
      </c>
      <c r="BI64" s="13">
        <v>3753</v>
      </c>
      <c r="BJ64" s="13">
        <v>3782</v>
      </c>
      <c r="BK64" s="13">
        <v>3750</v>
      </c>
      <c r="BL64" s="13">
        <v>3763</v>
      </c>
      <c r="BM64" s="4">
        <v>3779</v>
      </c>
      <c r="BN64" s="4">
        <v>3822</v>
      </c>
      <c r="BO64" s="4">
        <v>3838</v>
      </c>
      <c r="BP64" s="4">
        <v>3828</v>
      </c>
    </row>
    <row r="65" spans="1:68" ht="15.9" customHeight="1">
      <c r="A65" s="64" t="s">
        <v>125</v>
      </c>
      <c r="B65" s="6" t="s">
        <v>126</v>
      </c>
      <c r="C65" s="15" t="str">
        <f>_xll.RssMarket("9984","現在値")</f>
        <v/>
      </c>
      <c r="D65" s="16" t="e">
        <f t="shared" si="1"/>
        <v>#VALUE!</v>
      </c>
      <c r="E65" s="13">
        <v>5424</v>
      </c>
      <c r="F65" s="13">
        <v>6360</v>
      </c>
      <c r="G65" s="13">
        <v>6574</v>
      </c>
      <c r="H65" s="13">
        <v>6364</v>
      </c>
      <c r="I65" s="13">
        <v>6370</v>
      </c>
      <c r="J65" s="13">
        <v>5757</v>
      </c>
      <c r="K65" s="13">
        <v>5763</v>
      </c>
      <c r="L65" s="13">
        <v>5979</v>
      </c>
      <c r="M65" s="13">
        <v>6169</v>
      </c>
      <c r="N65" s="13">
        <v>6195</v>
      </c>
      <c r="O65" s="13">
        <v>6000</v>
      </c>
      <c r="P65" s="13">
        <v>5963</v>
      </c>
      <c r="Q65" s="13">
        <v>5894</v>
      </c>
      <c r="R65" s="13">
        <v>6226</v>
      </c>
      <c r="S65" s="13">
        <v>7118</v>
      </c>
      <c r="T65" s="13">
        <v>6597</v>
      </c>
      <c r="U65" s="13">
        <v>6513</v>
      </c>
      <c r="V65" s="13">
        <v>7244</v>
      </c>
      <c r="W65" s="13">
        <v>7111</v>
      </c>
      <c r="X65" s="13">
        <v>6880</v>
      </c>
      <c r="Y65" s="13">
        <v>7102</v>
      </c>
      <c r="Z65" s="13">
        <v>6472</v>
      </c>
      <c r="AA65" s="13">
        <v>6374</v>
      </c>
      <c r="AB65" s="13">
        <v>6461</v>
      </c>
      <c r="AC65" s="13">
        <v>6976</v>
      </c>
      <c r="AD65" s="13">
        <v>7426</v>
      </c>
      <c r="AE65" s="13">
        <v>7377</v>
      </c>
      <c r="AF65" s="13">
        <v>8315</v>
      </c>
      <c r="AG65" s="13">
        <v>8632</v>
      </c>
      <c r="AH65" s="13">
        <v>8541</v>
      </c>
      <c r="AI65" s="13">
        <v>7491</v>
      </c>
      <c r="AJ65" s="13">
        <v>7125</v>
      </c>
      <c r="AK65" s="13">
        <v>7272</v>
      </c>
      <c r="AL65" s="13">
        <v>7070</v>
      </c>
      <c r="AM65" s="13">
        <v>6757</v>
      </c>
      <c r="AN65" s="13">
        <v>6039</v>
      </c>
      <c r="AO65" s="13">
        <v>5039</v>
      </c>
      <c r="AP65" s="13">
        <v>5361</v>
      </c>
      <c r="AQ65" s="13">
        <v>5593</v>
      </c>
      <c r="AR65" s="13">
        <v>5745</v>
      </c>
      <c r="AS65" s="13">
        <v>5770</v>
      </c>
      <c r="AT65" s="13">
        <v>6012</v>
      </c>
      <c r="AU65" s="13">
        <v>5987</v>
      </c>
      <c r="AV65" s="13">
        <v>5743</v>
      </c>
      <c r="AW65" s="13">
        <v>6131</v>
      </c>
      <c r="AX65" s="13">
        <v>6424</v>
      </c>
      <c r="AY65" s="13">
        <v>5424</v>
      </c>
      <c r="AZ65" s="13">
        <v>5219</v>
      </c>
      <c r="BA65" s="13">
        <v>5268</v>
      </c>
      <c r="BB65" s="13">
        <v>5844</v>
      </c>
      <c r="BC65" s="13">
        <v>5963</v>
      </c>
      <c r="BD65" s="13">
        <v>5837</v>
      </c>
      <c r="BE65" s="13">
        <v>5620</v>
      </c>
      <c r="BF65" s="13">
        <v>5181</v>
      </c>
      <c r="BG65" s="13">
        <v>4774</v>
      </c>
      <c r="BH65" s="13">
        <v>4527</v>
      </c>
      <c r="BI65" s="13">
        <v>4672</v>
      </c>
      <c r="BJ65" s="13">
        <v>4444</v>
      </c>
      <c r="BK65" s="13">
        <v>4242</v>
      </c>
      <c r="BL65" s="13">
        <v>3764</v>
      </c>
      <c r="BM65" s="4">
        <v>3778</v>
      </c>
      <c r="BN65" s="4">
        <v>3775</v>
      </c>
      <c r="BO65" s="4">
        <v>3822</v>
      </c>
      <c r="BP65" s="4">
        <v>3565</v>
      </c>
    </row>
    <row r="66" spans="1:68" ht="15.9" customHeight="1">
      <c r="A66" s="64" t="s">
        <v>127</v>
      </c>
      <c r="B66" s="6" t="s">
        <v>128</v>
      </c>
      <c r="C66" s="15" t="str">
        <f>_xll.RssMarket("4063","現在値")</f>
        <v/>
      </c>
      <c r="D66" s="16" t="e">
        <f t="shared" si="1"/>
        <v>#VALUE!</v>
      </c>
      <c r="E66" s="13">
        <v>7157</v>
      </c>
      <c r="F66" s="13">
        <v>7690</v>
      </c>
      <c r="G66" s="13">
        <v>7471</v>
      </c>
      <c r="H66" s="13">
        <v>7340</v>
      </c>
      <c r="I66" s="13">
        <v>7320</v>
      </c>
      <c r="J66" s="13">
        <v>7010</v>
      </c>
      <c r="K66" s="13">
        <v>6920</v>
      </c>
      <c r="L66" s="13">
        <v>7415</v>
      </c>
      <c r="M66" s="13">
        <v>6958</v>
      </c>
      <c r="N66" s="13">
        <v>7024</v>
      </c>
      <c r="O66" s="13">
        <v>7259</v>
      </c>
      <c r="P66" s="13">
        <v>7008</v>
      </c>
      <c r="Q66" s="13">
        <v>6942</v>
      </c>
      <c r="R66" s="13">
        <v>6835</v>
      </c>
      <c r="S66" s="13">
        <v>7150</v>
      </c>
      <c r="T66" s="13">
        <v>7100</v>
      </c>
      <c r="U66" s="13">
        <v>7301</v>
      </c>
      <c r="V66" s="13">
        <v>7307</v>
      </c>
      <c r="W66" s="13">
        <v>7310</v>
      </c>
      <c r="X66" s="13">
        <v>7549</v>
      </c>
      <c r="Y66" s="13">
        <v>7454</v>
      </c>
      <c r="Z66" s="13">
        <v>7188</v>
      </c>
      <c r="AA66" s="13">
        <v>6858</v>
      </c>
      <c r="AB66" s="13">
        <v>6695</v>
      </c>
      <c r="AC66" s="13">
        <v>6863</v>
      </c>
      <c r="AD66" s="13">
        <v>7350</v>
      </c>
      <c r="AE66" s="13">
        <v>7641</v>
      </c>
      <c r="AF66" s="13">
        <v>7806</v>
      </c>
      <c r="AG66" s="13">
        <v>7473</v>
      </c>
      <c r="AH66" s="13">
        <v>7793</v>
      </c>
      <c r="AI66" s="13">
        <v>7758</v>
      </c>
      <c r="AJ66" s="13">
        <v>7344</v>
      </c>
      <c r="AK66" s="13">
        <v>7406</v>
      </c>
      <c r="AL66" s="13">
        <v>7041</v>
      </c>
      <c r="AM66" s="13">
        <v>7034</v>
      </c>
      <c r="AN66" s="13">
        <v>6857</v>
      </c>
      <c r="AO66" s="13">
        <v>6845</v>
      </c>
      <c r="AP66" s="13">
        <v>7032</v>
      </c>
      <c r="AQ66" s="13">
        <v>7013</v>
      </c>
      <c r="AR66" s="13">
        <v>7105</v>
      </c>
      <c r="AS66" s="13">
        <v>7476</v>
      </c>
      <c r="AT66" s="13">
        <v>7417</v>
      </c>
      <c r="AU66" s="13">
        <v>7520</v>
      </c>
      <c r="AV66" s="13">
        <v>7574</v>
      </c>
      <c r="AW66" s="13">
        <v>7480</v>
      </c>
      <c r="AX66" s="13">
        <v>7711</v>
      </c>
      <c r="AY66" s="13">
        <v>7104</v>
      </c>
      <c r="AZ66" s="13">
        <v>7246</v>
      </c>
      <c r="BA66" s="13">
        <v>7081</v>
      </c>
      <c r="BB66" s="13">
        <v>6949</v>
      </c>
      <c r="BC66" s="13">
        <v>6768</v>
      </c>
      <c r="BD66" s="13">
        <v>6664</v>
      </c>
      <c r="BE66" s="13">
        <v>6642</v>
      </c>
      <c r="BF66" s="13">
        <v>6733</v>
      </c>
      <c r="BG66" s="13">
        <v>6773</v>
      </c>
      <c r="BH66" s="13">
        <v>6907</v>
      </c>
      <c r="BI66" s="13">
        <v>6910</v>
      </c>
      <c r="BJ66" s="13">
        <v>6809</v>
      </c>
      <c r="BK66" s="13">
        <v>6695</v>
      </c>
      <c r="BL66" s="13">
        <v>6662</v>
      </c>
      <c r="BM66" s="4">
        <v>6556</v>
      </c>
      <c r="BN66" s="4">
        <v>6506</v>
      </c>
      <c r="BO66" s="4">
        <v>6470</v>
      </c>
      <c r="BP66" s="4">
        <v>6574</v>
      </c>
    </row>
    <row r="67" spans="1:68" ht="15.9" customHeight="1">
      <c r="A67" s="64" t="s">
        <v>129</v>
      </c>
      <c r="B67" s="6" t="s">
        <v>130</v>
      </c>
      <c r="C67" s="15" t="str">
        <f>_xll.RssMarket("4536","現在値")</f>
        <v/>
      </c>
      <c r="D67" s="16" t="e">
        <f t="shared" si="1"/>
        <v>#VALUE!</v>
      </c>
      <c r="E67" s="13">
        <v>2042.5</v>
      </c>
      <c r="F67" s="13">
        <v>2101</v>
      </c>
      <c r="G67" s="13">
        <v>2127</v>
      </c>
      <c r="H67" s="13">
        <v>2151</v>
      </c>
      <c r="I67" s="13">
        <v>2135</v>
      </c>
      <c r="J67" s="13">
        <v>2171.5</v>
      </c>
      <c r="K67" s="13">
        <v>2174</v>
      </c>
      <c r="L67" s="13">
        <v>2236</v>
      </c>
      <c r="M67" s="13">
        <v>2209.5</v>
      </c>
      <c r="N67" s="13">
        <v>2175.5</v>
      </c>
      <c r="O67" s="13">
        <v>2134.5</v>
      </c>
      <c r="P67" s="13">
        <v>2133</v>
      </c>
      <c r="Q67" s="13">
        <v>2147.5</v>
      </c>
      <c r="R67" s="13">
        <v>2128.5</v>
      </c>
      <c r="S67" s="13">
        <v>2128</v>
      </c>
      <c r="T67" s="13">
        <v>2045</v>
      </c>
      <c r="U67" s="13">
        <v>2004</v>
      </c>
      <c r="V67" s="13">
        <v>1945.5</v>
      </c>
      <c r="W67" s="13">
        <v>1874</v>
      </c>
      <c r="X67" s="13">
        <v>1882</v>
      </c>
      <c r="Y67" s="13">
        <v>1919.5</v>
      </c>
      <c r="Z67" s="13">
        <v>1923.5</v>
      </c>
      <c r="AA67" s="13">
        <v>1935.5</v>
      </c>
      <c r="AB67" s="13">
        <v>1942</v>
      </c>
      <c r="AC67" s="13">
        <v>1954</v>
      </c>
      <c r="AD67" s="13">
        <v>1927</v>
      </c>
      <c r="AE67" s="13">
        <v>1872</v>
      </c>
      <c r="AF67" s="13">
        <v>1855</v>
      </c>
      <c r="AG67" s="13">
        <v>1863.5</v>
      </c>
      <c r="AH67" s="13">
        <v>1857</v>
      </c>
      <c r="AI67" s="13">
        <v>1915.5</v>
      </c>
      <c r="AJ67" s="13">
        <v>1888.5</v>
      </c>
      <c r="AK67" s="13">
        <v>1934</v>
      </c>
      <c r="AL67" s="13">
        <v>1925</v>
      </c>
      <c r="AM67" s="13">
        <v>1905</v>
      </c>
      <c r="AN67" s="13">
        <v>1883</v>
      </c>
      <c r="AO67" s="13">
        <v>1902.5</v>
      </c>
      <c r="AP67" s="13">
        <v>1893.5</v>
      </c>
      <c r="AQ67" s="13">
        <v>1844</v>
      </c>
      <c r="AR67" s="13">
        <v>1861</v>
      </c>
      <c r="AS67" s="13">
        <v>1882</v>
      </c>
      <c r="AT67" s="13">
        <v>1815</v>
      </c>
      <c r="AU67" s="13">
        <v>1561.5</v>
      </c>
      <c r="AV67" s="13">
        <v>1622</v>
      </c>
      <c r="AW67" s="13">
        <v>1617.5</v>
      </c>
      <c r="AX67" s="13">
        <v>1629</v>
      </c>
      <c r="AY67" s="13">
        <v>1643</v>
      </c>
      <c r="AZ67" s="13">
        <v>1616</v>
      </c>
      <c r="BA67" s="13">
        <v>1650.5</v>
      </c>
      <c r="BB67" s="13">
        <v>1647.5</v>
      </c>
      <c r="BC67" s="13">
        <v>1674</v>
      </c>
      <c r="BD67" s="13">
        <v>1663</v>
      </c>
      <c r="BE67" s="13">
        <v>1683</v>
      </c>
      <c r="BF67" s="13">
        <v>1717</v>
      </c>
      <c r="BG67" s="13">
        <v>1752</v>
      </c>
      <c r="BH67" s="13">
        <v>1772</v>
      </c>
      <c r="BI67" s="13">
        <v>1782</v>
      </c>
      <c r="BJ67" s="13">
        <v>1800.5</v>
      </c>
      <c r="BK67" s="13">
        <v>1800</v>
      </c>
      <c r="BL67" s="13">
        <v>1806</v>
      </c>
      <c r="BM67" s="4">
        <v>1826.5</v>
      </c>
      <c r="BN67" s="4">
        <v>1897</v>
      </c>
      <c r="BO67" s="4">
        <v>1931</v>
      </c>
      <c r="BP67" s="4">
        <v>1891</v>
      </c>
    </row>
    <row r="68" spans="1:68" ht="15.9" customHeight="1">
      <c r="A68" s="64" t="s">
        <v>131</v>
      </c>
      <c r="B68" s="6" t="s">
        <v>132</v>
      </c>
      <c r="C68" s="15" t="str">
        <f>_xll.RssMarket("6503","現在値")</f>
        <v/>
      </c>
      <c r="D68" s="16" t="e">
        <f t="shared" si="1"/>
        <v>#VALUE!</v>
      </c>
      <c r="E68" s="13">
        <v>5370</v>
      </c>
      <c r="F68" s="13">
        <v>5764</v>
      </c>
      <c r="G68" s="13">
        <v>5592</v>
      </c>
      <c r="H68" s="13">
        <v>5647</v>
      </c>
      <c r="I68" s="13">
        <v>5827</v>
      </c>
      <c r="J68" s="13">
        <v>5783</v>
      </c>
      <c r="K68" s="13">
        <v>5699</v>
      </c>
      <c r="L68" s="13">
        <v>6043</v>
      </c>
      <c r="M68" s="13">
        <v>5944</v>
      </c>
      <c r="N68" s="13">
        <v>5913</v>
      </c>
      <c r="O68" s="13">
        <v>6034</v>
      </c>
      <c r="P68" s="13">
        <v>5876</v>
      </c>
      <c r="Q68" s="13">
        <v>5860</v>
      </c>
      <c r="R68" s="13">
        <v>5858</v>
      </c>
      <c r="S68" s="13">
        <v>5986</v>
      </c>
      <c r="T68" s="13">
        <v>5982</v>
      </c>
      <c r="U68" s="13">
        <v>6104</v>
      </c>
      <c r="V68" s="13">
        <v>6183</v>
      </c>
      <c r="W68" s="13">
        <v>6051</v>
      </c>
      <c r="X68" s="13">
        <v>5863</v>
      </c>
      <c r="Y68" s="13">
        <v>5872</v>
      </c>
      <c r="Z68" s="13">
        <v>5545</v>
      </c>
      <c r="AA68" s="13">
        <v>5446</v>
      </c>
      <c r="AB68" s="13">
        <v>5572</v>
      </c>
      <c r="AC68" s="13">
        <v>5668</v>
      </c>
      <c r="AD68" s="13">
        <v>6014</v>
      </c>
      <c r="AE68" s="13">
        <v>5952</v>
      </c>
      <c r="AF68" s="13">
        <v>6085</v>
      </c>
      <c r="AG68" s="13">
        <v>6001</v>
      </c>
      <c r="AH68" s="13">
        <v>6088</v>
      </c>
      <c r="AI68" s="13">
        <v>6558</v>
      </c>
      <c r="AJ68" s="13">
        <v>6557</v>
      </c>
      <c r="AK68" s="13">
        <v>6500</v>
      </c>
      <c r="AL68" s="13">
        <v>6560</v>
      </c>
      <c r="AM68" s="13">
        <v>6301</v>
      </c>
      <c r="AN68" s="13">
        <v>6069</v>
      </c>
      <c r="AO68" s="13">
        <v>5747</v>
      </c>
      <c r="AP68" s="13">
        <v>6020</v>
      </c>
      <c r="AQ68" s="13">
        <v>6350</v>
      </c>
      <c r="AR68" s="13">
        <v>6416</v>
      </c>
      <c r="AS68" s="13">
        <v>6436</v>
      </c>
      <c r="AT68" s="13">
        <v>6468</v>
      </c>
      <c r="AU68" s="13">
        <v>6373</v>
      </c>
      <c r="AV68" s="13">
        <v>6447</v>
      </c>
      <c r="AW68" s="13">
        <v>6460</v>
      </c>
      <c r="AX68" s="13">
        <v>6448</v>
      </c>
      <c r="AY68" s="13">
        <v>6071</v>
      </c>
      <c r="AZ68" s="13">
        <v>6231</v>
      </c>
      <c r="BA68" s="13">
        <v>6078</v>
      </c>
      <c r="BB68" s="13">
        <v>6048</v>
      </c>
      <c r="BC68" s="13">
        <v>5999</v>
      </c>
      <c r="BD68" s="13">
        <v>5881</v>
      </c>
      <c r="BE68" s="13">
        <v>5935</v>
      </c>
      <c r="BF68" s="13">
        <v>6028</v>
      </c>
      <c r="BG68" s="13">
        <v>6088</v>
      </c>
      <c r="BH68" s="13">
        <v>5799</v>
      </c>
      <c r="BI68" s="13">
        <v>5975</v>
      </c>
      <c r="BJ68" s="13">
        <v>5811</v>
      </c>
      <c r="BK68" s="13">
        <v>5859</v>
      </c>
      <c r="BL68" s="13">
        <v>5814</v>
      </c>
      <c r="BM68" s="4">
        <v>5813</v>
      </c>
      <c r="BN68" s="4">
        <v>5639</v>
      </c>
      <c r="BO68" s="4">
        <v>5619</v>
      </c>
      <c r="BP68" s="4">
        <v>5386</v>
      </c>
    </row>
    <row r="69" spans="1:68" ht="15.9" customHeight="1">
      <c r="A69" s="64" t="s">
        <v>133</v>
      </c>
      <c r="B69" s="6" t="s">
        <v>134</v>
      </c>
      <c r="C69" s="15" t="str">
        <f>_xll.RssMarket("4980","現在値")</f>
        <v/>
      </c>
      <c r="D69" s="16" t="e">
        <f t="shared" si="1"/>
        <v>#VALUE!</v>
      </c>
      <c r="E69" s="13">
        <v>3509</v>
      </c>
      <c r="F69" s="13">
        <v>3941</v>
      </c>
      <c r="G69" s="13">
        <v>3931</v>
      </c>
      <c r="H69" s="13">
        <v>3922</v>
      </c>
      <c r="I69" s="13">
        <v>4139</v>
      </c>
      <c r="J69" s="13">
        <v>4022</v>
      </c>
      <c r="K69" s="13">
        <v>3955</v>
      </c>
      <c r="L69" s="13">
        <v>4264</v>
      </c>
      <c r="M69" s="13">
        <v>4298</v>
      </c>
      <c r="N69" s="13">
        <v>4091</v>
      </c>
      <c r="O69" s="13">
        <v>4203</v>
      </c>
      <c r="P69" s="13">
        <v>4254</v>
      </c>
      <c r="Q69" s="13">
        <v>4277</v>
      </c>
      <c r="R69" s="13">
        <v>4407</v>
      </c>
      <c r="S69" s="13">
        <v>5021</v>
      </c>
      <c r="T69" s="13">
        <v>4970</v>
      </c>
      <c r="U69" s="13">
        <v>4847</v>
      </c>
      <c r="V69" s="13">
        <v>4931</v>
      </c>
      <c r="W69" s="13">
        <v>4859</v>
      </c>
      <c r="X69" s="13">
        <v>4608</v>
      </c>
      <c r="Y69" s="13">
        <v>4568</v>
      </c>
      <c r="Z69" s="13">
        <v>4019</v>
      </c>
      <c r="AA69" s="13">
        <v>3785</v>
      </c>
      <c r="AB69" s="13">
        <v>3686</v>
      </c>
      <c r="AC69" s="13">
        <v>3920</v>
      </c>
      <c r="AD69" s="13">
        <v>4369</v>
      </c>
      <c r="AE69" s="13">
        <v>4313</v>
      </c>
      <c r="AF69" s="13">
        <v>4503</v>
      </c>
      <c r="AG69" s="13">
        <v>4482</v>
      </c>
      <c r="AH69" s="13">
        <v>4542</v>
      </c>
      <c r="AI69" s="13">
        <v>4038</v>
      </c>
      <c r="AJ69" s="13">
        <v>4029</v>
      </c>
      <c r="AK69" s="13">
        <v>4052</v>
      </c>
      <c r="AL69" s="13">
        <v>4365</v>
      </c>
      <c r="AM69" s="13">
        <v>4093</v>
      </c>
      <c r="AN69" s="13">
        <v>4085</v>
      </c>
      <c r="AO69" s="13">
        <v>3751</v>
      </c>
      <c r="AP69" s="13">
        <v>3872</v>
      </c>
      <c r="AQ69" s="13">
        <v>4187</v>
      </c>
      <c r="AR69" s="13">
        <v>3849</v>
      </c>
      <c r="AS69" s="13">
        <v>3149</v>
      </c>
      <c r="AT69" s="13">
        <v>2648.5</v>
      </c>
      <c r="AU69" s="13">
        <v>2681</v>
      </c>
      <c r="AV69" s="13">
        <v>2739.5</v>
      </c>
      <c r="AW69" s="13">
        <v>2719.5</v>
      </c>
      <c r="AX69" s="13">
        <v>2642.5</v>
      </c>
      <c r="AY69" s="13">
        <v>2481</v>
      </c>
      <c r="AZ69" s="13">
        <v>2441.5</v>
      </c>
      <c r="BA69" s="13">
        <v>2461.5</v>
      </c>
      <c r="BB69" s="13">
        <v>2507.5</v>
      </c>
      <c r="BC69" s="13">
        <v>2440.5</v>
      </c>
      <c r="BD69" s="13">
        <v>2385</v>
      </c>
      <c r="BE69" s="13">
        <v>2469</v>
      </c>
      <c r="BF69" s="13">
        <v>2451.5</v>
      </c>
      <c r="BG69" s="13">
        <v>2450.5</v>
      </c>
      <c r="BH69" s="13">
        <v>2433.5</v>
      </c>
      <c r="BI69" s="13">
        <v>2424.5</v>
      </c>
      <c r="BJ69" s="13">
        <v>2372.5</v>
      </c>
      <c r="BK69" s="13">
        <v>2373</v>
      </c>
      <c r="BL69" s="13">
        <v>2324</v>
      </c>
      <c r="BM69" s="4">
        <v>2362</v>
      </c>
      <c r="BN69" s="4">
        <v>2333.5</v>
      </c>
      <c r="BO69" s="4">
        <v>2363</v>
      </c>
      <c r="BP69" s="4">
        <v>2233.5</v>
      </c>
    </row>
    <row r="70" spans="1:68" ht="15.9" customHeight="1">
      <c r="A70" s="64" t="s">
        <v>135</v>
      </c>
      <c r="B70" s="6" t="s">
        <v>136</v>
      </c>
      <c r="C70" s="15" t="str">
        <f>_xll.RssMarket("9424","現在値")</f>
        <v/>
      </c>
      <c r="D70" s="16" t="e">
        <f t="shared" ref="D70:D101" si="2">C70-E70</f>
        <v>#VALUE!</v>
      </c>
      <c r="E70" s="13">
        <v>113</v>
      </c>
      <c r="F70" s="13">
        <v>118</v>
      </c>
      <c r="G70" s="13">
        <v>115</v>
      </c>
      <c r="H70" s="13">
        <v>116</v>
      </c>
      <c r="I70" s="13">
        <v>113</v>
      </c>
      <c r="J70" s="13">
        <v>111</v>
      </c>
      <c r="K70" s="13">
        <v>112</v>
      </c>
      <c r="L70" s="13">
        <v>109</v>
      </c>
      <c r="M70" s="13">
        <v>108</v>
      </c>
      <c r="N70" s="13">
        <v>105</v>
      </c>
      <c r="O70" s="13">
        <v>108</v>
      </c>
      <c r="P70" s="13">
        <v>107</v>
      </c>
      <c r="Q70" s="13">
        <v>112</v>
      </c>
      <c r="R70" s="13">
        <v>113</v>
      </c>
      <c r="S70" s="13">
        <v>115</v>
      </c>
      <c r="T70" s="13">
        <v>112</v>
      </c>
      <c r="U70" s="13">
        <v>113</v>
      </c>
      <c r="V70" s="13">
        <v>114</v>
      </c>
      <c r="W70" s="13">
        <v>113</v>
      </c>
      <c r="X70" s="13">
        <v>116</v>
      </c>
      <c r="Y70" s="13">
        <v>115</v>
      </c>
      <c r="Z70" s="13">
        <v>113</v>
      </c>
      <c r="AA70" s="13">
        <v>115</v>
      </c>
      <c r="AB70" s="13">
        <v>113</v>
      </c>
      <c r="AC70" s="13">
        <v>115</v>
      </c>
      <c r="AD70" s="13">
        <v>120</v>
      </c>
      <c r="AE70" s="13">
        <v>123</v>
      </c>
      <c r="AF70" s="13">
        <v>120</v>
      </c>
      <c r="AG70" s="13">
        <v>122</v>
      </c>
      <c r="AH70" s="13">
        <v>124</v>
      </c>
      <c r="AI70" s="13">
        <v>121</v>
      </c>
      <c r="AJ70" s="13">
        <v>124</v>
      </c>
      <c r="AK70" s="13">
        <v>125</v>
      </c>
      <c r="AL70" s="13">
        <v>126</v>
      </c>
      <c r="AM70" s="13">
        <v>128</v>
      </c>
      <c r="AN70" s="13">
        <v>127</v>
      </c>
      <c r="AO70" s="13">
        <v>126</v>
      </c>
      <c r="AP70" s="13">
        <v>125</v>
      </c>
      <c r="AQ70" s="13">
        <v>125</v>
      </c>
      <c r="AR70" s="13">
        <v>124</v>
      </c>
      <c r="AS70" s="13">
        <v>126</v>
      </c>
      <c r="AT70" s="13">
        <v>124</v>
      </c>
      <c r="AU70" s="13">
        <v>128</v>
      </c>
      <c r="AV70" s="13">
        <v>129</v>
      </c>
      <c r="AW70" s="13">
        <v>130</v>
      </c>
      <c r="AX70" s="13">
        <v>131</v>
      </c>
      <c r="AY70" s="13">
        <v>132</v>
      </c>
      <c r="AZ70" s="13">
        <v>130</v>
      </c>
      <c r="BA70" s="13">
        <v>125</v>
      </c>
      <c r="BB70" s="13">
        <v>124</v>
      </c>
      <c r="BC70" s="13">
        <v>127</v>
      </c>
      <c r="BD70" s="13">
        <v>129</v>
      </c>
      <c r="BE70" s="13">
        <v>131</v>
      </c>
      <c r="BF70" s="13">
        <v>127</v>
      </c>
      <c r="BG70" s="13">
        <v>128</v>
      </c>
      <c r="BH70" s="13">
        <v>129</v>
      </c>
      <c r="BI70" s="13">
        <v>129</v>
      </c>
      <c r="BJ70" s="13">
        <v>131</v>
      </c>
      <c r="BK70" s="13">
        <v>128</v>
      </c>
      <c r="BL70" s="13">
        <v>130</v>
      </c>
      <c r="BM70" s="4">
        <v>131</v>
      </c>
      <c r="BN70" s="4">
        <v>131</v>
      </c>
      <c r="BO70" s="4">
        <v>131</v>
      </c>
      <c r="BP70" s="4">
        <v>130</v>
      </c>
    </row>
    <row r="71" spans="1:68" ht="15.9" customHeight="1">
      <c r="A71" s="64" t="s">
        <v>137</v>
      </c>
      <c r="B71" s="6" t="s">
        <v>138</v>
      </c>
      <c r="C71" s="15" t="str">
        <f>_xll.RssMarket("3854","現在値")</f>
        <v/>
      </c>
      <c r="D71" s="16" t="e">
        <f t="shared" si="2"/>
        <v>#VALUE!</v>
      </c>
      <c r="E71" s="13">
        <v>2351</v>
      </c>
      <c r="F71" s="13">
        <v>2400</v>
      </c>
      <c r="G71" s="13">
        <v>2377</v>
      </c>
      <c r="H71" s="13">
        <v>2425</v>
      </c>
      <c r="I71" s="13">
        <v>2422</v>
      </c>
      <c r="J71" s="13">
        <v>2455</v>
      </c>
      <c r="K71" s="13">
        <v>2475</v>
      </c>
      <c r="L71" s="13">
        <v>2340</v>
      </c>
      <c r="M71" s="13">
        <v>2321</v>
      </c>
      <c r="N71" s="13">
        <v>2256</v>
      </c>
      <c r="O71" s="13">
        <v>2225</v>
      </c>
      <c r="P71" s="13">
        <v>2211</v>
      </c>
      <c r="Q71" s="13">
        <v>2200</v>
      </c>
      <c r="R71" s="13">
        <v>2151</v>
      </c>
      <c r="S71" s="13">
        <v>2133</v>
      </c>
      <c r="T71" s="13">
        <v>2162</v>
      </c>
      <c r="U71" s="13">
        <v>2161</v>
      </c>
      <c r="V71" s="13">
        <v>2176</v>
      </c>
      <c r="W71" s="13">
        <v>2186</v>
      </c>
      <c r="X71" s="13">
        <v>2190</v>
      </c>
      <c r="Y71" s="13">
        <v>2182</v>
      </c>
      <c r="Z71" s="13">
        <v>2217</v>
      </c>
      <c r="AA71" s="13">
        <v>2352</v>
      </c>
      <c r="AB71" s="13">
        <v>2410</v>
      </c>
      <c r="AC71" s="13">
        <v>2439</v>
      </c>
      <c r="AD71" s="13">
        <v>2493</v>
      </c>
      <c r="AE71" s="13">
        <v>2475</v>
      </c>
      <c r="AF71" s="13">
        <v>2603</v>
      </c>
      <c r="AG71" s="13">
        <v>2622</v>
      </c>
      <c r="AH71" s="13">
        <v>2594</v>
      </c>
      <c r="AI71" s="13">
        <v>2551</v>
      </c>
      <c r="AJ71" s="13">
        <v>2568</v>
      </c>
      <c r="AK71" s="13">
        <v>2515</v>
      </c>
      <c r="AL71" s="13">
        <v>2523</v>
      </c>
      <c r="AM71" s="13">
        <v>2572</v>
      </c>
      <c r="AN71" s="13">
        <v>2470</v>
      </c>
      <c r="AO71" s="13">
        <v>2460</v>
      </c>
      <c r="AP71" s="13">
        <v>2470</v>
      </c>
      <c r="AQ71" s="13">
        <v>2398</v>
      </c>
      <c r="AR71" s="13">
        <v>2344</v>
      </c>
      <c r="AS71" s="13">
        <v>2312</v>
      </c>
      <c r="AT71" s="13">
        <v>2379</v>
      </c>
      <c r="AU71" s="13">
        <v>2369</v>
      </c>
      <c r="AV71" s="13">
        <v>2406</v>
      </c>
      <c r="AW71" s="13">
        <v>2415</v>
      </c>
      <c r="AX71" s="13">
        <v>2373</v>
      </c>
      <c r="AY71" s="13">
        <v>2344</v>
      </c>
      <c r="AZ71" s="13">
        <v>2383</v>
      </c>
      <c r="BA71" s="13">
        <v>2396</v>
      </c>
      <c r="BB71" s="13">
        <v>2389</v>
      </c>
      <c r="BC71" s="13">
        <v>2395</v>
      </c>
      <c r="BD71" s="13">
        <v>2428</v>
      </c>
      <c r="BE71" s="13">
        <v>2442</v>
      </c>
      <c r="BF71" s="13">
        <v>2465</v>
      </c>
      <c r="BG71" s="13">
        <v>2439</v>
      </c>
      <c r="BH71" s="13">
        <v>2423</v>
      </c>
      <c r="BI71" s="13">
        <v>2381</v>
      </c>
      <c r="BJ71" s="13">
        <v>2423</v>
      </c>
      <c r="BK71" s="13">
        <v>2384</v>
      </c>
      <c r="BL71" s="13">
        <v>2345</v>
      </c>
      <c r="BM71" s="4">
        <v>2352</v>
      </c>
      <c r="BN71" s="4">
        <v>2410</v>
      </c>
      <c r="BO71" s="4">
        <v>2442</v>
      </c>
      <c r="BP71" s="4">
        <v>2409</v>
      </c>
    </row>
    <row r="72" spans="1:68" ht="15.9" customHeight="1">
      <c r="A72" s="64" t="s">
        <v>139</v>
      </c>
      <c r="B72" s="6" t="s">
        <v>140</v>
      </c>
      <c r="C72" s="15" t="str">
        <f>_xll.RssMarket("6027","現在値")</f>
        <v/>
      </c>
      <c r="D72" s="16" t="e">
        <f t="shared" si="2"/>
        <v>#VALUE!</v>
      </c>
      <c r="E72" s="13">
        <v>2390</v>
      </c>
      <c r="F72" s="13">
        <v>2391</v>
      </c>
      <c r="G72" s="13">
        <v>2410</v>
      </c>
      <c r="H72" s="13">
        <v>2358</v>
      </c>
      <c r="I72" s="13">
        <v>2374</v>
      </c>
      <c r="J72" s="13">
        <v>2340</v>
      </c>
      <c r="K72" s="13">
        <v>2433</v>
      </c>
      <c r="L72" s="13">
        <v>2409</v>
      </c>
      <c r="M72" s="13">
        <v>2390</v>
      </c>
      <c r="N72" s="13">
        <v>2451</v>
      </c>
      <c r="O72" s="13">
        <v>2403</v>
      </c>
      <c r="P72" s="13">
        <v>2264</v>
      </c>
      <c r="Q72" s="13">
        <v>2265</v>
      </c>
      <c r="R72" s="13">
        <v>2050</v>
      </c>
      <c r="S72" s="13">
        <v>2009</v>
      </c>
      <c r="T72" s="13">
        <v>2065</v>
      </c>
      <c r="U72" s="13">
        <v>2087</v>
      </c>
      <c r="V72" s="13">
        <v>2196</v>
      </c>
      <c r="W72" s="13">
        <v>2236</v>
      </c>
      <c r="X72" s="13">
        <v>2134</v>
      </c>
      <c r="Y72" s="13">
        <v>2105</v>
      </c>
      <c r="Z72" s="13">
        <v>2106</v>
      </c>
      <c r="AA72" s="13">
        <v>2109</v>
      </c>
      <c r="AB72" s="13">
        <v>2171</v>
      </c>
      <c r="AC72" s="13">
        <v>2210</v>
      </c>
      <c r="AD72" s="13">
        <v>2289</v>
      </c>
      <c r="AE72" s="13">
        <v>2226</v>
      </c>
      <c r="AF72" s="13">
        <v>2275</v>
      </c>
      <c r="AG72" s="13">
        <v>2309</v>
      </c>
      <c r="AH72" s="13">
        <v>2384</v>
      </c>
      <c r="AI72" s="13">
        <v>2406</v>
      </c>
      <c r="AJ72" s="13">
        <v>2436</v>
      </c>
      <c r="AK72" s="13">
        <v>2462</v>
      </c>
      <c r="AL72" s="13">
        <v>2566</v>
      </c>
      <c r="AM72" s="13">
        <v>2548</v>
      </c>
      <c r="AN72" s="13">
        <v>2566</v>
      </c>
      <c r="AO72" s="13">
        <v>2575</v>
      </c>
      <c r="AP72" s="13">
        <v>2766</v>
      </c>
      <c r="AQ72" s="13">
        <v>2769</v>
      </c>
      <c r="AR72" s="13">
        <v>2710</v>
      </c>
      <c r="AS72" s="13">
        <v>2751</v>
      </c>
      <c r="AT72" s="13">
        <v>2738</v>
      </c>
      <c r="AU72" s="13">
        <v>2671</v>
      </c>
      <c r="AV72" s="13">
        <v>2735</v>
      </c>
      <c r="AW72" s="13">
        <v>2720</v>
      </c>
      <c r="AX72" s="13">
        <v>2676</v>
      </c>
      <c r="AY72" s="13">
        <v>2520</v>
      </c>
      <c r="AZ72" s="13">
        <v>2463</v>
      </c>
      <c r="BA72" s="13">
        <v>2487</v>
      </c>
      <c r="BB72" s="13">
        <v>2446</v>
      </c>
      <c r="BC72" s="13">
        <v>2525</v>
      </c>
      <c r="BD72" s="13">
        <v>2579</v>
      </c>
      <c r="BE72" s="13">
        <v>2593</v>
      </c>
      <c r="BF72" s="13">
        <v>2584</v>
      </c>
      <c r="BG72" s="13">
        <v>2580</v>
      </c>
      <c r="BH72" s="13">
        <v>2583</v>
      </c>
      <c r="BI72" s="13">
        <v>2635</v>
      </c>
      <c r="BJ72" s="13">
        <v>2734</v>
      </c>
      <c r="BK72" s="13">
        <v>2578</v>
      </c>
      <c r="BL72" s="13">
        <v>2565</v>
      </c>
      <c r="BM72" s="4">
        <v>2565</v>
      </c>
      <c r="BN72" s="4">
        <v>2797</v>
      </c>
      <c r="BO72" s="4">
        <v>2939</v>
      </c>
      <c r="BP72" s="4">
        <v>2895</v>
      </c>
    </row>
    <row r="73" spans="1:68" ht="15.9" customHeight="1">
      <c r="A73" s="64" t="s">
        <v>141</v>
      </c>
      <c r="B73" s="6" t="s">
        <v>142</v>
      </c>
      <c r="C73" s="15" t="str">
        <f>_xll.RssMarket("7806","現在値")</f>
        <v/>
      </c>
      <c r="D73" s="16" t="e">
        <f t="shared" si="2"/>
        <v>#VALUE!</v>
      </c>
      <c r="E73" s="13">
        <v>7460</v>
      </c>
      <c r="F73" s="13">
        <v>7700</v>
      </c>
      <c r="G73" s="13">
        <v>7340</v>
      </c>
      <c r="H73" s="13">
        <v>7270</v>
      </c>
      <c r="I73" s="13">
        <v>7550</v>
      </c>
      <c r="J73" s="13">
        <v>7470</v>
      </c>
      <c r="K73" s="13">
        <v>8100</v>
      </c>
      <c r="L73" s="13">
        <v>8140</v>
      </c>
      <c r="M73" s="13">
        <v>8100</v>
      </c>
      <c r="N73" s="13">
        <v>7860</v>
      </c>
      <c r="O73" s="13">
        <v>7520</v>
      </c>
      <c r="P73" s="13">
        <v>7460</v>
      </c>
      <c r="Q73" s="13">
        <v>7430</v>
      </c>
      <c r="R73" s="13">
        <v>7260</v>
      </c>
      <c r="S73" s="13">
        <v>7470</v>
      </c>
      <c r="T73" s="13">
        <v>7390</v>
      </c>
      <c r="U73" s="13">
        <v>7360</v>
      </c>
      <c r="V73" s="13">
        <v>7680</v>
      </c>
      <c r="W73" s="13">
        <v>7650</v>
      </c>
      <c r="X73" s="13">
        <v>7310</v>
      </c>
      <c r="Y73" s="13">
        <v>7260</v>
      </c>
      <c r="Z73" s="13">
        <v>7060</v>
      </c>
      <c r="AA73" s="13">
        <v>7140</v>
      </c>
      <c r="AB73" s="13">
        <v>7020</v>
      </c>
      <c r="AC73" s="13">
        <v>6730</v>
      </c>
      <c r="AD73" s="13">
        <v>6800</v>
      </c>
      <c r="AE73" s="13">
        <v>6700</v>
      </c>
      <c r="AF73" s="13">
        <v>7200</v>
      </c>
      <c r="AG73" s="13">
        <v>6930</v>
      </c>
      <c r="AH73" s="13">
        <v>7440</v>
      </c>
      <c r="AI73" s="13">
        <v>7500</v>
      </c>
      <c r="AJ73" s="13">
        <v>7440</v>
      </c>
      <c r="AK73" s="13">
        <v>6990</v>
      </c>
      <c r="AL73" s="13">
        <v>6390</v>
      </c>
      <c r="AM73" s="13">
        <v>6220</v>
      </c>
      <c r="AN73" s="13">
        <v>6410</v>
      </c>
      <c r="AO73" s="13">
        <v>6400</v>
      </c>
      <c r="AP73" s="13">
        <v>6620</v>
      </c>
      <c r="AQ73" s="13">
        <v>6290</v>
      </c>
      <c r="AR73" s="13">
        <v>6710</v>
      </c>
      <c r="AS73" s="13">
        <v>7180</v>
      </c>
      <c r="AT73" s="13">
        <v>6720</v>
      </c>
      <c r="AU73" s="13">
        <v>6610</v>
      </c>
      <c r="AV73" s="13">
        <v>6520</v>
      </c>
      <c r="AW73" s="13">
        <v>6290</v>
      </c>
      <c r="AX73" s="13">
        <v>6350</v>
      </c>
      <c r="AY73" s="13">
        <v>6100</v>
      </c>
      <c r="AZ73" s="13">
        <v>5770</v>
      </c>
      <c r="BA73" s="13">
        <v>5950</v>
      </c>
      <c r="BB73" s="13">
        <v>5960</v>
      </c>
      <c r="BC73" s="13">
        <v>6270</v>
      </c>
      <c r="BD73" s="13">
        <v>6390</v>
      </c>
      <c r="BE73" s="13">
        <v>6600</v>
      </c>
      <c r="BF73" s="13">
        <v>6550</v>
      </c>
      <c r="BG73" s="13">
        <v>6600</v>
      </c>
      <c r="BH73" s="13">
        <v>6600</v>
      </c>
      <c r="BI73" s="13">
        <v>6490</v>
      </c>
      <c r="BJ73" s="13">
        <v>6390</v>
      </c>
      <c r="BK73" s="13">
        <v>6300</v>
      </c>
      <c r="BL73" s="13">
        <v>6090</v>
      </c>
      <c r="BM73" s="4">
        <v>6070</v>
      </c>
      <c r="BN73" s="4">
        <v>6090</v>
      </c>
      <c r="BO73" s="4">
        <v>6290</v>
      </c>
      <c r="BP73" s="4">
        <v>6100</v>
      </c>
    </row>
    <row r="74" spans="1:68" ht="15.9" customHeight="1">
      <c r="A74" s="64" t="s">
        <v>143</v>
      </c>
      <c r="B74" s="6" t="s">
        <v>144</v>
      </c>
      <c r="C74" s="15" t="str">
        <f>_xll.RssMarket("9202","現在値")</f>
        <v/>
      </c>
      <c r="D74" s="16" t="e">
        <f t="shared" si="2"/>
        <v>#VALUE!</v>
      </c>
      <c r="E74" s="13">
        <v>3027</v>
      </c>
      <c r="F74" s="13">
        <v>3004</v>
      </c>
      <c r="G74" s="13">
        <v>3043</v>
      </c>
      <c r="H74" s="13">
        <v>3015</v>
      </c>
      <c r="I74" s="13">
        <v>3016</v>
      </c>
      <c r="J74" s="13">
        <v>3053</v>
      </c>
      <c r="K74" s="13">
        <v>3129</v>
      </c>
      <c r="L74" s="13">
        <v>3180</v>
      </c>
      <c r="M74" s="13">
        <v>3140</v>
      </c>
      <c r="N74" s="13">
        <v>3083</v>
      </c>
      <c r="O74" s="13">
        <v>2956.5</v>
      </c>
      <c r="P74" s="13">
        <v>2968</v>
      </c>
      <c r="Q74" s="13">
        <v>2999</v>
      </c>
      <c r="R74" s="13">
        <v>3000</v>
      </c>
      <c r="S74" s="13">
        <v>2992</v>
      </c>
      <c r="T74" s="13">
        <v>2952</v>
      </c>
      <c r="U74" s="13">
        <v>2920</v>
      </c>
      <c r="V74" s="13">
        <v>2934.5</v>
      </c>
      <c r="W74" s="13">
        <v>2961</v>
      </c>
      <c r="X74" s="13">
        <v>3033</v>
      </c>
      <c r="Y74" s="13">
        <v>3043</v>
      </c>
      <c r="Z74" s="13">
        <v>2839</v>
      </c>
      <c r="AA74" s="13">
        <v>2804.5</v>
      </c>
      <c r="AB74" s="13">
        <v>2823</v>
      </c>
      <c r="AC74" s="13">
        <v>2799</v>
      </c>
      <c r="AD74" s="13">
        <v>2840</v>
      </c>
      <c r="AE74" s="13">
        <v>2815.5</v>
      </c>
      <c r="AF74" s="13">
        <v>2830</v>
      </c>
      <c r="AG74" s="13">
        <v>2846</v>
      </c>
      <c r="AH74" s="13">
        <v>2915.5</v>
      </c>
      <c r="AI74" s="13">
        <v>2988.5</v>
      </c>
      <c r="AJ74" s="13">
        <v>2886</v>
      </c>
      <c r="AK74" s="13">
        <v>2883</v>
      </c>
      <c r="AL74" s="13">
        <v>2874.5</v>
      </c>
      <c r="AM74" s="13">
        <v>2784</v>
      </c>
      <c r="AN74" s="13">
        <v>2785</v>
      </c>
      <c r="AO74" s="13">
        <v>2717</v>
      </c>
      <c r="AP74" s="13">
        <v>2746</v>
      </c>
      <c r="AQ74" s="13">
        <v>2717</v>
      </c>
      <c r="AR74" s="13">
        <v>2745</v>
      </c>
      <c r="AS74" s="13">
        <v>2769</v>
      </c>
      <c r="AT74" s="13">
        <v>2765.5</v>
      </c>
      <c r="AU74" s="13">
        <v>2789.5</v>
      </c>
      <c r="AV74" s="13">
        <v>2828.5</v>
      </c>
      <c r="AW74" s="13">
        <v>2838</v>
      </c>
      <c r="AX74" s="13">
        <v>2848.5</v>
      </c>
      <c r="AY74" s="13">
        <v>2709.5</v>
      </c>
      <c r="AZ74" s="13">
        <v>2601.5</v>
      </c>
      <c r="BA74" s="13">
        <v>2629</v>
      </c>
      <c r="BB74" s="13">
        <v>2667</v>
      </c>
      <c r="BC74" s="13">
        <v>2697</v>
      </c>
      <c r="BD74" s="13">
        <v>2714</v>
      </c>
      <c r="BE74" s="13">
        <v>2822</v>
      </c>
      <c r="BF74" s="13">
        <v>2852.5</v>
      </c>
      <c r="BG74" s="13">
        <v>2882</v>
      </c>
      <c r="BH74" s="13">
        <v>2821</v>
      </c>
      <c r="BI74" s="13">
        <v>2858.5</v>
      </c>
      <c r="BJ74" s="13">
        <v>2874.5</v>
      </c>
      <c r="BK74" s="13">
        <v>2856.5</v>
      </c>
      <c r="BL74" s="13">
        <v>2854</v>
      </c>
      <c r="BM74" s="4">
        <v>2896.5</v>
      </c>
      <c r="BN74" s="4">
        <v>2890</v>
      </c>
      <c r="BO74" s="4">
        <v>2984</v>
      </c>
      <c r="BP74" s="4">
        <v>2900.5</v>
      </c>
    </row>
    <row r="75" spans="1:68" ht="15.9" customHeight="1">
      <c r="A75" s="64" t="s">
        <v>145</v>
      </c>
      <c r="B75" s="6" t="s">
        <v>146</v>
      </c>
      <c r="C75" s="15" t="str">
        <f>_xll.RssMarket("7846","現在値")</f>
        <v/>
      </c>
      <c r="D75" s="16" t="e">
        <f t="shared" si="2"/>
        <v>#VALUE!</v>
      </c>
      <c r="E75" s="13">
        <v>1803</v>
      </c>
      <c r="F75" s="13">
        <v>1790</v>
      </c>
      <c r="G75" s="13">
        <v>1763</v>
      </c>
      <c r="H75" s="13">
        <v>1763.5</v>
      </c>
      <c r="I75" s="13">
        <v>1768</v>
      </c>
      <c r="J75" s="13">
        <v>1779</v>
      </c>
      <c r="K75" s="13">
        <v>1771.5</v>
      </c>
      <c r="L75" s="13">
        <v>1742.5</v>
      </c>
      <c r="M75" s="13">
        <v>1724.5</v>
      </c>
      <c r="N75" s="13">
        <v>1722</v>
      </c>
      <c r="O75" s="13">
        <v>1693.5</v>
      </c>
      <c r="P75" s="13">
        <v>1689.5</v>
      </c>
      <c r="Q75" s="13">
        <v>1677.5</v>
      </c>
      <c r="R75" s="13">
        <v>5150</v>
      </c>
      <c r="S75" s="13">
        <v>5114</v>
      </c>
      <c r="T75" s="13">
        <v>4990</v>
      </c>
      <c r="U75" s="13">
        <v>4932</v>
      </c>
      <c r="V75" s="13">
        <v>4970</v>
      </c>
      <c r="W75" s="13">
        <v>4936</v>
      </c>
      <c r="X75" s="13">
        <v>5003</v>
      </c>
      <c r="Y75" s="13">
        <v>4950</v>
      </c>
      <c r="Z75" s="13">
        <v>4941</v>
      </c>
      <c r="AA75" s="13">
        <v>4914</v>
      </c>
      <c r="AB75" s="13">
        <v>4881</v>
      </c>
      <c r="AC75" s="13">
        <v>4875</v>
      </c>
      <c r="AD75" s="13">
        <v>4805</v>
      </c>
      <c r="AE75" s="13">
        <v>4900</v>
      </c>
      <c r="AF75" s="13">
        <v>4854</v>
      </c>
      <c r="AG75" s="13">
        <v>4905</v>
      </c>
      <c r="AH75" s="13">
        <v>4976</v>
      </c>
      <c r="AI75" s="13">
        <v>4876</v>
      </c>
      <c r="AJ75" s="13">
        <v>4938</v>
      </c>
      <c r="AK75" s="13">
        <v>4922</v>
      </c>
      <c r="AL75" s="13">
        <v>4948</v>
      </c>
      <c r="AM75" s="13">
        <v>4906</v>
      </c>
      <c r="AN75" s="13">
        <v>4869</v>
      </c>
      <c r="AO75" s="13">
        <v>4755</v>
      </c>
      <c r="AP75" s="13">
        <v>4672</v>
      </c>
      <c r="AQ75" s="13">
        <v>4664</v>
      </c>
      <c r="AR75" s="13">
        <v>4583</v>
      </c>
      <c r="AS75" s="13">
        <v>4553</v>
      </c>
      <c r="AT75" s="13">
        <v>4528</v>
      </c>
      <c r="AU75" s="13">
        <v>4808</v>
      </c>
      <c r="AV75" s="13">
        <v>4750</v>
      </c>
      <c r="AW75" s="13">
        <v>4861</v>
      </c>
      <c r="AX75" s="13">
        <v>4800</v>
      </c>
      <c r="AY75" s="13">
        <v>4790</v>
      </c>
      <c r="AZ75" s="13">
        <v>4843</v>
      </c>
      <c r="BA75" s="13">
        <v>4753</v>
      </c>
      <c r="BB75" s="13">
        <v>4797</v>
      </c>
      <c r="BC75" s="13">
        <v>4793</v>
      </c>
      <c r="BD75" s="13">
        <v>4817</v>
      </c>
      <c r="BE75" s="13">
        <v>4830</v>
      </c>
      <c r="BF75" s="13">
        <v>4811</v>
      </c>
      <c r="BG75" s="13">
        <v>4818</v>
      </c>
      <c r="BH75" s="13">
        <v>4846</v>
      </c>
      <c r="BI75" s="13">
        <v>4865</v>
      </c>
      <c r="BJ75" s="13">
        <v>4859</v>
      </c>
      <c r="BK75" s="13">
        <v>4861</v>
      </c>
      <c r="BL75" s="13">
        <v>4944</v>
      </c>
      <c r="BM75" s="4">
        <v>4968</v>
      </c>
      <c r="BN75" s="4">
        <v>4958</v>
      </c>
      <c r="BO75" s="4">
        <v>4923</v>
      </c>
      <c r="BP75" s="4">
        <v>4902</v>
      </c>
    </row>
    <row r="76" spans="1:68" ht="15.9" customHeight="1">
      <c r="A76" s="64" t="s">
        <v>147</v>
      </c>
      <c r="B76" s="6" t="s">
        <v>148</v>
      </c>
      <c r="C76" s="15" t="str">
        <f>_xll.RssMarket("2802","現在値")</f>
        <v/>
      </c>
      <c r="D76" s="16" t="e">
        <f t="shared" si="2"/>
        <v>#VALUE!</v>
      </c>
      <c r="E76" s="13">
        <v>5194</v>
      </c>
      <c r="F76" s="13">
        <v>5606</v>
      </c>
      <c r="G76" s="13">
        <v>5656</v>
      </c>
      <c r="H76" s="13">
        <v>5615</v>
      </c>
      <c r="I76" s="13">
        <v>5731</v>
      </c>
      <c r="J76" s="13">
        <v>5721</v>
      </c>
      <c r="K76" s="13">
        <v>5702</v>
      </c>
      <c r="L76" s="13">
        <v>6091</v>
      </c>
      <c r="M76" s="13">
        <v>6167</v>
      </c>
      <c r="N76" s="13">
        <v>6042</v>
      </c>
      <c r="O76" s="13">
        <v>6175</v>
      </c>
      <c r="P76" s="13">
        <v>5873</v>
      </c>
      <c r="Q76" s="13">
        <v>5816</v>
      </c>
      <c r="R76" s="13">
        <v>5721</v>
      </c>
      <c r="S76" s="13">
        <v>5742</v>
      </c>
      <c r="T76" s="13">
        <v>5480</v>
      </c>
      <c r="U76" s="13">
        <v>5652</v>
      </c>
      <c r="V76" s="13">
        <v>6160</v>
      </c>
      <c r="W76" s="13">
        <v>5790</v>
      </c>
      <c r="X76" s="13">
        <v>5340</v>
      </c>
      <c r="Y76" s="13">
        <v>5146</v>
      </c>
      <c r="Z76" s="13">
        <v>5158</v>
      </c>
      <c r="AA76" s="13">
        <v>5084</v>
      </c>
      <c r="AB76" s="13">
        <v>4729</v>
      </c>
      <c r="AC76" s="13">
        <v>4806</v>
      </c>
      <c r="AD76" s="13">
        <v>4942</v>
      </c>
      <c r="AE76" s="13">
        <v>5118</v>
      </c>
      <c r="AF76" s="13">
        <v>5227</v>
      </c>
      <c r="AG76" s="13">
        <v>5262</v>
      </c>
      <c r="AH76" s="13">
        <v>5380</v>
      </c>
      <c r="AI76" s="13">
        <v>5152</v>
      </c>
      <c r="AJ76" s="13">
        <v>5142</v>
      </c>
      <c r="AK76" s="13">
        <v>5289</v>
      </c>
      <c r="AL76" s="13">
        <v>5475</v>
      </c>
      <c r="AM76" s="13">
        <v>5300</v>
      </c>
      <c r="AN76" s="13">
        <v>5176</v>
      </c>
      <c r="AO76" s="13">
        <v>5068</v>
      </c>
      <c r="AP76" s="13">
        <v>5178</v>
      </c>
      <c r="AQ76" s="13">
        <v>5193</v>
      </c>
      <c r="AR76" s="13">
        <v>5269</v>
      </c>
      <c r="AS76" s="13">
        <v>5542</v>
      </c>
      <c r="AT76" s="13">
        <v>5483</v>
      </c>
      <c r="AU76" s="13">
        <v>5439</v>
      </c>
      <c r="AV76" s="13">
        <v>5499</v>
      </c>
      <c r="AW76" s="13">
        <v>5030</v>
      </c>
      <c r="AX76" s="13">
        <v>4958</v>
      </c>
      <c r="AY76" s="13">
        <v>4882</v>
      </c>
      <c r="AZ76" s="13">
        <v>5090</v>
      </c>
      <c r="BA76" s="13">
        <v>4767</v>
      </c>
      <c r="BB76" s="13">
        <v>4786</v>
      </c>
      <c r="BC76" s="13">
        <v>4758</v>
      </c>
      <c r="BD76" s="13">
        <v>4590</v>
      </c>
      <c r="BE76" s="13">
        <v>4658</v>
      </c>
      <c r="BF76" s="13">
        <v>4721</v>
      </c>
      <c r="BG76" s="13">
        <v>4607</v>
      </c>
      <c r="BH76" s="13">
        <v>4574</v>
      </c>
      <c r="BI76" s="13">
        <v>4690</v>
      </c>
      <c r="BJ76" s="13">
        <v>4667</v>
      </c>
      <c r="BK76" s="13">
        <v>4617</v>
      </c>
      <c r="BL76" s="13">
        <v>4607</v>
      </c>
      <c r="BM76" s="4">
        <v>4652</v>
      </c>
      <c r="BN76" s="4">
        <v>4713</v>
      </c>
      <c r="BO76" s="4">
        <v>4776</v>
      </c>
      <c r="BP76" s="4">
        <v>4598</v>
      </c>
    </row>
    <row r="77" spans="1:68" ht="15.9" customHeight="1">
      <c r="A77" s="64" t="s">
        <v>149</v>
      </c>
      <c r="B77" s="6" t="s">
        <v>150</v>
      </c>
      <c r="C77" s="15" t="str">
        <f>_xll.RssMarket("7203","現在値")</f>
        <v/>
      </c>
      <c r="D77" s="16" t="e">
        <f t="shared" si="2"/>
        <v>#VALUE!</v>
      </c>
      <c r="E77" s="13">
        <v>2899.5</v>
      </c>
      <c r="F77" s="13">
        <v>2875.5</v>
      </c>
      <c r="G77" s="13">
        <v>2839</v>
      </c>
      <c r="H77" s="13">
        <v>2806</v>
      </c>
      <c r="I77" s="13">
        <v>2823</v>
      </c>
      <c r="J77" s="13">
        <v>2824</v>
      </c>
      <c r="K77" s="13">
        <v>2889</v>
      </c>
      <c r="L77" s="13">
        <v>2946</v>
      </c>
      <c r="M77" s="13">
        <v>2923</v>
      </c>
      <c r="N77" s="13">
        <v>2828</v>
      </c>
      <c r="O77" s="13">
        <v>2793</v>
      </c>
      <c r="P77" s="13">
        <v>2724.5</v>
      </c>
      <c r="Q77" s="13">
        <v>2725</v>
      </c>
      <c r="R77" s="13">
        <v>2772</v>
      </c>
      <c r="S77" s="13">
        <v>2768</v>
      </c>
      <c r="T77" s="13">
        <v>2700.5</v>
      </c>
      <c r="U77" s="13">
        <v>2686</v>
      </c>
      <c r="V77" s="13">
        <v>2706</v>
      </c>
      <c r="W77" s="13">
        <v>2741.5</v>
      </c>
      <c r="X77" s="13">
        <v>2776.5</v>
      </c>
      <c r="Y77" s="13">
        <v>2810</v>
      </c>
      <c r="Z77" s="13">
        <v>2847.5</v>
      </c>
      <c r="AA77" s="13">
        <v>2775.5</v>
      </c>
      <c r="AB77" s="13">
        <v>2747.5</v>
      </c>
      <c r="AC77" s="13">
        <v>2814</v>
      </c>
      <c r="AD77" s="13">
        <v>2822.5</v>
      </c>
      <c r="AE77" s="13">
        <v>2850</v>
      </c>
      <c r="AF77" s="13">
        <v>2838.5</v>
      </c>
      <c r="AG77" s="13">
        <v>2881</v>
      </c>
      <c r="AH77" s="13">
        <v>2844</v>
      </c>
      <c r="AI77" s="13">
        <v>2905.5</v>
      </c>
      <c r="AJ77" s="13">
        <v>3042</v>
      </c>
      <c r="AK77" s="13">
        <v>3030</v>
      </c>
      <c r="AL77" s="13">
        <v>3008</v>
      </c>
      <c r="AM77" s="13">
        <v>3026</v>
      </c>
      <c r="AN77" s="13">
        <v>2987</v>
      </c>
      <c r="AO77" s="13">
        <v>2978</v>
      </c>
      <c r="AP77" s="13">
        <v>2942</v>
      </c>
      <c r="AQ77" s="13">
        <v>2957</v>
      </c>
      <c r="AR77" s="13">
        <v>2954.5</v>
      </c>
      <c r="AS77" s="13">
        <v>3085</v>
      </c>
      <c r="AT77" s="13">
        <v>3008</v>
      </c>
      <c r="AU77" s="13">
        <v>2939.5</v>
      </c>
      <c r="AV77" s="13">
        <v>2843</v>
      </c>
      <c r="AW77" s="13">
        <v>2870</v>
      </c>
      <c r="AX77" s="13">
        <v>2913</v>
      </c>
      <c r="AY77" s="13">
        <v>2978</v>
      </c>
      <c r="AZ77" s="13">
        <v>3000</v>
      </c>
      <c r="BA77" s="13">
        <v>3023</v>
      </c>
      <c r="BB77" s="13">
        <v>3112</v>
      </c>
      <c r="BC77" s="13">
        <v>3067</v>
      </c>
      <c r="BD77" s="13">
        <v>3123</v>
      </c>
      <c r="BE77" s="13">
        <v>3191</v>
      </c>
      <c r="BF77" s="13">
        <v>3280</v>
      </c>
      <c r="BG77" s="13">
        <v>3390</v>
      </c>
      <c r="BH77" s="13">
        <v>3343</v>
      </c>
      <c r="BI77" s="13">
        <v>3392</v>
      </c>
      <c r="BJ77" s="13">
        <v>3381</v>
      </c>
      <c r="BK77" s="13">
        <v>3326</v>
      </c>
      <c r="BL77" s="13">
        <v>3319</v>
      </c>
      <c r="BM77" s="4">
        <v>3319</v>
      </c>
      <c r="BN77" s="4">
        <v>3331</v>
      </c>
      <c r="BO77" s="4">
        <v>3384</v>
      </c>
      <c r="BP77" s="4">
        <v>3252</v>
      </c>
    </row>
    <row r="78" spans="1:68" ht="15.9" customHeight="1">
      <c r="A78" s="64" t="s">
        <v>151</v>
      </c>
      <c r="B78" s="6" t="s">
        <v>152</v>
      </c>
      <c r="C78" s="15" t="str">
        <f>_xll.RssMarket("6954","現在値")</f>
        <v/>
      </c>
      <c r="D78" s="16" t="e">
        <f t="shared" si="2"/>
        <v>#VALUE!</v>
      </c>
      <c r="E78" s="13">
        <v>6637</v>
      </c>
      <c r="F78" s="13">
        <v>7008</v>
      </c>
      <c r="G78" s="13">
        <v>6839</v>
      </c>
      <c r="H78" s="13">
        <v>6957</v>
      </c>
      <c r="I78" s="13">
        <v>7156</v>
      </c>
      <c r="J78" s="13">
        <v>6851</v>
      </c>
      <c r="K78" s="13">
        <v>6700</v>
      </c>
      <c r="L78" s="13">
        <v>7477</v>
      </c>
      <c r="M78" s="13">
        <v>7439</v>
      </c>
      <c r="N78" s="13">
        <v>7209</v>
      </c>
      <c r="O78" s="13">
        <v>7415</v>
      </c>
      <c r="P78" s="13">
        <v>7355</v>
      </c>
      <c r="Q78" s="13">
        <v>7051</v>
      </c>
      <c r="R78" s="13">
        <v>7026</v>
      </c>
      <c r="S78" s="13">
        <v>7357</v>
      </c>
      <c r="T78" s="13">
        <v>7362</v>
      </c>
      <c r="U78" s="13">
        <v>7459</v>
      </c>
      <c r="V78" s="13">
        <v>7960</v>
      </c>
      <c r="W78" s="13">
        <v>7473</v>
      </c>
      <c r="X78" s="13">
        <v>7515</v>
      </c>
      <c r="Y78" s="13">
        <v>7400</v>
      </c>
      <c r="Z78" s="13">
        <v>6950</v>
      </c>
      <c r="AA78" s="13">
        <v>6778</v>
      </c>
      <c r="AB78" s="13">
        <v>6763</v>
      </c>
      <c r="AC78" s="13">
        <v>7128</v>
      </c>
      <c r="AD78" s="13">
        <v>7648</v>
      </c>
      <c r="AE78" s="13">
        <v>7800</v>
      </c>
      <c r="AF78" s="13">
        <v>7975</v>
      </c>
      <c r="AG78" s="13">
        <v>7593</v>
      </c>
      <c r="AH78" s="13">
        <v>8081</v>
      </c>
      <c r="AI78" s="13">
        <v>7892</v>
      </c>
      <c r="AJ78" s="13">
        <v>7984</v>
      </c>
      <c r="AK78" s="13">
        <v>8154</v>
      </c>
      <c r="AL78" s="13">
        <v>8428</v>
      </c>
      <c r="AM78" s="13">
        <v>8174</v>
      </c>
      <c r="AN78" s="13">
        <v>7667</v>
      </c>
      <c r="AO78" s="13">
        <v>7322</v>
      </c>
      <c r="AP78" s="13">
        <v>7662</v>
      </c>
      <c r="AQ78" s="13">
        <v>7966</v>
      </c>
      <c r="AR78" s="13">
        <v>8228</v>
      </c>
      <c r="AS78" s="13">
        <v>8036</v>
      </c>
      <c r="AT78" s="13">
        <v>7680</v>
      </c>
      <c r="AU78" s="13">
        <v>7750</v>
      </c>
      <c r="AV78" s="13">
        <v>7564</v>
      </c>
      <c r="AW78" s="13">
        <v>7515</v>
      </c>
      <c r="AX78" s="13">
        <v>7095</v>
      </c>
      <c r="AY78" s="13">
        <v>6820</v>
      </c>
      <c r="AZ78" s="13">
        <v>6875</v>
      </c>
      <c r="BA78" s="13">
        <v>6961</v>
      </c>
      <c r="BB78" s="13">
        <v>7256</v>
      </c>
      <c r="BC78" s="13">
        <v>6256</v>
      </c>
      <c r="BD78" s="13">
        <v>6340</v>
      </c>
      <c r="BE78" s="13">
        <v>6511</v>
      </c>
      <c r="BF78" s="13">
        <v>6478</v>
      </c>
      <c r="BG78" s="13">
        <v>6503</v>
      </c>
      <c r="BH78" s="13">
        <v>6228</v>
      </c>
      <c r="BI78" s="13">
        <v>6333</v>
      </c>
      <c r="BJ78" s="13">
        <v>6168</v>
      </c>
      <c r="BK78" s="13">
        <v>6231</v>
      </c>
      <c r="BL78" s="13">
        <v>6182</v>
      </c>
      <c r="BM78" s="4">
        <v>6249</v>
      </c>
      <c r="BN78" s="4">
        <v>5895</v>
      </c>
      <c r="BO78" s="4">
        <v>5924</v>
      </c>
      <c r="BP78" s="4">
        <v>5504</v>
      </c>
    </row>
    <row r="79" spans="1:68" ht="15.9" customHeight="1">
      <c r="A79" s="64" t="s">
        <v>153</v>
      </c>
      <c r="B79" s="6" t="s">
        <v>154</v>
      </c>
      <c r="C79" s="15" t="str">
        <f>_xll.RssMarket("6479","現在値")</f>
        <v/>
      </c>
      <c r="D79" s="16" t="e">
        <f t="shared" si="2"/>
        <v>#VALUE!</v>
      </c>
      <c r="E79" s="13">
        <v>3821</v>
      </c>
      <c r="F79" s="13">
        <v>4185</v>
      </c>
      <c r="G79" s="13">
        <v>4151</v>
      </c>
      <c r="H79" s="13">
        <v>4166</v>
      </c>
      <c r="I79" s="13">
        <v>4381</v>
      </c>
      <c r="J79" s="13">
        <v>4370</v>
      </c>
      <c r="K79" s="13">
        <v>4321</v>
      </c>
      <c r="L79" s="13">
        <v>4500</v>
      </c>
      <c r="M79" s="13">
        <v>4848</v>
      </c>
      <c r="N79" s="13">
        <v>4694</v>
      </c>
      <c r="O79" s="13">
        <v>4998</v>
      </c>
      <c r="P79" s="13">
        <v>4756</v>
      </c>
      <c r="Q79" s="13">
        <v>4771</v>
      </c>
      <c r="R79" s="13">
        <v>4805</v>
      </c>
      <c r="S79" s="13">
        <v>5246</v>
      </c>
      <c r="T79" s="13">
        <v>4922</v>
      </c>
      <c r="U79" s="13">
        <v>4928</v>
      </c>
      <c r="V79" s="13">
        <v>5054</v>
      </c>
      <c r="W79" s="13">
        <v>4628</v>
      </c>
      <c r="X79" s="13">
        <v>4718</v>
      </c>
      <c r="Y79" s="13">
        <v>4618</v>
      </c>
      <c r="Z79" s="13">
        <v>4233</v>
      </c>
      <c r="AA79" s="13">
        <v>4319</v>
      </c>
      <c r="AB79" s="13">
        <v>4396</v>
      </c>
      <c r="AC79" s="13">
        <v>4546</v>
      </c>
      <c r="AD79" s="13">
        <v>4994</v>
      </c>
      <c r="AE79" s="13">
        <v>4968</v>
      </c>
      <c r="AF79" s="13">
        <v>4880</v>
      </c>
      <c r="AG79" s="13">
        <v>4675</v>
      </c>
      <c r="AH79" s="13">
        <v>4721</v>
      </c>
      <c r="AI79" s="13">
        <v>4562</v>
      </c>
      <c r="AJ79" s="13">
        <v>4276</v>
      </c>
      <c r="AK79" s="13">
        <v>4232</v>
      </c>
      <c r="AL79" s="13">
        <v>4221</v>
      </c>
      <c r="AM79" s="13">
        <v>3992</v>
      </c>
      <c r="AN79" s="13">
        <v>3877</v>
      </c>
      <c r="AO79" s="13">
        <v>3730</v>
      </c>
      <c r="AP79" s="13">
        <v>3878</v>
      </c>
      <c r="AQ79" s="13">
        <v>3815</v>
      </c>
      <c r="AR79" s="13">
        <v>3944</v>
      </c>
      <c r="AS79" s="13">
        <v>3978</v>
      </c>
      <c r="AT79" s="13">
        <v>3914</v>
      </c>
      <c r="AU79" s="13">
        <v>3566</v>
      </c>
      <c r="AV79" s="13">
        <v>3458</v>
      </c>
      <c r="AW79" s="13">
        <v>3380</v>
      </c>
      <c r="AX79" s="13">
        <v>3290</v>
      </c>
      <c r="AY79" s="13">
        <v>3108</v>
      </c>
      <c r="AZ79" s="13">
        <v>3124</v>
      </c>
      <c r="BA79" s="13">
        <v>3059</v>
      </c>
      <c r="BB79" s="13">
        <v>3073</v>
      </c>
      <c r="BC79" s="13">
        <v>3086</v>
      </c>
      <c r="BD79" s="13">
        <v>3027</v>
      </c>
      <c r="BE79" s="13">
        <v>3096</v>
      </c>
      <c r="BF79" s="13">
        <v>3128</v>
      </c>
      <c r="BG79" s="13">
        <v>3092</v>
      </c>
      <c r="BH79" s="13">
        <v>2949.5</v>
      </c>
      <c r="BI79" s="13">
        <v>3011</v>
      </c>
      <c r="BJ79" s="13">
        <v>2863.5</v>
      </c>
      <c r="BK79" s="13">
        <v>2872.5</v>
      </c>
      <c r="BL79" s="13">
        <v>2863</v>
      </c>
      <c r="BM79" s="4">
        <v>2845.5</v>
      </c>
      <c r="BN79" s="4">
        <v>2731.5</v>
      </c>
      <c r="BO79" s="4">
        <v>2752</v>
      </c>
      <c r="BP79" s="4">
        <v>2627</v>
      </c>
    </row>
    <row r="80" spans="1:68" ht="15.9" customHeight="1">
      <c r="A80" s="64" t="s">
        <v>155</v>
      </c>
      <c r="B80" s="6" t="s">
        <v>156</v>
      </c>
      <c r="C80" s="15" t="str">
        <f>_xll.RssMarket("1833","現在値")</f>
        <v/>
      </c>
      <c r="D80" s="16" t="e">
        <f t="shared" si="2"/>
        <v>#VALUE!</v>
      </c>
      <c r="E80" s="13">
        <v>5600</v>
      </c>
      <c r="F80" s="13">
        <v>5680</v>
      </c>
      <c r="G80" s="13">
        <v>5610</v>
      </c>
      <c r="H80" s="13">
        <v>5560</v>
      </c>
      <c r="I80" s="13">
        <v>5650</v>
      </c>
      <c r="J80" s="13">
        <v>5720</v>
      </c>
      <c r="K80" s="13">
        <v>5680</v>
      </c>
      <c r="L80" s="13">
        <v>5760</v>
      </c>
      <c r="M80" s="13">
        <v>5680</v>
      </c>
      <c r="N80" s="13">
        <v>5660</v>
      </c>
      <c r="O80" s="13">
        <v>5640</v>
      </c>
      <c r="P80" s="13">
        <v>5620</v>
      </c>
      <c r="Q80" s="13">
        <v>5700</v>
      </c>
      <c r="R80" s="13">
        <v>5650</v>
      </c>
      <c r="S80" s="13">
        <v>5590</v>
      </c>
      <c r="T80" s="13">
        <v>5640</v>
      </c>
      <c r="U80" s="13">
        <v>5600</v>
      </c>
      <c r="V80" s="13">
        <v>5690</v>
      </c>
      <c r="W80" s="13">
        <v>5670</v>
      </c>
      <c r="X80" s="13">
        <v>5700</v>
      </c>
      <c r="Y80" s="13">
        <v>5720</v>
      </c>
      <c r="Z80" s="13">
        <v>5640</v>
      </c>
      <c r="AA80" s="13">
        <v>5550</v>
      </c>
      <c r="AB80" s="13">
        <v>5560</v>
      </c>
      <c r="AC80" s="13">
        <v>5490</v>
      </c>
      <c r="AD80" s="13">
        <v>5620</v>
      </c>
      <c r="AE80" s="13">
        <v>5480</v>
      </c>
      <c r="AF80" s="13">
        <v>5550</v>
      </c>
      <c r="AG80" s="13">
        <v>5560</v>
      </c>
      <c r="AH80" s="13">
        <v>5590</v>
      </c>
      <c r="AI80" s="13">
        <v>5610</v>
      </c>
      <c r="AJ80" s="13">
        <v>5520</v>
      </c>
      <c r="AK80" s="13">
        <v>5570</v>
      </c>
      <c r="AL80" s="13">
        <v>5460</v>
      </c>
      <c r="AM80" s="13">
        <v>5560</v>
      </c>
      <c r="AN80" s="13">
        <v>5600</v>
      </c>
      <c r="AO80" s="13">
        <v>5740</v>
      </c>
      <c r="AP80" s="13">
        <v>5660</v>
      </c>
      <c r="AQ80" s="13">
        <v>5950</v>
      </c>
      <c r="AR80" s="13">
        <v>5980</v>
      </c>
      <c r="AS80" s="13">
        <v>6160</v>
      </c>
      <c r="AT80" s="13">
        <v>6320</v>
      </c>
      <c r="AU80" s="13">
        <v>6230</v>
      </c>
      <c r="AV80" s="13">
        <v>6110</v>
      </c>
      <c r="AW80" s="13">
        <v>6160</v>
      </c>
      <c r="AX80" s="13">
        <v>6120</v>
      </c>
      <c r="AY80" s="13">
        <v>6150</v>
      </c>
      <c r="AZ80" s="13">
        <v>6140</v>
      </c>
      <c r="BA80" s="13">
        <v>5980</v>
      </c>
      <c r="BB80" s="13">
        <v>6000</v>
      </c>
      <c r="BC80" s="13">
        <v>6060</v>
      </c>
      <c r="BD80" s="13">
        <v>6030</v>
      </c>
      <c r="BE80" s="13">
        <v>6120</v>
      </c>
      <c r="BF80" s="13">
        <v>6120</v>
      </c>
      <c r="BG80" s="13">
        <v>6140</v>
      </c>
      <c r="BH80" s="13">
        <v>6230</v>
      </c>
      <c r="BI80" s="13">
        <v>6240</v>
      </c>
      <c r="BJ80" s="13">
        <v>6280</v>
      </c>
      <c r="BK80" s="13">
        <v>6240</v>
      </c>
      <c r="BL80" s="13">
        <v>6310</v>
      </c>
      <c r="BM80" s="4">
        <v>6400</v>
      </c>
      <c r="BN80" s="4">
        <v>6510</v>
      </c>
      <c r="BO80" s="4">
        <v>6370</v>
      </c>
      <c r="BP80" s="4">
        <v>6360</v>
      </c>
    </row>
    <row r="81" spans="1:68" ht="15.9" customHeight="1">
      <c r="A81" s="64" t="s">
        <v>157</v>
      </c>
      <c r="B81" s="6" t="s">
        <v>158</v>
      </c>
      <c r="C81" s="15" t="str">
        <f>_xll.RssMarket("6841","現在値")</f>
        <v/>
      </c>
      <c r="D81" s="16" t="e">
        <f t="shared" si="2"/>
        <v>#VALUE!</v>
      </c>
      <c r="E81" s="13">
        <v>5468</v>
      </c>
      <c r="F81" s="13">
        <v>5600</v>
      </c>
      <c r="G81" s="13">
        <v>5470</v>
      </c>
      <c r="H81" s="13">
        <v>5577</v>
      </c>
      <c r="I81" s="13">
        <v>5559</v>
      </c>
      <c r="J81" s="13">
        <v>5439</v>
      </c>
      <c r="K81" s="13">
        <v>5437</v>
      </c>
      <c r="L81" s="13">
        <v>5854</v>
      </c>
      <c r="M81" s="13">
        <v>5812</v>
      </c>
      <c r="N81" s="13">
        <v>5584</v>
      </c>
      <c r="O81" s="13">
        <v>5714</v>
      </c>
      <c r="P81" s="13">
        <v>5635</v>
      </c>
      <c r="Q81" s="13">
        <v>5594</v>
      </c>
      <c r="R81" s="13">
        <v>5587</v>
      </c>
      <c r="S81" s="13">
        <v>5579</v>
      </c>
      <c r="T81" s="13">
        <v>5520</v>
      </c>
      <c r="U81" s="13">
        <v>5535</v>
      </c>
      <c r="V81" s="13">
        <v>5698</v>
      </c>
      <c r="W81" s="13">
        <v>5409</v>
      </c>
      <c r="X81" s="13">
        <v>5380</v>
      </c>
      <c r="Y81" s="13">
        <v>5230</v>
      </c>
      <c r="Z81" s="13">
        <v>4848</v>
      </c>
      <c r="AA81" s="13">
        <v>4766</v>
      </c>
      <c r="AB81" s="13">
        <v>4757</v>
      </c>
      <c r="AC81" s="13">
        <v>4941</v>
      </c>
      <c r="AD81" s="13">
        <v>5226</v>
      </c>
      <c r="AE81" s="13">
        <v>5313</v>
      </c>
      <c r="AF81" s="13">
        <v>5350</v>
      </c>
      <c r="AG81" s="13">
        <v>5125</v>
      </c>
      <c r="AH81" s="13">
        <v>5077</v>
      </c>
      <c r="AI81" s="13">
        <v>5001</v>
      </c>
      <c r="AJ81" s="13">
        <v>4914</v>
      </c>
      <c r="AK81" s="13">
        <v>4927</v>
      </c>
      <c r="AL81" s="13">
        <v>5044</v>
      </c>
      <c r="AM81" s="13">
        <v>4830</v>
      </c>
      <c r="AN81" s="13">
        <v>4771</v>
      </c>
      <c r="AO81" s="13">
        <v>4700</v>
      </c>
      <c r="AP81" s="13">
        <v>4817</v>
      </c>
      <c r="AQ81" s="13">
        <v>4864</v>
      </c>
      <c r="AR81" s="13">
        <v>5013</v>
      </c>
      <c r="AS81" s="13">
        <v>5093</v>
      </c>
      <c r="AT81" s="13">
        <v>5268</v>
      </c>
      <c r="AU81" s="13">
        <v>5260</v>
      </c>
      <c r="AV81" s="13">
        <v>5371</v>
      </c>
      <c r="AW81" s="13">
        <v>5171</v>
      </c>
      <c r="AX81" s="13">
        <v>5734</v>
      </c>
      <c r="AY81" s="13">
        <v>5409</v>
      </c>
      <c r="AZ81" s="13">
        <v>5463</v>
      </c>
      <c r="BA81" s="13">
        <v>5450</v>
      </c>
      <c r="BB81" s="13">
        <v>5331</v>
      </c>
      <c r="BC81" s="13">
        <v>5264</v>
      </c>
      <c r="BD81" s="13">
        <v>5279</v>
      </c>
      <c r="BE81" s="13">
        <v>5447</v>
      </c>
      <c r="BF81" s="13">
        <v>5584</v>
      </c>
      <c r="BG81" s="13">
        <v>5500</v>
      </c>
      <c r="BH81" s="13">
        <v>5414</v>
      </c>
      <c r="BI81" s="13">
        <v>5461</v>
      </c>
      <c r="BJ81" s="13">
        <v>5387</v>
      </c>
      <c r="BK81" s="13">
        <v>5611</v>
      </c>
      <c r="BL81" s="13">
        <v>5602</v>
      </c>
      <c r="BM81" s="4">
        <v>5637</v>
      </c>
      <c r="BN81" s="4">
        <v>5654</v>
      </c>
      <c r="BO81" s="4">
        <v>5433</v>
      </c>
      <c r="BP81" s="4">
        <v>4986</v>
      </c>
    </row>
    <row r="82" spans="1:68" ht="15.9" customHeight="1">
      <c r="A82" s="64" t="s">
        <v>159</v>
      </c>
      <c r="B82" s="6" t="s">
        <v>160</v>
      </c>
      <c r="C82" s="15" t="str">
        <f>_xll.RssMarket("7167","現在値")</f>
        <v/>
      </c>
      <c r="D82" s="16" t="e">
        <f t="shared" si="2"/>
        <v>#VALUE!</v>
      </c>
      <c r="E82" s="13">
        <v>1427</v>
      </c>
      <c r="F82" s="13">
        <v>1531.5</v>
      </c>
      <c r="G82" s="13">
        <v>1523</v>
      </c>
      <c r="H82" s="13">
        <v>1531.5</v>
      </c>
      <c r="I82" s="13">
        <v>1539.5</v>
      </c>
      <c r="J82" s="13">
        <v>1556</v>
      </c>
      <c r="K82" s="13">
        <v>1565.5</v>
      </c>
      <c r="L82" s="13">
        <v>1529.5</v>
      </c>
      <c r="M82" s="13">
        <v>1509</v>
      </c>
      <c r="N82" s="13">
        <v>1479.5</v>
      </c>
      <c r="O82" s="13">
        <v>1431.5</v>
      </c>
      <c r="P82" s="13">
        <v>1412</v>
      </c>
      <c r="Q82" s="13">
        <v>1412.5</v>
      </c>
      <c r="R82" s="13">
        <v>1407.5</v>
      </c>
      <c r="S82" s="13">
        <v>1380.5</v>
      </c>
      <c r="T82" s="13">
        <v>1384.5</v>
      </c>
      <c r="U82" s="13">
        <v>1411</v>
      </c>
      <c r="V82" s="13">
        <v>1425.5</v>
      </c>
      <c r="W82" s="13">
        <v>1411</v>
      </c>
      <c r="X82" s="13">
        <v>1388.5</v>
      </c>
      <c r="Y82" s="13">
        <v>1413</v>
      </c>
      <c r="Z82" s="13">
        <v>1402</v>
      </c>
      <c r="AA82" s="13">
        <v>1372.5</v>
      </c>
      <c r="AB82" s="13">
        <v>1375.5</v>
      </c>
      <c r="AC82" s="13">
        <v>1348.5</v>
      </c>
      <c r="AD82" s="13">
        <v>1357.5</v>
      </c>
      <c r="AE82" s="13">
        <v>1341</v>
      </c>
      <c r="AF82" s="13">
        <v>1338</v>
      </c>
      <c r="AG82" s="13">
        <v>1314.5</v>
      </c>
      <c r="AH82" s="13">
        <v>1300.5</v>
      </c>
      <c r="AI82" s="13">
        <v>1329.5</v>
      </c>
      <c r="AJ82" s="13">
        <v>1353</v>
      </c>
      <c r="AK82" s="13">
        <v>1371.5</v>
      </c>
      <c r="AL82" s="13">
        <v>1388</v>
      </c>
      <c r="AM82" s="13">
        <v>1396.5</v>
      </c>
      <c r="AN82" s="13">
        <v>1409.5</v>
      </c>
      <c r="AO82" s="13">
        <v>1385.5</v>
      </c>
      <c r="AP82" s="13">
        <v>1365.5</v>
      </c>
      <c r="AQ82" s="13">
        <v>1366.5</v>
      </c>
      <c r="AR82" s="13">
        <v>1377.5</v>
      </c>
      <c r="AS82" s="13">
        <v>1370.5</v>
      </c>
      <c r="AT82" s="13">
        <v>1366.5</v>
      </c>
      <c r="AU82" s="13">
        <v>1362.5</v>
      </c>
      <c r="AV82" s="13">
        <v>1338</v>
      </c>
      <c r="AW82" s="13">
        <v>1313.5</v>
      </c>
      <c r="AX82" s="13">
        <v>1344.5</v>
      </c>
      <c r="AY82" s="13">
        <v>1296</v>
      </c>
      <c r="AZ82" s="13">
        <v>1298.5</v>
      </c>
      <c r="BA82" s="13">
        <v>1319.5</v>
      </c>
      <c r="BB82" s="13">
        <v>1234</v>
      </c>
      <c r="BC82" s="13">
        <v>1222</v>
      </c>
      <c r="BD82" s="13">
        <v>1236</v>
      </c>
      <c r="BE82" s="13">
        <v>1244.5</v>
      </c>
      <c r="BF82" s="13">
        <v>1281.5</v>
      </c>
      <c r="BG82" s="13">
        <v>1317.5</v>
      </c>
      <c r="BH82" s="13">
        <v>1343.5</v>
      </c>
      <c r="BI82" s="13">
        <v>1356</v>
      </c>
      <c r="BJ82" s="13">
        <v>1354</v>
      </c>
      <c r="BK82" s="13">
        <v>1343.5</v>
      </c>
      <c r="BL82" s="13">
        <v>1344</v>
      </c>
      <c r="BM82" s="4">
        <v>1353.5</v>
      </c>
      <c r="BN82" s="4">
        <v>1348.5</v>
      </c>
      <c r="BO82" s="4">
        <v>1353</v>
      </c>
      <c r="BP82" s="4">
        <v>1308</v>
      </c>
    </row>
    <row r="83" spans="1:68" ht="15.9" customHeight="1">
      <c r="A83" s="64" t="s">
        <v>161</v>
      </c>
      <c r="B83" s="6" t="s">
        <v>162</v>
      </c>
      <c r="C83" s="15" t="str">
        <f>_xll.RssMarket("1925","現在値")</f>
        <v/>
      </c>
      <c r="D83" s="16" t="e">
        <f t="shared" si="2"/>
        <v>#VALUE!</v>
      </c>
      <c r="E83" s="13">
        <v>4582</v>
      </c>
      <c r="F83" s="13">
        <v>4600</v>
      </c>
      <c r="G83" s="13">
        <v>4594</v>
      </c>
      <c r="H83" s="13">
        <v>4541</v>
      </c>
      <c r="I83" s="13">
        <v>4506</v>
      </c>
      <c r="J83" s="13">
        <v>4520</v>
      </c>
      <c r="K83" s="13">
        <v>4545</v>
      </c>
      <c r="L83" s="13">
        <v>4563</v>
      </c>
      <c r="M83" s="13">
        <v>4503</v>
      </c>
      <c r="N83" s="13">
        <v>4458</v>
      </c>
      <c r="O83" s="13">
        <v>4391</v>
      </c>
      <c r="P83" s="13">
        <v>4417</v>
      </c>
      <c r="Q83" s="13">
        <v>4452</v>
      </c>
      <c r="R83" s="13">
        <v>4424</v>
      </c>
      <c r="S83" s="13">
        <v>4351</v>
      </c>
      <c r="T83" s="13">
        <v>4320</v>
      </c>
      <c r="U83" s="13">
        <v>4275</v>
      </c>
      <c r="V83" s="13">
        <v>4292</v>
      </c>
      <c r="W83" s="13">
        <v>4363</v>
      </c>
      <c r="X83" s="13">
        <v>4358</v>
      </c>
      <c r="Y83" s="13">
        <v>4346</v>
      </c>
      <c r="Z83" s="13">
        <v>4300</v>
      </c>
      <c r="AA83" s="13">
        <v>4283</v>
      </c>
      <c r="AB83" s="13">
        <v>4381</v>
      </c>
      <c r="AC83" s="13">
        <v>4249</v>
      </c>
      <c r="AD83" s="13">
        <v>4191</v>
      </c>
      <c r="AE83" s="13">
        <v>4227</v>
      </c>
      <c r="AF83" s="13">
        <v>4265</v>
      </c>
      <c r="AG83" s="13">
        <v>4187</v>
      </c>
      <c r="AH83" s="13">
        <v>4215</v>
      </c>
      <c r="AI83" s="13">
        <v>4334</v>
      </c>
      <c r="AJ83" s="13">
        <v>4374</v>
      </c>
      <c r="AK83" s="13">
        <v>4402</v>
      </c>
      <c r="AL83" s="13">
        <v>4431</v>
      </c>
      <c r="AM83" s="13">
        <v>4416</v>
      </c>
      <c r="AN83" s="13">
        <v>4453</v>
      </c>
      <c r="AO83" s="13">
        <v>4485</v>
      </c>
      <c r="AP83" s="13">
        <v>4544</v>
      </c>
      <c r="AQ83" s="13">
        <v>4483</v>
      </c>
      <c r="AR83" s="13">
        <v>4538</v>
      </c>
      <c r="AS83" s="13">
        <v>4777</v>
      </c>
      <c r="AT83" s="13">
        <v>4783</v>
      </c>
      <c r="AU83" s="13">
        <v>4770</v>
      </c>
      <c r="AV83" s="13">
        <v>4773</v>
      </c>
      <c r="AW83" s="13">
        <v>4811</v>
      </c>
      <c r="AX83" s="13">
        <v>4763</v>
      </c>
      <c r="AY83" s="13">
        <v>4788</v>
      </c>
      <c r="AZ83" s="13">
        <v>4876</v>
      </c>
      <c r="BA83" s="13">
        <v>4768</v>
      </c>
      <c r="BB83" s="13">
        <v>4783</v>
      </c>
      <c r="BC83" s="13">
        <v>4840</v>
      </c>
      <c r="BD83" s="13">
        <v>4838</v>
      </c>
      <c r="BE83" s="13">
        <v>4907</v>
      </c>
      <c r="BF83" s="13">
        <v>4912</v>
      </c>
      <c r="BG83" s="13">
        <v>4852</v>
      </c>
      <c r="BH83" s="13">
        <v>4919</v>
      </c>
      <c r="BI83" s="13">
        <v>4917</v>
      </c>
      <c r="BJ83" s="13">
        <v>4899</v>
      </c>
      <c r="BK83" s="13">
        <v>4923</v>
      </c>
      <c r="BL83" s="13">
        <v>4992</v>
      </c>
      <c r="BM83" s="4">
        <v>4988</v>
      </c>
      <c r="BN83" s="4">
        <v>5050</v>
      </c>
      <c r="BO83" s="4">
        <v>4971</v>
      </c>
      <c r="BP83" s="4">
        <v>4978</v>
      </c>
    </row>
    <row r="84" spans="1:68" ht="15.9" customHeight="1">
      <c r="A84" s="64" t="s">
        <v>163</v>
      </c>
      <c r="B84" s="6" t="s">
        <v>164</v>
      </c>
      <c r="C84" s="15" t="str">
        <f>_xll.RssMarket("5411","現在値")</f>
        <v/>
      </c>
      <c r="D84" s="16" t="e">
        <f t="shared" si="2"/>
        <v>#VALUE!</v>
      </c>
      <c r="E84" s="13">
        <v>1697.5</v>
      </c>
      <c r="F84" s="13">
        <v>1679</v>
      </c>
      <c r="G84" s="13">
        <v>1666</v>
      </c>
      <c r="H84" s="13">
        <v>1626.5</v>
      </c>
      <c r="I84" s="13">
        <v>1623</v>
      </c>
      <c r="J84" s="13">
        <v>1620</v>
      </c>
      <c r="K84" s="13">
        <v>1647.5</v>
      </c>
      <c r="L84" s="13">
        <v>1654</v>
      </c>
      <c r="M84" s="13">
        <v>1600</v>
      </c>
      <c r="N84" s="13">
        <v>1571</v>
      </c>
      <c r="O84" s="13">
        <v>1552.5</v>
      </c>
      <c r="P84" s="13">
        <v>1560</v>
      </c>
      <c r="Q84" s="13">
        <v>1563.5</v>
      </c>
      <c r="R84" s="13">
        <v>1547.5</v>
      </c>
      <c r="S84" s="13">
        <v>1546</v>
      </c>
      <c r="T84" s="13">
        <v>1559</v>
      </c>
      <c r="U84" s="13">
        <v>1561.5</v>
      </c>
      <c r="V84" s="13">
        <v>1607</v>
      </c>
      <c r="W84" s="13">
        <v>1614</v>
      </c>
      <c r="X84" s="13">
        <v>1637</v>
      </c>
      <c r="Y84" s="13">
        <v>1647</v>
      </c>
      <c r="Z84" s="13">
        <v>1613</v>
      </c>
      <c r="AA84" s="13">
        <v>1573</v>
      </c>
      <c r="AB84" s="13">
        <v>1582.5</v>
      </c>
      <c r="AC84" s="13">
        <v>1580</v>
      </c>
      <c r="AD84" s="13">
        <v>1614</v>
      </c>
      <c r="AE84" s="13">
        <v>1601</v>
      </c>
      <c r="AF84" s="13">
        <v>1594.5</v>
      </c>
      <c r="AG84" s="13">
        <v>1598</v>
      </c>
      <c r="AH84" s="13">
        <v>1631</v>
      </c>
      <c r="AI84" s="13">
        <v>1700.5</v>
      </c>
      <c r="AJ84" s="13">
        <v>1677.5</v>
      </c>
      <c r="AK84" s="13">
        <v>1676.5</v>
      </c>
      <c r="AL84" s="13">
        <v>1630</v>
      </c>
      <c r="AM84" s="13">
        <v>1635</v>
      </c>
      <c r="AN84" s="13">
        <v>1655</v>
      </c>
      <c r="AO84" s="13">
        <v>1636.5</v>
      </c>
      <c r="AP84" s="13">
        <v>1668.5</v>
      </c>
      <c r="AQ84" s="13">
        <v>1652.5</v>
      </c>
      <c r="AR84" s="13">
        <v>1678</v>
      </c>
      <c r="AS84" s="13">
        <v>1690.5</v>
      </c>
      <c r="AT84" s="13">
        <v>1720.5</v>
      </c>
      <c r="AU84" s="13">
        <v>1683</v>
      </c>
      <c r="AV84" s="13">
        <v>1685.5</v>
      </c>
      <c r="AW84" s="13">
        <v>1765</v>
      </c>
      <c r="AX84" s="13">
        <v>1734.5</v>
      </c>
      <c r="AY84" s="13">
        <v>1716.5</v>
      </c>
      <c r="AZ84" s="13">
        <v>1715</v>
      </c>
      <c r="BA84" s="13">
        <v>1700.5</v>
      </c>
      <c r="BB84" s="13">
        <v>1674</v>
      </c>
      <c r="BC84" s="13">
        <v>1685.5</v>
      </c>
      <c r="BD84" s="13">
        <v>1695</v>
      </c>
      <c r="BE84" s="13">
        <v>1723</v>
      </c>
      <c r="BF84" s="13">
        <v>1748</v>
      </c>
      <c r="BG84" s="13">
        <v>1771.5</v>
      </c>
      <c r="BH84" s="13">
        <v>1801.5</v>
      </c>
      <c r="BI84" s="13">
        <v>1830</v>
      </c>
      <c r="BJ84" s="13">
        <v>1821.5</v>
      </c>
      <c r="BK84" s="13">
        <v>1820</v>
      </c>
      <c r="BL84" s="13">
        <v>1836</v>
      </c>
      <c r="BM84" s="4">
        <v>1866.5</v>
      </c>
      <c r="BN84" s="4">
        <v>1876</v>
      </c>
      <c r="BO84" s="4">
        <v>1882</v>
      </c>
      <c r="BP84" s="4">
        <v>1827</v>
      </c>
    </row>
    <row r="85" spans="1:68" ht="15.9" customHeight="1">
      <c r="A85" s="64" t="s">
        <v>165</v>
      </c>
      <c r="B85" s="6" t="s">
        <v>166</v>
      </c>
      <c r="C85" s="15" t="str">
        <f>_xll.RssMarket("7182","現在値")</f>
        <v/>
      </c>
      <c r="D85" s="16" t="e">
        <f t="shared" si="2"/>
        <v>#VALUE!</v>
      </c>
      <c r="E85" s="13">
        <v>3141</v>
      </c>
      <c r="F85" s="13">
        <v>3350</v>
      </c>
      <c r="G85" s="13">
        <v>3304</v>
      </c>
      <c r="H85" s="13">
        <v>3299</v>
      </c>
      <c r="I85" s="13">
        <v>3261</v>
      </c>
      <c r="J85" s="13">
        <v>3289</v>
      </c>
      <c r="K85" s="13">
        <v>3305</v>
      </c>
      <c r="L85" s="13">
        <v>3307</v>
      </c>
      <c r="M85" s="13">
        <v>3262</v>
      </c>
      <c r="N85" s="13">
        <v>3230</v>
      </c>
      <c r="O85" s="13">
        <v>3148</v>
      </c>
      <c r="P85" s="13">
        <v>3087</v>
      </c>
      <c r="Q85" s="13">
        <v>3063</v>
      </c>
      <c r="R85" s="13">
        <v>3078</v>
      </c>
      <c r="S85" s="13">
        <v>3069</v>
      </c>
      <c r="T85" s="13">
        <v>3050</v>
      </c>
      <c r="U85" s="13">
        <v>3101</v>
      </c>
      <c r="V85" s="13">
        <v>3210</v>
      </c>
      <c r="W85" s="13">
        <v>3269</v>
      </c>
      <c r="X85" s="13">
        <v>3190</v>
      </c>
      <c r="Y85" s="13">
        <v>3125</v>
      </c>
      <c r="Z85" s="13">
        <v>3170</v>
      </c>
      <c r="AA85" s="13">
        <v>3211</v>
      </c>
      <c r="AB85" s="13">
        <v>3096</v>
      </c>
      <c r="AC85" s="13">
        <v>3177</v>
      </c>
      <c r="AD85" s="13">
        <v>3126</v>
      </c>
      <c r="AE85" s="13">
        <v>3161</v>
      </c>
      <c r="AF85" s="13">
        <v>3225</v>
      </c>
      <c r="AG85" s="13">
        <v>3163</v>
      </c>
      <c r="AH85" s="13">
        <v>3066</v>
      </c>
      <c r="AI85" s="13">
        <v>3009</v>
      </c>
      <c r="AJ85" s="13">
        <v>3069</v>
      </c>
      <c r="AK85" s="13">
        <v>2960.5</v>
      </c>
      <c r="AL85" s="13">
        <v>3001</v>
      </c>
      <c r="AM85" s="13">
        <v>3093</v>
      </c>
      <c r="AN85" s="13">
        <v>3104</v>
      </c>
      <c r="AO85" s="13">
        <v>3193</v>
      </c>
      <c r="AP85" s="13">
        <v>3075</v>
      </c>
      <c r="AQ85" s="13">
        <v>3021</v>
      </c>
      <c r="AR85" s="13">
        <v>2977.5</v>
      </c>
      <c r="AS85" s="13">
        <v>2829</v>
      </c>
      <c r="AT85" s="13">
        <v>2835.5</v>
      </c>
      <c r="AU85" s="13">
        <v>2849</v>
      </c>
      <c r="AV85" s="13">
        <v>2841.5</v>
      </c>
      <c r="AW85" s="13">
        <v>2796.5</v>
      </c>
      <c r="AX85" s="13">
        <v>2724.5</v>
      </c>
      <c r="AY85" s="13">
        <v>2817</v>
      </c>
      <c r="AZ85" s="13">
        <v>2656</v>
      </c>
      <c r="BA85" s="13">
        <v>2689</v>
      </c>
      <c r="BB85" s="13">
        <v>2696.5</v>
      </c>
      <c r="BC85" s="13">
        <v>2539.5</v>
      </c>
      <c r="BD85" s="13">
        <v>2510</v>
      </c>
      <c r="BE85" s="13">
        <v>2537</v>
      </c>
      <c r="BF85" s="13">
        <v>2555</v>
      </c>
      <c r="BG85" s="13">
        <v>2600</v>
      </c>
      <c r="BH85" s="13">
        <v>2710</v>
      </c>
      <c r="BI85" s="13">
        <v>2731.5</v>
      </c>
      <c r="BJ85" s="13">
        <v>2798.5</v>
      </c>
      <c r="BK85" s="13">
        <v>2772.5</v>
      </c>
      <c r="BL85" s="13">
        <v>2724.5</v>
      </c>
      <c r="BM85" s="4">
        <v>2726.5</v>
      </c>
      <c r="BN85" s="4">
        <v>2710.5</v>
      </c>
      <c r="BO85" s="4">
        <v>2723.5</v>
      </c>
      <c r="BP85" s="4">
        <v>2800</v>
      </c>
    </row>
    <row r="86" spans="1:68" ht="15.9" customHeight="1">
      <c r="A86" s="64" t="s">
        <v>167</v>
      </c>
      <c r="B86" s="6" t="s">
        <v>168</v>
      </c>
      <c r="C86" s="15" t="str">
        <f>_xll.RssMarket("1963","現在値")</f>
        <v/>
      </c>
      <c r="D86" s="16" t="e">
        <f t="shared" si="2"/>
        <v>#VALUE!</v>
      </c>
      <c r="E86" s="13">
        <v>2202</v>
      </c>
      <c r="F86" s="13">
        <v>2325</v>
      </c>
      <c r="G86" s="13">
        <v>2281</v>
      </c>
      <c r="H86" s="13">
        <v>2303</v>
      </c>
      <c r="I86" s="13">
        <v>2335.5</v>
      </c>
      <c r="J86" s="13">
        <v>2334.5</v>
      </c>
      <c r="K86" s="13">
        <v>2345.5</v>
      </c>
      <c r="L86" s="13">
        <v>2552</v>
      </c>
      <c r="M86" s="13">
        <v>2493.5</v>
      </c>
      <c r="N86" s="13">
        <v>2498</v>
      </c>
      <c r="O86" s="13">
        <v>2482.5</v>
      </c>
      <c r="P86" s="13">
        <v>2504.5</v>
      </c>
      <c r="Q86" s="13">
        <v>2550</v>
      </c>
      <c r="R86" s="13">
        <v>2542</v>
      </c>
      <c r="S86" s="13">
        <v>2540.5</v>
      </c>
      <c r="T86" s="13">
        <v>2573.5</v>
      </c>
      <c r="U86" s="13">
        <v>2609</v>
      </c>
      <c r="V86" s="13">
        <v>2618</v>
      </c>
      <c r="W86" s="13">
        <v>2717</v>
      </c>
      <c r="X86" s="13">
        <v>2760</v>
      </c>
      <c r="Y86" s="13">
        <v>2664</v>
      </c>
      <c r="Z86" s="13">
        <v>2538.5</v>
      </c>
      <c r="AA86" s="13">
        <v>2475.5</v>
      </c>
      <c r="AB86" s="13">
        <v>2528.5</v>
      </c>
      <c r="AC86" s="13">
        <v>2561</v>
      </c>
      <c r="AD86" s="13">
        <v>2645.5</v>
      </c>
      <c r="AE86" s="13">
        <v>2597</v>
      </c>
      <c r="AF86" s="13">
        <v>2658.5</v>
      </c>
      <c r="AG86" s="13">
        <v>2638.5</v>
      </c>
      <c r="AH86" s="13">
        <v>2632.5</v>
      </c>
      <c r="AI86" s="13">
        <v>2728.5</v>
      </c>
      <c r="AJ86" s="13">
        <v>2661.5</v>
      </c>
      <c r="AK86" s="13">
        <v>2721</v>
      </c>
      <c r="AL86" s="13">
        <v>2863</v>
      </c>
      <c r="AM86" s="13">
        <v>2731.5</v>
      </c>
      <c r="AN86" s="13">
        <v>2679.5</v>
      </c>
      <c r="AO86" s="13">
        <v>2648</v>
      </c>
      <c r="AP86" s="13">
        <v>2647</v>
      </c>
      <c r="AQ86" s="13">
        <v>2594</v>
      </c>
      <c r="AR86" s="13">
        <v>2710.5</v>
      </c>
      <c r="AS86" s="13">
        <v>2392.5</v>
      </c>
      <c r="AT86" s="13">
        <v>2451.5</v>
      </c>
      <c r="AU86" s="13">
        <v>2424</v>
      </c>
      <c r="AV86" s="13">
        <v>2418</v>
      </c>
      <c r="AW86" s="13">
        <v>2495.5</v>
      </c>
      <c r="AX86" s="13">
        <v>2484.5</v>
      </c>
      <c r="AY86" s="13">
        <v>2385</v>
      </c>
      <c r="AZ86" s="13">
        <v>2383</v>
      </c>
      <c r="BA86" s="13">
        <v>2458.5</v>
      </c>
      <c r="BB86" s="13">
        <v>2339</v>
      </c>
      <c r="BC86" s="13">
        <v>2354</v>
      </c>
      <c r="BD86" s="13">
        <v>2358</v>
      </c>
      <c r="BE86" s="13">
        <v>2321</v>
      </c>
      <c r="BF86" s="13">
        <v>2378</v>
      </c>
      <c r="BG86" s="13">
        <v>2450</v>
      </c>
      <c r="BH86" s="13">
        <v>2532.5</v>
      </c>
      <c r="BI86" s="13">
        <v>2558</v>
      </c>
      <c r="BJ86" s="13">
        <v>2570</v>
      </c>
      <c r="BK86" s="13">
        <v>2705.5</v>
      </c>
      <c r="BL86" s="13">
        <v>2693</v>
      </c>
      <c r="BM86" s="4">
        <v>2758.5</v>
      </c>
      <c r="BN86" s="4">
        <v>2803</v>
      </c>
      <c r="BO86" s="4">
        <v>2723.5</v>
      </c>
      <c r="BP86" s="4">
        <v>2580</v>
      </c>
    </row>
    <row r="87" spans="1:68" ht="15.9" customHeight="1">
      <c r="A87" s="64" t="s">
        <v>169</v>
      </c>
      <c r="B87" s="6" t="s">
        <v>170</v>
      </c>
      <c r="C87" s="15" t="str">
        <f>_xll.RssMarket("2914","現在値")</f>
        <v/>
      </c>
      <c r="D87" s="16" t="e">
        <f t="shared" si="2"/>
        <v>#VALUE!</v>
      </c>
      <c r="E87" s="13">
        <v>6347</v>
      </c>
      <c r="F87" s="13">
        <v>6110</v>
      </c>
      <c r="G87" s="13">
        <v>6116</v>
      </c>
      <c r="H87" s="13">
        <v>6101</v>
      </c>
      <c r="I87" s="13">
        <v>6117</v>
      </c>
      <c r="J87" s="13">
        <v>6186</v>
      </c>
      <c r="K87" s="13">
        <v>6202</v>
      </c>
      <c r="L87" s="13">
        <v>6189</v>
      </c>
      <c r="M87" s="13">
        <v>6057</v>
      </c>
      <c r="N87" s="13">
        <v>6089</v>
      </c>
      <c r="O87" s="13">
        <v>5975</v>
      </c>
      <c r="P87" s="13">
        <v>6012</v>
      </c>
      <c r="Q87" s="13">
        <v>6026</v>
      </c>
      <c r="R87" s="13">
        <v>6072</v>
      </c>
      <c r="S87" s="13">
        <v>5948</v>
      </c>
      <c r="T87" s="13">
        <v>5950</v>
      </c>
      <c r="U87" s="13">
        <v>5924</v>
      </c>
      <c r="V87" s="13">
        <v>5968</v>
      </c>
      <c r="W87" s="13">
        <v>6075</v>
      </c>
      <c r="X87" s="13">
        <v>6071</v>
      </c>
      <c r="Y87" s="13">
        <v>6099</v>
      </c>
      <c r="Z87" s="13">
        <v>6177</v>
      </c>
      <c r="AA87" s="13">
        <v>6305</v>
      </c>
      <c r="AB87" s="13">
        <v>6164</v>
      </c>
      <c r="AC87" s="13">
        <v>6135</v>
      </c>
      <c r="AD87" s="13">
        <v>5973</v>
      </c>
      <c r="AE87" s="13">
        <v>6025</v>
      </c>
      <c r="AF87" s="13">
        <v>6112</v>
      </c>
      <c r="AG87" s="13">
        <v>6132</v>
      </c>
      <c r="AH87" s="13">
        <v>6068</v>
      </c>
      <c r="AI87" s="13">
        <v>6167</v>
      </c>
      <c r="AJ87" s="13">
        <v>6098</v>
      </c>
      <c r="AK87" s="13">
        <v>6115</v>
      </c>
      <c r="AL87" s="13">
        <v>6097</v>
      </c>
      <c r="AM87" s="13">
        <v>6134</v>
      </c>
      <c r="AN87" s="13">
        <v>6233</v>
      </c>
      <c r="AO87" s="13">
        <v>6346</v>
      </c>
      <c r="AP87" s="13">
        <v>6453</v>
      </c>
      <c r="AQ87" s="13">
        <v>6343</v>
      </c>
      <c r="AR87" s="13">
        <v>6301</v>
      </c>
      <c r="AS87" s="13">
        <v>6254</v>
      </c>
      <c r="AT87" s="13">
        <v>6180</v>
      </c>
      <c r="AU87" s="13">
        <v>6058</v>
      </c>
      <c r="AV87" s="13">
        <v>6164</v>
      </c>
      <c r="AW87" s="13">
        <v>5769</v>
      </c>
      <c r="AX87" s="13">
        <v>5937</v>
      </c>
      <c r="AY87" s="13">
        <v>5886</v>
      </c>
      <c r="AZ87" s="13">
        <v>5865</v>
      </c>
      <c r="BA87" s="13">
        <v>5779</v>
      </c>
      <c r="BB87" s="13">
        <v>5781</v>
      </c>
      <c r="BC87" s="13">
        <v>5829</v>
      </c>
      <c r="BD87" s="13">
        <v>5866</v>
      </c>
      <c r="BE87" s="13">
        <v>5672</v>
      </c>
      <c r="BF87" s="13">
        <v>5757</v>
      </c>
      <c r="BG87" s="13">
        <v>5790</v>
      </c>
      <c r="BH87" s="13">
        <v>5800</v>
      </c>
      <c r="BI87" s="13">
        <v>5847</v>
      </c>
      <c r="BJ87" s="13">
        <v>5897</v>
      </c>
      <c r="BK87" s="13">
        <v>5895</v>
      </c>
      <c r="BL87" s="13">
        <v>5953</v>
      </c>
      <c r="BM87" s="4">
        <v>5973</v>
      </c>
      <c r="BN87" s="4">
        <v>6034</v>
      </c>
      <c r="BO87" s="4">
        <v>6081</v>
      </c>
      <c r="BP87" s="4">
        <v>6086</v>
      </c>
    </row>
    <row r="88" spans="1:68" ht="15.9" customHeight="1">
      <c r="A88" s="64" t="s">
        <v>171</v>
      </c>
      <c r="B88" s="6" t="s">
        <v>172</v>
      </c>
      <c r="C88" s="15" t="str">
        <f>_xll.RssMarket("3003","現在値")</f>
        <v/>
      </c>
      <c r="D88" s="16" t="e">
        <f t="shared" si="2"/>
        <v>#VALUE!</v>
      </c>
      <c r="E88" s="13">
        <v>1789</v>
      </c>
      <c r="F88" s="13">
        <v>1792.5</v>
      </c>
      <c r="G88" s="13">
        <v>1788</v>
      </c>
      <c r="H88" s="13">
        <v>1765.5</v>
      </c>
      <c r="I88" s="13">
        <v>1755</v>
      </c>
      <c r="J88" s="13">
        <v>1758</v>
      </c>
      <c r="K88" s="13">
        <v>1790</v>
      </c>
      <c r="L88" s="13">
        <v>1753.5</v>
      </c>
      <c r="M88" s="13">
        <v>1734.5</v>
      </c>
      <c r="N88" s="13">
        <v>1713.5</v>
      </c>
      <c r="O88" s="13">
        <v>1664.5</v>
      </c>
      <c r="P88" s="13">
        <v>1697</v>
      </c>
      <c r="Q88" s="13">
        <v>1712</v>
      </c>
      <c r="R88" s="13">
        <v>1715</v>
      </c>
      <c r="S88" s="13">
        <v>1700</v>
      </c>
      <c r="T88" s="13">
        <v>1690</v>
      </c>
      <c r="U88" s="13">
        <v>1687.5</v>
      </c>
      <c r="V88" s="13">
        <v>1686</v>
      </c>
      <c r="W88" s="13">
        <v>1706.5</v>
      </c>
      <c r="X88" s="13">
        <v>1716</v>
      </c>
      <c r="Y88" s="13">
        <v>1704.5</v>
      </c>
      <c r="Z88" s="13">
        <v>1725.5</v>
      </c>
      <c r="AA88" s="13">
        <v>1721.5</v>
      </c>
      <c r="AB88" s="13">
        <v>1727.5</v>
      </c>
      <c r="AC88" s="13">
        <v>1677</v>
      </c>
      <c r="AD88" s="13">
        <v>1656</v>
      </c>
      <c r="AE88" s="13">
        <v>1631.5</v>
      </c>
      <c r="AF88" s="13">
        <v>1650</v>
      </c>
      <c r="AG88" s="13">
        <v>1652.5</v>
      </c>
      <c r="AH88" s="13">
        <v>1651</v>
      </c>
      <c r="AI88" s="13">
        <v>1699</v>
      </c>
      <c r="AJ88" s="13">
        <v>1670</v>
      </c>
      <c r="AK88" s="13">
        <v>1663</v>
      </c>
      <c r="AL88" s="13">
        <v>1671.5</v>
      </c>
      <c r="AM88" s="13">
        <v>1650</v>
      </c>
      <c r="AN88" s="13">
        <v>1737</v>
      </c>
      <c r="AO88" s="13">
        <v>1724</v>
      </c>
      <c r="AP88" s="13">
        <v>1749</v>
      </c>
      <c r="AQ88" s="13">
        <v>1722.5</v>
      </c>
      <c r="AR88" s="13">
        <v>1760.5</v>
      </c>
      <c r="AS88" s="13">
        <v>1760</v>
      </c>
      <c r="AT88" s="13">
        <v>1801.5</v>
      </c>
      <c r="AU88" s="13">
        <v>1799</v>
      </c>
      <c r="AV88" s="13">
        <v>1786.5</v>
      </c>
      <c r="AW88" s="13">
        <v>1802.5</v>
      </c>
      <c r="AX88" s="13">
        <v>1820</v>
      </c>
      <c r="AY88" s="13">
        <v>1799</v>
      </c>
      <c r="AZ88" s="13">
        <v>1766</v>
      </c>
      <c r="BA88" s="13">
        <v>1794.5</v>
      </c>
      <c r="BB88" s="13">
        <v>1743.5</v>
      </c>
      <c r="BC88" s="13">
        <v>1835</v>
      </c>
      <c r="BD88" s="13">
        <v>1820</v>
      </c>
      <c r="BE88" s="13">
        <v>1829.5</v>
      </c>
      <c r="BF88" s="13">
        <v>1862.5</v>
      </c>
      <c r="BG88" s="13">
        <v>1904.5</v>
      </c>
      <c r="BH88" s="13">
        <v>1883.5</v>
      </c>
      <c r="BI88" s="13">
        <v>1902.5</v>
      </c>
      <c r="BJ88" s="13">
        <v>1900</v>
      </c>
      <c r="BK88" s="13">
        <v>1894.5</v>
      </c>
      <c r="BL88" s="13">
        <v>1880.5</v>
      </c>
      <c r="BM88" s="4">
        <v>1881.5</v>
      </c>
      <c r="BN88" s="4">
        <v>1895.5</v>
      </c>
      <c r="BO88" s="4">
        <v>1930.5</v>
      </c>
      <c r="BP88" s="4">
        <v>1890.5</v>
      </c>
    </row>
    <row r="89" spans="1:68" ht="15.9" customHeight="1">
      <c r="A89" s="64" t="s">
        <v>173</v>
      </c>
      <c r="B89" s="6" t="s">
        <v>174</v>
      </c>
      <c r="C89" s="15" t="str">
        <f>_xll.RssMarket("5892","現在値")</f>
        <v/>
      </c>
      <c r="D89" s="16" t="e">
        <f t="shared" si="2"/>
        <v>#VALUE!</v>
      </c>
      <c r="E89" s="13">
        <v>2028</v>
      </c>
      <c r="F89" s="13">
        <v>2093</v>
      </c>
      <c r="G89" s="13">
        <v>2084</v>
      </c>
      <c r="H89" s="13">
        <v>2062</v>
      </c>
      <c r="I89" s="13">
        <v>2081</v>
      </c>
      <c r="J89" s="13">
        <v>2062</v>
      </c>
      <c r="K89" s="13">
        <v>2074</v>
      </c>
      <c r="L89" s="13">
        <v>2084</v>
      </c>
      <c r="M89" s="13">
        <v>2133</v>
      </c>
      <c r="N89" s="13">
        <v>2074</v>
      </c>
      <c r="O89" s="13">
        <v>2032</v>
      </c>
      <c r="P89" s="13">
        <v>2047</v>
      </c>
      <c r="Q89" s="13">
        <v>2071</v>
      </c>
      <c r="R89" s="13">
        <v>1978</v>
      </c>
      <c r="S89" s="13">
        <v>2007</v>
      </c>
      <c r="T89" s="13">
        <v>1995</v>
      </c>
      <c r="U89" s="13">
        <v>2010</v>
      </c>
      <c r="V89" s="13">
        <v>2032</v>
      </c>
      <c r="W89" s="13">
        <v>2030</v>
      </c>
      <c r="X89" s="13">
        <v>2192</v>
      </c>
      <c r="Y89" s="13">
        <v>2040</v>
      </c>
      <c r="Z89" s="13">
        <v>2001</v>
      </c>
      <c r="AA89" s="13">
        <v>2121</v>
      </c>
      <c r="AB89" s="13">
        <v>2197</v>
      </c>
      <c r="AC89" s="13">
        <v>2225</v>
      </c>
      <c r="AD89" s="13">
        <v>2370</v>
      </c>
      <c r="AE89" s="13">
        <v>2197</v>
      </c>
      <c r="AF89" s="13">
        <v>2141</v>
      </c>
      <c r="AG89" s="13">
        <v>2131</v>
      </c>
      <c r="AH89" s="13">
        <v>2164</v>
      </c>
      <c r="AI89" s="13">
        <v>2290</v>
      </c>
      <c r="AJ89" s="13">
        <v>2316</v>
      </c>
      <c r="AK89" s="13">
        <v>2378</v>
      </c>
      <c r="AL89" s="13">
        <v>2385</v>
      </c>
      <c r="AM89" s="13">
        <v>2376</v>
      </c>
      <c r="AN89" s="13">
        <v>2490</v>
      </c>
      <c r="AO89" s="13">
        <v>2561</v>
      </c>
      <c r="AP89" s="13">
        <v>2649</v>
      </c>
      <c r="AQ89" s="13">
        <v>2583</v>
      </c>
      <c r="AR89" s="13">
        <v>2384</v>
      </c>
      <c r="AS89" s="13">
        <v>1984</v>
      </c>
      <c r="AT89" s="13">
        <v>2090</v>
      </c>
      <c r="AU89" s="13">
        <v>1935</v>
      </c>
      <c r="AV89" s="13">
        <v>1929</v>
      </c>
      <c r="AW89" s="13">
        <v>1970</v>
      </c>
      <c r="AX89" s="13">
        <v>1973</v>
      </c>
      <c r="AY89" s="13">
        <v>1987</v>
      </c>
      <c r="AZ89" s="13">
        <v>1950</v>
      </c>
      <c r="BA89" s="13">
        <v>1999</v>
      </c>
      <c r="BB89" s="13">
        <v>2041</v>
      </c>
      <c r="BC89" s="13">
        <v>2049</v>
      </c>
      <c r="BD89" s="13">
        <v>2078</v>
      </c>
      <c r="BE89" s="13">
        <v>2191</v>
      </c>
      <c r="BF89" s="13">
        <v>2207</v>
      </c>
      <c r="BG89" s="13">
        <v>2224</v>
      </c>
      <c r="BH89" s="13">
        <v>2205</v>
      </c>
      <c r="BI89" s="13">
        <v>2206</v>
      </c>
      <c r="BJ89" s="13">
        <v>2233</v>
      </c>
      <c r="BK89" s="13">
        <v>2311</v>
      </c>
      <c r="BL89" s="13">
        <v>2173</v>
      </c>
      <c r="BM89" s="4">
        <v>2176</v>
      </c>
      <c r="BN89" s="4">
        <v>2170</v>
      </c>
      <c r="BO89" s="4">
        <v>2180</v>
      </c>
      <c r="BP89" s="4">
        <v>2056</v>
      </c>
    </row>
    <row r="90" spans="1:68" ht="15.9" customHeight="1">
      <c r="A90" s="64" t="s">
        <v>175</v>
      </c>
      <c r="B90" s="6" t="s">
        <v>176</v>
      </c>
      <c r="C90" s="15" t="str">
        <f>_xll.RssMarket("6323","現在値")</f>
        <v/>
      </c>
      <c r="D90" s="16" t="e">
        <f t="shared" si="2"/>
        <v>#VALUE!</v>
      </c>
      <c r="E90" s="13">
        <v>4403</v>
      </c>
      <c r="F90" s="13">
        <v>4950</v>
      </c>
      <c r="G90" s="13">
        <v>4492</v>
      </c>
      <c r="H90" s="13">
        <v>4684</v>
      </c>
      <c r="I90" s="13">
        <v>4655</v>
      </c>
      <c r="J90" s="13">
        <v>4586</v>
      </c>
      <c r="K90" s="13">
        <v>4344</v>
      </c>
      <c r="L90" s="13">
        <v>4745</v>
      </c>
      <c r="M90" s="13">
        <v>4940</v>
      </c>
      <c r="N90" s="13">
        <v>4701</v>
      </c>
      <c r="O90" s="13">
        <v>5080</v>
      </c>
      <c r="P90" s="13">
        <v>4840</v>
      </c>
      <c r="Q90" s="13">
        <v>4515</v>
      </c>
      <c r="R90" s="13">
        <v>4530</v>
      </c>
      <c r="S90" s="13">
        <v>4836</v>
      </c>
      <c r="T90" s="13">
        <v>4453</v>
      </c>
      <c r="U90" s="13">
        <v>4580</v>
      </c>
      <c r="V90" s="13">
        <v>5020</v>
      </c>
      <c r="W90" s="13">
        <v>4864</v>
      </c>
      <c r="X90" s="13">
        <v>4554</v>
      </c>
      <c r="Y90" s="13">
        <v>4410</v>
      </c>
      <c r="Z90" s="13">
        <v>4168</v>
      </c>
      <c r="AA90" s="13">
        <v>3841</v>
      </c>
      <c r="AB90" s="13">
        <v>3867</v>
      </c>
      <c r="AC90" s="13">
        <v>3942</v>
      </c>
      <c r="AD90" s="13">
        <v>4229</v>
      </c>
      <c r="AE90" s="13">
        <v>4424</v>
      </c>
      <c r="AF90" s="13">
        <v>4216</v>
      </c>
      <c r="AG90" s="13">
        <v>3835</v>
      </c>
      <c r="AH90" s="13">
        <v>3848</v>
      </c>
      <c r="AI90" s="13">
        <v>3933</v>
      </c>
      <c r="AJ90" s="13">
        <v>3894</v>
      </c>
      <c r="AK90" s="13">
        <v>3867</v>
      </c>
      <c r="AL90" s="13">
        <v>4000</v>
      </c>
      <c r="AM90" s="13">
        <v>3887</v>
      </c>
      <c r="AN90" s="13">
        <v>3752</v>
      </c>
      <c r="AO90" s="13">
        <v>3487</v>
      </c>
      <c r="AP90" s="13">
        <v>3597</v>
      </c>
      <c r="AQ90" s="13">
        <v>3672</v>
      </c>
      <c r="AR90" s="13">
        <v>3739</v>
      </c>
      <c r="AS90" s="13">
        <v>3997</v>
      </c>
      <c r="AT90" s="13">
        <v>3946</v>
      </c>
      <c r="AU90" s="13">
        <v>3995</v>
      </c>
      <c r="AV90" s="13">
        <v>4040</v>
      </c>
      <c r="AW90" s="13">
        <v>3898</v>
      </c>
      <c r="AX90" s="13">
        <v>3950</v>
      </c>
      <c r="AY90" s="13">
        <v>3704</v>
      </c>
      <c r="AZ90" s="13">
        <v>3670</v>
      </c>
      <c r="BA90" s="13">
        <v>3855</v>
      </c>
      <c r="BB90" s="13">
        <v>3996</v>
      </c>
      <c r="BC90" s="13">
        <v>3638</v>
      </c>
      <c r="BD90" s="13">
        <v>3522</v>
      </c>
      <c r="BE90" s="13">
        <v>3566</v>
      </c>
      <c r="BF90" s="13">
        <v>3700</v>
      </c>
      <c r="BG90" s="13">
        <v>3624</v>
      </c>
      <c r="BH90" s="13">
        <v>3626</v>
      </c>
      <c r="BI90" s="13">
        <v>3819</v>
      </c>
      <c r="BJ90" s="13">
        <v>3852</v>
      </c>
      <c r="BK90" s="13">
        <v>4035</v>
      </c>
      <c r="BL90" s="13">
        <v>4058</v>
      </c>
      <c r="BM90" s="4">
        <v>3969</v>
      </c>
      <c r="BN90" s="4">
        <v>3269</v>
      </c>
      <c r="BO90" s="4">
        <v>3200</v>
      </c>
      <c r="BP90" s="4">
        <v>2891</v>
      </c>
    </row>
    <row r="91" spans="1:68" ht="15.9" customHeight="1">
      <c r="A91" s="64" t="s">
        <v>177</v>
      </c>
      <c r="B91" s="6" t="s">
        <v>178</v>
      </c>
      <c r="C91" s="15" t="str">
        <f>_xll.RssMarket("6501","現在値")</f>
        <v/>
      </c>
      <c r="D91" s="16" t="e">
        <f t="shared" si="2"/>
        <v>#VALUE!</v>
      </c>
      <c r="E91" s="13">
        <v>4717</v>
      </c>
      <c r="F91" s="13">
        <v>4796</v>
      </c>
      <c r="G91" s="13">
        <v>4802</v>
      </c>
      <c r="H91" s="13">
        <v>4716</v>
      </c>
      <c r="I91" s="13">
        <v>4700</v>
      </c>
      <c r="J91" s="13">
        <v>4758</v>
      </c>
      <c r="K91" s="13">
        <v>4778</v>
      </c>
      <c r="L91" s="13">
        <v>4805</v>
      </c>
      <c r="M91" s="13">
        <v>4615</v>
      </c>
      <c r="N91" s="13">
        <v>4669</v>
      </c>
      <c r="O91" s="13">
        <v>4496</v>
      </c>
      <c r="P91" s="13">
        <v>4471</v>
      </c>
      <c r="Q91" s="13">
        <v>4486</v>
      </c>
      <c r="R91" s="13">
        <v>4478</v>
      </c>
      <c r="S91" s="13">
        <v>4554</v>
      </c>
      <c r="T91" s="13">
        <v>4691</v>
      </c>
      <c r="U91" s="13">
        <v>4750</v>
      </c>
      <c r="V91" s="13">
        <v>4864</v>
      </c>
      <c r="W91" s="13">
        <v>4764</v>
      </c>
      <c r="X91" s="13">
        <v>4701</v>
      </c>
      <c r="Y91" s="13">
        <v>4747</v>
      </c>
      <c r="Z91" s="13">
        <v>4657</v>
      </c>
      <c r="AA91" s="13">
        <v>4655</v>
      </c>
      <c r="AB91" s="13">
        <v>4784</v>
      </c>
      <c r="AC91" s="13">
        <v>5031</v>
      </c>
      <c r="AD91" s="13">
        <v>5300</v>
      </c>
      <c r="AE91" s="13">
        <v>5183</v>
      </c>
      <c r="AF91" s="13">
        <v>5270</v>
      </c>
      <c r="AG91" s="13">
        <v>5083</v>
      </c>
      <c r="AH91" s="13">
        <v>5126</v>
      </c>
      <c r="AI91" s="13">
        <v>5166</v>
      </c>
      <c r="AJ91" s="13">
        <v>5174</v>
      </c>
      <c r="AK91" s="13">
        <v>4960</v>
      </c>
      <c r="AL91" s="13">
        <v>5054</v>
      </c>
      <c r="AM91" s="13">
        <v>5002</v>
      </c>
      <c r="AN91" s="13">
        <v>5123</v>
      </c>
      <c r="AO91" s="13">
        <v>4908</v>
      </c>
      <c r="AP91" s="13">
        <v>4944</v>
      </c>
      <c r="AQ91" s="13">
        <v>4808</v>
      </c>
      <c r="AR91" s="13">
        <v>4812</v>
      </c>
      <c r="AS91" s="13">
        <v>4671</v>
      </c>
      <c r="AT91" s="13">
        <v>4750</v>
      </c>
      <c r="AU91" s="13">
        <v>4868</v>
      </c>
      <c r="AV91" s="13">
        <v>4887</v>
      </c>
      <c r="AW91" s="13">
        <v>4938</v>
      </c>
      <c r="AX91" s="13">
        <v>4850</v>
      </c>
      <c r="AY91" s="13">
        <v>4795</v>
      </c>
      <c r="AZ91" s="13">
        <v>4882</v>
      </c>
      <c r="BA91" s="13">
        <v>5047</v>
      </c>
      <c r="BB91" s="13">
        <v>5356</v>
      </c>
      <c r="BC91" s="13">
        <v>5229</v>
      </c>
      <c r="BD91" s="13">
        <v>5203</v>
      </c>
      <c r="BE91" s="13">
        <v>5034</v>
      </c>
      <c r="BF91" s="13">
        <v>5189</v>
      </c>
      <c r="BG91" s="13">
        <v>5153</v>
      </c>
      <c r="BH91" s="13">
        <v>5157</v>
      </c>
      <c r="BI91" s="13">
        <v>5220</v>
      </c>
      <c r="BJ91" s="13">
        <v>5220</v>
      </c>
      <c r="BK91" s="13">
        <v>4957</v>
      </c>
      <c r="BL91" s="13">
        <v>4848</v>
      </c>
      <c r="BM91" s="4">
        <v>4810</v>
      </c>
      <c r="BN91" s="4">
        <v>4843</v>
      </c>
      <c r="BO91" s="4">
        <v>4915</v>
      </c>
      <c r="BP91" s="4">
        <v>4764</v>
      </c>
    </row>
    <row r="92" spans="1:68" ht="15.9" customHeight="1">
      <c r="A92" s="64" t="s">
        <v>179</v>
      </c>
      <c r="B92" s="6" t="s">
        <v>180</v>
      </c>
      <c r="C92" s="15" t="str">
        <f>_xll.RssMarket("6134","現在値")</f>
        <v/>
      </c>
      <c r="D92" s="16" t="e">
        <f t="shared" si="2"/>
        <v>#VALUE!</v>
      </c>
      <c r="E92" s="13">
        <v>7275</v>
      </c>
      <c r="F92" s="13">
        <v>8020</v>
      </c>
      <c r="G92" s="13">
        <v>7664</v>
      </c>
      <c r="H92" s="13">
        <v>7838</v>
      </c>
      <c r="I92" s="13">
        <v>8248</v>
      </c>
      <c r="J92" s="13">
        <v>7770</v>
      </c>
      <c r="K92" s="13">
        <v>7600</v>
      </c>
      <c r="L92" s="13">
        <v>8650</v>
      </c>
      <c r="M92" s="13">
        <v>8748</v>
      </c>
      <c r="N92" s="13">
        <v>8450</v>
      </c>
      <c r="O92" s="13">
        <v>8932</v>
      </c>
      <c r="P92" s="13">
        <v>8398</v>
      </c>
      <c r="Q92" s="13">
        <v>8001</v>
      </c>
      <c r="R92" s="13">
        <v>7991</v>
      </c>
      <c r="S92" s="13">
        <v>8463</v>
      </c>
      <c r="T92" s="13">
        <v>8150</v>
      </c>
      <c r="U92" s="13">
        <v>8142</v>
      </c>
      <c r="V92" s="13">
        <v>8511</v>
      </c>
      <c r="W92" s="13">
        <v>8379</v>
      </c>
      <c r="X92" s="13">
        <v>8323</v>
      </c>
      <c r="Y92" s="13">
        <v>8239</v>
      </c>
      <c r="Z92" s="13">
        <v>7671</v>
      </c>
      <c r="AA92" s="13">
        <v>7426</v>
      </c>
      <c r="AB92" s="13">
        <v>7355</v>
      </c>
      <c r="AC92" s="13">
        <v>7162</v>
      </c>
      <c r="AD92" s="13">
        <v>7736</v>
      </c>
      <c r="AE92" s="13">
        <v>7788</v>
      </c>
      <c r="AF92" s="13">
        <v>7835</v>
      </c>
      <c r="AG92" s="13">
        <v>7932</v>
      </c>
      <c r="AH92" s="13">
        <v>8196</v>
      </c>
      <c r="AI92" s="13">
        <v>7938</v>
      </c>
      <c r="AJ92" s="13">
        <v>7881</v>
      </c>
      <c r="AK92" s="13">
        <v>7867</v>
      </c>
      <c r="AL92" s="13">
        <v>8323</v>
      </c>
      <c r="AM92" s="13">
        <v>7918</v>
      </c>
      <c r="AN92" s="13">
        <v>7585</v>
      </c>
      <c r="AO92" s="13">
        <v>7220</v>
      </c>
      <c r="AP92" s="13">
        <v>7576</v>
      </c>
      <c r="AQ92" s="13">
        <v>7735</v>
      </c>
      <c r="AR92" s="13">
        <v>7993</v>
      </c>
      <c r="AS92" s="13">
        <v>7201</v>
      </c>
      <c r="AT92" s="13">
        <v>6988</v>
      </c>
      <c r="AU92" s="13">
        <v>6913</v>
      </c>
      <c r="AV92" s="13">
        <v>6721</v>
      </c>
      <c r="AW92" s="13">
        <v>6615</v>
      </c>
      <c r="AX92" s="13">
        <v>6272</v>
      </c>
      <c r="AY92" s="13">
        <v>6024</v>
      </c>
      <c r="AZ92" s="13">
        <v>6068</v>
      </c>
      <c r="BA92" s="13">
        <v>6063</v>
      </c>
      <c r="BB92" s="13">
        <v>5963</v>
      </c>
      <c r="BC92" s="13">
        <v>5873</v>
      </c>
      <c r="BD92" s="13">
        <v>5714</v>
      </c>
      <c r="BE92" s="13">
        <v>5950</v>
      </c>
      <c r="BF92" s="13">
        <v>5967</v>
      </c>
      <c r="BG92" s="13">
        <v>5740</v>
      </c>
      <c r="BH92" s="13">
        <v>5657</v>
      </c>
      <c r="BI92" s="13">
        <v>5867</v>
      </c>
      <c r="BJ92" s="13">
        <v>5716</v>
      </c>
      <c r="BK92" s="13">
        <v>5810</v>
      </c>
      <c r="BL92" s="13">
        <v>5508</v>
      </c>
      <c r="BM92" s="4">
        <v>5447</v>
      </c>
      <c r="BN92" s="4">
        <v>5340</v>
      </c>
      <c r="BO92" s="4">
        <v>5303</v>
      </c>
      <c r="BP92" s="4">
        <v>4959</v>
      </c>
    </row>
    <row r="93" spans="1:68" ht="15.9" customHeight="1">
      <c r="A93" s="64" t="s">
        <v>181</v>
      </c>
      <c r="B93" s="6" t="s">
        <v>182</v>
      </c>
      <c r="C93" s="15" t="str">
        <f>_xll.RssMarket("7746","現在値")</f>
        <v/>
      </c>
      <c r="D93" s="16" t="e">
        <f t="shared" si="2"/>
        <v>#VALUE!</v>
      </c>
      <c r="E93" s="13">
        <v>736</v>
      </c>
      <c r="F93" s="13">
        <v>802</v>
      </c>
      <c r="G93" s="13">
        <v>796</v>
      </c>
      <c r="H93" s="13">
        <v>793</v>
      </c>
      <c r="I93" s="13">
        <v>777</v>
      </c>
      <c r="J93" s="13">
        <v>761</v>
      </c>
      <c r="K93" s="13">
        <v>785</v>
      </c>
      <c r="L93" s="13">
        <v>849</v>
      </c>
      <c r="M93" s="13">
        <v>854</v>
      </c>
      <c r="N93" s="13">
        <v>878</v>
      </c>
      <c r="O93" s="13">
        <v>876</v>
      </c>
      <c r="P93" s="13">
        <v>935</v>
      </c>
      <c r="Q93" s="13">
        <v>949</v>
      </c>
      <c r="R93" s="13">
        <v>850</v>
      </c>
      <c r="S93" s="13">
        <v>764</v>
      </c>
      <c r="T93" s="13">
        <v>760</v>
      </c>
      <c r="U93" s="13">
        <v>768</v>
      </c>
      <c r="V93" s="13">
        <v>802</v>
      </c>
      <c r="W93" s="13">
        <v>796</v>
      </c>
      <c r="X93" s="13">
        <v>828</v>
      </c>
      <c r="Y93" s="13">
        <v>897</v>
      </c>
      <c r="Z93" s="13">
        <v>722</v>
      </c>
      <c r="AA93" s="13">
        <v>700</v>
      </c>
      <c r="AB93" s="13">
        <v>682</v>
      </c>
      <c r="AC93" s="13">
        <v>726</v>
      </c>
      <c r="AD93" s="13">
        <v>778</v>
      </c>
      <c r="AE93" s="13">
        <v>755</v>
      </c>
      <c r="AF93" s="13">
        <v>784</v>
      </c>
      <c r="AG93" s="13">
        <v>773</v>
      </c>
      <c r="AH93" s="13">
        <v>795</v>
      </c>
      <c r="AI93" s="13">
        <v>845</v>
      </c>
      <c r="AJ93" s="13">
        <v>843</v>
      </c>
      <c r="AK93" s="13">
        <v>850</v>
      </c>
      <c r="AL93" s="13">
        <v>893</v>
      </c>
      <c r="AM93" s="13">
        <v>911</v>
      </c>
      <c r="AN93" s="13">
        <v>929</v>
      </c>
      <c r="AO93" s="13">
        <v>989</v>
      </c>
      <c r="AP93" s="13">
        <v>1054</v>
      </c>
      <c r="AQ93" s="13">
        <v>904</v>
      </c>
      <c r="AR93" s="13">
        <v>754</v>
      </c>
      <c r="AS93" s="13">
        <v>779</v>
      </c>
      <c r="AT93" s="13">
        <v>795</v>
      </c>
      <c r="AU93" s="13">
        <v>765</v>
      </c>
      <c r="AV93" s="13">
        <v>820</v>
      </c>
      <c r="AW93" s="13">
        <v>878</v>
      </c>
      <c r="AX93" s="13">
        <v>840</v>
      </c>
      <c r="AY93" s="13">
        <v>815</v>
      </c>
      <c r="AZ93" s="13">
        <v>852</v>
      </c>
      <c r="BA93" s="13">
        <v>921</v>
      </c>
      <c r="BB93" s="13">
        <v>946</v>
      </c>
      <c r="BC93" s="13">
        <v>955</v>
      </c>
      <c r="BD93" s="13">
        <v>976</v>
      </c>
      <c r="BE93" s="13">
        <v>999</v>
      </c>
      <c r="BF93" s="13">
        <v>998</v>
      </c>
      <c r="BG93" s="13">
        <v>1056</v>
      </c>
      <c r="BH93" s="13">
        <v>949</v>
      </c>
      <c r="BI93" s="13">
        <v>962</v>
      </c>
      <c r="BJ93" s="13">
        <v>985</v>
      </c>
      <c r="BK93" s="13">
        <v>981</v>
      </c>
      <c r="BL93" s="13">
        <v>964</v>
      </c>
      <c r="BM93" s="4">
        <v>1011</v>
      </c>
      <c r="BN93" s="4">
        <v>1033</v>
      </c>
      <c r="BO93" s="4">
        <v>1066</v>
      </c>
      <c r="BP93" s="4">
        <v>1001</v>
      </c>
    </row>
    <row r="94" spans="1:68" ht="15.9" customHeight="1">
      <c r="A94" s="64" t="s">
        <v>183</v>
      </c>
      <c r="B94" s="6" t="s">
        <v>184</v>
      </c>
      <c r="C94" s="15" t="str">
        <f>_xll.RssMarket("3407","現在値")</f>
        <v/>
      </c>
      <c r="D94" s="16" t="e">
        <f t="shared" si="2"/>
        <v>#VALUE!</v>
      </c>
      <c r="E94" s="13">
        <v>1829.5</v>
      </c>
      <c r="F94" s="13">
        <v>1887.5</v>
      </c>
      <c r="G94" s="13">
        <v>1867</v>
      </c>
      <c r="H94" s="13">
        <v>1815.5</v>
      </c>
      <c r="I94" s="13">
        <v>1842</v>
      </c>
      <c r="J94" s="13">
        <v>1851</v>
      </c>
      <c r="K94" s="13">
        <v>1867</v>
      </c>
      <c r="L94" s="13">
        <v>1901</v>
      </c>
      <c r="M94" s="13">
        <v>1849</v>
      </c>
      <c r="N94" s="13">
        <v>1783.5</v>
      </c>
      <c r="O94" s="13">
        <v>1782.5</v>
      </c>
      <c r="P94" s="13">
        <v>1791</v>
      </c>
      <c r="Q94" s="13">
        <v>1803.5</v>
      </c>
      <c r="R94" s="13">
        <v>1794</v>
      </c>
      <c r="S94" s="13">
        <v>1796</v>
      </c>
      <c r="T94" s="13">
        <v>1793</v>
      </c>
      <c r="U94" s="13">
        <v>1823.5</v>
      </c>
      <c r="V94" s="13">
        <v>1792.5</v>
      </c>
      <c r="W94" s="13">
        <v>1790</v>
      </c>
      <c r="X94" s="13">
        <v>1761.5</v>
      </c>
      <c r="Y94" s="13">
        <v>1788.5</v>
      </c>
      <c r="Z94" s="13">
        <v>1760</v>
      </c>
      <c r="AA94" s="13">
        <v>1756</v>
      </c>
      <c r="AB94" s="13">
        <v>1746</v>
      </c>
      <c r="AC94" s="13">
        <v>1786.5</v>
      </c>
      <c r="AD94" s="13">
        <v>1786</v>
      </c>
      <c r="AE94" s="13">
        <v>1757.5</v>
      </c>
      <c r="AF94" s="13">
        <v>1742.5</v>
      </c>
      <c r="AG94" s="13">
        <v>1768</v>
      </c>
      <c r="AH94" s="13">
        <v>1787</v>
      </c>
      <c r="AI94" s="13">
        <v>1755.5</v>
      </c>
      <c r="AJ94" s="13">
        <v>1750</v>
      </c>
      <c r="AK94" s="13">
        <v>1770</v>
      </c>
      <c r="AL94" s="13">
        <v>1726</v>
      </c>
      <c r="AM94" s="13">
        <v>1709</v>
      </c>
      <c r="AN94" s="13">
        <v>1673.5</v>
      </c>
      <c r="AO94" s="13">
        <v>1700</v>
      </c>
      <c r="AP94" s="13">
        <v>1690</v>
      </c>
      <c r="AQ94" s="13">
        <v>1728</v>
      </c>
      <c r="AR94" s="13">
        <v>1729</v>
      </c>
      <c r="AS94" s="13">
        <v>1750</v>
      </c>
      <c r="AT94" s="13">
        <v>1654.5</v>
      </c>
      <c r="AU94" s="13">
        <v>1532.5</v>
      </c>
      <c r="AV94" s="13">
        <v>1536.5</v>
      </c>
      <c r="AW94" s="13">
        <v>1545.5</v>
      </c>
      <c r="AX94" s="13">
        <v>1524.5</v>
      </c>
      <c r="AY94" s="13">
        <v>1535</v>
      </c>
      <c r="AZ94" s="13">
        <v>1542</v>
      </c>
      <c r="BA94" s="13">
        <v>1519.5</v>
      </c>
      <c r="BB94" s="13">
        <v>1527</v>
      </c>
      <c r="BC94" s="13">
        <v>1526.5</v>
      </c>
      <c r="BD94" s="13">
        <v>1533.5</v>
      </c>
      <c r="BE94" s="13">
        <v>1558.5</v>
      </c>
      <c r="BF94" s="13">
        <v>1559</v>
      </c>
      <c r="BG94" s="13">
        <v>1602</v>
      </c>
      <c r="BH94" s="13">
        <v>1612</v>
      </c>
      <c r="BI94" s="13">
        <v>1540.5</v>
      </c>
      <c r="BJ94" s="13">
        <v>1573.5</v>
      </c>
      <c r="BK94" s="13">
        <v>1611</v>
      </c>
      <c r="BL94" s="13">
        <v>1635.5</v>
      </c>
      <c r="BM94" s="4">
        <v>1637.5</v>
      </c>
      <c r="BN94" s="4">
        <v>1650</v>
      </c>
      <c r="BO94" s="4">
        <v>1545</v>
      </c>
      <c r="BP94" s="4">
        <v>1538.5</v>
      </c>
    </row>
    <row r="95" spans="1:68" ht="15.9" customHeight="1">
      <c r="A95" s="64" t="s">
        <v>185</v>
      </c>
      <c r="B95" s="6" t="s">
        <v>186</v>
      </c>
      <c r="C95" s="15" t="str">
        <f>_xll.RssMarket("4008","現在値")</f>
        <v/>
      </c>
      <c r="D95" s="16" t="e">
        <f t="shared" si="2"/>
        <v>#VALUE!</v>
      </c>
      <c r="E95" s="13">
        <v>1268</v>
      </c>
      <c r="F95" s="13">
        <v>1314</v>
      </c>
      <c r="G95" s="13">
        <v>1283</v>
      </c>
      <c r="H95" s="13">
        <v>1261</v>
      </c>
      <c r="I95" s="13">
        <v>1266</v>
      </c>
      <c r="J95" s="13">
        <v>1275</v>
      </c>
      <c r="K95" s="13">
        <v>1287</v>
      </c>
      <c r="L95" s="13">
        <v>1351</v>
      </c>
      <c r="M95" s="13">
        <v>1376</v>
      </c>
      <c r="N95" s="13">
        <v>1305</v>
      </c>
      <c r="O95" s="13">
        <v>1286</v>
      </c>
      <c r="P95" s="13">
        <v>1272</v>
      </c>
      <c r="Q95" s="13">
        <v>1295</v>
      </c>
      <c r="R95" s="13">
        <v>1289</v>
      </c>
      <c r="S95" s="13">
        <v>1291</v>
      </c>
      <c r="T95" s="13">
        <v>1267</v>
      </c>
      <c r="U95" s="13">
        <v>1289</v>
      </c>
      <c r="V95" s="13">
        <v>1330</v>
      </c>
      <c r="W95" s="13">
        <v>1327</v>
      </c>
      <c r="X95" s="13">
        <v>1318</v>
      </c>
      <c r="Y95" s="13">
        <v>1321</v>
      </c>
      <c r="Z95" s="13">
        <v>1281</v>
      </c>
      <c r="AA95" s="13">
        <v>1256</v>
      </c>
      <c r="AB95" s="13">
        <v>1255</v>
      </c>
      <c r="AC95" s="13">
        <v>1254</v>
      </c>
      <c r="AD95" s="13">
        <v>1289</v>
      </c>
      <c r="AE95" s="13">
        <v>1273</v>
      </c>
      <c r="AF95" s="13">
        <v>1312</v>
      </c>
      <c r="AG95" s="13">
        <v>1286</v>
      </c>
      <c r="AH95" s="13">
        <v>1272</v>
      </c>
      <c r="AI95" s="13">
        <v>1332</v>
      </c>
      <c r="AJ95" s="13">
        <v>1323</v>
      </c>
      <c r="AK95" s="13">
        <v>1319</v>
      </c>
      <c r="AL95" s="13">
        <v>1302</v>
      </c>
      <c r="AM95" s="13">
        <v>1275</v>
      </c>
      <c r="AN95" s="13">
        <v>1231</v>
      </c>
      <c r="AO95" s="13">
        <v>1218</v>
      </c>
      <c r="AP95" s="13">
        <v>1234</v>
      </c>
      <c r="AQ95" s="13">
        <v>1243</v>
      </c>
      <c r="AR95" s="13">
        <v>1260</v>
      </c>
      <c r="AS95" s="13">
        <v>1250</v>
      </c>
      <c r="AT95" s="13">
        <v>1247</v>
      </c>
      <c r="AU95" s="13">
        <v>1188</v>
      </c>
      <c r="AV95" s="13">
        <v>1212</v>
      </c>
      <c r="AW95" s="13">
        <v>1209</v>
      </c>
      <c r="AX95" s="13">
        <v>1217</v>
      </c>
      <c r="AY95" s="13">
        <v>1186</v>
      </c>
      <c r="AZ95" s="13">
        <v>1197</v>
      </c>
      <c r="BA95" s="13">
        <v>1207</v>
      </c>
      <c r="BB95" s="13">
        <v>1194</v>
      </c>
      <c r="BC95" s="13">
        <v>1197</v>
      </c>
      <c r="BD95" s="13">
        <v>1196</v>
      </c>
      <c r="BE95" s="13">
        <v>1201</v>
      </c>
      <c r="BF95" s="13">
        <v>1239</v>
      </c>
      <c r="BG95" s="13">
        <v>1267</v>
      </c>
      <c r="BH95" s="13">
        <v>1268</v>
      </c>
      <c r="BI95" s="13">
        <v>1279</v>
      </c>
      <c r="BJ95" s="13">
        <v>1280</v>
      </c>
      <c r="BK95" s="13">
        <v>1274</v>
      </c>
      <c r="BL95" s="13">
        <v>1257</v>
      </c>
      <c r="BM95" s="4">
        <v>1253</v>
      </c>
      <c r="BN95" s="4">
        <v>1252</v>
      </c>
      <c r="BO95" s="4">
        <v>1268</v>
      </c>
      <c r="BP95" s="4">
        <v>1227</v>
      </c>
    </row>
    <row r="96" spans="1:68" ht="15.9" customHeight="1">
      <c r="A96" s="64" t="s">
        <v>187</v>
      </c>
      <c r="B96" s="6" t="s">
        <v>188</v>
      </c>
      <c r="C96" s="15" t="str">
        <f>_xll.RssMarket("4062","現在値")</f>
        <v/>
      </c>
      <c r="D96" s="16" t="e">
        <f t="shared" si="2"/>
        <v>#VALUE!</v>
      </c>
      <c r="E96" s="13">
        <v>15685</v>
      </c>
      <c r="F96" s="13">
        <v>19340</v>
      </c>
      <c r="G96" s="13">
        <v>17980</v>
      </c>
      <c r="H96" s="13">
        <v>18690</v>
      </c>
      <c r="I96" s="13">
        <v>20300</v>
      </c>
      <c r="J96" s="13">
        <v>19520</v>
      </c>
      <c r="K96" s="13">
        <v>19100</v>
      </c>
      <c r="L96" s="13">
        <v>19895</v>
      </c>
      <c r="M96" s="13">
        <v>21390</v>
      </c>
      <c r="N96" s="13">
        <v>23345</v>
      </c>
      <c r="O96" s="13">
        <v>23420</v>
      </c>
      <c r="P96" s="13">
        <v>25785</v>
      </c>
      <c r="Q96" s="13">
        <v>23815</v>
      </c>
      <c r="R96" s="13">
        <v>23700</v>
      </c>
      <c r="S96" s="13">
        <v>24000</v>
      </c>
      <c r="T96" s="13">
        <v>26370</v>
      </c>
      <c r="U96" s="13">
        <v>24785</v>
      </c>
      <c r="V96" s="13">
        <v>24385</v>
      </c>
      <c r="W96" s="13">
        <v>26425</v>
      </c>
      <c r="X96" s="13">
        <v>24560</v>
      </c>
      <c r="Y96" s="13">
        <v>24000</v>
      </c>
      <c r="Z96" s="13">
        <v>22445</v>
      </c>
      <c r="AA96" s="13">
        <v>19105</v>
      </c>
      <c r="AB96" s="13">
        <v>18210</v>
      </c>
      <c r="AC96" s="13">
        <v>17400</v>
      </c>
      <c r="AD96" s="13">
        <v>17060</v>
      </c>
      <c r="AE96" s="13">
        <v>18760</v>
      </c>
      <c r="AF96" s="13">
        <v>20155</v>
      </c>
      <c r="AG96" s="13">
        <v>21940</v>
      </c>
      <c r="AH96" s="13">
        <v>21135</v>
      </c>
      <c r="AI96" s="13">
        <v>21795</v>
      </c>
      <c r="AJ96" s="13">
        <v>23000</v>
      </c>
      <c r="AK96" s="13">
        <v>19740</v>
      </c>
      <c r="AL96" s="13">
        <v>20425</v>
      </c>
      <c r="AM96" s="13">
        <v>20930</v>
      </c>
      <c r="AN96" s="13">
        <v>19250</v>
      </c>
      <c r="AO96" s="13">
        <v>17875</v>
      </c>
      <c r="AP96" s="13">
        <v>15640</v>
      </c>
      <c r="AQ96" s="13">
        <v>15320</v>
      </c>
      <c r="AR96" s="13">
        <v>15635</v>
      </c>
      <c r="AS96" s="13">
        <v>15660</v>
      </c>
      <c r="AT96" s="13">
        <v>16960</v>
      </c>
      <c r="AU96" s="13">
        <v>17060</v>
      </c>
      <c r="AV96" s="13">
        <v>16550</v>
      </c>
      <c r="AW96" s="13">
        <v>15655</v>
      </c>
      <c r="AX96" s="13">
        <v>15515</v>
      </c>
      <c r="AY96" s="13">
        <v>16375</v>
      </c>
      <c r="AZ96" s="13">
        <v>13375</v>
      </c>
      <c r="BA96" s="13">
        <v>13480</v>
      </c>
      <c r="BB96" s="13">
        <v>12560</v>
      </c>
      <c r="BC96" s="13">
        <v>12670</v>
      </c>
      <c r="BD96" s="13">
        <v>12540</v>
      </c>
      <c r="BE96" s="13">
        <v>11135</v>
      </c>
      <c r="BF96" s="13">
        <v>11200</v>
      </c>
      <c r="BG96" s="13">
        <v>10560</v>
      </c>
      <c r="BH96" s="13">
        <v>9575</v>
      </c>
      <c r="BI96" s="13">
        <v>9235</v>
      </c>
      <c r="BJ96" s="13">
        <v>9572</v>
      </c>
      <c r="BK96" s="13">
        <v>9380</v>
      </c>
      <c r="BL96" s="13">
        <v>9915</v>
      </c>
      <c r="BM96" s="4">
        <v>9386</v>
      </c>
      <c r="BN96" s="4">
        <v>9888</v>
      </c>
      <c r="BO96" s="4">
        <v>9810</v>
      </c>
      <c r="BP96" s="4">
        <v>9794</v>
      </c>
    </row>
    <row r="97" spans="1:68" ht="15.9" customHeight="1">
      <c r="A97" s="64" t="s">
        <v>189</v>
      </c>
      <c r="B97" s="6" t="s">
        <v>190</v>
      </c>
      <c r="C97" s="15" t="str">
        <f>_xll.RssMarket("4182","現在値")</f>
        <v/>
      </c>
      <c r="D97" s="16" t="e">
        <f t="shared" si="2"/>
        <v>#VALUE!</v>
      </c>
      <c r="E97" s="13">
        <v>4331</v>
      </c>
      <c r="F97" s="13">
        <v>4762</v>
      </c>
      <c r="G97" s="13">
        <v>4633</v>
      </c>
      <c r="H97" s="13">
        <v>4564</v>
      </c>
      <c r="I97" s="13">
        <v>4685</v>
      </c>
      <c r="J97" s="13">
        <v>4659</v>
      </c>
      <c r="K97" s="13">
        <v>4607</v>
      </c>
      <c r="L97" s="13">
        <v>4851</v>
      </c>
      <c r="M97" s="13">
        <v>4973</v>
      </c>
      <c r="N97" s="13">
        <v>4848</v>
      </c>
      <c r="O97" s="13">
        <v>5158</v>
      </c>
      <c r="P97" s="13">
        <v>5068</v>
      </c>
      <c r="Q97" s="13">
        <v>5146</v>
      </c>
      <c r="R97" s="13">
        <v>5099</v>
      </c>
      <c r="S97" s="13">
        <v>5273</v>
      </c>
      <c r="T97" s="13">
        <v>5231</v>
      </c>
      <c r="U97" s="13">
        <v>5344</v>
      </c>
      <c r="V97" s="13">
        <v>5665</v>
      </c>
      <c r="W97" s="13">
        <v>5424</v>
      </c>
      <c r="X97" s="13">
        <v>5116</v>
      </c>
      <c r="Y97" s="13">
        <v>5090</v>
      </c>
      <c r="Z97" s="13">
        <v>4903</v>
      </c>
      <c r="AA97" s="13">
        <v>4464</v>
      </c>
      <c r="AB97" s="13">
        <v>4426</v>
      </c>
      <c r="AC97" s="13">
        <v>4675</v>
      </c>
      <c r="AD97" s="13">
        <v>5180</v>
      </c>
      <c r="AE97" s="13">
        <v>5277</v>
      </c>
      <c r="AF97" s="13">
        <v>5382</v>
      </c>
      <c r="AG97" s="13">
        <v>5250</v>
      </c>
      <c r="AH97" s="13">
        <v>5468</v>
      </c>
      <c r="AI97" s="13">
        <v>5545</v>
      </c>
      <c r="AJ97" s="13">
        <v>5391</v>
      </c>
      <c r="AK97" s="13">
        <v>5401</v>
      </c>
      <c r="AL97" s="13">
        <v>5243</v>
      </c>
      <c r="AM97" s="13">
        <v>5060</v>
      </c>
      <c r="AN97" s="13">
        <v>4974</v>
      </c>
      <c r="AO97" s="13">
        <v>4613</v>
      </c>
      <c r="AP97" s="13">
        <v>4543</v>
      </c>
      <c r="AQ97" s="13">
        <v>4620</v>
      </c>
      <c r="AR97" s="13">
        <v>4641</v>
      </c>
      <c r="AS97" s="13">
        <v>5002</v>
      </c>
      <c r="AT97" s="13">
        <v>4920</v>
      </c>
      <c r="AU97" s="13">
        <v>4855</v>
      </c>
      <c r="AV97" s="13">
        <v>4737</v>
      </c>
      <c r="AW97" s="13">
        <v>4582</v>
      </c>
      <c r="AX97" s="13">
        <v>4704</v>
      </c>
      <c r="AY97" s="13">
        <v>4368</v>
      </c>
      <c r="AZ97" s="13">
        <v>4400</v>
      </c>
      <c r="BA97" s="13">
        <v>4401</v>
      </c>
      <c r="BB97" s="13">
        <v>4364</v>
      </c>
      <c r="BC97" s="13">
        <v>4417</v>
      </c>
      <c r="BD97" s="13">
        <v>4264</v>
      </c>
      <c r="BE97" s="13">
        <v>4329</v>
      </c>
      <c r="BF97" s="13">
        <v>4322</v>
      </c>
      <c r="BG97" s="13">
        <v>4233</v>
      </c>
      <c r="BH97" s="13">
        <v>4181</v>
      </c>
      <c r="BI97" s="13">
        <v>4214</v>
      </c>
      <c r="BJ97" s="13">
        <v>4184</v>
      </c>
      <c r="BK97" s="13">
        <v>4217</v>
      </c>
      <c r="BL97" s="13">
        <v>4188</v>
      </c>
      <c r="BM97" s="4">
        <v>4180</v>
      </c>
      <c r="BN97" s="4">
        <v>4137</v>
      </c>
      <c r="BO97" s="4">
        <v>4217</v>
      </c>
      <c r="BP97" s="4">
        <v>3931</v>
      </c>
    </row>
    <row r="98" spans="1:68" ht="15.9" customHeight="1">
      <c r="A98" s="64" t="s">
        <v>191</v>
      </c>
      <c r="B98" s="6" t="s">
        <v>192</v>
      </c>
      <c r="C98" s="15" t="str">
        <f>_xll.RssMarket("4188","現在値")</f>
        <v/>
      </c>
      <c r="D98" s="16" t="e">
        <f t="shared" si="2"/>
        <v>#VALUE!</v>
      </c>
      <c r="E98" s="13">
        <v>1168</v>
      </c>
      <c r="F98" s="13">
        <v>1222</v>
      </c>
      <c r="G98" s="13">
        <v>1203</v>
      </c>
      <c r="H98" s="13">
        <v>1161.5</v>
      </c>
      <c r="I98" s="13">
        <v>1167.5</v>
      </c>
      <c r="J98" s="13">
        <v>1176</v>
      </c>
      <c r="K98" s="13">
        <v>1207.5</v>
      </c>
      <c r="L98" s="13">
        <v>1163</v>
      </c>
      <c r="M98" s="13">
        <v>1129.5</v>
      </c>
      <c r="N98" s="13">
        <v>1115</v>
      </c>
      <c r="O98" s="13">
        <v>1128.5</v>
      </c>
      <c r="P98" s="13">
        <v>1130</v>
      </c>
      <c r="Q98" s="13">
        <v>1094.5</v>
      </c>
      <c r="R98" s="13">
        <v>1095</v>
      </c>
      <c r="S98" s="13">
        <v>1086</v>
      </c>
      <c r="T98" s="13">
        <v>1087</v>
      </c>
      <c r="U98" s="13">
        <v>1099.5</v>
      </c>
      <c r="V98" s="13">
        <v>1092.5</v>
      </c>
      <c r="W98" s="13">
        <v>1140</v>
      </c>
      <c r="X98" s="13">
        <v>1104.5</v>
      </c>
      <c r="Y98" s="13">
        <v>1080.5</v>
      </c>
      <c r="Z98" s="13">
        <v>1036</v>
      </c>
      <c r="AA98" s="13">
        <v>1019.5</v>
      </c>
      <c r="AB98" s="13">
        <v>1033.5</v>
      </c>
      <c r="AC98" s="13">
        <v>1063</v>
      </c>
      <c r="AD98" s="13">
        <v>1095</v>
      </c>
      <c r="AE98" s="13">
        <v>1099</v>
      </c>
      <c r="AF98" s="13">
        <v>1084</v>
      </c>
      <c r="AG98" s="13">
        <v>1091.5</v>
      </c>
      <c r="AH98" s="13">
        <v>1147</v>
      </c>
      <c r="AI98" s="13">
        <v>1116.5</v>
      </c>
      <c r="AJ98" s="13">
        <v>1115.5</v>
      </c>
      <c r="AK98" s="13">
        <v>1089.5</v>
      </c>
      <c r="AL98" s="13">
        <v>1027.5</v>
      </c>
      <c r="AM98" s="13">
        <v>1003.5</v>
      </c>
      <c r="AN98" s="13">
        <v>1001</v>
      </c>
      <c r="AO98" s="13">
        <v>1030.5</v>
      </c>
      <c r="AP98" s="13">
        <v>1007.5</v>
      </c>
      <c r="AQ98" s="13">
        <v>1016.5</v>
      </c>
      <c r="AR98" s="13">
        <v>1054</v>
      </c>
      <c r="AS98" s="13">
        <v>1007</v>
      </c>
      <c r="AT98" s="13">
        <v>928.3</v>
      </c>
      <c r="AU98" s="13">
        <v>927.3</v>
      </c>
      <c r="AV98" s="13">
        <v>922.4</v>
      </c>
      <c r="AW98" s="13">
        <v>933.6</v>
      </c>
      <c r="AX98" s="13">
        <v>898</v>
      </c>
      <c r="AY98" s="13">
        <v>911.7</v>
      </c>
      <c r="AZ98" s="13">
        <v>918.3</v>
      </c>
      <c r="BA98" s="13">
        <v>909.8</v>
      </c>
      <c r="BB98" s="13">
        <v>911.4</v>
      </c>
      <c r="BC98" s="13">
        <v>916.7</v>
      </c>
      <c r="BD98" s="13">
        <v>941.4</v>
      </c>
      <c r="BE98" s="13">
        <v>969.3</v>
      </c>
      <c r="BF98" s="13">
        <v>962.1</v>
      </c>
      <c r="BG98" s="13">
        <v>988.9</v>
      </c>
      <c r="BH98" s="13">
        <v>997.7</v>
      </c>
      <c r="BI98" s="13">
        <v>996.2</v>
      </c>
      <c r="BJ98" s="13">
        <v>968.1</v>
      </c>
      <c r="BK98" s="13">
        <v>976.8</v>
      </c>
      <c r="BL98" s="13">
        <v>984.1</v>
      </c>
      <c r="BM98" s="4">
        <v>982.5</v>
      </c>
      <c r="BN98" s="4">
        <v>1004.5</v>
      </c>
      <c r="BO98" s="4">
        <v>920</v>
      </c>
    </row>
    <row r="99" spans="1:68" ht="15.9" customHeight="1">
      <c r="A99" s="64" t="s">
        <v>193</v>
      </c>
      <c r="B99" s="6" t="s">
        <v>194</v>
      </c>
      <c r="C99" s="15" t="str">
        <f>_xll.RssMarket("4523","現在値")</f>
        <v/>
      </c>
      <c r="D99" s="16" t="e">
        <f t="shared" si="2"/>
        <v>#VALUE!</v>
      </c>
      <c r="E99" s="13">
        <v>4450</v>
      </c>
      <c r="F99" s="13">
        <v>4256</v>
      </c>
      <c r="G99" s="13">
        <v>4376</v>
      </c>
      <c r="H99" s="13">
        <v>4243</v>
      </c>
      <c r="I99" s="13">
        <v>4296</v>
      </c>
      <c r="J99" s="13">
        <v>4286</v>
      </c>
      <c r="K99" s="13">
        <v>4318</v>
      </c>
      <c r="L99" s="13">
        <v>4340</v>
      </c>
      <c r="M99" s="13">
        <v>4255</v>
      </c>
      <c r="N99" s="13">
        <v>4188</v>
      </c>
      <c r="O99" s="13">
        <v>4109</v>
      </c>
      <c r="P99" s="13">
        <v>4119</v>
      </c>
      <c r="Q99" s="13">
        <v>4145</v>
      </c>
      <c r="R99" s="13">
        <v>3991</v>
      </c>
      <c r="S99" s="13">
        <v>3949</v>
      </c>
      <c r="T99" s="13">
        <v>3890</v>
      </c>
      <c r="U99" s="13">
        <v>3894</v>
      </c>
      <c r="V99" s="13">
        <v>3901</v>
      </c>
      <c r="W99" s="13">
        <v>3902</v>
      </c>
      <c r="X99" s="13">
        <v>3829</v>
      </c>
      <c r="Y99" s="13">
        <v>3750</v>
      </c>
      <c r="Z99" s="13">
        <v>3780</v>
      </c>
      <c r="AA99" s="13">
        <v>3723</v>
      </c>
      <c r="AB99" s="13">
        <v>3740</v>
      </c>
      <c r="AC99" s="13">
        <v>3806</v>
      </c>
      <c r="AD99" s="13">
        <v>3775</v>
      </c>
      <c r="AE99" s="13">
        <v>3815</v>
      </c>
      <c r="AF99" s="13">
        <v>3759</v>
      </c>
      <c r="AG99" s="13">
        <v>3818</v>
      </c>
      <c r="AH99" s="13">
        <v>3808</v>
      </c>
      <c r="AI99" s="13">
        <v>3984</v>
      </c>
      <c r="AJ99" s="13">
        <v>3901</v>
      </c>
      <c r="AK99" s="13">
        <v>4043</v>
      </c>
      <c r="AL99" s="13">
        <v>4143</v>
      </c>
      <c r="AM99" s="13">
        <v>4157</v>
      </c>
      <c r="AN99" s="13">
        <v>4243</v>
      </c>
      <c r="AO99" s="13">
        <v>4245</v>
      </c>
      <c r="AP99" s="13">
        <v>4466</v>
      </c>
      <c r="AQ99" s="13">
        <v>4429</v>
      </c>
      <c r="AR99" s="13">
        <v>4723</v>
      </c>
      <c r="AS99" s="13">
        <v>4721</v>
      </c>
      <c r="AT99" s="13">
        <v>4717</v>
      </c>
      <c r="AU99" s="13">
        <v>4649</v>
      </c>
      <c r="AV99" s="13">
        <v>4646</v>
      </c>
      <c r="AW99" s="13">
        <v>4677</v>
      </c>
      <c r="AX99" s="13">
        <v>4700</v>
      </c>
      <c r="AY99" s="13">
        <v>4688</v>
      </c>
      <c r="AZ99" s="13">
        <v>4687</v>
      </c>
      <c r="BA99" s="13">
        <v>4605</v>
      </c>
      <c r="BB99" s="13">
        <v>4570</v>
      </c>
      <c r="BC99" s="13">
        <v>4735</v>
      </c>
      <c r="BD99" s="13">
        <v>4737</v>
      </c>
      <c r="BE99" s="13">
        <v>4846</v>
      </c>
      <c r="BF99" s="13">
        <v>4858</v>
      </c>
      <c r="BG99" s="13">
        <v>4910</v>
      </c>
      <c r="BH99" s="13">
        <v>4891</v>
      </c>
      <c r="BI99" s="13">
        <v>5020</v>
      </c>
      <c r="BJ99" s="13">
        <v>5030</v>
      </c>
      <c r="BK99" s="13">
        <v>4850</v>
      </c>
      <c r="BL99" s="13">
        <v>4946</v>
      </c>
      <c r="BM99" s="4">
        <v>5025</v>
      </c>
      <c r="BN99" s="4">
        <v>5163</v>
      </c>
      <c r="BO99" s="4">
        <v>5155</v>
      </c>
      <c r="BP99" s="4">
        <v>5119</v>
      </c>
    </row>
    <row r="100" spans="1:68" ht="15.9" customHeight="1">
      <c r="A100" s="64" t="s">
        <v>195</v>
      </c>
      <c r="B100" s="6" t="s">
        <v>196</v>
      </c>
      <c r="C100" s="15" t="str">
        <f>_xll.RssMarket("4528","現在値")</f>
        <v/>
      </c>
      <c r="D100" s="16" t="e">
        <f t="shared" si="2"/>
        <v>#VALUE!</v>
      </c>
      <c r="E100" s="13">
        <v>2425.5</v>
      </c>
      <c r="F100" s="13">
        <v>2388.5</v>
      </c>
      <c r="G100" s="13">
        <v>2432.5</v>
      </c>
      <c r="H100" s="13">
        <v>2400.5</v>
      </c>
      <c r="I100" s="13">
        <v>2428</v>
      </c>
      <c r="J100" s="13">
        <v>2449</v>
      </c>
      <c r="K100" s="13">
        <v>2489</v>
      </c>
      <c r="L100" s="13">
        <v>2448.5</v>
      </c>
      <c r="M100" s="13">
        <v>2419</v>
      </c>
      <c r="N100" s="13">
        <v>2402</v>
      </c>
      <c r="O100" s="13">
        <v>2368</v>
      </c>
      <c r="P100" s="13">
        <v>2388</v>
      </c>
      <c r="Q100" s="13">
        <v>2410</v>
      </c>
      <c r="R100" s="13">
        <v>2377.5</v>
      </c>
      <c r="S100" s="13">
        <v>2340.5</v>
      </c>
      <c r="T100" s="13">
        <v>2350</v>
      </c>
      <c r="U100" s="13">
        <v>2329</v>
      </c>
      <c r="V100" s="13">
        <v>2345.5</v>
      </c>
      <c r="W100" s="13">
        <v>2249</v>
      </c>
      <c r="X100" s="13">
        <v>2249.5</v>
      </c>
      <c r="Y100" s="13">
        <v>2259</v>
      </c>
      <c r="Z100" s="13">
        <v>2212.5</v>
      </c>
      <c r="AA100" s="13">
        <v>2237.5</v>
      </c>
      <c r="AB100" s="13">
        <v>2224</v>
      </c>
      <c r="AC100" s="13">
        <v>2248</v>
      </c>
      <c r="AD100" s="13">
        <v>2225</v>
      </c>
      <c r="AE100" s="13">
        <v>2195.5</v>
      </c>
      <c r="AF100" s="13">
        <v>2158</v>
      </c>
      <c r="AG100" s="13">
        <v>2216.5</v>
      </c>
      <c r="AH100" s="13">
        <v>2322</v>
      </c>
      <c r="AI100" s="13">
        <v>2392.5</v>
      </c>
      <c r="AJ100" s="13">
        <v>2399.5</v>
      </c>
      <c r="AK100" s="13">
        <v>2367</v>
      </c>
      <c r="AL100" s="13">
        <v>2438</v>
      </c>
      <c r="AM100" s="13">
        <v>2482.5</v>
      </c>
      <c r="AN100" s="13">
        <v>2446</v>
      </c>
      <c r="AO100" s="13">
        <v>2426.5</v>
      </c>
      <c r="AP100" s="13">
        <v>2425</v>
      </c>
      <c r="AQ100" s="13">
        <v>2441.5</v>
      </c>
      <c r="AR100" s="13">
        <v>2533.5</v>
      </c>
      <c r="AS100" s="13">
        <v>2573.5</v>
      </c>
      <c r="AT100" s="13">
        <v>2553</v>
      </c>
      <c r="AU100" s="13">
        <v>2479</v>
      </c>
      <c r="AV100" s="13">
        <v>2462</v>
      </c>
      <c r="AW100" s="13">
        <v>2480.5</v>
      </c>
      <c r="AX100" s="13">
        <v>2360.5</v>
      </c>
      <c r="AY100" s="13">
        <v>2315.5</v>
      </c>
      <c r="AZ100" s="13">
        <v>2306</v>
      </c>
      <c r="BA100" s="13">
        <v>2312.5</v>
      </c>
      <c r="BB100" s="13">
        <v>2304.5</v>
      </c>
      <c r="BC100" s="13">
        <v>2350</v>
      </c>
      <c r="BD100" s="13">
        <v>2316</v>
      </c>
      <c r="BE100" s="13">
        <v>2321.5</v>
      </c>
      <c r="BF100" s="13">
        <v>2356.5</v>
      </c>
      <c r="BG100" s="13">
        <v>2429.5</v>
      </c>
      <c r="BH100" s="13">
        <v>2406.5</v>
      </c>
      <c r="BI100" s="13">
        <v>2492</v>
      </c>
      <c r="BJ100" s="13">
        <v>2452</v>
      </c>
      <c r="BK100" s="13">
        <v>2476.5</v>
      </c>
      <c r="BL100" s="13">
        <v>2492</v>
      </c>
      <c r="BM100" s="4">
        <v>2509.5</v>
      </c>
      <c r="BN100" s="4">
        <v>2545</v>
      </c>
      <c r="BO100" s="4">
        <v>2546.5</v>
      </c>
      <c r="BP100" s="4">
        <v>2542</v>
      </c>
    </row>
    <row r="101" spans="1:68" ht="15.9" customHeight="1">
      <c r="A101" s="64" t="s">
        <v>197</v>
      </c>
      <c r="B101" s="6" t="s">
        <v>198</v>
      </c>
      <c r="C101" s="15" t="str">
        <f>_xll.RssMarket("4661","現在値")</f>
        <v/>
      </c>
      <c r="D101" s="16" t="e">
        <f t="shared" si="2"/>
        <v>#VALUE!</v>
      </c>
      <c r="E101" s="13">
        <v>2729.5</v>
      </c>
      <c r="F101" s="13">
        <v>2622</v>
      </c>
      <c r="G101" s="13">
        <v>2745</v>
      </c>
      <c r="H101" s="13">
        <v>2650</v>
      </c>
      <c r="I101" s="13">
        <v>2615</v>
      </c>
      <c r="J101" s="13">
        <v>2603</v>
      </c>
      <c r="K101" s="13">
        <v>2602</v>
      </c>
      <c r="L101" s="13">
        <v>2561.5</v>
      </c>
      <c r="M101" s="13">
        <v>2543.5</v>
      </c>
      <c r="N101" s="13">
        <v>2505</v>
      </c>
      <c r="O101" s="13">
        <v>2412</v>
      </c>
      <c r="P101" s="13">
        <v>2490</v>
      </c>
      <c r="Q101" s="13">
        <v>2498.5</v>
      </c>
      <c r="R101" s="13">
        <v>2398.5</v>
      </c>
      <c r="S101" s="13">
        <v>2393</v>
      </c>
      <c r="T101" s="13">
        <v>2374</v>
      </c>
      <c r="U101" s="13">
        <v>2363</v>
      </c>
      <c r="V101" s="13">
        <v>2322.5</v>
      </c>
      <c r="W101" s="13">
        <v>2336.5</v>
      </c>
      <c r="X101" s="13">
        <v>2291</v>
      </c>
      <c r="Y101" s="13">
        <v>2276</v>
      </c>
      <c r="Z101" s="13">
        <v>2264.5</v>
      </c>
      <c r="AA101" s="13">
        <v>2305.5</v>
      </c>
      <c r="AB101" s="13">
        <v>2292.5</v>
      </c>
      <c r="AC101" s="13">
        <v>2220</v>
      </c>
      <c r="AD101" s="13">
        <v>2180.5</v>
      </c>
      <c r="AE101" s="13">
        <v>2184</v>
      </c>
      <c r="AF101" s="13">
        <v>2215</v>
      </c>
      <c r="AG101" s="13">
        <v>2189</v>
      </c>
      <c r="AH101" s="13">
        <v>2248</v>
      </c>
      <c r="AI101" s="13">
        <v>2295.5</v>
      </c>
      <c r="AJ101" s="13">
        <v>2250</v>
      </c>
      <c r="AK101" s="13">
        <v>2199</v>
      </c>
      <c r="AL101" s="13">
        <v>2125.5</v>
      </c>
      <c r="AM101" s="13">
        <v>2140</v>
      </c>
      <c r="AN101" s="13">
        <v>2141.5</v>
      </c>
      <c r="AO101" s="13">
        <v>2230.5</v>
      </c>
      <c r="AP101" s="13">
        <v>2218.5</v>
      </c>
      <c r="AQ101" s="13">
        <v>2136.5</v>
      </c>
      <c r="AR101" s="13">
        <v>2161</v>
      </c>
      <c r="AS101" s="13">
        <v>2149</v>
      </c>
      <c r="AT101" s="13">
        <v>2170</v>
      </c>
      <c r="AU101" s="13">
        <v>2182.5</v>
      </c>
      <c r="AV101" s="13">
        <v>2202.5</v>
      </c>
      <c r="AW101" s="13">
        <v>2241.5</v>
      </c>
      <c r="AX101" s="13">
        <v>2218</v>
      </c>
      <c r="AY101" s="13">
        <v>2223</v>
      </c>
      <c r="AZ101" s="13">
        <v>2188.5</v>
      </c>
      <c r="BA101" s="13">
        <v>2434.5</v>
      </c>
      <c r="BB101" s="13">
        <v>2387.5</v>
      </c>
      <c r="BC101" s="13">
        <v>2400</v>
      </c>
      <c r="BD101" s="13">
        <v>2482</v>
      </c>
      <c r="BE101" s="13">
        <v>2587.5</v>
      </c>
      <c r="BF101" s="13">
        <v>2613</v>
      </c>
      <c r="BG101" s="13">
        <v>2643.5</v>
      </c>
      <c r="BH101" s="13">
        <v>2635</v>
      </c>
      <c r="BI101" s="13">
        <v>2640.5</v>
      </c>
      <c r="BJ101" s="13">
        <v>2636.5</v>
      </c>
      <c r="BK101" s="13">
        <v>2548</v>
      </c>
      <c r="BL101" s="13">
        <v>2601</v>
      </c>
      <c r="BM101" s="4">
        <v>2607.5</v>
      </c>
      <c r="BN101" s="4">
        <v>2612.5</v>
      </c>
      <c r="BO101" s="4">
        <v>2674</v>
      </c>
      <c r="BP101" s="4">
        <v>2645.5</v>
      </c>
    </row>
    <row r="102" spans="1:68" ht="15.9" customHeight="1">
      <c r="A102" s="64" t="s">
        <v>199</v>
      </c>
      <c r="B102" s="6" t="s">
        <v>200</v>
      </c>
      <c r="C102" s="15" t="str">
        <f>_xll.RssMarket("5802","現在値")</f>
        <v/>
      </c>
      <c r="D102" s="16" t="e">
        <f t="shared" ref="D102:D133" si="3">C102-E102</f>
        <v>#VALUE!</v>
      </c>
      <c r="E102" s="13">
        <v>2249</v>
      </c>
      <c r="F102" s="13">
        <v>2532</v>
      </c>
      <c r="G102" s="13">
        <v>2458.5</v>
      </c>
      <c r="H102" s="13">
        <v>2486</v>
      </c>
      <c r="I102" s="13">
        <v>2582</v>
      </c>
      <c r="J102" s="13">
        <v>2401</v>
      </c>
      <c r="K102" s="13">
        <v>2361.5</v>
      </c>
      <c r="L102" s="13">
        <v>2592.5</v>
      </c>
      <c r="M102" s="13">
        <v>2664</v>
      </c>
      <c r="N102" s="13">
        <v>2688.5</v>
      </c>
      <c r="O102" s="13">
        <v>2834</v>
      </c>
      <c r="P102" s="13">
        <v>2927</v>
      </c>
      <c r="Q102" s="13">
        <v>2894.5</v>
      </c>
      <c r="R102" s="13">
        <v>11935</v>
      </c>
      <c r="S102" s="13">
        <v>12240</v>
      </c>
      <c r="T102" s="13">
        <v>12225</v>
      </c>
      <c r="U102" s="13">
        <v>12595</v>
      </c>
      <c r="V102" s="13">
        <v>13500</v>
      </c>
      <c r="W102" s="13">
        <v>13485</v>
      </c>
      <c r="X102" s="13">
        <v>12300</v>
      </c>
      <c r="Y102" s="13">
        <v>12320</v>
      </c>
      <c r="Z102" s="13">
        <v>10970</v>
      </c>
      <c r="AA102" s="13">
        <v>10250</v>
      </c>
      <c r="AB102" s="13">
        <v>10630</v>
      </c>
      <c r="AC102" s="13">
        <v>12140</v>
      </c>
      <c r="AD102" s="13">
        <v>13010</v>
      </c>
      <c r="AE102" s="13">
        <v>13465</v>
      </c>
      <c r="AF102" s="13">
        <v>13965</v>
      </c>
      <c r="AG102" s="13">
        <v>13015</v>
      </c>
      <c r="AH102" s="13">
        <v>13180</v>
      </c>
      <c r="AI102" s="13">
        <v>12585</v>
      </c>
      <c r="AJ102" s="13">
        <v>11955</v>
      </c>
      <c r="AK102" s="13">
        <v>12015</v>
      </c>
      <c r="AL102" s="13">
        <v>12265</v>
      </c>
      <c r="AM102" s="13">
        <v>11820</v>
      </c>
      <c r="AN102" s="13">
        <v>10730</v>
      </c>
      <c r="AO102" s="13">
        <v>10525</v>
      </c>
      <c r="AP102" s="13">
        <v>10840</v>
      </c>
      <c r="AQ102" s="13">
        <v>11380</v>
      </c>
      <c r="AR102" s="13">
        <v>10980</v>
      </c>
      <c r="AS102" s="13">
        <v>12105</v>
      </c>
      <c r="AT102" s="13">
        <v>12775</v>
      </c>
      <c r="AU102" s="13">
        <v>11650</v>
      </c>
      <c r="AV102" s="13">
        <v>11210</v>
      </c>
      <c r="AW102" s="13">
        <v>11305</v>
      </c>
      <c r="AX102" s="13">
        <v>11345</v>
      </c>
      <c r="AY102" s="13">
        <v>9900</v>
      </c>
      <c r="AZ102" s="13">
        <v>10190</v>
      </c>
      <c r="BA102" s="13">
        <v>10190</v>
      </c>
      <c r="BB102" s="13">
        <v>10060</v>
      </c>
      <c r="BC102" s="13">
        <v>10015</v>
      </c>
      <c r="BD102" s="13">
        <v>10205</v>
      </c>
      <c r="BE102" s="13">
        <v>10700</v>
      </c>
      <c r="BF102" s="13">
        <v>10300</v>
      </c>
      <c r="BG102" s="13">
        <v>9976</v>
      </c>
      <c r="BH102" s="13">
        <v>9976</v>
      </c>
      <c r="BI102" s="13">
        <v>10140</v>
      </c>
      <c r="BJ102" s="13">
        <v>9551</v>
      </c>
      <c r="BK102" s="13">
        <v>10075</v>
      </c>
      <c r="BL102" s="13">
        <v>9926</v>
      </c>
      <c r="BM102" s="4">
        <v>10580</v>
      </c>
      <c r="BN102" s="4">
        <v>10410</v>
      </c>
      <c r="BO102" s="4">
        <v>10315</v>
      </c>
      <c r="BP102" s="4">
        <v>9191</v>
      </c>
    </row>
    <row r="103" spans="1:68" ht="15.9" customHeight="1">
      <c r="A103" s="64" t="s">
        <v>201</v>
      </c>
      <c r="B103" s="6" t="s">
        <v>202</v>
      </c>
      <c r="C103" s="15" t="str">
        <f>_xll.RssMarket("5803","現在値")</f>
        <v/>
      </c>
      <c r="D103" s="16" t="e">
        <f t="shared" si="3"/>
        <v>#VALUE!</v>
      </c>
      <c r="E103" s="13">
        <v>4472</v>
      </c>
      <c r="F103" s="13">
        <v>5145</v>
      </c>
      <c r="G103" s="13">
        <v>4800</v>
      </c>
      <c r="H103" s="13">
        <v>5007</v>
      </c>
      <c r="I103" s="13">
        <v>5150</v>
      </c>
      <c r="J103" s="13">
        <v>4938</v>
      </c>
      <c r="K103" s="13">
        <v>4824</v>
      </c>
      <c r="L103" s="13">
        <v>5354</v>
      </c>
      <c r="M103" s="13">
        <v>5358</v>
      </c>
      <c r="N103" s="13">
        <v>5368</v>
      </c>
      <c r="O103" s="13">
        <v>5826</v>
      </c>
      <c r="P103" s="13">
        <v>6238</v>
      </c>
      <c r="Q103" s="13">
        <v>5885</v>
      </c>
      <c r="R103" s="13">
        <v>6131</v>
      </c>
      <c r="S103" s="13">
        <v>6436</v>
      </c>
      <c r="T103" s="13">
        <v>6313</v>
      </c>
      <c r="U103" s="13">
        <v>6487</v>
      </c>
      <c r="V103" s="13">
        <v>6161</v>
      </c>
      <c r="W103" s="13">
        <v>5161</v>
      </c>
      <c r="X103" s="13">
        <v>4729</v>
      </c>
      <c r="Y103" s="13">
        <v>4738</v>
      </c>
      <c r="Z103" s="13">
        <v>4256</v>
      </c>
      <c r="AA103" s="13">
        <v>4142</v>
      </c>
      <c r="AB103" s="13">
        <v>4194</v>
      </c>
      <c r="AC103" s="13">
        <v>4401</v>
      </c>
      <c r="AD103" s="13">
        <v>4747</v>
      </c>
      <c r="AE103" s="13">
        <v>4805</v>
      </c>
      <c r="AF103" s="13">
        <v>5001</v>
      </c>
      <c r="AG103" s="13">
        <v>4574</v>
      </c>
      <c r="AH103" s="13">
        <v>4677</v>
      </c>
      <c r="AI103" s="13">
        <v>4771</v>
      </c>
      <c r="AJ103" s="13">
        <v>5017</v>
      </c>
      <c r="AK103" s="13">
        <v>5140</v>
      </c>
      <c r="AL103" s="13">
        <v>5550</v>
      </c>
      <c r="AM103" s="13">
        <v>4850</v>
      </c>
      <c r="AN103" s="13">
        <v>4501</v>
      </c>
      <c r="AO103" s="13">
        <v>4295</v>
      </c>
      <c r="AP103" s="13">
        <v>4695</v>
      </c>
      <c r="AQ103" s="13">
        <v>5653</v>
      </c>
      <c r="AR103" s="13">
        <v>5819</v>
      </c>
      <c r="AS103" s="13">
        <v>6355</v>
      </c>
      <c r="AT103" s="13">
        <v>7855</v>
      </c>
      <c r="AU103" s="13">
        <v>7624</v>
      </c>
      <c r="AV103" s="13">
        <v>6832</v>
      </c>
      <c r="AW103" s="13">
        <v>6582</v>
      </c>
      <c r="AX103" s="13">
        <v>6498</v>
      </c>
      <c r="AY103" s="13">
        <v>5808</v>
      </c>
      <c r="AZ103" s="13">
        <v>5971</v>
      </c>
      <c r="BA103" s="13">
        <v>6281</v>
      </c>
      <c r="BB103" s="13">
        <v>6347</v>
      </c>
      <c r="BC103" s="13">
        <v>6037</v>
      </c>
      <c r="BD103" s="13">
        <v>5893</v>
      </c>
      <c r="BE103" s="13">
        <v>5985</v>
      </c>
      <c r="BF103" s="13">
        <v>5889</v>
      </c>
      <c r="BG103" s="13">
        <v>5529</v>
      </c>
      <c r="BH103" s="13">
        <v>5762</v>
      </c>
      <c r="BI103" s="13">
        <v>5951</v>
      </c>
      <c r="BJ103" s="13">
        <v>5683</v>
      </c>
      <c r="BK103" s="13">
        <v>5935</v>
      </c>
      <c r="BL103" s="13">
        <v>5698</v>
      </c>
      <c r="BM103" s="4">
        <v>5630</v>
      </c>
      <c r="BN103" s="4">
        <v>5028</v>
      </c>
      <c r="BO103" s="4">
        <v>4876</v>
      </c>
      <c r="BP103" s="4">
        <v>4370</v>
      </c>
    </row>
    <row r="104" spans="1:68" ht="15.9" customHeight="1">
      <c r="A104" s="64" t="s">
        <v>203</v>
      </c>
      <c r="B104" s="6" t="s">
        <v>204</v>
      </c>
      <c r="C104" s="15" t="str">
        <f>_xll.RssMarket("6178","現在値")</f>
        <v/>
      </c>
      <c r="D104" s="16" t="e">
        <f t="shared" si="3"/>
        <v>#VALUE!</v>
      </c>
      <c r="E104" s="13">
        <v>2329</v>
      </c>
      <c r="F104" s="13">
        <v>2407.5</v>
      </c>
      <c r="G104" s="13">
        <v>2353</v>
      </c>
      <c r="H104" s="13">
        <v>2333</v>
      </c>
      <c r="I104" s="13">
        <v>2319.5</v>
      </c>
      <c r="J104" s="13">
        <v>2360.5</v>
      </c>
      <c r="K104" s="13">
        <v>2370</v>
      </c>
      <c r="L104" s="13">
        <v>2326</v>
      </c>
      <c r="M104" s="13">
        <v>2271.5</v>
      </c>
      <c r="N104" s="13">
        <v>2237.5</v>
      </c>
      <c r="O104" s="13">
        <v>2168.5</v>
      </c>
      <c r="P104" s="13">
        <v>2169</v>
      </c>
      <c r="Q104" s="13">
        <v>2153</v>
      </c>
      <c r="R104" s="13">
        <v>2161</v>
      </c>
      <c r="S104" s="13">
        <v>2183.5</v>
      </c>
      <c r="T104" s="13">
        <v>2225.5</v>
      </c>
      <c r="U104" s="13">
        <v>2215</v>
      </c>
      <c r="V104" s="13">
        <v>2227.5</v>
      </c>
      <c r="W104" s="13">
        <v>2240.5</v>
      </c>
      <c r="X104" s="13">
        <v>2196.5</v>
      </c>
      <c r="Y104" s="13">
        <v>2264.5</v>
      </c>
      <c r="Z104" s="13">
        <v>2285.5</v>
      </c>
      <c r="AA104" s="13">
        <v>2318</v>
      </c>
      <c r="AB104" s="13">
        <v>2209.5</v>
      </c>
      <c r="AC104" s="13">
        <v>2205</v>
      </c>
      <c r="AD104" s="13">
        <v>2128</v>
      </c>
      <c r="AE104" s="13">
        <v>2122.5</v>
      </c>
      <c r="AF104" s="13">
        <v>2145.5</v>
      </c>
      <c r="AG104" s="13">
        <v>2125</v>
      </c>
      <c r="AH104" s="13">
        <v>2074</v>
      </c>
      <c r="AI104" s="13">
        <v>2035</v>
      </c>
      <c r="AJ104" s="13">
        <v>2068</v>
      </c>
      <c r="AK104" s="13">
        <v>2029.5</v>
      </c>
      <c r="AL104" s="13">
        <v>2059.5</v>
      </c>
      <c r="AM104" s="13">
        <v>2091.5</v>
      </c>
      <c r="AN104" s="13">
        <v>2116</v>
      </c>
      <c r="AO104" s="13">
        <v>2134</v>
      </c>
      <c r="AP104" s="13">
        <v>2110</v>
      </c>
      <c r="AQ104" s="13">
        <v>2093</v>
      </c>
      <c r="AR104" s="13">
        <v>2054</v>
      </c>
      <c r="AS104" s="13">
        <v>1957</v>
      </c>
      <c r="AT104" s="13">
        <v>1951</v>
      </c>
      <c r="AU104" s="13">
        <v>1941.5</v>
      </c>
      <c r="AV104" s="13">
        <v>1911</v>
      </c>
      <c r="AW104" s="13">
        <v>1865</v>
      </c>
      <c r="AX104" s="13">
        <v>1855.5</v>
      </c>
      <c r="AY104" s="13">
        <v>1861</v>
      </c>
      <c r="AZ104" s="13">
        <v>1811.5</v>
      </c>
      <c r="BA104" s="13">
        <v>1823</v>
      </c>
      <c r="BB104" s="13">
        <v>1823</v>
      </c>
      <c r="BC104" s="13">
        <v>1757.5</v>
      </c>
      <c r="BD104" s="13">
        <v>1779.5</v>
      </c>
      <c r="BE104" s="13">
        <v>1774</v>
      </c>
      <c r="BF104" s="13">
        <v>1799.5</v>
      </c>
      <c r="BG104" s="13">
        <v>1821</v>
      </c>
      <c r="BH104" s="13">
        <v>1866.5</v>
      </c>
      <c r="BI104" s="13">
        <v>1872.5</v>
      </c>
      <c r="BJ104" s="13">
        <v>1887</v>
      </c>
      <c r="BK104" s="13">
        <v>1867.5</v>
      </c>
      <c r="BL104" s="13">
        <v>1845</v>
      </c>
      <c r="BM104" s="4">
        <v>1857</v>
      </c>
      <c r="BN104" s="4">
        <v>1856</v>
      </c>
      <c r="BO104" s="4">
        <v>1871</v>
      </c>
      <c r="BP104" s="4">
        <v>1905</v>
      </c>
    </row>
    <row r="105" spans="1:68" ht="15.9" customHeight="1">
      <c r="A105" s="64" t="s">
        <v>205</v>
      </c>
      <c r="B105" s="6" t="s">
        <v>206</v>
      </c>
      <c r="C105" s="15" t="str">
        <f>_xll.RssMarket("6925","現在値")</f>
        <v/>
      </c>
      <c r="D105" s="16" t="e">
        <f t="shared" si="3"/>
        <v>#VALUE!</v>
      </c>
      <c r="E105" s="13">
        <v>3824</v>
      </c>
      <c r="F105" s="13">
        <v>4235</v>
      </c>
      <c r="G105" s="13">
        <v>4086</v>
      </c>
      <c r="H105" s="13">
        <v>4195</v>
      </c>
      <c r="I105" s="13">
        <v>4363</v>
      </c>
      <c r="J105" s="13">
        <v>4268</v>
      </c>
      <c r="K105" s="13">
        <v>4151</v>
      </c>
      <c r="L105" s="13">
        <v>4492</v>
      </c>
      <c r="M105" s="13">
        <v>4700</v>
      </c>
      <c r="N105" s="13">
        <v>4684</v>
      </c>
      <c r="O105" s="13">
        <v>4828</v>
      </c>
      <c r="P105" s="13">
        <v>4488</v>
      </c>
      <c r="Q105" s="13">
        <v>4296</v>
      </c>
      <c r="R105" s="13">
        <v>4361</v>
      </c>
      <c r="S105" s="13">
        <v>4508</v>
      </c>
      <c r="T105" s="13">
        <v>4399</v>
      </c>
      <c r="U105" s="13">
        <v>4540</v>
      </c>
      <c r="V105" s="13">
        <v>4765</v>
      </c>
      <c r="W105" s="13">
        <v>4631</v>
      </c>
      <c r="X105" s="13">
        <v>4596</v>
      </c>
      <c r="Y105" s="13">
        <v>4302</v>
      </c>
      <c r="Z105" s="13">
        <v>4088</v>
      </c>
      <c r="AA105" s="13">
        <v>3918</v>
      </c>
      <c r="AB105" s="13">
        <v>3978</v>
      </c>
      <c r="AC105" s="13">
        <v>3976</v>
      </c>
      <c r="AD105" s="13">
        <v>4260</v>
      </c>
      <c r="AE105" s="13">
        <v>4310</v>
      </c>
      <c r="AF105" s="13">
        <v>4116</v>
      </c>
      <c r="AG105" s="13">
        <v>4063</v>
      </c>
      <c r="AH105" s="13">
        <v>4060</v>
      </c>
      <c r="AI105" s="13">
        <v>4156</v>
      </c>
      <c r="AJ105" s="13">
        <v>4114</v>
      </c>
      <c r="AK105" s="13">
        <v>4199</v>
      </c>
      <c r="AL105" s="13">
        <v>4214</v>
      </c>
      <c r="AM105" s="13">
        <v>4081</v>
      </c>
      <c r="AN105" s="13">
        <v>4040</v>
      </c>
      <c r="AO105" s="13">
        <v>3779</v>
      </c>
      <c r="AP105" s="13">
        <v>3928</v>
      </c>
      <c r="AQ105" s="13">
        <v>4179</v>
      </c>
      <c r="AR105" s="13">
        <v>4239</v>
      </c>
      <c r="AS105" s="13">
        <v>3539</v>
      </c>
      <c r="AT105" s="13">
        <v>3439</v>
      </c>
      <c r="AU105" s="13">
        <v>3492</v>
      </c>
      <c r="AV105" s="13">
        <v>3406</v>
      </c>
      <c r="AW105" s="13">
        <v>3366</v>
      </c>
      <c r="AX105" s="13">
        <v>3385</v>
      </c>
      <c r="AY105" s="13">
        <v>3175</v>
      </c>
      <c r="AZ105" s="13">
        <v>3160</v>
      </c>
      <c r="BA105" s="13">
        <v>3090</v>
      </c>
      <c r="BB105" s="13">
        <v>3148</v>
      </c>
      <c r="BC105" s="13">
        <v>3220</v>
      </c>
      <c r="BD105" s="13">
        <v>3142</v>
      </c>
      <c r="BE105" s="13">
        <v>3166</v>
      </c>
      <c r="BF105" s="13">
        <v>3191</v>
      </c>
      <c r="BG105" s="13">
        <v>3207</v>
      </c>
      <c r="BH105" s="13">
        <v>3153</v>
      </c>
      <c r="BI105" s="13">
        <v>3323</v>
      </c>
      <c r="BJ105" s="13">
        <v>3291</v>
      </c>
      <c r="BK105" s="13">
        <v>3285</v>
      </c>
      <c r="BL105" s="13">
        <v>3247</v>
      </c>
      <c r="BM105" s="4">
        <v>3259</v>
      </c>
      <c r="BN105" s="4">
        <v>3197</v>
      </c>
      <c r="BO105" s="4">
        <v>3178</v>
      </c>
      <c r="BP105" s="4">
        <v>3068</v>
      </c>
    </row>
    <row r="106" spans="1:68" ht="15.9" customHeight="1">
      <c r="A106" s="64" t="s">
        <v>207</v>
      </c>
      <c r="B106" s="6" t="s">
        <v>208</v>
      </c>
      <c r="C106" s="15" t="str">
        <f>_xll.RssMarket("7021","現在値")</f>
        <v/>
      </c>
      <c r="D106" s="16" t="e">
        <f t="shared" si="3"/>
        <v>#VALUE!</v>
      </c>
      <c r="E106" s="13">
        <v>1868</v>
      </c>
      <c r="F106" s="13">
        <v>1846</v>
      </c>
      <c r="G106" s="13">
        <v>1849</v>
      </c>
      <c r="H106" s="13">
        <v>1830</v>
      </c>
      <c r="I106" s="13">
        <v>1857</v>
      </c>
      <c r="J106" s="13">
        <v>1829</v>
      </c>
      <c r="K106" s="13">
        <v>1826</v>
      </c>
      <c r="L106" s="13">
        <v>1819</v>
      </c>
      <c r="M106" s="13">
        <v>1808</v>
      </c>
      <c r="N106" s="13">
        <v>1791</v>
      </c>
      <c r="O106" s="13">
        <v>1799</v>
      </c>
      <c r="P106" s="13">
        <v>1795</v>
      </c>
      <c r="Q106" s="13">
        <v>1800</v>
      </c>
      <c r="R106" s="13">
        <v>1775</v>
      </c>
      <c r="S106" s="13">
        <v>1791</v>
      </c>
      <c r="T106" s="13">
        <v>1774</v>
      </c>
      <c r="U106" s="13">
        <v>1800</v>
      </c>
      <c r="V106" s="13">
        <v>1760</v>
      </c>
      <c r="W106" s="13">
        <v>1787</v>
      </c>
      <c r="X106" s="13">
        <v>1800</v>
      </c>
      <c r="Y106" s="13">
        <v>1809</v>
      </c>
      <c r="Z106" s="13">
        <v>1805</v>
      </c>
      <c r="AA106" s="13">
        <v>1769</v>
      </c>
      <c r="AB106" s="13">
        <v>1806</v>
      </c>
      <c r="AC106" s="13">
        <v>1765</v>
      </c>
      <c r="AD106" s="13">
        <v>1810</v>
      </c>
      <c r="AE106" s="13">
        <v>1770</v>
      </c>
      <c r="AF106" s="13">
        <v>1754</v>
      </c>
      <c r="AG106" s="13">
        <v>1800</v>
      </c>
      <c r="AH106" s="13">
        <v>1803</v>
      </c>
      <c r="AI106" s="13">
        <v>1854</v>
      </c>
      <c r="AJ106" s="13">
        <v>1894</v>
      </c>
      <c r="AK106" s="13">
        <v>1815</v>
      </c>
      <c r="AL106" s="13">
        <v>1803</v>
      </c>
      <c r="AM106" s="13">
        <v>1822</v>
      </c>
      <c r="AN106" s="13">
        <v>1848</v>
      </c>
      <c r="AO106" s="13">
        <v>1878</v>
      </c>
      <c r="AP106" s="13">
        <v>1916</v>
      </c>
      <c r="AQ106" s="13">
        <v>1998</v>
      </c>
      <c r="AR106" s="13">
        <v>2161</v>
      </c>
      <c r="AS106" s="13">
        <v>2190</v>
      </c>
      <c r="AT106" s="13">
        <v>2156</v>
      </c>
      <c r="AU106" s="13">
        <v>2146</v>
      </c>
      <c r="AV106" s="13">
        <v>2141</v>
      </c>
      <c r="AW106" s="13">
        <v>2166</v>
      </c>
      <c r="AX106" s="13">
        <v>2138</v>
      </c>
      <c r="AY106" s="13">
        <v>2171</v>
      </c>
      <c r="AZ106" s="13">
        <v>2230</v>
      </c>
      <c r="BA106" s="13">
        <v>2226</v>
      </c>
      <c r="BB106" s="13">
        <v>2258</v>
      </c>
      <c r="BC106" s="13">
        <v>2280</v>
      </c>
      <c r="BD106" s="13">
        <v>2294</v>
      </c>
      <c r="BE106" s="13">
        <v>2312</v>
      </c>
      <c r="BF106" s="13">
        <v>2333</v>
      </c>
      <c r="BG106" s="13">
        <v>2341</v>
      </c>
      <c r="BH106" s="13">
        <v>2334</v>
      </c>
      <c r="BI106" s="13">
        <v>2350</v>
      </c>
      <c r="BJ106" s="13">
        <v>2350</v>
      </c>
      <c r="BK106" s="13">
        <v>2340</v>
      </c>
      <c r="BL106" s="13">
        <v>2322</v>
      </c>
      <c r="BM106" s="4">
        <v>2312</v>
      </c>
      <c r="BN106" s="4">
        <v>2296</v>
      </c>
      <c r="BO106" s="4">
        <v>2291</v>
      </c>
      <c r="BP106" s="4">
        <v>2290</v>
      </c>
    </row>
    <row r="107" spans="1:68" ht="15.9" customHeight="1">
      <c r="A107" s="64" t="s">
        <v>209</v>
      </c>
      <c r="B107" s="6" t="s">
        <v>210</v>
      </c>
      <c r="C107" s="15" t="str">
        <f>_xll.RssMarket("7729","現在値")</f>
        <v/>
      </c>
      <c r="D107" s="16" t="e">
        <f t="shared" si="3"/>
        <v>#VALUE!</v>
      </c>
      <c r="E107" s="13">
        <v>17055</v>
      </c>
      <c r="F107" s="13">
        <v>19210</v>
      </c>
      <c r="G107" s="13">
        <v>18325</v>
      </c>
      <c r="H107" s="13">
        <v>18815</v>
      </c>
      <c r="I107" s="13">
        <v>18905</v>
      </c>
      <c r="J107" s="13">
        <v>18105</v>
      </c>
      <c r="K107" s="13">
        <v>17330</v>
      </c>
      <c r="L107" s="13">
        <v>17740</v>
      </c>
      <c r="M107" s="13">
        <v>18830</v>
      </c>
      <c r="N107" s="13">
        <v>19370</v>
      </c>
      <c r="O107" s="13">
        <v>19110</v>
      </c>
      <c r="P107" s="13">
        <v>20920</v>
      </c>
      <c r="Q107" s="13">
        <v>20130</v>
      </c>
      <c r="R107" s="13">
        <v>19275</v>
      </c>
      <c r="S107" s="13">
        <v>19320</v>
      </c>
      <c r="T107" s="13">
        <v>20060</v>
      </c>
      <c r="U107" s="13">
        <v>18730</v>
      </c>
      <c r="V107" s="13">
        <v>18900</v>
      </c>
      <c r="W107" s="13">
        <v>20160</v>
      </c>
      <c r="X107" s="13">
        <v>20075</v>
      </c>
      <c r="Y107" s="13">
        <v>19255</v>
      </c>
      <c r="Z107" s="13">
        <v>19190</v>
      </c>
      <c r="AA107" s="13">
        <v>18655</v>
      </c>
      <c r="AB107" s="13">
        <v>17480</v>
      </c>
      <c r="AC107" s="13">
        <v>16925</v>
      </c>
      <c r="AD107" s="13">
        <v>16640</v>
      </c>
      <c r="AE107" s="13">
        <v>17910</v>
      </c>
      <c r="AF107" s="13">
        <v>18325</v>
      </c>
      <c r="AG107" s="13">
        <v>17715</v>
      </c>
      <c r="AH107" s="13">
        <v>16910</v>
      </c>
      <c r="AI107" s="13">
        <v>16820</v>
      </c>
      <c r="AJ107" s="13">
        <v>17385</v>
      </c>
      <c r="AK107" s="13">
        <v>17570</v>
      </c>
      <c r="AL107" s="13">
        <v>17705</v>
      </c>
      <c r="AM107" s="13">
        <v>18350</v>
      </c>
      <c r="AN107" s="13">
        <v>16915</v>
      </c>
      <c r="AO107" s="13">
        <v>16395</v>
      </c>
      <c r="AP107" s="13">
        <v>15630</v>
      </c>
      <c r="AQ107" s="13">
        <v>15915</v>
      </c>
      <c r="AR107" s="13">
        <v>16395</v>
      </c>
      <c r="AS107" s="13">
        <v>16515</v>
      </c>
      <c r="AT107" s="13">
        <v>17765</v>
      </c>
      <c r="AU107" s="13">
        <v>18690</v>
      </c>
      <c r="AV107" s="13">
        <v>18985</v>
      </c>
      <c r="AW107" s="13">
        <v>18860</v>
      </c>
      <c r="AX107" s="13">
        <v>18765</v>
      </c>
      <c r="AY107" s="13">
        <v>18305</v>
      </c>
      <c r="AZ107" s="13">
        <v>17355</v>
      </c>
      <c r="BA107" s="13">
        <v>17130</v>
      </c>
      <c r="BB107" s="13">
        <v>17355</v>
      </c>
      <c r="BC107" s="13">
        <v>17350</v>
      </c>
      <c r="BD107" s="13">
        <v>17430</v>
      </c>
      <c r="BE107" s="13">
        <v>16900</v>
      </c>
      <c r="BF107" s="13">
        <v>16650</v>
      </c>
      <c r="BG107" s="13">
        <v>16720</v>
      </c>
      <c r="BH107" s="13">
        <v>16250</v>
      </c>
      <c r="BI107" s="13">
        <v>16420</v>
      </c>
      <c r="BJ107" s="13">
        <v>16945</v>
      </c>
      <c r="BK107" s="13">
        <v>16545</v>
      </c>
      <c r="BL107" s="13">
        <v>16035</v>
      </c>
      <c r="BM107" s="4">
        <v>15700</v>
      </c>
      <c r="BN107" s="4">
        <v>15890</v>
      </c>
      <c r="BO107" s="4">
        <v>15395</v>
      </c>
      <c r="BP107" s="4">
        <v>15200</v>
      </c>
    </row>
    <row r="108" spans="1:68" ht="15.9" customHeight="1">
      <c r="A108" s="64" t="s">
        <v>211</v>
      </c>
      <c r="B108" s="6" t="s">
        <v>212</v>
      </c>
      <c r="C108" s="15" t="str">
        <f>_xll.RssMarket("8424","現在値")</f>
        <v/>
      </c>
      <c r="D108" s="16" t="e">
        <f t="shared" si="3"/>
        <v>#VALUE!</v>
      </c>
      <c r="E108" s="13">
        <v>4345</v>
      </c>
      <c r="F108" s="13">
        <v>4361</v>
      </c>
      <c r="G108" s="13">
        <v>4333</v>
      </c>
      <c r="H108" s="13">
        <v>4271</v>
      </c>
      <c r="I108" s="13">
        <v>4267</v>
      </c>
      <c r="J108" s="13">
        <v>4272</v>
      </c>
      <c r="K108" s="13">
        <v>4260</v>
      </c>
      <c r="L108" s="13">
        <v>4241</v>
      </c>
      <c r="M108" s="13">
        <v>4189</v>
      </c>
      <c r="N108" s="13">
        <v>4181</v>
      </c>
      <c r="O108" s="13">
        <v>4163</v>
      </c>
      <c r="P108" s="13">
        <v>4220</v>
      </c>
      <c r="Q108" s="13">
        <v>4226</v>
      </c>
      <c r="R108" s="13">
        <v>4235</v>
      </c>
      <c r="S108" s="13">
        <v>4194</v>
      </c>
      <c r="T108" s="13">
        <v>4180</v>
      </c>
      <c r="U108" s="13">
        <v>4176</v>
      </c>
      <c r="V108" s="13">
        <v>4216</v>
      </c>
      <c r="W108" s="13">
        <v>4256</v>
      </c>
      <c r="X108" s="13">
        <v>4236</v>
      </c>
      <c r="Y108" s="13">
        <v>4281</v>
      </c>
      <c r="Z108" s="13">
        <v>4284</v>
      </c>
      <c r="AA108" s="13">
        <v>4272</v>
      </c>
      <c r="AB108" s="13">
        <v>4314</v>
      </c>
      <c r="AC108" s="13">
        <v>4192</v>
      </c>
      <c r="AD108" s="13">
        <v>4137</v>
      </c>
      <c r="AE108" s="13">
        <v>4070</v>
      </c>
      <c r="AF108" s="13">
        <v>4089</v>
      </c>
      <c r="AG108" s="13">
        <v>4081</v>
      </c>
      <c r="AH108" s="13">
        <v>4094</v>
      </c>
      <c r="AI108" s="13">
        <v>4194</v>
      </c>
      <c r="AJ108" s="13">
        <v>4182</v>
      </c>
      <c r="AK108" s="13">
        <v>4184</v>
      </c>
      <c r="AL108" s="13">
        <v>4234</v>
      </c>
      <c r="AM108" s="13">
        <v>4287</v>
      </c>
      <c r="AN108" s="13">
        <v>4375</v>
      </c>
      <c r="AO108" s="13">
        <v>4333</v>
      </c>
      <c r="AP108" s="13">
        <v>4387</v>
      </c>
      <c r="AQ108" s="13">
        <v>4315</v>
      </c>
      <c r="AR108" s="13">
        <v>4378</v>
      </c>
      <c r="AS108" s="13">
        <v>4394</v>
      </c>
      <c r="AT108" s="13">
        <v>4348</v>
      </c>
      <c r="AU108" s="13">
        <v>4403</v>
      </c>
      <c r="AV108" s="13">
        <v>4293</v>
      </c>
      <c r="AW108" s="13">
        <v>4272</v>
      </c>
      <c r="AX108" s="13">
        <v>4328</v>
      </c>
      <c r="AY108" s="13">
        <v>4295</v>
      </c>
      <c r="AZ108" s="13">
        <v>4334</v>
      </c>
      <c r="BA108" s="13">
        <v>4350</v>
      </c>
      <c r="BB108" s="13">
        <v>4263</v>
      </c>
      <c r="BC108" s="13">
        <v>4279</v>
      </c>
      <c r="BD108" s="13">
        <v>4268</v>
      </c>
      <c r="BE108" s="13">
        <v>4265</v>
      </c>
      <c r="BF108" s="13">
        <v>4261</v>
      </c>
      <c r="BG108" s="13">
        <v>4307</v>
      </c>
      <c r="BH108" s="13">
        <v>4336</v>
      </c>
      <c r="BI108" s="13">
        <v>4330</v>
      </c>
      <c r="BJ108" s="13">
        <v>4333</v>
      </c>
      <c r="BK108" s="13">
        <v>4310</v>
      </c>
      <c r="BL108" s="13">
        <v>4326</v>
      </c>
      <c r="BM108" s="4">
        <v>4338</v>
      </c>
      <c r="BN108" s="4">
        <v>4395</v>
      </c>
      <c r="BO108" s="4">
        <v>4443</v>
      </c>
      <c r="BP108" s="4">
        <v>4379</v>
      </c>
    </row>
    <row r="109" spans="1:68" ht="15.9" customHeight="1">
      <c r="A109" s="64" t="s">
        <v>213</v>
      </c>
      <c r="B109" s="6" t="s">
        <v>214</v>
      </c>
      <c r="C109" s="15" t="str">
        <f>_xll.RssMarket("9020","現在値")</f>
        <v/>
      </c>
      <c r="D109" s="16" t="e">
        <f t="shared" si="3"/>
        <v>#VALUE!</v>
      </c>
      <c r="E109" s="13">
        <v>3624</v>
      </c>
      <c r="F109" s="13">
        <v>3580</v>
      </c>
      <c r="G109" s="13">
        <v>3564</v>
      </c>
      <c r="H109" s="13">
        <v>3531</v>
      </c>
      <c r="I109" s="13">
        <v>3478</v>
      </c>
      <c r="J109" s="13">
        <v>3517</v>
      </c>
      <c r="K109" s="13">
        <v>3541</v>
      </c>
      <c r="L109" s="13">
        <v>3502</v>
      </c>
      <c r="M109" s="13">
        <v>3459</v>
      </c>
      <c r="N109" s="13">
        <v>3410</v>
      </c>
      <c r="O109" s="13">
        <v>3295</v>
      </c>
      <c r="P109" s="13">
        <v>3408</v>
      </c>
      <c r="Q109" s="13">
        <v>3452</v>
      </c>
      <c r="R109" s="13">
        <v>3386</v>
      </c>
      <c r="S109" s="13">
        <v>3343</v>
      </c>
      <c r="T109" s="13">
        <v>3363</v>
      </c>
      <c r="U109" s="13">
        <v>3351</v>
      </c>
      <c r="V109" s="13">
        <v>3324</v>
      </c>
      <c r="W109" s="13">
        <v>3415</v>
      </c>
      <c r="X109" s="13">
        <v>3345</v>
      </c>
      <c r="Y109" s="13">
        <v>3398</v>
      </c>
      <c r="Z109" s="13">
        <v>3404</v>
      </c>
      <c r="AA109" s="13">
        <v>3460</v>
      </c>
      <c r="AB109" s="13">
        <v>3380</v>
      </c>
      <c r="AC109" s="13">
        <v>3366</v>
      </c>
      <c r="AD109" s="13">
        <v>3280</v>
      </c>
      <c r="AE109" s="13">
        <v>3313</v>
      </c>
      <c r="AF109" s="13">
        <v>3345</v>
      </c>
      <c r="AG109" s="13">
        <v>3354</v>
      </c>
      <c r="AH109" s="13">
        <v>3412</v>
      </c>
      <c r="AI109" s="13">
        <v>3444</v>
      </c>
      <c r="AJ109" s="13">
        <v>3528</v>
      </c>
      <c r="AK109" s="13">
        <v>3570</v>
      </c>
      <c r="AL109" s="13">
        <v>3606</v>
      </c>
      <c r="AM109" s="13">
        <v>3692</v>
      </c>
      <c r="AN109" s="13">
        <v>3775</v>
      </c>
      <c r="AO109" s="13">
        <v>3788</v>
      </c>
      <c r="AP109" s="13">
        <v>3682</v>
      </c>
      <c r="AQ109" s="13">
        <v>3766</v>
      </c>
      <c r="AR109" s="13">
        <v>3680</v>
      </c>
      <c r="AS109" s="13">
        <v>3764</v>
      </c>
      <c r="AT109" s="13">
        <v>3693</v>
      </c>
      <c r="AU109" s="13">
        <v>3639</v>
      </c>
      <c r="AV109" s="13">
        <v>3645</v>
      </c>
      <c r="AW109" s="13">
        <v>3610</v>
      </c>
      <c r="AX109" s="13">
        <v>3700</v>
      </c>
      <c r="AY109" s="13">
        <v>3388</v>
      </c>
      <c r="AZ109" s="13">
        <v>3451</v>
      </c>
      <c r="BA109" s="13">
        <v>3427</v>
      </c>
      <c r="BB109" s="13">
        <v>3461</v>
      </c>
      <c r="BC109" s="13">
        <v>3501</v>
      </c>
      <c r="BD109" s="13">
        <v>3522</v>
      </c>
      <c r="BE109" s="13">
        <v>3544</v>
      </c>
      <c r="BF109" s="13">
        <v>3517</v>
      </c>
      <c r="BG109" s="13">
        <v>3478</v>
      </c>
      <c r="BH109" s="13">
        <v>3525</v>
      </c>
      <c r="BI109" s="13">
        <v>3582</v>
      </c>
      <c r="BJ109" s="13">
        <v>3514</v>
      </c>
      <c r="BK109" s="13">
        <v>3602</v>
      </c>
      <c r="BL109" s="13">
        <v>3559</v>
      </c>
      <c r="BM109" s="4">
        <v>3579</v>
      </c>
      <c r="BN109" s="4">
        <v>3608</v>
      </c>
      <c r="BO109" s="4">
        <v>3574</v>
      </c>
      <c r="BP109" s="4">
        <v>3576</v>
      </c>
    </row>
    <row r="110" spans="1:68" ht="15.9" customHeight="1">
      <c r="A110" s="64" t="s">
        <v>215</v>
      </c>
      <c r="B110" s="6" t="s">
        <v>216</v>
      </c>
      <c r="C110" s="15" t="str">
        <f>_xll.RssMarket("9069","現在値")</f>
        <v/>
      </c>
      <c r="D110" s="16" t="e">
        <f t="shared" si="3"/>
        <v>#VALUE!</v>
      </c>
      <c r="E110" s="13">
        <v>2195</v>
      </c>
      <c r="F110" s="13">
        <v>2132</v>
      </c>
      <c r="G110" s="13">
        <v>2114</v>
      </c>
      <c r="H110" s="13">
        <v>2103.5</v>
      </c>
      <c r="I110" s="13">
        <v>2052</v>
      </c>
      <c r="J110" s="13">
        <v>2042</v>
      </c>
      <c r="K110" s="13">
        <v>2018</v>
      </c>
      <c r="L110" s="13">
        <v>1994</v>
      </c>
      <c r="M110" s="13">
        <v>1974</v>
      </c>
      <c r="N110" s="13">
        <v>1906.5</v>
      </c>
      <c r="O110" s="13">
        <v>1900</v>
      </c>
      <c r="P110" s="13">
        <v>1958</v>
      </c>
      <c r="Q110" s="13">
        <v>1935</v>
      </c>
      <c r="R110" s="13">
        <v>1921.5</v>
      </c>
      <c r="S110" s="13">
        <v>1900</v>
      </c>
      <c r="T110" s="13">
        <v>1891</v>
      </c>
      <c r="U110" s="13">
        <v>1899.5</v>
      </c>
      <c r="V110" s="13">
        <v>1901</v>
      </c>
      <c r="W110" s="13">
        <v>1883.5</v>
      </c>
      <c r="X110" s="13">
        <v>1907.5</v>
      </c>
      <c r="Y110" s="13">
        <v>1932.5</v>
      </c>
      <c r="Z110" s="13">
        <v>1922.5</v>
      </c>
      <c r="AA110" s="13">
        <v>1945</v>
      </c>
      <c r="AB110" s="13">
        <v>1954</v>
      </c>
      <c r="AC110" s="13">
        <v>1952.5</v>
      </c>
      <c r="AD110" s="13">
        <v>1907.5</v>
      </c>
      <c r="AE110" s="13">
        <v>1902.5</v>
      </c>
      <c r="AF110" s="13">
        <v>1917</v>
      </c>
      <c r="AG110" s="13">
        <v>1893.5</v>
      </c>
      <c r="AH110" s="13">
        <v>1892</v>
      </c>
      <c r="AI110" s="13">
        <v>1906.5</v>
      </c>
      <c r="AJ110" s="13">
        <v>1919.5</v>
      </c>
      <c r="AK110" s="13">
        <v>1918</v>
      </c>
      <c r="AL110" s="13">
        <v>1935</v>
      </c>
      <c r="AM110" s="13">
        <v>1966.5</v>
      </c>
      <c r="AN110" s="13">
        <v>2032</v>
      </c>
      <c r="AO110" s="13">
        <v>2012</v>
      </c>
      <c r="AP110" s="13">
        <v>2027</v>
      </c>
      <c r="AQ110" s="13">
        <v>2005</v>
      </c>
      <c r="AR110" s="13">
        <v>2031.5</v>
      </c>
      <c r="AS110" s="13">
        <v>2006</v>
      </c>
      <c r="AT110" s="13">
        <v>1849.5</v>
      </c>
      <c r="AU110" s="13">
        <v>1828.5</v>
      </c>
      <c r="AV110" s="13">
        <v>1858</v>
      </c>
      <c r="AW110" s="13">
        <v>1869</v>
      </c>
      <c r="AX110" s="13">
        <v>1864.5</v>
      </c>
      <c r="AY110" s="13">
        <v>1828</v>
      </c>
      <c r="AZ110" s="13">
        <v>1845.5</v>
      </c>
      <c r="BA110" s="13">
        <v>1868</v>
      </c>
      <c r="BB110" s="13">
        <v>1827.5</v>
      </c>
      <c r="BC110" s="13">
        <v>1854.5</v>
      </c>
      <c r="BD110" s="13">
        <v>1875</v>
      </c>
      <c r="BE110" s="13">
        <v>1899</v>
      </c>
      <c r="BF110" s="13">
        <v>1915</v>
      </c>
      <c r="BG110" s="13">
        <v>1906.5</v>
      </c>
      <c r="BH110" s="13">
        <v>1886</v>
      </c>
      <c r="BI110" s="13">
        <v>1901</v>
      </c>
      <c r="BJ110" s="13">
        <v>1887</v>
      </c>
      <c r="BK110" s="13">
        <v>1877.5</v>
      </c>
      <c r="BL110" s="13">
        <v>1867</v>
      </c>
      <c r="BM110" s="4">
        <v>1876</v>
      </c>
      <c r="BN110" s="4">
        <v>1917</v>
      </c>
      <c r="BO110" s="4">
        <v>1903.5</v>
      </c>
      <c r="BP110" s="4">
        <v>1872.5</v>
      </c>
    </row>
    <row r="111" spans="1:68" ht="15.9" customHeight="1">
      <c r="A111" s="64" t="s">
        <v>217</v>
      </c>
      <c r="B111" s="6" t="s">
        <v>218</v>
      </c>
      <c r="C111" s="15" t="str">
        <f>_xll.RssMarket("9227","現在値")</f>
        <v/>
      </c>
      <c r="D111" s="16" t="e">
        <f t="shared" si="3"/>
        <v>#VALUE!</v>
      </c>
      <c r="E111" s="13">
        <v>769</v>
      </c>
      <c r="F111" s="13">
        <v>844</v>
      </c>
      <c r="G111" s="13">
        <v>838</v>
      </c>
      <c r="H111" s="13">
        <v>835</v>
      </c>
      <c r="I111" s="13">
        <v>875</v>
      </c>
      <c r="J111" s="13">
        <v>862</v>
      </c>
      <c r="K111" s="13">
        <v>904</v>
      </c>
      <c r="L111" s="13">
        <v>953</v>
      </c>
      <c r="M111" s="13">
        <v>938</v>
      </c>
      <c r="N111" s="13">
        <v>947</v>
      </c>
      <c r="O111" s="13">
        <v>940</v>
      </c>
      <c r="P111" s="13">
        <v>907</v>
      </c>
      <c r="Q111" s="13">
        <v>876</v>
      </c>
      <c r="R111" s="13">
        <v>897</v>
      </c>
      <c r="S111" s="13">
        <v>896</v>
      </c>
      <c r="T111" s="13">
        <v>892</v>
      </c>
      <c r="U111" s="13">
        <v>946</v>
      </c>
      <c r="V111" s="13">
        <v>887</v>
      </c>
      <c r="W111" s="13">
        <v>881</v>
      </c>
      <c r="X111" s="13">
        <v>865</v>
      </c>
      <c r="Y111" s="13">
        <v>864</v>
      </c>
      <c r="Z111" s="13">
        <v>865</v>
      </c>
      <c r="AA111" s="13">
        <v>915</v>
      </c>
      <c r="AB111" s="13">
        <v>930</v>
      </c>
      <c r="AC111" s="13">
        <v>887</v>
      </c>
      <c r="AD111" s="13">
        <v>904</v>
      </c>
      <c r="AE111" s="13">
        <v>912</v>
      </c>
      <c r="AF111" s="13">
        <v>996</v>
      </c>
      <c r="AG111" s="13">
        <v>1031</v>
      </c>
      <c r="AH111" s="13">
        <v>1120</v>
      </c>
      <c r="AI111" s="13">
        <v>1209</v>
      </c>
      <c r="AJ111" s="13">
        <v>1093</v>
      </c>
      <c r="AK111" s="13">
        <v>943</v>
      </c>
      <c r="AL111" s="13">
        <v>793</v>
      </c>
      <c r="AM111" s="13">
        <v>770</v>
      </c>
      <c r="AN111" s="13">
        <v>799</v>
      </c>
      <c r="AO111" s="13">
        <v>813</v>
      </c>
      <c r="AP111" s="13">
        <v>822</v>
      </c>
      <c r="AQ111" s="13">
        <v>806</v>
      </c>
      <c r="AR111" s="13">
        <v>854</v>
      </c>
      <c r="AS111" s="13">
        <v>962</v>
      </c>
      <c r="AT111" s="13">
        <v>980</v>
      </c>
      <c r="AU111" s="13">
        <v>1015</v>
      </c>
      <c r="AV111" s="13">
        <v>1006</v>
      </c>
      <c r="AW111" s="13">
        <v>1027</v>
      </c>
      <c r="AX111" s="13">
        <v>1024</v>
      </c>
      <c r="AY111" s="13">
        <v>1040</v>
      </c>
      <c r="AZ111" s="13">
        <v>1034</v>
      </c>
      <c r="BA111" s="13">
        <v>1063</v>
      </c>
      <c r="BB111" s="13">
        <v>1095</v>
      </c>
      <c r="BC111" s="13">
        <v>1133</v>
      </c>
      <c r="BD111" s="13">
        <v>1181</v>
      </c>
      <c r="BE111" s="13">
        <v>1196</v>
      </c>
      <c r="BF111" s="13">
        <v>1061</v>
      </c>
      <c r="BG111" s="13">
        <v>1043</v>
      </c>
      <c r="BH111" s="13">
        <v>1017</v>
      </c>
      <c r="BI111" s="13">
        <v>1002</v>
      </c>
      <c r="BJ111" s="13">
        <v>1000</v>
      </c>
      <c r="BK111" s="13">
        <v>948</v>
      </c>
      <c r="BL111" s="13">
        <v>972</v>
      </c>
      <c r="BM111" s="4">
        <v>998</v>
      </c>
      <c r="BN111" s="4">
        <v>928</v>
      </c>
      <c r="BO111" s="4">
        <v>948</v>
      </c>
      <c r="BP111" s="4">
        <v>956</v>
      </c>
    </row>
    <row r="112" spans="1:68" ht="15.9" customHeight="1">
      <c r="A112" s="64" t="s">
        <v>219</v>
      </c>
      <c r="B112" s="6" t="s">
        <v>220</v>
      </c>
      <c r="C112" s="15" t="str">
        <f>_xll.RssMarket("9348","現在値")</f>
        <v/>
      </c>
      <c r="D112" s="16" t="e">
        <f t="shared" si="3"/>
        <v>#VALUE!</v>
      </c>
      <c r="E112" s="13">
        <v>411</v>
      </c>
      <c r="F112" s="13">
        <v>449</v>
      </c>
      <c r="G112" s="13">
        <v>440</v>
      </c>
      <c r="H112" s="13">
        <v>442</v>
      </c>
      <c r="I112" s="13">
        <v>445</v>
      </c>
      <c r="J112" s="13">
        <v>508</v>
      </c>
      <c r="K112" s="13">
        <v>428</v>
      </c>
      <c r="L112" s="13">
        <v>448</v>
      </c>
      <c r="M112" s="13">
        <v>450</v>
      </c>
      <c r="N112" s="13">
        <v>441</v>
      </c>
      <c r="O112" s="13">
        <v>440</v>
      </c>
      <c r="P112" s="13">
        <v>449</v>
      </c>
      <c r="Q112" s="13">
        <v>439</v>
      </c>
      <c r="R112" s="13">
        <v>430</v>
      </c>
      <c r="S112" s="13">
        <v>443</v>
      </c>
      <c r="T112" s="13">
        <v>441</v>
      </c>
      <c r="U112" s="13">
        <v>435</v>
      </c>
      <c r="V112" s="13">
        <v>455</v>
      </c>
      <c r="W112" s="13">
        <v>434</v>
      </c>
      <c r="X112" s="13">
        <v>473</v>
      </c>
      <c r="Y112" s="13">
        <v>468</v>
      </c>
      <c r="Z112" s="13">
        <v>551</v>
      </c>
      <c r="AA112" s="13">
        <v>576</v>
      </c>
      <c r="AB112" s="13">
        <v>577</v>
      </c>
      <c r="AC112" s="13">
        <v>598</v>
      </c>
      <c r="AD112" s="13">
        <v>615</v>
      </c>
      <c r="AE112" s="13">
        <v>555</v>
      </c>
      <c r="AF112" s="13">
        <v>587</v>
      </c>
      <c r="AG112" s="13">
        <v>583</v>
      </c>
      <c r="AH112" s="13">
        <v>588</v>
      </c>
      <c r="AI112" s="13">
        <v>671</v>
      </c>
      <c r="AJ112" s="13">
        <v>699</v>
      </c>
      <c r="AK112" s="13">
        <v>600</v>
      </c>
      <c r="AL112" s="13">
        <v>580</v>
      </c>
      <c r="AM112" s="13">
        <v>568</v>
      </c>
      <c r="AN112" s="13">
        <v>507</v>
      </c>
      <c r="AO112" s="13">
        <v>494</v>
      </c>
      <c r="AP112" s="13">
        <v>534</v>
      </c>
      <c r="AQ112" s="13">
        <v>496</v>
      </c>
      <c r="AR112" s="13">
        <v>506</v>
      </c>
      <c r="AS112" s="13">
        <v>499</v>
      </c>
      <c r="AT112" s="13">
        <v>498</v>
      </c>
      <c r="AU112" s="13">
        <v>497</v>
      </c>
      <c r="AV112" s="13">
        <v>510</v>
      </c>
      <c r="AW112" s="13">
        <v>503</v>
      </c>
      <c r="AX112" s="13">
        <v>484</v>
      </c>
      <c r="AY112" s="13">
        <v>470</v>
      </c>
      <c r="AZ112" s="13">
        <v>468</v>
      </c>
      <c r="BA112" s="13">
        <v>476</v>
      </c>
      <c r="BB112" s="13">
        <v>466</v>
      </c>
      <c r="BC112" s="13">
        <v>476</v>
      </c>
      <c r="BD112" s="13">
        <v>482</v>
      </c>
      <c r="BE112" s="13">
        <v>492</v>
      </c>
      <c r="BF112" s="13">
        <v>488</v>
      </c>
      <c r="BG112" s="13">
        <v>496</v>
      </c>
      <c r="BH112" s="13">
        <v>496</v>
      </c>
      <c r="BI112" s="13">
        <v>489</v>
      </c>
      <c r="BJ112" s="13">
        <v>512</v>
      </c>
      <c r="BK112" s="13">
        <v>510</v>
      </c>
      <c r="BL112" s="13">
        <v>500</v>
      </c>
      <c r="BM112" s="4">
        <v>515</v>
      </c>
      <c r="BN112" s="4">
        <v>457</v>
      </c>
      <c r="BO112" s="4">
        <v>456</v>
      </c>
      <c r="BP112" s="4">
        <v>434</v>
      </c>
    </row>
    <row r="113" spans="1:68" ht="15.9" customHeight="1">
      <c r="A113" s="64" t="s">
        <v>221</v>
      </c>
      <c r="B113" s="6" t="s">
        <v>222</v>
      </c>
      <c r="C113" s="15" t="str">
        <f>_xll.RssMarket("9449","現在値")</f>
        <v/>
      </c>
      <c r="D113" s="16" t="e">
        <f t="shared" si="3"/>
        <v>#VALUE!</v>
      </c>
      <c r="E113" s="13">
        <v>4056</v>
      </c>
      <c r="F113" s="13">
        <v>4038</v>
      </c>
      <c r="G113" s="13">
        <v>3992</v>
      </c>
      <c r="H113" s="13">
        <v>3912</v>
      </c>
      <c r="I113" s="13">
        <v>3908</v>
      </c>
      <c r="J113" s="13">
        <v>3807</v>
      </c>
      <c r="K113" s="13">
        <v>3838</v>
      </c>
      <c r="L113" s="13">
        <v>3646</v>
      </c>
      <c r="M113" s="13">
        <v>3609</v>
      </c>
      <c r="N113" s="13">
        <v>3534</v>
      </c>
      <c r="O113" s="13">
        <v>3370</v>
      </c>
      <c r="P113" s="13">
        <v>3342</v>
      </c>
      <c r="Q113" s="13">
        <v>3388</v>
      </c>
      <c r="R113" s="13">
        <v>3283</v>
      </c>
      <c r="S113" s="13">
        <v>3227</v>
      </c>
      <c r="T113" s="13">
        <v>3275</v>
      </c>
      <c r="U113" s="13">
        <v>3242</v>
      </c>
      <c r="V113" s="13">
        <v>3542</v>
      </c>
      <c r="W113" s="13">
        <v>3000</v>
      </c>
      <c r="X113" s="13">
        <v>3098</v>
      </c>
      <c r="Y113" s="13">
        <v>3083</v>
      </c>
      <c r="Z113" s="13">
        <v>3146</v>
      </c>
      <c r="AA113" s="13">
        <v>3171</v>
      </c>
      <c r="AB113" s="13">
        <v>3162</v>
      </c>
      <c r="AC113" s="13">
        <v>3230</v>
      </c>
      <c r="AD113" s="13">
        <v>3245</v>
      </c>
      <c r="AE113" s="13">
        <v>3307</v>
      </c>
      <c r="AF113" s="13">
        <v>3327</v>
      </c>
      <c r="AG113" s="13">
        <v>3355</v>
      </c>
      <c r="AH113" s="13">
        <v>3285</v>
      </c>
      <c r="AI113" s="13">
        <v>3283</v>
      </c>
      <c r="AJ113" s="13">
        <v>3330</v>
      </c>
      <c r="AK113" s="13">
        <v>3438</v>
      </c>
      <c r="AL113" s="13">
        <v>3396</v>
      </c>
      <c r="AM113" s="13">
        <v>3317</v>
      </c>
      <c r="AN113" s="13">
        <v>3307</v>
      </c>
      <c r="AO113" s="13">
        <v>3348</v>
      </c>
      <c r="AP113" s="13">
        <v>3310</v>
      </c>
      <c r="AQ113" s="13">
        <v>3079</v>
      </c>
      <c r="AR113" s="13">
        <v>3091</v>
      </c>
      <c r="AS113" s="13">
        <v>3172</v>
      </c>
      <c r="AT113" s="13">
        <v>3114</v>
      </c>
      <c r="AU113" s="13">
        <v>3161</v>
      </c>
      <c r="AV113" s="13">
        <v>3183</v>
      </c>
      <c r="AW113" s="13">
        <v>3054</v>
      </c>
      <c r="AX113" s="13">
        <v>3045</v>
      </c>
      <c r="AY113" s="13">
        <v>3080</v>
      </c>
      <c r="AZ113" s="13">
        <v>3108</v>
      </c>
      <c r="BA113" s="13">
        <v>3092</v>
      </c>
      <c r="BB113" s="13">
        <v>3153</v>
      </c>
      <c r="BC113" s="13">
        <v>3168</v>
      </c>
      <c r="BD113" s="13">
        <v>3261</v>
      </c>
      <c r="BE113" s="13">
        <v>3309</v>
      </c>
      <c r="BF113" s="13">
        <v>3236</v>
      </c>
      <c r="BG113" s="13">
        <v>3276</v>
      </c>
      <c r="BH113" s="13">
        <v>3258</v>
      </c>
      <c r="BI113" s="13">
        <v>3083</v>
      </c>
      <c r="BJ113" s="13">
        <v>3026</v>
      </c>
      <c r="BK113" s="13">
        <v>2975</v>
      </c>
      <c r="BL113" s="13">
        <v>2964.5</v>
      </c>
      <c r="BM113" s="4">
        <v>3053</v>
      </c>
      <c r="BN113" s="4">
        <v>3131</v>
      </c>
      <c r="BO113" s="4">
        <v>3023</v>
      </c>
      <c r="BP113" s="4">
        <v>3008</v>
      </c>
    </row>
    <row r="114" spans="1:68" ht="15.9" customHeight="1">
      <c r="A114" s="64" t="s">
        <v>223</v>
      </c>
      <c r="B114" s="6" t="s">
        <v>224</v>
      </c>
      <c r="C114" s="15" t="str">
        <f>_xll.RssMarket("9501","現在値")</f>
        <v/>
      </c>
      <c r="D114" s="16" t="e">
        <f t="shared" si="3"/>
        <v>#VALUE!</v>
      </c>
      <c r="E114" s="13">
        <v>506.6</v>
      </c>
      <c r="F114" s="13">
        <v>508.7</v>
      </c>
      <c r="G114" s="13">
        <v>503.1</v>
      </c>
      <c r="H114" s="13">
        <v>485.3</v>
      </c>
      <c r="I114" s="13">
        <v>480.4</v>
      </c>
      <c r="J114" s="13">
        <v>479.1</v>
      </c>
      <c r="K114" s="13">
        <v>479.9</v>
      </c>
      <c r="L114" s="13">
        <v>468.8</v>
      </c>
      <c r="M114" s="13">
        <v>465</v>
      </c>
      <c r="N114" s="13">
        <v>457.4</v>
      </c>
      <c r="O114" s="13">
        <v>455.1</v>
      </c>
      <c r="P114" s="13">
        <v>461.3</v>
      </c>
      <c r="Q114" s="13">
        <v>462</v>
      </c>
      <c r="R114" s="13">
        <v>456.6</v>
      </c>
      <c r="S114" s="13">
        <v>481.2</v>
      </c>
      <c r="T114" s="13">
        <v>470.7</v>
      </c>
      <c r="U114" s="13">
        <v>470.6</v>
      </c>
      <c r="V114" s="13">
        <v>477.5</v>
      </c>
      <c r="W114" s="13">
        <v>514</v>
      </c>
      <c r="X114" s="13">
        <v>508.1</v>
      </c>
      <c r="Y114" s="13">
        <v>513.5</v>
      </c>
      <c r="Z114" s="13">
        <v>509.3</v>
      </c>
      <c r="AA114" s="13">
        <v>494.8</v>
      </c>
      <c r="AB114" s="13">
        <v>512.20000000000005</v>
      </c>
      <c r="AC114" s="13">
        <v>535.4</v>
      </c>
      <c r="AD114" s="13">
        <v>528.4</v>
      </c>
      <c r="AE114" s="13">
        <v>541</v>
      </c>
      <c r="AF114" s="13">
        <v>572.9</v>
      </c>
      <c r="AG114" s="13">
        <v>560</v>
      </c>
      <c r="AH114" s="13">
        <v>558.9</v>
      </c>
      <c r="AI114" s="13">
        <v>564.70000000000005</v>
      </c>
      <c r="AJ114" s="13">
        <v>557.29999999999995</v>
      </c>
      <c r="AK114" s="13">
        <v>572.29999999999995</v>
      </c>
      <c r="AL114" s="13">
        <v>567.20000000000005</v>
      </c>
      <c r="AM114" s="13">
        <v>549</v>
      </c>
      <c r="AN114" s="13">
        <v>557.4</v>
      </c>
      <c r="AO114" s="13">
        <v>547.9</v>
      </c>
      <c r="AP114" s="13">
        <v>580.70000000000005</v>
      </c>
      <c r="AQ114" s="13">
        <v>558.5</v>
      </c>
      <c r="AR114" s="13">
        <v>592.70000000000005</v>
      </c>
      <c r="AS114" s="13">
        <v>609</v>
      </c>
      <c r="AT114" s="13">
        <v>612.6</v>
      </c>
      <c r="AU114" s="13">
        <v>645.20000000000005</v>
      </c>
      <c r="AV114" s="13">
        <v>651.1</v>
      </c>
      <c r="AW114" s="13">
        <v>632.79999999999995</v>
      </c>
      <c r="AX114" s="13">
        <v>624</v>
      </c>
      <c r="AY114" s="13">
        <v>612.70000000000005</v>
      </c>
      <c r="AZ114" s="13">
        <v>592.20000000000005</v>
      </c>
      <c r="BA114" s="13">
        <v>611.1</v>
      </c>
      <c r="BB114" s="13">
        <v>580.5</v>
      </c>
      <c r="BC114" s="13">
        <v>584.70000000000005</v>
      </c>
      <c r="BD114" s="13">
        <v>584.79999999999995</v>
      </c>
      <c r="BE114" s="13">
        <v>625.29999999999995</v>
      </c>
      <c r="BF114" s="13">
        <v>603.20000000000005</v>
      </c>
      <c r="BG114" s="13">
        <v>611.5</v>
      </c>
      <c r="BH114" s="13">
        <v>624</v>
      </c>
      <c r="BI114" s="13">
        <v>638</v>
      </c>
      <c r="BJ114" s="13">
        <v>632.5</v>
      </c>
      <c r="BK114" s="13">
        <v>650</v>
      </c>
      <c r="BL114" s="13">
        <v>651.29999999999995</v>
      </c>
      <c r="BM114" s="4">
        <v>665.1</v>
      </c>
      <c r="BN114" s="4">
        <v>657.3</v>
      </c>
      <c r="BO114" s="4">
        <v>640.4</v>
      </c>
      <c r="BP114" s="4">
        <v>624.1</v>
      </c>
    </row>
    <row r="115" spans="1:68" ht="15.9" customHeight="1">
      <c r="A115" s="64" t="s">
        <v>225</v>
      </c>
      <c r="B115" s="6" t="s">
        <v>226</v>
      </c>
      <c r="C115" s="15" t="str">
        <f>_xll.RssMarket("9531","現在値")</f>
        <v/>
      </c>
      <c r="D115" s="16" t="e">
        <f t="shared" si="3"/>
        <v>#VALUE!</v>
      </c>
      <c r="E115" s="13">
        <v>6087</v>
      </c>
      <c r="F115" s="13">
        <v>6072</v>
      </c>
      <c r="G115" s="13">
        <v>6030</v>
      </c>
      <c r="H115" s="13">
        <v>5905</v>
      </c>
      <c r="I115" s="13">
        <v>5966</v>
      </c>
      <c r="J115" s="13">
        <v>6089</v>
      </c>
      <c r="K115" s="13">
        <v>6143</v>
      </c>
      <c r="L115" s="13">
        <v>6156</v>
      </c>
      <c r="M115" s="13">
        <v>6037</v>
      </c>
      <c r="N115" s="13">
        <v>6006</v>
      </c>
      <c r="O115" s="13">
        <v>5987</v>
      </c>
      <c r="P115" s="13">
        <v>6121</v>
      </c>
      <c r="Q115" s="13">
        <v>6163</v>
      </c>
      <c r="R115" s="13">
        <v>6111</v>
      </c>
      <c r="S115" s="13">
        <v>6068</v>
      </c>
      <c r="T115" s="13">
        <v>6110</v>
      </c>
      <c r="U115" s="13">
        <v>6138</v>
      </c>
      <c r="V115" s="13">
        <v>6210</v>
      </c>
      <c r="W115" s="13">
        <v>6178</v>
      </c>
      <c r="X115" s="13">
        <v>6151</v>
      </c>
      <c r="Y115" s="13">
        <v>6223</v>
      </c>
      <c r="Z115" s="13">
        <v>6303</v>
      </c>
      <c r="AA115" s="13">
        <v>6395</v>
      </c>
      <c r="AB115" s="13">
        <v>6305</v>
      </c>
      <c r="AC115" s="13">
        <v>6311</v>
      </c>
      <c r="AD115" s="13">
        <v>6190</v>
      </c>
      <c r="AE115" s="13">
        <v>6219</v>
      </c>
      <c r="AF115" s="13">
        <v>6292</v>
      </c>
      <c r="AG115" s="13">
        <v>6220</v>
      </c>
      <c r="AH115" s="13">
        <v>6175</v>
      </c>
      <c r="AI115" s="13">
        <v>6380</v>
      </c>
      <c r="AJ115" s="13">
        <v>6294</v>
      </c>
      <c r="AK115" s="13">
        <v>6471</v>
      </c>
      <c r="AL115" s="13">
        <v>6436</v>
      </c>
      <c r="AM115" s="13">
        <v>6522</v>
      </c>
      <c r="AN115" s="13">
        <v>6656</v>
      </c>
      <c r="AO115" s="13">
        <v>6639</v>
      </c>
      <c r="AP115" s="13">
        <v>6699</v>
      </c>
      <c r="AQ115" s="13">
        <v>6565</v>
      </c>
      <c r="AR115" s="13">
        <v>6722</v>
      </c>
      <c r="AS115" s="13">
        <v>6625</v>
      </c>
      <c r="AT115" s="13">
        <v>6607</v>
      </c>
      <c r="AU115" s="13">
        <v>6670</v>
      </c>
      <c r="AV115" s="13">
        <v>6745</v>
      </c>
      <c r="AW115" s="13">
        <v>6600</v>
      </c>
      <c r="AX115" s="13">
        <v>6812</v>
      </c>
      <c r="AY115" s="13">
        <v>6614</v>
      </c>
      <c r="AZ115" s="13">
        <v>6670</v>
      </c>
      <c r="BA115" s="13">
        <v>6937</v>
      </c>
      <c r="BB115" s="13">
        <v>6473</v>
      </c>
      <c r="BC115" s="13">
        <v>6454</v>
      </c>
      <c r="BD115" s="13">
        <v>6471</v>
      </c>
      <c r="BE115" s="13">
        <v>6487</v>
      </c>
      <c r="BF115" s="13">
        <v>6596</v>
      </c>
      <c r="BG115" s="13">
        <v>6644</v>
      </c>
      <c r="BH115" s="13">
        <v>6914</v>
      </c>
      <c r="BI115" s="13">
        <v>7117</v>
      </c>
      <c r="BJ115" s="13">
        <v>6955</v>
      </c>
      <c r="BK115" s="13">
        <v>7007</v>
      </c>
      <c r="BL115" s="13">
        <v>7072</v>
      </c>
      <c r="BM115" s="4">
        <v>7286</v>
      </c>
      <c r="BN115" s="4">
        <v>7297</v>
      </c>
      <c r="BO115" s="4">
        <v>7302</v>
      </c>
      <c r="BP115" s="4">
        <v>7369</v>
      </c>
    </row>
    <row r="116" spans="1:68" ht="15.9" customHeight="1">
      <c r="A116" s="64" t="s">
        <v>227</v>
      </c>
      <c r="B116" s="6" t="s">
        <v>228</v>
      </c>
      <c r="C116" s="15" t="str">
        <f>_xll.RssMarket("9882","現在値")</f>
        <v/>
      </c>
      <c r="D116" s="16" t="e">
        <f t="shared" si="3"/>
        <v>#VALUE!</v>
      </c>
      <c r="E116" s="13">
        <v>1821</v>
      </c>
      <c r="F116" s="13">
        <v>1812</v>
      </c>
      <c r="G116" s="13">
        <v>1817</v>
      </c>
      <c r="H116" s="13">
        <v>1813</v>
      </c>
      <c r="I116" s="13">
        <v>1820</v>
      </c>
      <c r="J116" s="13">
        <v>1827</v>
      </c>
      <c r="K116" s="13">
        <v>1849</v>
      </c>
      <c r="L116" s="13">
        <v>1817</v>
      </c>
      <c r="M116" s="13">
        <v>1780</v>
      </c>
      <c r="N116" s="13">
        <v>1765</v>
      </c>
      <c r="O116" s="13">
        <v>1741</v>
      </c>
      <c r="P116" s="13">
        <v>1760</v>
      </c>
      <c r="Q116" s="13">
        <v>1772</v>
      </c>
      <c r="R116" s="13">
        <v>1763</v>
      </c>
      <c r="S116" s="13">
        <v>1749</v>
      </c>
      <c r="T116" s="13">
        <v>1745</v>
      </c>
      <c r="U116" s="13">
        <v>1752</v>
      </c>
      <c r="V116" s="13">
        <v>1773</v>
      </c>
      <c r="W116" s="13">
        <v>1736</v>
      </c>
      <c r="X116" s="13">
        <v>1743</v>
      </c>
      <c r="Y116" s="13">
        <v>1733</v>
      </c>
      <c r="Z116" s="13">
        <v>1727</v>
      </c>
      <c r="AA116" s="13">
        <v>1709</v>
      </c>
      <c r="AB116" s="13">
        <v>1674</v>
      </c>
      <c r="AC116" s="13">
        <v>1663</v>
      </c>
      <c r="AD116" s="13">
        <v>1652</v>
      </c>
      <c r="AE116" s="13">
        <v>1687</v>
      </c>
      <c r="AF116" s="13">
        <v>1634</v>
      </c>
      <c r="AG116" s="13">
        <v>1621</v>
      </c>
      <c r="AH116" s="13">
        <v>1655</v>
      </c>
      <c r="AI116" s="13">
        <v>1627</v>
      </c>
      <c r="AJ116" s="13">
        <v>1625</v>
      </c>
      <c r="AK116" s="13">
        <v>1616</v>
      </c>
      <c r="AL116" s="13">
        <v>1630</v>
      </c>
      <c r="AM116" s="13">
        <v>1631</v>
      </c>
      <c r="AN116" s="13">
        <v>1620</v>
      </c>
      <c r="AO116" s="13">
        <v>1634</v>
      </c>
      <c r="AP116" s="13">
        <v>1621</v>
      </c>
      <c r="AQ116" s="13">
        <v>1637</v>
      </c>
      <c r="AR116" s="13">
        <v>1595</v>
      </c>
      <c r="AS116" s="13">
        <v>1613</v>
      </c>
      <c r="AT116" s="13">
        <v>1633</v>
      </c>
      <c r="AU116" s="13">
        <v>1650</v>
      </c>
      <c r="AV116" s="13">
        <v>1497</v>
      </c>
      <c r="AW116" s="13">
        <v>1503</v>
      </c>
      <c r="AX116" s="13">
        <v>1506</v>
      </c>
      <c r="AY116" s="13">
        <v>1517</v>
      </c>
      <c r="AZ116" s="13">
        <v>1515</v>
      </c>
      <c r="BA116" s="13">
        <v>1507</v>
      </c>
      <c r="BB116" s="13">
        <v>1520</v>
      </c>
      <c r="BC116" s="13">
        <v>1533</v>
      </c>
      <c r="BD116" s="13">
        <v>1539</v>
      </c>
      <c r="BE116" s="13">
        <v>1566</v>
      </c>
      <c r="BF116" s="13">
        <v>1562</v>
      </c>
      <c r="BG116" s="13">
        <v>1561</v>
      </c>
      <c r="BH116" s="13">
        <v>1550</v>
      </c>
      <c r="BI116" s="13">
        <v>1553</v>
      </c>
      <c r="BJ116" s="13">
        <v>1562</v>
      </c>
      <c r="BK116" s="13">
        <v>1575</v>
      </c>
      <c r="BL116" s="13">
        <v>1596</v>
      </c>
      <c r="BM116" s="4">
        <v>1597</v>
      </c>
      <c r="BN116" s="4">
        <v>1627</v>
      </c>
      <c r="BO116" s="4">
        <v>1605</v>
      </c>
      <c r="BP116" s="4">
        <v>1568</v>
      </c>
    </row>
    <row r="117" spans="1:68" ht="15.9" customHeight="1">
      <c r="A117" s="64" t="s">
        <v>229</v>
      </c>
      <c r="B117" s="6" t="s">
        <v>230</v>
      </c>
      <c r="C117" s="15" t="str">
        <f>_xll.RssMarket("5838","現在値")</f>
        <v/>
      </c>
      <c r="D117" s="16" t="e">
        <f t="shared" si="3"/>
        <v>#VALUE!</v>
      </c>
      <c r="E117" s="13">
        <v>5221</v>
      </c>
      <c r="F117" s="13">
        <v>5680</v>
      </c>
      <c r="G117" s="13">
        <v>5800</v>
      </c>
      <c r="H117" s="13">
        <v>5809</v>
      </c>
      <c r="I117" s="13">
        <v>5735</v>
      </c>
      <c r="J117" s="13">
        <v>5712</v>
      </c>
      <c r="K117" s="13">
        <v>5787</v>
      </c>
      <c r="L117" s="13">
        <v>5425</v>
      </c>
      <c r="M117" s="13">
        <v>5395</v>
      </c>
      <c r="N117" s="13">
        <v>5328</v>
      </c>
      <c r="O117" s="13">
        <v>5123</v>
      </c>
      <c r="P117" s="13">
        <v>5170</v>
      </c>
      <c r="Q117" s="13">
        <v>5097</v>
      </c>
      <c r="R117" s="13">
        <v>5039</v>
      </c>
      <c r="S117" s="13">
        <v>5000</v>
      </c>
      <c r="T117" s="13">
        <v>5020</v>
      </c>
      <c r="U117" s="13">
        <v>5037</v>
      </c>
      <c r="V117" s="13">
        <v>5124</v>
      </c>
      <c r="W117" s="13">
        <v>5161</v>
      </c>
      <c r="X117" s="13">
        <v>5244</v>
      </c>
      <c r="Y117" s="13">
        <v>5260</v>
      </c>
      <c r="Z117" s="13">
        <v>5104</v>
      </c>
      <c r="AA117" s="13">
        <v>4762</v>
      </c>
      <c r="AB117" s="13">
        <v>4869</v>
      </c>
      <c r="AC117" s="13">
        <v>4950</v>
      </c>
      <c r="AD117" s="13">
        <v>4955</v>
      </c>
      <c r="AE117" s="13">
        <v>4899</v>
      </c>
      <c r="AF117" s="13">
        <v>4562</v>
      </c>
      <c r="AG117" s="13">
        <v>4498</v>
      </c>
      <c r="AH117" s="13">
        <v>4653</v>
      </c>
      <c r="AI117" s="13">
        <v>4793</v>
      </c>
      <c r="AJ117" s="13">
        <v>4798</v>
      </c>
      <c r="AK117" s="13">
        <v>5096</v>
      </c>
      <c r="AL117" s="13">
        <v>4847</v>
      </c>
      <c r="AM117" s="13">
        <v>5480</v>
      </c>
      <c r="AN117" s="13">
        <v>6480</v>
      </c>
      <c r="AO117" s="13">
        <v>6767</v>
      </c>
      <c r="AP117" s="13">
        <v>6601</v>
      </c>
      <c r="AQ117" s="13">
        <v>6000</v>
      </c>
      <c r="AR117" s="13">
        <v>6039</v>
      </c>
      <c r="AS117" s="13">
        <v>6156</v>
      </c>
      <c r="AT117" s="13">
        <v>6422</v>
      </c>
      <c r="AU117" s="13">
        <v>6267</v>
      </c>
      <c r="AV117" s="13">
        <v>6291</v>
      </c>
      <c r="AW117" s="13">
        <v>6294</v>
      </c>
      <c r="AX117" s="13">
        <v>6238</v>
      </c>
      <c r="AY117" s="13">
        <v>6305</v>
      </c>
      <c r="AZ117" s="13">
        <v>6415</v>
      </c>
      <c r="BA117" s="13">
        <v>6132</v>
      </c>
      <c r="BB117" s="13">
        <v>6156</v>
      </c>
      <c r="BC117" s="13">
        <v>6250</v>
      </c>
      <c r="BD117" s="13">
        <v>6131</v>
      </c>
      <c r="BE117" s="13">
        <v>6431</v>
      </c>
      <c r="BF117" s="13">
        <v>6549</v>
      </c>
      <c r="BG117" s="13">
        <v>6552</v>
      </c>
      <c r="BH117" s="13">
        <v>6750</v>
      </c>
      <c r="BI117" s="13">
        <v>6795</v>
      </c>
      <c r="BJ117" s="13">
        <v>6759</v>
      </c>
      <c r="BK117" s="13">
        <v>6700</v>
      </c>
      <c r="BL117" s="13">
        <v>6700</v>
      </c>
      <c r="BM117" s="4">
        <v>6700</v>
      </c>
      <c r="BN117" s="4">
        <v>6548</v>
      </c>
      <c r="BO117" s="4">
        <v>6231</v>
      </c>
      <c r="BP117" s="4">
        <v>6065</v>
      </c>
    </row>
    <row r="118" spans="1:68" ht="15.9" customHeight="1">
      <c r="A118" s="64" t="s">
        <v>231</v>
      </c>
      <c r="B118" s="6" t="s">
        <v>232</v>
      </c>
      <c r="C118" s="15" t="str">
        <f>_xll.RssMarket("5844","現在値")</f>
        <v/>
      </c>
      <c r="D118" s="16" t="e">
        <f t="shared" si="3"/>
        <v>#VALUE!</v>
      </c>
      <c r="E118" s="13">
        <v>4384</v>
      </c>
      <c r="F118" s="13">
        <v>4770</v>
      </c>
      <c r="G118" s="13">
        <v>4700</v>
      </c>
      <c r="H118" s="13">
        <v>4660</v>
      </c>
      <c r="I118" s="13">
        <v>4654</v>
      </c>
      <c r="J118" s="13">
        <v>4782</v>
      </c>
      <c r="K118" s="13">
        <v>4758</v>
      </c>
      <c r="L118" s="13">
        <v>4805</v>
      </c>
      <c r="M118" s="13">
        <v>4710</v>
      </c>
      <c r="N118" s="13">
        <v>4643</v>
      </c>
      <c r="O118" s="13">
        <v>4573</v>
      </c>
      <c r="P118" s="13">
        <v>4494</v>
      </c>
      <c r="Q118" s="13">
        <v>4511</v>
      </c>
      <c r="R118" s="13">
        <v>4477</v>
      </c>
      <c r="S118" s="13">
        <v>4532</v>
      </c>
      <c r="T118" s="13">
        <v>4540</v>
      </c>
      <c r="U118" s="13">
        <v>4628</v>
      </c>
      <c r="V118" s="13">
        <v>4821</v>
      </c>
      <c r="W118" s="13">
        <v>4726</v>
      </c>
      <c r="X118" s="13">
        <v>4535</v>
      </c>
      <c r="Y118" s="13">
        <v>4656</v>
      </c>
      <c r="Z118" s="13">
        <v>4462</v>
      </c>
      <c r="AA118" s="13">
        <v>4442</v>
      </c>
      <c r="AB118" s="13">
        <v>4494</v>
      </c>
      <c r="AC118" s="13">
        <v>4575</v>
      </c>
      <c r="AD118" s="13">
        <v>4622</v>
      </c>
      <c r="AE118" s="13">
        <v>4482</v>
      </c>
      <c r="AF118" s="13">
        <v>4347</v>
      </c>
      <c r="AG118" s="13">
        <v>4373</v>
      </c>
      <c r="AH118" s="13">
        <v>4341</v>
      </c>
      <c r="AI118" s="13">
        <v>4419</v>
      </c>
      <c r="AJ118" s="13">
        <v>4420</v>
      </c>
      <c r="AK118" s="13">
        <v>4502</v>
      </c>
      <c r="AL118" s="13">
        <v>4575</v>
      </c>
      <c r="AM118" s="13">
        <v>4479</v>
      </c>
      <c r="AN118" s="13">
        <v>4495</v>
      </c>
      <c r="AO118" s="13">
        <v>4385</v>
      </c>
      <c r="AP118" s="13">
        <v>4407</v>
      </c>
      <c r="AQ118" s="13">
        <v>4374</v>
      </c>
      <c r="AR118" s="13">
        <v>4413</v>
      </c>
      <c r="AS118" s="13">
        <v>4400</v>
      </c>
      <c r="AT118" s="13">
        <v>4484</v>
      </c>
      <c r="AU118" s="13">
        <v>4419</v>
      </c>
      <c r="AV118" s="13">
        <v>4401</v>
      </c>
      <c r="AW118" s="13">
        <v>4395</v>
      </c>
      <c r="AX118" s="13">
        <v>4499</v>
      </c>
      <c r="AY118" s="13">
        <v>4373</v>
      </c>
      <c r="AZ118" s="13">
        <v>4336</v>
      </c>
      <c r="BA118" s="13">
        <v>4352</v>
      </c>
      <c r="BB118" s="13">
        <v>4200</v>
      </c>
      <c r="BC118" s="13">
        <v>4295</v>
      </c>
      <c r="BD118" s="13">
        <v>4264</v>
      </c>
      <c r="BE118" s="13">
        <v>4258</v>
      </c>
      <c r="BF118" s="13">
        <v>4333</v>
      </c>
      <c r="BG118" s="13">
        <v>4307</v>
      </c>
      <c r="BH118" s="13">
        <v>4393</v>
      </c>
      <c r="BI118" s="13">
        <v>4421</v>
      </c>
      <c r="BJ118" s="13">
        <v>4393</v>
      </c>
      <c r="BK118" s="13">
        <v>4336</v>
      </c>
      <c r="BL118" s="13">
        <v>4373</v>
      </c>
      <c r="BM118" s="4">
        <v>4330</v>
      </c>
      <c r="BN118" s="4">
        <v>4412</v>
      </c>
      <c r="BO118" s="4">
        <v>4490</v>
      </c>
      <c r="BP118" s="4">
        <v>4410</v>
      </c>
    </row>
    <row r="119" spans="1:68" ht="15.9" customHeight="1">
      <c r="A119" s="64" t="s">
        <v>233</v>
      </c>
      <c r="B119" s="6" t="s">
        <v>234</v>
      </c>
      <c r="C119" s="15" t="str">
        <f>_xll.RssMarket("9404","現在値")</f>
        <v/>
      </c>
      <c r="D119" s="16" t="e">
        <f t="shared" si="3"/>
        <v>#VALUE!</v>
      </c>
      <c r="E119" s="13">
        <v>2933.5</v>
      </c>
      <c r="F119" s="13">
        <v>2868.5</v>
      </c>
      <c r="G119" s="13">
        <v>2880</v>
      </c>
      <c r="H119" s="13">
        <v>2875.5</v>
      </c>
      <c r="I119" s="13">
        <v>2885</v>
      </c>
      <c r="J119" s="13">
        <v>2911.5</v>
      </c>
      <c r="K119" s="13">
        <v>2921</v>
      </c>
      <c r="L119" s="13">
        <v>2896</v>
      </c>
      <c r="M119" s="13">
        <v>2860.5</v>
      </c>
      <c r="N119" s="13">
        <v>2869.5</v>
      </c>
      <c r="O119" s="13">
        <v>2821.5</v>
      </c>
      <c r="P119" s="13">
        <v>2794.5</v>
      </c>
      <c r="Q119" s="13">
        <v>2740</v>
      </c>
      <c r="R119" s="13">
        <v>2722</v>
      </c>
      <c r="S119" s="13">
        <v>2698.5</v>
      </c>
      <c r="T119" s="13">
        <v>2705.5</v>
      </c>
      <c r="U119" s="13">
        <v>2744.5</v>
      </c>
      <c r="V119" s="13">
        <v>2784</v>
      </c>
      <c r="W119" s="13">
        <v>2790.5</v>
      </c>
      <c r="X119" s="13">
        <v>2834</v>
      </c>
      <c r="Y119" s="13">
        <v>2884</v>
      </c>
      <c r="Z119" s="13">
        <v>2831.5</v>
      </c>
      <c r="AA119" s="13">
        <v>2871</v>
      </c>
      <c r="AB119" s="13">
        <v>2885.5</v>
      </c>
      <c r="AC119" s="13">
        <v>2867</v>
      </c>
      <c r="AD119" s="13">
        <v>2878.5</v>
      </c>
      <c r="AE119" s="13">
        <v>2792</v>
      </c>
      <c r="AF119" s="13">
        <v>2793</v>
      </c>
      <c r="AG119" s="13">
        <v>2798</v>
      </c>
      <c r="AH119" s="13">
        <v>2824</v>
      </c>
      <c r="AI119" s="13">
        <v>2839.5</v>
      </c>
      <c r="AJ119" s="13">
        <v>2852.5</v>
      </c>
      <c r="AK119" s="13">
        <v>2871</v>
      </c>
      <c r="AL119" s="13">
        <v>2843.5</v>
      </c>
      <c r="AM119" s="13">
        <v>2921</v>
      </c>
      <c r="AN119" s="13">
        <v>2954.5</v>
      </c>
      <c r="AO119" s="13">
        <v>2935.5</v>
      </c>
      <c r="AP119" s="13">
        <v>2942</v>
      </c>
      <c r="AQ119" s="13">
        <v>2871</v>
      </c>
      <c r="AR119" s="13">
        <v>2919.5</v>
      </c>
      <c r="AS119" s="13">
        <v>2921</v>
      </c>
      <c r="AT119" s="13">
        <v>2960.5</v>
      </c>
      <c r="AU119" s="13">
        <v>2936.5</v>
      </c>
      <c r="AV119" s="13">
        <v>2935</v>
      </c>
      <c r="AW119" s="13">
        <v>2987.5</v>
      </c>
      <c r="AX119" s="13">
        <v>2982</v>
      </c>
      <c r="AY119" s="13">
        <v>2986</v>
      </c>
      <c r="AZ119" s="13">
        <v>2976.5</v>
      </c>
      <c r="BA119" s="13">
        <v>3019</v>
      </c>
      <c r="BB119" s="13">
        <v>3031</v>
      </c>
      <c r="BC119" s="13">
        <v>2988.5</v>
      </c>
      <c r="BD119" s="13">
        <v>3004</v>
      </c>
      <c r="BE119" s="13">
        <v>3057</v>
      </c>
      <c r="BF119" s="13">
        <v>3141</v>
      </c>
      <c r="BG119" s="13">
        <v>3161</v>
      </c>
      <c r="BH119" s="13">
        <v>3189</v>
      </c>
      <c r="BI119" s="13">
        <v>3152</v>
      </c>
      <c r="BJ119" s="13">
        <v>3152</v>
      </c>
      <c r="BK119" s="13">
        <v>3142</v>
      </c>
      <c r="BL119" s="13">
        <v>3136</v>
      </c>
      <c r="BM119" s="4">
        <v>3128</v>
      </c>
      <c r="BN119" s="4">
        <v>3178</v>
      </c>
      <c r="BO119" s="4">
        <v>3184</v>
      </c>
      <c r="BP119" s="4">
        <v>3132</v>
      </c>
    </row>
    <row r="120" spans="1:68" ht="15.9" customHeight="1">
      <c r="A120" s="64" t="s">
        <v>235</v>
      </c>
      <c r="B120" s="6" t="s">
        <v>236</v>
      </c>
      <c r="C120" s="15" t="str">
        <f>_xll.RssMarket("6744","現在値")</f>
        <v/>
      </c>
      <c r="D120" s="16" t="e">
        <f t="shared" si="3"/>
        <v>#VALUE!</v>
      </c>
      <c r="E120" s="13">
        <v>4190</v>
      </c>
      <c r="F120" s="13">
        <v>4350</v>
      </c>
      <c r="G120" s="13">
        <v>4250</v>
      </c>
      <c r="H120" s="13">
        <v>4235</v>
      </c>
      <c r="I120" s="13">
        <v>4300</v>
      </c>
      <c r="J120" s="13">
        <v>4315</v>
      </c>
      <c r="K120" s="13">
        <v>4295</v>
      </c>
      <c r="L120" s="13">
        <v>4415</v>
      </c>
      <c r="M120" s="13">
        <v>4370</v>
      </c>
      <c r="N120" s="13">
        <v>4175</v>
      </c>
      <c r="O120" s="13">
        <v>4120</v>
      </c>
      <c r="P120" s="13">
        <v>4090</v>
      </c>
      <c r="Q120" s="13">
        <v>4150</v>
      </c>
      <c r="R120" s="13">
        <v>4130</v>
      </c>
      <c r="S120" s="13">
        <v>4135</v>
      </c>
      <c r="T120" s="13">
        <v>4175</v>
      </c>
      <c r="U120" s="13">
        <v>4165</v>
      </c>
      <c r="V120" s="13">
        <v>4205</v>
      </c>
      <c r="W120" s="13">
        <v>4235</v>
      </c>
      <c r="X120" s="13">
        <v>4175</v>
      </c>
      <c r="Y120" s="13">
        <v>4185</v>
      </c>
      <c r="Z120" s="13">
        <v>4250</v>
      </c>
      <c r="AA120" s="13">
        <v>4210</v>
      </c>
      <c r="AB120" s="13">
        <v>4290</v>
      </c>
      <c r="AC120" s="13">
        <v>4365</v>
      </c>
      <c r="AD120" s="13">
        <v>4500</v>
      </c>
      <c r="AE120" s="13">
        <v>4520</v>
      </c>
      <c r="AF120" s="13">
        <v>4540</v>
      </c>
      <c r="AG120" s="13">
        <v>4645</v>
      </c>
      <c r="AH120" s="13">
        <v>4690</v>
      </c>
      <c r="AI120" s="13">
        <v>4930</v>
      </c>
      <c r="AJ120" s="13">
        <v>4805</v>
      </c>
      <c r="AK120" s="13">
        <v>4780</v>
      </c>
      <c r="AL120" s="13">
        <v>4735</v>
      </c>
      <c r="AM120" s="13">
        <v>4645</v>
      </c>
      <c r="AN120" s="13">
        <v>4670</v>
      </c>
      <c r="AO120" s="13">
        <v>4590</v>
      </c>
      <c r="AP120" s="13">
        <v>4660</v>
      </c>
      <c r="AQ120" s="13">
        <v>4710</v>
      </c>
      <c r="AR120" s="13">
        <v>4665</v>
      </c>
      <c r="AS120" s="13">
        <v>4520</v>
      </c>
      <c r="AT120" s="13">
        <v>4300</v>
      </c>
      <c r="AU120" s="13">
        <v>4430</v>
      </c>
      <c r="AV120" s="13">
        <v>4350</v>
      </c>
      <c r="AW120" s="13">
        <v>4355</v>
      </c>
      <c r="AX120" s="13">
        <v>4310</v>
      </c>
      <c r="AY120" s="13">
        <v>4220</v>
      </c>
      <c r="AZ120" s="13">
        <v>4110</v>
      </c>
      <c r="BA120" s="13">
        <v>4025</v>
      </c>
      <c r="BB120" s="13">
        <v>3975</v>
      </c>
      <c r="BC120" s="13">
        <v>3905</v>
      </c>
      <c r="BD120" s="13">
        <v>3965</v>
      </c>
      <c r="BE120" s="13">
        <v>4025</v>
      </c>
      <c r="BF120" s="13">
        <v>4040</v>
      </c>
      <c r="BG120" s="13">
        <v>4065</v>
      </c>
      <c r="BH120" s="13">
        <v>4110</v>
      </c>
      <c r="BI120" s="13">
        <v>4215</v>
      </c>
      <c r="BJ120" s="13">
        <v>4285</v>
      </c>
      <c r="BK120" s="13">
        <v>4365</v>
      </c>
      <c r="BL120" s="13">
        <v>4385</v>
      </c>
      <c r="BM120" s="4">
        <v>4410</v>
      </c>
      <c r="BN120" s="4">
        <v>4395</v>
      </c>
      <c r="BO120" s="4">
        <v>4410</v>
      </c>
      <c r="BP120" s="4">
        <v>4295</v>
      </c>
    </row>
    <row r="121" spans="1:68" ht="15.9" customHeight="1">
      <c r="A121" s="64" t="s">
        <v>237</v>
      </c>
      <c r="B121" s="6" t="s">
        <v>238</v>
      </c>
      <c r="C121" s="15" t="str">
        <f>_xll.RssMarket("7685","現在値")</f>
        <v/>
      </c>
      <c r="D121" s="16" t="e">
        <f t="shared" si="3"/>
        <v>#VALUE!</v>
      </c>
      <c r="E121" s="13">
        <v>3400</v>
      </c>
      <c r="F121" s="13">
        <v>3585</v>
      </c>
      <c r="G121" s="13">
        <v>3520</v>
      </c>
      <c r="H121" s="13">
        <v>3575</v>
      </c>
      <c r="I121" s="13">
        <v>3505</v>
      </c>
      <c r="J121" s="13">
        <v>3565</v>
      </c>
      <c r="K121" s="13">
        <v>3660</v>
      </c>
      <c r="L121" s="13">
        <v>3475</v>
      </c>
      <c r="M121" s="13">
        <v>3565</v>
      </c>
      <c r="N121" s="13">
        <v>3425</v>
      </c>
      <c r="O121" s="13">
        <v>3285</v>
      </c>
      <c r="P121" s="13">
        <v>3295</v>
      </c>
      <c r="Q121" s="13">
        <v>3325</v>
      </c>
      <c r="R121" s="13">
        <v>3380</v>
      </c>
      <c r="S121" s="13">
        <v>3480</v>
      </c>
      <c r="T121" s="13">
        <v>3575</v>
      </c>
      <c r="U121" s="13">
        <v>3630</v>
      </c>
      <c r="V121" s="13">
        <v>3465</v>
      </c>
      <c r="W121" s="13">
        <v>3450</v>
      </c>
      <c r="X121" s="13">
        <v>3595</v>
      </c>
      <c r="Y121" s="13">
        <v>3630</v>
      </c>
      <c r="Z121" s="13">
        <v>3755</v>
      </c>
      <c r="AA121" s="13">
        <v>3835</v>
      </c>
      <c r="AB121" s="13">
        <v>3820</v>
      </c>
      <c r="AC121" s="13">
        <v>3585</v>
      </c>
      <c r="AD121" s="13">
        <v>3740</v>
      </c>
      <c r="AE121" s="13">
        <v>3690</v>
      </c>
      <c r="AF121" s="13">
        <v>3855</v>
      </c>
      <c r="AG121" s="13">
        <v>3920</v>
      </c>
      <c r="AH121" s="13">
        <v>4065</v>
      </c>
      <c r="AI121" s="13">
        <v>4085</v>
      </c>
      <c r="AJ121" s="13">
        <v>4015</v>
      </c>
      <c r="AK121" s="13">
        <v>3930</v>
      </c>
      <c r="AL121" s="13">
        <v>3825</v>
      </c>
      <c r="AM121" s="13">
        <v>3790</v>
      </c>
      <c r="AN121" s="13">
        <v>3665</v>
      </c>
      <c r="AO121" s="13">
        <v>3815</v>
      </c>
      <c r="AP121" s="13">
        <v>3765</v>
      </c>
      <c r="AQ121" s="13">
        <v>3345</v>
      </c>
      <c r="AR121" s="13">
        <v>3450</v>
      </c>
      <c r="AS121" s="13">
        <v>3445</v>
      </c>
      <c r="AT121" s="13">
        <v>3325</v>
      </c>
      <c r="AU121" s="13">
        <v>3175</v>
      </c>
      <c r="AV121" s="13">
        <v>3340</v>
      </c>
      <c r="AW121" s="13">
        <v>3280</v>
      </c>
      <c r="AX121" s="13">
        <v>3205</v>
      </c>
      <c r="AY121" s="13">
        <v>3160</v>
      </c>
      <c r="AZ121" s="13">
        <v>3350</v>
      </c>
      <c r="BA121" s="13">
        <v>3185</v>
      </c>
      <c r="BB121" s="13">
        <v>3170</v>
      </c>
      <c r="BC121" s="13">
        <v>3110</v>
      </c>
      <c r="BD121" s="13">
        <v>3310</v>
      </c>
      <c r="BE121" s="13">
        <v>3300</v>
      </c>
      <c r="BF121" s="13">
        <v>3490</v>
      </c>
      <c r="BG121" s="13">
        <v>3460</v>
      </c>
      <c r="BH121" s="13">
        <v>3540</v>
      </c>
      <c r="BI121" s="13">
        <v>3645</v>
      </c>
      <c r="BJ121" s="13">
        <v>3645</v>
      </c>
      <c r="BK121" s="13">
        <v>3530</v>
      </c>
      <c r="BL121" s="13">
        <v>3525</v>
      </c>
      <c r="BM121" s="4">
        <v>3375</v>
      </c>
      <c r="BN121" s="4">
        <v>3475</v>
      </c>
      <c r="BO121" s="4">
        <v>3495</v>
      </c>
      <c r="BP121" s="4">
        <v>3355</v>
      </c>
    </row>
    <row r="122" spans="1:68" ht="15.9" customHeight="1">
      <c r="A122" s="64" t="s">
        <v>239</v>
      </c>
      <c r="B122" s="6" t="s">
        <v>240</v>
      </c>
      <c r="C122" s="15" t="str">
        <f>_xll.RssMarket("8334","現在値")</f>
        <v/>
      </c>
      <c r="D122" s="16" t="e">
        <f t="shared" si="3"/>
        <v>#VALUE!</v>
      </c>
      <c r="E122" s="13">
        <v>2436.5</v>
      </c>
      <c r="F122" s="13">
        <v>2621</v>
      </c>
      <c r="G122" s="13">
        <v>2564.5</v>
      </c>
      <c r="H122" s="13">
        <v>2513.5</v>
      </c>
      <c r="I122" s="13">
        <v>2492.5</v>
      </c>
      <c r="J122" s="13">
        <v>2491</v>
      </c>
      <c r="K122" s="13">
        <v>2506.5</v>
      </c>
      <c r="L122" s="13">
        <v>2481.5</v>
      </c>
      <c r="M122" s="13">
        <v>2419</v>
      </c>
      <c r="N122" s="13">
        <v>2405.5</v>
      </c>
      <c r="O122" s="13">
        <v>2358.5</v>
      </c>
      <c r="P122" s="13">
        <v>2342.5</v>
      </c>
      <c r="Q122" s="13">
        <v>2341.5</v>
      </c>
      <c r="R122" s="13">
        <v>2334</v>
      </c>
      <c r="S122" s="13">
        <v>2318.5</v>
      </c>
      <c r="T122" s="13">
        <v>2290.5</v>
      </c>
      <c r="U122" s="13">
        <v>2307</v>
      </c>
      <c r="V122" s="13">
        <v>2335</v>
      </c>
      <c r="W122" s="13">
        <v>2316.5</v>
      </c>
      <c r="X122" s="13">
        <v>2307</v>
      </c>
      <c r="Y122" s="13">
        <v>2333</v>
      </c>
      <c r="Z122" s="13">
        <v>2358</v>
      </c>
      <c r="AA122" s="13">
        <v>2343.5</v>
      </c>
      <c r="AB122" s="13">
        <v>2299.5</v>
      </c>
      <c r="AC122" s="13">
        <v>2313</v>
      </c>
      <c r="AD122" s="13">
        <v>2257</v>
      </c>
      <c r="AE122" s="13">
        <v>2262.5</v>
      </c>
      <c r="AF122" s="13">
        <v>2225.5</v>
      </c>
      <c r="AG122" s="13">
        <v>2199</v>
      </c>
      <c r="AH122" s="13">
        <v>2166.5</v>
      </c>
      <c r="AI122" s="13">
        <v>2169</v>
      </c>
      <c r="AJ122" s="13">
        <v>2260</v>
      </c>
      <c r="AK122" s="13">
        <v>2234</v>
      </c>
      <c r="AL122" s="13">
        <v>2268</v>
      </c>
      <c r="AM122" s="13">
        <v>2305</v>
      </c>
      <c r="AN122" s="13">
        <v>2316</v>
      </c>
      <c r="AO122" s="13">
        <v>2346</v>
      </c>
      <c r="AP122" s="13">
        <v>2309</v>
      </c>
      <c r="AQ122" s="13">
        <v>2280</v>
      </c>
      <c r="AR122" s="13">
        <v>2238</v>
      </c>
      <c r="AS122" s="13">
        <v>2232</v>
      </c>
      <c r="AT122" s="13">
        <v>2179</v>
      </c>
      <c r="AU122" s="13">
        <v>2191</v>
      </c>
      <c r="AV122" s="13">
        <v>2171.5</v>
      </c>
      <c r="AW122" s="13">
        <v>2218.5</v>
      </c>
      <c r="AX122" s="13">
        <v>2164</v>
      </c>
      <c r="AY122" s="13">
        <v>2223</v>
      </c>
      <c r="AZ122" s="13">
        <v>2157</v>
      </c>
      <c r="BA122" s="13">
        <v>2159.5</v>
      </c>
      <c r="BB122" s="13">
        <v>2206</v>
      </c>
      <c r="BC122" s="13">
        <v>2026.5</v>
      </c>
      <c r="BD122" s="13">
        <v>2030</v>
      </c>
      <c r="BE122" s="13">
        <v>2042</v>
      </c>
      <c r="BF122" s="13">
        <v>2058.5</v>
      </c>
      <c r="BG122" s="13">
        <v>2118</v>
      </c>
      <c r="BH122" s="13">
        <v>2180</v>
      </c>
      <c r="BI122" s="13">
        <v>2214</v>
      </c>
      <c r="BJ122" s="13">
        <v>2264.5</v>
      </c>
      <c r="BK122" s="13">
        <v>2257</v>
      </c>
      <c r="BL122" s="13">
        <v>2239.5</v>
      </c>
      <c r="BM122" s="4">
        <v>2273.5</v>
      </c>
      <c r="BN122" s="4">
        <v>2269</v>
      </c>
      <c r="BO122" s="4">
        <v>2278</v>
      </c>
      <c r="BP122" s="4">
        <v>2285.5</v>
      </c>
    </row>
    <row r="123" spans="1:68" ht="15.9" customHeight="1">
      <c r="A123" s="64" t="s">
        <v>241</v>
      </c>
      <c r="B123" s="6" t="s">
        <v>242</v>
      </c>
      <c r="C123" s="15" t="str">
        <f>_xll.RssMarket("8359","現在値")</f>
        <v/>
      </c>
      <c r="D123" s="16" t="e">
        <f t="shared" si="3"/>
        <v>#VALUE!</v>
      </c>
      <c r="E123" s="13">
        <v>2456.5</v>
      </c>
      <c r="F123" s="13">
        <v>2638</v>
      </c>
      <c r="G123" s="13">
        <v>2590</v>
      </c>
      <c r="H123" s="13">
        <v>2565</v>
      </c>
      <c r="I123" s="13">
        <v>2551</v>
      </c>
      <c r="J123" s="13">
        <v>2579.5</v>
      </c>
      <c r="K123" s="13">
        <v>2582</v>
      </c>
      <c r="L123" s="13">
        <v>2550</v>
      </c>
      <c r="M123" s="13">
        <v>2529.5</v>
      </c>
      <c r="N123" s="13">
        <v>2468</v>
      </c>
      <c r="O123" s="13">
        <v>2412.5</v>
      </c>
      <c r="P123" s="13">
        <v>2388.5</v>
      </c>
      <c r="Q123" s="13">
        <v>2387</v>
      </c>
      <c r="R123" s="13">
        <v>2355.5</v>
      </c>
      <c r="S123" s="13">
        <v>2354.5</v>
      </c>
      <c r="T123" s="13">
        <v>2392.5</v>
      </c>
      <c r="U123" s="13">
        <v>2406.5</v>
      </c>
      <c r="V123" s="13">
        <v>2347</v>
      </c>
      <c r="W123" s="13">
        <v>2287</v>
      </c>
      <c r="X123" s="13">
        <v>2346</v>
      </c>
      <c r="Y123" s="13">
        <v>2342.5</v>
      </c>
      <c r="Z123" s="13">
        <v>2304.5</v>
      </c>
      <c r="AA123" s="13">
        <v>2331</v>
      </c>
      <c r="AB123" s="13">
        <v>2353.5</v>
      </c>
      <c r="AC123" s="13">
        <v>2380.5</v>
      </c>
      <c r="AD123" s="13">
        <v>2343.5</v>
      </c>
      <c r="AE123" s="13">
        <v>2311.5</v>
      </c>
      <c r="AF123" s="13">
        <v>2314.5</v>
      </c>
      <c r="AG123" s="13">
        <v>2334</v>
      </c>
      <c r="AH123" s="13">
        <v>2323.5</v>
      </c>
      <c r="AI123" s="13">
        <v>2292</v>
      </c>
      <c r="AJ123" s="13">
        <v>2295.5</v>
      </c>
      <c r="AK123" s="13">
        <v>2346</v>
      </c>
      <c r="AL123" s="13">
        <v>2335</v>
      </c>
      <c r="AM123" s="13">
        <v>2350</v>
      </c>
      <c r="AN123" s="13">
        <v>2300.5</v>
      </c>
      <c r="AO123" s="13">
        <v>2270</v>
      </c>
      <c r="AP123" s="13">
        <v>2215.5</v>
      </c>
      <c r="AQ123" s="13">
        <v>2388</v>
      </c>
      <c r="AR123" s="13">
        <v>2325</v>
      </c>
      <c r="AS123" s="13">
        <v>2357</v>
      </c>
      <c r="AT123" s="13">
        <v>2338.5</v>
      </c>
      <c r="AU123" s="13">
        <v>2295.5</v>
      </c>
      <c r="AV123" s="13">
        <v>2201.5</v>
      </c>
      <c r="AW123" s="13">
        <v>2307.5</v>
      </c>
      <c r="AX123" s="13">
        <v>2094.5</v>
      </c>
      <c r="AY123" s="13">
        <v>2121.5</v>
      </c>
      <c r="AZ123" s="13">
        <v>2168</v>
      </c>
      <c r="BA123" s="13">
        <v>2025.5</v>
      </c>
      <c r="BB123" s="13">
        <v>2027.5</v>
      </c>
      <c r="BC123" s="13">
        <v>2026.5</v>
      </c>
      <c r="BD123" s="13">
        <v>2012</v>
      </c>
      <c r="BE123" s="13">
        <v>2035.5</v>
      </c>
      <c r="BF123" s="13">
        <v>2080</v>
      </c>
      <c r="BG123" s="13">
        <v>2104</v>
      </c>
      <c r="BH123" s="13">
        <v>2124.5</v>
      </c>
      <c r="BI123" s="13">
        <v>2103</v>
      </c>
      <c r="BJ123" s="13">
        <v>2067.5</v>
      </c>
      <c r="BK123" s="13">
        <v>2089</v>
      </c>
      <c r="BL123" s="13">
        <v>2105.5</v>
      </c>
      <c r="BM123" s="4">
        <v>2112.5</v>
      </c>
      <c r="BN123" s="4">
        <v>2131</v>
      </c>
      <c r="BO123" s="4">
        <v>2079</v>
      </c>
      <c r="BP123" s="4">
        <v>2058.5</v>
      </c>
    </row>
    <row r="124" spans="1:68" ht="15.9" customHeight="1">
      <c r="A124" s="64" t="s">
        <v>243</v>
      </c>
      <c r="B124" s="6" t="s">
        <v>244</v>
      </c>
      <c r="C124" s="15" t="str">
        <f>_xll.RssMarket("8801","現在値")</f>
        <v/>
      </c>
      <c r="D124" s="16" t="e">
        <f t="shared" si="3"/>
        <v>#VALUE!</v>
      </c>
      <c r="E124" s="13">
        <v>1537</v>
      </c>
      <c r="F124" s="13">
        <v>1554</v>
      </c>
      <c r="G124" s="13">
        <v>1543</v>
      </c>
      <c r="H124" s="13">
        <v>1517</v>
      </c>
      <c r="I124" s="13">
        <v>1511</v>
      </c>
      <c r="J124" s="13">
        <v>1522</v>
      </c>
      <c r="K124" s="13">
        <v>1544.5</v>
      </c>
      <c r="L124" s="13">
        <v>1555.5</v>
      </c>
      <c r="M124" s="13">
        <v>1540</v>
      </c>
      <c r="N124" s="13">
        <v>1512</v>
      </c>
      <c r="O124" s="13">
        <v>1479</v>
      </c>
      <c r="P124" s="13">
        <v>1499</v>
      </c>
      <c r="Q124" s="13">
        <v>1520.5</v>
      </c>
      <c r="R124" s="13">
        <v>1480</v>
      </c>
      <c r="S124" s="13">
        <v>1475</v>
      </c>
      <c r="T124" s="13">
        <v>1464</v>
      </c>
      <c r="U124" s="13">
        <v>1448</v>
      </c>
      <c r="V124" s="13">
        <v>1478.5</v>
      </c>
      <c r="W124" s="13">
        <v>1509.5</v>
      </c>
      <c r="X124" s="13">
        <v>1516.5</v>
      </c>
      <c r="Y124" s="13">
        <v>1530</v>
      </c>
      <c r="Z124" s="13">
        <v>1558</v>
      </c>
      <c r="AA124" s="13">
        <v>1538</v>
      </c>
      <c r="AB124" s="13">
        <v>1546.5</v>
      </c>
      <c r="AC124" s="13">
        <v>1462.5</v>
      </c>
      <c r="AD124" s="13">
        <v>1495</v>
      </c>
      <c r="AE124" s="13">
        <v>1467.5</v>
      </c>
      <c r="AF124" s="13">
        <v>1478.5</v>
      </c>
      <c r="AG124" s="13">
        <v>1510.5</v>
      </c>
      <c r="AH124" s="13">
        <v>1478.5</v>
      </c>
      <c r="AI124" s="13">
        <v>1530.5</v>
      </c>
      <c r="AJ124" s="13">
        <v>1505</v>
      </c>
      <c r="AK124" s="13">
        <v>1532</v>
      </c>
      <c r="AL124" s="13">
        <v>1523</v>
      </c>
      <c r="AM124" s="13">
        <v>1480</v>
      </c>
      <c r="AN124" s="13">
        <v>1520</v>
      </c>
      <c r="AO124" s="13">
        <v>1508</v>
      </c>
      <c r="AP124" s="13">
        <v>1534</v>
      </c>
      <c r="AQ124" s="13">
        <v>1498</v>
      </c>
      <c r="AR124" s="13">
        <v>1539.5</v>
      </c>
      <c r="AS124" s="13">
        <v>1528</v>
      </c>
      <c r="AT124" s="13">
        <v>1697.5</v>
      </c>
      <c r="AU124" s="13">
        <v>1674.5</v>
      </c>
      <c r="AV124" s="13">
        <v>1670.5</v>
      </c>
      <c r="AW124" s="13">
        <v>1656.5</v>
      </c>
      <c r="AX124" s="13">
        <v>1699</v>
      </c>
      <c r="AY124" s="13">
        <v>1693</v>
      </c>
      <c r="AZ124" s="13">
        <v>1704.5</v>
      </c>
      <c r="BA124" s="13">
        <v>1711</v>
      </c>
      <c r="BB124" s="13">
        <v>1701</v>
      </c>
      <c r="BC124" s="13">
        <v>1704</v>
      </c>
      <c r="BD124" s="13">
        <v>1734</v>
      </c>
      <c r="BE124" s="13">
        <v>1719</v>
      </c>
      <c r="BF124" s="13">
        <v>1749</v>
      </c>
      <c r="BG124" s="13">
        <v>1753</v>
      </c>
      <c r="BH124" s="13">
        <v>1731</v>
      </c>
      <c r="BI124" s="13">
        <v>1759</v>
      </c>
      <c r="BJ124" s="13">
        <v>1778.5</v>
      </c>
      <c r="BK124" s="13">
        <v>1787</v>
      </c>
      <c r="BL124" s="13">
        <v>1727.5</v>
      </c>
      <c r="BM124" s="4">
        <v>1730</v>
      </c>
      <c r="BN124" s="4">
        <v>1720</v>
      </c>
      <c r="BO124" s="4">
        <v>1770</v>
      </c>
      <c r="BP124" s="4">
        <v>1672</v>
      </c>
    </row>
    <row r="125" spans="1:68" ht="15.9" customHeight="1">
      <c r="A125" s="64" t="s">
        <v>245</v>
      </c>
      <c r="B125" s="6" t="s">
        <v>246</v>
      </c>
      <c r="C125" s="15" t="str">
        <f>_xll.RssMarket("8934","現在値")</f>
        <v/>
      </c>
      <c r="D125" s="16" t="e">
        <f t="shared" si="3"/>
        <v>#VALUE!</v>
      </c>
      <c r="E125" s="13">
        <v>2501</v>
      </c>
      <c r="F125" s="13">
        <v>2533</v>
      </c>
      <c r="G125" s="13">
        <v>2498</v>
      </c>
      <c r="H125" s="13">
        <v>2469</v>
      </c>
      <c r="I125" s="13">
        <v>2499</v>
      </c>
      <c r="J125" s="13">
        <v>2504</v>
      </c>
      <c r="K125" s="13">
        <v>2537</v>
      </c>
      <c r="L125" s="13">
        <v>2500</v>
      </c>
      <c r="M125" s="13">
        <v>2453</v>
      </c>
      <c r="N125" s="13">
        <v>2426</v>
      </c>
      <c r="O125" s="13">
        <v>2387</v>
      </c>
      <c r="P125" s="13">
        <v>2429</v>
      </c>
      <c r="Q125" s="13">
        <v>2451</v>
      </c>
      <c r="R125" s="13">
        <v>2388</v>
      </c>
      <c r="S125" s="13">
        <v>2365</v>
      </c>
      <c r="T125" s="13">
        <v>2339</v>
      </c>
      <c r="U125" s="13">
        <v>2380</v>
      </c>
      <c r="V125" s="13">
        <v>2359</v>
      </c>
      <c r="W125" s="13">
        <v>2361</v>
      </c>
      <c r="X125" s="13">
        <v>2380</v>
      </c>
      <c r="Y125" s="13">
        <v>2360</v>
      </c>
      <c r="Z125" s="13">
        <v>2401</v>
      </c>
      <c r="AA125" s="13">
        <v>2321</v>
      </c>
      <c r="AB125" s="13">
        <v>2324</v>
      </c>
      <c r="AC125" s="13">
        <v>2276</v>
      </c>
      <c r="AD125" s="13">
        <v>2274</v>
      </c>
      <c r="AE125" s="13">
        <v>2266</v>
      </c>
      <c r="AF125" s="13">
        <v>2373</v>
      </c>
      <c r="AG125" s="13">
        <v>2360</v>
      </c>
      <c r="AH125" s="13">
        <v>2342</v>
      </c>
      <c r="AI125" s="13">
        <v>2359</v>
      </c>
      <c r="AJ125" s="13">
        <v>2339</v>
      </c>
      <c r="AK125" s="13">
        <v>2404</v>
      </c>
      <c r="AL125" s="13">
        <v>2343</v>
      </c>
      <c r="AM125" s="13">
        <v>2435</v>
      </c>
      <c r="AN125" s="13">
        <v>2402</v>
      </c>
      <c r="AO125" s="13">
        <v>2467</v>
      </c>
      <c r="AP125" s="13">
        <v>2445</v>
      </c>
      <c r="AQ125" s="13">
        <v>2443</v>
      </c>
      <c r="AR125" s="13">
        <v>2539</v>
      </c>
      <c r="AS125" s="13">
        <v>2605</v>
      </c>
      <c r="AT125" s="13">
        <v>2626</v>
      </c>
      <c r="AU125" s="13">
        <v>2648</v>
      </c>
      <c r="AV125" s="13">
        <v>2685</v>
      </c>
      <c r="AW125" s="13">
        <v>2693</v>
      </c>
      <c r="AX125" s="13">
        <v>2649</v>
      </c>
      <c r="AY125" s="13">
        <v>2643</v>
      </c>
      <c r="AZ125" s="13">
        <v>2687</v>
      </c>
      <c r="BA125" s="13">
        <v>2711</v>
      </c>
      <c r="BB125" s="13">
        <v>2739</v>
      </c>
      <c r="BC125" s="13">
        <v>2769</v>
      </c>
      <c r="BD125" s="13">
        <v>2785</v>
      </c>
      <c r="BE125" s="13">
        <v>2801</v>
      </c>
      <c r="BF125" s="13">
        <v>2825</v>
      </c>
      <c r="BG125" s="13">
        <v>2818</v>
      </c>
      <c r="BH125" s="13">
        <v>2855</v>
      </c>
      <c r="BI125" s="13">
        <v>2812</v>
      </c>
      <c r="BJ125" s="13">
        <v>2777</v>
      </c>
      <c r="BK125" s="13">
        <v>2743</v>
      </c>
      <c r="BL125" s="13">
        <v>2701</v>
      </c>
      <c r="BM125" s="4">
        <v>2691</v>
      </c>
      <c r="BN125" s="4">
        <v>2685</v>
      </c>
      <c r="BO125" s="4">
        <v>2686</v>
      </c>
      <c r="BP125" s="4">
        <v>2695</v>
      </c>
    </row>
    <row r="126" spans="1:68" ht="15.9" customHeight="1">
      <c r="A126" s="64" t="s">
        <v>247</v>
      </c>
      <c r="B126" s="6" t="s">
        <v>248</v>
      </c>
      <c r="C126" s="15" t="str">
        <f>_xll.RssMarket("9416","現在値")</f>
        <v/>
      </c>
      <c r="D126" s="16" t="e">
        <f t="shared" si="3"/>
        <v>#VALUE!</v>
      </c>
      <c r="E126" s="13">
        <v>998</v>
      </c>
      <c r="F126" s="13">
        <v>1014</v>
      </c>
      <c r="G126" s="13">
        <v>1016</v>
      </c>
      <c r="H126" s="13">
        <v>1014</v>
      </c>
      <c r="I126" s="13">
        <v>1017</v>
      </c>
      <c r="J126" s="13">
        <v>1009</v>
      </c>
      <c r="K126" s="13">
        <v>1004</v>
      </c>
      <c r="L126" s="13">
        <v>1010</v>
      </c>
      <c r="M126" s="13">
        <v>1001</v>
      </c>
      <c r="N126" s="13">
        <v>983</v>
      </c>
      <c r="O126" s="13">
        <v>964</v>
      </c>
      <c r="P126" s="13">
        <v>969</v>
      </c>
      <c r="Q126" s="13">
        <v>975</v>
      </c>
      <c r="R126" s="13">
        <v>986</v>
      </c>
      <c r="S126" s="13">
        <v>975</v>
      </c>
      <c r="T126" s="13">
        <v>978</v>
      </c>
      <c r="U126" s="13">
        <v>985</v>
      </c>
      <c r="V126" s="13">
        <v>1018</v>
      </c>
      <c r="W126" s="13">
        <v>1030</v>
      </c>
      <c r="X126" s="13">
        <v>1015</v>
      </c>
      <c r="Y126" s="13">
        <v>1018</v>
      </c>
      <c r="Z126" s="13">
        <v>1020</v>
      </c>
      <c r="AA126" s="13">
        <v>1006</v>
      </c>
      <c r="AB126" s="13">
        <v>1009</v>
      </c>
      <c r="AC126" s="13">
        <v>1031</v>
      </c>
      <c r="AD126" s="13">
        <v>1024</v>
      </c>
      <c r="AE126" s="13">
        <v>1005</v>
      </c>
      <c r="AF126" s="13">
        <v>1016</v>
      </c>
      <c r="AG126" s="13">
        <v>1023</v>
      </c>
      <c r="AH126" s="13">
        <v>1027</v>
      </c>
      <c r="AI126" s="13">
        <v>1067</v>
      </c>
      <c r="AJ126" s="13">
        <v>1057</v>
      </c>
      <c r="AK126" s="13">
        <v>1058</v>
      </c>
      <c r="AL126" s="13">
        <v>1099</v>
      </c>
      <c r="AM126" s="13">
        <v>1018</v>
      </c>
      <c r="AN126" s="13">
        <v>1022</v>
      </c>
      <c r="AO126" s="13">
        <v>1026</v>
      </c>
      <c r="AP126" s="13">
        <v>1004</v>
      </c>
      <c r="AQ126" s="13">
        <v>1039</v>
      </c>
      <c r="AR126" s="13">
        <v>1105</v>
      </c>
      <c r="AS126" s="13">
        <v>1089</v>
      </c>
      <c r="AT126" s="13">
        <v>1098</v>
      </c>
      <c r="AU126" s="13">
        <v>1109</v>
      </c>
      <c r="AV126" s="13">
        <v>1115</v>
      </c>
      <c r="AW126" s="13">
        <v>1108</v>
      </c>
      <c r="AX126" s="13">
        <v>1095</v>
      </c>
      <c r="AY126" s="13">
        <v>1093</v>
      </c>
      <c r="AZ126" s="13">
        <v>1106</v>
      </c>
      <c r="BA126" s="13">
        <v>1091</v>
      </c>
      <c r="BB126" s="13">
        <v>1084</v>
      </c>
      <c r="BC126" s="13">
        <v>1105</v>
      </c>
      <c r="BD126" s="13">
        <v>1114</v>
      </c>
      <c r="BE126" s="13">
        <v>1142</v>
      </c>
      <c r="BF126" s="13">
        <v>1161</v>
      </c>
      <c r="BG126" s="13">
        <v>1184</v>
      </c>
      <c r="BH126" s="13">
        <v>1190</v>
      </c>
      <c r="BI126" s="13">
        <v>1206</v>
      </c>
      <c r="BJ126" s="13">
        <v>1187</v>
      </c>
      <c r="BK126" s="13">
        <v>1196</v>
      </c>
      <c r="BL126" s="13">
        <v>1205</v>
      </c>
      <c r="BM126" s="4">
        <v>1196</v>
      </c>
      <c r="BN126" s="4">
        <v>1209</v>
      </c>
      <c r="BO126" s="4">
        <v>1182</v>
      </c>
      <c r="BP126" s="4">
        <v>1169</v>
      </c>
    </row>
    <row r="127" spans="1:68" ht="15.9" customHeight="1">
      <c r="A127" s="64" t="s">
        <v>249</v>
      </c>
      <c r="B127" s="6" t="s">
        <v>250</v>
      </c>
      <c r="C127" s="15" t="str">
        <f>_xll.RssMarket("9532","現在値")</f>
        <v/>
      </c>
      <c r="D127" s="16" t="e">
        <f t="shared" si="3"/>
        <v>#VALUE!</v>
      </c>
      <c r="E127" s="13">
        <v>5367</v>
      </c>
      <c r="F127" s="13">
        <v>5392</v>
      </c>
      <c r="G127" s="13">
        <v>5382</v>
      </c>
      <c r="H127" s="13">
        <v>5299</v>
      </c>
      <c r="I127" s="13">
        <v>5363</v>
      </c>
      <c r="J127" s="13">
        <v>5417</v>
      </c>
      <c r="K127" s="13">
        <v>5493</v>
      </c>
      <c r="L127" s="13">
        <v>5515</v>
      </c>
      <c r="M127" s="13">
        <v>5363</v>
      </c>
      <c r="N127" s="13">
        <v>5334</v>
      </c>
      <c r="O127" s="13">
        <v>5298</v>
      </c>
      <c r="P127" s="13">
        <v>5456</v>
      </c>
      <c r="Q127" s="13">
        <v>5463</v>
      </c>
      <c r="R127" s="13">
        <v>5378</v>
      </c>
      <c r="S127" s="13">
        <v>5359</v>
      </c>
      <c r="T127" s="13">
        <v>5412</v>
      </c>
      <c r="U127" s="13">
        <v>5438</v>
      </c>
      <c r="V127" s="13">
        <v>5451</v>
      </c>
      <c r="W127" s="13">
        <v>5410</v>
      </c>
      <c r="X127" s="13">
        <v>5446</v>
      </c>
      <c r="Y127" s="13">
        <v>5481</v>
      </c>
      <c r="Z127" s="13">
        <v>5615</v>
      </c>
      <c r="AA127" s="13">
        <v>5672</v>
      </c>
      <c r="AB127" s="13">
        <v>5517</v>
      </c>
      <c r="AC127" s="13">
        <v>5516</v>
      </c>
      <c r="AD127" s="13">
        <v>5489</v>
      </c>
      <c r="AE127" s="13">
        <v>5439</v>
      </c>
      <c r="AF127" s="13">
        <v>5569</v>
      </c>
      <c r="AG127" s="13">
        <v>5399</v>
      </c>
      <c r="AH127" s="13">
        <v>5340</v>
      </c>
      <c r="AI127" s="13">
        <v>5361</v>
      </c>
      <c r="AJ127" s="13">
        <v>5385</v>
      </c>
      <c r="AK127" s="13">
        <v>5500</v>
      </c>
      <c r="AL127" s="13">
        <v>5567</v>
      </c>
      <c r="AM127" s="13">
        <v>5650</v>
      </c>
      <c r="AN127" s="13">
        <v>5668</v>
      </c>
      <c r="AO127" s="13">
        <v>5760</v>
      </c>
      <c r="AP127" s="13">
        <v>5806</v>
      </c>
      <c r="AQ127" s="13">
        <v>5650</v>
      </c>
      <c r="AR127" s="13">
        <v>5732</v>
      </c>
      <c r="AS127" s="13">
        <v>5742</v>
      </c>
      <c r="AT127" s="13">
        <v>5769</v>
      </c>
      <c r="AU127" s="13">
        <v>5699</v>
      </c>
      <c r="AV127" s="13">
        <v>5590</v>
      </c>
      <c r="AW127" s="13">
        <v>5767</v>
      </c>
      <c r="AX127" s="13">
        <v>5762</v>
      </c>
      <c r="AY127" s="13">
        <v>5704</v>
      </c>
      <c r="AZ127" s="13">
        <v>5682</v>
      </c>
      <c r="BA127" s="13">
        <v>5949</v>
      </c>
      <c r="BB127" s="13">
        <v>5804</v>
      </c>
      <c r="BC127" s="13">
        <v>5839</v>
      </c>
      <c r="BD127" s="13">
        <v>5856</v>
      </c>
      <c r="BE127" s="13">
        <v>5831</v>
      </c>
      <c r="BF127" s="13">
        <v>5927</v>
      </c>
      <c r="BG127" s="13">
        <v>5978</v>
      </c>
      <c r="BH127" s="13">
        <v>6128</v>
      </c>
      <c r="BI127" s="13">
        <v>6236</v>
      </c>
      <c r="BJ127" s="13">
        <v>6205</v>
      </c>
      <c r="BK127" s="13">
        <v>6220</v>
      </c>
      <c r="BL127" s="13">
        <v>6276</v>
      </c>
      <c r="BM127" s="4">
        <v>6448</v>
      </c>
      <c r="BN127" s="4">
        <v>6467</v>
      </c>
      <c r="BO127" s="4">
        <v>6501</v>
      </c>
      <c r="BP127" s="4">
        <v>6462</v>
      </c>
    </row>
    <row r="128" spans="1:68" ht="15.9" customHeight="1">
      <c r="A128" s="64" t="s">
        <v>251</v>
      </c>
      <c r="B128" s="6" t="s">
        <v>252</v>
      </c>
      <c r="C128" s="15" t="str">
        <f>_xll.RssMarket("6330","現在値")</f>
        <v/>
      </c>
      <c r="D128" s="16" t="e">
        <f t="shared" si="3"/>
        <v>#VALUE!</v>
      </c>
      <c r="E128" s="13">
        <v>1751</v>
      </c>
      <c r="F128" s="13">
        <v>1956</v>
      </c>
      <c r="G128" s="13">
        <v>1962</v>
      </c>
      <c r="H128" s="13">
        <v>1935</v>
      </c>
      <c r="I128" s="13">
        <v>1937</v>
      </c>
      <c r="J128" s="13">
        <v>1979</v>
      </c>
      <c r="K128" s="13">
        <v>1975</v>
      </c>
      <c r="L128" s="13">
        <v>2166</v>
      </c>
      <c r="M128" s="13">
        <v>2067</v>
      </c>
      <c r="N128" s="13">
        <v>2039</v>
      </c>
      <c r="O128" s="13">
        <v>1938</v>
      </c>
      <c r="P128" s="13">
        <v>2017</v>
      </c>
      <c r="Q128" s="13">
        <v>2155</v>
      </c>
      <c r="R128" s="13">
        <v>1936</v>
      </c>
      <c r="S128" s="13">
        <v>1957</v>
      </c>
      <c r="T128" s="13">
        <v>1911</v>
      </c>
      <c r="U128" s="13">
        <v>1886</v>
      </c>
      <c r="V128" s="13">
        <v>2016</v>
      </c>
      <c r="W128" s="13">
        <v>2075</v>
      </c>
      <c r="X128" s="13">
        <v>2198</v>
      </c>
      <c r="Y128" s="13">
        <v>2088</v>
      </c>
      <c r="Z128" s="13">
        <v>1918</v>
      </c>
      <c r="AA128" s="13">
        <v>1830</v>
      </c>
      <c r="AB128" s="13">
        <v>1892</v>
      </c>
      <c r="AC128" s="13">
        <v>1982</v>
      </c>
      <c r="AD128" s="13">
        <v>2052</v>
      </c>
      <c r="AE128" s="13">
        <v>1975</v>
      </c>
      <c r="AF128" s="13">
        <v>2020</v>
      </c>
      <c r="AG128" s="13">
        <v>1919</v>
      </c>
      <c r="AH128" s="13">
        <v>1918</v>
      </c>
      <c r="AI128" s="13">
        <v>2021</v>
      </c>
      <c r="AJ128" s="13">
        <v>2109</v>
      </c>
      <c r="AK128" s="13">
        <v>2098</v>
      </c>
      <c r="AL128" s="13">
        <v>2167</v>
      </c>
      <c r="AM128" s="13">
        <v>2175</v>
      </c>
      <c r="AN128" s="13">
        <v>2016</v>
      </c>
      <c r="AO128" s="13">
        <v>2025</v>
      </c>
      <c r="AP128" s="13">
        <v>2113</v>
      </c>
      <c r="AQ128" s="13">
        <v>2077</v>
      </c>
      <c r="AR128" s="13">
        <v>2099</v>
      </c>
      <c r="AS128" s="13">
        <v>2151</v>
      </c>
      <c r="AT128" s="13">
        <v>2133</v>
      </c>
      <c r="AU128" s="13">
        <v>2159</v>
      </c>
      <c r="AV128" s="13">
        <v>2234</v>
      </c>
      <c r="AW128" s="13">
        <v>2342</v>
      </c>
      <c r="AX128" s="13">
        <v>2294</v>
      </c>
      <c r="AY128" s="13">
        <v>2268</v>
      </c>
      <c r="AZ128" s="13">
        <v>2266</v>
      </c>
      <c r="BA128" s="13">
        <v>2388</v>
      </c>
      <c r="BB128" s="13">
        <v>2315</v>
      </c>
      <c r="BC128" s="13">
        <v>2329</v>
      </c>
      <c r="BD128" s="13">
        <v>2430</v>
      </c>
      <c r="BE128" s="13">
        <v>2430</v>
      </c>
      <c r="BF128" s="13">
        <v>2551</v>
      </c>
      <c r="BG128" s="13">
        <v>2612</v>
      </c>
      <c r="BH128" s="13">
        <v>2600</v>
      </c>
      <c r="BI128" s="13">
        <v>2493</v>
      </c>
      <c r="BJ128" s="13">
        <v>2356</v>
      </c>
      <c r="BK128" s="13">
        <v>2319</v>
      </c>
      <c r="BL128" s="13">
        <v>2336</v>
      </c>
      <c r="BM128" s="4">
        <v>2341</v>
      </c>
      <c r="BN128" s="4">
        <v>2311</v>
      </c>
      <c r="BO128" s="4">
        <v>2421</v>
      </c>
      <c r="BP128" s="4">
        <v>2207</v>
      </c>
    </row>
    <row r="129" spans="1:68" ht="15.9" customHeight="1">
      <c r="A129" s="64" t="s">
        <v>253</v>
      </c>
      <c r="B129" s="6" t="s">
        <v>254</v>
      </c>
      <c r="C129" s="15" t="str">
        <f>_xll.RssMarket("4082","現在値")</f>
        <v/>
      </c>
      <c r="D129" s="16" t="e">
        <f t="shared" si="3"/>
        <v>#VALUE!</v>
      </c>
      <c r="E129" s="13">
        <v>1730</v>
      </c>
      <c r="F129" s="13">
        <v>1948</v>
      </c>
      <c r="G129" s="13">
        <v>1947</v>
      </c>
      <c r="H129" s="13">
        <v>1900</v>
      </c>
      <c r="I129" s="13">
        <v>1948</v>
      </c>
      <c r="J129" s="13">
        <v>1960</v>
      </c>
      <c r="K129" s="13">
        <v>2005</v>
      </c>
      <c r="L129" s="13">
        <v>2071</v>
      </c>
      <c r="M129" s="13">
        <v>2050</v>
      </c>
      <c r="N129" s="13">
        <v>2048</v>
      </c>
      <c r="O129" s="13">
        <v>2024</v>
      </c>
      <c r="P129" s="13">
        <v>2043</v>
      </c>
      <c r="Q129" s="13">
        <v>2091</v>
      </c>
      <c r="R129" s="13">
        <v>2029</v>
      </c>
      <c r="S129" s="13">
        <v>2148</v>
      </c>
      <c r="T129" s="13">
        <v>2037</v>
      </c>
      <c r="U129" s="13">
        <v>2002</v>
      </c>
      <c r="V129" s="13">
        <v>2133</v>
      </c>
      <c r="W129" s="13">
        <v>2061</v>
      </c>
      <c r="X129" s="13">
        <v>2065</v>
      </c>
      <c r="Y129" s="13">
        <v>2015</v>
      </c>
      <c r="Z129" s="13">
        <v>1874</v>
      </c>
      <c r="AA129" s="13">
        <v>1865</v>
      </c>
      <c r="AB129" s="13">
        <v>1839</v>
      </c>
      <c r="AC129" s="13">
        <v>1976</v>
      </c>
      <c r="AD129" s="13">
        <v>2098</v>
      </c>
      <c r="AE129" s="13">
        <v>2105</v>
      </c>
      <c r="AF129" s="13">
        <v>2201</v>
      </c>
      <c r="AG129" s="13">
        <v>2160</v>
      </c>
      <c r="AH129" s="13">
        <v>2275</v>
      </c>
      <c r="AI129" s="13">
        <v>2293</v>
      </c>
      <c r="AJ129" s="13">
        <v>2245</v>
      </c>
      <c r="AK129" s="13">
        <v>2179</v>
      </c>
      <c r="AL129" s="13">
        <v>2025</v>
      </c>
      <c r="AM129" s="13">
        <v>2021</v>
      </c>
      <c r="AN129" s="13">
        <v>1959</v>
      </c>
      <c r="AO129" s="13">
        <v>1953</v>
      </c>
      <c r="AP129" s="13">
        <v>2133</v>
      </c>
      <c r="AQ129" s="13">
        <v>2166</v>
      </c>
      <c r="AR129" s="13">
        <v>2188</v>
      </c>
      <c r="AS129" s="13">
        <v>2530</v>
      </c>
      <c r="AT129" s="13">
        <v>2622</v>
      </c>
      <c r="AU129" s="13">
        <v>2590</v>
      </c>
      <c r="AV129" s="13">
        <v>2708</v>
      </c>
      <c r="AW129" s="13">
        <v>2493</v>
      </c>
      <c r="AX129" s="13">
        <v>2369</v>
      </c>
      <c r="AY129" s="13">
        <v>2322</v>
      </c>
      <c r="AZ129" s="13">
        <v>2290</v>
      </c>
      <c r="BA129" s="13">
        <v>2357</v>
      </c>
      <c r="BB129" s="13">
        <v>2254</v>
      </c>
      <c r="BC129" s="13">
        <v>2310</v>
      </c>
      <c r="BD129" s="13">
        <v>2302</v>
      </c>
      <c r="BE129" s="13">
        <v>2305</v>
      </c>
      <c r="BF129" s="13">
        <v>2360</v>
      </c>
      <c r="BG129" s="13">
        <v>2545</v>
      </c>
      <c r="BH129" s="13">
        <v>2333</v>
      </c>
      <c r="BI129" s="13">
        <v>2252</v>
      </c>
      <c r="BJ129" s="13">
        <v>2102</v>
      </c>
      <c r="BK129" s="13">
        <v>2086</v>
      </c>
      <c r="BL129" s="13">
        <v>2043</v>
      </c>
      <c r="BM129" s="4">
        <v>2065</v>
      </c>
      <c r="BN129" s="4">
        <v>2122</v>
      </c>
      <c r="BO129" s="4">
        <v>2208</v>
      </c>
      <c r="BP129" s="4">
        <v>2088</v>
      </c>
    </row>
    <row r="130" spans="1:68" ht="15.9" customHeight="1">
      <c r="A130" s="64" t="s">
        <v>255</v>
      </c>
      <c r="B130" s="6" t="s">
        <v>256</v>
      </c>
      <c r="C130" s="15" t="str">
        <f>_xll.RssMarket("4519","現在値")</f>
        <v/>
      </c>
      <c r="D130" s="16" t="e">
        <f t="shared" si="3"/>
        <v>#VALUE!</v>
      </c>
      <c r="E130" s="13">
        <v>7325</v>
      </c>
      <c r="F130" s="13">
        <v>7128</v>
      </c>
      <c r="G130" s="13">
        <v>7241</v>
      </c>
      <c r="H130" s="13">
        <v>7230</v>
      </c>
      <c r="I130" s="13">
        <v>7389</v>
      </c>
      <c r="J130" s="13">
        <v>7359</v>
      </c>
      <c r="K130" s="13">
        <v>7345</v>
      </c>
      <c r="L130" s="13">
        <v>7541</v>
      </c>
      <c r="M130" s="13">
        <v>7642</v>
      </c>
      <c r="N130" s="13">
        <v>7420</v>
      </c>
      <c r="O130" s="13">
        <v>7281</v>
      </c>
      <c r="P130" s="13">
        <v>7534</v>
      </c>
      <c r="Q130" s="13">
        <v>7574</v>
      </c>
      <c r="R130" s="13">
        <v>7434</v>
      </c>
      <c r="S130" s="13">
        <v>7534</v>
      </c>
      <c r="T130" s="13">
        <v>7500</v>
      </c>
      <c r="U130" s="13">
        <v>7434</v>
      </c>
      <c r="V130" s="13">
        <v>7522</v>
      </c>
      <c r="W130" s="13">
        <v>7550</v>
      </c>
      <c r="X130" s="13">
        <v>7650</v>
      </c>
      <c r="Y130" s="13">
        <v>7523</v>
      </c>
      <c r="Z130" s="13">
        <v>7450</v>
      </c>
      <c r="AA130" s="13">
        <v>7428</v>
      </c>
      <c r="AB130" s="13">
        <v>7560</v>
      </c>
      <c r="AC130" s="13">
        <v>7465</v>
      </c>
      <c r="AD130" s="13">
        <v>7554</v>
      </c>
      <c r="AE130" s="13">
        <v>7567</v>
      </c>
      <c r="AF130" s="13">
        <v>7423</v>
      </c>
      <c r="AG130" s="13">
        <v>7618</v>
      </c>
      <c r="AH130" s="13">
        <v>7664</v>
      </c>
      <c r="AI130" s="13">
        <v>7892</v>
      </c>
      <c r="AJ130" s="13">
        <v>7743</v>
      </c>
      <c r="AK130" s="13">
        <v>7878</v>
      </c>
      <c r="AL130" s="13">
        <v>8117</v>
      </c>
      <c r="AM130" s="13">
        <v>8090</v>
      </c>
      <c r="AN130" s="13">
        <v>7836</v>
      </c>
      <c r="AO130" s="13">
        <v>7899</v>
      </c>
      <c r="AP130" s="13">
        <v>7936</v>
      </c>
      <c r="AQ130" s="13">
        <v>7885</v>
      </c>
      <c r="AR130" s="13">
        <v>7938</v>
      </c>
      <c r="AS130" s="13">
        <v>8096</v>
      </c>
      <c r="AT130" s="13">
        <v>7805</v>
      </c>
      <c r="AU130" s="13">
        <v>7794</v>
      </c>
      <c r="AV130" s="13">
        <v>7953</v>
      </c>
      <c r="AW130" s="13">
        <v>7900</v>
      </c>
      <c r="AX130" s="13">
        <v>8095</v>
      </c>
      <c r="AY130" s="13">
        <v>8245</v>
      </c>
      <c r="AZ130" s="13">
        <v>8116</v>
      </c>
      <c r="BA130" s="13">
        <v>7940</v>
      </c>
      <c r="BB130" s="13">
        <v>7445</v>
      </c>
      <c r="BC130" s="13">
        <v>8845</v>
      </c>
      <c r="BD130" s="13">
        <v>8926</v>
      </c>
      <c r="BE130" s="13">
        <v>8760</v>
      </c>
      <c r="BF130" s="13">
        <v>8694</v>
      </c>
      <c r="BG130" s="13">
        <v>8844</v>
      </c>
      <c r="BH130" s="13">
        <v>8349</v>
      </c>
      <c r="BI130" s="13">
        <v>8591</v>
      </c>
      <c r="BJ130" s="13">
        <v>8657</v>
      </c>
      <c r="BK130" s="13">
        <v>8520</v>
      </c>
      <c r="BL130" s="13">
        <v>8585</v>
      </c>
      <c r="BM130" s="4">
        <v>8675</v>
      </c>
      <c r="BN130" s="4">
        <v>8775</v>
      </c>
      <c r="BO130" s="4">
        <v>8883</v>
      </c>
      <c r="BP130" s="4">
        <v>8739</v>
      </c>
    </row>
    <row r="131" spans="1:68" ht="15.9" customHeight="1">
      <c r="A131" s="64" t="s">
        <v>257</v>
      </c>
      <c r="B131" s="6" t="s">
        <v>258</v>
      </c>
      <c r="C131" s="15" t="str">
        <f>_xll.RssMarket("2160","現在値")</f>
        <v/>
      </c>
      <c r="D131" s="16" t="e">
        <f t="shared" si="3"/>
        <v>#VALUE!</v>
      </c>
      <c r="E131" s="13">
        <v>2440</v>
      </c>
      <c r="F131" s="13">
        <v>2602</v>
      </c>
      <c r="G131" s="13">
        <v>2580</v>
      </c>
      <c r="H131" s="13">
        <v>2570</v>
      </c>
      <c r="I131" s="13">
        <v>2605</v>
      </c>
      <c r="J131" s="13">
        <v>2588</v>
      </c>
      <c r="K131" s="13">
        <v>2605</v>
      </c>
      <c r="L131" s="13">
        <v>2885</v>
      </c>
      <c r="M131" s="13">
        <v>2858</v>
      </c>
      <c r="N131" s="13">
        <v>2856</v>
      </c>
      <c r="O131" s="13">
        <v>2791</v>
      </c>
      <c r="P131" s="13">
        <v>2848</v>
      </c>
      <c r="Q131" s="13">
        <v>2788</v>
      </c>
      <c r="R131" s="13">
        <v>2517</v>
      </c>
      <c r="S131" s="13">
        <v>2582</v>
      </c>
      <c r="T131" s="13">
        <v>2507</v>
      </c>
      <c r="U131" s="13">
        <v>2530</v>
      </c>
      <c r="V131" s="13">
        <v>2470</v>
      </c>
      <c r="W131" s="13">
        <v>2527</v>
      </c>
      <c r="X131" s="13">
        <v>2542</v>
      </c>
      <c r="Y131" s="13">
        <v>2493</v>
      </c>
      <c r="Z131" s="13">
        <v>2520</v>
      </c>
      <c r="AA131" s="13">
        <v>2685</v>
      </c>
      <c r="AB131" s="13">
        <v>2735</v>
      </c>
      <c r="AC131" s="13">
        <v>2810</v>
      </c>
      <c r="AD131" s="13">
        <v>2833</v>
      </c>
      <c r="AE131" s="13">
        <v>2684</v>
      </c>
      <c r="AF131" s="13">
        <v>2625</v>
      </c>
      <c r="AG131" s="13">
        <v>2580</v>
      </c>
      <c r="AH131" s="13">
        <v>2574</v>
      </c>
      <c r="AI131" s="13">
        <v>2546</v>
      </c>
      <c r="AJ131" s="13">
        <v>2615</v>
      </c>
      <c r="AK131" s="13">
        <v>2646</v>
      </c>
      <c r="AL131" s="13">
        <v>2833</v>
      </c>
      <c r="AM131" s="13">
        <v>2834</v>
      </c>
      <c r="AN131" s="13">
        <v>2821</v>
      </c>
      <c r="AO131" s="13">
        <v>2736</v>
      </c>
      <c r="AP131" s="13">
        <v>2830</v>
      </c>
      <c r="AQ131" s="13">
        <v>2688</v>
      </c>
      <c r="AR131" s="13">
        <v>2955</v>
      </c>
      <c r="AS131" s="13">
        <v>3015</v>
      </c>
      <c r="AT131" s="13">
        <v>3240</v>
      </c>
      <c r="AU131" s="13">
        <v>2984</v>
      </c>
      <c r="AV131" s="13">
        <v>3000</v>
      </c>
      <c r="AW131" s="13">
        <v>2979</v>
      </c>
      <c r="AX131" s="13">
        <v>3055</v>
      </c>
      <c r="AY131" s="13">
        <v>3020</v>
      </c>
      <c r="AZ131" s="13">
        <v>2920</v>
      </c>
      <c r="BA131" s="13">
        <v>3165</v>
      </c>
      <c r="BB131" s="13">
        <v>3110</v>
      </c>
      <c r="BC131" s="13">
        <v>3130</v>
      </c>
      <c r="BD131" s="13">
        <v>3130</v>
      </c>
      <c r="BE131" s="13">
        <v>3300</v>
      </c>
      <c r="BF131" s="13">
        <v>3390</v>
      </c>
      <c r="BG131" s="13">
        <v>3440</v>
      </c>
      <c r="BH131" s="13">
        <v>3370</v>
      </c>
      <c r="BI131" s="13">
        <v>3380</v>
      </c>
      <c r="BJ131" s="13">
        <v>3340</v>
      </c>
      <c r="BK131" s="13">
        <v>3185</v>
      </c>
      <c r="BL131" s="13">
        <v>3135</v>
      </c>
      <c r="BM131" s="4">
        <v>3180</v>
      </c>
      <c r="BN131" s="4">
        <v>3130</v>
      </c>
      <c r="BO131" s="4">
        <v>3235</v>
      </c>
      <c r="BP131" s="4">
        <v>3110</v>
      </c>
    </row>
    <row r="132" spans="1:68" ht="15.9" customHeight="1">
      <c r="A132" s="64" t="s">
        <v>259</v>
      </c>
      <c r="B132" s="6" t="s">
        <v>260</v>
      </c>
      <c r="C132" s="15" t="str">
        <f>_xll.RssMarket("6227","現在値")</f>
        <v/>
      </c>
      <c r="D132" s="16" t="e">
        <f t="shared" si="3"/>
        <v>#VALUE!</v>
      </c>
      <c r="E132" s="13">
        <v>6960</v>
      </c>
      <c r="F132" s="13">
        <v>7400</v>
      </c>
      <c r="G132" s="13">
        <v>8100</v>
      </c>
      <c r="H132" s="13">
        <v>7790</v>
      </c>
      <c r="I132" s="13">
        <v>6790</v>
      </c>
      <c r="J132" s="13">
        <v>5790</v>
      </c>
      <c r="K132" s="13">
        <v>5680</v>
      </c>
      <c r="L132" s="13">
        <v>6390</v>
      </c>
      <c r="M132" s="13">
        <v>6940</v>
      </c>
      <c r="N132" s="13">
        <v>7080</v>
      </c>
      <c r="O132" s="13">
        <v>7450</v>
      </c>
      <c r="P132" s="13">
        <v>6960</v>
      </c>
      <c r="Q132" s="13">
        <v>6730</v>
      </c>
      <c r="R132" s="13">
        <v>6590</v>
      </c>
      <c r="S132" s="13">
        <v>7390</v>
      </c>
      <c r="T132" s="13">
        <v>7100</v>
      </c>
      <c r="U132" s="13">
        <v>7250</v>
      </c>
      <c r="V132" s="13">
        <v>7920</v>
      </c>
      <c r="W132" s="13">
        <v>6970</v>
      </c>
      <c r="X132" s="13">
        <v>8160</v>
      </c>
      <c r="Y132" s="13">
        <v>8080</v>
      </c>
      <c r="Z132" s="13">
        <v>7850</v>
      </c>
      <c r="AA132" s="13">
        <v>6850</v>
      </c>
      <c r="AB132" s="13">
        <v>7000</v>
      </c>
      <c r="AC132" s="13">
        <v>7060</v>
      </c>
      <c r="AD132" s="13">
        <v>7440</v>
      </c>
      <c r="AE132" s="13">
        <v>6490</v>
      </c>
      <c r="AF132" s="13">
        <v>6070</v>
      </c>
      <c r="AG132" s="13">
        <v>6140</v>
      </c>
      <c r="AH132" s="13">
        <v>5950</v>
      </c>
      <c r="AI132" s="13">
        <v>5670</v>
      </c>
      <c r="AJ132" s="13">
        <v>5640</v>
      </c>
      <c r="AK132" s="13">
        <v>5490</v>
      </c>
      <c r="AL132" s="13">
        <v>6220</v>
      </c>
      <c r="AM132" s="13">
        <v>6050</v>
      </c>
      <c r="AN132" s="13">
        <v>6060</v>
      </c>
      <c r="AO132" s="13">
        <v>6600</v>
      </c>
      <c r="AP132" s="13">
        <v>6870</v>
      </c>
      <c r="AQ132" s="13">
        <v>7250</v>
      </c>
      <c r="AR132" s="13">
        <v>6250</v>
      </c>
      <c r="AS132" s="13">
        <v>6690</v>
      </c>
      <c r="AT132" s="13">
        <v>6540</v>
      </c>
      <c r="AU132" s="13">
        <v>6870</v>
      </c>
      <c r="AV132" s="13">
        <v>6490</v>
      </c>
      <c r="AW132" s="13">
        <v>6690</v>
      </c>
      <c r="AX132" s="13">
        <v>6790</v>
      </c>
      <c r="AY132" s="13">
        <v>6110</v>
      </c>
      <c r="AZ132" s="13">
        <v>6330</v>
      </c>
      <c r="BA132" s="13">
        <v>6150</v>
      </c>
      <c r="BB132" s="13">
        <v>6630</v>
      </c>
      <c r="BC132" s="13">
        <v>6590</v>
      </c>
      <c r="BD132" s="13">
        <v>6380</v>
      </c>
      <c r="BE132" s="13">
        <v>6860</v>
      </c>
      <c r="BF132" s="13">
        <v>6910</v>
      </c>
      <c r="BG132" s="13">
        <v>7500</v>
      </c>
      <c r="BH132" s="13">
        <v>8120</v>
      </c>
      <c r="BI132" s="13">
        <v>8150</v>
      </c>
      <c r="BJ132" s="13">
        <v>8420</v>
      </c>
      <c r="BK132" s="13">
        <v>7700</v>
      </c>
      <c r="BL132" s="13">
        <v>6700</v>
      </c>
      <c r="BM132" s="4">
        <v>6080</v>
      </c>
      <c r="BN132" s="4">
        <v>5910</v>
      </c>
      <c r="BO132" s="4">
        <v>6010</v>
      </c>
      <c r="BP132" s="4">
        <v>5690</v>
      </c>
    </row>
    <row r="133" spans="1:68" ht="15.9" customHeight="1">
      <c r="A133" s="64" t="s">
        <v>261</v>
      </c>
      <c r="B133" s="6" t="s">
        <v>262</v>
      </c>
      <c r="C133" s="15" t="str">
        <f>_xll.RssMarket("6327","現在値")</f>
        <v/>
      </c>
      <c r="D133" s="16" t="e">
        <f t="shared" si="3"/>
        <v>#VALUE!</v>
      </c>
      <c r="E133" s="13">
        <v>3910</v>
      </c>
      <c r="F133" s="13">
        <v>5220</v>
      </c>
      <c r="G133" s="13">
        <v>5200</v>
      </c>
      <c r="H133" s="13">
        <v>5290</v>
      </c>
      <c r="I133" s="13">
        <v>6130</v>
      </c>
      <c r="J133" s="13">
        <v>5130</v>
      </c>
      <c r="K133" s="13">
        <v>5110</v>
      </c>
      <c r="L133" s="13">
        <v>6760</v>
      </c>
      <c r="M133" s="13">
        <v>8210</v>
      </c>
      <c r="N133" s="13">
        <v>7760</v>
      </c>
      <c r="O133" s="13">
        <v>8290</v>
      </c>
      <c r="P133" s="13">
        <v>7900</v>
      </c>
      <c r="Q133" s="13">
        <v>6900</v>
      </c>
      <c r="R133" s="13">
        <v>6300</v>
      </c>
      <c r="S133" s="13">
        <v>6610</v>
      </c>
      <c r="T133" s="13">
        <v>5680</v>
      </c>
      <c r="U133" s="13">
        <v>5750</v>
      </c>
      <c r="V133" s="13">
        <v>6190</v>
      </c>
      <c r="W133" s="13">
        <v>5190</v>
      </c>
      <c r="X133" s="13">
        <v>5150</v>
      </c>
      <c r="Y133" s="13">
        <v>4445</v>
      </c>
      <c r="Z133" s="13">
        <v>3045</v>
      </c>
      <c r="AA133" s="13">
        <v>3050</v>
      </c>
      <c r="AB133" s="13">
        <v>3100</v>
      </c>
      <c r="AC133" s="13">
        <v>3585</v>
      </c>
      <c r="AD133" s="13">
        <v>3980</v>
      </c>
      <c r="AE133" s="13">
        <v>3840</v>
      </c>
      <c r="AF133" s="13">
        <v>4520</v>
      </c>
      <c r="AG133" s="13">
        <v>4900</v>
      </c>
      <c r="AH133" s="13">
        <v>4980</v>
      </c>
      <c r="AI133" s="13">
        <v>5910</v>
      </c>
      <c r="AJ133" s="13">
        <v>5000</v>
      </c>
      <c r="AK133" s="13">
        <v>4300</v>
      </c>
      <c r="AL133" s="13">
        <v>3415</v>
      </c>
      <c r="AM133" s="13">
        <v>2914</v>
      </c>
      <c r="AN133" s="13">
        <v>2414</v>
      </c>
      <c r="AO133" s="13">
        <v>2337</v>
      </c>
      <c r="AP133" s="13">
        <v>2370</v>
      </c>
      <c r="AQ133" s="13">
        <v>2573</v>
      </c>
      <c r="AR133" s="13">
        <v>2555</v>
      </c>
      <c r="AS133" s="13">
        <v>2672</v>
      </c>
      <c r="AT133" s="13">
        <v>2760</v>
      </c>
      <c r="AU133" s="13">
        <v>2990</v>
      </c>
      <c r="AV133" s="13">
        <v>3480</v>
      </c>
      <c r="AW133" s="13">
        <v>3610</v>
      </c>
      <c r="AX133" s="13">
        <v>3380</v>
      </c>
      <c r="AY133" s="13">
        <v>2897</v>
      </c>
      <c r="AZ133" s="13">
        <v>2867</v>
      </c>
      <c r="BA133" s="13">
        <v>2685</v>
      </c>
      <c r="BB133" s="13">
        <v>2185</v>
      </c>
      <c r="BC133" s="13">
        <v>2100</v>
      </c>
      <c r="BD133" s="13">
        <v>2097</v>
      </c>
      <c r="BE133" s="13">
        <v>2158</v>
      </c>
      <c r="BF133" s="13">
        <v>2194</v>
      </c>
      <c r="BG133" s="13">
        <v>1996</v>
      </c>
      <c r="BH133" s="13">
        <v>2053</v>
      </c>
      <c r="BI133" s="13">
        <v>2082</v>
      </c>
      <c r="BJ133" s="13">
        <v>2057</v>
      </c>
      <c r="BK133" s="13">
        <v>2100</v>
      </c>
      <c r="BL133" s="13">
        <v>1921</v>
      </c>
      <c r="BM133" s="4">
        <v>1954</v>
      </c>
      <c r="BN133" s="4">
        <v>1819</v>
      </c>
      <c r="BO133" s="4">
        <v>1836</v>
      </c>
      <c r="BP133" s="4">
        <v>1651</v>
      </c>
    </row>
    <row r="134" spans="1:68" ht="15.9" customHeight="1">
      <c r="A134" s="64" t="s">
        <v>263</v>
      </c>
      <c r="B134" s="6" t="s">
        <v>264</v>
      </c>
      <c r="C134" s="15" t="str">
        <f>_xll.RssMarket("3110","現在値")</f>
        <v/>
      </c>
      <c r="D134" s="16" t="e">
        <f t="shared" ref="D134:D141" si="4">C134-E134</f>
        <v>#VALUE!</v>
      </c>
      <c r="E134" s="13">
        <v>3035</v>
      </c>
      <c r="F134" s="13">
        <v>3555</v>
      </c>
      <c r="G134" s="13">
        <v>3430</v>
      </c>
      <c r="H134" s="13">
        <v>3400</v>
      </c>
      <c r="I134" s="13">
        <v>3445</v>
      </c>
      <c r="J134" s="13">
        <v>3480</v>
      </c>
      <c r="K134" s="13">
        <v>3515</v>
      </c>
      <c r="L134" s="13">
        <v>3625</v>
      </c>
      <c r="M134" s="13">
        <v>3635</v>
      </c>
      <c r="N134" s="13">
        <v>3950</v>
      </c>
      <c r="O134" s="13">
        <v>4315</v>
      </c>
      <c r="P134" s="13">
        <v>4580</v>
      </c>
      <c r="Q134" s="13">
        <v>19630</v>
      </c>
      <c r="R134" s="13">
        <v>20440</v>
      </c>
      <c r="S134" s="13">
        <v>20010</v>
      </c>
      <c r="T134" s="13">
        <v>19380</v>
      </c>
      <c r="U134" s="13">
        <v>20680</v>
      </c>
      <c r="V134" s="13">
        <v>19500</v>
      </c>
      <c r="W134" s="13">
        <v>21170</v>
      </c>
      <c r="X134" s="13">
        <v>21690</v>
      </c>
      <c r="Y134" s="13">
        <v>18380</v>
      </c>
      <c r="Z134" s="13">
        <v>17330</v>
      </c>
      <c r="AA134" s="13">
        <v>17840</v>
      </c>
      <c r="AB134" s="13">
        <v>18680</v>
      </c>
      <c r="AC134" s="13">
        <v>20250</v>
      </c>
      <c r="AD134" s="13">
        <v>20770</v>
      </c>
      <c r="AE134" s="13">
        <v>21770</v>
      </c>
      <c r="AF134" s="13">
        <v>21900</v>
      </c>
      <c r="AG134" s="13">
        <v>24240</v>
      </c>
      <c r="AH134" s="13">
        <v>22670</v>
      </c>
      <c r="AI134" s="13">
        <v>22710</v>
      </c>
      <c r="AJ134" s="13">
        <v>23300</v>
      </c>
      <c r="AK134" s="13">
        <v>27560</v>
      </c>
      <c r="AL134" s="13">
        <v>25310</v>
      </c>
      <c r="AM134" s="13">
        <v>22020</v>
      </c>
      <c r="AN134" s="13">
        <v>21090</v>
      </c>
      <c r="AO134" s="13">
        <v>21580</v>
      </c>
      <c r="AP134" s="13">
        <v>22730</v>
      </c>
      <c r="AQ134" s="13">
        <v>23900</v>
      </c>
      <c r="AR134" s="13">
        <v>26190</v>
      </c>
      <c r="AS134" s="13">
        <v>25790</v>
      </c>
      <c r="AT134" s="13">
        <v>29000</v>
      </c>
      <c r="AU134" s="13">
        <v>29090</v>
      </c>
      <c r="AV134" s="13">
        <v>30400</v>
      </c>
      <c r="AW134" s="13">
        <v>31950</v>
      </c>
      <c r="AX134" s="13">
        <v>28160</v>
      </c>
      <c r="AY134" s="13">
        <v>28540</v>
      </c>
      <c r="AZ134" s="13">
        <v>28210</v>
      </c>
      <c r="BA134" s="13">
        <v>27350</v>
      </c>
      <c r="BB134" s="13">
        <v>27380</v>
      </c>
      <c r="BC134" s="13">
        <v>25550</v>
      </c>
      <c r="BD134" s="13">
        <v>27460</v>
      </c>
      <c r="BE134" s="13">
        <v>26460</v>
      </c>
      <c r="BF134" s="13">
        <v>26720</v>
      </c>
      <c r="BG134" s="13">
        <v>27510</v>
      </c>
      <c r="BH134" s="13">
        <v>27040</v>
      </c>
      <c r="BI134" s="13">
        <v>26500</v>
      </c>
      <c r="BJ134" s="13">
        <v>29440</v>
      </c>
      <c r="BK134" s="13">
        <v>28960</v>
      </c>
      <c r="BL134" s="13">
        <v>27430</v>
      </c>
      <c r="BM134" s="4">
        <v>25290</v>
      </c>
      <c r="BN134" s="4">
        <v>24850</v>
      </c>
      <c r="BO134" s="4">
        <v>21660</v>
      </c>
      <c r="BP134" s="4">
        <v>20760</v>
      </c>
    </row>
    <row r="135" spans="1:68" ht="15.9" customHeight="1">
      <c r="A135" s="64" t="s">
        <v>265</v>
      </c>
      <c r="B135" s="6" t="s">
        <v>266</v>
      </c>
      <c r="C135" s="15" t="str">
        <f>_xll.RssMarket("6232","現在値")</f>
        <v/>
      </c>
      <c r="D135" s="16" t="e">
        <f t="shared" si="4"/>
        <v>#VALUE!</v>
      </c>
      <c r="E135" s="13">
        <v>1662</v>
      </c>
      <c r="F135" s="13">
        <v>1805</v>
      </c>
      <c r="G135" s="13">
        <v>1729</v>
      </c>
      <c r="H135" s="13">
        <v>1754</v>
      </c>
      <c r="I135" s="13">
        <v>1769</v>
      </c>
      <c r="J135" s="13">
        <v>1732</v>
      </c>
      <c r="K135" s="13">
        <v>1751</v>
      </c>
      <c r="L135" s="13">
        <v>1880</v>
      </c>
      <c r="M135" s="13">
        <v>1850</v>
      </c>
      <c r="N135" s="13">
        <v>1734</v>
      </c>
      <c r="O135" s="13">
        <v>1765</v>
      </c>
      <c r="P135" s="13">
        <v>1720</v>
      </c>
      <c r="Q135" s="13">
        <v>1678</v>
      </c>
      <c r="R135" s="13">
        <v>1673</v>
      </c>
      <c r="S135" s="13">
        <v>1800</v>
      </c>
      <c r="T135" s="13">
        <v>1888</v>
      </c>
      <c r="U135" s="13">
        <v>1900</v>
      </c>
      <c r="V135" s="13">
        <v>2017</v>
      </c>
      <c r="W135" s="13">
        <v>1827</v>
      </c>
      <c r="X135" s="13">
        <v>1764</v>
      </c>
      <c r="Y135" s="13">
        <v>1834</v>
      </c>
      <c r="Z135" s="13">
        <v>1768</v>
      </c>
      <c r="AA135" s="13">
        <v>1828</v>
      </c>
      <c r="AB135" s="13">
        <v>1902</v>
      </c>
      <c r="AC135" s="13">
        <v>2025</v>
      </c>
      <c r="AD135" s="13">
        <v>2096</v>
      </c>
      <c r="AE135" s="13">
        <v>1970</v>
      </c>
      <c r="AF135" s="13">
        <v>2018</v>
      </c>
      <c r="AG135" s="13">
        <v>1988</v>
      </c>
      <c r="AH135" s="13">
        <v>2154</v>
      </c>
      <c r="AI135" s="13">
        <v>2332</v>
      </c>
      <c r="AJ135" s="13">
        <v>2487</v>
      </c>
      <c r="AK135" s="13">
        <v>2334</v>
      </c>
      <c r="AL135" s="13">
        <v>2728</v>
      </c>
      <c r="AM135" s="13">
        <v>2841</v>
      </c>
      <c r="AN135" s="13">
        <v>2753</v>
      </c>
      <c r="AO135" s="13">
        <v>2786</v>
      </c>
      <c r="AP135" s="13">
        <v>3360</v>
      </c>
      <c r="AQ135" s="13">
        <v>3040</v>
      </c>
      <c r="AR135" s="13">
        <v>3115</v>
      </c>
      <c r="AS135" s="13">
        <v>2931</v>
      </c>
      <c r="AT135" s="13">
        <v>3010</v>
      </c>
      <c r="AU135" s="13">
        <v>3165</v>
      </c>
      <c r="AV135" s="13">
        <v>3430</v>
      </c>
      <c r="AW135" s="13">
        <v>2927</v>
      </c>
      <c r="AX135" s="13">
        <v>2427</v>
      </c>
      <c r="AY135" s="13">
        <v>2502</v>
      </c>
      <c r="AZ135" s="13">
        <v>2359</v>
      </c>
      <c r="BA135" s="13">
        <v>2316</v>
      </c>
      <c r="BB135" s="13">
        <v>2350</v>
      </c>
      <c r="BC135" s="13">
        <v>2538</v>
      </c>
      <c r="BD135" s="13">
        <v>2261</v>
      </c>
      <c r="BE135" s="13">
        <v>2122</v>
      </c>
      <c r="BF135" s="13">
        <v>1722</v>
      </c>
      <c r="BG135" s="13">
        <v>1745</v>
      </c>
      <c r="BH135" s="13">
        <v>1704</v>
      </c>
      <c r="BI135" s="13">
        <v>1809</v>
      </c>
      <c r="BJ135" s="13">
        <v>1800</v>
      </c>
      <c r="BK135" s="13">
        <v>1868</v>
      </c>
      <c r="BL135" s="13">
        <v>1807</v>
      </c>
      <c r="BM135" s="4">
        <v>1610</v>
      </c>
      <c r="BN135" s="4">
        <v>1574</v>
      </c>
      <c r="BO135" s="4">
        <v>1636</v>
      </c>
      <c r="BP135" s="4">
        <v>1474</v>
      </c>
    </row>
    <row r="136" spans="1:68" ht="15.9" customHeight="1">
      <c r="A136" s="64" t="s">
        <v>267</v>
      </c>
      <c r="B136" s="6" t="s">
        <v>268</v>
      </c>
      <c r="C136" s="15" t="str">
        <f>_xll.RssMarket("7794","現在値")</f>
        <v/>
      </c>
      <c r="D136" s="16" t="e">
        <f t="shared" si="4"/>
        <v>#VALUE!</v>
      </c>
      <c r="E136" s="13">
        <v>913</v>
      </c>
      <c r="F136" s="13">
        <v>1023</v>
      </c>
      <c r="G136" s="13">
        <v>1024</v>
      </c>
      <c r="H136" s="13">
        <v>1047</v>
      </c>
      <c r="I136" s="13">
        <v>1068</v>
      </c>
      <c r="J136" s="13">
        <v>1065</v>
      </c>
      <c r="K136" s="13">
        <v>1085</v>
      </c>
      <c r="L136" s="13">
        <v>1174</v>
      </c>
      <c r="M136" s="13">
        <v>1229</v>
      </c>
      <c r="N136" s="13">
        <v>1222</v>
      </c>
      <c r="O136" s="13">
        <v>1217</v>
      </c>
      <c r="P136" s="13">
        <v>1231</v>
      </c>
      <c r="Q136" s="13">
        <v>1163</v>
      </c>
      <c r="R136" s="13">
        <v>1026</v>
      </c>
      <c r="S136" s="13">
        <v>1050</v>
      </c>
      <c r="T136" s="13">
        <v>1053</v>
      </c>
      <c r="U136" s="13">
        <v>1102</v>
      </c>
      <c r="V136" s="13">
        <v>1208</v>
      </c>
      <c r="W136" s="13">
        <v>1094</v>
      </c>
      <c r="X136" s="13">
        <v>1097</v>
      </c>
      <c r="Y136" s="13">
        <v>1068</v>
      </c>
      <c r="Z136" s="13">
        <v>1078</v>
      </c>
      <c r="AA136" s="13">
        <v>1064</v>
      </c>
      <c r="AB136" s="13">
        <v>1090</v>
      </c>
      <c r="AC136" s="13">
        <v>1110</v>
      </c>
      <c r="AD136" s="13">
        <v>1085</v>
      </c>
      <c r="AE136" s="13">
        <v>1005</v>
      </c>
      <c r="AF136" s="13">
        <v>1070</v>
      </c>
      <c r="AG136" s="13">
        <v>1082</v>
      </c>
      <c r="AH136" s="13">
        <v>1168</v>
      </c>
      <c r="AI136" s="13">
        <v>1149</v>
      </c>
      <c r="AJ136" s="13">
        <v>1284</v>
      </c>
      <c r="AK136" s="13">
        <v>1094</v>
      </c>
      <c r="AL136" s="13">
        <v>1168</v>
      </c>
      <c r="AM136" s="13">
        <v>1118</v>
      </c>
      <c r="AN136" s="13">
        <v>1086</v>
      </c>
      <c r="AO136" s="13">
        <v>1090</v>
      </c>
      <c r="AP136" s="13">
        <v>1137</v>
      </c>
      <c r="AQ136" s="13">
        <v>1102</v>
      </c>
      <c r="AR136" s="13">
        <v>1150</v>
      </c>
      <c r="AS136" s="13">
        <v>1129</v>
      </c>
      <c r="AT136" s="13">
        <v>1330</v>
      </c>
      <c r="AU136" s="13">
        <v>1340</v>
      </c>
      <c r="AV136" s="13">
        <v>1408</v>
      </c>
      <c r="AW136" s="13">
        <v>1361</v>
      </c>
      <c r="AX136" s="13">
        <v>1287</v>
      </c>
      <c r="AY136" s="13">
        <v>1297</v>
      </c>
      <c r="AZ136" s="13">
        <v>1332</v>
      </c>
      <c r="BA136" s="13">
        <v>1316</v>
      </c>
      <c r="BB136" s="13">
        <v>1344</v>
      </c>
      <c r="BC136" s="13">
        <v>1413</v>
      </c>
      <c r="BD136" s="13">
        <v>1429</v>
      </c>
      <c r="BE136" s="13">
        <v>1470</v>
      </c>
      <c r="BF136" s="13">
        <v>1536</v>
      </c>
      <c r="BG136" s="13">
        <v>1584</v>
      </c>
      <c r="BH136" s="13">
        <v>1284</v>
      </c>
      <c r="BI136" s="13">
        <v>1218</v>
      </c>
      <c r="BJ136" s="13">
        <v>1176</v>
      </c>
      <c r="BK136" s="13">
        <v>1205</v>
      </c>
      <c r="BL136" s="13">
        <v>1216</v>
      </c>
      <c r="BM136" s="4">
        <v>1185</v>
      </c>
      <c r="BN136" s="4">
        <v>1212</v>
      </c>
      <c r="BO136" s="4">
        <v>1212</v>
      </c>
      <c r="BP136" s="4">
        <v>1140</v>
      </c>
    </row>
    <row r="137" spans="1:68" ht="15.9" customHeight="1">
      <c r="A137" s="64" t="s">
        <v>269</v>
      </c>
      <c r="B137" s="6" t="s">
        <v>270</v>
      </c>
      <c r="C137" s="15" t="str">
        <f>_xll.RssMarket("6085","現在値")</f>
        <v/>
      </c>
      <c r="D137" s="16" t="e">
        <f t="shared" si="4"/>
        <v>#VALUE!</v>
      </c>
      <c r="E137" s="13">
        <v>156</v>
      </c>
      <c r="F137" s="13">
        <v>202</v>
      </c>
      <c r="G137" s="13">
        <v>211</v>
      </c>
      <c r="H137" s="13">
        <v>201</v>
      </c>
      <c r="I137" s="13">
        <v>228</v>
      </c>
      <c r="J137" s="13">
        <v>216</v>
      </c>
      <c r="K137" s="13">
        <v>230</v>
      </c>
      <c r="L137" s="13">
        <v>245</v>
      </c>
      <c r="M137" s="13">
        <v>215</v>
      </c>
      <c r="N137" s="13">
        <v>239</v>
      </c>
      <c r="O137" s="13">
        <v>251</v>
      </c>
      <c r="P137" s="13">
        <v>269</v>
      </c>
      <c r="Q137" s="13">
        <v>276</v>
      </c>
      <c r="R137" s="13">
        <v>302</v>
      </c>
      <c r="S137" s="13">
        <v>300</v>
      </c>
      <c r="T137" s="13">
        <v>306</v>
      </c>
      <c r="U137" s="13">
        <v>365</v>
      </c>
      <c r="V137" s="13">
        <v>322</v>
      </c>
      <c r="W137" s="13">
        <v>320</v>
      </c>
      <c r="X137" s="13">
        <v>313</v>
      </c>
      <c r="Y137" s="13">
        <v>343</v>
      </c>
      <c r="Z137" s="13">
        <v>396</v>
      </c>
      <c r="AA137" s="13">
        <v>417</v>
      </c>
      <c r="AB137" s="13">
        <v>311</v>
      </c>
      <c r="AC137" s="13">
        <v>320</v>
      </c>
      <c r="AD137" s="13">
        <v>264</v>
      </c>
      <c r="AE137" s="13">
        <v>248</v>
      </c>
      <c r="AF137" s="13">
        <v>282</v>
      </c>
      <c r="AG137" s="13">
        <v>361</v>
      </c>
      <c r="AH137" s="13">
        <v>325</v>
      </c>
      <c r="AI137" s="13">
        <v>343</v>
      </c>
      <c r="AJ137" s="13">
        <v>423</v>
      </c>
      <c r="AK137" s="13">
        <v>523</v>
      </c>
      <c r="AL137" s="13">
        <v>485</v>
      </c>
      <c r="AM137" s="13">
        <v>465</v>
      </c>
      <c r="AN137" s="13">
        <v>432</v>
      </c>
      <c r="AO137" s="13">
        <v>463</v>
      </c>
      <c r="AP137" s="13">
        <v>563</v>
      </c>
      <c r="AQ137" s="13">
        <v>504</v>
      </c>
      <c r="AR137" s="13">
        <v>530</v>
      </c>
      <c r="AS137" s="13">
        <v>483</v>
      </c>
      <c r="AT137" s="13">
        <v>547</v>
      </c>
      <c r="AU137" s="13">
        <v>580</v>
      </c>
      <c r="AV137" s="13">
        <v>570</v>
      </c>
      <c r="AW137" s="13">
        <v>615</v>
      </c>
      <c r="AX137" s="13">
        <v>515</v>
      </c>
      <c r="AY137" s="13">
        <v>615</v>
      </c>
      <c r="AZ137" s="13">
        <v>640</v>
      </c>
      <c r="BA137" s="13">
        <v>540</v>
      </c>
      <c r="BB137" s="13">
        <v>516</v>
      </c>
      <c r="BC137" s="13">
        <v>441</v>
      </c>
      <c r="BD137" s="13">
        <v>430</v>
      </c>
      <c r="BE137" s="13">
        <v>380</v>
      </c>
      <c r="BF137" s="13">
        <v>396</v>
      </c>
      <c r="BG137" s="13">
        <v>362</v>
      </c>
      <c r="BH137" s="13">
        <v>335.5</v>
      </c>
      <c r="BI137" s="13">
        <v>286.5</v>
      </c>
      <c r="BJ137" s="13">
        <v>294</v>
      </c>
      <c r="BK137" s="13">
        <v>313.5</v>
      </c>
      <c r="BL137" s="13">
        <v>266</v>
      </c>
      <c r="BM137" s="4">
        <v>259.89999999999998</v>
      </c>
      <c r="BN137" s="4">
        <v>254</v>
      </c>
      <c r="BO137" s="4">
        <v>242.9</v>
      </c>
      <c r="BP137" s="4">
        <v>262.3</v>
      </c>
    </row>
    <row r="138" spans="1:68" ht="15.9" customHeight="1">
      <c r="A138" s="64" t="s">
        <v>271</v>
      </c>
      <c r="B138" s="6" t="s">
        <v>272</v>
      </c>
      <c r="C138" s="15" t="str">
        <f>_xll.RssMarket("3103","現在値")</f>
        <v/>
      </c>
      <c r="D138" s="16" t="e">
        <f t="shared" si="4"/>
        <v>#VALUE!</v>
      </c>
      <c r="E138" s="13">
        <v>850</v>
      </c>
      <c r="F138" s="13">
        <v>971</v>
      </c>
      <c r="G138" s="13">
        <v>912</v>
      </c>
      <c r="H138" s="13">
        <v>879</v>
      </c>
      <c r="I138" s="13">
        <v>934</v>
      </c>
      <c r="J138" s="13">
        <v>930</v>
      </c>
      <c r="K138" s="13">
        <v>940</v>
      </c>
      <c r="L138" s="13">
        <v>1004</v>
      </c>
      <c r="M138" s="13">
        <v>1031</v>
      </c>
      <c r="N138" s="13">
        <v>1001</v>
      </c>
      <c r="O138" s="13">
        <v>1006</v>
      </c>
      <c r="P138" s="13">
        <v>1034</v>
      </c>
      <c r="Q138" s="13">
        <v>1035</v>
      </c>
      <c r="R138" s="13">
        <v>1032</v>
      </c>
      <c r="S138" s="13">
        <v>1070</v>
      </c>
      <c r="T138" s="13">
        <v>1046</v>
      </c>
      <c r="U138" s="13">
        <v>1111</v>
      </c>
      <c r="V138" s="13">
        <v>1220</v>
      </c>
      <c r="W138" s="13">
        <v>1107</v>
      </c>
      <c r="X138" s="13">
        <v>1236</v>
      </c>
      <c r="Y138" s="13">
        <v>1129</v>
      </c>
      <c r="Z138" s="13">
        <v>1150</v>
      </c>
      <c r="AA138" s="13">
        <v>1133</v>
      </c>
      <c r="AB138" s="13">
        <v>1216</v>
      </c>
      <c r="AC138" s="13">
        <v>1196</v>
      </c>
      <c r="AD138" s="13">
        <v>1227</v>
      </c>
      <c r="AE138" s="13">
        <v>1187</v>
      </c>
      <c r="AF138" s="13">
        <v>1265</v>
      </c>
      <c r="AG138" s="13">
        <v>1223</v>
      </c>
      <c r="AH138" s="13">
        <v>1312</v>
      </c>
      <c r="AI138" s="13">
        <v>1411</v>
      </c>
      <c r="AJ138" s="13">
        <v>1385</v>
      </c>
      <c r="AK138" s="13">
        <v>1440</v>
      </c>
      <c r="AL138" s="13">
        <v>1575</v>
      </c>
      <c r="AM138" s="13">
        <v>1574</v>
      </c>
      <c r="AN138" s="13">
        <v>1274</v>
      </c>
      <c r="AO138" s="13">
        <v>1284</v>
      </c>
      <c r="AP138" s="13">
        <v>1412</v>
      </c>
      <c r="AQ138" s="13">
        <v>1315</v>
      </c>
      <c r="AR138" s="13">
        <v>1415</v>
      </c>
      <c r="AS138" s="13">
        <v>1815</v>
      </c>
      <c r="AT138" s="13">
        <v>2315</v>
      </c>
      <c r="AU138" s="13">
        <v>2261</v>
      </c>
      <c r="AV138" s="13">
        <v>2308</v>
      </c>
      <c r="AW138" s="13">
        <v>2569</v>
      </c>
      <c r="AX138" s="13">
        <v>2535</v>
      </c>
      <c r="AY138" s="13">
        <v>2382</v>
      </c>
      <c r="AZ138" s="13">
        <v>2438</v>
      </c>
      <c r="BA138" s="13">
        <v>2234</v>
      </c>
      <c r="BB138" s="13">
        <v>2482</v>
      </c>
      <c r="BC138" s="13">
        <v>2565</v>
      </c>
      <c r="BD138" s="13">
        <v>2851</v>
      </c>
      <c r="BE138" s="13">
        <v>2835</v>
      </c>
      <c r="BF138" s="13">
        <v>3045</v>
      </c>
      <c r="BG138" s="13">
        <v>3745</v>
      </c>
      <c r="BH138" s="13">
        <v>3085</v>
      </c>
      <c r="BI138" s="13">
        <v>2581</v>
      </c>
      <c r="BJ138" s="13">
        <v>2081</v>
      </c>
      <c r="BK138" s="13">
        <v>2163</v>
      </c>
      <c r="BL138" s="13">
        <v>1763</v>
      </c>
      <c r="BM138" s="4">
        <v>1463</v>
      </c>
      <c r="BN138" s="4">
        <v>1163</v>
      </c>
      <c r="BO138" s="4">
        <v>1152</v>
      </c>
      <c r="BP138" s="4">
        <v>1046</v>
      </c>
    </row>
    <row r="139" spans="1:68" ht="15.9" customHeight="1">
      <c r="A139" s="64" t="s">
        <v>273</v>
      </c>
      <c r="B139" s="6" t="s">
        <v>274</v>
      </c>
      <c r="C139" s="15" t="str">
        <f>_xll.RssMarket("4422","現在値")</f>
        <v/>
      </c>
      <c r="D139" s="16" t="e">
        <f t="shared" si="4"/>
        <v>#VALUE!</v>
      </c>
      <c r="E139" s="13">
        <v>517</v>
      </c>
      <c r="F139" s="13">
        <v>565</v>
      </c>
      <c r="G139" s="13">
        <v>543</v>
      </c>
      <c r="H139" s="13">
        <v>549</v>
      </c>
      <c r="I139" s="13">
        <v>570</v>
      </c>
      <c r="J139" s="13">
        <v>557</v>
      </c>
      <c r="K139" s="13">
        <v>559</v>
      </c>
      <c r="L139" s="13">
        <v>596</v>
      </c>
      <c r="M139" s="13">
        <v>585</v>
      </c>
      <c r="N139" s="13">
        <v>557</v>
      </c>
      <c r="O139" s="13">
        <v>554</v>
      </c>
      <c r="P139" s="13">
        <v>577</v>
      </c>
      <c r="Q139" s="13">
        <v>562</v>
      </c>
      <c r="R139" s="13">
        <v>568</v>
      </c>
      <c r="S139" s="13">
        <v>567</v>
      </c>
      <c r="T139" s="13">
        <v>554</v>
      </c>
      <c r="U139" s="13">
        <v>575</v>
      </c>
      <c r="V139" s="13">
        <v>609</v>
      </c>
      <c r="W139" s="13">
        <v>589</v>
      </c>
      <c r="X139" s="13">
        <v>632</v>
      </c>
      <c r="Y139" s="13">
        <v>625</v>
      </c>
      <c r="Z139" s="13">
        <v>644</v>
      </c>
      <c r="AA139" s="13">
        <v>778</v>
      </c>
      <c r="AB139" s="13">
        <v>747</v>
      </c>
      <c r="AC139" s="13">
        <v>915</v>
      </c>
      <c r="AD139" s="13">
        <v>765</v>
      </c>
      <c r="AE139" s="13">
        <v>665</v>
      </c>
      <c r="AF139" s="13">
        <v>674</v>
      </c>
      <c r="AG139" s="13">
        <v>683</v>
      </c>
      <c r="AH139" s="13">
        <v>707</v>
      </c>
      <c r="AI139" s="13">
        <v>692</v>
      </c>
      <c r="AJ139" s="13">
        <v>717</v>
      </c>
      <c r="AK139" s="13">
        <v>760</v>
      </c>
      <c r="AL139" s="13">
        <v>834</v>
      </c>
      <c r="AM139" s="13">
        <v>801</v>
      </c>
      <c r="AN139" s="13">
        <v>774</v>
      </c>
      <c r="AO139" s="13">
        <v>765</v>
      </c>
      <c r="AP139" s="13">
        <v>811</v>
      </c>
      <c r="AQ139" s="13">
        <v>847</v>
      </c>
      <c r="AR139" s="13">
        <v>846</v>
      </c>
      <c r="AS139" s="13">
        <v>864</v>
      </c>
      <c r="AT139" s="13">
        <v>937</v>
      </c>
      <c r="AU139" s="13">
        <v>1082</v>
      </c>
      <c r="AV139" s="13">
        <v>932</v>
      </c>
      <c r="AW139" s="13">
        <v>1020</v>
      </c>
      <c r="AX139" s="13">
        <v>1025</v>
      </c>
      <c r="AY139" s="13">
        <v>1014</v>
      </c>
      <c r="AZ139" s="13">
        <v>1056</v>
      </c>
      <c r="BA139" s="13">
        <v>1155</v>
      </c>
      <c r="BB139" s="13">
        <v>1236</v>
      </c>
      <c r="BC139" s="13">
        <v>1248</v>
      </c>
      <c r="BD139" s="13">
        <v>1434</v>
      </c>
      <c r="BE139" s="13">
        <v>1134</v>
      </c>
      <c r="BF139" s="13">
        <v>1298</v>
      </c>
      <c r="BG139" s="13">
        <v>1325</v>
      </c>
      <c r="BH139" s="13">
        <v>1397</v>
      </c>
      <c r="BI139" s="13">
        <v>1097</v>
      </c>
      <c r="BJ139" s="13">
        <v>947</v>
      </c>
      <c r="BK139" s="13">
        <v>1000</v>
      </c>
      <c r="BL139" s="13">
        <v>1050</v>
      </c>
      <c r="BM139" s="4">
        <v>900</v>
      </c>
      <c r="BN139" s="4">
        <v>886</v>
      </c>
      <c r="BO139" s="4">
        <v>891</v>
      </c>
      <c r="BP139" s="4">
        <v>741</v>
      </c>
    </row>
    <row r="140" spans="1:68" ht="15.9" customHeight="1">
      <c r="A140" s="64" t="s">
        <v>275</v>
      </c>
      <c r="B140" s="6" t="s">
        <v>276</v>
      </c>
      <c r="C140" s="15" t="str">
        <f>_xll.RssMarket("6740","現在値")</f>
        <v/>
      </c>
      <c r="D140" s="16" t="e">
        <f t="shared" si="4"/>
        <v>#VALUE!</v>
      </c>
      <c r="E140" s="13">
        <v>46</v>
      </c>
      <c r="F140" s="13">
        <v>50</v>
      </c>
      <c r="G140" s="13">
        <v>51</v>
      </c>
      <c r="H140" s="13">
        <v>52</v>
      </c>
      <c r="I140" s="13">
        <v>50</v>
      </c>
      <c r="J140" s="13">
        <v>52</v>
      </c>
      <c r="K140" s="13">
        <v>56</v>
      </c>
      <c r="L140" s="13">
        <v>53</v>
      </c>
      <c r="M140" s="13">
        <v>52</v>
      </c>
      <c r="N140" s="13">
        <v>54</v>
      </c>
      <c r="O140" s="13">
        <v>56</v>
      </c>
      <c r="P140" s="13">
        <v>60</v>
      </c>
      <c r="Q140" s="13">
        <v>55</v>
      </c>
      <c r="R140" s="13">
        <v>60</v>
      </c>
      <c r="S140" s="13">
        <v>49</v>
      </c>
      <c r="T140" s="13">
        <v>53</v>
      </c>
      <c r="U140" s="13">
        <v>55</v>
      </c>
      <c r="V140" s="13">
        <v>51</v>
      </c>
      <c r="W140" s="13">
        <v>45</v>
      </c>
      <c r="X140" s="13">
        <v>52</v>
      </c>
      <c r="Y140" s="13">
        <v>54</v>
      </c>
      <c r="Z140" s="13">
        <v>56</v>
      </c>
      <c r="AA140" s="13">
        <v>54</v>
      </c>
      <c r="AB140" s="13">
        <v>55</v>
      </c>
      <c r="AC140" s="13">
        <v>56</v>
      </c>
      <c r="AD140" s="13">
        <v>54</v>
      </c>
      <c r="AE140" s="13">
        <v>57</v>
      </c>
      <c r="AF140" s="13">
        <v>56</v>
      </c>
      <c r="AG140" s="13">
        <v>55</v>
      </c>
      <c r="AH140" s="13">
        <v>65</v>
      </c>
      <c r="AI140" s="13">
        <v>67</v>
      </c>
      <c r="AJ140" s="13">
        <v>63</v>
      </c>
      <c r="AK140" s="13">
        <v>62</v>
      </c>
      <c r="AL140" s="13">
        <v>66</v>
      </c>
      <c r="AM140" s="13">
        <v>70</v>
      </c>
      <c r="AN140" s="13">
        <v>68</v>
      </c>
      <c r="AO140" s="13">
        <v>70</v>
      </c>
      <c r="AP140" s="13">
        <v>71</v>
      </c>
      <c r="AQ140" s="13">
        <v>75</v>
      </c>
      <c r="AR140" s="13">
        <v>81</v>
      </c>
      <c r="AS140" s="13">
        <v>82</v>
      </c>
      <c r="AT140" s="13">
        <v>89</v>
      </c>
      <c r="AU140" s="13">
        <v>100</v>
      </c>
      <c r="AV140" s="13">
        <v>94</v>
      </c>
      <c r="AW140" s="13">
        <v>91</v>
      </c>
      <c r="AX140" s="13">
        <v>101</v>
      </c>
      <c r="AY140" s="13">
        <v>95</v>
      </c>
      <c r="AZ140" s="13">
        <v>103</v>
      </c>
      <c r="BA140" s="13">
        <v>104</v>
      </c>
      <c r="BB140" s="13">
        <v>120</v>
      </c>
      <c r="BC140" s="13">
        <v>110</v>
      </c>
      <c r="BD140" s="13">
        <v>109</v>
      </c>
      <c r="BE140" s="13">
        <v>92</v>
      </c>
      <c r="BF140" s="13">
        <v>90</v>
      </c>
      <c r="BG140" s="13">
        <v>82</v>
      </c>
      <c r="BH140" s="13">
        <v>83</v>
      </c>
      <c r="BI140" s="13">
        <v>87</v>
      </c>
      <c r="BJ140" s="13">
        <v>87</v>
      </c>
      <c r="BK140" s="13">
        <v>82</v>
      </c>
      <c r="BL140" s="13">
        <v>84</v>
      </c>
      <c r="BM140" s="4">
        <v>92</v>
      </c>
      <c r="BN140" s="4">
        <v>93</v>
      </c>
      <c r="BO140" s="4">
        <v>95</v>
      </c>
    </row>
    <row r="141" spans="1:68" ht="15.9" customHeight="1">
      <c r="A141" s="64" t="s">
        <v>277</v>
      </c>
      <c r="B141" s="6" t="s">
        <v>278</v>
      </c>
      <c r="C141" s="15" t="str">
        <f>_xll.RssMarket("6613","現在値")</f>
        <v/>
      </c>
      <c r="D141" s="16" t="e">
        <f t="shared" si="4"/>
        <v>#VALUE!</v>
      </c>
      <c r="E141" s="13">
        <v>1766</v>
      </c>
      <c r="F141" s="13">
        <v>2384</v>
      </c>
      <c r="G141" s="13">
        <v>2425</v>
      </c>
      <c r="H141" s="13">
        <v>2545</v>
      </c>
      <c r="I141" s="13">
        <v>2505</v>
      </c>
      <c r="J141" s="13">
        <v>2540</v>
      </c>
      <c r="K141" s="13">
        <v>2621</v>
      </c>
      <c r="L141" s="13">
        <v>2710</v>
      </c>
      <c r="M141" s="13">
        <v>2595</v>
      </c>
      <c r="N141" s="13">
        <v>2610</v>
      </c>
      <c r="O141" s="13">
        <v>2752</v>
      </c>
      <c r="P141" s="13">
        <v>2802</v>
      </c>
      <c r="Q141" s="13">
        <v>2765</v>
      </c>
      <c r="R141" s="13">
        <v>2840</v>
      </c>
      <c r="S141" s="13">
        <v>3255</v>
      </c>
      <c r="T141" s="13">
        <v>2752</v>
      </c>
      <c r="U141" s="13">
        <v>2877</v>
      </c>
      <c r="V141" s="13">
        <v>3020</v>
      </c>
      <c r="W141" s="13">
        <v>2520</v>
      </c>
      <c r="X141" s="13">
        <v>2377</v>
      </c>
      <c r="Y141" s="13">
        <v>2620</v>
      </c>
      <c r="Z141" s="13">
        <v>2409</v>
      </c>
      <c r="AA141" s="13">
        <v>2372</v>
      </c>
      <c r="AB141" s="13">
        <v>2550</v>
      </c>
      <c r="AC141" s="13">
        <v>2570</v>
      </c>
      <c r="AD141" s="13">
        <v>2450</v>
      </c>
      <c r="AE141" s="13">
        <v>2600</v>
      </c>
      <c r="AF141" s="13">
        <v>2740</v>
      </c>
      <c r="AG141" s="13">
        <v>2423</v>
      </c>
      <c r="AH141" s="13">
        <v>2424</v>
      </c>
      <c r="AI141" s="13">
        <v>2732</v>
      </c>
      <c r="AJ141" s="13">
        <v>2620</v>
      </c>
      <c r="AK141" s="13">
        <v>3190</v>
      </c>
      <c r="AL141" s="13">
        <v>3100</v>
      </c>
      <c r="AM141" s="13">
        <v>2600</v>
      </c>
      <c r="AN141" s="13">
        <v>2645</v>
      </c>
      <c r="AO141" s="13">
        <v>2626</v>
      </c>
      <c r="AP141" s="13">
        <v>2127</v>
      </c>
      <c r="AQ141" s="13">
        <v>1727</v>
      </c>
      <c r="AR141" s="13">
        <v>1579</v>
      </c>
      <c r="AS141" s="13">
        <v>1641</v>
      </c>
      <c r="AT141" s="13">
        <v>1680</v>
      </c>
      <c r="AU141" s="13">
        <v>1688</v>
      </c>
      <c r="AV141" s="13">
        <v>1853</v>
      </c>
      <c r="AW141" s="13">
        <v>1506</v>
      </c>
      <c r="AX141" s="13">
        <v>1419</v>
      </c>
      <c r="AY141" s="13">
        <v>1419</v>
      </c>
      <c r="AZ141" s="13">
        <v>1459</v>
      </c>
      <c r="BA141" s="13">
        <v>1533</v>
      </c>
      <c r="BB141" s="13">
        <v>1465</v>
      </c>
      <c r="BC141" s="13">
        <v>1544</v>
      </c>
      <c r="BD141" s="13">
        <v>1526</v>
      </c>
      <c r="BE141" s="13">
        <v>1609</v>
      </c>
      <c r="BF141" s="13">
        <v>1585</v>
      </c>
      <c r="BG141" s="13">
        <v>1285</v>
      </c>
      <c r="BH141" s="13">
        <v>1381</v>
      </c>
      <c r="BI141" s="13">
        <v>1338</v>
      </c>
      <c r="BJ141" s="13">
        <v>1462</v>
      </c>
      <c r="BK141" s="13">
        <v>1221</v>
      </c>
      <c r="BL141" s="13">
        <v>1086</v>
      </c>
      <c r="BM141" s="4">
        <v>1033</v>
      </c>
      <c r="BN141" s="4">
        <v>1115</v>
      </c>
      <c r="BO141" s="4">
        <v>1035</v>
      </c>
      <c r="BP141" s="4">
        <v>1048</v>
      </c>
    </row>
    <row r="142" spans="1:68" ht="15.9" customHeight="1">
      <c r="A142" s="64" t="s">
        <v>279</v>
      </c>
      <c r="B142" s="6" t="str">
        <f>銘柄管理!C142</f>
        <v/>
      </c>
      <c r="C142" s="15" t="str">
        <f>_xll.RssMarket("4568","現在値")</f>
        <v/>
      </c>
      <c r="D142" s="16"/>
      <c r="E142" s="13">
        <v>2791</v>
      </c>
      <c r="F142" s="13">
        <v>2677</v>
      </c>
      <c r="G142" s="13">
        <v>2679.5</v>
      </c>
      <c r="H142" s="13">
        <v>2691.5</v>
      </c>
      <c r="I142" s="13">
        <v>2730.5</v>
      </c>
      <c r="J142" s="13">
        <v>2733</v>
      </c>
      <c r="K142" s="13">
        <v>2717</v>
      </c>
      <c r="L142" s="13">
        <v>2758</v>
      </c>
      <c r="M142" s="13">
        <v>2649.5</v>
      </c>
      <c r="N142" s="13">
        <v>2641</v>
      </c>
      <c r="O142" s="13">
        <v>2578.5</v>
      </c>
      <c r="P142" s="13">
        <v>2608.5</v>
      </c>
      <c r="Q142" s="13">
        <v>2614</v>
      </c>
      <c r="R142" s="13">
        <v>2535.5</v>
      </c>
      <c r="S142" s="13">
        <v>2566.5</v>
      </c>
      <c r="T142" s="13">
        <v>2526.5</v>
      </c>
      <c r="U142" s="13">
        <v>2520</v>
      </c>
      <c r="V142" s="13">
        <v>2534.5</v>
      </c>
      <c r="W142" s="13">
        <v>2541.5</v>
      </c>
      <c r="X142" s="13">
        <v>2595.5</v>
      </c>
      <c r="Y142" s="13">
        <v>2519.5</v>
      </c>
      <c r="Z142" s="13">
        <v>2500.5</v>
      </c>
      <c r="AA142" s="13">
        <v>2495</v>
      </c>
      <c r="AB142" s="13">
        <v>2487.5</v>
      </c>
      <c r="AC142" s="13">
        <v>2528.5</v>
      </c>
      <c r="AD142" s="13">
        <v>2490</v>
      </c>
      <c r="AE142" s="13">
        <v>2392</v>
      </c>
      <c r="AF142" s="13">
        <v>2517</v>
      </c>
      <c r="AG142" s="13">
        <v>2582.5</v>
      </c>
      <c r="AH142" s="13">
        <v>2619</v>
      </c>
      <c r="AI142" s="13">
        <v>2700.5</v>
      </c>
      <c r="AJ142" s="13">
        <v>2662.5</v>
      </c>
      <c r="AK142" s="13">
        <v>2682</v>
      </c>
      <c r="AL142" s="13">
        <v>2700.5</v>
      </c>
      <c r="AM142" s="13">
        <v>2649.5</v>
      </c>
      <c r="AN142" s="13">
        <v>2664.5</v>
      </c>
      <c r="AO142" s="13">
        <v>2605.5</v>
      </c>
      <c r="AP142" s="13">
        <v>2636</v>
      </c>
      <c r="AQ142" s="13">
        <v>2620.5</v>
      </c>
      <c r="AR142" s="13">
        <v>2574</v>
      </c>
      <c r="AS142" s="13">
        <v>2582</v>
      </c>
      <c r="AT142" s="13">
        <v>2725.5</v>
      </c>
      <c r="AU142" s="13">
        <v>2738</v>
      </c>
      <c r="AV142" s="13">
        <v>2649</v>
      </c>
      <c r="AW142" s="13">
        <v>2596</v>
      </c>
      <c r="AX142" s="13">
        <v>2600</v>
      </c>
      <c r="AY142" s="13">
        <v>2616.5</v>
      </c>
      <c r="AZ142" s="13">
        <v>2588.5</v>
      </c>
      <c r="BA142" s="13">
        <v>2650.5</v>
      </c>
      <c r="BB142" s="13">
        <v>2602.5</v>
      </c>
      <c r="BC142" s="13">
        <v>2499</v>
      </c>
      <c r="BD142" s="13">
        <v>2790</v>
      </c>
      <c r="BE142" s="13">
        <v>2843.5</v>
      </c>
      <c r="BF142" s="13">
        <v>2915</v>
      </c>
      <c r="BG142" s="13">
        <v>3000</v>
      </c>
      <c r="BH142" s="13">
        <v>2939</v>
      </c>
      <c r="BI142" s="13">
        <v>2889</v>
      </c>
      <c r="BJ142" s="13">
        <v>2832</v>
      </c>
      <c r="BK142" s="13">
        <v>2734</v>
      </c>
      <c r="BL142" s="13">
        <v>2731.5</v>
      </c>
      <c r="BM142" s="4">
        <v>2772.5</v>
      </c>
      <c r="BN142" s="4">
        <v>2806.5</v>
      </c>
      <c r="BO142" s="4">
        <v>2832.5</v>
      </c>
      <c r="BP142" s="4">
        <v>2873</v>
      </c>
    </row>
    <row r="143" spans="1:68" ht="15.9" customHeight="1">
      <c r="A143" s="64" t="s">
        <v>280</v>
      </c>
      <c r="B143" s="6" t="s">
        <v>281</v>
      </c>
      <c r="C143" s="15" t="str">
        <f>_xll.RssMarket("6522","現在値")</f>
        <v/>
      </c>
      <c r="D143" s="16" t="e">
        <f t="shared" ref="D143:D188" si="5">C143-E143</f>
        <v>#VALUE!</v>
      </c>
      <c r="E143" s="13">
        <v>1308</v>
      </c>
      <c r="F143" s="13">
        <v>1899</v>
      </c>
      <c r="G143" s="13">
        <v>1825</v>
      </c>
      <c r="H143" s="13">
        <v>1980</v>
      </c>
      <c r="I143" s="13">
        <v>2050</v>
      </c>
      <c r="J143" s="13">
        <v>1900</v>
      </c>
      <c r="K143" s="13">
        <v>2400</v>
      </c>
      <c r="L143" s="13">
        <v>1696</v>
      </c>
      <c r="M143" s="13">
        <v>1950</v>
      </c>
      <c r="N143" s="13">
        <v>1960</v>
      </c>
      <c r="O143" s="13">
        <v>1560</v>
      </c>
      <c r="P143" s="13">
        <v>1330</v>
      </c>
      <c r="Q143" s="13">
        <v>1030</v>
      </c>
      <c r="R143" s="13">
        <v>1020</v>
      </c>
      <c r="S143" s="13">
        <v>1017</v>
      </c>
      <c r="T143" s="13">
        <v>1136</v>
      </c>
      <c r="U143" s="13">
        <v>1076</v>
      </c>
      <c r="V143" s="13">
        <v>1161</v>
      </c>
      <c r="W143" s="13">
        <v>1009</v>
      </c>
      <c r="X143" s="13">
        <v>731</v>
      </c>
      <c r="Y143" s="13">
        <v>720</v>
      </c>
      <c r="Z143" s="13">
        <v>710</v>
      </c>
      <c r="AA143" s="13">
        <v>743</v>
      </c>
      <c r="AB143" s="13">
        <v>748</v>
      </c>
      <c r="AC143" s="13">
        <v>747</v>
      </c>
      <c r="AD143" s="13">
        <v>753</v>
      </c>
      <c r="AE143" s="13">
        <v>786</v>
      </c>
      <c r="AF143" s="13">
        <v>812</v>
      </c>
      <c r="AG143" s="13">
        <v>796</v>
      </c>
      <c r="AH143" s="13">
        <v>945</v>
      </c>
      <c r="AI143" s="13">
        <v>795</v>
      </c>
      <c r="AJ143" s="13">
        <v>788</v>
      </c>
      <c r="AK143" s="13">
        <v>810</v>
      </c>
      <c r="AL143" s="13">
        <v>943</v>
      </c>
      <c r="AM143" s="13">
        <v>982</v>
      </c>
      <c r="AN143" s="13">
        <v>920</v>
      </c>
      <c r="AO143" s="13">
        <v>958</v>
      </c>
      <c r="AP143" s="13">
        <v>1002</v>
      </c>
      <c r="AQ143" s="13">
        <v>1012</v>
      </c>
      <c r="AR143" s="13">
        <v>1038</v>
      </c>
      <c r="AS143" s="13">
        <v>1019</v>
      </c>
      <c r="AT143" s="13">
        <v>1067</v>
      </c>
      <c r="AU143" s="13">
        <v>1180</v>
      </c>
      <c r="AV143" s="13">
        <v>1263</v>
      </c>
      <c r="AW143" s="13">
        <v>1216</v>
      </c>
      <c r="AX143" s="13">
        <v>1182</v>
      </c>
      <c r="AY143" s="13">
        <v>1141</v>
      </c>
      <c r="AZ143" s="13">
        <v>1173</v>
      </c>
      <c r="BA143" s="13">
        <v>1251</v>
      </c>
      <c r="BB143" s="13">
        <v>1199</v>
      </c>
      <c r="BC143" s="13">
        <v>1235</v>
      </c>
      <c r="BD143" s="13">
        <v>1351</v>
      </c>
      <c r="BE143" s="13">
        <v>1336</v>
      </c>
      <c r="BF143" s="13">
        <v>1036</v>
      </c>
      <c r="BG143" s="13">
        <v>1068</v>
      </c>
      <c r="BH143" s="13">
        <v>1086</v>
      </c>
      <c r="BI143" s="13">
        <v>936</v>
      </c>
      <c r="BJ143" s="13">
        <v>1013</v>
      </c>
      <c r="BK143" s="13">
        <v>1024</v>
      </c>
      <c r="BL143" s="13">
        <v>1020</v>
      </c>
      <c r="BM143" s="4">
        <v>975</v>
      </c>
      <c r="BN143" s="4">
        <v>1075</v>
      </c>
      <c r="BO143" s="4">
        <v>1058</v>
      </c>
      <c r="BP143" s="4">
        <v>1052</v>
      </c>
    </row>
    <row r="144" spans="1:68" ht="15.9" customHeight="1">
      <c r="A144" s="64" t="s">
        <v>282</v>
      </c>
      <c r="B144" s="6" t="s">
        <v>283</v>
      </c>
      <c r="C144" s="15" t="str">
        <f>_xll.RssMarket("6777","現在値")</f>
        <v/>
      </c>
      <c r="D144" s="16" t="e">
        <f t="shared" si="5"/>
        <v>#VALUE!</v>
      </c>
      <c r="E144" s="13">
        <v>18630</v>
      </c>
      <c r="F144" s="13">
        <v>21850</v>
      </c>
      <c r="G144" s="13">
        <v>21000</v>
      </c>
      <c r="H144" s="13">
        <v>20820</v>
      </c>
      <c r="I144" s="13">
        <v>20790</v>
      </c>
      <c r="J144" s="13">
        <v>20500</v>
      </c>
      <c r="K144" s="13">
        <v>20220</v>
      </c>
      <c r="L144" s="13">
        <v>23130</v>
      </c>
      <c r="M144" s="13">
        <v>23350</v>
      </c>
      <c r="N144" s="13">
        <v>23700</v>
      </c>
      <c r="O144" s="13">
        <v>25800</v>
      </c>
      <c r="P144" s="13">
        <v>26590</v>
      </c>
      <c r="Q144" s="13">
        <v>26360</v>
      </c>
      <c r="R144" s="13">
        <v>28000</v>
      </c>
      <c r="S144" s="13">
        <v>28100</v>
      </c>
      <c r="T144" s="13">
        <v>27150</v>
      </c>
      <c r="U144" s="13">
        <v>27360</v>
      </c>
      <c r="V144" s="13">
        <v>30150</v>
      </c>
      <c r="W144" s="13">
        <v>28910</v>
      </c>
      <c r="X144" s="13">
        <v>27070</v>
      </c>
      <c r="Y144" s="13">
        <v>23220</v>
      </c>
      <c r="Z144" s="13">
        <v>22800</v>
      </c>
      <c r="AA144" s="13">
        <v>23640</v>
      </c>
      <c r="AB144" s="13">
        <v>23200</v>
      </c>
      <c r="AC144" s="13">
        <v>25170</v>
      </c>
      <c r="AD144" s="13">
        <v>25730</v>
      </c>
      <c r="AE144" s="13">
        <v>26130</v>
      </c>
      <c r="AF144" s="13">
        <v>25450</v>
      </c>
      <c r="AG144" s="13">
        <v>25380</v>
      </c>
      <c r="AH144" s="13">
        <v>24980</v>
      </c>
      <c r="AI144" s="13">
        <v>24670</v>
      </c>
      <c r="AJ144" s="13">
        <v>25060</v>
      </c>
      <c r="AK144" s="13">
        <v>28440</v>
      </c>
      <c r="AL144" s="13">
        <v>27250</v>
      </c>
      <c r="AM144" s="13">
        <v>26020</v>
      </c>
      <c r="AN144" s="13">
        <v>26860</v>
      </c>
      <c r="AO144" s="13">
        <v>27650</v>
      </c>
      <c r="AP144" s="13">
        <v>32300</v>
      </c>
      <c r="AQ144" s="13">
        <v>29750</v>
      </c>
      <c r="AR144" s="13">
        <v>31950</v>
      </c>
      <c r="AS144" s="13">
        <v>33000</v>
      </c>
      <c r="AT144" s="13">
        <v>31000</v>
      </c>
      <c r="AU144" s="13">
        <v>27230</v>
      </c>
      <c r="AV144" s="13">
        <v>27720</v>
      </c>
      <c r="AW144" s="13">
        <v>28230</v>
      </c>
      <c r="AX144" s="13">
        <v>27830</v>
      </c>
      <c r="AY144" s="13">
        <v>27940</v>
      </c>
      <c r="AZ144" s="13">
        <v>28580</v>
      </c>
      <c r="BA144" s="13">
        <v>28680</v>
      </c>
      <c r="BB144" s="13">
        <v>28700</v>
      </c>
      <c r="BC144" s="13">
        <v>30950</v>
      </c>
      <c r="BD144" s="13">
        <v>29450</v>
      </c>
      <c r="BE144" s="13">
        <v>29770</v>
      </c>
      <c r="BF144" s="13">
        <v>29280</v>
      </c>
      <c r="BG144" s="13">
        <v>26530</v>
      </c>
      <c r="BH144" s="13">
        <v>24420</v>
      </c>
      <c r="BI144" s="13">
        <v>24630</v>
      </c>
      <c r="BJ144" s="13">
        <v>24760</v>
      </c>
      <c r="BK144" s="13">
        <v>23730</v>
      </c>
      <c r="BL144" s="13">
        <v>21980</v>
      </c>
      <c r="BM144" s="4">
        <v>20830</v>
      </c>
      <c r="BN144" s="4">
        <v>21330</v>
      </c>
      <c r="BO144" s="4">
        <v>19350</v>
      </c>
      <c r="BP144" s="4">
        <v>19640</v>
      </c>
    </row>
    <row r="145" spans="1:68" ht="15.9" customHeight="1">
      <c r="A145" s="64" t="s">
        <v>284</v>
      </c>
      <c r="B145" s="6" t="s">
        <v>285</v>
      </c>
      <c r="C145" s="15" t="str">
        <f>_xll.RssMarket("6787","現在値")</f>
        <v/>
      </c>
      <c r="D145" s="16" t="e">
        <f t="shared" si="5"/>
        <v>#VALUE!</v>
      </c>
      <c r="E145" s="13">
        <v>22630</v>
      </c>
      <c r="F145" s="13">
        <v>26930</v>
      </c>
      <c r="G145" s="13">
        <v>25720</v>
      </c>
      <c r="H145" s="13">
        <v>25880</v>
      </c>
      <c r="I145" s="13">
        <v>26160</v>
      </c>
      <c r="J145" s="13">
        <v>25800</v>
      </c>
      <c r="K145" s="13">
        <v>25470</v>
      </c>
      <c r="L145" s="13">
        <v>27620</v>
      </c>
      <c r="M145" s="13">
        <v>29330</v>
      </c>
      <c r="N145" s="13">
        <v>28580</v>
      </c>
      <c r="O145" s="13">
        <v>29520</v>
      </c>
      <c r="P145" s="13">
        <v>31000</v>
      </c>
      <c r="Q145" s="13">
        <v>31650</v>
      </c>
      <c r="R145" s="13">
        <v>30250</v>
      </c>
      <c r="S145" s="13">
        <v>32400</v>
      </c>
      <c r="T145" s="13">
        <v>32550</v>
      </c>
      <c r="U145" s="13">
        <v>37050</v>
      </c>
      <c r="V145" s="13">
        <v>39900</v>
      </c>
      <c r="W145" s="13">
        <v>35750</v>
      </c>
      <c r="X145" s="13">
        <v>34850</v>
      </c>
      <c r="Y145" s="13">
        <v>30850</v>
      </c>
      <c r="Z145" s="13">
        <v>29180</v>
      </c>
      <c r="AA145" s="13">
        <v>30900</v>
      </c>
      <c r="AB145" s="13">
        <v>33900</v>
      </c>
      <c r="AC145" s="13">
        <v>35600</v>
      </c>
      <c r="AD145" s="13">
        <v>37300</v>
      </c>
      <c r="AE145" s="13">
        <v>37100</v>
      </c>
      <c r="AF145" s="13">
        <v>39200</v>
      </c>
      <c r="AG145" s="13">
        <v>38550</v>
      </c>
      <c r="AH145" s="13">
        <v>38600</v>
      </c>
      <c r="AI145" s="13">
        <v>37600</v>
      </c>
      <c r="AJ145" s="13">
        <v>37900</v>
      </c>
      <c r="AK145" s="13">
        <v>42750</v>
      </c>
      <c r="AL145" s="13">
        <v>43450</v>
      </c>
      <c r="AM145" s="13">
        <v>40050</v>
      </c>
      <c r="AN145" s="13">
        <v>35400</v>
      </c>
      <c r="AO145" s="13">
        <v>36850</v>
      </c>
      <c r="AP145" s="13">
        <v>39800</v>
      </c>
      <c r="AQ145" s="13">
        <v>36200</v>
      </c>
      <c r="AR145" s="13">
        <v>38650</v>
      </c>
      <c r="AS145" s="13">
        <v>31650</v>
      </c>
      <c r="AT145" s="13">
        <v>30750</v>
      </c>
      <c r="AU145" s="13">
        <v>31500</v>
      </c>
      <c r="AV145" s="13">
        <v>33500</v>
      </c>
      <c r="AW145" s="13">
        <v>31200</v>
      </c>
      <c r="AX145" s="13">
        <v>29740</v>
      </c>
      <c r="AY145" s="13">
        <v>31650</v>
      </c>
      <c r="AZ145" s="13">
        <v>32000</v>
      </c>
      <c r="BA145" s="13">
        <v>30800</v>
      </c>
      <c r="BB145" s="13">
        <v>29440</v>
      </c>
      <c r="BC145" s="13">
        <v>28170</v>
      </c>
      <c r="BD145" s="13">
        <v>29330</v>
      </c>
      <c r="BE145" s="13">
        <v>27830</v>
      </c>
      <c r="BF145" s="13">
        <v>27340</v>
      </c>
      <c r="BG145" s="13">
        <v>28650</v>
      </c>
      <c r="BH145" s="13">
        <v>29730</v>
      </c>
      <c r="BI145" s="13">
        <v>28240</v>
      </c>
      <c r="BJ145" s="13">
        <v>29370</v>
      </c>
      <c r="BK145" s="13">
        <v>26150</v>
      </c>
      <c r="BL145" s="13">
        <v>26460</v>
      </c>
      <c r="BM145" s="4">
        <v>27020</v>
      </c>
      <c r="BN145" s="4">
        <v>26160</v>
      </c>
      <c r="BO145" s="4">
        <v>24730</v>
      </c>
      <c r="BP145" s="4">
        <v>25680</v>
      </c>
    </row>
    <row r="146" spans="1:68" ht="15.9" customHeight="1">
      <c r="A146" s="64" t="s">
        <v>286</v>
      </c>
      <c r="B146" s="6" t="s">
        <v>287</v>
      </c>
      <c r="C146" s="15" t="str">
        <f>_xll.RssMarket("4888","現在値")</f>
        <v/>
      </c>
      <c r="D146" s="16" t="e">
        <f t="shared" si="5"/>
        <v>#VALUE!</v>
      </c>
      <c r="E146" s="13">
        <v>305</v>
      </c>
      <c r="F146" s="13">
        <v>337</v>
      </c>
      <c r="G146" s="13">
        <v>325</v>
      </c>
      <c r="H146" s="13">
        <v>326</v>
      </c>
      <c r="I146" s="13">
        <v>324</v>
      </c>
      <c r="J146" s="13">
        <v>302</v>
      </c>
      <c r="K146" s="13">
        <v>301</v>
      </c>
      <c r="L146" s="13">
        <v>311</v>
      </c>
      <c r="M146" s="13">
        <v>312</v>
      </c>
      <c r="N146" s="13">
        <v>304</v>
      </c>
      <c r="O146" s="13">
        <v>307</v>
      </c>
      <c r="P146" s="13">
        <v>311</v>
      </c>
      <c r="Q146" s="13">
        <v>310</v>
      </c>
      <c r="R146" s="13">
        <v>300</v>
      </c>
      <c r="S146" s="13">
        <v>312</v>
      </c>
      <c r="T146" s="13">
        <v>315</v>
      </c>
      <c r="U146" s="13">
        <v>321</v>
      </c>
      <c r="V146" s="13">
        <v>336</v>
      </c>
      <c r="W146" s="13">
        <v>352</v>
      </c>
      <c r="X146" s="13">
        <v>350</v>
      </c>
      <c r="Y146" s="13">
        <v>332</v>
      </c>
      <c r="Z146" s="13">
        <v>333</v>
      </c>
      <c r="AA146" s="13">
        <v>318</v>
      </c>
      <c r="AB146" s="13">
        <v>305</v>
      </c>
      <c r="AC146" s="13">
        <v>300</v>
      </c>
      <c r="AD146" s="13">
        <v>344</v>
      </c>
      <c r="AE146" s="13">
        <v>343</v>
      </c>
      <c r="AF146" s="13">
        <v>349</v>
      </c>
      <c r="AG146" s="13">
        <v>332</v>
      </c>
      <c r="AH146" s="13">
        <v>339</v>
      </c>
      <c r="AI146" s="13">
        <v>357</v>
      </c>
      <c r="AJ146" s="13">
        <v>388</v>
      </c>
      <c r="AK146" s="13">
        <v>392</v>
      </c>
      <c r="AL146" s="13">
        <v>444</v>
      </c>
      <c r="AM146" s="13">
        <v>445</v>
      </c>
      <c r="AN146" s="13">
        <v>441</v>
      </c>
      <c r="AO146" s="13">
        <v>412</v>
      </c>
      <c r="AP146" s="13">
        <v>432</v>
      </c>
      <c r="AQ146" s="13">
        <v>433</v>
      </c>
      <c r="AR146" s="13">
        <v>413</v>
      </c>
      <c r="AS146" s="13">
        <v>411</v>
      </c>
      <c r="AT146" s="13">
        <v>479</v>
      </c>
      <c r="AU146" s="13">
        <v>469</v>
      </c>
      <c r="AV146" s="13">
        <v>487</v>
      </c>
      <c r="AW146" s="13">
        <v>530</v>
      </c>
      <c r="AX146" s="13">
        <v>532</v>
      </c>
      <c r="AY146" s="13">
        <v>525</v>
      </c>
      <c r="AZ146" s="13">
        <v>514</v>
      </c>
      <c r="BA146" s="13">
        <v>519</v>
      </c>
      <c r="BB146" s="13">
        <v>540</v>
      </c>
      <c r="BC146" s="13">
        <v>543</v>
      </c>
      <c r="BD146" s="13">
        <v>543</v>
      </c>
      <c r="BE146" s="13">
        <v>565</v>
      </c>
      <c r="BF146" s="13">
        <v>626</v>
      </c>
      <c r="BG146" s="13">
        <v>716</v>
      </c>
      <c r="BH146" s="13">
        <v>713</v>
      </c>
      <c r="BI146" s="13">
        <v>750</v>
      </c>
      <c r="BJ146" s="13">
        <v>650</v>
      </c>
      <c r="BK146" s="13">
        <v>711</v>
      </c>
      <c r="BL146" s="13">
        <v>717</v>
      </c>
      <c r="BM146" s="4">
        <v>720</v>
      </c>
      <c r="BN146" s="4">
        <v>709</v>
      </c>
      <c r="BO146" s="4">
        <v>690</v>
      </c>
      <c r="BP146" s="4">
        <v>643</v>
      </c>
    </row>
    <row r="147" spans="1:68" ht="15.9" customHeight="1">
      <c r="A147" s="64" t="s">
        <v>288</v>
      </c>
      <c r="B147" s="6" t="s">
        <v>289</v>
      </c>
      <c r="C147" s="15" t="str">
        <f>_xll.RssMarket("6387","現在値")</f>
        <v/>
      </c>
      <c r="D147" s="16" t="e">
        <f t="shared" si="5"/>
        <v>#VALUE!</v>
      </c>
      <c r="E147" s="13">
        <v>9990</v>
      </c>
      <c r="F147" s="13">
        <v>12450</v>
      </c>
      <c r="G147" s="13">
        <v>12160</v>
      </c>
      <c r="H147" s="13">
        <v>12920</v>
      </c>
      <c r="I147" s="13">
        <v>12980</v>
      </c>
      <c r="J147" s="13">
        <v>11830</v>
      </c>
      <c r="K147" s="13">
        <v>11170</v>
      </c>
      <c r="L147" s="13">
        <v>12080</v>
      </c>
      <c r="M147" s="13">
        <v>13400</v>
      </c>
      <c r="N147" s="13">
        <v>13200</v>
      </c>
      <c r="O147" s="13">
        <v>14060</v>
      </c>
      <c r="P147" s="13">
        <v>13860</v>
      </c>
      <c r="Q147" s="13">
        <v>14000</v>
      </c>
      <c r="R147" s="13">
        <v>13850</v>
      </c>
      <c r="S147" s="13">
        <v>14380</v>
      </c>
      <c r="T147" s="13">
        <v>14140</v>
      </c>
      <c r="U147" s="13">
        <v>14590</v>
      </c>
      <c r="V147" s="13">
        <v>15590</v>
      </c>
      <c r="W147" s="13">
        <v>14580</v>
      </c>
      <c r="X147" s="13">
        <v>16190</v>
      </c>
      <c r="Y147" s="13">
        <v>16220</v>
      </c>
      <c r="Z147" s="13">
        <v>12300</v>
      </c>
      <c r="AA147" s="13">
        <v>11190</v>
      </c>
      <c r="AB147" s="13">
        <v>11760</v>
      </c>
      <c r="AC147" s="13">
        <v>12680</v>
      </c>
      <c r="AD147" s="13">
        <v>12880</v>
      </c>
      <c r="AE147" s="13">
        <v>12380</v>
      </c>
      <c r="AF147" s="13">
        <v>12050</v>
      </c>
      <c r="AG147" s="13">
        <v>11050</v>
      </c>
      <c r="AH147" s="13">
        <v>10080</v>
      </c>
      <c r="AI147" s="13">
        <v>10290</v>
      </c>
      <c r="AJ147" s="13">
        <v>10490</v>
      </c>
      <c r="AK147" s="13">
        <v>11640</v>
      </c>
      <c r="AL147" s="13">
        <v>11890</v>
      </c>
      <c r="AM147" s="13">
        <v>10820</v>
      </c>
      <c r="AN147" s="13">
        <v>10900</v>
      </c>
      <c r="AO147" s="13">
        <v>11040</v>
      </c>
      <c r="AP147" s="13">
        <v>12120</v>
      </c>
      <c r="AQ147" s="13">
        <v>12030</v>
      </c>
      <c r="AR147" s="13">
        <v>13200</v>
      </c>
      <c r="AS147" s="13">
        <v>13170</v>
      </c>
      <c r="AT147" s="13">
        <v>12690</v>
      </c>
      <c r="AU147" s="13">
        <v>12870</v>
      </c>
      <c r="AV147" s="13">
        <v>13410</v>
      </c>
      <c r="AW147" s="13">
        <v>14370</v>
      </c>
      <c r="AX147" s="13">
        <v>11470</v>
      </c>
      <c r="AY147" s="13">
        <v>11560</v>
      </c>
      <c r="AZ147" s="13">
        <v>11250</v>
      </c>
      <c r="BA147" s="13">
        <v>11100</v>
      </c>
      <c r="BB147" s="13">
        <v>10860</v>
      </c>
      <c r="BC147" s="13">
        <v>11040</v>
      </c>
      <c r="BD147" s="13">
        <v>10350</v>
      </c>
      <c r="BE147" s="13">
        <v>9520</v>
      </c>
      <c r="BF147" s="13">
        <v>9550</v>
      </c>
      <c r="BG147" s="13">
        <v>9640</v>
      </c>
      <c r="BH147" s="13">
        <v>10110</v>
      </c>
      <c r="BI147" s="13">
        <v>9730</v>
      </c>
      <c r="BJ147" s="13">
        <v>10190</v>
      </c>
      <c r="BK147" s="13">
        <v>9780</v>
      </c>
      <c r="BL147" s="13">
        <v>9220</v>
      </c>
      <c r="BM147" s="4">
        <v>9290</v>
      </c>
      <c r="BN147" s="4">
        <v>9200</v>
      </c>
      <c r="BO147" s="4">
        <v>8400</v>
      </c>
      <c r="BP147" s="4">
        <v>8430</v>
      </c>
    </row>
    <row r="148" spans="1:68" ht="15.9" customHeight="1">
      <c r="A148" s="64" t="s">
        <v>290</v>
      </c>
      <c r="B148" s="6" t="s">
        <v>291</v>
      </c>
      <c r="C148" s="15" t="str">
        <f>_xll.RssMarket("6838","現在値")</f>
        <v/>
      </c>
      <c r="D148" s="16" t="e">
        <f t="shared" si="5"/>
        <v>#VALUE!</v>
      </c>
      <c r="E148" s="13">
        <v>1344</v>
      </c>
      <c r="F148" s="13">
        <v>1496</v>
      </c>
      <c r="G148" s="13">
        <v>1446</v>
      </c>
      <c r="H148" s="13">
        <v>1456</v>
      </c>
      <c r="I148" s="13">
        <v>1542</v>
      </c>
      <c r="J148" s="13">
        <v>1525</v>
      </c>
      <c r="K148" s="13">
        <v>1521</v>
      </c>
      <c r="L148" s="13">
        <v>1745</v>
      </c>
      <c r="M148" s="13">
        <v>1747</v>
      </c>
      <c r="N148" s="13">
        <v>1726</v>
      </c>
      <c r="O148" s="13">
        <v>1738</v>
      </c>
      <c r="P148" s="13">
        <v>1764</v>
      </c>
      <c r="Q148" s="13">
        <v>1822</v>
      </c>
      <c r="R148" s="13">
        <v>1941</v>
      </c>
      <c r="S148" s="13">
        <v>2125</v>
      </c>
      <c r="T148" s="13">
        <v>1892</v>
      </c>
      <c r="U148" s="13">
        <v>1980</v>
      </c>
      <c r="V148" s="13">
        <v>2026</v>
      </c>
      <c r="W148" s="13">
        <v>2048</v>
      </c>
      <c r="X148" s="13">
        <v>2153</v>
      </c>
      <c r="Y148" s="13">
        <v>2280</v>
      </c>
      <c r="Z148" s="13">
        <v>1795</v>
      </c>
      <c r="AA148" s="13">
        <v>1750</v>
      </c>
      <c r="AB148" s="13">
        <v>1836</v>
      </c>
      <c r="AC148" s="13">
        <v>2135</v>
      </c>
      <c r="AD148" s="13">
        <v>2389</v>
      </c>
      <c r="AE148" s="13">
        <v>2446</v>
      </c>
      <c r="AF148" s="13">
        <v>2407</v>
      </c>
      <c r="AG148" s="13">
        <v>2283</v>
      </c>
      <c r="AH148" s="13">
        <v>2286</v>
      </c>
      <c r="AI148" s="13">
        <v>2087</v>
      </c>
      <c r="AJ148" s="13">
        <v>2210</v>
      </c>
      <c r="AK148" s="13">
        <v>2224</v>
      </c>
      <c r="AL148" s="13">
        <v>2194</v>
      </c>
      <c r="AM148" s="13">
        <v>2083</v>
      </c>
      <c r="AN148" s="13">
        <v>1957</v>
      </c>
      <c r="AO148" s="13">
        <v>1918</v>
      </c>
      <c r="AP148" s="13">
        <v>2024</v>
      </c>
      <c r="AQ148" s="13">
        <v>2182</v>
      </c>
      <c r="AR148" s="13">
        <v>2000</v>
      </c>
      <c r="AS148" s="13">
        <v>1910</v>
      </c>
      <c r="AT148" s="13">
        <v>1935</v>
      </c>
      <c r="AU148" s="13">
        <v>1973</v>
      </c>
      <c r="AV148" s="13">
        <v>2172</v>
      </c>
      <c r="AW148" s="13">
        <v>1930</v>
      </c>
      <c r="AX148" s="13">
        <v>1751</v>
      </c>
      <c r="AY148" s="13">
        <v>1649</v>
      </c>
      <c r="AZ148" s="13">
        <v>1684</v>
      </c>
      <c r="BA148" s="13">
        <v>1622</v>
      </c>
      <c r="BB148" s="13">
        <v>1634</v>
      </c>
      <c r="BC148" s="13">
        <v>1709</v>
      </c>
      <c r="BD148" s="13">
        <v>1791</v>
      </c>
      <c r="BE148" s="13">
        <v>1826</v>
      </c>
      <c r="BF148" s="13">
        <v>1808</v>
      </c>
      <c r="BG148" s="13">
        <v>1750</v>
      </c>
      <c r="BH148" s="13">
        <v>1487</v>
      </c>
      <c r="BI148" s="13">
        <v>1378</v>
      </c>
      <c r="BJ148" s="13">
        <v>1259</v>
      </c>
      <c r="BK148" s="13">
        <v>1282</v>
      </c>
      <c r="BL148" s="13">
        <v>1287</v>
      </c>
      <c r="BM148" s="4">
        <v>1265</v>
      </c>
      <c r="BN148" s="4">
        <v>1342</v>
      </c>
      <c r="BO148" s="4">
        <v>1398</v>
      </c>
      <c r="BP148" s="4">
        <v>1345</v>
      </c>
    </row>
    <row r="149" spans="1:68" ht="15.9" customHeight="1">
      <c r="A149" s="64" t="s">
        <v>292</v>
      </c>
      <c r="B149" s="6" t="s">
        <v>293</v>
      </c>
      <c r="C149" s="15" t="str">
        <f>_xll.RssMarket("7375","現在値")</f>
        <v/>
      </c>
      <c r="D149" s="16" t="e">
        <f t="shared" si="5"/>
        <v>#VALUE!</v>
      </c>
      <c r="E149" s="13">
        <v>1186</v>
      </c>
      <c r="F149" s="13">
        <v>1305</v>
      </c>
      <c r="G149" s="13">
        <v>1255</v>
      </c>
      <c r="H149" s="13">
        <v>1270</v>
      </c>
      <c r="I149" s="13">
        <v>1259</v>
      </c>
      <c r="J149" s="13">
        <v>1230</v>
      </c>
      <c r="K149" s="13">
        <v>1216</v>
      </c>
      <c r="L149" s="13">
        <v>1242</v>
      </c>
      <c r="M149" s="13">
        <v>1254</v>
      </c>
      <c r="N149" s="13">
        <v>1237</v>
      </c>
      <c r="O149" s="13">
        <v>1224</v>
      </c>
      <c r="P149" s="13">
        <v>1245</v>
      </c>
      <c r="Q149" s="13">
        <v>1320</v>
      </c>
      <c r="R149" s="13">
        <v>1332</v>
      </c>
      <c r="S149" s="13">
        <v>1363</v>
      </c>
      <c r="T149" s="13">
        <v>1366</v>
      </c>
      <c r="U149" s="13">
        <v>1418</v>
      </c>
      <c r="V149" s="13">
        <v>1370</v>
      </c>
      <c r="W149" s="13">
        <v>1329</v>
      </c>
      <c r="X149" s="13">
        <v>1325</v>
      </c>
      <c r="Y149" s="13">
        <v>1294</v>
      </c>
      <c r="Z149" s="13">
        <v>1312</v>
      </c>
      <c r="AA149" s="13">
        <v>1345</v>
      </c>
      <c r="AB149" s="13">
        <v>1412</v>
      </c>
      <c r="AC149" s="13">
        <v>1436</v>
      </c>
      <c r="AD149" s="13">
        <v>1406</v>
      </c>
      <c r="AE149" s="13">
        <v>1446</v>
      </c>
      <c r="AF149" s="13">
        <v>1421</v>
      </c>
      <c r="AG149" s="13">
        <v>1447</v>
      </c>
      <c r="AH149" s="13">
        <v>1480</v>
      </c>
      <c r="AI149" s="13">
        <v>1588</v>
      </c>
      <c r="AJ149" s="13">
        <v>1606</v>
      </c>
      <c r="AK149" s="13">
        <v>1890</v>
      </c>
      <c r="AL149" s="13">
        <v>2030</v>
      </c>
      <c r="AM149" s="13">
        <v>1773</v>
      </c>
      <c r="AN149" s="13">
        <v>1877</v>
      </c>
      <c r="AO149" s="13">
        <v>1958</v>
      </c>
      <c r="AP149" s="13">
        <v>1940</v>
      </c>
      <c r="AQ149" s="13">
        <v>1540</v>
      </c>
      <c r="AR149" s="13">
        <v>1530</v>
      </c>
      <c r="AS149" s="13">
        <v>1624</v>
      </c>
      <c r="AT149" s="13">
        <v>1660</v>
      </c>
      <c r="AU149" s="13">
        <v>1664</v>
      </c>
      <c r="AV149" s="13">
        <v>1717</v>
      </c>
      <c r="AW149" s="13">
        <v>1748</v>
      </c>
      <c r="AX149" s="13">
        <v>1853</v>
      </c>
      <c r="AY149" s="13">
        <v>2121</v>
      </c>
      <c r="AZ149" s="13">
        <v>2127</v>
      </c>
      <c r="BA149" s="13">
        <v>1931</v>
      </c>
      <c r="BB149" s="13">
        <v>2030</v>
      </c>
      <c r="BC149" s="13">
        <v>2130</v>
      </c>
      <c r="BD149" s="13">
        <v>2265</v>
      </c>
      <c r="BE149" s="13">
        <v>2262</v>
      </c>
      <c r="BF149" s="13">
        <v>1862</v>
      </c>
      <c r="BG149" s="13">
        <v>2045</v>
      </c>
      <c r="BH149" s="13">
        <v>1988</v>
      </c>
      <c r="BI149" s="13">
        <v>2127</v>
      </c>
      <c r="BJ149" s="13">
        <v>1727</v>
      </c>
      <c r="BK149" s="13">
        <v>1644</v>
      </c>
      <c r="BL149" s="13">
        <v>1344</v>
      </c>
      <c r="BM149" s="4">
        <v>1415</v>
      </c>
      <c r="BN149" s="4">
        <v>1533</v>
      </c>
      <c r="BO149" s="4">
        <v>1933</v>
      </c>
      <c r="BP149" s="4">
        <v>1829</v>
      </c>
    </row>
    <row r="150" spans="1:68" ht="15.9" customHeight="1">
      <c r="A150" s="64" t="s">
        <v>294</v>
      </c>
      <c r="B150" s="6" t="s">
        <v>295</v>
      </c>
      <c r="C150" s="15" t="str">
        <f>_xll.RssMarket("4307","現在値")</f>
        <v/>
      </c>
      <c r="D150" s="16" t="e">
        <f t="shared" si="5"/>
        <v>#VALUE!</v>
      </c>
      <c r="E150" s="13">
        <v>5076</v>
      </c>
      <c r="F150" s="13">
        <v>4936</v>
      </c>
      <c r="G150" s="13">
        <v>5063</v>
      </c>
      <c r="H150" s="13">
        <v>5037</v>
      </c>
      <c r="I150" s="13">
        <v>4979</v>
      </c>
      <c r="J150" s="13">
        <v>5018</v>
      </c>
      <c r="K150" s="13">
        <v>5000</v>
      </c>
      <c r="L150" s="13">
        <v>5087</v>
      </c>
      <c r="M150" s="13">
        <v>4910</v>
      </c>
      <c r="N150" s="13">
        <v>4836</v>
      </c>
      <c r="O150" s="13">
        <v>4551</v>
      </c>
      <c r="P150" s="13">
        <v>4592</v>
      </c>
      <c r="Q150" s="13">
        <v>4630</v>
      </c>
      <c r="R150" s="13">
        <v>4301</v>
      </c>
      <c r="S150" s="13">
        <v>4267</v>
      </c>
      <c r="T150" s="13">
        <v>4368</v>
      </c>
      <c r="U150" s="13">
        <v>4304</v>
      </c>
      <c r="V150" s="13">
        <v>4256</v>
      </c>
      <c r="W150" s="13">
        <v>4358</v>
      </c>
      <c r="X150" s="13">
        <v>4596</v>
      </c>
      <c r="Y150" s="13">
        <v>4505</v>
      </c>
      <c r="Z150" s="13">
        <v>4496</v>
      </c>
      <c r="AA150" s="13">
        <v>4600</v>
      </c>
      <c r="AB150" s="13">
        <v>4650</v>
      </c>
      <c r="AC150" s="13">
        <v>4699</v>
      </c>
      <c r="AD150" s="13">
        <v>4882</v>
      </c>
      <c r="AE150" s="13">
        <v>4743</v>
      </c>
      <c r="AF150" s="13">
        <v>4894</v>
      </c>
      <c r="AG150" s="13">
        <v>5047</v>
      </c>
      <c r="AH150" s="13">
        <v>5224</v>
      </c>
      <c r="AI150" s="13">
        <v>5022</v>
      </c>
      <c r="AJ150" s="13">
        <v>4832</v>
      </c>
      <c r="AK150" s="13">
        <v>4747</v>
      </c>
      <c r="AL150" s="13">
        <v>4612</v>
      </c>
      <c r="AM150" s="13">
        <v>4697</v>
      </c>
      <c r="AN150" s="13">
        <v>4681</v>
      </c>
      <c r="AO150" s="13">
        <v>4735</v>
      </c>
      <c r="AP150" s="13">
        <v>4800</v>
      </c>
      <c r="AQ150" s="13">
        <v>4561</v>
      </c>
      <c r="AR150" s="13">
        <v>4332</v>
      </c>
      <c r="AS150" s="13">
        <v>4174</v>
      </c>
      <c r="AT150" s="13">
        <v>4340</v>
      </c>
      <c r="AU150" s="13">
        <v>4228</v>
      </c>
      <c r="AV150" s="13">
        <v>4301</v>
      </c>
      <c r="AW150" s="13">
        <v>4351</v>
      </c>
      <c r="AX150" s="13">
        <v>4249</v>
      </c>
      <c r="AY150" s="13">
        <v>4183</v>
      </c>
      <c r="AZ150" s="13">
        <v>4142</v>
      </c>
      <c r="BA150" s="13">
        <v>4313</v>
      </c>
      <c r="BB150" s="13">
        <v>4409</v>
      </c>
      <c r="BC150" s="13">
        <v>5092</v>
      </c>
      <c r="BD150" s="13">
        <v>5075</v>
      </c>
      <c r="BE150" s="13">
        <v>5155</v>
      </c>
      <c r="BF150" s="13">
        <v>4988</v>
      </c>
      <c r="BG150" s="13">
        <v>4965</v>
      </c>
      <c r="BH150" s="13">
        <v>4886</v>
      </c>
      <c r="BI150" s="13">
        <v>4874</v>
      </c>
      <c r="BJ150" s="13">
        <v>4878</v>
      </c>
      <c r="BK150" s="13">
        <v>4650</v>
      </c>
      <c r="BL150" s="13">
        <v>4492</v>
      </c>
      <c r="BM150" s="4">
        <v>4418</v>
      </c>
      <c r="BN150" s="4">
        <v>4511</v>
      </c>
      <c r="BO150" s="4">
        <v>4525</v>
      </c>
      <c r="BP150" s="4">
        <v>4475</v>
      </c>
    </row>
    <row r="151" spans="1:68" ht="15.9" customHeight="1">
      <c r="A151" s="64" t="s">
        <v>296</v>
      </c>
      <c r="B151" s="6" t="s">
        <v>297</v>
      </c>
      <c r="C151" s="15" t="str">
        <f>_xll.RssMarket("6516","現在値")</f>
        <v/>
      </c>
      <c r="D151" s="16" t="e">
        <f t="shared" si="5"/>
        <v>#VALUE!</v>
      </c>
      <c r="E151" s="13">
        <v>5450</v>
      </c>
      <c r="F151" s="13">
        <v>5930</v>
      </c>
      <c r="G151" s="13">
        <v>5840</v>
      </c>
      <c r="H151" s="13">
        <v>5940</v>
      </c>
      <c r="I151" s="13">
        <v>6080</v>
      </c>
      <c r="J151" s="13">
        <v>5910</v>
      </c>
      <c r="K151" s="13">
        <v>5940</v>
      </c>
      <c r="L151" s="13">
        <v>6420</v>
      </c>
      <c r="M151" s="13">
        <v>6530</v>
      </c>
      <c r="N151" s="13">
        <v>6520</v>
      </c>
      <c r="O151" s="13">
        <v>6580</v>
      </c>
      <c r="P151" s="13">
        <v>6520</v>
      </c>
      <c r="Q151" s="13">
        <v>6600</v>
      </c>
      <c r="R151" s="13">
        <v>6910</v>
      </c>
      <c r="S151" s="13">
        <v>7130</v>
      </c>
      <c r="T151" s="13">
        <v>7010</v>
      </c>
      <c r="U151" s="13">
        <v>7090</v>
      </c>
      <c r="V151" s="13">
        <v>7030</v>
      </c>
      <c r="W151" s="13">
        <v>6820</v>
      </c>
      <c r="X151" s="13">
        <v>6780</v>
      </c>
      <c r="Y151" s="13">
        <v>6580</v>
      </c>
      <c r="Z151" s="13">
        <v>6280</v>
      </c>
      <c r="AA151" s="13">
        <v>6250</v>
      </c>
      <c r="AB151" s="13">
        <v>6260</v>
      </c>
      <c r="AC151" s="13">
        <v>6420</v>
      </c>
      <c r="AD151" s="13">
        <v>6740</v>
      </c>
      <c r="AE151" s="13">
        <v>6820</v>
      </c>
      <c r="AF151" s="13">
        <v>6700</v>
      </c>
      <c r="AG151" s="13">
        <v>6600</v>
      </c>
      <c r="AH151" s="13">
        <v>6990</v>
      </c>
      <c r="AI151" s="13">
        <v>6790</v>
      </c>
      <c r="AJ151" s="13">
        <v>6760</v>
      </c>
      <c r="AK151" s="13">
        <v>6800</v>
      </c>
      <c r="AL151" s="13">
        <v>7070</v>
      </c>
      <c r="AM151" s="13">
        <v>7090</v>
      </c>
      <c r="AN151" s="13">
        <v>7160</v>
      </c>
      <c r="AO151" s="13">
        <v>6860</v>
      </c>
      <c r="AP151" s="13">
        <v>7050</v>
      </c>
      <c r="AQ151" s="13">
        <v>7240</v>
      </c>
      <c r="AR151" s="13">
        <v>7410</v>
      </c>
      <c r="AS151" s="13">
        <v>7490</v>
      </c>
      <c r="AT151" s="13">
        <v>7640</v>
      </c>
      <c r="AU151" s="13">
        <v>7560</v>
      </c>
      <c r="AV151" s="13">
        <v>7680</v>
      </c>
      <c r="AW151" s="13">
        <v>7440</v>
      </c>
      <c r="AX151" s="13">
        <v>7230</v>
      </c>
      <c r="AY151" s="13">
        <v>6770</v>
      </c>
      <c r="AZ151" s="13">
        <v>6920</v>
      </c>
      <c r="BA151" s="13">
        <v>7020</v>
      </c>
      <c r="BB151" s="13">
        <v>6640</v>
      </c>
      <c r="BC151" s="13">
        <v>5640</v>
      </c>
      <c r="BD151" s="13">
        <v>5190</v>
      </c>
      <c r="BE151" s="13">
        <v>5370</v>
      </c>
      <c r="BF151" s="13">
        <v>5220</v>
      </c>
      <c r="BG151" s="13">
        <v>5150</v>
      </c>
      <c r="BH151" s="13">
        <v>5100</v>
      </c>
      <c r="BI151" s="13">
        <v>5170</v>
      </c>
      <c r="BJ151" s="13">
        <v>5200</v>
      </c>
      <c r="BK151" s="13">
        <v>5280</v>
      </c>
      <c r="BL151" s="13">
        <v>5010</v>
      </c>
      <c r="BM151" s="4">
        <v>5080</v>
      </c>
      <c r="BN151" s="4">
        <v>4870</v>
      </c>
      <c r="BO151" s="4">
        <v>4835</v>
      </c>
      <c r="BP151" s="4">
        <v>4620</v>
      </c>
    </row>
    <row r="152" spans="1:68" ht="15.9" customHeight="1">
      <c r="A152" s="64" t="s">
        <v>298</v>
      </c>
      <c r="B152" s="6" t="s">
        <v>299</v>
      </c>
      <c r="C152" s="15" t="str">
        <f>_xll.RssMarket("7381","現在値")</f>
        <v/>
      </c>
      <c r="D152" s="16" t="e">
        <f t="shared" si="5"/>
        <v>#VALUE!</v>
      </c>
      <c r="E152" s="13">
        <v>1072</v>
      </c>
      <c r="F152" s="13">
        <v>1123</v>
      </c>
      <c r="G152" s="13">
        <v>1069</v>
      </c>
      <c r="H152" s="13">
        <v>1040</v>
      </c>
      <c r="I152" s="13">
        <v>1034</v>
      </c>
      <c r="J152" s="13">
        <v>1040</v>
      </c>
      <c r="K152" s="13">
        <v>1077</v>
      </c>
      <c r="L152" s="13">
        <v>1056</v>
      </c>
      <c r="M152" s="13">
        <v>1043</v>
      </c>
      <c r="N152" s="13">
        <v>1030</v>
      </c>
      <c r="O152" s="13">
        <v>1026</v>
      </c>
      <c r="P152" s="13">
        <v>1020</v>
      </c>
      <c r="Q152" s="13">
        <v>1003</v>
      </c>
      <c r="R152" s="13">
        <v>978</v>
      </c>
      <c r="S152" s="13">
        <v>950</v>
      </c>
      <c r="T152" s="13">
        <v>969</v>
      </c>
      <c r="U152" s="13">
        <v>968</v>
      </c>
      <c r="V152" s="13">
        <v>961</v>
      </c>
      <c r="W152" s="13">
        <v>975</v>
      </c>
      <c r="X152" s="13">
        <v>1001</v>
      </c>
      <c r="Y152" s="13">
        <v>989</v>
      </c>
      <c r="Z152" s="13">
        <v>972</v>
      </c>
      <c r="AA152" s="13">
        <v>991</v>
      </c>
      <c r="AB152" s="13">
        <v>977</v>
      </c>
      <c r="AC152" s="13">
        <v>1034</v>
      </c>
      <c r="AD152" s="13">
        <v>1024</v>
      </c>
      <c r="AE152" s="13">
        <v>1012</v>
      </c>
      <c r="AF152" s="13">
        <v>1013</v>
      </c>
      <c r="AG152" s="13">
        <v>1014</v>
      </c>
      <c r="AH152" s="13">
        <v>1037</v>
      </c>
      <c r="AI152" s="13">
        <v>1032</v>
      </c>
      <c r="AJ152" s="13">
        <v>1049</v>
      </c>
      <c r="AK152" s="13">
        <v>1057</v>
      </c>
      <c r="AL152" s="13">
        <v>1056</v>
      </c>
      <c r="AM152" s="13">
        <v>1063</v>
      </c>
      <c r="AN152" s="13">
        <v>1021</v>
      </c>
      <c r="AO152" s="13">
        <v>1026</v>
      </c>
      <c r="AP152" s="13">
        <v>1030</v>
      </c>
      <c r="AQ152" s="13">
        <v>1044</v>
      </c>
      <c r="AR152" s="13">
        <v>1045</v>
      </c>
      <c r="AS152" s="13">
        <v>1027</v>
      </c>
      <c r="AT152" s="13">
        <v>1013</v>
      </c>
      <c r="AU152" s="13">
        <v>1008</v>
      </c>
      <c r="AV152" s="13">
        <v>1014</v>
      </c>
      <c r="AW152" s="13">
        <v>1015</v>
      </c>
      <c r="AX152" s="13">
        <v>963</v>
      </c>
      <c r="AY152" s="13">
        <v>941</v>
      </c>
      <c r="AZ152" s="13">
        <v>952</v>
      </c>
      <c r="BA152" s="13">
        <v>912</v>
      </c>
      <c r="BB152" s="13">
        <v>924</v>
      </c>
      <c r="BC152" s="13">
        <v>923</v>
      </c>
      <c r="BD152" s="13">
        <v>931</v>
      </c>
      <c r="BE152" s="13">
        <v>970</v>
      </c>
      <c r="BF152" s="13">
        <v>997</v>
      </c>
      <c r="BG152" s="13">
        <v>1015</v>
      </c>
      <c r="BH152" s="13">
        <v>1037</v>
      </c>
      <c r="BI152" s="13">
        <v>1034</v>
      </c>
      <c r="BJ152" s="13">
        <v>1022</v>
      </c>
      <c r="BK152" s="13">
        <v>1016</v>
      </c>
      <c r="BL152" s="13">
        <v>1024</v>
      </c>
      <c r="BM152" s="4">
        <v>1028</v>
      </c>
      <c r="BN152" s="4">
        <v>1041</v>
      </c>
      <c r="BO152" s="4">
        <v>1013</v>
      </c>
      <c r="BP152" s="4">
        <v>1005</v>
      </c>
    </row>
    <row r="153" spans="1:68" ht="15.9" customHeight="1">
      <c r="A153" s="64" t="s">
        <v>300</v>
      </c>
      <c r="B153" s="6" t="s">
        <v>301</v>
      </c>
      <c r="C153" s="15" t="str">
        <f>_xll.RssMarket("4417","現在値")</f>
        <v/>
      </c>
      <c r="D153" s="16" t="e">
        <f t="shared" si="5"/>
        <v>#VALUE!</v>
      </c>
      <c r="E153" s="13">
        <v>4360</v>
      </c>
      <c r="F153" s="13">
        <v>4365</v>
      </c>
      <c r="G153" s="13">
        <v>4205</v>
      </c>
      <c r="H153" s="13">
        <v>3950</v>
      </c>
      <c r="I153" s="13">
        <v>3980</v>
      </c>
      <c r="J153" s="13">
        <v>3925</v>
      </c>
      <c r="K153" s="13">
        <v>3930</v>
      </c>
      <c r="L153" s="13">
        <v>4400</v>
      </c>
      <c r="M153" s="13">
        <v>4210</v>
      </c>
      <c r="N153" s="13">
        <v>4030</v>
      </c>
      <c r="O153" s="13">
        <v>3810</v>
      </c>
      <c r="P153" s="13">
        <v>3850</v>
      </c>
      <c r="Q153" s="13">
        <v>3825</v>
      </c>
      <c r="R153" s="13">
        <v>3310</v>
      </c>
      <c r="S153" s="13">
        <v>3300</v>
      </c>
      <c r="T153" s="13">
        <v>3200</v>
      </c>
      <c r="U153" s="13">
        <v>3155</v>
      </c>
      <c r="V153" s="13">
        <v>3290</v>
      </c>
      <c r="W153" s="13">
        <v>3255</v>
      </c>
      <c r="X153" s="13">
        <v>3240</v>
      </c>
      <c r="Y153" s="13">
        <v>3070</v>
      </c>
      <c r="Z153" s="13">
        <v>2968</v>
      </c>
      <c r="AA153" s="13">
        <v>3030</v>
      </c>
      <c r="AB153" s="13">
        <v>3100</v>
      </c>
      <c r="AC153" s="13">
        <v>3145</v>
      </c>
      <c r="AD153" s="13">
        <v>3060</v>
      </c>
      <c r="AE153" s="13">
        <v>3080</v>
      </c>
      <c r="AF153" s="13">
        <v>3175</v>
      </c>
      <c r="AG153" s="13">
        <v>3360</v>
      </c>
      <c r="AH153" s="13">
        <v>3415</v>
      </c>
      <c r="AI153" s="13">
        <v>3435</v>
      </c>
      <c r="AJ153" s="13">
        <v>3250</v>
      </c>
      <c r="AK153" s="13">
        <v>3385</v>
      </c>
      <c r="AL153" s="13">
        <v>3305</v>
      </c>
      <c r="AM153" s="13">
        <v>3260</v>
      </c>
      <c r="AN153" s="13">
        <v>3110</v>
      </c>
      <c r="AO153" s="13">
        <v>2863</v>
      </c>
      <c r="AP153" s="13">
        <v>2909</v>
      </c>
      <c r="AQ153" s="13">
        <v>2761</v>
      </c>
      <c r="AR153" s="13">
        <v>2809</v>
      </c>
      <c r="AS153" s="13">
        <v>2758</v>
      </c>
      <c r="AT153" s="13">
        <v>2970</v>
      </c>
      <c r="AU153" s="13">
        <v>2990</v>
      </c>
      <c r="AV153" s="13">
        <v>2909</v>
      </c>
      <c r="AW153" s="13">
        <v>2778</v>
      </c>
      <c r="AX153" s="13">
        <v>2682</v>
      </c>
      <c r="AY153" s="13">
        <v>2497</v>
      </c>
      <c r="AZ153" s="13">
        <v>2500</v>
      </c>
      <c r="BA153" s="13">
        <v>2468</v>
      </c>
      <c r="BB153" s="13">
        <v>2479</v>
      </c>
      <c r="BC153" s="13">
        <v>2475</v>
      </c>
      <c r="BD153" s="13">
        <v>2513</v>
      </c>
      <c r="BE153" s="13">
        <v>2429</v>
      </c>
      <c r="BF153" s="13">
        <v>2494</v>
      </c>
      <c r="BG153" s="13">
        <v>2514</v>
      </c>
      <c r="BH153" s="13">
        <v>2489</v>
      </c>
      <c r="BI153" s="13">
        <v>2356</v>
      </c>
      <c r="BJ153" s="13">
        <v>2230</v>
      </c>
      <c r="BK153" s="13">
        <v>2255</v>
      </c>
      <c r="BL153" s="13">
        <v>2482</v>
      </c>
      <c r="BM153" s="4">
        <v>2520</v>
      </c>
      <c r="BN153" s="4">
        <v>2576</v>
      </c>
      <c r="BO153" s="4">
        <v>2550</v>
      </c>
      <c r="BP153" s="4">
        <v>2540</v>
      </c>
    </row>
    <row r="154" spans="1:68" ht="15.9" customHeight="1">
      <c r="A154" s="64" t="s">
        <v>302</v>
      </c>
      <c r="B154" s="6" t="s">
        <v>303</v>
      </c>
      <c r="C154" s="15" t="str">
        <f>_xll.RssMarket("6981","現在値")</f>
        <v/>
      </c>
      <c r="D154" s="16" t="e">
        <f t="shared" si="5"/>
        <v>#VALUE!</v>
      </c>
      <c r="E154" s="13">
        <v>7632</v>
      </c>
      <c r="F154" s="13">
        <v>9100</v>
      </c>
      <c r="G154" s="13">
        <v>9066</v>
      </c>
      <c r="H154" s="13">
        <v>9860</v>
      </c>
      <c r="I154" s="13">
        <v>9475</v>
      </c>
      <c r="J154" s="13">
        <v>9027</v>
      </c>
      <c r="K154" s="13">
        <v>10250</v>
      </c>
      <c r="L154" s="13">
        <v>11080</v>
      </c>
      <c r="M154" s="13">
        <v>10875</v>
      </c>
      <c r="N154" s="13">
        <v>11890</v>
      </c>
      <c r="O154" s="13">
        <v>11395</v>
      </c>
      <c r="P154" s="13">
        <v>10740</v>
      </c>
      <c r="Q154" s="13">
        <v>10770</v>
      </c>
      <c r="R154" s="13">
        <v>11825</v>
      </c>
      <c r="S154" s="13">
        <v>11030</v>
      </c>
      <c r="T154" s="13">
        <v>11005</v>
      </c>
      <c r="U154" s="13">
        <v>12250</v>
      </c>
      <c r="V154" s="13">
        <v>11750</v>
      </c>
      <c r="W154" s="13">
        <v>10865</v>
      </c>
      <c r="X154" s="13">
        <v>10530</v>
      </c>
      <c r="Y154" s="13">
        <v>8556</v>
      </c>
      <c r="Z154" s="13">
        <v>8967</v>
      </c>
      <c r="AA154" s="13">
        <v>8650</v>
      </c>
      <c r="AB154" s="13">
        <v>8711</v>
      </c>
      <c r="AC154" s="13">
        <v>9695</v>
      </c>
      <c r="AD154" s="13">
        <v>9904</v>
      </c>
      <c r="AE154" s="13">
        <v>10420</v>
      </c>
      <c r="AF154" s="13">
        <v>10230</v>
      </c>
      <c r="AG154" s="13">
        <v>10490</v>
      </c>
      <c r="AH154" s="13">
        <v>9625</v>
      </c>
      <c r="AI154" s="13">
        <v>8538</v>
      </c>
      <c r="AJ154" s="13">
        <v>7820</v>
      </c>
      <c r="AK154" s="13">
        <v>7928</v>
      </c>
      <c r="AL154" s="13">
        <v>7130</v>
      </c>
      <c r="AM154" s="13">
        <v>6727</v>
      </c>
      <c r="AN154" s="13">
        <v>6164</v>
      </c>
      <c r="AO154" s="13">
        <v>6180</v>
      </c>
      <c r="AP154" s="13">
        <v>6171</v>
      </c>
      <c r="AQ154" s="13">
        <v>6151</v>
      </c>
      <c r="AR154" s="13">
        <v>6339</v>
      </c>
      <c r="AS154" s="13">
        <v>6089</v>
      </c>
      <c r="AT154" s="13">
        <v>6078</v>
      </c>
      <c r="AU154" s="13">
        <v>5960</v>
      </c>
      <c r="AV154" s="13">
        <v>5850</v>
      </c>
      <c r="AW154" s="13">
        <v>5648</v>
      </c>
      <c r="AX154" s="13">
        <v>5138</v>
      </c>
      <c r="AY154" s="13">
        <v>5156</v>
      </c>
      <c r="AZ154" s="13">
        <v>4840</v>
      </c>
      <c r="BA154" s="13">
        <v>4916</v>
      </c>
      <c r="BB154" s="13">
        <v>4936</v>
      </c>
      <c r="BC154" s="13">
        <v>4813</v>
      </c>
      <c r="BD154" s="13">
        <v>4911</v>
      </c>
      <c r="BE154" s="13">
        <v>4810</v>
      </c>
      <c r="BF154" s="13">
        <v>4738</v>
      </c>
      <c r="BG154" s="13">
        <v>4600</v>
      </c>
      <c r="BH154" s="13">
        <v>4792</v>
      </c>
      <c r="BI154" s="13">
        <v>4520</v>
      </c>
      <c r="BJ154" s="13">
        <v>4329</v>
      </c>
      <c r="BK154" s="13">
        <v>4170</v>
      </c>
      <c r="BL154" s="13">
        <v>4146</v>
      </c>
      <c r="BM154" s="4">
        <v>3990</v>
      </c>
      <c r="BN154" s="4">
        <v>4000</v>
      </c>
      <c r="BO154" s="4">
        <v>3786</v>
      </c>
    </row>
    <row r="155" spans="1:68" ht="15.9" customHeight="1">
      <c r="A155" s="64" t="s">
        <v>304</v>
      </c>
      <c r="B155" s="6" t="s">
        <v>305</v>
      </c>
      <c r="C155" s="15" t="str">
        <f>_xll.RssMarket("6754","現在値")</f>
        <v/>
      </c>
      <c r="D155" s="16" t="e">
        <f t="shared" si="5"/>
        <v>#VALUE!</v>
      </c>
      <c r="E155" s="13">
        <v>3654</v>
      </c>
      <c r="F155" s="13">
        <v>4092</v>
      </c>
      <c r="G155" s="13">
        <v>4033</v>
      </c>
      <c r="H155" s="13">
        <v>4051</v>
      </c>
      <c r="I155" s="13">
        <v>4262</v>
      </c>
      <c r="J155" s="13">
        <v>4091</v>
      </c>
      <c r="K155" s="13">
        <v>4011</v>
      </c>
      <c r="L155" s="13">
        <v>4225</v>
      </c>
      <c r="M155" s="13">
        <v>4500</v>
      </c>
      <c r="N155" s="13">
        <v>4420</v>
      </c>
      <c r="O155" s="13">
        <v>4688</v>
      </c>
      <c r="P155" s="13">
        <v>4396</v>
      </c>
      <c r="Q155" s="13">
        <v>4364</v>
      </c>
      <c r="R155" s="13">
        <v>4375</v>
      </c>
      <c r="S155" s="13">
        <v>4559</v>
      </c>
      <c r="T155" s="13">
        <v>4456</v>
      </c>
      <c r="U155" s="13">
        <v>4480</v>
      </c>
      <c r="V155" s="13">
        <v>4322</v>
      </c>
      <c r="W155" s="13">
        <v>4333</v>
      </c>
      <c r="X155" s="13">
        <v>4122</v>
      </c>
      <c r="Y155" s="13">
        <v>4096</v>
      </c>
      <c r="Z155" s="13">
        <v>3882</v>
      </c>
      <c r="AA155" s="13">
        <v>3879</v>
      </c>
      <c r="AB155" s="13">
        <v>3834</v>
      </c>
      <c r="AC155" s="13">
        <v>4269</v>
      </c>
      <c r="AD155" s="13">
        <v>4689</v>
      </c>
      <c r="AE155" s="13">
        <v>4632</v>
      </c>
      <c r="AF155" s="13">
        <v>4776</v>
      </c>
      <c r="AG155" s="13">
        <v>4584</v>
      </c>
      <c r="AH155" s="13">
        <v>4768</v>
      </c>
      <c r="AI155" s="13">
        <v>4547</v>
      </c>
      <c r="AJ155" s="13">
        <v>4580</v>
      </c>
      <c r="AK155" s="13">
        <v>4614</v>
      </c>
      <c r="AL155" s="13">
        <v>4732</v>
      </c>
      <c r="AM155" s="13">
        <v>4601</v>
      </c>
      <c r="AN155" s="13">
        <v>4468</v>
      </c>
      <c r="AO155" s="13">
        <v>4381</v>
      </c>
      <c r="AP155" s="13">
        <v>4144</v>
      </c>
      <c r="AQ155" s="13">
        <v>4205</v>
      </c>
      <c r="AR155" s="13">
        <v>4239</v>
      </c>
      <c r="AS155" s="13">
        <v>4144</v>
      </c>
      <c r="AT155" s="13">
        <v>4189</v>
      </c>
      <c r="AU155" s="13">
        <v>4016</v>
      </c>
      <c r="AV155" s="13">
        <v>4142</v>
      </c>
      <c r="AW155" s="13">
        <v>4233</v>
      </c>
      <c r="AX155" s="13">
        <v>4090</v>
      </c>
      <c r="AY155" s="13">
        <v>3858</v>
      </c>
      <c r="AZ155" s="13">
        <v>4039</v>
      </c>
      <c r="BA155" s="13">
        <v>3974</v>
      </c>
      <c r="BB155" s="13">
        <v>3755</v>
      </c>
      <c r="BC155" s="13">
        <v>3594</v>
      </c>
      <c r="BD155" s="13">
        <v>3572</v>
      </c>
      <c r="BE155" s="13">
        <v>3635</v>
      </c>
      <c r="BF155" s="13">
        <v>3662</v>
      </c>
      <c r="BG155" s="13">
        <v>3466</v>
      </c>
      <c r="BH155" s="13">
        <v>3418</v>
      </c>
      <c r="BI155" s="13">
        <v>3374</v>
      </c>
      <c r="BJ155" s="13">
        <v>3403</v>
      </c>
      <c r="BK155" s="13">
        <v>3396</v>
      </c>
      <c r="BL155" s="13">
        <v>3392</v>
      </c>
      <c r="BM155" s="4">
        <v>3398</v>
      </c>
      <c r="BN155" s="4">
        <v>3277</v>
      </c>
      <c r="BO155" s="4">
        <v>3299</v>
      </c>
      <c r="BP155" s="4">
        <v>3014</v>
      </c>
    </row>
    <row r="156" spans="1:68" ht="15.9" customHeight="1">
      <c r="A156" s="64" t="s">
        <v>306</v>
      </c>
      <c r="B156" s="6" t="s">
        <v>307</v>
      </c>
      <c r="C156" s="15" t="str">
        <f>_xll.RssMarket("4088","現在値")</f>
        <v/>
      </c>
      <c r="D156" s="16" t="e">
        <f t="shared" si="5"/>
        <v>#VALUE!</v>
      </c>
      <c r="E156" s="13">
        <v>2527</v>
      </c>
      <c r="F156" s="13">
        <v>2574</v>
      </c>
      <c r="G156" s="13">
        <v>2571</v>
      </c>
      <c r="H156" s="13">
        <v>2522</v>
      </c>
      <c r="I156" s="13">
        <v>2555</v>
      </c>
      <c r="J156" s="13">
        <v>2628</v>
      </c>
      <c r="K156" s="13">
        <v>2665</v>
      </c>
      <c r="L156" s="13">
        <v>2767</v>
      </c>
      <c r="M156" s="13">
        <v>2777</v>
      </c>
      <c r="N156" s="13">
        <v>2758</v>
      </c>
      <c r="O156" s="13">
        <v>2756</v>
      </c>
      <c r="P156" s="13">
        <v>2767</v>
      </c>
      <c r="Q156" s="13">
        <v>2781</v>
      </c>
      <c r="R156" s="13">
        <v>2778</v>
      </c>
      <c r="S156" s="13">
        <v>2860</v>
      </c>
      <c r="T156" s="13">
        <v>2694</v>
      </c>
      <c r="U156" s="13">
        <v>2660</v>
      </c>
      <c r="V156" s="13">
        <v>2495</v>
      </c>
      <c r="W156" s="13">
        <v>2471</v>
      </c>
      <c r="X156" s="13">
        <v>2490</v>
      </c>
      <c r="Y156" s="13">
        <v>2520</v>
      </c>
      <c r="Z156" s="13">
        <v>2441</v>
      </c>
      <c r="AA156" s="13">
        <v>2419</v>
      </c>
      <c r="AB156" s="13">
        <v>2440</v>
      </c>
      <c r="AC156" s="13">
        <v>2470</v>
      </c>
      <c r="AD156" s="13">
        <v>2464</v>
      </c>
      <c r="AE156" s="13">
        <v>2488</v>
      </c>
      <c r="AF156" s="13">
        <v>2490</v>
      </c>
      <c r="AG156" s="13">
        <v>2462</v>
      </c>
      <c r="AH156" s="13">
        <v>2464</v>
      </c>
      <c r="AI156" s="13">
        <v>2599</v>
      </c>
      <c r="AJ156" s="13">
        <v>2594</v>
      </c>
      <c r="AK156" s="13">
        <v>2625</v>
      </c>
      <c r="AL156" s="13">
        <v>2516</v>
      </c>
      <c r="AM156" s="13">
        <v>2579</v>
      </c>
      <c r="AN156" s="13">
        <v>2546</v>
      </c>
      <c r="AO156" s="13">
        <v>2481</v>
      </c>
      <c r="AP156" s="13">
        <v>2489</v>
      </c>
      <c r="AQ156" s="13">
        <v>2302</v>
      </c>
      <c r="AR156" s="13">
        <v>2283</v>
      </c>
      <c r="AS156" s="13">
        <v>2179</v>
      </c>
      <c r="AT156" s="13">
        <v>2101</v>
      </c>
      <c r="AU156" s="13">
        <v>2066</v>
      </c>
      <c r="AV156" s="13">
        <v>1965</v>
      </c>
      <c r="AW156" s="13">
        <v>1938.5</v>
      </c>
      <c r="AX156" s="13">
        <v>1913.5</v>
      </c>
      <c r="AY156" s="13">
        <v>1895.5</v>
      </c>
      <c r="AZ156" s="13">
        <v>2218.5</v>
      </c>
      <c r="BA156" s="13">
        <v>2260</v>
      </c>
      <c r="BB156" s="13">
        <v>2231</v>
      </c>
      <c r="BC156" s="13">
        <v>2236</v>
      </c>
      <c r="BD156" s="13">
        <v>2207</v>
      </c>
      <c r="BE156" s="13">
        <v>2223.5</v>
      </c>
      <c r="BF156" s="13">
        <v>2254</v>
      </c>
      <c r="BG156" s="13">
        <v>2257</v>
      </c>
      <c r="BH156" s="13">
        <v>2263.5</v>
      </c>
      <c r="BI156" s="13">
        <v>2309.5</v>
      </c>
      <c r="BJ156" s="13">
        <v>2293.5</v>
      </c>
      <c r="BK156" s="13">
        <v>2258.5</v>
      </c>
      <c r="BL156" s="13">
        <v>2233.5</v>
      </c>
      <c r="BM156" s="4">
        <v>2235.5</v>
      </c>
      <c r="BN156" s="4">
        <v>2259.5</v>
      </c>
      <c r="BO156" s="4">
        <v>2297.5</v>
      </c>
      <c r="BP156" s="4">
        <v>2275</v>
      </c>
    </row>
    <row r="157" spans="1:68" ht="15.9" customHeight="1">
      <c r="A157" s="64" t="s">
        <v>308</v>
      </c>
      <c r="B157" s="6" t="s">
        <v>309</v>
      </c>
      <c r="C157" s="15" t="str">
        <f>_xll.RssMarket("4091","現在値")</f>
        <v/>
      </c>
      <c r="D157" s="16" t="e">
        <f t="shared" si="5"/>
        <v>#VALUE!</v>
      </c>
      <c r="E157" s="13">
        <v>6010</v>
      </c>
      <c r="F157" s="13">
        <v>6152</v>
      </c>
      <c r="G157" s="13">
        <v>6070</v>
      </c>
      <c r="H157" s="13">
        <v>6052</v>
      </c>
      <c r="I157" s="13">
        <v>6072</v>
      </c>
      <c r="J157" s="13">
        <v>6149</v>
      </c>
      <c r="K157" s="13">
        <v>6160</v>
      </c>
      <c r="L157" s="13">
        <v>6312</v>
      </c>
      <c r="M157" s="13">
        <v>6275</v>
      </c>
      <c r="N157" s="13">
        <v>6250</v>
      </c>
      <c r="O157" s="13">
        <v>6020</v>
      </c>
      <c r="P157" s="13">
        <v>5996</v>
      </c>
      <c r="Q157" s="13">
        <v>5923</v>
      </c>
      <c r="R157" s="13">
        <v>5938</v>
      </c>
      <c r="S157" s="13">
        <v>5673</v>
      </c>
      <c r="T157" s="13">
        <v>5548</v>
      </c>
      <c r="U157" s="13">
        <v>5650</v>
      </c>
      <c r="V157" s="13">
        <v>5490</v>
      </c>
      <c r="W157" s="13">
        <v>5564</v>
      </c>
      <c r="X157" s="13">
        <v>5590</v>
      </c>
      <c r="Y157" s="13">
        <v>5534</v>
      </c>
      <c r="Z157" s="13">
        <v>5403</v>
      </c>
      <c r="AA157" s="13">
        <v>5293</v>
      </c>
      <c r="AB157" s="13">
        <v>5275</v>
      </c>
      <c r="AC157" s="13">
        <v>5434</v>
      </c>
      <c r="AD157" s="13">
        <v>5586</v>
      </c>
      <c r="AE157" s="13">
        <v>5620</v>
      </c>
      <c r="AF157" s="13">
        <v>5679</v>
      </c>
      <c r="AG157" s="13">
        <v>5711</v>
      </c>
      <c r="AH157" s="13">
        <v>5972</v>
      </c>
      <c r="AI157" s="13">
        <v>6184</v>
      </c>
      <c r="AJ157" s="13">
        <v>6256</v>
      </c>
      <c r="AK157" s="13">
        <v>6373</v>
      </c>
      <c r="AL157" s="13">
        <v>6289</v>
      </c>
      <c r="AM157" s="13">
        <v>6192</v>
      </c>
      <c r="AN157" s="13">
        <v>5852</v>
      </c>
      <c r="AO157" s="13">
        <v>5817</v>
      </c>
      <c r="AP157" s="13">
        <v>5973</v>
      </c>
      <c r="AQ157" s="13">
        <v>5994</v>
      </c>
      <c r="AR157" s="13">
        <v>6116</v>
      </c>
      <c r="AS157" s="13">
        <v>6093</v>
      </c>
      <c r="AT157" s="13">
        <v>5907</v>
      </c>
      <c r="AU157" s="13">
        <v>5787</v>
      </c>
      <c r="AV157" s="13">
        <v>6199</v>
      </c>
      <c r="AW157" s="13">
        <v>5636</v>
      </c>
      <c r="AX157" s="13">
        <v>5698</v>
      </c>
      <c r="AY157" s="13">
        <v>5524</v>
      </c>
      <c r="AZ157" s="13">
        <v>5540</v>
      </c>
      <c r="BA157" s="13">
        <v>5677</v>
      </c>
      <c r="BB157" s="13">
        <v>5626</v>
      </c>
      <c r="BC157" s="13">
        <v>5690</v>
      </c>
      <c r="BD157" s="13">
        <v>5600</v>
      </c>
      <c r="BE157" s="13">
        <v>5686</v>
      </c>
      <c r="BF157" s="13">
        <v>5772</v>
      </c>
      <c r="BG157" s="13">
        <v>5772</v>
      </c>
      <c r="BH157" s="13">
        <v>5915</v>
      </c>
      <c r="BI157" s="13">
        <v>6044</v>
      </c>
      <c r="BJ157" s="13">
        <v>5864</v>
      </c>
      <c r="BK157" s="13">
        <v>5957</v>
      </c>
      <c r="BL157" s="13">
        <v>5871</v>
      </c>
      <c r="BM157" s="4">
        <v>5907</v>
      </c>
      <c r="BN157" s="4">
        <v>5871</v>
      </c>
      <c r="BO157" s="4">
        <v>5858</v>
      </c>
      <c r="BP157" s="4">
        <v>5813</v>
      </c>
    </row>
    <row r="158" spans="1:68" ht="15.9" customHeight="1">
      <c r="A158" s="64" t="s">
        <v>310</v>
      </c>
      <c r="B158" s="6" t="s">
        <v>311</v>
      </c>
      <c r="C158" s="15" t="str">
        <f>_xll.RssMarket("6857","現在値")</f>
        <v/>
      </c>
      <c r="D158" s="16" t="e">
        <f t="shared" si="5"/>
        <v>#VALUE!</v>
      </c>
      <c r="E158" s="13">
        <v>27505</v>
      </c>
      <c r="F158" s="13">
        <v>31510</v>
      </c>
      <c r="G158" s="13">
        <v>29775</v>
      </c>
      <c r="H158" s="13">
        <v>28820</v>
      </c>
      <c r="I158" s="13">
        <v>29830</v>
      </c>
      <c r="J158" s="13">
        <v>29160</v>
      </c>
      <c r="K158" s="13">
        <v>27545</v>
      </c>
      <c r="L158" s="13">
        <v>29565</v>
      </c>
      <c r="M158" s="13">
        <v>29345</v>
      </c>
      <c r="N158" s="13">
        <v>28815</v>
      </c>
      <c r="O158" s="13">
        <v>32000</v>
      </c>
      <c r="P158" s="13">
        <v>32340</v>
      </c>
      <c r="Q158" s="13">
        <v>31950</v>
      </c>
      <c r="R158" s="13">
        <v>32440</v>
      </c>
      <c r="S158" s="13">
        <v>35900</v>
      </c>
      <c r="T158" s="13">
        <v>31200</v>
      </c>
      <c r="U158" s="13">
        <v>31430</v>
      </c>
      <c r="V158" s="13">
        <v>32170</v>
      </c>
      <c r="W158" s="13">
        <v>31740</v>
      </c>
      <c r="X158" s="13">
        <v>30060</v>
      </c>
      <c r="Y158" s="13">
        <v>30340</v>
      </c>
      <c r="Z158" s="13">
        <v>27325</v>
      </c>
      <c r="AA158" s="13">
        <v>25175</v>
      </c>
      <c r="AB158" s="13">
        <v>25235</v>
      </c>
      <c r="AC158" s="13">
        <v>26765</v>
      </c>
      <c r="AD158" s="13">
        <v>28170</v>
      </c>
      <c r="AE158" s="13">
        <v>27660</v>
      </c>
      <c r="AF158" s="13">
        <v>26320</v>
      </c>
      <c r="AG158" s="13">
        <v>25675</v>
      </c>
      <c r="AH158" s="13">
        <v>26170</v>
      </c>
      <c r="AI158" s="13">
        <v>26340</v>
      </c>
      <c r="AJ158" s="13">
        <v>27130</v>
      </c>
      <c r="AK158" s="13">
        <v>27755</v>
      </c>
      <c r="AL158" s="13">
        <v>26845</v>
      </c>
      <c r="AM158" s="13">
        <v>26745</v>
      </c>
      <c r="AN158" s="13">
        <v>25625</v>
      </c>
      <c r="AO158" s="13">
        <v>25290</v>
      </c>
      <c r="AP158" s="13">
        <v>26150</v>
      </c>
      <c r="AQ158" s="13">
        <v>26360</v>
      </c>
      <c r="AR158" s="13">
        <v>28615</v>
      </c>
      <c r="AS158" s="13">
        <v>28290</v>
      </c>
      <c r="AT158" s="13">
        <v>28705</v>
      </c>
      <c r="AU158" s="13">
        <v>28780</v>
      </c>
      <c r="AV158" s="13">
        <v>29885</v>
      </c>
      <c r="AW158" s="13">
        <v>29715</v>
      </c>
      <c r="AX158" s="13">
        <v>27815</v>
      </c>
      <c r="AY158" s="13">
        <v>28260</v>
      </c>
      <c r="AZ158" s="13">
        <v>29750</v>
      </c>
      <c r="BA158" s="13">
        <v>31500</v>
      </c>
      <c r="BB158" s="13">
        <v>29440</v>
      </c>
      <c r="BC158" s="13">
        <v>27900</v>
      </c>
      <c r="BD158" s="13">
        <v>27900</v>
      </c>
      <c r="BE158" s="13">
        <v>27200</v>
      </c>
      <c r="BF158" s="13">
        <v>27100</v>
      </c>
      <c r="BG158" s="13">
        <v>27870</v>
      </c>
      <c r="BH158" s="13">
        <v>28625</v>
      </c>
      <c r="BI158" s="13">
        <v>27585</v>
      </c>
      <c r="BJ158" s="13">
        <v>27000</v>
      </c>
      <c r="BK158" s="13">
        <v>24880</v>
      </c>
      <c r="BL158" s="13">
        <v>24990</v>
      </c>
      <c r="BM158" s="4">
        <v>24800</v>
      </c>
      <c r="BN158" s="4">
        <v>25220</v>
      </c>
      <c r="BO158" s="4">
        <v>22200</v>
      </c>
      <c r="BP158" s="4">
        <v>21930</v>
      </c>
    </row>
    <row r="159" spans="1:68" ht="15.9" customHeight="1">
      <c r="A159" s="64" t="s">
        <v>312</v>
      </c>
      <c r="B159" s="6" t="s">
        <v>313</v>
      </c>
      <c r="C159" s="15" t="str">
        <f>_xll.RssMarket("3891","現在値")</f>
        <v/>
      </c>
      <c r="D159" s="16" t="e">
        <f t="shared" si="5"/>
        <v>#VALUE!</v>
      </c>
      <c r="E159" s="13">
        <v>6950</v>
      </c>
      <c r="F159" s="13">
        <v>7920</v>
      </c>
      <c r="G159" s="13">
        <v>7520</v>
      </c>
      <c r="H159" s="13">
        <v>7620</v>
      </c>
      <c r="I159" s="13">
        <v>8010</v>
      </c>
      <c r="J159" s="13">
        <v>7700</v>
      </c>
      <c r="K159" s="13">
        <v>7970</v>
      </c>
      <c r="L159" s="13">
        <v>8620</v>
      </c>
      <c r="M159" s="13">
        <v>9300</v>
      </c>
      <c r="N159" s="13">
        <v>9400</v>
      </c>
      <c r="O159" s="13">
        <v>10300</v>
      </c>
      <c r="P159" s="13">
        <v>9710</v>
      </c>
      <c r="Q159" s="13">
        <v>9980</v>
      </c>
      <c r="R159" s="13">
        <v>10150</v>
      </c>
      <c r="S159" s="13">
        <v>10430</v>
      </c>
      <c r="T159" s="13">
        <v>9560</v>
      </c>
      <c r="U159" s="13">
        <v>9590</v>
      </c>
      <c r="V159" s="13">
        <v>10200</v>
      </c>
      <c r="W159" s="13">
        <v>10750</v>
      </c>
      <c r="X159" s="13">
        <v>9980</v>
      </c>
      <c r="Y159" s="13">
        <v>8920</v>
      </c>
      <c r="Z159" s="13">
        <v>8460</v>
      </c>
      <c r="AA159" s="13">
        <v>8900</v>
      </c>
      <c r="AB159" s="13">
        <v>9240</v>
      </c>
      <c r="AC159" s="13">
        <v>9040</v>
      </c>
      <c r="AD159" s="13">
        <v>9170</v>
      </c>
      <c r="AE159" s="13">
        <v>8370</v>
      </c>
      <c r="AF159" s="13">
        <v>8460</v>
      </c>
      <c r="AG159" s="13">
        <v>8110</v>
      </c>
      <c r="AH159" s="13">
        <v>8030</v>
      </c>
      <c r="AI159" s="13">
        <v>7230</v>
      </c>
      <c r="AJ159" s="13">
        <v>7100</v>
      </c>
      <c r="AK159" s="13">
        <v>6870</v>
      </c>
      <c r="AL159" s="13">
        <v>7790</v>
      </c>
      <c r="AM159" s="13">
        <v>7490</v>
      </c>
      <c r="AN159" s="13">
        <v>6780</v>
      </c>
      <c r="AO159" s="13">
        <v>6830</v>
      </c>
      <c r="AP159" s="13">
        <v>6550</v>
      </c>
      <c r="AQ159" s="13">
        <v>6430</v>
      </c>
      <c r="AR159" s="13">
        <v>6100</v>
      </c>
      <c r="AS159" s="13">
        <v>6210</v>
      </c>
      <c r="AT159" s="13">
        <v>6530</v>
      </c>
      <c r="AU159" s="13">
        <v>6330</v>
      </c>
      <c r="AV159" s="13">
        <v>6490</v>
      </c>
      <c r="AW159" s="13">
        <v>6550</v>
      </c>
      <c r="AX159" s="13">
        <v>6600</v>
      </c>
      <c r="AY159" s="13">
        <v>6110</v>
      </c>
      <c r="AZ159" s="13">
        <v>6360</v>
      </c>
      <c r="BA159" s="13">
        <v>6420</v>
      </c>
      <c r="BB159" s="13">
        <v>6150</v>
      </c>
      <c r="BC159" s="13">
        <v>5150</v>
      </c>
      <c r="BD159" s="13">
        <v>4445</v>
      </c>
      <c r="BE159" s="13">
        <v>4480</v>
      </c>
      <c r="BF159" s="13">
        <v>4630</v>
      </c>
      <c r="BG159" s="13">
        <v>4395</v>
      </c>
      <c r="BH159" s="13">
        <v>4275</v>
      </c>
      <c r="BI159" s="13">
        <v>4495</v>
      </c>
      <c r="BJ159" s="13">
        <v>4500</v>
      </c>
      <c r="BK159" s="13">
        <v>4295</v>
      </c>
      <c r="BL159" s="13">
        <v>4140</v>
      </c>
      <c r="BM159" s="4">
        <v>4115</v>
      </c>
      <c r="BN159" s="4">
        <v>4060</v>
      </c>
      <c r="BO159" s="4">
        <v>4100</v>
      </c>
      <c r="BP159" s="4">
        <v>3785</v>
      </c>
    </row>
    <row r="160" spans="1:68" ht="15.9" customHeight="1">
      <c r="A160" s="64" t="s">
        <v>314</v>
      </c>
      <c r="B160" s="6" t="s">
        <v>315</v>
      </c>
      <c r="C160" s="15" t="str">
        <f>_xll.RssMarket("4373","現在値")</f>
        <v/>
      </c>
      <c r="D160" s="16" t="e">
        <f t="shared" si="5"/>
        <v>#VALUE!</v>
      </c>
      <c r="E160" s="13">
        <v>1074</v>
      </c>
      <c r="F160" s="13">
        <v>1032</v>
      </c>
      <c r="G160" s="13">
        <v>1044</v>
      </c>
      <c r="H160" s="13">
        <v>1033</v>
      </c>
      <c r="I160" s="13">
        <v>1046</v>
      </c>
      <c r="J160" s="13">
        <v>1052</v>
      </c>
      <c r="K160" s="13">
        <v>1057</v>
      </c>
      <c r="L160" s="13">
        <v>1020</v>
      </c>
      <c r="M160" s="13">
        <v>1018</v>
      </c>
      <c r="N160" s="13">
        <v>990</v>
      </c>
      <c r="O160" s="13">
        <v>945</v>
      </c>
      <c r="P160" s="13">
        <v>937</v>
      </c>
      <c r="Q160" s="13">
        <v>963</v>
      </c>
      <c r="R160" s="13">
        <v>911</v>
      </c>
      <c r="S160" s="13">
        <v>916</v>
      </c>
      <c r="T160" s="13">
        <v>919</v>
      </c>
      <c r="U160" s="13">
        <v>911</v>
      </c>
      <c r="V160" s="13">
        <v>944</v>
      </c>
      <c r="W160" s="13">
        <v>931</v>
      </c>
      <c r="X160" s="13">
        <v>958</v>
      </c>
      <c r="Y160" s="13">
        <v>957</v>
      </c>
      <c r="Z160" s="13">
        <v>990</v>
      </c>
      <c r="AA160" s="13">
        <v>1021</v>
      </c>
      <c r="AB160" s="13">
        <v>1038</v>
      </c>
      <c r="AC160" s="13">
        <v>1070</v>
      </c>
      <c r="AD160" s="13">
        <v>1092</v>
      </c>
      <c r="AE160" s="13">
        <v>1083</v>
      </c>
      <c r="AF160" s="13">
        <v>1106</v>
      </c>
      <c r="AG160" s="13">
        <v>1119</v>
      </c>
      <c r="AH160" s="13">
        <v>1122</v>
      </c>
      <c r="AI160" s="13">
        <v>1064</v>
      </c>
      <c r="AJ160" s="13">
        <v>1029</v>
      </c>
      <c r="AK160" s="13">
        <v>1034</v>
      </c>
      <c r="AL160" s="13">
        <v>1016</v>
      </c>
      <c r="AM160" s="13">
        <v>1037</v>
      </c>
      <c r="AN160" s="13">
        <v>1005</v>
      </c>
      <c r="AO160" s="13">
        <v>990</v>
      </c>
      <c r="AP160" s="13">
        <v>1036</v>
      </c>
      <c r="AQ160" s="13">
        <v>948</v>
      </c>
      <c r="AR160" s="13">
        <v>951</v>
      </c>
      <c r="AS160" s="13">
        <v>931</v>
      </c>
      <c r="AT160" s="13">
        <v>953</v>
      </c>
      <c r="AU160" s="13">
        <v>957</v>
      </c>
      <c r="AV160" s="13">
        <v>945</v>
      </c>
      <c r="AW160" s="13">
        <v>937</v>
      </c>
      <c r="AX160" s="13">
        <v>895</v>
      </c>
      <c r="AY160" s="13">
        <v>921</v>
      </c>
      <c r="AZ160" s="13">
        <v>879</v>
      </c>
      <c r="BA160" s="13">
        <v>881</v>
      </c>
      <c r="BB160" s="13">
        <v>876</v>
      </c>
      <c r="BC160" s="13">
        <v>917</v>
      </c>
      <c r="BD160" s="13">
        <v>932</v>
      </c>
      <c r="BE160" s="13">
        <v>960</v>
      </c>
      <c r="BF160" s="13">
        <v>930</v>
      </c>
      <c r="BG160" s="13">
        <v>948</v>
      </c>
      <c r="BH160" s="13">
        <v>944</v>
      </c>
      <c r="BI160" s="13">
        <v>899</v>
      </c>
      <c r="BJ160" s="13">
        <v>908</v>
      </c>
      <c r="BK160" s="13">
        <v>852</v>
      </c>
      <c r="BL160" s="13">
        <v>814</v>
      </c>
      <c r="BM160" s="4">
        <v>816</v>
      </c>
      <c r="BN160" s="4">
        <v>838</v>
      </c>
      <c r="BO160" s="4">
        <v>855</v>
      </c>
      <c r="BP160" s="4">
        <v>840</v>
      </c>
    </row>
    <row r="161" spans="1:68" ht="15.9" customHeight="1">
      <c r="A161" s="64" t="s">
        <v>316</v>
      </c>
      <c r="B161" s="6" t="s">
        <v>317</v>
      </c>
      <c r="C161" s="15" t="str">
        <f>_xll.RssMarket("8892","現在値")</f>
        <v/>
      </c>
      <c r="D161" s="16" t="e">
        <f t="shared" si="5"/>
        <v>#VALUE!</v>
      </c>
      <c r="E161" s="13">
        <v>1099</v>
      </c>
      <c r="F161" s="13">
        <v>1115</v>
      </c>
      <c r="G161" s="13">
        <v>1121</v>
      </c>
      <c r="H161" s="13">
        <v>1119</v>
      </c>
      <c r="I161" s="13">
        <v>1112</v>
      </c>
      <c r="J161" s="13">
        <v>1108</v>
      </c>
      <c r="K161" s="13">
        <v>1106</v>
      </c>
      <c r="L161" s="13">
        <v>1094</v>
      </c>
      <c r="M161" s="13">
        <v>1085</v>
      </c>
      <c r="N161" s="13">
        <v>1074</v>
      </c>
      <c r="O161" s="13">
        <v>1078</v>
      </c>
      <c r="P161" s="13">
        <v>1082</v>
      </c>
      <c r="Q161" s="13">
        <v>1063</v>
      </c>
      <c r="R161" s="13">
        <v>1055</v>
      </c>
      <c r="S161" s="13">
        <v>1051</v>
      </c>
      <c r="T161" s="13">
        <v>1056</v>
      </c>
      <c r="U161" s="13">
        <v>1060</v>
      </c>
      <c r="V161" s="13">
        <v>1066</v>
      </c>
      <c r="W161" s="13">
        <v>1077</v>
      </c>
      <c r="X161" s="13">
        <v>1099</v>
      </c>
      <c r="Y161" s="13">
        <v>1110</v>
      </c>
      <c r="Z161" s="13">
        <v>1089</v>
      </c>
      <c r="AA161" s="13">
        <v>1103</v>
      </c>
      <c r="AB161" s="13">
        <v>1082</v>
      </c>
      <c r="AC161" s="13">
        <v>1088</v>
      </c>
      <c r="AD161" s="13">
        <v>1066</v>
      </c>
      <c r="AE161" s="13">
        <v>1081</v>
      </c>
      <c r="AF161" s="13">
        <v>1069</v>
      </c>
      <c r="AG161" s="13">
        <v>1077</v>
      </c>
      <c r="AH161" s="13">
        <v>1099</v>
      </c>
      <c r="AI161" s="13">
        <v>1107</v>
      </c>
      <c r="AJ161" s="13">
        <v>1104</v>
      </c>
      <c r="AK161" s="13">
        <v>1106</v>
      </c>
      <c r="AL161" s="13">
        <v>1111</v>
      </c>
      <c r="AM161" s="13">
        <v>1139</v>
      </c>
      <c r="AN161" s="13">
        <v>1122</v>
      </c>
      <c r="AO161" s="13">
        <v>1150</v>
      </c>
      <c r="AP161" s="13">
        <v>1121</v>
      </c>
      <c r="AQ161" s="13">
        <v>1125</v>
      </c>
      <c r="AR161" s="13">
        <v>1155</v>
      </c>
      <c r="AS161" s="13">
        <v>1171</v>
      </c>
      <c r="AT161" s="13">
        <v>1164</v>
      </c>
      <c r="AU161" s="13">
        <v>1166</v>
      </c>
      <c r="AV161" s="13">
        <v>1171</v>
      </c>
      <c r="AW161" s="13">
        <v>1160</v>
      </c>
      <c r="AX161" s="13">
        <v>1175</v>
      </c>
      <c r="AY161" s="13">
        <v>1195</v>
      </c>
      <c r="AZ161" s="13">
        <v>1200</v>
      </c>
      <c r="BA161" s="13">
        <v>1136</v>
      </c>
      <c r="BB161" s="13">
        <v>1129</v>
      </c>
      <c r="BC161" s="13">
        <v>1126</v>
      </c>
      <c r="BD161" s="13">
        <v>1140</v>
      </c>
      <c r="BE161" s="13">
        <v>1143</v>
      </c>
      <c r="BF161" s="13">
        <v>1132</v>
      </c>
      <c r="BG161" s="13">
        <v>1136</v>
      </c>
      <c r="BH161" s="13">
        <v>1141</v>
      </c>
      <c r="BI161" s="13">
        <v>1129</v>
      </c>
      <c r="BJ161" s="13">
        <v>1131</v>
      </c>
      <c r="BK161" s="13">
        <v>1127</v>
      </c>
      <c r="BL161" s="13">
        <v>1118</v>
      </c>
      <c r="BM161" s="4">
        <v>1132</v>
      </c>
      <c r="BN161" s="4">
        <v>1122</v>
      </c>
      <c r="BO161" s="4">
        <v>1117</v>
      </c>
    </row>
    <row r="162" spans="1:68" ht="15.9" customHeight="1">
      <c r="A162" s="64" t="s">
        <v>318</v>
      </c>
      <c r="B162" s="6" t="s">
        <v>319</v>
      </c>
      <c r="C162" s="15" t="str">
        <f>_xll.RssMarket("9687","現在値")</f>
        <v/>
      </c>
      <c r="D162" s="16" t="e">
        <f t="shared" si="5"/>
        <v>#VALUE!</v>
      </c>
      <c r="E162" s="13">
        <v>4355</v>
      </c>
      <c r="F162" s="13">
        <v>4395</v>
      </c>
      <c r="G162" s="13">
        <v>4385</v>
      </c>
      <c r="H162" s="13">
        <v>4395</v>
      </c>
      <c r="I162" s="13">
        <v>4375</v>
      </c>
      <c r="J162" s="13">
        <v>4350</v>
      </c>
      <c r="K162" s="13">
        <v>4360</v>
      </c>
      <c r="L162" s="13">
        <v>4365</v>
      </c>
      <c r="M162" s="13">
        <v>4370</v>
      </c>
      <c r="N162" s="13">
        <v>4300</v>
      </c>
      <c r="O162" s="13">
        <v>4315</v>
      </c>
      <c r="P162" s="13">
        <v>4310</v>
      </c>
      <c r="Q162" s="13">
        <v>4370</v>
      </c>
      <c r="R162" s="13">
        <v>4355</v>
      </c>
      <c r="S162" s="13">
        <v>4335</v>
      </c>
      <c r="T162" s="13">
        <v>4330</v>
      </c>
      <c r="U162" s="13">
        <v>4315</v>
      </c>
      <c r="V162" s="13">
        <v>4345</v>
      </c>
      <c r="W162" s="13">
        <v>4300</v>
      </c>
      <c r="X162" s="13">
        <v>4345</v>
      </c>
      <c r="Y162" s="13">
        <v>4325</v>
      </c>
      <c r="Z162" s="13">
        <v>4330</v>
      </c>
      <c r="AA162" s="13">
        <v>4300</v>
      </c>
      <c r="AB162" s="13">
        <v>4335</v>
      </c>
      <c r="AC162" s="13">
        <v>4350</v>
      </c>
      <c r="AD162" s="13">
        <v>4325</v>
      </c>
      <c r="AE162" s="13">
        <v>4350</v>
      </c>
      <c r="AF162" s="13">
        <v>4360</v>
      </c>
      <c r="AG162" s="13">
        <v>4350</v>
      </c>
      <c r="AH162" s="13">
        <v>4360</v>
      </c>
      <c r="AI162" s="13">
        <v>4365</v>
      </c>
      <c r="AJ162" s="13">
        <v>4305</v>
      </c>
      <c r="AK162" s="13">
        <v>4345</v>
      </c>
      <c r="AL162" s="13">
        <v>4335</v>
      </c>
      <c r="AM162" s="13">
        <v>4355</v>
      </c>
      <c r="AN162" s="13">
        <v>4350</v>
      </c>
      <c r="AO162" s="13">
        <v>4365</v>
      </c>
      <c r="AP162" s="13">
        <v>4400</v>
      </c>
      <c r="AQ162" s="13">
        <v>4375</v>
      </c>
      <c r="AR162" s="13">
        <v>4360</v>
      </c>
      <c r="AS162" s="13">
        <v>4440</v>
      </c>
      <c r="AT162" s="13">
        <v>4415</v>
      </c>
      <c r="AU162" s="13">
        <v>4365</v>
      </c>
      <c r="AV162" s="13">
        <v>4315</v>
      </c>
      <c r="AW162" s="13">
        <v>4350</v>
      </c>
      <c r="AX162" s="13">
        <v>4375</v>
      </c>
      <c r="AY162" s="13">
        <v>4370</v>
      </c>
      <c r="AZ162" s="13">
        <v>4350</v>
      </c>
      <c r="BA162" s="13">
        <v>4360</v>
      </c>
      <c r="BB162" s="13">
        <v>4385</v>
      </c>
      <c r="BC162" s="13">
        <v>4355</v>
      </c>
      <c r="BD162" s="13">
        <v>4345</v>
      </c>
      <c r="BE162" s="13">
        <v>4355</v>
      </c>
      <c r="BF162" s="13">
        <v>4380</v>
      </c>
      <c r="BG162" s="13">
        <v>4430</v>
      </c>
      <c r="BH162" s="13">
        <v>4455</v>
      </c>
      <c r="BI162" s="13">
        <v>4375</v>
      </c>
      <c r="BJ162" s="13">
        <v>4355</v>
      </c>
      <c r="BK162" s="13">
        <v>4380</v>
      </c>
      <c r="BL162" s="13">
        <v>4385</v>
      </c>
      <c r="BM162" s="4">
        <v>4330</v>
      </c>
      <c r="BN162" s="4">
        <v>4295</v>
      </c>
      <c r="BO162" s="4">
        <v>4340</v>
      </c>
      <c r="BP162" s="4">
        <v>4480</v>
      </c>
    </row>
    <row r="163" spans="1:68" ht="15.9" customHeight="1">
      <c r="A163" s="64" t="s">
        <v>320</v>
      </c>
      <c r="B163" s="6" t="s">
        <v>321</v>
      </c>
      <c r="C163" s="15" t="str">
        <f>_xll.RssMarket("1930","現在値")</f>
        <v/>
      </c>
      <c r="D163" s="16" t="e">
        <f t="shared" si="5"/>
        <v>#VALUE!</v>
      </c>
      <c r="E163" s="13">
        <v>1567</v>
      </c>
      <c r="F163" s="13">
        <v>1614</v>
      </c>
      <c r="G163" s="13">
        <v>1588</v>
      </c>
      <c r="H163" s="13">
        <v>1590</v>
      </c>
      <c r="I163" s="13">
        <v>1632</v>
      </c>
      <c r="J163" s="13">
        <v>1629</v>
      </c>
      <c r="K163" s="13">
        <v>1617</v>
      </c>
      <c r="L163" s="13">
        <v>1674</v>
      </c>
      <c r="M163" s="13">
        <v>1655</v>
      </c>
      <c r="N163" s="13">
        <v>1654</v>
      </c>
      <c r="O163" s="13">
        <v>1678</v>
      </c>
      <c r="P163" s="13">
        <v>1663</v>
      </c>
      <c r="Q163" s="13">
        <v>1695</v>
      </c>
      <c r="R163" s="13">
        <v>1715</v>
      </c>
      <c r="S163" s="13">
        <v>1709</v>
      </c>
      <c r="T163" s="13">
        <v>1701</v>
      </c>
      <c r="U163" s="13">
        <v>1708</v>
      </c>
      <c r="V163" s="13">
        <v>1725</v>
      </c>
      <c r="W163" s="13">
        <v>1701</v>
      </c>
      <c r="X163" s="13">
        <v>1699</v>
      </c>
      <c r="Y163" s="13">
        <v>1651</v>
      </c>
      <c r="Z163" s="13">
        <v>1621</v>
      </c>
      <c r="AA163" s="13">
        <v>1581</v>
      </c>
      <c r="AB163" s="13">
        <v>1594</v>
      </c>
      <c r="AC163" s="13">
        <v>1582</v>
      </c>
      <c r="AD163" s="13">
        <v>1619</v>
      </c>
      <c r="AE163" s="13">
        <v>1552</v>
      </c>
      <c r="AF163" s="13">
        <v>1582</v>
      </c>
      <c r="AG163" s="13">
        <v>1570</v>
      </c>
      <c r="AH163" s="13">
        <v>1623</v>
      </c>
      <c r="AI163" s="13">
        <v>1704</v>
      </c>
      <c r="AJ163" s="13">
        <v>1681</v>
      </c>
      <c r="AK163" s="13">
        <v>1671</v>
      </c>
      <c r="AL163" s="13">
        <v>1605</v>
      </c>
      <c r="AM163" s="13">
        <v>1590</v>
      </c>
      <c r="AN163" s="13">
        <v>1634</v>
      </c>
      <c r="AO163" s="13">
        <v>1608</v>
      </c>
      <c r="AP163" s="13">
        <v>1667</v>
      </c>
      <c r="AQ163" s="13">
        <v>1683</v>
      </c>
      <c r="AR163" s="13">
        <v>1739</v>
      </c>
      <c r="AS163" s="13">
        <v>1766</v>
      </c>
      <c r="AT163" s="13">
        <v>1721</v>
      </c>
      <c r="AU163" s="13">
        <v>1684</v>
      </c>
      <c r="AV163" s="13">
        <v>1668</v>
      </c>
      <c r="AW163" s="13">
        <v>1693</v>
      </c>
      <c r="AX163" s="13">
        <v>1682</v>
      </c>
      <c r="AY163" s="13">
        <v>1502</v>
      </c>
      <c r="AZ163" s="13">
        <v>1443</v>
      </c>
      <c r="BA163" s="13">
        <v>1458</v>
      </c>
      <c r="BB163" s="13">
        <v>1441</v>
      </c>
      <c r="BC163" s="13">
        <v>1446</v>
      </c>
      <c r="BD163" s="13">
        <v>1472</v>
      </c>
      <c r="BE163" s="13">
        <v>1453</v>
      </c>
      <c r="BF163" s="13">
        <v>1456</v>
      </c>
      <c r="BG163" s="13">
        <v>1473</v>
      </c>
      <c r="BH163" s="13">
        <v>1448</v>
      </c>
      <c r="BI163" s="13">
        <v>1441</v>
      </c>
      <c r="BJ163" s="13">
        <v>1439</v>
      </c>
      <c r="BK163" s="13">
        <v>1474</v>
      </c>
      <c r="BL163" s="13">
        <v>1485</v>
      </c>
      <c r="BM163" s="4">
        <v>1513</v>
      </c>
      <c r="BN163" s="4">
        <v>1466</v>
      </c>
      <c r="BO163" s="4">
        <v>1458</v>
      </c>
      <c r="BP163" s="4">
        <v>1455</v>
      </c>
    </row>
    <row r="164" spans="1:68" ht="15.9" customHeight="1">
      <c r="A164" s="64" t="s">
        <v>322</v>
      </c>
      <c r="B164" s="6" t="s">
        <v>323</v>
      </c>
      <c r="C164" s="15" t="str">
        <f>_xll.RssMarket("8704","現在値")</f>
        <v/>
      </c>
      <c r="D164" s="16" t="e">
        <f t="shared" si="5"/>
        <v>#VALUE!</v>
      </c>
      <c r="E164" s="13">
        <v>1242</v>
      </c>
      <c r="F164" s="13">
        <v>1312</v>
      </c>
      <c r="G164" s="13">
        <v>1274</v>
      </c>
      <c r="H164" s="13">
        <v>1231</v>
      </c>
      <c r="I164" s="13">
        <v>1246</v>
      </c>
      <c r="J164" s="13">
        <v>1223</v>
      </c>
      <c r="K164" s="13">
        <v>1222</v>
      </c>
      <c r="L164" s="13">
        <v>1270</v>
      </c>
      <c r="M164" s="13">
        <v>1269</v>
      </c>
      <c r="N164" s="13">
        <v>1225</v>
      </c>
      <c r="O164" s="13">
        <v>1208</v>
      </c>
      <c r="P164" s="13">
        <v>1180</v>
      </c>
      <c r="Q164" s="13">
        <v>1145</v>
      </c>
      <c r="R164" s="13">
        <v>1149</v>
      </c>
      <c r="S164" s="13">
        <v>1189</v>
      </c>
      <c r="T164" s="13">
        <v>1161</v>
      </c>
      <c r="U164" s="13">
        <v>1203</v>
      </c>
      <c r="V164" s="13">
        <v>1217</v>
      </c>
      <c r="W164" s="13">
        <v>1161</v>
      </c>
      <c r="X164" s="13">
        <v>1157</v>
      </c>
      <c r="Y164" s="13">
        <v>1153</v>
      </c>
      <c r="Z164" s="13">
        <v>1154</v>
      </c>
      <c r="AA164" s="13">
        <v>1106</v>
      </c>
      <c r="AB164" s="13">
        <v>1099</v>
      </c>
      <c r="AC164" s="13">
        <v>1126</v>
      </c>
      <c r="AD164" s="13">
        <v>1138</v>
      </c>
      <c r="AE164" s="13">
        <v>1108</v>
      </c>
      <c r="AF164" s="13">
        <v>1178</v>
      </c>
      <c r="AG164" s="13">
        <v>1189</v>
      </c>
      <c r="AH164" s="13">
        <v>1210</v>
      </c>
      <c r="AI164" s="13">
        <v>1193</v>
      </c>
      <c r="AJ164" s="13">
        <v>1148</v>
      </c>
      <c r="AK164" s="13">
        <v>1139</v>
      </c>
      <c r="AL164" s="13">
        <v>1134</v>
      </c>
      <c r="AM164" s="13">
        <v>1139</v>
      </c>
      <c r="AN164" s="13">
        <v>1119</v>
      </c>
      <c r="AO164" s="13">
        <v>1134</v>
      </c>
      <c r="AP164" s="13">
        <v>1146</v>
      </c>
      <c r="AQ164" s="13">
        <v>1169</v>
      </c>
      <c r="AR164" s="13">
        <v>1171</v>
      </c>
      <c r="AS164" s="13">
        <v>1217</v>
      </c>
      <c r="AT164" s="13">
        <v>1210</v>
      </c>
      <c r="AU164" s="13">
        <v>1236</v>
      </c>
      <c r="AV164" s="13">
        <v>1235</v>
      </c>
      <c r="AW164" s="13">
        <v>1178</v>
      </c>
      <c r="AX164" s="13">
        <v>1128</v>
      </c>
      <c r="AY164" s="13">
        <v>1043</v>
      </c>
      <c r="AZ164" s="13">
        <v>1081</v>
      </c>
      <c r="BA164" s="13">
        <v>1030</v>
      </c>
      <c r="BB164" s="13">
        <v>1029</v>
      </c>
      <c r="BC164" s="13">
        <v>1036</v>
      </c>
      <c r="BD164" s="13">
        <v>1042</v>
      </c>
      <c r="BE164" s="13">
        <v>1068</v>
      </c>
      <c r="BF164" s="13">
        <v>1053</v>
      </c>
      <c r="BG164" s="13">
        <v>1044</v>
      </c>
      <c r="BH164" s="13">
        <v>1061</v>
      </c>
      <c r="BI164" s="13">
        <v>1043</v>
      </c>
      <c r="BJ164" s="13">
        <v>1034</v>
      </c>
      <c r="BK164" s="13">
        <v>1038</v>
      </c>
      <c r="BL164" s="13">
        <v>1047</v>
      </c>
      <c r="BM164" s="4">
        <v>1057</v>
      </c>
      <c r="BN164" s="4">
        <v>1078</v>
      </c>
      <c r="BO164" s="4">
        <v>1048</v>
      </c>
      <c r="BP164" s="4">
        <v>1041</v>
      </c>
    </row>
    <row r="165" spans="1:68" ht="15.9" customHeight="1">
      <c r="A165" s="64" t="s">
        <v>324</v>
      </c>
      <c r="B165" s="6" t="s">
        <v>325</v>
      </c>
      <c r="C165" s="15" t="str">
        <f>_xll.RssMarket("4733","現在値")</f>
        <v/>
      </c>
      <c r="D165" s="16" t="e">
        <f t="shared" si="5"/>
        <v>#VALUE!</v>
      </c>
      <c r="E165" s="13">
        <v>6620</v>
      </c>
      <c r="F165" s="13">
        <v>6483</v>
      </c>
      <c r="G165" s="13">
        <v>6618</v>
      </c>
      <c r="H165" s="13">
        <v>6591</v>
      </c>
      <c r="I165" s="13">
        <v>6543</v>
      </c>
      <c r="J165" s="13">
        <v>6530</v>
      </c>
      <c r="K165" s="13">
        <v>6518</v>
      </c>
      <c r="L165" s="13">
        <v>6542</v>
      </c>
      <c r="M165" s="13">
        <v>6452</v>
      </c>
      <c r="N165" s="13">
        <v>6378</v>
      </c>
      <c r="O165" s="13">
        <v>6058</v>
      </c>
      <c r="P165" s="13">
        <v>6082</v>
      </c>
      <c r="Q165" s="13">
        <v>6109</v>
      </c>
      <c r="R165" s="13">
        <v>5827</v>
      </c>
      <c r="S165" s="13">
        <v>5723</v>
      </c>
      <c r="T165" s="13">
        <v>5792</v>
      </c>
      <c r="U165" s="13">
        <v>5637</v>
      </c>
      <c r="V165" s="13">
        <v>5650</v>
      </c>
      <c r="W165" s="13">
        <v>5694</v>
      </c>
      <c r="X165" s="13">
        <v>5893</v>
      </c>
      <c r="Y165" s="13">
        <v>5841</v>
      </c>
      <c r="Z165" s="13">
        <v>5850</v>
      </c>
      <c r="AA165" s="13">
        <v>5927</v>
      </c>
      <c r="AB165" s="13">
        <v>5976</v>
      </c>
      <c r="AC165" s="13">
        <v>6029</v>
      </c>
      <c r="AD165" s="13">
        <v>6020</v>
      </c>
      <c r="AE165" s="13">
        <v>5991</v>
      </c>
      <c r="AF165" s="13">
        <v>6216</v>
      </c>
      <c r="AG165" s="13">
        <v>6424</v>
      </c>
      <c r="AH165" s="13">
        <v>6379</v>
      </c>
      <c r="AI165" s="13">
        <v>6117</v>
      </c>
      <c r="AJ165" s="13">
        <v>6088</v>
      </c>
      <c r="AK165" s="13">
        <v>6169</v>
      </c>
      <c r="AL165" s="13">
        <v>5979</v>
      </c>
      <c r="AM165" s="13">
        <v>6121</v>
      </c>
      <c r="AN165" s="13">
        <v>6101</v>
      </c>
      <c r="AO165" s="13">
        <v>6121</v>
      </c>
      <c r="AP165" s="13">
        <v>6249</v>
      </c>
      <c r="AQ165" s="13">
        <v>6117</v>
      </c>
      <c r="AR165" s="13">
        <v>6047</v>
      </c>
      <c r="AS165" s="13">
        <v>5999</v>
      </c>
      <c r="AT165" s="13">
        <v>6042</v>
      </c>
      <c r="AU165" s="13">
        <v>6075</v>
      </c>
      <c r="AV165" s="13">
        <v>6170</v>
      </c>
      <c r="AW165" s="13">
        <v>6213</v>
      </c>
      <c r="AX165" s="13">
        <v>6099</v>
      </c>
      <c r="AY165" s="13">
        <v>6082</v>
      </c>
      <c r="AZ165" s="13">
        <v>6125</v>
      </c>
      <c r="BA165" s="13">
        <v>6244</v>
      </c>
      <c r="BB165" s="13">
        <v>6176</v>
      </c>
      <c r="BC165" s="13">
        <v>6270</v>
      </c>
      <c r="BD165" s="13">
        <v>6270</v>
      </c>
      <c r="BE165" s="13">
        <v>6750</v>
      </c>
      <c r="BF165" s="13">
        <v>6481</v>
      </c>
      <c r="BG165" s="13">
        <v>6771</v>
      </c>
      <c r="BH165" s="13">
        <v>6682</v>
      </c>
      <c r="BI165" s="13">
        <v>6605</v>
      </c>
      <c r="BJ165" s="13">
        <v>6727</v>
      </c>
      <c r="BK165" s="13">
        <v>6551</v>
      </c>
      <c r="BL165" s="13">
        <v>6279</v>
      </c>
      <c r="BM165" s="4">
        <v>6187</v>
      </c>
      <c r="BN165" s="4">
        <v>6361</v>
      </c>
      <c r="BO165" s="4">
        <v>6485</v>
      </c>
      <c r="BP165" s="4">
        <v>6418</v>
      </c>
    </row>
    <row r="166" spans="1:68" ht="15.9" customHeight="1">
      <c r="A166" s="64" t="s">
        <v>326</v>
      </c>
      <c r="B166" s="6" t="s">
        <v>327</v>
      </c>
      <c r="C166" s="15" t="str">
        <f>_xll.RssMarket("9733","現在値")</f>
        <v/>
      </c>
      <c r="D166" s="16" t="e">
        <f t="shared" si="5"/>
        <v>#VALUE!</v>
      </c>
      <c r="E166" s="13">
        <v>2329</v>
      </c>
      <c r="F166" s="13">
        <v>2351</v>
      </c>
      <c r="G166" s="13">
        <v>2349</v>
      </c>
      <c r="H166" s="13">
        <v>2361</v>
      </c>
      <c r="I166" s="13">
        <v>2372</v>
      </c>
      <c r="J166" s="13">
        <v>2386</v>
      </c>
      <c r="K166" s="13">
        <v>2390</v>
      </c>
      <c r="L166" s="13">
        <v>2363</v>
      </c>
      <c r="M166" s="13">
        <v>2335</v>
      </c>
      <c r="N166" s="13">
        <v>2310</v>
      </c>
      <c r="O166" s="13">
        <v>2300</v>
      </c>
      <c r="P166" s="13">
        <v>2330</v>
      </c>
      <c r="Q166" s="13">
        <v>2267</v>
      </c>
      <c r="R166" s="13">
        <v>2220</v>
      </c>
      <c r="S166" s="13">
        <v>2234</v>
      </c>
      <c r="T166" s="13">
        <v>2221</v>
      </c>
      <c r="U166" s="13">
        <v>2220</v>
      </c>
      <c r="V166" s="13">
        <v>2212</v>
      </c>
      <c r="W166" s="13">
        <v>2201</v>
      </c>
      <c r="X166" s="13">
        <v>2203</v>
      </c>
      <c r="Y166" s="13">
        <v>2235</v>
      </c>
      <c r="Z166" s="13">
        <v>2225</v>
      </c>
      <c r="AA166" s="13">
        <v>2246</v>
      </c>
      <c r="AB166" s="13">
        <v>2200</v>
      </c>
      <c r="AC166" s="13">
        <v>2204</v>
      </c>
      <c r="AD166" s="13">
        <v>2187</v>
      </c>
      <c r="AE166" s="13">
        <v>2207</v>
      </c>
      <c r="AF166" s="13">
        <v>2200</v>
      </c>
      <c r="AG166" s="13">
        <v>2244</v>
      </c>
      <c r="AH166" s="13">
        <v>2282</v>
      </c>
      <c r="AI166" s="13">
        <v>2265</v>
      </c>
      <c r="AJ166" s="13">
        <v>2266</v>
      </c>
      <c r="AK166" s="13">
        <v>2273</v>
      </c>
      <c r="AL166" s="13">
        <v>2310</v>
      </c>
      <c r="AM166" s="13">
        <v>2296</v>
      </c>
      <c r="AN166" s="13">
        <v>2320</v>
      </c>
      <c r="AO166" s="13">
        <v>2316</v>
      </c>
      <c r="AP166" s="13">
        <v>2287</v>
      </c>
      <c r="AQ166" s="13">
        <v>2267</v>
      </c>
      <c r="AR166" s="13">
        <v>2278</v>
      </c>
      <c r="AS166" s="13">
        <v>2283</v>
      </c>
      <c r="AT166" s="13">
        <v>2269</v>
      </c>
      <c r="AU166" s="13">
        <v>2287</v>
      </c>
      <c r="AV166" s="13">
        <v>2280</v>
      </c>
      <c r="AW166" s="13">
        <v>2290</v>
      </c>
      <c r="AX166" s="13">
        <v>2300</v>
      </c>
      <c r="AY166" s="13">
        <v>2311</v>
      </c>
      <c r="AZ166" s="13">
        <v>2335</v>
      </c>
      <c r="BA166" s="13">
        <v>2290</v>
      </c>
      <c r="BB166" s="13">
        <v>2311</v>
      </c>
      <c r="BC166" s="13">
        <v>2345</v>
      </c>
      <c r="BD166" s="13">
        <v>2370</v>
      </c>
      <c r="BE166" s="13">
        <v>2362</v>
      </c>
      <c r="BF166" s="13">
        <v>2412</v>
      </c>
      <c r="BG166" s="13">
        <v>2460</v>
      </c>
      <c r="BH166" s="13">
        <v>2452</v>
      </c>
      <c r="BI166" s="13">
        <v>2421</v>
      </c>
      <c r="BJ166" s="13">
        <v>2481</v>
      </c>
      <c r="BK166" s="13">
        <v>2498</v>
      </c>
      <c r="BL166" s="13">
        <v>2528</v>
      </c>
      <c r="BM166" s="4">
        <v>2523</v>
      </c>
      <c r="BN166" s="4">
        <v>2544</v>
      </c>
      <c r="BO166" s="4">
        <v>2515</v>
      </c>
      <c r="BP166" s="4">
        <v>2522</v>
      </c>
    </row>
    <row r="167" spans="1:68" ht="15.9" customHeight="1">
      <c r="A167" s="64" t="s">
        <v>328</v>
      </c>
      <c r="B167" s="6" t="s">
        <v>329</v>
      </c>
      <c r="C167" s="15" t="str">
        <f>_xll.RssMarket("9551","現在値")</f>
        <v/>
      </c>
      <c r="D167" s="16" t="e">
        <f t="shared" si="5"/>
        <v>#VALUE!</v>
      </c>
      <c r="E167" s="13">
        <v>3120</v>
      </c>
      <c r="F167" s="13">
        <v>3230</v>
      </c>
      <c r="G167" s="13">
        <v>3175</v>
      </c>
      <c r="H167" s="13">
        <v>3205</v>
      </c>
      <c r="I167" s="13">
        <v>3235</v>
      </c>
      <c r="J167" s="13">
        <v>3260</v>
      </c>
      <c r="K167" s="13">
        <v>3180</v>
      </c>
      <c r="L167" s="13">
        <v>3325</v>
      </c>
      <c r="M167" s="13">
        <v>3285</v>
      </c>
      <c r="N167" s="13">
        <v>3350</v>
      </c>
      <c r="O167" s="13">
        <v>3325</v>
      </c>
      <c r="P167" s="13">
        <v>3395</v>
      </c>
      <c r="Q167" s="13">
        <v>3570</v>
      </c>
      <c r="R167" s="13">
        <v>3560</v>
      </c>
      <c r="S167" s="13">
        <v>3505</v>
      </c>
      <c r="T167" s="13">
        <v>3515</v>
      </c>
      <c r="U167" s="13">
        <v>3535</v>
      </c>
      <c r="V167" s="13">
        <v>3455</v>
      </c>
      <c r="W167" s="13">
        <v>3410</v>
      </c>
      <c r="X167" s="13">
        <v>3340</v>
      </c>
      <c r="Y167" s="13">
        <v>3145</v>
      </c>
      <c r="Z167" s="13">
        <v>3105</v>
      </c>
      <c r="AA167" s="13">
        <v>3150</v>
      </c>
      <c r="AB167" s="13">
        <v>3240</v>
      </c>
      <c r="AC167" s="13">
        <v>3285</v>
      </c>
      <c r="AD167" s="13">
        <v>3250</v>
      </c>
      <c r="AE167" s="13">
        <v>3280</v>
      </c>
      <c r="AF167" s="13">
        <v>3270</v>
      </c>
      <c r="AG167" s="13">
        <v>3345</v>
      </c>
      <c r="AH167" s="13">
        <v>3555</v>
      </c>
      <c r="AI167" s="13">
        <v>3250</v>
      </c>
      <c r="AJ167" s="13">
        <v>3265</v>
      </c>
      <c r="AK167" s="13">
        <v>3275</v>
      </c>
      <c r="AL167" s="13">
        <v>3265</v>
      </c>
      <c r="AM167" s="13">
        <v>3270</v>
      </c>
      <c r="AN167" s="13">
        <v>3235</v>
      </c>
      <c r="AO167" s="13">
        <v>3285</v>
      </c>
      <c r="AP167" s="13">
        <v>3360</v>
      </c>
      <c r="AQ167" s="13">
        <v>3515</v>
      </c>
      <c r="AR167" s="13">
        <v>3430</v>
      </c>
      <c r="AS167" s="13">
        <v>3440</v>
      </c>
      <c r="AT167" s="13">
        <v>3385</v>
      </c>
      <c r="AU167" s="13">
        <v>3440</v>
      </c>
      <c r="AV167" s="13">
        <v>3435</v>
      </c>
      <c r="AW167" s="13">
        <v>3365</v>
      </c>
      <c r="AX167" s="13">
        <v>3390</v>
      </c>
      <c r="AY167" s="13">
        <v>3415</v>
      </c>
      <c r="AZ167" s="13">
        <v>3270</v>
      </c>
      <c r="BA167" s="13">
        <v>3620</v>
      </c>
      <c r="BB167" s="13">
        <v>3590</v>
      </c>
      <c r="BC167" s="13">
        <v>3620</v>
      </c>
      <c r="BD167" s="13">
        <v>3690</v>
      </c>
      <c r="BE167" s="13">
        <v>3705</v>
      </c>
      <c r="BF167" s="13">
        <v>3705</v>
      </c>
      <c r="BG167" s="13">
        <v>3685</v>
      </c>
      <c r="BH167" s="13">
        <v>3675</v>
      </c>
      <c r="BI167" s="13">
        <v>3710</v>
      </c>
      <c r="BJ167" s="13">
        <v>3630</v>
      </c>
      <c r="BK167" s="13">
        <v>3675</v>
      </c>
      <c r="BL167" s="13">
        <v>3705</v>
      </c>
      <c r="BM167" s="4">
        <v>3705</v>
      </c>
      <c r="BN167" s="4">
        <v>3565</v>
      </c>
      <c r="BO167" s="4">
        <v>3590</v>
      </c>
      <c r="BP167" s="4">
        <v>3555</v>
      </c>
    </row>
    <row r="168" spans="1:68" ht="15.9" customHeight="1">
      <c r="A168" s="64" t="s">
        <v>330</v>
      </c>
      <c r="B168" s="6" t="s">
        <v>331</v>
      </c>
      <c r="C168" s="15" t="str">
        <f>_xll.RssMarket("2359","現在値")</f>
        <v/>
      </c>
      <c r="D168" s="16" t="e">
        <f t="shared" si="5"/>
        <v>#VALUE!</v>
      </c>
      <c r="E168" s="13">
        <v>1980</v>
      </c>
      <c r="F168" s="13">
        <v>2010</v>
      </c>
      <c r="G168" s="13">
        <v>2009</v>
      </c>
      <c r="H168" s="13">
        <v>1995</v>
      </c>
      <c r="I168" s="13">
        <v>1990</v>
      </c>
      <c r="J168" s="13">
        <v>1950</v>
      </c>
      <c r="K168" s="13">
        <v>1951</v>
      </c>
      <c r="L168" s="13">
        <v>1950</v>
      </c>
      <c r="M168" s="13">
        <v>1941</v>
      </c>
      <c r="N168" s="13">
        <v>1950</v>
      </c>
      <c r="O168" s="13">
        <v>1926</v>
      </c>
      <c r="P168" s="13">
        <v>1952</v>
      </c>
      <c r="Q168" s="13">
        <v>1982</v>
      </c>
      <c r="R168" s="13">
        <v>2015</v>
      </c>
      <c r="S168" s="13">
        <v>2005</v>
      </c>
      <c r="T168" s="13">
        <v>2030</v>
      </c>
      <c r="U168" s="13">
        <v>2010</v>
      </c>
      <c r="V168" s="13">
        <v>2031</v>
      </c>
      <c r="W168" s="13">
        <v>2020</v>
      </c>
      <c r="X168" s="13">
        <v>2005</v>
      </c>
      <c r="Y168" s="13">
        <v>1993</v>
      </c>
      <c r="Z168" s="13">
        <v>2019</v>
      </c>
      <c r="AA168" s="13">
        <v>2027</v>
      </c>
      <c r="AB168" s="13">
        <v>2034</v>
      </c>
      <c r="AC168" s="13">
        <v>2083</v>
      </c>
      <c r="AD168" s="13">
        <v>2040</v>
      </c>
      <c r="AE168" s="13">
        <v>2041</v>
      </c>
      <c r="AF168" s="13">
        <v>2043</v>
      </c>
      <c r="AG168" s="13">
        <v>2048</v>
      </c>
      <c r="AH168" s="13">
        <v>2020</v>
      </c>
      <c r="AI168" s="13">
        <v>2060</v>
      </c>
      <c r="AJ168" s="13">
        <v>2030</v>
      </c>
      <c r="AK168" s="13">
        <v>2096</v>
      </c>
      <c r="AL168" s="13">
        <v>2099</v>
      </c>
      <c r="AM168" s="13">
        <v>2102</v>
      </c>
      <c r="AN168" s="13">
        <v>2100</v>
      </c>
      <c r="AO168" s="13">
        <v>2086</v>
      </c>
      <c r="AP168" s="13">
        <v>2044</v>
      </c>
      <c r="AQ168" s="13">
        <v>2053</v>
      </c>
      <c r="AR168" s="13">
        <v>2064</v>
      </c>
      <c r="AS168" s="13">
        <v>2051</v>
      </c>
      <c r="AT168" s="13">
        <v>2015</v>
      </c>
      <c r="AU168" s="13">
        <v>2008</v>
      </c>
      <c r="AV168" s="13">
        <v>2006</v>
      </c>
      <c r="AW168" s="13">
        <v>1988</v>
      </c>
      <c r="AX168" s="13">
        <v>2016</v>
      </c>
      <c r="AY168" s="13">
        <v>2048</v>
      </c>
      <c r="AZ168" s="13">
        <v>2205</v>
      </c>
      <c r="BA168" s="13">
        <v>2228</v>
      </c>
      <c r="BB168" s="13">
        <v>2137</v>
      </c>
      <c r="BC168" s="13">
        <v>2137</v>
      </c>
      <c r="BD168" s="13">
        <v>2206</v>
      </c>
      <c r="BE168" s="13">
        <v>2245</v>
      </c>
      <c r="BF168" s="13">
        <v>2243</v>
      </c>
      <c r="BG168" s="13">
        <v>2251</v>
      </c>
      <c r="BH168" s="13">
        <v>2232</v>
      </c>
      <c r="BI168" s="13">
        <v>2243</v>
      </c>
      <c r="BJ168" s="13">
        <v>2215</v>
      </c>
      <c r="BK168" s="13">
        <v>2218</v>
      </c>
      <c r="BL168" s="13">
        <v>2239</v>
      </c>
      <c r="BM168" s="4">
        <v>2276</v>
      </c>
      <c r="BN168" s="4">
        <v>2313</v>
      </c>
      <c r="BO168" s="4">
        <v>2287</v>
      </c>
      <c r="BP168" s="4">
        <v>2269</v>
      </c>
    </row>
    <row r="169" spans="1:68" ht="15.9" customHeight="1">
      <c r="A169" s="64" t="s">
        <v>332</v>
      </c>
      <c r="B169" s="6" t="s">
        <v>333</v>
      </c>
      <c r="C169" s="15" t="str">
        <f>_xll.RssMarket("8103","現在値")</f>
        <v/>
      </c>
      <c r="D169" s="16" t="e">
        <f t="shared" si="5"/>
        <v>#VALUE!</v>
      </c>
      <c r="E169" s="13">
        <v>895</v>
      </c>
      <c r="F169" s="13">
        <v>917</v>
      </c>
      <c r="G169" s="13">
        <v>905</v>
      </c>
      <c r="H169" s="13">
        <v>900</v>
      </c>
      <c r="I169" s="13">
        <v>910</v>
      </c>
      <c r="J169" s="13">
        <v>909</v>
      </c>
      <c r="K169" s="13">
        <v>920</v>
      </c>
      <c r="L169" s="13">
        <v>906</v>
      </c>
      <c r="M169" s="13">
        <v>894</v>
      </c>
      <c r="N169" s="13">
        <v>878</v>
      </c>
      <c r="O169" s="13">
        <v>877</v>
      </c>
      <c r="P169" s="13">
        <v>879</v>
      </c>
      <c r="Q169" s="13">
        <v>864</v>
      </c>
      <c r="R169" s="13">
        <v>868</v>
      </c>
      <c r="S169" s="13">
        <v>854</v>
      </c>
      <c r="T169" s="13">
        <v>869</v>
      </c>
      <c r="U169" s="13">
        <v>883</v>
      </c>
      <c r="V169" s="13">
        <v>869</v>
      </c>
      <c r="W169" s="13">
        <v>873</v>
      </c>
      <c r="X169" s="13">
        <v>872</v>
      </c>
      <c r="Y169" s="13">
        <v>871</v>
      </c>
      <c r="Z169" s="13">
        <v>858</v>
      </c>
      <c r="AA169" s="13">
        <v>868</v>
      </c>
      <c r="AB169" s="13">
        <v>880</v>
      </c>
      <c r="AC169" s="13">
        <v>879</v>
      </c>
      <c r="AD169" s="13">
        <v>882</v>
      </c>
      <c r="AE169" s="13">
        <v>885</v>
      </c>
      <c r="AF169" s="13">
        <v>878</v>
      </c>
      <c r="AG169" s="13">
        <v>882</v>
      </c>
      <c r="AH169" s="13">
        <v>880</v>
      </c>
      <c r="AI169" s="13">
        <v>887</v>
      </c>
      <c r="AJ169" s="13">
        <v>886</v>
      </c>
      <c r="AK169" s="13">
        <v>907</v>
      </c>
      <c r="AL169" s="13">
        <v>902</v>
      </c>
      <c r="AM169" s="13">
        <v>890</v>
      </c>
      <c r="AN169" s="13">
        <v>893</v>
      </c>
      <c r="AO169" s="13">
        <v>909</v>
      </c>
      <c r="AP169" s="13">
        <v>889</v>
      </c>
      <c r="AQ169" s="13">
        <v>897</v>
      </c>
      <c r="AR169" s="13">
        <v>902</v>
      </c>
      <c r="AS169" s="13">
        <v>897</v>
      </c>
      <c r="AT169" s="13">
        <v>879</v>
      </c>
      <c r="AU169" s="13">
        <v>885</v>
      </c>
      <c r="AV169" s="13">
        <v>895</v>
      </c>
      <c r="AW169" s="13">
        <v>903</v>
      </c>
      <c r="AX169" s="13">
        <v>854</v>
      </c>
      <c r="AY169" s="13">
        <v>830</v>
      </c>
      <c r="AZ169" s="13">
        <v>773</v>
      </c>
      <c r="BA169" s="13">
        <v>765</v>
      </c>
      <c r="BB169" s="13">
        <v>773</v>
      </c>
      <c r="BC169" s="13">
        <v>767</v>
      </c>
      <c r="BD169" s="13">
        <v>773</v>
      </c>
      <c r="BE169" s="13">
        <v>773</v>
      </c>
      <c r="BF169" s="13">
        <v>778</v>
      </c>
      <c r="BG169" s="13">
        <v>782</v>
      </c>
      <c r="BH169" s="13">
        <v>783</v>
      </c>
      <c r="BI169" s="13">
        <v>774</v>
      </c>
      <c r="BJ169" s="13">
        <v>780</v>
      </c>
      <c r="BK169" s="13">
        <v>785</v>
      </c>
      <c r="BL169" s="13">
        <v>795</v>
      </c>
      <c r="BM169" s="4">
        <v>800</v>
      </c>
      <c r="BN169" s="4">
        <v>805</v>
      </c>
      <c r="BO169" s="4">
        <v>796</v>
      </c>
      <c r="BP169" s="4">
        <v>787</v>
      </c>
    </row>
    <row r="170" spans="1:68" ht="15.9" customHeight="1">
      <c r="A170" s="64" t="s">
        <v>334</v>
      </c>
      <c r="B170" s="6" t="s">
        <v>335</v>
      </c>
      <c r="C170" s="15" t="str">
        <f>_xll.RssMarket("4709","現在値")</f>
        <v/>
      </c>
      <c r="D170" s="16" t="e">
        <f t="shared" si="5"/>
        <v>#VALUE!</v>
      </c>
      <c r="E170" s="13">
        <v>1115</v>
      </c>
      <c r="F170" s="13">
        <v>1127</v>
      </c>
      <c r="G170" s="13">
        <v>1109</v>
      </c>
      <c r="H170" s="13">
        <v>1106</v>
      </c>
      <c r="I170" s="13">
        <v>1107</v>
      </c>
      <c r="J170" s="13">
        <v>1091</v>
      </c>
      <c r="K170" s="13">
        <v>1103</v>
      </c>
      <c r="L170" s="13">
        <v>1070</v>
      </c>
      <c r="M170" s="13">
        <v>1074</v>
      </c>
      <c r="N170" s="13">
        <v>1061</v>
      </c>
      <c r="O170" s="13">
        <v>1055</v>
      </c>
      <c r="P170" s="13">
        <v>1071</v>
      </c>
      <c r="Q170" s="13">
        <v>1070</v>
      </c>
      <c r="R170" s="13">
        <v>1059</v>
      </c>
      <c r="S170" s="13">
        <v>1050</v>
      </c>
      <c r="T170" s="13">
        <v>1037</v>
      </c>
      <c r="U170" s="13">
        <v>1044</v>
      </c>
      <c r="V170" s="13">
        <v>1057</v>
      </c>
      <c r="W170" s="13">
        <v>1056</v>
      </c>
      <c r="X170" s="13">
        <v>1092</v>
      </c>
      <c r="Y170" s="13">
        <v>1110</v>
      </c>
      <c r="Z170" s="13">
        <v>1060</v>
      </c>
      <c r="AA170" s="13">
        <v>1059</v>
      </c>
      <c r="AB170" s="13">
        <v>1084</v>
      </c>
      <c r="AC170" s="13">
        <v>1022</v>
      </c>
      <c r="AD170" s="13">
        <v>1003</v>
      </c>
      <c r="AE170" s="13">
        <v>989</v>
      </c>
      <c r="AF170" s="13">
        <v>1004</v>
      </c>
      <c r="AG170" s="13">
        <v>1024</v>
      </c>
      <c r="AH170" s="13">
        <v>1034</v>
      </c>
      <c r="AI170" s="13">
        <v>1037</v>
      </c>
      <c r="AJ170" s="13">
        <v>1020</v>
      </c>
      <c r="AK170" s="13">
        <v>1001</v>
      </c>
      <c r="AL170" s="13">
        <v>1033</v>
      </c>
      <c r="AM170" s="13">
        <v>1045</v>
      </c>
      <c r="AN170" s="13">
        <v>1049</v>
      </c>
      <c r="AO170" s="13">
        <v>1037</v>
      </c>
      <c r="AP170" s="13">
        <v>1052</v>
      </c>
      <c r="AQ170" s="13">
        <v>1016</v>
      </c>
      <c r="AR170" s="13">
        <v>1031</v>
      </c>
      <c r="AS170" s="13">
        <v>1015</v>
      </c>
      <c r="AT170" s="13">
        <v>1066</v>
      </c>
      <c r="AU170" s="13">
        <v>1072</v>
      </c>
      <c r="AV170" s="13">
        <v>1071</v>
      </c>
      <c r="AW170" s="13">
        <v>1017</v>
      </c>
      <c r="AX170" s="13">
        <v>1035</v>
      </c>
      <c r="AY170" s="13">
        <v>1031</v>
      </c>
      <c r="AZ170" s="13">
        <v>1005</v>
      </c>
      <c r="BA170" s="13">
        <v>902</v>
      </c>
      <c r="BB170" s="13">
        <v>896</v>
      </c>
      <c r="BC170" s="13">
        <v>886</v>
      </c>
      <c r="BD170" s="13">
        <v>892</v>
      </c>
      <c r="BE170" s="13">
        <v>912</v>
      </c>
      <c r="BF170" s="13">
        <v>921</v>
      </c>
      <c r="BG170" s="13">
        <v>920</v>
      </c>
      <c r="BH170" s="13">
        <v>936</v>
      </c>
      <c r="BI170" s="13">
        <v>938</v>
      </c>
      <c r="BJ170" s="13">
        <v>933</v>
      </c>
      <c r="BK170" s="13">
        <v>914</v>
      </c>
      <c r="BL170" s="13">
        <v>915</v>
      </c>
      <c r="BM170" s="4">
        <v>927</v>
      </c>
      <c r="BN170" s="4">
        <v>938</v>
      </c>
      <c r="BO170" s="4">
        <v>955</v>
      </c>
      <c r="BP170" s="4">
        <v>945</v>
      </c>
    </row>
    <row r="171" spans="1:68" ht="15.9" customHeight="1">
      <c r="A171" s="64" t="s">
        <v>336</v>
      </c>
      <c r="B171" s="6" t="s">
        <v>337</v>
      </c>
      <c r="C171" s="15" t="str">
        <f>_xll.RssMarket("7981","現在値")</f>
        <v/>
      </c>
      <c r="D171" s="16" t="e">
        <f t="shared" si="5"/>
        <v>#VALUE!</v>
      </c>
      <c r="E171" s="13">
        <v>3055</v>
      </c>
      <c r="F171" s="13">
        <v>3125</v>
      </c>
      <c r="G171" s="13">
        <v>3090</v>
      </c>
      <c r="H171" s="13">
        <v>3050</v>
      </c>
      <c r="I171" s="13">
        <v>3055</v>
      </c>
      <c r="J171" s="13">
        <v>3080</v>
      </c>
      <c r="K171" s="13">
        <v>3115</v>
      </c>
      <c r="L171" s="13">
        <v>3095</v>
      </c>
      <c r="M171" s="13">
        <v>3075</v>
      </c>
      <c r="N171" s="13">
        <v>3050</v>
      </c>
      <c r="O171" s="13">
        <v>3100</v>
      </c>
      <c r="P171" s="13">
        <v>3080</v>
      </c>
      <c r="Q171" s="13">
        <v>3100</v>
      </c>
      <c r="R171" s="13">
        <v>3135</v>
      </c>
      <c r="S171" s="13">
        <v>3070</v>
      </c>
      <c r="T171" s="13">
        <v>3050</v>
      </c>
      <c r="U171" s="13">
        <v>3030</v>
      </c>
      <c r="V171" s="13">
        <v>3000</v>
      </c>
      <c r="W171" s="13">
        <v>2967</v>
      </c>
      <c r="X171" s="13">
        <v>2961</v>
      </c>
      <c r="Y171" s="13">
        <v>2944</v>
      </c>
      <c r="Z171" s="13">
        <v>2941</v>
      </c>
      <c r="AA171" s="13">
        <v>2967</v>
      </c>
      <c r="AB171" s="13">
        <v>2944</v>
      </c>
      <c r="AC171" s="13">
        <v>2942</v>
      </c>
      <c r="AD171" s="13">
        <v>2923</v>
      </c>
      <c r="AE171" s="13">
        <v>2968</v>
      </c>
      <c r="AF171" s="13">
        <v>2969</v>
      </c>
      <c r="AG171" s="13">
        <v>2960</v>
      </c>
      <c r="AH171" s="13">
        <v>2952</v>
      </c>
      <c r="AI171" s="13">
        <v>2990</v>
      </c>
      <c r="AJ171" s="13">
        <v>2912</v>
      </c>
      <c r="AK171" s="13">
        <v>2896</v>
      </c>
      <c r="AL171" s="13">
        <v>2901</v>
      </c>
      <c r="AM171" s="13">
        <v>2947</v>
      </c>
      <c r="AN171" s="13">
        <v>2908</v>
      </c>
      <c r="AO171" s="13">
        <v>2990</v>
      </c>
      <c r="AP171" s="13">
        <v>3005</v>
      </c>
      <c r="AQ171" s="13">
        <v>2995</v>
      </c>
      <c r="AR171" s="13">
        <v>3025</v>
      </c>
      <c r="AS171" s="13">
        <v>3095</v>
      </c>
      <c r="AT171" s="13">
        <v>3050</v>
      </c>
      <c r="AU171" s="13">
        <v>3210</v>
      </c>
      <c r="AV171" s="13">
        <v>3070</v>
      </c>
      <c r="AW171" s="13">
        <v>2964</v>
      </c>
      <c r="AX171" s="13">
        <v>2820</v>
      </c>
      <c r="AY171" s="13">
        <v>2747</v>
      </c>
      <c r="AZ171" s="13">
        <v>2648</v>
      </c>
      <c r="BA171" s="13">
        <v>2660</v>
      </c>
      <c r="BB171" s="13">
        <v>2657</v>
      </c>
      <c r="BC171" s="13">
        <v>2675</v>
      </c>
      <c r="BD171" s="13">
        <v>2714</v>
      </c>
      <c r="BE171" s="13">
        <v>2720</v>
      </c>
      <c r="BF171" s="13">
        <v>2765</v>
      </c>
      <c r="BG171" s="13">
        <v>2719</v>
      </c>
      <c r="BH171" s="13">
        <v>2665</v>
      </c>
      <c r="BI171" s="13">
        <v>2740</v>
      </c>
      <c r="BJ171" s="13">
        <v>2932</v>
      </c>
      <c r="BK171" s="13">
        <v>2963</v>
      </c>
      <c r="BL171" s="13">
        <v>2928</v>
      </c>
      <c r="BM171" s="4">
        <v>2847</v>
      </c>
      <c r="BN171" s="4">
        <v>2811</v>
      </c>
      <c r="BO171" s="4">
        <v>2797</v>
      </c>
      <c r="BP171" s="4">
        <v>2778</v>
      </c>
    </row>
    <row r="172" spans="1:68" ht="15.9" customHeight="1">
      <c r="A172" s="64" t="s">
        <v>338</v>
      </c>
      <c r="B172" s="6" t="s">
        <v>339</v>
      </c>
      <c r="C172" s="15" t="str">
        <f>_xll.RssMarket("8303","現在値")</f>
        <v/>
      </c>
      <c r="D172" s="16" t="e">
        <f t="shared" si="5"/>
        <v>#VALUE!</v>
      </c>
      <c r="E172" s="13">
        <v>1408.5</v>
      </c>
      <c r="F172" s="13">
        <v>1472</v>
      </c>
      <c r="G172" s="13">
        <v>1450.5</v>
      </c>
      <c r="H172" s="13">
        <v>1444</v>
      </c>
      <c r="I172" s="13">
        <v>1449</v>
      </c>
      <c r="J172" s="13">
        <v>1440</v>
      </c>
      <c r="K172" s="13">
        <v>1466</v>
      </c>
      <c r="L172" s="13">
        <v>1467</v>
      </c>
      <c r="M172" s="13">
        <v>1447.5</v>
      </c>
      <c r="N172" s="13">
        <v>1412</v>
      </c>
      <c r="O172" s="13">
        <v>1367</v>
      </c>
      <c r="P172" s="13">
        <v>1380</v>
      </c>
      <c r="Q172" s="13">
        <v>1425</v>
      </c>
      <c r="R172" s="13">
        <v>1389.5</v>
      </c>
      <c r="S172" s="13">
        <v>1395</v>
      </c>
      <c r="T172" s="13">
        <v>1415</v>
      </c>
      <c r="U172" s="13">
        <v>1396</v>
      </c>
      <c r="V172" s="13">
        <v>1422.5</v>
      </c>
      <c r="W172" s="13">
        <v>1460</v>
      </c>
      <c r="X172" s="13">
        <v>1445</v>
      </c>
      <c r="Y172" s="13">
        <v>1449</v>
      </c>
      <c r="Z172" s="13">
        <v>1460</v>
      </c>
      <c r="AA172" s="13">
        <v>1436</v>
      </c>
      <c r="AB172" s="13">
        <v>1445</v>
      </c>
      <c r="AC172" s="13">
        <v>1392.5</v>
      </c>
      <c r="AD172" s="13">
        <v>1396</v>
      </c>
      <c r="AE172" s="13">
        <v>1418</v>
      </c>
      <c r="AF172" s="13">
        <v>1392</v>
      </c>
      <c r="AG172" s="13">
        <v>1359</v>
      </c>
      <c r="AH172" s="13">
        <v>1398</v>
      </c>
      <c r="AI172" s="13">
        <v>1359.5</v>
      </c>
      <c r="AJ172" s="13">
        <v>1380</v>
      </c>
      <c r="AK172" s="13">
        <v>1458.5</v>
      </c>
      <c r="AL172" s="13">
        <v>1481</v>
      </c>
      <c r="AM172" s="13">
        <v>1500</v>
      </c>
      <c r="AN172" s="13">
        <v>1560</v>
      </c>
      <c r="AO172" s="13">
        <v>1588</v>
      </c>
      <c r="AP172" s="13">
        <v>1629</v>
      </c>
      <c r="AQ172" s="13">
        <v>1648.5</v>
      </c>
      <c r="AR172" s="13">
        <v>1616.5</v>
      </c>
      <c r="AS172" s="13">
        <v>1656.5</v>
      </c>
      <c r="AT172" s="13">
        <v>1658.5</v>
      </c>
      <c r="AU172" s="13">
        <v>1640</v>
      </c>
      <c r="AV172" s="13">
        <v>1676.5</v>
      </c>
      <c r="AW172" s="13">
        <v>1693</v>
      </c>
      <c r="AX172" s="13">
        <v>1717</v>
      </c>
      <c r="AY172" s="13">
        <v>1835</v>
      </c>
      <c r="AZ172" s="13">
        <v>1821.5</v>
      </c>
      <c r="BA172" s="13">
        <v>1722.5</v>
      </c>
      <c r="BB172" s="13">
        <v>1686</v>
      </c>
      <c r="BC172" s="13">
        <v>1747</v>
      </c>
      <c r="BD172" s="13">
        <v>1635</v>
      </c>
      <c r="BE172" s="13">
        <v>1658</v>
      </c>
      <c r="BF172" s="13">
        <v>1674.5</v>
      </c>
      <c r="BG172" s="13">
        <v>1687</v>
      </c>
      <c r="BH172" s="13">
        <v>1709</v>
      </c>
      <c r="BI172" s="13">
        <v>1693.5</v>
      </c>
      <c r="BJ172" s="13">
        <v>1670</v>
      </c>
      <c r="BK172" s="13">
        <v>1666.5</v>
      </c>
      <c r="BL172" s="13">
        <v>1693.5</v>
      </c>
      <c r="BM172" s="4">
        <v>1720.5</v>
      </c>
      <c r="BN172" s="4">
        <v>1766</v>
      </c>
      <c r="BO172" s="4">
        <v>1774</v>
      </c>
      <c r="BP172" s="4">
        <v>1756</v>
      </c>
    </row>
    <row r="173" spans="1:68" ht="15.9" customHeight="1">
      <c r="A173" s="64" t="s">
        <v>340</v>
      </c>
      <c r="B173" s="6" t="s">
        <v>341</v>
      </c>
      <c r="C173" s="15" t="str">
        <f>_xll.RssMarket("4382","現在値")</f>
        <v/>
      </c>
      <c r="D173" s="16" t="e">
        <f t="shared" si="5"/>
        <v>#VALUE!</v>
      </c>
      <c r="E173" s="13">
        <v>705</v>
      </c>
      <c r="F173" s="13">
        <v>724</v>
      </c>
      <c r="G173" s="13">
        <v>707</v>
      </c>
      <c r="H173" s="13">
        <v>692</v>
      </c>
      <c r="I173" s="13">
        <v>693</v>
      </c>
      <c r="J173" s="13">
        <v>715</v>
      </c>
      <c r="K173" s="13">
        <v>721</v>
      </c>
      <c r="L173" s="13">
        <v>717</v>
      </c>
      <c r="M173" s="13">
        <v>713</v>
      </c>
      <c r="N173" s="13">
        <v>718</v>
      </c>
      <c r="O173" s="13">
        <v>754</v>
      </c>
      <c r="P173" s="13">
        <v>713</v>
      </c>
      <c r="Q173" s="13">
        <v>717</v>
      </c>
      <c r="R173" s="13">
        <v>710</v>
      </c>
      <c r="S173" s="13">
        <v>713</v>
      </c>
      <c r="T173" s="13">
        <v>731</v>
      </c>
      <c r="U173" s="13">
        <v>728</v>
      </c>
      <c r="V173" s="13">
        <v>787</v>
      </c>
      <c r="W173" s="13">
        <v>792</v>
      </c>
      <c r="X173" s="13">
        <v>803</v>
      </c>
      <c r="Y173" s="13">
        <v>761</v>
      </c>
      <c r="Z173" s="13">
        <v>763</v>
      </c>
      <c r="AA173" s="13">
        <v>707</v>
      </c>
      <c r="AB173" s="13">
        <v>720</v>
      </c>
      <c r="AC173" s="13">
        <v>698</v>
      </c>
      <c r="AD173" s="13">
        <v>700</v>
      </c>
      <c r="AE173" s="13">
        <v>701</v>
      </c>
      <c r="AF173" s="13">
        <v>706</v>
      </c>
      <c r="AG173" s="13">
        <v>715</v>
      </c>
      <c r="AH173" s="13">
        <v>718</v>
      </c>
      <c r="AI173" s="13">
        <v>749</v>
      </c>
      <c r="AJ173" s="13">
        <v>756</v>
      </c>
      <c r="AK173" s="13">
        <v>771</v>
      </c>
      <c r="AL173" s="13">
        <v>762</v>
      </c>
      <c r="AM173" s="13">
        <v>764</v>
      </c>
      <c r="AN173" s="13">
        <v>774</v>
      </c>
      <c r="AO173" s="13">
        <v>761</v>
      </c>
      <c r="AP173" s="13">
        <v>764</v>
      </c>
      <c r="AQ173" s="13">
        <v>770</v>
      </c>
      <c r="AR173" s="13">
        <v>782</v>
      </c>
      <c r="AS173" s="13">
        <v>783</v>
      </c>
      <c r="AT173" s="13">
        <v>804</v>
      </c>
      <c r="AU173" s="13">
        <v>809</v>
      </c>
      <c r="AV173" s="13">
        <v>810</v>
      </c>
      <c r="AW173" s="13">
        <v>808</v>
      </c>
      <c r="AX173" s="13">
        <v>816</v>
      </c>
      <c r="AY173" s="13">
        <v>872</v>
      </c>
      <c r="AZ173" s="13">
        <v>846</v>
      </c>
      <c r="BA173" s="13">
        <v>850</v>
      </c>
      <c r="BB173" s="13">
        <v>852</v>
      </c>
      <c r="BC173" s="13">
        <v>858</v>
      </c>
      <c r="BD173" s="13">
        <v>859</v>
      </c>
      <c r="BE173" s="13">
        <v>879</v>
      </c>
      <c r="BF173" s="13">
        <v>890</v>
      </c>
      <c r="BG173" s="13">
        <v>873</v>
      </c>
      <c r="BH173" s="13">
        <v>869</v>
      </c>
      <c r="BI173" s="13">
        <v>857</v>
      </c>
      <c r="BJ173" s="13">
        <v>850</v>
      </c>
      <c r="BK173" s="13">
        <v>857</v>
      </c>
      <c r="BL173" s="13">
        <v>886</v>
      </c>
      <c r="BM173" s="4">
        <v>872</v>
      </c>
      <c r="BN173" s="4">
        <v>874</v>
      </c>
      <c r="BO173" s="4">
        <v>855</v>
      </c>
    </row>
    <row r="174" spans="1:68" ht="15.9" customHeight="1">
      <c r="A174" s="64" t="s">
        <v>342</v>
      </c>
      <c r="B174" s="6" t="s">
        <v>343</v>
      </c>
      <c r="C174" s="15" t="str">
        <f>_xll.RssMarket("2327","現在値")</f>
        <v/>
      </c>
      <c r="D174" s="16" t="e">
        <f t="shared" si="5"/>
        <v>#VALUE!</v>
      </c>
      <c r="E174" s="13">
        <v>3837</v>
      </c>
      <c r="F174" s="13">
        <v>3780</v>
      </c>
      <c r="G174" s="13">
        <v>3850</v>
      </c>
      <c r="H174" s="13">
        <v>3782</v>
      </c>
      <c r="I174" s="13">
        <v>3775</v>
      </c>
      <c r="J174" s="13">
        <v>3738</v>
      </c>
      <c r="K174" s="13">
        <v>3783</v>
      </c>
      <c r="L174" s="13">
        <v>3671</v>
      </c>
      <c r="M174" s="13">
        <v>3593</v>
      </c>
      <c r="N174" s="13">
        <v>3485</v>
      </c>
      <c r="O174" s="13">
        <v>3319</v>
      </c>
      <c r="P174" s="13">
        <v>3398</v>
      </c>
      <c r="Q174" s="13">
        <v>3378</v>
      </c>
      <c r="R174" s="13">
        <v>3254</v>
      </c>
      <c r="S174" s="13">
        <v>3214</v>
      </c>
      <c r="T174" s="13">
        <v>3230</v>
      </c>
      <c r="U174" s="13">
        <v>3182</v>
      </c>
      <c r="V174" s="13">
        <v>3228</v>
      </c>
      <c r="W174" s="13">
        <v>3194</v>
      </c>
      <c r="X174" s="13">
        <v>3135</v>
      </c>
      <c r="Y174" s="13">
        <v>3120</v>
      </c>
      <c r="Z174" s="13">
        <v>3214</v>
      </c>
      <c r="AA174" s="13">
        <v>3232</v>
      </c>
      <c r="AB174" s="13">
        <v>3256</v>
      </c>
      <c r="AC174" s="13">
        <v>3339</v>
      </c>
      <c r="AD174" s="13">
        <v>3415</v>
      </c>
      <c r="AE174" s="13">
        <v>3433</v>
      </c>
      <c r="AF174" s="13">
        <v>3423</v>
      </c>
      <c r="AG174" s="13">
        <v>3545</v>
      </c>
      <c r="AH174" s="13">
        <v>3566</v>
      </c>
      <c r="AI174" s="13">
        <v>3485</v>
      </c>
      <c r="AJ174" s="13">
        <v>3511</v>
      </c>
      <c r="AK174" s="13">
        <v>3566</v>
      </c>
      <c r="AL174" s="13">
        <v>3649</v>
      </c>
      <c r="AM174" s="13">
        <v>3576</v>
      </c>
      <c r="AN174" s="13">
        <v>3548</v>
      </c>
      <c r="AO174" s="13">
        <v>3590</v>
      </c>
      <c r="AP174" s="13">
        <v>3522</v>
      </c>
      <c r="AQ174" s="13">
        <v>3476</v>
      </c>
      <c r="AR174" s="13">
        <v>3529</v>
      </c>
      <c r="AS174" s="13">
        <v>3563</v>
      </c>
      <c r="AT174" s="13">
        <v>3709</v>
      </c>
      <c r="AU174" s="13">
        <v>3610</v>
      </c>
      <c r="AV174" s="13">
        <v>3648</v>
      </c>
      <c r="AW174" s="13">
        <v>3590</v>
      </c>
      <c r="AX174" s="13">
        <v>3566</v>
      </c>
      <c r="AY174" s="13">
        <v>3605</v>
      </c>
      <c r="AZ174" s="13">
        <v>3711</v>
      </c>
      <c r="BA174" s="13">
        <v>3584</v>
      </c>
      <c r="BB174" s="13">
        <v>3680</v>
      </c>
      <c r="BC174" s="13">
        <v>3708</v>
      </c>
      <c r="BD174" s="13">
        <v>3903</v>
      </c>
      <c r="BE174" s="13">
        <v>3878</v>
      </c>
      <c r="BF174" s="13">
        <v>3832</v>
      </c>
      <c r="BG174" s="13">
        <v>3909</v>
      </c>
      <c r="BH174" s="13">
        <v>3862</v>
      </c>
      <c r="BI174" s="13">
        <v>3865</v>
      </c>
      <c r="BJ174" s="13">
        <v>3750</v>
      </c>
      <c r="BK174" s="13">
        <v>3714</v>
      </c>
      <c r="BL174" s="13">
        <v>3771</v>
      </c>
      <c r="BM174" s="4">
        <v>3841</v>
      </c>
      <c r="BN174" s="4">
        <v>3864</v>
      </c>
      <c r="BO174" s="4">
        <v>3872</v>
      </c>
      <c r="BP174" s="4">
        <v>3854</v>
      </c>
    </row>
    <row r="175" spans="1:68" ht="15.9" customHeight="1">
      <c r="A175" s="64" t="s">
        <v>344</v>
      </c>
      <c r="B175" s="6" t="s">
        <v>345</v>
      </c>
      <c r="C175" s="15" t="str">
        <f>_xll.RssMarket("1942","現在値")</f>
        <v/>
      </c>
      <c r="D175" s="16" t="e">
        <f t="shared" si="5"/>
        <v>#VALUE!</v>
      </c>
      <c r="E175" s="13">
        <v>5845</v>
      </c>
      <c r="F175" s="13">
        <v>6330</v>
      </c>
      <c r="G175" s="13">
        <v>6148</v>
      </c>
      <c r="H175" s="13">
        <v>6130</v>
      </c>
      <c r="I175" s="13">
        <v>6351</v>
      </c>
      <c r="J175" s="13">
        <v>6382</v>
      </c>
      <c r="K175" s="13">
        <v>6468</v>
      </c>
      <c r="L175" s="13">
        <v>6857</v>
      </c>
      <c r="M175" s="13">
        <v>6772</v>
      </c>
      <c r="N175" s="13">
        <v>6643</v>
      </c>
      <c r="O175" s="13">
        <v>6726</v>
      </c>
      <c r="P175" s="13">
        <v>6722</v>
      </c>
      <c r="Q175" s="13">
        <v>6797</v>
      </c>
      <c r="R175" s="13">
        <v>6720</v>
      </c>
      <c r="S175" s="13">
        <v>6673</v>
      </c>
      <c r="T175" s="13">
        <v>6732</v>
      </c>
      <c r="U175" s="13">
        <v>6635</v>
      </c>
      <c r="V175" s="13">
        <v>6736</v>
      </c>
      <c r="W175" s="13">
        <v>6829</v>
      </c>
      <c r="X175" s="13">
        <v>6467</v>
      </c>
      <c r="Y175" s="13">
        <v>6237</v>
      </c>
      <c r="Z175" s="13">
        <v>5773</v>
      </c>
      <c r="AA175" s="13">
        <v>5801</v>
      </c>
      <c r="AB175" s="13">
        <v>5935</v>
      </c>
      <c r="AC175" s="13">
        <v>5745</v>
      </c>
      <c r="AD175" s="13">
        <v>5854</v>
      </c>
      <c r="AE175" s="13">
        <v>5786</v>
      </c>
      <c r="AF175" s="13">
        <v>5802</v>
      </c>
      <c r="AG175" s="13">
        <v>6067</v>
      </c>
      <c r="AH175" s="13">
        <v>6087</v>
      </c>
      <c r="AI175" s="13">
        <v>6538</v>
      </c>
      <c r="AJ175" s="13">
        <v>6568</v>
      </c>
      <c r="AK175" s="13">
        <v>6475</v>
      </c>
      <c r="AL175" s="13">
        <v>6442</v>
      </c>
      <c r="AM175" s="13">
        <v>5966</v>
      </c>
      <c r="AN175" s="13">
        <v>6089</v>
      </c>
      <c r="AO175" s="13">
        <v>6088</v>
      </c>
      <c r="AP175" s="13">
        <v>6422</v>
      </c>
      <c r="AQ175" s="13">
        <v>6470</v>
      </c>
      <c r="AR175" s="13">
        <v>6845</v>
      </c>
      <c r="AS175" s="13">
        <v>6929</v>
      </c>
      <c r="AT175" s="13">
        <v>7267</v>
      </c>
      <c r="AU175" s="13">
        <v>7346</v>
      </c>
      <c r="AV175" s="13">
        <v>7165</v>
      </c>
      <c r="AW175" s="13">
        <v>7046</v>
      </c>
      <c r="AX175" s="13">
        <v>7025</v>
      </c>
      <c r="AY175" s="13">
        <v>6734</v>
      </c>
      <c r="AZ175" s="13">
        <v>6838</v>
      </c>
      <c r="BA175" s="13">
        <v>6797</v>
      </c>
      <c r="BB175" s="13">
        <v>5982</v>
      </c>
      <c r="BC175" s="13">
        <v>6073</v>
      </c>
      <c r="BD175" s="13">
        <v>6077</v>
      </c>
      <c r="BE175" s="13">
        <v>6052</v>
      </c>
      <c r="BF175" s="13">
        <v>6145</v>
      </c>
      <c r="BG175" s="13">
        <v>6139</v>
      </c>
      <c r="BH175" s="13">
        <v>6141</v>
      </c>
      <c r="BI175" s="13">
        <v>6188</v>
      </c>
      <c r="BJ175" s="13">
        <v>6110</v>
      </c>
      <c r="BK175" s="13">
        <v>6326</v>
      </c>
      <c r="BL175" s="13">
        <v>6243</v>
      </c>
      <c r="BM175" s="4">
        <v>6333</v>
      </c>
      <c r="BN175" s="4">
        <v>6385</v>
      </c>
      <c r="BO175" s="4">
        <v>6300</v>
      </c>
      <c r="BP175" s="4">
        <v>6075</v>
      </c>
    </row>
    <row r="176" spans="1:68" ht="15.9" customHeight="1">
      <c r="A176" s="64" t="s">
        <v>346</v>
      </c>
      <c r="B176" s="6" t="s">
        <v>347</v>
      </c>
      <c r="C176" s="15" t="str">
        <f>_xll.RssMarket("1938","現在値")</f>
        <v/>
      </c>
      <c r="D176" s="16" t="e">
        <f t="shared" si="5"/>
        <v>#VALUE!</v>
      </c>
      <c r="E176" s="13">
        <v>2460</v>
      </c>
      <c r="F176" s="13">
        <v>2588</v>
      </c>
      <c r="G176" s="13">
        <v>2589</v>
      </c>
      <c r="H176" s="13">
        <v>2551</v>
      </c>
      <c r="I176" s="13">
        <v>2578</v>
      </c>
      <c r="J176" s="13">
        <v>2562</v>
      </c>
      <c r="K176" s="13">
        <v>2588</v>
      </c>
      <c r="L176" s="13">
        <v>2739</v>
      </c>
      <c r="M176" s="13">
        <v>2685</v>
      </c>
      <c r="N176" s="13">
        <v>2655</v>
      </c>
      <c r="O176" s="13">
        <v>2668</v>
      </c>
      <c r="P176" s="13">
        <v>2701</v>
      </c>
      <c r="Q176" s="13">
        <v>2733</v>
      </c>
      <c r="R176" s="13">
        <v>2736</v>
      </c>
      <c r="S176" s="13">
        <v>2704</v>
      </c>
      <c r="T176" s="13">
        <v>2718</v>
      </c>
      <c r="U176" s="13">
        <v>2712</v>
      </c>
      <c r="V176" s="13">
        <v>2781</v>
      </c>
      <c r="W176" s="13">
        <v>2796</v>
      </c>
      <c r="X176" s="13">
        <v>2767</v>
      </c>
      <c r="Y176" s="13">
        <v>2758</v>
      </c>
      <c r="Z176" s="13">
        <v>2688</v>
      </c>
      <c r="AA176" s="13">
        <v>2664</v>
      </c>
      <c r="AB176" s="13">
        <v>2744</v>
      </c>
      <c r="AC176" s="13">
        <v>2695</v>
      </c>
      <c r="AD176" s="13">
        <v>2772</v>
      </c>
      <c r="AE176" s="13">
        <v>2763</v>
      </c>
      <c r="AF176" s="13">
        <v>2705</v>
      </c>
      <c r="AG176" s="13">
        <v>2704</v>
      </c>
      <c r="AH176" s="13">
        <v>2732</v>
      </c>
      <c r="AI176" s="13">
        <v>2829</v>
      </c>
      <c r="AJ176" s="13">
        <v>2779</v>
      </c>
      <c r="AK176" s="13">
        <v>2761</v>
      </c>
      <c r="AL176" s="13">
        <v>2830</v>
      </c>
      <c r="AM176" s="13">
        <v>2637</v>
      </c>
      <c r="AN176" s="13">
        <v>2655</v>
      </c>
      <c r="AO176" s="13">
        <v>2704</v>
      </c>
      <c r="AP176" s="13">
        <v>2802</v>
      </c>
      <c r="AQ176" s="13">
        <v>2849</v>
      </c>
      <c r="AR176" s="13">
        <v>2921</v>
      </c>
      <c r="AS176" s="13">
        <v>2919</v>
      </c>
      <c r="AT176" s="13">
        <v>3055</v>
      </c>
      <c r="AU176" s="13">
        <v>3045</v>
      </c>
      <c r="AV176" s="13">
        <v>3010</v>
      </c>
      <c r="AW176" s="13">
        <v>2918</v>
      </c>
      <c r="AX176" s="13">
        <v>2924</v>
      </c>
      <c r="AY176" s="13">
        <v>2789</v>
      </c>
      <c r="AZ176" s="13">
        <v>2710</v>
      </c>
      <c r="BA176" s="13">
        <v>2733</v>
      </c>
      <c r="BB176" s="13">
        <v>2543</v>
      </c>
      <c r="BC176" s="13">
        <v>2582</v>
      </c>
      <c r="BD176" s="13">
        <v>2572</v>
      </c>
      <c r="BE176" s="13">
        <v>2510</v>
      </c>
      <c r="BF176" s="13">
        <v>2588</v>
      </c>
      <c r="BG176" s="13">
        <v>2543</v>
      </c>
      <c r="BH176" s="13">
        <v>2537</v>
      </c>
      <c r="BI176" s="13">
        <v>2610</v>
      </c>
      <c r="BJ176" s="13">
        <v>2585</v>
      </c>
      <c r="BK176" s="13">
        <v>2654</v>
      </c>
      <c r="BL176" s="13">
        <v>2657</v>
      </c>
      <c r="BM176" s="4">
        <v>2654</v>
      </c>
      <c r="BN176" s="4">
        <v>2641</v>
      </c>
      <c r="BO176" s="4">
        <v>2679</v>
      </c>
      <c r="BP176" s="4">
        <v>2576</v>
      </c>
    </row>
    <row r="177" spans="1:68" ht="15.9" customHeight="1">
      <c r="A177" s="64" t="s">
        <v>348</v>
      </c>
      <c r="B177" s="6" t="s">
        <v>349</v>
      </c>
      <c r="C177" s="15" t="str">
        <f>_xll.RssMarket("7236","現在値")</f>
        <v/>
      </c>
      <c r="D177" s="16" t="e">
        <f t="shared" si="5"/>
        <v>#VALUE!</v>
      </c>
      <c r="E177" s="13">
        <v>1482</v>
      </c>
      <c r="F177" s="13">
        <v>1530</v>
      </c>
      <c r="G177" s="13">
        <v>1507</v>
      </c>
      <c r="H177" s="13">
        <v>1468</v>
      </c>
      <c r="I177" s="13">
        <v>1478</v>
      </c>
      <c r="J177" s="13">
        <v>1486</v>
      </c>
      <c r="K177" s="13">
        <v>1464</v>
      </c>
      <c r="L177" s="13">
        <v>1558</v>
      </c>
      <c r="M177" s="13">
        <v>1559</v>
      </c>
      <c r="N177" s="13">
        <v>1510</v>
      </c>
      <c r="O177" s="13">
        <v>1480</v>
      </c>
      <c r="P177" s="13">
        <v>1441</v>
      </c>
      <c r="Q177" s="13">
        <v>1482</v>
      </c>
      <c r="R177" s="13">
        <v>15050</v>
      </c>
      <c r="S177" s="13">
        <v>14770</v>
      </c>
      <c r="T177" s="13">
        <v>14410</v>
      </c>
      <c r="U177" s="13">
        <v>14580</v>
      </c>
      <c r="V177" s="13">
        <v>14830</v>
      </c>
      <c r="W177" s="13">
        <v>14280</v>
      </c>
      <c r="X177" s="13">
        <v>14250</v>
      </c>
      <c r="Y177" s="13">
        <v>14230</v>
      </c>
      <c r="Z177" s="13">
        <v>13950</v>
      </c>
      <c r="AA177" s="13">
        <v>14130</v>
      </c>
      <c r="AB177" s="13">
        <v>14350</v>
      </c>
      <c r="AC177" s="13">
        <v>14050</v>
      </c>
      <c r="AD177" s="13">
        <v>14360</v>
      </c>
      <c r="AE177" s="13">
        <v>14060</v>
      </c>
      <c r="AF177" s="13">
        <v>14420</v>
      </c>
      <c r="AG177" s="13">
        <v>14980</v>
      </c>
      <c r="AH177" s="13">
        <v>15320</v>
      </c>
      <c r="AI177" s="13">
        <v>14860</v>
      </c>
      <c r="AJ177" s="13">
        <v>14850</v>
      </c>
      <c r="AK177" s="13">
        <v>14960</v>
      </c>
      <c r="AL177" s="13">
        <v>15440</v>
      </c>
      <c r="AM177" s="13">
        <v>14740</v>
      </c>
      <c r="AN177" s="13">
        <v>14340</v>
      </c>
      <c r="AO177" s="13">
        <v>13650</v>
      </c>
      <c r="AP177" s="13">
        <v>13850</v>
      </c>
      <c r="AQ177" s="13">
        <v>13830</v>
      </c>
      <c r="AR177" s="13">
        <v>14370</v>
      </c>
      <c r="AS177" s="13">
        <v>14450</v>
      </c>
      <c r="AT177" s="13">
        <v>14800</v>
      </c>
      <c r="AU177" s="13">
        <v>14480</v>
      </c>
      <c r="AV177" s="13">
        <v>14730</v>
      </c>
      <c r="AW177" s="13">
        <v>14500</v>
      </c>
      <c r="AX177" s="13">
        <v>14680</v>
      </c>
      <c r="AY177" s="13">
        <v>14600</v>
      </c>
      <c r="AZ177" s="13">
        <v>11110</v>
      </c>
      <c r="BA177" s="13">
        <v>9610</v>
      </c>
      <c r="BB177" s="13">
        <v>8110</v>
      </c>
      <c r="BC177" s="13">
        <v>8150</v>
      </c>
      <c r="BD177" s="13">
        <v>8510</v>
      </c>
      <c r="BE177" s="13">
        <v>8820</v>
      </c>
      <c r="BF177" s="13">
        <v>9140</v>
      </c>
      <c r="BG177" s="13">
        <v>9210</v>
      </c>
      <c r="BH177" s="13">
        <v>9040</v>
      </c>
      <c r="BI177" s="13">
        <v>9010</v>
      </c>
      <c r="BJ177" s="13">
        <v>8550</v>
      </c>
      <c r="BK177" s="13">
        <v>8360</v>
      </c>
      <c r="BL177" s="13">
        <v>8250</v>
      </c>
      <c r="BM177" s="4">
        <v>8200</v>
      </c>
      <c r="BN177" s="4">
        <v>8200</v>
      </c>
      <c r="BO177" s="4">
        <v>8380</v>
      </c>
      <c r="BP177" s="4">
        <v>8090</v>
      </c>
    </row>
    <row r="178" spans="1:68" ht="15.9" customHeight="1">
      <c r="A178" s="64" t="s">
        <v>350</v>
      </c>
      <c r="B178" s="6" t="s">
        <v>351</v>
      </c>
      <c r="C178" s="15" t="str">
        <f>_xll.RssMarket("6436","現在値")</f>
        <v/>
      </c>
      <c r="D178" s="16" t="e">
        <f t="shared" si="5"/>
        <v>#VALUE!</v>
      </c>
      <c r="E178" s="13">
        <v>3788</v>
      </c>
      <c r="F178" s="13">
        <v>3777</v>
      </c>
      <c r="G178" s="13">
        <v>3749</v>
      </c>
      <c r="H178" s="13">
        <v>3723</v>
      </c>
      <c r="I178" s="13">
        <v>3747</v>
      </c>
      <c r="J178" s="13">
        <v>3746</v>
      </c>
      <c r="K178" s="13">
        <v>3720</v>
      </c>
      <c r="L178" s="13">
        <v>3745</v>
      </c>
      <c r="M178" s="13">
        <v>3683</v>
      </c>
      <c r="N178" s="13">
        <v>3711</v>
      </c>
      <c r="O178" s="13">
        <v>3657</v>
      </c>
      <c r="P178" s="13">
        <v>3640</v>
      </c>
      <c r="Q178" s="13">
        <v>3650</v>
      </c>
      <c r="R178" s="13">
        <v>3640</v>
      </c>
      <c r="S178" s="13">
        <v>3608</v>
      </c>
      <c r="T178" s="13">
        <v>3585</v>
      </c>
      <c r="U178" s="13">
        <v>3586</v>
      </c>
      <c r="V178" s="13">
        <v>3597</v>
      </c>
      <c r="W178" s="13">
        <v>3577</v>
      </c>
      <c r="X178" s="13">
        <v>3565</v>
      </c>
      <c r="Y178" s="13">
        <v>3563</v>
      </c>
      <c r="Z178" s="13">
        <v>3588</v>
      </c>
      <c r="AA178" s="13">
        <v>3597</v>
      </c>
      <c r="AB178" s="13">
        <v>3632</v>
      </c>
      <c r="AC178" s="13">
        <v>3562</v>
      </c>
      <c r="AD178" s="13">
        <v>3530</v>
      </c>
      <c r="AE178" s="13">
        <v>3512</v>
      </c>
      <c r="AF178" s="13">
        <v>3533</v>
      </c>
      <c r="AG178" s="13">
        <v>3532</v>
      </c>
      <c r="AH178" s="13">
        <v>3534</v>
      </c>
      <c r="AI178" s="13">
        <v>3574</v>
      </c>
      <c r="AJ178" s="13">
        <v>3568</v>
      </c>
      <c r="AK178" s="13">
        <v>3553</v>
      </c>
      <c r="AL178" s="13">
        <v>3594</v>
      </c>
      <c r="AM178" s="13">
        <v>3622</v>
      </c>
      <c r="AN178" s="13">
        <v>3634</v>
      </c>
      <c r="AO178" s="13">
        <v>3639</v>
      </c>
      <c r="AP178" s="13">
        <v>3695</v>
      </c>
      <c r="AQ178" s="13">
        <v>3631</v>
      </c>
      <c r="AR178" s="13">
        <v>3671</v>
      </c>
      <c r="AS178" s="13">
        <v>3672</v>
      </c>
      <c r="AT178" s="13">
        <v>3647</v>
      </c>
      <c r="AU178" s="13">
        <v>3678</v>
      </c>
      <c r="AV178" s="13">
        <v>3688</v>
      </c>
      <c r="AW178" s="13">
        <v>3676</v>
      </c>
      <c r="AX178" s="13">
        <v>3621</v>
      </c>
      <c r="AY178" s="13">
        <v>3573</v>
      </c>
      <c r="AZ178" s="13">
        <v>3583</v>
      </c>
      <c r="BA178" s="13">
        <v>3706</v>
      </c>
      <c r="BB178" s="13">
        <v>3637</v>
      </c>
      <c r="BC178" s="13">
        <v>3795</v>
      </c>
      <c r="BD178" s="13">
        <v>3840</v>
      </c>
      <c r="BE178" s="13">
        <v>3846</v>
      </c>
      <c r="BF178" s="13">
        <v>3841</v>
      </c>
      <c r="BG178" s="13">
        <v>3876</v>
      </c>
      <c r="BH178" s="13">
        <v>3914</v>
      </c>
      <c r="BI178" s="13">
        <v>3883</v>
      </c>
      <c r="BJ178" s="13">
        <v>3850</v>
      </c>
      <c r="BK178" s="13">
        <v>3863</v>
      </c>
      <c r="BL178" s="13">
        <v>3887</v>
      </c>
      <c r="BM178" s="4">
        <v>3885</v>
      </c>
      <c r="BN178" s="4">
        <v>3951</v>
      </c>
      <c r="BO178" s="4">
        <v>3924</v>
      </c>
      <c r="BP178" s="4">
        <v>3902</v>
      </c>
    </row>
    <row r="179" spans="1:68" ht="15.9" customHeight="1">
      <c r="A179" s="64" t="s">
        <v>352</v>
      </c>
      <c r="B179" s="6" t="s">
        <v>353</v>
      </c>
      <c r="C179" s="15" t="str">
        <f>_xll.RssMarket("5410","現在値")</f>
        <v/>
      </c>
      <c r="D179" s="16" t="e">
        <f t="shared" si="5"/>
        <v>#VALUE!</v>
      </c>
      <c r="E179" s="13">
        <v>2673</v>
      </c>
      <c r="F179" s="13">
        <v>2693</v>
      </c>
      <c r="G179" s="13">
        <v>2681</v>
      </c>
      <c r="H179" s="13">
        <v>2692</v>
      </c>
      <c r="I179" s="13">
        <v>2693</v>
      </c>
      <c r="J179" s="13">
        <v>2671</v>
      </c>
      <c r="K179" s="13">
        <v>2675</v>
      </c>
      <c r="L179" s="13">
        <v>2667</v>
      </c>
      <c r="M179" s="13">
        <v>2659</v>
      </c>
      <c r="N179" s="13">
        <v>2606</v>
      </c>
      <c r="O179" s="13">
        <v>2545</v>
      </c>
      <c r="P179" s="13">
        <v>2577</v>
      </c>
      <c r="Q179" s="13">
        <v>2622</v>
      </c>
      <c r="R179" s="13">
        <v>2592</v>
      </c>
      <c r="S179" s="13">
        <v>2567</v>
      </c>
      <c r="T179" s="13">
        <v>2577</v>
      </c>
      <c r="U179" s="13">
        <v>2590</v>
      </c>
      <c r="V179" s="13">
        <v>2591</v>
      </c>
      <c r="W179" s="13">
        <v>2607</v>
      </c>
      <c r="X179" s="13">
        <v>2617</v>
      </c>
      <c r="Y179" s="13">
        <v>2594</v>
      </c>
      <c r="Z179" s="13">
        <v>2602</v>
      </c>
      <c r="AA179" s="13">
        <v>2533</v>
      </c>
      <c r="AB179" s="13">
        <v>2553</v>
      </c>
      <c r="AC179" s="13">
        <v>2530</v>
      </c>
      <c r="AD179" s="13">
        <v>2566</v>
      </c>
      <c r="AE179" s="13">
        <v>2551</v>
      </c>
      <c r="AF179" s="13">
        <v>2581</v>
      </c>
      <c r="AG179" s="13">
        <v>2567</v>
      </c>
      <c r="AH179" s="13">
        <v>2600</v>
      </c>
      <c r="AI179" s="13">
        <v>2747</v>
      </c>
      <c r="AJ179" s="13">
        <v>2704</v>
      </c>
      <c r="AK179" s="13">
        <v>2705</v>
      </c>
      <c r="AL179" s="13">
        <v>2658</v>
      </c>
      <c r="AM179" s="13">
        <v>2682</v>
      </c>
      <c r="AN179" s="13">
        <v>2713</v>
      </c>
      <c r="AO179" s="13">
        <v>2675</v>
      </c>
      <c r="AP179" s="13">
        <v>2780</v>
      </c>
      <c r="AQ179" s="13">
        <v>2762</v>
      </c>
      <c r="AR179" s="13">
        <v>2839</v>
      </c>
      <c r="AS179" s="13">
        <v>2852</v>
      </c>
      <c r="AT179" s="13">
        <v>2824</v>
      </c>
      <c r="AU179" s="13">
        <v>2852</v>
      </c>
      <c r="AV179" s="13">
        <v>2849</v>
      </c>
      <c r="AW179" s="13">
        <v>2886</v>
      </c>
      <c r="AX179" s="13">
        <v>2881</v>
      </c>
      <c r="AY179" s="13">
        <v>2883</v>
      </c>
      <c r="AZ179" s="13">
        <v>2845</v>
      </c>
      <c r="BA179" s="13">
        <v>2929</v>
      </c>
      <c r="BB179" s="13">
        <v>3040</v>
      </c>
      <c r="BC179" s="13">
        <v>3410</v>
      </c>
      <c r="BD179" s="13">
        <v>3460</v>
      </c>
      <c r="BE179" s="13">
        <v>3475</v>
      </c>
      <c r="BF179" s="13">
        <v>3535</v>
      </c>
      <c r="BG179" s="13">
        <v>3540</v>
      </c>
      <c r="BH179" s="13">
        <v>3555</v>
      </c>
      <c r="BI179" s="13">
        <v>3570</v>
      </c>
      <c r="BJ179" s="13">
        <v>3560</v>
      </c>
      <c r="BK179" s="13">
        <v>3565</v>
      </c>
      <c r="BL179" s="13">
        <v>3545</v>
      </c>
      <c r="BM179" s="4">
        <v>3580</v>
      </c>
      <c r="BN179" s="4">
        <v>3640</v>
      </c>
      <c r="BO179" s="4">
        <v>3700</v>
      </c>
      <c r="BP179" s="4">
        <v>3675</v>
      </c>
    </row>
    <row r="180" spans="1:68" ht="15.9" customHeight="1">
      <c r="A180" s="64" t="s">
        <v>354</v>
      </c>
      <c r="B180" s="6" t="s">
        <v>355</v>
      </c>
      <c r="C180" s="15" t="str">
        <f>_xll.RssMarket("5440","現在値")</f>
        <v/>
      </c>
      <c r="D180" s="16" t="e">
        <f t="shared" si="5"/>
        <v>#VALUE!</v>
      </c>
      <c r="E180" s="13">
        <v>1838</v>
      </c>
      <c r="F180" s="13">
        <v>1844</v>
      </c>
      <c r="G180" s="13">
        <v>1832</v>
      </c>
      <c r="H180" s="13">
        <v>1799</v>
      </c>
      <c r="I180" s="13">
        <v>1807</v>
      </c>
      <c r="J180" s="13">
        <v>1794</v>
      </c>
      <c r="K180" s="13">
        <v>1803</v>
      </c>
      <c r="L180" s="13">
        <v>1798</v>
      </c>
      <c r="M180" s="13">
        <v>1781</v>
      </c>
      <c r="N180" s="13">
        <v>1758</v>
      </c>
      <c r="O180" s="13">
        <v>1719</v>
      </c>
      <c r="P180" s="13">
        <v>1740</v>
      </c>
      <c r="Q180" s="13">
        <v>1747</v>
      </c>
      <c r="R180" s="13">
        <v>1740</v>
      </c>
      <c r="S180" s="13">
        <v>1707</v>
      </c>
      <c r="T180" s="13">
        <v>1716</v>
      </c>
      <c r="U180" s="13">
        <v>1753</v>
      </c>
      <c r="V180" s="13">
        <v>1767</v>
      </c>
      <c r="W180" s="13">
        <v>1755</v>
      </c>
      <c r="X180" s="13">
        <v>1753</v>
      </c>
      <c r="Y180" s="13">
        <v>1760</v>
      </c>
      <c r="Z180" s="13">
        <v>1716</v>
      </c>
      <c r="AA180" s="13">
        <v>1717</v>
      </c>
      <c r="AB180" s="13">
        <v>1731</v>
      </c>
      <c r="AC180" s="13">
        <v>1748</v>
      </c>
      <c r="AD180" s="13">
        <v>1738</v>
      </c>
      <c r="AE180" s="13">
        <v>1753</v>
      </c>
      <c r="AF180" s="13">
        <v>1734</v>
      </c>
      <c r="AG180" s="13">
        <v>1754</v>
      </c>
      <c r="AH180" s="13">
        <v>1815</v>
      </c>
      <c r="AI180" s="13">
        <v>1820</v>
      </c>
      <c r="AJ180" s="13">
        <v>1829</v>
      </c>
      <c r="AK180" s="13">
        <v>1848</v>
      </c>
      <c r="AL180" s="13">
        <v>1853</v>
      </c>
      <c r="AM180" s="13">
        <v>1841</v>
      </c>
      <c r="AN180" s="13">
        <v>1814</v>
      </c>
      <c r="AO180" s="13">
        <v>1833</v>
      </c>
      <c r="AP180" s="13">
        <v>1819</v>
      </c>
      <c r="AQ180" s="13">
        <v>1865</v>
      </c>
      <c r="AR180" s="13">
        <v>1878</v>
      </c>
      <c r="AS180" s="13">
        <v>1824</v>
      </c>
      <c r="AT180" s="13">
        <v>1823</v>
      </c>
      <c r="AU180" s="13">
        <v>1831</v>
      </c>
      <c r="AV180" s="13">
        <v>1825</v>
      </c>
      <c r="AW180" s="13">
        <v>1826</v>
      </c>
      <c r="AX180" s="13">
        <v>1827</v>
      </c>
      <c r="AY180" s="13">
        <v>1899</v>
      </c>
      <c r="AZ180" s="13">
        <v>2185</v>
      </c>
      <c r="BA180" s="13">
        <v>2189</v>
      </c>
      <c r="BB180" s="13">
        <v>2229</v>
      </c>
      <c r="BC180" s="13">
        <v>2238</v>
      </c>
      <c r="BD180" s="13">
        <v>2258</v>
      </c>
      <c r="BE180" s="13">
        <v>2274</v>
      </c>
      <c r="BF180" s="13">
        <v>2307</v>
      </c>
      <c r="BG180" s="13">
        <v>2288</v>
      </c>
      <c r="BH180" s="13">
        <v>2320</v>
      </c>
      <c r="BI180" s="13">
        <v>2332</v>
      </c>
      <c r="BJ180" s="13">
        <v>2345</v>
      </c>
      <c r="BK180" s="13">
        <v>2339</v>
      </c>
      <c r="BL180" s="13">
        <v>2363</v>
      </c>
      <c r="BM180" s="4">
        <v>2401</v>
      </c>
      <c r="BN180" s="4">
        <v>2426</v>
      </c>
      <c r="BO180" s="4">
        <v>2376</v>
      </c>
      <c r="BP180" s="4">
        <v>2380</v>
      </c>
    </row>
    <row r="181" spans="1:68" ht="15.9" customHeight="1">
      <c r="A181" s="64" t="s">
        <v>356</v>
      </c>
      <c r="B181" s="6" t="s">
        <v>357</v>
      </c>
      <c r="C181" s="15" t="str">
        <f>_xll.RssMarket("9505","現在値")</f>
        <v/>
      </c>
      <c r="D181" s="16" t="e">
        <f t="shared" si="5"/>
        <v>#VALUE!</v>
      </c>
      <c r="E181" s="13">
        <v>909.4</v>
      </c>
      <c r="F181" s="13">
        <v>910.4</v>
      </c>
      <c r="G181" s="13">
        <v>902.2</v>
      </c>
      <c r="H181" s="13">
        <v>883.2</v>
      </c>
      <c r="I181" s="13">
        <v>900.4</v>
      </c>
      <c r="J181" s="13">
        <v>913.3</v>
      </c>
      <c r="K181" s="13">
        <v>915.6</v>
      </c>
      <c r="L181" s="13">
        <v>917.9</v>
      </c>
      <c r="M181" s="13">
        <v>886</v>
      </c>
      <c r="N181" s="13">
        <v>884.4</v>
      </c>
      <c r="O181" s="13">
        <v>875</v>
      </c>
      <c r="P181" s="13">
        <v>869.1</v>
      </c>
      <c r="Q181" s="13">
        <v>878</v>
      </c>
      <c r="R181" s="13">
        <v>868.6</v>
      </c>
      <c r="S181" s="13">
        <v>866.6</v>
      </c>
      <c r="T181" s="13">
        <v>852.4</v>
      </c>
      <c r="U181" s="13">
        <v>847.9</v>
      </c>
      <c r="V181" s="13">
        <v>845.8</v>
      </c>
      <c r="W181" s="13">
        <v>844.5</v>
      </c>
      <c r="X181" s="13">
        <v>850</v>
      </c>
      <c r="Y181" s="13">
        <v>851.7</v>
      </c>
      <c r="Z181" s="13">
        <v>864.2</v>
      </c>
      <c r="AA181" s="13">
        <v>853.5</v>
      </c>
      <c r="AB181" s="13">
        <v>857.8</v>
      </c>
      <c r="AC181" s="13">
        <v>833.3</v>
      </c>
      <c r="AD181" s="13">
        <v>820.6</v>
      </c>
      <c r="AE181" s="13">
        <v>799.7</v>
      </c>
      <c r="AF181" s="13">
        <v>813.3</v>
      </c>
      <c r="AG181" s="13">
        <v>807.6</v>
      </c>
      <c r="AH181" s="13">
        <v>804.5</v>
      </c>
      <c r="AI181" s="13">
        <v>834.5</v>
      </c>
      <c r="AJ181" s="13">
        <v>840.3</v>
      </c>
      <c r="AK181" s="13">
        <v>857.3</v>
      </c>
      <c r="AL181" s="13">
        <v>849</v>
      </c>
      <c r="AM181" s="13">
        <v>860.6</v>
      </c>
      <c r="AN181" s="13">
        <v>872</v>
      </c>
      <c r="AO181" s="13">
        <v>863.6</v>
      </c>
      <c r="AP181" s="13">
        <v>878.9</v>
      </c>
      <c r="AQ181" s="13">
        <v>866.4</v>
      </c>
      <c r="AR181" s="13">
        <v>907.2</v>
      </c>
      <c r="AS181" s="13">
        <v>915.1</v>
      </c>
      <c r="AT181" s="13">
        <v>908.1</v>
      </c>
      <c r="AU181" s="13">
        <v>918.3</v>
      </c>
      <c r="AV181" s="13">
        <v>904</v>
      </c>
      <c r="AW181" s="13">
        <v>887.4</v>
      </c>
      <c r="AX181" s="13">
        <v>894.3</v>
      </c>
      <c r="AY181" s="13">
        <v>864.9</v>
      </c>
      <c r="AZ181" s="13">
        <v>872.8</v>
      </c>
      <c r="BA181" s="13">
        <v>1005</v>
      </c>
      <c r="BB181" s="13">
        <v>988.6</v>
      </c>
      <c r="BC181" s="13">
        <v>993.7</v>
      </c>
      <c r="BD181" s="13">
        <v>989.3</v>
      </c>
      <c r="BE181" s="13">
        <v>1001</v>
      </c>
      <c r="BF181" s="13">
        <v>1010.5</v>
      </c>
      <c r="BG181" s="13">
        <v>1031</v>
      </c>
      <c r="BH181" s="13">
        <v>1058.5</v>
      </c>
      <c r="BI181" s="13">
        <v>1083</v>
      </c>
      <c r="BJ181" s="13">
        <v>1080</v>
      </c>
      <c r="BK181" s="13">
        <v>1076</v>
      </c>
      <c r="BL181" s="13">
        <v>1094</v>
      </c>
      <c r="BM181" s="4">
        <v>1105</v>
      </c>
      <c r="BN181" s="4">
        <v>1105</v>
      </c>
      <c r="BO181" s="4">
        <v>1112</v>
      </c>
      <c r="BP181" s="4">
        <v>1107</v>
      </c>
    </row>
    <row r="182" spans="1:68" ht="15.9" customHeight="1">
      <c r="A182" s="64" t="s">
        <v>358</v>
      </c>
      <c r="B182" s="6" t="s">
        <v>359</v>
      </c>
      <c r="C182" s="15" t="str">
        <f>_xll.RssMarket("8091","現在値")</f>
        <v/>
      </c>
      <c r="D182" s="16" t="e">
        <f t="shared" si="5"/>
        <v>#VALUE!</v>
      </c>
      <c r="E182" s="13">
        <v>2316</v>
      </c>
      <c r="F182" s="13">
        <v>2323</v>
      </c>
      <c r="G182" s="13">
        <v>2283</v>
      </c>
      <c r="H182" s="13">
        <v>2269</v>
      </c>
      <c r="I182" s="13">
        <v>2310</v>
      </c>
      <c r="J182" s="13">
        <v>2273</v>
      </c>
      <c r="K182" s="13">
        <v>2276</v>
      </c>
      <c r="L182" s="13">
        <v>2328</v>
      </c>
      <c r="M182" s="13">
        <v>2303</v>
      </c>
      <c r="N182" s="13">
        <v>2295</v>
      </c>
      <c r="O182" s="13">
        <v>2274</v>
      </c>
      <c r="P182" s="13">
        <v>2279</v>
      </c>
      <c r="Q182" s="13">
        <v>2295</v>
      </c>
      <c r="R182" s="13">
        <v>2266</v>
      </c>
      <c r="S182" s="13">
        <v>2277</v>
      </c>
      <c r="T182" s="13">
        <v>2278</v>
      </c>
      <c r="U182" s="13">
        <v>2266</v>
      </c>
      <c r="V182" s="13">
        <v>2268</v>
      </c>
      <c r="W182" s="13">
        <v>2272</v>
      </c>
      <c r="X182" s="13">
        <v>2211</v>
      </c>
      <c r="Y182" s="13">
        <v>2214</v>
      </c>
      <c r="Z182" s="13">
        <v>2178</v>
      </c>
      <c r="AA182" s="13">
        <v>2175</v>
      </c>
      <c r="AB182" s="13">
        <v>2206</v>
      </c>
      <c r="AC182" s="13">
        <v>2175</v>
      </c>
      <c r="AD182" s="13">
        <v>2211</v>
      </c>
      <c r="AE182" s="13">
        <v>2158</v>
      </c>
      <c r="AF182" s="13">
        <v>2135</v>
      </c>
      <c r="AG182" s="13">
        <v>2124</v>
      </c>
      <c r="AH182" s="13">
        <v>2147</v>
      </c>
      <c r="AI182" s="13">
        <v>2176</v>
      </c>
      <c r="AJ182" s="13">
        <v>2168</v>
      </c>
      <c r="AK182" s="13">
        <v>2140</v>
      </c>
      <c r="AL182" s="13">
        <v>2134</v>
      </c>
      <c r="AM182" s="13">
        <v>2147</v>
      </c>
      <c r="AN182" s="13">
        <v>2163</v>
      </c>
      <c r="AO182" s="13">
        <v>2152</v>
      </c>
      <c r="AP182" s="13">
        <v>2190</v>
      </c>
      <c r="AQ182" s="13">
        <v>2158</v>
      </c>
      <c r="AR182" s="13">
        <v>2309</v>
      </c>
      <c r="AS182" s="13">
        <v>2279</v>
      </c>
      <c r="AT182" s="13">
        <v>2275</v>
      </c>
      <c r="AU182" s="13">
        <v>2255</v>
      </c>
      <c r="AV182" s="13">
        <v>2267</v>
      </c>
      <c r="AW182" s="13">
        <v>2238</v>
      </c>
      <c r="AX182" s="13">
        <v>2259</v>
      </c>
      <c r="AY182" s="13">
        <v>2223</v>
      </c>
      <c r="AZ182" s="13">
        <v>2246</v>
      </c>
      <c r="BA182" s="13">
        <v>2302</v>
      </c>
      <c r="BB182" s="13">
        <v>2265</v>
      </c>
      <c r="BC182" s="13">
        <v>2452</v>
      </c>
      <c r="BD182" s="13">
        <v>2444</v>
      </c>
      <c r="BE182" s="13">
        <v>2466</v>
      </c>
      <c r="BF182" s="13">
        <v>2495</v>
      </c>
      <c r="BG182" s="13">
        <v>2501</v>
      </c>
      <c r="BH182" s="13">
        <v>2522</v>
      </c>
      <c r="BI182" s="13">
        <v>2520</v>
      </c>
      <c r="BJ182" s="13">
        <v>2527</v>
      </c>
      <c r="BK182" s="13">
        <v>2525</v>
      </c>
      <c r="BL182" s="13">
        <v>2523</v>
      </c>
      <c r="BM182" s="4">
        <v>2533</v>
      </c>
      <c r="BN182" s="4">
        <v>2569</v>
      </c>
      <c r="BO182" s="4">
        <v>2583</v>
      </c>
      <c r="BP182" s="4">
        <v>2554</v>
      </c>
    </row>
    <row r="183" spans="1:68" ht="15.9" customHeight="1">
      <c r="A183" s="64" t="s">
        <v>360</v>
      </c>
      <c r="B183" s="6" t="s">
        <v>361</v>
      </c>
      <c r="C183" s="15" t="str">
        <f>_xll.RssMarket("6507","現在値")</f>
        <v/>
      </c>
      <c r="D183" s="16" t="e">
        <f t="shared" si="5"/>
        <v>#VALUE!</v>
      </c>
      <c r="E183" s="13">
        <v>13540</v>
      </c>
      <c r="F183" s="13">
        <v>14910</v>
      </c>
      <c r="G183" s="13">
        <v>14240</v>
      </c>
      <c r="H183" s="13">
        <v>14290</v>
      </c>
      <c r="I183" s="13">
        <v>14930</v>
      </c>
      <c r="J183" s="13">
        <v>14660</v>
      </c>
      <c r="K183" s="13">
        <v>14500</v>
      </c>
      <c r="L183" s="13">
        <v>16600</v>
      </c>
      <c r="M183" s="13">
        <v>15690</v>
      </c>
      <c r="N183" s="13">
        <v>15320</v>
      </c>
      <c r="O183" s="13">
        <v>16480</v>
      </c>
      <c r="P183" s="13">
        <v>15930</v>
      </c>
      <c r="Q183" s="13">
        <v>15250</v>
      </c>
      <c r="R183" s="13">
        <v>15470</v>
      </c>
      <c r="S183" s="13">
        <v>15920</v>
      </c>
      <c r="T183" s="13">
        <v>15580</v>
      </c>
      <c r="U183" s="13">
        <v>15550</v>
      </c>
      <c r="V183" s="13">
        <v>16640</v>
      </c>
      <c r="W183" s="13">
        <v>16230</v>
      </c>
      <c r="X183" s="13">
        <v>15680</v>
      </c>
      <c r="Y183" s="13">
        <v>14720</v>
      </c>
      <c r="Z183" s="13">
        <v>13410</v>
      </c>
      <c r="AA183" s="13">
        <v>13210</v>
      </c>
      <c r="AB183" s="13">
        <v>13280</v>
      </c>
      <c r="AC183" s="13">
        <v>14230</v>
      </c>
      <c r="AD183" s="13">
        <v>15330</v>
      </c>
      <c r="AE183" s="13">
        <v>15010</v>
      </c>
      <c r="AF183" s="13">
        <v>14010</v>
      </c>
      <c r="AG183" s="13">
        <v>14110</v>
      </c>
      <c r="AH183" s="13">
        <v>13380</v>
      </c>
      <c r="AI183" s="13">
        <v>13750</v>
      </c>
      <c r="AJ183" s="13">
        <v>14140</v>
      </c>
      <c r="AK183" s="13">
        <v>14660</v>
      </c>
      <c r="AL183" s="13">
        <v>14450</v>
      </c>
      <c r="AM183" s="13">
        <v>13790</v>
      </c>
      <c r="AN183" s="13">
        <v>13600</v>
      </c>
      <c r="AO183" s="13">
        <v>13180</v>
      </c>
      <c r="AP183" s="13">
        <v>13600</v>
      </c>
      <c r="AQ183" s="13">
        <v>15030</v>
      </c>
      <c r="AR183" s="13">
        <v>15210</v>
      </c>
      <c r="AS183" s="13">
        <v>15680</v>
      </c>
      <c r="AT183" s="13">
        <v>14720</v>
      </c>
      <c r="AU183" s="13">
        <v>14780</v>
      </c>
      <c r="AV183" s="13">
        <v>14800</v>
      </c>
      <c r="AW183" s="13">
        <v>14870</v>
      </c>
      <c r="AX183" s="13">
        <v>15040</v>
      </c>
      <c r="AY183" s="13">
        <v>14370</v>
      </c>
      <c r="AZ183" s="13">
        <v>14250</v>
      </c>
      <c r="BA183" s="13">
        <v>13960</v>
      </c>
      <c r="BB183" s="13">
        <v>13670</v>
      </c>
      <c r="BC183" s="13">
        <v>13380</v>
      </c>
      <c r="BD183" s="13">
        <v>13180</v>
      </c>
      <c r="BE183" s="13">
        <v>13270</v>
      </c>
      <c r="BF183" s="13">
        <v>13440</v>
      </c>
      <c r="BG183" s="13">
        <v>13600</v>
      </c>
      <c r="BH183" s="13">
        <v>13440</v>
      </c>
      <c r="BI183" s="13">
        <v>14000</v>
      </c>
      <c r="BJ183" s="13">
        <v>13180</v>
      </c>
      <c r="BK183" s="13">
        <v>13300</v>
      </c>
      <c r="BL183" s="13">
        <v>13380</v>
      </c>
      <c r="BM183" s="4">
        <v>13480</v>
      </c>
      <c r="BN183" s="4">
        <v>12940</v>
      </c>
      <c r="BO183" s="4">
        <v>12960</v>
      </c>
      <c r="BP183" s="4">
        <v>12200</v>
      </c>
    </row>
    <row r="184" spans="1:68" ht="15.9" customHeight="1">
      <c r="A184" s="64" t="s">
        <v>362</v>
      </c>
      <c r="B184" s="6" t="s">
        <v>363</v>
      </c>
      <c r="C184" s="15" t="str">
        <f>_xll.RssMarket("9022","現在値")</f>
        <v/>
      </c>
      <c r="D184" s="16" t="e">
        <f t="shared" si="5"/>
        <v>#VALUE!</v>
      </c>
      <c r="E184" s="13">
        <v>3766</v>
      </c>
      <c r="F184" s="13">
        <v>3694</v>
      </c>
      <c r="G184" s="13">
        <v>3709</v>
      </c>
      <c r="H184" s="13">
        <v>3657</v>
      </c>
      <c r="I184" s="13">
        <v>3621</v>
      </c>
      <c r="J184" s="13">
        <v>3659</v>
      </c>
      <c r="K184" s="13">
        <v>3664</v>
      </c>
      <c r="L184" s="13">
        <v>3559</v>
      </c>
      <c r="M184" s="13">
        <v>3514</v>
      </c>
      <c r="N184" s="13">
        <v>3453</v>
      </c>
      <c r="O184" s="13">
        <v>3384</v>
      </c>
      <c r="P184" s="13">
        <v>3469</v>
      </c>
      <c r="Q184" s="13">
        <v>3485</v>
      </c>
      <c r="R184" s="13">
        <v>3420</v>
      </c>
      <c r="S184" s="13">
        <v>3341</v>
      </c>
      <c r="T184" s="13">
        <v>3371</v>
      </c>
      <c r="U184" s="13">
        <v>3346</v>
      </c>
      <c r="V184" s="13">
        <v>3259</v>
      </c>
      <c r="W184" s="13">
        <v>3256</v>
      </c>
      <c r="X184" s="13">
        <v>3297</v>
      </c>
      <c r="Y184" s="13">
        <v>3351</v>
      </c>
      <c r="Z184" s="13">
        <v>3365</v>
      </c>
      <c r="AA184" s="13">
        <v>3405</v>
      </c>
      <c r="AB184" s="13">
        <v>3507</v>
      </c>
      <c r="AC184" s="13">
        <v>3394</v>
      </c>
      <c r="AD184" s="13">
        <v>3345</v>
      </c>
      <c r="AE184" s="13">
        <v>3297</v>
      </c>
      <c r="AF184" s="13">
        <v>3325</v>
      </c>
      <c r="AG184" s="13">
        <v>3364</v>
      </c>
      <c r="AH184" s="13">
        <v>3386</v>
      </c>
      <c r="AI184" s="13">
        <v>3479</v>
      </c>
      <c r="AJ184" s="13">
        <v>3471</v>
      </c>
      <c r="AK184" s="13">
        <v>3500</v>
      </c>
      <c r="AL184" s="13">
        <v>3552</v>
      </c>
      <c r="AM184" s="13">
        <v>3553</v>
      </c>
      <c r="AN184" s="13">
        <v>3535</v>
      </c>
      <c r="AO184" s="13">
        <v>3550</v>
      </c>
      <c r="AP184" s="13">
        <v>3609</v>
      </c>
      <c r="AQ184" s="13">
        <v>3557</v>
      </c>
      <c r="AR184" s="13">
        <v>3634</v>
      </c>
      <c r="AS184" s="13">
        <v>3618</v>
      </c>
      <c r="AT184" s="13">
        <v>3626</v>
      </c>
      <c r="AU184" s="13">
        <v>3582</v>
      </c>
      <c r="AV184" s="13">
        <v>3580</v>
      </c>
      <c r="AW184" s="13">
        <v>3579</v>
      </c>
      <c r="AX184" s="13">
        <v>3681</v>
      </c>
      <c r="AY184" s="13">
        <v>3611</v>
      </c>
      <c r="AZ184" s="13">
        <v>3744</v>
      </c>
      <c r="BA184" s="13">
        <v>4069</v>
      </c>
      <c r="BB184" s="13">
        <v>4052</v>
      </c>
      <c r="BC184" s="13">
        <v>4110</v>
      </c>
      <c r="BD184" s="13">
        <v>4039</v>
      </c>
      <c r="BE184" s="13">
        <v>4149</v>
      </c>
      <c r="BF184" s="13">
        <v>4213</v>
      </c>
      <c r="BG184" s="13">
        <v>4253</v>
      </c>
      <c r="BH184" s="13">
        <v>4195</v>
      </c>
      <c r="BI184" s="13">
        <v>4251</v>
      </c>
      <c r="BJ184" s="13">
        <v>4325</v>
      </c>
      <c r="BK184" s="13">
        <v>4193</v>
      </c>
      <c r="BL184" s="13">
        <v>4220</v>
      </c>
      <c r="BM184" s="4">
        <v>4196</v>
      </c>
      <c r="BN184" s="4">
        <v>4220</v>
      </c>
      <c r="BO184" s="4">
        <v>4179</v>
      </c>
      <c r="BP184" s="4">
        <v>4049</v>
      </c>
    </row>
    <row r="185" spans="1:68" ht="15.9" customHeight="1">
      <c r="A185" s="64" t="s">
        <v>364</v>
      </c>
      <c r="B185" s="6" t="s">
        <v>365</v>
      </c>
      <c r="C185" s="15" t="str">
        <f>_xll.RssMarket("9536","現在値")</f>
        <v/>
      </c>
      <c r="D185" s="16" t="e">
        <f t="shared" si="5"/>
        <v>#VALUE!</v>
      </c>
      <c r="E185" s="13">
        <v>2318</v>
      </c>
      <c r="F185" s="13">
        <v>2333</v>
      </c>
      <c r="G185" s="13">
        <v>2302</v>
      </c>
      <c r="H185" s="13">
        <v>2295</v>
      </c>
      <c r="I185" s="13">
        <v>2328</v>
      </c>
      <c r="J185" s="13">
        <v>2347</v>
      </c>
      <c r="K185" s="13">
        <v>2356</v>
      </c>
      <c r="L185" s="13">
        <v>2303</v>
      </c>
      <c r="M185" s="13">
        <v>2257</v>
      </c>
      <c r="N185" s="13">
        <v>2225</v>
      </c>
      <c r="O185" s="13">
        <v>2248</v>
      </c>
      <c r="P185" s="13">
        <v>2270</v>
      </c>
      <c r="Q185" s="13">
        <v>2246</v>
      </c>
      <c r="R185" s="13">
        <v>2211</v>
      </c>
      <c r="S185" s="13">
        <v>2220</v>
      </c>
      <c r="T185" s="13">
        <v>2213</v>
      </c>
      <c r="U185" s="13">
        <v>2238</v>
      </c>
      <c r="V185" s="13">
        <v>2240</v>
      </c>
      <c r="W185" s="13">
        <v>2238</v>
      </c>
      <c r="X185" s="13">
        <v>2243</v>
      </c>
      <c r="Y185" s="13">
        <v>2232</v>
      </c>
      <c r="Z185" s="13">
        <v>2229</v>
      </c>
      <c r="AA185" s="13">
        <v>2210</v>
      </c>
      <c r="AB185" s="13">
        <v>2201</v>
      </c>
      <c r="AC185" s="13">
        <v>2182</v>
      </c>
      <c r="AD185" s="13">
        <v>2189</v>
      </c>
      <c r="AE185" s="13">
        <v>2154</v>
      </c>
      <c r="AF185" s="13">
        <v>2197</v>
      </c>
      <c r="AG185" s="13">
        <v>2195</v>
      </c>
      <c r="AH185" s="13">
        <v>2182</v>
      </c>
      <c r="AI185" s="13">
        <v>2222</v>
      </c>
      <c r="AJ185" s="13">
        <v>2198</v>
      </c>
      <c r="AK185" s="13">
        <v>2221</v>
      </c>
      <c r="AL185" s="13">
        <v>2201</v>
      </c>
      <c r="AM185" s="13">
        <v>2208</v>
      </c>
      <c r="AN185" s="13">
        <v>2238</v>
      </c>
      <c r="AO185" s="13">
        <v>2201</v>
      </c>
      <c r="AP185" s="13">
        <v>2261</v>
      </c>
      <c r="AQ185" s="13">
        <v>2244</v>
      </c>
      <c r="AR185" s="13">
        <v>2225</v>
      </c>
      <c r="AS185" s="13">
        <v>2233</v>
      </c>
      <c r="AT185" s="13">
        <v>2241</v>
      </c>
      <c r="AU185" s="13">
        <v>2222</v>
      </c>
      <c r="AV185" s="13">
        <v>2275</v>
      </c>
      <c r="AW185" s="13">
        <v>2208</v>
      </c>
      <c r="AX185" s="13">
        <v>2236</v>
      </c>
      <c r="AY185" s="13">
        <v>2457</v>
      </c>
      <c r="AZ185" s="13">
        <v>2423</v>
      </c>
      <c r="BA185" s="13">
        <v>2470</v>
      </c>
      <c r="BB185" s="13">
        <v>2441</v>
      </c>
      <c r="BC185" s="13">
        <v>2460</v>
      </c>
      <c r="BD185" s="13">
        <v>2529</v>
      </c>
      <c r="BE185" s="13">
        <v>2535</v>
      </c>
      <c r="BF185" s="13">
        <v>2595</v>
      </c>
      <c r="BG185" s="13">
        <v>2615</v>
      </c>
      <c r="BH185" s="13">
        <v>2586</v>
      </c>
      <c r="BI185" s="13">
        <v>2574</v>
      </c>
      <c r="BJ185" s="13">
        <v>2573</v>
      </c>
      <c r="BK185" s="13">
        <v>2552</v>
      </c>
      <c r="BL185" s="13">
        <v>2575</v>
      </c>
      <c r="BM185" s="4">
        <v>2621</v>
      </c>
      <c r="BN185" s="4">
        <v>2579</v>
      </c>
      <c r="BO185" s="4">
        <v>2562</v>
      </c>
      <c r="BP185" s="4">
        <v>2567</v>
      </c>
    </row>
    <row r="186" spans="1:68" ht="15.9" customHeight="1">
      <c r="A186" s="64" t="s">
        <v>366</v>
      </c>
      <c r="B186" s="6" t="s">
        <v>367</v>
      </c>
      <c r="C186" s="15" t="str">
        <f>_xll.RssMarket("9506","現在値")</f>
        <v/>
      </c>
      <c r="D186" s="16" t="e">
        <f t="shared" si="5"/>
        <v>#VALUE!</v>
      </c>
      <c r="E186" s="13">
        <v>1127</v>
      </c>
      <c r="F186" s="13">
        <v>1127.5</v>
      </c>
      <c r="G186" s="13">
        <v>1103</v>
      </c>
      <c r="H186" s="13">
        <v>1088</v>
      </c>
      <c r="I186" s="13">
        <v>1089.5</v>
      </c>
      <c r="J186" s="13">
        <v>1095</v>
      </c>
      <c r="K186" s="13">
        <v>1093</v>
      </c>
      <c r="L186" s="13">
        <v>1097.5</v>
      </c>
      <c r="M186" s="13">
        <v>1069</v>
      </c>
      <c r="N186" s="13">
        <v>1063.5</v>
      </c>
      <c r="O186" s="13">
        <v>1062</v>
      </c>
      <c r="P186" s="13">
        <v>1064.5</v>
      </c>
      <c r="Q186" s="13">
        <v>1050</v>
      </c>
      <c r="R186" s="13">
        <v>1042</v>
      </c>
      <c r="S186" s="13">
        <v>1044</v>
      </c>
      <c r="T186" s="13">
        <v>1029.5</v>
      </c>
      <c r="U186" s="13">
        <v>1030.5</v>
      </c>
      <c r="V186" s="13">
        <v>1041</v>
      </c>
      <c r="W186" s="13">
        <v>1049</v>
      </c>
      <c r="X186" s="13">
        <v>1046</v>
      </c>
      <c r="Y186" s="13">
        <v>1043.5</v>
      </c>
      <c r="Z186" s="13">
        <v>1019.5</v>
      </c>
      <c r="AA186" s="13">
        <v>1018.5</v>
      </c>
      <c r="AB186" s="13">
        <v>1015.5</v>
      </c>
      <c r="AC186" s="13">
        <v>1006.5</v>
      </c>
      <c r="AD186" s="13">
        <v>993.3</v>
      </c>
      <c r="AE186" s="13">
        <v>991.4</v>
      </c>
      <c r="AF186" s="13">
        <v>1013.5</v>
      </c>
      <c r="AG186" s="13">
        <v>983.6</v>
      </c>
      <c r="AH186" s="13">
        <v>989.5</v>
      </c>
      <c r="AI186" s="13">
        <v>1006.5</v>
      </c>
      <c r="AJ186" s="13">
        <v>996.7</v>
      </c>
      <c r="AK186" s="13">
        <v>998</v>
      </c>
      <c r="AL186" s="13">
        <v>1009</v>
      </c>
      <c r="AM186" s="13">
        <v>1011</v>
      </c>
      <c r="AN186" s="13">
        <v>1024.5</v>
      </c>
      <c r="AO186" s="13">
        <v>1006</v>
      </c>
      <c r="AP186" s="13">
        <v>1019</v>
      </c>
      <c r="AQ186" s="13">
        <v>1006.5</v>
      </c>
      <c r="AR186" s="13">
        <v>1051.5</v>
      </c>
      <c r="AS186" s="13">
        <v>1052.5</v>
      </c>
      <c r="AT186" s="13">
        <v>1064</v>
      </c>
      <c r="AU186" s="13">
        <v>1060</v>
      </c>
      <c r="AV186" s="13">
        <v>1055.5</v>
      </c>
      <c r="AW186" s="13">
        <v>1092.5</v>
      </c>
      <c r="AX186" s="13">
        <v>1064</v>
      </c>
      <c r="AY186" s="13">
        <v>1088.5</v>
      </c>
      <c r="AZ186" s="13">
        <v>1157</v>
      </c>
      <c r="BA186" s="13">
        <v>1122</v>
      </c>
      <c r="BB186" s="13">
        <v>1128.5</v>
      </c>
      <c r="BC186" s="13">
        <v>1117.5</v>
      </c>
      <c r="BD186" s="13">
        <v>1130</v>
      </c>
      <c r="BE186" s="13">
        <v>1144.5</v>
      </c>
      <c r="BF186" s="13">
        <v>1170.5</v>
      </c>
      <c r="BG186" s="13">
        <v>1178</v>
      </c>
      <c r="BH186" s="13">
        <v>1182.5</v>
      </c>
      <c r="BI186" s="13">
        <v>1172</v>
      </c>
      <c r="BJ186" s="13">
        <v>1170.5</v>
      </c>
      <c r="BK186" s="13">
        <v>1158.5</v>
      </c>
      <c r="BL186" s="13">
        <v>1164</v>
      </c>
      <c r="BM186" s="4">
        <v>1175.5</v>
      </c>
      <c r="BN186" s="4">
        <v>1172.5</v>
      </c>
      <c r="BO186" s="4">
        <v>1168</v>
      </c>
      <c r="BP186" s="4">
        <v>1170</v>
      </c>
    </row>
    <row r="187" spans="1:68" ht="15.9" customHeight="1">
      <c r="A187" s="64" t="s">
        <v>368</v>
      </c>
      <c r="B187" s="6" t="s">
        <v>369</v>
      </c>
      <c r="C187" s="15" t="str">
        <f>_xll.RssMarket("2127","現在値")</f>
        <v/>
      </c>
      <c r="D187" s="16" t="e">
        <f t="shared" si="5"/>
        <v>#VALUE!</v>
      </c>
      <c r="E187" s="13">
        <v>672.2</v>
      </c>
      <c r="F187" s="13">
        <v>678.7</v>
      </c>
      <c r="G187" s="13">
        <v>679.4</v>
      </c>
      <c r="H187" s="13">
        <v>671.4</v>
      </c>
      <c r="I187" s="13">
        <v>676.7</v>
      </c>
      <c r="J187" s="13">
        <v>676.5</v>
      </c>
      <c r="K187" s="13">
        <v>682</v>
      </c>
      <c r="L187" s="13">
        <v>679.5</v>
      </c>
      <c r="M187" s="13">
        <v>656.5</v>
      </c>
      <c r="N187" s="13">
        <v>649.4</v>
      </c>
      <c r="O187" s="13">
        <v>635.29999999999995</v>
      </c>
      <c r="P187" s="13">
        <v>636.70000000000005</v>
      </c>
      <c r="Q187" s="13">
        <v>634</v>
      </c>
      <c r="R187" s="13">
        <v>620.20000000000005</v>
      </c>
      <c r="S187" s="13">
        <v>623.79999999999995</v>
      </c>
      <c r="T187" s="13">
        <v>629.5</v>
      </c>
      <c r="U187" s="13">
        <v>628</v>
      </c>
      <c r="V187" s="13">
        <v>634.1</v>
      </c>
      <c r="W187" s="13">
        <v>644.1</v>
      </c>
      <c r="X187" s="13">
        <v>650.9</v>
      </c>
      <c r="Y187" s="13">
        <v>638.29999999999995</v>
      </c>
      <c r="Z187" s="13">
        <v>636</v>
      </c>
      <c r="AA187" s="13">
        <v>643.5</v>
      </c>
      <c r="AB187" s="13">
        <v>637.5</v>
      </c>
      <c r="AC187" s="13">
        <v>632.9</v>
      </c>
      <c r="AD187" s="13">
        <v>637.1</v>
      </c>
      <c r="AE187" s="13">
        <v>624</v>
      </c>
      <c r="AF187" s="13">
        <v>645</v>
      </c>
      <c r="AG187" s="13">
        <v>655.8</v>
      </c>
      <c r="AH187" s="13">
        <v>654.4</v>
      </c>
      <c r="AI187" s="13">
        <v>652</v>
      </c>
      <c r="AJ187" s="13">
        <v>652.79999999999995</v>
      </c>
      <c r="AK187" s="13">
        <v>665.5</v>
      </c>
      <c r="AL187" s="13">
        <v>655.1</v>
      </c>
      <c r="AM187" s="13">
        <v>661.9</v>
      </c>
      <c r="AN187" s="13">
        <v>657.2</v>
      </c>
      <c r="AO187" s="13">
        <v>645</v>
      </c>
      <c r="AP187" s="13">
        <v>660.2</v>
      </c>
      <c r="AQ187" s="13">
        <v>633.4</v>
      </c>
      <c r="AR187" s="13">
        <v>638.29999999999995</v>
      </c>
      <c r="AS187" s="13">
        <v>638.79999999999995</v>
      </c>
      <c r="AT187" s="13">
        <v>644.70000000000005</v>
      </c>
      <c r="AU187" s="13">
        <v>639.5</v>
      </c>
      <c r="AV187" s="13">
        <v>658.8</v>
      </c>
      <c r="AW187" s="13">
        <v>656.1</v>
      </c>
      <c r="AX187" s="13">
        <v>652.29999999999995</v>
      </c>
      <c r="AY187" s="13">
        <v>626.9</v>
      </c>
      <c r="AZ187" s="13">
        <v>654.5</v>
      </c>
      <c r="BA187" s="13">
        <v>690</v>
      </c>
      <c r="BB187" s="13">
        <v>677.5</v>
      </c>
      <c r="BC187" s="13">
        <v>668.7</v>
      </c>
      <c r="BD187" s="13">
        <v>683</v>
      </c>
      <c r="BE187" s="13">
        <v>688.8</v>
      </c>
      <c r="BF187" s="13">
        <v>690.3</v>
      </c>
      <c r="BG187" s="13">
        <v>682.3</v>
      </c>
      <c r="BH187" s="13">
        <v>689.8</v>
      </c>
      <c r="BI187" s="13">
        <v>689.8</v>
      </c>
      <c r="BJ187" s="13">
        <v>676.5</v>
      </c>
      <c r="BK187" s="13">
        <v>667.9</v>
      </c>
      <c r="BL187" s="13">
        <v>655.7</v>
      </c>
      <c r="BM187" s="4">
        <v>658.3</v>
      </c>
      <c r="BN187" s="4">
        <v>662</v>
      </c>
      <c r="BO187" s="4">
        <v>672.6</v>
      </c>
      <c r="BP187" s="4">
        <v>654</v>
      </c>
    </row>
    <row r="188" spans="1:68" ht="15.9" customHeight="1">
      <c r="A188" s="64" t="s">
        <v>370</v>
      </c>
      <c r="B188" s="6" t="s">
        <v>371</v>
      </c>
      <c r="C188" s="15" t="str">
        <f>_xll.RssMarket("6753","現在値")</f>
        <v/>
      </c>
      <c r="D188" s="16" t="e">
        <f t="shared" si="5"/>
        <v>#VALUE!</v>
      </c>
      <c r="E188" s="13">
        <v>627.29999999999995</v>
      </c>
      <c r="F188" s="13">
        <v>637</v>
      </c>
      <c r="G188" s="13">
        <v>645</v>
      </c>
      <c r="H188" s="13">
        <v>637.4</v>
      </c>
      <c r="I188" s="13">
        <v>648.29999999999995</v>
      </c>
      <c r="J188" s="13">
        <v>647.1</v>
      </c>
      <c r="K188" s="13">
        <v>643.29999999999995</v>
      </c>
      <c r="L188" s="13">
        <v>640.5</v>
      </c>
      <c r="M188" s="13">
        <v>639.1</v>
      </c>
      <c r="N188" s="13">
        <v>643.6</v>
      </c>
      <c r="O188" s="13">
        <v>636.20000000000005</v>
      </c>
      <c r="P188" s="13">
        <v>651.29999999999995</v>
      </c>
      <c r="Q188" s="13">
        <v>633.20000000000005</v>
      </c>
      <c r="R188" s="13">
        <v>606.20000000000005</v>
      </c>
      <c r="S188" s="13">
        <v>601</v>
      </c>
      <c r="T188" s="13">
        <v>665.5</v>
      </c>
      <c r="U188" s="13">
        <v>578</v>
      </c>
      <c r="V188" s="13">
        <v>585</v>
      </c>
      <c r="W188" s="13">
        <v>573.20000000000005</v>
      </c>
      <c r="X188" s="13">
        <v>594.4</v>
      </c>
      <c r="Y188" s="13">
        <v>593.79999999999995</v>
      </c>
      <c r="Z188" s="13">
        <v>609.20000000000005</v>
      </c>
      <c r="AA188" s="13">
        <v>620.5</v>
      </c>
      <c r="AB188" s="13">
        <v>636.20000000000005</v>
      </c>
      <c r="AC188" s="13">
        <v>657.2</v>
      </c>
      <c r="AD188" s="13">
        <v>658.1</v>
      </c>
      <c r="AE188" s="13">
        <v>671.6</v>
      </c>
      <c r="AF188" s="13">
        <v>668.5</v>
      </c>
      <c r="AG188" s="13">
        <v>651.9</v>
      </c>
      <c r="AH188" s="13">
        <v>629.79999999999995</v>
      </c>
      <c r="AI188" s="13">
        <v>621.5</v>
      </c>
      <c r="AJ188" s="13">
        <v>621.6</v>
      </c>
      <c r="AK188" s="13">
        <v>610.1</v>
      </c>
      <c r="AL188" s="13">
        <v>638.6</v>
      </c>
      <c r="AM188" s="13">
        <v>631.5</v>
      </c>
      <c r="AN188" s="13">
        <v>606.29999999999995</v>
      </c>
      <c r="AO188" s="13">
        <v>601</v>
      </c>
      <c r="AP188" s="13">
        <v>640.20000000000005</v>
      </c>
      <c r="AQ188" s="13">
        <v>606.5</v>
      </c>
      <c r="AR188" s="13">
        <v>603.9</v>
      </c>
      <c r="AS188" s="13">
        <v>571.70000000000005</v>
      </c>
      <c r="AT188" s="13">
        <v>591.1</v>
      </c>
      <c r="AU188" s="13">
        <v>592.79999999999995</v>
      </c>
      <c r="AV188" s="13">
        <v>561</v>
      </c>
      <c r="AW188" s="13">
        <v>564.29999999999995</v>
      </c>
      <c r="AX188" s="13">
        <v>559.4</v>
      </c>
      <c r="AY188" s="13">
        <v>582.4</v>
      </c>
      <c r="AZ188" s="13">
        <v>559.5</v>
      </c>
      <c r="BA188" s="13">
        <v>566.1</v>
      </c>
      <c r="BB188" s="13">
        <v>545.29999999999995</v>
      </c>
      <c r="BC188" s="13">
        <v>555</v>
      </c>
      <c r="BD188" s="13">
        <v>592.6</v>
      </c>
      <c r="BE188" s="13">
        <v>611.29999999999995</v>
      </c>
      <c r="BF188" s="13">
        <v>612</v>
      </c>
      <c r="BG188" s="13">
        <v>613.79999999999995</v>
      </c>
      <c r="BH188" s="13">
        <v>616.1</v>
      </c>
      <c r="BI188" s="13">
        <v>603.6</v>
      </c>
      <c r="BJ188" s="13">
        <v>594.70000000000005</v>
      </c>
      <c r="BK188" s="13">
        <v>589.4</v>
      </c>
      <c r="BL188" s="13">
        <v>587.79999999999995</v>
      </c>
      <c r="BM188" s="4">
        <v>604.4</v>
      </c>
      <c r="BN188" s="4">
        <v>612.4</v>
      </c>
      <c r="BO188" s="4">
        <v>629.6</v>
      </c>
      <c r="BP188" s="4">
        <v>626.4</v>
      </c>
    </row>
    <row r="189" spans="1:68" ht="15.9" customHeight="1">
      <c r="A189" s="64" t="s">
        <v>372</v>
      </c>
      <c r="B189" s="6" t="str">
        <f>銘柄管理!C189</f>
        <v/>
      </c>
      <c r="C189" s="15" t="str">
        <f>_xll.RssMarket("9064","現在値")</f>
        <v/>
      </c>
      <c r="D189" s="16"/>
      <c r="E189" s="13">
        <v>2003</v>
      </c>
      <c r="F189" s="13">
        <v>1970.5</v>
      </c>
      <c r="G189" s="13">
        <v>1960</v>
      </c>
      <c r="H189" s="13">
        <v>1937.5</v>
      </c>
      <c r="I189" s="13">
        <v>1944</v>
      </c>
      <c r="J189" s="13">
        <v>1953</v>
      </c>
      <c r="K189" s="13">
        <v>1969.5</v>
      </c>
      <c r="L189" s="13">
        <v>1995.5</v>
      </c>
      <c r="M189" s="13">
        <v>1945.5</v>
      </c>
      <c r="N189" s="13">
        <v>1909</v>
      </c>
      <c r="O189" s="13">
        <v>1839.5</v>
      </c>
      <c r="P189" s="13">
        <v>1834.5</v>
      </c>
      <c r="Q189" s="13">
        <v>1854</v>
      </c>
      <c r="R189" s="13">
        <v>1819.5</v>
      </c>
      <c r="S189" s="13">
        <v>1812</v>
      </c>
      <c r="T189" s="13">
        <v>1756.5</v>
      </c>
      <c r="U189" s="13">
        <v>1775</v>
      </c>
      <c r="V189" s="13">
        <v>1757</v>
      </c>
      <c r="W189" s="13">
        <v>1770.5</v>
      </c>
      <c r="X189" s="13">
        <v>1769.5</v>
      </c>
      <c r="Y189" s="13">
        <v>1774.5</v>
      </c>
      <c r="Z189" s="13">
        <v>1785</v>
      </c>
      <c r="AA189" s="13">
        <v>1815.5</v>
      </c>
      <c r="AB189" s="13">
        <v>1805</v>
      </c>
      <c r="AC189" s="13">
        <v>1792.5</v>
      </c>
      <c r="AD189" s="13">
        <v>1799</v>
      </c>
      <c r="AE189" s="13">
        <v>1800.5</v>
      </c>
      <c r="AF189" s="13">
        <v>1825.5</v>
      </c>
      <c r="AG189" s="13">
        <v>1800</v>
      </c>
      <c r="AH189" s="13">
        <v>1799.5</v>
      </c>
      <c r="AI189" s="13">
        <v>1818</v>
      </c>
      <c r="AJ189" s="13">
        <v>1778.5</v>
      </c>
      <c r="AK189" s="13">
        <v>1763</v>
      </c>
      <c r="AL189" s="13">
        <v>1773.5</v>
      </c>
      <c r="AM189" s="13">
        <v>1771</v>
      </c>
      <c r="AN189" s="13">
        <v>1787</v>
      </c>
      <c r="AO189" s="13">
        <v>1750</v>
      </c>
      <c r="AP189" s="13">
        <v>1780</v>
      </c>
      <c r="AQ189" s="13">
        <v>1727</v>
      </c>
      <c r="AR189" s="13">
        <v>1732.5</v>
      </c>
      <c r="AS189" s="13">
        <v>1780</v>
      </c>
      <c r="AT189" s="13">
        <v>1752.5</v>
      </c>
      <c r="AU189" s="13">
        <v>1745.5</v>
      </c>
      <c r="AV189" s="13">
        <v>1730.5</v>
      </c>
      <c r="AW189" s="13">
        <v>1800</v>
      </c>
      <c r="AX189" s="13">
        <v>1822.5</v>
      </c>
      <c r="AY189" s="13">
        <v>1748.5</v>
      </c>
      <c r="AZ189" s="13">
        <v>1764.5</v>
      </c>
      <c r="BA189" s="13">
        <v>1802.5</v>
      </c>
      <c r="BB189" s="13">
        <v>1774</v>
      </c>
      <c r="BC189" s="13">
        <v>1768</v>
      </c>
      <c r="BD189" s="13">
        <v>1773</v>
      </c>
      <c r="BE189" s="13">
        <v>1809</v>
      </c>
      <c r="BF189" s="13">
        <v>1832.5</v>
      </c>
      <c r="BG189" s="13">
        <v>1821.5</v>
      </c>
      <c r="BH189" s="13">
        <v>1845</v>
      </c>
      <c r="BI189" s="13">
        <v>1862.5</v>
      </c>
      <c r="BJ189" s="13">
        <v>1866.5</v>
      </c>
      <c r="BK189" s="13">
        <v>1861</v>
      </c>
      <c r="BL189" s="13">
        <v>1846.5</v>
      </c>
      <c r="BM189" s="4">
        <v>1836</v>
      </c>
      <c r="BN189" s="4">
        <v>1848.5</v>
      </c>
      <c r="BO189" s="4">
        <v>1870.5</v>
      </c>
      <c r="BP189" s="4">
        <v>1814.5</v>
      </c>
    </row>
    <row r="190" spans="1:68" ht="15.9" customHeight="1">
      <c r="A190" s="64" t="s">
        <v>373</v>
      </c>
      <c r="B190" s="6" t="s">
        <v>374</v>
      </c>
      <c r="C190" s="15" t="str">
        <f>_xll.RssMarket("7181","現在値")</f>
        <v/>
      </c>
      <c r="D190" s="16" t="e">
        <f>C190-E190</f>
        <v>#VALUE!</v>
      </c>
      <c r="E190" s="13">
        <v>1610.5</v>
      </c>
      <c r="F190" s="13">
        <v>1672.5</v>
      </c>
      <c r="G190" s="13">
        <v>1660</v>
      </c>
      <c r="H190" s="13">
        <v>1622.5</v>
      </c>
      <c r="I190" s="13">
        <v>1612.5</v>
      </c>
      <c r="J190" s="13">
        <v>1641.5</v>
      </c>
      <c r="K190" s="13">
        <v>1646</v>
      </c>
      <c r="L190" s="13">
        <v>1654.5</v>
      </c>
      <c r="M190" s="13">
        <v>1613</v>
      </c>
      <c r="N190" s="13">
        <v>1581.5</v>
      </c>
      <c r="O190" s="13">
        <v>1519</v>
      </c>
      <c r="P190" s="13">
        <v>1526.5</v>
      </c>
      <c r="Q190" s="13">
        <v>1499</v>
      </c>
      <c r="R190" s="13">
        <v>1491.5</v>
      </c>
      <c r="S190" s="13">
        <v>1473.5</v>
      </c>
      <c r="T190" s="13">
        <v>1487</v>
      </c>
      <c r="U190" s="13">
        <v>1518.5</v>
      </c>
      <c r="V190" s="13">
        <v>1524.5</v>
      </c>
      <c r="W190" s="13">
        <v>1525</v>
      </c>
      <c r="X190" s="13">
        <v>1516</v>
      </c>
      <c r="Y190" s="13">
        <v>1560</v>
      </c>
      <c r="Z190" s="13">
        <v>1541</v>
      </c>
      <c r="AA190" s="13">
        <v>1535</v>
      </c>
      <c r="AB190" s="13">
        <v>1568</v>
      </c>
      <c r="AC190" s="13">
        <v>1455</v>
      </c>
      <c r="AD190" s="13">
        <v>1422.5</v>
      </c>
      <c r="AE190" s="13">
        <v>1404.5</v>
      </c>
      <c r="AF190" s="13">
        <v>1429.5</v>
      </c>
      <c r="AG190" s="13">
        <v>1407.5</v>
      </c>
      <c r="AH190" s="13">
        <v>1406</v>
      </c>
      <c r="AI190" s="13">
        <v>1429.5</v>
      </c>
      <c r="AJ190" s="13">
        <v>1413.5</v>
      </c>
      <c r="AK190" s="13">
        <v>1479</v>
      </c>
      <c r="AL190" s="13">
        <v>1473.5</v>
      </c>
      <c r="AM190" s="13">
        <v>1526.5</v>
      </c>
      <c r="AN190" s="13">
        <v>1543.5</v>
      </c>
      <c r="AO190" s="13">
        <v>1529</v>
      </c>
      <c r="AP190" s="13">
        <v>1525</v>
      </c>
      <c r="AQ190" s="13">
        <v>1463.5</v>
      </c>
      <c r="AR190" s="13">
        <v>1648</v>
      </c>
      <c r="AS190" s="13">
        <v>1594.5</v>
      </c>
      <c r="AT190" s="13">
        <v>1618</v>
      </c>
      <c r="AU190" s="13">
        <v>1554</v>
      </c>
      <c r="AV190" s="13">
        <v>1547.5</v>
      </c>
      <c r="AW190" s="13">
        <v>1558.5</v>
      </c>
      <c r="AX190" s="13">
        <v>1573</v>
      </c>
      <c r="AY190" s="13">
        <v>1531</v>
      </c>
      <c r="AZ190" s="13">
        <v>1525.5</v>
      </c>
      <c r="BA190" s="13">
        <v>1525.5</v>
      </c>
      <c r="BB190" s="13">
        <v>1491</v>
      </c>
      <c r="BC190" s="13">
        <v>1495.5</v>
      </c>
      <c r="BD190" s="13">
        <v>1506</v>
      </c>
      <c r="BE190" s="13">
        <v>1498</v>
      </c>
      <c r="BF190" s="13">
        <v>1542.5</v>
      </c>
      <c r="BG190" s="13">
        <v>1576.5</v>
      </c>
      <c r="BH190" s="13">
        <v>1600.5</v>
      </c>
      <c r="BI190" s="13">
        <v>1670</v>
      </c>
      <c r="BJ190" s="13">
        <v>1644.5</v>
      </c>
      <c r="BK190" s="13">
        <v>1625</v>
      </c>
      <c r="BL190" s="13">
        <v>1584.5</v>
      </c>
      <c r="BM190" s="4">
        <v>1595.5</v>
      </c>
      <c r="BN190" s="4">
        <v>1598</v>
      </c>
      <c r="BO190" s="4">
        <v>1635.5</v>
      </c>
      <c r="BP190" s="4">
        <v>1601.5</v>
      </c>
    </row>
    <row r="191" spans="1:68" ht="15.9" customHeight="1">
      <c r="A191" s="64" t="s">
        <v>375</v>
      </c>
      <c r="B191" s="6" t="str">
        <f>銘柄管理!C191</f>
        <v/>
      </c>
      <c r="C191" s="15" t="str">
        <f>_xll.RssMarket("6485","現在値")</f>
        <v/>
      </c>
      <c r="D191" s="16"/>
      <c r="E191" s="13">
        <v>1526</v>
      </c>
      <c r="F191" s="13">
        <v>1554</v>
      </c>
      <c r="G191" s="13">
        <v>1536</v>
      </c>
      <c r="H191" s="13">
        <v>1539</v>
      </c>
      <c r="I191" s="13">
        <v>1572</v>
      </c>
      <c r="J191" s="13">
        <v>1546</v>
      </c>
      <c r="K191" s="13">
        <v>1547</v>
      </c>
      <c r="L191" s="13">
        <v>1524</v>
      </c>
      <c r="M191" s="13">
        <v>1520</v>
      </c>
      <c r="N191" s="13">
        <v>1529</v>
      </c>
      <c r="O191" s="13">
        <v>1519</v>
      </c>
      <c r="P191" s="13">
        <v>1496</v>
      </c>
      <c r="Q191" s="13">
        <v>1509</v>
      </c>
      <c r="R191" s="13">
        <v>1501</v>
      </c>
      <c r="S191" s="13">
        <v>1483</v>
      </c>
      <c r="T191" s="13">
        <v>1464</v>
      </c>
      <c r="U191" s="13">
        <v>1482</v>
      </c>
      <c r="V191" s="13">
        <v>1459</v>
      </c>
      <c r="W191" s="13">
        <v>1454</v>
      </c>
      <c r="X191" s="13">
        <v>1449</v>
      </c>
      <c r="Y191" s="13">
        <v>1424</v>
      </c>
      <c r="Z191" s="13">
        <v>1411</v>
      </c>
      <c r="AA191" s="13">
        <v>1429</v>
      </c>
      <c r="AB191" s="13">
        <v>1419</v>
      </c>
      <c r="AC191" s="13">
        <v>1435</v>
      </c>
      <c r="AD191" s="13">
        <v>1414</v>
      </c>
      <c r="AE191" s="13">
        <v>1402</v>
      </c>
      <c r="AF191" s="13">
        <v>1376</v>
      </c>
      <c r="AG191" s="13">
        <v>1388</v>
      </c>
      <c r="AH191" s="13">
        <v>1417</v>
      </c>
      <c r="AI191" s="13">
        <v>1425</v>
      </c>
      <c r="AJ191" s="13">
        <v>1420</v>
      </c>
      <c r="AK191" s="13">
        <v>1411</v>
      </c>
      <c r="AL191" s="13">
        <v>1428</v>
      </c>
      <c r="AM191" s="13">
        <v>1455</v>
      </c>
      <c r="AN191" s="13">
        <v>1442</v>
      </c>
      <c r="AO191" s="13">
        <v>1497</v>
      </c>
      <c r="AP191" s="13">
        <v>1485</v>
      </c>
      <c r="AQ191" s="13">
        <v>1500</v>
      </c>
      <c r="AR191" s="13">
        <v>1524</v>
      </c>
      <c r="AS191" s="13">
        <v>1508</v>
      </c>
      <c r="AT191" s="13">
        <v>1507</v>
      </c>
      <c r="AU191" s="13">
        <v>1512</v>
      </c>
      <c r="AV191" s="13">
        <v>1503</v>
      </c>
      <c r="AW191" s="13">
        <v>1493</v>
      </c>
      <c r="AX191" s="13">
        <v>1555</v>
      </c>
      <c r="AY191" s="13">
        <v>1491</v>
      </c>
      <c r="AZ191" s="13">
        <v>1498</v>
      </c>
      <c r="BA191" s="13">
        <v>1504</v>
      </c>
      <c r="BB191" s="13">
        <v>1525</v>
      </c>
      <c r="BC191" s="13">
        <v>1554</v>
      </c>
      <c r="BD191" s="13">
        <v>1554</v>
      </c>
      <c r="BE191" s="13">
        <v>1555</v>
      </c>
      <c r="BF191" s="13">
        <v>1567</v>
      </c>
      <c r="BG191" s="13">
        <v>1576</v>
      </c>
      <c r="BH191" s="13">
        <v>1574</v>
      </c>
      <c r="BI191" s="13">
        <v>1594</v>
      </c>
      <c r="BJ191" s="13">
        <v>1611</v>
      </c>
      <c r="BK191" s="13">
        <v>1619</v>
      </c>
      <c r="BL191" s="13">
        <v>1630</v>
      </c>
      <c r="BM191" s="4">
        <v>1605</v>
      </c>
      <c r="BN191" s="4">
        <v>1588</v>
      </c>
      <c r="BO191" s="4">
        <v>1586</v>
      </c>
      <c r="BP191" s="4">
        <v>1580</v>
      </c>
    </row>
    <row r="192" spans="1:68" ht="15.9" customHeight="1">
      <c r="A192" s="64" t="s">
        <v>376</v>
      </c>
      <c r="B192" s="6" t="s">
        <v>377</v>
      </c>
      <c r="C192" s="15" t="str">
        <f>_xll.RssMarket("4887","現在値")</f>
        <v/>
      </c>
      <c r="D192" s="16" t="e">
        <f t="shared" ref="D192:D208" si="6">C192-E192</f>
        <v>#VALUE!</v>
      </c>
      <c r="E192" s="13">
        <v>1681</v>
      </c>
      <c r="F192" s="13">
        <v>1693.5</v>
      </c>
      <c r="G192" s="13">
        <v>1675</v>
      </c>
      <c r="H192" s="13">
        <v>1661</v>
      </c>
      <c r="I192" s="13">
        <v>1673</v>
      </c>
      <c r="J192" s="13">
        <v>1690</v>
      </c>
      <c r="K192" s="13">
        <v>1716</v>
      </c>
      <c r="L192" s="13">
        <v>1747.5</v>
      </c>
      <c r="M192" s="13">
        <v>1718</v>
      </c>
      <c r="N192" s="13">
        <v>1702</v>
      </c>
      <c r="O192" s="13">
        <v>1675</v>
      </c>
      <c r="P192" s="13">
        <v>1685</v>
      </c>
      <c r="Q192" s="13">
        <v>1663.5</v>
      </c>
      <c r="R192" s="13">
        <v>1626</v>
      </c>
      <c r="S192" s="13">
        <v>1650.5</v>
      </c>
      <c r="T192" s="13">
        <v>1658</v>
      </c>
      <c r="U192" s="13">
        <v>1646.5</v>
      </c>
      <c r="V192" s="13">
        <v>1633.5</v>
      </c>
      <c r="W192" s="13">
        <v>1638</v>
      </c>
      <c r="X192" s="13">
        <v>1676.5</v>
      </c>
      <c r="Y192" s="13">
        <v>1650.5</v>
      </c>
      <c r="Z192" s="13">
        <v>1711</v>
      </c>
      <c r="AA192" s="13">
        <v>1720</v>
      </c>
      <c r="AB192" s="13">
        <v>1688</v>
      </c>
      <c r="AC192" s="13">
        <v>1712.5</v>
      </c>
      <c r="AD192" s="13">
        <v>1717</v>
      </c>
      <c r="AE192" s="13">
        <v>1719.5</v>
      </c>
      <c r="AF192" s="13">
        <v>1707.5</v>
      </c>
      <c r="AG192" s="13">
        <v>1732</v>
      </c>
      <c r="AH192" s="13">
        <v>1749</v>
      </c>
      <c r="AI192" s="13">
        <v>1734.5</v>
      </c>
      <c r="AJ192" s="13">
        <v>1773.5</v>
      </c>
      <c r="AK192" s="13">
        <v>1788.5</v>
      </c>
      <c r="AL192" s="13">
        <v>1768</v>
      </c>
      <c r="AM192" s="13">
        <v>1757.5</v>
      </c>
      <c r="AN192" s="13">
        <v>1789</v>
      </c>
      <c r="AO192" s="13">
        <v>1805</v>
      </c>
      <c r="AP192" s="13">
        <v>1740</v>
      </c>
      <c r="AQ192" s="13">
        <v>2032.5</v>
      </c>
      <c r="AR192" s="13">
        <v>2082.5</v>
      </c>
      <c r="AS192" s="13">
        <v>2080.5</v>
      </c>
      <c r="AT192" s="13">
        <v>2081</v>
      </c>
      <c r="AU192" s="13">
        <v>2097.5</v>
      </c>
      <c r="AV192" s="13">
        <v>2102</v>
      </c>
      <c r="AW192" s="13">
        <v>2135</v>
      </c>
      <c r="AX192" s="13">
        <v>2066</v>
      </c>
      <c r="AY192" s="13">
        <v>2104.5</v>
      </c>
      <c r="AZ192" s="13">
        <v>2098.5</v>
      </c>
      <c r="BA192" s="13">
        <v>2080.5</v>
      </c>
      <c r="BB192" s="13">
        <v>2121</v>
      </c>
      <c r="BC192" s="13">
        <v>2099</v>
      </c>
      <c r="BD192" s="13">
        <v>2110.5</v>
      </c>
      <c r="BE192" s="13">
        <v>2174</v>
      </c>
      <c r="BF192" s="13">
        <v>2189.5</v>
      </c>
      <c r="BG192" s="13">
        <v>2208</v>
      </c>
      <c r="BH192" s="13">
        <v>2248</v>
      </c>
      <c r="BI192" s="13">
        <v>2222</v>
      </c>
      <c r="BJ192" s="13">
        <v>2177</v>
      </c>
      <c r="BK192" s="13">
        <v>2224.5</v>
      </c>
      <c r="BL192" s="13">
        <v>2255.5</v>
      </c>
      <c r="BM192" s="4">
        <v>2252.5</v>
      </c>
      <c r="BN192" s="4">
        <v>2267.5</v>
      </c>
      <c r="BO192" s="4">
        <v>2278.5</v>
      </c>
      <c r="BP192" s="4">
        <v>2287.5</v>
      </c>
    </row>
    <row r="193" spans="1:68" ht="15.9" customHeight="1">
      <c r="A193" s="64" t="s">
        <v>378</v>
      </c>
      <c r="B193" s="6" t="s">
        <v>379</v>
      </c>
      <c r="C193" s="15" t="str">
        <f>_xll.RssMarket("5243","現在値")</f>
        <v/>
      </c>
      <c r="D193" s="16" t="e">
        <f t="shared" si="6"/>
        <v>#VALUE!</v>
      </c>
      <c r="E193" s="13">
        <v>2050</v>
      </c>
      <c r="F193" s="13">
        <v>2144</v>
      </c>
      <c r="G193" s="13">
        <v>2061</v>
      </c>
      <c r="H193" s="13">
        <v>2106</v>
      </c>
      <c r="I193" s="13">
        <v>2258</v>
      </c>
      <c r="J193" s="13">
        <v>2010</v>
      </c>
      <c r="K193" s="13">
        <v>2289</v>
      </c>
      <c r="L193" s="13">
        <v>2250</v>
      </c>
      <c r="M193" s="13">
        <v>2075</v>
      </c>
      <c r="N193" s="13">
        <v>2024</v>
      </c>
      <c r="O193" s="13">
        <v>1920</v>
      </c>
      <c r="P193" s="13">
        <v>1838</v>
      </c>
      <c r="Q193" s="13">
        <v>1745</v>
      </c>
      <c r="R193" s="13">
        <v>1730</v>
      </c>
      <c r="S193" s="13">
        <v>1736</v>
      </c>
      <c r="T193" s="13">
        <v>1741</v>
      </c>
      <c r="U193" s="13">
        <v>1800</v>
      </c>
      <c r="V193" s="13">
        <v>1760</v>
      </c>
      <c r="W193" s="13">
        <v>1821</v>
      </c>
      <c r="X193" s="13">
        <v>1728</v>
      </c>
      <c r="Y193" s="13">
        <v>1655</v>
      </c>
      <c r="Z193" s="13">
        <v>1683</v>
      </c>
      <c r="AA193" s="13">
        <v>1676</v>
      </c>
      <c r="AB193" s="13">
        <v>1754</v>
      </c>
      <c r="AC193" s="13">
        <v>1848</v>
      </c>
      <c r="AD193" s="13">
        <v>1816</v>
      </c>
      <c r="AE193" s="13">
        <v>1935</v>
      </c>
      <c r="AF193" s="13">
        <v>1901</v>
      </c>
      <c r="AG193" s="13">
        <v>2008</v>
      </c>
      <c r="AH193" s="13">
        <v>2070</v>
      </c>
      <c r="AI193" s="13">
        <v>2063</v>
      </c>
      <c r="AJ193" s="13">
        <v>2060</v>
      </c>
      <c r="AK193" s="13">
        <v>2191</v>
      </c>
      <c r="AL193" s="13">
        <v>2248</v>
      </c>
      <c r="AM193" s="13">
        <v>2216</v>
      </c>
      <c r="AN193" s="13">
        <v>2147</v>
      </c>
      <c r="AO193" s="13">
        <v>2205</v>
      </c>
      <c r="AP193" s="13">
        <v>2264</v>
      </c>
      <c r="AQ193" s="13">
        <v>2255</v>
      </c>
      <c r="AR193" s="13">
        <v>2297</v>
      </c>
      <c r="AS193" s="13">
        <v>2407</v>
      </c>
      <c r="AT193" s="13">
        <v>2245</v>
      </c>
      <c r="AU193" s="13">
        <v>2135</v>
      </c>
      <c r="AV193" s="13">
        <v>2150</v>
      </c>
      <c r="AW193" s="13">
        <v>2251</v>
      </c>
      <c r="AX193" s="13">
        <v>2363</v>
      </c>
      <c r="AY193" s="13">
        <v>2424</v>
      </c>
      <c r="AZ193" s="13">
        <v>2503</v>
      </c>
      <c r="BA193" s="13">
        <v>2330</v>
      </c>
      <c r="BB193" s="13">
        <v>2449</v>
      </c>
      <c r="BC193" s="13">
        <v>2490</v>
      </c>
      <c r="BD193" s="13">
        <v>2691</v>
      </c>
      <c r="BE193" s="13">
        <v>2571</v>
      </c>
      <c r="BF193" s="13">
        <v>2609</v>
      </c>
      <c r="BG193" s="13">
        <v>2608</v>
      </c>
      <c r="BH193" s="13">
        <v>2769</v>
      </c>
      <c r="BI193" s="13">
        <v>2521</v>
      </c>
      <c r="BJ193" s="13">
        <v>3010</v>
      </c>
      <c r="BK193" s="13">
        <v>2909</v>
      </c>
      <c r="BL193" s="13">
        <v>2703</v>
      </c>
      <c r="BM193" s="4">
        <v>2695</v>
      </c>
      <c r="BN193" s="4">
        <v>2734</v>
      </c>
      <c r="BO193" s="4">
        <v>2517</v>
      </c>
      <c r="BP193" s="4">
        <v>2552</v>
      </c>
    </row>
    <row r="194" spans="1:68" ht="15.9" customHeight="1">
      <c r="A194" s="64" t="s">
        <v>380</v>
      </c>
      <c r="B194" s="6" t="s">
        <v>381</v>
      </c>
      <c r="C194" s="15" t="str">
        <f>_xll.RssMarket("2702","現在値")</f>
        <v/>
      </c>
      <c r="D194" s="16" t="e">
        <f t="shared" si="6"/>
        <v>#VALUE!</v>
      </c>
      <c r="E194" s="13">
        <v>7630</v>
      </c>
      <c r="F194" s="13">
        <v>7580</v>
      </c>
      <c r="G194" s="13">
        <v>7700</v>
      </c>
      <c r="H194" s="13">
        <v>7730</v>
      </c>
      <c r="I194" s="13">
        <v>7680</v>
      </c>
      <c r="J194" s="13">
        <v>7890</v>
      </c>
      <c r="K194" s="13">
        <v>7750</v>
      </c>
      <c r="L194" s="13">
        <v>7640</v>
      </c>
      <c r="M194" s="13">
        <v>7650</v>
      </c>
      <c r="N194" s="13">
        <v>7570</v>
      </c>
      <c r="O194" s="13">
        <v>7340</v>
      </c>
      <c r="P194" s="13">
        <v>7480</v>
      </c>
      <c r="Q194" s="13">
        <v>7580</v>
      </c>
      <c r="R194" s="13">
        <v>7460</v>
      </c>
      <c r="S194" s="13">
        <v>7400</v>
      </c>
      <c r="T194" s="13">
        <v>7250</v>
      </c>
      <c r="U194" s="13">
        <v>7100</v>
      </c>
      <c r="V194" s="13">
        <v>7150</v>
      </c>
      <c r="W194" s="13">
        <v>7240</v>
      </c>
      <c r="X194" s="13">
        <v>7410</v>
      </c>
      <c r="Y194" s="13">
        <v>7380</v>
      </c>
      <c r="Z194" s="13">
        <v>7500</v>
      </c>
      <c r="AA194" s="13">
        <v>7470</v>
      </c>
      <c r="AB194" s="13">
        <v>7280</v>
      </c>
      <c r="AC194" s="13">
        <v>7430</v>
      </c>
      <c r="AD194" s="13">
        <v>7360</v>
      </c>
      <c r="AE194" s="13">
        <v>7310</v>
      </c>
      <c r="AF194" s="13">
        <v>7490</v>
      </c>
      <c r="AG194" s="13">
        <v>7570</v>
      </c>
      <c r="AH194" s="13">
        <v>7750</v>
      </c>
      <c r="AI194" s="13">
        <v>7790</v>
      </c>
      <c r="AJ194" s="13">
        <v>7780</v>
      </c>
      <c r="AK194" s="13">
        <v>7870</v>
      </c>
      <c r="AL194" s="13">
        <v>8080</v>
      </c>
      <c r="AM194" s="13">
        <v>8130</v>
      </c>
      <c r="AN194" s="13">
        <v>7980</v>
      </c>
      <c r="AO194" s="13">
        <v>8070</v>
      </c>
      <c r="AP194" s="13">
        <v>8000</v>
      </c>
      <c r="AQ194" s="13">
        <v>7800</v>
      </c>
      <c r="AR194" s="13">
        <v>8130</v>
      </c>
      <c r="AS194" s="13">
        <v>8330</v>
      </c>
      <c r="AT194" s="13">
        <v>8590</v>
      </c>
      <c r="AU194" s="13">
        <v>7690</v>
      </c>
      <c r="AV194" s="13">
        <v>7740</v>
      </c>
      <c r="AW194" s="13">
        <v>7870</v>
      </c>
      <c r="AX194" s="13">
        <v>8000</v>
      </c>
      <c r="AY194" s="13">
        <v>8130</v>
      </c>
      <c r="AZ194" s="13">
        <v>8120</v>
      </c>
      <c r="BA194" s="13">
        <v>8190</v>
      </c>
      <c r="BB194" s="13">
        <v>8210</v>
      </c>
      <c r="BC194" s="13">
        <v>8100</v>
      </c>
      <c r="BD194" s="13">
        <v>8120</v>
      </c>
      <c r="BE194" s="13">
        <v>8210</v>
      </c>
      <c r="BF194" s="13">
        <v>8250</v>
      </c>
      <c r="BG194" s="13">
        <v>8260</v>
      </c>
      <c r="BH194" s="13">
        <v>8190</v>
      </c>
      <c r="BI194" s="13">
        <v>8200</v>
      </c>
      <c r="BJ194" s="13">
        <v>8240</v>
      </c>
      <c r="BK194" s="13">
        <v>8030</v>
      </c>
      <c r="BL194" s="13">
        <v>8090</v>
      </c>
      <c r="BM194" s="4">
        <v>8240</v>
      </c>
      <c r="BN194" s="4">
        <v>8470</v>
      </c>
      <c r="BO194" s="4">
        <v>8580</v>
      </c>
      <c r="BP194" s="4">
        <v>8580</v>
      </c>
    </row>
    <row r="195" spans="1:68" ht="15.9" customHeight="1">
      <c r="A195" s="64" t="s">
        <v>382</v>
      </c>
      <c r="B195" s="6" t="s">
        <v>383</v>
      </c>
      <c r="C195" s="15" t="str">
        <f>_xll.RssMarket("6890","現在値")</f>
        <v/>
      </c>
      <c r="D195" s="16" t="e">
        <f t="shared" si="6"/>
        <v>#VALUE!</v>
      </c>
      <c r="E195" s="13">
        <v>7010</v>
      </c>
      <c r="F195" s="13">
        <v>8260</v>
      </c>
      <c r="G195" s="13">
        <v>8100</v>
      </c>
      <c r="H195" s="13">
        <v>8430</v>
      </c>
      <c r="I195" s="13">
        <v>9090</v>
      </c>
      <c r="J195" s="13">
        <v>8330</v>
      </c>
      <c r="K195" s="13">
        <v>8150</v>
      </c>
      <c r="L195" s="13">
        <v>8440</v>
      </c>
      <c r="M195" s="13">
        <v>9060</v>
      </c>
      <c r="N195" s="13">
        <v>9280</v>
      </c>
      <c r="O195" s="13">
        <v>8950</v>
      </c>
      <c r="P195" s="13">
        <v>9720</v>
      </c>
      <c r="Q195" s="13">
        <v>9530</v>
      </c>
      <c r="R195" s="13">
        <v>9140</v>
      </c>
      <c r="S195" s="13">
        <v>9460</v>
      </c>
      <c r="T195" s="13">
        <v>10260</v>
      </c>
      <c r="U195" s="13">
        <v>9800</v>
      </c>
      <c r="V195" s="13">
        <v>10590</v>
      </c>
      <c r="W195" s="13">
        <v>11590</v>
      </c>
      <c r="X195" s="13">
        <v>10470</v>
      </c>
      <c r="Y195" s="13">
        <v>9440</v>
      </c>
      <c r="Z195" s="13">
        <v>9300</v>
      </c>
      <c r="AA195" s="13">
        <v>9100</v>
      </c>
      <c r="AB195" s="13">
        <v>7940</v>
      </c>
      <c r="AC195" s="13">
        <v>7880</v>
      </c>
      <c r="AD195" s="13">
        <v>8230</v>
      </c>
      <c r="AE195" s="13">
        <v>9100</v>
      </c>
      <c r="AF195" s="13">
        <v>9020</v>
      </c>
      <c r="AG195" s="13">
        <v>7950</v>
      </c>
      <c r="AH195" s="13">
        <v>8010</v>
      </c>
      <c r="AI195" s="13">
        <v>8120</v>
      </c>
      <c r="AJ195" s="13">
        <v>8690</v>
      </c>
      <c r="AK195" s="13">
        <v>8540</v>
      </c>
      <c r="AL195" s="13">
        <v>8530</v>
      </c>
      <c r="AM195" s="13">
        <v>9220</v>
      </c>
      <c r="AN195" s="13">
        <v>8930</v>
      </c>
      <c r="AO195" s="13">
        <v>8720</v>
      </c>
      <c r="AP195" s="13">
        <v>8760</v>
      </c>
      <c r="AQ195" s="13">
        <v>8550</v>
      </c>
      <c r="AR195" s="13">
        <v>9200</v>
      </c>
      <c r="AS195" s="13">
        <v>9460</v>
      </c>
      <c r="AT195" s="13">
        <v>9800</v>
      </c>
      <c r="AU195" s="13">
        <v>9430</v>
      </c>
      <c r="AV195" s="13">
        <v>9620</v>
      </c>
      <c r="AW195" s="13">
        <v>9610</v>
      </c>
      <c r="AX195" s="13">
        <v>9580</v>
      </c>
      <c r="AY195" s="13">
        <v>9150</v>
      </c>
      <c r="AZ195" s="13">
        <v>8090</v>
      </c>
      <c r="BA195" s="13">
        <v>7530</v>
      </c>
      <c r="BB195" s="13">
        <v>7750</v>
      </c>
      <c r="BC195" s="13">
        <v>7230</v>
      </c>
      <c r="BD195" s="13">
        <v>7480</v>
      </c>
      <c r="BE195" s="13">
        <v>7200</v>
      </c>
      <c r="BF195" s="13">
        <v>7000</v>
      </c>
      <c r="BG195" s="13">
        <v>6810</v>
      </c>
      <c r="BH195" s="13">
        <v>6700</v>
      </c>
      <c r="BI195" s="13">
        <v>6700</v>
      </c>
      <c r="BJ195" s="13">
        <v>6760</v>
      </c>
      <c r="BK195" s="13">
        <v>6760</v>
      </c>
      <c r="BL195" s="13">
        <v>6930</v>
      </c>
      <c r="BM195" s="4">
        <v>6940</v>
      </c>
      <c r="BN195" s="4">
        <v>6980</v>
      </c>
      <c r="BO195" s="4">
        <v>6850</v>
      </c>
      <c r="BP195" s="4">
        <v>6810</v>
      </c>
    </row>
    <row r="196" spans="1:68" ht="15.9" customHeight="1">
      <c r="A196" s="64" t="s">
        <v>384</v>
      </c>
      <c r="B196" s="6" t="s">
        <v>385</v>
      </c>
      <c r="C196" s="15" t="str">
        <f>_xll.RssMarket("4966","現在値")</f>
        <v/>
      </c>
      <c r="D196" s="16" t="e">
        <f t="shared" si="6"/>
        <v>#VALUE!</v>
      </c>
      <c r="E196" s="13">
        <v>23000</v>
      </c>
      <c r="F196" s="13">
        <v>25250</v>
      </c>
      <c r="G196" s="13">
        <v>24020</v>
      </c>
      <c r="H196" s="13">
        <v>23490</v>
      </c>
      <c r="I196" s="13">
        <v>24740</v>
      </c>
      <c r="J196" s="13">
        <v>24250</v>
      </c>
      <c r="K196" s="13">
        <v>23750</v>
      </c>
      <c r="L196" s="13">
        <v>25730</v>
      </c>
      <c r="M196" s="13">
        <v>26630</v>
      </c>
      <c r="N196" s="13">
        <v>25750</v>
      </c>
      <c r="O196" s="13">
        <v>27610</v>
      </c>
      <c r="P196" s="13">
        <v>27440</v>
      </c>
      <c r="Q196" s="13">
        <v>26830</v>
      </c>
      <c r="R196" s="13">
        <v>26930</v>
      </c>
      <c r="S196" s="13">
        <v>27570</v>
      </c>
      <c r="T196" s="13">
        <v>27190</v>
      </c>
      <c r="U196" s="13">
        <v>26950</v>
      </c>
      <c r="V196" s="13">
        <v>28050</v>
      </c>
      <c r="W196" s="13">
        <v>27070</v>
      </c>
      <c r="X196" s="13">
        <v>26340</v>
      </c>
      <c r="Y196" s="13">
        <v>26410</v>
      </c>
      <c r="Z196" s="13">
        <v>24160</v>
      </c>
      <c r="AA196" s="13">
        <v>23150</v>
      </c>
      <c r="AB196" s="13">
        <v>22470</v>
      </c>
      <c r="AC196" s="13">
        <v>21800</v>
      </c>
      <c r="AD196" s="13">
        <v>22740</v>
      </c>
      <c r="AE196" s="13">
        <v>23020</v>
      </c>
      <c r="AF196" s="13">
        <v>23580</v>
      </c>
      <c r="AG196" s="13">
        <v>23160</v>
      </c>
      <c r="AH196" s="13">
        <v>23300</v>
      </c>
      <c r="AI196" s="13">
        <v>23320</v>
      </c>
      <c r="AJ196" s="13">
        <v>23470</v>
      </c>
      <c r="AK196" s="13">
        <v>23780</v>
      </c>
      <c r="AL196" s="13">
        <v>23890</v>
      </c>
      <c r="AM196" s="13">
        <v>24250</v>
      </c>
      <c r="AN196" s="13">
        <v>23440</v>
      </c>
      <c r="AO196" s="13">
        <v>22750</v>
      </c>
      <c r="AP196" s="13">
        <v>22810</v>
      </c>
      <c r="AQ196" s="13">
        <v>23800</v>
      </c>
      <c r="AR196" s="13">
        <v>23990</v>
      </c>
      <c r="AS196" s="13">
        <v>25680</v>
      </c>
      <c r="AT196" s="13">
        <v>24970</v>
      </c>
      <c r="AU196" s="13">
        <v>24600</v>
      </c>
      <c r="AV196" s="13">
        <v>23830</v>
      </c>
      <c r="AW196" s="13">
        <v>23710</v>
      </c>
      <c r="AX196" s="13">
        <v>23800</v>
      </c>
      <c r="AY196" s="13">
        <v>22600</v>
      </c>
      <c r="AZ196" s="13">
        <v>23440</v>
      </c>
      <c r="BA196" s="13">
        <v>23320</v>
      </c>
      <c r="BB196" s="13">
        <v>23270</v>
      </c>
      <c r="BC196" s="13">
        <v>23320</v>
      </c>
      <c r="BD196" s="13">
        <v>23060</v>
      </c>
      <c r="BE196" s="13">
        <v>23410</v>
      </c>
      <c r="BF196" s="13">
        <v>23020</v>
      </c>
      <c r="BG196" s="13">
        <v>22810</v>
      </c>
      <c r="BH196" s="13">
        <v>23140</v>
      </c>
      <c r="BI196" s="13">
        <v>23680</v>
      </c>
      <c r="BJ196" s="13">
        <v>23980</v>
      </c>
      <c r="BK196" s="13">
        <v>24000</v>
      </c>
      <c r="BL196" s="13">
        <v>23230</v>
      </c>
      <c r="BM196" s="4">
        <v>22960</v>
      </c>
      <c r="BN196" s="4">
        <v>22670</v>
      </c>
      <c r="BO196" s="4">
        <v>22650</v>
      </c>
      <c r="BP196" s="4">
        <v>21010</v>
      </c>
    </row>
    <row r="197" spans="1:68" ht="15.9" customHeight="1">
      <c r="A197" s="64" t="s">
        <v>386</v>
      </c>
      <c r="B197" s="6" t="s">
        <v>387</v>
      </c>
      <c r="C197" s="15" t="str">
        <f>_xll.RssMarket("6146","現在値")</f>
        <v/>
      </c>
      <c r="D197" s="16" t="e">
        <f t="shared" si="6"/>
        <v>#VALUE!</v>
      </c>
      <c r="E197" s="13">
        <v>64780</v>
      </c>
      <c r="F197" s="13">
        <v>73550</v>
      </c>
      <c r="G197" s="13">
        <v>71650</v>
      </c>
      <c r="H197" s="13">
        <v>70870</v>
      </c>
      <c r="I197" s="13">
        <v>72560</v>
      </c>
      <c r="J197" s="13">
        <v>71510</v>
      </c>
      <c r="K197" s="13">
        <v>68230</v>
      </c>
      <c r="L197" s="13">
        <v>78000</v>
      </c>
      <c r="M197" s="13">
        <v>76590</v>
      </c>
      <c r="N197" s="13">
        <v>76860</v>
      </c>
      <c r="O197" s="13">
        <v>84520</v>
      </c>
      <c r="P197" s="13">
        <v>81260</v>
      </c>
      <c r="Q197" s="13">
        <v>79550</v>
      </c>
      <c r="R197" s="13">
        <v>78510</v>
      </c>
      <c r="S197" s="13">
        <v>85970</v>
      </c>
      <c r="T197" s="13">
        <v>79740</v>
      </c>
      <c r="U197" s="13">
        <v>82870</v>
      </c>
      <c r="V197" s="13">
        <v>88480</v>
      </c>
      <c r="W197" s="13">
        <v>84900</v>
      </c>
      <c r="X197" s="13">
        <v>83700</v>
      </c>
      <c r="Y197" s="13">
        <v>81550</v>
      </c>
      <c r="Z197" s="13">
        <v>85250</v>
      </c>
      <c r="AA197" s="13">
        <v>79900</v>
      </c>
      <c r="AB197" s="13">
        <v>70030</v>
      </c>
      <c r="AC197" s="13">
        <v>70060</v>
      </c>
      <c r="AD197" s="13">
        <v>67480</v>
      </c>
      <c r="AE197" s="13">
        <v>72580</v>
      </c>
      <c r="AF197" s="13">
        <v>72210</v>
      </c>
      <c r="AG197" s="13">
        <v>68710</v>
      </c>
      <c r="AH197" s="13">
        <v>64200</v>
      </c>
      <c r="AI197" s="13">
        <v>63760</v>
      </c>
      <c r="AJ197" s="13">
        <v>65090</v>
      </c>
      <c r="AK197" s="13">
        <v>66350</v>
      </c>
      <c r="AL197" s="13">
        <v>67630</v>
      </c>
      <c r="AM197" s="13">
        <v>69780</v>
      </c>
      <c r="AN197" s="13">
        <v>65860</v>
      </c>
      <c r="AO197" s="13">
        <v>65650</v>
      </c>
      <c r="AP197" s="13">
        <v>61340</v>
      </c>
      <c r="AQ197" s="13">
        <v>61600</v>
      </c>
      <c r="AR197" s="13">
        <v>63500</v>
      </c>
      <c r="AS197" s="13">
        <v>64900</v>
      </c>
      <c r="AT197" s="13">
        <v>70000</v>
      </c>
      <c r="AU197" s="13">
        <v>72840</v>
      </c>
      <c r="AV197" s="13">
        <v>72800</v>
      </c>
      <c r="AW197" s="13">
        <v>73380</v>
      </c>
      <c r="AX197" s="13">
        <v>75000</v>
      </c>
      <c r="AY197" s="13">
        <v>76590</v>
      </c>
      <c r="AZ197" s="13">
        <v>72250</v>
      </c>
      <c r="BA197" s="13">
        <v>74010</v>
      </c>
      <c r="BB197" s="13">
        <v>76440</v>
      </c>
      <c r="BC197" s="13">
        <v>76030</v>
      </c>
      <c r="BD197" s="13">
        <v>71700</v>
      </c>
      <c r="BE197" s="13">
        <v>72000</v>
      </c>
      <c r="BF197" s="13">
        <v>74830</v>
      </c>
      <c r="BG197" s="13">
        <v>74240</v>
      </c>
      <c r="BH197" s="13">
        <v>72950</v>
      </c>
      <c r="BI197" s="13">
        <v>72900</v>
      </c>
      <c r="BJ197" s="13">
        <v>73030</v>
      </c>
      <c r="BK197" s="13">
        <v>70580</v>
      </c>
      <c r="BL197" s="13">
        <v>71630</v>
      </c>
      <c r="BM197" s="4">
        <v>67370</v>
      </c>
      <c r="BN197" s="4">
        <v>66890</v>
      </c>
      <c r="BO197" s="4">
        <v>64600</v>
      </c>
      <c r="BP197" s="4">
        <v>67450</v>
      </c>
    </row>
    <row r="198" spans="1:68" ht="15.9" customHeight="1">
      <c r="A198" s="64" t="s">
        <v>388</v>
      </c>
      <c r="B198" s="6" t="s">
        <v>389</v>
      </c>
      <c r="C198" s="15" t="str">
        <f>_xll.RssMarket("8035","現在値")</f>
        <v/>
      </c>
      <c r="D198" s="16" t="e">
        <f t="shared" si="6"/>
        <v>#VALUE!</v>
      </c>
      <c r="E198" s="13">
        <v>65100</v>
      </c>
      <c r="F198" s="13">
        <v>74240</v>
      </c>
      <c r="G198" s="13">
        <v>71130</v>
      </c>
      <c r="H198" s="13">
        <v>71300</v>
      </c>
      <c r="I198" s="13">
        <v>72940</v>
      </c>
      <c r="J198" s="13">
        <v>71060</v>
      </c>
      <c r="K198" s="13">
        <v>67350</v>
      </c>
      <c r="L198" s="13">
        <v>72320</v>
      </c>
      <c r="M198" s="13">
        <v>73200</v>
      </c>
      <c r="N198" s="13">
        <v>72940</v>
      </c>
      <c r="O198" s="13">
        <v>78800</v>
      </c>
      <c r="P198" s="13">
        <v>77150</v>
      </c>
      <c r="Q198" s="13">
        <v>74700</v>
      </c>
      <c r="R198" s="13">
        <v>72920</v>
      </c>
      <c r="S198" s="13">
        <v>75340</v>
      </c>
      <c r="T198" s="13">
        <v>69900</v>
      </c>
      <c r="U198" s="13">
        <v>72960</v>
      </c>
      <c r="V198" s="13">
        <v>77800</v>
      </c>
      <c r="W198" s="13">
        <v>75360</v>
      </c>
      <c r="X198" s="13">
        <v>72640</v>
      </c>
      <c r="Y198" s="13">
        <v>70860</v>
      </c>
      <c r="Z198" s="13">
        <v>68000</v>
      </c>
      <c r="AA198" s="13">
        <v>63400</v>
      </c>
      <c r="AB198" s="13">
        <v>61830</v>
      </c>
      <c r="AC198" s="13">
        <v>55020</v>
      </c>
      <c r="AD198" s="13">
        <v>59450</v>
      </c>
      <c r="AE198" s="13">
        <v>63660</v>
      </c>
      <c r="AF198" s="13">
        <v>60900</v>
      </c>
      <c r="AG198" s="13">
        <v>53710</v>
      </c>
      <c r="AH198" s="13">
        <v>53060</v>
      </c>
      <c r="AI198" s="13">
        <v>52420</v>
      </c>
      <c r="AJ198" s="13">
        <v>52320</v>
      </c>
      <c r="AK198" s="13">
        <v>52500</v>
      </c>
      <c r="AL198" s="13">
        <v>52180</v>
      </c>
      <c r="AM198" s="13">
        <v>49830</v>
      </c>
      <c r="AN198" s="13">
        <v>48800</v>
      </c>
      <c r="AO198" s="13">
        <v>46100</v>
      </c>
      <c r="AP198" s="13">
        <v>47160</v>
      </c>
      <c r="AQ198" s="13">
        <v>49260</v>
      </c>
      <c r="AR198" s="13">
        <v>50290</v>
      </c>
      <c r="AS198" s="13">
        <v>51200</v>
      </c>
      <c r="AT198" s="13">
        <v>51340</v>
      </c>
      <c r="AU198" s="13">
        <v>52160</v>
      </c>
      <c r="AV198" s="13">
        <v>52080</v>
      </c>
      <c r="AW198" s="13">
        <v>52450</v>
      </c>
      <c r="AX198" s="13">
        <v>51720</v>
      </c>
      <c r="AY198" s="13">
        <v>47450</v>
      </c>
      <c r="AZ198" s="13">
        <v>44390</v>
      </c>
      <c r="BA198" s="13">
        <v>45150</v>
      </c>
      <c r="BB198" s="13">
        <v>47100</v>
      </c>
      <c r="BC198" s="13">
        <v>45850</v>
      </c>
      <c r="BD198" s="13">
        <v>45480</v>
      </c>
      <c r="BE198" s="13">
        <v>45500</v>
      </c>
      <c r="BF198" s="13">
        <v>45780</v>
      </c>
      <c r="BG198" s="13">
        <v>44250</v>
      </c>
      <c r="BH198" s="13">
        <v>44010</v>
      </c>
      <c r="BI198" s="13">
        <v>45820</v>
      </c>
      <c r="BJ198" s="13">
        <v>43500</v>
      </c>
      <c r="BK198" s="13">
        <v>43700</v>
      </c>
      <c r="BL198" s="13">
        <v>42460</v>
      </c>
      <c r="BM198" s="4">
        <v>44040</v>
      </c>
      <c r="BN198" s="4">
        <v>42190</v>
      </c>
      <c r="BO198" s="4">
        <v>42410</v>
      </c>
      <c r="BP198" s="4">
        <v>38440</v>
      </c>
    </row>
    <row r="199" spans="1:68" ht="15.9" customHeight="1">
      <c r="A199" s="64" t="s">
        <v>390</v>
      </c>
      <c r="B199" s="6" t="s">
        <v>391</v>
      </c>
      <c r="C199" s="15" t="str">
        <f>_xll.RssMarket("6920","現在値")</f>
        <v/>
      </c>
      <c r="D199" s="16" t="e">
        <f t="shared" si="6"/>
        <v>#VALUE!</v>
      </c>
      <c r="E199" s="13">
        <v>41890</v>
      </c>
      <c r="F199" s="13">
        <v>49690</v>
      </c>
      <c r="G199" s="13">
        <v>45100</v>
      </c>
      <c r="H199" s="13">
        <v>44770</v>
      </c>
      <c r="I199" s="13">
        <v>44380</v>
      </c>
      <c r="J199" s="13">
        <v>43020</v>
      </c>
      <c r="K199" s="13">
        <v>42000</v>
      </c>
      <c r="L199" s="13">
        <v>47040</v>
      </c>
      <c r="M199" s="13">
        <v>47650</v>
      </c>
      <c r="N199" s="13">
        <v>47740</v>
      </c>
      <c r="O199" s="13">
        <v>50790</v>
      </c>
      <c r="P199" s="13">
        <v>49700</v>
      </c>
      <c r="Q199" s="13">
        <v>49200</v>
      </c>
      <c r="R199" s="13">
        <v>50000</v>
      </c>
      <c r="S199" s="13">
        <v>53180</v>
      </c>
      <c r="T199" s="13">
        <v>50610</v>
      </c>
      <c r="U199" s="13">
        <v>52000</v>
      </c>
      <c r="V199" s="13">
        <v>57490</v>
      </c>
      <c r="W199" s="13">
        <v>55100</v>
      </c>
      <c r="X199" s="13">
        <v>52700</v>
      </c>
      <c r="Y199" s="13">
        <v>46570</v>
      </c>
      <c r="Z199" s="13">
        <v>48300</v>
      </c>
      <c r="AA199" s="13">
        <v>44000</v>
      </c>
      <c r="AB199" s="13">
        <v>40200</v>
      </c>
      <c r="AC199" s="13">
        <v>40650</v>
      </c>
      <c r="AD199" s="13">
        <v>39100</v>
      </c>
      <c r="AE199" s="13">
        <v>42180</v>
      </c>
      <c r="AF199" s="13">
        <v>42750</v>
      </c>
      <c r="AG199" s="13">
        <v>41770</v>
      </c>
      <c r="AH199" s="13">
        <v>39250</v>
      </c>
      <c r="AI199" s="13">
        <v>38380</v>
      </c>
      <c r="AJ199" s="13">
        <v>40130</v>
      </c>
      <c r="AK199" s="13">
        <v>40110</v>
      </c>
      <c r="AL199" s="13">
        <v>41530</v>
      </c>
      <c r="AM199" s="13">
        <v>43020</v>
      </c>
      <c r="AN199" s="13">
        <v>38130</v>
      </c>
      <c r="AO199" s="13">
        <v>38060</v>
      </c>
      <c r="AP199" s="13">
        <v>35650</v>
      </c>
      <c r="AQ199" s="13">
        <v>36060</v>
      </c>
      <c r="AR199" s="13">
        <v>38190</v>
      </c>
      <c r="AS199" s="13">
        <v>38410</v>
      </c>
      <c r="AT199" s="13">
        <v>40560</v>
      </c>
      <c r="AU199" s="13">
        <v>42490</v>
      </c>
      <c r="AV199" s="13">
        <v>43490</v>
      </c>
      <c r="AW199" s="13">
        <v>44110</v>
      </c>
      <c r="AX199" s="13">
        <v>43770</v>
      </c>
      <c r="AY199" s="13">
        <v>44920</v>
      </c>
      <c r="AZ199" s="13">
        <v>42930</v>
      </c>
      <c r="BA199" s="13">
        <v>42690</v>
      </c>
      <c r="BB199" s="13">
        <v>44330</v>
      </c>
      <c r="BC199" s="13">
        <v>45770</v>
      </c>
      <c r="BD199" s="13">
        <v>45060</v>
      </c>
      <c r="BE199" s="13">
        <v>43400</v>
      </c>
      <c r="BF199" s="13">
        <v>44800</v>
      </c>
      <c r="BG199" s="13">
        <v>44520</v>
      </c>
      <c r="BH199" s="13">
        <v>42120</v>
      </c>
      <c r="BI199" s="13">
        <v>39950</v>
      </c>
      <c r="BJ199" s="13">
        <v>42020</v>
      </c>
      <c r="BK199" s="13">
        <v>41370</v>
      </c>
      <c r="BL199" s="13">
        <v>42800</v>
      </c>
      <c r="BM199" s="4">
        <v>41230</v>
      </c>
      <c r="BN199" s="4">
        <v>41580</v>
      </c>
      <c r="BO199" s="4">
        <v>38700</v>
      </c>
      <c r="BP199" s="4">
        <v>39940</v>
      </c>
    </row>
    <row r="200" spans="1:68" ht="15.9" customHeight="1">
      <c r="A200" s="64" t="s">
        <v>392</v>
      </c>
      <c r="B200" s="6" t="s">
        <v>393</v>
      </c>
      <c r="C200" s="15" t="str">
        <f>_xll.RssMarket("5801","現在値")</f>
        <v/>
      </c>
      <c r="D200" s="16" t="e">
        <f t="shared" si="6"/>
        <v>#VALUE!</v>
      </c>
      <c r="E200" s="13">
        <v>3262</v>
      </c>
      <c r="F200" s="13">
        <v>3766</v>
      </c>
      <c r="G200" s="13">
        <v>3520</v>
      </c>
      <c r="H200" s="13">
        <v>3589</v>
      </c>
      <c r="I200" s="13">
        <v>3725</v>
      </c>
      <c r="J200" s="13">
        <v>3543</v>
      </c>
      <c r="K200" s="13">
        <v>3541</v>
      </c>
      <c r="L200" s="13">
        <v>3888</v>
      </c>
      <c r="M200" s="13">
        <v>4000</v>
      </c>
      <c r="N200" s="13">
        <v>3976</v>
      </c>
      <c r="O200" s="13">
        <v>4351</v>
      </c>
      <c r="P200" s="13">
        <v>4730</v>
      </c>
      <c r="Q200" s="13">
        <v>4419</v>
      </c>
      <c r="R200" s="13">
        <v>45280</v>
      </c>
      <c r="S200" s="13">
        <v>49920</v>
      </c>
      <c r="T200" s="13">
        <v>48030</v>
      </c>
      <c r="U200" s="13">
        <v>49000</v>
      </c>
      <c r="V200" s="13">
        <v>58000</v>
      </c>
      <c r="W200" s="13">
        <v>53360</v>
      </c>
      <c r="X200" s="13">
        <v>47440</v>
      </c>
      <c r="Y200" s="13">
        <v>46130</v>
      </c>
      <c r="Z200" s="13">
        <v>42090</v>
      </c>
      <c r="AA200" s="13">
        <v>40780</v>
      </c>
      <c r="AB200" s="13">
        <v>41040</v>
      </c>
      <c r="AC200" s="13">
        <v>45260</v>
      </c>
      <c r="AD200" s="13">
        <v>49050</v>
      </c>
      <c r="AE200" s="13">
        <v>51100</v>
      </c>
      <c r="AF200" s="13">
        <v>53100</v>
      </c>
      <c r="AG200" s="13">
        <v>50910</v>
      </c>
      <c r="AH200" s="13">
        <v>52130</v>
      </c>
      <c r="AI200" s="13">
        <v>52060</v>
      </c>
      <c r="AJ200" s="13">
        <v>52000</v>
      </c>
      <c r="AK200" s="13">
        <v>56110</v>
      </c>
      <c r="AL200" s="13">
        <v>58080</v>
      </c>
      <c r="AM200" s="13">
        <v>53650</v>
      </c>
      <c r="AN200" s="13">
        <v>49280</v>
      </c>
      <c r="AO200" s="13">
        <v>50860</v>
      </c>
      <c r="AP200" s="13">
        <v>50250</v>
      </c>
      <c r="AQ200" s="13">
        <v>54840</v>
      </c>
      <c r="AR200" s="13">
        <v>54480</v>
      </c>
      <c r="AS200" s="13">
        <v>57220</v>
      </c>
      <c r="AT200" s="13">
        <v>58130</v>
      </c>
      <c r="AU200" s="13">
        <v>50430</v>
      </c>
      <c r="AV200" s="13">
        <v>43430</v>
      </c>
      <c r="AW200" s="13">
        <v>44870</v>
      </c>
      <c r="AX200" s="13">
        <v>46300</v>
      </c>
      <c r="AY200" s="13">
        <v>41190</v>
      </c>
      <c r="AZ200" s="13">
        <v>42370</v>
      </c>
      <c r="BA200" s="13">
        <v>42900</v>
      </c>
      <c r="BB200" s="13">
        <v>42620</v>
      </c>
      <c r="BC200" s="13">
        <v>42950</v>
      </c>
      <c r="BD200" s="13">
        <v>42530</v>
      </c>
      <c r="BE200" s="13">
        <v>44050</v>
      </c>
      <c r="BF200" s="13">
        <v>44260</v>
      </c>
      <c r="BG200" s="13">
        <v>43070</v>
      </c>
      <c r="BH200" s="13">
        <v>44960</v>
      </c>
      <c r="BI200" s="13">
        <v>45720</v>
      </c>
      <c r="BJ200" s="13">
        <v>44240</v>
      </c>
      <c r="BK200" s="13">
        <v>46880</v>
      </c>
      <c r="BL200" s="13">
        <v>45310</v>
      </c>
      <c r="BM200" s="4">
        <v>45800</v>
      </c>
      <c r="BN200" s="4">
        <v>44640</v>
      </c>
      <c r="BO200" s="4">
        <v>42940</v>
      </c>
      <c r="BP200" s="4">
        <v>36510</v>
      </c>
    </row>
    <row r="201" spans="1:68" ht="15.9" customHeight="1">
      <c r="A201" s="64" t="s">
        <v>394</v>
      </c>
      <c r="B201" s="6" t="s">
        <v>395</v>
      </c>
      <c r="C201" s="15" t="str">
        <f>_xll.RssMarket("6506","現在値")</f>
        <v/>
      </c>
      <c r="D201" s="16" t="e">
        <f t="shared" si="6"/>
        <v>#VALUE!</v>
      </c>
      <c r="E201" s="13">
        <v>5116</v>
      </c>
      <c r="F201" s="13">
        <v>5490</v>
      </c>
      <c r="G201" s="13">
        <v>5436</v>
      </c>
      <c r="H201" s="13">
        <v>5972</v>
      </c>
      <c r="I201" s="13">
        <v>6972</v>
      </c>
      <c r="J201" s="13">
        <v>6816</v>
      </c>
      <c r="K201" s="13">
        <v>6636</v>
      </c>
      <c r="L201" s="13">
        <v>7449</v>
      </c>
      <c r="M201" s="13">
        <v>7479</v>
      </c>
      <c r="N201" s="13">
        <v>6942</v>
      </c>
      <c r="O201" s="13">
        <v>7302</v>
      </c>
      <c r="P201" s="13">
        <v>7027</v>
      </c>
      <c r="Q201" s="13">
        <v>6902</v>
      </c>
      <c r="R201" s="13">
        <v>6810</v>
      </c>
      <c r="S201" s="13">
        <v>7223</v>
      </c>
      <c r="T201" s="13">
        <v>7071</v>
      </c>
      <c r="U201" s="13">
        <v>7156</v>
      </c>
      <c r="V201" s="13">
        <v>7655</v>
      </c>
      <c r="W201" s="13">
        <v>7128</v>
      </c>
      <c r="X201" s="13">
        <v>7046</v>
      </c>
      <c r="Y201" s="13">
        <v>6845</v>
      </c>
      <c r="Z201" s="13">
        <v>6335</v>
      </c>
      <c r="AA201" s="13">
        <v>6016</v>
      </c>
      <c r="AB201" s="13">
        <v>5988</v>
      </c>
      <c r="AC201" s="13">
        <v>6425</v>
      </c>
      <c r="AD201" s="13">
        <v>6862</v>
      </c>
      <c r="AE201" s="13">
        <v>6942</v>
      </c>
      <c r="AF201" s="13">
        <v>7152</v>
      </c>
      <c r="AG201" s="13">
        <v>6622</v>
      </c>
      <c r="AH201" s="13">
        <v>7140</v>
      </c>
      <c r="AI201" s="13">
        <v>7208</v>
      </c>
      <c r="AJ201" s="13">
        <v>7136</v>
      </c>
      <c r="AK201" s="13">
        <v>7107</v>
      </c>
      <c r="AL201" s="13">
        <v>7481</v>
      </c>
      <c r="AM201" s="13">
        <v>7052</v>
      </c>
      <c r="AN201" s="13">
        <v>6698</v>
      </c>
      <c r="AO201" s="13">
        <v>6076</v>
      </c>
      <c r="AP201" s="13">
        <v>6338</v>
      </c>
      <c r="AQ201" s="13">
        <v>6682</v>
      </c>
      <c r="AR201" s="13">
        <v>6987</v>
      </c>
      <c r="AS201" s="13">
        <v>7006</v>
      </c>
      <c r="AT201" s="13">
        <v>6980</v>
      </c>
      <c r="AU201" s="13">
        <v>6970</v>
      </c>
      <c r="AV201" s="13">
        <v>6574</v>
      </c>
      <c r="AW201" s="13">
        <v>6367</v>
      </c>
      <c r="AX201" s="13">
        <v>5973</v>
      </c>
      <c r="AY201" s="13">
        <v>5521</v>
      </c>
      <c r="AZ201" s="13">
        <v>5520</v>
      </c>
      <c r="BA201" s="13">
        <v>5381</v>
      </c>
      <c r="BB201" s="13">
        <v>5462</v>
      </c>
      <c r="BC201" s="13">
        <v>5150</v>
      </c>
      <c r="BD201" s="13">
        <v>5151</v>
      </c>
      <c r="BE201" s="13">
        <v>5356</v>
      </c>
      <c r="BF201" s="13">
        <v>5495</v>
      </c>
      <c r="BG201" s="13">
        <v>5420</v>
      </c>
      <c r="BH201" s="13">
        <v>5187</v>
      </c>
      <c r="BI201" s="13">
        <v>5288</v>
      </c>
      <c r="BJ201" s="13">
        <v>5277</v>
      </c>
      <c r="BK201" s="13">
        <v>5151</v>
      </c>
      <c r="BL201" s="13">
        <v>5239</v>
      </c>
      <c r="BM201" s="4">
        <v>4894</v>
      </c>
      <c r="BN201" s="4">
        <v>4674</v>
      </c>
      <c r="BO201" s="4">
        <v>4659</v>
      </c>
      <c r="BP201" s="4">
        <v>4338</v>
      </c>
    </row>
    <row r="202" spans="1:68" ht="15.9" customHeight="1">
      <c r="A202" s="64" t="s">
        <v>396</v>
      </c>
      <c r="B202" s="6" t="s">
        <v>397</v>
      </c>
      <c r="C202" s="15" t="str">
        <f>_xll.RssMarket("2768","現在値")</f>
        <v/>
      </c>
      <c r="D202" s="16" t="e">
        <f t="shared" si="6"/>
        <v>#VALUE!</v>
      </c>
      <c r="E202" s="13">
        <v>5072</v>
      </c>
      <c r="F202" s="13">
        <v>5220</v>
      </c>
      <c r="G202" s="13">
        <v>5120</v>
      </c>
      <c r="H202" s="13">
        <v>5054</v>
      </c>
      <c r="I202" s="13">
        <v>5100</v>
      </c>
      <c r="J202" s="13">
        <v>5147</v>
      </c>
      <c r="K202" s="13">
        <v>5199</v>
      </c>
      <c r="L202" s="13">
        <v>5326</v>
      </c>
      <c r="M202" s="13">
        <v>5227</v>
      </c>
      <c r="N202" s="13">
        <v>5206</v>
      </c>
      <c r="O202" s="13">
        <v>5159</v>
      </c>
      <c r="P202" s="13">
        <v>5171</v>
      </c>
      <c r="Q202" s="13">
        <v>5225</v>
      </c>
      <c r="R202" s="13">
        <v>5283</v>
      </c>
      <c r="S202" s="13">
        <v>5235</v>
      </c>
      <c r="T202" s="13">
        <v>5187</v>
      </c>
      <c r="U202" s="13">
        <v>5296</v>
      </c>
      <c r="V202" s="13">
        <v>5297</v>
      </c>
      <c r="W202" s="13">
        <v>5296</v>
      </c>
      <c r="X202" s="13">
        <v>5291</v>
      </c>
      <c r="Y202" s="13">
        <v>5081</v>
      </c>
      <c r="Z202" s="13">
        <v>5028</v>
      </c>
      <c r="AA202" s="13">
        <v>5089</v>
      </c>
      <c r="AB202" s="13">
        <v>5092</v>
      </c>
      <c r="AC202" s="13">
        <v>5191</v>
      </c>
      <c r="AD202" s="13">
        <v>5155</v>
      </c>
      <c r="AE202" s="13">
        <v>5157</v>
      </c>
      <c r="AF202" s="13">
        <v>5121</v>
      </c>
      <c r="AG202" s="13">
        <v>5143</v>
      </c>
      <c r="AH202" s="13">
        <v>5391</v>
      </c>
      <c r="AI202" s="13">
        <v>5427</v>
      </c>
      <c r="AJ202" s="13">
        <v>5510</v>
      </c>
      <c r="AK202" s="13">
        <v>5594</v>
      </c>
      <c r="AL202" s="13">
        <v>5550</v>
      </c>
      <c r="AM202" s="13">
        <v>5564</v>
      </c>
      <c r="AN202" s="13">
        <v>5533</v>
      </c>
      <c r="AO202" s="13">
        <v>5709</v>
      </c>
      <c r="AP202" s="13">
        <v>5696</v>
      </c>
      <c r="AQ202" s="13">
        <v>5914</v>
      </c>
      <c r="AR202" s="13">
        <v>5863</v>
      </c>
      <c r="AS202" s="13">
        <v>5926</v>
      </c>
      <c r="AT202" s="13">
        <v>5855</v>
      </c>
      <c r="AU202" s="13">
        <v>5726</v>
      </c>
      <c r="AV202" s="13">
        <v>5690</v>
      </c>
      <c r="AW202" s="13">
        <v>5909</v>
      </c>
      <c r="AX202" s="13">
        <v>6218</v>
      </c>
      <c r="AY202" s="13">
        <v>5860</v>
      </c>
      <c r="AZ202" s="13">
        <v>5971</v>
      </c>
      <c r="BA202" s="13">
        <v>5825</v>
      </c>
      <c r="BB202" s="13">
        <v>5914</v>
      </c>
      <c r="BC202" s="13">
        <v>5885</v>
      </c>
      <c r="BD202" s="13">
        <v>5902</v>
      </c>
      <c r="BE202" s="13">
        <v>6070</v>
      </c>
      <c r="BF202" s="13">
        <v>6043</v>
      </c>
      <c r="BG202" s="13">
        <v>6091</v>
      </c>
      <c r="BH202" s="13">
        <v>6254</v>
      </c>
      <c r="BI202" s="13">
        <v>6146</v>
      </c>
      <c r="BJ202" s="13">
        <v>6235</v>
      </c>
      <c r="BK202" s="13">
        <v>6358</v>
      </c>
      <c r="BL202" s="13">
        <v>6383</v>
      </c>
      <c r="BM202" s="4">
        <v>6454</v>
      </c>
      <c r="BN202" s="4">
        <v>6603</v>
      </c>
      <c r="BO202" s="4">
        <v>6402</v>
      </c>
      <c r="BP202" s="4">
        <v>6373</v>
      </c>
    </row>
    <row r="203" spans="1:68" ht="15.9" customHeight="1">
      <c r="A203" s="64" t="s">
        <v>398</v>
      </c>
      <c r="B203" s="6" t="s">
        <v>399</v>
      </c>
      <c r="C203" s="15" t="str">
        <f>_xll.RssMarket("6305","現在値")</f>
        <v/>
      </c>
      <c r="D203" s="16" t="e">
        <f t="shared" si="6"/>
        <v>#VALUE!</v>
      </c>
      <c r="E203" s="13">
        <v>5114</v>
      </c>
      <c r="F203" s="13">
        <v>5249</v>
      </c>
      <c r="G203" s="13">
        <v>5229</v>
      </c>
      <c r="H203" s="13">
        <v>5181</v>
      </c>
      <c r="I203" s="13">
        <v>5247</v>
      </c>
      <c r="J203" s="13">
        <v>5228</v>
      </c>
      <c r="K203" s="13">
        <v>5293</v>
      </c>
      <c r="L203" s="13">
        <v>5453</v>
      </c>
      <c r="M203" s="13">
        <v>5352</v>
      </c>
      <c r="N203" s="13">
        <v>5206</v>
      </c>
      <c r="O203" s="13">
        <v>5254</v>
      </c>
      <c r="P203" s="13">
        <v>5271</v>
      </c>
      <c r="Q203" s="13">
        <v>5347</v>
      </c>
      <c r="R203" s="13">
        <v>5281</v>
      </c>
      <c r="S203" s="13">
        <v>5287</v>
      </c>
      <c r="T203" s="13">
        <v>5330</v>
      </c>
      <c r="U203" s="13">
        <v>5414</v>
      </c>
      <c r="V203" s="13">
        <v>5408</v>
      </c>
      <c r="W203" s="13">
        <v>5417</v>
      </c>
      <c r="X203" s="13">
        <v>5419</v>
      </c>
      <c r="Y203" s="13">
        <v>5303</v>
      </c>
      <c r="Z203" s="13">
        <v>5150</v>
      </c>
      <c r="AA203" s="13">
        <v>5267</v>
      </c>
      <c r="AB203" s="13">
        <v>5247</v>
      </c>
      <c r="AC203" s="13">
        <v>5415</v>
      </c>
      <c r="AD203" s="13">
        <v>5339</v>
      </c>
      <c r="AE203" s="13">
        <v>5385</v>
      </c>
      <c r="AF203" s="13">
        <v>5094</v>
      </c>
      <c r="AG203" s="13">
        <v>5100</v>
      </c>
      <c r="AH203" s="13">
        <v>5199</v>
      </c>
      <c r="AI203" s="13">
        <v>5228</v>
      </c>
      <c r="AJ203" s="13">
        <v>5222</v>
      </c>
      <c r="AK203" s="13">
        <v>5049</v>
      </c>
      <c r="AL203" s="13">
        <v>4982</v>
      </c>
      <c r="AM203" s="13">
        <v>4987</v>
      </c>
      <c r="AN203" s="13">
        <v>4912</v>
      </c>
      <c r="AO203" s="13">
        <v>5056</v>
      </c>
      <c r="AP203" s="13">
        <v>5052</v>
      </c>
      <c r="AQ203" s="13">
        <v>5226</v>
      </c>
      <c r="AR203" s="13">
        <v>5301</v>
      </c>
      <c r="AS203" s="13">
        <v>5290</v>
      </c>
      <c r="AT203" s="13">
        <v>5443</v>
      </c>
      <c r="AU203" s="13">
        <v>5674</v>
      </c>
      <c r="AV203" s="13">
        <v>5679</v>
      </c>
      <c r="AW203" s="13">
        <v>5521</v>
      </c>
      <c r="AX203" s="13">
        <v>5541</v>
      </c>
      <c r="AY203" s="13">
        <v>5472</v>
      </c>
      <c r="AZ203" s="13">
        <v>5644</v>
      </c>
      <c r="BA203" s="13">
        <v>5432</v>
      </c>
      <c r="BB203" s="13">
        <v>5443</v>
      </c>
      <c r="BC203" s="13">
        <v>5490</v>
      </c>
      <c r="BD203" s="13">
        <v>5388</v>
      </c>
      <c r="BE203" s="13">
        <v>5497</v>
      </c>
      <c r="BF203" s="13">
        <v>5430</v>
      </c>
      <c r="BG203" s="13">
        <v>5365</v>
      </c>
      <c r="BH203" s="13">
        <v>5550</v>
      </c>
      <c r="BI203" s="13">
        <v>5683</v>
      </c>
      <c r="BJ203" s="13">
        <v>5640</v>
      </c>
      <c r="BK203" s="13">
        <v>5658</v>
      </c>
      <c r="BL203" s="13">
        <v>5707</v>
      </c>
      <c r="BM203" s="4">
        <v>5693</v>
      </c>
      <c r="BN203" s="4">
        <v>5707</v>
      </c>
      <c r="BO203" s="4">
        <v>5317</v>
      </c>
      <c r="BP203" s="4">
        <v>5379</v>
      </c>
    </row>
    <row r="204" spans="1:68" ht="15.9" customHeight="1">
      <c r="A204" s="64" t="s">
        <v>400</v>
      </c>
      <c r="B204" s="6" t="s">
        <v>401</v>
      </c>
      <c r="C204" s="15" t="str">
        <f>_xll.RssMarket("8015","現在値")</f>
        <v/>
      </c>
      <c r="D204" s="16" t="e">
        <f t="shared" si="6"/>
        <v>#VALUE!</v>
      </c>
      <c r="E204" s="13">
        <v>6076</v>
      </c>
      <c r="F204" s="13">
        <v>6223</v>
      </c>
      <c r="G204" s="13">
        <v>6065</v>
      </c>
      <c r="H204" s="13">
        <v>6054</v>
      </c>
      <c r="I204" s="13">
        <v>6034</v>
      </c>
      <c r="J204" s="13">
        <v>6110</v>
      </c>
      <c r="K204" s="13">
        <v>6142</v>
      </c>
      <c r="L204" s="13">
        <v>6286</v>
      </c>
      <c r="M204" s="13">
        <v>6216</v>
      </c>
      <c r="N204" s="13">
        <v>6107</v>
      </c>
      <c r="O204" s="13">
        <v>6015</v>
      </c>
      <c r="P204" s="13">
        <v>5978</v>
      </c>
      <c r="Q204" s="13">
        <v>5964</v>
      </c>
      <c r="R204" s="13">
        <v>5958</v>
      </c>
      <c r="S204" s="13">
        <v>6000</v>
      </c>
      <c r="T204" s="13">
        <v>6081</v>
      </c>
      <c r="U204" s="13">
        <v>6130</v>
      </c>
      <c r="V204" s="13">
        <v>6171</v>
      </c>
      <c r="W204" s="13">
        <v>6191</v>
      </c>
      <c r="X204" s="13">
        <v>6344</v>
      </c>
      <c r="Y204" s="13">
        <v>6416</v>
      </c>
      <c r="Z204" s="13">
        <v>6174</v>
      </c>
      <c r="AA204" s="13">
        <v>5969</v>
      </c>
      <c r="AB204" s="13">
        <v>6092</v>
      </c>
      <c r="AC204" s="13">
        <v>6165</v>
      </c>
      <c r="AD204" s="13">
        <v>6456</v>
      </c>
      <c r="AE204" s="13">
        <v>6436</v>
      </c>
      <c r="AF204" s="13">
        <v>6500</v>
      </c>
      <c r="AG204" s="13">
        <v>6467</v>
      </c>
      <c r="AH204" s="13">
        <v>6618</v>
      </c>
      <c r="AI204" s="13">
        <v>6930</v>
      </c>
      <c r="AJ204" s="13">
        <v>6729</v>
      </c>
      <c r="AK204" s="13">
        <v>6841</v>
      </c>
      <c r="AL204" s="13">
        <v>7096</v>
      </c>
      <c r="AM204" s="13">
        <v>6974</v>
      </c>
      <c r="AN204" s="13">
        <v>6811</v>
      </c>
      <c r="AO204" s="13">
        <v>6763</v>
      </c>
      <c r="AP204" s="13">
        <v>7056</v>
      </c>
      <c r="AQ204" s="13">
        <v>7064</v>
      </c>
      <c r="AR204" s="13">
        <v>7387</v>
      </c>
      <c r="AS204" s="13">
        <v>7370</v>
      </c>
      <c r="AT204" s="13">
        <v>7397</v>
      </c>
      <c r="AU204" s="13">
        <v>7130</v>
      </c>
      <c r="AV204" s="13">
        <v>6991</v>
      </c>
      <c r="AW204" s="13">
        <v>6743</v>
      </c>
      <c r="AX204" s="13">
        <v>6840</v>
      </c>
      <c r="AY204" s="13">
        <v>6868</v>
      </c>
      <c r="AZ204" s="13">
        <v>6101</v>
      </c>
      <c r="BA204" s="13">
        <v>6379</v>
      </c>
      <c r="BB204" s="13">
        <v>6205</v>
      </c>
      <c r="BC204" s="13">
        <v>6124</v>
      </c>
      <c r="BD204" s="13">
        <v>6154</v>
      </c>
      <c r="BE204" s="13">
        <v>6177</v>
      </c>
      <c r="BF204" s="13">
        <v>6315</v>
      </c>
      <c r="BG204" s="13">
        <v>6284</v>
      </c>
      <c r="BH204" s="13">
        <v>6241</v>
      </c>
      <c r="BI204" s="13">
        <v>6332</v>
      </c>
      <c r="BJ204" s="13">
        <v>6255</v>
      </c>
      <c r="BK204" s="13">
        <v>6386</v>
      </c>
      <c r="BL204" s="13">
        <v>6386</v>
      </c>
      <c r="BM204" s="4">
        <v>6610</v>
      </c>
      <c r="BN204" s="4">
        <v>6605</v>
      </c>
      <c r="BO204" s="4">
        <v>6474</v>
      </c>
      <c r="BP204" s="4">
        <v>6027</v>
      </c>
    </row>
    <row r="205" spans="1:68">
      <c r="A205" s="65" t="s">
        <v>402</v>
      </c>
      <c r="B205" s="4" t="s">
        <v>403</v>
      </c>
      <c r="C205" s="58" t="str">
        <f>_xll.RssMarket("6758","現在値")</f>
        <v/>
      </c>
      <c r="D205" s="59" t="e">
        <f t="shared" si="6"/>
        <v>#VALUE!</v>
      </c>
      <c r="E205" s="70">
        <v>3470</v>
      </c>
      <c r="F205" s="70">
        <v>3389</v>
      </c>
      <c r="G205" s="70">
        <v>3383</v>
      </c>
      <c r="H205" s="70">
        <v>3341</v>
      </c>
      <c r="I205" s="70">
        <v>3359</v>
      </c>
      <c r="J205" s="70">
        <v>3409</v>
      </c>
      <c r="K205" s="70">
        <v>3468</v>
      </c>
      <c r="L205" s="70">
        <v>3422</v>
      </c>
      <c r="M205" s="70">
        <v>3380</v>
      </c>
      <c r="N205" s="70">
        <v>3330</v>
      </c>
      <c r="O205" s="70">
        <v>3250</v>
      </c>
      <c r="P205" s="70">
        <v>3280</v>
      </c>
      <c r="Q205" s="70">
        <v>3299</v>
      </c>
      <c r="R205" s="70">
        <v>3199</v>
      </c>
      <c r="S205" s="70">
        <v>3197</v>
      </c>
      <c r="T205" s="70">
        <v>3250</v>
      </c>
      <c r="U205" s="70">
        <v>3159</v>
      </c>
      <c r="V205" s="70">
        <v>3183</v>
      </c>
      <c r="W205" s="70">
        <v>3140</v>
      </c>
      <c r="X205" s="70">
        <v>3286</v>
      </c>
      <c r="Y205" s="70">
        <v>3275</v>
      </c>
      <c r="Z205" s="70">
        <v>3292</v>
      </c>
      <c r="AA205" s="70">
        <v>3369</v>
      </c>
      <c r="AB205" s="70">
        <v>3385</v>
      </c>
      <c r="AC205" s="70">
        <v>3508</v>
      </c>
      <c r="AD205" s="70">
        <v>3559</v>
      </c>
      <c r="AE205" s="70">
        <v>3540</v>
      </c>
      <c r="AF205" s="70">
        <v>3619</v>
      </c>
      <c r="AG205" s="70">
        <v>3669</v>
      </c>
      <c r="AH205" s="70">
        <v>3542</v>
      </c>
      <c r="AI205" s="70">
        <v>3444</v>
      </c>
      <c r="AJ205" s="70">
        <v>3451</v>
      </c>
      <c r="AK205" s="70">
        <v>3525</v>
      </c>
      <c r="AL205" s="70">
        <v>3598</v>
      </c>
      <c r="AM205" s="70">
        <v>3525</v>
      </c>
      <c r="AN205" s="70">
        <v>3554</v>
      </c>
      <c r="AO205" s="70">
        <v>3606</v>
      </c>
      <c r="AP205" s="70">
        <v>3720</v>
      </c>
      <c r="AQ205" s="70">
        <v>3596</v>
      </c>
      <c r="AR205" s="70">
        <v>3576</v>
      </c>
      <c r="AS205" s="70">
        <v>3444</v>
      </c>
      <c r="AT205" s="70">
        <v>3660</v>
      </c>
      <c r="AU205" s="70">
        <v>3484</v>
      </c>
      <c r="AV205" s="70">
        <v>3372</v>
      </c>
      <c r="AW205" s="70">
        <v>6743</v>
      </c>
      <c r="AX205" s="70">
        <v>6840</v>
      </c>
      <c r="AY205" s="70">
        <v>6868</v>
      </c>
      <c r="AZ205" s="70">
        <v>6101</v>
      </c>
      <c r="BA205" s="70">
        <v>6379</v>
      </c>
      <c r="BB205" s="70">
        <v>6205</v>
      </c>
      <c r="BC205" s="70">
        <v>6124</v>
      </c>
      <c r="BD205" s="70">
        <v>6154</v>
      </c>
      <c r="BE205" s="70">
        <v>6177</v>
      </c>
      <c r="BF205" s="70">
        <v>6315</v>
      </c>
      <c r="BG205" s="70">
        <v>6284</v>
      </c>
      <c r="BH205" s="70">
        <v>6241</v>
      </c>
      <c r="BI205" s="70">
        <v>6332</v>
      </c>
      <c r="BJ205" s="70">
        <v>6255</v>
      </c>
      <c r="BK205" s="70">
        <v>6386</v>
      </c>
      <c r="BL205" s="70">
        <v>6386</v>
      </c>
      <c r="BM205" s="4">
        <v>6610</v>
      </c>
      <c r="BN205" s="4">
        <v>6605</v>
      </c>
      <c r="BO205" s="4">
        <v>6474</v>
      </c>
      <c r="BP205" s="4">
        <v>6027</v>
      </c>
    </row>
    <row r="206" spans="1:68">
      <c r="A206" s="65" t="s">
        <v>404</v>
      </c>
      <c r="B206" s="4" t="s">
        <v>405</v>
      </c>
      <c r="C206" s="58" t="str">
        <f>_xll.RssMarket("9101","現在値")</f>
        <v/>
      </c>
      <c r="D206" s="59" t="e">
        <f t="shared" si="6"/>
        <v>#VALUE!</v>
      </c>
      <c r="E206" s="70">
        <v>5706</v>
      </c>
      <c r="F206" s="70">
        <v>5614</v>
      </c>
      <c r="G206" s="70">
        <v>5506</v>
      </c>
      <c r="H206" s="70">
        <v>5319</v>
      </c>
      <c r="I206" s="70">
        <v>5286</v>
      </c>
      <c r="J206" s="70">
        <v>5421</v>
      </c>
      <c r="K206" s="70">
        <v>5356</v>
      </c>
      <c r="L206" s="70">
        <v>5370</v>
      </c>
      <c r="M206" s="70">
        <v>5211</v>
      </c>
      <c r="N206" s="70">
        <v>5183</v>
      </c>
      <c r="O206" s="70">
        <v>5080</v>
      </c>
      <c r="P206" s="70">
        <v>5216</v>
      </c>
      <c r="Q206" s="70">
        <v>5198</v>
      </c>
      <c r="R206" s="70">
        <v>5265</v>
      </c>
      <c r="S206" s="70">
        <v>5271</v>
      </c>
      <c r="T206" s="70">
        <v>5352</v>
      </c>
      <c r="U206" s="70">
        <v>5272</v>
      </c>
      <c r="V206" s="70">
        <v>5203</v>
      </c>
      <c r="W206" s="70">
        <v>5152</v>
      </c>
      <c r="X206" s="70">
        <v>5348</v>
      </c>
      <c r="Y206" s="70">
        <v>5466</v>
      </c>
      <c r="Z206" s="70">
        <v>5630</v>
      </c>
      <c r="AA206" s="70">
        <v>5660</v>
      </c>
      <c r="AB206" s="70">
        <v>5566</v>
      </c>
      <c r="AC206" s="70">
        <v>5646</v>
      </c>
      <c r="AD206" s="70">
        <v>5609</v>
      </c>
      <c r="AE206" s="70">
        <v>5438</v>
      </c>
      <c r="AF206" s="70">
        <v>5362</v>
      </c>
      <c r="AG206" s="70">
        <v>5319</v>
      </c>
      <c r="AH206" s="70">
        <v>5275</v>
      </c>
      <c r="AI206" s="70">
        <v>5313</v>
      </c>
      <c r="AJ206" s="70">
        <v>5322</v>
      </c>
      <c r="AK206" s="70">
        <v>5230</v>
      </c>
      <c r="AL206" s="70">
        <v>5321</v>
      </c>
      <c r="AM206" s="70">
        <v>5391</v>
      </c>
      <c r="AN206" s="70">
        <v>5498</v>
      </c>
      <c r="AO206" s="70">
        <v>5610</v>
      </c>
      <c r="AP206" s="70">
        <v>5619</v>
      </c>
      <c r="AQ206" s="70">
        <v>5558</v>
      </c>
      <c r="AR206" s="70">
        <v>5498</v>
      </c>
      <c r="AS206" s="70">
        <v>5446</v>
      </c>
      <c r="AT206" s="70">
        <v>5358</v>
      </c>
      <c r="AU206" s="70">
        <v>5301</v>
      </c>
      <c r="AV206" s="70">
        <v>5471</v>
      </c>
      <c r="AW206" s="70">
        <v>5571</v>
      </c>
      <c r="AX206" s="70">
        <v>5660</v>
      </c>
      <c r="AY206" s="70">
        <v>5629</v>
      </c>
      <c r="AZ206" s="70">
        <v>5669</v>
      </c>
      <c r="BA206" s="70">
        <v>5662</v>
      </c>
      <c r="BB206" s="70">
        <v>5580</v>
      </c>
      <c r="BC206" s="70">
        <v>5874</v>
      </c>
      <c r="BD206" s="70">
        <v>5807</v>
      </c>
      <c r="BE206" s="70">
        <v>5828</v>
      </c>
      <c r="BF206" s="70">
        <v>5872</v>
      </c>
      <c r="BG206" s="70">
        <v>5908</v>
      </c>
      <c r="BH206" s="70">
        <v>6096</v>
      </c>
      <c r="BI206" s="70">
        <v>6053</v>
      </c>
      <c r="BJ206" s="70">
        <v>6044</v>
      </c>
      <c r="BK206" s="70">
        <v>6117</v>
      </c>
      <c r="BL206" s="70">
        <v>6104</v>
      </c>
      <c r="BM206" s="4">
        <v>6163</v>
      </c>
      <c r="BN206" s="4">
        <v>6163</v>
      </c>
      <c r="BO206" s="4">
        <v>6055</v>
      </c>
      <c r="BP206" s="4">
        <v>6309</v>
      </c>
    </row>
    <row r="207" spans="1:68">
      <c r="A207" s="65" t="s">
        <v>406</v>
      </c>
      <c r="B207" s="4" t="s">
        <v>407</v>
      </c>
      <c r="C207" s="58" t="str">
        <f>_xll.RssMarket("7011","現在値")</f>
        <v/>
      </c>
      <c r="D207" s="59" t="e">
        <f t="shared" si="6"/>
        <v>#VALUE!</v>
      </c>
      <c r="E207" s="70">
        <v>3681</v>
      </c>
      <c r="F207" s="70">
        <v>3828</v>
      </c>
      <c r="G207" s="70">
        <v>3746</v>
      </c>
      <c r="H207" s="70">
        <v>3758</v>
      </c>
      <c r="I207" s="70">
        <v>3818</v>
      </c>
      <c r="J207" s="70">
        <v>3805</v>
      </c>
      <c r="K207" s="70">
        <v>3821</v>
      </c>
      <c r="L207" s="70">
        <v>4110</v>
      </c>
      <c r="M207" s="70">
        <v>3792</v>
      </c>
      <c r="N207" s="70">
        <v>3788</v>
      </c>
      <c r="O207" s="70">
        <v>3736</v>
      </c>
      <c r="P207" s="70">
        <v>3666</v>
      </c>
      <c r="Q207" s="70">
        <v>3651</v>
      </c>
      <c r="R207" s="70">
        <v>3567</v>
      </c>
      <c r="S207" s="70">
        <v>3618</v>
      </c>
      <c r="T207" s="70">
        <v>3743</v>
      </c>
      <c r="U207" s="70">
        <v>3742</v>
      </c>
      <c r="V207" s="70">
        <v>3909</v>
      </c>
      <c r="W207" s="70">
        <v>3917</v>
      </c>
      <c r="X207" s="70">
        <v>3860</v>
      </c>
      <c r="Y207" s="70">
        <v>3810</v>
      </c>
      <c r="Z207" s="70">
        <v>3540</v>
      </c>
      <c r="AA207" s="70">
        <v>3494</v>
      </c>
      <c r="AB207" s="70">
        <v>3578</v>
      </c>
      <c r="AC207" s="70">
        <v>3699</v>
      </c>
      <c r="AD207" s="70">
        <v>3790</v>
      </c>
      <c r="AE207" s="70">
        <v>3701</v>
      </c>
      <c r="AF207" s="70">
        <v>3573</v>
      </c>
      <c r="AG207" s="70">
        <v>3516</v>
      </c>
      <c r="AH207" s="70">
        <v>3636</v>
      </c>
      <c r="AI207" s="70">
        <v>3806</v>
      </c>
      <c r="AJ207" s="70">
        <v>3804</v>
      </c>
      <c r="AK207" s="70">
        <v>3898</v>
      </c>
      <c r="AL207" s="70">
        <v>3908</v>
      </c>
      <c r="AM207" s="70">
        <v>3969</v>
      </c>
      <c r="AN207" s="70">
        <v>3958</v>
      </c>
      <c r="AO207" s="70">
        <v>4024</v>
      </c>
      <c r="AP207" s="70">
        <v>4126</v>
      </c>
      <c r="AQ207" s="70">
        <v>4102</v>
      </c>
      <c r="AR207" s="70">
        <v>4080</v>
      </c>
      <c r="AS207" s="70">
        <v>4162</v>
      </c>
      <c r="AT207" s="70">
        <v>4406</v>
      </c>
      <c r="AU207" s="70">
        <v>4300</v>
      </c>
      <c r="AV207" s="70">
        <v>4384</v>
      </c>
      <c r="AW207" s="70">
        <v>4510</v>
      </c>
      <c r="AX207" s="70">
        <v>4527</v>
      </c>
      <c r="AY207" s="70">
        <v>4586</v>
      </c>
      <c r="AZ207" s="70">
        <v>4615</v>
      </c>
      <c r="BA207" s="70">
        <v>4797</v>
      </c>
      <c r="BB207" s="70">
        <v>4689</v>
      </c>
      <c r="BC207" s="70">
        <v>4738</v>
      </c>
      <c r="BD207" s="70">
        <v>4754</v>
      </c>
      <c r="BE207" s="70">
        <v>4508</v>
      </c>
      <c r="BF207" s="70">
        <v>4522</v>
      </c>
      <c r="BG207" s="70">
        <v>4506</v>
      </c>
      <c r="BH207" s="70">
        <v>4371</v>
      </c>
      <c r="BI207" s="70">
        <v>4571</v>
      </c>
      <c r="BJ207" s="70">
        <v>4561</v>
      </c>
      <c r="BK207" s="70">
        <v>4749</v>
      </c>
      <c r="BL207" s="70">
        <v>4761</v>
      </c>
      <c r="BM207" s="4">
        <v>4745</v>
      </c>
      <c r="BN207" s="4">
        <v>4781</v>
      </c>
      <c r="BO207" s="4">
        <v>4850</v>
      </c>
      <c r="BP207" s="4">
        <v>4784</v>
      </c>
    </row>
    <row r="208" spans="1:68">
      <c r="A208" s="65" t="s">
        <v>408</v>
      </c>
      <c r="B208" s="4" t="s">
        <v>409</v>
      </c>
      <c r="C208" s="58" t="str">
        <f>_xll.RssMarket("1812","現在値")</f>
        <v/>
      </c>
      <c r="D208" s="59" t="e">
        <f t="shared" si="6"/>
        <v>#VALUE!</v>
      </c>
      <c r="E208" s="70">
        <v>5524</v>
      </c>
      <c r="F208" s="70">
        <v>5715</v>
      </c>
      <c r="G208" s="70">
        <v>5559</v>
      </c>
      <c r="H208" s="70">
        <v>5627</v>
      </c>
      <c r="I208" s="70">
        <v>5760</v>
      </c>
      <c r="J208" s="70">
        <v>5815</v>
      </c>
      <c r="K208" s="70">
        <v>5840</v>
      </c>
      <c r="L208" s="70">
        <v>6227</v>
      </c>
      <c r="M208" s="70">
        <v>6128</v>
      </c>
      <c r="N208" s="70">
        <v>5992</v>
      </c>
      <c r="O208" s="70">
        <v>5958</v>
      </c>
      <c r="P208" s="70">
        <v>5872</v>
      </c>
      <c r="Q208" s="70">
        <v>5867</v>
      </c>
      <c r="R208" s="70">
        <v>5769</v>
      </c>
      <c r="S208" s="70">
        <v>5670</v>
      </c>
      <c r="T208" s="70">
        <v>5701</v>
      </c>
      <c r="U208" s="70">
        <v>5725</v>
      </c>
      <c r="V208" s="70">
        <v>5970</v>
      </c>
      <c r="W208" s="70">
        <v>5961</v>
      </c>
      <c r="X208" s="70">
        <v>5920</v>
      </c>
      <c r="Y208" s="70">
        <v>5899</v>
      </c>
      <c r="Z208" s="70">
        <v>5521</v>
      </c>
      <c r="AA208" s="70">
        <v>5450</v>
      </c>
      <c r="AB208" s="70">
        <v>5567</v>
      </c>
      <c r="AC208" s="70">
        <v>5391</v>
      </c>
      <c r="AD208" s="70">
        <v>5559</v>
      </c>
      <c r="AE208" s="70">
        <v>5455</v>
      </c>
      <c r="AF208" s="70">
        <v>5535</v>
      </c>
      <c r="AG208" s="70">
        <v>5521</v>
      </c>
      <c r="AH208" s="70">
        <v>5628</v>
      </c>
      <c r="AI208" s="70">
        <v>5907</v>
      </c>
      <c r="AJ208" s="70">
        <v>5760</v>
      </c>
      <c r="AK208" s="70">
        <v>5754</v>
      </c>
      <c r="AL208" s="70">
        <v>5656</v>
      </c>
      <c r="AM208" s="70">
        <v>5469</v>
      </c>
      <c r="AN208" s="70">
        <v>5591</v>
      </c>
      <c r="AO208" s="70">
        <v>5567</v>
      </c>
      <c r="AP208" s="70">
        <v>5836</v>
      </c>
      <c r="AQ208" s="70">
        <v>5650</v>
      </c>
      <c r="AR208" s="70">
        <v>5843</v>
      </c>
      <c r="AS208" s="70">
        <v>6187</v>
      </c>
      <c r="AT208" s="70">
        <v>6477</v>
      </c>
      <c r="AU208" s="70">
        <v>6570</v>
      </c>
      <c r="AV208" s="70">
        <v>6257</v>
      </c>
      <c r="AW208" s="70">
        <v>6141</v>
      </c>
      <c r="AX208" s="70">
        <v>6262</v>
      </c>
      <c r="AY208" s="70">
        <v>6077</v>
      </c>
      <c r="AZ208" s="70">
        <v>6117</v>
      </c>
      <c r="BA208" s="70">
        <v>6499</v>
      </c>
      <c r="BB208" s="70">
        <v>5954</v>
      </c>
      <c r="BC208" s="70">
        <v>5907</v>
      </c>
      <c r="BD208" s="70">
        <v>5959</v>
      </c>
      <c r="BE208" s="70">
        <v>5969</v>
      </c>
      <c r="BF208" s="70">
        <v>6045</v>
      </c>
      <c r="BG208" s="70">
        <v>6092</v>
      </c>
      <c r="BH208" s="70">
        <v>5932</v>
      </c>
      <c r="BI208" s="70">
        <v>6175</v>
      </c>
      <c r="BJ208" s="70">
        <v>6135</v>
      </c>
      <c r="BK208" s="70">
        <v>6149</v>
      </c>
      <c r="BL208" s="70">
        <v>6177</v>
      </c>
      <c r="BM208" s="4">
        <v>6202</v>
      </c>
      <c r="BN208" s="4">
        <v>6324</v>
      </c>
      <c r="BO208" s="4">
        <v>6336</v>
      </c>
      <c r="BP208" s="4">
        <v>6029</v>
      </c>
    </row>
    <row r="209" spans="1:68">
      <c r="A209" s="65" t="s">
        <v>410</v>
      </c>
      <c r="B209" s="4" t="str">
        <f>銘柄管理!C209</f>
        <v/>
      </c>
      <c r="C209" s="58" t="str">
        <f>_xll.RssMarket("6861","現在値")</f>
        <v/>
      </c>
      <c r="D209" s="59"/>
      <c r="E209" s="70">
        <v>70880</v>
      </c>
      <c r="F209" s="70">
        <v>76620</v>
      </c>
      <c r="G209" s="70">
        <v>75390</v>
      </c>
      <c r="H209" s="70">
        <v>76700</v>
      </c>
      <c r="I209" s="70">
        <v>76970</v>
      </c>
      <c r="J209" s="70">
        <v>75600</v>
      </c>
      <c r="K209" s="70">
        <v>74700</v>
      </c>
      <c r="L209" s="70">
        <v>80910</v>
      </c>
      <c r="M209" s="70">
        <v>80300</v>
      </c>
      <c r="N209" s="70">
        <v>80400</v>
      </c>
      <c r="O209" s="70">
        <v>81630</v>
      </c>
      <c r="P209" s="70">
        <v>81060</v>
      </c>
      <c r="Q209" s="70">
        <v>78200</v>
      </c>
      <c r="R209" s="70">
        <v>77100</v>
      </c>
      <c r="S209" s="70">
        <v>77370</v>
      </c>
      <c r="T209" s="70">
        <v>76750</v>
      </c>
      <c r="U209" s="70">
        <v>75680</v>
      </c>
      <c r="V209" s="70">
        <v>77990</v>
      </c>
      <c r="W209" s="70">
        <v>77700</v>
      </c>
      <c r="X209" s="70">
        <v>75600</v>
      </c>
      <c r="Y209" s="70">
        <v>75500</v>
      </c>
      <c r="Z209" s="70">
        <v>72620</v>
      </c>
      <c r="AA209" s="70">
        <v>71270</v>
      </c>
      <c r="AB209" s="70">
        <v>72890</v>
      </c>
      <c r="AC209" s="70">
        <v>74980</v>
      </c>
      <c r="AD209" s="70">
        <v>78070</v>
      </c>
      <c r="AE209" s="70">
        <v>80040</v>
      </c>
      <c r="AF209" s="70">
        <v>80630</v>
      </c>
      <c r="AG209" s="70">
        <v>78340</v>
      </c>
      <c r="AH209" s="70">
        <v>80220</v>
      </c>
      <c r="AI209" s="70">
        <v>80110</v>
      </c>
      <c r="AJ209" s="70">
        <v>75180</v>
      </c>
      <c r="AK209" s="70">
        <v>75780</v>
      </c>
      <c r="AL209" s="70">
        <v>78860</v>
      </c>
      <c r="AM209" s="70">
        <v>79370</v>
      </c>
      <c r="AN209" s="70">
        <v>76960</v>
      </c>
      <c r="AO209" s="70">
        <v>72910</v>
      </c>
      <c r="AP209" s="70">
        <v>75000</v>
      </c>
      <c r="AQ209" s="70">
        <v>76830</v>
      </c>
      <c r="AR209" s="70">
        <v>77180</v>
      </c>
      <c r="AS209" s="70">
        <v>77310</v>
      </c>
      <c r="AT209" s="70">
        <v>79440</v>
      </c>
      <c r="AU209" s="70">
        <v>79260</v>
      </c>
      <c r="AV209" s="70">
        <v>82300</v>
      </c>
      <c r="AW209" s="70">
        <v>84170</v>
      </c>
      <c r="AX209" s="70">
        <v>79350</v>
      </c>
      <c r="AY209" s="70">
        <v>76460</v>
      </c>
      <c r="AZ209" s="70">
        <v>71300</v>
      </c>
      <c r="BA209" s="70">
        <v>73800</v>
      </c>
      <c r="BB209" s="70">
        <v>73180</v>
      </c>
      <c r="BC209" s="70">
        <v>63180</v>
      </c>
      <c r="BD209" s="70">
        <v>63470</v>
      </c>
      <c r="BE209" s="70">
        <v>63800</v>
      </c>
      <c r="BF209" s="70">
        <v>63170</v>
      </c>
      <c r="BG209" s="70">
        <v>64030</v>
      </c>
      <c r="BH209" s="70">
        <v>62810</v>
      </c>
      <c r="BI209" s="70">
        <v>63030</v>
      </c>
      <c r="BJ209" s="70">
        <v>62750</v>
      </c>
      <c r="BK209" s="70">
        <v>62850</v>
      </c>
      <c r="BL209" s="70">
        <v>63520</v>
      </c>
      <c r="BM209" s="4">
        <v>62440</v>
      </c>
      <c r="BN209" s="4">
        <v>61590</v>
      </c>
      <c r="BO209" s="4">
        <v>60520</v>
      </c>
      <c r="BP209" s="4">
        <v>58290</v>
      </c>
    </row>
    <row r="210" spans="1:68">
      <c r="A210" s="65" t="s">
        <v>411</v>
      </c>
      <c r="B210" s="4" t="s">
        <v>412</v>
      </c>
      <c r="C210" s="58" t="str">
        <f>_xll.RssMarket("6324","現在値")</f>
        <v/>
      </c>
      <c r="D210" s="59" t="e">
        <f t="shared" ref="D210:D273" si="7">C210-E210</f>
        <v>#VALUE!</v>
      </c>
      <c r="E210" s="70">
        <v>6470</v>
      </c>
      <c r="F210" s="70">
        <v>7430</v>
      </c>
      <c r="G210" s="70">
        <v>7540</v>
      </c>
      <c r="H210" s="70">
        <v>7240</v>
      </c>
      <c r="I210" s="70">
        <v>7880</v>
      </c>
      <c r="J210" s="70">
        <v>7510</v>
      </c>
      <c r="K210" s="70">
        <v>7590</v>
      </c>
      <c r="L210" s="70">
        <v>8890</v>
      </c>
      <c r="M210" s="70">
        <v>8840</v>
      </c>
      <c r="N210" s="70">
        <v>8130</v>
      </c>
      <c r="O210" s="70">
        <v>8010</v>
      </c>
      <c r="P210" s="70">
        <v>7790</v>
      </c>
      <c r="Q210" s="70">
        <v>7120</v>
      </c>
      <c r="R210" s="70">
        <v>7100</v>
      </c>
      <c r="S210" s="70">
        <v>7900</v>
      </c>
      <c r="T210" s="70">
        <v>7830</v>
      </c>
      <c r="U210" s="70">
        <v>7700</v>
      </c>
      <c r="V210" s="70">
        <v>8710</v>
      </c>
      <c r="W210" s="70">
        <v>7770</v>
      </c>
      <c r="X210" s="70">
        <v>7850</v>
      </c>
      <c r="Y210" s="70">
        <v>7000</v>
      </c>
      <c r="Z210" s="70">
        <v>6550</v>
      </c>
      <c r="AA210" s="70">
        <v>6280</v>
      </c>
      <c r="AB210" s="70">
        <v>6240</v>
      </c>
      <c r="AC210" s="70">
        <v>7160</v>
      </c>
      <c r="AD210" s="70">
        <v>7090</v>
      </c>
      <c r="AE210" s="70">
        <v>6910</v>
      </c>
      <c r="AF210" s="70">
        <v>7410</v>
      </c>
      <c r="AG210" s="70">
        <v>7110</v>
      </c>
      <c r="AH210" s="70">
        <v>7780</v>
      </c>
      <c r="AI210" s="70">
        <v>7800</v>
      </c>
      <c r="AJ210" s="70">
        <v>7690</v>
      </c>
      <c r="AK210" s="70">
        <v>7850</v>
      </c>
      <c r="AL210" s="70">
        <v>7660</v>
      </c>
      <c r="AM210" s="70">
        <v>7010</v>
      </c>
      <c r="AN210" s="70">
        <v>6550</v>
      </c>
      <c r="AO210" s="70">
        <v>5920</v>
      </c>
      <c r="AP210" s="70">
        <v>6030</v>
      </c>
      <c r="AQ210" s="70">
        <v>6800</v>
      </c>
      <c r="AR210" s="70">
        <v>7100</v>
      </c>
      <c r="AS210" s="70">
        <v>6430</v>
      </c>
      <c r="AT210" s="70">
        <v>6970</v>
      </c>
      <c r="AU210" s="70">
        <v>6600</v>
      </c>
      <c r="AV210" s="70">
        <v>6400</v>
      </c>
      <c r="AW210" s="70">
        <v>6230</v>
      </c>
      <c r="AX210" s="70">
        <v>5710</v>
      </c>
      <c r="AY210" s="70">
        <v>5150</v>
      </c>
      <c r="AZ210" s="70">
        <v>5220</v>
      </c>
      <c r="BA210" s="70">
        <v>4745</v>
      </c>
      <c r="BB210" s="70">
        <v>4885</v>
      </c>
      <c r="BC210" s="70">
        <v>4195</v>
      </c>
      <c r="BD210" s="70">
        <v>4270</v>
      </c>
      <c r="BE210" s="70">
        <v>4385</v>
      </c>
      <c r="BF210" s="70">
        <v>4490</v>
      </c>
      <c r="BG210" s="70">
        <v>4515</v>
      </c>
      <c r="BH210" s="70">
        <v>4430</v>
      </c>
      <c r="BI210" s="70">
        <v>4695</v>
      </c>
      <c r="BJ210" s="70">
        <v>4350</v>
      </c>
      <c r="BK210" s="70">
        <v>4080</v>
      </c>
      <c r="BL210" s="70">
        <v>4155</v>
      </c>
      <c r="BM210" s="4">
        <v>3990</v>
      </c>
      <c r="BN210" s="4">
        <v>3940</v>
      </c>
      <c r="BO210" s="4">
        <v>4155</v>
      </c>
      <c r="BP210" s="4">
        <v>3810</v>
      </c>
    </row>
    <row r="211" spans="1:68">
      <c r="A211" s="65" t="s">
        <v>413</v>
      </c>
      <c r="B211" s="4" t="s">
        <v>414</v>
      </c>
      <c r="C211" s="58" t="str">
        <f>_xll.RssMarket("6273","現在値")</f>
        <v/>
      </c>
      <c r="D211" s="59" t="e">
        <f t="shared" si="7"/>
        <v>#VALUE!</v>
      </c>
      <c r="E211" s="70">
        <v>69230</v>
      </c>
      <c r="F211" s="70">
        <v>75000</v>
      </c>
      <c r="G211" s="70">
        <v>72660</v>
      </c>
      <c r="H211" s="70">
        <v>73820</v>
      </c>
      <c r="I211" s="70">
        <v>75570</v>
      </c>
      <c r="J211" s="70">
        <v>72020</v>
      </c>
      <c r="K211" s="70">
        <v>70500</v>
      </c>
      <c r="L211" s="70">
        <v>75790</v>
      </c>
      <c r="M211" s="70">
        <v>75800</v>
      </c>
      <c r="N211" s="70">
        <v>72680</v>
      </c>
      <c r="O211" s="70">
        <v>75190</v>
      </c>
      <c r="P211" s="70">
        <v>71280</v>
      </c>
      <c r="Q211" s="70">
        <v>70450</v>
      </c>
      <c r="R211" s="70">
        <v>71630</v>
      </c>
      <c r="S211" s="70">
        <v>72930</v>
      </c>
      <c r="T211" s="70">
        <v>69130</v>
      </c>
      <c r="U211" s="70">
        <v>71330</v>
      </c>
      <c r="V211" s="70">
        <v>74240</v>
      </c>
      <c r="W211" s="70">
        <v>72840</v>
      </c>
      <c r="X211" s="70">
        <v>72600</v>
      </c>
      <c r="Y211" s="70">
        <v>69030</v>
      </c>
      <c r="Z211" s="70">
        <v>65510</v>
      </c>
      <c r="AA211" s="70">
        <v>61920</v>
      </c>
      <c r="AB211" s="70">
        <v>61840</v>
      </c>
      <c r="AC211" s="70">
        <v>62210</v>
      </c>
      <c r="AD211" s="70">
        <v>65260</v>
      </c>
      <c r="AE211" s="70">
        <v>65070</v>
      </c>
      <c r="AF211" s="70">
        <v>64000</v>
      </c>
      <c r="AG211" s="70">
        <v>63680</v>
      </c>
      <c r="AH211" s="70">
        <v>66520</v>
      </c>
      <c r="AI211" s="70">
        <v>69110</v>
      </c>
      <c r="AJ211" s="70">
        <v>67880</v>
      </c>
      <c r="AK211" s="70">
        <v>66470</v>
      </c>
      <c r="AL211" s="70">
        <v>66930</v>
      </c>
      <c r="AM211" s="70">
        <v>66270</v>
      </c>
      <c r="AN211" s="70">
        <v>64770</v>
      </c>
      <c r="AO211" s="70">
        <v>64820</v>
      </c>
      <c r="AP211" s="70">
        <v>67120</v>
      </c>
      <c r="AQ211" s="70">
        <v>66780</v>
      </c>
      <c r="AR211" s="70">
        <v>67880</v>
      </c>
      <c r="AS211" s="70">
        <v>79470</v>
      </c>
      <c r="AT211" s="70">
        <v>84250</v>
      </c>
      <c r="AU211" s="70">
        <v>84560</v>
      </c>
      <c r="AV211" s="70">
        <v>82320</v>
      </c>
      <c r="AW211" s="70">
        <v>82860</v>
      </c>
      <c r="AX211" s="70">
        <v>78840</v>
      </c>
      <c r="AY211" s="70">
        <v>75230</v>
      </c>
      <c r="AZ211" s="70">
        <v>76080</v>
      </c>
      <c r="BA211" s="70">
        <v>77000</v>
      </c>
      <c r="BB211" s="70">
        <v>75480</v>
      </c>
      <c r="BC211" s="70">
        <v>70470</v>
      </c>
      <c r="BD211" s="70">
        <v>69530</v>
      </c>
      <c r="BE211" s="70">
        <v>70740</v>
      </c>
      <c r="BF211" s="70">
        <v>71630</v>
      </c>
      <c r="BG211" s="70">
        <v>71470</v>
      </c>
      <c r="BH211" s="70">
        <v>70100</v>
      </c>
      <c r="BI211" s="70">
        <v>71940</v>
      </c>
      <c r="BJ211" s="70">
        <v>71960</v>
      </c>
      <c r="BK211" s="70">
        <v>71290</v>
      </c>
      <c r="BL211" s="70">
        <v>71780</v>
      </c>
      <c r="BM211" s="4">
        <v>70500</v>
      </c>
      <c r="BN211" s="4">
        <v>68370</v>
      </c>
      <c r="BO211" s="4">
        <v>66810</v>
      </c>
      <c r="BP211" s="4">
        <v>62130</v>
      </c>
    </row>
    <row r="212" spans="1:68">
      <c r="A212" s="65" t="s">
        <v>415</v>
      </c>
      <c r="B212" s="4" t="s">
        <v>416</v>
      </c>
      <c r="C212" s="58" t="str">
        <f>_xll.RssMarket("4502","現在値")</f>
        <v/>
      </c>
      <c r="D212" s="59" t="e">
        <f t="shared" si="7"/>
        <v>#VALUE!</v>
      </c>
      <c r="E212" s="70">
        <v>5480</v>
      </c>
      <c r="F212" s="70">
        <v>5288</v>
      </c>
      <c r="G212" s="70">
        <v>5327</v>
      </c>
      <c r="H212" s="70">
        <v>5318</v>
      </c>
      <c r="I212" s="70">
        <v>5359</v>
      </c>
      <c r="J212" s="70">
        <v>5398</v>
      </c>
      <c r="K212" s="70">
        <v>5451</v>
      </c>
      <c r="L212" s="70">
        <v>5517</v>
      </c>
      <c r="M212" s="70">
        <v>5359</v>
      </c>
      <c r="N212" s="70">
        <v>5274</v>
      </c>
      <c r="O212" s="70">
        <v>5150</v>
      </c>
      <c r="P212" s="70">
        <v>5155</v>
      </c>
      <c r="Q212" s="70">
        <v>5176</v>
      </c>
      <c r="R212" s="70">
        <v>5087</v>
      </c>
      <c r="S212" s="70">
        <v>5054</v>
      </c>
      <c r="T212" s="70">
        <v>5104</v>
      </c>
      <c r="U212" s="70">
        <v>5011</v>
      </c>
      <c r="V212" s="70">
        <v>4975</v>
      </c>
      <c r="W212" s="70">
        <v>4934</v>
      </c>
      <c r="X212" s="70">
        <v>4938</v>
      </c>
      <c r="Y212" s="70">
        <v>5020</v>
      </c>
      <c r="Z212" s="70">
        <v>5082</v>
      </c>
      <c r="AA212" s="70">
        <v>5033</v>
      </c>
      <c r="AB212" s="70">
        <v>5070</v>
      </c>
      <c r="AC212" s="70">
        <v>5050</v>
      </c>
      <c r="AD212" s="70">
        <v>4926</v>
      </c>
      <c r="AE212" s="70">
        <v>4850</v>
      </c>
      <c r="AF212" s="70">
        <v>4748</v>
      </c>
      <c r="AG212" s="70">
        <v>4850</v>
      </c>
      <c r="AH212" s="70">
        <v>4881</v>
      </c>
      <c r="AI212" s="70">
        <v>5118</v>
      </c>
      <c r="AJ212" s="70">
        <v>5120</v>
      </c>
      <c r="AK212" s="70">
        <v>5128</v>
      </c>
      <c r="AL212" s="70">
        <v>5104</v>
      </c>
      <c r="AM212" s="70">
        <v>5109</v>
      </c>
      <c r="AN212" s="70">
        <v>5180</v>
      </c>
      <c r="AO212" s="70">
        <v>5255</v>
      </c>
      <c r="AP212" s="70">
        <v>5249</v>
      </c>
      <c r="AQ212" s="70">
        <v>5277</v>
      </c>
      <c r="AR212" s="70">
        <v>5256</v>
      </c>
      <c r="AS212" s="70">
        <v>5192</v>
      </c>
      <c r="AT212" s="70">
        <v>5168</v>
      </c>
      <c r="AU212" s="70">
        <v>5162</v>
      </c>
      <c r="AV212" s="70">
        <v>5213</v>
      </c>
      <c r="AW212" s="70">
        <v>5310</v>
      </c>
      <c r="AX212" s="70">
        <v>5239</v>
      </c>
      <c r="AY212" s="70">
        <v>5270</v>
      </c>
      <c r="AZ212" s="70">
        <v>5289</v>
      </c>
      <c r="BA212" s="70">
        <v>5218</v>
      </c>
      <c r="BB212" s="70">
        <v>5335</v>
      </c>
      <c r="BC212" s="70">
        <v>5331</v>
      </c>
      <c r="BD212" s="70">
        <v>5318</v>
      </c>
      <c r="BE212" s="70">
        <v>5488</v>
      </c>
      <c r="BF212" s="70">
        <v>5575</v>
      </c>
      <c r="BG212" s="70">
        <v>5586</v>
      </c>
      <c r="BH212" s="70">
        <v>5646</v>
      </c>
      <c r="BI212" s="70">
        <v>5654</v>
      </c>
      <c r="BJ212" s="70">
        <v>5604</v>
      </c>
      <c r="BK212" s="70">
        <v>5636</v>
      </c>
      <c r="BL212" s="70">
        <v>5732</v>
      </c>
      <c r="BM212" s="4">
        <v>5821</v>
      </c>
      <c r="BN212" s="4">
        <v>5789</v>
      </c>
      <c r="BO212" s="4">
        <v>5798</v>
      </c>
      <c r="BP212" s="4">
        <v>5754</v>
      </c>
    </row>
    <row r="213" spans="1:68">
      <c r="A213" s="65" t="s">
        <v>417</v>
      </c>
      <c r="B213" s="4" t="s">
        <v>418</v>
      </c>
      <c r="C213" s="58" t="str">
        <f>_xll.RssMarket("4004","現在値")</f>
        <v/>
      </c>
      <c r="D213" s="59" t="e">
        <f t="shared" si="7"/>
        <v>#VALUE!</v>
      </c>
      <c r="E213" s="70">
        <v>13910</v>
      </c>
      <c r="F213" s="70">
        <v>15950</v>
      </c>
      <c r="G213" s="70">
        <v>15415</v>
      </c>
      <c r="H213" s="70">
        <v>15330</v>
      </c>
      <c r="I213" s="70">
        <v>16150</v>
      </c>
      <c r="J213" s="70">
        <v>15750</v>
      </c>
      <c r="K213" s="70">
        <v>15330</v>
      </c>
      <c r="L213" s="70">
        <v>16750</v>
      </c>
      <c r="M213" s="70">
        <v>17500</v>
      </c>
      <c r="N213" s="70">
        <v>17900</v>
      </c>
      <c r="O213" s="70">
        <v>18680</v>
      </c>
      <c r="P213" s="70">
        <v>17700</v>
      </c>
      <c r="Q213" s="70">
        <v>17865</v>
      </c>
      <c r="R213" s="70">
        <v>17330</v>
      </c>
      <c r="S213" s="70">
        <v>17770</v>
      </c>
      <c r="T213" s="70">
        <v>17750</v>
      </c>
      <c r="U213" s="70">
        <v>18350</v>
      </c>
      <c r="V213" s="70">
        <v>19325</v>
      </c>
      <c r="W213" s="70">
        <v>18390</v>
      </c>
      <c r="X213" s="70">
        <v>18520</v>
      </c>
      <c r="Y213" s="70">
        <v>18290</v>
      </c>
      <c r="Z213" s="70">
        <v>16950</v>
      </c>
      <c r="AA213" s="70">
        <v>16375</v>
      </c>
      <c r="AB213" s="70">
        <v>15335</v>
      </c>
      <c r="AC213" s="70">
        <v>15970</v>
      </c>
      <c r="AD213" s="70">
        <v>17315</v>
      </c>
      <c r="AE213" s="70">
        <v>17860</v>
      </c>
      <c r="AF213" s="70">
        <v>18700</v>
      </c>
      <c r="AG213" s="70">
        <v>17825</v>
      </c>
      <c r="AH213" s="70">
        <v>18430</v>
      </c>
      <c r="AI213" s="70">
        <v>18720</v>
      </c>
      <c r="AJ213" s="70">
        <v>18500</v>
      </c>
      <c r="AK213" s="70">
        <v>19100</v>
      </c>
      <c r="AL213" s="70">
        <v>19450</v>
      </c>
      <c r="AM213" s="70">
        <v>18010</v>
      </c>
      <c r="AN213" s="70">
        <v>17310</v>
      </c>
      <c r="AO213" s="70">
        <v>15910</v>
      </c>
      <c r="AP213" s="70">
        <v>16300</v>
      </c>
      <c r="AQ213" s="70">
        <v>16690</v>
      </c>
      <c r="AR213" s="70">
        <v>17200</v>
      </c>
      <c r="AS213" s="70">
        <v>18690</v>
      </c>
      <c r="AT213" s="70">
        <v>17815</v>
      </c>
      <c r="AU213" s="70">
        <v>16850</v>
      </c>
      <c r="AV213" s="70">
        <v>16000</v>
      </c>
      <c r="AW213" s="70">
        <v>15590</v>
      </c>
      <c r="AX213" s="70">
        <v>14045</v>
      </c>
      <c r="AY213" s="70">
        <v>14215</v>
      </c>
      <c r="AZ213" s="70">
        <v>14155</v>
      </c>
      <c r="BA213" s="70">
        <v>13990</v>
      </c>
      <c r="BB213" s="70">
        <v>13770</v>
      </c>
      <c r="BC213" s="70">
        <v>13750</v>
      </c>
      <c r="BD213" s="70">
        <v>14455</v>
      </c>
      <c r="BE213" s="70">
        <v>13330</v>
      </c>
      <c r="BF213" s="70">
        <v>12500</v>
      </c>
      <c r="BG213" s="70">
        <v>12460</v>
      </c>
      <c r="BH213" s="70">
        <v>13200</v>
      </c>
      <c r="BI213" s="70">
        <v>12875</v>
      </c>
      <c r="BJ213" s="70">
        <v>13490</v>
      </c>
      <c r="BK213" s="70">
        <v>13300</v>
      </c>
      <c r="BL213" s="70">
        <v>13405</v>
      </c>
      <c r="BM213" s="4">
        <v>13030</v>
      </c>
      <c r="BN213" s="4">
        <v>12770</v>
      </c>
      <c r="BO213" s="4">
        <v>11785</v>
      </c>
      <c r="BP213" s="4">
        <v>11845</v>
      </c>
    </row>
    <row r="214" spans="1:68">
      <c r="A214" s="65" t="s">
        <v>419</v>
      </c>
      <c r="B214" s="4" t="s">
        <v>420</v>
      </c>
      <c r="C214" s="58" t="str">
        <f>_xll.RssMarket("9519","現在値")</f>
        <v/>
      </c>
      <c r="D214" s="59" t="e">
        <f t="shared" si="7"/>
        <v>#VALUE!</v>
      </c>
      <c r="E214" s="70">
        <v>981</v>
      </c>
      <c r="F214" s="70">
        <v>1035</v>
      </c>
      <c r="G214" s="70">
        <v>964</v>
      </c>
      <c r="H214" s="70">
        <v>921</v>
      </c>
      <c r="I214" s="70">
        <v>923</v>
      </c>
      <c r="J214" s="70">
        <v>939</v>
      </c>
      <c r="K214" s="70">
        <v>938</v>
      </c>
      <c r="L214" s="70">
        <v>964</v>
      </c>
      <c r="M214" s="70">
        <v>1000</v>
      </c>
      <c r="N214" s="70">
        <v>981</v>
      </c>
      <c r="O214" s="70">
        <v>966</v>
      </c>
      <c r="P214" s="70">
        <v>985</v>
      </c>
      <c r="Q214" s="70">
        <v>982</v>
      </c>
      <c r="R214" s="70">
        <v>914</v>
      </c>
      <c r="S214" s="70">
        <v>883</v>
      </c>
      <c r="T214" s="70">
        <v>925</v>
      </c>
      <c r="U214" s="70">
        <v>920</v>
      </c>
      <c r="V214" s="70">
        <v>890</v>
      </c>
      <c r="W214" s="70">
        <v>817</v>
      </c>
      <c r="X214" s="70">
        <v>883</v>
      </c>
      <c r="Y214" s="70">
        <v>893</v>
      </c>
      <c r="Z214" s="70">
        <v>901</v>
      </c>
      <c r="AA214" s="70">
        <v>920</v>
      </c>
      <c r="AB214" s="70">
        <v>1003</v>
      </c>
      <c r="AC214" s="70">
        <v>1026</v>
      </c>
      <c r="AD214" s="70">
        <v>984</v>
      </c>
      <c r="AE214" s="70">
        <v>1023</v>
      </c>
      <c r="AF214" s="70">
        <v>1110</v>
      </c>
      <c r="AG214" s="70">
        <v>1198</v>
      </c>
      <c r="AH214" s="70">
        <v>1203</v>
      </c>
      <c r="AI214" s="70">
        <v>1223</v>
      </c>
      <c r="AJ214" s="70">
        <v>1288</v>
      </c>
      <c r="AK214" s="70">
        <v>1335</v>
      </c>
      <c r="AL214" s="70">
        <v>1350</v>
      </c>
      <c r="AM214" s="70">
        <v>1305</v>
      </c>
      <c r="AN214" s="70">
        <v>1262</v>
      </c>
      <c r="AO214" s="70">
        <v>1375</v>
      </c>
      <c r="AP214" s="70">
        <v>1273</v>
      </c>
      <c r="AQ214" s="70">
        <v>1346</v>
      </c>
      <c r="AR214" s="70">
        <v>1302</v>
      </c>
      <c r="AS214" s="70">
        <v>1220</v>
      </c>
      <c r="AT214" s="70">
        <v>1245</v>
      </c>
      <c r="AU214" s="70">
        <v>1225</v>
      </c>
      <c r="AV214" s="70">
        <v>1160</v>
      </c>
      <c r="AW214" s="70">
        <v>1138</v>
      </c>
      <c r="AX214" s="70">
        <v>1111</v>
      </c>
      <c r="AY214" s="70">
        <v>1111</v>
      </c>
      <c r="AZ214" s="70">
        <v>1128</v>
      </c>
      <c r="BA214" s="70">
        <v>1070</v>
      </c>
      <c r="BB214" s="70">
        <v>1059</v>
      </c>
      <c r="BC214" s="70">
        <v>988</v>
      </c>
      <c r="BD214" s="70">
        <v>949</v>
      </c>
      <c r="BE214" s="70">
        <v>980</v>
      </c>
      <c r="BF214" s="70">
        <v>1033</v>
      </c>
      <c r="BG214" s="70">
        <v>1041</v>
      </c>
      <c r="BH214" s="70">
        <v>1079</v>
      </c>
      <c r="BI214" s="70">
        <v>1060</v>
      </c>
      <c r="BJ214" s="70">
        <v>1009</v>
      </c>
      <c r="BK214" s="70">
        <v>997</v>
      </c>
      <c r="BL214" s="70">
        <v>945</v>
      </c>
      <c r="BM214" s="4">
        <v>979</v>
      </c>
      <c r="BN214" s="4">
        <v>926</v>
      </c>
      <c r="BO214" s="4">
        <v>899</v>
      </c>
      <c r="BP214" s="4">
        <v>908</v>
      </c>
    </row>
    <row r="215" spans="1:68">
      <c r="A215" s="65" t="s">
        <v>421</v>
      </c>
      <c r="B215" s="4" t="s">
        <v>422</v>
      </c>
      <c r="C215" s="58" t="str">
        <f>_xll.RssMarket("6752","現在値")</f>
        <v/>
      </c>
      <c r="D215" s="59" t="e">
        <f t="shared" si="7"/>
        <v>#VALUE!</v>
      </c>
      <c r="E215" s="70">
        <v>3993</v>
      </c>
      <c r="F215" s="70">
        <v>4318</v>
      </c>
      <c r="G215" s="70">
        <v>4173</v>
      </c>
      <c r="H215" s="70">
        <v>4419</v>
      </c>
      <c r="I215" s="70">
        <v>4480</v>
      </c>
      <c r="J215" s="70">
        <v>4455</v>
      </c>
      <c r="K215" s="70">
        <v>4333</v>
      </c>
      <c r="L215" s="70">
        <v>4557</v>
      </c>
      <c r="M215" s="70">
        <v>4522</v>
      </c>
      <c r="N215" s="70">
        <v>4547</v>
      </c>
      <c r="O215" s="70">
        <v>4770</v>
      </c>
      <c r="P215" s="70">
        <v>4502</v>
      </c>
      <c r="Q215" s="70">
        <v>4393</v>
      </c>
      <c r="R215" s="70">
        <v>4540</v>
      </c>
      <c r="S215" s="70">
        <v>4610</v>
      </c>
      <c r="T215" s="70">
        <v>4454</v>
      </c>
      <c r="U215" s="70">
        <v>4230</v>
      </c>
      <c r="V215" s="70">
        <v>4393</v>
      </c>
      <c r="W215" s="70">
        <v>4419</v>
      </c>
      <c r="X215" s="70">
        <v>4200</v>
      </c>
      <c r="Y215" s="70">
        <v>4079</v>
      </c>
      <c r="Z215" s="70">
        <v>3800</v>
      </c>
      <c r="AA215" s="70">
        <v>3767</v>
      </c>
      <c r="AB215" s="70">
        <v>3756</v>
      </c>
      <c r="AC215" s="70">
        <v>3574</v>
      </c>
      <c r="AD215" s="70">
        <v>3754</v>
      </c>
      <c r="AE215" s="70">
        <v>3800</v>
      </c>
      <c r="AF215" s="70">
        <v>3916</v>
      </c>
      <c r="AG215" s="70">
        <v>3595</v>
      </c>
      <c r="AH215" s="70">
        <v>3700</v>
      </c>
      <c r="AI215" s="70">
        <v>3544</v>
      </c>
      <c r="AJ215" s="70">
        <v>3569</v>
      </c>
      <c r="AK215" s="70">
        <v>3566</v>
      </c>
      <c r="AL215" s="70">
        <v>3507</v>
      </c>
      <c r="AM215" s="70">
        <v>3421</v>
      </c>
      <c r="AN215" s="70">
        <v>3207</v>
      </c>
      <c r="AO215" s="70">
        <v>3353</v>
      </c>
      <c r="AP215" s="70">
        <v>3348</v>
      </c>
      <c r="AQ215" s="70">
        <v>3293</v>
      </c>
      <c r="AR215" s="70">
        <v>3377</v>
      </c>
      <c r="AS215" s="70">
        <v>3275</v>
      </c>
      <c r="AT215" s="70">
        <v>3405</v>
      </c>
      <c r="AU215" s="70">
        <v>3334</v>
      </c>
      <c r="AV215" s="70">
        <v>3318</v>
      </c>
      <c r="AW215" s="70">
        <v>3349</v>
      </c>
      <c r="AX215" s="70">
        <v>3324</v>
      </c>
      <c r="AY215" s="70">
        <v>3203</v>
      </c>
      <c r="AZ215" s="70">
        <v>3061</v>
      </c>
      <c r="BA215" s="70">
        <v>3103</v>
      </c>
      <c r="BB215" s="70">
        <v>2879</v>
      </c>
      <c r="BC215" s="70">
        <v>2904.5</v>
      </c>
      <c r="BD215" s="70">
        <v>2985</v>
      </c>
      <c r="BE215" s="70">
        <v>3019</v>
      </c>
      <c r="BF215" s="70">
        <v>2982.5</v>
      </c>
      <c r="BG215" s="70">
        <v>2897</v>
      </c>
      <c r="BH215" s="70">
        <v>2996</v>
      </c>
      <c r="BI215" s="70">
        <v>2925</v>
      </c>
      <c r="BJ215" s="70">
        <v>2917.5</v>
      </c>
      <c r="BK215" s="70">
        <v>2879.5</v>
      </c>
      <c r="BL215" s="70">
        <v>2861</v>
      </c>
      <c r="BM215" s="4">
        <v>2925</v>
      </c>
      <c r="BN215" s="4">
        <v>2955.5</v>
      </c>
      <c r="BO215" s="4">
        <v>2835.5</v>
      </c>
      <c r="BP215" s="4">
        <v>2780.5</v>
      </c>
    </row>
    <row r="216" spans="1:68">
      <c r="A216" s="65" t="s">
        <v>423</v>
      </c>
      <c r="B216" s="4" t="s">
        <v>424</v>
      </c>
      <c r="C216" s="58" t="str">
        <f>_xll.RssMarket("6622","現在値")</f>
        <v/>
      </c>
      <c r="D216" s="59" t="e">
        <f t="shared" si="7"/>
        <v>#VALUE!</v>
      </c>
      <c r="E216" s="70">
        <v>14040</v>
      </c>
      <c r="F216" s="70">
        <v>15730</v>
      </c>
      <c r="G216" s="70">
        <v>15120</v>
      </c>
      <c r="H216" s="70">
        <v>15070</v>
      </c>
      <c r="I216" s="70">
        <v>15590</v>
      </c>
      <c r="J216" s="70">
        <v>15280</v>
      </c>
      <c r="K216" s="70">
        <v>14790</v>
      </c>
      <c r="L216" s="70">
        <v>17160</v>
      </c>
      <c r="M216" s="70">
        <v>17000</v>
      </c>
      <c r="N216" s="70">
        <v>17130</v>
      </c>
      <c r="O216" s="70">
        <v>18550</v>
      </c>
      <c r="P216" s="70">
        <v>18050</v>
      </c>
      <c r="Q216" s="70">
        <v>17750</v>
      </c>
      <c r="R216" s="70">
        <v>18310</v>
      </c>
      <c r="S216" s="70">
        <v>18930</v>
      </c>
      <c r="T216" s="70">
        <v>18420</v>
      </c>
      <c r="U216" s="70">
        <v>18670</v>
      </c>
      <c r="V216" s="70">
        <v>19450</v>
      </c>
      <c r="W216" s="70">
        <v>17840</v>
      </c>
      <c r="X216" s="70">
        <v>16830</v>
      </c>
      <c r="Y216" s="70">
        <v>16230</v>
      </c>
      <c r="Z216" s="70">
        <v>14970</v>
      </c>
      <c r="AA216" s="70">
        <v>14440</v>
      </c>
      <c r="AB216" s="70">
        <v>14730</v>
      </c>
      <c r="AC216" s="70">
        <v>15360</v>
      </c>
      <c r="AD216" s="70">
        <v>16200</v>
      </c>
      <c r="AE216" s="70">
        <v>15760</v>
      </c>
      <c r="AF216" s="70">
        <v>15700</v>
      </c>
      <c r="AG216" s="70">
        <v>15280</v>
      </c>
      <c r="AH216" s="70">
        <v>15790</v>
      </c>
      <c r="AI216" s="70">
        <v>15850</v>
      </c>
      <c r="AJ216" s="70">
        <v>16380</v>
      </c>
      <c r="AK216" s="70">
        <v>16620</v>
      </c>
      <c r="AL216" s="70">
        <v>16830</v>
      </c>
      <c r="AM216" s="70">
        <v>16340</v>
      </c>
      <c r="AN216" s="70">
        <v>15820</v>
      </c>
      <c r="AO216" s="70">
        <v>15280</v>
      </c>
      <c r="AP216" s="70">
        <v>15840</v>
      </c>
      <c r="AQ216" s="70">
        <v>16540</v>
      </c>
      <c r="AR216" s="70">
        <v>16900</v>
      </c>
      <c r="AS216" s="70">
        <v>17330</v>
      </c>
      <c r="AT216" s="70">
        <v>18070</v>
      </c>
      <c r="AU216" s="70">
        <v>17720</v>
      </c>
      <c r="AV216" s="70">
        <v>17620</v>
      </c>
      <c r="AW216" s="70">
        <v>17280</v>
      </c>
      <c r="AX216" s="70">
        <v>16900</v>
      </c>
      <c r="AY216" s="70">
        <v>15760</v>
      </c>
      <c r="AZ216" s="70">
        <v>15380</v>
      </c>
      <c r="BA216" s="70">
        <v>14980</v>
      </c>
      <c r="BB216" s="70">
        <v>14770</v>
      </c>
      <c r="BC216" s="70">
        <v>13900</v>
      </c>
      <c r="BD216" s="70">
        <v>13720</v>
      </c>
      <c r="BE216" s="70">
        <v>13930</v>
      </c>
      <c r="BF216" s="70">
        <v>14100</v>
      </c>
      <c r="BG216" s="70">
        <v>13950</v>
      </c>
      <c r="BH216" s="70">
        <v>13880</v>
      </c>
      <c r="BI216" s="70">
        <v>14310</v>
      </c>
      <c r="BJ216" s="70">
        <v>13970</v>
      </c>
      <c r="BK216" s="70">
        <v>14380</v>
      </c>
      <c r="BL216" s="70">
        <v>14020</v>
      </c>
      <c r="BM216" s="4">
        <v>13950</v>
      </c>
      <c r="BN216" s="4">
        <v>13390</v>
      </c>
      <c r="BO216" s="4">
        <v>13730</v>
      </c>
      <c r="BP216" s="4">
        <v>12480</v>
      </c>
    </row>
    <row r="217" spans="1:68">
      <c r="A217" s="65" t="s">
        <v>425</v>
      </c>
      <c r="B217" s="4" t="s">
        <v>426</v>
      </c>
      <c r="C217" s="58" t="str">
        <f>_xll.RssMarket("1407","現在値")</f>
        <v/>
      </c>
      <c r="D217" s="59" t="e">
        <f t="shared" si="7"/>
        <v>#VALUE!</v>
      </c>
      <c r="E217" s="70">
        <v>2835</v>
      </c>
      <c r="F217" s="70">
        <v>2802</v>
      </c>
      <c r="G217" s="70">
        <v>2302</v>
      </c>
      <c r="H217" s="70">
        <v>2179</v>
      </c>
      <c r="I217" s="70">
        <v>2151</v>
      </c>
      <c r="J217" s="70">
        <v>2274</v>
      </c>
      <c r="K217" s="70">
        <v>2237</v>
      </c>
      <c r="L217" s="70">
        <v>2321</v>
      </c>
      <c r="M217" s="70">
        <v>2389</v>
      </c>
      <c r="N217" s="70">
        <v>2346</v>
      </c>
      <c r="O217" s="70">
        <v>2406</v>
      </c>
      <c r="P217" s="70">
        <v>2383</v>
      </c>
      <c r="Q217" s="70">
        <v>2427</v>
      </c>
      <c r="R217" s="70">
        <v>2345</v>
      </c>
      <c r="S217" s="70">
        <v>2291</v>
      </c>
      <c r="T217" s="70">
        <v>2345</v>
      </c>
      <c r="U217" s="70">
        <v>2400</v>
      </c>
      <c r="V217" s="70">
        <v>2250</v>
      </c>
      <c r="W217" s="70">
        <v>2216</v>
      </c>
      <c r="X217" s="70">
        <v>2310</v>
      </c>
      <c r="Y217" s="70">
        <v>2256</v>
      </c>
      <c r="Z217" s="70">
        <v>2313</v>
      </c>
      <c r="AA217" s="70">
        <v>2305</v>
      </c>
      <c r="AB217" s="70">
        <v>2297</v>
      </c>
      <c r="AC217" s="70">
        <v>2450</v>
      </c>
      <c r="AD217" s="70">
        <v>2478</v>
      </c>
      <c r="AE217" s="70">
        <v>2436</v>
      </c>
      <c r="AF217" s="70">
        <v>2578</v>
      </c>
      <c r="AG217" s="70">
        <v>2489</v>
      </c>
      <c r="AH217" s="70">
        <v>2600</v>
      </c>
      <c r="AI217" s="70">
        <v>2695</v>
      </c>
      <c r="AJ217" s="70">
        <v>2936</v>
      </c>
      <c r="AK217" s="70">
        <v>3115</v>
      </c>
      <c r="AL217" s="70">
        <v>2991</v>
      </c>
      <c r="AM217" s="70">
        <v>2891</v>
      </c>
      <c r="AN217" s="70">
        <v>2923</v>
      </c>
      <c r="AO217" s="70">
        <v>3085</v>
      </c>
      <c r="AP217" s="70">
        <v>3040</v>
      </c>
      <c r="AQ217" s="70">
        <v>2980</v>
      </c>
      <c r="AR217" s="70">
        <v>3005</v>
      </c>
      <c r="AS217" s="70">
        <v>3070</v>
      </c>
      <c r="AT217" s="70">
        <v>3015</v>
      </c>
      <c r="AU217" s="70">
        <v>2950</v>
      </c>
      <c r="AV217" s="70">
        <v>3115</v>
      </c>
      <c r="AW217" s="70">
        <v>2980</v>
      </c>
      <c r="AX217" s="70">
        <v>2860</v>
      </c>
      <c r="AY217" s="70">
        <v>2884</v>
      </c>
      <c r="AZ217" s="70">
        <v>2877</v>
      </c>
      <c r="BA217" s="70">
        <v>2756</v>
      </c>
      <c r="BB217" s="70">
        <v>2637</v>
      </c>
      <c r="BC217" s="70">
        <v>2548</v>
      </c>
      <c r="BD217" s="70">
        <v>2356</v>
      </c>
      <c r="BE217" s="70">
        <v>2270</v>
      </c>
      <c r="BF217" s="70">
        <v>2288</v>
      </c>
      <c r="BG217" s="70">
        <v>2279</v>
      </c>
      <c r="BH217" s="70">
        <v>2239</v>
      </c>
      <c r="BI217" s="70">
        <v>2320</v>
      </c>
      <c r="BJ217" s="70">
        <v>2122</v>
      </c>
      <c r="BK217" s="70">
        <v>1947</v>
      </c>
      <c r="BL217" s="70">
        <v>1855</v>
      </c>
      <c r="BM217" s="4">
        <v>1848</v>
      </c>
      <c r="BN217" s="4">
        <v>1824</v>
      </c>
      <c r="BO217" s="4">
        <v>1838</v>
      </c>
      <c r="BP217" s="4">
        <v>1831</v>
      </c>
    </row>
    <row r="218" spans="1:68">
      <c r="A218" s="65" t="s">
        <v>427</v>
      </c>
      <c r="B218" s="4" t="s">
        <v>428</v>
      </c>
      <c r="C218" s="58" t="str">
        <f>_xll.RssMarket("285A","現在値")</f>
        <v/>
      </c>
      <c r="D218" s="59" t="e">
        <f t="shared" si="7"/>
        <v>#VALUE!</v>
      </c>
      <c r="E218" s="70">
        <v>52110</v>
      </c>
      <c r="F218" s="70">
        <v>73100</v>
      </c>
      <c r="G218" s="70">
        <v>69100</v>
      </c>
      <c r="H218" s="70">
        <v>67100</v>
      </c>
      <c r="I218" s="70">
        <v>77000</v>
      </c>
      <c r="J218" s="70">
        <v>77860</v>
      </c>
      <c r="K218" s="70">
        <v>71870</v>
      </c>
      <c r="L218" s="70">
        <v>81590</v>
      </c>
      <c r="M218" s="70">
        <v>83300</v>
      </c>
      <c r="N218" s="70">
        <v>76260</v>
      </c>
      <c r="O218" s="70">
        <v>88130</v>
      </c>
      <c r="P218" s="70">
        <v>89680</v>
      </c>
      <c r="Q218" s="70">
        <v>88450</v>
      </c>
      <c r="R218" s="70">
        <v>92180</v>
      </c>
      <c r="S218" s="70">
        <v>103850</v>
      </c>
      <c r="T218" s="70">
        <v>92500</v>
      </c>
      <c r="U218" s="70">
        <v>92290</v>
      </c>
      <c r="V218" s="70">
        <v>108700</v>
      </c>
      <c r="W218" s="70">
        <v>108600</v>
      </c>
      <c r="X218" s="70">
        <v>96000</v>
      </c>
      <c r="Y218" s="70">
        <v>94720</v>
      </c>
      <c r="Z218" s="70">
        <v>81200</v>
      </c>
      <c r="AA218" s="70">
        <v>75440</v>
      </c>
      <c r="AB218" s="70">
        <v>70500</v>
      </c>
      <c r="AC218" s="70">
        <v>71880</v>
      </c>
      <c r="AD218" s="70">
        <v>78140</v>
      </c>
      <c r="AE218" s="70">
        <v>76920</v>
      </c>
      <c r="AF218" s="70">
        <v>78080</v>
      </c>
      <c r="AG218" s="70">
        <v>77540</v>
      </c>
      <c r="AH218" s="70">
        <v>72500</v>
      </c>
      <c r="AI218" s="70">
        <v>65850</v>
      </c>
      <c r="AJ218" s="70">
        <v>61280</v>
      </c>
      <c r="AK218" s="70">
        <v>60550</v>
      </c>
      <c r="AL218" s="70">
        <v>65450</v>
      </c>
      <c r="AM218" s="70">
        <v>57400</v>
      </c>
      <c r="AN218" s="70">
        <v>55340</v>
      </c>
      <c r="AO218" s="70">
        <v>51290</v>
      </c>
      <c r="AP218" s="70">
        <v>49770</v>
      </c>
      <c r="AQ218" s="70">
        <v>51450</v>
      </c>
      <c r="AR218" s="70">
        <v>44450</v>
      </c>
      <c r="AS218" s="70">
        <v>48460</v>
      </c>
      <c r="AT218" s="70">
        <v>50500</v>
      </c>
      <c r="AU218" s="70">
        <v>46100</v>
      </c>
      <c r="AV218" s="70">
        <v>45940</v>
      </c>
      <c r="AW218" s="70">
        <v>44490</v>
      </c>
      <c r="AX218" s="70">
        <v>43410</v>
      </c>
      <c r="AY218" s="70">
        <v>36410</v>
      </c>
      <c r="AZ218" s="70">
        <v>37560</v>
      </c>
      <c r="BA218" s="70">
        <v>36320</v>
      </c>
      <c r="BB218" s="70">
        <v>35470</v>
      </c>
      <c r="BC218" s="70">
        <v>34580</v>
      </c>
      <c r="BD218" s="70">
        <v>35380</v>
      </c>
      <c r="BE218" s="70">
        <v>34800</v>
      </c>
      <c r="BF218" s="70">
        <v>32740</v>
      </c>
      <c r="BG218" s="70">
        <v>30510</v>
      </c>
      <c r="BH218" s="70">
        <v>30530</v>
      </c>
      <c r="BI218" s="70">
        <v>33870</v>
      </c>
      <c r="BJ218" s="70">
        <v>32410</v>
      </c>
      <c r="BK218" s="70">
        <v>35000</v>
      </c>
      <c r="BL218" s="70">
        <v>31270</v>
      </c>
      <c r="BM218" s="4">
        <v>30140</v>
      </c>
      <c r="BN218" s="4">
        <v>27700</v>
      </c>
      <c r="BO218" s="4">
        <v>27600</v>
      </c>
      <c r="BP218" s="4">
        <v>23270</v>
      </c>
    </row>
    <row r="219" spans="1:68">
      <c r="A219" s="65" t="s">
        <v>429</v>
      </c>
      <c r="B219" s="4" t="s">
        <v>430</v>
      </c>
      <c r="C219" s="58" t="str">
        <f>_xll.RssMarket("141A","現在値")</f>
        <v/>
      </c>
      <c r="D219" s="59" t="e">
        <f t="shared" si="7"/>
        <v>#VALUE!</v>
      </c>
      <c r="E219" s="70">
        <v>2980</v>
      </c>
      <c r="F219" s="70">
        <v>3005</v>
      </c>
      <c r="G219" s="70">
        <v>3045</v>
      </c>
      <c r="H219" s="70">
        <v>3055</v>
      </c>
      <c r="I219" s="70">
        <v>3040</v>
      </c>
      <c r="J219" s="70">
        <v>3100</v>
      </c>
      <c r="K219" s="70">
        <v>3010</v>
      </c>
      <c r="L219" s="70">
        <v>3035</v>
      </c>
      <c r="M219" s="70">
        <v>3075</v>
      </c>
      <c r="N219" s="70">
        <v>2998</v>
      </c>
      <c r="O219" s="70">
        <v>2889</v>
      </c>
      <c r="P219" s="70">
        <v>2992</v>
      </c>
      <c r="Q219" s="70">
        <v>3070</v>
      </c>
      <c r="R219" s="70">
        <v>2952</v>
      </c>
      <c r="S219" s="70">
        <v>3025</v>
      </c>
      <c r="T219" s="70">
        <v>3035</v>
      </c>
      <c r="U219" s="70">
        <v>2803</v>
      </c>
      <c r="V219" s="70">
        <v>2743</v>
      </c>
      <c r="W219" s="70">
        <v>2745</v>
      </c>
      <c r="X219" s="70">
        <v>2803</v>
      </c>
      <c r="Y219" s="70">
        <v>2744</v>
      </c>
      <c r="Z219" s="70">
        <v>2789</v>
      </c>
      <c r="AA219" s="70">
        <v>2850</v>
      </c>
      <c r="AB219" s="70">
        <v>2793</v>
      </c>
      <c r="AC219" s="70">
        <v>2782</v>
      </c>
      <c r="AD219" s="70">
        <v>2774</v>
      </c>
      <c r="AE219" s="70">
        <v>2668</v>
      </c>
      <c r="AF219" s="70">
        <v>2734</v>
      </c>
      <c r="AG219" s="70">
        <v>2570</v>
      </c>
      <c r="AH219" s="70">
        <v>2686</v>
      </c>
      <c r="AI219" s="70">
        <v>2865</v>
      </c>
      <c r="AJ219" s="70">
        <v>2900</v>
      </c>
      <c r="AK219" s="70">
        <v>2805</v>
      </c>
      <c r="AL219" s="70">
        <v>2878</v>
      </c>
      <c r="AM219" s="70">
        <v>2971</v>
      </c>
      <c r="AN219" s="70">
        <v>3055</v>
      </c>
      <c r="AO219" s="70">
        <v>3105</v>
      </c>
      <c r="AP219" s="70">
        <v>3180</v>
      </c>
      <c r="AQ219" s="70">
        <v>2911</v>
      </c>
      <c r="AR219" s="70">
        <v>3570</v>
      </c>
      <c r="AS219" s="70">
        <v>4270</v>
      </c>
      <c r="AT219" s="70">
        <v>4440</v>
      </c>
      <c r="AU219" s="70">
        <v>4330</v>
      </c>
      <c r="AV219" s="70">
        <v>4225</v>
      </c>
      <c r="AW219" s="70">
        <v>4140</v>
      </c>
      <c r="AX219" s="70">
        <v>4155</v>
      </c>
      <c r="AY219" s="70">
        <v>3885</v>
      </c>
      <c r="AZ219" s="70">
        <v>3920</v>
      </c>
      <c r="BA219" s="70">
        <v>4045</v>
      </c>
      <c r="BB219" s="70">
        <v>3905</v>
      </c>
      <c r="BC219" s="70">
        <v>3985</v>
      </c>
      <c r="BD219" s="70">
        <v>4255</v>
      </c>
      <c r="BE219" s="70">
        <v>4525</v>
      </c>
      <c r="BF219" s="70">
        <v>4745</v>
      </c>
      <c r="BG219" s="70">
        <v>4585</v>
      </c>
      <c r="BH219" s="70">
        <v>4445</v>
      </c>
      <c r="BI219" s="70">
        <v>4495</v>
      </c>
      <c r="BJ219" s="70">
        <v>4380</v>
      </c>
      <c r="BK219" s="70">
        <v>4255</v>
      </c>
      <c r="BL219" s="70">
        <v>4170</v>
      </c>
      <c r="BM219" s="4">
        <v>4445</v>
      </c>
      <c r="BN219" s="4">
        <v>4425</v>
      </c>
      <c r="BO219" s="4">
        <v>4655</v>
      </c>
      <c r="BP219" s="4">
        <v>4780</v>
      </c>
    </row>
    <row r="220" spans="1:68">
      <c r="A220" s="65" t="s">
        <v>431</v>
      </c>
      <c r="B220" s="4" t="s">
        <v>432</v>
      </c>
      <c r="C220" s="58" t="str">
        <f>_xll.RssMarket("464A","現在値")</f>
        <v/>
      </c>
      <c r="D220" s="59" t="e">
        <f t="shared" si="7"/>
        <v>#VALUE!</v>
      </c>
      <c r="E220" s="70">
        <v>1597</v>
      </c>
      <c r="F220" s="70">
        <v>1886</v>
      </c>
      <c r="G220" s="70">
        <v>1844</v>
      </c>
      <c r="H220" s="70">
        <v>1821</v>
      </c>
      <c r="I220" s="70">
        <v>1833</v>
      </c>
      <c r="J220" s="70">
        <v>1825</v>
      </c>
      <c r="K220" s="70">
        <v>1797</v>
      </c>
      <c r="L220" s="70">
        <v>2054</v>
      </c>
      <c r="M220" s="70">
        <v>2098</v>
      </c>
      <c r="N220" s="70">
        <v>1983</v>
      </c>
      <c r="O220" s="70">
        <v>1908</v>
      </c>
      <c r="P220" s="70">
        <v>1948</v>
      </c>
      <c r="Q220" s="70">
        <v>1874</v>
      </c>
      <c r="R220" s="70">
        <v>1866</v>
      </c>
      <c r="S220" s="70">
        <v>1986</v>
      </c>
      <c r="T220" s="70">
        <v>1964</v>
      </c>
      <c r="U220" s="70">
        <v>2011</v>
      </c>
      <c r="V220" s="70">
        <v>2277</v>
      </c>
      <c r="W220" s="70">
        <v>2180</v>
      </c>
      <c r="X220" s="70">
        <v>2202</v>
      </c>
      <c r="Y220" s="70">
        <v>2280</v>
      </c>
      <c r="Z220" s="70">
        <v>2792</v>
      </c>
      <c r="AA220" s="70">
        <v>2607</v>
      </c>
      <c r="AB220" s="70">
        <v>2533</v>
      </c>
      <c r="AC220" s="70">
        <v>2870</v>
      </c>
      <c r="AD220" s="70">
        <v>2919</v>
      </c>
      <c r="AE220" s="70">
        <v>2720</v>
      </c>
      <c r="AF220" s="70">
        <v>2998</v>
      </c>
      <c r="AG220" s="70">
        <v>3080</v>
      </c>
      <c r="AH220" s="70">
        <v>3495</v>
      </c>
      <c r="AI220" s="70">
        <v>4060</v>
      </c>
      <c r="AJ220" s="70">
        <v>4365</v>
      </c>
      <c r="AK220" s="70">
        <v>4200</v>
      </c>
      <c r="AL220" s="70">
        <v>3930</v>
      </c>
      <c r="AM220" s="70">
        <v>3725</v>
      </c>
      <c r="AN220" s="70">
        <v>3435</v>
      </c>
      <c r="AO220" s="70">
        <v>3240</v>
      </c>
      <c r="AP220" s="70">
        <v>3565</v>
      </c>
      <c r="AQ220" s="70">
        <v>3230</v>
      </c>
      <c r="AR220" s="70">
        <v>3300</v>
      </c>
      <c r="AS220" s="70">
        <v>3280</v>
      </c>
      <c r="AT220" s="70">
        <v>3120</v>
      </c>
      <c r="AU220" s="70">
        <v>2954</v>
      </c>
      <c r="AV220" s="70">
        <v>2990</v>
      </c>
      <c r="AW220" s="70">
        <v>2825</v>
      </c>
      <c r="AX220" s="70">
        <v>2676</v>
      </c>
      <c r="AY220" s="70">
        <v>2530</v>
      </c>
      <c r="AZ220" s="70">
        <v>2520</v>
      </c>
      <c r="BA220" s="70">
        <v>2534</v>
      </c>
      <c r="BB220" s="70">
        <v>2423</v>
      </c>
      <c r="BC220" s="70">
        <v>2580</v>
      </c>
      <c r="BD220" s="70">
        <v>2582</v>
      </c>
      <c r="BE220" s="70">
        <v>2669</v>
      </c>
      <c r="BF220" s="70">
        <v>2750</v>
      </c>
      <c r="BG220" s="70">
        <v>2659</v>
      </c>
      <c r="BH220" s="70">
        <v>2647</v>
      </c>
      <c r="BI220" s="70">
        <v>2630</v>
      </c>
      <c r="BJ220" s="70">
        <v>2514</v>
      </c>
      <c r="BK220" s="70">
        <v>2610</v>
      </c>
      <c r="BL220" s="70">
        <v>2787</v>
      </c>
      <c r="BM220" s="4">
        <v>2832</v>
      </c>
      <c r="BN220" s="4">
        <v>2593</v>
      </c>
      <c r="BO220" s="4">
        <v>2702</v>
      </c>
      <c r="BP220" s="4">
        <v>2454</v>
      </c>
    </row>
    <row r="221" spans="1:68">
      <c r="A221" s="65" t="s">
        <v>433</v>
      </c>
      <c r="B221" s="4" t="s">
        <v>434</v>
      </c>
      <c r="C221" s="58" t="str">
        <f>_xll.RssMarket("485A","現在値")</f>
        <v/>
      </c>
      <c r="D221" s="59" t="e">
        <f t="shared" si="7"/>
        <v>#VALUE!</v>
      </c>
      <c r="E221" s="70">
        <v>1942</v>
      </c>
      <c r="F221" s="70">
        <v>2150</v>
      </c>
      <c r="G221" s="70">
        <v>1860</v>
      </c>
      <c r="H221" s="70">
        <v>1807</v>
      </c>
      <c r="I221" s="70">
        <v>1857</v>
      </c>
      <c r="J221" s="70">
        <v>2000</v>
      </c>
      <c r="K221" s="70">
        <v>1834</v>
      </c>
      <c r="L221" s="70">
        <v>2026</v>
      </c>
      <c r="M221" s="70">
        <v>2011</v>
      </c>
      <c r="N221" s="70">
        <v>1862</v>
      </c>
      <c r="O221" s="70">
        <v>1787</v>
      </c>
      <c r="P221" s="70">
        <v>1880</v>
      </c>
      <c r="Q221" s="70">
        <v>1975</v>
      </c>
      <c r="R221" s="70">
        <v>1977</v>
      </c>
      <c r="S221" s="70">
        <v>1922</v>
      </c>
      <c r="T221" s="70">
        <v>2150</v>
      </c>
      <c r="U221" s="70">
        <v>2134</v>
      </c>
      <c r="V221" s="70">
        <v>2200</v>
      </c>
      <c r="W221" s="70">
        <v>1800</v>
      </c>
      <c r="X221" s="70">
        <v>2291</v>
      </c>
      <c r="Y221" s="70">
        <v>2791</v>
      </c>
      <c r="Z221" s="70">
        <v>2562</v>
      </c>
      <c r="AA221" s="70">
        <v>2497</v>
      </c>
      <c r="AB221" s="70">
        <v>2312</v>
      </c>
      <c r="AC221" s="70">
        <v>2726</v>
      </c>
      <c r="AD221" s="70">
        <v>2889</v>
      </c>
      <c r="AE221" s="70">
        <v>2893</v>
      </c>
      <c r="AF221" s="70">
        <v>3210</v>
      </c>
      <c r="AG221" s="70">
        <v>3300</v>
      </c>
      <c r="AH221" s="70">
        <v>3465</v>
      </c>
      <c r="AI221" s="70">
        <v>3855</v>
      </c>
      <c r="AJ221" s="70">
        <v>4340</v>
      </c>
      <c r="AK221" s="70">
        <v>13590</v>
      </c>
      <c r="AL221" s="70">
        <v>14720</v>
      </c>
      <c r="AM221" s="70">
        <v>12850</v>
      </c>
      <c r="AN221" s="70">
        <v>13350</v>
      </c>
      <c r="AO221" s="70">
        <v>13650</v>
      </c>
      <c r="AP221" s="70">
        <v>14860</v>
      </c>
      <c r="AQ221" s="70">
        <v>14990</v>
      </c>
      <c r="AR221" s="70">
        <v>12320</v>
      </c>
      <c r="AS221" s="70">
        <v>12150</v>
      </c>
      <c r="AT221" s="70">
        <v>13200</v>
      </c>
      <c r="AU221" s="70">
        <v>13080</v>
      </c>
      <c r="AV221" s="70">
        <v>14960</v>
      </c>
      <c r="AW221" s="70">
        <v>14090</v>
      </c>
      <c r="AX221" s="70">
        <v>11090</v>
      </c>
      <c r="AY221" s="70">
        <v>10480</v>
      </c>
      <c r="AZ221" s="70">
        <v>10690</v>
      </c>
      <c r="BA221" s="70">
        <v>9850</v>
      </c>
      <c r="BB221" s="70">
        <v>8970</v>
      </c>
      <c r="BC221" s="70">
        <v>7740</v>
      </c>
      <c r="BD221" s="70">
        <v>7130</v>
      </c>
      <c r="BE221" s="70">
        <v>7670</v>
      </c>
      <c r="BF221" s="70">
        <v>7120</v>
      </c>
      <c r="BG221" s="70">
        <v>6710</v>
      </c>
      <c r="BH221" s="70">
        <v>6700</v>
      </c>
      <c r="BI221" s="70">
        <v>7320</v>
      </c>
      <c r="BJ221" s="70">
        <v>6750</v>
      </c>
      <c r="BK221" s="70">
        <v>7110</v>
      </c>
      <c r="BL221" s="70">
        <v>7120</v>
      </c>
      <c r="BM221" s="4">
        <v>7600</v>
      </c>
      <c r="BN221" s="4">
        <v>6700</v>
      </c>
      <c r="BO221" s="4">
        <v>6420</v>
      </c>
      <c r="BP221" s="4">
        <v>5750</v>
      </c>
    </row>
    <row r="222" spans="1:68">
      <c r="A222" s="65" t="s">
        <v>435</v>
      </c>
      <c r="B222" s="4" t="str">
        <f>銘柄管理!C222</f>
        <v/>
      </c>
      <c r="C222" s="58" t="str">
        <f>_xll.RssMarket("1570","現在値")</f>
        <v/>
      </c>
      <c r="D222" s="59" t="e">
        <f t="shared" si="7"/>
        <v>#VALUE!</v>
      </c>
      <c r="E222" s="70">
        <v>66090</v>
      </c>
      <c r="F222" s="70">
        <v>75920</v>
      </c>
      <c r="G222" s="70">
        <v>73770</v>
      </c>
      <c r="H222" s="70">
        <v>72730</v>
      </c>
      <c r="I222" s="70">
        <v>75850</v>
      </c>
      <c r="J222" s="70">
        <v>74350</v>
      </c>
      <c r="K222" s="70">
        <v>72500</v>
      </c>
      <c r="L222" s="70">
        <v>78500</v>
      </c>
      <c r="M222" s="70">
        <v>78680</v>
      </c>
      <c r="N222" s="70">
        <v>76380</v>
      </c>
      <c r="O222" s="70">
        <v>80090</v>
      </c>
      <c r="P222" s="70">
        <v>79510</v>
      </c>
      <c r="Q222" s="70">
        <v>78020</v>
      </c>
      <c r="R222" s="70">
        <v>77620</v>
      </c>
      <c r="S222" s="70">
        <v>84770</v>
      </c>
      <c r="T222" s="70">
        <v>77660</v>
      </c>
      <c r="U222" s="70">
        <v>79140</v>
      </c>
      <c r="V222" s="70">
        <v>85450</v>
      </c>
      <c r="W222" s="70">
        <v>82660</v>
      </c>
      <c r="X222" s="70">
        <v>79550</v>
      </c>
      <c r="Y222" s="70">
        <v>78180</v>
      </c>
      <c r="Z222" s="70">
        <v>71130</v>
      </c>
      <c r="AA222" s="70">
        <v>67250</v>
      </c>
      <c r="AB222" s="70">
        <v>67450</v>
      </c>
      <c r="AC222" s="70">
        <v>67010</v>
      </c>
      <c r="AD222" s="70">
        <v>72640</v>
      </c>
      <c r="AE222" s="70">
        <v>74620</v>
      </c>
      <c r="AF222" s="70">
        <v>76720</v>
      </c>
      <c r="AG222" s="70">
        <v>72930</v>
      </c>
      <c r="AH222" s="70">
        <v>73490</v>
      </c>
      <c r="AI222" s="70">
        <v>72090</v>
      </c>
      <c r="AJ222" s="70">
        <v>68680</v>
      </c>
      <c r="AK222" s="70">
        <v>69560</v>
      </c>
      <c r="AL222" s="70">
        <v>70010</v>
      </c>
      <c r="AM222" s="70">
        <v>65880</v>
      </c>
      <c r="AN222" s="70">
        <v>62540</v>
      </c>
      <c r="AO222" s="70">
        <v>59060</v>
      </c>
      <c r="AP222" s="70">
        <v>60530</v>
      </c>
      <c r="AQ222" s="70">
        <v>60970</v>
      </c>
      <c r="AR222" s="70">
        <v>62240</v>
      </c>
      <c r="AS222" s="70">
        <v>64770</v>
      </c>
      <c r="AT222" s="70">
        <v>66000</v>
      </c>
      <c r="AU222" s="70">
        <v>64830</v>
      </c>
      <c r="AV222" s="70">
        <v>64310</v>
      </c>
      <c r="AW222" s="70">
        <v>64800</v>
      </c>
      <c r="AX222" s="70">
        <v>65520</v>
      </c>
      <c r="AY222" s="70">
        <v>58570</v>
      </c>
      <c r="AZ222" s="70">
        <v>58070</v>
      </c>
      <c r="BA222" s="70">
        <v>59440</v>
      </c>
      <c r="BB222" s="70">
        <v>60810</v>
      </c>
      <c r="BC222" s="70">
        <v>59020</v>
      </c>
      <c r="BD222" s="70">
        <v>57970</v>
      </c>
      <c r="BE222" s="70">
        <v>58850</v>
      </c>
      <c r="BF222" s="70">
        <v>58390</v>
      </c>
      <c r="BG222" s="70">
        <v>57370</v>
      </c>
      <c r="BH222" s="70">
        <v>57070</v>
      </c>
      <c r="BI222" s="70">
        <v>59020</v>
      </c>
      <c r="BJ222" s="70">
        <v>56180</v>
      </c>
      <c r="BK222" s="70">
        <v>55560</v>
      </c>
      <c r="BL222" s="70">
        <v>53100</v>
      </c>
      <c r="BM222" s="4">
        <v>53800</v>
      </c>
      <c r="BN222" s="4">
        <v>52140</v>
      </c>
      <c r="BO222" s="4">
        <v>52900</v>
      </c>
      <c r="BP222" s="4">
        <v>47750</v>
      </c>
    </row>
    <row r="223" spans="1:68">
      <c r="A223" s="65" t="s">
        <v>436</v>
      </c>
      <c r="B223" s="4" t="str">
        <f>銘柄管理!C223</f>
        <v/>
      </c>
      <c r="C223" s="58" t="str">
        <f>_xll.RssMarket("6135","現在値")</f>
        <v/>
      </c>
      <c r="D223" s="59" t="e">
        <f t="shared" si="7"/>
        <v>#VALUE!</v>
      </c>
      <c r="E223" s="70">
        <v>14420</v>
      </c>
      <c r="F223" s="4">
        <v>14790</v>
      </c>
      <c r="G223" s="4">
        <v>14820</v>
      </c>
      <c r="H223" s="4">
        <v>14960</v>
      </c>
      <c r="I223" s="4">
        <v>14810</v>
      </c>
      <c r="J223" s="4">
        <v>14580</v>
      </c>
      <c r="K223" s="4">
        <v>15100</v>
      </c>
      <c r="L223" s="4">
        <v>15330</v>
      </c>
      <c r="M223" s="4">
        <v>15200</v>
      </c>
      <c r="N223" s="4">
        <v>15410</v>
      </c>
      <c r="O223" s="4">
        <v>15200</v>
      </c>
      <c r="P223" s="4">
        <v>15130</v>
      </c>
      <c r="Q223" s="4">
        <v>15340</v>
      </c>
      <c r="R223" s="4">
        <v>15710</v>
      </c>
      <c r="S223" s="4">
        <v>14310</v>
      </c>
      <c r="T223" s="4">
        <v>14120</v>
      </c>
      <c r="U223" s="4">
        <v>14550</v>
      </c>
      <c r="V223" s="4">
        <v>14560</v>
      </c>
      <c r="W223" s="4">
        <v>14250</v>
      </c>
      <c r="X223" s="4">
        <v>14390</v>
      </c>
      <c r="Y223" s="4">
        <v>13980</v>
      </c>
      <c r="Z223" s="4">
        <v>14150</v>
      </c>
      <c r="AA223" s="4">
        <v>14490</v>
      </c>
      <c r="AB223" s="4">
        <v>14190</v>
      </c>
      <c r="AC223" s="4">
        <v>14510</v>
      </c>
      <c r="AD223" s="4">
        <v>14050</v>
      </c>
      <c r="AE223" s="4">
        <v>13990</v>
      </c>
      <c r="AF223" s="4">
        <v>13750</v>
      </c>
      <c r="AG223" s="4">
        <v>14110</v>
      </c>
      <c r="AH223" s="4">
        <v>13240</v>
      </c>
      <c r="AI223" s="4">
        <v>13210</v>
      </c>
      <c r="AJ223" s="4">
        <v>13220</v>
      </c>
      <c r="AK223" s="4">
        <v>13400</v>
      </c>
      <c r="AL223" s="4">
        <v>13110</v>
      </c>
      <c r="AM223" s="4">
        <v>13290</v>
      </c>
      <c r="AN223" s="4">
        <v>13190</v>
      </c>
      <c r="AO223" s="4">
        <v>13810</v>
      </c>
      <c r="AP223" s="4">
        <v>13680</v>
      </c>
      <c r="AQ223" s="4">
        <v>13620</v>
      </c>
      <c r="AR223" s="4">
        <v>13960</v>
      </c>
      <c r="AS223" s="4">
        <v>13610</v>
      </c>
      <c r="AT223" s="4">
        <v>13750</v>
      </c>
      <c r="AU223" s="4">
        <v>13680</v>
      </c>
      <c r="AV223" s="4">
        <v>13200</v>
      </c>
      <c r="AW223" s="4">
        <v>13650</v>
      </c>
      <c r="AX223" s="4">
        <v>12660</v>
      </c>
      <c r="AY223" s="4">
        <v>11900</v>
      </c>
      <c r="AZ223" s="4">
        <v>11800</v>
      </c>
      <c r="BA223" s="4">
        <v>11800</v>
      </c>
      <c r="BB223" s="4">
        <v>11790</v>
      </c>
      <c r="BC223" s="4">
        <v>10570</v>
      </c>
      <c r="BD223" s="4">
        <v>11590</v>
      </c>
      <c r="BE223" s="4">
        <v>11620</v>
      </c>
      <c r="BF223" s="4">
        <v>11630</v>
      </c>
      <c r="BG223" s="4">
        <v>11630</v>
      </c>
      <c r="BH223" s="4">
        <v>11600</v>
      </c>
      <c r="BI223" s="4">
        <v>11610</v>
      </c>
      <c r="BJ223" s="4">
        <v>11610</v>
      </c>
      <c r="BK223" s="4">
        <v>11590</v>
      </c>
      <c r="BL223" s="4">
        <v>11600</v>
      </c>
      <c r="BM223" s="4">
        <v>11610</v>
      </c>
      <c r="BN223" s="4">
        <v>11540</v>
      </c>
      <c r="BO223" s="4">
        <v>11540</v>
      </c>
    </row>
    <row r="224" spans="1:68">
      <c r="A224" s="65" t="s">
        <v>437</v>
      </c>
      <c r="B224" s="4" t="str">
        <f>銘柄管理!C224</f>
        <v/>
      </c>
      <c r="C224" s="58" t="str">
        <f>_xll.RssMarket("6055","現在値")</f>
        <v/>
      </c>
      <c r="D224" s="59" t="e">
        <f t="shared" si="7"/>
        <v>#VALUE!</v>
      </c>
      <c r="E224" s="70">
        <v>2253</v>
      </c>
      <c r="F224" s="4">
        <v>2610</v>
      </c>
      <c r="G224" s="4">
        <v>2567</v>
      </c>
      <c r="H224" s="4">
        <v>2623</v>
      </c>
      <c r="I224" s="4">
        <v>2657</v>
      </c>
      <c r="J224" s="4">
        <v>2549</v>
      </c>
      <c r="K224" s="4">
        <v>2474</v>
      </c>
      <c r="L224" s="4">
        <v>2451</v>
      </c>
      <c r="M224" s="4">
        <v>2500</v>
      </c>
      <c r="N224" s="4">
        <v>2490</v>
      </c>
      <c r="O224" s="4">
        <v>2684</v>
      </c>
      <c r="P224" s="4">
        <v>2570</v>
      </c>
      <c r="Q224" s="4">
        <v>2605</v>
      </c>
      <c r="R224" s="4">
        <v>2633</v>
      </c>
      <c r="S224" s="4">
        <v>2718</v>
      </c>
      <c r="T224" s="4">
        <v>2526</v>
      </c>
      <c r="U224" s="4">
        <v>2555</v>
      </c>
      <c r="V224" s="4">
        <v>2632</v>
      </c>
      <c r="W224" s="4">
        <v>2454</v>
      </c>
      <c r="X224" s="4">
        <v>2361</v>
      </c>
      <c r="Y224" s="4">
        <v>2396</v>
      </c>
      <c r="Z224" s="4">
        <v>2267</v>
      </c>
      <c r="AA224" s="4">
        <v>2167</v>
      </c>
      <c r="AB224" s="4">
        <v>2118</v>
      </c>
      <c r="AC224" s="4">
        <v>2084</v>
      </c>
      <c r="AD224" s="4">
        <v>2266</v>
      </c>
      <c r="AE224" s="4">
        <v>2422</v>
      </c>
      <c r="AF224" s="4">
        <v>2117</v>
      </c>
      <c r="AG224" s="4">
        <v>2007</v>
      </c>
      <c r="AH224" s="4">
        <v>2107</v>
      </c>
      <c r="AI224" s="4">
        <v>2053</v>
      </c>
      <c r="AJ224" s="4">
        <v>2051</v>
      </c>
      <c r="AK224" s="4">
        <v>2124</v>
      </c>
      <c r="AL224" s="4">
        <v>1993</v>
      </c>
      <c r="AM224" s="4">
        <v>2011</v>
      </c>
      <c r="AN224" s="4">
        <v>1933</v>
      </c>
      <c r="AO224" s="4">
        <v>1972</v>
      </c>
      <c r="AP224" s="4">
        <v>2078</v>
      </c>
      <c r="AQ224" s="4">
        <v>1992</v>
      </c>
      <c r="AR224" s="4">
        <v>2012</v>
      </c>
      <c r="AS224" s="4">
        <v>2146</v>
      </c>
      <c r="AT224" s="4">
        <v>2173</v>
      </c>
      <c r="AU224" s="4">
        <v>2077</v>
      </c>
      <c r="AV224" s="4">
        <v>1953</v>
      </c>
      <c r="AW224" s="4">
        <v>1933</v>
      </c>
      <c r="AX224" s="4">
        <v>1800</v>
      </c>
      <c r="AY224" s="4">
        <v>1778</v>
      </c>
      <c r="AZ224" s="4">
        <v>1802</v>
      </c>
      <c r="BA224" s="4">
        <v>1872</v>
      </c>
      <c r="BB224" s="4">
        <v>1814</v>
      </c>
      <c r="BC224" s="4">
        <v>1786</v>
      </c>
      <c r="BD224" s="4">
        <v>1824</v>
      </c>
      <c r="BE224" s="4">
        <v>1844</v>
      </c>
      <c r="BF224" s="4">
        <v>1847</v>
      </c>
      <c r="BG224" s="4">
        <v>1862</v>
      </c>
      <c r="BH224" s="4">
        <v>1900</v>
      </c>
      <c r="BI224" s="4">
        <v>1900</v>
      </c>
      <c r="BJ224" s="4">
        <v>1905</v>
      </c>
      <c r="BK224" s="4">
        <v>1793</v>
      </c>
      <c r="BL224" s="4">
        <v>1801</v>
      </c>
      <c r="BM224" s="4">
        <v>1774</v>
      </c>
      <c r="BN224" s="4">
        <v>1811</v>
      </c>
      <c r="BO224" s="4">
        <v>1665</v>
      </c>
      <c r="BP224" s="4">
        <v>1642</v>
      </c>
    </row>
    <row r="225" spans="1:68">
      <c r="A225" s="65" t="s">
        <v>438</v>
      </c>
      <c r="B225" s="4" t="str">
        <f>銘柄管理!C225</f>
        <v/>
      </c>
      <c r="C225" s="4" t="str">
        <f>_xll.RssMarket("6862","現在値")</f>
        <v/>
      </c>
      <c r="D225" s="4" t="e">
        <f t="shared" si="7"/>
        <v>#VALUE!</v>
      </c>
      <c r="E225" s="70">
        <v>1765</v>
      </c>
      <c r="F225" s="4">
        <v>2073</v>
      </c>
      <c r="G225" s="4">
        <v>2009</v>
      </c>
      <c r="H225" s="4">
        <v>1976</v>
      </c>
      <c r="I225" s="4">
        <v>2044</v>
      </c>
      <c r="J225" s="4">
        <v>1972</v>
      </c>
      <c r="K225" s="4">
        <v>1931</v>
      </c>
      <c r="L225" s="4">
        <v>2078</v>
      </c>
      <c r="M225" s="4">
        <v>2139</v>
      </c>
      <c r="N225" s="4">
        <v>2125</v>
      </c>
      <c r="O225" s="4">
        <v>2133</v>
      </c>
      <c r="P225" s="4">
        <v>2109</v>
      </c>
      <c r="Q225" s="4">
        <v>2117</v>
      </c>
      <c r="R225" s="4">
        <v>2179</v>
      </c>
      <c r="S225" s="4">
        <v>2330</v>
      </c>
      <c r="T225" s="4">
        <v>2233</v>
      </c>
      <c r="U225" s="4">
        <v>2210</v>
      </c>
      <c r="V225" s="4">
        <v>2340</v>
      </c>
      <c r="W225" s="4">
        <v>2540</v>
      </c>
      <c r="X225" s="4">
        <v>2191</v>
      </c>
      <c r="Y225" s="4">
        <v>2138</v>
      </c>
      <c r="Z225" s="4">
        <v>1920</v>
      </c>
      <c r="AA225" s="4">
        <v>1907</v>
      </c>
      <c r="AB225" s="4">
        <v>1962</v>
      </c>
      <c r="AC225" s="4">
        <v>2099</v>
      </c>
      <c r="AD225" s="4">
        <v>2269</v>
      </c>
      <c r="AE225" s="4">
        <v>2135</v>
      </c>
      <c r="AF225" s="4">
        <v>2260</v>
      </c>
      <c r="AG225" s="4">
        <v>2196</v>
      </c>
      <c r="AH225" s="4">
        <v>2175</v>
      </c>
      <c r="AI225" s="4">
        <v>2204</v>
      </c>
      <c r="AJ225" s="4">
        <v>2192</v>
      </c>
      <c r="AK225" s="4">
        <v>2260</v>
      </c>
      <c r="AL225" s="4">
        <v>2541</v>
      </c>
      <c r="AM225" s="4">
        <v>2548</v>
      </c>
      <c r="AN225" s="4">
        <v>2417</v>
      </c>
      <c r="AO225" s="4">
        <v>2355</v>
      </c>
      <c r="AP225" s="4">
        <v>2533</v>
      </c>
      <c r="AQ225" s="4">
        <v>2743</v>
      </c>
      <c r="AR225" s="4">
        <v>2729</v>
      </c>
      <c r="AS225" s="4">
        <v>2975</v>
      </c>
      <c r="AT225" s="4">
        <v>2930</v>
      </c>
      <c r="AU225" s="4">
        <v>3630</v>
      </c>
      <c r="AV225" s="4">
        <v>3485</v>
      </c>
      <c r="AW225" s="4">
        <v>3885</v>
      </c>
      <c r="AX225" s="4">
        <v>3760</v>
      </c>
      <c r="AY225" s="4">
        <v>3060</v>
      </c>
      <c r="AZ225" s="4">
        <v>2841</v>
      </c>
      <c r="BA225" s="4">
        <v>2622</v>
      </c>
      <c r="BB225" s="4">
        <v>2696</v>
      </c>
      <c r="BC225" s="4">
        <v>2482</v>
      </c>
      <c r="BD225" s="4">
        <v>2453</v>
      </c>
      <c r="BE225" s="4">
        <v>2480</v>
      </c>
      <c r="BF225" s="4">
        <v>2518</v>
      </c>
      <c r="BG225" s="4">
        <v>2509</v>
      </c>
      <c r="BH225" s="4">
        <v>2372</v>
      </c>
      <c r="BI225" s="4">
        <v>2467</v>
      </c>
      <c r="BJ225" s="4">
        <v>2388</v>
      </c>
      <c r="BK225" s="4">
        <v>2591</v>
      </c>
      <c r="BL225" s="4">
        <v>2312</v>
      </c>
      <c r="BM225" s="4">
        <v>2198</v>
      </c>
      <c r="BN225" s="4">
        <v>2195</v>
      </c>
      <c r="BO225" s="4">
        <v>2359</v>
      </c>
      <c r="BP225" s="4">
        <v>2048</v>
      </c>
    </row>
    <row r="226" spans="1:68">
      <c r="A226" s="65" t="s">
        <v>439</v>
      </c>
      <c r="B226" s="4" t="str">
        <f>銘柄管理!C226</f>
        <v/>
      </c>
      <c r="C226" s="4" t="str">
        <f>_xll.RssMarket("2267","現在値")</f>
        <v/>
      </c>
      <c r="D226" s="4" t="e">
        <f t="shared" si="7"/>
        <v>#VALUE!</v>
      </c>
      <c r="E226" s="70">
        <v>2834.5</v>
      </c>
      <c r="F226" s="4">
        <v>2820</v>
      </c>
      <c r="G226" s="4">
        <v>2840</v>
      </c>
      <c r="H226" s="4">
        <v>2850</v>
      </c>
      <c r="I226" s="4">
        <v>2840.5</v>
      </c>
      <c r="J226" s="4">
        <v>2836.5</v>
      </c>
      <c r="K226" s="4">
        <v>2920</v>
      </c>
      <c r="L226" s="4">
        <v>2904</v>
      </c>
      <c r="M226" s="4">
        <v>2846.5</v>
      </c>
      <c r="N226" s="4">
        <v>2790.5</v>
      </c>
      <c r="O226" s="4">
        <v>2703</v>
      </c>
      <c r="P226" s="4">
        <v>2746</v>
      </c>
      <c r="Q226" s="4">
        <v>2749.5</v>
      </c>
      <c r="R226" s="4">
        <v>2753</v>
      </c>
      <c r="S226" s="4">
        <v>2725.5</v>
      </c>
      <c r="T226" s="4">
        <v>2721.5</v>
      </c>
      <c r="U226" s="4">
        <v>2700.5</v>
      </c>
      <c r="V226" s="4">
        <v>2705</v>
      </c>
      <c r="W226" s="4">
        <v>2703</v>
      </c>
      <c r="X226" s="4">
        <v>2619.5</v>
      </c>
      <c r="Y226" s="4">
        <v>2634.5</v>
      </c>
      <c r="Z226" s="4">
        <v>2667</v>
      </c>
      <c r="AA226" s="4">
        <v>2658</v>
      </c>
      <c r="AB226" s="4">
        <v>2682</v>
      </c>
      <c r="AC226" s="4">
        <v>2675</v>
      </c>
      <c r="AD226" s="4">
        <v>2630</v>
      </c>
      <c r="AE226" s="4">
        <v>2684.5</v>
      </c>
      <c r="AF226" s="4">
        <v>2714</v>
      </c>
      <c r="AG226" s="4">
        <v>2683.5</v>
      </c>
      <c r="AH226" s="4">
        <v>2757.5</v>
      </c>
      <c r="AI226" s="4">
        <v>2681.5</v>
      </c>
      <c r="AJ226" s="4">
        <v>2720.5</v>
      </c>
      <c r="AK226" s="4">
        <v>2733.5</v>
      </c>
      <c r="AL226" s="4">
        <v>2773.5</v>
      </c>
      <c r="AM226" s="4">
        <v>2806.5</v>
      </c>
      <c r="AN226" s="4">
        <v>2765</v>
      </c>
      <c r="AO226" s="4">
        <v>2772.5</v>
      </c>
      <c r="AP226" s="4">
        <v>2811</v>
      </c>
      <c r="AQ226" s="4">
        <v>2713</v>
      </c>
      <c r="AR226" s="4">
        <v>2761.5</v>
      </c>
      <c r="AS226" s="4">
        <v>2784.5</v>
      </c>
      <c r="AT226" s="4">
        <v>2800.5</v>
      </c>
      <c r="AU226" s="4">
        <v>2620</v>
      </c>
      <c r="AV226" s="4">
        <v>2906</v>
      </c>
      <c r="AW226" s="4">
        <v>2924.5</v>
      </c>
      <c r="AX226" s="4">
        <v>2961.5</v>
      </c>
      <c r="AY226" s="4">
        <v>3087</v>
      </c>
      <c r="AZ226" s="4">
        <v>2732.5</v>
      </c>
      <c r="BA226" s="4">
        <v>2722.5</v>
      </c>
      <c r="BB226" s="4">
        <v>2732.5</v>
      </c>
      <c r="BC226" s="4">
        <v>2768.5</v>
      </c>
      <c r="BD226" s="4">
        <v>2622.5</v>
      </c>
      <c r="BE226" s="4">
        <v>2600</v>
      </c>
      <c r="BF226" s="4">
        <v>2608.5</v>
      </c>
      <c r="BG226" s="4">
        <v>2620.5</v>
      </c>
      <c r="BH226" s="4">
        <v>2644.5</v>
      </c>
      <c r="BI226" s="4">
        <v>2654</v>
      </c>
      <c r="BJ226" s="4">
        <v>2720</v>
      </c>
      <c r="BK226" s="4">
        <v>2628.5</v>
      </c>
      <c r="BL226" s="4">
        <v>2638</v>
      </c>
      <c r="BM226" s="4">
        <v>2647</v>
      </c>
      <c r="BN226" s="4">
        <v>2701</v>
      </c>
      <c r="BO226" s="4">
        <v>2775</v>
      </c>
      <c r="BP226" s="4">
        <v>2755.5</v>
      </c>
    </row>
    <row r="227" spans="1:68">
      <c r="A227" s="65" t="s">
        <v>440</v>
      </c>
      <c r="B227" s="4" t="str">
        <f>銘柄管理!C227</f>
        <v/>
      </c>
      <c r="C227" s="4" t="str">
        <f>_xll.RssMarket("1618","現在値")</f>
        <v/>
      </c>
      <c r="D227" s="4" t="e">
        <f t="shared" si="7"/>
        <v>#VALUE!</v>
      </c>
      <c r="E227" s="70">
        <v>31670</v>
      </c>
      <c r="F227" s="4">
        <v>32490</v>
      </c>
      <c r="G227" s="4">
        <v>32010</v>
      </c>
      <c r="H227" s="4">
        <v>32570</v>
      </c>
      <c r="I227" s="4">
        <v>32590</v>
      </c>
      <c r="J227" s="4">
        <v>32620</v>
      </c>
      <c r="K227" s="4">
        <v>32400</v>
      </c>
      <c r="L227" s="4">
        <v>32500</v>
      </c>
      <c r="M227" s="4">
        <v>31720</v>
      </c>
      <c r="N227" s="4">
        <v>31360</v>
      </c>
      <c r="O227" s="4">
        <v>31120</v>
      </c>
      <c r="P227" s="4">
        <v>31070</v>
      </c>
      <c r="Q227" s="4">
        <v>31660</v>
      </c>
      <c r="R227" s="4">
        <v>31330</v>
      </c>
      <c r="S227" s="4">
        <v>31060</v>
      </c>
      <c r="T227" s="4">
        <v>31770</v>
      </c>
      <c r="U227" s="4">
        <v>32250</v>
      </c>
      <c r="V227" s="4">
        <v>32520</v>
      </c>
      <c r="W227" s="4">
        <v>32950</v>
      </c>
      <c r="X227" s="4">
        <v>32410</v>
      </c>
      <c r="Y227" s="4">
        <v>32260</v>
      </c>
      <c r="Z227" s="4">
        <v>32420</v>
      </c>
      <c r="AA227" s="4">
        <v>32910</v>
      </c>
      <c r="AB227" s="4">
        <v>32130</v>
      </c>
      <c r="AC227" s="4">
        <v>33540</v>
      </c>
      <c r="AD227" s="4">
        <v>34010</v>
      </c>
      <c r="AE227" s="4">
        <v>33900</v>
      </c>
      <c r="AF227" s="4">
        <v>34900</v>
      </c>
      <c r="AG227" s="4">
        <v>33640</v>
      </c>
      <c r="AH227" s="4">
        <v>32850</v>
      </c>
      <c r="AI227" s="4">
        <v>34020</v>
      </c>
      <c r="AJ227" s="4">
        <v>34140</v>
      </c>
      <c r="AK227" s="4">
        <v>34190</v>
      </c>
      <c r="AL227" s="4">
        <v>34050</v>
      </c>
      <c r="AM227" s="4">
        <v>34840</v>
      </c>
      <c r="AN227" s="4">
        <v>35000</v>
      </c>
      <c r="AO227" s="4">
        <v>35570</v>
      </c>
      <c r="AP227" s="4">
        <v>36050</v>
      </c>
      <c r="AQ227" s="4">
        <v>35830</v>
      </c>
      <c r="AR227" s="4">
        <v>36390</v>
      </c>
      <c r="AS227" s="4">
        <v>35670</v>
      </c>
      <c r="AT227" s="4">
        <v>36000</v>
      </c>
      <c r="AU227" s="4">
        <v>36560</v>
      </c>
      <c r="AV227" s="4">
        <v>35330</v>
      </c>
      <c r="AW227" s="4">
        <v>34850</v>
      </c>
      <c r="AX227" s="4">
        <v>35260</v>
      </c>
      <c r="AY227" s="4">
        <v>36430</v>
      </c>
      <c r="AZ227" s="4">
        <v>36110</v>
      </c>
      <c r="BA227" s="4">
        <v>36200</v>
      </c>
      <c r="BB227" s="4">
        <v>35000</v>
      </c>
      <c r="BC227" s="4">
        <v>36020</v>
      </c>
      <c r="BD227" s="4">
        <v>35630</v>
      </c>
      <c r="BE227" s="4">
        <v>35340</v>
      </c>
      <c r="BF227" s="4">
        <v>35700</v>
      </c>
      <c r="BG227" s="4">
        <v>36070</v>
      </c>
      <c r="BH227" s="4">
        <v>37180</v>
      </c>
      <c r="BI227" s="4">
        <v>37580</v>
      </c>
      <c r="BJ227" s="4">
        <v>38060</v>
      </c>
      <c r="BK227" s="4">
        <v>38660</v>
      </c>
      <c r="BL227" s="4">
        <v>39070</v>
      </c>
      <c r="BM227" s="4">
        <v>38600</v>
      </c>
      <c r="BN227" s="4">
        <v>39100</v>
      </c>
      <c r="BO227" s="4">
        <v>39320</v>
      </c>
      <c r="BP227" s="4">
        <v>40620</v>
      </c>
    </row>
    <row r="228" spans="1:68">
      <c r="A228" s="65" t="s">
        <v>441</v>
      </c>
      <c r="C228" s="4" t="str">
        <f>_xll.RssMarket("3696","現在値")</f>
        <v/>
      </c>
      <c r="D228" s="4" t="e">
        <f t="shared" si="7"/>
        <v>#VALUE!</v>
      </c>
      <c r="E228" s="70">
        <v>2108</v>
      </c>
      <c r="F228" s="4">
        <v>2158</v>
      </c>
      <c r="G228" s="4">
        <v>2160</v>
      </c>
      <c r="H228" s="4">
        <v>2133</v>
      </c>
      <c r="I228" s="4">
        <v>2156</v>
      </c>
      <c r="J228" s="4">
        <v>2134</v>
      </c>
      <c r="K228" s="4">
        <v>2144</v>
      </c>
      <c r="L228" s="4">
        <v>2101</v>
      </c>
      <c r="M228" s="4">
        <v>2096</v>
      </c>
      <c r="N228" s="4">
        <v>2186</v>
      </c>
      <c r="O228" s="4">
        <v>2112</v>
      </c>
      <c r="P228" s="4">
        <v>2091</v>
      </c>
      <c r="Q228" s="4">
        <v>2054</v>
      </c>
      <c r="R228" s="4">
        <v>2039</v>
      </c>
      <c r="S228" s="4">
        <v>1699</v>
      </c>
      <c r="T228" s="4">
        <v>1710</v>
      </c>
      <c r="U228" s="4">
        <v>1709</v>
      </c>
      <c r="V228" s="4">
        <v>1734</v>
      </c>
      <c r="W228" s="4">
        <v>1751</v>
      </c>
      <c r="X228" s="4">
        <v>1806</v>
      </c>
      <c r="Y228" s="4">
        <v>1782</v>
      </c>
      <c r="Z228" s="4">
        <v>1781</v>
      </c>
      <c r="AA228" s="4">
        <v>1775</v>
      </c>
      <c r="AB228" s="4">
        <v>1769</v>
      </c>
      <c r="AC228" s="4">
        <v>1726</v>
      </c>
      <c r="AD228" s="4">
        <v>1789</v>
      </c>
      <c r="AE228" s="4">
        <v>1731</v>
      </c>
      <c r="AF228" s="4">
        <v>1783</v>
      </c>
      <c r="AG228" s="4">
        <v>1885</v>
      </c>
      <c r="AH228" s="4">
        <v>1832</v>
      </c>
      <c r="AI228" s="4">
        <v>1798</v>
      </c>
      <c r="AJ228" s="4">
        <v>1736</v>
      </c>
      <c r="AK228" s="4">
        <v>1709</v>
      </c>
      <c r="AL228" s="4">
        <v>1775</v>
      </c>
      <c r="AM228" s="4">
        <v>1801</v>
      </c>
      <c r="AN228" s="4">
        <v>1838</v>
      </c>
      <c r="AO228" s="4">
        <v>1790</v>
      </c>
      <c r="AP228" s="4">
        <v>1889</v>
      </c>
      <c r="AQ228" s="4">
        <v>1888</v>
      </c>
      <c r="AR228" s="4">
        <v>1914</v>
      </c>
      <c r="AS228" s="4">
        <v>1847</v>
      </c>
      <c r="AT228" s="4">
        <v>1907</v>
      </c>
      <c r="AU228" s="4">
        <v>4330</v>
      </c>
      <c r="AV228" s="4">
        <v>4225</v>
      </c>
      <c r="AW228" s="4">
        <v>4140</v>
      </c>
      <c r="AX228" s="4">
        <v>4155</v>
      </c>
      <c r="AY228" s="4">
        <v>3885</v>
      </c>
      <c r="AZ228" s="4">
        <v>3920</v>
      </c>
      <c r="BA228" s="4">
        <v>4045</v>
      </c>
      <c r="BB228" s="4">
        <v>3905</v>
      </c>
      <c r="BC228" s="4">
        <v>3985</v>
      </c>
      <c r="BD228" s="4">
        <v>4255</v>
      </c>
      <c r="BE228" s="4">
        <v>4525</v>
      </c>
      <c r="BF228" s="4">
        <v>4745</v>
      </c>
      <c r="BG228" s="4">
        <v>4585</v>
      </c>
      <c r="BH228" s="4">
        <v>4445</v>
      </c>
      <c r="BI228" s="4">
        <v>4495</v>
      </c>
      <c r="BJ228" s="4">
        <v>4380</v>
      </c>
      <c r="BK228" s="4">
        <v>4255</v>
      </c>
      <c r="BL228" s="4">
        <v>4170</v>
      </c>
      <c r="BM228" s="4">
        <v>4445</v>
      </c>
      <c r="BN228" s="4">
        <v>4425</v>
      </c>
      <c r="BO228" s="4">
        <v>4655</v>
      </c>
      <c r="BP228" s="4">
        <v>4780</v>
      </c>
    </row>
    <row r="229" spans="1:68">
      <c r="A229" s="65" t="s">
        <v>442</v>
      </c>
      <c r="B229" s="4" t="str">
        <f>銘柄管理!C229</f>
        <v/>
      </c>
      <c r="C229" s="4" t="str">
        <f>_xll.RssMarket("4222","現在値")</f>
        <v/>
      </c>
      <c r="D229" s="4" t="e">
        <f t="shared" si="7"/>
        <v>#VALUE!</v>
      </c>
      <c r="E229" s="70">
        <v>601</v>
      </c>
      <c r="F229" s="4">
        <v>650</v>
      </c>
      <c r="G229" s="4">
        <v>649</v>
      </c>
      <c r="H229" s="4">
        <v>661</v>
      </c>
      <c r="I229" s="4">
        <v>646</v>
      </c>
      <c r="J229" s="4">
        <v>645</v>
      </c>
      <c r="K229" s="4">
        <v>679</v>
      </c>
      <c r="L229" s="4">
        <v>681</v>
      </c>
      <c r="M229" s="4">
        <v>653</v>
      </c>
      <c r="N229" s="4">
        <v>649</v>
      </c>
      <c r="O229" s="4">
        <v>641</v>
      </c>
      <c r="P229" s="4">
        <v>653</v>
      </c>
      <c r="Q229" s="4">
        <v>658</v>
      </c>
      <c r="R229" s="4">
        <v>666</v>
      </c>
      <c r="S229" s="4">
        <v>671</v>
      </c>
      <c r="T229" s="4">
        <v>700</v>
      </c>
      <c r="U229" s="4">
        <v>718</v>
      </c>
      <c r="V229" s="4">
        <v>707</v>
      </c>
      <c r="W229" s="4">
        <v>723</v>
      </c>
      <c r="X229" s="4">
        <v>691</v>
      </c>
      <c r="Y229" s="4">
        <v>654</v>
      </c>
      <c r="Z229" s="4">
        <v>660</v>
      </c>
      <c r="AA229" s="4">
        <v>665</v>
      </c>
      <c r="AB229" s="4">
        <v>693</v>
      </c>
      <c r="AC229" s="4">
        <v>714</v>
      </c>
      <c r="AD229" s="4">
        <v>697</v>
      </c>
      <c r="AE229" s="4">
        <v>715</v>
      </c>
      <c r="AF229" s="4">
        <v>688</v>
      </c>
      <c r="AG229" s="4">
        <v>713</v>
      </c>
      <c r="AH229" s="4">
        <v>731</v>
      </c>
      <c r="AI229" s="4">
        <v>744</v>
      </c>
      <c r="AJ229" s="4">
        <v>755</v>
      </c>
      <c r="AK229" s="4">
        <v>791</v>
      </c>
      <c r="AL229" s="4">
        <v>788</v>
      </c>
      <c r="AM229" s="4">
        <v>800</v>
      </c>
      <c r="AN229" s="4">
        <v>809</v>
      </c>
      <c r="AO229" s="4">
        <v>855</v>
      </c>
      <c r="AP229" s="4">
        <v>859</v>
      </c>
      <c r="AQ229" s="4">
        <v>894</v>
      </c>
      <c r="AR229" s="4">
        <v>1194</v>
      </c>
      <c r="AS229" s="4">
        <v>1235</v>
      </c>
      <c r="AT229" s="4">
        <v>1266</v>
      </c>
      <c r="AU229" s="4">
        <v>1262</v>
      </c>
      <c r="AV229" s="4">
        <v>1165</v>
      </c>
      <c r="AW229" s="4">
        <v>1146</v>
      </c>
      <c r="AX229" s="4">
        <v>1109</v>
      </c>
      <c r="AY229" s="4">
        <v>1118</v>
      </c>
      <c r="AZ229" s="4">
        <v>1124</v>
      </c>
      <c r="BA229" s="4">
        <v>1140</v>
      </c>
      <c r="BB229" s="4">
        <v>1149</v>
      </c>
      <c r="BC229" s="4">
        <v>1134</v>
      </c>
      <c r="BD229" s="4">
        <v>1159</v>
      </c>
      <c r="BE229" s="4">
        <v>1186</v>
      </c>
      <c r="BF229" s="4">
        <v>1199</v>
      </c>
      <c r="BG229" s="4">
        <v>1151</v>
      </c>
      <c r="BH229" s="4">
        <v>1160</v>
      </c>
      <c r="BI229" s="4">
        <v>1140</v>
      </c>
      <c r="BJ229" s="4">
        <v>1138</v>
      </c>
      <c r="BK229" s="4">
        <v>1121</v>
      </c>
      <c r="BL229" s="4">
        <v>1108</v>
      </c>
      <c r="BM229" s="4">
        <v>1119</v>
      </c>
      <c r="BN229" s="4">
        <v>1140</v>
      </c>
      <c r="BO229" s="4">
        <v>1017</v>
      </c>
    </row>
    <row r="230" spans="1:68">
      <c r="A230" s="65" t="s">
        <v>443</v>
      </c>
      <c r="B230" s="4" t="str">
        <f>銘柄管理!C230</f>
        <v/>
      </c>
      <c r="C230" s="4" t="str">
        <f>_xll.RssMarket("3563","現在値")</f>
        <v/>
      </c>
      <c r="D230" s="4" t="e">
        <f t="shared" si="7"/>
        <v>#VALUE!</v>
      </c>
      <c r="E230" s="4">
        <v>5409</v>
      </c>
      <c r="F230" s="4">
        <v>5205</v>
      </c>
      <c r="G230" s="4">
        <v>5250</v>
      </c>
      <c r="H230" s="4">
        <v>5078</v>
      </c>
      <c r="I230" s="4">
        <v>4806</v>
      </c>
      <c r="J230" s="4">
        <v>4850</v>
      </c>
      <c r="K230" s="4">
        <v>4931</v>
      </c>
      <c r="L230" s="4">
        <v>4616</v>
      </c>
      <c r="M230" s="4">
        <v>4643</v>
      </c>
      <c r="N230" s="4">
        <v>4728</v>
      </c>
      <c r="O230" s="4">
        <v>4778</v>
      </c>
      <c r="P230" s="4">
        <v>4882</v>
      </c>
      <c r="Q230" s="4">
        <v>5055</v>
      </c>
      <c r="R230" s="4">
        <v>9969</v>
      </c>
      <c r="S230" s="4">
        <v>9883</v>
      </c>
      <c r="T230" s="4">
        <v>9446</v>
      </c>
      <c r="U230" s="4">
        <v>9444</v>
      </c>
      <c r="V230" s="4">
        <v>9329</v>
      </c>
      <c r="W230" s="4">
        <v>9250</v>
      </c>
      <c r="X230" s="4">
        <v>9696</v>
      </c>
      <c r="Y230" s="4">
        <v>10150</v>
      </c>
      <c r="Z230" s="4">
        <v>9987</v>
      </c>
      <c r="AA230" s="4">
        <v>9781</v>
      </c>
      <c r="AB230" s="4">
        <v>9863</v>
      </c>
      <c r="AC230" s="4">
        <v>9735</v>
      </c>
      <c r="AD230" s="4">
        <v>9887</v>
      </c>
      <c r="AE230" s="4">
        <v>9841</v>
      </c>
      <c r="AF230" s="4">
        <v>10445</v>
      </c>
      <c r="AG230" s="4">
        <v>10475</v>
      </c>
      <c r="AH230" s="4">
        <v>10595</v>
      </c>
      <c r="AI230" s="4">
        <v>10875</v>
      </c>
      <c r="AJ230" s="4">
        <v>10390</v>
      </c>
      <c r="AK230" s="4">
        <v>10085</v>
      </c>
      <c r="AL230" s="4">
        <v>10195</v>
      </c>
      <c r="AM230" s="4">
        <v>10825</v>
      </c>
      <c r="AN230" s="4">
        <v>10600</v>
      </c>
      <c r="AO230" s="4">
        <v>10765</v>
      </c>
      <c r="AP230" s="4">
        <v>10725</v>
      </c>
      <c r="AQ230" s="4">
        <v>10465</v>
      </c>
      <c r="AR230" s="4">
        <v>10340</v>
      </c>
      <c r="AS230" s="4">
        <v>10695</v>
      </c>
      <c r="AT230" s="4">
        <v>10800</v>
      </c>
      <c r="AU230" s="4">
        <v>10375</v>
      </c>
      <c r="AV230" s="4">
        <v>10310</v>
      </c>
      <c r="AW230" s="4">
        <v>10300</v>
      </c>
      <c r="AX230" s="4">
        <v>9582</v>
      </c>
      <c r="AY230" s="4">
        <v>9162</v>
      </c>
      <c r="AZ230" s="4">
        <v>9074</v>
      </c>
      <c r="BA230" s="4">
        <v>9014</v>
      </c>
      <c r="BB230" s="4">
        <v>9138</v>
      </c>
      <c r="BC230" s="4">
        <v>9119</v>
      </c>
      <c r="BD230" s="4">
        <v>9148</v>
      </c>
      <c r="BE230" s="4">
        <v>9139</v>
      </c>
      <c r="BF230" s="4">
        <v>9397</v>
      </c>
      <c r="BG230" s="4">
        <v>9497</v>
      </c>
      <c r="BH230" s="4">
        <v>9256</v>
      </c>
      <c r="BI230" s="4">
        <v>9493</v>
      </c>
      <c r="BJ230" s="4">
        <v>9518</v>
      </c>
      <c r="BK230" s="4">
        <v>9598</v>
      </c>
      <c r="BL230" s="4">
        <v>9582</v>
      </c>
      <c r="BM230" s="4">
        <v>9588</v>
      </c>
      <c r="BN230" s="4">
        <v>9394</v>
      </c>
      <c r="BO230" s="4">
        <v>9634</v>
      </c>
      <c r="BP230" s="4">
        <v>9537</v>
      </c>
    </row>
    <row r="231" spans="1:68">
      <c r="A231" s="65" t="s">
        <v>444</v>
      </c>
      <c r="B231" s="4" t="str">
        <f>銘柄管理!C231</f>
        <v/>
      </c>
      <c r="C231" s="4" t="str">
        <f>_xll.RssMarket("7013","現在値")</f>
        <v/>
      </c>
      <c r="D231" s="4" t="e">
        <f t="shared" si="7"/>
        <v>#VALUE!</v>
      </c>
      <c r="E231" s="4">
        <v>2666.5</v>
      </c>
      <c r="F231" s="4">
        <v>2811.5</v>
      </c>
      <c r="G231" s="4">
        <v>2815</v>
      </c>
      <c r="H231" s="4">
        <v>2812.5</v>
      </c>
      <c r="I231" s="4">
        <v>2810.5</v>
      </c>
      <c r="J231" s="4">
        <v>2813</v>
      </c>
      <c r="K231" s="4">
        <v>2892</v>
      </c>
      <c r="L231" s="4">
        <v>3071</v>
      </c>
      <c r="M231" s="4">
        <v>2869.5</v>
      </c>
      <c r="N231" s="4">
        <v>2801.5</v>
      </c>
      <c r="O231" s="4">
        <v>2673.5</v>
      </c>
      <c r="P231" s="4">
        <v>2711.5</v>
      </c>
      <c r="Q231" s="4">
        <v>2675</v>
      </c>
      <c r="R231" s="4">
        <v>2672.5</v>
      </c>
      <c r="S231" s="4">
        <v>2719</v>
      </c>
      <c r="T231" s="4">
        <v>2782.5</v>
      </c>
      <c r="U231" s="4">
        <v>2717.5</v>
      </c>
      <c r="V231" s="4">
        <v>2816.5</v>
      </c>
      <c r="W231" s="4">
        <v>2817</v>
      </c>
      <c r="X231" s="4">
        <v>2916.5</v>
      </c>
      <c r="Y231" s="4">
        <v>2774.5</v>
      </c>
      <c r="Z231" s="4">
        <v>2430</v>
      </c>
      <c r="AA231" s="4">
        <v>2358</v>
      </c>
      <c r="AB231" s="4">
        <v>2439.5</v>
      </c>
      <c r="AC231" s="4">
        <v>2505</v>
      </c>
      <c r="AD231" s="4">
        <v>2574</v>
      </c>
      <c r="AE231" s="4">
        <v>2538.5</v>
      </c>
      <c r="AF231" s="4">
        <v>2486.5</v>
      </c>
      <c r="AG231" s="4">
        <v>2588.5</v>
      </c>
      <c r="AH231" s="4">
        <v>2694</v>
      </c>
      <c r="AI231" s="4">
        <v>2766.5</v>
      </c>
      <c r="AJ231" s="4">
        <v>2730</v>
      </c>
      <c r="AK231" s="4">
        <v>2818</v>
      </c>
      <c r="AL231" s="4">
        <v>2839.5</v>
      </c>
      <c r="AM231" s="4">
        <v>2761</v>
      </c>
      <c r="AN231" s="4">
        <v>2675</v>
      </c>
      <c r="AO231" s="4">
        <v>2554.5</v>
      </c>
      <c r="AP231" s="4">
        <v>2561</v>
      </c>
      <c r="AQ231" s="4">
        <v>2670.5</v>
      </c>
      <c r="AR231" s="4">
        <v>2685</v>
      </c>
      <c r="AS231" s="4">
        <v>2679.5</v>
      </c>
      <c r="AT231" s="4">
        <v>2832.5</v>
      </c>
      <c r="AU231" s="4">
        <v>2806</v>
      </c>
      <c r="AV231" s="4">
        <v>2870</v>
      </c>
      <c r="AW231" s="4">
        <v>3059</v>
      </c>
      <c r="AX231" s="4">
        <v>3045</v>
      </c>
      <c r="AY231" s="4">
        <v>2880</v>
      </c>
      <c r="AZ231" s="4">
        <v>2853</v>
      </c>
      <c r="BA231" s="4">
        <v>2959.5</v>
      </c>
      <c r="BB231" s="4">
        <v>2901</v>
      </c>
      <c r="BC231" s="4">
        <v>2995</v>
      </c>
      <c r="BD231" s="4">
        <v>3027</v>
      </c>
      <c r="BE231" s="4">
        <v>3054</v>
      </c>
      <c r="BF231" s="4">
        <v>3087</v>
      </c>
      <c r="BG231" s="4">
        <v>3153</v>
      </c>
      <c r="BH231" s="4">
        <v>3120</v>
      </c>
      <c r="BI231" s="4">
        <v>3210</v>
      </c>
      <c r="BJ231" s="4">
        <v>3153</v>
      </c>
      <c r="BK231" s="4">
        <v>3293</v>
      </c>
      <c r="BL231" s="4">
        <v>3281</v>
      </c>
      <c r="BM231" s="4">
        <v>3303</v>
      </c>
      <c r="BN231" s="4">
        <v>3391</v>
      </c>
      <c r="BO231" s="4">
        <v>3442</v>
      </c>
      <c r="BP231" s="4">
        <v>3341</v>
      </c>
    </row>
    <row r="232" spans="1:68">
      <c r="A232" s="65" t="s">
        <v>445</v>
      </c>
      <c r="B232" s="4" t="str">
        <f>銘柄管理!C232</f>
        <v/>
      </c>
      <c r="C232" s="4" t="str">
        <f>_xll.RssMarket("8793","現在値")</f>
        <v/>
      </c>
      <c r="D232" s="4" t="e">
        <f t="shared" si="7"/>
        <v>#VALUE!</v>
      </c>
      <c r="E232" s="4">
        <v>4015</v>
      </c>
      <c r="F232" s="4">
        <v>4105</v>
      </c>
      <c r="G232" s="4">
        <v>4130</v>
      </c>
      <c r="H232" s="4">
        <v>4135</v>
      </c>
      <c r="I232" s="4">
        <v>4145</v>
      </c>
      <c r="J232" s="4">
        <v>4120</v>
      </c>
      <c r="K232" s="4">
        <v>4105</v>
      </c>
      <c r="L232" s="4">
        <v>4075</v>
      </c>
      <c r="M232" s="4">
        <v>3990</v>
      </c>
      <c r="N232" s="4">
        <v>3970</v>
      </c>
      <c r="O232" s="4">
        <v>3985</v>
      </c>
      <c r="P232" s="4">
        <v>3980</v>
      </c>
      <c r="Q232" s="4">
        <v>3970</v>
      </c>
      <c r="R232" s="4">
        <v>4030</v>
      </c>
      <c r="S232" s="4">
        <v>4010</v>
      </c>
      <c r="T232" s="4">
        <v>4025</v>
      </c>
      <c r="U232" s="4">
        <v>4065</v>
      </c>
      <c r="V232" s="4">
        <v>4100</v>
      </c>
      <c r="W232" s="4">
        <v>4135</v>
      </c>
      <c r="X232" s="4">
        <v>4175</v>
      </c>
      <c r="Y232" s="4">
        <v>4105</v>
      </c>
      <c r="Z232" s="4">
        <v>4130</v>
      </c>
      <c r="AA232" s="4">
        <v>4025</v>
      </c>
      <c r="AB232" s="4">
        <v>4045</v>
      </c>
      <c r="AC232" s="4">
        <v>3945</v>
      </c>
      <c r="AD232" s="4">
        <v>3930</v>
      </c>
      <c r="AE232" s="4">
        <v>3870</v>
      </c>
      <c r="AF232" s="4">
        <v>3910</v>
      </c>
      <c r="AG232" s="4">
        <v>3970</v>
      </c>
      <c r="AH232" s="4">
        <v>3960</v>
      </c>
      <c r="AI232" s="4">
        <v>3940</v>
      </c>
      <c r="AJ232" s="4">
        <v>3950</v>
      </c>
      <c r="AK232" s="4">
        <v>3985</v>
      </c>
      <c r="AL232" s="4">
        <v>4010</v>
      </c>
      <c r="AM232" s="4">
        <v>3965</v>
      </c>
      <c r="AN232" s="4">
        <v>3970</v>
      </c>
      <c r="AO232" s="4">
        <v>3910</v>
      </c>
      <c r="AP232" s="4">
        <v>3975</v>
      </c>
      <c r="AQ232" s="4">
        <v>3990</v>
      </c>
      <c r="AR232" s="4">
        <v>4015</v>
      </c>
      <c r="AS232" s="4">
        <v>4020</v>
      </c>
      <c r="AT232" s="4">
        <v>4035</v>
      </c>
      <c r="AU232" s="4">
        <v>4055</v>
      </c>
      <c r="AV232" s="4">
        <v>4040</v>
      </c>
      <c r="AW232" s="4">
        <v>4000</v>
      </c>
      <c r="AX232" s="4">
        <v>4055</v>
      </c>
      <c r="AY232" s="4">
        <v>4265</v>
      </c>
      <c r="AZ232" s="4">
        <v>4165</v>
      </c>
      <c r="BA232" s="4">
        <v>4265</v>
      </c>
      <c r="BB232" s="4">
        <v>4195</v>
      </c>
      <c r="BC232" s="4">
        <v>4215</v>
      </c>
      <c r="BD232" s="4">
        <v>4255</v>
      </c>
      <c r="BE232" s="4">
        <v>4285</v>
      </c>
      <c r="BF232" s="4">
        <v>4265</v>
      </c>
      <c r="BG232" s="4">
        <v>4280</v>
      </c>
      <c r="BH232" s="4">
        <v>4275</v>
      </c>
      <c r="BI232" s="4">
        <v>4215</v>
      </c>
      <c r="BJ232" s="4">
        <v>4170</v>
      </c>
      <c r="BK232" s="4">
        <v>4170</v>
      </c>
      <c r="BL232" s="4">
        <v>4205</v>
      </c>
      <c r="BM232" s="4">
        <v>4265</v>
      </c>
      <c r="BN232" s="4">
        <v>4225</v>
      </c>
      <c r="BO232" s="4">
        <v>4160</v>
      </c>
      <c r="BP232" s="4">
        <v>4165</v>
      </c>
    </row>
    <row r="233" spans="1:68">
      <c r="A233" s="65" t="s">
        <v>446</v>
      </c>
      <c r="B233" s="4" t="str">
        <f>銘柄管理!C233</f>
        <v/>
      </c>
      <c r="C233" s="4" t="str">
        <f>_xll.RssMarket("9962","現在値")</f>
        <v/>
      </c>
      <c r="D233" s="4" t="e">
        <f t="shared" si="7"/>
        <v>#VALUE!</v>
      </c>
      <c r="E233" s="4">
        <v>3632</v>
      </c>
      <c r="F233" s="4">
        <v>3854</v>
      </c>
      <c r="G233" s="4">
        <v>3783</v>
      </c>
      <c r="H233" s="4">
        <v>3872</v>
      </c>
      <c r="I233" s="4">
        <v>3994</v>
      </c>
      <c r="J233" s="4">
        <v>3951</v>
      </c>
      <c r="K233" s="4">
        <v>3899</v>
      </c>
      <c r="L233" s="4">
        <v>4150</v>
      </c>
      <c r="M233" s="4">
        <v>4187</v>
      </c>
      <c r="N233" s="4">
        <v>4065</v>
      </c>
      <c r="O233" s="4">
        <v>3981</v>
      </c>
      <c r="P233" s="4">
        <v>3994</v>
      </c>
      <c r="Q233" s="4">
        <v>3932</v>
      </c>
      <c r="R233" s="4">
        <v>3814</v>
      </c>
      <c r="S233" s="4">
        <v>3767</v>
      </c>
      <c r="T233" s="4">
        <v>3773</v>
      </c>
      <c r="U233" s="4">
        <v>3684</v>
      </c>
      <c r="V233" s="4">
        <v>3860</v>
      </c>
      <c r="W233" s="4">
        <v>3850</v>
      </c>
      <c r="X233" s="4">
        <v>3859</v>
      </c>
      <c r="Y233" s="4">
        <v>3875</v>
      </c>
      <c r="Z233" s="4">
        <v>3705</v>
      </c>
      <c r="AA233" s="4">
        <v>3645</v>
      </c>
      <c r="AB233" s="4">
        <v>3638</v>
      </c>
      <c r="AC233" s="4">
        <v>3611</v>
      </c>
      <c r="AD233" s="4">
        <v>3742</v>
      </c>
      <c r="AE233" s="4">
        <v>3768</v>
      </c>
      <c r="AF233" s="4">
        <v>3828</v>
      </c>
      <c r="AG233" s="4">
        <v>3627</v>
      </c>
      <c r="AH233" s="4">
        <v>3675</v>
      </c>
      <c r="AI233" s="4">
        <v>3773</v>
      </c>
      <c r="AJ233" s="4">
        <v>3635</v>
      </c>
      <c r="AK233" s="4">
        <v>3555</v>
      </c>
      <c r="AL233" s="4">
        <v>3509</v>
      </c>
      <c r="AM233" s="4">
        <v>3376</v>
      </c>
      <c r="AN233" s="4">
        <v>3227</v>
      </c>
      <c r="AO233" s="4">
        <v>3129</v>
      </c>
      <c r="AP233" s="4">
        <v>3151</v>
      </c>
      <c r="AQ233" s="4">
        <v>3229</v>
      </c>
      <c r="AR233" s="4">
        <v>3374</v>
      </c>
      <c r="AS233" s="4">
        <v>3289</v>
      </c>
      <c r="AT233" s="4">
        <v>3382</v>
      </c>
      <c r="AU233" s="4">
        <v>3426</v>
      </c>
      <c r="AV233" s="4">
        <v>3490</v>
      </c>
      <c r="AW233" s="4">
        <v>3452</v>
      </c>
      <c r="AX233" s="4">
        <v>3428</v>
      </c>
      <c r="AY233" s="4">
        <v>3589</v>
      </c>
      <c r="AZ233" s="4">
        <v>3335</v>
      </c>
      <c r="BA233" s="4">
        <v>3393</v>
      </c>
      <c r="BB233" s="4">
        <v>3042</v>
      </c>
      <c r="BC233" s="4">
        <v>3001</v>
      </c>
      <c r="BD233" s="4">
        <v>3090</v>
      </c>
      <c r="BE233" s="4">
        <v>3111</v>
      </c>
      <c r="BF233" s="4">
        <v>3132</v>
      </c>
      <c r="BG233" s="4">
        <v>3051</v>
      </c>
      <c r="BH233" s="4">
        <v>3049</v>
      </c>
      <c r="BI233" s="4">
        <v>3025</v>
      </c>
      <c r="BJ233" s="4">
        <v>2959</v>
      </c>
      <c r="BK233" s="4">
        <v>2984.5</v>
      </c>
      <c r="BL233" s="4">
        <v>3017</v>
      </c>
      <c r="BM233" s="4">
        <v>2979</v>
      </c>
      <c r="BN233" s="4">
        <v>2952.5</v>
      </c>
      <c r="BO233" s="4">
        <v>2807.5</v>
      </c>
      <c r="BP233" s="4">
        <v>2803.5</v>
      </c>
    </row>
    <row r="234" spans="1:68">
      <c r="A234" s="65" t="s">
        <v>447</v>
      </c>
      <c r="B234" s="4" t="str">
        <f>銘柄管理!C234</f>
        <v/>
      </c>
      <c r="C234" s="4" t="str">
        <f>_xll.RssMarket("6762","現在値")</f>
        <v/>
      </c>
      <c r="D234" s="4" t="e">
        <f t="shared" si="7"/>
        <v>#VALUE!</v>
      </c>
      <c r="E234" s="4">
        <v>2968</v>
      </c>
      <c r="F234" s="4">
        <v>3246</v>
      </c>
      <c r="G234" s="4">
        <v>3234</v>
      </c>
      <c r="H234" s="4">
        <v>3203</v>
      </c>
      <c r="I234" s="4">
        <v>3389</v>
      </c>
      <c r="J234" s="4">
        <v>3382</v>
      </c>
      <c r="K234" s="4">
        <v>3298</v>
      </c>
      <c r="L234" s="4">
        <v>3501</v>
      </c>
      <c r="M234" s="4">
        <v>3699</v>
      </c>
      <c r="N234" s="4">
        <v>3660</v>
      </c>
      <c r="O234" s="4">
        <v>3700</v>
      </c>
      <c r="P234" s="4">
        <v>3570</v>
      </c>
      <c r="Q234" s="4">
        <v>3593</v>
      </c>
      <c r="R234" s="4">
        <v>3575</v>
      </c>
      <c r="S234" s="4">
        <v>3908</v>
      </c>
      <c r="T234" s="4">
        <v>3816</v>
      </c>
      <c r="U234" s="4">
        <v>3943</v>
      </c>
      <c r="V234" s="4">
        <v>4063</v>
      </c>
      <c r="W234" s="4">
        <v>3909</v>
      </c>
      <c r="X234" s="4">
        <v>3830</v>
      </c>
      <c r="Y234" s="4">
        <v>3802</v>
      </c>
      <c r="Z234" s="4">
        <v>3504</v>
      </c>
      <c r="AA234" s="4">
        <v>3561</v>
      </c>
      <c r="AB234" s="4">
        <v>3640</v>
      </c>
      <c r="AC234" s="4">
        <v>3715</v>
      </c>
      <c r="AD234" s="4">
        <v>4111</v>
      </c>
      <c r="AE234" s="4">
        <v>3950</v>
      </c>
      <c r="AF234" s="4">
        <v>3849</v>
      </c>
      <c r="AG234" s="4">
        <v>4104</v>
      </c>
      <c r="AH234" s="4">
        <v>4108</v>
      </c>
      <c r="AI234" s="4">
        <v>3796</v>
      </c>
      <c r="AJ234" s="4">
        <v>3608</v>
      </c>
      <c r="AK234" s="4">
        <v>3715</v>
      </c>
      <c r="AL234" s="4">
        <v>3370</v>
      </c>
      <c r="AM234" s="4">
        <v>3141</v>
      </c>
      <c r="AN234" s="4">
        <v>2943</v>
      </c>
      <c r="AO234" s="4">
        <v>2985.5</v>
      </c>
      <c r="AP234" s="4">
        <v>2977.5</v>
      </c>
      <c r="AQ234" s="4">
        <v>2993</v>
      </c>
      <c r="AR234" s="4">
        <v>3072</v>
      </c>
      <c r="AS234" s="4">
        <v>2916.5</v>
      </c>
      <c r="AT234" s="4">
        <v>2961</v>
      </c>
      <c r="AU234" s="4">
        <v>2936</v>
      </c>
      <c r="AV234" s="4">
        <v>2923.5</v>
      </c>
      <c r="AW234" s="4">
        <v>2896</v>
      </c>
      <c r="AX234" s="4">
        <v>2775.5</v>
      </c>
      <c r="AY234" s="4">
        <v>2890.5</v>
      </c>
      <c r="AZ234" s="4">
        <v>2677</v>
      </c>
      <c r="BA234" s="4">
        <v>2718</v>
      </c>
      <c r="BB234" s="4">
        <v>2689.5</v>
      </c>
      <c r="BC234" s="4">
        <v>2662</v>
      </c>
      <c r="BD234" s="4">
        <v>2700.5</v>
      </c>
      <c r="BE234" s="4">
        <v>2576</v>
      </c>
      <c r="BF234" s="4">
        <v>2542</v>
      </c>
      <c r="BG234" s="4">
        <v>2616</v>
      </c>
      <c r="BH234" s="4">
        <v>2540</v>
      </c>
      <c r="BI234" s="4">
        <v>2246.5</v>
      </c>
      <c r="BJ234" s="4">
        <v>2273</v>
      </c>
      <c r="BK234" s="4">
        <v>2266</v>
      </c>
      <c r="BL234" s="4">
        <v>2310</v>
      </c>
      <c r="BM234" s="4">
        <v>2220</v>
      </c>
      <c r="BN234" s="4">
        <v>2200</v>
      </c>
      <c r="BO234" s="4">
        <v>2076.5</v>
      </c>
      <c r="BP234" s="4">
        <v>2020.5</v>
      </c>
    </row>
    <row r="235" spans="1:68">
      <c r="A235" s="65" t="s">
        <v>448</v>
      </c>
      <c r="B235" s="4" t="str">
        <f>銘柄管理!C235</f>
        <v/>
      </c>
      <c r="C235" s="4" t="str">
        <f>_xll.RssMarket("4392","現在値")</f>
        <v/>
      </c>
      <c r="D235" s="4" t="e">
        <f t="shared" si="7"/>
        <v>#VALUE!</v>
      </c>
      <c r="E235" s="4">
        <v>1064</v>
      </c>
      <c r="F235" s="4">
        <v>1108</v>
      </c>
      <c r="G235" s="4">
        <v>1032</v>
      </c>
      <c r="H235" s="4">
        <v>1051</v>
      </c>
      <c r="I235" s="4">
        <v>1090</v>
      </c>
      <c r="J235" s="4">
        <v>1057</v>
      </c>
      <c r="K235" s="4">
        <v>1102</v>
      </c>
      <c r="L235" s="4">
        <v>1137</v>
      </c>
      <c r="M235" s="4">
        <v>1171</v>
      </c>
      <c r="N235" s="4">
        <v>1115</v>
      </c>
      <c r="O235" s="4">
        <v>1100</v>
      </c>
      <c r="P235" s="4">
        <v>1126</v>
      </c>
      <c r="Q235" s="4">
        <v>1110</v>
      </c>
      <c r="R235" s="4">
        <v>1115</v>
      </c>
      <c r="S235" s="4">
        <v>1160</v>
      </c>
      <c r="T235" s="4">
        <v>1203</v>
      </c>
      <c r="U235" s="4">
        <v>1125</v>
      </c>
      <c r="V235" s="4">
        <v>1197</v>
      </c>
      <c r="W235" s="4">
        <v>1143</v>
      </c>
      <c r="X235" s="4">
        <v>1270</v>
      </c>
      <c r="Y235" s="4">
        <v>1246</v>
      </c>
      <c r="Z235" s="4">
        <v>1347</v>
      </c>
      <c r="AA235" s="4">
        <v>1421</v>
      </c>
      <c r="AB235" s="4">
        <v>1588</v>
      </c>
      <c r="AC235" s="4">
        <v>1596</v>
      </c>
      <c r="AD235" s="4">
        <v>1360</v>
      </c>
      <c r="AE235" s="4">
        <v>1363</v>
      </c>
      <c r="AF235" s="4">
        <v>1629</v>
      </c>
      <c r="AG235" s="4">
        <v>1705</v>
      </c>
      <c r="AH235" s="4">
        <v>2015</v>
      </c>
      <c r="AI235" s="4">
        <v>1781</v>
      </c>
      <c r="AJ235" s="4">
        <v>2039</v>
      </c>
      <c r="AK235" s="4">
        <v>2246</v>
      </c>
      <c r="AL235" s="4">
        <v>2185</v>
      </c>
      <c r="AM235" s="4">
        <v>1785</v>
      </c>
      <c r="AN235" s="4">
        <v>1981</v>
      </c>
      <c r="AO235" s="4">
        <v>1581</v>
      </c>
      <c r="AP235" s="4">
        <v>1360</v>
      </c>
      <c r="AQ235" s="4">
        <v>1060</v>
      </c>
      <c r="AR235" s="4">
        <v>910</v>
      </c>
      <c r="AS235" s="4">
        <v>760</v>
      </c>
      <c r="AT235" s="4">
        <v>735</v>
      </c>
      <c r="AU235" s="4">
        <v>870</v>
      </c>
      <c r="AV235" s="4">
        <v>509</v>
      </c>
      <c r="AW235" s="4">
        <v>429</v>
      </c>
      <c r="AX235" s="4">
        <v>349</v>
      </c>
      <c r="AY235" s="4">
        <v>345</v>
      </c>
      <c r="AZ235" s="4">
        <v>344</v>
      </c>
      <c r="BA235" s="4">
        <v>353</v>
      </c>
      <c r="BB235" s="4">
        <v>356</v>
      </c>
      <c r="BC235" s="4">
        <v>348</v>
      </c>
      <c r="BD235" s="4">
        <v>347</v>
      </c>
      <c r="BE235" s="4">
        <v>350</v>
      </c>
      <c r="BF235" s="4">
        <v>347</v>
      </c>
      <c r="BG235" s="4">
        <v>336</v>
      </c>
      <c r="BH235" s="4">
        <v>328</v>
      </c>
      <c r="BI235" s="4">
        <v>329</v>
      </c>
      <c r="BJ235" s="4">
        <v>323</v>
      </c>
      <c r="BK235" s="4">
        <v>322</v>
      </c>
      <c r="BL235" s="4">
        <v>319</v>
      </c>
      <c r="BM235" s="4">
        <v>322</v>
      </c>
      <c r="BN235" s="4">
        <v>324</v>
      </c>
      <c r="BO235" s="4">
        <v>333</v>
      </c>
      <c r="BP235" s="4">
        <v>321</v>
      </c>
    </row>
    <row r="236" spans="1:68">
      <c r="A236" s="65" t="s">
        <v>449</v>
      </c>
      <c r="B236" s="4" t="str">
        <f>銘柄管理!C236</f>
        <v/>
      </c>
      <c r="C236" s="4" t="str">
        <f>_xll.RssMarket("8005","現在値")</f>
        <v/>
      </c>
      <c r="D236" s="4" t="e">
        <f t="shared" si="7"/>
        <v>#VALUE!</v>
      </c>
      <c r="E236" s="4">
        <v>1713</v>
      </c>
      <c r="F236" s="4">
        <v>1743</v>
      </c>
      <c r="G236" s="4">
        <v>1728</v>
      </c>
      <c r="H236" s="4">
        <v>1715</v>
      </c>
      <c r="I236" s="4">
        <v>1706</v>
      </c>
      <c r="J236" s="4">
        <v>1723</v>
      </c>
      <c r="K236" s="4">
        <v>1706</v>
      </c>
      <c r="L236" s="4">
        <v>1670</v>
      </c>
      <c r="M236" s="4">
        <v>1645</v>
      </c>
      <c r="N236" s="4">
        <v>1618</v>
      </c>
      <c r="O236" s="4">
        <v>1628</v>
      </c>
      <c r="P236" s="4">
        <v>1639</v>
      </c>
      <c r="Q236" s="4">
        <v>1631</v>
      </c>
      <c r="R236" s="4">
        <v>1642</v>
      </c>
      <c r="S236" s="4">
        <v>1625</v>
      </c>
      <c r="T236" s="4">
        <v>1640</v>
      </c>
      <c r="U236" s="4">
        <v>1644</v>
      </c>
      <c r="V236" s="4">
        <v>1636</v>
      </c>
      <c r="W236" s="4">
        <v>1643</v>
      </c>
      <c r="X236" s="4">
        <v>1627</v>
      </c>
      <c r="Y236" s="4">
        <v>1615</v>
      </c>
      <c r="Z236" s="4">
        <v>1634</v>
      </c>
      <c r="AA236" s="4">
        <v>1628</v>
      </c>
      <c r="AB236" s="4">
        <v>1620</v>
      </c>
      <c r="AC236" s="4">
        <v>1637</v>
      </c>
      <c r="AD236" s="4">
        <v>1620</v>
      </c>
      <c r="AE236" s="4">
        <v>1643</v>
      </c>
      <c r="AF236" s="4">
        <v>1638</v>
      </c>
      <c r="AG236" s="4">
        <v>1679</v>
      </c>
      <c r="AH236" s="4">
        <v>1649</v>
      </c>
      <c r="AI236" s="4">
        <v>1626</v>
      </c>
      <c r="AJ236" s="4">
        <v>1628</v>
      </c>
      <c r="AK236" s="4">
        <v>1642</v>
      </c>
      <c r="AL236" s="4">
        <v>1634</v>
      </c>
      <c r="AM236" s="4">
        <v>1642</v>
      </c>
      <c r="AN236" s="4">
        <v>1657</v>
      </c>
      <c r="AO236" s="4">
        <v>1682</v>
      </c>
      <c r="AP236" s="4">
        <v>1649</v>
      </c>
      <c r="AQ236" s="4">
        <v>1618</v>
      </c>
      <c r="AR236" s="4">
        <v>1623</v>
      </c>
      <c r="AS236" s="4">
        <v>1631</v>
      </c>
      <c r="AT236" s="4">
        <v>1655</v>
      </c>
      <c r="AU236" s="4">
        <v>1705</v>
      </c>
      <c r="AV236" s="4">
        <v>1597</v>
      </c>
      <c r="AW236" s="4">
        <v>1297</v>
      </c>
      <c r="AX236" s="4">
        <v>1305</v>
      </c>
      <c r="AY236" s="4">
        <v>1325</v>
      </c>
      <c r="AZ236" s="4">
        <v>1333</v>
      </c>
      <c r="BA236" s="4">
        <v>1314</v>
      </c>
      <c r="BB236" s="4">
        <v>1322</v>
      </c>
      <c r="BC236" s="4">
        <v>1317</v>
      </c>
      <c r="BD236" s="4">
        <v>1327</v>
      </c>
      <c r="BE236" s="4">
        <v>1347</v>
      </c>
      <c r="BF236" s="4">
        <v>1352</v>
      </c>
      <c r="BG236" s="4">
        <v>1352</v>
      </c>
      <c r="BH236" s="4">
        <v>1355</v>
      </c>
      <c r="BI236" s="4">
        <v>1334</v>
      </c>
      <c r="BJ236" s="4">
        <v>1316</v>
      </c>
      <c r="BK236" s="4">
        <v>1312</v>
      </c>
      <c r="BL236" s="4">
        <v>1329</v>
      </c>
      <c r="BM236" s="4">
        <v>1353</v>
      </c>
      <c r="BN236" s="4">
        <v>1358</v>
      </c>
      <c r="BO236" s="4">
        <v>1346</v>
      </c>
    </row>
    <row r="237" spans="1:68">
      <c r="A237" s="65" t="s">
        <v>450</v>
      </c>
      <c r="B237" s="4" t="str">
        <f>銘柄管理!C237</f>
        <v/>
      </c>
      <c r="C237" s="4" t="str">
        <f>_xll.RssMarket("2326","現在値")</f>
        <v/>
      </c>
      <c r="D237" s="4" t="e">
        <f t="shared" si="7"/>
        <v>#VALUE!</v>
      </c>
      <c r="E237" s="4">
        <v>3995</v>
      </c>
      <c r="F237" s="4">
        <v>4035</v>
      </c>
      <c r="G237" s="4">
        <v>4000</v>
      </c>
      <c r="H237" s="4">
        <v>3980</v>
      </c>
      <c r="I237" s="4">
        <v>3965</v>
      </c>
      <c r="J237" s="4">
        <v>3920</v>
      </c>
      <c r="K237" s="4">
        <v>3890</v>
      </c>
      <c r="L237" s="4">
        <v>3880</v>
      </c>
      <c r="M237" s="4">
        <v>3845</v>
      </c>
      <c r="N237" s="4">
        <v>3755</v>
      </c>
      <c r="O237" s="4">
        <v>3655</v>
      </c>
      <c r="P237" s="4">
        <v>3705</v>
      </c>
      <c r="Q237" s="4">
        <v>3695</v>
      </c>
      <c r="R237" s="4">
        <v>3625</v>
      </c>
      <c r="S237" s="4">
        <v>3570</v>
      </c>
      <c r="T237" s="4">
        <v>3555</v>
      </c>
      <c r="U237" s="4">
        <v>3530</v>
      </c>
      <c r="V237" s="4">
        <v>3605</v>
      </c>
      <c r="W237" s="4">
        <v>3525</v>
      </c>
      <c r="X237" s="4">
        <v>3610</v>
      </c>
      <c r="Y237" s="4">
        <v>3580</v>
      </c>
      <c r="Z237" s="4">
        <v>3565</v>
      </c>
      <c r="AA237" s="4">
        <v>3610</v>
      </c>
      <c r="AB237" s="4">
        <v>3625</v>
      </c>
      <c r="AC237" s="4">
        <v>3700</v>
      </c>
      <c r="AD237" s="4">
        <v>3830</v>
      </c>
      <c r="AE237" s="4">
        <v>3695</v>
      </c>
      <c r="AF237" s="4">
        <v>3745</v>
      </c>
      <c r="AG237" s="4">
        <v>4070</v>
      </c>
      <c r="AH237" s="4">
        <v>3980</v>
      </c>
      <c r="AI237" s="4">
        <v>4045</v>
      </c>
      <c r="AJ237" s="4">
        <v>4145</v>
      </c>
      <c r="AK237" s="4">
        <v>4100</v>
      </c>
      <c r="AL237" s="4">
        <v>4150</v>
      </c>
      <c r="AM237" s="4">
        <v>4120</v>
      </c>
      <c r="AN237" s="4">
        <v>4145</v>
      </c>
      <c r="AO237" s="4">
        <v>4350</v>
      </c>
      <c r="AP237" s="4">
        <v>4245</v>
      </c>
      <c r="AQ237" s="4">
        <v>4240</v>
      </c>
      <c r="AR237" s="4">
        <v>4030</v>
      </c>
      <c r="AS237" s="4">
        <v>4110</v>
      </c>
      <c r="AT237" s="4">
        <v>4020</v>
      </c>
      <c r="AU237" s="4">
        <v>4240</v>
      </c>
      <c r="AV237" s="4">
        <v>4940</v>
      </c>
      <c r="AW237" s="4">
        <v>5940</v>
      </c>
      <c r="AX237" s="4">
        <v>5590</v>
      </c>
      <c r="AY237" s="4">
        <v>5600</v>
      </c>
      <c r="AZ237" s="4">
        <v>5550</v>
      </c>
      <c r="BA237" s="4">
        <v>5490</v>
      </c>
      <c r="BB237" s="4">
        <v>5510</v>
      </c>
      <c r="BC237" s="4">
        <v>5660</v>
      </c>
      <c r="BD237" s="4">
        <v>6050</v>
      </c>
      <c r="BE237" s="4">
        <v>5910</v>
      </c>
      <c r="BF237" s="4">
        <v>5850</v>
      </c>
      <c r="BG237" s="4">
        <v>5830</v>
      </c>
      <c r="BH237" s="4">
        <v>5770</v>
      </c>
      <c r="BI237" s="4">
        <v>5550</v>
      </c>
      <c r="BJ237" s="4">
        <v>5480</v>
      </c>
      <c r="BK237" s="4">
        <v>5400</v>
      </c>
      <c r="BL237" s="4">
        <v>5440</v>
      </c>
      <c r="BM237" s="4">
        <v>5420</v>
      </c>
      <c r="BN237" s="4">
        <v>5610</v>
      </c>
      <c r="BO237" s="4">
        <v>5440</v>
      </c>
      <c r="BP237" s="4">
        <v>5430</v>
      </c>
    </row>
    <row r="238" spans="1:68">
      <c r="A238" s="65" t="s">
        <v>451</v>
      </c>
      <c r="B238" s="4" t="str">
        <f>銘柄管理!C238</f>
        <v/>
      </c>
      <c r="C238" s="4" t="str">
        <f>_xll.RssMarket("6809","現在値")</f>
        <v/>
      </c>
      <c r="D238" s="4" t="e">
        <f t="shared" si="7"/>
        <v>#VALUE!</v>
      </c>
      <c r="E238" s="4">
        <v>1569</v>
      </c>
      <c r="F238" s="4">
        <v>1608</v>
      </c>
      <c r="G238" s="4">
        <v>1600</v>
      </c>
      <c r="H238" s="4">
        <v>1587</v>
      </c>
      <c r="I238" s="4">
        <v>1610</v>
      </c>
      <c r="J238" s="4">
        <v>1615</v>
      </c>
      <c r="K238" s="4">
        <v>1633</v>
      </c>
      <c r="L238" s="4">
        <v>1625</v>
      </c>
      <c r="M238" s="4">
        <v>1600</v>
      </c>
      <c r="N238" s="4">
        <v>1566</v>
      </c>
      <c r="O238" s="4">
        <v>1552</v>
      </c>
      <c r="P238" s="4">
        <v>1565</v>
      </c>
      <c r="Q238" s="4">
        <v>1576</v>
      </c>
      <c r="R238" s="4">
        <v>1583</v>
      </c>
      <c r="S238" s="4">
        <v>1580</v>
      </c>
      <c r="T238" s="4">
        <v>1554</v>
      </c>
      <c r="U238" s="4">
        <v>1558</v>
      </c>
      <c r="V238" s="4">
        <v>1557</v>
      </c>
      <c r="W238" s="4">
        <v>1560</v>
      </c>
      <c r="X238" s="4">
        <v>1567</v>
      </c>
      <c r="Y238" s="4">
        <v>1565</v>
      </c>
      <c r="Z238" s="4">
        <v>1556</v>
      </c>
      <c r="AA238" s="4">
        <v>1548</v>
      </c>
      <c r="AB238" s="4">
        <v>1562</v>
      </c>
      <c r="AC238" s="4">
        <v>1549</v>
      </c>
      <c r="AD238" s="4">
        <v>1573</v>
      </c>
      <c r="AE238" s="4">
        <v>1544</v>
      </c>
      <c r="AF238" s="4">
        <v>1540</v>
      </c>
      <c r="AG238" s="4">
        <v>1558</v>
      </c>
      <c r="AH238" s="4">
        <v>1535</v>
      </c>
      <c r="AI238" s="4">
        <v>1552</v>
      </c>
      <c r="AJ238" s="4">
        <v>1544</v>
      </c>
      <c r="AK238" s="4">
        <v>1537</v>
      </c>
      <c r="AL238" s="4">
        <v>1560</v>
      </c>
      <c r="AM238" s="4">
        <v>1557</v>
      </c>
      <c r="AN238" s="4">
        <v>1535</v>
      </c>
      <c r="AO238" s="4">
        <v>1525</v>
      </c>
      <c r="AP238" s="4">
        <v>1599</v>
      </c>
      <c r="AQ238" s="4">
        <v>1577</v>
      </c>
      <c r="AR238" s="4">
        <v>1605</v>
      </c>
      <c r="AS238" s="4">
        <v>1581</v>
      </c>
      <c r="AT238" s="4">
        <v>1573</v>
      </c>
      <c r="AU238" s="4">
        <v>1558</v>
      </c>
      <c r="AV238" s="4">
        <v>1570</v>
      </c>
      <c r="AW238" s="4">
        <v>1569</v>
      </c>
      <c r="AX238" s="4">
        <v>1780</v>
      </c>
      <c r="AY238" s="4">
        <v>1747</v>
      </c>
      <c r="AZ238" s="4">
        <v>1730</v>
      </c>
      <c r="BA238" s="4">
        <v>1744</v>
      </c>
      <c r="BB238" s="4">
        <v>1707</v>
      </c>
      <c r="BC238" s="4">
        <v>1713</v>
      </c>
      <c r="BD238" s="4">
        <v>1745</v>
      </c>
      <c r="BE238" s="4">
        <v>1761</v>
      </c>
      <c r="BF238" s="4">
        <v>1786</v>
      </c>
      <c r="BG238" s="4">
        <v>1769</v>
      </c>
      <c r="BH238" s="4">
        <v>1791</v>
      </c>
      <c r="BI238" s="4">
        <v>1776</v>
      </c>
      <c r="BJ238" s="4">
        <v>1780</v>
      </c>
      <c r="BK238" s="4">
        <v>1777</v>
      </c>
      <c r="BL238" s="4">
        <v>1786</v>
      </c>
      <c r="BM238" s="4">
        <v>1807</v>
      </c>
      <c r="BN238" s="4">
        <v>1815</v>
      </c>
      <c r="BO238" s="4">
        <v>1844</v>
      </c>
      <c r="BP238" s="4">
        <v>1816</v>
      </c>
    </row>
    <row r="239" spans="1:68">
      <c r="A239" s="65" t="s">
        <v>452</v>
      </c>
      <c r="B239" s="4" t="str">
        <f>銘柄管理!C239</f>
        <v/>
      </c>
      <c r="C239" s="4" t="str">
        <f>_xll.RssMarket("3984","現在値")</f>
        <v/>
      </c>
      <c r="D239" s="4" t="e">
        <f t="shared" si="7"/>
        <v>#VALUE!</v>
      </c>
      <c r="E239" s="4">
        <v>1797</v>
      </c>
      <c r="F239" s="4">
        <v>1835</v>
      </c>
      <c r="G239" s="4">
        <v>1805</v>
      </c>
      <c r="H239" s="4">
        <v>1794</v>
      </c>
      <c r="I239" s="4">
        <v>1784</v>
      </c>
      <c r="J239" s="4">
        <v>1768</v>
      </c>
      <c r="K239" s="4">
        <v>1771</v>
      </c>
      <c r="L239" s="4">
        <v>1780</v>
      </c>
      <c r="M239" s="4">
        <v>1793</v>
      </c>
      <c r="N239" s="4">
        <v>1725</v>
      </c>
      <c r="O239" s="4">
        <v>1707</v>
      </c>
      <c r="P239" s="4">
        <v>1644</v>
      </c>
      <c r="Q239" s="4">
        <v>1604</v>
      </c>
      <c r="R239" s="4">
        <v>1588</v>
      </c>
      <c r="S239" s="4">
        <v>1655</v>
      </c>
      <c r="T239" s="4">
        <v>1680</v>
      </c>
      <c r="U239" s="4">
        <v>1685</v>
      </c>
      <c r="V239" s="4">
        <v>1750</v>
      </c>
      <c r="W239" s="4">
        <v>1735</v>
      </c>
      <c r="X239" s="4">
        <v>1810</v>
      </c>
      <c r="Y239" s="4">
        <v>1773</v>
      </c>
      <c r="Z239" s="4">
        <v>1753</v>
      </c>
      <c r="AA239" s="4">
        <v>1800</v>
      </c>
      <c r="AB239" s="4">
        <v>1791</v>
      </c>
      <c r="AC239" s="4">
        <v>1825</v>
      </c>
      <c r="AD239" s="4">
        <v>1910</v>
      </c>
      <c r="AE239" s="4">
        <v>1807</v>
      </c>
      <c r="AF239" s="4">
        <v>1815</v>
      </c>
      <c r="AG239" s="4">
        <v>1820</v>
      </c>
      <c r="AH239" s="4">
        <v>1812</v>
      </c>
      <c r="AI239" s="4">
        <v>1720</v>
      </c>
      <c r="AJ239" s="4">
        <v>1670</v>
      </c>
      <c r="AK239" s="4">
        <v>1706</v>
      </c>
      <c r="AL239" s="4">
        <v>1741</v>
      </c>
      <c r="AM239" s="4">
        <v>1791</v>
      </c>
      <c r="AN239" s="4">
        <v>1758</v>
      </c>
      <c r="AO239" s="4">
        <v>1736</v>
      </c>
      <c r="AP239" s="4">
        <v>1729</v>
      </c>
      <c r="AQ239" s="4">
        <v>1706</v>
      </c>
      <c r="AR239" s="4">
        <v>1702</v>
      </c>
      <c r="AS239" s="4">
        <v>1700</v>
      </c>
      <c r="AT239" s="4">
        <v>1745</v>
      </c>
      <c r="AU239" s="4">
        <v>1724</v>
      </c>
      <c r="AV239" s="4">
        <v>1812</v>
      </c>
      <c r="AW239" s="4">
        <v>1793</v>
      </c>
      <c r="AX239" s="4">
        <v>1600</v>
      </c>
      <c r="AY239" s="4">
        <v>1540</v>
      </c>
      <c r="AZ239" s="4">
        <v>1544</v>
      </c>
      <c r="BA239" s="4">
        <v>1559</v>
      </c>
      <c r="BB239" s="4">
        <v>1554</v>
      </c>
      <c r="BC239" s="4">
        <v>1567</v>
      </c>
      <c r="BD239" s="4">
        <v>1577</v>
      </c>
      <c r="BE239" s="4">
        <v>1608</v>
      </c>
      <c r="BF239" s="4">
        <v>1580</v>
      </c>
      <c r="BG239" s="4">
        <v>1565</v>
      </c>
      <c r="BH239" s="4">
        <v>1575</v>
      </c>
      <c r="BI239" s="4">
        <v>1576</v>
      </c>
      <c r="BJ239" s="4">
        <v>1508</v>
      </c>
      <c r="BK239" s="4">
        <v>1468</v>
      </c>
      <c r="BL239" s="4">
        <v>1448</v>
      </c>
      <c r="BM239" s="4">
        <v>1458</v>
      </c>
      <c r="BN239" s="4">
        <v>1495</v>
      </c>
      <c r="BO239" s="4">
        <v>1535</v>
      </c>
      <c r="BP239" s="4">
        <v>1472</v>
      </c>
    </row>
    <row r="240" spans="1:68">
      <c r="A240" s="65" t="s">
        <v>453</v>
      </c>
      <c r="B240" s="4" t="str">
        <f>銘柄管理!C240</f>
        <v/>
      </c>
      <c r="C240" s="4" t="str">
        <f>_xll.RssMarket("7609","現在値")</f>
        <v/>
      </c>
      <c r="D240" s="4" t="e">
        <f t="shared" si="7"/>
        <v>#VALUE!</v>
      </c>
      <c r="E240" s="4">
        <v>3300</v>
      </c>
      <c r="F240" s="4">
        <v>3495</v>
      </c>
      <c r="G240" s="4">
        <v>3335</v>
      </c>
      <c r="H240" s="4">
        <v>3385</v>
      </c>
      <c r="I240" s="4">
        <v>3560</v>
      </c>
      <c r="J240" s="4">
        <v>3475</v>
      </c>
      <c r="K240" s="4">
        <v>3410</v>
      </c>
      <c r="L240" s="4">
        <v>3640</v>
      </c>
      <c r="M240" s="4">
        <v>3670</v>
      </c>
      <c r="N240" s="4">
        <v>3640</v>
      </c>
      <c r="O240" s="4">
        <v>3785</v>
      </c>
      <c r="P240" s="4">
        <v>3675</v>
      </c>
      <c r="Q240" s="4">
        <v>3650</v>
      </c>
      <c r="R240" s="4">
        <v>3735</v>
      </c>
      <c r="S240" s="4">
        <v>3815</v>
      </c>
      <c r="T240" s="4">
        <v>3695</v>
      </c>
      <c r="U240" s="4">
        <v>3770</v>
      </c>
      <c r="V240" s="4">
        <v>3935</v>
      </c>
      <c r="W240" s="4">
        <v>3900</v>
      </c>
      <c r="X240" s="4">
        <v>3635</v>
      </c>
      <c r="Y240" s="4">
        <v>3565</v>
      </c>
      <c r="Z240" s="4">
        <v>3465</v>
      </c>
      <c r="AA240" s="4">
        <v>3430</v>
      </c>
      <c r="AB240" s="4">
        <v>3435</v>
      </c>
      <c r="AC240" s="4">
        <v>3565</v>
      </c>
      <c r="AD240" s="4">
        <v>3775</v>
      </c>
      <c r="AE240" s="4">
        <v>3725</v>
      </c>
      <c r="AF240" s="4">
        <v>3695</v>
      </c>
      <c r="AG240" s="4">
        <v>3575</v>
      </c>
      <c r="AH240" s="4">
        <v>3565</v>
      </c>
      <c r="AI240" s="4">
        <v>3570</v>
      </c>
      <c r="AJ240" s="4">
        <v>3540</v>
      </c>
      <c r="AK240" s="4">
        <v>3530</v>
      </c>
      <c r="AL240" s="4">
        <v>3655</v>
      </c>
      <c r="AM240" s="4">
        <v>3615</v>
      </c>
      <c r="AN240" s="4">
        <v>3535</v>
      </c>
      <c r="AO240" s="4">
        <v>3490</v>
      </c>
      <c r="AP240" s="4">
        <v>3575</v>
      </c>
      <c r="AQ240" s="4">
        <v>3855</v>
      </c>
      <c r="AR240" s="4">
        <v>3825</v>
      </c>
      <c r="AS240" s="4">
        <v>3930</v>
      </c>
      <c r="AT240" s="4">
        <v>3870</v>
      </c>
      <c r="AU240" s="4">
        <v>3940</v>
      </c>
      <c r="AV240" s="4">
        <v>3950</v>
      </c>
      <c r="AW240" s="4">
        <v>3840</v>
      </c>
      <c r="AX240" s="4">
        <v>3380</v>
      </c>
      <c r="AY240" s="4">
        <v>3140</v>
      </c>
      <c r="AZ240" s="4">
        <v>2909</v>
      </c>
      <c r="BA240" s="4">
        <v>2894</v>
      </c>
      <c r="BB240" s="4">
        <v>2889</v>
      </c>
      <c r="BC240" s="4">
        <v>2891</v>
      </c>
      <c r="BD240" s="4">
        <v>2862</v>
      </c>
      <c r="BE240" s="4">
        <v>2827</v>
      </c>
      <c r="BF240" s="4">
        <v>2883</v>
      </c>
      <c r="BG240" s="4">
        <v>2883</v>
      </c>
      <c r="BH240" s="4">
        <v>2873</v>
      </c>
      <c r="BI240" s="4">
        <v>2961</v>
      </c>
      <c r="BJ240" s="4">
        <v>2870</v>
      </c>
      <c r="BK240" s="4">
        <v>2930</v>
      </c>
      <c r="BL240" s="4">
        <v>2839</v>
      </c>
      <c r="BM240" s="4">
        <v>2823</v>
      </c>
      <c r="BN240" s="4">
        <v>2778</v>
      </c>
      <c r="BO240" s="4">
        <v>2843</v>
      </c>
      <c r="BP240" s="4">
        <v>2712</v>
      </c>
    </row>
    <row r="241" spans="1:68">
      <c r="A241" s="65" t="s">
        <v>454</v>
      </c>
      <c r="B241" s="4" t="str">
        <f>銘柄管理!C241</f>
        <v/>
      </c>
      <c r="C241" s="4" t="str">
        <f>_xll.RssMarket("7972","現在値")</f>
        <v/>
      </c>
      <c r="D241" s="4" t="e">
        <f t="shared" si="7"/>
        <v>#VALUE!</v>
      </c>
      <c r="E241" s="4">
        <v>2720</v>
      </c>
      <c r="F241" s="4">
        <v>2850</v>
      </c>
      <c r="G241" s="4">
        <v>2836</v>
      </c>
      <c r="H241" s="4">
        <v>2760</v>
      </c>
      <c r="I241" s="4">
        <v>2810</v>
      </c>
      <c r="J241" s="4">
        <v>2849</v>
      </c>
      <c r="K241" s="4">
        <v>2857</v>
      </c>
      <c r="L241" s="4">
        <v>2834</v>
      </c>
      <c r="M241" s="4">
        <v>2730</v>
      </c>
      <c r="N241" s="4">
        <v>2654</v>
      </c>
      <c r="O241" s="4">
        <v>2623</v>
      </c>
      <c r="P241" s="4">
        <v>2643</v>
      </c>
      <c r="Q241" s="4">
        <v>2666</v>
      </c>
      <c r="R241" s="4">
        <v>2631</v>
      </c>
      <c r="S241" s="4">
        <v>2571</v>
      </c>
      <c r="T241" s="4">
        <v>2559</v>
      </c>
      <c r="U241" s="4">
        <v>2534</v>
      </c>
      <c r="V241" s="4">
        <v>2571</v>
      </c>
      <c r="W241" s="4">
        <v>2515</v>
      </c>
      <c r="X241" s="4">
        <v>2431</v>
      </c>
      <c r="Y241" s="4">
        <v>2455</v>
      </c>
      <c r="Z241" s="4">
        <v>2438</v>
      </c>
      <c r="AA241" s="4">
        <v>2416</v>
      </c>
      <c r="AB241" s="4">
        <v>2408</v>
      </c>
      <c r="AC241" s="4">
        <v>2425</v>
      </c>
      <c r="AD241" s="4">
        <v>2422</v>
      </c>
      <c r="AE241" s="4">
        <v>2369</v>
      </c>
      <c r="AF241" s="4">
        <v>2446</v>
      </c>
      <c r="AG241" s="4">
        <v>2455</v>
      </c>
      <c r="AH241" s="4">
        <v>2522</v>
      </c>
      <c r="AI241" s="4">
        <v>2567</v>
      </c>
      <c r="AJ241" s="4">
        <v>2615</v>
      </c>
      <c r="AK241" s="4">
        <v>2713</v>
      </c>
      <c r="AL241" s="4">
        <v>2622</v>
      </c>
      <c r="AM241" s="4">
        <v>2625</v>
      </c>
      <c r="AN241" s="4">
        <v>2573</v>
      </c>
      <c r="AO241" s="4">
        <v>2653</v>
      </c>
      <c r="AP241" s="4">
        <v>2704</v>
      </c>
      <c r="AQ241" s="4">
        <v>2698</v>
      </c>
      <c r="AR241" s="4">
        <v>2715</v>
      </c>
      <c r="AS241" s="4">
        <v>2789</v>
      </c>
      <c r="AT241" s="4">
        <v>2799</v>
      </c>
      <c r="AU241" s="4">
        <v>2787</v>
      </c>
      <c r="AV241" s="4">
        <v>2760</v>
      </c>
      <c r="AW241" s="4">
        <v>2893</v>
      </c>
      <c r="AX241" s="4">
        <v>3250</v>
      </c>
      <c r="AY241" s="4">
        <v>3160</v>
      </c>
      <c r="AZ241" s="4">
        <v>3165</v>
      </c>
      <c r="BA241" s="4">
        <v>3290</v>
      </c>
      <c r="BB241" s="4">
        <v>3215</v>
      </c>
      <c r="BC241" s="4">
        <v>3190</v>
      </c>
      <c r="BD241" s="4">
        <v>3235</v>
      </c>
      <c r="BE241" s="4">
        <v>3265</v>
      </c>
      <c r="BF241" s="4">
        <v>3300</v>
      </c>
      <c r="BG241" s="4">
        <v>3285</v>
      </c>
      <c r="BH241" s="4">
        <v>3295</v>
      </c>
      <c r="BI241" s="4">
        <v>3350</v>
      </c>
      <c r="BJ241" s="4">
        <v>3365</v>
      </c>
      <c r="BK241" s="4">
        <v>3535</v>
      </c>
      <c r="BL241" s="4">
        <v>3535</v>
      </c>
      <c r="BM241" s="4">
        <v>3480</v>
      </c>
      <c r="BN241" s="4">
        <v>3460</v>
      </c>
      <c r="BO241" s="4">
        <v>3520</v>
      </c>
      <c r="BP241" s="4">
        <v>3365</v>
      </c>
    </row>
    <row r="242" spans="1:68">
      <c r="A242" s="65" t="s">
        <v>455</v>
      </c>
      <c r="B242" s="4" t="str">
        <f>銘柄管理!C242</f>
        <v/>
      </c>
      <c r="C242" s="4" t="str">
        <f>_xll.RssMarket("6521","現在値")</f>
        <v/>
      </c>
      <c r="D242" s="4" t="e">
        <f t="shared" si="7"/>
        <v>#VALUE!</v>
      </c>
      <c r="E242" s="4">
        <v>3385</v>
      </c>
      <c r="F242" s="4">
        <v>3950</v>
      </c>
      <c r="G242" s="4">
        <v>3830</v>
      </c>
      <c r="H242" s="4">
        <v>4185</v>
      </c>
      <c r="I242" s="4">
        <v>4300</v>
      </c>
      <c r="J242" s="4">
        <v>4200</v>
      </c>
      <c r="K242" s="4">
        <v>4070</v>
      </c>
      <c r="L242" s="4">
        <v>4450</v>
      </c>
      <c r="M242" s="4">
        <v>4585</v>
      </c>
      <c r="N242" s="4">
        <v>4415</v>
      </c>
      <c r="O242" s="4">
        <v>4580</v>
      </c>
      <c r="P242" s="4">
        <v>4710</v>
      </c>
      <c r="Q242" s="4">
        <v>4660</v>
      </c>
      <c r="R242" s="4">
        <v>4720</v>
      </c>
      <c r="S242" s="4">
        <v>5140</v>
      </c>
      <c r="T242" s="4">
        <v>5100</v>
      </c>
      <c r="U242" s="4">
        <v>4840</v>
      </c>
      <c r="V242" s="4">
        <v>5140</v>
      </c>
      <c r="W242" s="4">
        <v>5060</v>
      </c>
      <c r="X242" s="4">
        <v>4810</v>
      </c>
      <c r="Y242" s="4">
        <v>4680</v>
      </c>
      <c r="Z242" s="4">
        <v>4400</v>
      </c>
      <c r="AA242" s="4">
        <v>4430</v>
      </c>
      <c r="AB242" s="4">
        <v>4495</v>
      </c>
      <c r="AC242" s="4">
        <v>4850</v>
      </c>
      <c r="AD242" s="4">
        <v>5130</v>
      </c>
      <c r="AE242" s="4">
        <v>4915</v>
      </c>
      <c r="AF242" s="4">
        <v>5200</v>
      </c>
      <c r="AG242" s="4">
        <v>5030</v>
      </c>
      <c r="AH242" s="4">
        <v>5330</v>
      </c>
      <c r="AI242" s="4">
        <v>5420</v>
      </c>
      <c r="AJ242" s="4">
        <v>5850</v>
      </c>
      <c r="AK242" s="4">
        <v>5590</v>
      </c>
      <c r="AL242" s="4">
        <v>6100</v>
      </c>
      <c r="AM242" s="4">
        <v>6410</v>
      </c>
      <c r="AN242" s="4">
        <v>5590</v>
      </c>
      <c r="AO242" s="4">
        <v>5780</v>
      </c>
      <c r="AP242" s="4">
        <v>5820</v>
      </c>
      <c r="AQ242" s="4">
        <v>6780</v>
      </c>
      <c r="AR242" s="4">
        <v>6030</v>
      </c>
      <c r="AS242" s="4">
        <v>6460</v>
      </c>
      <c r="AT242" s="4">
        <v>6330</v>
      </c>
      <c r="AU242" s="4">
        <v>6530</v>
      </c>
      <c r="AV242" s="4">
        <v>6570</v>
      </c>
      <c r="AW242" s="4">
        <v>6210</v>
      </c>
      <c r="AX242" s="4">
        <v>5280</v>
      </c>
      <c r="AY242" s="4">
        <v>4680</v>
      </c>
      <c r="AZ242" s="4">
        <v>4595</v>
      </c>
      <c r="BA242" s="4">
        <v>4745</v>
      </c>
      <c r="BB242" s="4">
        <v>4645</v>
      </c>
      <c r="BC242" s="4">
        <v>4755</v>
      </c>
      <c r="BD242" s="4">
        <v>4600</v>
      </c>
      <c r="BE242" s="4">
        <v>4905</v>
      </c>
      <c r="BF242" s="4">
        <v>5090</v>
      </c>
      <c r="BG242" s="4">
        <v>4385</v>
      </c>
      <c r="BH242" s="4">
        <v>4050</v>
      </c>
      <c r="BI242" s="4">
        <v>4435</v>
      </c>
      <c r="BJ242" s="4">
        <v>4350</v>
      </c>
      <c r="BK242" s="4">
        <v>5010</v>
      </c>
      <c r="BL242" s="4">
        <v>5050</v>
      </c>
      <c r="BM242" s="4">
        <v>4685</v>
      </c>
      <c r="BN242" s="4">
        <v>4470</v>
      </c>
      <c r="BO242" s="4">
        <v>4665</v>
      </c>
      <c r="BP242" s="4">
        <v>4305</v>
      </c>
    </row>
    <row r="243" spans="1:68">
      <c r="A243" s="65" t="s">
        <v>456</v>
      </c>
      <c r="B243" s="4" t="str">
        <f>銘柄管理!C243</f>
        <v/>
      </c>
      <c r="C243" s="4" t="str">
        <f>_xll.RssMarket("9165","現在値")</f>
        <v/>
      </c>
      <c r="D243" s="4" t="e">
        <f t="shared" si="7"/>
        <v>#VALUE!</v>
      </c>
      <c r="E243" s="4">
        <v>1702</v>
      </c>
      <c r="F243" s="4">
        <v>1727</v>
      </c>
      <c r="G243" s="4">
        <v>1708</v>
      </c>
      <c r="H243" s="4">
        <v>1746</v>
      </c>
      <c r="I243" s="4">
        <v>1758</v>
      </c>
      <c r="J243" s="4">
        <v>1764</v>
      </c>
      <c r="K243" s="4">
        <v>1718</v>
      </c>
      <c r="L243" s="4">
        <v>1751</v>
      </c>
      <c r="M243" s="4">
        <v>1777</v>
      </c>
      <c r="N243" s="4">
        <v>1748</v>
      </c>
      <c r="O243" s="4">
        <v>1761</v>
      </c>
      <c r="P243" s="4">
        <v>1695</v>
      </c>
      <c r="Q243" s="4">
        <v>1684</v>
      </c>
      <c r="R243" s="4">
        <v>1729</v>
      </c>
      <c r="S243" s="4">
        <v>1741</v>
      </c>
      <c r="T243" s="4">
        <v>1729</v>
      </c>
      <c r="U243" s="4">
        <v>1761</v>
      </c>
      <c r="V243" s="4">
        <v>1791</v>
      </c>
      <c r="W243" s="4">
        <v>1694</v>
      </c>
      <c r="X243" s="4">
        <v>1691</v>
      </c>
      <c r="Y243" s="4">
        <v>1708</v>
      </c>
      <c r="Z243" s="4">
        <v>1711</v>
      </c>
      <c r="AA243" s="4">
        <v>1680</v>
      </c>
      <c r="AB243" s="4">
        <v>1707</v>
      </c>
      <c r="AC243" s="4">
        <v>1726</v>
      </c>
      <c r="AD243" s="4">
        <v>1841</v>
      </c>
      <c r="AE243" s="4">
        <v>1801</v>
      </c>
      <c r="AF243" s="4">
        <v>1808</v>
      </c>
      <c r="AG243" s="4">
        <v>1778</v>
      </c>
      <c r="AH243" s="4">
        <v>1826</v>
      </c>
      <c r="AI243" s="4">
        <v>1873</v>
      </c>
      <c r="AJ243" s="4">
        <v>1865</v>
      </c>
      <c r="AK243" s="4">
        <v>1945</v>
      </c>
      <c r="AL243" s="4">
        <v>2193</v>
      </c>
      <c r="AM243" s="4">
        <v>2005</v>
      </c>
      <c r="AN243" s="4">
        <v>1750</v>
      </c>
      <c r="AO243" s="4">
        <v>1820</v>
      </c>
      <c r="AP243" s="4">
        <v>1838</v>
      </c>
      <c r="AQ243" s="4">
        <v>1844</v>
      </c>
      <c r="AR243" s="4">
        <v>1683</v>
      </c>
      <c r="AS243" s="4">
        <v>1724</v>
      </c>
      <c r="AT243" s="4">
        <v>1777</v>
      </c>
      <c r="AU243" s="4">
        <v>1765</v>
      </c>
      <c r="AV243" s="4">
        <v>1857</v>
      </c>
      <c r="AW243" s="4">
        <v>1800</v>
      </c>
      <c r="AX243" s="4">
        <v>1611</v>
      </c>
      <c r="AY243" s="4">
        <v>1490</v>
      </c>
      <c r="AZ243" s="4">
        <v>1479</v>
      </c>
      <c r="BA243" s="4">
        <v>1470</v>
      </c>
      <c r="BB243" s="4">
        <v>1467</v>
      </c>
      <c r="BC243" s="4">
        <v>1469</v>
      </c>
      <c r="BD243" s="4">
        <v>1468</v>
      </c>
      <c r="BE243" s="4">
        <v>1470</v>
      </c>
      <c r="BF243" s="4">
        <v>1469</v>
      </c>
      <c r="BG243" s="4">
        <v>1449</v>
      </c>
      <c r="BH243" s="4">
        <v>1451</v>
      </c>
      <c r="BI243" s="4">
        <v>1460</v>
      </c>
      <c r="BJ243" s="4">
        <v>1457</v>
      </c>
      <c r="BK243" s="4">
        <v>1440</v>
      </c>
      <c r="BL243" s="4">
        <v>1422</v>
      </c>
      <c r="BM243" s="4">
        <v>1421</v>
      </c>
      <c r="BN243" s="4">
        <v>1434</v>
      </c>
      <c r="BO243" s="4">
        <v>1434</v>
      </c>
      <c r="BP243" s="4">
        <v>1419</v>
      </c>
    </row>
    <row r="244" spans="1:68">
      <c r="A244" s="65" t="s">
        <v>457</v>
      </c>
      <c r="B244" s="4" t="str">
        <f>銘柄管理!C244</f>
        <v/>
      </c>
      <c r="C244" s="4" t="str">
        <f>_xll.RssMarket("6902","現在値")</f>
        <v/>
      </c>
      <c r="D244" s="4" t="e">
        <f t="shared" si="7"/>
        <v>#VALUE!</v>
      </c>
      <c r="E244" s="4">
        <v>1964</v>
      </c>
      <c r="F244" s="4">
        <v>1953.5</v>
      </c>
      <c r="G244" s="4">
        <v>1941.5</v>
      </c>
      <c r="H244" s="4">
        <v>1925.5</v>
      </c>
      <c r="I244" s="4">
        <v>1933.5</v>
      </c>
      <c r="J244" s="4">
        <v>1928</v>
      </c>
      <c r="K244" s="4">
        <v>1945</v>
      </c>
      <c r="L244" s="4">
        <v>1992</v>
      </c>
      <c r="M244" s="4">
        <v>1955.5</v>
      </c>
      <c r="N244" s="4">
        <v>1932.5</v>
      </c>
      <c r="O244" s="4">
        <v>1870.5</v>
      </c>
      <c r="P244" s="4">
        <v>1876</v>
      </c>
      <c r="Q244" s="4">
        <v>1888</v>
      </c>
      <c r="R244" s="4">
        <v>1875</v>
      </c>
      <c r="S244" s="4">
        <v>1860.5</v>
      </c>
      <c r="T244" s="4">
        <v>1869.5</v>
      </c>
      <c r="U244" s="4">
        <v>1885.5</v>
      </c>
      <c r="V244" s="4">
        <v>1892</v>
      </c>
      <c r="W244" s="4">
        <v>1900.5</v>
      </c>
      <c r="X244" s="4">
        <v>1917</v>
      </c>
      <c r="Y244" s="4">
        <v>1893.5</v>
      </c>
      <c r="Z244" s="4">
        <v>1854</v>
      </c>
      <c r="AA244" s="4">
        <v>1834.5</v>
      </c>
      <c r="AB244" s="4">
        <v>1882.5</v>
      </c>
      <c r="AC244" s="4">
        <v>1903.5</v>
      </c>
      <c r="AD244" s="4">
        <v>1887</v>
      </c>
      <c r="AE244" s="4">
        <v>1907</v>
      </c>
      <c r="AF244" s="4">
        <v>1926</v>
      </c>
      <c r="AG244" s="4">
        <v>1867.5</v>
      </c>
      <c r="AH244" s="4">
        <v>1869</v>
      </c>
      <c r="AI244" s="4">
        <v>1908</v>
      </c>
      <c r="AJ244" s="4">
        <v>1886</v>
      </c>
      <c r="AK244" s="4">
        <v>1888.5</v>
      </c>
      <c r="AL244" s="4">
        <v>1837</v>
      </c>
      <c r="AM244" s="4">
        <v>1834.5</v>
      </c>
      <c r="AN244" s="4">
        <v>1850</v>
      </c>
      <c r="AO244" s="4">
        <v>1835.5</v>
      </c>
      <c r="AP244" s="4">
        <v>1859.5</v>
      </c>
      <c r="AQ244" s="4">
        <v>1838.5</v>
      </c>
      <c r="AR244" s="4">
        <v>1944</v>
      </c>
      <c r="AS244" s="4">
        <v>1884</v>
      </c>
      <c r="AT244" s="4">
        <v>1917</v>
      </c>
      <c r="AU244" s="4">
        <v>1878</v>
      </c>
      <c r="AV244" s="4">
        <v>1879</v>
      </c>
      <c r="AW244" s="4">
        <v>1919</v>
      </c>
      <c r="AX244" s="4">
        <v>1914.5</v>
      </c>
      <c r="AY244" s="4">
        <v>1895.5</v>
      </c>
      <c r="AZ244" s="4">
        <v>1882.5</v>
      </c>
      <c r="BA244" s="4">
        <v>1846.5</v>
      </c>
      <c r="BB244" s="4">
        <v>1883.5</v>
      </c>
      <c r="BC244" s="4">
        <v>1868</v>
      </c>
      <c r="BD244" s="4">
        <v>1893.5</v>
      </c>
      <c r="BE244" s="4">
        <v>1925.5</v>
      </c>
      <c r="BF244" s="4">
        <v>1944</v>
      </c>
      <c r="BG244" s="4">
        <v>1962.5</v>
      </c>
      <c r="BH244" s="4">
        <v>1926</v>
      </c>
      <c r="BI244" s="4">
        <v>1917.5</v>
      </c>
      <c r="BJ244" s="4">
        <v>1915</v>
      </c>
      <c r="BK244" s="4">
        <v>1926.5</v>
      </c>
      <c r="BL244" s="4">
        <v>1917</v>
      </c>
      <c r="BM244" s="4">
        <v>1933</v>
      </c>
      <c r="BN244" s="4">
        <v>1951.5</v>
      </c>
      <c r="BO244" s="4">
        <v>1960.5</v>
      </c>
      <c r="BP244" s="4">
        <v>1908</v>
      </c>
    </row>
    <row r="245" spans="1:68">
      <c r="A245" s="65" t="s">
        <v>458</v>
      </c>
      <c r="B245" s="4" t="str">
        <f>銘柄管理!C245</f>
        <v/>
      </c>
      <c r="C245" s="4" t="str">
        <f>_xll.RssMarket("3936","現在値")</f>
        <v/>
      </c>
      <c r="D245" s="4" t="e">
        <f t="shared" si="7"/>
        <v>#VALUE!</v>
      </c>
      <c r="E245" s="4">
        <v>156</v>
      </c>
      <c r="F245" s="4">
        <v>168</v>
      </c>
      <c r="G245" s="4">
        <v>164</v>
      </c>
      <c r="H245" s="4">
        <v>162</v>
      </c>
      <c r="I245" s="4">
        <v>160</v>
      </c>
      <c r="J245" s="4">
        <v>154</v>
      </c>
      <c r="K245" s="4">
        <v>151</v>
      </c>
      <c r="L245" s="4">
        <v>160</v>
      </c>
      <c r="M245" s="4">
        <v>157</v>
      </c>
      <c r="N245" s="4">
        <v>152</v>
      </c>
      <c r="O245" s="4">
        <v>148</v>
      </c>
      <c r="P245" s="4">
        <v>147</v>
      </c>
      <c r="Q245" s="4">
        <v>152</v>
      </c>
      <c r="R245" s="4">
        <v>163</v>
      </c>
      <c r="S245" s="4">
        <v>160</v>
      </c>
      <c r="T245" s="4">
        <v>161</v>
      </c>
      <c r="U245" s="4">
        <v>169</v>
      </c>
      <c r="V245" s="4">
        <v>155</v>
      </c>
      <c r="W245" s="4">
        <v>161</v>
      </c>
      <c r="X245" s="4">
        <v>167</v>
      </c>
      <c r="Y245" s="4">
        <v>171</v>
      </c>
      <c r="Z245" s="4">
        <v>178</v>
      </c>
      <c r="AA245" s="4">
        <v>179</v>
      </c>
      <c r="AB245" s="4">
        <v>175</v>
      </c>
      <c r="AC245" s="4">
        <v>169</v>
      </c>
      <c r="AD245" s="4">
        <v>168</v>
      </c>
      <c r="AE245" s="4">
        <v>165</v>
      </c>
      <c r="AF245" s="4">
        <v>170</v>
      </c>
      <c r="AG245" s="4">
        <v>177</v>
      </c>
      <c r="AH245" s="4">
        <v>167</v>
      </c>
      <c r="AI245" s="4">
        <v>162</v>
      </c>
      <c r="AJ245" s="4">
        <v>167</v>
      </c>
      <c r="AK245" s="4">
        <v>169</v>
      </c>
      <c r="AL245" s="4">
        <v>174</v>
      </c>
      <c r="AM245" s="4">
        <v>161</v>
      </c>
      <c r="AN245" s="4">
        <v>200</v>
      </c>
      <c r="AO245" s="4">
        <v>206</v>
      </c>
      <c r="AP245" s="4">
        <v>156</v>
      </c>
      <c r="AQ245" s="4">
        <v>169</v>
      </c>
      <c r="AR245" s="4">
        <v>172</v>
      </c>
      <c r="AS245" s="4">
        <v>168</v>
      </c>
      <c r="AT245" s="4">
        <v>176</v>
      </c>
      <c r="AU245" s="4">
        <v>186</v>
      </c>
      <c r="AV245" s="4">
        <v>173</v>
      </c>
      <c r="AW245" s="4">
        <v>193</v>
      </c>
      <c r="AX245" s="4">
        <v>209</v>
      </c>
      <c r="AY245" s="4">
        <v>238</v>
      </c>
      <c r="AZ245" s="4">
        <v>235</v>
      </c>
      <c r="BA245" s="4">
        <v>198</v>
      </c>
      <c r="BB245" s="4">
        <v>199</v>
      </c>
      <c r="BC245" s="4">
        <v>149</v>
      </c>
      <c r="BD245" s="4">
        <v>130</v>
      </c>
      <c r="BE245" s="4">
        <v>127</v>
      </c>
      <c r="BF245" s="4">
        <v>125</v>
      </c>
      <c r="BG245" s="4">
        <v>124</v>
      </c>
      <c r="BH245" s="4">
        <v>125</v>
      </c>
      <c r="BI245" s="4">
        <v>127</v>
      </c>
      <c r="BJ245" s="4">
        <v>129</v>
      </c>
      <c r="BK245" s="4">
        <v>127</v>
      </c>
      <c r="BL245" s="4">
        <v>126</v>
      </c>
      <c r="BM245" s="4">
        <v>127</v>
      </c>
      <c r="BN245" s="4">
        <v>125</v>
      </c>
      <c r="BO245" s="4">
        <v>130</v>
      </c>
      <c r="BP245" s="4">
        <v>125</v>
      </c>
    </row>
    <row r="246" spans="1:68">
      <c r="A246" s="65" t="s">
        <v>459</v>
      </c>
      <c r="B246" s="4" t="str">
        <f>銘柄管理!C246</f>
        <v/>
      </c>
      <c r="C246" s="4" t="str">
        <f>_xll.RssMarket("6928","現在値")</f>
        <v/>
      </c>
      <c r="D246" s="4" t="e">
        <f t="shared" si="7"/>
        <v>#VALUE!</v>
      </c>
      <c r="E246" s="4">
        <v>2530</v>
      </c>
      <c r="F246" s="4">
        <v>2878</v>
      </c>
      <c r="G246" s="4">
        <v>2850</v>
      </c>
      <c r="H246" s="4">
        <v>2885</v>
      </c>
      <c r="I246" s="4">
        <v>2841</v>
      </c>
      <c r="J246" s="4">
        <v>2858</v>
      </c>
      <c r="K246" s="4">
        <v>2725</v>
      </c>
      <c r="L246" s="4">
        <v>2900</v>
      </c>
      <c r="M246" s="4">
        <v>2911</v>
      </c>
      <c r="N246" s="4">
        <v>2921</v>
      </c>
      <c r="O246" s="4">
        <v>3030</v>
      </c>
      <c r="P246" s="4">
        <v>3110</v>
      </c>
      <c r="Q246" s="4">
        <v>3115</v>
      </c>
      <c r="R246" s="4">
        <v>3165</v>
      </c>
      <c r="S246" s="4">
        <v>3370</v>
      </c>
      <c r="T246" s="4">
        <v>3375</v>
      </c>
      <c r="U246" s="4">
        <v>3385</v>
      </c>
      <c r="V246" s="4">
        <v>3465</v>
      </c>
      <c r="W246" s="4">
        <v>3365</v>
      </c>
      <c r="X246" s="4">
        <v>3320</v>
      </c>
      <c r="Y246" s="4">
        <v>3160</v>
      </c>
      <c r="Z246" s="4">
        <v>3315</v>
      </c>
      <c r="AA246" s="4">
        <v>3455</v>
      </c>
      <c r="AB246" s="4">
        <v>3430</v>
      </c>
      <c r="AC246" s="4">
        <v>3635</v>
      </c>
      <c r="AD246" s="4">
        <v>3675</v>
      </c>
      <c r="AE246" s="4">
        <v>3700</v>
      </c>
      <c r="AF246" s="4">
        <v>3720</v>
      </c>
      <c r="AG246" s="4">
        <v>3890</v>
      </c>
      <c r="AH246" s="4">
        <v>3805</v>
      </c>
      <c r="AI246" s="4">
        <v>3735</v>
      </c>
      <c r="AJ246" s="4">
        <v>3530</v>
      </c>
      <c r="AK246" s="4">
        <v>3655</v>
      </c>
      <c r="AL246" s="4">
        <v>3650</v>
      </c>
      <c r="AM246" s="4">
        <v>3485</v>
      </c>
      <c r="AN246" s="4">
        <v>3500</v>
      </c>
      <c r="AO246" s="4">
        <v>3475</v>
      </c>
      <c r="AP246" s="4">
        <v>3510</v>
      </c>
      <c r="AQ246" s="4">
        <v>3470</v>
      </c>
      <c r="AR246" s="4">
        <v>3435</v>
      </c>
      <c r="AS246" s="4">
        <v>3505</v>
      </c>
      <c r="AT246" s="4">
        <v>3440</v>
      </c>
      <c r="AU246" s="4">
        <v>3480</v>
      </c>
      <c r="AV246" s="4">
        <v>3620</v>
      </c>
      <c r="AW246" s="4">
        <v>3600</v>
      </c>
      <c r="AX246" s="4">
        <v>3445</v>
      </c>
      <c r="AY246" s="4">
        <v>3285</v>
      </c>
      <c r="AZ246" s="4">
        <v>3220</v>
      </c>
      <c r="BA246" s="4">
        <v>3120</v>
      </c>
      <c r="BB246" s="4">
        <v>3165</v>
      </c>
      <c r="BC246" s="4">
        <v>3105</v>
      </c>
      <c r="BD246" s="4">
        <v>3200</v>
      </c>
      <c r="BE246" s="4">
        <v>3235</v>
      </c>
      <c r="BF246" s="4">
        <v>3230</v>
      </c>
      <c r="BG246" s="4">
        <v>3230</v>
      </c>
      <c r="BH246" s="4">
        <v>3325</v>
      </c>
      <c r="BI246" s="4">
        <v>3290</v>
      </c>
      <c r="BJ246" s="4">
        <v>3195</v>
      </c>
      <c r="BK246" s="4">
        <v>3150</v>
      </c>
      <c r="BL246" s="4">
        <v>3115</v>
      </c>
      <c r="BM246" s="4">
        <v>3085</v>
      </c>
      <c r="BN246" s="4">
        <v>3115</v>
      </c>
      <c r="BO246" s="4">
        <v>2917</v>
      </c>
      <c r="BP246" s="4">
        <v>2851</v>
      </c>
    </row>
    <row r="247" spans="1:68">
      <c r="A247" s="65" t="s">
        <v>460</v>
      </c>
      <c r="B247" s="4" t="str">
        <f>銘柄管理!C247</f>
        <v/>
      </c>
      <c r="C247" s="4" t="str">
        <f>_xll.RssMarket("5632","現在値")</f>
        <v/>
      </c>
      <c r="D247" s="4" t="e">
        <f t="shared" si="7"/>
        <v>#VALUE!</v>
      </c>
      <c r="E247" s="4">
        <v>2101</v>
      </c>
      <c r="F247" s="4">
        <v>2181</v>
      </c>
      <c r="G247" s="4">
        <v>2143</v>
      </c>
      <c r="H247" s="4">
        <v>2072</v>
      </c>
      <c r="I247" s="4">
        <v>2107</v>
      </c>
      <c r="J247" s="4">
        <v>2098</v>
      </c>
      <c r="K247" s="4">
        <v>2122</v>
      </c>
      <c r="L247" s="4">
        <v>2188</v>
      </c>
      <c r="M247" s="4">
        <v>2208</v>
      </c>
      <c r="N247" s="4">
        <v>2146</v>
      </c>
      <c r="O247" s="4">
        <v>2140</v>
      </c>
      <c r="P247" s="4">
        <v>2152</v>
      </c>
      <c r="Q247" s="4">
        <v>2208</v>
      </c>
      <c r="R247" s="4">
        <v>2177</v>
      </c>
      <c r="S247" s="4">
        <v>2217</v>
      </c>
      <c r="T247" s="4">
        <v>2215</v>
      </c>
      <c r="U247" s="4">
        <v>2258</v>
      </c>
      <c r="V247" s="4">
        <v>2425</v>
      </c>
      <c r="W247" s="4">
        <v>2331</v>
      </c>
      <c r="X247" s="4">
        <v>2141</v>
      </c>
      <c r="Y247" s="4">
        <v>2171</v>
      </c>
      <c r="Z247" s="4">
        <v>2139</v>
      </c>
      <c r="AA247" s="4">
        <v>2111</v>
      </c>
      <c r="AB247" s="4">
        <v>2107</v>
      </c>
      <c r="AC247" s="4">
        <v>2103</v>
      </c>
      <c r="AD247" s="4">
        <v>2150</v>
      </c>
      <c r="AE247" s="4">
        <v>2103</v>
      </c>
      <c r="AF247" s="4">
        <v>2083</v>
      </c>
      <c r="AG247" s="4">
        <v>2076</v>
      </c>
      <c r="AH247" s="4">
        <v>2127</v>
      </c>
      <c r="AI247" s="4">
        <v>2157</v>
      </c>
      <c r="AJ247" s="4">
        <v>2126</v>
      </c>
      <c r="AK247" s="4">
        <v>2143</v>
      </c>
      <c r="AL247" s="4">
        <v>2135</v>
      </c>
      <c r="AM247" s="4">
        <v>2144</v>
      </c>
      <c r="AN247" s="4">
        <v>2105</v>
      </c>
      <c r="AO247" s="4">
        <v>2015</v>
      </c>
      <c r="AP247" s="4">
        <v>2083</v>
      </c>
      <c r="AQ247" s="4">
        <v>2053</v>
      </c>
      <c r="AR247" s="4">
        <v>2169</v>
      </c>
      <c r="AS247" s="4">
        <v>2074</v>
      </c>
      <c r="AT247" s="4">
        <v>1980</v>
      </c>
      <c r="AU247" s="4">
        <v>1863</v>
      </c>
      <c r="AV247" s="4">
        <v>1892</v>
      </c>
      <c r="AW247" s="4">
        <v>1835</v>
      </c>
      <c r="AX247" s="4">
        <v>1845</v>
      </c>
      <c r="AY247" s="4">
        <v>1812</v>
      </c>
      <c r="AZ247" s="4">
        <v>1795</v>
      </c>
      <c r="BA247" s="4">
        <v>1824</v>
      </c>
      <c r="BB247" s="4">
        <v>1788</v>
      </c>
      <c r="BC247" s="4">
        <v>1789</v>
      </c>
      <c r="BD247" s="4">
        <v>1806</v>
      </c>
      <c r="BE247" s="4">
        <v>1804</v>
      </c>
      <c r="BF247" s="4">
        <v>1833</v>
      </c>
      <c r="BG247" s="4">
        <v>1838</v>
      </c>
      <c r="BH247" s="4">
        <v>1822</v>
      </c>
      <c r="BI247" s="4">
        <v>1837</v>
      </c>
      <c r="BJ247" s="4">
        <v>1826</v>
      </c>
      <c r="BK247" s="4">
        <v>1813</v>
      </c>
      <c r="BL247" s="4">
        <v>1796</v>
      </c>
      <c r="BM247" s="4">
        <v>1791</v>
      </c>
      <c r="BN247" s="4">
        <v>1811</v>
      </c>
      <c r="BO247" s="4">
        <v>1840</v>
      </c>
      <c r="BP247" s="4">
        <v>1809</v>
      </c>
    </row>
    <row r="248" spans="1:68">
      <c r="A248" s="65" t="s">
        <v>461</v>
      </c>
      <c r="B248" s="4" t="str">
        <f>銘柄管理!C248</f>
        <v/>
      </c>
      <c r="C248" s="4" t="str">
        <f>_xll.RssMarket("6098","現在値")</f>
        <v/>
      </c>
      <c r="D248" s="4" t="e">
        <f t="shared" si="7"/>
        <v>#VALUE!</v>
      </c>
      <c r="E248" s="4">
        <v>12820</v>
      </c>
      <c r="F248" s="4">
        <v>12580</v>
      </c>
      <c r="G248" s="4">
        <v>12660</v>
      </c>
      <c r="H248" s="4">
        <v>12350</v>
      </c>
      <c r="I248" s="4">
        <v>12240</v>
      </c>
      <c r="J248" s="4">
        <v>12505</v>
      </c>
      <c r="K248" s="4">
        <v>12180</v>
      </c>
      <c r="L248" s="4">
        <v>11895</v>
      </c>
      <c r="M248" s="4">
        <v>11920</v>
      </c>
      <c r="N248" s="4">
        <v>11630</v>
      </c>
      <c r="O248" s="4">
        <v>11530</v>
      </c>
      <c r="P248" s="4">
        <v>11330</v>
      </c>
      <c r="Q248" s="4">
        <v>11295</v>
      </c>
      <c r="R248" s="4">
        <v>11040</v>
      </c>
      <c r="S248" s="4">
        <v>11240</v>
      </c>
      <c r="T248" s="4">
        <v>11225</v>
      </c>
      <c r="U248" s="4">
        <v>11115</v>
      </c>
      <c r="V248" s="4">
        <v>11050</v>
      </c>
      <c r="W248" s="4">
        <v>10865</v>
      </c>
      <c r="X248" s="4">
        <v>10520</v>
      </c>
      <c r="Y248" s="4">
        <v>10750</v>
      </c>
      <c r="Z248" s="4">
        <v>10790</v>
      </c>
      <c r="AA248" s="4">
        <v>11155</v>
      </c>
      <c r="AB248" s="4">
        <v>11380</v>
      </c>
      <c r="AC248" s="4">
        <v>10755</v>
      </c>
      <c r="AD248" s="4">
        <v>10595</v>
      </c>
      <c r="AE248" s="4">
        <v>10615</v>
      </c>
      <c r="AF248" s="4">
        <v>10920</v>
      </c>
      <c r="AG248" s="4">
        <v>10845</v>
      </c>
      <c r="AH248" s="4">
        <v>10900</v>
      </c>
      <c r="AI248" s="4">
        <v>10570</v>
      </c>
      <c r="AJ248" s="4">
        <v>10185</v>
      </c>
      <c r="AK248" s="4">
        <v>9907</v>
      </c>
      <c r="AL248" s="4">
        <v>9688</v>
      </c>
      <c r="AM248" s="4">
        <v>9789</v>
      </c>
      <c r="AN248" s="4">
        <v>9564</v>
      </c>
      <c r="AO248" s="4">
        <v>9653</v>
      </c>
      <c r="AP248" s="4">
        <v>9846</v>
      </c>
      <c r="AQ248" s="4">
        <v>9122</v>
      </c>
      <c r="AR248" s="4">
        <v>7825</v>
      </c>
      <c r="AS248" s="4">
        <v>7780</v>
      </c>
      <c r="AT248" s="4">
        <v>7800</v>
      </c>
      <c r="AU248" s="4">
        <v>7573</v>
      </c>
      <c r="AV248" s="4">
        <v>7700</v>
      </c>
      <c r="AW248" s="4">
        <v>7822</v>
      </c>
      <c r="AX248" s="4">
        <v>7475</v>
      </c>
      <c r="AY248" s="4">
        <v>7361</v>
      </c>
      <c r="AZ248" s="4">
        <v>7303</v>
      </c>
      <c r="BA248" s="4">
        <v>7464</v>
      </c>
      <c r="BB248" s="4">
        <v>7302</v>
      </c>
      <c r="BC248" s="4">
        <v>7308</v>
      </c>
      <c r="BD248" s="4">
        <v>7561</v>
      </c>
      <c r="BE248" s="4">
        <v>7953</v>
      </c>
      <c r="BF248" s="4">
        <v>7853</v>
      </c>
      <c r="BG248" s="4">
        <v>7625</v>
      </c>
      <c r="BH248" s="4">
        <v>7524</v>
      </c>
      <c r="BI248" s="4">
        <v>7275</v>
      </c>
      <c r="BJ248" s="4">
        <v>7163</v>
      </c>
      <c r="BK248" s="4">
        <v>7030</v>
      </c>
      <c r="BL248" s="4">
        <v>6996</v>
      </c>
      <c r="BM248" s="4">
        <v>7117</v>
      </c>
      <c r="BN248" s="4">
        <v>7179</v>
      </c>
      <c r="BO248" s="4">
        <v>7333</v>
      </c>
      <c r="BP248" s="4">
        <v>6977</v>
      </c>
    </row>
    <row r="249" spans="1:68">
      <c r="A249" s="65" t="s">
        <v>462</v>
      </c>
      <c r="B249" s="4" t="str">
        <f>銘柄管理!C249</f>
        <v/>
      </c>
      <c r="C249" s="4" t="str">
        <f>_xll.RssMarket("6361","現在値")</f>
        <v/>
      </c>
      <c r="D249" s="4" t="e">
        <f t="shared" si="7"/>
        <v>#VALUE!</v>
      </c>
      <c r="E249" s="4">
        <v>5384</v>
      </c>
      <c r="F249" s="4">
        <v>6230</v>
      </c>
      <c r="G249" s="4">
        <v>5881</v>
      </c>
      <c r="H249" s="4">
        <v>5908</v>
      </c>
      <c r="I249" s="4">
        <v>6127</v>
      </c>
      <c r="J249" s="4">
        <v>5859</v>
      </c>
      <c r="K249" s="4">
        <v>5808</v>
      </c>
      <c r="L249" s="4">
        <v>6223</v>
      </c>
      <c r="M249" s="4">
        <v>6063</v>
      </c>
      <c r="N249" s="4">
        <v>5989</v>
      </c>
      <c r="O249" s="4">
        <v>6300</v>
      </c>
      <c r="P249" s="4">
        <v>6256</v>
      </c>
      <c r="Q249" s="4">
        <v>6164</v>
      </c>
      <c r="R249" s="4">
        <v>6248</v>
      </c>
      <c r="S249" s="4">
        <v>6464</v>
      </c>
      <c r="T249" s="4">
        <v>6279</v>
      </c>
      <c r="U249" s="4">
        <v>6356</v>
      </c>
      <c r="V249" s="4">
        <v>6775</v>
      </c>
      <c r="W249" s="4">
        <v>6560</v>
      </c>
      <c r="X249" s="4">
        <v>6527</v>
      </c>
      <c r="Y249" s="4">
        <v>6232</v>
      </c>
      <c r="Z249" s="4">
        <v>5506</v>
      </c>
      <c r="AA249" s="4">
        <v>5243</v>
      </c>
      <c r="AB249" s="4">
        <v>5265</v>
      </c>
      <c r="AC249" s="4">
        <v>5030</v>
      </c>
      <c r="AD249" s="4">
        <v>5535</v>
      </c>
      <c r="AE249" s="4">
        <v>5480</v>
      </c>
      <c r="AF249" s="4">
        <v>5626</v>
      </c>
      <c r="AG249" s="4">
        <v>5357</v>
      </c>
      <c r="AH249" s="4">
        <v>5730</v>
      </c>
      <c r="AI249" s="4">
        <v>5683</v>
      </c>
      <c r="AJ249" s="4">
        <v>5499</v>
      </c>
      <c r="AK249" s="4">
        <v>5472</v>
      </c>
      <c r="AL249" s="4">
        <v>5693</v>
      </c>
      <c r="AM249" s="4">
        <v>5452</v>
      </c>
      <c r="AN249" s="4">
        <v>5036</v>
      </c>
      <c r="AO249" s="4">
        <v>4935</v>
      </c>
      <c r="AP249" s="4">
        <v>5153</v>
      </c>
      <c r="AQ249" s="4">
        <v>5349</v>
      </c>
      <c r="AR249" s="4">
        <v>5533</v>
      </c>
      <c r="AS249" s="4">
        <v>5729</v>
      </c>
      <c r="AT249" s="4">
        <v>5740</v>
      </c>
      <c r="AU249" s="4">
        <v>5841</v>
      </c>
      <c r="AV249" s="4">
        <v>5902</v>
      </c>
      <c r="AW249" s="4">
        <v>5750</v>
      </c>
      <c r="AX249" s="4">
        <v>5763</v>
      </c>
      <c r="AY249" s="4">
        <v>5242</v>
      </c>
      <c r="AZ249" s="4">
        <v>5327</v>
      </c>
      <c r="BA249" s="4">
        <v>5423</v>
      </c>
      <c r="BB249" s="4">
        <v>5446</v>
      </c>
      <c r="BC249" s="4">
        <v>5304</v>
      </c>
      <c r="BD249" s="4">
        <v>5309</v>
      </c>
      <c r="BE249" s="4">
        <v>5471</v>
      </c>
      <c r="BF249" s="4">
        <v>5137</v>
      </c>
      <c r="BG249" s="4">
        <v>5131</v>
      </c>
      <c r="BH249" s="4">
        <v>4933</v>
      </c>
      <c r="BI249" s="4">
        <v>5161</v>
      </c>
      <c r="BJ249" s="4">
        <v>5004</v>
      </c>
      <c r="BK249" s="4">
        <v>5171</v>
      </c>
      <c r="BL249" s="4">
        <v>5087</v>
      </c>
      <c r="BM249" s="4">
        <v>5124</v>
      </c>
      <c r="BN249" s="4">
        <v>5080</v>
      </c>
      <c r="BO249" s="4">
        <v>5057</v>
      </c>
      <c r="BP249" s="4">
        <v>4566</v>
      </c>
    </row>
    <row r="250" spans="1:68">
      <c r="A250" s="65" t="s">
        <v>463</v>
      </c>
      <c r="B250" s="4" t="str">
        <f>銘柄管理!C250</f>
        <v/>
      </c>
      <c r="C250" s="4" t="str">
        <f>_xll.RssMarket("155A","現在値")</f>
        <v/>
      </c>
      <c r="D250" s="4" t="e">
        <f t="shared" si="7"/>
        <v>#VALUE!</v>
      </c>
      <c r="E250" s="4">
        <v>843</v>
      </c>
      <c r="F250" s="4">
        <v>893</v>
      </c>
      <c r="G250" s="4">
        <v>909</v>
      </c>
      <c r="H250" s="4">
        <v>902</v>
      </c>
      <c r="I250" s="4">
        <v>907</v>
      </c>
      <c r="J250" s="4">
        <v>883</v>
      </c>
      <c r="K250" s="4">
        <v>884</v>
      </c>
      <c r="L250" s="4">
        <v>917</v>
      </c>
      <c r="M250" s="4">
        <v>890</v>
      </c>
      <c r="N250" s="4">
        <v>870</v>
      </c>
      <c r="O250" s="4">
        <v>878</v>
      </c>
      <c r="P250" s="4">
        <v>876</v>
      </c>
      <c r="Q250" s="4">
        <v>861</v>
      </c>
      <c r="R250" s="4">
        <v>840</v>
      </c>
      <c r="S250" s="4">
        <v>869</v>
      </c>
      <c r="T250" s="4">
        <v>844</v>
      </c>
      <c r="U250" s="4">
        <v>896</v>
      </c>
      <c r="V250" s="4">
        <v>914</v>
      </c>
      <c r="W250" s="4">
        <v>883</v>
      </c>
      <c r="X250" s="4">
        <v>866</v>
      </c>
      <c r="Y250" s="4">
        <v>820</v>
      </c>
      <c r="Z250" s="4">
        <v>835</v>
      </c>
      <c r="AA250" s="4">
        <v>858</v>
      </c>
      <c r="AB250" s="4">
        <v>889</v>
      </c>
      <c r="AC250" s="4">
        <v>839</v>
      </c>
      <c r="AD250" s="4">
        <v>868</v>
      </c>
      <c r="AE250" s="4">
        <v>844</v>
      </c>
      <c r="AF250" s="4">
        <v>833</v>
      </c>
      <c r="AG250" s="4">
        <v>828</v>
      </c>
      <c r="AH250" s="4">
        <v>836</v>
      </c>
      <c r="AI250" s="4">
        <v>872</v>
      </c>
      <c r="AJ250" s="4">
        <v>860</v>
      </c>
      <c r="AK250" s="4">
        <v>879</v>
      </c>
      <c r="AL250" s="4">
        <v>880</v>
      </c>
      <c r="AM250" s="4">
        <v>852</v>
      </c>
      <c r="AN250" s="4">
        <v>846</v>
      </c>
      <c r="AO250" s="4">
        <v>835</v>
      </c>
      <c r="AP250" s="4">
        <v>875</v>
      </c>
      <c r="AQ250" s="4">
        <v>880</v>
      </c>
      <c r="AR250" s="4">
        <v>889</v>
      </c>
      <c r="AS250" s="4">
        <v>739</v>
      </c>
      <c r="AT250" s="4">
        <v>770</v>
      </c>
      <c r="AU250" s="4">
        <v>791</v>
      </c>
      <c r="AV250" s="4">
        <v>798</v>
      </c>
      <c r="AW250" s="4">
        <v>815</v>
      </c>
      <c r="AX250" s="4">
        <v>816</v>
      </c>
      <c r="AY250" s="4">
        <v>801</v>
      </c>
      <c r="AZ250" s="4">
        <v>801</v>
      </c>
      <c r="BA250" s="4">
        <v>807</v>
      </c>
      <c r="BB250" s="4">
        <v>813</v>
      </c>
      <c r="BC250" s="4">
        <v>821</v>
      </c>
      <c r="BD250" s="4">
        <v>835</v>
      </c>
      <c r="BE250" s="4">
        <v>860</v>
      </c>
      <c r="BF250" s="4">
        <v>852</v>
      </c>
      <c r="BG250" s="4">
        <v>836</v>
      </c>
      <c r="BH250" s="4">
        <v>842</v>
      </c>
      <c r="BI250" s="4">
        <v>833</v>
      </c>
      <c r="BJ250" s="4">
        <v>829</v>
      </c>
      <c r="BK250" s="4">
        <v>812</v>
      </c>
      <c r="BL250" s="4">
        <v>808</v>
      </c>
      <c r="BM250" s="4">
        <v>823</v>
      </c>
      <c r="BN250" s="4">
        <v>847</v>
      </c>
      <c r="BO250" s="4">
        <v>876</v>
      </c>
      <c r="BP250" s="4">
        <v>853</v>
      </c>
    </row>
    <row r="251" spans="1:68">
      <c r="A251" s="65" t="s">
        <v>464</v>
      </c>
      <c r="B251" s="4" t="str">
        <f>銘柄管理!C251</f>
        <v/>
      </c>
      <c r="C251" s="4" t="str">
        <f>_xll.RssMarket("278A","現在値")</f>
        <v/>
      </c>
      <c r="D251" s="4" t="e">
        <f t="shared" si="7"/>
        <v>#VALUE!</v>
      </c>
      <c r="E251" s="4">
        <v>13770</v>
      </c>
      <c r="F251" s="4">
        <v>13100</v>
      </c>
      <c r="G251" s="4">
        <v>10700</v>
      </c>
      <c r="H251" s="4">
        <v>11400</v>
      </c>
      <c r="I251" s="4">
        <v>10860</v>
      </c>
      <c r="J251" s="4">
        <v>9500</v>
      </c>
      <c r="K251" s="4">
        <v>8750</v>
      </c>
      <c r="L251" s="4">
        <v>9750</v>
      </c>
      <c r="M251" s="4">
        <v>8410</v>
      </c>
      <c r="N251" s="4">
        <v>8110</v>
      </c>
      <c r="O251" s="4">
        <v>7810</v>
      </c>
      <c r="P251" s="4">
        <v>7700</v>
      </c>
      <c r="Q251" s="4">
        <v>7830</v>
      </c>
      <c r="R251" s="4">
        <v>7650</v>
      </c>
      <c r="S251" s="4">
        <v>8000</v>
      </c>
      <c r="T251" s="4">
        <v>8020</v>
      </c>
      <c r="U251" s="4">
        <v>7990</v>
      </c>
      <c r="V251" s="4">
        <v>9420</v>
      </c>
      <c r="W251" s="4">
        <v>7920</v>
      </c>
      <c r="X251" s="4">
        <v>8020</v>
      </c>
      <c r="Y251" s="4">
        <v>8750</v>
      </c>
      <c r="Z251" s="4">
        <v>8100</v>
      </c>
      <c r="AA251" s="4">
        <v>8570</v>
      </c>
      <c r="AB251" s="4">
        <v>8990</v>
      </c>
      <c r="AC251" s="4">
        <v>8260</v>
      </c>
      <c r="AD251" s="4">
        <v>8190</v>
      </c>
      <c r="AE251" s="4">
        <v>8050</v>
      </c>
      <c r="AF251" s="4">
        <v>8590</v>
      </c>
      <c r="AG251" s="4">
        <v>8540</v>
      </c>
      <c r="AH251" s="4">
        <v>9110</v>
      </c>
      <c r="AI251" s="4">
        <v>9690</v>
      </c>
      <c r="AJ251" s="4">
        <v>10010</v>
      </c>
      <c r="AK251" s="4">
        <v>9210</v>
      </c>
      <c r="AL251" s="4">
        <v>10870</v>
      </c>
      <c r="AM251" s="4">
        <v>11320</v>
      </c>
      <c r="AN251" s="4">
        <v>10910</v>
      </c>
      <c r="AO251" s="4">
        <v>11100</v>
      </c>
      <c r="AP251" s="4">
        <v>12560</v>
      </c>
      <c r="AQ251" s="4">
        <v>12750</v>
      </c>
      <c r="AR251" s="4">
        <v>12190</v>
      </c>
      <c r="AS251" s="4">
        <v>10740</v>
      </c>
      <c r="AT251" s="4">
        <v>11470</v>
      </c>
      <c r="AU251" s="4">
        <v>12400</v>
      </c>
      <c r="AV251" s="4">
        <v>16400</v>
      </c>
      <c r="AW251" s="4">
        <v>13400</v>
      </c>
      <c r="AX251" s="4">
        <v>12850</v>
      </c>
      <c r="AY251" s="4">
        <v>10770</v>
      </c>
      <c r="AZ251" s="4">
        <v>9270</v>
      </c>
      <c r="BA251" s="4">
        <v>7770</v>
      </c>
      <c r="BB251" s="4">
        <v>7450</v>
      </c>
      <c r="BC251" s="4">
        <v>7840</v>
      </c>
      <c r="BD251" s="4">
        <v>8260</v>
      </c>
      <c r="BE251" s="4">
        <v>7220</v>
      </c>
      <c r="BF251" s="4">
        <v>6220</v>
      </c>
      <c r="BG251" s="4">
        <v>6550</v>
      </c>
      <c r="BH251" s="4">
        <v>6480</v>
      </c>
      <c r="BI251" s="4">
        <v>6700</v>
      </c>
      <c r="BJ251" s="4">
        <v>6000</v>
      </c>
      <c r="BK251" s="4">
        <v>5660</v>
      </c>
      <c r="BL251" s="4">
        <v>5660</v>
      </c>
      <c r="BM251" s="4">
        <v>4960</v>
      </c>
      <c r="BN251" s="4">
        <v>4445</v>
      </c>
      <c r="BO251" s="4">
        <v>4250</v>
      </c>
      <c r="BP251" s="4">
        <v>4215</v>
      </c>
    </row>
    <row r="252" spans="1:68">
      <c r="A252" s="65" t="s">
        <v>465</v>
      </c>
      <c r="B252" s="4" t="str">
        <f>銘柄管理!C252</f>
        <v/>
      </c>
      <c r="C252" s="4" t="str">
        <f>_xll.RssMarket("300A","現在値")</f>
        <v/>
      </c>
      <c r="D252" s="4" t="e">
        <f t="shared" si="7"/>
        <v>#VALUE!</v>
      </c>
      <c r="E252" s="4">
        <v>2874</v>
      </c>
      <c r="F252" s="4">
        <v>2880</v>
      </c>
      <c r="G252" s="4">
        <v>2842</v>
      </c>
      <c r="H252" s="4">
        <v>2837</v>
      </c>
      <c r="I252" s="4">
        <v>2908</v>
      </c>
      <c r="J252" s="4">
        <v>2860</v>
      </c>
      <c r="K252" s="4">
        <v>2910</v>
      </c>
      <c r="L252" s="4">
        <v>2912</v>
      </c>
      <c r="M252" s="4">
        <v>2917</v>
      </c>
      <c r="N252" s="4">
        <v>2971</v>
      </c>
      <c r="O252" s="4">
        <v>2929</v>
      </c>
      <c r="P252" s="4">
        <v>2900</v>
      </c>
      <c r="Q252" s="4">
        <v>2824</v>
      </c>
      <c r="R252" s="4">
        <v>2790</v>
      </c>
      <c r="S252" s="4">
        <v>2791</v>
      </c>
      <c r="T252" s="4">
        <v>2801</v>
      </c>
      <c r="U252" s="4">
        <v>2800</v>
      </c>
      <c r="V252" s="4">
        <v>2847</v>
      </c>
      <c r="W252" s="4">
        <v>2810</v>
      </c>
      <c r="X252" s="4">
        <v>2867</v>
      </c>
      <c r="Y252" s="4">
        <v>2780</v>
      </c>
      <c r="Z252" s="4">
        <v>2800</v>
      </c>
      <c r="AA252" s="4">
        <v>2737</v>
      </c>
      <c r="AB252" s="4">
        <v>2804</v>
      </c>
      <c r="AC252" s="4">
        <v>2755</v>
      </c>
      <c r="AD252" s="4">
        <v>2804</v>
      </c>
      <c r="AE252" s="4">
        <v>2844</v>
      </c>
      <c r="AF252" s="4">
        <v>2872</v>
      </c>
      <c r="AG252" s="4">
        <v>2835</v>
      </c>
      <c r="AH252" s="4">
        <v>2887</v>
      </c>
      <c r="AI252" s="4">
        <v>2844</v>
      </c>
      <c r="AJ252" s="4">
        <v>2869</v>
      </c>
      <c r="AK252" s="4">
        <v>2918</v>
      </c>
      <c r="AL252" s="4">
        <v>2864</v>
      </c>
      <c r="AM252" s="4">
        <v>2891</v>
      </c>
      <c r="AN252" s="4">
        <v>2900</v>
      </c>
      <c r="AO252" s="4">
        <v>2874</v>
      </c>
      <c r="AP252" s="4">
        <v>2950</v>
      </c>
      <c r="AQ252" s="4">
        <v>2604</v>
      </c>
      <c r="AR252" s="4">
        <v>2781</v>
      </c>
      <c r="AS252" s="4">
        <v>2731</v>
      </c>
      <c r="AT252" s="4">
        <v>2802</v>
      </c>
      <c r="AU252" s="4">
        <v>2782</v>
      </c>
      <c r="AV252" s="4">
        <v>2753</v>
      </c>
      <c r="AW252" s="4">
        <v>2795</v>
      </c>
      <c r="AX252" s="4">
        <v>2768</v>
      </c>
      <c r="AY252" s="4">
        <v>2849</v>
      </c>
      <c r="AZ252" s="4">
        <v>2762</v>
      </c>
      <c r="BA252" s="4">
        <v>2879</v>
      </c>
      <c r="BB252" s="4">
        <v>2950</v>
      </c>
      <c r="BC252" s="4">
        <v>3060</v>
      </c>
      <c r="BD252" s="4">
        <v>3075</v>
      </c>
      <c r="BE252" s="4">
        <v>3045</v>
      </c>
      <c r="BF252" s="4">
        <v>2982</v>
      </c>
      <c r="BG252" s="4">
        <v>2998</v>
      </c>
      <c r="BH252" s="4">
        <v>2945</v>
      </c>
      <c r="BI252" s="4">
        <v>2913</v>
      </c>
      <c r="BJ252" s="4">
        <v>2898</v>
      </c>
      <c r="BK252" s="4">
        <v>2928</v>
      </c>
      <c r="BL252" s="4">
        <v>2853</v>
      </c>
      <c r="BM252" s="4">
        <v>2820</v>
      </c>
      <c r="BN252" s="4">
        <v>2824</v>
      </c>
      <c r="BO252" s="4">
        <v>2842</v>
      </c>
      <c r="BP252" s="4">
        <v>2845</v>
      </c>
    </row>
    <row r="253" spans="1:68">
      <c r="A253" s="65" t="s">
        <v>466</v>
      </c>
      <c r="B253" s="4" t="str">
        <f>銘柄管理!C253</f>
        <v/>
      </c>
      <c r="C253" s="4" t="str">
        <f>_xll.RssMarket("4776","現在値")</f>
        <v/>
      </c>
      <c r="D253" s="4" t="e">
        <f t="shared" si="7"/>
        <v>#VALUE!</v>
      </c>
      <c r="E253" s="4">
        <v>2566</v>
      </c>
      <c r="F253" s="4">
        <v>2563</v>
      </c>
      <c r="G253" s="4">
        <v>2590</v>
      </c>
      <c r="H253" s="4">
        <v>2571</v>
      </c>
      <c r="I253" s="4">
        <v>2602</v>
      </c>
      <c r="J253" s="4">
        <v>2623</v>
      </c>
      <c r="K253" s="4">
        <v>2580</v>
      </c>
      <c r="L253" s="4">
        <v>2533</v>
      </c>
      <c r="M253" s="4">
        <v>2474</v>
      </c>
      <c r="N253" s="4">
        <v>2286</v>
      </c>
      <c r="O253" s="4">
        <v>2259</v>
      </c>
      <c r="P253" s="4">
        <v>2326</v>
      </c>
      <c r="Q253" s="4">
        <v>2136</v>
      </c>
      <c r="R253" s="4">
        <v>2165</v>
      </c>
      <c r="S253" s="4">
        <v>2237</v>
      </c>
      <c r="T253" s="4">
        <v>2222</v>
      </c>
      <c r="U253" s="4">
        <v>2295</v>
      </c>
      <c r="V253" s="4">
        <v>2317</v>
      </c>
      <c r="W253" s="4">
        <v>2299</v>
      </c>
      <c r="X253" s="4">
        <v>2297</v>
      </c>
      <c r="Y253" s="4">
        <v>2293</v>
      </c>
      <c r="Z253" s="4">
        <v>2322</v>
      </c>
      <c r="AA253" s="4">
        <v>2339</v>
      </c>
      <c r="AB253" s="4">
        <v>2368</v>
      </c>
      <c r="AC253" s="4">
        <v>2462</v>
      </c>
      <c r="AD253" s="4">
        <v>2400</v>
      </c>
      <c r="AE253" s="4">
        <v>2469</v>
      </c>
      <c r="AF253" s="4">
        <v>2657</v>
      </c>
      <c r="AG253" s="4">
        <v>2597</v>
      </c>
      <c r="AH253" s="4">
        <v>2539</v>
      </c>
      <c r="AI253" s="4">
        <v>2515</v>
      </c>
      <c r="AJ253" s="4">
        <v>2559</v>
      </c>
      <c r="AK253" s="4">
        <v>2587</v>
      </c>
      <c r="AL253" s="4">
        <v>2513</v>
      </c>
      <c r="AM253" s="4">
        <v>2495</v>
      </c>
      <c r="AN253" s="4">
        <v>2452</v>
      </c>
      <c r="AO253" s="4">
        <v>2449</v>
      </c>
      <c r="AP253" s="4">
        <v>2365</v>
      </c>
      <c r="AQ253" s="4">
        <v>2392</v>
      </c>
      <c r="AR253" s="4">
        <v>2124</v>
      </c>
      <c r="AS253" s="4">
        <v>2197</v>
      </c>
      <c r="AT253" s="4">
        <v>2136</v>
      </c>
      <c r="AU253" s="4">
        <v>2178</v>
      </c>
      <c r="AV253" s="4">
        <v>2185</v>
      </c>
      <c r="AW253" s="4">
        <v>2121</v>
      </c>
      <c r="AX253" s="4">
        <v>2082</v>
      </c>
      <c r="AY253" s="4">
        <v>2078</v>
      </c>
      <c r="AZ253" s="4">
        <v>2116</v>
      </c>
      <c r="BA253" s="4">
        <v>2113</v>
      </c>
      <c r="BB253" s="4">
        <v>2116</v>
      </c>
      <c r="BC253" s="4">
        <v>2116</v>
      </c>
      <c r="BD253" s="4">
        <v>2158</v>
      </c>
      <c r="BE253" s="4">
        <v>2133</v>
      </c>
      <c r="BF253" s="4">
        <v>2180</v>
      </c>
      <c r="BG253" s="4">
        <v>2282</v>
      </c>
      <c r="BH253" s="4">
        <v>2187</v>
      </c>
      <c r="BI253" s="4">
        <v>2113</v>
      </c>
      <c r="BJ253" s="4">
        <v>2041</v>
      </c>
      <c r="BK253" s="4">
        <v>1965</v>
      </c>
      <c r="BL253" s="4">
        <v>1977</v>
      </c>
      <c r="BM253" s="4">
        <v>2038</v>
      </c>
      <c r="BN253" s="4">
        <v>2113</v>
      </c>
      <c r="BO253" s="4">
        <v>2083</v>
      </c>
      <c r="BP253" s="4">
        <v>2053</v>
      </c>
    </row>
    <row r="254" spans="1:68">
      <c r="A254" s="65" t="s">
        <v>467</v>
      </c>
      <c r="B254" s="4" t="str">
        <f>銘柄管理!C254</f>
        <v/>
      </c>
      <c r="C254" s="4" t="str">
        <f>_xll.RssMarket("4704","現在値")</f>
        <v/>
      </c>
      <c r="D254" s="4" t="e">
        <f t="shared" si="7"/>
        <v>#VALUE!</v>
      </c>
      <c r="E254" s="4">
        <v>6480</v>
      </c>
      <c r="F254" s="4">
        <v>6391</v>
      </c>
      <c r="G254" s="4">
        <v>6335</v>
      </c>
      <c r="H254" s="4">
        <v>6242</v>
      </c>
      <c r="I254" s="4">
        <v>6277</v>
      </c>
      <c r="J254" s="4">
        <v>6257</v>
      </c>
      <c r="K254" s="4">
        <v>6242</v>
      </c>
      <c r="L254" s="4">
        <v>6372</v>
      </c>
      <c r="M254" s="4">
        <v>6267</v>
      </c>
      <c r="N254" s="4">
        <v>6261</v>
      </c>
      <c r="O254" s="4">
        <v>5962</v>
      </c>
      <c r="P254" s="4">
        <v>5982</v>
      </c>
      <c r="Q254" s="4">
        <v>5973</v>
      </c>
      <c r="R254" s="4">
        <v>5590</v>
      </c>
      <c r="S254" s="4">
        <v>5698</v>
      </c>
      <c r="T254" s="4">
        <v>5643</v>
      </c>
      <c r="U254" s="4">
        <v>5490</v>
      </c>
      <c r="V254" s="4">
        <v>5646</v>
      </c>
      <c r="W254" s="4">
        <v>5606</v>
      </c>
      <c r="X254" s="4">
        <v>5820</v>
      </c>
      <c r="Y254" s="4">
        <v>5749</v>
      </c>
      <c r="Z254" s="4">
        <v>5900</v>
      </c>
      <c r="AA254" s="4">
        <v>6135</v>
      </c>
      <c r="AB254" s="4">
        <v>6217</v>
      </c>
      <c r="AC254" s="4">
        <v>6328</v>
      </c>
      <c r="AD254" s="4">
        <v>6678</v>
      </c>
      <c r="AE254" s="4">
        <v>6225</v>
      </c>
      <c r="AF254" s="4">
        <v>6333</v>
      </c>
      <c r="AG254" s="4">
        <v>6351</v>
      </c>
      <c r="AH254" s="4">
        <v>6353</v>
      </c>
      <c r="AI254" s="4">
        <v>6010</v>
      </c>
      <c r="AJ254" s="4">
        <v>5880</v>
      </c>
      <c r="AK254" s="4">
        <v>6065</v>
      </c>
      <c r="AL254" s="4">
        <v>6356</v>
      </c>
      <c r="AM254" s="4">
        <v>6184</v>
      </c>
      <c r="AN254" s="4">
        <v>5990</v>
      </c>
      <c r="AO254" s="4">
        <v>5944</v>
      </c>
      <c r="AP254" s="4">
        <v>6113</v>
      </c>
      <c r="AQ254" s="4">
        <v>5905</v>
      </c>
      <c r="AR254" s="4">
        <v>5537</v>
      </c>
      <c r="AS254" s="4">
        <v>5471</v>
      </c>
      <c r="AT254" s="4">
        <v>5607</v>
      </c>
      <c r="AU254" s="4">
        <v>5594</v>
      </c>
      <c r="AV254" s="4">
        <v>5645</v>
      </c>
      <c r="AW254" s="4">
        <v>5645</v>
      </c>
      <c r="AX254" s="4">
        <v>5535</v>
      </c>
      <c r="AY254" s="4">
        <v>5304</v>
      </c>
      <c r="AZ254" s="4">
        <v>5476</v>
      </c>
      <c r="BA254" s="4">
        <v>5611</v>
      </c>
      <c r="BB254" s="4">
        <v>5476</v>
      </c>
      <c r="BC254" s="4">
        <v>5576</v>
      </c>
      <c r="BD254" s="4">
        <v>5765</v>
      </c>
      <c r="BE254" s="4">
        <v>5879</v>
      </c>
      <c r="BF254" s="4">
        <v>5986</v>
      </c>
      <c r="BG254" s="4">
        <v>5756</v>
      </c>
      <c r="BH254" s="4">
        <v>5978</v>
      </c>
      <c r="BI254" s="4">
        <v>5998</v>
      </c>
      <c r="BJ254" s="4">
        <v>5459</v>
      </c>
      <c r="BK254" s="4">
        <v>5361</v>
      </c>
      <c r="BL254" s="4">
        <v>5143</v>
      </c>
      <c r="BM254" s="4">
        <v>5135</v>
      </c>
      <c r="BN254" s="4">
        <v>5356</v>
      </c>
      <c r="BO254" s="4">
        <v>5504</v>
      </c>
      <c r="BP254" s="4">
        <v>5365</v>
      </c>
    </row>
    <row r="255" spans="1:68">
      <c r="A255" s="65" t="s">
        <v>468</v>
      </c>
      <c r="B255" s="4" t="str">
        <f>銘柄管理!C255</f>
        <v/>
      </c>
      <c r="C255" s="4" t="str">
        <f>_xll.RssMarket("6370","現在値")</f>
        <v/>
      </c>
      <c r="D255" s="4" t="e">
        <f t="shared" si="7"/>
        <v>#VALUE!</v>
      </c>
      <c r="E255" s="4">
        <v>8575</v>
      </c>
      <c r="F255" s="4">
        <v>9270</v>
      </c>
      <c r="G255" s="4">
        <v>9065</v>
      </c>
      <c r="H255" s="4">
        <v>9054</v>
      </c>
      <c r="I255" s="4">
        <v>9105</v>
      </c>
      <c r="J255" s="4">
        <v>8947</v>
      </c>
      <c r="K255" s="4">
        <v>8702</v>
      </c>
      <c r="L255" s="4">
        <v>9500</v>
      </c>
      <c r="M255" s="4">
        <v>9398</v>
      </c>
      <c r="N255" s="4">
        <v>9100</v>
      </c>
      <c r="O255" s="4">
        <v>9455</v>
      </c>
      <c r="P255" s="4">
        <v>9151</v>
      </c>
      <c r="Q255" s="4">
        <v>9071</v>
      </c>
      <c r="R255" s="4">
        <v>9080</v>
      </c>
      <c r="S255" s="4">
        <v>9382</v>
      </c>
      <c r="T255" s="4">
        <v>9239</v>
      </c>
      <c r="U255" s="4">
        <v>9274</v>
      </c>
      <c r="V255" s="4">
        <v>9562</v>
      </c>
      <c r="W255" s="4">
        <v>9563</v>
      </c>
      <c r="X255" s="4">
        <v>9370</v>
      </c>
      <c r="Y255" s="4">
        <v>9187</v>
      </c>
      <c r="Z255" s="4">
        <v>8383</v>
      </c>
      <c r="AA255" s="4">
        <v>8125</v>
      </c>
      <c r="AB255" s="4">
        <v>8200</v>
      </c>
      <c r="AC255" s="4">
        <v>8279</v>
      </c>
      <c r="AD255" s="4">
        <v>8769</v>
      </c>
      <c r="AE255" s="4">
        <v>8839</v>
      </c>
      <c r="AF255" s="4">
        <v>8856</v>
      </c>
      <c r="AG255" s="4">
        <v>8490</v>
      </c>
      <c r="AH255" s="4">
        <v>8699</v>
      </c>
      <c r="AI255" s="4">
        <v>8753</v>
      </c>
      <c r="AJ255" s="4">
        <v>8691</v>
      </c>
      <c r="AK255" s="4">
        <v>8819</v>
      </c>
      <c r="AL255" s="4">
        <v>8776</v>
      </c>
      <c r="AM255" s="4">
        <v>8684</v>
      </c>
      <c r="AN255" s="4">
        <v>8563</v>
      </c>
      <c r="AO255" s="4">
        <v>8388</v>
      </c>
      <c r="AP255" s="4">
        <v>8766</v>
      </c>
      <c r="AQ255" s="4">
        <v>8720</v>
      </c>
      <c r="AR255" s="4">
        <v>9000</v>
      </c>
      <c r="AS255" s="4">
        <v>8809</v>
      </c>
      <c r="AT255" s="4">
        <v>8917</v>
      </c>
      <c r="AU255" s="4">
        <v>9036</v>
      </c>
      <c r="AV255" s="4">
        <v>8937</v>
      </c>
      <c r="AW255" s="4">
        <v>8648</v>
      </c>
      <c r="AX255" s="4">
        <v>8358</v>
      </c>
      <c r="AY255" s="4">
        <v>8044</v>
      </c>
      <c r="AZ255" s="4">
        <v>8429</v>
      </c>
      <c r="BA255" s="4">
        <v>8477</v>
      </c>
      <c r="BB255" s="4">
        <v>8303</v>
      </c>
      <c r="BC255" s="4">
        <v>7796</v>
      </c>
      <c r="BD255" s="4">
        <v>7827</v>
      </c>
      <c r="BE255" s="4">
        <v>7818</v>
      </c>
      <c r="BF255" s="4">
        <v>8038</v>
      </c>
      <c r="BG255" s="4">
        <v>8163</v>
      </c>
      <c r="BH255" s="4">
        <v>8080</v>
      </c>
      <c r="BI255" s="4">
        <v>7971</v>
      </c>
      <c r="BJ255" s="4">
        <v>7916</v>
      </c>
      <c r="BK255" s="4">
        <v>7947</v>
      </c>
      <c r="BL255" s="4">
        <v>8090</v>
      </c>
      <c r="BM255" s="4">
        <v>8118</v>
      </c>
      <c r="BN255" s="4">
        <v>8059</v>
      </c>
      <c r="BO255" s="4">
        <v>8115</v>
      </c>
      <c r="BP255" s="4">
        <v>7748</v>
      </c>
    </row>
    <row r="256" spans="1:68">
      <c r="A256" s="65" t="s">
        <v>469</v>
      </c>
      <c r="B256" s="4" t="str">
        <f>銘柄管理!C256</f>
        <v/>
      </c>
      <c r="C256" s="4" t="str">
        <f>_xll.RssMarket("7014","現在値")</f>
        <v/>
      </c>
      <c r="D256" s="4" t="e">
        <f t="shared" si="7"/>
        <v>#VALUE!</v>
      </c>
      <c r="E256" s="4">
        <v>3785</v>
      </c>
      <c r="F256" s="4">
        <v>4015</v>
      </c>
      <c r="G256" s="4">
        <v>3880</v>
      </c>
      <c r="H256" s="4">
        <v>3795</v>
      </c>
      <c r="I256" s="4">
        <v>3800</v>
      </c>
      <c r="J256" s="4">
        <v>3760</v>
      </c>
      <c r="K256" s="4">
        <v>3890</v>
      </c>
      <c r="L256" s="4">
        <v>4180</v>
      </c>
      <c r="M256" s="4">
        <v>3640</v>
      </c>
      <c r="N256" s="4">
        <v>3570</v>
      </c>
      <c r="O256" s="4">
        <v>3515</v>
      </c>
      <c r="P256" s="4">
        <v>3545</v>
      </c>
      <c r="Q256" s="4">
        <v>3590</v>
      </c>
      <c r="R256" s="4">
        <v>3690</v>
      </c>
      <c r="S256" s="4">
        <v>3640</v>
      </c>
      <c r="T256" s="4">
        <v>3660</v>
      </c>
      <c r="U256" s="4">
        <v>3675</v>
      </c>
      <c r="V256" s="4">
        <v>3840</v>
      </c>
      <c r="W256" s="4">
        <v>3875</v>
      </c>
      <c r="X256" s="4">
        <v>3770</v>
      </c>
      <c r="Y256" s="4">
        <v>3545</v>
      </c>
      <c r="Z256" s="4">
        <v>3430</v>
      </c>
      <c r="AA256" s="4">
        <v>3415</v>
      </c>
      <c r="AB256" s="4">
        <v>3590</v>
      </c>
      <c r="AC256" s="4">
        <v>3695</v>
      </c>
      <c r="AD256" s="4">
        <v>3445</v>
      </c>
      <c r="AE256" s="4">
        <v>3555</v>
      </c>
      <c r="AF256" s="4">
        <v>3470</v>
      </c>
      <c r="AG256" s="4">
        <v>3525</v>
      </c>
      <c r="AH256" s="4">
        <v>3735</v>
      </c>
      <c r="AI256" s="4">
        <v>3800</v>
      </c>
      <c r="AJ256" s="4">
        <v>4075</v>
      </c>
      <c r="AK256" s="4">
        <v>4080</v>
      </c>
      <c r="AL256" s="4">
        <v>3815</v>
      </c>
      <c r="AM256" s="4">
        <v>8563</v>
      </c>
      <c r="AN256" s="4">
        <v>8388</v>
      </c>
      <c r="AO256" s="4">
        <v>8766</v>
      </c>
      <c r="AP256" s="4">
        <v>8720</v>
      </c>
      <c r="AQ256" s="4">
        <v>9000</v>
      </c>
      <c r="AR256" s="4">
        <v>8809</v>
      </c>
      <c r="AS256" s="4">
        <v>8917</v>
      </c>
      <c r="AT256" s="4">
        <v>9036</v>
      </c>
      <c r="AU256" s="4">
        <v>8937</v>
      </c>
      <c r="AV256" s="4">
        <v>8648</v>
      </c>
      <c r="AW256" s="4">
        <v>8358</v>
      </c>
      <c r="AX256" s="4">
        <v>8044</v>
      </c>
      <c r="AY256" s="4">
        <v>8429</v>
      </c>
      <c r="AZ256" s="4">
        <v>8477</v>
      </c>
      <c r="BA256" s="4">
        <v>8303</v>
      </c>
      <c r="BB256" s="4">
        <v>7796</v>
      </c>
      <c r="BC256" s="4">
        <v>7827</v>
      </c>
      <c r="BD256" s="4">
        <v>7818</v>
      </c>
      <c r="BE256" s="4">
        <v>8038</v>
      </c>
      <c r="BF256" s="4">
        <v>8163</v>
      </c>
      <c r="BG256" s="4">
        <v>8080</v>
      </c>
      <c r="BH256" s="4">
        <v>7971</v>
      </c>
      <c r="BI256" s="4">
        <v>7916</v>
      </c>
      <c r="BJ256" s="4">
        <v>7947</v>
      </c>
      <c r="BK256" s="4">
        <v>8090</v>
      </c>
      <c r="BL256" s="4">
        <v>8118</v>
      </c>
      <c r="BM256" s="4">
        <v>8059</v>
      </c>
      <c r="BN256" s="4">
        <v>8115</v>
      </c>
      <c r="BO256" s="4">
        <v>7748</v>
      </c>
      <c r="BP256" s="4">
        <v>7704</v>
      </c>
    </row>
    <row r="257" spans="1:68">
      <c r="A257" s="65" t="s">
        <v>470</v>
      </c>
      <c r="B257" s="4" t="str">
        <f>銘柄管理!C257</f>
        <v/>
      </c>
      <c r="C257" s="4" t="str">
        <f>_xll.RssMarket("9880","現在値")</f>
        <v/>
      </c>
      <c r="D257" s="4" t="e">
        <f t="shared" si="7"/>
        <v>#VALUE!</v>
      </c>
      <c r="E257" s="4">
        <v>3230</v>
      </c>
      <c r="F257" s="4">
        <v>3540</v>
      </c>
      <c r="G257" s="4">
        <v>3500</v>
      </c>
      <c r="H257" s="4">
        <v>3490</v>
      </c>
      <c r="I257" s="4">
        <v>3575</v>
      </c>
      <c r="J257" s="4">
        <v>3540</v>
      </c>
      <c r="K257" s="4">
        <v>3535</v>
      </c>
      <c r="L257" s="4">
        <v>3775</v>
      </c>
      <c r="M257" s="4">
        <v>3820</v>
      </c>
      <c r="N257" s="4">
        <v>3775</v>
      </c>
      <c r="O257" s="4">
        <v>3910</v>
      </c>
      <c r="P257" s="4">
        <v>3980</v>
      </c>
      <c r="Q257" s="4">
        <v>3930</v>
      </c>
      <c r="R257" s="4">
        <v>4130</v>
      </c>
      <c r="S257" s="4">
        <v>4285</v>
      </c>
      <c r="T257" s="4">
        <v>4180</v>
      </c>
      <c r="U257" s="4">
        <v>4310</v>
      </c>
      <c r="V257" s="4">
        <v>4555</v>
      </c>
      <c r="W257" s="4">
        <v>4260</v>
      </c>
      <c r="X257" s="4">
        <v>4115</v>
      </c>
      <c r="Y257" s="4">
        <v>3955</v>
      </c>
      <c r="Z257" s="4">
        <v>4005</v>
      </c>
      <c r="AA257" s="4">
        <v>4035</v>
      </c>
      <c r="AB257" s="4">
        <v>4100</v>
      </c>
      <c r="AC257" s="4">
        <v>4195</v>
      </c>
      <c r="AD257" s="4">
        <v>4480</v>
      </c>
      <c r="AE257" s="4">
        <v>4530</v>
      </c>
      <c r="AF257" s="4">
        <v>4370</v>
      </c>
      <c r="AG257" s="4">
        <v>4270</v>
      </c>
      <c r="AH257" s="4">
        <v>4345</v>
      </c>
      <c r="AI257" s="4">
        <v>4185</v>
      </c>
      <c r="AJ257" s="4">
        <v>4320</v>
      </c>
      <c r="AK257" s="4">
        <v>4310</v>
      </c>
      <c r="AL257" s="4">
        <v>4585</v>
      </c>
      <c r="AM257" s="4">
        <v>4345</v>
      </c>
      <c r="AN257" s="4">
        <v>4305</v>
      </c>
      <c r="AO257" s="4">
        <v>4100</v>
      </c>
      <c r="AP257" s="4">
        <v>4280</v>
      </c>
      <c r="AQ257" s="4">
        <v>4540</v>
      </c>
      <c r="AR257" s="4">
        <v>3840</v>
      </c>
      <c r="AS257" s="4">
        <v>3345</v>
      </c>
      <c r="AT257" s="4">
        <v>3290</v>
      </c>
      <c r="AU257" s="4">
        <v>3370</v>
      </c>
      <c r="AV257" s="4">
        <v>3385</v>
      </c>
      <c r="AW257" s="4">
        <v>3220</v>
      </c>
      <c r="AX257" s="4">
        <v>3225</v>
      </c>
      <c r="AY257" s="4">
        <v>2823</v>
      </c>
      <c r="AZ257" s="4">
        <v>2859</v>
      </c>
      <c r="BA257" s="4">
        <v>2814</v>
      </c>
      <c r="BB257" s="4">
        <v>2764</v>
      </c>
      <c r="BC257" s="4">
        <v>2749</v>
      </c>
      <c r="BD257" s="4">
        <v>2633</v>
      </c>
      <c r="BE257" s="4">
        <v>2672</v>
      </c>
      <c r="BF257" s="4">
        <v>2737</v>
      </c>
      <c r="BG257" s="4">
        <v>2755</v>
      </c>
      <c r="BH257" s="4">
        <v>2807</v>
      </c>
      <c r="BI257" s="4">
        <v>2895</v>
      </c>
      <c r="BJ257" s="4">
        <v>2852</v>
      </c>
      <c r="BK257" s="4">
        <v>2678</v>
      </c>
      <c r="BL257" s="4">
        <v>2610</v>
      </c>
      <c r="BM257" s="4">
        <v>2594</v>
      </c>
      <c r="BN257" s="4">
        <v>2575</v>
      </c>
      <c r="BO257" s="4">
        <v>2624</v>
      </c>
      <c r="BP257" s="4">
        <v>2478</v>
      </c>
    </row>
    <row r="258" spans="1:68">
      <c r="A258" s="65" t="s">
        <v>471</v>
      </c>
      <c r="B258" s="4" t="str">
        <f>銘柄管理!C258</f>
        <v/>
      </c>
      <c r="C258" s="4" t="str">
        <f>_xll.RssMarket("5253","現在値")</f>
        <v/>
      </c>
      <c r="D258" s="4" t="e">
        <f t="shared" si="7"/>
        <v>#VALUE!</v>
      </c>
      <c r="E258" s="4">
        <v>1640</v>
      </c>
      <c r="F258" s="4">
        <v>1697</v>
      </c>
      <c r="G258" s="4">
        <v>1694</v>
      </c>
      <c r="H258" s="4">
        <v>1641</v>
      </c>
      <c r="I258" s="4">
        <v>1612</v>
      </c>
      <c r="J258" s="4">
        <v>1632</v>
      </c>
      <c r="K258" s="4">
        <v>1618</v>
      </c>
      <c r="L258" s="4">
        <v>1616</v>
      </c>
      <c r="M258" s="4">
        <v>1548</v>
      </c>
      <c r="N258" s="4">
        <v>1458</v>
      </c>
      <c r="O258" s="4">
        <v>1344</v>
      </c>
      <c r="P258" s="4">
        <v>1371</v>
      </c>
      <c r="Q258" s="4">
        <v>1357</v>
      </c>
      <c r="R258" s="4">
        <v>1218</v>
      </c>
      <c r="S258" s="4">
        <v>1165</v>
      </c>
      <c r="T258" s="4">
        <v>1176</v>
      </c>
      <c r="U258" s="4">
        <v>1200</v>
      </c>
      <c r="V258" s="4">
        <v>1282</v>
      </c>
      <c r="W258" s="4">
        <v>1301</v>
      </c>
      <c r="X258" s="4">
        <v>1449</v>
      </c>
      <c r="Y258" s="4">
        <v>1415</v>
      </c>
      <c r="Z258" s="4">
        <v>1429</v>
      </c>
      <c r="AA258" s="4">
        <v>1522</v>
      </c>
      <c r="AB258" s="4">
        <v>1520</v>
      </c>
      <c r="AC258" s="4">
        <v>1636</v>
      </c>
      <c r="AD258" s="4">
        <v>1630</v>
      </c>
      <c r="AE258" s="4">
        <v>1600</v>
      </c>
      <c r="AF258" s="4">
        <v>1637</v>
      </c>
      <c r="AG258" s="4">
        <v>1633</v>
      </c>
      <c r="AH258" s="4">
        <v>1600</v>
      </c>
      <c r="AI258" s="4">
        <v>1587</v>
      </c>
      <c r="AJ258" s="4">
        <v>1564</v>
      </c>
      <c r="AK258" s="4">
        <v>1693</v>
      </c>
      <c r="AL258" s="4">
        <v>1760</v>
      </c>
      <c r="AM258" s="4">
        <v>1743</v>
      </c>
      <c r="AN258" s="4">
        <v>1700</v>
      </c>
      <c r="AO258" s="4">
        <v>1671</v>
      </c>
      <c r="AP258" s="4">
        <v>1572</v>
      </c>
      <c r="AQ258" s="4">
        <v>1466</v>
      </c>
      <c r="AR258" s="4">
        <v>1433</v>
      </c>
      <c r="AS258" s="4">
        <v>1430</v>
      </c>
      <c r="AT258" s="4">
        <v>1382</v>
      </c>
      <c r="AU258" s="4">
        <v>1411</v>
      </c>
      <c r="AV258" s="4">
        <v>1418</v>
      </c>
      <c r="AW258" s="4">
        <v>1415</v>
      </c>
      <c r="AX258" s="4">
        <v>1435</v>
      </c>
      <c r="AY258" s="4">
        <v>1372</v>
      </c>
      <c r="AZ258" s="4">
        <v>1376</v>
      </c>
      <c r="BA258" s="4">
        <v>1350</v>
      </c>
      <c r="BB258" s="4">
        <v>1385</v>
      </c>
      <c r="BC258" s="4">
        <v>1419</v>
      </c>
      <c r="BD258" s="4">
        <v>1425</v>
      </c>
      <c r="BE258" s="4">
        <v>1449</v>
      </c>
      <c r="BF258" s="4">
        <v>1450</v>
      </c>
      <c r="BG258" s="4">
        <v>1465</v>
      </c>
      <c r="BH258" s="4">
        <v>1441</v>
      </c>
      <c r="BI258" s="4">
        <v>1470</v>
      </c>
      <c r="BJ258" s="4">
        <v>1441</v>
      </c>
      <c r="BK258" s="4">
        <v>1408</v>
      </c>
      <c r="BL258" s="4">
        <v>1425</v>
      </c>
      <c r="BM258" s="4">
        <v>1476</v>
      </c>
      <c r="BN258" s="4">
        <v>1542</v>
      </c>
      <c r="BO258" s="4">
        <v>1419</v>
      </c>
      <c r="BP258" s="4">
        <v>1390</v>
      </c>
    </row>
    <row r="259" spans="1:68">
      <c r="A259" s="65" t="s">
        <v>472</v>
      </c>
      <c r="B259" s="4" t="str">
        <f>銘柄管理!C259</f>
        <v/>
      </c>
      <c r="C259" s="4" t="str">
        <f>_xll.RssMarket("9104","現在値")</f>
        <v/>
      </c>
      <c r="D259" s="4" t="e">
        <f t="shared" si="7"/>
        <v>#VALUE!</v>
      </c>
      <c r="E259" s="4">
        <v>5609</v>
      </c>
      <c r="F259" s="4">
        <v>5605</v>
      </c>
      <c r="G259" s="4">
        <v>5500</v>
      </c>
      <c r="H259" s="4">
        <v>5340</v>
      </c>
      <c r="I259" s="4">
        <v>5324</v>
      </c>
      <c r="J259" s="4">
        <v>5478</v>
      </c>
      <c r="K259" s="4">
        <v>5421</v>
      </c>
      <c r="L259" s="4">
        <v>5379</v>
      </c>
      <c r="M259" s="4">
        <v>5193</v>
      </c>
      <c r="N259" s="4">
        <v>5121</v>
      </c>
      <c r="O259" s="4">
        <v>5031</v>
      </c>
      <c r="P259" s="4">
        <v>5213</v>
      </c>
      <c r="Q259" s="4">
        <v>5234</v>
      </c>
      <c r="R259" s="4">
        <v>5219</v>
      </c>
      <c r="S259" s="4">
        <v>5255</v>
      </c>
      <c r="T259" s="4">
        <v>5370</v>
      </c>
      <c r="U259" s="4">
        <v>5328</v>
      </c>
      <c r="V259" s="4">
        <v>5293</v>
      </c>
      <c r="W259" s="4">
        <v>5264</v>
      </c>
      <c r="X259" s="4">
        <v>5438</v>
      </c>
      <c r="Y259" s="4">
        <v>5559</v>
      </c>
      <c r="Z259" s="4">
        <v>5765</v>
      </c>
      <c r="AA259" s="4">
        <v>5712</v>
      </c>
      <c r="AB259" s="4">
        <v>5689</v>
      </c>
      <c r="AC259" s="4">
        <v>5767</v>
      </c>
      <c r="AD259" s="4">
        <v>5801</v>
      </c>
      <c r="AE259" s="4">
        <v>5534</v>
      </c>
      <c r="AF259" s="4">
        <v>5459</v>
      </c>
      <c r="AG259" s="4">
        <v>5500</v>
      </c>
      <c r="AH259" s="4">
        <v>5385</v>
      </c>
      <c r="AI259" s="4">
        <v>5476</v>
      </c>
      <c r="AJ259" s="4">
        <v>5433</v>
      </c>
      <c r="AK259" s="4">
        <v>5454</v>
      </c>
      <c r="AL259" s="4">
        <v>5560</v>
      </c>
      <c r="AM259" s="4">
        <v>5650</v>
      </c>
      <c r="AN259" s="4">
        <v>5709</v>
      </c>
      <c r="AO259" s="4">
        <v>5795</v>
      </c>
      <c r="AP259" s="4">
        <v>5824</v>
      </c>
      <c r="AQ259" s="4">
        <v>5851</v>
      </c>
      <c r="AR259" s="4">
        <v>5863</v>
      </c>
      <c r="AS259" s="4">
        <v>5901</v>
      </c>
      <c r="AT259" s="4">
        <v>5873</v>
      </c>
      <c r="AU259" s="4">
        <v>5846</v>
      </c>
      <c r="AV259" s="4">
        <v>5802</v>
      </c>
      <c r="AW259" s="4">
        <v>5774</v>
      </c>
      <c r="AX259" s="4">
        <v>5870</v>
      </c>
      <c r="AY259" s="4">
        <v>5917</v>
      </c>
      <c r="AZ259" s="4">
        <v>5935</v>
      </c>
      <c r="BA259" s="4">
        <v>5965</v>
      </c>
      <c r="BB259" s="4">
        <v>5773</v>
      </c>
      <c r="BC259" s="4">
        <v>6122</v>
      </c>
      <c r="BD259" s="4">
        <v>5999</v>
      </c>
      <c r="BE259" s="4">
        <v>6089</v>
      </c>
      <c r="BF259" s="4">
        <v>6088</v>
      </c>
      <c r="BG259" s="4">
        <v>6106</v>
      </c>
      <c r="BH259" s="4">
        <v>6307</v>
      </c>
      <c r="BI259" s="4">
        <v>6380</v>
      </c>
      <c r="BJ259" s="4">
        <v>6362</v>
      </c>
      <c r="BK259" s="4">
        <v>6408</v>
      </c>
      <c r="BL259" s="4">
        <v>6387</v>
      </c>
      <c r="BM259" s="4">
        <v>6473</v>
      </c>
      <c r="BN259" s="4">
        <v>6631</v>
      </c>
      <c r="BO259" s="4">
        <v>6593</v>
      </c>
      <c r="BP259" s="4">
        <v>6870</v>
      </c>
    </row>
    <row r="260" spans="1:68">
      <c r="A260" s="65" t="s">
        <v>473</v>
      </c>
      <c r="B260" s="4" t="str">
        <f>銘柄管理!C260</f>
        <v/>
      </c>
      <c r="C260" s="4" t="str">
        <f>_xll.RssMarket("6366","現在値")</f>
        <v/>
      </c>
      <c r="D260" s="4" t="e">
        <f t="shared" si="7"/>
        <v>#VALUE!</v>
      </c>
      <c r="E260" s="4">
        <v>636</v>
      </c>
      <c r="F260" s="4">
        <v>702</v>
      </c>
      <c r="G260" s="4">
        <v>672</v>
      </c>
      <c r="H260" s="4">
        <v>654</v>
      </c>
      <c r="I260" s="4">
        <v>685</v>
      </c>
      <c r="J260" s="4">
        <v>692</v>
      </c>
      <c r="K260" s="4">
        <v>704</v>
      </c>
      <c r="L260" s="4">
        <v>744</v>
      </c>
      <c r="M260" s="4">
        <v>694</v>
      </c>
      <c r="N260" s="4">
        <v>691</v>
      </c>
      <c r="O260" s="4">
        <v>649</v>
      </c>
      <c r="P260" s="4">
        <v>670</v>
      </c>
      <c r="Q260" s="4">
        <v>686</v>
      </c>
      <c r="R260" s="4">
        <v>675</v>
      </c>
      <c r="S260" s="4">
        <v>687</v>
      </c>
      <c r="T260" s="4">
        <v>728</v>
      </c>
      <c r="U260" s="4">
        <v>704</v>
      </c>
      <c r="V260" s="4">
        <v>727</v>
      </c>
      <c r="W260" s="4">
        <v>760</v>
      </c>
      <c r="X260" s="4">
        <v>798</v>
      </c>
      <c r="Y260" s="4">
        <v>762</v>
      </c>
      <c r="Z260" s="4">
        <v>708</v>
      </c>
      <c r="AA260" s="4">
        <v>668</v>
      </c>
      <c r="AB260" s="4">
        <v>670</v>
      </c>
      <c r="AC260" s="4">
        <v>694</v>
      </c>
      <c r="AD260" s="4">
        <v>732</v>
      </c>
      <c r="AE260" s="4">
        <v>717</v>
      </c>
      <c r="AF260" s="4">
        <v>706</v>
      </c>
      <c r="AG260" s="4">
        <v>722</v>
      </c>
      <c r="AH260" s="4">
        <v>727</v>
      </c>
      <c r="AI260" s="4">
        <v>753</v>
      </c>
      <c r="AJ260" s="4">
        <v>745</v>
      </c>
      <c r="AK260" s="4">
        <v>772</v>
      </c>
      <c r="AL260" s="4">
        <v>811</v>
      </c>
      <c r="AM260" s="4">
        <v>747</v>
      </c>
      <c r="AN260" s="4">
        <v>712</v>
      </c>
      <c r="AO260" s="4">
        <v>712</v>
      </c>
      <c r="AP260" s="4">
        <v>771</v>
      </c>
      <c r="AQ260" s="4">
        <v>751</v>
      </c>
      <c r="AR260" s="4">
        <v>813</v>
      </c>
      <c r="AS260" s="4">
        <v>821</v>
      </c>
      <c r="AT260" s="4">
        <v>822</v>
      </c>
      <c r="AU260" s="4">
        <v>794</v>
      </c>
      <c r="AV260" s="4">
        <v>843</v>
      </c>
      <c r="AW260" s="4">
        <v>993</v>
      </c>
      <c r="AX260" s="4">
        <v>1045</v>
      </c>
      <c r="AY260" s="4">
        <v>1023</v>
      </c>
      <c r="AZ260" s="4">
        <v>1011</v>
      </c>
      <c r="BA260" s="4">
        <v>1074</v>
      </c>
      <c r="BB260" s="4">
        <v>1027</v>
      </c>
      <c r="BC260" s="4">
        <v>1027</v>
      </c>
      <c r="BD260" s="4">
        <v>1064</v>
      </c>
      <c r="BE260" s="4">
        <v>1064</v>
      </c>
      <c r="BF260" s="4">
        <v>1091</v>
      </c>
      <c r="BG260" s="4">
        <v>1111</v>
      </c>
      <c r="BH260" s="4">
        <v>1155</v>
      </c>
      <c r="BI260" s="4">
        <v>1173</v>
      </c>
      <c r="BJ260" s="4">
        <v>1118</v>
      </c>
      <c r="BK260" s="4">
        <v>1135</v>
      </c>
      <c r="BL260" s="4">
        <v>1132</v>
      </c>
      <c r="BM260" s="4">
        <v>1165</v>
      </c>
      <c r="BN260" s="4">
        <v>1214</v>
      </c>
      <c r="BO260" s="4">
        <v>1116</v>
      </c>
      <c r="BP260" s="4">
        <v>966</v>
      </c>
    </row>
    <row r="261" spans="1:68">
      <c r="A261" s="65" t="s">
        <v>474</v>
      </c>
      <c r="B261" s="4" t="str">
        <f>銘柄管理!C261</f>
        <v/>
      </c>
      <c r="C261" s="4" t="str">
        <f>_xll.RssMarket("6140","現在値")</f>
        <v/>
      </c>
      <c r="D261" s="4" t="e">
        <f t="shared" si="7"/>
        <v>#VALUE!</v>
      </c>
      <c r="E261" s="4">
        <v>1153</v>
      </c>
      <c r="F261" s="4">
        <v>1218</v>
      </c>
      <c r="G261" s="4">
        <v>1178</v>
      </c>
      <c r="H261" s="4">
        <v>1157</v>
      </c>
      <c r="I261" s="4">
        <v>1186</v>
      </c>
      <c r="J261" s="4">
        <v>1173</v>
      </c>
      <c r="K261" s="4">
        <v>1183</v>
      </c>
      <c r="L261" s="4">
        <v>1245</v>
      </c>
      <c r="M261" s="4">
        <v>1249</v>
      </c>
      <c r="N261" s="4">
        <v>1222</v>
      </c>
      <c r="O261" s="4">
        <v>1234</v>
      </c>
      <c r="P261" s="4">
        <v>1213</v>
      </c>
      <c r="Q261" s="4">
        <v>1227</v>
      </c>
      <c r="R261" s="4">
        <v>1217</v>
      </c>
      <c r="S261" s="4">
        <v>1230</v>
      </c>
      <c r="T261" s="4">
        <v>1201</v>
      </c>
      <c r="U261" s="4">
        <v>1228</v>
      </c>
      <c r="V261" s="4">
        <v>1332</v>
      </c>
      <c r="W261" s="4">
        <v>1305</v>
      </c>
      <c r="X261" s="4">
        <v>1323</v>
      </c>
      <c r="Y261" s="4">
        <v>1283</v>
      </c>
      <c r="Z261" s="4">
        <v>1235</v>
      </c>
      <c r="AA261" s="4">
        <v>1214</v>
      </c>
      <c r="AB261" s="4">
        <v>1226</v>
      </c>
      <c r="AC261" s="4">
        <v>1289</v>
      </c>
      <c r="AD261" s="4">
        <v>1339</v>
      </c>
      <c r="AE261" s="4">
        <v>1315</v>
      </c>
      <c r="AF261" s="4">
        <v>1318</v>
      </c>
      <c r="AG261" s="4">
        <v>1323</v>
      </c>
      <c r="AH261" s="4">
        <v>1369</v>
      </c>
      <c r="AI261" s="4">
        <v>1343</v>
      </c>
      <c r="AJ261" s="4">
        <v>1362</v>
      </c>
      <c r="AK261" s="4">
        <v>1350</v>
      </c>
      <c r="AL261" s="4">
        <v>1396</v>
      </c>
      <c r="AM261" s="4">
        <v>1362</v>
      </c>
      <c r="AN261" s="4">
        <v>1275</v>
      </c>
      <c r="AO261" s="4">
        <v>1289</v>
      </c>
      <c r="AP261" s="4">
        <v>1296</v>
      </c>
      <c r="AQ261" s="4">
        <v>1290</v>
      </c>
      <c r="AR261" s="4">
        <v>1336</v>
      </c>
      <c r="AS261" s="4">
        <v>1356</v>
      </c>
      <c r="AT261" s="4">
        <v>1384</v>
      </c>
      <c r="AU261" s="4">
        <v>1341</v>
      </c>
      <c r="AV261" s="4">
        <v>1319</v>
      </c>
      <c r="AW261" s="4">
        <v>1330</v>
      </c>
      <c r="AX261" s="4">
        <v>1318</v>
      </c>
      <c r="AY261" s="4">
        <v>1292</v>
      </c>
      <c r="AZ261" s="4">
        <v>1291</v>
      </c>
      <c r="BA261" s="4">
        <v>1314</v>
      </c>
      <c r="BB261" s="4">
        <v>1286</v>
      </c>
      <c r="BC261" s="4">
        <v>1310</v>
      </c>
      <c r="BD261" s="4">
        <v>1272</v>
      </c>
      <c r="BE261" s="4">
        <v>1297</v>
      </c>
      <c r="BF261" s="4">
        <v>1311</v>
      </c>
      <c r="BG261" s="4">
        <v>1312</v>
      </c>
      <c r="BH261" s="4">
        <v>1332</v>
      </c>
      <c r="BI261" s="4">
        <v>1191</v>
      </c>
      <c r="BJ261" s="4">
        <v>1164</v>
      </c>
      <c r="BK261" s="4">
        <v>1176</v>
      </c>
      <c r="BL261" s="4">
        <v>1164</v>
      </c>
      <c r="BM261" s="4">
        <v>1173</v>
      </c>
      <c r="BN261" s="4">
        <v>1158</v>
      </c>
      <c r="BO261" s="4">
        <v>1192</v>
      </c>
      <c r="BP261" s="4">
        <v>1152</v>
      </c>
    </row>
    <row r="262" spans="1:68">
      <c r="A262" s="65" t="s">
        <v>475</v>
      </c>
      <c r="B262" s="4" t="str">
        <f>銘柄管理!C262</f>
        <v/>
      </c>
      <c r="C262" s="4" t="str">
        <f>_xll.RssMarket("1514","現在値")</f>
        <v/>
      </c>
      <c r="D262" s="4" t="e">
        <f t="shared" si="7"/>
        <v>#VALUE!</v>
      </c>
      <c r="E262" s="4">
        <v>560</v>
      </c>
      <c r="F262" s="4">
        <v>593</v>
      </c>
      <c r="G262" s="4">
        <v>584</v>
      </c>
      <c r="H262" s="4">
        <v>571</v>
      </c>
      <c r="I262" s="4">
        <v>577</v>
      </c>
      <c r="J262" s="4">
        <v>560</v>
      </c>
      <c r="K262" s="4">
        <v>555</v>
      </c>
      <c r="L262" s="4">
        <v>580</v>
      </c>
      <c r="M262" s="4">
        <v>546</v>
      </c>
      <c r="N262" s="4">
        <v>544</v>
      </c>
      <c r="O262" s="4">
        <v>525</v>
      </c>
      <c r="P262" s="4">
        <v>526</v>
      </c>
      <c r="Q262" s="4">
        <v>520</v>
      </c>
      <c r="R262" s="4">
        <v>526</v>
      </c>
      <c r="S262" s="4">
        <v>525</v>
      </c>
      <c r="T262" s="4">
        <v>532</v>
      </c>
      <c r="U262" s="4">
        <v>550</v>
      </c>
      <c r="V262" s="4">
        <v>524</v>
      </c>
      <c r="W262" s="4">
        <v>550</v>
      </c>
      <c r="X262" s="4">
        <v>545</v>
      </c>
      <c r="Y262" s="4">
        <v>553</v>
      </c>
      <c r="Z262" s="4">
        <v>548</v>
      </c>
      <c r="AA262" s="4">
        <v>555</v>
      </c>
      <c r="AB262" s="4">
        <v>577</v>
      </c>
      <c r="AC262" s="4">
        <v>579</v>
      </c>
      <c r="AD262" s="4">
        <v>550</v>
      </c>
      <c r="AE262" s="4">
        <v>561</v>
      </c>
      <c r="AF262" s="4">
        <v>569</v>
      </c>
      <c r="AG262" s="4">
        <v>587</v>
      </c>
      <c r="AH262" s="4">
        <v>591</v>
      </c>
      <c r="AI262" s="4">
        <v>606</v>
      </c>
      <c r="AJ262" s="4">
        <v>596</v>
      </c>
      <c r="AK262" s="4">
        <v>603</v>
      </c>
      <c r="AL262" s="4">
        <v>597</v>
      </c>
      <c r="AM262" s="4">
        <v>589</v>
      </c>
      <c r="AN262" s="4">
        <v>617</v>
      </c>
      <c r="AO262" s="4">
        <v>621</v>
      </c>
      <c r="AP262" s="4">
        <v>704</v>
      </c>
      <c r="AQ262" s="4">
        <v>708</v>
      </c>
      <c r="AR262" s="4">
        <v>723</v>
      </c>
      <c r="AS262" s="4">
        <v>730</v>
      </c>
      <c r="AT262" s="4">
        <v>741</v>
      </c>
      <c r="AU262" s="4">
        <v>741</v>
      </c>
      <c r="AV262" s="4">
        <v>753</v>
      </c>
      <c r="AW262" s="4">
        <v>760</v>
      </c>
      <c r="AX262" s="4">
        <v>769</v>
      </c>
      <c r="AY262" s="4">
        <v>783</v>
      </c>
      <c r="AZ262" s="4">
        <v>783</v>
      </c>
      <c r="BA262" s="4">
        <v>791</v>
      </c>
      <c r="BB262" s="4">
        <v>808</v>
      </c>
      <c r="BC262" s="4">
        <v>827</v>
      </c>
      <c r="BD262" s="4">
        <v>854</v>
      </c>
      <c r="BE262" s="4">
        <v>861</v>
      </c>
      <c r="BF262" s="4">
        <v>841</v>
      </c>
      <c r="BG262" s="4">
        <v>873</v>
      </c>
      <c r="BH262" s="4">
        <v>850</v>
      </c>
      <c r="BI262" s="4">
        <v>856</v>
      </c>
      <c r="BJ262" s="4">
        <v>879</v>
      </c>
      <c r="BK262" s="4">
        <v>828</v>
      </c>
      <c r="BL262" s="4">
        <v>882</v>
      </c>
      <c r="BM262" s="4">
        <v>891</v>
      </c>
      <c r="BN262" s="4">
        <v>930</v>
      </c>
      <c r="BO262" s="4">
        <v>919</v>
      </c>
      <c r="BP262" s="4">
        <v>953</v>
      </c>
    </row>
    <row r="263" spans="1:68">
      <c r="A263" s="65" t="s">
        <v>476</v>
      </c>
      <c r="B263" s="4" t="str">
        <f>銘柄管理!C263</f>
        <v/>
      </c>
      <c r="C263" s="4" t="str">
        <f>_xll.RssMarket("5631","現在値")</f>
        <v/>
      </c>
      <c r="D263" s="4" t="e">
        <f t="shared" si="7"/>
        <v>#VALUE!</v>
      </c>
      <c r="E263" s="4">
        <v>7335</v>
      </c>
      <c r="F263" s="4">
        <v>7821</v>
      </c>
      <c r="G263" s="4">
        <v>7700</v>
      </c>
      <c r="H263" s="4">
        <v>7827</v>
      </c>
      <c r="I263" s="4">
        <v>7815</v>
      </c>
      <c r="J263" s="4">
        <v>7940</v>
      </c>
      <c r="K263" s="4">
        <v>8253</v>
      </c>
      <c r="L263" s="4">
        <v>8550</v>
      </c>
      <c r="M263" s="4">
        <v>7955</v>
      </c>
      <c r="N263" s="4">
        <v>7930</v>
      </c>
      <c r="O263" s="4">
        <v>7833</v>
      </c>
      <c r="P263" s="4">
        <v>7677</v>
      </c>
      <c r="Q263" s="4">
        <v>7591</v>
      </c>
      <c r="R263" s="4">
        <v>7724</v>
      </c>
      <c r="S263" s="4">
        <v>7945</v>
      </c>
      <c r="T263" s="4">
        <v>8029</v>
      </c>
      <c r="U263" s="4">
        <v>7755</v>
      </c>
      <c r="V263" s="4">
        <v>8163</v>
      </c>
      <c r="W263" s="4">
        <v>7903</v>
      </c>
      <c r="X263" s="4">
        <v>8295</v>
      </c>
      <c r="Y263" s="4">
        <v>7747</v>
      </c>
      <c r="Z263" s="4">
        <v>7549</v>
      </c>
      <c r="AA263" s="4">
        <v>7114</v>
      </c>
      <c r="AB263" s="4">
        <v>7091</v>
      </c>
      <c r="AC263" s="4">
        <v>7470</v>
      </c>
      <c r="AD263" s="4">
        <v>7930</v>
      </c>
      <c r="AE263" s="4">
        <v>7276</v>
      </c>
      <c r="AF263" s="4">
        <v>7328</v>
      </c>
      <c r="AG263" s="4">
        <v>7266</v>
      </c>
      <c r="AH263" s="4">
        <v>7504</v>
      </c>
      <c r="AI263" s="4">
        <v>7669</v>
      </c>
      <c r="AJ263" s="4">
        <v>7847</v>
      </c>
      <c r="AK263" s="4">
        <v>8007</v>
      </c>
      <c r="AL263" s="4">
        <v>7889</v>
      </c>
      <c r="AM263" s="4">
        <v>7924</v>
      </c>
      <c r="AN263" s="4">
        <v>7742</v>
      </c>
      <c r="AO263" s="4">
        <v>8094</v>
      </c>
      <c r="AP263" s="4">
        <v>7998</v>
      </c>
      <c r="AQ263" s="4">
        <v>7806</v>
      </c>
      <c r="AR263" s="4">
        <v>7863</v>
      </c>
      <c r="AS263" s="4">
        <v>8076</v>
      </c>
      <c r="AT263" s="4">
        <v>8806</v>
      </c>
      <c r="AU263" s="4">
        <v>8819</v>
      </c>
      <c r="AV263" s="4">
        <v>9069</v>
      </c>
      <c r="AW263" s="4">
        <v>9209</v>
      </c>
      <c r="AX263" s="4">
        <v>9317</v>
      </c>
      <c r="AY263" s="4">
        <v>9283</v>
      </c>
      <c r="AZ263" s="4">
        <v>9489</v>
      </c>
      <c r="BA263" s="4">
        <v>9760</v>
      </c>
      <c r="BB263" s="4">
        <v>9748</v>
      </c>
      <c r="BC263" s="4">
        <v>9872</v>
      </c>
      <c r="BD263" s="4">
        <v>9755</v>
      </c>
      <c r="BE263" s="4">
        <v>9490</v>
      </c>
      <c r="BF263" s="4">
        <v>9425</v>
      </c>
      <c r="BG263" s="4">
        <v>9129</v>
      </c>
      <c r="BH263" s="4">
        <v>9061</v>
      </c>
      <c r="BI263" s="4">
        <v>9300</v>
      </c>
      <c r="BJ263" s="4">
        <v>9047</v>
      </c>
      <c r="BK263" s="4">
        <v>9726</v>
      </c>
      <c r="BL263" s="4">
        <v>9738</v>
      </c>
      <c r="BM263" s="4">
        <v>9836</v>
      </c>
      <c r="BN263" s="4">
        <v>9894</v>
      </c>
      <c r="BO263" s="4">
        <v>9618</v>
      </c>
      <c r="BP263" s="4">
        <v>9469</v>
      </c>
    </row>
    <row r="264" spans="1:68">
      <c r="A264" s="65" t="s">
        <v>477</v>
      </c>
      <c r="B264" s="4" t="str">
        <f>銘柄管理!C264</f>
        <v/>
      </c>
      <c r="C264" s="4" t="str">
        <f>_xll.RssMarket("6674","現在値")</f>
        <v/>
      </c>
      <c r="D264" s="4" t="e">
        <f t="shared" si="7"/>
        <v>#VALUE!</v>
      </c>
      <c r="E264" s="4">
        <v>5572</v>
      </c>
      <c r="F264" s="4">
        <v>6080</v>
      </c>
      <c r="G264" s="4">
        <v>5966</v>
      </c>
      <c r="H264" s="4">
        <v>6015</v>
      </c>
      <c r="I264" s="4">
        <v>6178</v>
      </c>
      <c r="J264" s="4">
        <v>6193</v>
      </c>
      <c r="K264" s="4">
        <v>6174</v>
      </c>
      <c r="L264" s="4">
        <v>6656</v>
      </c>
      <c r="M264" s="4">
        <v>6737</v>
      </c>
      <c r="N264" s="4">
        <v>6602</v>
      </c>
      <c r="O264" s="4">
        <v>6667</v>
      </c>
      <c r="P264" s="4">
        <v>6466</v>
      </c>
      <c r="Q264" s="4">
        <v>6700</v>
      </c>
      <c r="R264" s="4">
        <v>6766</v>
      </c>
      <c r="S264" s="4">
        <v>7129</v>
      </c>
      <c r="T264" s="4">
        <v>7193</v>
      </c>
      <c r="U264" s="4">
        <v>7088</v>
      </c>
      <c r="V264" s="4">
        <v>7517</v>
      </c>
      <c r="W264" s="4">
        <v>7016</v>
      </c>
      <c r="X264" s="4">
        <v>6718</v>
      </c>
      <c r="Y264" s="4">
        <v>6568</v>
      </c>
      <c r="Z264" s="4">
        <v>6197</v>
      </c>
      <c r="AA264" s="4">
        <v>6297</v>
      </c>
      <c r="AB264" s="4">
        <v>6412</v>
      </c>
      <c r="AC264" s="4">
        <v>6654</v>
      </c>
      <c r="AD264" s="4">
        <v>7280</v>
      </c>
      <c r="AE264" s="4">
        <v>7185</v>
      </c>
      <c r="AF264" s="4">
        <v>7495</v>
      </c>
      <c r="AG264" s="4">
        <v>6861</v>
      </c>
      <c r="AH264" s="4">
        <v>6409</v>
      </c>
      <c r="AI264" s="4">
        <v>6560</v>
      </c>
      <c r="AJ264" s="4">
        <v>6438</v>
      </c>
      <c r="AK264" s="4">
        <v>6298</v>
      </c>
      <c r="AL264" s="4">
        <v>6320</v>
      </c>
      <c r="AM264" s="4">
        <v>6148</v>
      </c>
      <c r="AN264" s="4">
        <v>6038</v>
      </c>
      <c r="AO264" s="4">
        <v>6118</v>
      </c>
      <c r="AP264" s="4">
        <v>6336</v>
      </c>
      <c r="AQ264" s="4">
        <v>6285</v>
      </c>
      <c r="AR264" s="4">
        <v>6450</v>
      </c>
      <c r="AS264" s="4">
        <v>6286</v>
      </c>
      <c r="AT264" s="4">
        <v>6339</v>
      </c>
      <c r="AU264" s="4">
        <v>6710</v>
      </c>
      <c r="AV264" s="4">
        <v>6565</v>
      </c>
      <c r="AW264" s="4">
        <v>6620</v>
      </c>
      <c r="AX264" s="4">
        <v>6495</v>
      </c>
      <c r="AY264" s="4">
        <v>6278</v>
      </c>
      <c r="AZ264" s="4">
        <v>6317</v>
      </c>
      <c r="BA264" s="4">
        <v>6164</v>
      </c>
      <c r="BB264" s="4">
        <v>6235</v>
      </c>
      <c r="BC264" s="4">
        <v>6250</v>
      </c>
      <c r="BD264" s="4">
        <v>6323</v>
      </c>
      <c r="BE264" s="4">
        <v>6452</v>
      </c>
      <c r="BF264" s="4">
        <v>6669</v>
      </c>
      <c r="BG264" s="4">
        <v>6603</v>
      </c>
      <c r="BH264" s="4">
        <v>6745</v>
      </c>
      <c r="BI264" s="4">
        <v>6778</v>
      </c>
      <c r="BJ264" s="4">
        <v>6613</v>
      </c>
      <c r="BK264" s="4">
        <v>6590</v>
      </c>
      <c r="BL264" s="4">
        <v>6343</v>
      </c>
      <c r="BM264" s="4">
        <v>6331</v>
      </c>
      <c r="BN264" s="4">
        <v>6155</v>
      </c>
      <c r="BO264" s="4">
        <v>6176</v>
      </c>
      <c r="BP264" s="4">
        <v>5929</v>
      </c>
    </row>
    <row r="265" spans="1:68">
      <c r="A265" s="65" t="s">
        <v>478</v>
      </c>
      <c r="B265" s="4" t="str">
        <f>銘柄管理!C265</f>
        <v/>
      </c>
      <c r="C265" s="4" t="str">
        <f>_xll.RssMarket("6955","現在値")</f>
        <v/>
      </c>
      <c r="D265" s="4" t="e">
        <f t="shared" si="7"/>
        <v>#VALUE!</v>
      </c>
      <c r="E265" s="4">
        <v>404</v>
      </c>
      <c r="F265" s="4">
        <v>431</v>
      </c>
      <c r="G265" s="4">
        <v>427</v>
      </c>
      <c r="H265" s="4">
        <v>438</v>
      </c>
      <c r="I265" s="4">
        <v>436</v>
      </c>
      <c r="J265" s="4">
        <v>430</v>
      </c>
      <c r="K265" s="4">
        <v>429</v>
      </c>
      <c r="L265" s="4">
        <v>452</v>
      </c>
      <c r="M265" s="4">
        <v>483</v>
      </c>
      <c r="N265" s="4">
        <v>498</v>
      </c>
      <c r="O265" s="4">
        <v>484</v>
      </c>
      <c r="P265" s="4">
        <v>493</v>
      </c>
      <c r="Q265" s="4">
        <v>499</v>
      </c>
      <c r="R265" s="4">
        <v>495</v>
      </c>
      <c r="S265" s="4">
        <v>523</v>
      </c>
      <c r="T265" s="4">
        <v>518</v>
      </c>
      <c r="U265" s="4">
        <v>516</v>
      </c>
      <c r="V265" s="4">
        <v>545</v>
      </c>
      <c r="W265" s="4">
        <v>513</v>
      </c>
      <c r="X265" s="4">
        <v>502</v>
      </c>
      <c r="Y265" s="4">
        <v>499</v>
      </c>
      <c r="Z265" s="4">
        <v>505</v>
      </c>
      <c r="AA265" s="4">
        <v>525</v>
      </c>
      <c r="AB265" s="4">
        <v>640</v>
      </c>
      <c r="AC265" s="4">
        <v>574</v>
      </c>
      <c r="AD265" s="4">
        <v>494</v>
      </c>
      <c r="AE265" s="4">
        <v>503</v>
      </c>
      <c r="AF265" s="4">
        <v>437</v>
      </c>
      <c r="AG265" s="4">
        <v>423</v>
      </c>
      <c r="AH265" s="4">
        <v>422</v>
      </c>
      <c r="AI265" s="4">
        <v>449</v>
      </c>
      <c r="AJ265" s="4">
        <v>432</v>
      </c>
      <c r="AK265" s="4">
        <v>403</v>
      </c>
      <c r="AL265" s="4">
        <v>414</v>
      </c>
      <c r="AM265" s="4">
        <v>406</v>
      </c>
      <c r="AN265" s="4">
        <v>410</v>
      </c>
      <c r="AO265" s="4">
        <v>416</v>
      </c>
      <c r="AP265" s="4">
        <v>415</v>
      </c>
      <c r="AQ265" s="4">
        <v>422</v>
      </c>
      <c r="AR265" s="4">
        <v>429</v>
      </c>
      <c r="AS265" s="4">
        <v>426</v>
      </c>
      <c r="AT265" s="4">
        <v>433</v>
      </c>
      <c r="AU265" s="4">
        <v>432</v>
      </c>
      <c r="AV265" s="4">
        <v>443</v>
      </c>
      <c r="AW265" s="4">
        <v>455</v>
      </c>
      <c r="AX265" s="4">
        <v>428</v>
      </c>
      <c r="AY265" s="4">
        <v>433</v>
      </c>
      <c r="AZ265" s="4">
        <v>447</v>
      </c>
      <c r="BA265" s="4">
        <v>454</v>
      </c>
      <c r="BB265" s="4">
        <v>450</v>
      </c>
      <c r="BC265" s="4">
        <v>450</v>
      </c>
      <c r="BD265" s="4">
        <v>448</v>
      </c>
      <c r="BE265" s="4">
        <v>452</v>
      </c>
      <c r="BF265" s="4">
        <v>456</v>
      </c>
      <c r="BG265" s="4">
        <v>448</v>
      </c>
      <c r="BH265" s="4">
        <v>463</v>
      </c>
      <c r="BI265" s="4">
        <v>446</v>
      </c>
      <c r="BJ265" s="4">
        <v>457</v>
      </c>
      <c r="BK265" s="4">
        <v>451</v>
      </c>
      <c r="BL265" s="4">
        <v>448</v>
      </c>
      <c r="BM265" s="4">
        <v>468</v>
      </c>
      <c r="BN265" s="4">
        <v>486</v>
      </c>
      <c r="BO265" s="4">
        <v>468</v>
      </c>
      <c r="BP265" s="4">
        <v>477</v>
      </c>
    </row>
    <row r="266" spans="1:68">
      <c r="A266" s="65" t="s">
        <v>479</v>
      </c>
      <c r="B266" s="4" t="str">
        <f>銘柄管理!C266</f>
        <v/>
      </c>
      <c r="C266" s="4" t="str">
        <f>_xll.RssMarket("281A","現在値")</f>
        <v/>
      </c>
      <c r="D266" s="4" t="e">
        <f t="shared" si="7"/>
        <v>#VALUE!</v>
      </c>
      <c r="E266" s="4">
        <v>455</v>
      </c>
      <c r="F266" s="4">
        <v>515</v>
      </c>
      <c r="G266" s="4">
        <v>509</v>
      </c>
      <c r="H266" s="4">
        <v>530</v>
      </c>
      <c r="I266" s="4">
        <v>514</v>
      </c>
      <c r="J266" s="4">
        <v>489</v>
      </c>
      <c r="K266" s="4">
        <v>519</v>
      </c>
      <c r="L266" s="4">
        <v>625</v>
      </c>
      <c r="M266" s="4">
        <v>626</v>
      </c>
      <c r="N266" s="4">
        <v>627</v>
      </c>
      <c r="O266" s="4">
        <v>628</v>
      </c>
      <c r="P266" s="4">
        <v>670</v>
      </c>
      <c r="Q266" s="4">
        <v>710</v>
      </c>
      <c r="R266" s="4">
        <v>676</v>
      </c>
      <c r="S266" s="4">
        <v>753</v>
      </c>
      <c r="T266" s="4">
        <v>737</v>
      </c>
      <c r="U266" s="4">
        <v>637</v>
      </c>
      <c r="V266" s="4">
        <v>601</v>
      </c>
      <c r="W266" s="4">
        <v>574</v>
      </c>
      <c r="X266" s="4">
        <v>647</v>
      </c>
      <c r="Y266" s="4">
        <v>615</v>
      </c>
      <c r="Z266" s="4">
        <v>534</v>
      </c>
      <c r="AA266" s="4">
        <v>548</v>
      </c>
      <c r="AB266" s="4">
        <v>543</v>
      </c>
      <c r="AC266" s="4">
        <v>582</v>
      </c>
      <c r="AD266" s="4">
        <v>613</v>
      </c>
      <c r="AE266" s="4">
        <v>652</v>
      </c>
      <c r="AF266" s="4">
        <v>695</v>
      </c>
      <c r="AG266" s="4">
        <v>689</v>
      </c>
      <c r="AH266" s="4">
        <v>687</v>
      </c>
      <c r="AI266" s="4">
        <v>760</v>
      </c>
      <c r="AJ266" s="4">
        <v>829</v>
      </c>
      <c r="AK266" s="4">
        <v>825</v>
      </c>
      <c r="AL266" s="4">
        <v>895</v>
      </c>
      <c r="AM266" s="4">
        <v>805</v>
      </c>
      <c r="AN266" s="4">
        <v>773</v>
      </c>
      <c r="AO266" s="4">
        <v>775</v>
      </c>
      <c r="AP266" s="4">
        <v>842</v>
      </c>
      <c r="AQ266" s="4">
        <v>823</v>
      </c>
      <c r="AR266" s="4">
        <v>765</v>
      </c>
      <c r="AS266" s="4">
        <v>716</v>
      </c>
      <c r="AT266" s="4">
        <v>746</v>
      </c>
      <c r="AU266" s="4">
        <v>756</v>
      </c>
      <c r="AV266" s="4">
        <v>806</v>
      </c>
      <c r="AW266" s="4">
        <v>819</v>
      </c>
      <c r="AX266" s="4">
        <v>757</v>
      </c>
      <c r="AY266" s="4">
        <v>740</v>
      </c>
      <c r="AZ266" s="4">
        <v>693</v>
      </c>
      <c r="BA266" s="4">
        <v>712</v>
      </c>
      <c r="BB266" s="4">
        <v>763</v>
      </c>
      <c r="BC266" s="4">
        <v>763</v>
      </c>
      <c r="BD266" s="4">
        <v>811</v>
      </c>
      <c r="BE266" s="4">
        <v>799</v>
      </c>
      <c r="BF266" s="4">
        <v>895</v>
      </c>
      <c r="BG266" s="4">
        <v>958</v>
      </c>
      <c r="BH266" s="4">
        <v>808</v>
      </c>
      <c r="BI266" s="4">
        <v>757</v>
      </c>
      <c r="BJ266" s="4">
        <v>780</v>
      </c>
      <c r="BK266" s="4">
        <v>680</v>
      </c>
      <c r="BL266" s="4">
        <v>664</v>
      </c>
      <c r="BM266" s="4">
        <v>627</v>
      </c>
      <c r="BN266" s="4">
        <v>643</v>
      </c>
      <c r="BO266" s="4">
        <v>543</v>
      </c>
      <c r="BP266" s="4">
        <v>535</v>
      </c>
    </row>
    <row r="267" spans="1:68">
      <c r="A267" s="65" t="s">
        <v>480</v>
      </c>
      <c r="B267" s="4" t="str">
        <f>銘柄管理!C267</f>
        <v/>
      </c>
      <c r="C267" s="4" t="str">
        <f>_xll.RssMarket("6356","現在値")</f>
        <v/>
      </c>
      <c r="D267" s="4" t="e">
        <f t="shared" si="7"/>
        <v>#VALUE!</v>
      </c>
      <c r="E267" s="4">
        <v>1410</v>
      </c>
      <c r="F267" s="4">
        <v>1578</v>
      </c>
      <c r="G267" s="4">
        <v>1571</v>
      </c>
      <c r="H267" s="4">
        <v>1500</v>
      </c>
      <c r="I267" s="4">
        <v>1489</v>
      </c>
      <c r="J267" s="4">
        <v>1500</v>
      </c>
      <c r="K267" s="4">
        <v>1575</v>
      </c>
      <c r="L267" s="4">
        <v>1747</v>
      </c>
      <c r="M267" s="4">
        <v>1647</v>
      </c>
      <c r="N267" s="4">
        <v>1527</v>
      </c>
      <c r="O267" s="4">
        <v>1480</v>
      </c>
      <c r="P267" s="4">
        <v>1490</v>
      </c>
      <c r="Q267" s="4">
        <v>1499</v>
      </c>
      <c r="R267" s="4">
        <v>1460</v>
      </c>
      <c r="S267" s="4">
        <v>1516</v>
      </c>
      <c r="T267" s="4">
        <v>1490</v>
      </c>
      <c r="U267" s="4">
        <v>1452</v>
      </c>
      <c r="V267" s="4">
        <v>1585</v>
      </c>
      <c r="W267" s="4">
        <v>1495</v>
      </c>
      <c r="X267" s="4">
        <v>1630</v>
      </c>
      <c r="Y267" s="4">
        <v>1378</v>
      </c>
      <c r="Z267" s="4">
        <v>1416</v>
      </c>
      <c r="AA267" s="4">
        <v>1378</v>
      </c>
      <c r="AB267" s="4">
        <v>1425</v>
      </c>
      <c r="AC267" s="4">
        <v>1499</v>
      </c>
      <c r="AD267" s="4">
        <v>1604</v>
      </c>
      <c r="AE267" s="4">
        <v>1455</v>
      </c>
      <c r="AF267" s="4">
        <v>1488</v>
      </c>
      <c r="AG267" s="4">
        <v>1457</v>
      </c>
      <c r="AH267" s="4">
        <v>1492</v>
      </c>
      <c r="AI267" s="4">
        <v>1660</v>
      </c>
      <c r="AJ267" s="4">
        <v>1690</v>
      </c>
      <c r="AK267" s="4">
        <v>1720</v>
      </c>
      <c r="AL267" s="4">
        <v>1560</v>
      </c>
      <c r="AM267" s="4">
        <v>1502</v>
      </c>
      <c r="AN267" s="4">
        <v>1355</v>
      </c>
      <c r="AO267" s="4">
        <v>1373</v>
      </c>
      <c r="AP267" s="4">
        <v>1415</v>
      </c>
      <c r="AQ267" s="4">
        <v>1449</v>
      </c>
      <c r="AR267" s="4">
        <v>1410</v>
      </c>
      <c r="AS267" s="4">
        <v>1438</v>
      </c>
      <c r="AT267" s="4">
        <v>1403</v>
      </c>
      <c r="AU267" s="4">
        <v>1523</v>
      </c>
      <c r="AV267" s="4">
        <v>1517</v>
      </c>
      <c r="AW267" s="4">
        <v>1489</v>
      </c>
      <c r="AX267" s="4">
        <v>1481</v>
      </c>
      <c r="AY267" s="4">
        <v>1501</v>
      </c>
      <c r="AZ267" s="4">
        <v>1586</v>
      </c>
      <c r="BA267" s="4">
        <v>1685</v>
      </c>
      <c r="BB267" s="4">
        <v>1640</v>
      </c>
      <c r="BC267" s="4">
        <v>1666</v>
      </c>
      <c r="BD267" s="4">
        <v>1526</v>
      </c>
      <c r="BE267" s="4">
        <v>1226</v>
      </c>
      <c r="BF267" s="4">
        <v>1277</v>
      </c>
      <c r="BG267" s="4">
        <v>1304</v>
      </c>
      <c r="BH267" s="4">
        <v>1333</v>
      </c>
      <c r="BI267" s="4">
        <v>1328</v>
      </c>
      <c r="BJ267" s="4">
        <v>1277</v>
      </c>
      <c r="BK267" s="4">
        <v>1281</v>
      </c>
      <c r="BL267" s="4">
        <v>1305</v>
      </c>
      <c r="BM267" s="4">
        <v>1238</v>
      </c>
      <c r="BN267" s="4">
        <v>1301</v>
      </c>
      <c r="BO267" s="4">
        <v>1304</v>
      </c>
    </row>
    <row r="268" spans="1:68">
      <c r="A268" s="65" t="s">
        <v>481</v>
      </c>
      <c r="B268" s="4" t="str">
        <f>銘柄管理!C268</f>
        <v/>
      </c>
      <c r="C268" s="4" t="str">
        <f>_xll.RssMarket("7711","現在値")</f>
        <v/>
      </c>
      <c r="D268" s="4" t="e">
        <f t="shared" si="7"/>
        <v>#VALUE!</v>
      </c>
      <c r="E268" s="4">
        <v>4455</v>
      </c>
      <c r="F268" s="4">
        <v>5130</v>
      </c>
      <c r="G268" s="4">
        <v>5030</v>
      </c>
      <c r="H268" s="4">
        <v>4780</v>
      </c>
      <c r="I268" s="4">
        <v>4730</v>
      </c>
      <c r="J268" s="4">
        <v>4635</v>
      </c>
      <c r="K268" s="4">
        <v>4850</v>
      </c>
      <c r="L268" s="4">
        <v>5150</v>
      </c>
      <c r="M268" s="4">
        <v>5030</v>
      </c>
      <c r="N268" s="4">
        <v>4810</v>
      </c>
      <c r="O268" s="4">
        <v>4840</v>
      </c>
      <c r="P268" s="4">
        <v>4910</v>
      </c>
      <c r="Q268" s="4">
        <v>4905</v>
      </c>
      <c r="R268" s="4">
        <v>5060</v>
      </c>
      <c r="S268" s="4">
        <v>5030</v>
      </c>
      <c r="T268" s="4">
        <v>5050</v>
      </c>
      <c r="U268" s="4">
        <v>5500</v>
      </c>
      <c r="V268" s="4">
        <v>5490</v>
      </c>
      <c r="W268" s="4">
        <v>5650</v>
      </c>
      <c r="X268" s="4">
        <v>4945</v>
      </c>
      <c r="Y268" s="4">
        <v>4825</v>
      </c>
      <c r="Z268" s="4">
        <v>4635</v>
      </c>
      <c r="AA268" s="4">
        <v>4710</v>
      </c>
      <c r="AB268" s="4">
        <v>5050</v>
      </c>
      <c r="AC268" s="4">
        <v>5490</v>
      </c>
      <c r="AD268" s="4">
        <v>5060</v>
      </c>
      <c r="AE268" s="4">
        <v>5140</v>
      </c>
      <c r="AF268" s="4">
        <v>5200</v>
      </c>
      <c r="AG268" s="4">
        <v>5280</v>
      </c>
      <c r="AH268" s="4">
        <v>5360</v>
      </c>
      <c r="AI268" s="4">
        <v>5380</v>
      </c>
      <c r="AJ268" s="4">
        <v>5480</v>
      </c>
      <c r="AK268" s="4">
        <v>5420</v>
      </c>
      <c r="AL268" s="4">
        <v>5360</v>
      </c>
      <c r="AM268" s="4">
        <v>5080</v>
      </c>
      <c r="AN268" s="4">
        <v>5020</v>
      </c>
      <c r="AO268" s="4">
        <v>5180</v>
      </c>
      <c r="AP268" s="4">
        <v>5310</v>
      </c>
      <c r="AQ268" s="4">
        <v>5420</v>
      </c>
      <c r="AR268" s="4">
        <v>5370</v>
      </c>
      <c r="AS268" s="4">
        <v>5650</v>
      </c>
      <c r="AT268" s="4">
        <v>5620</v>
      </c>
      <c r="AU268" s="4">
        <v>5820</v>
      </c>
      <c r="AV268" s="4">
        <v>6000</v>
      </c>
      <c r="AW268" s="4">
        <v>6200</v>
      </c>
      <c r="AX268" s="4">
        <v>5920</v>
      </c>
      <c r="AY268" s="4">
        <v>6000</v>
      </c>
      <c r="AZ268" s="4">
        <v>6130</v>
      </c>
      <c r="BA268" s="4">
        <v>6170</v>
      </c>
      <c r="BB268" s="4">
        <v>6350</v>
      </c>
      <c r="BC268" s="4">
        <v>6600</v>
      </c>
      <c r="BD268" s="4">
        <v>6280</v>
      </c>
      <c r="BE268" s="4">
        <v>6320</v>
      </c>
      <c r="BF268" s="4">
        <v>6350</v>
      </c>
      <c r="BG268" s="4">
        <v>6280</v>
      </c>
      <c r="BH268" s="4">
        <v>6340</v>
      </c>
      <c r="BI268" s="4">
        <v>6110</v>
      </c>
      <c r="BJ268" s="4">
        <v>6250</v>
      </c>
      <c r="BK268" s="4">
        <v>6260</v>
      </c>
      <c r="BL268" s="4">
        <v>6240</v>
      </c>
      <c r="BM268" s="4">
        <v>6410</v>
      </c>
      <c r="BN268" s="4">
        <v>6700</v>
      </c>
      <c r="BO268" s="4">
        <v>6250</v>
      </c>
      <c r="BP268" s="4">
        <v>6450</v>
      </c>
    </row>
    <row r="269" spans="1:68">
      <c r="A269" s="65" t="s">
        <v>482</v>
      </c>
      <c r="B269" s="4" t="str">
        <f>銘柄管理!C269</f>
        <v/>
      </c>
      <c r="C269" s="4" t="str">
        <f>_xll.RssMarket("6376","現在値")</f>
        <v/>
      </c>
      <c r="D269" s="4" t="e">
        <f t="shared" si="7"/>
        <v>#VALUE!</v>
      </c>
      <c r="E269" s="4">
        <v>3820</v>
      </c>
      <c r="F269" s="4">
        <v>3895</v>
      </c>
      <c r="G269" s="4">
        <v>3785</v>
      </c>
      <c r="H269" s="4">
        <v>3605</v>
      </c>
      <c r="I269" s="4">
        <v>3700</v>
      </c>
      <c r="J269" s="4">
        <v>3715</v>
      </c>
      <c r="K269" s="4">
        <v>3730</v>
      </c>
      <c r="L269" s="4">
        <v>4070</v>
      </c>
      <c r="M269" s="4">
        <v>4060</v>
      </c>
      <c r="N269" s="4">
        <v>3930</v>
      </c>
      <c r="O269" s="4">
        <v>3890</v>
      </c>
      <c r="P269" s="4">
        <v>4050</v>
      </c>
      <c r="Q269" s="4">
        <v>4155</v>
      </c>
      <c r="R269" s="4">
        <v>4230</v>
      </c>
      <c r="S269" s="4">
        <v>4160</v>
      </c>
      <c r="T269" s="4">
        <v>4030</v>
      </c>
      <c r="U269" s="4">
        <v>4025</v>
      </c>
      <c r="V269" s="4">
        <v>4090</v>
      </c>
      <c r="W269" s="4">
        <v>3880</v>
      </c>
      <c r="X269" s="4">
        <v>3855</v>
      </c>
      <c r="Y269" s="4">
        <v>3715</v>
      </c>
      <c r="Z269" s="4">
        <v>3600</v>
      </c>
      <c r="AA269" s="4">
        <v>3570</v>
      </c>
      <c r="AB269" s="4">
        <v>3280</v>
      </c>
      <c r="AC269" s="4">
        <v>3330</v>
      </c>
      <c r="AD269" s="4">
        <v>3195</v>
      </c>
      <c r="AE269" s="4">
        <v>3140</v>
      </c>
      <c r="AF269" s="4">
        <v>3125</v>
      </c>
      <c r="AG269" s="4">
        <v>3225</v>
      </c>
      <c r="AH269" s="4">
        <v>3105</v>
      </c>
      <c r="AI269" s="4">
        <v>3240</v>
      </c>
      <c r="AJ269" s="4">
        <v>3280</v>
      </c>
      <c r="AK269" s="4">
        <v>3450</v>
      </c>
      <c r="AL269" s="4">
        <v>3205</v>
      </c>
      <c r="AM269" s="4">
        <v>3000</v>
      </c>
      <c r="AN269" s="4">
        <v>2861</v>
      </c>
      <c r="AO269" s="4">
        <v>2887</v>
      </c>
      <c r="AP269" s="4">
        <v>2991</v>
      </c>
      <c r="AQ269" s="4">
        <v>2911</v>
      </c>
      <c r="AR269" s="4">
        <v>2682</v>
      </c>
      <c r="AS269" s="4">
        <v>2660</v>
      </c>
      <c r="AT269" s="4">
        <v>2648</v>
      </c>
      <c r="AU269" s="4">
        <v>2641</v>
      </c>
      <c r="AV269" s="4">
        <v>2650</v>
      </c>
      <c r="AW269" s="4">
        <v>2644</v>
      </c>
      <c r="AX269" s="4">
        <v>2634</v>
      </c>
      <c r="AY269" s="4">
        <v>2658</v>
      </c>
      <c r="AZ269" s="4">
        <v>2634</v>
      </c>
      <c r="BA269" s="4">
        <v>2589</v>
      </c>
      <c r="BB269" s="4">
        <v>2644</v>
      </c>
      <c r="BC269" s="4">
        <v>2576</v>
      </c>
      <c r="BD269" s="4">
        <v>2563</v>
      </c>
      <c r="BE269" s="4">
        <v>2573</v>
      </c>
      <c r="BF269" s="4">
        <v>2629</v>
      </c>
      <c r="BG269" s="4">
        <v>2657</v>
      </c>
      <c r="BH269" s="4">
        <v>2719</v>
      </c>
      <c r="BI269" s="4">
        <v>2773</v>
      </c>
      <c r="BJ269" s="4">
        <v>2816</v>
      </c>
      <c r="BK269" s="4">
        <v>2840</v>
      </c>
      <c r="BL269" s="4">
        <v>2820</v>
      </c>
      <c r="BM269" s="4">
        <v>2726</v>
      </c>
      <c r="BN269" s="4">
        <v>2728</v>
      </c>
      <c r="BO269" s="4">
        <v>2664</v>
      </c>
      <c r="BP269" s="4">
        <v>2660</v>
      </c>
    </row>
    <row r="270" spans="1:68">
      <c r="A270" s="65" t="s">
        <v>483</v>
      </c>
      <c r="B270" s="4" t="str">
        <f>銘柄管理!C270</f>
        <v/>
      </c>
      <c r="C270" s="4" t="str">
        <f>_xll.RssMarket("9115","現在値")</f>
        <v/>
      </c>
      <c r="D270" s="4" t="e">
        <f t="shared" si="7"/>
        <v>#VALUE!</v>
      </c>
      <c r="E270" s="4">
        <v>821</v>
      </c>
      <c r="F270" s="4">
        <v>853</v>
      </c>
      <c r="G270" s="4">
        <v>834</v>
      </c>
      <c r="H270" s="4">
        <v>811</v>
      </c>
      <c r="I270" s="4">
        <v>809</v>
      </c>
      <c r="J270" s="4">
        <v>845</v>
      </c>
      <c r="K270" s="4">
        <v>819</v>
      </c>
      <c r="L270" s="4">
        <v>849</v>
      </c>
      <c r="M270" s="4">
        <v>839</v>
      </c>
      <c r="N270" s="4">
        <v>818</v>
      </c>
      <c r="O270" s="4">
        <v>801</v>
      </c>
      <c r="P270" s="4">
        <v>811</v>
      </c>
      <c r="Q270" s="4">
        <v>800</v>
      </c>
      <c r="R270" s="4">
        <v>798</v>
      </c>
      <c r="S270" s="4">
        <v>790</v>
      </c>
      <c r="T270" s="4">
        <v>802</v>
      </c>
      <c r="U270" s="4">
        <v>759</v>
      </c>
      <c r="V270" s="4">
        <v>768</v>
      </c>
      <c r="W270" s="4">
        <v>805</v>
      </c>
      <c r="X270" s="4">
        <v>826</v>
      </c>
      <c r="Y270" s="4">
        <v>848</v>
      </c>
      <c r="Z270" s="4">
        <v>899</v>
      </c>
      <c r="AA270" s="4">
        <v>904</v>
      </c>
      <c r="AB270" s="4">
        <v>973</v>
      </c>
      <c r="AC270" s="4">
        <v>981</v>
      </c>
      <c r="AD270" s="4">
        <v>999</v>
      </c>
      <c r="AE270" s="4">
        <v>1020</v>
      </c>
      <c r="AF270" s="4">
        <v>1036</v>
      </c>
      <c r="AG270" s="4">
        <v>1047</v>
      </c>
      <c r="AH270" s="4">
        <v>1110</v>
      </c>
      <c r="AI270" s="4">
        <v>1137</v>
      </c>
      <c r="AJ270" s="4">
        <v>1143</v>
      </c>
      <c r="AK270" s="4">
        <v>1162</v>
      </c>
      <c r="AL270" s="4">
        <v>1152</v>
      </c>
      <c r="AM270" s="4">
        <v>1130</v>
      </c>
      <c r="AN270" s="4">
        <v>1103</v>
      </c>
      <c r="AO270" s="4">
        <v>1176</v>
      </c>
      <c r="AP270" s="4">
        <v>1218</v>
      </c>
      <c r="AQ270" s="4">
        <v>1227</v>
      </c>
      <c r="AR270" s="4">
        <v>1196</v>
      </c>
      <c r="AS270" s="4">
        <v>1208</v>
      </c>
      <c r="AT270" s="4">
        <v>1216</v>
      </c>
      <c r="AU270" s="4">
        <v>1272</v>
      </c>
      <c r="AV270" s="4">
        <v>1244</v>
      </c>
      <c r="AW270" s="4">
        <v>1329</v>
      </c>
      <c r="AX270" s="4">
        <v>1294</v>
      </c>
      <c r="AY270" s="4">
        <v>1274</v>
      </c>
      <c r="AZ270" s="4">
        <v>1249</v>
      </c>
      <c r="BA270" s="4">
        <v>1180</v>
      </c>
      <c r="BB270" s="4">
        <v>1175</v>
      </c>
      <c r="BC270" s="4">
        <v>1178</v>
      </c>
      <c r="BD270" s="4">
        <v>1214</v>
      </c>
      <c r="BE270" s="4">
        <v>1267</v>
      </c>
      <c r="BF270" s="4">
        <v>1282</v>
      </c>
      <c r="BG270" s="4">
        <v>1241</v>
      </c>
      <c r="BH270" s="4">
        <v>1285</v>
      </c>
      <c r="BI270" s="4">
        <v>1289</v>
      </c>
      <c r="BJ270" s="4">
        <v>1303</v>
      </c>
      <c r="BK270" s="4">
        <v>1290</v>
      </c>
      <c r="BL270" s="4">
        <v>1269</v>
      </c>
      <c r="BM270" s="4">
        <v>1275</v>
      </c>
      <c r="BN270" s="4">
        <v>1259</v>
      </c>
      <c r="BO270" s="4">
        <v>1232</v>
      </c>
      <c r="BP270" s="4">
        <v>1352</v>
      </c>
    </row>
    <row r="271" spans="1:68">
      <c r="A271" s="65" t="s">
        <v>484</v>
      </c>
      <c r="B271" s="4" t="str">
        <f>銘柄管理!C271</f>
        <v/>
      </c>
      <c r="C271" s="4" t="str">
        <f>_xll.RssMarket("3864","現在値")</f>
        <v/>
      </c>
      <c r="D271" s="4" t="e">
        <f t="shared" si="7"/>
        <v>#VALUE!</v>
      </c>
      <c r="E271" s="4">
        <v>1092</v>
      </c>
      <c r="F271" s="4">
        <v>1108</v>
      </c>
      <c r="G271" s="4">
        <v>1080</v>
      </c>
      <c r="H271" s="4">
        <v>1055</v>
      </c>
      <c r="I271" s="4">
        <v>1001</v>
      </c>
      <c r="J271" s="4">
        <v>1009</v>
      </c>
      <c r="K271" s="4">
        <v>1013</v>
      </c>
      <c r="L271" s="4">
        <v>1016</v>
      </c>
      <c r="M271" s="4">
        <v>1015</v>
      </c>
      <c r="N271" s="4">
        <v>1008</v>
      </c>
      <c r="O271" s="4">
        <v>1005</v>
      </c>
      <c r="P271" s="4">
        <v>1012</v>
      </c>
      <c r="Q271" s="4">
        <v>1015</v>
      </c>
      <c r="R271" s="4">
        <v>1039</v>
      </c>
      <c r="S271" s="4">
        <v>1034</v>
      </c>
      <c r="T271" s="4">
        <v>1029</v>
      </c>
      <c r="U271" s="4">
        <v>1035</v>
      </c>
      <c r="V271" s="4">
        <v>1032</v>
      </c>
      <c r="W271" s="4">
        <v>1059</v>
      </c>
      <c r="X271" s="4">
        <v>1074</v>
      </c>
      <c r="Y271" s="4">
        <v>1061</v>
      </c>
      <c r="Z271" s="4">
        <v>1054</v>
      </c>
      <c r="AA271" s="4">
        <v>1074</v>
      </c>
      <c r="AB271" s="4">
        <v>1052</v>
      </c>
      <c r="AC271" s="4">
        <v>1061</v>
      </c>
      <c r="AD271" s="4">
        <v>1040</v>
      </c>
      <c r="AE271" s="4">
        <v>1060</v>
      </c>
      <c r="AF271" s="4">
        <v>1045</v>
      </c>
      <c r="AG271" s="4">
        <v>1055</v>
      </c>
      <c r="AH271" s="4">
        <v>1100</v>
      </c>
      <c r="AI271" s="4">
        <v>1131</v>
      </c>
      <c r="AJ271" s="4">
        <v>1096</v>
      </c>
      <c r="AK271" s="4">
        <v>1088</v>
      </c>
      <c r="AL271" s="4">
        <v>1095</v>
      </c>
      <c r="AM271" s="4">
        <v>1090</v>
      </c>
      <c r="AN271" s="4">
        <v>1034</v>
      </c>
      <c r="AO271" s="4">
        <v>1018</v>
      </c>
      <c r="AP271" s="4">
        <v>1036</v>
      </c>
      <c r="AQ271" s="4">
        <v>1009</v>
      </c>
      <c r="AR271" s="4">
        <v>928</v>
      </c>
      <c r="AS271" s="4">
        <v>913</v>
      </c>
      <c r="AT271" s="4">
        <v>916</v>
      </c>
      <c r="AU271" s="4">
        <v>935</v>
      </c>
      <c r="AV271" s="4">
        <v>944</v>
      </c>
      <c r="AW271" s="4">
        <v>934</v>
      </c>
      <c r="AX271" s="4">
        <v>928</v>
      </c>
      <c r="AY271" s="4">
        <v>932</v>
      </c>
      <c r="AZ271" s="4">
        <v>937</v>
      </c>
      <c r="BA271" s="4">
        <v>936</v>
      </c>
      <c r="BB271" s="4">
        <v>959</v>
      </c>
      <c r="BC271" s="4">
        <v>951</v>
      </c>
      <c r="BD271" s="4">
        <v>959</v>
      </c>
      <c r="BE271" s="4">
        <v>978</v>
      </c>
      <c r="BF271" s="4">
        <v>972</v>
      </c>
      <c r="BG271" s="4">
        <v>990</v>
      </c>
      <c r="BH271" s="4">
        <v>982</v>
      </c>
      <c r="BI271" s="4">
        <v>951</v>
      </c>
      <c r="BJ271" s="4">
        <v>927</v>
      </c>
      <c r="BK271" s="4">
        <v>921</v>
      </c>
      <c r="BL271" s="4">
        <v>895</v>
      </c>
      <c r="BM271" s="4">
        <v>895</v>
      </c>
      <c r="BN271" s="4">
        <v>892</v>
      </c>
      <c r="BO271" s="4">
        <v>876</v>
      </c>
      <c r="BP271" s="4">
        <v>856</v>
      </c>
    </row>
    <row r="272" spans="1:68">
      <c r="A272" s="65" t="s">
        <v>485</v>
      </c>
      <c r="B272" s="4" t="str">
        <f>銘柄管理!C272</f>
        <v/>
      </c>
      <c r="C272" s="4" t="str">
        <f>_xll.RssMarket("6997","現在値")</f>
        <v/>
      </c>
      <c r="D272" s="4" t="e">
        <f t="shared" si="7"/>
        <v>#VALUE!</v>
      </c>
      <c r="E272" s="4">
        <v>3160</v>
      </c>
      <c r="F272" s="4">
        <v>3700</v>
      </c>
      <c r="G272" s="4">
        <v>3665</v>
      </c>
      <c r="H272" s="4">
        <v>3655</v>
      </c>
      <c r="I272" s="4">
        <v>3965</v>
      </c>
      <c r="J272" s="4">
        <v>3920</v>
      </c>
      <c r="K272" s="4">
        <v>5020</v>
      </c>
      <c r="L272" s="4">
        <v>5570</v>
      </c>
      <c r="M272" s="4">
        <v>5140</v>
      </c>
      <c r="N272" s="4">
        <v>5790</v>
      </c>
      <c r="O272" s="4">
        <v>5490</v>
      </c>
      <c r="P272" s="4">
        <v>5590</v>
      </c>
      <c r="Q272" s="4">
        <v>5980</v>
      </c>
      <c r="R272" s="4">
        <v>5360</v>
      </c>
      <c r="S272" s="4">
        <v>5340</v>
      </c>
      <c r="T272" s="4">
        <v>5810</v>
      </c>
      <c r="U272" s="4">
        <v>5670</v>
      </c>
      <c r="V272" s="4">
        <v>5240</v>
      </c>
      <c r="W272" s="4">
        <v>4540</v>
      </c>
      <c r="X272" s="4">
        <v>4175</v>
      </c>
      <c r="Y272" s="4">
        <v>4110</v>
      </c>
      <c r="Z272" s="4">
        <v>4245</v>
      </c>
      <c r="AA272" s="4">
        <v>4535</v>
      </c>
      <c r="AB272" s="4">
        <v>4980</v>
      </c>
      <c r="AC272" s="4">
        <v>4945</v>
      </c>
      <c r="AD272" s="4">
        <v>4840</v>
      </c>
      <c r="AE272" s="4">
        <v>4785</v>
      </c>
      <c r="AF272" s="4">
        <v>5620</v>
      </c>
      <c r="AG272" s="4">
        <v>5080</v>
      </c>
      <c r="AH272" s="4">
        <v>4380</v>
      </c>
      <c r="AI272" s="4">
        <v>3865</v>
      </c>
      <c r="AJ272" s="4">
        <v>4065</v>
      </c>
      <c r="AK272" s="4">
        <v>3365</v>
      </c>
      <c r="AL272" s="4">
        <v>2923</v>
      </c>
      <c r="AM272" s="4">
        <v>2991</v>
      </c>
      <c r="AN272" s="4">
        <v>3055</v>
      </c>
      <c r="AO272" s="4">
        <v>2944</v>
      </c>
      <c r="AP272" s="4">
        <v>2996</v>
      </c>
      <c r="AQ272" s="4">
        <v>3415</v>
      </c>
      <c r="AR272" s="4">
        <v>3180</v>
      </c>
      <c r="AS272" s="4">
        <v>3200</v>
      </c>
      <c r="AT272" s="4">
        <v>3170</v>
      </c>
      <c r="AU272" s="4">
        <v>3160</v>
      </c>
      <c r="AV272" s="4">
        <v>2960</v>
      </c>
      <c r="AW272" s="4">
        <v>2651</v>
      </c>
      <c r="AX272" s="4">
        <v>2660</v>
      </c>
      <c r="AY272" s="4">
        <v>2462</v>
      </c>
      <c r="AZ272" s="4">
        <v>2321</v>
      </c>
      <c r="BA272" s="4">
        <v>2295</v>
      </c>
      <c r="BB272" s="4">
        <v>2243</v>
      </c>
      <c r="BC272" s="4">
        <v>2450</v>
      </c>
      <c r="BD272" s="4">
        <v>2354</v>
      </c>
      <c r="BE272" s="4">
        <v>2384</v>
      </c>
      <c r="BF272" s="4">
        <v>2243</v>
      </c>
      <c r="BG272" s="4">
        <v>2265</v>
      </c>
      <c r="BH272" s="4">
        <v>2055</v>
      </c>
      <c r="BI272" s="4">
        <v>1942</v>
      </c>
      <c r="BJ272" s="4">
        <v>1762</v>
      </c>
      <c r="BK272" s="4">
        <v>1660</v>
      </c>
      <c r="BL272" s="4">
        <v>1646</v>
      </c>
      <c r="BM272" s="4">
        <v>1668</v>
      </c>
      <c r="BN272" s="4">
        <v>1504</v>
      </c>
      <c r="BO272" s="4">
        <v>1487</v>
      </c>
      <c r="BP272" s="4">
        <v>1474</v>
      </c>
    </row>
    <row r="273" spans="1:68">
      <c r="A273" s="65" t="s">
        <v>486</v>
      </c>
      <c r="B273" s="4" t="str">
        <f>銘柄管理!C273</f>
        <v/>
      </c>
      <c r="C273" s="4" t="str">
        <f>_xll.RssMarket("4544","現在値")</f>
        <v/>
      </c>
      <c r="D273" s="4" t="e">
        <f t="shared" si="7"/>
        <v>#VALUE!</v>
      </c>
      <c r="E273" s="4">
        <v>3388</v>
      </c>
      <c r="F273" s="4">
        <v>3375</v>
      </c>
      <c r="G273" s="4">
        <v>3352</v>
      </c>
      <c r="H273" s="4">
        <v>3344</v>
      </c>
      <c r="I273" s="4">
        <v>3381</v>
      </c>
      <c r="J273" s="4">
        <v>3347</v>
      </c>
      <c r="K273" s="4">
        <v>3478</v>
      </c>
      <c r="L273" s="4">
        <v>3436</v>
      </c>
      <c r="M273" s="4">
        <v>3391</v>
      </c>
      <c r="N273" s="4">
        <v>3389</v>
      </c>
      <c r="O273" s="4">
        <v>3258</v>
      </c>
      <c r="P273" s="4">
        <v>3295</v>
      </c>
      <c r="Q273" s="4">
        <v>3288</v>
      </c>
      <c r="R273" s="4">
        <v>3244</v>
      </c>
      <c r="S273" s="4">
        <v>3198</v>
      </c>
      <c r="T273" s="4">
        <v>3157</v>
      </c>
      <c r="U273" s="4">
        <v>3148</v>
      </c>
      <c r="V273" s="4">
        <v>3173</v>
      </c>
      <c r="W273" s="4">
        <v>3136</v>
      </c>
      <c r="X273" s="4">
        <v>3190</v>
      </c>
      <c r="Y273" s="4">
        <v>3251</v>
      </c>
      <c r="Z273" s="4">
        <v>3392</v>
      </c>
      <c r="AA273" s="4">
        <v>3411</v>
      </c>
      <c r="AB273" s="4">
        <v>3462</v>
      </c>
      <c r="AC273" s="4">
        <v>3343</v>
      </c>
      <c r="AD273" s="4">
        <v>3357</v>
      </c>
      <c r="AE273" s="4">
        <v>3298</v>
      </c>
      <c r="AF273" s="4">
        <v>3302</v>
      </c>
      <c r="AG273" s="4">
        <v>3139</v>
      </c>
      <c r="AH273" s="4">
        <v>3186</v>
      </c>
      <c r="AI273" s="4">
        <v>3117</v>
      </c>
      <c r="AJ273" s="4">
        <v>3146</v>
      </c>
      <c r="AK273" s="4">
        <v>3140</v>
      </c>
      <c r="AL273" s="4">
        <v>3195</v>
      </c>
      <c r="AM273" s="4">
        <v>3193</v>
      </c>
      <c r="AN273" s="4">
        <v>3168</v>
      </c>
      <c r="AO273" s="4">
        <v>3240</v>
      </c>
      <c r="AP273" s="4">
        <v>3226</v>
      </c>
      <c r="AQ273" s="4">
        <v>3174</v>
      </c>
      <c r="AR273" s="4">
        <v>3228</v>
      </c>
      <c r="AS273" s="4">
        <v>3228</v>
      </c>
      <c r="AT273" s="4">
        <v>3135</v>
      </c>
      <c r="AU273" s="4">
        <v>3093</v>
      </c>
      <c r="AV273" s="4">
        <v>3112</v>
      </c>
      <c r="AW273" s="4">
        <v>3122</v>
      </c>
      <c r="AX273" s="4">
        <v>3134</v>
      </c>
      <c r="AY273" s="4">
        <v>3100</v>
      </c>
      <c r="AZ273" s="4">
        <v>3111</v>
      </c>
      <c r="BA273" s="4">
        <v>3192</v>
      </c>
      <c r="BB273" s="4">
        <v>3258</v>
      </c>
      <c r="BC273" s="4">
        <v>3190</v>
      </c>
      <c r="BD273" s="4">
        <v>3176</v>
      </c>
      <c r="BE273" s="4">
        <v>3169</v>
      </c>
      <c r="BF273" s="4">
        <v>3121</v>
      </c>
      <c r="BG273" s="4">
        <v>3170</v>
      </c>
      <c r="BH273" s="4">
        <v>3147</v>
      </c>
      <c r="BI273" s="4">
        <v>3183</v>
      </c>
      <c r="BJ273" s="4">
        <v>3166</v>
      </c>
      <c r="BK273" s="4">
        <v>3133</v>
      </c>
      <c r="BL273" s="4">
        <v>3126</v>
      </c>
      <c r="BM273" s="4">
        <v>3122</v>
      </c>
      <c r="BN273" s="4">
        <v>3209</v>
      </c>
      <c r="BO273" s="4">
        <v>3243</v>
      </c>
      <c r="BP273" s="4">
        <v>3225</v>
      </c>
    </row>
    <row r="274" spans="1:68">
      <c r="A274" s="65" t="s">
        <v>487</v>
      </c>
      <c r="B274" s="4" t="str">
        <f>銘柄管理!C274</f>
        <v/>
      </c>
      <c r="C274" s="4" t="str">
        <f>_xll.RssMarket("6848","現在値")</f>
        <v/>
      </c>
      <c r="D274" s="4" t="e">
        <f t="shared" ref="D274:D305" si="8">C274-E274</f>
        <v>#VALUE!</v>
      </c>
      <c r="E274" s="4">
        <v>851</v>
      </c>
      <c r="F274" s="4">
        <v>855</v>
      </c>
      <c r="G274" s="4">
        <v>854</v>
      </c>
      <c r="H274" s="4">
        <v>859</v>
      </c>
      <c r="I274" s="4">
        <v>851</v>
      </c>
      <c r="J274" s="4">
        <v>850</v>
      </c>
      <c r="K274" s="4">
        <v>854</v>
      </c>
      <c r="L274" s="4">
        <v>866</v>
      </c>
      <c r="M274" s="4">
        <v>864</v>
      </c>
      <c r="N274" s="4">
        <v>851</v>
      </c>
      <c r="O274" s="4">
        <v>854</v>
      </c>
      <c r="P274" s="4">
        <v>873</v>
      </c>
      <c r="Q274" s="4">
        <v>859</v>
      </c>
      <c r="R274" s="4">
        <v>858</v>
      </c>
      <c r="S274" s="4">
        <v>856</v>
      </c>
      <c r="T274" s="4">
        <v>857</v>
      </c>
      <c r="U274" s="4">
        <v>864</v>
      </c>
      <c r="V274" s="4">
        <v>885</v>
      </c>
      <c r="W274" s="4">
        <v>852</v>
      </c>
      <c r="X274" s="4">
        <v>864</v>
      </c>
      <c r="Y274" s="4">
        <v>855</v>
      </c>
      <c r="Z274" s="4">
        <v>851</v>
      </c>
      <c r="AA274" s="4">
        <v>878</v>
      </c>
      <c r="AB274" s="4">
        <v>850</v>
      </c>
      <c r="AC274" s="4">
        <v>854</v>
      </c>
      <c r="AD274" s="4">
        <v>871</v>
      </c>
      <c r="AE274" s="4">
        <v>852</v>
      </c>
      <c r="AF274" s="4">
        <v>861</v>
      </c>
      <c r="AG274" s="4">
        <v>869</v>
      </c>
      <c r="AH274" s="4">
        <v>858</v>
      </c>
      <c r="AI274" s="4">
        <v>855</v>
      </c>
      <c r="AJ274" s="4">
        <v>854</v>
      </c>
      <c r="AK274" s="4">
        <v>853</v>
      </c>
      <c r="AL274" s="4">
        <v>864</v>
      </c>
      <c r="AM274" s="4">
        <v>862</v>
      </c>
      <c r="AN274" s="4">
        <v>843</v>
      </c>
      <c r="AO274" s="4">
        <v>869</v>
      </c>
      <c r="AP274" s="4">
        <v>873</v>
      </c>
      <c r="AQ274" s="4">
        <v>858</v>
      </c>
      <c r="AR274" s="4">
        <v>870</v>
      </c>
      <c r="AS274" s="4">
        <v>877</v>
      </c>
      <c r="AT274" s="4">
        <v>869</v>
      </c>
      <c r="AU274" s="4">
        <v>869</v>
      </c>
      <c r="AV274" s="4">
        <v>872</v>
      </c>
      <c r="AW274" s="4">
        <v>870</v>
      </c>
      <c r="AX274" s="4">
        <v>862</v>
      </c>
      <c r="AY274" s="4">
        <v>871</v>
      </c>
      <c r="AZ274" s="4">
        <v>876</v>
      </c>
      <c r="BA274" s="4">
        <v>870</v>
      </c>
      <c r="BB274" s="4">
        <v>881</v>
      </c>
      <c r="BC274" s="4">
        <v>874</v>
      </c>
      <c r="BD274" s="4">
        <v>878</v>
      </c>
      <c r="BE274" s="4">
        <v>879</v>
      </c>
      <c r="BF274" s="4">
        <v>879</v>
      </c>
      <c r="BG274" s="4">
        <v>877</v>
      </c>
      <c r="BH274" s="4">
        <v>869</v>
      </c>
      <c r="BI274" s="4">
        <v>870</v>
      </c>
      <c r="BJ274" s="4">
        <v>873</v>
      </c>
      <c r="BK274" s="4">
        <v>872</v>
      </c>
      <c r="BL274" s="4">
        <v>871</v>
      </c>
      <c r="BM274" s="4">
        <v>883</v>
      </c>
      <c r="BN274" s="4">
        <v>882</v>
      </c>
      <c r="BO274" s="4">
        <v>878</v>
      </c>
      <c r="BP274" s="4">
        <v>882</v>
      </c>
    </row>
    <row r="275" spans="1:68">
      <c r="A275" s="65" t="s">
        <v>488</v>
      </c>
      <c r="B275" s="4" t="str">
        <f>銘柄管理!C275</f>
        <v/>
      </c>
      <c r="C275" s="4" t="str">
        <f>_xll.RssMarket("5702","現在値")</f>
        <v/>
      </c>
      <c r="D275" s="4" t="e">
        <f t="shared" si="8"/>
        <v>#VALUE!</v>
      </c>
      <c r="E275" s="4">
        <v>1445</v>
      </c>
      <c r="F275" s="4">
        <v>1508</v>
      </c>
      <c r="G275" s="4">
        <v>1511</v>
      </c>
      <c r="H275" s="4">
        <v>1461</v>
      </c>
      <c r="I275" s="4">
        <v>1472</v>
      </c>
      <c r="J275" s="4">
        <v>1456</v>
      </c>
      <c r="K275" s="4">
        <v>1511</v>
      </c>
      <c r="L275" s="4">
        <v>1514</v>
      </c>
      <c r="M275" s="4">
        <v>1485</v>
      </c>
      <c r="N275" s="4">
        <v>1500</v>
      </c>
      <c r="O275" s="4">
        <v>1483</v>
      </c>
      <c r="P275" s="4">
        <v>1494</v>
      </c>
      <c r="Q275" s="4">
        <v>1511</v>
      </c>
      <c r="R275" s="4">
        <v>1526</v>
      </c>
      <c r="S275" s="4">
        <v>1589</v>
      </c>
      <c r="T275" s="4">
        <v>1600</v>
      </c>
      <c r="U275" s="4">
        <v>1653</v>
      </c>
      <c r="V275" s="4">
        <v>1660</v>
      </c>
      <c r="W275" s="4">
        <v>1704</v>
      </c>
      <c r="X275" s="4">
        <v>1732</v>
      </c>
      <c r="Y275" s="4">
        <v>1825</v>
      </c>
      <c r="Z275" s="4">
        <v>1816</v>
      </c>
      <c r="AA275" s="4">
        <v>1831</v>
      </c>
      <c r="AB275" s="4">
        <v>1858</v>
      </c>
      <c r="AC275" s="4">
        <v>1931</v>
      </c>
      <c r="AD275" s="4">
        <v>1905</v>
      </c>
      <c r="AE275" s="4">
        <v>2007</v>
      </c>
      <c r="AF275" s="4">
        <v>1956</v>
      </c>
      <c r="AG275" s="4">
        <v>1915</v>
      </c>
      <c r="AH275" s="4">
        <v>1923</v>
      </c>
      <c r="AI275" s="4">
        <v>1966</v>
      </c>
      <c r="AJ275" s="4">
        <v>1973</v>
      </c>
      <c r="AK275" s="4">
        <v>1967</v>
      </c>
      <c r="AL275" s="4">
        <v>1906</v>
      </c>
      <c r="AM275" s="4">
        <v>1857</v>
      </c>
      <c r="AN275" s="4">
        <v>1797</v>
      </c>
      <c r="AO275" s="4">
        <v>1828</v>
      </c>
      <c r="AP275" s="4">
        <v>1796</v>
      </c>
      <c r="AQ275" s="4">
        <v>1848</v>
      </c>
      <c r="AR275" s="4">
        <v>1787</v>
      </c>
      <c r="AS275" s="4">
        <v>1603</v>
      </c>
      <c r="AT275" s="4">
        <v>1587</v>
      </c>
      <c r="AU275" s="4">
        <v>1596</v>
      </c>
      <c r="AV275" s="4">
        <v>1613</v>
      </c>
      <c r="AW275" s="4">
        <v>1543</v>
      </c>
      <c r="AX275" s="4">
        <v>1496</v>
      </c>
      <c r="AY275" s="4">
        <v>1465</v>
      </c>
      <c r="AZ275" s="4">
        <v>1491</v>
      </c>
      <c r="BA275" s="4">
        <v>1459</v>
      </c>
      <c r="BB275" s="4">
        <v>1447</v>
      </c>
      <c r="BC275" s="4">
        <v>1462</v>
      </c>
      <c r="BD275" s="4">
        <v>1476</v>
      </c>
      <c r="BE275" s="4">
        <v>1495</v>
      </c>
      <c r="BF275" s="4">
        <v>1474</v>
      </c>
      <c r="BG275" s="4">
        <v>1521</v>
      </c>
      <c r="BH275" s="4">
        <v>1556</v>
      </c>
      <c r="BI275" s="4">
        <v>1559</v>
      </c>
      <c r="BJ275" s="4">
        <v>1595</v>
      </c>
      <c r="BK275" s="4">
        <v>1565</v>
      </c>
      <c r="BL275" s="4">
        <v>1543</v>
      </c>
      <c r="BM275" s="4">
        <v>1552</v>
      </c>
      <c r="BN275" s="4">
        <v>1557</v>
      </c>
      <c r="BO275" s="4">
        <v>1489</v>
      </c>
      <c r="BP275" s="4">
        <v>1496</v>
      </c>
    </row>
    <row r="276" spans="1:68">
      <c r="A276" s="65" t="s">
        <v>489</v>
      </c>
      <c r="B276" s="4" t="str">
        <f>銘柄管理!C276</f>
        <v/>
      </c>
      <c r="C276" s="4" t="str">
        <f>_xll.RssMarket("7952","現在値")</f>
        <v/>
      </c>
      <c r="D276" s="4" t="e">
        <f t="shared" si="8"/>
        <v>#VALUE!</v>
      </c>
      <c r="E276" s="4">
        <v>3205</v>
      </c>
      <c r="F276" s="4">
        <v>3195</v>
      </c>
      <c r="G276" s="4">
        <v>3200</v>
      </c>
      <c r="H276" s="4">
        <v>3170</v>
      </c>
      <c r="I276" s="4">
        <v>3205</v>
      </c>
      <c r="J276" s="4">
        <v>3210</v>
      </c>
      <c r="K276" s="4">
        <v>3215</v>
      </c>
      <c r="L276" s="4">
        <v>3300</v>
      </c>
      <c r="M276" s="4">
        <v>3265</v>
      </c>
      <c r="N276" s="4">
        <v>3215</v>
      </c>
      <c r="O276" s="4">
        <v>3170</v>
      </c>
      <c r="P276" s="4">
        <v>3215</v>
      </c>
      <c r="Q276" s="4">
        <v>3210</v>
      </c>
      <c r="R276" s="4">
        <v>3320</v>
      </c>
      <c r="S276" s="4">
        <v>3350</v>
      </c>
      <c r="T276" s="4">
        <v>3265</v>
      </c>
      <c r="U276" s="4">
        <v>3275</v>
      </c>
      <c r="V276" s="4">
        <v>3340</v>
      </c>
      <c r="W276" s="4">
        <v>3295</v>
      </c>
      <c r="X276" s="4">
        <v>3245</v>
      </c>
      <c r="Y276" s="4">
        <v>3250</v>
      </c>
      <c r="Z276" s="4">
        <v>3020</v>
      </c>
      <c r="AA276" s="4">
        <v>3010</v>
      </c>
      <c r="AB276" s="4">
        <v>3095</v>
      </c>
      <c r="AC276" s="4">
        <v>3145</v>
      </c>
      <c r="AD276" s="4">
        <v>3140</v>
      </c>
      <c r="AE276" s="4">
        <v>3195</v>
      </c>
      <c r="AF276" s="4">
        <v>3215</v>
      </c>
      <c r="AG276" s="4">
        <v>3135</v>
      </c>
      <c r="AH276" s="4">
        <v>3250</v>
      </c>
      <c r="AI276" s="4">
        <v>3300</v>
      </c>
      <c r="AJ276" s="4">
        <v>3210</v>
      </c>
      <c r="AK276" s="4">
        <v>3055</v>
      </c>
      <c r="AL276" s="4">
        <v>3035</v>
      </c>
      <c r="AM276" s="4">
        <v>2950</v>
      </c>
      <c r="AN276" s="4">
        <v>2961</v>
      </c>
      <c r="AO276" s="4">
        <v>2930</v>
      </c>
      <c r="AP276" s="4">
        <v>3100</v>
      </c>
      <c r="AQ276" s="4">
        <v>3080</v>
      </c>
      <c r="AR276" s="4">
        <v>3120</v>
      </c>
      <c r="AS276" s="4">
        <v>3005</v>
      </c>
      <c r="AT276" s="4">
        <v>2981</v>
      </c>
      <c r="AU276" s="4">
        <v>2937</v>
      </c>
      <c r="AV276" s="4">
        <v>2812</v>
      </c>
      <c r="AW276" s="4">
        <v>2740</v>
      </c>
      <c r="AX276" s="4">
        <v>2825</v>
      </c>
      <c r="AY276" s="4">
        <v>2769</v>
      </c>
      <c r="AZ276" s="4">
        <v>2745</v>
      </c>
      <c r="BA276" s="4">
        <v>2839</v>
      </c>
      <c r="BB276" s="4">
        <v>2829</v>
      </c>
      <c r="BC276" s="4">
        <v>2786</v>
      </c>
      <c r="BD276" s="4">
        <v>2868</v>
      </c>
      <c r="BE276" s="4">
        <v>3025</v>
      </c>
      <c r="BF276" s="4">
        <v>3065</v>
      </c>
      <c r="BG276" s="4">
        <v>3050</v>
      </c>
      <c r="BH276" s="4">
        <v>3050</v>
      </c>
      <c r="BI276" s="4">
        <v>3135</v>
      </c>
      <c r="BJ276" s="4">
        <v>3070</v>
      </c>
      <c r="BK276" s="4">
        <v>3020</v>
      </c>
      <c r="BL276" s="4">
        <v>3005</v>
      </c>
      <c r="BM276" s="4">
        <v>3030</v>
      </c>
      <c r="BN276" s="4">
        <v>2960</v>
      </c>
      <c r="BO276" s="4">
        <v>3030</v>
      </c>
      <c r="BP276" s="4">
        <v>2993</v>
      </c>
    </row>
    <row r="277" spans="1:68">
      <c r="A277" s="65" t="s">
        <v>490</v>
      </c>
      <c r="B277" s="4" t="str">
        <f>銘柄管理!C277</f>
        <v/>
      </c>
      <c r="C277" s="4" t="str">
        <f>_xll.RssMarket("3002","現在値")</f>
        <v/>
      </c>
      <c r="D277" s="4" t="e">
        <f t="shared" si="8"/>
        <v>#VALUE!</v>
      </c>
      <c r="E277" s="4">
        <v>3935</v>
      </c>
      <c r="F277" s="4">
        <v>3995</v>
      </c>
      <c r="G277" s="4">
        <v>3980</v>
      </c>
      <c r="H277" s="4">
        <v>3970</v>
      </c>
      <c r="I277" s="4">
        <v>3980</v>
      </c>
      <c r="J277" s="4">
        <v>4035</v>
      </c>
      <c r="K277" s="4">
        <v>4020</v>
      </c>
      <c r="L277" s="4">
        <v>4040</v>
      </c>
      <c r="M277" s="4">
        <v>4000</v>
      </c>
      <c r="N277" s="4">
        <v>3935</v>
      </c>
      <c r="O277" s="4">
        <v>3855</v>
      </c>
      <c r="P277" s="4">
        <v>3865</v>
      </c>
      <c r="Q277" s="4">
        <v>3845</v>
      </c>
      <c r="R277" s="4">
        <v>3870</v>
      </c>
      <c r="S277" s="4">
        <v>3800</v>
      </c>
      <c r="T277" s="4">
        <v>3820</v>
      </c>
      <c r="U277" s="4">
        <v>3850</v>
      </c>
      <c r="V277" s="4">
        <v>3810</v>
      </c>
      <c r="W277" s="4">
        <v>3820</v>
      </c>
      <c r="X277" s="4">
        <v>3815</v>
      </c>
      <c r="Y277" s="4">
        <v>3845</v>
      </c>
      <c r="Z277" s="4">
        <v>3725</v>
      </c>
      <c r="AA277" s="4">
        <v>3740</v>
      </c>
      <c r="AB277" s="4">
        <v>3665</v>
      </c>
      <c r="AC277" s="4">
        <v>3715</v>
      </c>
      <c r="AD277" s="4">
        <v>3680</v>
      </c>
      <c r="AE277" s="4">
        <v>3700</v>
      </c>
      <c r="AF277" s="4">
        <v>3660</v>
      </c>
      <c r="AG277" s="4">
        <v>3715</v>
      </c>
      <c r="AH277" s="4">
        <v>3725</v>
      </c>
      <c r="AI277" s="4">
        <v>3700</v>
      </c>
      <c r="AJ277" s="4">
        <v>3725</v>
      </c>
      <c r="AK277" s="4">
        <v>3660</v>
      </c>
      <c r="AL277" s="4">
        <v>3655</v>
      </c>
      <c r="AM277" s="4">
        <v>3695</v>
      </c>
      <c r="AN277" s="4">
        <v>3650</v>
      </c>
      <c r="AO277" s="4">
        <v>3725</v>
      </c>
      <c r="AP277" s="4">
        <v>3715</v>
      </c>
      <c r="AQ277" s="4">
        <v>3735</v>
      </c>
      <c r="AR277" s="4">
        <v>3815</v>
      </c>
      <c r="AS277" s="4">
        <v>3585</v>
      </c>
      <c r="AT277" s="4">
        <v>3595</v>
      </c>
      <c r="AU277" s="4">
        <v>3620</v>
      </c>
      <c r="AV277" s="4">
        <v>3620</v>
      </c>
      <c r="AW277" s="4">
        <v>3640</v>
      </c>
      <c r="AX277" s="4">
        <v>3595</v>
      </c>
      <c r="AY277" s="4">
        <v>3610</v>
      </c>
      <c r="AZ277" s="4">
        <v>3710</v>
      </c>
      <c r="BA277" s="4">
        <v>3660</v>
      </c>
      <c r="BB277" s="4">
        <v>3670</v>
      </c>
      <c r="BC277" s="4">
        <v>3700</v>
      </c>
      <c r="BD277" s="4">
        <v>3750</v>
      </c>
      <c r="BE277" s="4">
        <v>3840</v>
      </c>
      <c r="BF277" s="4">
        <v>3945</v>
      </c>
      <c r="BG277" s="4">
        <v>3910</v>
      </c>
      <c r="BH277" s="4">
        <v>3925</v>
      </c>
      <c r="BI277" s="4">
        <v>3860</v>
      </c>
      <c r="BJ277" s="4">
        <v>3890</v>
      </c>
      <c r="BK277" s="4">
        <v>3920</v>
      </c>
      <c r="BL277" s="4">
        <v>3945</v>
      </c>
      <c r="BM277" s="4">
        <v>3945</v>
      </c>
      <c r="BN277" s="4">
        <v>3955</v>
      </c>
      <c r="BO277" s="4">
        <v>3865</v>
      </c>
      <c r="BP277" s="4">
        <v>3845</v>
      </c>
    </row>
    <row r="278" spans="1:68">
      <c r="A278" s="65" t="s">
        <v>491</v>
      </c>
      <c r="B278" s="4" t="str">
        <f>銘柄管理!C278</f>
        <v/>
      </c>
      <c r="C278" s="4" t="str">
        <f>_xll.RssMarket("8871","現在値")</f>
        <v/>
      </c>
      <c r="D278" s="4" t="e">
        <f t="shared" si="8"/>
        <v>#VALUE!</v>
      </c>
      <c r="E278" s="4">
        <v>3300</v>
      </c>
      <c r="F278" s="4">
        <v>3380</v>
      </c>
      <c r="G278" s="4">
        <v>3360</v>
      </c>
      <c r="H278" s="4">
        <v>3330</v>
      </c>
      <c r="I278" s="4">
        <v>3345</v>
      </c>
      <c r="J278" s="4">
        <v>3365</v>
      </c>
      <c r="K278" s="4">
        <v>3390</v>
      </c>
      <c r="L278" s="4">
        <v>3330</v>
      </c>
      <c r="M278" s="4">
        <v>3280</v>
      </c>
      <c r="N278" s="4">
        <v>3250</v>
      </c>
      <c r="O278" s="4">
        <v>3255</v>
      </c>
      <c r="P278" s="4">
        <v>3325</v>
      </c>
      <c r="Q278" s="4">
        <v>3270</v>
      </c>
      <c r="R278" s="4">
        <v>3215</v>
      </c>
      <c r="S278" s="4">
        <v>3225</v>
      </c>
      <c r="T278" s="4">
        <v>3230</v>
      </c>
      <c r="U278" s="4">
        <v>3290</v>
      </c>
      <c r="V278" s="4">
        <v>3245</v>
      </c>
      <c r="W278" s="4">
        <v>3305</v>
      </c>
      <c r="X278" s="4">
        <v>3355</v>
      </c>
      <c r="Y278" s="4">
        <v>3325</v>
      </c>
      <c r="Z278" s="4">
        <v>3330</v>
      </c>
      <c r="AA278" s="4">
        <v>3265</v>
      </c>
      <c r="AB278" s="4">
        <v>3220</v>
      </c>
      <c r="AC278" s="4">
        <v>3305</v>
      </c>
      <c r="AD278" s="4">
        <v>3415</v>
      </c>
      <c r="AE278" s="4">
        <v>3490</v>
      </c>
      <c r="AF278" s="4">
        <v>3575</v>
      </c>
      <c r="AG278" s="4">
        <v>3570</v>
      </c>
      <c r="AH278" s="4">
        <v>3540</v>
      </c>
      <c r="AI278" s="4">
        <v>3500</v>
      </c>
      <c r="AJ278" s="4">
        <v>3520</v>
      </c>
      <c r="AK278" s="4">
        <v>3585</v>
      </c>
      <c r="AL278" s="4">
        <v>3560</v>
      </c>
      <c r="AM278" s="4">
        <v>3660</v>
      </c>
      <c r="AN278" s="4">
        <v>3700</v>
      </c>
      <c r="AO278" s="4">
        <v>3650</v>
      </c>
      <c r="AP278" s="4">
        <v>3290</v>
      </c>
      <c r="AQ278" s="4">
        <v>3305</v>
      </c>
      <c r="AR278" s="4">
        <v>3345</v>
      </c>
      <c r="AS278" s="4">
        <v>3320</v>
      </c>
      <c r="AT278" s="4">
        <v>3320</v>
      </c>
      <c r="AU278" s="4">
        <v>3330</v>
      </c>
      <c r="AV278" s="4">
        <v>3325</v>
      </c>
      <c r="AW278" s="4">
        <v>3340</v>
      </c>
      <c r="AX278" s="4">
        <v>3355</v>
      </c>
      <c r="AY278" s="4">
        <v>3335</v>
      </c>
      <c r="AZ278" s="4">
        <v>3310</v>
      </c>
      <c r="BA278" s="4">
        <v>3320</v>
      </c>
      <c r="BB278" s="4">
        <v>3310</v>
      </c>
      <c r="BC278" s="4">
        <v>3405</v>
      </c>
      <c r="BD278" s="4">
        <v>3420</v>
      </c>
      <c r="BE278" s="4">
        <v>3420</v>
      </c>
      <c r="BF278" s="4">
        <v>3465</v>
      </c>
      <c r="BG278" s="4">
        <v>3480</v>
      </c>
      <c r="BH278" s="4">
        <v>3465</v>
      </c>
      <c r="BI278" s="4">
        <v>3460</v>
      </c>
      <c r="BJ278" s="4">
        <v>3510</v>
      </c>
      <c r="BK278" s="4">
        <v>3485</v>
      </c>
      <c r="BL278" s="4">
        <v>3505</v>
      </c>
      <c r="BM278" s="4">
        <v>3515</v>
      </c>
      <c r="BN278" s="4">
        <v>3455</v>
      </c>
      <c r="BO278" s="4">
        <v>3425</v>
      </c>
      <c r="BP278" s="4">
        <v>3450</v>
      </c>
    </row>
    <row r="279" spans="1:68">
      <c r="A279" s="65" t="s">
        <v>492</v>
      </c>
      <c r="B279" s="4" t="str">
        <f>銘柄管理!C279</f>
        <v/>
      </c>
      <c r="C279" s="4" t="str">
        <f>_xll.RssMarket("6918","現在値")</f>
        <v/>
      </c>
      <c r="D279" s="4" t="e">
        <f t="shared" si="8"/>
        <v>#VALUE!</v>
      </c>
      <c r="E279" s="4">
        <v>3025</v>
      </c>
      <c r="F279" s="4">
        <v>3330</v>
      </c>
      <c r="G279" s="4">
        <v>3240</v>
      </c>
      <c r="H279" s="4">
        <v>3230</v>
      </c>
      <c r="I279" s="4">
        <v>3280</v>
      </c>
      <c r="J279" s="4">
        <v>3190</v>
      </c>
      <c r="K279" s="4">
        <v>3120</v>
      </c>
      <c r="L279" s="4">
        <v>3355</v>
      </c>
      <c r="M279" s="4">
        <v>3375</v>
      </c>
      <c r="N279" s="4">
        <v>3350</v>
      </c>
      <c r="O279" s="4">
        <v>3380</v>
      </c>
      <c r="P279" s="4">
        <v>3300</v>
      </c>
      <c r="Q279" s="4">
        <v>3265</v>
      </c>
      <c r="R279" s="4">
        <v>3270</v>
      </c>
      <c r="S279" s="4">
        <v>3410</v>
      </c>
      <c r="T279" s="4">
        <v>3340</v>
      </c>
      <c r="U279" s="4">
        <v>3390</v>
      </c>
      <c r="V279" s="4">
        <v>3540</v>
      </c>
      <c r="W279" s="4">
        <v>3365</v>
      </c>
      <c r="X279" s="4">
        <v>3335</v>
      </c>
      <c r="Y279" s="4">
        <v>3270</v>
      </c>
      <c r="Z279" s="4">
        <v>3055</v>
      </c>
      <c r="AA279" s="4">
        <v>2975</v>
      </c>
      <c r="AB279" s="4">
        <v>2900</v>
      </c>
      <c r="AC279" s="4">
        <v>3060</v>
      </c>
      <c r="AD279" s="4">
        <v>3255</v>
      </c>
      <c r="AE279" s="4">
        <v>3285</v>
      </c>
      <c r="AF279" s="4">
        <v>3305</v>
      </c>
      <c r="AG279" s="4">
        <v>3415</v>
      </c>
      <c r="AH279" s="4">
        <v>3525</v>
      </c>
      <c r="AI279" s="4">
        <v>3490</v>
      </c>
      <c r="AJ279" s="4">
        <v>3315</v>
      </c>
      <c r="AK279" s="4">
        <v>3470</v>
      </c>
      <c r="AL279" s="4">
        <v>3400</v>
      </c>
      <c r="AM279" s="4">
        <v>3435</v>
      </c>
      <c r="AN279" s="4">
        <v>3310</v>
      </c>
      <c r="AO279" s="4">
        <v>3570</v>
      </c>
      <c r="AP279" s="4">
        <v>3760</v>
      </c>
      <c r="AQ279" s="4">
        <v>3520</v>
      </c>
      <c r="AR279" s="4">
        <v>3535</v>
      </c>
      <c r="AS279" s="4">
        <v>3645</v>
      </c>
      <c r="AT279" s="4">
        <v>3670</v>
      </c>
      <c r="AU279" s="4">
        <v>3685</v>
      </c>
      <c r="AV279" s="4">
        <v>3325</v>
      </c>
      <c r="AW279" s="4">
        <v>3295</v>
      </c>
      <c r="AX279" s="4">
        <v>3105</v>
      </c>
      <c r="AY279" s="4">
        <v>2933</v>
      </c>
      <c r="AZ279" s="4">
        <v>2899</v>
      </c>
      <c r="BA279" s="4">
        <v>2969</v>
      </c>
      <c r="BB279" s="4">
        <v>3030</v>
      </c>
      <c r="BC279" s="4">
        <v>3005</v>
      </c>
      <c r="BD279" s="4">
        <v>3060</v>
      </c>
      <c r="BE279" s="4">
        <v>3055</v>
      </c>
      <c r="BF279" s="4">
        <v>2957</v>
      </c>
      <c r="BG279" s="4">
        <v>2801</v>
      </c>
      <c r="BH279" s="4">
        <v>2854</v>
      </c>
      <c r="BI279" s="4">
        <v>2834</v>
      </c>
      <c r="BJ279" s="4">
        <v>2852</v>
      </c>
      <c r="BK279" s="4">
        <v>2803</v>
      </c>
      <c r="BL279" s="4">
        <v>2764</v>
      </c>
      <c r="BM279" s="4">
        <v>2723</v>
      </c>
      <c r="BN279" s="4">
        <v>2710</v>
      </c>
      <c r="BO279" s="4">
        <v>2624</v>
      </c>
      <c r="BP279" s="4">
        <v>2601</v>
      </c>
    </row>
    <row r="280" spans="1:68">
      <c r="A280" s="65" t="s">
        <v>493</v>
      </c>
      <c r="B280" s="4" t="str">
        <f>銘柄管理!C280</f>
        <v/>
      </c>
      <c r="C280" s="4" t="str">
        <f>_xll.RssMarket("6488","現在値")</f>
        <v/>
      </c>
      <c r="D280" s="4" t="e">
        <f t="shared" si="8"/>
        <v>#VALUE!</v>
      </c>
      <c r="E280" s="4">
        <v>971</v>
      </c>
      <c r="F280" s="4">
        <v>978</v>
      </c>
      <c r="G280" s="4">
        <v>979</v>
      </c>
      <c r="H280" s="4">
        <v>976</v>
      </c>
      <c r="I280" s="4">
        <v>966</v>
      </c>
      <c r="J280" s="4">
        <v>963</v>
      </c>
      <c r="K280" s="4">
        <v>960</v>
      </c>
      <c r="L280" s="4">
        <v>966</v>
      </c>
      <c r="M280" s="4">
        <v>965</v>
      </c>
      <c r="N280" s="4">
        <v>968</v>
      </c>
      <c r="O280" s="4">
        <v>939</v>
      </c>
      <c r="P280" s="4">
        <v>940</v>
      </c>
      <c r="Q280" s="4">
        <v>939</v>
      </c>
      <c r="R280" s="4">
        <v>934</v>
      </c>
      <c r="S280" s="4">
        <v>935</v>
      </c>
      <c r="T280" s="4">
        <v>937</v>
      </c>
      <c r="U280" s="4">
        <v>942</v>
      </c>
      <c r="V280" s="4">
        <v>935</v>
      </c>
      <c r="W280" s="4">
        <v>924</v>
      </c>
      <c r="X280" s="4">
        <v>918</v>
      </c>
      <c r="Y280" s="4">
        <v>913</v>
      </c>
      <c r="Z280" s="4">
        <v>915</v>
      </c>
      <c r="AA280" s="4">
        <v>921</v>
      </c>
      <c r="AB280" s="4">
        <v>933</v>
      </c>
      <c r="AC280" s="4">
        <v>936</v>
      </c>
      <c r="AD280" s="4">
        <v>934</v>
      </c>
      <c r="AE280" s="4">
        <v>931</v>
      </c>
      <c r="AF280" s="4">
        <v>927</v>
      </c>
      <c r="AG280" s="4">
        <v>932</v>
      </c>
      <c r="AH280" s="4">
        <v>926</v>
      </c>
      <c r="AI280" s="4">
        <v>932</v>
      </c>
      <c r="AJ280" s="4">
        <v>950</v>
      </c>
      <c r="AK280" s="4">
        <v>951</v>
      </c>
      <c r="AL280" s="4">
        <v>961</v>
      </c>
      <c r="AM280" s="4">
        <v>953</v>
      </c>
      <c r="AN280" s="4">
        <v>972</v>
      </c>
      <c r="AO280" s="4">
        <v>955</v>
      </c>
      <c r="AP280" s="4">
        <v>958</v>
      </c>
      <c r="AQ280" s="4">
        <v>980</v>
      </c>
      <c r="AR280" s="4">
        <v>933</v>
      </c>
      <c r="AS280" s="4">
        <v>932</v>
      </c>
      <c r="AT280" s="4">
        <v>937</v>
      </c>
      <c r="AU280" s="4">
        <v>936</v>
      </c>
      <c r="AV280" s="4">
        <v>935</v>
      </c>
      <c r="AW280" s="4">
        <v>935</v>
      </c>
      <c r="AX280" s="4">
        <v>943</v>
      </c>
      <c r="AY280" s="4">
        <v>944</v>
      </c>
      <c r="AZ280" s="4">
        <v>937</v>
      </c>
      <c r="BA280" s="4">
        <v>934</v>
      </c>
      <c r="BB280" s="4">
        <v>934</v>
      </c>
      <c r="BC280" s="4">
        <v>934</v>
      </c>
      <c r="BD280" s="4">
        <v>940</v>
      </c>
      <c r="BE280" s="4">
        <v>953</v>
      </c>
      <c r="BF280" s="4">
        <v>956</v>
      </c>
      <c r="BG280" s="4">
        <v>952</v>
      </c>
      <c r="BH280" s="4">
        <v>940</v>
      </c>
      <c r="BI280" s="4">
        <v>940</v>
      </c>
      <c r="BJ280" s="4">
        <v>944</v>
      </c>
      <c r="BK280" s="4">
        <v>945</v>
      </c>
      <c r="BL280" s="4">
        <v>942</v>
      </c>
      <c r="BM280" s="4">
        <v>941</v>
      </c>
      <c r="BN280" s="4">
        <v>936</v>
      </c>
      <c r="BO280" s="4">
        <v>933</v>
      </c>
      <c r="BP280" s="4">
        <v>936</v>
      </c>
    </row>
    <row r="281" spans="1:68">
      <c r="A281" s="65" t="s">
        <v>494</v>
      </c>
      <c r="B281" s="4" t="str">
        <f>銘柄管理!C281</f>
        <v/>
      </c>
      <c r="C281" s="4" t="str">
        <f>_xll.RssMarket("8007","現在値")</f>
        <v/>
      </c>
      <c r="D281" s="4" t="e">
        <f t="shared" si="8"/>
        <v>#VALUE!</v>
      </c>
      <c r="E281" s="4">
        <v>778</v>
      </c>
      <c r="F281" s="4">
        <v>790</v>
      </c>
      <c r="G281" s="4">
        <v>782</v>
      </c>
      <c r="H281" s="4">
        <v>776</v>
      </c>
      <c r="I281" s="4">
        <v>780</v>
      </c>
      <c r="J281" s="4">
        <v>772</v>
      </c>
      <c r="K281" s="4">
        <v>770</v>
      </c>
      <c r="L281" s="4">
        <v>771</v>
      </c>
      <c r="M281" s="4">
        <v>764</v>
      </c>
      <c r="N281" s="4">
        <v>755</v>
      </c>
      <c r="O281" s="4">
        <v>754</v>
      </c>
      <c r="P281" s="4">
        <v>765</v>
      </c>
      <c r="Q281" s="4">
        <v>758</v>
      </c>
      <c r="R281" s="4">
        <v>751</v>
      </c>
      <c r="S281" s="4">
        <v>745</v>
      </c>
      <c r="T281" s="4">
        <v>742</v>
      </c>
      <c r="U281" s="4">
        <v>738</v>
      </c>
      <c r="V281" s="4">
        <v>748</v>
      </c>
      <c r="W281" s="4">
        <v>741</v>
      </c>
      <c r="X281" s="4">
        <v>749</v>
      </c>
      <c r="Y281" s="4">
        <v>746</v>
      </c>
      <c r="Z281" s="4">
        <v>740</v>
      </c>
      <c r="AA281" s="4">
        <v>736</v>
      </c>
      <c r="AB281" s="4">
        <v>741</v>
      </c>
      <c r="AC281" s="4">
        <v>740</v>
      </c>
      <c r="AD281" s="4">
        <v>736</v>
      </c>
      <c r="AE281" s="4">
        <v>729</v>
      </c>
      <c r="AF281" s="4">
        <v>731</v>
      </c>
      <c r="AG281" s="4">
        <v>725</v>
      </c>
      <c r="AH281" s="4">
        <v>731</v>
      </c>
      <c r="AI281" s="4">
        <v>766</v>
      </c>
      <c r="AJ281" s="4">
        <v>763</v>
      </c>
      <c r="AK281" s="4">
        <v>753</v>
      </c>
      <c r="AL281" s="4">
        <v>745</v>
      </c>
      <c r="AM281" s="4">
        <v>736</v>
      </c>
      <c r="AN281" s="4">
        <v>741</v>
      </c>
      <c r="AO281" s="4">
        <v>728</v>
      </c>
      <c r="AP281" s="4">
        <v>744</v>
      </c>
      <c r="AQ281" s="4">
        <v>754</v>
      </c>
      <c r="AR281" s="4">
        <v>764</v>
      </c>
      <c r="AS281" s="4">
        <v>773</v>
      </c>
      <c r="AT281" s="4">
        <v>689</v>
      </c>
      <c r="AU281" s="4">
        <v>768</v>
      </c>
      <c r="AV281" s="4">
        <v>769</v>
      </c>
      <c r="AW281" s="4">
        <v>782</v>
      </c>
      <c r="AX281" s="4">
        <v>793</v>
      </c>
      <c r="AY281" s="4">
        <v>794</v>
      </c>
      <c r="AZ281" s="4">
        <v>784</v>
      </c>
      <c r="BA281" s="4">
        <v>798</v>
      </c>
      <c r="BB281" s="4">
        <v>772</v>
      </c>
      <c r="BC281" s="4">
        <v>768</v>
      </c>
      <c r="BD281" s="4">
        <v>775</v>
      </c>
      <c r="BE281" s="4">
        <v>776</v>
      </c>
      <c r="BF281" s="4">
        <v>786</v>
      </c>
      <c r="BG281" s="4">
        <v>794</v>
      </c>
      <c r="BH281" s="4">
        <v>806</v>
      </c>
      <c r="BI281" s="4">
        <v>812</v>
      </c>
      <c r="BJ281" s="4">
        <v>810</v>
      </c>
      <c r="BK281" s="4">
        <v>810</v>
      </c>
      <c r="BL281" s="4">
        <v>812</v>
      </c>
      <c r="BM281" s="4">
        <v>817</v>
      </c>
      <c r="BN281" s="4">
        <v>824</v>
      </c>
      <c r="BO281" s="4">
        <v>836</v>
      </c>
      <c r="BP281" s="4">
        <v>826</v>
      </c>
    </row>
    <row r="282" spans="1:68">
      <c r="A282" s="65" t="s">
        <v>495</v>
      </c>
      <c r="B282" s="4" t="str">
        <f>銘柄管理!C282</f>
        <v/>
      </c>
      <c r="C282" s="4" t="str">
        <f>_xll.RssMarket("4218","現在値")</f>
        <v/>
      </c>
      <c r="D282" s="4" t="e">
        <f t="shared" si="8"/>
        <v>#VALUE!</v>
      </c>
      <c r="E282" s="4">
        <v>1934</v>
      </c>
      <c r="F282" s="4">
        <v>1912</v>
      </c>
      <c r="G282" s="4">
        <v>1894</v>
      </c>
      <c r="H282" s="4">
        <v>1897</v>
      </c>
      <c r="I282" s="4">
        <v>1906</v>
      </c>
      <c r="J282" s="4">
        <v>1913</v>
      </c>
      <c r="K282" s="4">
        <v>1886</v>
      </c>
      <c r="L282" s="4">
        <v>1895</v>
      </c>
      <c r="M282" s="4">
        <v>1875</v>
      </c>
      <c r="N282" s="4">
        <v>1873</v>
      </c>
      <c r="O282" s="4">
        <v>1894</v>
      </c>
      <c r="P282" s="4">
        <v>1867</v>
      </c>
      <c r="Q282" s="4">
        <v>1849</v>
      </c>
      <c r="R282" s="4">
        <v>1844</v>
      </c>
      <c r="S282" s="4">
        <v>1842</v>
      </c>
      <c r="T282" s="4">
        <v>1828</v>
      </c>
      <c r="U282" s="4">
        <v>1829</v>
      </c>
      <c r="V282" s="4">
        <v>1834</v>
      </c>
      <c r="W282" s="4">
        <v>1835</v>
      </c>
      <c r="X282" s="4">
        <v>1837</v>
      </c>
      <c r="Y282" s="4">
        <v>1835</v>
      </c>
      <c r="Z282" s="4">
        <v>1826</v>
      </c>
      <c r="AA282" s="4">
        <v>1800</v>
      </c>
      <c r="AB282" s="4">
        <v>1805</v>
      </c>
      <c r="AC282" s="4">
        <v>1792</v>
      </c>
      <c r="AD282" s="4">
        <v>1813</v>
      </c>
      <c r="AE282" s="4">
        <v>1792</v>
      </c>
      <c r="AF282" s="4">
        <v>1823</v>
      </c>
      <c r="AG282" s="4">
        <v>1825</v>
      </c>
      <c r="AH282" s="4">
        <v>1849</v>
      </c>
      <c r="AI282" s="4">
        <v>1863</v>
      </c>
      <c r="AJ282" s="4">
        <v>1866</v>
      </c>
      <c r="AK282" s="4">
        <v>1869</v>
      </c>
      <c r="AL282" s="4">
        <v>1859</v>
      </c>
      <c r="AM282" s="4">
        <v>1863</v>
      </c>
      <c r="AN282" s="4">
        <v>1880</v>
      </c>
      <c r="AO282" s="4">
        <v>1866</v>
      </c>
      <c r="AP282" s="4">
        <v>1902</v>
      </c>
      <c r="AQ282" s="4">
        <v>1897</v>
      </c>
      <c r="AR282" s="4">
        <v>1849</v>
      </c>
      <c r="AS282" s="4">
        <v>1830</v>
      </c>
      <c r="AT282" s="4">
        <v>1821</v>
      </c>
      <c r="AU282" s="4">
        <v>1836</v>
      </c>
      <c r="AV282" s="4">
        <v>1849</v>
      </c>
      <c r="AW282" s="4">
        <v>1833</v>
      </c>
      <c r="AX282" s="4">
        <v>1817</v>
      </c>
      <c r="AY282" s="4">
        <v>1825</v>
      </c>
      <c r="AZ282" s="4">
        <v>1818</v>
      </c>
      <c r="BA282" s="4">
        <v>1824</v>
      </c>
      <c r="BB282" s="4">
        <v>1842</v>
      </c>
      <c r="BC282" s="4">
        <v>1856</v>
      </c>
      <c r="BD282" s="4">
        <v>1872</v>
      </c>
      <c r="BE282" s="4">
        <v>1885</v>
      </c>
      <c r="BF282" s="4">
        <v>1889</v>
      </c>
      <c r="BG282" s="4">
        <v>1884</v>
      </c>
      <c r="BH282" s="4">
        <v>1887</v>
      </c>
      <c r="BI282" s="4">
        <v>1882</v>
      </c>
      <c r="BJ282" s="4">
        <v>1890</v>
      </c>
      <c r="BK282" s="4">
        <v>1896</v>
      </c>
      <c r="BL282" s="4">
        <v>1896</v>
      </c>
      <c r="BM282" s="4">
        <v>1909</v>
      </c>
      <c r="BN282" s="4">
        <v>1913</v>
      </c>
      <c r="BO282" s="4">
        <v>1903</v>
      </c>
    </row>
    <row r="283" spans="1:68">
      <c r="A283" s="65" t="s">
        <v>496</v>
      </c>
      <c r="B283" s="4" t="str">
        <f>銘柄管理!C283</f>
        <v/>
      </c>
      <c r="C283" s="4" t="str">
        <f>_xll.RssMarket("7735","現在値")</f>
        <v/>
      </c>
      <c r="D283" s="4" t="e">
        <f t="shared" si="8"/>
        <v>#VALUE!</v>
      </c>
      <c r="E283" s="4">
        <v>16510</v>
      </c>
      <c r="F283" s="4">
        <v>18930</v>
      </c>
      <c r="G283" s="4">
        <v>18160</v>
      </c>
      <c r="H283" s="4">
        <v>17755</v>
      </c>
      <c r="I283" s="4">
        <v>18150</v>
      </c>
      <c r="J283" s="4">
        <v>17750</v>
      </c>
      <c r="K283" s="4">
        <v>16890</v>
      </c>
      <c r="L283" s="4">
        <v>17860</v>
      </c>
      <c r="M283" s="4">
        <v>18940</v>
      </c>
      <c r="N283" s="4">
        <v>18055</v>
      </c>
      <c r="O283" s="4">
        <v>19490</v>
      </c>
      <c r="P283" s="4">
        <v>17805</v>
      </c>
      <c r="Q283" s="4">
        <v>16765</v>
      </c>
      <c r="R283" s="4">
        <v>16535</v>
      </c>
      <c r="S283" s="4">
        <v>17625</v>
      </c>
      <c r="T283" s="4">
        <v>16130</v>
      </c>
      <c r="U283" s="4">
        <v>16150</v>
      </c>
      <c r="V283" s="4">
        <v>17010</v>
      </c>
      <c r="W283" s="4">
        <v>16745</v>
      </c>
      <c r="X283" s="4">
        <v>15320</v>
      </c>
      <c r="Y283" s="4">
        <v>14970</v>
      </c>
      <c r="Z283" s="4">
        <v>13945</v>
      </c>
      <c r="AA283" s="4">
        <v>12990</v>
      </c>
      <c r="AB283" s="4">
        <v>12980</v>
      </c>
      <c r="AC283" s="4">
        <v>11760</v>
      </c>
      <c r="AD283" s="4">
        <v>12630</v>
      </c>
      <c r="AE283" s="4">
        <v>13440</v>
      </c>
      <c r="AF283" s="4">
        <v>13345</v>
      </c>
      <c r="AG283" s="4">
        <v>11315</v>
      </c>
      <c r="AH283" s="4">
        <v>10875</v>
      </c>
      <c r="AI283" s="4">
        <v>11120</v>
      </c>
      <c r="AJ283" s="4">
        <v>11030</v>
      </c>
      <c r="AK283" s="4">
        <v>11220</v>
      </c>
      <c r="AL283" s="4">
        <v>11035</v>
      </c>
      <c r="AM283" s="4">
        <v>10765</v>
      </c>
      <c r="AN283" s="4">
        <v>10730</v>
      </c>
      <c r="AO283" s="4">
        <v>10545</v>
      </c>
      <c r="AP283" s="4">
        <v>10520</v>
      </c>
      <c r="AQ283" s="4">
        <v>10885</v>
      </c>
      <c r="AR283" s="4">
        <v>11335</v>
      </c>
      <c r="AS283" s="4">
        <v>12205</v>
      </c>
      <c r="AT283" s="4">
        <v>11215</v>
      </c>
      <c r="AU283" s="4">
        <v>11430</v>
      </c>
      <c r="AV283" s="4">
        <v>11410</v>
      </c>
      <c r="AW283" s="4">
        <v>11380</v>
      </c>
      <c r="AX283" s="4">
        <v>11300</v>
      </c>
      <c r="AY283" s="4">
        <v>10390</v>
      </c>
      <c r="AZ283" s="4">
        <v>10230</v>
      </c>
      <c r="BA283" s="4">
        <v>10445</v>
      </c>
      <c r="BB283" s="4">
        <v>10805</v>
      </c>
      <c r="BC283" s="4">
        <v>10610</v>
      </c>
      <c r="BD283" s="4">
        <v>10335</v>
      </c>
      <c r="BE283" s="4">
        <v>10435</v>
      </c>
      <c r="BF283" s="4">
        <v>10700</v>
      </c>
      <c r="BG283" s="4">
        <v>10575</v>
      </c>
      <c r="BH283" s="4">
        <v>10510</v>
      </c>
      <c r="BI283" s="4">
        <v>11280</v>
      </c>
      <c r="BJ283" s="4">
        <v>10930</v>
      </c>
      <c r="BK283" s="4">
        <v>11200</v>
      </c>
      <c r="BL283" s="4">
        <v>10695</v>
      </c>
      <c r="BM283" s="4">
        <v>10745</v>
      </c>
      <c r="BN283" s="4">
        <v>10150</v>
      </c>
      <c r="BO283" s="4">
        <v>10025</v>
      </c>
      <c r="BP283" s="4">
        <v>9224</v>
      </c>
    </row>
    <row r="284" spans="1:68">
      <c r="A284" s="65" t="s">
        <v>497</v>
      </c>
      <c r="B284" s="4" t="str">
        <f>銘柄管理!C284</f>
        <v/>
      </c>
      <c r="C284" s="4" t="str">
        <f>_xll.RssMarket("3905","現在値")</f>
        <v/>
      </c>
      <c r="D284" s="4" t="e">
        <f t="shared" si="8"/>
        <v>#VALUE!</v>
      </c>
      <c r="E284" s="4">
        <v>2527</v>
      </c>
      <c r="F284" s="4">
        <v>2994</v>
      </c>
      <c r="G284" s="4">
        <v>2845</v>
      </c>
      <c r="H284" s="4">
        <v>2840</v>
      </c>
      <c r="I284" s="4">
        <v>2871</v>
      </c>
      <c r="J284" s="4">
        <v>2925</v>
      </c>
      <c r="K284" s="4">
        <v>2734</v>
      </c>
      <c r="L284" s="4">
        <v>2999</v>
      </c>
      <c r="M284" s="4">
        <v>3160</v>
      </c>
      <c r="N284" s="4">
        <v>3105</v>
      </c>
      <c r="O284" s="4">
        <v>3420</v>
      </c>
      <c r="P284" s="4">
        <v>3465</v>
      </c>
      <c r="Q284" s="4">
        <v>3595</v>
      </c>
      <c r="R284" s="4">
        <v>4180</v>
      </c>
      <c r="S284" s="4">
        <v>4860</v>
      </c>
      <c r="T284" s="4">
        <v>4640</v>
      </c>
      <c r="U284" s="4">
        <v>4520</v>
      </c>
      <c r="V284" s="4">
        <v>5030</v>
      </c>
      <c r="W284" s="4">
        <v>5270</v>
      </c>
      <c r="X284" s="4">
        <v>4915</v>
      </c>
      <c r="Y284" s="4">
        <v>5200</v>
      </c>
      <c r="Z284" s="4">
        <v>4580</v>
      </c>
      <c r="AA284" s="4">
        <v>4340</v>
      </c>
      <c r="AB284" s="4">
        <v>4315</v>
      </c>
      <c r="AC284" s="4">
        <v>4940</v>
      </c>
      <c r="AD284" s="4">
        <v>4900</v>
      </c>
      <c r="AE284" s="4">
        <v>5690</v>
      </c>
      <c r="AF284" s="4">
        <v>5060</v>
      </c>
      <c r="AG284" s="4">
        <v>4360</v>
      </c>
      <c r="AH284" s="4">
        <v>5310</v>
      </c>
      <c r="AI284" s="4">
        <v>6140</v>
      </c>
      <c r="AJ284" s="4">
        <v>5140</v>
      </c>
      <c r="AK284" s="4">
        <v>4435</v>
      </c>
      <c r="AL284" s="4">
        <v>4490</v>
      </c>
      <c r="AM284" s="4">
        <v>4800</v>
      </c>
      <c r="AN284" s="4">
        <v>4100</v>
      </c>
      <c r="AO284" s="4">
        <v>3400</v>
      </c>
      <c r="AP284" s="4">
        <v>3345</v>
      </c>
      <c r="AQ284" s="4">
        <v>2843</v>
      </c>
      <c r="AR284" s="4">
        <v>2343</v>
      </c>
      <c r="AS284" s="4">
        <v>2149</v>
      </c>
      <c r="AT284" s="4">
        <v>2279</v>
      </c>
      <c r="AU284" s="4">
        <v>2250</v>
      </c>
      <c r="AV284" s="4">
        <v>2360</v>
      </c>
      <c r="AW284" s="4">
        <v>2089</v>
      </c>
      <c r="AX284" s="4">
        <v>1689</v>
      </c>
      <c r="AY284" s="4">
        <v>1474</v>
      </c>
      <c r="AZ284" s="4">
        <v>1487</v>
      </c>
      <c r="BA284" s="4">
        <v>1503</v>
      </c>
      <c r="BB284" s="4">
        <v>1467</v>
      </c>
      <c r="BC284" s="4">
        <v>1479</v>
      </c>
      <c r="BD284" s="4">
        <v>1504</v>
      </c>
      <c r="BE284" s="4">
        <v>1526</v>
      </c>
      <c r="BF284" s="4">
        <v>1589</v>
      </c>
      <c r="BG284" s="4">
        <v>1590</v>
      </c>
      <c r="BH284" s="4">
        <v>1602</v>
      </c>
      <c r="BI284" s="4">
        <v>1547</v>
      </c>
      <c r="BJ284" s="4">
        <v>1473</v>
      </c>
      <c r="BK284" s="4">
        <v>1447</v>
      </c>
      <c r="BL284" s="4">
        <v>1363</v>
      </c>
      <c r="BM284" s="4">
        <v>1365</v>
      </c>
      <c r="BN284" s="4">
        <v>1379</v>
      </c>
      <c r="BO284" s="4">
        <v>1383</v>
      </c>
      <c r="BP284" s="4">
        <v>1304</v>
      </c>
    </row>
    <row r="285" spans="1:68">
      <c r="A285" s="65" t="s">
        <v>498</v>
      </c>
      <c r="B285" s="4" t="str">
        <f>銘柄管理!C285</f>
        <v/>
      </c>
      <c r="C285" s="4" t="str">
        <f>_xll.RssMarket("3397","現在値")</f>
        <v/>
      </c>
      <c r="D285" s="4" t="e">
        <f t="shared" si="8"/>
        <v>#VALUE!</v>
      </c>
      <c r="E285" s="4">
        <v>4150</v>
      </c>
      <c r="F285" s="4">
        <v>4067</v>
      </c>
      <c r="G285" s="4">
        <v>4109</v>
      </c>
      <c r="H285" s="4">
        <v>4019</v>
      </c>
      <c r="I285" s="4">
        <v>3968</v>
      </c>
      <c r="J285" s="4">
        <v>4025</v>
      </c>
      <c r="K285" s="4">
        <v>4026</v>
      </c>
      <c r="L285" s="4">
        <v>3900</v>
      </c>
      <c r="M285" s="4">
        <v>3840</v>
      </c>
      <c r="N285" s="4">
        <v>3892</v>
      </c>
      <c r="O285" s="4">
        <v>3794</v>
      </c>
      <c r="P285" s="4">
        <v>3845</v>
      </c>
      <c r="Q285" s="4">
        <v>3886</v>
      </c>
      <c r="R285" s="4">
        <v>3736</v>
      </c>
      <c r="S285" s="4">
        <v>3764</v>
      </c>
      <c r="T285" s="4">
        <v>3654</v>
      </c>
      <c r="U285" s="4">
        <v>3600</v>
      </c>
      <c r="V285" s="4">
        <v>3598</v>
      </c>
      <c r="W285" s="4">
        <v>3569</v>
      </c>
      <c r="X285" s="4">
        <v>3653</v>
      </c>
      <c r="Y285" s="4">
        <v>3733</v>
      </c>
      <c r="Z285" s="4">
        <v>3821</v>
      </c>
      <c r="AA285" s="4">
        <v>3905</v>
      </c>
      <c r="AB285" s="4">
        <v>3856</v>
      </c>
      <c r="AC285" s="4">
        <v>3775</v>
      </c>
      <c r="AD285" s="4">
        <v>3676</v>
      </c>
      <c r="AE285" s="4">
        <v>3731</v>
      </c>
      <c r="AF285" s="4">
        <v>3824</v>
      </c>
      <c r="AG285" s="4">
        <v>3831</v>
      </c>
      <c r="AH285" s="4">
        <v>3766</v>
      </c>
      <c r="AI285" s="4">
        <v>3783</v>
      </c>
      <c r="AJ285" s="4">
        <v>3789</v>
      </c>
      <c r="AK285" s="4">
        <v>3739</v>
      </c>
      <c r="AL285" s="4">
        <v>3895</v>
      </c>
      <c r="AM285" s="4">
        <v>3855</v>
      </c>
      <c r="AN285" s="4">
        <v>3800</v>
      </c>
      <c r="AO285" s="4">
        <v>3895</v>
      </c>
      <c r="AP285" s="4">
        <v>3856</v>
      </c>
      <c r="AQ285" s="4">
        <v>3750</v>
      </c>
      <c r="AR285" s="4">
        <v>3758</v>
      </c>
      <c r="AS285" s="4">
        <v>3886</v>
      </c>
      <c r="AT285" s="4">
        <v>3995</v>
      </c>
      <c r="AU285" s="4">
        <v>3930</v>
      </c>
      <c r="AV285" s="4">
        <v>3960</v>
      </c>
      <c r="AW285" s="4">
        <v>3965</v>
      </c>
      <c r="AX285" s="4">
        <v>3995</v>
      </c>
      <c r="AY285" s="4">
        <v>4008</v>
      </c>
      <c r="AZ285" s="4">
        <v>4045</v>
      </c>
      <c r="BA285" s="4">
        <v>4108</v>
      </c>
      <c r="BB285" s="4">
        <v>4055</v>
      </c>
      <c r="BC285" s="4">
        <v>4072</v>
      </c>
      <c r="BD285" s="4">
        <v>4111</v>
      </c>
      <c r="BE285" s="4">
        <v>4155</v>
      </c>
      <c r="BF285" s="4">
        <v>4157</v>
      </c>
      <c r="BG285" s="4">
        <v>4215</v>
      </c>
      <c r="BH285" s="4">
        <v>4180</v>
      </c>
      <c r="BI285" s="4">
        <v>4215</v>
      </c>
      <c r="BJ285" s="4">
        <v>4272</v>
      </c>
      <c r="BK285" s="4">
        <v>4225</v>
      </c>
      <c r="BL285" s="4">
        <v>4258</v>
      </c>
      <c r="BM285" s="4">
        <v>4293</v>
      </c>
      <c r="BN285" s="4">
        <v>4366</v>
      </c>
      <c r="BO285" s="4">
        <v>4500</v>
      </c>
      <c r="BP285" s="4">
        <v>4503</v>
      </c>
    </row>
    <row r="286" spans="1:68">
      <c r="A286" s="65" t="s">
        <v>499</v>
      </c>
      <c r="B286" s="4" t="str">
        <f>銘柄管理!C286</f>
        <v/>
      </c>
      <c r="C286" s="4" t="str">
        <f>_xll.RssMarket("7270","現在値")</f>
        <v/>
      </c>
      <c r="D286" s="4" t="e">
        <f t="shared" si="8"/>
        <v>#VALUE!</v>
      </c>
      <c r="E286" s="4">
        <v>2534</v>
      </c>
      <c r="F286" s="4">
        <v>2499.5</v>
      </c>
      <c r="G286" s="4">
        <v>2485.5</v>
      </c>
      <c r="H286" s="4">
        <v>2475</v>
      </c>
      <c r="I286" s="4">
        <v>2492.5</v>
      </c>
      <c r="J286" s="4">
        <v>2488.5</v>
      </c>
      <c r="K286" s="4">
        <v>2525</v>
      </c>
      <c r="L286" s="4">
        <v>2589.5</v>
      </c>
      <c r="M286" s="4">
        <v>2515.5</v>
      </c>
      <c r="N286" s="4">
        <v>2501.5</v>
      </c>
      <c r="O286" s="4">
        <v>2406</v>
      </c>
      <c r="P286" s="4">
        <v>2390</v>
      </c>
      <c r="Q286" s="4">
        <v>2401.5</v>
      </c>
      <c r="R286" s="4">
        <v>2401</v>
      </c>
      <c r="S286" s="4">
        <v>2401.5</v>
      </c>
      <c r="T286" s="4">
        <v>2375</v>
      </c>
      <c r="U286" s="4">
        <v>2391.5</v>
      </c>
      <c r="V286" s="4">
        <v>2427.5</v>
      </c>
      <c r="W286" s="4">
        <v>2440.5</v>
      </c>
      <c r="X286" s="4">
        <v>2582.5</v>
      </c>
      <c r="Y286" s="4">
        <v>2564.5</v>
      </c>
      <c r="Z286" s="4">
        <v>2474</v>
      </c>
      <c r="AA286" s="4">
        <v>2480</v>
      </c>
      <c r="AB286" s="4">
        <v>2535.5</v>
      </c>
      <c r="AC286" s="4">
        <v>2493</v>
      </c>
      <c r="AD286" s="4">
        <v>2454.5</v>
      </c>
      <c r="AE286" s="4">
        <v>2474.5</v>
      </c>
      <c r="AF286" s="4">
        <v>2471</v>
      </c>
      <c r="AG286" s="4">
        <v>2438.5</v>
      </c>
      <c r="AH286" s="4">
        <v>2422</v>
      </c>
      <c r="AI286" s="4">
        <v>2442</v>
      </c>
      <c r="AJ286" s="4">
        <v>2465.5</v>
      </c>
      <c r="AK286" s="4">
        <v>2437</v>
      </c>
      <c r="AL286" s="4">
        <v>2464.5</v>
      </c>
      <c r="AM286" s="4">
        <v>2441</v>
      </c>
      <c r="AN286" s="4">
        <v>2493</v>
      </c>
      <c r="AO286" s="4">
        <v>2437</v>
      </c>
      <c r="AP286" s="4">
        <v>2450</v>
      </c>
      <c r="AQ286" s="4">
        <v>2385</v>
      </c>
      <c r="AR286" s="4">
        <v>2567.5</v>
      </c>
      <c r="AS286" s="4">
        <v>2402</v>
      </c>
      <c r="AT286" s="4">
        <v>2346</v>
      </c>
      <c r="AU286" s="4">
        <v>2288</v>
      </c>
      <c r="AV286" s="4">
        <v>2319.5</v>
      </c>
      <c r="AW286" s="4">
        <v>2358</v>
      </c>
      <c r="AX286" s="4">
        <v>2343</v>
      </c>
      <c r="AY286" s="4">
        <v>2369.5</v>
      </c>
      <c r="AZ286" s="4">
        <v>2349.5</v>
      </c>
      <c r="BA286" s="4">
        <v>2438.5</v>
      </c>
      <c r="BB286" s="4">
        <v>2440</v>
      </c>
      <c r="BC286" s="4">
        <v>2447.5</v>
      </c>
      <c r="BD286" s="4">
        <v>2501</v>
      </c>
      <c r="BE286" s="4">
        <v>2500.5</v>
      </c>
      <c r="BF286" s="4">
        <v>2570.5</v>
      </c>
      <c r="BG286" s="4">
        <v>2569</v>
      </c>
      <c r="BH286" s="4">
        <v>2537.5</v>
      </c>
      <c r="BI286" s="4">
        <v>2548</v>
      </c>
      <c r="BJ286" s="4">
        <v>2506</v>
      </c>
      <c r="BK286" s="4">
        <v>2539</v>
      </c>
      <c r="BL286" s="4">
        <v>2506</v>
      </c>
      <c r="BM286" s="4">
        <v>2544.5</v>
      </c>
      <c r="BN286" s="4">
        <v>2540</v>
      </c>
      <c r="BO286" s="4">
        <v>2593.5</v>
      </c>
      <c r="BP286" s="4">
        <v>2522</v>
      </c>
    </row>
    <row r="287" spans="1:68">
      <c r="A287" s="65" t="s">
        <v>500</v>
      </c>
      <c r="B287" s="4" t="str">
        <f>銘柄管理!C287</f>
        <v/>
      </c>
      <c r="C287" s="4" t="str">
        <f>_xll.RssMarket("6736","現在値")</f>
        <v/>
      </c>
      <c r="D287" s="4" t="e">
        <f t="shared" si="8"/>
        <v>#VALUE!</v>
      </c>
      <c r="E287" s="4">
        <v>8870</v>
      </c>
      <c r="F287" s="4">
        <v>9050</v>
      </c>
      <c r="G287" s="4">
        <v>9200</v>
      </c>
      <c r="H287" s="4">
        <v>9510</v>
      </c>
      <c r="I287" s="4">
        <v>9870</v>
      </c>
      <c r="J287" s="4">
        <v>10850</v>
      </c>
      <c r="K287" s="4">
        <v>10520</v>
      </c>
      <c r="L287" s="4">
        <v>10810</v>
      </c>
      <c r="M287" s="4">
        <v>9390</v>
      </c>
      <c r="N287" s="4">
        <v>9680</v>
      </c>
      <c r="O287" s="4">
        <v>8790</v>
      </c>
      <c r="P287" s="4">
        <v>8580</v>
      </c>
      <c r="Q287" s="4">
        <v>8670</v>
      </c>
      <c r="R287" s="4">
        <v>9030</v>
      </c>
      <c r="S287" s="4">
        <v>8840</v>
      </c>
      <c r="T287" s="4">
        <v>8490</v>
      </c>
      <c r="U287" s="4">
        <v>8970</v>
      </c>
      <c r="V287" s="4">
        <v>9060</v>
      </c>
      <c r="W287" s="4">
        <v>9010</v>
      </c>
      <c r="X287" s="4">
        <v>9100</v>
      </c>
      <c r="Y287" s="4">
        <v>8780</v>
      </c>
      <c r="Z287" s="4">
        <v>8690</v>
      </c>
      <c r="AA287" s="4">
        <v>9030</v>
      </c>
      <c r="AB287" s="4">
        <v>8690</v>
      </c>
      <c r="AC287" s="4">
        <v>8610</v>
      </c>
      <c r="AD287" s="4">
        <v>8670</v>
      </c>
      <c r="AE287" s="4">
        <v>8940</v>
      </c>
      <c r="AF287" s="4">
        <v>9100</v>
      </c>
      <c r="AG287" s="4">
        <v>9460</v>
      </c>
      <c r="AH287" s="4">
        <v>9230</v>
      </c>
      <c r="AI287" s="4">
        <v>9060</v>
      </c>
      <c r="AJ287" s="4">
        <v>9150</v>
      </c>
      <c r="AK287" s="4">
        <v>9180</v>
      </c>
      <c r="AL287" s="4">
        <v>9430</v>
      </c>
      <c r="AM287" s="4">
        <v>8900</v>
      </c>
      <c r="AN287" s="4">
        <v>8640</v>
      </c>
      <c r="AO287" s="4">
        <v>9680</v>
      </c>
      <c r="AP287" s="4">
        <v>9120</v>
      </c>
      <c r="AQ287" s="4">
        <v>8760</v>
      </c>
      <c r="AR287" s="4">
        <v>8500</v>
      </c>
      <c r="AS287" s="4">
        <v>8480</v>
      </c>
      <c r="AT287" s="4">
        <v>9070</v>
      </c>
      <c r="AU287" s="4">
        <v>8660</v>
      </c>
      <c r="AV287" s="4">
        <v>8590</v>
      </c>
      <c r="AW287" s="4">
        <v>8610</v>
      </c>
      <c r="AX287" s="4">
        <v>8670</v>
      </c>
      <c r="AY287" s="4">
        <v>8300</v>
      </c>
      <c r="AZ287" s="4">
        <v>8190</v>
      </c>
      <c r="BA287" s="4">
        <v>7980</v>
      </c>
      <c r="BB287" s="4">
        <v>8100</v>
      </c>
      <c r="BC287" s="4">
        <v>8290</v>
      </c>
      <c r="BD287" s="4">
        <v>7990</v>
      </c>
      <c r="BE287" s="4">
        <v>7980</v>
      </c>
      <c r="BF287" s="4">
        <v>7970</v>
      </c>
      <c r="BG287" s="4">
        <v>7860</v>
      </c>
      <c r="BH287" s="4">
        <v>7840</v>
      </c>
      <c r="BI287" s="4">
        <v>7260</v>
      </c>
      <c r="BJ287" s="4">
        <v>7640</v>
      </c>
      <c r="BK287" s="4">
        <v>8550</v>
      </c>
      <c r="BL287" s="4">
        <v>9060</v>
      </c>
      <c r="BM287" s="4">
        <v>9320</v>
      </c>
      <c r="BN287" s="4">
        <v>8370</v>
      </c>
      <c r="BO287" s="4">
        <v>8330</v>
      </c>
      <c r="BP287" s="4">
        <v>8510</v>
      </c>
    </row>
    <row r="288" spans="1:68">
      <c r="A288" s="65" t="s">
        <v>501</v>
      </c>
      <c r="B288" s="4" t="str">
        <f>銘柄管理!C288</f>
        <v/>
      </c>
      <c r="C288" s="4" t="str">
        <f>_xll.RssMarket("2933","現在値")</f>
        <v/>
      </c>
      <c r="D288" s="4" t="e">
        <f t="shared" si="8"/>
        <v>#VALUE!</v>
      </c>
      <c r="E288" s="4">
        <v>1090</v>
      </c>
      <c r="F288" s="4">
        <v>1078</v>
      </c>
      <c r="G288" s="4">
        <v>1076</v>
      </c>
      <c r="H288" s="4">
        <v>1075</v>
      </c>
      <c r="I288" s="4">
        <v>1079</v>
      </c>
      <c r="J288" s="4">
        <v>1075</v>
      </c>
      <c r="K288" s="4">
        <v>1080</v>
      </c>
      <c r="L288" s="4">
        <v>1066</v>
      </c>
      <c r="M288" s="4">
        <v>1065</v>
      </c>
      <c r="N288" s="4">
        <v>1064</v>
      </c>
      <c r="O288" s="4">
        <v>1058</v>
      </c>
      <c r="P288" s="4">
        <v>1055</v>
      </c>
      <c r="Q288" s="4">
        <v>1065</v>
      </c>
      <c r="R288" s="4">
        <v>1062</v>
      </c>
      <c r="S288" s="4">
        <v>1055</v>
      </c>
      <c r="T288" s="4">
        <v>1053</v>
      </c>
      <c r="U288" s="4">
        <v>1061</v>
      </c>
      <c r="V288" s="4">
        <v>1058</v>
      </c>
      <c r="W288" s="4">
        <v>1065</v>
      </c>
      <c r="X288" s="4">
        <v>1050</v>
      </c>
      <c r="Y288" s="4">
        <v>1044</v>
      </c>
      <c r="Z288" s="4">
        <v>1050</v>
      </c>
      <c r="AA288" s="4">
        <v>1048</v>
      </c>
      <c r="AB288" s="4">
        <v>1035</v>
      </c>
      <c r="AC288" s="4">
        <v>1030</v>
      </c>
      <c r="AD288" s="4">
        <v>1022</v>
      </c>
      <c r="AE288" s="4">
        <v>1028</v>
      </c>
      <c r="AF288" s="4">
        <v>1018</v>
      </c>
      <c r="AG288" s="4">
        <v>1027</v>
      </c>
      <c r="AH288" s="4">
        <v>1036</v>
      </c>
      <c r="AI288" s="4">
        <v>1044</v>
      </c>
      <c r="AJ288" s="4">
        <v>1036</v>
      </c>
      <c r="AK288" s="4">
        <v>1038</v>
      </c>
      <c r="AL288" s="4">
        <v>1040</v>
      </c>
      <c r="AM288" s="4">
        <v>1043</v>
      </c>
      <c r="AN288" s="4">
        <v>1042</v>
      </c>
      <c r="AO288" s="4">
        <v>1035</v>
      </c>
      <c r="AP288" s="4">
        <v>1040</v>
      </c>
      <c r="AQ288" s="4">
        <v>1030</v>
      </c>
      <c r="AR288" s="4">
        <v>1030</v>
      </c>
      <c r="AS288" s="4">
        <v>1031</v>
      </c>
      <c r="AT288" s="4">
        <v>1025</v>
      </c>
      <c r="AU288" s="4">
        <v>1024</v>
      </c>
      <c r="AV288" s="4">
        <v>1032</v>
      </c>
      <c r="AW288" s="4">
        <v>1031</v>
      </c>
      <c r="AX288" s="4">
        <v>1032</v>
      </c>
      <c r="AY288" s="4">
        <v>1028</v>
      </c>
      <c r="AZ288" s="4">
        <v>1026</v>
      </c>
      <c r="BA288" s="4">
        <v>1030</v>
      </c>
      <c r="BB288" s="4">
        <v>1034</v>
      </c>
      <c r="BC288" s="4">
        <v>1040</v>
      </c>
      <c r="BD288" s="4">
        <v>1052</v>
      </c>
      <c r="BE288" s="4">
        <v>1061</v>
      </c>
      <c r="BF288" s="4">
        <v>1062</v>
      </c>
      <c r="BG288" s="4">
        <v>1058</v>
      </c>
      <c r="BH288" s="4">
        <v>1058</v>
      </c>
      <c r="BI288" s="4">
        <v>1051</v>
      </c>
      <c r="BJ288" s="4">
        <v>1059</v>
      </c>
      <c r="BK288" s="4">
        <v>1057</v>
      </c>
      <c r="BL288" s="4">
        <v>1058</v>
      </c>
      <c r="BM288" s="4">
        <v>1064</v>
      </c>
      <c r="BN288" s="4">
        <v>1065</v>
      </c>
      <c r="BO288" s="4">
        <v>1062</v>
      </c>
      <c r="BP288" s="4">
        <v>1056</v>
      </c>
    </row>
    <row r="289" spans="1:68">
      <c r="A289" s="65" t="s">
        <v>502</v>
      </c>
      <c r="B289" s="4" t="str">
        <f>銘柄管理!C289</f>
        <v/>
      </c>
      <c r="C289" s="4" t="str">
        <f>_xll.RssMarket("4047","現在値")</f>
        <v/>
      </c>
      <c r="D289" s="4" t="e">
        <f t="shared" si="8"/>
        <v>#VALUE!</v>
      </c>
      <c r="E289" s="4">
        <v>2701</v>
      </c>
      <c r="F289" s="4">
        <v>3055</v>
      </c>
      <c r="G289" s="4">
        <v>3035</v>
      </c>
      <c r="H289" s="4">
        <v>2935</v>
      </c>
      <c r="I289" s="4">
        <v>3070</v>
      </c>
      <c r="J289" s="4">
        <v>3075</v>
      </c>
      <c r="K289" s="4">
        <v>3055</v>
      </c>
      <c r="L289" s="4">
        <v>3355</v>
      </c>
      <c r="M289" s="4">
        <v>3480</v>
      </c>
      <c r="N289" s="4">
        <v>3345</v>
      </c>
      <c r="O289" s="4">
        <v>3570</v>
      </c>
      <c r="P289" s="4">
        <v>3555</v>
      </c>
      <c r="Q289" s="4">
        <v>3630</v>
      </c>
      <c r="R289" s="4">
        <v>3700</v>
      </c>
      <c r="S289" s="4">
        <v>4055</v>
      </c>
      <c r="T289" s="4">
        <v>3880</v>
      </c>
      <c r="U289" s="4">
        <v>3670</v>
      </c>
      <c r="V289" s="4">
        <v>3895</v>
      </c>
      <c r="W289" s="4">
        <v>4015</v>
      </c>
      <c r="X289" s="4">
        <v>3895</v>
      </c>
      <c r="Y289" s="4">
        <v>3760</v>
      </c>
      <c r="Z289" s="4">
        <v>3750</v>
      </c>
      <c r="AA289" s="4">
        <v>4020</v>
      </c>
      <c r="AB289" s="4">
        <v>3860</v>
      </c>
      <c r="AC289" s="4">
        <v>3905</v>
      </c>
      <c r="AD289" s="4">
        <v>4095</v>
      </c>
      <c r="AE289" s="4">
        <v>4405</v>
      </c>
      <c r="AF289" s="4">
        <v>3705</v>
      </c>
      <c r="AG289" s="4">
        <v>3530</v>
      </c>
      <c r="AH289" s="4">
        <v>3540</v>
      </c>
      <c r="AI289" s="4">
        <v>3625</v>
      </c>
      <c r="AJ289" s="4">
        <v>3455</v>
      </c>
      <c r="AK289" s="4">
        <v>3330</v>
      </c>
      <c r="AL289" s="4">
        <v>3305</v>
      </c>
      <c r="AM289" s="4">
        <v>3040</v>
      </c>
      <c r="AN289" s="4">
        <v>2870</v>
      </c>
      <c r="AO289" s="4">
        <v>2666</v>
      </c>
      <c r="AP289" s="4">
        <v>2770</v>
      </c>
      <c r="AQ289" s="4">
        <v>2550</v>
      </c>
      <c r="AR289" s="4">
        <v>2050</v>
      </c>
      <c r="AS289" s="4">
        <v>2175</v>
      </c>
      <c r="AT289" s="4">
        <v>2112</v>
      </c>
      <c r="AU289" s="4">
        <v>1971</v>
      </c>
      <c r="AV289" s="4">
        <v>1909</v>
      </c>
      <c r="AW289" s="4">
        <v>1856</v>
      </c>
      <c r="AX289" s="4">
        <v>1813</v>
      </c>
      <c r="AY289" s="4">
        <v>1706</v>
      </c>
      <c r="AZ289" s="4">
        <v>1671</v>
      </c>
      <c r="BA289" s="4">
        <v>1700</v>
      </c>
      <c r="BB289" s="4">
        <v>1649</v>
      </c>
      <c r="BC289" s="4">
        <v>1646</v>
      </c>
      <c r="BD289" s="4">
        <v>1632</v>
      </c>
      <c r="BE289" s="4">
        <v>1657</v>
      </c>
      <c r="BF289" s="4">
        <v>1671</v>
      </c>
      <c r="BG289" s="4">
        <v>1632</v>
      </c>
      <c r="BH289" s="4">
        <v>1632</v>
      </c>
      <c r="BI289" s="4">
        <v>1671</v>
      </c>
      <c r="BJ289" s="4">
        <v>1659</v>
      </c>
      <c r="BK289" s="4">
        <v>1700</v>
      </c>
      <c r="BL289" s="4">
        <v>1635</v>
      </c>
      <c r="BM289" s="4">
        <v>1625</v>
      </c>
      <c r="BN289" s="4">
        <v>1578</v>
      </c>
      <c r="BO289" s="4">
        <v>1606</v>
      </c>
      <c r="BP289" s="4">
        <v>1442</v>
      </c>
    </row>
    <row r="290" spans="1:68">
      <c r="A290" s="65" t="s">
        <v>503</v>
      </c>
      <c r="B290" s="4" t="str">
        <f>銘柄管理!C290</f>
        <v/>
      </c>
      <c r="C290" s="4" t="str">
        <f>_xll.RssMarket("6482","現在値")</f>
        <v/>
      </c>
      <c r="D290" s="4" t="e">
        <f t="shared" si="8"/>
        <v>#VALUE!</v>
      </c>
      <c r="E290" s="4">
        <v>676</v>
      </c>
      <c r="F290" s="4">
        <v>669</v>
      </c>
      <c r="G290" s="4">
        <v>664</v>
      </c>
      <c r="H290" s="4">
        <v>671</v>
      </c>
      <c r="I290" s="4">
        <v>681</v>
      </c>
      <c r="J290" s="4">
        <v>675</v>
      </c>
      <c r="K290" s="4">
        <v>691</v>
      </c>
      <c r="L290" s="4">
        <v>700</v>
      </c>
      <c r="M290" s="4">
        <v>686</v>
      </c>
      <c r="N290" s="4">
        <v>693</v>
      </c>
      <c r="O290" s="4">
        <v>698</v>
      </c>
      <c r="P290" s="4">
        <v>688</v>
      </c>
      <c r="Q290" s="4">
        <v>703</v>
      </c>
      <c r="R290" s="4">
        <v>705</v>
      </c>
      <c r="S290" s="4">
        <v>715</v>
      </c>
      <c r="T290" s="4">
        <v>706</v>
      </c>
      <c r="U290" s="4">
        <v>736</v>
      </c>
      <c r="V290" s="4">
        <v>740</v>
      </c>
      <c r="W290" s="4">
        <v>734</v>
      </c>
      <c r="X290" s="4">
        <v>770</v>
      </c>
      <c r="Y290" s="4">
        <v>713</v>
      </c>
      <c r="Z290" s="4">
        <v>677</v>
      </c>
      <c r="AA290" s="4">
        <v>672</v>
      </c>
      <c r="AB290" s="4">
        <v>668</v>
      </c>
      <c r="AC290" s="4">
        <v>659</v>
      </c>
      <c r="AD290" s="4">
        <v>672</v>
      </c>
      <c r="AE290" s="4">
        <v>665</v>
      </c>
      <c r="AF290" s="4">
        <v>658</v>
      </c>
      <c r="AG290" s="4">
        <v>646</v>
      </c>
      <c r="AH290" s="4">
        <v>661</v>
      </c>
      <c r="AI290" s="4">
        <v>667</v>
      </c>
      <c r="AJ290" s="4">
        <v>677</v>
      </c>
      <c r="AK290" s="4">
        <v>670</v>
      </c>
      <c r="AL290" s="4">
        <v>710</v>
      </c>
      <c r="AM290" s="4">
        <v>721</v>
      </c>
      <c r="AN290" s="4">
        <v>707</v>
      </c>
      <c r="AO290" s="4">
        <v>708</v>
      </c>
      <c r="AP290" s="4">
        <v>712</v>
      </c>
      <c r="AQ290" s="4">
        <v>720</v>
      </c>
      <c r="AR290" s="4">
        <v>734</v>
      </c>
      <c r="AS290" s="4">
        <v>754</v>
      </c>
      <c r="AT290" s="4">
        <v>731</v>
      </c>
      <c r="AU290" s="4">
        <v>724</v>
      </c>
      <c r="AV290" s="4">
        <v>701</v>
      </c>
      <c r="AW290" s="4">
        <v>683</v>
      </c>
      <c r="AX290" s="4">
        <v>690</v>
      </c>
      <c r="AY290" s="4">
        <v>681</v>
      </c>
      <c r="AZ290" s="4">
        <v>667</v>
      </c>
      <c r="BA290" s="4">
        <v>669</v>
      </c>
      <c r="BB290" s="4">
        <v>658</v>
      </c>
      <c r="BC290" s="4">
        <v>659</v>
      </c>
      <c r="BD290" s="4">
        <v>659</v>
      </c>
      <c r="BE290" s="4">
        <v>671</v>
      </c>
      <c r="BF290" s="4">
        <v>678</v>
      </c>
      <c r="BG290" s="4">
        <v>676</v>
      </c>
      <c r="BH290" s="4">
        <v>671</v>
      </c>
      <c r="BI290" s="4">
        <v>678</v>
      </c>
      <c r="BJ290" s="4">
        <v>680</v>
      </c>
      <c r="BK290" s="4">
        <v>679</v>
      </c>
      <c r="BL290" s="4">
        <v>676</v>
      </c>
      <c r="BM290" s="4">
        <v>679</v>
      </c>
      <c r="BN290" s="4">
        <v>680</v>
      </c>
      <c r="BO290" s="4">
        <v>695</v>
      </c>
      <c r="BP290" s="4">
        <v>689</v>
      </c>
    </row>
    <row r="291" spans="1:68">
      <c r="A291" s="65" t="s">
        <v>504</v>
      </c>
      <c r="B291" s="4" t="str">
        <f>銘柄管理!C291</f>
        <v/>
      </c>
      <c r="C291" s="4" t="str">
        <f>_xll.RssMarket("6706","現在値")</f>
        <v/>
      </c>
      <c r="D291" s="4" t="e">
        <f t="shared" si="8"/>
        <v>#VALUE!</v>
      </c>
      <c r="E291" s="4">
        <v>2875</v>
      </c>
      <c r="F291" s="4">
        <v>3030</v>
      </c>
      <c r="G291" s="4">
        <v>3000</v>
      </c>
      <c r="H291" s="4">
        <v>2988</v>
      </c>
      <c r="I291" s="4">
        <v>3020</v>
      </c>
      <c r="J291" s="4">
        <v>3080</v>
      </c>
      <c r="K291" s="4">
        <v>2930</v>
      </c>
      <c r="L291" s="4">
        <v>3010</v>
      </c>
      <c r="M291" s="4">
        <v>3035</v>
      </c>
      <c r="N291" s="4">
        <v>3045</v>
      </c>
      <c r="O291" s="4">
        <v>3060</v>
      </c>
      <c r="P291" s="4">
        <v>3040</v>
      </c>
      <c r="Q291" s="4">
        <v>3125</v>
      </c>
      <c r="R291" s="4">
        <v>3085</v>
      </c>
      <c r="S291" s="4">
        <v>3130</v>
      </c>
      <c r="T291" s="4">
        <v>3120</v>
      </c>
      <c r="U291" s="4">
        <v>3100</v>
      </c>
      <c r="V291" s="4">
        <v>3135</v>
      </c>
      <c r="W291" s="4">
        <v>3175</v>
      </c>
      <c r="X291" s="4">
        <v>3155</v>
      </c>
      <c r="Y291" s="4">
        <v>3180</v>
      </c>
      <c r="Z291" s="4">
        <v>3175</v>
      </c>
      <c r="AA291" s="4">
        <v>3290</v>
      </c>
      <c r="AB291" s="4">
        <v>3390</v>
      </c>
      <c r="AC291" s="4">
        <v>3465</v>
      </c>
      <c r="AD291" s="4">
        <v>3475</v>
      </c>
      <c r="AE291" s="4">
        <v>3510</v>
      </c>
      <c r="AF291" s="4">
        <v>3475</v>
      </c>
      <c r="AG291" s="4">
        <v>3525</v>
      </c>
      <c r="AH291" s="4">
        <v>3510</v>
      </c>
      <c r="AI291" s="4">
        <v>3520</v>
      </c>
      <c r="AJ291" s="4">
        <v>3480</v>
      </c>
      <c r="AK291" s="4">
        <v>3470</v>
      </c>
      <c r="AL291" s="4">
        <v>3405</v>
      </c>
      <c r="AM291" s="4">
        <v>3415</v>
      </c>
      <c r="AN291" s="4">
        <v>3415</v>
      </c>
      <c r="AO291" s="4">
        <v>3415</v>
      </c>
      <c r="AP291" s="4">
        <v>3445</v>
      </c>
      <c r="AQ291" s="4">
        <v>3460</v>
      </c>
      <c r="AR291" s="4">
        <v>3470</v>
      </c>
      <c r="AS291" s="4">
        <v>3485</v>
      </c>
      <c r="AT291" s="4">
        <v>3465</v>
      </c>
      <c r="AU291" s="4">
        <v>3425</v>
      </c>
      <c r="AV291" s="4">
        <v>3410</v>
      </c>
      <c r="AW291" s="4">
        <v>3415</v>
      </c>
      <c r="AX291" s="4">
        <v>3335</v>
      </c>
      <c r="AY291" s="4">
        <v>3315</v>
      </c>
      <c r="AZ291" s="4">
        <v>3345</v>
      </c>
      <c r="BA291" s="4">
        <v>3295</v>
      </c>
      <c r="BB291" s="4">
        <v>3325</v>
      </c>
      <c r="BC291" s="4">
        <v>3330</v>
      </c>
      <c r="BD291" s="4">
        <v>3280</v>
      </c>
      <c r="BE291" s="4">
        <v>3300</v>
      </c>
      <c r="BF291" s="4">
        <v>3310</v>
      </c>
      <c r="BG291" s="4">
        <v>3275</v>
      </c>
      <c r="BH291" s="4">
        <v>3295</v>
      </c>
      <c r="BI291" s="4">
        <v>3255</v>
      </c>
      <c r="BJ291" s="4">
        <v>3220</v>
      </c>
      <c r="BK291" s="4">
        <v>3165</v>
      </c>
      <c r="BL291" s="4">
        <v>3080</v>
      </c>
      <c r="BM291" s="4">
        <v>3095</v>
      </c>
      <c r="BN291" s="4">
        <v>3170</v>
      </c>
      <c r="BO291" s="4">
        <v>3090</v>
      </c>
      <c r="BP291" s="4">
        <v>3075</v>
      </c>
    </row>
    <row r="292" spans="1:68">
      <c r="A292" s="65" t="s">
        <v>505</v>
      </c>
      <c r="B292" s="4" t="str">
        <f>銘柄管理!C292</f>
        <v/>
      </c>
      <c r="C292" s="4" t="str">
        <f>_xll.RssMarket("8141","現在値")</f>
        <v/>
      </c>
      <c r="D292" s="4" t="e">
        <f t="shared" si="8"/>
        <v>#VALUE!</v>
      </c>
      <c r="E292" s="4">
        <v>1605</v>
      </c>
      <c r="F292" s="4">
        <v>1622</v>
      </c>
      <c r="G292" s="4">
        <v>1588</v>
      </c>
      <c r="H292" s="4">
        <v>1586</v>
      </c>
      <c r="I292" s="4">
        <v>1588</v>
      </c>
      <c r="J292" s="4">
        <v>1590</v>
      </c>
      <c r="K292" s="4">
        <v>1589</v>
      </c>
      <c r="L292" s="4">
        <v>1587</v>
      </c>
      <c r="M292" s="4">
        <v>1588</v>
      </c>
      <c r="N292" s="4">
        <v>1590</v>
      </c>
      <c r="O292" s="4">
        <v>1583</v>
      </c>
      <c r="P292" s="4">
        <v>1565</v>
      </c>
      <c r="Q292" s="4">
        <v>1574</v>
      </c>
      <c r="R292" s="4">
        <v>1577</v>
      </c>
      <c r="S292" s="4">
        <v>1579</v>
      </c>
      <c r="T292" s="4">
        <v>1599</v>
      </c>
      <c r="U292" s="4">
        <v>1580</v>
      </c>
      <c r="V292" s="4">
        <v>1581</v>
      </c>
      <c r="W292" s="4">
        <v>1580</v>
      </c>
      <c r="X292" s="4">
        <v>1579</v>
      </c>
      <c r="Y292" s="4">
        <v>1578</v>
      </c>
      <c r="Z292" s="4">
        <v>1583</v>
      </c>
      <c r="AA292" s="4">
        <v>1585</v>
      </c>
      <c r="AB292" s="4">
        <v>1584</v>
      </c>
      <c r="AC292" s="4">
        <v>1579</v>
      </c>
      <c r="AD292" s="4">
        <v>1580</v>
      </c>
      <c r="AE292" s="4">
        <v>1575</v>
      </c>
      <c r="AF292" s="4">
        <v>1579</v>
      </c>
      <c r="AG292" s="4">
        <v>1595</v>
      </c>
      <c r="AH292" s="4">
        <v>1600</v>
      </c>
      <c r="AI292" s="4">
        <v>1603</v>
      </c>
      <c r="AJ292" s="4">
        <v>1613</v>
      </c>
      <c r="AK292" s="4">
        <v>1606</v>
      </c>
      <c r="AL292" s="4">
        <v>1613</v>
      </c>
      <c r="AM292" s="4">
        <v>1595</v>
      </c>
      <c r="AN292" s="4">
        <v>1525</v>
      </c>
      <c r="AO292" s="4">
        <v>1485</v>
      </c>
      <c r="AP292" s="4">
        <v>1575</v>
      </c>
      <c r="AQ292" s="4">
        <v>1665</v>
      </c>
      <c r="AR292" s="4">
        <v>1662</v>
      </c>
      <c r="AS292" s="4">
        <v>1714</v>
      </c>
      <c r="AT292" s="4">
        <v>1740</v>
      </c>
      <c r="AU292" s="4">
        <v>1668</v>
      </c>
      <c r="AV292" s="4">
        <v>1631</v>
      </c>
      <c r="AW292" s="4">
        <v>1601</v>
      </c>
      <c r="AX292" s="4">
        <v>1540</v>
      </c>
      <c r="AY292" s="4">
        <v>1517</v>
      </c>
      <c r="AZ292" s="4">
        <v>1539</v>
      </c>
      <c r="BA292" s="4">
        <v>1577</v>
      </c>
      <c r="BB292" s="4">
        <v>1550</v>
      </c>
      <c r="BC292" s="4">
        <v>1539</v>
      </c>
      <c r="BD292" s="4">
        <v>1490</v>
      </c>
      <c r="BE292" s="4">
        <v>1450</v>
      </c>
      <c r="BF292" s="4">
        <v>1419</v>
      </c>
      <c r="BG292" s="4">
        <v>1371</v>
      </c>
      <c r="BH292" s="4">
        <v>1447</v>
      </c>
      <c r="BI292" s="4">
        <v>1405</v>
      </c>
      <c r="BJ292" s="4">
        <v>1403</v>
      </c>
      <c r="BK292" s="4">
        <v>1388</v>
      </c>
      <c r="BL292" s="4">
        <v>1350</v>
      </c>
      <c r="BM292" s="4">
        <v>1302</v>
      </c>
      <c r="BN292" s="4">
        <v>1311</v>
      </c>
      <c r="BO292" s="4">
        <v>1269</v>
      </c>
      <c r="BP292" s="4">
        <v>1266</v>
      </c>
    </row>
    <row r="293" spans="1:68">
      <c r="A293" s="65" t="s">
        <v>506</v>
      </c>
      <c r="B293" s="4" t="str">
        <f>銘柄管理!C293</f>
        <v/>
      </c>
      <c r="C293" s="4" t="str">
        <f>_xll.RssMarket("8344","現在値")</f>
        <v/>
      </c>
      <c r="D293" s="4" t="e">
        <f t="shared" si="8"/>
        <v>#VALUE!</v>
      </c>
      <c r="E293" s="4">
        <v>3615</v>
      </c>
      <c r="F293" s="4">
        <v>3930</v>
      </c>
      <c r="G293" s="4">
        <v>3765</v>
      </c>
      <c r="H293" s="4">
        <v>3690</v>
      </c>
      <c r="I293" s="4">
        <v>3785</v>
      </c>
      <c r="J293" s="4">
        <v>3865</v>
      </c>
      <c r="K293" s="4">
        <v>4015</v>
      </c>
      <c r="L293" s="4">
        <v>3965</v>
      </c>
      <c r="M293" s="4">
        <v>3825</v>
      </c>
      <c r="N293" s="4">
        <v>3600</v>
      </c>
      <c r="O293" s="4">
        <v>3525</v>
      </c>
      <c r="P293" s="4">
        <v>3455</v>
      </c>
      <c r="Q293" s="4">
        <v>3365</v>
      </c>
      <c r="R293" s="4">
        <v>3285</v>
      </c>
      <c r="S293" s="4">
        <v>3250</v>
      </c>
      <c r="T293" s="4">
        <v>3335</v>
      </c>
      <c r="U293" s="4">
        <v>3355</v>
      </c>
      <c r="V293" s="4">
        <v>3370</v>
      </c>
      <c r="W293" s="4">
        <v>3465</v>
      </c>
      <c r="X293" s="4">
        <v>3560</v>
      </c>
      <c r="Y293" s="4">
        <v>3495</v>
      </c>
      <c r="Z293" s="4">
        <v>3370</v>
      </c>
      <c r="AA293" s="4">
        <v>3350</v>
      </c>
      <c r="AB293" s="4">
        <v>3075</v>
      </c>
      <c r="AC293" s="4">
        <v>3035</v>
      </c>
      <c r="AD293" s="4">
        <v>2975</v>
      </c>
      <c r="AE293" s="4">
        <v>3055</v>
      </c>
      <c r="AF293" s="4">
        <v>3070</v>
      </c>
      <c r="AG293" s="4">
        <v>3095</v>
      </c>
      <c r="AH293" s="4">
        <v>3080</v>
      </c>
      <c r="AI293" s="4">
        <v>2991</v>
      </c>
      <c r="AJ293" s="4">
        <v>3055</v>
      </c>
      <c r="AK293" s="4">
        <v>3035</v>
      </c>
      <c r="AL293" s="4">
        <v>2994</v>
      </c>
      <c r="AM293" s="4">
        <v>2940</v>
      </c>
      <c r="AN293" s="4">
        <v>2876</v>
      </c>
      <c r="AO293" s="4">
        <v>2655</v>
      </c>
      <c r="AP293" s="4">
        <v>2636</v>
      </c>
      <c r="AQ293" s="4">
        <v>2616</v>
      </c>
      <c r="AR293" s="4">
        <v>2548</v>
      </c>
      <c r="AS293" s="4">
        <v>2535</v>
      </c>
      <c r="AT293" s="4">
        <v>2515</v>
      </c>
      <c r="AU293" s="4">
        <v>2595</v>
      </c>
      <c r="AV293" s="4">
        <v>2503</v>
      </c>
      <c r="AW293" s="4">
        <v>2537</v>
      </c>
      <c r="AX293" s="4">
        <v>2563</v>
      </c>
      <c r="AY293" s="4">
        <v>2396</v>
      </c>
      <c r="AZ293" s="4">
        <v>2415</v>
      </c>
      <c r="BA293" s="4">
        <v>2477</v>
      </c>
      <c r="BB293" s="4">
        <v>2538</v>
      </c>
      <c r="BC293" s="4">
        <v>2638</v>
      </c>
      <c r="BD293" s="4">
        <v>2726</v>
      </c>
      <c r="BE293" s="4">
        <v>2786</v>
      </c>
      <c r="BF293" s="4">
        <v>2780</v>
      </c>
      <c r="BG293" s="4">
        <v>2740</v>
      </c>
      <c r="BH293" s="4">
        <v>2688</v>
      </c>
      <c r="BI293" s="4">
        <v>2683</v>
      </c>
      <c r="BJ293" s="4">
        <v>2678</v>
      </c>
      <c r="BK293" s="4">
        <v>2656</v>
      </c>
      <c r="BL293" s="4">
        <v>2657</v>
      </c>
      <c r="BM293" s="4">
        <v>2579</v>
      </c>
      <c r="BN293" s="4">
        <v>2550</v>
      </c>
      <c r="BO293" s="4">
        <v>2510</v>
      </c>
    </row>
    <row r="294" spans="1:68">
      <c r="A294" s="65" t="s">
        <v>507</v>
      </c>
      <c r="B294" s="4" t="str">
        <f>銘柄管理!C294</f>
        <v/>
      </c>
      <c r="C294" s="4" t="str">
        <f>_xll.RssMarket("7414","現在値")</f>
        <v/>
      </c>
      <c r="D294" s="4" t="e">
        <f t="shared" si="8"/>
        <v>#VALUE!</v>
      </c>
      <c r="E294" s="4">
        <v>1405</v>
      </c>
      <c r="F294" s="4">
        <v>1422</v>
      </c>
      <c r="G294" s="4">
        <v>1382</v>
      </c>
      <c r="H294" s="4">
        <v>1380</v>
      </c>
      <c r="I294" s="4">
        <v>1385</v>
      </c>
      <c r="J294" s="4">
        <v>1374</v>
      </c>
      <c r="K294" s="4">
        <v>1377</v>
      </c>
      <c r="L294" s="4">
        <v>1364</v>
      </c>
      <c r="M294" s="4">
        <v>1357</v>
      </c>
      <c r="N294" s="4">
        <v>1342</v>
      </c>
      <c r="O294" s="4">
        <v>1323</v>
      </c>
      <c r="P294" s="4">
        <v>1334</v>
      </c>
      <c r="Q294" s="4">
        <v>1336</v>
      </c>
      <c r="R294" s="4">
        <v>1326</v>
      </c>
      <c r="S294" s="4">
        <v>1321</v>
      </c>
      <c r="T294" s="4">
        <v>1322</v>
      </c>
      <c r="U294" s="4">
        <v>1324</v>
      </c>
      <c r="V294" s="4">
        <v>1331</v>
      </c>
      <c r="W294" s="4">
        <v>1319</v>
      </c>
      <c r="X294" s="4">
        <v>1330</v>
      </c>
      <c r="Y294" s="4">
        <v>1324</v>
      </c>
      <c r="Z294" s="4">
        <v>1318</v>
      </c>
      <c r="AA294" s="4">
        <v>1309</v>
      </c>
      <c r="AB294" s="4">
        <v>1311</v>
      </c>
      <c r="AC294" s="4">
        <v>1310</v>
      </c>
      <c r="AD294" s="4">
        <v>1330</v>
      </c>
      <c r="AE294" s="4">
        <v>1308</v>
      </c>
      <c r="AF294" s="4">
        <v>1313</v>
      </c>
      <c r="AG294" s="4">
        <v>1301</v>
      </c>
      <c r="AH294" s="4">
        <v>1318</v>
      </c>
      <c r="AI294" s="4">
        <v>1347</v>
      </c>
      <c r="AJ294" s="4">
        <v>1344</v>
      </c>
      <c r="AK294" s="4">
        <v>1338</v>
      </c>
      <c r="AL294" s="4">
        <v>1318</v>
      </c>
      <c r="AM294" s="4">
        <v>1326</v>
      </c>
      <c r="AN294" s="4">
        <v>1329</v>
      </c>
      <c r="AO294" s="4">
        <v>1322</v>
      </c>
      <c r="AP294" s="4">
        <v>1344</v>
      </c>
      <c r="AQ294" s="4">
        <v>1339</v>
      </c>
      <c r="AR294" s="4">
        <v>1366</v>
      </c>
      <c r="AS294" s="4">
        <v>1440</v>
      </c>
      <c r="AT294" s="4">
        <v>1428</v>
      </c>
      <c r="AU294" s="4">
        <v>1440</v>
      </c>
      <c r="AV294" s="4">
        <v>1435</v>
      </c>
      <c r="AW294" s="4">
        <v>1424</v>
      </c>
      <c r="AX294" s="4">
        <v>1447</v>
      </c>
      <c r="AY294" s="4">
        <v>1413</v>
      </c>
      <c r="AZ294" s="4">
        <v>1394</v>
      </c>
      <c r="BA294" s="4">
        <v>1402</v>
      </c>
      <c r="BB294" s="4">
        <v>1375</v>
      </c>
      <c r="BC294" s="4">
        <v>1382</v>
      </c>
      <c r="BD294" s="4">
        <v>1376</v>
      </c>
      <c r="BE294" s="4">
        <v>1380</v>
      </c>
      <c r="BF294" s="4">
        <v>1394</v>
      </c>
      <c r="BG294" s="4">
        <v>1406</v>
      </c>
      <c r="BH294" s="4">
        <v>1396</v>
      </c>
      <c r="BI294" s="4">
        <v>1400</v>
      </c>
      <c r="BJ294" s="4">
        <v>1407</v>
      </c>
      <c r="BK294" s="4">
        <v>1406</v>
      </c>
      <c r="BL294" s="4">
        <v>1404</v>
      </c>
      <c r="BM294" s="4">
        <v>1410</v>
      </c>
      <c r="BN294" s="4">
        <v>1419</v>
      </c>
      <c r="BO294" s="4">
        <v>1420</v>
      </c>
      <c r="BP294" s="4">
        <v>1420</v>
      </c>
    </row>
    <row r="295" spans="1:68">
      <c r="A295" s="65" t="s">
        <v>508</v>
      </c>
      <c r="B295" s="4" t="str">
        <f>銘柄管理!C295</f>
        <v/>
      </c>
      <c r="C295" s="4" t="str">
        <f>_xll.RssMarket("6407","現在値")</f>
        <v/>
      </c>
      <c r="D295" s="4" t="e">
        <f t="shared" si="8"/>
        <v>#VALUE!</v>
      </c>
      <c r="E295" s="4">
        <v>6280</v>
      </c>
      <c r="F295" s="4">
        <v>7210</v>
      </c>
      <c r="G295" s="4">
        <v>6730</v>
      </c>
      <c r="H295" s="4">
        <v>6850</v>
      </c>
      <c r="I295" s="4">
        <v>7230</v>
      </c>
      <c r="J295" s="4">
        <v>6860</v>
      </c>
      <c r="K295" s="4">
        <v>6720</v>
      </c>
      <c r="L295" s="4">
        <v>7480</v>
      </c>
      <c r="M295" s="4">
        <v>7490</v>
      </c>
      <c r="N295" s="4">
        <v>7460</v>
      </c>
      <c r="O295" s="4">
        <v>7860</v>
      </c>
      <c r="P295" s="4">
        <v>7470</v>
      </c>
      <c r="Q295" s="4">
        <v>7450</v>
      </c>
      <c r="R295" s="4">
        <v>7380</v>
      </c>
      <c r="S295" s="4">
        <v>7840</v>
      </c>
      <c r="T295" s="4">
        <v>7450</v>
      </c>
      <c r="U295" s="4">
        <v>7610</v>
      </c>
      <c r="V295" s="4">
        <v>8180</v>
      </c>
      <c r="W295" s="4">
        <v>7760</v>
      </c>
      <c r="X295" s="4">
        <v>7450</v>
      </c>
      <c r="Y295" s="4">
        <v>7470</v>
      </c>
      <c r="Z295" s="4">
        <v>6640</v>
      </c>
      <c r="AA295" s="4">
        <v>6150</v>
      </c>
      <c r="AB295" s="4">
        <v>6190</v>
      </c>
      <c r="AC295" s="4">
        <v>5830</v>
      </c>
      <c r="AD295" s="4">
        <v>6260</v>
      </c>
      <c r="AE295" s="4">
        <v>6300</v>
      </c>
      <c r="AF295" s="4">
        <v>6480</v>
      </c>
      <c r="AG295" s="4">
        <v>6330</v>
      </c>
      <c r="AH295" s="4">
        <v>6720</v>
      </c>
      <c r="AI295" s="4">
        <v>6560</v>
      </c>
      <c r="AJ295" s="4">
        <v>6800</v>
      </c>
      <c r="AK295" s="4">
        <v>6730</v>
      </c>
      <c r="AL295" s="4">
        <v>6890</v>
      </c>
      <c r="AM295" s="4">
        <v>6740</v>
      </c>
      <c r="AN295" s="4">
        <v>6360</v>
      </c>
      <c r="AO295" s="4">
        <v>5920</v>
      </c>
      <c r="AP295" s="4">
        <v>5970</v>
      </c>
      <c r="AQ295" s="4">
        <v>6230</v>
      </c>
      <c r="AR295" s="4">
        <v>6790</v>
      </c>
      <c r="AS295" s="4">
        <v>7000</v>
      </c>
      <c r="AT295" s="4">
        <v>6870</v>
      </c>
      <c r="AU295" s="4">
        <v>6810</v>
      </c>
      <c r="AV295" s="4">
        <v>6680</v>
      </c>
      <c r="AW295" s="4">
        <v>6650</v>
      </c>
      <c r="AX295" s="4">
        <v>6470</v>
      </c>
      <c r="AY295" s="4">
        <v>6030</v>
      </c>
      <c r="AZ295" s="4">
        <v>6040</v>
      </c>
      <c r="BA295" s="4">
        <v>5870</v>
      </c>
      <c r="BB295" s="4">
        <v>5830</v>
      </c>
      <c r="BC295" s="4">
        <v>5520</v>
      </c>
      <c r="BD295" s="4">
        <v>5490</v>
      </c>
      <c r="BE295" s="4">
        <v>5780</v>
      </c>
      <c r="BF295" s="4">
        <v>5630</v>
      </c>
      <c r="BG295" s="4">
        <v>5670</v>
      </c>
      <c r="BH295" s="4">
        <v>5540</v>
      </c>
      <c r="BI295" s="4">
        <v>5760</v>
      </c>
      <c r="BJ295" s="4">
        <v>5600</v>
      </c>
      <c r="BK295" s="4">
        <v>5740</v>
      </c>
      <c r="BL295" s="4">
        <v>5650</v>
      </c>
      <c r="BM295" s="4">
        <v>5570</v>
      </c>
      <c r="BN295" s="4">
        <v>5120</v>
      </c>
      <c r="BO295" s="4">
        <v>5080</v>
      </c>
      <c r="BP295" s="4">
        <v>4900</v>
      </c>
    </row>
    <row r="296" spans="1:68">
      <c r="A296" s="65" t="s">
        <v>509</v>
      </c>
      <c r="B296" s="4" t="str">
        <f>銘柄管理!C296</f>
        <v/>
      </c>
      <c r="C296" s="4" t="str">
        <f>_xll.RssMarket("7048","現在値")</f>
        <v/>
      </c>
      <c r="D296" s="4" t="e">
        <f t="shared" si="8"/>
        <v>#VALUE!</v>
      </c>
      <c r="E296" s="4">
        <v>178</v>
      </c>
      <c r="F296" s="4">
        <v>183</v>
      </c>
      <c r="G296" s="4">
        <v>177</v>
      </c>
      <c r="H296" s="4">
        <v>171</v>
      </c>
      <c r="I296" s="4">
        <v>173</v>
      </c>
      <c r="J296" s="4">
        <v>163</v>
      </c>
      <c r="K296" s="4">
        <v>169</v>
      </c>
      <c r="L296" s="4">
        <v>172</v>
      </c>
      <c r="M296" s="4">
        <v>171</v>
      </c>
      <c r="N296" s="4">
        <v>163</v>
      </c>
      <c r="O296" s="4">
        <v>164</v>
      </c>
      <c r="P296" s="4">
        <v>162</v>
      </c>
      <c r="Q296" s="4">
        <v>163</v>
      </c>
      <c r="R296" s="4">
        <v>176</v>
      </c>
      <c r="S296" s="4">
        <v>197</v>
      </c>
      <c r="T296" s="4">
        <v>171</v>
      </c>
      <c r="U296" s="4">
        <v>152</v>
      </c>
      <c r="V296" s="4">
        <v>133</v>
      </c>
      <c r="W296" s="4">
        <v>126</v>
      </c>
      <c r="X296" s="4">
        <v>119</v>
      </c>
      <c r="Y296" s="4">
        <v>116</v>
      </c>
      <c r="Z296" s="4">
        <v>124</v>
      </c>
      <c r="AA296" s="4">
        <v>126</v>
      </c>
      <c r="AB296" s="4">
        <v>130</v>
      </c>
      <c r="AC296" s="4">
        <v>128</v>
      </c>
      <c r="AD296" s="4">
        <v>129</v>
      </c>
      <c r="AE296" s="4">
        <v>130</v>
      </c>
      <c r="AF296" s="4">
        <v>133</v>
      </c>
      <c r="AG296" s="4">
        <v>131</v>
      </c>
      <c r="AH296" s="4">
        <v>133</v>
      </c>
      <c r="AI296" s="4">
        <v>137</v>
      </c>
      <c r="AJ296" s="4">
        <v>143</v>
      </c>
      <c r="AK296" s="4">
        <v>144</v>
      </c>
      <c r="AL296" s="4">
        <v>147</v>
      </c>
      <c r="AM296" s="4">
        <v>145</v>
      </c>
      <c r="AN296" s="4">
        <v>148</v>
      </c>
      <c r="AO296" s="4">
        <v>159</v>
      </c>
      <c r="AP296" s="4">
        <v>165</v>
      </c>
      <c r="AQ296" s="4">
        <v>163</v>
      </c>
      <c r="AR296" s="4">
        <v>164</v>
      </c>
      <c r="AS296" s="4">
        <v>164</v>
      </c>
      <c r="AT296" s="4">
        <v>163</v>
      </c>
      <c r="AU296" s="4">
        <v>162</v>
      </c>
      <c r="AV296" s="4">
        <v>160</v>
      </c>
      <c r="AW296" s="4">
        <v>164</v>
      </c>
      <c r="AX296" s="4">
        <v>161</v>
      </c>
      <c r="AY296" s="4">
        <v>163</v>
      </c>
      <c r="AZ296" s="4">
        <v>169</v>
      </c>
      <c r="BA296" s="4">
        <v>173</v>
      </c>
      <c r="BB296" s="4">
        <v>179</v>
      </c>
      <c r="BC296" s="4">
        <v>184</v>
      </c>
      <c r="BD296" s="4">
        <v>189</v>
      </c>
      <c r="BE296" s="4">
        <v>179</v>
      </c>
      <c r="BF296" s="4">
        <v>178</v>
      </c>
      <c r="BG296" s="4">
        <v>175</v>
      </c>
      <c r="BH296" s="4">
        <v>174</v>
      </c>
      <c r="BI296" s="4">
        <v>174</v>
      </c>
      <c r="BJ296" s="4">
        <v>179</v>
      </c>
      <c r="BK296" s="4">
        <v>189</v>
      </c>
      <c r="BL296" s="4">
        <v>179</v>
      </c>
      <c r="BM296" s="4">
        <v>180</v>
      </c>
      <c r="BN296" s="4">
        <v>178</v>
      </c>
      <c r="BO296" s="4">
        <v>175</v>
      </c>
      <c r="BP296" s="4">
        <v>183</v>
      </c>
    </row>
    <row r="297" spans="1:68">
      <c r="A297" s="65" t="s">
        <v>510</v>
      </c>
      <c r="B297" s="4" t="str">
        <f>銘柄管理!C297</f>
        <v/>
      </c>
      <c r="C297" s="4" t="str">
        <f>_xll.RssMarket("1808","現在値")</f>
        <v/>
      </c>
      <c r="D297" s="4" t="e">
        <f t="shared" si="8"/>
        <v>#VALUE!</v>
      </c>
      <c r="E297" s="4">
        <v>2812.5</v>
      </c>
      <c r="F297" s="4">
        <v>2809.5</v>
      </c>
      <c r="G297" s="4">
        <v>2809</v>
      </c>
      <c r="H297" s="4">
        <v>2772.5</v>
      </c>
      <c r="I297" s="4">
        <v>2788.5</v>
      </c>
      <c r="J297" s="4">
        <v>2781</v>
      </c>
      <c r="K297" s="4">
        <v>2836</v>
      </c>
      <c r="L297" s="4">
        <v>2869.5</v>
      </c>
      <c r="M297" s="4">
        <v>2825</v>
      </c>
      <c r="N297" s="4">
        <v>2800</v>
      </c>
      <c r="O297" s="4">
        <v>2774</v>
      </c>
      <c r="P297" s="4">
        <v>2843.5</v>
      </c>
      <c r="Q297" s="4">
        <v>2841.5</v>
      </c>
      <c r="R297" s="4">
        <v>2852.5</v>
      </c>
      <c r="S297" s="4">
        <v>2761</v>
      </c>
      <c r="T297" s="4">
        <v>2714</v>
      </c>
      <c r="U297" s="4">
        <v>2720</v>
      </c>
      <c r="V297" s="4">
        <v>2718</v>
      </c>
      <c r="W297" s="4">
        <v>2730</v>
      </c>
      <c r="X297" s="4">
        <v>2706.5</v>
      </c>
      <c r="Y297" s="4">
        <v>2690</v>
      </c>
      <c r="Z297" s="4">
        <v>2691</v>
      </c>
      <c r="AA297" s="4">
        <v>2731</v>
      </c>
      <c r="AB297" s="4">
        <v>2727.5</v>
      </c>
      <c r="AC297" s="4">
        <v>2647</v>
      </c>
      <c r="AD297" s="4">
        <v>2654</v>
      </c>
      <c r="AE297" s="4">
        <v>2626.5</v>
      </c>
      <c r="AF297" s="4">
        <v>2630</v>
      </c>
      <c r="AG297" s="4">
        <v>2617.5</v>
      </c>
      <c r="AH297" s="4">
        <v>2660.5</v>
      </c>
      <c r="AI297" s="4">
        <v>2712.5</v>
      </c>
      <c r="AJ297" s="4">
        <v>2695.5</v>
      </c>
      <c r="AK297" s="4">
        <v>2696.5</v>
      </c>
      <c r="AL297" s="4">
        <v>2676.5</v>
      </c>
      <c r="AM297" s="4">
        <v>2695</v>
      </c>
      <c r="AN297" s="4">
        <v>2719</v>
      </c>
      <c r="AO297" s="4">
        <v>2714.5</v>
      </c>
      <c r="AP297" s="4">
        <v>2790.5</v>
      </c>
      <c r="AQ297" s="4">
        <v>2844</v>
      </c>
      <c r="AR297" s="4">
        <v>2684</v>
      </c>
      <c r="AS297" s="4">
        <v>2689</v>
      </c>
      <c r="AT297" s="4">
        <v>2790.5</v>
      </c>
      <c r="AU297" s="4">
        <v>2803.5</v>
      </c>
      <c r="AV297" s="4">
        <v>2767</v>
      </c>
      <c r="AW297" s="4">
        <v>2758</v>
      </c>
      <c r="AX297" s="4">
        <v>2755</v>
      </c>
      <c r="AY297" s="4">
        <v>2744</v>
      </c>
      <c r="AZ297" s="4">
        <v>2709</v>
      </c>
      <c r="BA297" s="4">
        <v>2818</v>
      </c>
      <c r="BB297" s="4">
        <v>2723.5</v>
      </c>
      <c r="BC297" s="4">
        <v>2684</v>
      </c>
      <c r="BD297" s="4">
        <v>2724.5</v>
      </c>
      <c r="BE297" s="4">
        <v>2762.5</v>
      </c>
      <c r="BF297" s="4">
        <v>2764</v>
      </c>
      <c r="BG297" s="4">
        <v>2821</v>
      </c>
      <c r="BH297" s="4">
        <v>2766.5</v>
      </c>
      <c r="BI297" s="4">
        <v>2770.5</v>
      </c>
      <c r="BJ297" s="4">
        <v>2757</v>
      </c>
      <c r="BK297" s="4">
        <v>2722</v>
      </c>
      <c r="BL297" s="4">
        <v>2885</v>
      </c>
      <c r="BM297" s="4">
        <v>2912</v>
      </c>
      <c r="BN297" s="4">
        <v>2931.5</v>
      </c>
      <c r="BO297" s="4">
        <v>2986.5</v>
      </c>
      <c r="BP297" s="4">
        <v>2920</v>
      </c>
    </row>
    <row r="298" spans="1:68">
      <c r="A298" s="65" t="s">
        <v>511</v>
      </c>
      <c r="B298" s="4" t="str">
        <f>銘柄管理!C298</f>
        <v/>
      </c>
      <c r="C298" s="4" t="str">
        <f>_xll.RssMarket("4208","現在値")</f>
        <v/>
      </c>
      <c r="D298" s="4" t="e">
        <f t="shared" si="8"/>
        <v>#VALUE!</v>
      </c>
      <c r="E298" s="4">
        <v>3208</v>
      </c>
      <c r="F298" s="4">
        <v>3273</v>
      </c>
      <c r="G298" s="4">
        <v>3216</v>
      </c>
      <c r="H298" s="4">
        <v>3100</v>
      </c>
      <c r="I298" s="4">
        <v>3147</v>
      </c>
      <c r="J298" s="4">
        <v>3165</v>
      </c>
      <c r="K298" s="4">
        <v>3172</v>
      </c>
      <c r="L298" s="4">
        <v>3261</v>
      </c>
      <c r="M298" s="4">
        <v>3243</v>
      </c>
      <c r="N298" s="4">
        <v>3202</v>
      </c>
      <c r="O298" s="4">
        <v>3157</v>
      </c>
      <c r="P298" s="4">
        <v>3180</v>
      </c>
      <c r="Q298" s="4">
        <v>3159</v>
      </c>
      <c r="R298" s="4">
        <v>3142</v>
      </c>
      <c r="S298" s="4">
        <v>3181</v>
      </c>
      <c r="T298" s="4">
        <v>3108</v>
      </c>
      <c r="U298" s="4">
        <v>3129</v>
      </c>
      <c r="V298" s="4">
        <v>3222</v>
      </c>
      <c r="W298" s="4">
        <v>3205</v>
      </c>
      <c r="X298" s="4">
        <v>3163</v>
      </c>
      <c r="Y298" s="4">
        <v>3196</v>
      </c>
      <c r="Z298" s="4">
        <v>3068</v>
      </c>
      <c r="AA298" s="4">
        <v>2999.5</v>
      </c>
      <c r="AB298" s="4">
        <v>3018</v>
      </c>
      <c r="AC298" s="4">
        <v>2921</v>
      </c>
      <c r="AD298" s="4">
        <v>2955</v>
      </c>
      <c r="AE298" s="4">
        <v>2941</v>
      </c>
      <c r="AF298" s="4">
        <v>2992</v>
      </c>
      <c r="AG298" s="4">
        <v>2941</v>
      </c>
      <c r="AH298" s="4">
        <v>2918</v>
      </c>
      <c r="AI298" s="4">
        <v>2952.5</v>
      </c>
      <c r="AJ298" s="4">
        <v>2930.5</v>
      </c>
      <c r="AK298" s="4">
        <v>2975.5</v>
      </c>
      <c r="AL298" s="4">
        <v>2970</v>
      </c>
      <c r="AM298" s="4">
        <v>2992</v>
      </c>
      <c r="AN298" s="4">
        <v>3046</v>
      </c>
      <c r="AO298" s="4">
        <v>2890.5</v>
      </c>
      <c r="AP298" s="4">
        <v>2390.5</v>
      </c>
      <c r="AQ298" s="4">
        <v>2400.5</v>
      </c>
      <c r="AR298" s="4">
        <v>2384</v>
      </c>
      <c r="AS298" s="4">
        <v>2459</v>
      </c>
      <c r="AT298" s="4">
        <v>2350.5</v>
      </c>
      <c r="AU298" s="4">
        <v>2321.5</v>
      </c>
      <c r="AV298" s="4">
        <v>2387</v>
      </c>
      <c r="AW298" s="4">
        <v>2388</v>
      </c>
      <c r="AX298" s="4">
        <v>2398</v>
      </c>
      <c r="AY298" s="4">
        <v>2378.5</v>
      </c>
      <c r="AZ298" s="4">
        <v>2366.5</v>
      </c>
      <c r="BA298" s="4">
        <v>2391</v>
      </c>
      <c r="BB298" s="4">
        <v>2360.5</v>
      </c>
      <c r="BC298" s="4">
        <v>2351</v>
      </c>
      <c r="BD298" s="4">
        <v>2349</v>
      </c>
      <c r="BE298" s="4">
        <v>2375.5</v>
      </c>
      <c r="BF298" s="4">
        <v>2413</v>
      </c>
      <c r="BG298" s="4">
        <v>2412.5</v>
      </c>
      <c r="BH298" s="4">
        <v>2447.5</v>
      </c>
      <c r="BI298" s="4">
        <v>2432</v>
      </c>
      <c r="BJ298" s="4">
        <v>2425.5</v>
      </c>
      <c r="BK298" s="4">
        <v>2408.5</v>
      </c>
      <c r="BL298" s="4">
        <v>2418.5</v>
      </c>
      <c r="BM298" s="4">
        <v>2447</v>
      </c>
      <c r="BN298" s="4">
        <v>2467</v>
      </c>
      <c r="BO298" s="4">
        <v>2518</v>
      </c>
      <c r="BP298" s="4">
        <v>2447</v>
      </c>
    </row>
    <row r="299" spans="1:68">
      <c r="A299" s="65" t="s">
        <v>512</v>
      </c>
      <c r="B299" s="4" t="str">
        <f>銘柄管理!C299</f>
        <v/>
      </c>
      <c r="C299" s="4" t="str">
        <f>_xll.RssMarket("186A","現在値")</f>
        <v/>
      </c>
      <c r="D299" s="4" t="e">
        <f t="shared" si="8"/>
        <v>#VALUE!</v>
      </c>
      <c r="E299" s="4">
        <v>981</v>
      </c>
      <c r="F299" s="4">
        <v>1102</v>
      </c>
      <c r="G299" s="4">
        <v>1064</v>
      </c>
      <c r="H299" s="4">
        <v>1096</v>
      </c>
      <c r="I299" s="4">
        <v>1095</v>
      </c>
      <c r="J299" s="4">
        <v>1096</v>
      </c>
      <c r="K299" s="4">
        <v>1073</v>
      </c>
      <c r="L299" s="4">
        <v>1231</v>
      </c>
      <c r="M299" s="4">
        <v>1218</v>
      </c>
      <c r="N299" s="4">
        <v>1124</v>
      </c>
      <c r="O299" s="4">
        <v>1138</v>
      </c>
      <c r="P299" s="4">
        <v>1176</v>
      </c>
      <c r="Q299" s="4">
        <v>1140</v>
      </c>
      <c r="R299" s="4">
        <v>1095</v>
      </c>
      <c r="S299" s="4">
        <v>1162</v>
      </c>
      <c r="T299" s="4">
        <v>1156</v>
      </c>
      <c r="U299" s="4">
        <v>1150</v>
      </c>
      <c r="V299" s="4">
        <v>1320</v>
      </c>
      <c r="W299" s="4">
        <v>1198</v>
      </c>
      <c r="X299" s="4">
        <v>1348</v>
      </c>
      <c r="Y299" s="4">
        <v>1375</v>
      </c>
      <c r="Z299" s="4">
        <v>1905</v>
      </c>
      <c r="AA299" s="4">
        <v>1810</v>
      </c>
      <c r="AB299" s="4">
        <v>1749</v>
      </c>
      <c r="AC299" s="4">
        <v>2089</v>
      </c>
      <c r="AD299" s="4">
        <v>2090</v>
      </c>
      <c r="AE299" s="4">
        <v>1955</v>
      </c>
      <c r="AF299" s="4">
        <v>2065</v>
      </c>
      <c r="AG299" s="4">
        <v>2145</v>
      </c>
      <c r="AH299" s="4">
        <v>2349</v>
      </c>
      <c r="AI299" s="4">
        <v>2739</v>
      </c>
      <c r="AJ299" s="4">
        <v>2868</v>
      </c>
      <c r="AK299" s="4">
        <v>2694</v>
      </c>
      <c r="AL299" s="4">
        <v>2696</v>
      </c>
      <c r="AM299" s="4">
        <v>2352</v>
      </c>
      <c r="AN299" s="4">
        <v>1952</v>
      </c>
      <c r="AO299" s="4">
        <v>1920</v>
      </c>
      <c r="AP299" s="4">
        <v>2115</v>
      </c>
      <c r="AQ299" s="4">
        <v>1892</v>
      </c>
      <c r="AR299" s="4">
        <v>1932</v>
      </c>
      <c r="AS299" s="4">
        <v>1860</v>
      </c>
      <c r="AT299" s="4">
        <v>1824</v>
      </c>
      <c r="AU299" s="4">
        <v>1838</v>
      </c>
      <c r="AV299" s="4">
        <v>1779</v>
      </c>
      <c r="AW299" s="4">
        <v>1570</v>
      </c>
      <c r="AX299" s="4">
        <v>1413</v>
      </c>
      <c r="AY299" s="4">
        <v>1310</v>
      </c>
      <c r="AZ299" s="4">
        <v>1286</v>
      </c>
      <c r="BA299" s="4">
        <v>1312</v>
      </c>
      <c r="BB299" s="4">
        <v>1240</v>
      </c>
      <c r="BC299" s="4">
        <v>1323</v>
      </c>
      <c r="BD299" s="4">
        <v>1409</v>
      </c>
      <c r="BE299" s="4">
        <v>1450</v>
      </c>
      <c r="BF299" s="4">
        <v>1452</v>
      </c>
      <c r="BG299" s="4">
        <v>1454</v>
      </c>
      <c r="BH299" s="4">
        <v>1345</v>
      </c>
      <c r="BI299" s="4">
        <v>1384</v>
      </c>
      <c r="BJ299" s="4">
        <v>1367</v>
      </c>
      <c r="BK299" s="4">
        <v>1389</v>
      </c>
      <c r="BL299" s="4">
        <v>1332</v>
      </c>
      <c r="BM299" s="4">
        <v>1342</v>
      </c>
      <c r="BN299" s="4">
        <v>1239</v>
      </c>
      <c r="BO299" s="4">
        <v>1185</v>
      </c>
      <c r="BP299" s="4">
        <v>1088</v>
      </c>
    </row>
    <row r="300" spans="1:68">
      <c r="A300" s="65" t="s">
        <v>513</v>
      </c>
      <c r="B300" s="4" t="str">
        <f>銘柄管理!C300</f>
        <v/>
      </c>
      <c r="C300" s="4" t="str">
        <f>_xll.RssMarket("6965","現在値")</f>
        <v/>
      </c>
      <c r="D300" s="4" t="e">
        <f t="shared" si="8"/>
        <v>#VALUE!</v>
      </c>
      <c r="E300" s="4">
        <v>2302</v>
      </c>
      <c r="F300" s="4">
        <v>2509.5</v>
      </c>
      <c r="G300" s="4">
        <v>2437</v>
      </c>
      <c r="H300" s="4">
        <v>2453</v>
      </c>
      <c r="I300" s="4">
        <v>2508.5</v>
      </c>
      <c r="J300" s="4">
        <v>2421.5</v>
      </c>
      <c r="K300" s="4">
        <v>2424</v>
      </c>
      <c r="L300" s="4">
        <v>2590</v>
      </c>
      <c r="M300" s="4">
        <v>2669</v>
      </c>
      <c r="N300" s="4">
        <v>2648.5</v>
      </c>
      <c r="O300" s="4">
        <v>2749.5</v>
      </c>
      <c r="P300" s="4">
        <v>2671</v>
      </c>
      <c r="Q300" s="4">
        <v>2661</v>
      </c>
      <c r="R300" s="4">
        <v>2625</v>
      </c>
      <c r="S300" s="4">
        <v>2739.5</v>
      </c>
      <c r="T300" s="4">
        <v>2670</v>
      </c>
      <c r="U300" s="4">
        <v>2659.5</v>
      </c>
      <c r="V300" s="4">
        <v>2825.5</v>
      </c>
      <c r="W300" s="4">
        <v>2797.5</v>
      </c>
      <c r="X300" s="4">
        <v>2777.5</v>
      </c>
      <c r="Y300" s="4">
        <v>2648</v>
      </c>
      <c r="Z300" s="4">
        <v>2495.5</v>
      </c>
      <c r="AA300" s="4">
        <v>2427.5</v>
      </c>
      <c r="AB300" s="4">
        <v>2368.5</v>
      </c>
      <c r="AC300" s="4">
        <v>2630</v>
      </c>
      <c r="AD300" s="4">
        <v>2864</v>
      </c>
      <c r="AE300" s="4">
        <v>2920.5</v>
      </c>
      <c r="AF300" s="4">
        <v>2877.5</v>
      </c>
      <c r="AG300" s="4">
        <v>2732</v>
      </c>
      <c r="AH300" s="4">
        <v>2910</v>
      </c>
      <c r="AI300" s="4">
        <v>2863</v>
      </c>
      <c r="AJ300" s="4">
        <v>2823</v>
      </c>
      <c r="AK300" s="4">
        <v>2700</v>
      </c>
      <c r="AL300" s="4">
        <v>2973.5</v>
      </c>
      <c r="AM300" s="4">
        <v>2910.5</v>
      </c>
      <c r="AN300" s="4">
        <v>2673.5</v>
      </c>
      <c r="AO300" s="4">
        <v>2633.5</v>
      </c>
      <c r="AP300" s="4">
        <v>2685.5</v>
      </c>
      <c r="AQ300" s="4">
        <v>2867</v>
      </c>
      <c r="AR300" s="4">
        <v>2657</v>
      </c>
      <c r="AS300" s="4">
        <v>2157</v>
      </c>
      <c r="AT300" s="4">
        <v>2162.5</v>
      </c>
      <c r="AU300" s="4">
        <v>2177</v>
      </c>
      <c r="AV300" s="4">
        <v>2162</v>
      </c>
      <c r="AW300" s="4">
        <v>2193.5</v>
      </c>
      <c r="AX300" s="4">
        <v>2140</v>
      </c>
      <c r="AY300" s="4">
        <v>2006</v>
      </c>
      <c r="AZ300" s="4">
        <v>2023</v>
      </c>
      <c r="BA300" s="4">
        <v>2002.5</v>
      </c>
      <c r="BB300" s="4">
        <v>2053.5</v>
      </c>
      <c r="BC300" s="4">
        <v>1921.5</v>
      </c>
      <c r="BD300" s="4">
        <v>1913.5</v>
      </c>
      <c r="BE300" s="4">
        <v>1944.5</v>
      </c>
      <c r="BF300" s="4">
        <v>1945.5</v>
      </c>
      <c r="BG300" s="4">
        <v>1952</v>
      </c>
      <c r="BH300" s="4">
        <v>1937</v>
      </c>
      <c r="BI300" s="4">
        <v>1960</v>
      </c>
      <c r="BJ300" s="4">
        <v>1902</v>
      </c>
      <c r="BK300" s="4">
        <v>1936</v>
      </c>
      <c r="BL300" s="4">
        <v>1949.5</v>
      </c>
      <c r="BM300" s="4">
        <v>1942.5</v>
      </c>
      <c r="BN300" s="4">
        <v>1950</v>
      </c>
      <c r="BO300" s="4">
        <v>1966.5</v>
      </c>
      <c r="BP300" s="4">
        <v>1839</v>
      </c>
    </row>
    <row r="301" spans="1:68">
      <c r="A301" s="65" t="s">
        <v>514</v>
      </c>
      <c r="B301" s="4" t="str">
        <f>銘柄管理!C301</f>
        <v/>
      </c>
      <c r="C301" s="4" t="str">
        <f>_xll.RssMarket("6331","現在値")</f>
        <v/>
      </c>
      <c r="D301" s="4" t="e">
        <f t="shared" si="8"/>
        <v>#VALUE!</v>
      </c>
      <c r="E301" s="4">
        <v>3175</v>
      </c>
      <c r="F301" s="4">
        <v>3465</v>
      </c>
      <c r="G301" s="4">
        <v>3415</v>
      </c>
      <c r="H301" s="4">
        <v>3430</v>
      </c>
      <c r="I301" s="4">
        <v>3555</v>
      </c>
      <c r="J301" s="4">
        <v>3490</v>
      </c>
      <c r="K301" s="4">
        <v>3600</v>
      </c>
      <c r="L301" s="4">
        <v>3955</v>
      </c>
      <c r="M301" s="4">
        <v>3820</v>
      </c>
      <c r="N301" s="4">
        <v>3715</v>
      </c>
      <c r="O301" s="4">
        <v>3700</v>
      </c>
      <c r="P301" s="4">
        <v>3650</v>
      </c>
      <c r="Q301" s="4">
        <v>3755</v>
      </c>
      <c r="R301" s="4">
        <v>3830</v>
      </c>
      <c r="S301" s="4">
        <v>3930</v>
      </c>
      <c r="T301" s="4">
        <v>3840</v>
      </c>
      <c r="U301" s="4">
        <v>3880</v>
      </c>
      <c r="V301" s="4">
        <v>4145</v>
      </c>
      <c r="W301" s="4">
        <v>3995</v>
      </c>
      <c r="X301" s="4">
        <v>4100</v>
      </c>
      <c r="Y301" s="4">
        <v>3910</v>
      </c>
      <c r="Z301" s="4">
        <v>3660</v>
      </c>
      <c r="AA301" s="4">
        <v>3615</v>
      </c>
      <c r="AB301" s="4">
        <v>3500</v>
      </c>
      <c r="AC301" s="4">
        <v>3610</v>
      </c>
      <c r="AD301" s="4">
        <v>3460</v>
      </c>
      <c r="AE301" s="4">
        <v>3640</v>
      </c>
      <c r="AF301" s="4">
        <v>3425</v>
      </c>
      <c r="AG301" s="4">
        <v>3485</v>
      </c>
      <c r="AH301" s="4">
        <v>3590</v>
      </c>
      <c r="AI301" s="4">
        <v>3660</v>
      </c>
      <c r="AJ301" s="4">
        <v>3665</v>
      </c>
      <c r="AK301" s="4">
        <v>3490</v>
      </c>
      <c r="AL301" s="4">
        <v>3400</v>
      </c>
      <c r="AM301" s="4">
        <v>3495</v>
      </c>
      <c r="AN301" s="4">
        <v>3440</v>
      </c>
      <c r="AO301" s="4">
        <v>3625</v>
      </c>
      <c r="AP301" s="4">
        <v>3845</v>
      </c>
      <c r="AQ301" s="4">
        <v>3660</v>
      </c>
      <c r="AR301" s="4">
        <v>3305</v>
      </c>
      <c r="AS301" s="4">
        <v>3320</v>
      </c>
      <c r="AT301" s="4">
        <v>3310</v>
      </c>
      <c r="AU301" s="4">
        <v>3285</v>
      </c>
      <c r="AV301" s="4">
        <v>3275</v>
      </c>
      <c r="AW301" s="4">
        <v>3285</v>
      </c>
      <c r="AX301" s="4">
        <v>3260</v>
      </c>
      <c r="AY301" s="4">
        <v>3180</v>
      </c>
      <c r="AZ301" s="4">
        <v>3205</v>
      </c>
      <c r="BA301" s="4">
        <v>3285</v>
      </c>
      <c r="BB301" s="4">
        <v>3210</v>
      </c>
      <c r="BC301" s="4">
        <v>3180</v>
      </c>
      <c r="BD301" s="4">
        <v>3055</v>
      </c>
      <c r="BE301" s="4">
        <v>3035</v>
      </c>
      <c r="BF301" s="4">
        <v>3045</v>
      </c>
      <c r="BG301" s="4">
        <v>3030</v>
      </c>
      <c r="BH301" s="4">
        <v>3075</v>
      </c>
      <c r="BI301" s="4">
        <v>3045</v>
      </c>
      <c r="BJ301" s="4">
        <v>3090</v>
      </c>
      <c r="BK301" s="4">
        <v>3120</v>
      </c>
      <c r="BL301" s="4">
        <v>3185</v>
      </c>
      <c r="BM301" s="4">
        <v>3170</v>
      </c>
      <c r="BN301" s="4">
        <v>3235</v>
      </c>
      <c r="BO301" s="4">
        <v>3080</v>
      </c>
      <c r="BP301" s="4">
        <v>3075</v>
      </c>
    </row>
    <row r="302" spans="1:68">
      <c r="A302" s="65" t="s">
        <v>515</v>
      </c>
      <c r="B302" s="4" t="str">
        <f>銘柄管理!C302</f>
        <v/>
      </c>
      <c r="C302" s="4" t="str">
        <f>_xll.RssMarket("7741","現在値")</f>
        <v/>
      </c>
      <c r="D302" s="4" t="e">
        <f t="shared" si="8"/>
        <v>#VALUE!</v>
      </c>
      <c r="E302" s="4">
        <v>25215</v>
      </c>
      <c r="F302" s="4">
        <v>25330</v>
      </c>
      <c r="G302" s="4">
        <v>25570</v>
      </c>
      <c r="H302" s="4">
        <v>25480</v>
      </c>
      <c r="I302" s="4">
        <v>24975</v>
      </c>
      <c r="J302" s="4">
        <v>24780</v>
      </c>
      <c r="K302" s="4">
        <v>23910</v>
      </c>
      <c r="L302" s="4">
        <v>25575</v>
      </c>
      <c r="M302" s="4">
        <v>25930</v>
      </c>
      <c r="N302" s="4">
        <v>25590</v>
      </c>
      <c r="O302" s="4">
        <v>25905</v>
      </c>
      <c r="P302" s="4">
        <v>25950</v>
      </c>
      <c r="Q302" s="4">
        <v>25805</v>
      </c>
      <c r="R302" s="4">
        <v>25575</v>
      </c>
      <c r="S302" s="4">
        <v>26120</v>
      </c>
      <c r="T302" s="4">
        <v>26350</v>
      </c>
      <c r="U302" s="4">
        <v>26485</v>
      </c>
      <c r="V302" s="4">
        <v>26975</v>
      </c>
      <c r="W302" s="4">
        <v>27245</v>
      </c>
      <c r="X302" s="4">
        <v>27620</v>
      </c>
      <c r="Y302" s="4">
        <v>27065</v>
      </c>
      <c r="Z302" s="4">
        <v>26420</v>
      </c>
      <c r="AA302" s="4">
        <v>25650</v>
      </c>
      <c r="AB302" s="4">
        <v>25710</v>
      </c>
      <c r="AC302" s="4">
        <v>25280</v>
      </c>
      <c r="AD302" s="4">
        <v>26340</v>
      </c>
      <c r="AE302" s="4">
        <v>26430</v>
      </c>
      <c r="AF302" s="4">
        <v>27495</v>
      </c>
      <c r="AG302" s="4">
        <v>26305</v>
      </c>
      <c r="AH302" s="4">
        <v>27080</v>
      </c>
      <c r="AI302" s="4">
        <v>26970</v>
      </c>
      <c r="AJ302" s="4">
        <v>27195</v>
      </c>
      <c r="AK302" s="4">
        <v>26300</v>
      </c>
      <c r="AL302" s="4">
        <v>26225</v>
      </c>
      <c r="AM302" s="4">
        <v>26580</v>
      </c>
      <c r="AN302" s="4">
        <v>26500</v>
      </c>
      <c r="AO302" s="4">
        <v>26895</v>
      </c>
      <c r="AP302" s="4">
        <v>27725</v>
      </c>
      <c r="AQ302" s="4">
        <v>28005</v>
      </c>
      <c r="AR302" s="4">
        <v>27670</v>
      </c>
      <c r="AS302" s="4">
        <v>27680</v>
      </c>
      <c r="AT302" s="4">
        <v>27285</v>
      </c>
      <c r="AU302" s="4">
        <v>27235</v>
      </c>
      <c r="AV302" s="4">
        <v>27470</v>
      </c>
      <c r="AW302" s="4">
        <v>27510</v>
      </c>
      <c r="AX302" s="4">
        <v>27830</v>
      </c>
      <c r="AY302" s="4">
        <v>29100</v>
      </c>
      <c r="AZ302" s="4">
        <v>29305</v>
      </c>
      <c r="BA302" s="4">
        <v>28940</v>
      </c>
      <c r="BB302" s="4">
        <v>28590</v>
      </c>
      <c r="BC302" s="4">
        <v>28495</v>
      </c>
      <c r="BD302" s="4">
        <v>28675</v>
      </c>
      <c r="BE302" s="4">
        <v>28970</v>
      </c>
      <c r="BF302" s="4">
        <v>29645</v>
      </c>
      <c r="BG302" s="4">
        <v>28995</v>
      </c>
      <c r="BH302" s="4">
        <v>30000</v>
      </c>
      <c r="BI302" s="4">
        <v>30030</v>
      </c>
      <c r="BJ302" s="4">
        <v>29400</v>
      </c>
      <c r="BK302" s="4">
        <v>29170</v>
      </c>
      <c r="BL302" s="4">
        <v>29490</v>
      </c>
      <c r="BM302" s="4">
        <v>28985</v>
      </c>
      <c r="BN302" s="4">
        <v>28755</v>
      </c>
      <c r="BO302" s="4">
        <v>28005</v>
      </c>
      <c r="BP302" s="4">
        <v>27960</v>
      </c>
    </row>
    <row r="303" spans="1:68">
      <c r="A303" s="65" t="s">
        <v>882</v>
      </c>
      <c r="B303" s="4" t="str">
        <f>銘柄管理!C303</f>
        <v/>
      </c>
      <c r="C303" s="4" t="str">
        <f>_xll.RssMarket("1321","現在値")</f>
        <v/>
      </c>
      <c r="D303" s="4" t="e">
        <f t="shared" si="8"/>
        <v>#VALUE!</v>
      </c>
      <c r="E303" s="4">
        <v>66960</v>
      </c>
      <c r="F303" s="4">
        <v>71140</v>
      </c>
      <c r="G303" s="4">
        <v>70050</v>
      </c>
      <c r="H303" s="4">
        <v>69510</v>
      </c>
      <c r="I303" s="4">
        <v>71120</v>
      </c>
      <c r="J303" s="4">
        <v>70280</v>
      </c>
      <c r="K303" s="4">
        <v>69640</v>
      </c>
      <c r="L303" s="4">
        <v>72980</v>
      </c>
      <c r="M303" s="4">
        <v>73140</v>
      </c>
      <c r="N303" s="4">
        <v>72000</v>
      </c>
      <c r="O303" s="4">
        <v>73700</v>
      </c>
      <c r="P303" s="4">
        <v>73510</v>
      </c>
      <c r="Q303" s="4">
        <v>72800</v>
      </c>
      <c r="R303" s="4">
        <v>72560</v>
      </c>
      <c r="S303" s="4">
        <v>75730</v>
      </c>
      <c r="T303" s="4">
        <v>72460</v>
      </c>
      <c r="U303" s="4">
        <v>73150</v>
      </c>
      <c r="V303" s="4">
        <v>75970</v>
      </c>
      <c r="W303" s="4">
        <v>74630</v>
      </c>
      <c r="X303" s="4">
        <v>74380</v>
      </c>
      <c r="Y303" s="4">
        <v>73190</v>
      </c>
      <c r="Z303" s="4">
        <v>72570</v>
      </c>
      <c r="AA303" s="4">
        <v>72620</v>
      </c>
      <c r="AB303" s="4">
        <v>69090</v>
      </c>
      <c r="AC303" s="4">
        <v>67210</v>
      </c>
      <c r="AD303" s="4">
        <v>67270</v>
      </c>
      <c r="AE303" s="4">
        <v>67030</v>
      </c>
      <c r="AF303" s="4">
        <v>69700</v>
      </c>
      <c r="AG303" s="4">
        <v>70570</v>
      </c>
      <c r="AH303" s="4">
        <v>71580</v>
      </c>
      <c r="AI303" s="4">
        <v>69830</v>
      </c>
      <c r="AJ303" s="4">
        <v>69310</v>
      </c>
      <c r="AK303" s="4">
        <v>67640</v>
      </c>
      <c r="AL303" s="4">
        <v>68120</v>
      </c>
      <c r="AM303" s="4">
        <v>68330</v>
      </c>
      <c r="AN303" s="4">
        <v>66210</v>
      </c>
      <c r="AO303" s="4">
        <v>64530</v>
      </c>
      <c r="AP303" s="4">
        <v>62720</v>
      </c>
      <c r="AQ303" s="4">
        <v>63470</v>
      </c>
      <c r="AR303" s="4">
        <v>63740</v>
      </c>
      <c r="AS303" s="4">
        <v>64280</v>
      </c>
      <c r="AT303" s="4">
        <v>65610</v>
      </c>
      <c r="AU303" s="4">
        <v>66200</v>
      </c>
      <c r="AV303" s="4">
        <v>65590</v>
      </c>
      <c r="AW303" s="4">
        <v>65370</v>
      </c>
      <c r="AX303" s="4">
        <v>65600</v>
      </c>
      <c r="AY303" s="4">
        <v>65880</v>
      </c>
      <c r="AZ303" s="4">
        <v>62230</v>
      </c>
      <c r="BA303" s="4">
        <v>61990</v>
      </c>
      <c r="BB303" s="4">
        <v>62650</v>
      </c>
      <c r="BC303" s="4">
        <v>63400</v>
      </c>
      <c r="BD303" s="4">
        <v>62390</v>
      </c>
      <c r="BE303" s="4">
        <v>61870</v>
      </c>
      <c r="BF303" s="4">
        <v>62320</v>
      </c>
      <c r="BG303" s="4">
        <v>62070</v>
      </c>
      <c r="BH303" s="4">
        <v>61530</v>
      </c>
      <c r="BI303" s="4">
        <v>61360</v>
      </c>
      <c r="BJ303" s="4">
        <v>62390</v>
      </c>
      <c r="BK303" s="4">
        <v>60860</v>
      </c>
      <c r="BL303" s="4">
        <v>60480</v>
      </c>
      <c r="BM303" s="4">
        <v>59160</v>
      </c>
      <c r="BN303" s="4">
        <v>59520</v>
      </c>
      <c r="BO303" s="4">
        <v>58500</v>
      </c>
      <c r="BP303" s="4">
        <v>58960</v>
      </c>
    </row>
    <row r="304" spans="1:68">
      <c r="A304" s="65" t="s">
        <v>884</v>
      </c>
      <c r="B304" s="4" t="str">
        <f>銘柄管理!C304</f>
        <v/>
      </c>
      <c r="C304" s="4" t="str">
        <f>_xll.RssMarket("1944","現在値")</f>
        <v/>
      </c>
      <c r="D304" s="4" t="e">
        <f t="shared" si="8"/>
        <v>#VALUE!</v>
      </c>
      <c r="E304" s="4">
        <v>7084</v>
      </c>
      <c r="F304" s="4">
        <v>7553</v>
      </c>
      <c r="G304" s="4">
        <v>7374</v>
      </c>
      <c r="H304" s="4">
        <v>7387</v>
      </c>
      <c r="I304" s="4">
        <v>7634</v>
      </c>
      <c r="J304" s="4">
        <v>7702</v>
      </c>
      <c r="K304" s="4">
        <v>7792</v>
      </c>
      <c r="L304" s="4">
        <v>8038</v>
      </c>
      <c r="M304" s="4">
        <v>7936</v>
      </c>
      <c r="N304" s="4">
        <v>7837</v>
      </c>
      <c r="O304" s="4">
        <v>7809</v>
      </c>
      <c r="P304" s="4">
        <v>7946</v>
      </c>
      <c r="Q304" s="4">
        <v>8030</v>
      </c>
      <c r="R304" s="4">
        <v>8095</v>
      </c>
      <c r="S304" s="4">
        <v>8162</v>
      </c>
      <c r="T304" s="4">
        <v>8209</v>
      </c>
      <c r="U304" s="4">
        <v>8073</v>
      </c>
      <c r="V304" s="4">
        <v>8367</v>
      </c>
      <c r="W304" s="4">
        <v>8272</v>
      </c>
      <c r="X304" s="4">
        <v>7964</v>
      </c>
      <c r="Y304" s="4">
        <v>7737</v>
      </c>
      <c r="Z304" s="4">
        <v>7295</v>
      </c>
      <c r="AA304" s="4">
        <v>7304</v>
      </c>
      <c r="AB304" s="4">
        <v>6780</v>
      </c>
      <c r="AC304" s="4">
        <v>6831</v>
      </c>
      <c r="AD304" s="4">
        <v>6916</v>
      </c>
      <c r="AE304" s="4">
        <v>6762</v>
      </c>
      <c r="AF304" s="4">
        <v>6621</v>
      </c>
      <c r="AG304" s="4">
        <v>6563</v>
      </c>
      <c r="AH304" s="4">
        <v>6533</v>
      </c>
      <c r="AI304" s="4">
        <v>6777</v>
      </c>
      <c r="AJ304" s="4">
        <v>7179</v>
      </c>
      <c r="AK304" s="4">
        <v>7235</v>
      </c>
      <c r="AL304" s="4">
        <v>7050</v>
      </c>
      <c r="AM304" s="4">
        <v>7197</v>
      </c>
      <c r="AN304" s="4">
        <v>6798</v>
      </c>
      <c r="AO304" s="4">
        <v>6819</v>
      </c>
      <c r="AP304" s="4">
        <v>6728</v>
      </c>
      <c r="AQ304" s="4">
        <v>7050</v>
      </c>
      <c r="AR304" s="4">
        <v>6916</v>
      </c>
      <c r="AS304" s="4">
        <v>7458</v>
      </c>
      <c r="AT304" s="4">
        <v>7722</v>
      </c>
      <c r="AU304" s="4">
        <v>7995</v>
      </c>
      <c r="AV304" s="4">
        <v>8133</v>
      </c>
      <c r="AW304" s="4">
        <v>8226</v>
      </c>
      <c r="AX304" s="4">
        <v>8310</v>
      </c>
      <c r="AY304" s="4">
        <v>8525</v>
      </c>
      <c r="AZ304" s="4">
        <v>8140</v>
      </c>
      <c r="BA304" s="4">
        <v>8382</v>
      </c>
      <c r="BB304" s="4">
        <v>7932</v>
      </c>
      <c r="BC304" s="4">
        <v>6932</v>
      </c>
      <c r="BD304" s="4">
        <v>7213</v>
      </c>
      <c r="BE304" s="4">
        <v>7135</v>
      </c>
      <c r="BF304" s="4">
        <v>7001</v>
      </c>
      <c r="BG304" s="4">
        <v>7014</v>
      </c>
      <c r="BH304" s="4">
        <v>7099</v>
      </c>
      <c r="BI304" s="4">
        <v>7056</v>
      </c>
      <c r="BJ304" s="4">
        <v>7113</v>
      </c>
      <c r="BK304" s="4">
        <v>6903</v>
      </c>
      <c r="BL304" s="4">
        <v>7325</v>
      </c>
      <c r="BM304" s="4">
        <v>7303</v>
      </c>
      <c r="BN304" s="4">
        <v>7426</v>
      </c>
      <c r="BO304" s="4">
        <v>7448</v>
      </c>
      <c r="BP304" s="4">
        <v>7396</v>
      </c>
    </row>
    <row r="305" spans="1:65">
      <c r="A305" s="65" t="s">
        <v>1144</v>
      </c>
      <c r="B305" s="4" t="str">
        <f>銘柄管理!C305</f>
        <v/>
      </c>
      <c r="C305" s="4" t="str">
        <f>_xll.RssMarket("7532","現在値")</f>
        <v/>
      </c>
      <c r="D305" s="4" t="e">
        <f t="shared" si="8"/>
        <v>#VALUE!</v>
      </c>
      <c r="E305" s="4">
        <v>889</v>
      </c>
      <c r="F305" s="4">
        <v>858.5</v>
      </c>
      <c r="G305" s="4">
        <v>874</v>
      </c>
      <c r="H305" s="4">
        <v>872.7</v>
      </c>
      <c r="I305" s="4">
        <v>850.4</v>
      </c>
      <c r="J305" s="4">
        <v>870.9</v>
      </c>
      <c r="K305" s="4">
        <v>873.2</v>
      </c>
      <c r="L305" s="4">
        <v>866.7</v>
      </c>
      <c r="M305" s="4">
        <v>852.7</v>
      </c>
      <c r="N305" s="4">
        <v>818.3</v>
      </c>
      <c r="O305" s="4">
        <v>820.7</v>
      </c>
      <c r="P305" s="4">
        <v>793.6</v>
      </c>
      <c r="Q305" s="4">
        <v>823</v>
      </c>
      <c r="R305" s="4">
        <v>826.4</v>
      </c>
      <c r="S305" s="4">
        <v>823</v>
      </c>
      <c r="T305" s="4">
        <v>820.7</v>
      </c>
      <c r="U305" s="4">
        <v>818.5</v>
      </c>
      <c r="V305" s="4">
        <v>813.4</v>
      </c>
      <c r="W305" s="4">
        <v>816.4</v>
      </c>
      <c r="X305" s="4">
        <v>819</v>
      </c>
      <c r="Y305" s="4">
        <v>835.3</v>
      </c>
      <c r="Z305" s="4">
        <v>835.6</v>
      </c>
      <c r="AA305" s="4">
        <v>834.6</v>
      </c>
      <c r="AB305" s="4">
        <v>837.2</v>
      </c>
      <c r="AC305" s="4">
        <v>855.3</v>
      </c>
      <c r="AD305" s="4">
        <v>867.8</v>
      </c>
      <c r="AE305" s="4">
        <v>849</v>
      </c>
      <c r="AF305" s="4">
        <v>839.3</v>
      </c>
      <c r="AG305" s="4">
        <v>831.9</v>
      </c>
      <c r="AH305" s="4">
        <v>826.1</v>
      </c>
      <c r="AI305" s="4">
        <v>824.6</v>
      </c>
      <c r="AJ305" s="4">
        <v>826.7</v>
      </c>
      <c r="AK305" s="4">
        <v>878.2</v>
      </c>
      <c r="AL305" s="4">
        <v>858.5</v>
      </c>
      <c r="AM305" s="4">
        <v>819</v>
      </c>
      <c r="AN305" s="4">
        <v>824.6</v>
      </c>
      <c r="AO305" s="4">
        <v>866.9</v>
      </c>
      <c r="AP305" s="4">
        <v>867.1</v>
      </c>
      <c r="AQ305" s="4">
        <v>872.1</v>
      </c>
      <c r="AR305" s="4">
        <v>884.8</v>
      </c>
      <c r="AS305" s="4">
        <v>871.3</v>
      </c>
      <c r="AT305" s="4">
        <v>871.3</v>
      </c>
      <c r="AU305" s="4">
        <v>858</v>
      </c>
      <c r="AV305" s="4">
        <v>883.6</v>
      </c>
      <c r="AW305" s="4">
        <v>893.8</v>
      </c>
      <c r="AX305" s="4">
        <v>907.3</v>
      </c>
      <c r="AY305" s="4">
        <v>883.5</v>
      </c>
      <c r="AZ305" s="4">
        <v>887.3</v>
      </c>
      <c r="BA305" s="4">
        <v>888</v>
      </c>
      <c r="BB305" s="4">
        <v>889.4</v>
      </c>
      <c r="BC305" s="4">
        <v>900.7</v>
      </c>
      <c r="BD305" s="4">
        <v>914.6</v>
      </c>
      <c r="BE305" s="4">
        <v>918.4</v>
      </c>
      <c r="BF305" s="4">
        <v>922</v>
      </c>
      <c r="BG305" s="4">
        <v>949.4</v>
      </c>
      <c r="BH305" s="4">
        <v>942</v>
      </c>
      <c r="BI305" s="4">
        <v>959.3</v>
      </c>
      <c r="BJ305" s="4">
        <v>940</v>
      </c>
      <c r="BK305" s="4">
        <v>963.2</v>
      </c>
      <c r="BL305" s="4">
        <v>961.5</v>
      </c>
      <c r="BM305" s="4">
        <v>962.6</v>
      </c>
    </row>
    <row r="306" spans="1:65">
      <c r="A306" s="66"/>
    </row>
    <row r="307" spans="1:65">
      <c r="A307" s="66"/>
    </row>
    <row r="308" spans="1:65">
      <c r="A308" s="66"/>
    </row>
    <row r="309" spans="1:65">
      <c r="A309" s="66"/>
    </row>
    <row r="310" spans="1:65">
      <c r="A310" s="66"/>
    </row>
    <row r="311" spans="1:65">
      <c r="A311" s="66"/>
    </row>
    <row r="312" spans="1:65">
      <c r="A312" s="66"/>
    </row>
    <row r="313" spans="1:65">
      <c r="A313" s="66"/>
    </row>
    <row r="314" spans="1:65">
      <c r="A314" s="66"/>
    </row>
    <row r="315" spans="1:65">
      <c r="A315" s="66"/>
    </row>
    <row r="316" spans="1:65">
      <c r="A316" s="66"/>
    </row>
    <row r="317" spans="1:65">
      <c r="A317" s="66"/>
    </row>
    <row r="318" spans="1:65">
      <c r="A318" s="66"/>
    </row>
    <row r="319" spans="1:65">
      <c r="A319" s="66"/>
    </row>
    <row r="320" spans="1:65">
      <c r="A320" s="66"/>
    </row>
    <row r="321" spans="1:1">
      <c r="A321" s="66"/>
    </row>
    <row r="322" spans="1:1">
      <c r="A322" s="66"/>
    </row>
    <row r="323" spans="1:1">
      <c r="A323" s="66"/>
    </row>
    <row r="324" spans="1:1">
      <c r="A324" s="66"/>
    </row>
    <row r="325" spans="1:1">
      <c r="A325" s="66"/>
    </row>
    <row r="326" spans="1:1">
      <c r="A326" s="66"/>
    </row>
    <row r="327" spans="1:1">
      <c r="A327" s="66"/>
    </row>
    <row r="328" spans="1:1">
      <c r="A328" s="66"/>
    </row>
    <row r="329" spans="1:1">
      <c r="A329" s="66"/>
    </row>
    <row r="330" spans="1:1">
      <c r="A330" s="66"/>
    </row>
    <row r="331" spans="1:1">
      <c r="A331" s="66"/>
    </row>
    <row r="332" spans="1:1">
      <c r="A332" s="66"/>
    </row>
    <row r="333" spans="1:1">
      <c r="A333" s="66"/>
    </row>
    <row r="334" spans="1:1">
      <c r="A334" s="66"/>
    </row>
    <row r="335" spans="1:1">
      <c r="A335" s="66"/>
    </row>
    <row r="336" spans="1:1">
      <c r="A336" s="66"/>
    </row>
    <row r="337" spans="1:1">
      <c r="A337" s="66"/>
    </row>
    <row r="338" spans="1:1">
      <c r="A338" s="66"/>
    </row>
    <row r="339" spans="1:1">
      <c r="A339" s="66"/>
    </row>
    <row r="340" spans="1:1">
      <c r="A340" s="66"/>
    </row>
    <row r="341" spans="1:1">
      <c r="A341" s="66"/>
    </row>
    <row r="342" spans="1:1">
      <c r="A342" s="66"/>
    </row>
    <row r="343" spans="1:1">
      <c r="A343" s="66"/>
    </row>
    <row r="344" spans="1:1">
      <c r="A344" s="66"/>
    </row>
    <row r="345" spans="1:1">
      <c r="A345" s="66"/>
    </row>
    <row r="346" spans="1:1">
      <c r="A346" s="66"/>
    </row>
    <row r="347" spans="1:1">
      <c r="A347" s="66"/>
    </row>
    <row r="348" spans="1:1">
      <c r="A348" s="66"/>
    </row>
    <row r="349" spans="1:1">
      <c r="A349" s="66"/>
    </row>
    <row r="350" spans="1:1">
      <c r="A350" s="66"/>
    </row>
    <row r="351" spans="1:1">
      <c r="A351" s="66"/>
    </row>
    <row r="352" spans="1:1">
      <c r="A352" s="66"/>
    </row>
    <row r="353" spans="1:1">
      <c r="A353" s="66"/>
    </row>
    <row r="354" spans="1:1">
      <c r="A354" s="66"/>
    </row>
    <row r="355" spans="1:1">
      <c r="A355" s="66"/>
    </row>
    <row r="356" spans="1:1">
      <c r="A356" s="66"/>
    </row>
    <row r="357" spans="1:1">
      <c r="A357" s="66"/>
    </row>
    <row r="358" spans="1:1">
      <c r="A358" s="66"/>
    </row>
    <row r="359" spans="1:1">
      <c r="A359" s="66"/>
    </row>
    <row r="360" spans="1:1">
      <c r="A360" s="66"/>
    </row>
    <row r="361" spans="1:1">
      <c r="A361" s="66"/>
    </row>
    <row r="362" spans="1:1">
      <c r="A362" s="66"/>
    </row>
    <row r="363" spans="1:1">
      <c r="A363" s="66"/>
    </row>
    <row r="364" spans="1:1">
      <c r="A364" s="66"/>
    </row>
    <row r="365" spans="1:1">
      <c r="A365" s="66"/>
    </row>
    <row r="366" spans="1:1">
      <c r="A366" s="66"/>
    </row>
    <row r="367" spans="1:1">
      <c r="A367" s="66"/>
    </row>
    <row r="368" spans="1:1">
      <c r="A368" s="66"/>
    </row>
    <row r="369" spans="1:1">
      <c r="A369" s="66"/>
    </row>
    <row r="370" spans="1:1">
      <c r="A370" s="66"/>
    </row>
    <row r="371" spans="1:1">
      <c r="A371" s="66"/>
    </row>
    <row r="372" spans="1:1">
      <c r="A372" s="66"/>
    </row>
    <row r="373" spans="1:1">
      <c r="A373" s="66"/>
    </row>
    <row r="374" spans="1:1">
      <c r="A374" s="66"/>
    </row>
    <row r="375" spans="1:1">
      <c r="A375" s="66"/>
    </row>
    <row r="376" spans="1:1">
      <c r="A376" s="66"/>
    </row>
    <row r="377" spans="1:1">
      <c r="A377" s="66"/>
    </row>
    <row r="378" spans="1:1">
      <c r="A378" s="66"/>
    </row>
    <row r="379" spans="1:1">
      <c r="A379" s="66"/>
    </row>
    <row r="380" spans="1:1">
      <c r="A380" s="66"/>
    </row>
    <row r="381" spans="1:1">
      <c r="A381" s="66"/>
    </row>
    <row r="382" spans="1:1">
      <c r="A382" s="66"/>
    </row>
    <row r="383" spans="1:1">
      <c r="A383" s="66"/>
    </row>
    <row r="384" spans="1:1">
      <c r="A384" s="66"/>
    </row>
    <row r="385" spans="1:1">
      <c r="A385" s="66"/>
    </row>
    <row r="386" spans="1:1">
      <c r="A386" s="66"/>
    </row>
    <row r="387" spans="1:1">
      <c r="A387" s="66"/>
    </row>
    <row r="388" spans="1:1">
      <c r="A388" s="66"/>
    </row>
    <row r="389" spans="1:1">
      <c r="A389" s="66"/>
    </row>
    <row r="390" spans="1:1">
      <c r="A390" s="66"/>
    </row>
    <row r="391" spans="1:1">
      <c r="A391" s="66"/>
    </row>
    <row r="392" spans="1:1">
      <c r="A392" s="66"/>
    </row>
    <row r="393" spans="1:1">
      <c r="A393" s="66"/>
    </row>
    <row r="394" spans="1:1">
      <c r="A394" s="66"/>
    </row>
    <row r="395" spans="1:1">
      <c r="A395" s="66"/>
    </row>
    <row r="396" spans="1:1">
      <c r="A396" s="66"/>
    </row>
    <row r="397" spans="1:1">
      <c r="A397" s="66"/>
    </row>
    <row r="398" spans="1:1">
      <c r="A398" s="66"/>
    </row>
    <row r="399" spans="1:1">
      <c r="A399" s="66"/>
    </row>
    <row r="400" spans="1:1">
      <c r="A400" s="66"/>
    </row>
    <row r="401" spans="1:1">
      <c r="A401" s="66"/>
    </row>
    <row r="402" spans="1:1">
      <c r="A402" s="66"/>
    </row>
    <row r="403" spans="1:1">
      <c r="A403" s="66"/>
    </row>
    <row r="404" spans="1:1">
      <c r="A404" s="66"/>
    </row>
    <row r="405" spans="1:1">
      <c r="A405" s="66"/>
    </row>
    <row r="406" spans="1:1">
      <c r="A406" s="66"/>
    </row>
    <row r="407" spans="1:1">
      <c r="A407" s="66"/>
    </row>
    <row r="408" spans="1:1">
      <c r="A408" s="66"/>
    </row>
    <row r="409" spans="1:1">
      <c r="A409" s="66"/>
    </row>
    <row r="410" spans="1:1">
      <c r="A410" s="66"/>
    </row>
    <row r="411" spans="1:1">
      <c r="A411" s="66"/>
    </row>
    <row r="412" spans="1:1">
      <c r="A412" s="66"/>
    </row>
    <row r="413" spans="1:1">
      <c r="A413" s="66"/>
    </row>
    <row r="414" spans="1:1">
      <c r="A414" s="66"/>
    </row>
    <row r="415" spans="1:1">
      <c r="A415" s="66"/>
    </row>
    <row r="416" spans="1:1">
      <c r="A416" s="66"/>
    </row>
    <row r="417" spans="1:1">
      <c r="A417" s="66"/>
    </row>
    <row r="418" spans="1:1">
      <c r="A418" s="66"/>
    </row>
    <row r="419" spans="1:1">
      <c r="A419" s="66"/>
    </row>
    <row r="420" spans="1:1">
      <c r="A420" s="66"/>
    </row>
    <row r="421" spans="1:1">
      <c r="A421" s="66"/>
    </row>
    <row r="422" spans="1:1">
      <c r="A422" s="66"/>
    </row>
    <row r="423" spans="1:1">
      <c r="A423" s="66"/>
    </row>
    <row r="424" spans="1:1">
      <c r="A424" s="66"/>
    </row>
    <row r="425" spans="1:1">
      <c r="A425" s="66"/>
    </row>
    <row r="426" spans="1:1">
      <c r="A426" s="66"/>
    </row>
    <row r="427" spans="1:1">
      <c r="A427" s="66"/>
    </row>
    <row r="428" spans="1:1">
      <c r="A428" s="66"/>
    </row>
    <row r="429" spans="1:1">
      <c r="A429" s="66"/>
    </row>
    <row r="430" spans="1:1">
      <c r="A430" s="66"/>
    </row>
    <row r="431" spans="1:1">
      <c r="A431" s="66"/>
    </row>
    <row r="432" spans="1:1">
      <c r="A432" s="66"/>
    </row>
    <row r="433" spans="1:1">
      <c r="A433" s="66"/>
    </row>
    <row r="434" spans="1:1">
      <c r="A434" s="66"/>
    </row>
    <row r="435" spans="1:1">
      <c r="A435" s="66"/>
    </row>
    <row r="436" spans="1:1">
      <c r="A436" s="66"/>
    </row>
    <row r="437" spans="1:1">
      <c r="A437" s="66"/>
    </row>
    <row r="438" spans="1:1">
      <c r="A438" s="66"/>
    </row>
    <row r="439" spans="1:1">
      <c r="A439" s="66"/>
    </row>
    <row r="440" spans="1:1">
      <c r="A440" s="66"/>
    </row>
    <row r="441" spans="1:1">
      <c r="A441" s="66"/>
    </row>
    <row r="442" spans="1:1">
      <c r="A442" s="66"/>
    </row>
    <row r="443" spans="1:1">
      <c r="A443" s="66"/>
    </row>
    <row r="444" spans="1:1">
      <c r="A444" s="66"/>
    </row>
    <row r="445" spans="1:1">
      <c r="A445" s="66"/>
    </row>
    <row r="446" spans="1:1">
      <c r="A446" s="66"/>
    </row>
    <row r="447" spans="1:1">
      <c r="A447" s="66"/>
    </row>
    <row r="448" spans="1:1">
      <c r="A448" s="66"/>
    </row>
    <row r="449" spans="1:1">
      <c r="A449" s="66"/>
    </row>
    <row r="450" spans="1:1">
      <c r="A450" s="66"/>
    </row>
    <row r="451" spans="1:1">
      <c r="A451" s="66"/>
    </row>
    <row r="452" spans="1:1">
      <c r="A452" s="66"/>
    </row>
    <row r="453" spans="1:1">
      <c r="A453" s="66"/>
    </row>
    <row r="454" spans="1:1">
      <c r="A454" s="66"/>
    </row>
    <row r="455" spans="1:1">
      <c r="A455" s="66"/>
    </row>
    <row r="456" spans="1:1">
      <c r="A456" s="66"/>
    </row>
    <row r="457" spans="1:1">
      <c r="A457" s="66"/>
    </row>
    <row r="458" spans="1:1">
      <c r="A458" s="66"/>
    </row>
    <row r="459" spans="1:1">
      <c r="A459" s="66"/>
    </row>
    <row r="460" spans="1:1">
      <c r="A460" s="66"/>
    </row>
    <row r="461" spans="1:1">
      <c r="A461" s="66"/>
    </row>
    <row r="462" spans="1:1">
      <c r="A462" s="66"/>
    </row>
    <row r="463" spans="1:1">
      <c r="A463" s="66"/>
    </row>
    <row r="464" spans="1:1">
      <c r="A464" s="66"/>
    </row>
    <row r="465" spans="1:1">
      <c r="A465" s="66"/>
    </row>
    <row r="466" spans="1:1">
      <c r="A466" s="66"/>
    </row>
    <row r="467" spans="1:1">
      <c r="A467" s="66"/>
    </row>
    <row r="468" spans="1:1">
      <c r="A468" s="66"/>
    </row>
    <row r="469" spans="1:1">
      <c r="A469" s="66"/>
    </row>
    <row r="470" spans="1:1">
      <c r="A470" s="66"/>
    </row>
    <row r="471" spans="1:1">
      <c r="A471" s="66"/>
    </row>
    <row r="472" spans="1:1">
      <c r="A472" s="66"/>
    </row>
    <row r="473" spans="1:1">
      <c r="A473" s="66"/>
    </row>
    <row r="474" spans="1:1">
      <c r="A474" s="66"/>
    </row>
    <row r="475" spans="1:1">
      <c r="A475" s="66"/>
    </row>
    <row r="476" spans="1:1">
      <c r="A476" s="66"/>
    </row>
    <row r="477" spans="1:1">
      <c r="A477" s="66"/>
    </row>
    <row r="478" spans="1:1">
      <c r="A478" s="66"/>
    </row>
    <row r="479" spans="1:1">
      <c r="A479" s="66"/>
    </row>
    <row r="480" spans="1:1">
      <c r="A480" s="66"/>
    </row>
    <row r="481" spans="1:1">
      <c r="A481" s="66"/>
    </row>
    <row r="482" spans="1:1">
      <c r="A482" s="66"/>
    </row>
    <row r="483" spans="1:1">
      <c r="A483" s="66"/>
    </row>
    <row r="484" spans="1:1">
      <c r="A484" s="66"/>
    </row>
    <row r="485" spans="1:1">
      <c r="A485" s="66"/>
    </row>
    <row r="486" spans="1:1">
      <c r="A486" s="66"/>
    </row>
    <row r="487" spans="1:1">
      <c r="A487" s="66"/>
    </row>
    <row r="488" spans="1:1">
      <c r="A488" s="66"/>
    </row>
    <row r="489" spans="1:1">
      <c r="A489" s="66"/>
    </row>
    <row r="490" spans="1:1">
      <c r="A490" s="66"/>
    </row>
    <row r="491" spans="1:1">
      <c r="A491" s="66"/>
    </row>
    <row r="492" spans="1:1">
      <c r="A492" s="66"/>
    </row>
    <row r="493" spans="1:1">
      <c r="A493" s="66"/>
    </row>
    <row r="494" spans="1:1">
      <c r="A494" s="66"/>
    </row>
    <row r="495" spans="1:1">
      <c r="A495" s="66"/>
    </row>
    <row r="496" spans="1:1">
      <c r="A496" s="66"/>
    </row>
    <row r="497" spans="1:1">
      <c r="A497" s="66"/>
    </row>
    <row r="498" spans="1:1">
      <c r="A498" s="66"/>
    </row>
    <row r="499" spans="1:1">
      <c r="A499" s="66"/>
    </row>
    <row r="500" spans="1:1">
      <c r="A500" s="66"/>
    </row>
    <row r="501" spans="1:1">
      <c r="A501" s="66"/>
    </row>
    <row r="502" spans="1:1">
      <c r="A502" s="66"/>
    </row>
    <row r="503" spans="1:1">
      <c r="A503" s="66"/>
    </row>
    <row r="504" spans="1:1">
      <c r="A504" s="66"/>
    </row>
    <row r="505" spans="1:1">
      <c r="A505" s="66"/>
    </row>
  </sheetData>
  <sheetProtection algorithmName="SHA-512" hashValue="0S0ePOBl0qAjzLvqEQoMTMV3hFfxNNd8OT8PtDwaXLUYkHRJzK2IcHW9w/Y8y2rqNaQcFH7w/7g4ivAf90TvlQ==" saltValue="BwhnVF4MrqoEZN8YRDBH1A==" spinCount="100000" sheet="1" objects="1" scenarios="1"/>
  <mergeCells count="1">
    <mergeCell ref="A1:BL1"/>
  </mergeCells>
  <phoneticPr fontId="16"/>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6" tint="-0.499984740745262"/>
  </sheetPr>
  <dimension ref="A1:BP506"/>
  <sheetViews>
    <sheetView showGridLines="0" zoomScale="96" zoomScaleNormal="96" workbookViewId="0">
      <pane xSplit="4" ySplit="4" topLeftCell="E260" activePane="bottomRight" state="frozen"/>
      <selection activeCell="C162" sqref="C162"/>
      <selection pane="topRight" activeCell="C162" sqref="C162"/>
      <selection pane="bottomLeft" activeCell="C162" sqref="C162"/>
      <selection pane="bottomRight" activeCell="J308" sqref="J308"/>
    </sheetView>
  </sheetViews>
  <sheetFormatPr defaultColWidth="9" defaultRowHeight="14.4"/>
  <cols>
    <col min="1" max="1" width="7.77734375" style="400" bestFit="1" customWidth="1"/>
    <col min="2" max="2" width="30.6640625" style="1" bestFit="1" customWidth="1"/>
    <col min="3" max="3" width="13.33203125" style="1" bestFit="1" customWidth="1"/>
    <col min="4" max="4" width="11.33203125" style="1" bestFit="1" customWidth="1"/>
    <col min="5" max="6" width="10.33203125" style="1" bestFit="1" customWidth="1"/>
    <col min="7" max="9" width="10.21875" style="1" bestFit="1" customWidth="1"/>
    <col min="10" max="11" width="10.33203125" style="1" bestFit="1" customWidth="1"/>
    <col min="12" max="49" width="10.21875" style="1" bestFit="1" customWidth="1"/>
    <col min="50" max="50" width="10.33203125" style="1" bestFit="1" customWidth="1"/>
    <col min="51" max="64" width="10.21875" style="1" bestFit="1" customWidth="1"/>
    <col min="65" max="65" width="9" style="1" customWidth="1"/>
    <col min="66" max="16384" width="9" style="1"/>
  </cols>
  <sheetData>
    <row r="1" spans="1:68" ht="30" customHeight="1">
      <c r="A1" s="525" t="s">
        <v>586</v>
      </c>
      <c r="B1" s="526"/>
      <c r="C1" s="526"/>
      <c r="D1" s="526"/>
      <c r="E1" s="526"/>
      <c r="F1" s="526"/>
      <c r="G1" s="526"/>
      <c r="H1" s="526"/>
      <c r="I1" s="526"/>
      <c r="J1" s="526"/>
      <c r="K1" s="526"/>
      <c r="L1" s="526"/>
      <c r="M1" s="526"/>
      <c r="N1" s="526"/>
      <c r="O1" s="526"/>
      <c r="P1" s="526"/>
      <c r="Q1" s="526"/>
      <c r="R1" s="526"/>
      <c r="S1" s="526"/>
      <c r="T1" s="526"/>
      <c r="U1" s="526"/>
      <c r="V1" s="526"/>
      <c r="W1" s="526"/>
      <c r="X1" s="526"/>
      <c r="Y1" s="526"/>
      <c r="Z1" s="526"/>
      <c r="AA1" s="526"/>
      <c r="AB1" s="526"/>
      <c r="AC1" s="526"/>
      <c r="AD1" s="526"/>
      <c r="AE1" s="526"/>
      <c r="AF1" s="526"/>
      <c r="AG1" s="526"/>
      <c r="AH1" s="526"/>
      <c r="AI1" s="526"/>
      <c r="AJ1" s="526"/>
      <c r="AK1" s="526"/>
      <c r="AL1" s="526"/>
      <c r="AM1" s="526"/>
      <c r="AN1" s="526"/>
      <c r="AO1" s="526"/>
      <c r="AP1" s="526"/>
      <c r="AQ1" s="526"/>
      <c r="AR1" s="526"/>
      <c r="AS1" s="526"/>
      <c r="AT1" s="526"/>
      <c r="AU1" s="526"/>
      <c r="AV1" s="526"/>
      <c r="AW1" s="526"/>
      <c r="AX1" s="526"/>
      <c r="AY1" s="526"/>
      <c r="AZ1" s="526"/>
      <c r="BA1" s="526"/>
      <c r="BB1" s="526"/>
      <c r="BC1" s="526"/>
      <c r="BD1" s="526"/>
      <c r="BE1" s="526"/>
      <c r="BF1" s="526"/>
      <c r="BG1" s="526"/>
      <c r="BH1" s="526"/>
      <c r="BI1" s="526"/>
      <c r="BJ1" s="526"/>
      <c r="BK1" s="526"/>
      <c r="BL1" s="526"/>
    </row>
    <row r="2" spans="1:68" ht="18" customHeight="1">
      <c r="A2" s="393" t="s">
        <v>1</v>
      </c>
      <c r="B2" s="195" t="s">
        <v>2</v>
      </c>
      <c r="C2" s="195" t="s">
        <v>587</v>
      </c>
      <c r="D2" s="198" t="s">
        <v>4</v>
      </c>
      <c r="E2" s="207"/>
      <c r="F2" s="196"/>
      <c r="G2" s="196"/>
      <c r="H2" s="196"/>
      <c r="I2" s="196"/>
      <c r="J2" s="196"/>
      <c r="K2" s="196"/>
      <c r="L2" s="196"/>
      <c r="M2" s="196"/>
      <c r="N2" s="196"/>
      <c r="O2" s="196"/>
      <c r="P2" s="196"/>
      <c r="Q2" s="196"/>
      <c r="R2" s="196"/>
      <c r="S2" s="196"/>
      <c r="T2" s="196"/>
      <c r="U2" s="196"/>
      <c r="V2" s="196"/>
      <c r="W2" s="196"/>
      <c r="X2" s="196"/>
      <c r="Y2" s="196"/>
      <c r="Z2" s="196"/>
      <c r="AA2" s="196"/>
      <c r="AB2" s="196"/>
      <c r="AC2" s="196"/>
      <c r="AD2" s="196"/>
      <c r="AE2" s="196"/>
      <c r="AF2" s="196"/>
      <c r="AG2" s="196"/>
      <c r="AH2" s="196"/>
      <c r="AI2" s="196"/>
      <c r="AJ2" s="196"/>
      <c r="AK2" s="196"/>
      <c r="AL2" s="196"/>
      <c r="AM2" s="196"/>
      <c r="AN2" s="196"/>
      <c r="AO2" s="196"/>
      <c r="AP2" s="196"/>
      <c r="AQ2" s="196"/>
      <c r="AR2" s="196"/>
      <c r="AS2" s="196"/>
      <c r="AT2" s="196"/>
      <c r="AU2" s="196"/>
      <c r="AV2" s="196"/>
      <c r="AW2" s="196"/>
      <c r="AX2" s="196"/>
      <c r="AY2" s="196"/>
      <c r="AZ2" s="196"/>
      <c r="BA2" s="196"/>
      <c r="BB2" s="196"/>
      <c r="BC2" s="196"/>
      <c r="BD2" s="196"/>
      <c r="BE2" s="196"/>
      <c r="BF2" s="196"/>
      <c r="BG2" s="196"/>
      <c r="BH2" s="196"/>
      <c r="BI2" s="196"/>
      <c r="BJ2" s="196"/>
      <c r="BK2" s="196"/>
      <c r="BL2" s="196"/>
    </row>
    <row r="3" spans="1:68" ht="14.1" customHeight="1">
      <c r="A3" s="394" t="s">
        <v>5</v>
      </c>
      <c r="B3" s="197"/>
      <c r="C3" s="197" t="s">
        <v>6</v>
      </c>
      <c r="D3" s="199"/>
      <c r="E3" s="200">
        <v>46220</v>
      </c>
      <c r="F3" s="182">
        <v>46218</v>
      </c>
      <c r="G3" s="182">
        <v>46217</v>
      </c>
      <c r="H3" s="182">
        <v>46216</v>
      </c>
      <c r="I3" s="182">
        <v>46213</v>
      </c>
      <c r="J3" s="182">
        <v>46212</v>
      </c>
      <c r="K3" s="182">
        <v>46211</v>
      </c>
      <c r="L3" s="182">
        <v>46210</v>
      </c>
      <c r="M3" s="182">
        <v>46209</v>
      </c>
      <c r="N3" s="182">
        <v>46206</v>
      </c>
      <c r="O3" s="182">
        <v>46205</v>
      </c>
      <c r="P3" s="182">
        <v>46204</v>
      </c>
      <c r="Q3" s="182">
        <v>46203</v>
      </c>
      <c r="R3" s="182">
        <v>46202</v>
      </c>
      <c r="S3" s="182">
        <v>46199</v>
      </c>
      <c r="T3" s="182">
        <v>46198</v>
      </c>
      <c r="U3" s="182">
        <v>46197</v>
      </c>
      <c r="V3" s="182">
        <v>46196</v>
      </c>
      <c r="W3" s="182">
        <v>46195</v>
      </c>
      <c r="X3" s="182">
        <v>46192</v>
      </c>
      <c r="Y3" s="182">
        <v>46191</v>
      </c>
      <c r="Z3" s="182">
        <v>46190</v>
      </c>
      <c r="AA3" s="182">
        <v>46189</v>
      </c>
      <c r="AB3" s="182">
        <v>46188</v>
      </c>
      <c r="AC3" s="182">
        <v>46185</v>
      </c>
      <c r="AD3" s="182">
        <v>46184</v>
      </c>
      <c r="AE3" s="182">
        <v>46183</v>
      </c>
      <c r="AF3" s="182">
        <v>46181</v>
      </c>
      <c r="AG3" s="182">
        <v>46178</v>
      </c>
      <c r="AH3" s="182">
        <v>46177</v>
      </c>
      <c r="AI3" s="182">
        <v>46176</v>
      </c>
      <c r="AJ3" s="182">
        <v>46175</v>
      </c>
      <c r="AK3" s="182">
        <v>46171</v>
      </c>
      <c r="AL3" s="182">
        <v>46170</v>
      </c>
      <c r="AM3" s="182">
        <v>46169</v>
      </c>
      <c r="AN3" s="182">
        <v>46167</v>
      </c>
      <c r="AO3" s="182">
        <v>46164</v>
      </c>
      <c r="AP3" s="182">
        <v>46163</v>
      </c>
      <c r="AQ3" s="182">
        <v>46162</v>
      </c>
      <c r="AR3" s="182">
        <v>46161</v>
      </c>
      <c r="AS3" s="182">
        <v>46160</v>
      </c>
      <c r="AT3" s="182">
        <v>46157</v>
      </c>
      <c r="AU3" s="182">
        <v>46156</v>
      </c>
      <c r="AV3" s="182">
        <v>46155</v>
      </c>
      <c r="AW3" s="182">
        <v>46154</v>
      </c>
      <c r="AX3" s="182">
        <v>46153</v>
      </c>
      <c r="AY3" s="182">
        <v>46150</v>
      </c>
      <c r="AZ3" s="182">
        <v>46149</v>
      </c>
      <c r="BA3" s="182">
        <v>46143</v>
      </c>
      <c r="BB3" s="182">
        <v>46142</v>
      </c>
      <c r="BC3" s="182">
        <v>46140</v>
      </c>
      <c r="BD3" s="182">
        <v>46139</v>
      </c>
      <c r="BE3" s="182">
        <v>46136</v>
      </c>
      <c r="BF3" s="182">
        <v>46135</v>
      </c>
      <c r="BG3" s="182">
        <v>46134</v>
      </c>
      <c r="BH3" s="182">
        <v>46133</v>
      </c>
      <c r="BI3" s="182">
        <v>46132</v>
      </c>
      <c r="BJ3" s="182">
        <v>46129</v>
      </c>
      <c r="BK3" s="182">
        <v>46128</v>
      </c>
      <c r="BL3" s="182">
        <v>46127</v>
      </c>
      <c r="BM3" s="69">
        <v>46126</v>
      </c>
      <c r="BN3" s="69">
        <v>46125</v>
      </c>
      <c r="BO3" s="69">
        <v>46122</v>
      </c>
      <c r="BP3" s="69">
        <v>46121</v>
      </c>
    </row>
    <row r="4" spans="1:68" ht="22.5" customHeight="1">
      <c r="A4" s="398"/>
      <c r="B4" s="88"/>
      <c r="C4" s="88"/>
      <c r="D4" s="204"/>
      <c r="E4" s="204"/>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88"/>
      <c r="BJ4" s="88"/>
      <c r="BK4" s="88"/>
      <c r="BL4" s="88"/>
    </row>
    <row r="5" spans="1:68" ht="22.5" customHeight="1">
      <c r="A5" s="395" t="str">
        <f>IF(銘柄管理!B5="","",銘柄管理!B5)</f>
        <v>TOPX</v>
      </c>
      <c r="B5" s="49" t="str">
        <f>IF(銘柄管理!C5="","",銘柄管理!C5)</f>
        <v/>
      </c>
      <c r="C5" s="50" t="str">
        <f t="array" ref="C5">_xll.RssIndexMarket("TOPX", "出来高")</f>
        <v/>
      </c>
      <c r="D5" s="201"/>
      <c r="E5" s="202">
        <v>311322</v>
      </c>
      <c r="F5" s="51">
        <v>247594</v>
      </c>
      <c r="G5" s="51">
        <v>273879</v>
      </c>
      <c r="H5" s="51">
        <v>231632</v>
      </c>
      <c r="I5" s="51">
        <v>257413</v>
      </c>
      <c r="J5" s="51">
        <v>231271</v>
      </c>
      <c r="K5" s="51">
        <v>272267</v>
      </c>
      <c r="L5" s="51">
        <v>283069</v>
      </c>
      <c r="M5" s="52">
        <v>239328</v>
      </c>
      <c r="N5" s="52">
        <v>257931</v>
      </c>
      <c r="O5" s="52">
        <v>273146</v>
      </c>
      <c r="P5" s="52">
        <v>259489</v>
      </c>
      <c r="Q5" s="52">
        <v>264711</v>
      </c>
      <c r="R5" s="52">
        <v>299540</v>
      </c>
      <c r="S5" s="52">
        <v>270124</v>
      </c>
      <c r="T5" s="52">
        <v>265728</v>
      </c>
      <c r="U5" s="52">
        <v>269575</v>
      </c>
      <c r="V5" s="52">
        <v>284296</v>
      </c>
      <c r="W5" s="52">
        <v>237206</v>
      </c>
      <c r="X5" s="52">
        <v>339753</v>
      </c>
      <c r="Y5" s="52">
        <v>255563</v>
      </c>
      <c r="Z5" s="52">
        <v>234920</v>
      </c>
      <c r="AA5" s="52">
        <v>248987</v>
      </c>
      <c r="AB5" s="52">
        <v>298924</v>
      </c>
      <c r="AC5" s="52">
        <v>262899</v>
      </c>
      <c r="AD5" s="52">
        <v>275419</v>
      </c>
      <c r="AE5" s="52">
        <v>286208</v>
      </c>
      <c r="AF5" s="52">
        <v>242344</v>
      </c>
      <c r="AG5" s="52">
        <v>254015</v>
      </c>
      <c r="AH5" s="52">
        <v>280706</v>
      </c>
      <c r="AI5" s="52">
        <v>297219</v>
      </c>
      <c r="AJ5" s="52">
        <v>483567</v>
      </c>
      <c r="AK5" s="52">
        <v>281296</v>
      </c>
      <c r="AL5" s="52">
        <v>267824</v>
      </c>
      <c r="AM5" s="52">
        <v>268512</v>
      </c>
      <c r="AN5" s="52">
        <v>260652</v>
      </c>
      <c r="AO5" s="52">
        <v>270037</v>
      </c>
      <c r="AP5" s="1">
        <v>295563</v>
      </c>
      <c r="AQ5" s="51">
        <v>292537</v>
      </c>
      <c r="AR5" s="51">
        <v>293326</v>
      </c>
      <c r="AS5" s="51">
        <v>341267</v>
      </c>
      <c r="AT5" s="51">
        <v>335971</v>
      </c>
      <c r="AU5" s="51"/>
      <c r="AV5" s="51"/>
      <c r="AW5" s="51"/>
      <c r="AX5" s="51"/>
      <c r="AY5" s="51"/>
      <c r="AZ5" s="51"/>
      <c r="BA5" s="51"/>
      <c r="BB5" s="51"/>
      <c r="BC5" s="51"/>
      <c r="BD5" s="51"/>
      <c r="BE5" s="51"/>
      <c r="BF5" s="51"/>
      <c r="BG5" s="51"/>
      <c r="BH5" s="51"/>
      <c r="BI5" s="51"/>
      <c r="BJ5" s="51"/>
      <c r="BK5" s="51"/>
      <c r="BL5" s="51"/>
    </row>
    <row r="6" spans="1:68" ht="22.5" customHeight="1">
      <c r="A6" s="396" t="s">
        <v>7</v>
      </c>
      <c r="B6" s="49" t="s">
        <v>8</v>
      </c>
      <c r="C6" s="53" t="str">
        <f>_xll.RssMarket("5706","出来高")</f>
        <v/>
      </c>
      <c r="D6" s="205" t="e">
        <f t="shared" ref="D6:D69" si="0">C6-E6</f>
        <v>#VALUE!</v>
      </c>
      <c r="E6" s="206">
        <v>1534300</v>
      </c>
      <c r="F6" s="54">
        <v>940800</v>
      </c>
      <c r="G6" s="54">
        <v>1385700</v>
      </c>
      <c r="H6" s="54">
        <v>779800</v>
      </c>
      <c r="I6" s="54">
        <v>1292200</v>
      </c>
      <c r="J6" s="54">
        <v>1421900</v>
      </c>
      <c r="K6" s="54">
        <v>1701100</v>
      </c>
      <c r="L6" s="54">
        <v>1199300</v>
      </c>
      <c r="M6" s="54">
        <v>843200</v>
      </c>
      <c r="N6" s="54">
        <v>2185000</v>
      </c>
      <c r="O6" s="54">
        <v>1595100</v>
      </c>
      <c r="P6" s="54">
        <v>1573700</v>
      </c>
      <c r="Q6" s="54">
        <v>1211500</v>
      </c>
      <c r="R6" s="55">
        <v>2242000</v>
      </c>
      <c r="S6" s="55">
        <v>1324100</v>
      </c>
      <c r="T6" s="55">
        <v>1154800</v>
      </c>
      <c r="U6" s="55">
        <v>1646900</v>
      </c>
      <c r="V6" s="55">
        <v>2327400</v>
      </c>
      <c r="W6" s="55">
        <v>1789600</v>
      </c>
      <c r="X6" s="55">
        <v>2142500</v>
      </c>
      <c r="Y6" s="55">
        <v>1972400</v>
      </c>
      <c r="Z6" s="55">
        <v>1716800</v>
      </c>
      <c r="AA6" s="55">
        <v>2735900</v>
      </c>
      <c r="AB6" s="55">
        <v>2434000</v>
      </c>
      <c r="AC6" s="55">
        <v>3868100</v>
      </c>
      <c r="AD6" s="55">
        <v>1698900</v>
      </c>
      <c r="AE6" s="55">
        <v>1978700</v>
      </c>
      <c r="AF6" s="55">
        <v>1514600</v>
      </c>
      <c r="AG6" s="55">
        <v>1702400</v>
      </c>
      <c r="AH6" s="55">
        <v>1783000</v>
      </c>
      <c r="AI6" s="55">
        <v>2308800</v>
      </c>
      <c r="AJ6" s="55">
        <v>2287800</v>
      </c>
      <c r="AK6" s="55">
        <v>5244100</v>
      </c>
      <c r="AL6" s="55">
        <v>2149400</v>
      </c>
      <c r="AM6" s="55">
        <v>1891300</v>
      </c>
      <c r="AN6" s="21">
        <v>1847400</v>
      </c>
      <c r="AO6" s="21">
        <v>1964800</v>
      </c>
      <c r="AP6" s="22">
        <v>1979200</v>
      </c>
      <c r="AQ6" s="22">
        <v>1759900</v>
      </c>
      <c r="AR6" s="22">
        <v>2104800</v>
      </c>
      <c r="AS6" s="22">
        <v>2872900</v>
      </c>
      <c r="AT6" s="22">
        <v>2997400</v>
      </c>
      <c r="AU6" s="22">
        <v>6185500</v>
      </c>
      <c r="AV6" s="22">
        <v>3317800</v>
      </c>
      <c r="AW6" s="22">
        <v>2098100</v>
      </c>
      <c r="AX6" s="22">
        <v>2551400</v>
      </c>
      <c r="AY6" s="22">
        <v>2551400</v>
      </c>
      <c r="AZ6" s="22">
        <v>2582600</v>
      </c>
      <c r="BA6" s="22">
        <v>2151900</v>
      </c>
      <c r="BB6" s="22">
        <v>1669300</v>
      </c>
      <c r="BC6" s="22">
        <v>2464100</v>
      </c>
      <c r="BD6" s="22">
        <v>2386800</v>
      </c>
      <c r="BE6" s="22">
        <v>2156100</v>
      </c>
      <c r="BF6" s="22">
        <v>1570700</v>
      </c>
      <c r="BG6" s="22">
        <v>1560100</v>
      </c>
      <c r="BH6" s="22">
        <v>1696700</v>
      </c>
      <c r="BI6" s="22">
        <v>1472900</v>
      </c>
      <c r="BJ6" s="22">
        <v>1023500</v>
      </c>
      <c r="BK6" s="22">
        <v>1262900</v>
      </c>
      <c r="BL6" s="22">
        <v>2234300</v>
      </c>
      <c r="BM6" s="1">
        <v>2707000</v>
      </c>
      <c r="BN6" s="1">
        <v>1787000</v>
      </c>
      <c r="BO6" s="1">
        <v>2012700</v>
      </c>
      <c r="BP6" s="1">
        <v>2418600</v>
      </c>
    </row>
    <row r="7" spans="1:68" ht="15.9" customHeight="1">
      <c r="A7" s="396" t="s">
        <v>9</v>
      </c>
      <c r="B7" s="49" t="s">
        <v>10</v>
      </c>
      <c r="C7" s="53" t="str">
        <f>_xll.RssMarket("5423","出来高")</f>
        <v/>
      </c>
      <c r="D7" s="205" t="e">
        <f t="shared" si="0"/>
        <v>#VALUE!</v>
      </c>
      <c r="E7" s="206">
        <v>1407800</v>
      </c>
      <c r="F7" s="55">
        <v>304700</v>
      </c>
      <c r="G7" s="55">
        <v>391800</v>
      </c>
      <c r="H7" s="55">
        <v>272200</v>
      </c>
      <c r="I7" s="55">
        <v>279100</v>
      </c>
      <c r="J7" s="55">
        <v>194900</v>
      </c>
      <c r="K7" s="55">
        <v>269100</v>
      </c>
      <c r="L7" s="55">
        <v>318500</v>
      </c>
      <c r="M7" s="55">
        <v>256200</v>
      </c>
      <c r="N7" s="55">
        <v>232100</v>
      </c>
      <c r="O7" s="55">
        <v>268500</v>
      </c>
      <c r="P7" s="55">
        <v>303000</v>
      </c>
      <c r="Q7" s="55">
        <v>218300</v>
      </c>
      <c r="R7" s="55">
        <v>204700</v>
      </c>
      <c r="S7" s="55">
        <v>220300</v>
      </c>
      <c r="T7" s="55">
        <v>283100</v>
      </c>
      <c r="U7" s="55">
        <v>218400</v>
      </c>
      <c r="V7" s="55">
        <v>277200</v>
      </c>
      <c r="W7" s="55">
        <v>238800</v>
      </c>
      <c r="X7" s="55">
        <v>394300</v>
      </c>
      <c r="Y7" s="55">
        <v>229800</v>
      </c>
      <c r="Z7" s="55">
        <v>385700</v>
      </c>
      <c r="AA7" s="55">
        <v>266000</v>
      </c>
      <c r="AB7" s="55">
        <v>538200</v>
      </c>
      <c r="AC7" s="55">
        <v>289100</v>
      </c>
      <c r="AD7" s="55">
        <v>225000</v>
      </c>
      <c r="AE7" s="55">
        <v>430800</v>
      </c>
      <c r="AF7" s="55">
        <v>190600</v>
      </c>
      <c r="AG7" s="55">
        <v>271900</v>
      </c>
      <c r="AH7" s="55">
        <v>340800</v>
      </c>
      <c r="AI7" s="55">
        <v>323000</v>
      </c>
      <c r="AJ7" s="55">
        <v>496800</v>
      </c>
      <c r="AK7" s="55">
        <v>290400</v>
      </c>
      <c r="AL7" s="55">
        <v>390000</v>
      </c>
      <c r="AM7" s="55">
        <v>325400</v>
      </c>
      <c r="AN7" s="55">
        <v>269500</v>
      </c>
      <c r="AO7" s="55">
        <v>349400</v>
      </c>
      <c r="AP7" s="55">
        <v>311700</v>
      </c>
      <c r="AQ7" s="22">
        <v>394200</v>
      </c>
      <c r="AR7" s="22">
        <v>489200</v>
      </c>
      <c r="AS7" s="22">
        <v>729700</v>
      </c>
      <c r="AT7" s="22">
        <v>1307500</v>
      </c>
      <c r="AU7" s="22">
        <v>510200</v>
      </c>
      <c r="AV7" s="22">
        <v>393600</v>
      </c>
      <c r="AW7" s="22">
        <v>502600</v>
      </c>
      <c r="AX7" s="22">
        <v>502600</v>
      </c>
      <c r="AY7" s="22">
        <v>670800</v>
      </c>
      <c r="AZ7" s="22">
        <v>503300</v>
      </c>
      <c r="BA7" s="22">
        <v>442900</v>
      </c>
      <c r="BB7" s="22">
        <v>509400</v>
      </c>
      <c r="BC7" s="22">
        <v>573900</v>
      </c>
      <c r="BD7" s="22">
        <v>1287300</v>
      </c>
      <c r="BE7" s="22">
        <v>1953600</v>
      </c>
      <c r="BF7" s="22">
        <v>576200</v>
      </c>
      <c r="BG7" s="22">
        <v>561600</v>
      </c>
      <c r="BH7" s="22">
        <v>568300</v>
      </c>
      <c r="BI7" s="22">
        <v>557900</v>
      </c>
      <c r="BJ7" s="22">
        <v>489200</v>
      </c>
      <c r="BK7" s="22">
        <v>572900</v>
      </c>
      <c r="BL7" s="22">
        <v>368500</v>
      </c>
      <c r="BM7" s="1">
        <v>333100</v>
      </c>
      <c r="BN7" s="1">
        <v>596600</v>
      </c>
      <c r="BO7" s="1">
        <v>456100</v>
      </c>
      <c r="BP7" s="1">
        <v>571300</v>
      </c>
    </row>
    <row r="8" spans="1:68" ht="15.9" customHeight="1">
      <c r="A8" s="396" t="s">
        <v>11</v>
      </c>
      <c r="B8" s="49" t="s">
        <v>12</v>
      </c>
      <c r="C8" s="53" t="str">
        <f>_xll.RssMarket("5713","出来高")</f>
        <v/>
      </c>
      <c r="D8" s="205" t="e">
        <f t="shared" si="0"/>
        <v>#VALUE!</v>
      </c>
      <c r="E8" s="206">
        <v>4694300</v>
      </c>
      <c r="F8" s="56">
        <v>2084200</v>
      </c>
      <c r="G8" s="56">
        <v>2981100</v>
      </c>
      <c r="H8" s="56">
        <v>1612700</v>
      </c>
      <c r="I8" s="56">
        <v>2142600</v>
      </c>
      <c r="J8" s="56">
        <v>3272700</v>
      </c>
      <c r="K8" s="56">
        <v>3272500</v>
      </c>
      <c r="L8" s="56">
        <v>2793700</v>
      </c>
      <c r="M8" s="56">
        <v>2240200</v>
      </c>
      <c r="N8" s="56">
        <v>3730000</v>
      </c>
      <c r="O8" s="56">
        <v>2866400</v>
      </c>
      <c r="P8" s="56">
        <v>1962000</v>
      </c>
      <c r="Q8" s="56">
        <v>2680500</v>
      </c>
      <c r="R8" s="56">
        <v>2630900</v>
      </c>
      <c r="S8" s="56">
        <v>2936400</v>
      </c>
      <c r="T8" s="56">
        <v>3459500</v>
      </c>
      <c r="U8" s="56">
        <v>3127800</v>
      </c>
      <c r="V8" s="56">
        <v>3010000</v>
      </c>
      <c r="W8" s="56">
        <v>2386800</v>
      </c>
      <c r="X8" s="56">
        <v>3982200</v>
      </c>
      <c r="Y8" s="56">
        <v>2589500</v>
      </c>
      <c r="Z8" s="56">
        <v>2551700</v>
      </c>
      <c r="AA8" s="56">
        <v>2641400</v>
      </c>
      <c r="AB8" s="56">
        <v>4556800</v>
      </c>
      <c r="AC8" s="56">
        <v>3142400</v>
      </c>
      <c r="AD8" s="56">
        <v>3560800</v>
      </c>
      <c r="AE8" s="56">
        <v>3843300</v>
      </c>
      <c r="AF8" s="56">
        <v>2594500</v>
      </c>
      <c r="AG8" s="56">
        <v>2081000</v>
      </c>
      <c r="AH8" s="56">
        <v>2542500</v>
      </c>
      <c r="AI8" s="56">
        <v>2932000</v>
      </c>
      <c r="AJ8" s="56">
        <v>4027100</v>
      </c>
      <c r="AK8" s="56">
        <v>4084200</v>
      </c>
      <c r="AL8" s="56">
        <v>2595000</v>
      </c>
      <c r="AM8" s="56">
        <v>2050500</v>
      </c>
      <c r="AN8" s="23">
        <v>2228600</v>
      </c>
      <c r="AO8" s="23">
        <v>2640900</v>
      </c>
      <c r="AP8" s="22">
        <v>3138100</v>
      </c>
      <c r="AQ8" s="22">
        <v>2982700</v>
      </c>
      <c r="AR8" s="22">
        <v>3759600</v>
      </c>
      <c r="AS8" s="22">
        <v>4067900</v>
      </c>
      <c r="AT8" s="22">
        <v>3379600</v>
      </c>
      <c r="AU8" s="22">
        <v>3612200</v>
      </c>
      <c r="AV8" s="22">
        <v>4429700</v>
      </c>
      <c r="AW8" s="22">
        <v>8245000</v>
      </c>
      <c r="AX8" s="22">
        <v>8245000</v>
      </c>
      <c r="AY8" s="22">
        <v>3684000</v>
      </c>
      <c r="AZ8" s="22">
        <v>3693100</v>
      </c>
      <c r="BA8" s="22">
        <v>1976400</v>
      </c>
      <c r="BB8" s="22">
        <v>3637600</v>
      </c>
      <c r="BC8" s="22">
        <v>3034900</v>
      </c>
      <c r="BD8" s="22">
        <v>2050300</v>
      </c>
      <c r="BE8" s="22">
        <v>2954900</v>
      </c>
      <c r="BF8" s="22">
        <v>2835900</v>
      </c>
      <c r="BG8" s="22">
        <v>1576200</v>
      </c>
      <c r="BH8" s="22">
        <v>1726400</v>
      </c>
      <c r="BI8" s="22">
        <v>3352800</v>
      </c>
      <c r="BJ8" s="22">
        <v>2892200</v>
      </c>
      <c r="BK8" s="22">
        <v>5526000</v>
      </c>
      <c r="BL8" s="22">
        <v>2866300</v>
      </c>
      <c r="BM8" s="1">
        <v>3247400</v>
      </c>
      <c r="BN8" s="1">
        <v>3333200</v>
      </c>
      <c r="BO8" s="1">
        <v>3853300</v>
      </c>
      <c r="BP8" s="1">
        <v>3918100</v>
      </c>
    </row>
    <row r="9" spans="1:68" ht="15.9" customHeight="1">
      <c r="A9" s="396" t="s">
        <v>13</v>
      </c>
      <c r="B9" s="49" t="s">
        <v>14</v>
      </c>
      <c r="C9" s="53" t="str">
        <f>_xll.RssMarket("5711","出来高")</f>
        <v/>
      </c>
      <c r="D9" s="205" t="e">
        <f t="shared" si="0"/>
        <v>#VALUE!</v>
      </c>
      <c r="E9" s="203">
        <v>1757500</v>
      </c>
      <c r="F9" s="22">
        <v>1544800</v>
      </c>
      <c r="G9" s="22">
        <v>2835700</v>
      </c>
      <c r="H9" s="22">
        <v>1402600</v>
      </c>
      <c r="I9" s="22">
        <v>2463200</v>
      </c>
      <c r="J9" s="22">
        <v>3782200</v>
      </c>
      <c r="K9" s="22">
        <v>891300</v>
      </c>
      <c r="L9" s="22">
        <v>1037900</v>
      </c>
      <c r="M9" s="22">
        <v>984400</v>
      </c>
      <c r="N9" s="22">
        <v>1089600</v>
      </c>
      <c r="O9" s="22">
        <v>917500</v>
      </c>
      <c r="P9" s="22">
        <v>1160400</v>
      </c>
      <c r="Q9" s="22">
        <v>1064900</v>
      </c>
      <c r="R9" s="22">
        <v>1549600</v>
      </c>
      <c r="S9" s="22">
        <v>1119600</v>
      </c>
      <c r="T9" s="22">
        <v>1275000</v>
      </c>
      <c r="U9" s="22">
        <v>766300</v>
      </c>
      <c r="V9" s="22">
        <v>1147400</v>
      </c>
      <c r="W9" s="22">
        <v>1290700</v>
      </c>
      <c r="X9" s="22">
        <v>956200</v>
      </c>
      <c r="Y9" s="22">
        <v>675400</v>
      </c>
      <c r="Z9" s="22">
        <v>659400</v>
      </c>
      <c r="AA9" s="22">
        <v>906800</v>
      </c>
      <c r="AB9" s="22">
        <v>1201900</v>
      </c>
      <c r="AC9" s="22">
        <v>885100</v>
      </c>
      <c r="AD9" s="22">
        <v>951900</v>
      </c>
      <c r="AE9" s="22">
        <v>1382600</v>
      </c>
      <c r="AF9" s="22">
        <v>745200</v>
      </c>
      <c r="AG9" s="22">
        <v>871200</v>
      </c>
      <c r="AH9" s="22">
        <v>1127900</v>
      </c>
      <c r="AI9" s="22">
        <v>968200</v>
      </c>
      <c r="AJ9" s="22">
        <v>1620700</v>
      </c>
      <c r="AK9" s="22">
        <v>1032600</v>
      </c>
      <c r="AL9" s="22">
        <v>1015000</v>
      </c>
      <c r="AM9" s="22">
        <v>858000</v>
      </c>
      <c r="AN9" s="22">
        <v>1242700</v>
      </c>
      <c r="AO9" s="22">
        <v>1055000</v>
      </c>
      <c r="AP9" s="22">
        <v>1708500</v>
      </c>
      <c r="AQ9" s="22">
        <v>1473300</v>
      </c>
      <c r="AR9" s="22">
        <v>1722400</v>
      </c>
      <c r="AS9" s="22">
        <v>1744000</v>
      </c>
      <c r="AT9" s="22">
        <v>3907200</v>
      </c>
      <c r="AU9" s="22">
        <v>2487800</v>
      </c>
      <c r="AV9" s="22">
        <v>1799900</v>
      </c>
      <c r="AW9" s="22">
        <v>1709900</v>
      </c>
      <c r="AX9" s="22">
        <v>1709900</v>
      </c>
      <c r="AY9" s="22">
        <v>1250200</v>
      </c>
      <c r="AZ9" s="22">
        <v>1200800</v>
      </c>
      <c r="BA9" s="22">
        <v>701600</v>
      </c>
      <c r="BB9" s="22">
        <v>1003800</v>
      </c>
      <c r="BC9" s="22">
        <v>958100</v>
      </c>
      <c r="BD9" s="22">
        <v>642800</v>
      </c>
      <c r="BE9" s="22">
        <v>935400</v>
      </c>
      <c r="BF9" s="22">
        <v>879300</v>
      </c>
      <c r="BG9" s="22">
        <v>602500</v>
      </c>
      <c r="BH9" s="22">
        <v>649000</v>
      </c>
      <c r="BI9" s="22">
        <v>1068700</v>
      </c>
      <c r="BJ9" s="22">
        <v>943200</v>
      </c>
      <c r="BK9" s="22">
        <v>1522000</v>
      </c>
      <c r="BL9" s="22">
        <v>1418200</v>
      </c>
      <c r="BM9" s="1">
        <v>959100</v>
      </c>
      <c r="BN9" s="1">
        <v>1051000</v>
      </c>
      <c r="BO9" s="1">
        <v>1178900</v>
      </c>
      <c r="BP9" s="1">
        <v>2869000</v>
      </c>
    </row>
    <row r="10" spans="1:68" ht="15.9" customHeight="1">
      <c r="A10" s="396" t="s">
        <v>15</v>
      </c>
      <c r="B10" s="49" t="s">
        <v>16</v>
      </c>
      <c r="C10" s="53" t="str">
        <f>_xll.RssMarket("5714","出来高")</f>
        <v/>
      </c>
      <c r="D10" s="205" t="e">
        <f t="shared" si="0"/>
        <v>#VALUE!</v>
      </c>
      <c r="E10" s="203">
        <v>540300</v>
      </c>
      <c r="F10" s="22">
        <v>361600</v>
      </c>
      <c r="G10" s="22">
        <v>446700</v>
      </c>
      <c r="H10" s="22">
        <v>358400</v>
      </c>
      <c r="I10" s="22">
        <v>427400</v>
      </c>
      <c r="J10" s="22">
        <v>456500</v>
      </c>
      <c r="K10" s="22">
        <v>454300</v>
      </c>
      <c r="L10" s="22">
        <v>520700</v>
      </c>
      <c r="M10" s="22">
        <v>317300</v>
      </c>
      <c r="N10" s="22">
        <v>473600</v>
      </c>
      <c r="O10" s="22">
        <v>429400</v>
      </c>
      <c r="P10" s="22">
        <v>499800</v>
      </c>
      <c r="Q10" s="22">
        <v>472900</v>
      </c>
      <c r="R10" s="22">
        <v>546000</v>
      </c>
      <c r="S10" s="22">
        <v>387500</v>
      </c>
      <c r="T10" s="22">
        <v>422300</v>
      </c>
      <c r="U10" s="22">
        <v>484500</v>
      </c>
      <c r="V10" s="22">
        <v>495400</v>
      </c>
      <c r="W10" s="22">
        <v>275000</v>
      </c>
      <c r="X10" s="22">
        <v>388500</v>
      </c>
      <c r="Y10" s="22">
        <v>297300</v>
      </c>
      <c r="Z10" s="22">
        <v>365500</v>
      </c>
      <c r="AA10" s="22">
        <v>371200</v>
      </c>
      <c r="AB10" s="22">
        <v>515700</v>
      </c>
      <c r="AC10" s="22">
        <v>552800</v>
      </c>
      <c r="AD10" s="22">
        <v>420500</v>
      </c>
      <c r="AE10" s="22">
        <v>757100</v>
      </c>
      <c r="AF10" s="22">
        <v>451500</v>
      </c>
      <c r="AG10" s="22">
        <v>511300</v>
      </c>
      <c r="AH10" s="22">
        <v>333400</v>
      </c>
      <c r="AI10" s="22">
        <v>453000</v>
      </c>
      <c r="AJ10" s="22">
        <v>585200</v>
      </c>
      <c r="AK10" s="22">
        <v>568800</v>
      </c>
      <c r="AL10" s="22">
        <v>517800</v>
      </c>
      <c r="AM10" s="22">
        <v>456800</v>
      </c>
      <c r="AN10" s="22">
        <v>462700</v>
      </c>
      <c r="AO10" s="22">
        <v>394900</v>
      </c>
      <c r="AP10" s="22">
        <v>477900</v>
      </c>
      <c r="AQ10" s="22">
        <v>542400</v>
      </c>
      <c r="AR10" s="22">
        <v>550400</v>
      </c>
      <c r="AS10" s="22">
        <v>1539600</v>
      </c>
      <c r="AT10" s="22">
        <v>618700</v>
      </c>
      <c r="AU10" s="22">
        <v>411000</v>
      </c>
      <c r="AV10" s="22">
        <v>453500</v>
      </c>
      <c r="AW10" s="22">
        <v>672000</v>
      </c>
      <c r="AX10" s="22">
        <v>672000</v>
      </c>
      <c r="AY10" s="22">
        <v>592300</v>
      </c>
      <c r="AZ10" s="22">
        <v>522000</v>
      </c>
      <c r="BA10" s="22">
        <v>234200</v>
      </c>
      <c r="BB10" s="22">
        <v>356500</v>
      </c>
      <c r="BC10" s="22">
        <v>434400</v>
      </c>
      <c r="BD10" s="22">
        <v>292000</v>
      </c>
      <c r="BE10" s="22">
        <v>331300</v>
      </c>
      <c r="BF10" s="22">
        <v>279900</v>
      </c>
      <c r="BG10" s="22">
        <v>294700</v>
      </c>
      <c r="BH10" s="22">
        <v>348200</v>
      </c>
      <c r="BI10" s="22">
        <v>339600</v>
      </c>
      <c r="BJ10" s="22">
        <v>348900</v>
      </c>
      <c r="BK10" s="22">
        <v>349700</v>
      </c>
      <c r="BL10" s="22">
        <v>407600</v>
      </c>
      <c r="BM10" s="1">
        <v>386100</v>
      </c>
      <c r="BN10" s="1">
        <v>296200</v>
      </c>
      <c r="BO10" s="1">
        <v>295900</v>
      </c>
      <c r="BP10" s="1">
        <v>358400</v>
      </c>
    </row>
    <row r="11" spans="1:68" ht="15.9" customHeight="1">
      <c r="A11" s="396" t="s">
        <v>17</v>
      </c>
      <c r="B11" s="49" t="s">
        <v>18</v>
      </c>
      <c r="C11" s="53" t="str">
        <f>_xll.RssMarket("6701","出来高")</f>
        <v/>
      </c>
      <c r="D11" s="205" t="e">
        <f t="shared" si="0"/>
        <v>#VALUE!</v>
      </c>
      <c r="E11" s="203">
        <v>9935600</v>
      </c>
      <c r="F11" s="22">
        <v>7197200</v>
      </c>
      <c r="G11" s="22">
        <v>8095500</v>
      </c>
      <c r="H11" s="22">
        <v>3383800</v>
      </c>
      <c r="I11" s="22">
        <v>5387700</v>
      </c>
      <c r="J11" s="22">
        <v>4375000</v>
      </c>
      <c r="K11" s="22">
        <v>6806200</v>
      </c>
      <c r="L11" s="22">
        <v>8349200</v>
      </c>
      <c r="M11" s="22">
        <v>6678800</v>
      </c>
      <c r="N11" s="22">
        <v>7247900</v>
      </c>
      <c r="O11" s="22">
        <v>9290900</v>
      </c>
      <c r="P11" s="22">
        <v>4165700</v>
      </c>
      <c r="Q11" s="22">
        <v>6823100</v>
      </c>
      <c r="R11" s="22">
        <v>11450500</v>
      </c>
      <c r="S11" s="22">
        <v>6287300</v>
      </c>
      <c r="T11" s="22">
        <v>6305300</v>
      </c>
      <c r="U11" s="22">
        <v>10311500</v>
      </c>
      <c r="V11" s="22">
        <v>7814500</v>
      </c>
      <c r="W11" s="22">
        <v>6333600</v>
      </c>
      <c r="X11" s="22">
        <v>13183200</v>
      </c>
      <c r="Y11" s="22">
        <v>7205000</v>
      </c>
      <c r="Z11" s="22">
        <v>5022300</v>
      </c>
      <c r="AA11" s="22">
        <v>6248800</v>
      </c>
      <c r="AB11" s="22">
        <v>9142000</v>
      </c>
      <c r="AC11" s="22">
        <v>5710100</v>
      </c>
      <c r="AD11" s="22">
        <v>6012200</v>
      </c>
      <c r="AE11" s="22">
        <v>6718600</v>
      </c>
      <c r="AF11" s="22">
        <v>5135700</v>
      </c>
      <c r="AG11" s="22">
        <v>6944800</v>
      </c>
      <c r="AH11" s="22">
        <v>7730700</v>
      </c>
      <c r="AI11" s="22">
        <v>9485400</v>
      </c>
      <c r="AJ11" s="22">
        <v>16563200</v>
      </c>
      <c r="AK11" s="22">
        <v>5581400</v>
      </c>
      <c r="AL11" s="22">
        <v>8303000</v>
      </c>
      <c r="AM11" s="22">
        <v>6498500</v>
      </c>
      <c r="AN11" s="22">
        <v>4948800</v>
      </c>
      <c r="AO11" s="22">
        <v>5967600</v>
      </c>
      <c r="AP11" s="22">
        <v>7263800</v>
      </c>
      <c r="AQ11" s="22">
        <v>9282600</v>
      </c>
      <c r="AR11" s="22">
        <v>6347700</v>
      </c>
      <c r="AS11" s="22">
        <v>8545500</v>
      </c>
      <c r="AT11" s="22">
        <v>7773700</v>
      </c>
      <c r="AU11" s="22">
        <v>7433400</v>
      </c>
      <c r="AV11" s="22">
        <v>4828200</v>
      </c>
      <c r="AW11" s="22">
        <v>8014100</v>
      </c>
      <c r="AX11" s="22">
        <v>8014100</v>
      </c>
      <c r="AY11" s="22">
        <v>10515600</v>
      </c>
      <c r="AZ11" s="22">
        <v>10880800</v>
      </c>
      <c r="BA11" s="22">
        <v>11361500</v>
      </c>
      <c r="BB11" s="22">
        <v>21434400</v>
      </c>
      <c r="BC11" s="22">
        <v>13579200</v>
      </c>
      <c r="BD11" s="22">
        <v>20656900</v>
      </c>
      <c r="BE11" s="22">
        <v>8635400</v>
      </c>
      <c r="BF11" s="22">
        <v>7058500</v>
      </c>
      <c r="BG11" s="22">
        <v>8708100</v>
      </c>
      <c r="BH11" s="22">
        <v>4965000</v>
      </c>
      <c r="BI11" s="22">
        <v>7056900</v>
      </c>
      <c r="BJ11" s="22">
        <v>9060800</v>
      </c>
      <c r="BK11" s="22">
        <v>12938300</v>
      </c>
      <c r="BL11" s="22">
        <v>10135100</v>
      </c>
      <c r="BM11" s="1">
        <v>7574000</v>
      </c>
      <c r="BN11" s="1">
        <v>10911300</v>
      </c>
      <c r="BO11" s="1">
        <v>5929100</v>
      </c>
      <c r="BP11" s="1">
        <v>6590700</v>
      </c>
    </row>
    <row r="12" spans="1:68" ht="15.9" customHeight="1">
      <c r="A12" s="396" t="s">
        <v>19</v>
      </c>
      <c r="B12" s="49" t="s">
        <v>20</v>
      </c>
      <c r="C12" s="53" t="str">
        <f>_xll.RssMarket("1605","出来高")</f>
        <v/>
      </c>
      <c r="D12" s="205" t="e">
        <f t="shared" si="0"/>
        <v>#VALUE!</v>
      </c>
      <c r="E12" s="203">
        <v>3813400</v>
      </c>
      <c r="F12" s="22">
        <v>4976000</v>
      </c>
      <c r="G12" s="22">
        <v>6930300</v>
      </c>
      <c r="H12" s="22">
        <v>3123300</v>
      </c>
      <c r="I12" s="22">
        <v>4012600</v>
      </c>
      <c r="J12" s="22">
        <v>5051800</v>
      </c>
      <c r="K12" s="22">
        <v>6251700</v>
      </c>
      <c r="L12" s="22">
        <v>4370300</v>
      </c>
      <c r="M12" s="22">
        <v>2810900</v>
      </c>
      <c r="N12" s="22">
        <v>3551900</v>
      </c>
      <c r="O12" s="22">
        <v>4501300</v>
      </c>
      <c r="P12" s="22">
        <v>3772600</v>
      </c>
      <c r="Q12" s="22">
        <v>4977600</v>
      </c>
      <c r="R12" s="22">
        <v>5371500</v>
      </c>
      <c r="S12" s="22">
        <v>5818800</v>
      </c>
      <c r="T12" s="22">
        <v>6161500</v>
      </c>
      <c r="U12" s="22">
        <v>4381600</v>
      </c>
      <c r="V12" s="22">
        <v>3912400</v>
      </c>
      <c r="W12" s="22">
        <v>3710300</v>
      </c>
      <c r="X12" s="22">
        <v>6833200</v>
      </c>
      <c r="Y12" s="22">
        <v>5375100</v>
      </c>
      <c r="Z12" s="22">
        <v>7587200</v>
      </c>
      <c r="AA12" s="22">
        <v>6864700</v>
      </c>
      <c r="AB12" s="22">
        <v>5425200</v>
      </c>
      <c r="AC12" s="22">
        <v>5556700</v>
      </c>
      <c r="AD12" s="22">
        <v>4697200</v>
      </c>
      <c r="AE12" s="22">
        <v>4637600</v>
      </c>
      <c r="AF12" s="22">
        <v>3111500</v>
      </c>
      <c r="AG12" s="22">
        <v>3446600</v>
      </c>
      <c r="AH12" s="22">
        <v>4739100</v>
      </c>
      <c r="AI12" s="22">
        <v>7383900</v>
      </c>
      <c r="AJ12" s="22">
        <v>12569800</v>
      </c>
      <c r="AK12" s="22">
        <v>6084900</v>
      </c>
      <c r="AL12" s="22">
        <v>4290700</v>
      </c>
      <c r="AM12" s="22">
        <v>6971200</v>
      </c>
      <c r="AN12" s="22">
        <v>4170500</v>
      </c>
      <c r="AO12" s="22">
        <v>5198800</v>
      </c>
      <c r="AP12" s="22">
        <v>6209900</v>
      </c>
      <c r="AQ12" s="22">
        <v>5379500</v>
      </c>
      <c r="AR12" s="22">
        <v>5790500</v>
      </c>
      <c r="AS12" s="22">
        <v>6169800</v>
      </c>
      <c r="AT12" s="22">
        <v>7215000</v>
      </c>
      <c r="AU12" s="22">
        <v>6330200</v>
      </c>
      <c r="AV12" s="22">
        <v>4919900</v>
      </c>
      <c r="AW12" s="22">
        <v>5603100</v>
      </c>
      <c r="AX12" s="22">
        <v>5603100</v>
      </c>
      <c r="AY12" s="22">
        <v>7428100</v>
      </c>
      <c r="AZ12" s="22">
        <v>12599300</v>
      </c>
      <c r="BA12" s="22">
        <v>4706100</v>
      </c>
      <c r="BB12" s="22">
        <v>9521700</v>
      </c>
      <c r="BC12" s="22">
        <v>5972600</v>
      </c>
      <c r="BD12" s="22">
        <v>7017200</v>
      </c>
      <c r="BE12" s="22">
        <v>9212900</v>
      </c>
      <c r="BF12" s="22">
        <v>11234600</v>
      </c>
      <c r="BG12" s="22">
        <v>7335600</v>
      </c>
      <c r="BH12" s="22">
        <v>7801500</v>
      </c>
      <c r="BI12" s="22">
        <v>9948100</v>
      </c>
      <c r="BJ12" s="22">
        <v>8819000</v>
      </c>
      <c r="BK12" s="22">
        <v>8358100</v>
      </c>
      <c r="BL12" s="22">
        <v>11571700</v>
      </c>
      <c r="BM12" s="1">
        <v>8566200</v>
      </c>
      <c r="BN12" s="1">
        <v>9931200</v>
      </c>
      <c r="BO12" s="1">
        <v>8140300</v>
      </c>
      <c r="BP12" s="1">
        <v>10197400</v>
      </c>
    </row>
    <row r="13" spans="1:68" ht="15.9" customHeight="1">
      <c r="A13" s="396" t="s">
        <v>21</v>
      </c>
      <c r="B13" s="49" t="s">
        <v>22</v>
      </c>
      <c r="C13" s="53" t="str">
        <f>_xll.RssMarket("5703","出来高")</f>
        <v/>
      </c>
      <c r="D13" s="205" t="e">
        <f t="shared" si="0"/>
        <v>#VALUE!</v>
      </c>
      <c r="E13" s="203">
        <v>373000</v>
      </c>
      <c r="F13" s="22">
        <v>266200</v>
      </c>
      <c r="G13" s="22">
        <v>361200</v>
      </c>
      <c r="H13" s="22">
        <v>267400</v>
      </c>
      <c r="I13" s="22">
        <v>493000</v>
      </c>
      <c r="J13" s="22">
        <v>347000</v>
      </c>
      <c r="K13" s="22">
        <v>396700</v>
      </c>
      <c r="L13" s="22">
        <v>321700</v>
      </c>
      <c r="M13" s="22">
        <v>228800</v>
      </c>
      <c r="N13" s="22">
        <v>247700</v>
      </c>
      <c r="O13" s="22">
        <v>285900</v>
      </c>
      <c r="P13" s="22">
        <v>402900</v>
      </c>
      <c r="Q13" s="22">
        <v>420500</v>
      </c>
      <c r="R13" s="22">
        <v>352500</v>
      </c>
      <c r="S13" s="22">
        <v>341100</v>
      </c>
      <c r="T13" s="22">
        <v>328600</v>
      </c>
      <c r="U13" s="22">
        <v>279000</v>
      </c>
      <c r="V13" s="22">
        <v>254900</v>
      </c>
      <c r="W13" s="22">
        <v>189600</v>
      </c>
      <c r="X13" s="22">
        <v>297500</v>
      </c>
      <c r="Y13" s="22">
        <v>386400</v>
      </c>
      <c r="Z13" s="22">
        <v>315700</v>
      </c>
      <c r="AA13" s="22">
        <v>263200</v>
      </c>
      <c r="AB13" s="22">
        <v>286000</v>
      </c>
      <c r="AC13" s="22">
        <v>406300</v>
      </c>
      <c r="AD13" s="22">
        <v>273400</v>
      </c>
      <c r="AE13" s="22">
        <v>309300</v>
      </c>
      <c r="AF13" s="22">
        <v>319100</v>
      </c>
      <c r="AG13" s="22">
        <v>226700</v>
      </c>
      <c r="AH13" s="22">
        <v>269500</v>
      </c>
      <c r="AI13" s="22">
        <v>278200</v>
      </c>
      <c r="AJ13" s="22">
        <v>372100</v>
      </c>
      <c r="AK13" s="22">
        <v>352000</v>
      </c>
      <c r="AL13" s="22">
        <v>279800</v>
      </c>
      <c r="AM13" s="22">
        <v>388000</v>
      </c>
      <c r="AN13" s="22">
        <v>243300</v>
      </c>
      <c r="AO13" s="22">
        <v>342400</v>
      </c>
      <c r="AP13" s="22">
        <v>301100</v>
      </c>
      <c r="AQ13" s="22">
        <v>366100</v>
      </c>
      <c r="AR13" s="22">
        <v>476200</v>
      </c>
      <c r="AS13" s="22">
        <v>824000</v>
      </c>
      <c r="AT13" s="22">
        <v>551900</v>
      </c>
      <c r="AU13" s="22">
        <v>310800</v>
      </c>
      <c r="AV13" s="22">
        <v>235900</v>
      </c>
      <c r="AW13" s="22">
        <v>269300</v>
      </c>
      <c r="AX13" s="22">
        <v>269300</v>
      </c>
      <c r="AY13" s="22">
        <v>327600</v>
      </c>
      <c r="AZ13" s="22">
        <v>352700</v>
      </c>
      <c r="BA13" s="22">
        <v>279100</v>
      </c>
      <c r="BB13" s="22">
        <v>210900</v>
      </c>
      <c r="BC13" s="22">
        <v>167000</v>
      </c>
      <c r="BD13" s="22">
        <v>197500</v>
      </c>
      <c r="BE13" s="22">
        <v>162700</v>
      </c>
      <c r="BF13" s="22">
        <v>232800</v>
      </c>
      <c r="BG13" s="22">
        <v>151800</v>
      </c>
      <c r="BH13" s="22">
        <v>178300</v>
      </c>
      <c r="BI13" s="22">
        <v>158200</v>
      </c>
      <c r="BJ13" s="22">
        <v>180700</v>
      </c>
      <c r="BK13" s="22">
        <v>144800</v>
      </c>
      <c r="BL13" s="22">
        <v>194200</v>
      </c>
      <c r="BM13" s="1">
        <v>190900</v>
      </c>
      <c r="BN13" s="1">
        <v>172700</v>
      </c>
      <c r="BO13" s="1">
        <v>229600</v>
      </c>
      <c r="BP13" s="1">
        <v>252400</v>
      </c>
    </row>
    <row r="14" spans="1:68" ht="15.9" customHeight="1">
      <c r="A14" s="396" t="s">
        <v>23</v>
      </c>
      <c r="B14" s="49" t="s">
        <v>24</v>
      </c>
      <c r="C14" s="53" t="str">
        <f>_xll.RssMarket("8002","出来高")</f>
        <v/>
      </c>
      <c r="D14" s="205" t="e">
        <f t="shared" si="0"/>
        <v>#VALUE!</v>
      </c>
      <c r="E14" s="203">
        <v>5592300</v>
      </c>
      <c r="F14" s="22">
        <v>4239300</v>
      </c>
      <c r="G14" s="22">
        <v>2631500</v>
      </c>
      <c r="H14" s="22">
        <v>2955600</v>
      </c>
      <c r="I14" s="22">
        <v>3599000</v>
      </c>
      <c r="J14" s="22">
        <v>2676300</v>
      </c>
      <c r="K14" s="22">
        <v>4602400</v>
      </c>
      <c r="L14" s="22">
        <v>6195100</v>
      </c>
      <c r="M14" s="22">
        <v>6131300</v>
      </c>
      <c r="N14" s="22">
        <v>6310500</v>
      </c>
      <c r="O14" s="22">
        <v>4952800</v>
      </c>
      <c r="P14" s="22">
        <v>3446100</v>
      </c>
      <c r="Q14" s="22">
        <v>3696200</v>
      </c>
      <c r="R14" s="22">
        <v>3798800</v>
      </c>
      <c r="S14" s="22">
        <v>5292500</v>
      </c>
      <c r="T14" s="22">
        <v>5115700</v>
      </c>
      <c r="U14" s="22">
        <v>4766500</v>
      </c>
      <c r="V14" s="22">
        <v>4376300</v>
      </c>
      <c r="W14" s="22">
        <v>2346800</v>
      </c>
      <c r="X14" s="22">
        <v>4858000</v>
      </c>
      <c r="Y14" s="22">
        <v>3362100</v>
      </c>
      <c r="Z14" s="22">
        <v>3994600</v>
      </c>
      <c r="AA14" s="22">
        <v>3653000</v>
      </c>
      <c r="AB14" s="22">
        <v>5513700</v>
      </c>
      <c r="AC14" s="22">
        <v>3907200</v>
      </c>
      <c r="AD14" s="22">
        <v>4912100</v>
      </c>
      <c r="AE14" s="22">
        <v>4973100</v>
      </c>
      <c r="AF14" s="22">
        <v>3343800</v>
      </c>
      <c r="AG14" s="22">
        <v>3271700</v>
      </c>
      <c r="AH14" s="22">
        <v>4772000</v>
      </c>
      <c r="AI14" s="22">
        <v>5020200</v>
      </c>
      <c r="AJ14" s="22">
        <v>10715100</v>
      </c>
      <c r="AK14" s="22">
        <v>4813500</v>
      </c>
      <c r="AL14" s="22">
        <v>4638300</v>
      </c>
      <c r="AM14" s="22">
        <v>3987700</v>
      </c>
      <c r="AN14" s="22">
        <v>4239600</v>
      </c>
      <c r="AO14" s="22">
        <v>4102500</v>
      </c>
      <c r="AP14" s="22">
        <v>5603600</v>
      </c>
      <c r="AQ14" s="22">
        <v>4049800</v>
      </c>
      <c r="AR14" s="22">
        <v>3827200</v>
      </c>
      <c r="AS14" s="22">
        <v>5929200</v>
      </c>
      <c r="AT14" s="22">
        <v>5671100</v>
      </c>
      <c r="AU14" s="22">
        <v>4925800</v>
      </c>
      <c r="AV14" s="22">
        <v>5564100</v>
      </c>
      <c r="AW14" s="22">
        <v>5517900</v>
      </c>
      <c r="AX14" s="22">
        <v>5517900</v>
      </c>
      <c r="AY14" s="22">
        <v>8414100</v>
      </c>
      <c r="AZ14" s="22">
        <v>19526800</v>
      </c>
      <c r="BA14" s="22">
        <v>15975800</v>
      </c>
      <c r="BB14" s="22">
        <v>4607700</v>
      </c>
      <c r="BC14" s="22">
        <v>3970900</v>
      </c>
      <c r="BD14" s="22">
        <v>3064200</v>
      </c>
      <c r="BE14" s="22">
        <v>2982300</v>
      </c>
      <c r="BF14" s="22">
        <v>3732700</v>
      </c>
      <c r="BG14" s="22">
        <v>3702700</v>
      </c>
      <c r="BH14" s="22">
        <v>2998900</v>
      </c>
      <c r="BI14" s="22">
        <v>2787800</v>
      </c>
      <c r="BJ14" s="22">
        <v>4098700</v>
      </c>
      <c r="BK14" s="22">
        <v>4164500</v>
      </c>
      <c r="BL14" s="22">
        <v>4862900</v>
      </c>
      <c r="BM14" s="1">
        <v>3869300</v>
      </c>
      <c r="BN14" s="1">
        <v>3193900</v>
      </c>
      <c r="BO14" s="1">
        <v>4566600</v>
      </c>
      <c r="BP14" s="1">
        <v>4044000</v>
      </c>
    </row>
    <row r="15" spans="1:68" ht="15.9" customHeight="1">
      <c r="A15" s="396" t="s">
        <v>25</v>
      </c>
      <c r="B15" s="49" t="s">
        <v>26</v>
      </c>
      <c r="C15" s="53" t="str">
        <f>_xll.RssMarket("5021","出来高")</f>
        <v/>
      </c>
      <c r="D15" s="205" t="e">
        <f t="shared" si="0"/>
        <v>#VALUE!</v>
      </c>
      <c r="E15" s="203">
        <v>989600</v>
      </c>
      <c r="F15" s="22">
        <v>630700</v>
      </c>
      <c r="G15" s="22">
        <v>744500</v>
      </c>
      <c r="H15" s="22">
        <v>716300</v>
      </c>
      <c r="I15" s="22">
        <v>520100</v>
      </c>
      <c r="J15" s="22">
        <v>551900</v>
      </c>
      <c r="K15" s="22">
        <v>792000</v>
      </c>
      <c r="L15" s="22">
        <v>519200</v>
      </c>
      <c r="M15" s="22">
        <v>435600</v>
      </c>
      <c r="N15" s="22">
        <v>338000</v>
      </c>
      <c r="O15" s="22">
        <v>542500</v>
      </c>
      <c r="P15" s="22">
        <v>744400</v>
      </c>
      <c r="Q15" s="22">
        <v>844100</v>
      </c>
      <c r="R15" s="22">
        <v>1143000</v>
      </c>
      <c r="S15" s="22">
        <v>608200</v>
      </c>
      <c r="T15" s="22">
        <v>726400</v>
      </c>
      <c r="U15" s="22">
        <v>577300</v>
      </c>
      <c r="V15" s="22">
        <v>431200</v>
      </c>
      <c r="W15" s="22">
        <v>611700</v>
      </c>
      <c r="X15" s="22">
        <v>1282800</v>
      </c>
      <c r="Y15" s="22">
        <v>809800</v>
      </c>
      <c r="Z15" s="22">
        <v>524700</v>
      </c>
      <c r="AA15" s="22">
        <v>752800</v>
      </c>
      <c r="AB15" s="22">
        <v>1040300</v>
      </c>
      <c r="AC15" s="22">
        <v>537500</v>
      </c>
      <c r="AD15" s="22">
        <v>684000</v>
      </c>
      <c r="AE15" s="22">
        <v>523400</v>
      </c>
      <c r="AF15" s="22">
        <v>486500</v>
      </c>
      <c r="AG15" s="22">
        <v>728600</v>
      </c>
      <c r="AH15" s="22">
        <v>727800</v>
      </c>
      <c r="AI15" s="22">
        <v>666600</v>
      </c>
      <c r="AJ15" s="22">
        <v>1097100</v>
      </c>
      <c r="AK15" s="22">
        <v>555800</v>
      </c>
      <c r="AL15" s="22">
        <v>490100</v>
      </c>
      <c r="AM15" s="22">
        <v>522000</v>
      </c>
      <c r="AN15" s="22">
        <v>473200</v>
      </c>
      <c r="AO15" s="22">
        <v>412100</v>
      </c>
      <c r="AP15" s="22">
        <v>543000</v>
      </c>
      <c r="AQ15" s="22">
        <v>547900</v>
      </c>
      <c r="AR15" s="22">
        <v>757400</v>
      </c>
      <c r="AS15" s="22">
        <v>655100</v>
      </c>
      <c r="AT15" s="22">
        <v>939500</v>
      </c>
      <c r="AU15" s="22">
        <v>1405500</v>
      </c>
      <c r="AV15" s="22">
        <v>682300</v>
      </c>
      <c r="AW15" s="22">
        <v>751700</v>
      </c>
      <c r="AX15" s="22">
        <v>751700</v>
      </c>
      <c r="AY15" s="22">
        <v>813100</v>
      </c>
      <c r="AZ15" s="22">
        <v>1077300</v>
      </c>
      <c r="BA15" s="22">
        <v>445500</v>
      </c>
      <c r="BB15" s="22">
        <v>841200</v>
      </c>
      <c r="BC15" s="22">
        <v>720800</v>
      </c>
      <c r="BD15" s="22">
        <v>646500</v>
      </c>
      <c r="BE15" s="22">
        <v>693900</v>
      </c>
      <c r="BF15" s="22">
        <v>1073800</v>
      </c>
      <c r="BG15" s="22">
        <v>691100</v>
      </c>
      <c r="BH15" s="22">
        <v>462300</v>
      </c>
      <c r="BI15" s="22">
        <v>489800</v>
      </c>
      <c r="BJ15" s="22">
        <v>446400</v>
      </c>
      <c r="BK15" s="22">
        <v>457900</v>
      </c>
      <c r="BL15" s="22">
        <v>427700</v>
      </c>
      <c r="BM15" s="1">
        <v>488500</v>
      </c>
      <c r="BN15" s="1">
        <v>445500</v>
      </c>
      <c r="BO15" s="1">
        <v>548300</v>
      </c>
      <c r="BP15" s="1">
        <v>600100</v>
      </c>
    </row>
    <row r="16" spans="1:68" ht="15.9" customHeight="1">
      <c r="A16" s="396" t="s">
        <v>27</v>
      </c>
      <c r="B16" s="49" t="s">
        <v>28</v>
      </c>
      <c r="C16" s="53" t="str">
        <f>_xll.RssMarket("8058","出来高")</f>
        <v/>
      </c>
      <c r="D16" s="205" t="e">
        <f t="shared" si="0"/>
        <v>#VALUE!</v>
      </c>
      <c r="E16" s="203">
        <v>8314500</v>
      </c>
      <c r="F16" s="22">
        <v>7472100</v>
      </c>
      <c r="G16" s="22">
        <v>5998100</v>
      </c>
      <c r="H16" s="22">
        <v>6197500</v>
      </c>
      <c r="I16" s="22">
        <v>7058000</v>
      </c>
      <c r="J16" s="22">
        <v>7110300</v>
      </c>
      <c r="K16" s="22">
        <v>9729300</v>
      </c>
      <c r="L16" s="22">
        <v>11064300</v>
      </c>
      <c r="M16" s="22">
        <v>6155200</v>
      </c>
      <c r="N16" s="22">
        <v>7471500</v>
      </c>
      <c r="O16" s="22">
        <v>8436000</v>
      </c>
      <c r="P16" s="22">
        <v>7890100</v>
      </c>
      <c r="Q16" s="22">
        <v>8781200</v>
      </c>
      <c r="R16" s="22">
        <v>11880600</v>
      </c>
      <c r="S16" s="22">
        <v>9415700</v>
      </c>
      <c r="T16" s="22">
        <v>10521500</v>
      </c>
      <c r="U16" s="22">
        <v>7881300</v>
      </c>
      <c r="V16" s="22">
        <v>9070000</v>
      </c>
      <c r="W16" s="22">
        <v>6645200</v>
      </c>
      <c r="X16" s="22">
        <v>18848500</v>
      </c>
      <c r="Y16" s="22">
        <v>7457000</v>
      </c>
      <c r="Z16" s="22">
        <v>7426100</v>
      </c>
      <c r="AA16" s="22">
        <v>7796200</v>
      </c>
      <c r="AB16" s="22">
        <v>11085600</v>
      </c>
      <c r="AC16" s="22">
        <v>6907100</v>
      </c>
      <c r="AD16" s="22">
        <v>10613300</v>
      </c>
      <c r="AE16" s="22">
        <v>9103700</v>
      </c>
      <c r="AF16" s="22">
        <v>6647000</v>
      </c>
      <c r="AG16" s="22">
        <v>6381700</v>
      </c>
      <c r="AH16" s="22">
        <v>6640600</v>
      </c>
      <c r="AI16" s="22">
        <v>10546100</v>
      </c>
      <c r="AJ16" s="22">
        <v>23956500</v>
      </c>
      <c r="AK16" s="22">
        <v>40475700</v>
      </c>
      <c r="AL16" s="22">
        <v>10092200</v>
      </c>
      <c r="AM16" s="22">
        <v>8281500</v>
      </c>
      <c r="AN16" s="22">
        <v>7695500</v>
      </c>
      <c r="AO16" s="22">
        <v>7353700</v>
      </c>
      <c r="AP16" s="22">
        <v>7464700</v>
      </c>
      <c r="AQ16" s="22">
        <v>7798600</v>
      </c>
      <c r="AR16" s="22">
        <v>8787900</v>
      </c>
      <c r="AS16" s="22">
        <v>9795100</v>
      </c>
      <c r="AT16" s="22">
        <v>9361000</v>
      </c>
      <c r="AU16" s="22">
        <v>16943100</v>
      </c>
      <c r="AV16" s="22">
        <v>12392700</v>
      </c>
      <c r="AW16" s="22">
        <v>9987800</v>
      </c>
      <c r="AX16" s="22">
        <v>9987800</v>
      </c>
      <c r="AY16" s="22">
        <v>13304600</v>
      </c>
      <c r="AZ16" s="22">
        <v>22555700</v>
      </c>
      <c r="BA16" s="22">
        <v>46978900</v>
      </c>
      <c r="BB16" s="22">
        <v>16646400</v>
      </c>
      <c r="BC16" s="22">
        <v>8775500</v>
      </c>
      <c r="BD16" s="22">
        <v>10204500</v>
      </c>
      <c r="BE16" s="22">
        <v>10913900</v>
      </c>
      <c r="BF16" s="22">
        <v>10952800</v>
      </c>
      <c r="BG16" s="22">
        <v>9339900</v>
      </c>
      <c r="BH16" s="22">
        <v>7277300</v>
      </c>
      <c r="BI16" s="22">
        <v>8032000</v>
      </c>
      <c r="BJ16" s="22">
        <v>8716300</v>
      </c>
      <c r="BK16" s="22">
        <v>9443600</v>
      </c>
      <c r="BL16" s="22">
        <v>13794100</v>
      </c>
      <c r="BM16" s="1">
        <v>8428000</v>
      </c>
      <c r="BN16" s="1">
        <v>9023000</v>
      </c>
      <c r="BO16" s="1">
        <v>9609500</v>
      </c>
      <c r="BP16" s="1">
        <v>11738000</v>
      </c>
    </row>
    <row r="17" spans="1:68" ht="15.9" customHeight="1">
      <c r="A17" s="396" t="s">
        <v>29</v>
      </c>
      <c r="B17" s="49" t="s">
        <v>30</v>
      </c>
      <c r="C17" s="53" t="str">
        <f>_xll.RssMarket("5333","出来高")</f>
        <v/>
      </c>
      <c r="D17" s="205" t="e">
        <f t="shared" si="0"/>
        <v>#VALUE!</v>
      </c>
      <c r="E17" s="203">
        <v>2453700</v>
      </c>
      <c r="F17" s="22">
        <v>1212200</v>
      </c>
      <c r="G17" s="22">
        <v>1815100</v>
      </c>
      <c r="H17" s="22">
        <v>1732600</v>
      </c>
      <c r="I17" s="22">
        <v>1845700</v>
      </c>
      <c r="J17" s="22">
        <v>1711500</v>
      </c>
      <c r="K17" s="22">
        <v>2109900</v>
      </c>
      <c r="L17" s="22">
        <v>1822500</v>
      </c>
      <c r="M17" s="22">
        <v>1504800</v>
      </c>
      <c r="N17" s="22">
        <v>1842400</v>
      </c>
      <c r="O17" s="22">
        <v>1818600</v>
      </c>
      <c r="P17" s="22">
        <v>1482200</v>
      </c>
      <c r="Q17" s="22">
        <v>1817600</v>
      </c>
      <c r="R17" s="22">
        <v>1990100</v>
      </c>
      <c r="S17" s="22">
        <v>2936700</v>
      </c>
      <c r="T17" s="22">
        <v>2211800</v>
      </c>
      <c r="U17" s="22">
        <v>1690700</v>
      </c>
      <c r="V17" s="22">
        <v>2054100</v>
      </c>
      <c r="W17" s="22">
        <v>1737600</v>
      </c>
      <c r="X17" s="22">
        <v>3532200</v>
      </c>
      <c r="Y17" s="22">
        <v>2138400</v>
      </c>
      <c r="Z17" s="22">
        <v>1474400</v>
      </c>
      <c r="AA17" s="22">
        <v>1678900</v>
      </c>
      <c r="AB17" s="22">
        <v>1789800</v>
      </c>
      <c r="AC17" s="22">
        <v>1795000</v>
      </c>
      <c r="AD17" s="22">
        <v>1838700</v>
      </c>
      <c r="AE17" s="22">
        <v>2589900</v>
      </c>
      <c r="AF17" s="22">
        <v>2408700</v>
      </c>
      <c r="AG17" s="22">
        <v>1489200</v>
      </c>
      <c r="AH17" s="22">
        <v>1646400</v>
      </c>
      <c r="AI17" s="22">
        <v>2521200</v>
      </c>
      <c r="AJ17" s="22">
        <v>2446600</v>
      </c>
      <c r="AK17" s="22">
        <v>1858200</v>
      </c>
      <c r="AL17" s="22">
        <v>1770600</v>
      </c>
      <c r="AM17" s="22">
        <v>1356400</v>
      </c>
      <c r="AN17" s="22">
        <v>1421600</v>
      </c>
      <c r="AO17" s="22">
        <v>1334400</v>
      </c>
      <c r="AP17" s="22">
        <v>1787300</v>
      </c>
      <c r="AQ17" s="22">
        <v>1654500</v>
      </c>
      <c r="AR17" s="22">
        <v>1248600</v>
      </c>
      <c r="AS17" s="22">
        <v>2140600</v>
      </c>
      <c r="AT17" s="22">
        <v>1649100</v>
      </c>
      <c r="AU17" s="22">
        <v>1776800</v>
      </c>
      <c r="AV17" s="22">
        <v>1621100</v>
      </c>
      <c r="AW17" s="22">
        <v>1998100</v>
      </c>
      <c r="AX17" s="22">
        <v>1998100</v>
      </c>
      <c r="AY17" s="22">
        <v>2118200</v>
      </c>
      <c r="AZ17" s="22">
        <v>2855100</v>
      </c>
      <c r="BA17" s="22">
        <v>2150700</v>
      </c>
      <c r="BB17" s="22">
        <v>4866100</v>
      </c>
      <c r="BC17" s="22">
        <v>1203200</v>
      </c>
      <c r="BD17" s="22">
        <v>1435800</v>
      </c>
      <c r="BE17" s="22">
        <v>885800</v>
      </c>
      <c r="BF17" s="22">
        <v>1318400</v>
      </c>
      <c r="BG17" s="22">
        <v>714900</v>
      </c>
      <c r="BH17" s="22">
        <v>723700</v>
      </c>
      <c r="BI17" s="22">
        <v>716500</v>
      </c>
      <c r="BJ17" s="22">
        <v>739000</v>
      </c>
      <c r="BK17" s="22">
        <v>1166900</v>
      </c>
      <c r="BL17" s="22">
        <v>1087600</v>
      </c>
      <c r="BM17" s="1">
        <v>652200</v>
      </c>
      <c r="BN17" s="1">
        <v>815200</v>
      </c>
      <c r="BO17" s="1">
        <v>1151700</v>
      </c>
      <c r="BP17" s="1">
        <v>1154600</v>
      </c>
    </row>
    <row r="18" spans="1:68" ht="15.9" customHeight="1">
      <c r="A18" s="396" t="s">
        <v>31</v>
      </c>
      <c r="B18" s="49" t="s">
        <v>32</v>
      </c>
      <c r="C18" s="53" t="str">
        <f>_xll.RssMarket("1662","出来高")</f>
        <v/>
      </c>
      <c r="D18" s="205" t="e">
        <f t="shared" si="0"/>
        <v>#VALUE!</v>
      </c>
      <c r="E18" s="203">
        <v>1217100</v>
      </c>
      <c r="F18" s="22">
        <v>1425100</v>
      </c>
      <c r="G18" s="22">
        <v>2214300</v>
      </c>
      <c r="H18" s="22">
        <v>1262600</v>
      </c>
      <c r="I18" s="22">
        <v>1271600</v>
      </c>
      <c r="J18" s="22">
        <v>1596100</v>
      </c>
      <c r="K18" s="22">
        <v>1553200</v>
      </c>
      <c r="L18" s="22">
        <v>1667800</v>
      </c>
      <c r="M18" s="22">
        <v>1180400</v>
      </c>
      <c r="N18" s="22">
        <v>1006200</v>
      </c>
      <c r="O18" s="22">
        <v>1012700</v>
      </c>
      <c r="P18" s="22">
        <v>1805000</v>
      </c>
      <c r="Q18" s="22">
        <v>1004800</v>
      </c>
      <c r="R18" s="22">
        <v>1069800</v>
      </c>
      <c r="S18" s="22">
        <v>1411100</v>
      </c>
      <c r="T18" s="22">
        <v>1540700</v>
      </c>
      <c r="U18" s="22">
        <v>1256300</v>
      </c>
      <c r="V18" s="22">
        <v>838900</v>
      </c>
      <c r="W18" s="22">
        <v>905000</v>
      </c>
      <c r="X18" s="22">
        <v>1705400</v>
      </c>
      <c r="Y18" s="22">
        <v>1400300</v>
      </c>
      <c r="Z18" s="22">
        <v>1154600</v>
      </c>
      <c r="AA18" s="22">
        <v>1305200</v>
      </c>
      <c r="AB18" s="22">
        <v>1517300</v>
      </c>
      <c r="AC18" s="22">
        <v>1719700</v>
      </c>
      <c r="AD18" s="22">
        <v>1743500</v>
      </c>
      <c r="AE18" s="22">
        <v>1707000</v>
      </c>
      <c r="AF18" s="22">
        <v>1577700</v>
      </c>
      <c r="AG18" s="22">
        <v>1874500</v>
      </c>
      <c r="AH18" s="22">
        <v>2445000</v>
      </c>
      <c r="AI18" s="22">
        <v>1812600</v>
      </c>
      <c r="AJ18" s="22">
        <v>1828000</v>
      </c>
      <c r="AK18" s="22">
        <v>2101700</v>
      </c>
      <c r="AL18" s="22">
        <v>1838300</v>
      </c>
      <c r="AM18" s="22">
        <v>1692100</v>
      </c>
      <c r="AN18" s="22">
        <v>1483500</v>
      </c>
      <c r="AO18" s="22">
        <v>2359600</v>
      </c>
      <c r="AP18" s="22">
        <v>2506600</v>
      </c>
      <c r="AQ18" s="22">
        <v>1282700</v>
      </c>
      <c r="AR18" s="22">
        <v>1948000</v>
      </c>
      <c r="AS18" s="22">
        <v>2191500</v>
      </c>
      <c r="AT18" s="22">
        <v>2657500</v>
      </c>
      <c r="AU18" s="22">
        <v>5240000</v>
      </c>
      <c r="AV18" s="22">
        <v>1668200</v>
      </c>
      <c r="AW18" s="22">
        <v>2013700</v>
      </c>
      <c r="AX18" s="22">
        <v>2013700</v>
      </c>
      <c r="AY18" s="22">
        <v>1993000</v>
      </c>
      <c r="AZ18" s="22">
        <v>3022900</v>
      </c>
      <c r="BA18" s="22">
        <v>1114100</v>
      </c>
      <c r="BB18" s="22">
        <v>1939100</v>
      </c>
      <c r="BC18" s="22">
        <v>1682900</v>
      </c>
      <c r="BD18" s="22">
        <v>1397500</v>
      </c>
      <c r="BE18" s="22">
        <v>2479600</v>
      </c>
      <c r="BF18" s="22">
        <v>4870100</v>
      </c>
      <c r="BG18" s="22">
        <v>3549200</v>
      </c>
      <c r="BH18" s="22">
        <v>3568200</v>
      </c>
      <c r="BI18" s="22">
        <v>5294900</v>
      </c>
      <c r="BJ18" s="22">
        <v>2743800</v>
      </c>
      <c r="BK18" s="22">
        <v>1638200</v>
      </c>
      <c r="BL18" s="22">
        <v>1919600</v>
      </c>
      <c r="BM18" s="1">
        <v>2468500</v>
      </c>
      <c r="BN18" s="1">
        <v>3066100</v>
      </c>
      <c r="BO18" s="1">
        <v>2021600</v>
      </c>
      <c r="BP18" s="1">
        <v>3113500</v>
      </c>
    </row>
    <row r="19" spans="1:68" ht="15.9" customHeight="1">
      <c r="A19" s="396" t="s">
        <v>33</v>
      </c>
      <c r="B19" s="49" t="s">
        <v>34</v>
      </c>
      <c r="C19" s="53" t="str">
        <f>_xll.RssMarket("8411","出来高")</f>
        <v/>
      </c>
      <c r="D19" s="205" t="e">
        <f t="shared" si="0"/>
        <v>#VALUE!</v>
      </c>
      <c r="E19" s="203">
        <v>14432200</v>
      </c>
      <c r="F19" s="22">
        <v>10893000</v>
      </c>
      <c r="G19" s="22">
        <v>8874200</v>
      </c>
      <c r="H19" s="22">
        <v>7327600</v>
      </c>
      <c r="I19" s="22">
        <v>7342800</v>
      </c>
      <c r="J19" s="22">
        <v>6615200</v>
      </c>
      <c r="K19" s="22">
        <v>7916300</v>
      </c>
      <c r="L19" s="22">
        <v>11405900</v>
      </c>
      <c r="M19" s="22">
        <v>6572200</v>
      </c>
      <c r="N19" s="22">
        <v>6936500</v>
      </c>
      <c r="O19" s="22">
        <v>9670300</v>
      </c>
      <c r="P19" s="22">
        <v>5951800</v>
      </c>
      <c r="Q19" s="22">
        <v>7867000</v>
      </c>
      <c r="R19" s="22">
        <v>10747300</v>
      </c>
      <c r="S19" s="22">
        <v>7865800</v>
      </c>
      <c r="T19" s="22">
        <v>6244600</v>
      </c>
      <c r="U19" s="22">
        <v>7033300</v>
      </c>
      <c r="V19" s="22">
        <v>8956900</v>
      </c>
      <c r="W19" s="22">
        <v>6803400</v>
      </c>
      <c r="X19" s="22">
        <v>14725900</v>
      </c>
      <c r="Y19" s="22">
        <v>11516700</v>
      </c>
      <c r="Z19" s="22">
        <v>12922600</v>
      </c>
      <c r="AA19" s="22">
        <v>9797300</v>
      </c>
      <c r="AB19" s="22">
        <v>13140500</v>
      </c>
      <c r="AC19" s="22">
        <v>11181800</v>
      </c>
      <c r="AD19" s="22">
        <v>12418200</v>
      </c>
      <c r="AE19" s="22">
        <v>9646600</v>
      </c>
      <c r="AF19" s="22">
        <v>10044100</v>
      </c>
      <c r="AG19" s="22">
        <v>11569200</v>
      </c>
      <c r="AH19" s="22">
        <v>12383200</v>
      </c>
      <c r="AI19" s="22">
        <v>10005100</v>
      </c>
      <c r="AJ19" s="22">
        <v>16581900</v>
      </c>
      <c r="AK19" s="22">
        <v>14467400</v>
      </c>
      <c r="AL19" s="22">
        <v>10262300</v>
      </c>
      <c r="AM19" s="22">
        <v>11943500</v>
      </c>
      <c r="AN19" s="22">
        <v>12090500</v>
      </c>
      <c r="AO19" s="22">
        <v>16998300</v>
      </c>
      <c r="AP19" s="22">
        <v>15514300</v>
      </c>
      <c r="AQ19" s="22">
        <v>13730800</v>
      </c>
      <c r="AR19" s="22">
        <v>21432700</v>
      </c>
      <c r="AS19" s="22">
        <v>10413100</v>
      </c>
      <c r="AT19" s="22">
        <v>8531800</v>
      </c>
      <c r="AU19" s="22">
        <v>7008000</v>
      </c>
      <c r="AV19" s="22">
        <v>8952100</v>
      </c>
      <c r="AW19" s="22">
        <v>9143400</v>
      </c>
      <c r="AX19" s="22">
        <v>9143400</v>
      </c>
      <c r="AY19" s="22">
        <v>10189400</v>
      </c>
      <c r="AZ19" s="22">
        <v>11688900</v>
      </c>
      <c r="BA19" s="22">
        <v>7112700</v>
      </c>
      <c r="BB19" s="22">
        <v>10641200</v>
      </c>
      <c r="BC19" s="22">
        <v>13923800</v>
      </c>
      <c r="BD19" s="22">
        <v>9071000</v>
      </c>
      <c r="BE19" s="22">
        <v>6579700</v>
      </c>
      <c r="BF19" s="22">
        <v>7429300</v>
      </c>
      <c r="BG19" s="22">
        <v>7751100</v>
      </c>
      <c r="BH19" s="22">
        <v>7503700</v>
      </c>
      <c r="BI19" s="22">
        <v>6356700</v>
      </c>
      <c r="BJ19" s="22">
        <v>9186000</v>
      </c>
      <c r="BK19" s="22">
        <v>9620500</v>
      </c>
      <c r="BL19" s="22">
        <v>10748300</v>
      </c>
      <c r="BM19" s="1">
        <v>7541600</v>
      </c>
      <c r="BN19" s="1">
        <v>6715800</v>
      </c>
      <c r="BO19" s="1">
        <v>6848600</v>
      </c>
      <c r="BP19" s="1">
        <v>9676300</v>
      </c>
    </row>
    <row r="20" spans="1:68" ht="15.9" customHeight="1">
      <c r="A20" s="396" t="s">
        <v>35</v>
      </c>
      <c r="B20" s="49" t="s">
        <v>36</v>
      </c>
      <c r="C20" s="53" t="str">
        <f>_xll.RssMarket("5541","出来高")</f>
        <v/>
      </c>
      <c r="D20" s="205" t="e">
        <f t="shared" si="0"/>
        <v>#VALUE!</v>
      </c>
      <c r="E20" s="203">
        <v>231900</v>
      </c>
      <c r="F20" s="22">
        <v>120200</v>
      </c>
      <c r="G20" s="22">
        <v>162000</v>
      </c>
      <c r="H20" s="22">
        <v>178400</v>
      </c>
      <c r="I20" s="22">
        <v>166700</v>
      </c>
      <c r="J20" s="22">
        <v>138100</v>
      </c>
      <c r="K20" s="22">
        <v>215700</v>
      </c>
      <c r="L20" s="22">
        <v>233900</v>
      </c>
      <c r="M20" s="22">
        <v>221700</v>
      </c>
      <c r="N20" s="22">
        <v>174600</v>
      </c>
      <c r="O20" s="22">
        <v>247700</v>
      </c>
      <c r="P20" s="22">
        <v>227200</v>
      </c>
      <c r="Q20" s="22">
        <v>146300</v>
      </c>
      <c r="R20" s="22">
        <v>183500</v>
      </c>
      <c r="S20" s="22">
        <v>138400</v>
      </c>
      <c r="T20" s="22">
        <v>194700</v>
      </c>
      <c r="U20" s="22">
        <v>182500</v>
      </c>
      <c r="V20" s="22">
        <v>232300</v>
      </c>
      <c r="W20" s="22">
        <v>149000</v>
      </c>
      <c r="X20" s="22">
        <v>141800</v>
      </c>
      <c r="Y20" s="22">
        <v>186000</v>
      </c>
      <c r="Z20" s="22">
        <v>138100</v>
      </c>
      <c r="AA20" s="22">
        <v>248700</v>
      </c>
      <c r="AB20" s="22">
        <v>308200</v>
      </c>
      <c r="AC20" s="22">
        <v>285100</v>
      </c>
      <c r="AD20" s="22">
        <v>280500</v>
      </c>
      <c r="AE20" s="22">
        <v>427600</v>
      </c>
      <c r="AF20" s="22">
        <v>326000</v>
      </c>
      <c r="AG20" s="22">
        <v>194800</v>
      </c>
      <c r="AH20" s="22">
        <v>323900</v>
      </c>
      <c r="AI20" s="22">
        <v>245700</v>
      </c>
      <c r="AJ20" s="22">
        <v>241600</v>
      </c>
      <c r="AK20" s="22">
        <v>296900</v>
      </c>
      <c r="AL20" s="22">
        <v>298400</v>
      </c>
      <c r="AM20" s="22">
        <v>406700</v>
      </c>
      <c r="AN20" s="22">
        <v>463600</v>
      </c>
      <c r="AO20" s="22">
        <v>367100</v>
      </c>
      <c r="AP20" s="22">
        <v>453400</v>
      </c>
      <c r="AQ20" s="22">
        <v>551500</v>
      </c>
      <c r="AR20" s="22">
        <v>485100</v>
      </c>
      <c r="AS20" s="22">
        <v>369300</v>
      </c>
      <c r="AT20" s="22">
        <v>485300</v>
      </c>
      <c r="AU20" s="22">
        <v>677400</v>
      </c>
      <c r="AV20" s="22">
        <v>719600</v>
      </c>
      <c r="AW20" s="22">
        <v>292300</v>
      </c>
      <c r="AX20" s="22">
        <v>292300</v>
      </c>
      <c r="AY20" s="22">
        <v>252100</v>
      </c>
      <c r="AZ20" s="22">
        <v>427200</v>
      </c>
      <c r="BA20" s="22">
        <v>451300</v>
      </c>
      <c r="BB20" s="22">
        <v>603100</v>
      </c>
      <c r="BC20" s="22">
        <v>692900</v>
      </c>
      <c r="BD20" s="22">
        <v>424300</v>
      </c>
      <c r="BE20" s="22">
        <v>242800</v>
      </c>
      <c r="BF20" s="22">
        <v>364900</v>
      </c>
      <c r="BG20" s="22">
        <v>281400</v>
      </c>
      <c r="BH20" s="22">
        <v>266800</v>
      </c>
      <c r="BI20" s="22">
        <v>431200</v>
      </c>
      <c r="BJ20" s="22">
        <v>538200</v>
      </c>
      <c r="BK20" s="22">
        <v>331600</v>
      </c>
      <c r="BL20" s="22">
        <v>383000</v>
      </c>
      <c r="BM20" s="1">
        <v>402700</v>
      </c>
      <c r="BN20" s="1">
        <v>341500</v>
      </c>
      <c r="BO20" s="1">
        <v>427400</v>
      </c>
      <c r="BP20" s="1">
        <v>313200</v>
      </c>
    </row>
    <row r="21" spans="1:68" ht="15.9" customHeight="1">
      <c r="A21" s="396" t="s">
        <v>37</v>
      </c>
      <c r="B21" s="49" t="s">
        <v>38</v>
      </c>
      <c r="C21" s="53" t="str">
        <f>_xll.RssMarket("5332","出来高")</f>
        <v/>
      </c>
      <c r="D21" s="205" t="e">
        <f t="shared" si="0"/>
        <v>#VALUE!</v>
      </c>
      <c r="E21" s="203">
        <v>1479300</v>
      </c>
      <c r="F21" s="22">
        <v>1272000</v>
      </c>
      <c r="G21" s="22">
        <v>1264100</v>
      </c>
      <c r="H21" s="22">
        <v>1115900</v>
      </c>
      <c r="I21" s="22">
        <v>1018200</v>
      </c>
      <c r="J21" s="22">
        <v>1004700</v>
      </c>
      <c r="K21" s="22">
        <v>1352900</v>
      </c>
      <c r="L21" s="22">
        <v>1029300</v>
      </c>
      <c r="M21" s="22">
        <v>804200</v>
      </c>
      <c r="N21" s="22">
        <v>1032500</v>
      </c>
      <c r="O21" s="22">
        <v>1385200</v>
      </c>
      <c r="P21" s="22">
        <v>1623500</v>
      </c>
      <c r="Q21" s="22">
        <v>1159700</v>
      </c>
      <c r="R21" s="22">
        <v>1166000</v>
      </c>
      <c r="S21" s="22">
        <v>1456800</v>
      </c>
      <c r="T21" s="22">
        <v>1581200</v>
      </c>
      <c r="U21" s="22">
        <v>1864200</v>
      </c>
      <c r="V21" s="22">
        <v>2135500</v>
      </c>
      <c r="W21" s="22">
        <v>3085400</v>
      </c>
      <c r="X21" s="22">
        <v>1028200</v>
      </c>
      <c r="Y21" s="22">
        <v>1079700</v>
      </c>
      <c r="Z21" s="22">
        <v>1293200</v>
      </c>
      <c r="AA21" s="22">
        <v>1278600</v>
      </c>
      <c r="AB21" s="22">
        <v>1679300</v>
      </c>
      <c r="AC21" s="22">
        <v>1658800</v>
      </c>
      <c r="AD21" s="22">
        <v>1143000</v>
      </c>
      <c r="AE21" s="22">
        <v>2109800</v>
      </c>
      <c r="AF21" s="22">
        <v>1685500</v>
      </c>
      <c r="AG21" s="22">
        <v>3165600</v>
      </c>
      <c r="AH21" s="22">
        <v>2695800</v>
      </c>
      <c r="AI21" s="22">
        <v>1561900</v>
      </c>
      <c r="AJ21" s="22">
        <v>1879700</v>
      </c>
      <c r="AK21" s="22">
        <v>1239600</v>
      </c>
      <c r="AL21" s="22">
        <v>1821000</v>
      </c>
      <c r="AM21" s="22">
        <v>986300</v>
      </c>
      <c r="AN21" s="22">
        <v>1151600</v>
      </c>
      <c r="AO21" s="22">
        <v>918300</v>
      </c>
      <c r="AP21" s="22">
        <v>1278500</v>
      </c>
      <c r="AQ21" s="22">
        <v>1038100</v>
      </c>
      <c r="AR21" s="22">
        <v>921200</v>
      </c>
      <c r="AS21" s="22">
        <v>1517200</v>
      </c>
      <c r="AT21" s="22">
        <v>1886400</v>
      </c>
      <c r="AU21" s="22">
        <v>795100</v>
      </c>
      <c r="AV21" s="22">
        <v>1763500</v>
      </c>
      <c r="AW21" s="22">
        <v>1926500</v>
      </c>
      <c r="AX21" s="22">
        <v>1926500</v>
      </c>
      <c r="AY21" s="22">
        <v>2574300</v>
      </c>
      <c r="AZ21" s="22">
        <v>4349000</v>
      </c>
      <c r="BA21" s="22">
        <v>3169300</v>
      </c>
      <c r="BB21" s="22">
        <v>1425200</v>
      </c>
      <c r="BC21" s="22">
        <v>683400</v>
      </c>
      <c r="BD21" s="22">
        <v>914800</v>
      </c>
      <c r="BE21" s="22">
        <v>1000500</v>
      </c>
      <c r="BF21" s="22">
        <v>1002600</v>
      </c>
      <c r="BG21" s="22">
        <v>990300</v>
      </c>
      <c r="BH21" s="22">
        <v>818600</v>
      </c>
      <c r="BI21" s="22">
        <v>418700</v>
      </c>
      <c r="BJ21" s="22">
        <v>807100</v>
      </c>
      <c r="BK21" s="22">
        <v>2224500</v>
      </c>
      <c r="BL21" s="22">
        <v>1232200</v>
      </c>
      <c r="BM21" s="1">
        <v>2693100</v>
      </c>
      <c r="BN21" s="1">
        <v>6886600</v>
      </c>
      <c r="BO21" s="1">
        <v>918400</v>
      </c>
      <c r="BP21" s="1">
        <v>1167500</v>
      </c>
    </row>
    <row r="22" spans="1:68" ht="15.9" customHeight="1">
      <c r="A22" s="396" t="s">
        <v>39</v>
      </c>
      <c r="B22" s="49" t="s">
        <v>40</v>
      </c>
      <c r="C22" s="53" t="str">
        <f>_xll.RssMarket("8725","出来高")</f>
        <v/>
      </c>
      <c r="D22" s="205" t="e">
        <f t="shared" si="0"/>
        <v>#VALUE!</v>
      </c>
      <c r="E22" s="203">
        <v>4616300</v>
      </c>
      <c r="F22" s="22">
        <v>3969800</v>
      </c>
      <c r="G22" s="22">
        <v>3352200</v>
      </c>
      <c r="H22" s="22">
        <v>2859100</v>
      </c>
      <c r="I22" s="22">
        <v>4374500</v>
      </c>
      <c r="J22" s="22">
        <v>4504100</v>
      </c>
      <c r="K22" s="22">
        <v>4542700</v>
      </c>
      <c r="L22" s="22">
        <v>5176400</v>
      </c>
      <c r="M22" s="22">
        <v>5245600</v>
      </c>
      <c r="N22" s="22">
        <v>5164700</v>
      </c>
      <c r="O22" s="22">
        <v>6095600</v>
      </c>
      <c r="P22" s="22">
        <v>6011100</v>
      </c>
      <c r="Q22" s="22">
        <v>5413800</v>
      </c>
      <c r="R22" s="22">
        <v>7673400</v>
      </c>
      <c r="S22" s="22">
        <v>6194800</v>
      </c>
      <c r="T22" s="22">
        <v>7937600</v>
      </c>
      <c r="U22" s="22">
        <v>5076400</v>
      </c>
      <c r="V22" s="22">
        <v>3862000</v>
      </c>
      <c r="W22" s="22">
        <v>2452700</v>
      </c>
      <c r="X22" s="22">
        <v>5609000</v>
      </c>
      <c r="Y22" s="22">
        <v>4416600</v>
      </c>
      <c r="Z22" s="22">
        <v>3959300</v>
      </c>
      <c r="AA22" s="22">
        <v>3133600</v>
      </c>
      <c r="AB22" s="22">
        <v>5475200</v>
      </c>
      <c r="AC22" s="22">
        <v>3444800</v>
      </c>
      <c r="AD22" s="22">
        <v>4882400</v>
      </c>
      <c r="AE22" s="22">
        <v>4078900</v>
      </c>
      <c r="AF22" s="22">
        <v>2749500</v>
      </c>
      <c r="AG22" s="22">
        <v>3729600</v>
      </c>
      <c r="AH22" s="22">
        <v>4192300</v>
      </c>
      <c r="AI22" s="22">
        <v>4316300</v>
      </c>
      <c r="AJ22" s="22">
        <v>21947600</v>
      </c>
      <c r="AK22" s="22">
        <v>4163600</v>
      </c>
      <c r="AL22" s="22">
        <v>4362800</v>
      </c>
      <c r="AM22" s="22">
        <v>3443400</v>
      </c>
      <c r="AN22" s="22">
        <v>4505700</v>
      </c>
      <c r="AO22" s="22">
        <v>6554700</v>
      </c>
      <c r="AP22" s="22">
        <v>5183200</v>
      </c>
      <c r="AQ22" s="22">
        <v>5100200</v>
      </c>
      <c r="AR22" s="22">
        <v>3963700</v>
      </c>
      <c r="AS22" s="22">
        <v>3998500</v>
      </c>
      <c r="AT22" s="22">
        <v>3569100</v>
      </c>
      <c r="AU22" s="22">
        <v>4277700</v>
      </c>
      <c r="AV22" s="22">
        <v>6882200</v>
      </c>
      <c r="AW22" s="22">
        <v>3290300</v>
      </c>
      <c r="AX22" s="22">
        <v>3290300</v>
      </c>
      <c r="AY22" s="22">
        <v>4823000</v>
      </c>
      <c r="AZ22" s="22">
        <v>4535200</v>
      </c>
      <c r="BA22" s="22">
        <v>2605900</v>
      </c>
      <c r="BB22" s="22">
        <v>4050400</v>
      </c>
      <c r="BC22" s="22">
        <v>2895400</v>
      </c>
      <c r="BD22" s="22">
        <v>2940800</v>
      </c>
      <c r="BE22" s="22">
        <v>2257500</v>
      </c>
      <c r="BF22" s="22">
        <v>3230500</v>
      </c>
      <c r="BG22" s="22">
        <v>2525600</v>
      </c>
      <c r="BH22" s="22">
        <v>2710200</v>
      </c>
      <c r="BI22" s="22">
        <v>2132400</v>
      </c>
      <c r="BJ22" s="22">
        <v>2839800</v>
      </c>
      <c r="BK22" s="22">
        <v>2705400</v>
      </c>
      <c r="BL22" s="22">
        <v>3169100</v>
      </c>
      <c r="BM22" s="1">
        <v>2703800</v>
      </c>
      <c r="BN22" s="1">
        <v>2951100</v>
      </c>
      <c r="BO22" s="1">
        <v>2916700</v>
      </c>
      <c r="BP22" s="1">
        <v>3839400</v>
      </c>
    </row>
    <row r="23" spans="1:68" ht="15.9" customHeight="1">
      <c r="A23" s="396" t="s">
        <v>41</v>
      </c>
      <c r="B23" s="49" t="s">
        <v>42</v>
      </c>
      <c r="C23" s="53" t="str">
        <f>_xll.RssMarket("8795","出来高")</f>
        <v/>
      </c>
      <c r="D23" s="205" t="e">
        <f t="shared" si="0"/>
        <v>#VALUE!</v>
      </c>
      <c r="E23" s="203">
        <v>1693200</v>
      </c>
      <c r="F23" s="22">
        <v>1086700</v>
      </c>
      <c r="G23" s="22">
        <v>1204700</v>
      </c>
      <c r="H23" s="22">
        <v>1077500</v>
      </c>
      <c r="I23" s="22">
        <v>1050800</v>
      </c>
      <c r="J23" s="22">
        <v>1359200</v>
      </c>
      <c r="K23" s="22">
        <v>1819500</v>
      </c>
      <c r="L23" s="22">
        <v>2973000</v>
      </c>
      <c r="M23" s="22">
        <v>1887700</v>
      </c>
      <c r="N23" s="22">
        <v>1682700</v>
      </c>
      <c r="O23" s="22">
        <v>1814200</v>
      </c>
      <c r="P23" s="22">
        <v>2324300</v>
      </c>
      <c r="Q23" s="22">
        <v>2402900</v>
      </c>
      <c r="R23" s="22">
        <v>3843500</v>
      </c>
      <c r="S23" s="22">
        <v>1611800</v>
      </c>
      <c r="T23" s="22">
        <v>1985300</v>
      </c>
      <c r="U23" s="22">
        <v>2951300</v>
      </c>
      <c r="V23" s="22">
        <v>1652500</v>
      </c>
      <c r="W23" s="22">
        <v>1584300</v>
      </c>
      <c r="X23" s="22">
        <v>2101900</v>
      </c>
      <c r="Y23" s="22">
        <v>1752800</v>
      </c>
      <c r="Z23" s="22">
        <v>2140500</v>
      </c>
      <c r="AA23" s="22">
        <v>2237600</v>
      </c>
      <c r="AB23" s="22">
        <v>2429300</v>
      </c>
      <c r="AC23" s="22">
        <v>1909300</v>
      </c>
      <c r="AD23" s="22">
        <v>3640400</v>
      </c>
      <c r="AE23" s="22">
        <v>2067100</v>
      </c>
      <c r="AF23" s="22">
        <v>3356300</v>
      </c>
      <c r="AG23" s="22">
        <v>2187000</v>
      </c>
      <c r="AH23" s="22">
        <v>2422000</v>
      </c>
      <c r="AI23" s="22">
        <v>2299000</v>
      </c>
      <c r="AJ23" s="22">
        <v>6363200</v>
      </c>
      <c r="AK23" s="22">
        <v>1641500</v>
      </c>
      <c r="AL23" s="22">
        <v>1694500</v>
      </c>
      <c r="AM23" s="22">
        <v>1880900</v>
      </c>
      <c r="AN23" s="22">
        <v>2480400</v>
      </c>
      <c r="AO23" s="22">
        <v>2184200</v>
      </c>
      <c r="AP23" s="22">
        <v>1907700</v>
      </c>
      <c r="AQ23" s="22">
        <v>2646700</v>
      </c>
      <c r="AR23" s="22">
        <v>1908800</v>
      </c>
      <c r="AS23" s="22">
        <v>2306000</v>
      </c>
      <c r="AT23" s="22">
        <v>1399500</v>
      </c>
      <c r="AU23" s="22">
        <v>1303000</v>
      </c>
      <c r="AV23" s="22">
        <v>1675300</v>
      </c>
      <c r="AW23" s="22">
        <v>1454700</v>
      </c>
      <c r="AX23" s="22">
        <v>1454700</v>
      </c>
      <c r="AY23" s="22">
        <v>1796600</v>
      </c>
      <c r="AZ23" s="22">
        <v>2571300</v>
      </c>
      <c r="BA23" s="22">
        <v>1250400</v>
      </c>
      <c r="BB23" s="22">
        <v>2027600</v>
      </c>
      <c r="BC23" s="22">
        <v>2276000</v>
      </c>
      <c r="BD23" s="22">
        <v>1688900</v>
      </c>
      <c r="BE23" s="22">
        <v>1701400</v>
      </c>
      <c r="BF23" s="22">
        <v>2772300</v>
      </c>
      <c r="BG23" s="22">
        <v>2000800</v>
      </c>
      <c r="BH23" s="22">
        <v>1822300</v>
      </c>
      <c r="BI23" s="22">
        <v>1642300</v>
      </c>
      <c r="BJ23" s="22">
        <v>1879600</v>
      </c>
      <c r="BK23" s="22">
        <v>1551000</v>
      </c>
      <c r="BL23" s="22">
        <v>1532900</v>
      </c>
      <c r="BM23" s="1">
        <v>1758700</v>
      </c>
      <c r="BN23" s="1">
        <v>1271400</v>
      </c>
      <c r="BO23" s="1">
        <v>1293000</v>
      </c>
      <c r="BP23" s="1">
        <v>1887700</v>
      </c>
    </row>
    <row r="24" spans="1:68" ht="15.9" customHeight="1">
      <c r="A24" s="396" t="s">
        <v>43</v>
      </c>
      <c r="B24" s="49" t="s">
        <v>44</v>
      </c>
      <c r="C24" s="53" t="str">
        <f>_xll.RssMarket("5019","出来高")</f>
        <v/>
      </c>
      <c r="D24" s="205" t="e">
        <f t="shared" si="0"/>
        <v>#VALUE!</v>
      </c>
      <c r="E24" s="203">
        <v>3461200</v>
      </c>
      <c r="F24" s="22">
        <v>3514400</v>
      </c>
      <c r="G24" s="22">
        <v>3089700</v>
      </c>
      <c r="H24" s="22">
        <v>3061500</v>
      </c>
      <c r="I24" s="22">
        <v>3528500</v>
      </c>
      <c r="J24" s="22">
        <v>3617500</v>
      </c>
      <c r="K24" s="22">
        <v>3527500</v>
      </c>
      <c r="L24" s="22">
        <v>3805100</v>
      </c>
      <c r="M24" s="22">
        <v>2549500</v>
      </c>
      <c r="N24" s="22">
        <v>3590400</v>
      </c>
      <c r="O24" s="22">
        <v>3373700</v>
      </c>
      <c r="P24" s="22">
        <v>3475400</v>
      </c>
      <c r="Q24" s="22">
        <v>5390200</v>
      </c>
      <c r="R24" s="22">
        <v>6808700</v>
      </c>
      <c r="S24" s="22">
        <v>3458300</v>
      </c>
      <c r="T24" s="22">
        <v>4715400</v>
      </c>
      <c r="U24" s="22">
        <v>3508600</v>
      </c>
      <c r="V24" s="22">
        <v>4558800</v>
      </c>
      <c r="W24" s="22">
        <v>3371900</v>
      </c>
      <c r="X24" s="22">
        <v>10404900</v>
      </c>
      <c r="Y24" s="22">
        <v>4125300</v>
      </c>
      <c r="Z24" s="22">
        <v>4040400</v>
      </c>
      <c r="AA24" s="22">
        <v>3618200</v>
      </c>
      <c r="AB24" s="22">
        <v>5523600</v>
      </c>
      <c r="AC24" s="22">
        <v>3531900</v>
      </c>
      <c r="AD24" s="22">
        <v>3746500</v>
      </c>
      <c r="AE24" s="22">
        <v>4287600</v>
      </c>
      <c r="AF24" s="22">
        <v>3641300</v>
      </c>
      <c r="AG24" s="22">
        <v>3359600</v>
      </c>
      <c r="AH24" s="22">
        <v>5315700</v>
      </c>
      <c r="AI24" s="22">
        <v>5527800</v>
      </c>
      <c r="AJ24" s="22">
        <v>11955600</v>
      </c>
      <c r="AK24" s="22">
        <v>8683900</v>
      </c>
      <c r="AL24" s="22">
        <v>4124300</v>
      </c>
      <c r="AM24" s="22">
        <v>3597500</v>
      </c>
      <c r="AN24" s="22">
        <v>4180400</v>
      </c>
      <c r="AO24" s="22">
        <v>3702000</v>
      </c>
      <c r="AP24" s="22">
        <v>4665700</v>
      </c>
      <c r="AQ24" s="22">
        <v>4699300</v>
      </c>
      <c r="AR24" s="22">
        <v>5863400</v>
      </c>
      <c r="AS24" s="22">
        <v>6853600</v>
      </c>
      <c r="AT24" s="22">
        <v>6963600</v>
      </c>
      <c r="AU24" s="22">
        <v>8769600</v>
      </c>
      <c r="AV24" s="22">
        <v>4718800</v>
      </c>
      <c r="AW24" s="22">
        <v>3701300</v>
      </c>
      <c r="AX24" s="22">
        <v>3701300</v>
      </c>
      <c r="AY24" s="22">
        <v>5627400</v>
      </c>
      <c r="AZ24" s="22">
        <v>6407600</v>
      </c>
      <c r="BA24" s="22">
        <v>4688500</v>
      </c>
      <c r="BB24" s="22">
        <v>8432600</v>
      </c>
      <c r="BC24" s="22">
        <v>3745900</v>
      </c>
      <c r="BD24" s="22">
        <v>3600600</v>
      </c>
      <c r="BE24" s="22">
        <v>4462900</v>
      </c>
      <c r="BF24" s="22">
        <v>5735900</v>
      </c>
      <c r="BG24" s="22">
        <v>4936300</v>
      </c>
      <c r="BH24" s="22">
        <v>4973500</v>
      </c>
      <c r="BI24" s="22">
        <v>4176900</v>
      </c>
      <c r="BJ24" s="22">
        <v>3527000</v>
      </c>
      <c r="BK24" s="22">
        <v>3094200</v>
      </c>
      <c r="BL24" s="22">
        <v>4061100</v>
      </c>
      <c r="BM24" s="1">
        <v>3772800</v>
      </c>
      <c r="BN24" s="1">
        <v>2946500</v>
      </c>
      <c r="BO24" s="1">
        <v>4074200</v>
      </c>
      <c r="BP24" s="1">
        <v>7882100</v>
      </c>
    </row>
    <row r="25" spans="1:68" ht="15.9" customHeight="1">
      <c r="A25" s="396" t="s">
        <v>45</v>
      </c>
      <c r="B25" s="49" t="s">
        <v>46</v>
      </c>
      <c r="C25" s="53" t="str">
        <f>_xll.RssMarket("8053","出来高")</f>
        <v/>
      </c>
      <c r="D25" s="205" t="e">
        <f t="shared" si="0"/>
        <v>#VALUE!</v>
      </c>
      <c r="E25" s="203">
        <v>15185600</v>
      </c>
      <c r="F25" s="22">
        <v>9465100</v>
      </c>
      <c r="G25" s="22">
        <v>11497000</v>
      </c>
      <c r="H25" s="22">
        <v>11103600</v>
      </c>
      <c r="I25" s="22">
        <v>11196800</v>
      </c>
      <c r="J25" s="22">
        <v>7670200</v>
      </c>
      <c r="K25" s="22">
        <v>13968700</v>
      </c>
      <c r="L25" s="22">
        <v>14751200</v>
      </c>
      <c r="M25" s="22">
        <v>8014500</v>
      </c>
      <c r="N25" s="22">
        <v>9399700</v>
      </c>
      <c r="O25" s="22">
        <v>14840700</v>
      </c>
      <c r="P25" s="22">
        <v>9863200</v>
      </c>
      <c r="Q25" s="22">
        <v>13056500</v>
      </c>
      <c r="R25" s="22">
        <v>18273500</v>
      </c>
      <c r="S25" s="22">
        <v>2751600</v>
      </c>
      <c r="T25" s="22">
        <v>3356900</v>
      </c>
      <c r="U25" s="22">
        <v>2804900</v>
      </c>
      <c r="V25" s="22">
        <v>3004700</v>
      </c>
      <c r="W25" s="22">
        <v>1697700</v>
      </c>
      <c r="X25" s="22">
        <v>5625200</v>
      </c>
      <c r="Y25" s="22">
        <v>2054200</v>
      </c>
      <c r="Z25" s="22">
        <v>2278500</v>
      </c>
      <c r="AA25" s="22">
        <v>2412200</v>
      </c>
      <c r="AB25" s="22">
        <v>4570300</v>
      </c>
      <c r="AC25" s="22">
        <v>4708300</v>
      </c>
      <c r="AD25" s="22">
        <v>4365900</v>
      </c>
      <c r="AE25" s="22">
        <v>3290600</v>
      </c>
      <c r="AF25" s="22">
        <v>1919700</v>
      </c>
      <c r="AG25" s="22">
        <v>2552300</v>
      </c>
      <c r="AH25" s="22">
        <v>2636000</v>
      </c>
      <c r="AI25" s="22">
        <v>3123400</v>
      </c>
      <c r="AJ25" s="22">
        <v>10796100</v>
      </c>
      <c r="AK25" s="22">
        <v>4614600</v>
      </c>
      <c r="AL25" s="22">
        <v>3034800</v>
      </c>
      <c r="AM25" s="22">
        <v>2557700</v>
      </c>
      <c r="AN25" s="22">
        <v>2040400</v>
      </c>
      <c r="AO25" s="22">
        <v>1953600</v>
      </c>
      <c r="AP25" s="22">
        <v>4191600</v>
      </c>
      <c r="AQ25" s="22">
        <v>2331200</v>
      </c>
      <c r="AR25" s="22">
        <v>2584500</v>
      </c>
      <c r="AS25" s="22">
        <v>2812200</v>
      </c>
      <c r="AT25" s="22">
        <v>3789200</v>
      </c>
      <c r="AU25" s="22">
        <v>4103900</v>
      </c>
      <c r="AV25" s="22">
        <v>3488200</v>
      </c>
      <c r="AW25" s="22">
        <v>4338400</v>
      </c>
      <c r="AX25" s="22">
        <v>4338400</v>
      </c>
      <c r="AY25" s="22">
        <v>7294300</v>
      </c>
      <c r="AZ25" s="22">
        <v>19773700</v>
      </c>
      <c r="BA25" s="22">
        <v>17136600</v>
      </c>
      <c r="BB25" s="22">
        <v>4493700</v>
      </c>
      <c r="BC25" s="22">
        <v>3535200</v>
      </c>
      <c r="BD25" s="22">
        <v>2792800</v>
      </c>
      <c r="BE25" s="22">
        <v>2194800</v>
      </c>
      <c r="BF25" s="22">
        <v>3219600</v>
      </c>
      <c r="BG25" s="22">
        <v>2920900</v>
      </c>
      <c r="BH25" s="22">
        <v>1970200</v>
      </c>
      <c r="BI25" s="22">
        <v>2184800</v>
      </c>
      <c r="BJ25" s="22">
        <v>2693300</v>
      </c>
      <c r="BK25" s="22">
        <v>2867200</v>
      </c>
      <c r="BL25" s="22">
        <v>2476800</v>
      </c>
      <c r="BM25" s="1">
        <v>2083700</v>
      </c>
      <c r="BN25" s="1">
        <v>2119300</v>
      </c>
      <c r="BO25" s="1">
        <v>3246700</v>
      </c>
      <c r="BP25" s="1">
        <v>3000700</v>
      </c>
    </row>
    <row r="26" spans="1:68" ht="15.9" customHeight="1">
      <c r="A26" s="396" t="s">
        <v>47</v>
      </c>
      <c r="B26" s="49" t="s">
        <v>48</v>
      </c>
      <c r="C26" s="53" t="str">
        <f>_xll.RssMarket("8591","出来高")</f>
        <v/>
      </c>
      <c r="D26" s="205" t="e">
        <f t="shared" si="0"/>
        <v>#VALUE!</v>
      </c>
      <c r="E26" s="203">
        <v>4639700</v>
      </c>
      <c r="F26" s="22">
        <v>2436800</v>
      </c>
      <c r="G26" s="22">
        <v>2358600</v>
      </c>
      <c r="H26" s="22">
        <v>2391800</v>
      </c>
      <c r="I26" s="22">
        <v>2832000</v>
      </c>
      <c r="J26" s="22">
        <v>2652900</v>
      </c>
      <c r="K26" s="22">
        <v>3304800</v>
      </c>
      <c r="L26" s="22">
        <v>3389200</v>
      </c>
      <c r="M26" s="22">
        <v>1702900</v>
      </c>
      <c r="N26" s="22">
        <v>2361500</v>
      </c>
      <c r="O26" s="22">
        <v>3281100</v>
      </c>
      <c r="P26" s="22">
        <v>2784200</v>
      </c>
      <c r="Q26" s="22">
        <v>3502200</v>
      </c>
      <c r="R26" s="22">
        <v>2698000</v>
      </c>
      <c r="S26" s="22">
        <v>2677700</v>
      </c>
      <c r="T26" s="22">
        <v>3437100</v>
      </c>
      <c r="U26" s="22">
        <v>3424300</v>
      </c>
      <c r="V26" s="22">
        <v>3533600</v>
      </c>
      <c r="W26" s="22">
        <v>3306600</v>
      </c>
      <c r="X26" s="22">
        <v>6392700</v>
      </c>
      <c r="Y26" s="22">
        <v>4239900</v>
      </c>
      <c r="Z26" s="22">
        <v>3297700</v>
      </c>
      <c r="AA26" s="22">
        <v>3277700</v>
      </c>
      <c r="AB26" s="22">
        <v>4689200</v>
      </c>
      <c r="AC26" s="22">
        <v>3440000</v>
      </c>
      <c r="AD26" s="22">
        <v>3177200</v>
      </c>
      <c r="AE26" s="22">
        <v>4282200</v>
      </c>
      <c r="AF26" s="22">
        <v>4106200</v>
      </c>
      <c r="AG26" s="22">
        <v>3631000</v>
      </c>
      <c r="AH26" s="22">
        <v>4230200</v>
      </c>
      <c r="AI26" s="22">
        <v>3439000</v>
      </c>
      <c r="AJ26" s="22">
        <v>11231300</v>
      </c>
      <c r="AK26" s="22">
        <v>4034600</v>
      </c>
      <c r="AL26" s="22">
        <v>4177600</v>
      </c>
      <c r="AM26" s="22">
        <v>2862600</v>
      </c>
      <c r="AN26" s="22">
        <v>2962300</v>
      </c>
      <c r="AO26" s="22">
        <v>5566600</v>
      </c>
      <c r="AP26" s="22">
        <v>5382800</v>
      </c>
      <c r="AQ26" s="22">
        <v>3428300</v>
      </c>
      <c r="AR26" s="22">
        <v>3498200</v>
      </c>
      <c r="AS26" s="22">
        <v>3566600</v>
      </c>
      <c r="AT26" s="22">
        <v>3688600</v>
      </c>
      <c r="AU26" s="22">
        <v>4551800</v>
      </c>
      <c r="AV26" s="22">
        <v>9097900</v>
      </c>
      <c r="AW26" s="22">
        <v>5492700</v>
      </c>
      <c r="AX26" s="22">
        <v>5492700</v>
      </c>
      <c r="AY26" s="22">
        <v>3962300</v>
      </c>
      <c r="AZ26" s="22">
        <v>5074900</v>
      </c>
      <c r="BA26" s="22">
        <v>2638400</v>
      </c>
      <c r="BB26" s="22">
        <v>5308400</v>
      </c>
      <c r="BC26" s="22">
        <v>10949800</v>
      </c>
      <c r="BD26" s="22">
        <v>2361900</v>
      </c>
      <c r="BE26" s="22">
        <v>2283400</v>
      </c>
      <c r="BF26" s="22">
        <v>2706600</v>
      </c>
      <c r="BG26" s="22">
        <v>2370200</v>
      </c>
      <c r="BH26" s="22">
        <v>2138000</v>
      </c>
      <c r="BI26" s="22">
        <v>2533100</v>
      </c>
      <c r="BJ26" s="22">
        <v>3148300</v>
      </c>
      <c r="BK26" s="22">
        <v>2494000</v>
      </c>
      <c r="BL26" s="22">
        <v>3474800</v>
      </c>
      <c r="BM26" s="1">
        <v>4153800</v>
      </c>
      <c r="BN26" s="1">
        <v>2604900</v>
      </c>
      <c r="BO26" s="1">
        <v>3085700</v>
      </c>
      <c r="BP26" s="1">
        <v>3255600</v>
      </c>
    </row>
    <row r="27" spans="1:68" ht="15.9" customHeight="1">
      <c r="A27" s="396" t="s">
        <v>49</v>
      </c>
      <c r="B27" s="49" t="s">
        <v>50</v>
      </c>
      <c r="C27" s="53" t="str">
        <f>_xll.RssMarket("3401","出来高")</f>
        <v/>
      </c>
      <c r="D27" s="205" t="e">
        <f t="shared" si="0"/>
        <v>#VALUE!</v>
      </c>
      <c r="E27" s="203">
        <v>861200</v>
      </c>
      <c r="F27" s="22">
        <v>969700</v>
      </c>
      <c r="G27" s="22">
        <v>651500</v>
      </c>
      <c r="H27" s="22">
        <v>677100</v>
      </c>
      <c r="I27" s="22">
        <v>726100</v>
      </c>
      <c r="J27" s="22">
        <v>637900</v>
      </c>
      <c r="K27" s="22">
        <v>614300</v>
      </c>
      <c r="L27" s="22">
        <v>867800</v>
      </c>
      <c r="M27" s="22">
        <v>1015600</v>
      </c>
      <c r="N27" s="22">
        <v>1585500</v>
      </c>
      <c r="O27" s="22">
        <v>715200</v>
      </c>
      <c r="P27" s="22">
        <v>614000</v>
      </c>
      <c r="Q27" s="22">
        <v>737900</v>
      </c>
      <c r="R27" s="22">
        <v>659800</v>
      </c>
      <c r="S27" s="22">
        <v>792100</v>
      </c>
      <c r="T27" s="22">
        <v>845800</v>
      </c>
      <c r="U27" s="22">
        <v>693600</v>
      </c>
      <c r="V27" s="22">
        <v>694300</v>
      </c>
      <c r="W27" s="22">
        <v>596800</v>
      </c>
      <c r="X27" s="22">
        <v>1097600</v>
      </c>
      <c r="Y27" s="22">
        <v>781600</v>
      </c>
      <c r="Z27" s="22">
        <v>982500</v>
      </c>
      <c r="AA27" s="22">
        <v>558900</v>
      </c>
      <c r="AB27" s="22">
        <v>881200</v>
      </c>
      <c r="AC27" s="22">
        <v>791900</v>
      </c>
      <c r="AD27" s="22">
        <v>808300</v>
      </c>
      <c r="AE27" s="22">
        <v>964800</v>
      </c>
      <c r="AF27" s="22">
        <v>696700</v>
      </c>
      <c r="AG27" s="22">
        <v>655000</v>
      </c>
      <c r="AH27" s="22">
        <v>623900</v>
      </c>
      <c r="AI27" s="22">
        <v>684600</v>
      </c>
      <c r="AJ27" s="22">
        <v>1120200</v>
      </c>
      <c r="AK27" s="22">
        <v>600300</v>
      </c>
      <c r="AL27" s="22">
        <v>874400</v>
      </c>
      <c r="AM27" s="22">
        <v>1037200</v>
      </c>
      <c r="AN27" s="22">
        <v>863900</v>
      </c>
      <c r="AO27" s="22">
        <v>563600</v>
      </c>
      <c r="AP27" s="22">
        <v>747600</v>
      </c>
      <c r="AQ27" s="22">
        <v>1256700</v>
      </c>
      <c r="AR27" s="22">
        <v>981000</v>
      </c>
      <c r="AS27" s="22">
        <v>1284600</v>
      </c>
      <c r="AT27" s="22">
        <v>1066700</v>
      </c>
      <c r="AU27" s="22">
        <v>1800800</v>
      </c>
      <c r="AV27" s="22">
        <v>2496400</v>
      </c>
      <c r="AW27" s="22">
        <v>3170200</v>
      </c>
      <c r="AX27" s="22">
        <v>3170200</v>
      </c>
      <c r="AY27" s="22">
        <v>1291100</v>
      </c>
      <c r="AZ27" s="22">
        <v>1258400</v>
      </c>
      <c r="BA27" s="22">
        <v>585200</v>
      </c>
      <c r="BB27" s="22">
        <v>2377700</v>
      </c>
      <c r="BC27" s="22">
        <v>591500</v>
      </c>
      <c r="BD27" s="22">
        <v>2206600</v>
      </c>
      <c r="BE27" s="22">
        <v>904700</v>
      </c>
      <c r="BF27" s="22">
        <v>2675900</v>
      </c>
      <c r="BG27" s="22">
        <v>896400</v>
      </c>
      <c r="BH27" s="22">
        <v>4916600</v>
      </c>
      <c r="BI27" s="22">
        <v>1146500</v>
      </c>
      <c r="BJ27" s="22">
        <v>3500400</v>
      </c>
      <c r="BK27" s="22">
        <v>1057500</v>
      </c>
      <c r="BL27" s="22">
        <v>3790600</v>
      </c>
      <c r="BM27" s="1">
        <v>787100</v>
      </c>
      <c r="BN27" s="1">
        <v>4256300</v>
      </c>
      <c r="BO27" s="1">
        <v>920900</v>
      </c>
      <c r="BP27" s="1">
        <v>4981600</v>
      </c>
    </row>
    <row r="28" spans="1:68" ht="15.9" customHeight="1">
      <c r="A28" s="396" t="s">
        <v>51</v>
      </c>
      <c r="B28" s="49" t="s">
        <v>52</v>
      </c>
      <c r="C28" s="53" t="str">
        <f>_xll.RssMarket("3436","出来高")</f>
        <v/>
      </c>
      <c r="D28" s="205" t="e">
        <f t="shared" si="0"/>
        <v>#VALUE!</v>
      </c>
      <c r="E28" s="203">
        <v>21303500</v>
      </c>
      <c r="F28" s="22">
        <v>22159800</v>
      </c>
      <c r="G28" s="22">
        <v>34000600</v>
      </c>
      <c r="H28" s="22">
        <v>40452300</v>
      </c>
      <c r="I28" s="22">
        <v>19215000</v>
      </c>
      <c r="J28" s="22">
        <v>14372300</v>
      </c>
      <c r="K28" s="22">
        <v>19509800</v>
      </c>
      <c r="L28" s="22">
        <v>23114400</v>
      </c>
      <c r="M28" s="22">
        <v>26068000</v>
      </c>
      <c r="N28" s="22">
        <v>24518300</v>
      </c>
      <c r="O28" s="22">
        <v>23403000</v>
      </c>
      <c r="P28" s="22">
        <v>28967100</v>
      </c>
      <c r="Q28" s="22">
        <v>11790800</v>
      </c>
      <c r="R28" s="22">
        <v>10067300</v>
      </c>
      <c r="S28" s="22">
        <v>13973600</v>
      </c>
      <c r="T28" s="22">
        <v>9253100</v>
      </c>
      <c r="U28" s="22">
        <v>12349600</v>
      </c>
      <c r="V28" s="22">
        <v>15021600</v>
      </c>
      <c r="W28" s="22">
        <v>7332600</v>
      </c>
      <c r="X28" s="22">
        <v>10304700</v>
      </c>
      <c r="Y28" s="22">
        <v>12099000</v>
      </c>
      <c r="Z28" s="22">
        <v>8223600</v>
      </c>
      <c r="AA28" s="22">
        <v>14625000</v>
      </c>
      <c r="AB28" s="22">
        <v>17419200</v>
      </c>
      <c r="AC28" s="22">
        <v>18147200</v>
      </c>
      <c r="AD28" s="22">
        <v>17073800</v>
      </c>
      <c r="AE28" s="22">
        <v>15237800</v>
      </c>
      <c r="AF28" s="22">
        <v>12250300</v>
      </c>
      <c r="AG28" s="22">
        <v>10044000</v>
      </c>
      <c r="AH28" s="22">
        <v>15719900</v>
      </c>
      <c r="AI28" s="22">
        <v>15095700</v>
      </c>
      <c r="AJ28" s="22">
        <v>21624300</v>
      </c>
      <c r="AK28" s="22">
        <v>10954100</v>
      </c>
      <c r="AL28" s="22">
        <v>6792700</v>
      </c>
      <c r="AM28" s="22">
        <v>9962100</v>
      </c>
      <c r="AN28" s="22">
        <v>8445700</v>
      </c>
      <c r="AO28" s="22">
        <v>11094300</v>
      </c>
      <c r="AP28" s="22">
        <v>12795000</v>
      </c>
      <c r="AQ28" s="22">
        <v>8950000</v>
      </c>
      <c r="AR28" s="22">
        <v>17205300</v>
      </c>
      <c r="AS28" s="22">
        <v>17626900</v>
      </c>
      <c r="AT28" s="22">
        <v>17349500</v>
      </c>
      <c r="AU28" s="22">
        <v>26238200</v>
      </c>
      <c r="AV28" s="22">
        <v>18620400</v>
      </c>
      <c r="AW28" s="22">
        <v>24780600</v>
      </c>
      <c r="AX28" s="22">
        <v>24780600</v>
      </c>
      <c r="AY28" s="22">
        <v>40373500</v>
      </c>
      <c r="AZ28" s="22">
        <v>3176400</v>
      </c>
      <c r="BA28" s="22">
        <v>12210700</v>
      </c>
      <c r="BB28" s="22">
        <v>29488100</v>
      </c>
      <c r="BC28" s="22">
        <v>14336500</v>
      </c>
      <c r="BD28" s="22">
        <v>12283700</v>
      </c>
      <c r="BE28" s="22">
        <v>8450400</v>
      </c>
      <c r="BF28" s="22">
        <v>12088600</v>
      </c>
      <c r="BG28" s="22">
        <v>13293900</v>
      </c>
      <c r="BH28" s="22">
        <v>11271900</v>
      </c>
      <c r="BI28" s="22">
        <v>9888300</v>
      </c>
      <c r="BJ28" s="22">
        <v>16407700</v>
      </c>
      <c r="BK28" s="22">
        <v>18756100</v>
      </c>
      <c r="BL28" s="22">
        <v>13883200</v>
      </c>
      <c r="BM28" s="1">
        <v>12194800</v>
      </c>
      <c r="BN28" s="1">
        <v>16413400</v>
      </c>
      <c r="BO28" s="1">
        <v>9985700</v>
      </c>
      <c r="BP28" s="1">
        <v>9341600</v>
      </c>
    </row>
    <row r="29" spans="1:68" ht="15.9" customHeight="1">
      <c r="A29" s="396" t="s">
        <v>53</v>
      </c>
      <c r="B29" s="49" t="s">
        <v>54</v>
      </c>
      <c r="C29" s="53" t="str">
        <f>_xll.RssMarket("5020","出来高")</f>
        <v/>
      </c>
      <c r="D29" s="205" t="e">
        <f t="shared" si="0"/>
        <v>#VALUE!</v>
      </c>
      <c r="E29" s="203">
        <v>8254100</v>
      </c>
      <c r="F29" s="22">
        <v>6894900</v>
      </c>
      <c r="G29" s="22">
        <v>5010500</v>
      </c>
      <c r="H29" s="22">
        <v>4477900</v>
      </c>
      <c r="I29" s="22">
        <v>5866900</v>
      </c>
      <c r="J29" s="22">
        <v>6169200</v>
      </c>
      <c r="K29" s="22">
        <v>6832800</v>
      </c>
      <c r="L29" s="22">
        <v>6384900</v>
      </c>
      <c r="M29" s="22">
        <v>5844800</v>
      </c>
      <c r="N29" s="22">
        <v>4827900</v>
      </c>
      <c r="O29" s="22">
        <v>6904700</v>
      </c>
      <c r="P29" s="22">
        <v>7240600</v>
      </c>
      <c r="Q29" s="22">
        <v>8630400</v>
      </c>
      <c r="R29" s="22">
        <v>8192500</v>
      </c>
      <c r="S29" s="22">
        <v>6329700</v>
      </c>
      <c r="T29" s="22">
        <v>8691900</v>
      </c>
      <c r="U29" s="22">
        <v>7298200</v>
      </c>
      <c r="V29" s="22">
        <v>7973600</v>
      </c>
      <c r="W29" s="22">
        <v>5697400</v>
      </c>
      <c r="X29" s="22">
        <v>20621100</v>
      </c>
      <c r="Y29" s="22">
        <v>10530000</v>
      </c>
      <c r="Z29" s="22">
        <v>6788300</v>
      </c>
      <c r="AA29" s="22">
        <v>8109600</v>
      </c>
      <c r="AB29" s="22">
        <v>10122700</v>
      </c>
      <c r="AC29" s="22">
        <v>7540000</v>
      </c>
      <c r="AD29" s="22">
        <v>10371000</v>
      </c>
      <c r="AE29" s="22">
        <v>9352700</v>
      </c>
      <c r="AF29" s="22">
        <v>7151700</v>
      </c>
      <c r="AG29" s="22">
        <v>6795500</v>
      </c>
      <c r="AH29" s="22">
        <v>9637100</v>
      </c>
      <c r="AI29" s="22">
        <v>8600200</v>
      </c>
      <c r="AJ29" s="22">
        <v>16776800</v>
      </c>
      <c r="AK29" s="22">
        <v>7804300</v>
      </c>
      <c r="AL29" s="22">
        <v>5327700</v>
      </c>
      <c r="AM29" s="22">
        <v>7709800</v>
      </c>
      <c r="AN29" s="22">
        <v>7813700</v>
      </c>
      <c r="AO29" s="22">
        <v>7634400</v>
      </c>
      <c r="AP29" s="22">
        <v>8484900</v>
      </c>
      <c r="AQ29" s="22">
        <v>9436800</v>
      </c>
      <c r="AR29" s="22">
        <v>9521800</v>
      </c>
      <c r="AS29" s="22">
        <v>12202500</v>
      </c>
      <c r="AT29" s="22">
        <v>20291300</v>
      </c>
      <c r="AU29" s="22">
        <v>8703600</v>
      </c>
      <c r="AV29" s="22">
        <v>11062800</v>
      </c>
      <c r="AW29" s="22">
        <v>6914000</v>
      </c>
      <c r="AX29" s="22">
        <v>6914000</v>
      </c>
      <c r="AY29" s="22">
        <v>9943600</v>
      </c>
      <c r="AZ29" s="22">
        <v>11850400</v>
      </c>
      <c r="BA29" s="22">
        <v>7852500</v>
      </c>
      <c r="BB29" s="22">
        <v>13650300</v>
      </c>
      <c r="BC29" s="22">
        <v>7276900</v>
      </c>
      <c r="BD29" s="22">
        <v>5581800</v>
      </c>
      <c r="BE29" s="22">
        <v>5771200</v>
      </c>
      <c r="BF29" s="22">
        <v>7812700</v>
      </c>
      <c r="BG29" s="22">
        <v>6805400</v>
      </c>
      <c r="BH29" s="22">
        <v>7127700</v>
      </c>
      <c r="BI29" s="22">
        <v>7077200</v>
      </c>
      <c r="BJ29" s="22">
        <v>9142200</v>
      </c>
      <c r="BK29" s="22">
        <v>8629400</v>
      </c>
      <c r="BL29" s="22">
        <v>8113700</v>
      </c>
      <c r="BM29" s="1">
        <v>7867700</v>
      </c>
      <c r="BN29" s="1">
        <v>6821700</v>
      </c>
      <c r="BO29" s="1">
        <v>10342900</v>
      </c>
      <c r="BP29" s="1">
        <v>11136900</v>
      </c>
    </row>
    <row r="30" spans="1:68" ht="15.9" customHeight="1">
      <c r="A30" s="396" t="s">
        <v>55</v>
      </c>
      <c r="B30" s="49" t="s">
        <v>56</v>
      </c>
      <c r="C30" s="53" t="str">
        <f>_xll.RssMarket("6254","出来高")</f>
        <v/>
      </c>
      <c r="D30" s="205" t="e">
        <f t="shared" si="0"/>
        <v>#VALUE!</v>
      </c>
      <c r="E30" s="203">
        <v>1288100</v>
      </c>
      <c r="F30" s="22">
        <v>801100</v>
      </c>
      <c r="G30" s="22">
        <v>808200</v>
      </c>
      <c r="H30" s="22">
        <v>616300</v>
      </c>
      <c r="I30" s="22">
        <v>826100</v>
      </c>
      <c r="J30" s="22">
        <v>594600</v>
      </c>
      <c r="K30" s="22">
        <v>921600</v>
      </c>
      <c r="L30" s="22">
        <v>1080200</v>
      </c>
      <c r="M30" s="22">
        <v>817400</v>
      </c>
      <c r="N30" s="22">
        <v>1097300</v>
      </c>
      <c r="O30" s="22">
        <v>1307500</v>
      </c>
      <c r="P30" s="22">
        <v>916200</v>
      </c>
      <c r="Q30" s="22">
        <v>1063900</v>
      </c>
      <c r="R30" s="22">
        <v>1938700</v>
      </c>
      <c r="S30" s="22">
        <v>748900</v>
      </c>
      <c r="T30" s="22">
        <v>682100</v>
      </c>
      <c r="U30" s="22">
        <v>933000</v>
      </c>
      <c r="V30" s="22">
        <v>1072200</v>
      </c>
      <c r="W30" s="22">
        <v>1401700</v>
      </c>
      <c r="X30" s="22">
        <v>946400</v>
      </c>
      <c r="Y30" s="22">
        <v>1177000</v>
      </c>
      <c r="Z30" s="22">
        <v>1015700</v>
      </c>
      <c r="AA30" s="22">
        <v>649800</v>
      </c>
      <c r="AB30" s="22">
        <v>981300</v>
      </c>
      <c r="AC30" s="22">
        <v>694400</v>
      </c>
      <c r="AD30" s="22">
        <v>597700</v>
      </c>
      <c r="AE30" s="22">
        <v>895700</v>
      </c>
      <c r="AF30" s="22">
        <v>520600</v>
      </c>
      <c r="AG30" s="22">
        <v>672900</v>
      </c>
      <c r="AH30" s="22">
        <v>1053800</v>
      </c>
      <c r="AI30" s="22">
        <v>867000</v>
      </c>
      <c r="AJ30" s="22">
        <v>680800</v>
      </c>
      <c r="AK30" s="22">
        <v>763400</v>
      </c>
      <c r="AL30" s="22">
        <v>1079800</v>
      </c>
      <c r="AM30" s="22">
        <v>819500</v>
      </c>
      <c r="AN30" s="22">
        <v>1324800</v>
      </c>
      <c r="AO30" s="22">
        <v>753700</v>
      </c>
      <c r="AP30" s="22">
        <v>743700</v>
      </c>
      <c r="AQ30" s="22">
        <v>919900</v>
      </c>
      <c r="AR30" s="22">
        <v>1628000</v>
      </c>
      <c r="AS30" s="22">
        <v>3298800</v>
      </c>
      <c r="AT30" s="22">
        <v>853200</v>
      </c>
      <c r="AU30" s="22">
        <v>1135600</v>
      </c>
      <c r="AV30" s="22">
        <v>963800</v>
      </c>
      <c r="AW30" s="22">
        <v>1073500</v>
      </c>
      <c r="AX30" s="22">
        <v>1073500</v>
      </c>
      <c r="AY30" s="22">
        <v>1346700</v>
      </c>
      <c r="AZ30" s="22">
        <v>1466100</v>
      </c>
      <c r="BA30" s="22">
        <v>364000</v>
      </c>
      <c r="BB30" s="22">
        <v>385300</v>
      </c>
      <c r="BC30" s="22">
        <v>417000</v>
      </c>
      <c r="BD30" s="22">
        <v>564800</v>
      </c>
      <c r="BE30" s="22">
        <v>447300</v>
      </c>
      <c r="BF30" s="22">
        <v>686500</v>
      </c>
      <c r="BG30" s="22">
        <v>732600</v>
      </c>
      <c r="BH30" s="22">
        <v>939200</v>
      </c>
      <c r="BI30" s="22">
        <v>831300</v>
      </c>
      <c r="BJ30" s="22">
        <v>540100</v>
      </c>
      <c r="BK30" s="22">
        <v>735200</v>
      </c>
      <c r="BL30" s="22">
        <v>671800</v>
      </c>
      <c r="BM30" s="1">
        <v>1029900</v>
      </c>
      <c r="BN30" s="1">
        <v>606200</v>
      </c>
      <c r="BO30" s="1">
        <v>975200</v>
      </c>
      <c r="BP30" s="1">
        <v>685900</v>
      </c>
    </row>
    <row r="31" spans="1:68" ht="15.9" customHeight="1">
      <c r="A31" s="396" t="s">
        <v>57</v>
      </c>
      <c r="B31" s="49" t="s">
        <v>58</v>
      </c>
      <c r="C31" s="53" t="str">
        <f>_xll.RssMarket("8309","出来高")</f>
        <v/>
      </c>
      <c r="D31" s="205" t="e">
        <f t="shared" si="0"/>
        <v>#VALUE!</v>
      </c>
      <c r="E31" s="203">
        <v>2737800</v>
      </c>
      <c r="F31" s="22">
        <v>2248300</v>
      </c>
      <c r="G31" s="22">
        <v>2115200</v>
      </c>
      <c r="H31" s="22">
        <v>1636600</v>
      </c>
      <c r="I31" s="22">
        <v>2299200</v>
      </c>
      <c r="J31" s="22">
        <v>2339600</v>
      </c>
      <c r="K31" s="22">
        <v>3026700</v>
      </c>
      <c r="L31" s="22">
        <v>4077900</v>
      </c>
      <c r="M31" s="22">
        <v>2777800</v>
      </c>
      <c r="N31" s="22">
        <v>1973100</v>
      </c>
      <c r="O31" s="22">
        <v>2595000</v>
      </c>
      <c r="P31" s="22">
        <v>2332500</v>
      </c>
      <c r="Q31" s="22">
        <v>3113200</v>
      </c>
      <c r="R31" s="22">
        <v>3003400</v>
      </c>
      <c r="S31" s="22">
        <v>1969100</v>
      </c>
      <c r="T31" s="22">
        <v>2336500</v>
      </c>
      <c r="U31" s="22">
        <v>2656700</v>
      </c>
      <c r="V31" s="22">
        <v>3168400</v>
      </c>
      <c r="W31" s="22">
        <v>2043100</v>
      </c>
      <c r="X31" s="22">
        <v>3950000</v>
      </c>
      <c r="Y31" s="22">
        <v>2857100</v>
      </c>
      <c r="Z31" s="22">
        <v>2691100</v>
      </c>
      <c r="AA31" s="22">
        <v>3081000</v>
      </c>
      <c r="AB31" s="22">
        <v>4252000</v>
      </c>
      <c r="AC31" s="22">
        <v>5125900</v>
      </c>
      <c r="AD31" s="22">
        <v>3968400</v>
      </c>
      <c r="AE31" s="22">
        <v>4151000</v>
      </c>
      <c r="AF31" s="22">
        <v>2500700</v>
      </c>
      <c r="AG31" s="22">
        <v>2703700</v>
      </c>
      <c r="AH31" s="22">
        <v>2874700</v>
      </c>
      <c r="AI31" s="22">
        <v>2296200</v>
      </c>
      <c r="AJ31" s="22">
        <v>5401000</v>
      </c>
      <c r="AK31" s="22">
        <v>2347600</v>
      </c>
      <c r="AL31" s="22">
        <v>2045500</v>
      </c>
      <c r="AM31" s="22">
        <v>2226400</v>
      </c>
      <c r="AN31" s="22">
        <v>3554400</v>
      </c>
      <c r="AO31" s="22">
        <v>2594000</v>
      </c>
      <c r="AP31" s="22">
        <v>3805700</v>
      </c>
      <c r="AQ31" s="22">
        <v>3417200</v>
      </c>
      <c r="AR31" s="22">
        <v>4260800</v>
      </c>
      <c r="AS31" s="22">
        <v>3861900</v>
      </c>
      <c r="AT31" s="22">
        <v>2454000</v>
      </c>
      <c r="AU31" s="22">
        <v>1593600</v>
      </c>
      <c r="AV31" s="22">
        <v>2087700</v>
      </c>
      <c r="AW31" s="22">
        <v>1912900</v>
      </c>
      <c r="AX31" s="22">
        <v>1912900</v>
      </c>
      <c r="AY31" s="22">
        <v>2738200</v>
      </c>
      <c r="AZ31" s="22">
        <v>4461200</v>
      </c>
      <c r="BA31" s="22">
        <v>2035000</v>
      </c>
      <c r="BB31" s="22">
        <v>2965200</v>
      </c>
      <c r="BC31" s="22">
        <v>3150000</v>
      </c>
      <c r="BD31" s="22">
        <v>2045200</v>
      </c>
      <c r="BE31" s="22">
        <v>1093700</v>
      </c>
      <c r="BF31" s="22">
        <v>1516200</v>
      </c>
      <c r="BG31" s="22">
        <v>1622100</v>
      </c>
      <c r="BH31" s="22">
        <v>1950000</v>
      </c>
      <c r="BI31" s="22">
        <v>1562900</v>
      </c>
      <c r="BJ31" s="22">
        <v>2059300</v>
      </c>
      <c r="BK31" s="22">
        <v>1995400</v>
      </c>
      <c r="BL31" s="22">
        <v>2074300</v>
      </c>
      <c r="BM31" s="1">
        <v>1917300</v>
      </c>
      <c r="BN31" s="1">
        <v>1404200</v>
      </c>
      <c r="BO31" s="1">
        <v>1969700</v>
      </c>
      <c r="BP31" s="1">
        <v>1987500</v>
      </c>
    </row>
    <row r="32" spans="1:68" ht="15.9" customHeight="1">
      <c r="A32" s="396" t="s">
        <v>59</v>
      </c>
      <c r="B32" s="49" t="s">
        <v>60</v>
      </c>
      <c r="C32" s="53" t="str">
        <f>_xll.RssMarket("3863","出来高")</f>
        <v/>
      </c>
      <c r="D32" s="205" t="e">
        <f t="shared" si="0"/>
        <v>#VALUE!</v>
      </c>
      <c r="E32" s="203">
        <v>946500</v>
      </c>
      <c r="F32" s="22">
        <v>614000</v>
      </c>
      <c r="G32" s="22">
        <v>359700</v>
      </c>
      <c r="H32" s="22">
        <v>698300</v>
      </c>
      <c r="I32" s="22">
        <v>726200</v>
      </c>
      <c r="J32" s="22">
        <v>593200</v>
      </c>
      <c r="K32" s="22">
        <v>551100</v>
      </c>
      <c r="L32" s="22">
        <v>660900</v>
      </c>
      <c r="M32" s="22">
        <v>458500</v>
      </c>
      <c r="N32" s="22">
        <v>659100</v>
      </c>
      <c r="O32" s="22">
        <v>849200</v>
      </c>
      <c r="P32" s="22">
        <v>856900</v>
      </c>
      <c r="Q32" s="22">
        <v>1923600</v>
      </c>
      <c r="R32" s="22">
        <v>632200</v>
      </c>
      <c r="S32" s="22">
        <v>714500</v>
      </c>
      <c r="T32" s="22">
        <v>924900</v>
      </c>
      <c r="U32" s="22">
        <v>668300</v>
      </c>
      <c r="V32" s="22">
        <v>806500</v>
      </c>
      <c r="W32" s="22">
        <v>702800</v>
      </c>
      <c r="X32" s="22">
        <v>1421200</v>
      </c>
      <c r="Y32" s="22">
        <v>1064600</v>
      </c>
      <c r="Z32" s="22">
        <v>606200</v>
      </c>
      <c r="AA32" s="22">
        <v>732100</v>
      </c>
      <c r="AB32" s="22">
        <v>872700</v>
      </c>
      <c r="AC32" s="22">
        <v>652800</v>
      </c>
      <c r="AD32" s="22">
        <v>980600</v>
      </c>
      <c r="AE32" s="22">
        <v>1824900</v>
      </c>
      <c r="AF32" s="22">
        <v>1528600</v>
      </c>
      <c r="AG32" s="22">
        <v>1617800</v>
      </c>
      <c r="AH32" s="22">
        <v>2471900</v>
      </c>
      <c r="AI32" s="22">
        <v>1396200</v>
      </c>
      <c r="AJ32" s="22">
        <v>2523400</v>
      </c>
      <c r="AK32" s="22">
        <v>1788300</v>
      </c>
      <c r="AL32" s="22">
        <v>2122300</v>
      </c>
      <c r="AM32" s="22">
        <v>582000</v>
      </c>
      <c r="AN32" s="22">
        <v>676300</v>
      </c>
      <c r="AO32" s="22">
        <v>799900</v>
      </c>
      <c r="AP32" s="22">
        <v>1236600</v>
      </c>
      <c r="AQ32" s="22">
        <v>1086600</v>
      </c>
      <c r="AR32" s="22">
        <v>1487600</v>
      </c>
      <c r="AS32" s="22">
        <v>1738300</v>
      </c>
      <c r="AT32" s="22">
        <v>912500</v>
      </c>
      <c r="AU32" s="22">
        <v>2236200</v>
      </c>
      <c r="AV32" s="22">
        <v>1048000</v>
      </c>
      <c r="AW32" s="22">
        <v>1359100</v>
      </c>
      <c r="AX32" s="22">
        <v>1359100</v>
      </c>
      <c r="AY32" s="22">
        <v>1211900</v>
      </c>
      <c r="AZ32" s="22">
        <v>1761900</v>
      </c>
      <c r="BA32" s="22">
        <v>1512800</v>
      </c>
      <c r="BB32" s="22">
        <v>1657300</v>
      </c>
      <c r="BC32" s="22">
        <v>1133000</v>
      </c>
      <c r="BD32" s="22">
        <v>1885400</v>
      </c>
      <c r="BE32" s="22">
        <v>979200</v>
      </c>
      <c r="BF32" s="22">
        <v>2324300</v>
      </c>
      <c r="BG32" s="22">
        <v>1412000</v>
      </c>
      <c r="BH32" s="22">
        <v>1410400</v>
      </c>
      <c r="BI32" s="22">
        <v>1414000</v>
      </c>
      <c r="BJ32" s="22">
        <v>1241200</v>
      </c>
      <c r="BK32" s="22">
        <v>1287200</v>
      </c>
      <c r="BL32" s="22">
        <v>2021400</v>
      </c>
      <c r="BM32" s="1">
        <v>695300</v>
      </c>
      <c r="BN32" s="1">
        <v>603700</v>
      </c>
      <c r="BO32" s="1">
        <v>760300</v>
      </c>
      <c r="BP32" s="1">
        <v>596700</v>
      </c>
    </row>
    <row r="33" spans="1:68" ht="15.9" customHeight="1">
      <c r="A33" s="396" t="s">
        <v>61</v>
      </c>
      <c r="B33" s="49" t="s">
        <v>62</v>
      </c>
      <c r="C33" s="53" t="str">
        <f>_xll.RssMarket("8601","出来高")</f>
        <v/>
      </c>
      <c r="D33" s="205" t="e">
        <f t="shared" si="0"/>
        <v>#VALUE!</v>
      </c>
      <c r="E33" s="203">
        <v>5969800</v>
      </c>
      <c r="F33" s="22">
        <v>6357900</v>
      </c>
      <c r="G33" s="22">
        <v>4224200</v>
      </c>
      <c r="H33" s="22">
        <v>3512600</v>
      </c>
      <c r="I33" s="22">
        <v>4541100</v>
      </c>
      <c r="J33" s="22">
        <v>5076500</v>
      </c>
      <c r="K33" s="22">
        <v>5192200</v>
      </c>
      <c r="L33" s="22">
        <v>6051900</v>
      </c>
      <c r="M33" s="22">
        <v>3826400</v>
      </c>
      <c r="N33" s="22">
        <v>4158900</v>
      </c>
      <c r="O33" s="22">
        <v>5103100</v>
      </c>
      <c r="P33" s="22">
        <v>5349700</v>
      </c>
      <c r="Q33" s="22">
        <v>5457100</v>
      </c>
      <c r="R33" s="22">
        <v>10541400</v>
      </c>
      <c r="S33" s="22">
        <v>3528400</v>
      </c>
      <c r="T33" s="22">
        <v>3374800</v>
      </c>
      <c r="U33" s="22">
        <v>4567200</v>
      </c>
      <c r="V33" s="22">
        <v>4314500</v>
      </c>
      <c r="W33" s="22">
        <v>3805800</v>
      </c>
      <c r="X33" s="22">
        <v>6389300</v>
      </c>
      <c r="Y33" s="22">
        <v>4353300</v>
      </c>
      <c r="Z33" s="22">
        <v>4357200</v>
      </c>
      <c r="AA33" s="22">
        <v>4022300</v>
      </c>
      <c r="AB33" s="22">
        <v>5437300</v>
      </c>
      <c r="AC33" s="22">
        <v>3030000</v>
      </c>
      <c r="AD33" s="22">
        <v>4167700</v>
      </c>
      <c r="AE33" s="22">
        <v>4322400</v>
      </c>
      <c r="AF33" s="22">
        <v>4149000</v>
      </c>
      <c r="AG33" s="22">
        <v>3463400</v>
      </c>
      <c r="AH33" s="22">
        <v>3870400</v>
      </c>
      <c r="AI33" s="22">
        <v>3797700</v>
      </c>
      <c r="AJ33" s="22">
        <v>8997000</v>
      </c>
      <c r="AK33" s="22">
        <v>4196500</v>
      </c>
      <c r="AL33" s="22">
        <v>5081300</v>
      </c>
      <c r="AM33" s="22">
        <v>3631600</v>
      </c>
      <c r="AN33" s="22">
        <v>4164800</v>
      </c>
      <c r="AO33" s="22">
        <v>3890200</v>
      </c>
      <c r="AP33" s="22">
        <v>4533600</v>
      </c>
      <c r="AQ33" s="22">
        <v>3479900</v>
      </c>
      <c r="AR33" s="22">
        <v>3496800</v>
      </c>
      <c r="AS33" s="22">
        <v>4189800</v>
      </c>
      <c r="AT33" s="22">
        <v>4109400</v>
      </c>
      <c r="AU33" s="22">
        <v>3881500</v>
      </c>
      <c r="AV33" s="22">
        <v>4032100</v>
      </c>
      <c r="AW33" s="22">
        <v>4199000</v>
      </c>
      <c r="AX33" s="22">
        <v>4199000</v>
      </c>
      <c r="AY33" s="22">
        <v>7216100</v>
      </c>
      <c r="AZ33" s="22">
        <v>9013600</v>
      </c>
      <c r="BA33" s="22">
        <v>5777300</v>
      </c>
      <c r="BB33" s="22">
        <v>8593100</v>
      </c>
      <c r="BC33" s="22">
        <v>12085100</v>
      </c>
      <c r="BD33" s="22">
        <v>6612300</v>
      </c>
      <c r="BE33" s="22">
        <v>4046500</v>
      </c>
      <c r="BF33" s="22">
        <v>4241200</v>
      </c>
      <c r="BG33" s="22">
        <v>3293200</v>
      </c>
      <c r="BH33" s="22">
        <v>3396500</v>
      </c>
      <c r="BI33" s="22">
        <v>3208200</v>
      </c>
      <c r="BJ33" s="22">
        <v>3596600</v>
      </c>
      <c r="BK33" s="22">
        <v>4904000</v>
      </c>
      <c r="BL33" s="22">
        <v>3977300</v>
      </c>
      <c r="BM33" s="1">
        <v>3826600</v>
      </c>
      <c r="BN33" s="1">
        <v>2354100</v>
      </c>
      <c r="BO33" s="1">
        <v>3499500</v>
      </c>
      <c r="BP33" s="1">
        <v>4445700</v>
      </c>
    </row>
    <row r="34" spans="1:68" ht="15.9" customHeight="1">
      <c r="A34" s="396" t="s">
        <v>63</v>
      </c>
      <c r="B34" s="49" t="s">
        <v>64</v>
      </c>
      <c r="C34" s="53" t="str">
        <f>_xll.RssMarket("5233","出来高")</f>
        <v/>
      </c>
      <c r="D34" s="205" t="e">
        <f t="shared" si="0"/>
        <v>#VALUE!</v>
      </c>
      <c r="E34" s="203">
        <v>646000</v>
      </c>
      <c r="F34" s="22">
        <v>386000</v>
      </c>
      <c r="G34" s="22">
        <v>416400</v>
      </c>
      <c r="H34" s="22">
        <v>563400</v>
      </c>
      <c r="I34" s="22">
        <v>436400</v>
      </c>
      <c r="J34" s="22">
        <v>487200</v>
      </c>
      <c r="K34" s="22">
        <v>379300</v>
      </c>
      <c r="L34" s="22">
        <v>561100</v>
      </c>
      <c r="M34" s="22">
        <v>567900</v>
      </c>
      <c r="N34" s="22">
        <v>446200</v>
      </c>
      <c r="O34" s="22">
        <v>460700</v>
      </c>
      <c r="P34" s="22">
        <v>730800</v>
      </c>
      <c r="Q34" s="22">
        <v>898500</v>
      </c>
      <c r="R34" s="22">
        <v>814700</v>
      </c>
      <c r="S34" s="22">
        <v>543000</v>
      </c>
      <c r="T34" s="22">
        <v>620200</v>
      </c>
      <c r="U34" s="22">
        <v>536400</v>
      </c>
      <c r="V34" s="22">
        <v>558200</v>
      </c>
      <c r="W34" s="22">
        <v>735500</v>
      </c>
      <c r="X34" s="22">
        <v>700900</v>
      </c>
      <c r="Y34" s="22">
        <v>705900</v>
      </c>
      <c r="Z34" s="22">
        <v>606300</v>
      </c>
      <c r="AA34" s="22">
        <v>503700</v>
      </c>
      <c r="AB34" s="22">
        <v>909000</v>
      </c>
      <c r="AC34" s="22">
        <v>728500</v>
      </c>
      <c r="AD34" s="22">
        <v>779900</v>
      </c>
      <c r="AE34" s="22">
        <v>610100</v>
      </c>
      <c r="AF34" s="22">
        <v>456500</v>
      </c>
      <c r="AG34" s="22">
        <v>408700</v>
      </c>
      <c r="AH34" s="22">
        <v>453900</v>
      </c>
      <c r="AI34" s="22">
        <v>583600</v>
      </c>
      <c r="AJ34" s="22">
        <v>1436900</v>
      </c>
      <c r="AK34" s="22">
        <v>865000</v>
      </c>
      <c r="AL34" s="22">
        <v>563600</v>
      </c>
      <c r="AM34" s="22">
        <v>533400</v>
      </c>
      <c r="AN34" s="22">
        <v>585000</v>
      </c>
      <c r="AO34" s="22">
        <v>574900</v>
      </c>
      <c r="AP34" s="22">
        <v>660200</v>
      </c>
      <c r="AQ34" s="22">
        <v>623400</v>
      </c>
      <c r="AR34" s="22">
        <v>914900</v>
      </c>
      <c r="AS34" s="22">
        <v>1020100</v>
      </c>
      <c r="AT34" s="22">
        <v>1157600</v>
      </c>
      <c r="AU34" s="22">
        <v>2078500</v>
      </c>
      <c r="AV34" s="22">
        <v>2207100</v>
      </c>
      <c r="AW34" s="22">
        <v>766600</v>
      </c>
      <c r="AX34" s="22">
        <v>766600</v>
      </c>
      <c r="AY34" s="22">
        <v>588200</v>
      </c>
      <c r="AZ34" s="22">
        <v>764800</v>
      </c>
      <c r="BA34" s="22">
        <v>404700</v>
      </c>
      <c r="BB34" s="22">
        <v>633900</v>
      </c>
      <c r="BC34" s="22">
        <v>500100</v>
      </c>
      <c r="BD34" s="22">
        <v>639300</v>
      </c>
      <c r="BE34" s="22">
        <v>455200</v>
      </c>
      <c r="BF34" s="22">
        <v>627400</v>
      </c>
      <c r="BG34" s="22">
        <v>336900</v>
      </c>
      <c r="BH34" s="22">
        <v>343900</v>
      </c>
      <c r="BI34" s="22">
        <v>548800</v>
      </c>
      <c r="BJ34" s="22">
        <v>410400</v>
      </c>
      <c r="BK34" s="22">
        <v>502700</v>
      </c>
      <c r="BL34" s="22">
        <v>569200</v>
      </c>
      <c r="BM34" s="1">
        <v>401800</v>
      </c>
      <c r="BN34" s="1">
        <v>431900</v>
      </c>
      <c r="BO34" s="1">
        <v>671000</v>
      </c>
      <c r="BP34" s="1">
        <v>796100</v>
      </c>
    </row>
    <row r="35" spans="1:68" ht="15.9" customHeight="1">
      <c r="A35" s="396" t="s">
        <v>65</v>
      </c>
      <c r="B35" s="49" t="s">
        <v>66</v>
      </c>
      <c r="C35" s="53" t="str">
        <f>_xll.RssMarket("8308","出来高")</f>
        <v/>
      </c>
      <c r="D35" s="205" t="e">
        <f t="shared" si="0"/>
        <v>#VALUE!</v>
      </c>
      <c r="E35" s="203">
        <v>9857100</v>
      </c>
      <c r="F35" s="22">
        <v>8911000</v>
      </c>
      <c r="G35" s="22">
        <v>7226100</v>
      </c>
      <c r="H35" s="22">
        <v>7426900</v>
      </c>
      <c r="I35" s="22">
        <v>7334900</v>
      </c>
      <c r="J35" s="22">
        <v>10020500</v>
      </c>
      <c r="K35" s="22">
        <v>9889300</v>
      </c>
      <c r="L35" s="22">
        <v>13396200</v>
      </c>
      <c r="M35" s="22">
        <v>6617300</v>
      </c>
      <c r="N35" s="22">
        <v>8456200</v>
      </c>
      <c r="O35" s="22">
        <v>10956300</v>
      </c>
      <c r="P35" s="22">
        <v>7527200</v>
      </c>
      <c r="Q35" s="22">
        <v>6570900</v>
      </c>
      <c r="R35" s="22">
        <v>7327500</v>
      </c>
      <c r="S35" s="22">
        <v>6949600</v>
      </c>
      <c r="T35" s="22">
        <v>8404300</v>
      </c>
      <c r="U35" s="22">
        <v>7015000</v>
      </c>
      <c r="V35" s="22">
        <v>9423000</v>
      </c>
      <c r="W35" s="22">
        <v>7169400</v>
      </c>
      <c r="X35" s="22">
        <v>14315100</v>
      </c>
      <c r="Y35" s="22">
        <v>12098800</v>
      </c>
      <c r="Z35" s="22">
        <v>10336500</v>
      </c>
      <c r="AA35" s="22">
        <v>11756200</v>
      </c>
      <c r="AB35" s="22">
        <v>11972000</v>
      </c>
      <c r="AC35" s="22">
        <v>14673600</v>
      </c>
      <c r="AD35" s="22">
        <v>11797200</v>
      </c>
      <c r="AE35" s="22">
        <v>9733400</v>
      </c>
      <c r="AF35" s="22">
        <v>8793900</v>
      </c>
      <c r="AG35" s="22">
        <v>10316900</v>
      </c>
      <c r="AH35" s="22">
        <v>7162100</v>
      </c>
      <c r="AI35" s="22">
        <v>8197400</v>
      </c>
      <c r="AJ35" s="22">
        <v>9765600</v>
      </c>
      <c r="AK35" s="22">
        <v>8129700</v>
      </c>
      <c r="AL35" s="22">
        <v>9183700</v>
      </c>
      <c r="AM35" s="22">
        <v>6534900</v>
      </c>
      <c r="AN35" s="22">
        <v>7337300</v>
      </c>
      <c r="AO35" s="22">
        <v>11942000</v>
      </c>
      <c r="AP35" s="22">
        <v>12149200</v>
      </c>
      <c r="AQ35" s="22">
        <v>8930900</v>
      </c>
      <c r="AR35" s="22">
        <v>8484200</v>
      </c>
      <c r="AS35" s="22">
        <v>10223500</v>
      </c>
      <c r="AT35" s="22">
        <v>8320400</v>
      </c>
      <c r="AU35" s="22">
        <v>10331200</v>
      </c>
      <c r="AV35" s="22">
        <v>9667900</v>
      </c>
      <c r="AW35" s="22">
        <v>9074400</v>
      </c>
      <c r="AX35" s="22">
        <v>9074400</v>
      </c>
      <c r="AY35" s="22">
        <v>9329900</v>
      </c>
      <c r="AZ35" s="22">
        <v>12362900</v>
      </c>
      <c r="BA35" s="22">
        <v>5900900</v>
      </c>
      <c r="BB35" s="22">
        <v>12810700</v>
      </c>
      <c r="BC35" s="22">
        <v>16843800</v>
      </c>
      <c r="BD35" s="22">
        <v>5059300</v>
      </c>
      <c r="BE35" s="22">
        <v>7046400</v>
      </c>
      <c r="BF35" s="22">
        <v>18447300</v>
      </c>
      <c r="BG35" s="22">
        <v>8762100</v>
      </c>
      <c r="BH35" s="22">
        <v>6738400</v>
      </c>
      <c r="BI35" s="22">
        <v>10064200</v>
      </c>
      <c r="BJ35" s="22">
        <v>15280900</v>
      </c>
      <c r="BK35" s="22">
        <v>8546700</v>
      </c>
      <c r="BL35" s="22">
        <v>10257900</v>
      </c>
      <c r="BM35" s="1">
        <v>6005200</v>
      </c>
      <c r="BN35" s="1">
        <v>4377100</v>
      </c>
      <c r="BO35" s="1">
        <v>7105700</v>
      </c>
      <c r="BP35" s="1">
        <v>7250800</v>
      </c>
    </row>
    <row r="36" spans="1:68" ht="15.9" customHeight="1">
      <c r="A36" s="396" t="s">
        <v>67</v>
      </c>
      <c r="B36" s="49" t="s">
        <v>68</v>
      </c>
      <c r="C36" s="53" t="str">
        <f>_xll.RssMarket("5938","出来高")</f>
        <v/>
      </c>
      <c r="D36" s="205" t="e">
        <f t="shared" si="0"/>
        <v>#VALUE!</v>
      </c>
      <c r="E36" s="203">
        <v>1601600</v>
      </c>
      <c r="F36" s="22">
        <v>1545400</v>
      </c>
      <c r="G36" s="22">
        <v>1801500</v>
      </c>
      <c r="H36" s="22">
        <v>1195000</v>
      </c>
      <c r="I36" s="22">
        <v>1954000</v>
      </c>
      <c r="J36" s="22">
        <v>1945400</v>
      </c>
      <c r="K36" s="22">
        <v>2765900</v>
      </c>
      <c r="L36" s="22">
        <v>2424600</v>
      </c>
      <c r="M36" s="22">
        <v>1843100</v>
      </c>
      <c r="N36" s="22">
        <v>2903800</v>
      </c>
      <c r="O36" s="22">
        <v>2368600</v>
      </c>
      <c r="P36" s="22">
        <v>1685800</v>
      </c>
      <c r="Q36" s="22">
        <v>2362300</v>
      </c>
      <c r="R36" s="22">
        <v>2481300</v>
      </c>
      <c r="S36" s="22">
        <v>2502900</v>
      </c>
      <c r="T36" s="22">
        <v>3344500</v>
      </c>
      <c r="U36" s="22">
        <v>2102500</v>
      </c>
      <c r="V36" s="22">
        <v>1393200</v>
      </c>
      <c r="W36" s="22">
        <v>1520600</v>
      </c>
      <c r="X36" s="22">
        <v>2075500</v>
      </c>
      <c r="Y36" s="22">
        <v>1652000</v>
      </c>
      <c r="Z36" s="22">
        <v>1721200</v>
      </c>
      <c r="AA36" s="22">
        <v>1328400</v>
      </c>
      <c r="AB36" s="22">
        <v>2242600</v>
      </c>
      <c r="AC36" s="22">
        <v>1681600</v>
      </c>
      <c r="AD36" s="22">
        <v>2358400</v>
      </c>
      <c r="AE36" s="22">
        <v>2417400</v>
      </c>
      <c r="AF36" s="22">
        <v>1383200</v>
      </c>
      <c r="AG36" s="22">
        <v>1465300</v>
      </c>
      <c r="AH36" s="22">
        <v>1888000</v>
      </c>
      <c r="AI36" s="22">
        <v>2042200</v>
      </c>
      <c r="AJ36" s="22">
        <v>2790900</v>
      </c>
      <c r="AK36" s="22">
        <v>1810900</v>
      </c>
      <c r="AL36" s="22">
        <v>1659800</v>
      </c>
      <c r="AM36" s="22">
        <v>1394200</v>
      </c>
      <c r="AN36" s="22">
        <v>1022700</v>
      </c>
      <c r="AO36" s="22">
        <v>1297000</v>
      </c>
      <c r="AP36" s="22">
        <v>2376800</v>
      </c>
      <c r="AQ36" s="22">
        <v>1383200</v>
      </c>
      <c r="AR36" s="22">
        <v>1636800</v>
      </c>
      <c r="AS36" s="22">
        <v>1694000</v>
      </c>
      <c r="AT36" s="22">
        <v>1620100</v>
      </c>
      <c r="AU36" s="22">
        <v>1285300</v>
      </c>
      <c r="AV36" s="22">
        <v>1666400</v>
      </c>
      <c r="AW36" s="22">
        <v>2120800</v>
      </c>
      <c r="AX36" s="22">
        <v>2120800</v>
      </c>
      <c r="AY36" s="22">
        <v>2687500</v>
      </c>
      <c r="AZ36" s="22">
        <v>3711700</v>
      </c>
      <c r="BA36" s="22">
        <v>3850200</v>
      </c>
      <c r="BB36" s="22">
        <v>5742500</v>
      </c>
      <c r="BC36" s="22">
        <v>1792400</v>
      </c>
      <c r="BD36" s="22">
        <v>1477000</v>
      </c>
      <c r="BE36" s="22">
        <v>1173700</v>
      </c>
      <c r="BF36" s="22">
        <v>4119200</v>
      </c>
      <c r="BG36" s="22">
        <v>1646600</v>
      </c>
      <c r="BH36" s="22">
        <v>1471100</v>
      </c>
      <c r="BI36" s="22">
        <v>1838100</v>
      </c>
      <c r="BJ36" s="22">
        <v>2059200</v>
      </c>
      <c r="BK36" s="22">
        <v>2624400</v>
      </c>
      <c r="BL36" s="22">
        <v>1958200</v>
      </c>
      <c r="BM36" s="1">
        <v>3155000</v>
      </c>
      <c r="BN36" s="1">
        <v>4855500</v>
      </c>
      <c r="BO36" s="1">
        <v>1458300</v>
      </c>
      <c r="BP36" s="1">
        <v>1413500</v>
      </c>
    </row>
    <row r="37" spans="1:68" ht="15.9" customHeight="1">
      <c r="A37" s="396" t="s">
        <v>69</v>
      </c>
      <c r="B37" s="49" t="s">
        <v>70</v>
      </c>
      <c r="C37" s="53" t="str">
        <f>_xll.RssMarket("8570","出来高")</f>
        <v/>
      </c>
      <c r="D37" s="205" t="e">
        <f t="shared" si="0"/>
        <v>#VALUE!</v>
      </c>
      <c r="E37" s="203">
        <v>486400</v>
      </c>
      <c r="F37" s="22">
        <v>512300</v>
      </c>
      <c r="G37" s="22">
        <v>390300</v>
      </c>
      <c r="H37" s="22">
        <v>561300</v>
      </c>
      <c r="I37" s="22">
        <v>1263000</v>
      </c>
      <c r="J37" s="22">
        <v>921200</v>
      </c>
      <c r="K37" s="22">
        <v>685900</v>
      </c>
      <c r="L37" s="22">
        <v>395500</v>
      </c>
      <c r="M37" s="22">
        <v>315600</v>
      </c>
      <c r="N37" s="22">
        <v>497000</v>
      </c>
      <c r="O37" s="22">
        <v>560900</v>
      </c>
      <c r="P37" s="22">
        <v>719200</v>
      </c>
      <c r="Q37" s="22">
        <v>366300</v>
      </c>
      <c r="R37" s="22">
        <v>351200</v>
      </c>
      <c r="S37" s="22">
        <v>396400</v>
      </c>
      <c r="T37" s="22">
        <v>369000</v>
      </c>
      <c r="U37" s="22">
        <v>436800</v>
      </c>
      <c r="V37" s="22">
        <v>416100</v>
      </c>
      <c r="W37" s="22">
        <v>578900</v>
      </c>
      <c r="X37" s="22">
        <v>947400</v>
      </c>
      <c r="Y37" s="22">
        <v>524100</v>
      </c>
      <c r="Z37" s="22">
        <v>338900</v>
      </c>
      <c r="AA37" s="22">
        <v>326000</v>
      </c>
      <c r="AB37" s="22">
        <v>595600</v>
      </c>
      <c r="AC37" s="22">
        <v>448600</v>
      </c>
      <c r="AD37" s="22">
        <v>787900</v>
      </c>
      <c r="AE37" s="22">
        <v>552000</v>
      </c>
      <c r="AF37" s="22">
        <v>589600</v>
      </c>
      <c r="AG37" s="22">
        <v>577500</v>
      </c>
      <c r="AH37" s="22">
        <v>523100</v>
      </c>
      <c r="AI37" s="22">
        <v>539600</v>
      </c>
      <c r="AJ37" s="22">
        <v>785000</v>
      </c>
      <c r="AK37" s="22">
        <v>689200</v>
      </c>
      <c r="AL37" s="22">
        <v>517300</v>
      </c>
      <c r="AM37" s="22">
        <v>568400</v>
      </c>
      <c r="AN37" s="22">
        <v>474000</v>
      </c>
      <c r="AO37" s="22">
        <v>609400</v>
      </c>
      <c r="AP37" s="22">
        <v>731900</v>
      </c>
      <c r="AQ37" s="22">
        <v>865400</v>
      </c>
      <c r="AR37" s="22">
        <v>714400</v>
      </c>
      <c r="AS37" s="22">
        <v>744700</v>
      </c>
      <c r="AT37" s="22">
        <v>571700</v>
      </c>
      <c r="AU37" s="22">
        <v>503200</v>
      </c>
      <c r="AV37" s="22">
        <v>435100</v>
      </c>
      <c r="AW37" s="22">
        <v>600700</v>
      </c>
      <c r="AX37" s="22">
        <v>600700</v>
      </c>
      <c r="AY37" s="22">
        <v>1122500</v>
      </c>
      <c r="AZ37" s="22">
        <v>837400</v>
      </c>
      <c r="BA37" s="22">
        <v>539300</v>
      </c>
      <c r="BB37" s="22">
        <v>749300</v>
      </c>
      <c r="BC37" s="22">
        <v>465500</v>
      </c>
      <c r="BD37" s="22">
        <v>471100</v>
      </c>
      <c r="BE37" s="22">
        <v>508100</v>
      </c>
      <c r="BF37" s="22">
        <v>575900</v>
      </c>
      <c r="BG37" s="22">
        <v>816800</v>
      </c>
      <c r="BH37" s="22">
        <v>574800</v>
      </c>
      <c r="BI37" s="22">
        <v>460700</v>
      </c>
      <c r="BJ37" s="22">
        <v>553600</v>
      </c>
      <c r="BK37" s="22">
        <v>583700</v>
      </c>
      <c r="BL37" s="22">
        <v>521200</v>
      </c>
      <c r="BM37" s="1">
        <v>733000</v>
      </c>
      <c r="BN37" s="1">
        <v>1286200</v>
      </c>
      <c r="BO37" s="1">
        <v>1275000</v>
      </c>
      <c r="BP37" s="1">
        <v>3418500</v>
      </c>
    </row>
    <row r="38" spans="1:68" ht="15.9" customHeight="1">
      <c r="A38" s="396" t="s">
        <v>71</v>
      </c>
      <c r="B38" s="49" t="s">
        <v>72</v>
      </c>
      <c r="C38" s="53" t="str">
        <f>_xll.RssMarket("5406","出来高")</f>
        <v/>
      </c>
      <c r="D38" s="205" t="e">
        <f t="shared" si="0"/>
        <v>#VALUE!</v>
      </c>
      <c r="E38" s="203">
        <v>2209000</v>
      </c>
      <c r="F38" s="22">
        <v>1543200</v>
      </c>
      <c r="G38" s="22">
        <v>3107300</v>
      </c>
      <c r="H38" s="22">
        <v>2132400</v>
      </c>
      <c r="I38" s="22">
        <v>1814200</v>
      </c>
      <c r="J38" s="22">
        <v>1680300</v>
      </c>
      <c r="K38" s="22">
        <v>1773000</v>
      </c>
      <c r="L38" s="22">
        <v>1963800</v>
      </c>
      <c r="M38" s="22">
        <v>2172100</v>
      </c>
      <c r="N38" s="22">
        <v>1797200</v>
      </c>
      <c r="O38" s="22">
        <v>3717200</v>
      </c>
      <c r="P38" s="22">
        <v>1622100</v>
      </c>
      <c r="Q38" s="22">
        <v>1857400</v>
      </c>
      <c r="R38" s="22">
        <v>3330000</v>
      </c>
      <c r="S38" s="22">
        <v>1587200</v>
      </c>
      <c r="T38" s="22">
        <v>1181200</v>
      </c>
      <c r="U38" s="22">
        <v>1369000</v>
      </c>
      <c r="V38" s="22">
        <v>1882500</v>
      </c>
      <c r="W38" s="22">
        <v>1377000</v>
      </c>
      <c r="X38" s="22">
        <v>2797700</v>
      </c>
      <c r="Y38" s="22">
        <v>1646200</v>
      </c>
      <c r="Z38" s="22">
        <v>1310000</v>
      </c>
      <c r="AA38" s="22">
        <v>1124000</v>
      </c>
      <c r="AB38" s="22">
        <v>2761200</v>
      </c>
      <c r="AC38" s="22">
        <v>1777900</v>
      </c>
      <c r="AD38" s="22">
        <v>1619400</v>
      </c>
      <c r="AE38" s="22">
        <v>2268500</v>
      </c>
      <c r="AF38" s="22">
        <v>1724300</v>
      </c>
      <c r="AG38" s="22">
        <v>1785000</v>
      </c>
      <c r="AH38" s="22">
        <v>1379700</v>
      </c>
      <c r="AI38" s="22">
        <v>1761500</v>
      </c>
      <c r="AJ38" s="22">
        <v>2512100</v>
      </c>
      <c r="AK38" s="22">
        <v>1853000</v>
      </c>
      <c r="AL38" s="22">
        <v>2515400</v>
      </c>
      <c r="AM38" s="22">
        <v>1639900</v>
      </c>
      <c r="AN38" s="22">
        <v>1886300</v>
      </c>
      <c r="AO38" s="22">
        <v>1894000</v>
      </c>
      <c r="AP38" s="22">
        <v>2091100</v>
      </c>
      <c r="AQ38" s="22">
        <v>2464500</v>
      </c>
      <c r="AR38" s="22">
        <v>2079800</v>
      </c>
      <c r="AS38" s="22">
        <v>1834800</v>
      </c>
      <c r="AT38" s="22">
        <v>2061400</v>
      </c>
      <c r="AU38" s="22">
        <v>2340700</v>
      </c>
      <c r="AV38" s="22">
        <v>3805000</v>
      </c>
      <c r="AW38" s="22">
        <v>9319400</v>
      </c>
      <c r="AX38" s="22">
        <v>9319400</v>
      </c>
      <c r="AY38" s="22">
        <v>3010900</v>
      </c>
      <c r="AZ38" s="22">
        <v>4574800</v>
      </c>
      <c r="BA38" s="22">
        <v>2241100</v>
      </c>
      <c r="BB38" s="22">
        <v>3457100</v>
      </c>
      <c r="BC38" s="22">
        <v>1905900</v>
      </c>
      <c r="BD38" s="22">
        <v>1833800</v>
      </c>
      <c r="BE38" s="22">
        <v>1590600</v>
      </c>
      <c r="BF38" s="22">
        <v>2007300</v>
      </c>
      <c r="BG38" s="22">
        <v>1732700</v>
      </c>
      <c r="BH38" s="22">
        <v>1367300</v>
      </c>
      <c r="BI38" s="22">
        <v>1582300</v>
      </c>
      <c r="BJ38" s="22">
        <v>1626400</v>
      </c>
      <c r="BK38" s="22">
        <v>1222600</v>
      </c>
      <c r="BL38" s="22">
        <v>1654400</v>
      </c>
      <c r="BM38" s="1">
        <v>1364900</v>
      </c>
      <c r="BN38" s="1">
        <v>1455100</v>
      </c>
      <c r="BO38" s="1">
        <v>1344600</v>
      </c>
      <c r="BP38" s="1">
        <v>2103500</v>
      </c>
    </row>
    <row r="39" spans="1:68" ht="15.9" customHeight="1">
      <c r="A39" s="396" t="s">
        <v>73</v>
      </c>
      <c r="B39" s="49" t="s">
        <v>74</v>
      </c>
      <c r="C39" s="53" t="str">
        <f>_xll.RssMarket("8593","出来高")</f>
        <v/>
      </c>
      <c r="D39" s="205" t="e">
        <f t="shared" si="0"/>
        <v>#VALUE!</v>
      </c>
      <c r="E39" s="203">
        <v>5151200</v>
      </c>
      <c r="F39" s="22">
        <v>3392200</v>
      </c>
      <c r="G39" s="22">
        <v>4764000</v>
      </c>
      <c r="H39" s="22">
        <v>3054700</v>
      </c>
      <c r="I39" s="22">
        <v>3446600</v>
      </c>
      <c r="J39" s="22">
        <v>3725600</v>
      </c>
      <c r="K39" s="22">
        <v>4145400</v>
      </c>
      <c r="L39" s="22">
        <v>3736000</v>
      </c>
      <c r="M39" s="22">
        <v>3748100</v>
      </c>
      <c r="N39" s="22">
        <v>4308600</v>
      </c>
      <c r="O39" s="22">
        <v>4069700</v>
      </c>
      <c r="P39" s="22">
        <v>3984700</v>
      </c>
      <c r="Q39" s="22">
        <v>3560600</v>
      </c>
      <c r="R39" s="22">
        <v>4385300</v>
      </c>
      <c r="S39" s="22">
        <v>3474800</v>
      </c>
      <c r="T39" s="22">
        <v>3068800</v>
      </c>
      <c r="U39" s="22">
        <v>3805300</v>
      </c>
      <c r="V39" s="22">
        <v>6159800</v>
      </c>
      <c r="W39" s="22">
        <v>3865000</v>
      </c>
      <c r="X39" s="22">
        <v>4213100</v>
      </c>
      <c r="Y39" s="22">
        <v>5279700</v>
      </c>
      <c r="Z39" s="22">
        <v>3327500</v>
      </c>
      <c r="AA39" s="22">
        <v>4749600</v>
      </c>
      <c r="AB39" s="22">
        <v>5116300</v>
      </c>
      <c r="AC39" s="22">
        <v>5220600</v>
      </c>
      <c r="AD39" s="22">
        <v>5799200</v>
      </c>
      <c r="AE39" s="22">
        <v>7062800</v>
      </c>
      <c r="AF39" s="22">
        <v>5135100</v>
      </c>
      <c r="AG39" s="22">
        <v>5191100</v>
      </c>
      <c r="AH39" s="22">
        <v>5407100</v>
      </c>
      <c r="AI39" s="22">
        <v>7450800</v>
      </c>
      <c r="AJ39" s="22">
        <v>9865400</v>
      </c>
      <c r="AK39" s="22">
        <v>4673600</v>
      </c>
      <c r="AL39" s="22">
        <v>6031000</v>
      </c>
      <c r="AM39" s="22">
        <v>6336100</v>
      </c>
      <c r="AN39" s="22">
        <v>6875400</v>
      </c>
      <c r="AO39" s="22">
        <v>5670200</v>
      </c>
      <c r="AP39" s="22">
        <v>6771200</v>
      </c>
      <c r="AQ39" s="22">
        <v>7851100</v>
      </c>
      <c r="AR39" s="22">
        <v>16020200</v>
      </c>
      <c r="AS39" s="22">
        <v>4716600</v>
      </c>
      <c r="AT39" s="22">
        <v>3255300</v>
      </c>
      <c r="AU39" s="22">
        <v>3582500</v>
      </c>
      <c r="AV39" s="22">
        <v>3990700</v>
      </c>
      <c r="AW39" s="22">
        <v>2973000</v>
      </c>
      <c r="AX39" s="22">
        <v>2973000</v>
      </c>
      <c r="AY39" s="22">
        <v>3753900</v>
      </c>
      <c r="AZ39" s="22">
        <v>5815300</v>
      </c>
      <c r="BA39" s="22">
        <v>3110200</v>
      </c>
      <c r="BB39" s="22">
        <v>3725000</v>
      </c>
      <c r="BC39" s="22">
        <v>3212200</v>
      </c>
      <c r="BD39" s="22">
        <v>3319400</v>
      </c>
      <c r="BE39" s="22">
        <v>2614200</v>
      </c>
      <c r="BF39" s="22">
        <v>3759500</v>
      </c>
      <c r="BG39" s="22">
        <v>2728700</v>
      </c>
      <c r="BH39" s="22">
        <v>3886000</v>
      </c>
      <c r="BI39" s="22">
        <v>3404200</v>
      </c>
      <c r="BJ39" s="22">
        <v>2123000</v>
      </c>
      <c r="BK39" s="22">
        <v>3934300</v>
      </c>
      <c r="BL39" s="22">
        <v>3088100</v>
      </c>
      <c r="BM39" s="1">
        <v>2722900</v>
      </c>
      <c r="BN39" s="1">
        <v>2247400</v>
      </c>
      <c r="BO39" s="1">
        <v>3247800</v>
      </c>
      <c r="BP39" s="1">
        <v>5070800</v>
      </c>
    </row>
    <row r="40" spans="1:68" ht="15.9" customHeight="1">
      <c r="A40" s="396" t="s">
        <v>75</v>
      </c>
      <c r="B40" s="49" t="s">
        <v>76</v>
      </c>
      <c r="C40" s="53" t="str">
        <f>_xll.RssMarket("8604","出来高")</f>
        <v/>
      </c>
      <c r="D40" s="205" t="e">
        <f t="shared" si="0"/>
        <v>#VALUE!</v>
      </c>
      <c r="E40" s="203">
        <v>15093000</v>
      </c>
      <c r="F40" s="22">
        <v>14545600</v>
      </c>
      <c r="G40" s="22">
        <v>7219400</v>
      </c>
      <c r="H40" s="22">
        <v>8545500</v>
      </c>
      <c r="I40" s="22">
        <v>8748900</v>
      </c>
      <c r="J40" s="22">
        <v>9318900</v>
      </c>
      <c r="K40" s="22">
        <v>11322700</v>
      </c>
      <c r="L40" s="22">
        <v>17154400</v>
      </c>
      <c r="M40" s="22">
        <v>7782800</v>
      </c>
      <c r="N40" s="22">
        <v>7889300</v>
      </c>
      <c r="O40" s="22">
        <v>8388500</v>
      </c>
      <c r="P40" s="22">
        <v>10436300</v>
      </c>
      <c r="Q40" s="22">
        <v>9562400</v>
      </c>
      <c r="R40" s="22">
        <v>9621900</v>
      </c>
      <c r="S40" s="22">
        <v>10827500</v>
      </c>
      <c r="T40" s="22">
        <v>9474400</v>
      </c>
      <c r="U40" s="22">
        <v>11416600</v>
      </c>
      <c r="V40" s="22">
        <v>8901400</v>
      </c>
      <c r="W40" s="22">
        <v>8371300</v>
      </c>
      <c r="X40" s="22">
        <v>12442600</v>
      </c>
      <c r="Y40" s="22">
        <v>12710100</v>
      </c>
      <c r="Z40" s="22">
        <v>14384100</v>
      </c>
      <c r="AA40" s="22">
        <v>7963300</v>
      </c>
      <c r="AB40" s="22">
        <v>9797400</v>
      </c>
      <c r="AC40" s="22">
        <v>7003100</v>
      </c>
      <c r="AD40" s="22">
        <v>8660800</v>
      </c>
      <c r="AE40" s="22">
        <v>12836900</v>
      </c>
      <c r="AF40" s="22">
        <v>11799500</v>
      </c>
      <c r="AG40" s="22">
        <v>8917400</v>
      </c>
      <c r="AH40" s="22">
        <v>13692100</v>
      </c>
      <c r="AI40" s="22">
        <v>11946000</v>
      </c>
      <c r="AJ40" s="22">
        <v>29233700</v>
      </c>
      <c r="AK40" s="22">
        <v>11733700</v>
      </c>
      <c r="AL40" s="22">
        <v>8483800</v>
      </c>
      <c r="AM40" s="22">
        <v>8148600</v>
      </c>
      <c r="AN40" s="22">
        <v>8912800</v>
      </c>
      <c r="AO40" s="22">
        <v>9575300</v>
      </c>
      <c r="AP40" s="22">
        <v>8852000</v>
      </c>
      <c r="AQ40" s="22">
        <v>7838300</v>
      </c>
      <c r="AR40" s="22">
        <v>6858500</v>
      </c>
      <c r="AS40" s="22">
        <v>7345900</v>
      </c>
      <c r="AT40" s="22">
        <v>10564100</v>
      </c>
      <c r="AU40" s="22">
        <v>9756900</v>
      </c>
      <c r="AV40" s="22">
        <v>10219100</v>
      </c>
      <c r="AW40" s="22">
        <v>9077100</v>
      </c>
      <c r="AX40" s="22">
        <v>9077100</v>
      </c>
      <c r="AY40" s="22">
        <v>13871000</v>
      </c>
      <c r="AZ40" s="22">
        <v>22906700</v>
      </c>
      <c r="BA40" s="22">
        <v>11373000</v>
      </c>
      <c r="BB40" s="22">
        <v>17254600</v>
      </c>
      <c r="BC40" s="22">
        <v>23120300</v>
      </c>
      <c r="BD40" s="22">
        <v>21603700</v>
      </c>
      <c r="BE40" s="22">
        <v>8661500</v>
      </c>
      <c r="BF40" s="22">
        <v>9157800</v>
      </c>
      <c r="BG40" s="22">
        <v>7073400</v>
      </c>
      <c r="BH40" s="22">
        <v>6874500</v>
      </c>
      <c r="BI40" s="22">
        <v>6905300</v>
      </c>
      <c r="BJ40" s="22">
        <v>10668900</v>
      </c>
      <c r="BK40" s="22">
        <v>15801200</v>
      </c>
      <c r="BL40" s="22">
        <v>15002200</v>
      </c>
      <c r="BM40" s="1">
        <v>10036000</v>
      </c>
      <c r="BN40" s="1">
        <v>8041800</v>
      </c>
      <c r="BO40" s="1">
        <v>10624500</v>
      </c>
      <c r="BP40" s="1">
        <v>12050700</v>
      </c>
    </row>
    <row r="41" spans="1:68" ht="15.9" customHeight="1">
      <c r="A41" s="396" t="s">
        <v>77</v>
      </c>
      <c r="B41" s="49" t="s">
        <v>78</v>
      </c>
      <c r="C41" s="53" t="str">
        <f>_xll.RssMarket("3861","出来高")</f>
        <v/>
      </c>
      <c r="D41" s="205" t="e">
        <f t="shared" si="0"/>
        <v>#VALUE!</v>
      </c>
      <c r="E41" s="203">
        <v>3567400</v>
      </c>
      <c r="F41" s="22">
        <v>3102100</v>
      </c>
      <c r="G41" s="22">
        <v>2698600</v>
      </c>
      <c r="H41" s="22">
        <v>2471000</v>
      </c>
      <c r="I41" s="22">
        <v>2565900</v>
      </c>
      <c r="J41" s="22">
        <v>2779900</v>
      </c>
      <c r="K41" s="22">
        <v>2568700</v>
      </c>
      <c r="L41" s="22">
        <v>3978600</v>
      </c>
      <c r="M41" s="22">
        <v>2789400</v>
      </c>
      <c r="N41" s="22">
        <v>4214500</v>
      </c>
      <c r="O41" s="22">
        <v>3648100</v>
      </c>
      <c r="P41" s="22">
        <v>2893500</v>
      </c>
      <c r="Q41" s="22">
        <v>5662800</v>
      </c>
      <c r="R41" s="22">
        <v>12804100</v>
      </c>
      <c r="S41" s="22">
        <v>4279000</v>
      </c>
      <c r="T41" s="22">
        <v>3103100</v>
      </c>
      <c r="U41" s="22">
        <v>3912800</v>
      </c>
      <c r="V41" s="22">
        <v>3506400</v>
      </c>
      <c r="W41" s="22">
        <v>3210200</v>
      </c>
      <c r="X41" s="22">
        <v>11473100</v>
      </c>
      <c r="Y41" s="22">
        <v>3285700</v>
      </c>
      <c r="Z41" s="22">
        <v>3088900</v>
      </c>
      <c r="AA41" s="22">
        <v>3324800</v>
      </c>
      <c r="AB41" s="22">
        <v>3915300</v>
      </c>
      <c r="AC41" s="22">
        <v>3235000</v>
      </c>
      <c r="AD41" s="22">
        <v>5631600</v>
      </c>
      <c r="AE41" s="22">
        <v>3445300</v>
      </c>
      <c r="AF41" s="22">
        <v>3980500</v>
      </c>
      <c r="AG41" s="22">
        <v>2974900</v>
      </c>
      <c r="AH41" s="22">
        <v>3552900</v>
      </c>
      <c r="AI41" s="22">
        <v>4386700</v>
      </c>
      <c r="AJ41" s="22">
        <v>5235200</v>
      </c>
      <c r="AK41" s="22">
        <v>4485400</v>
      </c>
      <c r="AL41" s="22">
        <v>4917500</v>
      </c>
      <c r="AM41" s="22">
        <v>4363400</v>
      </c>
      <c r="AN41" s="22">
        <v>5529200</v>
      </c>
      <c r="AO41" s="22">
        <v>5327100</v>
      </c>
      <c r="AP41" s="22">
        <v>5082400</v>
      </c>
      <c r="AQ41" s="22">
        <v>6241200</v>
      </c>
      <c r="AR41" s="22">
        <v>7101000</v>
      </c>
      <c r="AS41" s="22">
        <v>9304700</v>
      </c>
      <c r="AT41" s="22">
        <v>5319700</v>
      </c>
      <c r="AU41" s="22">
        <v>3422600</v>
      </c>
      <c r="AV41" s="22">
        <v>3739000</v>
      </c>
      <c r="AW41" s="22">
        <v>3546700</v>
      </c>
      <c r="AX41" s="22">
        <v>3546700</v>
      </c>
      <c r="AY41" s="22">
        <v>4290700</v>
      </c>
      <c r="AZ41" s="22">
        <v>5218600</v>
      </c>
      <c r="BA41" s="22">
        <v>3194600</v>
      </c>
      <c r="BB41" s="22">
        <v>4309500</v>
      </c>
      <c r="BC41" s="22">
        <v>3851900</v>
      </c>
      <c r="BD41" s="22">
        <v>3970300</v>
      </c>
      <c r="BE41" s="22">
        <v>3016400</v>
      </c>
      <c r="BF41" s="22">
        <v>5059400</v>
      </c>
      <c r="BG41" s="22">
        <v>2990500</v>
      </c>
      <c r="BH41" s="22">
        <v>3921200</v>
      </c>
      <c r="BI41" s="22">
        <v>4718400</v>
      </c>
      <c r="BJ41" s="22">
        <v>4314900</v>
      </c>
      <c r="BK41" s="22">
        <v>4812500</v>
      </c>
      <c r="BL41" s="22">
        <v>3932300</v>
      </c>
      <c r="BM41" s="1">
        <v>3473200</v>
      </c>
      <c r="BN41" s="1">
        <v>4305100</v>
      </c>
      <c r="BO41" s="1">
        <v>4326500</v>
      </c>
      <c r="BP41" s="1">
        <v>3472000</v>
      </c>
    </row>
    <row r="42" spans="1:68" ht="15.9" customHeight="1">
      <c r="A42" s="396" t="s">
        <v>79</v>
      </c>
      <c r="B42" s="49" t="s">
        <v>80</v>
      </c>
      <c r="C42" s="53" t="str">
        <f>_xll.RssMarket("5947","出来高")</f>
        <v/>
      </c>
      <c r="D42" s="205" t="e">
        <f t="shared" si="0"/>
        <v>#VALUE!</v>
      </c>
      <c r="E42" s="203">
        <v>350000</v>
      </c>
      <c r="F42" s="22">
        <v>335000</v>
      </c>
      <c r="G42" s="22">
        <v>214100</v>
      </c>
      <c r="H42" s="22">
        <v>226800</v>
      </c>
      <c r="I42" s="22">
        <v>270400</v>
      </c>
      <c r="J42" s="22">
        <v>292800</v>
      </c>
      <c r="K42" s="22">
        <v>373100</v>
      </c>
      <c r="L42" s="22">
        <v>362500</v>
      </c>
      <c r="M42" s="22">
        <v>193400</v>
      </c>
      <c r="N42" s="22">
        <v>190500</v>
      </c>
      <c r="O42" s="22">
        <v>242200</v>
      </c>
      <c r="P42" s="22">
        <v>273600</v>
      </c>
      <c r="Q42" s="22">
        <v>303600</v>
      </c>
      <c r="R42" s="22">
        <v>443100</v>
      </c>
      <c r="S42" s="22">
        <v>320000</v>
      </c>
      <c r="T42" s="22">
        <v>262900</v>
      </c>
      <c r="U42" s="22">
        <v>399100</v>
      </c>
      <c r="V42" s="22">
        <v>375900</v>
      </c>
      <c r="W42" s="22">
        <v>463500</v>
      </c>
      <c r="X42" s="22">
        <v>867600</v>
      </c>
      <c r="Y42" s="22">
        <v>506400</v>
      </c>
      <c r="Z42" s="22">
        <v>423300</v>
      </c>
      <c r="AA42" s="22">
        <v>528600</v>
      </c>
      <c r="AB42" s="22">
        <v>551600</v>
      </c>
      <c r="AC42" s="22">
        <v>229900</v>
      </c>
      <c r="AD42" s="22">
        <v>385400</v>
      </c>
      <c r="AE42" s="22">
        <v>463400</v>
      </c>
      <c r="AF42" s="22">
        <v>498600</v>
      </c>
      <c r="AG42" s="22">
        <v>467400</v>
      </c>
      <c r="AH42" s="22">
        <v>389200</v>
      </c>
      <c r="AI42" s="22">
        <v>410200</v>
      </c>
      <c r="AJ42" s="22">
        <v>462500</v>
      </c>
      <c r="AK42" s="22">
        <v>353700</v>
      </c>
      <c r="AL42" s="22">
        <v>484700</v>
      </c>
      <c r="AM42" s="22">
        <v>363800</v>
      </c>
      <c r="AN42" s="22">
        <v>375300</v>
      </c>
      <c r="AO42" s="22">
        <v>337100</v>
      </c>
      <c r="AP42" s="22">
        <v>444600</v>
      </c>
      <c r="AQ42" s="22">
        <v>677500</v>
      </c>
      <c r="AR42" s="22">
        <v>522000</v>
      </c>
      <c r="AS42" s="22">
        <v>624200</v>
      </c>
      <c r="AT42" s="22">
        <v>603300</v>
      </c>
      <c r="AU42" s="22">
        <v>955200</v>
      </c>
      <c r="AV42" s="22">
        <v>1975200</v>
      </c>
      <c r="AW42" s="22">
        <v>426800</v>
      </c>
      <c r="AX42" s="22">
        <v>426800</v>
      </c>
      <c r="AY42" s="22">
        <v>499300</v>
      </c>
      <c r="AZ42" s="22">
        <v>673900</v>
      </c>
      <c r="BA42" s="22">
        <v>277900</v>
      </c>
      <c r="BB42" s="22">
        <v>333600</v>
      </c>
      <c r="BC42" s="22">
        <v>417900</v>
      </c>
      <c r="BD42" s="22">
        <v>288300</v>
      </c>
      <c r="BE42" s="22">
        <v>266200</v>
      </c>
      <c r="BF42" s="22">
        <v>338100</v>
      </c>
      <c r="BG42" s="22">
        <v>440700</v>
      </c>
      <c r="BH42" s="22">
        <v>329800</v>
      </c>
      <c r="BI42" s="22">
        <v>259200</v>
      </c>
      <c r="BJ42" s="22">
        <v>482200</v>
      </c>
      <c r="BK42" s="22">
        <v>630800</v>
      </c>
      <c r="BL42" s="22">
        <v>411800</v>
      </c>
      <c r="BM42" s="1">
        <v>530300</v>
      </c>
      <c r="BN42" s="1">
        <v>260200</v>
      </c>
      <c r="BO42" s="1">
        <v>234000</v>
      </c>
      <c r="BP42" s="1">
        <v>320800</v>
      </c>
    </row>
    <row r="43" spans="1:68" ht="15.9" customHeight="1">
      <c r="A43" s="396" t="s">
        <v>81</v>
      </c>
      <c r="B43" s="49" t="s">
        <v>82</v>
      </c>
      <c r="C43" s="53" t="str">
        <f>_xll.RssMarket("8750","出来高")</f>
        <v/>
      </c>
      <c r="D43" s="205" t="e">
        <f t="shared" si="0"/>
        <v>#VALUE!</v>
      </c>
      <c r="E43" s="203">
        <v>13386100</v>
      </c>
      <c r="F43" s="22">
        <v>8809800</v>
      </c>
      <c r="G43" s="22">
        <v>10701600</v>
      </c>
      <c r="H43" s="22">
        <v>8565700</v>
      </c>
      <c r="I43" s="22">
        <v>8649400</v>
      </c>
      <c r="J43" s="22">
        <v>6665200</v>
      </c>
      <c r="K43" s="22">
        <v>7633100</v>
      </c>
      <c r="L43" s="22">
        <v>9225000</v>
      </c>
      <c r="M43" s="22">
        <v>7354200</v>
      </c>
      <c r="N43" s="22">
        <v>8334300</v>
      </c>
      <c r="O43" s="22">
        <v>10389700</v>
      </c>
      <c r="P43" s="22">
        <v>9619900</v>
      </c>
      <c r="Q43" s="22">
        <v>12767300</v>
      </c>
      <c r="R43" s="22">
        <v>21184300</v>
      </c>
      <c r="S43" s="22">
        <v>8833800</v>
      </c>
      <c r="T43" s="22">
        <v>12949100</v>
      </c>
      <c r="U43" s="22">
        <v>15768300</v>
      </c>
      <c r="V43" s="22">
        <v>8299800</v>
      </c>
      <c r="W43" s="22">
        <v>6096100</v>
      </c>
      <c r="X43" s="22">
        <v>9190700</v>
      </c>
      <c r="Y43" s="22">
        <v>10134300</v>
      </c>
      <c r="Z43" s="22">
        <v>7912400</v>
      </c>
      <c r="AA43" s="22">
        <v>7976800</v>
      </c>
      <c r="AB43" s="22">
        <v>13913200</v>
      </c>
      <c r="AC43" s="22">
        <v>11898400</v>
      </c>
      <c r="AD43" s="22">
        <v>11528200</v>
      </c>
      <c r="AE43" s="22">
        <v>8437200</v>
      </c>
      <c r="AF43" s="22">
        <v>7078800</v>
      </c>
      <c r="AG43" s="22">
        <v>7555700</v>
      </c>
      <c r="AH43" s="22">
        <v>6635000</v>
      </c>
      <c r="AI43" s="22">
        <v>8481000</v>
      </c>
      <c r="AJ43" s="22">
        <v>15798700</v>
      </c>
      <c r="AK43" s="22">
        <v>8358500</v>
      </c>
      <c r="AL43" s="22">
        <v>6468500</v>
      </c>
      <c r="AM43" s="22">
        <v>6876300</v>
      </c>
      <c r="AN43" s="22">
        <v>7082000</v>
      </c>
      <c r="AO43" s="22">
        <v>8171500</v>
      </c>
      <c r="AP43" s="22">
        <v>9910000</v>
      </c>
      <c r="AQ43" s="22">
        <v>12716700</v>
      </c>
      <c r="AR43" s="22">
        <v>12818600</v>
      </c>
      <c r="AS43" s="22">
        <v>19665600</v>
      </c>
      <c r="AT43" s="22">
        <v>5398100</v>
      </c>
      <c r="AU43" s="22">
        <v>5699100</v>
      </c>
      <c r="AV43" s="22">
        <v>7143700</v>
      </c>
      <c r="AW43" s="22">
        <v>5386700</v>
      </c>
      <c r="AX43" s="22">
        <v>5386700</v>
      </c>
      <c r="AY43" s="22">
        <v>7859000</v>
      </c>
      <c r="AZ43" s="22">
        <v>10883000</v>
      </c>
      <c r="BA43" s="22">
        <v>5876800</v>
      </c>
      <c r="BB43" s="22">
        <v>10343800</v>
      </c>
      <c r="BC43" s="22">
        <v>16390000</v>
      </c>
      <c r="BD43" s="22">
        <v>7455500</v>
      </c>
      <c r="BE43" s="22">
        <v>5906500</v>
      </c>
      <c r="BF43" s="22">
        <v>10780500</v>
      </c>
      <c r="BG43" s="22">
        <v>6118500</v>
      </c>
      <c r="BH43" s="22">
        <v>6099000</v>
      </c>
      <c r="BI43" s="22">
        <v>6089900</v>
      </c>
      <c r="BJ43" s="22">
        <v>8475400</v>
      </c>
      <c r="BK43" s="22">
        <v>6269400</v>
      </c>
      <c r="BL43" s="22">
        <v>6671200</v>
      </c>
      <c r="BM43" s="1">
        <v>6928700</v>
      </c>
      <c r="BN43" s="1">
        <v>5783700</v>
      </c>
      <c r="BO43" s="1">
        <v>6342300</v>
      </c>
      <c r="BP43" s="1">
        <v>8342200</v>
      </c>
    </row>
    <row r="44" spans="1:68" ht="15.9" customHeight="1">
      <c r="A44" s="396" t="s">
        <v>83</v>
      </c>
      <c r="B44" s="49" t="s">
        <v>84</v>
      </c>
      <c r="C44" s="53" t="str">
        <f>_xll.RssMarket("3402","出来高")</f>
        <v/>
      </c>
      <c r="D44" s="205" t="e">
        <f t="shared" si="0"/>
        <v>#VALUE!</v>
      </c>
      <c r="E44" s="203">
        <v>3667700</v>
      </c>
      <c r="F44" s="22">
        <v>3338000</v>
      </c>
      <c r="G44" s="22">
        <v>5094800</v>
      </c>
      <c r="H44" s="22">
        <v>4490600</v>
      </c>
      <c r="I44" s="22">
        <v>5743900</v>
      </c>
      <c r="J44" s="22">
        <v>3801300</v>
      </c>
      <c r="K44" s="22">
        <v>3603900</v>
      </c>
      <c r="L44" s="22">
        <v>8986800</v>
      </c>
      <c r="M44" s="22">
        <v>4604700</v>
      </c>
      <c r="N44" s="22">
        <v>4144500</v>
      </c>
      <c r="O44" s="22">
        <v>3827300</v>
      </c>
      <c r="P44" s="22">
        <v>5982600</v>
      </c>
      <c r="Q44" s="22">
        <v>4720200</v>
      </c>
      <c r="R44" s="22">
        <v>4211800</v>
      </c>
      <c r="S44" s="22">
        <v>3964800</v>
      </c>
      <c r="T44" s="22">
        <v>2996600</v>
      </c>
      <c r="U44" s="22">
        <v>4068800</v>
      </c>
      <c r="V44" s="22">
        <v>3487400</v>
      </c>
      <c r="W44" s="22">
        <v>2476900</v>
      </c>
      <c r="X44" s="22">
        <v>6838400</v>
      </c>
      <c r="Y44" s="22">
        <v>3498500</v>
      </c>
      <c r="Z44" s="22">
        <v>2949300</v>
      </c>
      <c r="AA44" s="22">
        <v>3937500</v>
      </c>
      <c r="AB44" s="22">
        <v>4808200</v>
      </c>
      <c r="AC44" s="22">
        <v>4144200</v>
      </c>
      <c r="AD44" s="22">
        <v>4143700</v>
      </c>
      <c r="AE44" s="22">
        <v>4746100</v>
      </c>
      <c r="AF44" s="22">
        <v>4232400</v>
      </c>
      <c r="AG44" s="22">
        <v>3980900</v>
      </c>
      <c r="AH44" s="22">
        <v>4798200</v>
      </c>
      <c r="AI44" s="22">
        <v>5880000</v>
      </c>
      <c r="AJ44" s="22">
        <v>14393000</v>
      </c>
      <c r="AK44" s="22">
        <v>4435400</v>
      </c>
      <c r="AL44" s="22">
        <v>4856800</v>
      </c>
      <c r="AM44" s="22">
        <v>5208000</v>
      </c>
      <c r="AN44" s="22">
        <v>3723800</v>
      </c>
      <c r="AO44" s="22">
        <v>3639000</v>
      </c>
      <c r="AP44" s="22">
        <v>4727600</v>
      </c>
      <c r="AQ44" s="22">
        <v>5977400</v>
      </c>
      <c r="AR44" s="22">
        <v>6357200</v>
      </c>
      <c r="AS44" s="22">
        <v>5128200</v>
      </c>
      <c r="AT44" s="22">
        <v>7980600</v>
      </c>
      <c r="AU44" s="22">
        <v>15095100</v>
      </c>
      <c r="AV44" s="22">
        <v>3594000</v>
      </c>
      <c r="AW44" s="22">
        <v>3779400</v>
      </c>
      <c r="AX44" s="22">
        <v>3779400</v>
      </c>
      <c r="AY44" s="22">
        <v>4860500</v>
      </c>
      <c r="AZ44" s="22">
        <v>7519900</v>
      </c>
      <c r="BA44" s="22">
        <v>4965500</v>
      </c>
      <c r="BB44" s="22">
        <v>5290100</v>
      </c>
      <c r="BC44" s="22">
        <v>3625800</v>
      </c>
      <c r="BD44" s="22">
        <v>3880400</v>
      </c>
      <c r="BE44" s="22">
        <v>3206100</v>
      </c>
      <c r="BF44" s="22">
        <v>3777000</v>
      </c>
      <c r="BG44" s="22">
        <v>4119200</v>
      </c>
      <c r="BH44" s="22">
        <v>3464100</v>
      </c>
      <c r="BI44" s="22">
        <v>4620200</v>
      </c>
      <c r="BJ44" s="22">
        <v>4211700</v>
      </c>
      <c r="BK44" s="22">
        <v>5388300</v>
      </c>
      <c r="BL44" s="22">
        <v>5035600</v>
      </c>
      <c r="BM44" s="1">
        <v>5488700</v>
      </c>
      <c r="BN44" s="1">
        <v>4466300</v>
      </c>
      <c r="BO44" s="1">
        <v>3875300</v>
      </c>
      <c r="BP44" s="1">
        <v>4209400</v>
      </c>
    </row>
    <row r="45" spans="1:68" ht="15.9" customHeight="1">
      <c r="A45" s="396" t="s">
        <v>85</v>
      </c>
      <c r="B45" s="49" t="s">
        <v>86</v>
      </c>
      <c r="C45" s="53" t="str">
        <f>_xll.RssMarket("8306","出来高")</f>
        <v/>
      </c>
      <c r="D45" s="205" t="e">
        <f t="shared" si="0"/>
        <v>#VALUE!</v>
      </c>
      <c r="E45" s="203">
        <v>59061500</v>
      </c>
      <c r="F45" s="22">
        <v>51178000</v>
      </c>
      <c r="G45" s="22">
        <v>53200600</v>
      </c>
      <c r="H45" s="22">
        <v>43079600</v>
      </c>
      <c r="I45" s="22">
        <v>35147200</v>
      </c>
      <c r="J45" s="22">
        <v>26333100</v>
      </c>
      <c r="K45" s="22">
        <v>35858100</v>
      </c>
      <c r="L45" s="22">
        <v>53306500</v>
      </c>
      <c r="M45" s="22">
        <v>25810800</v>
      </c>
      <c r="N45" s="22">
        <v>24679200</v>
      </c>
      <c r="O45" s="22">
        <v>34768500</v>
      </c>
      <c r="P45" s="22">
        <v>21862400</v>
      </c>
      <c r="Q45" s="22">
        <v>28320000</v>
      </c>
      <c r="R45" s="22">
        <v>30642500</v>
      </c>
      <c r="S45" s="22">
        <v>27483000</v>
      </c>
      <c r="T45" s="22">
        <v>26463100</v>
      </c>
      <c r="U45" s="22">
        <v>28539300</v>
      </c>
      <c r="V45" s="22">
        <v>31972100</v>
      </c>
      <c r="W45" s="22">
        <v>26077100</v>
      </c>
      <c r="X45" s="22">
        <v>53414800</v>
      </c>
      <c r="Y45" s="22">
        <v>49472400</v>
      </c>
      <c r="Z45" s="22">
        <v>42080800</v>
      </c>
      <c r="AA45" s="22">
        <v>38818500</v>
      </c>
      <c r="AB45" s="22">
        <v>54083500</v>
      </c>
      <c r="AC45" s="22">
        <v>43885600</v>
      </c>
      <c r="AD45" s="22">
        <v>60312600</v>
      </c>
      <c r="AE45" s="22">
        <v>43619100</v>
      </c>
      <c r="AF45" s="22">
        <v>42730200</v>
      </c>
      <c r="AG45" s="22">
        <v>57793900</v>
      </c>
      <c r="AH45" s="22">
        <v>46784900</v>
      </c>
      <c r="AI45" s="22">
        <v>37371200</v>
      </c>
      <c r="AJ45" s="22">
        <v>69856600</v>
      </c>
      <c r="AK45" s="22">
        <v>41665800</v>
      </c>
      <c r="AL45" s="22">
        <v>34986500</v>
      </c>
      <c r="AM45" s="22">
        <v>32348200</v>
      </c>
      <c r="AN45" s="22">
        <v>40421700</v>
      </c>
      <c r="AO45" s="22">
        <v>52123700</v>
      </c>
      <c r="AP45" s="22">
        <v>51809100</v>
      </c>
      <c r="AQ45" s="22">
        <v>55685600</v>
      </c>
      <c r="AR45" s="22">
        <v>66978500</v>
      </c>
      <c r="AS45" s="22">
        <v>47220900</v>
      </c>
      <c r="AT45" s="22">
        <v>34334700</v>
      </c>
      <c r="AU45" s="22">
        <v>34802100</v>
      </c>
      <c r="AV45" s="22">
        <v>28562100</v>
      </c>
      <c r="AW45" s="22">
        <v>29713600</v>
      </c>
      <c r="AX45" s="22">
        <v>29713600</v>
      </c>
      <c r="AY45" s="22">
        <v>37166700</v>
      </c>
      <c r="AZ45" s="22">
        <v>53805900</v>
      </c>
      <c r="BA45" s="22">
        <v>28643100</v>
      </c>
      <c r="BB45" s="22">
        <v>39443000</v>
      </c>
      <c r="BC45" s="22">
        <v>45635600</v>
      </c>
      <c r="BD45" s="22">
        <v>29320200</v>
      </c>
      <c r="BE45" s="22">
        <v>22067000</v>
      </c>
      <c r="BF45" s="22">
        <v>35144800</v>
      </c>
      <c r="BG45" s="22">
        <v>38846200</v>
      </c>
      <c r="BH45" s="22">
        <v>30217100</v>
      </c>
      <c r="BI45" s="22">
        <v>24113800</v>
      </c>
      <c r="BJ45" s="22">
        <v>40793100</v>
      </c>
      <c r="BK45" s="22">
        <v>42419100</v>
      </c>
      <c r="BL45" s="22">
        <v>48273800</v>
      </c>
      <c r="BM45" s="1">
        <v>38689000</v>
      </c>
      <c r="BN45" s="1">
        <v>30503200</v>
      </c>
      <c r="BO45" s="1">
        <v>33552100</v>
      </c>
      <c r="BP45" s="1">
        <v>35140500</v>
      </c>
    </row>
    <row r="46" spans="1:68" ht="15.9" customHeight="1">
      <c r="A46" s="396" t="s">
        <v>87</v>
      </c>
      <c r="B46" s="49" t="s">
        <v>88</v>
      </c>
      <c r="C46" s="53" t="str">
        <f>_xll.RssMarket("5401","出来高")</f>
        <v/>
      </c>
      <c r="D46" s="205" t="e">
        <f t="shared" si="0"/>
        <v>#VALUE!</v>
      </c>
      <c r="E46" s="203">
        <v>42824000</v>
      </c>
      <c r="F46" s="22">
        <v>31939800</v>
      </c>
      <c r="G46" s="22">
        <v>33837800</v>
      </c>
      <c r="H46" s="22">
        <v>26236400</v>
      </c>
      <c r="I46" s="22">
        <v>25181800</v>
      </c>
      <c r="J46" s="22">
        <v>19003000</v>
      </c>
      <c r="K46" s="22">
        <v>23729000</v>
      </c>
      <c r="L46" s="22">
        <v>27470900</v>
      </c>
      <c r="M46" s="22">
        <v>25485200</v>
      </c>
      <c r="N46" s="22">
        <v>25990400</v>
      </c>
      <c r="O46" s="22">
        <v>35748000</v>
      </c>
      <c r="P46" s="22">
        <v>29551100</v>
      </c>
      <c r="Q46" s="22">
        <v>38459000</v>
      </c>
      <c r="R46" s="22">
        <v>33114700</v>
      </c>
      <c r="S46" s="22">
        <v>24184200</v>
      </c>
      <c r="T46" s="22">
        <v>23683100</v>
      </c>
      <c r="U46" s="22">
        <v>23841500</v>
      </c>
      <c r="V46" s="22">
        <v>25552800</v>
      </c>
      <c r="W46" s="22">
        <v>24865600</v>
      </c>
      <c r="X46" s="22">
        <v>24951000</v>
      </c>
      <c r="Y46" s="22">
        <v>22412800</v>
      </c>
      <c r="Z46" s="22">
        <v>23078200</v>
      </c>
      <c r="AA46" s="22">
        <v>21855000</v>
      </c>
      <c r="AB46" s="22">
        <v>35530200</v>
      </c>
      <c r="AC46" s="22">
        <v>30230800</v>
      </c>
      <c r="AD46" s="22">
        <v>23320500</v>
      </c>
      <c r="AE46" s="22">
        <v>36773100</v>
      </c>
      <c r="AF46" s="22">
        <v>21297800</v>
      </c>
      <c r="AG46" s="22">
        <v>25638500</v>
      </c>
      <c r="AH46" s="22">
        <v>27280200</v>
      </c>
      <c r="AI46" s="22">
        <v>46353800</v>
      </c>
      <c r="AJ46" s="22">
        <v>50632500</v>
      </c>
      <c r="AK46" s="22">
        <v>26020600</v>
      </c>
      <c r="AL46" s="22">
        <v>26864800</v>
      </c>
      <c r="AM46" s="22">
        <v>29250200</v>
      </c>
      <c r="AN46" s="22">
        <v>21985700</v>
      </c>
      <c r="AO46" s="22">
        <v>28759200</v>
      </c>
      <c r="AP46" s="22">
        <v>40808400</v>
      </c>
      <c r="AQ46" s="22">
        <v>32513200</v>
      </c>
      <c r="AR46" s="22">
        <v>32786700</v>
      </c>
      <c r="AS46" s="22">
        <v>37792300</v>
      </c>
      <c r="AT46" s="22">
        <v>54796900</v>
      </c>
      <c r="AU46" s="22">
        <v>34062700</v>
      </c>
      <c r="AV46" s="22">
        <v>36770900</v>
      </c>
      <c r="AW46" s="22">
        <v>47352200</v>
      </c>
      <c r="AX46" s="22">
        <v>47352200</v>
      </c>
      <c r="AY46" s="22">
        <v>36330900</v>
      </c>
      <c r="AZ46" s="22">
        <v>39379900</v>
      </c>
      <c r="BA46" s="22">
        <v>24588800</v>
      </c>
      <c r="BB46" s="22">
        <v>27367000</v>
      </c>
      <c r="BC46" s="22">
        <v>26538800</v>
      </c>
      <c r="BD46" s="22">
        <v>29570100</v>
      </c>
      <c r="BE46" s="22">
        <v>28096800</v>
      </c>
      <c r="BF46" s="22">
        <v>24893900</v>
      </c>
      <c r="BG46" s="22">
        <v>18514900</v>
      </c>
      <c r="BH46" s="22">
        <v>17409500</v>
      </c>
      <c r="BI46" s="22">
        <v>19779100</v>
      </c>
      <c r="BJ46" s="22">
        <v>18544700</v>
      </c>
      <c r="BK46" s="22">
        <v>18976400</v>
      </c>
      <c r="BL46" s="22">
        <v>20939500</v>
      </c>
      <c r="BM46" s="1">
        <v>18859800</v>
      </c>
      <c r="BN46" s="1">
        <v>15154700</v>
      </c>
      <c r="BO46" s="1">
        <v>20245900</v>
      </c>
      <c r="BP46" s="1">
        <v>25366800</v>
      </c>
    </row>
    <row r="47" spans="1:68" ht="15.9" customHeight="1">
      <c r="A47" s="396" t="s">
        <v>89</v>
      </c>
      <c r="B47" s="49" t="s">
        <v>90</v>
      </c>
      <c r="C47" s="53" t="str">
        <f>_xll.RssMarket("8572","出来高")</f>
        <v/>
      </c>
      <c r="D47" s="205" t="e">
        <f t="shared" si="0"/>
        <v>#VALUE!</v>
      </c>
      <c r="E47" s="203">
        <v>1362200</v>
      </c>
      <c r="F47" s="22">
        <v>757400</v>
      </c>
      <c r="G47" s="22">
        <v>850100</v>
      </c>
      <c r="H47" s="22">
        <v>890800</v>
      </c>
      <c r="I47" s="22">
        <v>1210100</v>
      </c>
      <c r="J47" s="22">
        <v>965900</v>
      </c>
      <c r="K47" s="22">
        <v>1058700</v>
      </c>
      <c r="L47" s="22">
        <v>1558400</v>
      </c>
      <c r="M47" s="22">
        <v>1946500</v>
      </c>
      <c r="N47" s="22">
        <v>1507300</v>
      </c>
      <c r="O47" s="22">
        <v>1661800</v>
      </c>
      <c r="P47" s="22">
        <v>1336200</v>
      </c>
      <c r="Q47" s="22">
        <v>1415000</v>
      </c>
      <c r="R47" s="22">
        <v>1723600</v>
      </c>
      <c r="S47" s="22">
        <v>1295200</v>
      </c>
      <c r="T47" s="22">
        <v>914500</v>
      </c>
      <c r="U47" s="22">
        <v>1880100</v>
      </c>
      <c r="V47" s="22">
        <v>1292100</v>
      </c>
      <c r="W47" s="22">
        <v>1287900</v>
      </c>
      <c r="X47" s="22">
        <v>1781700</v>
      </c>
      <c r="Y47" s="22">
        <v>1683300</v>
      </c>
      <c r="Z47" s="22">
        <v>1330300</v>
      </c>
      <c r="AA47" s="22">
        <v>1491100</v>
      </c>
      <c r="AB47" s="22">
        <v>1186300</v>
      </c>
      <c r="AC47" s="22">
        <v>835200</v>
      </c>
      <c r="AD47" s="22">
        <v>1105600</v>
      </c>
      <c r="AE47" s="22">
        <v>2252300</v>
      </c>
      <c r="AF47" s="22">
        <v>1495600</v>
      </c>
      <c r="AG47" s="22">
        <v>1724500</v>
      </c>
      <c r="AH47" s="22">
        <v>1447800</v>
      </c>
      <c r="AI47" s="22">
        <v>2024500</v>
      </c>
      <c r="AJ47" s="22">
        <v>1402000</v>
      </c>
      <c r="AK47" s="22">
        <v>1320700</v>
      </c>
      <c r="AL47" s="22">
        <v>1889200</v>
      </c>
      <c r="AM47" s="22">
        <v>1586100</v>
      </c>
      <c r="AN47" s="22">
        <v>1422300</v>
      </c>
      <c r="AO47" s="22">
        <v>1757500</v>
      </c>
      <c r="AP47" s="22">
        <v>1740200</v>
      </c>
      <c r="AQ47" s="22">
        <v>2037500</v>
      </c>
      <c r="AR47" s="22">
        <v>1827300</v>
      </c>
      <c r="AS47" s="22">
        <v>1806000</v>
      </c>
      <c r="AT47" s="22">
        <v>2576200</v>
      </c>
      <c r="AU47" s="22">
        <v>6227100</v>
      </c>
      <c r="AV47" s="22">
        <v>1774200</v>
      </c>
      <c r="AW47" s="22">
        <v>1384600</v>
      </c>
      <c r="AX47" s="22">
        <v>1384600</v>
      </c>
      <c r="AY47" s="22">
        <v>1482500</v>
      </c>
      <c r="AZ47" s="22">
        <v>1491100</v>
      </c>
      <c r="BA47" s="22">
        <v>1117500</v>
      </c>
      <c r="BB47" s="22">
        <v>1145500</v>
      </c>
      <c r="BC47" s="22">
        <v>1695400</v>
      </c>
      <c r="BD47" s="22">
        <v>1617200</v>
      </c>
      <c r="BE47" s="22">
        <v>1460200</v>
      </c>
      <c r="BF47" s="22">
        <v>1951600</v>
      </c>
      <c r="BG47" s="22">
        <v>2414100</v>
      </c>
      <c r="BH47" s="22">
        <v>4591900</v>
      </c>
      <c r="BI47" s="22">
        <v>1529700</v>
      </c>
      <c r="BJ47" s="22">
        <v>1450000</v>
      </c>
      <c r="BK47" s="22">
        <v>1765000</v>
      </c>
      <c r="BL47" s="22">
        <v>1772800</v>
      </c>
      <c r="BM47" s="1">
        <v>1407600</v>
      </c>
      <c r="BN47" s="1">
        <v>807800</v>
      </c>
      <c r="BO47" s="1">
        <v>1228800</v>
      </c>
      <c r="BP47" s="1">
        <v>1167700</v>
      </c>
    </row>
    <row r="48" spans="1:68" ht="15.9" customHeight="1">
      <c r="A48" s="396" t="s">
        <v>91</v>
      </c>
      <c r="B48" s="49" t="s">
        <v>92</v>
      </c>
      <c r="C48" s="53" t="str">
        <f>_xll.RssMarket("3941","出来高")</f>
        <v/>
      </c>
      <c r="D48" s="205" t="e">
        <f t="shared" si="0"/>
        <v>#VALUE!</v>
      </c>
      <c r="E48" s="203">
        <v>1096400</v>
      </c>
      <c r="F48" s="22">
        <v>832600</v>
      </c>
      <c r="G48" s="22">
        <v>856900</v>
      </c>
      <c r="H48" s="22">
        <v>857000</v>
      </c>
      <c r="I48" s="22">
        <v>706200</v>
      </c>
      <c r="J48" s="22">
        <v>1173100</v>
      </c>
      <c r="K48" s="22">
        <v>1015400</v>
      </c>
      <c r="L48" s="22">
        <v>666100</v>
      </c>
      <c r="M48" s="22">
        <v>778900</v>
      </c>
      <c r="N48" s="22">
        <v>759000</v>
      </c>
      <c r="O48" s="22">
        <v>781600</v>
      </c>
      <c r="P48" s="22">
        <v>592100</v>
      </c>
      <c r="Q48" s="22">
        <v>1041000</v>
      </c>
      <c r="R48" s="22">
        <v>938000</v>
      </c>
      <c r="S48" s="22">
        <v>965700</v>
      </c>
      <c r="T48" s="22">
        <v>599900</v>
      </c>
      <c r="U48" s="22">
        <v>557000</v>
      </c>
      <c r="V48" s="22">
        <v>909000</v>
      </c>
      <c r="W48" s="22">
        <v>876600</v>
      </c>
      <c r="X48" s="22">
        <v>1439300</v>
      </c>
      <c r="Y48" s="22">
        <v>1005100</v>
      </c>
      <c r="Z48" s="22">
        <v>825300</v>
      </c>
      <c r="AA48" s="22">
        <v>560900</v>
      </c>
      <c r="AB48" s="22">
        <v>874300</v>
      </c>
      <c r="AC48" s="22">
        <v>825900</v>
      </c>
      <c r="AD48" s="22">
        <v>928400</v>
      </c>
      <c r="AE48" s="22">
        <v>987800</v>
      </c>
      <c r="AF48" s="22">
        <v>752200</v>
      </c>
      <c r="AG48" s="22">
        <v>821900</v>
      </c>
      <c r="AH48" s="22">
        <v>661000</v>
      </c>
      <c r="AI48" s="22">
        <v>857500</v>
      </c>
      <c r="AJ48" s="22">
        <v>1467400</v>
      </c>
      <c r="AK48" s="22">
        <v>1084500</v>
      </c>
      <c r="AL48" s="22">
        <v>929300</v>
      </c>
      <c r="AM48" s="22">
        <v>774200</v>
      </c>
      <c r="AN48" s="22">
        <v>816000</v>
      </c>
      <c r="AO48" s="22">
        <v>903100</v>
      </c>
      <c r="AP48" s="22">
        <v>1237500</v>
      </c>
      <c r="AQ48" s="22">
        <v>1505900</v>
      </c>
      <c r="AR48" s="22">
        <v>1676300</v>
      </c>
      <c r="AS48" s="22">
        <v>2035700</v>
      </c>
      <c r="AT48" s="22">
        <v>4157000</v>
      </c>
      <c r="AU48" s="22">
        <v>1058000</v>
      </c>
      <c r="AV48" s="22">
        <v>1147100</v>
      </c>
      <c r="AW48" s="22">
        <v>1402800</v>
      </c>
      <c r="AX48" s="22">
        <v>1402800</v>
      </c>
      <c r="AY48" s="22">
        <v>1278800</v>
      </c>
      <c r="AZ48" s="22">
        <v>1757400</v>
      </c>
      <c r="BA48" s="22">
        <v>1092200</v>
      </c>
      <c r="BB48" s="22">
        <v>1710300</v>
      </c>
      <c r="BC48" s="22">
        <v>1291800</v>
      </c>
      <c r="BD48" s="22">
        <v>2566600</v>
      </c>
      <c r="BE48" s="22">
        <v>558300</v>
      </c>
      <c r="BF48" s="22">
        <v>732300</v>
      </c>
      <c r="BG48" s="22">
        <v>699000</v>
      </c>
      <c r="BH48" s="22">
        <v>1085200</v>
      </c>
      <c r="BI48" s="22">
        <v>891600</v>
      </c>
      <c r="BJ48" s="22">
        <v>626200</v>
      </c>
      <c r="BK48" s="22">
        <v>582100</v>
      </c>
      <c r="BL48" s="22">
        <v>558300</v>
      </c>
      <c r="BM48" s="1">
        <v>551500</v>
      </c>
      <c r="BN48" s="1">
        <v>425600</v>
      </c>
      <c r="BO48" s="1">
        <v>604700</v>
      </c>
      <c r="BP48" s="1">
        <v>904000</v>
      </c>
    </row>
    <row r="49" spans="1:68" ht="15.9" customHeight="1">
      <c r="A49" s="396" t="s">
        <v>93</v>
      </c>
      <c r="B49" s="49" t="s">
        <v>94</v>
      </c>
      <c r="C49" s="53" t="str">
        <f>_xll.RssMarket("5929","出来高")</f>
        <v/>
      </c>
      <c r="D49" s="205" t="e">
        <f t="shared" si="0"/>
        <v>#VALUE!</v>
      </c>
      <c r="E49" s="203">
        <v>725700</v>
      </c>
      <c r="F49" s="22">
        <v>370700</v>
      </c>
      <c r="G49" s="22">
        <v>371600</v>
      </c>
      <c r="H49" s="22">
        <v>647000</v>
      </c>
      <c r="I49" s="22">
        <v>531800</v>
      </c>
      <c r="J49" s="22">
        <v>437600</v>
      </c>
      <c r="K49" s="22">
        <v>545400</v>
      </c>
      <c r="L49" s="22">
        <v>661200</v>
      </c>
      <c r="M49" s="22">
        <v>346300</v>
      </c>
      <c r="N49" s="22">
        <v>531100</v>
      </c>
      <c r="O49" s="22">
        <v>404400</v>
      </c>
      <c r="P49" s="22">
        <v>839300</v>
      </c>
      <c r="Q49" s="22">
        <v>531100</v>
      </c>
      <c r="R49" s="22">
        <v>839000</v>
      </c>
      <c r="S49" s="22">
        <v>598800</v>
      </c>
      <c r="T49" s="22">
        <v>605600</v>
      </c>
      <c r="U49" s="22">
        <v>776700</v>
      </c>
      <c r="V49" s="22">
        <v>521700</v>
      </c>
      <c r="W49" s="22">
        <v>556800</v>
      </c>
      <c r="X49" s="22">
        <v>900600</v>
      </c>
      <c r="Y49" s="22">
        <v>929800</v>
      </c>
      <c r="Z49" s="22">
        <v>424400</v>
      </c>
      <c r="AA49" s="22">
        <v>555700</v>
      </c>
      <c r="AB49" s="22">
        <v>703100</v>
      </c>
      <c r="AC49" s="22">
        <v>687000</v>
      </c>
      <c r="AD49" s="22">
        <v>860200</v>
      </c>
      <c r="AE49" s="22">
        <v>1242200</v>
      </c>
      <c r="AF49" s="22">
        <v>1423300</v>
      </c>
      <c r="AG49" s="22">
        <v>886200</v>
      </c>
      <c r="AH49" s="22">
        <v>872800</v>
      </c>
      <c r="AI49" s="22">
        <v>1247900</v>
      </c>
      <c r="AJ49" s="22">
        <v>1600300</v>
      </c>
      <c r="AK49" s="22">
        <v>1016800</v>
      </c>
      <c r="AL49" s="22">
        <v>1130500</v>
      </c>
      <c r="AM49" s="22">
        <v>649100</v>
      </c>
      <c r="AN49" s="22">
        <v>561900</v>
      </c>
      <c r="AO49" s="22">
        <v>681800</v>
      </c>
      <c r="AP49" s="22">
        <v>1088900</v>
      </c>
      <c r="AQ49" s="22">
        <v>696100</v>
      </c>
      <c r="AR49" s="22">
        <v>777600</v>
      </c>
      <c r="AS49" s="22">
        <v>874500</v>
      </c>
      <c r="AT49" s="22">
        <v>1190400</v>
      </c>
      <c r="AU49" s="22">
        <v>1002900</v>
      </c>
      <c r="AV49" s="22">
        <v>1023800</v>
      </c>
      <c r="AW49" s="22">
        <v>819800</v>
      </c>
      <c r="AX49" s="22">
        <v>819800</v>
      </c>
      <c r="AY49" s="22">
        <v>706100</v>
      </c>
      <c r="AZ49" s="22">
        <v>978400</v>
      </c>
      <c r="BA49" s="22">
        <v>622300</v>
      </c>
      <c r="BB49" s="22">
        <v>801700</v>
      </c>
      <c r="BC49" s="22">
        <v>480400</v>
      </c>
      <c r="BD49" s="22">
        <v>252800</v>
      </c>
      <c r="BE49" s="22">
        <v>330000</v>
      </c>
      <c r="BF49" s="22">
        <v>457000</v>
      </c>
      <c r="BG49" s="22">
        <v>410700</v>
      </c>
      <c r="BH49" s="22">
        <v>577000</v>
      </c>
      <c r="BI49" s="22">
        <v>632900</v>
      </c>
      <c r="BJ49" s="22">
        <v>732800</v>
      </c>
      <c r="BK49" s="22">
        <v>870600</v>
      </c>
      <c r="BL49" s="22">
        <v>426600</v>
      </c>
      <c r="BM49" s="1">
        <v>491000</v>
      </c>
      <c r="BN49" s="1">
        <v>494100</v>
      </c>
      <c r="BO49" s="1">
        <v>567400</v>
      </c>
      <c r="BP49" s="1">
        <v>693000</v>
      </c>
    </row>
    <row r="50" spans="1:68" ht="15.9" customHeight="1">
      <c r="A50" s="396" t="s">
        <v>95</v>
      </c>
      <c r="B50" s="49" t="s">
        <v>96</v>
      </c>
      <c r="C50" s="53" t="str">
        <f>_xll.RssMarket("8316","出来高")</f>
        <v/>
      </c>
      <c r="D50" s="205" t="e">
        <f t="shared" si="0"/>
        <v>#VALUE!</v>
      </c>
      <c r="E50" s="203">
        <v>17726200</v>
      </c>
      <c r="F50" s="22">
        <v>14262800</v>
      </c>
      <c r="G50" s="22">
        <v>11804700</v>
      </c>
      <c r="H50" s="22">
        <v>12981600</v>
      </c>
      <c r="I50" s="22">
        <v>10340500</v>
      </c>
      <c r="J50" s="22">
        <v>8263500</v>
      </c>
      <c r="K50" s="22">
        <v>12344000</v>
      </c>
      <c r="L50" s="22">
        <v>15527100</v>
      </c>
      <c r="M50" s="22">
        <v>10412500</v>
      </c>
      <c r="N50" s="22">
        <v>9409100</v>
      </c>
      <c r="O50" s="22">
        <v>11873800</v>
      </c>
      <c r="P50" s="22">
        <v>8768500</v>
      </c>
      <c r="Q50" s="22">
        <v>9707100</v>
      </c>
      <c r="R50" s="22">
        <v>10881500</v>
      </c>
      <c r="S50" s="22">
        <v>11097300</v>
      </c>
      <c r="T50" s="22">
        <v>10470900</v>
      </c>
      <c r="U50" s="22">
        <v>11902900</v>
      </c>
      <c r="V50" s="22">
        <v>11863400</v>
      </c>
      <c r="W50" s="22">
        <v>12138700</v>
      </c>
      <c r="X50" s="22">
        <v>20049100</v>
      </c>
      <c r="Y50" s="22">
        <v>14838400</v>
      </c>
      <c r="Z50" s="22">
        <v>12405700</v>
      </c>
      <c r="AA50" s="22">
        <v>13563400</v>
      </c>
      <c r="AB50" s="22">
        <v>18028200</v>
      </c>
      <c r="AC50" s="22">
        <v>23960700</v>
      </c>
      <c r="AD50" s="22">
        <v>16707100</v>
      </c>
      <c r="AE50" s="22">
        <v>21813600</v>
      </c>
      <c r="AF50" s="22">
        <v>15126700</v>
      </c>
      <c r="AG50" s="22">
        <v>14349800</v>
      </c>
      <c r="AH50" s="22">
        <v>13395700</v>
      </c>
      <c r="AI50" s="22">
        <v>15691600</v>
      </c>
      <c r="AJ50" s="22">
        <v>12902800</v>
      </c>
      <c r="AK50" s="22">
        <v>17617000</v>
      </c>
      <c r="AL50" s="22">
        <v>15094100</v>
      </c>
      <c r="AM50" s="22">
        <v>13219300</v>
      </c>
      <c r="AN50" s="22">
        <v>13205000</v>
      </c>
      <c r="AO50" s="22">
        <v>12376300</v>
      </c>
      <c r="AP50" s="22">
        <v>18212600</v>
      </c>
      <c r="AQ50" s="22">
        <v>18145400</v>
      </c>
      <c r="AR50" s="22">
        <v>21178400</v>
      </c>
      <c r="AS50" s="22">
        <v>14734800</v>
      </c>
      <c r="AT50" s="22">
        <v>15463800</v>
      </c>
      <c r="AU50" s="22">
        <v>18642900</v>
      </c>
      <c r="AV50" s="22">
        <v>12087700</v>
      </c>
      <c r="AW50" s="22">
        <v>12206700</v>
      </c>
      <c r="AX50" s="22">
        <v>12531400</v>
      </c>
      <c r="AY50" s="22">
        <v>12531400</v>
      </c>
      <c r="AZ50" s="22">
        <v>12481400</v>
      </c>
      <c r="BA50" s="22">
        <v>17149500</v>
      </c>
      <c r="BB50" s="22">
        <v>8711900</v>
      </c>
      <c r="BC50" s="22">
        <v>15242200</v>
      </c>
      <c r="BD50" s="22">
        <v>15541200</v>
      </c>
      <c r="BE50" s="22">
        <v>9422700</v>
      </c>
      <c r="BF50" s="22">
        <v>7882600</v>
      </c>
      <c r="BG50" s="22">
        <v>12947200</v>
      </c>
      <c r="BH50" s="22">
        <v>9352200</v>
      </c>
      <c r="BI50" s="22">
        <v>9134200</v>
      </c>
      <c r="BJ50" s="22">
        <v>7598100</v>
      </c>
      <c r="BK50" s="22">
        <v>11391100</v>
      </c>
      <c r="BL50" s="22">
        <v>11580100</v>
      </c>
      <c r="BM50" s="1">
        <v>12554000</v>
      </c>
      <c r="BN50" s="1">
        <v>10812000</v>
      </c>
      <c r="BO50" s="1">
        <v>9107100</v>
      </c>
      <c r="BP50" s="1">
        <v>9342000</v>
      </c>
    </row>
    <row r="51" spans="1:68" ht="15.9" customHeight="1">
      <c r="A51" s="396" t="s">
        <v>97</v>
      </c>
      <c r="B51" s="49" t="s">
        <v>98</v>
      </c>
      <c r="C51" s="53" t="str">
        <f>_xll.RssMarket("5449","出来高")</f>
        <v/>
      </c>
      <c r="D51" s="205" t="e">
        <f t="shared" si="0"/>
        <v>#VALUE!</v>
      </c>
      <c r="E51" s="203">
        <v>19100</v>
      </c>
      <c r="F51" s="22">
        <v>19000</v>
      </c>
      <c r="G51" s="22">
        <v>19100</v>
      </c>
      <c r="H51" s="22">
        <v>36100</v>
      </c>
      <c r="I51" s="22">
        <v>29600</v>
      </c>
      <c r="J51" s="22">
        <v>22900</v>
      </c>
      <c r="K51" s="22">
        <v>28500</v>
      </c>
      <c r="L51" s="22">
        <v>35100</v>
      </c>
      <c r="M51" s="22">
        <v>38900</v>
      </c>
      <c r="N51" s="22">
        <v>40500</v>
      </c>
      <c r="O51" s="22">
        <v>35900</v>
      </c>
      <c r="P51" s="22">
        <v>25800</v>
      </c>
      <c r="Q51" s="22">
        <v>58900</v>
      </c>
      <c r="R51" s="22">
        <v>87900</v>
      </c>
      <c r="S51" s="22">
        <v>26600</v>
      </c>
      <c r="T51" s="22">
        <v>19900</v>
      </c>
      <c r="U51" s="22">
        <v>28700</v>
      </c>
      <c r="V51" s="22">
        <v>29000</v>
      </c>
      <c r="W51" s="22">
        <v>19200</v>
      </c>
      <c r="X51" s="22">
        <v>43200</v>
      </c>
      <c r="Y51" s="22">
        <v>99200</v>
      </c>
      <c r="Z51" s="22">
        <v>91100</v>
      </c>
      <c r="AA51" s="22">
        <v>35700</v>
      </c>
      <c r="AB51" s="22">
        <v>35400</v>
      </c>
      <c r="AC51" s="22">
        <v>48800</v>
      </c>
      <c r="AD51" s="22">
        <v>30600</v>
      </c>
      <c r="AE51" s="22">
        <v>86400</v>
      </c>
      <c r="AF51" s="22">
        <v>58600</v>
      </c>
      <c r="AG51" s="22">
        <v>82500</v>
      </c>
      <c r="AH51" s="22">
        <v>115900</v>
      </c>
      <c r="AI51" s="22">
        <v>66300</v>
      </c>
      <c r="AJ51" s="22">
        <v>385300</v>
      </c>
      <c r="AK51" s="22">
        <v>33300</v>
      </c>
      <c r="AL51" s="22">
        <v>54200</v>
      </c>
      <c r="AM51" s="22">
        <v>53200</v>
      </c>
      <c r="AN51" s="22">
        <v>73500</v>
      </c>
      <c r="AO51" s="22">
        <v>30000</v>
      </c>
      <c r="AP51" s="22">
        <v>34200</v>
      </c>
      <c r="AQ51" s="22">
        <v>70200</v>
      </c>
      <c r="AR51" s="22">
        <v>58800</v>
      </c>
      <c r="AS51" s="22">
        <v>34100</v>
      </c>
      <c r="AT51" s="22">
        <v>69700</v>
      </c>
      <c r="AU51" s="22">
        <v>138600</v>
      </c>
      <c r="AV51" s="22">
        <v>57300</v>
      </c>
      <c r="AW51" s="22">
        <v>42300</v>
      </c>
      <c r="AX51" s="22">
        <v>42300</v>
      </c>
      <c r="AY51" s="22">
        <v>79900</v>
      </c>
      <c r="AZ51" s="22">
        <v>65300</v>
      </c>
      <c r="BA51" s="22">
        <v>74600</v>
      </c>
      <c r="BB51" s="22">
        <v>58900</v>
      </c>
      <c r="BC51" s="22">
        <v>103000</v>
      </c>
      <c r="BD51" s="22">
        <v>53500</v>
      </c>
      <c r="BE51" s="22">
        <v>41200</v>
      </c>
      <c r="BF51" s="22">
        <v>51700</v>
      </c>
      <c r="BG51" s="22">
        <v>49600</v>
      </c>
      <c r="BH51" s="22">
        <v>57500</v>
      </c>
      <c r="BI51" s="22">
        <v>72600</v>
      </c>
      <c r="BJ51" s="22">
        <v>47800</v>
      </c>
      <c r="BK51" s="22">
        <v>47800</v>
      </c>
      <c r="BL51" s="22">
        <v>40300</v>
      </c>
      <c r="BM51" s="1">
        <v>53500</v>
      </c>
      <c r="BN51" s="1">
        <v>99000</v>
      </c>
      <c r="BO51" s="1">
        <v>82200</v>
      </c>
      <c r="BP51" s="1">
        <v>43000</v>
      </c>
    </row>
    <row r="52" spans="1:68" ht="15.9" customHeight="1">
      <c r="A52" s="396" t="s">
        <v>99</v>
      </c>
      <c r="B52" s="49" t="s">
        <v>100</v>
      </c>
      <c r="C52" s="53" t="str">
        <f>_xll.RssMarket("8766","出来高")</f>
        <v/>
      </c>
      <c r="D52" s="205" t="e">
        <f t="shared" si="0"/>
        <v>#VALUE!</v>
      </c>
      <c r="E52" s="203">
        <v>4881300</v>
      </c>
      <c r="F52" s="22">
        <v>4179300</v>
      </c>
      <c r="G52" s="22">
        <v>3684600</v>
      </c>
      <c r="H52" s="22">
        <v>3871800</v>
      </c>
      <c r="I52" s="22">
        <v>6868900</v>
      </c>
      <c r="J52" s="22">
        <v>5696500</v>
      </c>
      <c r="K52" s="22">
        <v>6850400</v>
      </c>
      <c r="L52" s="22">
        <v>5357400</v>
      </c>
      <c r="M52" s="22">
        <v>4990200</v>
      </c>
      <c r="N52" s="22">
        <v>4994400</v>
      </c>
      <c r="O52" s="22">
        <v>8398100</v>
      </c>
      <c r="P52" s="22">
        <v>5270800</v>
      </c>
      <c r="Q52" s="22">
        <v>4805700</v>
      </c>
      <c r="R52" s="22">
        <v>8025000</v>
      </c>
      <c r="S52" s="22">
        <v>6194700</v>
      </c>
      <c r="T52" s="22">
        <v>7192100</v>
      </c>
      <c r="U52" s="22">
        <v>7721000</v>
      </c>
      <c r="V52" s="22">
        <v>5801000</v>
      </c>
      <c r="W52" s="22">
        <v>3390300</v>
      </c>
      <c r="X52" s="22">
        <v>8663500</v>
      </c>
      <c r="Y52" s="22">
        <v>4485700</v>
      </c>
      <c r="Z52" s="22">
        <v>4299600</v>
      </c>
      <c r="AA52" s="22">
        <v>4487400</v>
      </c>
      <c r="AB52" s="22">
        <v>7968200</v>
      </c>
      <c r="AC52" s="22">
        <v>6270700</v>
      </c>
      <c r="AD52" s="22">
        <v>5719700</v>
      </c>
      <c r="AE52" s="22">
        <v>8411600</v>
      </c>
      <c r="AF52" s="22">
        <v>5687500</v>
      </c>
      <c r="AG52" s="22">
        <v>5719800</v>
      </c>
      <c r="AH52" s="22">
        <v>4571900</v>
      </c>
      <c r="AI52" s="22">
        <v>5323900</v>
      </c>
      <c r="AJ52" s="22">
        <v>10833400</v>
      </c>
      <c r="AK52" s="22">
        <v>6330700</v>
      </c>
      <c r="AL52" s="22">
        <v>5245100</v>
      </c>
      <c r="AM52" s="22">
        <v>5595400</v>
      </c>
      <c r="AN52" s="22">
        <v>7819300</v>
      </c>
      <c r="AO52" s="22">
        <v>11696800</v>
      </c>
      <c r="AP52" s="22">
        <v>7978900</v>
      </c>
      <c r="AQ52" s="22">
        <v>7192800</v>
      </c>
      <c r="AR52" s="22">
        <v>5383800</v>
      </c>
      <c r="AS52" s="22">
        <v>7584600</v>
      </c>
      <c r="AT52" s="22">
        <v>3937400</v>
      </c>
      <c r="AU52" s="22">
        <v>5780900</v>
      </c>
      <c r="AV52" s="22">
        <v>5391600</v>
      </c>
      <c r="AW52" s="22">
        <v>5271300</v>
      </c>
      <c r="AX52" s="22">
        <v>5271300</v>
      </c>
      <c r="AY52" s="22">
        <v>6464400</v>
      </c>
      <c r="AZ52" s="22">
        <v>8016100</v>
      </c>
      <c r="BA52" s="22">
        <v>3972600</v>
      </c>
      <c r="BB52" s="22">
        <v>5962600</v>
      </c>
      <c r="BC52" s="22">
        <v>6157300</v>
      </c>
      <c r="BD52" s="22">
        <v>4891400</v>
      </c>
      <c r="BE52" s="22">
        <v>5287100</v>
      </c>
      <c r="BF52" s="22">
        <v>6495500</v>
      </c>
      <c r="BG52" s="22">
        <v>5334100</v>
      </c>
      <c r="BH52" s="22">
        <v>6031100</v>
      </c>
      <c r="BI52" s="22">
        <v>7277100</v>
      </c>
      <c r="BJ52" s="22">
        <v>7249700</v>
      </c>
      <c r="BK52" s="22">
        <v>5576800</v>
      </c>
      <c r="BL52" s="22">
        <v>6326300</v>
      </c>
      <c r="BM52" s="1">
        <v>5402100</v>
      </c>
      <c r="BN52" s="1">
        <v>4832700</v>
      </c>
      <c r="BO52" s="1">
        <v>6839400</v>
      </c>
      <c r="BP52" s="1">
        <v>6757600</v>
      </c>
    </row>
    <row r="53" spans="1:68" ht="15.9" customHeight="1">
      <c r="A53" s="396" t="s">
        <v>101</v>
      </c>
      <c r="B53" s="49" t="s">
        <v>102</v>
      </c>
      <c r="C53" s="53" t="str">
        <f>_xll.RssMarket("5201","出来高")</f>
        <v/>
      </c>
      <c r="D53" s="205" t="e">
        <f t="shared" si="0"/>
        <v>#VALUE!</v>
      </c>
      <c r="E53" s="203">
        <v>1310900</v>
      </c>
      <c r="F53" s="22">
        <v>862500</v>
      </c>
      <c r="G53" s="22">
        <v>1919900</v>
      </c>
      <c r="H53" s="22">
        <v>1094500</v>
      </c>
      <c r="I53" s="22">
        <v>1272200</v>
      </c>
      <c r="J53" s="22">
        <v>1210900</v>
      </c>
      <c r="K53" s="22">
        <v>1423100</v>
      </c>
      <c r="L53" s="22">
        <v>1589700</v>
      </c>
      <c r="M53" s="22">
        <v>986300</v>
      </c>
      <c r="N53" s="22">
        <v>954300</v>
      </c>
      <c r="O53" s="22">
        <v>979000</v>
      </c>
      <c r="P53" s="22">
        <v>969700</v>
      </c>
      <c r="Q53" s="22">
        <v>1257900</v>
      </c>
      <c r="R53" s="22">
        <v>2016000</v>
      </c>
      <c r="S53" s="22">
        <v>1083200</v>
      </c>
      <c r="T53" s="22">
        <v>951400</v>
      </c>
      <c r="U53" s="22">
        <v>1191200</v>
      </c>
      <c r="V53" s="22">
        <v>1528800</v>
      </c>
      <c r="W53" s="22">
        <v>1225900</v>
      </c>
      <c r="X53" s="22">
        <v>1530700</v>
      </c>
      <c r="Y53" s="22">
        <v>1822000</v>
      </c>
      <c r="Z53" s="22">
        <v>1363900</v>
      </c>
      <c r="AA53" s="22">
        <v>1508000</v>
      </c>
      <c r="AB53" s="22">
        <v>1525000</v>
      </c>
      <c r="AC53" s="22">
        <v>1356100</v>
      </c>
      <c r="AD53" s="22">
        <v>1716600</v>
      </c>
      <c r="AE53" s="22">
        <v>2738200</v>
      </c>
      <c r="AF53" s="22">
        <v>2499400</v>
      </c>
      <c r="AG53" s="22">
        <v>2514500</v>
      </c>
      <c r="AH53" s="22">
        <v>4727500</v>
      </c>
      <c r="AI53" s="22">
        <v>6108200</v>
      </c>
      <c r="AJ53" s="22">
        <v>2647100</v>
      </c>
      <c r="AK53" s="22">
        <v>1498500</v>
      </c>
      <c r="AL53" s="22">
        <v>1695500</v>
      </c>
      <c r="AM53" s="22">
        <v>1772800</v>
      </c>
      <c r="AN53" s="22">
        <v>2117200</v>
      </c>
      <c r="AO53" s="22">
        <v>1567000</v>
      </c>
      <c r="AP53" s="22">
        <v>2177100</v>
      </c>
      <c r="AQ53" s="22">
        <v>2186700</v>
      </c>
      <c r="AR53" s="22">
        <v>1471300</v>
      </c>
      <c r="AS53" s="22">
        <v>1385200</v>
      </c>
      <c r="AT53" s="22">
        <v>1372100</v>
      </c>
      <c r="AU53" s="22">
        <v>2017500</v>
      </c>
      <c r="AV53" s="22">
        <v>8329200</v>
      </c>
      <c r="AW53" s="22">
        <v>1080000</v>
      </c>
      <c r="AX53" s="22">
        <v>1080000</v>
      </c>
      <c r="AY53" s="22">
        <v>1626700</v>
      </c>
      <c r="AZ53" s="22">
        <v>2084600</v>
      </c>
      <c r="BA53" s="22">
        <v>857400</v>
      </c>
      <c r="BB53" s="22">
        <v>1401900</v>
      </c>
      <c r="BC53" s="22">
        <v>971900</v>
      </c>
      <c r="BD53" s="22">
        <v>621100</v>
      </c>
      <c r="BE53" s="22">
        <v>777200</v>
      </c>
      <c r="BF53" s="22">
        <v>1002700</v>
      </c>
      <c r="BG53" s="22">
        <v>757800</v>
      </c>
      <c r="BH53" s="22">
        <v>846900</v>
      </c>
      <c r="BI53" s="22">
        <v>601400</v>
      </c>
      <c r="BJ53" s="22">
        <v>1032200</v>
      </c>
      <c r="BK53" s="22">
        <v>1344200</v>
      </c>
      <c r="BL53" s="22">
        <v>1062700</v>
      </c>
      <c r="BM53" s="1">
        <v>1166700</v>
      </c>
      <c r="BN53" s="1">
        <v>1341100</v>
      </c>
      <c r="BO53" s="1">
        <v>1053000</v>
      </c>
      <c r="BP53" s="1">
        <v>943000</v>
      </c>
    </row>
    <row r="54" spans="1:68" ht="15.9" customHeight="1">
      <c r="A54" s="396" t="s">
        <v>103</v>
      </c>
      <c r="B54" s="49" t="s">
        <v>104</v>
      </c>
      <c r="C54" s="53" t="str">
        <f>_xll.RssMarket("8630","出来高")</f>
        <v/>
      </c>
      <c r="D54" s="205" t="e">
        <f t="shared" si="0"/>
        <v>#VALUE!</v>
      </c>
      <c r="E54" s="203">
        <v>3770500</v>
      </c>
      <c r="F54" s="22">
        <v>2336700</v>
      </c>
      <c r="G54" s="22">
        <v>2318100</v>
      </c>
      <c r="H54" s="22">
        <v>2615800</v>
      </c>
      <c r="I54" s="22">
        <v>3138600</v>
      </c>
      <c r="J54" s="22">
        <v>2338500</v>
      </c>
      <c r="K54" s="22">
        <v>2542000</v>
      </c>
      <c r="L54" s="22">
        <v>3323200</v>
      </c>
      <c r="M54" s="22">
        <v>1735800</v>
      </c>
      <c r="N54" s="22">
        <v>2511100</v>
      </c>
      <c r="O54" s="22">
        <v>2470600</v>
      </c>
      <c r="P54" s="22">
        <v>2520700</v>
      </c>
      <c r="Q54" s="22">
        <v>2687300</v>
      </c>
      <c r="R54" s="22">
        <v>2647500</v>
      </c>
      <c r="S54" s="22">
        <v>2058300</v>
      </c>
      <c r="T54" s="22">
        <v>2945400</v>
      </c>
      <c r="U54" s="22">
        <v>3176200</v>
      </c>
      <c r="V54" s="22">
        <v>2755800</v>
      </c>
      <c r="W54" s="22">
        <v>1629300</v>
      </c>
      <c r="X54" s="22">
        <v>2403400</v>
      </c>
      <c r="Y54" s="22">
        <v>2359700</v>
      </c>
      <c r="Z54" s="22">
        <v>1584400</v>
      </c>
      <c r="AA54" s="22">
        <v>1636300</v>
      </c>
      <c r="AB54" s="22">
        <v>2988000</v>
      </c>
      <c r="AC54" s="22">
        <v>3041900</v>
      </c>
      <c r="AD54" s="22">
        <v>2671600</v>
      </c>
      <c r="AE54" s="22">
        <v>3622000</v>
      </c>
      <c r="AF54" s="22">
        <v>2221700</v>
      </c>
      <c r="AG54" s="22">
        <v>2905900</v>
      </c>
      <c r="AH54" s="22">
        <v>2946900</v>
      </c>
      <c r="AI54" s="22">
        <v>3262800</v>
      </c>
      <c r="AJ54" s="22">
        <v>10049500</v>
      </c>
      <c r="AK54" s="22">
        <v>2832400</v>
      </c>
      <c r="AL54" s="22">
        <v>4562100</v>
      </c>
      <c r="AM54" s="22">
        <v>4181600</v>
      </c>
      <c r="AN54" s="22">
        <v>5931000</v>
      </c>
      <c r="AO54" s="22">
        <v>10013600</v>
      </c>
      <c r="AP54" s="22">
        <v>3556800</v>
      </c>
      <c r="AQ54" s="22">
        <v>3707800</v>
      </c>
      <c r="AR54" s="22">
        <v>2206900</v>
      </c>
      <c r="AS54" s="22">
        <v>2241700</v>
      </c>
      <c r="AT54" s="22">
        <v>2712200</v>
      </c>
      <c r="AU54" s="22">
        <v>2480500</v>
      </c>
      <c r="AV54" s="22">
        <v>1923700</v>
      </c>
      <c r="AW54" s="22">
        <v>1806200</v>
      </c>
      <c r="AX54" s="22">
        <v>1806200</v>
      </c>
      <c r="AY54" s="22">
        <v>2815000</v>
      </c>
      <c r="AZ54" s="22">
        <v>3500500</v>
      </c>
      <c r="BA54" s="22">
        <v>1581400</v>
      </c>
      <c r="BB54" s="22">
        <v>3008100</v>
      </c>
      <c r="BC54" s="22">
        <v>2563900</v>
      </c>
      <c r="BD54" s="22">
        <v>2237200</v>
      </c>
      <c r="BE54" s="22">
        <v>1999000</v>
      </c>
      <c r="BF54" s="22">
        <v>2974900</v>
      </c>
      <c r="BG54" s="22">
        <v>1832200</v>
      </c>
      <c r="BH54" s="22">
        <v>1752400</v>
      </c>
      <c r="BI54" s="22">
        <v>1671700</v>
      </c>
      <c r="BJ54" s="22">
        <v>1656900</v>
      </c>
      <c r="BK54" s="22">
        <v>2046800</v>
      </c>
      <c r="BL54" s="22">
        <v>1735200</v>
      </c>
      <c r="BM54" s="1">
        <v>1639900</v>
      </c>
      <c r="BN54" s="1">
        <v>2202300</v>
      </c>
      <c r="BO54" s="1">
        <v>2063200</v>
      </c>
      <c r="BP54" s="1">
        <v>3320600</v>
      </c>
    </row>
    <row r="55" spans="1:68" ht="15.9" customHeight="1">
      <c r="A55" s="396" t="s">
        <v>105</v>
      </c>
      <c r="B55" s="49" t="s">
        <v>106</v>
      </c>
      <c r="C55" s="53" t="str">
        <f>_xll.RssMarket("5901","出来高")</f>
        <v/>
      </c>
      <c r="D55" s="205" t="e">
        <f t="shared" si="0"/>
        <v>#VALUE!</v>
      </c>
      <c r="E55" s="203">
        <v>278600</v>
      </c>
      <c r="F55" s="22">
        <v>150900</v>
      </c>
      <c r="G55" s="22">
        <v>176600</v>
      </c>
      <c r="H55" s="22">
        <v>198400</v>
      </c>
      <c r="I55" s="22">
        <v>193900</v>
      </c>
      <c r="J55" s="22">
        <v>201200</v>
      </c>
      <c r="K55" s="22">
        <v>165200</v>
      </c>
      <c r="L55" s="22">
        <v>224900</v>
      </c>
      <c r="M55" s="22">
        <v>164500</v>
      </c>
      <c r="N55" s="22">
        <v>145400</v>
      </c>
      <c r="O55" s="22">
        <v>186500</v>
      </c>
      <c r="P55" s="22">
        <v>237000</v>
      </c>
      <c r="Q55" s="22">
        <v>355700</v>
      </c>
      <c r="R55" s="22">
        <v>311700</v>
      </c>
      <c r="S55" s="22">
        <v>238200</v>
      </c>
      <c r="T55" s="22">
        <v>292400</v>
      </c>
      <c r="U55" s="22">
        <v>240600</v>
      </c>
      <c r="V55" s="22">
        <v>199100</v>
      </c>
      <c r="W55" s="22">
        <v>172600</v>
      </c>
      <c r="X55" s="22">
        <v>542700</v>
      </c>
      <c r="Y55" s="22">
        <v>243400</v>
      </c>
      <c r="Z55" s="22">
        <v>249600</v>
      </c>
      <c r="AA55" s="22">
        <v>217000</v>
      </c>
      <c r="AB55" s="22">
        <v>346600</v>
      </c>
      <c r="AC55" s="22">
        <v>199500</v>
      </c>
      <c r="AD55" s="22">
        <v>318300</v>
      </c>
      <c r="AE55" s="22">
        <v>408800</v>
      </c>
      <c r="AF55" s="22">
        <v>254300</v>
      </c>
      <c r="AG55" s="22">
        <v>275200</v>
      </c>
      <c r="AH55" s="22">
        <v>313100</v>
      </c>
      <c r="AI55" s="22">
        <v>292700</v>
      </c>
      <c r="AJ55" s="22">
        <v>550000</v>
      </c>
      <c r="AK55" s="22">
        <v>370400</v>
      </c>
      <c r="AL55" s="22">
        <v>432800</v>
      </c>
      <c r="AM55" s="22">
        <v>452300</v>
      </c>
      <c r="AN55" s="22">
        <v>742200</v>
      </c>
      <c r="AO55" s="22">
        <v>1135700</v>
      </c>
      <c r="AP55" s="22">
        <v>829800</v>
      </c>
      <c r="AQ55" s="22">
        <v>827200</v>
      </c>
      <c r="AR55" s="22">
        <v>1047500</v>
      </c>
      <c r="AS55" s="22">
        <v>856400</v>
      </c>
      <c r="AT55" s="22">
        <v>338000</v>
      </c>
      <c r="AU55" s="22">
        <v>467900</v>
      </c>
      <c r="AV55" s="22">
        <v>372700</v>
      </c>
      <c r="AW55" s="22">
        <v>443100</v>
      </c>
      <c r="AX55" s="22">
        <v>443100</v>
      </c>
      <c r="AY55" s="22">
        <v>783700</v>
      </c>
      <c r="AZ55" s="22">
        <v>896500</v>
      </c>
      <c r="BA55" s="22">
        <v>966600</v>
      </c>
      <c r="BB55" s="22">
        <v>642900</v>
      </c>
      <c r="BC55" s="22">
        <v>391800</v>
      </c>
      <c r="BD55" s="22">
        <v>467600</v>
      </c>
      <c r="BE55" s="22">
        <v>302900</v>
      </c>
      <c r="BF55" s="22">
        <v>352100</v>
      </c>
      <c r="BG55" s="22">
        <v>360800</v>
      </c>
      <c r="BH55" s="22">
        <v>231200</v>
      </c>
      <c r="BI55" s="22">
        <v>263400</v>
      </c>
      <c r="BJ55" s="22">
        <v>409200</v>
      </c>
      <c r="BK55" s="22">
        <v>290200</v>
      </c>
      <c r="BL55" s="22">
        <v>426000</v>
      </c>
      <c r="BM55" s="1">
        <v>616900</v>
      </c>
      <c r="BN55" s="1">
        <v>388700</v>
      </c>
      <c r="BO55" s="1">
        <v>273400</v>
      </c>
      <c r="BP55" s="1">
        <v>276300</v>
      </c>
    </row>
    <row r="56" spans="1:68" ht="15.9" customHeight="1">
      <c r="A56" s="396" t="s">
        <v>107</v>
      </c>
      <c r="B56" s="49" t="s">
        <v>108</v>
      </c>
      <c r="C56" s="53" t="str">
        <f>_xll.RssMarket("9412","出来高")</f>
        <v/>
      </c>
      <c r="D56" s="205" t="e">
        <f t="shared" si="0"/>
        <v>#VALUE!</v>
      </c>
      <c r="E56" s="203">
        <v>2579000</v>
      </c>
      <c r="F56" s="22">
        <v>1957400</v>
      </c>
      <c r="G56" s="22">
        <v>1861100</v>
      </c>
      <c r="H56" s="22">
        <v>2271100</v>
      </c>
      <c r="I56" s="22">
        <v>1874600</v>
      </c>
      <c r="J56" s="22">
        <v>2203300</v>
      </c>
      <c r="K56" s="22">
        <v>4309700</v>
      </c>
      <c r="L56" s="22">
        <v>4294600</v>
      </c>
      <c r="M56" s="22">
        <v>3819400</v>
      </c>
      <c r="N56" s="22">
        <v>3303900</v>
      </c>
      <c r="O56" s="22">
        <v>2530200</v>
      </c>
      <c r="P56" s="22">
        <v>3911400</v>
      </c>
      <c r="Q56" s="22">
        <v>4725600</v>
      </c>
      <c r="R56" s="22">
        <v>3779900</v>
      </c>
      <c r="S56" s="22">
        <v>7888900</v>
      </c>
      <c r="T56" s="22">
        <v>6630500</v>
      </c>
      <c r="U56" s="22">
        <v>5135400</v>
      </c>
      <c r="V56" s="22">
        <v>5203700</v>
      </c>
      <c r="W56" s="22">
        <v>1808700</v>
      </c>
      <c r="X56" s="22">
        <v>2437000</v>
      </c>
      <c r="Y56" s="22">
        <v>5562100</v>
      </c>
      <c r="Z56" s="22">
        <v>1970700</v>
      </c>
      <c r="AA56" s="22">
        <v>3425800</v>
      </c>
      <c r="AB56" s="22">
        <v>3443500</v>
      </c>
      <c r="AC56" s="22">
        <v>2984600</v>
      </c>
      <c r="AD56" s="22">
        <v>3799500</v>
      </c>
      <c r="AE56" s="22">
        <v>2672000</v>
      </c>
      <c r="AF56" s="22">
        <v>3142500</v>
      </c>
      <c r="AG56" s="22">
        <v>5760800</v>
      </c>
      <c r="AH56" s="22">
        <v>3329800</v>
      </c>
      <c r="AI56" s="22">
        <v>6144300</v>
      </c>
      <c r="AJ56" s="22">
        <v>4559100</v>
      </c>
      <c r="AK56" s="22">
        <v>3136300</v>
      </c>
      <c r="AL56" s="22">
        <v>4040700</v>
      </c>
      <c r="AM56" s="22">
        <v>2687000</v>
      </c>
      <c r="AN56" s="22">
        <v>2135900</v>
      </c>
      <c r="AO56" s="22">
        <v>2721500</v>
      </c>
      <c r="AP56" s="22">
        <v>3876400</v>
      </c>
      <c r="AQ56" s="22">
        <v>2249400</v>
      </c>
      <c r="AR56" s="22">
        <v>2381800</v>
      </c>
      <c r="AS56" s="22">
        <v>2897500</v>
      </c>
      <c r="AT56" s="22">
        <v>4393500</v>
      </c>
      <c r="AU56" s="22">
        <v>3162100</v>
      </c>
      <c r="AV56" s="22">
        <v>3347000</v>
      </c>
      <c r="AW56" s="22">
        <v>2527900</v>
      </c>
      <c r="AX56" s="22">
        <v>2527900</v>
      </c>
      <c r="AY56" s="22">
        <v>2740100</v>
      </c>
      <c r="AZ56" s="22">
        <v>4437300</v>
      </c>
      <c r="BA56" s="22">
        <v>3303900</v>
      </c>
      <c r="BB56" s="22">
        <v>2790600</v>
      </c>
      <c r="BC56" s="22">
        <v>3326300</v>
      </c>
      <c r="BD56" s="22">
        <v>1820200</v>
      </c>
      <c r="BE56" s="22">
        <v>1442800</v>
      </c>
      <c r="BF56" s="22">
        <v>1650400</v>
      </c>
      <c r="BG56" s="22">
        <v>2017800</v>
      </c>
      <c r="BH56" s="22">
        <v>1360000</v>
      </c>
      <c r="BI56" s="22">
        <v>1204900</v>
      </c>
      <c r="BJ56" s="22">
        <v>1570000</v>
      </c>
      <c r="BK56" s="22">
        <v>1300700</v>
      </c>
      <c r="BL56" s="22">
        <v>948200</v>
      </c>
      <c r="BM56" s="1">
        <v>1066300</v>
      </c>
      <c r="BN56" s="1">
        <v>1304500</v>
      </c>
      <c r="BO56" s="1">
        <v>1456500</v>
      </c>
      <c r="BP56" s="1">
        <v>861500</v>
      </c>
    </row>
    <row r="57" spans="1:68" ht="15.9" customHeight="1">
      <c r="A57" s="396" t="s">
        <v>109</v>
      </c>
      <c r="B57" s="49" t="s">
        <v>110</v>
      </c>
      <c r="C57" s="53" t="str">
        <f>_xll.RssMarket("6203","出来高")</f>
        <v/>
      </c>
      <c r="D57" s="205" t="e">
        <f t="shared" si="0"/>
        <v>#VALUE!</v>
      </c>
      <c r="E57" s="203">
        <v>537000</v>
      </c>
      <c r="F57" s="22">
        <v>494100</v>
      </c>
      <c r="G57" s="22">
        <v>233300</v>
      </c>
      <c r="H57" s="22">
        <v>378100</v>
      </c>
      <c r="I57" s="22">
        <v>468300</v>
      </c>
      <c r="J57" s="22">
        <v>270100</v>
      </c>
      <c r="K57" s="22">
        <v>392100</v>
      </c>
      <c r="L57" s="22">
        <v>1172700</v>
      </c>
      <c r="M57" s="22">
        <v>668600</v>
      </c>
      <c r="N57" s="22">
        <v>217100</v>
      </c>
      <c r="O57" s="22">
        <v>236500</v>
      </c>
      <c r="P57" s="22">
        <v>159500</v>
      </c>
      <c r="Q57" s="22">
        <v>248500</v>
      </c>
      <c r="R57" s="22">
        <v>363200</v>
      </c>
      <c r="S57" s="22">
        <v>766700</v>
      </c>
      <c r="T57" s="22">
        <v>202000</v>
      </c>
      <c r="U57" s="22">
        <v>189400</v>
      </c>
      <c r="V57" s="22">
        <v>326200</v>
      </c>
      <c r="W57" s="22">
        <v>296800</v>
      </c>
      <c r="X57" s="22">
        <v>355100</v>
      </c>
      <c r="Y57" s="22">
        <v>546500</v>
      </c>
      <c r="Z57" s="22">
        <v>533500</v>
      </c>
      <c r="AA57" s="22">
        <v>456800</v>
      </c>
      <c r="AB57" s="22">
        <v>571900</v>
      </c>
      <c r="AC57" s="22">
        <v>663000</v>
      </c>
      <c r="AD57" s="22">
        <v>952400</v>
      </c>
      <c r="AE57" s="22">
        <v>1275000</v>
      </c>
      <c r="AF57" s="22">
        <v>1126800</v>
      </c>
      <c r="AG57" s="22">
        <v>1811400</v>
      </c>
      <c r="AH57" s="22">
        <v>2705900</v>
      </c>
      <c r="AI57" s="22">
        <v>6712800</v>
      </c>
      <c r="AJ57" s="22">
        <v>6707600</v>
      </c>
      <c r="AK57" s="22">
        <v>1544900</v>
      </c>
      <c r="AL57" s="22">
        <v>196500</v>
      </c>
      <c r="AM57" s="22">
        <v>110800</v>
      </c>
      <c r="AN57" s="22">
        <v>140800</v>
      </c>
      <c r="AO57" s="22">
        <v>198400</v>
      </c>
      <c r="AP57" s="22">
        <v>255300</v>
      </c>
      <c r="AQ57" s="22">
        <v>238900</v>
      </c>
      <c r="AR57" s="22">
        <v>691500</v>
      </c>
      <c r="AS57" s="22">
        <v>594500</v>
      </c>
      <c r="AT57" s="22">
        <v>342700</v>
      </c>
      <c r="AU57" s="22">
        <v>186900</v>
      </c>
      <c r="AV57" s="22">
        <v>235400</v>
      </c>
      <c r="AW57" s="22">
        <v>223400</v>
      </c>
      <c r="AX57" s="22">
        <v>223400</v>
      </c>
      <c r="AY57" s="22">
        <v>240400</v>
      </c>
      <c r="AZ57" s="22">
        <v>212300</v>
      </c>
      <c r="BA57" s="22">
        <v>104400</v>
      </c>
      <c r="BB57" s="22">
        <v>220400</v>
      </c>
      <c r="BC57" s="22">
        <v>265200</v>
      </c>
      <c r="BD57" s="22">
        <v>243100</v>
      </c>
      <c r="BE57" s="22">
        <v>296000</v>
      </c>
      <c r="BF57" s="22">
        <v>811900</v>
      </c>
      <c r="BG57" s="22">
        <v>891200</v>
      </c>
      <c r="BH57" s="22">
        <v>545900</v>
      </c>
      <c r="BI57" s="22">
        <v>126300</v>
      </c>
      <c r="BJ57" s="22">
        <v>188400</v>
      </c>
      <c r="BK57" s="22">
        <v>398400</v>
      </c>
      <c r="BL57" s="22">
        <v>334300</v>
      </c>
      <c r="BM57" s="1">
        <v>129900</v>
      </c>
      <c r="BN57" s="1">
        <v>155400</v>
      </c>
      <c r="BO57" s="1">
        <v>268500</v>
      </c>
      <c r="BP57" s="1">
        <v>368900</v>
      </c>
    </row>
    <row r="58" spans="1:68" ht="15.9" customHeight="1">
      <c r="A58" s="396" t="s">
        <v>111</v>
      </c>
      <c r="B58" s="49" t="s">
        <v>112</v>
      </c>
      <c r="C58" s="53" t="str">
        <f>_xll.RssMarket("4676","出来高")</f>
        <v/>
      </c>
      <c r="D58" s="205" t="e">
        <f t="shared" si="0"/>
        <v>#VALUE!</v>
      </c>
      <c r="E58" s="203">
        <v>721100</v>
      </c>
      <c r="F58" s="22">
        <v>508800</v>
      </c>
      <c r="G58" s="22">
        <v>699900</v>
      </c>
      <c r="H58" s="22">
        <v>441100</v>
      </c>
      <c r="I58" s="22">
        <v>503100</v>
      </c>
      <c r="J58" s="22">
        <v>512400</v>
      </c>
      <c r="K58" s="22">
        <v>509400</v>
      </c>
      <c r="L58" s="22">
        <v>513700</v>
      </c>
      <c r="M58" s="22">
        <v>591500</v>
      </c>
      <c r="N58" s="22">
        <v>362300</v>
      </c>
      <c r="O58" s="22">
        <v>579400</v>
      </c>
      <c r="P58" s="22">
        <v>898600</v>
      </c>
      <c r="Q58" s="22">
        <v>634100</v>
      </c>
      <c r="R58" s="22">
        <v>637700</v>
      </c>
      <c r="S58" s="22">
        <v>805300</v>
      </c>
      <c r="T58" s="22">
        <v>1815100</v>
      </c>
      <c r="U58" s="22">
        <v>485000</v>
      </c>
      <c r="V58" s="22">
        <v>674600</v>
      </c>
      <c r="W58" s="22">
        <v>660000</v>
      </c>
      <c r="X58" s="22">
        <v>1388300</v>
      </c>
      <c r="Y58" s="22">
        <v>405000</v>
      </c>
      <c r="Z58" s="22">
        <v>435200</v>
      </c>
      <c r="AA58" s="22">
        <v>371900</v>
      </c>
      <c r="AB58" s="22">
        <v>571200</v>
      </c>
      <c r="AC58" s="22">
        <v>597900</v>
      </c>
      <c r="AD58" s="22">
        <v>543200</v>
      </c>
      <c r="AE58" s="22">
        <v>835200</v>
      </c>
      <c r="AF58" s="22">
        <v>2456800</v>
      </c>
      <c r="AG58" s="22">
        <v>512200</v>
      </c>
      <c r="AH58" s="22">
        <v>496400</v>
      </c>
      <c r="AI58" s="22">
        <v>708200</v>
      </c>
      <c r="AJ58" s="22">
        <v>631700</v>
      </c>
      <c r="AK58" s="22">
        <v>258100</v>
      </c>
      <c r="AL58" s="22">
        <v>467300</v>
      </c>
      <c r="AM58" s="22">
        <v>602900</v>
      </c>
      <c r="AN58" s="22">
        <v>297600</v>
      </c>
      <c r="AO58" s="22">
        <v>302800</v>
      </c>
      <c r="AP58" s="22">
        <v>420700</v>
      </c>
      <c r="AQ58" s="22">
        <v>424900</v>
      </c>
      <c r="AR58" s="22">
        <v>818700</v>
      </c>
      <c r="AS58" s="22">
        <v>466900</v>
      </c>
      <c r="AT58" s="22">
        <v>505700</v>
      </c>
      <c r="AU58" s="22">
        <v>1028200</v>
      </c>
      <c r="AV58" s="22">
        <v>279900</v>
      </c>
      <c r="AW58" s="22">
        <v>810100</v>
      </c>
      <c r="AX58" s="22">
        <v>810100</v>
      </c>
      <c r="AY58" s="22">
        <v>489400</v>
      </c>
      <c r="AZ58" s="22">
        <v>540900</v>
      </c>
      <c r="BA58" s="22">
        <v>464000</v>
      </c>
      <c r="BB58" s="22">
        <v>698100</v>
      </c>
      <c r="BC58" s="22">
        <v>790300</v>
      </c>
      <c r="BD58" s="22">
        <v>366700</v>
      </c>
      <c r="BE58" s="22">
        <v>497500</v>
      </c>
      <c r="BF58" s="22">
        <v>479000</v>
      </c>
      <c r="BG58" s="22">
        <v>616800</v>
      </c>
      <c r="BH58" s="22">
        <v>479900</v>
      </c>
      <c r="BI58" s="22">
        <v>1756100</v>
      </c>
      <c r="BJ58" s="22">
        <v>1675300</v>
      </c>
      <c r="BK58" s="22">
        <v>2938600</v>
      </c>
      <c r="BL58" s="22">
        <v>1374500</v>
      </c>
      <c r="BM58" s="1">
        <v>530400</v>
      </c>
      <c r="BN58" s="1">
        <v>805500</v>
      </c>
      <c r="BO58" s="1">
        <v>484200</v>
      </c>
      <c r="BP58" s="1">
        <v>1160100</v>
      </c>
    </row>
    <row r="59" spans="1:68" ht="15.9" customHeight="1">
      <c r="A59" s="396" t="s">
        <v>113</v>
      </c>
      <c r="B59" s="49" t="s">
        <v>114</v>
      </c>
      <c r="C59" s="53" t="str">
        <f>_xll.RssMarket("1961","出来高")</f>
        <v/>
      </c>
      <c r="D59" s="205" t="e">
        <f t="shared" si="0"/>
        <v>#VALUE!</v>
      </c>
      <c r="E59" s="203">
        <v>685100</v>
      </c>
      <c r="F59" s="22">
        <v>531700</v>
      </c>
      <c r="G59" s="22">
        <v>1009300</v>
      </c>
      <c r="H59" s="22">
        <v>704400</v>
      </c>
      <c r="I59" s="22">
        <v>810000</v>
      </c>
      <c r="J59" s="22">
        <v>788400</v>
      </c>
      <c r="K59" s="22">
        <v>584900</v>
      </c>
      <c r="L59" s="22">
        <v>614100</v>
      </c>
      <c r="M59" s="22">
        <v>659700</v>
      </c>
      <c r="N59" s="22">
        <v>669800</v>
      </c>
      <c r="O59" s="22">
        <v>486200</v>
      </c>
      <c r="P59" s="22">
        <v>589800</v>
      </c>
      <c r="Q59" s="22">
        <v>656600</v>
      </c>
      <c r="R59" s="22">
        <v>480500</v>
      </c>
      <c r="S59" s="22">
        <v>533900</v>
      </c>
      <c r="T59" s="22">
        <v>554400</v>
      </c>
      <c r="U59" s="22">
        <v>362000</v>
      </c>
      <c r="V59" s="22">
        <v>1014200</v>
      </c>
      <c r="W59" s="22">
        <v>472000</v>
      </c>
      <c r="X59" s="22">
        <v>1117300</v>
      </c>
      <c r="Y59" s="22">
        <v>971300</v>
      </c>
      <c r="Z59" s="22">
        <v>376500</v>
      </c>
      <c r="AA59" s="22">
        <v>448800</v>
      </c>
      <c r="AB59" s="22">
        <v>635000</v>
      </c>
      <c r="AC59" s="22">
        <v>721300</v>
      </c>
      <c r="AD59" s="22">
        <v>890400</v>
      </c>
      <c r="AE59" s="22">
        <v>684000</v>
      </c>
      <c r="AF59" s="22">
        <v>677600</v>
      </c>
      <c r="AG59" s="22">
        <v>715100</v>
      </c>
      <c r="AH59" s="22">
        <v>339000</v>
      </c>
      <c r="AI59" s="22">
        <v>536600</v>
      </c>
      <c r="AJ59" s="22">
        <v>878500</v>
      </c>
      <c r="AK59" s="22">
        <v>484800</v>
      </c>
      <c r="AL59" s="22">
        <v>497500</v>
      </c>
      <c r="AM59" s="22">
        <v>705900</v>
      </c>
      <c r="AN59" s="22">
        <v>518400</v>
      </c>
      <c r="AO59" s="22">
        <v>797200</v>
      </c>
      <c r="AP59" s="22">
        <v>915600</v>
      </c>
      <c r="AQ59" s="22">
        <v>594300</v>
      </c>
      <c r="AR59" s="22">
        <v>648200</v>
      </c>
      <c r="AS59" s="22">
        <v>708900</v>
      </c>
      <c r="AT59" s="22">
        <v>822200</v>
      </c>
      <c r="AU59" s="22">
        <v>393500</v>
      </c>
      <c r="AV59" s="22">
        <v>595100</v>
      </c>
      <c r="AW59" s="22">
        <v>575000</v>
      </c>
      <c r="AX59" s="22">
        <v>575000</v>
      </c>
      <c r="AY59" s="22">
        <v>821200</v>
      </c>
      <c r="AZ59" s="22">
        <v>1140200</v>
      </c>
      <c r="BA59" s="22">
        <v>574900</v>
      </c>
      <c r="BB59" s="22">
        <v>963700</v>
      </c>
      <c r="BC59" s="22">
        <v>710300</v>
      </c>
      <c r="BD59" s="22">
        <v>552606</v>
      </c>
      <c r="BE59" s="22">
        <v>548105</v>
      </c>
      <c r="BF59" s="22">
        <v>584706</v>
      </c>
      <c r="BG59" s="22">
        <v>416104</v>
      </c>
      <c r="BH59" s="22">
        <v>452705</v>
      </c>
      <c r="BI59" s="22">
        <v>503705</v>
      </c>
      <c r="BJ59" s="22">
        <v>985810</v>
      </c>
      <c r="BK59" s="22">
        <v>1933219</v>
      </c>
      <c r="BL59" s="22">
        <v>1522815</v>
      </c>
      <c r="BM59" s="1">
        <v>999610</v>
      </c>
      <c r="BN59" s="1">
        <v>954310</v>
      </c>
      <c r="BO59" s="1">
        <v>1341013</v>
      </c>
      <c r="BP59" s="1">
        <v>1171812</v>
      </c>
    </row>
    <row r="60" spans="1:68" ht="15.9" customHeight="1">
      <c r="A60" s="396" t="s">
        <v>115</v>
      </c>
      <c r="B60" s="49" t="s">
        <v>116</v>
      </c>
      <c r="C60" s="53" t="str">
        <f>_xll.RssMarket("3107","出来高")</f>
        <v/>
      </c>
      <c r="D60" s="205" t="e">
        <f t="shared" si="0"/>
        <v>#VALUE!</v>
      </c>
      <c r="E60" s="203">
        <v>267400</v>
      </c>
      <c r="F60" s="22">
        <v>241300</v>
      </c>
      <c r="G60" s="22">
        <v>356200</v>
      </c>
      <c r="H60" s="22">
        <v>310500</v>
      </c>
      <c r="I60" s="22">
        <v>419100</v>
      </c>
      <c r="J60" s="22">
        <v>288400</v>
      </c>
      <c r="K60" s="22">
        <v>303600</v>
      </c>
      <c r="L60" s="22">
        <v>242600</v>
      </c>
      <c r="M60" s="22">
        <v>267500</v>
      </c>
      <c r="N60" s="22">
        <v>356800</v>
      </c>
      <c r="O60" s="22">
        <v>391000</v>
      </c>
      <c r="P60" s="22">
        <v>264500</v>
      </c>
      <c r="Q60" s="22">
        <v>326200</v>
      </c>
      <c r="R60" s="22">
        <v>418300</v>
      </c>
      <c r="S60" s="22">
        <v>282000</v>
      </c>
      <c r="T60" s="22">
        <v>264500</v>
      </c>
      <c r="U60" s="22">
        <v>212700</v>
      </c>
      <c r="V60" s="22">
        <v>264600</v>
      </c>
      <c r="W60" s="22">
        <v>221300</v>
      </c>
      <c r="X60" s="22">
        <v>398500</v>
      </c>
      <c r="Y60" s="22">
        <v>282400</v>
      </c>
      <c r="Z60" s="22">
        <v>294100</v>
      </c>
      <c r="AA60" s="22">
        <v>227600</v>
      </c>
      <c r="AB60" s="22">
        <v>308000</v>
      </c>
      <c r="AC60" s="22">
        <v>300000</v>
      </c>
      <c r="AD60" s="22">
        <v>502900</v>
      </c>
      <c r="AE60" s="22">
        <v>291200</v>
      </c>
      <c r="AF60" s="22">
        <v>196200</v>
      </c>
      <c r="AG60" s="22">
        <v>252600</v>
      </c>
      <c r="AH60" s="22">
        <v>321800</v>
      </c>
      <c r="AI60" s="22">
        <v>461400</v>
      </c>
      <c r="AJ60" s="22">
        <v>394300</v>
      </c>
      <c r="AK60" s="22">
        <v>268600</v>
      </c>
      <c r="AL60" s="22">
        <v>261400</v>
      </c>
      <c r="AM60" s="22">
        <v>383500</v>
      </c>
      <c r="AN60" s="22">
        <v>181600</v>
      </c>
      <c r="AO60" s="22">
        <v>177200</v>
      </c>
      <c r="AP60" s="22">
        <v>324900</v>
      </c>
      <c r="AQ60" s="22">
        <v>284300</v>
      </c>
      <c r="AR60" s="22">
        <v>338600</v>
      </c>
      <c r="AS60" s="22">
        <v>443600</v>
      </c>
      <c r="AT60" s="22">
        <v>499700</v>
      </c>
      <c r="AU60" s="22">
        <v>246100</v>
      </c>
      <c r="AV60" s="22">
        <v>239600</v>
      </c>
      <c r="AW60" s="22">
        <v>306800</v>
      </c>
      <c r="AX60" s="22">
        <v>306800</v>
      </c>
      <c r="AY60" s="22">
        <v>475700</v>
      </c>
      <c r="AZ60" s="22">
        <v>429100</v>
      </c>
      <c r="BA60" s="22">
        <v>230800</v>
      </c>
      <c r="BB60" s="22">
        <v>226600</v>
      </c>
      <c r="BC60" s="22">
        <v>314600</v>
      </c>
      <c r="BD60" s="22">
        <v>236100</v>
      </c>
      <c r="BE60" s="22">
        <v>210900</v>
      </c>
      <c r="BF60" s="22">
        <v>330400</v>
      </c>
      <c r="BG60" s="22">
        <v>238100</v>
      </c>
      <c r="BH60" s="22">
        <v>297900</v>
      </c>
      <c r="BI60" s="22">
        <v>300900</v>
      </c>
      <c r="BJ60" s="22">
        <v>267300</v>
      </c>
      <c r="BK60" s="22">
        <v>301600</v>
      </c>
      <c r="BL60" s="22">
        <v>205700</v>
      </c>
      <c r="BM60" s="1">
        <v>308400</v>
      </c>
      <c r="BN60" s="1">
        <v>211500</v>
      </c>
      <c r="BO60" s="1">
        <v>269400</v>
      </c>
      <c r="BP60" s="1">
        <v>231700</v>
      </c>
    </row>
    <row r="61" spans="1:68" ht="15.9" customHeight="1">
      <c r="A61" s="396" t="s">
        <v>117</v>
      </c>
      <c r="B61" s="49" t="s">
        <v>118</v>
      </c>
      <c r="C61" s="53" t="str">
        <f>_xll.RssMarket("4045","出来高")</f>
        <v/>
      </c>
      <c r="D61" s="205" t="e">
        <f t="shared" si="0"/>
        <v>#VALUE!</v>
      </c>
      <c r="E61" s="203">
        <v>234500</v>
      </c>
      <c r="F61" s="22">
        <v>162300</v>
      </c>
      <c r="G61" s="22">
        <v>215300</v>
      </c>
      <c r="H61" s="22">
        <v>221200</v>
      </c>
      <c r="I61" s="22">
        <v>254500</v>
      </c>
      <c r="J61" s="22">
        <v>207200</v>
      </c>
      <c r="K61" s="22">
        <v>216300</v>
      </c>
      <c r="L61" s="22">
        <v>331400</v>
      </c>
      <c r="M61" s="22">
        <v>241300</v>
      </c>
      <c r="N61" s="22">
        <v>499000</v>
      </c>
      <c r="O61" s="22">
        <v>266700</v>
      </c>
      <c r="P61" s="22">
        <v>230100</v>
      </c>
      <c r="Q61" s="22">
        <v>219900</v>
      </c>
      <c r="R61" s="22">
        <v>329900</v>
      </c>
      <c r="S61" s="22">
        <v>370100</v>
      </c>
      <c r="T61" s="22">
        <v>333400</v>
      </c>
      <c r="U61" s="22">
        <v>259600</v>
      </c>
      <c r="V61" s="22">
        <v>289000</v>
      </c>
      <c r="W61" s="22">
        <v>181600</v>
      </c>
      <c r="X61" s="22">
        <v>255600</v>
      </c>
      <c r="Y61" s="22">
        <v>295800</v>
      </c>
      <c r="Z61" s="22">
        <v>170600</v>
      </c>
      <c r="AA61" s="22">
        <v>185200</v>
      </c>
      <c r="AB61" s="22">
        <v>260000</v>
      </c>
      <c r="AC61" s="22">
        <v>237100</v>
      </c>
      <c r="AD61" s="22">
        <v>335700</v>
      </c>
      <c r="AE61" s="22">
        <v>381000</v>
      </c>
      <c r="AF61" s="22">
        <v>289100</v>
      </c>
      <c r="AG61" s="22">
        <v>248800</v>
      </c>
      <c r="AH61" s="22">
        <v>267600</v>
      </c>
      <c r="AI61" s="22">
        <v>386300</v>
      </c>
      <c r="AJ61" s="22">
        <v>353800</v>
      </c>
      <c r="AK61" s="22">
        <v>216900</v>
      </c>
      <c r="AL61" s="22">
        <v>247500</v>
      </c>
      <c r="AM61" s="22">
        <v>185900</v>
      </c>
      <c r="AN61" s="22">
        <v>138200</v>
      </c>
      <c r="AO61" s="22">
        <v>227300</v>
      </c>
      <c r="AP61" s="22">
        <v>452400</v>
      </c>
      <c r="AQ61" s="22">
        <v>366200</v>
      </c>
      <c r="AR61" s="22">
        <v>244600</v>
      </c>
      <c r="AS61" s="22">
        <v>266600</v>
      </c>
      <c r="AT61" s="22">
        <v>208300</v>
      </c>
      <c r="AU61" s="22">
        <v>170900</v>
      </c>
      <c r="AV61" s="22">
        <v>254100</v>
      </c>
      <c r="AW61" s="22">
        <v>239000</v>
      </c>
      <c r="AX61" s="22">
        <v>239000</v>
      </c>
      <c r="AY61" s="22">
        <v>283700</v>
      </c>
      <c r="AZ61" s="22">
        <v>437300</v>
      </c>
      <c r="BA61" s="22">
        <v>356200</v>
      </c>
      <c r="BB61" s="22">
        <v>608200</v>
      </c>
      <c r="BC61" s="22">
        <v>517400</v>
      </c>
      <c r="BD61" s="22">
        <v>355600</v>
      </c>
      <c r="BE61" s="22">
        <v>319200</v>
      </c>
      <c r="BF61" s="22">
        <v>445700</v>
      </c>
      <c r="BG61" s="22">
        <v>229900</v>
      </c>
      <c r="BH61" s="22">
        <v>189100</v>
      </c>
      <c r="BI61" s="22">
        <v>225900</v>
      </c>
      <c r="BJ61" s="22">
        <v>259800</v>
      </c>
      <c r="BK61" s="22">
        <v>258700</v>
      </c>
      <c r="BL61" s="22">
        <v>211400</v>
      </c>
      <c r="BM61" s="1">
        <v>209600</v>
      </c>
      <c r="BN61" s="1">
        <v>419200</v>
      </c>
      <c r="BO61" s="1">
        <v>469900</v>
      </c>
      <c r="BP61" s="1">
        <v>460500</v>
      </c>
    </row>
    <row r="62" spans="1:68" ht="15.9" customHeight="1">
      <c r="A62" s="396" t="s">
        <v>119</v>
      </c>
      <c r="B62" s="49" t="s">
        <v>120</v>
      </c>
      <c r="C62" s="53" t="str">
        <f>_xll.RssMarket("5857","出来高")</f>
        <v/>
      </c>
      <c r="D62" s="205" t="e">
        <f t="shared" si="0"/>
        <v>#VALUE!</v>
      </c>
      <c r="E62" s="203">
        <v>955100</v>
      </c>
      <c r="F62" s="22">
        <v>710200</v>
      </c>
      <c r="G62" s="22">
        <v>711900</v>
      </c>
      <c r="H62" s="22">
        <v>742200</v>
      </c>
      <c r="I62" s="22">
        <v>723700</v>
      </c>
      <c r="J62" s="22">
        <v>555800</v>
      </c>
      <c r="K62" s="22">
        <v>675200</v>
      </c>
      <c r="L62" s="22">
        <v>569700</v>
      </c>
      <c r="M62" s="22">
        <v>490700</v>
      </c>
      <c r="N62" s="22">
        <v>612300</v>
      </c>
      <c r="O62" s="22">
        <v>670200</v>
      </c>
      <c r="P62" s="22">
        <v>656200</v>
      </c>
      <c r="Q62" s="22">
        <v>638400</v>
      </c>
      <c r="R62" s="22">
        <v>621000</v>
      </c>
      <c r="S62" s="22">
        <v>1000700</v>
      </c>
      <c r="T62" s="22">
        <v>1369600</v>
      </c>
      <c r="U62" s="22">
        <v>827200</v>
      </c>
      <c r="V62" s="22">
        <v>436200</v>
      </c>
      <c r="W62" s="22">
        <v>290700</v>
      </c>
      <c r="X62" s="22">
        <v>809400</v>
      </c>
      <c r="Y62" s="22">
        <v>582400</v>
      </c>
      <c r="Z62" s="22">
        <v>574600</v>
      </c>
      <c r="AA62" s="22">
        <v>405000</v>
      </c>
      <c r="AB62" s="22">
        <v>816600</v>
      </c>
      <c r="AC62" s="22">
        <v>691300</v>
      </c>
      <c r="AD62" s="22">
        <v>624200</v>
      </c>
      <c r="AE62" s="22">
        <v>818900</v>
      </c>
      <c r="AF62" s="22">
        <v>498700</v>
      </c>
      <c r="AG62" s="22">
        <v>509400</v>
      </c>
      <c r="AH62" s="22">
        <v>503100</v>
      </c>
      <c r="AI62" s="22">
        <v>813800</v>
      </c>
      <c r="AJ62" s="22">
        <v>957800</v>
      </c>
      <c r="AK62" s="22">
        <v>832300</v>
      </c>
      <c r="AL62" s="22">
        <v>804600</v>
      </c>
      <c r="AM62" s="22">
        <v>668800</v>
      </c>
      <c r="AN62" s="22">
        <v>614200</v>
      </c>
      <c r="AO62" s="22">
        <v>732300</v>
      </c>
      <c r="AP62" s="22">
        <v>751000</v>
      </c>
      <c r="AQ62" s="22">
        <v>477400</v>
      </c>
      <c r="AR62" s="22">
        <v>727500</v>
      </c>
      <c r="AS62" s="22">
        <v>765000</v>
      </c>
      <c r="AT62" s="22">
        <v>659100</v>
      </c>
      <c r="AU62" s="22">
        <v>749500</v>
      </c>
      <c r="AV62" s="22">
        <v>692900</v>
      </c>
      <c r="AW62" s="22">
        <v>1011500</v>
      </c>
      <c r="AX62" s="22">
        <v>1011500</v>
      </c>
      <c r="AY62" s="22">
        <v>1248700</v>
      </c>
      <c r="AZ62" s="22">
        <v>2068300</v>
      </c>
      <c r="BA62" s="22">
        <v>626400</v>
      </c>
      <c r="BB62" s="22">
        <v>599500</v>
      </c>
      <c r="BC62" s="22">
        <v>851400</v>
      </c>
      <c r="BD62" s="22">
        <v>381200</v>
      </c>
      <c r="BE62" s="22">
        <v>405800</v>
      </c>
      <c r="BF62" s="22">
        <v>727500</v>
      </c>
      <c r="BG62" s="22">
        <v>709700</v>
      </c>
      <c r="BH62" s="22">
        <v>1034000</v>
      </c>
      <c r="BI62" s="22">
        <v>319500</v>
      </c>
      <c r="BJ62" s="22">
        <v>353500</v>
      </c>
      <c r="BK62" s="22">
        <v>459100</v>
      </c>
      <c r="BL62" s="22">
        <v>460500</v>
      </c>
      <c r="BM62" s="1">
        <v>311700</v>
      </c>
      <c r="BN62" s="1">
        <v>335200</v>
      </c>
      <c r="BO62" s="1">
        <v>411800</v>
      </c>
      <c r="BP62" s="1">
        <v>625000</v>
      </c>
    </row>
    <row r="63" spans="1:68" ht="15.9" customHeight="1">
      <c r="A63" s="396" t="s">
        <v>121</v>
      </c>
      <c r="B63" s="49" t="s">
        <v>122</v>
      </c>
      <c r="C63" s="53" t="str">
        <f>_xll.RssMarket("8281","出来高")</f>
        <v/>
      </c>
      <c r="D63" s="205" t="e">
        <f t="shared" si="0"/>
        <v>#VALUE!</v>
      </c>
      <c r="E63" s="203">
        <v>131500</v>
      </c>
      <c r="F63" s="22">
        <v>41900</v>
      </c>
      <c r="G63" s="22">
        <v>77000</v>
      </c>
      <c r="H63" s="22">
        <v>70000</v>
      </c>
      <c r="I63" s="22">
        <v>71100</v>
      </c>
      <c r="J63" s="22">
        <v>76300</v>
      </c>
      <c r="K63" s="22">
        <v>59400</v>
      </c>
      <c r="L63" s="22">
        <v>133300</v>
      </c>
      <c r="M63" s="22">
        <v>117700</v>
      </c>
      <c r="N63" s="22">
        <v>93800</v>
      </c>
      <c r="O63" s="22">
        <v>79100</v>
      </c>
      <c r="P63" s="22">
        <v>58600</v>
      </c>
      <c r="Q63" s="22">
        <v>70000</v>
      </c>
      <c r="R63" s="22">
        <v>106000</v>
      </c>
      <c r="S63" s="22">
        <v>108500</v>
      </c>
      <c r="T63" s="22">
        <v>63500</v>
      </c>
      <c r="U63" s="22">
        <v>59700</v>
      </c>
      <c r="V63" s="22">
        <v>112100</v>
      </c>
      <c r="W63" s="22">
        <v>74400</v>
      </c>
      <c r="X63" s="22">
        <v>59300</v>
      </c>
      <c r="Y63" s="22">
        <v>61400</v>
      </c>
      <c r="Z63" s="22">
        <v>86700</v>
      </c>
      <c r="AA63" s="22">
        <v>100500</v>
      </c>
      <c r="AB63" s="22">
        <v>93400</v>
      </c>
      <c r="AC63" s="22">
        <v>209900</v>
      </c>
      <c r="AD63" s="22">
        <v>66900</v>
      </c>
      <c r="AE63" s="22">
        <v>133300</v>
      </c>
      <c r="AF63" s="22">
        <v>95500</v>
      </c>
      <c r="AG63" s="22">
        <v>70300</v>
      </c>
      <c r="AH63" s="22">
        <v>94100</v>
      </c>
      <c r="AI63" s="22">
        <v>256800</v>
      </c>
      <c r="AJ63" s="22">
        <v>155600</v>
      </c>
      <c r="AK63" s="22">
        <v>96000</v>
      </c>
      <c r="AL63" s="22">
        <v>76000</v>
      </c>
      <c r="AM63" s="22">
        <v>77600</v>
      </c>
      <c r="AN63" s="22">
        <v>141100</v>
      </c>
      <c r="AO63" s="22">
        <v>84500</v>
      </c>
      <c r="AP63" s="22">
        <v>121000</v>
      </c>
      <c r="AQ63" s="22">
        <v>172200</v>
      </c>
      <c r="AR63" s="22">
        <v>173700</v>
      </c>
      <c r="AS63" s="22">
        <v>243600</v>
      </c>
      <c r="AT63" s="22">
        <v>502700</v>
      </c>
      <c r="AU63" s="22">
        <v>120000</v>
      </c>
      <c r="AV63" s="22">
        <v>219100</v>
      </c>
      <c r="AW63" s="22">
        <v>111700</v>
      </c>
      <c r="AX63" s="22">
        <v>96300</v>
      </c>
      <c r="AY63" s="22">
        <v>96300</v>
      </c>
      <c r="AZ63" s="22">
        <v>119900</v>
      </c>
      <c r="BA63" s="22">
        <v>344100</v>
      </c>
      <c r="BB63" s="22">
        <v>100200</v>
      </c>
      <c r="BC63" s="22">
        <v>109100</v>
      </c>
      <c r="BD63" s="22">
        <v>92400</v>
      </c>
      <c r="BE63" s="22">
        <v>95200</v>
      </c>
      <c r="BF63" s="22">
        <v>86300</v>
      </c>
      <c r="BG63" s="22">
        <v>101400</v>
      </c>
      <c r="BH63" s="22">
        <v>108400</v>
      </c>
      <c r="BI63" s="22">
        <v>78000</v>
      </c>
      <c r="BJ63" s="22">
        <v>142100</v>
      </c>
      <c r="BK63" s="22">
        <v>54100</v>
      </c>
      <c r="BL63" s="22">
        <v>78300</v>
      </c>
      <c r="BM63" s="1">
        <v>75700</v>
      </c>
      <c r="BN63" s="1">
        <v>96600</v>
      </c>
      <c r="BO63" s="1">
        <v>124500</v>
      </c>
      <c r="BP63" s="1">
        <v>154200</v>
      </c>
    </row>
    <row r="64" spans="1:68" ht="15.9" customHeight="1">
      <c r="A64" s="396" t="s">
        <v>123</v>
      </c>
      <c r="B64" s="49" t="s">
        <v>124</v>
      </c>
      <c r="C64" s="53" t="str">
        <f>_xll.RssMarket("4540","出来高")</f>
        <v/>
      </c>
      <c r="D64" s="205" t="e">
        <f t="shared" si="0"/>
        <v>#VALUE!</v>
      </c>
      <c r="E64" s="203">
        <v>342800</v>
      </c>
      <c r="F64" s="22">
        <v>330000</v>
      </c>
      <c r="G64" s="22">
        <v>430500</v>
      </c>
      <c r="H64" s="22">
        <v>243500</v>
      </c>
      <c r="I64" s="22">
        <v>336400</v>
      </c>
      <c r="J64" s="22">
        <v>281100</v>
      </c>
      <c r="K64" s="22">
        <v>183900</v>
      </c>
      <c r="L64" s="22">
        <v>396100</v>
      </c>
      <c r="M64" s="22">
        <v>185700</v>
      </c>
      <c r="N64" s="22">
        <v>237000</v>
      </c>
      <c r="O64" s="22">
        <v>254000</v>
      </c>
      <c r="P64" s="22">
        <v>328800</v>
      </c>
      <c r="Q64" s="22">
        <v>471500</v>
      </c>
      <c r="R64" s="22">
        <v>387800</v>
      </c>
      <c r="S64" s="22">
        <v>232200</v>
      </c>
      <c r="T64" s="22">
        <v>343000</v>
      </c>
      <c r="U64" s="22">
        <v>398200</v>
      </c>
      <c r="V64" s="22">
        <v>302600</v>
      </c>
      <c r="W64" s="22">
        <v>218200</v>
      </c>
      <c r="X64" s="22">
        <v>352500</v>
      </c>
      <c r="Y64" s="22">
        <v>210600</v>
      </c>
      <c r="Z64" s="22">
        <v>162100</v>
      </c>
      <c r="AA64" s="22">
        <v>254900</v>
      </c>
      <c r="AB64" s="22">
        <v>280500</v>
      </c>
      <c r="AC64" s="22">
        <v>189400</v>
      </c>
      <c r="AD64" s="22">
        <v>176100</v>
      </c>
      <c r="AE64" s="22">
        <v>286900</v>
      </c>
      <c r="AF64" s="22">
        <v>187500</v>
      </c>
      <c r="AG64" s="22">
        <v>211300</v>
      </c>
      <c r="AH64" s="22">
        <v>194300</v>
      </c>
      <c r="AI64" s="22">
        <v>293100</v>
      </c>
      <c r="AJ64" s="22">
        <v>390700</v>
      </c>
      <c r="AK64" s="22">
        <v>334400</v>
      </c>
      <c r="AL64" s="22">
        <v>365900</v>
      </c>
      <c r="AM64" s="22">
        <v>291400</v>
      </c>
      <c r="AN64" s="22">
        <v>302100</v>
      </c>
      <c r="AO64" s="22">
        <v>283800</v>
      </c>
      <c r="AP64" s="22">
        <v>575700</v>
      </c>
      <c r="AQ64" s="22">
        <v>598300</v>
      </c>
      <c r="AR64" s="22">
        <v>408500</v>
      </c>
      <c r="AS64" s="22">
        <v>527500</v>
      </c>
      <c r="AT64" s="22">
        <v>459700</v>
      </c>
      <c r="AU64" s="22">
        <v>803800</v>
      </c>
      <c r="AV64" s="22">
        <v>350100</v>
      </c>
      <c r="AW64" s="22">
        <v>324900</v>
      </c>
      <c r="AX64" s="22">
        <v>324900</v>
      </c>
      <c r="AY64" s="22">
        <v>376300</v>
      </c>
      <c r="AZ64" s="22">
        <v>355900</v>
      </c>
      <c r="BA64" s="22">
        <v>203000</v>
      </c>
      <c r="BB64" s="22">
        <v>358000</v>
      </c>
      <c r="BC64" s="22">
        <v>350500</v>
      </c>
      <c r="BD64" s="22">
        <v>187800</v>
      </c>
      <c r="BE64" s="22">
        <v>191300</v>
      </c>
      <c r="BF64" s="22">
        <v>309600</v>
      </c>
      <c r="BG64" s="22">
        <v>397500</v>
      </c>
      <c r="BH64" s="22">
        <v>327600</v>
      </c>
      <c r="BI64" s="22">
        <v>145200</v>
      </c>
      <c r="BJ64" s="22">
        <v>175800</v>
      </c>
      <c r="BK64" s="22">
        <v>176400</v>
      </c>
      <c r="BL64" s="22">
        <v>161600</v>
      </c>
      <c r="BM64" s="1">
        <v>165100</v>
      </c>
      <c r="BN64" s="1">
        <v>189900</v>
      </c>
      <c r="BO64" s="1">
        <v>206700</v>
      </c>
      <c r="BP64" s="1">
        <v>200100</v>
      </c>
    </row>
    <row r="65" spans="1:68" ht="15.9" customHeight="1">
      <c r="A65" s="396" t="s">
        <v>125</v>
      </c>
      <c r="B65" s="49" t="s">
        <v>126</v>
      </c>
      <c r="C65" s="53" t="str">
        <f>_xll.RssMarket("9984","出来高")</f>
        <v/>
      </c>
      <c r="D65" s="205" t="e">
        <f t="shared" si="0"/>
        <v>#VALUE!</v>
      </c>
      <c r="E65" s="203">
        <v>70204200</v>
      </c>
      <c r="F65" s="22">
        <v>47455200</v>
      </c>
      <c r="G65" s="22">
        <v>62130200</v>
      </c>
      <c r="H65" s="22">
        <v>47113500</v>
      </c>
      <c r="I65" s="22">
        <v>72262000</v>
      </c>
      <c r="J65" s="22">
        <v>41571500</v>
      </c>
      <c r="K65" s="22">
        <v>41852300</v>
      </c>
      <c r="L65" s="22">
        <v>45979200</v>
      </c>
      <c r="M65" s="22">
        <v>33669700</v>
      </c>
      <c r="N65" s="22">
        <v>52377700</v>
      </c>
      <c r="O65" s="22">
        <v>73627900</v>
      </c>
      <c r="P65" s="22">
        <v>40040700</v>
      </c>
      <c r="Q65" s="22">
        <v>59812900</v>
      </c>
      <c r="R65" s="22">
        <v>61184900</v>
      </c>
      <c r="S65" s="22">
        <v>71837400</v>
      </c>
      <c r="T65" s="22">
        <v>83407000</v>
      </c>
      <c r="U65" s="22">
        <v>45870800</v>
      </c>
      <c r="V65" s="22">
        <v>52827500</v>
      </c>
      <c r="W65" s="22">
        <v>44993100</v>
      </c>
      <c r="X65" s="22">
        <v>79507100</v>
      </c>
      <c r="Y65" s="22">
        <v>64308700</v>
      </c>
      <c r="Z65" s="22">
        <v>48833800</v>
      </c>
      <c r="AA65" s="22">
        <v>61595400</v>
      </c>
      <c r="AB65" s="22">
        <v>75320600</v>
      </c>
      <c r="AC65" s="22">
        <v>65531700</v>
      </c>
      <c r="AD65" s="22">
        <v>65333800</v>
      </c>
      <c r="AE65" s="22">
        <v>64167800</v>
      </c>
      <c r="AF65" s="22">
        <v>62899400</v>
      </c>
      <c r="AG65" s="22">
        <v>76525600</v>
      </c>
      <c r="AH65" s="22">
        <v>73007300</v>
      </c>
      <c r="AI65" s="22">
        <v>132031000</v>
      </c>
      <c r="AJ65" s="22">
        <v>81180100</v>
      </c>
      <c r="AK65" s="22">
        <v>79058300</v>
      </c>
      <c r="AL65" s="22">
        <v>103217400</v>
      </c>
      <c r="AM65" s="22">
        <v>91615400</v>
      </c>
      <c r="AN65" s="22">
        <v>103280800</v>
      </c>
      <c r="AO65" s="22">
        <v>73094900</v>
      </c>
      <c r="AP65" s="22">
        <v>71784000</v>
      </c>
      <c r="AQ65" s="22">
        <v>53762700</v>
      </c>
      <c r="AR65" s="22">
        <v>48158000</v>
      </c>
      <c r="AS65" s="22">
        <v>69924000</v>
      </c>
      <c r="AT65" s="22">
        <v>69800200</v>
      </c>
      <c r="AU65" s="22">
        <v>46400500</v>
      </c>
      <c r="AV65" s="22">
        <v>57247600</v>
      </c>
      <c r="AW65" s="22">
        <v>83351500</v>
      </c>
      <c r="AX65" s="22">
        <v>83351500</v>
      </c>
      <c r="AY65" s="22">
        <v>80654100</v>
      </c>
      <c r="AZ65" s="22">
        <v>119003600</v>
      </c>
      <c r="BA65" s="22">
        <v>72065400</v>
      </c>
      <c r="BB65" s="22">
        <v>101484400</v>
      </c>
      <c r="BC65" s="22">
        <v>97208200</v>
      </c>
      <c r="BD65" s="22">
        <v>99651700</v>
      </c>
      <c r="BE65" s="22">
        <v>87686800</v>
      </c>
      <c r="BF65" s="22">
        <v>136536800</v>
      </c>
      <c r="BG65" s="22">
        <v>154144000</v>
      </c>
      <c r="BH65" s="22">
        <v>96285800</v>
      </c>
      <c r="BI65" s="22">
        <v>60475300</v>
      </c>
      <c r="BJ65" s="22">
        <v>47876600</v>
      </c>
      <c r="BK65" s="22">
        <v>95147700</v>
      </c>
      <c r="BL65" s="22">
        <v>91516800</v>
      </c>
      <c r="BM65" s="1">
        <v>93692500</v>
      </c>
      <c r="BN65" s="1">
        <v>29819900</v>
      </c>
      <c r="BO65" s="1">
        <v>46679400</v>
      </c>
      <c r="BP65" s="1">
        <v>45064100</v>
      </c>
    </row>
    <row r="66" spans="1:68" ht="15.9" customHeight="1">
      <c r="A66" s="396" t="s">
        <v>127</v>
      </c>
      <c r="B66" s="49" t="s">
        <v>883</v>
      </c>
      <c r="C66" s="53" t="str">
        <f>_xll.RssMarket("4063","出来高")</f>
        <v/>
      </c>
      <c r="D66" s="205" t="e">
        <f t="shared" si="0"/>
        <v>#VALUE!</v>
      </c>
      <c r="E66" s="203">
        <v>7502200</v>
      </c>
      <c r="F66" s="22">
        <v>6309000</v>
      </c>
      <c r="G66" s="22">
        <v>5958400</v>
      </c>
      <c r="H66" s="22">
        <v>8068800</v>
      </c>
      <c r="I66" s="22">
        <v>8345700</v>
      </c>
      <c r="J66" s="22">
        <v>6080200</v>
      </c>
      <c r="K66" s="22">
        <v>6562800</v>
      </c>
      <c r="L66" s="22">
        <v>7655100</v>
      </c>
      <c r="M66" s="22">
        <v>11929500</v>
      </c>
      <c r="N66" s="22">
        <v>6711900</v>
      </c>
      <c r="O66" s="22">
        <v>7304400</v>
      </c>
      <c r="P66" s="22">
        <v>9180400</v>
      </c>
      <c r="Q66" s="22">
        <v>5376100</v>
      </c>
      <c r="R66" s="22">
        <v>5772100</v>
      </c>
      <c r="S66" s="22">
        <v>8927500</v>
      </c>
      <c r="T66" s="22">
        <v>5954800</v>
      </c>
      <c r="U66" s="22">
        <v>6914900</v>
      </c>
      <c r="V66" s="22">
        <v>8613500</v>
      </c>
      <c r="W66" s="22">
        <v>7060600</v>
      </c>
      <c r="X66" s="22">
        <v>8258600</v>
      </c>
      <c r="Y66" s="22">
        <v>6479100</v>
      </c>
      <c r="Z66" s="22">
        <v>4866300</v>
      </c>
      <c r="AA66" s="22">
        <v>5285700</v>
      </c>
      <c r="AB66" s="22">
        <v>9888800</v>
      </c>
      <c r="AC66" s="22">
        <v>8104400</v>
      </c>
      <c r="AD66" s="22">
        <v>7626000</v>
      </c>
      <c r="AE66" s="22">
        <v>7427500</v>
      </c>
      <c r="AF66" s="22">
        <v>6100000</v>
      </c>
      <c r="AG66" s="22">
        <v>6730800</v>
      </c>
      <c r="AH66" s="22">
        <v>8189400</v>
      </c>
      <c r="AI66" s="22">
        <v>8746700</v>
      </c>
      <c r="AJ66" s="22">
        <v>15831800</v>
      </c>
      <c r="AK66" s="22">
        <v>7618800</v>
      </c>
      <c r="AL66" s="22">
        <v>11120800</v>
      </c>
      <c r="AM66" s="22">
        <v>7333900</v>
      </c>
      <c r="AN66" s="22">
        <v>7917200</v>
      </c>
      <c r="AO66" s="22">
        <v>6503700</v>
      </c>
      <c r="AP66" s="22">
        <v>5117500</v>
      </c>
      <c r="AQ66" s="22">
        <v>5504100</v>
      </c>
      <c r="AR66" s="22">
        <v>5254300</v>
      </c>
      <c r="AS66" s="22">
        <v>7528300</v>
      </c>
      <c r="AT66" s="22">
        <v>6194100</v>
      </c>
      <c r="AU66" s="22">
        <v>6777500</v>
      </c>
      <c r="AV66" s="22">
        <v>5350500</v>
      </c>
      <c r="AW66" s="22">
        <v>8717000</v>
      </c>
      <c r="AX66" s="22">
        <v>8717000</v>
      </c>
      <c r="AY66" s="22">
        <v>10411800</v>
      </c>
      <c r="AZ66" s="22">
        <v>16438600</v>
      </c>
      <c r="BA66" s="22">
        <v>8745000</v>
      </c>
      <c r="BB66" s="22">
        <v>17278400</v>
      </c>
      <c r="BC66" s="22">
        <v>8604800</v>
      </c>
      <c r="BD66" s="22">
        <v>8365900</v>
      </c>
      <c r="BE66" s="22">
        <v>5016200</v>
      </c>
      <c r="BF66" s="22">
        <v>5907500</v>
      </c>
      <c r="BG66" s="22">
        <v>6503000</v>
      </c>
      <c r="BH66" s="22">
        <v>8190200</v>
      </c>
      <c r="BI66" s="22">
        <v>9389000</v>
      </c>
      <c r="BJ66" s="22">
        <v>8437800</v>
      </c>
      <c r="BK66" s="22">
        <v>8265500</v>
      </c>
      <c r="BL66" s="22">
        <v>10556400</v>
      </c>
      <c r="BM66" s="1">
        <v>6472300</v>
      </c>
      <c r="BN66" s="1">
        <v>8241400</v>
      </c>
      <c r="BO66" s="1">
        <v>6428200</v>
      </c>
      <c r="BP66" s="1">
        <v>9355900</v>
      </c>
    </row>
    <row r="67" spans="1:68" ht="15.9" customHeight="1">
      <c r="A67" s="396" t="s">
        <v>129</v>
      </c>
      <c r="B67" s="49" t="s">
        <v>130</v>
      </c>
      <c r="C67" s="53" t="str">
        <f>_xll.RssMarket("4536","出来高")</f>
        <v/>
      </c>
      <c r="D67" s="205" t="e">
        <f t="shared" si="0"/>
        <v>#VALUE!</v>
      </c>
      <c r="E67" s="203">
        <v>1340700</v>
      </c>
      <c r="F67" s="22">
        <v>910700</v>
      </c>
      <c r="G67" s="22">
        <v>1072800</v>
      </c>
      <c r="H67" s="22">
        <v>1347800</v>
      </c>
      <c r="I67" s="22">
        <v>987000</v>
      </c>
      <c r="J67" s="22">
        <v>1160600</v>
      </c>
      <c r="K67" s="22">
        <v>1522600</v>
      </c>
      <c r="L67" s="22">
        <v>1491200</v>
      </c>
      <c r="M67" s="22">
        <v>1037200</v>
      </c>
      <c r="N67" s="22">
        <v>1266000</v>
      </c>
      <c r="O67" s="22">
        <v>1047300</v>
      </c>
      <c r="P67" s="22">
        <v>914000</v>
      </c>
      <c r="Q67" s="22">
        <v>1515800</v>
      </c>
      <c r="R67" s="22">
        <v>1753500</v>
      </c>
      <c r="S67" s="22">
        <v>1418000</v>
      </c>
      <c r="T67" s="22">
        <v>2119400</v>
      </c>
      <c r="U67" s="22">
        <v>1500200</v>
      </c>
      <c r="V67" s="22">
        <v>1453400</v>
      </c>
      <c r="W67" s="22">
        <v>882000</v>
      </c>
      <c r="X67" s="22">
        <v>1511700</v>
      </c>
      <c r="Y67" s="22">
        <v>672700</v>
      </c>
      <c r="Z67" s="22">
        <v>896900</v>
      </c>
      <c r="AA67" s="22">
        <v>867000</v>
      </c>
      <c r="AB67" s="22">
        <v>1152400</v>
      </c>
      <c r="AC67" s="22">
        <v>1201100</v>
      </c>
      <c r="AD67" s="22">
        <v>983900</v>
      </c>
      <c r="AE67" s="22">
        <v>1478800</v>
      </c>
      <c r="AF67" s="22">
        <v>1254200</v>
      </c>
      <c r="AG67" s="22">
        <v>926800</v>
      </c>
      <c r="AH67" s="22">
        <v>1012600</v>
      </c>
      <c r="AI67" s="22">
        <v>939300</v>
      </c>
      <c r="AJ67" s="22">
        <v>1092300</v>
      </c>
      <c r="AK67" s="22">
        <v>1216000</v>
      </c>
      <c r="AL67" s="22">
        <v>1167900</v>
      </c>
      <c r="AM67" s="22">
        <v>1113800</v>
      </c>
      <c r="AN67" s="22">
        <v>968500</v>
      </c>
      <c r="AO67" s="22">
        <v>1160000</v>
      </c>
      <c r="AP67" s="22">
        <v>1325500</v>
      </c>
      <c r="AQ67" s="22">
        <v>1340400</v>
      </c>
      <c r="AR67" s="22">
        <v>951700</v>
      </c>
      <c r="AS67" s="22">
        <v>1531000</v>
      </c>
      <c r="AT67" s="22">
        <v>2302000</v>
      </c>
      <c r="AU67" s="22">
        <v>3528600</v>
      </c>
      <c r="AV67" s="22">
        <v>1607900</v>
      </c>
      <c r="AW67" s="22">
        <v>1070900</v>
      </c>
      <c r="AX67" s="22">
        <v>1070900</v>
      </c>
      <c r="AY67" s="22">
        <v>1155800</v>
      </c>
      <c r="AZ67" s="22">
        <v>1152500</v>
      </c>
      <c r="BA67" s="22">
        <v>792700</v>
      </c>
      <c r="BB67" s="22">
        <v>979500</v>
      </c>
      <c r="BC67" s="22">
        <v>656000</v>
      </c>
      <c r="BD67" s="22">
        <v>569400</v>
      </c>
      <c r="BE67" s="22">
        <v>804600</v>
      </c>
      <c r="BF67" s="22">
        <v>713500</v>
      </c>
      <c r="BG67" s="22">
        <v>903300</v>
      </c>
      <c r="BH67" s="22">
        <v>676700</v>
      </c>
      <c r="BI67" s="22">
        <v>690900</v>
      </c>
      <c r="BJ67" s="22">
        <v>973800</v>
      </c>
      <c r="BK67" s="22">
        <v>836400</v>
      </c>
      <c r="BL67" s="22">
        <v>781600</v>
      </c>
      <c r="BM67" s="1">
        <v>1024700</v>
      </c>
      <c r="BN67" s="1">
        <v>1097000</v>
      </c>
      <c r="BO67" s="1">
        <v>988100</v>
      </c>
      <c r="BP67" s="1">
        <v>1147700</v>
      </c>
    </row>
    <row r="68" spans="1:68" ht="15.9" customHeight="1">
      <c r="A68" s="396" t="s">
        <v>131</v>
      </c>
      <c r="B68" s="49" t="s">
        <v>132</v>
      </c>
      <c r="C68" s="53" t="str">
        <f>_xll.RssMarket("6503","出来高")</f>
        <v/>
      </c>
      <c r="D68" s="205" t="e">
        <f t="shared" si="0"/>
        <v>#VALUE!</v>
      </c>
      <c r="E68" s="203">
        <v>7417200</v>
      </c>
      <c r="F68" s="22">
        <v>4745000</v>
      </c>
      <c r="G68" s="22">
        <v>5256900</v>
      </c>
      <c r="H68" s="22">
        <v>4924600</v>
      </c>
      <c r="I68" s="22">
        <v>3949600</v>
      </c>
      <c r="J68" s="22">
        <v>3365800</v>
      </c>
      <c r="K68" s="22">
        <v>6314100</v>
      </c>
      <c r="L68" s="22">
        <v>5447100</v>
      </c>
      <c r="M68" s="22">
        <v>4086700</v>
      </c>
      <c r="N68" s="22">
        <v>4126300</v>
      </c>
      <c r="O68" s="22">
        <v>5264200</v>
      </c>
      <c r="P68" s="22">
        <v>5406300</v>
      </c>
      <c r="Q68" s="22">
        <v>4773000</v>
      </c>
      <c r="R68" s="22">
        <v>5025400</v>
      </c>
      <c r="S68" s="22">
        <v>4893500</v>
      </c>
      <c r="T68" s="22">
        <v>5408200</v>
      </c>
      <c r="U68" s="22">
        <v>6046300</v>
      </c>
      <c r="V68" s="22">
        <v>6378500</v>
      </c>
      <c r="W68" s="22">
        <v>4105900</v>
      </c>
      <c r="X68" s="22">
        <v>6589200</v>
      </c>
      <c r="Y68" s="22">
        <v>6755700</v>
      </c>
      <c r="Z68" s="22">
        <v>4255000</v>
      </c>
      <c r="AA68" s="22">
        <v>6728200</v>
      </c>
      <c r="AB68" s="22">
        <v>8209700</v>
      </c>
      <c r="AC68" s="22">
        <v>7318500</v>
      </c>
      <c r="AD68" s="22">
        <v>9152600</v>
      </c>
      <c r="AE68" s="22">
        <v>7398800</v>
      </c>
      <c r="AF68" s="22">
        <v>5707800</v>
      </c>
      <c r="AG68" s="22">
        <v>6699000</v>
      </c>
      <c r="AH68" s="22">
        <v>5455800</v>
      </c>
      <c r="AI68" s="22">
        <v>9193900</v>
      </c>
      <c r="AJ68" s="22">
        <v>14852400</v>
      </c>
      <c r="AK68" s="22">
        <v>7953400</v>
      </c>
      <c r="AL68" s="22">
        <v>5960900</v>
      </c>
      <c r="AM68" s="22">
        <v>5608300</v>
      </c>
      <c r="AN68" s="22">
        <v>6834800</v>
      </c>
      <c r="AO68" s="22">
        <v>8500900</v>
      </c>
      <c r="AP68" s="22">
        <v>10679400</v>
      </c>
      <c r="AQ68" s="22">
        <v>9166700</v>
      </c>
      <c r="AR68" s="22">
        <v>6997100</v>
      </c>
      <c r="AS68" s="22">
        <v>8906700</v>
      </c>
      <c r="AT68" s="22">
        <v>6838400</v>
      </c>
      <c r="AU68" s="22">
        <v>4512200</v>
      </c>
      <c r="AV68" s="22">
        <v>5642700</v>
      </c>
      <c r="AW68" s="22">
        <v>7418200</v>
      </c>
      <c r="AX68" s="22">
        <v>7418200</v>
      </c>
      <c r="AY68" s="22">
        <v>8585500</v>
      </c>
      <c r="AZ68" s="22">
        <v>12043300</v>
      </c>
      <c r="BA68" s="22">
        <v>6295700</v>
      </c>
      <c r="BB68" s="22">
        <v>13025200</v>
      </c>
      <c r="BC68" s="22">
        <v>9526000</v>
      </c>
      <c r="BD68" s="22">
        <v>7729900</v>
      </c>
      <c r="BE68" s="22">
        <v>4219000</v>
      </c>
      <c r="BF68" s="22">
        <v>7685300</v>
      </c>
      <c r="BG68" s="22">
        <v>4450800</v>
      </c>
      <c r="BH68" s="22">
        <v>5315200</v>
      </c>
      <c r="BI68" s="22">
        <v>5914100</v>
      </c>
      <c r="BJ68" s="22">
        <v>5511200</v>
      </c>
      <c r="BK68" s="22">
        <v>4956600</v>
      </c>
      <c r="BL68" s="22">
        <v>5117500</v>
      </c>
      <c r="BM68" s="1">
        <v>5422000</v>
      </c>
      <c r="BN68" s="1">
        <v>4120200</v>
      </c>
      <c r="BO68" s="1">
        <v>6068800</v>
      </c>
      <c r="BP68" s="1">
        <v>5402400</v>
      </c>
    </row>
    <row r="69" spans="1:68" ht="15.9" customHeight="1">
      <c r="A69" s="396" t="s">
        <v>133</v>
      </c>
      <c r="B69" s="49" t="s">
        <v>134</v>
      </c>
      <c r="C69" s="53" t="str">
        <f>_xll.RssMarket("4980","出来高")</f>
        <v/>
      </c>
      <c r="D69" s="205" t="e">
        <f t="shared" si="0"/>
        <v>#VALUE!</v>
      </c>
      <c r="E69" s="203">
        <v>2530900</v>
      </c>
      <c r="F69" s="22">
        <v>1000700</v>
      </c>
      <c r="G69" s="22">
        <v>1006000</v>
      </c>
      <c r="H69" s="22">
        <v>1070700</v>
      </c>
      <c r="I69" s="22">
        <v>1659700</v>
      </c>
      <c r="J69" s="22">
        <v>1251100</v>
      </c>
      <c r="K69" s="22">
        <v>1672400</v>
      </c>
      <c r="L69" s="22">
        <v>1985800</v>
      </c>
      <c r="M69" s="22">
        <v>1976600</v>
      </c>
      <c r="N69" s="22">
        <v>2429300</v>
      </c>
      <c r="O69" s="22">
        <v>1906700</v>
      </c>
      <c r="P69" s="22">
        <v>2246000</v>
      </c>
      <c r="Q69" s="22">
        <v>2846400</v>
      </c>
      <c r="R69" s="22">
        <v>2781300</v>
      </c>
      <c r="S69" s="22">
        <v>4572400</v>
      </c>
      <c r="T69" s="22">
        <v>2584200</v>
      </c>
      <c r="U69" s="22">
        <v>3371000</v>
      </c>
      <c r="V69" s="22">
        <v>2340200</v>
      </c>
      <c r="W69" s="22">
        <v>1976600</v>
      </c>
      <c r="X69" s="22">
        <v>3421300</v>
      </c>
      <c r="Y69" s="22">
        <v>1855000</v>
      </c>
      <c r="Z69" s="22">
        <v>2442300</v>
      </c>
      <c r="AA69" s="22">
        <v>2858100</v>
      </c>
      <c r="AB69" s="22">
        <v>2617000</v>
      </c>
      <c r="AC69" s="22">
        <v>2593300</v>
      </c>
      <c r="AD69" s="22">
        <v>2935000</v>
      </c>
      <c r="AE69" s="22">
        <v>2851100</v>
      </c>
      <c r="AF69" s="22">
        <v>1894400</v>
      </c>
      <c r="AG69" s="22">
        <v>1851000</v>
      </c>
      <c r="AH69" s="22">
        <v>4259700</v>
      </c>
      <c r="AI69" s="22">
        <v>3075500</v>
      </c>
      <c r="AJ69" s="22">
        <v>2230100</v>
      </c>
      <c r="AK69" s="22">
        <v>2659800</v>
      </c>
      <c r="AL69" s="22">
        <v>2510200</v>
      </c>
      <c r="AM69" s="22">
        <v>2788600</v>
      </c>
      <c r="AN69" s="22">
        <v>3090200</v>
      </c>
      <c r="AO69" s="22">
        <v>5139000</v>
      </c>
      <c r="AP69" s="22">
        <v>9140000</v>
      </c>
      <c r="AQ69" s="22">
        <v>6417700</v>
      </c>
      <c r="AR69" s="22">
        <v>12340900</v>
      </c>
      <c r="AS69" s="22">
        <v>1252400</v>
      </c>
      <c r="AT69" s="22">
        <v>668100</v>
      </c>
      <c r="AU69" s="22">
        <v>2317200</v>
      </c>
      <c r="AV69" s="22">
        <v>1701300</v>
      </c>
      <c r="AW69" s="22">
        <v>2406700</v>
      </c>
      <c r="AX69" s="22">
        <v>2406700</v>
      </c>
      <c r="AY69" s="22">
        <v>1970800</v>
      </c>
      <c r="AZ69" s="22">
        <v>2383900</v>
      </c>
      <c r="BA69" s="22">
        <v>913500</v>
      </c>
      <c r="BB69" s="22">
        <v>1292500</v>
      </c>
      <c r="BC69" s="22">
        <v>1300000</v>
      </c>
      <c r="BD69" s="22">
        <v>1811000</v>
      </c>
      <c r="BE69" s="22">
        <v>1050800</v>
      </c>
      <c r="BF69" s="22">
        <v>1253500</v>
      </c>
      <c r="BG69" s="22">
        <v>901700</v>
      </c>
      <c r="BH69" s="22">
        <v>1155000</v>
      </c>
      <c r="BI69" s="22">
        <v>1718300</v>
      </c>
      <c r="BJ69" s="22">
        <v>1680200</v>
      </c>
      <c r="BK69" s="22">
        <v>1446600</v>
      </c>
      <c r="BL69" s="22">
        <v>1129100</v>
      </c>
      <c r="BM69" s="1">
        <v>1543300</v>
      </c>
      <c r="BN69" s="1">
        <v>1119400</v>
      </c>
      <c r="BO69" s="1">
        <v>1199100</v>
      </c>
      <c r="BP69" s="1">
        <v>1105900</v>
      </c>
    </row>
    <row r="70" spans="1:68" ht="15.9" customHeight="1">
      <c r="A70" s="396" t="s">
        <v>135</v>
      </c>
      <c r="B70" s="49" t="s">
        <v>136</v>
      </c>
      <c r="C70" s="53" t="str">
        <f>_xll.RssMarket("9424","出来高")</f>
        <v/>
      </c>
      <c r="D70" s="205" t="e">
        <f t="shared" ref="D70:D133" si="1">C70-E70</f>
        <v>#VALUE!</v>
      </c>
      <c r="E70" s="203">
        <v>1312900</v>
      </c>
      <c r="F70" s="22">
        <v>790500</v>
      </c>
      <c r="G70" s="22">
        <v>1359600</v>
      </c>
      <c r="H70" s="22">
        <v>1233800</v>
      </c>
      <c r="I70" s="22">
        <v>1712200</v>
      </c>
      <c r="J70" s="22">
        <v>798800</v>
      </c>
      <c r="K70" s="22">
        <v>912300</v>
      </c>
      <c r="L70" s="22">
        <v>621200</v>
      </c>
      <c r="M70" s="22">
        <v>1613600</v>
      </c>
      <c r="N70" s="22">
        <v>2402500</v>
      </c>
      <c r="O70" s="22">
        <v>2365100</v>
      </c>
      <c r="P70" s="22">
        <v>2037600</v>
      </c>
      <c r="Q70" s="22">
        <v>2047600</v>
      </c>
      <c r="R70" s="22">
        <v>1505500</v>
      </c>
      <c r="S70" s="22">
        <v>1183800</v>
      </c>
      <c r="T70" s="22">
        <v>1454200</v>
      </c>
      <c r="U70" s="22">
        <v>1801300</v>
      </c>
      <c r="V70" s="22">
        <v>3392500</v>
      </c>
      <c r="W70" s="22">
        <v>1083000</v>
      </c>
      <c r="X70" s="22">
        <v>935800</v>
      </c>
      <c r="Y70" s="22">
        <v>1636500</v>
      </c>
      <c r="Z70" s="22">
        <v>1549700</v>
      </c>
      <c r="AA70" s="22">
        <v>1243700</v>
      </c>
      <c r="AB70" s="22">
        <v>1948100</v>
      </c>
      <c r="AC70" s="22">
        <v>1954300</v>
      </c>
      <c r="AD70" s="22">
        <v>1847900</v>
      </c>
      <c r="AE70" s="22">
        <v>2346400</v>
      </c>
      <c r="AF70" s="22">
        <v>1967500</v>
      </c>
      <c r="AG70" s="22">
        <v>2191100</v>
      </c>
      <c r="AH70" s="22">
        <v>1802700</v>
      </c>
      <c r="AI70" s="22">
        <v>2161300</v>
      </c>
      <c r="AJ70" s="22">
        <v>1861400</v>
      </c>
      <c r="AK70" s="22">
        <v>1968100</v>
      </c>
      <c r="AL70" s="22">
        <v>3788900</v>
      </c>
      <c r="AM70" s="22">
        <v>3766700</v>
      </c>
      <c r="AN70" s="22">
        <v>2547800</v>
      </c>
      <c r="AO70" s="22">
        <v>2954700</v>
      </c>
      <c r="AP70" s="22">
        <v>2232000</v>
      </c>
      <c r="AQ70" s="22">
        <v>2186300</v>
      </c>
      <c r="AR70" s="22">
        <v>2907700</v>
      </c>
      <c r="AS70" s="22">
        <v>1185600</v>
      </c>
      <c r="AT70" s="22">
        <v>1363600</v>
      </c>
      <c r="AU70" s="22">
        <v>1561100</v>
      </c>
      <c r="AV70" s="22">
        <v>1656500</v>
      </c>
      <c r="AW70" s="22">
        <v>2645300</v>
      </c>
      <c r="AX70" s="22">
        <v>2645300</v>
      </c>
      <c r="AY70" s="22">
        <v>5397500</v>
      </c>
      <c r="AZ70" s="22">
        <v>2114500</v>
      </c>
      <c r="BA70" s="22">
        <v>1516900</v>
      </c>
      <c r="BB70" s="22">
        <v>1300000</v>
      </c>
      <c r="BC70" s="22">
        <v>2124800</v>
      </c>
      <c r="BD70" s="22">
        <v>1221400</v>
      </c>
      <c r="BE70" s="22">
        <v>1689400</v>
      </c>
      <c r="BF70" s="22">
        <v>3172000</v>
      </c>
      <c r="BG70" s="22">
        <v>1378300</v>
      </c>
      <c r="BH70" s="22">
        <v>1356700</v>
      </c>
      <c r="BI70" s="22">
        <v>1442900</v>
      </c>
      <c r="BJ70" s="22">
        <v>1703700</v>
      </c>
      <c r="BK70" s="22">
        <v>1137600</v>
      </c>
      <c r="BL70" s="22">
        <v>3070100</v>
      </c>
      <c r="BM70" s="1">
        <v>1134400</v>
      </c>
      <c r="BN70" s="1">
        <v>2516200</v>
      </c>
      <c r="BO70" s="1">
        <v>2332900</v>
      </c>
      <c r="BP70" s="1">
        <v>1312500</v>
      </c>
    </row>
    <row r="71" spans="1:68" ht="15.9" customHeight="1">
      <c r="A71" s="396" t="s">
        <v>137</v>
      </c>
      <c r="B71" s="49" t="s">
        <v>138</v>
      </c>
      <c r="C71" s="53" t="str">
        <f>_xll.RssMarket("3854","出来高")</f>
        <v/>
      </c>
      <c r="D71" s="205" t="e">
        <f t="shared" si="1"/>
        <v>#VALUE!</v>
      </c>
      <c r="E71" s="203">
        <v>76900</v>
      </c>
      <c r="F71" s="22">
        <v>93600</v>
      </c>
      <c r="G71" s="22">
        <v>65300</v>
      </c>
      <c r="H71" s="22">
        <v>78100</v>
      </c>
      <c r="I71" s="22">
        <v>60700</v>
      </c>
      <c r="J71" s="22">
        <v>62600</v>
      </c>
      <c r="K71" s="22">
        <v>156900</v>
      </c>
      <c r="L71" s="22">
        <v>165900</v>
      </c>
      <c r="M71" s="22">
        <v>60100</v>
      </c>
      <c r="N71" s="22">
        <v>90900</v>
      </c>
      <c r="O71" s="22">
        <v>110400</v>
      </c>
      <c r="P71" s="22">
        <v>52200</v>
      </c>
      <c r="Q71" s="22">
        <v>61800</v>
      </c>
      <c r="R71" s="22">
        <v>91400</v>
      </c>
      <c r="S71" s="22">
        <v>62100</v>
      </c>
      <c r="T71" s="22">
        <v>87500</v>
      </c>
      <c r="U71" s="22">
        <v>73300</v>
      </c>
      <c r="V71" s="22">
        <v>66900</v>
      </c>
      <c r="W71" s="22">
        <v>79000</v>
      </c>
      <c r="X71" s="22">
        <v>78400</v>
      </c>
      <c r="Y71" s="22">
        <v>54800</v>
      </c>
      <c r="Z71" s="22">
        <v>125700</v>
      </c>
      <c r="AA71" s="22">
        <v>71600</v>
      </c>
      <c r="AB71" s="22">
        <v>152200</v>
      </c>
      <c r="AC71" s="22">
        <v>112200</v>
      </c>
      <c r="AD71" s="22">
        <v>88700</v>
      </c>
      <c r="AE71" s="22">
        <v>217500</v>
      </c>
      <c r="AF71" s="22">
        <v>105100</v>
      </c>
      <c r="AG71" s="22">
        <v>100800</v>
      </c>
      <c r="AH71" s="22">
        <v>102300</v>
      </c>
      <c r="AI71" s="22">
        <v>66600</v>
      </c>
      <c r="AJ71" s="22">
        <v>97200</v>
      </c>
      <c r="AK71" s="22">
        <v>98400</v>
      </c>
      <c r="AL71" s="22">
        <v>45900</v>
      </c>
      <c r="AM71" s="22">
        <v>114200</v>
      </c>
      <c r="AN71" s="22">
        <v>87600</v>
      </c>
      <c r="AO71" s="22">
        <v>49400</v>
      </c>
      <c r="AP71" s="22">
        <v>65200</v>
      </c>
      <c r="AQ71" s="22">
        <v>52500</v>
      </c>
      <c r="AR71" s="22">
        <v>75300</v>
      </c>
      <c r="AS71" s="22">
        <v>41300</v>
      </c>
      <c r="AT71" s="22">
        <v>50900</v>
      </c>
      <c r="AU71" s="22">
        <v>36300</v>
      </c>
      <c r="AV71" s="22">
        <v>47700</v>
      </c>
      <c r="AW71" s="22">
        <v>49000</v>
      </c>
      <c r="AX71" s="22">
        <v>49000</v>
      </c>
      <c r="AY71" s="22">
        <v>71600</v>
      </c>
      <c r="AZ71" s="22">
        <v>51300</v>
      </c>
      <c r="BA71" s="22">
        <v>57300</v>
      </c>
      <c r="BB71" s="22">
        <v>75700</v>
      </c>
      <c r="BC71" s="22">
        <v>182200</v>
      </c>
      <c r="BD71" s="22">
        <v>52000</v>
      </c>
      <c r="BE71" s="22">
        <v>46600</v>
      </c>
      <c r="BF71" s="22">
        <v>62800</v>
      </c>
      <c r="BG71" s="22">
        <v>55600</v>
      </c>
      <c r="BH71" s="22">
        <v>52600</v>
      </c>
      <c r="BI71" s="22">
        <v>56400</v>
      </c>
      <c r="BJ71" s="22">
        <v>66600</v>
      </c>
      <c r="BK71" s="22">
        <v>50400</v>
      </c>
      <c r="BL71" s="22">
        <v>54300</v>
      </c>
      <c r="BM71" s="1">
        <v>46600</v>
      </c>
      <c r="BN71" s="1">
        <v>62300</v>
      </c>
      <c r="BO71" s="1">
        <v>60800</v>
      </c>
      <c r="BP71" s="1">
        <v>55800</v>
      </c>
    </row>
    <row r="72" spans="1:68" ht="15.9" customHeight="1">
      <c r="A72" s="396" t="s">
        <v>139</v>
      </c>
      <c r="B72" s="49" t="s">
        <v>140</v>
      </c>
      <c r="C72" s="53" t="str">
        <f>_xll.RssMarket("6027","出来高")</f>
        <v/>
      </c>
      <c r="D72" s="205" t="e">
        <f t="shared" si="1"/>
        <v>#VALUE!</v>
      </c>
      <c r="E72" s="203">
        <v>118800</v>
      </c>
      <c r="F72" s="22">
        <v>21400</v>
      </c>
      <c r="G72" s="22">
        <v>88100</v>
      </c>
      <c r="H72" s="22">
        <v>28500</v>
      </c>
      <c r="I72" s="22">
        <v>64500</v>
      </c>
      <c r="J72" s="22">
        <v>62500</v>
      </c>
      <c r="K72" s="22">
        <v>42000</v>
      </c>
      <c r="L72" s="22">
        <v>38100</v>
      </c>
      <c r="M72" s="22">
        <v>44200</v>
      </c>
      <c r="N72" s="22">
        <v>77700</v>
      </c>
      <c r="O72" s="22">
        <v>162300</v>
      </c>
      <c r="P72" s="22">
        <v>168800</v>
      </c>
      <c r="Q72" s="22">
        <v>68400</v>
      </c>
      <c r="R72" s="22">
        <v>165100</v>
      </c>
      <c r="S72" s="22">
        <v>78000</v>
      </c>
      <c r="T72" s="22">
        <v>208300</v>
      </c>
      <c r="U72" s="22">
        <v>82300</v>
      </c>
      <c r="V72" s="22">
        <v>138100</v>
      </c>
      <c r="W72" s="22">
        <v>86400</v>
      </c>
      <c r="X72" s="22">
        <v>104700</v>
      </c>
      <c r="Y72" s="22">
        <v>80500</v>
      </c>
      <c r="Z72" s="22">
        <v>110400</v>
      </c>
      <c r="AA72" s="22">
        <v>91300</v>
      </c>
      <c r="AB72" s="22">
        <v>115300</v>
      </c>
      <c r="AC72" s="22">
        <v>99100</v>
      </c>
      <c r="AD72" s="22">
        <v>89100</v>
      </c>
      <c r="AE72" s="22">
        <v>104500</v>
      </c>
      <c r="AF72" s="22">
        <v>80900</v>
      </c>
      <c r="AG72" s="22">
        <v>106700</v>
      </c>
      <c r="AH72" s="22">
        <v>114200</v>
      </c>
      <c r="AI72" s="22">
        <v>119200</v>
      </c>
      <c r="AJ72" s="22">
        <v>67700</v>
      </c>
      <c r="AK72" s="22">
        <v>98800</v>
      </c>
      <c r="AL72" s="22">
        <v>101400</v>
      </c>
      <c r="AM72" s="22">
        <v>84400</v>
      </c>
      <c r="AN72" s="22">
        <v>68500</v>
      </c>
      <c r="AO72" s="22">
        <v>42600</v>
      </c>
      <c r="AP72" s="22">
        <v>119700</v>
      </c>
      <c r="AQ72" s="22">
        <v>101500</v>
      </c>
      <c r="AR72" s="22">
        <v>160200</v>
      </c>
      <c r="AS72" s="22">
        <v>147300</v>
      </c>
      <c r="AT72" s="22">
        <v>202000</v>
      </c>
      <c r="AU72" s="22">
        <v>113900</v>
      </c>
      <c r="AV72" s="22">
        <v>49300</v>
      </c>
      <c r="AW72" s="22">
        <v>77300</v>
      </c>
      <c r="AX72" s="22">
        <v>77300</v>
      </c>
      <c r="AY72" s="22">
        <v>88300</v>
      </c>
      <c r="AZ72" s="22">
        <v>105900</v>
      </c>
      <c r="BA72" s="22">
        <v>51000</v>
      </c>
      <c r="BB72" s="22">
        <v>45300</v>
      </c>
      <c r="BC72" s="22">
        <v>258800</v>
      </c>
      <c r="BD72" s="22">
        <v>142000</v>
      </c>
      <c r="BE72" s="22">
        <v>87600</v>
      </c>
      <c r="BF72" s="22">
        <v>51900</v>
      </c>
      <c r="BG72" s="22">
        <v>60300</v>
      </c>
      <c r="BH72" s="22">
        <v>51000</v>
      </c>
      <c r="BI72" s="22">
        <v>55400</v>
      </c>
      <c r="BJ72" s="22">
        <v>106900</v>
      </c>
      <c r="BK72" s="22">
        <v>137700</v>
      </c>
      <c r="BL72" s="22">
        <v>161500</v>
      </c>
      <c r="BM72" s="1">
        <v>108800</v>
      </c>
      <c r="BN72" s="1">
        <v>101800</v>
      </c>
      <c r="BO72" s="1">
        <v>260600</v>
      </c>
      <c r="BP72" s="1">
        <v>280300</v>
      </c>
    </row>
    <row r="73" spans="1:68" ht="15.9" customHeight="1">
      <c r="A73" s="396" t="s">
        <v>141</v>
      </c>
      <c r="B73" s="49" t="s">
        <v>142</v>
      </c>
      <c r="C73" s="53" t="str">
        <f>_xll.RssMarket("7806","出来高")</f>
        <v/>
      </c>
      <c r="D73" s="205" t="e">
        <f t="shared" si="1"/>
        <v>#VALUE!</v>
      </c>
      <c r="E73" s="203">
        <v>183900</v>
      </c>
      <c r="F73" s="22">
        <v>126000</v>
      </c>
      <c r="G73" s="22">
        <v>82000</v>
      </c>
      <c r="H73" s="22">
        <v>136700</v>
      </c>
      <c r="I73" s="22">
        <v>128000</v>
      </c>
      <c r="J73" s="22">
        <v>183900</v>
      </c>
      <c r="K73" s="22">
        <v>79600</v>
      </c>
      <c r="L73" s="22">
        <v>59500</v>
      </c>
      <c r="M73" s="22">
        <v>68300</v>
      </c>
      <c r="N73" s="22">
        <v>218100</v>
      </c>
      <c r="O73" s="22">
        <v>135400</v>
      </c>
      <c r="P73" s="22">
        <v>92900</v>
      </c>
      <c r="Q73" s="22">
        <v>104500</v>
      </c>
      <c r="R73" s="22">
        <v>75800</v>
      </c>
      <c r="S73" s="22">
        <v>103500</v>
      </c>
      <c r="T73" s="22">
        <v>64600</v>
      </c>
      <c r="U73" s="22">
        <v>56600</v>
      </c>
      <c r="V73" s="22">
        <v>105700</v>
      </c>
      <c r="W73" s="22">
        <v>70600</v>
      </c>
      <c r="X73" s="22">
        <v>100700</v>
      </c>
      <c r="Y73" s="22">
        <v>149800</v>
      </c>
      <c r="Z73" s="22">
        <v>101100</v>
      </c>
      <c r="AA73" s="22">
        <v>70700</v>
      </c>
      <c r="AB73" s="22">
        <v>76100</v>
      </c>
      <c r="AC73" s="22">
        <v>123300</v>
      </c>
      <c r="AD73" s="22">
        <v>81800</v>
      </c>
      <c r="AE73" s="22">
        <v>94500</v>
      </c>
      <c r="AF73" s="22">
        <v>98400</v>
      </c>
      <c r="AG73" s="22">
        <v>179500</v>
      </c>
      <c r="AH73" s="22">
        <v>148300</v>
      </c>
      <c r="AI73" s="22">
        <v>138500</v>
      </c>
      <c r="AJ73" s="22">
        <v>187100</v>
      </c>
      <c r="AK73" s="22">
        <v>210800</v>
      </c>
      <c r="AL73" s="22">
        <v>159600</v>
      </c>
      <c r="AM73" s="22">
        <v>93500</v>
      </c>
      <c r="AN73" s="22">
        <v>116000</v>
      </c>
      <c r="AO73" s="22">
        <v>78400</v>
      </c>
      <c r="AP73" s="22">
        <v>143600</v>
      </c>
      <c r="AQ73" s="22">
        <v>172400</v>
      </c>
      <c r="AR73" s="22">
        <v>156700</v>
      </c>
      <c r="AS73" s="22">
        <v>202300</v>
      </c>
      <c r="AT73" s="22">
        <v>335000</v>
      </c>
      <c r="AU73" s="22">
        <v>335500</v>
      </c>
      <c r="AV73" s="22">
        <v>641700</v>
      </c>
      <c r="AW73" s="22">
        <v>261500</v>
      </c>
      <c r="AX73" s="22">
        <v>261500</v>
      </c>
      <c r="AY73" s="22">
        <v>99300</v>
      </c>
      <c r="AZ73" s="22">
        <v>173800</v>
      </c>
      <c r="BA73" s="22">
        <v>124500</v>
      </c>
      <c r="BB73" s="22">
        <v>114900</v>
      </c>
      <c r="BC73" s="22">
        <v>76700</v>
      </c>
      <c r="BD73" s="22">
        <v>127600</v>
      </c>
      <c r="BE73" s="22">
        <v>86300</v>
      </c>
      <c r="BF73" s="22">
        <v>110000</v>
      </c>
      <c r="BG73" s="22">
        <v>92900</v>
      </c>
      <c r="BH73" s="22">
        <v>105000</v>
      </c>
      <c r="BI73" s="22">
        <v>100600</v>
      </c>
      <c r="BJ73" s="22">
        <v>142100</v>
      </c>
      <c r="BK73" s="22">
        <v>76500</v>
      </c>
      <c r="BL73" s="22">
        <v>145900</v>
      </c>
      <c r="BM73" s="1">
        <v>97600</v>
      </c>
      <c r="BN73" s="1">
        <v>128100</v>
      </c>
      <c r="BO73" s="1">
        <v>102400</v>
      </c>
      <c r="BP73" s="1">
        <v>105000</v>
      </c>
    </row>
    <row r="74" spans="1:68" ht="15.9" customHeight="1">
      <c r="A74" s="396" t="s">
        <v>143</v>
      </c>
      <c r="B74" s="49" t="s">
        <v>144</v>
      </c>
      <c r="C74" s="53" t="str">
        <f>_xll.RssMarket("9202","出来高")</f>
        <v/>
      </c>
      <c r="D74" s="205" t="e">
        <f t="shared" si="1"/>
        <v>#VALUE!</v>
      </c>
      <c r="E74" s="203">
        <v>2452800</v>
      </c>
      <c r="F74" s="22">
        <v>1720800</v>
      </c>
      <c r="G74" s="22">
        <v>1735200</v>
      </c>
      <c r="H74" s="22">
        <v>1879000</v>
      </c>
      <c r="I74" s="22">
        <v>2260600</v>
      </c>
      <c r="J74" s="22">
        <v>2203800</v>
      </c>
      <c r="K74" s="22">
        <v>2751000</v>
      </c>
      <c r="L74" s="22">
        <v>2295600</v>
      </c>
      <c r="M74" s="22">
        <v>2507700</v>
      </c>
      <c r="N74" s="22">
        <v>3278800</v>
      </c>
      <c r="O74" s="22">
        <v>4148400</v>
      </c>
      <c r="P74" s="22">
        <v>2241000</v>
      </c>
      <c r="Q74" s="22">
        <v>1849700</v>
      </c>
      <c r="R74" s="22">
        <v>1782400</v>
      </c>
      <c r="S74" s="22">
        <v>1851300</v>
      </c>
      <c r="T74" s="22">
        <v>2005300</v>
      </c>
      <c r="U74" s="22">
        <v>1973900</v>
      </c>
      <c r="V74" s="22">
        <v>2569500</v>
      </c>
      <c r="W74" s="22">
        <v>2308900</v>
      </c>
      <c r="X74" s="22">
        <v>2725600</v>
      </c>
      <c r="Y74" s="22">
        <v>1930700</v>
      </c>
      <c r="Z74" s="22">
        <v>2230900</v>
      </c>
      <c r="AA74" s="22">
        <v>2985100</v>
      </c>
      <c r="AB74" s="22">
        <v>3164000</v>
      </c>
      <c r="AC74" s="22">
        <v>2135800</v>
      </c>
      <c r="AD74" s="22">
        <v>2158900</v>
      </c>
      <c r="AE74" s="22">
        <v>2434400</v>
      </c>
      <c r="AF74" s="22">
        <v>2216800</v>
      </c>
      <c r="AG74" s="22">
        <v>2215600</v>
      </c>
      <c r="AH74" s="22">
        <v>1983200</v>
      </c>
      <c r="AI74" s="22">
        <v>3201700</v>
      </c>
      <c r="AJ74" s="22">
        <v>5406800</v>
      </c>
      <c r="AK74" s="22">
        <v>2120400</v>
      </c>
      <c r="AL74" s="22">
        <v>2501400</v>
      </c>
      <c r="AM74" s="22">
        <v>3620800</v>
      </c>
      <c r="AN74" s="22">
        <v>2126500</v>
      </c>
      <c r="AO74" s="22">
        <v>2315200</v>
      </c>
      <c r="AP74" s="22">
        <v>2264400</v>
      </c>
      <c r="AQ74" s="22">
        <v>2421000</v>
      </c>
      <c r="AR74" s="22">
        <v>2950300</v>
      </c>
      <c r="AS74" s="22">
        <v>2781900</v>
      </c>
      <c r="AT74" s="22">
        <v>2105800</v>
      </c>
      <c r="AU74" s="22">
        <v>2618100</v>
      </c>
      <c r="AV74" s="22">
        <v>2907100</v>
      </c>
      <c r="AW74" s="22">
        <v>3306500</v>
      </c>
      <c r="AX74" s="22">
        <v>3306500</v>
      </c>
      <c r="AY74" s="22">
        <v>4390900</v>
      </c>
      <c r="AZ74" s="22">
        <v>7110200</v>
      </c>
      <c r="BA74" s="22">
        <v>4982900</v>
      </c>
      <c r="BB74" s="22">
        <v>5649400</v>
      </c>
      <c r="BC74" s="22">
        <v>5415500</v>
      </c>
      <c r="BD74" s="22">
        <v>3159100</v>
      </c>
      <c r="BE74" s="22">
        <v>3437600</v>
      </c>
      <c r="BF74" s="22">
        <v>5078700</v>
      </c>
      <c r="BG74" s="22">
        <v>2943400</v>
      </c>
      <c r="BH74" s="22">
        <v>2482900</v>
      </c>
      <c r="BI74" s="22">
        <v>2734200</v>
      </c>
      <c r="BJ74" s="22">
        <v>3397600</v>
      </c>
      <c r="BK74" s="22">
        <v>2877400</v>
      </c>
      <c r="BL74" s="22">
        <v>3416900</v>
      </c>
      <c r="BM74" s="1">
        <v>1974800</v>
      </c>
      <c r="BN74" s="1">
        <v>2762000</v>
      </c>
      <c r="BO74" s="1">
        <v>2383700</v>
      </c>
      <c r="BP74" s="1">
        <v>2807000</v>
      </c>
    </row>
    <row r="75" spans="1:68" ht="15.9" customHeight="1">
      <c r="A75" s="396" t="s">
        <v>145</v>
      </c>
      <c r="B75" s="49" t="s">
        <v>146</v>
      </c>
      <c r="C75" s="53" t="str">
        <f>_xll.RssMarket("7846","出来高")</f>
        <v/>
      </c>
      <c r="D75" s="205" t="e">
        <f t="shared" si="1"/>
        <v>#VALUE!</v>
      </c>
      <c r="E75" s="203">
        <v>161600</v>
      </c>
      <c r="F75" s="22">
        <v>178700</v>
      </c>
      <c r="G75" s="22">
        <v>195200</v>
      </c>
      <c r="H75" s="22">
        <v>195600</v>
      </c>
      <c r="I75" s="22">
        <v>190400</v>
      </c>
      <c r="J75" s="22">
        <v>228900</v>
      </c>
      <c r="K75" s="22">
        <v>206300</v>
      </c>
      <c r="L75" s="22">
        <v>212200</v>
      </c>
      <c r="M75" s="22">
        <v>212900</v>
      </c>
      <c r="N75" s="22">
        <v>206300</v>
      </c>
      <c r="O75" s="22">
        <v>265500</v>
      </c>
      <c r="P75" s="22">
        <v>218700</v>
      </c>
      <c r="Q75" s="22">
        <v>304100</v>
      </c>
      <c r="R75" s="22">
        <v>283500</v>
      </c>
      <c r="S75" s="22">
        <v>94300</v>
      </c>
      <c r="T75" s="22">
        <v>89900</v>
      </c>
      <c r="U75" s="22">
        <v>66000</v>
      </c>
      <c r="V75" s="22">
        <v>83200</v>
      </c>
      <c r="W75" s="22">
        <v>63800</v>
      </c>
      <c r="X75" s="22">
        <v>115500</v>
      </c>
      <c r="Y75" s="22">
        <v>84600</v>
      </c>
      <c r="Z75" s="22">
        <v>66000</v>
      </c>
      <c r="AA75" s="22">
        <v>67200</v>
      </c>
      <c r="AB75" s="22">
        <v>95600</v>
      </c>
      <c r="AC75" s="22">
        <v>61900</v>
      </c>
      <c r="AD75" s="22">
        <v>67800</v>
      </c>
      <c r="AE75" s="22">
        <v>101800</v>
      </c>
      <c r="AF75" s="22">
        <v>52500</v>
      </c>
      <c r="AG75" s="22">
        <v>80500</v>
      </c>
      <c r="AH75" s="22">
        <v>66300</v>
      </c>
      <c r="AI75" s="22">
        <v>75200</v>
      </c>
      <c r="AJ75" s="22">
        <v>118300</v>
      </c>
      <c r="AK75" s="22">
        <v>82900</v>
      </c>
      <c r="AL75" s="22">
        <v>82500</v>
      </c>
      <c r="AM75" s="22">
        <v>109800</v>
      </c>
      <c r="AN75" s="22">
        <v>91700</v>
      </c>
      <c r="AO75" s="22">
        <v>95700</v>
      </c>
      <c r="AP75" s="22">
        <v>148800</v>
      </c>
      <c r="AQ75" s="22">
        <v>106900</v>
      </c>
      <c r="AR75" s="22">
        <v>89200</v>
      </c>
      <c r="AS75" s="22">
        <v>97400</v>
      </c>
      <c r="AT75" s="22">
        <v>75900</v>
      </c>
      <c r="AU75" s="22">
        <v>88800</v>
      </c>
      <c r="AV75" s="22">
        <v>164300</v>
      </c>
      <c r="AW75" s="22">
        <v>111600</v>
      </c>
      <c r="AX75" s="22">
        <v>111600</v>
      </c>
      <c r="AY75" s="22">
        <v>99700</v>
      </c>
      <c r="AZ75" s="22">
        <v>94300</v>
      </c>
      <c r="BA75" s="22">
        <v>93200</v>
      </c>
      <c r="BB75" s="22">
        <v>136700</v>
      </c>
      <c r="BC75" s="22">
        <v>294400</v>
      </c>
      <c r="BD75" s="22">
        <v>85900</v>
      </c>
      <c r="BE75" s="22">
        <v>119500</v>
      </c>
      <c r="BF75" s="22">
        <v>104500</v>
      </c>
      <c r="BG75" s="22">
        <v>67400</v>
      </c>
      <c r="BH75" s="22">
        <v>94900</v>
      </c>
      <c r="BI75" s="22">
        <v>73200</v>
      </c>
      <c r="BJ75" s="22">
        <v>73800</v>
      </c>
      <c r="BK75" s="22">
        <v>73400</v>
      </c>
      <c r="BL75" s="22">
        <v>87900</v>
      </c>
      <c r="BM75" s="1">
        <v>70200</v>
      </c>
      <c r="BN75" s="1">
        <v>87200</v>
      </c>
      <c r="BO75" s="1">
        <v>69200</v>
      </c>
      <c r="BP75" s="1">
        <v>76600</v>
      </c>
    </row>
    <row r="76" spans="1:68" ht="15.9" customHeight="1">
      <c r="A76" s="396" t="s">
        <v>147</v>
      </c>
      <c r="B76" s="49" t="s">
        <v>148</v>
      </c>
      <c r="C76" s="53" t="str">
        <f>_xll.RssMarket("2802","出来高")</f>
        <v/>
      </c>
      <c r="D76" s="205" t="e">
        <f t="shared" si="1"/>
        <v>#VALUE!</v>
      </c>
      <c r="E76" s="203">
        <v>4971500</v>
      </c>
      <c r="F76" s="22">
        <v>2345400</v>
      </c>
      <c r="G76" s="22">
        <v>2829000</v>
      </c>
      <c r="H76" s="22">
        <v>3241400</v>
      </c>
      <c r="I76" s="22">
        <v>3796900</v>
      </c>
      <c r="J76" s="22">
        <v>3484700</v>
      </c>
      <c r="K76" s="22">
        <v>4481500</v>
      </c>
      <c r="L76" s="22">
        <v>4052300</v>
      </c>
      <c r="M76" s="22">
        <v>3818600</v>
      </c>
      <c r="N76" s="22">
        <v>3851300</v>
      </c>
      <c r="O76" s="22">
        <v>5376600</v>
      </c>
      <c r="P76" s="22">
        <v>6849800</v>
      </c>
      <c r="Q76" s="22">
        <v>3929700</v>
      </c>
      <c r="R76" s="22">
        <v>3094100</v>
      </c>
      <c r="S76" s="22">
        <v>4592800</v>
      </c>
      <c r="T76" s="22">
        <v>4071800</v>
      </c>
      <c r="U76" s="22">
        <v>5228800</v>
      </c>
      <c r="V76" s="22">
        <v>6481900</v>
      </c>
      <c r="W76" s="22">
        <v>7787100</v>
      </c>
      <c r="X76" s="22">
        <v>9507900</v>
      </c>
      <c r="Y76" s="22">
        <v>11123900</v>
      </c>
      <c r="Z76" s="22">
        <v>7021300</v>
      </c>
      <c r="AA76" s="22">
        <v>3452600</v>
      </c>
      <c r="AB76" s="22">
        <v>7566800</v>
      </c>
      <c r="AC76" s="22">
        <v>9098500</v>
      </c>
      <c r="AD76" s="22">
        <v>3146800</v>
      </c>
      <c r="AE76" s="22">
        <v>5597000</v>
      </c>
      <c r="AF76" s="22">
        <v>4289000</v>
      </c>
      <c r="AG76" s="22">
        <v>3057000</v>
      </c>
      <c r="AH76" s="22">
        <v>3504900</v>
      </c>
      <c r="AI76" s="22">
        <v>4996400</v>
      </c>
      <c r="AJ76" s="22">
        <v>9185600</v>
      </c>
      <c r="AK76" s="22">
        <v>4114000</v>
      </c>
      <c r="AL76" s="22">
        <v>3869800</v>
      </c>
      <c r="AM76" s="22">
        <v>5159900</v>
      </c>
      <c r="AN76" s="22">
        <v>3827500</v>
      </c>
      <c r="AO76" s="22">
        <v>5087100</v>
      </c>
      <c r="AP76" s="22">
        <v>4275700</v>
      </c>
      <c r="AQ76" s="22">
        <v>4920400</v>
      </c>
      <c r="AR76" s="22">
        <v>4332700</v>
      </c>
      <c r="AS76" s="22">
        <v>4499600</v>
      </c>
      <c r="AT76" s="22">
        <v>5720800</v>
      </c>
      <c r="AU76" s="22">
        <v>4630900</v>
      </c>
      <c r="AV76" s="22">
        <v>7590600</v>
      </c>
      <c r="AW76" s="22">
        <v>12969600</v>
      </c>
      <c r="AX76" s="22">
        <v>12969600</v>
      </c>
      <c r="AY76" s="22">
        <v>10223100</v>
      </c>
      <c r="AZ76" s="22">
        <v>10744000</v>
      </c>
      <c r="BA76" s="22">
        <v>3912900</v>
      </c>
      <c r="BB76" s="22">
        <v>7469200</v>
      </c>
      <c r="BC76" s="22">
        <v>2409700</v>
      </c>
      <c r="BD76" s="22">
        <v>3147200</v>
      </c>
      <c r="BE76" s="22">
        <v>4191800</v>
      </c>
      <c r="BF76" s="22">
        <v>3034700</v>
      </c>
      <c r="BG76" s="22">
        <v>2492000</v>
      </c>
      <c r="BH76" s="22">
        <v>3564700</v>
      </c>
      <c r="BI76" s="22">
        <v>2451100</v>
      </c>
      <c r="BJ76" s="22">
        <v>1922800</v>
      </c>
      <c r="BK76" s="22">
        <v>2181900</v>
      </c>
      <c r="BL76" s="22">
        <v>2250300</v>
      </c>
      <c r="BM76" s="1">
        <v>2515800</v>
      </c>
      <c r="BN76" s="1">
        <v>3500300</v>
      </c>
      <c r="BO76" s="1">
        <v>3006800</v>
      </c>
      <c r="BP76" s="1">
        <v>2940100</v>
      </c>
    </row>
    <row r="77" spans="1:68" ht="15.9" customHeight="1">
      <c r="A77" s="396" t="s">
        <v>149</v>
      </c>
      <c r="B77" s="49" t="s">
        <v>150</v>
      </c>
      <c r="C77" s="53" t="str">
        <f>_xll.RssMarket("7203","出来高")</f>
        <v/>
      </c>
      <c r="D77" s="205" t="e">
        <f t="shared" si="1"/>
        <v>#VALUE!</v>
      </c>
      <c r="E77" s="203">
        <v>35779500</v>
      </c>
      <c r="F77" s="22">
        <v>21157100</v>
      </c>
      <c r="G77" s="22">
        <v>20459300</v>
      </c>
      <c r="H77" s="22">
        <v>19932600</v>
      </c>
      <c r="I77" s="22">
        <v>26668000</v>
      </c>
      <c r="J77" s="22">
        <v>24949800</v>
      </c>
      <c r="K77" s="22">
        <v>28465700</v>
      </c>
      <c r="L77" s="22">
        <v>36408300</v>
      </c>
      <c r="M77" s="22">
        <v>26728000</v>
      </c>
      <c r="N77" s="22">
        <v>23428700</v>
      </c>
      <c r="O77" s="22">
        <v>30358500</v>
      </c>
      <c r="P77" s="22">
        <v>21882700</v>
      </c>
      <c r="Q77" s="22">
        <v>32958300</v>
      </c>
      <c r="R77" s="22">
        <v>31780500</v>
      </c>
      <c r="S77" s="22">
        <v>32537200</v>
      </c>
      <c r="T77" s="22">
        <v>20706600</v>
      </c>
      <c r="U77" s="22">
        <v>25725300</v>
      </c>
      <c r="V77" s="22">
        <v>22693000</v>
      </c>
      <c r="W77" s="22">
        <v>22063700</v>
      </c>
      <c r="X77" s="22">
        <v>28789700</v>
      </c>
      <c r="Y77" s="22">
        <v>27620900</v>
      </c>
      <c r="Z77" s="22">
        <v>26726100</v>
      </c>
      <c r="AA77" s="22">
        <v>20615100</v>
      </c>
      <c r="AB77" s="22">
        <v>29442600</v>
      </c>
      <c r="AC77" s="22">
        <v>27541100</v>
      </c>
      <c r="AD77" s="22">
        <v>25839700</v>
      </c>
      <c r="AE77" s="22">
        <v>30734900</v>
      </c>
      <c r="AF77" s="22">
        <v>18955400</v>
      </c>
      <c r="AG77" s="22">
        <v>19751600</v>
      </c>
      <c r="AH77" s="22">
        <v>27875500</v>
      </c>
      <c r="AI77" s="22">
        <v>37933000</v>
      </c>
      <c r="AJ77" s="22">
        <v>39820000</v>
      </c>
      <c r="AK77" s="22">
        <v>25312200</v>
      </c>
      <c r="AL77" s="22">
        <v>17980500</v>
      </c>
      <c r="AM77" s="22">
        <v>22249700</v>
      </c>
      <c r="AN77" s="22">
        <v>16498800</v>
      </c>
      <c r="AO77" s="22">
        <v>21798100</v>
      </c>
      <c r="AP77" s="22">
        <v>26030500</v>
      </c>
      <c r="AQ77" s="22">
        <v>23002200</v>
      </c>
      <c r="AR77" s="22">
        <v>30946400</v>
      </c>
      <c r="AS77" s="22">
        <v>43178700</v>
      </c>
      <c r="AT77" s="22">
        <v>31564100</v>
      </c>
      <c r="AU77" s="22">
        <v>29534100</v>
      </c>
      <c r="AV77" s="22">
        <v>29055900</v>
      </c>
      <c r="AW77" s="22">
        <v>43038000</v>
      </c>
      <c r="AX77" s="22">
        <v>43038000</v>
      </c>
      <c r="AY77" s="22">
        <v>75083900</v>
      </c>
      <c r="AZ77" s="22">
        <v>37816000</v>
      </c>
      <c r="BA77" s="22">
        <v>21904100</v>
      </c>
      <c r="BB77" s="22">
        <v>32130400</v>
      </c>
      <c r="BC77" s="22">
        <v>21920800</v>
      </c>
      <c r="BD77" s="22">
        <v>22659400</v>
      </c>
      <c r="BE77" s="22">
        <v>23206300</v>
      </c>
      <c r="BF77" s="22">
        <v>20463800</v>
      </c>
      <c r="BG77" s="22">
        <v>19345300</v>
      </c>
      <c r="BH77" s="22">
        <v>14589600</v>
      </c>
      <c r="BI77" s="22">
        <v>14251500</v>
      </c>
      <c r="BJ77" s="22">
        <v>20154600</v>
      </c>
      <c r="BK77" s="22">
        <v>20317000</v>
      </c>
      <c r="BL77" s="22">
        <v>15920200</v>
      </c>
      <c r="BM77" s="1">
        <v>14353200</v>
      </c>
      <c r="BN77" s="1">
        <v>16930900</v>
      </c>
      <c r="BO77" s="1">
        <v>20191400</v>
      </c>
      <c r="BP77" s="1">
        <v>27222600</v>
      </c>
    </row>
    <row r="78" spans="1:68" ht="15.9" customHeight="1">
      <c r="A78" s="396" t="s">
        <v>151</v>
      </c>
      <c r="B78" s="49" t="s">
        <v>152</v>
      </c>
      <c r="C78" s="53" t="str">
        <f>_xll.RssMarket("6954","出来高")</f>
        <v/>
      </c>
      <c r="D78" s="205" t="e">
        <f t="shared" si="1"/>
        <v>#VALUE!</v>
      </c>
      <c r="E78" s="203">
        <v>7839600</v>
      </c>
      <c r="F78" s="22">
        <v>3773900</v>
      </c>
      <c r="G78" s="22">
        <v>5016300</v>
      </c>
      <c r="H78" s="22">
        <v>5036400</v>
      </c>
      <c r="I78" s="22">
        <v>6055500</v>
      </c>
      <c r="J78" s="22">
        <v>4478800</v>
      </c>
      <c r="K78" s="22">
        <v>7987400</v>
      </c>
      <c r="L78" s="22">
        <v>6370600</v>
      </c>
      <c r="M78" s="22">
        <v>4083900</v>
      </c>
      <c r="N78" s="22">
        <v>4447400</v>
      </c>
      <c r="O78" s="22">
        <v>3966700</v>
      </c>
      <c r="P78" s="22">
        <v>4489400</v>
      </c>
      <c r="Q78" s="22">
        <v>5841600</v>
      </c>
      <c r="R78" s="22">
        <v>3974700</v>
      </c>
      <c r="S78" s="22">
        <v>6268300</v>
      </c>
      <c r="T78" s="22">
        <v>4730000</v>
      </c>
      <c r="U78" s="22">
        <v>4991800</v>
      </c>
      <c r="V78" s="22">
        <v>7283200</v>
      </c>
      <c r="W78" s="22">
        <v>9748200</v>
      </c>
      <c r="X78" s="22">
        <v>5994600</v>
      </c>
      <c r="Y78" s="22">
        <v>5923100</v>
      </c>
      <c r="Z78" s="22">
        <v>5209500</v>
      </c>
      <c r="AA78" s="22">
        <v>5451900</v>
      </c>
      <c r="AB78" s="22">
        <v>7191600</v>
      </c>
      <c r="AC78" s="22">
        <v>7393100</v>
      </c>
      <c r="AD78" s="22">
        <v>6944300</v>
      </c>
      <c r="AE78" s="22">
        <v>7184200</v>
      </c>
      <c r="AF78" s="22">
        <v>5280700</v>
      </c>
      <c r="AG78" s="22">
        <v>4661100</v>
      </c>
      <c r="AH78" s="22">
        <v>6182500</v>
      </c>
      <c r="AI78" s="22">
        <v>7795300</v>
      </c>
      <c r="AJ78" s="22">
        <v>8214300</v>
      </c>
      <c r="AK78" s="22">
        <v>6951500</v>
      </c>
      <c r="AL78" s="22">
        <v>5836500</v>
      </c>
      <c r="AM78" s="22">
        <v>6752400</v>
      </c>
      <c r="AN78" s="22">
        <v>8458800</v>
      </c>
      <c r="AO78" s="22">
        <v>7741100</v>
      </c>
      <c r="AP78" s="22">
        <v>7749300</v>
      </c>
      <c r="AQ78" s="22">
        <v>6393300</v>
      </c>
      <c r="AR78" s="22">
        <v>7397500</v>
      </c>
      <c r="AS78" s="22">
        <v>14410600</v>
      </c>
      <c r="AT78" s="22">
        <v>16737500</v>
      </c>
      <c r="AU78" s="22">
        <v>5749400</v>
      </c>
      <c r="AV78" s="22">
        <v>8351500</v>
      </c>
      <c r="AW78" s="22">
        <v>8889100</v>
      </c>
      <c r="AX78" s="22">
        <v>8889100</v>
      </c>
      <c r="AY78" s="22">
        <v>12964500</v>
      </c>
      <c r="AZ78" s="22">
        <v>9370000</v>
      </c>
      <c r="BA78" s="22">
        <v>4880600</v>
      </c>
      <c r="BB78" s="22">
        <v>10775600</v>
      </c>
      <c r="BC78" s="22">
        <v>12809200</v>
      </c>
      <c r="BD78" s="22">
        <v>17662700</v>
      </c>
      <c r="BE78" s="22">
        <v>6099800</v>
      </c>
      <c r="BF78" s="22">
        <v>6293400</v>
      </c>
      <c r="BG78" s="22">
        <v>5444200</v>
      </c>
      <c r="BH78" s="22">
        <v>5311400</v>
      </c>
      <c r="BI78" s="22">
        <v>5984100</v>
      </c>
      <c r="BJ78" s="22">
        <v>3654100</v>
      </c>
      <c r="BK78" s="22">
        <v>4599900</v>
      </c>
      <c r="BL78" s="22">
        <v>4550300</v>
      </c>
      <c r="BM78" s="1">
        <v>4601900</v>
      </c>
      <c r="BN78" s="1">
        <v>6561000</v>
      </c>
      <c r="BO78" s="1">
        <v>7688200</v>
      </c>
      <c r="BP78" s="1">
        <v>4730400</v>
      </c>
    </row>
    <row r="79" spans="1:68" ht="15.9" customHeight="1">
      <c r="A79" s="396" t="s">
        <v>153</v>
      </c>
      <c r="B79" s="49" t="s">
        <v>154</v>
      </c>
      <c r="C79" s="53" t="str">
        <f>_xll.RssMarket("6479","出来高")</f>
        <v/>
      </c>
      <c r="D79" s="205" t="e">
        <f t="shared" si="1"/>
        <v>#VALUE!</v>
      </c>
      <c r="E79" s="203">
        <v>4373500</v>
      </c>
      <c r="F79" s="22">
        <v>1909100</v>
      </c>
      <c r="G79" s="22">
        <v>3393800</v>
      </c>
      <c r="H79" s="22">
        <v>3713200</v>
      </c>
      <c r="I79" s="22">
        <v>2995100</v>
      </c>
      <c r="J79" s="22">
        <v>3138400</v>
      </c>
      <c r="K79" s="22">
        <v>4635500</v>
      </c>
      <c r="L79" s="22">
        <v>5217800</v>
      </c>
      <c r="M79" s="22">
        <v>5090800</v>
      </c>
      <c r="N79" s="22">
        <v>2946700</v>
      </c>
      <c r="O79" s="22">
        <v>3382500</v>
      </c>
      <c r="P79" s="22">
        <v>4337400</v>
      </c>
      <c r="Q79" s="22">
        <v>2944000</v>
      </c>
      <c r="R79" s="22">
        <v>2684400</v>
      </c>
      <c r="S79" s="22">
        <v>4154600</v>
      </c>
      <c r="T79" s="22">
        <v>4180100</v>
      </c>
      <c r="U79" s="22">
        <v>4720500</v>
      </c>
      <c r="V79" s="22">
        <v>5314900</v>
      </c>
      <c r="W79" s="22">
        <v>5082000</v>
      </c>
      <c r="X79" s="22">
        <v>4611300</v>
      </c>
      <c r="Y79" s="22">
        <v>4161100</v>
      </c>
      <c r="Z79" s="22">
        <v>3190800</v>
      </c>
      <c r="AA79" s="22">
        <v>4167100</v>
      </c>
      <c r="AB79" s="22">
        <v>4112800</v>
      </c>
      <c r="AC79" s="22">
        <v>3900000</v>
      </c>
      <c r="AD79" s="22">
        <v>3205000</v>
      </c>
      <c r="AE79" s="22">
        <v>4165100</v>
      </c>
      <c r="AF79" s="22">
        <v>4271400</v>
      </c>
      <c r="AG79" s="22">
        <v>2769600</v>
      </c>
      <c r="AH79" s="22">
        <v>3795400</v>
      </c>
      <c r="AI79" s="22">
        <v>3912700</v>
      </c>
      <c r="AJ79" s="22">
        <v>5338600</v>
      </c>
      <c r="AK79" s="22">
        <v>2061300</v>
      </c>
      <c r="AL79" s="22">
        <v>2314900</v>
      </c>
      <c r="AM79" s="22">
        <v>2539800</v>
      </c>
      <c r="AN79" s="22">
        <v>2298900</v>
      </c>
      <c r="AO79" s="22">
        <v>2440900</v>
      </c>
      <c r="AP79" s="22">
        <v>2528700</v>
      </c>
      <c r="AQ79" s="22">
        <v>2137400</v>
      </c>
      <c r="AR79" s="22">
        <v>3076500</v>
      </c>
      <c r="AS79" s="22">
        <v>3164100</v>
      </c>
      <c r="AT79" s="22">
        <v>4083300</v>
      </c>
      <c r="AU79" s="22">
        <v>5903700</v>
      </c>
      <c r="AV79" s="22">
        <v>4164300</v>
      </c>
      <c r="AW79" s="22">
        <v>2485800</v>
      </c>
      <c r="AX79" s="22">
        <v>2485800</v>
      </c>
      <c r="AY79" s="22">
        <v>3109800</v>
      </c>
      <c r="AZ79" s="22">
        <v>3393700</v>
      </c>
      <c r="BA79" s="22">
        <v>1751000</v>
      </c>
      <c r="BB79" s="22">
        <v>2720400</v>
      </c>
      <c r="BC79" s="22">
        <v>1935600</v>
      </c>
      <c r="BD79" s="22">
        <v>2073000</v>
      </c>
      <c r="BE79" s="22">
        <v>1633500</v>
      </c>
      <c r="BF79" s="22">
        <v>1851200</v>
      </c>
      <c r="BG79" s="22">
        <v>1569700</v>
      </c>
      <c r="BH79" s="22">
        <v>1614700</v>
      </c>
      <c r="BI79" s="22">
        <v>2611900</v>
      </c>
      <c r="BJ79" s="22">
        <v>2005700</v>
      </c>
      <c r="BK79" s="22">
        <v>3963000</v>
      </c>
      <c r="BL79" s="22">
        <v>1918900</v>
      </c>
      <c r="BM79" s="1">
        <v>2206500</v>
      </c>
      <c r="BN79" s="1">
        <v>2234000</v>
      </c>
      <c r="BO79" s="1">
        <v>3069300</v>
      </c>
      <c r="BP79" s="1">
        <v>1837700</v>
      </c>
    </row>
    <row r="80" spans="1:68" ht="15.9" customHeight="1">
      <c r="A80" s="396" t="s">
        <v>155</v>
      </c>
      <c r="B80" s="49" t="s">
        <v>156</v>
      </c>
      <c r="C80" s="53" t="str">
        <f>_xll.RssMarket("1833","出来高")</f>
        <v/>
      </c>
      <c r="D80" s="205" t="e">
        <f t="shared" si="1"/>
        <v>#VALUE!</v>
      </c>
      <c r="E80" s="203">
        <v>135800</v>
      </c>
      <c r="F80" s="22">
        <v>108600</v>
      </c>
      <c r="G80" s="22">
        <v>66000</v>
      </c>
      <c r="H80" s="22">
        <v>100000</v>
      </c>
      <c r="I80" s="22">
        <v>100800</v>
      </c>
      <c r="J80" s="22">
        <v>87100</v>
      </c>
      <c r="K80" s="22">
        <v>103700</v>
      </c>
      <c r="L80" s="22">
        <v>105300</v>
      </c>
      <c r="M80" s="22">
        <v>66800</v>
      </c>
      <c r="N80" s="22">
        <v>75100</v>
      </c>
      <c r="O80" s="22">
        <v>85400</v>
      </c>
      <c r="P80" s="22">
        <v>96800</v>
      </c>
      <c r="Q80" s="22">
        <v>108500</v>
      </c>
      <c r="R80" s="22">
        <v>95900</v>
      </c>
      <c r="S80" s="22">
        <v>61400</v>
      </c>
      <c r="T80" s="22">
        <v>85900</v>
      </c>
      <c r="U80" s="22">
        <v>68100</v>
      </c>
      <c r="V80" s="22">
        <v>70500</v>
      </c>
      <c r="W80" s="22">
        <v>57600</v>
      </c>
      <c r="X80" s="22">
        <v>142100</v>
      </c>
      <c r="Y80" s="22">
        <v>103500</v>
      </c>
      <c r="Z80" s="22">
        <v>53400</v>
      </c>
      <c r="AA80" s="22">
        <v>82800</v>
      </c>
      <c r="AB80" s="22">
        <v>137700</v>
      </c>
      <c r="AC80" s="22">
        <v>116400</v>
      </c>
      <c r="AD80" s="22">
        <v>91000</v>
      </c>
      <c r="AE80" s="22">
        <v>122500</v>
      </c>
      <c r="AF80" s="22">
        <v>73300</v>
      </c>
      <c r="AG80" s="22">
        <v>127500</v>
      </c>
      <c r="AH80" s="22">
        <v>100000</v>
      </c>
      <c r="AI80" s="22">
        <v>137800</v>
      </c>
      <c r="AJ80" s="22">
        <v>142200</v>
      </c>
      <c r="AK80" s="22">
        <v>140100</v>
      </c>
      <c r="AL80" s="22">
        <v>139700</v>
      </c>
      <c r="AM80" s="22">
        <v>102400</v>
      </c>
      <c r="AN80" s="22">
        <v>153500</v>
      </c>
      <c r="AO80" s="22">
        <v>82500</v>
      </c>
      <c r="AP80" s="22">
        <v>147000</v>
      </c>
      <c r="AQ80" s="22">
        <v>120000</v>
      </c>
      <c r="AR80" s="22">
        <v>258100</v>
      </c>
      <c r="AS80" s="22">
        <v>120700</v>
      </c>
      <c r="AT80" s="22">
        <v>105600</v>
      </c>
      <c r="AU80" s="22">
        <v>112700</v>
      </c>
      <c r="AV80" s="22">
        <v>189600</v>
      </c>
      <c r="AW80" s="22">
        <v>223400</v>
      </c>
      <c r="AX80" s="22">
        <v>223400</v>
      </c>
      <c r="AY80" s="22">
        <v>102600</v>
      </c>
      <c r="AZ80" s="22">
        <v>139500</v>
      </c>
      <c r="BA80" s="22">
        <v>71100</v>
      </c>
      <c r="BB80" s="22">
        <v>97700</v>
      </c>
      <c r="BC80" s="22">
        <v>117100</v>
      </c>
      <c r="BD80" s="22">
        <v>83800</v>
      </c>
      <c r="BE80" s="22">
        <v>97200</v>
      </c>
      <c r="BF80" s="22">
        <v>173000</v>
      </c>
      <c r="BG80" s="22">
        <v>83200</v>
      </c>
      <c r="BH80" s="22">
        <v>48100</v>
      </c>
      <c r="BI80" s="22">
        <v>62600</v>
      </c>
      <c r="BJ80" s="22">
        <v>76400</v>
      </c>
      <c r="BK80" s="22">
        <v>76900</v>
      </c>
      <c r="BL80" s="22">
        <v>66600</v>
      </c>
      <c r="BM80" s="1">
        <v>59500</v>
      </c>
      <c r="BN80" s="1">
        <v>83400</v>
      </c>
      <c r="BO80" s="1">
        <v>84400</v>
      </c>
      <c r="BP80" s="1">
        <v>60900</v>
      </c>
    </row>
    <row r="81" spans="1:68" ht="15.9" customHeight="1">
      <c r="A81" s="396" t="s">
        <v>157</v>
      </c>
      <c r="B81" s="49" t="s">
        <v>158</v>
      </c>
      <c r="C81" s="53" t="str">
        <f>_xll.RssMarket("6841","出来高")</f>
        <v/>
      </c>
      <c r="D81" s="205" t="e">
        <f t="shared" si="1"/>
        <v>#VALUE!</v>
      </c>
      <c r="E81" s="203">
        <v>1176200</v>
      </c>
      <c r="F81" s="22">
        <v>1187900</v>
      </c>
      <c r="G81" s="22">
        <v>928200</v>
      </c>
      <c r="H81" s="22">
        <v>982300</v>
      </c>
      <c r="I81" s="22">
        <v>1411400</v>
      </c>
      <c r="J81" s="22">
        <v>1030800</v>
      </c>
      <c r="K81" s="22">
        <v>1031300</v>
      </c>
      <c r="L81" s="22">
        <v>1264400</v>
      </c>
      <c r="M81" s="22">
        <v>542600</v>
      </c>
      <c r="N81" s="22">
        <v>986600</v>
      </c>
      <c r="O81" s="22">
        <v>1179100</v>
      </c>
      <c r="P81" s="22">
        <v>753900</v>
      </c>
      <c r="Q81" s="22">
        <v>1006800</v>
      </c>
      <c r="R81" s="22">
        <v>1206000</v>
      </c>
      <c r="S81" s="22">
        <v>1012200</v>
      </c>
      <c r="T81" s="22">
        <v>953600</v>
      </c>
      <c r="U81" s="22">
        <v>986100</v>
      </c>
      <c r="V81" s="22">
        <v>1558800</v>
      </c>
      <c r="W81" s="22">
        <v>1471400</v>
      </c>
      <c r="X81" s="22">
        <v>1404400</v>
      </c>
      <c r="Y81" s="22">
        <v>1500600</v>
      </c>
      <c r="Z81" s="22">
        <v>1378800</v>
      </c>
      <c r="AA81" s="22">
        <v>1208500</v>
      </c>
      <c r="AB81" s="22">
        <v>2067500</v>
      </c>
      <c r="AC81" s="22">
        <v>1381700</v>
      </c>
      <c r="AD81" s="22">
        <v>1238500</v>
      </c>
      <c r="AE81" s="22">
        <v>1439100</v>
      </c>
      <c r="AF81" s="22">
        <v>1101800</v>
      </c>
      <c r="AG81" s="22">
        <v>1120200</v>
      </c>
      <c r="AH81" s="22">
        <v>1828000</v>
      </c>
      <c r="AI81" s="22">
        <v>1704500</v>
      </c>
      <c r="AJ81" s="22">
        <v>2284700</v>
      </c>
      <c r="AK81" s="22">
        <v>1054800</v>
      </c>
      <c r="AL81" s="22">
        <v>1788100</v>
      </c>
      <c r="AM81" s="22">
        <v>1144000</v>
      </c>
      <c r="AN81" s="22">
        <v>1273900</v>
      </c>
      <c r="AO81" s="22">
        <v>1695700</v>
      </c>
      <c r="AP81" s="22">
        <v>2295100</v>
      </c>
      <c r="AQ81" s="22">
        <v>1400400</v>
      </c>
      <c r="AR81" s="22">
        <v>1367400</v>
      </c>
      <c r="AS81" s="22">
        <v>1323900</v>
      </c>
      <c r="AT81" s="22">
        <v>1551700</v>
      </c>
      <c r="AU81" s="22">
        <v>1625900</v>
      </c>
      <c r="AV81" s="22">
        <v>1966400</v>
      </c>
      <c r="AW81" s="22">
        <v>2119200</v>
      </c>
      <c r="AX81" s="22">
        <v>2119200</v>
      </c>
      <c r="AY81" s="22">
        <v>4183400</v>
      </c>
      <c r="AZ81" s="22">
        <v>2628100</v>
      </c>
      <c r="BA81" s="22">
        <v>820600</v>
      </c>
      <c r="BB81" s="22">
        <v>1379400</v>
      </c>
      <c r="BC81" s="22">
        <v>1894600</v>
      </c>
      <c r="BD81" s="22">
        <v>1079800</v>
      </c>
      <c r="BE81" s="22">
        <v>776800</v>
      </c>
      <c r="BF81" s="22">
        <v>925100</v>
      </c>
      <c r="BG81" s="22">
        <v>857500</v>
      </c>
      <c r="BH81" s="22">
        <v>918900</v>
      </c>
      <c r="BI81" s="22">
        <v>761600</v>
      </c>
      <c r="BJ81" s="22">
        <v>825700</v>
      </c>
      <c r="BK81" s="22">
        <v>868900</v>
      </c>
      <c r="BL81" s="22">
        <v>1024200</v>
      </c>
      <c r="BM81" s="1">
        <v>803200</v>
      </c>
      <c r="BN81" s="1">
        <v>827300</v>
      </c>
      <c r="BO81" s="1">
        <v>1248900</v>
      </c>
      <c r="BP81" s="1">
        <v>2368800</v>
      </c>
    </row>
    <row r="82" spans="1:68" ht="15.9" customHeight="1">
      <c r="A82" s="396" t="s">
        <v>159</v>
      </c>
      <c r="B82" s="49" t="s">
        <v>160</v>
      </c>
      <c r="C82" s="53" t="str">
        <f>_xll.RssMarket("7167","出来高")</f>
        <v/>
      </c>
      <c r="D82" s="205" t="e">
        <f t="shared" si="1"/>
        <v>#VALUE!</v>
      </c>
      <c r="E82" s="203">
        <v>3591800</v>
      </c>
      <c r="F82" s="22">
        <v>4657800</v>
      </c>
      <c r="G82" s="22">
        <v>3091500</v>
      </c>
      <c r="H82" s="22">
        <v>3062600</v>
      </c>
      <c r="I82" s="22">
        <v>3091600</v>
      </c>
      <c r="J82" s="22">
        <v>3110200</v>
      </c>
      <c r="K82" s="22">
        <v>3030300</v>
      </c>
      <c r="L82" s="22">
        <v>2855400</v>
      </c>
      <c r="M82" s="22">
        <v>2349700</v>
      </c>
      <c r="N82" s="22">
        <v>2474500</v>
      </c>
      <c r="O82" s="22">
        <v>2971700</v>
      </c>
      <c r="P82" s="22">
        <v>2591700</v>
      </c>
      <c r="Q82" s="22">
        <v>2749300</v>
      </c>
      <c r="R82" s="22">
        <v>2402500</v>
      </c>
      <c r="S82" s="22">
        <v>2456700</v>
      </c>
      <c r="T82" s="22">
        <v>2066000</v>
      </c>
      <c r="U82" s="22">
        <v>2827300</v>
      </c>
      <c r="V82" s="22">
        <v>1754500</v>
      </c>
      <c r="W82" s="22">
        <v>1308500</v>
      </c>
      <c r="X82" s="22">
        <v>3168900</v>
      </c>
      <c r="Y82" s="22">
        <v>2756400</v>
      </c>
      <c r="Z82" s="22">
        <v>2240800</v>
      </c>
      <c r="AA82" s="22">
        <v>2781800</v>
      </c>
      <c r="AB82" s="22">
        <v>3586800</v>
      </c>
      <c r="AC82" s="22">
        <v>2414800</v>
      </c>
      <c r="AD82" s="22">
        <v>3483900</v>
      </c>
      <c r="AE82" s="22">
        <v>2237600</v>
      </c>
      <c r="AF82" s="22">
        <v>2129900</v>
      </c>
      <c r="AG82" s="22">
        <v>2651100</v>
      </c>
      <c r="AH82" s="22">
        <v>2638500</v>
      </c>
      <c r="AI82" s="22">
        <v>2606100</v>
      </c>
      <c r="AJ82" s="22">
        <v>3941700</v>
      </c>
      <c r="AK82" s="22">
        <v>3132200</v>
      </c>
      <c r="AL82" s="22">
        <v>2292900</v>
      </c>
      <c r="AM82" s="22">
        <v>1587100</v>
      </c>
      <c r="AN82" s="22">
        <v>1883200</v>
      </c>
      <c r="AO82" s="22">
        <v>2030200</v>
      </c>
      <c r="AP82" s="22">
        <v>2293300</v>
      </c>
      <c r="AQ82" s="22">
        <v>2100100</v>
      </c>
      <c r="AR82" s="22">
        <v>2254100</v>
      </c>
      <c r="AS82" s="22">
        <v>2181400</v>
      </c>
      <c r="AT82" s="22">
        <v>2772200</v>
      </c>
      <c r="AU82" s="22">
        <v>3722500</v>
      </c>
      <c r="AV82" s="22">
        <v>2010300</v>
      </c>
      <c r="AW82" s="22">
        <v>2011400</v>
      </c>
      <c r="AX82" s="22">
        <v>2011400</v>
      </c>
      <c r="AY82" s="22">
        <v>2637100</v>
      </c>
      <c r="AZ82" s="22">
        <v>4728000</v>
      </c>
      <c r="BA82" s="22">
        <v>2171400</v>
      </c>
      <c r="BB82" s="22">
        <v>2560300</v>
      </c>
      <c r="BC82" s="22">
        <v>2983200</v>
      </c>
      <c r="BD82" s="22">
        <v>2242900</v>
      </c>
      <c r="BE82" s="22">
        <v>2976800</v>
      </c>
      <c r="BF82" s="22">
        <v>2492700</v>
      </c>
      <c r="BG82" s="22">
        <v>2903300</v>
      </c>
      <c r="BH82" s="22">
        <v>2316100</v>
      </c>
      <c r="BI82" s="22">
        <v>1435500</v>
      </c>
      <c r="BJ82" s="22">
        <v>1505100</v>
      </c>
      <c r="BK82" s="22">
        <v>1456000</v>
      </c>
      <c r="BL82" s="22">
        <v>1765400</v>
      </c>
      <c r="BM82" s="1">
        <v>1404200</v>
      </c>
      <c r="BN82" s="1">
        <v>2049400</v>
      </c>
      <c r="BO82" s="1">
        <v>2054300</v>
      </c>
      <c r="BP82" s="1">
        <v>3148900</v>
      </c>
    </row>
    <row r="83" spans="1:68" ht="15.9" customHeight="1">
      <c r="A83" s="396" t="s">
        <v>161</v>
      </c>
      <c r="B83" s="49" t="s">
        <v>162</v>
      </c>
      <c r="C83" s="53" t="str">
        <f>_xll.RssMarket("1925","出来高")</f>
        <v/>
      </c>
      <c r="D83" s="205" t="e">
        <f t="shared" si="1"/>
        <v>#VALUE!</v>
      </c>
      <c r="E83" s="203">
        <v>2201200</v>
      </c>
      <c r="F83" s="22">
        <v>1844700</v>
      </c>
      <c r="G83" s="22">
        <v>1898400</v>
      </c>
      <c r="H83" s="22">
        <v>1862600</v>
      </c>
      <c r="I83" s="22">
        <v>1587000</v>
      </c>
      <c r="J83" s="22">
        <v>1401300</v>
      </c>
      <c r="K83" s="22">
        <v>1904000</v>
      </c>
      <c r="L83" s="22">
        <v>2617100</v>
      </c>
      <c r="M83" s="22">
        <v>1999500</v>
      </c>
      <c r="N83" s="22">
        <v>1833600</v>
      </c>
      <c r="O83" s="22">
        <v>1870700</v>
      </c>
      <c r="P83" s="22">
        <v>2086800</v>
      </c>
      <c r="Q83" s="22">
        <v>3123700</v>
      </c>
      <c r="R83" s="22">
        <v>5055800</v>
      </c>
      <c r="S83" s="22">
        <v>1909100</v>
      </c>
      <c r="T83" s="22">
        <v>1993100</v>
      </c>
      <c r="U83" s="22">
        <v>1622500</v>
      </c>
      <c r="V83" s="22">
        <v>1909000</v>
      </c>
      <c r="W83" s="22">
        <v>1754600</v>
      </c>
      <c r="X83" s="22">
        <v>2402500</v>
      </c>
      <c r="Y83" s="22">
        <v>1947400</v>
      </c>
      <c r="Z83" s="22">
        <v>2281300</v>
      </c>
      <c r="AA83" s="22">
        <v>1832900</v>
      </c>
      <c r="AB83" s="22">
        <v>2675400</v>
      </c>
      <c r="AC83" s="22">
        <v>2081800</v>
      </c>
      <c r="AD83" s="22">
        <v>3086400</v>
      </c>
      <c r="AE83" s="22">
        <v>2577200</v>
      </c>
      <c r="AF83" s="22">
        <v>2200100</v>
      </c>
      <c r="AG83" s="22">
        <v>2674200</v>
      </c>
      <c r="AH83" s="22">
        <v>2592100</v>
      </c>
      <c r="AI83" s="22">
        <v>3914800</v>
      </c>
      <c r="AJ83" s="22">
        <v>4883800</v>
      </c>
      <c r="AK83" s="22">
        <v>2323300</v>
      </c>
      <c r="AL83" s="22">
        <v>1988400</v>
      </c>
      <c r="AM83" s="22">
        <v>1670200</v>
      </c>
      <c r="AN83" s="22">
        <v>2101400</v>
      </c>
      <c r="AO83" s="22">
        <v>2173400</v>
      </c>
      <c r="AP83" s="22">
        <v>2477700</v>
      </c>
      <c r="AQ83" s="22">
        <v>2614600</v>
      </c>
      <c r="AR83" s="22">
        <v>2449900</v>
      </c>
      <c r="AS83" s="22">
        <v>3148900</v>
      </c>
      <c r="AT83" s="22">
        <v>3938800</v>
      </c>
      <c r="AU83" s="22">
        <v>2161000</v>
      </c>
      <c r="AV83" s="22">
        <v>1692500</v>
      </c>
      <c r="AW83" s="22">
        <v>1610200</v>
      </c>
      <c r="AX83" s="22">
        <v>1610200</v>
      </c>
      <c r="AY83" s="22">
        <v>2179700</v>
      </c>
      <c r="AZ83" s="22">
        <v>2782200</v>
      </c>
      <c r="BA83" s="22">
        <v>1346800</v>
      </c>
      <c r="BB83" s="22">
        <v>2579100</v>
      </c>
      <c r="BC83" s="22">
        <v>1997400</v>
      </c>
      <c r="BD83" s="22">
        <v>1433800</v>
      </c>
      <c r="BE83" s="22">
        <v>1278800</v>
      </c>
      <c r="BF83" s="22">
        <v>1476200</v>
      </c>
      <c r="BG83" s="22">
        <v>1418500</v>
      </c>
      <c r="BH83" s="22">
        <v>1307900</v>
      </c>
      <c r="BI83" s="22">
        <v>1799900</v>
      </c>
      <c r="BJ83" s="22">
        <v>1823600</v>
      </c>
      <c r="BK83" s="22">
        <v>1694700</v>
      </c>
      <c r="BL83" s="22">
        <v>2309800</v>
      </c>
      <c r="BM83" s="1">
        <v>2371600</v>
      </c>
      <c r="BN83" s="1">
        <v>1639900</v>
      </c>
      <c r="BO83" s="1">
        <v>1515900</v>
      </c>
      <c r="BP83" s="1">
        <v>1839600</v>
      </c>
    </row>
    <row r="84" spans="1:68" ht="15.9" customHeight="1">
      <c r="A84" s="396" t="s">
        <v>163</v>
      </c>
      <c r="B84" s="49" t="s">
        <v>164</v>
      </c>
      <c r="C84" s="53" t="str">
        <f>_xll.RssMarket("5411","出来高")</f>
        <v/>
      </c>
      <c r="D84" s="205" t="e">
        <f t="shared" si="1"/>
        <v>#VALUE!</v>
      </c>
      <c r="E84" s="203">
        <v>5284100</v>
      </c>
      <c r="F84" s="22">
        <v>3651100</v>
      </c>
      <c r="G84" s="22">
        <v>5135900</v>
      </c>
      <c r="H84" s="22">
        <v>3691700</v>
      </c>
      <c r="I84" s="22">
        <v>4298900</v>
      </c>
      <c r="J84" s="22">
        <v>4297400</v>
      </c>
      <c r="K84" s="22">
        <v>4604000</v>
      </c>
      <c r="L84" s="22">
        <v>5634300</v>
      </c>
      <c r="M84" s="22">
        <v>6081600</v>
      </c>
      <c r="N84" s="22">
        <v>6429800</v>
      </c>
      <c r="O84" s="22">
        <v>5976000</v>
      </c>
      <c r="P84" s="22">
        <v>4136000</v>
      </c>
      <c r="Q84" s="22">
        <v>5443500</v>
      </c>
      <c r="R84" s="22">
        <v>7413600</v>
      </c>
      <c r="S84" s="22">
        <v>5388100</v>
      </c>
      <c r="T84" s="22">
        <v>5012100</v>
      </c>
      <c r="U84" s="22">
        <v>4379400</v>
      </c>
      <c r="V84" s="22">
        <v>5249000</v>
      </c>
      <c r="W84" s="22">
        <v>4134000</v>
      </c>
      <c r="X84" s="22">
        <v>5121600</v>
      </c>
      <c r="Y84" s="22">
        <v>3383200</v>
      </c>
      <c r="Z84" s="22">
        <v>2749000</v>
      </c>
      <c r="AA84" s="22">
        <v>3995200</v>
      </c>
      <c r="AB84" s="22">
        <v>6191900</v>
      </c>
      <c r="AC84" s="22">
        <v>5167700</v>
      </c>
      <c r="AD84" s="22">
        <v>6356700</v>
      </c>
      <c r="AE84" s="22">
        <v>9822900</v>
      </c>
      <c r="AF84" s="22">
        <v>4205200</v>
      </c>
      <c r="AG84" s="22">
        <v>5194100</v>
      </c>
      <c r="AH84" s="22">
        <v>6015400</v>
      </c>
      <c r="AI84" s="22">
        <v>6408500</v>
      </c>
      <c r="AJ84" s="22">
        <v>9400900</v>
      </c>
      <c r="AK84" s="22">
        <v>4189400</v>
      </c>
      <c r="AL84" s="22">
        <v>5916700</v>
      </c>
      <c r="AM84" s="22">
        <v>3723400</v>
      </c>
      <c r="AN84" s="22">
        <v>4347000</v>
      </c>
      <c r="AO84" s="22">
        <v>3901700</v>
      </c>
      <c r="AP84" s="22">
        <v>4961000</v>
      </c>
      <c r="AQ84" s="22">
        <v>3753600</v>
      </c>
      <c r="AR84" s="22">
        <v>4155300</v>
      </c>
      <c r="AS84" s="22">
        <v>4992100</v>
      </c>
      <c r="AT84" s="22">
        <v>4579800</v>
      </c>
      <c r="AU84" s="22">
        <v>5780000</v>
      </c>
      <c r="AV84" s="22">
        <v>5041400</v>
      </c>
      <c r="AW84" s="22">
        <v>11984800</v>
      </c>
      <c r="AX84" s="22">
        <v>11984800</v>
      </c>
      <c r="AY84" s="22">
        <v>12245600</v>
      </c>
      <c r="AZ84" s="22">
        <v>6483700</v>
      </c>
      <c r="BA84" s="22">
        <v>3020900</v>
      </c>
      <c r="BB84" s="22">
        <v>5512200</v>
      </c>
      <c r="BC84" s="22">
        <v>3706400</v>
      </c>
      <c r="BD84" s="22">
        <v>3584700</v>
      </c>
      <c r="BE84" s="22">
        <v>5236500</v>
      </c>
      <c r="BF84" s="22">
        <v>5381200</v>
      </c>
      <c r="BG84" s="22">
        <v>4505900</v>
      </c>
      <c r="BH84" s="22">
        <v>5046900</v>
      </c>
      <c r="BI84" s="22">
        <v>5431700</v>
      </c>
      <c r="BJ84" s="22">
        <v>3244200</v>
      </c>
      <c r="BK84" s="22">
        <v>3236600</v>
      </c>
      <c r="BL84" s="22">
        <v>2754600</v>
      </c>
      <c r="BM84" s="1">
        <v>2895700</v>
      </c>
      <c r="BN84" s="1">
        <v>2399600</v>
      </c>
      <c r="BO84" s="1">
        <v>2343000</v>
      </c>
      <c r="BP84" s="1">
        <v>3021500</v>
      </c>
    </row>
    <row r="85" spans="1:68" ht="15.9" customHeight="1">
      <c r="A85" s="396" t="s">
        <v>165</v>
      </c>
      <c r="B85" s="49" t="s">
        <v>166</v>
      </c>
      <c r="C85" s="53" t="str">
        <f>_xll.RssMarket("7182","出来高")</f>
        <v/>
      </c>
      <c r="D85" s="205" t="e">
        <f t="shared" si="1"/>
        <v>#VALUE!</v>
      </c>
      <c r="E85" s="203">
        <v>6727800</v>
      </c>
      <c r="F85" s="22">
        <v>6865600</v>
      </c>
      <c r="G85" s="22">
        <v>5916400</v>
      </c>
      <c r="H85" s="22">
        <v>4707400</v>
      </c>
      <c r="I85" s="22">
        <v>4898400</v>
      </c>
      <c r="J85" s="22">
        <v>4393100</v>
      </c>
      <c r="K85" s="22">
        <v>5381800</v>
      </c>
      <c r="L85" s="22">
        <v>8416200</v>
      </c>
      <c r="M85" s="22">
        <v>4298700</v>
      </c>
      <c r="N85" s="22">
        <v>5814900</v>
      </c>
      <c r="O85" s="22">
        <v>4817700</v>
      </c>
      <c r="P85" s="22">
        <v>4252700</v>
      </c>
      <c r="Q85" s="22">
        <v>4938300</v>
      </c>
      <c r="R85" s="22">
        <v>5252300</v>
      </c>
      <c r="S85" s="22">
        <v>6799100</v>
      </c>
      <c r="T85" s="22">
        <v>7012300</v>
      </c>
      <c r="U85" s="22">
        <v>6660300</v>
      </c>
      <c r="V85" s="22">
        <v>5299900</v>
      </c>
      <c r="W85" s="22">
        <v>4310800</v>
      </c>
      <c r="X85" s="22">
        <v>7403100</v>
      </c>
      <c r="Y85" s="22">
        <v>8672100</v>
      </c>
      <c r="Z85" s="22">
        <v>6055800</v>
      </c>
      <c r="AA85" s="22">
        <v>6960200</v>
      </c>
      <c r="AB85" s="22">
        <v>10026900</v>
      </c>
      <c r="AC85" s="22">
        <v>7855800</v>
      </c>
      <c r="AD85" s="22">
        <v>7149700</v>
      </c>
      <c r="AE85" s="22">
        <v>6145400</v>
      </c>
      <c r="AF85" s="22">
        <v>7309400</v>
      </c>
      <c r="AG85" s="22">
        <v>10161600</v>
      </c>
      <c r="AH85" s="22">
        <v>6992900</v>
      </c>
      <c r="AI85" s="22">
        <v>5149400</v>
      </c>
      <c r="AJ85" s="22">
        <v>13344700</v>
      </c>
      <c r="AK85" s="22">
        <v>6364200</v>
      </c>
      <c r="AL85" s="22">
        <v>6409500</v>
      </c>
      <c r="AM85" s="22">
        <v>6814000</v>
      </c>
      <c r="AN85" s="22">
        <v>7640800</v>
      </c>
      <c r="AO85" s="22">
        <v>11469000</v>
      </c>
      <c r="AP85" s="22">
        <v>9882300</v>
      </c>
      <c r="AQ85" s="22">
        <v>8942700</v>
      </c>
      <c r="AR85" s="22">
        <v>13114800</v>
      </c>
      <c r="AS85" s="22">
        <v>8438700</v>
      </c>
      <c r="AT85" s="22">
        <v>4593500</v>
      </c>
      <c r="AU85" s="22">
        <v>4953500</v>
      </c>
      <c r="AV85" s="22">
        <v>6765400</v>
      </c>
      <c r="AW85" s="22">
        <v>8126100</v>
      </c>
      <c r="AX85" s="22">
        <v>8126100</v>
      </c>
      <c r="AY85" s="22">
        <v>7521200</v>
      </c>
      <c r="AZ85" s="22">
        <v>12403000</v>
      </c>
      <c r="BA85" s="22">
        <v>4522800</v>
      </c>
      <c r="BB85" s="22">
        <v>10746900</v>
      </c>
      <c r="BC85" s="22">
        <v>7988500</v>
      </c>
      <c r="BD85" s="22">
        <v>5819400</v>
      </c>
      <c r="BE85" s="22">
        <v>5596500</v>
      </c>
      <c r="BF85" s="22">
        <v>5926200</v>
      </c>
      <c r="BG85" s="22">
        <v>7408100</v>
      </c>
      <c r="BH85" s="22">
        <v>7654600</v>
      </c>
      <c r="BI85" s="22">
        <v>6160000</v>
      </c>
      <c r="BJ85" s="22">
        <v>6059900</v>
      </c>
      <c r="BK85" s="22">
        <v>5899900</v>
      </c>
      <c r="BL85" s="22">
        <v>5963700</v>
      </c>
      <c r="BM85" s="1">
        <v>4272300</v>
      </c>
      <c r="BN85" s="1">
        <v>3546100</v>
      </c>
      <c r="BO85" s="1">
        <v>4955100</v>
      </c>
      <c r="BP85" s="1">
        <v>7420300</v>
      </c>
    </row>
    <row r="86" spans="1:68" ht="15.9" customHeight="1">
      <c r="A86" s="396" t="s">
        <v>167</v>
      </c>
      <c r="B86" s="49" t="s">
        <v>168</v>
      </c>
      <c r="C86" s="53" t="str">
        <f>_xll.RssMarket("1963","出来高")</f>
        <v/>
      </c>
      <c r="D86" s="205" t="e">
        <f t="shared" si="1"/>
        <v>#VALUE!</v>
      </c>
      <c r="E86" s="203">
        <v>2120800</v>
      </c>
      <c r="F86" s="22">
        <v>1446700</v>
      </c>
      <c r="G86" s="22">
        <v>1422000</v>
      </c>
      <c r="H86" s="22">
        <v>1746500</v>
      </c>
      <c r="I86" s="22">
        <v>2042500</v>
      </c>
      <c r="J86" s="22">
        <v>2066100</v>
      </c>
      <c r="K86" s="22">
        <v>2219400</v>
      </c>
      <c r="L86" s="22">
        <v>1783200</v>
      </c>
      <c r="M86" s="22">
        <v>1322300</v>
      </c>
      <c r="N86" s="22">
        <v>1470500</v>
      </c>
      <c r="O86" s="22">
        <v>1111900</v>
      </c>
      <c r="P86" s="22">
        <v>1093200</v>
      </c>
      <c r="Q86" s="22">
        <v>1486500</v>
      </c>
      <c r="R86" s="22">
        <v>1814800</v>
      </c>
      <c r="S86" s="22">
        <v>2087700</v>
      </c>
      <c r="T86" s="22">
        <v>1419000</v>
      </c>
      <c r="U86" s="22">
        <v>1033600</v>
      </c>
      <c r="V86" s="22">
        <v>1596000</v>
      </c>
      <c r="W86" s="22">
        <v>2733400</v>
      </c>
      <c r="X86" s="22">
        <v>2207200</v>
      </c>
      <c r="Y86" s="22">
        <v>1477400</v>
      </c>
      <c r="Z86" s="22">
        <v>1864000</v>
      </c>
      <c r="AA86" s="22">
        <v>1373900</v>
      </c>
      <c r="AB86" s="22">
        <v>1460000</v>
      </c>
      <c r="AC86" s="22">
        <v>1467300</v>
      </c>
      <c r="AD86" s="22">
        <v>1394100</v>
      </c>
      <c r="AE86" s="22">
        <v>1732900</v>
      </c>
      <c r="AF86" s="22">
        <v>1449000</v>
      </c>
      <c r="AG86" s="22">
        <v>1013900</v>
      </c>
      <c r="AH86" s="22">
        <v>1911500</v>
      </c>
      <c r="AI86" s="22">
        <v>1527300</v>
      </c>
      <c r="AJ86" s="22">
        <v>2804000</v>
      </c>
      <c r="AK86" s="22">
        <v>2054500</v>
      </c>
      <c r="AL86" s="22">
        <v>1832300</v>
      </c>
      <c r="AM86" s="22">
        <v>2968800</v>
      </c>
      <c r="AN86" s="22">
        <v>3418300</v>
      </c>
      <c r="AO86" s="22">
        <v>2669700</v>
      </c>
      <c r="AP86" s="22">
        <v>3286900</v>
      </c>
      <c r="AQ86" s="22">
        <v>1889600</v>
      </c>
      <c r="AR86" s="22">
        <v>3296500</v>
      </c>
      <c r="AS86" s="22">
        <v>6228100</v>
      </c>
      <c r="AT86" s="22">
        <v>1875100</v>
      </c>
      <c r="AU86" s="22">
        <v>2617400</v>
      </c>
      <c r="AV86" s="22">
        <v>2664400</v>
      </c>
      <c r="AW86" s="22">
        <v>3104800</v>
      </c>
      <c r="AX86" s="22">
        <v>3104800</v>
      </c>
      <c r="AY86" s="22">
        <v>2213900</v>
      </c>
      <c r="AZ86" s="22">
        <v>2393100</v>
      </c>
      <c r="BA86" s="22">
        <v>1192600</v>
      </c>
      <c r="BB86" s="22">
        <v>2116500</v>
      </c>
      <c r="BC86" s="22">
        <v>2436700</v>
      </c>
      <c r="BD86" s="22">
        <v>2495200</v>
      </c>
      <c r="BE86" s="22">
        <v>2041700</v>
      </c>
      <c r="BF86" s="22">
        <v>3002500</v>
      </c>
      <c r="BG86" s="22">
        <v>2721100</v>
      </c>
      <c r="BH86" s="22">
        <v>2709400</v>
      </c>
      <c r="BI86" s="22">
        <v>2749000</v>
      </c>
      <c r="BJ86" s="22">
        <v>1962700</v>
      </c>
      <c r="BK86" s="22">
        <v>2822800</v>
      </c>
      <c r="BL86" s="22">
        <v>3177000</v>
      </c>
      <c r="BM86" s="1">
        <v>3566600</v>
      </c>
      <c r="BN86" s="1">
        <v>3001500</v>
      </c>
      <c r="BO86" s="1">
        <v>4256800</v>
      </c>
      <c r="BP86" s="1">
        <v>6389800</v>
      </c>
    </row>
    <row r="87" spans="1:68" ht="15.9" customHeight="1">
      <c r="A87" s="396" t="s">
        <v>169</v>
      </c>
      <c r="B87" s="49" t="s">
        <v>170</v>
      </c>
      <c r="C87" s="53" t="str">
        <f>_xll.RssMarket("2914","出来高")</f>
        <v/>
      </c>
      <c r="D87" s="205" t="e">
        <f t="shared" si="1"/>
        <v>#VALUE!</v>
      </c>
      <c r="E87" s="203">
        <v>6986400</v>
      </c>
      <c r="F87" s="22">
        <v>2876300</v>
      </c>
      <c r="G87" s="22">
        <v>3467000</v>
      </c>
      <c r="H87" s="22">
        <v>3223400</v>
      </c>
      <c r="I87" s="22">
        <v>3599100</v>
      </c>
      <c r="J87" s="22">
        <v>3066100</v>
      </c>
      <c r="K87" s="22">
        <v>5637500</v>
      </c>
      <c r="L87" s="22">
        <v>5656800</v>
      </c>
      <c r="M87" s="22">
        <v>3372400</v>
      </c>
      <c r="N87" s="22">
        <v>5202300</v>
      </c>
      <c r="O87" s="22">
        <v>4939200</v>
      </c>
      <c r="P87" s="22">
        <v>3580600</v>
      </c>
      <c r="Q87" s="22">
        <v>5487800</v>
      </c>
      <c r="R87" s="22">
        <v>7377800</v>
      </c>
      <c r="S87" s="22">
        <v>8185500</v>
      </c>
      <c r="T87" s="22">
        <v>4729000</v>
      </c>
      <c r="U87" s="22">
        <v>4656100</v>
      </c>
      <c r="V87" s="22">
        <v>4722300</v>
      </c>
      <c r="W87" s="22">
        <v>6847900</v>
      </c>
      <c r="X87" s="22">
        <v>4598600</v>
      </c>
      <c r="Y87" s="22">
        <v>2771600</v>
      </c>
      <c r="Z87" s="22">
        <v>3469400</v>
      </c>
      <c r="AA87" s="22">
        <v>3155000</v>
      </c>
      <c r="AB87" s="22">
        <v>7746000</v>
      </c>
      <c r="AC87" s="22">
        <v>6014400</v>
      </c>
      <c r="AD87" s="22">
        <v>3626400</v>
      </c>
      <c r="AE87" s="22">
        <v>4375600</v>
      </c>
      <c r="AF87" s="22">
        <v>3970300</v>
      </c>
      <c r="AG87" s="22">
        <v>3724400</v>
      </c>
      <c r="AH87" s="22">
        <v>3002800</v>
      </c>
      <c r="AI87" s="22">
        <v>3956700</v>
      </c>
      <c r="AJ87" s="22">
        <v>10724600</v>
      </c>
      <c r="AK87" s="22">
        <v>3448400</v>
      </c>
      <c r="AL87" s="22">
        <v>3071700</v>
      </c>
      <c r="AM87" s="22">
        <v>3270200</v>
      </c>
      <c r="AN87" s="22">
        <v>3680600</v>
      </c>
      <c r="AO87" s="22">
        <v>3821600</v>
      </c>
      <c r="AP87" s="22">
        <v>3702100</v>
      </c>
      <c r="AQ87" s="22">
        <v>3259100</v>
      </c>
      <c r="AR87" s="22">
        <v>3712200</v>
      </c>
      <c r="AS87" s="22">
        <v>3704200</v>
      </c>
      <c r="AT87" s="22">
        <v>4356700</v>
      </c>
      <c r="AU87" s="22">
        <v>4003600</v>
      </c>
      <c r="AV87" s="22">
        <v>11863100</v>
      </c>
      <c r="AW87" s="22">
        <v>11863100</v>
      </c>
      <c r="AX87" s="22">
        <v>5770200</v>
      </c>
      <c r="AY87" s="22">
        <v>4456100</v>
      </c>
      <c r="AZ87" s="22">
        <v>3174400</v>
      </c>
      <c r="BA87" s="22">
        <v>4136000</v>
      </c>
      <c r="BB87" s="22">
        <v>4445200</v>
      </c>
      <c r="BC87" s="22">
        <v>3211200</v>
      </c>
      <c r="BD87" s="22">
        <v>3201700</v>
      </c>
      <c r="BE87" s="22">
        <v>6374600</v>
      </c>
      <c r="BF87" s="22">
        <v>3852800</v>
      </c>
      <c r="BG87" s="22">
        <v>2480100</v>
      </c>
      <c r="BH87" s="22">
        <v>2465000</v>
      </c>
      <c r="BI87" s="22">
        <v>3226000</v>
      </c>
      <c r="BJ87" s="22">
        <v>3684400</v>
      </c>
      <c r="BK87" s="22">
        <v>3677700</v>
      </c>
      <c r="BL87" s="22">
        <v>4085900</v>
      </c>
      <c r="BM87" s="1">
        <v>2990100</v>
      </c>
      <c r="BN87" s="1">
        <v>3757200</v>
      </c>
      <c r="BO87" s="1">
        <v>4113600</v>
      </c>
      <c r="BP87" s="1">
        <v>4158000</v>
      </c>
    </row>
    <row r="88" spans="1:68" ht="15.9" customHeight="1">
      <c r="A88" s="396" t="s">
        <v>171</v>
      </c>
      <c r="B88" s="49" t="s">
        <v>172</v>
      </c>
      <c r="C88" s="53" t="str">
        <f>_xll.RssMarket("3003","出来高")</f>
        <v/>
      </c>
      <c r="D88" s="205" t="e">
        <f t="shared" si="1"/>
        <v>#VALUE!</v>
      </c>
      <c r="E88" s="203">
        <v>2721500</v>
      </c>
      <c r="F88" s="22">
        <v>2528200</v>
      </c>
      <c r="G88" s="22">
        <v>3337500</v>
      </c>
      <c r="H88" s="22">
        <v>1829200</v>
      </c>
      <c r="I88" s="22">
        <v>2054000</v>
      </c>
      <c r="J88" s="22">
        <v>2065700</v>
      </c>
      <c r="K88" s="22">
        <v>3245400</v>
      </c>
      <c r="L88" s="22">
        <v>2894300</v>
      </c>
      <c r="M88" s="22">
        <v>2134700</v>
      </c>
      <c r="N88" s="22">
        <v>2226600</v>
      </c>
      <c r="O88" s="22">
        <v>4112400</v>
      </c>
      <c r="P88" s="22">
        <v>2690700</v>
      </c>
      <c r="Q88" s="22">
        <v>3735700</v>
      </c>
      <c r="R88" s="22">
        <v>3603400</v>
      </c>
      <c r="S88" s="22">
        <v>3279300</v>
      </c>
      <c r="T88" s="22">
        <v>2466800</v>
      </c>
      <c r="U88" s="22">
        <v>2137200</v>
      </c>
      <c r="V88" s="22">
        <v>2798300</v>
      </c>
      <c r="W88" s="22">
        <v>2520300</v>
      </c>
      <c r="X88" s="22">
        <v>2593800</v>
      </c>
      <c r="Y88" s="22">
        <v>1819400</v>
      </c>
      <c r="Z88" s="22">
        <v>1869700</v>
      </c>
      <c r="AA88" s="22">
        <v>2423000</v>
      </c>
      <c r="AB88" s="22">
        <v>3906900</v>
      </c>
      <c r="AC88" s="22">
        <v>3257100</v>
      </c>
      <c r="AD88" s="22">
        <v>4265000</v>
      </c>
      <c r="AE88" s="22">
        <v>3733600</v>
      </c>
      <c r="AF88" s="22">
        <v>2105800</v>
      </c>
      <c r="AG88" s="22">
        <v>3286700</v>
      </c>
      <c r="AH88" s="22">
        <v>2449400</v>
      </c>
      <c r="AI88" s="22">
        <v>2997100</v>
      </c>
      <c r="AJ88" s="22">
        <v>9900200</v>
      </c>
      <c r="AK88" s="22">
        <v>2948700</v>
      </c>
      <c r="AL88" s="22">
        <v>3716200</v>
      </c>
      <c r="AM88" s="22">
        <v>4468400</v>
      </c>
      <c r="AN88" s="22">
        <v>9466700</v>
      </c>
      <c r="AO88" s="22">
        <v>1675900</v>
      </c>
      <c r="AP88" s="22">
        <v>2099200</v>
      </c>
      <c r="AQ88" s="22">
        <v>1897300</v>
      </c>
      <c r="AR88" s="22">
        <v>2668400</v>
      </c>
      <c r="AS88" s="22">
        <v>2477700</v>
      </c>
      <c r="AT88" s="22">
        <v>3073500</v>
      </c>
      <c r="AU88" s="22">
        <v>1300800</v>
      </c>
      <c r="AV88" s="22">
        <v>1398700</v>
      </c>
      <c r="AW88" s="22">
        <v>2252600</v>
      </c>
      <c r="AX88" s="22">
        <v>2252600</v>
      </c>
      <c r="AY88" s="22">
        <v>2518900</v>
      </c>
      <c r="AZ88" s="22">
        <v>3594600</v>
      </c>
      <c r="BA88" s="22">
        <v>2500000</v>
      </c>
      <c r="BB88" s="22">
        <v>3831400</v>
      </c>
      <c r="BC88" s="22">
        <v>3969400</v>
      </c>
      <c r="BD88" s="22">
        <v>5587600</v>
      </c>
      <c r="BE88" s="22">
        <v>1766500</v>
      </c>
      <c r="BF88" s="22">
        <v>1676600</v>
      </c>
      <c r="BG88" s="22">
        <v>1737600</v>
      </c>
      <c r="BH88" s="22">
        <v>1495500</v>
      </c>
      <c r="BI88" s="22">
        <v>994000</v>
      </c>
      <c r="BJ88" s="22">
        <v>1441100</v>
      </c>
      <c r="BK88" s="22">
        <v>1731500</v>
      </c>
      <c r="BL88" s="22">
        <v>1684900</v>
      </c>
      <c r="BM88" s="1">
        <v>1861900</v>
      </c>
      <c r="BN88" s="1">
        <v>1232300</v>
      </c>
      <c r="BO88" s="1">
        <v>1300700</v>
      </c>
      <c r="BP88" s="1">
        <v>2243100</v>
      </c>
    </row>
    <row r="89" spans="1:68" ht="15.9" customHeight="1">
      <c r="A89" s="396" t="s">
        <v>173</v>
      </c>
      <c r="B89" s="49" t="s">
        <v>174</v>
      </c>
      <c r="C89" s="53" t="str">
        <f>_xll.RssMarket("5892","出来高")</f>
        <v/>
      </c>
      <c r="D89" s="205" t="e">
        <f t="shared" si="1"/>
        <v>#VALUE!</v>
      </c>
      <c r="E89" s="203">
        <v>106400</v>
      </c>
      <c r="F89" s="22">
        <v>80600</v>
      </c>
      <c r="G89" s="22">
        <v>44200</v>
      </c>
      <c r="H89" s="22">
        <v>49400</v>
      </c>
      <c r="I89" s="22">
        <v>48700</v>
      </c>
      <c r="J89" s="22">
        <v>38900</v>
      </c>
      <c r="K89" s="22">
        <v>31900</v>
      </c>
      <c r="L89" s="22">
        <v>33000</v>
      </c>
      <c r="M89" s="22">
        <v>36800</v>
      </c>
      <c r="N89" s="22">
        <v>43300</v>
      </c>
      <c r="O89" s="22">
        <v>32300</v>
      </c>
      <c r="P89" s="22">
        <v>25600</v>
      </c>
      <c r="Q89" s="22">
        <v>31000</v>
      </c>
      <c r="R89" s="22">
        <v>68700</v>
      </c>
      <c r="S89" s="22">
        <v>38700</v>
      </c>
      <c r="T89" s="22">
        <v>43700</v>
      </c>
      <c r="U89" s="22">
        <v>61500</v>
      </c>
      <c r="V89" s="22">
        <v>25600</v>
      </c>
      <c r="W89" s="22">
        <v>57300</v>
      </c>
      <c r="X89" s="22">
        <v>62100</v>
      </c>
      <c r="Y89" s="22">
        <v>66300</v>
      </c>
      <c r="Z89" s="22">
        <v>109600</v>
      </c>
      <c r="AA89" s="22">
        <v>91100</v>
      </c>
      <c r="AB89" s="22">
        <v>154900</v>
      </c>
      <c r="AC89" s="22">
        <v>40900</v>
      </c>
      <c r="AD89" s="22">
        <v>50900</v>
      </c>
      <c r="AE89" s="22">
        <v>72600</v>
      </c>
      <c r="AF89" s="22">
        <v>113400</v>
      </c>
      <c r="AG89" s="22">
        <v>52000</v>
      </c>
      <c r="AH89" s="22">
        <v>55700</v>
      </c>
      <c r="AI89" s="22">
        <v>42300</v>
      </c>
      <c r="AJ89" s="22">
        <v>50900</v>
      </c>
      <c r="AK89" s="22">
        <v>68300</v>
      </c>
      <c r="AL89" s="22">
        <v>79600</v>
      </c>
      <c r="AM89" s="22">
        <v>90300</v>
      </c>
      <c r="AN89" s="22">
        <v>87800</v>
      </c>
      <c r="AO89" s="22">
        <v>91100</v>
      </c>
      <c r="AP89" s="22">
        <v>63900</v>
      </c>
      <c r="AQ89" s="22">
        <v>150600</v>
      </c>
      <c r="AR89" s="22">
        <v>260400</v>
      </c>
      <c r="AS89" s="22">
        <v>28700</v>
      </c>
      <c r="AT89" s="22">
        <v>105100</v>
      </c>
      <c r="AU89" s="22">
        <v>101000</v>
      </c>
      <c r="AV89" s="22">
        <v>90600</v>
      </c>
      <c r="AW89" s="22">
        <v>143600</v>
      </c>
      <c r="AX89" s="22">
        <v>143600</v>
      </c>
      <c r="AY89" s="22">
        <v>127400</v>
      </c>
      <c r="AZ89" s="22">
        <v>52900</v>
      </c>
      <c r="BA89" s="22">
        <v>31300</v>
      </c>
      <c r="BB89" s="22">
        <v>77400</v>
      </c>
      <c r="BC89" s="22">
        <v>47100</v>
      </c>
      <c r="BD89" s="22">
        <v>24000</v>
      </c>
      <c r="BE89" s="22">
        <v>31500</v>
      </c>
      <c r="BF89" s="22">
        <v>54600</v>
      </c>
      <c r="BG89" s="22">
        <v>35300</v>
      </c>
      <c r="BH89" s="22">
        <v>33400</v>
      </c>
      <c r="BI89" s="22">
        <v>40400</v>
      </c>
      <c r="BJ89" s="22">
        <v>29900</v>
      </c>
      <c r="BK89" s="22">
        <v>30900</v>
      </c>
      <c r="BL89" s="22">
        <v>57100</v>
      </c>
      <c r="BM89" s="1">
        <v>185900</v>
      </c>
      <c r="BN89" s="1">
        <v>23300</v>
      </c>
      <c r="BO89" s="1">
        <v>44600</v>
      </c>
      <c r="BP89" s="1">
        <v>41500</v>
      </c>
    </row>
    <row r="90" spans="1:68" ht="15.9" customHeight="1">
      <c r="A90" s="396" t="s">
        <v>175</v>
      </c>
      <c r="B90" s="49" t="s">
        <v>176</v>
      </c>
      <c r="C90" s="53" t="str">
        <f>_xll.RssMarket("6323","出来高")</f>
        <v/>
      </c>
      <c r="D90" s="205" t="e">
        <f t="shared" si="1"/>
        <v>#VALUE!</v>
      </c>
      <c r="E90" s="203">
        <v>3780800</v>
      </c>
      <c r="F90" s="22">
        <v>5518300</v>
      </c>
      <c r="G90" s="22">
        <v>3398000</v>
      </c>
      <c r="H90" s="22">
        <v>3992900</v>
      </c>
      <c r="I90" s="22">
        <v>9136100</v>
      </c>
      <c r="J90" s="22">
        <v>2997600</v>
      </c>
      <c r="K90" s="22">
        <v>1886300</v>
      </c>
      <c r="L90" s="22">
        <v>1921200</v>
      </c>
      <c r="M90" s="22">
        <v>1651100</v>
      </c>
      <c r="N90" s="22">
        <v>2099200</v>
      </c>
      <c r="O90" s="22">
        <v>1728900</v>
      </c>
      <c r="P90" s="22">
        <v>2262800</v>
      </c>
      <c r="Q90" s="22">
        <v>1998200</v>
      </c>
      <c r="R90" s="22">
        <v>1408600</v>
      </c>
      <c r="S90" s="22">
        <v>1486400</v>
      </c>
      <c r="T90" s="22">
        <v>2067500</v>
      </c>
      <c r="U90" s="22">
        <v>1646000</v>
      </c>
      <c r="V90" s="22">
        <v>1491600</v>
      </c>
      <c r="W90" s="22">
        <v>1548900</v>
      </c>
      <c r="X90" s="22">
        <v>2181600</v>
      </c>
      <c r="Y90" s="22">
        <v>2578900</v>
      </c>
      <c r="Z90" s="22">
        <v>1602600</v>
      </c>
      <c r="AA90" s="22">
        <v>1658600</v>
      </c>
      <c r="AB90" s="22">
        <v>1870900</v>
      </c>
      <c r="AC90" s="22">
        <v>1342600</v>
      </c>
      <c r="AD90" s="22">
        <v>1331900</v>
      </c>
      <c r="AE90" s="22">
        <v>2269300</v>
      </c>
      <c r="AF90" s="22">
        <v>2018400</v>
      </c>
      <c r="AG90" s="22">
        <v>3089500</v>
      </c>
      <c r="AH90" s="22">
        <v>3050000</v>
      </c>
      <c r="AI90" s="22">
        <v>1132800</v>
      </c>
      <c r="AJ90" s="22">
        <v>2132700</v>
      </c>
      <c r="AK90" s="22">
        <v>1285800</v>
      </c>
      <c r="AL90" s="22">
        <v>1290700</v>
      </c>
      <c r="AM90" s="22">
        <v>1431600</v>
      </c>
      <c r="AN90" s="22">
        <v>1043700</v>
      </c>
      <c r="AO90" s="22">
        <v>1600400</v>
      </c>
      <c r="AP90" s="22">
        <v>1162700</v>
      </c>
      <c r="AQ90" s="22">
        <v>1663600</v>
      </c>
      <c r="AR90" s="22">
        <v>1168500</v>
      </c>
      <c r="AS90" s="22">
        <v>1938700</v>
      </c>
      <c r="AT90" s="22">
        <v>1479100</v>
      </c>
      <c r="AU90" s="22">
        <v>2075600</v>
      </c>
      <c r="AV90" s="22">
        <v>2166900</v>
      </c>
      <c r="AW90" s="22">
        <v>2289300</v>
      </c>
      <c r="AX90" s="22">
        <v>2289300</v>
      </c>
      <c r="AY90" s="22">
        <v>2998600</v>
      </c>
      <c r="AZ90" s="22">
        <v>2913700</v>
      </c>
      <c r="BA90" s="22">
        <v>1548100</v>
      </c>
      <c r="BB90" s="22">
        <v>1706100</v>
      </c>
      <c r="BC90" s="22">
        <v>2107600</v>
      </c>
      <c r="BD90" s="22">
        <v>3075200</v>
      </c>
      <c r="BE90" s="22">
        <v>1308900</v>
      </c>
      <c r="BF90" s="22">
        <v>1735800</v>
      </c>
      <c r="BG90" s="22">
        <v>2284400</v>
      </c>
      <c r="BH90" s="22">
        <v>2777600</v>
      </c>
      <c r="BI90" s="22">
        <v>1764400</v>
      </c>
      <c r="BJ90" s="22">
        <v>1901100</v>
      </c>
      <c r="BK90" s="22">
        <v>3031600</v>
      </c>
      <c r="BL90" s="22">
        <v>2849500</v>
      </c>
      <c r="BM90" s="1">
        <v>4561300</v>
      </c>
      <c r="BN90" s="1">
        <v>9459700</v>
      </c>
      <c r="BO90" s="1">
        <v>6627200</v>
      </c>
      <c r="BP90" s="1">
        <v>2420400</v>
      </c>
    </row>
    <row r="91" spans="1:68" ht="15.9" customHeight="1">
      <c r="A91" s="396" t="s">
        <v>177</v>
      </c>
      <c r="B91" s="49" t="s">
        <v>178</v>
      </c>
      <c r="C91" s="53" t="str">
        <f>_xll.RssMarket("6501","出来高")</f>
        <v/>
      </c>
      <c r="D91" s="205" t="e">
        <f t="shared" si="1"/>
        <v>#VALUE!</v>
      </c>
      <c r="E91" s="203">
        <v>12028800</v>
      </c>
      <c r="F91" s="22">
        <v>13914900</v>
      </c>
      <c r="G91" s="22">
        <v>8776800</v>
      </c>
      <c r="H91" s="22">
        <v>9347200</v>
      </c>
      <c r="I91" s="22">
        <v>11624900</v>
      </c>
      <c r="J91" s="22">
        <v>7238600</v>
      </c>
      <c r="K91" s="22">
        <v>11272800</v>
      </c>
      <c r="L91" s="22">
        <v>20014200</v>
      </c>
      <c r="M91" s="22">
        <v>11352800</v>
      </c>
      <c r="N91" s="22">
        <v>9892300</v>
      </c>
      <c r="O91" s="22">
        <v>16571400</v>
      </c>
      <c r="P91" s="22">
        <v>11138200</v>
      </c>
      <c r="Q91" s="22">
        <v>12297000</v>
      </c>
      <c r="R91" s="22">
        <v>11492800</v>
      </c>
      <c r="S91" s="22">
        <v>13899700</v>
      </c>
      <c r="T91" s="22">
        <v>12236600</v>
      </c>
      <c r="U91" s="22">
        <v>11616300</v>
      </c>
      <c r="V91" s="22">
        <v>12304900</v>
      </c>
      <c r="W91" s="22">
        <v>10220000</v>
      </c>
      <c r="X91" s="22">
        <v>18577100</v>
      </c>
      <c r="Y91" s="22">
        <v>13329600</v>
      </c>
      <c r="Z91" s="22">
        <v>11385900</v>
      </c>
      <c r="AA91" s="22">
        <v>11238700</v>
      </c>
      <c r="AB91" s="22">
        <v>18882700</v>
      </c>
      <c r="AC91" s="22">
        <v>15175900</v>
      </c>
      <c r="AD91" s="22">
        <v>15252700</v>
      </c>
      <c r="AE91" s="22">
        <v>14584100</v>
      </c>
      <c r="AF91" s="22">
        <v>11799100</v>
      </c>
      <c r="AG91" s="22">
        <v>8401300</v>
      </c>
      <c r="AH91" s="22">
        <v>15132500</v>
      </c>
      <c r="AI91" s="22">
        <v>10393900</v>
      </c>
      <c r="AJ91" s="22">
        <v>27362800</v>
      </c>
      <c r="AK91" s="22">
        <v>17942700</v>
      </c>
      <c r="AL91" s="22">
        <v>10796000</v>
      </c>
      <c r="AM91" s="22">
        <v>9871700</v>
      </c>
      <c r="AN91" s="22">
        <v>13406000</v>
      </c>
      <c r="AO91" s="22">
        <v>17823800</v>
      </c>
      <c r="AP91" s="22">
        <v>13438800</v>
      </c>
      <c r="AQ91" s="22">
        <v>17371300</v>
      </c>
      <c r="AR91" s="22">
        <v>9951800</v>
      </c>
      <c r="AS91" s="22">
        <v>15316500</v>
      </c>
      <c r="AT91" s="22">
        <v>14167400</v>
      </c>
      <c r="AU91" s="22">
        <v>14259600</v>
      </c>
      <c r="AV91" s="22">
        <v>11607400</v>
      </c>
      <c r="AW91" s="22">
        <v>15801200</v>
      </c>
      <c r="AX91" s="22">
        <v>15801200</v>
      </c>
      <c r="AY91" s="22">
        <v>16696700</v>
      </c>
      <c r="AZ91" s="22">
        <v>25537000</v>
      </c>
      <c r="BA91" s="22">
        <v>11393000</v>
      </c>
      <c r="BB91" s="22">
        <v>22771900</v>
      </c>
      <c r="BC91" s="22">
        <v>29820000</v>
      </c>
      <c r="BD91" s="22">
        <v>18121800</v>
      </c>
      <c r="BE91" s="22">
        <v>10572600</v>
      </c>
      <c r="BF91" s="22">
        <v>18639900</v>
      </c>
      <c r="BG91" s="22">
        <v>11183900</v>
      </c>
      <c r="BH91" s="22">
        <v>8784900</v>
      </c>
      <c r="BI91" s="22">
        <v>8848200</v>
      </c>
      <c r="BJ91" s="22">
        <v>10437400</v>
      </c>
      <c r="BK91" s="22">
        <v>15083400</v>
      </c>
      <c r="BL91" s="22">
        <v>22050700</v>
      </c>
      <c r="BM91" s="1">
        <v>12203300</v>
      </c>
      <c r="BN91" s="1">
        <v>12164800</v>
      </c>
      <c r="BO91" s="1">
        <v>11797600</v>
      </c>
      <c r="BP91" s="1">
        <v>13677900</v>
      </c>
    </row>
    <row r="92" spans="1:68" ht="15.9" customHeight="1">
      <c r="A92" s="396" t="s">
        <v>179</v>
      </c>
      <c r="B92" s="49" t="s">
        <v>180</v>
      </c>
      <c r="C92" s="53" t="str">
        <f>_xll.RssMarket("6134","出来高")</f>
        <v/>
      </c>
      <c r="D92" s="205" t="e">
        <f t="shared" si="1"/>
        <v>#VALUE!</v>
      </c>
      <c r="E92" s="203">
        <v>1268300</v>
      </c>
      <c r="F92" s="22">
        <v>483500</v>
      </c>
      <c r="G92" s="22">
        <v>929200</v>
      </c>
      <c r="H92" s="22">
        <v>830100</v>
      </c>
      <c r="I92" s="22">
        <v>827100</v>
      </c>
      <c r="J92" s="22">
        <v>807900</v>
      </c>
      <c r="K92" s="22">
        <v>633900</v>
      </c>
      <c r="L92" s="22">
        <v>1154000</v>
      </c>
      <c r="M92" s="22">
        <v>771600</v>
      </c>
      <c r="N92" s="22">
        <v>682300</v>
      </c>
      <c r="O92" s="22">
        <v>996900</v>
      </c>
      <c r="P92" s="22">
        <v>1054000</v>
      </c>
      <c r="Q92" s="22">
        <v>901600</v>
      </c>
      <c r="R92" s="22">
        <v>471800</v>
      </c>
      <c r="S92" s="22">
        <v>617300</v>
      </c>
      <c r="T92" s="22">
        <v>513500</v>
      </c>
      <c r="U92" s="22">
        <v>485100</v>
      </c>
      <c r="V92" s="22">
        <v>637700</v>
      </c>
      <c r="W92" s="22">
        <v>667100</v>
      </c>
      <c r="X92" s="22">
        <v>992600</v>
      </c>
      <c r="Y92" s="22">
        <v>948900</v>
      </c>
      <c r="Z92" s="22">
        <v>460000</v>
      </c>
      <c r="AA92" s="22">
        <v>577400</v>
      </c>
      <c r="AB92" s="22">
        <v>728500</v>
      </c>
      <c r="AC92" s="22">
        <v>644300</v>
      </c>
      <c r="AD92" s="22">
        <v>765100</v>
      </c>
      <c r="AE92" s="22">
        <v>1480300</v>
      </c>
      <c r="AF92" s="22">
        <v>505400</v>
      </c>
      <c r="AG92" s="22">
        <v>813900</v>
      </c>
      <c r="AH92" s="22">
        <v>933300</v>
      </c>
      <c r="AI92" s="22">
        <v>912700</v>
      </c>
      <c r="AJ92" s="22">
        <v>886500</v>
      </c>
      <c r="AK92" s="22">
        <v>877700</v>
      </c>
      <c r="AL92" s="22">
        <v>920800</v>
      </c>
      <c r="AM92" s="22">
        <v>1103300</v>
      </c>
      <c r="AN92" s="22">
        <v>1037800</v>
      </c>
      <c r="AO92" s="22">
        <v>1041100</v>
      </c>
      <c r="AP92" s="22">
        <v>1571000</v>
      </c>
      <c r="AQ92" s="22">
        <v>1103200</v>
      </c>
      <c r="AR92" s="22">
        <v>1476700</v>
      </c>
      <c r="AS92" s="22">
        <v>2780000</v>
      </c>
      <c r="AT92" s="22">
        <v>1532400</v>
      </c>
      <c r="AU92" s="22">
        <v>522000</v>
      </c>
      <c r="AV92" s="22">
        <v>503300</v>
      </c>
      <c r="AW92" s="22">
        <v>611200</v>
      </c>
      <c r="AX92" s="22">
        <v>611200</v>
      </c>
      <c r="AY92" s="22">
        <v>572900</v>
      </c>
      <c r="AZ92" s="22">
        <v>789700</v>
      </c>
      <c r="BA92" s="22">
        <v>519000</v>
      </c>
      <c r="BB92" s="22">
        <v>475300</v>
      </c>
      <c r="BC92" s="22">
        <v>509700</v>
      </c>
      <c r="BD92" s="22">
        <v>605600</v>
      </c>
      <c r="BE92" s="22">
        <v>334000</v>
      </c>
      <c r="BF92" s="22">
        <v>433900</v>
      </c>
      <c r="BG92" s="22">
        <v>419400</v>
      </c>
      <c r="BH92" s="22">
        <v>587000</v>
      </c>
      <c r="BI92" s="22">
        <v>359300</v>
      </c>
      <c r="BJ92" s="22">
        <v>436400</v>
      </c>
      <c r="BK92" s="22">
        <v>389800</v>
      </c>
      <c r="BL92" s="22">
        <v>531700</v>
      </c>
      <c r="BM92" s="1">
        <v>698000</v>
      </c>
      <c r="BN92" s="1">
        <v>376700</v>
      </c>
      <c r="BO92" s="1">
        <v>490600</v>
      </c>
      <c r="BP92" s="1">
        <v>498500</v>
      </c>
    </row>
    <row r="93" spans="1:68" ht="15.9" customHeight="1">
      <c r="A93" s="396" t="s">
        <v>181</v>
      </c>
      <c r="B93" s="49" t="s">
        <v>182</v>
      </c>
      <c r="C93" s="53" t="str">
        <f>_xll.RssMarket("7746","出来高")</f>
        <v/>
      </c>
      <c r="D93" s="205" t="e">
        <f t="shared" si="1"/>
        <v>#VALUE!</v>
      </c>
      <c r="E93" s="203">
        <v>1000100</v>
      </c>
      <c r="F93" s="22">
        <v>197700</v>
      </c>
      <c r="G93" s="22">
        <v>197100</v>
      </c>
      <c r="H93" s="22">
        <v>238400</v>
      </c>
      <c r="I93" s="22">
        <v>341600</v>
      </c>
      <c r="J93" s="22">
        <v>714100</v>
      </c>
      <c r="K93" s="22">
        <v>440300</v>
      </c>
      <c r="L93" s="22">
        <v>426400</v>
      </c>
      <c r="M93" s="22">
        <v>438400</v>
      </c>
      <c r="N93" s="22">
        <v>569400</v>
      </c>
      <c r="O93" s="22">
        <v>995000</v>
      </c>
      <c r="P93" s="22">
        <v>1024800</v>
      </c>
      <c r="Q93" s="22">
        <v>3449600</v>
      </c>
      <c r="R93" s="22">
        <v>9572400</v>
      </c>
      <c r="S93" s="22">
        <v>8558400</v>
      </c>
      <c r="T93" s="22">
        <v>156300</v>
      </c>
      <c r="U93" s="22">
        <v>154000</v>
      </c>
      <c r="V93" s="22">
        <v>252100</v>
      </c>
      <c r="W93" s="22">
        <v>420300</v>
      </c>
      <c r="X93" s="22">
        <v>407200</v>
      </c>
      <c r="Y93" s="22">
        <v>526800</v>
      </c>
      <c r="Z93" s="22">
        <v>1408400</v>
      </c>
      <c r="AA93" s="22">
        <v>6711800</v>
      </c>
      <c r="AB93" s="22">
        <v>552700</v>
      </c>
      <c r="AC93" s="22">
        <v>2857000</v>
      </c>
      <c r="AD93" s="22">
        <v>618400</v>
      </c>
      <c r="AE93" s="22">
        <v>550500</v>
      </c>
      <c r="AF93" s="22">
        <v>388700</v>
      </c>
      <c r="AG93" s="22">
        <v>327800</v>
      </c>
      <c r="AH93" s="22">
        <v>692200</v>
      </c>
      <c r="AI93" s="22">
        <v>459300</v>
      </c>
      <c r="AJ93" s="22">
        <v>837200</v>
      </c>
      <c r="AK93" s="22">
        <v>417800</v>
      </c>
      <c r="AL93" s="22">
        <v>626700</v>
      </c>
      <c r="AM93" s="22">
        <v>806100</v>
      </c>
      <c r="AN93" s="22">
        <v>951700</v>
      </c>
      <c r="AO93" s="22">
        <v>1758400</v>
      </c>
      <c r="AP93" s="22">
        <v>3566200</v>
      </c>
      <c r="AQ93" s="22">
        <v>4638000</v>
      </c>
      <c r="AR93" s="22">
        <v>1841700</v>
      </c>
      <c r="AS93" s="22">
        <v>870500</v>
      </c>
      <c r="AT93" s="22">
        <v>818000</v>
      </c>
      <c r="AU93" s="22">
        <v>946300</v>
      </c>
      <c r="AV93" s="22">
        <v>1301100</v>
      </c>
      <c r="AW93" s="22">
        <v>607800</v>
      </c>
      <c r="AX93" s="22">
        <v>607800</v>
      </c>
      <c r="AY93" s="22">
        <v>602000</v>
      </c>
      <c r="AZ93" s="22">
        <v>721700</v>
      </c>
      <c r="BA93" s="22">
        <v>1534300</v>
      </c>
      <c r="BB93" s="22">
        <v>1154300</v>
      </c>
      <c r="BC93" s="22">
        <v>503500</v>
      </c>
      <c r="BD93" s="22">
        <v>609100</v>
      </c>
      <c r="BE93" s="22">
        <v>511800</v>
      </c>
      <c r="BF93" s="22">
        <v>728200</v>
      </c>
      <c r="BG93" s="22">
        <v>606400</v>
      </c>
      <c r="BH93" s="22">
        <v>1272800</v>
      </c>
      <c r="BI93" s="22">
        <v>4409000</v>
      </c>
      <c r="BJ93" s="22">
        <v>795600</v>
      </c>
      <c r="BK93" s="22">
        <v>1612200</v>
      </c>
      <c r="BL93" s="22">
        <v>853000</v>
      </c>
      <c r="BM93" s="1">
        <v>953800</v>
      </c>
      <c r="BN93" s="1">
        <v>1671400</v>
      </c>
      <c r="BO93" s="1">
        <v>570300</v>
      </c>
      <c r="BP93" s="1">
        <v>868700</v>
      </c>
    </row>
    <row r="94" spans="1:68" ht="15.9" customHeight="1">
      <c r="A94" s="396" t="s">
        <v>183</v>
      </c>
      <c r="B94" s="49" t="s">
        <v>184</v>
      </c>
      <c r="C94" s="53" t="str">
        <f>_xll.RssMarket("3407","出来高")</f>
        <v/>
      </c>
      <c r="D94" s="205" t="e">
        <f t="shared" si="1"/>
        <v>#VALUE!</v>
      </c>
      <c r="E94" s="203">
        <v>4536900</v>
      </c>
      <c r="F94" s="22">
        <v>5013700</v>
      </c>
      <c r="G94" s="22">
        <v>5972800</v>
      </c>
      <c r="H94" s="22">
        <v>3763900</v>
      </c>
      <c r="I94" s="22">
        <v>3755500</v>
      </c>
      <c r="J94" s="22">
        <v>4844400</v>
      </c>
      <c r="K94" s="22">
        <v>5100800</v>
      </c>
      <c r="L94" s="22">
        <v>4251400</v>
      </c>
      <c r="M94" s="22">
        <v>4625200</v>
      </c>
      <c r="N94" s="22">
        <v>4990500</v>
      </c>
      <c r="O94" s="22">
        <v>4101200</v>
      </c>
      <c r="P94" s="22">
        <v>3844400</v>
      </c>
      <c r="Q94" s="22">
        <v>4216700</v>
      </c>
      <c r="R94" s="22">
        <v>3864700</v>
      </c>
      <c r="S94" s="22">
        <v>3593700</v>
      </c>
      <c r="T94" s="22">
        <v>4540400</v>
      </c>
      <c r="U94" s="22">
        <v>4680500</v>
      </c>
      <c r="V94" s="22">
        <v>5350300</v>
      </c>
      <c r="W94" s="22">
        <v>5950700</v>
      </c>
      <c r="X94" s="22">
        <v>7466200</v>
      </c>
      <c r="Y94" s="22">
        <v>3926500</v>
      </c>
      <c r="Z94" s="22">
        <v>3657500</v>
      </c>
      <c r="AA94" s="22">
        <v>4547400</v>
      </c>
      <c r="AB94" s="22">
        <v>6489400</v>
      </c>
      <c r="AC94" s="22">
        <v>4133600</v>
      </c>
      <c r="AD94" s="22">
        <v>5735300</v>
      </c>
      <c r="AE94" s="22">
        <v>6015600</v>
      </c>
      <c r="AF94" s="22">
        <v>3738100</v>
      </c>
      <c r="AG94" s="22">
        <v>4546500</v>
      </c>
      <c r="AH94" s="22">
        <v>5186800</v>
      </c>
      <c r="AI94" s="22">
        <v>4955100</v>
      </c>
      <c r="AJ94" s="22">
        <v>10221700</v>
      </c>
      <c r="AK94" s="22">
        <v>5566900</v>
      </c>
      <c r="AL94" s="22">
        <v>4877600</v>
      </c>
      <c r="AM94" s="22">
        <v>4317300</v>
      </c>
      <c r="AN94" s="22">
        <v>3770800</v>
      </c>
      <c r="AO94" s="22">
        <v>4570700</v>
      </c>
      <c r="AP94" s="22">
        <v>5936600</v>
      </c>
      <c r="AQ94" s="22">
        <v>5626100</v>
      </c>
      <c r="AR94" s="22">
        <v>4533300</v>
      </c>
      <c r="AS94" s="22">
        <v>6129300</v>
      </c>
      <c r="AT94" s="22">
        <v>6255300</v>
      </c>
      <c r="AU94" s="22">
        <v>10306000</v>
      </c>
      <c r="AV94" s="22">
        <v>13151800</v>
      </c>
      <c r="AW94" s="22">
        <v>4652500</v>
      </c>
      <c r="AX94" s="22">
        <v>4652500</v>
      </c>
      <c r="AY94" s="22">
        <v>5504700</v>
      </c>
      <c r="AZ94" s="22">
        <v>6643100</v>
      </c>
      <c r="BA94" s="22">
        <v>3442200</v>
      </c>
      <c r="BB94" s="22">
        <v>5477800</v>
      </c>
      <c r="BC94" s="22">
        <v>3348100</v>
      </c>
      <c r="BD94" s="22">
        <v>2929300</v>
      </c>
      <c r="BE94" s="22">
        <v>3198300</v>
      </c>
      <c r="BF94" s="22">
        <v>4912400</v>
      </c>
      <c r="BG94" s="22">
        <v>4113900</v>
      </c>
      <c r="BH94" s="22">
        <v>2982900</v>
      </c>
      <c r="BI94" s="22">
        <v>3815900</v>
      </c>
      <c r="BJ94" s="22">
        <v>4380700</v>
      </c>
      <c r="BK94" s="22">
        <v>5905000</v>
      </c>
      <c r="BL94" s="22">
        <v>10197600</v>
      </c>
      <c r="BM94" s="1">
        <v>6362200</v>
      </c>
      <c r="BN94" s="1">
        <v>5012700</v>
      </c>
      <c r="BO94" s="1">
        <v>5080600</v>
      </c>
      <c r="BP94" s="1">
        <v>5463400</v>
      </c>
    </row>
    <row r="95" spans="1:68" ht="15.9" customHeight="1">
      <c r="A95" s="396" t="s">
        <v>185</v>
      </c>
      <c r="B95" s="49" t="s">
        <v>186</v>
      </c>
      <c r="C95" s="53" t="str">
        <f>_xll.RssMarket("4008","出来高")</f>
        <v/>
      </c>
      <c r="D95" s="205" t="e">
        <f t="shared" si="1"/>
        <v>#VALUE!</v>
      </c>
      <c r="E95" s="203">
        <v>227200</v>
      </c>
      <c r="F95" s="22">
        <v>119200</v>
      </c>
      <c r="G95" s="22">
        <v>131200</v>
      </c>
      <c r="H95" s="22">
        <v>172000</v>
      </c>
      <c r="I95" s="22">
        <v>138400</v>
      </c>
      <c r="J95" s="22">
        <v>111200</v>
      </c>
      <c r="K95" s="22">
        <v>134200</v>
      </c>
      <c r="L95" s="22">
        <v>156600</v>
      </c>
      <c r="M95" s="22">
        <v>269700</v>
      </c>
      <c r="N95" s="22">
        <v>289600</v>
      </c>
      <c r="O95" s="22">
        <v>173600</v>
      </c>
      <c r="P95" s="22">
        <v>111400</v>
      </c>
      <c r="Q95" s="22">
        <v>162600</v>
      </c>
      <c r="R95" s="22">
        <v>338700</v>
      </c>
      <c r="S95" s="22">
        <v>151300</v>
      </c>
      <c r="T95" s="22">
        <v>212300</v>
      </c>
      <c r="U95" s="22">
        <v>143800</v>
      </c>
      <c r="V95" s="22">
        <v>161900</v>
      </c>
      <c r="W95" s="22">
        <v>181800</v>
      </c>
      <c r="X95" s="22">
        <v>171100</v>
      </c>
      <c r="Y95" s="22">
        <v>257100</v>
      </c>
      <c r="Z95" s="22">
        <v>131300</v>
      </c>
      <c r="AA95" s="22">
        <v>131100</v>
      </c>
      <c r="AB95" s="22">
        <v>163900</v>
      </c>
      <c r="AC95" s="22">
        <v>137600</v>
      </c>
      <c r="AD95" s="22">
        <v>102600</v>
      </c>
      <c r="AE95" s="22">
        <v>194000</v>
      </c>
      <c r="AF95" s="22">
        <v>157000</v>
      </c>
      <c r="AG95" s="22">
        <v>150100</v>
      </c>
      <c r="AH95" s="22">
        <v>202300</v>
      </c>
      <c r="AI95" s="22">
        <v>234400</v>
      </c>
      <c r="AJ95" s="22">
        <v>247100</v>
      </c>
      <c r="AK95" s="22">
        <v>231600</v>
      </c>
      <c r="AL95" s="22">
        <v>297600</v>
      </c>
      <c r="AM95" s="22">
        <v>190900</v>
      </c>
      <c r="AN95" s="22">
        <v>171800</v>
      </c>
      <c r="AO95" s="22">
        <v>160000</v>
      </c>
      <c r="AP95" s="22">
        <v>191300</v>
      </c>
      <c r="AQ95" s="22">
        <v>135800</v>
      </c>
      <c r="AR95" s="22">
        <v>187500</v>
      </c>
      <c r="AS95" s="22">
        <v>217600</v>
      </c>
      <c r="AT95" s="22">
        <v>218400</v>
      </c>
      <c r="AU95" s="22">
        <v>318800</v>
      </c>
      <c r="AV95" s="22">
        <v>391000</v>
      </c>
      <c r="AW95" s="22">
        <v>139300</v>
      </c>
      <c r="AX95" s="22">
        <v>139300</v>
      </c>
      <c r="AY95" s="22">
        <v>131100</v>
      </c>
      <c r="AZ95" s="22">
        <v>129500</v>
      </c>
      <c r="BA95" s="22">
        <v>88400</v>
      </c>
      <c r="BB95" s="22">
        <v>113300</v>
      </c>
      <c r="BC95" s="22">
        <v>99300</v>
      </c>
      <c r="BD95" s="22">
        <v>105600</v>
      </c>
      <c r="BE95" s="22">
        <v>84800</v>
      </c>
      <c r="BF95" s="22">
        <v>111500</v>
      </c>
      <c r="BG95" s="22">
        <v>160300</v>
      </c>
      <c r="BH95" s="22">
        <v>109800</v>
      </c>
      <c r="BI95" s="22">
        <v>76200</v>
      </c>
      <c r="BJ95" s="22">
        <v>97800</v>
      </c>
      <c r="BK95" s="22">
        <v>83400</v>
      </c>
      <c r="BL95" s="22">
        <v>166800</v>
      </c>
      <c r="BM95" s="1">
        <v>132700</v>
      </c>
      <c r="BN95" s="1">
        <v>148800</v>
      </c>
      <c r="BO95" s="1">
        <v>155400</v>
      </c>
      <c r="BP95" s="1">
        <v>201400</v>
      </c>
    </row>
    <row r="96" spans="1:68" ht="15.9" customHeight="1">
      <c r="A96" s="396" t="s">
        <v>187</v>
      </c>
      <c r="B96" s="49" t="s">
        <v>188</v>
      </c>
      <c r="C96" s="53" t="str">
        <f>_xll.RssMarket("4062","出来高")</f>
        <v/>
      </c>
      <c r="D96" s="205" t="e">
        <f t="shared" si="1"/>
        <v>#VALUE!</v>
      </c>
      <c r="E96" s="203">
        <v>12103300</v>
      </c>
      <c r="F96" s="22">
        <v>8657500</v>
      </c>
      <c r="G96" s="22">
        <v>10398900</v>
      </c>
      <c r="H96" s="22">
        <v>7667300</v>
      </c>
      <c r="I96" s="22">
        <v>6297800</v>
      </c>
      <c r="J96" s="22">
        <v>7892700</v>
      </c>
      <c r="K96" s="22">
        <v>8950100</v>
      </c>
      <c r="L96" s="22">
        <v>7742500</v>
      </c>
      <c r="M96" s="22">
        <v>6724300</v>
      </c>
      <c r="N96" s="22">
        <v>8723400</v>
      </c>
      <c r="O96" s="22">
        <v>7721400</v>
      </c>
      <c r="P96" s="22">
        <v>11603100</v>
      </c>
      <c r="Q96" s="22">
        <v>7492100</v>
      </c>
      <c r="R96" s="22">
        <v>10291800</v>
      </c>
      <c r="S96" s="22">
        <v>10358400</v>
      </c>
      <c r="T96" s="22">
        <v>8567000</v>
      </c>
      <c r="U96" s="22">
        <v>10669900</v>
      </c>
      <c r="V96" s="22">
        <v>10093200</v>
      </c>
      <c r="W96" s="22">
        <v>10705800</v>
      </c>
      <c r="X96" s="22">
        <v>11198800</v>
      </c>
      <c r="Y96" s="22">
        <v>11491700</v>
      </c>
      <c r="Z96" s="22">
        <v>9058100</v>
      </c>
      <c r="AA96" s="22">
        <v>9339500</v>
      </c>
      <c r="AB96" s="22">
        <v>9550400</v>
      </c>
      <c r="AC96" s="22">
        <v>8447800</v>
      </c>
      <c r="AD96" s="22">
        <v>8111500</v>
      </c>
      <c r="AE96" s="22">
        <v>7707800</v>
      </c>
      <c r="AF96" s="22">
        <v>8165500</v>
      </c>
      <c r="AG96" s="22">
        <v>6317800</v>
      </c>
      <c r="AH96" s="22">
        <v>6878300</v>
      </c>
      <c r="AI96" s="22">
        <v>8084800</v>
      </c>
      <c r="AJ96" s="22">
        <v>10164100</v>
      </c>
      <c r="AK96" s="22">
        <v>8387100</v>
      </c>
      <c r="AL96" s="22">
        <v>7490400</v>
      </c>
      <c r="AM96" s="22">
        <v>7628200</v>
      </c>
      <c r="AN96" s="22">
        <v>8690500</v>
      </c>
      <c r="AO96" s="22">
        <v>9124900</v>
      </c>
      <c r="AP96" s="22">
        <v>6862800</v>
      </c>
      <c r="AQ96" s="22">
        <v>6685700</v>
      </c>
      <c r="AR96" s="22">
        <v>6760300</v>
      </c>
      <c r="AS96" s="22">
        <v>8307900</v>
      </c>
      <c r="AT96" s="22">
        <v>8973700</v>
      </c>
      <c r="AU96" s="22">
        <v>8687100</v>
      </c>
      <c r="AV96" s="22">
        <v>22293100</v>
      </c>
      <c r="AW96" s="22">
        <v>8544200</v>
      </c>
      <c r="AX96" s="22">
        <v>8544200</v>
      </c>
      <c r="AY96" s="22">
        <v>10684700</v>
      </c>
      <c r="AZ96" s="22">
        <v>11586800</v>
      </c>
      <c r="BA96" s="22">
        <v>5100600</v>
      </c>
      <c r="BB96" s="22">
        <v>8434800</v>
      </c>
      <c r="BC96" s="22">
        <v>5813900</v>
      </c>
      <c r="BD96" s="22">
        <v>9124800</v>
      </c>
      <c r="BE96" s="22">
        <v>11078600</v>
      </c>
      <c r="BF96" s="22">
        <v>6416700</v>
      </c>
      <c r="BG96" s="22">
        <v>7596200</v>
      </c>
      <c r="BH96" s="22">
        <v>8109100</v>
      </c>
      <c r="BI96" s="22">
        <v>4249200</v>
      </c>
      <c r="BJ96" s="22">
        <v>3714000</v>
      </c>
      <c r="BK96" s="22">
        <v>4460400</v>
      </c>
      <c r="BL96" s="22">
        <v>7591600</v>
      </c>
      <c r="BM96" s="1">
        <v>5618000</v>
      </c>
      <c r="BN96" s="1">
        <v>6341000</v>
      </c>
      <c r="BO96" s="1">
        <v>6282300</v>
      </c>
      <c r="BP96" s="1">
        <v>7211800</v>
      </c>
    </row>
    <row r="97" spans="1:68" ht="15.9" customHeight="1">
      <c r="A97" s="396" t="s">
        <v>189</v>
      </c>
      <c r="B97" s="49" t="s">
        <v>190</v>
      </c>
      <c r="C97" s="53" t="str">
        <f>_xll.RssMarket("4182","出来高")</f>
        <v/>
      </c>
      <c r="D97" s="205" t="e">
        <f t="shared" si="1"/>
        <v>#VALUE!</v>
      </c>
      <c r="E97" s="203">
        <v>1216800</v>
      </c>
      <c r="F97" s="22">
        <v>875300</v>
      </c>
      <c r="G97" s="22">
        <v>912800</v>
      </c>
      <c r="H97" s="22">
        <v>1042100</v>
      </c>
      <c r="I97" s="22">
        <v>750900</v>
      </c>
      <c r="J97" s="22">
        <v>1224500</v>
      </c>
      <c r="K97" s="22">
        <v>910200</v>
      </c>
      <c r="L97" s="22">
        <v>1055900</v>
      </c>
      <c r="M97" s="22">
        <v>956500</v>
      </c>
      <c r="N97" s="22">
        <v>892600</v>
      </c>
      <c r="O97" s="22">
        <v>1862900</v>
      </c>
      <c r="P97" s="22">
        <v>911300</v>
      </c>
      <c r="Q97" s="22">
        <v>922000</v>
      </c>
      <c r="R97" s="22">
        <v>1021500</v>
      </c>
      <c r="S97" s="22">
        <v>1158000</v>
      </c>
      <c r="T97" s="22">
        <v>931300</v>
      </c>
      <c r="U97" s="22">
        <v>933100</v>
      </c>
      <c r="V97" s="22">
        <v>1316300</v>
      </c>
      <c r="W97" s="22">
        <v>1178000</v>
      </c>
      <c r="X97" s="22">
        <v>1960800</v>
      </c>
      <c r="Y97" s="22">
        <v>1617200</v>
      </c>
      <c r="Z97" s="22">
        <v>1114200</v>
      </c>
      <c r="AA97" s="22">
        <v>1221900</v>
      </c>
      <c r="AB97" s="22">
        <v>2602400</v>
      </c>
      <c r="AC97" s="22">
        <v>971600</v>
      </c>
      <c r="AD97" s="22">
        <v>1491700</v>
      </c>
      <c r="AE97" s="22">
        <v>2430500</v>
      </c>
      <c r="AF97" s="22">
        <v>1245100</v>
      </c>
      <c r="AG97" s="22">
        <v>830500</v>
      </c>
      <c r="AH97" s="22">
        <v>1232800</v>
      </c>
      <c r="AI97" s="22">
        <v>1400800</v>
      </c>
      <c r="AJ97" s="22">
        <v>1292400</v>
      </c>
      <c r="AK97" s="22">
        <v>1150000</v>
      </c>
      <c r="AL97" s="22">
        <v>1064900</v>
      </c>
      <c r="AM97" s="22">
        <v>1654400</v>
      </c>
      <c r="AN97" s="22">
        <v>1675800</v>
      </c>
      <c r="AO97" s="22">
        <v>2042100</v>
      </c>
      <c r="AP97" s="22">
        <v>1754100</v>
      </c>
      <c r="AQ97" s="22">
        <v>1709200</v>
      </c>
      <c r="AR97" s="22">
        <v>2564300</v>
      </c>
      <c r="AS97" s="22">
        <v>2780200</v>
      </c>
      <c r="AT97" s="22">
        <v>3574400</v>
      </c>
      <c r="AU97" s="22">
        <v>1754000</v>
      </c>
      <c r="AV97" s="22">
        <v>1648500</v>
      </c>
      <c r="AW97" s="22">
        <v>1397900</v>
      </c>
      <c r="AX97" s="22">
        <v>1397900</v>
      </c>
      <c r="AY97" s="22">
        <v>1352800</v>
      </c>
      <c r="AZ97" s="22">
        <v>1614200</v>
      </c>
      <c r="BA97" s="22">
        <v>697500</v>
      </c>
      <c r="BB97" s="22">
        <v>1287400</v>
      </c>
      <c r="BC97" s="22">
        <v>1135200</v>
      </c>
      <c r="BD97" s="22">
        <v>1139000</v>
      </c>
      <c r="BE97" s="22">
        <v>1335900</v>
      </c>
      <c r="BF97" s="22">
        <v>1199800</v>
      </c>
      <c r="BG97" s="22">
        <v>1084900</v>
      </c>
      <c r="BH97" s="22">
        <v>1453800</v>
      </c>
      <c r="BI97" s="22">
        <v>1012100</v>
      </c>
      <c r="BJ97" s="22">
        <v>933000</v>
      </c>
      <c r="BK97" s="22">
        <v>930400</v>
      </c>
      <c r="BL97" s="22">
        <v>1472400</v>
      </c>
      <c r="BM97" s="1">
        <v>1254800</v>
      </c>
      <c r="BN97" s="1">
        <v>1196800</v>
      </c>
      <c r="BO97" s="1">
        <v>1143300</v>
      </c>
      <c r="BP97" s="1">
        <v>1024400</v>
      </c>
    </row>
    <row r="98" spans="1:68" ht="15.9" customHeight="1">
      <c r="A98" s="396" t="s">
        <v>191</v>
      </c>
      <c r="B98" s="49" t="s">
        <v>192</v>
      </c>
      <c r="C98" s="53" t="str">
        <f>_xll.RssMarket("4188","出来高")</f>
        <v/>
      </c>
      <c r="D98" s="205" t="e">
        <f t="shared" si="1"/>
        <v>#VALUE!</v>
      </c>
      <c r="E98" s="203">
        <v>6704900</v>
      </c>
      <c r="F98" s="22">
        <v>4726400</v>
      </c>
      <c r="G98" s="22">
        <v>5534200</v>
      </c>
      <c r="H98" s="22">
        <v>4077700</v>
      </c>
      <c r="I98" s="22">
        <v>4997500</v>
      </c>
      <c r="J98" s="22">
        <v>5338100</v>
      </c>
      <c r="K98" s="22">
        <v>7222000</v>
      </c>
      <c r="L98" s="22">
        <v>6774500</v>
      </c>
      <c r="M98" s="22">
        <v>6039100</v>
      </c>
      <c r="N98" s="22">
        <v>5744300</v>
      </c>
      <c r="O98" s="22">
        <v>4771600</v>
      </c>
      <c r="P98" s="22">
        <v>5998300</v>
      </c>
      <c r="Q98" s="22">
        <v>8022600</v>
      </c>
      <c r="R98" s="22">
        <v>9806100</v>
      </c>
      <c r="S98" s="22">
        <v>5538600</v>
      </c>
      <c r="T98" s="22">
        <v>5407700</v>
      </c>
      <c r="U98" s="22">
        <v>5624300</v>
      </c>
      <c r="V98" s="22">
        <v>6530000</v>
      </c>
      <c r="W98" s="22">
        <v>5573400</v>
      </c>
      <c r="X98" s="22">
        <v>7390400</v>
      </c>
      <c r="Y98" s="22">
        <v>9149900</v>
      </c>
      <c r="Z98" s="22">
        <v>7563000</v>
      </c>
      <c r="AA98" s="22">
        <v>4768100</v>
      </c>
      <c r="AB98" s="22">
        <v>7848100</v>
      </c>
      <c r="AC98" s="22">
        <v>6138900</v>
      </c>
      <c r="AD98" s="22">
        <v>4932200</v>
      </c>
      <c r="AE98" s="22">
        <v>5371000</v>
      </c>
      <c r="AF98" s="22">
        <v>5688000</v>
      </c>
      <c r="AG98" s="22">
        <v>4724200</v>
      </c>
      <c r="AH98" s="22">
        <v>5952200</v>
      </c>
      <c r="AI98" s="22">
        <v>5391500</v>
      </c>
      <c r="AJ98" s="22">
        <v>10577300</v>
      </c>
      <c r="AK98" s="22">
        <v>7865100</v>
      </c>
      <c r="AL98" s="22">
        <v>6782700</v>
      </c>
      <c r="AM98" s="22">
        <v>10479300</v>
      </c>
      <c r="AN98" s="22">
        <v>5108300</v>
      </c>
      <c r="AO98" s="22">
        <v>7807500</v>
      </c>
      <c r="AP98" s="22">
        <v>7176100</v>
      </c>
      <c r="AQ98" s="22">
        <v>6773900</v>
      </c>
      <c r="AR98" s="22">
        <v>5269400</v>
      </c>
      <c r="AS98" s="22">
        <v>10576800</v>
      </c>
      <c r="AT98" s="22">
        <v>15257100</v>
      </c>
      <c r="AU98" s="22">
        <v>27241500</v>
      </c>
      <c r="AV98" s="22">
        <v>5823200</v>
      </c>
      <c r="AW98" s="22">
        <v>7365700</v>
      </c>
      <c r="AX98" s="22">
        <v>7365700</v>
      </c>
      <c r="AY98" s="22">
        <v>7575100</v>
      </c>
      <c r="AZ98" s="22">
        <v>10686600</v>
      </c>
      <c r="BA98" s="22">
        <v>4518500</v>
      </c>
      <c r="BB98" s="22">
        <v>7575100</v>
      </c>
      <c r="BC98" s="22">
        <v>6184100</v>
      </c>
      <c r="BD98" s="22">
        <v>5186600</v>
      </c>
      <c r="BE98" s="22">
        <v>3611200</v>
      </c>
      <c r="BF98" s="22">
        <v>6537700</v>
      </c>
      <c r="BG98" s="22">
        <v>4788500</v>
      </c>
      <c r="BH98" s="22">
        <v>5791800</v>
      </c>
      <c r="BI98" s="22">
        <v>6322400</v>
      </c>
      <c r="BJ98" s="22">
        <v>4825800</v>
      </c>
      <c r="BK98" s="22">
        <v>4911100</v>
      </c>
      <c r="BL98" s="22">
        <v>8840100</v>
      </c>
      <c r="BM98" s="1">
        <v>5158600</v>
      </c>
      <c r="BN98" s="1">
        <v>5745100</v>
      </c>
      <c r="BO98" s="1">
        <v>9622300</v>
      </c>
      <c r="BP98" s="1">
        <v>9814400</v>
      </c>
    </row>
    <row r="99" spans="1:68" ht="15.9" customHeight="1">
      <c r="A99" s="396" t="s">
        <v>193</v>
      </c>
      <c r="B99" s="49" t="s">
        <v>194</v>
      </c>
      <c r="C99" s="53" t="str">
        <f>_xll.RssMarket("4523","出来高")</f>
        <v/>
      </c>
      <c r="D99" s="205" t="e">
        <f t="shared" si="1"/>
        <v>#VALUE!</v>
      </c>
      <c r="E99" s="203">
        <v>1934700</v>
      </c>
      <c r="F99" s="22">
        <v>1765700</v>
      </c>
      <c r="G99" s="22">
        <v>2570300</v>
      </c>
      <c r="H99" s="22">
        <v>1196800</v>
      </c>
      <c r="I99" s="22">
        <v>1513100</v>
      </c>
      <c r="J99" s="22">
        <v>1640200</v>
      </c>
      <c r="K99" s="22">
        <v>1395300</v>
      </c>
      <c r="L99" s="22">
        <v>1633400</v>
      </c>
      <c r="M99" s="22">
        <v>1289000</v>
      </c>
      <c r="N99" s="22">
        <v>1598200</v>
      </c>
      <c r="O99" s="22">
        <v>1778100</v>
      </c>
      <c r="P99" s="22">
        <v>1072700</v>
      </c>
      <c r="Q99" s="22">
        <v>1818900</v>
      </c>
      <c r="R99" s="22">
        <v>4170300</v>
      </c>
      <c r="S99" s="22">
        <v>1620500</v>
      </c>
      <c r="T99" s="22">
        <v>1437000</v>
      </c>
      <c r="U99" s="22">
        <v>1345500</v>
      </c>
      <c r="V99" s="22">
        <v>1736100</v>
      </c>
      <c r="W99" s="22">
        <v>1395000</v>
      </c>
      <c r="X99" s="22">
        <v>2438200</v>
      </c>
      <c r="Y99" s="22">
        <v>2448700</v>
      </c>
      <c r="Z99" s="22">
        <v>1988700</v>
      </c>
      <c r="AA99" s="22">
        <v>1702600</v>
      </c>
      <c r="AB99" s="22">
        <v>1735600</v>
      </c>
      <c r="AC99" s="22">
        <v>1960900</v>
      </c>
      <c r="AD99" s="22">
        <v>1955700</v>
      </c>
      <c r="AE99" s="22">
        <v>1696200</v>
      </c>
      <c r="AF99" s="22">
        <v>1769400</v>
      </c>
      <c r="AG99" s="22">
        <v>1753400</v>
      </c>
      <c r="AH99" s="22">
        <v>2179400</v>
      </c>
      <c r="AI99" s="22">
        <v>2323400</v>
      </c>
      <c r="AJ99" s="22">
        <v>3394200</v>
      </c>
      <c r="AK99" s="22">
        <v>2698800</v>
      </c>
      <c r="AL99" s="22">
        <v>2164800</v>
      </c>
      <c r="AM99" s="22">
        <v>1783500</v>
      </c>
      <c r="AN99" s="22">
        <v>2045300</v>
      </c>
      <c r="AO99" s="22">
        <v>1851200</v>
      </c>
      <c r="AP99" s="22">
        <v>2678300</v>
      </c>
      <c r="AQ99" s="22">
        <v>1727000</v>
      </c>
      <c r="AR99" s="22">
        <v>2716800</v>
      </c>
      <c r="AS99" s="22">
        <v>1652100</v>
      </c>
      <c r="AT99" s="22">
        <v>1216700</v>
      </c>
      <c r="AU99" s="22">
        <v>1116100</v>
      </c>
      <c r="AV99" s="22">
        <v>964500</v>
      </c>
      <c r="AW99" s="22">
        <v>1495000</v>
      </c>
      <c r="AX99" s="22">
        <v>1495000</v>
      </c>
      <c r="AY99" s="22">
        <v>1542100</v>
      </c>
      <c r="AZ99" s="22">
        <v>1336600</v>
      </c>
      <c r="BA99" s="22">
        <v>875000</v>
      </c>
      <c r="BB99" s="22">
        <v>1690500</v>
      </c>
      <c r="BC99" s="22">
        <v>1147300</v>
      </c>
      <c r="BD99" s="22">
        <v>1335800</v>
      </c>
      <c r="BE99" s="22">
        <v>727400</v>
      </c>
      <c r="BF99" s="22">
        <v>861600</v>
      </c>
      <c r="BG99" s="22">
        <v>1188600</v>
      </c>
      <c r="BH99" s="22">
        <v>843600</v>
      </c>
      <c r="BI99" s="22">
        <v>763000</v>
      </c>
      <c r="BJ99" s="22">
        <v>812800</v>
      </c>
      <c r="BK99" s="22">
        <v>776700</v>
      </c>
      <c r="BL99" s="22">
        <v>1180400</v>
      </c>
      <c r="BM99" s="1">
        <v>1069000</v>
      </c>
      <c r="BN99" s="1">
        <v>899900</v>
      </c>
      <c r="BO99" s="1">
        <v>1367700</v>
      </c>
      <c r="BP99" s="1">
        <v>954500</v>
      </c>
    </row>
    <row r="100" spans="1:68" ht="15.9" customHeight="1">
      <c r="A100" s="396" t="s">
        <v>195</v>
      </c>
      <c r="B100" s="49" t="s">
        <v>196</v>
      </c>
      <c r="C100" s="53" t="str">
        <f>_xll.RssMarket("4528","出来高")</f>
        <v/>
      </c>
      <c r="D100" s="205" t="e">
        <f t="shared" si="1"/>
        <v>#VALUE!</v>
      </c>
      <c r="E100" s="203">
        <v>2057200</v>
      </c>
      <c r="F100" s="22">
        <v>1516100</v>
      </c>
      <c r="G100" s="22">
        <v>1327200</v>
      </c>
      <c r="H100" s="22">
        <v>1072800</v>
      </c>
      <c r="I100" s="22">
        <v>1422400</v>
      </c>
      <c r="J100" s="22">
        <v>1131700</v>
      </c>
      <c r="K100" s="22">
        <v>1453500</v>
      </c>
      <c r="L100" s="22">
        <v>1280500</v>
      </c>
      <c r="M100" s="22">
        <v>1202300</v>
      </c>
      <c r="N100" s="22">
        <v>1067000</v>
      </c>
      <c r="O100" s="22">
        <v>1440100</v>
      </c>
      <c r="P100" s="22">
        <v>1547900</v>
      </c>
      <c r="Q100" s="22">
        <v>1925000</v>
      </c>
      <c r="R100" s="22">
        <v>1926200</v>
      </c>
      <c r="S100" s="22">
        <v>1384000</v>
      </c>
      <c r="T100" s="22">
        <v>1145000</v>
      </c>
      <c r="U100" s="22">
        <v>1427500</v>
      </c>
      <c r="V100" s="22">
        <v>1735400</v>
      </c>
      <c r="W100" s="22">
        <v>1832500</v>
      </c>
      <c r="X100" s="22">
        <v>2238300</v>
      </c>
      <c r="Y100" s="22">
        <v>1411600</v>
      </c>
      <c r="Z100" s="22">
        <v>1121900</v>
      </c>
      <c r="AA100" s="22">
        <v>1555000</v>
      </c>
      <c r="AB100" s="22">
        <v>1938800</v>
      </c>
      <c r="AC100" s="22">
        <v>1702500</v>
      </c>
      <c r="AD100" s="22">
        <v>1727700</v>
      </c>
      <c r="AE100" s="22">
        <v>1828100</v>
      </c>
      <c r="AF100" s="22">
        <v>1647400</v>
      </c>
      <c r="AG100" s="22">
        <v>2306700</v>
      </c>
      <c r="AH100" s="22">
        <v>3190200</v>
      </c>
      <c r="AI100" s="22">
        <v>2742900</v>
      </c>
      <c r="AJ100" s="22">
        <v>1997700</v>
      </c>
      <c r="AK100" s="22">
        <v>1638000</v>
      </c>
      <c r="AL100" s="22">
        <v>2270800</v>
      </c>
      <c r="AM100" s="22">
        <v>1470700</v>
      </c>
      <c r="AN100" s="22">
        <v>2447800</v>
      </c>
      <c r="AO100" s="22">
        <v>1856600</v>
      </c>
      <c r="AP100" s="22">
        <v>1860400</v>
      </c>
      <c r="AQ100" s="22">
        <v>1908300</v>
      </c>
      <c r="AR100" s="22">
        <v>1545800</v>
      </c>
      <c r="AS100" s="22">
        <v>1470500</v>
      </c>
      <c r="AT100" s="22">
        <v>1412300</v>
      </c>
      <c r="AU100" s="22">
        <v>2630000</v>
      </c>
      <c r="AV100" s="22">
        <v>1518900</v>
      </c>
      <c r="AW100" s="22">
        <v>2647600</v>
      </c>
      <c r="AX100" s="22">
        <v>2647600</v>
      </c>
      <c r="AY100" s="22">
        <v>5080800</v>
      </c>
      <c r="AZ100" s="22">
        <v>2830800</v>
      </c>
      <c r="BA100" s="22">
        <v>1496900</v>
      </c>
      <c r="BB100" s="22">
        <v>1916700</v>
      </c>
      <c r="BC100" s="22">
        <v>1766800</v>
      </c>
      <c r="BD100" s="22">
        <v>1169200</v>
      </c>
      <c r="BE100" s="22">
        <v>1461100</v>
      </c>
      <c r="BF100" s="22">
        <v>1770400</v>
      </c>
      <c r="BG100" s="22">
        <v>2105000</v>
      </c>
      <c r="BH100" s="22">
        <v>1464700</v>
      </c>
      <c r="BI100" s="22">
        <v>1318800</v>
      </c>
      <c r="BJ100" s="22">
        <v>1886100</v>
      </c>
      <c r="BK100" s="22">
        <v>1465800</v>
      </c>
      <c r="BL100" s="22">
        <v>2050200</v>
      </c>
      <c r="BM100" s="1">
        <v>1496100</v>
      </c>
      <c r="BN100" s="1">
        <v>1207800</v>
      </c>
      <c r="BO100" s="1">
        <v>1439300</v>
      </c>
      <c r="BP100" s="1">
        <v>1199900</v>
      </c>
    </row>
    <row r="101" spans="1:68" ht="15.9" customHeight="1">
      <c r="A101" s="396" t="s">
        <v>197</v>
      </c>
      <c r="B101" s="49" t="s">
        <v>198</v>
      </c>
      <c r="C101" s="53" t="str">
        <f>_xll.RssMarket("4661","出来高")</f>
        <v/>
      </c>
      <c r="D101" s="205" t="e">
        <f t="shared" si="1"/>
        <v>#VALUE!</v>
      </c>
      <c r="E101" s="203">
        <v>6591600</v>
      </c>
      <c r="F101" s="22">
        <v>8770200</v>
      </c>
      <c r="G101" s="22">
        <v>11927900</v>
      </c>
      <c r="H101" s="22">
        <v>3837200</v>
      </c>
      <c r="I101" s="22">
        <v>4206100</v>
      </c>
      <c r="J101" s="22">
        <v>4386200</v>
      </c>
      <c r="K101" s="22">
        <v>5529800</v>
      </c>
      <c r="L101" s="22">
        <v>6120900</v>
      </c>
      <c r="M101" s="22">
        <v>4290300</v>
      </c>
      <c r="N101" s="22">
        <v>4980300</v>
      </c>
      <c r="O101" s="22">
        <v>4709600</v>
      </c>
      <c r="P101" s="22">
        <v>4823700</v>
      </c>
      <c r="Q101" s="22">
        <v>4998500</v>
      </c>
      <c r="R101" s="22">
        <v>7379500</v>
      </c>
      <c r="S101" s="22">
        <v>4114100</v>
      </c>
      <c r="T101" s="22">
        <v>5148500</v>
      </c>
      <c r="U101" s="22">
        <v>6627100</v>
      </c>
      <c r="V101" s="22">
        <v>6554600</v>
      </c>
      <c r="W101" s="22">
        <v>4243200</v>
      </c>
      <c r="X101" s="22">
        <v>7179300</v>
      </c>
      <c r="Y101" s="22">
        <v>5093300</v>
      </c>
      <c r="Z101" s="22">
        <v>4234100</v>
      </c>
      <c r="AA101" s="22">
        <v>4418000</v>
      </c>
      <c r="AB101" s="22">
        <v>6707300</v>
      </c>
      <c r="AC101" s="22">
        <v>5696300</v>
      </c>
      <c r="AD101" s="22">
        <v>7004500</v>
      </c>
      <c r="AE101" s="22">
        <v>6141000</v>
      </c>
      <c r="AF101" s="22">
        <v>4043200</v>
      </c>
      <c r="AG101" s="22">
        <v>4070600</v>
      </c>
      <c r="AH101" s="22">
        <v>5882900</v>
      </c>
      <c r="AI101" s="22">
        <v>7497600</v>
      </c>
      <c r="AJ101" s="22">
        <v>11732400</v>
      </c>
      <c r="AK101" s="22">
        <v>7737900</v>
      </c>
      <c r="AL101" s="22">
        <v>5631100</v>
      </c>
      <c r="AM101" s="22">
        <v>4427600</v>
      </c>
      <c r="AN101" s="22">
        <v>5488800</v>
      </c>
      <c r="AO101" s="22">
        <v>7407400</v>
      </c>
      <c r="AP101" s="22">
        <v>5918400</v>
      </c>
      <c r="AQ101" s="22">
        <v>6635400</v>
      </c>
      <c r="AR101" s="22">
        <v>5753000</v>
      </c>
      <c r="AS101" s="22">
        <v>4894400</v>
      </c>
      <c r="AT101" s="22">
        <v>5794000</v>
      </c>
      <c r="AU101" s="22">
        <v>5341200</v>
      </c>
      <c r="AV101" s="22">
        <v>4889200</v>
      </c>
      <c r="AW101" s="22">
        <v>6984800</v>
      </c>
      <c r="AX101" s="22">
        <v>6984800</v>
      </c>
      <c r="AY101" s="22">
        <v>8435400</v>
      </c>
      <c r="AZ101" s="22">
        <v>14737900</v>
      </c>
      <c r="BA101" s="22">
        <v>9239000</v>
      </c>
      <c r="BB101" s="22">
        <v>23914700</v>
      </c>
      <c r="BC101" s="22">
        <v>6665100</v>
      </c>
      <c r="BD101" s="22">
        <v>7915300</v>
      </c>
      <c r="BE101" s="22">
        <v>8297100</v>
      </c>
      <c r="BF101" s="22">
        <v>7872200</v>
      </c>
      <c r="BG101" s="22">
        <v>3559600</v>
      </c>
      <c r="BH101" s="22">
        <v>2835000</v>
      </c>
      <c r="BI101" s="22">
        <v>2678200</v>
      </c>
      <c r="BJ101" s="22">
        <v>3100700</v>
      </c>
      <c r="BK101" s="22">
        <v>4044400</v>
      </c>
      <c r="BL101" s="22">
        <v>5357000</v>
      </c>
      <c r="BM101" s="1">
        <v>4294600</v>
      </c>
      <c r="BN101" s="1">
        <v>3406300</v>
      </c>
      <c r="BO101" s="1">
        <v>4662900</v>
      </c>
      <c r="BP101" s="1">
        <v>5196300</v>
      </c>
    </row>
    <row r="102" spans="1:68" ht="15.9" customHeight="1">
      <c r="A102" s="396" t="s">
        <v>199</v>
      </c>
      <c r="B102" s="49" t="s">
        <v>200</v>
      </c>
      <c r="C102" s="53" t="str">
        <f>_xll.RssMarket("5802","出来高")</f>
        <v/>
      </c>
      <c r="D102" s="205" t="e">
        <f t="shared" si="1"/>
        <v>#VALUE!</v>
      </c>
      <c r="E102" s="203">
        <v>23416500</v>
      </c>
      <c r="F102" s="22">
        <v>15348400</v>
      </c>
      <c r="G102" s="22">
        <v>18618700</v>
      </c>
      <c r="H102" s="22">
        <v>16839600</v>
      </c>
      <c r="I102" s="22">
        <v>28403300</v>
      </c>
      <c r="J102" s="22">
        <v>18696000</v>
      </c>
      <c r="K102" s="22">
        <v>29310800</v>
      </c>
      <c r="L102" s="22">
        <v>26810700</v>
      </c>
      <c r="M102" s="22">
        <v>18064100</v>
      </c>
      <c r="N102" s="22">
        <v>25597100</v>
      </c>
      <c r="O102" s="22">
        <v>20864900</v>
      </c>
      <c r="P102" s="22">
        <v>16813200</v>
      </c>
      <c r="Q102" s="22">
        <v>20322400</v>
      </c>
      <c r="R102" s="22">
        <v>17218700</v>
      </c>
      <c r="S102" s="22">
        <v>6276700</v>
      </c>
      <c r="T102" s="22">
        <v>4081500</v>
      </c>
      <c r="U102" s="22">
        <v>5697300</v>
      </c>
      <c r="V102" s="22">
        <v>7535900</v>
      </c>
      <c r="W102" s="22">
        <v>5864600</v>
      </c>
      <c r="X102" s="22">
        <v>12930000</v>
      </c>
      <c r="Y102" s="22">
        <v>5119200</v>
      </c>
      <c r="Z102" s="22">
        <v>4673200</v>
      </c>
      <c r="AA102" s="22">
        <v>8747100</v>
      </c>
      <c r="AB102" s="22">
        <v>8180800</v>
      </c>
      <c r="AC102" s="22">
        <v>6921000</v>
      </c>
      <c r="AD102" s="22">
        <v>9193400</v>
      </c>
      <c r="AE102" s="22">
        <v>6242800</v>
      </c>
      <c r="AF102" s="22">
        <v>5656600</v>
      </c>
      <c r="AG102" s="22">
        <v>5585800</v>
      </c>
      <c r="AH102" s="22">
        <v>6861400</v>
      </c>
      <c r="AI102" s="22">
        <v>7301000</v>
      </c>
      <c r="AJ102" s="22">
        <v>9941900</v>
      </c>
      <c r="AK102" s="22">
        <v>5225600</v>
      </c>
      <c r="AL102" s="22">
        <v>6459200</v>
      </c>
      <c r="AM102" s="22">
        <v>5286700</v>
      </c>
      <c r="AN102" s="22">
        <v>5949200</v>
      </c>
      <c r="AO102" s="22">
        <v>5946400</v>
      </c>
      <c r="AP102" s="22">
        <v>7893900</v>
      </c>
      <c r="AQ102" s="22">
        <v>6047200</v>
      </c>
      <c r="AR102" s="22">
        <v>8641400</v>
      </c>
      <c r="AS102" s="22">
        <v>10409100</v>
      </c>
      <c r="AT102" s="22">
        <v>11321600</v>
      </c>
      <c r="AU102" s="22">
        <v>12494700</v>
      </c>
      <c r="AV102" s="22">
        <v>16821100</v>
      </c>
      <c r="AW102" s="22">
        <v>4725400</v>
      </c>
      <c r="AX102" s="22">
        <v>4725400</v>
      </c>
      <c r="AY102" s="22">
        <v>5055700</v>
      </c>
      <c r="AZ102" s="22">
        <v>10977100</v>
      </c>
      <c r="BA102" s="22">
        <v>4356600</v>
      </c>
      <c r="BB102" s="22">
        <v>4630900</v>
      </c>
      <c r="BC102" s="22">
        <v>3548800</v>
      </c>
      <c r="BD102" s="22">
        <v>4491300</v>
      </c>
      <c r="BE102" s="22">
        <v>4655100</v>
      </c>
      <c r="BF102" s="22">
        <v>7066100</v>
      </c>
      <c r="BG102" s="22">
        <v>7019400</v>
      </c>
      <c r="BH102" s="22">
        <v>5864600</v>
      </c>
      <c r="BI102" s="22">
        <v>4757700</v>
      </c>
      <c r="BJ102" s="22">
        <v>4406100</v>
      </c>
      <c r="BK102" s="22">
        <v>7908600</v>
      </c>
      <c r="BL102" s="22">
        <v>8747200</v>
      </c>
      <c r="BM102" s="1">
        <v>7874800</v>
      </c>
      <c r="BN102" s="1">
        <v>13599200</v>
      </c>
      <c r="BO102" s="1">
        <v>10081400</v>
      </c>
      <c r="BP102" s="1">
        <v>7849500</v>
      </c>
    </row>
    <row r="103" spans="1:68" ht="15.9" customHeight="1">
      <c r="A103" s="396" t="s">
        <v>201</v>
      </c>
      <c r="B103" s="49" t="s">
        <v>202</v>
      </c>
      <c r="C103" s="53" t="str">
        <f>_xll.RssMarket("5803","出来高")</f>
        <v/>
      </c>
      <c r="D103" s="205" t="e">
        <f t="shared" si="1"/>
        <v>#VALUE!</v>
      </c>
      <c r="E103" s="203">
        <v>47075400</v>
      </c>
      <c r="F103" s="22">
        <v>32782500</v>
      </c>
      <c r="G103" s="22">
        <v>44664300</v>
      </c>
      <c r="H103" s="22">
        <v>40749200</v>
      </c>
      <c r="I103" s="22">
        <v>42643000</v>
      </c>
      <c r="J103" s="22">
        <v>45092500</v>
      </c>
      <c r="K103" s="22">
        <v>40311200</v>
      </c>
      <c r="L103" s="22">
        <v>35968500</v>
      </c>
      <c r="M103" s="22">
        <v>32123000</v>
      </c>
      <c r="N103" s="22">
        <v>42677500</v>
      </c>
      <c r="O103" s="22">
        <v>34213100</v>
      </c>
      <c r="P103" s="22">
        <v>39659300</v>
      </c>
      <c r="Q103" s="22">
        <v>46151000</v>
      </c>
      <c r="R103" s="22">
        <v>56572900</v>
      </c>
      <c r="S103" s="22">
        <v>61307100</v>
      </c>
      <c r="T103" s="22">
        <v>50848200</v>
      </c>
      <c r="U103" s="22">
        <v>80829900</v>
      </c>
      <c r="V103" s="22">
        <v>154230200</v>
      </c>
      <c r="W103" s="22">
        <v>2675400</v>
      </c>
      <c r="X103" s="22">
        <v>3131200</v>
      </c>
      <c r="Y103" s="22">
        <v>48865900</v>
      </c>
      <c r="Z103" s="22">
        <v>35504300</v>
      </c>
      <c r="AA103" s="22">
        <v>68142600</v>
      </c>
      <c r="AB103" s="22">
        <v>45471600</v>
      </c>
      <c r="AC103" s="22">
        <v>51253400</v>
      </c>
      <c r="AD103" s="22">
        <v>54543200</v>
      </c>
      <c r="AE103" s="22">
        <v>45195300</v>
      </c>
      <c r="AF103" s="22">
        <v>46983000</v>
      </c>
      <c r="AG103" s="22">
        <v>45052400</v>
      </c>
      <c r="AH103" s="22">
        <v>82340200</v>
      </c>
      <c r="AI103" s="22">
        <v>48742800</v>
      </c>
      <c r="AJ103" s="22">
        <v>71394000</v>
      </c>
      <c r="AK103" s="22">
        <v>66629900</v>
      </c>
      <c r="AL103" s="22">
        <v>71871700</v>
      </c>
      <c r="AM103" s="22">
        <v>60516700</v>
      </c>
      <c r="AN103" s="22">
        <v>105386700</v>
      </c>
      <c r="AO103" s="22">
        <v>98432700</v>
      </c>
      <c r="AP103" s="22">
        <v>116069900</v>
      </c>
      <c r="AQ103" s="22">
        <v>124339100</v>
      </c>
      <c r="AR103" s="22">
        <v>86555100</v>
      </c>
      <c r="AS103" s="22">
        <v>128904500</v>
      </c>
      <c r="AT103" s="22">
        <v>57118100</v>
      </c>
      <c r="AU103" s="22">
        <v>62691200</v>
      </c>
      <c r="AV103" s="22">
        <v>90480800</v>
      </c>
      <c r="AW103" s="22">
        <v>40738700</v>
      </c>
      <c r="AX103" s="22">
        <v>40738700</v>
      </c>
      <c r="AY103" s="22">
        <v>43386200</v>
      </c>
      <c r="AZ103" s="22">
        <v>49010500</v>
      </c>
      <c r="BA103" s="22">
        <v>28397000</v>
      </c>
      <c r="BB103" s="22">
        <v>39274600</v>
      </c>
      <c r="BC103" s="22">
        <v>46167300</v>
      </c>
      <c r="BD103" s="22">
        <v>52739100</v>
      </c>
      <c r="BE103" s="22">
        <v>40846300</v>
      </c>
      <c r="BF103" s="22">
        <v>57099000</v>
      </c>
      <c r="BG103" s="22">
        <v>42928800</v>
      </c>
      <c r="BH103" s="22">
        <v>49306000</v>
      </c>
      <c r="BI103" s="22">
        <v>49029200</v>
      </c>
      <c r="BJ103" s="22">
        <v>49543600</v>
      </c>
      <c r="BK103" s="22">
        <v>53271700</v>
      </c>
      <c r="BL103" s="22">
        <v>57485900</v>
      </c>
      <c r="BM103" s="1">
        <v>63357200</v>
      </c>
      <c r="BN103" s="1">
        <v>67148400</v>
      </c>
      <c r="BO103" s="1">
        <v>83540900</v>
      </c>
      <c r="BP103" s="1">
        <v>70638500</v>
      </c>
    </row>
    <row r="104" spans="1:68" ht="15.9" customHeight="1">
      <c r="A104" s="396" t="s">
        <v>203</v>
      </c>
      <c r="B104" s="49" t="s">
        <v>204</v>
      </c>
      <c r="C104" s="53" t="str">
        <f>_xll.RssMarket("6178","出来高")</f>
        <v/>
      </c>
      <c r="D104" s="205" t="e">
        <f t="shared" si="1"/>
        <v>#VALUE!</v>
      </c>
      <c r="E104" s="203">
        <v>6553400</v>
      </c>
      <c r="F104" s="22">
        <v>6605300</v>
      </c>
      <c r="G104" s="22">
        <v>4752500</v>
      </c>
      <c r="H104" s="22">
        <v>4787100</v>
      </c>
      <c r="I104" s="22">
        <v>5427300</v>
      </c>
      <c r="J104" s="22">
        <v>5833800</v>
      </c>
      <c r="K104" s="22">
        <v>6253300</v>
      </c>
      <c r="L104" s="22">
        <v>7757400</v>
      </c>
      <c r="M104" s="22">
        <v>4107100</v>
      </c>
      <c r="N104" s="22">
        <v>4037800</v>
      </c>
      <c r="O104" s="22">
        <v>4825100</v>
      </c>
      <c r="P104" s="22">
        <v>5231700</v>
      </c>
      <c r="Q104" s="22">
        <v>5022600</v>
      </c>
      <c r="R104" s="22">
        <v>5144000</v>
      </c>
      <c r="S104" s="22">
        <v>5143200</v>
      </c>
      <c r="T104" s="22">
        <v>5306200</v>
      </c>
      <c r="U104" s="22">
        <v>7296900</v>
      </c>
      <c r="V104" s="22">
        <v>4550200</v>
      </c>
      <c r="W104" s="22">
        <v>3687900</v>
      </c>
      <c r="X104" s="22">
        <v>6401400</v>
      </c>
      <c r="Y104" s="22">
        <v>5385900</v>
      </c>
      <c r="Z104" s="22">
        <v>5707300</v>
      </c>
      <c r="AA104" s="22">
        <v>4930800</v>
      </c>
      <c r="AB104" s="22">
        <v>5298900</v>
      </c>
      <c r="AC104" s="22">
        <v>11509700</v>
      </c>
      <c r="AD104" s="22">
        <v>7369600</v>
      </c>
      <c r="AE104" s="22">
        <v>7432300</v>
      </c>
      <c r="AF104" s="22">
        <v>5719500</v>
      </c>
      <c r="AG104" s="22">
        <v>4225500</v>
      </c>
      <c r="AH104" s="22">
        <v>5974500</v>
      </c>
      <c r="AI104" s="22">
        <v>6170100</v>
      </c>
      <c r="AJ104" s="22">
        <v>5438700</v>
      </c>
      <c r="AK104" s="22">
        <v>12417400</v>
      </c>
      <c r="AL104" s="22">
        <v>23062400</v>
      </c>
      <c r="AM104" s="22">
        <v>6485500</v>
      </c>
      <c r="AN104" s="22">
        <v>6223700</v>
      </c>
      <c r="AO104" s="22">
        <v>4791000</v>
      </c>
      <c r="AP104" s="22">
        <v>8548200</v>
      </c>
      <c r="AQ104" s="22">
        <v>8577200</v>
      </c>
      <c r="AR104" s="22">
        <v>7908500</v>
      </c>
      <c r="AS104" s="22">
        <v>12590600</v>
      </c>
      <c r="AT104" s="22">
        <v>5957200</v>
      </c>
      <c r="AU104" s="22">
        <v>4668100</v>
      </c>
      <c r="AV104" s="22">
        <v>4964600</v>
      </c>
      <c r="AW104" s="22">
        <v>4918200</v>
      </c>
      <c r="AX104" s="22">
        <v>3628400</v>
      </c>
      <c r="AY104" s="22">
        <v>3628400</v>
      </c>
      <c r="AZ104" s="22">
        <v>5490100</v>
      </c>
      <c r="BA104" s="22">
        <v>5991100</v>
      </c>
      <c r="BB104" s="22">
        <v>3642000</v>
      </c>
      <c r="BC104" s="22">
        <v>6341300</v>
      </c>
      <c r="BD104" s="22">
        <v>5140500</v>
      </c>
      <c r="BE104" s="22">
        <v>6389000</v>
      </c>
      <c r="BF104" s="22">
        <v>4120100</v>
      </c>
      <c r="BG104" s="22">
        <v>6404700</v>
      </c>
      <c r="BH104" s="22">
        <v>4093600</v>
      </c>
      <c r="BI104" s="22">
        <v>4614300</v>
      </c>
      <c r="BJ104" s="22">
        <v>3288600</v>
      </c>
      <c r="BK104" s="22">
        <v>4178500</v>
      </c>
      <c r="BL104" s="22">
        <v>3591700</v>
      </c>
      <c r="BM104" s="1">
        <v>3346500</v>
      </c>
      <c r="BN104" s="1">
        <v>3070900</v>
      </c>
      <c r="BO104" s="1">
        <v>2983400</v>
      </c>
      <c r="BP104" s="1">
        <v>3822400</v>
      </c>
    </row>
    <row r="105" spans="1:68" ht="15.9" customHeight="1">
      <c r="A105" s="396" t="s">
        <v>205</v>
      </c>
      <c r="B105" s="49" t="s">
        <v>206</v>
      </c>
      <c r="C105" s="53" t="str">
        <f>_xll.RssMarket("6925","出来高")</f>
        <v/>
      </c>
      <c r="D105" s="205" t="e">
        <f t="shared" si="1"/>
        <v>#VALUE!</v>
      </c>
      <c r="E105" s="203">
        <v>416100</v>
      </c>
      <c r="F105" s="22">
        <v>317200</v>
      </c>
      <c r="G105" s="22">
        <v>697500</v>
      </c>
      <c r="H105" s="22">
        <v>254100</v>
      </c>
      <c r="I105" s="22">
        <v>460800</v>
      </c>
      <c r="J105" s="22">
        <v>423100</v>
      </c>
      <c r="K105" s="22">
        <v>497700</v>
      </c>
      <c r="L105" s="22">
        <v>432600</v>
      </c>
      <c r="M105" s="22">
        <v>605100</v>
      </c>
      <c r="N105" s="22">
        <v>534800</v>
      </c>
      <c r="O105" s="22">
        <v>755100</v>
      </c>
      <c r="P105" s="22">
        <v>1058100</v>
      </c>
      <c r="Q105" s="22">
        <v>477500</v>
      </c>
      <c r="R105" s="22">
        <v>349700</v>
      </c>
      <c r="S105" s="22">
        <v>355600</v>
      </c>
      <c r="T105" s="22">
        <v>370000</v>
      </c>
      <c r="U105" s="22">
        <v>451000</v>
      </c>
      <c r="V105" s="22">
        <v>368600</v>
      </c>
      <c r="W105" s="22">
        <v>402800</v>
      </c>
      <c r="X105" s="22">
        <v>580800</v>
      </c>
      <c r="Y105" s="22">
        <v>573400</v>
      </c>
      <c r="Z105" s="22">
        <v>591100</v>
      </c>
      <c r="AA105" s="22">
        <v>314800</v>
      </c>
      <c r="AB105" s="22">
        <v>621800</v>
      </c>
      <c r="AC105" s="22">
        <v>367800</v>
      </c>
      <c r="AD105" s="22">
        <v>360200</v>
      </c>
      <c r="AE105" s="22">
        <v>439800</v>
      </c>
      <c r="AF105" s="22">
        <v>417200</v>
      </c>
      <c r="AG105" s="22">
        <v>476600</v>
      </c>
      <c r="AH105" s="22">
        <v>666400</v>
      </c>
      <c r="AI105" s="22">
        <v>517700</v>
      </c>
      <c r="AJ105" s="22">
        <v>537000</v>
      </c>
      <c r="AK105" s="22">
        <v>482600</v>
      </c>
      <c r="AL105" s="22">
        <v>476700</v>
      </c>
      <c r="AM105" s="22">
        <v>770100</v>
      </c>
      <c r="AN105" s="22">
        <v>559000</v>
      </c>
      <c r="AO105" s="22">
        <v>1024000</v>
      </c>
      <c r="AP105" s="22">
        <v>495500</v>
      </c>
      <c r="AQ105" s="22">
        <v>723700</v>
      </c>
      <c r="AR105" s="22">
        <v>1328700</v>
      </c>
      <c r="AS105" s="22">
        <v>236500</v>
      </c>
      <c r="AT105" s="22">
        <v>482500</v>
      </c>
      <c r="AU105" s="22">
        <v>551700</v>
      </c>
      <c r="AV105" s="22">
        <v>551400</v>
      </c>
      <c r="AW105" s="22">
        <v>449800</v>
      </c>
      <c r="AX105" s="22">
        <v>449800</v>
      </c>
      <c r="AY105" s="22">
        <v>515800</v>
      </c>
      <c r="AZ105" s="22">
        <v>765000</v>
      </c>
      <c r="BA105" s="22">
        <v>440000</v>
      </c>
      <c r="BB105" s="22">
        <v>1032100</v>
      </c>
      <c r="BC105" s="22">
        <v>1443500</v>
      </c>
      <c r="BD105" s="22">
        <v>382300</v>
      </c>
      <c r="BE105" s="22">
        <v>499300</v>
      </c>
      <c r="BF105" s="22">
        <v>544700</v>
      </c>
      <c r="BG105" s="22">
        <v>284500</v>
      </c>
      <c r="BH105" s="22">
        <v>229400</v>
      </c>
      <c r="BI105" s="22">
        <v>416600</v>
      </c>
      <c r="BJ105" s="22">
        <v>518400</v>
      </c>
      <c r="BK105" s="22">
        <v>209000</v>
      </c>
      <c r="BL105" s="22">
        <v>229500</v>
      </c>
      <c r="BM105" s="1">
        <v>267800</v>
      </c>
      <c r="BN105" s="1">
        <v>199500</v>
      </c>
      <c r="BO105" s="1">
        <v>298700</v>
      </c>
      <c r="BP105" s="1">
        <v>250500</v>
      </c>
    </row>
    <row r="106" spans="1:68" ht="15.9" customHeight="1">
      <c r="A106" s="396" t="s">
        <v>207</v>
      </c>
      <c r="B106" s="49" t="s">
        <v>208</v>
      </c>
      <c r="C106" s="53" t="str">
        <f>_xll.RssMarket("7021","出来高")</f>
        <v/>
      </c>
      <c r="D106" s="205" t="e">
        <f t="shared" si="1"/>
        <v>#VALUE!</v>
      </c>
      <c r="E106" s="203">
        <v>2800</v>
      </c>
      <c r="F106" s="22">
        <v>1400</v>
      </c>
      <c r="G106" s="22">
        <v>200</v>
      </c>
      <c r="H106" s="22">
        <v>1200</v>
      </c>
      <c r="I106" s="22">
        <v>1800</v>
      </c>
      <c r="J106" s="22">
        <v>800</v>
      </c>
      <c r="K106" s="22">
        <v>1400</v>
      </c>
      <c r="L106" s="22">
        <v>2000</v>
      </c>
      <c r="M106" s="22">
        <v>2600</v>
      </c>
      <c r="N106" s="22">
        <v>2100</v>
      </c>
      <c r="O106" s="22">
        <v>600</v>
      </c>
      <c r="P106" s="22">
        <v>700</v>
      </c>
      <c r="Q106" s="22">
        <v>1100</v>
      </c>
      <c r="R106" s="22">
        <v>1000</v>
      </c>
      <c r="S106" s="22">
        <v>900</v>
      </c>
      <c r="T106" s="22">
        <v>2000</v>
      </c>
      <c r="U106" s="22">
        <v>400</v>
      </c>
      <c r="V106" s="22">
        <v>600</v>
      </c>
      <c r="W106" s="22">
        <v>3500</v>
      </c>
      <c r="X106" s="22">
        <v>2900</v>
      </c>
      <c r="Y106" s="22">
        <v>1400</v>
      </c>
      <c r="Z106" s="22">
        <v>800</v>
      </c>
      <c r="AA106" s="22">
        <v>200</v>
      </c>
      <c r="AB106" s="22">
        <v>400</v>
      </c>
      <c r="AC106" s="22">
        <v>1400</v>
      </c>
      <c r="AD106" s="22">
        <v>1000</v>
      </c>
      <c r="AE106" s="22">
        <v>500</v>
      </c>
      <c r="AF106" s="22">
        <v>800</v>
      </c>
      <c r="AG106" s="22">
        <v>2000</v>
      </c>
      <c r="AH106" s="22">
        <v>1700</v>
      </c>
      <c r="AI106" s="22">
        <v>400</v>
      </c>
      <c r="AJ106" s="22">
        <v>100</v>
      </c>
      <c r="AK106" s="22">
        <v>900</v>
      </c>
      <c r="AL106" s="22">
        <v>4000</v>
      </c>
      <c r="AM106" s="22">
        <v>1400</v>
      </c>
      <c r="AN106" s="22">
        <v>8500</v>
      </c>
      <c r="AO106" s="22">
        <v>4300</v>
      </c>
      <c r="AP106" s="22">
        <v>4000</v>
      </c>
      <c r="AQ106" s="22">
        <v>8700</v>
      </c>
      <c r="AR106" s="22">
        <v>11400</v>
      </c>
      <c r="AS106" s="22">
        <v>2100</v>
      </c>
      <c r="AT106" s="22">
        <v>2400</v>
      </c>
      <c r="AU106" s="22">
        <v>2500</v>
      </c>
      <c r="AV106" s="22">
        <v>1700</v>
      </c>
      <c r="AW106" s="22">
        <v>1700</v>
      </c>
      <c r="AX106" s="22">
        <v>6300</v>
      </c>
      <c r="AY106" s="22">
        <v>1400</v>
      </c>
      <c r="AZ106" s="22">
        <v>1700</v>
      </c>
      <c r="BA106" s="22">
        <v>6400</v>
      </c>
      <c r="BB106" s="22">
        <v>1800</v>
      </c>
      <c r="BC106" s="22">
        <v>1700</v>
      </c>
      <c r="BD106" s="22">
        <v>3900</v>
      </c>
      <c r="BE106" s="22">
        <v>2200</v>
      </c>
      <c r="BF106" s="22">
        <v>1500</v>
      </c>
      <c r="BG106" s="22">
        <v>1900</v>
      </c>
      <c r="BH106" s="22">
        <v>2500</v>
      </c>
      <c r="BI106" s="22">
        <v>2900</v>
      </c>
      <c r="BJ106" s="22">
        <v>1400</v>
      </c>
      <c r="BK106" s="22">
        <v>1700</v>
      </c>
      <c r="BL106" s="22">
        <v>1700</v>
      </c>
      <c r="BM106" s="1">
        <v>1100</v>
      </c>
      <c r="BN106" s="1">
        <v>1300</v>
      </c>
      <c r="BO106" s="1">
        <v>1900</v>
      </c>
      <c r="BP106" s="1">
        <v>500</v>
      </c>
    </row>
    <row r="107" spans="1:68" ht="15.9" customHeight="1">
      <c r="A107" s="396" t="s">
        <v>209</v>
      </c>
      <c r="B107" s="49" t="s">
        <v>210</v>
      </c>
      <c r="C107" s="53" t="str">
        <f>_xll.RssMarket("7729","出来高")</f>
        <v/>
      </c>
      <c r="D107" s="205" t="e">
        <f t="shared" si="1"/>
        <v>#VALUE!</v>
      </c>
      <c r="E107" s="203">
        <v>660000</v>
      </c>
      <c r="F107" s="22">
        <v>412600</v>
      </c>
      <c r="G107" s="22">
        <v>427600</v>
      </c>
      <c r="H107" s="22">
        <v>453800</v>
      </c>
      <c r="I107" s="22">
        <v>629800</v>
      </c>
      <c r="J107" s="22">
        <v>380500</v>
      </c>
      <c r="K107" s="22">
        <v>559700</v>
      </c>
      <c r="L107" s="22">
        <v>592300</v>
      </c>
      <c r="M107" s="22">
        <v>589100</v>
      </c>
      <c r="N107" s="22">
        <v>855300</v>
      </c>
      <c r="O107" s="22">
        <v>638400</v>
      </c>
      <c r="P107" s="22">
        <v>522000</v>
      </c>
      <c r="Q107" s="22">
        <v>366500</v>
      </c>
      <c r="R107" s="22">
        <v>300700</v>
      </c>
      <c r="S107" s="22">
        <v>319900</v>
      </c>
      <c r="T107" s="22">
        <v>395500</v>
      </c>
      <c r="U107" s="22">
        <v>327300</v>
      </c>
      <c r="V107" s="22">
        <v>349700</v>
      </c>
      <c r="W107" s="22">
        <v>281300</v>
      </c>
      <c r="X107" s="22">
        <v>435200</v>
      </c>
      <c r="Y107" s="22">
        <v>439500</v>
      </c>
      <c r="Z107" s="22">
        <v>346200</v>
      </c>
      <c r="AA107" s="22">
        <v>442100</v>
      </c>
      <c r="AB107" s="22">
        <v>489500</v>
      </c>
      <c r="AC107" s="22">
        <v>496100</v>
      </c>
      <c r="AD107" s="22">
        <v>585400</v>
      </c>
      <c r="AE107" s="22">
        <v>396900</v>
      </c>
      <c r="AF107" s="22">
        <v>301700</v>
      </c>
      <c r="AG107" s="22">
        <v>382400</v>
      </c>
      <c r="AH107" s="22">
        <v>552200</v>
      </c>
      <c r="AI107" s="22">
        <v>340100</v>
      </c>
      <c r="AJ107" s="22">
        <v>498200</v>
      </c>
      <c r="AK107" s="22">
        <v>315700</v>
      </c>
      <c r="AL107" s="22">
        <v>318800</v>
      </c>
      <c r="AM107" s="22">
        <v>561400</v>
      </c>
      <c r="AN107" s="22">
        <v>313500</v>
      </c>
      <c r="AO107" s="22">
        <v>380400</v>
      </c>
      <c r="AP107" s="22">
        <v>449600</v>
      </c>
      <c r="AQ107" s="22">
        <v>513000</v>
      </c>
      <c r="AR107" s="22">
        <v>366700</v>
      </c>
      <c r="AS107" s="22">
        <v>719700</v>
      </c>
      <c r="AT107" s="22">
        <v>986600</v>
      </c>
      <c r="AU107" s="22">
        <v>434800</v>
      </c>
      <c r="AV107" s="22">
        <v>342100</v>
      </c>
      <c r="AW107" s="22">
        <v>422100</v>
      </c>
      <c r="AX107" s="22">
        <v>422100</v>
      </c>
      <c r="AY107" s="22">
        <v>444600</v>
      </c>
      <c r="AZ107" s="22">
        <v>477100</v>
      </c>
      <c r="BA107" s="22">
        <v>262400</v>
      </c>
      <c r="BB107" s="22">
        <v>488100</v>
      </c>
      <c r="BC107" s="22">
        <v>409700</v>
      </c>
      <c r="BD107" s="22">
        <v>247100</v>
      </c>
      <c r="BE107" s="22">
        <v>348600</v>
      </c>
      <c r="BF107" s="22">
        <v>435600</v>
      </c>
      <c r="BG107" s="22">
        <v>429100</v>
      </c>
      <c r="BH107" s="22">
        <v>280600</v>
      </c>
      <c r="BI107" s="22">
        <v>206100</v>
      </c>
      <c r="BJ107" s="22">
        <v>214500</v>
      </c>
      <c r="BK107" s="22">
        <v>323600</v>
      </c>
      <c r="BL107" s="22">
        <v>482600</v>
      </c>
      <c r="BM107" s="1">
        <v>339000</v>
      </c>
      <c r="BN107" s="1">
        <v>312400</v>
      </c>
      <c r="BO107" s="1">
        <v>315600</v>
      </c>
      <c r="BP107" s="1">
        <v>284700</v>
      </c>
    </row>
    <row r="108" spans="1:68" ht="15.9" customHeight="1">
      <c r="A108" s="396" t="s">
        <v>211</v>
      </c>
      <c r="B108" s="49" t="s">
        <v>212</v>
      </c>
      <c r="C108" s="53" t="str">
        <f>_xll.RssMarket("8424","出来高")</f>
        <v/>
      </c>
      <c r="D108" s="205" t="e">
        <f t="shared" si="1"/>
        <v>#VALUE!</v>
      </c>
      <c r="E108" s="203">
        <v>157200</v>
      </c>
      <c r="F108" s="22">
        <v>96800</v>
      </c>
      <c r="G108" s="22">
        <v>113100</v>
      </c>
      <c r="H108" s="22">
        <v>107100</v>
      </c>
      <c r="I108" s="22">
        <v>166400</v>
      </c>
      <c r="J108" s="22">
        <v>163300</v>
      </c>
      <c r="K108" s="22">
        <v>117700</v>
      </c>
      <c r="L108" s="22">
        <v>117200</v>
      </c>
      <c r="M108" s="22">
        <v>402700</v>
      </c>
      <c r="N108" s="22">
        <v>235000</v>
      </c>
      <c r="O108" s="22">
        <v>179700</v>
      </c>
      <c r="P108" s="22">
        <v>123700</v>
      </c>
      <c r="Q108" s="22">
        <v>138300</v>
      </c>
      <c r="R108" s="22">
        <v>153400</v>
      </c>
      <c r="S108" s="22">
        <v>163200</v>
      </c>
      <c r="T108" s="22">
        <v>134200</v>
      </c>
      <c r="U108" s="22">
        <v>125900</v>
      </c>
      <c r="V108" s="22">
        <v>179600</v>
      </c>
      <c r="W108" s="22">
        <v>160000</v>
      </c>
      <c r="X108" s="22">
        <v>226400</v>
      </c>
      <c r="Y108" s="22">
        <v>154400</v>
      </c>
      <c r="Z108" s="22">
        <v>168700</v>
      </c>
      <c r="AA108" s="22">
        <v>131100</v>
      </c>
      <c r="AB108" s="22">
        <v>188500</v>
      </c>
      <c r="AC108" s="22">
        <v>113400</v>
      </c>
      <c r="AD108" s="22">
        <v>170800</v>
      </c>
      <c r="AE108" s="22">
        <v>202100</v>
      </c>
      <c r="AF108" s="22">
        <v>174000</v>
      </c>
      <c r="AG108" s="22">
        <v>172100</v>
      </c>
      <c r="AH108" s="22">
        <v>190400</v>
      </c>
      <c r="AI108" s="22">
        <v>143800</v>
      </c>
      <c r="AJ108" s="22">
        <v>223700</v>
      </c>
      <c r="AK108" s="22">
        <v>133700</v>
      </c>
      <c r="AL108" s="22">
        <v>190400</v>
      </c>
      <c r="AM108" s="22">
        <v>190600</v>
      </c>
      <c r="AN108" s="22">
        <v>182400</v>
      </c>
      <c r="AO108" s="22">
        <v>138500</v>
      </c>
      <c r="AP108" s="22">
        <v>149300</v>
      </c>
      <c r="AQ108" s="22">
        <v>178900</v>
      </c>
      <c r="AR108" s="22">
        <v>188400</v>
      </c>
      <c r="AS108" s="22">
        <v>186300</v>
      </c>
      <c r="AT108" s="22">
        <v>159900</v>
      </c>
      <c r="AU108" s="22">
        <v>347000</v>
      </c>
      <c r="AV108" s="22">
        <v>379600</v>
      </c>
      <c r="AW108" s="22">
        <v>183900</v>
      </c>
      <c r="AX108" s="22">
        <v>183900</v>
      </c>
      <c r="AY108" s="22">
        <v>195500</v>
      </c>
      <c r="AZ108" s="22">
        <v>199400</v>
      </c>
      <c r="BA108" s="22">
        <v>202600</v>
      </c>
      <c r="BB108" s="22">
        <v>159800</v>
      </c>
      <c r="BC108" s="22">
        <v>179900</v>
      </c>
      <c r="BD108" s="22">
        <v>132200</v>
      </c>
      <c r="BE108" s="22">
        <v>105100</v>
      </c>
      <c r="BF108" s="22">
        <v>135300</v>
      </c>
      <c r="BG108" s="22">
        <v>154200</v>
      </c>
      <c r="BH108" s="22">
        <v>122800</v>
      </c>
      <c r="BI108" s="22">
        <v>139400</v>
      </c>
      <c r="BJ108" s="22">
        <v>158000</v>
      </c>
      <c r="BK108" s="22">
        <v>159200</v>
      </c>
      <c r="BL108" s="22">
        <v>132100</v>
      </c>
      <c r="BM108" s="1">
        <v>127600</v>
      </c>
      <c r="BN108" s="1">
        <v>147500</v>
      </c>
      <c r="BO108" s="1">
        <v>185000</v>
      </c>
      <c r="BP108" s="1">
        <v>156800</v>
      </c>
    </row>
    <row r="109" spans="1:68" ht="15.9" customHeight="1">
      <c r="A109" s="396" t="s">
        <v>213</v>
      </c>
      <c r="B109" s="49" t="s">
        <v>214</v>
      </c>
      <c r="C109" s="53" t="str">
        <f>_xll.RssMarket("9020","出来高")</f>
        <v/>
      </c>
      <c r="D109" s="205" t="e">
        <f t="shared" si="1"/>
        <v>#VALUE!</v>
      </c>
      <c r="E109" s="203">
        <v>3173800</v>
      </c>
      <c r="F109" s="22">
        <v>2791300</v>
      </c>
      <c r="G109" s="22">
        <v>2749800</v>
      </c>
      <c r="H109" s="22">
        <v>2533800</v>
      </c>
      <c r="I109" s="22">
        <v>3108900</v>
      </c>
      <c r="J109" s="22">
        <v>2610500</v>
      </c>
      <c r="K109" s="22">
        <v>2392700</v>
      </c>
      <c r="L109" s="22">
        <v>2685000</v>
      </c>
      <c r="M109" s="22">
        <v>1699000</v>
      </c>
      <c r="N109" s="22">
        <v>2205300</v>
      </c>
      <c r="O109" s="22">
        <v>3174500</v>
      </c>
      <c r="P109" s="22">
        <v>2506800</v>
      </c>
      <c r="Q109" s="22">
        <v>3405000</v>
      </c>
      <c r="R109" s="22">
        <v>3240000</v>
      </c>
      <c r="S109" s="22">
        <v>1957000</v>
      </c>
      <c r="T109" s="22">
        <v>1989500</v>
      </c>
      <c r="U109" s="22">
        <v>2475400</v>
      </c>
      <c r="V109" s="22">
        <v>2944600</v>
      </c>
      <c r="W109" s="22">
        <v>2438900</v>
      </c>
      <c r="X109" s="22">
        <v>6408600</v>
      </c>
      <c r="Y109" s="22">
        <v>3116600</v>
      </c>
      <c r="Z109" s="22">
        <v>2698700</v>
      </c>
      <c r="AA109" s="22">
        <v>2510800</v>
      </c>
      <c r="AB109" s="22">
        <v>3564300</v>
      </c>
      <c r="AC109" s="22">
        <v>5537400</v>
      </c>
      <c r="AD109" s="22">
        <v>3237900</v>
      </c>
      <c r="AE109" s="22">
        <v>3307600</v>
      </c>
      <c r="AF109" s="22">
        <v>5454000</v>
      </c>
      <c r="AG109" s="22">
        <v>3704900</v>
      </c>
      <c r="AH109" s="22">
        <v>4419400</v>
      </c>
      <c r="AI109" s="22">
        <v>2977100</v>
      </c>
      <c r="AJ109" s="22">
        <v>6800400</v>
      </c>
      <c r="AK109" s="22">
        <v>4076100</v>
      </c>
      <c r="AL109" s="22">
        <v>3600500</v>
      </c>
      <c r="AM109" s="22">
        <v>2398500</v>
      </c>
      <c r="AN109" s="22">
        <v>3017100</v>
      </c>
      <c r="AO109" s="22">
        <v>2559800</v>
      </c>
      <c r="AP109" s="22">
        <v>2407700</v>
      </c>
      <c r="AQ109" s="22">
        <v>2606100</v>
      </c>
      <c r="AR109" s="22">
        <v>2981900</v>
      </c>
      <c r="AS109" s="22">
        <v>5927800</v>
      </c>
      <c r="AT109" s="22">
        <v>2981900</v>
      </c>
      <c r="AU109" s="22">
        <v>3644200</v>
      </c>
      <c r="AV109" s="22">
        <v>3630000</v>
      </c>
      <c r="AW109" s="22">
        <v>3352900</v>
      </c>
      <c r="AX109" s="22">
        <v>3352900</v>
      </c>
      <c r="AY109" s="22">
        <v>6176200</v>
      </c>
      <c r="AZ109" s="22">
        <v>6540600</v>
      </c>
      <c r="BA109" s="22">
        <v>8824700</v>
      </c>
      <c r="BB109" s="22">
        <v>7890400</v>
      </c>
      <c r="BC109" s="22">
        <v>2637900</v>
      </c>
      <c r="BD109" s="22">
        <v>2458400</v>
      </c>
      <c r="BE109" s="22">
        <v>2823300</v>
      </c>
      <c r="BF109" s="22">
        <v>2867300</v>
      </c>
      <c r="BG109" s="22">
        <v>2783900</v>
      </c>
      <c r="BH109" s="22">
        <v>3282400</v>
      </c>
      <c r="BI109" s="22">
        <v>2200200</v>
      </c>
      <c r="BJ109" s="22">
        <v>2905800</v>
      </c>
      <c r="BK109" s="22">
        <v>2488400</v>
      </c>
      <c r="BL109" s="22">
        <v>2776800</v>
      </c>
      <c r="BM109" s="1">
        <v>2934700</v>
      </c>
      <c r="BN109" s="1">
        <v>2494800</v>
      </c>
      <c r="BO109" s="1">
        <v>2557100</v>
      </c>
      <c r="BP109" s="1">
        <v>4536500</v>
      </c>
    </row>
    <row r="110" spans="1:68" ht="15.9" customHeight="1">
      <c r="A110" s="396" t="s">
        <v>215</v>
      </c>
      <c r="B110" s="49" t="s">
        <v>216</v>
      </c>
      <c r="C110" s="53" t="str">
        <f>_xll.RssMarket("9069","出来高")</f>
        <v/>
      </c>
      <c r="D110" s="205" t="e">
        <f t="shared" si="1"/>
        <v>#VALUE!</v>
      </c>
      <c r="E110" s="203">
        <v>512900</v>
      </c>
      <c r="F110" s="22">
        <v>246500</v>
      </c>
      <c r="G110" s="22">
        <v>482200</v>
      </c>
      <c r="H110" s="22">
        <v>415400</v>
      </c>
      <c r="I110" s="22">
        <v>487200</v>
      </c>
      <c r="J110" s="22">
        <v>456200</v>
      </c>
      <c r="K110" s="22">
        <v>391000</v>
      </c>
      <c r="L110" s="22">
        <v>373000</v>
      </c>
      <c r="M110" s="22">
        <v>255600</v>
      </c>
      <c r="N110" s="22">
        <v>425000</v>
      </c>
      <c r="O110" s="22">
        <v>513500</v>
      </c>
      <c r="P110" s="22">
        <v>319200</v>
      </c>
      <c r="Q110" s="22">
        <v>365200</v>
      </c>
      <c r="R110" s="22">
        <v>301500</v>
      </c>
      <c r="S110" s="22">
        <v>268000</v>
      </c>
      <c r="T110" s="22">
        <v>250700</v>
      </c>
      <c r="U110" s="22">
        <v>301300</v>
      </c>
      <c r="V110" s="22">
        <v>388200</v>
      </c>
      <c r="W110" s="22">
        <v>240700</v>
      </c>
      <c r="X110" s="22">
        <v>534100</v>
      </c>
      <c r="Y110" s="22">
        <v>306700</v>
      </c>
      <c r="Z110" s="22">
        <v>267400</v>
      </c>
      <c r="AA110" s="22">
        <v>245600</v>
      </c>
      <c r="AB110" s="22">
        <v>412100</v>
      </c>
      <c r="AC110" s="22">
        <v>409500</v>
      </c>
      <c r="AD110" s="22">
        <v>301300</v>
      </c>
      <c r="AE110" s="22">
        <v>809400</v>
      </c>
      <c r="AF110" s="22">
        <v>431500</v>
      </c>
      <c r="AG110" s="22">
        <v>417900</v>
      </c>
      <c r="AH110" s="22">
        <v>523600</v>
      </c>
      <c r="AI110" s="22">
        <v>378500</v>
      </c>
      <c r="AJ110" s="22">
        <v>628300</v>
      </c>
      <c r="AK110" s="22">
        <v>483000</v>
      </c>
      <c r="AL110" s="22">
        <v>563200</v>
      </c>
      <c r="AM110" s="22">
        <v>430700</v>
      </c>
      <c r="AN110" s="22">
        <v>399300</v>
      </c>
      <c r="AO110" s="22">
        <v>247700</v>
      </c>
      <c r="AP110" s="22">
        <v>302700</v>
      </c>
      <c r="AQ110" s="22">
        <v>289700</v>
      </c>
      <c r="AR110" s="22">
        <v>330000</v>
      </c>
      <c r="AS110" s="22">
        <v>501900</v>
      </c>
      <c r="AT110" s="22">
        <v>701300</v>
      </c>
      <c r="AU110" s="22">
        <v>303600</v>
      </c>
      <c r="AV110" s="22">
        <v>477800</v>
      </c>
      <c r="AW110" s="22">
        <v>229500</v>
      </c>
      <c r="AX110" s="22">
        <v>229500</v>
      </c>
      <c r="AY110" s="22">
        <v>336500</v>
      </c>
      <c r="AZ110" s="22">
        <v>375900</v>
      </c>
      <c r="BA110" s="22">
        <v>269100</v>
      </c>
      <c r="BB110" s="22">
        <v>336800</v>
      </c>
      <c r="BC110" s="22">
        <v>328700</v>
      </c>
      <c r="BD110" s="22">
        <v>282600</v>
      </c>
      <c r="BE110" s="22">
        <v>297500</v>
      </c>
      <c r="BF110" s="22">
        <v>396000</v>
      </c>
      <c r="BG110" s="22">
        <v>289000</v>
      </c>
      <c r="BH110" s="22">
        <v>318100</v>
      </c>
      <c r="BI110" s="22">
        <v>257000</v>
      </c>
      <c r="BJ110" s="22">
        <v>166000</v>
      </c>
      <c r="BK110" s="22">
        <v>430100</v>
      </c>
      <c r="BL110" s="22">
        <v>281300</v>
      </c>
      <c r="BM110" s="1">
        <v>201500</v>
      </c>
      <c r="BN110" s="1">
        <v>172400</v>
      </c>
      <c r="BO110" s="1">
        <v>239900</v>
      </c>
      <c r="BP110" s="1">
        <v>296800</v>
      </c>
    </row>
    <row r="111" spans="1:68" ht="15.9" customHeight="1">
      <c r="A111" s="396" t="s">
        <v>217</v>
      </c>
      <c r="B111" s="49" t="s">
        <v>218</v>
      </c>
      <c r="C111" s="53" t="str">
        <f>_xll.RssMarket("9227","出来高")</f>
        <v/>
      </c>
      <c r="D111" s="205" t="e">
        <f t="shared" si="1"/>
        <v>#VALUE!</v>
      </c>
      <c r="E111" s="203">
        <v>361300</v>
      </c>
      <c r="F111" s="22">
        <v>109500</v>
      </c>
      <c r="G111" s="22">
        <v>108900</v>
      </c>
      <c r="H111" s="22">
        <v>189300</v>
      </c>
      <c r="I111" s="22">
        <v>76500</v>
      </c>
      <c r="J111" s="22">
        <v>207500</v>
      </c>
      <c r="K111" s="22">
        <v>113500</v>
      </c>
      <c r="L111" s="22">
        <v>167700</v>
      </c>
      <c r="M111" s="22">
        <v>106000</v>
      </c>
      <c r="N111" s="22">
        <v>89400</v>
      </c>
      <c r="O111" s="22">
        <v>150400</v>
      </c>
      <c r="P111" s="22">
        <v>333600</v>
      </c>
      <c r="Q111" s="22">
        <v>115900</v>
      </c>
      <c r="R111" s="22">
        <v>90300</v>
      </c>
      <c r="S111" s="22">
        <v>96500</v>
      </c>
      <c r="T111" s="22">
        <v>61500</v>
      </c>
      <c r="U111" s="22">
        <v>71800</v>
      </c>
      <c r="V111" s="22">
        <v>199600</v>
      </c>
      <c r="W111" s="22">
        <v>276300</v>
      </c>
      <c r="X111" s="22">
        <v>120100</v>
      </c>
      <c r="Y111" s="22">
        <v>157900</v>
      </c>
      <c r="Z111" s="22">
        <v>110100</v>
      </c>
      <c r="AA111" s="22">
        <v>172200</v>
      </c>
      <c r="AB111" s="22">
        <v>127600</v>
      </c>
      <c r="AC111" s="22">
        <v>177100</v>
      </c>
      <c r="AD111" s="22">
        <v>302700</v>
      </c>
      <c r="AE111" s="22">
        <v>208700</v>
      </c>
      <c r="AF111" s="22">
        <v>254400</v>
      </c>
      <c r="AG111" s="22">
        <v>224700</v>
      </c>
      <c r="AH111" s="22">
        <v>307300</v>
      </c>
      <c r="AI111" s="22">
        <v>635100</v>
      </c>
      <c r="AJ111" s="22">
        <v>805900</v>
      </c>
      <c r="AK111" s="22">
        <v>1982000</v>
      </c>
      <c r="AL111" s="22">
        <v>9484400</v>
      </c>
      <c r="AM111" s="22">
        <v>88200</v>
      </c>
      <c r="AN111" s="22">
        <v>63400</v>
      </c>
      <c r="AO111" s="22">
        <v>225200</v>
      </c>
      <c r="AP111" s="22">
        <v>284600</v>
      </c>
      <c r="AQ111" s="22">
        <v>305200</v>
      </c>
      <c r="AR111" s="22">
        <v>231200</v>
      </c>
      <c r="AS111" s="22">
        <v>356600</v>
      </c>
      <c r="AT111" s="22">
        <v>590800</v>
      </c>
      <c r="AU111" s="22">
        <v>485500</v>
      </c>
      <c r="AV111" s="22">
        <v>198900</v>
      </c>
      <c r="AW111" s="22">
        <v>226800</v>
      </c>
      <c r="AX111" s="22">
        <v>226800</v>
      </c>
      <c r="AY111" s="22">
        <v>170900</v>
      </c>
      <c r="AZ111" s="22">
        <v>183500</v>
      </c>
      <c r="BA111" s="22">
        <v>159400</v>
      </c>
      <c r="BB111" s="22">
        <v>342000</v>
      </c>
      <c r="BC111" s="22">
        <v>350400</v>
      </c>
      <c r="BD111" s="22">
        <v>216200</v>
      </c>
      <c r="BE111" s="22">
        <v>250100</v>
      </c>
      <c r="BF111" s="22">
        <v>363200</v>
      </c>
      <c r="BG111" s="22">
        <v>515300</v>
      </c>
      <c r="BH111" s="22">
        <v>1492800</v>
      </c>
      <c r="BI111" s="22">
        <v>2568000</v>
      </c>
      <c r="BJ111" s="22">
        <v>297900</v>
      </c>
      <c r="BK111" s="22">
        <v>326300</v>
      </c>
      <c r="BL111" s="22">
        <v>288300</v>
      </c>
      <c r="BM111" s="1">
        <v>324800</v>
      </c>
      <c r="BN111" s="1">
        <v>240800</v>
      </c>
      <c r="BO111" s="1">
        <v>216700</v>
      </c>
      <c r="BP111" s="1">
        <v>176800</v>
      </c>
    </row>
    <row r="112" spans="1:68" ht="15.9" customHeight="1">
      <c r="A112" s="396" t="s">
        <v>219</v>
      </c>
      <c r="B112" s="49" t="s">
        <v>220</v>
      </c>
      <c r="C112" s="53" t="str">
        <f>_xll.RssMarket("9348","出来高")</f>
        <v/>
      </c>
      <c r="D112" s="205" t="e">
        <f t="shared" si="1"/>
        <v>#VALUE!</v>
      </c>
      <c r="E112" s="203">
        <v>2870000</v>
      </c>
      <c r="F112" s="22">
        <v>1448100</v>
      </c>
      <c r="G112" s="22">
        <v>1212100</v>
      </c>
      <c r="H112" s="22">
        <v>3276000</v>
      </c>
      <c r="I112" s="22">
        <v>9789000</v>
      </c>
      <c r="J112" s="22">
        <v>614000</v>
      </c>
      <c r="K112" s="22">
        <v>1523300</v>
      </c>
      <c r="L112" s="22">
        <v>867300</v>
      </c>
      <c r="M112" s="22">
        <v>633200</v>
      </c>
      <c r="N112" s="22">
        <v>1117200</v>
      </c>
      <c r="O112" s="22">
        <v>942700</v>
      </c>
      <c r="P112" s="22">
        <v>961200</v>
      </c>
      <c r="Q112" s="22">
        <v>1197900</v>
      </c>
      <c r="R112" s="22">
        <v>933500</v>
      </c>
      <c r="S112" s="22">
        <v>1457500</v>
      </c>
      <c r="T112" s="22">
        <v>1141100</v>
      </c>
      <c r="U112" s="22">
        <v>1025800</v>
      </c>
      <c r="V112" s="22">
        <v>2021300</v>
      </c>
      <c r="W112" s="22">
        <v>2163100</v>
      </c>
      <c r="X112" s="22">
        <v>6756700</v>
      </c>
      <c r="Y112" s="22">
        <v>1762100</v>
      </c>
      <c r="Z112" s="22">
        <v>2625000</v>
      </c>
      <c r="AA112" s="22">
        <v>4609200</v>
      </c>
      <c r="AB112" s="22">
        <v>4442300</v>
      </c>
      <c r="AC112" s="22">
        <v>1601000</v>
      </c>
      <c r="AD112" s="22">
        <v>1418700</v>
      </c>
      <c r="AE112" s="22">
        <v>2424700</v>
      </c>
      <c r="AF112" s="22">
        <v>5247100</v>
      </c>
      <c r="AG112" s="22">
        <v>1877000</v>
      </c>
      <c r="AH112" s="22">
        <v>2527200</v>
      </c>
      <c r="AI112" s="22">
        <v>2047800</v>
      </c>
      <c r="AJ112" s="22">
        <v>7145100</v>
      </c>
      <c r="AK112" s="22">
        <v>13839800</v>
      </c>
      <c r="AL112" s="22">
        <v>10776300</v>
      </c>
      <c r="AM112" s="22">
        <v>6345000</v>
      </c>
      <c r="AN112" s="22">
        <v>5129500</v>
      </c>
      <c r="AO112" s="22">
        <v>1631700</v>
      </c>
      <c r="AP112" s="22">
        <v>1799800</v>
      </c>
      <c r="AQ112" s="22">
        <v>2449700</v>
      </c>
      <c r="AR112" s="22">
        <v>1024800</v>
      </c>
      <c r="AS112" s="22">
        <v>1245000</v>
      </c>
      <c r="AT112" s="22">
        <v>1244200</v>
      </c>
      <c r="AU112" s="22">
        <v>978400</v>
      </c>
      <c r="AV112" s="22">
        <v>1210600</v>
      </c>
      <c r="AW112" s="22">
        <v>1378000</v>
      </c>
      <c r="AX112" s="22">
        <v>1378000</v>
      </c>
      <c r="AY112" s="22">
        <v>1372100</v>
      </c>
      <c r="AZ112" s="22">
        <v>855400</v>
      </c>
      <c r="BA112" s="22">
        <v>520600</v>
      </c>
      <c r="BB112" s="22">
        <v>553400</v>
      </c>
      <c r="BC112" s="22">
        <v>755900</v>
      </c>
      <c r="BD112" s="22">
        <v>852900</v>
      </c>
      <c r="BE112" s="22">
        <v>768100</v>
      </c>
      <c r="BF112" s="22">
        <v>1109600</v>
      </c>
      <c r="BG112" s="22">
        <v>954200</v>
      </c>
      <c r="BH112" s="22">
        <v>1690000</v>
      </c>
      <c r="BI112" s="22">
        <v>1327400</v>
      </c>
      <c r="BJ112" s="22">
        <v>1316600</v>
      </c>
      <c r="BK112" s="22">
        <v>2116700</v>
      </c>
      <c r="BL112" s="22">
        <v>2529000</v>
      </c>
      <c r="BM112" s="1">
        <v>1710700</v>
      </c>
      <c r="BN112" s="1">
        <v>1815300</v>
      </c>
      <c r="BO112" s="1">
        <v>6775700</v>
      </c>
      <c r="BP112" s="1">
        <v>1339200</v>
      </c>
    </row>
    <row r="113" spans="1:68" ht="15.9" customHeight="1">
      <c r="A113" s="396" t="s">
        <v>221</v>
      </c>
      <c r="B113" s="49" t="s">
        <v>222</v>
      </c>
      <c r="C113" s="53" t="str">
        <f>_xll.RssMarket("9449","出来高")</f>
        <v/>
      </c>
      <c r="D113" s="205" t="e">
        <f t="shared" si="1"/>
        <v>#VALUE!</v>
      </c>
      <c r="E113" s="203">
        <v>409400</v>
      </c>
      <c r="F113" s="22">
        <v>454900</v>
      </c>
      <c r="G113" s="22">
        <v>530300</v>
      </c>
      <c r="H113" s="22">
        <v>412600</v>
      </c>
      <c r="I113" s="22">
        <v>665200</v>
      </c>
      <c r="J113" s="22">
        <v>498700</v>
      </c>
      <c r="K113" s="22">
        <v>1018700</v>
      </c>
      <c r="L113" s="22">
        <v>364400</v>
      </c>
      <c r="M113" s="22">
        <v>258400</v>
      </c>
      <c r="N113" s="22">
        <v>362300</v>
      </c>
      <c r="O113" s="22">
        <v>627300</v>
      </c>
      <c r="P113" s="22">
        <v>325100</v>
      </c>
      <c r="Q113" s="22">
        <v>364600</v>
      </c>
      <c r="R113" s="22">
        <v>587500</v>
      </c>
      <c r="S113" s="22">
        <v>434100</v>
      </c>
      <c r="T113" s="22">
        <v>295200</v>
      </c>
      <c r="U113" s="22">
        <v>530800</v>
      </c>
      <c r="V113" s="22">
        <v>896500</v>
      </c>
      <c r="W113" s="22">
        <v>1729300</v>
      </c>
      <c r="X113" s="22">
        <v>618100</v>
      </c>
      <c r="Y113" s="22">
        <v>310600</v>
      </c>
      <c r="Z113" s="22">
        <v>248200</v>
      </c>
      <c r="AA113" s="22">
        <v>266700</v>
      </c>
      <c r="AB113" s="22">
        <v>394800</v>
      </c>
      <c r="AC113" s="22">
        <v>250300</v>
      </c>
      <c r="AD113" s="22">
        <v>259200</v>
      </c>
      <c r="AE113" s="22">
        <v>357600</v>
      </c>
      <c r="AF113" s="22">
        <v>229500</v>
      </c>
      <c r="AG113" s="22">
        <v>429500</v>
      </c>
      <c r="AH113" s="22">
        <v>487200</v>
      </c>
      <c r="AI113" s="22">
        <v>294600</v>
      </c>
      <c r="AJ113" s="22">
        <v>617000</v>
      </c>
      <c r="AK113" s="22">
        <v>310600</v>
      </c>
      <c r="AL113" s="22">
        <v>441900</v>
      </c>
      <c r="AM113" s="22">
        <v>618700</v>
      </c>
      <c r="AN113" s="22">
        <v>523000</v>
      </c>
      <c r="AO113" s="22">
        <v>308200</v>
      </c>
      <c r="AP113" s="22">
        <v>416700</v>
      </c>
      <c r="AQ113" s="22">
        <v>675300</v>
      </c>
      <c r="AR113" s="22">
        <v>678200</v>
      </c>
      <c r="AS113" s="22">
        <v>374700</v>
      </c>
      <c r="AT113" s="22">
        <v>364400</v>
      </c>
      <c r="AU113" s="22">
        <v>282400</v>
      </c>
      <c r="AV113" s="22">
        <v>377400</v>
      </c>
      <c r="AW113" s="22">
        <v>518400</v>
      </c>
      <c r="AX113" s="22">
        <v>518400</v>
      </c>
      <c r="AY113" s="22">
        <v>554000</v>
      </c>
      <c r="AZ113" s="22">
        <v>462600</v>
      </c>
      <c r="BA113" s="22">
        <v>255800</v>
      </c>
      <c r="BB113" s="22">
        <v>556400</v>
      </c>
      <c r="BC113" s="22">
        <v>368400</v>
      </c>
      <c r="BD113" s="22">
        <v>330600</v>
      </c>
      <c r="BE113" s="22">
        <v>317200</v>
      </c>
      <c r="BF113" s="22">
        <v>395200</v>
      </c>
      <c r="BG113" s="22">
        <v>352500</v>
      </c>
      <c r="BH113" s="22">
        <v>562900</v>
      </c>
      <c r="BI113" s="22">
        <v>327500</v>
      </c>
      <c r="BJ113" s="22">
        <v>430000</v>
      </c>
      <c r="BK113" s="22">
        <v>795500</v>
      </c>
      <c r="BL113" s="22">
        <v>272800</v>
      </c>
      <c r="BM113" s="1">
        <v>319900</v>
      </c>
      <c r="BN113" s="1">
        <v>294700</v>
      </c>
      <c r="BO113" s="1">
        <v>377600</v>
      </c>
      <c r="BP113" s="1">
        <v>372300</v>
      </c>
    </row>
    <row r="114" spans="1:68" ht="15.9" customHeight="1">
      <c r="A114" s="396" t="s">
        <v>223</v>
      </c>
      <c r="B114" s="49" t="s">
        <v>224</v>
      </c>
      <c r="C114" s="53" t="str">
        <f>_xll.RssMarket("9501","出来高")</f>
        <v/>
      </c>
      <c r="D114" s="205" t="e">
        <f t="shared" si="1"/>
        <v>#VALUE!</v>
      </c>
      <c r="E114" s="203">
        <v>42140900</v>
      </c>
      <c r="F114" s="22">
        <v>30120600</v>
      </c>
      <c r="G114" s="22">
        <v>41878600</v>
      </c>
      <c r="H114" s="22">
        <v>26889200</v>
      </c>
      <c r="I114" s="22">
        <v>33551800</v>
      </c>
      <c r="J114" s="22">
        <v>33095900</v>
      </c>
      <c r="K114" s="22">
        <v>39644500</v>
      </c>
      <c r="L114" s="22">
        <v>28725500</v>
      </c>
      <c r="M114" s="22">
        <v>24111500</v>
      </c>
      <c r="N114" s="22">
        <v>29269100</v>
      </c>
      <c r="O114" s="22">
        <v>24127200</v>
      </c>
      <c r="P114" s="22">
        <v>35745000</v>
      </c>
      <c r="Q114" s="22">
        <v>26801100</v>
      </c>
      <c r="R114" s="22">
        <v>27328200</v>
      </c>
      <c r="S114" s="22">
        <v>46173600</v>
      </c>
      <c r="T114" s="22">
        <v>37968400</v>
      </c>
      <c r="U114" s="22">
        <v>58711800</v>
      </c>
      <c r="V114" s="22">
        <v>43400500</v>
      </c>
      <c r="W114" s="22">
        <v>73392900</v>
      </c>
      <c r="X114" s="22">
        <v>36082100</v>
      </c>
      <c r="Y114" s="22">
        <v>27192100</v>
      </c>
      <c r="Z114" s="22">
        <v>21276700</v>
      </c>
      <c r="AA114" s="22">
        <v>24988500</v>
      </c>
      <c r="AB114" s="22">
        <v>33012400</v>
      </c>
      <c r="AC114" s="22">
        <v>42385200</v>
      </c>
      <c r="AD114" s="22">
        <v>26553800</v>
      </c>
      <c r="AE114" s="22">
        <v>32766800</v>
      </c>
      <c r="AF114" s="22">
        <v>37231000</v>
      </c>
      <c r="AG114" s="22">
        <v>40639800</v>
      </c>
      <c r="AH114" s="22">
        <v>34358500</v>
      </c>
      <c r="AI114" s="22">
        <v>42210000</v>
      </c>
      <c r="AJ114" s="22">
        <v>25544000</v>
      </c>
      <c r="AK114" s="22">
        <v>25852800</v>
      </c>
      <c r="AL114" s="22">
        <v>31146600</v>
      </c>
      <c r="AM114" s="22">
        <v>33384600</v>
      </c>
      <c r="AN114" s="22">
        <v>32758000</v>
      </c>
      <c r="AO114" s="22">
        <v>30470500</v>
      </c>
      <c r="AP114" s="22">
        <v>51937900</v>
      </c>
      <c r="AQ114" s="22">
        <v>42880100</v>
      </c>
      <c r="AR114" s="22">
        <v>58803900</v>
      </c>
      <c r="AS114" s="22">
        <v>46892500</v>
      </c>
      <c r="AT114" s="22">
        <v>43827200</v>
      </c>
      <c r="AU114" s="22">
        <v>44350100</v>
      </c>
      <c r="AV114" s="22">
        <v>45523100</v>
      </c>
      <c r="AW114" s="22">
        <v>53169400</v>
      </c>
      <c r="AX114" s="22">
        <v>53169400</v>
      </c>
      <c r="AY114" s="22">
        <v>49861100</v>
      </c>
      <c r="AZ114" s="22">
        <v>75841900</v>
      </c>
      <c r="BA114" s="22">
        <v>72810900</v>
      </c>
      <c r="BB114" s="22">
        <v>53614000</v>
      </c>
      <c r="BC114" s="22">
        <v>68403700</v>
      </c>
      <c r="BD114" s="22">
        <v>37490400</v>
      </c>
      <c r="BE114" s="22">
        <v>46400600</v>
      </c>
      <c r="BF114" s="22">
        <v>72424100</v>
      </c>
      <c r="BG114" s="22">
        <v>79827900</v>
      </c>
      <c r="BH114" s="22">
        <v>48826900</v>
      </c>
      <c r="BI114" s="22">
        <v>41382600</v>
      </c>
      <c r="BJ114" s="22">
        <v>53950200</v>
      </c>
      <c r="BK114" s="22">
        <v>39936400</v>
      </c>
      <c r="BL114" s="22">
        <v>59078700</v>
      </c>
      <c r="BM114" s="1">
        <v>55894900</v>
      </c>
      <c r="BN114" s="1">
        <v>62428400</v>
      </c>
      <c r="BO114" s="1">
        <v>111263300</v>
      </c>
      <c r="BP114" s="1">
        <v>64839300</v>
      </c>
    </row>
    <row r="115" spans="1:68" ht="15.9" customHeight="1">
      <c r="A115" s="396" t="s">
        <v>225</v>
      </c>
      <c r="B115" s="49" t="s">
        <v>226</v>
      </c>
      <c r="C115" s="53" t="str">
        <f>_xll.RssMarket("9531","出来高")</f>
        <v/>
      </c>
      <c r="D115" s="205" t="e">
        <f t="shared" si="1"/>
        <v>#VALUE!</v>
      </c>
      <c r="E115" s="203">
        <v>1436000</v>
      </c>
      <c r="F115" s="22">
        <v>896200</v>
      </c>
      <c r="G115" s="22">
        <v>1017900</v>
      </c>
      <c r="H115" s="22">
        <v>970900</v>
      </c>
      <c r="I115" s="22">
        <v>1068800</v>
      </c>
      <c r="J115" s="22">
        <v>1039100</v>
      </c>
      <c r="K115" s="22">
        <v>1278500</v>
      </c>
      <c r="L115" s="22">
        <v>991800</v>
      </c>
      <c r="M115" s="22">
        <v>736600</v>
      </c>
      <c r="N115" s="22">
        <v>730100</v>
      </c>
      <c r="O115" s="22">
        <v>811300</v>
      </c>
      <c r="P115" s="22">
        <v>1021700</v>
      </c>
      <c r="Q115" s="22">
        <v>1016400</v>
      </c>
      <c r="R115" s="22">
        <v>1085700</v>
      </c>
      <c r="S115" s="22">
        <v>1319300</v>
      </c>
      <c r="T115" s="22">
        <v>737900</v>
      </c>
      <c r="U115" s="22">
        <v>891400</v>
      </c>
      <c r="V115" s="22">
        <v>1024200</v>
      </c>
      <c r="W115" s="22">
        <v>767500</v>
      </c>
      <c r="X115" s="22">
        <v>1797600</v>
      </c>
      <c r="Y115" s="22">
        <v>1023400</v>
      </c>
      <c r="Z115" s="22">
        <v>833700</v>
      </c>
      <c r="AA115" s="22">
        <v>970800</v>
      </c>
      <c r="AB115" s="22">
        <v>1140000</v>
      </c>
      <c r="AC115" s="22">
        <v>1215200</v>
      </c>
      <c r="AD115" s="22">
        <v>1001000</v>
      </c>
      <c r="AE115" s="22">
        <v>1162100</v>
      </c>
      <c r="AF115" s="22">
        <v>1020100</v>
      </c>
      <c r="AG115" s="22">
        <v>1038800</v>
      </c>
      <c r="AH115" s="22">
        <v>1096400</v>
      </c>
      <c r="AI115" s="22">
        <v>1162500</v>
      </c>
      <c r="AJ115" s="22">
        <v>2978500</v>
      </c>
      <c r="AK115" s="22">
        <v>5312400</v>
      </c>
      <c r="AL115" s="22">
        <v>1067600</v>
      </c>
      <c r="AM115" s="22">
        <v>1029100</v>
      </c>
      <c r="AN115" s="22">
        <v>898300</v>
      </c>
      <c r="AO115" s="22">
        <v>850300</v>
      </c>
      <c r="AP115" s="22">
        <v>1440300</v>
      </c>
      <c r="AQ115" s="22">
        <v>1261400</v>
      </c>
      <c r="AR115" s="22">
        <v>1144400</v>
      </c>
      <c r="AS115" s="22">
        <v>1180700</v>
      </c>
      <c r="AT115" s="22">
        <v>809900</v>
      </c>
      <c r="AU115" s="22">
        <v>1104600</v>
      </c>
      <c r="AV115" s="22">
        <v>1350300</v>
      </c>
      <c r="AW115" s="22">
        <v>1292900</v>
      </c>
      <c r="AX115" s="22">
        <v>1292900</v>
      </c>
      <c r="AY115" s="22">
        <v>1984100</v>
      </c>
      <c r="AZ115" s="22">
        <v>2162200</v>
      </c>
      <c r="BA115" s="22">
        <v>1293900</v>
      </c>
      <c r="BB115" s="22">
        <v>3393000</v>
      </c>
      <c r="BC115" s="22">
        <v>2877500</v>
      </c>
      <c r="BD115" s="22">
        <v>959900</v>
      </c>
      <c r="BE115" s="22">
        <v>1167300</v>
      </c>
      <c r="BF115" s="22">
        <v>1552900</v>
      </c>
      <c r="BG115" s="22">
        <v>1117500</v>
      </c>
      <c r="BH115" s="22">
        <v>1126400</v>
      </c>
      <c r="BI115" s="22">
        <v>1309100</v>
      </c>
      <c r="BJ115" s="22">
        <v>905000</v>
      </c>
      <c r="BK115" s="22">
        <v>1088100</v>
      </c>
      <c r="BL115" s="22">
        <v>1092000</v>
      </c>
      <c r="BM115" s="1">
        <v>1369300</v>
      </c>
      <c r="BN115" s="1">
        <v>986800</v>
      </c>
      <c r="BO115" s="1">
        <v>1088700</v>
      </c>
      <c r="BP115" s="1">
        <v>1280200</v>
      </c>
    </row>
    <row r="116" spans="1:68" ht="15.9" customHeight="1">
      <c r="A116" s="396" t="s">
        <v>227</v>
      </c>
      <c r="B116" s="49" t="s">
        <v>228</v>
      </c>
      <c r="C116" s="53" t="str">
        <f>_xll.RssMarket("9882","出来高")</f>
        <v/>
      </c>
      <c r="D116" s="205" t="e">
        <f t="shared" si="1"/>
        <v>#VALUE!</v>
      </c>
      <c r="E116" s="203">
        <v>185200</v>
      </c>
      <c r="F116" s="22">
        <v>196500</v>
      </c>
      <c r="G116" s="22">
        <v>250200</v>
      </c>
      <c r="H116" s="22">
        <v>170600</v>
      </c>
      <c r="I116" s="22">
        <v>186600</v>
      </c>
      <c r="J116" s="22">
        <v>188000</v>
      </c>
      <c r="K116" s="22">
        <v>243400</v>
      </c>
      <c r="L116" s="22">
        <v>165800</v>
      </c>
      <c r="M116" s="22">
        <v>210400</v>
      </c>
      <c r="N116" s="22">
        <v>143900</v>
      </c>
      <c r="O116" s="22">
        <v>168900</v>
      </c>
      <c r="P116" s="22">
        <v>152400</v>
      </c>
      <c r="Q116" s="22">
        <v>201000</v>
      </c>
      <c r="R116" s="22">
        <v>144800</v>
      </c>
      <c r="S116" s="22">
        <v>217800</v>
      </c>
      <c r="T116" s="22">
        <v>211800</v>
      </c>
      <c r="U116" s="22">
        <v>206100</v>
      </c>
      <c r="V116" s="22">
        <v>204700</v>
      </c>
      <c r="W116" s="22">
        <v>386500</v>
      </c>
      <c r="X116" s="22">
        <v>220700</v>
      </c>
      <c r="Y116" s="22">
        <v>211700</v>
      </c>
      <c r="Z116" s="22">
        <v>140600</v>
      </c>
      <c r="AA116" s="22">
        <v>145200</v>
      </c>
      <c r="AB116" s="22">
        <v>208200</v>
      </c>
      <c r="AC116" s="22">
        <v>153600</v>
      </c>
      <c r="AD116" s="22">
        <v>176400</v>
      </c>
      <c r="AE116" s="22">
        <v>166200</v>
      </c>
      <c r="AF116" s="22">
        <v>122200</v>
      </c>
      <c r="AG116" s="22">
        <v>211400</v>
      </c>
      <c r="AH116" s="22">
        <v>265700</v>
      </c>
      <c r="AI116" s="22">
        <v>192500</v>
      </c>
      <c r="AJ116" s="22">
        <v>177600</v>
      </c>
      <c r="AK116" s="22">
        <v>114000</v>
      </c>
      <c r="AL116" s="22">
        <v>125400</v>
      </c>
      <c r="AM116" s="22">
        <v>123100</v>
      </c>
      <c r="AN116" s="22">
        <v>107700</v>
      </c>
      <c r="AO116" s="22">
        <v>120000</v>
      </c>
      <c r="AP116" s="22">
        <v>145600</v>
      </c>
      <c r="AQ116" s="22">
        <v>197200</v>
      </c>
      <c r="AR116" s="22">
        <v>169600</v>
      </c>
      <c r="AS116" s="22">
        <v>170500</v>
      </c>
      <c r="AT116" s="22">
        <v>169300</v>
      </c>
      <c r="AU116" s="22">
        <v>171500</v>
      </c>
      <c r="AV116" s="22">
        <v>245600</v>
      </c>
      <c r="AW116" s="22">
        <v>562900</v>
      </c>
      <c r="AX116" s="22">
        <v>562900</v>
      </c>
      <c r="AY116" s="22">
        <v>250100</v>
      </c>
      <c r="AZ116" s="22">
        <v>199400</v>
      </c>
      <c r="BA116" s="22">
        <v>91400</v>
      </c>
      <c r="BB116" s="22">
        <v>162800</v>
      </c>
      <c r="BC116" s="22">
        <v>154800</v>
      </c>
      <c r="BD116" s="22">
        <v>111000</v>
      </c>
      <c r="BE116" s="22">
        <v>138600</v>
      </c>
      <c r="BF116" s="22">
        <v>131200</v>
      </c>
      <c r="BG116" s="22">
        <v>122700</v>
      </c>
      <c r="BH116" s="22">
        <v>162100</v>
      </c>
      <c r="BI116" s="22">
        <v>109600</v>
      </c>
      <c r="BJ116" s="22">
        <v>90500</v>
      </c>
      <c r="BK116" s="22">
        <v>158200</v>
      </c>
      <c r="BL116" s="22">
        <v>84500</v>
      </c>
      <c r="BM116" s="1">
        <v>76000</v>
      </c>
      <c r="BN116" s="1">
        <v>111800</v>
      </c>
      <c r="BO116" s="1">
        <v>128800</v>
      </c>
      <c r="BP116" s="1">
        <v>101200</v>
      </c>
    </row>
    <row r="117" spans="1:68" ht="15.9" customHeight="1">
      <c r="A117" s="396" t="s">
        <v>229</v>
      </c>
      <c r="B117" s="49" t="s">
        <v>230</v>
      </c>
      <c r="C117" s="53" t="str">
        <f>_xll.RssMarket("5838","出来高")</f>
        <v/>
      </c>
      <c r="D117" s="205" t="e">
        <f t="shared" si="1"/>
        <v>#VALUE!</v>
      </c>
      <c r="E117" s="203">
        <v>1095800</v>
      </c>
      <c r="F117" s="22">
        <v>1398900</v>
      </c>
      <c r="G117" s="22">
        <v>873800</v>
      </c>
      <c r="H117" s="22">
        <v>1067700</v>
      </c>
      <c r="I117" s="22">
        <v>1070100</v>
      </c>
      <c r="J117" s="22">
        <v>1116400</v>
      </c>
      <c r="K117" s="22">
        <v>2005600</v>
      </c>
      <c r="L117" s="22">
        <v>2441400</v>
      </c>
      <c r="M117" s="22">
        <v>888900</v>
      </c>
      <c r="N117" s="22">
        <v>969800</v>
      </c>
      <c r="O117" s="22">
        <v>1166100</v>
      </c>
      <c r="P117" s="22">
        <v>589600</v>
      </c>
      <c r="Q117" s="22">
        <v>1278100</v>
      </c>
      <c r="R117" s="22">
        <v>684700</v>
      </c>
      <c r="S117" s="22">
        <v>853200</v>
      </c>
      <c r="T117" s="22">
        <v>1075700</v>
      </c>
      <c r="U117" s="22">
        <v>927600</v>
      </c>
      <c r="V117" s="22">
        <v>1424600</v>
      </c>
      <c r="W117" s="22">
        <v>1383800</v>
      </c>
      <c r="X117" s="22">
        <v>1294400</v>
      </c>
      <c r="Y117" s="22">
        <v>1131900</v>
      </c>
      <c r="Z117" s="22">
        <v>1008700</v>
      </c>
      <c r="AA117" s="22">
        <v>1797300</v>
      </c>
      <c r="AB117" s="22">
        <v>2338200</v>
      </c>
      <c r="AC117" s="22">
        <v>3158800</v>
      </c>
      <c r="AD117" s="22">
        <v>3572000</v>
      </c>
      <c r="AE117" s="22">
        <v>1615200</v>
      </c>
      <c r="AF117" s="22">
        <v>1916500</v>
      </c>
      <c r="AG117" s="22">
        <v>2661700</v>
      </c>
      <c r="AH117" s="22">
        <v>3226800</v>
      </c>
      <c r="AI117" s="22">
        <v>3499900</v>
      </c>
      <c r="AJ117" s="22">
        <v>3965300</v>
      </c>
      <c r="AK117" s="22">
        <v>1799500</v>
      </c>
      <c r="AL117" s="22">
        <v>2822000</v>
      </c>
      <c r="AM117" s="22">
        <v>4208700</v>
      </c>
      <c r="AN117" s="22">
        <v>12468500</v>
      </c>
      <c r="AO117" s="22">
        <v>3644500</v>
      </c>
      <c r="AP117" s="22">
        <v>2295100</v>
      </c>
      <c r="AQ117" s="22">
        <v>2770900</v>
      </c>
      <c r="AR117" s="22">
        <v>3792600</v>
      </c>
      <c r="AS117" s="22">
        <v>1346200</v>
      </c>
      <c r="AT117" s="22">
        <v>1427600</v>
      </c>
      <c r="AU117" s="22">
        <v>2524200</v>
      </c>
      <c r="AV117" s="22">
        <v>1537500</v>
      </c>
      <c r="AW117" s="22">
        <v>1049100</v>
      </c>
      <c r="AX117" s="22">
        <v>1049100</v>
      </c>
      <c r="AY117" s="22">
        <v>1493100</v>
      </c>
      <c r="AZ117" s="22">
        <v>1506000</v>
      </c>
      <c r="BA117" s="22">
        <v>680000</v>
      </c>
      <c r="BB117" s="22">
        <v>1075700</v>
      </c>
      <c r="BC117" s="22">
        <v>1564900</v>
      </c>
      <c r="BD117" s="22">
        <v>709300</v>
      </c>
      <c r="BE117" s="22">
        <v>984100</v>
      </c>
      <c r="BF117" s="22">
        <v>1759500</v>
      </c>
      <c r="BG117" s="22">
        <v>1451400</v>
      </c>
      <c r="BH117" s="22">
        <v>1082000</v>
      </c>
      <c r="BI117" s="22">
        <v>686000</v>
      </c>
      <c r="BJ117" s="22">
        <v>886600</v>
      </c>
      <c r="BK117" s="22">
        <v>986500</v>
      </c>
      <c r="BL117" s="22">
        <v>901700</v>
      </c>
      <c r="BM117" s="1">
        <v>807900</v>
      </c>
      <c r="BN117" s="1">
        <v>989000</v>
      </c>
      <c r="BO117" s="1">
        <v>1436000</v>
      </c>
      <c r="BP117" s="1">
        <v>1703700</v>
      </c>
    </row>
    <row r="118" spans="1:68" ht="15.9" customHeight="1">
      <c r="A118" s="396" t="s">
        <v>231</v>
      </c>
      <c r="B118" s="49" t="s">
        <v>232</v>
      </c>
      <c r="C118" s="53" t="str">
        <f>_xll.RssMarket("5844","出来高")</f>
        <v/>
      </c>
      <c r="D118" s="205" t="e">
        <f t="shared" si="1"/>
        <v>#VALUE!</v>
      </c>
      <c r="E118" s="203">
        <v>1299400</v>
      </c>
      <c r="F118" s="22">
        <v>789700</v>
      </c>
      <c r="G118" s="22">
        <v>466800</v>
      </c>
      <c r="H118" s="22">
        <v>537400</v>
      </c>
      <c r="I118" s="22">
        <v>896900</v>
      </c>
      <c r="J118" s="22">
        <v>896700</v>
      </c>
      <c r="K118" s="22">
        <v>853900</v>
      </c>
      <c r="L118" s="22">
        <v>880300</v>
      </c>
      <c r="M118" s="22">
        <v>1319900</v>
      </c>
      <c r="N118" s="22">
        <v>1034900</v>
      </c>
      <c r="O118" s="22">
        <v>1202900</v>
      </c>
      <c r="P118" s="22">
        <v>1145800</v>
      </c>
      <c r="Q118" s="22">
        <v>1455700</v>
      </c>
      <c r="R118" s="22">
        <v>1205300</v>
      </c>
      <c r="S118" s="22">
        <v>904800</v>
      </c>
      <c r="T118" s="22">
        <v>1114100</v>
      </c>
      <c r="U118" s="22">
        <v>786500</v>
      </c>
      <c r="V118" s="22">
        <v>1052500</v>
      </c>
      <c r="W118" s="22">
        <v>1295500</v>
      </c>
      <c r="X118" s="22">
        <v>2496400</v>
      </c>
      <c r="Y118" s="22">
        <v>1461200</v>
      </c>
      <c r="Z118" s="22">
        <v>1291700</v>
      </c>
      <c r="AA118" s="22">
        <v>1685300</v>
      </c>
      <c r="AB118" s="22">
        <v>1120300</v>
      </c>
      <c r="AC118" s="22">
        <v>707600</v>
      </c>
      <c r="AD118" s="22">
        <v>1378800</v>
      </c>
      <c r="AE118" s="22">
        <v>1363900</v>
      </c>
      <c r="AF118" s="22">
        <v>1321100</v>
      </c>
      <c r="AG118" s="22">
        <v>1246000</v>
      </c>
      <c r="AH118" s="22">
        <v>964800</v>
      </c>
      <c r="AI118" s="22">
        <v>845300</v>
      </c>
      <c r="AJ118" s="22">
        <v>2498400</v>
      </c>
      <c r="AK118" s="22">
        <v>847900</v>
      </c>
      <c r="AL118" s="22">
        <v>923100</v>
      </c>
      <c r="AM118" s="22">
        <v>904000</v>
      </c>
      <c r="AN118" s="22">
        <v>675000</v>
      </c>
      <c r="AO118" s="22">
        <v>1403800</v>
      </c>
      <c r="AP118" s="22">
        <v>1557500</v>
      </c>
      <c r="AQ118" s="22">
        <v>921400</v>
      </c>
      <c r="AR118" s="22">
        <v>1044500</v>
      </c>
      <c r="AS118" s="22">
        <v>2254500</v>
      </c>
      <c r="AT118" s="22">
        <v>946800</v>
      </c>
      <c r="AU118" s="22">
        <v>823400</v>
      </c>
      <c r="AV118" s="22">
        <v>760200</v>
      </c>
      <c r="AW118" s="22">
        <v>826400</v>
      </c>
      <c r="AX118" s="22">
        <v>826400</v>
      </c>
      <c r="AY118" s="22">
        <v>910200</v>
      </c>
      <c r="AZ118" s="22">
        <v>1203200</v>
      </c>
      <c r="BA118" s="22">
        <v>761000</v>
      </c>
      <c r="BB118" s="22">
        <v>953800</v>
      </c>
      <c r="BC118" s="22">
        <v>1090700</v>
      </c>
      <c r="BD118" s="22">
        <v>1131600</v>
      </c>
      <c r="BE118" s="22">
        <v>636800</v>
      </c>
      <c r="BF118" s="22">
        <v>1110600</v>
      </c>
      <c r="BG118" s="22">
        <v>735500</v>
      </c>
      <c r="BH118" s="22">
        <v>1112300</v>
      </c>
      <c r="BI118" s="22">
        <v>945900</v>
      </c>
      <c r="BJ118" s="22">
        <v>979500</v>
      </c>
      <c r="BK118" s="22">
        <v>861100</v>
      </c>
      <c r="BL118" s="22">
        <v>713600</v>
      </c>
      <c r="BM118" s="1">
        <v>818100</v>
      </c>
      <c r="BN118" s="1">
        <v>710300</v>
      </c>
      <c r="BO118" s="1">
        <v>969900</v>
      </c>
      <c r="BP118" s="1">
        <v>1128100</v>
      </c>
    </row>
    <row r="119" spans="1:68" ht="15.9" customHeight="1">
      <c r="A119" s="396" t="s">
        <v>233</v>
      </c>
      <c r="B119" s="49" t="s">
        <v>234</v>
      </c>
      <c r="C119" s="53" t="str">
        <f>_xll.RssMarket("9404","出来高")</f>
        <v/>
      </c>
      <c r="D119" s="205" t="e">
        <f t="shared" si="1"/>
        <v>#VALUE!</v>
      </c>
      <c r="E119" s="203">
        <v>868700</v>
      </c>
      <c r="F119" s="22">
        <v>414700</v>
      </c>
      <c r="G119" s="22">
        <v>337700</v>
      </c>
      <c r="H119" s="22">
        <v>374900</v>
      </c>
      <c r="I119" s="22">
        <v>452100</v>
      </c>
      <c r="J119" s="22">
        <v>315400</v>
      </c>
      <c r="K119" s="22">
        <v>601800</v>
      </c>
      <c r="L119" s="22">
        <v>452800</v>
      </c>
      <c r="M119" s="22">
        <v>474100</v>
      </c>
      <c r="N119" s="22">
        <v>570100</v>
      </c>
      <c r="O119" s="22">
        <v>484800</v>
      </c>
      <c r="P119" s="22">
        <v>428800</v>
      </c>
      <c r="Q119" s="22">
        <v>863200</v>
      </c>
      <c r="R119" s="22">
        <v>817300</v>
      </c>
      <c r="S119" s="22">
        <v>575400</v>
      </c>
      <c r="T119" s="22">
        <v>578200</v>
      </c>
      <c r="U119" s="22">
        <v>410000</v>
      </c>
      <c r="V119" s="22">
        <v>757000</v>
      </c>
      <c r="W119" s="22">
        <v>372800</v>
      </c>
      <c r="X119" s="22">
        <v>499400</v>
      </c>
      <c r="Y119" s="22">
        <v>466200</v>
      </c>
      <c r="Z119" s="22">
        <v>431500</v>
      </c>
      <c r="AA119" s="22">
        <v>602400</v>
      </c>
      <c r="AB119" s="22">
        <v>640100</v>
      </c>
      <c r="AC119" s="22">
        <v>583200</v>
      </c>
      <c r="AD119" s="22">
        <v>649500</v>
      </c>
      <c r="AE119" s="22">
        <v>639200</v>
      </c>
      <c r="AF119" s="22">
        <v>1303100</v>
      </c>
      <c r="AG119" s="22">
        <v>551300</v>
      </c>
      <c r="AH119" s="22">
        <v>616000</v>
      </c>
      <c r="AI119" s="22">
        <v>643000</v>
      </c>
      <c r="AJ119" s="22">
        <v>933700</v>
      </c>
      <c r="AK119" s="22">
        <v>641600</v>
      </c>
      <c r="AL119" s="22">
        <v>591300</v>
      </c>
      <c r="AM119" s="22">
        <v>532800</v>
      </c>
      <c r="AN119" s="22">
        <v>456600</v>
      </c>
      <c r="AO119" s="22">
        <v>587100</v>
      </c>
      <c r="AP119" s="22">
        <v>666900</v>
      </c>
      <c r="AQ119" s="22">
        <v>772200</v>
      </c>
      <c r="AR119" s="22">
        <v>549100</v>
      </c>
      <c r="AS119" s="22">
        <v>878700</v>
      </c>
      <c r="AT119" s="22">
        <v>516800</v>
      </c>
      <c r="AU119" s="22">
        <v>578600</v>
      </c>
      <c r="AV119" s="22">
        <v>322200</v>
      </c>
      <c r="AW119" s="22">
        <v>742500</v>
      </c>
      <c r="AX119" s="22">
        <v>742500</v>
      </c>
      <c r="AY119" s="22">
        <v>497700</v>
      </c>
      <c r="AZ119" s="22">
        <v>472500</v>
      </c>
      <c r="BA119" s="22">
        <v>388500</v>
      </c>
      <c r="BB119" s="22">
        <v>625000</v>
      </c>
      <c r="BC119" s="22">
        <v>402500</v>
      </c>
      <c r="BD119" s="22">
        <v>371400</v>
      </c>
      <c r="BE119" s="22">
        <v>545800</v>
      </c>
      <c r="BF119" s="22">
        <v>604000</v>
      </c>
      <c r="BG119" s="22">
        <v>622600</v>
      </c>
      <c r="BH119" s="22">
        <v>371700</v>
      </c>
      <c r="BI119" s="22">
        <v>296700</v>
      </c>
      <c r="BJ119" s="22">
        <v>306000</v>
      </c>
      <c r="BK119" s="22">
        <v>305000</v>
      </c>
      <c r="BL119" s="22">
        <v>210000</v>
      </c>
      <c r="BM119" s="1">
        <v>214600</v>
      </c>
      <c r="BN119" s="1">
        <v>293800</v>
      </c>
      <c r="BO119" s="1">
        <v>330600</v>
      </c>
      <c r="BP119" s="1">
        <v>333500</v>
      </c>
    </row>
    <row r="120" spans="1:68" ht="15.9" customHeight="1">
      <c r="A120" s="396" t="s">
        <v>235</v>
      </c>
      <c r="B120" s="49" t="s">
        <v>236</v>
      </c>
      <c r="C120" s="53" t="str">
        <f>_xll.RssMarket("6744","出来高")</f>
        <v/>
      </c>
      <c r="D120" s="205" t="e">
        <f t="shared" si="1"/>
        <v>#VALUE!</v>
      </c>
      <c r="E120" s="203">
        <v>89400</v>
      </c>
      <c r="F120" s="22">
        <v>75900</v>
      </c>
      <c r="G120" s="22">
        <v>55700</v>
      </c>
      <c r="H120" s="22">
        <v>67000</v>
      </c>
      <c r="I120" s="22">
        <v>67400</v>
      </c>
      <c r="J120" s="22">
        <v>41500</v>
      </c>
      <c r="K120" s="22">
        <v>66300</v>
      </c>
      <c r="L120" s="22">
        <v>107300</v>
      </c>
      <c r="M120" s="22">
        <v>54800</v>
      </c>
      <c r="N120" s="22">
        <v>145600</v>
      </c>
      <c r="O120" s="22">
        <v>73800</v>
      </c>
      <c r="P120" s="22">
        <v>56300</v>
      </c>
      <c r="Q120" s="22">
        <v>56000</v>
      </c>
      <c r="R120" s="22">
        <v>81400</v>
      </c>
      <c r="S120" s="22">
        <v>79100</v>
      </c>
      <c r="T120" s="22">
        <v>103200</v>
      </c>
      <c r="U120" s="22">
        <v>61000</v>
      </c>
      <c r="V120" s="22">
        <v>171500</v>
      </c>
      <c r="W120" s="22">
        <v>86900</v>
      </c>
      <c r="X120" s="22">
        <v>76500</v>
      </c>
      <c r="Y120" s="22">
        <v>66100</v>
      </c>
      <c r="Z120" s="22">
        <v>65600</v>
      </c>
      <c r="AA120" s="22">
        <v>41800</v>
      </c>
      <c r="AB120" s="22">
        <v>81500</v>
      </c>
      <c r="AC120" s="22">
        <v>88200</v>
      </c>
      <c r="AD120" s="22">
        <v>71300</v>
      </c>
      <c r="AE120" s="22">
        <v>104200</v>
      </c>
      <c r="AF120" s="22">
        <v>54600</v>
      </c>
      <c r="AG120" s="22">
        <v>69000</v>
      </c>
      <c r="AH120" s="22">
        <v>121700</v>
      </c>
      <c r="AI120" s="22">
        <v>154000</v>
      </c>
      <c r="AJ120" s="22">
        <v>155900</v>
      </c>
      <c r="AK120" s="22">
        <v>126400</v>
      </c>
      <c r="AL120" s="22">
        <v>137100</v>
      </c>
      <c r="AM120" s="22">
        <v>162900</v>
      </c>
      <c r="AN120" s="22">
        <v>113400</v>
      </c>
      <c r="AO120" s="22">
        <v>104400</v>
      </c>
      <c r="AP120" s="22">
        <v>141500</v>
      </c>
      <c r="AQ120" s="22">
        <v>168400</v>
      </c>
      <c r="AR120" s="22">
        <v>173300</v>
      </c>
      <c r="AS120" s="22">
        <v>215500</v>
      </c>
      <c r="AT120" s="22">
        <v>206500</v>
      </c>
      <c r="AU120" s="22">
        <v>138400</v>
      </c>
      <c r="AV120" s="22">
        <v>187500</v>
      </c>
      <c r="AW120" s="22">
        <v>167000</v>
      </c>
      <c r="AX120" s="22">
        <v>167000</v>
      </c>
      <c r="AY120" s="22">
        <v>116400</v>
      </c>
      <c r="AZ120" s="22">
        <v>134700</v>
      </c>
      <c r="BA120" s="22">
        <v>213900</v>
      </c>
      <c r="BB120" s="22">
        <v>142400</v>
      </c>
      <c r="BC120" s="22">
        <v>162800</v>
      </c>
      <c r="BD120" s="22">
        <v>75400</v>
      </c>
      <c r="BE120" s="22">
        <v>54900</v>
      </c>
      <c r="BF120" s="22">
        <v>61400</v>
      </c>
      <c r="BG120" s="22">
        <v>63800</v>
      </c>
      <c r="BH120" s="22">
        <v>87100</v>
      </c>
      <c r="BI120" s="22">
        <v>77700</v>
      </c>
      <c r="BJ120" s="22">
        <v>91800</v>
      </c>
      <c r="BK120" s="22">
        <v>71800</v>
      </c>
      <c r="BL120" s="22">
        <v>94300</v>
      </c>
      <c r="BM120" s="1">
        <v>60700</v>
      </c>
      <c r="BN120" s="1">
        <v>49800</v>
      </c>
      <c r="BO120" s="1">
        <v>55600</v>
      </c>
      <c r="BP120" s="1">
        <v>61900</v>
      </c>
    </row>
    <row r="121" spans="1:68" ht="15.9" customHeight="1">
      <c r="A121" s="396" t="s">
        <v>237</v>
      </c>
      <c r="B121" s="49" t="s">
        <v>238</v>
      </c>
      <c r="C121" s="53" t="str">
        <f>_xll.RssMarket("7685","出来高")</f>
        <v/>
      </c>
      <c r="D121" s="205" t="e">
        <f t="shared" si="1"/>
        <v>#VALUE!</v>
      </c>
      <c r="E121" s="203">
        <v>284600</v>
      </c>
      <c r="F121" s="22">
        <v>250600</v>
      </c>
      <c r="G121" s="22">
        <v>209400</v>
      </c>
      <c r="H121" s="22">
        <v>179500</v>
      </c>
      <c r="I121" s="22">
        <v>301300</v>
      </c>
      <c r="J121" s="22">
        <v>260400</v>
      </c>
      <c r="K121" s="22">
        <v>424900</v>
      </c>
      <c r="L121" s="22">
        <v>360500</v>
      </c>
      <c r="M121" s="22">
        <v>475200</v>
      </c>
      <c r="N121" s="22">
        <v>320900</v>
      </c>
      <c r="O121" s="22">
        <v>317100</v>
      </c>
      <c r="P121" s="22">
        <v>270600</v>
      </c>
      <c r="Q121" s="22">
        <v>266200</v>
      </c>
      <c r="R121" s="22">
        <v>404700</v>
      </c>
      <c r="S121" s="22">
        <v>562500</v>
      </c>
      <c r="T121" s="22">
        <v>462400</v>
      </c>
      <c r="U121" s="22">
        <v>271000</v>
      </c>
      <c r="V121" s="22">
        <v>520500</v>
      </c>
      <c r="W121" s="22">
        <v>231800</v>
      </c>
      <c r="X121" s="22">
        <v>415600</v>
      </c>
      <c r="Y121" s="22">
        <v>284400</v>
      </c>
      <c r="Z121" s="22">
        <v>236400</v>
      </c>
      <c r="AA121" s="22">
        <v>288700</v>
      </c>
      <c r="AB121" s="22">
        <v>299300</v>
      </c>
      <c r="AC121" s="22">
        <v>278000</v>
      </c>
      <c r="AD121" s="22">
        <v>449700</v>
      </c>
      <c r="AE121" s="22">
        <v>405100</v>
      </c>
      <c r="AF121" s="22">
        <v>171700</v>
      </c>
      <c r="AG121" s="22">
        <v>276800</v>
      </c>
      <c r="AH121" s="22">
        <v>202100</v>
      </c>
      <c r="AI121" s="22">
        <v>280700</v>
      </c>
      <c r="AJ121" s="22">
        <v>357400</v>
      </c>
      <c r="AK121" s="22">
        <v>376600</v>
      </c>
      <c r="AL121" s="22">
        <v>403300</v>
      </c>
      <c r="AM121" s="22">
        <v>261400</v>
      </c>
      <c r="AN121" s="22">
        <v>254300</v>
      </c>
      <c r="AO121" s="22">
        <v>359000</v>
      </c>
      <c r="AP121" s="22">
        <v>373200</v>
      </c>
      <c r="AQ121" s="22">
        <v>639000</v>
      </c>
      <c r="AR121" s="22">
        <v>660800</v>
      </c>
      <c r="AS121" s="22">
        <v>1530000</v>
      </c>
      <c r="AT121" s="22">
        <v>681300</v>
      </c>
      <c r="AU121" s="22">
        <v>588700</v>
      </c>
      <c r="AV121" s="22">
        <v>398900</v>
      </c>
      <c r="AW121" s="22">
        <v>268000</v>
      </c>
      <c r="AX121" s="22">
        <v>268000</v>
      </c>
      <c r="AY121" s="22">
        <v>205600</v>
      </c>
      <c r="AZ121" s="22">
        <v>278700</v>
      </c>
      <c r="BA121" s="22">
        <v>294600</v>
      </c>
      <c r="BB121" s="22">
        <v>410400</v>
      </c>
      <c r="BC121" s="22">
        <v>317800</v>
      </c>
      <c r="BD121" s="22">
        <v>272100</v>
      </c>
      <c r="BE121" s="22">
        <v>362300</v>
      </c>
      <c r="BF121" s="22">
        <v>202100</v>
      </c>
      <c r="BG121" s="22">
        <v>423900</v>
      </c>
      <c r="BH121" s="22">
        <v>337900</v>
      </c>
      <c r="BI121" s="22">
        <v>408500</v>
      </c>
      <c r="BJ121" s="22">
        <v>162600</v>
      </c>
      <c r="BK121" s="22">
        <v>180900</v>
      </c>
      <c r="BL121" s="22">
        <v>365200</v>
      </c>
      <c r="BM121" s="1">
        <v>312500</v>
      </c>
      <c r="BN121" s="1">
        <v>440100</v>
      </c>
      <c r="BO121" s="1">
        <v>252500</v>
      </c>
      <c r="BP121" s="1">
        <v>254500</v>
      </c>
    </row>
    <row r="122" spans="1:68" ht="15.9" customHeight="1">
      <c r="A122" s="396" t="s">
        <v>239</v>
      </c>
      <c r="B122" s="49" t="s">
        <v>240</v>
      </c>
      <c r="C122" s="53" t="str">
        <f>_xll.RssMarket("8334","出来高")</f>
        <v/>
      </c>
      <c r="D122" s="205" t="e">
        <f t="shared" si="1"/>
        <v>#VALUE!</v>
      </c>
      <c r="E122" s="203">
        <v>1141600</v>
      </c>
      <c r="F122" s="22">
        <v>868700</v>
      </c>
      <c r="G122" s="22">
        <v>1255200</v>
      </c>
      <c r="H122" s="22">
        <v>722500</v>
      </c>
      <c r="I122" s="22">
        <v>907100</v>
      </c>
      <c r="J122" s="22">
        <v>795800</v>
      </c>
      <c r="K122" s="22">
        <v>888200</v>
      </c>
      <c r="L122" s="22">
        <v>1084500</v>
      </c>
      <c r="M122" s="22">
        <v>622300</v>
      </c>
      <c r="N122" s="22">
        <v>903900</v>
      </c>
      <c r="O122" s="22">
        <v>865400</v>
      </c>
      <c r="P122" s="22">
        <v>663600</v>
      </c>
      <c r="Q122" s="22">
        <v>970700</v>
      </c>
      <c r="R122" s="22">
        <v>878900</v>
      </c>
      <c r="S122" s="22">
        <v>714000</v>
      </c>
      <c r="T122" s="22">
        <v>751900</v>
      </c>
      <c r="U122" s="22">
        <v>642200</v>
      </c>
      <c r="V122" s="22">
        <v>946900</v>
      </c>
      <c r="W122" s="22">
        <v>559700</v>
      </c>
      <c r="X122" s="22">
        <v>1100100</v>
      </c>
      <c r="Y122" s="22">
        <v>915500</v>
      </c>
      <c r="Z122" s="22">
        <v>881500</v>
      </c>
      <c r="AA122" s="22">
        <v>1076500</v>
      </c>
      <c r="AB122" s="22">
        <v>1022700</v>
      </c>
      <c r="AC122" s="22">
        <v>1288200</v>
      </c>
      <c r="AD122" s="22">
        <v>740700</v>
      </c>
      <c r="AE122" s="22">
        <v>1216500</v>
      </c>
      <c r="AF122" s="22">
        <v>893000</v>
      </c>
      <c r="AG122" s="22">
        <v>817600</v>
      </c>
      <c r="AH122" s="22">
        <v>829500</v>
      </c>
      <c r="AI122" s="22">
        <v>715400</v>
      </c>
      <c r="AJ122" s="22">
        <v>941000</v>
      </c>
      <c r="AK122" s="22">
        <v>1152600</v>
      </c>
      <c r="AL122" s="22">
        <v>1029300</v>
      </c>
      <c r="AM122" s="22">
        <v>1015700</v>
      </c>
      <c r="AN122" s="22">
        <v>848400</v>
      </c>
      <c r="AO122" s="22">
        <v>873400</v>
      </c>
      <c r="AP122" s="22">
        <v>1365600</v>
      </c>
      <c r="AQ122" s="22">
        <v>1242000</v>
      </c>
      <c r="AR122" s="22">
        <v>1163800</v>
      </c>
      <c r="AS122" s="22">
        <v>1052800</v>
      </c>
      <c r="AT122" s="22">
        <v>1025100</v>
      </c>
      <c r="AU122" s="22">
        <v>869400</v>
      </c>
      <c r="AV122" s="22">
        <v>1202700</v>
      </c>
      <c r="AW122" s="22">
        <v>1674400</v>
      </c>
      <c r="AX122" s="22">
        <v>1971300</v>
      </c>
      <c r="AY122" s="22">
        <v>1971300</v>
      </c>
      <c r="AZ122" s="22">
        <v>1276700</v>
      </c>
      <c r="BA122" s="22">
        <v>1331300</v>
      </c>
      <c r="BB122" s="22">
        <v>859800</v>
      </c>
      <c r="BC122" s="22">
        <v>1440900</v>
      </c>
      <c r="BD122" s="22">
        <v>2104300</v>
      </c>
      <c r="BE122" s="22">
        <v>1564000</v>
      </c>
      <c r="BF122" s="22">
        <v>724500</v>
      </c>
      <c r="BG122" s="22">
        <v>1684300</v>
      </c>
      <c r="BH122" s="22">
        <v>2170400</v>
      </c>
      <c r="BI122" s="22">
        <v>1178100</v>
      </c>
      <c r="BJ122" s="22">
        <v>977500</v>
      </c>
      <c r="BK122" s="22">
        <v>1006700</v>
      </c>
      <c r="BL122" s="22">
        <v>699500</v>
      </c>
      <c r="BM122" s="1">
        <v>847200</v>
      </c>
      <c r="BN122" s="1">
        <v>770300</v>
      </c>
      <c r="BO122" s="1">
        <v>910600</v>
      </c>
      <c r="BP122" s="1">
        <v>998400</v>
      </c>
    </row>
    <row r="123" spans="1:68" ht="15.9" customHeight="1">
      <c r="A123" s="396" t="s">
        <v>241</v>
      </c>
      <c r="B123" s="49" t="s">
        <v>242</v>
      </c>
      <c r="C123" s="53" t="str">
        <f>_xll.RssMarket("8359","出来高")</f>
        <v/>
      </c>
      <c r="D123" s="205" t="e">
        <f t="shared" si="1"/>
        <v>#VALUE!</v>
      </c>
      <c r="E123" s="203">
        <v>1622800</v>
      </c>
      <c r="F123" s="22">
        <v>1586300</v>
      </c>
      <c r="G123" s="22">
        <v>1479500</v>
      </c>
      <c r="H123" s="22">
        <v>862800</v>
      </c>
      <c r="I123" s="22">
        <v>1477300</v>
      </c>
      <c r="J123" s="22">
        <v>818600</v>
      </c>
      <c r="K123" s="22">
        <v>1309300</v>
      </c>
      <c r="L123" s="22">
        <v>1162000</v>
      </c>
      <c r="M123" s="22">
        <v>796600</v>
      </c>
      <c r="N123" s="22">
        <v>1176400</v>
      </c>
      <c r="O123" s="22">
        <v>1455700</v>
      </c>
      <c r="P123" s="22">
        <v>1374600</v>
      </c>
      <c r="Q123" s="22">
        <v>1503700</v>
      </c>
      <c r="R123" s="22">
        <v>1238000</v>
      </c>
      <c r="S123" s="22">
        <v>935600</v>
      </c>
      <c r="T123" s="22">
        <v>1071900</v>
      </c>
      <c r="U123" s="22">
        <v>988000</v>
      </c>
      <c r="V123" s="22">
        <v>1171800</v>
      </c>
      <c r="W123" s="22">
        <v>1060700</v>
      </c>
      <c r="X123" s="22">
        <v>4094500</v>
      </c>
      <c r="Y123" s="22">
        <v>1541000</v>
      </c>
      <c r="Z123" s="22">
        <v>1905900</v>
      </c>
      <c r="AA123" s="22">
        <v>1498000</v>
      </c>
      <c r="AB123" s="22">
        <v>1879700</v>
      </c>
      <c r="AC123" s="22">
        <v>1406600</v>
      </c>
      <c r="AD123" s="22">
        <v>1861500</v>
      </c>
      <c r="AE123" s="22">
        <v>1330700</v>
      </c>
      <c r="AF123" s="22">
        <v>1636900</v>
      </c>
      <c r="AG123" s="22">
        <v>1304300</v>
      </c>
      <c r="AH123" s="22">
        <v>1428400</v>
      </c>
      <c r="AI123" s="22">
        <v>1337600</v>
      </c>
      <c r="AJ123" s="22">
        <v>2196000</v>
      </c>
      <c r="AK123" s="22">
        <v>1116600</v>
      </c>
      <c r="AL123" s="22">
        <v>974000</v>
      </c>
      <c r="AM123" s="22">
        <v>1134000</v>
      </c>
      <c r="AN123" s="22">
        <v>1241600</v>
      </c>
      <c r="AO123" s="22">
        <v>1384900</v>
      </c>
      <c r="AP123" s="22">
        <v>1463800</v>
      </c>
      <c r="AQ123" s="22">
        <v>1422900</v>
      </c>
      <c r="AR123" s="22">
        <v>2370100</v>
      </c>
      <c r="AS123" s="22">
        <v>1960900</v>
      </c>
      <c r="AT123" s="22">
        <v>1445200</v>
      </c>
      <c r="AU123" s="22">
        <v>1821500</v>
      </c>
      <c r="AV123" s="22">
        <v>1412900</v>
      </c>
      <c r="AW123" s="22">
        <v>1802400</v>
      </c>
      <c r="AX123" s="22">
        <v>1802400</v>
      </c>
      <c r="AY123" s="22">
        <v>2525200</v>
      </c>
      <c r="AZ123" s="22">
        <v>3119400</v>
      </c>
      <c r="BA123" s="22">
        <v>967000</v>
      </c>
      <c r="BB123" s="22">
        <v>1250200</v>
      </c>
      <c r="BC123" s="22">
        <v>1709000</v>
      </c>
      <c r="BD123" s="22">
        <v>1064200</v>
      </c>
      <c r="BE123" s="22">
        <v>932400</v>
      </c>
      <c r="BF123" s="22">
        <v>1606200</v>
      </c>
      <c r="BG123" s="22">
        <v>1743200</v>
      </c>
      <c r="BH123" s="22">
        <v>1295300</v>
      </c>
      <c r="BI123" s="22">
        <v>986900</v>
      </c>
      <c r="BJ123" s="22">
        <v>937700</v>
      </c>
      <c r="BK123" s="22">
        <v>954200</v>
      </c>
      <c r="BL123" s="22">
        <v>1343700</v>
      </c>
      <c r="BM123" s="1">
        <v>1576900</v>
      </c>
      <c r="BN123" s="1">
        <v>1222300</v>
      </c>
      <c r="BO123" s="1">
        <v>967800</v>
      </c>
      <c r="BP123" s="1">
        <v>987300</v>
      </c>
    </row>
    <row r="124" spans="1:68" ht="15.9" customHeight="1">
      <c r="A124" s="396" t="s">
        <v>243</v>
      </c>
      <c r="B124" s="49" t="s">
        <v>244</v>
      </c>
      <c r="C124" s="53" t="str">
        <f>_xll.RssMarket("8801","出来高")</f>
        <v/>
      </c>
      <c r="D124" s="205" t="e">
        <f t="shared" si="1"/>
        <v>#VALUE!</v>
      </c>
      <c r="E124" s="203">
        <v>9356300</v>
      </c>
      <c r="F124" s="22">
        <v>6380500</v>
      </c>
      <c r="G124" s="22">
        <v>7707400</v>
      </c>
      <c r="H124" s="22">
        <v>5441500</v>
      </c>
      <c r="I124" s="22">
        <v>6529000</v>
      </c>
      <c r="J124" s="22">
        <v>7751700</v>
      </c>
      <c r="K124" s="22">
        <v>7886000</v>
      </c>
      <c r="L124" s="22">
        <v>9424500</v>
      </c>
      <c r="M124" s="22">
        <v>6343100</v>
      </c>
      <c r="N124" s="22">
        <v>9168000</v>
      </c>
      <c r="O124" s="22">
        <v>9257700</v>
      </c>
      <c r="P124" s="22">
        <v>9488000</v>
      </c>
      <c r="Q124" s="22">
        <v>12517300</v>
      </c>
      <c r="R124" s="22">
        <v>15325400</v>
      </c>
      <c r="S124" s="22">
        <v>16359000</v>
      </c>
      <c r="T124" s="22">
        <v>9836400</v>
      </c>
      <c r="U124" s="22">
        <v>13493700</v>
      </c>
      <c r="V124" s="22">
        <v>16004200</v>
      </c>
      <c r="W124" s="22">
        <v>9673000</v>
      </c>
      <c r="X124" s="22">
        <v>14467000</v>
      </c>
      <c r="Y124" s="22">
        <v>10721100</v>
      </c>
      <c r="Z124" s="22">
        <v>9010400</v>
      </c>
      <c r="AA124" s="22">
        <v>9741600</v>
      </c>
      <c r="AB124" s="22">
        <v>13173200</v>
      </c>
      <c r="AC124" s="22">
        <v>18916700</v>
      </c>
      <c r="AD124" s="22">
        <v>14131200</v>
      </c>
      <c r="AE124" s="22">
        <v>11385300</v>
      </c>
      <c r="AF124" s="22">
        <v>8640800</v>
      </c>
      <c r="AG124" s="22">
        <v>10006200</v>
      </c>
      <c r="AH124" s="22">
        <v>8128100</v>
      </c>
      <c r="AI124" s="22">
        <v>14964600</v>
      </c>
      <c r="AJ124" s="22">
        <v>23942000</v>
      </c>
      <c r="AK124" s="22">
        <v>8693900</v>
      </c>
      <c r="AL124" s="22">
        <v>15297600</v>
      </c>
      <c r="AM124" s="22">
        <v>12823100</v>
      </c>
      <c r="AN124" s="22">
        <v>16564400</v>
      </c>
      <c r="AO124" s="22">
        <v>13420100</v>
      </c>
      <c r="AP124" s="22">
        <v>14973800</v>
      </c>
      <c r="AQ124" s="22">
        <v>16575000</v>
      </c>
      <c r="AR124" s="22">
        <v>15163200</v>
      </c>
      <c r="AS124" s="22">
        <v>17988500</v>
      </c>
      <c r="AT124" s="22">
        <v>21882500</v>
      </c>
      <c r="AU124" s="22">
        <v>7973500</v>
      </c>
      <c r="AV124" s="22">
        <v>7657000</v>
      </c>
      <c r="AW124" s="22">
        <v>6435200</v>
      </c>
      <c r="AX124" s="22">
        <v>6435200</v>
      </c>
      <c r="AY124" s="22">
        <v>11016900</v>
      </c>
      <c r="AZ124" s="22">
        <v>11882300</v>
      </c>
      <c r="BA124" s="22">
        <v>5387600</v>
      </c>
      <c r="BB124" s="22">
        <v>12002700</v>
      </c>
      <c r="BC124" s="22">
        <v>7913300</v>
      </c>
      <c r="BD124" s="22">
        <v>6371000</v>
      </c>
      <c r="BE124" s="22">
        <v>5470500</v>
      </c>
      <c r="BF124" s="22">
        <v>7328800</v>
      </c>
      <c r="BG124" s="22">
        <v>6632900</v>
      </c>
      <c r="BH124" s="22">
        <v>6538700</v>
      </c>
      <c r="BI124" s="22">
        <v>8780400</v>
      </c>
      <c r="BJ124" s="22">
        <v>8041900</v>
      </c>
      <c r="BK124" s="22">
        <v>9612200</v>
      </c>
      <c r="BL124" s="22">
        <v>10788400</v>
      </c>
      <c r="BM124" s="1">
        <v>12977400</v>
      </c>
      <c r="BN124" s="1">
        <v>8041700</v>
      </c>
      <c r="BO124" s="1">
        <v>7395500</v>
      </c>
      <c r="BP124" s="1">
        <v>10173300</v>
      </c>
    </row>
    <row r="125" spans="1:68" ht="15.9" customHeight="1">
      <c r="A125" s="396" t="s">
        <v>245</v>
      </c>
      <c r="B125" s="49" t="s">
        <v>246</v>
      </c>
      <c r="C125" s="53" t="str">
        <f>_xll.RssMarket("8934","出来高")</f>
        <v/>
      </c>
      <c r="D125" s="205" t="e">
        <f t="shared" si="1"/>
        <v>#VALUE!</v>
      </c>
      <c r="E125" s="203">
        <v>135800</v>
      </c>
      <c r="F125" s="22">
        <v>119700</v>
      </c>
      <c r="G125" s="22">
        <v>127100</v>
      </c>
      <c r="H125" s="22">
        <v>82000</v>
      </c>
      <c r="I125" s="22">
        <v>92400</v>
      </c>
      <c r="J125" s="22">
        <v>110600</v>
      </c>
      <c r="K125" s="22">
        <v>99500</v>
      </c>
      <c r="L125" s="22">
        <v>161800</v>
      </c>
      <c r="M125" s="22">
        <v>148600</v>
      </c>
      <c r="N125" s="22">
        <v>116800</v>
      </c>
      <c r="O125" s="22">
        <v>95800</v>
      </c>
      <c r="P125" s="22">
        <v>91500</v>
      </c>
      <c r="Q125" s="22">
        <v>99700</v>
      </c>
      <c r="R125" s="22">
        <v>118300</v>
      </c>
      <c r="S125" s="22">
        <v>111600</v>
      </c>
      <c r="T125" s="22">
        <v>97700</v>
      </c>
      <c r="U125" s="22">
        <v>98000</v>
      </c>
      <c r="V125" s="22">
        <v>103900</v>
      </c>
      <c r="W125" s="22">
        <v>93600</v>
      </c>
      <c r="X125" s="22">
        <v>297000</v>
      </c>
      <c r="Y125" s="22">
        <v>144400</v>
      </c>
      <c r="Z125" s="22">
        <v>100500</v>
      </c>
      <c r="AA125" s="22">
        <v>139700</v>
      </c>
      <c r="AB125" s="22">
        <v>134300</v>
      </c>
      <c r="AC125" s="22">
        <v>150900</v>
      </c>
      <c r="AD125" s="22">
        <v>125100</v>
      </c>
      <c r="AE125" s="22">
        <v>112100</v>
      </c>
      <c r="AF125" s="22">
        <v>163200</v>
      </c>
      <c r="AG125" s="22">
        <v>192200</v>
      </c>
      <c r="AH125" s="22">
        <v>129800</v>
      </c>
      <c r="AI125" s="22">
        <v>164100</v>
      </c>
      <c r="AJ125" s="22">
        <v>244800</v>
      </c>
      <c r="AK125" s="22">
        <v>145800</v>
      </c>
      <c r="AL125" s="22">
        <v>129200</v>
      </c>
      <c r="AM125" s="22">
        <v>105300</v>
      </c>
      <c r="AN125" s="22">
        <v>206100</v>
      </c>
      <c r="AO125" s="22">
        <v>141600</v>
      </c>
      <c r="AP125" s="22">
        <v>185300</v>
      </c>
      <c r="AQ125" s="22">
        <v>129000</v>
      </c>
      <c r="AR125" s="22">
        <v>197200</v>
      </c>
      <c r="AS125" s="22">
        <v>175700</v>
      </c>
      <c r="AT125" s="22">
        <v>180000</v>
      </c>
      <c r="AU125" s="22">
        <v>209700</v>
      </c>
      <c r="AV125" s="22">
        <v>411900</v>
      </c>
      <c r="AW125" s="22">
        <v>253500</v>
      </c>
      <c r="AX125" s="22">
        <v>253500</v>
      </c>
      <c r="AY125" s="22">
        <v>170900</v>
      </c>
      <c r="AZ125" s="22">
        <v>183700</v>
      </c>
      <c r="BA125" s="22">
        <v>130300</v>
      </c>
      <c r="BB125" s="22">
        <v>194200</v>
      </c>
      <c r="BC125" s="22">
        <v>266600</v>
      </c>
      <c r="BD125" s="22">
        <v>132500</v>
      </c>
      <c r="BE125" s="22">
        <v>186200</v>
      </c>
      <c r="BF125" s="22">
        <v>246800</v>
      </c>
      <c r="BG125" s="22">
        <v>161300</v>
      </c>
      <c r="BH125" s="22">
        <v>181800</v>
      </c>
      <c r="BI125" s="22">
        <v>190900</v>
      </c>
      <c r="BJ125" s="22">
        <v>164300</v>
      </c>
      <c r="BK125" s="22">
        <v>212200</v>
      </c>
      <c r="BL125" s="22">
        <v>208000</v>
      </c>
      <c r="BM125" s="1">
        <v>222100</v>
      </c>
      <c r="BN125" s="1">
        <v>326700</v>
      </c>
      <c r="BO125" s="1">
        <v>124800</v>
      </c>
      <c r="BP125" s="1">
        <v>445600</v>
      </c>
    </row>
    <row r="126" spans="1:68" ht="15.9" customHeight="1">
      <c r="A126" s="396" t="s">
        <v>247</v>
      </c>
      <c r="B126" s="49" t="s">
        <v>248</v>
      </c>
      <c r="C126" s="53" t="str">
        <f>_xll.RssMarket("9416","出来高")</f>
        <v/>
      </c>
      <c r="D126" s="205" t="e">
        <f t="shared" si="1"/>
        <v>#VALUE!</v>
      </c>
      <c r="E126" s="203">
        <v>281100</v>
      </c>
      <c r="F126" s="22">
        <v>261900</v>
      </c>
      <c r="G126" s="22">
        <v>279300</v>
      </c>
      <c r="H126" s="22">
        <v>187100</v>
      </c>
      <c r="I126" s="22">
        <v>250700</v>
      </c>
      <c r="J126" s="22">
        <v>330800</v>
      </c>
      <c r="K126" s="22">
        <v>402200</v>
      </c>
      <c r="L126" s="22">
        <v>287700</v>
      </c>
      <c r="M126" s="22">
        <v>329100</v>
      </c>
      <c r="N126" s="22">
        <v>408100</v>
      </c>
      <c r="O126" s="22">
        <v>509500</v>
      </c>
      <c r="P126" s="22">
        <v>598900</v>
      </c>
      <c r="Q126" s="22">
        <v>359800</v>
      </c>
      <c r="R126" s="22">
        <v>636600</v>
      </c>
      <c r="S126" s="22">
        <v>1108900</v>
      </c>
      <c r="T126" s="22">
        <v>614500</v>
      </c>
      <c r="U126" s="22">
        <v>578800</v>
      </c>
      <c r="V126" s="22">
        <v>861200</v>
      </c>
      <c r="W126" s="22">
        <v>482100</v>
      </c>
      <c r="X126" s="22">
        <v>392700</v>
      </c>
      <c r="Y126" s="22">
        <v>353500</v>
      </c>
      <c r="Z126" s="22">
        <v>504700</v>
      </c>
      <c r="AA126" s="22">
        <v>333200</v>
      </c>
      <c r="AB126" s="22">
        <v>412900</v>
      </c>
      <c r="AC126" s="22">
        <v>415200</v>
      </c>
      <c r="AD126" s="22">
        <v>337200</v>
      </c>
      <c r="AE126" s="22">
        <v>318100</v>
      </c>
      <c r="AF126" s="22">
        <v>352000</v>
      </c>
      <c r="AG126" s="22">
        <v>463900</v>
      </c>
      <c r="AH126" s="22">
        <v>353500</v>
      </c>
      <c r="AI126" s="22">
        <v>368400</v>
      </c>
      <c r="AJ126" s="22">
        <v>345100</v>
      </c>
      <c r="AK126" s="22">
        <v>336400</v>
      </c>
      <c r="AL126" s="22">
        <v>402700</v>
      </c>
      <c r="AM126" s="22">
        <v>1019500</v>
      </c>
      <c r="AN126" s="22">
        <v>454100</v>
      </c>
      <c r="AO126" s="22">
        <v>284600</v>
      </c>
      <c r="AP126" s="22">
        <v>464500</v>
      </c>
      <c r="AQ126" s="22">
        <v>422100</v>
      </c>
      <c r="AR126" s="22">
        <v>659600</v>
      </c>
      <c r="AS126" s="22">
        <v>961800</v>
      </c>
      <c r="AT126" s="22">
        <v>255000</v>
      </c>
      <c r="AU126" s="22">
        <v>198500</v>
      </c>
      <c r="AV126" s="22">
        <v>148500</v>
      </c>
      <c r="AW126" s="22">
        <v>153800</v>
      </c>
      <c r="AX126" s="22">
        <v>153800</v>
      </c>
      <c r="AY126" s="22">
        <v>151700</v>
      </c>
      <c r="AZ126" s="22">
        <v>173300</v>
      </c>
      <c r="BA126" s="22">
        <v>150900</v>
      </c>
      <c r="BB126" s="22">
        <v>219500</v>
      </c>
      <c r="BC126" s="22">
        <v>181800</v>
      </c>
      <c r="BD126" s="22">
        <v>206700</v>
      </c>
      <c r="BE126" s="22">
        <v>339200</v>
      </c>
      <c r="BF126" s="22">
        <v>339300</v>
      </c>
      <c r="BG126" s="22">
        <v>300600</v>
      </c>
      <c r="BH126" s="22">
        <v>337200</v>
      </c>
      <c r="BI126" s="22">
        <v>255600</v>
      </c>
      <c r="BJ126" s="22">
        <v>188700</v>
      </c>
      <c r="BK126" s="22">
        <v>183900</v>
      </c>
      <c r="BL126" s="22">
        <v>214800</v>
      </c>
      <c r="BM126" s="1">
        <v>142500</v>
      </c>
      <c r="BN126" s="1">
        <v>227900</v>
      </c>
      <c r="BO126" s="1">
        <v>258800</v>
      </c>
      <c r="BP126" s="1">
        <v>231400</v>
      </c>
    </row>
    <row r="127" spans="1:68" ht="15.9" customHeight="1">
      <c r="A127" s="396" t="s">
        <v>249</v>
      </c>
      <c r="B127" s="49" t="s">
        <v>250</v>
      </c>
      <c r="C127" s="53" t="str">
        <f>_xll.RssMarket("9532","出来高")</f>
        <v/>
      </c>
      <c r="D127" s="205" t="e">
        <f t="shared" si="1"/>
        <v>#VALUE!</v>
      </c>
      <c r="E127" s="203">
        <v>869200</v>
      </c>
      <c r="F127" s="22">
        <v>606800</v>
      </c>
      <c r="G127" s="22">
        <v>595700</v>
      </c>
      <c r="H127" s="22">
        <v>693900</v>
      </c>
      <c r="I127" s="22">
        <v>849100</v>
      </c>
      <c r="J127" s="22">
        <v>895500</v>
      </c>
      <c r="K127" s="22">
        <v>850600</v>
      </c>
      <c r="L127" s="22">
        <v>846600</v>
      </c>
      <c r="M127" s="22">
        <v>602700</v>
      </c>
      <c r="N127" s="22">
        <v>688800</v>
      </c>
      <c r="O127" s="22">
        <v>756200</v>
      </c>
      <c r="P127" s="22">
        <v>1024500</v>
      </c>
      <c r="Q127" s="22">
        <v>1088500</v>
      </c>
      <c r="R127" s="22">
        <v>792700</v>
      </c>
      <c r="S127" s="22">
        <v>560600</v>
      </c>
      <c r="T127" s="22">
        <v>624100</v>
      </c>
      <c r="U127" s="22">
        <v>601500</v>
      </c>
      <c r="V127" s="22">
        <v>803400</v>
      </c>
      <c r="W127" s="22">
        <v>660900</v>
      </c>
      <c r="X127" s="22">
        <v>1592500</v>
      </c>
      <c r="Y127" s="22">
        <v>668000</v>
      </c>
      <c r="Z127" s="22">
        <v>723500</v>
      </c>
      <c r="AA127" s="22">
        <v>832500</v>
      </c>
      <c r="AB127" s="22">
        <v>1453600</v>
      </c>
      <c r="AC127" s="22">
        <v>1226400</v>
      </c>
      <c r="AD127" s="22">
        <v>1014400</v>
      </c>
      <c r="AE127" s="22">
        <v>905300</v>
      </c>
      <c r="AF127" s="22">
        <v>937400</v>
      </c>
      <c r="AG127" s="22">
        <v>932500</v>
      </c>
      <c r="AH127" s="22">
        <v>1413400</v>
      </c>
      <c r="AI127" s="22">
        <v>1277500</v>
      </c>
      <c r="AJ127" s="22">
        <v>4161400</v>
      </c>
      <c r="AK127" s="22">
        <v>1339000</v>
      </c>
      <c r="AL127" s="22">
        <v>1454500</v>
      </c>
      <c r="AM127" s="22">
        <v>874800</v>
      </c>
      <c r="AN127" s="22">
        <v>748600</v>
      </c>
      <c r="AO127" s="22">
        <v>932400</v>
      </c>
      <c r="AP127" s="22">
        <v>813400</v>
      </c>
      <c r="AQ127" s="22">
        <v>983600</v>
      </c>
      <c r="AR127" s="22">
        <v>956900</v>
      </c>
      <c r="AS127" s="22">
        <v>829800</v>
      </c>
      <c r="AT127" s="22">
        <v>684300</v>
      </c>
      <c r="AU127" s="22">
        <v>861400</v>
      </c>
      <c r="AV127" s="22">
        <v>1699300</v>
      </c>
      <c r="AW127" s="22">
        <v>1649200</v>
      </c>
      <c r="AX127" s="22">
        <v>1649200</v>
      </c>
      <c r="AY127" s="22">
        <v>2354200</v>
      </c>
      <c r="AZ127" s="22">
        <v>1479400</v>
      </c>
      <c r="BA127" s="22">
        <v>1004000</v>
      </c>
      <c r="BB127" s="22">
        <v>2041600</v>
      </c>
      <c r="BC127" s="22">
        <v>1121500</v>
      </c>
      <c r="BD127" s="22">
        <v>756600</v>
      </c>
      <c r="BE127" s="22">
        <v>936500</v>
      </c>
      <c r="BF127" s="22">
        <v>1086600</v>
      </c>
      <c r="BG127" s="22">
        <v>799500</v>
      </c>
      <c r="BH127" s="22">
        <v>1155800</v>
      </c>
      <c r="BI127" s="22">
        <v>1217700</v>
      </c>
      <c r="BJ127" s="22">
        <v>1008700</v>
      </c>
      <c r="BK127" s="22">
        <v>832500</v>
      </c>
      <c r="BL127" s="22">
        <v>825600</v>
      </c>
      <c r="BM127" s="1">
        <v>871200</v>
      </c>
      <c r="BN127" s="1">
        <v>932700</v>
      </c>
      <c r="BO127" s="1">
        <v>1191500</v>
      </c>
      <c r="BP127" s="1">
        <v>876800</v>
      </c>
    </row>
    <row r="128" spans="1:68" ht="15.9" customHeight="1">
      <c r="A128" s="396" t="s">
        <v>251</v>
      </c>
      <c r="B128" s="49" t="s">
        <v>252</v>
      </c>
      <c r="C128" s="53" t="str">
        <f>_xll.RssMarket("6330","出来高")</f>
        <v/>
      </c>
      <c r="D128" s="205" t="e">
        <f t="shared" si="1"/>
        <v>#VALUE!</v>
      </c>
      <c r="E128" s="203">
        <v>2867300</v>
      </c>
      <c r="F128" s="22">
        <v>1346500</v>
      </c>
      <c r="G128" s="22">
        <v>1179200</v>
      </c>
      <c r="H128" s="22">
        <v>897100</v>
      </c>
      <c r="I128" s="22">
        <v>992100</v>
      </c>
      <c r="J128" s="22">
        <v>754500</v>
      </c>
      <c r="K128" s="22">
        <v>1185500</v>
      </c>
      <c r="L128" s="22">
        <v>1377000</v>
      </c>
      <c r="M128" s="22">
        <v>1767100</v>
      </c>
      <c r="N128" s="22">
        <v>1102800</v>
      </c>
      <c r="O128" s="22">
        <v>1798400</v>
      </c>
      <c r="P128" s="22">
        <v>1792300</v>
      </c>
      <c r="Q128" s="22">
        <v>4022900</v>
      </c>
      <c r="R128" s="22">
        <v>3054000</v>
      </c>
      <c r="S128" s="22">
        <v>915900</v>
      </c>
      <c r="T128" s="22">
        <v>941100</v>
      </c>
      <c r="U128" s="22">
        <v>867200</v>
      </c>
      <c r="V128" s="22">
        <v>1111600</v>
      </c>
      <c r="W128" s="22">
        <v>847000</v>
      </c>
      <c r="X128" s="22">
        <v>1868500</v>
      </c>
      <c r="Y128" s="22">
        <v>1787600</v>
      </c>
      <c r="Z128" s="22">
        <v>1837600</v>
      </c>
      <c r="AA128" s="22">
        <v>1268200</v>
      </c>
      <c r="AB128" s="22">
        <v>949100</v>
      </c>
      <c r="AC128" s="22">
        <v>1203900</v>
      </c>
      <c r="AD128" s="22">
        <v>1040300</v>
      </c>
      <c r="AE128" s="22">
        <v>1183700</v>
      </c>
      <c r="AF128" s="22">
        <v>1427900</v>
      </c>
      <c r="AG128" s="22">
        <v>780600</v>
      </c>
      <c r="AH128" s="22">
        <v>1792600</v>
      </c>
      <c r="AI128" s="22">
        <v>1533200</v>
      </c>
      <c r="AJ128" s="22">
        <v>1253300</v>
      </c>
      <c r="AK128" s="22">
        <v>1341100</v>
      </c>
      <c r="AL128" s="22">
        <v>1312600</v>
      </c>
      <c r="AM128" s="22">
        <v>1601100</v>
      </c>
      <c r="AN128" s="22">
        <v>1797800</v>
      </c>
      <c r="AO128" s="22">
        <v>1007100</v>
      </c>
      <c r="AP128" s="22">
        <v>1997300</v>
      </c>
      <c r="AQ128" s="22">
        <v>1768600</v>
      </c>
      <c r="AR128" s="22">
        <v>1519100</v>
      </c>
      <c r="AS128" s="22">
        <v>3032800</v>
      </c>
      <c r="AT128" s="22">
        <v>8663900</v>
      </c>
      <c r="AU128" s="22">
        <v>1241700</v>
      </c>
      <c r="AV128" s="22">
        <v>1514900</v>
      </c>
      <c r="AW128" s="22">
        <v>1535900</v>
      </c>
      <c r="AX128" s="22">
        <v>1535900</v>
      </c>
      <c r="AY128" s="22">
        <v>1278200</v>
      </c>
      <c r="AZ128" s="22">
        <v>1391600</v>
      </c>
      <c r="BA128" s="22">
        <v>1327900</v>
      </c>
      <c r="BB128" s="22">
        <v>1554600</v>
      </c>
      <c r="BC128" s="22">
        <v>1799200</v>
      </c>
      <c r="BD128" s="22">
        <v>1393200</v>
      </c>
      <c r="BE128" s="22">
        <v>1420500</v>
      </c>
      <c r="BF128" s="22">
        <v>2048800</v>
      </c>
      <c r="BG128" s="22">
        <v>2023100</v>
      </c>
      <c r="BH128" s="22">
        <v>2951600</v>
      </c>
      <c r="BI128" s="22">
        <v>6094400</v>
      </c>
      <c r="BJ128" s="22">
        <v>5076900</v>
      </c>
      <c r="BK128" s="22">
        <v>2832800</v>
      </c>
      <c r="BL128" s="22">
        <v>2740200</v>
      </c>
      <c r="BM128" s="1">
        <v>4463600</v>
      </c>
      <c r="BN128" s="1">
        <v>1779800</v>
      </c>
      <c r="BO128" s="1">
        <v>2625400</v>
      </c>
      <c r="BP128" s="1">
        <v>3078300</v>
      </c>
    </row>
    <row r="129" spans="1:68" ht="15.9" customHeight="1">
      <c r="A129" s="396" t="s">
        <v>253</v>
      </c>
      <c r="B129" s="49" t="s">
        <v>254</v>
      </c>
      <c r="C129" s="53" t="str">
        <f>_xll.RssMarket("4082","出来高")</f>
        <v/>
      </c>
      <c r="D129" s="205" t="e">
        <f t="shared" si="1"/>
        <v>#VALUE!</v>
      </c>
      <c r="E129" s="203">
        <v>381600</v>
      </c>
      <c r="F129" s="22">
        <v>121000</v>
      </c>
      <c r="G129" s="22">
        <v>133400</v>
      </c>
      <c r="H129" s="22">
        <v>157400</v>
      </c>
      <c r="I129" s="22">
        <v>141100</v>
      </c>
      <c r="J129" s="22">
        <v>162900</v>
      </c>
      <c r="K129" s="22">
        <v>215000</v>
      </c>
      <c r="L129" s="22">
        <v>140700</v>
      </c>
      <c r="M129" s="22">
        <v>119900</v>
      </c>
      <c r="N129" s="22">
        <v>151800</v>
      </c>
      <c r="O129" s="22">
        <v>138600</v>
      </c>
      <c r="P129" s="22">
        <v>123100</v>
      </c>
      <c r="Q129" s="22">
        <v>151000</v>
      </c>
      <c r="R129" s="22">
        <v>237100</v>
      </c>
      <c r="S129" s="22">
        <v>193200</v>
      </c>
      <c r="T129" s="22">
        <v>457500</v>
      </c>
      <c r="U129" s="22">
        <v>185800</v>
      </c>
      <c r="V129" s="22">
        <v>286000</v>
      </c>
      <c r="W129" s="22">
        <v>291900</v>
      </c>
      <c r="X129" s="22">
        <v>246300</v>
      </c>
      <c r="Y129" s="22">
        <v>307900</v>
      </c>
      <c r="Z129" s="22">
        <v>270500</v>
      </c>
      <c r="AA129" s="22">
        <v>251500</v>
      </c>
      <c r="AB129" s="22">
        <v>246100</v>
      </c>
      <c r="AC129" s="22">
        <v>300800</v>
      </c>
      <c r="AD129" s="22">
        <v>378400</v>
      </c>
      <c r="AE129" s="22">
        <v>394900</v>
      </c>
      <c r="AF129" s="22">
        <v>222900</v>
      </c>
      <c r="AG129" s="22">
        <v>271500</v>
      </c>
      <c r="AH129" s="22">
        <v>337500</v>
      </c>
      <c r="AI129" s="22">
        <v>391600</v>
      </c>
      <c r="AJ129" s="22">
        <v>902100</v>
      </c>
      <c r="AK129" s="22">
        <v>354900</v>
      </c>
      <c r="AL129" s="22">
        <v>486800</v>
      </c>
      <c r="AM129" s="22">
        <v>375500</v>
      </c>
      <c r="AN129" s="22">
        <v>254200</v>
      </c>
      <c r="AO129" s="22">
        <v>313200</v>
      </c>
      <c r="AP129" s="22">
        <v>496400</v>
      </c>
      <c r="AQ129" s="22">
        <v>282500</v>
      </c>
      <c r="AR129" s="22">
        <v>394100</v>
      </c>
      <c r="AS129" s="22">
        <v>1182400</v>
      </c>
      <c r="AT129" s="22">
        <v>441900</v>
      </c>
      <c r="AU129" s="22">
        <v>654500</v>
      </c>
      <c r="AV129" s="22">
        <v>577300</v>
      </c>
      <c r="AW129" s="22">
        <v>936600</v>
      </c>
      <c r="AX129" s="22">
        <v>936600</v>
      </c>
      <c r="AY129" s="22">
        <v>750000</v>
      </c>
      <c r="AZ129" s="22">
        <v>317100</v>
      </c>
      <c r="BA129" s="22">
        <v>192600</v>
      </c>
      <c r="BB129" s="22">
        <v>254500</v>
      </c>
      <c r="BC129" s="22">
        <v>191000</v>
      </c>
      <c r="BD129" s="22">
        <v>301400</v>
      </c>
      <c r="BE129" s="22">
        <v>841000</v>
      </c>
      <c r="BF129" s="22">
        <v>283300</v>
      </c>
      <c r="BG129" s="22">
        <v>286100</v>
      </c>
      <c r="BH129" s="22">
        <v>1001100</v>
      </c>
      <c r="BI129" s="22">
        <v>1438600</v>
      </c>
      <c r="BJ129" s="22">
        <v>723100</v>
      </c>
      <c r="BK129" s="22">
        <v>583600</v>
      </c>
      <c r="BL129" s="22">
        <v>281800</v>
      </c>
      <c r="BM129" s="1">
        <v>244000</v>
      </c>
      <c r="BN129" s="1">
        <v>170000</v>
      </c>
      <c r="BO129" s="1">
        <v>308000</v>
      </c>
      <c r="BP129" s="1">
        <v>253700</v>
      </c>
    </row>
    <row r="130" spans="1:68" ht="15.9" customHeight="1">
      <c r="A130" s="396" t="s">
        <v>255</v>
      </c>
      <c r="B130" s="49" t="s">
        <v>256</v>
      </c>
      <c r="C130" s="53" t="str">
        <f>_xll.RssMarket("4519","出来高")</f>
        <v/>
      </c>
      <c r="D130" s="205" t="e">
        <f t="shared" si="1"/>
        <v>#VALUE!</v>
      </c>
      <c r="E130" s="203">
        <v>2964200</v>
      </c>
      <c r="F130" s="22">
        <v>2330400</v>
      </c>
      <c r="G130" s="22">
        <v>1973600</v>
      </c>
      <c r="H130" s="22">
        <v>2054100</v>
      </c>
      <c r="I130" s="22">
        <v>2663200</v>
      </c>
      <c r="J130" s="22">
        <v>2213200</v>
      </c>
      <c r="K130" s="22">
        <v>3515600</v>
      </c>
      <c r="L130" s="22">
        <v>2451200</v>
      </c>
      <c r="M130" s="22">
        <v>1563600</v>
      </c>
      <c r="N130" s="22">
        <v>2754300</v>
      </c>
      <c r="O130" s="22">
        <v>2366800</v>
      </c>
      <c r="P130" s="22">
        <v>2245500</v>
      </c>
      <c r="Q130" s="22">
        <v>2303800</v>
      </c>
      <c r="R130" s="22">
        <v>2809400</v>
      </c>
      <c r="S130" s="22">
        <v>2058200</v>
      </c>
      <c r="T130" s="22">
        <v>1882900</v>
      </c>
      <c r="U130" s="22">
        <v>1977300</v>
      </c>
      <c r="V130" s="22">
        <v>2411300</v>
      </c>
      <c r="W130" s="22">
        <v>1238100</v>
      </c>
      <c r="X130" s="22">
        <v>3697700</v>
      </c>
      <c r="Y130" s="22">
        <v>1954000</v>
      </c>
      <c r="Z130" s="22">
        <v>1745000</v>
      </c>
      <c r="AA130" s="22">
        <v>2083200</v>
      </c>
      <c r="AB130" s="22">
        <v>2581900</v>
      </c>
      <c r="AC130" s="22">
        <v>2164800</v>
      </c>
      <c r="AD130" s="22">
        <v>2962000</v>
      </c>
      <c r="AE130" s="22">
        <v>2319900</v>
      </c>
      <c r="AF130" s="22">
        <v>2116500</v>
      </c>
      <c r="AG130" s="22">
        <v>2311000</v>
      </c>
      <c r="AH130" s="22">
        <v>2654400</v>
      </c>
      <c r="AI130" s="22">
        <v>2597400</v>
      </c>
      <c r="AJ130" s="22">
        <v>5543000</v>
      </c>
      <c r="AK130" s="22">
        <v>1962700</v>
      </c>
      <c r="AL130" s="22">
        <v>3277400</v>
      </c>
      <c r="AM130" s="22">
        <v>1670400</v>
      </c>
      <c r="AN130" s="22">
        <v>1924300</v>
      </c>
      <c r="AO130" s="22">
        <v>2152600</v>
      </c>
      <c r="AP130" s="22">
        <v>2507400</v>
      </c>
      <c r="AQ130" s="22">
        <v>2367900</v>
      </c>
      <c r="AR130" s="22">
        <v>1512400</v>
      </c>
      <c r="AS130" s="22">
        <v>2260800</v>
      </c>
      <c r="AT130" s="22">
        <v>2811500</v>
      </c>
      <c r="AU130" s="22">
        <v>2385200</v>
      </c>
      <c r="AV130" s="22">
        <v>2123700</v>
      </c>
      <c r="AW130" s="22">
        <v>3038800</v>
      </c>
      <c r="AX130" s="22">
        <v>3038800</v>
      </c>
      <c r="AY130" s="22">
        <v>4228200</v>
      </c>
      <c r="AZ130" s="22">
        <v>6790800</v>
      </c>
      <c r="BA130" s="22">
        <v>5927700</v>
      </c>
      <c r="BB130" s="22">
        <v>6603000</v>
      </c>
      <c r="BC130" s="22">
        <v>5707500</v>
      </c>
      <c r="BD130" s="22">
        <v>10085300</v>
      </c>
      <c r="BE130" s="22">
        <v>4079800</v>
      </c>
      <c r="BF130" s="22">
        <v>2796800</v>
      </c>
      <c r="BG130" s="22">
        <v>2860500</v>
      </c>
      <c r="BH130" s="22">
        <v>2248400</v>
      </c>
      <c r="BI130" s="22">
        <v>3234900</v>
      </c>
      <c r="BJ130" s="22">
        <v>2446500</v>
      </c>
      <c r="BK130" s="22">
        <v>2218700</v>
      </c>
      <c r="BL130" s="22">
        <v>1925400</v>
      </c>
      <c r="BM130" s="1">
        <v>1975400</v>
      </c>
      <c r="BN130" s="1">
        <v>1432700</v>
      </c>
      <c r="BO130" s="1">
        <v>2506100</v>
      </c>
      <c r="BP130" s="1">
        <v>1911600</v>
      </c>
    </row>
    <row r="131" spans="1:68" ht="15.9" customHeight="1">
      <c r="A131" s="396" t="s">
        <v>257</v>
      </c>
      <c r="B131" s="49" t="s">
        <v>258</v>
      </c>
      <c r="C131" s="53" t="str">
        <f>_xll.RssMarket("2160","出来高")</f>
        <v/>
      </c>
      <c r="D131" s="205" t="e">
        <f t="shared" si="1"/>
        <v>#VALUE!</v>
      </c>
      <c r="E131" s="203">
        <v>1307000</v>
      </c>
      <c r="F131" s="22">
        <v>560700</v>
      </c>
      <c r="G131" s="22">
        <v>474700</v>
      </c>
      <c r="H131" s="22">
        <v>438700</v>
      </c>
      <c r="I131" s="22">
        <v>429300</v>
      </c>
      <c r="J131" s="22">
        <v>750100</v>
      </c>
      <c r="K131" s="22">
        <v>1320700</v>
      </c>
      <c r="L131" s="22">
        <v>735900</v>
      </c>
      <c r="M131" s="22">
        <v>881000</v>
      </c>
      <c r="N131" s="22">
        <v>900200</v>
      </c>
      <c r="O131" s="22">
        <v>971900</v>
      </c>
      <c r="P131" s="22">
        <v>867500</v>
      </c>
      <c r="Q131" s="22">
        <v>1082500</v>
      </c>
      <c r="R131" s="22">
        <v>1299100</v>
      </c>
      <c r="S131" s="22">
        <v>680600</v>
      </c>
      <c r="T131" s="22">
        <v>543800</v>
      </c>
      <c r="U131" s="22">
        <v>463200</v>
      </c>
      <c r="V131" s="22">
        <v>639600</v>
      </c>
      <c r="W131" s="22">
        <v>949300</v>
      </c>
      <c r="X131" s="22">
        <v>1189100</v>
      </c>
      <c r="Y131" s="22">
        <v>954900</v>
      </c>
      <c r="Z131" s="22">
        <v>850200</v>
      </c>
      <c r="AA131" s="22">
        <v>1242800</v>
      </c>
      <c r="AB131" s="22">
        <v>1907600</v>
      </c>
      <c r="AC131" s="22">
        <v>1518500</v>
      </c>
      <c r="AD131" s="22">
        <v>1407600</v>
      </c>
      <c r="AE131" s="22">
        <v>3745100</v>
      </c>
      <c r="AF131" s="22">
        <v>1398100</v>
      </c>
      <c r="AG131" s="22">
        <v>988600</v>
      </c>
      <c r="AH131" s="22">
        <v>1109900</v>
      </c>
      <c r="AI131" s="22">
        <v>1177000</v>
      </c>
      <c r="AJ131" s="22">
        <v>1068600</v>
      </c>
      <c r="AK131" s="22">
        <v>1641100</v>
      </c>
      <c r="AL131" s="22">
        <v>1147400</v>
      </c>
      <c r="AM131" s="22">
        <v>709500</v>
      </c>
      <c r="AN131" s="22">
        <v>827600</v>
      </c>
      <c r="AO131" s="22">
        <v>969800</v>
      </c>
      <c r="AP131" s="22">
        <v>1241200</v>
      </c>
      <c r="AQ131" s="22">
        <v>1559900</v>
      </c>
      <c r="AR131" s="22">
        <v>2804300</v>
      </c>
      <c r="AS131" s="22">
        <v>1188700</v>
      </c>
      <c r="AT131" s="22">
        <v>1266500</v>
      </c>
      <c r="AU131" s="22">
        <v>2154700</v>
      </c>
      <c r="AV131" s="22">
        <v>620100</v>
      </c>
      <c r="AW131" s="22">
        <v>600900</v>
      </c>
      <c r="AX131" s="22">
        <v>600900</v>
      </c>
      <c r="AY131" s="22">
        <v>947300</v>
      </c>
      <c r="AZ131" s="22">
        <v>602300</v>
      </c>
      <c r="BA131" s="22">
        <v>938800</v>
      </c>
      <c r="BB131" s="22">
        <v>1695800</v>
      </c>
      <c r="BC131" s="22">
        <v>389100</v>
      </c>
      <c r="BD131" s="22">
        <v>426400</v>
      </c>
      <c r="BE131" s="22">
        <v>801200</v>
      </c>
      <c r="BF131" s="22">
        <v>1160700</v>
      </c>
      <c r="BG131" s="22">
        <v>880800</v>
      </c>
      <c r="BH131" s="22">
        <v>997500</v>
      </c>
      <c r="BI131" s="22">
        <v>1171300</v>
      </c>
      <c r="BJ131" s="22">
        <v>641500</v>
      </c>
      <c r="BK131" s="22">
        <v>714800</v>
      </c>
      <c r="BL131" s="22">
        <v>1279600</v>
      </c>
      <c r="BM131" s="1">
        <v>623500</v>
      </c>
      <c r="BN131" s="1">
        <v>750900</v>
      </c>
      <c r="BO131" s="1">
        <v>926400</v>
      </c>
      <c r="BP131" s="1">
        <v>845500</v>
      </c>
    </row>
    <row r="132" spans="1:68" ht="15.9" customHeight="1">
      <c r="A132" s="396" t="s">
        <v>259</v>
      </c>
      <c r="B132" s="49" t="s">
        <v>260</v>
      </c>
      <c r="C132" s="53" t="str">
        <f>_xll.RssMarket("6227","出来高")</f>
        <v/>
      </c>
      <c r="D132" s="205" t="e">
        <f t="shared" si="1"/>
        <v>#VALUE!</v>
      </c>
      <c r="E132" s="203">
        <v>1843000</v>
      </c>
      <c r="F132" s="22">
        <v>1908000</v>
      </c>
      <c r="G132" s="22">
        <v>2402500</v>
      </c>
      <c r="H132" s="22">
        <v>4280900</v>
      </c>
      <c r="I132" s="22">
        <v>69800</v>
      </c>
      <c r="J132" s="22">
        <v>904400</v>
      </c>
      <c r="K132" s="22">
        <v>1072700</v>
      </c>
      <c r="L132" s="22">
        <v>1379300</v>
      </c>
      <c r="M132" s="22">
        <v>1269500</v>
      </c>
      <c r="N132" s="22">
        <v>1040100</v>
      </c>
      <c r="O132" s="22">
        <v>1219300</v>
      </c>
      <c r="P132" s="22">
        <v>1709100</v>
      </c>
      <c r="Q132" s="22">
        <v>952900</v>
      </c>
      <c r="R132" s="22">
        <v>876200</v>
      </c>
      <c r="S132" s="22">
        <v>1625500</v>
      </c>
      <c r="T132" s="22">
        <v>1310400</v>
      </c>
      <c r="U132" s="22">
        <v>1165500</v>
      </c>
      <c r="V132" s="22">
        <v>1282000</v>
      </c>
      <c r="W132" s="22">
        <v>1776700</v>
      </c>
      <c r="X132" s="22">
        <v>1346800</v>
      </c>
      <c r="Y132" s="22">
        <v>2292200</v>
      </c>
      <c r="Z132" s="22">
        <v>1363100</v>
      </c>
      <c r="AA132" s="22">
        <v>1607600</v>
      </c>
      <c r="AB132" s="22">
        <v>1744300</v>
      </c>
      <c r="AC132" s="22">
        <v>1288600</v>
      </c>
      <c r="AD132" s="22">
        <v>1698900</v>
      </c>
      <c r="AE132" s="22">
        <v>2869100</v>
      </c>
      <c r="AF132" s="22">
        <v>2426200</v>
      </c>
      <c r="AG132" s="22">
        <v>1733900</v>
      </c>
      <c r="AH132" s="22">
        <v>1304800</v>
      </c>
      <c r="AI132" s="22">
        <v>1180700</v>
      </c>
      <c r="AJ132" s="22">
        <v>771600</v>
      </c>
      <c r="AK132" s="22">
        <v>1051000</v>
      </c>
      <c r="AL132" s="22">
        <v>1493600</v>
      </c>
      <c r="AM132" s="22">
        <v>1344400</v>
      </c>
      <c r="AN132" s="22">
        <v>2369300</v>
      </c>
      <c r="AO132" s="22">
        <v>2233700</v>
      </c>
      <c r="AP132" s="22">
        <v>1396300</v>
      </c>
      <c r="AQ132" s="22">
        <v>2189500</v>
      </c>
      <c r="AR132" s="22">
        <v>708600</v>
      </c>
      <c r="AS132" s="22">
        <v>1208800</v>
      </c>
      <c r="AT132" s="22">
        <v>1163500</v>
      </c>
      <c r="AU132" s="22">
        <v>686300</v>
      </c>
      <c r="AV132" s="22">
        <v>1315800</v>
      </c>
      <c r="AW132" s="22">
        <v>841100</v>
      </c>
      <c r="AX132" s="22">
        <v>841100</v>
      </c>
      <c r="AY132" s="22">
        <v>685500</v>
      </c>
      <c r="AZ132" s="22">
        <v>1027000</v>
      </c>
      <c r="BA132" s="22">
        <v>503200</v>
      </c>
      <c r="BB132" s="22">
        <v>1002100</v>
      </c>
      <c r="BC132" s="22">
        <v>796600</v>
      </c>
      <c r="BD132" s="22">
        <v>823500</v>
      </c>
      <c r="BE132" s="22">
        <v>920000</v>
      </c>
      <c r="BF132" s="22">
        <v>1696400</v>
      </c>
      <c r="BG132" s="22">
        <v>1002700</v>
      </c>
      <c r="BH132" s="22">
        <v>1369500</v>
      </c>
      <c r="BI132" s="22">
        <v>1120200</v>
      </c>
      <c r="BJ132" s="22">
        <v>865900</v>
      </c>
      <c r="BK132" s="22">
        <v>1604600</v>
      </c>
      <c r="BL132" s="22">
        <v>4718900</v>
      </c>
      <c r="BM132" s="1">
        <v>1385400</v>
      </c>
      <c r="BN132" s="1">
        <v>1468000</v>
      </c>
      <c r="BO132" s="1">
        <v>816300</v>
      </c>
      <c r="BP132" s="1">
        <v>885800</v>
      </c>
    </row>
    <row r="133" spans="1:68" ht="15.9" customHeight="1">
      <c r="A133" s="396" t="s">
        <v>261</v>
      </c>
      <c r="B133" s="49" t="s">
        <v>262</v>
      </c>
      <c r="C133" s="53" t="str">
        <f>_xll.RssMarket("6327","出来高")</f>
        <v/>
      </c>
      <c r="D133" s="205" t="e">
        <f t="shared" si="1"/>
        <v>#VALUE!</v>
      </c>
      <c r="E133" s="203">
        <v>1170600</v>
      </c>
      <c r="F133" s="22">
        <v>621100</v>
      </c>
      <c r="G133" s="22">
        <v>651300</v>
      </c>
      <c r="H133" s="22">
        <v>1174000</v>
      </c>
      <c r="I133" s="22">
        <v>1057100</v>
      </c>
      <c r="J133" s="22">
        <v>826100</v>
      </c>
      <c r="K133" s="22">
        <v>842500</v>
      </c>
      <c r="L133" s="22">
        <v>628900</v>
      </c>
      <c r="M133" s="22">
        <v>795300</v>
      </c>
      <c r="N133" s="22">
        <v>1312200</v>
      </c>
      <c r="O133" s="22">
        <v>1613800</v>
      </c>
      <c r="P133" s="22">
        <v>1165300</v>
      </c>
      <c r="Q133" s="22">
        <v>835800</v>
      </c>
      <c r="R133" s="22">
        <v>648300</v>
      </c>
      <c r="S133" s="22">
        <v>938600</v>
      </c>
      <c r="T133" s="22">
        <v>1078100</v>
      </c>
      <c r="U133" s="22">
        <v>1122900</v>
      </c>
      <c r="V133" s="22">
        <v>1804700</v>
      </c>
      <c r="W133" s="22">
        <v>920600</v>
      </c>
      <c r="X133" s="22">
        <v>1942000</v>
      </c>
      <c r="Y133" s="22">
        <v>510200</v>
      </c>
      <c r="Z133" s="22">
        <v>918200</v>
      </c>
      <c r="AA133" s="22">
        <v>1048100</v>
      </c>
      <c r="AB133" s="22">
        <v>610800</v>
      </c>
      <c r="AC133" s="22">
        <v>503400</v>
      </c>
      <c r="AD133" s="22">
        <v>536400</v>
      </c>
      <c r="AE133" s="22">
        <v>834800</v>
      </c>
      <c r="AF133" s="22">
        <v>646800</v>
      </c>
      <c r="AG133" s="22">
        <v>928100</v>
      </c>
      <c r="AH133" s="22">
        <v>1186700</v>
      </c>
      <c r="AI133" s="22">
        <v>1239600</v>
      </c>
      <c r="AJ133" s="22">
        <v>2346700</v>
      </c>
      <c r="AK133" s="22">
        <v>1309500</v>
      </c>
      <c r="AL133" s="22">
        <v>1310400</v>
      </c>
      <c r="AM133" s="22">
        <v>867700</v>
      </c>
      <c r="AN133" s="22">
        <v>592400</v>
      </c>
      <c r="AO133" s="22">
        <v>254100</v>
      </c>
      <c r="AP133" s="22">
        <v>182800</v>
      </c>
      <c r="AQ133" s="22">
        <v>209200</v>
      </c>
      <c r="AR133" s="22">
        <v>210800</v>
      </c>
      <c r="AS133" s="22">
        <v>193900</v>
      </c>
      <c r="AT133" s="22">
        <v>653300</v>
      </c>
      <c r="AU133" s="22">
        <v>686900</v>
      </c>
      <c r="AV133" s="22">
        <v>718800</v>
      </c>
      <c r="AW133" s="22">
        <v>778400</v>
      </c>
      <c r="AX133" s="22">
        <v>778400</v>
      </c>
      <c r="AY133" s="22">
        <v>853700</v>
      </c>
      <c r="AZ133" s="22">
        <v>953500</v>
      </c>
      <c r="BA133" s="22">
        <v>584300</v>
      </c>
      <c r="BB133" s="22">
        <v>1570100</v>
      </c>
      <c r="BC133" s="22">
        <v>1523500</v>
      </c>
      <c r="BD133" s="22">
        <v>205800</v>
      </c>
      <c r="BE133" s="22">
        <v>142300</v>
      </c>
      <c r="BF133" s="22">
        <v>175400</v>
      </c>
      <c r="BG133" s="22">
        <v>281100</v>
      </c>
      <c r="BH133" s="22">
        <v>452300</v>
      </c>
      <c r="BI133" s="22">
        <v>207800</v>
      </c>
      <c r="BJ133" s="22">
        <v>250200</v>
      </c>
      <c r="BK133" s="22">
        <v>221700</v>
      </c>
      <c r="BL133" s="22">
        <v>439500</v>
      </c>
      <c r="BM133" s="1">
        <v>446900</v>
      </c>
      <c r="BN133" s="1">
        <v>376200</v>
      </c>
      <c r="BO133" s="1">
        <v>777300</v>
      </c>
      <c r="BP133" s="1">
        <v>579900</v>
      </c>
    </row>
    <row r="134" spans="1:68" ht="15.9" customHeight="1">
      <c r="A134" s="396" t="s">
        <v>263</v>
      </c>
      <c r="B134" s="49" t="s">
        <v>264</v>
      </c>
      <c r="C134" s="53" t="str">
        <f>_xll.RssMarket("3110","出来高")</f>
        <v/>
      </c>
      <c r="D134" s="205" t="e">
        <f t="shared" ref="D134:D197" si="2">C134-E134</f>
        <v>#VALUE!</v>
      </c>
      <c r="E134" s="203">
        <v>7456500</v>
      </c>
      <c r="F134" s="22">
        <v>3773700</v>
      </c>
      <c r="G134" s="22">
        <v>4476500</v>
      </c>
      <c r="H134" s="22">
        <v>3984800</v>
      </c>
      <c r="I134" s="22">
        <v>3450800</v>
      </c>
      <c r="J134" s="22">
        <v>4549900</v>
      </c>
      <c r="K134" s="22">
        <v>5055200</v>
      </c>
      <c r="L134" s="22">
        <v>6927600</v>
      </c>
      <c r="M134" s="22">
        <v>5009700</v>
      </c>
      <c r="N134" s="22">
        <v>4942000</v>
      </c>
      <c r="O134" s="22">
        <v>6260500</v>
      </c>
      <c r="P134" s="22">
        <v>8278200</v>
      </c>
      <c r="Q134" s="22">
        <v>7743100</v>
      </c>
      <c r="R134" s="22">
        <v>9613400</v>
      </c>
      <c r="S134" s="22">
        <v>1468500</v>
      </c>
      <c r="T134" s="22">
        <v>1306200</v>
      </c>
      <c r="U134" s="22">
        <v>1658800</v>
      </c>
      <c r="V134" s="22">
        <v>1966800</v>
      </c>
      <c r="W134" s="22">
        <v>1713700</v>
      </c>
      <c r="X134" s="22">
        <v>2301300</v>
      </c>
      <c r="Y134" s="22">
        <v>2607800</v>
      </c>
      <c r="Z134" s="22">
        <v>1745900</v>
      </c>
      <c r="AA134" s="22">
        <v>3687800</v>
      </c>
      <c r="AB134" s="22">
        <v>2241600</v>
      </c>
      <c r="AC134" s="22">
        <v>1725900</v>
      </c>
      <c r="AD134" s="22">
        <v>1957300</v>
      </c>
      <c r="AE134" s="22">
        <v>3112600</v>
      </c>
      <c r="AF134" s="22">
        <v>2065000</v>
      </c>
      <c r="AG134" s="22">
        <v>2696500</v>
      </c>
      <c r="AH134" s="22">
        <v>2106900</v>
      </c>
      <c r="AI134" s="22">
        <v>2636100</v>
      </c>
      <c r="AJ134" s="22">
        <v>2443100</v>
      </c>
      <c r="AK134" s="22">
        <v>2229900</v>
      </c>
      <c r="AL134" s="22">
        <v>3200300</v>
      </c>
      <c r="AM134" s="22">
        <v>3233700</v>
      </c>
      <c r="AN134" s="22">
        <v>3594700</v>
      </c>
      <c r="AO134" s="22">
        <v>1696600</v>
      </c>
      <c r="AP134" s="22">
        <v>1580000</v>
      </c>
      <c r="AQ134" s="22">
        <v>1969700</v>
      </c>
      <c r="AR134" s="22">
        <v>1982700</v>
      </c>
      <c r="AS134" s="22">
        <v>2240100</v>
      </c>
      <c r="AT134" s="22">
        <v>2389100</v>
      </c>
      <c r="AU134" s="22">
        <v>3827200</v>
      </c>
      <c r="AV134" s="22">
        <v>2079800</v>
      </c>
      <c r="AW134" s="22">
        <v>2418000</v>
      </c>
      <c r="AX134" s="22">
        <v>2418000</v>
      </c>
      <c r="AY134" s="22">
        <v>1719400</v>
      </c>
      <c r="AZ134" s="22">
        <v>2431300</v>
      </c>
      <c r="BA134" s="22">
        <v>1845500</v>
      </c>
      <c r="BB134" s="22">
        <v>2028500</v>
      </c>
      <c r="BC134" s="22">
        <v>1702700</v>
      </c>
      <c r="BD134" s="22">
        <v>1945700</v>
      </c>
      <c r="BE134" s="22">
        <v>2471700</v>
      </c>
      <c r="BF134" s="22">
        <v>2561400</v>
      </c>
      <c r="BG134" s="22">
        <v>1711000</v>
      </c>
      <c r="BH134" s="22">
        <v>1760500</v>
      </c>
      <c r="BI134" s="22">
        <v>1689500</v>
      </c>
      <c r="BJ134" s="22">
        <v>2656700</v>
      </c>
      <c r="BK134" s="22">
        <v>2718100</v>
      </c>
      <c r="BL134" s="22">
        <v>3420400</v>
      </c>
      <c r="BM134" s="1">
        <v>2458200</v>
      </c>
      <c r="BN134" s="1">
        <v>3743000</v>
      </c>
      <c r="BO134" s="1">
        <v>2926100</v>
      </c>
      <c r="BP134" s="1">
        <v>2836700</v>
      </c>
    </row>
    <row r="135" spans="1:68" ht="15.9" customHeight="1">
      <c r="A135" s="396" t="s">
        <v>265</v>
      </c>
      <c r="B135" s="49" t="s">
        <v>266</v>
      </c>
      <c r="C135" s="53" t="str">
        <f>_xll.RssMarket("6232","出来高")</f>
        <v/>
      </c>
      <c r="D135" s="205" t="e">
        <f t="shared" si="2"/>
        <v>#VALUE!</v>
      </c>
      <c r="E135" s="203">
        <v>673100</v>
      </c>
      <c r="F135" s="22">
        <v>620400</v>
      </c>
      <c r="G135" s="22">
        <v>462900</v>
      </c>
      <c r="H135" s="22">
        <v>762700</v>
      </c>
      <c r="I135" s="22">
        <v>648300</v>
      </c>
      <c r="J135" s="22">
        <v>604800</v>
      </c>
      <c r="K135" s="22">
        <v>437100</v>
      </c>
      <c r="L135" s="22">
        <v>970900</v>
      </c>
      <c r="M135" s="22">
        <v>1022600</v>
      </c>
      <c r="N135" s="22">
        <v>535500</v>
      </c>
      <c r="O135" s="22">
        <v>539400</v>
      </c>
      <c r="P135" s="22">
        <v>320400</v>
      </c>
      <c r="Q135" s="22">
        <v>430600</v>
      </c>
      <c r="R135" s="22">
        <v>354500</v>
      </c>
      <c r="S135" s="22">
        <v>538100</v>
      </c>
      <c r="T135" s="22">
        <v>491500</v>
      </c>
      <c r="U135" s="22">
        <v>500300</v>
      </c>
      <c r="V135" s="22">
        <v>909400</v>
      </c>
      <c r="W135" s="22">
        <v>1062400</v>
      </c>
      <c r="X135" s="22">
        <v>644700</v>
      </c>
      <c r="Y135" s="22">
        <v>772200</v>
      </c>
      <c r="Z135" s="22">
        <v>921600</v>
      </c>
      <c r="AA135" s="22">
        <v>991800</v>
      </c>
      <c r="AB135" s="22">
        <v>700300</v>
      </c>
      <c r="AC135" s="22">
        <v>641600</v>
      </c>
      <c r="AD135" s="22">
        <v>953300</v>
      </c>
      <c r="AE135" s="22">
        <v>1058500</v>
      </c>
      <c r="AF135" s="22">
        <v>1380600</v>
      </c>
      <c r="AG135" s="22">
        <v>616300</v>
      </c>
      <c r="AH135" s="22">
        <v>958900</v>
      </c>
      <c r="AI135" s="22">
        <v>1362800</v>
      </c>
      <c r="AJ135" s="22">
        <v>1662100</v>
      </c>
      <c r="AK135" s="22">
        <v>2307500</v>
      </c>
      <c r="AL135" s="22">
        <v>2114600</v>
      </c>
      <c r="AM135" s="22">
        <v>1729600</v>
      </c>
      <c r="AN135" s="22">
        <v>1857300</v>
      </c>
      <c r="AO135" s="22">
        <v>2016000</v>
      </c>
      <c r="AP135" s="22">
        <v>3268000</v>
      </c>
      <c r="AQ135" s="22">
        <v>3416700</v>
      </c>
      <c r="AR135" s="22">
        <v>1907700</v>
      </c>
      <c r="AS135" s="22">
        <v>3731300</v>
      </c>
      <c r="AT135" s="22">
        <v>2649800</v>
      </c>
      <c r="AU135" s="22">
        <v>3926300</v>
      </c>
      <c r="AV135" s="22">
        <v>8017800</v>
      </c>
      <c r="AW135" s="22">
        <v>767100</v>
      </c>
      <c r="AX135" s="22">
        <v>767100</v>
      </c>
      <c r="AY135" s="22">
        <v>5287100</v>
      </c>
      <c r="AZ135" s="22">
        <v>5564700</v>
      </c>
      <c r="BA135" s="22">
        <v>11766500</v>
      </c>
      <c r="BB135" s="22">
        <v>4527000</v>
      </c>
      <c r="BC135" s="22">
        <v>2891400</v>
      </c>
      <c r="BD135" s="22">
        <v>4855100</v>
      </c>
      <c r="BE135" s="22">
        <v>18732200</v>
      </c>
      <c r="BF135" s="22">
        <v>11468100</v>
      </c>
      <c r="BG135" s="22">
        <v>5941300</v>
      </c>
      <c r="BH135" s="22">
        <v>997400</v>
      </c>
      <c r="BI135" s="22">
        <v>1237700</v>
      </c>
      <c r="BJ135" s="22">
        <v>1169800</v>
      </c>
      <c r="BK135" s="22">
        <v>2020400</v>
      </c>
      <c r="BL135" s="22">
        <v>2466500</v>
      </c>
      <c r="BM135" s="1">
        <v>3716800</v>
      </c>
      <c r="BN135" s="1">
        <v>2477300</v>
      </c>
      <c r="BO135" s="1">
        <v>1101600</v>
      </c>
      <c r="BP135" s="1">
        <v>951200</v>
      </c>
    </row>
    <row r="136" spans="1:68" ht="15.9" customHeight="1">
      <c r="A136" s="396" t="s">
        <v>267</v>
      </c>
      <c r="B136" s="49" t="s">
        <v>268</v>
      </c>
      <c r="C136" s="53" t="str">
        <f>_xll.RssMarket("7794","出来高")</f>
        <v/>
      </c>
      <c r="D136" s="205" t="e">
        <f t="shared" si="2"/>
        <v>#VALUE!</v>
      </c>
      <c r="E136" s="203">
        <v>472900</v>
      </c>
      <c r="F136" s="22">
        <v>250900</v>
      </c>
      <c r="G136" s="22">
        <v>351600</v>
      </c>
      <c r="H136" s="22">
        <v>354000</v>
      </c>
      <c r="I136" s="22">
        <v>243500</v>
      </c>
      <c r="J136" s="22">
        <v>242200</v>
      </c>
      <c r="K136" s="22">
        <v>222800</v>
      </c>
      <c r="L136" s="22">
        <v>326700</v>
      </c>
      <c r="M136" s="22">
        <v>421400</v>
      </c>
      <c r="N136" s="22">
        <v>279000</v>
      </c>
      <c r="O136" s="22">
        <v>364600</v>
      </c>
      <c r="P136" s="22">
        <v>483600</v>
      </c>
      <c r="Q136" s="22">
        <v>896600</v>
      </c>
      <c r="R136" s="22">
        <v>1070100</v>
      </c>
      <c r="S136" s="22">
        <v>184000</v>
      </c>
      <c r="T136" s="22">
        <v>238100</v>
      </c>
      <c r="U136" s="22">
        <v>324600</v>
      </c>
      <c r="V136" s="22">
        <v>322200</v>
      </c>
      <c r="W136" s="22">
        <v>768700</v>
      </c>
      <c r="X136" s="22">
        <v>249900</v>
      </c>
      <c r="Y136" s="22">
        <v>239500</v>
      </c>
      <c r="Z136" s="22">
        <v>237400</v>
      </c>
      <c r="AA136" s="22">
        <v>154800</v>
      </c>
      <c r="AB136" s="22">
        <v>191400</v>
      </c>
      <c r="AC136" s="22">
        <v>216800</v>
      </c>
      <c r="AD136" s="22">
        <v>252200</v>
      </c>
      <c r="AE136" s="22">
        <v>672800</v>
      </c>
      <c r="AF136" s="22">
        <v>537700</v>
      </c>
      <c r="AG136" s="22">
        <v>718500</v>
      </c>
      <c r="AH136" s="22">
        <v>559200</v>
      </c>
      <c r="AI136" s="22">
        <v>600500</v>
      </c>
      <c r="AJ136" s="22">
        <v>1514100</v>
      </c>
      <c r="AK136" s="22">
        <v>5140300</v>
      </c>
      <c r="AL136" s="22">
        <v>168400</v>
      </c>
      <c r="AM136" s="22">
        <v>268000</v>
      </c>
      <c r="AN136" s="22">
        <v>191500</v>
      </c>
      <c r="AO136" s="22">
        <v>208500</v>
      </c>
      <c r="AP136" s="22">
        <v>280700</v>
      </c>
      <c r="AQ136" s="22">
        <v>231200</v>
      </c>
      <c r="AR136" s="22">
        <v>316000</v>
      </c>
      <c r="AS136" s="22">
        <v>386400</v>
      </c>
      <c r="AT136" s="22">
        <v>1142100</v>
      </c>
      <c r="AU136" s="22">
        <v>320900</v>
      </c>
      <c r="AV136" s="22">
        <v>401100</v>
      </c>
      <c r="AW136" s="22">
        <v>549300</v>
      </c>
      <c r="AX136" s="22">
        <v>549300</v>
      </c>
      <c r="AY136" s="22">
        <v>597200</v>
      </c>
      <c r="AZ136" s="22">
        <v>317600</v>
      </c>
      <c r="BA136" s="22">
        <v>446300</v>
      </c>
      <c r="BB136" s="22">
        <v>441500</v>
      </c>
      <c r="BC136" s="22">
        <v>255000</v>
      </c>
      <c r="BD136" s="22">
        <v>578400</v>
      </c>
      <c r="BE136" s="22">
        <v>715700</v>
      </c>
      <c r="BF136" s="22">
        <v>884300</v>
      </c>
      <c r="BG136" s="22">
        <v>2651800</v>
      </c>
      <c r="BH136" s="22">
        <v>3163100</v>
      </c>
      <c r="BI136" s="22">
        <v>1875100</v>
      </c>
      <c r="BJ136" s="22">
        <v>728700</v>
      </c>
      <c r="BK136" s="22">
        <v>481800</v>
      </c>
      <c r="BL136" s="22">
        <v>366300</v>
      </c>
      <c r="BM136" s="1">
        <v>303600</v>
      </c>
      <c r="BN136" s="1">
        <v>214200</v>
      </c>
      <c r="BO136" s="1">
        <v>348800</v>
      </c>
      <c r="BP136" s="1">
        <v>294600</v>
      </c>
    </row>
    <row r="137" spans="1:68" ht="15.9" customHeight="1">
      <c r="A137" s="396" t="s">
        <v>269</v>
      </c>
      <c r="B137" s="49" t="s">
        <v>270</v>
      </c>
      <c r="C137" s="53" t="str">
        <f>_xll.RssMarket("6085","出来高")</f>
        <v/>
      </c>
      <c r="D137" s="205" t="e">
        <f t="shared" si="2"/>
        <v>#VALUE!</v>
      </c>
      <c r="E137" s="203">
        <v>3927800</v>
      </c>
      <c r="F137" s="22">
        <v>3055700</v>
      </c>
      <c r="G137" s="22">
        <v>1478300</v>
      </c>
      <c r="H137" s="22">
        <v>4029300</v>
      </c>
      <c r="I137" s="22">
        <v>1554200</v>
      </c>
      <c r="J137" s="22">
        <v>2547600</v>
      </c>
      <c r="K137" s="22">
        <v>3543000</v>
      </c>
      <c r="L137" s="22">
        <v>5095200</v>
      </c>
      <c r="M137" s="22">
        <v>4881800</v>
      </c>
      <c r="N137" s="22">
        <v>3675900</v>
      </c>
      <c r="O137" s="22">
        <v>1890600</v>
      </c>
      <c r="P137" s="22">
        <v>2877900</v>
      </c>
      <c r="Q137" s="22">
        <v>1661200</v>
      </c>
      <c r="R137" s="22">
        <v>2602600</v>
      </c>
      <c r="S137" s="22">
        <v>1398900</v>
      </c>
      <c r="T137" s="22">
        <v>1751700</v>
      </c>
      <c r="U137" s="22">
        <v>2968000</v>
      </c>
      <c r="V137" s="22">
        <v>6338500</v>
      </c>
      <c r="W137" s="22">
        <v>5699400</v>
      </c>
      <c r="X137" s="22">
        <v>2117900</v>
      </c>
      <c r="Y137" s="22">
        <v>2541000</v>
      </c>
      <c r="Z137" s="22">
        <v>1747900</v>
      </c>
      <c r="AA137" s="22">
        <v>2216900</v>
      </c>
      <c r="AB137" s="22">
        <v>6084900</v>
      </c>
      <c r="AC137" s="22">
        <v>2333800</v>
      </c>
      <c r="AD137" s="22">
        <v>8186700</v>
      </c>
      <c r="AE137" s="22">
        <v>3742700</v>
      </c>
      <c r="AF137" s="22">
        <v>5772500</v>
      </c>
      <c r="AG137" s="22">
        <v>3686000</v>
      </c>
      <c r="AH137" s="22">
        <v>6303200</v>
      </c>
      <c r="AI137" s="22">
        <v>7411900</v>
      </c>
      <c r="AJ137" s="22">
        <v>4206200</v>
      </c>
      <c r="AK137" s="22">
        <v>6103400</v>
      </c>
      <c r="AL137" s="22">
        <v>6345100</v>
      </c>
      <c r="AM137" s="22">
        <v>3575200</v>
      </c>
      <c r="AN137" s="22">
        <v>2850800</v>
      </c>
      <c r="AO137" s="22">
        <v>3262400</v>
      </c>
      <c r="AP137" s="22">
        <v>3479500</v>
      </c>
      <c r="AQ137" s="22">
        <v>9027300</v>
      </c>
      <c r="AR137" s="22">
        <v>6048100</v>
      </c>
      <c r="AS137" s="22">
        <v>3280400</v>
      </c>
      <c r="AT137" s="22">
        <v>4924100</v>
      </c>
      <c r="AU137" s="22">
        <v>3642000</v>
      </c>
      <c r="AV137" s="22">
        <v>2040500</v>
      </c>
      <c r="AW137" s="22">
        <v>6384100</v>
      </c>
      <c r="AX137" s="22">
        <v>6384100</v>
      </c>
      <c r="AY137" s="22">
        <v>7590600</v>
      </c>
      <c r="AZ137" s="22">
        <v>11750600</v>
      </c>
      <c r="BA137" s="22">
        <v>9487800</v>
      </c>
      <c r="BB137" s="22">
        <v>15236600</v>
      </c>
      <c r="BC137" s="22">
        <v>12643700</v>
      </c>
      <c r="BD137" s="22">
        <v>14044400</v>
      </c>
      <c r="BE137" s="22">
        <v>11925200</v>
      </c>
      <c r="BF137" s="22">
        <v>6019600</v>
      </c>
      <c r="BG137" s="22">
        <v>8562600</v>
      </c>
      <c r="BH137" s="22">
        <v>380600</v>
      </c>
      <c r="BI137" s="22">
        <v>730000</v>
      </c>
      <c r="BJ137" s="22">
        <v>769500</v>
      </c>
      <c r="BK137" s="22">
        <v>693800</v>
      </c>
      <c r="BL137" s="22">
        <v>143700</v>
      </c>
      <c r="BM137" s="1">
        <v>338100</v>
      </c>
      <c r="BN137" s="1">
        <v>487200</v>
      </c>
      <c r="BO137" s="1">
        <v>191400</v>
      </c>
      <c r="BP137" s="1">
        <v>123500</v>
      </c>
    </row>
    <row r="138" spans="1:68" ht="15.9" customHeight="1">
      <c r="A138" s="396" t="s">
        <v>271</v>
      </c>
      <c r="B138" s="49" t="s">
        <v>272</v>
      </c>
      <c r="C138" s="53" t="str">
        <f>_xll.RssMarket("3103","出来高")</f>
        <v/>
      </c>
      <c r="D138" s="205" t="e">
        <f t="shared" si="2"/>
        <v>#VALUE!</v>
      </c>
      <c r="E138" s="203">
        <v>3636800</v>
      </c>
      <c r="F138" s="22">
        <v>2317200</v>
      </c>
      <c r="G138" s="22">
        <v>3186300</v>
      </c>
      <c r="H138" s="22">
        <v>2897400</v>
      </c>
      <c r="I138" s="22">
        <v>2309300</v>
      </c>
      <c r="J138" s="22">
        <v>2792000</v>
      </c>
      <c r="K138" s="22">
        <v>3267600</v>
      </c>
      <c r="L138" s="22">
        <v>3728200</v>
      </c>
      <c r="M138" s="22">
        <v>1541400</v>
      </c>
      <c r="N138" s="22">
        <v>2498300</v>
      </c>
      <c r="O138" s="22">
        <v>1724500</v>
      </c>
      <c r="P138" s="22">
        <v>3354300</v>
      </c>
      <c r="Q138" s="22">
        <v>1761600</v>
      </c>
      <c r="R138" s="22">
        <v>2275500</v>
      </c>
      <c r="S138" s="22">
        <v>2439800</v>
      </c>
      <c r="T138" s="22">
        <v>2867600</v>
      </c>
      <c r="U138" s="22">
        <v>3512400</v>
      </c>
      <c r="V138" s="22">
        <v>5480300</v>
      </c>
      <c r="W138" s="22">
        <v>12259500</v>
      </c>
      <c r="X138" s="22">
        <v>3655900</v>
      </c>
      <c r="Y138" s="22">
        <v>7264100</v>
      </c>
      <c r="Z138" s="22">
        <v>6382500</v>
      </c>
      <c r="AA138" s="22">
        <v>2951600</v>
      </c>
      <c r="AB138" s="22">
        <v>7665500</v>
      </c>
      <c r="AC138" s="22">
        <v>3294400</v>
      </c>
      <c r="AD138" s="22">
        <v>2638100</v>
      </c>
      <c r="AE138" s="22">
        <v>3395900</v>
      </c>
      <c r="AF138" s="22">
        <v>3851200</v>
      </c>
      <c r="AG138" s="22">
        <v>3632100</v>
      </c>
      <c r="AH138" s="22">
        <v>5666600</v>
      </c>
      <c r="AI138" s="22">
        <v>4078200</v>
      </c>
      <c r="AJ138" s="22">
        <v>5487000</v>
      </c>
      <c r="AK138" s="22">
        <v>4299900</v>
      </c>
      <c r="AL138" s="22">
        <v>9322600</v>
      </c>
      <c r="AM138" s="22">
        <v>15160400</v>
      </c>
      <c r="AN138" s="22">
        <v>10056900</v>
      </c>
      <c r="AO138" s="22">
        <v>6802800</v>
      </c>
      <c r="AP138" s="22">
        <v>5444200</v>
      </c>
      <c r="AQ138" s="22">
        <v>10701100</v>
      </c>
      <c r="AR138" s="22">
        <v>23615800</v>
      </c>
      <c r="AS138" s="22">
        <v>635700</v>
      </c>
      <c r="AT138" s="22">
        <v>4604100</v>
      </c>
      <c r="AU138" s="22">
        <v>6142400</v>
      </c>
      <c r="AV138" s="22">
        <v>4007100</v>
      </c>
      <c r="AW138" s="22">
        <v>8345300</v>
      </c>
      <c r="AX138" s="22">
        <v>8345300</v>
      </c>
      <c r="AY138" s="22">
        <v>12981500</v>
      </c>
      <c r="AZ138" s="22">
        <v>16543800</v>
      </c>
      <c r="BA138" s="22">
        <v>10667900</v>
      </c>
      <c r="BB138" s="22">
        <v>17314000</v>
      </c>
      <c r="BC138" s="22">
        <v>15773900</v>
      </c>
      <c r="BD138" s="22">
        <v>14220200</v>
      </c>
      <c r="BE138" s="22">
        <v>15986000</v>
      </c>
      <c r="BF138" s="22">
        <v>22597900</v>
      </c>
      <c r="BG138" s="22">
        <v>29411100</v>
      </c>
      <c r="BH138" s="22">
        <v>3514600</v>
      </c>
      <c r="BI138" s="22">
        <v>14402100</v>
      </c>
      <c r="BJ138" s="22">
        <v>38468100</v>
      </c>
      <c r="BK138" s="22">
        <v>22762100</v>
      </c>
      <c r="BL138" s="22">
        <v>56226400</v>
      </c>
      <c r="BM138" s="1">
        <v>19606200</v>
      </c>
      <c r="BN138" s="1">
        <v>39395300</v>
      </c>
      <c r="BO138" s="1">
        <v>23843100</v>
      </c>
      <c r="BP138" s="1">
        <v>5549400</v>
      </c>
    </row>
    <row r="139" spans="1:68" ht="15.9" customHeight="1">
      <c r="A139" s="396" t="s">
        <v>273</v>
      </c>
      <c r="B139" s="49" t="s">
        <v>274</v>
      </c>
      <c r="C139" s="53" t="str">
        <f>_xll.RssMarket("4422","出来高")</f>
        <v/>
      </c>
      <c r="D139" s="205" t="e">
        <f t="shared" si="2"/>
        <v>#VALUE!</v>
      </c>
      <c r="E139" s="203">
        <v>105900</v>
      </c>
      <c r="F139" s="22">
        <v>66500</v>
      </c>
      <c r="G139" s="22">
        <v>41900</v>
      </c>
      <c r="H139" s="22">
        <v>87400</v>
      </c>
      <c r="I139" s="22">
        <v>39500</v>
      </c>
      <c r="J139" s="22">
        <v>77900</v>
      </c>
      <c r="K139" s="22">
        <v>79200</v>
      </c>
      <c r="L139" s="22">
        <v>163800</v>
      </c>
      <c r="M139" s="22">
        <v>91800</v>
      </c>
      <c r="N139" s="22">
        <v>66300</v>
      </c>
      <c r="O139" s="22">
        <v>58600</v>
      </c>
      <c r="P139" s="22">
        <v>80500</v>
      </c>
      <c r="Q139" s="22">
        <v>56800</v>
      </c>
      <c r="R139" s="22">
        <v>144000</v>
      </c>
      <c r="S139" s="22">
        <v>118700</v>
      </c>
      <c r="T139" s="22">
        <v>126300</v>
      </c>
      <c r="U139" s="22">
        <v>140600</v>
      </c>
      <c r="V139" s="22">
        <v>90700</v>
      </c>
      <c r="W139" s="22">
        <v>82900</v>
      </c>
      <c r="X139" s="22">
        <v>111100</v>
      </c>
      <c r="Y139" s="22">
        <v>137000</v>
      </c>
      <c r="Z139" s="22">
        <v>243000</v>
      </c>
      <c r="AA139" s="22">
        <v>158400</v>
      </c>
      <c r="AB139" s="22">
        <v>647000</v>
      </c>
      <c r="AC139" s="22">
        <v>641000</v>
      </c>
      <c r="AD139" s="22">
        <v>408100</v>
      </c>
      <c r="AE139" s="22">
        <v>1285400</v>
      </c>
      <c r="AF139" s="22">
        <v>185500</v>
      </c>
      <c r="AG139" s="22">
        <v>75200</v>
      </c>
      <c r="AH139" s="22">
        <v>73100</v>
      </c>
      <c r="AI139" s="22">
        <v>78500</v>
      </c>
      <c r="AJ139" s="22">
        <v>114300</v>
      </c>
      <c r="AK139" s="22">
        <v>112700</v>
      </c>
      <c r="AL139" s="22">
        <v>158700</v>
      </c>
      <c r="AM139" s="22">
        <v>266100</v>
      </c>
      <c r="AN139" s="22">
        <v>139400</v>
      </c>
      <c r="AO139" s="22">
        <v>297300</v>
      </c>
      <c r="AP139" s="22">
        <v>225500</v>
      </c>
      <c r="AQ139" s="22">
        <v>161700</v>
      </c>
      <c r="AR139" s="22">
        <v>169000</v>
      </c>
      <c r="AS139" s="22">
        <v>233700</v>
      </c>
      <c r="AT139" s="22">
        <v>293300</v>
      </c>
      <c r="AU139" s="22">
        <v>578400</v>
      </c>
      <c r="AV139" s="22">
        <v>343000</v>
      </c>
      <c r="AW139" s="22">
        <v>429800</v>
      </c>
      <c r="AX139" s="22">
        <v>429800</v>
      </c>
      <c r="AY139" s="22">
        <v>293200</v>
      </c>
      <c r="AZ139" s="22">
        <v>434700</v>
      </c>
      <c r="BA139" s="22">
        <v>598700</v>
      </c>
      <c r="BB139" s="22">
        <v>371300</v>
      </c>
      <c r="BC139" s="22">
        <v>534500</v>
      </c>
      <c r="BD139" s="22">
        <v>1336300</v>
      </c>
      <c r="BE139" s="22">
        <v>4025000</v>
      </c>
      <c r="BF139" s="22">
        <v>2677000</v>
      </c>
      <c r="BG139" s="22">
        <v>1272300</v>
      </c>
      <c r="BH139" s="22">
        <v>2627000</v>
      </c>
      <c r="BI139" s="22">
        <v>4029000</v>
      </c>
      <c r="BJ139" s="22">
        <v>3731800</v>
      </c>
      <c r="BK139" s="22">
        <v>572000</v>
      </c>
      <c r="BL139" s="22">
        <v>1949600</v>
      </c>
      <c r="BM139" s="1">
        <v>3452900</v>
      </c>
      <c r="BN139" s="1">
        <v>208800</v>
      </c>
      <c r="BO139" s="1">
        <v>2974500</v>
      </c>
      <c r="BP139" s="1">
        <v>840000</v>
      </c>
    </row>
    <row r="140" spans="1:68" ht="15.9" customHeight="1">
      <c r="A140" s="396" t="s">
        <v>275</v>
      </c>
      <c r="B140" s="49" t="s">
        <v>276</v>
      </c>
      <c r="C140" s="53" t="str">
        <f>_xll.RssMarket("6740","出来高")</f>
        <v/>
      </c>
      <c r="D140" s="205" t="e">
        <f t="shared" si="2"/>
        <v>#VALUE!</v>
      </c>
      <c r="E140" s="203">
        <v>33377400</v>
      </c>
      <c r="F140" s="22">
        <v>14627300</v>
      </c>
      <c r="G140" s="22">
        <v>20550900</v>
      </c>
      <c r="H140" s="22">
        <v>20807200</v>
      </c>
      <c r="I140" s="22">
        <v>49186900</v>
      </c>
      <c r="J140" s="22">
        <v>35542700</v>
      </c>
      <c r="K140" s="22">
        <v>30689000</v>
      </c>
      <c r="L140" s="22">
        <v>33247600</v>
      </c>
      <c r="M140" s="22">
        <v>56564100</v>
      </c>
      <c r="N140" s="22">
        <v>32992500</v>
      </c>
      <c r="O140" s="22">
        <v>38938800</v>
      </c>
      <c r="P140" s="22">
        <v>14280700</v>
      </c>
      <c r="Q140" s="22">
        <v>72380100</v>
      </c>
      <c r="R140" s="22">
        <v>92256300</v>
      </c>
      <c r="S140" s="22">
        <v>82725600</v>
      </c>
      <c r="T140" s="22">
        <v>126015700</v>
      </c>
      <c r="U140" s="22">
        <v>88839700</v>
      </c>
      <c r="V140" s="22">
        <v>101924000</v>
      </c>
      <c r="W140" s="22">
        <v>122272500</v>
      </c>
      <c r="X140" s="22">
        <v>94641300</v>
      </c>
      <c r="Y140" s="22">
        <v>88962200</v>
      </c>
      <c r="Z140" s="22">
        <v>38359900</v>
      </c>
      <c r="AA140" s="22">
        <v>81570400</v>
      </c>
      <c r="AB140" s="22">
        <v>83888000</v>
      </c>
      <c r="AC140" s="22">
        <v>21777300</v>
      </c>
      <c r="AD140" s="22">
        <v>81595000</v>
      </c>
      <c r="AE140" s="22">
        <v>70580100</v>
      </c>
      <c r="AF140" s="22">
        <v>88068300</v>
      </c>
      <c r="AG140" s="22">
        <v>71927400</v>
      </c>
      <c r="AH140" s="22">
        <v>73229600</v>
      </c>
      <c r="AI140" s="22">
        <v>30508500</v>
      </c>
      <c r="AJ140" s="22">
        <v>85703300</v>
      </c>
      <c r="AK140" s="22">
        <v>71762100</v>
      </c>
      <c r="AL140" s="22">
        <v>29733900</v>
      </c>
      <c r="AM140" s="22">
        <v>59768300</v>
      </c>
      <c r="AN140" s="22">
        <v>72733800</v>
      </c>
      <c r="AO140" s="22">
        <v>74578500</v>
      </c>
      <c r="AP140" s="22">
        <v>65535900</v>
      </c>
      <c r="AQ140" s="22">
        <v>56814500</v>
      </c>
      <c r="AR140" s="22">
        <v>60043300</v>
      </c>
      <c r="AS140" s="22">
        <v>105673800</v>
      </c>
      <c r="AT140" s="22">
        <v>58783800</v>
      </c>
      <c r="AU140" s="22">
        <v>59422600</v>
      </c>
      <c r="AV140" s="22">
        <v>49363400</v>
      </c>
      <c r="AW140" s="22">
        <v>31333900</v>
      </c>
      <c r="AX140" s="22">
        <v>31333900</v>
      </c>
      <c r="AY140" s="22">
        <v>64516200</v>
      </c>
      <c r="AZ140" s="22">
        <v>35449100</v>
      </c>
      <c r="BA140" s="22">
        <v>120637600</v>
      </c>
      <c r="BB140" s="22">
        <v>286306400</v>
      </c>
      <c r="BC140" s="22">
        <v>42542100</v>
      </c>
      <c r="BD140" s="22">
        <v>57519300</v>
      </c>
      <c r="BE140" s="22">
        <v>54684500</v>
      </c>
      <c r="BF140" s="22">
        <v>60890200</v>
      </c>
      <c r="BG140" s="22">
        <v>51605500</v>
      </c>
      <c r="BH140" s="22">
        <v>101220300</v>
      </c>
      <c r="BI140" s="22">
        <v>117693100</v>
      </c>
      <c r="BJ140" s="22">
        <v>113528900</v>
      </c>
      <c r="BK140" s="22">
        <v>139485900</v>
      </c>
      <c r="BL140" s="22">
        <v>89688100</v>
      </c>
      <c r="BM140" s="1">
        <v>92525400</v>
      </c>
      <c r="BN140" s="1">
        <v>65724300</v>
      </c>
      <c r="BO140" s="1">
        <v>90051300</v>
      </c>
      <c r="BP140" s="1">
        <v>71728900</v>
      </c>
    </row>
    <row r="141" spans="1:68" ht="15.9" customHeight="1">
      <c r="A141" s="396" t="s">
        <v>277</v>
      </c>
      <c r="B141" s="49" t="s">
        <v>278</v>
      </c>
      <c r="C141" s="53" t="str">
        <f>_xll.RssMarket("6613","出来高")</f>
        <v/>
      </c>
      <c r="D141" s="205" t="e">
        <f t="shared" si="2"/>
        <v>#VALUE!</v>
      </c>
      <c r="E141" s="203">
        <v>6741400</v>
      </c>
      <c r="F141" s="22">
        <v>1055900</v>
      </c>
      <c r="G141" s="22">
        <v>1834200</v>
      </c>
      <c r="H141" s="22">
        <v>5622800</v>
      </c>
      <c r="I141" s="22">
        <v>1232100</v>
      </c>
      <c r="J141" s="22">
        <v>1263400</v>
      </c>
      <c r="K141" s="22">
        <v>1938400</v>
      </c>
      <c r="L141" s="22">
        <v>1684300</v>
      </c>
      <c r="M141" s="22">
        <v>4010100</v>
      </c>
      <c r="N141" s="22">
        <v>3256100</v>
      </c>
      <c r="O141" s="22">
        <v>2303000</v>
      </c>
      <c r="P141" s="22">
        <v>2044300</v>
      </c>
      <c r="Q141" s="22">
        <v>2559700</v>
      </c>
      <c r="R141" s="22">
        <v>4119000</v>
      </c>
      <c r="S141" s="22">
        <v>7652200</v>
      </c>
      <c r="T141" s="22">
        <v>7253000</v>
      </c>
      <c r="U141" s="22">
        <v>6174200</v>
      </c>
      <c r="V141" s="22">
        <v>10261400</v>
      </c>
      <c r="W141" s="22">
        <v>1676400</v>
      </c>
      <c r="X141" s="22">
        <v>4760200</v>
      </c>
      <c r="Y141" s="22">
        <v>4778100</v>
      </c>
      <c r="Z141" s="22">
        <v>4464000</v>
      </c>
      <c r="AA141" s="22">
        <v>3641400</v>
      </c>
      <c r="AB141" s="22">
        <v>7206800</v>
      </c>
      <c r="AC141" s="22">
        <v>5654700</v>
      </c>
      <c r="AD141" s="22">
        <v>4275000</v>
      </c>
      <c r="AE141" s="22">
        <v>3703900</v>
      </c>
      <c r="AF141" s="22">
        <v>2707400</v>
      </c>
      <c r="AG141" s="22">
        <v>2977900</v>
      </c>
      <c r="AH141" s="22">
        <v>5276300</v>
      </c>
      <c r="AI141" s="22">
        <v>9333700</v>
      </c>
      <c r="AJ141" s="22">
        <v>6206100</v>
      </c>
      <c r="AK141" s="22">
        <v>10123800</v>
      </c>
      <c r="AL141" s="22">
        <v>8264500</v>
      </c>
      <c r="AM141" s="22">
        <v>10945800</v>
      </c>
      <c r="AN141" s="22">
        <v>22249700</v>
      </c>
      <c r="AO141" s="22">
        <v>28238900</v>
      </c>
      <c r="AP141" s="22">
        <v>28690800</v>
      </c>
      <c r="AQ141" s="22">
        <v>31866100</v>
      </c>
      <c r="AR141" s="22">
        <v>14634700</v>
      </c>
      <c r="AS141" s="22">
        <v>13178900</v>
      </c>
      <c r="AT141" s="22">
        <v>3773000</v>
      </c>
      <c r="AU141" s="22">
        <v>3198400</v>
      </c>
      <c r="AV141" s="22">
        <v>7128600</v>
      </c>
      <c r="AW141" s="22">
        <v>12306600</v>
      </c>
      <c r="AX141" s="22">
        <v>21634400</v>
      </c>
      <c r="AY141" s="22">
        <v>6866100</v>
      </c>
      <c r="AZ141" s="22">
        <v>6150200</v>
      </c>
      <c r="BA141" s="22">
        <v>4011900</v>
      </c>
      <c r="BB141" s="22">
        <v>4160600</v>
      </c>
      <c r="BC141" s="22">
        <v>9398000</v>
      </c>
      <c r="BD141" s="22">
        <v>5229600</v>
      </c>
      <c r="BE141" s="22">
        <v>15724700</v>
      </c>
      <c r="BF141" s="22">
        <v>10711900</v>
      </c>
      <c r="BG141" s="22">
        <v>23584500</v>
      </c>
      <c r="BH141" s="22">
        <v>10246600</v>
      </c>
      <c r="BI141" s="22">
        <v>5674400</v>
      </c>
      <c r="BJ141" s="22">
        <v>12719600</v>
      </c>
      <c r="BK141" s="22">
        <v>12781300</v>
      </c>
      <c r="BL141" s="22">
        <v>27264300</v>
      </c>
      <c r="BM141" s="1">
        <v>10198100</v>
      </c>
      <c r="BN141" s="1">
        <v>7010600</v>
      </c>
      <c r="BO141" s="1">
        <v>3332200</v>
      </c>
      <c r="BP141" s="1">
        <v>5049900</v>
      </c>
    </row>
    <row r="142" spans="1:68" ht="15.9" customHeight="1">
      <c r="A142" s="396" t="s">
        <v>279</v>
      </c>
      <c r="B142" s="49" t="str">
        <f>銘柄管理!C142</f>
        <v/>
      </c>
      <c r="C142" s="53" t="str">
        <f>_xll.RssMarket("4568","出来高")</f>
        <v/>
      </c>
      <c r="D142" s="205" t="e">
        <f t="shared" si="2"/>
        <v>#VALUE!</v>
      </c>
      <c r="E142" s="22">
        <v>7631200</v>
      </c>
      <c r="F142" s="22">
        <v>4674100</v>
      </c>
      <c r="G142" s="22">
        <v>5049200</v>
      </c>
      <c r="H142" s="22">
        <v>4511500</v>
      </c>
      <c r="I142" s="22">
        <v>6031100</v>
      </c>
      <c r="J142" s="22">
        <v>4418900</v>
      </c>
      <c r="K142" s="22">
        <v>6159900</v>
      </c>
      <c r="L142" s="22">
        <v>7719700</v>
      </c>
      <c r="M142" s="22">
        <v>11572800</v>
      </c>
      <c r="N142" s="22">
        <v>13927700</v>
      </c>
      <c r="O142" s="22">
        <v>4718800</v>
      </c>
      <c r="P142" s="22">
        <v>3948600</v>
      </c>
      <c r="Q142" s="22">
        <v>6414200</v>
      </c>
      <c r="R142" s="22">
        <v>6823900</v>
      </c>
      <c r="S142" s="22">
        <v>3877100</v>
      </c>
      <c r="T142" s="22">
        <v>4569200</v>
      </c>
      <c r="U142" s="22">
        <v>5119400</v>
      </c>
      <c r="V142" s="22">
        <v>4870400</v>
      </c>
      <c r="W142" s="22">
        <v>4584300</v>
      </c>
      <c r="X142" s="22">
        <v>12977700</v>
      </c>
      <c r="Y142" s="22">
        <v>8994100</v>
      </c>
      <c r="Z142" s="22">
        <v>7992100</v>
      </c>
      <c r="AA142" s="22">
        <v>5513800</v>
      </c>
      <c r="AB142" s="22">
        <v>7587700</v>
      </c>
      <c r="AC142" s="22">
        <v>6121800</v>
      </c>
      <c r="AD142" s="22">
        <v>8162700</v>
      </c>
      <c r="AE142" s="22">
        <v>7893600</v>
      </c>
      <c r="AF142" s="22">
        <v>12276100</v>
      </c>
      <c r="AG142" s="22">
        <v>13801100</v>
      </c>
      <c r="AH142" s="22">
        <v>7367200</v>
      </c>
      <c r="AI142" s="22">
        <v>7108300</v>
      </c>
      <c r="AJ142" s="22">
        <v>19725400</v>
      </c>
      <c r="AK142" s="22">
        <v>6353800</v>
      </c>
      <c r="AL142" s="22">
        <v>6112300</v>
      </c>
      <c r="AM142" s="22">
        <v>7149800</v>
      </c>
      <c r="AN142" s="22">
        <v>5618500</v>
      </c>
      <c r="AO142" s="22">
        <v>6512900</v>
      </c>
      <c r="AP142" s="22">
        <v>8039200</v>
      </c>
      <c r="AQ142" s="22">
        <v>8106600</v>
      </c>
      <c r="AR142" s="22">
        <v>5616100</v>
      </c>
      <c r="AS142" s="22">
        <v>8793800</v>
      </c>
      <c r="AT142" s="22">
        <v>10516700</v>
      </c>
      <c r="AU142" s="22">
        <v>7061800</v>
      </c>
      <c r="AV142" s="22">
        <v>13241500</v>
      </c>
      <c r="AW142" s="22">
        <v>11532500</v>
      </c>
      <c r="AX142" s="22">
        <v>12477400</v>
      </c>
      <c r="AY142" s="22">
        <v>14251700</v>
      </c>
      <c r="AZ142" s="22">
        <v>7940900</v>
      </c>
      <c r="BA142" s="22">
        <v>10441900</v>
      </c>
      <c r="BB142" s="22">
        <v>13321300</v>
      </c>
      <c r="BC142" s="22">
        <v>16617200</v>
      </c>
      <c r="BD142" s="22">
        <v>25238300</v>
      </c>
      <c r="BE142" s="22">
        <v>6290000</v>
      </c>
      <c r="BF142" s="22">
        <v>6375400</v>
      </c>
      <c r="BG142" s="22">
        <v>5436700</v>
      </c>
      <c r="BH142" s="22">
        <v>7280300</v>
      </c>
      <c r="BI142" s="22">
        <v>7592100</v>
      </c>
      <c r="BJ142" s="22">
        <v>11121300</v>
      </c>
      <c r="BK142" s="22">
        <v>13364600</v>
      </c>
      <c r="BL142" s="22">
        <v>7573500</v>
      </c>
      <c r="BM142" s="1">
        <v>6100000</v>
      </c>
      <c r="BN142" s="1">
        <v>8133100</v>
      </c>
      <c r="BO142" s="1">
        <v>7428200</v>
      </c>
      <c r="BP142" s="1">
        <v>8203000</v>
      </c>
    </row>
    <row r="143" spans="1:68" ht="15.9" customHeight="1">
      <c r="A143" s="396" t="s">
        <v>280</v>
      </c>
      <c r="B143" s="49" t="s">
        <v>281</v>
      </c>
      <c r="C143" s="53" t="str">
        <f>_xll.RssMarket("6522","出来高")</f>
        <v/>
      </c>
      <c r="D143" s="16" t="e">
        <f t="shared" si="2"/>
        <v>#VALUE!</v>
      </c>
      <c r="E143" s="22">
        <v>1174100</v>
      </c>
      <c r="F143" s="22">
        <v>1125500</v>
      </c>
      <c r="G143" s="22">
        <v>981000</v>
      </c>
      <c r="H143" s="22">
        <v>2539700</v>
      </c>
      <c r="I143" s="22">
        <v>3006600</v>
      </c>
      <c r="J143" s="22">
        <v>4077200</v>
      </c>
      <c r="K143" s="22">
        <v>10815000</v>
      </c>
      <c r="L143" s="22">
        <v>68000</v>
      </c>
      <c r="M143" s="22">
        <v>2898900</v>
      </c>
      <c r="N143" s="22">
        <v>9809500</v>
      </c>
      <c r="O143" s="22">
        <v>3872600</v>
      </c>
      <c r="P143" s="22">
        <v>7011100</v>
      </c>
      <c r="Q143" s="22">
        <v>538400</v>
      </c>
      <c r="R143" s="22">
        <v>296900</v>
      </c>
      <c r="S143" s="22">
        <v>1267600</v>
      </c>
      <c r="T143" s="22">
        <v>731400</v>
      </c>
      <c r="U143" s="22">
        <v>2738300</v>
      </c>
      <c r="V143" s="22">
        <v>2693500</v>
      </c>
      <c r="W143" s="22">
        <v>6497200</v>
      </c>
      <c r="X143" s="22">
        <v>3902000</v>
      </c>
      <c r="Y143" s="22">
        <v>875500</v>
      </c>
      <c r="Z143" s="22">
        <v>95600</v>
      </c>
      <c r="AA143" s="22">
        <v>98600</v>
      </c>
      <c r="AB143" s="22">
        <v>292100</v>
      </c>
      <c r="AC143" s="22">
        <v>117000</v>
      </c>
      <c r="AD143" s="22">
        <v>132300</v>
      </c>
      <c r="AE143" s="22">
        <v>184600</v>
      </c>
      <c r="AF143" s="22">
        <v>237200</v>
      </c>
      <c r="AG143" s="22">
        <v>259100</v>
      </c>
      <c r="AH143" s="22">
        <v>392400</v>
      </c>
      <c r="AI143" s="22">
        <v>1195400</v>
      </c>
      <c r="AJ143" s="22">
        <v>368200</v>
      </c>
      <c r="AK143" s="22">
        <v>493700</v>
      </c>
      <c r="AL143" s="22">
        <v>648400</v>
      </c>
      <c r="AM143" s="22">
        <v>236400</v>
      </c>
      <c r="AN143" s="22">
        <v>262800</v>
      </c>
      <c r="AO143" s="22">
        <v>340800</v>
      </c>
      <c r="AP143" s="22">
        <v>267100</v>
      </c>
      <c r="AQ143" s="22">
        <v>271800</v>
      </c>
      <c r="AR143" s="22">
        <v>332700</v>
      </c>
      <c r="AS143" s="22">
        <v>278800</v>
      </c>
      <c r="AT143" s="22">
        <v>353200</v>
      </c>
      <c r="AU143" s="22">
        <v>387200</v>
      </c>
      <c r="AV143" s="22">
        <v>475500</v>
      </c>
      <c r="AW143" s="22">
        <v>466900</v>
      </c>
      <c r="AX143" s="22">
        <v>466900</v>
      </c>
      <c r="AY143" s="22">
        <v>503500</v>
      </c>
      <c r="AZ143" s="22">
        <v>661200</v>
      </c>
      <c r="BA143" s="22">
        <v>982300</v>
      </c>
      <c r="BB143" s="22">
        <v>649500</v>
      </c>
      <c r="BC143" s="22">
        <v>715400</v>
      </c>
      <c r="BD143" s="22">
        <v>1380800</v>
      </c>
      <c r="BE143" s="22">
        <v>2718900</v>
      </c>
      <c r="BF143" s="22">
        <v>1585600</v>
      </c>
      <c r="BG143" s="22">
        <v>6125400</v>
      </c>
      <c r="BH143" s="22">
        <v>6645200</v>
      </c>
      <c r="BI143" s="22">
        <v>1375000</v>
      </c>
      <c r="BJ143" s="22">
        <v>1326200</v>
      </c>
      <c r="BK143" s="22">
        <v>1251800</v>
      </c>
      <c r="BL143" s="22">
        <v>2360100</v>
      </c>
      <c r="BM143" s="1">
        <v>524600</v>
      </c>
      <c r="BN143" s="1">
        <v>523000</v>
      </c>
      <c r="BO143" s="1">
        <v>739000</v>
      </c>
      <c r="BP143" s="1">
        <v>1104300</v>
      </c>
    </row>
    <row r="144" spans="1:68" ht="15.9" customHeight="1">
      <c r="A144" s="396" t="s">
        <v>282</v>
      </c>
      <c r="B144" s="49" t="s">
        <v>283</v>
      </c>
      <c r="C144" s="53" t="str">
        <f>_xll.RssMarket("6777","出来高")</f>
        <v/>
      </c>
      <c r="D144" s="16" t="e">
        <f t="shared" si="2"/>
        <v>#VALUE!</v>
      </c>
      <c r="E144" s="22">
        <v>175500</v>
      </c>
      <c r="F144" s="22">
        <v>125000</v>
      </c>
      <c r="G144" s="22">
        <v>115300</v>
      </c>
      <c r="H144" s="22">
        <v>140100</v>
      </c>
      <c r="I144" s="22">
        <v>82200</v>
      </c>
      <c r="J144" s="22">
        <v>95000</v>
      </c>
      <c r="K144" s="22">
        <v>239400</v>
      </c>
      <c r="L144" s="22">
        <v>146300</v>
      </c>
      <c r="M144" s="22">
        <v>116400</v>
      </c>
      <c r="N144" s="22">
        <v>153900</v>
      </c>
      <c r="O144" s="22">
        <v>116900</v>
      </c>
      <c r="P144" s="22">
        <v>103400</v>
      </c>
      <c r="Q144" s="22">
        <v>62300</v>
      </c>
      <c r="R144" s="22">
        <v>149700</v>
      </c>
      <c r="S144" s="22">
        <v>112100</v>
      </c>
      <c r="T144" s="22">
        <v>121400</v>
      </c>
      <c r="U144" s="22">
        <v>129600</v>
      </c>
      <c r="V144" s="22">
        <v>138400</v>
      </c>
      <c r="W144" s="22">
        <v>195800</v>
      </c>
      <c r="X144" s="22">
        <v>261600</v>
      </c>
      <c r="Y144" s="22">
        <v>161800</v>
      </c>
      <c r="Z144" s="22">
        <v>118600</v>
      </c>
      <c r="AA144" s="22">
        <v>196200</v>
      </c>
      <c r="AB144" s="22">
        <v>164700</v>
      </c>
      <c r="AC144" s="22">
        <v>104700</v>
      </c>
      <c r="AD144" s="22">
        <v>171500</v>
      </c>
      <c r="AE144" s="22">
        <v>208400</v>
      </c>
      <c r="AF144" s="22">
        <v>90900</v>
      </c>
      <c r="AG144" s="22">
        <v>119300</v>
      </c>
      <c r="AH144" s="22">
        <v>276300</v>
      </c>
      <c r="AI144" s="22">
        <v>175000</v>
      </c>
      <c r="AJ144" s="22">
        <v>344300</v>
      </c>
      <c r="AK144" s="22">
        <v>158900</v>
      </c>
      <c r="AL144" s="22">
        <v>223200</v>
      </c>
      <c r="AM144" s="22">
        <v>217500</v>
      </c>
      <c r="AN144" s="22">
        <v>153800</v>
      </c>
      <c r="AO144" s="22">
        <v>210200</v>
      </c>
      <c r="AP144" s="22">
        <v>205600</v>
      </c>
      <c r="AQ144" s="22">
        <v>338700</v>
      </c>
      <c r="AR144" s="22">
        <v>478000</v>
      </c>
      <c r="AS144" s="22">
        <v>231900</v>
      </c>
      <c r="AT144" s="22">
        <v>274700</v>
      </c>
      <c r="AU144" s="22">
        <v>266800</v>
      </c>
      <c r="AV144" s="22">
        <v>503200</v>
      </c>
      <c r="AW144" s="22">
        <v>177700</v>
      </c>
      <c r="AX144" s="22">
        <v>177700</v>
      </c>
      <c r="AY144" s="22">
        <v>220700</v>
      </c>
      <c r="AZ144" s="22">
        <v>265500</v>
      </c>
      <c r="BA144" s="22">
        <v>128100</v>
      </c>
      <c r="BB144" s="22">
        <v>138700</v>
      </c>
      <c r="BC144" s="22">
        <v>168700</v>
      </c>
      <c r="BD144" s="22">
        <v>276800</v>
      </c>
      <c r="BE144" s="22">
        <v>442400</v>
      </c>
      <c r="BF144" s="22">
        <v>676100</v>
      </c>
      <c r="BG144" s="22">
        <v>297500</v>
      </c>
      <c r="BH144" s="22">
        <v>358200</v>
      </c>
      <c r="BI144" s="22">
        <v>614900</v>
      </c>
      <c r="BJ144" s="22">
        <v>321500</v>
      </c>
      <c r="BK144" s="22">
        <v>203700</v>
      </c>
      <c r="BL144" s="22">
        <v>303100</v>
      </c>
      <c r="BM144" s="1">
        <v>254200</v>
      </c>
      <c r="BN144" s="1">
        <v>368000</v>
      </c>
      <c r="BO144" s="1">
        <v>182100</v>
      </c>
      <c r="BP144" s="1">
        <v>104700</v>
      </c>
    </row>
    <row r="145" spans="1:68" ht="15.9" customHeight="1">
      <c r="A145" s="396" t="s">
        <v>284</v>
      </c>
      <c r="B145" s="49" t="s">
        <v>285</v>
      </c>
      <c r="C145" s="53" t="str">
        <f>_xll.RssMarket("6787","出来高")</f>
        <v/>
      </c>
      <c r="D145" s="16" t="e">
        <f t="shared" si="2"/>
        <v>#VALUE!</v>
      </c>
      <c r="E145" s="22">
        <v>588700</v>
      </c>
      <c r="F145" s="22">
        <v>314400</v>
      </c>
      <c r="G145" s="22">
        <v>358500</v>
      </c>
      <c r="H145" s="22">
        <v>415100</v>
      </c>
      <c r="I145" s="22">
        <v>423100</v>
      </c>
      <c r="J145" s="22">
        <v>487200</v>
      </c>
      <c r="K145" s="22">
        <v>554400</v>
      </c>
      <c r="L145" s="22">
        <v>614600</v>
      </c>
      <c r="M145" s="22">
        <v>507600</v>
      </c>
      <c r="N145" s="22">
        <v>499700</v>
      </c>
      <c r="O145" s="22">
        <v>365600</v>
      </c>
      <c r="P145" s="22">
        <v>611600</v>
      </c>
      <c r="Q145" s="22">
        <v>399500</v>
      </c>
      <c r="R145" s="22">
        <v>516200</v>
      </c>
      <c r="S145" s="22">
        <v>711400</v>
      </c>
      <c r="T145" s="22">
        <v>494300</v>
      </c>
      <c r="U145" s="22">
        <v>506900</v>
      </c>
      <c r="V145" s="22">
        <v>748500</v>
      </c>
      <c r="W145" s="22">
        <v>556300</v>
      </c>
      <c r="X145" s="22">
        <v>916100</v>
      </c>
      <c r="Y145" s="22">
        <v>439200</v>
      </c>
      <c r="Z145" s="22">
        <v>512700</v>
      </c>
      <c r="AA145" s="22">
        <v>1004800</v>
      </c>
      <c r="AB145" s="22">
        <v>525400</v>
      </c>
      <c r="AC145" s="22">
        <v>614900</v>
      </c>
      <c r="AD145" s="22">
        <v>392400</v>
      </c>
      <c r="AE145" s="22">
        <v>347600</v>
      </c>
      <c r="AF145" s="22">
        <v>418600</v>
      </c>
      <c r="AG145" s="22">
        <v>423200</v>
      </c>
      <c r="AH145" s="22">
        <v>370800</v>
      </c>
      <c r="AI145" s="22">
        <v>539200</v>
      </c>
      <c r="AJ145" s="22">
        <v>660800</v>
      </c>
      <c r="AK145" s="22">
        <v>469000</v>
      </c>
      <c r="AL145" s="22">
        <v>573300</v>
      </c>
      <c r="AM145" s="22">
        <v>922200</v>
      </c>
      <c r="AN145" s="22">
        <v>560800</v>
      </c>
      <c r="AO145" s="22">
        <v>717600</v>
      </c>
      <c r="AP145" s="22">
        <v>412700</v>
      </c>
      <c r="AQ145" s="22">
        <v>462800</v>
      </c>
      <c r="AR145" s="22">
        <v>713300</v>
      </c>
      <c r="AS145" s="22">
        <v>1154400</v>
      </c>
      <c r="AT145" s="22">
        <v>154600</v>
      </c>
      <c r="AU145" s="22">
        <v>438300</v>
      </c>
      <c r="AV145" s="22">
        <v>467100</v>
      </c>
      <c r="AW145" s="22">
        <v>368600</v>
      </c>
      <c r="AX145" s="22">
        <v>368600</v>
      </c>
      <c r="AY145" s="22">
        <v>443300</v>
      </c>
      <c r="AZ145" s="22">
        <v>473700</v>
      </c>
      <c r="BA145" s="22">
        <v>310500</v>
      </c>
      <c r="BB145" s="22">
        <v>359900</v>
      </c>
      <c r="BC145" s="22">
        <v>604600</v>
      </c>
      <c r="BD145" s="22">
        <v>461300</v>
      </c>
      <c r="BE145" s="22">
        <v>399800</v>
      </c>
      <c r="BF145" s="22">
        <v>419300</v>
      </c>
      <c r="BG145" s="22">
        <v>499100</v>
      </c>
      <c r="BH145" s="22">
        <v>401700</v>
      </c>
      <c r="BI145" s="22">
        <v>472600</v>
      </c>
      <c r="BJ145" s="22">
        <v>347000</v>
      </c>
      <c r="BK145" s="22">
        <v>348500</v>
      </c>
      <c r="BL145" s="22">
        <v>497700</v>
      </c>
      <c r="BM145" s="1">
        <v>820600</v>
      </c>
      <c r="BN145" s="1">
        <v>715800</v>
      </c>
      <c r="BO145" s="1">
        <v>462900</v>
      </c>
      <c r="BP145" s="1">
        <v>522900</v>
      </c>
    </row>
    <row r="146" spans="1:68" ht="15.9" customHeight="1">
      <c r="A146" s="396" t="s">
        <v>286</v>
      </c>
      <c r="B146" s="49" t="s">
        <v>287</v>
      </c>
      <c r="C146" s="53" t="str">
        <f>_xll.RssMarket("4888","出来高")</f>
        <v/>
      </c>
      <c r="D146" s="16" t="e">
        <f t="shared" si="2"/>
        <v>#VALUE!</v>
      </c>
      <c r="E146" s="22">
        <v>566600</v>
      </c>
      <c r="F146" s="22">
        <v>157800</v>
      </c>
      <c r="G146" s="22">
        <v>120200</v>
      </c>
      <c r="H146" s="22">
        <v>240500</v>
      </c>
      <c r="I146" s="22">
        <v>311600</v>
      </c>
      <c r="J146" s="22">
        <v>95500</v>
      </c>
      <c r="K146" s="22">
        <v>244600</v>
      </c>
      <c r="L146" s="22">
        <v>135800</v>
      </c>
      <c r="M146" s="22">
        <v>265200</v>
      </c>
      <c r="N146" s="22">
        <v>279800</v>
      </c>
      <c r="O146" s="22">
        <v>332600</v>
      </c>
      <c r="P146" s="22">
        <v>348500</v>
      </c>
      <c r="Q146" s="22">
        <v>484300</v>
      </c>
      <c r="R146" s="22">
        <v>226400</v>
      </c>
      <c r="S146" s="22">
        <v>441200</v>
      </c>
      <c r="T146" s="22">
        <v>245100</v>
      </c>
      <c r="U146" s="22">
        <v>193200</v>
      </c>
      <c r="V146" s="22">
        <v>465900</v>
      </c>
      <c r="W146" s="22">
        <v>734800</v>
      </c>
      <c r="X146" s="22">
        <v>1217900</v>
      </c>
      <c r="Y146" s="22">
        <v>2239700</v>
      </c>
      <c r="Z146" s="22">
        <v>331200</v>
      </c>
      <c r="AA146" s="22">
        <v>211100</v>
      </c>
      <c r="AB146" s="22">
        <v>270500</v>
      </c>
      <c r="AC146" s="22">
        <v>382100</v>
      </c>
      <c r="AD146" s="22">
        <v>336500</v>
      </c>
      <c r="AE146" s="22">
        <v>839500</v>
      </c>
      <c r="AF146" s="22">
        <v>180600</v>
      </c>
      <c r="AG146" s="22">
        <v>222100</v>
      </c>
      <c r="AH146" s="22">
        <v>307700</v>
      </c>
      <c r="AI146" s="22">
        <v>423000</v>
      </c>
      <c r="AJ146" s="22">
        <v>749300</v>
      </c>
      <c r="AK146" s="22">
        <v>303800</v>
      </c>
      <c r="AL146" s="22">
        <v>1469800</v>
      </c>
      <c r="AM146" s="22">
        <v>395600</v>
      </c>
      <c r="AN146" s="22">
        <v>673200</v>
      </c>
      <c r="AO146" s="22">
        <v>822600</v>
      </c>
      <c r="AP146" s="22">
        <v>581600</v>
      </c>
      <c r="AQ146" s="22">
        <v>751400</v>
      </c>
      <c r="AR146" s="22">
        <v>2726100</v>
      </c>
      <c r="AS146" s="22">
        <v>860100</v>
      </c>
      <c r="AT146" s="22">
        <v>2031100</v>
      </c>
      <c r="AU146" s="22">
        <v>521800</v>
      </c>
      <c r="AV146" s="22">
        <v>602900</v>
      </c>
      <c r="AW146" s="22">
        <v>1100100</v>
      </c>
      <c r="AX146" s="22">
        <v>1100100</v>
      </c>
      <c r="AY146" s="22">
        <v>345600</v>
      </c>
      <c r="AZ146" s="22">
        <v>616700</v>
      </c>
      <c r="BA146" s="22">
        <v>631800</v>
      </c>
      <c r="BB146" s="22">
        <v>423800</v>
      </c>
      <c r="BC146" s="22">
        <v>754500</v>
      </c>
      <c r="BD146" s="22">
        <v>663000</v>
      </c>
      <c r="BE146" s="22">
        <v>1486000</v>
      </c>
      <c r="BF146" s="22">
        <v>1805200</v>
      </c>
      <c r="BG146" s="22">
        <v>2214400</v>
      </c>
      <c r="BH146" s="22">
        <v>2130400</v>
      </c>
      <c r="BI146" s="22">
        <v>1277500</v>
      </c>
      <c r="BJ146" s="22">
        <v>2219600</v>
      </c>
      <c r="BK146" s="22">
        <v>2740000</v>
      </c>
      <c r="BL146" s="22">
        <v>1390700</v>
      </c>
      <c r="BM146" s="1">
        <v>1327800</v>
      </c>
      <c r="BN146" s="1">
        <v>1494900</v>
      </c>
      <c r="BO146" s="1">
        <v>4120500</v>
      </c>
      <c r="BP146" s="1">
        <v>1107200</v>
      </c>
    </row>
    <row r="147" spans="1:68" ht="15.9" customHeight="1">
      <c r="A147" s="396" t="s">
        <v>288</v>
      </c>
      <c r="B147" s="49" t="s">
        <v>289</v>
      </c>
      <c r="C147" s="53" t="str">
        <f>_xll.RssMarket("6387","出来高")</f>
        <v/>
      </c>
      <c r="D147" s="16" t="e">
        <f t="shared" si="2"/>
        <v>#VALUE!</v>
      </c>
      <c r="E147" s="22">
        <v>133200</v>
      </c>
      <c r="F147" s="22">
        <v>72100</v>
      </c>
      <c r="G147" s="22">
        <v>116500</v>
      </c>
      <c r="H147" s="22">
        <v>94400</v>
      </c>
      <c r="I147" s="22">
        <v>190000</v>
      </c>
      <c r="J147" s="22">
        <v>79600</v>
      </c>
      <c r="K147" s="22">
        <v>83700</v>
      </c>
      <c r="L147" s="22">
        <v>132500</v>
      </c>
      <c r="M147" s="22">
        <v>114300</v>
      </c>
      <c r="N147" s="22">
        <v>103600</v>
      </c>
      <c r="O147" s="22">
        <v>92200</v>
      </c>
      <c r="P147" s="22">
        <v>78000</v>
      </c>
      <c r="Q147" s="22">
        <v>66200</v>
      </c>
      <c r="R147" s="22">
        <v>68700</v>
      </c>
      <c r="S147" s="22">
        <v>71300</v>
      </c>
      <c r="T147" s="22">
        <v>89800</v>
      </c>
      <c r="U147" s="22">
        <v>110100</v>
      </c>
      <c r="V147" s="22">
        <v>135700</v>
      </c>
      <c r="W147" s="22">
        <v>221500</v>
      </c>
      <c r="X147" s="22">
        <v>166200</v>
      </c>
      <c r="Y147" s="22">
        <v>236300</v>
      </c>
      <c r="Z147" s="22">
        <v>321300</v>
      </c>
      <c r="AA147" s="22">
        <v>381200</v>
      </c>
      <c r="AB147" s="22">
        <v>151900</v>
      </c>
      <c r="AC147" s="22">
        <v>158900</v>
      </c>
      <c r="AD147" s="22">
        <v>84700</v>
      </c>
      <c r="AE147" s="22">
        <v>137700</v>
      </c>
      <c r="AF147" s="22">
        <v>97900</v>
      </c>
      <c r="AG147" s="22">
        <v>129100</v>
      </c>
      <c r="AH147" s="22">
        <v>228700</v>
      </c>
      <c r="AI147" s="22">
        <v>222000</v>
      </c>
      <c r="AJ147" s="22">
        <v>74200</v>
      </c>
      <c r="AK147" s="22">
        <v>88300</v>
      </c>
      <c r="AL147" s="22">
        <v>129800</v>
      </c>
      <c r="AM147" s="22">
        <v>144700</v>
      </c>
      <c r="AN147" s="22">
        <v>143100</v>
      </c>
      <c r="AO147" s="22">
        <v>133100</v>
      </c>
      <c r="AP147" s="22">
        <v>118100</v>
      </c>
      <c r="AQ147" s="22">
        <v>132500</v>
      </c>
      <c r="AR147" s="22">
        <v>88000</v>
      </c>
      <c r="AS147" s="22">
        <v>130200</v>
      </c>
      <c r="AT147" s="22">
        <v>163300</v>
      </c>
      <c r="AU147" s="22">
        <v>111400</v>
      </c>
      <c r="AV147" s="22">
        <v>159300</v>
      </c>
      <c r="AW147" s="22">
        <v>150600</v>
      </c>
      <c r="AX147" s="22">
        <v>150600</v>
      </c>
      <c r="AY147" s="22">
        <v>274200</v>
      </c>
      <c r="AZ147" s="22">
        <v>327900</v>
      </c>
      <c r="BA147" s="22">
        <v>134500</v>
      </c>
      <c r="BB147" s="22">
        <v>152100</v>
      </c>
      <c r="BC147" s="22">
        <v>165100</v>
      </c>
      <c r="BD147" s="22">
        <v>217900</v>
      </c>
      <c r="BE147" s="22">
        <v>339700</v>
      </c>
      <c r="BF147" s="22">
        <v>371200</v>
      </c>
      <c r="BG147" s="22">
        <v>224900</v>
      </c>
      <c r="BH147" s="22">
        <v>98500</v>
      </c>
      <c r="BI147" s="22">
        <v>111100</v>
      </c>
      <c r="BJ147" s="22">
        <v>142500</v>
      </c>
      <c r="BK147" s="22">
        <v>230100</v>
      </c>
      <c r="BL147" s="22">
        <v>200700</v>
      </c>
      <c r="BM147" s="1">
        <v>284600</v>
      </c>
      <c r="BN147" s="1">
        <v>279200</v>
      </c>
      <c r="BO147" s="1">
        <v>226700</v>
      </c>
      <c r="BP147" s="1">
        <v>163700</v>
      </c>
    </row>
    <row r="148" spans="1:68" ht="15.9" customHeight="1">
      <c r="A148" s="396" t="s">
        <v>290</v>
      </c>
      <c r="B148" s="49" t="s">
        <v>291</v>
      </c>
      <c r="C148" s="53" t="str">
        <f>_xll.RssMarket("6838","出来高")</f>
        <v/>
      </c>
      <c r="D148" s="16" t="e">
        <f t="shared" si="2"/>
        <v>#VALUE!</v>
      </c>
      <c r="E148" s="22">
        <v>446100</v>
      </c>
      <c r="F148" s="22">
        <v>200300</v>
      </c>
      <c r="G148" s="22">
        <v>361300</v>
      </c>
      <c r="H148" s="22">
        <v>287300</v>
      </c>
      <c r="I148" s="22">
        <v>184900</v>
      </c>
      <c r="J148" s="22">
        <v>271900</v>
      </c>
      <c r="K148" s="22">
        <v>380900</v>
      </c>
      <c r="L148" s="22">
        <v>334600</v>
      </c>
      <c r="M148" s="22">
        <v>231700</v>
      </c>
      <c r="N148" s="22">
        <v>292700</v>
      </c>
      <c r="O148" s="22">
        <v>265800</v>
      </c>
      <c r="P148" s="22">
        <v>397600</v>
      </c>
      <c r="Q148" s="22">
        <v>270300</v>
      </c>
      <c r="R148" s="22">
        <v>433700</v>
      </c>
      <c r="S148" s="22">
        <v>391000</v>
      </c>
      <c r="T148" s="22">
        <v>660600</v>
      </c>
      <c r="U148" s="22">
        <v>418800</v>
      </c>
      <c r="V148" s="22">
        <v>340300</v>
      </c>
      <c r="W148" s="22">
        <v>341900</v>
      </c>
      <c r="X148" s="22">
        <v>785400</v>
      </c>
      <c r="Y148" s="22">
        <v>690400</v>
      </c>
      <c r="Z148" s="22">
        <v>1705200</v>
      </c>
      <c r="AA148" s="22">
        <v>27400</v>
      </c>
      <c r="AB148" s="22">
        <v>311400</v>
      </c>
      <c r="AC148" s="22">
        <v>437400</v>
      </c>
      <c r="AD148" s="22">
        <v>574900</v>
      </c>
      <c r="AE148" s="22">
        <v>588300</v>
      </c>
      <c r="AF148" s="22">
        <v>292700</v>
      </c>
      <c r="AG148" s="22">
        <v>333000</v>
      </c>
      <c r="AH148" s="22">
        <v>379500</v>
      </c>
      <c r="AI148" s="22">
        <v>478800</v>
      </c>
      <c r="AJ148" s="22">
        <v>331600</v>
      </c>
      <c r="AK148" s="22">
        <v>268000</v>
      </c>
      <c r="AL148" s="22">
        <v>486600</v>
      </c>
      <c r="AM148" s="22">
        <v>468300</v>
      </c>
      <c r="AN148" s="22">
        <v>383300</v>
      </c>
      <c r="AO148" s="22">
        <v>485100</v>
      </c>
      <c r="AP148" s="22">
        <v>497500</v>
      </c>
      <c r="AQ148" s="22">
        <v>817000</v>
      </c>
      <c r="AR148" s="22">
        <v>600600</v>
      </c>
      <c r="AS148" s="22">
        <v>438700</v>
      </c>
      <c r="AT148" s="22">
        <v>406800</v>
      </c>
      <c r="AU148" s="22">
        <v>474400</v>
      </c>
      <c r="AV148" s="22">
        <v>640700</v>
      </c>
      <c r="AW148" s="22">
        <v>1706600</v>
      </c>
      <c r="AX148" s="22">
        <v>1706600</v>
      </c>
      <c r="AY148" s="22">
        <v>485200</v>
      </c>
      <c r="AZ148" s="22">
        <v>379100</v>
      </c>
      <c r="BA148" s="22">
        <v>186100</v>
      </c>
      <c r="BB148" s="22">
        <v>334600</v>
      </c>
      <c r="BC148" s="22">
        <v>232100</v>
      </c>
      <c r="BD148" s="22">
        <v>546200</v>
      </c>
      <c r="BE148" s="22">
        <v>466500</v>
      </c>
      <c r="BF148" s="22">
        <v>813500</v>
      </c>
      <c r="BG148" s="22">
        <v>483800</v>
      </c>
      <c r="BH148" s="22">
        <v>1369200</v>
      </c>
      <c r="BI148" s="22">
        <v>2102000</v>
      </c>
      <c r="BJ148" s="22">
        <v>1228500</v>
      </c>
      <c r="BK148" s="22">
        <v>485200</v>
      </c>
      <c r="BL148" s="22">
        <v>302900</v>
      </c>
      <c r="BM148" s="1">
        <v>249600</v>
      </c>
      <c r="BN148" s="1">
        <v>210500</v>
      </c>
      <c r="BO148" s="1">
        <v>565500</v>
      </c>
      <c r="BP148" s="1">
        <v>277700</v>
      </c>
    </row>
    <row r="149" spans="1:68" ht="15.9" customHeight="1">
      <c r="A149" s="396" t="s">
        <v>292</v>
      </c>
      <c r="B149" s="49" t="s">
        <v>293</v>
      </c>
      <c r="C149" s="53" t="str">
        <f>_xll.RssMarket("7375","出来高")</f>
        <v/>
      </c>
      <c r="D149" s="16" t="e">
        <f t="shared" si="2"/>
        <v>#VALUE!</v>
      </c>
      <c r="E149" s="22">
        <v>73600</v>
      </c>
      <c r="F149" s="22">
        <v>37200</v>
      </c>
      <c r="G149" s="22">
        <v>93900</v>
      </c>
      <c r="H149" s="22">
        <v>38100</v>
      </c>
      <c r="I149" s="22">
        <v>30700</v>
      </c>
      <c r="J149" s="22">
        <v>30000</v>
      </c>
      <c r="K149" s="22">
        <v>29000</v>
      </c>
      <c r="L149" s="22">
        <v>18200</v>
      </c>
      <c r="M149" s="22">
        <v>28900</v>
      </c>
      <c r="N149" s="22">
        <v>32300</v>
      </c>
      <c r="O149" s="22">
        <v>22300</v>
      </c>
      <c r="P149" s="22">
        <v>25900</v>
      </c>
      <c r="Q149" s="22">
        <v>19500</v>
      </c>
      <c r="R149" s="22">
        <v>30600</v>
      </c>
      <c r="S149" s="22">
        <v>36200</v>
      </c>
      <c r="T149" s="22">
        <v>20800</v>
      </c>
      <c r="U149" s="22">
        <v>37900</v>
      </c>
      <c r="V149" s="22">
        <v>42800</v>
      </c>
      <c r="W149" s="22">
        <v>43300</v>
      </c>
      <c r="X149" s="22">
        <v>37000</v>
      </c>
      <c r="Y149" s="22">
        <v>46500</v>
      </c>
      <c r="Z149" s="22">
        <v>59600</v>
      </c>
      <c r="AA149" s="22">
        <v>73800</v>
      </c>
      <c r="AB149" s="22">
        <v>86000</v>
      </c>
      <c r="AC149" s="22">
        <v>119700</v>
      </c>
      <c r="AD149" s="22">
        <v>82600</v>
      </c>
      <c r="AE149" s="22">
        <v>66300</v>
      </c>
      <c r="AF149" s="22">
        <v>54800</v>
      </c>
      <c r="AG149" s="22">
        <v>101800</v>
      </c>
      <c r="AH149" s="22">
        <v>158900</v>
      </c>
      <c r="AI149" s="22">
        <v>201200</v>
      </c>
      <c r="AJ149" s="22">
        <v>204300</v>
      </c>
      <c r="AK149" s="22">
        <v>318700</v>
      </c>
      <c r="AL149" s="22">
        <v>152800</v>
      </c>
      <c r="AM149" s="22">
        <v>293400</v>
      </c>
      <c r="AN149" s="22">
        <v>768300</v>
      </c>
      <c r="AO149" s="22">
        <v>184600</v>
      </c>
      <c r="AP149" s="22">
        <v>204400</v>
      </c>
      <c r="AQ149" s="22">
        <v>663800</v>
      </c>
      <c r="AR149" s="22">
        <v>296000</v>
      </c>
      <c r="AS149" s="22">
        <v>137900</v>
      </c>
      <c r="AT149" s="22">
        <v>195900</v>
      </c>
      <c r="AU149" s="22">
        <v>327100</v>
      </c>
      <c r="AV149" s="22">
        <v>186200</v>
      </c>
      <c r="AW149" s="22">
        <v>173000</v>
      </c>
      <c r="AX149" s="22">
        <v>173000</v>
      </c>
      <c r="AY149" s="22">
        <v>199900</v>
      </c>
      <c r="AZ149" s="22">
        <v>430700</v>
      </c>
      <c r="BA149" s="22">
        <v>520100</v>
      </c>
      <c r="BB149" s="22">
        <v>1026600</v>
      </c>
      <c r="BC149" s="22">
        <v>1349600</v>
      </c>
      <c r="BD149" s="22">
        <v>302700</v>
      </c>
      <c r="BE149" s="22">
        <v>497400</v>
      </c>
      <c r="BF149" s="22">
        <v>1285800</v>
      </c>
      <c r="BG149" s="22">
        <v>2531700</v>
      </c>
      <c r="BH149" s="22">
        <v>713500</v>
      </c>
      <c r="BI149" s="22">
        <v>1109600</v>
      </c>
      <c r="BJ149" s="22">
        <v>2444400</v>
      </c>
      <c r="BK149" s="22">
        <v>5027500</v>
      </c>
      <c r="BL149" s="22">
        <v>3095500</v>
      </c>
      <c r="BM149" s="1">
        <v>3845000</v>
      </c>
      <c r="BN149" s="1">
        <v>3213200</v>
      </c>
      <c r="BO149" s="1">
        <v>1704000</v>
      </c>
      <c r="BP149" s="1">
        <v>5662100</v>
      </c>
    </row>
    <row r="150" spans="1:68" ht="15.9" customHeight="1">
      <c r="A150" s="396" t="s">
        <v>294</v>
      </c>
      <c r="B150" s="49" t="s">
        <v>295</v>
      </c>
      <c r="C150" s="53" t="str">
        <f>_xll.RssMarket("4307","出来高")</f>
        <v/>
      </c>
      <c r="D150" s="16" t="e">
        <f t="shared" si="2"/>
        <v>#VALUE!</v>
      </c>
      <c r="E150" s="22">
        <v>3134600</v>
      </c>
      <c r="F150" s="22">
        <v>3545500</v>
      </c>
      <c r="G150" s="22">
        <v>2749100</v>
      </c>
      <c r="H150" s="22">
        <v>1698500</v>
      </c>
      <c r="I150" s="22">
        <v>2073400</v>
      </c>
      <c r="J150" s="22">
        <v>2117400</v>
      </c>
      <c r="K150" s="22">
        <v>2502700</v>
      </c>
      <c r="L150" s="22">
        <v>2212700</v>
      </c>
      <c r="M150" s="22">
        <v>2345700</v>
      </c>
      <c r="N150" s="22">
        <v>2999000</v>
      </c>
      <c r="O150" s="22">
        <v>3019000</v>
      </c>
      <c r="P150" s="22">
        <v>1985600</v>
      </c>
      <c r="Q150" s="22">
        <v>2373400</v>
      </c>
      <c r="R150" s="22">
        <v>3756500</v>
      </c>
      <c r="S150" s="22">
        <v>2113200</v>
      </c>
      <c r="T150" s="22">
        <v>2267200</v>
      </c>
      <c r="U150" s="22">
        <v>2621200</v>
      </c>
      <c r="V150" s="22">
        <v>2595600</v>
      </c>
      <c r="W150" s="22">
        <v>2276100</v>
      </c>
      <c r="X150" s="22">
        <v>4234100</v>
      </c>
      <c r="Y150" s="22">
        <v>2364500</v>
      </c>
      <c r="Z150" s="22">
        <v>1885500</v>
      </c>
      <c r="AA150" s="22">
        <v>2822700</v>
      </c>
      <c r="AB150" s="22">
        <v>2122200</v>
      </c>
      <c r="AC150" s="22">
        <v>1775500</v>
      </c>
      <c r="AD150" s="22">
        <v>2062200</v>
      </c>
      <c r="AE150" s="22">
        <v>1982800</v>
      </c>
      <c r="AF150" s="22">
        <v>1948500</v>
      </c>
      <c r="AG150" s="22">
        <v>2554500</v>
      </c>
      <c r="AH150" s="22">
        <v>2766400</v>
      </c>
      <c r="AI150" s="22">
        <v>3778000</v>
      </c>
      <c r="AJ150" s="22">
        <v>8861600</v>
      </c>
      <c r="AK150" s="22">
        <v>4128500</v>
      </c>
      <c r="AL150" s="22">
        <v>3351800</v>
      </c>
      <c r="AM150" s="22">
        <v>2705400</v>
      </c>
      <c r="AN150" s="22">
        <v>3120600</v>
      </c>
      <c r="AO150" s="22">
        <v>2921100</v>
      </c>
      <c r="AP150" s="22">
        <v>4761400</v>
      </c>
      <c r="AQ150" s="22">
        <v>5627600</v>
      </c>
      <c r="AR150" s="22">
        <v>5692100</v>
      </c>
      <c r="AS150" s="22">
        <v>4777000</v>
      </c>
      <c r="AT150" s="22">
        <v>3878000</v>
      </c>
      <c r="AU150" s="22">
        <v>2250600</v>
      </c>
      <c r="AV150" s="22">
        <v>3870100</v>
      </c>
      <c r="AW150" s="22">
        <v>4311900</v>
      </c>
      <c r="AX150" s="22">
        <v>4311900</v>
      </c>
      <c r="AY150" s="22">
        <v>4184000</v>
      </c>
      <c r="AZ150" s="22">
        <v>5056300</v>
      </c>
      <c r="BA150" s="22">
        <v>3854800</v>
      </c>
      <c r="BB150" s="22">
        <v>6816100</v>
      </c>
      <c r="BC150" s="22">
        <v>8727100</v>
      </c>
      <c r="BD150" s="22">
        <v>9837700</v>
      </c>
      <c r="BE150" s="22">
        <v>7613500</v>
      </c>
      <c r="BF150" s="22">
        <v>5256500</v>
      </c>
      <c r="BG150" s="22">
        <v>3795500</v>
      </c>
      <c r="BH150" s="22">
        <v>3355300</v>
      </c>
      <c r="BI150" s="22">
        <v>2862800</v>
      </c>
      <c r="BJ150" s="22">
        <v>3725400</v>
      </c>
      <c r="BK150" s="22">
        <v>4892600</v>
      </c>
      <c r="BL150" s="22">
        <v>4884100</v>
      </c>
      <c r="BM150" s="1">
        <v>3775900</v>
      </c>
      <c r="BN150" s="1">
        <v>3492500</v>
      </c>
      <c r="BO150" s="1">
        <v>3333600</v>
      </c>
      <c r="BP150" s="1">
        <v>3507000</v>
      </c>
    </row>
    <row r="151" spans="1:68" ht="15.9" customHeight="1">
      <c r="A151" s="396" t="s">
        <v>296</v>
      </c>
      <c r="B151" s="49" t="s">
        <v>297</v>
      </c>
      <c r="C151" s="53" t="str">
        <f>_xll.RssMarket("6516","出来高")</f>
        <v/>
      </c>
      <c r="D151" s="16" t="e">
        <f t="shared" si="2"/>
        <v>#VALUE!</v>
      </c>
      <c r="E151" s="22">
        <v>159100</v>
      </c>
      <c r="F151" s="22">
        <v>100100</v>
      </c>
      <c r="G151" s="22">
        <v>134600</v>
      </c>
      <c r="H151" s="22">
        <v>81900</v>
      </c>
      <c r="I151" s="22">
        <v>97300</v>
      </c>
      <c r="J151" s="22">
        <v>101800</v>
      </c>
      <c r="K151" s="22">
        <v>97800</v>
      </c>
      <c r="L151" s="22">
        <v>113800</v>
      </c>
      <c r="M151" s="22">
        <v>91200</v>
      </c>
      <c r="N151" s="22">
        <v>173800</v>
      </c>
      <c r="O151" s="22">
        <v>187300</v>
      </c>
      <c r="P151" s="22">
        <v>131600</v>
      </c>
      <c r="Q151" s="22">
        <v>172900</v>
      </c>
      <c r="R151" s="22">
        <v>192100</v>
      </c>
      <c r="S151" s="22">
        <v>132700</v>
      </c>
      <c r="T151" s="22">
        <v>160000</v>
      </c>
      <c r="U151" s="22">
        <v>191100</v>
      </c>
      <c r="V151" s="22">
        <v>282600</v>
      </c>
      <c r="W151" s="22">
        <v>154200</v>
      </c>
      <c r="X151" s="22">
        <v>243600</v>
      </c>
      <c r="Y151" s="22">
        <v>118700</v>
      </c>
      <c r="Z151" s="22">
        <v>107700</v>
      </c>
      <c r="AA151" s="22">
        <v>103500</v>
      </c>
      <c r="AB151" s="22">
        <v>123000</v>
      </c>
      <c r="AC151" s="22">
        <v>118400</v>
      </c>
      <c r="AD151" s="22">
        <v>119300</v>
      </c>
      <c r="AE151" s="22">
        <v>136500</v>
      </c>
      <c r="AF151" s="22">
        <v>112700</v>
      </c>
      <c r="AG151" s="22">
        <v>160100</v>
      </c>
      <c r="AH151" s="22">
        <v>257900</v>
      </c>
      <c r="AI151" s="22">
        <v>331500</v>
      </c>
      <c r="AJ151" s="22">
        <v>209900</v>
      </c>
      <c r="AK151" s="22">
        <v>126600</v>
      </c>
      <c r="AL151" s="22">
        <v>142000</v>
      </c>
      <c r="AM151" s="22">
        <v>181300</v>
      </c>
      <c r="AN151" s="22">
        <v>130800</v>
      </c>
      <c r="AO151" s="22">
        <v>187400</v>
      </c>
      <c r="AP151" s="22">
        <v>159500</v>
      </c>
      <c r="AQ151" s="22">
        <v>219400</v>
      </c>
      <c r="AR151" s="22">
        <v>133000</v>
      </c>
      <c r="AS151" s="22">
        <v>185400</v>
      </c>
      <c r="AT151" s="22">
        <v>150200</v>
      </c>
      <c r="AU151" s="22">
        <v>100100</v>
      </c>
      <c r="AV151" s="22">
        <v>214000</v>
      </c>
      <c r="AW151" s="22">
        <v>229500</v>
      </c>
      <c r="AX151" s="22">
        <v>229500</v>
      </c>
      <c r="AY151" s="22">
        <v>184000</v>
      </c>
      <c r="AZ151" s="22">
        <v>233700</v>
      </c>
      <c r="BA151" s="22">
        <v>169100</v>
      </c>
      <c r="BB151" s="22">
        <v>255300</v>
      </c>
      <c r="BC151" s="22">
        <v>801500</v>
      </c>
      <c r="BD151" s="22">
        <v>437500</v>
      </c>
      <c r="BE151" s="22">
        <v>288200</v>
      </c>
      <c r="BF151" s="22">
        <v>150200</v>
      </c>
      <c r="BG151" s="22">
        <v>126900</v>
      </c>
      <c r="BH151" s="22">
        <v>54700</v>
      </c>
      <c r="BI151" s="22">
        <v>37200</v>
      </c>
      <c r="BJ151" s="22">
        <v>49500</v>
      </c>
      <c r="BK151" s="22">
        <v>61400</v>
      </c>
      <c r="BL151" s="22">
        <v>72400</v>
      </c>
      <c r="BM151" s="1">
        <v>110600</v>
      </c>
      <c r="BN151" s="1">
        <v>58600</v>
      </c>
      <c r="BO151" s="1">
        <v>98400</v>
      </c>
      <c r="BP151" s="1">
        <v>41400</v>
      </c>
    </row>
    <row r="152" spans="1:68" ht="15.9" customHeight="1">
      <c r="A152" s="396" t="s">
        <v>298</v>
      </c>
      <c r="B152" s="49" t="s">
        <v>299</v>
      </c>
      <c r="C152" s="53" t="str">
        <f>_xll.RssMarket("7381","出来高")</f>
        <v/>
      </c>
      <c r="D152" s="16" t="e">
        <f t="shared" si="2"/>
        <v>#VALUE!</v>
      </c>
      <c r="E152" s="22">
        <v>932600</v>
      </c>
      <c r="F152" s="22">
        <v>594700</v>
      </c>
      <c r="G152" s="22">
        <v>600400</v>
      </c>
      <c r="H152" s="22">
        <v>297400</v>
      </c>
      <c r="I152" s="22">
        <v>492900</v>
      </c>
      <c r="J152" s="22">
        <v>418200</v>
      </c>
      <c r="K152" s="22">
        <v>500800</v>
      </c>
      <c r="L152" s="22">
        <v>320000</v>
      </c>
      <c r="M152" s="22">
        <v>291200</v>
      </c>
      <c r="N152" s="22">
        <v>342800</v>
      </c>
      <c r="O152" s="22">
        <v>359800</v>
      </c>
      <c r="P152" s="22">
        <v>412500</v>
      </c>
      <c r="Q152" s="22">
        <v>657100</v>
      </c>
      <c r="R152" s="22">
        <v>688600</v>
      </c>
      <c r="S152" s="22">
        <v>437600</v>
      </c>
      <c r="T152" s="22">
        <v>500500</v>
      </c>
      <c r="U152" s="22">
        <v>334400</v>
      </c>
      <c r="V152" s="22">
        <v>622000</v>
      </c>
      <c r="W152" s="22">
        <v>446000</v>
      </c>
      <c r="X152" s="22">
        <v>683100</v>
      </c>
      <c r="Y152" s="22">
        <v>325900</v>
      </c>
      <c r="Z152" s="22">
        <v>444200</v>
      </c>
      <c r="AA152" s="22">
        <v>413400</v>
      </c>
      <c r="AB152" s="22">
        <v>823600</v>
      </c>
      <c r="AC152" s="22">
        <v>527000</v>
      </c>
      <c r="AD152" s="22">
        <v>659400</v>
      </c>
      <c r="AE152" s="22">
        <v>781900</v>
      </c>
      <c r="AF152" s="22">
        <v>356100</v>
      </c>
      <c r="AG152" s="22">
        <v>429300</v>
      </c>
      <c r="AH152" s="22">
        <v>822300</v>
      </c>
      <c r="AI152" s="22">
        <v>632000</v>
      </c>
      <c r="AJ152" s="22">
        <v>513300</v>
      </c>
      <c r="AK152" s="22">
        <v>619200</v>
      </c>
      <c r="AL152" s="22">
        <v>497400</v>
      </c>
      <c r="AM152" s="22">
        <v>436200</v>
      </c>
      <c r="AN152" s="22">
        <v>452400</v>
      </c>
      <c r="AO152" s="22">
        <v>898600</v>
      </c>
      <c r="AP152" s="22">
        <v>467800</v>
      </c>
      <c r="AQ152" s="22">
        <v>758600</v>
      </c>
      <c r="AR152" s="22">
        <v>650700</v>
      </c>
      <c r="AS152" s="22">
        <v>826100</v>
      </c>
      <c r="AT152" s="22">
        <v>531000</v>
      </c>
      <c r="AU152" s="22">
        <v>391200</v>
      </c>
      <c r="AV152" s="22">
        <v>479100</v>
      </c>
      <c r="AW152" s="22">
        <v>890100</v>
      </c>
      <c r="AX152" s="22">
        <v>890100</v>
      </c>
      <c r="AY152" s="22">
        <v>947100</v>
      </c>
      <c r="AZ152" s="22">
        <v>1553800</v>
      </c>
      <c r="BA152" s="22">
        <v>849900</v>
      </c>
      <c r="BB152" s="22">
        <v>937700</v>
      </c>
      <c r="BC152" s="22">
        <v>1000900</v>
      </c>
      <c r="BD152" s="22">
        <v>443900</v>
      </c>
      <c r="BE152" s="22">
        <v>391300</v>
      </c>
      <c r="BF152" s="22">
        <v>441400</v>
      </c>
      <c r="BG152" s="22">
        <v>546100</v>
      </c>
      <c r="BH152" s="22">
        <v>485800</v>
      </c>
      <c r="BI152" s="22">
        <v>308200</v>
      </c>
      <c r="BJ152" s="22">
        <v>433500</v>
      </c>
      <c r="BK152" s="22">
        <v>321900</v>
      </c>
      <c r="BL152" s="22">
        <v>337000</v>
      </c>
      <c r="BM152" s="1">
        <v>256400</v>
      </c>
      <c r="BN152" s="1">
        <v>309300</v>
      </c>
      <c r="BO152" s="1">
        <v>444500</v>
      </c>
      <c r="BP152" s="1">
        <v>472900</v>
      </c>
    </row>
    <row r="153" spans="1:68" ht="15.9" customHeight="1">
      <c r="A153" s="396" t="s">
        <v>300</v>
      </c>
      <c r="B153" s="49" t="s">
        <v>301</v>
      </c>
      <c r="C153" s="53" t="str">
        <f>_xll.RssMarket("4417","出来高")</f>
        <v/>
      </c>
      <c r="D153" s="16" t="e">
        <f t="shared" si="2"/>
        <v>#VALUE!</v>
      </c>
      <c r="E153" s="22">
        <v>117500</v>
      </c>
      <c r="F153" s="22">
        <v>61000</v>
      </c>
      <c r="G153" s="22">
        <v>93600</v>
      </c>
      <c r="H153" s="22">
        <v>35100</v>
      </c>
      <c r="I153" s="22">
        <v>31700</v>
      </c>
      <c r="J153" s="22">
        <v>26700</v>
      </c>
      <c r="K153" s="22">
        <v>61300</v>
      </c>
      <c r="L153" s="22">
        <v>125300</v>
      </c>
      <c r="M153" s="22">
        <v>83000</v>
      </c>
      <c r="N153" s="22">
        <v>141800</v>
      </c>
      <c r="O153" s="22">
        <v>178400</v>
      </c>
      <c r="P153" s="22">
        <v>63300</v>
      </c>
      <c r="Q153" s="22">
        <v>170600</v>
      </c>
      <c r="R153" s="22">
        <v>218000</v>
      </c>
      <c r="S153" s="22">
        <v>60700</v>
      </c>
      <c r="T153" s="22">
        <v>40400</v>
      </c>
      <c r="U153" s="22">
        <v>29500</v>
      </c>
      <c r="V153" s="22">
        <v>53700</v>
      </c>
      <c r="W153" s="22">
        <v>56500</v>
      </c>
      <c r="X153" s="22">
        <v>40500</v>
      </c>
      <c r="Y153" s="22">
        <v>52100</v>
      </c>
      <c r="Z153" s="22">
        <v>49100</v>
      </c>
      <c r="AA153" s="22">
        <v>34600</v>
      </c>
      <c r="AB153" s="22">
        <v>41600</v>
      </c>
      <c r="AC153" s="22">
        <v>46300</v>
      </c>
      <c r="AD153" s="22">
        <v>37300</v>
      </c>
      <c r="AE153" s="22">
        <v>99100</v>
      </c>
      <c r="AF153" s="22">
        <v>63500</v>
      </c>
      <c r="AG153" s="22">
        <v>65800</v>
      </c>
      <c r="AH153" s="22">
        <v>116400</v>
      </c>
      <c r="AI153" s="22">
        <v>91900</v>
      </c>
      <c r="AJ153" s="22">
        <v>169100</v>
      </c>
      <c r="AK153" s="22">
        <v>74100</v>
      </c>
      <c r="AL153" s="22">
        <v>82900</v>
      </c>
      <c r="AM153" s="22">
        <v>118100</v>
      </c>
      <c r="AN153" s="22">
        <v>131000</v>
      </c>
      <c r="AO153" s="22">
        <v>158700</v>
      </c>
      <c r="AP153" s="22">
        <v>82900</v>
      </c>
      <c r="AQ153" s="22">
        <v>68200</v>
      </c>
      <c r="AR153" s="22">
        <v>41200</v>
      </c>
      <c r="AS153" s="22">
        <v>63100</v>
      </c>
      <c r="AT153" s="22">
        <v>107000</v>
      </c>
      <c r="AU153" s="22">
        <v>85800</v>
      </c>
      <c r="AV153" s="22">
        <v>157500</v>
      </c>
      <c r="AW153" s="22">
        <v>94100</v>
      </c>
      <c r="AX153" s="22">
        <v>94100</v>
      </c>
      <c r="AY153" s="22">
        <v>171000</v>
      </c>
      <c r="AZ153" s="22">
        <v>182400</v>
      </c>
      <c r="BA153" s="22">
        <v>450100</v>
      </c>
      <c r="BB153" s="22">
        <v>118600</v>
      </c>
      <c r="BC153" s="22">
        <v>75200</v>
      </c>
      <c r="BD153" s="22">
        <v>57500</v>
      </c>
      <c r="BE153" s="22">
        <v>49100</v>
      </c>
      <c r="BF153" s="22">
        <v>59100</v>
      </c>
      <c r="BG153" s="22">
        <v>54600</v>
      </c>
      <c r="BH153" s="22">
        <v>62700</v>
      </c>
      <c r="BI153" s="22">
        <v>37700</v>
      </c>
      <c r="BJ153" s="22">
        <v>67100</v>
      </c>
      <c r="BK153" s="22">
        <v>115500</v>
      </c>
      <c r="BL153" s="22">
        <v>101600</v>
      </c>
      <c r="BM153" s="1">
        <v>116200</v>
      </c>
      <c r="BN153" s="1">
        <v>170800</v>
      </c>
      <c r="BO153" s="1">
        <v>47800</v>
      </c>
      <c r="BP153" s="1">
        <v>39700</v>
      </c>
    </row>
    <row r="154" spans="1:68" ht="15.9" customHeight="1">
      <c r="A154" s="396" t="s">
        <v>302</v>
      </c>
      <c r="B154" s="49" t="s">
        <v>303</v>
      </c>
      <c r="C154" s="53" t="str">
        <f>_xll.RssMarket("6981","出来高")</f>
        <v/>
      </c>
      <c r="D154" s="16" t="e">
        <f t="shared" si="2"/>
        <v>#VALUE!</v>
      </c>
      <c r="E154" s="22">
        <v>43867400</v>
      </c>
      <c r="F154" s="22">
        <v>26579800</v>
      </c>
      <c r="G154" s="22">
        <v>37725100</v>
      </c>
      <c r="H154" s="22">
        <v>36642900</v>
      </c>
      <c r="I154" s="22">
        <v>32667200</v>
      </c>
      <c r="J154" s="22">
        <v>29495100</v>
      </c>
      <c r="K154" s="22">
        <v>41610500</v>
      </c>
      <c r="L154" s="22">
        <v>43829700</v>
      </c>
      <c r="M154" s="22">
        <v>20945500</v>
      </c>
      <c r="N154" s="22">
        <v>24232500</v>
      </c>
      <c r="O154" s="22">
        <v>21447000</v>
      </c>
      <c r="P154" s="22">
        <v>27495200</v>
      </c>
      <c r="Q154" s="22">
        <v>22104900</v>
      </c>
      <c r="R154" s="22">
        <v>21412600</v>
      </c>
      <c r="S154" s="22">
        <v>21939600</v>
      </c>
      <c r="T154" s="22">
        <v>21595200</v>
      </c>
      <c r="U154" s="22">
        <v>23298600</v>
      </c>
      <c r="V154" s="22">
        <v>27617500</v>
      </c>
      <c r="W154" s="22">
        <v>26689000</v>
      </c>
      <c r="X154" s="22">
        <v>47359300</v>
      </c>
      <c r="Y154" s="22">
        <v>37329500</v>
      </c>
      <c r="Z154" s="22">
        <v>31784100</v>
      </c>
      <c r="AA154" s="22">
        <v>37241100</v>
      </c>
      <c r="AB154" s="22">
        <v>59245900</v>
      </c>
      <c r="AC154" s="22">
        <v>42888400</v>
      </c>
      <c r="AD154" s="22">
        <v>53014000</v>
      </c>
      <c r="AE154" s="22">
        <v>47646200</v>
      </c>
      <c r="AF154" s="22">
        <v>34362300</v>
      </c>
      <c r="AG154" s="22">
        <v>25651100</v>
      </c>
      <c r="AH154" s="22">
        <v>40139600</v>
      </c>
      <c r="AI154" s="22">
        <v>50853300</v>
      </c>
      <c r="AJ154" s="22">
        <v>75663400</v>
      </c>
      <c r="AK154" s="22">
        <v>46383100</v>
      </c>
      <c r="AL154" s="22">
        <v>24621300</v>
      </c>
      <c r="AM154" s="22">
        <v>36000700</v>
      </c>
      <c r="AN154" s="22">
        <v>20915700</v>
      </c>
      <c r="AO154" s="22">
        <v>15850200</v>
      </c>
      <c r="AP154" s="22">
        <v>11512000</v>
      </c>
      <c r="AQ154" s="22">
        <v>10166800</v>
      </c>
      <c r="AR154" s="22">
        <v>11319900</v>
      </c>
      <c r="AS154" s="22">
        <v>13040900</v>
      </c>
      <c r="AT154" s="22">
        <v>11802500</v>
      </c>
      <c r="AU154" s="22">
        <v>12340800</v>
      </c>
      <c r="AV154" s="22">
        <v>12364000</v>
      </c>
      <c r="AW154" s="22">
        <v>14052700</v>
      </c>
      <c r="AX154" s="22">
        <v>14052700</v>
      </c>
      <c r="AY154" s="22">
        <v>15418500</v>
      </c>
      <c r="AZ154" s="22">
        <v>24938000</v>
      </c>
      <c r="BA154" s="22">
        <v>18404600</v>
      </c>
      <c r="BB154" s="22">
        <v>30704800</v>
      </c>
      <c r="BC154" s="22">
        <v>10341000</v>
      </c>
      <c r="BD154" s="22">
        <v>8040200</v>
      </c>
      <c r="BE154" s="22">
        <v>8895700</v>
      </c>
      <c r="BF154" s="22">
        <v>10948000</v>
      </c>
      <c r="BG154" s="22">
        <v>7750500</v>
      </c>
      <c r="BH154" s="22">
        <v>7758000</v>
      </c>
      <c r="BI154" s="22">
        <v>10084000</v>
      </c>
      <c r="BJ154" s="22">
        <v>13592000</v>
      </c>
      <c r="BK154" s="22">
        <v>15342100</v>
      </c>
      <c r="BL154" s="22">
        <v>13431600</v>
      </c>
      <c r="BM154" s="1">
        <v>9262400</v>
      </c>
      <c r="BN154" s="1">
        <v>7510600</v>
      </c>
      <c r="BO154" s="1">
        <v>10407400</v>
      </c>
      <c r="BP154" s="1">
        <v>8314100</v>
      </c>
    </row>
    <row r="155" spans="1:68" ht="15.9" customHeight="1">
      <c r="A155" s="396" t="s">
        <v>304</v>
      </c>
      <c r="B155" s="49" t="s">
        <v>305</v>
      </c>
      <c r="C155" s="53" t="str">
        <f>_xll.RssMarket("6754","出来高")</f>
        <v/>
      </c>
      <c r="D155" s="16" t="e">
        <f t="shared" si="2"/>
        <v>#VALUE!</v>
      </c>
      <c r="E155" s="22">
        <v>1832400</v>
      </c>
      <c r="F155" s="22">
        <v>848000</v>
      </c>
      <c r="G155" s="22">
        <v>951700</v>
      </c>
      <c r="H155" s="22">
        <v>1069600</v>
      </c>
      <c r="I155" s="22">
        <v>1291700</v>
      </c>
      <c r="J155" s="22">
        <v>1106500</v>
      </c>
      <c r="K155" s="22">
        <v>1792400</v>
      </c>
      <c r="L155" s="22">
        <v>1380800</v>
      </c>
      <c r="M155" s="22">
        <v>2380700</v>
      </c>
      <c r="N155" s="22">
        <v>1501900</v>
      </c>
      <c r="O155" s="22">
        <v>1660200</v>
      </c>
      <c r="P155" s="22">
        <v>1720300</v>
      </c>
      <c r="Q155" s="22">
        <v>1344800</v>
      </c>
      <c r="R155" s="22">
        <v>1648700</v>
      </c>
      <c r="S155" s="22">
        <v>1894900</v>
      </c>
      <c r="T155" s="22">
        <v>1546800</v>
      </c>
      <c r="U155" s="22">
        <v>1581500</v>
      </c>
      <c r="V155" s="22">
        <v>2624000</v>
      </c>
      <c r="W155" s="22">
        <v>1201800</v>
      </c>
      <c r="X155" s="22">
        <v>2632600</v>
      </c>
      <c r="Y155" s="22">
        <v>1535900</v>
      </c>
      <c r="Z155" s="22">
        <v>1091000</v>
      </c>
      <c r="AA155" s="22">
        <v>1671600</v>
      </c>
      <c r="AB155" s="22">
        <v>1649300</v>
      </c>
      <c r="AC155" s="22">
        <v>1695500</v>
      </c>
      <c r="AD155" s="22">
        <v>3653900</v>
      </c>
      <c r="AE155" s="22">
        <v>2565500</v>
      </c>
      <c r="AF155" s="22">
        <v>1745400</v>
      </c>
      <c r="AG155" s="22">
        <v>1128900</v>
      </c>
      <c r="AH155" s="22">
        <v>1890400</v>
      </c>
      <c r="AI155" s="22">
        <v>1520800</v>
      </c>
      <c r="AJ155" s="22">
        <v>1644800</v>
      </c>
      <c r="AK155" s="22">
        <v>1358700</v>
      </c>
      <c r="AL155" s="22">
        <v>1749500</v>
      </c>
      <c r="AM155" s="22">
        <v>2323900</v>
      </c>
      <c r="AN155" s="22">
        <v>1844300</v>
      </c>
      <c r="AO155" s="22">
        <v>2474600</v>
      </c>
      <c r="AP155" s="22">
        <v>3148600</v>
      </c>
      <c r="AQ155" s="22">
        <v>1429900</v>
      </c>
      <c r="AR155" s="22">
        <v>1634700</v>
      </c>
      <c r="AS155" s="22">
        <v>2351200</v>
      </c>
      <c r="AT155" s="22">
        <v>1471700</v>
      </c>
      <c r="AU155" s="22">
        <v>1283300</v>
      </c>
      <c r="AV155" s="22">
        <v>2888600</v>
      </c>
      <c r="AW155" s="22">
        <v>1779800</v>
      </c>
      <c r="AX155" s="22">
        <v>1779800</v>
      </c>
      <c r="AY155" s="22">
        <v>1709900</v>
      </c>
      <c r="AZ155" s="22">
        <v>3034800</v>
      </c>
      <c r="BA155" s="22">
        <v>2390200</v>
      </c>
      <c r="BB155" s="22">
        <v>3721200</v>
      </c>
      <c r="BC155" s="22">
        <v>7904000</v>
      </c>
      <c r="BD155" s="22">
        <v>3154400</v>
      </c>
      <c r="BE155" s="22">
        <v>1272900</v>
      </c>
      <c r="BF155" s="22">
        <v>1155400</v>
      </c>
      <c r="BG155" s="22">
        <v>1462400</v>
      </c>
      <c r="BH155" s="22">
        <v>2052500</v>
      </c>
      <c r="BI155" s="22">
        <v>1078400</v>
      </c>
      <c r="BJ155" s="22">
        <v>1136300</v>
      </c>
      <c r="BK155" s="22">
        <v>1050800</v>
      </c>
      <c r="BL155" s="22">
        <v>1286200</v>
      </c>
      <c r="BM155" s="1">
        <v>867900</v>
      </c>
      <c r="BN155" s="1">
        <v>1417400</v>
      </c>
      <c r="BO155" s="1">
        <v>2130600</v>
      </c>
      <c r="BP155" s="1">
        <v>907800</v>
      </c>
    </row>
    <row r="156" spans="1:68" ht="15.9" customHeight="1">
      <c r="A156" s="396" t="s">
        <v>306</v>
      </c>
      <c r="B156" s="49" t="s">
        <v>307</v>
      </c>
      <c r="C156" s="53" t="str">
        <f>_xll.RssMarket("4088","出来高")</f>
        <v/>
      </c>
      <c r="D156" s="16" t="e">
        <f t="shared" si="2"/>
        <v>#VALUE!</v>
      </c>
      <c r="E156" s="22">
        <v>896400</v>
      </c>
      <c r="F156" s="22">
        <v>695300</v>
      </c>
      <c r="G156" s="22">
        <v>958700</v>
      </c>
      <c r="H156" s="22">
        <v>529500</v>
      </c>
      <c r="I156" s="22">
        <v>604700</v>
      </c>
      <c r="J156" s="22">
        <v>465900</v>
      </c>
      <c r="K156" s="22">
        <v>508400</v>
      </c>
      <c r="L156" s="22">
        <v>1054800</v>
      </c>
      <c r="M156" s="22">
        <v>656900</v>
      </c>
      <c r="N156" s="22">
        <v>1453900</v>
      </c>
      <c r="O156" s="22">
        <v>840700</v>
      </c>
      <c r="P156" s="22">
        <v>1068100</v>
      </c>
      <c r="Q156" s="22">
        <v>1226500</v>
      </c>
      <c r="R156" s="22">
        <v>853900</v>
      </c>
      <c r="S156" s="22">
        <v>1372100</v>
      </c>
      <c r="T156" s="22">
        <v>2449400</v>
      </c>
      <c r="U156" s="22">
        <v>1791900</v>
      </c>
      <c r="V156" s="22">
        <v>3912000</v>
      </c>
      <c r="W156" s="22">
        <v>561600</v>
      </c>
      <c r="X156" s="22">
        <v>1086700</v>
      </c>
      <c r="Y156" s="22">
        <v>818300</v>
      </c>
      <c r="Z156" s="22">
        <v>546500</v>
      </c>
      <c r="AA156" s="22">
        <v>1084200</v>
      </c>
      <c r="AB156" s="22">
        <v>964600</v>
      </c>
      <c r="AC156" s="22">
        <v>829200</v>
      </c>
      <c r="AD156" s="22">
        <v>980100</v>
      </c>
      <c r="AE156" s="22">
        <v>947500</v>
      </c>
      <c r="AF156" s="22">
        <v>473500</v>
      </c>
      <c r="AG156" s="22">
        <v>907400</v>
      </c>
      <c r="AH156" s="22">
        <v>1205200</v>
      </c>
      <c r="AI156" s="22">
        <v>1213000</v>
      </c>
      <c r="AJ156" s="22">
        <v>2391200</v>
      </c>
      <c r="AK156" s="22">
        <v>1683400</v>
      </c>
      <c r="AL156" s="22">
        <v>2133200</v>
      </c>
      <c r="AM156" s="22">
        <v>1614600</v>
      </c>
      <c r="AN156" s="22">
        <v>1914400</v>
      </c>
      <c r="AO156" s="22">
        <v>1948500</v>
      </c>
      <c r="AP156" s="22">
        <v>3429800</v>
      </c>
      <c r="AQ156" s="22">
        <v>6991900</v>
      </c>
      <c r="AR156" s="22">
        <v>3109400</v>
      </c>
      <c r="AS156" s="22">
        <v>3475800</v>
      </c>
      <c r="AT156" s="22">
        <v>2152400</v>
      </c>
      <c r="AU156" s="22">
        <v>2406600</v>
      </c>
      <c r="AV156" s="22">
        <v>3269100</v>
      </c>
      <c r="AW156" s="22">
        <v>21611100</v>
      </c>
      <c r="AX156" s="22">
        <v>21611100</v>
      </c>
      <c r="AY156" s="22">
        <v>3841500</v>
      </c>
      <c r="AZ156" s="22">
        <v>7184000</v>
      </c>
      <c r="BA156" s="22">
        <v>19920400</v>
      </c>
      <c r="BB156" s="22">
        <v>738100</v>
      </c>
      <c r="BC156" s="22">
        <v>501300</v>
      </c>
      <c r="BD156" s="22">
        <v>517500</v>
      </c>
      <c r="BE156" s="22">
        <v>523000</v>
      </c>
      <c r="BF156" s="22">
        <v>592400</v>
      </c>
      <c r="BG156" s="22">
        <v>524800</v>
      </c>
      <c r="BH156" s="22">
        <v>572800</v>
      </c>
      <c r="BI156" s="22">
        <v>644500</v>
      </c>
      <c r="BJ156" s="22">
        <v>621500</v>
      </c>
      <c r="BK156" s="22">
        <v>815500</v>
      </c>
      <c r="BL156" s="22">
        <v>1298000</v>
      </c>
      <c r="BM156" s="1">
        <v>950200</v>
      </c>
      <c r="BN156" s="1">
        <v>435300</v>
      </c>
      <c r="BO156" s="1">
        <v>906500</v>
      </c>
      <c r="BP156" s="1">
        <v>538500</v>
      </c>
    </row>
    <row r="157" spans="1:68" ht="15.9" customHeight="1">
      <c r="A157" s="396" t="s">
        <v>308</v>
      </c>
      <c r="B157" s="49" t="s">
        <v>309</v>
      </c>
      <c r="C157" s="53" t="str">
        <f>_xll.RssMarket("4091","出来高")</f>
        <v/>
      </c>
      <c r="D157" s="16" t="e">
        <f t="shared" si="2"/>
        <v>#VALUE!</v>
      </c>
      <c r="E157" s="22">
        <v>518700</v>
      </c>
      <c r="F157" s="22">
        <v>434900</v>
      </c>
      <c r="G157" s="22">
        <v>506000</v>
      </c>
      <c r="H157" s="22">
        <v>279500</v>
      </c>
      <c r="I157" s="22">
        <v>476400</v>
      </c>
      <c r="J157" s="22">
        <v>467800</v>
      </c>
      <c r="K157" s="22">
        <v>322500</v>
      </c>
      <c r="L157" s="22">
        <v>413700</v>
      </c>
      <c r="M157" s="22">
        <v>706100</v>
      </c>
      <c r="N157" s="22">
        <v>425300</v>
      </c>
      <c r="O157" s="22">
        <v>780300</v>
      </c>
      <c r="P157" s="22">
        <v>539500</v>
      </c>
      <c r="Q157" s="22">
        <v>680200</v>
      </c>
      <c r="R157" s="22">
        <v>590700</v>
      </c>
      <c r="S157" s="22">
        <v>753500</v>
      </c>
      <c r="T157" s="22">
        <v>633200</v>
      </c>
      <c r="U157" s="22">
        <v>502000</v>
      </c>
      <c r="V157" s="22">
        <v>927600</v>
      </c>
      <c r="W157" s="22">
        <v>381400</v>
      </c>
      <c r="X157" s="22">
        <v>537200</v>
      </c>
      <c r="Y157" s="22">
        <v>401300</v>
      </c>
      <c r="Z157" s="22">
        <v>375300</v>
      </c>
      <c r="AA157" s="22">
        <v>474400</v>
      </c>
      <c r="AB157" s="22">
        <v>858200</v>
      </c>
      <c r="AC157" s="22">
        <v>400400</v>
      </c>
      <c r="AD157" s="22">
        <v>511900</v>
      </c>
      <c r="AE157" s="22">
        <v>599300</v>
      </c>
      <c r="AF157" s="22">
        <v>483500</v>
      </c>
      <c r="AG157" s="22">
        <v>462800</v>
      </c>
      <c r="AH157" s="22">
        <v>653900</v>
      </c>
      <c r="AI157" s="22">
        <v>688000</v>
      </c>
      <c r="AJ157" s="22">
        <v>1490700</v>
      </c>
      <c r="AK157" s="22">
        <v>633100</v>
      </c>
      <c r="AL157" s="22">
        <v>517800</v>
      </c>
      <c r="AM157" s="22">
        <v>917300</v>
      </c>
      <c r="AN157" s="22">
        <v>975900</v>
      </c>
      <c r="AO157" s="22">
        <v>462000</v>
      </c>
      <c r="AP157" s="22">
        <v>605300</v>
      </c>
      <c r="AQ157" s="22">
        <v>507300</v>
      </c>
      <c r="AR157" s="22">
        <v>776800</v>
      </c>
      <c r="AS157" s="22">
        <v>875100</v>
      </c>
      <c r="AT157" s="22">
        <v>865200</v>
      </c>
      <c r="AU157" s="22">
        <v>1059800</v>
      </c>
      <c r="AV157" s="22">
        <v>2298400</v>
      </c>
      <c r="AW157" s="22">
        <v>2340700</v>
      </c>
      <c r="AX157" s="22">
        <v>2340700</v>
      </c>
      <c r="AY157" s="22">
        <v>895500</v>
      </c>
      <c r="AZ157" s="22">
        <v>1653600</v>
      </c>
      <c r="BA157" s="22">
        <v>588800</v>
      </c>
      <c r="BB157" s="22">
        <v>892900</v>
      </c>
      <c r="BC157" s="22">
        <v>598700</v>
      </c>
      <c r="BD157" s="22">
        <v>539400</v>
      </c>
      <c r="BE157" s="22">
        <v>711600</v>
      </c>
      <c r="BF157" s="22">
        <v>944000</v>
      </c>
      <c r="BG157" s="22">
        <v>535300</v>
      </c>
      <c r="BH157" s="22">
        <v>616600</v>
      </c>
      <c r="BI157" s="22">
        <v>499000</v>
      </c>
      <c r="BJ157" s="22">
        <v>497600</v>
      </c>
      <c r="BK157" s="22">
        <v>537300</v>
      </c>
      <c r="BL157" s="22">
        <v>745000</v>
      </c>
      <c r="BM157" s="1">
        <v>636600</v>
      </c>
      <c r="BN157" s="1">
        <v>487000</v>
      </c>
      <c r="BO157" s="1">
        <v>585000</v>
      </c>
      <c r="BP157" s="1">
        <v>671200</v>
      </c>
    </row>
    <row r="158" spans="1:68" ht="15.9" customHeight="1">
      <c r="A158" s="396" t="s">
        <v>310</v>
      </c>
      <c r="B158" s="49" t="s">
        <v>311</v>
      </c>
      <c r="C158" s="53" t="str">
        <f>_xll.RssMarket("6857","出来高")</f>
        <v/>
      </c>
      <c r="D158" s="16" t="e">
        <f t="shared" si="2"/>
        <v>#VALUE!</v>
      </c>
      <c r="E158" s="22">
        <v>13442000</v>
      </c>
      <c r="F158" s="22">
        <v>7789700</v>
      </c>
      <c r="G158" s="22">
        <v>8956100</v>
      </c>
      <c r="H158" s="22">
        <v>6766700</v>
      </c>
      <c r="I158" s="22">
        <v>7330900</v>
      </c>
      <c r="J158" s="22">
        <v>8863600</v>
      </c>
      <c r="K158" s="22">
        <v>10152200</v>
      </c>
      <c r="L158" s="22">
        <v>7803900</v>
      </c>
      <c r="M158" s="22">
        <v>6649300</v>
      </c>
      <c r="N158" s="22">
        <v>7931300</v>
      </c>
      <c r="O158" s="22">
        <v>9115500</v>
      </c>
      <c r="P158" s="22">
        <v>6204600</v>
      </c>
      <c r="Q158" s="22">
        <v>7822200</v>
      </c>
      <c r="R158" s="22">
        <v>7261600</v>
      </c>
      <c r="S158" s="22">
        <v>11040100</v>
      </c>
      <c r="T158" s="22">
        <v>12921900</v>
      </c>
      <c r="U158" s="22">
        <v>7695200</v>
      </c>
      <c r="V158" s="22">
        <v>10134300</v>
      </c>
      <c r="W158" s="22">
        <v>5949900</v>
      </c>
      <c r="X158" s="22">
        <v>9887400</v>
      </c>
      <c r="Y158" s="22">
        <v>7501800</v>
      </c>
      <c r="Z158" s="22">
        <v>7837500</v>
      </c>
      <c r="AA158" s="22">
        <v>12037500</v>
      </c>
      <c r="AB158" s="22">
        <v>10241000</v>
      </c>
      <c r="AC158" s="22">
        <v>7237400</v>
      </c>
      <c r="AD158" s="22">
        <v>8322300</v>
      </c>
      <c r="AE158" s="22">
        <v>10067400</v>
      </c>
      <c r="AF158" s="22">
        <v>7157600</v>
      </c>
      <c r="AG158" s="22">
        <v>7606900</v>
      </c>
      <c r="AH158" s="22">
        <v>8806800</v>
      </c>
      <c r="AI158" s="22">
        <v>8218300</v>
      </c>
      <c r="AJ158" s="22">
        <v>9408700</v>
      </c>
      <c r="AK158" s="22">
        <v>7244100</v>
      </c>
      <c r="AL158" s="22">
        <v>9423800</v>
      </c>
      <c r="AM158" s="22">
        <v>7936500</v>
      </c>
      <c r="AN158" s="22">
        <v>7253600</v>
      </c>
      <c r="AO158" s="22">
        <v>9851300</v>
      </c>
      <c r="AP158" s="22">
        <v>8881700</v>
      </c>
      <c r="AQ158" s="22">
        <v>9174200</v>
      </c>
      <c r="AR158" s="22">
        <v>8750700</v>
      </c>
      <c r="AS158" s="22">
        <v>9938400</v>
      </c>
      <c r="AT158" s="22">
        <v>9547900</v>
      </c>
      <c r="AU158" s="22">
        <v>5799400</v>
      </c>
      <c r="AV158" s="22">
        <v>7971200</v>
      </c>
      <c r="AW158" s="22">
        <v>8727700</v>
      </c>
      <c r="AX158" s="22">
        <v>8727700</v>
      </c>
      <c r="AY158" s="22">
        <v>8963400</v>
      </c>
      <c r="AZ158" s="22">
        <v>11005100</v>
      </c>
      <c r="BA158" s="22">
        <v>7144100</v>
      </c>
      <c r="BB158" s="22">
        <v>13127400</v>
      </c>
      <c r="BC158" s="22">
        <v>19894900</v>
      </c>
      <c r="BD158" s="22">
        <v>18594000</v>
      </c>
      <c r="BE158" s="22">
        <v>15405700</v>
      </c>
      <c r="BF158" s="22">
        <v>10679900</v>
      </c>
      <c r="BG158" s="22">
        <v>9077500</v>
      </c>
      <c r="BH158" s="22">
        <v>6400300</v>
      </c>
      <c r="BI158" s="22">
        <v>7633600</v>
      </c>
      <c r="BJ158" s="22">
        <v>9985300</v>
      </c>
      <c r="BK158" s="22">
        <v>10852600</v>
      </c>
      <c r="BL158" s="22">
        <v>12810000</v>
      </c>
      <c r="BM158" s="1">
        <v>11460300</v>
      </c>
      <c r="BN158" s="1">
        <v>6508500</v>
      </c>
      <c r="BO158" s="1">
        <v>10849800</v>
      </c>
      <c r="BP158" s="1">
        <v>8706000</v>
      </c>
    </row>
    <row r="159" spans="1:68" ht="15.9" customHeight="1">
      <c r="A159" s="396" t="s">
        <v>312</v>
      </c>
      <c r="B159" s="49" t="s">
        <v>313</v>
      </c>
      <c r="C159" s="53" t="str">
        <f>_xll.RssMarket("3891","出来高")</f>
        <v/>
      </c>
      <c r="D159" s="16" t="e">
        <f t="shared" si="2"/>
        <v>#VALUE!</v>
      </c>
      <c r="E159" s="22">
        <v>187300</v>
      </c>
      <c r="F159" s="22">
        <v>140800</v>
      </c>
      <c r="G159" s="22">
        <v>139300</v>
      </c>
      <c r="H159" s="22">
        <v>192000</v>
      </c>
      <c r="I159" s="22">
        <v>161500</v>
      </c>
      <c r="J159" s="22">
        <v>238500</v>
      </c>
      <c r="K159" s="22">
        <v>184400</v>
      </c>
      <c r="L159" s="22">
        <v>227900</v>
      </c>
      <c r="M159" s="22">
        <v>148200</v>
      </c>
      <c r="N159" s="22">
        <v>246500</v>
      </c>
      <c r="O159" s="22">
        <v>216000</v>
      </c>
      <c r="P159" s="22">
        <v>170000</v>
      </c>
      <c r="Q159" s="22">
        <v>128900</v>
      </c>
      <c r="R159" s="22">
        <v>137500</v>
      </c>
      <c r="S159" s="22">
        <v>167100</v>
      </c>
      <c r="T159" s="22">
        <v>255200</v>
      </c>
      <c r="U159" s="22">
        <v>281600</v>
      </c>
      <c r="V159" s="22">
        <v>314300</v>
      </c>
      <c r="W159" s="22">
        <v>282900</v>
      </c>
      <c r="X159" s="22">
        <v>231400</v>
      </c>
      <c r="Y159" s="22">
        <v>411800</v>
      </c>
      <c r="Z159" s="22">
        <v>456000</v>
      </c>
      <c r="AA159" s="22">
        <v>189000</v>
      </c>
      <c r="AB159" s="22">
        <v>438800</v>
      </c>
      <c r="AC159" s="22">
        <v>475900</v>
      </c>
      <c r="AD159" s="22">
        <v>640400</v>
      </c>
      <c r="AE159" s="22">
        <v>433600</v>
      </c>
      <c r="AF159" s="22">
        <v>372500</v>
      </c>
      <c r="AG159" s="22">
        <v>192700</v>
      </c>
      <c r="AH159" s="22">
        <v>394200</v>
      </c>
      <c r="AI159" s="22">
        <v>359800</v>
      </c>
      <c r="AJ159" s="22">
        <v>206700</v>
      </c>
      <c r="AK159" s="22">
        <v>192300</v>
      </c>
      <c r="AL159" s="22">
        <v>184700</v>
      </c>
      <c r="AM159" s="22">
        <v>249700</v>
      </c>
      <c r="AN159" s="22">
        <v>235500</v>
      </c>
      <c r="AO159" s="22">
        <v>161200</v>
      </c>
      <c r="AP159" s="22">
        <v>208200</v>
      </c>
      <c r="AQ159" s="22">
        <v>148700</v>
      </c>
      <c r="AR159" s="22">
        <v>164600</v>
      </c>
      <c r="AS159" s="22">
        <v>118600</v>
      </c>
      <c r="AT159" s="22">
        <v>99100</v>
      </c>
      <c r="AU159" s="22">
        <v>108600</v>
      </c>
      <c r="AV159" s="22">
        <v>97600</v>
      </c>
      <c r="AW159" s="22">
        <v>119000</v>
      </c>
      <c r="AX159" s="22">
        <v>119000</v>
      </c>
      <c r="AY159" s="22">
        <v>160400</v>
      </c>
      <c r="AZ159" s="22">
        <v>197500</v>
      </c>
      <c r="BA159" s="22">
        <v>169200</v>
      </c>
      <c r="BB159" s="22">
        <v>242400</v>
      </c>
      <c r="BC159" s="22">
        <v>605400</v>
      </c>
      <c r="BD159" s="22">
        <v>484000</v>
      </c>
      <c r="BE159" s="22">
        <v>333700</v>
      </c>
      <c r="BF159" s="22">
        <v>127500</v>
      </c>
      <c r="BG159" s="22">
        <v>156400</v>
      </c>
      <c r="BH159" s="22">
        <v>182500</v>
      </c>
      <c r="BI159" s="22">
        <v>117200</v>
      </c>
      <c r="BJ159" s="22">
        <v>54600</v>
      </c>
      <c r="BK159" s="22">
        <v>98100</v>
      </c>
      <c r="BL159" s="22">
        <v>143900</v>
      </c>
      <c r="BM159" s="1">
        <v>86400</v>
      </c>
      <c r="BN159" s="1">
        <v>71300</v>
      </c>
      <c r="BO159" s="1">
        <v>65100</v>
      </c>
      <c r="BP159" s="1">
        <v>71500</v>
      </c>
    </row>
    <row r="160" spans="1:68" ht="15.9" customHeight="1">
      <c r="A160" s="396" t="s">
        <v>314</v>
      </c>
      <c r="B160" s="49" t="s">
        <v>315</v>
      </c>
      <c r="C160" s="53" t="str">
        <f>_xll.RssMarket("4373","出来高")</f>
        <v/>
      </c>
      <c r="D160" s="16" t="e">
        <f t="shared" si="2"/>
        <v>#VALUE!</v>
      </c>
      <c r="E160" s="22">
        <v>1410100</v>
      </c>
      <c r="F160" s="22">
        <v>630700</v>
      </c>
      <c r="G160" s="22">
        <v>764200</v>
      </c>
      <c r="H160" s="22">
        <v>586100</v>
      </c>
      <c r="I160" s="22">
        <v>613400</v>
      </c>
      <c r="J160" s="22">
        <v>794700</v>
      </c>
      <c r="K160" s="22">
        <v>1565600</v>
      </c>
      <c r="L160" s="22">
        <v>1742700</v>
      </c>
      <c r="M160" s="22">
        <v>855700</v>
      </c>
      <c r="N160" s="22">
        <v>1022100</v>
      </c>
      <c r="O160" s="22">
        <v>985800</v>
      </c>
      <c r="P160" s="22">
        <v>701000</v>
      </c>
      <c r="Q160" s="22">
        <v>794100</v>
      </c>
      <c r="R160" s="22">
        <v>1125200</v>
      </c>
      <c r="S160" s="22">
        <v>801200</v>
      </c>
      <c r="T160" s="22">
        <v>566900</v>
      </c>
      <c r="U160" s="22">
        <v>1178000</v>
      </c>
      <c r="V160" s="22">
        <v>1163000</v>
      </c>
      <c r="W160" s="22">
        <v>1111300</v>
      </c>
      <c r="X160" s="22">
        <v>1647600</v>
      </c>
      <c r="Y160" s="22">
        <v>829300</v>
      </c>
      <c r="Z160" s="22">
        <v>621300</v>
      </c>
      <c r="AA160" s="22">
        <v>829400</v>
      </c>
      <c r="AB160" s="22">
        <v>1476300</v>
      </c>
      <c r="AC160" s="22">
        <v>763400</v>
      </c>
      <c r="AD160" s="22">
        <v>912900</v>
      </c>
      <c r="AE160" s="22">
        <v>494900</v>
      </c>
      <c r="AF160" s="22">
        <v>656700</v>
      </c>
      <c r="AG160" s="22">
        <v>1032700</v>
      </c>
      <c r="AH160" s="22">
        <v>1030100</v>
      </c>
      <c r="AI160" s="22">
        <v>1269400</v>
      </c>
      <c r="AJ160" s="22">
        <v>1583600</v>
      </c>
      <c r="AK160" s="22">
        <v>1088100</v>
      </c>
      <c r="AL160" s="22">
        <v>1056800</v>
      </c>
      <c r="AM160" s="22">
        <v>1059800</v>
      </c>
      <c r="AN160" s="22">
        <v>1295100</v>
      </c>
      <c r="AO160" s="22">
        <v>1180500</v>
      </c>
      <c r="AP160" s="22">
        <v>1409700</v>
      </c>
      <c r="AQ160" s="22">
        <v>1908400</v>
      </c>
      <c r="AR160" s="22">
        <v>523300</v>
      </c>
      <c r="AS160" s="22">
        <v>752200</v>
      </c>
      <c r="AT160" s="22">
        <v>666900</v>
      </c>
      <c r="AU160" s="22">
        <v>735600</v>
      </c>
      <c r="AV160" s="22">
        <v>888600</v>
      </c>
      <c r="AW160" s="22">
        <v>870200</v>
      </c>
      <c r="AX160" s="22">
        <v>870200</v>
      </c>
      <c r="AY160" s="22">
        <v>855200</v>
      </c>
      <c r="AZ160" s="22">
        <v>1354000</v>
      </c>
      <c r="BA160" s="22">
        <v>2461000</v>
      </c>
      <c r="BB160" s="22">
        <v>1172800</v>
      </c>
      <c r="BC160" s="22">
        <v>624100</v>
      </c>
      <c r="BD160" s="22">
        <v>1467300</v>
      </c>
      <c r="BE160" s="22">
        <v>480400</v>
      </c>
      <c r="BF160" s="22">
        <v>656600</v>
      </c>
      <c r="BG160" s="22">
        <v>802600</v>
      </c>
      <c r="BH160" s="22">
        <v>650400</v>
      </c>
      <c r="BI160" s="22">
        <v>813200</v>
      </c>
      <c r="BJ160" s="22">
        <v>1412700</v>
      </c>
      <c r="BK160" s="22">
        <v>770500</v>
      </c>
      <c r="BL160" s="22">
        <v>1466100</v>
      </c>
      <c r="BM160" s="1">
        <v>574800</v>
      </c>
      <c r="BN160" s="1">
        <v>389800</v>
      </c>
      <c r="BO160" s="1">
        <v>820300</v>
      </c>
      <c r="BP160" s="1">
        <v>377000</v>
      </c>
    </row>
    <row r="161" spans="1:68" ht="15.9" customHeight="1">
      <c r="A161" s="396" t="s">
        <v>316</v>
      </c>
      <c r="B161" s="49" t="s">
        <v>317</v>
      </c>
      <c r="C161" s="53" t="str">
        <f>_xll.RssMarket("8892","出来高")</f>
        <v/>
      </c>
      <c r="D161" s="16" t="e">
        <f t="shared" si="2"/>
        <v>#VALUE!</v>
      </c>
      <c r="E161" s="22">
        <v>151400</v>
      </c>
      <c r="F161" s="22">
        <v>110500</v>
      </c>
      <c r="G161" s="22">
        <v>130000</v>
      </c>
      <c r="H161" s="22">
        <v>135000</v>
      </c>
      <c r="I161" s="22">
        <v>138100</v>
      </c>
      <c r="J161" s="22">
        <v>125200</v>
      </c>
      <c r="K161" s="22">
        <v>98700</v>
      </c>
      <c r="L161" s="22">
        <v>127200</v>
      </c>
      <c r="M161" s="22">
        <v>104000</v>
      </c>
      <c r="N161" s="22">
        <v>124700</v>
      </c>
      <c r="O161" s="22">
        <v>127700</v>
      </c>
      <c r="P161" s="22">
        <v>122100</v>
      </c>
      <c r="Q161" s="22">
        <v>200200</v>
      </c>
      <c r="R161" s="22">
        <v>280500</v>
      </c>
      <c r="S161" s="22">
        <v>138300</v>
      </c>
      <c r="T161" s="22">
        <v>104000</v>
      </c>
      <c r="U161" s="22">
        <v>157200</v>
      </c>
      <c r="V161" s="22">
        <v>189900</v>
      </c>
      <c r="W161" s="22">
        <v>195300</v>
      </c>
      <c r="X161" s="22">
        <v>200500</v>
      </c>
      <c r="Y161" s="22">
        <v>143900</v>
      </c>
      <c r="Z161" s="22">
        <v>181300</v>
      </c>
      <c r="AA161" s="22">
        <v>168800</v>
      </c>
      <c r="AB161" s="22">
        <v>231200</v>
      </c>
      <c r="AC161" s="22">
        <v>144500</v>
      </c>
      <c r="AD161" s="22">
        <v>148900</v>
      </c>
      <c r="AE161" s="22">
        <v>165000</v>
      </c>
      <c r="AF161" s="22">
        <v>153800</v>
      </c>
      <c r="AG161" s="22">
        <v>157900</v>
      </c>
      <c r="AH161" s="22">
        <v>159400</v>
      </c>
      <c r="AI161" s="22">
        <v>164100</v>
      </c>
      <c r="AJ161" s="22">
        <v>286700</v>
      </c>
      <c r="AK161" s="22">
        <v>216400</v>
      </c>
      <c r="AL161" s="22">
        <v>157100</v>
      </c>
      <c r="AM161" s="22">
        <v>207500</v>
      </c>
      <c r="AN161" s="22">
        <v>209200</v>
      </c>
      <c r="AO161" s="22">
        <v>216700</v>
      </c>
      <c r="AP161" s="22">
        <v>310200</v>
      </c>
      <c r="AQ161" s="22">
        <v>295700</v>
      </c>
      <c r="AR161" s="22">
        <v>338200</v>
      </c>
      <c r="AS161" s="22">
        <v>246400</v>
      </c>
      <c r="AT161" s="22">
        <v>220200</v>
      </c>
      <c r="AU161" s="22">
        <v>172500</v>
      </c>
      <c r="AV161" s="22">
        <v>194800</v>
      </c>
      <c r="AW161" s="22">
        <v>168500</v>
      </c>
      <c r="AX161" s="22">
        <v>168500</v>
      </c>
      <c r="AY161" s="22">
        <v>170200</v>
      </c>
      <c r="AZ161" s="22">
        <v>253100</v>
      </c>
      <c r="BA161" s="22">
        <v>277400</v>
      </c>
      <c r="BB161" s="22">
        <v>292800</v>
      </c>
      <c r="BC161" s="22">
        <v>397900</v>
      </c>
      <c r="BD161" s="22">
        <v>1087000</v>
      </c>
      <c r="BE161" s="22">
        <v>241900</v>
      </c>
      <c r="BF161" s="22">
        <v>144100</v>
      </c>
      <c r="BG161" s="22">
        <v>164900</v>
      </c>
      <c r="BH161" s="22">
        <v>283000</v>
      </c>
      <c r="BI161" s="22">
        <v>219700</v>
      </c>
      <c r="BJ161" s="22">
        <v>121200</v>
      </c>
      <c r="BK161" s="22">
        <v>135100</v>
      </c>
      <c r="BL161" s="22">
        <v>162000</v>
      </c>
      <c r="BM161" s="1">
        <v>192700</v>
      </c>
      <c r="BN161" s="1">
        <v>180500</v>
      </c>
      <c r="BO161" s="1">
        <v>163000</v>
      </c>
      <c r="BP161" s="1">
        <v>120600</v>
      </c>
    </row>
    <row r="162" spans="1:68" ht="15.9" customHeight="1">
      <c r="A162" s="396" t="s">
        <v>318</v>
      </c>
      <c r="B162" s="49" t="s">
        <v>319</v>
      </c>
      <c r="C162" s="53" t="str">
        <f>_xll.RssMarket("9687","出来高")</f>
        <v/>
      </c>
      <c r="D162" s="16" t="e">
        <f t="shared" si="2"/>
        <v>#VALUE!</v>
      </c>
      <c r="E162" s="22">
        <v>3400</v>
      </c>
      <c r="F162" s="22">
        <v>1600</v>
      </c>
      <c r="G162" s="22">
        <v>1100</v>
      </c>
      <c r="H162" s="22">
        <v>1400</v>
      </c>
      <c r="I162" s="22">
        <v>200</v>
      </c>
      <c r="J162" s="22">
        <v>400</v>
      </c>
      <c r="K162" s="22">
        <v>900</v>
      </c>
      <c r="L162" s="22">
        <v>1300</v>
      </c>
      <c r="M162" s="22">
        <v>900</v>
      </c>
      <c r="N162" s="22">
        <v>300</v>
      </c>
      <c r="O162" s="22">
        <v>600</v>
      </c>
      <c r="P162" s="22">
        <v>700</v>
      </c>
      <c r="Q162" s="22">
        <v>300</v>
      </c>
      <c r="R162" s="22">
        <v>700</v>
      </c>
      <c r="S162" s="22">
        <v>2400</v>
      </c>
      <c r="T162" s="22">
        <v>1700</v>
      </c>
      <c r="U162" s="22">
        <v>1300</v>
      </c>
      <c r="V162" s="22">
        <v>1900</v>
      </c>
      <c r="W162" s="22">
        <v>2000</v>
      </c>
      <c r="X162" s="22">
        <v>2100</v>
      </c>
      <c r="Y162" s="22">
        <v>1500</v>
      </c>
      <c r="Z162" s="22">
        <v>1700</v>
      </c>
      <c r="AA162" s="22">
        <v>3800</v>
      </c>
      <c r="AB162" s="22">
        <v>600</v>
      </c>
      <c r="AC162" s="22">
        <v>800</v>
      </c>
      <c r="AD162" s="22">
        <v>600</v>
      </c>
      <c r="AE162" s="22">
        <v>1800</v>
      </c>
      <c r="AF162" s="22">
        <v>300</v>
      </c>
      <c r="AG162" s="22">
        <v>700</v>
      </c>
      <c r="AH162" s="22">
        <v>300</v>
      </c>
      <c r="AI162" s="22">
        <v>1200</v>
      </c>
      <c r="AJ162" s="22">
        <v>2100</v>
      </c>
      <c r="AK162" s="22">
        <v>3400</v>
      </c>
      <c r="AL162" s="22">
        <v>1900</v>
      </c>
      <c r="AM162" s="22">
        <v>3100</v>
      </c>
      <c r="AN162" s="22">
        <v>1600</v>
      </c>
      <c r="AO162" s="22">
        <v>2800</v>
      </c>
      <c r="AP162" s="22">
        <v>1900</v>
      </c>
      <c r="AQ162" s="22">
        <v>1600</v>
      </c>
      <c r="AR162" s="22">
        <v>2200</v>
      </c>
      <c r="AS162" s="22">
        <v>2500</v>
      </c>
      <c r="AT162" s="22">
        <v>1700</v>
      </c>
      <c r="AU162" s="22">
        <v>1100</v>
      </c>
      <c r="AV162" s="22">
        <v>1000</v>
      </c>
      <c r="AW162" s="22">
        <v>1500</v>
      </c>
      <c r="AX162" s="22">
        <v>1500</v>
      </c>
      <c r="AY162" s="22">
        <v>1700</v>
      </c>
      <c r="AZ162" s="22">
        <v>2100</v>
      </c>
      <c r="BA162" s="22">
        <v>8000</v>
      </c>
      <c r="BB162" s="22">
        <v>17200</v>
      </c>
      <c r="BC162" s="22">
        <v>1500</v>
      </c>
      <c r="BD162" s="22">
        <v>1900</v>
      </c>
      <c r="BE162" s="22">
        <v>4200</v>
      </c>
      <c r="BF162" s="22">
        <v>1600</v>
      </c>
      <c r="BG162" s="22">
        <v>1900</v>
      </c>
      <c r="BH162" s="22">
        <v>900</v>
      </c>
      <c r="BI162" s="22">
        <v>700</v>
      </c>
      <c r="BJ162" s="22">
        <v>300</v>
      </c>
      <c r="BK162" s="22">
        <v>1200</v>
      </c>
      <c r="BL162" s="22">
        <v>4900</v>
      </c>
      <c r="BM162" s="1">
        <v>4500</v>
      </c>
      <c r="BN162" s="1">
        <v>2300</v>
      </c>
      <c r="BO162" s="1">
        <v>1700</v>
      </c>
      <c r="BP162" s="1">
        <v>1300</v>
      </c>
    </row>
    <row r="163" spans="1:68" ht="15.9" customHeight="1">
      <c r="A163" s="396" t="s">
        <v>320</v>
      </c>
      <c r="B163" s="49" t="s">
        <v>321</v>
      </c>
      <c r="C163" s="53" t="str">
        <f>_xll.RssMarket("1930","出来高")</f>
        <v/>
      </c>
      <c r="D163" s="16" t="e">
        <f t="shared" si="2"/>
        <v>#VALUE!</v>
      </c>
      <c r="E163" s="22">
        <v>86700</v>
      </c>
      <c r="F163" s="22">
        <v>49200</v>
      </c>
      <c r="G163" s="22">
        <v>74200</v>
      </c>
      <c r="H163" s="22">
        <v>56400</v>
      </c>
      <c r="I163" s="22">
        <v>35400</v>
      </c>
      <c r="J163" s="22">
        <v>41300</v>
      </c>
      <c r="K163" s="22">
        <v>43100</v>
      </c>
      <c r="L163" s="22">
        <v>42700</v>
      </c>
      <c r="M163" s="22">
        <v>34000</v>
      </c>
      <c r="N163" s="22">
        <v>40900</v>
      </c>
      <c r="O163" s="22">
        <v>38300</v>
      </c>
      <c r="P163" s="22">
        <v>41300</v>
      </c>
      <c r="Q163" s="22">
        <v>35900</v>
      </c>
      <c r="R163" s="22">
        <v>56600</v>
      </c>
      <c r="S163" s="22">
        <v>36500</v>
      </c>
      <c r="T163" s="22">
        <v>48900</v>
      </c>
      <c r="U163" s="22">
        <v>68300</v>
      </c>
      <c r="V163" s="22">
        <v>62200</v>
      </c>
      <c r="W163" s="22">
        <v>106300</v>
      </c>
      <c r="X163" s="22">
        <v>57200</v>
      </c>
      <c r="Y163" s="22">
        <v>64400</v>
      </c>
      <c r="Z163" s="22">
        <v>65400</v>
      </c>
      <c r="AA163" s="22">
        <v>52700</v>
      </c>
      <c r="AB163" s="22">
        <v>89200</v>
      </c>
      <c r="AC163" s="22">
        <v>68400</v>
      </c>
      <c r="AD163" s="22">
        <v>44000</v>
      </c>
      <c r="AE163" s="22">
        <v>65000</v>
      </c>
      <c r="AF163" s="22">
        <v>75100</v>
      </c>
      <c r="AG163" s="22">
        <v>40900</v>
      </c>
      <c r="AH163" s="22">
        <v>56600</v>
      </c>
      <c r="AI163" s="22">
        <v>111100</v>
      </c>
      <c r="AJ163" s="22">
        <v>53400</v>
      </c>
      <c r="AK163" s="22">
        <v>60000</v>
      </c>
      <c r="AL163" s="22">
        <v>67300</v>
      </c>
      <c r="AM163" s="22">
        <v>86000</v>
      </c>
      <c r="AN163" s="22">
        <v>36200</v>
      </c>
      <c r="AO163" s="22">
        <v>46500</v>
      </c>
      <c r="AP163" s="22">
        <v>89600</v>
      </c>
      <c r="AQ163" s="22">
        <v>81200</v>
      </c>
      <c r="AR163" s="22">
        <v>94500</v>
      </c>
      <c r="AS163" s="22">
        <v>48800</v>
      </c>
      <c r="AT163" s="22">
        <v>51000</v>
      </c>
      <c r="AU163" s="22">
        <v>62100</v>
      </c>
      <c r="AV163" s="22">
        <v>119500</v>
      </c>
      <c r="AW163" s="22">
        <v>95500</v>
      </c>
      <c r="AX163" s="22">
        <v>95500</v>
      </c>
      <c r="AY163" s="22">
        <v>84300</v>
      </c>
      <c r="AZ163" s="22">
        <v>164500</v>
      </c>
      <c r="BA163" s="22">
        <v>265700</v>
      </c>
      <c r="BB163" s="22">
        <v>1081300</v>
      </c>
      <c r="BC163" s="22">
        <v>401700</v>
      </c>
      <c r="BD163" s="22">
        <v>90000</v>
      </c>
      <c r="BE163" s="22">
        <v>62100</v>
      </c>
      <c r="BF163" s="22">
        <v>45900</v>
      </c>
      <c r="BG163" s="22">
        <v>60400</v>
      </c>
      <c r="BH163" s="22">
        <v>52900</v>
      </c>
      <c r="BI163" s="22">
        <v>29700</v>
      </c>
      <c r="BJ163" s="22">
        <v>27600</v>
      </c>
      <c r="BK163" s="22">
        <v>44700</v>
      </c>
      <c r="BL163" s="22">
        <v>68700</v>
      </c>
      <c r="BM163" s="1">
        <v>46000</v>
      </c>
      <c r="BN163" s="1">
        <v>40800</v>
      </c>
      <c r="BO163" s="1">
        <v>36600</v>
      </c>
      <c r="BP163" s="1">
        <v>33600</v>
      </c>
    </row>
    <row r="164" spans="1:68" ht="15.9" customHeight="1">
      <c r="A164" s="396" t="s">
        <v>322</v>
      </c>
      <c r="B164" s="49" t="s">
        <v>323</v>
      </c>
      <c r="C164" s="53" t="str">
        <f>_xll.RssMarket("8704","出来高")</f>
        <v/>
      </c>
      <c r="D164" s="16" t="e">
        <f t="shared" si="2"/>
        <v>#VALUE!</v>
      </c>
      <c r="E164" s="22">
        <v>151900</v>
      </c>
      <c r="F164" s="22">
        <v>123100</v>
      </c>
      <c r="G164" s="22">
        <v>100000</v>
      </c>
      <c r="H164" s="22">
        <v>47200</v>
      </c>
      <c r="I164" s="22">
        <v>32900</v>
      </c>
      <c r="J164" s="22">
        <v>30500</v>
      </c>
      <c r="K164" s="22">
        <v>76900</v>
      </c>
      <c r="L164" s="22">
        <v>117500</v>
      </c>
      <c r="M164" s="22">
        <v>76200</v>
      </c>
      <c r="N164" s="22">
        <v>104500</v>
      </c>
      <c r="O164" s="22">
        <v>118400</v>
      </c>
      <c r="P164" s="22">
        <v>80300</v>
      </c>
      <c r="Q164" s="22">
        <v>94300</v>
      </c>
      <c r="R164" s="22">
        <v>99600</v>
      </c>
      <c r="S164" s="22">
        <v>62300</v>
      </c>
      <c r="T164" s="22">
        <v>56000</v>
      </c>
      <c r="U164" s="22">
        <v>100200</v>
      </c>
      <c r="V164" s="22">
        <v>86000</v>
      </c>
      <c r="W164" s="22">
        <v>130500</v>
      </c>
      <c r="X164" s="22">
        <v>94700</v>
      </c>
      <c r="Y164" s="22">
        <v>116400</v>
      </c>
      <c r="Z164" s="22">
        <v>87800</v>
      </c>
      <c r="AA164" s="22">
        <v>69200</v>
      </c>
      <c r="AB164" s="22">
        <v>124700</v>
      </c>
      <c r="AC164" s="22">
        <v>144700</v>
      </c>
      <c r="AD164" s="22">
        <v>107300</v>
      </c>
      <c r="AE164" s="22">
        <v>97100</v>
      </c>
      <c r="AF164" s="22">
        <v>111300</v>
      </c>
      <c r="AG164" s="22">
        <v>132100</v>
      </c>
      <c r="AH164" s="22">
        <v>69100</v>
      </c>
      <c r="AI164" s="22">
        <v>99800</v>
      </c>
      <c r="AJ164" s="22">
        <v>121400</v>
      </c>
      <c r="AK164" s="22">
        <v>50100</v>
      </c>
      <c r="AL164" s="22">
        <v>80000</v>
      </c>
      <c r="AM164" s="22">
        <v>47300</v>
      </c>
      <c r="AN164" s="22">
        <v>52300</v>
      </c>
      <c r="AO164" s="22">
        <v>76000</v>
      </c>
      <c r="AP164" s="22">
        <v>123000</v>
      </c>
      <c r="AQ164" s="22">
        <v>76200</v>
      </c>
      <c r="AR164" s="22">
        <v>97700</v>
      </c>
      <c r="AS164" s="22">
        <v>139200</v>
      </c>
      <c r="AT164" s="22">
        <v>114500</v>
      </c>
      <c r="AU164" s="22">
        <v>160400</v>
      </c>
      <c r="AV164" s="22">
        <v>110700</v>
      </c>
      <c r="AW164" s="22">
        <v>213000</v>
      </c>
      <c r="AX164" s="22">
        <v>213000</v>
      </c>
      <c r="AY164" s="22">
        <v>359300</v>
      </c>
      <c r="AZ164" s="22">
        <v>243200</v>
      </c>
      <c r="BA164" s="22">
        <v>801800</v>
      </c>
      <c r="BB164" s="22">
        <v>117800</v>
      </c>
      <c r="BC164" s="22">
        <v>96800</v>
      </c>
      <c r="BD164" s="22">
        <v>89100</v>
      </c>
      <c r="BE164" s="22">
        <v>68700</v>
      </c>
      <c r="BF164" s="22">
        <v>46700</v>
      </c>
      <c r="BG164" s="22">
        <v>76400</v>
      </c>
      <c r="BH164" s="22">
        <v>115700</v>
      </c>
      <c r="BI164" s="22">
        <v>82500</v>
      </c>
      <c r="BJ164" s="22">
        <v>26800</v>
      </c>
      <c r="BK164" s="22">
        <v>67500</v>
      </c>
      <c r="BL164" s="22">
        <v>44700</v>
      </c>
      <c r="BM164" s="1">
        <v>67600</v>
      </c>
      <c r="BN164" s="1">
        <v>70600</v>
      </c>
      <c r="BO164" s="1">
        <v>57900</v>
      </c>
      <c r="BP164" s="1">
        <v>41400</v>
      </c>
    </row>
    <row r="165" spans="1:68" ht="15.9" customHeight="1">
      <c r="A165" s="396" t="s">
        <v>324</v>
      </c>
      <c r="B165" s="49" t="s">
        <v>325</v>
      </c>
      <c r="C165" s="53" t="str">
        <f>_xll.RssMarket("4733","出来高")</f>
        <v/>
      </c>
      <c r="D165" s="16" t="e">
        <f t="shared" si="2"/>
        <v>#VALUE!</v>
      </c>
      <c r="E165" s="22">
        <v>160500</v>
      </c>
      <c r="F165" s="22">
        <v>168200</v>
      </c>
      <c r="G165" s="22">
        <v>160200</v>
      </c>
      <c r="H165" s="22">
        <v>134800</v>
      </c>
      <c r="I165" s="22">
        <v>173700</v>
      </c>
      <c r="J165" s="22">
        <v>142800</v>
      </c>
      <c r="K165" s="22">
        <v>112100</v>
      </c>
      <c r="L165" s="22">
        <v>162200</v>
      </c>
      <c r="M165" s="22">
        <v>191500</v>
      </c>
      <c r="N165" s="22">
        <v>266300</v>
      </c>
      <c r="O165" s="22">
        <v>245800</v>
      </c>
      <c r="P165" s="22">
        <v>201400</v>
      </c>
      <c r="Q165" s="22">
        <v>315000</v>
      </c>
      <c r="R165" s="22">
        <v>301800</v>
      </c>
      <c r="S165" s="22">
        <v>264000</v>
      </c>
      <c r="T165" s="22">
        <v>279000</v>
      </c>
      <c r="U165" s="22">
        <v>418300</v>
      </c>
      <c r="V165" s="22">
        <v>262900</v>
      </c>
      <c r="W165" s="22">
        <v>148800</v>
      </c>
      <c r="X165" s="22">
        <v>257400</v>
      </c>
      <c r="Y165" s="22">
        <v>125000</v>
      </c>
      <c r="Z165" s="22">
        <v>292500</v>
      </c>
      <c r="AA165" s="22">
        <v>200700</v>
      </c>
      <c r="AB165" s="22">
        <v>272800</v>
      </c>
      <c r="AC165" s="22">
        <v>241900</v>
      </c>
      <c r="AD165" s="22">
        <v>210200</v>
      </c>
      <c r="AE165" s="22">
        <v>162200</v>
      </c>
      <c r="AF165" s="22">
        <v>177900</v>
      </c>
      <c r="AG165" s="22">
        <v>239700</v>
      </c>
      <c r="AH165" s="22">
        <v>197500</v>
      </c>
      <c r="AI165" s="22">
        <v>243400</v>
      </c>
      <c r="AJ165" s="22">
        <v>271900</v>
      </c>
      <c r="AK165" s="22">
        <v>178200</v>
      </c>
      <c r="AL165" s="22">
        <v>180700</v>
      </c>
      <c r="AM165" s="22">
        <v>187400</v>
      </c>
      <c r="AN165" s="22">
        <v>233000</v>
      </c>
      <c r="AO165" s="22">
        <v>166600</v>
      </c>
      <c r="AP165" s="22">
        <v>123600</v>
      </c>
      <c r="AQ165" s="22">
        <v>271700</v>
      </c>
      <c r="AR165" s="22">
        <v>234600</v>
      </c>
      <c r="AS165" s="22">
        <v>275100</v>
      </c>
      <c r="AT165" s="22">
        <v>403500</v>
      </c>
      <c r="AU165" s="22">
        <v>192200</v>
      </c>
      <c r="AV165" s="22">
        <v>315800</v>
      </c>
      <c r="AW165" s="22">
        <v>262600</v>
      </c>
      <c r="AX165" s="22">
        <v>262600</v>
      </c>
      <c r="AY165" s="22">
        <v>309700</v>
      </c>
      <c r="AZ165" s="22">
        <v>470900</v>
      </c>
      <c r="BA165" s="22">
        <v>383000</v>
      </c>
      <c r="BB165" s="22">
        <v>498100</v>
      </c>
      <c r="BC165" s="22">
        <v>256600</v>
      </c>
      <c r="BD165" s="22">
        <v>501100</v>
      </c>
      <c r="BE165" s="22">
        <v>411800</v>
      </c>
      <c r="BF165" s="22">
        <v>618900</v>
      </c>
      <c r="BG165" s="22">
        <v>660200</v>
      </c>
      <c r="BH165" s="22">
        <v>1498900</v>
      </c>
      <c r="BI165" s="22">
        <v>355400</v>
      </c>
      <c r="BJ165" s="22">
        <v>435500</v>
      </c>
      <c r="BK165" s="22">
        <v>380900</v>
      </c>
      <c r="BL165" s="22">
        <v>323100</v>
      </c>
      <c r="BM165" s="1">
        <v>290000</v>
      </c>
      <c r="BN165" s="1">
        <v>338500</v>
      </c>
      <c r="BO165" s="1">
        <v>345100</v>
      </c>
      <c r="BP165" s="1">
        <v>216200</v>
      </c>
    </row>
    <row r="166" spans="1:68" ht="15.9" customHeight="1">
      <c r="A166" s="396" t="s">
        <v>326</v>
      </c>
      <c r="B166" s="49" t="s">
        <v>327</v>
      </c>
      <c r="C166" s="53" t="str">
        <f>_xll.RssMarket("9733","出来高")</f>
        <v/>
      </c>
      <c r="D166" s="16" t="e">
        <f t="shared" si="2"/>
        <v>#VALUE!</v>
      </c>
      <c r="E166" s="22">
        <v>20700</v>
      </c>
      <c r="F166" s="22">
        <v>12700</v>
      </c>
      <c r="G166" s="22">
        <v>21500</v>
      </c>
      <c r="H166" s="22">
        <v>10600</v>
      </c>
      <c r="I166" s="22">
        <v>9900</v>
      </c>
      <c r="J166" s="22">
        <v>15900</v>
      </c>
      <c r="K166" s="22">
        <v>13800</v>
      </c>
      <c r="L166" s="22">
        <v>17200</v>
      </c>
      <c r="M166" s="22">
        <v>21300</v>
      </c>
      <c r="N166" s="22">
        <v>31800</v>
      </c>
      <c r="O166" s="22">
        <v>29100</v>
      </c>
      <c r="P166" s="22">
        <v>11900</v>
      </c>
      <c r="Q166" s="22">
        <v>73300</v>
      </c>
      <c r="R166" s="22">
        <v>32400</v>
      </c>
      <c r="S166" s="22">
        <v>30700</v>
      </c>
      <c r="T166" s="22">
        <v>24800</v>
      </c>
      <c r="U166" s="22">
        <v>34600</v>
      </c>
      <c r="V166" s="22">
        <v>21600</v>
      </c>
      <c r="W166" s="22">
        <v>40800</v>
      </c>
      <c r="X166" s="22">
        <v>32400</v>
      </c>
      <c r="Y166" s="22">
        <v>26700</v>
      </c>
      <c r="Z166" s="22">
        <v>27000</v>
      </c>
      <c r="AA166" s="22">
        <v>25900</v>
      </c>
      <c r="AB166" s="22">
        <v>16300</v>
      </c>
      <c r="AC166" s="22">
        <v>30600</v>
      </c>
      <c r="AD166" s="22">
        <v>20400</v>
      </c>
      <c r="AE166" s="22">
        <v>23700</v>
      </c>
      <c r="AF166" s="22">
        <v>13700</v>
      </c>
      <c r="AG166" s="22">
        <v>21400</v>
      </c>
      <c r="AH166" s="22">
        <v>25700</v>
      </c>
      <c r="AI166" s="22">
        <v>27000</v>
      </c>
      <c r="AJ166" s="22">
        <v>17500</v>
      </c>
      <c r="AK166" s="22">
        <v>9700</v>
      </c>
      <c r="AL166" s="22">
        <v>20600</v>
      </c>
      <c r="AM166" s="22">
        <v>28500</v>
      </c>
      <c r="AN166" s="22">
        <v>15700</v>
      </c>
      <c r="AO166" s="22">
        <v>23100</v>
      </c>
      <c r="AP166" s="22">
        <v>25200</v>
      </c>
      <c r="AQ166" s="22">
        <v>35500</v>
      </c>
      <c r="AR166" s="22">
        <v>25300</v>
      </c>
      <c r="AS166" s="22">
        <v>30200</v>
      </c>
      <c r="AT166" s="22">
        <v>37800</v>
      </c>
      <c r="AU166" s="22">
        <v>18700</v>
      </c>
      <c r="AV166" s="22">
        <v>29500</v>
      </c>
      <c r="AW166" s="22">
        <v>19000</v>
      </c>
      <c r="AX166" s="22">
        <v>19000</v>
      </c>
      <c r="AY166" s="22">
        <v>27800</v>
      </c>
      <c r="AZ166" s="22">
        <v>43600</v>
      </c>
      <c r="BA166" s="22">
        <v>73400</v>
      </c>
      <c r="BB166" s="22">
        <v>44500</v>
      </c>
      <c r="BC166" s="22">
        <v>23200</v>
      </c>
      <c r="BD166" s="22">
        <v>43000</v>
      </c>
      <c r="BE166" s="22">
        <v>24900</v>
      </c>
      <c r="BF166" s="22">
        <v>24300</v>
      </c>
      <c r="BG166" s="22">
        <v>25400</v>
      </c>
      <c r="BH166" s="22">
        <v>36500</v>
      </c>
      <c r="BI166" s="22">
        <v>30600</v>
      </c>
      <c r="BJ166" s="22">
        <v>18200</v>
      </c>
      <c r="BK166" s="22">
        <v>28800</v>
      </c>
      <c r="BL166" s="22">
        <v>40700</v>
      </c>
      <c r="BM166" s="1">
        <v>18800</v>
      </c>
      <c r="BN166" s="1">
        <v>32600</v>
      </c>
      <c r="BO166" s="1">
        <v>68200</v>
      </c>
      <c r="BP166" s="1">
        <v>41200</v>
      </c>
    </row>
    <row r="167" spans="1:68" ht="15.9" customHeight="1">
      <c r="A167" s="396" t="s">
        <v>328</v>
      </c>
      <c r="B167" s="49" t="s">
        <v>329</v>
      </c>
      <c r="C167" s="53" t="str">
        <f>_xll.RssMarket("9551","出来高")</f>
        <v/>
      </c>
      <c r="D167" s="16" t="e">
        <f t="shared" si="2"/>
        <v>#VALUE!</v>
      </c>
      <c r="E167" s="22">
        <v>158900</v>
      </c>
      <c r="F167" s="22">
        <v>83600</v>
      </c>
      <c r="G167" s="22">
        <v>104900</v>
      </c>
      <c r="H167" s="22">
        <v>72800</v>
      </c>
      <c r="I167" s="22">
        <v>91100</v>
      </c>
      <c r="J167" s="22">
        <v>158700</v>
      </c>
      <c r="K167" s="22">
        <v>105300</v>
      </c>
      <c r="L167" s="22">
        <v>119800</v>
      </c>
      <c r="M167" s="22">
        <v>96900</v>
      </c>
      <c r="N167" s="22">
        <v>82700</v>
      </c>
      <c r="O167" s="22">
        <v>96600</v>
      </c>
      <c r="P167" s="22">
        <v>95800</v>
      </c>
      <c r="Q167" s="22">
        <v>112900</v>
      </c>
      <c r="R167" s="22">
        <v>168400</v>
      </c>
      <c r="S167" s="22">
        <v>118700</v>
      </c>
      <c r="T167" s="22">
        <v>142600</v>
      </c>
      <c r="U167" s="22">
        <v>146700</v>
      </c>
      <c r="V167" s="22">
        <v>123400</v>
      </c>
      <c r="W167" s="22">
        <v>109600</v>
      </c>
      <c r="X167" s="22">
        <v>130900</v>
      </c>
      <c r="Y167" s="22">
        <v>95300</v>
      </c>
      <c r="Z167" s="22">
        <v>90900</v>
      </c>
      <c r="AA167" s="22">
        <v>69800</v>
      </c>
      <c r="AB167" s="22">
        <v>118400</v>
      </c>
      <c r="AC167" s="22">
        <v>105300</v>
      </c>
      <c r="AD167" s="22">
        <v>162000</v>
      </c>
      <c r="AE167" s="22">
        <v>139600</v>
      </c>
      <c r="AF167" s="22">
        <v>65400</v>
      </c>
      <c r="AG167" s="22">
        <v>71200</v>
      </c>
      <c r="AH167" s="22">
        <v>89800</v>
      </c>
      <c r="AI167" s="22">
        <v>216800</v>
      </c>
      <c r="AJ167" s="22">
        <v>376000</v>
      </c>
      <c r="AK167" s="22">
        <v>128000</v>
      </c>
      <c r="AL167" s="22">
        <v>79000</v>
      </c>
      <c r="AM167" s="22">
        <v>107500</v>
      </c>
      <c r="AN167" s="22">
        <v>109700</v>
      </c>
      <c r="AO167" s="22">
        <v>80700</v>
      </c>
      <c r="AP167" s="22">
        <v>157300</v>
      </c>
      <c r="AQ167" s="22">
        <v>152200</v>
      </c>
      <c r="AR167" s="22">
        <v>137800</v>
      </c>
      <c r="AS167" s="22">
        <v>152600</v>
      </c>
      <c r="AT167" s="22">
        <v>81000</v>
      </c>
      <c r="AU167" s="22">
        <v>113900</v>
      </c>
      <c r="AV167" s="22">
        <v>204500</v>
      </c>
      <c r="AW167" s="22">
        <v>146800</v>
      </c>
      <c r="AX167" s="22">
        <v>146800</v>
      </c>
      <c r="AY167" s="22">
        <v>186900</v>
      </c>
      <c r="AZ167" s="22">
        <v>166200</v>
      </c>
      <c r="BA167" s="22">
        <v>261100</v>
      </c>
      <c r="BB167" s="22">
        <v>216900</v>
      </c>
      <c r="BC167" s="22">
        <v>296300</v>
      </c>
      <c r="BD167" s="22">
        <v>601500</v>
      </c>
      <c r="BE167" s="22">
        <v>223400</v>
      </c>
      <c r="BF167" s="22">
        <v>109500</v>
      </c>
      <c r="BG167" s="22">
        <v>84800</v>
      </c>
      <c r="BH167" s="22">
        <v>87700</v>
      </c>
      <c r="BI167" s="22">
        <v>85800</v>
      </c>
      <c r="BJ167" s="22">
        <v>104900</v>
      </c>
      <c r="BK167" s="22">
        <v>125800</v>
      </c>
      <c r="BL167" s="22">
        <v>133100</v>
      </c>
      <c r="BM167" s="1">
        <v>93400</v>
      </c>
      <c r="BN167" s="1">
        <v>69800</v>
      </c>
      <c r="BO167" s="1">
        <v>85900</v>
      </c>
      <c r="BP167" s="1">
        <v>95900</v>
      </c>
    </row>
    <row r="168" spans="1:68" ht="15.9" customHeight="1">
      <c r="A168" s="396" t="s">
        <v>330</v>
      </c>
      <c r="B168" s="49" t="s">
        <v>331</v>
      </c>
      <c r="C168" s="53" t="str">
        <f>_xll.RssMarket("2359","出来高")</f>
        <v/>
      </c>
      <c r="D168" s="16" t="e">
        <f t="shared" si="2"/>
        <v>#VALUE!</v>
      </c>
      <c r="E168" s="22">
        <v>14300</v>
      </c>
      <c r="F168" s="22">
        <v>13300</v>
      </c>
      <c r="G168" s="22">
        <v>14000</v>
      </c>
      <c r="H168" s="22">
        <v>16100</v>
      </c>
      <c r="I168" s="22">
        <v>37700</v>
      </c>
      <c r="J168" s="22">
        <v>14700</v>
      </c>
      <c r="K168" s="22">
        <v>17600</v>
      </c>
      <c r="L168" s="22">
        <v>18200</v>
      </c>
      <c r="M168" s="22">
        <v>20200</v>
      </c>
      <c r="N168" s="22">
        <v>17300</v>
      </c>
      <c r="O168" s="22">
        <v>26300</v>
      </c>
      <c r="P168" s="22">
        <v>42000</v>
      </c>
      <c r="Q168" s="22">
        <v>45200</v>
      </c>
      <c r="R168" s="22">
        <v>38200</v>
      </c>
      <c r="S168" s="22">
        <v>14000</v>
      </c>
      <c r="T168" s="22">
        <v>33900</v>
      </c>
      <c r="U168" s="22">
        <v>14300</v>
      </c>
      <c r="V168" s="22">
        <v>18000</v>
      </c>
      <c r="W168" s="22">
        <v>16100</v>
      </c>
      <c r="X168" s="22">
        <v>16700</v>
      </c>
      <c r="Y168" s="22">
        <v>11000</v>
      </c>
      <c r="Z168" s="22">
        <v>13800</v>
      </c>
      <c r="AA168" s="22">
        <v>28500</v>
      </c>
      <c r="AB168" s="22">
        <v>23100</v>
      </c>
      <c r="AC168" s="22">
        <v>15000</v>
      </c>
      <c r="AD168" s="22">
        <v>15500</v>
      </c>
      <c r="AE168" s="22">
        <v>22800</v>
      </c>
      <c r="AF168" s="22">
        <v>13900</v>
      </c>
      <c r="AG168" s="22">
        <v>40900</v>
      </c>
      <c r="AH168" s="22">
        <v>14800</v>
      </c>
      <c r="AI168" s="22">
        <v>20100</v>
      </c>
      <c r="AJ168" s="22">
        <v>28100</v>
      </c>
      <c r="AK168" s="22">
        <v>34200</v>
      </c>
      <c r="AL168" s="22">
        <v>44000</v>
      </c>
      <c r="AM168" s="22">
        <v>52800</v>
      </c>
      <c r="AN168" s="22">
        <v>21300</v>
      </c>
      <c r="AO168" s="22">
        <v>11600</v>
      </c>
      <c r="AP168" s="22">
        <v>31400</v>
      </c>
      <c r="AQ168" s="22">
        <v>29100</v>
      </c>
      <c r="AR168" s="22">
        <v>18100</v>
      </c>
      <c r="AS168" s="22">
        <v>18600</v>
      </c>
      <c r="AT168" s="22">
        <v>20400</v>
      </c>
      <c r="AU168" s="22">
        <v>26900</v>
      </c>
      <c r="AV168" s="22">
        <v>19400</v>
      </c>
      <c r="AW168" s="22">
        <v>26400</v>
      </c>
      <c r="AX168" s="22">
        <v>26400</v>
      </c>
      <c r="AY168" s="22">
        <v>46200</v>
      </c>
      <c r="AZ168" s="22">
        <v>52200</v>
      </c>
      <c r="BA168" s="22">
        <v>66800</v>
      </c>
      <c r="BB168" s="22">
        <v>158000</v>
      </c>
      <c r="BC168" s="22">
        <v>53200</v>
      </c>
      <c r="BD168" s="22">
        <v>63800</v>
      </c>
      <c r="BE168" s="22">
        <v>12600</v>
      </c>
      <c r="BF168" s="22">
        <v>19500</v>
      </c>
      <c r="BG168" s="22">
        <v>14300</v>
      </c>
      <c r="BH168" s="22">
        <v>14100</v>
      </c>
      <c r="BI168" s="22">
        <v>12400</v>
      </c>
      <c r="BJ168" s="22">
        <v>9900</v>
      </c>
      <c r="BK168" s="22">
        <v>6900</v>
      </c>
      <c r="BL168" s="22">
        <v>17300</v>
      </c>
      <c r="BM168" s="1">
        <v>15300</v>
      </c>
      <c r="BN168" s="1">
        <v>14900</v>
      </c>
      <c r="BO168" s="1">
        <v>12800</v>
      </c>
      <c r="BP168" s="1">
        <v>25500</v>
      </c>
    </row>
    <row r="169" spans="1:68" ht="15.9" customHeight="1">
      <c r="A169" s="396" t="s">
        <v>332</v>
      </c>
      <c r="B169" s="49" t="s">
        <v>333</v>
      </c>
      <c r="C169" s="53" t="str">
        <f>_xll.RssMarket("8103","出来高")</f>
        <v/>
      </c>
      <c r="D169" s="16" t="e">
        <f t="shared" si="2"/>
        <v>#VALUE!</v>
      </c>
      <c r="E169" s="22">
        <v>212100</v>
      </c>
      <c r="F169" s="22">
        <v>143800</v>
      </c>
      <c r="G169" s="22">
        <v>134600</v>
      </c>
      <c r="H169" s="22">
        <v>216600</v>
      </c>
      <c r="I169" s="22">
        <v>142300</v>
      </c>
      <c r="J169" s="22">
        <v>156100</v>
      </c>
      <c r="K169" s="22">
        <v>134000</v>
      </c>
      <c r="L169" s="22">
        <v>187100</v>
      </c>
      <c r="M169" s="22">
        <v>200800</v>
      </c>
      <c r="N169" s="22">
        <v>199200</v>
      </c>
      <c r="O169" s="22">
        <v>177700</v>
      </c>
      <c r="P169" s="22">
        <v>178700</v>
      </c>
      <c r="Q169" s="22">
        <v>160700</v>
      </c>
      <c r="R169" s="22">
        <v>188900</v>
      </c>
      <c r="S169" s="22">
        <v>206500</v>
      </c>
      <c r="T169" s="22">
        <v>189600</v>
      </c>
      <c r="U169" s="22">
        <v>177300</v>
      </c>
      <c r="V169" s="22">
        <v>189900</v>
      </c>
      <c r="W169" s="22">
        <v>174200</v>
      </c>
      <c r="X169" s="22">
        <v>185400</v>
      </c>
      <c r="Y169" s="22">
        <v>173200</v>
      </c>
      <c r="Z169" s="22">
        <v>141300</v>
      </c>
      <c r="AA169" s="22">
        <v>200300</v>
      </c>
      <c r="AB169" s="22">
        <v>241000</v>
      </c>
      <c r="AC169" s="22">
        <v>268000</v>
      </c>
      <c r="AD169" s="22">
        <v>400800</v>
      </c>
      <c r="AE169" s="22">
        <v>392700</v>
      </c>
      <c r="AF169" s="22">
        <v>191500</v>
      </c>
      <c r="AG169" s="22">
        <v>197700</v>
      </c>
      <c r="AH169" s="22">
        <v>238800</v>
      </c>
      <c r="AI169" s="22">
        <v>343100</v>
      </c>
      <c r="AJ169" s="22">
        <v>227000</v>
      </c>
      <c r="AK169" s="22">
        <v>231800</v>
      </c>
      <c r="AL169" s="22">
        <v>315800</v>
      </c>
      <c r="AM169" s="22">
        <v>216500</v>
      </c>
      <c r="AN169" s="22">
        <v>302500</v>
      </c>
      <c r="AO169" s="22">
        <v>256200</v>
      </c>
      <c r="AP169" s="22">
        <v>372900</v>
      </c>
      <c r="AQ169" s="22">
        <v>298300</v>
      </c>
      <c r="AR169" s="22">
        <v>257000</v>
      </c>
      <c r="AS169" s="22">
        <v>394400</v>
      </c>
      <c r="AT169" s="22">
        <v>531600</v>
      </c>
      <c r="AU169" s="22">
        <v>439400</v>
      </c>
      <c r="AV169" s="22">
        <v>230200</v>
      </c>
      <c r="AW169" s="22">
        <v>368100</v>
      </c>
      <c r="AX169" s="22">
        <v>368100</v>
      </c>
      <c r="AY169" s="22">
        <v>604600</v>
      </c>
      <c r="AZ169" s="22">
        <v>1317300</v>
      </c>
      <c r="BA169" s="22">
        <v>1503800</v>
      </c>
      <c r="BB169" s="22">
        <v>1894300</v>
      </c>
      <c r="BC169" s="22">
        <v>202800</v>
      </c>
      <c r="BD169" s="22">
        <v>251600</v>
      </c>
      <c r="BE169" s="22">
        <v>296300</v>
      </c>
      <c r="BF169" s="22">
        <v>279600</v>
      </c>
      <c r="BG169" s="22">
        <v>293400</v>
      </c>
      <c r="BH169" s="22">
        <v>230700</v>
      </c>
      <c r="BI169" s="22">
        <v>181500</v>
      </c>
      <c r="BJ169" s="22">
        <v>193200</v>
      </c>
      <c r="BK169" s="22">
        <v>320200</v>
      </c>
      <c r="BL169" s="22">
        <v>403700</v>
      </c>
      <c r="BM169" s="1">
        <v>356400</v>
      </c>
      <c r="BN169" s="1">
        <v>248400</v>
      </c>
      <c r="BO169" s="1">
        <v>211500</v>
      </c>
      <c r="BP169" s="1">
        <v>403300</v>
      </c>
    </row>
    <row r="170" spans="1:68" ht="15.9" customHeight="1">
      <c r="A170" s="396" t="s">
        <v>334</v>
      </c>
      <c r="B170" s="49" t="s">
        <v>335</v>
      </c>
      <c r="C170" s="53" t="str">
        <f>_xll.RssMarket("4709","出来高")</f>
        <v/>
      </c>
      <c r="D170" s="16" t="e">
        <f t="shared" si="2"/>
        <v>#VALUE!</v>
      </c>
      <c r="E170" s="22">
        <v>54000</v>
      </c>
      <c r="F170" s="22">
        <v>78100</v>
      </c>
      <c r="G170" s="22">
        <v>57500</v>
      </c>
      <c r="H170" s="22">
        <v>38000</v>
      </c>
      <c r="I170" s="22">
        <v>62700</v>
      </c>
      <c r="J170" s="22">
        <v>48000</v>
      </c>
      <c r="K170" s="22">
        <v>99100</v>
      </c>
      <c r="L170" s="22">
        <v>61100</v>
      </c>
      <c r="M170" s="22">
        <v>56200</v>
      </c>
      <c r="N170" s="22">
        <v>33600</v>
      </c>
      <c r="O170" s="22">
        <v>42200</v>
      </c>
      <c r="P170" s="22">
        <v>34800</v>
      </c>
      <c r="Q170" s="22">
        <v>44900</v>
      </c>
      <c r="R170" s="22">
        <v>63300</v>
      </c>
      <c r="S170" s="22">
        <v>59000</v>
      </c>
      <c r="T170" s="22">
        <v>41800</v>
      </c>
      <c r="U170" s="22">
        <v>54100</v>
      </c>
      <c r="V170" s="22">
        <v>49900</v>
      </c>
      <c r="W170" s="22">
        <v>55000</v>
      </c>
      <c r="X170" s="22">
        <v>58800</v>
      </c>
      <c r="Y170" s="22">
        <v>63500</v>
      </c>
      <c r="Z170" s="22">
        <v>132900</v>
      </c>
      <c r="AA170" s="22">
        <v>140900</v>
      </c>
      <c r="AB170" s="22">
        <v>99900</v>
      </c>
      <c r="AC170" s="22">
        <v>99800</v>
      </c>
      <c r="AD170" s="22">
        <v>150800</v>
      </c>
      <c r="AE170" s="22">
        <v>112200</v>
      </c>
      <c r="AF170" s="22">
        <v>34600</v>
      </c>
      <c r="AG170" s="22">
        <v>72000</v>
      </c>
      <c r="AH170" s="22">
        <v>83300</v>
      </c>
      <c r="AI170" s="22">
        <v>44400</v>
      </c>
      <c r="AJ170" s="22">
        <v>88700</v>
      </c>
      <c r="AK170" s="22">
        <v>94800</v>
      </c>
      <c r="AL170" s="22">
        <v>73600</v>
      </c>
      <c r="AM170" s="22">
        <v>68200</v>
      </c>
      <c r="AN170" s="22">
        <v>45100</v>
      </c>
      <c r="AO170" s="22">
        <v>63800</v>
      </c>
      <c r="AP170" s="22">
        <v>87500</v>
      </c>
      <c r="AQ170" s="22">
        <v>106000</v>
      </c>
      <c r="AR170" s="22">
        <v>89600</v>
      </c>
      <c r="AS170" s="22">
        <v>79800</v>
      </c>
      <c r="AT170" s="22">
        <v>131900</v>
      </c>
      <c r="AU170" s="22">
        <v>144400</v>
      </c>
      <c r="AV170" s="22">
        <v>82000</v>
      </c>
      <c r="AW170" s="22">
        <v>173800</v>
      </c>
      <c r="AX170" s="22">
        <v>173800</v>
      </c>
      <c r="AY170" s="22">
        <v>89000</v>
      </c>
      <c r="AZ170" s="22">
        <v>131300</v>
      </c>
      <c r="BA170" s="22">
        <v>409100</v>
      </c>
      <c r="BB170" s="22">
        <v>433600</v>
      </c>
      <c r="BC170" s="22">
        <v>73000</v>
      </c>
      <c r="BD170" s="22">
        <v>86000</v>
      </c>
      <c r="BE170" s="22">
        <v>81000</v>
      </c>
      <c r="BF170" s="22">
        <v>150900</v>
      </c>
      <c r="BG170" s="22">
        <v>65900</v>
      </c>
      <c r="BH170" s="22">
        <v>48700</v>
      </c>
      <c r="BI170" s="22">
        <v>47800</v>
      </c>
      <c r="BJ170" s="22">
        <v>40900</v>
      </c>
      <c r="BK170" s="22">
        <v>55900</v>
      </c>
      <c r="BL170" s="22">
        <v>48000</v>
      </c>
      <c r="BM170" s="1">
        <v>35500</v>
      </c>
      <c r="BN170" s="1">
        <v>63700</v>
      </c>
      <c r="BO170" s="1">
        <v>51700</v>
      </c>
      <c r="BP170" s="1">
        <v>49600</v>
      </c>
    </row>
    <row r="171" spans="1:68" ht="15.9" customHeight="1">
      <c r="A171" s="396" t="s">
        <v>336</v>
      </c>
      <c r="B171" s="49" t="s">
        <v>337</v>
      </c>
      <c r="C171" s="53" t="str">
        <f>_xll.RssMarket("7981","出来高")</f>
        <v/>
      </c>
      <c r="D171" s="16" t="e">
        <f t="shared" si="2"/>
        <v>#VALUE!</v>
      </c>
      <c r="E171" s="22">
        <v>115800</v>
      </c>
      <c r="F171" s="22">
        <v>127500</v>
      </c>
      <c r="G171" s="22">
        <v>110800</v>
      </c>
      <c r="H171" s="22">
        <v>116500</v>
      </c>
      <c r="I171" s="22">
        <v>101500</v>
      </c>
      <c r="J171" s="22">
        <v>80600</v>
      </c>
      <c r="K171" s="22">
        <v>76000</v>
      </c>
      <c r="L171" s="22">
        <v>86400</v>
      </c>
      <c r="M171" s="22">
        <v>62800</v>
      </c>
      <c r="N171" s="22">
        <v>59300</v>
      </c>
      <c r="O171" s="22">
        <v>106600</v>
      </c>
      <c r="P171" s="22">
        <v>103000</v>
      </c>
      <c r="Q171" s="22">
        <v>154300</v>
      </c>
      <c r="R171" s="22">
        <v>121100</v>
      </c>
      <c r="S171" s="22">
        <v>140700</v>
      </c>
      <c r="T171" s="22">
        <v>161900</v>
      </c>
      <c r="U171" s="22">
        <v>110200</v>
      </c>
      <c r="V171" s="22">
        <v>120300</v>
      </c>
      <c r="W171" s="22">
        <v>69500</v>
      </c>
      <c r="X171" s="22">
        <v>132500</v>
      </c>
      <c r="Y171" s="22">
        <v>106300</v>
      </c>
      <c r="Z171" s="22">
        <v>47900</v>
      </c>
      <c r="AA171" s="22">
        <v>83900</v>
      </c>
      <c r="AB171" s="22">
        <v>124400</v>
      </c>
      <c r="AC171" s="22">
        <v>102500</v>
      </c>
      <c r="AD171" s="22">
        <v>112600</v>
      </c>
      <c r="AE171" s="22">
        <v>85900</v>
      </c>
      <c r="AF171" s="22">
        <v>75200</v>
      </c>
      <c r="AG171" s="22">
        <v>92200</v>
      </c>
      <c r="AH171" s="22">
        <v>107100</v>
      </c>
      <c r="AI171" s="22">
        <v>123300</v>
      </c>
      <c r="AJ171" s="22">
        <v>139800</v>
      </c>
      <c r="AK171" s="22">
        <v>90800</v>
      </c>
      <c r="AL171" s="22">
        <v>132500</v>
      </c>
      <c r="AM171" s="22">
        <v>171200</v>
      </c>
      <c r="AN171" s="22">
        <v>85900</v>
      </c>
      <c r="AO171" s="22">
        <v>92500</v>
      </c>
      <c r="AP171" s="22">
        <v>123600</v>
      </c>
      <c r="AQ171" s="22">
        <v>96500</v>
      </c>
      <c r="AR171" s="22">
        <v>143700</v>
      </c>
      <c r="AS171" s="22">
        <v>89400</v>
      </c>
      <c r="AT171" s="22">
        <v>124100</v>
      </c>
      <c r="AU171" s="22">
        <v>150700</v>
      </c>
      <c r="AV171" s="22">
        <v>148900</v>
      </c>
      <c r="AW171" s="22">
        <v>144700</v>
      </c>
      <c r="AX171" s="22">
        <v>144700</v>
      </c>
      <c r="AY171" s="22">
        <v>239600</v>
      </c>
      <c r="AZ171" s="22">
        <v>337500</v>
      </c>
      <c r="BA171" s="22">
        <v>349200</v>
      </c>
      <c r="BB171" s="22">
        <v>889200</v>
      </c>
      <c r="BC171" s="22">
        <v>378600</v>
      </c>
      <c r="BD171" s="22">
        <v>204400</v>
      </c>
      <c r="BE171" s="22">
        <v>109600</v>
      </c>
      <c r="BF171" s="22">
        <v>140800</v>
      </c>
      <c r="BG171" s="22">
        <v>80500</v>
      </c>
      <c r="BH171" s="22">
        <v>98600</v>
      </c>
      <c r="BI171" s="22">
        <v>61600</v>
      </c>
      <c r="BJ171" s="22">
        <v>127100</v>
      </c>
      <c r="BK171" s="22">
        <v>139800</v>
      </c>
      <c r="BL171" s="22">
        <v>185300</v>
      </c>
      <c r="BM171" s="1">
        <v>298000</v>
      </c>
      <c r="BN171" s="1">
        <v>348300</v>
      </c>
      <c r="BO171" s="1">
        <v>81100</v>
      </c>
      <c r="BP171" s="1">
        <v>102400</v>
      </c>
    </row>
    <row r="172" spans="1:68" ht="15.9" customHeight="1">
      <c r="A172" s="396" t="s">
        <v>338</v>
      </c>
      <c r="B172" s="49" t="s">
        <v>339</v>
      </c>
      <c r="C172" s="53" t="str">
        <f>_xll.RssMarket("8303","出来高")</f>
        <v/>
      </c>
      <c r="D172" s="16" t="e">
        <f t="shared" si="2"/>
        <v>#VALUE!</v>
      </c>
      <c r="E172" s="22">
        <v>5049300</v>
      </c>
      <c r="F172" s="22">
        <v>2501600</v>
      </c>
      <c r="G172" s="22">
        <v>2401000</v>
      </c>
      <c r="H172" s="22">
        <v>1745000</v>
      </c>
      <c r="I172" s="22">
        <v>2145400</v>
      </c>
      <c r="J172" s="22">
        <v>2597300</v>
      </c>
      <c r="K172" s="22">
        <v>4141500</v>
      </c>
      <c r="L172" s="22">
        <v>5157100</v>
      </c>
      <c r="M172" s="22">
        <v>3193800</v>
      </c>
      <c r="N172" s="22">
        <v>2934700</v>
      </c>
      <c r="O172" s="22">
        <v>3997000</v>
      </c>
      <c r="P172" s="22">
        <v>3386400</v>
      </c>
      <c r="Q172" s="22">
        <v>3400600</v>
      </c>
      <c r="R172" s="22">
        <v>2364700</v>
      </c>
      <c r="S172" s="22">
        <v>3380400</v>
      </c>
      <c r="T172" s="22">
        <v>2973100</v>
      </c>
      <c r="U172" s="22">
        <v>2844300</v>
      </c>
      <c r="V172" s="22">
        <v>3004500</v>
      </c>
      <c r="W172" s="22">
        <v>3285000</v>
      </c>
      <c r="X172" s="22">
        <v>17936200</v>
      </c>
      <c r="Y172" s="22">
        <v>4222200</v>
      </c>
      <c r="Z172" s="22">
        <v>5468800</v>
      </c>
      <c r="AA172" s="22">
        <v>6082500</v>
      </c>
      <c r="AB172" s="22">
        <v>9096100</v>
      </c>
      <c r="AC172" s="22">
        <v>3807000</v>
      </c>
      <c r="AD172" s="22">
        <v>10033100</v>
      </c>
      <c r="AE172" s="22">
        <v>3729700</v>
      </c>
      <c r="AF172" s="22">
        <v>6477200</v>
      </c>
      <c r="AG172" s="22">
        <v>7740300</v>
      </c>
      <c r="AH172" s="22">
        <v>7833600</v>
      </c>
      <c r="AI172" s="22">
        <v>5477600</v>
      </c>
      <c r="AJ172" s="22">
        <v>8612300</v>
      </c>
      <c r="AK172" s="22">
        <v>7493700</v>
      </c>
      <c r="AL172" s="22">
        <v>11956600</v>
      </c>
      <c r="AM172" s="22">
        <v>5735300</v>
      </c>
      <c r="AN172" s="22">
        <v>7995000</v>
      </c>
      <c r="AO172" s="22">
        <v>12444200</v>
      </c>
      <c r="AP172" s="22">
        <v>7575100</v>
      </c>
      <c r="AQ172" s="22">
        <v>6968400</v>
      </c>
      <c r="AR172" s="22">
        <v>3089000</v>
      </c>
      <c r="AS172" s="22">
        <v>3415400</v>
      </c>
      <c r="AT172" s="22">
        <v>5926200</v>
      </c>
      <c r="AU172" s="22">
        <v>2505100</v>
      </c>
      <c r="AV172" s="22">
        <v>3521600</v>
      </c>
      <c r="AW172" s="22">
        <v>5132100</v>
      </c>
      <c r="AX172" s="22">
        <v>5132100</v>
      </c>
      <c r="AY172" s="22">
        <v>3737800</v>
      </c>
      <c r="AZ172" s="22">
        <v>7619800</v>
      </c>
      <c r="BA172" s="22">
        <v>12861000</v>
      </c>
      <c r="BB172" s="22">
        <v>5059200</v>
      </c>
      <c r="BC172" s="22">
        <v>17287000</v>
      </c>
      <c r="BD172" s="22">
        <v>3559000</v>
      </c>
      <c r="BE172" s="22">
        <v>4957700</v>
      </c>
      <c r="BF172" s="22">
        <v>11445100</v>
      </c>
      <c r="BG172" s="22">
        <v>5367000</v>
      </c>
      <c r="BH172" s="22">
        <v>2986500</v>
      </c>
      <c r="BI172" s="22">
        <v>2053700</v>
      </c>
      <c r="BJ172" s="22">
        <v>2152900</v>
      </c>
      <c r="BK172" s="22">
        <v>2438100</v>
      </c>
      <c r="BL172" s="22">
        <v>2736000</v>
      </c>
      <c r="BM172" s="1">
        <v>2690300</v>
      </c>
      <c r="BN172" s="1">
        <v>3364500</v>
      </c>
      <c r="BO172" s="1">
        <v>3617400</v>
      </c>
      <c r="BP172" s="1">
        <v>3149000</v>
      </c>
    </row>
    <row r="173" spans="1:68" ht="15.9" customHeight="1">
      <c r="A173" s="396" t="s">
        <v>340</v>
      </c>
      <c r="B173" s="49" t="s">
        <v>341</v>
      </c>
      <c r="C173" s="53" t="str">
        <f>_xll.RssMarket("4382","出来高")</f>
        <v/>
      </c>
      <c r="D173" s="16" t="e">
        <f t="shared" si="2"/>
        <v>#VALUE!</v>
      </c>
      <c r="E173" s="22">
        <v>68700</v>
      </c>
      <c r="F173" s="22">
        <v>69000</v>
      </c>
      <c r="G173" s="22">
        <v>69800</v>
      </c>
      <c r="H173" s="22">
        <v>67800</v>
      </c>
      <c r="I173" s="22">
        <v>94800</v>
      </c>
      <c r="J173" s="22">
        <v>169300</v>
      </c>
      <c r="K173" s="22">
        <v>35900</v>
      </c>
      <c r="L173" s="22">
        <v>37200</v>
      </c>
      <c r="M173" s="22">
        <v>47700</v>
      </c>
      <c r="N173" s="22">
        <v>33500</v>
      </c>
      <c r="O173" s="22">
        <v>49400</v>
      </c>
      <c r="P173" s="22">
        <v>57900</v>
      </c>
      <c r="Q173" s="22">
        <v>119000</v>
      </c>
      <c r="R173" s="22">
        <v>65200</v>
      </c>
      <c r="S173" s="22">
        <v>17200</v>
      </c>
      <c r="T173" s="22">
        <v>14400</v>
      </c>
      <c r="U173" s="22">
        <v>17600</v>
      </c>
      <c r="V173" s="22">
        <v>44300</v>
      </c>
      <c r="W173" s="22">
        <v>36800</v>
      </c>
      <c r="X173" s="22">
        <v>102600</v>
      </c>
      <c r="Y173" s="22">
        <v>16800</v>
      </c>
      <c r="Z173" s="22">
        <v>27300</v>
      </c>
      <c r="AA173" s="22">
        <v>52800</v>
      </c>
      <c r="AB173" s="22">
        <v>105200</v>
      </c>
      <c r="AC173" s="22">
        <v>40200</v>
      </c>
      <c r="AD173" s="22">
        <v>106200</v>
      </c>
      <c r="AE173" s="22">
        <v>31100</v>
      </c>
      <c r="AF173" s="22">
        <v>18700</v>
      </c>
      <c r="AG173" s="22">
        <v>51700</v>
      </c>
      <c r="AH173" s="22">
        <v>36500</v>
      </c>
      <c r="AI173" s="22">
        <v>26200</v>
      </c>
      <c r="AJ173" s="22">
        <v>62300</v>
      </c>
      <c r="AK173" s="22">
        <v>75500</v>
      </c>
      <c r="AL173" s="22">
        <v>41500</v>
      </c>
      <c r="AM173" s="22">
        <v>46800</v>
      </c>
      <c r="AN173" s="22">
        <v>26300</v>
      </c>
      <c r="AO173" s="22">
        <v>23700</v>
      </c>
      <c r="AP173" s="22">
        <v>19500</v>
      </c>
      <c r="AQ173" s="22">
        <v>28300</v>
      </c>
      <c r="AR173" s="22">
        <v>35000</v>
      </c>
      <c r="AS173" s="22">
        <v>37600</v>
      </c>
      <c r="AT173" s="22">
        <v>47900</v>
      </c>
      <c r="AU173" s="22">
        <v>21500</v>
      </c>
      <c r="AV173" s="22">
        <v>26300</v>
      </c>
      <c r="AW173" s="22">
        <v>79600</v>
      </c>
      <c r="AX173" s="22">
        <v>79600</v>
      </c>
      <c r="AY173" s="22">
        <v>36600</v>
      </c>
      <c r="AZ173" s="22">
        <v>31500</v>
      </c>
      <c r="BA173" s="22">
        <v>22600</v>
      </c>
      <c r="BB173" s="22">
        <v>46300</v>
      </c>
      <c r="BC173" s="22">
        <v>74600</v>
      </c>
      <c r="BD173" s="22">
        <v>61800</v>
      </c>
      <c r="BE173" s="22">
        <v>53300</v>
      </c>
      <c r="BF173" s="22">
        <v>25800</v>
      </c>
      <c r="BG173" s="22">
        <v>12100</v>
      </c>
      <c r="BH173" s="22">
        <v>31000</v>
      </c>
      <c r="BI173" s="22">
        <v>20700</v>
      </c>
      <c r="BJ173" s="22">
        <v>36000</v>
      </c>
      <c r="BK173" s="22">
        <v>54700</v>
      </c>
      <c r="BL173" s="22">
        <v>79900</v>
      </c>
      <c r="BM173" s="1">
        <v>25400</v>
      </c>
      <c r="BN173" s="1">
        <v>20800</v>
      </c>
      <c r="BO173" s="1">
        <v>27600</v>
      </c>
      <c r="BP173" s="1">
        <v>26200</v>
      </c>
    </row>
    <row r="174" spans="1:68" ht="15.9" customHeight="1">
      <c r="A174" s="396" t="s">
        <v>342</v>
      </c>
      <c r="B174" s="49" t="s">
        <v>343</v>
      </c>
      <c r="C174" s="53" t="str">
        <f>_xll.RssMarket("2327","出来高")</f>
        <v/>
      </c>
      <c r="D174" s="16" t="e">
        <f t="shared" si="2"/>
        <v>#VALUE!</v>
      </c>
      <c r="E174" s="22">
        <v>276700</v>
      </c>
      <c r="F174" s="22">
        <v>220600</v>
      </c>
      <c r="G174" s="22">
        <v>200400</v>
      </c>
      <c r="H174" s="22">
        <v>181100</v>
      </c>
      <c r="I174" s="22">
        <v>296000</v>
      </c>
      <c r="J174" s="22">
        <v>209000</v>
      </c>
      <c r="K174" s="22">
        <v>252000</v>
      </c>
      <c r="L174" s="22">
        <v>336400</v>
      </c>
      <c r="M174" s="22">
        <v>197900</v>
      </c>
      <c r="N174" s="22">
        <v>372500</v>
      </c>
      <c r="O174" s="22">
        <v>472200</v>
      </c>
      <c r="P174" s="22">
        <v>286300</v>
      </c>
      <c r="Q174" s="22">
        <v>469300</v>
      </c>
      <c r="R174" s="22">
        <v>394000</v>
      </c>
      <c r="S174" s="22">
        <v>243800</v>
      </c>
      <c r="T174" s="22">
        <v>290400</v>
      </c>
      <c r="U174" s="22">
        <v>313700</v>
      </c>
      <c r="V174" s="22">
        <v>342600</v>
      </c>
      <c r="W174" s="22">
        <v>507100</v>
      </c>
      <c r="X174" s="22">
        <v>791100</v>
      </c>
      <c r="Y174" s="22">
        <v>226600</v>
      </c>
      <c r="Z174" s="22">
        <v>325900</v>
      </c>
      <c r="AA174" s="22">
        <v>379700</v>
      </c>
      <c r="AB174" s="22">
        <v>253000</v>
      </c>
      <c r="AC174" s="22">
        <v>191100</v>
      </c>
      <c r="AD174" s="22">
        <v>190700</v>
      </c>
      <c r="AE174" s="22">
        <v>134800</v>
      </c>
      <c r="AF174" s="22">
        <v>178700</v>
      </c>
      <c r="AG174" s="22">
        <v>246700</v>
      </c>
      <c r="AH174" s="22">
        <v>352900</v>
      </c>
      <c r="AI174" s="22">
        <v>210500</v>
      </c>
      <c r="AJ174" s="22">
        <v>281800</v>
      </c>
      <c r="AK174" s="22">
        <v>247100</v>
      </c>
      <c r="AL174" s="22">
        <v>242200</v>
      </c>
      <c r="AM174" s="22">
        <v>245600</v>
      </c>
      <c r="AN174" s="22">
        <v>158600</v>
      </c>
      <c r="AO174" s="22">
        <v>107700</v>
      </c>
      <c r="AP174" s="22">
        <v>168400</v>
      </c>
      <c r="AQ174" s="22">
        <v>295500</v>
      </c>
      <c r="AR174" s="22">
        <v>366900</v>
      </c>
      <c r="AS174" s="22">
        <v>294500</v>
      </c>
      <c r="AT174" s="22">
        <v>257700</v>
      </c>
      <c r="AU174" s="22">
        <v>340700</v>
      </c>
      <c r="AV174" s="22">
        <v>296500</v>
      </c>
      <c r="AW174" s="22">
        <v>241900</v>
      </c>
      <c r="AX174" s="22">
        <v>241900</v>
      </c>
      <c r="AY174" s="22">
        <v>353500</v>
      </c>
      <c r="AZ174" s="22">
        <v>323900</v>
      </c>
      <c r="BA174" s="22">
        <v>382500</v>
      </c>
      <c r="BB174" s="22">
        <v>361700</v>
      </c>
      <c r="BC174" s="22">
        <v>529800</v>
      </c>
      <c r="BD174" s="22">
        <v>365100</v>
      </c>
      <c r="BE174" s="22">
        <v>218800</v>
      </c>
      <c r="BF174" s="22">
        <v>235900</v>
      </c>
      <c r="BG174" s="22">
        <v>167600</v>
      </c>
      <c r="BH174" s="22">
        <v>133000</v>
      </c>
      <c r="BI174" s="22">
        <v>128800</v>
      </c>
      <c r="BJ174" s="22">
        <v>270900</v>
      </c>
      <c r="BK174" s="22">
        <v>183600</v>
      </c>
      <c r="BL174" s="22">
        <v>217400</v>
      </c>
      <c r="BM174" s="1">
        <v>190800</v>
      </c>
      <c r="BN174" s="1">
        <v>227200</v>
      </c>
      <c r="BO174" s="1">
        <v>198300</v>
      </c>
      <c r="BP174" s="1">
        <v>225100</v>
      </c>
    </row>
    <row r="175" spans="1:68" ht="15.9" customHeight="1">
      <c r="A175" s="396" t="s">
        <v>344</v>
      </c>
      <c r="B175" s="49" t="s">
        <v>345</v>
      </c>
      <c r="C175" s="53" t="str">
        <f>_xll.RssMarket("1942","出来高")</f>
        <v/>
      </c>
      <c r="D175" s="16" t="e">
        <f t="shared" si="2"/>
        <v>#VALUE!</v>
      </c>
      <c r="E175" s="22">
        <v>1519900</v>
      </c>
      <c r="F175" s="22">
        <v>970200</v>
      </c>
      <c r="G175" s="22">
        <v>824500</v>
      </c>
      <c r="H175" s="22">
        <v>735100</v>
      </c>
      <c r="I175" s="22">
        <v>770600</v>
      </c>
      <c r="J175" s="22">
        <v>855500</v>
      </c>
      <c r="K175" s="22">
        <v>851400</v>
      </c>
      <c r="L175" s="22">
        <v>987200</v>
      </c>
      <c r="M175" s="22">
        <v>513100</v>
      </c>
      <c r="N175" s="22">
        <v>763200</v>
      </c>
      <c r="O175" s="22">
        <v>928000</v>
      </c>
      <c r="P175" s="22">
        <v>655200</v>
      </c>
      <c r="Q175" s="22">
        <v>731000</v>
      </c>
      <c r="R175" s="22">
        <v>840400</v>
      </c>
      <c r="S175" s="22">
        <v>805700</v>
      </c>
      <c r="T175" s="22">
        <v>762900</v>
      </c>
      <c r="U175" s="22">
        <v>942700</v>
      </c>
      <c r="V175" s="22">
        <v>916300</v>
      </c>
      <c r="W175" s="22">
        <v>1069300</v>
      </c>
      <c r="X175" s="22">
        <v>2033200</v>
      </c>
      <c r="Y175" s="22">
        <v>759400</v>
      </c>
      <c r="Z175" s="22">
        <v>836500</v>
      </c>
      <c r="AA175" s="22">
        <v>920800</v>
      </c>
      <c r="AB175" s="22">
        <v>1376000</v>
      </c>
      <c r="AC175" s="22">
        <v>778200</v>
      </c>
      <c r="AD175" s="22">
        <v>969800</v>
      </c>
      <c r="AE175" s="22">
        <v>889300</v>
      </c>
      <c r="AF175" s="22">
        <v>747600</v>
      </c>
      <c r="AG175" s="22">
        <v>1104600</v>
      </c>
      <c r="AH175" s="22">
        <v>2413900</v>
      </c>
      <c r="AI175" s="22">
        <v>958800</v>
      </c>
      <c r="AJ175" s="22">
        <v>1430500</v>
      </c>
      <c r="AK175" s="22">
        <v>782800</v>
      </c>
      <c r="AL175" s="22">
        <v>783000</v>
      </c>
      <c r="AM175" s="22">
        <v>1278200</v>
      </c>
      <c r="AN175" s="22">
        <v>1276300</v>
      </c>
      <c r="AO175" s="22">
        <v>1103700</v>
      </c>
      <c r="AP175" s="22">
        <v>1166500</v>
      </c>
      <c r="AQ175" s="22">
        <v>1076500</v>
      </c>
      <c r="AR175" s="22">
        <v>1318600</v>
      </c>
      <c r="AS175" s="22">
        <v>999100</v>
      </c>
      <c r="AT175" s="22">
        <v>1185500</v>
      </c>
      <c r="AU175" s="22">
        <v>898200</v>
      </c>
      <c r="AV175" s="22">
        <v>1450100</v>
      </c>
      <c r="AW175" s="22">
        <v>1230500</v>
      </c>
      <c r="AX175" s="22">
        <v>1230500</v>
      </c>
      <c r="AY175" s="22">
        <v>1397700</v>
      </c>
      <c r="AZ175" s="22">
        <v>1967000</v>
      </c>
      <c r="BA175" s="22">
        <v>1585800</v>
      </c>
      <c r="BB175" s="22">
        <v>2659900</v>
      </c>
      <c r="BC175" s="22">
        <v>9927100</v>
      </c>
      <c r="BD175" s="22">
        <v>1078500</v>
      </c>
      <c r="BE175" s="22">
        <v>738400</v>
      </c>
      <c r="BF175" s="22">
        <v>1031900</v>
      </c>
      <c r="BG175" s="22">
        <v>808400</v>
      </c>
      <c r="BH175" s="22">
        <v>709200</v>
      </c>
      <c r="BI175" s="22">
        <v>372400</v>
      </c>
      <c r="BJ175" s="22">
        <v>499600</v>
      </c>
      <c r="BK175" s="22">
        <v>918500</v>
      </c>
      <c r="BL175" s="22">
        <v>849500</v>
      </c>
      <c r="BM175" s="1">
        <v>591700</v>
      </c>
      <c r="BN175" s="1">
        <v>502000</v>
      </c>
      <c r="BO175" s="1">
        <v>655500</v>
      </c>
      <c r="BP175" s="1">
        <v>921400</v>
      </c>
    </row>
    <row r="176" spans="1:68" ht="15.9" customHeight="1">
      <c r="A176" s="396" t="s">
        <v>346</v>
      </c>
      <c r="B176" s="49" t="s">
        <v>347</v>
      </c>
      <c r="C176" s="53" t="str">
        <f>_xll.RssMarket("1938","出来高")</f>
        <v/>
      </c>
      <c r="D176" s="16" t="e">
        <f t="shared" si="2"/>
        <v>#VALUE!</v>
      </c>
      <c r="E176" s="22">
        <v>130500</v>
      </c>
      <c r="F176" s="22">
        <v>92900</v>
      </c>
      <c r="G176" s="22">
        <v>64600</v>
      </c>
      <c r="H176" s="22">
        <v>80900</v>
      </c>
      <c r="I176" s="22">
        <v>56000</v>
      </c>
      <c r="J176" s="22">
        <v>69300</v>
      </c>
      <c r="K176" s="22">
        <v>68900</v>
      </c>
      <c r="L176" s="22">
        <v>49800</v>
      </c>
      <c r="M176" s="22">
        <v>67600</v>
      </c>
      <c r="N176" s="22">
        <v>82400</v>
      </c>
      <c r="O176" s="22">
        <v>75700</v>
      </c>
      <c r="P176" s="22">
        <v>46400</v>
      </c>
      <c r="Q176" s="22">
        <v>58000</v>
      </c>
      <c r="R176" s="22">
        <v>60900</v>
      </c>
      <c r="S176" s="22">
        <v>55800</v>
      </c>
      <c r="T176" s="22">
        <v>45400</v>
      </c>
      <c r="U176" s="22">
        <v>35700</v>
      </c>
      <c r="V176" s="22">
        <v>62300</v>
      </c>
      <c r="W176" s="22">
        <v>38900</v>
      </c>
      <c r="X176" s="22">
        <v>52700</v>
      </c>
      <c r="Y176" s="22">
        <v>68900</v>
      </c>
      <c r="Z176" s="22">
        <v>67700</v>
      </c>
      <c r="AA176" s="22">
        <v>48000</v>
      </c>
      <c r="AB176" s="22">
        <v>88800</v>
      </c>
      <c r="AC176" s="22">
        <v>95000</v>
      </c>
      <c r="AD176" s="22">
        <v>72900</v>
      </c>
      <c r="AE176" s="22">
        <v>98000</v>
      </c>
      <c r="AF176" s="22">
        <v>74100</v>
      </c>
      <c r="AG176" s="22">
        <v>149700</v>
      </c>
      <c r="AH176" s="22">
        <v>99400</v>
      </c>
      <c r="AI176" s="22">
        <v>117100</v>
      </c>
      <c r="AJ176" s="22">
        <v>84300</v>
      </c>
      <c r="AK176" s="22">
        <v>96000</v>
      </c>
      <c r="AL176" s="22">
        <v>110200</v>
      </c>
      <c r="AM176" s="22">
        <v>127900</v>
      </c>
      <c r="AN176" s="22">
        <v>116300</v>
      </c>
      <c r="AO176" s="22">
        <v>146800</v>
      </c>
      <c r="AP176" s="22">
        <v>130100</v>
      </c>
      <c r="AQ176" s="22">
        <v>107600</v>
      </c>
      <c r="AR176" s="22">
        <v>184900</v>
      </c>
      <c r="AS176" s="22">
        <v>203000</v>
      </c>
      <c r="AT176" s="22">
        <v>158000</v>
      </c>
      <c r="AU176" s="22">
        <v>265400</v>
      </c>
      <c r="AV176" s="22">
        <v>403100</v>
      </c>
      <c r="AW176" s="22">
        <v>245800</v>
      </c>
      <c r="AX176" s="22">
        <v>245800</v>
      </c>
      <c r="AY176" s="22">
        <v>156500</v>
      </c>
      <c r="AZ176" s="22">
        <v>152000</v>
      </c>
      <c r="BA176" s="22">
        <v>170300</v>
      </c>
      <c r="BB176" s="22">
        <v>98600</v>
      </c>
      <c r="BC176" s="22">
        <v>189900</v>
      </c>
      <c r="BD176" s="22">
        <v>95100</v>
      </c>
      <c r="BE176" s="22">
        <v>98600</v>
      </c>
      <c r="BF176" s="22">
        <v>99900</v>
      </c>
      <c r="BG176" s="22">
        <v>106700</v>
      </c>
      <c r="BH176" s="22">
        <v>108500</v>
      </c>
      <c r="BI176" s="22">
        <v>96800</v>
      </c>
      <c r="BJ176" s="22">
        <v>76800</v>
      </c>
      <c r="BK176" s="22">
        <v>94200</v>
      </c>
      <c r="BL176" s="22">
        <v>80000</v>
      </c>
      <c r="BM176" s="1">
        <v>99500</v>
      </c>
      <c r="BN176" s="1">
        <v>91400</v>
      </c>
      <c r="BO176" s="1">
        <v>78500</v>
      </c>
      <c r="BP176" s="1">
        <v>119900</v>
      </c>
    </row>
    <row r="177" spans="1:68" ht="15.9" customHeight="1">
      <c r="A177" s="396" t="s">
        <v>348</v>
      </c>
      <c r="B177" s="49" t="s">
        <v>349</v>
      </c>
      <c r="C177" s="53" t="str">
        <f>_xll.RssMarket("7236","出来高")</f>
        <v/>
      </c>
      <c r="D177" s="16" t="e">
        <f t="shared" si="2"/>
        <v>#VALUE!</v>
      </c>
      <c r="E177" s="22">
        <v>580100</v>
      </c>
      <c r="F177" s="22">
        <v>157200</v>
      </c>
      <c r="G177" s="22">
        <v>263400</v>
      </c>
      <c r="H177" s="22">
        <v>198900</v>
      </c>
      <c r="I177" s="22">
        <v>239400</v>
      </c>
      <c r="J177" s="22">
        <v>220900</v>
      </c>
      <c r="K177" s="22">
        <v>368300</v>
      </c>
      <c r="L177" s="22">
        <v>232300</v>
      </c>
      <c r="M177" s="22">
        <v>192700</v>
      </c>
      <c r="N177" s="22">
        <v>290400</v>
      </c>
      <c r="O177" s="22">
        <v>284800</v>
      </c>
      <c r="P177" s="22">
        <v>253600</v>
      </c>
      <c r="Q177" s="22">
        <v>302400</v>
      </c>
      <c r="R177" s="22">
        <v>311700</v>
      </c>
      <c r="S177" s="22">
        <v>21700</v>
      </c>
      <c r="T177" s="22">
        <v>19300</v>
      </c>
      <c r="U177" s="22">
        <v>30400</v>
      </c>
      <c r="V177" s="22">
        <v>24700</v>
      </c>
      <c r="W177" s="22">
        <v>31900</v>
      </c>
      <c r="X177" s="22">
        <v>42100</v>
      </c>
      <c r="Y177" s="22">
        <v>21300</v>
      </c>
      <c r="Z177" s="22">
        <v>27800</v>
      </c>
      <c r="AA177" s="22">
        <v>20200</v>
      </c>
      <c r="AB177" s="22">
        <v>27000</v>
      </c>
      <c r="AC177" s="22">
        <v>48100</v>
      </c>
      <c r="AD177" s="22">
        <v>41100</v>
      </c>
      <c r="AE177" s="22">
        <v>44000</v>
      </c>
      <c r="AF177" s="22">
        <v>25000</v>
      </c>
      <c r="AG177" s="22">
        <v>43500</v>
      </c>
      <c r="AH177" s="22">
        <v>41100</v>
      </c>
      <c r="AI177" s="22">
        <v>45900</v>
      </c>
      <c r="AJ177" s="22">
        <v>31600</v>
      </c>
      <c r="AK177" s="22">
        <v>48700</v>
      </c>
      <c r="AL177" s="22">
        <v>42500</v>
      </c>
      <c r="AM177" s="22">
        <v>71300</v>
      </c>
      <c r="AN177" s="22">
        <v>54700</v>
      </c>
      <c r="AO177" s="22">
        <v>72600</v>
      </c>
      <c r="AP177" s="22">
        <v>57700</v>
      </c>
      <c r="AQ177" s="22">
        <v>61700</v>
      </c>
      <c r="AR177" s="22">
        <v>48500</v>
      </c>
      <c r="AS177" s="22">
        <v>42400</v>
      </c>
      <c r="AT177" s="22">
        <v>19100</v>
      </c>
      <c r="AU177" s="22">
        <v>33300</v>
      </c>
      <c r="AV177" s="22">
        <v>31700</v>
      </c>
      <c r="AW177" s="22">
        <v>62400</v>
      </c>
      <c r="AX177" s="22">
        <v>62400</v>
      </c>
      <c r="AY177" s="22">
        <v>107700</v>
      </c>
      <c r="AZ177" s="22">
        <v>172200</v>
      </c>
      <c r="BA177" s="22">
        <v>626300</v>
      </c>
      <c r="BB177" s="22">
        <v>6900</v>
      </c>
      <c r="BC177" s="22">
        <v>8400</v>
      </c>
      <c r="BD177" s="22">
        <v>45500</v>
      </c>
      <c r="BE177" s="22">
        <v>34200</v>
      </c>
      <c r="BF177" s="22">
        <v>25100</v>
      </c>
      <c r="BG177" s="22">
        <v>21800</v>
      </c>
      <c r="BH177" s="22">
        <v>33800</v>
      </c>
      <c r="BI177" s="22">
        <v>40500</v>
      </c>
      <c r="BJ177" s="22">
        <v>33300</v>
      </c>
      <c r="BK177" s="22">
        <v>29300</v>
      </c>
      <c r="BL177" s="22">
        <v>20200</v>
      </c>
      <c r="BM177" s="1">
        <v>17600</v>
      </c>
      <c r="BN177" s="1">
        <v>30500</v>
      </c>
      <c r="BO177" s="1">
        <v>6700</v>
      </c>
      <c r="BP177" s="1">
        <v>16100</v>
      </c>
    </row>
    <row r="178" spans="1:68" ht="15.9" customHeight="1">
      <c r="A178" s="396" t="s">
        <v>350</v>
      </c>
      <c r="B178" s="49" t="s">
        <v>351</v>
      </c>
      <c r="C178" s="53" t="str">
        <f>_xll.RssMarket("6436","出来高")</f>
        <v/>
      </c>
      <c r="D178" s="16" t="e">
        <f t="shared" si="2"/>
        <v>#VALUE!</v>
      </c>
      <c r="E178" s="22">
        <v>284600</v>
      </c>
      <c r="F178" s="22">
        <v>279500</v>
      </c>
      <c r="G178" s="22">
        <v>201700</v>
      </c>
      <c r="H178" s="22">
        <v>202100</v>
      </c>
      <c r="I178" s="22">
        <v>268800</v>
      </c>
      <c r="J178" s="22">
        <v>204400</v>
      </c>
      <c r="K178" s="22">
        <v>272700</v>
      </c>
      <c r="L178" s="22">
        <v>284500</v>
      </c>
      <c r="M178" s="22">
        <v>242400</v>
      </c>
      <c r="N178" s="22">
        <v>198300</v>
      </c>
      <c r="O178" s="22">
        <v>171900</v>
      </c>
      <c r="P178" s="22">
        <v>246500</v>
      </c>
      <c r="Q178" s="22">
        <v>235600</v>
      </c>
      <c r="R178" s="22">
        <v>249300</v>
      </c>
      <c r="S178" s="22">
        <v>163100</v>
      </c>
      <c r="T178" s="22">
        <v>138800</v>
      </c>
      <c r="U178" s="22">
        <v>170600</v>
      </c>
      <c r="V178" s="22">
        <v>256900</v>
      </c>
      <c r="W178" s="22">
        <v>173600</v>
      </c>
      <c r="X178" s="22">
        <v>322300</v>
      </c>
      <c r="Y178" s="22">
        <v>197100</v>
      </c>
      <c r="Z178" s="22">
        <v>212400</v>
      </c>
      <c r="AA178" s="22">
        <v>214200</v>
      </c>
      <c r="AB178" s="22">
        <v>213300</v>
      </c>
      <c r="AC178" s="22">
        <v>170200</v>
      </c>
      <c r="AD178" s="22">
        <v>229400</v>
      </c>
      <c r="AE178" s="22">
        <v>313200</v>
      </c>
      <c r="AF178" s="22">
        <v>165700</v>
      </c>
      <c r="AG178" s="22">
        <v>217300</v>
      </c>
      <c r="AH178" s="22">
        <v>168400</v>
      </c>
      <c r="AI178" s="22">
        <v>246900</v>
      </c>
      <c r="AJ178" s="22">
        <v>280400</v>
      </c>
      <c r="AK178" s="22">
        <v>206900</v>
      </c>
      <c r="AL178" s="22">
        <v>217600</v>
      </c>
      <c r="AM178" s="22">
        <v>205200</v>
      </c>
      <c r="AN178" s="22">
        <v>204200</v>
      </c>
      <c r="AO178" s="22">
        <v>156900</v>
      </c>
      <c r="AP178" s="22">
        <v>286600</v>
      </c>
      <c r="AQ178" s="22">
        <v>234600</v>
      </c>
      <c r="AR178" s="22">
        <v>209900</v>
      </c>
      <c r="AS178" s="22">
        <v>287100</v>
      </c>
      <c r="AT178" s="22">
        <v>293400</v>
      </c>
      <c r="AU178" s="22">
        <v>231500</v>
      </c>
      <c r="AV178" s="22">
        <v>269000</v>
      </c>
      <c r="AW178" s="22">
        <v>313000</v>
      </c>
      <c r="AX178" s="22">
        <v>313000</v>
      </c>
      <c r="AY178" s="22">
        <v>346300</v>
      </c>
      <c r="AZ178" s="22">
        <v>507600</v>
      </c>
      <c r="BA178" s="22">
        <v>401500</v>
      </c>
      <c r="BB178" s="22">
        <v>572800</v>
      </c>
      <c r="BC178" s="22">
        <v>727700</v>
      </c>
      <c r="BD178" s="22">
        <v>780400</v>
      </c>
      <c r="BE178" s="22">
        <v>226600</v>
      </c>
      <c r="BF178" s="22">
        <v>302400</v>
      </c>
      <c r="BG178" s="22">
        <v>283900</v>
      </c>
      <c r="BH178" s="22">
        <v>237400</v>
      </c>
      <c r="BI178" s="22">
        <v>133800</v>
      </c>
      <c r="BJ178" s="22">
        <v>548200</v>
      </c>
      <c r="BK178" s="22">
        <v>211900</v>
      </c>
      <c r="BL178" s="22">
        <v>136200</v>
      </c>
      <c r="BM178" s="1">
        <v>176300</v>
      </c>
      <c r="BN178" s="1">
        <v>146400</v>
      </c>
      <c r="BO178" s="1">
        <v>267600</v>
      </c>
      <c r="BP178" s="1">
        <v>325300</v>
      </c>
    </row>
    <row r="179" spans="1:68" ht="15.9" customHeight="1">
      <c r="A179" s="396" t="s">
        <v>352</v>
      </c>
      <c r="B179" s="49" t="s">
        <v>353</v>
      </c>
      <c r="C179" s="53" t="str">
        <f>_xll.RssMarket("5410","出来高")</f>
        <v/>
      </c>
      <c r="D179" s="16" t="e">
        <f t="shared" si="2"/>
        <v>#VALUE!</v>
      </c>
      <c r="E179" s="22">
        <v>98300</v>
      </c>
      <c r="F179" s="22">
        <v>63700</v>
      </c>
      <c r="G179" s="22">
        <v>92300</v>
      </c>
      <c r="H179" s="22">
        <v>97900</v>
      </c>
      <c r="I179" s="22">
        <v>80800</v>
      </c>
      <c r="J179" s="22">
        <v>69200</v>
      </c>
      <c r="K179" s="22">
        <v>67500</v>
      </c>
      <c r="L179" s="22">
        <v>121600</v>
      </c>
      <c r="M179" s="22">
        <v>75500</v>
      </c>
      <c r="N179" s="22">
        <v>109100</v>
      </c>
      <c r="O179" s="22">
        <v>243400</v>
      </c>
      <c r="P179" s="22">
        <v>83400</v>
      </c>
      <c r="Q179" s="22">
        <v>62700</v>
      </c>
      <c r="R179" s="22">
        <v>83800</v>
      </c>
      <c r="S179" s="22">
        <v>71800</v>
      </c>
      <c r="T179" s="22">
        <v>115800</v>
      </c>
      <c r="U179" s="22">
        <v>75300</v>
      </c>
      <c r="V179" s="22">
        <v>79500</v>
      </c>
      <c r="W179" s="22">
        <v>99100</v>
      </c>
      <c r="X179" s="22">
        <v>132200</v>
      </c>
      <c r="Y179" s="22">
        <v>117900</v>
      </c>
      <c r="Z179" s="22">
        <v>101300</v>
      </c>
      <c r="AA179" s="22">
        <v>82100</v>
      </c>
      <c r="AB179" s="22">
        <v>100900</v>
      </c>
      <c r="AC179" s="22">
        <v>98900</v>
      </c>
      <c r="AD179" s="22">
        <v>164900</v>
      </c>
      <c r="AE179" s="22">
        <v>157900</v>
      </c>
      <c r="AF179" s="22">
        <v>112600</v>
      </c>
      <c r="AG179" s="22">
        <v>128900</v>
      </c>
      <c r="AH179" s="22">
        <v>206700</v>
      </c>
      <c r="AI179" s="22">
        <v>164200</v>
      </c>
      <c r="AJ179" s="22">
        <v>130000</v>
      </c>
      <c r="AK179" s="22">
        <v>210300</v>
      </c>
      <c r="AL179" s="22">
        <v>210700</v>
      </c>
      <c r="AM179" s="22">
        <v>156400</v>
      </c>
      <c r="AN179" s="22">
        <v>147300</v>
      </c>
      <c r="AO179" s="22">
        <v>174700</v>
      </c>
      <c r="AP179" s="22">
        <v>241400</v>
      </c>
      <c r="AQ179" s="22">
        <v>115800</v>
      </c>
      <c r="AR179" s="22">
        <v>166600</v>
      </c>
      <c r="AS179" s="22">
        <v>120200</v>
      </c>
      <c r="AT179" s="22">
        <v>125900</v>
      </c>
      <c r="AU179" s="22">
        <v>134700</v>
      </c>
      <c r="AV179" s="22">
        <v>129500</v>
      </c>
      <c r="AW179" s="22">
        <v>120200</v>
      </c>
      <c r="AX179" s="22">
        <v>120200</v>
      </c>
      <c r="AY179" s="22">
        <v>189100</v>
      </c>
      <c r="AZ179" s="22">
        <v>201300</v>
      </c>
      <c r="BA179" s="22">
        <v>238900</v>
      </c>
      <c r="BB179" s="22">
        <v>353200</v>
      </c>
      <c r="BC179" s="22">
        <v>473700</v>
      </c>
      <c r="BD179" s="22">
        <v>779300</v>
      </c>
      <c r="BE179" s="22">
        <v>76500</v>
      </c>
      <c r="BF179" s="22">
        <v>86400</v>
      </c>
      <c r="BG179" s="22">
        <v>105800</v>
      </c>
      <c r="BH179" s="22">
        <v>60300</v>
      </c>
      <c r="BI179" s="22">
        <v>53700</v>
      </c>
      <c r="BJ179" s="22">
        <v>76100</v>
      </c>
      <c r="BK179" s="22">
        <v>57500</v>
      </c>
      <c r="BL179" s="22">
        <v>65000</v>
      </c>
      <c r="BM179" s="1">
        <v>51200</v>
      </c>
      <c r="BN179" s="1">
        <v>74900</v>
      </c>
      <c r="BO179" s="1">
        <v>112700</v>
      </c>
      <c r="BP179" s="1">
        <v>61400</v>
      </c>
    </row>
    <row r="180" spans="1:68" ht="15.9" customHeight="1">
      <c r="A180" s="396" t="s">
        <v>354</v>
      </c>
      <c r="B180" s="49" t="s">
        <v>355</v>
      </c>
      <c r="C180" s="53" t="str">
        <f>_xll.RssMarket("5440","出来高")</f>
        <v/>
      </c>
      <c r="D180" s="16" t="e">
        <f t="shared" si="2"/>
        <v>#VALUE!</v>
      </c>
      <c r="E180" s="22">
        <v>112300</v>
      </c>
      <c r="F180" s="22">
        <v>75700</v>
      </c>
      <c r="G180" s="22">
        <v>99600</v>
      </c>
      <c r="H180" s="22">
        <v>85100</v>
      </c>
      <c r="I180" s="22">
        <v>93000</v>
      </c>
      <c r="J180" s="22">
        <v>79700</v>
      </c>
      <c r="K180" s="22">
        <v>94500</v>
      </c>
      <c r="L180" s="22">
        <v>144500</v>
      </c>
      <c r="M180" s="22">
        <v>81300</v>
      </c>
      <c r="N180" s="22">
        <v>129500</v>
      </c>
      <c r="O180" s="22">
        <v>160700</v>
      </c>
      <c r="P180" s="22">
        <v>148400</v>
      </c>
      <c r="Q180" s="22">
        <v>238000</v>
      </c>
      <c r="R180" s="22">
        <v>171500</v>
      </c>
      <c r="S180" s="22">
        <v>196300</v>
      </c>
      <c r="T180" s="22">
        <v>152300</v>
      </c>
      <c r="U180" s="22">
        <v>127900</v>
      </c>
      <c r="V180" s="22">
        <v>156700</v>
      </c>
      <c r="W180" s="22">
        <v>170600</v>
      </c>
      <c r="X180" s="22">
        <v>151300</v>
      </c>
      <c r="Y180" s="22">
        <v>114900</v>
      </c>
      <c r="Z180" s="22">
        <v>113000</v>
      </c>
      <c r="AA180" s="22">
        <v>109200</v>
      </c>
      <c r="AB180" s="22">
        <v>98400</v>
      </c>
      <c r="AC180" s="22">
        <v>103600</v>
      </c>
      <c r="AD180" s="22">
        <v>120200</v>
      </c>
      <c r="AE180" s="22">
        <v>128300</v>
      </c>
      <c r="AF180" s="22">
        <v>84100</v>
      </c>
      <c r="AG180" s="22">
        <v>92800</v>
      </c>
      <c r="AH180" s="22">
        <v>169900</v>
      </c>
      <c r="AI180" s="22">
        <v>159800</v>
      </c>
      <c r="AJ180" s="22">
        <v>185600</v>
      </c>
      <c r="AK180" s="22">
        <v>102100</v>
      </c>
      <c r="AL180" s="22">
        <v>122500</v>
      </c>
      <c r="AM180" s="22">
        <v>203900</v>
      </c>
      <c r="AN180" s="22">
        <v>113400</v>
      </c>
      <c r="AO180" s="22">
        <v>178600</v>
      </c>
      <c r="AP180" s="22">
        <v>185600</v>
      </c>
      <c r="AQ180" s="22">
        <v>158000</v>
      </c>
      <c r="AR180" s="22">
        <v>135400</v>
      </c>
      <c r="AS180" s="22">
        <v>136600</v>
      </c>
      <c r="AT180" s="22">
        <v>238300</v>
      </c>
      <c r="AU180" s="22">
        <v>190300</v>
      </c>
      <c r="AV180" s="22">
        <v>133300</v>
      </c>
      <c r="AW180" s="22">
        <v>220300</v>
      </c>
      <c r="AX180" s="22">
        <v>220300</v>
      </c>
      <c r="AY180" s="22">
        <v>264300</v>
      </c>
      <c r="AZ180" s="22">
        <v>348300</v>
      </c>
      <c r="BA180" s="22">
        <v>365100</v>
      </c>
      <c r="BB180" s="22">
        <v>608300</v>
      </c>
      <c r="BC180" s="22">
        <v>137300</v>
      </c>
      <c r="BD180" s="22">
        <v>148900</v>
      </c>
      <c r="BE180" s="22">
        <v>99000</v>
      </c>
      <c r="BF180" s="22">
        <v>90500</v>
      </c>
      <c r="BG180" s="22">
        <v>87000</v>
      </c>
      <c r="BH180" s="22">
        <v>99600</v>
      </c>
      <c r="BI180" s="22">
        <v>122200</v>
      </c>
      <c r="BJ180" s="22">
        <v>56700</v>
      </c>
      <c r="BK180" s="22">
        <v>68600</v>
      </c>
      <c r="BL180" s="22">
        <v>69600</v>
      </c>
      <c r="BM180" s="1">
        <v>73500</v>
      </c>
      <c r="BN180" s="1">
        <v>69300</v>
      </c>
      <c r="BO180" s="1">
        <v>62000</v>
      </c>
      <c r="BP180" s="1">
        <v>42800</v>
      </c>
    </row>
    <row r="181" spans="1:68" ht="15.9" customHeight="1">
      <c r="A181" s="396" t="s">
        <v>356</v>
      </c>
      <c r="B181" s="49" t="s">
        <v>357</v>
      </c>
      <c r="C181" s="53" t="str">
        <f>_xll.RssMarket("9505","出来高")</f>
        <v/>
      </c>
      <c r="D181" s="16" t="e">
        <f t="shared" si="2"/>
        <v>#VALUE!</v>
      </c>
      <c r="E181" s="22">
        <v>1173800</v>
      </c>
      <c r="F181" s="22">
        <v>799500</v>
      </c>
      <c r="G181" s="22">
        <v>561900</v>
      </c>
      <c r="H181" s="22">
        <v>699500</v>
      </c>
      <c r="I181" s="22">
        <v>776800</v>
      </c>
      <c r="J181" s="22">
        <v>698000</v>
      </c>
      <c r="K181" s="22">
        <v>644200</v>
      </c>
      <c r="L181" s="22">
        <v>964600</v>
      </c>
      <c r="M181" s="22">
        <v>1101000</v>
      </c>
      <c r="N181" s="22">
        <v>568000</v>
      </c>
      <c r="O181" s="22">
        <v>761900</v>
      </c>
      <c r="P181" s="22">
        <v>748000</v>
      </c>
      <c r="Q181" s="22">
        <v>707000</v>
      </c>
      <c r="R181" s="22">
        <v>784300</v>
      </c>
      <c r="S181" s="22">
        <v>541300</v>
      </c>
      <c r="T181" s="22">
        <v>610900</v>
      </c>
      <c r="U181" s="22">
        <v>926100</v>
      </c>
      <c r="V181" s="22">
        <v>678000</v>
      </c>
      <c r="W181" s="22">
        <v>585200</v>
      </c>
      <c r="X181" s="22">
        <v>1118500</v>
      </c>
      <c r="Y181" s="22">
        <v>818000</v>
      </c>
      <c r="Z181" s="22">
        <v>883400</v>
      </c>
      <c r="AA181" s="22">
        <v>914900</v>
      </c>
      <c r="AB181" s="22">
        <v>990500</v>
      </c>
      <c r="AC181" s="22">
        <v>1134800</v>
      </c>
      <c r="AD181" s="22">
        <v>800900</v>
      </c>
      <c r="AE181" s="22">
        <v>1386100</v>
      </c>
      <c r="AF181" s="22">
        <v>885500</v>
      </c>
      <c r="AG181" s="22">
        <v>945900</v>
      </c>
      <c r="AH181" s="22">
        <v>940400</v>
      </c>
      <c r="AI181" s="22">
        <v>1213200</v>
      </c>
      <c r="AJ181" s="22">
        <v>1473600</v>
      </c>
      <c r="AK181" s="22">
        <v>1557100</v>
      </c>
      <c r="AL181" s="22">
        <v>691100</v>
      </c>
      <c r="AM181" s="22">
        <v>728000</v>
      </c>
      <c r="AN181" s="22">
        <v>780900</v>
      </c>
      <c r="AO181" s="22">
        <v>743100</v>
      </c>
      <c r="AP181" s="22">
        <v>709700</v>
      </c>
      <c r="AQ181" s="22">
        <v>868000</v>
      </c>
      <c r="AR181" s="22">
        <v>1159800</v>
      </c>
      <c r="AS181" s="22">
        <v>721500</v>
      </c>
      <c r="AT181" s="22">
        <v>654100</v>
      </c>
      <c r="AU181" s="22">
        <v>947400</v>
      </c>
      <c r="AV181" s="22">
        <v>954700</v>
      </c>
      <c r="AW181" s="22">
        <v>1513200</v>
      </c>
      <c r="AX181" s="22">
        <v>1513200</v>
      </c>
      <c r="AY181" s="22">
        <v>1633000</v>
      </c>
      <c r="AZ181" s="22">
        <v>3913800</v>
      </c>
      <c r="BA181" s="22">
        <v>2544600</v>
      </c>
      <c r="BB181" s="22">
        <v>5515700</v>
      </c>
      <c r="BC181" s="22">
        <v>737700</v>
      </c>
      <c r="BD181" s="22">
        <v>1273900</v>
      </c>
      <c r="BE181" s="22">
        <v>712500</v>
      </c>
      <c r="BF181" s="22">
        <v>1085700</v>
      </c>
      <c r="BG181" s="22">
        <v>795200</v>
      </c>
      <c r="BH181" s="22">
        <v>676300</v>
      </c>
      <c r="BI181" s="22">
        <v>668100</v>
      </c>
      <c r="BJ181" s="22">
        <v>570200</v>
      </c>
      <c r="BK181" s="22">
        <v>615400</v>
      </c>
      <c r="BL181" s="22">
        <v>704600</v>
      </c>
      <c r="BM181" s="1">
        <v>587800</v>
      </c>
      <c r="BN181" s="1">
        <v>636000</v>
      </c>
      <c r="BO181" s="1">
        <v>632000</v>
      </c>
      <c r="BP181" s="1">
        <v>543000</v>
      </c>
    </row>
    <row r="182" spans="1:68" ht="15.9" customHeight="1">
      <c r="A182" s="396" t="s">
        <v>358</v>
      </c>
      <c r="B182" s="49" t="s">
        <v>359</v>
      </c>
      <c r="C182" s="53" t="str">
        <f>_xll.RssMarket("8091","出来高")</f>
        <v/>
      </c>
      <c r="D182" s="16" t="e">
        <f t="shared" si="2"/>
        <v>#VALUE!</v>
      </c>
      <c r="E182" s="22">
        <v>18000</v>
      </c>
      <c r="F182" s="22">
        <v>13200</v>
      </c>
      <c r="G182" s="22">
        <v>9000</v>
      </c>
      <c r="H182" s="22">
        <v>13500</v>
      </c>
      <c r="I182" s="22">
        <v>18900</v>
      </c>
      <c r="J182" s="22">
        <v>15300</v>
      </c>
      <c r="K182" s="22">
        <v>22600</v>
      </c>
      <c r="L182" s="22">
        <v>12600</v>
      </c>
      <c r="M182" s="22">
        <v>13000</v>
      </c>
      <c r="N182" s="22">
        <v>10900</v>
      </c>
      <c r="O182" s="22">
        <v>17600</v>
      </c>
      <c r="P182" s="22">
        <v>10500</v>
      </c>
      <c r="Q182" s="22">
        <v>6300</v>
      </c>
      <c r="R182" s="22">
        <v>16600</v>
      </c>
      <c r="S182" s="22">
        <v>11000</v>
      </c>
      <c r="T182" s="22">
        <v>34500</v>
      </c>
      <c r="U182" s="22">
        <v>15400</v>
      </c>
      <c r="V182" s="22">
        <v>15800</v>
      </c>
      <c r="W182" s="22">
        <v>25100</v>
      </c>
      <c r="X182" s="22">
        <v>29900</v>
      </c>
      <c r="Y182" s="22">
        <v>39200</v>
      </c>
      <c r="Z182" s="22">
        <v>13300</v>
      </c>
      <c r="AA182" s="22">
        <v>9700</v>
      </c>
      <c r="AB182" s="22">
        <v>18900</v>
      </c>
      <c r="AC182" s="22">
        <v>14400</v>
      </c>
      <c r="AD182" s="22">
        <v>8100</v>
      </c>
      <c r="AE182" s="22">
        <v>24600</v>
      </c>
      <c r="AF182" s="22">
        <v>27400</v>
      </c>
      <c r="AG182" s="22">
        <v>30000</v>
      </c>
      <c r="AH182" s="22">
        <v>41800</v>
      </c>
      <c r="AI182" s="22">
        <v>26200</v>
      </c>
      <c r="AJ182" s="22">
        <v>18700</v>
      </c>
      <c r="AK182" s="22">
        <v>16300</v>
      </c>
      <c r="AL182" s="22">
        <v>13200</v>
      </c>
      <c r="AM182" s="22">
        <v>36800</v>
      </c>
      <c r="AN182" s="22">
        <v>37800</v>
      </c>
      <c r="AO182" s="22">
        <v>25700</v>
      </c>
      <c r="AP182" s="22">
        <v>40900</v>
      </c>
      <c r="AQ182" s="22">
        <v>48700</v>
      </c>
      <c r="AR182" s="22">
        <v>134600</v>
      </c>
      <c r="AS182" s="22">
        <v>34600</v>
      </c>
      <c r="AT182" s="22">
        <v>13800</v>
      </c>
      <c r="AU182" s="22">
        <v>15700</v>
      </c>
      <c r="AV182" s="22">
        <v>16600</v>
      </c>
      <c r="AW182" s="22">
        <v>25300</v>
      </c>
      <c r="AX182" s="22">
        <v>25300</v>
      </c>
      <c r="AY182" s="22">
        <v>31100</v>
      </c>
      <c r="AZ182" s="22">
        <v>32300</v>
      </c>
      <c r="BA182" s="22">
        <v>44100</v>
      </c>
      <c r="BB182" s="22">
        <v>48500</v>
      </c>
      <c r="BC182" s="22">
        <v>37300</v>
      </c>
      <c r="BD182" s="22">
        <v>132800</v>
      </c>
      <c r="BE182" s="22">
        <v>11300</v>
      </c>
      <c r="BF182" s="22">
        <v>15300</v>
      </c>
      <c r="BG182" s="22">
        <v>15100</v>
      </c>
      <c r="BH182" s="22">
        <v>10700</v>
      </c>
      <c r="BI182" s="22">
        <v>9300</v>
      </c>
      <c r="BJ182" s="22">
        <v>7300</v>
      </c>
      <c r="BK182" s="22">
        <v>7000</v>
      </c>
      <c r="BL182" s="22">
        <v>8200</v>
      </c>
      <c r="BM182" s="1">
        <v>14700</v>
      </c>
      <c r="BN182" s="1">
        <v>14700</v>
      </c>
      <c r="BO182" s="1">
        <v>9800</v>
      </c>
      <c r="BP182" s="1">
        <v>16200</v>
      </c>
    </row>
    <row r="183" spans="1:68" ht="15.9" customHeight="1">
      <c r="A183" s="396" t="s">
        <v>360</v>
      </c>
      <c r="B183" s="49" t="s">
        <v>361</v>
      </c>
      <c r="C183" s="53" t="str">
        <f>_xll.RssMarket("6507","出来高")</f>
        <v/>
      </c>
      <c r="D183" s="16" t="e">
        <f t="shared" si="2"/>
        <v>#VALUE!</v>
      </c>
      <c r="E183" s="22">
        <v>224500</v>
      </c>
      <c r="F183" s="22">
        <v>118200</v>
      </c>
      <c r="G183" s="22">
        <v>101000</v>
      </c>
      <c r="H183" s="22">
        <v>126900</v>
      </c>
      <c r="I183" s="22">
        <v>132000</v>
      </c>
      <c r="J183" s="22">
        <v>121600</v>
      </c>
      <c r="K183" s="22">
        <v>192900</v>
      </c>
      <c r="L183" s="22">
        <v>177600</v>
      </c>
      <c r="M183" s="22">
        <v>199300</v>
      </c>
      <c r="N183" s="22">
        <v>128100</v>
      </c>
      <c r="O183" s="22">
        <v>138700</v>
      </c>
      <c r="P183" s="22">
        <v>152900</v>
      </c>
      <c r="Q183" s="22">
        <v>169100</v>
      </c>
      <c r="R183" s="22">
        <v>104600</v>
      </c>
      <c r="S183" s="22">
        <v>121500</v>
      </c>
      <c r="T183" s="22">
        <v>150400</v>
      </c>
      <c r="U183" s="22">
        <v>120400</v>
      </c>
      <c r="V183" s="22">
        <v>136400</v>
      </c>
      <c r="W183" s="22">
        <v>188300</v>
      </c>
      <c r="X183" s="22">
        <v>225100</v>
      </c>
      <c r="Y183" s="22">
        <v>250500</v>
      </c>
      <c r="Z183" s="22">
        <v>248900</v>
      </c>
      <c r="AA183" s="22">
        <v>176200</v>
      </c>
      <c r="AB183" s="22">
        <v>187400</v>
      </c>
      <c r="AC183" s="22">
        <v>217200</v>
      </c>
      <c r="AD183" s="22">
        <v>154500</v>
      </c>
      <c r="AE183" s="22">
        <v>209900</v>
      </c>
      <c r="AF183" s="22">
        <v>218000</v>
      </c>
      <c r="AG183" s="22">
        <v>340900</v>
      </c>
      <c r="AH183" s="22">
        <v>204200</v>
      </c>
      <c r="AI183" s="22">
        <v>370200</v>
      </c>
      <c r="AJ183" s="22">
        <v>317700</v>
      </c>
      <c r="AK183" s="22">
        <v>231400</v>
      </c>
      <c r="AL183" s="22">
        <v>154200</v>
      </c>
      <c r="AM183" s="22">
        <v>174900</v>
      </c>
      <c r="AN183" s="22">
        <v>155800</v>
      </c>
      <c r="AO183" s="22">
        <v>205600</v>
      </c>
      <c r="AP183" s="22">
        <v>311700</v>
      </c>
      <c r="AQ183" s="22">
        <v>295100</v>
      </c>
      <c r="AR183" s="22">
        <v>143100</v>
      </c>
      <c r="AS183" s="22">
        <v>303100</v>
      </c>
      <c r="AT183" s="22">
        <v>649600</v>
      </c>
      <c r="AU183" s="22">
        <v>165100</v>
      </c>
      <c r="AV183" s="22">
        <v>163400</v>
      </c>
      <c r="AW183" s="22">
        <v>174600</v>
      </c>
      <c r="AX183" s="22">
        <v>174600</v>
      </c>
      <c r="AY183" s="22">
        <v>150400</v>
      </c>
      <c r="AZ183" s="22">
        <v>291400</v>
      </c>
      <c r="BA183" s="22">
        <v>198200</v>
      </c>
      <c r="BB183" s="22">
        <v>175600</v>
      </c>
      <c r="BC183" s="22">
        <v>165100</v>
      </c>
      <c r="BD183" s="22">
        <v>98300</v>
      </c>
      <c r="BE183" s="22">
        <v>77100</v>
      </c>
      <c r="BF183" s="22">
        <v>140600</v>
      </c>
      <c r="BG183" s="22">
        <v>174700</v>
      </c>
      <c r="BH183" s="22">
        <v>114000</v>
      </c>
      <c r="BI183" s="22">
        <v>114300</v>
      </c>
      <c r="BJ183" s="22">
        <v>122900</v>
      </c>
      <c r="BK183" s="22">
        <v>260100</v>
      </c>
      <c r="BL183" s="22">
        <v>195900</v>
      </c>
      <c r="BM183" s="1">
        <v>121800</v>
      </c>
      <c r="BN183" s="1">
        <v>140800</v>
      </c>
      <c r="BO183" s="1">
        <v>219000</v>
      </c>
      <c r="BP183" s="1">
        <v>188300</v>
      </c>
    </row>
    <row r="184" spans="1:68" ht="15.9" customHeight="1">
      <c r="A184" s="396" t="s">
        <v>362</v>
      </c>
      <c r="B184" s="49" t="s">
        <v>363</v>
      </c>
      <c r="C184" s="53" t="str">
        <f>_xll.RssMarket("9022","出来高")</f>
        <v/>
      </c>
      <c r="D184" s="16" t="e">
        <f t="shared" si="2"/>
        <v>#VALUE!</v>
      </c>
      <c r="E184" s="22">
        <v>3012200</v>
      </c>
      <c r="F184" s="22">
        <v>3232700</v>
      </c>
      <c r="G184" s="22">
        <v>3602500</v>
      </c>
      <c r="H184" s="22">
        <v>1960200</v>
      </c>
      <c r="I184" s="22">
        <v>2264500</v>
      </c>
      <c r="J184" s="22">
        <v>3001600</v>
      </c>
      <c r="K184" s="22">
        <v>3720900</v>
      </c>
      <c r="L184" s="22">
        <v>4949900</v>
      </c>
      <c r="M184" s="22">
        <v>2034000</v>
      </c>
      <c r="N184" s="22">
        <v>3111100</v>
      </c>
      <c r="O184" s="22">
        <v>2448300</v>
      </c>
      <c r="P184" s="22">
        <v>2489900</v>
      </c>
      <c r="Q184" s="22">
        <v>4226200</v>
      </c>
      <c r="R184" s="22">
        <v>3489800</v>
      </c>
      <c r="S184" s="22">
        <v>3077700</v>
      </c>
      <c r="T184" s="22">
        <v>2765100</v>
      </c>
      <c r="U184" s="22">
        <v>3089400</v>
      </c>
      <c r="V184" s="22">
        <v>3734500</v>
      </c>
      <c r="W184" s="22">
        <v>2116300</v>
      </c>
      <c r="X184" s="22">
        <v>5672000</v>
      </c>
      <c r="Y184" s="22">
        <v>3769400</v>
      </c>
      <c r="Z184" s="22">
        <v>3410000</v>
      </c>
      <c r="AA184" s="22">
        <v>4201800</v>
      </c>
      <c r="AB184" s="22">
        <v>3929200</v>
      </c>
      <c r="AC184" s="22">
        <v>3340700</v>
      </c>
      <c r="AD184" s="22">
        <v>3640600</v>
      </c>
      <c r="AE184" s="22">
        <v>3521100</v>
      </c>
      <c r="AF184" s="22">
        <v>2342400</v>
      </c>
      <c r="AG184" s="22">
        <v>2570600</v>
      </c>
      <c r="AH184" s="22">
        <v>2842000</v>
      </c>
      <c r="AI184" s="22">
        <v>2876100</v>
      </c>
      <c r="AJ184" s="22">
        <v>5172400</v>
      </c>
      <c r="AK184" s="22">
        <v>2430400</v>
      </c>
      <c r="AL184" s="22">
        <v>2385200</v>
      </c>
      <c r="AM184" s="22">
        <v>2264600</v>
      </c>
      <c r="AN184" s="22">
        <v>2768700</v>
      </c>
      <c r="AO184" s="22">
        <v>2349300</v>
      </c>
      <c r="AP184" s="22">
        <v>2895400</v>
      </c>
      <c r="AQ184" s="22">
        <v>2568200</v>
      </c>
      <c r="AR184" s="22">
        <v>2609100</v>
      </c>
      <c r="AS184" s="22">
        <v>3211200</v>
      </c>
      <c r="AT184" s="22">
        <v>2469100</v>
      </c>
      <c r="AU184" s="22">
        <v>2442600</v>
      </c>
      <c r="AV184" s="22">
        <v>2408300</v>
      </c>
      <c r="AW184" s="22">
        <v>3195300</v>
      </c>
      <c r="AX184" s="22">
        <v>3195300</v>
      </c>
      <c r="AY184" s="22">
        <v>3953200</v>
      </c>
      <c r="AZ184" s="22">
        <v>4824200</v>
      </c>
      <c r="BA184" s="22">
        <v>5579600</v>
      </c>
      <c r="BB184" s="22">
        <v>7976700</v>
      </c>
      <c r="BC184" s="22">
        <v>5280800</v>
      </c>
      <c r="BD184" s="22">
        <v>2248900</v>
      </c>
      <c r="BE184" s="22">
        <v>1967900</v>
      </c>
      <c r="BF184" s="22">
        <v>2725400</v>
      </c>
      <c r="BG184" s="22">
        <v>2063800</v>
      </c>
      <c r="BH184" s="22">
        <v>2349200</v>
      </c>
      <c r="BI184" s="22">
        <v>1851300</v>
      </c>
      <c r="BJ184" s="22">
        <v>2082300</v>
      </c>
      <c r="BK184" s="22">
        <v>2481900</v>
      </c>
      <c r="BL184" s="22">
        <v>3961900</v>
      </c>
      <c r="BM184" s="1">
        <v>2643700</v>
      </c>
      <c r="BN184" s="1">
        <v>1816700</v>
      </c>
      <c r="BO184" s="1">
        <v>2276300</v>
      </c>
      <c r="BP184" s="1">
        <v>3722700</v>
      </c>
    </row>
    <row r="185" spans="1:68" ht="15.9" customHeight="1">
      <c r="A185" s="396" t="s">
        <v>364</v>
      </c>
      <c r="B185" s="49" t="s">
        <v>365</v>
      </c>
      <c r="C185" s="53" t="str">
        <f>_xll.RssMarket("9536","出来高")</f>
        <v/>
      </c>
      <c r="D185" s="16" t="e">
        <f t="shared" si="2"/>
        <v>#VALUE!</v>
      </c>
      <c r="E185" s="22">
        <v>67700</v>
      </c>
      <c r="F185" s="22">
        <v>44900</v>
      </c>
      <c r="G185" s="22">
        <v>38700</v>
      </c>
      <c r="H185" s="22">
        <v>61400</v>
      </c>
      <c r="I185" s="22">
        <v>99500</v>
      </c>
      <c r="J185" s="22">
        <v>93700</v>
      </c>
      <c r="K185" s="22">
        <v>73700</v>
      </c>
      <c r="L185" s="22">
        <v>98800</v>
      </c>
      <c r="M185" s="22">
        <v>95100</v>
      </c>
      <c r="N185" s="22">
        <v>73500</v>
      </c>
      <c r="O185" s="22">
        <v>73400</v>
      </c>
      <c r="P185" s="22">
        <v>86900</v>
      </c>
      <c r="Q185" s="22">
        <v>73300</v>
      </c>
      <c r="R185" s="22">
        <v>83500</v>
      </c>
      <c r="S185" s="22">
        <v>48600</v>
      </c>
      <c r="T185" s="22">
        <v>54300</v>
      </c>
      <c r="U185" s="22">
        <v>55100</v>
      </c>
      <c r="V185" s="22">
        <v>58500</v>
      </c>
      <c r="W185" s="22">
        <v>77400</v>
      </c>
      <c r="X185" s="22">
        <v>96400</v>
      </c>
      <c r="Y185" s="22">
        <v>59300</v>
      </c>
      <c r="Z185" s="22">
        <v>55900</v>
      </c>
      <c r="AA185" s="22">
        <v>62500</v>
      </c>
      <c r="AB185" s="22">
        <v>77100</v>
      </c>
      <c r="AC185" s="22">
        <v>56200</v>
      </c>
      <c r="AD185" s="22">
        <v>68900</v>
      </c>
      <c r="AE185" s="22">
        <v>73100</v>
      </c>
      <c r="AF185" s="22">
        <v>56200</v>
      </c>
      <c r="AG185" s="22">
        <v>67600</v>
      </c>
      <c r="AH185" s="22">
        <v>71000</v>
      </c>
      <c r="AI185" s="22">
        <v>111600</v>
      </c>
      <c r="AJ185" s="22">
        <v>88700</v>
      </c>
      <c r="AK185" s="22">
        <v>99600</v>
      </c>
      <c r="AL185" s="22">
        <v>70500</v>
      </c>
      <c r="AM185" s="22">
        <v>67700</v>
      </c>
      <c r="AN185" s="22">
        <v>53800</v>
      </c>
      <c r="AO185" s="22">
        <v>43500</v>
      </c>
      <c r="AP185" s="22">
        <v>61700</v>
      </c>
      <c r="AQ185" s="22">
        <v>60100</v>
      </c>
      <c r="AR185" s="22">
        <v>96400</v>
      </c>
      <c r="AS185" s="22">
        <v>41400</v>
      </c>
      <c r="AT185" s="22">
        <v>45300</v>
      </c>
      <c r="AU185" s="22">
        <v>58700</v>
      </c>
      <c r="AV185" s="22">
        <v>66700</v>
      </c>
      <c r="AW185" s="22">
        <v>79500</v>
      </c>
      <c r="AX185" s="22">
        <v>79500</v>
      </c>
      <c r="AY185" s="22">
        <v>85000</v>
      </c>
      <c r="AZ185" s="22">
        <v>112400</v>
      </c>
      <c r="BA185" s="22">
        <v>183300</v>
      </c>
      <c r="BB185" s="22">
        <v>311300</v>
      </c>
      <c r="BC185" s="22">
        <v>64400</v>
      </c>
      <c r="BD185" s="22">
        <v>59400</v>
      </c>
      <c r="BE185" s="22">
        <v>44600</v>
      </c>
      <c r="BF185" s="22">
        <v>64100</v>
      </c>
      <c r="BG185" s="22">
        <v>66000</v>
      </c>
      <c r="BH185" s="22">
        <v>69100</v>
      </c>
      <c r="BI185" s="22">
        <v>61300</v>
      </c>
      <c r="BJ185" s="22">
        <v>41900</v>
      </c>
      <c r="BK185" s="22">
        <v>49500</v>
      </c>
      <c r="BL185" s="22">
        <v>53500</v>
      </c>
      <c r="BM185" s="1">
        <v>44400</v>
      </c>
      <c r="BN185" s="1">
        <v>63000</v>
      </c>
      <c r="BO185" s="1">
        <v>74100</v>
      </c>
      <c r="BP185" s="1">
        <v>61600</v>
      </c>
    </row>
    <row r="186" spans="1:68" ht="15.9" customHeight="1">
      <c r="A186" s="396" t="s">
        <v>366</v>
      </c>
      <c r="B186" s="49" t="s">
        <v>367</v>
      </c>
      <c r="C186" s="53" t="str">
        <f>_xll.RssMarket("9506","出来高")</f>
        <v/>
      </c>
      <c r="D186" s="16" t="e">
        <f t="shared" si="2"/>
        <v>#VALUE!</v>
      </c>
      <c r="E186" s="22">
        <v>3457000</v>
      </c>
      <c r="F186" s="22">
        <v>2907300</v>
      </c>
      <c r="G186" s="22">
        <v>2181100</v>
      </c>
      <c r="H186" s="22">
        <v>1641000</v>
      </c>
      <c r="I186" s="22">
        <v>2069300</v>
      </c>
      <c r="J186" s="22">
        <v>2485100</v>
      </c>
      <c r="K186" s="22">
        <v>1907500</v>
      </c>
      <c r="L186" s="22">
        <v>2430700</v>
      </c>
      <c r="M186" s="22">
        <v>2552800</v>
      </c>
      <c r="N186" s="22">
        <v>2817400</v>
      </c>
      <c r="O186" s="22">
        <v>1949700</v>
      </c>
      <c r="P186" s="22">
        <v>2103900</v>
      </c>
      <c r="Q186" s="22">
        <v>2862600</v>
      </c>
      <c r="R186" s="22">
        <v>2353800</v>
      </c>
      <c r="S186" s="22">
        <v>1805100</v>
      </c>
      <c r="T186" s="22">
        <v>2095600</v>
      </c>
      <c r="U186" s="22">
        <v>1653000</v>
      </c>
      <c r="V186" s="22">
        <v>1678300</v>
      </c>
      <c r="W186" s="22">
        <v>1663900</v>
      </c>
      <c r="X186" s="22">
        <v>1762900</v>
      </c>
      <c r="Y186" s="22">
        <v>1393500</v>
      </c>
      <c r="Z186" s="22">
        <v>1967700</v>
      </c>
      <c r="AA186" s="22">
        <v>1926100</v>
      </c>
      <c r="AB186" s="22">
        <v>2277600</v>
      </c>
      <c r="AC186" s="22">
        <v>2742000</v>
      </c>
      <c r="AD186" s="22">
        <v>1721000</v>
      </c>
      <c r="AE186" s="22">
        <v>2547900</v>
      </c>
      <c r="AF186" s="22">
        <v>1860900</v>
      </c>
      <c r="AG186" s="22">
        <v>2763700</v>
      </c>
      <c r="AH186" s="22">
        <v>2761800</v>
      </c>
      <c r="AI186" s="22">
        <v>2757600</v>
      </c>
      <c r="AJ186" s="22">
        <v>6022300</v>
      </c>
      <c r="AK186" s="22">
        <v>3141000</v>
      </c>
      <c r="AL186" s="22">
        <v>3922300</v>
      </c>
      <c r="AM186" s="22">
        <v>2098600</v>
      </c>
      <c r="AN186" s="22">
        <v>2775300</v>
      </c>
      <c r="AO186" s="22">
        <v>2738300</v>
      </c>
      <c r="AP186" s="22">
        <v>2807400</v>
      </c>
      <c r="AQ186" s="22">
        <v>1942700</v>
      </c>
      <c r="AR186" s="22">
        <v>2835400</v>
      </c>
      <c r="AS186" s="22">
        <v>2067300</v>
      </c>
      <c r="AT186" s="22">
        <v>1797900</v>
      </c>
      <c r="AU186" s="22">
        <v>2202200</v>
      </c>
      <c r="AV186" s="22">
        <v>1681900</v>
      </c>
      <c r="AW186" s="22">
        <v>3031000</v>
      </c>
      <c r="AX186" s="22">
        <v>3031000</v>
      </c>
      <c r="AY186" s="22">
        <v>3157800</v>
      </c>
      <c r="AZ186" s="22">
        <v>4570100</v>
      </c>
      <c r="BA186" s="22">
        <v>5321900</v>
      </c>
      <c r="BB186" s="22">
        <v>4600700</v>
      </c>
      <c r="BC186" s="22">
        <v>2428600</v>
      </c>
      <c r="BD186" s="22">
        <v>1406900</v>
      </c>
      <c r="BE186" s="22">
        <v>1505400</v>
      </c>
      <c r="BF186" s="22">
        <v>1706800</v>
      </c>
      <c r="BG186" s="22">
        <v>1772400</v>
      </c>
      <c r="BH186" s="22">
        <v>2511800</v>
      </c>
      <c r="BI186" s="22">
        <v>2524400</v>
      </c>
      <c r="BJ186" s="22">
        <v>1683300</v>
      </c>
      <c r="BK186" s="22">
        <v>1406600</v>
      </c>
      <c r="BL186" s="22">
        <v>1844300</v>
      </c>
      <c r="BM186" s="1">
        <v>2277300</v>
      </c>
      <c r="BN186" s="1">
        <v>2823100</v>
      </c>
      <c r="BO186" s="1">
        <v>1871900</v>
      </c>
      <c r="BP186" s="1">
        <v>2322600</v>
      </c>
    </row>
    <row r="187" spans="1:68" ht="15.9" customHeight="1">
      <c r="A187" s="396" t="s">
        <v>368</v>
      </c>
      <c r="B187" s="49" t="s">
        <v>369</v>
      </c>
      <c r="C187" s="53" t="str">
        <f>_xll.RssMarket("2127","出来高")</f>
        <v/>
      </c>
      <c r="D187" s="16" t="e">
        <f t="shared" si="2"/>
        <v>#VALUE!</v>
      </c>
      <c r="E187" s="22">
        <v>1308600</v>
      </c>
      <c r="F187" s="22">
        <v>807100</v>
      </c>
      <c r="G187" s="22">
        <v>1066600</v>
      </c>
      <c r="H187" s="22">
        <v>783100</v>
      </c>
      <c r="I187" s="22">
        <v>1294500</v>
      </c>
      <c r="J187" s="22">
        <v>1296100</v>
      </c>
      <c r="K187" s="22">
        <v>1540800</v>
      </c>
      <c r="L187" s="22">
        <v>2033300</v>
      </c>
      <c r="M187" s="22">
        <v>2714900</v>
      </c>
      <c r="N187" s="22">
        <v>1270300</v>
      </c>
      <c r="O187" s="22">
        <v>1676300</v>
      </c>
      <c r="P187" s="22">
        <v>1332700</v>
      </c>
      <c r="Q187" s="22">
        <v>2073400</v>
      </c>
      <c r="R187" s="22">
        <v>2692600</v>
      </c>
      <c r="S187" s="22">
        <v>2128700</v>
      </c>
      <c r="T187" s="22">
        <v>1480500</v>
      </c>
      <c r="U187" s="22">
        <v>1409000</v>
      </c>
      <c r="V187" s="22">
        <v>1850400</v>
      </c>
      <c r="W187" s="22">
        <v>1629900</v>
      </c>
      <c r="X187" s="22">
        <v>2094300</v>
      </c>
      <c r="Y187" s="22">
        <v>1766400</v>
      </c>
      <c r="Z187" s="22">
        <v>1269200</v>
      </c>
      <c r="AA187" s="22">
        <v>1153100</v>
      </c>
      <c r="AB187" s="22">
        <v>1965600</v>
      </c>
      <c r="AC187" s="22">
        <v>1298900</v>
      </c>
      <c r="AD187" s="22">
        <v>1527700</v>
      </c>
      <c r="AE187" s="22">
        <v>1386600</v>
      </c>
      <c r="AF187" s="22">
        <v>1599000</v>
      </c>
      <c r="AG187" s="22">
        <v>1686900</v>
      </c>
      <c r="AH187" s="22">
        <v>1802800</v>
      </c>
      <c r="AI187" s="22">
        <v>1659800</v>
      </c>
      <c r="AJ187" s="22">
        <v>1496400</v>
      </c>
      <c r="AK187" s="22">
        <v>2011200</v>
      </c>
      <c r="AL187" s="22">
        <v>2472200</v>
      </c>
      <c r="AM187" s="22">
        <v>1361300</v>
      </c>
      <c r="AN187" s="22">
        <v>1227400</v>
      </c>
      <c r="AO187" s="22">
        <v>1292200</v>
      </c>
      <c r="AP187" s="22">
        <v>1998300</v>
      </c>
      <c r="AQ187" s="22">
        <v>1661400</v>
      </c>
      <c r="AR187" s="22">
        <v>1625600</v>
      </c>
      <c r="AS187" s="22">
        <v>1420700</v>
      </c>
      <c r="AT187" s="22">
        <v>1645400</v>
      </c>
      <c r="AU187" s="22">
        <v>1222100</v>
      </c>
      <c r="AV187" s="22">
        <v>1989600</v>
      </c>
      <c r="AW187" s="22">
        <v>1906700</v>
      </c>
      <c r="AX187" s="22">
        <v>1906700</v>
      </c>
      <c r="AY187" s="22">
        <v>2950000</v>
      </c>
      <c r="AZ187" s="22">
        <v>5176300</v>
      </c>
      <c r="BA187" s="22">
        <v>4926900</v>
      </c>
      <c r="BB187" s="22">
        <v>3770800</v>
      </c>
      <c r="BC187" s="22">
        <v>2614600</v>
      </c>
      <c r="BD187" s="22">
        <v>1776000</v>
      </c>
      <c r="BE187" s="22">
        <v>2430000</v>
      </c>
      <c r="BF187" s="22">
        <v>2039000</v>
      </c>
      <c r="BG187" s="22">
        <v>1680900</v>
      </c>
      <c r="BH187" s="22">
        <v>2328800</v>
      </c>
      <c r="BI187" s="22">
        <v>1519500</v>
      </c>
      <c r="BJ187" s="22">
        <v>1577200</v>
      </c>
      <c r="BK187" s="22">
        <v>1950300</v>
      </c>
      <c r="BL187" s="22">
        <v>1380400</v>
      </c>
      <c r="BM187" s="1">
        <v>945900</v>
      </c>
      <c r="BN187" s="1">
        <v>1537200</v>
      </c>
      <c r="BO187" s="1">
        <v>1646500</v>
      </c>
      <c r="BP187" s="1">
        <v>1629100</v>
      </c>
    </row>
    <row r="188" spans="1:68" ht="15.9" customHeight="1">
      <c r="A188" s="396" t="s">
        <v>370</v>
      </c>
      <c r="B188" s="49" t="s">
        <v>371</v>
      </c>
      <c r="C188" s="53" t="str">
        <f>_xll.RssMarket("6753","出来高")</f>
        <v/>
      </c>
      <c r="D188" s="16" t="e">
        <f t="shared" si="2"/>
        <v>#VALUE!</v>
      </c>
      <c r="E188" s="22">
        <v>3247500</v>
      </c>
      <c r="F188" s="22">
        <v>2107100</v>
      </c>
      <c r="G188" s="22">
        <v>2506300</v>
      </c>
      <c r="H188" s="22">
        <v>3024900</v>
      </c>
      <c r="I188" s="22">
        <v>2876900</v>
      </c>
      <c r="J188" s="22">
        <v>2681600</v>
      </c>
      <c r="K188" s="22">
        <v>3315000</v>
      </c>
      <c r="L188" s="22">
        <v>4165900</v>
      </c>
      <c r="M188" s="22">
        <v>2414900</v>
      </c>
      <c r="N188" s="22">
        <v>2840300</v>
      </c>
      <c r="O188" s="22">
        <v>3556000</v>
      </c>
      <c r="P188" s="22">
        <v>4593700</v>
      </c>
      <c r="Q188" s="22">
        <v>7375700</v>
      </c>
      <c r="R188" s="22">
        <v>4599200</v>
      </c>
      <c r="S188" s="22">
        <v>4674700</v>
      </c>
      <c r="T188" s="22">
        <v>16373100</v>
      </c>
      <c r="U188" s="22">
        <v>11892500</v>
      </c>
      <c r="V188" s="22">
        <v>2646100</v>
      </c>
      <c r="W188" s="22">
        <v>3363900</v>
      </c>
      <c r="X188" s="22">
        <v>5709500</v>
      </c>
      <c r="Y188" s="22">
        <v>2829200</v>
      </c>
      <c r="Z188" s="22">
        <v>2353100</v>
      </c>
      <c r="AA188" s="22">
        <v>3151400</v>
      </c>
      <c r="AB188" s="22">
        <v>3103900</v>
      </c>
      <c r="AC188" s="22">
        <v>3530400</v>
      </c>
      <c r="AD188" s="22">
        <v>4039500</v>
      </c>
      <c r="AE188" s="22">
        <v>4816400</v>
      </c>
      <c r="AF188" s="22">
        <v>3247900</v>
      </c>
      <c r="AG188" s="22">
        <v>3776300</v>
      </c>
      <c r="AH188" s="22">
        <v>4830400</v>
      </c>
      <c r="AI188" s="22">
        <v>5366700</v>
      </c>
      <c r="AJ188" s="22">
        <v>4595800</v>
      </c>
      <c r="AK188" s="22">
        <v>3081600</v>
      </c>
      <c r="AL188" s="22">
        <v>4278300</v>
      </c>
      <c r="AM188" s="22">
        <v>4749400</v>
      </c>
      <c r="AN188" s="22">
        <v>6306800</v>
      </c>
      <c r="AO188" s="22">
        <v>3614800</v>
      </c>
      <c r="AP188" s="22">
        <v>4040300</v>
      </c>
      <c r="AQ188" s="22">
        <v>6038400</v>
      </c>
      <c r="AR188" s="22">
        <v>5034400</v>
      </c>
      <c r="AS188" s="22">
        <v>5889300</v>
      </c>
      <c r="AT188" s="22">
        <v>5881100</v>
      </c>
      <c r="AU188" s="22">
        <v>10113200</v>
      </c>
      <c r="AV188" s="22">
        <v>5895900</v>
      </c>
      <c r="AW188" s="22">
        <v>4612500</v>
      </c>
      <c r="AX188" s="22">
        <v>4612500</v>
      </c>
      <c r="AY188" s="22">
        <v>5707400</v>
      </c>
      <c r="AZ188" s="22">
        <v>7741400</v>
      </c>
      <c r="BA188" s="22">
        <v>3565100</v>
      </c>
      <c r="BB188" s="22">
        <v>2632800</v>
      </c>
      <c r="BC188" s="22">
        <v>2650300</v>
      </c>
      <c r="BD188" s="22">
        <v>5150100</v>
      </c>
      <c r="BE188" s="22">
        <v>5950000</v>
      </c>
      <c r="BF188" s="22">
        <v>2865800</v>
      </c>
      <c r="BG188" s="22">
        <v>1688700</v>
      </c>
      <c r="BH188" s="22">
        <v>2007300</v>
      </c>
      <c r="BI188" s="22">
        <v>1775400</v>
      </c>
      <c r="BJ188" s="22">
        <v>3268300</v>
      </c>
      <c r="BK188" s="22">
        <v>3007600</v>
      </c>
      <c r="BL188" s="22">
        <v>2633200</v>
      </c>
      <c r="BM188" s="1">
        <v>2979200</v>
      </c>
      <c r="BN188" s="1">
        <v>2646600</v>
      </c>
      <c r="BO188" s="1">
        <v>2670300</v>
      </c>
      <c r="BP188" s="1">
        <v>3584200</v>
      </c>
    </row>
    <row r="189" spans="1:68" ht="15.9" customHeight="1">
      <c r="A189" s="396" t="s">
        <v>372</v>
      </c>
      <c r="B189" s="49" t="str">
        <f>銘柄管理!C189</f>
        <v/>
      </c>
      <c r="C189" s="53" t="str">
        <f>_xll.RssMarket("9064","出来高")</f>
        <v/>
      </c>
      <c r="D189" s="16" t="e">
        <f t="shared" si="2"/>
        <v>#VALUE!</v>
      </c>
      <c r="E189" s="22">
        <v>1636700</v>
      </c>
      <c r="F189" s="22">
        <v>550700</v>
      </c>
      <c r="G189" s="22">
        <v>1057200</v>
      </c>
      <c r="H189" s="22">
        <v>751700</v>
      </c>
      <c r="I189" s="22">
        <v>1095200</v>
      </c>
      <c r="J189" s="22">
        <v>770200</v>
      </c>
      <c r="K189" s="22">
        <v>1174600</v>
      </c>
      <c r="L189" s="22">
        <v>1319600</v>
      </c>
      <c r="M189" s="22">
        <v>1923900</v>
      </c>
      <c r="N189" s="22">
        <v>1914000</v>
      </c>
      <c r="O189" s="22">
        <v>1371500</v>
      </c>
      <c r="P189" s="22">
        <v>1134800</v>
      </c>
      <c r="Q189" s="22">
        <v>996700</v>
      </c>
      <c r="R189" s="22">
        <v>1175100</v>
      </c>
      <c r="S189" s="22">
        <v>960800</v>
      </c>
      <c r="T189" s="22">
        <v>1772000</v>
      </c>
      <c r="U189" s="22">
        <v>1370800</v>
      </c>
      <c r="V189" s="22">
        <v>996800</v>
      </c>
      <c r="W189" s="22">
        <v>841800</v>
      </c>
      <c r="X189" s="22">
        <v>2128900</v>
      </c>
      <c r="Y189" s="22">
        <v>988300</v>
      </c>
      <c r="Z189" s="22">
        <v>830300</v>
      </c>
      <c r="AA189" s="22">
        <v>1237400</v>
      </c>
      <c r="AB189" s="22">
        <v>1338400</v>
      </c>
      <c r="AC189" s="22">
        <v>1193100</v>
      </c>
      <c r="AD189" s="22">
        <v>1015500</v>
      </c>
      <c r="AE189" s="22">
        <v>1136900</v>
      </c>
      <c r="AF189" s="22">
        <v>811200</v>
      </c>
      <c r="AG189" s="22">
        <v>704500</v>
      </c>
      <c r="AH189" s="22">
        <v>1110800</v>
      </c>
      <c r="AI189" s="22">
        <v>1229400</v>
      </c>
      <c r="AJ189" s="22">
        <v>2201000</v>
      </c>
      <c r="AK189" s="22">
        <v>825300</v>
      </c>
      <c r="AL189" s="22">
        <v>1015700</v>
      </c>
      <c r="AM189" s="22">
        <v>1580000</v>
      </c>
      <c r="AN189" s="22">
        <v>841100</v>
      </c>
      <c r="AO189" s="22">
        <v>1391400</v>
      </c>
      <c r="AP189" s="22">
        <v>985200</v>
      </c>
      <c r="AQ189" s="22">
        <v>1231800</v>
      </c>
      <c r="AR189" s="22">
        <v>940700</v>
      </c>
      <c r="AS189" s="22">
        <v>1469800</v>
      </c>
      <c r="AT189" s="22">
        <v>954000</v>
      </c>
      <c r="AU189" s="22">
        <v>914400</v>
      </c>
      <c r="AV189" s="22">
        <v>1104800</v>
      </c>
      <c r="AW189" s="22">
        <v>2066200</v>
      </c>
      <c r="AX189" s="22">
        <v>2066200</v>
      </c>
      <c r="AY189" s="22">
        <v>1682800</v>
      </c>
      <c r="AZ189" s="22">
        <v>2173800</v>
      </c>
      <c r="BA189" s="22">
        <v>1378800</v>
      </c>
      <c r="BB189" s="22">
        <v>1664900</v>
      </c>
      <c r="BC189" s="22">
        <v>1226400</v>
      </c>
      <c r="BD189" s="22">
        <v>1562800</v>
      </c>
      <c r="BE189" s="22">
        <v>931700</v>
      </c>
      <c r="BF189" s="22">
        <v>1059600</v>
      </c>
      <c r="BG189" s="22">
        <v>653200</v>
      </c>
      <c r="BH189" s="22">
        <v>713000</v>
      </c>
      <c r="BI189" s="22">
        <v>1070300</v>
      </c>
      <c r="BJ189" s="22">
        <v>892800</v>
      </c>
      <c r="BK189" s="22">
        <v>1314800</v>
      </c>
      <c r="BL189" s="22">
        <v>1145900</v>
      </c>
      <c r="BM189" s="1">
        <v>954800</v>
      </c>
      <c r="BN189" s="1">
        <v>1367000</v>
      </c>
      <c r="BO189" s="1">
        <v>1269500</v>
      </c>
      <c r="BP189" s="1">
        <v>1318300</v>
      </c>
    </row>
    <row r="190" spans="1:68" ht="15.9" customHeight="1">
      <c r="A190" s="396" t="s">
        <v>373</v>
      </c>
      <c r="B190" s="49" t="s">
        <v>374</v>
      </c>
      <c r="C190" s="53" t="str">
        <f>_xll.RssMarket("7181","出来高")</f>
        <v/>
      </c>
      <c r="D190" s="16" t="e">
        <f t="shared" si="2"/>
        <v>#VALUE!</v>
      </c>
      <c r="E190" s="22">
        <v>2082200</v>
      </c>
      <c r="F190" s="22">
        <v>2053100</v>
      </c>
      <c r="G190" s="22">
        <v>1585100</v>
      </c>
      <c r="H190" s="22">
        <v>1551500</v>
      </c>
      <c r="I190" s="22">
        <v>1744200</v>
      </c>
      <c r="J190" s="22">
        <v>1791200</v>
      </c>
      <c r="K190" s="22">
        <v>3615700</v>
      </c>
      <c r="L190" s="22">
        <v>2424700</v>
      </c>
      <c r="M190" s="22">
        <v>1864100</v>
      </c>
      <c r="N190" s="22">
        <v>2081400</v>
      </c>
      <c r="O190" s="22">
        <v>2319000</v>
      </c>
      <c r="P190" s="22">
        <v>2363900</v>
      </c>
      <c r="Q190" s="22">
        <v>3486000</v>
      </c>
      <c r="R190" s="22">
        <v>2461300</v>
      </c>
      <c r="S190" s="22">
        <v>2028900</v>
      </c>
      <c r="T190" s="22">
        <v>2194900</v>
      </c>
      <c r="U190" s="22">
        <v>3354400</v>
      </c>
      <c r="V190" s="22">
        <v>2046800</v>
      </c>
      <c r="W190" s="22">
        <v>1842700</v>
      </c>
      <c r="X190" s="22">
        <v>2366200</v>
      </c>
      <c r="Y190" s="22">
        <v>1937900</v>
      </c>
      <c r="Z190" s="22">
        <v>1669300</v>
      </c>
      <c r="AA190" s="22">
        <v>1595600</v>
      </c>
      <c r="AB190" s="22">
        <v>3388500</v>
      </c>
      <c r="AC190" s="22">
        <v>2324000</v>
      </c>
      <c r="AD190" s="22">
        <v>4057700</v>
      </c>
      <c r="AE190" s="22">
        <v>2788700</v>
      </c>
      <c r="AF190" s="22">
        <v>2638600</v>
      </c>
      <c r="AG190" s="22">
        <v>1908600</v>
      </c>
      <c r="AH190" s="22">
        <v>3246600</v>
      </c>
      <c r="AI190" s="22">
        <v>2243900</v>
      </c>
      <c r="AJ190" s="22">
        <v>6682400</v>
      </c>
      <c r="AK190" s="22">
        <v>3211400</v>
      </c>
      <c r="AL190" s="22">
        <v>2426500</v>
      </c>
      <c r="AM190" s="22">
        <v>2491400</v>
      </c>
      <c r="AN190" s="22">
        <v>2381800</v>
      </c>
      <c r="AO190" s="22">
        <v>2416500</v>
      </c>
      <c r="AP190" s="22">
        <v>3038800</v>
      </c>
      <c r="AQ190" s="22">
        <v>3973700</v>
      </c>
      <c r="AR190" s="22">
        <v>6689000</v>
      </c>
      <c r="AS190" s="22">
        <v>3197800</v>
      </c>
      <c r="AT190" s="22">
        <v>1451800</v>
      </c>
      <c r="AU190" s="22">
        <v>2506300</v>
      </c>
      <c r="AV190" s="22">
        <v>1467900</v>
      </c>
      <c r="AW190" s="22">
        <v>1692900</v>
      </c>
      <c r="AX190" s="22">
        <v>1692900</v>
      </c>
      <c r="AY190" s="22">
        <v>2248300</v>
      </c>
      <c r="AZ190" s="22">
        <v>2658100</v>
      </c>
      <c r="BA190" s="22">
        <v>1966200</v>
      </c>
      <c r="BB190" s="22">
        <v>2438600</v>
      </c>
      <c r="BC190" s="22">
        <v>2206100</v>
      </c>
      <c r="BD190" s="22">
        <v>1582000</v>
      </c>
      <c r="BE190" s="22">
        <v>1562300</v>
      </c>
      <c r="BF190" s="22">
        <v>2535100</v>
      </c>
      <c r="BG190" s="22">
        <v>2303300</v>
      </c>
      <c r="BH190" s="22">
        <v>2341600</v>
      </c>
      <c r="BI190" s="22">
        <v>1268700</v>
      </c>
      <c r="BJ190" s="22">
        <v>2388400</v>
      </c>
      <c r="BK190" s="22">
        <v>2005300</v>
      </c>
      <c r="BL190" s="22">
        <v>2605700</v>
      </c>
      <c r="BM190" s="1">
        <v>2380300</v>
      </c>
      <c r="BN190" s="1">
        <v>1427800</v>
      </c>
      <c r="BO190" s="1">
        <v>1846300</v>
      </c>
      <c r="BP190" s="1">
        <v>2056500</v>
      </c>
    </row>
    <row r="191" spans="1:68" ht="15.9" customHeight="1">
      <c r="A191" s="396" t="s">
        <v>375</v>
      </c>
      <c r="B191" s="49" t="str">
        <f>銘柄管理!C191</f>
        <v/>
      </c>
      <c r="C191" s="53" t="str">
        <f>_xll.RssMarket("6485","出来高")</f>
        <v/>
      </c>
      <c r="D191" s="16" t="e">
        <f t="shared" si="2"/>
        <v>#VALUE!</v>
      </c>
      <c r="E191" s="22">
        <v>27700</v>
      </c>
      <c r="F191" s="22">
        <v>17200</v>
      </c>
      <c r="G191" s="22">
        <v>11600</v>
      </c>
      <c r="H191" s="22">
        <v>40200</v>
      </c>
      <c r="I191" s="22">
        <v>28400</v>
      </c>
      <c r="J191" s="22">
        <v>18600</v>
      </c>
      <c r="K191" s="22">
        <v>52300</v>
      </c>
      <c r="L191" s="22">
        <v>13700</v>
      </c>
      <c r="M191" s="22">
        <v>14700</v>
      </c>
      <c r="N191" s="22">
        <v>21300</v>
      </c>
      <c r="O191" s="22">
        <v>22400</v>
      </c>
      <c r="P191" s="22">
        <v>15000</v>
      </c>
      <c r="Q191" s="22">
        <v>11900</v>
      </c>
      <c r="R191" s="22">
        <v>20200</v>
      </c>
      <c r="S191" s="22">
        <v>19800</v>
      </c>
      <c r="T191" s="22">
        <v>14500</v>
      </c>
      <c r="U191" s="22">
        <v>11500</v>
      </c>
      <c r="V191" s="22">
        <v>21300</v>
      </c>
      <c r="W191" s="22">
        <v>27500</v>
      </c>
      <c r="X191" s="22">
        <v>60700</v>
      </c>
      <c r="Y191" s="22">
        <v>23200</v>
      </c>
      <c r="Z191" s="22">
        <v>17700</v>
      </c>
      <c r="AA191" s="22">
        <v>13900</v>
      </c>
      <c r="AB191" s="22">
        <v>23400</v>
      </c>
      <c r="AC191" s="22">
        <v>15300</v>
      </c>
      <c r="AD191" s="22">
        <v>25800</v>
      </c>
      <c r="AE191" s="22">
        <v>27400</v>
      </c>
      <c r="AF191" s="22">
        <v>11400</v>
      </c>
      <c r="AG191" s="22">
        <v>17500</v>
      </c>
      <c r="AH191" s="22">
        <v>19300</v>
      </c>
      <c r="AI191" s="22">
        <v>47300</v>
      </c>
      <c r="AJ191" s="22">
        <v>15500</v>
      </c>
      <c r="AK191" s="22">
        <v>21800</v>
      </c>
      <c r="AL191" s="22">
        <v>21300</v>
      </c>
      <c r="AM191" s="22">
        <v>24400</v>
      </c>
      <c r="AN191" s="22">
        <v>17100</v>
      </c>
      <c r="AO191" s="22">
        <v>27400</v>
      </c>
      <c r="AP191" s="22">
        <v>38600</v>
      </c>
      <c r="AQ191" s="22">
        <v>21500</v>
      </c>
      <c r="AR191" s="22">
        <v>31500</v>
      </c>
      <c r="AS191" s="22">
        <v>12800</v>
      </c>
      <c r="AT191" s="22">
        <v>48000</v>
      </c>
      <c r="AU191" s="22">
        <v>29400</v>
      </c>
      <c r="AV191" s="22">
        <v>9400</v>
      </c>
      <c r="AW191" s="22">
        <v>16500</v>
      </c>
      <c r="AX191" s="22">
        <v>16500</v>
      </c>
      <c r="AY191" s="22">
        <v>20700</v>
      </c>
      <c r="AZ191" s="22">
        <v>18000</v>
      </c>
      <c r="BA191" s="22">
        <v>17300</v>
      </c>
      <c r="BB191" s="22">
        <v>37400</v>
      </c>
      <c r="BC191" s="22">
        <v>25900</v>
      </c>
      <c r="BD191" s="22">
        <v>39800</v>
      </c>
      <c r="BE191" s="22">
        <v>31900</v>
      </c>
      <c r="BF191" s="22">
        <v>28700</v>
      </c>
      <c r="BG191" s="22">
        <v>30100</v>
      </c>
      <c r="BH191" s="22">
        <v>14600</v>
      </c>
      <c r="BI191" s="22">
        <v>18000</v>
      </c>
      <c r="BJ191" s="22">
        <v>15400</v>
      </c>
      <c r="BK191" s="22">
        <v>14400</v>
      </c>
      <c r="BL191" s="22">
        <v>25600</v>
      </c>
      <c r="BM191" s="1">
        <v>16900</v>
      </c>
      <c r="BN191" s="1">
        <v>22200</v>
      </c>
      <c r="BO191" s="1">
        <v>14800</v>
      </c>
      <c r="BP191" s="1">
        <v>16300</v>
      </c>
    </row>
    <row r="192" spans="1:68" ht="15.9" customHeight="1">
      <c r="A192" s="396" t="s">
        <v>376</v>
      </c>
      <c r="B192" s="49" t="s">
        <v>377</v>
      </c>
      <c r="C192" s="53" t="str">
        <f>_xll.RssMarket("4887","出来高")</f>
        <v/>
      </c>
      <c r="D192" s="16" t="e">
        <f t="shared" si="2"/>
        <v>#VALUE!</v>
      </c>
      <c r="E192" s="22">
        <v>523600</v>
      </c>
      <c r="F192" s="22">
        <v>410600</v>
      </c>
      <c r="G192" s="22">
        <v>347400</v>
      </c>
      <c r="H192" s="22">
        <v>327400</v>
      </c>
      <c r="I192" s="22">
        <v>403100</v>
      </c>
      <c r="J192" s="22">
        <v>310100</v>
      </c>
      <c r="K192" s="22">
        <v>332000</v>
      </c>
      <c r="L192" s="22">
        <v>261900</v>
      </c>
      <c r="M192" s="22">
        <v>356400</v>
      </c>
      <c r="N192" s="22">
        <v>301800</v>
      </c>
      <c r="O192" s="22">
        <v>458700</v>
      </c>
      <c r="P192" s="22">
        <v>499400</v>
      </c>
      <c r="Q192" s="22">
        <v>669900</v>
      </c>
      <c r="R192" s="22">
        <v>534400</v>
      </c>
      <c r="S192" s="22">
        <v>829300</v>
      </c>
      <c r="T192" s="22">
        <v>481100</v>
      </c>
      <c r="U192" s="22">
        <v>509900</v>
      </c>
      <c r="V192" s="22">
        <v>768000</v>
      </c>
      <c r="W192" s="22">
        <v>608000</v>
      </c>
      <c r="X192" s="22">
        <v>1124400</v>
      </c>
      <c r="Y192" s="22">
        <v>785000</v>
      </c>
      <c r="Z192" s="22">
        <v>653900</v>
      </c>
      <c r="AA192" s="22">
        <v>644200</v>
      </c>
      <c r="AB192" s="22">
        <v>450900</v>
      </c>
      <c r="AC192" s="22">
        <v>346200</v>
      </c>
      <c r="AD192" s="22">
        <v>302100</v>
      </c>
      <c r="AE192" s="22">
        <v>501700</v>
      </c>
      <c r="AF192" s="22">
        <v>406500</v>
      </c>
      <c r="AG192" s="22">
        <v>476100</v>
      </c>
      <c r="AH192" s="22">
        <v>574300</v>
      </c>
      <c r="AI192" s="22">
        <v>444500</v>
      </c>
      <c r="AJ192" s="22">
        <v>569500</v>
      </c>
      <c r="AK192" s="22">
        <v>613900</v>
      </c>
      <c r="AL192" s="22">
        <v>499300</v>
      </c>
      <c r="AM192" s="22">
        <v>705800</v>
      </c>
      <c r="AN192" s="22">
        <v>556600</v>
      </c>
      <c r="AO192" s="22">
        <v>466700</v>
      </c>
      <c r="AP192" s="22">
        <v>579000</v>
      </c>
      <c r="AQ192" s="22">
        <v>1102400</v>
      </c>
      <c r="AR192" s="22">
        <v>2362900</v>
      </c>
      <c r="AS192" s="22">
        <v>908000</v>
      </c>
      <c r="AT192" s="22">
        <v>257900</v>
      </c>
      <c r="AU192" s="22">
        <v>218100</v>
      </c>
      <c r="AV192" s="22">
        <v>397700</v>
      </c>
      <c r="AW192" s="22">
        <v>437300</v>
      </c>
      <c r="AX192" s="22">
        <v>437300</v>
      </c>
      <c r="AY192" s="22">
        <v>586900</v>
      </c>
      <c r="AZ192" s="22">
        <v>378800</v>
      </c>
      <c r="BA192" s="22">
        <v>233900</v>
      </c>
      <c r="BB192" s="22">
        <v>421000</v>
      </c>
      <c r="BC192" s="22">
        <v>476700</v>
      </c>
      <c r="BD192" s="22">
        <v>233900</v>
      </c>
      <c r="BE192" s="22">
        <v>244900</v>
      </c>
      <c r="BF192" s="22">
        <v>380300</v>
      </c>
      <c r="BG192" s="22">
        <v>294800</v>
      </c>
      <c r="BH192" s="22">
        <v>236800</v>
      </c>
      <c r="BI192" s="22">
        <v>174500</v>
      </c>
      <c r="BJ192" s="22">
        <v>151400</v>
      </c>
      <c r="BK192" s="22">
        <v>214900</v>
      </c>
      <c r="BL192" s="22">
        <v>255100</v>
      </c>
      <c r="BM192" s="1">
        <v>201200</v>
      </c>
      <c r="BN192" s="1">
        <v>182200</v>
      </c>
      <c r="BO192" s="1">
        <v>307400</v>
      </c>
      <c r="BP192" s="1">
        <v>255300</v>
      </c>
    </row>
    <row r="193" spans="1:68" ht="15.9" customHeight="1">
      <c r="A193" s="396" t="s">
        <v>378</v>
      </c>
      <c r="B193" s="49" t="s">
        <v>379</v>
      </c>
      <c r="C193" s="53" t="str">
        <f>_xll.RssMarket("5243","出来高")</f>
        <v/>
      </c>
      <c r="D193" s="16" t="e">
        <f t="shared" si="2"/>
        <v>#VALUE!</v>
      </c>
      <c r="E193" s="22">
        <v>672300</v>
      </c>
      <c r="F193" s="22">
        <v>238100</v>
      </c>
      <c r="G193" s="22">
        <v>335000</v>
      </c>
      <c r="H193" s="22">
        <v>492300</v>
      </c>
      <c r="I193" s="22">
        <v>1359900</v>
      </c>
      <c r="J193" s="22">
        <v>1512800</v>
      </c>
      <c r="K193" s="22">
        <v>3714200</v>
      </c>
      <c r="L193" s="22">
        <v>963000</v>
      </c>
      <c r="M193" s="22">
        <v>578100</v>
      </c>
      <c r="N193" s="22">
        <v>389300</v>
      </c>
      <c r="O193" s="22">
        <v>514100</v>
      </c>
      <c r="P193" s="22">
        <v>249700</v>
      </c>
      <c r="Q193" s="22">
        <v>381100</v>
      </c>
      <c r="R193" s="22">
        <v>259600</v>
      </c>
      <c r="S193" s="22">
        <v>166900</v>
      </c>
      <c r="T193" s="22">
        <v>109700</v>
      </c>
      <c r="U193" s="22">
        <v>110100</v>
      </c>
      <c r="V193" s="22">
        <v>138600</v>
      </c>
      <c r="W193" s="22">
        <v>126800</v>
      </c>
      <c r="X193" s="22">
        <v>271200</v>
      </c>
      <c r="Y193" s="22">
        <v>310700</v>
      </c>
      <c r="Z193" s="22">
        <v>265800</v>
      </c>
      <c r="AA193" s="22">
        <v>191900</v>
      </c>
      <c r="AB193" s="22">
        <v>117800</v>
      </c>
      <c r="AC193" s="22">
        <v>161700</v>
      </c>
      <c r="AD193" s="22">
        <v>273200</v>
      </c>
      <c r="AE193" s="22">
        <v>271400</v>
      </c>
      <c r="AF193" s="22">
        <v>155500</v>
      </c>
      <c r="AG193" s="22">
        <v>311800</v>
      </c>
      <c r="AH193" s="22">
        <v>267200</v>
      </c>
      <c r="AI193" s="22">
        <v>542000</v>
      </c>
      <c r="AJ193" s="22">
        <v>161500</v>
      </c>
      <c r="AK193" s="22">
        <v>184800</v>
      </c>
      <c r="AL193" s="22">
        <v>225800</v>
      </c>
      <c r="AM193" s="22">
        <v>152100</v>
      </c>
      <c r="AN193" s="22">
        <v>137100</v>
      </c>
      <c r="AO193" s="22">
        <v>100400</v>
      </c>
      <c r="AP193" s="22">
        <v>128000</v>
      </c>
      <c r="AQ193" s="22">
        <v>236400</v>
      </c>
      <c r="AR193" s="22">
        <v>151600</v>
      </c>
      <c r="AS193" s="22">
        <v>184600</v>
      </c>
      <c r="AT193" s="22">
        <v>276900</v>
      </c>
      <c r="AU193" s="22">
        <v>326900</v>
      </c>
      <c r="AV193" s="22">
        <v>413400</v>
      </c>
      <c r="AW193" s="22">
        <v>451000</v>
      </c>
      <c r="AX193" s="22">
        <v>451000</v>
      </c>
      <c r="AY193" s="22">
        <v>578500</v>
      </c>
      <c r="AZ193" s="22">
        <v>427400</v>
      </c>
      <c r="BA193" s="22">
        <v>204000</v>
      </c>
      <c r="BB193" s="22">
        <v>217500</v>
      </c>
      <c r="BC193" s="22">
        <v>603000</v>
      </c>
      <c r="BD193" s="22">
        <v>900400</v>
      </c>
      <c r="BE193" s="22">
        <v>630200</v>
      </c>
      <c r="BF193" s="22">
        <v>1607600</v>
      </c>
      <c r="BG193" s="22">
        <v>2203100</v>
      </c>
      <c r="BH193" s="22">
        <v>1699200</v>
      </c>
      <c r="BI193" s="22">
        <v>1218500</v>
      </c>
      <c r="BJ193" s="22">
        <v>1295500</v>
      </c>
      <c r="BK193" s="22">
        <v>4575800</v>
      </c>
      <c r="BL193" s="22">
        <v>6309500</v>
      </c>
      <c r="BM193" s="1">
        <v>1048400</v>
      </c>
      <c r="BN193" s="1">
        <v>671500</v>
      </c>
      <c r="BO193" s="1">
        <v>275600</v>
      </c>
      <c r="BP193" s="1">
        <v>422200</v>
      </c>
    </row>
    <row r="194" spans="1:68" ht="15.9" customHeight="1">
      <c r="A194" s="396" t="s">
        <v>380</v>
      </c>
      <c r="B194" s="49" t="s">
        <v>381</v>
      </c>
      <c r="C194" s="53" t="str">
        <f>_xll.RssMarket("2702","出来高")</f>
        <v/>
      </c>
      <c r="D194" s="16" t="e">
        <f t="shared" si="2"/>
        <v>#VALUE!</v>
      </c>
      <c r="E194" s="22">
        <v>509600</v>
      </c>
      <c r="F194" s="22">
        <v>570700</v>
      </c>
      <c r="G194" s="22">
        <v>465400</v>
      </c>
      <c r="H194" s="22">
        <v>314100</v>
      </c>
      <c r="I194" s="22">
        <v>597000</v>
      </c>
      <c r="J194" s="22">
        <v>765200</v>
      </c>
      <c r="K194" s="22">
        <v>575300</v>
      </c>
      <c r="L194" s="22">
        <v>413500</v>
      </c>
      <c r="M194" s="22">
        <v>429400</v>
      </c>
      <c r="N194" s="22">
        <v>755800</v>
      </c>
      <c r="O194" s="22">
        <v>564200</v>
      </c>
      <c r="P194" s="22">
        <v>687100</v>
      </c>
      <c r="Q194" s="22">
        <v>1094400</v>
      </c>
      <c r="R194" s="22">
        <v>2078300</v>
      </c>
      <c r="S194" s="22">
        <v>3176800</v>
      </c>
      <c r="T194" s="22">
        <v>1087200</v>
      </c>
      <c r="U194" s="22">
        <v>764500</v>
      </c>
      <c r="V194" s="22">
        <v>785400</v>
      </c>
      <c r="W194" s="22">
        <v>1422500</v>
      </c>
      <c r="X194" s="22">
        <v>930400</v>
      </c>
      <c r="Y194" s="22">
        <v>1437200</v>
      </c>
      <c r="Z194" s="22">
        <v>918600</v>
      </c>
      <c r="AA194" s="22">
        <v>885900</v>
      </c>
      <c r="AB194" s="22">
        <v>802100</v>
      </c>
      <c r="AC194" s="22">
        <v>911200</v>
      </c>
      <c r="AD194" s="22">
        <v>728200</v>
      </c>
      <c r="AE194" s="22">
        <v>834300</v>
      </c>
      <c r="AF194" s="22">
        <v>690000</v>
      </c>
      <c r="AG194" s="22">
        <v>1102300</v>
      </c>
      <c r="AH194" s="22">
        <v>717800</v>
      </c>
      <c r="AI194" s="22">
        <v>729600</v>
      </c>
      <c r="AJ194" s="22">
        <v>871200</v>
      </c>
      <c r="AK194" s="22">
        <v>631800</v>
      </c>
      <c r="AL194" s="22">
        <v>823900</v>
      </c>
      <c r="AM194" s="22">
        <v>397000</v>
      </c>
      <c r="AN194" s="22">
        <v>251900</v>
      </c>
      <c r="AO194" s="22">
        <v>452000</v>
      </c>
      <c r="AP194" s="22">
        <v>428000</v>
      </c>
      <c r="AQ194" s="22">
        <v>659000</v>
      </c>
      <c r="AR194" s="22">
        <v>634500</v>
      </c>
      <c r="AS194" s="22">
        <v>488500</v>
      </c>
      <c r="AT194" s="22">
        <v>654800</v>
      </c>
      <c r="AU194" s="22">
        <v>1395700</v>
      </c>
      <c r="AV194" s="22">
        <v>651200</v>
      </c>
      <c r="AW194" s="22">
        <v>511900</v>
      </c>
      <c r="AX194" s="22">
        <v>511900</v>
      </c>
      <c r="AY194" s="22">
        <v>440800</v>
      </c>
      <c r="AZ194" s="22">
        <v>543800</v>
      </c>
      <c r="BA194" s="22">
        <v>216300</v>
      </c>
      <c r="BB194" s="22">
        <v>290300</v>
      </c>
      <c r="BC194" s="22">
        <v>231200</v>
      </c>
      <c r="BD194" s="22">
        <v>335200</v>
      </c>
      <c r="BE194" s="22">
        <v>270000</v>
      </c>
      <c r="BF194" s="22">
        <v>371900</v>
      </c>
      <c r="BG194" s="22">
        <v>345700</v>
      </c>
      <c r="BH194" s="22">
        <v>279400</v>
      </c>
      <c r="BI194" s="22">
        <v>314800</v>
      </c>
      <c r="BJ194" s="22">
        <v>295200</v>
      </c>
      <c r="BK194" s="22">
        <v>380700</v>
      </c>
      <c r="BL194" s="22">
        <v>438700</v>
      </c>
      <c r="BM194" s="1">
        <v>456400</v>
      </c>
      <c r="BN194" s="1">
        <v>702100</v>
      </c>
      <c r="BO194" s="1">
        <v>621500</v>
      </c>
      <c r="BP194" s="1">
        <v>441200</v>
      </c>
    </row>
    <row r="195" spans="1:68" ht="15.9" customHeight="1">
      <c r="A195" s="396" t="s">
        <v>382</v>
      </c>
      <c r="B195" s="49" t="s">
        <v>383</v>
      </c>
      <c r="C195" s="53" t="str">
        <f>_xll.RssMarket("6890","出来高")</f>
        <v/>
      </c>
      <c r="D195" s="16" t="e">
        <f t="shared" si="2"/>
        <v>#VALUE!</v>
      </c>
      <c r="E195" s="22">
        <v>2565400</v>
      </c>
      <c r="F195" s="22">
        <v>891300</v>
      </c>
      <c r="G195" s="22">
        <v>1807800</v>
      </c>
      <c r="H195" s="22">
        <v>938400</v>
      </c>
      <c r="I195" s="22">
        <v>1429500</v>
      </c>
      <c r="J195" s="22">
        <v>550200</v>
      </c>
      <c r="K195" s="22">
        <v>754200</v>
      </c>
      <c r="L195" s="22">
        <v>914600</v>
      </c>
      <c r="M195" s="22">
        <v>1003900</v>
      </c>
      <c r="N195" s="22">
        <v>1253400</v>
      </c>
      <c r="O195" s="22">
        <v>1055200</v>
      </c>
      <c r="P195" s="22">
        <v>1095900</v>
      </c>
      <c r="Q195" s="22">
        <v>988500</v>
      </c>
      <c r="R195" s="22">
        <v>1195500</v>
      </c>
      <c r="S195" s="22">
        <v>1658700</v>
      </c>
      <c r="T195" s="22">
        <v>954300</v>
      </c>
      <c r="U195" s="22">
        <v>1423900</v>
      </c>
      <c r="V195" s="22">
        <v>1074700</v>
      </c>
      <c r="W195" s="22">
        <v>1397000</v>
      </c>
      <c r="X195" s="22">
        <v>1282100</v>
      </c>
      <c r="Y195" s="22">
        <v>1223800</v>
      </c>
      <c r="Z195" s="22">
        <v>602200</v>
      </c>
      <c r="AA195" s="22">
        <v>763200</v>
      </c>
      <c r="AB195" s="22">
        <v>1510700</v>
      </c>
      <c r="AC195" s="22">
        <v>606400</v>
      </c>
      <c r="AD195" s="22">
        <v>695300</v>
      </c>
      <c r="AE195" s="22">
        <v>904700</v>
      </c>
      <c r="AF195" s="22">
        <v>1039600</v>
      </c>
      <c r="AG195" s="22">
        <v>1696400</v>
      </c>
      <c r="AH195" s="22">
        <v>898800</v>
      </c>
      <c r="AI195" s="22">
        <v>928100</v>
      </c>
      <c r="AJ195" s="22">
        <v>1403300</v>
      </c>
      <c r="AK195" s="22">
        <v>531000</v>
      </c>
      <c r="AL195" s="22">
        <v>754500</v>
      </c>
      <c r="AM195" s="22">
        <v>801300</v>
      </c>
      <c r="AN195" s="22">
        <v>624500</v>
      </c>
      <c r="AO195" s="22">
        <v>948500</v>
      </c>
      <c r="AP195" s="22">
        <v>1491400</v>
      </c>
      <c r="AQ195" s="22">
        <v>1181700</v>
      </c>
      <c r="AR195" s="22">
        <v>1612500</v>
      </c>
      <c r="AS195" s="22">
        <v>2302900</v>
      </c>
      <c r="AT195" s="22">
        <v>1927400</v>
      </c>
      <c r="AU195" s="22">
        <v>1176400</v>
      </c>
      <c r="AV195" s="22">
        <v>1740400</v>
      </c>
      <c r="AW195" s="22">
        <v>1518500</v>
      </c>
      <c r="AX195" s="22">
        <v>1518500</v>
      </c>
      <c r="AY195" s="22">
        <v>1752700</v>
      </c>
      <c r="AZ195" s="22">
        <v>2695000</v>
      </c>
      <c r="BA195" s="22">
        <v>1432200</v>
      </c>
      <c r="BB195" s="22">
        <v>1190300</v>
      </c>
      <c r="BC195" s="22">
        <v>1868500</v>
      </c>
      <c r="BD195" s="22">
        <v>804100</v>
      </c>
      <c r="BE195" s="22">
        <v>1001900</v>
      </c>
      <c r="BF195" s="22">
        <v>1490700</v>
      </c>
      <c r="BG195" s="22">
        <v>681900</v>
      </c>
      <c r="BH195" s="22">
        <v>631600</v>
      </c>
      <c r="BI195" s="22">
        <v>471800</v>
      </c>
      <c r="BJ195" s="22">
        <v>483900</v>
      </c>
      <c r="BK195" s="22">
        <v>525100</v>
      </c>
      <c r="BL195" s="22">
        <v>843600</v>
      </c>
      <c r="BM195" s="1">
        <v>455000</v>
      </c>
      <c r="BN195" s="1">
        <v>509600</v>
      </c>
      <c r="BO195" s="1">
        <v>638500</v>
      </c>
      <c r="BP195" s="1">
        <v>516000</v>
      </c>
    </row>
    <row r="196" spans="1:68" ht="15.9" customHeight="1">
      <c r="A196" s="396" t="s">
        <v>384</v>
      </c>
      <c r="B196" s="49" t="s">
        <v>385</v>
      </c>
      <c r="C196" s="53" t="str">
        <f>_xll.RssMarket("4966","出来高")</f>
        <v/>
      </c>
      <c r="D196" s="16" t="e">
        <f t="shared" si="2"/>
        <v>#VALUE!</v>
      </c>
      <c r="E196" s="22">
        <v>113100</v>
      </c>
      <c r="F196" s="22">
        <v>56800</v>
      </c>
      <c r="G196" s="22">
        <v>68100</v>
      </c>
      <c r="H196" s="22">
        <v>53900</v>
      </c>
      <c r="I196" s="22">
        <v>54000</v>
      </c>
      <c r="J196" s="22">
        <v>45500</v>
      </c>
      <c r="K196" s="22">
        <v>89000</v>
      </c>
      <c r="L196" s="22">
        <v>126600</v>
      </c>
      <c r="M196" s="22">
        <v>94200</v>
      </c>
      <c r="N196" s="22">
        <v>44500</v>
      </c>
      <c r="O196" s="22">
        <v>126000</v>
      </c>
      <c r="P196" s="22">
        <v>26500</v>
      </c>
      <c r="Q196" s="22">
        <v>40400</v>
      </c>
      <c r="R196" s="22">
        <v>80000</v>
      </c>
      <c r="S196" s="22">
        <v>45300</v>
      </c>
      <c r="T196" s="22">
        <v>39600</v>
      </c>
      <c r="U196" s="22">
        <v>34400</v>
      </c>
      <c r="V196" s="22">
        <v>41600</v>
      </c>
      <c r="W196" s="22">
        <v>67900</v>
      </c>
      <c r="X196" s="22">
        <v>67200</v>
      </c>
      <c r="Y196" s="22">
        <v>55800</v>
      </c>
      <c r="Z196" s="22">
        <v>32600</v>
      </c>
      <c r="AA196" s="22">
        <v>48800</v>
      </c>
      <c r="AB196" s="22">
        <v>47300</v>
      </c>
      <c r="AC196" s="22">
        <v>46000</v>
      </c>
      <c r="AD196" s="22">
        <v>38600</v>
      </c>
      <c r="AE196" s="22">
        <v>98300</v>
      </c>
      <c r="AF196" s="22">
        <v>27700</v>
      </c>
      <c r="AG196" s="22">
        <v>31200</v>
      </c>
      <c r="AH196" s="22">
        <v>42300</v>
      </c>
      <c r="AI196" s="22">
        <v>62200</v>
      </c>
      <c r="AJ196" s="22">
        <v>54600</v>
      </c>
      <c r="AK196" s="22">
        <v>30200</v>
      </c>
      <c r="AL196" s="22">
        <v>28300</v>
      </c>
      <c r="AM196" s="22">
        <v>47000</v>
      </c>
      <c r="AN196" s="22">
        <v>43100</v>
      </c>
      <c r="AO196" s="22">
        <v>40500</v>
      </c>
      <c r="AP196" s="22">
        <v>73300</v>
      </c>
      <c r="AQ196" s="22">
        <v>70000</v>
      </c>
      <c r="AR196" s="22">
        <v>46200</v>
      </c>
      <c r="AS196" s="22">
        <v>73700</v>
      </c>
      <c r="AT196" s="22">
        <v>60700</v>
      </c>
      <c r="AU196" s="22">
        <v>166000</v>
      </c>
      <c r="AV196" s="22">
        <v>81100</v>
      </c>
      <c r="AW196" s="22">
        <v>42100</v>
      </c>
      <c r="AX196" s="22">
        <v>42100</v>
      </c>
      <c r="AY196" s="22">
        <v>52800</v>
      </c>
      <c r="AZ196" s="22">
        <v>103000</v>
      </c>
      <c r="BA196" s="22">
        <v>54300</v>
      </c>
      <c r="BB196" s="22">
        <v>48800</v>
      </c>
      <c r="BC196" s="22">
        <v>31100</v>
      </c>
      <c r="BD196" s="22">
        <v>51000</v>
      </c>
      <c r="BE196" s="22">
        <v>49400</v>
      </c>
      <c r="BF196" s="22">
        <v>39400</v>
      </c>
      <c r="BG196" s="22">
        <v>51600</v>
      </c>
      <c r="BH196" s="22">
        <v>48700</v>
      </c>
      <c r="BI196" s="22">
        <v>51500</v>
      </c>
      <c r="BJ196" s="22">
        <v>61500</v>
      </c>
      <c r="BK196" s="22">
        <v>48900</v>
      </c>
      <c r="BL196" s="22">
        <v>47800</v>
      </c>
      <c r="BM196" s="1">
        <v>57800</v>
      </c>
      <c r="BN196" s="1">
        <v>36300</v>
      </c>
      <c r="BO196" s="1">
        <v>50600</v>
      </c>
      <c r="BP196" s="1">
        <v>42800</v>
      </c>
    </row>
    <row r="197" spans="1:68" ht="15.9" customHeight="1">
      <c r="A197" s="396" t="s">
        <v>386</v>
      </c>
      <c r="B197" s="49" t="s">
        <v>387</v>
      </c>
      <c r="C197" s="53" t="str">
        <f>_xll.RssMarket("6146","出来高")</f>
        <v/>
      </c>
      <c r="D197" s="16" t="e">
        <f t="shared" si="2"/>
        <v>#VALUE!</v>
      </c>
      <c r="E197" s="22">
        <v>1766400</v>
      </c>
      <c r="F197" s="22">
        <v>1136100</v>
      </c>
      <c r="G197" s="22">
        <v>1109100</v>
      </c>
      <c r="H197" s="22">
        <v>1183300</v>
      </c>
      <c r="I197" s="22">
        <v>1346000</v>
      </c>
      <c r="J197" s="22">
        <v>1420100</v>
      </c>
      <c r="K197" s="22">
        <v>1732600</v>
      </c>
      <c r="L197" s="22">
        <v>1745600</v>
      </c>
      <c r="M197" s="22">
        <v>1409400</v>
      </c>
      <c r="N197" s="22">
        <v>1572400</v>
      </c>
      <c r="O197" s="22">
        <v>1368500</v>
      </c>
      <c r="P197" s="22">
        <v>1755600</v>
      </c>
      <c r="Q197" s="22">
        <v>1308100</v>
      </c>
      <c r="R197" s="22">
        <v>1142500</v>
      </c>
      <c r="S197" s="22">
        <v>1648500</v>
      </c>
      <c r="T197" s="22">
        <v>1774600</v>
      </c>
      <c r="U197" s="22">
        <v>1804400</v>
      </c>
      <c r="V197" s="22">
        <v>1904200</v>
      </c>
      <c r="W197" s="22">
        <v>1334300</v>
      </c>
      <c r="X197" s="22">
        <v>2064700</v>
      </c>
      <c r="Y197" s="22">
        <v>1984800</v>
      </c>
      <c r="Z197" s="22">
        <v>2169600</v>
      </c>
      <c r="AA197" s="22">
        <v>2029000</v>
      </c>
      <c r="AB197" s="22">
        <v>4361400</v>
      </c>
      <c r="AC197" s="22">
        <v>3648100</v>
      </c>
      <c r="AD197" s="22">
        <v>1639000</v>
      </c>
      <c r="AE197" s="22">
        <v>1496600</v>
      </c>
      <c r="AF197" s="22">
        <v>1918000</v>
      </c>
      <c r="AG197" s="22">
        <v>2016700</v>
      </c>
      <c r="AH197" s="22">
        <v>2278300</v>
      </c>
      <c r="AI197" s="22">
        <v>1693800</v>
      </c>
      <c r="AJ197" s="22">
        <v>1625200</v>
      </c>
      <c r="AK197" s="22">
        <v>2123100</v>
      </c>
      <c r="AL197" s="22">
        <v>1452600</v>
      </c>
      <c r="AM197" s="22">
        <v>1531900</v>
      </c>
      <c r="AN197" s="22">
        <v>1374100</v>
      </c>
      <c r="AO197" s="22">
        <v>1537500</v>
      </c>
      <c r="AP197" s="22">
        <v>2084200</v>
      </c>
      <c r="AQ197" s="22">
        <v>1743500</v>
      </c>
      <c r="AR197" s="22">
        <v>1517000</v>
      </c>
      <c r="AS197" s="22">
        <v>2108200</v>
      </c>
      <c r="AT197" s="22">
        <v>2544600</v>
      </c>
      <c r="AU197" s="22">
        <v>1714400</v>
      </c>
      <c r="AV197" s="22">
        <v>1272800</v>
      </c>
      <c r="AW197" s="22">
        <v>1262500</v>
      </c>
      <c r="AX197" s="22">
        <v>1577900</v>
      </c>
      <c r="AY197" s="22">
        <v>1577900</v>
      </c>
      <c r="AZ197" s="22">
        <v>1519200</v>
      </c>
      <c r="BA197" s="22">
        <v>2502700</v>
      </c>
      <c r="BB197" s="22">
        <v>1636400</v>
      </c>
      <c r="BC197" s="22">
        <v>2488500</v>
      </c>
      <c r="BD197" s="22">
        <v>2920700</v>
      </c>
      <c r="BE197" s="22">
        <v>3125800</v>
      </c>
      <c r="BF197" s="22">
        <v>2782200</v>
      </c>
      <c r="BG197" s="22">
        <v>4570700</v>
      </c>
      <c r="BH197" s="22">
        <v>2794300</v>
      </c>
      <c r="BI197" s="22">
        <v>1848000</v>
      </c>
      <c r="BJ197" s="22">
        <v>2600200</v>
      </c>
      <c r="BK197" s="22">
        <v>1807100</v>
      </c>
      <c r="BL197" s="22">
        <v>2319700</v>
      </c>
      <c r="BM197" s="1">
        <v>2433000</v>
      </c>
      <c r="BN197" s="1">
        <v>2425900</v>
      </c>
      <c r="BO197" s="1">
        <v>1526300</v>
      </c>
      <c r="BP197" s="1">
        <v>2150100</v>
      </c>
    </row>
    <row r="198" spans="1:68" ht="15.9" customHeight="1">
      <c r="A198" s="396" t="s">
        <v>388</v>
      </c>
      <c r="B198" s="49" t="s">
        <v>389</v>
      </c>
      <c r="C198" s="53" t="str">
        <f>_xll.RssMarket("8035","出来高")</f>
        <v/>
      </c>
      <c r="D198" s="16" t="e">
        <f t="shared" ref="D198:D261" si="3">C198-E198</f>
        <v>#VALUE!</v>
      </c>
      <c r="E198" s="22">
        <v>6335500</v>
      </c>
      <c r="F198" s="22">
        <v>3909100</v>
      </c>
      <c r="G198" s="22">
        <v>4029300</v>
      </c>
      <c r="H198" s="22">
        <v>3645000</v>
      </c>
      <c r="I198" s="22">
        <v>3910500</v>
      </c>
      <c r="J198" s="22">
        <v>3695600</v>
      </c>
      <c r="K198" s="22">
        <v>4276100</v>
      </c>
      <c r="L198" s="22">
        <v>3890000</v>
      </c>
      <c r="M198" s="22">
        <v>2846600</v>
      </c>
      <c r="N198" s="22">
        <v>4678700</v>
      </c>
      <c r="O198" s="22">
        <v>4530000</v>
      </c>
      <c r="P198" s="22">
        <v>5596400</v>
      </c>
      <c r="Q198" s="22">
        <v>5168500</v>
      </c>
      <c r="R198" s="22">
        <v>4216000</v>
      </c>
      <c r="S198" s="22">
        <v>4533200</v>
      </c>
      <c r="T198" s="22">
        <v>4988300</v>
      </c>
      <c r="U198" s="22">
        <v>5275300</v>
      </c>
      <c r="V198" s="22">
        <v>4737500</v>
      </c>
      <c r="W198" s="22">
        <v>3105600</v>
      </c>
      <c r="X198" s="22">
        <v>6107100</v>
      </c>
      <c r="Y198" s="22">
        <v>5806900</v>
      </c>
      <c r="Z198" s="22">
        <v>4608500</v>
      </c>
      <c r="AA198" s="22">
        <v>4828900</v>
      </c>
      <c r="AB198" s="22">
        <v>7102200</v>
      </c>
      <c r="AC198" s="22">
        <v>5585800</v>
      </c>
      <c r="AD198" s="22">
        <v>7924500</v>
      </c>
      <c r="AE198" s="22">
        <v>3961100</v>
      </c>
      <c r="AF198" s="22">
        <v>4460100</v>
      </c>
      <c r="AG198" s="22">
        <v>4805100</v>
      </c>
      <c r="AH198" s="22">
        <v>5433400</v>
      </c>
      <c r="AI198" s="22">
        <v>2681900</v>
      </c>
      <c r="AJ198" s="22">
        <v>3555800</v>
      </c>
      <c r="AK198" s="22">
        <v>3146300</v>
      </c>
      <c r="AL198" s="22">
        <v>3857400</v>
      </c>
      <c r="AM198" s="22">
        <v>2671900</v>
      </c>
      <c r="AN198" s="22">
        <v>2776900</v>
      </c>
      <c r="AO198" s="22">
        <v>2745800</v>
      </c>
      <c r="AP198" s="22">
        <v>3042100</v>
      </c>
      <c r="AQ198" s="22">
        <v>2645700</v>
      </c>
      <c r="AR198" s="22">
        <v>2434000</v>
      </c>
      <c r="AS198" s="22">
        <v>2986000</v>
      </c>
      <c r="AT198" s="22">
        <v>2051400</v>
      </c>
      <c r="AU198" s="22">
        <v>2301000</v>
      </c>
      <c r="AV198" s="22">
        <v>1931800</v>
      </c>
      <c r="AW198" s="22">
        <v>2998700</v>
      </c>
      <c r="AX198" s="22">
        <v>2998700</v>
      </c>
      <c r="AY198" s="22">
        <v>3644900</v>
      </c>
      <c r="AZ198" s="22">
        <v>4695700</v>
      </c>
      <c r="BA198" s="22">
        <v>5915900</v>
      </c>
      <c r="BB198" s="22">
        <v>4081000</v>
      </c>
      <c r="BC198" s="22">
        <v>3291600</v>
      </c>
      <c r="BD198" s="22">
        <v>3605000</v>
      </c>
      <c r="BE198" s="22">
        <v>2312400</v>
      </c>
      <c r="BF198" s="22">
        <v>2968500</v>
      </c>
      <c r="BG198" s="22">
        <v>2047100</v>
      </c>
      <c r="BH198" s="22">
        <v>3182100</v>
      </c>
      <c r="BI198" s="22">
        <v>2017800</v>
      </c>
      <c r="BJ198" s="22">
        <v>2974800</v>
      </c>
      <c r="BK198" s="22">
        <v>4808800</v>
      </c>
      <c r="BL198" s="22">
        <v>3635500</v>
      </c>
      <c r="BM198" s="1">
        <v>3521700</v>
      </c>
      <c r="BN198" s="1">
        <v>3255000</v>
      </c>
      <c r="BO198" s="1">
        <v>4086200</v>
      </c>
      <c r="BP198" s="1">
        <v>2672900</v>
      </c>
    </row>
    <row r="199" spans="1:68" ht="15.9" customHeight="1">
      <c r="A199" s="396" t="s">
        <v>390</v>
      </c>
      <c r="B199" s="49" t="s">
        <v>391</v>
      </c>
      <c r="C199" s="53" t="str">
        <f>_xll.RssMarket("6920","出来高")</f>
        <v/>
      </c>
      <c r="D199" s="16" t="e">
        <f t="shared" si="3"/>
        <v>#VALUE!</v>
      </c>
      <c r="E199" s="22">
        <v>5093900</v>
      </c>
      <c r="F199" s="22">
        <v>7100400</v>
      </c>
      <c r="G199" s="22">
        <v>2991800</v>
      </c>
      <c r="H199" s="22">
        <v>4618300</v>
      </c>
      <c r="I199" s="22">
        <v>2422000</v>
      </c>
      <c r="J199" s="22">
        <v>2680700</v>
      </c>
      <c r="K199" s="22">
        <v>2887000</v>
      </c>
      <c r="L199" s="22">
        <v>3011600</v>
      </c>
      <c r="M199" s="22">
        <v>2133900</v>
      </c>
      <c r="N199" s="22">
        <v>2970300</v>
      </c>
      <c r="O199" s="22">
        <v>2350700</v>
      </c>
      <c r="P199" s="22">
        <v>3058300</v>
      </c>
      <c r="Q199" s="22">
        <v>2473000</v>
      </c>
      <c r="R199" s="22">
        <v>2747100</v>
      </c>
      <c r="S199" s="22">
        <v>2794300</v>
      </c>
      <c r="T199" s="22">
        <v>3644400</v>
      </c>
      <c r="U199" s="22">
        <v>3819200</v>
      </c>
      <c r="V199" s="22">
        <v>4136800</v>
      </c>
      <c r="W199" s="22">
        <v>3638300</v>
      </c>
      <c r="X199" s="22">
        <v>5372300</v>
      </c>
      <c r="Y199" s="22">
        <v>7836200</v>
      </c>
      <c r="Z199" s="22">
        <v>7716500</v>
      </c>
      <c r="AA199" s="22">
        <v>3085500</v>
      </c>
      <c r="AB199" s="22">
        <v>4483200</v>
      </c>
      <c r="AC199" s="22">
        <v>3785800</v>
      </c>
      <c r="AD199" s="22">
        <v>2648100</v>
      </c>
      <c r="AE199" s="22">
        <v>3439100</v>
      </c>
      <c r="AF199" s="22">
        <v>2353600</v>
      </c>
      <c r="AG199" s="22">
        <v>2495600</v>
      </c>
      <c r="AH199" s="22">
        <v>2772700</v>
      </c>
      <c r="AI199" s="22">
        <v>3365400</v>
      </c>
      <c r="AJ199" s="22">
        <v>2388900</v>
      </c>
      <c r="AK199" s="22">
        <v>2244300</v>
      </c>
      <c r="AL199" s="22">
        <v>2900200</v>
      </c>
      <c r="AM199" s="22">
        <v>3055900</v>
      </c>
      <c r="AN199" s="22">
        <v>4173500</v>
      </c>
      <c r="AO199" s="22">
        <v>2685100</v>
      </c>
      <c r="AP199" s="22">
        <v>3426700</v>
      </c>
      <c r="AQ199" s="22">
        <v>3099400</v>
      </c>
      <c r="AR199" s="22">
        <v>2762200</v>
      </c>
      <c r="AS199" s="22">
        <v>3128200</v>
      </c>
      <c r="AT199" s="22">
        <v>3328000</v>
      </c>
      <c r="AU199" s="22">
        <v>3049700</v>
      </c>
      <c r="AV199" s="22">
        <v>2977300</v>
      </c>
      <c r="AW199" s="22">
        <v>3176900</v>
      </c>
      <c r="AX199" s="22">
        <v>3933100</v>
      </c>
      <c r="AY199" s="22">
        <v>3933100</v>
      </c>
      <c r="AZ199" s="22">
        <v>3810400</v>
      </c>
      <c r="BA199" s="22">
        <v>5720200</v>
      </c>
      <c r="BB199" s="22">
        <v>7701500</v>
      </c>
      <c r="BC199" s="22">
        <v>3092200</v>
      </c>
      <c r="BD199" s="22">
        <v>3858100</v>
      </c>
      <c r="BE199" s="22">
        <v>4078300</v>
      </c>
      <c r="BF199" s="22">
        <v>4801300</v>
      </c>
      <c r="BG199" s="22">
        <v>5153500</v>
      </c>
      <c r="BH199" s="22">
        <v>4291700</v>
      </c>
      <c r="BI199" s="22">
        <v>3987500</v>
      </c>
      <c r="BJ199" s="22">
        <v>3647800</v>
      </c>
      <c r="BK199" s="22">
        <v>3765300</v>
      </c>
      <c r="BL199" s="22">
        <v>5658900</v>
      </c>
      <c r="BM199" s="1">
        <v>9334600</v>
      </c>
      <c r="BN199" s="1">
        <v>4931100</v>
      </c>
      <c r="BO199" s="1">
        <v>3913200</v>
      </c>
      <c r="BP199" s="1">
        <v>6074300</v>
      </c>
    </row>
    <row r="200" spans="1:68" ht="15.9" customHeight="1">
      <c r="A200" s="396" t="s">
        <v>392</v>
      </c>
      <c r="B200" s="49" t="s">
        <v>393</v>
      </c>
      <c r="C200" s="53" t="str">
        <f>_xll.RssMarket("5801","出来高")</f>
        <v/>
      </c>
      <c r="D200" s="16" t="e">
        <f t="shared" si="3"/>
        <v>#VALUE!</v>
      </c>
      <c r="E200" s="22">
        <v>23584700</v>
      </c>
      <c r="F200" s="22">
        <v>16573600</v>
      </c>
      <c r="G200" s="22">
        <v>20118000</v>
      </c>
      <c r="H200" s="22">
        <v>16349600</v>
      </c>
      <c r="I200" s="22">
        <v>16901100</v>
      </c>
      <c r="J200" s="22">
        <v>15748900</v>
      </c>
      <c r="K200" s="22">
        <v>19410900</v>
      </c>
      <c r="L200" s="22">
        <v>15860500</v>
      </c>
      <c r="M200" s="22">
        <v>18637000</v>
      </c>
      <c r="N200" s="22">
        <v>23593000</v>
      </c>
      <c r="O200" s="22">
        <v>26552800</v>
      </c>
      <c r="P200" s="22">
        <v>28131000</v>
      </c>
      <c r="Q200" s="22">
        <v>20063900</v>
      </c>
      <c r="R200" s="22">
        <v>14919400</v>
      </c>
      <c r="S200" s="22">
        <v>2992000</v>
      </c>
      <c r="T200" s="22">
        <v>3296800</v>
      </c>
      <c r="U200" s="22">
        <v>4085300</v>
      </c>
      <c r="V200" s="22">
        <v>6496100</v>
      </c>
      <c r="W200" s="22">
        <v>6108300</v>
      </c>
      <c r="X200" s="22">
        <v>1455100</v>
      </c>
      <c r="Y200" s="22">
        <v>2700200</v>
      </c>
      <c r="Z200" s="22">
        <v>2674600</v>
      </c>
      <c r="AA200" s="22">
        <v>4207400</v>
      </c>
      <c r="AB200" s="22">
        <v>3507500</v>
      </c>
      <c r="AC200" s="22">
        <v>3374700</v>
      </c>
      <c r="AD200" s="22">
        <v>4182300</v>
      </c>
      <c r="AE200" s="22">
        <v>3207900</v>
      </c>
      <c r="AF200" s="22">
        <v>3419500</v>
      </c>
      <c r="AG200" s="22">
        <v>3007600</v>
      </c>
      <c r="AH200" s="22">
        <v>4785700</v>
      </c>
      <c r="AI200" s="22">
        <v>4460000</v>
      </c>
      <c r="AJ200" s="22">
        <v>8510100</v>
      </c>
      <c r="AK200" s="22">
        <v>5229200</v>
      </c>
      <c r="AL200" s="22">
        <v>4660400</v>
      </c>
      <c r="AM200" s="22">
        <v>4214900</v>
      </c>
      <c r="AN200" s="22">
        <v>4380900</v>
      </c>
      <c r="AO200" s="22">
        <v>4704200</v>
      </c>
      <c r="AP200" s="22">
        <v>8837900</v>
      </c>
      <c r="AQ200" s="22">
        <v>5244400</v>
      </c>
      <c r="AR200" s="22">
        <v>7286300</v>
      </c>
      <c r="AS200" s="22">
        <v>6507600</v>
      </c>
      <c r="AT200" s="22">
        <v>7181700</v>
      </c>
      <c r="AU200" s="22">
        <v>12098100</v>
      </c>
      <c r="AV200" s="22">
        <v>7139800</v>
      </c>
      <c r="AW200" s="22">
        <v>3737100</v>
      </c>
      <c r="AX200" s="22">
        <v>3737100</v>
      </c>
      <c r="AY200" s="22">
        <v>4847500</v>
      </c>
      <c r="AZ200" s="22">
        <v>5132900</v>
      </c>
      <c r="BA200" s="22">
        <v>2534500</v>
      </c>
      <c r="BB200" s="22">
        <v>3259100</v>
      </c>
      <c r="BC200" s="22">
        <v>4178900</v>
      </c>
      <c r="BD200" s="22">
        <v>3141200</v>
      </c>
      <c r="BE200" s="22">
        <v>2946900</v>
      </c>
      <c r="BF200" s="22">
        <v>4730100</v>
      </c>
      <c r="BG200" s="22">
        <v>3642700</v>
      </c>
      <c r="BH200" s="22">
        <v>4770700</v>
      </c>
      <c r="BI200" s="22">
        <v>4669600</v>
      </c>
      <c r="BJ200" s="22">
        <v>5629300</v>
      </c>
      <c r="BK200" s="22">
        <v>6181000</v>
      </c>
      <c r="BL200" s="22">
        <v>6674100</v>
      </c>
      <c r="BM200" s="1">
        <v>7978700</v>
      </c>
      <c r="BN200" s="1">
        <v>10187600</v>
      </c>
      <c r="BO200" s="1">
        <v>10544100</v>
      </c>
      <c r="BP200" s="1">
        <v>13310100</v>
      </c>
    </row>
    <row r="201" spans="1:68" ht="15.9" customHeight="1">
      <c r="A201" s="396" t="s">
        <v>394</v>
      </c>
      <c r="B201" s="49" t="s">
        <v>395</v>
      </c>
      <c r="C201" s="53" t="str">
        <f>_xll.RssMarket("6506","出来高")</f>
        <v/>
      </c>
      <c r="D201" s="16" t="e">
        <f t="shared" si="3"/>
        <v>#VALUE!</v>
      </c>
      <c r="E201" s="22">
        <v>12549600</v>
      </c>
      <c r="F201" s="22">
        <v>12782800</v>
      </c>
      <c r="G201" s="22">
        <v>25491900</v>
      </c>
      <c r="H201" s="22">
        <v>10815700</v>
      </c>
      <c r="I201" s="22">
        <v>5898300</v>
      </c>
      <c r="J201" s="22">
        <v>5393000</v>
      </c>
      <c r="K201" s="22">
        <v>5721100</v>
      </c>
      <c r="L201" s="22">
        <v>4994800</v>
      </c>
      <c r="M201" s="22">
        <v>6123700</v>
      </c>
      <c r="N201" s="22">
        <v>5230400</v>
      </c>
      <c r="O201" s="22">
        <v>4322500</v>
      </c>
      <c r="P201" s="22">
        <v>4643900</v>
      </c>
      <c r="Q201" s="22">
        <v>4444100</v>
      </c>
      <c r="R201" s="22">
        <v>4071800</v>
      </c>
      <c r="S201" s="22">
        <v>4960200</v>
      </c>
      <c r="T201" s="22">
        <v>3685300</v>
      </c>
      <c r="U201" s="22">
        <v>4910200</v>
      </c>
      <c r="V201" s="22">
        <v>5160000</v>
      </c>
      <c r="W201" s="22">
        <v>7748400</v>
      </c>
      <c r="X201" s="22">
        <v>4267300</v>
      </c>
      <c r="Y201" s="22">
        <v>5466400</v>
      </c>
      <c r="Z201" s="22">
        <v>3737200</v>
      </c>
      <c r="AA201" s="22">
        <v>3809000</v>
      </c>
      <c r="AB201" s="22">
        <v>5692100</v>
      </c>
      <c r="AC201" s="22">
        <v>4916300</v>
      </c>
      <c r="AD201" s="22">
        <v>5702100</v>
      </c>
      <c r="AE201" s="22">
        <v>5556000</v>
      </c>
      <c r="AF201" s="22">
        <v>3216000</v>
      </c>
      <c r="AG201" s="22">
        <v>3867000</v>
      </c>
      <c r="AH201" s="22">
        <v>5348300</v>
      </c>
      <c r="AI201" s="22">
        <v>6224500</v>
      </c>
      <c r="AJ201" s="22">
        <v>5006500</v>
      </c>
      <c r="AK201" s="22">
        <v>4257400</v>
      </c>
      <c r="AL201" s="22">
        <v>4518800</v>
      </c>
      <c r="AM201" s="22">
        <v>6412300</v>
      </c>
      <c r="AN201" s="22">
        <v>5793800</v>
      </c>
      <c r="AO201" s="22">
        <v>6346300</v>
      </c>
      <c r="AP201" s="22">
        <v>5051900</v>
      </c>
      <c r="AQ201" s="22">
        <v>5789600</v>
      </c>
      <c r="AR201" s="22">
        <v>5649200</v>
      </c>
      <c r="AS201" s="22">
        <v>6836600</v>
      </c>
      <c r="AT201" s="22">
        <v>7171200</v>
      </c>
      <c r="AU201" s="22">
        <v>4650800</v>
      </c>
      <c r="AV201" s="22">
        <v>7924400</v>
      </c>
      <c r="AW201" s="22">
        <v>6630500</v>
      </c>
      <c r="AX201" s="22">
        <v>6630500</v>
      </c>
      <c r="AY201" s="22">
        <v>6573200</v>
      </c>
      <c r="AZ201" s="22">
        <v>5212500</v>
      </c>
      <c r="BA201" s="22">
        <v>3308100</v>
      </c>
      <c r="BB201" s="22">
        <v>5521200</v>
      </c>
      <c r="BC201" s="22">
        <v>4048200</v>
      </c>
      <c r="BD201" s="22">
        <v>6906800</v>
      </c>
      <c r="BE201" s="22">
        <v>2579300</v>
      </c>
      <c r="BF201" s="22">
        <v>3738500</v>
      </c>
      <c r="BG201" s="22">
        <v>3711700</v>
      </c>
      <c r="BH201" s="22">
        <v>5182700</v>
      </c>
      <c r="BI201" s="22">
        <v>5490400</v>
      </c>
      <c r="BJ201" s="22">
        <v>3829100</v>
      </c>
      <c r="BK201" s="22">
        <v>3929700</v>
      </c>
      <c r="BL201" s="22">
        <v>4705900</v>
      </c>
      <c r="BM201" s="1">
        <v>5694400</v>
      </c>
      <c r="BN201" s="1">
        <v>14998000</v>
      </c>
      <c r="BO201" s="1">
        <v>5917600</v>
      </c>
      <c r="BP201" s="1">
        <v>3206700</v>
      </c>
    </row>
    <row r="202" spans="1:68" ht="15.9" customHeight="1">
      <c r="A202" s="396" t="s">
        <v>396</v>
      </c>
      <c r="B202" s="49" t="s">
        <v>397</v>
      </c>
      <c r="C202" s="53" t="str">
        <f>_xll.RssMarket("2768","出来高")</f>
        <v/>
      </c>
      <c r="D202" s="16" t="e">
        <f t="shared" si="3"/>
        <v>#VALUE!</v>
      </c>
      <c r="E202" s="22">
        <v>1396700</v>
      </c>
      <c r="F202" s="22">
        <v>1081900</v>
      </c>
      <c r="G202" s="22">
        <v>1133700</v>
      </c>
      <c r="H202" s="22">
        <v>1755500</v>
      </c>
      <c r="I202" s="22">
        <v>1134700</v>
      </c>
      <c r="J202" s="22">
        <v>920100</v>
      </c>
      <c r="K202" s="22">
        <v>1173800</v>
      </c>
      <c r="L202" s="22">
        <v>1612000</v>
      </c>
      <c r="M202" s="22">
        <v>1035400</v>
      </c>
      <c r="N202" s="22">
        <v>829700</v>
      </c>
      <c r="O202" s="22">
        <v>1035100</v>
      </c>
      <c r="P202" s="22">
        <v>795600</v>
      </c>
      <c r="Q202" s="22">
        <v>1167800</v>
      </c>
      <c r="R202" s="22">
        <v>1048600</v>
      </c>
      <c r="S202" s="22">
        <v>1027100</v>
      </c>
      <c r="T202" s="22">
        <v>1175700</v>
      </c>
      <c r="U202" s="22">
        <v>904000</v>
      </c>
      <c r="V202" s="22">
        <v>942700</v>
      </c>
      <c r="W202" s="22">
        <v>742700</v>
      </c>
      <c r="X202" s="22">
        <v>1566800</v>
      </c>
      <c r="Y202" s="22">
        <v>846800</v>
      </c>
      <c r="Z202" s="22">
        <v>845400</v>
      </c>
      <c r="AA202" s="22">
        <v>1211900</v>
      </c>
      <c r="AB202" s="22">
        <v>1287100</v>
      </c>
      <c r="AC202" s="22">
        <v>1453000</v>
      </c>
      <c r="AD202" s="22">
        <v>1037600</v>
      </c>
      <c r="AE202" s="22">
        <v>1187000</v>
      </c>
      <c r="AF202" s="22">
        <v>916900</v>
      </c>
      <c r="AG202" s="22">
        <v>1060700</v>
      </c>
      <c r="AH202" s="22">
        <v>1413900</v>
      </c>
      <c r="AI202" s="22">
        <v>1401900</v>
      </c>
      <c r="AJ202" s="22">
        <v>1601300</v>
      </c>
      <c r="AK202" s="22">
        <v>1528000</v>
      </c>
      <c r="AL202" s="22">
        <v>932400</v>
      </c>
      <c r="AM202" s="22">
        <v>1000400</v>
      </c>
      <c r="AN202" s="22">
        <v>1130300</v>
      </c>
      <c r="AO202" s="22">
        <v>1158300</v>
      </c>
      <c r="AP202" s="22">
        <v>1392100</v>
      </c>
      <c r="AQ202" s="22">
        <v>1117500</v>
      </c>
      <c r="AR202" s="22">
        <v>1064200</v>
      </c>
      <c r="AS202" s="22">
        <v>1102500</v>
      </c>
      <c r="AT202" s="22">
        <v>1326600</v>
      </c>
      <c r="AU202" s="22">
        <v>1639100</v>
      </c>
      <c r="AV202" s="22">
        <v>1426400</v>
      </c>
      <c r="AW202" s="22">
        <v>1635800</v>
      </c>
      <c r="AX202" s="22">
        <v>1635800</v>
      </c>
      <c r="AY202" s="22">
        <v>3723800</v>
      </c>
      <c r="AZ202" s="22">
        <v>5461800</v>
      </c>
      <c r="BA202" s="22">
        <v>9120400</v>
      </c>
      <c r="BB202" s="22">
        <v>1335200</v>
      </c>
      <c r="BC202" s="22">
        <v>1091700</v>
      </c>
      <c r="BD202" s="22">
        <v>1010000</v>
      </c>
      <c r="BE202" s="22">
        <v>721700</v>
      </c>
      <c r="BF202" s="22">
        <v>1027500</v>
      </c>
      <c r="BG202" s="22">
        <v>1037200</v>
      </c>
      <c r="BH202" s="22">
        <v>744000</v>
      </c>
      <c r="BI202" s="22">
        <v>994000</v>
      </c>
      <c r="BJ202" s="22">
        <v>1128400</v>
      </c>
      <c r="BK202" s="22">
        <v>930300</v>
      </c>
      <c r="BL202" s="22">
        <v>1463700</v>
      </c>
      <c r="BM202" s="1">
        <v>1679800</v>
      </c>
      <c r="BN202" s="1">
        <v>930900</v>
      </c>
      <c r="BO202" s="1">
        <v>1219900</v>
      </c>
      <c r="BP202" s="1">
        <v>1308700</v>
      </c>
    </row>
    <row r="203" spans="1:68" ht="15.9" customHeight="1">
      <c r="A203" s="396" t="s">
        <v>398</v>
      </c>
      <c r="B203" s="49" t="s">
        <v>399</v>
      </c>
      <c r="C203" s="53" t="str">
        <f>_xll.RssMarket("6305","出来高")</f>
        <v/>
      </c>
      <c r="D203" s="16" t="e">
        <f t="shared" si="3"/>
        <v>#VALUE!</v>
      </c>
      <c r="E203" s="22">
        <v>845400</v>
      </c>
      <c r="F203" s="22">
        <v>648100</v>
      </c>
      <c r="G203" s="22">
        <v>687500</v>
      </c>
      <c r="H203" s="22">
        <v>583900</v>
      </c>
      <c r="I203" s="22">
        <v>677100</v>
      </c>
      <c r="J203" s="22">
        <v>675500</v>
      </c>
      <c r="K203" s="22">
        <v>826000</v>
      </c>
      <c r="L203" s="22">
        <v>812200</v>
      </c>
      <c r="M203" s="22">
        <v>586700</v>
      </c>
      <c r="N203" s="22">
        <v>753900</v>
      </c>
      <c r="O203" s="22">
        <v>1111500</v>
      </c>
      <c r="P203" s="22">
        <v>776600</v>
      </c>
      <c r="Q203" s="22">
        <v>909500</v>
      </c>
      <c r="R203" s="22">
        <v>831300</v>
      </c>
      <c r="S203" s="22">
        <v>645900</v>
      </c>
      <c r="T203" s="22">
        <v>762000</v>
      </c>
      <c r="U203" s="22">
        <v>569300</v>
      </c>
      <c r="V203" s="22">
        <v>821000</v>
      </c>
      <c r="W203" s="22">
        <v>699800</v>
      </c>
      <c r="X203" s="22">
        <v>958700</v>
      </c>
      <c r="Y203" s="22">
        <v>978800</v>
      </c>
      <c r="Z203" s="22">
        <v>1061100</v>
      </c>
      <c r="AA203" s="22">
        <v>546300</v>
      </c>
      <c r="AB203" s="22">
        <v>1125300</v>
      </c>
      <c r="AC203" s="22">
        <v>968000</v>
      </c>
      <c r="AD203" s="22">
        <v>1117000</v>
      </c>
      <c r="AE203" s="22">
        <v>959500</v>
      </c>
      <c r="AF203" s="22">
        <v>1076700</v>
      </c>
      <c r="AG203" s="22">
        <v>713000</v>
      </c>
      <c r="AH203" s="22">
        <v>1194600</v>
      </c>
      <c r="AI203" s="22">
        <v>1222500</v>
      </c>
      <c r="AJ203" s="22">
        <v>1575900</v>
      </c>
      <c r="AK203" s="22">
        <v>1163100</v>
      </c>
      <c r="AL203" s="22">
        <v>2016800</v>
      </c>
      <c r="AM203" s="22">
        <v>1999200</v>
      </c>
      <c r="AN203" s="22">
        <v>1186500</v>
      </c>
      <c r="AO203" s="22">
        <v>944400</v>
      </c>
      <c r="AP203" s="22">
        <v>1732000</v>
      </c>
      <c r="AQ203" s="22">
        <v>1085100</v>
      </c>
      <c r="AR203" s="22">
        <v>2053400</v>
      </c>
      <c r="AS203" s="22">
        <v>1570800</v>
      </c>
      <c r="AT203" s="22">
        <v>2341200</v>
      </c>
      <c r="AU203" s="22">
        <v>4500300</v>
      </c>
      <c r="AV203" s="22">
        <v>1624900</v>
      </c>
      <c r="AW203" s="22">
        <v>940900</v>
      </c>
      <c r="AX203" s="22">
        <v>940900</v>
      </c>
      <c r="AY203" s="22">
        <v>1532800</v>
      </c>
      <c r="AZ203" s="22">
        <v>1493800</v>
      </c>
      <c r="BA203" s="22">
        <v>751400</v>
      </c>
      <c r="BB203" s="22">
        <v>1517800</v>
      </c>
      <c r="BC203" s="22">
        <v>1474700</v>
      </c>
      <c r="BD203" s="22">
        <v>1690900</v>
      </c>
      <c r="BE203" s="22">
        <v>1031600</v>
      </c>
      <c r="BF203" s="22">
        <v>1166000</v>
      </c>
      <c r="BG203" s="22">
        <v>572900</v>
      </c>
      <c r="BH203" s="22">
        <v>690100</v>
      </c>
      <c r="BI203" s="22">
        <v>760600</v>
      </c>
      <c r="BJ203" s="22">
        <v>1311700</v>
      </c>
      <c r="BK203" s="22">
        <v>807300</v>
      </c>
      <c r="BL203" s="22">
        <v>688800</v>
      </c>
      <c r="BM203" s="1">
        <v>730500</v>
      </c>
      <c r="BN203" s="1">
        <v>563400</v>
      </c>
      <c r="BO203" s="1">
        <v>781900</v>
      </c>
      <c r="BP203" s="1">
        <v>621600</v>
      </c>
    </row>
    <row r="204" spans="1:68" ht="15.9" customHeight="1">
      <c r="A204" s="396" t="s">
        <v>400</v>
      </c>
      <c r="B204" s="49" t="s">
        <v>401</v>
      </c>
      <c r="C204" s="53" t="str">
        <f>_xll.RssMarket("8015","出来高")</f>
        <v/>
      </c>
      <c r="D204" s="16" t="e">
        <f t="shared" si="3"/>
        <v>#VALUE!</v>
      </c>
      <c r="E204" s="22">
        <v>3073500</v>
      </c>
      <c r="F204" s="22">
        <v>2015500</v>
      </c>
      <c r="G204" s="22">
        <v>1696000</v>
      </c>
      <c r="H204" s="22">
        <v>1611800</v>
      </c>
      <c r="I204" s="22">
        <v>2679800</v>
      </c>
      <c r="J204" s="22">
        <v>1794700</v>
      </c>
      <c r="K204" s="22">
        <v>2417400</v>
      </c>
      <c r="L204" s="22">
        <v>2593500</v>
      </c>
      <c r="M204" s="22">
        <v>1349900</v>
      </c>
      <c r="N204" s="22">
        <v>2089600</v>
      </c>
      <c r="O204" s="22">
        <v>3315900</v>
      </c>
      <c r="P204" s="22">
        <v>1931500</v>
      </c>
      <c r="Q204" s="22">
        <v>3042600</v>
      </c>
      <c r="R204" s="22">
        <v>2127900</v>
      </c>
      <c r="S204" s="22">
        <v>2531000</v>
      </c>
      <c r="T204" s="22">
        <v>2062400</v>
      </c>
      <c r="U204" s="22">
        <v>1839800</v>
      </c>
      <c r="V204" s="22">
        <v>2437700</v>
      </c>
      <c r="W204" s="22">
        <v>1641500</v>
      </c>
      <c r="X204" s="22">
        <v>2509400</v>
      </c>
      <c r="Y204" s="22">
        <v>1730500</v>
      </c>
      <c r="Z204" s="22">
        <v>1409400</v>
      </c>
      <c r="AA204" s="22">
        <v>1549700</v>
      </c>
      <c r="AB204" s="22">
        <v>3366300</v>
      </c>
      <c r="AC204" s="22">
        <v>1943300</v>
      </c>
      <c r="AD204" s="22">
        <v>2496400</v>
      </c>
      <c r="AE204" s="22">
        <v>2198000</v>
      </c>
      <c r="AF204" s="22">
        <v>1620600</v>
      </c>
      <c r="AG204" s="22">
        <v>1785300</v>
      </c>
      <c r="AH204" s="22">
        <v>1733200</v>
      </c>
      <c r="AI204" s="22">
        <v>2229200</v>
      </c>
      <c r="AJ204" s="22">
        <v>8257400</v>
      </c>
      <c r="AK204" s="22">
        <v>2614500</v>
      </c>
      <c r="AL204" s="22">
        <v>2807700</v>
      </c>
      <c r="AM204" s="22">
        <v>2000800</v>
      </c>
      <c r="AN204" s="22">
        <v>2521300</v>
      </c>
      <c r="AO204" s="22">
        <v>2172800</v>
      </c>
      <c r="AP204" s="22">
        <v>2307500</v>
      </c>
      <c r="AQ204" s="22">
        <v>2265200</v>
      </c>
      <c r="AR204" s="22">
        <v>2132700</v>
      </c>
      <c r="AS204" s="22">
        <v>2944300</v>
      </c>
      <c r="AT204" s="22">
        <v>2687000</v>
      </c>
      <c r="AU204" s="22">
        <v>2832700</v>
      </c>
      <c r="AV204" s="22">
        <v>3005900</v>
      </c>
      <c r="AW204" s="22">
        <v>3050300</v>
      </c>
      <c r="AX204" s="22">
        <v>3050300</v>
      </c>
      <c r="AY204" s="22">
        <v>3476600</v>
      </c>
      <c r="AZ204" s="22">
        <v>4626500</v>
      </c>
      <c r="BA204" s="22">
        <v>7293200</v>
      </c>
      <c r="BB204" s="22">
        <v>6712000</v>
      </c>
      <c r="BC204" s="22">
        <v>2281700</v>
      </c>
      <c r="BD204" s="22">
        <v>2062800</v>
      </c>
      <c r="BE204" s="22">
        <v>1419500</v>
      </c>
      <c r="BF204" s="22">
        <v>1791800</v>
      </c>
      <c r="BG204" s="22">
        <v>2524100</v>
      </c>
      <c r="BH204" s="22">
        <v>1322400</v>
      </c>
      <c r="BI204" s="22">
        <v>1530300</v>
      </c>
      <c r="BJ204" s="22">
        <v>1847800</v>
      </c>
      <c r="BK204" s="22">
        <v>1756500</v>
      </c>
      <c r="BL204" s="22">
        <v>2235200</v>
      </c>
      <c r="BM204" s="1">
        <v>1442300</v>
      </c>
      <c r="BN204" s="1">
        <v>1794200</v>
      </c>
      <c r="BO204" s="1">
        <v>2607200</v>
      </c>
      <c r="BP204" s="1">
        <v>3368300</v>
      </c>
    </row>
    <row r="205" spans="1:68" ht="19.5" customHeight="1">
      <c r="A205" s="396" t="s">
        <v>402</v>
      </c>
      <c r="B205" s="49" t="s">
        <v>403</v>
      </c>
      <c r="C205" s="53" t="str">
        <f>_xll.RssMarket("6758","出来高")</f>
        <v/>
      </c>
      <c r="D205" s="16" t="e">
        <f t="shared" si="3"/>
        <v>#VALUE!</v>
      </c>
      <c r="E205" s="2">
        <v>22560200</v>
      </c>
      <c r="F205" s="2">
        <v>12717000</v>
      </c>
      <c r="G205" s="2">
        <v>13640700</v>
      </c>
      <c r="H205" s="2">
        <v>10860400</v>
      </c>
      <c r="I205" s="2">
        <v>17008800</v>
      </c>
      <c r="J205" s="2">
        <v>15472900</v>
      </c>
      <c r="K205" s="2">
        <v>15801000</v>
      </c>
      <c r="L205" s="2">
        <v>21078700</v>
      </c>
      <c r="M205" s="2">
        <v>12783400</v>
      </c>
      <c r="N205" s="2">
        <v>22702600</v>
      </c>
      <c r="O205" s="2">
        <v>19252900</v>
      </c>
      <c r="P205" s="2">
        <v>20084900</v>
      </c>
      <c r="Q205" s="2">
        <v>19350900</v>
      </c>
      <c r="R205" s="2">
        <v>37242200</v>
      </c>
      <c r="S205" s="2">
        <v>19829700</v>
      </c>
      <c r="T205" s="2">
        <v>19028900</v>
      </c>
      <c r="U205" s="2">
        <v>19994500</v>
      </c>
      <c r="V205" s="2">
        <v>18077100</v>
      </c>
      <c r="W205" s="2">
        <v>19632700</v>
      </c>
      <c r="X205" s="2">
        <v>30032000</v>
      </c>
      <c r="Y205" s="2">
        <v>18411000</v>
      </c>
      <c r="Z205" s="2">
        <v>13386100</v>
      </c>
      <c r="AA205" s="2">
        <v>18017000</v>
      </c>
      <c r="AB205" s="2">
        <v>28052300</v>
      </c>
      <c r="AC205" s="2">
        <v>14530400</v>
      </c>
      <c r="AD205" s="2">
        <v>15986300</v>
      </c>
      <c r="AE205" s="2">
        <v>16837100</v>
      </c>
      <c r="AF205" s="2">
        <v>13768900</v>
      </c>
      <c r="AG205" s="2">
        <v>19404500</v>
      </c>
      <c r="AH205" s="2">
        <v>17219400</v>
      </c>
      <c r="AI205" s="2">
        <v>24443600</v>
      </c>
      <c r="AJ205" s="2">
        <v>47099000</v>
      </c>
      <c r="AK205" s="2">
        <v>24395600</v>
      </c>
      <c r="AL205" s="2">
        <v>17554500</v>
      </c>
      <c r="AM205" s="2">
        <v>16838300</v>
      </c>
      <c r="AN205" s="2">
        <v>17093600</v>
      </c>
      <c r="AO205" s="2">
        <v>19732200</v>
      </c>
      <c r="AP205" s="2">
        <v>21952200</v>
      </c>
      <c r="AQ205" s="2">
        <v>24762000</v>
      </c>
      <c r="AR205" s="2">
        <v>21945800</v>
      </c>
      <c r="AS205" s="2">
        <v>31904000</v>
      </c>
      <c r="AT205" s="2">
        <v>39152200</v>
      </c>
      <c r="AU205" s="2">
        <v>52422900</v>
      </c>
      <c r="AV205" s="2">
        <v>39212300</v>
      </c>
      <c r="AW205" s="2">
        <v>57094400</v>
      </c>
      <c r="AX205" s="2">
        <v>57094400</v>
      </c>
      <c r="AY205" s="2">
        <v>3476600</v>
      </c>
      <c r="AZ205" s="2">
        <v>4626500</v>
      </c>
      <c r="BA205" s="2">
        <v>7293200</v>
      </c>
      <c r="BB205" s="2">
        <v>6712000</v>
      </c>
      <c r="BC205" s="2">
        <v>2281700</v>
      </c>
      <c r="BD205" s="2">
        <v>2062800</v>
      </c>
      <c r="BE205" s="2">
        <v>1419500</v>
      </c>
      <c r="BF205" s="2">
        <v>1791800</v>
      </c>
      <c r="BG205" s="2">
        <v>2524100</v>
      </c>
      <c r="BH205" s="2">
        <v>1322400</v>
      </c>
      <c r="BI205" s="2">
        <v>1530300</v>
      </c>
      <c r="BJ205" s="2">
        <v>1847800</v>
      </c>
      <c r="BK205" s="2">
        <v>1756500</v>
      </c>
      <c r="BL205" s="2">
        <v>2235200</v>
      </c>
      <c r="BM205" s="1">
        <v>1442300</v>
      </c>
      <c r="BN205" s="1">
        <v>1794200</v>
      </c>
      <c r="BO205" s="1">
        <v>2607200</v>
      </c>
      <c r="BP205" s="1">
        <v>3368300</v>
      </c>
    </row>
    <row r="206" spans="1:68" ht="19.5" customHeight="1">
      <c r="A206" s="396" t="s">
        <v>404</v>
      </c>
      <c r="B206" s="49" t="s">
        <v>405</v>
      </c>
      <c r="C206" s="53" t="str">
        <f>_xll.RssMarket("9101","出来高")</f>
        <v/>
      </c>
      <c r="D206" s="16" t="e">
        <f t="shared" si="3"/>
        <v>#VALUE!</v>
      </c>
      <c r="E206" s="2">
        <v>4456700</v>
      </c>
      <c r="F206" s="2">
        <v>2438800</v>
      </c>
      <c r="G206" s="2">
        <v>2731100</v>
      </c>
      <c r="H206" s="2">
        <v>1504900</v>
      </c>
      <c r="I206" s="2">
        <v>2600300</v>
      </c>
      <c r="J206" s="2">
        <v>2678400</v>
      </c>
      <c r="K206" s="2">
        <v>2561200</v>
      </c>
      <c r="L206" s="2">
        <v>3831100</v>
      </c>
      <c r="M206" s="2">
        <v>2082600</v>
      </c>
      <c r="N206" s="2">
        <v>1943500</v>
      </c>
      <c r="O206" s="2">
        <v>2848600</v>
      </c>
      <c r="P206" s="2">
        <v>2616700</v>
      </c>
      <c r="Q206" s="2">
        <v>2601300</v>
      </c>
      <c r="R206" s="2">
        <v>2478000</v>
      </c>
      <c r="S206" s="2">
        <v>3015800</v>
      </c>
      <c r="T206" s="2">
        <v>2940100</v>
      </c>
      <c r="U206" s="2">
        <v>2869700</v>
      </c>
      <c r="V206" s="2">
        <v>3091100</v>
      </c>
      <c r="W206" s="2">
        <v>2243400</v>
      </c>
      <c r="X206" s="2">
        <v>4390700</v>
      </c>
      <c r="Y206" s="2">
        <v>4016600</v>
      </c>
      <c r="Z206" s="2">
        <v>3087700</v>
      </c>
      <c r="AA206" s="2">
        <v>2759500</v>
      </c>
      <c r="AB206" s="2">
        <v>2897900</v>
      </c>
      <c r="AC206" s="2">
        <v>3087500</v>
      </c>
      <c r="AD206" s="2">
        <v>3425200</v>
      </c>
      <c r="AE206" s="2">
        <v>3590500</v>
      </c>
      <c r="AF206" s="2">
        <v>3669900</v>
      </c>
      <c r="AG206" s="2">
        <v>3586500</v>
      </c>
      <c r="AH206" s="2">
        <v>2636200</v>
      </c>
      <c r="AI206" s="2">
        <v>3293100</v>
      </c>
      <c r="AJ206" s="2">
        <v>5564400</v>
      </c>
      <c r="AK206" s="2">
        <v>3047300</v>
      </c>
      <c r="AL206" s="2">
        <v>2536000</v>
      </c>
      <c r="AM206" s="2">
        <v>1536100</v>
      </c>
      <c r="AN206" s="2">
        <v>2306300</v>
      </c>
      <c r="AO206" s="2">
        <v>2756900</v>
      </c>
      <c r="AP206" s="2">
        <v>3547300</v>
      </c>
      <c r="AQ206" s="2">
        <v>2940400</v>
      </c>
      <c r="AR206" s="2">
        <v>3399800</v>
      </c>
      <c r="AS206" s="2">
        <v>2941000</v>
      </c>
      <c r="AT206" s="2">
        <v>3425900</v>
      </c>
      <c r="AU206" s="2">
        <v>3088100</v>
      </c>
      <c r="AV206" s="2">
        <v>3697600</v>
      </c>
      <c r="AW206" s="2">
        <v>5919900</v>
      </c>
      <c r="AX206" s="2">
        <v>5919900</v>
      </c>
      <c r="AY206" s="2">
        <v>3219800</v>
      </c>
      <c r="AZ206" s="2">
        <v>3463300</v>
      </c>
      <c r="BA206" s="2">
        <v>2028700</v>
      </c>
      <c r="BB206" s="2">
        <v>4249800</v>
      </c>
      <c r="BC206" s="2">
        <v>5034800</v>
      </c>
      <c r="BD206" s="2">
        <v>3251700</v>
      </c>
      <c r="BE206" s="2">
        <v>2105000</v>
      </c>
      <c r="BF206" s="2">
        <v>2030600</v>
      </c>
      <c r="BG206" s="2">
        <v>1926500</v>
      </c>
      <c r="BH206" s="2">
        <v>2083700</v>
      </c>
      <c r="BI206" s="2">
        <v>2926200</v>
      </c>
      <c r="BJ206" s="2">
        <v>2475000</v>
      </c>
      <c r="BK206" s="2">
        <v>2748200</v>
      </c>
      <c r="BL206" s="2">
        <v>3255600</v>
      </c>
      <c r="BM206" s="1">
        <v>2896500</v>
      </c>
      <c r="BN206" s="1">
        <v>2893600</v>
      </c>
      <c r="BO206" s="1">
        <v>3595000</v>
      </c>
      <c r="BP206" s="1">
        <v>4448200</v>
      </c>
    </row>
    <row r="207" spans="1:68" s="83" customFormat="1" ht="18.75" customHeight="1">
      <c r="A207" s="397" t="s">
        <v>406</v>
      </c>
      <c r="B207" s="83" t="s">
        <v>407</v>
      </c>
      <c r="C207" s="84" t="str">
        <f>_xll.RssMarket("7011","出来高")</f>
        <v/>
      </c>
      <c r="D207" s="85" t="e">
        <f t="shared" si="3"/>
        <v>#VALUE!</v>
      </c>
      <c r="E207" s="84">
        <v>21441300</v>
      </c>
      <c r="F207" s="84">
        <v>19491400</v>
      </c>
      <c r="G207" s="84">
        <v>12709500</v>
      </c>
      <c r="H207" s="84">
        <v>13530900</v>
      </c>
      <c r="I207" s="84">
        <v>14270300</v>
      </c>
      <c r="J207" s="84">
        <v>16150000</v>
      </c>
      <c r="K207" s="84">
        <v>25815800</v>
      </c>
      <c r="L207" s="84">
        <v>24665400</v>
      </c>
      <c r="M207" s="84">
        <v>35898600</v>
      </c>
      <c r="N207" s="84">
        <v>15350400</v>
      </c>
      <c r="O207" s="84">
        <v>17061600</v>
      </c>
      <c r="P207" s="84">
        <v>19764700</v>
      </c>
      <c r="Q207" s="84">
        <v>19004300</v>
      </c>
      <c r="R207" s="84">
        <v>23060300</v>
      </c>
      <c r="S207" s="84">
        <v>16993000</v>
      </c>
      <c r="T207" s="84">
        <v>19664300</v>
      </c>
      <c r="U207" s="84">
        <v>14242700</v>
      </c>
      <c r="V207" s="84">
        <v>20051900</v>
      </c>
      <c r="W207" s="84">
        <v>13192000</v>
      </c>
      <c r="X207" s="84">
        <v>23852400</v>
      </c>
      <c r="Y207" s="84">
        <v>31233200</v>
      </c>
      <c r="Z207" s="84">
        <v>23776900</v>
      </c>
      <c r="AA207" s="84">
        <v>27316000</v>
      </c>
      <c r="AB207" s="84">
        <v>19580500</v>
      </c>
      <c r="AC207" s="84">
        <v>18083000</v>
      </c>
      <c r="AD207" s="84">
        <v>17683400</v>
      </c>
      <c r="AE207" s="84">
        <v>23310400</v>
      </c>
      <c r="AF207" s="84">
        <v>23427800</v>
      </c>
      <c r="AG207" s="84">
        <v>28144900</v>
      </c>
      <c r="AH207" s="84">
        <v>30658500</v>
      </c>
      <c r="AI207" s="84">
        <v>35355900</v>
      </c>
      <c r="AJ207" s="84">
        <v>34158900</v>
      </c>
      <c r="AK207" s="84">
        <v>25450500</v>
      </c>
      <c r="AL207" s="84">
        <v>19574600</v>
      </c>
      <c r="AM207" s="84">
        <v>25805000</v>
      </c>
      <c r="AN207" s="84">
        <v>22773500</v>
      </c>
      <c r="AO207" s="84">
        <v>28538600</v>
      </c>
      <c r="AP207" s="84">
        <v>20144300</v>
      </c>
      <c r="AQ207" s="84">
        <v>20535500</v>
      </c>
      <c r="AR207" s="84">
        <v>21740700</v>
      </c>
      <c r="AS207" s="84">
        <v>26236100</v>
      </c>
      <c r="AT207" s="84">
        <v>38699900</v>
      </c>
      <c r="AU207" s="84">
        <v>33182600</v>
      </c>
      <c r="AV207" s="84">
        <v>57855600</v>
      </c>
      <c r="AW207" s="84">
        <v>23392400</v>
      </c>
      <c r="AX207" s="84">
        <v>23392400</v>
      </c>
      <c r="AY207" s="84">
        <v>25209200</v>
      </c>
      <c r="AZ207" s="84">
        <v>32023200</v>
      </c>
      <c r="BA207" s="84">
        <v>13366800</v>
      </c>
      <c r="BB207" s="84">
        <v>26836400</v>
      </c>
      <c r="BC207" s="84">
        <v>19210500</v>
      </c>
      <c r="BD207" s="84">
        <v>18063900</v>
      </c>
      <c r="BE207" s="84">
        <v>18264500</v>
      </c>
      <c r="BF207" s="84">
        <v>32997300</v>
      </c>
      <c r="BG207" s="84">
        <v>20727400</v>
      </c>
      <c r="BH207" s="84">
        <v>21954100</v>
      </c>
      <c r="BI207" s="84">
        <v>22506500</v>
      </c>
      <c r="BJ207" s="84">
        <v>24317700</v>
      </c>
      <c r="BK207" s="84">
        <v>23321000</v>
      </c>
      <c r="BL207" s="84">
        <v>27484500</v>
      </c>
      <c r="BM207" s="83">
        <v>16995600</v>
      </c>
      <c r="BN207" s="83">
        <v>16322800</v>
      </c>
      <c r="BO207" s="83">
        <v>17911100</v>
      </c>
      <c r="BP207" s="83">
        <v>20132600</v>
      </c>
    </row>
    <row r="208" spans="1:68" s="83" customFormat="1" ht="18.75" customHeight="1">
      <c r="A208" s="397" t="s">
        <v>408</v>
      </c>
      <c r="B208" s="83" t="s">
        <v>409</v>
      </c>
      <c r="C208" s="84" t="str">
        <f>_xll.RssMarket("1812","出来高")</f>
        <v/>
      </c>
      <c r="D208" s="85" t="e">
        <f t="shared" si="3"/>
        <v>#VALUE!</v>
      </c>
      <c r="E208" s="84">
        <v>1701600</v>
      </c>
      <c r="F208" s="84">
        <v>1600700</v>
      </c>
      <c r="G208" s="84">
        <v>1611400</v>
      </c>
      <c r="H208" s="84">
        <v>1353900</v>
      </c>
      <c r="I208" s="84">
        <v>1709400</v>
      </c>
      <c r="J208" s="84">
        <v>1205500</v>
      </c>
      <c r="K208" s="84">
        <v>1803900</v>
      </c>
      <c r="L208" s="84">
        <v>2123100</v>
      </c>
      <c r="M208" s="84">
        <v>1892700</v>
      </c>
      <c r="N208" s="84">
        <v>1830400</v>
      </c>
      <c r="O208" s="84">
        <v>2130200</v>
      </c>
      <c r="P208" s="84">
        <v>2622200</v>
      </c>
      <c r="Q208" s="84">
        <v>2069500</v>
      </c>
      <c r="R208" s="84">
        <v>1747500</v>
      </c>
      <c r="S208" s="84">
        <v>1447000</v>
      </c>
      <c r="T208" s="84">
        <v>1378800</v>
      </c>
      <c r="U208" s="84">
        <v>1384900</v>
      </c>
      <c r="V208" s="84">
        <v>2020000</v>
      </c>
      <c r="W208" s="84">
        <v>1417300</v>
      </c>
      <c r="X208" s="84">
        <v>1831600</v>
      </c>
      <c r="Y208" s="84">
        <v>2241600</v>
      </c>
      <c r="Z208" s="84">
        <v>2120900</v>
      </c>
      <c r="AA208" s="84">
        <v>3189500</v>
      </c>
      <c r="AB208" s="84">
        <v>2249700</v>
      </c>
      <c r="AC208" s="84">
        <v>1707200</v>
      </c>
      <c r="AD208" s="84">
        <v>1766400</v>
      </c>
      <c r="AE208" s="84">
        <v>1937100</v>
      </c>
      <c r="AF208" s="84">
        <v>1611200</v>
      </c>
      <c r="AG208" s="84">
        <v>2037700</v>
      </c>
      <c r="AH208" s="84">
        <v>2219400</v>
      </c>
      <c r="AI208" s="84">
        <v>2511600</v>
      </c>
      <c r="AJ208" s="84">
        <v>4340100</v>
      </c>
      <c r="AK208" s="84">
        <v>1567000</v>
      </c>
      <c r="AL208" s="84">
        <v>2389000</v>
      </c>
      <c r="AM208" s="84">
        <v>2011400</v>
      </c>
      <c r="AN208" s="84">
        <v>2021800</v>
      </c>
      <c r="AO208" s="84">
        <v>1547000</v>
      </c>
      <c r="AP208" s="84">
        <v>2811700</v>
      </c>
      <c r="AQ208" s="84">
        <v>2571800</v>
      </c>
      <c r="AR208" s="84">
        <v>3416400</v>
      </c>
      <c r="AS208" s="84">
        <v>3296500</v>
      </c>
      <c r="AT208" s="84">
        <v>4741300</v>
      </c>
      <c r="AU208" s="84">
        <v>3133000</v>
      </c>
      <c r="AV208" s="84">
        <v>4706400</v>
      </c>
      <c r="AW208" s="84">
        <v>2150900</v>
      </c>
      <c r="AX208" s="84">
        <v>2150900</v>
      </c>
      <c r="AY208" s="84">
        <v>2296300</v>
      </c>
      <c r="AZ208" s="84">
        <v>2648400</v>
      </c>
      <c r="BA208" s="84">
        <v>1719800</v>
      </c>
      <c r="BB208" s="84">
        <v>3756200</v>
      </c>
      <c r="BC208" s="84">
        <v>3609800</v>
      </c>
      <c r="BD208" s="84">
        <v>1799400</v>
      </c>
      <c r="BE208" s="84">
        <v>1594000</v>
      </c>
      <c r="BF208" s="84">
        <v>2224800</v>
      </c>
      <c r="BG208" s="84">
        <v>2241400</v>
      </c>
      <c r="BH208" s="84">
        <v>1798800</v>
      </c>
      <c r="BI208" s="84">
        <v>1861100</v>
      </c>
      <c r="BJ208" s="84">
        <v>2574400</v>
      </c>
      <c r="BK208" s="84">
        <v>1720600</v>
      </c>
      <c r="BL208" s="84">
        <v>1275400</v>
      </c>
      <c r="BM208" s="83">
        <v>1198200</v>
      </c>
      <c r="BN208" s="83">
        <v>1441700</v>
      </c>
      <c r="BO208" s="83">
        <v>1461300</v>
      </c>
      <c r="BP208" s="83">
        <v>1919000</v>
      </c>
    </row>
    <row r="209" spans="1:68" s="83" customFormat="1" ht="18.75" customHeight="1">
      <c r="A209" s="397" t="s">
        <v>410</v>
      </c>
      <c r="B209" s="83" t="str">
        <f>銘柄管理!C209</f>
        <v/>
      </c>
      <c r="C209" s="84" t="str">
        <f>_xll.RssMarket("6861","出来高")</f>
        <v/>
      </c>
      <c r="D209" s="85" t="e">
        <f t="shared" si="3"/>
        <v>#VALUE!</v>
      </c>
      <c r="E209" s="84">
        <v>905400</v>
      </c>
      <c r="F209" s="84">
        <v>442200</v>
      </c>
      <c r="G209" s="84">
        <v>470500</v>
      </c>
      <c r="H209" s="84">
        <v>626500</v>
      </c>
      <c r="I209" s="84">
        <v>760000</v>
      </c>
      <c r="J209" s="84">
        <v>450500</v>
      </c>
      <c r="K209" s="84">
        <v>602200</v>
      </c>
      <c r="L209" s="84">
        <v>561600</v>
      </c>
      <c r="M209" s="84">
        <v>413300</v>
      </c>
      <c r="N209" s="84">
        <v>468100</v>
      </c>
      <c r="O209" s="84">
        <v>461300</v>
      </c>
      <c r="P209" s="84">
        <v>491300</v>
      </c>
      <c r="Q209" s="84">
        <v>995800</v>
      </c>
      <c r="R209" s="84">
        <v>509900</v>
      </c>
      <c r="S209" s="84">
        <v>575500</v>
      </c>
      <c r="T209" s="84">
        <v>510400</v>
      </c>
      <c r="U209" s="84">
        <v>564500</v>
      </c>
      <c r="V209" s="84">
        <v>531300</v>
      </c>
      <c r="W209" s="84">
        <v>463200</v>
      </c>
      <c r="X209" s="84">
        <v>984900</v>
      </c>
      <c r="Y209" s="84">
        <v>597500</v>
      </c>
      <c r="Z209" s="84">
        <v>659800</v>
      </c>
      <c r="AA209" s="84">
        <v>492400</v>
      </c>
      <c r="AB209" s="84">
        <v>836300</v>
      </c>
      <c r="AC209" s="84">
        <v>626100</v>
      </c>
      <c r="AD209" s="84">
        <v>612800</v>
      </c>
      <c r="AE209" s="84">
        <v>727500</v>
      </c>
      <c r="AF209" s="84">
        <v>417000</v>
      </c>
      <c r="AG209" s="84">
        <v>529600</v>
      </c>
      <c r="AH209" s="84">
        <v>546400</v>
      </c>
      <c r="AI209" s="84">
        <v>592800</v>
      </c>
      <c r="AJ209" s="84">
        <v>1485600</v>
      </c>
      <c r="AK209" s="84">
        <v>637100</v>
      </c>
      <c r="AL209" s="84">
        <v>766700</v>
      </c>
      <c r="AM209" s="84">
        <v>578600</v>
      </c>
      <c r="AN209" s="84">
        <v>869400</v>
      </c>
      <c r="AO209" s="84">
        <v>783100</v>
      </c>
      <c r="AP209" s="84">
        <v>964400</v>
      </c>
      <c r="AQ209" s="84">
        <v>543000</v>
      </c>
      <c r="AR209" s="84">
        <v>612500</v>
      </c>
      <c r="AS209" s="84">
        <v>666600</v>
      </c>
      <c r="AT209" s="84">
        <v>866400</v>
      </c>
      <c r="AU209" s="84">
        <v>642400</v>
      </c>
      <c r="AV209" s="84">
        <v>1113700</v>
      </c>
      <c r="AW209" s="84">
        <v>1114000</v>
      </c>
      <c r="AX209" s="84">
        <v>1114000</v>
      </c>
      <c r="AY209" s="84">
        <v>1695500</v>
      </c>
      <c r="AZ209" s="84">
        <v>2252600</v>
      </c>
      <c r="BA209" s="84">
        <v>1667000</v>
      </c>
      <c r="BB209" s="84">
        <v>1491600</v>
      </c>
      <c r="BC209" s="84">
        <v>2805500</v>
      </c>
      <c r="BD209" s="84">
        <v>1157900</v>
      </c>
      <c r="BE209" s="84">
        <v>735200</v>
      </c>
      <c r="BF209" s="84">
        <v>759800</v>
      </c>
      <c r="BG209" s="84">
        <v>746600</v>
      </c>
      <c r="BH209" s="84">
        <v>876300</v>
      </c>
      <c r="BI209" s="84">
        <v>692100</v>
      </c>
      <c r="BJ209" s="84">
        <v>525100</v>
      </c>
      <c r="BK209" s="84">
        <v>536900</v>
      </c>
      <c r="BL209" s="84">
        <v>695500</v>
      </c>
      <c r="BM209" s="83">
        <v>751900</v>
      </c>
      <c r="BN209" s="83">
        <v>957000</v>
      </c>
      <c r="BO209" s="83">
        <v>688500</v>
      </c>
      <c r="BP209" s="83">
        <v>813800</v>
      </c>
    </row>
    <row r="210" spans="1:68" s="83" customFormat="1" ht="18.75" customHeight="1">
      <c r="A210" s="397" t="s">
        <v>411</v>
      </c>
      <c r="B210" s="83" t="s">
        <v>412</v>
      </c>
      <c r="C210" s="84" t="str">
        <f>_xll.RssMarket("6324","出来高")</f>
        <v/>
      </c>
      <c r="D210" s="85" t="e">
        <f t="shared" si="3"/>
        <v>#VALUE!</v>
      </c>
      <c r="E210" s="84">
        <v>2014400</v>
      </c>
      <c r="F210" s="84">
        <v>1285400</v>
      </c>
      <c r="G210" s="84">
        <v>2312400</v>
      </c>
      <c r="H210" s="84">
        <v>1968500</v>
      </c>
      <c r="I210" s="84">
        <v>1638100</v>
      </c>
      <c r="J210" s="84">
        <v>1489700</v>
      </c>
      <c r="K210" s="84">
        <v>2271200</v>
      </c>
      <c r="L210" s="84">
        <v>2481700</v>
      </c>
      <c r="M210" s="84">
        <v>2883200</v>
      </c>
      <c r="N210" s="84">
        <v>4155900</v>
      </c>
      <c r="O210" s="84">
        <v>2363700</v>
      </c>
      <c r="P210" s="84">
        <v>1619600</v>
      </c>
      <c r="Q210" s="84">
        <v>1892200</v>
      </c>
      <c r="R210" s="84">
        <v>1471200</v>
      </c>
      <c r="S210" s="84">
        <v>1548200</v>
      </c>
      <c r="T210" s="84">
        <v>1401400</v>
      </c>
      <c r="U210" s="84">
        <v>2023600</v>
      </c>
      <c r="V210" s="84">
        <v>2282200</v>
      </c>
      <c r="W210" s="84">
        <v>2503800</v>
      </c>
      <c r="X210" s="84">
        <v>1420100</v>
      </c>
      <c r="Y210" s="84">
        <v>2523400</v>
      </c>
      <c r="Z210" s="84">
        <v>1930000</v>
      </c>
      <c r="AA210" s="84">
        <v>1234800</v>
      </c>
      <c r="AB210" s="84">
        <v>1375700</v>
      </c>
      <c r="AC210" s="84">
        <v>1320000</v>
      </c>
      <c r="AD210" s="84">
        <v>2016000</v>
      </c>
      <c r="AE210" s="84">
        <v>2627000</v>
      </c>
      <c r="AF210" s="84">
        <v>1708900</v>
      </c>
      <c r="AG210" s="84">
        <v>1989400</v>
      </c>
      <c r="AH210" s="84">
        <v>1616200</v>
      </c>
      <c r="AI210" s="84">
        <v>2729400</v>
      </c>
      <c r="AJ210" s="84">
        <v>1663800</v>
      </c>
      <c r="AK210" s="84">
        <v>1654400</v>
      </c>
      <c r="AL210" s="84">
        <v>1817400</v>
      </c>
      <c r="AM210" s="84">
        <v>1849300</v>
      </c>
      <c r="AN210" s="84">
        <v>1907200</v>
      </c>
      <c r="AO210" s="84">
        <v>1534900</v>
      </c>
      <c r="AP210" s="84">
        <v>1680400</v>
      </c>
      <c r="AQ210" s="84">
        <v>3468300</v>
      </c>
      <c r="AR210" s="84">
        <v>1684000</v>
      </c>
      <c r="AS210" s="84">
        <v>3213500</v>
      </c>
      <c r="AT210" s="84">
        <v>5545500</v>
      </c>
      <c r="AU210" s="84">
        <v>3123000</v>
      </c>
      <c r="AV210" s="84">
        <v>1716200</v>
      </c>
      <c r="AW210" s="84">
        <v>1981700</v>
      </c>
      <c r="AX210" s="84">
        <v>1981700</v>
      </c>
      <c r="AY210" s="84">
        <v>2170200</v>
      </c>
      <c r="AZ210" s="84">
        <v>1617200</v>
      </c>
      <c r="BA210" s="84">
        <v>1245100</v>
      </c>
      <c r="BB210" s="84">
        <v>2526800</v>
      </c>
      <c r="BC210" s="84">
        <v>1778700</v>
      </c>
      <c r="BD210" s="84">
        <v>3690800</v>
      </c>
      <c r="BE210" s="84">
        <v>667900</v>
      </c>
      <c r="BF210" s="84">
        <v>979000</v>
      </c>
      <c r="BG210" s="84">
        <v>972800</v>
      </c>
      <c r="BH210" s="84">
        <v>1114800</v>
      </c>
      <c r="BI210" s="84">
        <v>1151600</v>
      </c>
      <c r="BJ210" s="84">
        <v>1368200</v>
      </c>
      <c r="BK210" s="84">
        <v>3199400</v>
      </c>
      <c r="BL210" s="84">
        <v>1790000</v>
      </c>
      <c r="BM210" s="83">
        <v>1070600</v>
      </c>
      <c r="BN210" s="83">
        <v>1436300</v>
      </c>
      <c r="BO210" s="83">
        <v>1063800</v>
      </c>
      <c r="BP210" s="83">
        <v>1104400</v>
      </c>
    </row>
    <row r="211" spans="1:68" s="83" customFormat="1" ht="18.75" customHeight="1">
      <c r="A211" s="397" t="s">
        <v>413</v>
      </c>
      <c r="B211" s="83" t="s">
        <v>414</v>
      </c>
      <c r="C211" s="84" t="str">
        <f>_xll.RssMarket("6273","出来高")</f>
        <v/>
      </c>
      <c r="D211" s="85" t="e">
        <f t="shared" si="3"/>
        <v>#VALUE!</v>
      </c>
      <c r="E211" s="84">
        <v>427200</v>
      </c>
      <c r="F211" s="84">
        <v>205000</v>
      </c>
      <c r="G211" s="84">
        <v>358200</v>
      </c>
      <c r="H211" s="84">
        <v>299500</v>
      </c>
      <c r="I211" s="84">
        <v>366400</v>
      </c>
      <c r="J211" s="84">
        <v>241400</v>
      </c>
      <c r="K211" s="84">
        <v>287200</v>
      </c>
      <c r="L211" s="84">
        <v>297200</v>
      </c>
      <c r="M211" s="84">
        <v>273700</v>
      </c>
      <c r="N211" s="84">
        <v>438900</v>
      </c>
      <c r="O211" s="84">
        <v>407800</v>
      </c>
      <c r="P211" s="84">
        <v>270600</v>
      </c>
      <c r="Q211" s="84">
        <v>253700</v>
      </c>
      <c r="R211" s="84">
        <v>205100</v>
      </c>
      <c r="S211" s="84">
        <v>258700</v>
      </c>
      <c r="T211" s="84">
        <v>250400</v>
      </c>
      <c r="U211" s="84">
        <v>280500</v>
      </c>
      <c r="V211" s="84">
        <v>301100</v>
      </c>
      <c r="W211" s="84">
        <v>222800</v>
      </c>
      <c r="X211" s="84">
        <v>543900</v>
      </c>
      <c r="Y211" s="84">
        <v>317800</v>
      </c>
      <c r="Z211" s="84">
        <v>330200</v>
      </c>
      <c r="AA211" s="84">
        <v>275900</v>
      </c>
      <c r="AB211" s="84">
        <v>429200</v>
      </c>
      <c r="AC211" s="84">
        <v>362200</v>
      </c>
      <c r="AD211" s="84">
        <v>252700</v>
      </c>
      <c r="AE211" s="84">
        <v>315700</v>
      </c>
      <c r="AF211" s="84">
        <v>253800</v>
      </c>
      <c r="AG211" s="84">
        <v>274600</v>
      </c>
      <c r="AH211" s="84">
        <v>331900</v>
      </c>
      <c r="AI211" s="84">
        <v>300300</v>
      </c>
      <c r="AJ211" s="84">
        <v>731100</v>
      </c>
      <c r="AK211" s="84">
        <v>465100</v>
      </c>
      <c r="AL211" s="84">
        <v>379000</v>
      </c>
      <c r="AM211" s="84">
        <v>499800</v>
      </c>
      <c r="AN211" s="84">
        <v>510000</v>
      </c>
      <c r="AO211" s="84">
        <v>348300</v>
      </c>
      <c r="AP211" s="84">
        <v>533300</v>
      </c>
      <c r="AQ211" s="84">
        <v>434500</v>
      </c>
      <c r="AR211" s="84">
        <v>539400</v>
      </c>
      <c r="AS211" s="84">
        <v>1165400</v>
      </c>
      <c r="AT211" s="84">
        <v>768900</v>
      </c>
      <c r="AU211" s="84">
        <v>285800</v>
      </c>
      <c r="AV211" s="84">
        <v>333000</v>
      </c>
      <c r="AW211" s="84">
        <v>381900</v>
      </c>
      <c r="AX211" s="84">
        <v>381900</v>
      </c>
      <c r="AY211" s="84">
        <v>491200</v>
      </c>
      <c r="AZ211" s="84">
        <v>594200</v>
      </c>
      <c r="BA211" s="84">
        <v>386500</v>
      </c>
      <c r="BB211" s="84">
        <v>595700</v>
      </c>
      <c r="BC211" s="84">
        <v>553000</v>
      </c>
      <c r="BD211" s="84">
        <v>676600</v>
      </c>
      <c r="BE211" s="84">
        <v>212400</v>
      </c>
      <c r="BF211" s="84">
        <v>222200</v>
      </c>
      <c r="BG211" s="84">
        <v>203200</v>
      </c>
      <c r="BH211" s="84">
        <v>144800</v>
      </c>
      <c r="BI211" s="84">
        <v>192600</v>
      </c>
      <c r="BJ211" s="84">
        <v>299600</v>
      </c>
      <c r="BK211" s="84">
        <v>291900</v>
      </c>
      <c r="BL211" s="84">
        <v>248400</v>
      </c>
      <c r="BM211" s="83">
        <v>223400</v>
      </c>
      <c r="BN211" s="83">
        <v>333300</v>
      </c>
      <c r="BO211" s="83">
        <v>383600</v>
      </c>
      <c r="BP211" s="83">
        <v>456100</v>
      </c>
    </row>
    <row r="212" spans="1:68" s="83" customFormat="1" ht="18.75" customHeight="1">
      <c r="A212" s="397" t="s">
        <v>415</v>
      </c>
      <c r="B212" s="83" t="s">
        <v>416</v>
      </c>
      <c r="C212" s="84" t="str">
        <f>_xll.RssMarket("4502","出来高")</f>
        <v/>
      </c>
      <c r="D212" s="85" t="e">
        <f t="shared" si="3"/>
        <v>#VALUE!</v>
      </c>
      <c r="E212" s="84">
        <v>5074900</v>
      </c>
      <c r="F212" s="84">
        <v>2986600</v>
      </c>
      <c r="G212" s="84">
        <v>3586400</v>
      </c>
      <c r="H212" s="84">
        <v>2451900</v>
      </c>
      <c r="I212" s="84">
        <v>3123700</v>
      </c>
      <c r="J212" s="84">
        <v>2773800</v>
      </c>
      <c r="K212" s="84">
        <v>3668900</v>
      </c>
      <c r="L212" s="84">
        <v>3488200</v>
      </c>
      <c r="M212" s="84">
        <v>3686800</v>
      </c>
      <c r="N212" s="84">
        <v>4074200</v>
      </c>
      <c r="O212" s="84">
        <v>3538100</v>
      </c>
      <c r="P212" s="84">
        <v>4177200</v>
      </c>
      <c r="Q212" s="84">
        <v>4329100</v>
      </c>
      <c r="R212" s="84">
        <v>7388100</v>
      </c>
      <c r="S212" s="84">
        <v>4148100</v>
      </c>
      <c r="T212" s="84">
        <v>2958200</v>
      </c>
      <c r="U212" s="84">
        <v>3983400</v>
      </c>
      <c r="V212" s="84">
        <v>3723100</v>
      </c>
      <c r="W212" s="84">
        <v>2503900</v>
      </c>
      <c r="X212" s="84">
        <v>3916500</v>
      </c>
      <c r="Y212" s="84">
        <v>3465300</v>
      </c>
      <c r="Z212" s="84">
        <v>3890400</v>
      </c>
      <c r="AA212" s="84">
        <v>3072600</v>
      </c>
      <c r="AB212" s="84">
        <v>4711800</v>
      </c>
      <c r="AC212" s="84">
        <v>2623200</v>
      </c>
      <c r="AD212" s="84">
        <v>4145900</v>
      </c>
      <c r="AE212" s="84">
        <v>4621900</v>
      </c>
      <c r="AF212" s="84">
        <v>4448200</v>
      </c>
      <c r="AG212" s="84">
        <v>4360600</v>
      </c>
      <c r="AH212" s="84">
        <v>5041600</v>
      </c>
      <c r="AI212" s="84">
        <v>5212500</v>
      </c>
      <c r="AJ212" s="84">
        <v>7712000</v>
      </c>
      <c r="AK212" s="84">
        <v>3797500</v>
      </c>
      <c r="AL212" s="84">
        <v>3687000</v>
      </c>
      <c r="AM212" s="84">
        <v>3811800</v>
      </c>
      <c r="AN212" s="84">
        <v>3742400</v>
      </c>
      <c r="AO212" s="84">
        <v>3251600</v>
      </c>
      <c r="AP212" s="84">
        <v>4328700</v>
      </c>
      <c r="AQ212" s="84">
        <v>4414600</v>
      </c>
      <c r="AR212" s="84">
        <v>3372900</v>
      </c>
      <c r="AS212" s="84">
        <v>5258600</v>
      </c>
      <c r="AT212" s="84">
        <v>5453200</v>
      </c>
      <c r="AU212" s="84">
        <v>3887700</v>
      </c>
      <c r="AV212" s="84">
        <v>3103900</v>
      </c>
      <c r="AW212" s="84">
        <v>4684400</v>
      </c>
      <c r="AX212" s="84">
        <v>4684400</v>
      </c>
      <c r="AY212" s="84">
        <v>5448900</v>
      </c>
      <c r="AZ212" s="84">
        <v>6380200</v>
      </c>
      <c r="BA212" s="84">
        <v>2628900</v>
      </c>
      <c r="BB212" s="84">
        <v>5930400</v>
      </c>
      <c r="BC212" s="84">
        <v>3363300</v>
      </c>
      <c r="BD212" s="84">
        <v>3749900</v>
      </c>
      <c r="BE212" s="84">
        <v>2389900</v>
      </c>
      <c r="BF212" s="84">
        <v>3932200</v>
      </c>
      <c r="BG212" s="84">
        <v>4930100</v>
      </c>
      <c r="BH212" s="84">
        <v>3375600</v>
      </c>
      <c r="BI212" s="84">
        <v>3105300</v>
      </c>
      <c r="BJ212" s="84">
        <v>5111600</v>
      </c>
      <c r="BK212" s="84">
        <v>3812900</v>
      </c>
      <c r="BL212" s="84">
        <v>3779900</v>
      </c>
      <c r="BM212" s="83">
        <v>3179400</v>
      </c>
      <c r="BN212" s="83">
        <v>4180100</v>
      </c>
      <c r="BO212" s="83">
        <v>4293400</v>
      </c>
      <c r="BP212" s="83">
        <v>5222200</v>
      </c>
    </row>
    <row r="213" spans="1:68" s="83" customFormat="1" ht="18.75" customHeight="1">
      <c r="A213" s="397" t="s">
        <v>417</v>
      </c>
      <c r="B213" s="83" t="s">
        <v>418</v>
      </c>
      <c r="C213" s="84" t="str">
        <f>_xll.RssMarket("4004","出来高")</f>
        <v/>
      </c>
      <c r="D213" s="85" t="e">
        <f t="shared" si="3"/>
        <v>#VALUE!</v>
      </c>
      <c r="E213" s="84">
        <v>3120500</v>
      </c>
      <c r="F213" s="84">
        <v>1550900</v>
      </c>
      <c r="G213" s="84">
        <v>1895300</v>
      </c>
      <c r="H213" s="84">
        <v>2204200</v>
      </c>
      <c r="I213" s="84">
        <v>1814000</v>
      </c>
      <c r="J213" s="84">
        <v>2001400</v>
      </c>
      <c r="K213" s="84">
        <v>2461400</v>
      </c>
      <c r="L213" s="84">
        <v>3044900</v>
      </c>
      <c r="M213" s="84">
        <v>2339600</v>
      </c>
      <c r="N213" s="84">
        <v>3191200</v>
      </c>
      <c r="O213" s="84">
        <v>2591200</v>
      </c>
      <c r="P213" s="84">
        <v>2895400</v>
      </c>
      <c r="Q213" s="84">
        <v>1849000</v>
      </c>
      <c r="R213" s="84">
        <v>2319000</v>
      </c>
      <c r="S213" s="84">
        <v>3130000</v>
      </c>
      <c r="T213" s="84">
        <v>2622700</v>
      </c>
      <c r="U213" s="84">
        <v>2726400</v>
      </c>
      <c r="V213" s="84">
        <v>3320700</v>
      </c>
      <c r="W213" s="84">
        <v>2531900</v>
      </c>
      <c r="X213" s="84">
        <v>3844400</v>
      </c>
      <c r="Y213" s="84">
        <v>2873600</v>
      </c>
      <c r="Z213" s="84">
        <v>2611900</v>
      </c>
      <c r="AA213" s="84">
        <v>4365600</v>
      </c>
      <c r="AB213" s="84">
        <v>4261100</v>
      </c>
      <c r="AC213" s="84">
        <v>3786500</v>
      </c>
      <c r="AD213" s="84">
        <v>2931600</v>
      </c>
      <c r="AE213" s="84">
        <v>3666000</v>
      </c>
      <c r="AF213" s="84">
        <v>2100000</v>
      </c>
      <c r="AG213" s="84">
        <v>2720300</v>
      </c>
      <c r="AH213" s="84">
        <v>3537100</v>
      </c>
      <c r="AI213" s="84">
        <v>3219800</v>
      </c>
      <c r="AJ213" s="84">
        <v>14244600</v>
      </c>
      <c r="AK213" s="84">
        <v>4344800</v>
      </c>
      <c r="AL213" s="84">
        <v>3310100</v>
      </c>
      <c r="AM213" s="84">
        <v>4334200</v>
      </c>
      <c r="AN213" s="84">
        <v>4156900</v>
      </c>
      <c r="AO213" s="84">
        <v>4153300</v>
      </c>
      <c r="AP213" s="84">
        <v>2929800</v>
      </c>
      <c r="AQ213" s="84">
        <v>3039700</v>
      </c>
      <c r="AR213" s="84">
        <v>3620100</v>
      </c>
      <c r="AS213" s="84">
        <v>4930400</v>
      </c>
      <c r="AT213" s="84">
        <v>7539400</v>
      </c>
      <c r="AU213" s="84">
        <v>4870500</v>
      </c>
      <c r="AV213" s="84">
        <v>4272400</v>
      </c>
      <c r="AW213" s="84">
        <v>3987800</v>
      </c>
      <c r="AX213" s="84">
        <v>3987800</v>
      </c>
      <c r="AY213" s="84">
        <v>2827400</v>
      </c>
      <c r="AZ213" s="84">
        <v>4158600</v>
      </c>
      <c r="BA213" s="84">
        <v>1771800</v>
      </c>
      <c r="BB213" s="84">
        <v>2221600</v>
      </c>
      <c r="BC213" s="84">
        <v>2085700</v>
      </c>
      <c r="BD213" s="84">
        <v>2354700</v>
      </c>
      <c r="BE213" s="84">
        <v>3952800</v>
      </c>
      <c r="BF213" s="84">
        <v>3961500</v>
      </c>
      <c r="BG213" s="84">
        <v>5223800</v>
      </c>
      <c r="BH213" s="84">
        <v>2825800</v>
      </c>
      <c r="BI213" s="84">
        <v>1539300</v>
      </c>
      <c r="BJ213" s="84">
        <v>2094100</v>
      </c>
      <c r="BK213" s="84">
        <v>1422700</v>
      </c>
      <c r="BL213" s="84">
        <v>2680600</v>
      </c>
      <c r="BM213" s="83">
        <v>2121800</v>
      </c>
      <c r="BN213" s="83">
        <v>2217900</v>
      </c>
      <c r="BO213" s="83">
        <v>2357200</v>
      </c>
      <c r="BP213" s="83">
        <v>3320100</v>
      </c>
    </row>
    <row r="214" spans="1:68" s="83" customFormat="1" ht="18.75" customHeight="1">
      <c r="A214" s="397" t="s">
        <v>419</v>
      </c>
      <c r="B214" s="83" t="s">
        <v>420</v>
      </c>
      <c r="C214" s="84" t="str">
        <f>_xll.RssMarket("9519","出来高")</f>
        <v/>
      </c>
      <c r="D214" s="85" t="e">
        <f t="shared" si="3"/>
        <v>#VALUE!</v>
      </c>
      <c r="E214" s="84">
        <v>1404900</v>
      </c>
      <c r="F214" s="84">
        <v>1167300</v>
      </c>
      <c r="G214" s="84">
        <v>788100</v>
      </c>
      <c r="H214" s="84">
        <v>632400</v>
      </c>
      <c r="I214" s="84">
        <v>566800</v>
      </c>
      <c r="J214" s="84">
        <v>568200</v>
      </c>
      <c r="K214" s="84">
        <v>745300</v>
      </c>
      <c r="L214" s="84">
        <v>596200</v>
      </c>
      <c r="M214" s="84">
        <v>921400</v>
      </c>
      <c r="N214" s="84">
        <v>667900</v>
      </c>
      <c r="O214" s="84">
        <v>764000</v>
      </c>
      <c r="P214" s="84">
        <v>776800</v>
      </c>
      <c r="Q214" s="84">
        <v>1778000</v>
      </c>
      <c r="R214" s="84">
        <v>1417400</v>
      </c>
      <c r="S214" s="84">
        <v>1221800</v>
      </c>
      <c r="T214" s="84">
        <v>1354100</v>
      </c>
      <c r="U214" s="84">
        <v>1873000</v>
      </c>
      <c r="V214" s="84">
        <v>2340500</v>
      </c>
      <c r="W214" s="84">
        <v>1432600</v>
      </c>
      <c r="X214" s="84">
        <v>956000</v>
      </c>
      <c r="Y214" s="84">
        <v>1032500</v>
      </c>
      <c r="Z214" s="84">
        <v>787600</v>
      </c>
      <c r="AA214" s="84">
        <v>692700</v>
      </c>
      <c r="AB214" s="84">
        <v>573300</v>
      </c>
      <c r="AC214" s="84">
        <v>821600</v>
      </c>
      <c r="AD214" s="84">
        <v>1269200</v>
      </c>
      <c r="AE214" s="84">
        <v>1475800</v>
      </c>
      <c r="AF214" s="84">
        <v>1880600</v>
      </c>
      <c r="AG214" s="84">
        <v>1440100</v>
      </c>
      <c r="AH214" s="84">
        <v>1713400</v>
      </c>
      <c r="AI214" s="84">
        <v>1749500</v>
      </c>
      <c r="AJ214" s="84">
        <v>1557800</v>
      </c>
      <c r="AK214" s="84">
        <v>1330100</v>
      </c>
      <c r="AL214" s="84">
        <v>996700</v>
      </c>
      <c r="AM214" s="84">
        <v>1204700</v>
      </c>
      <c r="AN214" s="84">
        <v>1344500</v>
      </c>
      <c r="AO214" s="84">
        <v>1505700</v>
      </c>
      <c r="AP214" s="84">
        <v>1943400</v>
      </c>
      <c r="AQ214" s="84">
        <v>2372800</v>
      </c>
      <c r="AR214" s="84">
        <v>1436000</v>
      </c>
      <c r="AS214" s="84">
        <v>1571100</v>
      </c>
      <c r="AT214" s="84">
        <v>3271700</v>
      </c>
      <c r="AU214" s="84">
        <v>1402800</v>
      </c>
      <c r="AV214" s="84">
        <v>1475100</v>
      </c>
      <c r="AW214" s="84">
        <v>1555200</v>
      </c>
      <c r="AX214" s="84">
        <v>1555200</v>
      </c>
      <c r="AY214" s="84">
        <v>1523600</v>
      </c>
      <c r="AZ214" s="84">
        <v>1249500</v>
      </c>
      <c r="BA214" s="84">
        <v>1396500</v>
      </c>
      <c r="BB214" s="84">
        <v>1578200</v>
      </c>
      <c r="BC214" s="84">
        <v>1958200</v>
      </c>
      <c r="BD214" s="84">
        <v>1730500</v>
      </c>
      <c r="BE214" s="84">
        <v>2671100</v>
      </c>
      <c r="BF214" s="84">
        <v>1792400</v>
      </c>
      <c r="BG214" s="84">
        <v>1174700</v>
      </c>
      <c r="BH214" s="84">
        <v>1252800</v>
      </c>
      <c r="BI214" s="84">
        <v>2028900</v>
      </c>
      <c r="BJ214" s="84">
        <v>2816500</v>
      </c>
      <c r="BK214" s="84">
        <v>2176400</v>
      </c>
      <c r="BL214" s="84">
        <v>1621300</v>
      </c>
      <c r="BM214" s="83">
        <v>1829200</v>
      </c>
      <c r="BN214" s="83">
        <v>2196200</v>
      </c>
      <c r="BO214" s="83">
        <v>2138600</v>
      </c>
      <c r="BP214" s="83">
        <v>1953700</v>
      </c>
    </row>
    <row r="215" spans="1:68" s="83" customFormat="1" ht="18.75" customHeight="1">
      <c r="A215" s="397" t="s">
        <v>421</v>
      </c>
      <c r="B215" s="83" t="s">
        <v>422</v>
      </c>
      <c r="C215" s="84" t="str">
        <f>_xll.RssMarket("6752","出来高")</f>
        <v/>
      </c>
      <c r="D215" s="85" t="e">
        <f t="shared" si="3"/>
        <v>#VALUE!</v>
      </c>
      <c r="E215" s="84">
        <v>11689200</v>
      </c>
      <c r="F215" s="84">
        <v>8823300</v>
      </c>
      <c r="G215" s="84">
        <v>13282000</v>
      </c>
      <c r="H215" s="84">
        <v>9452700</v>
      </c>
      <c r="I215" s="84">
        <v>9336700</v>
      </c>
      <c r="J215" s="84">
        <v>10477400</v>
      </c>
      <c r="K215" s="84">
        <v>13708200</v>
      </c>
      <c r="L215" s="84">
        <v>14299000</v>
      </c>
      <c r="M215" s="84">
        <v>11643300</v>
      </c>
      <c r="N215" s="84">
        <v>16061700</v>
      </c>
      <c r="O215" s="84">
        <v>18343300</v>
      </c>
      <c r="P215" s="84">
        <v>16448300</v>
      </c>
      <c r="Q215" s="84">
        <v>12658800</v>
      </c>
      <c r="R215" s="84">
        <v>17869700</v>
      </c>
      <c r="S215" s="84">
        <v>14190200</v>
      </c>
      <c r="T215" s="84">
        <v>16212100</v>
      </c>
      <c r="U215" s="84">
        <v>24122900</v>
      </c>
      <c r="V215" s="84">
        <v>12373700</v>
      </c>
      <c r="W215" s="84">
        <v>13849300</v>
      </c>
      <c r="X215" s="84">
        <v>16565200</v>
      </c>
      <c r="Y215" s="84">
        <v>14399900</v>
      </c>
      <c r="Z215" s="84">
        <v>12296100</v>
      </c>
      <c r="AA215" s="84">
        <v>12023600</v>
      </c>
      <c r="AB215" s="84">
        <v>16282100</v>
      </c>
      <c r="AC215" s="84">
        <v>9323500</v>
      </c>
      <c r="AD215" s="84">
        <v>14321600</v>
      </c>
      <c r="AE215" s="84">
        <v>13293300</v>
      </c>
      <c r="AF215" s="84">
        <v>10487900</v>
      </c>
      <c r="AG215" s="84">
        <v>13402400</v>
      </c>
      <c r="AH215" s="84">
        <v>16005500</v>
      </c>
      <c r="AI215" s="84">
        <v>11490500</v>
      </c>
      <c r="AJ215" s="84">
        <v>22141600</v>
      </c>
      <c r="AK215" s="84">
        <v>10582200</v>
      </c>
      <c r="AL215" s="84">
        <v>10089200</v>
      </c>
      <c r="AM215" s="84">
        <v>11042100</v>
      </c>
      <c r="AN215" s="84">
        <v>10734700</v>
      </c>
      <c r="AO215" s="84">
        <v>9240900</v>
      </c>
      <c r="AP215" s="84">
        <v>8845800</v>
      </c>
      <c r="AQ215" s="84">
        <v>6087000</v>
      </c>
      <c r="AR215" s="84">
        <v>7607300</v>
      </c>
      <c r="AS215" s="84">
        <v>14918100</v>
      </c>
      <c r="AT215" s="84">
        <v>13884900</v>
      </c>
      <c r="AU215" s="84">
        <v>14747200</v>
      </c>
      <c r="AV215" s="84">
        <v>11139600</v>
      </c>
      <c r="AW215" s="84">
        <v>11236300</v>
      </c>
      <c r="AX215" s="84">
        <v>11236300</v>
      </c>
      <c r="AY215" s="84">
        <v>11707600</v>
      </c>
      <c r="AZ215" s="84">
        <v>17088700</v>
      </c>
      <c r="BA215" s="84">
        <v>12213500</v>
      </c>
      <c r="BB215" s="84">
        <v>14720800</v>
      </c>
      <c r="BC215" s="84">
        <v>7892400</v>
      </c>
      <c r="BD215" s="84">
        <v>13460700</v>
      </c>
      <c r="BE215" s="84">
        <v>8440700</v>
      </c>
      <c r="BF215" s="84">
        <v>9092000</v>
      </c>
      <c r="BG215" s="84">
        <v>6724200</v>
      </c>
      <c r="BH215" s="84">
        <v>9019000</v>
      </c>
      <c r="BI215" s="84">
        <v>8048600</v>
      </c>
      <c r="BJ215" s="84">
        <v>8182500</v>
      </c>
      <c r="BK215" s="84">
        <v>8106200</v>
      </c>
      <c r="BL215" s="84">
        <v>7239700</v>
      </c>
      <c r="BM215" s="83">
        <v>8035400</v>
      </c>
      <c r="BN215" s="83">
        <v>5818900</v>
      </c>
      <c r="BO215" s="83">
        <v>9024600</v>
      </c>
      <c r="BP215" s="83">
        <v>11551100</v>
      </c>
    </row>
    <row r="216" spans="1:68" s="83" customFormat="1" ht="18.75" customHeight="1">
      <c r="A216" s="397" t="s">
        <v>423</v>
      </c>
      <c r="B216" s="83" t="s">
        <v>424</v>
      </c>
      <c r="C216" s="84" t="str">
        <f>_xll.RssMarket("6622","出来高")</f>
        <v/>
      </c>
      <c r="D216" s="85" t="e">
        <f t="shared" si="3"/>
        <v>#VALUE!</v>
      </c>
      <c r="E216" s="84">
        <v>475800</v>
      </c>
      <c r="F216" s="84">
        <v>177200</v>
      </c>
      <c r="G216" s="84">
        <v>280100</v>
      </c>
      <c r="H216" s="84">
        <v>186200</v>
      </c>
      <c r="I216" s="84">
        <v>229200</v>
      </c>
      <c r="J216" s="84">
        <v>217500</v>
      </c>
      <c r="K216" s="84">
        <v>481000</v>
      </c>
      <c r="L216" s="84">
        <v>268400</v>
      </c>
      <c r="M216" s="84">
        <v>200200</v>
      </c>
      <c r="N216" s="84">
        <v>219500</v>
      </c>
      <c r="O216" s="84">
        <v>277000</v>
      </c>
      <c r="P216" s="84">
        <v>147000</v>
      </c>
      <c r="Q216" s="84">
        <v>191600</v>
      </c>
      <c r="R216" s="84">
        <v>250600</v>
      </c>
      <c r="S216" s="84">
        <v>186700</v>
      </c>
      <c r="T216" s="84">
        <v>167400</v>
      </c>
      <c r="U216" s="84">
        <v>215900</v>
      </c>
      <c r="V216" s="84">
        <v>283200</v>
      </c>
      <c r="W216" s="84">
        <v>283800</v>
      </c>
      <c r="X216" s="84">
        <v>358200</v>
      </c>
      <c r="Y216" s="84">
        <v>510500</v>
      </c>
      <c r="Z216" s="84">
        <v>210700</v>
      </c>
      <c r="AA216" s="84">
        <v>185400</v>
      </c>
      <c r="AB216" s="84">
        <v>193400</v>
      </c>
      <c r="AC216" s="84">
        <v>221800</v>
      </c>
      <c r="AD216" s="84">
        <v>229700</v>
      </c>
      <c r="AE216" s="84">
        <v>395800</v>
      </c>
      <c r="AF216" s="84">
        <v>267200</v>
      </c>
      <c r="AG216" s="84">
        <v>186700</v>
      </c>
      <c r="AH216" s="84">
        <v>183800</v>
      </c>
      <c r="AI216" s="84">
        <v>245500</v>
      </c>
      <c r="AJ216" s="84">
        <v>240800</v>
      </c>
      <c r="AK216" s="84">
        <v>170400</v>
      </c>
      <c r="AL216" s="84">
        <v>172000</v>
      </c>
      <c r="AM216" s="84">
        <v>222600</v>
      </c>
      <c r="AN216" s="84">
        <v>198000</v>
      </c>
      <c r="AO216" s="84">
        <v>207100</v>
      </c>
      <c r="AP216" s="84">
        <v>275100</v>
      </c>
      <c r="AQ216" s="84">
        <v>231000</v>
      </c>
      <c r="AR216" s="84">
        <v>154600</v>
      </c>
      <c r="AS216" s="84">
        <v>237300</v>
      </c>
      <c r="AT216" s="84">
        <v>264100</v>
      </c>
      <c r="AU216" s="84">
        <v>268300</v>
      </c>
      <c r="AV216" s="84">
        <v>587900</v>
      </c>
      <c r="AW216" s="84">
        <v>423200</v>
      </c>
      <c r="AX216" s="84">
        <v>423200</v>
      </c>
      <c r="AY216" s="84">
        <v>272100</v>
      </c>
      <c r="AZ216" s="84">
        <v>423200</v>
      </c>
      <c r="BA216" s="84">
        <v>366200</v>
      </c>
      <c r="BB216" s="84">
        <v>378400</v>
      </c>
      <c r="BC216" s="84">
        <v>188900</v>
      </c>
      <c r="BD216" s="84">
        <v>314200</v>
      </c>
      <c r="BE216" s="84">
        <v>117300</v>
      </c>
      <c r="BF216" s="84">
        <v>152200</v>
      </c>
      <c r="BG216" s="84">
        <v>104600</v>
      </c>
      <c r="BH216" s="84">
        <v>76400</v>
      </c>
      <c r="BI216" s="84">
        <v>69900</v>
      </c>
      <c r="BJ216" s="84">
        <v>97100</v>
      </c>
      <c r="BK216" s="84">
        <v>141500</v>
      </c>
      <c r="BL216" s="84">
        <v>160200</v>
      </c>
      <c r="BM216" s="83">
        <v>160800</v>
      </c>
      <c r="BN216" s="83">
        <v>187300</v>
      </c>
      <c r="BO216" s="83">
        <v>234800</v>
      </c>
      <c r="BP216" s="83">
        <v>231000</v>
      </c>
    </row>
    <row r="217" spans="1:68" s="83" customFormat="1" ht="18.75" customHeight="1">
      <c r="A217" s="397" t="s">
        <v>425</v>
      </c>
      <c r="B217" s="83" t="s">
        <v>426</v>
      </c>
      <c r="C217" s="84" t="str">
        <f>_xll.RssMarket("1407","出来高")</f>
        <v/>
      </c>
      <c r="D217" s="85" t="e">
        <f t="shared" si="3"/>
        <v>#VALUE!</v>
      </c>
      <c r="E217" s="84">
        <v>1063300</v>
      </c>
      <c r="F217" s="84">
        <v>2288300</v>
      </c>
      <c r="G217" s="84">
        <v>588100</v>
      </c>
      <c r="H217" s="84">
        <v>547000</v>
      </c>
      <c r="I217" s="84">
        <v>789500</v>
      </c>
      <c r="J217" s="84">
        <v>277100</v>
      </c>
      <c r="K217" s="84">
        <v>327300</v>
      </c>
      <c r="L217" s="84">
        <v>463900</v>
      </c>
      <c r="M217" s="84">
        <v>358100</v>
      </c>
      <c r="N217" s="84">
        <v>261800</v>
      </c>
      <c r="O217" s="84">
        <v>446400</v>
      </c>
      <c r="P217" s="84">
        <v>340200</v>
      </c>
      <c r="Q217" s="84">
        <v>323400</v>
      </c>
      <c r="R217" s="84">
        <v>339200</v>
      </c>
      <c r="S217" s="84">
        <v>365400</v>
      </c>
      <c r="T217" s="84">
        <v>417400</v>
      </c>
      <c r="U217" s="84">
        <v>796700</v>
      </c>
      <c r="V217" s="84">
        <v>1153400</v>
      </c>
      <c r="W217" s="84">
        <v>373000</v>
      </c>
      <c r="X217" s="84">
        <v>545300</v>
      </c>
      <c r="Y217" s="84">
        <v>301300</v>
      </c>
      <c r="Z217" s="84">
        <v>332800</v>
      </c>
      <c r="AA217" s="84">
        <v>408800</v>
      </c>
      <c r="AB217" s="84">
        <v>450200</v>
      </c>
      <c r="AC217" s="84">
        <v>663600</v>
      </c>
      <c r="AD217" s="84">
        <v>639900</v>
      </c>
      <c r="AE217" s="84">
        <v>458000</v>
      </c>
      <c r="AF217" s="84">
        <v>735100</v>
      </c>
      <c r="AG217" s="84">
        <v>596600</v>
      </c>
      <c r="AH217" s="84">
        <v>632200</v>
      </c>
      <c r="AI217" s="84">
        <v>857000</v>
      </c>
      <c r="AJ217" s="84">
        <v>1122600</v>
      </c>
      <c r="AK217" s="84">
        <v>644200</v>
      </c>
      <c r="AL217" s="84">
        <v>661300</v>
      </c>
      <c r="AM217" s="84">
        <v>511800</v>
      </c>
      <c r="AN217" s="84">
        <v>733800</v>
      </c>
      <c r="AO217" s="84">
        <v>907200</v>
      </c>
      <c r="AP217" s="84">
        <v>794500</v>
      </c>
      <c r="AQ217" s="84">
        <v>684400</v>
      </c>
      <c r="AR217" s="84">
        <v>467800</v>
      </c>
      <c r="AS217" s="84">
        <v>609400</v>
      </c>
      <c r="AT217" s="84">
        <v>714300</v>
      </c>
      <c r="AU217" s="84">
        <v>694600</v>
      </c>
      <c r="AV217" s="84">
        <v>1153700</v>
      </c>
      <c r="AW217" s="84">
        <v>746600</v>
      </c>
      <c r="AX217" s="84">
        <v>746600</v>
      </c>
      <c r="AY217" s="84">
        <v>708400</v>
      </c>
      <c r="AZ217" s="84">
        <v>1297000</v>
      </c>
      <c r="BA217" s="84">
        <v>1520300</v>
      </c>
      <c r="BB217" s="84">
        <v>1548900</v>
      </c>
      <c r="BC217" s="84">
        <v>885400</v>
      </c>
      <c r="BD217" s="84">
        <v>1610400</v>
      </c>
      <c r="BE217" s="84">
        <v>1391900</v>
      </c>
      <c r="BF217" s="84">
        <v>1043700</v>
      </c>
      <c r="BG217" s="84">
        <v>549000</v>
      </c>
      <c r="BH217" s="84">
        <v>923400</v>
      </c>
      <c r="BI217" s="84">
        <v>996600</v>
      </c>
      <c r="BJ217" s="84">
        <v>1357400</v>
      </c>
      <c r="BK217" s="84">
        <v>1902000</v>
      </c>
      <c r="BL217" s="84">
        <v>2113400</v>
      </c>
      <c r="BM217" s="83">
        <v>1755400</v>
      </c>
      <c r="BN217" s="83">
        <v>750200</v>
      </c>
      <c r="BO217" s="83">
        <v>669900</v>
      </c>
      <c r="BP217" s="83">
        <v>395700</v>
      </c>
    </row>
    <row r="218" spans="1:68" s="83" customFormat="1" ht="18.75" customHeight="1">
      <c r="A218" s="397" t="s">
        <v>427</v>
      </c>
      <c r="B218" s="83" t="s">
        <v>428</v>
      </c>
      <c r="C218" s="84" t="str">
        <f>_xll.RssMarket("285A","出来高")</f>
        <v/>
      </c>
      <c r="D218" s="85" t="e">
        <f t="shared" si="3"/>
        <v>#VALUE!</v>
      </c>
      <c r="E218" s="84">
        <v>41502000</v>
      </c>
      <c r="F218" s="84">
        <v>37223200</v>
      </c>
      <c r="G218" s="84">
        <v>53216900</v>
      </c>
      <c r="H218" s="84">
        <v>48704800</v>
      </c>
      <c r="I218" s="84">
        <v>39973100</v>
      </c>
      <c r="J218" s="84">
        <v>40044800</v>
      </c>
      <c r="K218" s="84">
        <v>48348100</v>
      </c>
      <c r="L218" s="84">
        <v>46495000</v>
      </c>
      <c r="M218" s="84">
        <v>40153200</v>
      </c>
      <c r="N218" s="84">
        <v>56815500</v>
      </c>
      <c r="O218" s="84">
        <v>44758400</v>
      </c>
      <c r="P218" s="84">
        <v>29322300</v>
      </c>
      <c r="Q218" s="84">
        <v>36393600</v>
      </c>
      <c r="R218" s="84">
        <v>44715800</v>
      </c>
      <c r="S218" s="84">
        <v>43906600</v>
      </c>
      <c r="T218" s="84">
        <v>29128700</v>
      </c>
      <c r="U218" s="84">
        <v>50209300</v>
      </c>
      <c r="V218" s="84">
        <v>43844900</v>
      </c>
      <c r="W218" s="84">
        <v>23790200</v>
      </c>
      <c r="X218" s="84">
        <v>34871100</v>
      </c>
      <c r="Y218" s="84">
        <v>30706700</v>
      </c>
      <c r="Z218" s="84">
        <v>28043300</v>
      </c>
      <c r="AA218" s="84">
        <v>36218300</v>
      </c>
      <c r="AB218" s="84">
        <v>38142700</v>
      </c>
      <c r="AC218" s="84">
        <v>50578100</v>
      </c>
      <c r="AD218" s="84">
        <v>39377200</v>
      </c>
      <c r="AE218" s="84">
        <v>44666500</v>
      </c>
      <c r="AF218" s="84">
        <v>36522900</v>
      </c>
      <c r="AG218" s="84">
        <v>34757400</v>
      </c>
      <c r="AH218" s="84">
        <v>43609900</v>
      </c>
      <c r="AI218" s="84">
        <v>43759900</v>
      </c>
      <c r="AJ218" s="84">
        <v>42526500</v>
      </c>
      <c r="AK218" s="84">
        <v>41659000</v>
      </c>
      <c r="AL218" s="84">
        <v>44939300</v>
      </c>
      <c r="AM218" s="84">
        <v>38801400</v>
      </c>
      <c r="AN218" s="84">
        <v>25359700</v>
      </c>
      <c r="AO218" s="84">
        <v>55514600</v>
      </c>
      <c r="AP218" s="84">
        <v>31479300</v>
      </c>
      <c r="AQ218" s="84">
        <v>50094200</v>
      </c>
      <c r="AR218" s="84">
        <v>822500</v>
      </c>
      <c r="AS218" s="84">
        <v>37961800</v>
      </c>
      <c r="AT218" s="84">
        <v>47858500</v>
      </c>
      <c r="AU218" s="84">
        <v>29747400</v>
      </c>
      <c r="AV218" s="84">
        <v>28465500</v>
      </c>
      <c r="AW218" s="84">
        <v>38790300</v>
      </c>
      <c r="AX218" s="84">
        <v>38790300</v>
      </c>
      <c r="AY218" s="84">
        <v>41407500</v>
      </c>
      <c r="AZ218" s="84">
        <v>1272600</v>
      </c>
      <c r="BA218" s="84">
        <v>19165800</v>
      </c>
      <c r="BB218" s="84">
        <v>29168400</v>
      </c>
      <c r="BC218" s="84">
        <v>25822100</v>
      </c>
      <c r="BD218" s="84">
        <v>23623700</v>
      </c>
      <c r="BE218" s="84">
        <v>26027500</v>
      </c>
      <c r="BF218" s="84">
        <v>37506500</v>
      </c>
      <c r="BG218" s="84">
        <v>33385900</v>
      </c>
      <c r="BH218" s="84">
        <v>25308700</v>
      </c>
      <c r="BI218" s="84">
        <v>34333100</v>
      </c>
      <c r="BJ218" s="84">
        <v>43942400</v>
      </c>
      <c r="BK218" s="84">
        <v>46786500</v>
      </c>
      <c r="BL218" s="84">
        <v>40950200</v>
      </c>
      <c r="BM218" s="83">
        <v>46069600</v>
      </c>
      <c r="BN218" s="83">
        <v>34739200</v>
      </c>
      <c r="BO218" s="83">
        <v>46551200</v>
      </c>
      <c r="BP218" s="83">
        <v>46924600</v>
      </c>
    </row>
    <row r="219" spans="1:68" s="83" customFormat="1" ht="18.75" customHeight="1">
      <c r="A219" s="397" t="s">
        <v>429</v>
      </c>
      <c r="B219" s="83" t="s">
        <v>430</v>
      </c>
      <c r="C219" s="84" t="str">
        <f>_xll.RssMarket("141A","出来高")</f>
        <v/>
      </c>
      <c r="D219" s="85" t="e">
        <f t="shared" si="3"/>
        <v>#VALUE!</v>
      </c>
      <c r="E219" s="84">
        <v>731500</v>
      </c>
      <c r="F219" s="84">
        <v>330300</v>
      </c>
      <c r="G219" s="84">
        <v>473000</v>
      </c>
      <c r="H219" s="84">
        <v>838000</v>
      </c>
      <c r="I219" s="84">
        <v>370100</v>
      </c>
      <c r="J219" s="84">
        <v>423500</v>
      </c>
      <c r="K219" s="84">
        <v>923100</v>
      </c>
      <c r="L219" s="84">
        <v>1027000</v>
      </c>
      <c r="M219" s="84">
        <v>660900</v>
      </c>
      <c r="N219" s="84">
        <v>624800</v>
      </c>
      <c r="O219" s="84">
        <v>771900</v>
      </c>
      <c r="P219" s="84">
        <v>802900</v>
      </c>
      <c r="Q219" s="84">
        <v>671000</v>
      </c>
      <c r="R219" s="84">
        <v>700900</v>
      </c>
      <c r="S219" s="84">
        <v>843500</v>
      </c>
      <c r="T219" s="84">
        <v>2054500</v>
      </c>
      <c r="U219" s="84">
        <v>1854100</v>
      </c>
      <c r="V219" s="84">
        <v>667900</v>
      </c>
      <c r="W219" s="84">
        <v>561000</v>
      </c>
      <c r="X219" s="84">
        <v>644700</v>
      </c>
      <c r="Y219" s="84">
        <v>719200</v>
      </c>
      <c r="Z219" s="84">
        <v>725000</v>
      </c>
      <c r="AA219" s="84">
        <v>708300</v>
      </c>
      <c r="AB219" s="84">
        <v>789200</v>
      </c>
      <c r="AC219" s="84">
        <v>1139800</v>
      </c>
      <c r="AD219" s="84">
        <v>716100</v>
      </c>
      <c r="AE219" s="84">
        <v>948300</v>
      </c>
      <c r="AF219" s="84">
        <v>1158000</v>
      </c>
      <c r="AG219" s="84">
        <v>1114100</v>
      </c>
      <c r="AH219" s="84">
        <v>2080500</v>
      </c>
      <c r="AI219" s="84">
        <v>1351600</v>
      </c>
      <c r="AJ219" s="84">
        <v>1052700</v>
      </c>
      <c r="AK219" s="84">
        <v>2342800</v>
      </c>
      <c r="AL219" s="84">
        <v>3547100</v>
      </c>
      <c r="AM219" s="84">
        <v>2116700</v>
      </c>
      <c r="AN219" s="84">
        <v>1224100</v>
      </c>
      <c r="AO219" s="84">
        <v>2077000</v>
      </c>
      <c r="AP219" s="84">
        <v>2380200</v>
      </c>
      <c r="AQ219" s="84">
        <v>3530000</v>
      </c>
      <c r="AR219" s="84">
        <v>6921200</v>
      </c>
      <c r="AS219" s="84">
        <v>2195000</v>
      </c>
      <c r="AT219" s="84">
        <v>1118900</v>
      </c>
      <c r="AU219" s="84">
        <v>768600</v>
      </c>
      <c r="AV219" s="84">
        <v>863800</v>
      </c>
      <c r="AW219" s="84">
        <v>616500</v>
      </c>
      <c r="AX219" s="84">
        <v>715300</v>
      </c>
      <c r="AY219" s="84">
        <v>1285300</v>
      </c>
      <c r="AZ219" s="84">
        <v>658800</v>
      </c>
      <c r="BA219" s="84">
        <v>876900</v>
      </c>
      <c r="BB219" s="84">
        <v>861200</v>
      </c>
      <c r="BC219" s="84">
        <v>975700</v>
      </c>
      <c r="BD219" s="84">
        <v>1418800</v>
      </c>
      <c r="BE219" s="84">
        <v>1583300</v>
      </c>
      <c r="BF219" s="84">
        <v>742700</v>
      </c>
      <c r="BG219" s="84">
        <v>805400</v>
      </c>
      <c r="BH219" s="84">
        <v>696400</v>
      </c>
      <c r="BI219" s="84">
        <v>517800</v>
      </c>
      <c r="BJ219" s="84">
        <v>723500</v>
      </c>
      <c r="BK219" s="84">
        <v>703400</v>
      </c>
      <c r="BL219" s="84">
        <v>802600</v>
      </c>
      <c r="BM219" s="83">
        <v>1808700</v>
      </c>
      <c r="BN219" s="83">
        <v>1710600</v>
      </c>
      <c r="BO219" s="83">
        <v>1292200</v>
      </c>
      <c r="BP219" s="83">
        <v>1441400</v>
      </c>
    </row>
    <row r="220" spans="1:68" s="83" customFormat="1" ht="18.75" customHeight="1">
      <c r="A220" s="397" t="s">
        <v>431</v>
      </c>
      <c r="B220" s="83" t="s">
        <v>432</v>
      </c>
      <c r="C220" s="84" t="str">
        <f>_xll.RssMarket("464A","出来高")</f>
        <v/>
      </c>
      <c r="D220" s="85" t="e">
        <f t="shared" si="3"/>
        <v>#VALUE!</v>
      </c>
      <c r="E220" s="84">
        <v>2776400</v>
      </c>
      <c r="F220" s="84">
        <v>2237300</v>
      </c>
      <c r="G220" s="84">
        <v>1375300</v>
      </c>
      <c r="H220" s="84">
        <v>1283800</v>
      </c>
      <c r="I220" s="84">
        <v>848600</v>
      </c>
      <c r="J220" s="84">
        <v>1378700</v>
      </c>
      <c r="K220" s="84">
        <v>2121700</v>
      </c>
      <c r="L220" s="84">
        <v>1311100</v>
      </c>
      <c r="M220" s="84">
        <v>1372400</v>
      </c>
      <c r="N220" s="84">
        <v>1696900</v>
      </c>
      <c r="O220" s="84">
        <v>2522900</v>
      </c>
      <c r="P220" s="84">
        <v>1232500</v>
      </c>
      <c r="Q220" s="84">
        <v>1549500</v>
      </c>
      <c r="R220" s="84">
        <v>1730000</v>
      </c>
      <c r="S220" s="84">
        <v>2150600</v>
      </c>
      <c r="T220" s="84">
        <v>1653400</v>
      </c>
      <c r="U220" s="84">
        <v>1828500</v>
      </c>
      <c r="V220" s="84">
        <v>2661500</v>
      </c>
      <c r="W220" s="84">
        <v>1737000</v>
      </c>
      <c r="X220" s="84">
        <v>1497500</v>
      </c>
      <c r="Y220" s="84">
        <v>1841200</v>
      </c>
      <c r="Z220" s="84">
        <v>2611600</v>
      </c>
      <c r="AA220" s="84">
        <v>2807700</v>
      </c>
      <c r="AB220" s="84">
        <v>2837500</v>
      </c>
      <c r="AC220" s="84">
        <v>2251600</v>
      </c>
      <c r="AD220" s="84">
        <v>2352800</v>
      </c>
      <c r="AE220" s="84">
        <v>2974500</v>
      </c>
      <c r="AF220" s="84">
        <v>3751100</v>
      </c>
      <c r="AG220" s="84">
        <v>3895500</v>
      </c>
      <c r="AH220" s="84">
        <v>2733500</v>
      </c>
      <c r="AI220" s="84">
        <v>4760900</v>
      </c>
      <c r="AJ220" s="84">
        <v>4229900</v>
      </c>
      <c r="AK220" s="84">
        <v>3051500</v>
      </c>
      <c r="AL220" s="84">
        <v>3649100</v>
      </c>
      <c r="AM220" s="84">
        <v>3788800</v>
      </c>
      <c r="AN220" s="84">
        <v>3413500</v>
      </c>
      <c r="AO220" s="84">
        <v>1954800</v>
      </c>
      <c r="AP220" s="84">
        <v>2315600</v>
      </c>
      <c r="AQ220" s="84">
        <v>3505600</v>
      </c>
      <c r="AR220" s="84">
        <v>1295100</v>
      </c>
      <c r="AS220" s="84">
        <v>2389500</v>
      </c>
      <c r="AT220" s="84">
        <v>3181800</v>
      </c>
      <c r="AU220" s="84">
        <v>1943400</v>
      </c>
      <c r="AV220" s="84">
        <v>2640800</v>
      </c>
      <c r="AW220" s="84">
        <v>2663400</v>
      </c>
      <c r="AX220" s="84">
        <v>2663400</v>
      </c>
      <c r="AY220" s="84">
        <v>2611600</v>
      </c>
      <c r="AZ220" s="84">
        <v>1827800</v>
      </c>
      <c r="BA220" s="84">
        <v>1381400</v>
      </c>
      <c r="BB220" s="84">
        <v>1937800</v>
      </c>
      <c r="BC220" s="84">
        <v>1767500</v>
      </c>
      <c r="BD220" s="84">
        <v>1962000</v>
      </c>
      <c r="BE220" s="84">
        <v>2251800</v>
      </c>
      <c r="BF220" s="84">
        <v>2098400</v>
      </c>
      <c r="BG220" s="84">
        <v>2316600</v>
      </c>
      <c r="BH220" s="84">
        <v>2367700</v>
      </c>
      <c r="BI220" s="84">
        <v>2674500</v>
      </c>
      <c r="BJ220" s="84">
        <v>2059500</v>
      </c>
      <c r="BK220" s="84">
        <v>2197200</v>
      </c>
      <c r="BL220" s="84">
        <v>3758500</v>
      </c>
      <c r="BM220" s="83">
        <v>5579800</v>
      </c>
      <c r="BN220" s="83">
        <v>2936400</v>
      </c>
      <c r="BO220" s="83">
        <v>5242000</v>
      </c>
      <c r="BP220" s="83">
        <v>2572600</v>
      </c>
    </row>
    <row r="221" spans="1:68" s="83" customFormat="1" ht="18.75" customHeight="1">
      <c r="A221" s="397" t="s">
        <v>433</v>
      </c>
      <c r="B221" s="83" t="s">
        <v>434</v>
      </c>
      <c r="C221" s="84" t="str">
        <f>_xll.RssMarket("485A","出来高")</f>
        <v/>
      </c>
      <c r="D221" s="85" t="e">
        <f t="shared" si="3"/>
        <v>#VALUE!</v>
      </c>
      <c r="E221" s="84">
        <v>6510900</v>
      </c>
      <c r="F221" s="84">
        <v>11440800</v>
      </c>
      <c r="G221" s="84">
        <v>3156300</v>
      </c>
      <c r="H221" s="84">
        <v>6144200</v>
      </c>
      <c r="I221" s="84">
        <v>4748200</v>
      </c>
      <c r="J221" s="84">
        <v>5535800</v>
      </c>
      <c r="K221" s="84">
        <v>2768900</v>
      </c>
      <c r="L221" s="84">
        <v>3802500</v>
      </c>
      <c r="M221" s="84">
        <v>4151900</v>
      </c>
      <c r="N221" s="84">
        <v>4724700</v>
      </c>
      <c r="O221" s="84">
        <v>4390200</v>
      </c>
      <c r="P221" s="84">
        <v>3966900</v>
      </c>
      <c r="Q221" s="84">
        <v>3024000</v>
      </c>
      <c r="R221" s="84">
        <v>5046300</v>
      </c>
      <c r="S221" s="84">
        <v>9381600</v>
      </c>
      <c r="T221" s="84">
        <v>6823400</v>
      </c>
      <c r="U221" s="84">
        <v>7535900</v>
      </c>
      <c r="V221" s="84">
        <v>14866800</v>
      </c>
      <c r="W221" s="84">
        <v>13366400</v>
      </c>
      <c r="X221" s="84">
        <v>11664300</v>
      </c>
      <c r="Y221" s="84">
        <v>10288100</v>
      </c>
      <c r="Z221" s="84">
        <v>4976500</v>
      </c>
      <c r="AA221" s="84">
        <v>7038100</v>
      </c>
      <c r="AB221" s="84">
        <v>4709800</v>
      </c>
      <c r="AC221" s="84">
        <v>8061400</v>
      </c>
      <c r="AD221" s="84">
        <v>3233100</v>
      </c>
      <c r="AE221" s="84">
        <v>2515500</v>
      </c>
      <c r="AF221" s="84">
        <v>3931300</v>
      </c>
      <c r="AG221" s="84">
        <v>7197800</v>
      </c>
      <c r="AH221" s="84">
        <v>2356600</v>
      </c>
      <c r="AI221" s="84">
        <v>3070600</v>
      </c>
      <c r="AJ221" s="84">
        <v>3773900</v>
      </c>
      <c r="AK221" s="84">
        <v>2114400</v>
      </c>
      <c r="AL221" s="84">
        <v>519400</v>
      </c>
      <c r="AM221" s="84">
        <v>1235600</v>
      </c>
      <c r="AN221" s="84">
        <v>810100</v>
      </c>
      <c r="AO221" s="84">
        <v>1091000</v>
      </c>
      <c r="AP221" s="84">
        <v>1194100</v>
      </c>
      <c r="AQ221" s="84">
        <v>2322600</v>
      </c>
      <c r="AR221" s="84">
        <v>2731700</v>
      </c>
      <c r="AS221" s="84">
        <v>1745900</v>
      </c>
      <c r="AT221" s="84">
        <v>1423000</v>
      </c>
      <c r="AU221" s="84">
        <v>2313300</v>
      </c>
      <c r="AV221" s="84">
        <v>3988500</v>
      </c>
      <c r="AW221" s="84">
        <v>5217300</v>
      </c>
      <c r="AX221" s="84">
        <v>5217300</v>
      </c>
      <c r="AY221" s="84">
        <v>3054000</v>
      </c>
      <c r="AZ221" s="84">
        <v>2114400</v>
      </c>
      <c r="BA221" s="84">
        <v>3726000</v>
      </c>
      <c r="BB221" s="84">
        <v>2659200</v>
      </c>
      <c r="BC221" s="84">
        <v>2630500</v>
      </c>
      <c r="BD221" s="84">
        <v>2730800</v>
      </c>
      <c r="BE221" s="84">
        <v>2050900</v>
      </c>
      <c r="BF221" s="84">
        <v>1223800</v>
      </c>
      <c r="BG221" s="84">
        <v>1184800</v>
      </c>
      <c r="BH221" s="84">
        <v>956200</v>
      </c>
      <c r="BI221" s="84">
        <v>729500</v>
      </c>
      <c r="BJ221" s="84">
        <v>1457800</v>
      </c>
      <c r="BK221" s="84">
        <v>1565700</v>
      </c>
      <c r="BL221" s="84">
        <v>1090400</v>
      </c>
      <c r="BM221" s="83">
        <v>2159400</v>
      </c>
      <c r="BN221" s="83">
        <v>2708400</v>
      </c>
      <c r="BO221" s="83">
        <v>4614400</v>
      </c>
      <c r="BP221" s="83">
        <v>3903600</v>
      </c>
    </row>
    <row r="222" spans="1:68" s="83" customFormat="1" ht="18.75" customHeight="1">
      <c r="A222" s="397" t="s">
        <v>435</v>
      </c>
      <c r="B222" s="83" t="str">
        <f>銘柄管理!C222</f>
        <v/>
      </c>
      <c r="C222" s="84" t="str">
        <f>_xll.RssMarket("1570","出来高")</f>
        <v/>
      </c>
      <c r="D222" s="85" t="e">
        <f t="shared" si="3"/>
        <v>#VALUE!</v>
      </c>
      <c r="E222" s="84">
        <v>5785171</v>
      </c>
      <c r="F222" s="84">
        <v>2483889</v>
      </c>
      <c r="G222" s="84">
        <v>3193964</v>
      </c>
      <c r="H222" s="84">
        <v>3548099</v>
      </c>
      <c r="I222" s="84">
        <v>3151703</v>
      </c>
      <c r="J222" s="84">
        <v>2918345</v>
      </c>
      <c r="K222" s="84">
        <v>4345135</v>
      </c>
      <c r="L222" s="84">
        <v>3724712</v>
      </c>
      <c r="M222" s="84">
        <v>3237592</v>
      </c>
      <c r="N222" s="84">
        <v>4376198</v>
      </c>
      <c r="O222" s="84">
        <v>3546128</v>
      </c>
      <c r="P222" s="84">
        <v>3597173</v>
      </c>
      <c r="Q222" s="84">
        <v>3069049</v>
      </c>
      <c r="R222" s="84">
        <v>2895710</v>
      </c>
      <c r="S222" s="84">
        <v>4319608</v>
      </c>
      <c r="T222" s="84">
        <v>4696548</v>
      </c>
      <c r="U222" s="84">
        <v>4611043</v>
      </c>
      <c r="V222" s="84">
        <v>4573991</v>
      </c>
      <c r="W222" s="84">
        <v>4225193</v>
      </c>
      <c r="X222" s="84">
        <v>4000312</v>
      </c>
      <c r="Y222" s="84">
        <v>4327118</v>
      </c>
      <c r="Z222" s="84">
        <v>3531747</v>
      </c>
      <c r="AA222" s="84">
        <v>3727403</v>
      </c>
      <c r="AB222" s="84">
        <v>4334803</v>
      </c>
      <c r="AC222" s="84">
        <v>3628212</v>
      </c>
      <c r="AD222" s="84">
        <v>3611391</v>
      </c>
      <c r="AE222" s="84">
        <v>5626645</v>
      </c>
      <c r="AF222" s="84">
        <v>3457954</v>
      </c>
      <c r="AG222" s="84">
        <v>3110829</v>
      </c>
      <c r="AH222" s="84">
        <v>4783958</v>
      </c>
      <c r="AI222" s="84">
        <v>3756634</v>
      </c>
      <c r="AJ222" s="84">
        <v>3451225</v>
      </c>
      <c r="AK222" s="84">
        <v>3466505</v>
      </c>
      <c r="AL222" s="84">
        <v>3259131</v>
      </c>
      <c r="AM222" s="84">
        <v>4388850</v>
      </c>
      <c r="AN222" s="84">
        <v>3558512</v>
      </c>
      <c r="AO222" s="84">
        <v>3343225</v>
      </c>
      <c r="AP222" s="84">
        <v>4064774</v>
      </c>
      <c r="AQ222" s="84">
        <v>2741343</v>
      </c>
      <c r="AR222" s="84">
        <v>3636380</v>
      </c>
      <c r="AS222" s="84">
        <v>3845451</v>
      </c>
      <c r="AT222" s="84">
        <v>3399824</v>
      </c>
      <c r="AU222" s="84">
        <v>3004232</v>
      </c>
      <c r="AV222" s="84">
        <v>3193001</v>
      </c>
      <c r="AW222" s="84">
        <v>2909766</v>
      </c>
      <c r="AX222" s="84">
        <v>2909766</v>
      </c>
      <c r="AY222" s="84">
        <v>3474800</v>
      </c>
      <c r="AZ222" s="84">
        <v>5277286</v>
      </c>
      <c r="BA222" s="84">
        <v>2557450</v>
      </c>
      <c r="BB222" s="84">
        <v>3686395</v>
      </c>
      <c r="BC222" s="84">
        <v>3421994</v>
      </c>
      <c r="BD222" s="84">
        <v>4911486</v>
      </c>
      <c r="BE222" s="84">
        <v>3329257</v>
      </c>
      <c r="BF222" s="84">
        <v>4975193</v>
      </c>
      <c r="BG222" s="84">
        <v>3203745</v>
      </c>
      <c r="BH222" s="84">
        <v>3306574</v>
      </c>
      <c r="BI222" s="84">
        <v>2502653</v>
      </c>
      <c r="BJ222" s="84">
        <v>2842084</v>
      </c>
      <c r="BK222" s="84">
        <v>5218611</v>
      </c>
      <c r="BL222" s="84">
        <v>3257142</v>
      </c>
      <c r="BM222" s="83">
        <v>3780037</v>
      </c>
      <c r="BN222" s="83">
        <v>3041129</v>
      </c>
      <c r="BO222" s="83">
        <v>3912672</v>
      </c>
      <c r="BP222" s="83">
        <v>3622808</v>
      </c>
    </row>
    <row r="223" spans="1:68" s="83" customFormat="1" ht="18.75" customHeight="1">
      <c r="A223" s="397" t="s">
        <v>436</v>
      </c>
      <c r="B223" s="83" t="str">
        <f>銘柄管理!C223</f>
        <v/>
      </c>
      <c r="C223" s="84" t="str">
        <f>_xll.RssMarket("6135","出来高")</f>
        <v/>
      </c>
      <c r="D223" s="85" t="e">
        <f t="shared" si="3"/>
        <v>#VALUE!</v>
      </c>
      <c r="E223" s="84">
        <v>334200</v>
      </c>
      <c r="F223" s="83">
        <v>183100</v>
      </c>
      <c r="G223" s="83">
        <v>110800</v>
      </c>
      <c r="H223" s="83">
        <v>172600</v>
      </c>
      <c r="I223" s="83">
        <v>144200</v>
      </c>
      <c r="J223" s="83">
        <v>153200</v>
      </c>
      <c r="K223" s="83">
        <v>184300</v>
      </c>
      <c r="L223" s="83">
        <v>276000</v>
      </c>
      <c r="M223" s="83">
        <v>107700</v>
      </c>
      <c r="N223" s="83">
        <v>136300</v>
      </c>
      <c r="O223" s="83">
        <v>149300</v>
      </c>
      <c r="P223" s="83">
        <v>149600</v>
      </c>
      <c r="Q223" s="83">
        <v>99300</v>
      </c>
      <c r="R223" s="83">
        <v>162000</v>
      </c>
      <c r="S223" s="83">
        <v>223500</v>
      </c>
      <c r="T223" s="83">
        <v>541000</v>
      </c>
      <c r="U223" s="83">
        <v>116700</v>
      </c>
      <c r="V223" s="83">
        <v>95600</v>
      </c>
      <c r="W223" s="83">
        <v>64700</v>
      </c>
      <c r="X223" s="83">
        <v>168700</v>
      </c>
      <c r="Y223" s="83">
        <v>118500</v>
      </c>
      <c r="Z223" s="83">
        <v>117000</v>
      </c>
      <c r="AA223" s="83">
        <v>136300</v>
      </c>
      <c r="AB223" s="83">
        <v>190200</v>
      </c>
      <c r="AC223" s="83">
        <v>190000</v>
      </c>
      <c r="AD223" s="83">
        <v>267000</v>
      </c>
      <c r="AE223" s="83">
        <v>255500</v>
      </c>
      <c r="AF223" s="83">
        <v>313900</v>
      </c>
      <c r="AG223" s="83">
        <v>200400</v>
      </c>
      <c r="AH223" s="83">
        <v>141400</v>
      </c>
      <c r="AI223" s="83">
        <v>273100</v>
      </c>
      <c r="AJ223" s="83">
        <v>139700</v>
      </c>
      <c r="AK223" s="83">
        <v>209500</v>
      </c>
      <c r="AL223" s="83">
        <v>149500</v>
      </c>
      <c r="AM223" s="83">
        <v>187300</v>
      </c>
      <c r="AN223" s="83">
        <v>202600</v>
      </c>
      <c r="AO223" s="83">
        <v>164200</v>
      </c>
      <c r="AP223" s="83">
        <v>280800</v>
      </c>
      <c r="AQ223" s="83">
        <v>375700</v>
      </c>
      <c r="AR223" s="83">
        <v>219500</v>
      </c>
      <c r="AS223" s="83">
        <v>226400</v>
      </c>
      <c r="AT223" s="83">
        <v>597000</v>
      </c>
      <c r="AU223" s="83">
        <v>154700</v>
      </c>
      <c r="AV223" s="83">
        <v>196200</v>
      </c>
      <c r="AW223" s="83">
        <v>658600</v>
      </c>
      <c r="AX223" s="83">
        <v>745300</v>
      </c>
      <c r="AY223" s="83">
        <v>1015100</v>
      </c>
      <c r="AZ223" s="83">
        <v>671600</v>
      </c>
      <c r="BA223" s="83">
        <v>182700</v>
      </c>
      <c r="BB223" s="83">
        <v>231300</v>
      </c>
      <c r="BC223" s="83">
        <v>301100</v>
      </c>
      <c r="BD223" s="83">
        <v>982900</v>
      </c>
      <c r="BE223" s="83">
        <v>1918400</v>
      </c>
      <c r="BF223" s="83">
        <v>37200</v>
      </c>
      <c r="BG223" s="83">
        <v>58600</v>
      </c>
      <c r="BH223" s="83">
        <v>104900</v>
      </c>
      <c r="BI223" s="83">
        <v>87600</v>
      </c>
      <c r="BJ223" s="83">
        <v>43000</v>
      </c>
      <c r="BK223" s="83">
        <v>166700</v>
      </c>
      <c r="BL223" s="83">
        <v>81600</v>
      </c>
      <c r="BM223" s="83">
        <v>118000</v>
      </c>
      <c r="BN223" s="83">
        <v>126700</v>
      </c>
      <c r="BO223" s="83">
        <v>110800</v>
      </c>
      <c r="BP223" s="83">
        <v>108000</v>
      </c>
    </row>
    <row r="224" spans="1:68" s="83" customFormat="1" ht="18.75" customHeight="1">
      <c r="A224" s="397" t="s">
        <v>437</v>
      </c>
      <c r="B224" s="83" t="str">
        <f>銘柄管理!C224</f>
        <v/>
      </c>
      <c r="C224" s="84" t="str">
        <f>_xll.RssMarket("6055","出来高")</f>
        <v/>
      </c>
      <c r="D224" s="85" t="e">
        <f t="shared" si="3"/>
        <v>#VALUE!</v>
      </c>
      <c r="E224" s="84">
        <v>1072100</v>
      </c>
      <c r="F224" s="83">
        <v>671300</v>
      </c>
      <c r="G224" s="83">
        <v>1016700</v>
      </c>
      <c r="H224" s="83">
        <v>907600</v>
      </c>
      <c r="I224" s="83">
        <v>1186000</v>
      </c>
      <c r="J224" s="83">
        <v>907100</v>
      </c>
      <c r="K224" s="83">
        <v>1672500</v>
      </c>
      <c r="L224" s="83">
        <v>2493500</v>
      </c>
      <c r="M224" s="83">
        <v>754500</v>
      </c>
      <c r="N224" s="83">
        <v>1071300</v>
      </c>
      <c r="O224" s="83">
        <v>835000</v>
      </c>
      <c r="P224" s="83">
        <v>900800</v>
      </c>
      <c r="Q224" s="83">
        <v>749500</v>
      </c>
      <c r="R224" s="83">
        <v>913700</v>
      </c>
      <c r="S224" s="83">
        <v>1158300</v>
      </c>
      <c r="T224" s="83">
        <v>1250200</v>
      </c>
      <c r="U224" s="83">
        <v>1048900</v>
      </c>
      <c r="V224" s="83">
        <v>1411100</v>
      </c>
      <c r="W224" s="83">
        <v>1241500</v>
      </c>
      <c r="X224" s="83">
        <v>714600</v>
      </c>
      <c r="Y224" s="83">
        <v>853100</v>
      </c>
      <c r="Z224" s="83">
        <v>721200</v>
      </c>
      <c r="AA224" s="83">
        <v>1154700</v>
      </c>
      <c r="AB224" s="83">
        <v>937500</v>
      </c>
      <c r="AC224" s="83">
        <v>669700</v>
      </c>
      <c r="AD224" s="83">
        <v>935100</v>
      </c>
      <c r="AE224" s="83">
        <v>1110700</v>
      </c>
      <c r="AF224" s="83">
        <v>2016900</v>
      </c>
      <c r="AG224" s="83">
        <v>2493100</v>
      </c>
      <c r="AH224" s="83">
        <v>1079200</v>
      </c>
      <c r="AI224" s="83">
        <v>855600</v>
      </c>
      <c r="AJ224" s="83">
        <v>662600</v>
      </c>
      <c r="AK224" s="83">
        <v>655200</v>
      </c>
      <c r="AL224" s="83">
        <v>780400</v>
      </c>
      <c r="AM224" s="83">
        <v>939200</v>
      </c>
      <c r="AN224" s="83">
        <v>625300</v>
      </c>
      <c r="AO224" s="83">
        <v>715300</v>
      </c>
      <c r="AP224" s="83">
        <v>689100</v>
      </c>
      <c r="AQ224" s="83">
        <v>1158900</v>
      </c>
      <c r="AR224" s="83">
        <v>1183600</v>
      </c>
      <c r="AS224" s="83">
        <v>948300</v>
      </c>
      <c r="AT224" s="83">
        <v>1529800</v>
      </c>
      <c r="AU224" s="83">
        <v>1436600</v>
      </c>
      <c r="AV224" s="83">
        <v>1565800</v>
      </c>
      <c r="AW224" s="83">
        <v>1322900</v>
      </c>
      <c r="AX224" s="83">
        <v>841900</v>
      </c>
      <c r="AY224" s="83">
        <v>1164800</v>
      </c>
      <c r="AZ224" s="83">
        <v>467000</v>
      </c>
      <c r="BA224" s="83">
        <v>543900</v>
      </c>
      <c r="BB224" s="83">
        <v>630200</v>
      </c>
      <c r="BC224" s="83">
        <v>522900</v>
      </c>
      <c r="BD224" s="83">
        <v>449300</v>
      </c>
      <c r="BE224" s="83">
        <v>817600</v>
      </c>
      <c r="BF224" s="83">
        <v>359500</v>
      </c>
      <c r="BG224" s="83">
        <v>302500</v>
      </c>
      <c r="BH224" s="83">
        <v>402600</v>
      </c>
      <c r="BI224" s="83">
        <v>374100</v>
      </c>
      <c r="BJ224" s="83">
        <v>497500</v>
      </c>
      <c r="BK224" s="83">
        <v>677100</v>
      </c>
      <c r="BL224" s="83">
        <v>1025700</v>
      </c>
      <c r="BM224" s="83">
        <v>729900</v>
      </c>
      <c r="BN224" s="83">
        <v>712700</v>
      </c>
      <c r="BO224" s="83">
        <v>718600</v>
      </c>
      <c r="BP224" s="83">
        <v>946100</v>
      </c>
    </row>
    <row r="225" spans="1:68" s="83" customFormat="1" ht="18.75" customHeight="1">
      <c r="A225" s="397" t="s">
        <v>438</v>
      </c>
      <c r="B225" s="83" t="str">
        <f>銘柄管理!C225</f>
        <v/>
      </c>
      <c r="C225" s="83" t="str">
        <f>_xll.RssMarket("6862","出来高")</f>
        <v/>
      </c>
      <c r="D225" s="85" t="e">
        <f t="shared" si="3"/>
        <v>#VALUE!</v>
      </c>
      <c r="E225" s="84">
        <v>465600</v>
      </c>
      <c r="F225" s="83">
        <v>79600</v>
      </c>
      <c r="G225" s="83">
        <v>81300</v>
      </c>
      <c r="H225" s="83">
        <v>87800</v>
      </c>
      <c r="I225" s="83">
        <v>99900</v>
      </c>
      <c r="J225" s="83">
        <v>79900</v>
      </c>
      <c r="K225" s="83">
        <v>193500</v>
      </c>
      <c r="L225" s="83">
        <v>166800</v>
      </c>
      <c r="M225" s="83">
        <v>111000</v>
      </c>
      <c r="N225" s="83">
        <v>171500</v>
      </c>
      <c r="O225" s="83">
        <v>168300</v>
      </c>
      <c r="P225" s="83">
        <v>129600</v>
      </c>
      <c r="Q225" s="83">
        <v>135200</v>
      </c>
      <c r="R225" s="83">
        <v>252500</v>
      </c>
      <c r="S225" s="83">
        <v>297200</v>
      </c>
      <c r="T225" s="83">
        <v>506200</v>
      </c>
      <c r="U225" s="83">
        <v>379600</v>
      </c>
      <c r="V225" s="83">
        <v>711000</v>
      </c>
      <c r="W225" s="83">
        <v>1227300</v>
      </c>
      <c r="X225" s="83">
        <v>1402000</v>
      </c>
      <c r="Y225" s="83">
        <v>360000</v>
      </c>
      <c r="Z225" s="83">
        <v>393000</v>
      </c>
      <c r="AA225" s="83">
        <v>347400</v>
      </c>
      <c r="AB225" s="83">
        <v>215100</v>
      </c>
      <c r="AC225" s="83">
        <v>332900</v>
      </c>
      <c r="AD225" s="83">
        <v>508300</v>
      </c>
      <c r="AE225" s="83">
        <v>416000</v>
      </c>
      <c r="AF225" s="83">
        <v>273500</v>
      </c>
      <c r="AG225" s="83">
        <v>327400</v>
      </c>
      <c r="AH225" s="83">
        <v>399300</v>
      </c>
      <c r="AI225" s="83">
        <v>487400</v>
      </c>
      <c r="AJ225" s="83">
        <v>385200</v>
      </c>
      <c r="AK225" s="83">
        <v>551700</v>
      </c>
      <c r="AL225" s="83">
        <v>661900</v>
      </c>
      <c r="AM225" s="83">
        <v>534100</v>
      </c>
      <c r="AN225" s="83">
        <v>386300</v>
      </c>
      <c r="AO225" s="83">
        <v>607900</v>
      </c>
      <c r="AP225" s="83">
        <v>566000</v>
      </c>
      <c r="AQ225" s="83">
        <v>659200</v>
      </c>
      <c r="AR225" s="83">
        <v>671100</v>
      </c>
      <c r="AS225" s="83">
        <v>952900</v>
      </c>
      <c r="AT225" s="83">
        <v>2008500</v>
      </c>
      <c r="AU225" s="83">
        <v>45200</v>
      </c>
      <c r="AV225" s="83">
        <v>992200</v>
      </c>
      <c r="AW225" s="83">
        <v>1432200</v>
      </c>
      <c r="AX225" s="83">
        <v>914500</v>
      </c>
      <c r="AY225" s="83">
        <v>1237800</v>
      </c>
      <c r="AZ225" s="83">
        <v>825100</v>
      </c>
      <c r="BA225" s="83">
        <v>879400</v>
      </c>
      <c r="BB225" s="83">
        <v>321900</v>
      </c>
      <c r="BC225" s="83">
        <v>784400</v>
      </c>
      <c r="BD225" s="83">
        <v>441100</v>
      </c>
      <c r="BE225" s="83">
        <v>268500</v>
      </c>
      <c r="BF225" s="83">
        <v>267700</v>
      </c>
      <c r="BG225" s="83">
        <v>210100</v>
      </c>
      <c r="BH225" s="83">
        <v>491200</v>
      </c>
      <c r="BI225" s="83">
        <v>213700</v>
      </c>
      <c r="BJ225" s="83">
        <v>291500</v>
      </c>
      <c r="BK225" s="83">
        <v>714200</v>
      </c>
      <c r="BL225" s="83">
        <v>817000</v>
      </c>
      <c r="BM225" s="83">
        <v>464700</v>
      </c>
      <c r="BN225" s="83">
        <v>491400</v>
      </c>
      <c r="BO225" s="83">
        <v>643000</v>
      </c>
      <c r="BP225" s="83">
        <v>551600</v>
      </c>
    </row>
    <row r="226" spans="1:68" s="83" customFormat="1" ht="18.75" customHeight="1">
      <c r="A226" s="397" t="s">
        <v>439</v>
      </c>
      <c r="B226" s="83" t="str">
        <f>銘柄管理!C226</f>
        <v/>
      </c>
      <c r="C226" s="83" t="str">
        <f>_xll.RssMarket("2267","出来高")</f>
        <v/>
      </c>
      <c r="D226" s="85" t="e">
        <f t="shared" si="3"/>
        <v>#VALUE!</v>
      </c>
      <c r="E226" s="84">
        <v>1429400</v>
      </c>
      <c r="F226" s="83">
        <v>778200</v>
      </c>
      <c r="G226" s="83">
        <v>1684500</v>
      </c>
      <c r="H226" s="83">
        <v>819800</v>
      </c>
      <c r="I226" s="83">
        <v>815700</v>
      </c>
      <c r="J226" s="83">
        <v>940600</v>
      </c>
      <c r="K226" s="83">
        <v>1090600</v>
      </c>
      <c r="L226" s="83">
        <v>914900</v>
      </c>
      <c r="M226" s="83">
        <v>832000</v>
      </c>
      <c r="N226" s="83">
        <v>1042800</v>
      </c>
      <c r="O226" s="83">
        <v>941000</v>
      </c>
      <c r="P226" s="83">
        <v>853000</v>
      </c>
      <c r="Q226" s="83">
        <v>911500</v>
      </c>
      <c r="R226" s="83">
        <v>801100</v>
      </c>
      <c r="S226" s="83">
        <v>830000</v>
      </c>
      <c r="T226" s="83">
        <v>749600</v>
      </c>
      <c r="U226" s="83">
        <v>808600</v>
      </c>
      <c r="V226" s="83">
        <v>1013500</v>
      </c>
      <c r="W226" s="83">
        <v>946500</v>
      </c>
      <c r="X226" s="83">
        <v>1271400</v>
      </c>
      <c r="Y226" s="83">
        <v>1202300</v>
      </c>
      <c r="Z226" s="83">
        <v>1082900</v>
      </c>
      <c r="AA226" s="83">
        <v>889300</v>
      </c>
      <c r="AB226" s="83">
        <v>1450200</v>
      </c>
      <c r="AC226" s="83">
        <v>778400</v>
      </c>
      <c r="AD226" s="83">
        <v>1324200</v>
      </c>
      <c r="AE226" s="83">
        <v>1104100</v>
      </c>
      <c r="AF226" s="83">
        <v>1123400</v>
      </c>
      <c r="AG226" s="83">
        <v>1102200</v>
      </c>
      <c r="AH226" s="83">
        <v>800300</v>
      </c>
      <c r="AI226" s="83">
        <v>1387900</v>
      </c>
      <c r="AJ226" s="83">
        <v>1532600</v>
      </c>
      <c r="AK226" s="83">
        <v>1153700</v>
      </c>
      <c r="AL226" s="83">
        <v>1150600</v>
      </c>
      <c r="AM226" s="83">
        <v>1175800</v>
      </c>
      <c r="AN226" s="83">
        <v>1293600</v>
      </c>
      <c r="AO226" s="83">
        <v>831800</v>
      </c>
      <c r="AP226" s="83">
        <v>978600</v>
      </c>
      <c r="AQ226" s="83">
        <v>1137500</v>
      </c>
      <c r="AR226" s="83">
        <v>1387100</v>
      </c>
      <c r="AS226" s="83">
        <v>1514400</v>
      </c>
      <c r="AT226" s="83">
        <v>1391500</v>
      </c>
      <c r="AU226" s="83">
        <v>2639800</v>
      </c>
      <c r="AV226" s="83">
        <v>4652000</v>
      </c>
      <c r="AW226" s="83">
        <v>1974000</v>
      </c>
      <c r="AX226" s="83">
        <v>2212000</v>
      </c>
      <c r="AY226" s="83">
        <v>3267500</v>
      </c>
      <c r="AZ226" s="83">
        <v>9656600</v>
      </c>
      <c r="BA226" s="83">
        <v>1359900</v>
      </c>
      <c r="BB226" s="83">
        <v>1032200</v>
      </c>
      <c r="BC226" s="83">
        <v>1699000</v>
      </c>
      <c r="BD226" s="83">
        <v>10606000</v>
      </c>
      <c r="BE226" s="83">
        <v>1277800</v>
      </c>
      <c r="BF226" s="83">
        <v>1065000</v>
      </c>
      <c r="BG226" s="83">
        <v>811600</v>
      </c>
      <c r="BH226" s="83">
        <v>1165000</v>
      </c>
      <c r="BI226" s="83">
        <v>1042000</v>
      </c>
      <c r="BJ226" s="83">
        <v>1106400</v>
      </c>
      <c r="BK226" s="83">
        <v>1062100</v>
      </c>
      <c r="BL226" s="83">
        <v>837400</v>
      </c>
      <c r="BM226" s="83">
        <v>742700</v>
      </c>
      <c r="BN226" s="83">
        <v>1053100</v>
      </c>
      <c r="BO226" s="83">
        <v>1192500</v>
      </c>
      <c r="BP226" s="83">
        <v>2145800</v>
      </c>
    </row>
    <row r="227" spans="1:68" s="83" customFormat="1" ht="18.75" customHeight="1">
      <c r="A227" s="397" t="s">
        <v>440</v>
      </c>
      <c r="B227" s="83" t="str">
        <f>銘柄管理!C227</f>
        <v/>
      </c>
      <c r="C227" s="83" t="str">
        <f>_xll.RssMarket("1618","出来高")</f>
        <v/>
      </c>
      <c r="D227" s="85" t="e">
        <f t="shared" si="3"/>
        <v>#VALUE!</v>
      </c>
      <c r="E227" s="84">
        <v>1478</v>
      </c>
      <c r="F227" s="83">
        <v>1070</v>
      </c>
      <c r="G227" s="83">
        <v>1405</v>
      </c>
      <c r="H227" s="83">
        <v>1046</v>
      </c>
      <c r="I227" s="83">
        <v>362</v>
      </c>
      <c r="J227" s="83">
        <v>1362</v>
      </c>
      <c r="K227" s="83">
        <v>1695</v>
      </c>
      <c r="L227" s="83">
        <v>3332</v>
      </c>
      <c r="M227" s="83">
        <v>1302</v>
      </c>
      <c r="N227" s="83">
        <v>3366</v>
      </c>
      <c r="O227" s="83">
        <v>694</v>
      </c>
      <c r="P227" s="83">
        <v>449</v>
      </c>
      <c r="Q227" s="83">
        <v>620</v>
      </c>
      <c r="R227" s="83">
        <v>1130</v>
      </c>
      <c r="S227" s="83">
        <v>803</v>
      </c>
      <c r="T227" s="83">
        <v>976</v>
      </c>
      <c r="U227" s="83">
        <v>545</v>
      </c>
      <c r="V227" s="83">
        <v>1238</v>
      </c>
      <c r="W227" s="83">
        <v>577</v>
      </c>
      <c r="X227" s="83">
        <v>1087</v>
      </c>
      <c r="Y227" s="83">
        <v>639</v>
      </c>
      <c r="Z227" s="83">
        <v>968</v>
      </c>
      <c r="AA227" s="83">
        <v>2516</v>
      </c>
      <c r="AB227" s="83">
        <v>2989</v>
      </c>
      <c r="AC227" s="83">
        <v>1228</v>
      </c>
      <c r="AD227" s="83">
        <v>871</v>
      </c>
      <c r="AE227" s="83">
        <v>580</v>
      </c>
      <c r="AF227" s="83">
        <v>445</v>
      </c>
      <c r="AG227" s="83">
        <v>390</v>
      </c>
      <c r="AH227" s="83">
        <v>1200</v>
      </c>
      <c r="AI227" s="83">
        <v>1162</v>
      </c>
      <c r="AJ227" s="83">
        <v>1622</v>
      </c>
      <c r="AK227" s="83">
        <v>879</v>
      </c>
      <c r="AL227" s="83">
        <v>700</v>
      </c>
      <c r="AM227" s="83">
        <v>1831</v>
      </c>
      <c r="AN227" s="83">
        <v>685</v>
      </c>
      <c r="AO227" s="83">
        <v>2047</v>
      </c>
      <c r="AP227" s="83">
        <v>987</v>
      </c>
      <c r="AQ227" s="83">
        <v>1465</v>
      </c>
      <c r="AR227" s="83">
        <v>1336</v>
      </c>
      <c r="AS227" s="83">
        <v>1892</v>
      </c>
      <c r="AT227" s="83">
        <v>3278</v>
      </c>
      <c r="AU227" s="83">
        <v>3590</v>
      </c>
      <c r="AV227" s="83">
        <v>2844</v>
      </c>
      <c r="AW227" s="83">
        <v>2228</v>
      </c>
      <c r="AX227" s="83">
        <v>1558</v>
      </c>
      <c r="AY227" s="83">
        <v>4479</v>
      </c>
      <c r="AZ227" s="83">
        <v>1259</v>
      </c>
      <c r="BA227" s="83">
        <v>2215</v>
      </c>
      <c r="BB227" s="83">
        <v>2442</v>
      </c>
      <c r="BC227" s="83">
        <v>3201</v>
      </c>
      <c r="BD227" s="83">
        <v>2376</v>
      </c>
      <c r="BE227" s="83">
        <v>4246</v>
      </c>
      <c r="BF227" s="83">
        <v>2099</v>
      </c>
      <c r="BG227" s="83">
        <v>2321</v>
      </c>
      <c r="BH227" s="83">
        <v>3096</v>
      </c>
      <c r="BI227" s="83">
        <v>1987</v>
      </c>
      <c r="BJ227" s="83">
        <v>1577</v>
      </c>
      <c r="BK227" s="83">
        <v>1982</v>
      </c>
      <c r="BL227" s="83">
        <v>3528</v>
      </c>
      <c r="BM227" s="83">
        <v>6594</v>
      </c>
      <c r="BN227" s="83">
        <v>3631</v>
      </c>
      <c r="BO227" s="83">
        <v>5519</v>
      </c>
      <c r="BP227" s="83">
        <v>14348</v>
      </c>
    </row>
    <row r="228" spans="1:68" s="83" customFormat="1" ht="18.75" customHeight="1">
      <c r="A228" s="397" t="s">
        <v>441</v>
      </c>
      <c r="B228" s="83" t="str">
        <f>銘柄管理!C228</f>
        <v/>
      </c>
      <c r="C228" s="83" t="str">
        <f>_xll.RssMarket("3696","出来高")</f>
        <v/>
      </c>
      <c r="D228" s="85" t="e">
        <f t="shared" si="3"/>
        <v>#VALUE!</v>
      </c>
      <c r="E228" s="84">
        <v>112900</v>
      </c>
      <c r="F228" s="83">
        <v>71700</v>
      </c>
      <c r="G228" s="83">
        <v>95300</v>
      </c>
      <c r="H228" s="83">
        <v>75900</v>
      </c>
      <c r="I228" s="83">
        <v>98500</v>
      </c>
      <c r="J228" s="83">
        <v>141500</v>
      </c>
      <c r="K228" s="83">
        <v>288200</v>
      </c>
      <c r="L228" s="83">
        <v>138400</v>
      </c>
      <c r="M228" s="83">
        <v>133000</v>
      </c>
      <c r="N228" s="83">
        <v>186900</v>
      </c>
      <c r="O228" s="83">
        <v>309000</v>
      </c>
      <c r="P228" s="83">
        <v>307300</v>
      </c>
      <c r="Q228" s="83">
        <v>281100</v>
      </c>
      <c r="R228" s="83">
        <v>377800</v>
      </c>
      <c r="S228" s="83">
        <v>1383400</v>
      </c>
      <c r="T228" s="83">
        <v>90300</v>
      </c>
      <c r="U228" s="83">
        <v>104000</v>
      </c>
      <c r="V228" s="83">
        <v>109900</v>
      </c>
      <c r="W228" s="83">
        <v>107900</v>
      </c>
      <c r="X228" s="83">
        <v>144200</v>
      </c>
      <c r="Y228" s="83">
        <v>74800</v>
      </c>
      <c r="Z228" s="83">
        <v>80300</v>
      </c>
      <c r="AA228" s="83">
        <v>131400</v>
      </c>
      <c r="AB228" s="83">
        <v>167700</v>
      </c>
      <c r="AC228" s="83">
        <v>160500</v>
      </c>
      <c r="AD228" s="83">
        <v>148200</v>
      </c>
      <c r="AE228" s="83">
        <v>153700</v>
      </c>
      <c r="AF228" s="83">
        <v>155200</v>
      </c>
      <c r="AG228" s="83">
        <v>222100</v>
      </c>
      <c r="AH228" s="83">
        <v>261100</v>
      </c>
      <c r="AI228" s="83">
        <v>222500</v>
      </c>
      <c r="AJ228" s="83">
        <v>208300</v>
      </c>
      <c r="AK228" s="83">
        <v>205900</v>
      </c>
      <c r="AL228" s="83">
        <v>401500</v>
      </c>
      <c r="AM228" s="83">
        <v>210800</v>
      </c>
      <c r="AN228" s="83">
        <v>156000</v>
      </c>
      <c r="AO228" s="83">
        <v>123800</v>
      </c>
      <c r="AP228" s="83">
        <v>231600</v>
      </c>
      <c r="AQ228" s="83">
        <v>99800</v>
      </c>
      <c r="AR228" s="83">
        <v>184500</v>
      </c>
      <c r="AS228" s="83">
        <v>161100</v>
      </c>
      <c r="AT228" s="83">
        <v>139800</v>
      </c>
      <c r="AU228" s="83">
        <v>183300</v>
      </c>
      <c r="AV228" s="83">
        <v>863800</v>
      </c>
      <c r="AW228" s="83">
        <v>616500</v>
      </c>
      <c r="AX228" s="83">
        <v>715300</v>
      </c>
      <c r="AY228" s="83">
        <v>1285300</v>
      </c>
      <c r="AZ228" s="83">
        <v>658800</v>
      </c>
      <c r="BA228" s="83">
        <v>876900</v>
      </c>
      <c r="BB228" s="83">
        <v>861200</v>
      </c>
      <c r="BC228" s="83">
        <v>975700</v>
      </c>
      <c r="BD228" s="83">
        <v>1418800</v>
      </c>
      <c r="BE228" s="83">
        <v>1583300</v>
      </c>
      <c r="BF228" s="83">
        <v>742700</v>
      </c>
      <c r="BG228" s="83">
        <v>805400</v>
      </c>
      <c r="BH228" s="83">
        <v>696400</v>
      </c>
      <c r="BI228" s="83">
        <v>517800</v>
      </c>
      <c r="BJ228" s="83">
        <v>723500</v>
      </c>
      <c r="BK228" s="83">
        <v>703400</v>
      </c>
      <c r="BL228" s="83">
        <v>802600</v>
      </c>
      <c r="BM228" s="83">
        <v>1808700</v>
      </c>
      <c r="BN228" s="83">
        <v>1710600</v>
      </c>
      <c r="BO228" s="83">
        <v>1292200</v>
      </c>
      <c r="BP228" s="83">
        <v>1441400</v>
      </c>
    </row>
    <row r="229" spans="1:68" s="83" customFormat="1" ht="18.75" customHeight="1">
      <c r="A229" s="397" t="s">
        <v>442</v>
      </c>
      <c r="B229" s="83" t="str">
        <f>銘柄管理!C229</f>
        <v/>
      </c>
      <c r="C229" s="83" t="str">
        <f>_xll.RssMarket("4222","出来高")</f>
        <v/>
      </c>
      <c r="D229" s="85" t="e">
        <f t="shared" si="3"/>
        <v>#VALUE!</v>
      </c>
      <c r="E229" s="84">
        <v>383500</v>
      </c>
      <c r="F229" s="83">
        <v>197000</v>
      </c>
      <c r="G229" s="83">
        <v>147200</v>
      </c>
      <c r="H229" s="83">
        <v>194600</v>
      </c>
      <c r="I229" s="83">
        <v>145700</v>
      </c>
      <c r="J229" s="83">
        <v>112300</v>
      </c>
      <c r="K229" s="83">
        <v>214200</v>
      </c>
      <c r="L229" s="83">
        <v>171100</v>
      </c>
      <c r="M229" s="83">
        <v>146800</v>
      </c>
      <c r="N229" s="83">
        <v>141600</v>
      </c>
      <c r="O229" s="83">
        <v>240600</v>
      </c>
      <c r="P229" s="83">
        <v>82000</v>
      </c>
      <c r="Q229" s="83">
        <v>173700</v>
      </c>
      <c r="R229" s="83">
        <v>155900</v>
      </c>
      <c r="S229" s="83">
        <v>131300</v>
      </c>
      <c r="T229" s="83">
        <v>145700</v>
      </c>
      <c r="U229" s="83">
        <v>196100</v>
      </c>
      <c r="V229" s="83">
        <v>252300</v>
      </c>
      <c r="W229" s="83">
        <v>313700</v>
      </c>
      <c r="X229" s="83">
        <v>120500</v>
      </c>
      <c r="Y229" s="83">
        <v>243900</v>
      </c>
      <c r="Z229" s="83">
        <v>197200</v>
      </c>
      <c r="AA229" s="83">
        <v>198200</v>
      </c>
      <c r="AB229" s="83">
        <v>231600</v>
      </c>
      <c r="AC229" s="83">
        <v>298300</v>
      </c>
      <c r="AD229" s="83">
        <v>383600</v>
      </c>
      <c r="AE229" s="83">
        <v>255800</v>
      </c>
      <c r="AF229" s="83">
        <v>140800</v>
      </c>
      <c r="AG229" s="83">
        <v>153800</v>
      </c>
      <c r="AH229" s="83">
        <v>221400</v>
      </c>
      <c r="AI229" s="83">
        <v>356700</v>
      </c>
      <c r="AJ229" s="83">
        <v>147700</v>
      </c>
      <c r="AK229" s="83">
        <v>174100</v>
      </c>
      <c r="AL229" s="83">
        <v>248600</v>
      </c>
      <c r="AM229" s="83">
        <v>204600</v>
      </c>
      <c r="AN229" s="83">
        <v>309800</v>
      </c>
      <c r="AO229" s="83">
        <v>232500</v>
      </c>
      <c r="AP229" s="83">
        <v>535800</v>
      </c>
      <c r="AQ229" s="83">
        <v>502700</v>
      </c>
      <c r="AR229" s="83">
        <v>977600</v>
      </c>
      <c r="AS229" s="83">
        <v>1565300</v>
      </c>
      <c r="AT229" s="83">
        <v>501500</v>
      </c>
      <c r="AU229" s="83">
        <v>359500</v>
      </c>
      <c r="AV229" s="83">
        <v>1022100</v>
      </c>
      <c r="AW229" s="83">
        <v>466800</v>
      </c>
      <c r="AX229" s="83">
        <v>175000</v>
      </c>
      <c r="AY229" s="83">
        <v>217400</v>
      </c>
      <c r="AZ229" s="83">
        <v>213800</v>
      </c>
      <c r="BA229" s="83">
        <v>144800</v>
      </c>
      <c r="BB229" s="83">
        <v>195600</v>
      </c>
      <c r="BC229" s="83">
        <v>185400</v>
      </c>
      <c r="BD229" s="83">
        <v>280400</v>
      </c>
      <c r="BE229" s="83">
        <v>210000</v>
      </c>
      <c r="BF229" s="83">
        <v>271400</v>
      </c>
      <c r="BG229" s="83">
        <v>245900</v>
      </c>
      <c r="BH229" s="83">
        <v>364700</v>
      </c>
      <c r="BI229" s="83">
        <v>261400</v>
      </c>
      <c r="BJ229" s="83">
        <v>242300</v>
      </c>
      <c r="BK229" s="83">
        <v>349700</v>
      </c>
      <c r="BL229" s="83">
        <v>293000</v>
      </c>
      <c r="BM229" s="83">
        <v>160400</v>
      </c>
      <c r="BN229" s="83">
        <v>309300</v>
      </c>
      <c r="BO229" s="83">
        <v>339900</v>
      </c>
      <c r="BP229" s="83">
        <v>508500</v>
      </c>
    </row>
    <row r="230" spans="1:68" s="83" customFormat="1" ht="18.75" customHeight="1">
      <c r="A230" s="397" t="s">
        <v>443</v>
      </c>
      <c r="B230" s="83" t="str">
        <f>銘柄管理!C230</f>
        <v/>
      </c>
      <c r="C230" s="83" t="str">
        <f>_xll.RssMarket("3563","出来高")</f>
        <v/>
      </c>
      <c r="D230" s="85" t="e">
        <f t="shared" si="3"/>
        <v>#VALUE!</v>
      </c>
      <c r="E230" s="83">
        <v>2094100</v>
      </c>
      <c r="F230" s="83">
        <v>1967100</v>
      </c>
      <c r="G230" s="83">
        <v>2523700</v>
      </c>
      <c r="H230" s="83">
        <v>2613800</v>
      </c>
      <c r="I230" s="83">
        <v>1409900</v>
      </c>
      <c r="J230" s="83">
        <v>1808400</v>
      </c>
      <c r="K230" s="83">
        <v>3337900</v>
      </c>
      <c r="L230" s="83">
        <v>2597800</v>
      </c>
      <c r="M230" s="83">
        <v>1780200</v>
      </c>
      <c r="N230" s="83">
        <v>2498300</v>
      </c>
      <c r="O230" s="83">
        <v>2247400</v>
      </c>
      <c r="P230" s="83">
        <v>2418100</v>
      </c>
      <c r="Q230" s="83">
        <v>2391600</v>
      </c>
      <c r="R230" s="83">
        <v>1853400</v>
      </c>
      <c r="S230" s="83">
        <v>1395600</v>
      </c>
      <c r="T230" s="83">
        <v>1752000</v>
      </c>
      <c r="U230" s="83">
        <v>1466400</v>
      </c>
      <c r="V230" s="83">
        <v>1928500</v>
      </c>
      <c r="W230" s="83">
        <v>1214400</v>
      </c>
      <c r="X230" s="83">
        <v>1404600</v>
      </c>
      <c r="Y230" s="83">
        <v>2049500</v>
      </c>
      <c r="Z230" s="83">
        <v>1649700</v>
      </c>
      <c r="AA230" s="83">
        <v>1042900</v>
      </c>
      <c r="AB230" s="83">
        <v>846100</v>
      </c>
      <c r="AC230" s="83">
        <v>929800</v>
      </c>
      <c r="AD230" s="83">
        <v>770400</v>
      </c>
      <c r="AE230" s="83">
        <v>778600</v>
      </c>
      <c r="AF230" s="83">
        <v>1120500</v>
      </c>
      <c r="AG230" s="83">
        <v>2370200</v>
      </c>
      <c r="AH230" s="83">
        <v>651000</v>
      </c>
      <c r="AI230" s="83">
        <v>660500</v>
      </c>
      <c r="AJ230" s="83">
        <v>936700</v>
      </c>
      <c r="AK230" s="83">
        <v>750200</v>
      </c>
      <c r="AL230" s="83">
        <v>887900</v>
      </c>
      <c r="AM230" s="83">
        <v>1536000</v>
      </c>
      <c r="AN230" s="83">
        <v>689200</v>
      </c>
      <c r="AO230" s="83">
        <v>967200</v>
      </c>
      <c r="AP230" s="83">
        <v>738300</v>
      </c>
      <c r="AQ230" s="83">
        <v>1062000</v>
      </c>
      <c r="AR230" s="83">
        <v>659200</v>
      </c>
      <c r="AS230" s="83">
        <v>1007400</v>
      </c>
      <c r="AT230" s="83">
        <v>1263900</v>
      </c>
      <c r="AU230" s="83">
        <v>1268700</v>
      </c>
      <c r="AV230" s="83">
        <v>1427700</v>
      </c>
      <c r="AW230" s="83">
        <v>1794000</v>
      </c>
      <c r="AX230" s="83">
        <v>7912400</v>
      </c>
      <c r="AY230" s="83">
        <v>1914900</v>
      </c>
      <c r="AZ230" s="83">
        <v>795100</v>
      </c>
      <c r="BA230" s="83">
        <v>1044000</v>
      </c>
      <c r="BB230" s="83">
        <v>838100</v>
      </c>
      <c r="BC230" s="83">
        <v>700900</v>
      </c>
      <c r="BD230" s="83">
        <v>544300</v>
      </c>
      <c r="BE230" s="83">
        <v>593600</v>
      </c>
      <c r="BF230" s="83">
        <v>622100</v>
      </c>
      <c r="BG230" s="83">
        <v>592500</v>
      </c>
      <c r="BH230" s="83">
        <v>650300</v>
      </c>
      <c r="BI230" s="83">
        <v>821600</v>
      </c>
      <c r="BJ230" s="83">
        <v>499500</v>
      </c>
      <c r="BK230" s="83">
        <v>498500</v>
      </c>
      <c r="BL230" s="83">
        <v>517800</v>
      </c>
      <c r="BM230" s="83">
        <v>435300</v>
      </c>
      <c r="BN230" s="83">
        <v>796600</v>
      </c>
      <c r="BO230" s="83">
        <v>754700</v>
      </c>
      <c r="BP230" s="83">
        <v>793700</v>
      </c>
    </row>
    <row r="231" spans="1:68" s="83" customFormat="1" ht="18.75" customHeight="1">
      <c r="A231" s="397" t="s">
        <v>444</v>
      </c>
      <c r="B231" s="83" t="str">
        <f>銘柄管理!C231</f>
        <v/>
      </c>
      <c r="C231" s="83" t="str">
        <f>_xll.RssMarket("7013","出来高")</f>
        <v/>
      </c>
      <c r="D231" s="85" t="e">
        <f t="shared" si="3"/>
        <v>#VALUE!</v>
      </c>
      <c r="E231" s="83">
        <v>14372100</v>
      </c>
      <c r="F231" s="83">
        <v>10935500</v>
      </c>
      <c r="G231" s="83">
        <v>8653900</v>
      </c>
      <c r="H231" s="83">
        <v>13028600</v>
      </c>
      <c r="I231" s="83">
        <v>8812100</v>
      </c>
      <c r="J231" s="83">
        <v>11074300</v>
      </c>
      <c r="K231" s="83">
        <v>14543700</v>
      </c>
      <c r="L231" s="83">
        <v>18813600</v>
      </c>
      <c r="M231" s="83">
        <v>22035100</v>
      </c>
      <c r="N231" s="83">
        <v>13751600</v>
      </c>
      <c r="O231" s="83">
        <v>14849100</v>
      </c>
      <c r="P231" s="83">
        <v>12172300</v>
      </c>
      <c r="Q231" s="83">
        <v>11127200</v>
      </c>
      <c r="R231" s="83">
        <v>9232100</v>
      </c>
      <c r="S231" s="83">
        <v>10656000</v>
      </c>
      <c r="T231" s="83">
        <v>11688000</v>
      </c>
      <c r="U231" s="83">
        <v>14352000</v>
      </c>
      <c r="V231" s="83">
        <v>14681100</v>
      </c>
      <c r="W231" s="83">
        <v>9808800</v>
      </c>
      <c r="X231" s="83">
        <v>16515300</v>
      </c>
      <c r="Y231" s="83">
        <v>18210400</v>
      </c>
      <c r="Z231" s="83">
        <v>19151000</v>
      </c>
      <c r="AA231" s="83">
        <v>22736900</v>
      </c>
      <c r="AB231" s="83">
        <v>15452000</v>
      </c>
      <c r="AC231" s="83">
        <v>16053100</v>
      </c>
      <c r="AD231" s="83">
        <v>16867900</v>
      </c>
      <c r="AE231" s="83">
        <v>13512700</v>
      </c>
      <c r="AF231" s="83">
        <v>11346800</v>
      </c>
      <c r="AG231" s="83">
        <v>17891400</v>
      </c>
      <c r="AH231" s="83">
        <v>30379200</v>
      </c>
      <c r="AI231" s="83">
        <v>15719200</v>
      </c>
      <c r="AJ231" s="83">
        <v>15591900</v>
      </c>
      <c r="AK231" s="83">
        <v>15132300</v>
      </c>
      <c r="AL231" s="83">
        <v>17678100</v>
      </c>
      <c r="AM231" s="83">
        <v>14069300</v>
      </c>
      <c r="AN231" s="83">
        <v>19705900</v>
      </c>
      <c r="AO231" s="83">
        <v>21342900</v>
      </c>
      <c r="AP231" s="83">
        <v>19995200</v>
      </c>
      <c r="AQ231" s="83">
        <v>20962200</v>
      </c>
      <c r="AR231" s="83">
        <v>16221200</v>
      </c>
      <c r="AS231" s="83">
        <v>21303400</v>
      </c>
      <c r="AT231" s="83">
        <v>26350700</v>
      </c>
      <c r="AU231" s="83">
        <v>20584400</v>
      </c>
      <c r="AV231" s="83">
        <v>28393100</v>
      </c>
      <c r="AW231" s="83">
        <v>42420100</v>
      </c>
      <c r="AX231" s="83">
        <v>69373000</v>
      </c>
      <c r="AY231" s="83">
        <v>25106600</v>
      </c>
      <c r="AZ231" s="83">
        <v>15600000</v>
      </c>
      <c r="BA231" s="83">
        <v>21212200</v>
      </c>
      <c r="BB231" s="83">
        <v>18091200</v>
      </c>
      <c r="BC231" s="83">
        <v>21920300</v>
      </c>
      <c r="BD231" s="83">
        <v>14535100</v>
      </c>
      <c r="BE231" s="83">
        <v>16998300</v>
      </c>
      <c r="BF231" s="83">
        <v>21936800</v>
      </c>
      <c r="BG231" s="83">
        <v>15800100</v>
      </c>
      <c r="BH231" s="83">
        <v>12843400</v>
      </c>
      <c r="BI231" s="83">
        <v>15677700</v>
      </c>
      <c r="BJ231" s="83">
        <v>16676300</v>
      </c>
      <c r="BK231" s="83">
        <v>22129800</v>
      </c>
      <c r="BL231" s="83">
        <v>13505200</v>
      </c>
      <c r="BM231" s="83">
        <v>17170500</v>
      </c>
      <c r="BN231" s="83">
        <v>17523100</v>
      </c>
      <c r="BO231" s="83">
        <v>12722400</v>
      </c>
      <c r="BP231" s="83">
        <v>20673000</v>
      </c>
    </row>
    <row r="232" spans="1:68" s="83" customFormat="1" ht="18.75" customHeight="1">
      <c r="A232" s="397" t="s">
        <v>445</v>
      </c>
      <c r="B232" s="83" t="str">
        <f>銘柄管理!C232</f>
        <v/>
      </c>
      <c r="C232" s="83" t="str">
        <f>_xll.RssMarket("8793","出来高")</f>
        <v/>
      </c>
      <c r="D232" s="85" t="e">
        <f t="shared" si="3"/>
        <v>#VALUE!</v>
      </c>
      <c r="E232" s="83">
        <v>22400</v>
      </c>
      <c r="F232" s="83">
        <v>17100</v>
      </c>
      <c r="G232" s="83">
        <v>12000</v>
      </c>
      <c r="H232" s="83">
        <v>18800</v>
      </c>
      <c r="I232" s="83">
        <v>23000</v>
      </c>
      <c r="J232" s="83">
        <v>20500</v>
      </c>
      <c r="K232" s="83">
        <v>16700</v>
      </c>
      <c r="L232" s="83">
        <v>16300</v>
      </c>
      <c r="M232" s="83">
        <v>19500</v>
      </c>
      <c r="N232" s="83">
        <v>19400</v>
      </c>
      <c r="O232" s="83">
        <v>23300</v>
      </c>
      <c r="P232" s="83">
        <v>13300</v>
      </c>
      <c r="Q232" s="83">
        <v>18800</v>
      </c>
      <c r="R232" s="83">
        <v>34300</v>
      </c>
      <c r="S232" s="83">
        <v>21100</v>
      </c>
      <c r="T232" s="83">
        <v>15800</v>
      </c>
      <c r="U232" s="83">
        <v>16400</v>
      </c>
      <c r="V232" s="83">
        <v>16100</v>
      </c>
      <c r="W232" s="83">
        <v>15700</v>
      </c>
      <c r="X232" s="83">
        <v>22200</v>
      </c>
      <c r="Y232" s="83">
        <v>19200</v>
      </c>
      <c r="Z232" s="83">
        <v>14000</v>
      </c>
      <c r="AA232" s="83">
        <v>19600</v>
      </c>
      <c r="AB232" s="83">
        <v>39500</v>
      </c>
      <c r="AC232" s="83">
        <v>23300</v>
      </c>
      <c r="AD232" s="83">
        <v>38100</v>
      </c>
      <c r="AE232" s="83">
        <v>42400</v>
      </c>
      <c r="AF232" s="83">
        <v>31100</v>
      </c>
      <c r="AG232" s="83">
        <v>36600</v>
      </c>
      <c r="AH232" s="83">
        <v>26100</v>
      </c>
      <c r="AI232" s="83">
        <v>42900</v>
      </c>
      <c r="AJ232" s="83">
        <v>22400</v>
      </c>
      <c r="AK232" s="83">
        <v>34300</v>
      </c>
      <c r="AL232" s="83">
        <v>20600</v>
      </c>
      <c r="AM232" s="83">
        <v>26900</v>
      </c>
      <c r="AN232" s="83">
        <v>26400</v>
      </c>
      <c r="AO232" s="83">
        <v>39400</v>
      </c>
      <c r="AP232" s="83">
        <v>33700</v>
      </c>
      <c r="AQ232" s="83">
        <v>29500</v>
      </c>
      <c r="AR232" s="83">
        <v>36000</v>
      </c>
      <c r="AS232" s="83">
        <v>33700</v>
      </c>
      <c r="AT232" s="83">
        <v>27800</v>
      </c>
      <c r="AU232" s="83">
        <v>19400</v>
      </c>
      <c r="AV232" s="83">
        <v>21100</v>
      </c>
      <c r="AW232" s="83">
        <v>28000</v>
      </c>
      <c r="AX232" s="83">
        <v>26700</v>
      </c>
      <c r="AY232" s="83">
        <v>51500</v>
      </c>
      <c r="AZ232" s="83">
        <v>57700</v>
      </c>
      <c r="BA232" s="83">
        <v>116000</v>
      </c>
      <c r="BB232" s="83">
        <v>50300</v>
      </c>
      <c r="BC232" s="83">
        <v>25500</v>
      </c>
      <c r="BD232" s="83">
        <v>33300</v>
      </c>
      <c r="BE232" s="83">
        <v>18300</v>
      </c>
      <c r="BF232" s="83">
        <v>19100</v>
      </c>
      <c r="BG232" s="83">
        <v>21400</v>
      </c>
      <c r="BH232" s="83">
        <v>16300</v>
      </c>
      <c r="BI232" s="83">
        <v>17200</v>
      </c>
      <c r="BJ232" s="83">
        <v>26300</v>
      </c>
      <c r="BK232" s="83">
        <v>26400</v>
      </c>
      <c r="BL232" s="83">
        <v>20700</v>
      </c>
      <c r="BM232" s="83">
        <v>16700</v>
      </c>
      <c r="BN232" s="83">
        <v>21000</v>
      </c>
      <c r="BO232" s="83">
        <v>21200</v>
      </c>
      <c r="BP232" s="83">
        <v>23300</v>
      </c>
    </row>
    <row r="233" spans="1:68">
      <c r="A233" s="397" t="s">
        <v>446</v>
      </c>
      <c r="B233" s="1" t="str">
        <f>銘柄管理!C233</f>
        <v/>
      </c>
      <c r="C233" s="1" t="str">
        <f>_xll.RssMarket("9962","出来高")</f>
        <v/>
      </c>
      <c r="D233" s="85" t="e">
        <f t="shared" si="3"/>
        <v>#VALUE!</v>
      </c>
      <c r="E233" s="1">
        <v>1413000</v>
      </c>
      <c r="F233" s="1">
        <v>861600</v>
      </c>
      <c r="G233" s="1">
        <v>1220700</v>
      </c>
      <c r="H233" s="1">
        <v>1043500</v>
      </c>
      <c r="I233" s="1">
        <v>1313000</v>
      </c>
      <c r="J233" s="1">
        <v>1214800</v>
      </c>
      <c r="K233" s="1">
        <v>1824400</v>
      </c>
      <c r="L233" s="1">
        <v>871600</v>
      </c>
      <c r="M233" s="1">
        <v>742600</v>
      </c>
      <c r="N233" s="1">
        <v>1001800</v>
      </c>
      <c r="O233" s="1">
        <v>1373900</v>
      </c>
      <c r="P233" s="1">
        <v>1054000</v>
      </c>
      <c r="Q233" s="1">
        <v>1597400</v>
      </c>
      <c r="R233" s="1">
        <v>1775600</v>
      </c>
      <c r="S233" s="1">
        <v>2068300</v>
      </c>
      <c r="T233" s="1">
        <v>1102900</v>
      </c>
      <c r="U233" s="1">
        <v>1411800</v>
      </c>
      <c r="V233" s="1">
        <v>1012600</v>
      </c>
      <c r="W233" s="1">
        <v>1041900</v>
      </c>
      <c r="X233" s="1">
        <v>1476000</v>
      </c>
      <c r="Y233" s="1">
        <v>827800</v>
      </c>
      <c r="Z233" s="1">
        <v>969900</v>
      </c>
      <c r="AA233" s="1">
        <v>1520200</v>
      </c>
      <c r="AB233" s="1">
        <v>2025400</v>
      </c>
      <c r="AC233" s="1">
        <v>1165700</v>
      </c>
      <c r="AD233" s="1">
        <v>1682000</v>
      </c>
      <c r="AE233" s="1">
        <v>1667500</v>
      </c>
      <c r="AF233" s="1">
        <v>911300</v>
      </c>
      <c r="AG233" s="1">
        <v>1113100</v>
      </c>
      <c r="AH233" s="1">
        <v>1634000</v>
      </c>
      <c r="AI233" s="1">
        <v>1597000</v>
      </c>
      <c r="AJ233" s="1">
        <v>1677900</v>
      </c>
      <c r="AK233" s="1">
        <v>1603600</v>
      </c>
      <c r="AL233" s="1">
        <v>1484100</v>
      </c>
      <c r="AM233" s="1">
        <v>1260400</v>
      </c>
      <c r="AN233" s="1">
        <v>1692800</v>
      </c>
      <c r="AO233" s="1">
        <v>958000</v>
      </c>
      <c r="AP233" s="1">
        <v>1271300</v>
      </c>
      <c r="AQ233" s="1">
        <v>960500</v>
      </c>
      <c r="AR233" s="1">
        <v>1357400</v>
      </c>
      <c r="AS233" s="1">
        <v>1634000</v>
      </c>
      <c r="AT233" s="1">
        <v>1507500</v>
      </c>
      <c r="AU233" s="1">
        <v>1800900</v>
      </c>
      <c r="AV233" s="1">
        <v>1816000</v>
      </c>
      <c r="AW233" s="1">
        <v>2169000</v>
      </c>
      <c r="AX233" s="1">
        <v>2019000</v>
      </c>
      <c r="AY233" s="1">
        <v>3730100</v>
      </c>
      <c r="AZ233" s="1">
        <v>2736400</v>
      </c>
      <c r="BA233" s="1">
        <v>4346700</v>
      </c>
      <c r="BB233" s="1">
        <v>2452300</v>
      </c>
      <c r="BC233" s="1">
        <v>2863900</v>
      </c>
      <c r="BD233" s="1">
        <v>776100</v>
      </c>
      <c r="BE233" s="1">
        <v>1106400</v>
      </c>
      <c r="BF233" s="1">
        <v>927300</v>
      </c>
      <c r="BG233" s="1">
        <v>769300</v>
      </c>
      <c r="BH233" s="1">
        <v>1124200</v>
      </c>
      <c r="BI233" s="1">
        <v>1075300</v>
      </c>
      <c r="BJ233" s="1">
        <v>975700</v>
      </c>
      <c r="BK233" s="1">
        <v>1014100</v>
      </c>
      <c r="BL233" s="1">
        <v>776900</v>
      </c>
      <c r="BM233" s="1">
        <v>1125900</v>
      </c>
      <c r="BN233" s="1">
        <v>784000</v>
      </c>
      <c r="BO233" s="1">
        <v>1257800</v>
      </c>
      <c r="BP233" s="1">
        <v>1404600</v>
      </c>
    </row>
    <row r="234" spans="1:68">
      <c r="A234" s="397" t="s">
        <v>447</v>
      </c>
      <c r="B234" s="1" t="str">
        <f>銘柄管理!C234</f>
        <v/>
      </c>
      <c r="C234" s="1" t="str">
        <f>_xll.RssMarket("6762","出来高")</f>
        <v/>
      </c>
      <c r="D234" s="85" t="e">
        <f t="shared" si="3"/>
        <v>#VALUE!</v>
      </c>
      <c r="E234" s="1">
        <v>17751500</v>
      </c>
      <c r="F234" s="1">
        <v>8621900</v>
      </c>
      <c r="G234" s="1">
        <v>12888800</v>
      </c>
      <c r="H234" s="1">
        <v>13836900</v>
      </c>
      <c r="I234" s="1">
        <v>12263000</v>
      </c>
      <c r="J234" s="1">
        <v>10738400</v>
      </c>
      <c r="K234" s="1">
        <v>16252200</v>
      </c>
      <c r="L234" s="1">
        <v>15859800</v>
      </c>
      <c r="M234" s="1">
        <v>14040500</v>
      </c>
      <c r="N234" s="1">
        <v>11208700</v>
      </c>
      <c r="O234" s="1">
        <v>14570500</v>
      </c>
      <c r="P234" s="1">
        <v>15482900</v>
      </c>
      <c r="Q234" s="1">
        <v>14854000</v>
      </c>
      <c r="R234" s="1">
        <v>12141700</v>
      </c>
      <c r="S234" s="1">
        <v>18063900</v>
      </c>
      <c r="T234" s="1">
        <v>10937400</v>
      </c>
      <c r="U234" s="1">
        <v>14683100</v>
      </c>
      <c r="V234" s="1">
        <v>18739900</v>
      </c>
      <c r="W234" s="1">
        <v>14902600</v>
      </c>
      <c r="X234" s="1">
        <v>18006600</v>
      </c>
      <c r="Y234" s="1">
        <v>13359700</v>
      </c>
      <c r="Z234" s="1">
        <v>11642300</v>
      </c>
      <c r="AA234" s="1">
        <v>17479000</v>
      </c>
      <c r="AB234" s="1">
        <v>19550000</v>
      </c>
      <c r="AC234" s="1">
        <v>14430600</v>
      </c>
      <c r="AD234" s="1">
        <v>15871800</v>
      </c>
      <c r="AE234" s="1">
        <v>17890100</v>
      </c>
      <c r="AF234" s="1">
        <v>18532200</v>
      </c>
      <c r="AG234" s="1">
        <v>12099400</v>
      </c>
      <c r="AH234" s="1">
        <v>17825900</v>
      </c>
      <c r="AI234" s="1">
        <v>23686700</v>
      </c>
      <c r="AJ234" s="1">
        <v>28286900</v>
      </c>
      <c r="AK234" s="1">
        <v>24725800</v>
      </c>
      <c r="AL234" s="1">
        <v>15673600</v>
      </c>
      <c r="AM234" s="1">
        <v>20639200</v>
      </c>
      <c r="AN234" s="1">
        <v>14032900</v>
      </c>
      <c r="AO234" s="1">
        <v>11989200</v>
      </c>
      <c r="AP234" s="1">
        <v>11053200</v>
      </c>
      <c r="AQ234" s="1">
        <v>10503400</v>
      </c>
      <c r="AR234" s="1">
        <v>8178800</v>
      </c>
      <c r="AS234" s="1">
        <v>13723700</v>
      </c>
      <c r="AT234" s="1">
        <v>13646200</v>
      </c>
      <c r="AU234" s="1">
        <v>9120600</v>
      </c>
      <c r="AV234" s="1">
        <v>10967100</v>
      </c>
      <c r="AW234" s="1">
        <v>10494200</v>
      </c>
      <c r="AX234" s="1">
        <v>14299700</v>
      </c>
      <c r="AY234" s="1">
        <v>20251700</v>
      </c>
      <c r="AZ234" s="1">
        <v>14435800</v>
      </c>
      <c r="BA234" s="1">
        <v>33512200</v>
      </c>
      <c r="BB234" s="1">
        <v>14100800</v>
      </c>
      <c r="BC234" s="1">
        <v>14080800</v>
      </c>
      <c r="BD234" s="1">
        <v>13275300</v>
      </c>
      <c r="BE234" s="1">
        <v>12840800</v>
      </c>
      <c r="BF234" s="1">
        <v>17013700</v>
      </c>
      <c r="BG234" s="1">
        <v>10460000</v>
      </c>
      <c r="BH234" s="1">
        <v>14363800</v>
      </c>
      <c r="BI234" s="1">
        <v>21676400</v>
      </c>
      <c r="BJ234" s="1">
        <v>23937900</v>
      </c>
      <c r="BK234" s="1">
        <v>12784200</v>
      </c>
      <c r="BL234" s="1">
        <v>7334800</v>
      </c>
      <c r="BM234" s="1">
        <v>9500600</v>
      </c>
      <c r="BN234" s="1">
        <v>14723300</v>
      </c>
      <c r="BO234" s="1">
        <v>11463800</v>
      </c>
      <c r="BP234" s="1">
        <v>12947000</v>
      </c>
    </row>
    <row r="235" spans="1:68">
      <c r="A235" s="397" t="s">
        <v>448</v>
      </c>
      <c r="B235" s="1" t="str">
        <f>銘柄管理!C235</f>
        <v/>
      </c>
      <c r="C235" s="1" t="str">
        <f>_xll.RssMarket("4392","出来高")</f>
        <v/>
      </c>
      <c r="D235" s="85" t="e">
        <f t="shared" si="3"/>
        <v>#VALUE!</v>
      </c>
      <c r="E235" s="1">
        <v>1624400</v>
      </c>
      <c r="F235" s="1">
        <v>1788200</v>
      </c>
      <c r="G235" s="1">
        <v>689700</v>
      </c>
      <c r="H235" s="1">
        <v>1195200</v>
      </c>
      <c r="I235" s="1">
        <v>1073100</v>
      </c>
      <c r="J235" s="1">
        <v>939400</v>
      </c>
      <c r="K235" s="1">
        <v>954500</v>
      </c>
      <c r="L235" s="1">
        <v>892100</v>
      </c>
      <c r="M235" s="1">
        <v>1352400</v>
      </c>
      <c r="N235" s="1">
        <v>1002900</v>
      </c>
      <c r="O235" s="1">
        <v>977900</v>
      </c>
      <c r="P235" s="1">
        <v>1047500</v>
      </c>
      <c r="Q235" s="1">
        <v>1151000</v>
      </c>
      <c r="R235" s="1">
        <v>1016500</v>
      </c>
      <c r="S235" s="1">
        <v>1335400</v>
      </c>
      <c r="T235" s="1">
        <v>2141700</v>
      </c>
      <c r="U235" s="1">
        <v>2069600</v>
      </c>
      <c r="V235" s="1">
        <v>1465900</v>
      </c>
      <c r="W235" s="1">
        <v>3046700</v>
      </c>
      <c r="X235" s="1">
        <v>3014900</v>
      </c>
      <c r="Y235" s="1">
        <v>1816100</v>
      </c>
      <c r="Z235" s="1">
        <v>2463300</v>
      </c>
      <c r="AA235" s="1">
        <v>2611900</v>
      </c>
      <c r="AB235" s="1">
        <v>4106700</v>
      </c>
      <c r="AC235" s="1">
        <v>9416900</v>
      </c>
      <c r="AD235" s="1">
        <v>7369800</v>
      </c>
      <c r="AE235" s="1">
        <v>9059000</v>
      </c>
      <c r="AF235" s="1">
        <v>8577400</v>
      </c>
      <c r="AG235" s="1">
        <v>5238300</v>
      </c>
      <c r="AH235" s="1">
        <v>6133500</v>
      </c>
      <c r="AI235" s="1">
        <v>5097100</v>
      </c>
      <c r="AJ235" s="1">
        <v>12995800</v>
      </c>
      <c r="AK235" s="1">
        <v>15066400</v>
      </c>
      <c r="AL235" s="1">
        <v>30141100</v>
      </c>
      <c r="AM235" s="1">
        <v>2155600</v>
      </c>
      <c r="AN235" s="1">
        <v>16191700</v>
      </c>
      <c r="AO235" s="1">
        <v>10311300</v>
      </c>
      <c r="AP235" s="1">
        <v>40920100</v>
      </c>
      <c r="AQ235" s="1">
        <v>216000</v>
      </c>
      <c r="AR235" s="1">
        <v>155200</v>
      </c>
      <c r="AS235" s="1">
        <v>1215800</v>
      </c>
      <c r="AT235" s="1">
        <v>20723200</v>
      </c>
      <c r="AU235" s="1">
        <v>15030000</v>
      </c>
      <c r="AV235" s="1">
        <v>28146000</v>
      </c>
      <c r="AW235" s="1">
        <v>182900</v>
      </c>
      <c r="AX235" s="1">
        <v>263500</v>
      </c>
      <c r="AY235" s="1">
        <v>127800</v>
      </c>
      <c r="AZ235" s="1">
        <v>147800</v>
      </c>
      <c r="BA235" s="1">
        <v>251600</v>
      </c>
      <c r="BB235" s="1">
        <v>313500</v>
      </c>
      <c r="BC235" s="1">
        <v>386700</v>
      </c>
      <c r="BD235" s="1">
        <v>288200</v>
      </c>
      <c r="BE235" s="1">
        <v>560900</v>
      </c>
      <c r="BF235" s="1">
        <v>510000</v>
      </c>
      <c r="BG235" s="1">
        <v>617600</v>
      </c>
      <c r="BH235" s="1">
        <v>330300</v>
      </c>
      <c r="BI235" s="1">
        <v>64600</v>
      </c>
      <c r="BJ235" s="1">
        <v>120100</v>
      </c>
      <c r="BK235" s="1">
        <v>125300</v>
      </c>
      <c r="BL235" s="1">
        <v>88900</v>
      </c>
      <c r="BM235" s="1">
        <v>108200</v>
      </c>
      <c r="BN235" s="1">
        <v>114900</v>
      </c>
      <c r="BO235" s="1">
        <v>127400</v>
      </c>
      <c r="BP235" s="1">
        <v>182000</v>
      </c>
    </row>
    <row r="236" spans="1:68">
      <c r="A236" s="397" t="s">
        <v>449</v>
      </c>
      <c r="B236" s="1" t="str">
        <f>銘柄管理!C236</f>
        <v/>
      </c>
      <c r="C236" s="1" t="str">
        <f>_xll.RssMarket("8005","出来高")</f>
        <v/>
      </c>
      <c r="D236" s="85" t="e">
        <f t="shared" si="3"/>
        <v>#VALUE!</v>
      </c>
      <c r="E236" s="1">
        <v>166400</v>
      </c>
      <c r="F236" s="1">
        <v>131100</v>
      </c>
      <c r="G236" s="1">
        <v>129700</v>
      </c>
      <c r="H236" s="1">
        <v>193400</v>
      </c>
      <c r="I236" s="1">
        <v>124100</v>
      </c>
      <c r="J236" s="1">
        <v>164600</v>
      </c>
      <c r="K236" s="1">
        <v>160700</v>
      </c>
      <c r="L236" s="1">
        <v>123800</v>
      </c>
      <c r="M236" s="1">
        <v>188200</v>
      </c>
      <c r="N236" s="1">
        <v>293600</v>
      </c>
      <c r="O236" s="1">
        <v>142500</v>
      </c>
      <c r="P236" s="1">
        <v>215200</v>
      </c>
      <c r="Q236" s="1">
        <v>196100</v>
      </c>
      <c r="R236" s="1">
        <v>167400</v>
      </c>
      <c r="S236" s="1">
        <v>97700</v>
      </c>
      <c r="T236" s="1">
        <v>132100</v>
      </c>
      <c r="U236" s="1">
        <v>146100</v>
      </c>
      <c r="V236" s="1">
        <v>160700</v>
      </c>
      <c r="W236" s="1">
        <v>156300</v>
      </c>
      <c r="X236" s="1">
        <v>145900</v>
      </c>
      <c r="Y236" s="1">
        <v>196800</v>
      </c>
      <c r="Z236" s="1">
        <v>199300</v>
      </c>
      <c r="AA236" s="1">
        <v>216400</v>
      </c>
      <c r="AB236" s="1">
        <v>222700</v>
      </c>
      <c r="AC236" s="1">
        <v>168300</v>
      </c>
      <c r="AD236" s="1">
        <v>288200</v>
      </c>
      <c r="AE236" s="1">
        <v>217500</v>
      </c>
      <c r="AF236" s="1">
        <v>152600</v>
      </c>
      <c r="AG236" s="1">
        <v>180300</v>
      </c>
      <c r="AH236" s="1">
        <v>203800</v>
      </c>
      <c r="AI236" s="1">
        <v>297000</v>
      </c>
      <c r="AJ236" s="1">
        <v>267400</v>
      </c>
      <c r="AK236" s="1">
        <v>198700</v>
      </c>
      <c r="AL236" s="1">
        <v>172800</v>
      </c>
      <c r="AM236" s="1">
        <v>199100</v>
      </c>
      <c r="AN236" s="1">
        <v>135600</v>
      </c>
      <c r="AO236" s="1">
        <v>187200</v>
      </c>
      <c r="AP236" s="1">
        <v>318400</v>
      </c>
      <c r="AQ236" s="1">
        <v>285900</v>
      </c>
      <c r="AR236" s="1">
        <v>402300</v>
      </c>
      <c r="AS236" s="1">
        <v>337000</v>
      </c>
      <c r="AT236" s="1">
        <v>263000</v>
      </c>
      <c r="AU236" s="1">
        <v>425400</v>
      </c>
      <c r="AV236" s="1">
        <v>677500</v>
      </c>
      <c r="AW236" s="1">
        <v>1515500</v>
      </c>
      <c r="AX236" s="1">
        <v>106100</v>
      </c>
      <c r="AY236" s="1">
        <v>182500</v>
      </c>
      <c r="AZ236" s="1">
        <v>150600</v>
      </c>
      <c r="BA236" s="1">
        <v>96900</v>
      </c>
      <c r="BB236" s="1">
        <v>135500</v>
      </c>
      <c r="BC236" s="1">
        <v>75700</v>
      </c>
      <c r="BD236" s="1">
        <v>72600</v>
      </c>
      <c r="BE236" s="1">
        <v>76800</v>
      </c>
      <c r="BF236" s="1">
        <v>70100</v>
      </c>
      <c r="BG236" s="1">
        <v>78800</v>
      </c>
      <c r="BH236" s="1">
        <v>64800</v>
      </c>
      <c r="BI236" s="1">
        <v>66100</v>
      </c>
      <c r="BJ236" s="1">
        <v>105100</v>
      </c>
      <c r="BK236" s="1">
        <v>102300</v>
      </c>
      <c r="BL236" s="1">
        <v>88800</v>
      </c>
      <c r="BM236" s="1">
        <v>82100</v>
      </c>
      <c r="BN236" s="1">
        <v>109200</v>
      </c>
      <c r="BO236" s="1">
        <v>84300</v>
      </c>
      <c r="BP236" s="1">
        <v>79400</v>
      </c>
    </row>
    <row r="237" spans="1:68">
      <c r="A237" s="397" t="s">
        <v>450</v>
      </c>
      <c r="B237" s="1" t="str">
        <f>銘柄管理!C237</f>
        <v/>
      </c>
      <c r="C237" s="1" t="str">
        <f>_xll.RssMarket("2326","出来高")</f>
        <v/>
      </c>
      <c r="D237" s="85" t="e">
        <f t="shared" si="3"/>
        <v>#VALUE!</v>
      </c>
      <c r="E237" s="1">
        <v>957900</v>
      </c>
      <c r="F237" s="1">
        <v>129400</v>
      </c>
      <c r="G237" s="1">
        <v>134400</v>
      </c>
      <c r="H237" s="1">
        <v>152400</v>
      </c>
      <c r="I237" s="1">
        <v>102800</v>
      </c>
      <c r="J237" s="1">
        <v>81700</v>
      </c>
      <c r="K237" s="1">
        <v>96900</v>
      </c>
      <c r="L237" s="1">
        <v>97800</v>
      </c>
      <c r="M237" s="1">
        <v>83500</v>
      </c>
      <c r="N237" s="1">
        <v>116000</v>
      </c>
      <c r="O237" s="1">
        <v>139100</v>
      </c>
      <c r="P237" s="1">
        <v>119000</v>
      </c>
      <c r="Q237" s="1">
        <v>103000</v>
      </c>
      <c r="R237" s="1">
        <v>156700</v>
      </c>
      <c r="S237" s="1">
        <v>148200</v>
      </c>
      <c r="T237" s="1">
        <v>120800</v>
      </c>
      <c r="U237" s="1">
        <v>163400</v>
      </c>
      <c r="V237" s="1">
        <v>125400</v>
      </c>
      <c r="W237" s="1">
        <v>177700</v>
      </c>
      <c r="X237" s="1">
        <v>324800</v>
      </c>
      <c r="Y237" s="1">
        <v>126000</v>
      </c>
      <c r="Z237" s="1">
        <v>139200</v>
      </c>
      <c r="AA237" s="1">
        <v>143900</v>
      </c>
      <c r="AB237" s="1">
        <v>206000</v>
      </c>
      <c r="AC237" s="1">
        <v>136600</v>
      </c>
      <c r="AD237" s="1">
        <v>195000</v>
      </c>
      <c r="AE237" s="1">
        <v>168400</v>
      </c>
      <c r="AF237" s="1">
        <v>190300</v>
      </c>
      <c r="AG237" s="1">
        <v>177400</v>
      </c>
      <c r="AH237" s="1">
        <v>357900</v>
      </c>
      <c r="AI237" s="1">
        <v>362100</v>
      </c>
      <c r="AJ237" s="1">
        <v>564300</v>
      </c>
      <c r="AK237" s="1">
        <v>196100</v>
      </c>
      <c r="AL237" s="1">
        <v>176100</v>
      </c>
      <c r="AM237" s="1">
        <v>165900</v>
      </c>
      <c r="AN237" s="1">
        <v>234000</v>
      </c>
      <c r="AO237" s="1">
        <v>159400</v>
      </c>
      <c r="AP237" s="1">
        <v>201000</v>
      </c>
      <c r="AQ237" s="1">
        <v>260000</v>
      </c>
      <c r="AR237" s="1">
        <v>345800</v>
      </c>
      <c r="AS237" s="1">
        <v>376800</v>
      </c>
      <c r="AT237" s="1">
        <v>306200</v>
      </c>
      <c r="AU237" s="1">
        <v>343500</v>
      </c>
      <c r="AV237" s="1">
        <v>620400</v>
      </c>
      <c r="AW237" s="1">
        <v>1083200</v>
      </c>
      <c r="AX237" s="1">
        <v>61200</v>
      </c>
      <c r="AY237" s="1">
        <v>317100</v>
      </c>
      <c r="AZ237" s="1">
        <v>94100</v>
      </c>
      <c r="BA237" s="1">
        <v>98300</v>
      </c>
      <c r="BB237" s="1">
        <v>73700</v>
      </c>
      <c r="BC237" s="1">
        <v>158400</v>
      </c>
      <c r="BD237" s="1">
        <v>84400</v>
      </c>
      <c r="BE237" s="1">
        <v>146700</v>
      </c>
      <c r="BF237" s="1">
        <v>141200</v>
      </c>
      <c r="BG237" s="1">
        <v>90800</v>
      </c>
      <c r="BH237" s="1">
        <v>146800</v>
      </c>
      <c r="BI237" s="1">
        <v>157700</v>
      </c>
      <c r="BJ237" s="1">
        <v>113100</v>
      </c>
      <c r="BK237" s="1">
        <v>85500</v>
      </c>
      <c r="BL237" s="1">
        <v>90200</v>
      </c>
      <c r="BM237" s="1">
        <v>106500</v>
      </c>
      <c r="BN237" s="1">
        <v>107900</v>
      </c>
      <c r="BO237" s="1">
        <v>71300</v>
      </c>
      <c r="BP237" s="1">
        <v>108500</v>
      </c>
    </row>
    <row r="238" spans="1:68">
      <c r="A238" s="397" t="s">
        <v>451</v>
      </c>
      <c r="B238" s="1" t="str">
        <f>銘柄管理!C238</f>
        <v/>
      </c>
      <c r="C238" s="1" t="str">
        <f>_xll.RssMarket("6809","出来高")</f>
        <v/>
      </c>
      <c r="D238" s="85" t="e">
        <f t="shared" si="3"/>
        <v>#VALUE!</v>
      </c>
      <c r="E238" s="1">
        <v>77100</v>
      </c>
      <c r="F238" s="1">
        <v>62000</v>
      </c>
      <c r="G238" s="1">
        <v>60200</v>
      </c>
      <c r="H238" s="1">
        <v>66100</v>
      </c>
      <c r="I238" s="1">
        <v>58700</v>
      </c>
      <c r="J238" s="1">
        <v>83100</v>
      </c>
      <c r="K238" s="1">
        <v>53500</v>
      </c>
      <c r="L238" s="1">
        <v>83900</v>
      </c>
      <c r="M238" s="1">
        <v>89100</v>
      </c>
      <c r="N238" s="1">
        <v>95600</v>
      </c>
      <c r="O238" s="1">
        <v>83200</v>
      </c>
      <c r="P238" s="1">
        <v>89000</v>
      </c>
      <c r="Q238" s="1">
        <v>77200</v>
      </c>
      <c r="R238" s="1">
        <v>118400</v>
      </c>
      <c r="S238" s="1">
        <v>68700</v>
      </c>
      <c r="T238" s="1">
        <v>70000</v>
      </c>
      <c r="U238" s="1">
        <v>87900</v>
      </c>
      <c r="V238" s="1">
        <v>55600</v>
      </c>
      <c r="W238" s="1">
        <v>65500</v>
      </c>
      <c r="X238" s="1">
        <v>108000</v>
      </c>
      <c r="Y238" s="1">
        <v>63000</v>
      </c>
      <c r="Z238" s="1">
        <v>78500</v>
      </c>
      <c r="AA238" s="1">
        <v>68400</v>
      </c>
      <c r="AB238" s="1">
        <v>90100</v>
      </c>
      <c r="AC238" s="1">
        <v>79200</v>
      </c>
      <c r="AD238" s="1">
        <v>103700</v>
      </c>
      <c r="AE238" s="1">
        <v>112300</v>
      </c>
      <c r="AF238" s="1">
        <v>97600</v>
      </c>
      <c r="AG238" s="1">
        <v>80500</v>
      </c>
      <c r="AH238" s="1">
        <v>134700</v>
      </c>
      <c r="AI238" s="1">
        <v>135400</v>
      </c>
      <c r="AJ238" s="1">
        <v>118100</v>
      </c>
      <c r="AK238" s="1">
        <v>183400</v>
      </c>
      <c r="AL238" s="1">
        <v>134700</v>
      </c>
      <c r="AM238" s="1">
        <v>118700</v>
      </c>
      <c r="AN238" s="1">
        <v>170100</v>
      </c>
      <c r="AO238" s="1">
        <v>153500</v>
      </c>
      <c r="AP238" s="1">
        <v>295600</v>
      </c>
      <c r="AQ238" s="1">
        <v>112500</v>
      </c>
      <c r="AR238" s="1">
        <v>94500</v>
      </c>
      <c r="AS238" s="1">
        <v>155200</v>
      </c>
      <c r="AT238" s="1">
        <v>116400</v>
      </c>
      <c r="AU238" s="1">
        <v>146700</v>
      </c>
      <c r="AV238" s="1">
        <v>228900</v>
      </c>
      <c r="AW238" s="1">
        <v>468800</v>
      </c>
      <c r="AX238" s="1">
        <v>922300</v>
      </c>
      <c r="AY238" s="1">
        <v>349700</v>
      </c>
      <c r="AZ238" s="1">
        <v>176200</v>
      </c>
      <c r="BA238" s="1">
        <v>74400</v>
      </c>
      <c r="BB238" s="1">
        <v>142200</v>
      </c>
      <c r="BC238" s="1">
        <v>121000</v>
      </c>
      <c r="BD238" s="1">
        <v>91700</v>
      </c>
      <c r="BE238" s="1">
        <v>86600</v>
      </c>
      <c r="BF238" s="1">
        <v>66600</v>
      </c>
      <c r="BG238" s="1">
        <v>100800</v>
      </c>
      <c r="BH238" s="1">
        <v>67200</v>
      </c>
      <c r="BI238" s="1">
        <v>99000</v>
      </c>
      <c r="BJ238" s="1">
        <v>55500</v>
      </c>
      <c r="BK238" s="1">
        <v>116400</v>
      </c>
      <c r="BL238" s="1">
        <v>57300</v>
      </c>
      <c r="BM238" s="1">
        <v>64900</v>
      </c>
      <c r="BN238" s="1">
        <v>83900</v>
      </c>
      <c r="BO238" s="1">
        <v>80900</v>
      </c>
      <c r="BP238" s="1">
        <v>101200</v>
      </c>
    </row>
    <row r="239" spans="1:68">
      <c r="A239" s="397" t="s">
        <v>452</v>
      </c>
      <c r="B239" s="1" t="str">
        <f>銘柄管理!C239</f>
        <v/>
      </c>
      <c r="C239" s="1" t="str">
        <f>_xll.RssMarket("3984","出来高")</f>
        <v/>
      </c>
      <c r="D239" s="85" t="e">
        <f t="shared" si="3"/>
        <v>#VALUE!</v>
      </c>
      <c r="E239" s="1">
        <v>58600</v>
      </c>
      <c r="F239" s="1">
        <v>58400</v>
      </c>
      <c r="G239" s="1">
        <v>64000</v>
      </c>
      <c r="H239" s="1">
        <v>82800</v>
      </c>
      <c r="I239" s="1">
        <v>73400</v>
      </c>
      <c r="J239" s="1">
        <v>67200</v>
      </c>
      <c r="K239" s="1">
        <v>70400</v>
      </c>
      <c r="L239" s="1">
        <v>100200</v>
      </c>
      <c r="M239" s="1">
        <v>89000</v>
      </c>
      <c r="N239" s="1">
        <v>170500</v>
      </c>
      <c r="O239" s="1">
        <v>96800</v>
      </c>
      <c r="P239" s="1">
        <v>137600</v>
      </c>
      <c r="Q239" s="1">
        <v>92900</v>
      </c>
      <c r="R239" s="1">
        <v>280400</v>
      </c>
      <c r="S239" s="1">
        <v>235000</v>
      </c>
      <c r="T239" s="1">
        <v>134900</v>
      </c>
      <c r="U239" s="1">
        <v>60600</v>
      </c>
      <c r="V239" s="1">
        <v>123400</v>
      </c>
      <c r="W239" s="1">
        <v>95400</v>
      </c>
      <c r="X239" s="1">
        <v>120600</v>
      </c>
      <c r="Y239" s="1">
        <v>61400</v>
      </c>
      <c r="Z239" s="1">
        <v>73600</v>
      </c>
      <c r="AA239" s="1">
        <v>51300</v>
      </c>
      <c r="AB239" s="1">
        <v>117400</v>
      </c>
      <c r="AC239" s="1">
        <v>137900</v>
      </c>
      <c r="AD239" s="1">
        <v>135900</v>
      </c>
      <c r="AE239" s="1">
        <v>282000</v>
      </c>
      <c r="AF239" s="1">
        <v>208700</v>
      </c>
      <c r="AG239" s="1">
        <v>135000</v>
      </c>
      <c r="AH239" s="1">
        <v>175500</v>
      </c>
      <c r="AI239" s="1">
        <v>145100</v>
      </c>
      <c r="AJ239" s="1">
        <v>109200</v>
      </c>
      <c r="AK239" s="1">
        <v>104300</v>
      </c>
      <c r="AL239" s="1">
        <v>156300</v>
      </c>
      <c r="AM239" s="1">
        <v>128400</v>
      </c>
      <c r="AN239" s="1">
        <v>70800</v>
      </c>
      <c r="AO239" s="1">
        <v>96400</v>
      </c>
      <c r="AP239" s="1">
        <v>156200</v>
      </c>
      <c r="AQ239" s="1">
        <v>70200</v>
      </c>
      <c r="AR239" s="1">
        <v>96000</v>
      </c>
      <c r="AS239" s="1">
        <v>96400</v>
      </c>
      <c r="AT239" s="1">
        <v>162900</v>
      </c>
      <c r="AU239" s="1">
        <v>193200</v>
      </c>
      <c r="AV239" s="1">
        <v>227500</v>
      </c>
      <c r="AW239" s="1">
        <v>228700</v>
      </c>
      <c r="AX239" s="1">
        <v>659700</v>
      </c>
      <c r="AY239" s="1">
        <v>141500</v>
      </c>
      <c r="AZ239" s="1">
        <v>48700</v>
      </c>
      <c r="BA239" s="1">
        <v>70100</v>
      </c>
      <c r="BB239" s="1">
        <v>63600</v>
      </c>
      <c r="BC239" s="1">
        <v>59600</v>
      </c>
      <c r="BD239" s="1">
        <v>80800</v>
      </c>
      <c r="BE239" s="1">
        <v>96700</v>
      </c>
      <c r="BF239" s="1">
        <v>74900</v>
      </c>
      <c r="BG239" s="1">
        <v>53500</v>
      </c>
      <c r="BH239" s="1">
        <v>81400</v>
      </c>
      <c r="BI239" s="1">
        <v>73600</v>
      </c>
      <c r="BJ239" s="1">
        <v>143100</v>
      </c>
      <c r="BK239" s="1">
        <v>80400</v>
      </c>
      <c r="BL239" s="1">
        <v>76500</v>
      </c>
      <c r="BM239" s="1">
        <v>84400</v>
      </c>
      <c r="BN239" s="1">
        <v>93000</v>
      </c>
      <c r="BO239" s="1">
        <v>82900</v>
      </c>
      <c r="BP239" s="1">
        <v>88600</v>
      </c>
    </row>
    <row r="240" spans="1:68">
      <c r="A240" s="397" t="s">
        <v>453</v>
      </c>
      <c r="B240" s="1" t="str">
        <f>銘柄管理!C240</f>
        <v/>
      </c>
      <c r="C240" s="1" t="str">
        <f>_xll.RssMarket("7609","出来高")</f>
        <v/>
      </c>
      <c r="D240" s="85" t="e">
        <f t="shared" si="3"/>
        <v>#VALUE!</v>
      </c>
      <c r="E240" s="1">
        <v>118100</v>
      </c>
      <c r="F240" s="1">
        <v>73500</v>
      </c>
      <c r="G240" s="1">
        <v>93000</v>
      </c>
      <c r="H240" s="1">
        <v>104400</v>
      </c>
      <c r="I240" s="1">
        <v>97900</v>
      </c>
      <c r="J240" s="1">
        <v>61300</v>
      </c>
      <c r="K240" s="1">
        <v>101400</v>
      </c>
      <c r="L240" s="1">
        <v>94000</v>
      </c>
      <c r="M240" s="1">
        <v>72600</v>
      </c>
      <c r="N240" s="1">
        <v>58600</v>
      </c>
      <c r="O240" s="1">
        <v>97900</v>
      </c>
      <c r="P240" s="1">
        <v>81600</v>
      </c>
      <c r="Q240" s="1">
        <v>82500</v>
      </c>
      <c r="R240" s="1">
        <v>97800</v>
      </c>
      <c r="S240" s="1">
        <v>90100</v>
      </c>
      <c r="T240" s="1">
        <v>62000</v>
      </c>
      <c r="U240" s="1">
        <v>64500</v>
      </c>
      <c r="V240" s="1">
        <v>88500</v>
      </c>
      <c r="W240" s="1">
        <v>85000</v>
      </c>
      <c r="X240" s="1">
        <v>93500</v>
      </c>
      <c r="Y240" s="1">
        <v>119700</v>
      </c>
      <c r="Z240" s="1">
        <v>53900</v>
      </c>
      <c r="AA240" s="1">
        <v>42100</v>
      </c>
      <c r="AB240" s="1">
        <v>113900</v>
      </c>
      <c r="AC240" s="1">
        <v>115400</v>
      </c>
      <c r="AD240" s="1">
        <v>149300</v>
      </c>
      <c r="AE240" s="1">
        <v>156700</v>
      </c>
      <c r="AF240" s="1">
        <v>123500</v>
      </c>
      <c r="AG240" s="1">
        <v>82200</v>
      </c>
      <c r="AH240" s="1">
        <v>99000</v>
      </c>
      <c r="AI240" s="1">
        <v>112300</v>
      </c>
      <c r="AJ240" s="1">
        <v>86100</v>
      </c>
      <c r="AK240" s="1">
        <v>111000</v>
      </c>
      <c r="AL240" s="1">
        <v>142500</v>
      </c>
      <c r="AM240" s="1">
        <v>111300</v>
      </c>
      <c r="AN240" s="1">
        <v>117000</v>
      </c>
      <c r="AO240" s="1">
        <v>130600</v>
      </c>
      <c r="AP240" s="1">
        <v>140000</v>
      </c>
      <c r="AQ240" s="1">
        <v>207100</v>
      </c>
      <c r="AR240" s="1">
        <v>106000</v>
      </c>
      <c r="AS240" s="1">
        <v>166300</v>
      </c>
      <c r="AT240" s="1">
        <v>120100</v>
      </c>
      <c r="AU240" s="1">
        <v>119000</v>
      </c>
      <c r="AV240" s="1">
        <v>135800</v>
      </c>
      <c r="AW240" s="1">
        <v>266000</v>
      </c>
      <c r="AX240" s="1">
        <v>694400</v>
      </c>
      <c r="AY240" s="1">
        <v>275800</v>
      </c>
      <c r="AZ240" s="1">
        <v>263200</v>
      </c>
      <c r="BA240" s="1">
        <v>106200</v>
      </c>
      <c r="BB240" s="1">
        <v>85600</v>
      </c>
      <c r="BC240" s="1">
        <v>98000</v>
      </c>
      <c r="BD240" s="1">
        <v>70400</v>
      </c>
      <c r="BE240" s="1">
        <v>75900</v>
      </c>
      <c r="BF240" s="1">
        <v>47700</v>
      </c>
      <c r="BG240" s="1">
        <v>57800</v>
      </c>
      <c r="BH240" s="1">
        <v>60300</v>
      </c>
      <c r="BI240" s="1">
        <v>66700</v>
      </c>
      <c r="BJ240" s="1">
        <v>154700</v>
      </c>
      <c r="BK240" s="1">
        <v>125500</v>
      </c>
      <c r="BL240" s="1">
        <v>79300</v>
      </c>
      <c r="BM240" s="1">
        <v>61400</v>
      </c>
      <c r="BN240" s="1">
        <v>84500</v>
      </c>
      <c r="BO240" s="1">
        <v>61000</v>
      </c>
      <c r="BP240" s="1">
        <v>64300</v>
      </c>
    </row>
    <row r="241" spans="1:68">
      <c r="A241" s="397" t="s">
        <v>454</v>
      </c>
      <c r="B241" s="1" t="str">
        <f>銘柄管理!C241</f>
        <v/>
      </c>
      <c r="C241" s="1" t="str">
        <f>_xll.RssMarket("7972","出来高")</f>
        <v/>
      </c>
      <c r="D241" s="85" t="e">
        <f t="shared" si="3"/>
        <v>#VALUE!</v>
      </c>
      <c r="E241" s="1">
        <v>215400</v>
      </c>
      <c r="F241" s="1">
        <v>203900</v>
      </c>
      <c r="G241" s="1">
        <v>236200</v>
      </c>
      <c r="H241" s="1">
        <v>149000</v>
      </c>
      <c r="I241" s="1">
        <v>154200</v>
      </c>
      <c r="J241" s="1">
        <v>149900</v>
      </c>
      <c r="K241" s="1">
        <v>413900</v>
      </c>
      <c r="L241" s="1">
        <v>278300</v>
      </c>
      <c r="M241" s="1">
        <v>260700</v>
      </c>
      <c r="N241" s="1">
        <v>234200</v>
      </c>
      <c r="O241" s="1">
        <v>211600</v>
      </c>
      <c r="P241" s="1">
        <v>198500</v>
      </c>
      <c r="Q241" s="1">
        <v>210400</v>
      </c>
      <c r="R241" s="1">
        <v>416300</v>
      </c>
      <c r="S241" s="1">
        <v>920400</v>
      </c>
      <c r="T241" s="1">
        <v>579100</v>
      </c>
      <c r="U241" s="1">
        <v>302400</v>
      </c>
      <c r="V241" s="1">
        <v>265200</v>
      </c>
      <c r="W241" s="1">
        <v>262800</v>
      </c>
      <c r="X241" s="1">
        <v>229900</v>
      </c>
      <c r="Y241" s="1">
        <v>279900</v>
      </c>
      <c r="Z241" s="1">
        <v>146300</v>
      </c>
      <c r="AA241" s="1">
        <v>203100</v>
      </c>
      <c r="AB241" s="1">
        <v>207300</v>
      </c>
      <c r="AC241" s="1">
        <v>187200</v>
      </c>
      <c r="AD241" s="1">
        <v>154800</v>
      </c>
      <c r="AE241" s="1">
        <v>191400</v>
      </c>
      <c r="AF241" s="1">
        <v>189300</v>
      </c>
      <c r="AG241" s="1">
        <v>339600</v>
      </c>
      <c r="AH241" s="1">
        <v>437100</v>
      </c>
      <c r="AI241" s="1">
        <v>378200</v>
      </c>
      <c r="AJ241" s="1">
        <v>447200</v>
      </c>
      <c r="AK241" s="1">
        <v>377800</v>
      </c>
      <c r="AL241" s="1">
        <v>384500</v>
      </c>
      <c r="AM241" s="1">
        <v>169400</v>
      </c>
      <c r="AN241" s="1">
        <v>262100</v>
      </c>
      <c r="AO241" s="1">
        <v>241200</v>
      </c>
      <c r="AP241" s="1">
        <v>201800</v>
      </c>
      <c r="AQ241" s="1">
        <v>202400</v>
      </c>
      <c r="AR241" s="1">
        <v>212400</v>
      </c>
      <c r="AS241" s="1">
        <v>255100</v>
      </c>
      <c r="AT241" s="1">
        <v>222600</v>
      </c>
      <c r="AU241" s="1">
        <v>335100</v>
      </c>
      <c r="AV241" s="1">
        <v>441500</v>
      </c>
      <c r="AW241" s="1">
        <v>487600</v>
      </c>
      <c r="AX241" s="1">
        <v>1111000</v>
      </c>
      <c r="AY241" s="1">
        <v>363000</v>
      </c>
      <c r="AZ241" s="1">
        <v>132100</v>
      </c>
      <c r="BA241" s="1">
        <v>277900</v>
      </c>
      <c r="BB241" s="1">
        <v>124400</v>
      </c>
      <c r="BC241" s="1">
        <v>218600</v>
      </c>
      <c r="BD241" s="1">
        <v>135600</v>
      </c>
      <c r="BE241" s="1">
        <v>108200</v>
      </c>
      <c r="BF241" s="1">
        <v>102300</v>
      </c>
      <c r="BG241" s="1">
        <v>111200</v>
      </c>
      <c r="BH241" s="1">
        <v>176300</v>
      </c>
      <c r="BI241" s="1">
        <v>135500</v>
      </c>
      <c r="BJ241" s="1">
        <v>144900</v>
      </c>
      <c r="BK241" s="1">
        <v>199400</v>
      </c>
      <c r="BL241" s="1">
        <v>132300</v>
      </c>
      <c r="BM241" s="1">
        <v>143600</v>
      </c>
      <c r="BN241" s="1">
        <v>113800</v>
      </c>
      <c r="BO241" s="1">
        <v>152000</v>
      </c>
      <c r="BP241" s="1">
        <v>148800</v>
      </c>
    </row>
    <row r="242" spans="1:68">
      <c r="A242" s="397" t="s">
        <v>455</v>
      </c>
      <c r="B242" s="1" t="str">
        <f>銘柄管理!C242</f>
        <v/>
      </c>
      <c r="C242" s="1" t="str">
        <f>_xll.RssMarket("6521","出来高")</f>
        <v/>
      </c>
      <c r="D242" s="85" t="e">
        <f t="shared" si="3"/>
        <v>#VALUE!</v>
      </c>
      <c r="E242" s="1">
        <v>426300</v>
      </c>
      <c r="F242" s="1">
        <v>261600</v>
      </c>
      <c r="G242" s="1">
        <v>700300</v>
      </c>
      <c r="H242" s="1">
        <v>263100</v>
      </c>
      <c r="I242" s="1">
        <v>154100</v>
      </c>
      <c r="J242" s="1">
        <v>222400</v>
      </c>
      <c r="K242" s="1">
        <v>187800</v>
      </c>
      <c r="L242" s="1">
        <v>215000</v>
      </c>
      <c r="M242" s="1">
        <v>142900</v>
      </c>
      <c r="N242" s="1">
        <v>209100</v>
      </c>
      <c r="O242" s="1">
        <v>181500</v>
      </c>
      <c r="P242" s="1">
        <v>215200</v>
      </c>
      <c r="Q242" s="1">
        <v>187200</v>
      </c>
      <c r="R242" s="1">
        <v>254400</v>
      </c>
      <c r="S242" s="1">
        <v>446300</v>
      </c>
      <c r="T242" s="1">
        <v>255900</v>
      </c>
      <c r="U242" s="1">
        <v>427800</v>
      </c>
      <c r="V242" s="1">
        <v>388600</v>
      </c>
      <c r="W242" s="1">
        <v>405300</v>
      </c>
      <c r="X242" s="1">
        <v>612600</v>
      </c>
      <c r="Y242" s="1">
        <v>248700</v>
      </c>
      <c r="Z242" s="1">
        <v>346300</v>
      </c>
      <c r="AA242" s="1">
        <v>340300</v>
      </c>
      <c r="AB242" s="1">
        <v>318600</v>
      </c>
      <c r="AC242" s="1">
        <v>340500</v>
      </c>
      <c r="AD242" s="1">
        <v>673900</v>
      </c>
      <c r="AE242" s="1">
        <v>391000</v>
      </c>
      <c r="AF242" s="1">
        <v>317400</v>
      </c>
      <c r="AG242" s="1">
        <v>344500</v>
      </c>
      <c r="AH242" s="1">
        <v>453300</v>
      </c>
      <c r="AI242" s="1">
        <v>548800</v>
      </c>
      <c r="AJ242" s="1">
        <v>603000</v>
      </c>
      <c r="AK242" s="1">
        <v>739900</v>
      </c>
      <c r="AL242" s="1">
        <v>473900</v>
      </c>
      <c r="AM242" s="1">
        <v>766100</v>
      </c>
      <c r="AN242" s="1">
        <v>738000</v>
      </c>
      <c r="AO242" s="1">
        <v>492400</v>
      </c>
      <c r="AP242" s="1">
        <v>516300</v>
      </c>
      <c r="AQ242" s="1">
        <v>1073000</v>
      </c>
      <c r="AR242" s="1">
        <v>723000</v>
      </c>
      <c r="AS242" s="1">
        <v>649600</v>
      </c>
      <c r="AT242" s="1">
        <v>643500</v>
      </c>
      <c r="AU242" s="1">
        <v>592700</v>
      </c>
      <c r="AV242" s="1">
        <v>1160100</v>
      </c>
      <c r="AW242" s="1">
        <v>1248900</v>
      </c>
      <c r="AX242" s="1">
        <v>1383100</v>
      </c>
      <c r="AY242" s="1">
        <v>802300</v>
      </c>
      <c r="AZ242" s="1">
        <v>277900</v>
      </c>
      <c r="BA242" s="1">
        <v>275700</v>
      </c>
      <c r="BB242" s="1">
        <v>308100</v>
      </c>
      <c r="BC242" s="1">
        <v>628700</v>
      </c>
      <c r="BD242" s="1">
        <v>445700</v>
      </c>
      <c r="BE242" s="1">
        <v>567900</v>
      </c>
      <c r="BF242" s="1">
        <v>969500</v>
      </c>
      <c r="BG242" s="1">
        <v>1835800</v>
      </c>
      <c r="BH242" s="1">
        <v>760800</v>
      </c>
      <c r="BI242" s="1">
        <v>585700</v>
      </c>
      <c r="BJ242" s="1">
        <v>729100</v>
      </c>
      <c r="BK242" s="1">
        <v>1782400</v>
      </c>
      <c r="BL242" s="1">
        <v>2964800</v>
      </c>
      <c r="BM242" s="1">
        <v>866200</v>
      </c>
      <c r="BN242" s="1">
        <v>647400</v>
      </c>
      <c r="BO242" s="1">
        <v>378100</v>
      </c>
      <c r="BP242" s="1">
        <v>535000</v>
      </c>
    </row>
    <row r="243" spans="1:68">
      <c r="A243" s="397" t="s">
        <v>456</v>
      </c>
      <c r="B243" s="1" t="str">
        <f>銘柄管理!C243</f>
        <v/>
      </c>
      <c r="C243" s="1" t="str">
        <f>_xll.RssMarket("9165","出来高")</f>
        <v/>
      </c>
      <c r="D243" s="85" t="e">
        <f t="shared" si="3"/>
        <v>#VALUE!</v>
      </c>
      <c r="E243" s="1">
        <v>18100</v>
      </c>
      <c r="F243" s="1">
        <v>3100</v>
      </c>
      <c r="G243" s="1">
        <v>9600</v>
      </c>
      <c r="H243" s="1">
        <v>7600</v>
      </c>
      <c r="I243" s="1">
        <v>7700</v>
      </c>
      <c r="J243" s="1">
        <v>6800</v>
      </c>
      <c r="K243" s="1">
        <v>7800</v>
      </c>
      <c r="L243" s="1">
        <v>10900</v>
      </c>
      <c r="M243" s="1">
        <v>14300</v>
      </c>
      <c r="N243" s="1">
        <v>22900</v>
      </c>
      <c r="O243" s="1">
        <v>17000</v>
      </c>
      <c r="P243" s="1">
        <v>21700</v>
      </c>
      <c r="Q243" s="1">
        <v>46500</v>
      </c>
      <c r="R243" s="1">
        <v>23300</v>
      </c>
      <c r="S243" s="1">
        <v>11900</v>
      </c>
      <c r="T243" s="1">
        <v>12900</v>
      </c>
      <c r="U243" s="1">
        <v>17400</v>
      </c>
      <c r="V243" s="1">
        <v>32300</v>
      </c>
      <c r="W243" s="1">
        <v>31000</v>
      </c>
      <c r="X243" s="1">
        <v>23500</v>
      </c>
      <c r="Y243" s="1">
        <v>18700</v>
      </c>
      <c r="Z243" s="1">
        <v>14800</v>
      </c>
      <c r="AA243" s="1">
        <v>12400</v>
      </c>
      <c r="AB243" s="1">
        <v>19500</v>
      </c>
      <c r="AC243" s="1">
        <v>20700</v>
      </c>
      <c r="AD243" s="1">
        <v>35400</v>
      </c>
      <c r="AE243" s="1">
        <v>42400</v>
      </c>
      <c r="AF243" s="1">
        <v>21000</v>
      </c>
      <c r="AG243" s="1">
        <v>45000</v>
      </c>
      <c r="AH243" s="1">
        <v>38200</v>
      </c>
      <c r="AI243" s="1">
        <v>49700</v>
      </c>
      <c r="AJ243" s="1">
        <v>41900</v>
      </c>
      <c r="AK243" s="1">
        <v>118900</v>
      </c>
      <c r="AL243" s="1">
        <v>93700</v>
      </c>
      <c r="AM243" s="1">
        <v>158800</v>
      </c>
      <c r="AN243" s="1">
        <v>93000</v>
      </c>
      <c r="AO243" s="1">
        <v>25900</v>
      </c>
      <c r="AP243" s="1">
        <v>65800</v>
      </c>
      <c r="AQ243" s="1">
        <v>32100</v>
      </c>
      <c r="AR243" s="1">
        <v>41800</v>
      </c>
      <c r="AS243" s="1">
        <v>39200</v>
      </c>
      <c r="AT243" s="1">
        <v>18500</v>
      </c>
      <c r="AU243" s="1">
        <v>21700</v>
      </c>
      <c r="AV243" s="1">
        <v>59500</v>
      </c>
      <c r="AW243" s="1">
        <v>97100</v>
      </c>
      <c r="AX243" s="1">
        <v>277100</v>
      </c>
      <c r="AY243" s="1">
        <v>35500</v>
      </c>
      <c r="AZ243" s="1">
        <v>9600</v>
      </c>
      <c r="BA243" s="1">
        <v>4000</v>
      </c>
      <c r="BB243" s="1">
        <v>8000</v>
      </c>
      <c r="BC243" s="1">
        <v>8700</v>
      </c>
      <c r="BD243" s="1">
        <v>3100</v>
      </c>
      <c r="BE243" s="1">
        <v>8800</v>
      </c>
      <c r="BF243" s="1">
        <v>10200</v>
      </c>
      <c r="BG243" s="1">
        <v>3900</v>
      </c>
      <c r="BH243" s="1">
        <v>8500</v>
      </c>
      <c r="BI243" s="1">
        <v>2300</v>
      </c>
      <c r="BJ243" s="1">
        <v>12600</v>
      </c>
      <c r="BK243" s="1">
        <v>6100</v>
      </c>
      <c r="BL243" s="1">
        <v>12300</v>
      </c>
      <c r="BM243" s="1">
        <v>5900</v>
      </c>
      <c r="BN243" s="1">
        <v>8500</v>
      </c>
      <c r="BO243" s="1">
        <v>26000</v>
      </c>
      <c r="BP243" s="1">
        <v>6000</v>
      </c>
    </row>
    <row r="244" spans="1:68">
      <c r="A244" s="397" t="s">
        <v>457</v>
      </c>
      <c r="B244" s="1" t="str">
        <f>銘柄管理!C244</f>
        <v/>
      </c>
      <c r="C244" s="1" t="str">
        <f>_xll.RssMarket("6902","出来高")</f>
        <v/>
      </c>
      <c r="D244" s="85" t="e">
        <f t="shared" si="3"/>
        <v>#VALUE!</v>
      </c>
      <c r="E244" s="1">
        <v>6893300</v>
      </c>
      <c r="F244" s="1">
        <v>5965800</v>
      </c>
      <c r="G244" s="1">
        <v>7499700</v>
      </c>
      <c r="H244" s="1">
        <v>5393400</v>
      </c>
      <c r="I244" s="1">
        <v>5592400</v>
      </c>
      <c r="J244" s="1">
        <v>5283300</v>
      </c>
      <c r="K244" s="1">
        <v>6662400</v>
      </c>
      <c r="L244" s="1">
        <v>8806000</v>
      </c>
      <c r="M244" s="1">
        <v>6256200</v>
      </c>
      <c r="N244" s="1">
        <v>6387800</v>
      </c>
      <c r="O244" s="1">
        <v>8038400</v>
      </c>
      <c r="P244" s="1">
        <v>9162700</v>
      </c>
      <c r="Q244" s="1">
        <v>9201100</v>
      </c>
      <c r="R244" s="1">
        <v>16027300</v>
      </c>
      <c r="S244" s="1">
        <v>6364700</v>
      </c>
      <c r="T244" s="1">
        <v>5827600</v>
      </c>
      <c r="U244" s="1">
        <v>6647500</v>
      </c>
      <c r="V244" s="1">
        <v>8471500</v>
      </c>
      <c r="W244" s="1">
        <v>5402400</v>
      </c>
      <c r="X244" s="1">
        <v>14131300</v>
      </c>
      <c r="Y244" s="1">
        <v>8346200</v>
      </c>
      <c r="Z244" s="1">
        <v>7011600</v>
      </c>
      <c r="AA244" s="1">
        <v>4906500</v>
      </c>
      <c r="AB244" s="1">
        <v>9110900</v>
      </c>
      <c r="AC244" s="1">
        <v>11073000</v>
      </c>
      <c r="AD244" s="1">
        <v>7457200</v>
      </c>
      <c r="AE244" s="1">
        <v>9215000</v>
      </c>
      <c r="AF244" s="1">
        <v>10318600</v>
      </c>
      <c r="AG244" s="1">
        <v>6624500</v>
      </c>
      <c r="AH244" s="1">
        <v>8136900</v>
      </c>
      <c r="AI244" s="1">
        <v>7086000</v>
      </c>
      <c r="AJ244" s="1">
        <v>15164500</v>
      </c>
      <c r="AK244" s="1">
        <v>6752200</v>
      </c>
      <c r="AL244" s="1">
        <v>8515000</v>
      </c>
      <c r="AM244" s="1">
        <v>8828900</v>
      </c>
      <c r="AN244" s="1">
        <v>7670100</v>
      </c>
      <c r="AO244" s="1">
        <v>5200800</v>
      </c>
      <c r="AP244" s="1">
        <v>6774500</v>
      </c>
      <c r="AQ244" s="1">
        <v>6452700</v>
      </c>
      <c r="AR244" s="1">
        <v>8048500</v>
      </c>
      <c r="AS244" s="1">
        <v>9868300</v>
      </c>
      <c r="AT244" s="1">
        <v>9570500</v>
      </c>
      <c r="AU244" s="1">
        <v>6720900</v>
      </c>
      <c r="AV244" s="1">
        <v>6711000</v>
      </c>
      <c r="AW244" s="1">
        <v>7043400</v>
      </c>
      <c r="AX244" s="1">
        <v>9299300</v>
      </c>
      <c r="AY244" s="1">
        <v>12597500</v>
      </c>
      <c r="AZ244" s="1">
        <v>7821900</v>
      </c>
      <c r="BA244" s="1">
        <v>18844900</v>
      </c>
      <c r="BB244" s="1">
        <v>25897700</v>
      </c>
      <c r="BC244" s="1">
        <v>11689500</v>
      </c>
      <c r="BD244" s="1">
        <v>5990900</v>
      </c>
      <c r="BE244" s="1">
        <v>6515500</v>
      </c>
      <c r="BF244" s="1">
        <v>4384100</v>
      </c>
      <c r="BG244" s="1">
        <v>5127700</v>
      </c>
      <c r="BH244" s="1">
        <v>6926600</v>
      </c>
      <c r="BI244" s="1">
        <v>6138500</v>
      </c>
      <c r="BJ244" s="1">
        <v>9172600</v>
      </c>
      <c r="BK244" s="1">
        <v>9168200</v>
      </c>
      <c r="BL244" s="1">
        <v>5753500</v>
      </c>
      <c r="BM244" s="1">
        <v>5465000</v>
      </c>
      <c r="BN244" s="1">
        <v>6071300</v>
      </c>
      <c r="BO244" s="1">
        <v>6679900</v>
      </c>
      <c r="BP244" s="1">
        <v>10131700</v>
      </c>
    </row>
    <row r="245" spans="1:68">
      <c r="A245" s="397" t="s">
        <v>458</v>
      </c>
      <c r="B245" s="1" t="str">
        <f>銘柄管理!C245</f>
        <v/>
      </c>
      <c r="C245" s="1" t="str">
        <f>_xll.RssMarket("3936","出来高")</f>
        <v/>
      </c>
      <c r="D245" s="85" t="e">
        <f t="shared" si="3"/>
        <v>#VALUE!</v>
      </c>
      <c r="E245" s="1">
        <v>825700</v>
      </c>
      <c r="F245" s="1">
        <v>260700</v>
      </c>
      <c r="G245" s="1">
        <v>169500</v>
      </c>
      <c r="H245" s="1">
        <v>172900</v>
      </c>
      <c r="I245" s="1">
        <v>140900</v>
      </c>
      <c r="J245" s="1">
        <v>91300</v>
      </c>
      <c r="K245" s="1">
        <v>144500</v>
      </c>
      <c r="L245" s="1">
        <v>178300</v>
      </c>
      <c r="M245" s="1">
        <v>835700</v>
      </c>
      <c r="N245" s="1">
        <v>253100</v>
      </c>
      <c r="O245" s="1">
        <v>271100</v>
      </c>
      <c r="P245" s="1">
        <v>297000</v>
      </c>
      <c r="Q245" s="1">
        <v>206000</v>
      </c>
      <c r="R245" s="1">
        <v>654800</v>
      </c>
      <c r="S245" s="1">
        <v>531100</v>
      </c>
      <c r="T245" s="1">
        <v>329400</v>
      </c>
      <c r="U245" s="1">
        <v>695400</v>
      </c>
      <c r="V245" s="1">
        <v>240800</v>
      </c>
      <c r="W245" s="1">
        <v>296100</v>
      </c>
      <c r="X245" s="1">
        <v>534600</v>
      </c>
      <c r="Y245" s="1">
        <v>642200</v>
      </c>
      <c r="Z245" s="1">
        <v>687300</v>
      </c>
      <c r="AA245" s="1">
        <v>863100</v>
      </c>
      <c r="AB245" s="1">
        <v>596300</v>
      </c>
      <c r="AC245" s="1">
        <v>806500</v>
      </c>
      <c r="AD245" s="1">
        <v>663400</v>
      </c>
      <c r="AE245" s="1">
        <v>964900</v>
      </c>
      <c r="AF245" s="1">
        <v>1153900</v>
      </c>
      <c r="AG245" s="1">
        <v>781700</v>
      </c>
      <c r="AH245" s="1">
        <v>567500</v>
      </c>
      <c r="AI245" s="1">
        <v>1141400</v>
      </c>
      <c r="AJ245" s="1">
        <v>1217600</v>
      </c>
      <c r="AK245" s="1">
        <v>2058000</v>
      </c>
      <c r="AL245" s="1">
        <v>11958200</v>
      </c>
      <c r="AM245" s="1">
        <v>561200</v>
      </c>
      <c r="AN245" s="1">
        <v>1069300</v>
      </c>
      <c r="AO245" s="1">
        <v>898700</v>
      </c>
      <c r="AP245" s="1">
        <v>1219700</v>
      </c>
      <c r="AQ245" s="1">
        <v>2458000</v>
      </c>
      <c r="AR245" s="1">
        <v>2933600</v>
      </c>
      <c r="AS245" s="1">
        <v>4595200</v>
      </c>
      <c r="AT245" s="1">
        <v>10752400</v>
      </c>
      <c r="AU245" s="1">
        <v>340000</v>
      </c>
      <c r="AV245" s="1">
        <v>1771300</v>
      </c>
      <c r="AW245" s="1">
        <v>1379800</v>
      </c>
      <c r="AX245" s="1">
        <v>1373100</v>
      </c>
      <c r="AY245" s="1">
        <v>2538500</v>
      </c>
      <c r="AZ245" s="1">
        <v>2088400</v>
      </c>
      <c r="BA245" s="1">
        <v>7290100</v>
      </c>
      <c r="BB245" s="1">
        <v>7621400</v>
      </c>
      <c r="BC245" s="1">
        <v>12909000</v>
      </c>
      <c r="BD245" s="1">
        <v>14291100</v>
      </c>
      <c r="BE245" s="1">
        <v>30770600</v>
      </c>
      <c r="BF245" s="1">
        <v>20844800</v>
      </c>
      <c r="BG245" s="1">
        <v>38993300</v>
      </c>
      <c r="BH245" s="1">
        <v>18379100</v>
      </c>
      <c r="BI245" s="1">
        <v>2951400</v>
      </c>
      <c r="BJ245" s="1">
        <v>200800</v>
      </c>
      <c r="BK245" s="1">
        <v>36500</v>
      </c>
      <c r="BL245" s="1">
        <v>14000</v>
      </c>
      <c r="BM245" s="1">
        <v>77000</v>
      </c>
      <c r="BN245" s="1">
        <v>112800</v>
      </c>
      <c r="BO245" s="1">
        <v>42500</v>
      </c>
      <c r="BP245" s="1">
        <v>34000</v>
      </c>
    </row>
    <row r="246" spans="1:68">
      <c r="A246" s="397" t="s">
        <v>459</v>
      </c>
      <c r="B246" s="1" t="str">
        <f>銘柄管理!C246</f>
        <v/>
      </c>
      <c r="C246" s="1" t="str">
        <f>_xll.RssMarket("6928","出来高")</f>
        <v/>
      </c>
      <c r="D246" s="85" t="e">
        <f t="shared" si="3"/>
        <v>#VALUE!</v>
      </c>
      <c r="E246" s="1">
        <v>51400</v>
      </c>
      <c r="F246" s="1">
        <v>9500</v>
      </c>
      <c r="G246" s="1">
        <v>29500</v>
      </c>
      <c r="H246" s="1">
        <v>41400</v>
      </c>
      <c r="I246" s="1">
        <v>35200</v>
      </c>
      <c r="J246" s="1">
        <v>31800</v>
      </c>
      <c r="K246" s="1">
        <v>52800</v>
      </c>
      <c r="L246" s="1">
        <v>54700</v>
      </c>
      <c r="M246" s="1">
        <v>36300</v>
      </c>
      <c r="N246" s="1">
        <v>40300</v>
      </c>
      <c r="O246" s="1">
        <v>46400</v>
      </c>
      <c r="P246" s="1">
        <v>33700</v>
      </c>
      <c r="Q246" s="1">
        <v>24000</v>
      </c>
      <c r="R246" s="1">
        <v>29200</v>
      </c>
      <c r="S246" s="1">
        <v>30300</v>
      </c>
      <c r="T246" s="1">
        <v>23200</v>
      </c>
      <c r="U246" s="1">
        <v>26000</v>
      </c>
      <c r="V246" s="1">
        <v>32600</v>
      </c>
      <c r="W246" s="1">
        <v>27400</v>
      </c>
      <c r="X246" s="1">
        <v>23000</v>
      </c>
      <c r="Y246" s="1">
        <v>25000</v>
      </c>
      <c r="Z246" s="1">
        <v>15200</v>
      </c>
      <c r="AA246" s="1">
        <v>31200</v>
      </c>
      <c r="AB246" s="1">
        <v>55600</v>
      </c>
      <c r="AC246" s="1">
        <v>32000</v>
      </c>
      <c r="AD246" s="1">
        <v>49600</v>
      </c>
      <c r="AE246" s="1">
        <v>45600</v>
      </c>
      <c r="AF246" s="1">
        <v>25700</v>
      </c>
      <c r="AG246" s="1">
        <v>28400</v>
      </c>
      <c r="AH246" s="1">
        <v>33800</v>
      </c>
      <c r="AI246" s="1">
        <v>42900</v>
      </c>
      <c r="AJ246" s="1">
        <v>53400</v>
      </c>
      <c r="AK246" s="1">
        <v>52900</v>
      </c>
      <c r="AL246" s="1">
        <v>38800</v>
      </c>
      <c r="AM246" s="1">
        <v>30400</v>
      </c>
      <c r="AN246" s="1">
        <v>50700</v>
      </c>
      <c r="AO246" s="1">
        <v>28800</v>
      </c>
      <c r="AP246" s="1">
        <v>65400</v>
      </c>
      <c r="AQ246" s="1">
        <v>68200</v>
      </c>
      <c r="AR246" s="1">
        <v>32300</v>
      </c>
      <c r="AS246" s="1">
        <v>47700</v>
      </c>
      <c r="AT246" s="1">
        <v>36400</v>
      </c>
      <c r="AU246" s="1">
        <v>50800</v>
      </c>
      <c r="AV246" s="1">
        <v>115900</v>
      </c>
      <c r="AW246" s="1">
        <v>308400</v>
      </c>
      <c r="AX246" s="1">
        <v>48000</v>
      </c>
      <c r="AY246" s="1">
        <v>57800</v>
      </c>
      <c r="AZ246" s="1">
        <v>66100</v>
      </c>
      <c r="BA246" s="1">
        <v>54100</v>
      </c>
      <c r="BB246" s="1">
        <v>22900</v>
      </c>
      <c r="BC246" s="1">
        <v>17800</v>
      </c>
      <c r="BD246" s="1">
        <v>20900</v>
      </c>
      <c r="BE246" s="1">
        <v>26800</v>
      </c>
      <c r="BF246" s="1">
        <v>22600</v>
      </c>
      <c r="BG246" s="1">
        <v>17600</v>
      </c>
      <c r="BH246" s="1">
        <v>18900</v>
      </c>
      <c r="BI246" s="1">
        <v>24600</v>
      </c>
      <c r="BJ246" s="1">
        <v>28200</v>
      </c>
      <c r="BK246" s="1">
        <v>50100</v>
      </c>
      <c r="BL246" s="1">
        <v>31300</v>
      </c>
      <c r="BM246" s="1">
        <v>14000</v>
      </c>
      <c r="BN246" s="1">
        <v>24500</v>
      </c>
      <c r="BO246" s="1">
        <v>20200</v>
      </c>
      <c r="BP246" s="1">
        <v>34600</v>
      </c>
    </row>
    <row r="247" spans="1:68">
      <c r="A247" s="397" t="s">
        <v>460</v>
      </c>
      <c r="B247" s="1" t="str">
        <f>銘柄管理!C247</f>
        <v/>
      </c>
      <c r="C247" s="1" t="str">
        <f>_xll.RssMarket("5632","出来高")</f>
        <v/>
      </c>
      <c r="D247" s="85" t="e">
        <f t="shared" si="3"/>
        <v>#VALUE!</v>
      </c>
      <c r="E247" s="1">
        <v>98300</v>
      </c>
      <c r="F247" s="1">
        <v>53300</v>
      </c>
      <c r="G247" s="1">
        <v>80400</v>
      </c>
      <c r="H247" s="1">
        <v>57700</v>
      </c>
      <c r="I247" s="1">
        <v>56400</v>
      </c>
      <c r="J247" s="1">
        <v>48900</v>
      </c>
      <c r="K247" s="1">
        <v>84400</v>
      </c>
      <c r="L247" s="1">
        <v>56700</v>
      </c>
      <c r="M247" s="1">
        <v>59200</v>
      </c>
      <c r="N247" s="1">
        <v>65600</v>
      </c>
      <c r="O247" s="1">
        <v>89300</v>
      </c>
      <c r="P247" s="1">
        <v>57600</v>
      </c>
      <c r="Q247" s="1">
        <v>104400</v>
      </c>
      <c r="R247" s="1">
        <v>88100</v>
      </c>
      <c r="S247" s="1">
        <v>66600</v>
      </c>
      <c r="T247" s="1">
        <v>61500</v>
      </c>
      <c r="U247" s="1">
        <v>82700</v>
      </c>
      <c r="V247" s="1">
        <v>153500</v>
      </c>
      <c r="W247" s="1">
        <v>125100</v>
      </c>
      <c r="X247" s="1">
        <v>126600</v>
      </c>
      <c r="Y247" s="1">
        <v>133800</v>
      </c>
      <c r="Z247" s="1">
        <v>28900</v>
      </c>
      <c r="AA247" s="1">
        <v>35300</v>
      </c>
      <c r="AB247" s="1">
        <v>83400</v>
      </c>
      <c r="AC247" s="1">
        <v>58300</v>
      </c>
      <c r="AD247" s="1">
        <v>71500</v>
      </c>
      <c r="AE247" s="1">
        <v>113000</v>
      </c>
      <c r="AF247" s="1">
        <v>77300</v>
      </c>
      <c r="AG247" s="1">
        <v>98900</v>
      </c>
      <c r="AH247" s="1">
        <v>100300</v>
      </c>
      <c r="AI247" s="1">
        <v>100600</v>
      </c>
      <c r="AJ247" s="1">
        <v>103400</v>
      </c>
      <c r="AK247" s="1">
        <v>113800</v>
      </c>
      <c r="AL247" s="1">
        <v>154200</v>
      </c>
      <c r="AM247" s="1">
        <v>108500</v>
      </c>
      <c r="AN247" s="1">
        <v>101500</v>
      </c>
      <c r="AO247" s="1">
        <v>133600</v>
      </c>
      <c r="AP247" s="1">
        <v>105200</v>
      </c>
      <c r="AQ247" s="1">
        <v>118500</v>
      </c>
      <c r="AR247" s="1">
        <v>205100</v>
      </c>
      <c r="AS247" s="1">
        <v>370700</v>
      </c>
      <c r="AT247" s="1">
        <v>335400</v>
      </c>
      <c r="AU247" s="1">
        <v>252400</v>
      </c>
      <c r="AV247" s="1">
        <v>108000</v>
      </c>
      <c r="AW247" s="1">
        <v>213900</v>
      </c>
      <c r="AX247" s="1">
        <v>67500</v>
      </c>
      <c r="AY247" s="1">
        <v>72200</v>
      </c>
      <c r="AZ247" s="1">
        <v>73600</v>
      </c>
      <c r="BA247" s="1">
        <v>80000</v>
      </c>
      <c r="BB247" s="1">
        <v>70600</v>
      </c>
      <c r="BC247" s="1">
        <v>69200</v>
      </c>
      <c r="BD247" s="1">
        <v>72700</v>
      </c>
      <c r="BE247" s="1">
        <v>62100</v>
      </c>
      <c r="BF247" s="1">
        <v>63700</v>
      </c>
      <c r="BG247" s="1">
        <v>48200</v>
      </c>
      <c r="BH247" s="1">
        <v>54700</v>
      </c>
      <c r="BI247" s="1">
        <v>50000</v>
      </c>
      <c r="BJ247" s="1">
        <v>60300</v>
      </c>
      <c r="BK247" s="1">
        <v>68700</v>
      </c>
      <c r="BL247" s="1">
        <v>63800</v>
      </c>
      <c r="BM247" s="1">
        <v>83100</v>
      </c>
      <c r="BN247" s="1">
        <v>74100</v>
      </c>
      <c r="BO247" s="1">
        <v>105400</v>
      </c>
      <c r="BP247" s="1">
        <v>99800</v>
      </c>
    </row>
    <row r="248" spans="1:68">
      <c r="A248" s="397" t="s">
        <v>461</v>
      </c>
      <c r="B248" s="1" t="str">
        <f>銘柄管理!C248</f>
        <v/>
      </c>
      <c r="C248" s="1" t="str">
        <f>_xll.RssMarket("6098","出来高")</f>
        <v/>
      </c>
      <c r="D248" s="85" t="e">
        <f t="shared" si="3"/>
        <v>#VALUE!</v>
      </c>
      <c r="E248" s="1">
        <v>3748400</v>
      </c>
      <c r="F248" s="1">
        <v>3138700</v>
      </c>
      <c r="G248" s="1">
        <v>3951800</v>
      </c>
      <c r="H248" s="1">
        <v>2485900</v>
      </c>
      <c r="I248" s="1">
        <v>5272800</v>
      </c>
      <c r="J248" s="1">
        <v>5074700</v>
      </c>
      <c r="K248" s="1">
        <v>4395900</v>
      </c>
      <c r="L248" s="1">
        <v>4937000</v>
      </c>
      <c r="M248" s="1">
        <v>2763900</v>
      </c>
      <c r="N248" s="1">
        <v>3942800</v>
      </c>
      <c r="O248" s="1">
        <v>5231300</v>
      </c>
      <c r="P248" s="1">
        <v>4344900</v>
      </c>
      <c r="Q248" s="1">
        <v>3968600</v>
      </c>
      <c r="R248" s="1">
        <v>3469700</v>
      </c>
      <c r="S248" s="1">
        <v>4029100</v>
      </c>
      <c r="T248" s="1">
        <v>3424200</v>
      </c>
      <c r="U248" s="1">
        <v>3668000</v>
      </c>
      <c r="V248" s="1">
        <v>4265900</v>
      </c>
      <c r="W248" s="1">
        <v>2822700</v>
      </c>
      <c r="X248" s="1">
        <v>4637000</v>
      </c>
      <c r="Y248" s="1">
        <v>5207500</v>
      </c>
      <c r="Z248" s="1">
        <v>3628100</v>
      </c>
      <c r="AA248" s="1">
        <v>2743600</v>
      </c>
      <c r="AB248" s="1">
        <v>7113000</v>
      </c>
      <c r="AC248" s="1">
        <v>4717800</v>
      </c>
      <c r="AD248" s="1">
        <v>6072500</v>
      </c>
      <c r="AE248" s="1">
        <v>4476500</v>
      </c>
      <c r="AF248" s="1">
        <v>3111400</v>
      </c>
      <c r="AG248" s="1">
        <v>3122600</v>
      </c>
      <c r="AH248" s="1">
        <v>4746500</v>
      </c>
      <c r="AI248" s="1">
        <v>7506200</v>
      </c>
      <c r="AJ248" s="1">
        <v>17460900</v>
      </c>
      <c r="AK248" s="1">
        <v>7644100</v>
      </c>
      <c r="AL248" s="1">
        <v>5574200</v>
      </c>
      <c r="AM248" s="1">
        <v>3397800</v>
      </c>
      <c r="AN248" s="1">
        <v>5224200</v>
      </c>
      <c r="AO248" s="1">
        <v>4791900</v>
      </c>
      <c r="AP248" s="1">
        <v>8907400</v>
      </c>
      <c r="AQ248" s="1">
        <v>16251100</v>
      </c>
      <c r="AR248" s="1">
        <v>21985000</v>
      </c>
      <c r="AS248" s="1">
        <v>8557900</v>
      </c>
      <c r="AT248" s="1">
        <v>7107100</v>
      </c>
      <c r="AU248" s="1">
        <v>4579200</v>
      </c>
      <c r="AV248" s="1">
        <v>4143200</v>
      </c>
      <c r="AW248" s="1">
        <v>4240800</v>
      </c>
      <c r="AX248" s="1">
        <v>7525500</v>
      </c>
      <c r="AY248" s="1">
        <v>8411200</v>
      </c>
      <c r="AZ248" s="1">
        <v>3535400</v>
      </c>
      <c r="BA248" s="1">
        <v>7038100</v>
      </c>
      <c r="BB248" s="1">
        <v>11715500</v>
      </c>
      <c r="BC248" s="1">
        <v>3826700</v>
      </c>
      <c r="BD248" s="1">
        <v>5591600</v>
      </c>
      <c r="BE248" s="1">
        <v>8410200</v>
      </c>
      <c r="BF248" s="1">
        <v>6754900</v>
      </c>
      <c r="BG248" s="1">
        <v>5620900</v>
      </c>
      <c r="BH248" s="1">
        <v>4445700</v>
      </c>
      <c r="BI248" s="1">
        <v>6301300</v>
      </c>
      <c r="BJ248" s="1">
        <v>3896400</v>
      </c>
      <c r="BK248" s="1">
        <v>4604200</v>
      </c>
      <c r="BL248" s="1">
        <v>4450500</v>
      </c>
      <c r="BM248" s="1">
        <v>4658000</v>
      </c>
      <c r="BN248" s="1">
        <v>4598700</v>
      </c>
      <c r="BO248" s="1">
        <v>5972300</v>
      </c>
      <c r="BP248" s="1">
        <v>7226300</v>
      </c>
    </row>
    <row r="249" spans="1:68">
      <c r="A249" s="397" t="s">
        <v>462</v>
      </c>
      <c r="B249" s="1" t="str">
        <f>銘柄管理!C249</f>
        <v/>
      </c>
      <c r="C249" s="1" t="str">
        <f>_xll.RssMarket("6361","出来高")</f>
        <v/>
      </c>
      <c r="D249" s="85" t="e">
        <f t="shared" si="3"/>
        <v>#VALUE!</v>
      </c>
      <c r="E249" s="1">
        <v>4306500</v>
      </c>
      <c r="F249" s="1">
        <v>3240700</v>
      </c>
      <c r="G249" s="1">
        <v>3364700</v>
      </c>
      <c r="H249" s="1">
        <v>2081700</v>
      </c>
      <c r="I249" s="1">
        <v>2703900</v>
      </c>
      <c r="J249" s="1">
        <v>3088300</v>
      </c>
      <c r="K249" s="1">
        <v>4263800</v>
      </c>
      <c r="L249" s="1">
        <v>2923400</v>
      </c>
      <c r="M249" s="1">
        <v>3531200</v>
      </c>
      <c r="N249" s="1">
        <v>3285600</v>
      </c>
      <c r="O249" s="1">
        <v>2787200</v>
      </c>
      <c r="P249" s="1">
        <v>3763100</v>
      </c>
      <c r="Q249" s="1">
        <v>3817600</v>
      </c>
      <c r="R249" s="1">
        <v>3048200</v>
      </c>
      <c r="S249" s="1">
        <v>4188600</v>
      </c>
      <c r="T249" s="1">
        <v>4059600</v>
      </c>
      <c r="U249" s="1">
        <v>2646800</v>
      </c>
      <c r="V249" s="1">
        <v>3439500</v>
      </c>
      <c r="W249" s="1">
        <v>1870200</v>
      </c>
      <c r="X249" s="1">
        <v>5643000</v>
      </c>
      <c r="Y249" s="1">
        <v>3696000</v>
      </c>
      <c r="Z249" s="1">
        <v>3437000</v>
      </c>
      <c r="AA249" s="1">
        <v>3206000</v>
      </c>
      <c r="AB249" s="1">
        <v>2920300</v>
      </c>
      <c r="AC249" s="1">
        <v>2568200</v>
      </c>
      <c r="AD249" s="1">
        <v>3427500</v>
      </c>
      <c r="AE249" s="1">
        <v>3192900</v>
      </c>
      <c r="AF249" s="1">
        <v>1687900</v>
      </c>
      <c r="AG249" s="1">
        <v>2272900</v>
      </c>
      <c r="AH249" s="1">
        <v>2891700</v>
      </c>
      <c r="AI249" s="1">
        <v>4060800</v>
      </c>
      <c r="AJ249" s="1">
        <v>4360300</v>
      </c>
      <c r="AK249" s="1">
        <v>3110500</v>
      </c>
      <c r="AL249" s="1">
        <v>3544400</v>
      </c>
      <c r="AM249" s="1">
        <v>3711800</v>
      </c>
      <c r="AN249" s="1">
        <v>4302300</v>
      </c>
      <c r="AO249" s="1">
        <v>3248800</v>
      </c>
      <c r="AP249" s="1">
        <v>4155100</v>
      </c>
      <c r="AQ249" s="1">
        <v>3194200</v>
      </c>
      <c r="AR249" s="1">
        <v>4428300</v>
      </c>
      <c r="AS249" s="1">
        <v>5374800</v>
      </c>
      <c r="AT249" s="1">
        <v>3227300</v>
      </c>
      <c r="AU249" s="1">
        <v>2217500</v>
      </c>
      <c r="AV249" s="1">
        <v>2567100</v>
      </c>
      <c r="AW249" s="1">
        <v>3410800</v>
      </c>
      <c r="AX249" s="1">
        <v>3325300</v>
      </c>
      <c r="AY249" s="1">
        <v>6871600</v>
      </c>
      <c r="AZ249" s="1">
        <v>1790600</v>
      </c>
      <c r="BA249" s="1">
        <v>3556400</v>
      </c>
      <c r="BB249" s="1">
        <v>4089500</v>
      </c>
      <c r="BC249" s="1">
        <v>2855200</v>
      </c>
      <c r="BD249" s="1">
        <v>2647100</v>
      </c>
      <c r="BE249" s="1">
        <v>3450000</v>
      </c>
      <c r="BF249" s="1">
        <v>4481500</v>
      </c>
      <c r="BG249" s="1">
        <v>1813400</v>
      </c>
      <c r="BH249" s="1">
        <v>2190600</v>
      </c>
      <c r="BI249" s="1">
        <v>2076600</v>
      </c>
      <c r="BJ249" s="1">
        <v>2920800</v>
      </c>
      <c r="BK249" s="1">
        <v>2891900</v>
      </c>
      <c r="BL249" s="1">
        <v>2357100</v>
      </c>
      <c r="BM249" s="1">
        <v>2015400</v>
      </c>
      <c r="BN249" s="1">
        <v>3960600</v>
      </c>
      <c r="BO249" s="1">
        <v>4075200</v>
      </c>
      <c r="BP249" s="1">
        <v>4357700</v>
      </c>
    </row>
    <row r="250" spans="1:68">
      <c r="A250" s="397" t="s">
        <v>463</v>
      </c>
      <c r="B250" s="1" t="str">
        <f>銘柄管理!C250</f>
        <v/>
      </c>
      <c r="C250" s="1" t="str">
        <f>_xll.RssMarket("155A","出来高")</f>
        <v/>
      </c>
      <c r="D250" s="85" t="e">
        <f t="shared" si="3"/>
        <v>#VALUE!</v>
      </c>
      <c r="E250" s="1">
        <v>97600</v>
      </c>
      <c r="F250" s="1">
        <v>58400</v>
      </c>
      <c r="G250" s="1">
        <v>30500</v>
      </c>
      <c r="H250" s="1">
        <v>30000</v>
      </c>
      <c r="I250" s="1">
        <v>22600</v>
      </c>
      <c r="J250" s="1">
        <v>29700</v>
      </c>
      <c r="K250" s="1">
        <v>38500</v>
      </c>
      <c r="L250" s="1">
        <v>29200</v>
      </c>
      <c r="M250" s="1">
        <v>32800</v>
      </c>
      <c r="N250" s="1">
        <v>33600</v>
      </c>
      <c r="O250" s="1">
        <v>53800</v>
      </c>
      <c r="P250" s="1">
        <v>27000</v>
      </c>
      <c r="Q250" s="1">
        <v>27700</v>
      </c>
      <c r="R250" s="1">
        <v>20600</v>
      </c>
      <c r="S250" s="1">
        <v>59100</v>
      </c>
      <c r="T250" s="1">
        <v>46700</v>
      </c>
      <c r="U250" s="1">
        <v>228900</v>
      </c>
      <c r="V250" s="1">
        <v>48700</v>
      </c>
      <c r="W250" s="1">
        <v>103400</v>
      </c>
      <c r="X250" s="1">
        <v>54900</v>
      </c>
      <c r="Y250" s="1">
        <v>45100</v>
      </c>
      <c r="Z250" s="1">
        <v>58200</v>
      </c>
      <c r="AA250" s="1">
        <v>29200</v>
      </c>
      <c r="AB250" s="1">
        <v>35200</v>
      </c>
      <c r="AC250" s="1">
        <v>39500</v>
      </c>
      <c r="AD250" s="1">
        <v>45900</v>
      </c>
      <c r="AE250" s="1">
        <v>84000</v>
      </c>
      <c r="AF250" s="1">
        <v>61600</v>
      </c>
      <c r="AG250" s="1">
        <v>67600</v>
      </c>
      <c r="AH250" s="1">
        <v>115500</v>
      </c>
      <c r="AI250" s="1">
        <v>33400</v>
      </c>
      <c r="AJ250" s="1">
        <v>90300</v>
      </c>
      <c r="AK250" s="1">
        <v>40000</v>
      </c>
      <c r="AL250" s="1">
        <v>61700</v>
      </c>
      <c r="AM250" s="1">
        <v>47800</v>
      </c>
      <c r="AN250" s="1">
        <v>38200</v>
      </c>
      <c r="AO250" s="1">
        <v>45800</v>
      </c>
      <c r="AP250" s="1">
        <v>106000</v>
      </c>
      <c r="AQ250" s="1">
        <v>183800</v>
      </c>
      <c r="AR250" s="1">
        <v>344400</v>
      </c>
      <c r="AS250" s="1">
        <v>217900</v>
      </c>
      <c r="AT250" s="1">
        <v>87900</v>
      </c>
      <c r="AU250" s="1">
        <v>61800</v>
      </c>
      <c r="AV250" s="1">
        <v>28100</v>
      </c>
      <c r="AW250" s="1">
        <v>28400</v>
      </c>
      <c r="AX250" s="1">
        <v>25600</v>
      </c>
      <c r="AY250" s="1">
        <v>22900</v>
      </c>
      <c r="AZ250" s="1">
        <v>23100</v>
      </c>
      <c r="BA250" s="1">
        <v>34400</v>
      </c>
      <c r="BB250" s="1">
        <v>30900</v>
      </c>
      <c r="BC250" s="1">
        <v>34100</v>
      </c>
      <c r="BD250" s="1">
        <v>17500</v>
      </c>
      <c r="BE250" s="1">
        <v>22500</v>
      </c>
      <c r="BF250" s="1">
        <v>25100</v>
      </c>
      <c r="BG250" s="1">
        <v>28700</v>
      </c>
      <c r="BH250" s="1">
        <v>24000</v>
      </c>
      <c r="BI250" s="1">
        <v>25300</v>
      </c>
      <c r="BJ250" s="1">
        <v>33100</v>
      </c>
      <c r="BK250" s="1">
        <v>54400</v>
      </c>
      <c r="BL250" s="1">
        <v>33700</v>
      </c>
      <c r="BM250" s="1">
        <v>110200</v>
      </c>
      <c r="BN250" s="1">
        <v>76500</v>
      </c>
      <c r="BO250" s="1">
        <v>68100</v>
      </c>
      <c r="BP250" s="1">
        <v>45800</v>
      </c>
    </row>
    <row r="251" spans="1:68">
      <c r="A251" s="397" t="s">
        <v>464</v>
      </c>
      <c r="B251" s="1" t="str">
        <f>銘柄管理!C251</f>
        <v/>
      </c>
      <c r="C251" s="1" t="str">
        <f>_xll.RssMarket("278A","出来高")</f>
        <v/>
      </c>
      <c r="D251" s="85" t="e">
        <f t="shared" si="3"/>
        <v>#VALUE!</v>
      </c>
      <c r="E251" s="1">
        <v>4024700</v>
      </c>
      <c r="F251" s="1">
        <v>3747900</v>
      </c>
      <c r="G251" s="1">
        <v>976100</v>
      </c>
      <c r="H251" s="1">
        <v>1809100</v>
      </c>
      <c r="I251" s="1">
        <v>1877800</v>
      </c>
      <c r="J251" s="1">
        <v>1308400</v>
      </c>
      <c r="K251" s="1">
        <v>308200</v>
      </c>
      <c r="L251" s="1">
        <v>874100</v>
      </c>
      <c r="M251" s="1">
        <v>1155200</v>
      </c>
      <c r="N251" s="1">
        <v>420400</v>
      </c>
      <c r="O251" s="1">
        <v>299900</v>
      </c>
      <c r="P251" s="1">
        <v>169900</v>
      </c>
      <c r="Q251" s="1">
        <v>182600</v>
      </c>
      <c r="R251" s="1">
        <v>197000</v>
      </c>
      <c r="S251" s="1">
        <v>258300</v>
      </c>
      <c r="T251" s="1">
        <v>262700</v>
      </c>
      <c r="U251" s="1">
        <v>437200</v>
      </c>
      <c r="V251" s="1">
        <v>1138100</v>
      </c>
      <c r="W251" s="1">
        <v>1121300</v>
      </c>
      <c r="X251" s="1">
        <v>455000</v>
      </c>
      <c r="Y251" s="1">
        <v>906800</v>
      </c>
      <c r="Z251" s="1">
        <v>2099300</v>
      </c>
      <c r="AA251" s="1">
        <v>689500</v>
      </c>
      <c r="AB251" s="1">
        <v>559500</v>
      </c>
      <c r="AC251" s="1">
        <v>630800</v>
      </c>
      <c r="AD251" s="1">
        <v>1250900</v>
      </c>
      <c r="AE251" s="1">
        <v>1781800</v>
      </c>
      <c r="AF251" s="1">
        <v>430500</v>
      </c>
      <c r="AG251" s="1">
        <v>418800</v>
      </c>
      <c r="AH251" s="1">
        <v>391800</v>
      </c>
      <c r="AI251" s="1">
        <v>423300</v>
      </c>
      <c r="AJ251" s="1">
        <v>633600</v>
      </c>
      <c r="AK251" s="1">
        <v>1051000</v>
      </c>
      <c r="AL251" s="1">
        <v>956500</v>
      </c>
      <c r="AM251" s="1">
        <v>643500</v>
      </c>
      <c r="AN251" s="1">
        <v>521900</v>
      </c>
      <c r="AO251" s="1">
        <v>720600</v>
      </c>
      <c r="AP251" s="1">
        <v>750600</v>
      </c>
      <c r="AQ251" s="1">
        <v>1680900</v>
      </c>
      <c r="AR251" s="1">
        <v>1220200</v>
      </c>
      <c r="AS251" s="1">
        <v>2123900</v>
      </c>
      <c r="AT251" s="1">
        <v>1887300</v>
      </c>
      <c r="AU251" s="1">
        <v>4134500</v>
      </c>
      <c r="AV251" s="1">
        <v>1320900</v>
      </c>
      <c r="AW251" s="1">
        <v>1134000</v>
      </c>
      <c r="AX251" s="1">
        <v>2416200</v>
      </c>
      <c r="AY251" s="1">
        <v>2877500</v>
      </c>
      <c r="AZ251" s="1">
        <v>1631300</v>
      </c>
      <c r="BA251" s="1">
        <v>2508400</v>
      </c>
      <c r="BB251" s="1">
        <v>927900</v>
      </c>
      <c r="BC251" s="1">
        <v>846600</v>
      </c>
      <c r="BD251" s="1">
        <v>1400400</v>
      </c>
      <c r="BE251" s="1">
        <v>2371600</v>
      </c>
      <c r="BF251" s="1">
        <v>1257400</v>
      </c>
      <c r="BG251" s="1">
        <v>662900</v>
      </c>
      <c r="BH251" s="1">
        <v>744800</v>
      </c>
      <c r="BI251" s="1">
        <v>904700</v>
      </c>
      <c r="BJ251" s="1">
        <v>1875500</v>
      </c>
      <c r="BK251" s="1">
        <v>849100</v>
      </c>
      <c r="BL251" s="1">
        <v>1877000</v>
      </c>
      <c r="BM251" s="1">
        <v>749300</v>
      </c>
      <c r="BN251" s="1">
        <v>1106800</v>
      </c>
      <c r="BO251" s="1">
        <v>899500</v>
      </c>
      <c r="BP251" s="1">
        <v>535500</v>
      </c>
    </row>
    <row r="252" spans="1:68">
      <c r="A252" s="397" t="s">
        <v>465</v>
      </c>
      <c r="B252" s="1" t="str">
        <f>銘柄管理!C252</f>
        <v/>
      </c>
      <c r="C252" s="1" t="str">
        <f>_xll.RssMarket("300A","出来高")</f>
        <v/>
      </c>
      <c r="D252" s="85" t="e">
        <f t="shared" si="3"/>
        <v>#VALUE!</v>
      </c>
      <c r="E252" s="1">
        <v>12800</v>
      </c>
      <c r="F252" s="1">
        <v>9500</v>
      </c>
      <c r="G252" s="1">
        <v>7500</v>
      </c>
      <c r="H252" s="1">
        <v>12700</v>
      </c>
      <c r="I252" s="1">
        <v>4700</v>
      </c>
      <c r="J252" s="1">
        <v>7000</v>
      </c>
      <c r="K252" s="1">
        <v>3400</v>
      </c>
      <c r="L252" s="1">
        <v>11300</v>
      </c>
      <c r="M252" s="1">
        <v>5400</v>
      </c>
      <c r="N252" s="1">
        <v>4500</v>
      </c>
      <c r="O252" s="1">
        <v>8500</v>
      </c>
      <c r="P252" s="1">
        <v>11800</v>
      </c>
      <c r="Q252" s="1">
        <v>5000</v>
      </c>
      <c r="R252" s="1">
        <v>11100</v>
      </c>
      <c r="S252" s="1">
        <v>8000</v>
      </c>
      <c r="T252" s="1">
        <v>8400</v>
      </c>
      <c r="U252" s="1">
        <v>11900</v>
      </c>
      <c r="V252" s="1">
        <v>7700</v>
      </c>
      <c r="W252" s="1">
        <v>3100</v>
      </c>
      <c r="X252" s="1">
        <v>13000</v>
      </c>
      <c r="Y252" s="1">
        <v>18700</v>
      </c>
      <c r="Z252" s="1">
        <v>5400</v>
      </c>
      <c r="AA252" s="1">
        <v>10000</v>
      </c>
      <c r="AB252" s="1">
        <v>22400</v>
      </c>
      <c r="AC252" s="1">
        <v>19000</v>
      </c>
      <c r="AD252" s="1">
        <v>7000</v>
      </c>
      <c r="AE252" s="1">
        <v>12400</v>
      </c>
      <c r="AF252" s="1">
        <v>7300</v>
      </c>
      <c r="AG252" s="1">
        <v>16000</v>
      </c>
      <c r="AH252" s="1">
        <v>9500</v>
      </c>
      <c r="AI252" s="1">
        <v>17300</v>
      </c>
      <c r="AJ252" s="1">
        <v>15900</v>
      </c>
      <c r="AK252" s="1">
        <v>6300</v>
      </c>
      <c r="AL252" s="1">
        <v>8200</v>
      </c>
      <c r="AM252" s="1">
        <v>13200</v>
      </c>
      <c r="AN252" s="1">
        <v>13900</v>
      </c>
      <c r="AO252" s="1">
        <v>9900</v>
      </c>
      <c r="AP252" s="1">
        <v>17700</v>
      </c>
      <c r="AQ252" s="1">
        <v>18200</v>
      </c>
      <c r="AR252" s="1">
        <v>68300</v>
      </c>
      <c r="AS252" s="1">
        <v>101600</v>
      </c>
      <c r="AT252" s="1">
        <v>35800</v>
      </c>
      <c r="AU252" s="1">
        <v>17800</v>
      </c>
      <c r="AV252" s="1">
        <v>24600</v>
      </c>
      <c r="AW252" s="1">
        <v>19300</v>
      </c>
      <c r="AX252" s="1">
        <v>13900</v>
      </c>
      <c r="AY252" s="1">
        <v>26000</v>
      </c>
      <c r="AZ252" s="1">
        <v>23600</v>
      </c>
      <c r="BA252" s="1">
        <v>24400</v>
      </c>
      <c r="BB252" s="1">
        <v>15100</v>
      </c>
      <c r="BC252" s="1">
        <v>40400</v>
      </c>
      <c r="BD252" s="1">
        <v>20300</v>
      </c>
      <c r="BE252" s="1">
        <v>24400</v>
      </c>
      <c r="BF252" s="1">
        <v>20400</v>
      </c>
      <c r="BG252" s="1">
        <v>14000</v>
      </c>
      <c r="BH252" s="1">
        <v>12600</v>
      </c>
      <c r="BI252" s="1">
        <v>19600</v>
      </c>
      <c r="BJ252" s="1">
        <v>21000</v>
      </c>
      <c r="BK252" s="1">
        <v>27800</v>
      </c>
      <c r="BL252" s="1">
        <v>28000</v>
      </c>
      <c r="BM252" s="1">
        <v>29100</v>
      </c>
      <c r="BN252" s="1">
        <v>22100</v>
      </c>
      <c r="BO252" s="1">
        <v>18600</v>
      </c>
      <c r="BP252" s="1">
        <v>38800</v>
      </c>
    </row>
    <row r="253" spans="1:68">
      <c r="A253" s="397" t="s">
        <v>466</v>
      </c>
      <c r="B253" s="1" t="str">
        <f>銘柄管理!C253</f>
        <v/>
      </c>
      <c r="C253" s="1" t="str">
        <f>_xll.RssMarket("4776","出来高")</f>
        <v/>
      </c>
      <c r="D253" s="85" t="e">
        <f t="shared" si="3"/>
        <v>#VALUE!</v>
      </c>
      <c r="E253" s="1">
        <v>211700</v>
      </c>
      <c r="F253" s="1">
        <v>230500</v>
      </c>
      <c r="G253" s="1">
        <v>212600</v>
      </c>
      <c r="H253" s="1">
        <v>249500</v>
      </c>
      <c r="I253" s="1">
        <v>276200</v>
      </c>
      <c r="J253" s="1">
        <v>337500</v>
      </c>
      <c r="K253" s="1">
        <v>327200</v>
      </c>
      <c r="L253" s="1">
        <v>336100</v>
      </c>
      <c r="M253" s="1">
        <v>367200</v>
      </c>
      <c r="N253" s="1">
        <v>438100</v>
      </c>
      <c r="O253" s="1">
        <v>651100</v>
      </c>
      <c r="P253" s="1">
        <v>263500</v>
      </c>
      <c r="Q253" s="1">
        <v>375600</v>
      </c>
      <c r="R253" s="1">
        <v>630200</v>
      </c>
      <c r="S253" s="1">
        <v>413600</v>
      </c>
      <c r="T253" s="1">
        <v>482000</v>
      </c>
      <c r="U253" s="1">
        <v>485200</v>
      </c>
      <c r="V253" s="1">
        <v>520000</v>
      </c>
      <c r="W253" s="1">
        <v>267700</v>
      </c>
      <c r="X253" s="1">
        <v>340500</v>
      </c>
      <c r="Y253" s="1">
        <v>311500</v>
      </c>
      <c r="Z253" s="1">
        <v>294200</v>
      </c>
      <c r="AA253" s="1">
        <v>327000</v>
      </c>
      <c r="AB253" s="1">
        <v>615300</v>
      </c>
      <c r="AC253" s="1">
        <v>393900</v>
      </c>
      <c r="AD253" s="1">
        <v>282700</v>
      </c>
      <c r="AE253" s="1">
        <v>360900</v>
      </c>
      <c r="AF253" s="1">
        <v>404600</v>
      </c>
      <c r="AG253" s="1">
        <v>486700</v>
      </c>
      <c r="AH253" s="1">
        <v>756200</v>
      </c>
      <c r="AI253" s="1">
        <v>746600</v>
      </c>
      <c r="AJ253" s="1">
        <v>586400</v>
      </c>
      <c r="AK253" s="1">
        <v>336200</v>
      </c>
      <c r="AL253" s="1">
        <v>332500</v>
      </c>
      <c r="AM253" s="1">
        <v>617500</v>
      </c>
      <c r="AN253" s="1">
        <v>427400</v>
      </c>
      <c r="AO253" s="1">
        <v>727700</v>
      </c>
      <c r="AP253" s="1">
        <v>614500</v>
      </c>
      <c r="AQ253" s="1">
        <v>697500</v>
      </c>
      <c r="AR253" s="1">
        <v>774600</v>
      </c>
      <c r="AS253" s="1">
        <v>1779700</v>
      </c>
      <c r="AT253" s="1">
        <v>996400</v>
      </c>
      <c r="AU253" s="1">
        <v>555900</v>
      </c>
      <c r="AV253" s="1">
        <v>540800</v>
      </c>
      <c r="AW253" s="1">
        <v>621600</v>
      </c>
      <c r="AX253" s="1">
        <v>721200</v>
      </c>
      <c r="AY253" s="1">
        <v>741200</v>
      </c>
      <c r="AZ253" s="1">
        <v>348000</v>
      </c>
      <c r="BA253" s="1">
        <v>1118600</v>
      </c>
      <c r="BB253" s="1">
        <v>598300</v>
      </c>
      <c r="BC253" s="1">
        <v>372700</v>
      </c>
      <c r="BD253" s="1">
        <v>400100</v>
      </c>
      <c r="BE253" s="1">
        <v>646200</v>
      </c>
      <c r="BF253" s="1">
        <v>300800</v>
      </c>
      <c r="BG253" s="1">
        <v>539700</v>
      </c>
      <c r="BH253" s="1">
        <v>569400</v>
      </c>
      <c r="BI253" s="1">
        <v>1129300</v>
      </c>
      <c r="BJ253" s="1">
        <v>782200</v>
      </c>
      <c r="BK253" s="1">
        <v>689800</v>
      </c>
      <c r="BL253" s="1">
        <v>652800</v>
      </c>
      <c r="BM253" s="1">
        <v>478500</v>
      </c>
      <c r="BN253" s="1">
        <v>779500</v>
      </c>
      <c r="BO253" s="1">
        <v>522800</v>
      </c>
      <c r="BP253" s="1">
        <v>374000</v>
      </c>
    </row>
    <row r="254" spans="1:68">
      <c r="A254" s="397" t="s">
        <v>467</v>
      </c>
      <c r="B254" s="1" t="str">
        <f>銘柄管理!C254</f>
        <v/>
      </c>
      <c r="C254" s="1" t="str">
        <f>_xll.RssMarket("4704","出来高")</f>
        <v/>
      </c>
      <c r="D254" s="85" t="e">
        <f t="shared" si="3"/>
        <v>#VALUE!</v>
      </c>
      <c r="E254" s="1">
        <v>2450000</v>
      </c>
      <c r="F254" s="1">
        <v>892100</v>
      </c>
      <c r="G254" s="1">
        <v>847800</v>
      </c>
      <c r="H254" s="1">
        <v>577200</v>
      </c>
      <c r="I254" s="1">
        <v>779900</v>
      </c>
      <c r="J254" s="1">
        <v>764400</v>
      </c>
      <c r="K254" s="1">
        <v>957900</v>
      </c>
      <c r="L254" s="1">
        <v>877300</v>
      </c>
      <c r="M254" s="1">
        <v>667300</v>
      </c>
      <c r="N254" s="1">
        <v>854600</v>
      </c>
      <c r="O254" s="1">
        <v>1102100</v>
      </c>
      <c r="P254" s="1">
        <v>661000</v>
      </c>
      <c r="Q254" s="1">
        <v>1003200</v>
      </c>
      <c r="R254" s="1">
        <v>1028300</v>
      </c>
      <c r="S254" s="1">
        <v>642600</v>
      </c>
      <c r="T254" s="1">
        <v>728200</v>
      </c>
      <c r="U254" s="1">
        <v>825500</v>
      </c>
      <c r="V254" s="1">
        <v>967300</v>
      </c>
      <c r="W254" s="1">
        <v>614900</v>
      </c>
      <c r="X254" s="1">
        <v>1762100</v>
      </c>
      <c r="Y254" s="1">
        <v>849200</v>
      </c>
      <c r="Z254" s="1">
        <v>914000</v>
      </c>
      <c r="AA254" s="1">
        <v>831800</v>
      </c>
      <c r="AB254" s="1">
        <v>1214800</v>
      </c>
      <c r="AC254" s="1">
        <v>695700</v>
      </c>
      <c r="AD254" s="1">
        <v>828400</v>
      </c>
      <c r="AE254" s="1">
        <v>1157200</v>
      </c>
      <c r="AF254" s="1">
        <v>2647200</v>
      </c>
      <c r="AG254" s="1">
        <v>1217300</v>
      </c>
      <c r="AH254" s="1">
        <v>1063300</v>
      </c>
      <c r="AI254" s="1">
        <v>1131900</v>
      </c>
      <c r="AJ254" s="1">
        <v>1228900</v>
      </c>
      <c r="AK254" s="1">
        <v>842400</v>
      </c>
      <c r="AL254" s="1">
        <v>1074600</v>
      </c>
      <c r="AM254" s="1">
        <v>1342600</v>
      </c>
      <c r="AN254" s="1">
        <v>1094200</v>
      </c>
      <c r="AO254" s="1">
        <v>738700</v>
      </c>
      <c r="AP254" s="1">
        <v>1028500</v>
      </c>
      <c r="AQ254" s="1">
        <v>1367200</v>
      </c>
      <c r="AR254" s="1">
        <v>1233800</v>
      </c>
      <c r="AS254" s="1">
        <v>1500300</v>
      </c>
      <c r="AT254" s="1">
        <v>757900</v>
      </c>
      <c r="AU254" s="1">
        <v>525800</v>
      </c>
      <c r="AV254" s="1">
        <v>601400</v>
      </c>
      <c r="AW254" s="1">
        <v>686400</v>
      </c>
      <c r="AX254" s="1">
        <v>1374200</v>
      </c>
      <c r="AY254" s="1">
        <v>1178000</v>
      </c>
      <c r="AZ254" s="1">
        <v>893500</v>
      </c>
      <c r="BA254" s="1">
        <v>1219300</v>
      </c>
      <c r="BB254" s="1">
        <v>848300</v>
      </c>
      <c r="BC254" s="1">
        <v>1033200</v>
      </c>
      <c r="BD254" s="1">
        <v>959000</v>
      </c>
      <c r="BE254" s="1">
        <v>1158800</v>
      </c>
      <c r="BF254" s="1">
        <v>1031000</v>
      </c>
      <c r="BG254" s="1">
        <v>1436500</v>
      </c>
      <c r="BH254" s="1">
        <v>1741300</v>
      </c>
      <c r="BI254" s="1">
        <v>2337100</v>
      </c>
      <c r="BJ254" s="1">
        <v>5516300</v>
      </c>
      <c r="BK254" s="1">
        <v>1065600</v>
      </c>
      <c r="BL254" s="1">
        <v>911800</v>
      </c>
      <c r="BM254" s="1">
        <v>913100</v>
      </c>
      <c r="BN254" s="1">
        <v>1431900</v>
      </c>
      <c r="BO254" s="1">
        <v>927800</v>
      </c>
      <c r="BP254" s="1">
        <v>1115400</v>
      </c>
    </row>
    <row r="255" spans="1:68">
      <c r="A255" s="397" t="s">
        <v>468</v>
      </c>
      <c r="B255" s="1" t="str">
        <f>銘柄管理!C255</f>
        <v/>
      </c>
      <c r="C255" s="1" t="str">
        <f>_xll.RssMarket("6370","出来高")</f>
        <v/>
      </c>
      <c r="D255" s="85" t="e">
        <f t="shared" si="3"/>
        <v>#VALUE!</v>
      </c>
      <c r="E255" s="1">
        <v>712200</v>
      </c>
      <c r="F255" s="1">
        <v>237100</v>
      </c>
      <c r="G255" s="1">
        <v>427200</v>
      </c>
      <c r="H255" s="1">
        <v>381900</v>
      </c>
      <c r="I255" s="1">
        <v>361400</v>
      </c>
      <c r="J255" s="1">
        <v>458300</v>
      </c>
      <c r="K255" s="1">
        <v>390100</v>
      </c>
      <c r="L255" s="1">
        <v>410000</v>
      </c>
      <c r="M255" s="1">
        <v>451800</v>
      </c>
      <c r="N255" s="1">
        <v>495200</v>
      </c>
      <c r="O255" s="1">
        <v>413800</v>
      </c>
      <c r="P255" s="1">
        <v>414800</v>
      </c>
      <c r="Q255" s="1">
        <v>507700</v>
      </c>
      <c r="R255" s="1">
        <v>751300</v>
      </c>
      <c r="S255" s="1">
        <v>458600</v>
      </c>
      <c r="T255" s="1">
        <v>503000</v>
      </c>
      <c r="U255" s="1">
        <v>337300</v>
      </c>
      <c r="V255" s="1">
        <v>430900</v>
      </c>
      <c r="W255" s="1">
        <v>532200</v>
      </c>
      <c r="X255" s="1">
        <v>684900</v>
      </c>
      <c r="Y255" s="1">
        <v>511700</v>
      </c>
      <c r="Z255" s="1">
        <v>701100</v>
      </c>
      <c r="AA255" s="1">
        <v>709000</v>
      </c>
      <c r="AB255" s="1">
        <v>561900</v>
      </c>
      <c r="AC255" s="1">
        <v>504000</v>
      </c>
      <c r="AD255" s="1">
        <v>368600</v>
      </c>
      <c r="AE255" s="1">
        <v>725300</v>
      </c>
      <c r="AF255" s="1">
        <v>401900</v>
      </c>
      <c r="AG255" s="1">
        <v>348100</v>
      </c>
      <c r="AH255" s="1">
        <v>502500</v>
      </c>
      <c r="AI255" s="1">
        <v>377300</v>
      </c>
      <c r="AJ255" s="1">
        <v>556400</v>
      </c>
      <c r="AK255" s="1">
        <v>493800</v>
      </c>
      <c r="AL255" s="1">
        <v>473600</v>
      </c>
      <c r="AM255" s="1">
        <v>489100</v>
      </c>
      <c r="AN255" s="1">
        <v>444600</v>
      </c>
      <c r="AO255" s="1">
        <v>492500</v>
      </c>
      <c r="AP255" s="1">
        <v>791300</v>
      </c>
      <c r="AQ255" s="1">
        <v>815700</v>
      </c>
      <c r="AR255" s="1">
        <v>815800</v>
      </c>
      <c r="AS255" s="1">
        <v>1030400</v>
      </c>
      <c r="AT255" s="1">
        <v>845700</v>
      </c>
      <c r="AU255" s="1">
        <v>426700</v>
      </c>
      <c r="AV255" s="1">
        <v>611800</v>
      </c>
      <c r="AW255" s="1">
        <v>837400</v>
      </c>
      <c r="AX255" s="1">
        <v>914000</v>
      </c>
      <c r="AY255" s="1">
        <v>795900</v>
      </c>
      <c r="AZ255" s="1">
        <v>653800</v>
      </c>
      <c r="BA255" s="1">
        <v>827500</v>
      </c>
      <c r="BB255" s="1">
        <v>661400</v>
      </c>
      <c r="BC255" s="1">
        <v>766300</v>
      </c>
      <c r="BD255" s="1">
        <v>582900</v>
      </c>
      <c r="BE255" s="1">
        <v>534400</v>
      </c>
      <c r="BF255" s="1">
        <v>577300</v>
      </c>
      <c r="BG255" s="1">
        <v>421700</v>
      </c>
      <c r="BH255" s="1">
        <v>368500</v>
      </c>
      <c r="BI255" s="1">
        <v>662400</v>
      </c>
      <c r="BJ255" s="1">
        <v>566800</v>
      </c>
      <c r="BK255" s="1">
        <v>461700</v>
      </c>
      <c r="BL255" s="1">
        <v>627200</v>
      </c>
      <c r="BM255" s="1">
        <v>344000</v>
      </c>
      <c r="BN255" s="1">
        <v>404400</v>
      </c>
      <c r="BO255" s="1">
        <v>418600</v>
      </c>
      <c r="BP255" s="1">
        <v>470500</v>
      </c>
    </row>
    <row r="256" spans="1:68">
      <c r="A256" s="397" t="s">
        <v>469</v>
      </c>
      <c r="B256" s="1" t="str">
        <f>銘柄管理!C256</f>
        <v/>
      </c>
      <c r="C256" s="1" t="str">
        <f>_xll.RssMarket("7014","出来高")</f>
        <v/>
      </c>
      <c r="D256" s="85" t="e">
        <f t="shared" si="3"/>
        <v>#VALUE!</v>
      </c>
      <c r="E256" s="1">
        <v>1395500</v>
      </c>
      <c r="F256" s="1">
        <v>1343300</v>
      </c>
      <c r="G256" s="1">
        <v>1218100</v>
      </c>
      <c r="H256" s="1">
        <v>827200</v>
      </c>
      <c r="I256" s="1">
        <v>702400</v>
      </c>
      <c r="J256" s="1">
        <v>1197500</v>
      </c>
      <c r="K256" s="1">
        <v>1629300</v>
      </c>
      <c r="L256" s="1">
        <v>2796400</v>
      </c>
      <c r="M256" s="1">
        <v>2436500</v>
      </c>
      <c r="N256" s="1">
        <v>970400</v>
      </c>
      <c r="O256" s="1">
        <v>1166500</v>
      </c>
      <c r="P256" s="1">
        <v>775900</v>
      </c>
      <c r="Q256" s="1">
        <v>578700</v>
      </c>
      <c r="R256" s="1">
        <v>960900</v>
      </c>
      <c r="S256" s="1">
        <v>892100</v>
      </c>
      <c r="T256" s="1">
        <v>420600</v>
      </c>
      <c r="U256" s="1">
        <v>506900</v>
      </c>
      <c r="V256" s="1">
        <v>1041100</v>
      </c>
      <c r="W256" s="1">
        <v>884700</v>
      </c>
      <c r="X256" s="1">
        <v>959700</v>
      </c>
      <c r="Y256" s="1">
        <v>803900</v>
      </c>
      <c r="Z256" s="1">
        <v>1283000</v>
      </c>
      <c r="AA256" s="1">
        <v>1306100</v>
      </c>
      <c r="AB256" s="1">
        <v>1123200</v>
      </c>
      <c r="AC256" s="1">
        <v>1591100</v>
      </c>
      <c r="AD256" s="1">
        <v>903000</v>
      </c>
      <c r="AE256" s="1">
        <v>1128800</v>
      </c>
      <c r="AF256" s="1">
        <v>1314900</v>
      </c>
      <c r="AG256" s="1">
        <v>1325000</v>
      </c>
      <c r="AH256" s="1">
        <v>1314400</v>
      </c>
      <c r="AI256" s="1">
        <v>1615200</v>
      </c>
      <c r="AJ256" s="1">
        <v>1763900</v>
      </c>
      <c r="AK256" s="1">
        <v>1352400</v>
      </c>
      <c r="AL256" s="1">
        <v>903400</v>
      </c>
      <c r="AM256" s="1">
        <v>1040400</v>
      </c>
      <c r="AN256" s="1">
        <v>999800</v>
      </c>
      <c r="AO256" s="1">
        <v>492500</v>
      </c>
      <c r="AP256" s="1">
        <v>791300</v>
      </c>
      <c r="AQ256" s="1">
        <v>815700</v>
      </c>
      <c r="AR256" s="1">
        <v>815800</v>
      </c>
      <c r="AS256" s="1">
        <v>1030400</v>
      </c>
      <c r="AT256" s="1">
        <v>845700</v>
      </c>
      <c r="AU256" s="1">
        <v>426700</v>
      </c>
      <c r="AV256" s="1">
        <v>611800</v>
      </c>
      <c r="AW256" s="1">
        <v>837400</v>
      </c>
      <c r="AX256" s="1">
        <v>914000</v>
      </c>
      <c r="AY256" s="1">
        <v>795900</v>
      </c>
      <c r="AZ256" s="1">
        <v>653800</v>
      </c>
      <c r="BA256" s="1">
        <v>827500</v>
      </c>
      <c r="BB256" s="1">
        <v>661400</v>
      </c>
      <c r="BC256" s="1">
        <v>766300</v>
      </c>
      <c r="BD256" s="1">
        <v>582900</v>
      </c>
      <c r="BE256" s="1">
        <v>534400</v>
      </c>
      <c r="BF256" s="1">
        <v>577300</v>
      </c>
      <c r="BG256" s="1">
        <v>421700</v>
      </c>
      <c r="BH256" s="1">
        <v>368500</v>
      </c>
      <c r="BI256" s="1">
        <v>662400</v>
      </c>
      <c r="BJ256" s="1">
        <v>566800</v>
      </c>
      <c r="BK256" s="1">
        <v>461700</v>
      </c>
      <c r="BL256" s="1">
        <v>627200</v>
      </c>
      <c r="BM256" s="1">
        <v>344000</v>
      </c>
      <c r="BN256" s="1">
        <v>404400</v>
      </c>
      <c r="BO256" s="1">
        <v>418600</v>
      </c>
      <c r="BP256" s="1">
        <v>470500</v>
      </c>
    </row>
    <row r="257" spans="1:68">
      <c r="A257" s="397" t="s">
        <v>470</v>
      </c>
      <c r="B257" s="1" t="str">
        <f>銘柄管理!C257</f>
        <v/>
      </c>
      <c r="C257" s="1" t="str">
        <f>_xll.RssMarket("9880","出来高")</f>
        <v/>
      </c>
      <c r="D257" s="85" t="e">
        <f t="shared" si="3"/>
        <v>#VALUE!</v>
      </c>
      <c r="E257" s="1">
        <v>221500</v>
      </c>
      <c r="F257" s="1">
        <v>78700</v>
      </c>
      <c r="G257" s="1">
        <v>115100</v>
      </c>
      <c r="H257" s="1">
        <v>95400</v>
      </c>
      <c r="I257" s="1">
        <v>92700</v>
      </c>
      <c r="J257" s="1">
        <v>111900</v>
      </c>
      <c r="K257" s="1">
        <v>166900</v>
      </c>
      <c r="L257" s="1">
        <v>139500</v>
      </c>
      <c r="M257" s="1">
        <v>83000</v>
      </c>
      <c r="N257" s="1">
        <v>148400</v>
      </c>
      <c r="O257" s="1">
        <v>136600</v>
      </c>
      <c r="P257" s="1">
        <v>126700</v>
      </c>
      <c r="Q257" s="1">
        <v>136800</v>
      </c>
      <c r="R257" s="1">
        <v>144600</v>
      </c>
      <c r="S257" s="1">
        <v>131700</v>
      </c>
      <c r="T257" s="1">
        <v>138300</v>
      </c>
      <c r="U257" s="1">
        <v>99300</v>
      </c>
      <c r="V257" s="1">
        <v>179900</v>
      </c>
      <c r="W257" s="1">
        <v>241500</v>
      </c>
      <c r="X257" s="1">
        <v>135300</v>
      </c>
      <c r="Y257" s="1">
        <v>151200</v>
      </c>
      <c r="Z257" s="1">
        <v>176800</v>
      </c>
      <c r="AA257" s="1">
        <v>165600</v>
      </c>
      <c r="AB257" s="1">
        <v>141400</v>
      </c>
      <c r="AC257" s="1">
        <v>134400</v>
      </c>
      <c r="AD257" s="1">
        <v>205100</v>
      </c>
      <c r="AE257" s="1">
        <v>194400</v>
      </c>
      <c r="AF257" s="1">
        <v>192800</v>
      </c>
      <c r="AG257" s="1">
        <v>213800</v>
      </c>
      <c r="AH257" s="1">
        <v>202100</v>
      </c>
      <c r="AI257" s="1">
        <v>181100</v>
      </c>
      <c r="AJ257" s="1">
        <v>222600</v>
      </c>
      <c r="AK257" s="1">
        <v>248200</v>
      </c>
      <c r="AL257" s="1">
        <v>304900</v>
      </c>
      <c r="AM257" s="1">
        <v>289800</v>
      </c>
      <c r="AN257" s="1">
        <v>370600</v>
      </c>
      <c r="AO257" s="1">
        <v>513400</v>
      </c>
      <c r="AP257" s="1">
        <v>678700</v>
      </c>
      <c r="AQ257" s="1">
        <v>575900</v>
      </c>
      <c r="AR257" s="1">
        <v>809200</v>
      </c>
      <c r="AS257" s="1">
        <v>292500</v>
      </c>
      <c r="AT257" s="1">
        <v>179300</v>
      </c>
      <c r="AU257" s="1">
        <v>310600</v>
      </c>
      <c r="AV257" s="1">
        <v>365800</v>
      </c>
      <c r="AW257" s="1">
        <v>226700</v>
      </c>
      <c r="AX257" s="1">
        <v>578800</v>
      </c>
      <c r="AY257" s="1">
        <v>130600</v>
      </c>
      <c r="AZ257" s="1">
        <v>122100</v>
      </c>
      <c r="BA257" s="1">
        <v>105200</v>
      </c>
      <c r="BB257" s="1">
        <v>148200</v>
      </c>
      <c r="BC257" s="1">
        <v>103600</v>
      </c>
      <c r="BD257" s="1">
        <v>86400</v>
      </c>
      <c r="BE257" s="1">
        <v>113300</v>
      </c>
      <c r="BF257" s="1">
        <v>86300</v>
      </c>
      <c r="BG257" s="1">
        <v>94600</v>
      </c>
      <c r="BH257" s="1">
        <v>89700</v>
      </c>
      <c r="BI257" s="1">
        <v>176900</v>
      </c>
      <c r="BJ257" s="1">
        <v>315500</v>
      </c>
      <c r="BK257" s="1">
        <v>128500</v>
      </c>
      <c r="BL257" s="1">
        <v>81900</v>
      </c>
      <c r="BM257" s="1">
        <v>110600</v>
      </c>
      <c r="BN257" s="1">
        <v>87400</v>
      </c>
      <c r="BO257" s="1">
        <v>134000</v>
      </c>
      <c r="BP257" s="1">
        <v>60700</v>
      </c>
    </row>
    <row r="258" spans="1:68">
      <c r="A258" s="397" t="s">
        <v>471</v>
      </c>
      <c r="B258" s="1" t="str">
        <f>銘柄管理!C258</f>
        <v/>
      </c>
      <c r="C258" s="1" t="str">
        <f>_xll.RssMarket("5253","出来高")</f>
        <v/>
      </c>
      <c r="D258" s="85" t="e">
        <f t="shared" si="3"/>
        <v>#VALUE!</v>
      </c>
      <c r="E258" s="1">
        <v>1180600</v>
      </c>
      <c r="F258" s="1">
        <v>888800</v>
      </c>
      <c r="G258" s="1">
        <v>1105000</v>
      </c>
      <c r="H258" s="1">
        <v>1044300</v>
      </c>
      <c r="I258" s="1">
        <v>913300</v>
      </c>
      <c r="J258" s="1">
        <v>1762900</v>
      </c>
      <c r="K258" s="1">
        <v>1793500</v>
      </c>
      <c r="L258" s="1">
        <v>1556000</v>
      </c>
      <c r="M258" s="1">
        <v>2174600</v>
      </c>
      <c r="N258" s="1">
        <v>2033800</v>
      </c>
      <c r="O258" s="1">
        <v>1463500</v>
      </c>
      <c r="P258" s="1">
        <v>880400</v>
      </c>
      <c r="Q258" s="1">
        <v>1483900</v>
      </c>
      <c r="R258" s="1">
        <v>2234400</v>
      </c>
      <c r="S258" s="1">
        <v>1474200</v>
      </c>
      <c r="T258" s="1">
        <v>750300</v>
      </c>
      <c r="U258" s="1">
        <v>1467100</v>
      </c>
      <c r="V258" s="1">
        <v>1492300</v>
      </c>
      <c r="W258" s="1">
        <v>1447200</v>
      </c>
      <c r="X258" s="1">
        <v>2579100</v>
      </c>
      <c r="Y258" s="1">
        <v>553200</v>
      </c>
      <c r="Z258" s="1">
        <v>639100</v>
      </c>
      <c r="AA258" s="1">
        <v>846500</v>
      </c>
      <c r="AB258" s="1">
        <v>1937900</v>
      </c>
      <c r="AC258" s="1">
        <v>1688700</v>
      </c>
      <c r="AD258" s="1">
        <v>1560300</v>
      </c>
      <c r="AE258" s="1">
        <v>913500</v>
      </c>
      <c r="AF258" s="1">
        <v>1461700</v>
      </c>
      <c r="AG258" s="1">
        <v>842800</v>
      </c>
      <c r="AH258" s="1">
        <v>1012000</v>
      </c>
      <c r="AI258" s="1">
        <v>1599500</v>
      </c>
      <c r="AJ258" s="1">
        <v>1198400</v>
      </c>
      <c r="AK258" s="1">
        <v>1500000</v>
      </c>
      <c r="AL258" s="1">
        <v>1658700</v>
      </c>
      <c r="AM258" s="1">
        <v>1873000</v>
      </c>
      <c r="AN258" s="1">
        <v>2190200</v>
      </c>
      <c r="AO258" s="1">
        <v>2305900</v>
      </c>
      <c r="AP258" s="1">
        <v>1624400</v>
      </c>
      <c r="AQ258" s="1">
        <v>2444700</v>
      </c>
      <c r="AR258" s="1">
        <v>2661900</v>
      </c>
      <c r="AS258" s="1">
        <v>6319700</v>
      </c>
      <c r="AT258" s="1">
        <v>1537700</v>
      </c>
      <c r="AU258" s="1">
        <v>1169500</v>
      </c>
      <c r="AV258" s="1">
        <v>764900</v>
      </c>
      <c r="AW258" s="1">
        <v>852700</v>
      </c>
      <c r="AX258" s="1">
        <v>759400</v>
      </c>
      <c r="AY258" s="1">
        <v>1156100</v>
      </c>
      <c r="AZ258" s="1">
        <v>712100</v>
      </c>
      <c r="BA258" s="1">
        <v>520000</v>
      </c>
      <c r="BB258" s="1">
        <v>658500</v>
      </c>
      <c r="BC258" s="1">
        <v>666200</v>
      </c>
      <c r="BD258" s="1">
        <v>676100</v>
      </c>
      <c r="BE258" s="1">
        <v>620100</v>
      </c>
      <c r="BF258" s="1">
        <v>531200</v>
      </c>
      <c r="BG258" s="1">
        <v>373500</v>
      </c>
      <c r="BH258" s="1">
        <v>609600</v>
      </c>
      <c r="BI258" s="1">
        <v>709000</v>
      </c>
      <c r="BJ258" s="1">
        <v>872000</v>
      </c>
      <c r="BK258" s="1">
        <v>463700</v>
      </c>
      <c r="BL258" s="1">
        <v>596000</v>
      </c>
      <c r="BM258" s="1">
        <v>631600</v>
      </c>
      <c r="BN258" s="1">
        <v>1585100</v>
      </c>
      <c r="BO258" s="1">
        <v>1465900</v>
      </c>
      <c r="BP258" s="1">
        <v>1853000</v>
      </c>
    </row>
    <row r="259" spans="1:68">
      <c r="A259" s="397" t="s">
        <v>472</v>
      </c>
      <c r="B259" s="1" t="str">
        <f>銘柄管理!C259</f>
        <v/>
      </c>
      <c r="C259" s="1" t="str">
        <f>_xll.RssMarket("9104","出来高")</f>
        <v/>
      </c>
      <c r="D259" s="85" t="e">
        <f t="shared" si="3"/>
        <v>#VALUE!</v>
      </c>
      <c r="E259" s="1">
        <v>2570000</v>
      </c>
      <c r="F259" s="1">
        <v>2238300</v>
      </c>
      <c r="G259" s="1">
        <v>2358400</v>
      </c>
      <c r="H259" s="1">
        <v>1602500</v>
      </c>
      <c r="I259" s="1">
        <v>2650600</v>
      </c>
      <c r="J259" s="1">
        <v>2080700</v>
      </c>
      <c r="K259" s="1">
        <v>2819900</v>
      </c>
      <c r="L259" s="1">
        <v>3707700</v>
      </c>
      <c r="M259" s="1">
        <v>2442600</v>
      </c>
      <c r="N259" s="1">
        <v>2025300</v>
      </c>
      <c r="O259" s="1">
        <v>2629600</v>
      </c>
      <c r="P259" s="1">
        <v>3466500</v>
      </c>
      <c r="Q259" s="1">
        <v>2545800</v>
      </c>
      <c r="R259" s="1">
        <v>2820200</v>
      </c>
      <c r="S259" s="1">
        <v>2617600</v>
      </c>
      <c r="T259" s="1">
        <v>3199300</v>
      </c>
      <c r="U259" s="1">
        <v>2223000</v>
      </c>
      <c r="V259" s="1">
        <v>3014900</v>
      </c>
      <c r="W259" s="1">
        <v>2490100</v>
      </c>
      <c r="X259" s="1">
        <v>4248600</v>
      </c>
      <c r="Y259" s="1">
        <v>3703400</v>
      </c>
      <c r="Z259" s="1">
        <v>3724500</v>
      </c>
      <c r="AA259" s="1">
        <v>3239900</v>
      </c>
      <c r="AB259" s="1">
        <v>2554800</v>
      </c>
      <c r="AC259" s="1">
        <v>2397100</v>
      </c>
      <c r="AD259" s="1">
        <v>2711600</v>
      </c>
      <c r="AE259" s="1">
        <v>3257400</v>
      </c>
      <c r="AF259" s="1">
        <v>3680300</v>
      </c>
      <c r="AG259" s="1">
        <v>2829200</v>
      </c>
      <c r="AH259" s="1">
        <v>2569800</v>
      </c>
      <c r="AI259" s="1">
        <v>3334700</v>
      </c>
      <c r="AJ259" s="1">
        <v>4613300</v>
      </c>
      <c r="AK259" s="1">
        <v>2584400</v>
      </c>
      <c r="AL259" s="1">
        <v>2733700</v>
      </c>
      <c r="AM259" s="1">
        <v>3054400</v>
      </c>
      <c r="AN259" s="1">
        <v>2208700</v>
      </c>
      <c r="AO259" s="1">
        <v>2182800</v>
      </c>
      <c r="AP259" s="1">
        <v>2967900</v>
      </c>
      <c r="AQ259" s="1">
        <v>2194000</v>
      </c>
      <c r="AR259" s="1">
        <v>2312700</v>
      </c>
      <c r="AS259" s="1">
        <v>2388400</v>
      </c>
      <c r="AT259" s="1">
        <v>2998100</v>
      </c>
      <c r="AU259" s="1">
        <v>2542200</v>
      </c>
      <c r="AV259" s="1">
        <v>2624200</v>
      </c>
      <c r="AW259" s="1">
        <v>3547900</v>
      </c>
      <c r="AX259" s="1">
        <v>3681700</v>
      </c>
      <c r="AY259" s="1">
        <v>4481600</v>
      </c>
      <c r="AZ259" s="1">
        <v>3181100</v>
      </c>
      <c r="BA259" s="1">
        <v>7661200</v>
      </c>
      <c r="BB259" s="1">
        <v>4200100</v>
      </c>
      <c r="BC259" s="1">
        <v>4504600</v>
      </c>
      <c r="BD259" s="1">
        <v>2819100</v>
      </c>
      <c r="BE259" s="1">
        <v>2752600</v>
      </c>
      <c r="BF259" s="1">
        <v>2322000</v>
      </c>
      <c r="BG259" s="1">
        <v>2305800</v>
      </c>
      <c r="BH259" s="1">
        <v>3467600</v>
      </c>
      <c r="BI259" s="1">
        <v>2317900</v>
      </c>
      <c r="BJ259" s="1">
        <v>3442200</v>
      </c>
      <c r="BK259" s="1">
        <v>4716800</v>
      </c>
      <c r="BL259" s="1">
        <v>3725600</v>
      </c>
      <c r="BM259" s="1">
        <v>4063300</v>
      </c>
      <c r="BN259" s="1">
        <v>5396300</v>
      </c>
      <c r="BO259" s="1">
        <v>5595300</v>
      </c>
      <c r="BP259" s="1">
        <v>10196700</v>
      </c>
    </row>
    <row r="260" spans="1:68">
      <c r="A260" s="397" t="s">
        <v>473</v>
      </c>
      <c r="B260" s="1" t="str">
        <f>銘柄管理!C260</f>
        <v/>
      </c>
      <c r="C260" s="1" t="str">
        <f>_xll.RssMarket("6366","出来高")</f>
        <v/>
      </c>
      <c r="D260" s="85" t="e">
        <f t="shared" si="3"/>
        <v>#VALUE!</v>
      </c>
      <c r="E260" s="1">
        <v>4687200</v>
      </c>
      <c r="F260" s="1">
        <v>1824400</v>
      </c>
      <c r="G260" s="1">
        <v>2101800</v>
      </c>
      <c r="H260" s="1">
        <v>2908900</v>
      </c>
      <c r="I260" s="1">
        <v>2034400</v>
      </c>
      <c r="J260" s="1">
        <v>2014700</v>
      </c>
      <c r="K260" s="1">
        <v>3001000</v>
      </c>
      <c r="L260" s="1">
        <v>4033500</v>
      </c>
      <c r="M260" s="1">
        <v>4267400</v>
      </c>
      <c r="N260" s="1">
        <v>3708400</v>
      </c>
      <c r="O260" s="1">
        <v>3972700</v>
      </c>
      <c r="P260" s="1">
        <v>3342100</v>
      </c>
      <c r="Q260" s="1">
        <v>2108000</v>
      </c>
      <c r="R260" s="1">
        <v>3081800</v>
      </c>
      <c r="S260" s="1">
        <v>2729600</v>
      </c>
      <c r="T260" s="1">
        <v>3596500</v>
      </c>
      <c r="U260" s="1">
        <v>4773700</v>
      </c>
      <c r="V260" s="1">
        <v>2771200</v>
      </c>
      <c r="W260" s="1">
        <v>4536900</v>
      </c>
      <c r="X260" s="1">
        <v>3674900</v>
      </c>
      <c r="Y260" s="1">
        <v>4742500</v>
      </c>
      <c r="Z260" s="1">
        <v>6059600</v>
      </c>
      <c r="AA260" s="1">
        <v>3773400</v>
      </c>
      <c r="AB260" s="1">
        <v>6198200</v>
      </c>
      <c r="AC260" s="1">
        <v>3403200</v>
      </c>
      <c r="AD260" s="1">
        <v>4588200</v>
      </c>
      <c r="AE260" s="1">
        <v>3887800</v>
      </c>
      <c r="AF260" s="1">
        <v>3119800</v>
      </c>
      <c r="AG260" s="1">
        <v>4870800</v>
      </c>
      <c r="AH260" s="1">
        <v>4486900</v>
      </c>
      <c r="AI260" s="1">
        <v>3871000</v>
      </c>
      <c r="AJ260" s="1">
        <v>5356800</v>
      </c>
      <c r="AK260" s="1">
        <v>5182000</v>
      </c>
      <c r="AL260" s="1">
        <v>6148200</v>
      </c>
      <c r="AM260" s="1">
        <v>8265700</v>
      </c>
      <c r="AN260" s="1">
        <v>5960400</v>
      </c>
      <c r="AO260" s="1">
        <v>4243700</v>
      </c>
      <c r="AP260" s="1">
        <v>6685800</v>
      </c>
      <c r="AQ260" s="1">
        <v>3519700</v>
      </c>
      <c r="AR260" s="1">
        <v>5242400</v>
      </c>
      <c r="AS260" s="1">
        <v>4850200</v>
      </c>
      <c r="AT260" s="1">
        <v>9155600</v>
      </c>
      <c r="AU260" s="1">
        <v>7739300</v>
      </c>
      <c r="AV260" s="1">
        <v>23452600</v>
      </c>
      <c r="AW260" s="1">
        <v>7876800</v>
      </c>
      <c r="AX260" s="1">
        <v>5003100</v>
      </c>
      <c r="AY260" s="1">
        <v>4266200</v>
      </c>
      <c r="AZ260" s="1">
        <v>2600400</v>
      </c>
      <c r="BA260" s="1">
        <v>3912500</v>
      </c>
      <c r="BB260" s="1">
        <v>3595300</v>
      </c>
      <c r="BC260" s="1">
        <v>5289900</v>
      </c>
      <c r="BD260" s="1">
        <v>3957600</v>
      </c>
      <c r="BE260" s="1">
        <v>4411800</v>
      </c>
      <c r="BF260" s="1">
        <v>5195100</v>
      </c>
      <c r="BG260" s="1">
        <v>7011400</v>
      </c>
      <c r="BH260" s="1">
        <v>6931500</v>
      </c>
      <c r="BI260" s="1">
        <v>6651200</v>
      </c>
      <c r="BJ260" s="1">
        <v>7639800</v>
      </c>
      <c r="BK260" s="1">
        <v>8219100</v>
      </c>
      <c r="BL260" s="1">
        <v>7141500</v>
      </c>
      <c r="BM260" s="1">
        <v>8580200</v>
      </c>
      <c r="BN260" s="1">
        <v>17029000</v>
      </c>
      <c r="BO260" s="1">
        <v>36283600</v>
      </c>
      <c r="BP260" s="1">
        <v>8507000</v>
      </c>
    </row>
    <row r="261" spans="1:68">
      <c r="A261" s="397" t="s">
        <v>474</v>
      </c>
      <c r="B261" s="1" t="str">
        <f>銘柄管理!C261</f>
        <v/>
      </c>
      <c r="C261" s="1" t="str">
        <f>_xll.RssMarket("6140","出来高")</f>
        <v/>
      </c>
      <c r="D261" s="85" t="e">
        <f t="shared" si="3"/>
        <v>#VALUE!</v>
      </c>
      <c r="E261" s="1">
        <v>891600</v>
      </c>
      <c r="F261" s="1">
        <v>827900</v>
      </c>
      <c r="G261" s="1">
        <v>686500</v>
      </c>
      <c r="H261" s="1">
        <v>347600</v>
      </c>
      <c r="I261" s="1">
        <v>362100</v>
      </c>
      <c r="J261" s="1">
        <v>307400</v>
      </c>
      <c r="K261" s="1">
        <v>821700</v>
      </c>
      <c r="L261" s="1">
        <v>541400</v>
      </c>
      <c r="M261" s="1">
        <v>354700</v>
      </c>
      <c r="N261" s="1">
        <v>468000</v>
      </c>
      <c r="O261" s="1">
        <v>330800</v>
      </c>
      <c r="P261" s="1">
        <v>522400</v>
      </c>
      <c r="Q261" s="1">
        <v>474000</v>
      </c>
      <c r="R261" s="1">
        <v>668100</v>
      </c>
      <c r="S261" s="1">
        <v>468600</v>
      </c>
      <c r="T261" s="1">
        <v>437600</v>
      </c>
      <c r="U261" s="1">
        <v>592600</v>
      </c>
      <c r="V261" s="1">
        <v>854700</v>
      </c>
      <c r="W261" s="1">
        <v>590300</v>
      </c>
      <c r="X261" s="1">
        <v>563700</v>
      </c>
      <c r="Y261" s="1">
        <v>498300</v>
      </c>
      <c r="Z261" s="1">
        <v>524100</v>
      </c>
      <c r="AA261" s="1">
        <v>500400</v>
      </c>
      <c r="AB261" s="1">
        <v>479300</v>
      </c>
      <c r="AC261" s="1">
        <v>539100</v>
      </c>
      <c r="AD261" s="1">
        <v>640100</v>
      </c>
      <c r="AE261" s="1">
        <v>744700</v>
      </c>
      <c r="AF261" s="1">
        <v>606900</v>
      </c>
      <c r="AG261" s="1">
        <v>413600</v>
      </c>
      <c r="AH261" s="1">
        <v>558100</v>
      </c>
      <c r="AI261" s="1">
        <v>781500</v>
      </c>
      <c r="AJ261" s="1">
        <v>653500</v>
      </c>
      <c r="AK261" s="1">
        <v>861200</v>
      </c>
      <c r="AL261" s="1">
        <v>1000500</v>
      </c>
      <c r="AM261" s="1">
        <v>855800</v>
      </c>
      <c r="AN261" s="1">
        <v>1172400</v>
      </c>
      <c r="AO261" s="1">
        <v>704400</v>
      </c>
      <c r="AP261" s="1">
        <v>848900</v>
      </c>
      <c r="AQ261" s="1">
        <v>1253300</v>
      </c>
      <c r="AR261" s="1">
        <v>1618700</v>
      </c>
      <c r="AS261" s="1">
        <v>1384200</v>
      </c>
      <c r="AT261" s="1">
        <v>1036700</v>
      </c>
      <c r="AU261" s="1">
        <v>1266000</v>
      </c>
      <c r="AV261" s="1">
        <v>1239600</v>
      </c>
      <c r="AW261" s="1">
        <v>901200</v>
      </c>
      <c r="AX261" s="1">
        <v>951100</v>
      </c>
      <c r="AY261" s="1">
        <v>963300</v>
      </c>
      <c r="AZ261" s="1">
        <v>643700</v>
      </c>
      <c r="BA261" s="1">
        <v>758100</v>
      </c>
      <c r="BB261" s="1">
        <v>725100</v>
      </c>
      <c r="BC261" s="1">
        <v>1009100</v>
      </c>
      <c r="BD261" s="1">
        <v>2147000</v>
      </c>
      <c r="BE261" s="1">
        <v>1437400</v>
      </c>
      <c r="BF261" s="1">
        <v>1531600</v>
      </c>
      <c r="BG261" s="1">
        <v>2301500</v>
      </c>
      <c r="BH261" s="1">
        <v>6632400</v>
      </c>
      <c r="BI261" s="1">
        <v>6091500</v>
      </c>
      <c r="BJ261" s="1">
        <v>714800</v>
      </c>
      <c r="BK261" s="1">
        <v>870000</v>
      </c>
      <c r="BL261" s="1">
        <v>657200</v>
      </c>
      <c r="BM261" s="1">
        <v>685100</v>
      </c>
      <c r="BN261" s="1">
        <v>1090500</v>
      </c>
      <c r="BO261" s="1">
        <v>849000</v>
      </c>
      <c r="BP261" s="1">
        <v>1314700</v>
      </c>
    </row>
    <row r="262" spans="1:68">
      <c r="A262" s="397" t="s">
        <v>475</v>
      </c>
      <c r="B262" s="1" t="str">
        <f>銘柄管理!C262</f>
        <v/>
      </c>
      <c r="C262" s="1" t="str">
        <f>_xll.RssMarket("1514","出来高")</f>
        <v/>
      </c>
      <c r="D262" s="85" t="e">
        <f t="shared" ref="D262:D304" si="4">C262-E262</f>
        <v>#VALUE!</v>
      </c>
      <c r="E262" s="1">
        <v>416400</v>
      </c>
      <c r="F262" s="1">
        <v>272100</v>
      </c>
      <c r="G262" s="1">
        <v>331700</v>
      </c>
      <c r="H262" s="1">
        <v>281600</v>
      </c>
      <c r="I262" s="1">
        <v>290900</v>
      </c>
      <c r="J262" s="1">
        <v>260000</v>
      </c>
      <c r="K262" s="1">
        <v>230200</v>
      </c>
      <c r="L262" s="1">
        <v>540100</v>
      </c>
      <c r="M262" s="1">
        <v>560100</v>
      </c>
      <c r="N262" s="1">
        <v>302800</v>
      </c>
      <c r="O262" s="1">
        <v>341600</v>
      </c>
      <c r="P262" s="1">
        <v>203700</v>
      </c>
      <c r="Q262" s="1">
        <v>277600</v>
      </c>
      <c r="R262" s="1">
        <v>295100</v>
      </c>
      <c r="S262" s="1">
        <v>218600</v>
      </c>
      <c r="T262" s="1">
        <v>287800</v>
      </c>
      <c r="U262" s="1">
        <v>250400</v>
      </c>
      <c r="V262" s="1">
        <v>398700</v>
      </c>
      <c r="W262" s="1">
        <v>575900</v>
      </c>
      <c r="X262" s="1">
        <v>529100</v>
      </c>
      <c r="Y262" s="1">
        <v>527200</v>
      </c>
      <c r="Z262" s="1">
        <v>445300</v>
      </c>
      <c r="AA262" s="1">
        <v>202400</v>
      </c>
      <c r="AB262" s="1">
        <v>260900</v>
      </c>
      <c r="AC262" s="1">
        <v>280000</v>
      </c>
      <c r="AD262" s="1">
        <v>316200</v>
      </c>
      <c r="AE262" s="1">
        <v>418900</v>
      </c>
      <c r="AF262" s="1">
        <v>522600</v>
      </c>
      <c r="AG262" s="1">
        <v>441900</v>
      </c>
      <c r="AH262" s="1">
        <v>332800</v>
      </c>
      <c r="AI262" s="1">
        <v>433500</v>
      </c>
      <c r="AJ262" s="1">
        <v>394800</v>
      </c>
      <c r="AK262" s="1">
        <v>541100</v>
      </c>
      <c r="AL262" s="1">
        <v>658900</v>
      </c>
      <c r="AM262" s="1">
        <v>704600</v>
      </c>
      <c r="AN262" s="1">
        <v>505600</v>
      </c>
      <c r="AO262" s="1">
        <v>598100</v>
      </c>
      <c r="AP262" s="1">
        <v>858000</v>
      </c>
      <c r="AQ262" s="1">
        <v>603000</v>
      </c>
      <c r="AR262" s="1">
        <v>1650800</v>
      </c>
      <c r="AS262" s="1">
        <v>520300</v>
      </c>
      <c r="AT262" s="1">
        <v>555600</v>
      </c>
      <c r="AU262" s="1">
        <v>376900</v>
      </c>
      <c r="AV262" s="1">
        <v>504600</v>
      </c>
      <c r="AW262" s="1">
        <v>448700</v>
      </c>
      <c r="AX262" s="1">
        <v>428300</v>
      </c>
      <c r="AY262" s="1">
        <v>555600</v>
      </c>
      <c r="AZ262" s="1">
        <v>476200</v>
      </c>
      <c r="BA262" s="1">
        <v>530800</v>
      </c>
      <c r="BB262" s="1">
        <v>407500</v>
      </c>
      <c r="BC262" s="1">
        <v>673100</v>
      </c>
      <c r="BD262" s="1">
        <v>796400</v>
      </c>
      <c r="BE262" s="1">
        <v>1209800</v>
      </c>
      <c r="BF262" s="1">
        <v>994300</v>
      </c>
      <c r="BG262" s="1">
        <v>637900</v>
      </c>
      <c r="BH262" s="1">
        <v>1601200</v>
      </c>
      <c r="BI262" s="1">
        <v>962100</v>
      </c>
      <c r="BJ262" s="1">
        <v>2748900</v>
      </c>
      <c r="BK262" s="1">
        <v>708700</v>
      </c>
      <c r="BL262" s="1">
        <v>837300</v>
      </c>
      <c r="BM262" s="1">
        <v>1528600</v>
      </c>
      <c r="BN262" s="1">
        <v>1787500</v>
      </c>
      <c r="BO262" s="1">
        <v>1320200</v>
      </c>
      <c r="BP262" s="1">
        <v>1838700</v>
      </c>
    </row>
    <row r="263" spans="1:68">
      <c r="A263" s="397" t="s">
        <v>476</v>
      </c>
      <c r="B263" s="1" t="str">
        <f>銘柄管理!C263</f>
        <v/>
      </c>
      <c r="C263" s="1" t="str">
        <f>_xll.RssMarket("5631","出来高")</f>
        <v/>
      </c>
      <c r="D263" s="85" t="e">
        <f t="shared" si="4"/>
        <v>#VALUE!</v>
      </c>
      <c r="E263" s="1">
        <v>1305400</v>
      </c>
      <c r="F263" s="1">
        <v>632600</v>
      </c>
      <c r="G263" s="1">
        <v>1113500</v>
      </c>
      <c r="H263" s="1">
        <v>755800</v>
      </c>
      <c r="I263" s="1">
        <v>835600</v>
      </c>
      <c r="J263" s="1">
        <v>908300</v>
      </c>
      <c r="K263" s="1">
        <v>1644600</v>
      </c>
      <c r="L263" s="1">
        <v>957700</v>
      </c>
      <c r="M263" s="1">
        <v>1454000</v>
      </c>
      <c r="N263" s="1">
        <v>761700</v>
      </c>
      <c r="O263" s="1">
        <v>829200</v>
      </c>
      <c r="P263" s="1">
        <v>1053900</v>
      </c>
      <c r="Q263" s="1">
        <v>692500</v>
      </c>
      <c r="R263" s="1">
        <v>870100</v>
      </c>
      <c r="S263" s="1">
        <v>925300</v>
      </c>
      <c r="T263" s="1">
        <v>1062300</v>
      </c>
      <c r="U263" s="1">
        <v>1275200</v>
      </c>
      <c r="V263" s="1">
        <v>749200</v>
      </c>
      <c r="W263" s="1">
        <v>730500</v>
      </c>
      <c r="X263" s="1">
        <v>1411100</v>
      </c>
      <c r="Y263" s="1">
        <v>1000800</v>
      </c>
      <c r="Z263" s="1">
        <v>1676600</v>
      </c>
      <c r="AA263" s="1">
        <v>731700</v>
      </c>
      <c r="AB263" s="1">
        <v>1130800</v>
      </c>
      <c r="AC263" s="1">
        <v>1364000</v>
      </c>
      <c r="AD263" s="1">
        <v>810600</v>
      </c>
      <c r="AE263" s="1">
        <v>1267800</v>
      </c>
      <c r="AF263" s="1">
        <v>2113400</v>
      </c>
      <c r="AG263" s="1">
        <v>787700</v>
      </c>
      <c r="AH263" s="1">
        <v>861300</v>
      </c>
      <c r="AI263" s="1">
        <v>1142900</v>
      </c>
      <c r="AJ263" s="1">
        <v>1344900</v>
      </c>
      <c r="AK263" s="1">
        <v>1101300</v>
      </c>
      <c r="AL263" s="1">
        <v>1042700</v>
      </c>
      <c r="AM263" s="1">
        <v>765800</v>
      </c>
      <c r="AN263" s="1">
        <v>1052100</v>
      </c>
      <c r="AO263" s="1">
        <v>1611100</v>
      </c>
      <c r="AP263" s="1">
        <v>1624600</v>
      </c>
      <c r="AQ263" s="1">
        <v>1521200</v>
      </c>
      <c r="AR263" s="1">
        <v>1217400</v>
      </c>
      <c r="AS263" s="1">
        <v>1557000</v>
      </c>
      <c r="AT263" s="1">
        <v>2817500</v>
      </c>
      <c r="AU263" s="1">
        <v>1064500</v>
      </c>
      <c r="AV263" s="1">
        <v>1029200</v>
      </c>
      <c r="AW263" s="1">
        <v>977100</v>
      </c>
      <c r="AX263" s="1">
        <v>1299400</v>
      </c>
      <c r="AY263" s="1">
        <v>888700</v>
      </c>
      <c r="AZ263" s="1">
        <v>946400</v>
      </c>
      <c r="BA263" s="1">
        <v>709100</v>
      </c>
      <c r="BB263" s="1">
        <v>554100</v>
      </c>
      <c r="BC263" s="1">
        <v>714100</v>
      </c>
      <c r="BD263" s="1">
        <v>1211600</v>
      </c>
      <c r="BE263" s="1">
        <v>1134800</v>
      </c>
      <c r="BF263" s="1">
        <v>892700</v>
      </c>
      <c r="BG263" s="1">
        <v>1240800</v>
      </c>
      <c r="BH263" s="1">
        <v>571100</v>
      </c>
      <c r="BI263" s="1">
        <v>686600</v>
      </c>
      <c r="BJ263" s="1">
        <v>763500</v>
      </c>
      <c r="BK263" s="1">
        <v>1564600</v>
      </c>
      <c r="BL263" s="1">
        <v>604400</v>
      </c>
      <c r="BM263" s="1">
        <v>814400</v>
      </c>
      <c r="BN263" s="1">
        <v>1030100</v>
      </c>
      <c r="BO263" s="1">
        <v>1339700</v>
      </c>
      <c r="BP263" s="1">
        <v>1900500</v>
      </c>
    </row>
    <row r="264" spans="1:68">
      <c r="A264" s="397" t="s">
        <v>477</v>
      </c>
      <c r="B264" s="1" t="str">
        <f>銘柄管理!C264</f>
        <v/>
      </c>
      <c r="C264" s="1" t="str">
        <f>_xll.RssMarket("6674","出来高")</f>
        <v/>
      </c>
      <c r="D264" s="85" t="e">
        <f t="shared" si="4"/>
        <v>#VALUE!</v>
      </c>
      <c r="E264" s="1">
        <v>923800</v>
      </c>
      <c r="F264" s="1">
        <v>798600</v>
      </c>
      <c r="G264" s="1">
        <v>824700</v>
      </c>
      <c r="H264" s="1">
        <v>756300</v>
      </c>
      <c r="I264" s="1">
        <v>551800</v>
      </c>
      <c r="J264" s="1">
        <v>689600</v>
      </c>
      <c r="K264" s="1">
        <v>846000</v>
      </c>
      <c r="L264" s="1">
        <v>693900</v>
      </c>
      <c r="M264" s="1">
        <v>728200</v>
      </c>
      <c r="N264" s="1">
        <v>587000</v>
      </c>
      <c r="O264" s="1">
        <v>742000</v>
      </c>
      <c r="P264" s="1">
        <v>762300</v>
      </c>
      <c r="Q264" s="1">
        <v>1157700</v>
      </c>
      <c r="R264" s="1">
        <v>832800</v>
      </c>
      <c r="S264" s="1">
        <v>938200</v>
      </c>
      <c r="T264" s="1">
        <v>715600</v>
      </c>
      <c r="U264" s="1">
        <v>699700</v>
      </c>
      <c r="V264" s="1">
        <v>669600</v>
      </c>
      <c r="W264" s="1">
        <v>1647300</v>
      </c>
      <c r="X264" s="1">
        <v>1210900</v>
      </c>
      <c r="Y264" s="1">
        <v>619300</v>
      </c>
      <c r="Z264" s="1">
        <v>766500</v>
      </c>
      <c r="AA264" s="1">
        <v>802200</v>
      </c>
      <c r="AB264" s="1">
        <v>891800</v>
      </c>
      <c r="AC264" s="1">
        <v>733900</v>
      </c>
      <c r="AD264" s="1">
        <v>979000</v>
      </c>
      <c r="AE264" s="1">
        <v>1202100</v>
      </c>
      <c r="AF264" s="1">
        <v>981600</v>
      </c>
      <c r="AG264" s="1">
        <v>1541300</v>
      </c>
      <c r="AH264" s="1">
        <v>1825100</v>
      </c>
      <c r="AI264" s="1">
        <v>1817000</v>
      </c>
      <c r="AJ264" s="1">
        <v>977000</v>
      </c>
      <c r="AK264" s="1">
        <v>733700</v>
      </c>
      <c r="AL264" s="1">
        <v>736500</v>
      </c>
      <c r="AM264" s="1">
        <v>506600</v>
      </c>
      <c r="AN264" s="1">
        <v>738900</v>
      </c>
      <c r="AO264" s="1">
        <v>759500</v>
      </c>
      <c r="AP264" s="1">
        <v>800700</v>
      </c>
      <c r="AQ264" s="1">
        <v>787000</v>
      </c>
      <c r="AR264" s="1">
        <v>880500</v>
      </c>
      <c r="AS264" s="1">
        <v>1301000</v>
      </c>
      <c r="AT264" s="1">
        <v>1883500</v>
      </c>
      <c r="AU264" s="1">
        <v>2288300</v>
      </c>
      <c r="AV264" s="1">
        <v>1017100</v>
      </c>
      <c r="AW264" s="1">
        <v>1039500</v>
      </c>
      <c r="AX264" s="1">
        <v>959200</v>
      </c>
      <c r="AY264" s="1">
        <v>1308400</v>
      </c>
      <c r="AZ264" s="1">
        <v>905900</v>
      </c>
      <c r="BA264" s="1">
        <v>1050300</v>
      </c>
      <c r="BB264" s="1">
        <v>963300</v>
      </c>
      <c r="BC264" s="1">
        <v>965100</v>
      </c>
      <c r="BD264" s="1">
        <v>1113900</v>
      </c>
      <c r="BE264" s="1">
        <v>1317700</v>
      </c>
      <c r="BF264" s="1">
        <v>1334900</v>
      </c>
      <c r="BG264" s="1">
        <v>1483500</v>
      </c>
      <c r="BH264" s="1">
        <v>1012600</v>
      </c>
      <c r="BI264" s="1">
        <v>962700</v>
      </c>
      <c r="BJ264" s="1">
        <v>971500</v>
      </c>
      <c r="BK264" s="1">
        <v>1143800</v>
      </c>
      <c r="BL264" s="1">
        <v>860300</v>
      </c>
      <c r="BM264" s="1">
        <v>760500</v>
      </c>
      <c r="BN264" s="1">
        <v>925800</v>
      </c>
      <c r="BO264" s="1">
        <v>658600</v>
      </c>
      <c r="BP264" s="1">
        <v>1159400</v>
      </c>
    </row>
    <row r="265" spans="1:68">
      <c r="A265" s="397" t="s">
        <v>478</v>
      </c>
      <c r="B265" s="1" t="str">
        <f>銘柄管理!C265</f>
        <v/>
      </c>
      <c r="C265" s="1" t="str">
        <f>_xll.RssMarket("6955","出来高")</f>
        <v/>
      </c>
      <c r="D265" s="85" t="e">
        <f t="shared" si="4"/>
        <v>#VALUE!</v>
      </c>
      <c r="E265" s="1">
        <v>274900</v>
      </c>
      <c r="F265" s="1">
        <v>74500</v>
      </c>
      <c r="G265" s="1">
        <v>123300</v>
      </c>
      <c r="H265" s="1">
        <v>86400</v>
      </c>
      <c r="I265" s="1">
        <v>123000</v>
      </c>
      <c r="J265" s="1">
        <v>78200</v>
      </c>
      <c r="K265" s="1">
        <v>163400</v>
      </c>
      <c r="L265" s="1">
        <v>142500</v>
      </c>
      <c r="M265" s="1">
        <v>300700</v>
      </c>
      <c r="N265" s="1">
        <v>174300</v>
      </c>
      <c r="O265" s="1">
        <v>161700</v>
      </c>
      <c r="P265" s="1">
        <v>85000</v>
      </c>
      <c r="Q265" s="1">
        <v>194700</v>
      </c>
      <c r="R265" s="1">
        <v>114300</v>
      </c>
      <c r="S265" s="1">
        <v>193200</v>
      </c>
      <c r="T265" s="1">
        <v>137500</v>
      </c>
      <c r="U265" s="1">
        <v>179600</v>
      </c>
      <c r="V265" s="1">
        <v>466100</v>
      </c>
      <c r="W265" s="1">
        <v>427700</v>
      </c>
      <c r="X265" s="1">
        <v>184000</v>
      </c>
      <c r="Y265" s="1">
        <v>227800</v>
      </c>
      <c r="Z265" s="1">
        <v>397100</v>
      </c>
      <c r="AA265" s="1">
        <v>438000</v>
      </c>
      <c r="AB265" s="1">
        <v>391700</v>
      </c>
      <c r="AC265" s="1">
        <v>407300</v>
      </c>
      <c r="AD265" s="1">
        <v>1225900</v>
      </c>
      <c r="AE265" s="1">
        <v>4575900</v>
      </c>
      <c r="AF265" s="1">
        <v>979300</v>
      </c>
      <c r="AG265" s="1">
        <v>1712300</v>
      </c>
      <c r="AH265" s="1">
        <v>1925800</v>
      </c>
      <c r="AI265" s="1">
        <v>625300</v>
      </c>
      <c r="AJ265" s="1">
        <v>133500</v>
      </c>
      <c r="AK265" s="1">
        <v>178600</v>
      </c>
      <c r="AL265" s="1">
        <v>95000</v>
      </c>
      <c r="AM265" s="1">
        <v>71300</v>
      </c>
      <c r="AN265" s="1">
        <v>48000</v>
      </c>
      <c r="AO265" s="1">
        <v>46200</v>
      </c>
      <c r="AP265" s="1">
        <v>68100</v>
      </c>
      <c r="AQ265" s="1">
        <v>36300</v>
      </c>
      <c r="AR265" s="1">
        <v>40300</v>
      </c>
      <c r="AS265" s="1">
        <v>78800</v>
      </c>
      <c r="AT265" s="1">
        <v>60900</v>
      </c>
      <c r="AU265" s="1">
        <v>33100</v>
      </c>
      <c r="AV265" s="1">
        <v>55200</v>
      </c>
      <c r="AW265" s="1">
        <v>186800</v>
      </c>
      <c r="AX265" s="1">
        <v>209000</v>
      </c>
      <c r="AY265" s="1">
        <v>298400</v>
      </c>
      <c r="AZ265" s="1">
        <v>45000</v>
      </c>
      <c r="BA265" s="1">
        <v>243900</v>
      </c>
      <c r="BB265" s="1">
        <v>57500</v>
      </c>
      <c r="BC265" s="1">
        <v>69100</v>
      </c>
      <c r="BD265" s="1">
        <v>32900</v>
      </c>
      <c r="BE265" s="1">
        <v>91500</v>
      </c>
      <c r="BF265" s="1">
        <v>51900</v>
      </c>
      <c r="BG265" s="1">
        <v>77200</v>
      </c>
      <c r="BH265" s="1">
        <v>60700</v>
      </c>
      <c r="BI265" s="1">
        <v>83600</v>
      </c>
      <c r="BJ265" s="1">
        <v>77100</v>
      </c>
      <c r="BK265" s="1">
        <v>109700</v>
      </c>
      <c r="BL265" s="1">
        <v>73800</v>
      </c>
      <c r="BM265" s="1">
        <v>91200</v>
      </c>
      <c r="BN265" s="1">
        <v>138700</v>
      </c>
      <c r="BO265" s="1">
        <v>102500</v>
      </c>
      <c r="BP265" s="1">
        <v>128800</v>
      </c>
    </row>
    <row r="266" spans="1:68">
      <c r="A266" s="397" t="s">
        <v>479</v>
      </c>
      <c r="B266" s="1" t="str">
        <f>銘柄管理!C266</f>
        <v/>
      </c>
      <c r="C266" s="1" t="str">
        <f>_xll.RssMarket("281A","出来高")</f>
        <v/>
      </c>
      <c r="D266" s="85" t="e">
        <f t="shared" si="4"/>
        <v>#VALUE!</v>
      </c>
      <c r="E266" s="1">
        <v>287400</v>
      </c>
      <c r="F266" s="1">
        <v>175000</v>
      </c>
      <c r="G266" s="1">
        <v>220900</v>
      </c>
      <c r="H266" s="1">
        <v>148400</v>
      </c>
      <c r="I266" s="1">
        <v>418800</v>
      </c>
      <c r="J266" s="1">
        <v>683200</v>
      </c>
      <c r="K266" s="1">
        <v>30100</v>
      </c>
      <c r="L266" s="1">
        <v>183000</v>
      </c>
      <c r="M266" s="1">
        <v>262900</v>
      </c>
      <c r="N266" s="1">
        <v>193100</v>
      </c>
      <c r="O266" s="1">
        <v>1009300</v>
      </c>
      <c r="P266" s="1">
        <v>303000</v>
      </c>
      <c r="Q266" s="1">
        <v>293700</v>
      </c>
      <c r="R266" s="1">
        <v>556100</v>
      </c>
      <c r="S266" s="1">
        <v>473700</v>
      </c>
      <c r="T266" s="1">
        <v>2230500</v>
      </c>
      <c r="U266" s="1">
        <v>475900</v>
      </c>
      <c r="V266" s="1">
        <v>1037800</v>
      </c>
      <c r="W266" s="1">
        <v>300900</v>
      </c>
      <c r="X266" s="1">
        <v>352000</v>
      </c>
      <c r="Y266" s="1">
        <v>439900</v>
      </c>
      <c r="Z266" s="1">
        <v>614500</v>
      </c>
      <c r="AA266" s="1">
        <v>3411400</v>
      </c>
      <c r="AB266" s="1">
        <v>212900</v>
      </c>
      <c r="AC266" s="1">
        <v>227200</v>
      </c>
      <c r="AD266" s="1">
        <v>246100</v>
      </c>
      <c r="AE266" s="1">
        <v>306400</v>
      </c>
      <c r="AF266" s="1">
        <v>437800</v>
      </c>
      <c r="AG266" s="1">
        <v>273100</v>
      </c>
      <c r="AH266" s="1">
        <v>265100</v>
      </c>
      <c r="AI266" s="1">
        <v>519300</v>
      </c>
      <c r="AJ266" s="1">
        <v>510200</v>
      </c>
      <c r="AK266" s="1">
        <v>477700</v>
      </c>
      <c r="AL266" s="1">
        <v>717900</v>
      </c>
      <c r="AM266" s="1">
        <v>1158600</v>
      </c>
      <c r="AN266" s="1">
        <v>556100</v>
      </c>
      <c r="AO266" s="1">
        <v>568900</v>
      </c>
      <c r="AP266" s="1">
        <v>662600</v>
      </c>
      <c r="AQ266" s="1">
        <v>1884700</v>
      </c>
      <c r="AR266" s="1">
        <v>933800</v>
      </c>
      <c r="AS266" s="1">
        <v>831600</v>
      </c>
      <c r="AT266" s="1">
        <v>354100</v>
      </c>
      <c r="AU266" s="1">
        <v>375600</v>
      </c>
      <c r="AV266" s="1">
        <v>1037400</v>
      </c>
      <c r="AW266" s="1">
        <v>575900</v>
      </c>
      <c r="AX266" s="1">
        <v>614300</v>
      </c>
      <c r="AY266" s="1">
        <v>552000</v>
      </c>
      <c r="AZ266" s="1">
        <v>570100</v>
      </c>
      <c r="BA266" s="1">
        <v>350400</v>
      </c>
      <c r="BB266" s="1">
        <v>467900</v>
      </c>
      <c r="BC266" s="1">
        <v>1207800</v>
      </c>
      <c r="BD266" s="1">
        <v>656900</v>
      </c>
      <c r="BE266" s="1">
        <v>781200</v>
      </c>
      <c r="BF266" s="1">
        <v>1310100</v>
      </c>
      <c r="BG266" s="1">
        <v>2374900</v>
      </c>
      <c r="BH266" s="1">
        <v>2644500</v>
      </c>
      <c r="BI266" s="1">
        <v>3003900</v>
      </c>
      <c r="BJ266" s="1">
        <v>3726700</v>
      </c>
      <c r="BK266" s="1">
        <v>6250000</v>
      </c>
      <c r="BL266" s="1">
        <v>5625300</v>
      </c>
      <c r="BM266" s="1">
        <v>3634800</v>
      </c>
      <c r="BN266" s="1">
        <v>8330400</v>
      </c>
      <c r="BO266" s="1">
        <v>4102300</v>
      </c>
      <c r="BP266" s="1">
        <v>1938300</v>
      </c>
    </row>
    <row r="267" spans="1:68">
      <c r="A267" s="397" t="s">
        <v>480</v>
      </c>
      <c r="B267" s="1" t="str">
        <f>銘柄管理!C267</f>
        <v/>
      </c>
      <c r="C267" s="1" t="str">
        <f>_xll.RssMarket("6356","出来高")</f>
        <v/>
      </c>
      <c r="D267" s="85" t="e">
        <f t="shared" si="4"/>
        <v>#VALUE!</v>
      </c>
      <c r="E267" s="1">
        <v>360300</v>
      </c>
      <c r="F267" s="1">
        <v>135100</v>
      </c>
      <c r="G267" s="1">
        <v>273600</v>
      </c>
      <c r="H267" s="1">
        <v>235600</v>
      </c>
      <c r="I267" s="1">
        <v>244500</v>
      </c>
      <c r="J267" s="1">
        <v>620000</v>
      </c>
      <c r="K267" s="1">
        <v>369500</v>
      </c>
      <c r="L267" s="1">
        <v>454800</v>
      </c>
      <c r="M267" s="1">
        <v>903600</v>
      </c>
      <c r="N267" s="1">
        <v>487000</v>
      </c>
      <c r="O267" s="1">
        <v>261500</v>
      </c>
      <c r="P267" s="1">
        <v>111200</v>
      </c>
      <c r="Q267" s="1">
        <v>130500</v>
      </c>
      <c r="R267" s="1">
        <v>273500</v>
      </c>
      <c r="S267" s="1">
        <v>140100</v>
      </c>
      <c r="T267" s="1">
        <v>182500</v>
      </c>
      <c r="U267" s="1">
        <v>299600</v>
      </c>
      <c r="V267" s="1">
        <v>303700</v>
      </c>
      <c r="W267" s="1">
        <v>282800</v>
      </c>
      <c r="X267" s="1">
        <v>261300</v>
      </c>
      <c r="Y267" s="1">
        <v>362700</v>
      </c>
      <c r="Z267" s="1">
        <v>1265900</v>
      </c>
      <c r="AA267" s="1">
        <v>198600</v>
      </c>
      <c r="AB267" s="1">
        <v>284300</v>
      </c>
      <c r="AC267" s="1">
        <v>265400</v>
      </c>
      <c r="AD267" s="1">
        <v>288100</v>
      </c>
      <c r="AE267" s="1">
        <v>467300</v>
      </c>
      <c r="AF267" s="1">
        <v>421800</v>
      </c>
      <c r="AG267" s="1">
        <v>167000</v>
      </c>
      <c r="AH267" s="1">
        <v>178300</v>
      </c>
      <c r="AI267" s="1">
        <v>220600</v>
      </c>
      <c r="AJ267" s="1">
        <v>232100</v>
      </c>
      <c r="AK267" s="1">
        <v>311400</v>
      </c>
      <c r="AL267" s="1">
        <v>516200</v>
      </c>
      <c r="AM267" s="1">
        <v>291500</v>
      </c>
      <c r="AN267" s="1">
        <v>315300</v>
      </c>
      <c r="AO267" s="1">
        <v>153900</v>
      </c>
      <c r="AP267" s="1">
        <v>183600</v>
      </c>
      <c r="AQ267" s="1">
        <v>201800</v>
      </c>
      <c r="AR267" s="1">
        <v>369000</v>
      </c>
      <c r="AS267" s="1">
        <v>379900</v>
      </c>
      <c r="AT267" s="1">
        <v>572700</v>
      </c>
      <c r="AU267" s="1">
        <v>1067700</v>
      </c>
      <c r="AV267" s="1">
        <v>349200</v>
      </c>
      <c r="AW267" s="1">
        <v>267400</v>
      </c>
      <c r="AX267" s="1">
        <v>338400</v>
      </c>
      <c r="AY267" s="1">
        <v>293000</v>
      </c>
      <c r="AZ267" s="1">
        <v>540800</v>
      </c>
      <c r="BA267" s="1">
        <v>714900</v>
      </c>
      <c r="BB267" s="1">
        <v>1184700</v>
      </c>
      <c r="BC267" s="1">
        <v>1159400</v>
      </c>
      <c r="BD267" s="1">
        <v>6561000</v>
      </c>
      <c r="BE267" s="1">
        <v>3361100</v>
      </c>
      <c r="BF267" s="1">
        <v>292000</v>
      </c>
      <c r="BG267" s="1">
        <v>383900</v>
      </c>
      <c r="BH267" s="1">
        <v>647500</v>
      </c>
      <c r="BI267" s="1">
        <v>495600</v>
      </c>
      <c r="BJ267" s="1">
        <v>1331700</v>
      </c>
      <c r="BK267" s="1">
        <v>1287600</v>
      </c>
      <c r="BL267" s="1">
        <v>787800</v>
      </c>
      <c r="BM267" s="1">
        <v>840500</v>
      </c>
      <c r="BN267" s="1">
        <v>1012500</v>
      </c>
      <c r="BO267" s="1">
        <v>822800</v>
      </c>
      <c r="BP267" s="1">
        <v>1364600</v>
      </c>
    </row>
    <row r="268" spans="1:68">
      <c r="A268" s="397" t="s">
        <v>481</v>
      </c>
      <c r="B268" s="1" t="str">
        <f>銘柄管理!C268</f>
        <v/>
      </c>
      <c r="C268" s="1" t="str">
        <f>_xll.RssMarket("7711","出来高")</f>
        <v/>
      </c>
      <c r="D268" s="85" t="e">
        <f t="shared" si="4"/>
        <v>#VALUE!</v>
      </c>
      <c r="E268" s="1">
        <v>162200</v>
      </c>
      <c r="F268" s="1">
        <v>76300</v>
      </c>
      <c r="G268" s="1">
        <v>136800</v>
      </c>
      <c r="H268" s="1">
        <v>40600</v>
      </c>
      <c r="I268" s="1">
        <v>59300</v>
      </c>
      <c r="J268" s="1">
        <v>84400</v>
      </c>
      <c r="K268" s="1">
        <v>43800</v>
      </c>
      <c r="L268" s="1">
        <v>45700</v>
      </c>
      <c r="M268" s="1">
        <v>50700</v>
      </c>
      <c r="N268" s="1">
        <v>45800</v>
      </c>
      <c r="O268" s="1">
        <v>46600</v>
      </c>
      <c r="P268" s="1">
        <v>24600</v>
      </c>
      <c r="Q268" s="1">
        <v>28600</v>
      </c>
      <c r="R268" s="1">
        <v>46700</v>
      </c>
      <c r="S268" s="1">
        <v>32300</v>
      </c>
      <c r="T268" s="1">
        <v>34900</v>
      </c>
      <c r="U268" s="1">
        <v>27700</v>
      </c>
      <c r="V268" s="1">
        <v>64000</v>
      </c>
      <c r="W268" s="1">
        <v>143700</v>
      </c>
      <c r="X268" s="1">
        <v>195100</v>
      </c>
      <c r="Y268" s="1">
        <v>180200</v>
      </c>
      <c r="Z268" s="1">
        <v>121900</v>
      </c>
      <c r="AA268" s="1">
        <v>76600</v>
      </c>
      <c r="AB268" s="1">
        <v>74600</v>
      </c>
      <c r="AC268" s="1">
        <v>66200</v>
      </c>
      <c r="AD268" s="1">
        <v>91100</v>
      </c>
      <c r="AE268" s="1">
        <v>90800</v>
      </c>
      <c r="AF268" s="1">
        <v>244500</v>
      </c>
      <c r="AG268" s="1">
        <v>49500</v>
      </c>
      <c r="AH268" s="1">
        <v>64400</v>
      </c>
      <c r="AI268" s="1">
        <v>75500</v>
      </c>
      <c r="AJ268" s="1">
        <v>39500</v>
      </c>
      <c r="AK268" s="1">
        <v>73600</v>
      </c>
      <c r="AL268" s="1">
        <v>161900</v>
      </c>
      <c r="AM268" s="1">
        <v>102400</v>
      </c>
      <c r="AN268" s="1">
        <v>72800</v>
      </c>
      <c r="AO268" s="1">
        <v>45200</v>
      </c>
      <c r="AP268" s="1">
        <v>115000</v>
      </c>
      <c r="AQ268" s="1">
        <v>88300</v>
      </c>
      <c r="AR268" s="1">
        <v>74800</v>
      </c>
      <c r="AS268" s="1">
        <v>65800</v>
      </c>
      <c r="AT268" s="1">
        <v>101300</v>
      </c>
      <c r="AU268" s="1">
        <v>50200</v>
      </c>
      <c r="AV268" s="1">
        <v>88400</v>
      </c>
      <c r="AW268" s="1">
        <v>100800</v>
      </c>
      <c r="AX268" s="1">
        <v>136800</v>
      </c>
      <c r="AY268" s="1">
        <v>857800</v>
      </c>
      <c r="AZ268" s="1">
        <v>69800</v>
      </c>
      <c r="BA268" s="1">
        <v>78100</v>
      </c>
      <c r="BB268" s="1">
        <v>59000</v>
      </c>
      <c r="BC268" s="1">
        <v>101200</v>
      </c>
      <c r="BD268" s="1">
        <v>103200</v>
      </c>
      <c r="BE268" s="1">
        <v>263800</v>
      </c>
      <c r="BF268" s="1">
        <v>142300</v>
      </c>
      <c r="BG268" s="1">
        <v>134800</v>
      </c>
      <c r="BH268" s="1">
        <v>81300</v>
      </c>
      <c r="BI268" s="1">
        <v>43800</v>
      </c>
      <c r="BJ268" s="1">
        <v>132700</v>
      </c>
      <c r="BK268" s="1">
        <v>91300</v>
      </c>
      <c r="BL268" s="1">
        <v>66000</v>
      </c>
      <c r="BM268" s="1">
        <v>77700</v>
      </c>
      <c r="BN268" s="1">
        <v>121400</v>
      </c>
      <c r="BO268" s="1">
        <v>91900</v>
      </c>
      <c r="BP268" s="1">
        <v>136100</v>
      </c>
    </row>
    <row r="269" spans="1:68">
      <c r="A269" s="397" t="s">
        <v>482</v>
      </c>
      <c r="B269" s="1" t="str">
        <f>銘柄管理!C269</f>
        <v/>
      </c>
      <c r="C269" s="1" t="str">
        <f>_xll.RssMarket("6376","出来高")</f>
        <v/>
      </c>
      <c r="D269" s="85" t="e">
        <f t="shared" si="4"/>
        <v>#VALUE!</v>
      </c>
      <c r="E269" s="1">
        <v>783300</v>
      </c>
      <c r="F269" s="1">
        <v>303800</v>
      </c>
      <c r="G269" s="1">
        <v>359400</v>
      </c>
      <c r="H269" s="1">
        <v>331900</v>
      </c>
      <c r="I269" s="1">
        <v>451700</v>
      </c>
      <c r="J269" s="1">
        <v>397100</v>
      </c>
      <c r="K269" s="1">
        <v>482800</v>
      </c>
      <c r="L269" s="1">
        <v>462400</v>
      </c>
      <c r="M269" s="1">
        <v>304300</v>
      </c>
      <c r="N269" s="1">
        <v>335700</v>
      </c>
      <c r="O269" s="1">
        <v>355200</v>
      </c>
      <c r="P269" s="1">
        <v>657500</v>
      </c>
      <c r="Q269" s="1">
        <v>608400</v>
      </c>
      <c r="R269" s="1">
        <v>716900</v>
      </c>
      <c r="S269" s="1">
        <v>692300</v>
      </c>
      <c r="T269" s="1">
        <v>499000</v>
      </c>
      <c r="U269" s="1">
        <v>368300</v>
      </c>
      <c r="V269" s="1">
        <v>560200</v>
      </c>
      <c r="W269" s="1">
        <v>379600</v>
      </c>
      <c r="X269" s="1">
        <v>743300</v>
      </c>
      <c r="Y269" s="1">
        <v>549200</v>
      </c>
      <c r="Z269" s="1">
        <v>723000</v>
      </c>
      <c r="AA269" s="1">
        <v>704000</v>
      </c>
      <c r="AB269" s="1">
        <v>670000</v>
      </c>
      <c r="AC269" s="1">
        <v>451200</v>
      </c>
      <c r="AD269" s="1">
        <v>828700</v>
      </c>
      <c r="AE269" s="1">
        <v>682700</v>
      </c>
      <c r="AF269" s="1">
        <v>372400</v>
      </c>
      <c r="AG269" s="1">
        <v>382300</v>
      </c>
      <c r="AH269" s="1">
        <v>524200</v>
      </c>
      <c r="AI269" s="1">
        <v>386900</v>
      </c>
      <c r="AJ269" s="1">
        <v>1444700</v>
      </c>
      <c r="AK269" s="1">
        <v>364400</v>
      </c>
      <c r="AL269" s="1">
        <v>502000</v>
      </c>
      <c r="AM269" s="1">
        <v>851000</v>
      </c>
      <c r="AN269" s="1">
        <v>506700</v>
      </c>
      <c r="AO269" s="1">
        <v>446100</v>
      </c>
      <c r="AP269" s="1">
        <v>407700</v>
      </c>
      <c r="AQ269" s="1">
        <v>514000</v>
      </c>
      <c r="AR269" s="1">
        <v>1019800</v>
      </c>
      <c r="AS269" s="1">
        <v>677400</v>
      </c>
      <c r="AT269" s="1">
        <v>275500</v>
      </c>
      <c r="AU269" s="1">
        <v>178300</v>
      </c>
      <c r="AV269" s="1">
        <v>253200</v>
      </c>
      <c r="AW269" s="1">
        <v>232700</v>
      </c>
      <c r="AX269" s="1">
        <v>289900</v>
      </c>
      <c r="AY269" s="1">
        <v>344100</v>
      </c>
      <c r="AZ269" s="1">
        <v>216900</v>
      </c>
      <c r="BA269" s="1">
        <v>226300</v>
      </c>
      <c r="BB269" s="1">
        <v>307700</v>
      </c>
      <c r="BC269" s="1">
        <v>456600</v>
      </c>
      <c r="BD269" s="1">
        <v>508300</v>
      </c>
      <c r="BE269" s="1">
        <v>233000</v>
      </c>
      <c r="BF269" s="1">
        <v>562100</v>
      </c>
      <c r="BG269" s="1">
        <v>299500</v>
      </c>
      <c r="BH269" s="1">
        <v>193900</v>
      </c>
      <c r="BI269" s="1">
        <v>282800</v>
      </c>
      <c r="BJ269" s="1">
        <v>289500</v>
      </c>
      <c r="BK269" s="1">
        <v>252500</v>
      </c>
      <c r="BL269" s="1">
        <v>296800</v>
      </c>
      <c r="BM269" s="1">
        <v>221600</v>
      </c>
      <c r="BN269" s="1">
        <v>325100</v>
      </c>
      <c r="BO269" s="1">
        <v>229600</v>
      </c>
      <c r="BP269" s="1">
        <v>332000</v>
      </c>
    </row>
    <row r="270" spans="1:68">
      <c r="A270" s="397" t="s">
        <v>483</v>
      </c>
      <c r="B270" s="1" t="str">
        <f>銘柄管理!C270</f>
        <v/>
      </c>
      <c r="C270" s="1" t="str">
        <f>_xll.RssMarket("9115","出来高")</f>
        <v/>
      </c>
      <c r="D270" s="85" t="e">
        <f t="shared" si="4"/>
        <v>#VALUE!</v>
      </c>
      <c r="E270" s="1">
        <v>68700</v>
      </c>
      <c r="F270" s="1">
        <v>28500</v>
      </c>
      <c r="G270" s="1">
        <v>18200</v>
      </c>
      <c r="H270" s="1">
        <v>10400</v>
      </c>
      <c r="I270" s="1">
        <v>16100</v>
      </c>
      <c r="J270" s="1">
        <v>10000</v>
      </c>
      <c r="K270" s="1">
        <v>18300</v>
      </c>
      <c r="L270" s="1">
        <v>24400</v>
      </c>
      <c r="M270" s="1">
        <v>21100</v>
      </c>
      <c r="N270" s="1">
        <v>17700</v>
      </c>
      <c r="O270" s="1">
        <v>30200</v>
      </c>
      <c r="P270" s="1">
        <v>16200</v>
      </c>
      <c r="Q270" s="1">
        <v>26100</v>
      </c>
      <c r="R270" s="1">
        <v>11600</v>
      </c>
      <c r="S270" s="1">
        <v>19000</v>
      </c>
      <c r="T270" s="1">
        <v>38500</v>
      </c>
      <c r="U270" s="1">
        <v>137000</v>
      </c>
      <c r="V270" s="1">
        <v>36900</v>
      </c>
      <c r="W270" s="1">
        <v>32800</v>
      </c>
      <c r="X270" s="1">
        <v>47000</v>
      </c>
      <c r="Y270" s="1">
        <v>49000</v>
      </c>
      <c r="Z270" s="1">
        <v>35400</v>
      </c>
      <c r="AA270" s="1">
        <v>55800</v>
      </c>
      <c r="AB270" s="1">
        <v>37600</v>
      </c>
      <c r="AC270" s="1">
        <v>31000</v>
      </c>
      <c r="AD270" s="1">
        <v>30100</v>
      </c>
      <c r="AE270" s="1">
        <v>39400</v>
      </c>
      <c r="AF270" s="1">
        <v>76800</v>
      </c>
      <c r="AG270" s="1">
        <v>33100</v>
      </c>
      <c r="AH270" s="1">
        <v>40300</v>
      </c>
      <c r="AI270" s="1">
        <v>20700</v>
      </c>
      <c r="AJ270" s="1">
        <v>31100</v>
      </c>
      <c r="AK270" s="1">
        <v>11000</v>
      </c>
      <c r="AL270" s="1">
        <v>29300</v>
      </c>
      <c r="AM270" s="1">
        <v>25900</v>
      </c>
      <c r="AN270" s="1">
        <v>18100</v>
      </c>
      <c r="AO270" s="1">
        <v>20900</v>
      </c>
      <c r="AP270" s="1">
        <v>81000</v>
      </c>
      <c r="AQ270" s="1">
        <v>14100</v>
      </c>
      <c r="AR270" s="1">
        <v>45500</v>
      </c>
      <c r="AS270" s="1">
        <v>38400</v>
      </c>
      <c r="AT270" s="1">
        <v>39000</v>
      </c>
      <c r="AU270" s="1">
        <v>20600</v>
      </c>
      <c r="AV270" s="1">
        <v>33100</v>
      </c>
      <c r="AW270" s="1">
        <v>61100</v>
      </c>
      <c r="AX270" s="1">
        <v>111800</v>
      </c>
      <c r="AY270" s="1">
        <v>93600</v>
      </c>
      <c r="AZ270" s="1">
        <v>55300</v>
      </c>
      <c r="BA270" s="1">
        <v>159900</v>
      </c>
      <c r="BB270" s="1">
        <v>70100</v>
      </c>
      <c r="BC270" s="1">
        <v>120900</v>
      </c>
      <c r="BD270" s="1">
        <v>72700</v>
      </c>
      <c r="BE270" s="1">
        <v>56800</v>
      </c>
      <c r="BF270" s="1">
        <v>73300</v>
      </c>
      <c r="BG270" s="1">
        <v>130700</v>
      </c>
      <c r="BH270" s="1">
        <v>66700</v>
      </c>
      <c r="BI270" s="1">
        <v>82800</v>
      </c>
      <c r="BJ270" s="1">
        <v>187400</v>
      </c>
      <c r="BK270" s="1">
        <v>238800</v>
      </c>
      <c r="BL270" s="1">
        <v>359400</v>
      </c>
      <c r="BM270" s="1">
        <v>320300</v>
      </c>
      <c r="BN270" s="1">
        <v>430800</v>
      </c>
      <c r="BO270" s="1">
        <v>211600</v>
      </c>
      <c r="BP270" s="1">
        <v>256900</v>
      </c>
    </row>
    <row r="271" spans="1:68">
      <c r="A271" s="397" t="s">
        <v>484</v>
      </c>
      <c r="B271" s="1" t="str">
        <f>銘柄管理!C271</f>
        <v/>
      </c>
      <c r="C271" s="1" t="str">
        <f>_xll.RssMarket("3864","出来高")</f>
        <v/>
      </c>
      <c r="D271" s="85" t="e">
        <f t="shared" si="4"/>
        <v>#VALUE!</v>
      </c>
      <c r="E271" s="1">
        <v>144200</v>
      </c>
      <c r="F271" s="1">
        <v>312100</v>
      </c>
      <c r="G271" s="1">
        <v>210000</v>
      </c>
      <c r="H271" s="1">
        <v>262900</v>
      </c>
      <c r="I271" s="1">
        <v>117500</v>
      </c>
      <c r="J271" s="1">
        <v>304200</v>
      </c>
      <c r="K271" s="1">
        <v>118200</v>
      </c>
      <c r="L271" s="1">
        <v>136900</v>
      </c>
      <c r="M271" s="1">
        <v>114200</v>
      </c>
      <c r="N271" s="1">
        <v>57200</v>
      </c>
      <c r="O271" s="1">
        <v>144100</v>
      </c>
      <c r="P271" s="1">
        <v>144300</v>
      </c>
      <c r="Q271" s="1">
        <v>307200</v>
      </c>
      <c r="R271" s="1">
        <v>161500</v>
      </c>
      <c r="S271" s="1">
        <v>121300</v>
      </c>
      <c r="T271" s="1">
        <v>131100</v>
      </c>
      <c r="U271" s="1">
        <v>117100</v>
      </c>
      <c r="V271" s="1">
        <v>106900</v>
      </c>
      <c r="W271" s="1">
        <v>118100</v>
      </c>
      <c r="X271" s="1">
        <v>152400</v>
      </c>
      <c r="Y271" s="1">
        <v>253100</v>
      </c>
      <c r="Z271" s="1">
        <v>126500</v>
      </c>
      <c r="AA271" s="1">
        <v>150500</v>
      </c>
      <c r="AB271" s="1">
        <v>129500</v>
      </c>
      <c r="AC271" s="1">
        <v>187800</v>
      </c>
      <c r="AD271" s="1">
        <v>186900</v>
      </c>
      <c r="AE271" s="1">
        <v>239900</v>
      </c>
      <c r="AF271" s="1">
        <v>103000</v>
      </c>
      <c r="AG271" s="1">
        <v>194100</v>
      </c>
      <c r="AH271" s="1">
        <v>197600</v>
      </c>
      <c r="AI271" s="1">
        <v>181600</v>
      </c>
      <c r="AJ271" s="1">
        <v>177600</v>
      </c>
      <c r="AK271" s="1">
        <v>203300</v>
      </c>
      <c r="AL271" s="1">
        <v>344200</v>
      </c>
      <c r="AM271" s="1">
        <v>402800</v>
      </c>
      <c r="AN271" s="1">
        <v>418100</v>
      </c>
      <c r="AO271" s="1">
        <v>288500</v>
      </c>
      <c r="AP271" s="1">
        <v>165700</v>
      </c>
      <c r="AQ271" s="1">
        <v>365800</v>
      </c>
      <c r="AR271" s="1">
        <v>368900</v>
      </c>
      <c r="AS271" s="1">
        <v>730100</v>
      </c>
      <c r="AT271" s="1">
        <v>252700</v>
      </c>
      <c r="AU271" s="1">
        <v>118200</v>
      </c>
      <c r="AV271" s="1">
        <v>216000</v>
      </c>
      <c r="AW271" s="1">
        <v>161300</v>
      </c>
      <c r="AX271" s="1">
        <v>271600</v>
      </c>
      <c r="AY271" s="1">
        <v>208900</v>
      </c>
      <c r="AZ271" s="1">
        <v>168200</v>
      </c>
      <c r="BA271" s="1">
        <v>205800</v>
      </c>
      <c r="BB271" s="1">
        <v>221000</v>
      </c>
      <c r="BC271" s="1">
        <v>656700</v>
      </c>
      <c r="BD271" s="1">
        <v>260300</v>
      </c>
      <c r="BE271" s="1">
        <v>223600</v>
      </c>
      <c r="BF271" s="1">
        <v>245600</v>
      </c>
      <c r="BG271" s="1">
        <v>282800</v>
      </c>
      <c r="BH271" s="1">
        <v>378400</v>
      </c>
      <c r="BI271" s="1">
        <v>351200</v>
      </c>
      <c r="BJ271" s="1">
        <v>385600</v>
      </c>
      <c r="BK271" s="1">
        <v>283600</v>
      </c>
      <c r="BL271" s="1">
        <v>124000</v>
      </c>
      <c r="BM271" s="1">
        <v>287100</v>
      </c>
      <c r="BN271" s="1">
        <v>185600</v>
      </c>
      <c r="BO271" s="1">
        <v>244300</v>
      </c>
      <c r="BP271" s="1">
        <v>201400</v>
      </c>
    </row>
    <row r="272" spans="1:68">
      <c r="A272" s="397" t="s">
        <v>485</v>
      </c>
      <c r="B272" s="1" t="str">
        <f>銘柄管理!C272</f>
        <v/>
      </c>
      <c r="C272" s="1" t="str">
        <f>_xll.RssMarket("6997","出来高")</f>
        <v/>
      </c>
      <c r="D272" s="85" t="e">
        <f t="shared" si="4"/>
        <v>#VALUE!</v>
      </c>
      <c r="E272" s="1">
        <v>1454800</v>
      </c>
      <c r="F272" s="1">
        <v>1091700</v>
      </c>
      <c r="G272" s="1">
        <v>1453400</v>
      </c>
      <c r="H272" s="1">
        <v>1261900</v>
      </c>
      <c r="I272" s="1">
        <v>1029900</v>
      </c>
      <c r="J272" s="1">
        <v>1026900</v>
      </c>
      <c r="K272" s="1">
        <v>2126200</v>
      </c>
      <c r="L272" s="1">
        <v>1956100</v>
      </c>
      <c r="M272" s="1">
        <v>1365000</v>
      </c>
      <c r="N272" s="1">
        <v>1361300</v>
      </c>
      <c r="O272" s="1">
        <v>1062600</v>
      </c>
      <c r="P272" s="1">
        <v>1057600</v>
      </c>
      <c r="Q272" s="1">
        <v>776400</v>
      </c>
      <c r="R272" s="1">
        <v>1593600</v>
      </c>
      <c r="S272" s="1">
        <v>1147300</v>
      </c>
      <c r="T272" s="1">
        <v>1974600</v>
      </c>
      <c r="U272" s="1">
        <v>1651500</v>
      </c>
      <c r="V272" s="1">
        <v>1038900</v>
      </c>
      <c r="W272" s="1">
        <v>1595400</v>
      </c>
      <c r="X272" s="1">
        <v>1553000</v>
      </c>
      <c r="Y272" s="1">
        <v>2435500</v>
      </c>
      <c r="Z272" s="1">
        <v>1138700</v>
      </c>
      <c r="AA272" s="1">
        <v>1247100</v>
      </c>
      <c r="AB272" s="1">
        <v>1795700</v>
      </c>
      <c r="AC272" s="1">
        <v>1649100</v>
      </c>
      <c r="AD272" s="1">
        <v>1359000</v>
      </c>
      <c r="AE272" s="1">
        <v>1804100</v>
      </c>
      <c r="AF272" s="1">
        <v>1442800</v>
      </c>
      <c r="AG272" s="1">
        <v>1291200</v>
      </c>
      <c r="AH272" s="1">
        <v>2333100</v>
      </c>
      <c r="AI272" s="1">
        <v>3239900</v>
      </c>
      <c r="AJ272" s="1">
        <v>2453900</v>
      </c>
      <c r="AK272" s="1">
        <v>2223900</v>
      </c>
      <c r="AL272" s="1">
        <v>1714800</v>
      </c>
      <c r="AM272" s="1">
        <v>1168700</v>
      </c>
      <c r="AN272" s="1">
        <v>2192100</v>
      </c>
      <c r="AO272" s="1">
        <v>841800</v>
      </c>
      <c r="AP272" s="1">
        <v>717100</v>
      </c>
      <c r="AQ272" s="1">
        <v>1164000</v>
      </c>
      <c r="AR272" s="1">
        <v>1004100</v>
      </c>
      <c r="AS272" s="1">
        <v>1608000</v>
      </c>
      <c r="AT272" s="1">
        <v>1043000</v>
      </c>
      <c r="AU272" s="1">
        <v>548800</v>
      </c>
      <c r="AV272" s="1">
        <v>540600</v>
      </c>
      <c r="AW272" s="1">
        <v>970400</v>
      </c>
      <c r="AX272" s="1">
        <v>1252600</v>
      </c>
      <c r="AY272" s="1">
        <v>1097100</v>
      </c>
      <c r="AZ272" s="1">
        <v>619700</v>
      </c>
      <c r="BA272" s="1">
        <v>1261600</v>
      </c>
      <c r="BB272" s="1">
        <v>724800</v>
      </c>
      <c r="BC272" s="1">
        <v>996100</v>
      </c>
      <c r="BD272" s="1">
        <v>971400</v>
      </c>
      <c r="BE272" s="1">
        <v>1177100</v>
      </c>
      <c r="BF272" s="1">
        <v>754500</v>
      </c>
      <c r="BG272" s="1">
        <v>1045000</v>
      </c>
      <c r="BH272" s="1">
        <v>1301900</v>
      </c>
      <c r="BI272" s="1">
        <v>1257900</v>
      </c>
      <c r="BJ272" s="1">
        <v>1142300</v>
      </c>
      <c r="BK272" s="1">
        <v>947900</v>
      </c>
      <c r="BL272" s="1">
        <v>896900</v>
      </c>
      <c r="BM272" s="1">
        <v>498100</v>
      </c>
      <c r="BN272" s="1">
        <v>447100</v>
      </c>
      <c r="BO272" s="1">
        <v>373700</v>
      </c>
      <c r="BP272" s="1">
        <v>572200</v>
      </c>
    </row>
    <row r="273" spans="1:68">
      <c r="A273" s="397" t="s">
        <v>486</v>
      </c>
      <c r="B273" s="1" t="str">
        <f>銘柄管理!C273</f>
        <v/>
      </c>
      <c r="C273" s="1" t="str">
        <f>_xll.RssMarket("4544","出来高")</f>
        <v/>
      </c>
      <c r="D273" s="85" t="e">
        <f t="shared" si="4"/>
        <v>#VALUE!</v>
      </c>
      <c r="E273" s="1">
        <v>167900</v>
      </c>
      <c r="F273" s="1">
        <v>218800</v>
      </c>
      <c r="G273" s="1">
        <v>169900</v>
      </c>
      <c r="H273" s="1">
        <v>190700</v>
      </c>
      <c r="I273" s="1">
        <v>236900</v>
      </c>
      <c r="J273" s="1">
        <v>293500</v>
      </c>
      <c r="K273" s="1">
        <v>295500</v>
      </c>
      <c r="L273" s="1">
        <v>223700</v>
      </c>
      <c r="M273" s="1">
        <v>197000</v>
      </c>
      <c r="N273" s="1">
        <v>242600</v>
      </c>
      <c r="O273" s="1">
        <v>256900</v>
      </c>
      <c r="P273" s="1">
        <v>221900</v>
      </c>
      <c r="Q273" s="1">
        <v>377500</v>
      </c>
      <c r="R273" s="1">
        <v>252200</v>
      </c>
      <c r="S273" s="1">
        <v>217100</v>
      </c>
      <c r="T273" s="1">
        <v>433400</v>
      </c>
      <c r="U273" s="1">
        <v>305300</v>
      </c>
      <c r="V273" s="1">
        <v>215300</v>
      </c>
      <c r="W273" s="1">
        <v>191900</v>
      </c>
      <c r="X273" s="1">
        <v>195800</v>
      </c>
      <c r="Y273" s="1">
        <v>388800</v>
      </c>
      <c r="Z273" s="1">
        <v>302800</v>
      </c>
      <c r="AA273" s="1">
        <v>210200</v>
      </c>
      <c r="AB273" s="1">
        <v>347900</v>
      </c>
      <c r="AC273" s="1">
        <v>221700</v>
      </c>
      <c r="AD273" s="1">
        <v>353100</v>
      </c>
      <c r="AE273" s="1">
        <v>223600</v>
      </c>
      <c r="AF273" s="1">
        <v>240700</v>
      </c>
      <c r="AG273" s="1">
        <v>288600</v>
      </c>
      <c r="AH273" s="1">
        <v>469100</v>
      </c>
      <c r="AI273" s="1">
        <v>278300</v>
      </c>
      <c r="AJ273" s="1">
        <v>403800</v>
      </c>
      <c r="AK273" s="1">
        <v>262300</v>
      </c>
      <c r="AL273" s="1">
        <v>245800</v>
      </c>
      <c r="AM273" s="1">
        <v>204300</v>
      </c>
      <c r="AN273" s="1">
        <v>185000</v>
      </c>
      <c r="AO273" s="1">
        <v>332000</v>
      </c>
      <c r="AP273" s="1">
        <v>258400</v>
      </c>
      <c r="AQ273" s="1">
        <v>307700</v>
      </c>
      <c r="AR273" s="1">
        <v>308600</v>
      </c>
      <c r="AS273" s="1">
        <v>412500</v>
      </c>
      <c r="AT273" s="1">
        <v>421800</v>
      </c>
      <c r="AU273" s="1">
        <v>276200</v>
      </c>
      <c r="AV273" s="1">
        <v>188900</v>
      </c>
      <c r="AW273" s="1">
        <v>194600</v>
      </c>
      <c r="AX273" s="1">
        <v>263300</v>
      </c>
      <c r="AY273" s="1">
        <v>259300</v>
      </c>
      <c r="AZ273" s="1">
        <v>121500</v>
      </c>
      <c r="BA273" s="1">
        <v>246900</v>
      </c>
      <c r="BB273" s="1">
        <v>446500</v>
      </c>
      <c r="BC273" s="1">
        <v>363500</v>
      </c>
      <c r="BD273" s="1">
        <v>305500</v>
      </c>
      <c r="BE273" s="1">
        <v>309200</v>
      </c>
      <c r="BF273" s="1">
        <v>347900</v>
      </c>
      <c r="BG273" s="1">
        <v>210200</v>
      </c>
      <c r="BH273" s="1">
        <v>97500</v>
      </c>
      <c r="BI273" s="1">
        <v>170100</v>
      </c>
      <c r="BJ273" s="1">
        <v>164200</v>
      </c>
      <c r="BK273" s="1">
        <v>190100</v>
      </c>
      <c r="BL273" s="1">
        <v>212900</v>
      </c>
      <c r="BM273" s="1">
        <v>211600</v>
      </c>
      <c r="BN273" s="1">
        <v>204100</v>
      </c>
      <c r="BO273" s="1">
        <v>183000</v>
      </c>
      <c r="BP273" s="1">
        <v>217900</v>
      </c>
    </row>
    <row r="274" spans="1:68">
      <c r="A274" s="397" t="s">
        <v>487</v>
      </c>
      <c r="B274" s="1" t="str">
        <f>銘柄管理!C274</f>
        <v/>
      </c>
      <c r="C274" s="1" t="str">
        <f>_xll.RssMarket("6848","出来高")</f>
        <v/>
      </c>
      <c r="D274" s="85" t="e">
        <f t="shared" si="4"/>
        <v>#VALUE!</v>
      </c>
      <c r="E274" s="1">
        <v>5100</v>
      </c>
      <c r="F274" s="1">
        <v>7000</v>
      </c>
      <c r="G274" s="1">
        <v>2700</v>
      </c>
      <c r="H274" s="1">
        <v>4300</v>
      </c>
      <c r="I274" s="1">
        <v>1600</v>
      </c>
      <c r="J274" s="1">
        <v>5300</v>
      </c>
      <c r="K274" s="1">
        <v>3800</v>
      </c>
      <c r="L274" s="1">
        <v>2300</v>
      </c>
      <c r="M274" s="1">
        <v>3200</v>
      </c>
      <c r="N274" s="1">
        <v>3400</v>
      </c>
      <c r="O274" s="1">
        <v>4200</v>
      </c>
      <c r="P274" s="1">
        <v>15500</v>
      </c>
      <c r="Q274" s="1">
        <v>4100</v>
      </c>
      <c r="R274" s="1">
        <v>3700</v>
      </c>
      <c r="S274" s="1">
        <v>3800</v>
      </c>
      <c r="T274" s="1">
        <v>8200</v>
      </c>
      <c r="U274" s="1">
        <v>5000</v>
      </c>
      <c r="V274" s="1">
        <v>8500</v>
      </c>
      <c r="W274" s="1">
        <v>12500</v>
      </c>
      <c r="X274" s="1">
        <v>3200</v>
      </c>
      <c r="Y274" s="1">
        <v>6000</v>
      </c>
      <c r="Z274" s="1">
        <v>3800</v>
      </c>
      <c r="AA274" s="1">
        <v>2700</v>
      </c>
      <c r="AB274" s="1">
        <v>4800</v>
      </c>
      <c r="AC274" s="1">
        <v>5500</v>
      </c>
      <c r="AD274" s="1">
        <v>11400</v>
      </c>
      <c r="AE274" s="1">
        <v>3500</v>
      </c>
      <c r="AF274" s="1">
        <v>2800</v>
      </c>
      <c r="AG274" s="1">
        <v>5800</v>
      </c>
      <c r="AH274" s="1">
        <v>5600</v>
      </c>
      <c r="AI274" s="1">
        <v>3800</v>
      </c>
      <c r="AJ274" s="1">
        <v>2600</v>
      </c>
      <c r="AK274" s="1">
        <v>2500</v>
      </c>
      <c r="AL274" s="1">
        <v>2900</v>
      </c>
      <c r="AM274" s="1">
        <v>6100</v>
      </c>
      <c r="AN274" s="1">
        <v>5500</v>
      </c>
      <c r="AO274" s="1">
        <v>4900</v>
      </c>
      <c r="AP274" s="1">
        <v>11400</v>
      </c>
      <c r="AQ274" s="1">
        <v>800</v>
      </c>
      <c r="AR274" s="1">
        <v>6600</v>
      </c>
      <c r="AS274" s="1">
        <v>7100</v>
      </c>
      <c r="AT274" s="1">
        <v>3600</v>
      </c>
      <c r="AU274" s="1">
        <v>1700</v>
      </c>
      <c r="AV274" s="1">
        <v>4100</v>
      </c>
      <c r="AW274" s="1">
        <v>4300</v>
      </c>
      <c r="AX274" s="1">
        <v>2100</v>
      </c>
      <c r="AY274" s="1">
        <v>3300</v>
      </c>
      <c r="AZ274" s="1">
        <v>3100</v>
      </c>
      <c r="BA274" s="1">
        <v>3000</v>
      </c>
      <c r="BB274" s="1">
        <v>1500</v>
      </c>
      <c r="BC274" s="1">
        <v>3000</v>
      </c>
      <c r="BD274" s="1">
        <v>6200</v>
      </c>
      <c r="BE274" s="1">
        <v>4300</v>
      </c>
      <c r="BF274" s="1">
        <v>2200</v>
      </c>
      <c r="BG274" s="1">
        <v>1700</v>
      </c>
      <c r="BH274" s="1">
        <v>4200</v>
      </c>
      <c r="BI274" s="1">
        <v>1500</v>
      </c>
      <c r="BJ274" s="1">
        <v>5200</v>
      </c>
      <c r="BK274" s="1">
        <v>2600</v>
      </c>
      <c r="BL274" s="1">
        <v>1500</v>
      </c>
      <c r="BM274" s="1">
        <v>1200</v>
      </c>
      <c r="BN274" s="1">
        <v>3900</v>
      </c>
      <c r="BO274" s="1">
        <v>1500</v>
      </c>
      <c r="BP274" s="1">
        <v>3900</v>
      </c>
    </row>
    <row r="275" spans="1:68">
      <c r="A275" s="397" t="s">
        <v>488</v>
      </c>
      <c r="B275" s="1" t="str">
        <f>銘柄管理!C275</f>
        <v/>
      </c>
      <c r="C275" s="1" t="str">
        <f>_xll.RssMarket("5702","出来高")</f>
        <v/>
      </c>
      <c r="D275" s="85" t="e">
        <f t="shared" si="4"/>
        <v>#VALUE!</v>
      </c>
      <c r="E275" s="1">
        <v>474800</v>
      </c>
      <c r="F275" s="1">
        <v>148200</v>
      </c>
      <c r="G275" s="1">
        <v>283000</v>
      </c>
      <c r="H275" s="1">
        <v>236200</v>
      </c>
      <c r="I275" s="1">
        <v>230300</v>
      </c>
      <c r="J275" s="1">
        <v>258300</v>
      </c>
      <c r="K275" s="1">
        <v>339600</v>
      </c>
      <c r="L275" s="1">
        <v>345900</v>
      </c>
      <c r="M275" s="1">
        <v>219100</v>
      </c>
      <c r="N275" s="1">
        <v>250500</v>
      </c>
      <c r="O275" s="1">
        <v>215100</v>
      </c>
      <c r="P275" s="1">
        <v>212100</v>
      </c>
      <c r="Q275" s="1">
        <v>213500</v>
      </c>
      <c r="R275" s="1">
        <v>355800</v>
      </c>
      <c r="S275" s="1">
        <v>259300</v>
      </c>
      <c r="T275" s="1">
        <v>338400</v>
      </c>
      <c r="U275" s="1">
        <v>263600</v>
      </c>
      <c r="V275" s="1">
        <v>284500</v>
      </c>
      <c r="W275" s="1">
        <v>200000</v>
      </c>
      <c r="X275" s="1">
        <v>302800</v>
      </c>
      <c r="Y275" s="1">
        <v>187000</v>
      </c>
      <c r="Z275" s="1">
        <v>308800</v>
      </c>
      <c r="AA275" s="1">
        <v>341400</v>
      </c>
      <c r="AB275" s="1">
        <v>220700</v>
      </c>
      <c r="AC275" s="1">
        <v>210500</v>
      </c>
      <c r="AD275" s="1">
        <v>290500</v>
      </c>
      <c r="AE275" s="1">
        <v>337200</v>
      </c>
      <c r="AF275" s="1">
        <v>242300</v>
      </c>
      <c r="AG275" s="1">
        <v>234100</v>
      </c>
      <c r="AH275" s="1">
        <v>304900</v>
      </c>
      <c r="AI275" s="1">
        <v>279200</v>
      </c>
      <c r="AJ275" s="1">
        <v>262200</v>
      </c>
      <c r="AK275" s="1">
        <v>285000</v>
      </c>
      <c r="AL275" s="1">
        <v>347600</v>
      </c>
      <c r="AM275" s="1">
        <v>295400</v>
      </c>
      <c r="AN275" s="1">
        <v>380200</v>
      </c>
      <c r="AO275" s="1">
        <v>320500</v>
      </c>
      <c r="AP275" s="1">
        <v>281300</v>
      </c>
      <c r="AQ275" s="1">
        <v>384800</v>
      </c>
      <c r="AR275" s="1">
        <v>410800</v>
      </c>
      <c r="AS275" s="1">
        <v>611800</v>
      </c>
      <c r="AT275" s="1">
        <v>1315400</v>
      </c>
      <c r="AU275" s="1">
        <v>208000</v>
      </c>
      <c r="AV275" s="1">
        <v>253300</v>
      </c>
      <c r="AW275" s="1">
        <v>209400</v>
      </c>
      <c r="AX275" s="1">
        <v>396600</v>
      </c>
      <c r="AY275" s="1">
        <v>264500</v>
      </c>
      <c r="AZ275" s="1">
        <v>250700</v>
      </c>
      <c r="BA275" s="1">
        <v>350600</v>
      </c>
      <c r="BB275" s="1">
        <v>210600</v>
      </c>
      <c r="BC275" s="1">
        <v>161500</v>
      </c>
      <c r="BD275" s="1">
        <v>164300</v>
      </c>
      <c r="BE275" s="1">
        <v>200200</v>
      </c>
      <c r="BF275" s="1">
        <v>179400</v>
      </c>
      <c r="BG275" s="1">
        <v>220300</v>
      </c>
      <c r="BH275" s="1">
        <v>152300</v>
      </c>
      <c r="BI275" s="1">
        <v>138500</v>
      </c>
      <c r="BJ275" s="1">
        <v>165800</v>
      </c>
      <c r="BK275" s="1">
        <v>238100</v>
      </c>
      <c r="BL275" s="1">
        <v>435900</v>
      </c>
      <c r="BM275" s="1">
        <v>204600</v>
      </c>
      <c r="BN275" s="1">
        <v>230700</v>
      </c>
      <c r="BO275" s="1">
        <v>204600</v>
      </c>
      <c r="BP275" s="1">
        <v>399600</v>
      </c>
    </row>
    <row r="276" spans="1:68">
      <c r="A276" s="397" t="s">
        <v>489</v>
      </c>
      <c r="B276" s="1" t="str">
        <f>銘柄管理!C276</f>
        <v/>
      </c>
      <c r="C276" s="1" t="str">
        <f>_xll.RssMarket("7952","出来高")</f>
        <v/>
      </c>
      <c r="D276" s="85" t="e">
        <f t="shared" si="4"/>
        <v>#VALUE!</v>
      </c>
      <c r="E276" s="1">
        <v>62100</v>
      </c>
      <c r="F276" s="1">
        <v>10000</v>
      </c>
      <c r="G276" s="1">
        <v>11100</v>
      </c>
      <c r="H276" s="1">
        <v>22100</v>
      </c>
      <c r="I276" s="1">
        <v>15300</v>
      </c>
      <c r="J276" s="1">
        <v>6400</v>
      </c>
      <c r="K276" s="1">
        <v>11200</v>
      </c>
      <c r="L276" s="1">
        <v>9000</v>
      </c>
      <c r="M276" s="1">
        <v>26000</v>
      </c>
      <c r="N276" s="1">
        <v>18400</v>
      </c>
      <c r="O276" s="1">
        <v>23300</v>
      </c>
      <c r="P276" s="1">
        <v>45500</v>
      </c>
      <c r="Q276" s="1">
        <v>44400</v>
      </c>
      <c r="R276" s="1">
        <v>44100</v>
      </c>
      <c r="S276" s="1">
        <v>19800</v>
      </c>
      <c r="T276" s="1">
        <v>16000</v>
      </c>
      <c r="U276" s="1">
        <v>12400</v>
      </c>
      <c r="V276" s="1">
        <v>19500</v>
      </c>
      <c r="W276" s="1">
        <v>10200</v>
      </c>
      <c r="X276" s="1">
        <v>54600</v>
      </c>
      <c r="Y276" s="1">
        <v>27800</v>
      </c>
      <c r="Z276" s="1">
        <v>38900</v>
      </c>
      <c r="AA276" s="1">
        <v>22600</v>
      </c>
      <c r="AB276" s="1">
        <v>13500</v>
      </c>
      <c r="AC276" s="1">
        <v>32600</v>
      </c>
      <c r="AD276" s="1">
        <v>21000</v>
      </c>
      <c r="AE276" s="1">
        <v>60000</v>
      </c>
      <c r="AF276" s="1">
        <v>14700</v>
      </c>
      <c r="AG276" s="1">
        <v>29700</v>
      </c>
      <c r="AH276" s="1">
        <v>10600</v>
      </c>
      <c r="AI276" s="1">
        <v>29400</v>
      </c>
      <c r="AJ276" s="1">
        <v>27800</v>
      </c>
      <c r="AK276" s="1">
        <v>44500</v>
      </c>
      <c r="AL276" s="1">
        <v>13500</v>
      </c>
      <c r="AM276" s="1">
        <v>17600</v>
      </c>
      <c r="AN276" s="1">
        <v>8700</v>
      </c>
      <c r="AO276" s="1">
        <v>17900</v>
      </c>
      <c r="AP276" s="1">
        <v>39500</v>
      </c>
      <c r="AQ276" s="1">
        <v>19800</v>
      </c>
      <c r="AR276" s="1">
        <v>31000</v>
      </c>
      <c r="AS276" s="1">
        <v>77300</v>
      </c>
      <c r="AT276" s="1">
        <v>22500</v>
      </c>
      <c r="AU276" s="1">
        <v>27900</v>
      </c>
      <c r="AV276" s="1">
        <v>42500</v>
      </c>
      <c r="AW276" s="1">
        <v>30700</v>
      </c>
      <c r="AX276" s="1">
        <v>28300</v>
      </c>
      <c r="AY276" s="1">
        <v>9700</v>
      </c>
      <c r="AZ276" s="1">
        <v>19300</v>
      </c>
      <c r="BA276" s="1">
        <v>19400</v>
      </c>
      <c r="BB276" s="1">
        <v>7300</v>
      </c>
      <c r="BC276" s="1">
        <v>14200</v>
      </c>
      <c r="BD276" s="1">
        <v>18000</v>
      </c>
      <c r="BE276" s="1">
        <v>19900</v>
      </c>
      <c r="BF276" s="1">
        <v>15300</v>
      </c>
      <c r="BG276" s="1">
        <v>6800</v>
      </c>
      <c r="BH276" s="1">
        <v>6500</v>
      </c>
      <c r="BI276" s="1">
        <v>17600</v>
      </c>
      <c r="BJ276" s="1">
        <v>42700</v>
      </c>
      <c r="BK276" s="1">
        <v>12500</v>
      </c>
      <c r="BL276" s="1">
        <v>11300</v>
      </c>
      <c r="BM276" s="1">
        <v>11900</v>
      </c>
      <c r="BN276" s="1">
        <v>31900</v>
      </c>
      <c r="BO276" s="1">
        <v>15500</v>
      </c>
      <c r="BP276" s="1">
        <v>14200</v>
      </c>
    </row>
    <row r="277" spans="1:68">
      <c r="A277" s="397" t="s">
        <v>490</v>
      </c>
      <c r="B277" s="1" t="str">
        <f>銘柄管理!C277</f>
        <v/>
      </c>
      <c r="C277" s="1" t="str">
        <f>_xll.RssMarket("3002","出来高")</f>
        <v/>
      </c>
      <c r="D277" s="85" t="e">
        <f t="shared" si="4"/>
        <v>#VALUE!</v>
      </c>
      <c r="E277" s="1">
        <v>128300</v>
      </c>
      <c r="F277" s="1">
        <v>111600</v>
      </c>
      <c r="G277" s="1">
        <v>96200</v>
      </c>
      <c r="H277" s="1">
        <v>144100</v>
      </c>
      <c r="I277" s="1">
        <v>223700</v>
      </c>
      <c r="J277" s="1">
        <v>103300</v>
      </c>
      <c r="K277" s="1">
        <v>113200</v>
      </c>
      <c r="L277" s="1">
        <v>165200</v>
      </c>
      <c r="M277" s="1">
        <v>169400</v>
      </c>
      <c r="N277" s="1">
        <v>200300</v>
      </c>
      <c r="O277" s="1">
        <v>209200</v>
      </c>
      <c r="P277" s="1">
        <v>95900</v>
      </c>
      <c r="Q277" s="1">
        <v>144400</v>
      </c>
      <c r="R277" s="1">
        <v>167400</v>
      </c>
      <c r="S277" s="1">
        <v>140600</v>
      </c>
      <c r="T277" s="1">
        <v>167000</v>
      </c>
      <c r="U277" s="1">
        <v>114600</v>
      </c>
      <c r="V277" s="1">
        <v>121600</v>
      </c>
      <c r="W277" s="1">
        <v>120200</v>
      </c>
      <c r="X277" s="1">
        <v>150200</v>
      </c>
      <c r="Y277" s="1">
        <v>154600</v>
      </c>
      <c r="Z277" s="1">
        <v>150300</v>
      </c>
      <c r="AA277" s="1">
        <v>120900</v>
      </c>
      <c r="AB277" s="1">
        <v>394200</v>
      </c>
      <c r="AC277" s="1">
        <v>142000</v>
      </c>
      <c r="AD277" s="1">
        <v>260200</v>
      </c>
      <c r="AE277" s="1">
        <v>199500</v>
      </c>
      <c r="AF277" s="1">
        <v>118500</v>
      </c>
      <c r="AG277" s="1">
        <v>103100</v>
      </c>
      <c r="AH277" s="1">
        <v>128000</v>
      </c>
      <c r="AI277" s="1">
        <v>208600</v>
      </c>
      <c r="AJ277" s="1">
        <v>202700</v>
      </c>
      <c r="AK277" s="1">
        <v>192700</v>
      </c>
      <c r="AL277" s="1">
        <v>230500</v>
      </c>
      <c r="AM277" s="1">
        <v>146200</v>
      </c>
      <c r="AN277" s="1">
        <v>156400</v>
      </c>
      <c r="AO277" s="1">
        <v>142000</v>
      </c>
      <c r="AP277" s="1">
        <v>251300</v>
      </c>
      <c r="AQ277" s="1">
        <v>314300</v>
      </c>
      <c r="AR277" s="1">
        <v>303500</v>
      </c>
      <c r="AS277" s="1">
        <v>347900</v>
      </c>
      <c r="AT277" s="1">
        <v>569600</v>
      </c>
      <c r="AU277" s="1">
        <v>202200</v>
      </c>
      <c r="AV277" s="1">
        <v>218800</v>
      </c>
      <c r="AW277" s="1">
        <v>127400</v>
      </c>
      <c r="AX277" s="1">
        <v>305300</v>
      </c>
      <c r="AY277" s="1">
        <v>234500</v>
      </c>
      <c r="AZ277" s="1">
        <v>259100</v>
      </c>
      <c r="BA277" s="1">
        <v>312500</v>
      </c>
      <c r="BB277" s="1">
        <v>361000</v>
      </c>
      <c r="BC277" s="1">
        <v>229100</v>
      </c>
      <c r="BD277" s="1">
        <v>155700</v>
      </c>
      <c r="BE277" s="1">
        <v>275400</v>
      </c>
      <c r="BF277" s="1">
        <v>265800</v>
      </c>
      <c r="BG277" s="1">
        <v>283500</v>
      </c>
      <c r="BH277" s="1">
        <v>137000</v>
      </c>
      <c r="BI277" s="1">
        <v>196400</v>
      </c>
      <c r="BJ277" s="1">
        <v>167500</v>
      </c>
      <c r="BK277" s="1">
        <v>220300</v>
      </c>
      <c r="BL277" s="1">
        <v>162800</v>
      </c>
      <c r="BM277" s="1">
        <v>185200</v>
      </c>
      <c r="BN277" s="1">
        <v>166100</v>
      </c>
      <c r="BO277" s="1">
        <v>207300</v>
      </c>
      <c r="BP277" s="1">
        <v>216400</v>
      </c>
    </row>
    <row r="278" spans="1:68">
      <c r="A278" s="397" t="s">
        <v>491</v>
      </c>
      <c r="B278" s="1" t="str">
        <f>銘柄管理!C278</f>
        <v/>
      </c>
      <c r="C278" s="1" t="str">
        <f>_xll.RssMarket("8871","出来高")</f>
        <v/>
      </c>
      <c r="D278" s="85" t="e">
        <f t="shared" si="4"/>
        <v>#VALUE!</v>
      </c>
      <c r="E278" s="1">
        <v>123800</v>
      </c>
      <c r="F278" s="1">
        <v>27000</v>
      </c>
      <c r="G278" s="1">
        <v>25800</v>
      </c>
      <c r="H278" s="1">
        <v>24000</v>
      </c>
      <c r="I278" s="1">
        <v>31900</v>
      </c>
      <c r="J278" s="1">
        <v>21700</v>
      </c>
      <c r="K278" s="1">
        <v>51500</v>
      </c>
      <c r="L278" s="1">
        <v>22100</v>
      </c>
      <c r="M278" s="1">
        <v>27000</v>
      </c>
      <c r="N278" s="1">
        <v>28100</v>
      </c>
      <c r="O278" s="1">
        <v>37500</v>
      </c>
      <c r="P278" s="1">
        <v>57500</v>
      </c>
      <c r="Q278" s="1">
        <v>38700</v>
      </c>
      <c r="R278" s="1">
        <v>24900</v>
      </c>
      <c r="S278" s="1">
        <v>30000</v>
      </c>
      <c r="T278" s="1">
        <v>23200</v>
      </c>
      <c r="U278" s="1">
        <v>28400</v>
      </c>
      <c r="V278" s="1">
        <v>41400</v>
      </c>
      <c r="W278" s="1">
        <v>37500</v>
      </c>
      <c r="X278" s="1">
        <v>48200</v>
      </c>
      <c r="Y278" s="1">
        <v>37200</v>
      </c>
      <c r="Z278" s="1">
        <v>23900</v>
      </c>
      <c r="AA278" s="1">
        <v>33600</v>
      </c>
      <c r="AB278" s="1">
        <v>30300</v>
      </c>
      <c r="AC278" s="1">
        <v>35300</v>
      </c>
      <c r="AD278" s="1">
        <v>32900</v>
      </c>
      <c r="AE278" s="1">
        <v>53000</v>
      </c>
      <c r="AF278" s="1">
        <v>60500</v>
      </c>
      <c r="AG278" s="1">
        <v>52900</v>
      </c>
      <c r="AH278" s="1">
        <v>43800</v>
      </c>
      <c r="AI278" s="1">
        <v>54200</v>
      </c>
      <c r="AJ278" s="1">
        <v>54900</v>
      </c>
      <c r="AK278" s="1">
        <v>38700</v>
      </c>
      <c r="AL278" s="1">
        <v>43800</v>
      </c>
      <c r="AM278" s="1">
        <v>40400</v>
      </c>
      <c r="AN278" s="1">
        <v>37700</v>
      </c>
      <c r="AO278" s="1">
        <v>56700</v>
      </c>
      <c r="AP278" s="1">
        <v>36900</v>
      </c>
      <c r="AQ278" s="1">
        <v>90400</v>
      </c>
      <c r="AR278" s="1">
        <v>86000</v>
      </c>
      <c r="AS278" s="1">
        <v>147400</v>
      </c>
      <c r="AT278" s="1">
        <v>46800</v>
      </c>
      <c r="AU278" s="1">
        <v>35600</v>
      </c>
      <c r="AV278" s="1">
        <v>14000</v>
      </c>
      <c r="AW278" s="1">
        <v>14700</v>
      </c>
      <c r="AX278" s="1">
        <v>17600</v>
      </c>
      <c r="AY278" s="1">
        <v>17500</v>
      </c>
      <c r="AZ278" s="1">
        <v>20000</v>
      </c>
      <c r="BA278" s="1">
        <v>25900</v>
      </c>
      <c r="BB278" s="1">
        <v>36200</v>
      </c>
      <c r="BC278" s="1">
        <v>66200</v>
      </c>
      <c r="BD278" s="1">
        <v>15800</v>
      </c>
      <c r="BE278" s="1">
        <v>22600</v>
      </c>
      <c r="BF278" s="1">
        <v>34600</v>
      </c>
      <c r="BG278" s="1">
        <v>13900</v>
      </c>
      <c r="BH278" s="1">
        <v>18800</v>
      </c>
      <c r="BI278" s="1">
        <v>31400</v>
      </c>
      <c r="BJ278" s="1">
        <v>22700</v>
      </c>
      <c r="BK278" s="1">
        <v>18100</v>
      </c>
      <c r="BL278" s="1">
        <v>20600</v>
      </c>
      <c r="BM278" s="1">
        <v>14300</v>
      </c>
      <c r="BN278" s="1">
        <v>30400</v>
      </c>
      <c r="BO278" s="1">
        <v>28800</v>
      </c>
      <c r="BP278" s="1">
        <v>27000</v>
      </c>
    </row>
    <row r="279" spans="1:68">
      <c r="A279" s="397" t="s">
        <v>492</v>
      </c>
      <c r="B279" s="1" t="str">
        <f>銘柄管理!C279</f>
        <v/>
      </c>
      <c r="C279" s="1" t="str">
        <f>_xll.RssMarket("6918","出来高")</f>
        <v/>
      </c>
      <c r="D279" s="85" t="e">
        <f t="shared" si="4"/>
        <v>#VALUE!</v>
      </c>
      <c r="E279" s="1">
        <v>69700</v>
      </c>
      <c r="F279" s="1">
        <v>10600</v>
      </c>
      <c r="G279" s="1">
        <v>15400</v>
      </c>
      <c r="H279" s="1">
        <v>20200</v>
      </c>
      <c r="I279" s="1">
        <v>23000</v>
      </c>
      <c r="J279" s="1">
        <v>15100</v>
      </c>
      <c r="K279" s="1">
        <v>24400</v>
      </c>
      <c r="L279" s="1">
        <v>12600</v>
      </c>
      <c r="M279" s="1">
        <v>21700</v>
      </c>
      <c r="N279" s="1">
        <v>23400</v>
      </c>
      <c r="O279" s="1">
        <v>21500</v>
      </c>
      <c r="P279" s="1">
        <v>38500</v>
      </c>
      <c r="Q279" s="1">
        <v>12300</v>
      </c>
      <c r="R279" s="1">
        <v>26500</v>
      </c>
      <c r="S279" s="1">
        <v>22100</v>
      </c>
      <c r="T279" s="1">
        <v>27100</v>
      </c>
      <c r="U279" s="1">
        <v>22300</v>
      </c>
      <c r="V279" s="1">
        <v>27200</v>
      </c>
      <c r="W279" s="1">
        <v>35600</v>
      </c>
      <c r="X279" s="1">
        <v>26800</v>
      </c>
      <c r="Y279" s="1">
        <v>39500</v>
      </c>
      <c r="Z279" s="1">
        <v>26700</v>
      </c>
      <c r="AA279" s="1">
        <v>22200</v>
      </c>
      <c r="AB279" s="1">
        <v>29800</v>
      </c>
      <c r="AC279" s="1">
        <v>27800</v>
      </c>
      <c r="AD279" s="1">
        <v>46900</v>
      </c>
      <c r="AE279" s="1">
        <v>39500</v>
      </c>
      <c r="AF279" s="1">
        <v>25000</v>
      </c>
      <c r="AG279" s="1">
        <v>34100</v>
      </c>
      <c r="AH279" s="1">
        <v>35200</v>
      </c>
      <c r="AI279" s="1">
        <v>25900</v>
      </c>
      <c r="AJ279" s="1">
        <v>19100</v>
      </c>
      <c r="AK279" s="1">
        <v>42800</v>
      </c>
      <c r="AL279" s="1">
        <v>19500</v>
      </c>
      <c r="AM279" s="1">
        <v>16300</v>
      </c>
      <c r="AN279" s="1">
        <v>29800</v>
      </c>
      <c r="AO279" s="1">
        <v>14100</v>
      </c>
      <c r="AP279" s="1">
        <v>19700</v>
      </c>
      <c r="AQ279" s="1">
        <v>45900</v>
      </c>
      <c r="AR279" s="1">
        <v>53100</v>
      </c>
      <c r="AS279" s="1">
        <v>76800</v>
      </c>
      <c r="AT279" s="1">
        <v>60400</v>
      </c>
      <c r="AU279" s="1">
        <v>24500</v>
      </c>
      <c r="AV279" s="1">
        <v>47800</v>
      </c>
      <c r="AW279" s="1">
        <v>93600</v>
      </c>
      <c r="AX279" s="1">
        <v>23800</v>
      </c>
      <c r="AY279" s="1">
        <v>60400</v>
      </c>
      <c r="AZ279" s="1">
        <v>38900</v>
      </c>
      <c r="BA279" s="1">
        <v>12000</v>
      </c>
      <c r="BB279" s="1">
        <v>17200</v>
      </c>
      <c r="BC279" s="1">
        <v>47000</v>
      </c>
      <c r="BD279" s="1">
        <v>18500</v>
      </c>
      <c r="BE279" s="1">
        <v>20000</v>
      </c>
      <c r="BF279" s="1">
        <v>41600</v>
      </c>
      <c r="BG279" s="1">
        <v>36100</v>
      </c>
      <c r="BH279" s="1">
        <v>30000</v>
      </c>
      <c r="BI279" s="1">
        <v>21600</v>
      </c>
      <c r="BJ279" s="1">
        <v>5500</v>
      </c>
      <c r="BK279" s="1">
        <v>19000</v>
      </c>
      <c r="BL279" s="1">
        <v>26200</v>
      </c>
      <c r="BM279" s="1">
        <v>27700</v>
      </c>
      <c r="BN279" s="1">
        <v>12800</v>
      </c>
      <c r="BO279" s="1">
        <v>17400</v>
      </c>
      <c r="BP279" s="1">
        <v>15700</v>
      </c>
    </row>
    <row r="280" spans="1:68">
      <c r="A280" s="397" t="s">
        <v>493</v>
      </c>
      <c r="B280" s="1" t="str">
        <f>銘柄管理!C280</f>
        <v/>
      </c>
      <c r="C280" s="1" t="str">
        <f>_xll.RssMarket("6488","出来高")</f>
        <v/>
      </c>
      <c r="D280" s="85" t="e">
        <f t="shared" si="4"/>
        <v>#VALUE!</v>
      </c>
      <c r="E280" s="1">
        <v>7800</v>
      </c>
      <c r="F280" s="1">
        <v>4800</v>
      </c>
      <c r="G280" s="1">
        <v>4700</v>
      </c>
      <c r="H280" s="1">
        <v>6500</v>
      </c>
      <c r="I280" s="1">
        <v>9200</v>
      </c>
      <c r="J280" s="1">
        <v>10000</v>
      </c>
      <c r="K280" s="1">
        <v>5700</v>
      </c>
      <c r="L280" s="1">
        <v>10500</v>
      </c>
      <c r="M280" s="1">
        <v>2800</v>
      </c>
      <c r="N280" s="1">
        <v>12200</v>
      </c>
      <c r="O280" s="1">
        <v>12300</v>
      </c>
      <c r="P280" s="1">
        <v>4700</v>
      </c>
      <c r="Q280" s="1">
        <v>1500</v>
      </c>
      <c r="R280" s="1">
        <v>3800</v>
      </c>
      <c r="S280" s="1">
        <v>9100</v>
      </c>
      <c r="T280" s="1">
        <v>5700</v>
      </c>
      <c r="U280" s="1">
        <v>6000</v>
      </c>
      <c r="V280" s="1">
        <v>10200</v>
      </c>
      <c r="W280" s="1">
        <v>8700</v>
      </c>
      <c r="X280" s="1">
        <v>7100</v>
      </c>
      <c r="Y280" s="1">
        <v>5300</v>
      </c>
      <c r="Z280" s="1">
        <v>1400</v>
      </c>
      <c r="AA280" s="1">
        <v>4000</v>
      </c>
      <c r="AB280" s="1">
        <v>5300</v>
      </c>
      <c r="AC280" s="1">
        <v>5400</v>
      </c>
      <c r="AD280" s="1">
        <v>9100</v>
      </c>
      <c r="AE280" s="1">
        <v>1700</v>
      </c>
      <c r="AF280" s="1">
        <v>2900</v>
      </c>
      <c r="AG280" s="1">
        <v>3800</v>
      </c>
      <c r="AH280" s="1">
        <v>3200</v>
      </c>
      <c r="AI280" s="1">
        <v>5600</v>
      </c>
      <c r="AJ280" s="1">
        <v>3600</v>
      </c>
      <c r="AK280" s="1">
        <v>14700</v>
      </c>
      <c r="AL280" s="1">
        <v>2100</v>
      </c>
      <c r="AM280" s="1">
        <v>4000</v>
      </c>
      <c r="AN280" s="1">
        <v>6700</v>
      </c>
      <c r="AO280" s="1">
        <v>3300</v>
      </c>
      <c r="AP280" s="1">
        <v>3600</v>
      </c>
      <c r="AQ280" s="1">
        <v>7100</v>
      </c>
      <c r="AR280" s="1">
        <v>13400</v>
      </c>
      <c r="AS280" s="1">
        <v>17400</v>
      </c>
      <c r="AT280" s="1">
        <v>12700</v>
      </c>
      <c r="AU280" s="1">
        <v>800</v>
      </c>
      <c r="AV280" s="1">
        <v>1900</v>
      </c>
      <c r="AW280" s="1">
        <v>2900</v>
      </c>
      <c r="AX280" s="1">
        <v>3500</v>
      </c>
      <c r="AY280" s="1">
        <v>4400</v>
      </c>
      <c r="AZ280" s="1">
        <v>4600</v>
      </c>
      <c r="BA280" s="1">
        <v>400</v>
      </c>
      <c r="BB280" s="1">
        <v>1200</v>
      </c>
      <c r="BC280" s="1">
        <v>5300</v>
      </c>
      <c r="BD280" s="1">
        <v>2800</v>
      </c>
      <c r="BE280" s="1">
        <v>600</v>
      </c>
      <c r="BF280" s="1">
        <v>8900</v>
      </c>
      <c r="BG280" s="1">
        <v>800</v>
      </c>
      <c r="BH280" s="1">
        <v>2100</v>
      </c>
      <c r="BI280" s="1">
        <v>3000</v>
      </c>
      <c r="BJ280" s="1">
        <v>18600</v>
      </c>
      <c r="BK280" s="1">
        <v>800</v>
      </c>
      <c r="BL280" s="1">
        <v>2000</v>
      </c>
      <c r="BM280" s="1">
        <v>1900</v>
      </c>
      <c r="BN280" s="1">
        <v>2300</v>
      </c>
      <c r="BO280" s="1">
        <v>1100</v>
      </c>
      <c r="BP280" s="1">
        <v>31200</v>
      </c>
    </row>
    <row r="281" spans="1:68">
      <c r="A281" s="397" t="s">
        <v>494</v>
      </c>
      <c r="B281" s="1" t="str">
        <f>銘柄管理!C281</f>
        <v/>
      </c>
      <c r="C281" s="1" t="str">
        <f>_xll.RssMarket("8007","出来高")</f>
        <v/>
      </c>
      <c r="D281" s="85" t="e">
        <f t="shared" si="4"/>
        <v>#VALUE!</v>
      </c>
      <c r="E281" s="1">
        <v>123200</v>
      </c>
      <c r="F281" s="1">
        <v>89900</v>
      </c>
      <c r="G281" s="1">
        <v>75100</v>
      </c>
      <c r="H281" s="1">
        <v>127600</v>
      </c>
      <c r="I281" s="1">
        <v>74000</v>
      </c>
      <c r="J281" s="1">
        <v>80300</v>
      </c>
      <c r="K281" s="1">
        <v>74200</v>
      </c>
      <c r="L281" s="1">
        <v>150200</v>
      </c>
      <c r="M281" s="1">
        <v>154000</v>
      </c>
      <c r="N281" s="1">
        <v>85400</v>
      </c>
      <c r="O281" s="1">
        <v>124000</v>
      </c>
      <c r="P281" s="1">
        <v>108500</v>
      </c>
      <c r="Q281" s="1">
        <v>93000</v>
      </c>
      <c r="R281" s="1">
        <v>97300</v>
      </c>
      <c r="S281" s="1">
        <v>51800</v>
      </c>
      <c r="T281" s="1">
        <v>117200</v>
      </c>
      <c r="U281" s="1">
        <v>67700</v>
      </c>
      <c r="V281" s="1">
        <v>84700</v>
      </c>
      <c r="W281" s="1">
        <v>93200</v>
      </c>
      <c r="X281" s="1">
        <v>99000</v>
      </c>
      <c r="Y281" s="1">
        <v>92600</v>
      </c>
      <c r="Z281" s="1">
        <v>208400</v>
      </c>
      <c r="AA281" s="1">
        <v>184600</v>
      </c>
      <c r="AB281" s="1">
        <v>78500</v>
      </c>
      <c r="AC281" s="1">
        <v>94300</v>
      </c>
      <c r="AD281" s="1">
        <v>84600</v>
      </c>
      <c r="AE281" s="1">
        <v>119100</v>
      </c>
      <c r="AF281" s="1">
        <v>110100</v>
      </c>
      <c r="AG281" s="1">
        <v>97200</v>
      </c>
      <c r="AH281" s="1">
        <v>166700</v>
      </c>
      <c r="AI281" s="1">
        <v>213600</v>
      </c>
      <c r="AJ281" s="1">
        <v>95000</v>
      </c>
      <c r="AK281" s="1">
        <v>92400</v>
      </c>
      <c r="AL281" s="1">
        <v>77500</v>
      </c>
      <c r="AM281" s="1">
        <v>149800</v>
      </c>
      <c r="AN281" s="1">
        <v>93800</v>
      </c>
      <c r="AO281" s="1">
        <v>111400</v>
      </c>
      <c r="AP281" s="1">
        <v>225900</v>
      </c>
      <c r="AQ281" s="1">
        <v>253700</v>
      </c>
      <c r="AR281" s="1">
        <v>260500</v>
      </c>
      <c r="AS281" s="1">
        <v>504500</v>
      </c>
      <c r="AT281" s="1">
        <v>995500</v>
      </c>
      <c r="AU281" s="1">
        <v>670900</v>
      </c>
      <c r="AV281" s="1">
        <v>141100</v>
      </c>
      <c r="AW281" s="1">
        <v>127000</v>
      </c>
      <c r="AX281" s="1">
        <v>79700</v>
      </c>
      <c r="AY281" s="1">
        <v>65800</v>
      </c>
      <c r="AZ281" s="1">
        <v>63800</v>
      </c>
      <c r="BA281" s="1">
        <v>86600</v>
      </c>
      <c r="BB281" s="1">
        <v>97500</v>
      </c>
      <c r="BC281" s="1">
        <v>139400</v>
      </c>
      <c r="BD281" s="1">
        <v>110300</v>
      </c>
      <c r="BE281" s="1">
        <v>130000</v>
      </c>
      <c r="BF281" s="1">
        <v>192000</v>
      </c>
      <c r="BG281" s="1">
        <v>164800</v>
      </c>
      <c r="BH281" s="1">
        <v>214200</v>
      </c>
      <c r="BI281" s="1">
        <v>83900</v>
      </c>
      <c r="BJ281" s="1">
        <v>63900</v>
      </c>
      <c r="BK281" s="1">
        <v>72100</v>
      </c>
      <c r="BL281" s="1">
        <v>79300</v>
      </c>
      <c r="BM281" s="1">
        <v>82100</v>
      </c>
      <c r="BN281" s="1">
        <v>71400</v>
      </c>
      <c r="BO281" s="1">
        <v>68500</v>
      </c>
      <c r="BP281" s="1">
        <v>65100</v>
      </c>
    </row>
    <row r="282" spans="1:68">
      <c r="A282" s="397" t="s">
        <v>495</v>
      </c>
      <c r="B282" s="1" t="str">
        <f>銘柄管理!C282</f>
        <v/>
      </c>
      <c r="C282" s="1" t="str">
        <f>_xll.RssMarket("4218","出来高")</f>
        <v/>
      </c>
      <c r="D282" s="85" t="e">
        <f t="shared" si="4"/>
        <v>#VALUE!</v>
      </c>
      <c r="E282" s="1">
        <v>18100</v>
      </c>
      <c r="F282" s="1">
        <v>9700</v>
      </c>
      <c r="G282" s="1">
        <v>17800</v>
      </c>
      <c r="H282" s="1">
        <v>10500</v>
      </c>
      <c r="I282" s="1">
        <v>14300</v>
      </c>
      <c r="J282" s="1">
        <v>11700</v>
      </c>
      <c r="K282" s="1">
        <v>22600</v>
      </c>
      <c r="L282" s="1">
        <v>13100</v>
      </c>
      <c r="M282" s="1">
        <v>12400</v>
      </c>
      <c r="N282" s="1">
        <v>24000</v>
      </c>
      <c r="O282" s="1">
        <v>23400</v>
      </c>
      <c r="P282" s="1">
        <v>19600</v>
      </c>
      <c r="Q282" s="1">
        <v>12400</v>
      </c>
      <c r="R282" s="1">
        <v>22900</v>
      </c>
      <c r="S282" s="1">
        <v>10900</v>
      </c>
      <c r="T282" s="1">
        <v>19800</v>
      </c>
      <c r="U282" s="1">
        <v>20600</v>
      </c>
      <c r="V282" s="1">
        <v>15500</v>
      </c>
      <c r="W282" s="1">
        <v>21700</v>
      </c>
      <c r="X282" s="1">
        <v>52300</v>
      </c>
      <c r="Y282" s="1">
        <v>16900</v>
      </c>
      <c r="Z282" s="1">
        <v>13500</v>
      </c>
      <c r="AA282" s="1">
        <v>10700</v>
      </c>
      <c r="AB282" s="1">
        <v>21200</v>
      </c>
      <c r="AC282" s="1">
        <v>18500</v>
      </c>
      <c r="AD282" s="1">
        <v>18900</v>
      </c>
      <c r="AE282" s="1">
        <v>28700</v>
      </c>
      <c r="AF282" s="1">
        <v>10400</v>
      </c>
      <c r="AG282" s="1">
        <v>20300</v>
      </c>
      <c r="AH282" s="1">
        <v>22500</v>
      </c>
      <c r="AI282" s="1">
        <v>33000</v>
      </c>
      <c r="AJ282" s="1">
        <v>16000</v>
      </c>
      <c r="AK282" s="1">
        <v>20800</v>
      </c>
      <c r="AL282" s="1">
        <v>9900</v>
      </c>
      <c r="AM282" s="1">
        <v>16200</v>
      </c>
      <c r="AN282" s="1">
        <v>9400</v>
      </c>
      <c r="AO282" s="1">
        <v>8800</v>
      </c>
      <c r="AP282" s="1">
        <v>20700</v>
      </c>
      <c r="AQ282" s="1">
        <v>32400</v>
      </c>
      <c r="AR282" s="1">
        <v>36000</v>
      </c>
      <c r="AS282" s="1">
        <v>33000</v>
      </c>
      <c r="AT282" s="1">
        <v>42000</v>
      </c>
      <c r="AU282" s="1">
        <v>12400</v>
      </c>
      <c r="AV282" s="1">
        <v>8700</v>
      </c>
      <c r="AW282" s="1">
        <v>14500</v>
      </c>
      <c r="AX282" s="1">
        <v>25000</v>
      </c>
      <c r="AY282" s="1">
        <v>12200</v>
      </c>
      <c r="AZ282" s="1">
        <v>16700</v>
      </c>
      <c r="BA282" s="1">
        <v>21000</v>
      </c>
      <c r="BB282" s="1">
        <v>20500</v>
      </c>
      <c r="BC282" s="1">
        <v>29000</v>
      </c>
      <c r="BD282" s="1">
        <v>29700</v>
      </c>
      <c r="BE282" s="1">
        <v>27000</v>
      </c>
      <c r="BF282" s="1">
        <v>22600</v>
      </c>
      <c r="BG282" s="1">
        <v>18200</v>
      </c>
      <c r="BH282" s="1">
        <v>13700</v>
      </c>
      <c r="BI282" s="1">
        <v>9700</v>
      </c>
      <c r="BJ282" s="1">
        <v>14500</v>
      </c>
      <c r="BK282" s="1">
        <v>14900</v>
      </c>
      <c r="BL282" s="1">
        <v>17800</v>
      </c>
      <c r="BM282" s="1">
        <v>14200</v>
      </c>
      <c r="BN282" s="1">
        <v>19600</v>
      </c>
      <c r="BO282" s="1">
        <v>26900</v>
      </c>
      <c r="BP282" s="1">
        <v>44300</v>
      </c>
    </row>
    <row r="283" spans="1:68">
      <c r="A283" s="397" t="s">
        <v>496</v>
      </c>
      <c r="B283" s="1" t="str">
        <f>銘柄管理!C283</f>
        <v/>
      </c>
      <c r="C283" s="1" t="str">
        <f>_xll.RssMarket("7735","出来高")</f>
        <v/>
      </c>
      <c r="D283" s="85" t="e">
        <f t="shared" si="4"/>
        <v>#VALUE!</v>
      </c>
      <c r="E283" s="1">
        <v>5140900</v>
      </c>
      <c r="F283" s="1">
        <v>3531000</v>
      </c>
      <c r="G283" s="1">
        <v>3155500</v>
      </c>
      <c r="H283" s="1">
        <v>2505600</v>
      </c>
      <c r="I283" s="1">
        <v>3056300</v>
      </c>
      <c r="J283" s="1">
        <v>3076600</v>
      </c>
      <c r="K283" s="1">
        <v>3515900</v>
      </c>
      <c r="L283" s="1">
        <v>3336700</v>
      </c>
      <c r="M283" s="1">
        <v>3715700</v>
      </c>
      <c r="N283" s="1">
        <v>4140700</v>
      </c>
      <c r="O283" s="1">
        <v>4075500</v>
      </c>
      <c r="P283" s="1">
        <v>5837300</v>
      </c>
      <c r="Q283" s="1">
        <v>4417400</v>
      </c>
      <c r="R283" s="1">
        <v>2517400</v>
      </c>
      <c r="S283" s="1">
        <v>3561100</v>
      </c>
      <c r="T283" s="1">
        <v>3684200</v>
      </c>
      <c r="U283" s="1">
        <v>2819900</v>
      </c>
      <c r="V283" s="1">
        <v>2801800</v>
      </c>
      <c r="W283" s="1">
        <v>2544200</v>
      </c>
      <c r="X283" s="1">
        <v>3777500</v>
      </c>
      <c r="Y283" s="1">
        <v>4061800</v>
      </c>
      <c r="Z283" s="1">
        <v>2431400</v>
      </c>
      <c r="AA283" s="1">
        <v>3407300</v>
      </c>
      <c r="AB283" s="1">
        <v>3457600</v>
      </c>
      <c r="AC283" s="1">
        <v>2463400</v>
      </c>
      <c r="AD283" s="1">
        <v>4607000</v>
      </c>
      <c r="AE283" s="1">
        <v>2387100</v>
      </c>
      <c r="AF283" s="1">
        <v>2322300</v>
      </c>
      <c r="AG283" s="1">
        <v>2664200</v>
      </c>
      <c r="AH283" s="1">
        <v>4984700</v>
      </c>
      <c r="AI283" s="1">
        <v>2562700</v>
      </c>
      <c r="AJ283" s="1">
        <v>3399100</v>
      </c>
      <c r="AK283" s="1">
        <v>1835200</v>
      </c>
      <c r="AL283" s="1">
        <v>3065000</v>
      </c>
      <c r="AM283" s="1">
        <v>2190400</v>
      </c>
      <c r="AN283" s="1">
        <v>1935200</v>
      </c>
      <c r="AO283" s="1">
        <v>2575000</v>
      </c>
      <c r="AP283" s="1">
        <v>2035000</v>
      </c>
      <c r="AQ283" s="1">
        <v>2201300</v>
      </c>
      <c r="AR283" s="1">
        <v>2438400</v>
      </c>
      <c r="AS283" s="1">
        <v>3181900</v>
      </c>
      <c r="AT283" s="1">
        <v>6055300</v>
      </c>
      <c r="AU283" s="1">
        <v>2359000</v>
      </c>
      <c r="AV283" s="1">
        <v>1566300</v>
      </c>
      <c r="AW283" s="1">
        <v>1802900</v>
      </c>
      <c r="AX283" s="1">
        <v>2098900</v>
      </c>
      <c r="AY283" s="1">
        <v>2915500</v>
      </c>
      <c r="AZ283" s="1">
        <v>1902200</v>
      </c>
      <c r="BA283" s="1">
        <v>1565000</v>
      </c>
      <c r="BB283" s="1">
        <v>1906400</v>
      </c>
      <c r="BC283" s="1">
        <v>1991900</v>
      </c>
      <c r="BD283" s="1">
        <v>1634000</v>
      </c>
      <c r="BE283" s="1">
        <v>2201900</v>
      </c>
      <c r="BF283" s="1">
        <v>2212500</v>
      </c>
      <c r="BG283" s="1">
        <v>1531300</v>
      </c>
      <c r="BH283" s="1">
        <v>1700400</v>
      </c>
      <c r="BI283" s="1">
        <v>2542600</v>
      </c>
      <c r="BJ283" s="1">
        <v>2684200</v>
      </c>
      <c r="BK283" s="1">
        <v>2390200</v>
      </c>
      <c r="BL283" s="1">
        <v>2226400</v>
      </c>
      <c r="BM283" s="1">
        <v>1954700</v>
      </c>
      <c r="BN283" s="1">
        <v>2872200</v>
      </c>
      <c r="BO283" s="1">
        <v>2102900</v>
      </c>
      <c r="BP283" s="1">
        <v>2935400</v>
      </c>
    </row>
    <row r="284" spans="1:68">
      <c r="A284" s="397" t="s">
        <v>497</v>
      </c>
      <c r="B284" s="1" t="str">
        <f>銘柄管理!C284</f>
        <v/>
      </c>
      <c r="C284" s="1" t="str">
        <f>_xll.RssMarket("3905","出来高")</f>
        <v/>
      </c>
      <c r="D284" s="85" t="e">
        <f t="shared" si="4"/>
        <v>#VALUE!</v>
      </c>
      <c r="E284" s="1">
        <v>2018100</v>
      </c>
      <c r="F284" s="1">
        <v>1299100</v>
      </c>
      <c r="G284" s="1">
        <v>1131800</v>
      </c>
      <c r="H284" s="1">
        <v>1933800</v>
      </c>
      <c r="I284" s="1">
        <v>2870200</v>
      </c>
      <c r="J284" s="1">
        <v>1879700</v>
      </c>
      <c r="K284" s="1">
        <v>1914100</v>
      </c>
      <c r="L284" s="1">
        <v>2391200</v>
      </c>
      <c r="M284" s="1">
        <v>2293500</v>
      </c>
      <c r="N284" s="1">
        <v>1832100</v>
      </c>
      <c r="O284" s="1">
        <v>2069500</v>
      </c>
      <c r="P284" s="1">
        <v>1107800</v>
      </c>
      <c r="Q284" s="1">
        <v>2501600</v>
      </c>
      <c r="R284" s="1">
        <v>3664600</v>
      </c>
      <c r="S284" s="1">
        <v>2849400</v>
      </c>
      <c r="T284" s="1">
        <v>2064200</v>
      </c>
      <c r="U284" s="1">
        <v>2340500</v>
      </c>
      <c r="V284" s="1">
        <v>1929300</v>
      </c>
      <c r="W284" s="1">
        <v>2336800</v>
      </c>
      <c r="X284" s="1">
        <v>3950300</v>
      </c>
      <c r="Y284" s="1">
        <v>2076400</v>
      </c>
      <c r="Z284" s="1">
        <v>1545200</v>
      </c>
      <c r="AA284" s="1">
        <v>2267300</v>
      </c>
      <c r="AB284" s="1">
        <v>1771100</v>
      </c>
      <c r="AC284" s="1">
        <v>2285700</v>
      </c>
      <c r="AD284" s="1">
        <v>2153700</v>
      </c>
      <c r="AE284" s="1">
        <v>4368600</v>
      </c>
      <c r="AF284" s="1">
        <v>4374300</v>
      </c>
      <c r="AG284" s="1">
        <v>10269200</v>
      </c>
      <c r="AH284" s="1">
        <v>810000</v>
      </c>
      <c r="AI284" s="1">
        <v>3431100</v>
      </c>
      <c r="AJ284" s="1">
        <v>3273500</v>
      </c>
      <c r="AK284" s="1">
        <v>5679600</v>
      </c>
      <c r="AL284" s="1">
        <v>3305100</v>
      </c>
      <c r="AM284" s="1">
        <v>10639300</v>
      </c>
      <c r="AN284" s="1">
        <v>5125700</v>
      </c>
      <c r="AO284" s="1">
        <v>4489500</v>
      </c>
      <c r="AP284" s="1">
        <v>5101700</v>
      </c>
      <c r="AQ284" s="1">
        <v>1262000</v>
      </c>
      <c r="AR284" s="1">
        <v>208200</v>
      </c>
      <c r="AS284" s="1">
        <v>2238800</v>
      </c>
      <c r="AT284" s="1">
        <v>1153000</v>
      </c>
      <c r="AU284" s="1">
        <v>1438900</v>
      </c>
      <c r="AV284" s="1">
        <v>3375500</v>
      </c>
      <c r="AW284" s="1">
        <v>10237600</v>
      </c>
      <c r="AX284" s="1">
        <v>4014200</v>
      </c>
      <c r="AY284" s="1">
        <v>1407100</v>
      </c>
      <c r="AZ284" s="1">
        <v>414200</v>
      </c>
      <c r="BA284" s="1">
        <v>264200</v>
      </c>
      <c r="BB284" s="1">
        <v>205100</v>
      </c>
      <c r="BC284" s="1">
        <v>317600</v>
      </c>
      <c r="BD284" s="1">
        <v>323900</v>
      </c>
      <c r="BE284" s="1">
        <v>456700</v>
      </c>
      <c r="BF284" s="1">
        <v>686200</v>
      </c>
      <c r="BG284" s="1">
        <v>1372400</v>
      </c>
      <c r="BH284" s="1">
        <v>1527700</v>
      </c>
      <c r="BI284" s="1">
        <v>1587400</v>
      </c>
      <c r="BJ284" s="1">
        <v>4128900</v>
      </c>
      <c r="BK284" s="1">
        <v>534000</v>
      </c>
      <c r="BL284" s="1">
        <v>488700</v>
      </c>
      <c r="BM284" s="1">
        <v>230100</v>
      </c>
      <c r="BN284" s="1">
        <v>443700</v>
      </c>
      <c r="BO284" s="1">
        <v>359200</v>
      </c>
      <c r="BP284" s="1">
        <v>753800</v>
      </c>
    </row>
    <row r="285" spans="1:68">
      <c r="A285" s="397" t="s">
        <v>498</v>
      </c>
      <c r="B285" s="1" t="str">
        <f>銘柄管理!C285</f>
        <v/>
      </c>
      <c r="C285" s="1" t="str">
        <f>_xll.RssMarket("3397","出来高")</f>
        <v/>
      </c>
      <c r="D285" s="85" t="e">
        <f t="shared" si="4"/>
        <v>#VALUE!</v>
      </c>
      <c r="E285" s="1">
        <v>364100</v>
      </c>
      <c r="F285" s="1">
        <v>229500</v>
      </c>
      <c r="G285" s="1">
        <v>411400</v>
      </c>
      <c r="H285" s="1">
        <v>227600</v>
      </c>
      <c r="I285" s="1">
        <v>251100</v>
      </c>
      <c r="J285" s="1">
        <v>316800</v>
      </c>
      <c r="K285" s="1">
        <v>356700</v>
      </c>
      <c r="L285" s="1">
        <v>339600</v>
      </c>
      <c r="M285" s="1">
        <v>253000</v>
      </c>
      <c r="N285" s="1">
        <v>343200</v>
      </c>
      <c r="O285" s="1">
        <v>318900</v>
      </c>
      <c r="P285" s="1">
        <v>265800</v>
      </c>
      <c r="Q285" s="1">
        <v>344600</v>
      </c>
      <c r="R285" s="1">
        <v>551300</v>
      </c>
      <c r="S285" s="1">
        <v>284700</v>
      </c>
      <c r="T285" s="1">
        <v>535300</v>
      </c>
      <c r="U285" s="1">
        <v>328500</v>
      </c>
      <c r="V285" s="1">
        <v>706900</v>
      </c>
      <c r="W285" s="1">
        <v>453100</v>
      </c>
      <c r="X285" s="1">
        <v>547700</v>
      </c>
      <c r="Y285" s="1">
        <v>907400</v>
      </c>
      <c r="Z285" s="1">
        <v>688400</v>
      </c>
      <c r="AA285" s="1">
        <v>358900</v>
      </c>
      <c r="AB285" s="1">
        <v>493500</v>
      </c>
      <c r="AC285" s="1">
        <v>340900</v>
      </c>
      <c r="AD285" s="1">
        <v>315600</v>
      </c>
      <c r="AE285" s="1">
        <v>390100</v>
      </c>
      <c r="AF285" s="1">
        <v>319700</v>
      </c>
      <c r="AG285" s="1">
        <v>302800</v>
      </c>
      <c r="AH285" s="1">
        <v>290800</v>
      </c>
      <c r="AI285" s="1">
        <v>384800</v>
      </c>
      <c r="AJ285" s="1">
        <v>386800</v>
      </c>
      <c r="AK285" s="1">
        <v>286500</v>
      </c>
      <c r="AL285" s="1">
        <v>497800</v>
      </c>
      <c r="AM285" s="1">
        <v>310600</v>
      </c>
      <c r="AN285" s="1">
        <v>221100</v>
      </c>
      <c r="AO285" s="1">
        <v>358900</v>
      </c>
      <c r="AP285" s="1">
        <v>296300</v>
      </c>
      <c r="AQ285" s="1">
        <v>315700</v>
      </c>
      <c r="AR285" s="1">
        <v>484600</v>
      </c>
      <c r="AS285" s="1">
        <v>1221800</v>
      </c>
      <c r="AT285" s="1">
        <v>421800</v>
      </c>
      <c r="AU285" s="1">
        <v>261600</v>
      </c>
      <c r="AV285" s="1">
        <v>276400</v>
      </c>
      <c r="AW285" s="1">
        <v>315600</v>
      </c>
      <c r="AX285" s="1">
        <v>315100</v>
      </c>
      <c r="AY285" s="1">
        <v>358800</v>
      </c>
      <c r="AZ285" s="1">
        <v>303500</v>
      </c>
      <c r="BA285" s="1">
        <v>371300</v>
      </c>
      <c r="BB285" s="1">
        <v>208200</v>
      </c>
      <c r="BC285" s="1">
        <v>242600</v>
      </c>
      <c r="BD285" s="1">
        <v>262200</v>
      </c>
      <c r="BE285" s="1">
        <v>220400</v>
      </c>
      <c r="BF285" s="1">
        <v>184400</v>
      </c>
      <c r="BG285" s="1">
        <v>199400</v>
      </c>
      <c r="BH285" s="1">
        <v>165700</v>
      </c>
      <c r="BI285" s="1">
        <v>302400</v>
      </c>
      <c r="BJ285" s="1">
        <v>264200</v>
      </c>
      <c r="BK285" s="1">
        <v>225700</v>
      </c>
      <c r="BL285" s="1">
        <v>258400</v>
      </c>
      <c r="BM285" s="1">
        <v>264400</v>
      </c>
      <c r="BN285" s="1">
        <v>334200</v>
      </c>
      <c r="BO285" s="1">
        <v>307600</v>
      </c>
      <c r="BP285" s="1">
        <v>239500</v>
      </c>
    </row>
    <row r="286" spans="1:68">
      <c r="A286" s="397" t="s">
        <v>499</v>
      </c>
      <c r="B286" s="1" t="str">
        <f>銘柄管理!C286</f>
        <v/>
      </c>
      <c r="C286" s="1" t="str">
        <f>_xll.RssMarket("7270","出来高")</f>
        <v/>
      </c>
      <c r="D286" s="85" t="e">
        <f t="shared" si="4"/>
        <v>#VALUE!</v>
      </c>
      <c r="E286" s="1">
        <v>3810700</v>
      </c>
      <c r="F286" s="1">
        <v>1988900</v>
      </c>
      <c r="G286" s="1">
        <v>2371100</v>
      </c>
      <c r="H286" s="1">
        <v>1745100</v>
      </c>
      <c r="I286" s="1">
        <v>3320300</v>
      </c>
      <c r="J286" s="1">
        <v>2877200</v>
      </c>
      <c r="K286" s="1">
        <v>3327600</v>
      </c>
      <c r="L286" s="1">
        <v>3556000</v>
      </c>
      <c r="M286" s="1">
        <v>4076900</v>
      </c>
      <c r="N286" s="1">
        <v>2899900</v>
      </c>
      <c r="O286" s="1">
        <v>4179900</v>
      </c>
      <c r="P286" s="1">
        <v>3400900</v>
      </c>
      <c r="Q286" s="1">
        <v>3811000</v>
      </c>
      <c r="R286" s="1">
        <v>8785900</v>
      </c>
      <c r="S286" s="1">
        <v>3103100</v>
      </c>
      <c r="T286" s="1">
        <v>3209100</v>
      </c>
      <c r="U286" s="1">
        <v>3163600</v>
      </c>
      <c r="V286" s="1">
        <v>4161400</v>
      </c>
      <c r="W286" s="1">
        <v>3960600</v>
      </c>
      <c r="X286" s="1">
        <v>8465900</v>
      </c>
      <c r="Y286" s="1">
        <v>4006800</v>
      </c>
      <c r="Z286" s="1">
        <v>4323900</v>
      </c>
      <c r="AA286" s="1">
        <v>3742900</v>
      </c>
      <c r="AB286" s="1">
        <v>4481200</v>
      </c>
      <c r="AC286" s="1">
        <v>4194500</v>
      </c>
      <c r="AD286" s="1">
        <v>4577600</v>
      </c>
      <c r="AE286" s="1">
        <v>5206600</v>
      </c>
      <c r="AF286" s="1">
        <v>3541800</v>
      </c>
      <c r="AG286" s="1">
        <v>3891200</v>
      </c>
      <c r="AH286" s="1">
        <v>4327100</v>
      </c>
      <c r="AI286" s="1">
        <v>5157700</v>
      </c>
      <c r="AJ286" s="1">
        <v>12101700</v>
      </c>
      <c r="AK286" s="1">
        <v>4350700</v>
      </c>
      <c r="AL286" s="1">
        <v>4428600</v>
      </c>
      <c r="AM286" s="1">
        <v>2865500</v>
      </c>
      <c r="AN286" s="1">
        <v>4287200</v>
      </c>
      <c r="AO286" s="1">
        <v>4250900</v>
      </c>
      <c r="AP286" s="1">
        <v>3676600</v>
      </c>
      <c r="AQ286" s="1">
        <v>4511300</v>
      </c>
      <c r="AR286" s="1">
        <v>7555900</v>
      </c>
      <c r="AS286" s="1">
        <v>18708400</v>
      </c>
      <c r="AT286" s="1">
        <v>5088500</v>
      </c>
      <c r="AU286" s="1">
        <v>4376700</v>
      </c>
      <c r="AV286" s="1">
        <v>4789700</v>
      </c>
      <c r="AW286" s="1">
        <v>7079200</v>
      </c>
      <c r="AX286" s="1">
        <v>4523700</v>
      </c>
      <c r="AY286" s="1">
        <v>5656100</v>
      </c>
      <c r="AZ286" s="1">
        <v>3566700</v>
      </c>
      <c r="BA286" s="1">
        <v>5538800</v>
      </c>
      <c r="BB286" s="1">
        <v>3912000</v>
      </c>
      <c r="BC286" s="1">
        <v>3259800</v>
      </c>
      <c r="BD286" s="1">
        <v>3520800</v>
      </c>
      <c r="BE286" s="1">
        <v>3638400</v>
      </c>
      <c r="BF286" s="1">
        <v>2997300</v>
      </c>
      <c r="BG286" s="1">
        <v>3468200</v>
      </c>
      <c r="BH286" s="1">
        <v>3149000</v>
      </c>
      <c r="BI286" s="1">
        <v>2905900</v>
      </c>
      <c r="BJ286" s="1">
        <v>3507400</v>
      </c>
      <c r="BK286" s="1">
        <v>3732800</v>
      </c>
      <c r="BL286" s="1">
        <v>3070700</v>
      </c>
      <c r="BM286" s="1">
        <v>2421000</v>
      </c>
      <c r="BN286" s="1">
        <v>3346600</v>
      </c>
      <c r="BO286" s="1">
        <v>3343600</v>
      </c>
      <c r="BP286" s="1">
        <v>3992500</v>
      </c>
    </row>
    <row r="287" spans="1:68">
      <c r="A287" s="397" t="s">
        <v>500</v>
      </c>
      <c r="B287" s="1" t="str">
        <f>銘柄管理!C287</f>
        <v/>
      </c>
      <c r="C287" s="1" t="str">
        <f>_xll.RssMarket("6736","出来高")</f>
        <v/>
      </c>
      <c r="D287" s="85" t="e">
        <f t="shared" si="4"/>
        <v>#VALUE!</v>
      </c>
      <c r="E287" s="1">
        <v>11600</v>
      </c>
      <c r="F287" s="1">
        <v>25800</v>
      </c>
      <c r="G287" s="1">
        <v>30500</v>
      </c>
      <c r="H287" s="1">
        <v>20500</v>
      </c>
      <c r="I287" s="1">
        <v>36100</v>
      </c>
      <c r="J287" s="1">
        <v>22600</v>
      </c>
      <c r="K287" s="1">
        <v>62200</v>
      </c>
      <c r="L287" s="1">
        <v>126900</v>
      </c>
      <c r="M287" s="1">
        <v>108900</v>
      </c>
      <c r="N287" s="1">
        <v>29100</v>
      </c>
      <c r="O287" s="1">
        <v>36600</v>
      </c>
      <c r="P287" s="1">
        <v>21200</v>
      </c>
      <c r="Q287" s="1">
        <v>20700</v>
      </c>
      <c r="R287" s="1">
        <v>30700</v>
      </c>
      <c r="S287" s="1">
        <v>28100</v>
      </c>
      <c r="T287" s="1">
        <v>13900</v>
      </c>
      <c r="U287" s="1">
        <v>31200</v>
      </c>
      <c r="V287" s="1">
        <v>14100</v>
      </c>
      <c r="W287" s="1">
        <v>15200</v>
      </c>
      <c r="X287" s="1">
        <v>22200</v>
      </c>
      <c r="Y287" s="1">
        <v>18600</v>
      </c>
      <c r="Z287" s="1">
        <v>15500</v>
      </c>
      <c r="AA287" s="1">
        <v>15900</v>
      </c>
      <c r="AB287" s="1">
        <v>16300</v>
      </c>
      <c r="AC287" s="1">
        <v>26700</v>
      </c>
      <c r="AD287" s="1">
        <v>38300</v>
      </c>
      <c r="AE287" s="1">
        <v>22900</v>
      </c>
      <c r="AF287" s="1">
        <v>17100</v>
      </c>
      <c r="AG287" s="1">
        <v>25000</v>
      </c>
      <c r="AH287" s="1">
        <v>16100</v>
      </c>
      <c r="AI287" s="1">
        <v>42200</v>
      </c>
      <c r="AJ287" s="1">
        <v>44000</v>
      </c>
      <c r="AK287" s="1">
        <v>36400</v>
      </c>
      <c r="AL287" s="1">
        <v>25900</v>
      </c>
      <c r="AM287" s="1">
        <v>20200</v>
      </c>
      <c r="AN287" s="1">
        <v>32100</v>
      </c>
      <c r="AO287" s="1">
        <v>60800</v>
      </c>
      <c r="AP287" s="1">
        <v>52300</v>
      </c>
      <c r="AQ287" s="1">
        <v>83400</v>
      </c>
      <c r="AR287" s="1">
        <v>60000</v>
      </c>
      <c r="AS287" s="1">
        <v>26500</v>
      </c>
      <c r="AT287" s="1">
        <v>19400</v>
      </c>
      <c r="AU287" s="1">
        <v>40800</v>
      </c>
      <c r="AV287" s="1">
        <v>63900</v>
      </c>
      <c r="AW287" s="1">
        <v>17200</v>
      </c>
      <c r="AX287" s="1">
        <v>27100</v>
      </c>
      <c r="AY287" s="1">
        <v>14800</v>
      </c>
      <c r="AZ287" s="1">
        <v>26400</v>
      </c>
      <c r="BA287" s="1">
        <v>59600</v>
      </c>
      <c r="BB287" s="1">
        <v>31500</v>
      </c>
      <c r="BC287" s="1">
        <v>48100</v>
      </c>
      <c r="BD287" s="1">
        <v>27100</v>
      </c>
      <c r="BE287" s="1">
        <v>36100</v>
      </c>
      <c r="BF287" s="1">
        <v>70300</v>
      </c>
      <c r="BG287" s="1">
        <v>26500</v>
      </c>
      <c r="BH287" s="1">
        <v>47300</v>
      </c>
      <c r="BI287" s="1">
        <v>91700</v>
      </c>
      <c r="BJ287" s="1">
        <v>58300</v>
      </c>
      <c r="BK287" s="1">
        <v>112100</v>
      </c>
      <c r="BL287" s="1">
        <v>78600</v>
      </c>
      <c r="BM287" s="1">
        <v>109100</v>
      </c>
      <c r="BN287" s="1">
        <v>67700</v>
      </c>
      <c r="BO287" s="1">
        <v>59700</v>
      </c>
      <c r="BP287" s="1">
        <v>87000</v>
      </c>
    </row>
    <row r="288" spans="1:68">
      <c r="A288" s="397" t="s">
        <v>501</v>
      </c>
      <c r="B288" s="1" t="str">
        <f>銘柄管理!C288</f>
        <v/>
      </c>
      <c r="C288" s="1" t="str">
        <f>_xll.RssMarket("2933","出来高")</f>
        <v/>
      </c>
      <c r="D288" s="85" t="e">
        <f t="shared" si="4"/>
        <v>#VALUE!</v>
      </c>
      <c r="E288" s="1">
        <v>38800</v>
      </c>
      <c r="F288" s="1">
        <v>19800</v>
      </c>
      <c r="G288" s="1">
        <v>18500</v>
      </c>
      <c r="H288" s="1">
        <v>15800</v>
      </c>
      <c r="I288" s="1">
        <v>20700</v>
      </c>
      <c r="J288" s="1">
        <v>18400</v>
      </c>
      <c r="K288" s="1">
        <v>23300</v>
      </c>
      <c r="L288" s="1">
        <v>17400</v>
      </c>
      <c r="M288" s="1">
        <v>20000</v>
      </c>
      <c r="N288" s="1">
        <v>22100</v>
      </c>
      <c r="O288" s="1">
        <v>22900</v>
      </c>
      <c r="P288" s="1">
        <v>21800</v>
      </c>
      <c r="Q288" s="1">
        <v>41300</v>
      </c>
      <c r="R288" s="1">
        <v>18400</v>
      </c>
      <c r="S288" s="1">
        <v>22500</v>
      </c>
      <c r="T288" s="1">
        <v>23600</v>
      </c>
      <c r="U288" s="1">
        <v>23100</v>
      </c>
      <c r="V288" s="1">
        <v>22200</v>
      </c>
      <c r="W288" s="1">
        <v>33800</v>
      </c>
      <c r="X288" s="1">
        <v>24700</v>
      </c>
      <c r="Y288" s="1">
        <v>24600</v>
      </c>
      <c r="Z288" s="1">
        <v>13400</v>
      </c>
      <c r="AA288" s="1">
        <v>35700</v>
      </c>
      <c r="AB288" s="1">
        <v>21700</v>
      </c>
      <c r="AC288" s="1">
        <v>27300</v>
      </c>
      <c r="AD288" s="1">
        <v>33800</v>
      </c>
      <c r="AE288" s="1">
        <v>21500</v>
      </c>
      <c r="AF288" s="1">
        <v>15700</v>
      </c>
      <c r="AG288" s="1">
        <v>29300</v>
      </c>
      <c r="AH288" s="1">
        <v>45600</v>
      </c>
      <c r="AI288" s="1">
        <v>17400</v>
      </c>
      <c r="AJ288" s="1">
        <v>26200</v>
      </c>
      <c r="AK288" s="1">
        <v>17900</v>
      </c>
      <c r="AL288" s="1">
        <v>23000</v>
      </c>
      <c r="AM288" s="1">
        <v>17300</v>
      </c>
      <c r="AN288" s="1">
        <v>16800</v>
      </c>
      <c r="AO288" s="1">
        <v>22100</v>
      </c>
      <c r="AP288" s="1">
        <v>20800</v>
      </c>
      <c r="AQ288" s="1">
        <v>48000</v>
      </c>
      <c r="AR288" s="1">
        <v>23800</v>
      </c>
      <c r="AS288" s="1">
        <v>12400</v>
      </c>
      <c r="AT288" s="1">
        <v>13900</v>
      </c>
      <c r="AU288" s="1">
        <v>12200</v>
      </c>
      <c r="AV288" s="1">
        <v>21500</v>
      </c>
      <c r="AW288" s="1">
        <v>36900</v>
      </c>
      <c r="AX288" s="1">
        <v>14700</v>
      </c>
      <c r="AY288" s="1">
        <v>19700</v>
      </c>
      <c r="AZ288" s="1">
        <v>26800</v>
      </c>
      <c r="BA288" s="1">
        <v>27900</v>
      </c>
      <c r="BB288" s="1">
        <v>36200</v>
      </c>
      <c r="BC288" s="1">
        <v>18000</v>
      </c>
      <c r="BD288" s="1">
        <v>37400</v>
      </c>
      <c r="BE288" s="1">
        <v>29300</v>
      </c>
      <c r="BF288" s="1">
        <v>21400</v>
      </c>
      <c r="BG288" s="1">
        <v>18000</v>
      </c>
      <c r="BH288" s="1">
        <v>16700</v>
      </c>
      <c r="BI288" s="1">
        <v>15700</v>
      </c>
      <c r="BJ288" s="1">
        <v>16700</v>
      </c>
      <c r="BK288" s="1">
        <v>17500</v>
      </c>
      <c r="BL288" s="1">
        <v>18100</v>
      </c>
      <c r="BM288" s="1">
        <v>12700</v>
      </c>
      <c r="BN288" s="1">
        <v>15500</v>
      </c>
      <c r="BO288" s="1">
        <v>23100</v>
      </c>
      <c r="BP288" s="1">
        <v>17400</v>
      </c>
    </row>
    <row r="289" spans="1:68">
      <c r="A289" s="397" t="s">
        <v>502</v>
      </c>
      <c r="B289" s="1" t="str">
        <f>銘柄管理!C289</f>
        <v/>
      </c>
      <c r="C289" s="1" t="str">
        <f>_xll.RssMarket("4047","出来高")</f>
        <v/>
      </c>
      <c r="D289" s="85" t="e">
        <f t="shared" si="4"/>
        <v>#VALUE!</v>
      </c>
      <c r="E289" s="1">
        <v>989300</v>
      </c>
      <c r="F289" s="1">
        <v>281700</v>
      </c>
      <c r="G289" s="1">
        <v>531600</v>
      </c>
      <c r="H289" s="1">
        <v>518200</v>
      </c>
      <c r="I289" s="1">
        <v>458400</v>
      </c>
      <c r="J289" s="1">
        <v>453000</v>
      </c>
      <c r="K289" s="1">
        <v>601800</v>
      </c>
      <c r="L289" s="1">
        <v>710800</v>
      </c>
      <c r="M289" s="1">
        <v>602800</v>
      </c>
      <c r="N289" s="1">
        <v>613600</v>
      </c>
      <c r="O289" s="1">
        <v>628000</v>
      </c>
      <c r="P289" s="1">
        <v>508100</v>
      </c>
      <c r="Q289" s="1">
        <v>639200</v>
      </c>
      <c r="R289" s="1">
        <v>790400</v>
      </c>
      <c r="S289" s="1">
        <v>901000</v>
      </c>
      <c r="T289" s="1">
        <v>954600</v>
      </c>
      <c r="U289" s="1">
        <v>888200</v>
      </c>
      <c r="V289" s="1">
        <v>685900</v>
      </c>
      <c r="W289" s="1">
        <v>1059700</v>
      </c>
      <c r="X289" s="1">
        <v>944300</v>
      </c>
      <c r="Y289" s="1">
        <v>678400</v>
      </c>
      <c r="Z289" s="1">
        <v>953400</v>
      </c>
      <c r="AA289" s="1">
        <v>916000</v>
      </c>
      <c r="AB289" s="1">
        <v>1633300</v>
      </c>
      <c r="AC289" s="1">
        <v>1146900</v>
      </c>
      <c r="AD289" s="1">
        <v>1639900</v>
      </c>
      <c r="AE289" s="1">
        <v>1629200</v>
      </c>
      <c r="AF289" s="1">
        <v>2697600</v>
      </c>
      <c r="AG289" s="1">
        <v>1784000</v>
      </c>
      <c r="AH289" s="1">
        <v>953900</v>
      </c>
      <c r="AI289" s="1">
        <v>836000</v>
      </c>
      <c r="AJ289" s="1">
        <v>956800</v>
      </c>
      <c r="AK289" s="1">
        <v>919400</v>
      </c>
      <c r="AL289" s="1">
        <v>1331700</v>
      </c>
      <c r="AM289" s="1">
        <v>1463500</v>
      </c>
      <c r="AN289" s="1">
        <v>1172600</v>
      </c>
      <c r="AO289" s="1">
        <v>1184100</v>
      </c>
      <c r="AP289" s="1">
        <v>1156400</v>
      </c>
      <c r="AQ289" s="1">
        <v>3289100</v>
      </c>
      <c r="AR289" s="1">
        <v>202100</v>
      </c>
      <c r="AS289" s="1">
        <v>906100</v>
      </c>
      <c r="AT289" s="1">
        <v>583500</v>
      </c>
      <c r="AU289" s="1">
        <v>721900</v>
      </c>
      <c r="AV289" s="1">
        <v>537800</v>
      </c>
      <c r="AW289" s="1">
        <v>453700</v>
      </c>
      <c r="AX289" s="1">
        <v>380500</v>
      </c>
      <c r="AY289" s="1">
        <v>453300</v>
      </c>
      <c r="AZ289" s="1">
        <v>182500</v>
      </c>
      <c r="BA289" s="1">
        <v>164100</v>
      </c>
      <c r="BB289" s="1">
        <v>205200</v>
      </c>
      <c r="BC289" s="1">
        <v>154900</v>
      </c>
      <c r="BD289" s="1">
        <v>129600</v>
      </c>
      <c r="BE289" s="1">
        <v>260800</v>
      </c>
      <c r="BF289" s="1">
        <v>169100</v>
      </c>
      <c r="BG289" s="1">
        <v>185100</v>
      </c>
      <c r="BH289" s="1">
        <v>160800</v>
      </c>
      <c r="BI289" s="1">
        <v>161200</v>
      </c>
      <c r="BJ289" s="1">
        <v>230100</v>
      </c>
      <c r="BK289" s="1">
        <v>371000</v>
      </c>
      <c r="BL289" s="1">
        <v>445800</v>
      </c>
      <c r="BM289" s="1">
        <v>342400</v>
      </c>
      <c r="BN289" s="1">
        <v>278100</v>
      </c>
      <c r="BO289" s="1">
        <v>510400</v>
      </c>
      <c r="BP289" s="1">
        <v>564300</v>
      </c>
    </row>
    <row r="290" spans="1:68">
      <c r="A290" s="397" t="s">
        <v>503</v>
      </c>
      <c r="B290" s="1" t="str">
        <f>銘柄管理!C290</f>
        <v/>
      </c>
      <c r="C290" s="1" t="str">
        <f>_xll.RssMarket("6482","出来高")</f>
        <v/>
      </c>
      <c r="D290" s="85" t="e">
        <f t="shared" si="4"/>
        <v>#VALUE!</v>
      </c>
      <c r="E290" s="1">
        <v>98600</v>
      </c>
      <c r="F290" s="1">
        <v>41600</v>
      </c>
      <c r="G290" s="1">
        <v>91500</v>
      </c>
      <c r="H290" s="1">
        <v>51600</v>
      </c>
      <c r="I290" s="1">
        <v>51300</v>
      </c>
      <c r="J290" s="1">
        <v>74800</v>
      </c>
      <c r="K290" s="1">
        <v>36900</v>
      </c>
      <c r="L290" s="1">
        <v>40200</v>
      </c>
      <c r="M290" s="1">
        <v>73400</v>
      </c>
      <c r="N290" s="1">
        <v>117900</v>
      </c>
      <c r="O290" s="1">
        <v>73500</v>
      </c>
      <c r="P290" s="1">
        <v>64700</v>
      </c>
      <c r="Q290" s="1">
        <v>85300</v>
      </c>
      <c r="R290" s="1">
        <v>66000</v>
      </c>
      <c r="S290" s="1">
        <v>28100</v>
      </c>
      <c r="T290" s="1">
        <v>45000</v>
      </c>
      <c r="U290" s="1">
        <v>27600</v>
      </c>
      <c r="V290" s="1">
        <v>56800</v>
      </c>
      <c r="W290" s="1">
        <v>45300</v>
      </c>
      <c r="X290" s="1">
        <v>69700</v>
      </c>
      <c r="Y290" s="1">
        <v>155300</v>
      </c>
      <c r="Z290" s="1">
        <v>83600</v>
      </c>
      <c r="AA290" s="1">
        <v>52000</v>
      </c>
      <c r="AB290" s="1">
        <v>64400</v>
      </c>
      <c r="AC290" s="1">
        <v>53500</v>
      </c>
      <c r="AD290" s="1">
        <v>76000</v>
      </c>
      <c r="AE290" s="1">
        <v>54000</v>
      </c>
      <c r="AF290" s="1">
        <v>77800</v>
      </c>
      <c r="AG290" s="1">
        <v>62800</v>
      </c>
      <c r="AH290" s="1">
        <v>118300</v>
      </c>
      <c r="AI290" s="1">
        <v>86300</v>
      </c>
      <c r="AJ290" s="1">
        <v>120700</v>
      </c>
      <c r="AK290" s="1">
        <v>145300</v>
      </c>
      <c r="AL290" s="1">
        <v>50700</v>
      </c>
      <c r="AM290" s="1">
        <v>94600</v>
      </c>
      <c r="AN290" s="1">
        <v>40700</v>
      </c>
      <c r="AO290" s="1">
        <v>110300</v>
      </c>
      <c r="AP290" s="1">
        <v>99100</v>
      </c>
      <c r="AQ290" s="1">
        <v>77200</v>
      </c>
      <c r="AR290" s="1">
        <v>57900</v>
      </c>
      <c r="AS290" s="1">
        <v>82400</v>
      </c>
      <c r="AT290" s="1">
        <v>50300</v>
      </c>
      <c r="AU290" s="1">
        <v>154200</v>
      </c>
      <c r="AV290" s="1">
        <v>103600</v>
      </c>
      <c r="AW290" s="1">
        <v>47200</v>
      </c>
      <c r="AX290" s="1">
        <v>74100</v>
      </c>
      <c r="AY290" s="1">
        <v>68900</v>
      </c>
      <c r="AZ290" s="1">
        <v>53200</v>
      </c>
      <c r="BA290" s="1">
        <v>59500</v>
      </c>
      <c r="BB290" s="1">
        <v>104400</v>
      </c>
      <c r="BC290" s="1">
        <v>40500</v>
      </c>
      <c r="BD290" s="1">
        <v>65500</v>
      </c>
      <c r="BE290" s="1">
        <v>35500</v>
      </c>
      <c r="BF290" s="1">
        <v>41300</v>
      </c>
      <c r="BG290" s="1">
        <v>28200</v>
      </c>
      <c r="BH290" s="1">
        <v>40200</v>
      </c>
      <c r="BI290" s="1">
        <v>33900</v>
      </c>
      <c r="BJ290" s="1">
        <v>32400</v>
      </c>
      <c r="BK290" s="1">
        <v>41900</v>
      </c>
      <c r="BL290" s="1">
        <v>38200</v>
      </c>
      <c r="BM290" s="1">
        <v>54500</v>
      </c>
      <c r="BN290" s="1">
        <v>55900</v>
      </c>
      <c r="BO290" s="1">
        <v>70200</v>
      </c>
      <c r="BP290" s="1">
        <v>37400</v>
      </c>
    </row>
    <row r="291" spans="1:68">
      <c r="A291" s="397" t="s">
        <v>504</v>
      </c>
      <c r="B291" s="1" t="str">
        <f>銘柄管理!C291</f>
        <v/>
      </c>
      <c r="C291" s="1" t="str">
        <f>_xll.RssMarket("6706","出来高")</f>
        <v/>
      </c>
      <c r="D291" s="85" t="e">
        <f t="shared" si="4"/>
        <v>#VALUE!</v>
      </c>
      <c r="E291" s="1">
        <v>36100</v>
      </c>
      <c r="F291" s="1">
        <v>12100</v>
      </c>
      <c r="G291" s="1">
        <v>17200</v>
      </c>
      <c r="H291" s="1">
        <v>49500</v>
      </c>
      <c r="I291" s="1">
        <v>30500</v>
      </c>
      <c r="J291" s="1">
        <v>46800</v>
      </c>
      <c r="K291" s="1">
        <v>38800</v>
      </c>
      <c r="L291" s="1">
        <v>20300</v>
      </c>
      <c r="M291" s="1">
        <v>55300</v>
      </c>
      <c r="N291" s="1">
        <v>44800</v>
      </c>
      <c r="O291" s="1">
        <v>29000</v>
      </c>
      <c r="P291" s="1">
        <v>19300</v>
      </c>
      <c r="Q291" s="1">
        <v>38800</v>
      </c>
      <c r="R291" s="1">
        <v>26400</v>
      </c>
      <c r="S291" s="1">
        <v>23300</v>
      </c>
      <c r="T291" s="1">
        <v>13300</v>
      </c>
      <c r="U291" s="1">
        <v>30800</v>
      </c>
      <c r="V291" s="1">
        <v>32400</v>
      </c>
      <c r="W291" s="1">
        <v>43600</v>
      </c>
      <c r="X291" s="1">
        <v>23900</v>
      </c>
      <c r="Y291" s="1">
        <v>25900</v>
      </c>
      <c r="Z291" s="1">
        <v>34000</v>
      </c>
      <c r="AA291" s="1">
        <v>30000</v>
      </c>
      <c r="AB291" s="1">
        <v>30100</v>
      </c>
      <c r="AC291" s="1">
        <v>121100</v>
      </c>
      <c r="AD291" s="1">
        <v>58400</v>
      </c>
      <c r="AE291" s="1">
        <v>49500</v>
      </c>
      <c r="AF291" s="1">
        <v>22900</v>
      </c>
      <c r="AG291" s="1">
        <v>19400</v>
      </c>
      <c r="AH291" s="1">
        <v>28000</v>
      </c>
      <c r="AI291" s="1">
        <v>25900</v>
      </c>
      <c r="AJ291" s="1">
        <v>25500</v>
      </c>
      <c r="AK291" s="1">
        <v>26800</v>
      </c>
      <c r="AL291" s="1">
        <v>18800</v>
      </c>
      <c r="AM291" s="1">
        <v>28700</v>
      </c>
      <c r="AN291" s="1">
        <v>20700</v>
      </c>
      <c r="AO291" s="1">
        <v>16600</v>
      </c>
      <c r="AP291" s="1">
        <v>54000</v>
      </c>
      <c r="AQ291" s="1">
        <v>78600</v>
      </c>
      <c r="AR291" s="1">
        <v>68600</v>
      </c>
      <c r="AS291" s="1">
        <v>61900</v>
      </c>
      <c r="AT291" s="1">
        <v>28100</v>
      </c>
      <c r="AU291" s="1">
        <v>19400</v>
      </c>
      <c r="AV291" s="1">
        <v>32500</v>
      </c>
      <c r="AW291" s="1">
        <v>31800</v>
      </c>
      <c r="AX291" s="1">
        <v>23900</v>
      </c>
      <c r="AY291" s="1">
        <v>46700</v>
      </c>
      <c r="AZ291" s="1">
        <v>51800</v>
      </c>
      <c r="BA291" s="1">
        <v>22900</v>
      </c>
      <c r="BB291" s="1">
        <v>30000</v>
      </c>
      <c r="BC291" s="1">
        <v>15700</v>
      </c>
      <c r="BD291" s="1">
        <v>16900</v>
      </c>
      <c r="BE291" s="1">
        <v>38700</v>
      </c>
      <c r="BF291" s="1">
        <v>44400</v>
      </c>
      <c r="BG291" s="1">
        <v>31300</v>
      </c>
      <c r="BH291" s="1">
        <v>31400</v>
      </c>
      <c r="BI291" s="1">
        <v>26400</v>
      </c>
      <c r="BJ291" s="1">
        <v>22200</v>
      </c>
      <c r="BK291" s="1">
        <v>28900</v>
      </c>
      <c r="BL291" s="1">
        <v>50300</v>
      </c>
      <c r="BM291" s="1">
        <v>37500</v>
      </c>
      <c r="BN291" s="1">
        <v>21900</v>
      </c>
      <c r="BO291" s="1">
        <v>25200</v>
      </c>
      <c r="BP291" s="1">
        <v>28600</v>
      </c>
    </row>
    <row r="292" spans="1:68">
      <c r="A292" s="397" t="s">
        <v>505</v>
      </c>
      <c r="B292" s="1" t="str">
        <f>銘柄管理!C292</f>
        <v/>
      </c>
      <c r="C292" s="1" t="str">
        <f>_xll.RssMarket("8141","出来高")</f>
        <v/>
      </c>
      <c r="D292" s="85" t="e">
        <f t="shared" si="4"/>
        <v>#VALUE!</v>
      </c>
      <c r="E292" s="1">
        <v>139400</v>
      </c>
      <c r="F292" s="1">
        <v>104500</v>
      </c>
      <c r="G292" s="1">
        <v>121200</v>
      </c>
      <c r="H292" s="1">
        <v>81400</v>
      </c>
      <c r="I292" s="1">
        <v>130600</v>
      </c>
      <c r="J292" s="1">
        <v>40300</v>
      </c>
      <c r="K292" s="1">
        <v>167500</v>
      </c>
      <c r="L292" s="1">
        <v>27800</v>
      </c>
      <c r="M292" s="1">
        <v>63000</v>
      </c>
      <c r="N292" s="1">
        <v>63900</v>
      </c>
      <c r="O292" s="1">
        <v>49500</v>
      </c>
      <c r="P292" s="1">
        <v>72300</v>
      </c>
      <c r="Q292" s="1">
        <v>107000</v>
      </c>
      <c r="R292" s="1">
        <v>158600</v>
      </c>
      <c r="S292" s="1">
        <v>83600</v>
      </c>
      <c r="T292" s="1">
        <v>181700</v>
      </c>
      <c r="U292" s="1">
        <v>277700</v>
      </c>
      <c r="V292" s="1">
        <v>617100</v>
      </c>
      <c r="W292" s="1">
        <v>200500</v>
      </c>
      <c r="X292" s="1">
        <v>331200</v>
      </c>
      <c r="Y292" s="1">
        <v>217800</v>
      </c>
      <c r="Z292" s="1">
        <v>280500</v>
      </c>
      <c r="AA292" s="1">
        <v>254200</v>
      </c>
      <c r="AB292" s="1">
        <v>233900</v>
      </c>
      <c r="AC292" s="1">
        <v>175100</v>
      </c>
      <c r="AD292" s="1">
        <v>659800</v>
      </c>
      <c r="AE292" s="1">
        <v>485100</v>
      </c>
      <c r="AF292" s="1">
        <v>327500</v>
      </c>
      <c r="AG292" s="1">
        <v>441900</v>
      </c>
      <c r="AH292" s="1">
        <v>722600</v>
      </c>
      <c r="AI292" s="1">
        <v>910500</v>
      </c>
      <c r="AJ292" s="1">
        <v>810400</v>
      </c>
      <c r="AK292" s="1">
        <v>923500</v>
      </c>
      <c r="AL292" s="1">
        <v>1593800</v>
      </c>
      <c r="AM292" s="1">
        <v>1206200</v>
      </c>
      <c r="AN292" s="1">
        <v>747200</v>
      </c>
      <c r="AO292" s="1">
        <v>991700</v>
      </c>
      <c r="AP292" s="1">
        <v>1032900</v>
      </c>
      <c r="AQ292" s="1">
        <v>1057000</v>
      </c>
      <c r="AR292" s="1">
        <v>2677200</v>
      </c>
      <c r="AS292" s="1">
        <v>391000</v>
      </c>
      <c r="AT292" s="1">
        <v>328500</v>
      </c>
      <c r="AU292" s="1">
        <v>929500</v>
      </c>
      <c r="AV292" s="1">
        <v>221400</v>
      </c>
      <c r="AW292" s="1">
        <v>372600</v>
      </c>
      <c r="AX292" s="1">
        <v>289800</v>
      </c>
      <c r="AY292" s="1">
        <v>341500</v>
      </c>
      <c r="AZ292" s="1">
        <v>215600</v>
      </c>
      <c r="BA292" s="1">
        <v>397900</v>
      </c>
      <c r="BB292" s="1">
        <v>198200</v>
      </c>
      <c r="BC292" s="1">
        <v>147000</v>
      </c>
      <c r="BD292" s="1">
        <v>152600</v>
      </c>
      <c r="BE292" s="1">
        <v>283100</v>
      </c>
      <c r="BF292" s="1">
        <v>296700</v>
      </c>
      <c r="BG292" s="1">
        <v>243000</v>
      </c>
      <c r="BH292" s="1">
        <v>444500</v>
      </c>
      <c r="BI292" s="1">
        <v>223800</v>
      </c>
      <c r="BJ292" s="1">
        <v>228900</v>
      </c>
      <c r="BK292" s="1">
        <v>271300</v>
      </c>
      <c r="BL292" s="1">
        <v>432700</v>
      </c>
      <c r="BM292" s="1">
        <v>201600</v>
      </c>
      <c r="BN292" s="1">
        <v>132600</v>
      </c>
      <c r="BO292" s="1">
        <v>126500</v>
      </c>
      <c r="BP292" s="1">
        <v>164900</v>
      </c>
    </row>
    <row r="293" spans="1:68">
      <c r="A293" s="397" t="s">
        <v>506</v>
      </c>
      <c r="B293" s="1" t="str">
        <f>銘柄管理!C293</f>
        <v/>
      </c>
      <c r="C293" s="1" t="str">
        <f>_xll.RssMarket("8344","出来高")</f>
        <v/>
      </c>
      <c r="D293" s="85" t="e">
        <f t="shared" si="4"/>
        <v>#VALUE!</v>
      </c>
      <c r="E293" s="1">
        <v>173100</v>
      </c>
      <c r="F293" s="1">
        <v>123600</v>
      </c>
      <c r="G293" s="1">
        <v>95700</v>
      </c>
      <c r="H293" s="1">
        <v>100300</v>
      </c>
      <c r="I293" s="1">
        <v>99700</v>
      </c>
      <c r="J293" s="1">
        <v>108500</v>
      </c>
      <c r="K293" s="1">
        <v>105100</v>
      </c>
      <c r="L293" s="1">
        <v>274800</v>
      </c>
      <c r="M293" s="1">
        <v>140500</v>
      </c>
      <c r="N293" s="1">
        <v>234100</v>
      </c>
      <c r="O293" s="1">
        <v>212200</v>
      </c>
      <c r="P293" s="1">
        <v>83800</v>
      </c>
      <c r="Q293" s="1">
        <v>112700</v>
      </c>
      <c r="R293" s="1">
        <v>92700</v>
      </c>
      <c r="S293" s="1">
        <v>77500</v>
      </c>
      <c r="T293" s="1">
        <v>60500</v>
      </c>
      <c r="U293" s="1">
        <v>102900</v>
      </c>
      <c r="V293" s="1">
        <v>65900</v>
      </c>
      <c r="W293" s="1">
        <v>84700</v>
      </c>
      <c r="X293" s="1">
        <v>172400</v>
      </c>
      <c r="Y293" s="1">
        <v>112400</v>
      </c>
      <c r="Z293" s="1">
        <v>143900</v>
      </c>
      <c r="AA293" s="1">
        <v>104600</v>
      </c>
      <c r="AB293" s="1">
        <v>207100</v>
      </c>
      <c r="AC293" s="1">
        <v>146300</v>
      </c>
      <c r="AD293" s="1">
        <v>234500</v>
      </c>
      <c r="AE293" s="1">
        <v>100100</v>
      </c>
      <c r="AF293" s="1">
        <v>60600</v>
      </c>
      <c r="AG293" s="1">
        <v>99600</v>
      </c>
      <c r="AH293" s="1">
        <v>91700</v>
      </c>
      <c r="AI293" s="1">
        <v>102700</v>
      </c>
      <c r="AJ293" s="1">
        <v>101000</v>
      </c>
      <c r="AK293" s="1">
        <v>112100</v>
      </c>
      <c r="AL293" s="1">
        <v>125500</v>
      </c>
      <c r="AM293" s="1">
        <v>123600</v>
      </c>
      <c r="AN293" s="1">
        <v>124000</v>
      </c>
      <c r="AO293" s="1">
        <v>121000</v>
      </c>
      <c r="AP293" s="1">
        <v>162600</v>
      </c>
      <c r="AQ293" s="1">
        <v>216600</v>
      </c>
      <c r="AR293" s="1">
        <v>397800</v>
      </c>
      <c r="AS293" s="1">
        <v>144000</v>
      </c>
      <c r="AT293" s="1">
        <v>136900</v>
      </c>
      <c r="AU293" s="1">
        <v>105100</v>
      </c>
      <c r="AV293" s="1">
        <v>84500</v>
      </c>
      <c r="AW293" s="1">
        <v>79800</v>
      </c>
      <c r="AX293" s="1">
        <v>142100</v>
      </c>
      <c r="AY293" s="1">
        <v>126500</v>
      </c>
      <c r="AZ293" s="1">
        <v>69800</v>
      </c>
      <c r="BA293" s="1">
        <v>96100</v>
      </c>
      <c r="BB293" s="1">
        <v>109400</v>
      </c>
      <c r="BC293" s="1">
        <v>86700</v>
      </c>
      <c r="BD293" s="1">
        <v>81500</v>
      </c>
      <c r="BE293" s="1">
        <v>91100</v>
      </c>
      <c r="BF293" s="1">
        <v>105400</v>
      </c>
      <c r="BG293" s="1">
        <v>78600</v>
      </c>
      <c r="BH293" s="1">
        <v>121500</v>
      </c>
      <c r="BI293" s="1">
        <v>149300</v>
      </c>
      <c r="BJ293" s="1">
        <v>86900</v>
      </c>
      <c r="BK293" s="1">
        <v>97200</v>
      </c>
      <c r="BL293" s="1">
        <v>69900</v>
      </c>
      <c r="BM293" s="1">
        <v>67400</v>
      </c>
      <c r="BN293" s="1">
        <v>88100</v>
      </c>
      <c r="BO293" s="1">
        <v>71200</v>
      </c>
      <c r="BP293" s="1">
        <v>81900</v>
      </c>
    </row>
    <row r="294" spans="1:68">
      <c r="A294" s="397" t="s">
        <v>507</v>
      </c>
      <c r="B294" s="1" t="str">
        <f>銘柄管理!C294</f>
        <v/>
      </c>
      <c r="C294" s="1" t="str">
        <f>_xll.RssMarket("7414","出来高")</f>
        <v/>
      </c>
      <c r="D294" s="85" t="e">
        <f t="shared" si="4"/>
        <v>#VALUE!</v>
      </c>
      <c r="E294" s="1">
        <v>65100</v>
      </c>
      <c r="F294" s="1">
        <v>142600</v>
      </c>
      <c r="G294" s="1">
        <v>39600</v>
      </c>
      <c r="H294" s="1">
        <v>32500</v>
      </c>
      <c r="I294" s="1">
        <v>50500</v>
      </c>
      <c r="J294" s="1">
        <v>42500</v>
      </c>
      <c r="K294" s="1">
        <v>67700</v>
      </c>
      <c r="L294" s="1">
        <v>47500</v>
      </c>
      <c r="M294" s="1">
        <v>50300</v>
      </c>
      <c r="N294" s="1">
        <v>52300</v>
      </c>
      <c r="O294" s="1">
        <v>48500</v>
      </c>
      <c r="P294" s="1">
        <v>48300</v>
      </c>
      <c r="Q294" s="1">
        <v>52300</v>
      </c>
      <c r="R294" s="1">
        <v>79300</v>
      </c>
      <c r="S294" s="1">
        <v>35900</v>
      </c>
      <c r="T294" s="1">
        <v>41800</v>
      </c>
      <c r="U294" s="1">
        <v>40000</v>
      </c>
      <c r="V294" s="1">
        <v>34200</v>
      </c>
      <c r="W294" s="1">
        <v>70900</v>
      </c>
      <c r="X294" s="1">
        <v>105700</v>
      </c>
      <c r="Y294" s="1">
        <v>39000</v>
      </c>
      <c r="Z294" s="1">
        <v>49200</v>
      </c>
      <c r="AA294" s="1">
        <v>33100</v>
      </c>
      <c r="AB294" s="1">
        <v>79300</v>
      </c>
      <c r="AC294" s="1">
        <v>71000</v>
      </c>
      <c r="AD294" s="1">
        <v>72100</v>
      </c>
      <c r="AE294" s="1">
        <v>49800</v>
      </c>
      <c r="AF294" s="1">
        <v>59700</v>
      </c>
      <c r="AG294" s="1">
        <v>57000</v>
      </c>
      <c r="AH294" s="1">
        <v>108700</v>
      </c>
      <c r="AI294" s="1">
        <v>310700</v>
      </c>
      <c r="AJ294" s="1">
        <v>56000</v>
      </c>
      <c r="AK294" s="1">
        <v>62800</v>
      </c>
      <c r="AL294" s="1">
        <v>65000</v>
      </c>
      <c r="AM294" s="1">
        <v>108600</v>
      </c>
      <c r="AN294" s="1">
        <v>73700</v>
      </c>
      <c r="AO294" s="1">
        <v>79000</v>
      </c>
      <c r="AP294" s="1">
        <v>117200</v>
      </c>
      <c r="AQ294" s="1">
        <v>74100</v>
      </c>
      <c r="AR294" s="1">
        <v>152300</v>
      </c>
      <c r="AS294" s="1">
        <v>158500</v>
      </c>
      <c r="AT294" s="1">
        <v>108800</v>
      </c>
      <c r="AU294" s="1">
        <v>27100</v>
      </c>
      <c r="AV294" s="1">
        <v>55400</v>
      </c>
      <c r="AW294" s="1">
        <v>42600</v>
      </c>
      <c r="AX294" s="1">
        <v>35000</v>
      </c>
      <c r="AY294" s="1">
        <v>67800</v>
      </c>
      <c r="AZ294" s="1">
        <v>40600</v>
      </c>
      <c r="BA294" s="1">
        <v>53300</v>
      </c>
      <c r="BB294" s="1">
        <v>54300</v>
      </c>
      <c r="BC294" s="1">
        <v>52600</v>
      </c>
      <c r="BD294" s="1">
        <v>62400</v>
      </c>
      <c r="BE294" s="1">
        <v>55600</v>
      </c>
      <c r="BF294" s="1">
        <v>31500</v>
      </c>
      <c r="BG294" s="1">
        <v>37000</v>
      </c>
      <c r="BH294" s="1">
        <v>58100</v>
      </c>
      <c r="BI294" s="1">
        <v>29200</v>
      </c>
      <c r="BJ294" s="1">
        <v>49800</v>
      </c>
      <c r="BK294" s="1">
        <v>45800</v>
      </c>
      <c r="BL294" s="1">
        <v>27600</v>
      </c>
      <c r="BM294" s="1">
        <v>63900</v>
      </c>
      <c r="BN294" s="1">
        <v>32500</v>
      </c>
      <c r="BO294" s="1">
        <v>39100</v>
      </c>
      <c r="BP294" s="1">
        <v>52800</v>
      </c>
    </row>
    <row r="295" spans="1:68">
      <c r="A295" s="397" t="s">
        <v>508</v>
      </c>
      <c r="B295" s="1" t="str">
        <f>銘柄管理!C295</f>
        <v/>
      </c>
      <c r="C295" s="1" t="str">
        <f>_xll.RssMarket("6407","出来高")</f>
        <v/>
      </c>
      <c r="D295" s="85" t="e">
        <f t="shared" si="4"/>
        <v>#VALUE!</v>
      </c>
      <c r="E295" s="1">
        <v>809700</v>
      </c>
      <c r="F295" s="1">
        <v>722300</v>
      </c>
      <c r="G295" s="1">
        <v>581400</v>
      </c>
      <c r="H295" s="1">
        <v>370400</v>
      </c>
      <c r="I295" s="1">
        <v>786600</v>
      </c>
      <c r="J295" s="1">
        <v>455600</v>
      </c>
      <c r="K295" s="1">
        <v>359000</v>
      </c>
      <c r="L295" s="1">
        <v>762500</v>
      </c>
      <c r="M295" s="1">
        <v>837200</v>
      </c>
      <c r="N295" s="1">
        <v>1435900</v>
      </c>
      <c r="O295" s="1">
        <v>726300</v>
      </c>
      <c r="P295" s="1">
        <v>586600</v>
      </c>
      <c r="Q295" s="1">
        <v>449800</v>
      </c>
      <c r="R295" s="1">
        <v>500500</v>
      </c>
      <c r="S295" s="1">
        <v>619100</v>
      </c>
      <c r="T295" s="1">
        <v>958000</v>
      </c>
      <c r="U295" s="1">
        <v>562900</v>
      </c>
      <c r="V295" s="1">
        <v>829000</v>
      </c>
      <c r="W295" s="1">
        <v>670900</v>
      </c>
      <c r="X295" s="1">
        <v>1041100</v>
      </c>
      <c r="Y295" s="1">
        <v>1038000</v>
      </c>
      <c r="Z295" s="1">
        <v>460000</v>
      </c>
      <c r="AA295" s="1">
        <v>845300</v>
      </c>
      <c r="AB295" s="1">
        <v>1169400</v>
      </c>
      <c r="AC295" s="1">
        <v>634400</v>
      </c>
      <c r="AD295" s="1">
        <v>891700</v>
      </c>
      <c r="AE295" s="1">
        <v>722200</v>
      </c>
      <c r="AF295" s="1">
        <v>534600</v>
      </c>
      <c r="AG295" s="1">
        <v>550600</v>
      </c>
      <c r="AH295" s="1">
        <v>889900</v>
      </c>
      <c r="AI295" s="1">
        <v>655200</v>
      </c>
      <c r="AJ295" s="1">
        <v>951800</v>
      </c>
      <c r="AK295" s="1">
        <v>463000</v>
      </c>
      <c r="AL295" s="1">
        <v>432800</v>
      </c>
      <c r="AM295" s="1">
        <v>1132100</v>
      </c>
      <c r="AN295" s="1">
        <v>1395200</v>
      </c>
      <c r="AO295" s="1">
        <v>810100</v>
      </c>
      <c r="AP295" s="1">
        <v>1148500</v>
      </c>
      <c r="AQ295" s="1">
        <v>1125600</v>
      </c>
      <c r="AR295" s="1">
        <v>1627400</v>
      </c>
      <c r="AS295" s="1">
        <v>1024100</v>
      </c>
      <c r="AT295" s="1">
        <v>778800</v>
      </c>
      <c r="AU295" s="1">
        <v>574900</v>
      </c>
      <c r="AV295" s="1">
        <v>713100</v>
      </c>
      <c r="AW295" s="1">
        <v>619700</v>
      </c>
      <c r="AX295" s="1">
        <v>572000</v>
      </c>
      <c r="AY295" s="1">
        <v>881100</v>
      </c>
      <c r="AZ295" s="1">
        <v>226900</v>
      </c>
      <c r="BA295" s="1">
        <v>768200</v>
      </c>
      <c r="BB295" s="1">
        <v>411400</v>
      </c>
      <c r="BC295" s="1">
        <v>587000</v>
      </c>
      <c r="BD295" s="1">
        <v>267200</v>
      </c>
      <c r="BE295" s="1">
        <v>462900</v>
      </c>
      <c r="BF295" s="1">
        <v>543300</v>
      </c>
      <c r="BG295" s="1">
        <v>355900</v>
      </c>
      <c r="BH295" s="1">
        <v>264300</v>
      </c>
      <c r="BI295" s="1">
        <v>346000</v>
      </c>
      <c r="BJ295" s="1">
        <v>534800</v>
      </c>
      <c r="BK295" s="1">
        <v>602200</v>
      </c>
      <c r="BL295" s="1">
        <v>457300</v>
      </c>
      <c r="BM295" s="1">
        <v>1806000</v>
      </c>
      <c r="BN295" s="1">
        <v>1148200</v>
      </c>
      <c r="BO295" s="1">
        <v>561200</v>
      </c>
      <c r="BP295" s="1">
        <v>786100</v>
      </c>
    </row>
    <row r="296" spans="1:68">
      <c r="A296" s="397" t="s">
        <v>509</v>
      </c>
      <c r="B296" s="1" t="str">
        <f>銘柄管理!C296</f>
        <v/>
      </c>
      <c r="C296" s="1" t="str">
        <f>_xll.RssMarket("7048","出来高")</f>
        <v/>
      </c>
      <c r="D296" s="85" t="e">
        <f t="shared" si="4"/>
        <v>#VALUE!</v>
      </c>
      <c r="E296" s="1">
        <v>208800</v>
      </c>
      <c r="F296" s="1">
        <v>276200</v>
      </c>
      <c r="G296" s="1">
        <v>325200</v>
      </c>
      <c r="H296" s="1">
        <v>214400</v>
      </c>
      <c r="I296" s="1">
        <v>348700</v>
      </c>
      <c r="J296" s="1">
        <v>402500</v>
      </c>
      <c r="K296" s="1">
        <v>604800</v>
      </c>
      <c r="L296" s="1">
        <v>269000</v>
      </c>
      <c r="M296" s="1">
        <v>230200</v>
      </c>
      <c r="N296" s="1">
        <v>525700</v>
      </c>
      <c r="O296" s="1">
        <v>224000</v>
      </c>
      <c r="P296" s="1">
        <v>86300</v>
      </c>
      <c r="Q296" s="1">
        <v>113100</v>
      </c>
      <c r="R296" s="1">
        <v>143900</v>
      </c>
      <c r="S296" s="1">
        <v>563100</v>
      </c>
      <c r="T296" s="1">
        <v>1040100</v>
      </c>
      <c r="U296" s="1">
        <v>1531000</v>
      </c>
      <c r="V296" s="1">
        <v>5519900</v>
      </c>
      <c r="W296" s="1">
        <v>1223400</v>
      </c>
      <c r="X296" s="1">
        <v>883500</v>
      </c>
      <c r="Y296" s="1">
        <v>1377600</v>
      </c>
      <c r="Z296" s="1">
        <v>234600</v>
      </c>
      <c r="AA296" s="1">
        <v>674300</v>
      </c>
      <c r="AB296" s="1">
        <v>143300</v>
      </c>
      <c r="AC296" s="1">
        <v>149100</v>
      </c>
      <c r="AD296" s="1">
        <v>262900</v>
      </c>
      <c r="AE296" s="1">
        <v>98200</v>
      </c>
      <c r="AF296" s="1">
        <v>204600</v>
      </c>
      <c r="AG296" s="1">
        <v>162300</v>
      </c>
      <c r="AH296" s="1">
        <v>94400</v>
      </c>
      <c r="AI296" s="1">
        <v>115000</v>
      </c>
      <c r="AJ296" s="1">
        <v>94800</v>
      </c>
      <c r="AK296" s="1">
        <v>111500</v>
      </c>
      <c r="AL296" s="1">
        <v>144700</v>
      </c>
      <c r="AM296" s="1">
        <v>322300</v>
      </c>
      <c r="AN296" s="1">
        <v>103900</v>
      </c>
      <c r="AO296" s="1">
        <v>59400</v>
      </c>
      <c r="AP296" s="1">
        <v>247100</v>
      </c>
      <c r="AQ296" s="1">
        <v>134500</v>
      </c>
      <c r="AR296" s="1">
        <v>226800</v>
      </c>
      <c r="AS296" s="1">
        <v>535400</v>
      </c>
      <c r="AT296" s="1">
        <v>131500</v>
      </c>
      <c r="AU296" s="1">
        <v>96700</v>
      </c>
      <c r="AV296" s="1">
        <v>140900</v>
      </c>
      <c r="AW296" s="1">
        <v>112500</v>
      </c>
      <c r="AX296" s="1">
        <v>41100</v>
      </c>
      <c r="AY296" s="1">
        <v>57500</v>
      </c>
      <c r="AZ296" s="1">
        <v>75600</v>
      </c>
      <c r="BA296" s="1">
        <v>100200</v>
      </c>
      <c r="BB296" s="1">
        <v>126200</v>
      </c>
      <c r="BC296" s="1">
        <v>150000</v>
      </c>
      <c r="BD296" s="1">
        <v>218600</v>
      </c>
      <c r="BE296" s="1">
        <v>262300</v>
      </c>
      <c r="BF296" s="1">
        <v>179100</v>
      </c>
      <c r="BG296" s="1">
        <v>168700</v>
      </c>
      <c r="BH296" s="1">
        <v>162200</v>
      </c>
      <c r="BI296" s="1">
        <v>432800</v>
      </c>
      <c r="BJ296" s="1">
        <v>93600</v>
      </c>
      <c r="BK296" s="1">
        <v>204500</v>
      </c>
      <c r="BL296" s="1">
        <v>151000</v>
      </c>
      <c r="BM296" s="1">
        <v>140500</v>
      </c>
      <c r="BN296" s="1">
        <v>276300</v>
      </c>
      <c r="BO296" s="1">
        <v>205100</v>
      </c>
      <c r="BP296" s="1">
        <v>266500</v>
      </c>
    </row>
    <row r="297" spans="1:68">
      <c r="A297" s="397" t="s">
        <v>510</v>
      </c>
      <c r="B297" s="1" t="str">
        <f>銘柄管理!C297</f>
        <v/>
      </c>
      <c r="C297" s="1" t="str">
        <f>_xll.RssMarket("1808","出来高")</f>
        <v/>
      </c>
      <c r="D297" s="85" t="e">
        <f t="shared" si="4"/>
        <v>#VALUE!</v>
      </c>
      <c r="E297" s="1">
        <v>829700</v>
      </c>
      <c r="F297" s="1">
        <v>628800</v>
      </c>
      <c r="G297" s="1">
        <v>752100</v>
      </c>
      <c r="H297" s="1">
        <v>1337600</v>
      </c>
      <c r="I297" s="1">
        <v>1055100</v>
      </c>
      <c r="J297" s="1">
        <v>790800</v>
      </c>
      <c r="K297" s="1">
        <v>611400</v>
      </c>
      <c r="L297" s="1">
        <v>793200</v>
      </c>
      <c r="M297" s="1">
        <v>587700</v>
      </c>
      <c r="N297" s="1">
        <v>698500</v>
      </c>
      <c r="O297" s="1">
        <v>561500</v>
      </c>
      <c r="P297" s="1">
        <v>775000</v>
      </c>
      <c r="Q297" s="1">
        <v>971900</v>
      </c>
      <c r="R297" s="1">
        <v>1294400</v>
      </c>
      <c r="S297" s="1">
        <v>1231300</v>
      </c>
      <c r="T297" s="1">
        <v>1051600</v>
      </c>
      <c r="U297" s="1">
        <v>756000</v>
      </c>
      <c r="V297" s="1">
        <v>1272200</v>
      </c>
      <c r="W297" s="1">
        <v>1200300</v>
      </c>
      <c r="X297" s="1">
        <v>3079200</v>
      </c>
      <c r="Y297" s="1">
        <v>1067600</v>
      </c>
      <c r="Z297" s="1">
        <v>1091500</v>
      </c>
      <c r="AA297" s="1">
        <v>947300</v>
      </c>
      <c r="AB297" s="1">
        <v>1777300</v>
      </c>
      <c r="AC297" s="1">
        <v>1167600</v>
      </c>
      <c r="AD297" s="1">
        <v>1261800</v>
      </c>
      <c r="AE297" s="1">
        <v>843500</v>
      </c>
      <c r="AF297" s="1">
        <v>710000</v>
      </c>
      <c r="AG297" s="1">
        <v>643300</v>
      </c>
      <c r="AH297" s="1">
        <v>661400</v>
      </c>
      <c r="AI297" s="1">
        <v>868400</v>
      </c>
      <c r="AJ297" s="1">
        <v>1193600</v>
      </c>
      <c r="AK297" s="1">
        <v>653800</v>
      </c>
      <c r="AL297" s="1">
        <v>696200</v>
      </c>
      <c r="AM297" s="1">
        <v>1051400</v>
      </c>
      <c r="AN297" s="1">
        <v>932100</v>
      </c>
      <c r="AO297" s="1">
        <v>1082200</v>
      </c>
      <c r="AP297" s="1">
        <v>1708300</v>
      </c>
      <c r="AQ297" s="1">
        <v>1560500</v>
      </c>
      <c r="AR297" s="1">
        <v>2216100</v>
      </c>
      <c r="AS297" s="1">
        <v>1224400</v>
      </c>
      <c r="AT297" s="1">
        <v>1122900</v>
      </c>
      <c r="AU297" s="1">
        <v>955400</v>
      </c>
      <c r="AV297" s="1">
        <v>1199500</v>
      </c>
      <c r="AW297" s="1">
        <v>978100</v>
      </c>
      <c r="AX297" s="1">
        <v>864800</v>
      </c>
      <c r="AY297" s="1">
        <v>1639300</v>
      </c>
      <c r="AZ297" s="1">
        <v>788300</v>
      </c>
      <c r="BA297" s="1">
        <v>1640200</v>
      </c>
      <c r="BB297" s="1">
        <v>1110300</v>
      </c>
      <c r="BC297" s="1">
        <v>1015100</v>
      </c>
      <c r="BD297" s="1">
        <v>825900</v>
      </c>
      <c r="BE297" s="1">
        <v>644500</v>
      </c>
      <c r="BF297" s="1">
        <v>966800</v>
      </c>
      <c r="BG297" s="1">
        <v>1241200</v>
      </c>
      <c r="BH297" s="1">
        <v>1160400</v>
      </c>
      <c r="BI297" s="1">
        <v>943300</v>
      </c>
      <c r="BJ297" s="1">
        <v>1448700</v>
      </c>
      <c r="BK297" s="1">
        <v>1502500</v>
      </c>
      <c r="BL297" s="1">
        <v>2441900</v>
      </c>
      <c r="BM297" s="1">
        <v>1032100</v>
      </c>
      <c r="BN297" s="1">
        <v>780500</v>
      </c>
      <c r="BO297" s="1">
        <v>749800</v>
      </c>
      <c r="BP297" s="1">
        <v>816000</v>
      </c>
    </row>
    <row r="298" spans="1:68">
      <c r="A298" s="397" t="s">
        <v>511</v>
      </c>
      <c r="B298" s="1" t="str">
        <f>銘柄管理!C298</f>
        <v/>
      </c>
      <c r="C298" s="1" t="str">
        <f>_xll.RssMarket("4208","出来高")</f>
        <v/>
      </c>
      <c r="D298" s="85" t="e">
        <f t="shared" si="4"/>
        <v>#VALUE!</v>
      </c>
      <c r="E298" s="1">
        <v>1039100</v>
      </c>
      <c r="F298" s="1">
        <v>673300</v>
      </c>
      <c r="G298" s="1">
        <v>1033000</v>
      </c>
      <c r="H298" s="1">
        <v>918300</v>
      </c>
      <c r="I298" s="1">
        <v>756600</v>
      </c>
      <c r="J298" s="1">
        <v>794900</v>
      </c>
      <c r="K298" s="1">
        <v>703400</v>
      </c>
      <c r="L298" s="1">
        <v>970300</v>
      </c>
      <c r="M298" s="1">
        <v>510500</v>
      </c>
      <c r="N298" s="1">
        <v>585400</v>
      </c>
      <c r="O298" s="1">
        <v>790800</v>
      </c>
      <c r="P298" s="1">
        <v>693500</v>
      </c>
      <c r="Q298" s="1">
        <v>747500</v>
      </c>
      <c r="R298" s="1">
        <v>983700</v>
      </c>
      <c r="S298" s="1">
        <v>803800</v>
      </c>
      <c r="T298" s="1">
        <v>588200</v>
      </c>
      <c r="U298" s="1">
        <v>707000</v>
      </c>
      <c r="V298" s="1">
        <v>885300</v>
      </c>
      <c r="W298" s="1">
        <v>727300</v>
      </c>
      <c r="X298" s="1">
        <v>1425300</v>
      </c>
      <c r="Y298" s="1">
        <v>1298600</v>
      </c>
      <c r="Z298" s="1">
        <v>582200</v>
      </c>
      <c r="AA298" s="1">
        <v>871300</v>
      </c>
      <c r="AB298" s="1">
        <v>963600</v>
      </c>
      <c r="AC298" s="1">
        <v>858100</v>
      </c>
      <c r="AD298" s="1">
        <v>1180000</v>
      </c>
      <c r="AE298" s="1">
        <v>1332500</v>
      </c>
      <c r="AF298" s="1">
        <v>1015700</v>
      </c>
      <c r="AG298" s="1">
        <v>788500</v>
      </c>
      <c r="AH298" s="1">
        <v>1035600</v>
      </c>
      <c r="AI298" s="1">
        <v>1217200</v>
      </c>
      <c r="AJ298" s="1">
        <v>1325300</v>
      </c>
      <c r="AK298" s="1">
        <v>1572200</v>
      </c>
      <c r="AL298" s="1">
        <v>1298900</v>
      </c>
      <c r="AM298" s="1">
        <v>1424500</v>
      </c>
      <c r="AN298" s="1">
        <v>1791400</v>
      </c>
      <c r="AO298" s="1">
        <v>4846200</v>
      </c>
      <c r="AP298" s="1">
        <v>7261500</v>
      </c>
      <c r="AQ298" s="1">
        <v>1305200</v>
      </c>
      <c r="AR298" s="1">
        <v>1224000</v>
      </c>
      <c r="AS298" s="1">
        <v>1569300</v>
      </c>
      <c r="AT298" s="1">
        <v>2259100</v>
      </c>
      <c r="AU298" s="1">
        <v>1280900</v>
      </c>
      <c r="AV298" s="1">
        <v>1188600</v>
      </c>
      <c r="AW298" s="1">
        <v>622000</v>
      </c>
      <c r="AX298" s="1">
        <v>767900</v>
      </c>
      <c r="AY298" s="1">
        <v>757500</v>
      </c>
      <c r="AZ298" s="1">
        <v>702000</v>
      </c>
      <c r="BA298" s="1">
        <v>827000</v>
      </c>
      <c r="BB298" s="1">
        <v>600000</v>
      </c>
      <c r="BC298" s="1">
        <v>623200</v>
      </c>
      <c r="BD298" s="1">
        <v>671900</v>
      </c>
      <c r="BE298" s="1">
        <v>1058300</v>
      </c>
      <c r="BF298" s="1">
        <v>798300</v>
      </c>
      <c r="BG298" s="1">
        <v>547300</v>
      </c>
      <c r="BH298" s="1">
        <v>631900</v>
      </c>
      <c r="BI298" s="1">
        <v>540000</v>
      </c>
      <c r="BJ298" s="1">
        <v>489000</v>
      </c>
      <c r="BK298" s="1">
        <v>572500</v>
      </c>
      <c r="BL298" s="1">
        <v>785600</v>
      </c>
      <c r="BM298" s="1">
        <v>913300</v>
      </c>
      <c r="BN298" s="1">
        <v>629400</v>
      </c>
      <c r="BO298" s="1">
        <v>954100</v>
      </c>
      <c r="BP298" s="1">
        <v>1005500</v>
      </c>
    </row>
    <row r="299" spans="1:68">
      <c r="A299" s="397" t="s">
        <v>512</v>
      </c>
      <c r="B299" s="1" t="str">
        <f>銘柄管理!C299</f>
        <v/>
      </c>
      <c r="C299" s="1" t="str">
        <f>_xll.RssMarket("186A","出来高")</f>
        <v/>
      </c>
      <c r="D299" s="85" t="e">
        <f t="shared" si="4"/>
        <v>#VALUE!</v>
      </c>
      <c r="E299" s="1">
        <v>5846900</v>
      </c>
      <c r="F299" s="1">
        <v>3714900</v>
      </c>
      <c r="G299" s="1">
        <v>4171400</v>
      </c>
      <c r="H299" s="1">
        <v>5542900</v>
      </c>
      <c r="I299" s="1">
        <v>3637800</v>
      </c>
      <c r="J299" s="1">
        <v>4074100</v>
      </c>
      <c r="K299" s="1">
        <v>4537000</v>
      </c>
      <c r="L299" s="1">
        <v>4696400</v>
      </c>
      <c r="M299" s="1">
        <v>5374000</v>
      </c>
      <c r="N299" s="1">
        <v>4762300</v>
      </c>
      <c r="O299" s="1">
        <v>4048000</v>
      </c>
      <c r="P299" s="1">
        <v>5302800</v>
      </c>
      <c r="Q299" s="1">
        <v>5852300</v>
      </c>
      <c r="R299" s="1">
        <v>5324500</v>
      </c>
      <c r="S299" s="1">
        <v>6237500</v>
      </c>
      <c r="T299" s="1">
        <v>6824700</v>
      </c>
      <c r="U299" s="1">
        <v>5065700</v>
      </c>
      <c r="V299" s="1">
        <v>8499600</v>
      </c>
      <c r="W299" s="1">
        <v>9996100</v>
      </c>
      <c r="X299" s="1">
        <v>12934700</v>
      </c>
      <c r="Y299" s="1">
        <v>8716800</v>
      </c>
      <c r="Z299" s="1">
        <v>13573100</v>
      </c>
      <c r="AA299" s="1">
        <v>20516900</v>
      </c>
      <c r="AB299" s="1">
        <v>12034200</v>
      </c>
      <c r="AC299" s="1">
        <v>8562000</v>
      </c>
      <c r="AD299" s="1">
        <v>11702800</v>
      </c>
      <c r="AE299" s="1">
        <v>14903700</v>
      </c>
      <c r="AF299" s="1">
        <v>18113200</v>
      </c>
      <c r="AG299" s="1">
        <v>15820200</v>
      </c>
      <c r="AH299" s="1">
        <v>16856200</v>
      </c>
      <c r="AI299" s="1">
        <v>19546400</v>
      </c>
      <c r="AJ299" s="1">
        <v>26320900</v>
      </c>
      <c r="AK299" s="1">
        <v>37132000</v>
      </c>
      <c r="AL299" s="1">
        <v>30912200</v>
      </c>
      <c r="AM299" s="1">
        <v>32097300</v>
      </c>
      <c r="AN299" s="1">
        <v>13576500</v>
      </c>
      <c r="AO299" s="1">
        <v>14630200</v>
      </c>
      <c r="AP299" s="1">
        <v>23922500</v>
      </c>
      <c r="AQ299" s="1">
        <v>18431300</v>
      </c>
      <c r="AR299" s="1">
        <v>12315100</v>
      </c>
      <c r="AS299" s="1">
        <v>16135100</v>
      </c>
      <c r="AT299" s="1">
        <v>10892700</v>
      </c>
      <c r="AU299" s="1">
        <v>9776600</v>
      </c>
      <c r="AV299" s="1">
        <v>14351300</v>
      </c>
      <c r="AW299" s="1">
        <v>12917900</v>
      </c>
      <c r="AX299" s="1">
        <v>10202200</v>
      </c>
      <c r="AY299" s="1">
        <v>6010300</v>
      </c>
      <c r="AZ299" s="1">
        <v>4738600</v>
      </c>
      <c r="BA299" s="1">
        <v>4196300</v>
      </c>
      <c r="BB299" s="1">
        <v>5328400</v>
      </c>
      <c r="BC299" s="1">
        <v>5469400</v>
      </c>
      <c r="BD299" s="1">
        <v>6888600</v>
      </c>
      <c r="BE299" s="1">
        <v>6121700</v>
      </c>
      <c r="BF299" s="1">
        <v>6547800</v>
      </c>
      <c r="BG299" s="1">
        <v>9052500</v>
      </c>
      <c r="BH299" s="1">
        <v>12110300</v>
      </c>
      <c r="BI299" s="1">
        <v>6477600</v>
      </c>
      <c r="BJ299" s="1">
        <v>7380400</v>
      </c>
      <c r="BK299" s="1">
        <v>10235400</v>
      </c>
      <c r="BL299" s="1">
        <v>14518100</v>
      </c>
      <c r="BM299" s="1">
        <v>10149600</v>
      </c>
      <c r="BN299" s="1">
        <v>23205100</v>
      </c>
      <c r="BO299" s="1">
        <v>11091700</v>
      </c>
      <c r="BP299" s="1">
        <v>8480300</v>
      </c>
    </row>
    <row r="300" spans="1:68">
      <c r="A300" s="397" t="s">
        <v>513</v>
      </c>
      <c r="B300" s="1" t="str">
        <f>銘柄管理!C300</f>
        <v/>
      </c>
      <c r="C300" s="1" t="str">
        <f>_xll.RssMarket("6965","出来高")</f>
        <v/>
      </c>
      <c r="D300" s="85" t="e">
        <f t="shared" si="4"/>
        <v>#VALUE!</v>
      </c>
      <c r="E300" s="1">
        <v>4718700</v>
      </c>
      <c r="F300" s="1">
        <v>2323000</v>
      </c>
      <c r="G300" s="1">
        <v>2887800</v>
      </c>
      <c r="H300" s="1">
        <v>3155200</v>
      </c>
      <c r="I300" s="1">
        <v>2852000</v>
      </c>
      <c r="J300" s="1">
        <v>2363600</v>
      </c>
      <c r="K300" s="1">
        <v>3426200</v>
      </c>
      <c r="L300" s="1">
        <v>4095200</v>
      </c>
      <c r="M300" s="1">
        <v>3877800</v>
      </c>
      <c r="N300" s="1">
        <v>3390000</v>
      </c>
      <c r="O300" s="1">
        <v>3037000</v>
      </c>
      <c r="P300" s="1">
        <v>2792800</v>
      </c>
      <c r="Q300" s="1">
        <v>2326800</v>
      </c>
      <c r="R300" s="1">
        <v>3595700</v>
      </c>
      <c r="S300" s="1">
        <v>3495000</v>
      </c>
      <c r="T300" s="1">
        <v>3076800</v>
      </c>
      <c r="U300" s="1">
        <v>3489100</v>
      </c>
      <c r="V300" s="1">
        <v>4261500</v>
      </c>
      <c r="W300" s="1">
        <v>3516600</v>
      </c>
      <c r="X300" s="1">
        <v>3891900</v>
      </c>
      <c r="Y300" s="1">
        <v>3875000</v>
      </c>
      <c r="Z300" s="1">
        <v>4570500</v>
      </c>
      <c r="AA300" s="1">
        <v>4325400</v>
      </c>
      <c r="AB300" s="1">
        <v>5982700</v>
      </c>
      <c r="AC300" s="1">
        <v>5388600</v>
      </c>
      <c r="AD300" s="1">
        <v>8846200</v>
      </c>
      <c r="AE300" s="1">
        <v>7028700</v>
      </c>
      <c r="AF300" s="1">
        <v>4571500</v>
      </c>
      <c r="AG300" s="1">
        <v>4202200</v>
      </c>
      <c r="AH300" s="1">
        <v>4671500</v>
      </c>
      <c r="AI300" s="1">
        <v>6016300</v>
      </c>
      <c r="AJ300" s="1">
        <v>7291600</v>
      </c>
      <c r="AK300" s="1">
        <v>5710400</v>
      </c>
      <c r="AL300" s="1">
        <v>8443200</v>
      </c>
      <c r="AM300" s="1">
        <v>6394400</v>
      </c>
      <c r="AN300" s="1">
        <v>6305900</v>
      </c>
      <c r="AO300" s="1">
        <v>5097200</v>
      </c>
      <c r="AP300" s="1">
        <v>5349500</v>
      </c>
      <c r="AQ300" s="1">
        <v>8911300</v>
      </c>
      <c r="AR300" s="1">
        <v>15774000</v>
      </c>
      <c r="AS300" s="1">
        <v>7842200</v>
      </c>
      <c r="AT300" s="1">
        <v>4349300</v>
      </c>
      <c r="AU300" s="1">
        <v>4178000</v>
      </c>
      <c r="AV300" s="1">
        <v>3855200</v>
      </c>
      <c r="AW300" s="1">
        <v>3925900</v>
      </c>
      <c r="AX300" s="1">
        <v>4758200</v>
      </c>
      <c r="AY300" s="1">
        <v>6268100</v>
      </c>
      <c r="AZ300" s="1">
        <v>1991100</v>
      </c>
      <c r="BA300" s="1">
        <v>2942400</v>
      </c>
      <c r="BB300" s="1">
        <v>5456200</v>
      </c>
      <c r="BC300" s="1">
        <v>5309500</v>
      </c>
      <c r="BD300" s="1">
        <v>1762100</v>
      </c>
      <c r="BE300" s="1">
        <v>2384500</v>
      </c>
      <c r="BF300" s="1">
        <v>1767900</v>
      </c>
      <c r="BG300" s="1">
        <v>1789000</v>
      </c>
      <c r="BH300" s="1">
        <v>2093700</v>
      </c>
      <c r="BI300" s="1">
        <v>2087400</v>
      </c>
      <c r="BJ300" s="1">
        <v>2878300</v>
      </c>
      <c r="BK300" s="1">
        <v>3100100</v>
      </c>
      <c r="BL300" s="1">
        <v>2515900</v>
      </c>
      <c r="BM300" s="1">
        <v>2687600</v>
      </c>
      <c r="BN300" s="1">
        <v>2423200</v>
      </c>
      <c r="BO300" s="1">
        <v>2620700</v>
      </c>
      <c r="BP300" s="1">
        <v>3251000</v>
      </c>
    </row>
    <row r="301" spans="1:68">
      <c r="A301" s="397" t="s">
        <v>514</v>
      </c>
      <c r="B301" s="1" t="str">
        <f>銘柄管理!C301</f>
        <v/>
      </c>
      <c r="C301" s="1" t="str">
        <f>_xll.RssMarket("6331","出来高")</f>
        <v/>
      </c>
      <c r="D301" s="85" t="e">
        <f t="shared" si="4"/>
        <v>#VALUE!</v>
      </c>
      <c r="E301" s="1">
        <v>313500</v>
      </c>
      <c r="F301" s="1">
        <v>101500</v>
      </c>
      <c r="G301" s="1">
        <v>177900</v>
      </c>
      <c r="H301" s="1">
        <v>210300</v>
      </c>
      <c r="I301" s="1">
        <v>135200</v>
      </c>
      <c r="J301" s="1">
        <v>184800</v>
      </c>
      <c r="K301" s="1">
        <v>243400</v>
      </c>
      <c r="L301" s="1">
        <v>282800</v>
      </c>
      <c r="M301" s="1">
        <v>208300</v>
      </c>
      <c r="N301" s="1">
        <v>133600</v>
      </c>
      <c r="O301" s="1">
        <v>161500</v>
      </c>
      <c r="P301" s="1">
        <v>138500</v>
      </c>
      <c r="Q301" s="1">
        <v>137300</v>
      </c>
      <c r="R301" s="1">
        <v>175800</v>
      </c>
      <c r="S301" s="1">
        <v>188200</v>
      </c>
      <c r="T301" s="1">
        <v>118000</v>
      </c>
      <c r="U301" s="1">
        <v>164600</v>
      </c>
      <c r="V301" s="1">
        <v>166500</v>
      </c>
      <c r="W301" s="1">
        <v>163600</v>
      </c>
      <c r="X301" s="1">
        <v>110400</v>
      </c>
      <c r="Y301" s="1">
        <v>154000</v>
      </c>
      <c r="Z301" s="1">
        <v>266000</v>
      </c>
      <c r="AA301" s="1">
        <v>187500</v>
      </c>
      <c r="AB301" s="1">
        <v>180800</v>
      </c>
      <c r="AC301" s="1">
        <v>189100</v>
      </c>
      <c r="AD301" s="1">
        <v>304700</v>
      </c>
      <c r="AE301" s="1">
        <v>189900</v>
      </c>
      <c r="AF301" s="1">
        <v>329800</v>
      </c>
      <c r="AG301" s="1">
        <v>470800</v>
      </c>
      <c r="AH301" s="1">
        <v>498700</v>
      </c>
      <c r="AI301" s="1">
        <v>252100</v>
      </c>
      <c r="AJ301" s="1">
        <v>152200</v>
      </c>
      <c r="AK301" s="1">
        <v>282400</v>
      </c>
      <c r="AL301" s="1">
        <v>259000</v>
      </c>
      <c r="AM301" s="1">
        <v>198000</v>
      </c>
      <c r="AN301" s="1">
        <v>219000</v>
      </c>
      <c r="AO301" s="1">
        <v>273600</v>
      </c>
      <c r="AP301" s="1">
        <v>357500</v>
      </c>
      <c r="AQ301" s="1">
        <v>426100</v>
      </c>
      <c r="AR301" s="1">
        <v>945300</v>
      </c>
      <c r="AS301" s="1">
        <v>816000</v>
      </c>
      <c r="AT301" s="1">
        <v>219700</v>
      </c>
      <c r="AU301" s="1">
        <v>187100</v>
      </c>
      <c r="AV301" s="1">
        <v>239700</v>
      </c>
      <c r="AW301" s="1">
        <v>121700</v>
      </c>
      <c r="AX301" s="1">
        <v>178800</v>
      </c>
      <c r="AY301" s="1">
        <v>197000</v>
      </c>
      <c r="AZ301" s="1">
        <v>280000</v>
      </c>
      <c r="BA301" s="1">
        <v>222700</v>
      </c>
      <c r="BB301" s="1">
        <v>205200</v>
      </c>
      <c r="BC301" s="1">
        <v>315400</v>
      </c>
      <c r="BD301" s="1">
        <v>261300</v>
      </c>
      <c r="BE301" s="1">
        <v>346100</v>
      </c>
      <c r="BF301" s="1">
        <v>205000</v>
      </c>
      <c r="BG301" s="1">
        <v>134600</v>
      </c>
      <c r="BH301" s="1">
        <v>122100</v>
      </c>
      <c r="BI301" s="1">
        <v>146900</v>
      </c>
      <c r="BJ301" s="1">
        <v>190200</v>
      </c>
      <c r="BK301" s="1">
        <v>241600</v>
      </c>
      <c r="BL301" s="1">
        <v>206300</v>
      </c>
      <c r="BM301" s="1">
        <v>243500</v>
      </c>
      <c r="BN301" s="1">
        <v>230800</v>
      </c>
      <c r="BO301" s="1">
        <v>205100</v>
      </c>
      <c r="BP301" s="1">
        <v>253200</v>
      </c>
    </row>
    <row r="302" spans="1:68">
      <c r="A302" s="397" t="s">
        <v>515</v>
      </c>
      <c r="B302" s="1" t="str">
        <f>銘柄管理!C302</f>
        <v/>
      </c>
      <c r="C302" s="1" t="str">
        <f>_xll.RssMarket("7741","出来高")</f>
        <v/>
      </c>
      <c r="D302" s="85" t="e">
        <f t="shared" si="4"/>
        <v>#VALUE!</v>
      </c>
      <c r="E302" s="1">
        <v>1065900</v>
      </c>
      <c r="F302" s="1">
        <v>813700</v>
      </c>
      <c r="G302" s="1">
        <v>936200</v>
      </c>
      <c r="H302" s="1">
        <v>772000</v>
      </c>
      <c r="I302" s="1">
        <v>992600</v>
      </c>
      <c r="J302" s="1">
        <v>1841900</v>
      </c>
      <c r="K302" s="1">
        <v>1700600</v>
      </c>
      <c r="L302" s="1">
        <v>1301800</v>
      </c>
      <c r="M302" s="1">
        <v>784100</v>
      </c>
      <c r="N302" s="1">
        <v>991500</v>
      </c>
      <c r="O302" s="1">
        <v>1068900</v>
      </c>
      <c r="P302" s="1">
        <v>1073900</v>
      </c>
      <c r="Q302" s="1">
        <v>1221100</v>
      </c>
      <c r="R302" s="1">
        <v>1387700</v>
      </c>
      <c r="S302" s="1">
        <v>1331600</v>
      </c>
      <c r="T302" s="1">
        <v>1037600</v>
      </c>
      <c r="U302" s="1">
        <v>1042700</v>
      </c>
      <c r="V302" s="1">
        <v>919300</v>
      </c>
      <c r="W302" s="1">
        <v>718700</v>
      </c>
      <c r="X302" s="1">
        <v>1231700</v>
      </c>
      <c r="Y302" s="1">
        <v>1113200</v>
      </c>
      <c r="Z302" s="1">
        <v>833200</v>
      </c>
      <c r="AA302" s="1">
        <v>964700</v>
      </c>
      <c r="AB302" s="1">
        <v>1790900</v>
      </c>
      <c r="AC302" s="1">
        <v>936500</v>
      </c>
      <c r="AD302" s="1">
        <v>894600</v>
      </c>
      <c r="AE302" s="1">
        <v>936500</v>
      </c>
      <c r="AF302" s="1">
        <v>714800</v>
      </c>
      <c r="AG302" s="1">
        <v>1078800</v>
      </c>
      <c r="AH302" s="1">
        <v>1092900</v>
      </c>
      <c r="AI302" s="1">
        <v>894500</v>
      </c>
      <c r="AJ302" s="1">
        <v>1751300</v>
      </c>
      <c r="AK302" s="1">
        <v>930100</v>
      </c>
      <c r="AL302" s="1">
        <v>1399000</v>
      </c>
      <c r="AM302" s="1">
        <v>956600</v>
      </c>
      <c r="AN302" s="1">
        <v>1071500</v>
      </c>
      <c r="AO302" s="1">
        <v>744300</v>
      </c>
      <c r="AP302" s="1">
        <v>976100</v>
      </c>
      <c r="AQ302" s="1">
        <v>1029300</v>
      </c>
      <c r="AR302" s="1">
        <v>677600</v>
      </c>
      <c r="AS302" s="1">
        <v>1111800</v>
      </c>
      <c r="AT302" s="1">
        <v>934500</v>
      </c>
      <c r="AU302" s="1">
        <v>814400</v>
      </c>
      <c r="AV302" s="1">
        <v>1110000</v>
      </c>
      <c r="AW302" s="1">
        <v>1231300</v>
      </c>
      <c r="AX302" s="1">
        <v>1207200</v>
      </c>
      <c r="AY302" s="1">
        <v>2802900</v>
      </c>
      <c r="AZ302" s="1">
        <v>1140500</v>
      </c>
      <c r="BA302" s="1">
        <v>3573900</v>
      </c>
      <c r="BB302" s="1">
        <v>952900</v>
      </c>
      <c r="BC302" s="1">
        <v>950500</v>
      </c>
      <c r="BD302" s="1">
        <v>772600</v>
      </c>
      <c r="BE302" s="1">
        <v>899100</v>
      </c>
      <c r="BF302" s="1">
        <v>914500</v>
      </c>
      <c r="BG302" s="1">
        <v>1089700</v>
      </c>
      <c r="BH302" s="1">
        <v>897300</v>
      </c>
      <c r="BI302" s="1">
        <v>1161300</v>
      </c>
      <c r="BJ302" s="1">
        <v>1130400</v>
      </c>
      <c r="BK302" s="1">
        <v>1094200</v>
      </c>
      <c r="BL302" s="1">
        <v>733200</v>
      </c>
      <c r="BM302" s="1">
        <v>793200</v>
      </c>
      <c r="BN302" s="1">
        <v>1167400</v>
      </c>
      <c r="BO302" s="1">
        <v>1076500</v>
      </c>
      <c r="BP302" s="1">
        <v>1226500</v>
      </c>
    </row>
    <row r="303" spans="1:68">
      <c r="A303" s="397" t="s">
        <v>882</v>
      </c>
      <c r="B303" s="1" t="str">
        <f>銘柄管理!C303</f>
        <v/>
      </c>
      <c r="C303" s="1" t="str">
        <f>_xll.RssMarket("1321","出来高")</f>
        <v/>
      </c>
      <c r="D303" s="85" t="e">
        <f t="shared" si="4"/>
        <v>#VALUE!</v>
      </c>
      <c r="E303" s="1">
        <v>833236</v>
      </c>
      <c r="F303" s="1">
        <v>247387</v>
      </c>
      <c r="G303" s="1">
        <v>304920</v>
      </c>
      <c r="H303" s="1">
        <v>375693</v>
      </c>
      <c r="I303" s="1">
        <v>359471</v>
      </c>
      <c r="J303" s="1">
        <v>397136</v>
      </c>
      <c r="K303" s="1">
        <v>361390</v>
      </c>
      <c r="L303" s="1">
        <v>496428</v>
      </c>
      <c r="M303" s="1">
        <v>311251</v>
      </c>
      <c r="N303" s="1">
        <v>384612</v>
      </c>
      <c r="O303" s="1">
        <v>472770</v>
      </c>
      <c r="P303" s="1">
        <v>306600</v>
      </c>
      <c r="Q303" s="1">
        <v>419420</v>
      </c>
      <c r="R303" s="1">
        <v>371068</v>
      </c>
      <c r="S303" s="1">
        <v>642689</v>
      </c>
      <c r="T303" s="1">
        <v>535006</v>
      </c>
      <c r="U303" s="1">
        <v>713336</v>
      </c>
      <c r="V303" s="1">
        <v>608062</v>
      </c>
      <c r="W303" s="1">
        <v>340824</v>
      </c>
      <c r="X303" s="1">
        <v>449694</v>
      </c>
      <c r="Y303" s="1">
        <v>488172</v>
      </c>
      <c r="Z303" s="1">
        <v>342064</v>
      </c>
      <c r="AA303" s="1">
        <v>436528</v>
      </c>
      <c r="AB303" s="1">
        <v>747852</v>
      </c>
      <c r="AC303" s="1">
        <v>563517</v>
      </c>
      <c r="AD303" s="1">
        <v>709015</v>
      </c>
      <c r="AE303" s="1">
        <v>637032</v>
      </c>
      <c r="AF303" s="1">
        <v>783978</v>
      </c>
      <c r="AG303" s="1">
        <v>377415</v>
      </c>
      <c r="AH303" s="1">
        <v>323314</v>
      </c>
      <c r="AI303" s="1">
        <v>598336</v>
      </c>
      <c r="AJ303" s="1">
        <v>417601</v>
      </c>
      <c r="AK303" s="1">
        <v>303836</v>
      </c>
      <c r="AL303" s="1">
        <v>387287</v>
      </c>
      <c r="AM303" s="1">
        <v>355358</v>
      </c>
      <c r="AN303" s="1">
        <v>679448</v>
      </c>
      <c r="AO303" s="1">
        <v>433565</v>
      </c>
      <c r="AP303" s="1">
        <v>407574</v>
      </c>
      <c r="AQ303" s="1">
        <v>488890</v>
      </c>
      <c r="AR303" s="1">
        <v>313297</v>
      </c>
      <c r="AS303" s="1">
        <v>423660</v>
      </c>
      <c r="AT303" s="1">
        <v>714753</v>
      </c>
      <c r="AU303" s="1">
        <v>278547</v>
      </c>
      <c r="AV303" s="1">
        <v>201654</v>
      </c>
      <c r="AW303" s="1">
        <v>256886</v>
      </c>
      <c r="AX303" s="1">
        <v>208275</v>
      </c>
      <c r="AY303" s="1">
        <v>279514</v>
      </c>
      <c r="AZ303" s="1">
        <v>551506</v>
      </c>
      <c r="BA303" s="1">
        <v>164405</v>
      </c>
      <c r="BB303" s="1">
        <v>421289</v>
      </c>
      <c r="BC303" s="1">
        <v>286475</v>
      </c>
      <c r="BD303" s="1">
        <v>523967</v>
      </c>
      <c r="BE303" s="1">
        <v>234459</v>
      </c>
      <c r="BF303" s="1">
        <v>591905</v>
      </c>
      <c r="BG303" s="1">
        <v>283209</v>
      </c>
      <c r="BH303" s="1">
        <v>230340</v>
      </c>
      <c r="BI303" s="1">
        <v>253158</v>
      </c>
      <c r="BJ303" s="1">
        <v>272088</v>
      </c>
      <c r="BK303" s="1">
        <v>494500</v>
      </c>
      <c r="BL303" s="1">
        <v>284953</v>
      </c>
      <c r="BM303" s="1">
        <v>394311</v>
      </c>
      <c r="BN303" s="1">
        <v>301493</v>
      </c>
      <c r="BO303" s="1">
        <v>487962</v>
      </c>
      <c r="BP303" s="1">
        <v>457246</v>
      </c>
    </row>
    <row r="304" spans="1:68">
      <c r="A304" s="397" t="s">
        <v>884</v>
      </c>
      <c r="B304" s="1" t="str">
        <f>銘柄管理!C304</f>
        <v/>
      </c>
      <c r="C304" s="1" t="str">
        <f>_xll.RssMarket("1944","出来高")</f>
        <v/>
      </c>
      <c r="D304" s="85" t="e">
        <f t="shared" si="4"/>
        <v>#VALUE!</v>
      </c>
      <c r="E304" s="1">
        <v>750600</v>
      </c>
      <c r="F304" s="1">
        <v>420700</v>
      </c>
      <c r="G304" s="1">
        <v>460700</v>
      </c>
      <c r="H304" s="1">
        <v>526300</v>
      </c>
      <c r="I304" s="1">
        <v>462200</v>
      </c>
      <c r="J304" s="1">
        <v>445500</v>
      </c>
      <c r="K304" s="1">
        <v>809300</v>
      </c>
      <c r="L304" s="1">
        <v>624200</v>
      </c>
      <c r="M304" s="1">
        <v>570300</v>
      </c>
      <c r="N304" s="1">
        <v>612500</v>
      </c>
      <c r="O304" s="1">
        <v>558600</v>
      </c>
      <c r="P304" s="1">
        <v>409100</v>
      </c>
      <c r="Q304" s="1">
        <v>467000</v>
      </c>
      <c r="R304" s="1">
        <v>487500</v>
      </c>
      <c r="S304" s="1">
        <v>722300</v>
      </c>
      <c r="T304" s="1">
        <v>873000</v>
      </c>
      <c r="U304" s="1">
        <v>837100</v>
      </c>
      <c r="V304" s="1">
        <v>1026000</v>
      </c>
      <c r="W304" s="1">
        <v>924600</v>
      </c>
      <c r="X304" s="1">
        <v>2174500</v>
      </c>
      <c r="Y304" s="1">
        <v>1013300</v>
      </c>
      <c r="Z304" s="1">
        <v>1222400</v>
      </c>
      <c r="AA304" s="1">
        <v>799100</v>
      </c>
      <c r="AB304" s="1">
        <v>842500</v>
      </c>
      <c r="AC304" s="1">
        <v>566200</v>
      </c>
      <c r="AD304" s="1">
        <v>688000</v>
      </c>
      <c r="AE304" s="1">
        <v>839500</v>
      </c>
      <c r="AF304" s="1">
        <v>994600</v>
      </c>
      <c r="AG304" s="1">
        <v>860000</v>
      </c>
      <c r="AH304" s="1">
        <v>771200</v>
      </c>
      <c r="AI304" s="1">
        <v>1067000</v>
      </c>
      <c r="AJ304" s="1">
        <v>709800</v>
      </c>
      <c r="AK304" s="1">
        <v>1122700</v>
      </c>
      <c r="AL304" s="1">
        <v>837100</v>
      </c>
      <c r="AM304" s="1">
        <v>528200</v>
      </c>
      <c r="AN304" s="1">
        <v>780200</v>
      </c>
      <c r="AO304" s="1">
        <v>704100</v>
      </c>
      <c r="AP304" s="1">
        <v>638800</v>
      </c>
      <c r="AQ304" s="1">
        <v>1007200</v>
      </c>
      <c r="AR304" s="1">
        <v>806000</v>
      </c>
      <c r="AS304" s="1">
        <v>910100</v>
      </c>
      <c r="AT304" s="1">
        <v>761700</v>
      </c>
      <c r="AU304" s="1">
        <v>664500</v>
      </c>
      <c r="AV304" s="1">
        <v>818700</v>
      </c>
      <c r="AW304" s="1">
        <v>705800</v>
      </c>
      <c r="AX304" s="1">
        <v>702000</v>
      </c>
      <c r="AY304" s="1">
        <v>880100</v>
      </c>
      <c r="AZ304" s="1">
        <v>1596700</v>
      </c>
      <c r="BA304" s="1">
        <v>1274000</v>
      </c>
      <c r="BB304" s="1">
        <v>3084200</v>
      </c>
      <c r="BC304" s="1">
        <v>279100</v>
      </c>
      <c r="BD304" s="1">
        <v>1689400</v>
      </c>
      <c r="BE304" s="1">
        <v>548900</v>
      </c>
      <c r="BF304" s="1">
        <v>722400</v>
      </c>
      <c r="BG304" s="1">
        <v>479700</v>
      </c>
      <c r="BH304" s="1">
        <v>471300</v>
      </c>
      <c r="BI304" s="1">
        <v>300300</v>
      </c>
      <c r="BJ304" s="1">
        <v>660000</v>
      </c>
      <c r="BK304" s="1">
        <v>755800</v>
      </c>
      <c r="BL304" s="1">
        <v>1116300</v>
      </c>
      <c r="BM304" s="1">
        <v>418400</v>
      </c>
      <c r="BN304" s="1">
        <v>354200</v>
      </c>
      <c r="BO304" s="1">
        <v>349900</v>
      </c>
      <c r="BP304" s="1">
        <v>363400</v>
      </c>
    </row>
    <row r="305" spans="1:65">
      <c r="A305" s="397" t="s">
        <v>1144</v>
      </c>
      <c r="B305" s="1" t="str">
        <f>銘柄管理!C305</f>
        <v/>
      </c>
      <c r="C305" s="1" t="str">
        <f>_xll.RssMarket("7532","出来高")</f>
        <v/>
      </c>
      <c r="D305" s="85" t="e">
        <f t="shared" ref="D305:D366" si="5">C305-E305</f>
        <v>#VALUE!</v>
      </c>
      <c r="E305" s="1">
        <v>13238300</v>
      </c>
      <c r="F305" s="1">
        <v>8447400</v>
      </c>
      <c r="G305" s="1">
        <v>7420500</v>
      </c>
      <c r="H305" s="1">
        <v>7961100</v>
      </c>
      <c r="I305" s="1">
        <v>9319000</v>
      </c>
      <c r="J305" s="1">
        <v>10620300</v>
      </c>
      <c r="K305" s="1">
        <v>14734400</v>
      </c>
      <c r="L305" s="1">
        <v>13886200</v>
      </c>
      <c r="M305" s="1">
        <v>8826900</v>
      </c>
      <c r="N305" s="1">
        <v>8524900</v>
      </c>
      <c r="O305" s="1">
        <v>8356400</v>
      </c>
      <c r="P305" s="1">
        <v>10371000</v>
      </c>
      <c r="Q305" s="1">
        <v>12157200</v>
      </c>
      <c r="R305" s="1">
        <v>11480100</v>
      </c>
      <c r="S305" s="1">
        <v>11977400</v>
      </c>
      <c r="T305" s="1">
        <v>10826200</v>
      </c>
      <c r="U305" s="1">
        <v>10505100</v>
      </c>
      <c r="V305" s="1">
        <v>10696300</v>
      </c>
      <c r="W305" s="1">
        <v>8875500</v>
      </c>
      <c r="X305" s="1">
        <v>13115400</v>
      </c>
      <c r="Y305" s="1">
        <v>7911200</v>
      </c>
      <c r="Z305" s="1">
        <v>7820900</v>
      </c>
      <c r="AA305" s="1">
        <v>10168000</v>
      </c>
      <c r="AB305" s="1">
        <v>10026400</v>
      </c>
      <c r="AC305" s="1">
        <v>11446700</v>
      </c>
      <c r="AD305" s="1">
        <v>13632800</v>
      </c>
      <c r="AE305" s="1">
        <v>8280200</v>
      </c>
      <c r="AF305" s="1">
        <v>10968100</v>
      </c>
      <c r="AG305" s="1">
        <v>6266300</v>
      </c>
      <c r="AH305" s="1">
        <v>9390800</v>
      </c>
      <c r="AI305" s="1">
        <v>9425900</v>
      </c>
      <c r="AJ305" s="1">
        <v>9167400</v>
      </c>
      <c r="AK305" s="1">
        <v>24956100</v>
      </c>
      <c r="AL305" s="1">
        <v>16167200</v>
      </c>
      <c r="AM305" s="1">
        <v>13791600</v>
      </c>
      <c r="AN305" s="1">
        <v>13279300</v>
      </c>
      <c r="AO305" s="1">
        <v>9405200</v>
      </c>
      <c r="AP305" s="1">
        <v>10250600</v>
      </c>
      <c r="AQ305" s="1">
        <v>9807500</v>
      </c>
      <c r="AR305" s="1">
        <v>8372100</v>
      </c>
      <c r="AS305" s="1">
        <v>9284700</v>
      </c>
      <c r="AT305" s="1">
        <v>9131900</v>
      </c>
      <c r="AU305" s="1">
        <v>15717300</v>
      </c>
      <c r="AV305" s="1">
        <v>11563500</v>
      </c>
      <c r="AW305" s="1">
        <v>6062600</v>
      </c>
      <c r="AX305" s="1">
        <v>8683900</v>
      </c>
      <c r="AY305" s="1">
        <v>8199800</v>
      </c>
      <c r="AZ305" s="1">
        <v>12605500</v>
      </c>
      <c r="BA305" s="1">
        <v>6483500</v>
      </c>
      <c r="BB305" s="1">
        <v>11175700</v>
      </c>
      <c r="BC305" s="1">
        <v>11586100</v>
      </c>
      <c r="BD305" s="1">
        <v>6641100</v>
      </c>
      <c r="BE305" s="1">
        <v>5115300</v>
      </c>
      <c r="BF305" s="1">
        <v>8867300</v>
      </c>
      <c r="BG305" s="1">
        <v>6811900</v>
      </c>
      <c r="BH305" s="1">
        <v>4821700</v>
      </c>
      <c r="BI305" s="1">
        <v>5711800</v>
      </c>
      <c r="BJ305" s="1">
        <v>6870200</v>
      </c>
      <c r="BK305" s="1">
        <v>6233100</v>
      </c>
      <c r="BL305" s="1">
        <v>8479500</v>
      </c>
      <c r="BM305" s="1">
        <v>7832900</v>
      </c>
    </row>
    <row r="306" spans="1:65">
      <c r="A306" s="399"/>
      <c r="D306" s="85">
        <f t="shared" si="5"/>
        <v>0</v>
      </c>
    </row>
    <row r="307" spans="1:65">
      <c r="A307" s="399"/>
      <c r="D307" s="85">
        <f t="shared" si="5"/>
        <v>0</v>
      </c>
    </row>
    <row r="308" spans="1:65">
      <c r="A308" s="399"/>
      <c r="D308" s="85">
        <f t="shared" si="5"/>
        <v>0</v>
      </c>
    </row>
    <row r="309" spans="1:65">
      <c r="A309" s="399"/>
      <c r="D309" s="85">
        <f t="shared" si="5"/>
        <v>0</v>
      </c>
    </row>
    <row r="310" spans="1:65">
      <c r="A310" s="399"/>
      <c r="D310" s="85">
        <f t="shared" si="5"/>
        <v>0</v>
      </c>
    </row>
    <row r="311" spans="1:65">
      <c r="A311" s="399"/>
      <c r="D311" s="85">
        <f t="shared" si="5"/>
        <v>0</v>
      </c>
    </row>
    <row r="312" spans="1:65">
      <c r="A312" s="399"/>
      <c r="D312" s="85">
        <f t="shared" si="5"/>
        <v>0</v>
      </c>
    </row>
    <row r="313" spans="1:65">
      <c r="A313" s="399"/>
      <c r="D313" s="85">
        <f t="shared" si="5"/>
        <v>0</v>
      </c>
    </row>
    <row r="314" spans="1:65">
      <c r="A314" s="399"/>
      <c r="D314" s="85">
        <f t="shared" si="5"/>
        <v>0</v>
      </c>
    </row>
    <row r="315" spans="1:65">
      <c r="A315" s="399"/>
      <c r="D315" s="85">
        <f t="shared" si="5"/>
        <v>0</v>
      </c>
    </row>
    <row r="316" spans="1:65">
      <c r="A316" s="399"/>
      <c r="D316" s="85">
        <f t="shared" si="5"/>
        <v>0</v>
      </c>
    </row>
    <row r="317" spans="1:65">
      <c r="A317" s="399"/>
      <c r="D317" s="85">
        <f t="shared" si="5"/>
        <v>0</v>
      </c>
    </row>
    <row r="318" spans="1:65">
      <c r="A318" s="399"/>
      <c r="D318" s="85">
        <f t="shared" si="5"/>
        <v>0</v>
      </c>
    </row>
    <row r="319" spans="1:65">
      <c r="A319" s="399"/>
      <c r="D319" s="85">
        <f t="shared" si="5"/>
        <v>0</v>
      </c>
    </row>
    <row r="320" spans="1:65">
      <c r="A320" s="399"/>
      <c r="D320" s="85">
        <f t="shared" si="5"/>
        <v>0</v>
      </c>
    </row>
    <row r="321" spans="1:4">
      <c r="A321" s="399"/>
      <c r="D321" s="85">
        <f t="shared" si="5"/>
        <v>0</v>
      </c>
    </row>
    <row r="322" spans="1:4">
      <c r="A322" s="399"/>
      <c r="D322" s="85">
        <f t="shared" si="5"/>
        <v>0</v>
      </c>
    </row>
    <row r="323" spans="1:4">
      <c r="A323" s="399"/>
      <c r="D323" s="85">
        <f t="shared" si="5"/>
        <v>0</v>
      </c>
    </row>
    <row r="324" spans="1:4">
      <c r="A324" s="399"/>
      <c r="D324" s="85">
        <f t="shared" si="5"/>
        <v>0</v>
      </c>
    </row>
    <row r="325" spans="1:4">
      <c r="A325" s="399"/>
      <c r="D325" s="85">
        <f t="shared" si="5"/>
        <v>0</v>
      </c>
    </row>
    <row r="326" spans="1:4">
      <c r="A326" s="399"/>
      <c r="D326" s="85">
        <f t="shared" si="5"/>
        <v>0</v>
      </c>
    </row>
    <row r="327" spans="1:4">
      <c r="A327" s="399"/>
      <c r="D327" s="85">
        <f t="shared" si="5"/>
        <v>0</v>
      </c>
    </row>
    <row r="328" spans="1:4">
      <c r="A328" s="399"/>
      <c r="D328" s="85">
        <f t="shared" si="5"/>
        <v>0</v>
      </c>
    </row>
    <row r="329" spans="1:4">
      <c r="A329" s="399"/>
      <c r="D329" s="85">
        <f t="shared" si="5"/>
        <v>0</v>
      </c>
    </row>
    <row r="330" spans="1:4">
      <c r="A330" s="399"/>
      <c r="D330" s="85">
        <f t="shared" si="5"/>
        <v>0</v>
      </c>
    </row>
    <row r="331" spans="1:4">
      <c r="A331" s="399"/>
      <c r="D331" s="85">
        <f t="shared" si="5"/>
        <v>0</v>
      </c>
    </row>
    <row r="332" spans="1:4">
      <c r="A332" s="399"/>
      <c r="D332" s="85">
        <f t="shared" si="5"/>
        <v>0</v>
      </c>
    </row>
    <row r="333" spans="1:4">
      <c r="A333" s="399"/>
      <c r="D333" s="85">
        <f t="shared" si="5"/>
        <v>0</v>
      </c>
    </row>
    <row r="334" spans="1:4">
      <c r="A334" s="399"/>
      <c r="D334" s="85">
        <f t="shared" si="5"/>
        <v>0</v>
      </c>
    </row>
    <row r="335" spans="1:4">
      <c r="A335" s="399"/>
      <c r="D335" s="85">
        <f t="shared" si="5"/>
        <v>0</v>
      </c>
    </row>
    <row r="336" spans="1:4">
      <c r="A336" s="399"/>
      <c r="D336" s="85">
        <f t="shared" si="5"/>
        <v>0</v>
      </c>
    </row>
    <row r="337" spans="1:4">
      <c r="A337" s="399"/>
      <c r="D337" s="85">
        <f t="shared" si="5"/>
        <v>0</v>
      </c>
    </row>
    <row r="338" spans="1:4">
      <c r="A338" s="399"/>
      <c r="D338" s="85">
        <f t="shared" si="5"/>
        <v>0</v>
      </c>
    </row>
    <row r="339" spans="1:4">
      <c r="A339" s="399"/>
      <c r="D339" s="85">
        <f t="shared" si="5"/>
        <v>0</v>
      </c>
    </row>
    <row r="340" spans="1:4">
      <c r="A340" s="399"/>
      <c r="D340" s="85">
        <f t="shared" si="5"/>
        <v>0</v>
      </c>
    </row>
    <row r="341" spans="1:4">
      <c r="A341" s="399"/>
      <c r="D341" s="85">
        <f t="shared" si="5"/>
        <v>0</v>
      </c>
    </row>
    <row r="342" spans="1:4">
      <c r="A342" s="399"/>
      <c r="D342" s="85">
        <f t="shared" si="5"/>
        <v>0</v>
      </c>
    </row>
    <row r="343" spans="1:4">
      <c r="A343" s="399"/>
      <c r="D343" s="85">
        <f t="shared" si="5"/>
        <v>0</v>
      </c>
    </row>
    <row r="344" spans="1:4">
      <c r="A344" s="399"/>
      <c r="D344" s="85">
        <f t="shared" si="5"/>
        <v>0</v>
      </c>
    </row>
    <row r="345" spans="1:4">
      <c r="A345" s="399"/>
      <c r="D345" s="85">
        <f t="shared" si="5"/>
        <v>0</v>
      </c>
    </row>
    <row r="346" spans="1:4">
      <c r="A346" s="399"/>
      <c r="D346" s="85">
        <f t="shared" si="5"/>
        <v>0</v>
      </c>
    </row>
    <row r="347" spans="1:4">
      <c r="A347" s="399"/>
      <c r="D347" s="85">
        <f t="shared" si="5"/>
        <v>0</v>
      </c>
    </row>
    <row r="348" spans="1:4">
      <c r="A348" s="399"/>
      <c r="D348" s="85">
        <f t="shared" si="5"/>
        <v>0</v>
      </c>
    </row>
    <row r="349" spans="1:4">
      <c r="A349" s="399"/>
      <c r="D349" s="85">
        <f t="shared" si="5"/>
        <v>0</v>
      </c>
    </row>
    <row r="350" spans="1:4">
      <c r="A350" s="399"/>
      <c r="D350" s="85">
        <f t="shared" si="5"/>
        <v>0</v>
      </c>
    </row>
    <row r="351" spans="1:4">
      <c r="A351" s="399"/>
      <c r="D351" s="85">
        <f t="shared" si="5"/>
        <v>0</v>
      </c>
    </row>
    <row r="352" spans="1:4">
      <c r="A352" s="399"/>
      <c r="D352" s="85">
        <f t="shared" si="5"/>
        <v>0</v>
      </c>
    </row>
    <row r="353" spans="1:4">
      <c r="A353" s="399"/>
      <c r="D353" s="85">
        <f t="shared" si="5"/>
        <v>0</v>
      </c>
    </row>
    <row r="354" spans="1:4">
      <c r="A354" s="399"/>
      <c r="D354" s="85">
        <f t="shared" si="5"/>
        <v>0</v>
      </c>
    </row>
    <row r="355" spans="1:4">
      <c r="A355" s="399"/>
      <c r="D355" s="85">
        <f t="shared" si="5"/>
        <v>0</v>
      </c>
    </row>
    <row r="356" spans="1:4">
      <c r="A356" s="399"/>
      <c r="D356" s="85">
        <f t="shared" si="5"/>
        <v>0</v>
      </c>
    </row>
    <row r="357" spans="1:4">
      <c r="A357" s="399"/>
      <c r="D357" s="85">
        <f t="shared" si="5"/>
        <v>0</v>
      </c>
    </row>
    <row r="358" spans="1:4">
      <c r="A358" s="399"/>
      <c r="D358" s="85">
        <f t="shared" si="5"/>
        <v>0</v>
      </c>
    </row>
    <row r="359" spans="1:4">
      <c r="A359" s="399"/>
      <c r="D359" s="85">
        <f t="shared" si="5"/>
        <v>0</v>
      </c>
    </row>
    <row r="360" spans="1:4">
      <c r="A360" s="399"/>
      <c r="D360" s="85">
        <f t="shared" si="5"/>
        <v>0</v>
      </c>
    </row>
    <row r="361" spans="1:4">
      <c r="A361" s="399"/>
      <c r="D361" s="85">
        <f t="shared" si="5"/>
        <v>0</v>
      </c>
    </row>
    <row r="362" spans="1:4">
      <c r="A362" s="399"/>
      <c r="D362" s="85">
        <f t="shared" si="5"/>
        <v>0</v>
      </c>
    </row>
    <row r="363" spans="1:4">
      <c r="A363" s="399"/>
      <c r="D363" s="85">
        <f t="shared" si="5"/>
        <v>0</v>
      </c>
    </row>
    <row r="364" spans="1:4">
      <c r="A364" s="399"/>
      <c r="D364" s="85">
        <f t="shared" si="5"/>
        <v>0</v>
      </c>
    </row>
    <row r="365" spans="1:4">
      <c r="A365" s="399"/>
      <c r="D365" s="85">
        <f t="shared" si="5"/>
        <v>0</v>
      </c>
    </row>
    <row r="366" spans="1:4">
      <c r="A366" s="399"/>
      <c r="D366" s="85">
        <f t="shared" si="5"/>
        <v>0</v>
      </c>
    </row>
    <row r="367" spans="1:4">
      <c r="A367" s="399"/>
      <c r="D367" s="85">
        <f t="shared" ref="D367:D430" si="6">C367-E367</f>
        <v>0</v>
      </c>
    </row>
    <row r="368" spans="1:4">
      <c r="A368" s="399"/>
      <c r="D368" s="85">
        <f t="shared" si="6"/>
        <v>0</v>
      </c>
    </row>
    <row r="369" spans="1:4">
      <c r="A369" s="399"/>
      <c r="D369" s="85">
        <f t="shared" si="6"/>
        <v>0</v>
      </c>
    </row>
    <row r="370" spans="1:4">
      <c r="A370" s="399"/>
      <c r="D370" s="85">
        <f t="shared" si="6"/>
        <v>0</v>
      </c>
    </row>
    <row r="371" spans="1:4">
      <c r="A371" s="399"/>
      <c r="D371" s="85">
        <f t="shared" si="6"/>
        <v>0</v>
      </c>
    </row>
    <row r="372" spans="1:4">
      <c r="A372" s="399"/>
      <c r="D372" s="85">
        <f t="shared" si="6"/>
        <v>0</v>
      </c>
    </row>
    <row r="373" spans="1:4">
      <c r="A373" s="399"/>
      <c r="D373" s="85">
        <f t="shared" si="6"/>
        <v>0</v>
      </c>
    </row>
    <row r="374" spans="1:4">
      <c r="A374" s="399"/>
      <c r="D374" s="85">
        <f t="shared" si="6"/>
        <v>0</v>
      </c>
    </row>
    <row r="375" spans="1:4">
      <c r="A375" s="399"/>
      <c r="D375" s="85">
        <f t="shared" si="6"/>
        <v>0</v>
      </c>
    </row>
    <row r="376" spans="1:4">
      <c r="A376" s="399"/>
      <c r="D376" s="85">
        <f t="shared" si="6"/>
        <v>0</v>
      </c>
    </row>
    <row r="377" spans="1:4">
      <c r="A377" s="399"/>
      <c r="D377" s="85">
        <f t="shared" si="6"/>
        <v>0</v>
      </c>
    </row>
    <row r="378" spans="1:4">
      <c r="A378" s="399"/>
      <c r="D378" s="85">
        <f t="shared" si="6"/>
        <v>0</v>
      </c>
    </row>
    <row r="379" spans="1:4">
      <c r="A379" s="399"/>
      <c r="D379" s="85">
        <f t="shared" si="6"/>
        <v>0</v>
      </c>
    </row>
    <row r="380" spans="1:4">
      <c r="A380" s="399"/>
      <c r="D380" s="85">
        <f t="shared" si="6"/>
        <v>0</v>
      </c>
    </row>
    <row r="381" spans="1:4">
      <c r="A381" s="399"/>
      <c r="D381" s="85">
        <f t="shared" si="6"/>
        <v>0</v>
      </c>
    </row>
    <row r="382" spans="1:4">
      <c r="A382" s="399"/>
      <c r="D382" s="85">
        <f t="shared" si="6"/>
        <v>0</v>
      </c>
    </row>
    <row r="383" spans="1:4">
      <c r="A383" s="399"/>
      <c r="D383" s="85">
        <f t="shared" si="6"/>
        <v>0</v>
      </c>
    </row>
    <row r="384" spans="1:4">
      <c r="A384" s="399"/>
      <c r="D384" s="85">
        <f t="shared" si="6"/>
        <v>0</v>
      </c>
    </row>
    <row r="385" spans="1:4">
      <c r="A385" s="399"/>
      <c r="D385" s="85">
        <f t="shared" si="6"/>
        <v>0</v>
      </c>
    </row>
    <row r="386" spans="1:4">
      <c r="A386" s="399"/>
      <c r="D386" s="85">
        <f t="shared" si="6"/>
        <v>0</v>
      </c>
    </row>
    <row r="387" spans="1:4">
      <c r="A387" s="399"/>
      <c r="D387" s="85">
        <f t="shared" si="6"/>
        <v>0</v>
      </c>
    </row>
    <row r="388" spans="1:4">
      <c r="A388" s="399"/>
      <c r="D388" s="85">
        <f t="shared" si="6"/>
        <v>0</v>
      </c>
    </row>
    <row r="389" spans="1:4">
      <c r="A389" s="399"/>
      <c r="D389" s="85">
        <f t="shared" si="6"/>
        <v>0</v>
      </c>
    </row>
    <row r="390" spans="1:4">
      <c r="A390" s="399"/>
      <c r="D390" s="85">
        <f t="shared" si="6"/>
        <v>0</v>
      </c>
    </row>
    <row r="391" spans="1:4">
      <c r="A391" s="399"/>
      <c r="D391" s="85">
        <f t="shared" si="6"/>
        <v>0</v>
      </c>
    </row>
    <row r="392" spans="1:4">
      <c r="A392" s="399"/>
      <c r="D392" s="85">
        <f t="shared" si="6"/>
        <v>0</v>
      </c>
    </row>
    <row r="393" spans="1:4">
      <c r="A393" s="399"/>
      <c r="D393" s="85">
        <f t="shared" si="6"/>
        <v>0</v>
      </c>
    </row>
    <row r="394" spans="1:4">
      <c r="A394" s="399"/>
      <c r="D394" s="85">
        <f t="shared" si="6"/>
        <v>0</v>
      </c>
    </row>
    <row r="395" spans="1:4">
      <c r="A395" s="399"/>
      <c r="D395" s="85">
        <f t="shared" si="6"/>
        <v>0</v>
      </c>
    </row>
    <row r="396" spans="1:4">
      <c r="A396" s="399"/>
      <c r="D396" s="85">
        <f t="shared" si="6"/>
        <v>0</v>
      </c>
    </row>
    <row r="397" spans="1:4">
      <c r="A397" s="399"/>
      <c r="D397" s="85">
        <f t="shared" si="6"/>
        <v>0</v>
      </c>
    </row>
    <row r="398" spans="1:4">
      <c r="A398" s="399"/>
      <c r="D398" s="85">
        <f t="shared" si="6"/>
        <v>0</v>
      </c>
    </row>
    <row r="399" spans="1:4">
      <c r="A399" s="399"/>
      <c r="D399" s="85">
        <f t="shared" si="6"/>
        <v>0</v>
      </c>
    </row>
    <row r="400" spans="1:4">
      <c r="A400" s="399"/>
      <c r="D400" s="85">
        <f t="shared" si="6"/>
        <v>0</v>
      </c>
    </row>
    <row r="401" spans="1:4">
      <c r="A401" s="399"/>
      <c r="D401" s="85">
        <f t="shared" si="6"/>
        <v>0</v>
      </c>
    </row>
    <row r="402" spans="1:4">
      <c r="A402" s="399"/>
      <c r="D402" s="85">
        <f t="shared" si="6"/>
        <v>0</v>
      </c>
    </row>
    <row r="403" spans="1:4">
      <c r="A403" s="399"/>
      <c r="D403" s="85">
        <f t="shared" si="6"/>
        <v>0</v>
      </c>
    </row>
    <row r="404" spans="1:4">
      <c r="A404" s="399"/>
      <c r="D404" s="85">
        <f t="shared" si="6"/>
        <v>0</v>
      </c>
    </row>
    <row r="405" spans="1:4">
      <c r="A405" s="399"/>
      <c r="D405" s="85">
        <f t="shared" si="6"/>
        <v>0</v>
      </c>
    </row>
    <row r="406" spans="1:4">
      <c r="A406" s="399"/>
      <c r="D406" s="85">
        <f t="shared" si="6"/>
        <v>0</v>
      </c>
    </row>
    <row r="407" spans="1:4">
      <c r="A407" s="399"/>
      <c r="D407" s="85">
        <f t="shared" si="6"/>
        <v>0</v>
      </c>
    </row>
    <row r="408" spans="1:4">
      <c r="A408" s="399"/>
      <c r="D408" s="85">
        <f t="shared" si="6"/>
        <v>0</v>
      </c>
    </row>
    <row r="409" spans="1:4">
      <c r="A409" s="399"/>
      <c r="D409" s="85">
        <f t="shared" si="6"/>
        <v>0</v>
      </c>
    </row>
    <row r="410" spans="1:4">
      <c r="A410" s="399"/>
      <c r="D410" s="85">
        <f t="shared" si="6"/>
        <v>0</v>
      </c>
    </row>
    <row r="411" spans="1:4">
      <c r="A411" s="399"/>
      <c r="D411" s="85">
        <f t="shared" si="6"/>
        <v>0</v>
      </c>
    </row>
    <row r="412" spans="1:4">
      <c r="A412" s="399"/>
      <c r="D412" s="85">
        <f t="shared" si="6"/>
        <v>0</v>
      </c>
    </row>
    <row r="413" spans="1:4">
      <c r="A413" s="399"/>
      <c r="D413" s="85">
        <f t="shared" si="6"/>
        <v>0</v>
      </c>
    </row>
    <row r="414" spans="1:4">
      <c r="A414" s="399"/>
      <c r="D414" s="85">
        <f t="shared" si="6"/>
        <v>0</v>
      </c>
    </row>
    <row r="415" spans="1:4">
      <c r="A415" s="399"/>
      <c r="D415" s="85">
        <f t="shared" si="6"/>
        <v>0</v>
      </c>
    </row>
    <row r="416" spans="1:4">
      <c r="A416" s="399"/>
      <c r="D416" s="85">
        <f t="shared" si="6"/>
        <v>0</v>
      </c>
    </row>
    <row r="417" spans="1:4">
      <c r="A417" s="399"/>
      <c r="D417" s="85">
        <f t="shared" si="6"/>
        <v>0</v>
      </c>
    </row>
    <row r="418" spans="1:4">
      <c r="A418" s="399"/>
      <c r="D418" s="85">
        <f t="shared" si="6"/>
        <v>0</v>
      </c>
    </row>
    <row r="419" spans="1:4">
      <c r="A419" s="399"/>
      <c r="D419" s="85">
        <f t="shared" si="6"/>
        <v>0</v>
      </c>
    </row>
    <row r="420" spans="1:4">
      <c r="A420" s="399"/>
      <c r="D420" s="85">
        <f t="shared" si="6"/>
        <v>0</v>
      </c>
    </row>
    <row r="421" spans="1:4">
      <c r="A421" s="399"/>
      <c r="D421" s="85">
        <f t="shared" si="6"/>
        <v>0</v>
      </c>
    </row>
    <row r="422" spans="1:4">
      <c r="A422" s="399"/>
      <c r="D422" s="85">
        <f t="shared" si="6"/>
        <v>0</v>
      </c>
    </row>
    <row r="423" spans="1:4">
      <c r="A423" s="399"/>
      <c r="D423" s="85">
        <f t="shared" si="6"/>
        <v>0</v>
      </c>
    </row>
    <row r="424" spans="1:4">
      <c r="A424" s="399"/>
      <c r="D424" s="85">
        <f t="shared" si="6"/>
        <v>0</v>
      </c>
    </row>
    <row r="425" spans="1:4">
      <c r="A425" s="399"/>
      <c r="D425" s="85">
        <f t="shared" si="6"/>
        <v>0</v>
      </c>
    </row>
    <row r="426" spans="1:4">
      <c r="A426" s="399"/>
      <c r="D426" s="85">
        <f t="shared" si="6"/>
        <v>0</v>
      </c>
    </row>
    <row r="427" spans="1:4">
      <c r="A427" s="399"/>
      <c r="D427" s="85">
        <f t="shared" si="6"/>
        <v>0</v>
      </c>
    </row>
    <row r="428" spans="1:4">
      <c r="A428" s="399"/>
      <c r="D428" s="85">
        <f t="shared" si="6"/>
        <v>0</v>
      </c>
    </row>
    <row r="429" spans="1:4">
      <c r="A429" s="399"/>
      <c r="D429" s="85">
        <f t="shared" si="6"/>
        <v>0</v>
      </c>
    </row>
    <row r="430" spans="1:4">
      <c r="A430" s="399"/>
      <c r="D430" s="85">
        <f t="shared" si="6"/>
        <v>0</v>
      </c>
    </row>
    <row r="431" spans="1:4">
      <c r="A431" s="399"/>
      <c r="D431" s="85">
        <f t="shared" ref="D431:D494" si="7">C431-E431</f>
        <v>0</v>
      </c>
    </row>
    <row r="432" spans="1:4">
      <c r="A432" s="399"/>
      <c r="D432" s="85">
        <f t="shared" si="7"/>
        <v>0</v>
      </c>
    </row>
    <row r="433" spans="1:4">
      <c r="A433" s="399"/>
      <c r="D433" s="85">
        <f t="shared" si="7"/>
        <v>0</v>
      </c>
    </row>
    <row r="434" spans="1:4">
      <c r="A434" s="399"/>
      <c r="D434" s="85">
        <f t="shared" si="7"/>
        <v>0</v>
      </c>
    </row>
    <row r="435" spans="1:4">
      <c r="A435" s="399"/>
      <c r="D435" s="85">
        <f t="shared" si="7"/>
        <v>0</v>
      </c>
    </row>
    <row r="436" spans="1:4">
      <c r="A436" s="399"/>
      <c r="D436" s="85">
        <f t="shared" si="7"/>
        <v>0</v>
      </c>
    </row>
    <row r="437" spans="1:4">
      <c r="A437" s="399"/>
      <c r="D437" s="85">
        <f t="shared" si="7"/>
        <v>0</v>
      </c>
    </row>
    <row r="438" spans="1:4">
      <c r="A438" s="399"/>
      <c r="D438" s="85">
        <f t="shared" si="7"/>
        <v>0</v>
      </c>
    </row>
    <row r="439" spans="1:4">
      <c r="A439" s="399"/>
      <c r="D439" s="85">
        <f t="shared" si="7"/>
        <v>0</v>
      </c>
    </row>
    <row r="440" spans="1:4">
      <c r="A440" s="399"/>
      <c r="D440" s="85">
        <f t="shared" si="7"/>
        <v>0</v>
      </c>
    </row>
    <row r="441" spans="1:4">
      <c r="A441" s="399"/>
      <c r="D441" s="85">
        <f t="shared" si="7"/>
        <v>0</v>
      </c>
    </row>
    <row r="442" spans="1:4">
      <c r="A442" s="399"/>
      <c r="D442" s="85">
        <f t="shared" si="7"/>
        <v>0</v>
      </c>
    </row>
    <row r="443" spans="1:4">
      <c r="A443" s="399"/>
      <c r="D443" s="85">
        <f t="shared" si="7"/>
        <v>0</v>
      </c>
    </row>
    <row r="444" spans="1:4">
      <c r="A444" s="399"/>
      <c r="D444" s="85">
        <f t="shared" si="7"/>
        <v>0</v>
      </c>
    </row>
    <row r="445" spans="1:4">
      <c r="A445" s="399"/>
      <c r="D445" s="85">
        <f t="shared" si="7"/>
        <v>0</v>
      </c>
    </row>
    <row r="446" spans="1:4">
      <c r="A446" s="399"/>
      <c r="D446" s="85">
        <f t="shared" si="7"/>
        <v>0</v>
      </c>
    </row>
    <row r="447" spans="1:4">
      <c r="A447" s="399"/>
      <c r="D447" s="85">
        <f t="shared" si="7"/>
        <v>0</v>
      </c>
    </row>
    <row r="448" spans="1:4">
      <c r="A448" s="399"/>
      <c r="D448" s="85">
        <f t="shared" si="7"/>
        <v>0</v>
      </c>
    </row>
    <row r="449" spans="1:4">
      <c r="A449" s="399"/>
      <c r="D449" s="85">
        <f t="shared" si="7"/>
        <v>0</v>
      </c>
    </row>
    <row r="450" spans="1:4">
      <c r="A450" s="399"/>
      <c r="D450" s="85">
        <f t="shared" si="7"/>
        <v>0</v>
      </c>
    </row>
    <row r="451" spans="1:4">
      <c r="A451" s="399"/>
      <c r="D451" s="85">
        <f t="shared" si="7"/>
        <v>0</v>
      </c>
    </row>
    <row r="452" spans="1:4">
      <c r="A452" s="399"/>
      <c r="D452" s="85">
        <f t="shared" si="7"/>
        <v>0</v>
      </c>
    </row>
    <row r="453" spans="1:4">
      <c r="A453" s="399"/>
      <c r="D453" s="85">
        <f t="shared" si="7"/>
        <v>0</v>
      </c>
    </row>
    <row r="454" spans="1:4">
      <c r="A454" s="399"/>
      <c r="D454" s="85">
        <f t="shared" si="7"/>
        <v>0</v>
      </c>
    </row>
    <row r="455" spans="1:4">
      <c r="A455" s="399"/>
      <c r="D455" s="85">
        <f t="shared" si="7"/>
        <v>0</v>
      </c>
    </row>
    <row r="456" spans="1:4">
      <c r="A456" s="399"/>
      <c r="D456" s="85">
        <f t="shared" si="7"/>
        <v>0</v>
      </c>
    </row>
    <row r="457" spans="1:4">
      <c r="A457" s="399"/>
      <c r="D457" s="85">
        <f t="shared" si="7"/>
        <v>0</v>
      </c>
    </row>
    <row r="458" spans="1:4">
      <c r="A458" s="399"/>
      <c r="D458" s="85">
        <f t="shared" si="7"/>
        <v>0</v>
      </c>
    </row>
    <row r="459" spans="1:4">
      <c r="A459" s="399"/>
      <c r="D459" s="85">
        <f t="shared" si="7"/>
        <v>0</v>
      </c>
    </row>
    <row r="460" spans="1:4">
      <c r="A460" s="399"/>
      <c r="D460" s="85">
        <f t="shared" si="7"/>
        <v>0</v>
      </c>
    </row>
    <row r="461" spans="1:4">
      <c r="A461" s="399"/>
      <c r="D461" s="85">
        <f t="shared" si="7"/>
        <v>0</v>
      </c>
    </row>
    <row r="462" spans="1:4">
      <c r="A462" s="399"/>
      <c r="D462" s="85">
        <f t="shared" si="7"/>
        <v>0</v>
      </c>
    </row>
    <row r="463" spans="1:4">
      <c r="A463" s="399"/>
      <c r="D463" s="85">
        <f t="shared" si="7"/>
        <v>0</v>
      </c>
    </row>
    <row r="464" spans="1:4">
      <c r="A464" s="399"/>
      <c r="D464" s="85">
        <f t="shared" si="7"/>
        <v>0</v>
      </c>
    </row>
    <row r="465" spans="1:4">
      <c r="A465" s="399"/>
      <c r="D465" s="85">
        <f t="shared" si="7"/>
        <v>0</v>
      </c>
    </row>
    <row r="466" spans="1:4">
      <c r="A466" s="399"/>
      <c r="D466" s="85">
        <f t="shared" si="7"/>
        <v>0</v>
      </c>
    </row>
    <row r="467" spans="1:4">
      <c r="A467" s="399"/>
      <c r="D467" s="85">
        <f t="shared" si="7"/>
        <v>0</v>
      </c>
    </row>
    <row r="468" spans="1:4">
      <c r="A468" s="399"/>
      <c r="D468" s="85">
        <f t="shared" si="7"/>
        <v>0</v>
      </c>
    </row>
    <row r="469" spans="1:4">
      <c r="A469" s="399"/>
      <c r="D469" s="85">
        <f t="shared" si="7"/>
        <v>0</v>
      </c>
    </row>
    <row r="470" spans="1:4">
      <c r="A470" s="399"/>
      <c r="D470" s="85">
        <f t="shared" si="7"/>
        <v>0</v>
      </c>
    </row>
    <row r="471" spans="1:4">
      <c r="A471" s="399"/>
      <c r="D471" s="85">
        <f t="shared" si="7"/>
        <v>0</v>
      </c>
    </row>
    <row r="472" spans="1:4">
      <c r="A472" s="399"/>
      <c r="D472" s="85">
        <f t="shared" si="7"/>
        <v>0</v>
      </c>
    </row>
    <row r="473" spans="1:4">
      <c r="A473" s="399"/>
      <c r="D473" s="85">
        <f t="shared" si="7"/>
        <v>0</v>
      </c>
    </row>
    <row r="474" spans="1:4">
      <c r="A474" s="399"/>
      <c r="D474" s="85">
        <f t="shared" si="7"/>
        <v>0</v>
      </c>
    </row>
    <row r="475" spans="1:4">
      <c r="A475" s="399"/>
      <c r="D475" s="85">
        <f t="shared" si="7"/>
        <v>0</v>
      </c>
    </row>
    <row r="476" spans="1:4">
      <c r="A476" s="399"/>
      <c r="D476" s="85">
        <f t="shared" si="7"/>
        <v>0</v>
      </c>
    </row>
    <row r="477" spans="1:4">
      <c r="A477" s="399"/>
      <c r="D477" s="85">
        <f t="shared" si="7"/>
        <v>0</v>
      </c>
    </row>
    <row r="478" spans="1:4">
      <c r="A478" s="399"/>
      <c r="D478" s="85">
        <f t="shared" si="7"/>
        <v>0</v>
      </c>
    </row>
    <row r="479" spans="1:4">
      <c r="A479" s="399"/>
      <c r="D479" s="85">
        <f t="shared" si="7"/>
        <v>0</v>
      </c>
    </row>
    <row r="480" spans="1:4">
      <c r="A480" s="399"/>
      <c r="D480" s="85">
        <f t="shared" si="7"/>
        <v>0</v>
      </c>
    </row>
    <row r="481" spans="1:4">
      <c r="A481" s="399"/>
      <c r="D481" s="85">
        <f t="shared" si="7"/>
        <v>0</v>
      </c>
    </row>
    <row r="482" spans="1:4">
      <c r="A482" s="399"/>
      <c r="D482" s="85">
        <f t="shared" si="7"/>
        <v>0</v>
      </c>
    </row>
    <row r="483" spans="1:4">
      <c r="A483" s="399"/>
      <c r="D483" s="85">
        <f t="shared" si="7"/>
        <v>0</v>
      </c>
    </row>
    <row r="484" spans="1:4">
      <c r="A484" s="399"/>
      <c r="D484" s="85">
        <f t="shared" si="7"/>
        <v>0</v>
      </c>
    </row>
    <row r="485" spans="1:4">
      <c r="A485" s="399"/>
      <c r="D485" s="85">
        <f t="shared" si="7"/>
        <v>0</v>
      </c>
    </row>
    <row r="486" spans="1:4">
      <c r="A486" s="399"/>
      <c r="D486" s="85">
        <f t="shared" si="7"/>
        <v>0</v>
      </c>
    </row>
    <row r="487" spans="1:4">
      <c r="A487" s="399"/>
      <c r="D487" s="85">
        <f t="shared" si="7"/>
        <v>0</v>
      </c>
    </row>
    <row r="488" spans="1:4">
      <c r="A488" s="399"/>
      <c r="D488" s="85">
        <f t="shared" si="7"/>
        <v>0</v>
      </c>
    </row>
    <row r="489" spans="1:4">
      <c r="A489" s="399"/>
      <c r="D489" s="85">
        <f t="shared" si="7"/>
        <v>0</v>
      </c>
    </row>
    <row r="490" spans="1:4">
      <c r="A490" s="399"/>
      <c r="D490" s="85">
        <f t="shared" si="7"/>
        <v>0</v>
      </c>
    </row>
    <row r="491" spans="1:4">
      <c r="A491" s="399"/>
      <c r="D491" s="85">
        <f t="shared" si="7"/>
        <v>0</v>
      </c>
    </row>
    <row r="492" spans="1:4">
      <c r="A492" s="399"/>
      <c r="D492" s="85">
        <f t="shared" si="7"/>
        <v>0</v>
      </c>
    </row>
    <row r="493" spans="1:4">
      <c r="A493" s="399"/>
      <c r="D493" s="85">
        <f t="shared" si="7"/>
        <v>0</v>
      </c>
    </row>
    <row r="494" spans="1:4">
      <c r="A494" s="399"/>
      <c r="D494" s="85">
        <f t="shared" si="7"/>
        <v>0</v>
      </c>
    </row>
    <row r="495" spans="1:4">
      <c r="A495" s="399"/>
      <c r="D495" s="85">
        <f t="shared" ref="D495:D506" si="8">C495-E495</f>
        <v>0</v>
      </c>
    </row>
    <row r="496" spans="1:4">
      <c r="A496" s="399"/>
      <c r="D496" s="85">
        <f t="shared" si="8"/>
        <v>0</v>
      </c>
    </row>
    <row r="497" spans="1:4">
      <c r="A497" s="399"/>
      <c r="D497" s="85">
        <f t="shared" si="8"/>
        <v>0</v>
      </c>
    </row>
    <row r="498" spans="1:4">
      <c r="A498" s="399"/>
      <c r="D498" s="85">
        <f t="shared" si="8"/>
        <v>0</v>
      </c>
    </row>
    <row r="499" spans="1:4">
      <c r="A499" s="399"/>
      <c r="D499" s="85">
        <f t="shared" si="8"/>
        <v>0</v>
      </c>
    </row>
    <row r="500" spans="1:4">
      <c r="A500" s="399"/>
      <c r="D500" s="85">
        <f t="shared" si="8"/>
        <v>0</v>
      </c>
    </row>
    <row r="501" spans="1:4">
      <c r="A501" s="399"/>
      <c r="D501" s="85">
        <f t="shared" si="8"/>
        <v>0</v>
      </c>
    </row>
    <row r="502" spans="1:4">
      <c r="A502" s="399"/>
      <c r="D502" s="85">
        <f t="shared" si="8"/>
        <v>0</v>
      </c>
    </row>
    <row r="503" spans="1:4">
      <c r="A503" s="399"/>
      <c r="D503" s="85">
        <f t="shared" si="8"/>
        <v>0</v>
      </c>
    </row>
    <row r="504" spans="1:4">
      <c r="A504" s="399"/>
      <c r="D504" s="85">
        <f t="shared" si="8"/>
        <v>0</v>
      </c>
    </row>
    <row r="505" spans="1:4">
      <c r="A505" s="399"/>
      <c r="D505" s="85">
        <f t="shared" si="8"/>
        <v>0</v>
      </c>
    </row>
    <row r="506" spans="1:4">
      <c r="D506" s="85">
        <f t="shared" si="8"/>
        <v>0</v>
      </c>
    </row>
  </sheetData>
  <sheetProtection algorithmName="SHA-512" hashValue="Ba/adlUJKaaJjPxirJ7dI5qtXDtQ2gBFbsXEx/P3lW5aYhl6jKjsWoSZ5kT3BLTtqTUMGcfGptBvBrmcYyvJxQ==" saltValue="xcVFqJdpF3K+fKCl33Jzdg==" spinCount="100000" sheet="1" objects="1" scenarios="1"/>
  <mergeCells count="1">
    <mergeCell ref="A1:BL1"/>
  </mergeCells>
  <phoneticPr fontId="16"/>
  <pageMargins left="0.75" right="0.75" top="1" bottom="1" header="0.5" footer="0.5"/>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9" tint="-0.249977111117893"/>
  </sheetPr>
  <dimension ref="A1:U204"/>
  <sheetViews>
    <sheetView showGridLines="0" workbookViewId="0">
      <pane ySplit="1" topLeftCell="A20" activePane="bottomLeft" state="frozen"/>
      <selection activeCell="C162" sqref="C162"/>
      <selection pane="bottomLeft" activeCell="M75" sqref="M75"/>
    </sheetView>
  </sheetViews>
  <sheetFormatPr defaultColWidth="9" defaultRowHeight="13.2"/>
  <cols>
    <col min="1" max="1" width="12.44140625" style="1" customWidth="1"/>
    <col min="2" max="2" width="15" style="1" customWidth="1"/>
    <col min="3" max="3" width="19.21875" style="1" customWidth="1"/>
    <col min="4" max="4" width="17.6640625" style="1" customWidth="1"/>
    <col min="5" max="5" width="9.109375" style="1" customWidth="1"/>
    <col min="6" max="6" width="18.33203125" style="1" customWidth="1"/>
    <col min="7" max="10" width="11.6640625" style="1" customWidth="1"/>
    <col min="11" max="11" width="11.21875" style="1" bestFit="1" customWidth="1"/>
    <col min="12" max="12" width="34.77734375" style="1" customWidth="1"/>
    <col min="13" max="13" width="26.21875" style="1" customWidth="1"/>
    <col min="14" max="14" width="10.6640625" style="1" customWidth="1"/>
    <col min="15" max="15" width="17.44140625" style="1" customWidth="1"/>
    <col min="16" max="19" width="10.6640625" style="1" customWidth="1"/>
    <col min="20" max="22" width="11.6640625" style="1" bestFit="1" customWidth="1"/>
    <col min="23" max="23" width="13" style="1" customWidth="1"/>
    <col min="24" max="24" width="21.21875" style="1" customWidth="1"/>
    <col min="25" max="25" width="9" style="1" customWidth="1"/>
    <col min="26" max="26" width="11.44140625" style="1" bestFit="1" customWidth="1"/>
    <col min="27" max="27" width="9" style="1" customWidth="1"/>
    <col min="28" max="16384" width="9" style="1"/>
  </cols>
  <sheetData>
    <row r="1" spans="1:21" ht="91.95" customHeight="1">
      <c r="A1" s="314" t="s">
        <v>588</v>
      </c>
      <c r="B1" s="315" t="s">
        <v>1145</v>
      </c>
      <c r="C1" s="318" t="str">
        <f t="array" ref="C1">IF(B1="","",_xll.RssMarket(B1,"銘柄名称"))</f>
        <v/>
      </c>
      <c r="D1" s="457" t="s">
        <v>589</v>
      </c>
      <c r="E1" s="458" t="s">
        <v>590</v>
      </c>
      <c r="F1" s="459"/>
      <c r="G1" s="458"/>
      <c r="H1" s="86"/>
      <c r="I1" s="86"/>
      <c r="J1" s="460" t="s">
        <v>591</v>
      </c>
      <c r="K1" s="461">
        <v>120</v>
      </c>
      <c r="L1" s="462">
        <v>20260301</v>
      </c>
      <c r="M1" s="463">
        <v>20260303</v>
      </c>
    </row>
    <row r="2" spans="1:21" ht="24" customHeight="1">
      <c r="B2" s="317" t="s">
        <v>524</v>
      </c>
      <c r="C2" s="312" t="s">
        <v>592</v>
      </c>
      <c r="D2" s="216" t="s">
        <v>593</v>
      </c>
      <c r="E2" s="216" t="s">
        <v>594</v>
      </c>
      <c r="F2" s="216" t="s">
        <v>528</v>
      </c>
      <c r="G2" s="216" t="s">
        <v>543</v>
      </c>
      <c r="H2" s="216" t="s">
        <v>526</v>
      </c>
      <c r="I2" s="216" t="s">
        <v>527</v>
      </c>
      <c r="J2" s="217" t="s">
        <v>595</v>
      </c>
      <c r="K2" s="210" t="s">
        <v>596</v>
      </c>
      <c r="L2" s="210" t="s">
        <v>597</v>
      </c>
    </row>
    <row r="3" spans="1:21" ht="17.25" customHeight="1">
      <c r="A3" t="str">
        <f>_xll.RssChartPast(B2:J2,B1,"D",$M$1,$K$1)</f>
        <v>=@RssChartPast(B2:J2,B1,"D",$M$1,$K$1) =&gt; マーケットスピード II にログインして「接続中」の状態に変更してから利用してください。</v>
      </c>
      <c r="B3" s="239" t="s">
        <v>1146</v>
      </c>
      <c r="C3" s="313" t="s">
        <v>1006</v>
      </c>
      <c r="D3" s="234" t="s">
        <v>1007</v>
      </c>
      <c r="E3" s="218" t="s">
        <v>823</v>
      </c>
      <c r="F3" s="218">
        <v>14369900</v>
      </c>
      <c r="G3" s="218">
        <v>1018</v>
      </c>
      <c r="H3" s="218">
        <v>1020</v>
      </c>
      <c r="I3" s="218">
        <v>963.7</v>
      </c>
      <c r="J3" s="219">
        <v>988.7</v>
      </c>
    </row>
    <row r="4" spans="1:21" ht="17.25" customHeight="1">
      <c r="B4" s="316"/>
      <c r="C4" s="235"/>
      <c r="D4" s="235" t="s">
        <v>1008</v>
      </c>
      <c r="E4" s="220" t="s">
        <v>823</v>
      </c>
      <c r="F4" s="220">
        <v>15848200</v>
      </c>
      <c r="G4" s="220">
        <v>982.9</v>
      </c>
      <c r="H4" s="220">
        <v>1023.5</v>
      </c>
      <c r="I4" s="220">
        <v>976.1</v>
      </c>
      <c r="J4" s="221">
        <v>1012.5</v>
      </c>
    </row>
    <row r="5" spans="1:21" ht="17.25" customHeight="1">
      <c r="B5" s="239"/>
      <c r="C5" s="234"/>
      <c r="D5" s="234" t="s">
        <v>1009</v>
      </c>
      <c r="E5" s="218" t="s">
        <v>823</v>
      </c>
      <c r="F5" s="218">
        <v>11821900</v>
      </c>
      <c r="G5" s="218">
        <v>1030</v>
      </c>
      <c r="H5" s="218">
        <v>1037.5</v>
      </c>
      <c r="I5" s="218">
        <v>1019.5</v>
      </c>
      <c r="J5" s="219">
        <v>1023.5</v>
      </c>
      <c r="L5" s="2"/>
      <c r="M5" s="2"/>
      <c r="N5" s="3"/>
      <c r="O5" s="3"/>
      <c r="P5" s="3"/>
      <c r="Q5" s="3"/>
      <c r="R5" s="3"/>
      <c r="S5" s="2"/>
      <c r="T5" s="2"/>
      <c r="U5" s="2"/>
    </row>
    <row r="6" spans="1:21" ht="17.25" customHeight="1">
      <c r="B6" s="240"/>
      <c r="C6" s="235"/>
      <c r="D6" s="235" t="s">
        <v>1010</v>
      </c>
      <c r="E6" s="220" t="s">
        <v>823</v>
      </c>
      <c r="F6" s="220">
        <v>14572200</v>
      </c>
      <c r="G6" s="220">
        <v>1034</v>
      </c>
      <c r="H6" s="220">
        <v>1063.5</v>
      </c>
      <c r="I6" s="220">
        <v>1014.5</v>
      </c>
      <c r="J6" s="221">
        <v>1058.5</v>
      </c>
      <c r="L6" s="2"/>
      <c r="M6" s="2"/>
      <c r="N6" s="3"/>
      <c r="O6" s="3"/>
      <c r="P6" s="3"/>
      <c r="Q6" s="3"/>
      <c r="R6" s="3"/>
      <c r="S6" s="2"/>
      <c r="T6" s="2"/>
      <c r="U6" s="2"/>
    </row>
    <row r="7" spans="1:21" ht="17.25" customHeight="1">
      <c r="B7" s="239"/>
      <c r="C7" s="234"/>
      <c r="D7" s="234" t="s">
        <v>1011</v>
      </c>
      <c r="E7" s="218" t="s">
        <v>823</v>
      </c>
      <c r="F7" s="218">
        <v>15621000</v>
      </c>
      <c r="G7" s="218">
        <v>1035.5</v>
      </c>
      <c r="H7" s="218">
        <v>1051.5</v>
      </c>
      <c r="I7" s="218">
        <v>1006.5</v>
      </c>
      <c r="J7" s="219">
        <v>1047.5</v>
      </c>
      <c r="L7" s="2"/>
      <c r="M7" s="2"/>
      <c r="N7" s="3"/>
      <c r="O7" s="3"/>
      <c r="P7" s="3"/>
      <c r="Q7" s="3"/>
      <c r="R7" s="3"/>
      <c r="S7" s="2"/>
      <c r="T7" s="2"/>
      <c r="U7" s="2"/>
    </row>
    <row r="8" spans="1:21" ht="17.25" customHeight="1">
      <c r="B8" s="240"/>
      <c r="C8" s="235"/>
      <c r="D8" s="235" t="s">
        <v>1012</v>
      </c>
      <c r="E8" s="220" t="s">
        <v>823</v>
      </c>
      <c r="F8" s="220">
        <v>7950800</v>
      </c>
      <c r="G8" s="220">
        <v>1050</v>
      </c>
      <c r="H8" s="220">
        <v>1051</v>
      </c>
      <c r="I8" s="220">
        <v>1032</v>
      </c>
      <c r="J8" s="221">
        <v>1037.5</v>
      </c>
      <c r="L8" s="2"/>
      <c r="M8" s="2"/>
      <c r="N8" s="3"/>
      <c r="O8" s="3"/>
      <c r="P8" s="3"/>
      <c r="Q8" s="3"/>
      <c r="R8" s="3"/>
      <c r="S8" s="2"/>
      <c r="T8" s="2"/>
      <c r="U8" s="2"/>
    </row>
    <row r="9" spans="1:21" ht="17.25" customHeight="1">
      <c r="B9" s="239"/>
      <c r="C9" s="234"/>
      <c r="D9" s="234" t="s">
        <v>1013</v>
      </c>
      <c r="E9" s="218" t="s">
        <v>823</v>
      </c>
      <c r="F9" s="218">
        <v>7721600</v>
      </c>
      <c r="G9" s="218">
        <v>1058</v>
      </c>
      <c r="H9" s="218">
        <v>1067</v>
      </c>
      <c r="I9" s="218">
        <v>1039</v>
      </c>
      <c r="J9" s="219">
        <v>1039</v>
      </c>
      <c r="L9" s="2"/>
      <c r="M9" s="2"/>
      <c r="N9" s="3"/>
      <c r="O9" s="3"/>
      <c r="P9" s="3"/>
      <c r="Q9" s="3"/>
      <c r="R9" s="3"/>
      <c r="S9" s="2"/>
      <c r="T9" s="2"/>
      <c r="U9" s="2"/>
    </row>
    <row r="10" spans="1:21" ht="17.25" customHeight="1">
      <c r="B10" s="240"/>
      <c r="C10" s="235"/>
      <c r="D10" s="235" t="s">
        <v>1014</v>
      </c>
      <c r="E10" s="220" t="s">
        <v>823</v>
      </c>
      <c r="F10" s="220">
        <v>9990500</v>
      </c>
      <c r="G10" s="220">
        <v>1013.5</v>
      </c>
      <c r="H10" s="220">
        <v>1025.5</v>
      </c>
      <c r="I10" s="220">
        <v>999.4</v>
      </c>
      <c r="J10" s="221">
        <v>1000.5</v>
      </c>
      <c r="M10" s="3"/>
      <c r="N10" s="3"/>
      <c r="O10" s="3"/>
      <c r="P10" s="3"/>
      <c r="Q10" s="3"/>
      <c r="R10" s="2"/>
      <c r="S10" s="2"/>
      <c r="T10" s="2"/>
      <c r="U10" s="2"/>
    </row>
    <row r="11" spans="1:21" ht="17.25" customHeight="1">
      <c r="B11" s="239"/>
      <c r="C11" s="234"/>
      <c r="D11" s="234" t="s">
        <v>1015</v>
      </c>
      <c r="E11" s="218" t="s">
        <v>823</v>
      </c>
      <c r="F11" s="218">
        <v>8990900</v>
      </c>
      <c r="G11" s="218">
        <v>980</v>
      </c>
      <c r="H11" s="218">
        <v>1022</v>
      </c>
      <c r="I11" s="218">
        <v>977</v>
      </c>
      <c r="J11" s="219">
        <v>1010</v>
      </c>
      <c r="M11" s="3"/>
      <c r="N11" s="3"/>
      <c r="O11" s="3"/>
      <c r="P11" s="3"/>
      <c r="Q11" s="3"/>
      <c r="R11" s="2"/>
      <c r="S11" s="2"/>
      <c r="T11" s="2"/>
      <c r="U11" s="2"/>
    </row>
    <row r="12" spans="1:21" ht="17.25" customHeight="1">
      <c r="B12" s="240"/>
      <c r="C12" s="235"/>
      <c r="D12" s="235" t="s">
        <v>1016</v>
      </c>
      <c r="E12" s="220" t="s">
        <v>823</v>
      </c>
      <c r="F12" s="220">
        <v>7203800</v>
      </c>
      <c r="G12" s="220">
        <v>1019</v>
      </c>
      <c r="H12" s="220">
        <v>1023.5</v>
      </c>
      <c r="I12" s="220">
        <v>1002.5</v>
      </c>
      <c r="J12" s="221">
        <v>1003.5</v>
      </c>
      <c r="M12" s="3"/>
      <c r="N12" s="3"/>
      <c r="O12" s="3"/>
      <c r="P12" s="3"/>
      <c r="Q12" s="3"/>
      <c r="R12" s="2"/>
      <c r="S12" s="2"/>
      <c r="T12" s="2"/>
      <c r="U12" s="2"/>
    </row>
    <row r="13" spans="1:21" ht="17.25" customHeight="1">
      <c r="B13" s="239"/>
      <c r="C13" s="234"/>
      <c r="D13" s="234" t="s">
        <v>1017</v>
      </c>
      <c r="E13" s="218" t="s">
        <v>823</v>
      </c>
      <c r="F13" s="218">
        <v>5148400</v>
      </c>
      <c r="G13" s="218">
        <v>1016.5</v>
      </c>
      <c r="H13" s="218">
        <v>1038</v>
      </c>
      <c r="I13" s="218">
        <v>1012</v>
      </c>
      <c r="J13" s="219">
        <v>1012</v>
      </c>
      <c r="M13" s="3"/>
      <c r="N13" s="3"/>
      <c r="O13" s="3"/>
      <c r="P13" s="3"/>
      <c r="Q13" s="3"/>
      <c r="R13" s="2"/>
      <c r="S13" s="2"/>
      <c r="T13" s="2"/>
      <c r="U13" s="2"/>
    </row>
    <row r="14" spans="1:21" ht="17.25" customHeight="1">
      <c r="B14" s="240"/>
      <c r="C14" s="235"/>
      <c r="D14" s="235" t="s">
        <v>1018</v>
      </c>
      <c r="E14" s="220" t="s">
        <v>823</v>
      </c>
      <c r="F14" s="220">
        <v>5750300</v>
      </c>
      <c r="G14" s="220">
        <v>982</v>
      </c>
      <c r="H14" s="220">
        <v>1023.5</v>
      </c>
      <c r="I14" s="220">
        <v>981</v>
      </c>
      <c r="J14" s="221">
        <v>1016</v>
      </c>
      <c r="M14" s="3"/>
      <c r="N14" s="3"/>
      <c r="O14" s="3"/>
      <c r="P14" s="3"/>
      <c r="Q14" s="3"/>
      <c r="R14" s="2"/>
      <c r="S14" s="2"/>
      <c r="T14" s="2"/>
      <c r="U14" s="2"/>
    </row>
    <row r="15" spans="1:21" ht="17.25" customHeight="1">
      <c r="A15" s="212"/>
      <c r="B15" s="241"/>
      <c r="C15" s="236"/>
      <c r="D15" s="236" t="s">
        <v>1019</v>
      </c>
      <c r="E15" s="222" t="s">
        <v>823</v>
      </c>
      <c r="F15" s="222">
        <v>10232500</v>
      </c>
      <c r="G15" s="223">
        <v>980.3</v>
      </c>
      <c r="H15" s="223">
        <v>1006.5</v>
      </c>
      <c r="I15" s="223">
        <v>980.1</v>
      </c>
      <c r="J15" s="224">
        <v>989.6</v>
      </c>
      <c r="K15" s="214"/>
      <c r="M15" s="3"/>
      <c r="N15" s="3"/>
      <c r="O15" s="3"/>
      <c r="P15" s="3"/>
      <c r="Q15" s="3"/>
      <c r="R15" s="2"/>
      <c r="S15" s="2"/>
      <c r="T15" s="2"/>
      <c r="U15" s="2"/>
    </row>
    <row r="16" spans="1:21" ht="17.25" customHeight="1">
      <c r="A16" s="212"/>
      <c r="B16" s="242"/>
      <c r="C16" s="237"/>
      <c r="D16" s="237" t="s">
        <v>1020</v>
      </c>
      <c r="E16" s="225" t="s">
        <v>823</v>
      </c>
      <c r="F16" s="225">
        <v>8659600</v>
      </c>
      <c r="G16" s="226">
        <v>975.2</v>
      </c>
      <c r="H16" s="226">
        <v>988.9</v>
      </c>
      <c r="I16" s="226">
        <v>964.9</v>
      </c>
      <c r="J16" s="227">
        <v>973</v>
      </c>
      <c r="K16" s="213"/>
      <c r="M16" s="3"/>
      <c r="N16" s="3"/>
      <c r="O16" s="3"/>
      <c r="P16" s="3"/>
      <c r="Q16" s="3"/>
      <c r="R16" s="2"/>
      <c r="S16" s="2"/>
      <c r="T16" s="2"/>
      <c r="U16" s="2"/>
    </row>
    <row r="17" spans="1:21" ht="17.25" customHeight="1">
      <c r="A17" s="212"/>
      <c r="B17" s="241"/>
      <c r="C17" s="236"/>
      <c r="D17" s="236" t="s">
        <v>1021</v>
      </c>
      <c r="E17" s="222" t="s">
        <v>823</v>
      </c>
      <c r="F17" s="222">
        <v>8170100</v>
      </c>
      <c r="G17" s="223">
        <v>975.6</v>
      </c>
      <c r="H17" s="223">
        <v>984</v>
      </c>
      <c r="I17" s="223">
        <v>967</v>
      </c>
      <c r="J17" s="224">
        <v>971.5</v>
      </c>
      <c r="K17" s="214"/>
      <c r="M17" s="3"/>
      <c r="N17" s="3"/>
      <c r="O17" s="3"/>
      <c r="P17" s="3"/>
      <c r="Q17" s="3"/>
      <c r="R17" s="2"/>
      <c r="S17" s="2"/>
      <c r="T17" s="2"/>
      <c r="U17" s="2"/>
    </row>
    <row r="18" spans="1:21" ht="17.25" customHeight="1">
      <c r="A18" s="71"/>
      <c r="B18" s="242"/>
      <c r="C18" s="237"/>
      <c r="D18" s="237" t="s">
        <v>1022</v>
      </c>
      <c r="E18" s="225" t="s">
        <v>823</v>
      </c>
      <c r="F18" s="225">
        <v>10094000</v>
      </c>
      <c r="G18" s="226">
        <v>986.5</v>
      </c>
      <c r="H18" s="226">
        <v>991.2</v>
      </c>
      <c r="I18" s="226">
        <v>970.5</v>
      </c>
      <c r="J18" s="227">
        <v>974.5</v>
      </c>
      <c r="M18" s="3"/>
      <c r="N18" s="3"/>
      <c r="O18" s="3"/>
      <c r="P18" s="3"/>
      <c r="Q18" s="3"/>
      <c r="R18" s="2"/>
      <c r="S18" s="2"/>
      <c r="T18" s="2"/>
      <c r="U18" s="2"/>
    </row>
    <row r="19" spans="1:21" ht="17.25" customHeight="1">
      <c r="A19" s="71"/>
      <c r="B19" s="241"/>
      <c r="C19" s="236"/>
      <c r="D19" s="236" t="s">
        <v>1023</v>
      </c>
      <c r="E19" s="222" t="s">
        <v>823</v>
      </c>
      <c r="F19" s="222">
        <v>6915800</v>
      </c>
      <c r="G19" s="223">
        <v>986.1</v>
      </c>
      <c r="H19" s="223">
        <v>987.9</v>
      </c>
      <c r="I19" s="223">
        <v>967.5</v>
      </c>
      <c r="J19" s="224">
        <v>970.9</v>
      </c>
      <c r="M19" s="3"/>
      <c r="N19" s="3"/>
      <c r="O19" s="3"/>
      <c r="P19" s="3"/>
      <c r="Q19" s="3"/>
      <c r="R19" s="2"/>
      <c r="S19" s="2"/>
      <c r="T19" s="2"/>
      <c r="U19" s="2"/>
    </row>
    <row r="20" spans="1:21" ht="17.25" customHeight="1">
      <c r="A20" s="71"/>
      <c r="B20" s="242"/>
      <c r="C20" s="237"/>
      <c r="D20" s="237" t="s">
        <v>1024</v>
      </c>
      <c r="E20" s="225" t="s">
        <v>823</v>
      </c>
      <c r="F20" s="225">
        <v>10665900</v>
      </c>
      <c r="G20" s="226">
        <v>998.6</v>
      </c>
      <c r="H20" s="226">
        <v>999.8</v>
      </c>
      <c r="I20" s="226">
        <v>976.3</v>
      </c>
      <c r="J20" s="227">
        <v>983</v>
      </c>
      <c r="M20" s="3"/>
      <c r="N20" s="3"/>
      <c r="O20" s="3"/>
      <c r="P20" s="3"/>
      <c r="Q20" s="3"/>
      <c r="R20" s="2"/>
      <c r="S20" s="2"/>
      <c r="T20" s="2"/>
      <c r="U20" s="2"/>
    </row>
    <row r="21" spans="1:21" ht="17.25" customHeight="1">
      <c r="A21" s="69"/>
      <c r="B21" s="241"/>
      <c r="C21" s="236"/>
      <c r="D21" s="236" t="s">
        <v>1025</v>
      </c>
      <c r="E21" s="222" t="s">
        <v>823</v>
      </c>
      <c r="F21" s="222">
        <v>11880600</v>
      </c>
      <c r="G21" s="223">
        <v>970</v>
      </c>
      <c r="H21" s="223">
        <v>1001</v>
      </c>
      <c r="I21" s="223">
        <v>958.1</v>
      </c>
      <c r="J21" s="224">
        <v>991.9</v>
      </c>
      <c r="M21" s="3"/>
      <c r="N21" s="3"/>
      <c r="O21" s="3"/>
      <c r="P21" s="3"/>
      <c r="Q21" s="3"/>
      <c r="R21" s="2"/>
      <c r="S21" s="2"/>
      <c r="T21" s="2"/>
      <c r="U21" s="2"/>
    </row>
    <row r="22" spans="1:21" ht="17.25" customHeight="1">
      <c r="A22" s="69"/>
      <c r="B22" s="242"/>
      <c r="C22" s="237"/>
      <c r="D22" s="237" t="s">
        <v>1026</v>
      </c>
      <c r="E22" s="225" t="s">
        <v>823</v>
      </c>
      <c r="F22" s="225">
        <v>29687500</v>
      </c>
      <c r="G22" s="226">
        <v>1000.5</v>
      </c>
      <c r="H22" s="226">
        <v>1009</v>
      </c>
      <c r="I22" s="226">
        <v>968.2</v>
      </c>
      <c r="J22" s="227">
        <v>968.2</v>
      </c>
      <c r="M22" s="3"/>
      <c r="O22" s="3"/>
      <c r="P22" s="3"/>
      <c r="Q22" s="3"/>
      <c r="R22" s="2"/>
      <c r="S22" s="2"/>
      <c r="T22" s="2"/>
      <c r="U22" s="2"/>
    </row>
    <row r="23" spans="1:21" ht="17.25" customHeight="1">
      <c r="A23" s="69"/>
      <c r="B23" s="241"/>
      <c r="C23" s="236"/>
      <c r="D23" s="236" t="s">
        <v>1027</v>
      </c>
      <c r="E23" s="222" t="s">
        <v>823</v>
      </c>
      <c r="F23" s="228">
        <v>11166000</v>
      </c>
      <c r="G23" s="223">
        <v>975.5</v>
      </c>
      <c r="H23" s="223">
        <v>984.6</v>
      </c>
      <c r="I23" s="223">
        <v>956.2</v>
      </c>
      <c r="J23" s="224">
        <v>982.4</v>
      </c>
      <c r="M23" s="3"/>
      <c r="N23" s="3"/>
      <c r="O23" s="3"/>
      <c r="P23" s="3"/>
      <c r="Q23" s="3"/>
      <c r="R23" s="2"/>
      <c r="S23" s="2"/>
      <c r="T23" s="2"/>
      <c r="U23" s="2"/>
    </row>
    <row r="24" spans="1:21" ht="17.25" customHeight="1">
      <c r="A24" s="69"/>
      <c r="B24" s="242"/>
      <c r="C24" s="237"/>
      <c r="D24" s="237" t="s">
        <v>1028</v>
      </c>
      <c r="E24" s="225" t="s">
        <v>823</v>
      </c>
      <c r="F24" s="229">
        <v>12692200</v>
      </c>
      <c r="G24" s="226">
        <v>975.3</v>
      </c>
      <c r="H24" s="226">
        <v>979</v>
      </c>
      <c r="I24" s="226">
        <v>934.6</v>
      </c>
      <c r="J24" s="227">
        <v>936.5</v>
      </c>
      <c r="M24" s="3"/>
      <c r="N24" s="3"/>
      <c r="O24" s="3"/>
      <c r="P24" s="3"/>
      <c r="Q24" s="3"/>
      <c r="R24" s="2"/>
      <c r="S24" s="2"/>
      <c r="T24" s="2"/>
      <c r="U24" s="2"/>
    </row>
    <row r="25" spans="1:21" ht="17.25" customHeight="1">
      <c r="A25" s="69"/>
      <c r="B25" s="241"/>
      <c r="C25" s="236"/>
      <c r="D25" s="236" t="s">
        <v>1029</v>
      </c>
      <c r="E25" s="222" t="s">
        <v>823</v>
      </c>
      <c r="F25" s="222">
        <v>7898300</v>
      </c>
      <c r="G25" s="223">
        <v>947.2</v>
      </c>
      <c r="H25" s="223">
        <v>962</v>
      </c>
      <c r="I25" s="223">
        <v>944.2</v>
      </c>
      <c r="J25" s="224">
        <v>950.8</v>
      </c>
      <c r="M25" s="3"/>
      <c r="N25" s="3"/>
      <c r="O25" s="3"/>
      <c r="P25" s="3"/>
      <c r="Q25" s="3"/>
      <c r="R25" s="2"/>
      <c r="S25" s="2"/>
      <c r="T25" s="2"/>
      <c r="U25" s="2"/>
    </row>
    <row r="26" spans="1:21" ht="17.25" customHeight="1">
      <c r="A26" s="69"/>
      <c r="B26" s="242"/>
      <c r="C26" s="237"/>
      <c r="D26" s="237" t="s">
        <v>1030</v>
      </c>
      <c r="E26" s="225" t="s">
        <v>823</v>
      </c>
      <c r="F26" s="229">
        <v>14019400</v>
      </c>
      <c r="G26" s="226">
        <v>960</v>
      </c>
      <c r="H26" s="226">
        <v>1001.5</v>
      </c>
      <c r="I26" s="226">
        <v>955.3</v>
      </c>
      <c r="J26" s="227">
        <v>992.1</v>
      </c>
      <c r="M26" s="3"/>
      <c r="N26" s="3"/>
      <c r="O26" s="211"/>
      <c r="P26" s="3"/>
      <c r="Q26" s="3"/>
      <c r="R26" s="2"/>
      <c r="S26" s="2"/>
      <c r="T26" s="2"/>
      <c r="U26" s="2"/>
    </row>
    <row r="27" spans="1:21" ht="17.25" customHeight="1">
      <c r="A27" s="69"/>
      <c r="B27" s="241"/>
      <c r="C27" s="236"/>
      <c r="D27" s="236" t="s">
        <v>1031</v>
      </c>
      <c r="E27" s="222" t="s">
        <v>823</v>
      </c>
      <c r="F27" s="228">
        <v>10175600</v>
      </c>
      <c r="G27" s="223">
        <v>995.5</v>
      </c>
      <c r="H27" s="223">
        <v>1006</v>
      </c>
      <c r="I27" s="223">
        <v>977.8</v>
      </c>
      <c r="J27" s="224">
        <v>977.8</v>
      </c>
      <c r="M27" s="3"/>
      <c r="N27" s="3"/>
      <c r="O27" s="3"/>
      <c r="P27" s="3"/>
      <c r="Q27" s="3"/>
      <c r="R27" s="2"/>
      <c r="S27" s="2"/>
      <c r="T27" s="2"/>
      <c r="U27" s="2"/>
    </row>
    <row r="28" spans="1:21" ht="17.25" customHeight="1">
      <c r="A28" s="69"/>
      <c r="B28" s="242"/>
      <c r="C28" s="237"/>
      <c r="D28" s="237" t="s">
        <v>1032</v>
      </c>
      <c r="E28" s="225" t="s">
        <v>823</v>
      </c>
      <c r="F28" s="229">
        <v>11845800</v>
      </c>
      <c r="G28" s="226">
        <v>989</v>
      </c>
      <c r="H28" s="226">
        <v>999.9</v>
      </c>
      <c r="I28" s="226">
        <v>969.2</v>
      </c>
      <c r="J28" s="227">
        <v>975.2</v>
      </c>
      <c r="M28" s="3"/>
      <c r="N28" s="3"/>
      <c r="O28" s="3"/>
      <c r="P28" s="3"/>
      <c r="Q28" s="3"/>
      <c r="R28" s="2"/>
      <c r="S28" s="2"/>
      <c r="T28" s="2"/>
      <c r="U28" s="2"/>
    </row>
    <row r="29" spans="1:21" ht="17.25" customHeight="1">
      <c r="A29" s="69"/>
      <c r="B29" s="241"/>
      <c r="C29" s="236"/>
      <c r="D29" s="236" t="s">
        <v>1033</v>
      </c>
      <c r="E29" s="222" t="s">
        <v>823</v>
      </c>
      <c r="F29" s="222">
        <v>7948500</v>
      </c>
      <c r="G29" s="223">
        <v>983.9</v>
      </c>
      <c r="H29" s="223">
        <v>984</v>
      </c>
      <c r="I29" s="223">
        <v>953.7</v>
      </c>
      <c r="J29" s="224">
        <v>956.5</v>
      </c>
      <c r="M29" s="3"/>
      <c r="N29" s="3"/>
      <c r="O29" s="3"/>
      <c r="P29" s="3"/>
      <c r="Q29" s="3"/>
      <c r="R29" s="2"/>
      <c r="S29" s="2"/>
      <c r="T29" s="2"/>
      <c r="U29" s="2"/>
    </row>
    <row r="30" spans="1:21" ht="17.25" customHeight="1">
      <c r="A30" s="69"/>
      <c r="B30" s="242"/>
      <c r="C30" s="237"/>
      <c r="D30" s="237" t="s">
        <v>1034</v>
      </c>
      <c r="E30" s="225" t="s">
        <v>823</v>
      </c>
      <c r="F30" s="225">
        <v>8693200</v>
      </c>
      <c r="G30" s="226">
        <v>950</v>
      </c>
      <c r="H30" s="226">
        <v>952.6</v>
      </c>
      <c r="I30" s="226">
        <v>931.1</v>
      </c>
      <c r="J30" s="227">
        <v>938.5</v>
      </c>
      <c r="M30" s="3"/>
      <c r="N30" s="3"/>
      <c r="O30" s="3"/>
      <c r="P30" s="3"/>
      <c r="Q30" s="3"/>
      <c r="R30" s="2"/>
      <c r="S30" s="2"/>
      <c r="T30" s="2"/>
      <c r="U30" s="2"/>
    </row>
    <row r="31" spans="1:21" ht="17.25" customHeight="1">
      <c r="A31" s="69"/>
      <c r="B31" s="241"/>
      <c r="C31" s="236"/>
      <c r="D31" s="236" t="s">
        <v>1035</v>
      </c>
      <c r="E31" s="222" t="s">
        <v>823</v>
      </c>
      <c r="F31" s="228">
        <v>8301900</v>
      </c>
      <c r="G31" s="223">
        <v>945</v>
      </c>
      <c r="H31" s="223">
        <v>969</v>
      </c>
      <c r="I31" s="223">
        <v>938</v>
      </c>
      <c r="J31" s="224">
        <v>954.1</v>
      </c>
      <c r="M31" s="3"/>
      <c r="N31" s="3"/>
      <c r="O31" s="3"/>
      <c r="P31" s="3"/>
      <c r="Q31" s="3"/>
      <c r="R31" s="2"/>
      <c r="S31" s="2"/>
      <c r="T31" s="2"/>
      <c r="U31" s="2"/>
    </row>
    <row r="32" spans="1:21" ht="17.25" customHeight="1">
      <c r="A32" s="69"/>
      <c r="B32" s="242"/>
      <c r="C32" s="237"/>
      <c r="D32" s="237" t="s">
        <v>1036</v>
      </c>
      <c r="E32" s="225" t="s">
        <v>823</v>
      </c>
      <c r="F32" s="229">
        <v>7832900</v>
      </c>
      <c r="G32" s="226">
        <v>949.6</v>
      </c>
      <c r="H32" s="226">
        <v>964.5</v>
      </c>
      <c r="I32" s="226">
        <v>947</v>
      </c>
      <c r="J32" s="227">
        <v>962.6</v>
      </c>
      <c r="N32" s="3"/>
      <c r="O32" s="3"/>
      <c r="P32" s="3"/>
      <c r="Q32" s="3"/>
      <c r="R32" s="3"/>
      <c r="S32" s="2"/>
      <c r="T32" s="2"/>
      <c r="U32" s="2"/>
    </row>
    <row r="33" spans="1:21" ht="17.25" customHeight="1">
      <c r="A33" s="69"/>
      <c r="B33" s="241"/>
      <c r="C33" s="236"/>
      <c r="D33" s="236" t="s">
        <v>1037</v>
      </c>
      <c r="E33" s="222" t="s">
        <v>823</v>
      </c>
      <c r="F33" s="228">
        <v>8479500</v>
      </c>
      <c r="G33" s="223">
        <v>969.5</v>
      </c>
      <c r="H33" s="223">
        <v>971.9</v>
      </c>
      <c r="I33" s="223">
        <v>954.7</v>
      </c>
      <c r="J33" s="224">
        <v>961.5</v>
      </c>
      <c r="N33" s="3"/>
      <c r="O33" s="3"/>
      <c r="P33" s="3"/>
      <c r="Q33" s="3"/>
      <c r="R33" s="3"/>
      <c r="S33" s="2"/>
      <c r="T33" s="2"/>
      <c r="U33" s="2"/>
    </row>
    <row r="34" spans="1:21" ht="17.25" customHeight="1">
      <c r="A34" s="69"/>
      <c r="B34" s="242"/>
      <c r="C34" s="237"/>
      <c r="D34" s="237" t="s">
        <v>1038</v>
      </c>
      <c r="E34" s="225" t="s">
        <v>823</v>
      </c>
      <c r="F34" s="225">
        <v>6233100</v>
      </c>
      <c r="G34" s="226">
        <v>957</v>
      </c>
      <c r="H34" s="226">
        <v>972.2</v>
      </c>
      <c r="I34" s="226">
        <v>954.1</v>
      </c>
      <c r="J34" s="227">
        <v>963.2</v>
      </c>
      <c r="N34" s="3"/>
      <c r="O34" s="3"/>
      <c r="P34" s="3"/>
      <c r="Q34" s="3"/>
      <c r="R34" s="3"/>
      <c r="S34" s="2"/>
      <c r="T34" s="2"/>
      <c r="U34" s="2"/>
    </row>
    <row r="35" spans="1:21" ht="17.25" customHeight="1">
      <c r="A35" s="69"/>
      <c r="B35" s="241"/>
      <c r="C35" s="236"/>
      <c r="D35" s="236" t="s">
        <v>1039</v>
      </c>
      <c r="E35" s="222" t="s">
        <v>823</v>
      </c>
      <c r="F35" s="222">
        <v>6870200</v>
      </c>
      <c r="G35" s="223">
        <v>953.9</v>
      </c>
      <c r="H35" s="223">
        <v>963.1</v>
      </c>
      <c r="I35" s="223">
        <v>940</v>
      </c>
      <c r="J35" s="224">
        <v>940</v>
      </c>
      <c r="N35" s="3"/>
      <c r="O35" s="3"/>
      <c r="P35" s="3"/>
      <c r="Q35" s="3"/>
      <c r="R35" s="3"/>
      <c r="S35" s="2"/>
      <c r="T35" s="2"/>
      <c r="U35" s="2"/>
    </row>
    <row r="36" spans="1:21" ht="17.25" customHeight="1">
      <c r="A36" s="69"/>
      <c r="B36" s="242"/>
      <c r="C36" s="237"/>
      <c r="D36" s="237" t="s">
        <v>1040</v>
      </c>
      <c r="E36" s="225" t="s">
        <v>823</v>
      </c>
      <c r="F36" s="229">
        <v>5711800</v>
      </c>
      <c r="G36" s="226">
        <v>950</v>
      </c>
      <c r="H36" s="226">
        <v>959.3</v>
      </c>
      <c r="I36" s="226">
        <v>946.3</v>
      </c>
      <c r="J36" s="227">
        <v>959.3</v>
      </c>
      <c r="N36" s="3"/>
      <c r="O36" s="3"/>
      <c r="P36" s="3"/>
      <c r="Q36" s="3"/>
      <c r="R36" s="3"/>
      <c r="S36" s="2"/>
      <c r="T36" s="2"/>
      <c r="U36" s="2"/>
    </row>
    <row r="37" spans="1:21" ht="17.25" customHeight="1">
      <c r="A37" s="69"/>
      <c r="B37" s="241"/>
      <c r="C37" s="236"/>
      <c r="D37" s="236" t="s">
        <v>1041</v>
      </c>
      <c r="E37" s="222" t="s">
        <v>823</v>
      </c>
      <c r="F37" s="228">
        <v>4821700</v>
      </c>
      <c r="G37" s="223">
        <v>959.4</v>
      </c>
      <c r="H37" s="223">
        <v>962.3</v>
      </c>
      <c r="I37" s="223">
        <v>942</v>
      </c>
      <c r="J37" s="224">
        <v>942</v>
      </c>
      <c r="N37" s="3"/>
      <c r="O37" s="3"/>
      <c r="P37" s="3"/>
      <c r="Q37" s="3"/>
      <c r="R37" s="3"/>
      <c r="S37" s="2"/>
      <c r="T37" s="2"/>
      <c r="U37" s="2"/>
    </row>
    <row r="38" spans="1:21" ht="17.25" customHeight="1">
      <c r="A38" s="69"/>
      <c r="B38" s="242"/>
      <c r="C38" s="237"/>
      <c r="D38" s="237" t="s">
        <v>1042</v>
      </c>
      <c r="E38" s="225" t="s">
        <v>823</v>
      </c>
      <c r="F38" s="229">
        <v>6811900</v>
      </c>
      <c r="G38" s="226">
        <v>949</v>
      </c>
      <c r="H38" s="226">
        <v>956.5</v>
      </c>
      <c r="I38" s="226">
        <v>941.5</v>
      </c>
      <c r="J38" s="227">
        <v>949.4</v>
      </c>
      <c r="N38" s="3"/>
      <c r="O38" s="3"/>
      <c r="P38" s="3"/>
      <c r="Q38" s="3"/>
      <c r="R38" s="3"/>
      <c r="S38" s="2"/>
      <c r="T38" s="2"/>
      <c r="U38" s="2"/>
    </row>
    <row r="39" spans="1:21" ht="17.25" customHeight="1">
      <c r="A39" s="69"/>
      <c r="B39" s="241"/>
      <c r="C39" s="236"/>
      <c r="D39" s="236" t="s">
        <v>1043</v>
      </c>
      <c r="E39" s="222" t="s">
        <v>823</v>
      </c>
      <c r="F39" s="222">
        <v>8867300</v>
      </c>
      <c r="G39" s="223">
        <v>944.3</v>
      </c>
      <c r="H39" s="223">
        <v>945.7</v>
      </c>
      <c r="I39" s="223">
        <v>914.5</v>
      </c>
      <c r="J39" s="224">
        <v>922</v>
      </c>
      <c r="N39" s="3"/>
      <c r="O39" s="3"/>
      <c r="P39" s="3"/>
      <c r="Q39" s="3"/>
      <c r="R39" s="3"/>
      <c r="S39" s="2"/>
      <c r="T39" s="2"/>
      <c r="U39" s="2"/>
    </row>
    <row r="40" spans="1:21" ht="17.25" customHeight="1">
      <c r="A40" s="69"/>
      <c r="B40" s="242"/>
      <c r="C40" s="237"/>
      <c r="D40" s="237" t="s">
        <v>1044</v>
      </c>
      <c r="E40" s="225" t="s">
        <v>823</v>
      </c>
      <c r="F40" s="229">
        <v>5115300</v>
      </c>
      <c r="G40" s="226">
        <v>919.5</v>
      </c>
      <c r="H40" s="226">
        <v>921.6</v>
      </c>
      <c r="I40" s="226">
        <v>910.1</v>
      </c>
      <c r="J40" s="227">
        <v>918.4</v>
      </c>
      <c r="N40" s="3"/>
      <c r="O40" s="3"/>
      <c r="P40" s="3"/>
      <c r="Q40" s="3"/>
      <c r="R40" s="3"/>
      <c r="S40" s="2"/>
      <c r="T40" s="2"/>
      <c r="U40" s="2"/>
    </row>
    <row r="41" spans="1:21" ht="17.25" customHeight="1">
      <c r="A41" s="69"/>
      <c r="B41" s="241"/>
      <c r="C41" s="236"/>
      <c r="D41" s="236" t="s">
        <v>1045</v>
      </c>
      <c r="E41" s="222" t="s">
        <v>823</v>
      </c>
      <c r="F41" s="228">
        <v>6641100</v>
      </c>
      <c r="G41" s="223">
        <v>914</v>
      </c>
      <c r="H41" s="223">
        <v>920.6</v>
      </c>
      <c r="I41" s="223">
        <v>906.1</v>
      </c>
      <c r="J41" s="224">
        <v>914.6</v>
      </c>
      <c r="N41" s="3"/>
      <c r="O41" s="3"/>
      <c r="P41" s="3"/>
      <c r="Q41" s="3"/>
      <c r="R41" s="3"/>
      <c r="S41" s="2"/>
      <c r="T41" s="2"/>
      <c r="U41" s="2"/>
    </row>
    <row r="42" spans="1:21" ht="17.25" customHeight="1">
      <c r="A42" s="69"/>
      <c r="B42" s="242"/>
      <c r="C42" s="237"/>
      <c r="D42" s="237" t="s">
        <v>1046</v>
      </c>
      <c r="E42" s="225" t="s">
        <v>823</v>
      </c>
      <c r="F42" s="229">
        <v>11586100</v>
      </c>
      <c r="G42" s="226">
        <v>902.1</v>
      </c>
      <c r="H42" s="226">
        <v>910.5</v>
      </c>
      <c r="I42" s="226">
        <v>898.1</v>
      </c>
      <c r="J42" s="227">
        <v>900.7</v>
      </c>
      <c r="N42" s="3"/>
      <c r="O42" s="3"/>
      <c r="P42" s="3"/>
      <c r="Q42" s="3"/>
      <c r="R42" s="3"/>
      <c r="S42" s="2"/>
      <c r="T42" s="2"/>
      <c r="U42" s="2"/>
    </row>
    <row r="43" spans="1:21" ht="17.25" customHeight="1">
      <c r="A43" s="69"/>
      <c r="B43" s="241"/>
      <c r="C43" s="236"/>
      <c r="D43" s="236" t="s">
        <v>1047</v>
      </c>
      <c r="E43" s="222" t="s">
        <v>823</v>
      </c>
      <c r="F43" s="222">
        <v>11175700</v>
      </c>
      <c r="G43" s="223">
        <v>889.1</v>
      </c>
      <c r="H43" s="223">
        <v>890.3</v>
      </c>
      <c r="I43" s="223">
        <v>872.7</v>
      </c>
      <c r="J43" s="224">
        <v>889.4</v>
      </c>
      <c r="N43" s="3"/>
      <c r="O43" s="3"/>
      <c r="P43" s="3"/>
      <c r="Q43" s="3"/>
      <c r="R43" s="3"/>
      <c r="S43" s="2"/>
      <c r="T43" s="2"/>
      <c r="U43" s="2"/>
    </row>
    <row r="44" spans="1:21" ht="17.25" customHeight="1">
      <c r="A44" s="69"/>
      <c r="B44" s="242"/>
      <c r="C44" s="237"/>
      <c r="D44" s="237" t="s">
        <v>1048</v>
      </c>
      <c r="E44" s="225" t="s">
        <v>823</v>
      </c>
      <c r="F44" s="225">
        <v>6483500</v>
      </c>
      <c r="G44" s="226">
        <v>880</v>
      </c>
      <c r="H44" s="226">
        <v>899.9</v>
      </c>
      <c r="I44" s="226">
        <v>879</v>
      </c>
      <c r="J44" s="227">
        <v>888</v>
      </c>
      <c r="N44" s="3"/>
      <c r="O44" s="3"/>
      <c r="P44" s="3"/>
      <c r="Q44" s="3"/>
      <c r="R44" s="3"/>
      <c r="S44" s="2"/>
      <c r="T44" s="2"/>
      <c r="U44" s="2"/>
    </row>
    <row r="45" spans="1:21" ht="15.75" customHeight="1">
      <c r="A45" s="69"/>
      <c r="B45" s="241"/>
      <c r="C45" s="236"/>
      <c r="D45" s="236" t="s">
        <v>1049</v>
      </c>
      <c r="E45" s="222" t="s">
        <v>823</v>
      </c>
      <c r="F45" s="228">
        <v>12605500</v>
      </c>
      <c r="G45" s="223">
        <v>890</v>
      </c>
      <c r="H45" s="223">
        <v>892.2</v>
      </c>
      <c r="I45" s="223">
        <v>869.3</v>
      </c>
      <c r="J45" s="224">
        <v>887.3</v>
      </c>
      <c r="N45" s="3"/>
      <c r="O45" s="3"/>
      <c r="P45" s="3"/>
      <c r="Q45" s="3"/>
      <c r="R45" s="3"/>
      <c r="S45" s="2"/>
      <c r="T45" s="2"/>
      <c r="U45" s="2"/>
    </row>
    <row r="46" spans="1:21" ht="15.75" customHeight="1">
      <c r="A46" s="69"/>
      <c r="B46" s="242"/>
      <c r="C46" s="237"/>
      <c r="D46" s="237" t="s">
        <v>1050</v>
      </c>
      <c r="E46" s="225" t="s">
        <v>823</v>
      </c>
      <c r="F46" s="229">
        <v>8199800</v>
      </c>
      <c r="G46" s="226">
        <v>888</v>
      </c>
      <c r="H46" s="226">
        <v>897.8</v>
      </c>
      <c r="I46" s="226">
        <v>882.1</v>
      </c>
      <c r="J46" s="227">
        <v>883.5</v>
      </c>
      <c r="N46" s="3"/>
      <c r="O46" s="3"/>
      <c r="P46" s="3"/>
      <c r="Q46" s="3"/>
      <c r="R46" s="3"/>
      <c r="S46" s="2"/>
      <c r="T46" s="2"/>
      <c r="U46" s="2"/>
    </row>
    <row r="47" spans="1:21" ht="15.75" customHeight="1">
      <c r="A47" s="69"/>
      <c r="B47" s="241"/>
      <c r="C47" s="236"/>
      <c r="D47" s="236" t="s">
        <v>1051</v>
      </c>
      <c r="E47" s="222" t="s">
        <v>823</v>
      </c>
      <c r="F47" s="228">
        <v>8683900</v>
      </c>
      <c r="G47" s="223">
        <v>887.3</v>
      </c>
      <c r="H47" s="223">
        <v>915.5</v>
      </c>
      <c r="I47" s="223">
        <v>881.7</v>
      </c>
      <c r="J47" s="224">
        <v>907.3</v>
      </c>
      <c r="N47" s="3"/>
      <c r="O47" s="3"/>
      <c r="P47" s="3"/>
      <c r="Q47" s="3"/>
      <c r="R47" s="3"/>
      <c r="S47" s="2"/>
      <c r="T47" s="2"/>
      <c r="U47" s="2"/>
    </row>
    <row r="48" spans="1:21" ht="15.75" customHeight="1">
      <c r="A48" s="69"/>
      <c r="B48" s="242"/>
      <c r="C48" s="237"/>
      <c r="D48" s="237" t="s">
        <v>1052</v>
      </c>
      <c r="E48" s="225" t="s">
        <v>823</v>
      </c>
      <c r="F48" s="225">
        <v>6062600</v>
      </c>
      <c r="G48" s="226">
        <v>896.7</v>
      </c>
      <c r="H48" s="226">
        <v>903.5</v>
      </c>
      <c r="I48" s="226">
        <v>887.5</v>
      </c>
      <c r="J48" s="227">
        <v>893.8</v>
      </c>
      <c r="N48" s="3"/>
      <c r="O48" s="3"/>
      <c r="P48" s="3"/>
      <c r="Q48" s="3"/>
      <c r="R48" s="3"/>
      <c r="S48" s="2"/>
      <c r="T48" s="2"/>
      <c r="U48" s="2"/>
    </row>
    <row r="49" spans="1:21" ht="15.75" customHeight="1">
      <c r="A49" s="69"/>
      <c r="B49" s="241"/>
      <c r="C49" s="236"/>
      <c r="D49" s="236" t="s">
        <v>1053</v>
      </c>
      <c r="E49" s="222" t="s">
        <v>823</v>
      </c>
      <c r="F49" s="228">
        <v>11563500</v>
      </c>
      <c r="G49" s="223">
        <v>885</v>
      </c>
      <c r="H49" s="223">
        <v>895.3</v>
      </c>
      <c r="I49" s="223">
        <v>878.5</v>
      </c>
      <c r="J49" s="224">
        <v>883.6</v>
      </c>
      <c r="N49" s="3"/>
      <c r="O49" s="3"/>
      <c r="P49" s="3"/>
      <c r="Q49" s="3"/>
      <c r="R49" s="3"/>
      <c r="S49" s="2"/>
      <c r="T49" s="2"/>
      <c r="U49" s="2"/>
    </row>
    <row r="50" spans="1:21" ht="15.75" customHeight="1">
      <c r="A50" s="69"/>
      <c r="B50" s="242"/>
      <c r="C50" s="237"/>
      <c r="D50" s="237" t="s">
        <v>1054</v>
      </c>
      <c r="E50" s="225" t="s">
        <v>823</v>
      </c>
      <c r="F50" s="225">
        <v>15717300</v>
      </c>
      <c r="G50" s="226">
        <v>868.6</v>
      </c>
      <c r="H50" s="226">
        <v>875.2</v>
      </c>
      <c r="I50" s="226">
        <v>841</v>
      </c>
      <c r="J50" s="227">
        <v>858</v>
      </c>
      <c r="N50" s="3"/>
      <c r="O50" s="3"/>
      <c r="P50" s="3"/>
      <c r="Q50" s="3"/>
      <c r="R50" s="3"/>
      <c r="S50" s="2"/>
      <c r="T50" s="2"/>
      <c r="U50" s="2"/>
    </row>
    <row r="51" spans="1:21" ht="15.75" customHeight="1">
      <c r="A51" s="69"/>
      <c r="B51" s="241"/>
      <c r="C51" s="236"/>
      <c r="D51" s="236" t="s">
        <v>1055</v>
      </c>
      <c r="E51" s="222" t="s">
        <v>823</v>
      </c>
      <c r="F51" s="228">
        <v>9131900</v>
      </c>
      <c r="G51" s="223">
        <v>843</v>
      </c>
      <c r="H51" s="223">
        <v>871.3</v>
      </c>
      <c r="I51" s="223">
        <v>842.1</v>
      </c>
      <c r="J51" s="224">
        <v>871.3</v>
      </c>
      <c r="N51" s="3"/>
      <c r="O51" s="3"/>
      <c r="P51" s="3"/>
      <c r="Q51" s="3"/>
      <c r="R51" s="3"/>
      <c r="S51" s="2"/>
      <c r="T51" s="2"/>
      <c r="U51" s="2"/>
    </row>
    <row r="52" spans="1:21" ht="15.75" customHeight="1">
      <c r="A52" s="69"/>
      <c r="B52" s="242"/>
      <c r="C52" s="237"/>
      <c r="D52" s="237" t="s">
        <v>1056</v>
      </c>
      <c r="E52" s="225" t="s">
        <v>823</v>
      </c>
      <c r="F52" s="229">
        <v>9284700</v>
      </c>
      <c r="G52" s="226">
        <v>871.6</v>
      </c>
      <c r="H52" s="226">
        <v>888.5</v>
      </c>
      <c r="I52" s="226">
        <v>868.9</v>
      </c>
      <c r="J52" s="227">
        <v>871.3</v>
      </c>
      <c r="N52" s="3"/>
      <c r="O52" s="3"/>
      <c r="P52" s="3"/>
      <c r="Q52" s="3"/>
      <c r="R52" s="3"/>
      <c r="S52" s="2"/>
      <c r="T52" s="2"/>
      <c r="U52" s="2"/>
    </row>
    <row r="53" spans="1:21" ht="15.75" customHeight="1">
      <c r="A53" s="69"/>
      <c r="B53" s="241"/>
      <c r="C53" s="236"/>
      <c r="D53" s="236" t="s">
        <v>1057</v>
      </c>
      <c r="E53" s="222" t="s">
        <v>823</v>
      </c>
      <c r="F53" s="228">
        <v>8372100</v>
      </c>
      <c r="G53" s="223">
        <v>886.3</v>
      </c>
      <c r="H53" s="223">
        <v>889.8</v>
      </c>
      <c r="I53" s="223">
        <v>866</v>
      </c>
      <c r="J53" s="224">
        <v>884.8</v>
      </c>
      <c r="N53" s="3"/>
      <c r="O53" s="3"/>
      <c r="P53" s="3"/>
      <c r="Q53" s="3"/>
      <c r="R53" s="3"/>
      <c r="S53" s="2"/>
      <c r="T53" s="2"/>
      <c r="U53" s="2"/>
    </row>
    <row r="54" spans="1:21" ht="15.75" customHeight="1">
      <c r="A54" s="69"/>
      <c r="B54" s="242"/>
      <c r="C54" s="237"/>
      <c r="D54" s="237" t="s">
        <v>1058</v>
      </c>
      <c r="E54" s="225" t="s">
        <v>823</v>
      </c>
      <c r="F54" s="229">
        <v>9807500</v>
      </c>
      <c r="G54" s="226">
        <v>895</v>
      </c>
      <c r="H54" s="226">
        <v>895.5</v>
      </c>
      <c r="I54" s="226">
        <v>865.3</v>
      </c>
      <c r="J54" s="227">
        <v>872.1</v>
      </c>
      <c r="N54" s="3"/>
      <c r="O54" s="3"/>
      <c r="P54" s="3"/>
      <c r="Q54" s="3"/>
      <c r="R54" s="3"/>
      <c r="S54" s="2"/>
      <c r="T54" s="2"/>
      <c r="U54" s="2"/>
    </row>
    <row r="55" spans="1:21" ht="15.75" customHeight="1">
      <c r="A55" s="69"/>
      <c r="B55" s="241"/>
      <c r="C55" s="236"/>
      <c r="D55" s="236" t="s">
        <v>1059</v>
      </c>
      <c r="E55" s="222" t="s">
        <v>823</v>
      </c>
      <c r="F55" s="228">
        <v>10250600</v>
      </c>
      <c r="G55" s="223">
        <v>872.4</v>
      </c>
      <c r="H55" s="223">
        <v>873.2</v>
      </c>
      <c r="I55" s="223">
        <v>859.6</v>
      </c>
      <c r="J55" s="224">
        <v>867.1</v>
      </c>
      <c r="N55" s="3"/>
      <c r="O55" s="3"/>
      <c r="P55" s="3"/>
      <c r="Q55" s="3"/>
      <c r="R55" s="3"/>
      <c r="S55" s="2"/>
      <c r="T55" s="2"/>
      <c r="U55" s="2"/>
    </row>
    <row r="56" spans="1:21" ht="15.75" customHeight="1">
      <c r="A56" s="69"/>
      <c r="B56" s="242"/>
      <c r="C56" s="237"/>
      <c r="D56" s="237" t="s">
        <v>1060</v>
      </c>
      <c r="E56" s="225" t="s">
        <v>823</v>
      </c>
      <c r="F56" s="229">
        <v>9405200</v>
      </c>
      <c r="G56" s="226">
        <v>855.6</v>
      </c>
      <c r="H56" s="226">
        <v>878.4</v>
      </c>
      <c r="I56" s="226">
        <v>854.9</v>
      </c>
      <c r="J56" s="227">
        <v>866.9</v>
      </c>
      <c r="N56" s="3"/>
      <c r="O56" s="3"/>
      <c r="P56" s="3"/>
      <c r="Q56" s="3"/>
      <c r="R56" s="3"/>
      <c r="S56" s="2"/>
      <c r="T56" s="2"/>
      <c r="U56" s="2"/>
    </row>
    <row r="57" spans="1:21" ht="15.75" customHeight="1">
      <c r="A57" s="69"/>
      <c r="B57" s="241"/>
      <c r="C57" s="236"/>
      <c r="D57" s="236" t="s">
        <v>1061</v>
      </c>
      <c r="E57" s="222" t="s">
        <v>823</v>
      </c>
      <c r="F57" s="228">
        <v>13279300</v>
      </c>
      <c r="G57" s="223">
        <v>862.9</v>
      </c>
      <c r="H57" s="223">
        <v>865</v>
      </c>
      <c r="I57" s="223">
        <v>818.4</v>
      </c>
      <c r="J57" s="224">
        <v>824.6</v>
      </c>
      <c r="N57" s="3"/>
      <c r="O57" s="3"/>
      <c r="P57" s="3"/>
      <c r="Q57" s="3"/>
      <c r="R57" s="3"/>
      <c r="S57" s="2"/>
      <c r="T57" s="2"/>
      <c r="U57" s="2"/>
    </row>
    <row r="58" spans="1:21" ht="15.75" customHeight="1">
      <c r="A58" s="69"/>
      <c r="B58" s="242"/>
      <c r="C58" s="237"/>
      <c r="D58" s="237" t="s">
        <v>1062</v>
      </c>
      <c r="E58" s="225" t="s">
        <v>823</v>
      </c>
      <c r="F58" s="229">
        <v>13257500</v>
      </c>
      <c r="G58" s="226">
        <v>818.7</v>
      </c>
      <c r="H58" s="226">
        <v>826.2</v>
      </c>
      <c r="I58" s="226">
        <v>801.6</v>
      </c>
      <c r="J58" s="227">
        <v>809.4</v>
      </c>
      <c r="N58" s="3"/>
      <c r="O58" s="3"/>
      <c r="P58" s="3"/>
      <c r="Q58" s="3"/>
      <c r="R58" s="3"/>
      <c r="S58" s="2"/>
      <c r="T58" s="2"/>
      <c r="U58" s="2"/>
    </row>
    <row r="59" spans="1:21" ht="15.75" customHeight="1">
      <c r="A59" s="69"/>
      <c r="B59" s="241"/>
      <c r="C59" s="236"/>
      <c r="D59" s="236" t="s">
        <v>1063</v>
      </c>
      <c r="E59" s="222" t="s">
        <v>823</v>
      </c>
      <c r="F59" s="228">
        <v>13791600</v>
      </c>
      <c r="G59" s="223">
        <v>819.4</v>
      </c>
      <c r="H59" s="223">
        <v>819.4</v>
      </c>
      <c r="I59" s="223">
        <v>801</v>
      </c>
      <c r="J59" s="224">
        <v>819</v>
      </c>
      <c r="N59" s="3"/>
      <c r="O59" s="3"/>
      <c r="P59" s="3"/>
      <c r="Q59" s="3"/>
      <c r="R59" s="3"/>
      <c r="S59" s="2"/>
      <c r="T59" s="2"/>
      <c r="U59" s="2"/>
    </row>
    <row r="60" spans="1:21" ht="15.75" customHeight="1">
      <c r="A60" s="69"/>
      <c r="B60" s="242"/>
      <c r="C60" s="237"/>
      <c r="D60" s="237" t="s">
        <v>1064</v>
      </c>
      <c r="E60" s="225" t="s">
        <v>823</v>
      </c>
      <c r="F60" s="229">
        <v>16167200</v>
      </c>
      <c r="G60" s="226">
        <v>839.8</v>
      </c>
      <c r="H60" s="226">
        <v>861.9</v>
      </c>
      <c r="I60" s="226">
        <v>836.8</v>
      </c>
      <c r="J60" s="227">
        <v>858.5</v>
      </c>
      <c r="N60" s="3"/>
      <c r="O60" s="3"/>
      <c r="P60" s="3"/>
      <c r="Q60" s="3"/>
      <c r="R60" s="3"/>
      <c r="S60" s="2"/>
      <c r="T60" s="2"/>
      <c r="U60" s="2"/>
    </row>
    <row r="61" spans="1:21" ht="15.75" customHeight="1">
      <c r="A61" s="69"/>
      <c r="B61" s="241"/>
      <c r="C61" s="236"/>
      <c r="D61" s="236" t="s">
        <v>1065</v>
      </c>
      <c r="E61" s="222" t="s">
        <v>823</v>
      </c>
      <c r="F61" s="228">
        <v>24956100</v>
      </c>
      <c r="G61" s="223">
        <v>861.9</v>
      </c>
      <c r="H61" s="223">
        <v>907.4</v>
      </c>
      <c r="I61" s="223">
        <v>856.4</v>
      </c>
      <c r="J61" s="224">
        <v>878.2</v>
      </c>
      <c r="N61" s="3"/>
      <c r="O61" s="3"/>
      <c r="P61" s="3"/>
      <c r="Q61" s="3"/>
      <c r="R61" s="3"/>
      <c r="S61" s="2"/>
      <c r="T61" s="2"/>
      <c r="U61" s="2"/>
    </row>
    <row r="62" spans="1:21" ht="15.75" customHeight="1">
      <c r="A62" s="69"/>
      <c r="B62" s="242"/>
      <c r="C62" s="237"/>
      <c r="D62" s="237" t="s">
        <v>1066</v>
      </c>
      <c r="E62" s="225" t="s">
        <v>823</v>
      </c>
      <c r="F62" s="229">
        <v>12430600</v>
      </c>
      <c r="G62" s="226">
        <v>881</v>
      </c>
      <c r="H62" s="226">
        <v>882.6</v>
      </c>
      <c r="I62" s="226">
        <v>819.7</v>
      </c>
      <c r="J62" s="227">
        <v>823.5</v>
      </c>
      <c r="N62" s="3"/>
      <c r="O62" s="3"/>
      <c r="P62" s="3"/>
      <c r="Q62" s="3"/>
      <c r="R62" s="3"/>
      <c r="S62" s="2"/>
      <c r="T62" s="2"/>
      <c r="U62" s="2"/>
    </row>
    <row r="63" spans="1:21" ht="15.75" customHeight="1">
      <c r="A63" s="69"/>
      <c r="B63" s="243"/>
      <c r="C63" s="238"/>
      <c r="D63" s="238" t="s">
        <v>1067</v>
      </c>
      <c r="E63" s="230" t="s">
        <v>823</v>
      </c>
      <c r="F63" s="231">
        <v>9167400</v>
      </c>
      <c r="G63" s="232">
        <v>808.5</v>
      </c>
      <c r="H63" s="232">
        <v>833.5</v>
      </c>
      <c r="I63" s="232">
        <v>794.7</v>
      </c>
      <c r="J63" s="233">
        <v>826.7</v>
      </c>
      <c r="N63" s="3"/>
      <c r="O63" s="3"/>
      <c r="P63" s="3"/>
      <c r="Q63" s="3"/>
      <c r="R63" s="3"/>
      <c r="S63" s="2"/>
      <c r="T63" s="2"/>
      <c r="U63" s="2"/>
    </row>
    <row r="64" spans="1:21">
      <c r="A64" s="69"/>
      <c r="B64" s="3"/>
      <c r="C64" s="3"/>
      <c r="D64" s="3" t="s">
        <v>1068</v>
      </c>
      <c r="E64" s="3" t="s">
        <v>823</v>
      </c>
      <c r="F64" s="1">
        <v>9425900</v>
      </c>
      <c r="G64" s="2">
        <v>814</v>
      </c>
      <c r="H64" s="2">
        <v>829.4</v>
      </c>
      <c r="I64" s="2">
        <v>807.3</v>
      </c>
      <c r="J64" s="2">
        <v>824.6</v>
      </c>
      <c r="N64" s="3"/>
      <c r="O64" s="3"/>
      <c r="P64" s="3"/>
      <c r="Q64" s="3"/>
      <c r="R64" s="3"/>
      <c r="S64" s="2"/>
      <c r="T64" s="2"/>
      <c r="U64" s="2"/>
    </row>
    <row r="65" spans="1:21">
      <c r="A65" s="69"/>
      <c r="B65" s="3"/>
      <c r="C65" s="3"/>
      <c r="D65" s="3" t="s">
        <v>1069</v>
      </c>
      <c r="E65" s="3" t="s">
        <v>823</v>
      </c>
      <c r="F65" s="1">
        <v>9390800</v>
      </c>
      <c r="G65" s="2">
        <v>825</v>
      </c>
      <c r="H65" s="2">
        <v>844.4</v>
      </c>
      <c r="I65" s="2">
        <v>820.2</v>
      </c>
      <c r="J65" s="2">
        <v>826.1</v>
      </c>
      <c r="N65" s="3"/>
      <c r="O65" s="3"/>
      <c r="P65" s="3"/>
      <c r="Q65" s="3"/>
      <c r="R65" s="3"/>
      <c r="S65" s="2"/>
      <c r="T65" s="2"/>
      <c r="U65" s="2"/>
    </row>
    <row r="66" spans="1:21">
      <c r="A66" s="69"/>
      <c r="B66" s="3"/>
      <c r="C66" s="3"/>
      <c r="D66" s="3" t="s">
        <v>1070</v>
      </c>
      <c r="E66" s="3" t="s">
        <v>823</v>
      </c>
      <c r="F66" s="1">
        <v>6266300</v>
      </c>
      <c r="G66" s="2">
        <v>825</v>
      </c>
      <c r="H66" s="2">
        <v>843.7</v>
      </c>
      <c r="I66" s="2">
        <v>822.2</v>
      </c>
      <c r="J66" s="2">
        <v>831.9</v>
      </c>
      <c r="N66" s="3"/>
      <c r="O66" s="3"/>
      <c r="P66" s="3"/>
      <c r="Q66" s="3"/>
      <c r="R66" s="3"/>
      <c r="S66" s="2"/>
      <c r="T66" s="2"/>
      <c r="U66" s="2"/>
    </row>
    <row r="67" spans="1:21">
      <c r="A67" s="69"/>
      <c r="B67" s="3"/>
      <c r="C67" s="3"/>
      <c r="D67" s="3" t="s">
        <v>1071</v>
      </c>
      <c r="E67" s="3" t="s">
        <v>823</v>
      </c>
      <c r="F67" s="1">
        <v>10968100</v>
      </c>
      <c r="G67" s="2">
        <v>846.9</v>
      </c>
      <c r="H67" s="2">
        <v>856</v>
      </c>
      <c r="I67" s="2">
        <v>829</v>
      </c>
      <c r="J67" s="2">
        <v>839.3</v>
      </c>
      <c r="N67" s="3"/>
      <c r="O67" s="3"/>
      <c r="P67" s="3"/>
      <c r="Q67" s="3"/>
      <c r="R67" s="3"/>
      <c r="S67" s="2"/>
      <c r="T67" s="2"/>
      <c r="U67" s="2"/>
    </row>
    <row r="68" spans="1:21">
      <c r="A68" s="69"/>
      <c r="B68" s="3"/>
      <c r="C68" s="3"/>
      <c r="D68" s="3" t="s">
        <v>1072</v>
      </c>
      <c r="E68" s="3" t="s">
        <v>823</v>
      </c>
      <c r="F68" s="1">
        <v>7836700</v>
      </c>
      <c r="G68" s="2">
        <v>853.6</v>
      </c>
      <c r="H68" s="2">
        <v>854.6</v>
      </c>
      <c r="I68" s="2">
        <v>833.2</v>
      </c>
      <c r="J68" s="2">
        <v>833.2</v>
      </c>
      <c r="N68" s="3"/>
      <c r="O68" s="3"/>
      <c r="P68" s="3"/>
      <c r="Q68" s="3"/>
      <c r="R68" s="3"/>
      <c r="S68" s="2"/>
      <c r="T68" s="2"/>
      <c r="U68" s="2"/>
    </row>
    <row r="69" spans="1:21">
      <c r="A69" s="69"/>
      <c r="B69" s="3"/>
      <c r="C69" s="3"/>
      <c r="D69" s="3" t="s">
        <v>1073</v>
      </c>
      <c r="E69" s="3" t="s">
        <v>823</v>
      </c>
      <c r="F69" s="1">
        <v>8280200</v>
      </c>
      <c r="G69" s="2">
        <v>846</v>
      </c>
      <c r="H69" s="2">
        <v>851.8</v>
      </c>
      <c r="I69" s="2">
        <v>836.4</v>
      </c>
      <c r="J69" s="2">
        <v>849</v>
      </c>
      <c r="N69" s="3"/>
      <c r="O69" s="3"/>
      <c r="P69" s="3"/>
      <c r="Q69" s="3"/>
      <c r="R69" s="3"/>
      <c r="S69" s="2"/>
      <c r="T69" s="2"/>
      <c r="U69" s="2"/>
    </row>
    <row r="70" spans="1:21">
      <c r="A70" s="69"/>
      <c r="B70" s="309"/>
      <c r="C70" s="309"/>
      <c r="D70" s="309" t="s">
        <v>1074</v>
      </c>
      <c r="E70" s="309" t="s">
        <v>823</v>
      </c>
      <c r="F70" s="310">
        <v>13632800</v>
      </c>
      <c r="G70" s="311">
        <v>883</v>
      </c>
      <c r="H70" s="311">
        <v>893.5</v>
      </c>
      <c r="I70" s="311">
        <v>860.6</v>
      </c>
      <c r="J70" s="311">
        <v>867.8</v>
      </c>
      <c r="N70" s="3"/>
      <c r="O70" s="3"/>
      <c r="P70" s="3"/>
      <c r="Q70" s="3"/>
      <c r="R70" s="3"/>
      <c r="S70" s="2"/>
      <c r="T70" s="2"/>
      <c r="U70" s="2"/>
    </row>
    <row r="71" spans="1:21">
      <c r="A71" s="69"/>
      <c r="B71" s="309"/>
      <c r="C71" s="309"/>
      <c r="D71" s="309" t="s">
        <v>1075</v>
      </c>
      <c r="E71" s="309" t="s">
        <v>823</v>
      </c>
      <c r="F71" s="310">
        <v>11446700</v>
      </c>
      <c r="G71" s="311">
        <v>860.6</v>
      </c>
      <c r="H71" s="311">
        <v>869.7</v>
      </c>
      <c r="I71" s="311">
        <v>851.6</v>
      </c>
      <c r="J71" s="311">
        <v>855.3</v>
      </c>
      <c r="N71" s="3"/>
      <c r="O71" s="3"/>
      <c r="P71" s="3"/>
      <c r="Q71" s="3"/>
      <c r="R71" s="3"/>
      <c r="S71" s="2"/>
      <c r="T71" s="2"/>
      <c r="U71" s="2"/>
    </row>
    <row r="72" spans="1:21">
      <c r="A72" s="69"/>
      <c r="B72" s="309"/>
      <c r="C72" s="309"/>
      <c r="D72" s="309" t="s">
        <v>1076</v>
      </c>
      <c r="E72" s="309" t="s">
        <v>823</v>
      </c>
      <c r="F72" s="310">
        <v>10026400</v>
      </c>
      <c r="G72" s="311">
        <v>852.4</v>
      </c>
      <c r="H72" s="311">
        <v>858.6</v>
      </c>
      <c r="I72" s="311">
        <v>837.2</v>
      </c>
      <c r="J72" s="311">
        <v>837.2</v>
      </c>
      <c r="N72" s="3"/>
      <c r="O72" s="3"/>
      <c r="P72" s="3"/>
      <c r="Q72" s="3"/>
      <c r="R72" s="3"/>
      <c r="S72" s="2"/>
      <c r="T72" s="2"/>
      <c r="U72" s="2"/>
    </row>
    <row r="73" spans="1:21">
      <c r="A73" s="69"/>
      <c r="B73" s="309"/>
      <c r="C73" s="309"/>
      <c r="D73" s="309" t="s">
        <v>1077</v>
      </c>
      <c r="E73" s="309" t="s">
        <v>823</v>
      </c>
      <c r="F73" s="310">
        <v>10168000</v>
      </c>
      <c r="G73" s="311">
        <v>827.8</v>
      </c>
      <c r="H73" s="311">
        <v>836.3</v>
      </c>
      <c r="I73" s="311">
        <v>822.5</v>
      </c>
      <c r="J73" s="311">
        <v>834.6</v>
      </c>
      <c r="N73" s="3"/>
      <c r="O73" s="3"/>
      <c r="P73" s="3"/>
      <c r="Q73" s="3"/>
      <c r="R73" s="3"/>
      <c r="S73" s="2"/>
      <c r="T73" s="2"/>
      <c r="U73" s="2"/>
    </row>
    <row r="74" spans="1:21">
      <c r="A74" s="69"/>
      <c r="B74" s="309"/>
      <c r="C74" s="309"/>
      <c r="D74" s="309" t="s">
        <v>1078</v>
      </c>
      <c r="E74" s="309" t="s">
        <v>823</v>
      </c>
      <c r="F74" s="310">
        <v>7820900</v>
      </c>
      <c r="G74" s="311">
        <v>836</v>
      </c>
      <c r="H74" s="311">
        <v>852.4</v>
      </c>
      <c r="I74" s="311">
        <v>833.8</v>
      </c>
      <c r="J74" s="311">
        <v>835.6</v>
      </c>
      <c r="N74" s="3"/>
      <c r="O74" s="3"/>
      <c r="P74" s="3"/>
      <c r="Q74" s="3"/>
      <c r="R74" s="3"/>
      <c r="S74" s="2"/>
      <c r="T74" s="2"/>
      <c r="U74" s="2"/>
    </row>
    <row r="75" spans="1:21">
      <c r="A75" s="69"/>
      <c r="B75" s="309"/>
      <c r="C75" s="309"/>
      <c r="D75" s="309" t="s">
        <v>1079</v>
      </c>
      <c r="E75" s="309" t="s">
        <v>823</v>
      </c>
      <c r="F75" s="310">
        <v>7911200</v>
      </c>
      <c r="G75" s="311">
        <v>840</v>
      </c>
      <c r="H75" s="311">
        <v>845.4</v>
      </c>
      <c r="I75" s="311">
        <v>825.3</v>
      </c>
      <c r="J75" s="311">
        <v>835.3</v>
      </c>
      <c r="N75" s="3"/>
      <c r="O75" s="3"/>
      <c r="P75" s="3"/>
      <c r="Q75" s="3"/>
      <c r="R75" s="3"/>
      <c r="S75" s="2"/>
      <c r="T75" s="2"/>
      <c r="U75" s="2"/>
    </row>
    <row r="76" spans="1:21">
      <c r="A76" s="69"/>
      <c r="B76" s="309"/>
      <c r="C76" s="309"/>
      <c r="D76" s="309" t="s">
        <v>1080</v>
      </c>
      <c r="E76" s="309" t="s">
        <v>823</v>
      </c>
      <c r="F76" s="310">
        <v>13115400</v>
      </c>
      <c r="G76" s="311">
        <v>826.7</v>
      </c>
      <c r="H76" s="311">
        <v>828.7</v>
      </c>
      <c r="I76" s="311">
        <v>811</v>
      </c>
      <c r="J76" s="311">
        <v>819</v>
      </c>
      <c r="N76" s="3"/>
      <c r="O76" s="3"/>
      <c r="P76" s="3"/>
      <c r="Q76" s="3"/>
      <c r="R76" s="3"/>
      <c r="S76" s="2"/>
      <c r="T76" s="2"/>
      <c r="U76" s="2"/>
    </row>
    <row r="77" spans="1:21">
      <c r="A77" s="69"/>
      <c r="B77" s="309"/>
      <c r="C77" s="309"/>
      <c r="D77" s="309" t="s">
        <v>1081</v>
      </c>
      <c r="E77" s="309" t="s">
        <v>823</v>
      </c>
      <c r="F77" s="309">
        <v>8875500</v>
      </c>
      <c r="G77" s="311">
        <v>815.1</v>
      </c>
      <c r="H77" s="311">
        <v>822.3</v>
      </c>
      <c r="I77" s="311">
        <v>809.8</v>
      </c>
      <c r="J77" s="311">
        <v>816.4</v>
      </c>
      <c r="N77" s="3"/>
      <c r="O77" s="3"/>
      <c r="P77" s="3"/>
      <c r="Q77" s="3"/>
      <c r="R77" s="3"/>
      <c r="S77" s="2"/>
      <c r="T77" s="2"/>
      <c r="U77" s="2"/>
    </row>
    <row r="78" spans="1:21">
      <c r="A78" s="69"/>
      <c r="B78" s="309"/>
      <c r="C78" s="309"/>
      <c r="D78" s="309" t="s">
        <v>1082</v>
      </c>
      <c r="E78" s="309" t="s">
        <v>823</v>
      </c>
      <c r="F78" s="310">
        <v>10696300</v>
      </c>
      <c r="G78" s="311">
        <v>811.9</v>
      </c>
      <c r="H78" s="311">
        <v>824.4</v>
      </c>
      <c r="I78" s="311">
        <v>806.1</v>
      </c>
      <c r="J78" s="311">
        <v>813.4</v>
      </c>
      <c r="N78" s="3"/>
      <c r="O78" s="3"/>
      <c r="P78" s="3"/>
      <c r="Q78" s="3"/>
      <c r="R78" s="3"/>
      <c r="S78" s="2"/>
      <c r="T78" s="2"/>
      <c r="U78" s="2"/>
    </row>
    <row r="79" spans="1:21">
      <c r="A79" s="69"/>
      <c r="B79" s="309"/>
      <c r="C79" s="309"/>
      <c r="D79" s="309" t="s">
        <v>1083</v>
      </c>
      <c r="E79" s="309" t="s">
        <v>823</v>
      </c>
      <c r="F79" s="310">
        <v>10505100</v>
      </c>
      <c r="G79" s="311">
        <v>815.9</v>
      </c>
      <c r="H79" s="311">
        <v>832</v>
      </c>
      <c r="I79" s="311">
        <v>815.1</v>
      </c>
      <c r="J79" s="311">
        <v>818.5</v>
      </c>
      <c r="N79" s="3"/>
      <c r="O79" s="3"/>
      <c r="P79" s="3"/>
      <c r="Q79" s="3"/>
      <c r="R79" s="3"/>
      <c r="S79" s="2"/>
      <c r="T79" s="2"/>
      <c r="U79" s="2"/>
    </row>
    <row r="80" spans="1:21">
      <c r="A80" s="69"/>
      <c r="B80" s="309"/>
      <c r="C80" s="309"/>
      <c r="D80" s="309" t="s">
        <v>1084</v>
      </c>
      <c r="E80" s="309" t="s">
        <v>823</v>
      </c>
      <c r="F80" s="310">
        <v>10826200</v>
      </c>
      <c r="G80" s="311">
        <v>822.7</v>
      </c>
      <c r="H80" s="311">
        <v>831</v>
      </c>
      <c r="I80" s="311">
        <v>813.5</v>
      </c>
      <c r="J80" s="311">
        <v>820.7</v>
      </c>
      <c r="N80" s="3"/>
      <c r="O80" s="3"/>
      <c r="P80" s="3"/>
      <c r="Q80" s="3"/>
      <c r="R80" s="3"/>
      <c r="S80" s="2"/>
      <c r="T80" s="2"/>
      <c r="U80" s="2"/>
    </row>
    <row r="81" spans="1:21">
      <c r="A81" s="69"/>
      <c r="B81" s="309"/>
      <c r="C81" s="309"/>
      <c r="D81" s="309" t="s">
        <v>1085</v>
      </c>
      <c r="E81" s="309" t="s">
        <v>823</v>
      </c>
      <c r="F81" s="310">
        <v>11977400</v>
      </c>
      <c r="G81" s="311">
        <v>822.8</v>
      </c>
      <c r="H81" s="311">
        <v>828</v>
      </c>
      <c r="I81" s="311">
        <v>815.4</v>
      </c>
      <c r="J81" s="311">
        <v>823</v>
      </c>
      <c r="N81" s="3"/>
      <c r="O81" s="3"/>
      <c r="P81" s="3"/>
      <c r="Q81" s="3"/>
      <c r="R81" s="3"/>
      <c r="S81" s="2"/>
      <c r="T81" s="2"/>
      <c r="U81" s="2"/>
    </row>
    <row r="82" spans="1:21">
      <c r="A82" s="69"/>
      <c r="B82" s="309"/>
      <c r="C82" s="309"/>
      <c r="D82" s="309" t="s">
        <v>1086</v>
      </c>
      <c r="E82" s="309" t="s">
        <v>823</v>
      </c>
      <c r="F82" s="310">
        <v>11480100</v>
      </c>
      <c r="G82" s="311">
        <v>822.5</v>
      </c>
      <c r="H82" s="311">
        <v>846.4</v>
      </c>
      <c r="I82" s="311">
        <v>820.1</v>
      </c>
      <c r="J82" s="311">
        <v>826.4</v>
      </c>
      <c r="N82" s="3"/>
      <c r="O82" s="3"/>
      <c r="P82" s="3"/>
      <c r="Q82" s="3"/>
      <c r="R82" s="3"/>
      <c r="S82" s="2"/>
      <c r="T82" s="2"/>
      <c r="U82" s="2"/>
    </row>
    <row r="83" spans="1:21">
      <c r="A83" s="69"/>
      <c r="B83" s="309"/>
      <c r="C83" s="309"/>
      <c r="D83" s="309" t="s">
        <v>1087</v>
      </c>
      <c r="E83" s="309" t="s">
        <v>823</v>
      </c>
      <c r="F83" s="309">
        <v>12157200</v>
      </c>
      <c r="G83" s="311">
        <v>851</v>
      </c>
      <c r="H83" s="311">
        <v>854</v>
      </c>
      <c r="I83" s="311">
        <v>821</v>
      </c>
      <c r="J83" s="311">
        <v>823</v>
      </c>
      <c r="N83" s="3"/>
      <c r="O83" s="3"/>
      <c r="P83" s="3"/>
      <c r="Q83" s="3"/>
      <c r="R83" s="3"/>
      <c r="S83" s="2"/>
      <c r="T83" s="2"/>
      <c r="U83" s="2"/>
    </row>
    <row r="84" spans="1:21">
      <c r="A84" s="69"/>
      <c r="B84" s="3"/>
      <c r="C84" s="3"/>
      <c r="D84" s="3" t="s">
        <v>1088</v>
      </c>
      <c r="E84" s="3" t="s">
        <v>823</v>
      </c>
      <c r="F84" s="1">
        <v>10371000</v>
      </c>
      <c r="G84" s="2">
        <v>811</v>
      </c>
      <c r="H84" s="2">
        <v>818.1</v>
      </c>
      <c r="I84" s="2">
        <v>793.6</v>
      </c>
      <c r="J84" s="2">
        <v>793.6</v>
      </c>
      <c r="N84" s="3"/>
      <c r="O84" s="3"/>
      <c r="P84" s="3"/>
      <c r="Q84" s="3"/>
      <c r="R84" s="3"/>
      <c r="S84" s="2"/>
      <c r="T84" s="2"/>
      <c r="U84" s="2"/>
    </row>
    <row r="85" spans="1:21">
      <c r="A85" s="69"/>
      <c r="B85" s="3"/>
      <c r="C85" s="3"/>
      <c r="D85" s="3" t="s">
        <v>1089</v>
      </c>
      <c r="E85" s="3" t="s">
        <v>823</v>
      </c>
      <c r="F85" s="1">
        <v>8356400</v>
      </c>
      <c r="G85" s="2">
        <v>814</v>
      </c>
      <c r="H85" s="2">
        <v>829.5</v>
      </c>
      <c r="I85" s="2">
        <v>808.2</v>
      </c>
      <c r="J85" s="2">
        <v>820.7</v>
      </c>
      <c r="N85" s="3"/>
      <c r="O85" s="3"/>
      <c r="P85" s="3"/>
      <c r="Q85" s="3"/>
      <c r="R85" s="3"/>
      <c r="S85" s="2"/>
      <c r="T85" s="2"/>
      <c r="U85" s="2"/>
    </row>
    <row r="86" spans="1:21">
      <c r="A86" s="69"/>
      <c r="B86" s="3"/>
      <c r="C86" s="3"/>
      <c r="D86" s="3" t="s">
        <v>1090</v>
      </c>
      <c r="E86" s="3" t="s">
        <v>823</v>
      </c>
      <c r="F86" s="3">
        <v>8524900</v>
      </c>
      <c r="G86" s="2">
        <v>835</v>
      </c>
      <c r="H86" s="2">
        <v>847.6</v>
      </c>
      <c r="I86" s="2">
        <v>815.1</v>
      </c>
      <c r="J86" s="2">
        <v>818.3</v>
      </c>
      <c r="N86" s="3"/>
      <c r="O86" s="3"/>
      <c r="P86" s="3"/>
      <c r="Q86" s="3"/>
      <c r="R86" s="3"/>
      <c r="S86" s="2"/>
      <c r="T86" s="2"/>
      <c r="U86" s="2"/>
    </row>
    <row r="87" spans="1:21">
      <c r="A87" s="69"/>
      <c r="B87" s="309"/>
      <c r="C87" s="309"/>
      <c r="D87" s="309" t="s">
        <v>1091</v>
      </c>
      <c r="E87" s="309" t="s">
        <v>823</v>
      </c>
      <c r="F87" s="309">
        <v>8826900</v>
      </c>
      <c r="G87" s="311">
        <v>821</v>
      </c>
      <c r="H87" s="311">
        <v>852.7</v>
      </c>
      <c r="I87" s="311">
        <v>816.8</v>
      </c>
      <c r="J87" s="311">
        <v>852.7</v>
      </c>
      <c r="N87" s="3"/>
      <c r="O87" s="3"/>
      <c r="P87" s="3"/>
      <c r="Q87" s="3"/>
      <c r="R87" s="3"/>
      <c r="S87" s="2"/>
      <c r="T87" s="2"/>
      <c r="U87" s="2"/>
    </row>
    <row r="88" spans="1:21">
      <c r="A88" s="69"/>
      <c r="B88" s="309"/>
      <c r="C88" s="309"/>
      <c r="D88" s="309" t="s">
        <v>1092</v>
      </c>
      <c r="E88" s="309" t="s">
        <v>823</v>
      </c>
      <c r="F88" s="310">
        <v>13886200</v>
      </c>
      <c r="G88" s="311">
        <v>852</v>
      </c>
      <c r="H88" s="311">
        <v>869.8</v>
      </c>
      <c r="I88" s="311">
        <v>838.1</v>
      </c>
      <c r="J88" s="311">
        <v>866.7</v>
      </c>
      <c r="N88" s="3"/>
      <c r="O88" s="3"/>
      <c r="P88" s="3"/>
      <c r="Q88" s="3"/>
      <c r="R88" s="3"/>
      <c r="S88" s="2"/>
      <c r="T88" s="2"/>
      <c r="U88" s="2"/>
    </row>
    <row r="89" spans="1:21">
      <c r="A89" s="69"/>
      <c r="B89" s="3"/>
      <c r="C89" s="3"/>
      <c r="D89" s="3" t="s">
        <v>1093</v>
      </c>
      <c r="E89" s="3" t="s">
        <v>823</v>
      </c>
      <c r="F89" s="1">
        <v>14734400</v>
      </c>
      <c r="G89" s="2">
        <v>881.7</v>
      </c>
      <c r="H89" s="2">
        <v>882.6</v>
      </c>
      <c r="I89" s="2">
        <v>856.2</v>
      </c>
      <c r="J89" s="2">
        <v>873.2</v>
      </c>
      <c r="N89" s="3"/>
      <c r="O89" s="3"/>
      <c r="P89" s="3"/>
      <c r="Q89" s="3"/>
      <c r="R89" s="3"/>
      <c r="S89" s="2"/>
      <c r="T89" s="2"/>
      <c r="U89" s="2"/>
    </row>
    <row r="90" spans="1:21">
      <c r="A90" s="69"/>
      <c r="B90" s="309"/>
      <c r="C90" s="309"/>
      <c r="D90" s="309" t="s">
        <v>1094</v>
      </c>
      <c r="E90" s="309" t="s">
        <v>823</v>
      </c>
      <c r="F90" s="309">
        <v>10620300</v>
      </c>
      <c r="G90" s="311">
        <v>874.6</v>
      </c>
      <c r="H90" s="311">
        <v>877.8</v>
      </c>
      <c r="I90" s="311">
        <v>860.3</v>
      </c>
      <c r="J90" s="311">
        <v>870.9</v>
      </c>
      <c r="N90" s="3"/>
      <c r="O90" s="3"/>
      <c r="P90" s="3"/>
      <c r="Q90" s="3"/>
      <c r="R90" s="3"/>
      <c r="S90" s="2"/>
      <c r="T90" s="2"/>
      <c r="U90" s="2"/>
    </row>
    <row r="91" spans="1:21">
      <c r="A91" s="69"/>
      <c r="B91" s="309"/>
      <c r="C91" s="309"/>
      <c r="D91" s="309" t="s">
        <v>1100</v>
      </c>
      <c r="E91" s="309" t="s">
        <v>823</v>
      </c>
      <c r="F91" s="310">
        <v>9319000</v>
      </c>
      <c r="G91" s="311">
        <v>867.6</v>
      </c>
      <c r="H91" s="311">
        <v>867.6</v>
      </c>
      <c r="I91" s="311">
        <v>848.9</v>
      </c>
      <c r="J91" s="311">
        <v>850.4</v>
      </c>
      <c r="N91" s="3"/>
      <c r="O91" s="3"/>
      <c r="P91" s="3"/>
      <c r="Q91" s="3"/>
      <c r="R91" s="3"/>
      <c r="S91" s="2"/>
      <c r="T91" s="2"/>
      <c r="U91" s="2"/>
    </row>
    <row r="92" spans="1:21">
      <c r="A92" s="69"/>
      <c r="B92" s="309"/>
      <c r="C92" s="309"/>
      <c r="D92" s="309" t="s">
        <v>1104</v>
      </c>
      <c r="E92" s="309" t="s">
        <v>823</v>
      </c>
      <c r="F92" s="310">
        <v>7961100</v>
      </c>
      <c r="G92" s="311">
        <v>852.5</v>
      </c>
      <c r="H92" s="311">
        <v>873.5</v>
      </c>
      <c r="I92" s="311">
        <v>846.5</v>
      </c>
      <c r="J92" s="311">
        <v>872.7</v>
      </c>
      <c r="N92" s="3"/>
      <c r="O92" s="3"/>
      <c r="P92" s="3"/>
      <c r="Q92" s="3"/>
      <c r="R92" s="3"/>
      <c r="S92" s="2"/>
      <c r="T92" s="2"/>
      <c r="U92" s="2"/>
    </row>
    <row r="93" spans="1:21">
      <c r="A93" s="69"/>
      <c r="B93" s="309"/>
      <c r="C93" s="309"/>
      <c r="D93" s="309" t="s">
        <v>1106</v>
      </c>
      <c r="E93" s="309" t="s">
        <v>823</v>
      </c>
      <c r="F93" s="309">
        <v>7420500</v>
      </c>
      <c r="G93" s="311">
        <v>881.8</v>
      </c>
      <c r="H93" s="311">
        <v>890.6</v>
      </c>
      <c r="I93" s="311">
        <v>873</v>
      </c>
      <c r="J93" s="311">
        <v>874</v>
      </c>
      <c r="N93" s="3"/>
      <c r="O93" s="3"/>
      <c r="P93" s="3"/>
      <c r="Q93" s="3"/>
      <c r="R93" s="3"/>
      <c r="S93" s="2"/>
      <c r="T93" s="2"/>
      <c r="U93" s="2"/>
    </row>
    <row r="94" spans="1:21">
      <c r="A94" s="69"/>
      <c r="B94" s="309"/>
      <c r="C94" s="309"/>
      <c r="D94" s="309" t="s">
        <v>1143</v>
      </c>
      <c r="E94" s="309" t="s">
        <v>823</v>
      </c>
      <c r="F94" s="309">
        <v>8447400</v>
      </c>
      <c r="G94" s="311">
        <v>872</v>
      </c>
      <c r="H94" s="311">
        <v>874.5</v>
      </c>
      <c r="I94" s="311">
        <v>853</v>
      </c>
      <c r="J94" s="311">
        <v>858.5</v>
      </c>
      <c r="N94" s="3"/>
      <c r="O94" s="3"/>
      <c r="P94" s="3"/>
      <c r="Q94" s="3"/>
      <c r="R94" s="3"/>
      <c r="S94" s="2"/>
      <c r="T94" s="2"/>
      <c r="U94" s="2"/>
    </row>
    <row r="95" spans="1:21">
      <c r="A95" s="69"/>
      <c r="B95" s="309"/>
      <c r="C95" s="309"/>
      <c r="D95" s="309" t="s">
        <v>1149</v>
      </c>
      <c r="E95" s="309" t="s">
        <v>823</v>
      </c>
      <c r="F95" s="309">
        <v>8272100</v>
      </c>
      <c r="G95" s="311">
        <v>869.1</v>
      </c>
      <c r="H95" s="311">
        <v>892.2</v>
      </c>
      <c r="I95" s="311">
        <v>864.1</v>
      </c>
      <c r="J95" s="311">
        <v>869</v>
      </c>
      <c r="N95" s="3"/>
      <c r="O95" s="3"/>
      <c r="P95" s="3"/>
      <c r="Q95" s="3"/>
      <c r="R95" s="3"/>
      <c r="S95" s="2"/>
      <c r="T95" s="2"/>
      <c r="U95" s="2"/>
    </row>
    <row r="96" spans="1:21">
      <c r="A96" s="69"/>
      <c r="B96" s="309"/>
      <c r="C96" s="309"/>
      <c r="D96" s="309" t="s">
        <v>1164</v>
      </c>
      <c r="E96" s="309" t="s">
        <v>823</v>
      </c>
      <c r="F96" s="310">
        <v>13238300</v>
      </c>
      <c r="G96" s="311">
        <v>884</v>
      </c>
      <c r="H96" s="311">
        <v>903.9</v>
      </c>
      <c r="I96" s="311">
        <v>881.3</v>
      </c>
      <c r="J96" s="311">
        <v>889</v>
      </c>
      <c r="N96" s="3"/>
      <c r="O96" s="3"/>
      <c r="P96" s="3"/>
      <c r="Q96" s="3"/>
      <c r="R96" s="3"/>
      <c r="S96" s="2"/>
      <c r="T96" s="2"/>
      <c r="U96" s="2"/>
    </row>
    <row r="97" spans="1:21">
      <c r="A97" s="69"/>
      <c r="B97" s="309" t="s">
        <v>881</v>
      </c>
      <c r="C97" s="309" t="s">
        <v>881</v>
      </c>
      <c r="D97" s="309" t="s">
        <v>881</v>
      </c>
      <c r="E97" s="309" t="s">
        <v>881</v>
      </c>
      <c r="F97" s="309" t="s">
        <v>881</v>
      </c>
      <c r="G97" s="311" t="s">
        <v>881</v>
      </c>
      <c r="H97" s="311" t="s">
        <v>881</v>
      </c>
      <c r="I97" s="311" t="s">
        <v>881</v>
      </c>
      <c r="J97" s="311" t="s">
        <v>881</v>
      </c>
      <c r="N97" s="3"/>
      <c r="O97" s="3"/>
      <c r="P97" s="3"/>
      <c r="Q97" s="3"/>
      <c r="R97" s="3"/>
      <c r="S97" s="2"/>
      <c r="T97" s="2"/>
      <c r="U97" s="2"/>
    </row>
    <row r="98" spans="1:21">
      <c r="A98" s="69"/>
      <c r="B98" s="3"/>
      <c r="C98" s="3"/>
      <c r="D98" s="3"/>
      <c r="E98" s="3"/>
      <c r="G98" s="2"/>
      <c r="H98" s="2"/>
      <c r="I98" s="2"/>
      <c r="J98" s="2"/>
      <c r="N98" s="3"/>
      <c r="O98" s="3"/>
      <c r="P98" s="3"/>
      <c r="Q98" s="3"/>
      <c r="R98" s="3"/>
      <c r="S98" s="2"/>
      <c r="T98" s="2"/>
      <c r="U98" s="2"/>
    </row>
    <row r="99" spans="1:21">
      <c r="A99" s="69"/>
      <c r="B99" s="3"/>
      <c r="C99" s="3"/>
      <c r="D99" s="3"/>
      <c r="E99" s="3"/>
      <c r="G99" s="2"/>
      <c r="H99" s="2"/>
      <c r="I99" s="2"/>
      <c r="J99" s="2"/>
      <c r="N99" s="3"/>
      <c r="O99" s="3"/>
      <c r="P99" s="3"/>
      <c r="Q99" s="3"/>
      <c r="R99" s="3"/>
      <c r="S99" s="2"/>
      <c r="T99" s="2"/>
      <c r="U99" s="2"/>
    </row>
    <row r="100" spans="1:21">
      <c r="A100" s="69"/>
      <c r="B100" s="3"/>
      <c r="C100" s="3"/>
      <c r="D100" s="3"/>
      <c r="E100" s="3"/>
      <c r="G100" s="2"/>
      <c r="H100" s="2"/>
      <c r="I100" s="2"/>
      <c r="J100" s="2"/>
      <c r="N100" s="3"/>
      <c r="O100" s="3"/>
      <c r="P100" s="3"/>
      <c r="Q100" s="3"/>
      <c r="R100" s="3"/>
      <c r="S100" s="2"/>
      <c r="T100" s="2"/>
      <c r="U100" s="2"/>
    </row>
    <row r="101" spans="1:21">
      <c r="A101" s="69"/>
      <c r="B101" s="3"/>
      <c r="C101" s="3"/>
      <c r="D101" s="3"/>
      <c r="E101" s="3"/>
      <c r="F101" s="3"/>
      <c r="G101" s="2"/>
      <c r="H101" s="2"/>
      <c r="I101" s="2"/>
      <c r="J101" s="2"/>
      <c r="N101" s="3"/>
      <c r="O101" s="3"/>
      <c r="P101" s="3"/>
      <c r="Q101" s="3"/>
      <c r="R101" s="3"/>
      <c r="S101" s="2"/>
      <c r="T101" s="2"/>
      <c r="U101" s="2"/>
    </row>
    <row r="102" spans="1:21">
      <c r="A102" s="69"/>
      <c r="B102" s="3"/>
      <c r="C102" s="3"/>
      <c r="D102" s="3"/>
      <c r="E102" s="3"/>
      <c r="F102" s="3"/>
      <c r="G102" s="2"/>
      <c r="H102" s="2"/>
      <c r="I102" s="2"/>
      <c r="J102" s="2"/>
      <c r="N102" s="3"/>
      <c r="O102" s="3"/>
      <c r="P102" s="3"/>
      <c r="Q102" s="3"/>
      <c r="R102" s="3"/>
      <c r="S102" s="2"/>
      <c r="T102" s="2"/>
      <c r="U102" s="2"/>
    </row>
    <row r="103" spans="1:21">
      <c r="A103" s="69"/>
      <c r="B103" s="3"/>
      <c r="C103" s="3"/>
      <c r="D103" s="3"/>
      <c r="E103" s="3"/>
      <c r="G103" s="2"/>
      <c r="H103" s="2"/>
      <c r="I103" s="2"/>
      <c r="J103" s="2"/>
      <c r="N103" s="3"/>
      <c r="O103" s="3"/>
      <c r="P103" s="3"/>
      <c r="Q103" s="3"/>
      <c r="R103" s="3"/>
      <c r="S103" s="2"/>
      <c r="T103" s="2"/>
      <c r="U103" s="2"/>
    </row>
    <row r="104" spans="1:21">
      <c r="A104" s="69"/>
      <c r="B104" s="3"/>
      <c r="C104" s="3"/>
      <c r="D104" s="3"/>
      <c r="E104" s="3"/>
      <c r="G104" s="2"/>
      <c r="H104" s="2"/>
      <c r="I104" s="2"/>
      <c r="J104" s="2"/>
      <c r="N104" s="3"/>
      <c r="O104" s="3"/>
      <c r="P104" s="3"/>
      <c r="Q104" s="3"/>
      <c r="R104" s="3"/>
      <c r="S104" s="2"/>
      <c r="T104" s="2"/>
      <c r="U104" s="2"/>
    </row>
    <row r="105" spans="1:21">
      <c r="A105" s="69"/>
      <c r="B105" s="3"/>
      <c r="C105" s="3"/>
      <c r="D105" s="3"/>
      <c r="E105" s="3"/>
      <c r="G105" s="2"/>
      <c r="H105" s="2"/>
      <c r="I105" s="2"/>
      <c r="J105" s="2"/>
      <c r="N105" s="3"/>
      <c r="O105" s="3"/>
      <c r="P105" s="3"/>
      <c r="Q105" s="3"/>
      <c r="R105" s="3"/>
      <c r="S105" s="2"/>
      <c r="T105" s="2"/>
      <c r="U105" s="2"/>
    </row>
    <row r="106" spans="1:21">
      <c r="A106" s="69"/>
      <c r="B106" s="3"/>
      <c r="C106" s="3"/>
      <c r="D106" s="3"/>
      <c r="E106" s="3"/>
      <c r="G106" s="2"/>
      <c r="H106" s="2"/>
      <c r="I106" s="2"/>
      <c r="J106" s="2"/>
      <c r="N106" s="3"/>
      <c r="O106" s="3"/>
      <c r="P106" s="3"/>
      <c r="Q106" s="3"/>
      <c r="R106" s="3"/>
      <c r="S106" s="2"/>
      <c r="T106" s="2"/>
      <c r="U106" s="2"/>
    </row>
    <row r="107" spans="1:21">
      <c r="A107" s="69"/>
      <c r="B107" s="3"/>
      <c r="C107" s="3"/>
      <c r="D107" s="3"/>
      <c r="E107" s="3"/>
      <c r="G107" s="2"/>
      <c r="H107" s="2"/>
      <c r="I107" s="2"/>
      <c r="J107" s="2"/>
      <c r="N107" s="3"/>
      <c r="O107" s="3"/>
      <c r="P107" s="3"/>
      <c r="Q107" s="3"/>
      <c r="R107" s="3"/>
      <c r="S107" s="2"/>
      <c r="T107" s="2"/>
      <c r="U107" s="2"/>
    </row>
    <row r="108" spans="1:21">
      <c r="A108" s="69"/>
      <c r="B108" s="3"/>
      <c r="C108" s="3"/>
      <c r="D108" s="3"/>
      <c r="E108" s="3"/>
      <c r="F108" s="3"/>
      <c r="G108" s="2"/>
      <c r="H108" s="2"/>
      <c r="I108" s="2"/>
      <c r="J108" s="2"/>
      <c r="N108" s="3"/>
      <c r="O108" s="3"/>
      <c r="P108" s="3"/>
      <c r="Q108" s="3"/>
      <c r="R108" s="3"/>
      <c r="S108" s="2"/>
      <c r="T108" s="2"/>
      <c r="U108" s="2"/>
    </row>
    <row r="109" spans="1:21">
      <c r="A109" s="69"/>
      <c r="B109" s="3"/>
      <c r="C109" s="3"/>
      <c r="D109" s="3"/>
      <c r="E109" s="3"/>
      <c r="G109" s="2"/>
      <c r="H109" s="2"/>
      <c r="I109" s="2"/>
      <c r="J109" s="2"/>
      <c r="N109" s="3"/>
      <c r="O109" s="3"/>
      <c r="P109" s="3"/>
      <c r="Q109" s="3"/>
      <c r="R109" s="3"/>
      <c r="S109" s="2"/>
      <c r="T109" s="2"/>
      <c r="U109" s="2"/>
    </row>
    <row r="110" spans="1:21">
      <c r="A110" s="69"/>
      <c r="B110" s="3"/>
      <c r="C110" s="3"/>
      <c r="D110" s="3"/>
      <c r="E110" s="3"/>
      <c r="G110" s="2"/>
      <c r="H110" s="2"/>
      <c r="I110" s="2"/>
      <c r="J110" s="2"/>
      <c r="N110" s="3"/>
      <c r="O110" s="3"/>
      <c r="P110" s="3"/>
      <c r="Q110" s="3"/>
      <c r="R110" s="3"/>
      <c r="S110" s="2"/>
      <c r="T110" s="2"/>
      <c r="U110" s="2"/>
    </row>
    <row r="111" spans="1:21">
      <c r="A111" s="69"/>
      <c r="B111" s="3"/>
      <c r="C111" s="3"/>
      <c r="D111" s="3"/>
      <c r="E111" s="3"/>
      <c r="G111" s="2"/>
      <c r="H111" s="2"/>
      <c r="I111" s="2"/>
      <c r="J111" s="2"/>
      <c r="N111" s="3"/>
      <c r="O111" s="3"/>
      <c r="P111" s="3"/>
      <c r="Q111" s="3"/>
      <c r="R111" s="3"/>
      <c r="S111" s="2"/>
      <c r="T111" s="2"/>
      <c r="U111" s="2"/>
    </row>
    <row r="112" spans="1:21">
      <c r="A112" s="69"/>
      <c r="B112" s="3"/>
      <c r="C112" s="3"/>
      <c r="D112" s="3"/>
      <c r="E112" s="3"/>
      <c r="G112" s="2"/>
      <c r="H112" s="2"/>
      <c r="I112" s="2"/>
      <c r="J112" s="2"/>
      <c r="N112" s="3"/>
      <c r="O112" s="3"/>
      <c r="P112" s="3"/>
      <c r="Q112" s="3"/>
      <c r="R112" s="3"/>
      <c r="S112" s="2"/>
      <c r="T112" s="2"/>
      <c r="U112" s="2"/>
    </row>
    <row r="113" spans="1:21">
      <c r="A113" s="69"/>
      <c r="B113" s="3"/>
      <c r="C113" s="3"/>
      <c r="D113" s="3"/>
      <c r="E113" s="3"/>
      <c r="F113" s="3"/>
      <c r="G113" s="2"/>
      <c r="H113" s="2"/>
      <c r="I113" s="2"/>
      <c r="J113" s="2"/>
      <c r="N113" s="3"/>
      <c r="O113" s="3"/>
      <c r="P113" s="3"/>
      <c r="Q113" s="3"/>
      <c r="R113" s="3"/>
      <c r="S113" s="2"/>
      <c r="T113" s="2"/>
      <c r="U113" s="2"/>
    </row>
    <row r="114" spans="1:21">
      <c r="A114" s="69"/>
      <c r="B114" s="3"/>
      <c r="C114" s="3"/>
      <c r="D114" s="3"/>
      <c r="E114" s="3"/>
      <c r="G114" s="2"/>
      <c r="H114" s="2"/>
      <c r="I114" s="2"/>
      <c r="J114" s="2"/>
      <c r="N114" s="3"/>
      <c r="O114" s="3"/>
      <c r="P114" s="3"/>
      <c r="Q114" s="3"/>
      <c r="R114" s="3"/>
      <c r="S114" s="2"/>
      <c r="T114" s="2"/>
      <c r="U114" s="2"/>
    </row>
    <row r="115" spans="1:21">
      <c r="A115" s="69"/>
      <c r="B115" s="3"/>
      <c r="C115" s="3"/>
      <c r="D115" s="3"/>
      <c r="E115" s="3"/>
      <c r="F115" s="3"/>
      <c r="G115" s="2"/>
      <c r="H115" s="2"/>
      <c r="I115" s="2"/>
      <c r="J115" s="2"/>
      <c r="N115" s="3"/>
      <c r="O115" s="3"/>
      <c r="P115" s="3"/>
      <c r="Q115" s="3"/>
      <c r="R115" s="3"/>
      <c r="S115" s="2"/>
      <c r="T115" s="2"/>
      <c r="U115" s="2"/>
    </row>
    <row r="116" spans="1:21">
      <c r="A116" s="69"/>
      <c r="B116" s="3"/>
      <c r="C116" s="3"/>
      <c r="D116" s="3"/>
      <c r="E116" s="3"/>
      <c r="G116" s="2"/>
      <c r="H116" s="2"/>
      <c r="I116" s="2"/>
      <c r="J116" s="2"/>
      <c r="N116" s="3"/>
      <c r="O116" s="3"/>
      <c r="P116" s="3"/>
      <c r="Q116" s="3"/>
      <c r="R116" s="3"/>
      <c r="S116" s="2"/>
      <c r="T116" s="2"/>
      <c r="U116" s="2"/>
    </row>
    <row r="117" spans="1:21">
      <c r="A117" s="69"/>
      <c r="B117" s="3"/>
      <c r="C117" s="3"/>
      <c r="D117" s="3"/>
      <c r="E117" s="3"/>
      <c r="F117" s="3"/>
      <c r="G117" s="2"/>
      <c r="H117" s="2"/>
      <c r="I117" s="2"/>
      <c r="J117" s="2"/>
      <c r="N117" s="3"/>
      <c r="O117" s="3"/>
      <c r="P117" s="3"/>
      <c r="Q117" s="3"/>
      <c r="R117" s="3"/>
      <c r="S117" s="2"/>
      <c r="T117" s="2"/>
      <c r="U117" s="2"/>
    </row>
    <row r="118" spans="1:21">
      <c r="A118" s="69"/>
      <c r="B118" s="3"/>
      <c r="C118" s="3"/>
      <c r="D118" s="3"/>
      <c r="E118" s="3"/>
      <c r="F118" s="3"/>
      <c r="G118" s="2"/>
      <c r="H118" s="2"/>
      <c r="I118" s="2"/>
      <c r="J118" s="2"/>
      <c r="N118" s="3"/>
      <c r="O118" s="3"/>
      <c r="P118" s="3"/>
      <c r="Q118" s="3"/>
      <c r="R118" s="3"/>
      <c r="S118" s="2"/>
      <c r="T118" s="2"/>
      <c r="U118" s="2"/>
    </row>
    <row r="119" spans="1:21">
      <c r="A119" s="69"/>
      <c r="B119" s="3"/>
      <c r="C119" s="3"/>
      <c r="D119" s="3"/>
      <c r="E119" s="3"/>
      <c r="F119" s="3"/>
      <c r="G119" s="2"/>
      <c r="H119" s="2"/>
      <c r="I119" s="2"/>
      <c r="J119" s="2"/>
      <c r="N119" s="3"/>
      <c r="O119" s="3"/>
      <c r="P119" s="3"/>
      <c r="Q119" s="3"/>
      <c r="R119" s="3"/>
      <c r="S119" s="2"/>
      <c r="T119" s="2"/>
      <c r="U119" s="2"/>
    </row>
    <row r="120" spans="1:21">
      <c r="A120" s="69"/>
      <c r="B120" s="3"/>
      <c r="C120" s="3"/>
      <c r="D120" s="3"/>
      <c r="E120" s="3"/>
      <c r="G120" s="2"/>
      <c r="H120" s="2"/>
      <c r="I120" s="2"/>
      <c r="J120" s="2"/>
      <c r="N120" s="3"/>
      <c r="O120" s="3"/>
      <c r="P120" s="3"/>
      <c r="Q120" s="3"/>
      <c r="R120" s="3"/>
      <c r="S120" s="2"/>
      <c r="T120" s="2"/>
      <c r="U120" s="2"/>
    </row>
    <row r="121" spans="1:21">
      <c r="A121" s="69"/>
      <c r="B121" s="3"/>
      <c r="C121" s="3"/>
      <c r="D121" s="3"/>
      <c r="E121" s="3"/>
      <c r="G121" s="2"/>
      <c r="H121" s="2"/>
      <c r="I121" s="2"/>
      <c r="J121" s="2"/>
      <c r="N121" s="3"/>
      <c r="O121" s="3"/>
      <c r="P121" s="3"/>
      <c r="Q121" s="3"/>
      <c r="R121" s="3"/>
      <c r="S121" s="2"/>
      <c r="T121" s="2"/>
      <c r="U121" s="2"/>
    </row>
    <row r="122" spans="1:21">
      <c r="A122" s="69"/>
      <c r="B122" s="3"/>
      <c r="C122" s="3"/>
      <c r="D122" s="3"/>
      <c r="E122" s="3"/>
      <c r="F122" s="3"/>
      <c r="G122" s="2"/>
      <c r="H122" s="2"/>
      <c r="I122" s="2"/>
      <c r="J122" s="2"/>
      <c r="N122" s="3"/>
      <c r="O122" s="3"/>
      <c r="P122" s="3"/>
      <c r="Q122" s="3"/>
      <c r="R122" s="3"/>
      <c r="S122" s="2"/>
      <c r="T122" s="2"/>
      <c r="U122" s="2"/>
    </row>
    <row r="123" spans="1:21">
      <c r="A123" s="69"/>
      <c r="B123" s="3"/>
      <c r="C123" s="3"/>
      <c r="D123" s="3"/>
      <c r="E123" s="3"/>
      <c r="F123" s="3"/>
      <c r="G123" s="2"/>
      <c r="H123" s="2"/>
      <c r="I123" s="2"/>
      <c r="J123" s="2"/>
      <c r="N123" s="3"/>
      <c r="O123" s="3"/>
      <c r="P123" s="3"/>
      <c r="Q123" s="3"/>
      <c r="R123" s="3"/>
      <c r="S123" s="2"/>
      <c r="T123" s="2"/>
      <c r="U123" s="2"/>
    </row>
    <row r="124" spans="1:21">
      <c r="A124" s="69"/>
      <c r="B124" s="3"/>
      <c r="C124" s="3"/>
      <c r="D124" s="3"/>
      <c r="E124" s="3"/>
      <c r="F124" s="3"/>
      <c r="G124" s="2"/>
      <c r="H124" s="2"/>
      <c r="I124" s="2"/>
      <c r="J124" s="2"/>
      <c r="N124" s="3"/>
      <c r="O124" s="3"/>
      <c r="P124" s="3"/>
      <c r="Q124" s="3"/>
      <c r="R124" s="3"/>
      <c r="S124" s="2"/>
      <c r="T124" s="2"/>
      <c r="U124" s="2"/>
    </row>
    <row r="125" spans="1:21">
      <c r="A125" s="69"/>
      <c r="B125" s="3"/>
      <c r="C125" s="3"/>
      <c r="D125" s="3"/>
      <c r="E125" s="3"/>
      <c r="F125" s="3"/>
      <c r="G125" s="2"/>
      <c r="H125" s="2"/>
      <c r="I125" s="2"/>
      <c r="J125" s="2"/>
      <c r="N125" s="3"/>
      <c r="O125" s="3"/>
      <c r="P125" s="3"/>
      <c r="Q125" s="3"/>
      <c r="R125" s="3"/>
      <c r="S125" s="2"/>
      <c r="T125" s="2"/>
      <c r="U125" s="2"/>
    </row>
    <row r="126" spans="1:21">
      <c r="A126" s="69"/>
      <c r="B126" s="3"/>
      <c r="C126" s="3"/>
      <c r="D126" s="3"/>
      <c r="E126" s="3"/>
      <c r="G126" s="2"/>
      <c r="H126" s="2"/>
      <c r="I126" s="2"/>
      <c r="J126" s="2"/>
      <c r="N126" s="3"/>
      <c r="O126" s="3"/>
      <c r="P126" s="3"/>
      <c r="Q126" s="3"/>
      <c r="R126" s="3"/>
      <c r="S126" s="2"/>
      <c r="T126" s="2"/>
      <c r="U126" s="2"/>
    </row>
    <row r="127" spans="1:21">
      <c r="A127" s="69"/>
      <c r="B127" s="3"/>
      <c r="C127" s="3"/>
      <c r="D127" s="3"/>
      <c r="E127" s="3"/>
      <c r="G127" s="2"/>
      <c r="H127" s="2"/>
      <c r="I127" s="2"/>
      <c r="J127" s="2"/>
      <c r="N127" s="3"/>
      <c r="O127" s="3"/>
      <c r="P127" s="3"/>
      <c r="Q127" s="3"/>
      <c r="R127" s="3"/>
      <c r="S127" s="2"/>
      <c r="T127" s="2"/>
      <c r="U127" s="2"/>
    </row>
    <row r="128" spans="1:21">
      <c r="A128" s="69"/>
      <c r="B128" s="3"/>
      <c r="C128" s="3"/>
      <c r="D128" s="3"/>
      <c r="E128" s="3"/>
      <c r="F128" s="3"/>
      <c r="G128" s="2"/>
      <c r="H128" s="2"/>
      <c r="I128" s="2"/>
      <c r="J128" s="2"/>
      <c r="N128" s="3"/>
      <c r="O128" s="3"/>
      <c r="P128" s="3"/>
      <c r="Q128" s="3"/>
      <c r="R128" s="3"/>
      <c r="S128" s="2"/>
      <c r="T128" s="2"/>
      <c r="U128" s="2"/>
    </row>
    <row r="129" spans="1:21">
      <c r="A129" s="69"/>
      <c r="B129" s="3"/>
      <c r="C129" s="3"/>
      <c r="D129" s="3"/>
      <c r="E129" s="3"/>
      <c r="F129" s="3"/>
      <c r="G129" s="2"/>
      <c r="H129" s="2"/>
      <c r="I129" s="2"/>
      <c r="J129" s="2"/>
      <c r="N129" s="3"/>
      <c r="O129" s="3"/>
      <c r="P129" s="3"/>
      <c r="Q129" s="3"/>
      <c r="R129" s="3"/>
      <c r="S129" s="2"/>
      <c r="T129" s="2"/>
      <c r="U129" s="2"/>
    </row>
    <row r="130" spans="1:21">
      <c r="A130" s="69"/>
      <c r="B130" s="3"/>
      <c r="C130" s="3"/>
      <c r="D130" s="3"/>
      <c r="E130" s="3"/>
      <c r="G130" s="2"/>
      <c r="H130" s="2"/>
      <c r="I130" s="2"/>
      <c r="J130" s="2"/>
      <c r="N130" s="3"/>
      <c r="O130" s="3"/>
      <c r="P130" s="3"/>
      <c r="Q130" s="3"/>
      <c r="R130" s="3"/>
      <c r="S130" s="2"/>
      <c r="T130" s="2"/>
      <c r="U130" s="2"/>
    </row>
    <row r="131" spans="1:21">
      <c r="A131" s="69"/>
      <c r="B131" s="3"/>
      <c r="C131" s="3"/>
      <c r="D131" s="3"/>
      <c r="E131" s="3"/>
      <c r="G131" s="2"/>
      <c r="H131" s="2"/>
      <c r="I131" s="2"/>
      <c r="J131" s="2"/>
      <c r="N131" s="3"/>
      <c r="O131" s="3"/>
      <c r="P131" s="3"/>
      <c r="Q131" s="3"/>
      <c r="R131" s="3"/>
      <c r="S131" s="2"/>
      <c r="T131" s="2"/>
      <c r="U131" s="2"/>
    </row>
    <row r="132" spans="1:21">
      <c r="A132" s="69"/>
      <c r="B132" s="3"/>
      <c r="C132" s="3"/>
      <c r="D132" s="3"/>
      <c r="E132" s="3"/>
      <c r="G132" s="2"/>
      <c r="H132" s="2"/>
      <c r="I132" s="2"/>
      <c r="J132" s="2"/>
      <c r="N132" s="3"/>
      <c r="O132" s="3"/>
      <c r="P132" s="3"/>
      <c r="Q132" s="3"/>
      <c r="R132" s="3"/>
      <c r="S132" s="2"/>
      <c r="T132" s="2"/>
      <c r="U132" s="2"/>
    </row>
    <row r="133" spans="1:21">
      <c r="A133" s="69"/>
      <c r="B133" s="3"/>
      <c r="C133" s="3"/>
      <c r="D133" s="3"/>
      <c r="E133" s="3"/>
      <c r="F133" s="3"/>
      <c r="G133" s="2"/>
      <c r="H133" s="2"/>
      <c r="I133" s="2"/>
      <c r="J133" s="2"/>
      <c r="N133" s="3"/>
      <c r="O133" s="3"/>
      <c r="P133" s="3"/>
      <c r="Q133" s="3"/>
      <c r="R133" s="3"/>
      <c r="S133" s="2"/>
      <c r="T133" s="2"/>
      <c r="U133" s="2"/>
    </row>
    <row r="134" spans="1:21">
      <c r="A134" s="69"/>
      <c r="B134" s="3"/>
      <c r="C134" s="3"/>
      <c r="D134" s="3"/>
      <c r="E134" s="3"/>
      <c r="G134" s="2"/>
      <c r="H134" s="2"/>
      <c r="I134" s="2"/>
      <c r="J134" s="2"/>
      <c r="N134" s="3"/>
      <c r="O134" s="3"/>
      <c r="P134" s="3"/>
      <c r="Q134" s="3"/>
      <c r="R134" s="3"/>
      <c r="S134" s="2"/>
      <c r="T134" s="2"/>
      <c r="U134" s="2"/>
    </row>
    <row r="135" spans="1:21">
      <c r="A135" s="69"/>
      <c r="B135" s="3"/>
      <c r="C135" s="3"/>
      <c r="D135" s="3"/>
      <c r="E135" s="3"/>
      <c r="G135" s="2"/>
      <c r="H135" s="2"/>
      <c r="I135" s="2"/>
      <c r="J135" s="2"/>
      <c r="N135" s="3"/>
      <c r="O135" s="3"/>
      <c r="P135" s="3"/>
      <c r="Q135" s="3"/>
      <c r="R135" s="3"/>
      <c r="S135" s="2"/>
      <c r="T135" s="2"/>
      <c r="U135" s="2"/>
    </row>
    <row r="136" spans="1:21">
      <c r="A136" s="69"/>
      <c r="B136" s="3"/>
      <c r="C136" s="3"/>
      <c r="D136" s="3"/>
      <c r="E136" s="3"/>
      <c r="G136" s="2"/>
      <c r="H136" s="2"/>
      <c r="I136" s="2"/>
      <c r="J136" s="2"/>
      <c r="N136" s="3"/>
      <c r="O136" s="3"/>
      <c r="P136" s="3"/>
      <c r="Q136" s="3"/>
      <c r="R136" s="3"/>
      <c r="S136" s="2"/>
      <c r="T136" s="2"/>
      <c r="U136" s="2"/>
    </row>
    <row r="137" spans="1:21">
      <c r="A137" s="69"/>
      <c r="B137" s="3"/>
      <c r="C137" s="3"/>
      <c r="D137" s="3"/>
      <c r="E137" s="3"/>
      <c r="G137" s="2"/>
      <c r="H137" s="2"/>
      <c r="I137" s="2"/>
      <c r="J137" s="2"/>
      <c r="N137" s="3"/>
      <c r="O137" s="3"/>
      <c r="P137" s="3"/>
      <c r="Q137" s="3"/>
      <c r="R137" s="3"/>
      <c r="S137" s="2"/>
      <c r="T137" s="2"/>
      <c r="U137" s="2"/>
    </row>
    <row r="138" spans="1:21">
      <c r="A138" s="69"/>
      <c r="B138" s="3"/>
      <c r="C138" s="3"/>
      <c r="D138" s="3"/>
      <c r="E138" s="3"/>
      <c r="F138" s="3"/>
      <c r="G138" s="2"/>
      <c r="H138" s="2"/>
      <c r="I138" s="2"/>
      <c r="J138" s="2"/>
      <c r="N138" s="3"/>
      <c r="O138" s="3"/>
      <c r="P138" s="3"/>
      <c r="Q138" s="3"/>
      <c r="R138" s="3"/>
      <c r="S138" s="2"/>
      <c r="T138" s="2"/>
      <c r="U138" s="2"/>
    </row>
    <row r="139" spans="1:21">
      <c r="A139" s="69"/>
      <c r="B139" s="3"/>
      <c r="C139" s="3"/>
      <c r="D139" s="3"/>
      <c r="E139" s="3"/>
      <c r="G139" s="2"/>
      <c r="H139" s="2"/>
      <c r="I139" s="2"/>
      <c r="J139" s="2"/>
      <c r="N139" s="3"/>
      <c r="O139" s="3"/>
      <c r="P139" s="3"/>
      <c r="Q139" s="3"/>
      <c r="R139" s="3"/>
      <c r="S139" s="2"/>
      <c r="T139" s="2"/>
      <c r="U139" s="2"/>
    </row>
    <row r="140" spans="1:21">
      <c r="A140" s="69"/>
      <c r="B140" s="3"/>
      <c r="C140" s="3"/>
      <c r="D140" s="3"/>
      <c r="E140" s="3"/>
      <c r="F140" s="3"/>
      <c r="G140" s="2"/>
      <c r="H140" s="2"/>
      <c r="I140" s="2"/>
      <c r="J140" s="2"/>
      <c r="N140" s="3"/>
      <c r="O140" s="3"/>
      <c r="P140" s="3"/>
      <c r="Q140" s="3"/>
      <c r="R140" s="3"/>
      <c r="S140" s="2"/>
      <c r="T140" s="2"/>
      <c r="U140" s="2"/>
    </row>
    <row r="141" spans="1:21">
      <c r="A141" s="69"/>
      <c r="B141" s="3"/>
      <c r="C141" s="3"/>
      <c r="D141" s="3"/>
      <c r="E141" s="3"/>
      <c r="F141" s="3"/>
      <c r="G141" s="2"/>
      <c r="H141" s="2"/>
      <c r="I141" s="2"/>
      <c r="J141" s="2"/>
      <c r="N141" s="3"/>
      <c r="O141" s="3"/>
      <c r="P141" s="3"/>
      <c r="Q141" s="3"/>
      <c r="R141" s="3"/>
      <c r="S141" s="2"/>
      <c r="T141" s="2"/>
      <c r="U141" s="2"/>
    </row>
    <row r="142" spans="1:21">
      <c r="A142" s="69"/>
      <c r="B142" s="3"/>
      <c r="C142" s="3"/>
      <c r="D142" s="3"/>
      <c r="E142" s="3"/>
      <c r="F142" s="3"/>
      <c r="G142" s="2"/>
      <c r="H142" s="2"/>
      <c r="I142" s="2"/>
      <c r="J142" s="2"/>
      <c r="N142" s="3"/>
      <c r="O142" s="3"/>
      <c r="P142" s="3"/>
      <c r="Q142" s="3"/>
      <c r="R142" s="3"/>
      <c r="S142" s="2"/>
      <c r="T142" s="2"/>
      <c r="U142" s="2"/>
    </row>
    <row r="143" spans="1:21">
      <c r="A143" s="69"/>
      <c r="B143" s="3"/>
      <c r="C143" s="3"/>
      <c r="D143" s="3"/>
      <c r="E143" s="3"/>
      <c r="F143" s="3"/>
      <c r="G143" s="2"/>
      <c r="H143" s="2"/>
      <c r="I143" s="2"/>
      <c r="J143" s="2"/>
      <c r="N143" s="3"/>
      <c r="O143" s="3"/>
      <c r="P143" s="3"/>
      <c r="Q143" s="3"/>
      <c r="R143" s="3"/>
      <c r="S143" s="2"/>
      <c r="T143" s="2"/>
      <c r="U143" s="2"/>
    </row>
    <row r="144" spans="1:21">
      <c r="A144" s="69"/>
      <c r="B144" s="3"/>
      <c r="C144" s="3"/>
      <c r="D144" s="3"/>
      <c r="E144" s="3"/>
      <c r="F144" s="3"/>
      <c r="G144" s="2"/>
      <c r="H144" s="2"/>
      <c r="I144" s="2"/>
      <c r="J144" s="2"/>
      <c r="N144" s="3"/>
      <c r="O144" s="3"/>
      <c r="P144" s="3"/>
      <c r="Q144" s="3"/>
      <c r="R144" s="3"/>
      <c r="S144" s="2"/>
      <c r="T144" s="2"/>
      <c r="U144" s="2"/>
    </row>
    <row r="145" spans="1:21">
      <c r="A145" s="69"/>
      <c r="B145" s="3"/>
      <c r="C145" s="3"/>
      <c r="D145" s="3"/>
      <c r="E145" s="3"/>
      <c r="F145" s="3"/>
      <c r="G145" s="2"/>
      <c r="H145" s="2"/>
      <c r="I145" s="2"/>
      <c r="J145" s="2"/>
      <c r="N145" s="3"/>
      <c r="O145" s="3"/>
      <c r="P145" s="3"/>
      <c r="Q145" s="3"/>
      <c r="R145" s="3"/>
      <c r="S145" s="2"/>
      <c r="T145" s="2"/>
      <c r="U145" s="2"/>
    </row>
    <row r="146" spans="1:21">
      <c r="A146" s="69"/>
      <c r="B146" s="3"/>
      <c r="C146" s="3"/>
      <c r="D146" s="3"/>
      <c r="E146" s="3"/>
      <c r="G146" s="2"/>
      <c r="H146" s="2"/>
      <c r="I146" s="2"/>
      <c r="J146" s="2"/>
      <c r="N146" s="3"/>
      <c r="O146" s="3"/>
      <c r="P146" s="3"/>
      <c r="Q146" s="3"/>
      <c r="R146" s="3"/>
      <c r="S146" s="2"/>
      <c r="T146" s="2"/>
      <c r="U146" s="2"/>
    </row>
    <row r="147" spans="1:21">
      <c r="A147" s="69"/>
      <c r="B147" s="3"/>
      <c r="C147" s="3"/>
      <c r="D147" s="3"/>
      <c r="E147" s="3"/>
      <c r="F147" s="3"/>
      <c r="G147" s="2"/>
      <c r="H147" s="2"/>
      <c r="I147" s="2"/>
      <c r="J147" s="2"/>
      <c r="N147" s="3"/>
      <c r="O147" s="3"/>
      <c r="P147" s="3"/>
      <c r="Q147" s="3"/>
      <c r="R147" s="3"/>
      <c r="S147" s="2"/>
      <c r="T147" s="2"/>
      <c r="U147" s="2"/>
    </row>
    <row r="148" spans="1:21">
      <c r="A148" s="69"/>
      <c r="B148" s="3"/>
      <c r="C148" s="3"/>
      <c r="D148" s="3"/>
      <c r="E148" s="3"/>
      <c r="F148" s="3"/>
      <c r="G148" s="2"/>
      <c r="H148" s="2"/>
      <c r="I148" s="2"/>
      <c r="J148" s="2"/>
      <c r="N148" s="3"/>
      <c r="O148" s="3"/>
      <c r="P148" s="3"/>
      <c r="Q148" s="3"/>
      <c r="R148" s="3"/>
      <c r="S148" s="2"/>
      <c r="T148" s="2"/>
      <c r="U148" s="2"/>
    </row>
    <row r="149" spans="1:21">
      <c r="A149" s="69"/>
      <c r="B149" s="3"/>
      <c r="C149" s="3"/>
      <c r="D149" s="3"/>
      <c r="E149" s="3"/>
      <c r="G149" s="2"/>
      <c r="H149" s="2"/>
      <c r="I149" s="2"/>
      <c r="J149" s="2"/>
      <c r="N149" s="3"/>
      <c r="O149" s="3"/>
      <c r="P149" s="3"/>
      <c r="Q149" s="3"/>
      <c r="R149" s="3"/>
      <c r="S149" s="2"/>
      <c r="T149" s="2"/>
      <c r="U149" s="2"/>
    </row>
    <row r="150" spans="1:21">
      <c r="A150" s="69"/>
      <c r="B150" s="3"/>
      <c r="C150" s="3"/>
      <c r="D150" s="3"/>
      <c r="E150" s="3"/>
      <c r="G150" s="2"/>
      <c r="H150" s="2"/>
      <c r="I150" s="2"/>
      <c r="J150" s="2"/>
      <c r="N150" s="3"/>
      <c r="O150" s="3"/>
      <c r="P150" s="3"/>
      <c r="Q150" s="3"/>
      <c r="R150" s="3"/>
      <c r="S150" s="2"/>
      <c r="T150" s="2"/>
      <c r="U150" s="2"/>
    </row>
    <row r="151" spans="1:21">
      <c r="A151" s="69"/>
      <c r="B151" s="3"/>
      <c r="C151" s="3"/>
      <c r="D151" s="3"/>
      <c r="E151" s="3"/>
      <c r="G151" s="2"/>
      <c r="H151" s="2"/>
      <c r="I151" s="2"/>
      <c r="J151" s="2"/>
      <c r="N151" s="3"/>
      <c r="O151" s="3"/>
      <c r="P151" s="3"/>
      <c r="Q151" s="3"/>
      <c r="R151" s="3"/>
      <c r="S151" s="2"/>
      <c r="T151" s="2"/>
      <c r="U151" s="2"/>
    </row>
    <row r="152" spans="1:21">
      <c r="A152" s="69"/>
      <c r="B152" s="3"/>
      <c r="C152" s="3"/>
      <c r="D152" s="3"/>
      <c r="E152" s="3"/>
      <c r="G152" s="2"/>
      <c r="H152" s="2"/>
      <c r="I152" s="2"/>
      <c r="J152" s="2"/>
      <c r="N152" s="3"/>
      <c r="O152" s="3"/>
      <c r="P152" s="3"/>
      <c r="Q152" s="3"/>
      <c r="R152" s="3"/>
      <c r="S152" s="2"/>
      <c r="T152" s="2"/>
      <c r="U152" s="2"/>
    </row>
    <row r="153" spans="1:21">
      <c r="A153" s="69"/>
      <c r="B153" s="3"/>
      <c r="C153" s="3"/>
      <c r="D153" s="3"/>
      <c r="E153" s="3"/>
      <c r="F153" s="3"/>
      <c r="G153" s="2"/>
      <c r="H153" s="2"/>
      <c r="I153" s="2"/>
      <c r="J153" s="2"/>
      <c r="N153" s="3"/>
      <c r="O153" s="3"/>
      <c r="P153" s="3"/>
      <c r="Q153" s="3"/>
      <c r="R153" s="3"/>
      <c r="S153" s="2"/>
      <c r="T153" s="2"/>
      <c r="U153" s="2"/>
    </row>
    <row r="154" spans="1:21">
      <c r="A154" s="69"/>
      <c r="B154" s="3"/>
      <c r="C154" s="3"/>
      <c r="D154" s="3"/>
      <c r="E154" s="3"/>
      <c r="F154" s="3"/>
      <c r="G154" s="2"/>
      <c r="H154" s="2"/>
      <c r="I154" s="2"/>
      <c r="J154" s="2"/>
      <c r="N154" s="3"/>
      <c r="O154" s="3"/>
      <c r="P154" s="3"/>
      <c r="Q154" s="3"/>
      <c r="R154" s="3"/>
      <c r="S154" s="2"/>
      <c r="T154" s="2"/>
      <c r="U154" s="2"/>
    </row>
    <row r="155" spans="1:21">
      <c r="A155" s="69"/>
      <c r="B155" s="3"/>
      <c r="C155" s="3"/>
      <c r="D155" s="3"/>
      <c r="E155" s="3"/>
      <c r="G155" s="2"/>
      <c r="H155" s="2"/>
      <c r="I155" s="2"/>
      <c r="J155" s="2"/>
      <c r="N155" s="3"/>
      <c r="O155" s="3"/>
      <c r="P155" s="3"/>
      <c r="Q155" s="3"/>
      <c r="R155" s="3"/>
      <c r="S155" s="2"/>
      <c r="T155" s="2"/>
      <c r="U155" s="2"/>
    </row>
    <row r="156" spans="1:21">
      <c r="A156" s="69"/>
      <c r="B156" s="3"/>
      <c r="C156" s="3"/>
      <c r="D156" s="3"/>
      <c r="E156" s="3"/>
      <c r="G156" s="2"/>
      <c r="H156" s="2"/>
      <c r="I156" s="2"/>
      <c r="J156" s="2"/>
      <c r="N156" s="3"/>
      <c r="O156" s="3"/>
      <c r="P156" s="3"/>
      <c r="Q156" s="3"/>
      <c r="R156" s="3"/>
      <c r="S156" s="2"/>
      <c r="T156" s="2"/>
      <c r="U156" s="2"/>
    </row>
    <row r="157" spans="1:21">
      <c r="A157" s="69"/>
      <c r="B157" s="3"/>
      <c r="C157" s="3"/>
      <c r="D157" s="3"/>
      <c r="E157" s="3"/>
      <c r="G157" s="2"/>
      <c r="H157" s="2"/>
      <c r="I157" s="2"/>
      <c r="J157" s="2"/>
      <c r="N157" s="3"/>
      <c r="O157" s="3"/>
      <c r="P157" s="3"/>
      <c r="Q157" s="3"/>
      <c r="R157" s="3"/>
      <c r="S157" s="2"/>
      <c r="T157" s="2"/>
      <c r="U157" s="2"/>
    </row>
    <row r="158" spans="1:21">
      <c r="A158" s="69"/>
      <c r="B158" s="3"/>
      <c r="C158" s="3"/>
      <c r="D158" s="3"/>
      <c r="E158" s="3"/>
      <c r="G158" s="2"/>
      <c r="H158" s="2"/>
      <c r="I158" s="2"/>
      <c r="J158" s="2"/>
      <c r="N158" s="3"/>
      <c r="O158" s="3"/>
      <c r="P158" s="3"/>
      <c r="Q158" s="3"/>
      <c r="R158" s="3"/>
      <c r="S158" s="2"/>
      <c r="T158" s="2"/>
      <c r="U158" s="2"/>
    </row>
    <row r="159" spans="1:21">
      <c r="A159" s="69"/>
      <c r="B159" s="3"/>
      <c r="C159" s="3"/>
      <c r="D159" s="3"/>
      <c r="E159" s="3"/>
      <c r="G159" s="2"/>
      <c r="H159" s="2"/>
      <c r="I159" s="2"/>
      <c r="J159" s="2"/>
      <c r="N159" s="3"/>
      <c r="O159" s="3"/>
      <c r="P159" s="3"/>
      <c r="Q159" s="3"/>
      <c r="R159" s="3"/>
      <c r="S159" s="2"/>
      <c r="T159" s="2"/>
      <c r="U159" s="2"/>
    </row>
    <row r="160" spans="1:21">
      <c r="A160" s="69"/>
      <c r="B160" s="3"/>
      <c r="C160" s="3"/>
      <c r="D160" s="3"/>
      <c r="E160" s="3"/>
      <c r="G160" s="2"/>
      <c r="H160" s="2"/>
      <c r="I160" s="2"/>
      <c r="J160" s="2"/>
      <c r="N160" s="3"/>
      <c r="O160" s="3"/>
      <c r="P160" s="3"/>
      <c r="Q160" s="3"/>
      <c r="R160" s="3"/>
      <c r="S160" s="2"/>
      <c r="T160" s="2"/>
      <c r="U160" s="2"/>
    </row>
    <row r="161" spans="1:21">
      <c r="A161" s="69"/>
      <c r="B161" s="3"/>
      <c r="C161" s="3"/>
      <c r="D161" s="3"/>
      <c r="E161" s="3"/>
      <c r="G161" s="2"/>
      <c r="H161" s="2"/>
      <c r="I161" s="2"/>
      <c r="J161" s="2"/>
      <c r="N161" s="3"/>
      <c r="O161" s="3"/>
      <c r="P161" s="3"/>
      <c r="Q161" s="3"/>
      <c r="R161" s="3"/>
      <c r="S161" s="2"/>
      <c r="T161" s="2"/>
      <c r="U161" s="2"/>
    </row>
    <row r="162" spans="1:21">
      <c r="A162" s="69"/>
      <c r="B162" s="3"/>
      <c r="C162" s="3"/>
      <c r="D162" s="3"/>
      <c r="E162" s="3"/>
      <c r="G162" s="2"/>
      <c r="H162" s="2"/>
      <c r="I162" s="2"/>
      <c r="J162" s="2"/>
      <c r="N162" s="3"/>
      <c r="O162" s="3"/>
      <c r="P162" s="3"/>
      <c r="Q162" s="3"/>
      <c r="R162" s="3"/>
      <c r="S162" s="2"/>
      <c r="T162" s="2"/>
      <c r="U162" s="2"/>
    </row>
    <row r="163" spans="1:21">
      <c r="A163" s="69"/>
      <c r="B163" s="3"/>
      <c r="C163" s="3"/>
      <c r="D163" s="3"/>
      <c r="E163" s="3"/>
      <c r="G163" s="2"/>
      <c r="H163" s="2"/>
      <c r="I163" s="2"/>
      <c r="J163" s="2"/>
      <c r="N163" s="3"/>
      <c r="O163" s="3"/>
      <c r="P163" s="3"/>
      <c r="Q163" s="3"/>
      <c r="R163" s="3"/>
      <c r="S163" s="2"/>
      <c r="T163" s="2"/>
      <c r="U163" s="2"/>
    </row>
    <row r="164" spans="1:21">
      <c r="A164" s="69"/>
      <c r="B164" s="3"/>
      <c r="C164" s="3"/>
      <c r="D164" s="3"/>
      <c r="E164" s="3"/>
      <c r="G164" s="2"/>
      <c r="H164" s="2"/>
      <c r="I164" s="2"/>
      <c r="J164" s="2"/>
      <c r="N164" s="3"/>
      <c r="O164" s="3"/>
      <c r="P164" s="3"/>
      <c r="Q164" s="3"/>
      <c r="R164" s="3"/>
      <c r="S164" s="2"/>
      <c r="T164" s="2"/>
      <c r="U164" s="2"/>
    </row>
    <row r="165" spans="1:21">
      <c r="A165" s="69"/>
      <c r="B165" s="3"/>
      <c r="C165" s="3"/>
      <c r="D165" s="3"/>
      <c r="E165" s="3"/>
      <c r="G165" s="2"/>
      <c r="H165" s="2"/>
      <c r="I165" s="2"/>
      <c r="J165" s="2"/>
      <c r="N165" s="3"/>
      <c r="O165" s="3"/>
      <c r="P165" s="3"/>
      <c r="Q165" s="3"/>
      <c r="R165" s="3"/>
      <c r="S165" s="2"/>
      <c r="T165" s="2"/>
      <c r="U165" s="2"/>
    </row>
    <row r="166" spans="1:21">
      <c r="A166" s="69"/>
      <c r="B166" s="3"/>
      <c r="C166" s="3"/>
      <c r="D166" s="3"/>
      <c r="E166" s="3"/>
      <c r="G166" s="2"/>
      <c r="H166" s="2"/>
      <c r="I166" s="2"/>
      <c r="J166" s="2"/>
      <c r="N166" s="3"/>
      <c r="O166" s="3"/>
      <c r="P166" s="3"/>
      <c r="Q166" s="3"/>
      <c r="R166" s="3"/>
      <c r="S166" s="2"/>
      <c r="T166" s="2"/>
      <c r="U166" s="2"/>
    </row>
    <row r="167" spans="1:21">
      <c r="A167" s="69"/>
      <c r="B167" s="3"/>
      <c r="C167" s="3"/>
      <c r="D167" s="3"/>
      <c r="E167" s="3"/>
      <c r="G167" s="2"/>
      <c r="H167" s="2"/>
      <c r="I167" s="2"/>
      <c r="J167" s="2"/>
      <c r="N167" s="3"/>
      <c r="O167" s="3"/>
      <c r="P167" s="3"/>
      <c r="Q167" s="3"/>
      <c r="R167" s="3"/>
      <c r="S167" s="2"/>
      <c r="T167" s="2"/>
      <c r="U167" s="2"/>
    </row>
    <row r="168" spans="1:21">
      <c r="A168" s="69"/>
      <c r="B168" s="3"/>
      <c r="C168" s="3"/>
      <c r="D168" s="3"/>
      <c r="E168" s="3"/>
      <c r="G168" s="2"/>
      <c r="H168" s="2"/>
      <c r="I168" s="2"/>
      <c r="J168" s="2"/>
      <c r="N168" s="3"/>
      <c r="O168" s="3"/>
      <c r="P168" s="3"/>
      <c r="Q168" s="3"/>
      <c r="R168" s="3"/>
      <c r="S168" s="2"/>
      <c r="T168" s="2"/>
      <c r="U168" s="2"/>
    </row>
    <row r="169" spans="1:21">
      <c r="A169" s="69"/>
      <c r="B169" s="3"/>
      <c r="C169" s="3"/>
      <c r="D169" s="3"/>
      <c r="E169" s="3"/>
      <c r="G169" s="2"/>
      <c r="H169" s="2"/>
      <c r="I169" s="2"/>
      <c r="J169" s="2"/>
      <c r="N169" s="3"/>
      <c r="O169" s="3"/>
      <c r="P169" s="3"/>
      <c r="Q169" s="3"/>
      <c r="R169" s="3"/>
      <c r="S169" s="2"/>
      <c r="T169" s="2"/>
      <c r="U169" s="2"/>
    </row>
    <row r="170" spans="1:21">
      <c r="A170" s="69"/>
      <c r="B170" s="3"/>
      <c r="C170" s="3"/>
      <c r="D170" s="3"/>
      <c r="E170" s="3"/>
      <c r="G170" s="2"/>
      <c r="H170" s="2"/>
      <c r="I170" s="2"/>
      <c r="J170" s="2"/>
      <c r="N170" s="3"/>
      <c r="O170" s="3"/>
      <c r="P170" s="3"/>
      <c r="Q170" s="3"/>
      <c r="R170" s="3"/>
      <c r="S170" s="2"/>
      <c r="T170" s="2"/>
      <c r="U170" s="2"/>
    </row>
    <row r="171" spans="1:21">
      <c r="A171" s="69"/>
      <c r="B171" s="3"/>
      <c r="C171" s="3"/>
      <c r="D171" s="3"/>
      <c r="E171" s="3"/>
      <c r="G171" s="2"/>
      <c r="H171" s="2"/>
      <c r="I171" s="2"/>
      <c r="J171" s="2"/>
      <c r="N171" s="3"/>
      <c r="O171" s="3"/>
      <c r="P171" s="3"/>
      <c r="Q171" s="3"/>
      <c r="R171" s="3"/>
      <c r="S171" s="2"/>
      <c r="T171" s="2"/>
      <c r="U171" s="2"/>
    </row>
    <row r="172" spans="1:21">
      <c r="A172" s="69"/>
      <c r="B172" s="3"/>
      <c r="C172" s="3"/>
      <c r="D172" s="3"/>
      <c r="E172" s="3"/>
      <c r="G172" s="2"/>
      <c r="H172" s="2"/>
      <c r="I172" s="2"/>
      <c r="J172" s="2"/>
      <c r="N172" s="3"/>
      <c r="O172" s="3"/>
      <c r="P172" s="3"/>
      <c r="Q172" s="3"/>
      <c r="R172" s="3"/>
      <c r="S172" s="2"/>
      <c r="T172" s="2"/>
      <c r="U172" s="2"/>
    </row>
    <row r="173" spans="1:21">
      <c r="A173" s="69"/>
      <c r="B173" s="3"/>
      <c r="C173" s="3"/>
      <c r="D173" s="3"/>
      <c r="E173" s="3"/>
      <c r="G173" s="2"/>
      <c r="H173" s="2"/>
      <c r="I173" s="2"/>
      <c r="J173" s="2"/>
      <c r="N173" s="3"/>
      <c r="O173" s="3"/>
      <c r="P173" s="3"/>
      <c r="Q173" s="3"/>
      <c r="R173" s="3"/>
      <c r="S173" s="2"/>
      <c r="T173" s="2"/>
      <c r="U173" s="2"/>
    </row>
    <row r="174" spans="1:21">
      <c r="A174" s="69"/>
      <c r="B174" s="3"/>
      <c r="C174" s="3"/>
      <c r="D174" s="3"/>
      <c r="E174" s="3"/>
      <c r="G174" s="2"/>
      <c r="H174" s="2"/>
      <c r="I174" s="2"/>
      <c r="J174" s="2"/>
      <c r="N174" s="3"/>
      <c r="O174" s="3"/>
      <c r="P174" s="3"/>
      <c r="Q174" s="3"/>
      <c r="R174" s="3"/>
      <c r="S174" s="2"/>
      <c r="T174" s="2"/>
      <c r="U174" s="2"/>
    </row>
    <row r="175" spans="1:21">
      <c r="A175" s="69"/>
      <c r="B175" s="3"/>
      <c r="C175" s="3"/>
      <c r="D175" s="3"/>
      <c r="E175" s="3"/>
      <c r="G175" s="2"/>
      <c r="H175" s="2"/>
      <c r="I175" s="2"/>
      <c r="J175" s="2"/>
      <c r="N175" s="3"/>
      <c r="O175" s="3"/>
      <c r="P175" s="3"/>
      <c r="Q175" s="3"/>
      <c r="R175" s="3"/>
      <c r="S175" s="2"/>
      <c r="T175" s="2"/>
      <c r="U175" s="2"/>
    </row>
    <row r="176" spans="1:21">
      <c r="A176" s="69"/>
      <c r="B176" s="3"/>
      <c r="C176" s="3"/>
      <c r="D176" s="3"/>
      <c r="E176" s="3"/>
      <c r="G176" s="2"/>
      <c r="H176" s="2"/>
      <c r="I176" s="2"/>
      <c r="J176" s="2"/>
      <c r="N176" s="3"/>
      <c r="O176" s="3"/>
      <c r="P176" s="3"/>
      <c r="Q176" s="3"/>
      <c r="R176" s="3"/>
      <c r="S176" s="2"/>
      <c r="T176" s="2"/>
      <c r="U176" s="2"/>
    </row>
    <row r="177" spans="1:21">
      <c r="A177" s="69"/>
      <c r="B177" s="3"/>
      <c r="C177" s="3"/>
      <c r="D177" s="3"/>
      <c r="E177" s="3"/>
      <c r="G177" s="2"/>
      <c r="H177" s="2"/>
      <c r="I177" s="2"/>
      <c r="J177" s="2"/>
      <c r="N177" s="3"/>
      <c r="O177" s="3"/>
      <c r="P177" s="3"/>
      <c r="Q177" s="3"/>
      <c r="R177" s="3"/>
      <c r="S177" s="2"/>
      <c r="T177" s="2"/>
      <c r="U177" s="2"/>
    </row>
    <row r="178" spans="1:21">
      <c r="A178" s="69"/>
      <c r="B178" s="3"/>
      <c r="C178" s="3"/>
      <c r="D178" s="3"/>
      <c r="E178" s="3"/>
      <c r="G178" s="2"/>
      <c r="H178" s="2"/>
      <c r="I178" s="2"/>
      <c r="J178" s="2"/>
      <c r="N178" s="3"/>
      <c r="O178" s="3"/>
      <c r="P178" s="3"/>
      <c r="Q178" s="3"/>
      <c r="R178" s="3"/>
      <c r="S178" s="2"/>
      <c r="T178" s="2"/>
      <c r="U178" s="2"/>
    </row>
    <row r="179" spans="1:21">
      <c r="A179" s="69"/>
      <c r="B179" s="3"/>
      <c r="C179" s="3"/>
      <c r="D179" s="3"/>
      <c r="E179" s="3"/>
      <c r="G179" s="2"/>
      <c r="H179" s="2"/>
      <c r="I179" s="2"/>
      <c r="J179" s="2"/>
      <c r="N179" s="3"/>
      <c r="O179" s="3"/>
      <c r="P179" s="3"/>
      <c r="Q179" s="3"/>
      <c r="R179" s="3"/>
      <c r="S179" s="2"/>
      <c r="T179" s="2"/>
      <c r="U179" s="2"/>
    </row>
    <row r="180" spans="1:21">
      <c r="A180" s="69"/>
      <c r="B180" s="3"/>
      <c r="C180" s="3"/>
      <c r="D180" s="3"/>
      <c r="E180" s="3"/>
      <c r="G180" s="2"/>
      <c r="H180" s="2"/>
      <c r="I180" s="2"/>
      <c r="J180" s="2"/>
      <c r="N180" s="3"/>
      <c r="O180" s="3"/>
      <c r="P180" s="3"/>
      <c r="Q180" s="3"/>
      <c r="R180" s="3"/>
      <c r="S180" s="2"/>
      <c r="T180" s="2"/>
      <c r="U180" s="2"/>
    </row>
    <row r="181" spans="1:21">
      <c r="A181" s="69"/>
      <c r="B181" s="3"/>
      <c r="C181" s="3"/>
      <c r="D181" s="3"/>
      <c r="E181" s="3"/>
      <c r="G181" s="2"/>
      <c r="H181" s="2"/>
      <c r="I181" s="2"/>
      <c r="J181" s="2"/>
      <c r="N181" s="3"/>
      <c r="O181" s="3"/>
      <c r="P181" s="3"/>
      <c r="Q181" s="3"/>
      <c r="R181" s="3"/>
      <c r="S181" s="2"/>
      <c r="T181" s="2"/>
      <c r="U181" s="2"/>
    </row>
    <row r="182" spans="1:21">
      <c r="A182" s="69"/>
      <c r="B182" s="3"/>
      <c r="C182" s="3"/>
      <c r="D182" s="3"/>
      <c r="E182" s="3"/>
      <c r="G182" s="2"/>
      <c r="H182" s="2"/>
      <c r="I182" s="2"/>
      <c r="J182" s="2"/>
      <c r="N182" s="3"/>
      <c r="O182" s="3"/>
      <c r="P182" s="3"/>
      <c r="Q182" s="3"/>
      <c r="R182" s="3"/>
      <c r="S182" s="2"/>
      <c r="T182" s="2"/>
      <c r="U182" s="2"/>
    </row>
    <row r="183" spans="1:21">
      <c r="A183" s="69"/>
      <c r="B183" s="3"/>
      <c r="C183" s="3"/>
      <c r="D183" s="3"/>
      <c r="E183" s="3"/>
      <c r="G183" s="2"/>
      <c r="H183" s="2"/>
      <c r="I183" s="2"/>
      <c r="J183" s="2"/>
      <c r="N183" s="3"/>
      <c r="O183" s="3"/>
      <c r="P183" s="3"/>
      <c r="Q183" s="3"/>
      <c r="R183" s="3"/>
      <c r="S183" s="2"/>
      <c r="T183" s="2"/>
      <c r="U183" s="2"/>
    </row>
    <row r="184" spans="1:21">
      <c r="A184" s="69"/>
      <c r="B184" s="3"/>
      <c r="C184" s="3"/>
      <c r="D184" s="3"/>
      <c r="E184" s="3"/>
      <c r="G184" s="2"/>
      <c r="H184" s="2"/>
      <c r="I184" s="2"/>
      <c r="J184" s="2"/>
      <c r="N184" s="3"/>
      <c r="O184" s="3"/>
      <c r="P184" s="3"/>
      <c r="Q184" s="3"/>
      <c r="R184" s="3"/>
      <c r="S184" s="2"/>
      <c r="T184" s="2"/>
      <c r="U184" s="2"/>
    </row>
    <row r="185" spans="1:21">
      <c r="A185" s="69"/>
      <c r="B185" s="3"/>
      <c r="C185" s="3"/>
      <c r="D185" s="3"/>
      <c r="E185" s="3"/>
      <c r="G185" s="2"/>
      <c r="H185" s="2"/>
      <c r="I185" s="2"/>
      <c r="J185" s="2"/>
      <c r="N185" s="3"/>
      <c r="O185" s="3"/>
      <c r="P185" s="3"/>
      <c r="Q185" s="3"/>
      <c r="R185" s="3"/>
      <c r="S185" s="2"/>
      <c r="T185" s="2"/>
      <c r="U185" s="2"/>
    </row>
    <row r="186" spans="1:21">
      <c r="A186" s="69"/>
      <c r="B186" s="3"/>
      <c r="C186" s="3"/>
      <c r="D186" s="3"/>
      <c r="E186" s="3"/>
      <c r="G186" s="2"/>
      <c r="H186" s="2"/>
      <c r="I186" s="2"/>
      <c r="J186" s="2"/>
      <c r="N186" s="3"/>
      <c r="O186" s="3"/>
      <c r="P186" s="3"/>
      <c r="Q186" s="3"/>
      <c r="R186" s="3"/>
      <c r="S186" s="2"/>
      <c r="T186" s="2"/>
      <c r="U186" s="2"/>
    </row>
    <row r="187" spans="1:21">
      <c r="A187" s="69"/>
      <c r="B187" s="3"/>
      <c r="C187" s="3"/>
      <c r="D187" s="3"/>
      <c r="E187" s="3"/>
      <c r="G187" s="2"/>
      <c r="H187" s="2"/>
      <c r="I187" s="2"/>
      <c r="J187" s="2"/>
      <c r="N187" s="3"/>
      <c r="O187" s="3"/>
      <c r="P187" s="3"/>
      <c r="Q187" s="3"/>
      <c r="R187" s="3"/>
      <c r="S187" s="2"/>
      <c r="T187" s="2"/>
      <c r="U187" s="2"/>
    </row>
    <row r="188" spans="1:21">
      <c r="A188" s="69"/>
      <c r="B188" s="3"/>
      <c r="C188" s="3"/>
      <c r="D188" s="3"/>
      <c r="E188" s="3"/>
      <c r="G188" s="2"/>
      <c r="H188" s="2"/>
      <c r="I188" s="2"/>
      <c r="J188" s="2"/>
      <c r="N188" s="3"/>
      <c r="O188" s="3"/>
      <c r="P188" s="3"/>
      <c r="Q188" s="3"/>
      <c r="R188" s="3"/>
      <c r="S188" s="2"/>
      <c r="T188" s="2"/>
      <c r="U188" s="2"/>
    </row>
    <row r="189" spans="1:21">
      <c r="A189" s="69"/>
      <c r="B189" s="3"/>
      <c r="C189" s="3"/>
      <c r="D189" s="3"/>
      <c r="E189" s="3"/>
      <c r="G189" s="2"/>
      <c r="H189" s="2"/>
      <c r="I189" s="2"/>
      <c r="J189" s="2"/>
      <c r="N189" s="3"/>
      <c r="O189" s="3"/>
      <c r="P189" s="3"/>
      <c r="Q189" s="3"/>
      <c r="R189" s="3"/>
      <c r="S189" s="2"/>
      <c r="T189" s="2"/>
      <c r="U189" s="2"/>
    </row>
    <row r="190" spans="1:21">
      <c r="A190" s="69"/>
      <c r="B190" s="3"/>
      <c r="C190" s="3"/>
      <c r="D190" s="3"/>
      <c r="E190" s="3"/>
      <c r="G190" s="2"/>
      <c r="H190" s="2"/>
      <c r="I190" s="2"/>
      <c r="J190" s="2"/>
      <c r="N190" s="3"/>
      <c r="O190" s="3"/>
      <c r="P190" s="3"/>
      <c r="Q190" s="3"/>
      <c r="R190" s="3"/>
      <c r="S190" s="2"/>
      <c r="T190" s="2"/>
      <c r="U190" s="2"/>
    </row>
    <row r="191" spans="1:21">
      <c r="A191" s="69"/>
      <c r="B191" s="3"/>
      <c r="C191" s="3"/>
      <c r="D191" s="3"/>
      <c r="E191" s="3"/>
      <c r="G191" s="2"/>
      <c r="H191" s="2"/>
      <c r="I191" s="2"/>
      <c r="J191" s="2"/>
      <c r="N191" s="3"/>
      <c r="O191" s="3"/>
      <c r="P191" s="3"/>
      <c r="Q191" s="3"/>
      <c r="R191" s="3"/>
      <c r="S191" s="2"/>
      <c r="T191" s="2"/>
      <c r="U191" s="2"/>
    </row>
    <row r="192" spans="1:21">
      <c r="A192" s="69"/>
      <c r="B192" s="3"/>
      <c r="C192" s="3"/>
      <c r="D192" s="3"/>
      <c r="E192" s="3"/>
      <c r="G192" s="2"/>
      <c r="H192" s="2"/>
      <c r="I192" s="2"/>
      <c r="J192" s="2"/>
      <c r="N192" s="3"/>
      <c r="O192" s="3"/>
      <c r="P192" s="3"/>
      <c r="Q192" s="3"/>
      <c r="R192" s="3"/>
      <c r="S192" s="2"/>
      <c r="T192" s="2"/>
      <c r="U192" s="2"/>
    </row>
    <row r="193" spans="1:21">
      <c r="A193" s="69"/>
      <c r="B193" s="3"/>
      <c r="C193" s="3"/>
      <c r="D193" s="3"/>
      <c r="E193" s="3"/>
      <c r="G193" s="2"/>
      <c r="H193" s="2"/>
      <c r="I193" s="2"/>
      <c r="J193" s="2"/>
      <c r="N193" s="3"/>
      <c r="O193" s="3"/>
      <c r="P193" s="3"/>
      <c r="Q193" s="3"/>
      <c r="R193" s="3"/>
      <c r="S193" s="2"/>
      <c r="T193" s="2"/>
      <c r="U193" s="2"/>
    </row>
    <row r="194" spans="1:21">
      <c r="A194" s="69"/>
      <c r="B194" s="3"/>
      <c r="C194" s="3"/>
      <c r="D194" s="3"/>
      <c r="E194" s="3"/>
      <c r="G194" s="2"/>
      <c r="H194" s="2"/>
      <c r="I194" s="2"/>
      <c r="J194" s="2"/>
      <c r="N194" s="3"/>
      <c r="O194" s="3"/>
      <c r="P194" s="3"/>
      <c r="Q194" s="3"/>
      <c r="R194" s="3"/>
      <c r="S194" s="2"/>
      <c r="T194" s="2"/>
      <c r="U194" s="2"/>
    </row>
    <row r="195" spans="1:21">
      <c r="A195" s="69"/>
      <c r="B195" s="3"/>
      <c r="C195" s="3"/>
      <c r="D195" s="3"/>
      <c r="E195" s="3"/>
      <c r="G195" s="2"/>
      <c r="H195" s="2"/>
      <c r="I195" s="2"/>
      <c r="J195" s="2"/>
      <c r="N195" s="3"/>
      <c r="O195" s="3"/>
      <c r="P195" s="3"/>
      <c r="Q195" s="3"/>
      <c r="R195" s="3"/>
      <c r="S195" s="2"/>
      <c r="T195" s="2"/>
      <c r="U195" s="2"/>
    </row>
    <row r="196" spans="1:21">
      <c r="A196" s="69"/>
      <c r="B196" s="3"/>
      <c r="C196" s="3"/>
      <c r="D196" s="3"/>
      <c r="E196" s="3"/>
      <c r="G196" s="2"/>
      <c r="H196" s="2"/>
      <c r="I196" s="2"/>
      <c r="J196" s="2"/>
      <c r="N196" s="3"/>
      <c r="O196" s="3"/>
      <c r="P196" s="3"/>
      <c r="Q196" s="3"/>
      <c r="R196" s="3"/>
      <c r="S196" s="2"/>
      <c r="T196" s="2"/>
      <c r="U196" s="2"/>
    </row>
    <row r="197" spans="1:21">
      <c r="A197" s="69"/>
      <c r="B197" s="3"/>
      <c r="C197" s="3"/>
      <c r="D197" s="3"/>
      <c r="E197" s="3"/>
      <c r="G197" s="2"/>
      <c r="H197" s="2"/>
      <c r="I197" s="2"/>
      <c r="J197" s="2"/>
      <c r="N197" s="3"/>
      <c r="O197" s="3"/>
      <c r="P197" s="3"/>
      <c r="Q197" s="3"/>
      <c r="R197" s="3"/>
      <c r="S197" s="2"/>
      <c r="T197" s="2"/>
      <c r="U197" s="2"/>
    </row>
    <row r="198" spans="1:21">
      <c r="A198" s="69"/>
      <c r="B198" s="3"/>
      <c r="C198" s="3"/>
      <c r="D198" s="3"/>
      <c r="E198" s="3"/>
      <c r="G198" s="2"/>
      <c r="H198" s="2"/>
      <c r="I198" s="2"/>
      <c r="J198" s="2"/>
      <c r="N198" s="3"/>
      <c r="O198" s="3"/>
      <c r="P198" s="3"/>
      <c r="Q198" s="3"/>
      <c r="R198" s="3"/>
      <c r="S198" s="2"/>
      <c r="T198" s="2"/>
      <c r="U198" s="2"/>
    </row>
    <row r="199" spans="1:21">
      <c r="A199" s="69"/>
      <c r="B199" s="3"/>
      <c r="C199" s="3"/>
      <c r="D199" s="3"/>
      <c r="E199" s="3"/>
      <c r="G199" s="2"/>
      <c r="H199" s="2"/>
      <c r="I199" s="2"/>
      <c r="J199" s="2"/>
      <c r="N199" s="3"/>
      <c r="O199" s="3"/>
      <c r="P199" s="3"/>
      <c r="Q199" s="3"/>
      <c r="R199" s="3"/>
      <c r="S199" s="2"/>
      <c r="T199" s="2"/>
      <c r="U199" s="2"/>
    </row>
    <row r="200" spans="1:21">
      <c r="A200" s="69"/>
      <c r="B200" s="3"/>
      <c r="C200" s="3"/>
      <c r="D200" s="3"/>
      <c r="E200" s="3"/>
      <c r="G200" s="2"/>
      <c r="H200" s="2"/>
      <c r="I200" s="2"/>
      <c r="J200" s="2"/>
      <c r="K200" s="3"/>
      <c r="N200" s="3"/>
      <c r="O200" s="3"/>
      <c r="P200" s="3"/>
      <c r="Q200" s="3"/>
      <c r="R200" s="3"/>
      <c r="S200" s="2"/>
      <c r="T200" s="2"/>
      <c r="U200" s="2"/>
    </row>
    <row r="201" spans="1:21">
      <c r="A201" s="69"/>
      <c r="B201" s="3"/>
      <c r="C201" s="3"/>
      <c r="D201" s="3"/>
      <c r="E201" s="3"/>
      <c r="G201" s="2"/>
      <c r="H201" s="2"/>
      <c r="I201" s="2"/>
      <c r="J201" s="2"/>
      <c r="N201" s="3"/>
      <c r="O201" s="3"/>
      <c r="P201" s="3"/>
      <c r="Q201" s="3"/>
      <c r="R201" s="3"/>
      <c r="S201" s="2"/>
      <c r="T201" s="2"/>
      <c r="U201" s="2"/>
    </row>
    <row r="202" spans="1:21">
      <c r="A202" s="69"/>
      <c r="B202" s="3"/>
      <c r="C202" s="3"/>
      <c r="D202" s="3"/>
      <c r="E202" s="3"/>
      <c r="G202" s="2"/>
      <c r="H202" s="2"/>
      <c r="I202" s="2"/>
      <c r="J202" s="2"/>
      <c r="N202" s="3"/>
      <c r="O202" s="3"/>
      <c r="P202" s="3"/>
      <c r="Q202" s="3"/>
      <c r="R202" s="3"/>
      <c r="S202" s="2"/>
      <c r="T202" s="2"/>
      <c r="U202" s="2"/>
    </row>
    <row r="203" spans="1:21">
      <c r="A203" s="69"/>
      <c r="B203" s="3"/>
      <c r="C203" s="3"/>
      <c r="D203" s="3"/>
      <c r="E203" s="3"/>
      <c r="G203" s="2"/>
      <c r="H203" s="2"/>
      <c r="I203" s="2"/>
      <c r="J203" s="2"/>
      <c r="N203" s="3"/>
      <c r="O203" s="3"/>
      <c r="P203" s="3"/>
      <c r="Q203" s="3"/>
      <c r="R203" s="3"/>
      <c r="S203" s="2"/>
      <c r="T203" s="2"/>
      <c r="U203" s="2"/>
    </row>
    <row r="204" spans="1:21">
      <c r="A204" s="69"/>
      <c r="B204" s="3"/>
      <c r="C204" s="3"/>
      <c r="D204" s="3"/>
      <c r="E204" s="3"/>
      <c r="G204" s="2"/>
      <c r="H204" s="2"/>
      <c r="I204" s="2"/>
      <c r="J204" s="2"/>
      <c r="N204" s="3"/>
      <c r="O204" s="3"/>
      <c r="P204" s="3"/>
      <c r="Q204" s="3"/>
      <c r="R204" s="3"/>
      <c r="S204" s="2"/>
      <c r="T204" s="2"/>
      <c r="U204" s="2"/>
    </row>
  </sheetData>
  <phoneticPr fontId="16"/>
  <pageMargins left="0.7" right="0.7" top="0.75" bottom="0.75" header="0.3" footer="0.3"/>
  <pageSetup paperSize="9"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1]!ImportOHLCV">
                <anchor moveWithCells="1" sizeWithCells="1">
                  <from>
                    <xdr:col>6</xdr:col>
                    <xdr:colOff>403860</xdr:colOff>
                    <xdr:row>0</xdr:row>
                    <xdr:rowOff>38100</xdr:rowOff>
                  </from>
                  <to>
                    <xdr:col>9</xdr:col>
                    <xdr:colOff>373380</xdr:colOff>
                    <xdr:row>0</xdr:row>
                    <xdr:rowOff>1417320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C00000"/>
  </sheetPr>
  <dimension ref="A1:S66"/>
  <sheetViews>
    <sheetView showGridLines="0" topLeftCell="B1" workbookViewId="0">
      <selection activeCell="B55" sqref="B55"/>
    </sheetView>
  </sheetViews>
  <sheetFormatPr defaultColWidth="9" defaultRowHeight="16.2"/>
  <cols>
    <col min="1" max="1" width="34.109375" style="245" bestFit="1" customWidth="1"/>
    <col min="2" max="2" width="44.33203125" style="245" bestFit="1" customWidth="1"/>
    <col min="3" max="3" width="42.77734375" style="245" customWidth="1"/>
    <col min="4" max="4" width="103.88671875" style="245" bestFit="1" customWidth="1"/>
    <col min="5" max="5" width="37.6640625" style="245" customWidth="1"/>
    <col min="6" max="6" width="12" style="245" customWidth="1"/>
    <col min="7" max="12" width="9" style="245" customWidth="1"/>
    <col min="13" max="13" width="11.88671875" style="245" bestFit="1" customWidth="1"/>
    <col min="14" max="14" width="9" style="245" customWidth="1"/>
    <col min="15" max="16384" width="9" style="245"/>
  </cols>
  <sheetData>
    <row r="1" spans="1:19" ht="90" customHeight="1" thickBot="1">
      <c r="A1" s="244" t="s">
        <v>598</v>
      </c>
      <c r="B1" s="361" t="s">
        <v>599</v>
      </c>
      <c r="G1" s="345"/>
      <c r="H1" s="246"/>
      <c r="I1" s="246"/>
    </row>
    <row r="2" spans="1:19" ht="18" customHeight="1" thickBot="1">
      <c r="B2" s="247" t="s">
        <v>600</v>
      </c>
      <c r="C2" s="247" t="s">
        <v>601</v>
      </c>
      <c r="D2" s="247" t="s">
        <v>602</v>
      </c>
      <c r="E2" s="358" t="s">
        <v>603</v>
      </c>
      <c r="F2" s="245" t="str">
        <f>_xll.RssMarginPositionList($F$3:$N$3)</f>
        <v>=@RssMarginPositionList($F$3:$N$3) =&gt; 接続待ち</v>
      </c>
    </row>
    <row r="3" spans="1:19">
      <c r="B3" s="248" t="s">
        <v>523</v>
      </c>
      <c r="C3" s="249"/>
      <c r="D3" s="356" t="s">
        <v>604</v>
      </c>
      <c r="E3" s="359">
        <v>1</v>
      </c>
      <c r="F3" s="245" t="s">
        <v>523</v>
      </c>
      <c r="G3" s="245" t="s">
        <v>524</v>
      </c>
      <c r="H3" s="245" t="s">
        <v>605</v>
      </c>
      <c r="I3" s="245" t="s">
        <v>606</v>
      </c>
      <c r="J3" s="245" t="s">
        <v>607</v>
      </c>
      <c r="K3" s="245" t="s">
        <v>608</v>
      </c>
      <c r="L3" s="245" t="s">
        <v>609</v>
      </c>
      <c r="M3" s="245" t="s">
        <v>610</v>
      </c>
      <c r="N3" s="245" t="s">
        <v>611</v>
      </c>
    </row>
    <row r="4" spans="1:19" ht="18" customHeight="1" thickBot="1">
      <c r="B4" s="250" t="s">
        <v>612</v>
      </c>
      <c r="C4" s="251" t="str">
        <f t="array" ref="C4">_xll.RssMarket(C3,"銘柄名称")</f>
        <v/>
      </c>
      <c r="D4" s="357" t="s">
        <v>613</v>
      </c>
      <c r="E4" s="360" t="s">
        <v>614</v>
      </c>
      <c r="F4" s="307">
        <v>5901</v>
      </c>
      <c r="G4" s="307" t="s">
        <v>106</v>
      </c>
      <c r="H4" s="307">
        <v>100</v>
      </c>
      <c r="I4" s="307">
        <v>4050</v>
      </c>
      <c r="J4" s="307">
        <v>-2</v>
      </c>
      <c r="K4" s="307" t="s">
        <v>1151</v>
      </c>
      <c r="L4" s="307" t="s">
        <v>1152</v>
      </c>
      <c r="M4" s="307"/>
      <c r="N4" s="307"/>
      <c r="O4" s="307"/>
      <c r="P4" s="307"/>
      <c r="Q4" s="307"/>
      <c r="R4" s="307"/>
      <c r="S4" s="307"/>
    </row>
    <row r="5" spans="1:19">
      <c r="B5" s="250" t="s">
        <v>615</v>
      </c>
      <c r="C5" s="251" t="str">
        <f t="array" ref="C5">_xll.RssMarket(C3,"市場部名称")</f>
        <v/>
      </c>
      <c r="D5" s="252" t="s">
        <v>613</v>
      </c>
      <c r="F5" s="307" t="s">
        <v>881</v>
      </c>
      <c r="G5" s="307" t="s">
        <v>881</v>
      </c>
      <c r="H5" s="307" t="s">
        <v>881</v>
      </c>
      <c r="I5" s="307" t="s">
        <v>881</v>
      </c>
      <c r="J5" s="307" t="s">
        <v>881</v>
      </c>
      <c r="K5" s="307" t="s">
        <v>881</v>
      </c>
      <c r="L5" s="307" t="s">
        <v>881</v>
      </c>
      <c r="M5" s="307" t="s">
        <v>881</v>
      </c>
      <c r="N5" s="307" t="s">
        <v>881</v>
      </c>
      <c r="O5" s="307"/>
      <c r="P5" s="307"/>
      <c r="Q5" s="307"/>
      <c r="R5" s="307"/>
      <c r="S5" s="307"/>
    </row>
    <row r="6" spans="1:19">
      <c r="B6" s="250" t="s">
        <v>609</v>
      </c>
      <c r="C6" s="253">
        <v>0</v>
      </c>
      <c r="D6" s="252" t="s">
        <v>616</v>
      </c>
      <c r="F6" s="307" t="s">
        <v>842</v>
      </c>
      <c r="G6" s="307" t="s">
        <v>842</v>
      </c>
      <c r="H6" s="307" t="s">
        <v>842</v>
      </c>
      <c r="I6" s="307" t="s">
        <v>842</v>
      </c>
      <c r="J6" s="307" t="s">
        <v>842</v>
      </c>
      <c r="K6" s="307" t="s">
        <v>842</v>
      </c>
      <c r="L6" s="307" t="s">
        <v>842</v>
      </c>
      <c r="M6" s="307" t="s">
        <v>842</v>
      </c>
      <c r="N6" s="307" t="s">
        <v>842</v>
      </c>
      <c r="O6" s="307"/>
      <c r="P6" s="307"/>
      <c r="Q6" s="307"/>
      <c r="R6" s="307"/>
      <c r="S6" s="307"/>
    </row>
    <row r="7" spans="1:19">
      <c r="B7" s="250" t="s">
        <v>617</v>
      </c>
      <c r="C7" s="253">
        <v>100</v>
      </c>
      <c r="D7" s="252" t="s">
        <v>618</v>
      </c>
      <c r="F7" s="307"/>
      <c r="G7" s="307"/>
      <c r="H7" s="307"/>
      <c r="I7" s="307"/>
      <c r="J7" s="307"/>
      <c r="K7" s="307"/>
      <c r="L7" s="307"/>
      <c r="M7" s="307"/>
      <c r="N7" s="307"/>
    </row>
    <row r="8" spans="1:19">
      <c r="B8" s="254" t="s">
        <v>619</v>
      </c>
      <c r="C8" s="255"/>
      <c r="D8" s="256"/>
      <c r="F8" s="307"/>
      <c r="G8" s="307"/>
      <c r="H8" s="307"/>
      <c r="I8" s="307"/>
      <c r="J8" s="307"/>
      <c r="K8" s="307"/>
      <c r="L8" s="307"/>
      <c r="M8" s="307"/>
      <c r="N8" s="307"/>
    </row>
    <row r="9" spans="1:19" ht="18" customHeight="1" thickBot="1">
      <c r="B9" s="254" t="s">
        <v>608</v>
      </c>
      <c r="C9" s="253">
        <v>4164</v>
      </c>
      <c r="D9" s="252" t="s">
        <v>620</v>
      </c>
      <c r="F9" s="307"/>
      <c r="G9" s="307"/>
      <c r="H9" s="307"/>
      <c r="I9" s="307"/>
      <c r="J9" s="307"/>
      <c r="K9" s="307"/>
      <c r="L9" s="307"/>
      <c r="M9" s="307"/>
      <c r="N9" s="307"/>
    </row>
    <row r="10" spans="1:19">
      <c r="B10" s="250" t="s">
        <v>621</v>
      </c>
      <c r="C10" s="257" t="str">
        <f>IFERROR(INDEX(I4:I104,MATCH(C3,F4:F104,0)),"")</f>
        <v/>
      </c>
      <c r="D10" s="252" t="s">
        <v>622</v>
      </c>
      <c r="E10" s="346"/>
      <c r="F10" s="347" t="s">
        <v>623</v>
      </c>
      <c r="G10" s="347" t="s">
        <v>624</v>
      </c>
      <c r="H10" s="347"/>
      <c r="I10" s="347"/>
      <c r="J10" s="347"/>
      <c r="K10" s="348"/>
    </row>
    <row r="11" spans="1:19">
      <c r="B11" s="250" t="s">
        <v>625</v>
      </c>
      <c r="C11" s="364">
        <v>46169</v>
      </c>
      <c r="D11" s="252" t="s">
        <v>622</v>
      </c>
      <c r="E11" s="349"/>
      <c r="F11" s="350" t="s">
        <v>626</v>
      </c>
      <c r="G11" s="350" t="s">
        <v>627</v>
      </c>
      <c r="H11" s="350"/>
      <c r="I11" s="350"/>
      <c r="J11" s="350"/>
      <c r="K11" s="351"/>
      <c r="L11" s="307"/>
      <c r="M11" s="307"/>
      <c r="N11" s="307"/>
      <c r="O11" s="307"/>
      <c r="P11" s="307"/>
    </row>
    <row r="12" spans="1:19">
      <c r="B12" s="250" t="s">
        <v>628</v>
      </c>
      <c r="C12" s="258" t="str">
        <f>IFERROR(INDEX(K4:K104,MATCH(C3,F4:F104,0)),"")</f>
        <v/>
      </c>
      <c r="D12" s="252" t="s">
        <v>622</v>
      </c>
      <c r="E12" s="349"/>
      <c r="F12" s="350" t="s">
        <v>629</v>
      </c>
      <c r="G12" s="350" t="s">
        <v>630</v>
      </c>
      <c r="H12" s="350"/>
      <c r="I12" s="350"/>
      <c r="J12" s="350"/>
      <c r="K12" s="352"/>
    </row>
    <row r="13" spans="1:19">
      <c r="B13" s="250" t="s">
        <v>631</v>
      </c>
      <c r="C13" s="258" t="str">
        <f>IFERROR(IF(ISNUMBER(SEARCH("東証",C5)),"1",IF(ISNUMBER(SEARCH("JAX",C5)),"5",IF(ISNUMBER(SEARCH("JNX",C5)),"4",IF(ISNUMBER(SEARCH("Chi",C5)),"6","1")))),"1")</f>
        <v>1</v>
      </c>
      <c r="D13" s="252" t="s">
        <v>632</v>
      </c>
      <c r="E13" s="349"/>
      <c r="F13" s="350" t="s">
        <v>633</v>
      </c>
      <c r="G13" s="350" t="s">
        <v>634</v>
      </c>
      <c r="H13" s="350"/>
      <c r="I13" s="350"/>
      <c r="J13" s="350"/>
      <c r="K13" s="352"/>
    </row>
    <row r="14" spans="1:19" ht="18" customHeight="1" thickBot="1">
      <c r="B14" s="250" t="s">
        <v>635</v>
      </c>
      <c r="C14" s="258" t="str">
        <f>IFERROR(INDEX(H4:H104,MATCH(C3,F4:F104,0)),"")</f>
        <v/>
      </c>
      <c r="D14" s="252" t="s">
        <v>622</v>
      </c>
      <c r="E14" s="353"/>
      <c r="F14" s="354"/>
      <c r="G14" s="354"/>
      <c r="H14" s="354"/>
      <c r="I14" s="354"/>
      <c r="J14" s="354"/>
      <c r="K14" s="355"/>
    </row>
    <row r="15" spans="1:19">
      <c r="B15" s="259"/>
      <c r="C15" s="255"/>
      <c r="D15" s="256"/>
    </row>
    <row r="16" spans="1:19">
      <c r="B16" s="260" t="s">
        <v>636</v>
      </c>
      <c r="C16" s="255"/>
      <c r="D16" s="256"/>
    </row>
    <row r="17" spans="2:5">
      <c r="B17" s="250" t="s">
        <v>637</v>
      </c>
      <c r="C17" s="261">
        <v>4</v>
      </c>
      <c r="D17" s="252" t="s">
        <v>638</v>
      </c>
    </row>
    <row r="18" spans="2:5">
      <c r="B18" s="250" t="s">
        <v>639</v>
      </c>
      <c r="C18" s="261">
        <v>8</v>
      </c>
      <c r="D18" s="252" t="s">
        <v>640</v>
      </c>
    </row>
    <row r="19" spans="2:5">
      <c r="B19" s="250" t="s">
        <v>641</v>
      </c>
      <c r="C19" s="261">
        <v>5</v>
      </c>
      <c r="D19" s="252" t="s">
        <v>642</v>
      </c>
    </row>
    <row r="20" spans="2:5">
      <c r="B20" s="250" t="s">
        <v>643</v>
      </c>
      <c r="C20" s="261">
        <v>3</v>
      </c>
      <c r="D20" s="252" t="s">
        <v>644</v>
      </c>
    </row>
    <row r="21" spans="2:5">
      <c r="B21" s="250" t="s">
        <v>645</v>
      </c>
      <c r="C21" s="262">
        <v>10</v>
      </c>
      <c r="D21" s="252" t="s">
        <v>646</v>
      </c>
    </row>
    <row r="22" spans="2:5">
      <c r="B22" s="250" t="s">
        <v>647</v>
      </c>
      <c r="C22" s="261">
        <v>3</v>
      </c>
      <c r="D22" s="252" t="s">
        <v>648</v>
      </c>
    </row>
    <row r="23" spans="2:5">
      <c r="B23" s="250" t="s">
        <v>649</v>
      </c>
      <c r="C23" s="263">
        <v>1</v>
      </c>
      <c r="D23" s="252" t="s">
        <v>650</v>
      </c>
      <c r="E23" s="245" t="s">
        <v>651</v>
      </c>
    </row>
    <row r="24" spans="2:5">
      <c r="B24" s="259"/>
      <c r="C24" s="255"/>
      <c r="D24" s="256"/>
    </row>
    <row r="25" spans="2:5">
      <c r="B25" s="264" t="s">
        <v>652</v>
      </c>
      <c r="C25" s="255"/>
      <c r="D25" s="256"/>
    </row>
    <row r="26" spans="2:5">
      <c r="B26" s="250" t="s">
        <v>525</v>
      </c>
      <c r="C26" s="265" t="str">
        <f t="array" ref="C26">IFERROR(_xll.RssMarket(C3,"現在値"),"")</f>
        <v/>
      </c>
      <c r="D26" s="252" t="s">
        <v>653</v>
      </c>
    </row>
    <row r="27" spans="2:5">
      <c r="B27" s="250" t="s">
        <v>654</v>
      </c>
      <c r="C27" s="266">
        <v>0</v>
      </c>
      <c r="D27" s="252" t="s">
        <v>655</v>
      </c>
    </row>
    <row r="28" spans="2:5">
      <c r="B28" s="250" t="s">
        <v>656</v>
      </c>
      <c r="C28" s="267" t="str">
        <f>IFERROR(IF(C10="","",(C26-C10)/C10*100),"")</f>
        <v/>
      </c>
      <c r="D28" s="252" t="s">
        <v>657</v>
      </c>
    </row>
    <row r="29" spans="2:5">
      <c r="B29" s="250" t="s">
        <v>658</v>
      </c>
      <c r="C29" s="268">
        <v>0</v>
      </c>
      <c r="D29" s="252" t="s">
        <v>659</v>
      </c>
    </row>
    <row r="30" spans="2:5">
      <c r="B30" s="250" t="s">
        <v>660</v>
      </c>
      <c r="C30" s="269">
        <v>0</v>
      </c>
      <c r="D30" s="252" t="s">
        <v>661</v>
      </c>
    </row>
    <row r="31" spans="2:5">
      <c r="B31" s="250" t="s">
        <v>543</v>
      </c>
      <c r="C31" s="268" t="str">
        <f t="array" ref="C31">_xll.RssMarket(C3,"始値")</f>
        <v/>
      </c>
      <c r="D31" s="252" t="s">
        <v>653</v>
      </c>
    </row>
    <row r="32" spans="2:5">
      <c r="B32" s="250" t="s">
        <v>662</v>
      </c>
      <c r="C32" s="270">
        <f t="array" ref="C32">IFERROR(IF(_xll.RssMarket(C3,"前日終値")=0,0,(C31-_xll.RssMarket(C3,"前日終値"))/_xll.RssMarket(C3,"前日終値")*100),0)</f>
        <v>0</v>
      </c>
      <c r="D32" s="252" t="s">
        <v>663</v>
      </c>
    </row>
    <row r="33" spans="2:4">
      <c r="B33" s="250" t="s">
        <v>664</v>
      </c>
      <c r="C33" s="271" t="str">
        <f t="array" ref="C33">_xll.RssMarket(C3,"出来高加重平均")</f>
        <v/>
      </c>
      <c r="D33" s="252" t="s">
        <v>653</v>
      </c>
    </row>
    <row r="34" spans="2:4">
      <c r="B34" s="250" t="s">
        <v>561</v>
      </c>
      <c r="C34" s="272" t="str">
        <f>IF(AND(C32&lt;=C22, IF(C23=1, C31&gt;C33, TRUE)), "✓エントリー可", "⚠ 見送り")</f>
        <v>⚠ 見送り</v>
      </c>
      <c r="D34" s="252" t="s">
        <v>665</v>
      </c>
    </row>
    <row r="35" spans="2:4">
      <c r="B35" s="273" t="s">
        <v>666</v>
      </c>
      <c r="C35" s="255"/>
      <c r="D35" s="256"/>
    </row>
    <row r="36" spans="2:4">
      <c r="B36" s="250" t="s">
        <v>667</v>
      </c>
      <c r="C36" s="265" t="str">
        <f>IFERROR(IF(C10="","",ROUNDDOWN(C10*(1-C17*0.01),0)),"")</f>
        <v/>
      </c>
      <c r="D36" s="252" t="s">
        <v>668</v>
      </c>
    </row>
    <row r="37" spans="2:4">
      <c r="B37" s="250" t="s">
        <v>669</v>
      </c>
      <c r="C37" s="265" t="str">
        <f>IFERROR(IF(C10="","",ROUNDDOWN(C10*(1+C18*0.01),0)),"")</f>
        <v/>
      </c>
      <c r="D37" s="252" t="s">
        <v>670</v>
      </c>
    </row>
    <row r="38" spans="2:4">
      <c r="B38" s="250" t="s">
        <v>671</v>
      </c>
      <c r="C38" s="265" t="str">
        <f>IFERROR(IF(C10="","",ROUNDDOWN(C10*(1+C19*0.01),0)),"")</f>
        <v/>
      </c>
      <c r="D38" s="252" t="s">
        <v>672</v>
      </c>
    </row>
    <row r="39" spans="2:4">
      <c r="B39" s="250" t="s">
        <v>673</v>
      </c>
      <c r="C39" s="274">
        <f>IFERROR(IF(C29="","",ROUNDDOWN(C29*(1-C20*0.01),0)),"")</f>
        <v>0</v>
      </c>
      <c r="D39" s="252" t="s">
        <v>674</v>
      </c>
    </row>
    <row r="40" spans="2:4">
      <c r="B40" s="250" t="s">
        <v>675</v>
      </c>
      <c r="C40" s="275">
        <f>IFERROR(IF(C11="","",C11+C21),"")</f>
        <v>46179</v>
      </c>
      <c r="D40" s="252" t="s">
        <v>676</v>
      </c>
    </row>
    <row r="41" spans="2:4">
      <c r="B41" s="259"/>
      <c r="C41" s="255"/>
      <c r="D41" s="256"/>
    </row>
    <row r="42" spans="2:4">
      <c r="B42" s="260" t="s">
        <v>677</v>
      </c>
      <c r="C42" s="255"/>
      <c r="D42" s="256"/>
    </row>
    <row r="43" spans="2:4">
      <c r="B43" s="250" t="s">
        <v>678</v>
      </c>
      <c r="C43" s="276" t="str">
        <f>IF(C30=1,"フェーズ２（トレーリング中）","フェーズ１（通常監視中）")</f>
        <v>フェーズ１（通常監視中）</v>
      </c>
      <c r="D43" s="252" t="s">
        <v>679</v>
      </c>
    </row>
    <row r="44" spans="2:4" ht="18.75" customHeight="1">
      <c r="B44" s="250" t="s">
        <v>680</v>
      </c>
      <c r="C44" s="277">
        <v>0</v>
      </c>
      <c r="D44" s="252" t="s">
        <v>681</v>
      </c>
    </row>
    <row r="45" spans="2:4">
      <c r="B45" s="250" t="s">
        <v>682</v>
      </c>
      <c r="C45" s="276"/>
      <c r="D45" s="252" t="s">
        <v>683</v>
      </c>
    </row>
    <row r="46" spans="2:4">
      <c r="B46" s="259"/>
      <c r="C46" s="255"/>
      <c r="D46" s="256"/>
    </row>
    <row r="47" spans="2:4">
      <c r="B47" s="273" t="s">
        <v>684</v>
      </c>
      <c r="C47" s="255"/>
      <c r="D47" s="256"/>
    </row>
    <row r="48" spans="2:4">
      <c r="B48" s="250" t="s">
        <v>685</v>
      </c>
      <c r="C48" s="258" t="str">
        <f>IFERROR(C3&amp;"2"&amp;C13&amp;LEFT(C14,1)&amp;IF(C10=INT(C10),RIGHT(C10,2),RIGHT(C10*10,2))&amp;E3,"")</f>
        <v/>
      </c>
      <c r="D48" s="252" t="s">
        <v>686</v>
      </c>
    </row>
    <row r="49" spans="2:5">
      <c r="B49" s="250" t="s">
        <v>687</v>
      </c>
      <c r="C49" s="276" t="str">
        <f t="array" ref="C49">IFERROR(_xll.RssMarginCloseOrder(C48,C44,C3,1,0,1,4,C14,0,,1,,C6,TEXT(C11,"yyyymmdd"),C10,C13),"")</f>
        <v/>
      </c>
      <c r="D49" s="252" t="s">
        <v>688</v>
      </c>
    </row>
    <row r="50" spans="2:5">
      <c r="B50" s="259"/>
      <c r="C50" s="255"/>
      <c r="D50" s="256"/>
    </row>
    <row r="51" spans="2:5">
      <c r="B51" s="254" t="s">
        <v>689</v>
      </c>
      <c r="C51" s="255"/>
      <c r="D51" s="256"/>
    </row>
    <row r="52" spans="2:5">
      <c r="B52" s="250" t="s">
        <v>617</v>
      </c>
      <c r="C52" s="278">
        <f>C7</f>
        <v>100</v>
      </c>
      <c r="D52" s="252" t="s">
        <v>618</v>
      </c>
    </row>
    <row r="53" spans="2:5">
      <c r="B53" s="279" t="s">
        <v>690</v>
      </c>
      <c r="C53" s="308">
        <v>0.3888888888888889</v>
      </c>
      <c r="D53" s="280" t="s">
        <v>691</v>
      </c>
      <c r="E53" s="245" t="s">
        <v>692</v>
      </c>
    </row>
    <row r="54" spans="2:5" ht="18.75" customHeight="1">
      <c r="B54" s="250" t="s">
        <v>693</v>
      </c>
      <c r="C54" s="277">
        <v>1</v>
      </c>
      <c r="D54" s="252" t="s">
        <v>694</v>
      </c>
    </row>
    <row r="55" spans="2:5">
      <c r="B55" s="250" t="s">
        <v>695</v>
      </c>
      <c r="C55" s="363" t="str">
        <f ca="1">IFERROR(C3 &amp; TEXT(TODAY(),"mmdd") &amp; E3, "")</f>
        <v>07191</v>
      </c>
      <c r="D55" s="252" t="s">
        <v>696</v>
      </c>
    </row>
    <row r="56" spans="2:5" ht="18" customHeight="1" thickBot="1">
      <c r="B56" s="281" t="s">
        <v>697</v>
      </c>
      <c r="C56" s="362" t="str">
        <f ca="1">IFERROR(_xll.RssMarginOpenOrder(C55, C54, C3, 3, 0, 1, C9, C7, 0,, 1,, C6), "")</f>
        <v>=IFERROR(@RssMarginOpenOrder(C55, C54, C3, 3, 0, 1, C9, C7, 0,, 1,, C6), "") =&gt; 入力エラー：銘柄コードは、4桁または5桁で入力してください。</v>
      </c>
      <c r="D56" s="282">
        <v>8142</v>
      </c>
    </row>
    <row r="57" spans="2:5">
      <c r="B57" s="385" t="s">
        <v>698</v>
      </c>
      <c r="C57" s="387">
        <v>4164</v>
      </c>
      <c r="D57" s="386" t="s">
        <v>699</v>
      </c>
    </row>
    <row r="58" spans="2:5">
      <c r="B58" s="381" t="s">
        <v>700</v>
      </c>
      <c r="C58" s="388"/>
      <c r="D58" s="382" t="s">
        <v>701</v>
      </c>
    </row>
    <row r="59" spans="2:5">
      <c r="B59" s="250"/>
      <c r="C59" s="363"/>
      <c r="D59" s="252"/>
    </row>
    <row r="61" spans="2:5">
      <c r="B61" s="383"/>
      <c r="C61" s="384"/>
      <c r="D61" s="295"/>
    </row>
    <row r="62" spans="2:5">
      <c r="B62" s="383"/>
      <c r="C62" s="384"/>
      <c r="D62" s="295"/>
    </row>
    <row r="63" spans="2:5">
      <c r="E63" s="245" t="s">
        <v>702</v>
      </c>
    </row>
    <row r="64" spans="2:5">
      <c r="E64" s="245" t="str">
        <f ca="1">IFERROR(C3 &amp; TEXT(TODAY(),"mmdd") &amp; "1", "")</f>
        <v>07191</v>
      </c>
    </row>
    <row r="65" spans="5:5">
      <c r="E65" s="245" t="s">
        <v>703</v>
      </c>
    </row>
    <row r="66" spans="5:5">
      <c r="E66" s="245" t="s">
        <v>704</v>
      </c>
    </row>
  </sheetData>
  <phoneticPr fontId="16"/>
  <conditionalFormatting sqref="C34">
    <cfRule type="containsText" dxfId="4" priority="1" operator="containsText" text="エントリー可">
      <formula>NOT(ISERROR(SEARCH("エントリー可",C34)))</formula>
    </cfRule>
    <cfRule type="containsText" dxfId="3" priority="2" operator="containsText" text="見送り">
      <formula>NOT(ISERROR(SEARCH("見送り",C34)))</formula>
    </cfRule>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4818" r:id="rId4" name="Button 2">
              <controlPr defaultSize="0" print="0" autoFill="0" autoPict="0" macro="[0]!成り行き買い発注">
                <anchor moveWithCells="1" sizeWithCells="1">
                  <from>
                    <xdr:col>3</xdr:col>
                    <xdr:colOff>1432560</xdr:colOff>
                    <xdr:row>0</xdr:row>
                    <xdr:rowOff>175260</xdr:rowOff>
                  </from>
                  <to>
                    <xdr:col>3</xdr:col>
                    <xdr:colOff>3147060</xdr:colOff>
                    <xdr:row>0</xdr:row>
                    <xdr:rowOff>1051560</xdr:rowOff>
                  </to>
                </anchor>
              </controlPr>
            </control>
          </mc:Choice>
        </mc:AlternateContent>
        <mc:AlternateContent xmlns:mc="http://schemas.openxmlformats.org/markup-compatibility/2006">
          <mc:Choice Requires="x14">
            <control shapeId="34819" r:id="rId5" name="Button 3">
              <controlPr defaultSize="0" print="0" autoFill="0" autoPict="0" macro="[0]!指値買い発注">
                <anchor moveWithCells="1" sizeWithCells="1">
                  <from>
                    <xdr:col>3</xdr:col>
                    <xdr:colOff>3223260</xdr:colOff>
                    <xdr:row>0</xdr:row>
                    <xdr:rowOff>190500</xdr:rowOff>
                  </from>
                  <to>
                    <xdr:col>3</xdr:col>
                    <xdr:colOff>5181600</xdr:colOff>
                    <xdr:row>0</xdr:row>
                    <xdr:rowOff>1036320</xdr:rowOff>
                  </to>
                </anchor>
              </controlPr>
            </control>
          </mc:Choice>
        </mc:AlternateContent>
        <mc:AlternateContent xmlns:mc="http://schemas.openxmlformats.org/markup-compatibility/2006">
          <mc:Choice Requires="x14">
            <control shapeId="34820" r:id="rId6" name="Button 4">
              <controlPr defaultSize="0" print="0" autoFill="0" autoPict="0" macro="[0]!逆指値買い発注">
                <anchor moveWithCells="1" sizeWithCells="1">
                  <from>
                    <xdr:col>3</xdr:col>
                    <xdr:colOff>5265420</xdr:colOff>
                    <xdr:row>0</xdr:row>
                    <xdr:rowOff>220980</xdr:rowOff>
                  </from>
                  <to>
                    <xdr:col>3</xdr:col>
                    <xdr:colOff>6979920</xdr:colOff>
                    <xdr:row>0</xdr:row>
                    <xdr:rowOff>1051560</xdr:rowOff>
                  </to>
                </anchor>
              </controlPr>
            </control>
          </mc:Choice>
        </mc:AlternateContent>
        <mc:AlternateContent xmlns:mc="http://schemas.openxmlformats.org/markup-compatibility/2006">
          <mc:Choice Requires="x14">
            <control shapeId="34821" r:id="rId7" name="Button 5">
              <controlPr defaultSize="0" print="0" autoFill="0" autoPict="0" macro="[0]!手動成り行き決済">
                <anchor moveWithCells="1" sizeWithCells="1">
                  <from>
                    <xdr:col>3</xdr:col>
                    <xdr:colOff>7132320</xdr:colOff>
                    <xdr:row>0</xdr:row>
                    <xdr:rowOff>266700</xdr:rowOff>
                  </from>
                  <to>
                    <xdr:col>3</xdr:col>
                    <xdr:colOff>8519160</xdr:colOff>
                    <xdr:row>0</xdr:row>
                    <xdr:rowOff>1051560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rgb="FFC00000"/>
  </sheetPr>
  <dimension ref="A1:E53"/>
  <sheetViews>
    <sheetView topLeftCell="A10" workbookViewId="0">
      <selection activeCell="K50" sqref="K50"/>
    </sheetView>
  </sheetViews>
  <sheetFormatPr defaultColWidth="9" defaultRowHeight="16.2"/>
  <cols>
    <col min="1" max="1" width="72.109375" style="306" customWidth="1"/>
    <col min="2" max="2" width="9" style="245" customWidth="1"/>
    <col min="3" max="3" width="53.33203125" style="245" bestFit="1" customWidth="1"/>
    <col min="4" max="4" width="9" style="245" customWidth="1"/>
    <col min="5" max="5" width="15.21875" style="245" customWidth="1"/>
    <col min="6" max="6" width="9" style="245" customWidth="1"/>
    <col min="7" max="16384" width="9" style="245"/>
  </cols>
  <sheetData>
    <row r="1" spans="1:4" ht="21" customHeight="1">
      <c r="A1" s="283" t="s">
        <v>705</v>
      </c>
    </row>
    <row r="2" spans="1:4">
      <c r="A2" s="284" t="s">
        <v>706</v>
      </c>
    </row>
    <row r="4" spans="1:4" ht="48" customHeight="1">
      <c r="A4" s="285" t="s">
        <v>707</v>
      </c>
    </row>
    <row r="5" spans="1:4">
      <c r="A5" s="286" t="s">
        <v>708</v>
      </c>
      <c r="C5" s="287"/>
    </row>
    <row r="6" spans="1:4">
      <c r="A6" s="288" t="s">
        <v>709</v>
      </c>
    </row>
    <row r="7" spans="1:4">
      <c r="A7" s="288" t="s">
        <v>710</v>
      </c>
    </row>
    <row r="8" spans="1:4" ht="35.25" customHeight="1">
      <c r="A8" s="288" t="s">
        <v>711</v>
      </c>
      <c r="D8" s="245" t="s">
        <v>712</v>
      </c>
    </row>
    <row r="9" spans="1:4" ht="39" customHeight="1">
      <c r="A9" s="289" t="s">
        <v>713</v>
      </c>
    </row>
    <row r="10" spans="1:4" ht="35.25" customHeight="1">
      <c r="A10" s="290" t="s">
        <v>714</v>
      </c>
    </row>
    <row r="12" spans="1:4">
      <c r="A12" s="291" t="s">
        <v>715</v>
      </c>
    </row>
    <row r="13" spans="1:4">
      <c r="A13" s="292" t="s">
        <v>716</v>
      </c>
      <c r="B13" s="293" t="s">
        <v>600</v>
      </c>
      <c r="C13" s="293" t="s">
        <v>717</v>
      </c>
      <c r="D13" s="293" t="s">
        <v>718</v>
      </c>
    </row>
    <row r="14" spans="1:4">
      <c r="A14" s="294" t="s">
        <v>719</v>
      </c>
      <c r="B14" s="295" t="s">
        <v>523</v>
      </c>
      <c r="C14" s="295" t="s">
        <v>720</v>
      </c>
      <c r="D14" s="296" t="s">
        <v>721</v>
      </c>
    </row>
    <row r="15" spans="1:4">
      <c r="A15" s="294" t="s">
        <v>722</v>
      </c>
      <c r="B15" s="295" t="s">
        <v>609</v>
      </c>
      <c r="C15" s="295" t="s">
        <v>616</v>
      </c>
      <c r="D15" s="296" t="s">
        <v>723</v>
      </c>
    </row>
    <row r="16" spans="1:4">
      <c r="A16" s="294" t="s">
        <v>724</v>
      </c>
      <c r="B16" s="295" t="s">
        <v>617</v>
      </c>
      <c r="C16" s="295" t="s">
        <v>725</v>
      </c>
      <c r="D16" s="296" t="s">
        <v>726</v>
      </c>
    </row>
    <row r="17" spans="1:4">
      <c r="A17" s="294" t="s">
        <v>727</v>
      </c>
      <c r="B17" s="295" t="s">
        <v>608</v>
      </c>
      <c r="C17" s="295" t="s">
        <v>728</v>
      </c>
      <c r="D17" s="297" t="s">
        <v>729</v>
      </c>
    </row>
    <row r="18" spans="1:4">
      <c r="A18" s="294" t="s">
        <v>730</v>
      </c>
      <c r="B18" s="295" t="s">
        <v>639</v>
      </c>
      <c r="C18" s="295" t="s">
        <v>731</v>
      </c>
      <c r="D18" s="296" t="s">
        <v>732</v>
      </c>
    </row>
    <row r="19" spans="1:4">
      <c r="A19" s="294" t="s">
        <v>733</v>
      </c>
      <c r="B19" s="295" t="s">
        <v>637</v>
      </c>
      <c r="C19" s="295" t="s">
        <v>734</v>
      </c>
      <c r="D19" s="296" t="s">
        <v>735</v>
      </c>
    </row>
    <row r="20" spans="1:4">
      <c r="A20" s="294" t="s">
        <v>736</v>
      </c>
      <c r="B20" s="295" t="s">
        <v>641</v>
      </c>
      <c r="C20" s="295" t="s">
        <v>737</v>
      </c>
      <c r="D20" s="296" t="s">
        <v>738</v>
      </c>
    </row>
    <row r="21" spans="1:4">
      <c r="A21" s="294" t="s">
        <v>739</v>
      </c>
      <c r="B21" s="295" t="s">
        <v>643</v>
      </c>
      <c r="C21" s="295" t="s">
        <v>740</v>
      </c>
      <c r="D21" s="296" t="s">
        <v>741</v>
      </c>
    </row>
    <row r="22" spans="1:4">
      <c r="A22" s="294" t="s">
        <v>742</v>
      </c>
      <c r="B22" s="295" t="s">
        <v>645</v>
      </c>
      <c r="C22" s="295" t="s">
        <v>743</v>
      </c>
      <c r="D22" s="296" t="s">
        <v>744</v>
      </c>
    </row>
    <row r="23" spans="1:4">
      <c r="A23" s="294" t="s">
        <v>745</v>
      </c>
      <c r="B23" s="295" t="s">
        <v>647</v>
      </c>
      <c r="C23" s="295" t="s">
        <v>746</v>
      </c>
      <c r="D23" s="296" t="s">
        <v>741</v>
      </c>
    </row>
    <row r="24" spans="1:4">
      <c r="A24" s="294" t="s">
        <v>747</v>
      </c>
      <c r="B24" s="295" t="s">
        <v>649</v>
      </c>
      <c r="C24" s="295" t="s">
        <v>748</v>
      </c>
      <c r="D24" s="297" t="s">
        <v>749</v>
      </c>
    </row>
    <row r="26" spans="1:4" ht="22.2">
      <c r="A26" s="298" t="s">
        <v>750</v>
      </c>
    </row>
    <row r="27" spans="1:4" ht="19.8">
      <c r="A27" s="299" t="s">
        <v>751</v>
      </c>
    </row>
    <row r="28" spans="1:4">
      <c r="A28" s="288" t="s">
        <v>752</v>
      </c>
    </row>
    <row r="29" spans="1:4">
      <c r="A29" s="288" t="s">
        <v>753</v>
      </c>
    </row>
    <row r="30" spans="1:4">
      <c r="A30" s="288" t="s">
        <v>754</v>
      </c>
    </row>
    <row r="31" spans="1:4" ht="28.8">
      <c r="A31" s="288" t="s">
        <v>755</v>
      </c>
    </row>
    <row r="33" spans="1:5">
      <c r="A33" s="300" t="s">
        <v>756</v>
      </c>
    </row>
    <row r="34" spans="1:5" ht="39" customHeight="1">
      <c r="A34" s="288" t="s">
        <v>757</v>
      </c>
    </row>
    <row r="35" spans="1:5" ht="39" customHeight="1">
      <c r="A35" s="288" t="s">
        <v>758</v>
      </c>
    </row>
    <row r="37" spans="1:5">
      <c r="A37" s="301" t="s">
        <v>759</v>
      </c>
    </row>
    <row r="38" spans="1:5">
      <c r="A38" s="292" t="s">
        <v>760</v>
      </c>
      <c r="B38" s="293" t="s">
        <v>761</v>
      </c>
      <c r="C38" s="293" t="s">
        <v>762</v>
      </c>
    </row>
    <row r="39" spans="1:5">
      <c r="A39" s="288" t="s">
        <v>763</v>
      </c>
      <c r="B39" s="295" t="s">
        <v>764</v>
      </c>
      <c r="C39" s="295" t="s">
        <v>765</v>
      </c>
    </row>
    <row r="40" spans="1:5">
      <c r="A40" s="288" t="s">
        <v>766</v>
      </c>
      <c r="B40" s="295" t="s">
        <v>767</v>
      </c>
      <c r="C40" s="295" t="s">
        <v>768</v>
      </c>
    </row>
    <row r="41" spans="1:5">
      <c r="A41" s="288" t="s">
        <v>769</v>
      </c>
      <c r="B41" s="302" t="s">
        <v>770</v>
      </c>
      <c r="C41" s="302" t="s">
        <v>771</v>
      </c>
      <c r="D41" s="302"/>
      <c r="E41" s="302"/>
    </row>
    <row r="42" spans="1:5">
      <c r="A42" s="288" t="s">
        <v>772</v>
      </c>
      <c r="B42" s="295" t="s">
        <v>773</v>
      </c>
      <c r="C42" s="295" t="s">
        <v>774</v>
      </c>
    </row>
    <row r="44" spans="1:5">
      <c r="A44" s="291" t="s">
        <v>775</v>
      </c>
    </row>
    <row r="45" spans="1:5" ht="58.5" customHeight="1">
      <c r="A45" s="303" t="s">
        <v>776</v>
      </c>
    </row>
    <row r="46" spans="1:5">
      <c r="A46" s="288" t="s">
        <v>777</v>
      </c>
    </row>
    <row r="47" spans="1:5" ht="39" customHeight="1">
      <c r="A47" s="288" t="s">
        <v>778</v>
      </c>
    </row>
    <row r="49" spans="1:1">
      <c r="A49" s="304" t="s">
        <v>779</v>
      </c>
    </row>
    <row r="50" spans="1:1" ht="39" customHeight="1">
      <c r="A50" s="305" t="s">
        <v>780</v>
      </c>
    </row>
    <row r="51" spans="1:1">
      <c r="A51" s="288" t="s">
        <v>781</v>
      </c>
    </row>
    <row r="52" spans="1:1" ht="39" customHeight="1">
      <c r="A52" s="288" t="s">
        <v>782</v>
      </c>
    </row>
    <row r="53" spans="1:1" ht="39" customHeight="1">
      <c r="A53" s="288" t="s">
        <v>783</v>
      </c>
    </row>
  </sheetData>
  <phoneticPr fontId="16"/>
  <pageMargins left="0.7" right="0.7" top="0.75" bottom="0.75" header="0.3" footer="0.3"/>
  <pageSetup paperSize="9" fitToWidth="0" orientation="landscape" horizontalDpi="0" verticalDpi="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AA476"/>
  <sheetViews>
    <sheetView zoomScale="66" zoomScaleNormal="66" workbookViewId="0">
      <selection activeCell="AA32" sqref="AA32"/>
    </sheetView>
  </sheetViews>
  <sheetFormatPr defaultColWidth="9" defaultRowHeight="23.4"/>
  <cols>
    <col min="1" max="1" width="25.6640625" style="443" bestFit="1" customWidth="1"/>
    <col min="2" max="2" width="13" style="443" bestFit="1" customWidth="1"/>
    <col min="3" max="3" width="9.6640625" style="443" bestFit="1" customWidth="1"/>
    <col min="4" max="4" width="37.88671875" style="443" bestFit="1" customWidth="1"/>
    <col min="5" max="5" width="13.44140625" style="443" bestFit="1" customWidth="1"/>
    <col min="6" max="6" width="17.44140625" style="455" bestFit="1" customWidth="1"/>
    <col min="7" max="7" width="17.44140625" style="443" bestFit="1" customWidth="1"/>
    <col min="8" max="8" width="21.44140625" style="443" bestFit="1" customWidth="1"/>
    <col min="9" max="9" width="20.88671875" style="443" bestFit="1" customWidth="1"/>
    <col min="10" max="10" width="13.44140625" style="443" bestFit="1" customWidth="1"/>
    <col min="11" max="11" width="17.109375" style="443" customWidth="1"/>
    <col min="12" max="12" width="15.88671875" style="443" customWidth="1"/>
    <col min="13" max="13" width="28.44140625" style="443" customWidth="1"/>
    <col min="14" max="14" width="21.44140625" style="443" customWidth="1"/>
    <col min="15" max="15" width="27.44140625" style="491" customWidth="1"/>
    <col min="16" max="16" width="22.109375" style="443" customWidth="1"/>
    <col min="17" max="17" width="27" style="443" bestFit="1" customWidth="1"/>
    <col min="18" max="18" width="31.6640625" style="443" bestFit="1" customWidth="1"/>
    <col min="19" max="19" width="25.88671875" style="443" bestFit="1" customWidth="1"/>
    <col min="20" max="20" width="16.77734375" style="443" bestFit="1" customWidth="1"/>
    <col min="21" max="23" width="17.44140625" style="443" bestFit="1" customWidth="1"/>
    <col min="24" max="24" width="17.21875" style="443" customWidth="1"/>
    <col min="25" max="25" width="19.77734375" style="443" bestFit="1" customWidth="1"/>
    <col min="26" max="26" width="11.6640625" style="443" customWidth="1"/>
    <col min="27" max="27" width="25.44140625" style="443" customWidth="1"/>
    <col min="28" max="35" width="9" style="443"/>
    <col min="36" max="36" width="16.21875" style="443" customWidth="1"/>
    <col min="37" max="37" width="18.109375" style="443" customWidth="1"/>
    <col min="38" max="16384" width="9" style="443"/>
  </cols>
  <sheetData>
    <row r="1" spans="1:27" ht="35.1" customHeight="1">
      <c r="A1" s="548" t="s">
        <v>784</v>
      </c>
      <c r="B1" s="549"/>
      <c r="C1" s="549"/>
      <c r="D1" s="549"/>
      <c r="E1" s="549"/>
      <c r="F1" s="549"/>
      <c r="G1" s="549"/>
      <c r="H1" s="549"/>
      <c r="I1" s="549"/>
      <c r="J1" s="549"/>
      <c r="K1" s="549"/>
      <c r="L1" s="549"/>
      <c r="M1" s="549"/>
      <c r="N1" s="549"/>
      <c r="O1" s="549"/>
      <c r="P1" s="549"/>
      <c r="Q1" s="549"/>
      <c r="R1" s="549"/>
      <c r="S1" s="549"/>
      <c r="T1" s="549"/>
      <c r="U1" s="549"/>
      <c r="V1" s="549"/>
      <c r="W1" s="549"/>
      <c r="X1" s="549"/>
    </row>
    <row r="2" spans="1:27" ht="43.5" customHeight="1">
      <c r="A2" s="444" t="s">
        <v>785</v>
      </c>
      <c r="B2" s="445">
        <f>SUMIF(S4:S54,"📌保有中",K4:K54)</f>
        <v>0</v>
      </c>
      <c r="C2" s="445"/>
      <c r="D2" s="444">
        <f>SUM(V4:V54)</f>
        <v>0</v>
      </c>
      <c r="E2" s="445">
        <f>SUM(V4:V54)</f>
        <v>0</v>
      </c>
      <c r="F2" s="446" t="str">
        <f>COUNTIF(S4:S54,"🟢利確推奨")&amp;"件"</f>
        <v>0件</v>
      </c>
      <c r="G2" s="444" t="str">
        <f>COUNTIF(S4:S54,"??利確推奨")&amp;"件"</f>
        <v>0件</v>
      </c>
      <c r="H2" s="444" t="s">
        <v>786</v>
      </c>
      <c r="I2" s="444"/>
      <c r="J2" s="444" t="str">
        <f>COUNTIF(S4:S54,"⚠️損切推奨")&amp;"件"</f>
        <v>0件</v>
      </c>
      <c r="K2" s="444" t="str">
        <f>COUNTIF(S4:S54,"??損切推奨")&amp;"件"</f>
        <v>0件</v>
      </c>
      <c r="L2" s="444"/>
      <c r="M2" s="444"/>
      <c r="N2" s="444"/>
      <c r="O2" s="490"/>
      <c r="P2" s="444"/>
      <c r="Q2" s="444"/>
      <c r="R2" s="444"/>
      <c r="S2" s="480"/>
      <c r="T2" s="444"/>
      <c r="U2" s="444"/>
      <c r="V2" s="444"/>
      <c r="W2" s="444"/>
      <c r="X2" s="444"/>
    </row>
    <row r="3" spans="1:27" ht="43.5" customHeight="1">
      <c r="A3" s="447" t="s">
        <v>518</v>
      </c>
      <c r="B3" s="447" t="s">
        <v>1</v>
      </c>
      <c r="C3" s="447" t="s">
        <v>787</v>
      </c>
      <c r="D3" s="447" t="s">
        <v>788</v>
      </c>
      <c r="E3" s="447" t="s">
        <v>789</v>
      </c>
      <c r="F3" s="448" t="s">
        <v>790</v>
      </c>
      <c r="G3" s="447" t="s">
        <v>791</v>
      </c>
      <c r="H3" s="447" t="s">
        <v>525</v>
      </c>
      <c r="I3" s="447" t="s">
        <v>664</v>
      </c>
      <c r="J3" s="447" t="s">
        <v>792</v>
      </c>
      <c r="K3" s="447" t="s">
        <v>793</v>
      </c>
      <c r="L3" s="447" t="s">
        <v>794</v>
      </c>
      <c r="M3" s="470" t="s">
        <v>795</v>
      </c>
      <c r="N3" s="471" t="s">
        <v>796</v>
      </c>
      <c r="O3" s="488" t="s">
        <v>797</v>
      </c>
      <c r="P3" s="447" t="s">
        <v>798</v>
      </c>
      <c r="Q3" s="447" t="s">
        <v>799</v>
      </c>
      <c r="R3" s="447" t="s">
        <v>800</v>
      </c>
      <c r="S3" s="482" t="s">
        <v>549</v>
      </c>
      <c r="T3" s="447" t="s">
        <v>801</v>
      </c>
      <c r="U3" s="447" t="s">
        <v>802</v>
      </c>
      <c r="V3" s="447" t="s">
        <v>803</v>
      </c>
      <c r="W3" s="447" t="s">
        <v>654</v>
      </c>
      <c r="X3" s="447" t="s">
        <v>718</v>
      </c>
      <c r="Y3" s="483" t="s">
        <v>1103</v>
      </c>
      <c r="Z3" s="483" t="s">
        <v>537</v>
      </c>
      <c r="AA3" s="483" t="s">
        <v>538</v>
      </c>
    </row>
    <row r="4" spans="1:27" ht="43.5" customHeight="1">
      <c r="A4" s="501" t="str">
        <f>IF(B4="","",HYPERLINK("https://kabutan.jp/stock/?code="&amp;B4,"株探"))</f>
        <v>株探</v>
      </c>
      <c r="B4" s="502">
        <v>3864</v>
      </c>
      <c r="C4" s="503" t="s">
        <v>1004</v>
      </c>
      <c r="D4" s="504" t="str" cm="1">
        <f t="array" ref="D4">_xll.RssMarket(B4, "銘柄名称")</f>
        <v/>
      </c>
      <c r="E4" s="505">
        <v>46218</v>
      </c>
      <c r="F4" s="506">
        <v>1089.6378999999999</v>
      </c>
      <c r="G4" s="507">
        <v>100</v>
      </c>
      <c r="H4" s="508" t="str" cm="1">
        <f t="array" ref="H4">_xll.RssMarket(B4, "出来高加重平均")</f>
        <v/>
      </c>
      <c r="I4" s="508" t="str" cm="1">
        <f t="array" ref="I4">_xll.RssMarket(B4, "出来高加重平均")</f>
        <v/>
      </c>
      <c r="J4" s="508" t="str" cm="1">
        <f t="array" ref="J4">_xll.RssMarket($B4, "前日比")</f>
        <v/>
      </c>
      <c r="K4" s="508" t="str">
        <f t="shared" ref="K4:K6" si="0">IF(OR(F4="",G4="",H4=""),"",IF(C4="売",(F4-H4)*G4,(H4-F4)*G4))</f>
        <v/>
      </c>
      <c r="L4" s="509" t="str">
        <f t="shared" ref="L4:L6" si="1">IF(OR(F4="",H4=""),"",IF(C4="売",(F4-H4)/F4,(H4-F4)/F4))</f>
        <v/>
      </c>
      <c r="M4" s="508">
        <f t="shared" ref="M4:M6" si="2">IF(F4="","",IF(C4="売",F4*0.94,F4*1.06))</f>
        <v>1155.0161740000001</v>
      </c>
      <c r="N4" s="508">
        <f t="shared" ref="N4:N6" si="3">IF(F4="","",IF(C4="売",F4*1.04,F4*0.96))</f>
        <v>1046.0523839999998</v>
      </c>
      <c r="O4" s="510" t="str">
        <f t="shared" ref="O4:O6" si="4">IF(B4="","",IF(H4="","保有中",IF(C4="売",IF(H4&lt;=M4,"🟢利確推奨",IF(H4&lt;=F4*0.95,"🟡利確&amp;TR STOP検討",IF(H4&gt;=N4,"🔴損切推奨",IF(H4&gt;=F4*1.035,"🔴損切間近",IF(H4&gt;=F4*1.03,"⚠️+3%注意","保持継続"))))),IF(H4&gt;=M4,"🟢利確推奨",IF(H4&gt;=F4*1.05,"🟡利確&amp;TR STOP検討",IF(H4&lt;=N4,"🔴損切推奨",IF(H4&lt;=F4*0.965,"🔴損切間近",IF(H4&lt;=F4*0.97,"⚠️-3%注意","保持継続"))))))))</f>
        <v>保有中</v>
      </c>
      <c r="P4" s="508">
        <f t="array" aca="1" ref="P4" ca="1">IF(B4="","",IFERROR(MAX(OFFSET(高値!$E$6,MATCH(TEXT(B4,"0"),TEXT(銘柄管理!$B$6:$B$305,"0"),0)-1,0,1,10)),""))</f>
        <v>1118</v>
      </c>
      <c r="Q4" s="508">
        <f t="array" aca="1" ref="Q4" ca="1">IF(B4="","",IFERROR(MIN(OFFSET(安値!$E$6,MATCH(TEXT(B4,"0"),TEXT(銘柄管理!$B$6:$B$305,"0"),0)-1,0,1,10)),""))</f>
        <v>992</v>
      </c>
      <c r="R4" s="508">
        <f t="shared" ref="R4:R44" ca="1" si="5">IF(P4="","",ROUND(P4*0.97,0))</f>
        <v>1084</v>
      </c>
      <c r="S4" s="511" t="str">
        <f t="shared" ref="S4:S45" si="6">IF(B4="","",IF(T4&lt;&gt;"","✅売却済",IF(OR(H4="",L4=""),"📌保有中",IF(L4&gt;=0.06,"🟢利確推奨",IF(L4&gt;=0.05,"🟡利確直近",IF(L4&gt;=0.045,"🔵トレーリング検討",IF(L4&gt;-0.03,"📌保有中",IF(L4&gt;-0.04,"⚠️損切注意","🔴損切り"))))))))</f>
        <v>📌保有中</v>
      </c>
      <c r="T4" s="507"/>
      <c r="U4" s="507"/>
      <c r="V4" s="508" t="str">
        <f t="shared" ref="V4:V6" si="7">IF(OR(F4="",G4="",U4=""),"",IF(C4="売",(F4-U4)*G4,(U4-F4)*G4))</f>
        <v/>
      </c>
      <c r="W4" s="512">
        <f t="shared" ref="W4:W44" ca="1" si="8">IF(OR(E4="",B4=""),"",IF(T4&lt;&gt;"",T4-E4,TODAY()-E4))</f>
        <v>4</v>
      </c>
      <c r="X4" s="507"/>
      <c r="Y4" s="513"/>
      <c r="Z4" s="499"/>
    </row>
    <row r="5" spans="1:27" ht="43.5" customHeight="1">
      <c r="A5" s="501" t="str">
        <f>IF(B5="","",HYPERLINK("https://kabutan.jp/stock/?code="&amp;B5,"株探"))</f>
        <v>株探</v>
      </c>
      <c r="B5" s="502">
        <v>8704</v>
      </c>
      <c r="C5" s="503" t="s">
        <v>1004</v>
      </c>
      <c r="D5" s="504" t="str" cm="1">
        <f t="array" ref="D5">_xll.RssMarket(B5, "銘柄名称")</f>
        <v/>
      </c>
      <c r="E5" s="505">
        <v>46218</v>
      </c>
      <c r="F5" s="506">
        <v>1301.3728000000001</v>
      </c>
      <c r="G5" s="507">
        <v>100</v>
      </c>
      <c r="H5" s="508" t="str" cm="1">
        <f t="array" ref="H5">_xll.RssMarket(B5, "出来高加重平均")</f>
        <v/>
      </c>
      <c r="I5" s="508" t="str" cm="1">
        <f t="array" ref="I5">_xll.RssMarket(B5, "出来高加重平均")</f>
        <v/>
      </c>
      <c r="J5" s="508" t="str" cm="1">
        <f t="array" ref="J5">_xll.RssMarket($B5, "前日比")</f>
        <v/>
      </c>
      <c r="K5" s="508" t="str">
        <f t="shared" si="0"/>
        <v/>
      </c>
      <c r="L5" s="509" t="str">
        <f t="shared" si="1"/>
        <v/>
      </c>
      <c r="M5" s="508">
        <f t="shared" si="2"/>
        <v>1379.4551680000002</v>
      </c>
      <c r="N5" s="508">
        <f t="shared" si="3"/>
        <v>1249.317888</v>
      </c>
      <c r="O5" s="510" t="str">
        <f t="shared" si="4"/>
        <v>保有中</v>
      </c>
      <c r="P5" s="508">
        <f t="array" aca="1" ref="P5" ca="1">IF(B5="","",IFERROR(MAX(OFFSET(高値!$E$6,MATCH(TEXT(B5,"0"),TEXT(銘柄管理!$B$6:$B$305,"0"),0)-1,0,1,10)),""))</f>
        <v>1314</v>
      </c>
      <c r="Q5" s="508">
        <f t="array" aca="1" ref="Q5" ca="1">IF(B5="","",IFERROR(MIN(OFFSET(安値!$E$6,MATCH(TEXT(B5,"0"),TEXT(銘柄管理!$B$6:$B$305,"0"),0)-1,0,1,10)),""))</f>
        <v>1206</v>
      </c>
      <c r="R5" s="508">
        <f t="shared" ca="1" si="5"/>
        <v>1275</v>
      </c>
      <c r="S5" s="511" t="str">
        <f t="shared" si="6"/>
        <v>📌保有中</v>
      </c>
      <c r="T5" s="507"/>
      <c r="U5" s="507"/>
      <c r="V5" s="508" t="str">
        <f t="shared" si="7"/>
        <v/>
      </c>
      <c r="W5" s="512">
        <f t="shared" ca="1" si="8"/>
        <v>4</v>
      </c>
      <c r="X5" s="507"/>
      <c r="Y5" s="513"/>
      <c r="Z5" s="499"/>
    </row>
    <row r="6" spans="1:27" ht="43.5" customHeight="1">
      <c r="A6" s="501" t="str">
        <f>IF(B6="","",HYPERLINK("https://kabutan.jp/stock/?code="&amp;B6,"株探"))</f>
        <v>株探</v>
      </c>
      <c r="B6" s="502">
        <v>8344</v>
      </c>
      <c r="C6" s="503" t="s">
        <v>1004</v>
      </c>
      <c r="D6" s="504" t="str" cm="1">
        <f t="array" ref="D6">_xll.RssMarket(B6, "銘柄名称")</f>
        <v/>
      </c>
      <c r="E6" s="505">
        <v>46218</v>
      </c>
      <c r="F6" s="506">
        <v>3850.5419999999999</v>
      </c>
      <c r="G6" s="507">
        <v>100</v>
      </c>
      <c r="H6" s="508" t="str" cm="1">
        <f t="array" ref="H6">_xll.RssMarket(B6, "出来高加重平均")</f>
        <v/>
      </c>
      <c r="I6" s="508" t="str" cm="1">
        <f t="array" ref="I6">_xll.RssMarket(B6, "出来高加重平均")</f>
        <v/>
      </c>
      <c r="J6" s="508" t="str" cm="1">
        <f t="array" ref="J6">_xll.RssMarket($B6, "前日比")</f>
        <v/>
      </c>
      <c r="K6" s="508" t="str">
        <f t="shared" si="0"/>
        <v/>
      </c>
      <c r="L6" s="509" t="str">
        <f t="shared" si="1"/>
        <v/>
      </c>
      <c r="M6" s="508">
        <f t="shared" si="2"/>
        <v>4081.5745200000001</v>
      </c>
      <c r="N6" s="508">
        <f t="shared" si="3"/>
        <v>3696.5203199999996</v>
      </c>
      <c r="O6" s="510" t="str">
        <f t="shared" si="4"/>
        <v>保有中</v>
      </c>
      <c r="P6" s="508">
        <f t="array" aca="1" ref="P6" ca="1">IF(B6="","",IFERROR(MAX(OFFSET(高値!$E$6,MATCH(TEXT(B6,"0"),TEXT(銘柄管理!$B$6:$B$305,"0"),0)-1,0,1,10)),""))</f>
        <v>4245</v>
      </c>
      <c r="Q6" s="508">
        <f t="array" aca="1" ref="Q6" ca="1">IF(B6="","",IFERROR(MIN(OFFSET(安値!$E$6,MATCH(TEXT(B6,"0"),TEXT(銘柄管理!$B$6:$B$305,"0"),0)-1,0,1,10)),""))</f>
        <v>3555</v>
      </c>
      <c r="R6" s="508">
        <f t="shared" ca="1" si="5"/>
        <v>4118</v>
      </c>
      <c r="S6" s="511" t="str">
        <f t="shared" si="6"/>
        <v>📌保有中</v>
      </c>
      <c r="T6" s="507"/>
      <c r="U6" s="507"/>
      <c r="V6" s="508" t="str">
        <f t="shared" si="7"/>
        <v/>
      </c>
      <c r="W6" s="512">
        <f t="shared" ca="1" si="8"/>
        <v>4</v>
      </c>
      <c r="X6" s="507"/>
      <c r="Y6" s="513"/>
      <c r="Z6" s="499"/>
    </row>
    <row r="7" spans="1:27" ht="43.5" customHeight="1">
      <c r="A7" s="501" t="str">
        <f t="shared" ref="A7:A42" si="9">IF(B7="","",HYPERLINK("https://kabutan.jp/stock/?code="&amp;B7,"株探"))</f>
        <v>株探</v>
      </c>
      <c r="B7" s="502">
        <v>5332</v>
      </c>
      <c r="C7" s="503" t="s">
        <v>1004</v>
      </c>
      <c r="D7" s="504" t="str" cm="1">
        <f t="array" ref="D7">_xll.RssMarket(B7, "銘柄名称")</f>
        <v/>
      </c>
      <c r="E7" s="505">
        <v>46218</v>
      </c>
      <c r="F7" s="506">
        <v>7903.4182000000001</v>
      </c>
      <c r="G7" s="507">
        <v>100</v>
      </c>
      <c r="H7" s="508" t="str" cm="1">
        <f t="array" ref="H7">_xll.RssMarket(B7, "出来高加重平均")</f>
        <v/>
      </c>
      <c r="I7" s="508" t="str" cm="1">
        <f t="array" ref="I7">_xll.RssMarket(B7, "出来高加重平均")</f>
        <v/>
      </c>
      <c r="J7" s="508" t="str" cm="1">
        <f t="array" ref="J7">_xll.RssMarket($B7, "前日比")</f>
        <v/>
      </c>
      <c r="K7" s="508" t="str">
        <f t="shared" ref="K7:K42" si="10">IF(OR(F7="",G7="",H7=""),"",IF(C7="売",(F7-H7)*G7,(H7-F7)*G7))</f>
        <v/>
      </c>
      <c r="L7" s="509" t="str">
        <f t="shared" ref="L7:L42" si="11">IF(OR(F7="",H7=""),"",IF(C7="売",(F7-H7)/F7,(H7-F7)/F7))</f>
        <v/>
      </c>
      <c r="M7" s="508">
        <f t="shared" ref="M7:M42" si="12">IF(F7="","",IF(C7="売",F7*0.94,F7*1.06))</f>
        <v>8377.6232920000002</v>
      </c>
      <c r="N7" s="508">
        <f t="shared" ref="N7:N42" si="13">IF(F7="","",IF(C7="売",F7*1.04,F7*0.96))</f>
        <v>7587.2814719999997</v>
      </c>
      <c r="O7" s="510" t="str">
        <f t="shared" ref="O7:O42" si="14">IF(B7="","",IF(H7="","保有中",IF(C7="売",IF(H7&lt;=M7,"🟢利確推奨",IF(H7&lt;=F7*0.95,"🟡利確&amp;TR STOP検討",IF(H7&gt;=N7,"🔴損切推奨",IF(H7&gt;=F7*1.035,"🔴損切間近",IF(H7&gt;=F7*1.03,"⚠️+3%注意","保持継続"))))),IF(H7&gt;=M7,"🟢利確推奨",IF(H7&gt;=F7*1.05,"🟡利確&amp;TR STOP検討",IF(H7&lt;=N7,"🔴損切推奨",IF(H7&lt;=F7*0.965,"🔴損切間近",IF(H7&lt;=F7*0.97,"⚠️-3%注意","保持継続"))))))))</f>
        <v>保有中</v>
      </c>
      <c r="P7" s="508">
        <f t="array" aca="1" ref="P7" ca="1">IF(B7="","",IFERROR(MAX(OFFSET(高値!$E$6,MATCH(TEXT(B7,"0"),TEXT(銘柄管理!$B$6:$B$305,"0"),0)-1,0,1,10)),""))</f>
        <v>8740</v>
      </c>
      <c r="Q7" s="508">
        <f t="array" aca="1" ref="Q7" ca="1">IF(B7="","",IFERROR(MIN(OFFSET(安値!$E$6,MATCH(TEXT(B7,"0"),TEXT(銘柄管理!$B$6:$B$305,"0"),0)-1,0,1,10)),""))</f>
        <v>7229</v>
      </c>
      <c r="R7" s="508">
        <f t="shared" ref="R7:R42" ca="1" si="15">IF(P7="","",ROUND(P7*0.97,0))</f>
        <v>8478</v>
      </c>
      <c r="S7" s="511" t="str">
        <f t="shared" ref="S7:S42" si="16">IF(B7="","",IF(T7&lt;&gt;"","✅売却済",IF(OR(H7="",L7=""),"📌保有中",IF(L7&gt;=0.06,"🟢利確推奨",IF(L7&gt;=0.05,"🟡利確直近",IF(L7&gt;=0.045,"🔵トレーリング検討",IF(L7&gt;-0.03,"📌保有中",IF(L7&gt;-0.04,"⚠️損切注意","🔴損切り"))))))))</f>
        <v>📌保有中</v>
      </c>
      <c r="T7" s="507"/>
      <c r="U7" s="507"/>
      <c r="V7" s="508" t="str">
        <f t="shared" ref="V7:V42" si="17">IF(OR(F7="",G7="",U7=""),"",IF(C7="売",(F7-U7)*G7,(U7-F7)*G7))</f>
        <v/>
      </c>
      <c r="W7" s="512">
        <f t="shared" ref="W7:W42" ca="1" si="18">IF(OR(E7="",B7=""),"",IF(T7&lt;&gt;"",T7-E7,TODAY()-E7))</f>
        <v>4</v>
      </c>
      <c r="X7" s="507"/>
      <c r="Y7" s="513"/>
      <c r="Z7" s="499"/>
    </row>
    <row r="8" spans="1:27" ht="43.5" customHeight="1">
      <c r="A8" s="501" t="str">
        <f t="shared" si="9"/>
        <v>株探</v>
      </c>
      <c r="B8" s="502">
        <v>6848</v>
      </c>
      <c r="C8" s="503" t="s">
        <v>1005</v>
      </c>
      <c r="D8" s="504" t="str" cm="1">
        <f t="array" ref="D8">_xll.RssMarket(B8, "銘柄名称")</f>
        <v/>
      </c>
      <c r="E8" s="505">
        <v>46218</v>
      </c>
      <c r="F8" s="506">
        <v>854.57140000000004</v>
      </c>
      <c r="G8" s="507">
        <v>100</v>
      </c>
      <c r="H8" s="508" t="str" cm="1">
        <f t="array" ref="H8">_xll.RssMarket(B8, "出来高加重平均")</f>
        <v/>
      </c>
      <c r="I8" s="508" t="str" cm="1">
        <f t="array" ref="I8">_xll.RssMarket(B8, "出来高加重平均")</f>
        <v/>
      </c>
      <c r="J8" s="508" t="str" cm="1">
        <f t="array" ref="J8">_xll.RssMarket($B8, "前日比")</f>
        <v/>
      </c>
      <c r="K8" s="508" t="str">
        <f t="shared" si="10"/>
        <v/>
      </c>
      <c r="L8" s="509" t="str">
        <f t="shared" si="11"/>
        <v/>
      </c>
      <c r="M8" s="508">
        <f t="shared" si="12"/>
        <v>803.29711599999996</v>
      </c>
      <c r="N8" s="508">
        <f t="shared" si="13"/>
        <v>888.75425600000005</v>
      </c>
      <c r="O8" s="510" t="str">
        <f t="shared" si="14"/>
        <v>保有中</v>
      </c>
      <c r="P8" s="508">
        <f t="array" aca="1" ref="P8" ca="1">IF(B8="","",IFERROR(MAX(OFFSET(高値!$E$6,MATCH(TEXT(B8,"0"),TEXT(銘柄管理!$B$6:$B$305,"0"),0)-1,0,1,10)),""))</f>
        <v>874</v>
      </c>
      <c r="Q8" s="508">
        <f t="array" aca="1" ref="Q8" ca="1">IF(B8="","",IFERROR(MIN(OFFSET(安値!$E$6,MATCH(TEXT(B8,"0"),TEXT(銘柄管理!$B$6:$B$305,"0"),0)-1,0,1,10)),""))</f>
        <v>849</v>
      </c>
      <c r="R8" s="508">
        <f t="shared" ca="1" si="15"/>
        <v>848</v>
      </c>
      <c r="S8" s="511" t="str">
        <f t="shared" si="16"/>
        <v>📌保有中</v>
      </c>
      <c r="T8" s="507"/>
      <c r="U8" s="507"/>
      <c r="V8" s="508" t="str">
        <f t="shared" si="17"/>
        <v/>
      </c>
      <c r="W8" s="512">
        <f t="shared" ca="1" si="18"/>
        <v>4</v>
      </c>
      <c r="X8" s="507"/>
      <c r="Y8" s="513"/>
      <c r="Z8" s="499"/>
    </row>
    <row r="9" spans="1:27" ht="43.5" customHeight="1">
      <c r="A9" s="501" t="str">
        <f t="shared" si="9"/>
        <v>株探</v>
      </c>
      <c r="B9" s="502">
        <v>5702</v>
      </c>
      <c r="C9" s="503" t="s">
        <v>1005</v>
      </c>
      <c r="D9" s="504" t="str" cm="1">
        <f t="array" ref="D9">_xll.RssMarket(B9, "銘柄名称")</f>
        <v/>
      </c>
      <c r="E9" s="505">
        <v>46218</v>
      </c>
      <c r="F9" s="506">
        <v>1505.2968000000001</v>
      </c>
      <c r="G9" s="507">
        <v>100</v>
      </c>
      <c r="H9" s="508" t="str" cm="1">
        <f t="array" ref="H9">_xll.RssMarket(B9, "出来高加重平均")</f>
        <v/>
      </c>
      <c r="I9" s="508" t="str" cm="1">
        <f t="array" ref="I9">_xll.RssMarket(B9, "出来高加重平均")</f>
        <v/>
      </c>
      <c r="J9" s="508" t="str" cm="1">
        <f t="array" ref="J9">_xll.RssMarket($B9, "前日比")</f>
        <v/>
      </c>
      <c r="K9" s="508" t="str">
        <f t="shared" si="10"/>
        <v/>
      </c>
      <c r="L9" s="509" t="str">
        <f t="shared" si="11"/>
        <v/>
      </c>
      <c r="M9" s="508">
        <f t="shared" si="12"/>
        <v>1414.9789920000001</v>
      </c>
      <c r="N9" s="508">
        <f t="shared" si="13"/>
        <v>1565.5086720000002</v>
      </c>
      <c r="O9" s="510" t="str">
        <f t="shared" si="14"/>
        <v>保有中</v>
      </c>
      <c r="P9" s="508">
        <f t="array" aca="1" ref="P9" ca="1">IF(B9="","",IFERROR(MAX(OFFSET(高値!$E$6,MATCH(TEXT(B9,"0"),TEXT(銘柄管理!$B$6:$B$305,"0"),0)-1,0,1,10)),""))</f>
        <v>1536</v>
      </c>
      <c r="Q9" s="508">
        <f t="array" aca="1" ref="Q9" ca="1">IF(B9="","",IFERROR(MIN(OFFSET(安値!$E$6,MATCH(TEXT(B9,"0"),TEXT(銘柄管理!$B$6:$B$305,"0"),0)-1,0,1,10)),""))</f>
        <v>1414</v>
      </c>
      <c r="R9" s="508">
        <f t="shared" ca="1" si="15"/>
        <v>1490</v>
      </c>
      <c r="S9" s="511" t="str">
        <f t="shared" si="16"/>
        <v>📌保有中</v>
      </c>
      <c r="T9" s="507"/>
      <c r="U9" s="507"/>
      <c r="V9" s="508" t="str">
        <f t="shared" si="17"/>
        <v/>
      </c>
      <c r="W9" s="512">
        <f t="shared" ca="1" si="18"/>
        <v>4</v>
      </c>
      <c r="X9" s="507"/>
      <c r="Y9" s="513"/>
      <c r="Z9" s="499"/>
    </row>
    <row r="10" spans="1:27" ht="43.5" customHeight="1">
      <c r="A10" s="501" t="str">
        <f t="shared" si="9"/>
        <v>株探</v>
      </c>
      <c r="B10" s="502">
        <v>5332</v>
      </c>
      <c r="C10" s="503" t="s">
        <v>1005</v>
      </c>
      <c r="D10" s="504" t="str" cm="1">
        <f t="array" ref="D10">_xll.RssMarket(B10, "銘柄名称")</f>
        <v/>
      </c>
      <c r="E10" s="505">
        <v>46218</v>
      </c>
      <c r="F10" s="506">
        <v>7903.4182000000001</v>
      </c>
      <c r="G10" s="507">
        <v>100</v>
      </c>
      <c r="H10" s="508" t="str" cm="1">
        <f t="array" ref="H10">_xll.RssMarket(B10, "出来高加重平均")</f>
        <v/>
      </c>
      <c r="I10" s="508" t="str" cm="1">
        <f t="array" ref="I10">_xll.RssMarket(B10, "出来高加重平均")</f>
        <v/>
      </c>
      <c r="J10" s="508" t="str" cm="1">
        <f t="array" ref="J10">_xll.RssMarket($B10, "前日比")</f>
        <v/>
      </c>
      <c r="K10" s="508" t="str">
        <f>IF(OR(F10="",G10="",H10=""),"",IF(C10="売",(F10-H10)*G10,(H10-F10)*G10))</f>
        <v/>
      </c>
      <c r="L10" s="509" t="str">
        <f>IF(OR(F10="",H10=""),"",IF(C10="売",(F10-H10)/F10,(H10-F10)/F10))</f>
        <v/>
      </c>
      <c r="M10" s="508">
        <f>IF(F10="","",IF(C10="売",F10*0.94,F10*1.06))</f>
        <v>7429.2131079999999</v>
      </c>
      <c r="N10" s="508">
        <f>IF(F10="","",IF(C10="売",F10*1.04,F10*0.96))</f>
        <v>8219.5549279999996</v>
      </c>
      <c r="O10" s="510" t="str">
        <f>IF(B10="","",IF(H10="","保有中",IF(C10="売",IF(H10&lt;=M10,"🟢利確推奨",IF(H10&lt;=F10*0.95,"🟡利確&amp;TR STOP検討",IF(H10&gt;=N10,"🔴損切推奨",IF(H10&gt;=F10*1.035,"🔴損切間近",IF(H10&gt;=F10*1.03,"⚠️+3%注意","保持継続"))))),IF(H10&gt;=M10,"🟢利確推奨",IF(H10&gt;=F10*1.05,"🟡利確&amp;TR STOP検討",IF(H10&lt;=N10,"🔴損切推奨",IF(H10&lt;=F10*0.965,"🔴損切間近",IF(H10&lt;=F10*0.97,"⚠️-3%注意","保持継続"))))))))</f>
        <v>保有中</v>
      </c>
      <c r="P10" s="508">
        <f t="array" aca="1" ref="P10" ca="1">IF(B10="","",IFERROR(MAX(OFFSET(高値!$E$6,MATCH(TEXT(B10,"0"),TEXT(銘柄管理!$B$6:$B$305,"0"),0)-1,0,1,10)),""))</f>
        <v>8740</v>
      </c>
      <c r="Q10" s="508">
        <f t="array" aca="1" ref="Q10" ca="1">IF(B10="","",IFERROR(MIN(OFFSET(安値!$E$6,MATCH(TEXT(B10,"0"),TEXT(銘柄管理!$B$6:$B$305,"0"),0)-1,0,1,10)),""))</f>
        <v>7229</v>
      </c>
      <c r="R10" s="508">
        <f t="shared" ca="1" si="15"/>
        <v>8478</v>
      </c>
      <c r="S10" s="511" t="str">
        <f t="shared" si="16"/>
        <v>📌保有中</v>
      </c>
      <c r="T10" s="507"/>
      <c r="U10" s="507"/>
      <c r="V10" s="508" t="str">
        <f>IF(OR(F10="",G10="",U10=""),"",IF(C10="売",(F10-U10)*G10,(U10-F10)*G10))</f>
        <v/>
      </c>
      <c r="W10" s="512">
        <f t="shared" ca="1" si="18"/>
        <v>4</v>
      </c>
      <c r="X10" s="507"/>
      <c r="Y10" s="513"/>
      <c r="Z10" s="499"/>
    </row>
    <row r="11" spans="1:27" ht="43.5" customHeight="1">
      <c r="A11" s="501" t="str">
        <f t="shared" si="9"/>
        <v>株探</v>
      </c>
      <c r="B11" s="502">
        <v>9531</v>
      </c>
      <c r="C11" s="503" t="s">
        <v>1005</v>
      </c>
      <c r="D11" s="504" t="str" cm="1">
        <f t="array" ref="D11">_xll.RssMarket(B11, "銘柄名称")</f>
        <v/>
      </c>
      <c r="E11" s="505">
        <v>46218</v>
      </c>
      <c r="F11" s="506">
        <v>6067.7983999999997</v>
      </c>
      <c r="G11" s="507">
        <v>100</v>
      </c>
      <c r="H11" s="508" t="str" cm="1">
        <f t="array" ref="H11">_xll.RssMarket(B11, "出来高加重平均")</f>
        <v/>
      </c>
      <c r="I11" s="508" t="str" cm="1">
        <f t="array" ref="I11">_xll.RssMarket(B11, "出来高加重平均")</f>
        <v/>
      </c>
      <c r="J11" s="508" t="str" cm="1">
        <f t="array" ref="J11">_xll.RssMarket($B11, "前日比")</f>
        <v/>
      </c>
      <c r="K11" s="508" t="str">
        <f>IF(OR(F11="",G11="",H11=""),"",IF(C11="売",(F11-H11)*G11,(H11-F11)*G11))</f>
        <v/>
      </c>
      <c r="L11" s="509" t="str">
        <f>IF(OR(F11="",H11=""),"",IF(C11="売",(F11-H11)/F11,(H11-F11)/F11))</f>
        <v/>
      </c>
      <c r="M11" s="508">
        <f>IF(F11="","",IF(C11="売",F11*0.94,F11*1.06))</f>
        <v>5703.7304959999992</v>
      </c>
      <c r="N11" s="508">
        <f>IF(F11="","",IF(C11="売",F11*1.04,F11*0.96))</f>
        <v>6310.5103360000003</v>
      </c>
      <c r="O11" s="510" t="str">
        <f>IF(B11="","",IF(H11="","保有中",IF(C11="売",IF(H11&lt;=M11,"🟢利確推奨",IF(H11&lt;=F11*0.95,"🟡利確&amp;TR STOP検討",IF(H11&gt;=N11,"🔴損切推奨",IF(H11&gt;=F11*1.035,"🔴損切間近",IF(H11&gt;=F11*1.03,"⚠️+3%注意","保持継続"))))),IF(H11&gt;=M11,"🟢利確推奨",IF(H11&gt;=F11*1.05,"🟡利確&amp;TR STOP検討",IF(H11&lt;=N11,"🔴損切推奨",IF(H11&lt;=F11*0.965,"🔴損切間近",IF(H11&lt;=F11*0.97,"⚠️-3%注意","保持継続"))))))))</f>
        <v>保有中</v>
      </c>
      <c r="P11" s="508">
        <f t="array" aca="1" ref="P11" ca="1">IF(B11="","",IFERROR(MAX(OFFSET(高値!$E$6,MATCH(TEXT(B11,"0"),TEXT(銘柄管理!$B$6:$B$305,"0"),0)-1,0,1,10)),""))</f>
        <v>6192</v>
      </c>
      <c r="Q11" s="508">
        <f t="array" aca="1" ref="Q11" ca="1">IF(B11="","",IFERROR(MIN(OFFSET(安値!$E$6,MATCH(TEXT(B11,"0"),TEXT(銘柄管理!$B$6:$B$305,"0"),0)-1,0,1,10)),""))</f>
        <v>5905</v>
      </c>
      <c r="R11" s="508">
        <f t="shared" ca="1" si="15"/>
        <v>6006</v>
      </c>
      <c r="S11" s="511" t="str">
        <f t="shared" si="16"/>
        <v>📌保有中</v>
      </c>
      <c r="T11" s="507"/>
      <c r="U11" s="507"/>
      <c r="V11" s="508" t="str">
        <f>IF(OR(F11="",G11="",U11=""),"",IF(C11="売",(F11-U11)*G11,(U11-F11)*G11))</f>
        <v/>
      </c>
      <c r="W11" s="512">
        <f t="shared" ca="1" si="18"/>
        <v>4</v>
      </c>
      <c r="X11" s="507"/>
      <c r="Y11" s="513"/>
      <c r="Z11" s="499"/>
    </row>
    <row r="12" spans="1:27" ht="43.5" customHeight="1">
      <c r="A12" s="501" t="str">
        <f t="shared" si="9"/>
        <v>株探</v>
      </c>
      <c r="B12" s="502">
        <v>6848</v>
      </c>
      <c r="C12" s="503" t="s">
        <v>1005</v>
      </c>
      <c r="D12" s="504" t="str" cm="1">
        <f t="array" ref="D12">_xll.RssMarket(B12, "銘柄名称")</f>
        <v/>
      </c>
      <c r="E12" s="505">
        <v>46218</v>
      </c>
      <c r="F12" s="506">
        <v>854.57140000000004</v>
      </c>
      <c r="G12" s="507">
        <v>100</v>
      </c>
      <c r="H12" s="508" t="str" cm="1">
        <f t="array" ref="H12">_xll.RssMarket(B12, "出来高加重平均")</f>
        <v/>
      </c>
      <c r="I12" s="508" t="str" cm="1">
        <f t="array" ref="I12">_xll.RssMarket(B12, "出来高加重平均")</f>
        <v/>
      </c>
      <c r="J12" s="508" t="str" cm="1">
        <f t="array" ref="J12">_xll.RssMarket($B12, "前日比")</f>
        <v/>
      </c>
      <c r="K12" s="508" t="str">
        <f>IF(OR(F12="",G12="",H12=""),"",IF(C12="売",(F12-H12)*G12,(H12-F12)*G12))</f>
        <v/>
      </c>
      <c r="L12" s="509" t="str">
        <f>IF(OR(F12="",H12=""),"",IF(C12="売",(F12-H12)/F12,(H12-F12)/F12))</f>
        <v/>
      </c>
      <c r="M12" s="508">
        <f>IF(F12="","",IF(C12="売",F12*0.94,F12*1.06))</f>
        <v>803.29711599999996</v>
      </c>
      <c r="N12" s="508">
        <f>IF(F12="","",IF(C12="売",F12*1.04,F12*0.96))</f>
        <v>888.75425600000005</v>
      </c>
      <c r="O12" s="510" t="str">
        <f>IF(B12="","",IF(H12="","保有中",IF(C12="売",IF(H12&lt;=M12,"🟢利確推奨",IF(H12&lt;=F12*0.95,"🟡利確&amp;TR STOP検討",IF(H12&gt;=N12,"🔴損切推奨",IF(H12&gt;=F12*1.035,"🔴損切間近",IF(H12&gt;=F12*1.03,"⚠️+3%注意","保持継続"))))),IF(H12&gt;=M12,"🟢利確推奨",IF(H12&gt;=F12*1.05,"🟡利確&amp;TR STOP検討",IF(H12&lt;=N12,"🔴損切推奨",IF(H12&lt;=F12*0.965,"🔴損切間近",IF(H12&lt;=F12*0.97,"⚠️-3%注意","保持継続"))))))))</f>
        <v>保有中</v>
      </c>
      <c r="P12" s="508">
        <f t="array" aca="1" ref="P12" ca="1">IF(B12="","",IFERROR(MAX(OFFSET(高値!$E$6,MATCH(TEXT(B12,"0"),TEXT(銘柄管理!$B$6:$B$305,"0"),0)-1,0,1,10)),""))</f>
        <v>874</v>
      </c>
      <c r="Q12" s="508">
        <f t="array" aca="1" ref="Q12" ca="1">IF(B12="","",IFERROR(MIN(OFFSET(安値!$E$6,MATCH(TEXT(B12,"0"),TEXT(銘柄管理!$B$6:$B$305,"0"),0)-1,0,1,10)),""))</f>
        <v>849</v>
      </c>
      <c r="R12" s="508">
        <f t="shared" ca="1" si="15"/>
        <v>848</v>
      </c>
      <c r="S12" s="511" t="str">
        <f t="shared" si="16"/>
        <v>📌保有中</v>
      </c>
      <c r="T12" s="507"/>
      <c r="U12" s="507"/>
      <c r="V12" s="508" t="str">
        <f>IF(OR(F12="",G12="",U12=""),"",IF(C12="売",(F12-U12)*G12,(U12-F12)*G12))</f>
        <v/>
      </c>
      <c r="W12" s="512">
        <f t="shared" ca="1" si="18"/>
        <v>4</v>
      </c>
      <c r="X12" s="507"/>
      <c r="Y12" s="513"/>
      <c r="Z12" s="499"/>
    </row>
    <row r="13" spans="1:27" ht="43.5" customHeight="1">
      <c r="A13" s="501" t="str">
        <f t="shared" si="9"/>
        <v>株探</v>
      </c>
      <c r="B13" s="502">
        <v>5702</v>
      </c>
      <c r="C13" s="503" t="s">
        <v>1005</v>
      </c>
      <c r="D13" s="504" t="str" cm="1">
        <f t="array" ref="D13">_xll.RssMarket(B13, "銘柄名称")</f>
        <v/>
      </c>
      <c r="E13" s="505">
        <v>46218</v>
      </c>
      <c r="F13" s="506">
        <v>1505.2968000000001</v>
      </c>
      <c r="G13" s="507">
        <v>100</v>
      </c>
      <c r="H13" s="508" t="str" cm="1">
        <f t="array" ref="H13">_xll.RssMarket(B13, "出来高加重平均")</f>
        <v/>
      </c>
      <c r="I13" s="508" t="str" cm="1">
        <f t="array" ref="I13">_xll.RssMarket(B13, "出来高加重平均")</f>
        <v/>
      </c>
      <c r="J13" s="508" t="str" cm="1">
        <f t="array" ref="J13">_xll.RssMarket($B13, "前日比")</f>
        <v/>
      </c>
      <c r="K13" s="508" t="str">
        <f t="shared" si="10"/>
        <v/>
      </c>
      <c r="L13" s="509" t="str">
        <f t="shared" si="11"/>
        <v/>
      </c>
      <c r="M13" s="508">
        <f t="shared" si="12"/>
        <v>1414.9789920000001</v>
      </c>
      <c r="N13" s="508">
        <f t="shared" si="13"/>
        <v>1565.5086720000002</v>
      </c>
      <c r="O13" s="510" t="str">
        <f t="shared" si="14"/>
        <v>保有中</v>
      </c>
      <c r="P13" s="508">
        <f t="array" aca="1" ref="P13" ca="1">IF(B13="","",IFERROR(MAX(OFFSET(高値!$E$6,MATCH(TEXT(B13,"0"),TEXT(銘柄管理!$B$6:$B$305,"0"),0)-1,0,1,10)),""))</f>
        <v>1536</v>
      </c>
      <c r="Q13" s="508">
        <f t="array" aca="1" ref="Q13" ca="1">IF(B13="","",IFERROR(MIN(OFFSET(安値!$E$6,MATCH(TEXT(B13,"0"),TEXT(銘柄管理!$B$6:$B$305,"0"),0)-1,0,1,10)),""))</f>
        <v>1414</v>
      </c>
      <c r="R13" s="508">
        <f t="shared" ca="1" si="15"/>
        <v>1490</v>
      </c>
      <c r="S13" s="511" t="str">
        <f t="shared" si="16"/>
        <v>📌保有中</v>
      </c>
      <c r="T13" s="507"/>
      <c r="U13" s="507"/>
      <c r="V13" s="508" t="str">
        <f t="shared" si="17"/>
        <v/>
      </c>
      <c r="W13" s="512">
        <f t="shared" ca="1" si="18"/>
        <v>4</v>
      </c>
      <c r="X13" s="507"/>
      <c r="Y13" s="513"/>
      <c r="Z13" s="499"/>
    </row>
    <row r="14" spans="1:27" ht="43.5" customHeight="1">
      <c r="A14" s="501" t="str">
        <f t="shared" si="9"/>
        <v>株探</v>
      </c>
      <c r="B14" s="502">
        <v>5844</v>
      </c>
      <c r="C14" s="503" t="s">
        <v>1004</v>
      </c>
      <c r="D14" s="504" t="str" cm="1">
        <f t="array" ref="D14">_xll.RssMarket(B14, "銘柄名称")</f>
        <v/>
      </c>
      <c r="E14" s="505">
        <v>46218</v>
      </c>
      <c r="F14" s="506">
        <v>4741.3445000000002</v>
      </c>
      <c r="G14" s="507">
        <v>100</v>
      </c>
      <c r="H14" s="508" t="str" cm="1">
        <f t="array" ref="H14">_xll.RssMarket(B14, "出来高加重平均")</f>
        <v/>
      </c>
      <c r="I14" s="508" t="str" cm="1">
        <f t="array" ref="I14">_xll.RssMarket(B14, "出来高加重平均")</f>
        <v/>
      </c>
      <c r="J14" s="508" t="str" cm="1">
        <f t="array" ref="J14">_xll.RssMarket($B14, "前日比")</f>
        <v/>
      </c>
      <c r="K14" s="508" t="str">
        <f t="shared" ref="K14:K18" si="19">IF(OR(F14="",G14="",H14=""),"",IF(C14="売",(F14-H14)*G14,(H14-F14)*G14))</f>
        <v/>
      </c>
      <c r="L14" s="509" t="str">
        <f t="shared" ref="L14:L18" si="20">IF(OR(F14="",H14=""),"",IF(C14="売",(F14-H14)/F14,(H14-F14)/F14))</f>
        <v/>
      </c>
      <c r="M14" s="508">
        <f t="shared" ref="M14:M18" si="21">IF(F14="","",IF(C14="売",F14*0.94,F14*1.06))</f>
        <v>5025.8251700000001</v>
      </c>
      <c r="N14" s="508">
        <f t="shared" ref="N14:N18" si="22">IF(F14="","",IF(C14="売",F14*1.04,F14*0.96))</f>
        <v>4551.6907199999996</v>
      </c>
      <c r="O14" s="510" t="str">
        <f t="shared" si="14"/>
        <v>保有中</v>
      </c>
      <c r="P14" s="508">
        <f t="array" aca="1" ref="P14" ca="1">IF(B14="","",IFERROR(MAX(OFFSET(高値!$E$6,MATCH(TEXT(B14,"0"),TEXT(銘柄管理!$B$6:$B$305,"0"),0)-1,0,1,10)),""))</f>
        <v>4890</v>
      </c>
      <c r="Q14" s="508">
        <f t="array" aca="1" ref="Q14" ca="1">IF(B14="","",IFERROR(MIN(OFFSET(安値!$E$6,MATCH(TEXT(B14,"0"),TEXT(銘柄管理!$B$6:$B$305,"0"),0)-1,0,1,10)),""))</f>
        <v>4300</v>
      </c>
      <c r="R14" s="508">
        <f t="shared" ca="1" si="15"/>
        <v>4743</v>
      </c>
      <c r="S14" s="511" t="str">
        <f t="shared" si="16"/>
        <v>📌保有中</v>
      </c>
      <c r="T14" s="507"/>
      <c r="U14" s="507"/>
      <c r="V14" s="508" t="str">
        <f t="shared" si="17"/>
        <v/>
      </c>
      <c r="W14" s="512">
        <f t="shared" ca="1" si="18"/>
        <v>4</v>
      </c>
      <c r="X14" s="507"/>
      <c r="Y14" s="513"/>
      <c r="Z14" s="499"/>
      <c r="AA14" s="443" t="s">
        <v>1148</v>
      </c>
    </row>
    <row r="15" spans="1:27" ht="43.5" customHeight="1">
      <c r="A15" s="501" t="str">
        <f t="shared" si="9"/>
        <v>株探</v>
      </c>
      <c r="B15" s="502">
        <v>5332</v>
      </c>
      <c r="C15" s="503" t="s">
        <v>1004</v>
      </c>
      <c r="D15" s="504" t="str" cm="1">
        <f t="array" ref="D15">_xll.RssMarket(B15, "銘柄名称")</f>
        <v/>
      </c>
      <c r="E15" s="505">
        <v>46218</v>
      </c>
      <c r="F15" s="506">
        <v>7829.2281999999996</v>
      </c>
      <c r="G15" s="507">
        <v>100</v>
      </c>
      <c r="H15" s="508" t="str" cm="1">
        <f t="array" ref="H15">_xll.RssMarket(B15, "出来高加重平均")</f>
        <v/>
      </c>
      <c r="I15" s="508" t="str" cm="1">
        <f t="array" ref="I15">_xll.RssMarket(B15, "出来高加重平均")</f>
        <v/>
      </c>
      <c r="J15" s="508" t="str" cm="1">
        <f t="array" ref="J15">_xll.RssMarket($B15, "前日比")</f>
        <v/>
      </c>
      <c r="K15" s="508" t="str">
        <f t="shared" si="19"/>
        <v/>
      </c>
      <c r="L15" s="509" t="str">
        <f t="shared" si="20"/>
        <v/>
      </c>
      <c r="M15" s="508">
        <f t="shared" si="21"/>
        <v>8298.9818919999998</v>
      </c>
      <c r="N15" s="508">
        <f t="shared" si="22"/>
        <v>7516.0590719999991</v>
      </c>
      <c r="O15" s="510" t="str">
        <f t="shared" si="14"/>
        <v>保有中</v>
      </c>
      <c r="P15" s="508">
        <f t="array" aca="1" ref="P15" ca="1">IF(B15="","",IFERROR(MAX(OFFSET(高値!$E$6,MATCH(TEXT(B15,"0"),TEXT(銘柄管理!$B$6:$B$305,"0"),0)-1,0,1,10)),""))</f>
        <v>8740</v>
      </c>
      <c r="Q15" s="508">
        <f t="array" aca="1" ref="Q15" ca="1">IF(B15="","",IFERROR(MIN(OFFSET(安値!$E$6,MATCH(TEXT(B15,"0"),TEXT(銘柄管理!$B$6:$B$305,"0"),0)-1,0,1,10)),""))</f>
        <v>7229</v>
      </c>
      <c r="R15" s="508">
        <f t="shared" ca="1" si="15"/>
        <v>8478</v>
      </c>
      <c r="S15" s="511" t="str">
        <f t="shared" si="16"/>
        <v>📌保有中</v>
      </c>
      <c r="T15" s="507"/>
      <c r="U15" s="507"/>
      <c r="V15" s="508" t="str">
        <f t="shared" si="17"/>
        <v/>
      </c>
      <c r="W15" s="512">
        <f t="shared" ca="1" si="18"/>
        <v>4</v>
      </c>
      <c r="X15" s="507"/>
      <c r="Y15" s="513"/>
      <c r="Z15" s="499"/>
      <c r="AA15" s="443" t="s">
        <v>1147</v>
      </c>
    </row>
    <row r="16" spans="1:27" ht="43.5" customHeight="1">
      <c r="A16" s="501" t="str">
        <f t="shared" si="9"/>
        <v>株探</v>
      </c>
      <c r="B16" s="502">
        <v>6227</v>
      </c>
      <c r="C16" s="503" t="s">
        <v>1004</v>
      </c>
      <c r="D16" s="504" t="str" cm="1">
        <f t="array" ref="D16">_xll.RssMarket(B16, "銘柄名称")</f>
        <v/>
      </c>
      <c r="E16" s="505">
        <v>46218</v>
      </c>
      <c r="F16" s="506">
        <v>7195.8725999999997</v>
      </c>
      <c r="G16" s="507">
        <v>100</v>
      </c>
      <c r="H16" s="508" t="str" cm="1">
        <f t="array" ref="H16">_xll.RssMarket(B16, "出来高加重平均")</f>
        <v/>
      </c>
      <c r="I16" s="508" t="str" cm="1">
        <f t="array" ref="I16">_xll.RssMarket(B16, "出来高加重平均")</f>
        <v/>
      </c>
      <c r="J16" s="508" t="str" cm="1">
        <f t="array" ref="J16">_xll.RssMarket($B16, "前日比")</f>
        <v/>
      </c>
      <c r="K16" s="508" t="str">
        <f t="shared" si="19"/>
        <v/>
      </c>
      <c r="L16" s="509" t="str">
        <f t="shared" si="20"/>
        <v/>
      </c>
      <c r="M16" s="508">
        <f t="shared" si="21"/>
        <v>7627.6249559999997</v>
      </c>
      <c r="N16" s="508">
        <f t="shared" si="22"/>
        <v>6908.0376959999994</v>
      </c>
      <c r="O16" s="510" t="str">
        <f t="shared" si="14"/>
        <v>保有中</v>
      </c>
      <c r="P16" s="508">
        <f t="array" aca="1" ref="P16" ca="1">IF(B16="","",IFERROR(MAX(OFFSET(高値!$E$6,MATCH(TEXT(B16,"0"),TEXT(銘柄管理!$B$6:$B$305,"0"),0)-1,0,1,10)),""))</f>
        <v>8200</v>
      </c>
      <c r="Q16" s="508">
        <f t="array" aca="1" ref="Q16" ca="1">IF(B16="","",IFERROR(MIN(OFFSET(安値!$E$6,MATCH(TEXT(B16,"0"),TEXT(銘柄管理!$B$6:$B$305,"0"),0)-1,0,1,10)),""))</f>
        <v>5580</v>
      </c>
      <c r="R16" s="508">
        <f t="shared" ca="1" si="15"/>
        <v>7954</v>
      </c>
      <c r="S16" s="511" t="str">
        <f t="shared" si="16"/>
        <v>📌保有中</v>
      </c>
      <c r="T16" s="507"/>
      <c r="U16" s="507"/>
      <c r="V16" s="508" t="str">
        <f t="shared" si="17"/>
        <v/>
      </c>
      <c r="W16" s="512">
        <f t="shared" ca="1" si="18"/>
        <v>4</v>
      </c>
      <c r="X16" s="507"/>
      <c r="Y16" s="513"/>
      <c r="Z16" s="499"/>
      <c r="AA16" s="443" t="s">
        <v>1147</v>
      </c>
    </row>
    <row r="17" spans="1:27" ht="43.5" customHeight="1">
      <c r="A17" s="501" t="str">
        <f t="shared" si="9"/>
        <v>株探</v>
      </c>
      <c r="B17" s="502">
        <v>8344</v>
      </c>
      <c r="C17" s="503" t="s">
        <v>1004</v>
      </c>
      <c r="D17" s="504" t="str" cm="1">
        <f t="array" ref="D17">_xll.RssMarket(B17, "銘柄名称")</f>
        <v/>
      </c>
      <c r="E17" s="505">
        <v>46218</v>
      </c>
      <c r="F17" s="506">
        <v>3894.058</v>
      </c>
      <c r="G17" s="507">
        <v>100</v>
      </c>
      <c r="H17" s="508" t="str" cm="1">
        <f t="array" ref="H17">_xll.RssMarket(B17, "出来高加重平均")</f>
        <v/>
      </c>
      <c r="I17" s="508" t="str" cm="1">
        <f t="array" ref="I17">_xll.RssMarket(B17, "出来高加重平均")</f>
        <v/>
      </c>
      <c r="J17" s="508" t="str" cm="1">
        <f t="array" ref="J17">_xll.RssMarket($B17, "前日比")</f>
        <v/>
      </c>
      <c r="K17" s="508" t="str">
        <f t="shared" si="19"/>
        <v/>
      </c>
      <c r="L17" s="509" t="str">
        <f t="shared" si="20"/>
        <v/>
      </c>
      <c r="M17" s="508">
        <f t="shared" si="21"/>
        <v>4127.7014800000006</v>
      </c>
      <c r="N17" s="508">
        <f t="shared" si="22"/>
        <v>3738.2956799999997</v>
      </c>
      <c r="O17" s="510" t="str">
        <f t="shared" si="14"/>
        <v>保有中</v>
      </c>
      <c r="P17" s="508">
        <f t="array" aca="1" ref="P17" ca="1">IF(B17="","",IFERROR(MAX(OFFSET(高値!$E$6,MATCH(TEXT(B17,"0"),TEXT(銘柄管理!$B$6:$B$305,"0"),0)-1,0,1,10)),""))</f>
        <v>4245</v>
      </c>
      <c r="Q17" s="508">
        <f t="array" aca="1" ref="Q17" ca="1">IF(B17="","",IFERROR(MIN(OFFSET(安値!$E$6,MATCH(TEXT(B17,"0"),TEXT(銘柄管理!$B$6:$B$305,"0"),0)-1,0,1,10)),""))</f>
        <v>3555</v>
      </c>
      <c r="R17" s="508">
        <f t="shared" ca="1" si="15"/>
        <v>4118</v>
      </c>
      <c r="S17" s="511" t="str">
        <f t="shared" si="16"/>
        <v>📌保有中</v>
      </c>
      <c r="T17" s="507"/>
      <c r="U17" s="507"/>
      <c r="V17" s="508" t="str">
        <f t="shared" si="17"/>
        <v/>
      </c>
      <c r="W17" s="512">
        <f t="shared" ca="1" si="18"/>
        <v>4</v>
      </c>
      <c r="X17" s="507"/>
      <c r="Y17" s="513"/>
      <c r="Z17" s="499"/>
      <c r="AA17" s="443" t="s">
        <v>1147</v>
      </c>
    </row>
    <row r="18" spans="1:27" ht="43.5" customHeight="1">
      <c r="A18" s="501" t="str">
        <f t="shared" si="9"/>
        <v>株探</v>
      </c>
      <c r="B18" s="502">
        <v>5332</v>
      </c>
      <c r="C18" s="503" t="s">
        <v>1004</v>
      </c>
      <c r="D18" s="504" t="str" cm="1">
        <f t="array" ref="D18">_xll.RssMarket(B18, "銘柄名称")</f>
        <v/>
      </c>
      <c r="E18" s="505">
        <v>46218</v>
      </c>
      <c r="F18" s="506">
        <v>7829.2281999999996</v>
      </c>
      <c r="G18" s="507">
        <v>100</v>
      </c>
      <c r="H18" s="508" t="str" cm="1">
        <f t="array" ref="H18">_xll.RssMarket(B18, "出来高加重平均")</f>
        <v/>
      </c>
      <c r="I18" s="508" t="str" cm="1">
        <f t="array" ref="I18">_xll.RssMarket(B18, "出来高加重平均")</f>
        <v/>
      </c>
      <c r="J18" s="508" t="str" cm="1">
        <f t="array" ref="J18">_xll.RssMarket($B18, "前日比")</f>
        <v/>
      </c>
      <c r="K18" s="508" t="str">
        <f t="shared" si="19"/>
        <v/>
      </c>
      <c r="L18" s="509" t="str">
        <f t="shared" si="20"/>
        <v/>
      </c>
      <c r="M18" s="508">
        <f t="shared" si="21"/>
        <v>8298.9818919999998</v>
      </c>
      <c r="N18" s="508">
        <f t="shared" si="22"/>
        <v>7516.0590719999991</v>
      </c>
      <c r="O18" s="510" t="str">
        <f t="shared" si="14"/>
        <v>保有中</v>
      </c>
      <c r="P18" s="508">
        <f t="array" aca="1" ref="P18" ca="1">IF(B18="","",IFERROR(MAX(OFFSET(高値!$E$6,MATCH(TEXT(B18,"0"),TEXT(銘柄管理!$B$6:$B$305,"0"),0)-1,0,1,10)),""))</f>
        <v>8740</v>
      </c>
      <c r="Q18" s="508">
        <f t="array" aca="1" ref="Q18" ca="1">IF(B18="","",IFERROR(MIN(OFFSET(安値!$E$6,MATCH(TEXT(B18,"0"),TEXT(銘柄管理!$B$6:$B$305,"0"),0)-1,0,1,10)),""))</f>
        <v>7229</v>
      </c>
      <c r="R18" s="508">
        <f t="shared" ca="1" si="15"/>
        <v>8478</v>
      </c>
      <c r="S18" s="511" t="str">
        <f t="shared" si="16"/>
        <v>📌保有中</v>
      </c>
      <c r="T18" s="507"/>
      <c r="U18" s="507"/>
      <c r="V18" s="508" t="str">
        <f t="shared" si="17"/>
        <v/>
      </c>
      <c r="W18" s="512">
        <f t="shared" ca="1" si="18"/>
        <v>4</v>
      </c>
      <c r="X18" s="507"/>
      <c r="Y18" s="513"/>
      <c r="Z18" s="499"/>
      <c r="AA18" s="443" t="s">
        <v>1147</v>
      </c>
    </row>
    <row r="19" spans="1:27" ht="43.5" customHeight="1">
      <c r="A19" s="501" t="str">
        <f t="shared" si="9"/>
        <v>株探</v>
      </c>
      <c r="B19" s="502">
        <v>9101</v>
      </c>
      <c r="C19" s="503" t="s">
        <v>1004</v>
      </c>
      <c r="D19" s="504" t="str" cm="1">
        <f t="array" ref="D19">_xll.RssMarket(B19, "銘柄名称")</f>
        <v/>
      </c>
      <c r="E19" s="505">
        <v>46219</v>
      </c>
      <c r="F19" s="506">
        <v>5568.4944999999998</v>
      </c>
      <c r="G19" s="507">
        <v>100</v>
      </c>
      <c r="H19" s="508" t="str" cm="1">
        <f t="array" ref="H19">_xll.RssMarket(B19, "出来高加重平均")</f>
        <v/>
      </c>
      <c r="I19" s="508" t="str" cm="1">
        <f t="array" ref="I19">_xll.RssMarket(B19, "出来高加重平均")</f>
        <v/>
      </c>
      <c r="J19" s="508" t="str" cm="1">
        <f t="array" ref="J19">_xll.RssMarket($B19, "前日比")</f>
        <v/>
      </c>
      <c r="K19" s="508" t="str">
        <f t="shared" si="10"/>
        <v/>
      </c>
      <c r="L19" s="509" t="str">
        <f t="shared" si="11"/>
        <v/>
      </c>
      <c r="M19" s="508">
        <f t="shared" si="12"/>
        <v>5902.6041700000005</v>
      </c>
      <c r="N19" s="508">
        <f t="shared" si="13"/>
        <v>5345.7547199999999</v>
      </c>
      <c r="O19" s="510" t="str">
        <f t="shared" si="14"/>
        <v>保有中</v>
      </c>
      <c r="P19" s="508">
        <f t="array" aca="1" ref="P19" ca="1">IF(B19="","",IFERROR(MAX(OFFSET(高値!$E$6,MATCH(TEXT(B19,"0"),TEXT(銘柄管理!$B$6:$B$305,"0"),0)-1,0,1,10)),""))</f>
        <v>5784</v>
      </c>
      <c r="Q19" s="508">
        <f t="array" aca="1" ref="Q19" ca="1">IF(B19="","",IFERROR(MIN(OFFSET(安値!$E$6,MATCH(TEXT(B19,"0"),TEXT(銘柄管理!$B$6:$B$305,"0"),0)-1,0,1,10)),""))</f>
        <v>5070</v>
      </c>
      <c r="R19" s="508">
        <f t="shared" ca="1" si="15"/>
        <v>5610</v>
      </c>
      <c r="S19" s="511" t="str">
        <f t="shared" si="16"/>
        <v>📌保有中</v>
      </c>
      <c r="T19" s="507"/>
      <c r="U19" s="507"/>
      <c r="V19" s="508" t="str">
        <f t="shared" si="17"/>
        <v/>
      </c>
      <c r="W19" s="512">
        <f t="shared" ca="1" si="18"/>
        <v>3</v>
      </c>
      <c r="X19" s="507"/>
      <c r="Y19" s="513"/>
      <c r="Z19" s="499"/>
      <c r="AA19" s="443" t="s">
        <v>1150</v>
      </c>
    </row>
    <row r="20" spans="1:27" ht="43.5" customHeight="1">
      <c r="A20" s="501" t="str">
        <f t="shared" si="9"/>
        <v>株探</v>
      </c>
      <c r="B20" s="502">
        <v>4063</v>
      </c>
      <c r="C20" s="503" t="s">
        <v>1004</v>
      </c>
      <c r="D20" s="504" t="str" cm="1">
        <f t="array" ref="D20">_xll.RssMarket(B20, "銘柄名称")</f>
        <v/>
      </c>
      <c r="E20" s="505">
        <v>46219</v>
      </c>
      <c r="F20" s="506">
        <v>7355.1985000000004</v>
      </c>
      <c r="G20" s="507">
        <v>100</v>
      </c>
      <c r="H20" s="508" t="str" cm="1">
        <f t="array" ref="H20">_xll.RssMarket(B20, "出来高加重平均")</f>
        <v/>
      </c>
      <c r="I20" s="508" t="str" cm="1">
        <f t="array" ref="I20">_xll.RssMarket(B20, "出来高加重平均")</f>
        <v/>
      </c>
      <c r="J20" s="508" t="str" cm="1">
        <f t="array" ref="J20">_xll.RssMarket($B20, "前日比")</f>
        <v/>
      </c>
      <c r="K20" s="508" t="str">
        <f t="shared" si="10"/>
        <v/>
      </c>
      <c r="L20" s="509" t="str">
        <f t="shared" si="11"/>
        <v/>
      </c>
      <c r="M20" s="508">
        <f t="shared" si="12"/>
        <v>7796.5104100000008</v>
      </c>
      <c r="N20" s="508">
        <f t="shared" si="13"/>
        <v>7060.9905600000002</v>
      </c>
      <c r="O20" s="510" t="str">
        <f t="shared" si="14"/>
        <v>保有中</v>
      </c>
      <c r="P20" s="508">
        <f t="array" aca="1" ref="P20" ca="1">IF(B20="","",IFERROR(MAX(OFFSET(高値!$E$6,MATCH(TEXT(B20,"0"),TEXT(銘柄管理!$B$6:$B$305,"0"),0)-1,0,1,10)),""))</f>
        <v>7690</v>
      </c>
      <c r="Q20" s="508">
        <f t="array" aca="1" ref="Q20" ca="1">IF(B20="","",IFERROR(MIN(OFFSET(安値!$E$6,MATCH(TEXT(B20,"0"),TEXT(銘柄管理!$B$6:$B$305,"0"),0)-1,0,1,10)),""))</f>
        <v>6789</v>
      </c>
      <c r="R20" s="508">
        <f t="shared" ca="1" si="15"/>
        <v>7459</v>
      </c>
      <c r="S20" s="511" t="str">
        <f t="shared" si="16"/>
        <v>📌保有中</v>
      </c>
      <c r="T20" s="507"/>
      <c r="U20" s="507"/>
      <c r="V20" s="508" t="str">
        <f t="shared" si="17"/>
        <v/>
      </c>
      <c r="W20" s="512">
        <f t="shared" ca="1" si="18"/>
        <v>3</v>
      </c>
      <c r="X20" s="507"/>
      <c r="Y20" s="513"/>
      <c r="Z20" s="499"/>
      <c r="AA20" s="443" t="s">
        <v>1150</v>
      </c>
    </row>
    <row r="21" spans="1:27" ht="43.5" customHeight="1">
      <c r="A21" s="501" t="str">
        <f t="shared" si="9"/>
        <v>株探</v>
      </c>
      <c r="B21" s="502">
        <v>8002</v>
      </c>
      <c r="C21" s="503" t="s">
        <v>1004</v>
      </c>
      <c r="D21" s="504" t="str" cm="1">
        <f t="array" ref="D21">_xll.RssMarket(B21, "銘柄名称")</f>
        <v/>
      </c>
      <c r="E21" s="505">
        <v>46219</v>
      </c>
      <c r="F21" s="506">
        <v>5101.0758999999998</v>
      </c>
      <c r="G21" s="507">
        <v>100</v>
      </c>
      <c r="H21" s="508" t="str" cm="1">
        <f t="array" ref="H21">_xll.RssMarket(B21, "出来高加重平均")</f>
        <v/>
      </c>
      <c r="I21" s="508" t="str" cm="1">
        <f t="array" ref="I21">_xll.RssMarket(B21, "出来高加重平均")</f>
        <v/>
      </c>
      <c r="J21" s="508" t="str" cm="1">
        <f t="array" ref="J21">_xll.RssMarket($B21, "前日比")</f>
        <v/>
      </c>
      <c r="K21" s="508" t="str">
        <f t="shared" si="10"/>
        <v/>
      </c>
      <c r="L21" s="509" t="str">
        <f t="shared" si="11"/>
        <v/>
      </c>
      <c r="M21" s="508">
        <f t="shared" si="12"/>
        <v>5407.1404540000003</v>
      </c>
      <c r="N21" s="508">
        <f t="shared" si="13"/>
        <v>4897.0328639999998</v>
      </c>
      <c r="O21" s="510" t="str">
        <f t="shared" si="14"/>
        <v>保有中</v>
      </c>
      <c r="P21" s="508">
        <f t="array" aca="1" ref="P21" ca="1">IF(B21="","",IFERROR(MAX(OFFSET(高値!$E$6,MATCH(TEXT(B21,"0"),TEXT(銘柄管理!$B$6:$B$305,"0"),0)-1,0,1,10)),""))</f>
        <v>5176</v>
      </c>
      <c r="Q21" s="508">
        <f t="array" aca="1" ref="Q21" ca="1">IF(B21="","",IFERROR(MIN(OFFSET(安値!$E$6,MATCH(TEXT(B21,"0"),TEXT(銘柄管理!$B$6:$B$305,"0"),0)-1,0,1,10)),""))</f>
        <v>4810</v>
      </c>
      <c r="R21" s="508">
        <f t="shared" ca="1" si="15"/>
        <v>5021</v>
      </c>
      <c r="S21" s="511" t="str">
        <f t="shared" si="16"/>
        <v>📌保有中</v>
      </c>
      <c r="T21" s="507"/>
      <c r="U21" s="507"/>
      <c r="V21" s="508" t="str">
        <f t="shared" si="17"/>
        <v/>
      </c>
      <c r="W21" s="512">
        <f t="shared" ca="1" si="18"/>
        <v>3</v>
      </c>
      <c r="X21" s="507"/>
      <c r="Y21" s="513"/>
      <c r="Z21" s="499"/>
      <c r="AA21" s="443" t="s">
        <v>1150</v>
      </c>
    </row>
    <row r="22" spans="1:27" ht="43.5" customHeight="1">
      <c r="A22" s="501" t="str">
        <f t="shared" si="9"/>
        <v>株探</v>
      </c>
      <c r="B22" s="502">
        <v>5844</v>
      </c>
      <c r="C22" s="503" t="s">
        <v>1004</v>
      </c>
      <c r="D22" s="504" t="str" cm="1">
        <f t="array" ref="D22">_xll.RssMarket(B22, "銘柄名称")</f>
        <v/>
      </c>
      <c r="E22" s="505">
        <v>46219</v>
      </c>
      <c r="F22" s="506">
        <v>4703.1715999999997</v>
      </c>
      <c r="G22" s="507">
        <v>100</v>
      </c>
      <c r="H22" s="508" t="str" cm="1">
        <f t="array" ref="H22">_xll.RssMarket(B22, "出来高加重平均")</f>
        <v/>
      </c>
      <c r="I22" s="508" t="str" cm="1">
        <f t="array" ref="I22">_xll.RssMarket(B22, "出来高加重平均")</f>
        <v/>
      </c>
      <c r="J22" s="508" t="str" cm="1">
        <f t="array" ref="J22">_xll.RssMarket($B22, "前日比")</f>
        <v/>
      </c>
      <c r="K22" s="508" t="str">
        <f t="shared" si="10"/>
        <v/>
      </c>
      <c r="L22" s="509" t="str">
        <f t="shared" si="11"/>
        <v/>
      </c>
      <c r="M22" s="508">
        <f t="shared" si="12"/>
        <v>4985.3618960000003</v>
      </c>
      <c r="N22" s="508">
        <f t="shared" si="13"/>
        <v>4515.0447359999998</v>
      </c>
      <c r="O22" s="510" t="str">
        <f t="shared" si="14"/>
        <v>保有中</v>
      </c>
      <c r="P22" s="508">
        <f t="array" aca="1" ref="P22" ca="1">IF(B22="","",IFERROR(MAX(OFFSET(高値!$E$6,MATCH(TEXT(B22,"0"),TEXT(銘柄管理!$B$6:$B$305,"0"),0)-1,0,1,10)),""))</f>
        <v>4890</v>
      </c>
      <c r="Q22" s="508">
        <f t="array" aca="1" ref="Q22" ca="1">IF(B22="","",IFERROR(MIN(OFFSET(安値!$E$6,MATCH(TEXT(B22,"0"),TEXT(銘柄管理!$B$6:$B$305,"0"),0)-1,0,1,10)),""))</f>
        <v>4300</v>
      </c>
      <c r="R22" s="508">
        <f t="shared" ca="1" si="15"/>
        <v>4743</v>
      </c>
      <c r="S22" s="511" t="str">
        <f t="shared" si="16"/>
        <v>📌保有中</v>
      </c>
      <c r="T22" s="507"/>
      <c r="U22" s="507"/>
      <c r="V22" s="508" t="str">
        <f t="shared" si="17"/>
        <v/>
      </c>
      <c r="W22" s="512">
        <f t="shared" ca="1" si="18"/>
        <v>3</v>
      </c>
      <c r="X22" s="507"/>
      <c r="Y22" s="524">
        <f>SUM(K4:K22)</f>
        <v>0</v>
      </c>
      <c r="Z22" s="499"/>
      <c r="AA22" s="443" t="s">
        <v>1150</v>
      </c>
    </row>
    <row r="23" spans="1:27" ht="43.5" customHeight="1">
      <c r="A23" s="501" t="str">
        <f t="shared" si="9"/>
        <v/>
      </c>
      <c r="B23" s="502"/>
      <c r="C23" s="503" t="s">
        <v>1004</v>
      </c>
      <c r="D23" s="504" t="str" cm="1">
        <f t="array" ref="D23">_xll.RssMarket(B23, "銘柄名称")</f>
        <v/>
      </c>
      <c r="E23" s="505"/>
      <c r="F23" s="506"/>
      <c r="G23" s="507">
        <v>100</v>
      </c>
      <c r="H23" s="508" t="str" cm="1">
        <f t="array" ref="H23">_xll.RssMarket(B23, "出来高加重平均")</f>
        <v/>
      </c>
      <c r="I23" s="508" t="str" cm="1">
        <f t="array" ref="I23">_xll.RssMarket(B23, "出来高加重平均")</f>
        <v/>
      </c>
      <c r="J23" s="508" t="str" cm="1">
        <f t="array" ref="J23">_xll.RssMarket($B23, "前日比")</f>
        <v/>
      </c>
      <c r="K23" s="508" t="str">
        <f t="shared" si="10"/>
        <v/>
      </c>
      <c r="L23" s="509" t="str">
        <f t="shared" si="11"/>
        <v/>
      </c>
      <c r="M23" s="508" t="str">
        <f t="shared" si="12"/>
        <v/>
      </c>
      <c r="N23" s="508" t="str">
        <f t="shared" si="13"/>
        <v/>
      </c>
      <c r="O23" s="510" t="str">
        <f t="shared" si="14"/>
        <v/>
      </c>
      <c r="P23" s="508" t="str">
        <f t="array" aca="1" ref="P23" ca="1">IF(B23="","",IFERROR(MAX(OFFSET(高値!$E$6,MATCH(TEXT(B23,"0"),TEXT(銘柄管理!$B$6:$B$305,"0"),0)-1,0,1,10)),""))</f>
        <v/>
      </c>
      <c r="Q23" s="508" t="str">
        <f t="array" aca="1" ref="Q23" ca="1">IF(B23="","",IFERROR(MIN(OFFSET(安値!$E$6,MATCH(TEXT(B23,"0"),TEXT(銘柄管理!$B$6:$B$305,"0"),0)-1,0,1,10)),""))</f>
        <v/>
      </c>
      <c r="R23" s="508" t="str">
        <f t="shared" ca="1" si="15"/>
        <v/>
      </c>
      <c r="S23" s="511" t="str">
        <f t="shared" si="16"/>
        <v/>
      </c>
      <c r="T23" s="507"/>
      <c r="U23" s="507"/>
      <c r="V23" s="508" t="str">
        <f t="shared" si="17"/>
        <v/>
      </c>
      <c r="W23" s="512" t="str">
        <f t="shared" ca="1" si="18"/>
        <v/>
      </c>
      <c r="X23" s="507"/>
      <c r="Y23" s="513"/>
      <c r="Z23" s="499"/>
    </row>
    <row r="24" spans="1:27" ht="43.5" customHeight="1">
      <c r="A24" s="501" t="str">
        <f t="shared" si="9"/>
        <v/>
      </c>
      <c r="B24" s="502"/>
      <c r="C24" s="503" t="s">
        <v>1004</v>
      </c>
      <c r="D24" s="504" t="str" cm="1">
        <f t="array" ref="D24">_xll.RssMarket(B24, "銘柄名称")</f>
        <v/>
      </c>
      <c r="E24" s="505"/>
      <c r="F24" s="506"/>
      <c r="G24" s="507">
        <v>100</v>
      </c>
      <c r="H24" s="508" t="str" cm="1">
        <f t="array" ref="H24">_xll.RssMarket(B24, "出来高加重平均")</f>
        <v/>
      </c>
      <c r="I24" s="508" t="str" cm="1">
        <f t="array" ref="I24">_xll.RssMarket(B24, "出来高加重平均")</f>
        <v/>
      </c>
      <c r="J24" s="508" t="str" cm="1">
        <f t="array" ref="J24">_xll.RssMarket($B24, "前日比")</f>
        <v/>
      </c>
      <c r="K24" s="508" t="str">
        <f t="shared" si="10"/>
        <v/>
      </c>
      <c r="L24" s="509" t="str">
        <f t="shared" si="11"/>
        <v/>
      </c>
      <c r="M24" s="508" t="str">
        <f t="shared" si="12"/>
        <v/>
      </c>
      <c r="N24" s="508" t="str">
        <f t="shared" si="13"/>
        <v/>
      </c>
      <c r="O24" s="510" t="str">
        <f t="shared" si="14"/>
        <v/>
      </c>
      <c r="P24" s="508" t="str">
        <f t="array" aca="1" ref="P24" ca="1">IF(B24="","",IFERROR(MAX(OFFSET(高値!$E$6,MATCH(TEXT(B24,"0"),TEXT(銘柄管理!$B$6:$B$305,"0"),0)-1,0,1,10)),""))</f>
        <v/>
      </c>
      <c r="Q24" s="508" t="str">
        <f t="array" aca="1" ref="Q24" ca="1">IF(B24="","",IFERROR(MIN(OFFSET(安値!$E$6,MATCH(TEXT(B24,"0"),TEXT(銘柄管理!$B$6:$B$305,"0"),0)-1,0,1,10)),""))</f>
        <v/>
      </c>
      <c r="R24" s="508" t="str">
        <f t="shared" ca="1" si="15"/>
        <v/>
      </c>
      <c r="S24" s="511" t="str">
        <f t="shared" si="16"/>
        <v/>
      </c>
      <c r="T24" s="507"/>
      <c r="U24" s="507"/>
      <c r="V24" s="508" t="str">
        <f t="shared" si="17"/>
        <v/>
      </c>
      <c r="W24" s="512" t="str">
        <f t="shared" ca="1" si="18"/>
        <v/>
      </c>
      <c r="X24" s="507"/>
      <c r="Y24" s="513"/>
      <c r="Z24" s="499"/>
    </row>
    <row r="25" spans="1:27" ht="43.5" customHeight="1">
      <c r="A25" s="501" t="str">
        <f t="shared" si="9"/>
        <v/>
      </c>
      <c r="B25" s="502"/>
      <c r="C25" s="503" t="s">
        <v>1004</v>
      </c>
      <c r="D25" s="504" t="str" cm="1">
        <f t="array" ref="D25">_xll.RssMarket(B25, "銘柄名称")</f>
        <v/>
      </c>
      <c r="E25" s="505"/>
      <c r="F25" s="506"/>
      <c r="G25" s="507">
        <v>100</v>
      </c>
      <c r="H25" s="508" t="str" cm="1">
        <f t="array" ref="H25">_xll.RssMarket(B25, "出来高加重平均")</f>
        <v/>
      </c>
      <c r="I25" s="508" t="str" cm="1">
        <f t="array" ref="I25">_xll.RssMarket(B25, "出来高加重平均")</f>
        <v/>
      </c>
      <c r="J25" s="508" t="str" cm="1">
        <f t="array" ref="J25">_xll.RssMarket($B25, "前日比")</f>
        <v/>
      </c>
      <c r="K25" s="508" t="str">
        <f t="shared" si="10"/>
        <v/>
      </c>
      <c r="L25" s="509" t="str">
        <f t="shared" si="11"/>
        <v/>
      </c>
      <c r="M25" s="508" t="str">
        <f t="shared" si="12"/>
        <v/>
      </c>
      <c r="N25" s="508" t="str">
        <f t="shared" si="13"/>
        <v/>
      </c>
      <c r="O25" s="510" t="str">
        <f t="shared" si="14"/>
        <v/>
      </c>
      <c r="P25" s="508" t="str">
        <f t="array" aca="1" ref="P25" ca="1">IF(B25="","",IFERROR(MAX(OFFSET(高値!$E$6,MATCH(TEXT(B25,"0"),TEXT(銘柄管理!$B$6:$B$305,"0"),0)-1,0,1,10)),""))</f>
        <v/>
      </c>
      <c r="Q25" s="508" t="str">
        <f t="array" aca="1" ref="Q25" ca="1">IF(B25="","",IFERROR(MIN(OFFSET(安値!$E$6,MATCH(TEXT(B25,"0"),TEXT(銘柄管理!$B$6:$B$305,"0"),0)-1,0,1,10)),""))</f>
        <v/>
      </c>
      <c r="R25" s="508" t="str">
        <f t="shared" ca="1" si="15"/>
        <v/>
      </c>
      <c r="S25" s="511" t="str">
        <f t="shared" si="16"/>
        <v/>
      </c>
      <c r="T25" s="507"/>
      <c r="U25" s="507"/>
      <c r="V25" s="508" t="str">
        <f t="shared" si="17"/>
        <v/>
      </c>
      <c r="W25" s="512" t="str">
        <f t="shared" ca="1" si="18"/>
        <v/>
      </c>
      <c r="X25" s="507"/>
      <c r="Y25" s="513"/>
      <c r="Z25" s="499"/>
    </row>
    <row r="26" spans="1:27" ht="43.5" customHeight="1">
      <c r="A26" s="501" t="str">
        <f t="shared" si="9"/>
        <v/>
      </c>
      <c r="B26" s="502"/>
      <c r="C26" s="503" t="s">
        <v>1004</v>
      </c>
      <c r="D26" s="504" t="str" cm="1">
        <f t="array" ref="D26">_xll.RssMarket(B26, "銘柄名称")</f>
        <v/>
      </c>
      <c r="E26" s="505"/>
      <c r="F26" s="506"/>
      <c r="G26" s="507">
        <v>100</v>
      </c>
      <c r="H26" s="508" t="str" cm="1">
        <f t="array" ref="H26">_xll.RssMarket(B26, "出来高加重平均")</f>
        <v/>
      </c>
      <c r="I26" s="508" t="str" cm="1">
        <f t="array" ref="I26">_xll.RssMarket(B26, "出来高加重平均")</f>
        <v/>
      </c>
      <c r="J26" s="508" t="str" cm="1">
        <f t="array" ref="J26">_xll.RssMarket($B26, "前日比")</f>
        <v/>
      </c>
      <c r="K26" s="508" t="str">
        <f t="shared" si="10"/>
        <v/>
      </c>
      <c r="L26" s="509" t="str">
        <f t="shared" si="11"/>
        <v/>
      </c>
      <c r="M26" s="508" t="str">
        <f t="shared" si="12"/>
        <v/>
      </c>
      <c r="N26" s="508" t="str">
        <f t="shared" si="13"/>
        <v/>
      </c>
      <c r="O26" s="510" t="str">
        <f t="shared" si="14"/>
        <v/>
      </c>
      <c r="P26" s="508" t="str">
        <f t="array" aca="1" ref="P26" ca="1">IF(B26="","",IFERROR(MAX(OFFSET(高値!$E$6,MATCH(TEXT(B26,"0"),TEXT(銘柄管理!$B$6:$B$305,"0"),0)-1,0,1,10)),""))</f>
        <v/>
      </c>
      <c r="Q26" s="508" t="str">
        <f t="array" aca="1" ref="Q26" ca="1">IF(B26="","",IFERROR(MIN(OFFSET(安値!$E$6,MATCH(TEXT(B26,"0"),TEXT(銘柄管理!$B$6:$B$305,"0"),0)-1,0,1,10)),""))</f>
        <v/>
      </c>
      <c r="R26" s="508" t="str">
        <f t="shared" ca="1" si="15"/>
        <v/>
      </c>
      <c r="S26" s="511" t="str">
        <f t="shared" si="16"/>
        <v/>
      </c>
      <c r="T26" s="507"/>
      <c r="U26" s="507"/>
      <c r="V26" s="508" t="str">
        <f t="shared" si="17"/>
        <v/>
      </c>
      <c r="W26" s="512" t="str">
        <f t="shared" ca="1" si="18"/>
        <v/>
      </c>
      <c r="X26" s="507"/>
      <c r="Y26" s="513"/>
      <c r="Z26" s="499"/>
    </row>
    <row r="27" spans="1:27" ht="43.5" customHeight="1">
      <c r="A27" s="501" t="str">
        <f t="shared" si="9"/>
        <v/>
      </c>
      <c r="B27" s="502"/>
      <c r="C27" s="503" t="s">
        <v>1004</v>
      </c>
      <c r="D27" s="504" t="str" cm="1">
        <f t="array" ref="D27">_xll.RssMarket(B27, "銘柄名称")</f>
        <v/>
      </c>
      <c r="E27" s="505"/>
      <c r="F27" s="506"/>
      <c r="G27" s="507">
        <v>100</v>
      </c>
      <c r="H27" s="508" t="str" cm="1">
        <f t="array" ref="H27">_xll.RssMarket(B27, "出来高加重平均")</f>
        <v/>
      </c>
      <c r="I27" s="508" t="str" cm="1">
        <f t="array" ref="I27">_xll.RssMarket(B27, "出来高加重平均")</f>
        <v/>
      </c>
      <c r="J27" s="508" t="str" cm="1">
        <f t="array" ref="J27">_xll.RssMarket($B27, "前日比")</f>
        <v/>
      </c>
      <c r="K27" s="508" t="str">
        <f t="shared" si="10"/>
        <v/>
      </c>
      <c r="L27" s="509" t="str">
        <f t="shared" si="11"/>
        <v/>
      </c>
      <c r="M27" s="508" t="str">
        <f t="shared" si="12"/>
        <v/>
      </c>
      <c r="N27" s="508" t="str">
        <f t="shared" si="13"/>
        <v/>
      </c>
      <c r="O27" s="510" t="str">
        <f t="shared" si="14"/>
        <v/>
      </c>
      <c r="P27" s="508" t="str">
        <f t="array" aca="1" ref="P27" ca="1">IF(B27="","",IFERROR(MAX(OFFSET(高値!$E$6,MATCH(TEXT(B27,"0"),TEXT(銘柄管理!$B$6:$B$305,"0"),0)-1,0,1,10)),""))</f>
        <v/>
      </c>
      <c r="Q27" s="508" t="str">
        <f t="array" aca="1" ref="Q27" ca="1">IF(B27="","",IFERROR(MIN(OFFSET(安値!$E$6,MATCH(TEXT(B27,"0"),TEXT(銘柄管理!$B$6:$B$305,"0"),0)-1,0,1,10)),""))</f>
        <v/>
      </c>
      <c r="R27" s="508" t="str">
        <f t="shared" ca="1" si="15"/>
        <v/>
      </c>
      <c r="S27" s="511" t="str">
        <f t="shared" si="16"/>
        <v/>
      </c>
      <c r="T27" s="507"/>
      <c r="U27" s="507"/>
      <c r="V27" s="508" t="str">
        <f t="shared" si="17"/>
        <v/>
      </c>
      <c r="W27" s="512" t="str">
        <f t="shared" ca="1" si="18"/>
        <v/>
      </c>
      <c r="X27" s="507"/>
      <c r="Y27" s="513"/>
      <c r="Z27" s="499"/>
    </row>
    <row r="28" spans="1:27" ht="43.5" customHeight="1">
      <c r="A28" s="501" t="str">
        <f t="shared" si="9"/>
        <v/>
      </c>
      <c r="B28" s="502"/>
      <c r="C28" s="503" t="s">
        <v>1004</v>
      </c>
      <c r="D28" s="504" t="str" cm="1">
        <f t="array" ref="D28">_xll.RssMarket(B28, "銘柄名称")</f>
        <v/>
      </c>
      <c r="E28" s="505"/>
      <c r="F28" s="506"/>
      <c r="G28" s="507">
        <v>100</v>
      </c>
      <c r="H28" s="508" t="str" cm="1">
        <f t="array" ref="H28">_xll.RssMarket(B28, "出来高加重平均")</f>
        <v/>
      </c>
      <c r="I28" s="508" t="str" cm="1">
        <f t="array" ref="I28">_xll.RssMarket(B28, "出来高加重平均")</f>
        <v/>
      </c>
      <c r="J28" s="508" t="str" cm="1">
        <f t="array" ref="J28">_xll.RssMarket($B28, "前日比")</f>
        <v/>
      </c>
      <c r="K28" s="508" t="str">
        <f t="shared" si="10"/>
        <v/>
      </c>
      <c r="L28" s="509" t="str">
        <f t="shared" si="11"/>
        <v/>
      </c>
      <c r="M28" s="508" t="str">
        <f t="shared" si="12"/>
        <v/>
      </c>
      <c r="N28" s="508" t="str">
        <f t="shared" si="13"/>
        <v/>
      </c>
      <c r="O28" s="510" t="str">
        <f t="shared" si="14"/>
        <v/>
      </c>
      <c r="P28" s="508" t="str">
        <f t="array" aca="1" ref="P28" ca="1">IF(B28="","",IFERROR(MAX(OFFSET(高値!$E$6,MATCH(TEXT(B28,"0"),TEXT(銘柄管理!$B$6:$B$305,"0"),0)-1,0,1,10)),""))</f>
        <v/>
      </c>
      <c r="Q28" s="508" t="str">
        <f t="array" aca="1" ref="Q28" ca="1">IF(B28="","",IFERROR(MIN(OFFSET(安値!$E$6,MATCH(TEXT(B28,"0"),TEXT(銘柄管理!$B$6:$B$305,"0"),0)-1,0,1,10)),""))</f>
        <v/>
      </c>
      <c r="R28" s="508" t="str">
        <f t="shared" ca="1" si="15"/>
        <v/>
      </c>
      <c r="S28" s="511" t="str">
        <f t="shared" si="16"/>
        <v/>
      </c>
      <c r="T28" s="507"/>
      <c r="U28" s="507"/>
      <c r="V28" s="508" t="str">
        <f t="shared" si="17"/>
        <v/>
      </c>
      <c r="W28" s="512" t="str">
        <f t="shared" ca="1" si="18"/>
        <v/>
      </c>
      <c r="X28" s="507"/>
      <c r="Y28" s="513"/>
      <c r="Z28" s="499"/>
    </row>
    <row r="29" spans="1:27" ht="43.5" customHeight="1">
      <c r="A29" s="501" t="str">
        <f t="shared" si="9"/>
        <v/>
      </c>
      <c r="B29" s="502"/>
      <c r="C29" s="503" t="s">
        <v>1004</v>
      </c>
      <c r="D29" s="504" t="str" cm="1">
        <f t="array" ref="D29">_xll.RssMarket(B29, "銘柄名称")</f>
        <v/>
      </c>
      <c r="E29" s="505"/>
      <c r="F29" s="506"/>
      <c r="G29" s="507">
        <v>100</v>
      </c>
      <c r="H29" s="508" t="str" cm="1">
        <f t="array" ref="H29">_xll.RssMarket(B29, "出来高加重平均")</f>
        <v/>
      </c>
      <c r="I29" s="508" t="str" cm="1">
        <f t="array" ref="I29">_xll.RssMarket(B29, "出来高加重平均")</f>
        <v/>
      </c>
      <c r="J29" s="508" t="str" cm="1">
        <f t="array" ref="J29">_xll.RssMarket($B29, "前日比")</f>
        <v/>
      </c>
      <c r="K29" s="508" t="str">
        <f t="shared" si="10"/>
        <v/>
      </c>
      <c r="L29" s="509" t="str">
        <f t="shared" si="11"/>
        <v/>
      </c>
      <c r="M29" s="508" t="str">
        <f t="shared" si="12"/>
        <v/>
      </c>
      <c r="N29" s="508" t="str">
        <f t="shared" si="13"/>
        <v/>
      </c>
      <c r="O29" s="510" t="str">
        <f t="shared" si="14"/>
        <v/>
      </c>
      <c r="P29" s="508" t="str">
        <f t="array" aca="1" ref="P29" ca="1">IF(B29="","",IFERROR(MAX(OFFSET(高値!$E$6,MATCH(TEXT(B29,"0"),TEXT(銘柄管理!$B$6:$B$305,"0"),0)-1,0,1,10)),""))</f>
        <v/>
      </c>
      <c r="Q29" s="508" t="str">
        <f t="array" aca="1" ref="Q29" ca="1">IF(B29="","",IFERROR(MIN(OFFSET(安値!$E$6,MATCH(TEXT(B29,"0"),TEXT(銘柄管理!$B$6:$B$305,"0"),0)-1,0,1,10)),""))</f>
        <v/>
      </c>
      <c r="R29" s="508" t="str">
        <f t="shared" ca="1" si="15"/>
        <v/>
      </c>
      <c r="S29" s="511" t="str">
        <f t="shared" si="16"/>
        <v/>
      </c>
      <c r="T29" s="507"/>
      <c r="U29" s="507"/>
      <c r="V29" s="508" t="str">
        <f t="shared" si="17"/>
        <v/>
      </c>
      <c r="W29" s="512" t="str">
        <f t="shared" ca="1" si="18"/>
        <v/>
      </c>
      <c r="X29" s="507"/>
      <c r="Y29" s="513"/>
      <c r="Z29" s="499"/>
    </row>
    <row r="30" spans="1:27" ht="43.5" customHeight="1">
      <c r="A30" s="501" t="str">
        <f t="shared" si="9"/>
        <v/>
      </c>
      <c r="B30" s="502"/>
      <c r="C30" s="503" t="s">
        <v>1004</v>
      </c>
      <c r="D30" s="504" t="str" cm="1">
        <f t="array" ref="D30">_xll.RssMarket(B30, "銘柄名称")</f>
        <v/>
      </c>
      <c r="E30" s="505"/>
      <c r="F30" s="506"/>
      <c r="G30" s="507">
        <v>100</v>
      </c>
      <c r="H30" s="508" t="str" cm="1">
        <f t="array" ref="H30">_xll.RssMarket(B30, "出来高加重平均")</f>
        <v/>
      </c>
      <c r="I30" s="508" t="str" cm="1">
        <f t="array" ref="I30">_xll.RssMarket(B30, "出来高加重平均")</f>
        <v/>
      </c>
      <c r="J30" s="508" t="str" cm="1">
        <f t="array" ref="J30">_xll.RssMarket($B30, "前日比")</f>
        <v/>
      </c>
      <c r="K30" s="508" t="str">
        <f t="shared" si="10"/>
        <v/>
      </c>
      <c r="L30" s="509" t="str">
        <f t="shared" si="11"/>
        <v/>
      </c>
      <c r="M30" s="508" t="str">
        <f t="shared" si="12"/>
        <v/>
      </c>
      <c r="N30" s="508" t="str">
        <f t="shared" si="13"/>
        <v/>
      </c>
      <c r="O30" s="510" t="str">
        <f t="shared" si="14"/>
        <v/>
      </c>
      <c r="P30" s="508" t="str">
        <f t="array" aca="1" ref="P30" ca="1">IF(B30="","",IFERROR(MAX(OFFSET(高値!$E$6,MATCH(TEXT(B30,"0"),TEXT(銘柄管理!$B$6:$B$305,"0"),0)-1,0,1,10)),""))</f>
        <v/>
      </c>
      <c r="Q30" s="508" t="str">
        <f t="array" aca="1" ref="Q30" ca="1">IF(B30="","",IFERROR(MIN(OFFSET(安値!$E$6,MATCH(TEXT(B30,"0"),TEXT(銘柄管理!$B$6:$B$305,"0"),0)-1,0,1,10)),""))</f>
        <v/>
      </c>
      <c r="R30" s="508" t="str">
        <f t="shared" ca="1" si="15"/>
        <v/>
      </c>
      <c r="S30" s="511" t="str">
        <f t="shared" si="16"/>
        <v/>
      </c>
      <c r="T30" s="507"/>
      <c r="U30" s="507"/>
      <c r="V30" s="508" t="str">
        <f t="shared" si="17"/>
        <v/>
      </c>
      <c r="W30" s="512" t="str">
        <f t="shared" ca="1" si="18"/>
        <v/>
      </c>
      <c r="X30" s="507"/>
      <c r="Y30" s="513"/>
      <c r="Z30" s="499"/>
    </row>
    <row r="31" spans="1:27" ht="43.5" customHeight="1">
      <c r="A31" s="501" t="str">
        <f t="shared" si="9"/>
        <v/>
      </c>
      <c r="B31" s="502"/>
      <c r="C31" s="503" t="s">
        <v>1004</v>
      </c>
      <c r="D31" s="504" t="str" cm="1">
        <f t="array" ref="D31">_xll.RssMarket(B31, "銘柄名称")</f>
        <v/>
      </c>
      <c r="E31" s="505"/>
      <c r="F31" s="506"/>
      <c r="G31" s="507">
        <v>100</v>
      </c>
      <c r="H31" s="508" t="str" cm="1">
        <f t="array" ref="H31">_xll.RssMarket(B31, "出来高加重平均")</f>
        <v/>
      </c>
      <c r="I31" s="508" t="str" cm="1">
        <f t="array" ref="I31">_xll.RssMarket(B31, "出来高加重平均")</f>
        <v/>
      </c>
      <c r="J31" s="508" t="str" cm="1">
        <f t="array" ref="J31">_xll.RssMarket($B31, "前日比")</f>
        <v/>
      </c>
      <c r="K31" s="508" t="str">
        <f t="shared" si="10"/>
        <v/>
      </c>
      <c r="L31" s="509" t="str">
        <f t="shared" si="11"/>
        <v/>
      </c>
      <c r="M31" s="508" t="str">
        <f t="shared" si="12"/>
        <v/>
      </c>
      <c r="N31" s="508" t="str">
        <f t="shared" si="13"/>
        <v/>
      </c>
      <c r="O31" s="510" t="str">
        <f t="shared" si="14"/>
        <v/>
      </c>
      <c r="P31" s="508" t="str">
        <f t="array" aca="1" ref="P31" ca="1">IF(B31="","",IFERROR(MAX(OFFSET(高値!$E$6,MATCH(TEXT(B31,"0"),TEXT(銘柄管理!$B$6:$B$305,"0"),0)-1,0,1,10)),""))</f>
        <v/>
      </c>
      <c r="Q31" s="508" t="str">
        <f t="array" aca="1" ref="Q31" ca="1">IF(B31="","",IFERROR(MIN(OFFSET(安値!$E$6,MATCH(TEXT(B31,"0"),TEXT(銘柄管理!$B$6:$B$305,"0"),0)-1,0,1,10)),""))</f>
        <v/>
      </c>
      <c r="R31" s="508" t="str">
        <f t="shared" ca="1" si="15"/>
        <v/>
      </c>
      <c r="S31" s="511" t="str">
        <f t="shared" si="16"/>
        <v/>
      </c>
      <c r="T31" s="507"/>
      <c r="U31" s="507"/>
      <c r="V31" s="508" t="str">
        <f t="shared" si="17"/>
        <v/>
      </c>
      <c r="W31" s="512" t="str">
        <f t="shared" ca="1" si="18"/>
        <v/>
      </c>
      <c r="X31" s="507"/>
      <c r="Y31" s="513"/>
      <c r="Z31" s="499"/>
    </row>
    <row r="32" spans="1:27" ht="43.5" customHeight="1">
      <c r="A32" s="501" t="str">
        <f t="shared" si="9"/>
        <v/>
      </c>
      <c r="B32" s="502"/>
      <c r="C32" s="503" t="s">
        <v>1004</v>
      </c>
      <c r="D32" s="504" t="str" cm="1">
        <f t="array" ref="D32">_xll.RssMarket(B32, "銘柄名称")</f>
        <v/>
      </c>
      <c r="E32" s="505"/>
      <c r="F32" s="506"/>
      <c r="G32" s="507">
        <v>100</v>
      </c>
      <c r="H32" s="508" t="str" cm="1">
        <f t="array" ref="H32">_xll.RssMarket(B32, "出来高加重平均")</f>
        <v/>
      </c>
      <c r="I32" s="508" t="str" cm="1">
        <f t="array" ref="I32">_xll.RssMarket(B32, "出来高加重平均")</f>
        <v/>
      </c>
      <c r="J32" s="508" t="str" cm="1">
        <f t="array" ref="J32">_xll.RssMarket($B32, "前日比")</f>
        <v/>
      </c>
      <c r="K32" s="508" t="str">
        <f t="shared" si="10"/>
        <v/>
      </c>
      <c r="L32" s="509" t="str">
        <f t="shared" si="11"/>
        <v/>
      </c>
      <c r="M32" s="508" t="str">
        <f t="shared" si="12"/>
        <v/>
      </c>
      <c r="N32" s="508" t="str">
        <f t="shared" si="13"/>
        <v/>
      </c>
      <c r="O32" s="510" t="str">
        <f t="shared" si="14"/>
        <v/>
      </c>
      <c r="P32" s="508" t="str">
        <f t="array" aca="1" ref="P32" ca="1">IF(B32="","",IFERROR(MAX(OFFSET(高値!$E$6,MATCH(TEXT(B32,"0"),TEXT(銘柄管理!$B$6:$B$305,"0"),0)-1,0,1,10)),""))</f>
        <v/>
      </c>
      <c r="Q32" s="508" t="str">
        <f t="array" aca="1" ref="Q32" ca="1">IF(B32="","",IFERROR(MIN(OFFSET(安値!$E$6,MATCH(TEXT(B32,"0"),TEXT(銘柄管理!$B$6:$B$305,"0"),0)-1,0,1,10)),""))</f>
        <v/>
      </c>
      <c r="R32" s="508" t="str">
        <f t="shared" ca="1" si="15"/>
        <v/>
      </c>
      <c r="S32" s="511" t="str">
        <f t="shared" si="16"/>
        <v/>
      </c>
      <c r="T32" s="507"/>
      <c r="U32" s="507"/>
      <c r="V32" s="508" t="str">
        <f t="shared" si="17"/>
        <v/>
      </c>
      <c r="W32" s="512" t="str">
        <f t="shared" ca="1" si="18"/>
        <v/>
      </c>
      <c r="X32" s="507"/>
      <c r="Y32" s="513"/>
      <c r="Z32" s="499"/>
    </row>
    <row r="33" spans="1:26" ht="43.5" customHeight="1">
      <c r="A33" s="501" t="str">
        <f t="shared" si="9"/>
        <v/>
      </c>
      <c r="B33" s="502"/>
      <c r="C33" s="503" t="s">
        <v>1004</v>
      </c>
      <c r="D33" s="504" t="str" cm="1">
        <f t="array" ref="D33">_xll.RssMarket(B33, "銘柄名称")</f>
        <v/>
      </c>
      <c r="E33" s="505"/>
      <c r="F33" s="506"/>
      <c r="G33" s="507">
        <v>100</v>
      </c>
      <c r="H33" s="508" t="str" cm="1">
        <f t="array" ref="H33">_xll.RssMarket(B33, "出来高加重平均")</f>
        <v/>
      </c>
      <c r="I33" s="508" t="str" cm="1">
        <f t="array" ref="I33">_xll.RssMarket(B33, "出来高加重平均")</f>
        <v/>
      </c>
      <c r="J33" s="508" t="str" cm="1">
        <f t="array" ref="J33">_xll.RssMarket($B33, "前日比")</f>
        <v/>
      </c>
      <c r="K33" s="508" t="str">
        <f t="shared" si="10"/>
        <v/>
      </c>
      <c r="L33" s="509" t="str">
        <f t="shared" si="11"/>
        <v/>
      </c>
      <c r="M33" s="508" t="str">
        <f t="shared" si="12"/>
        <v/>
      </c>
      <c r="N33" s="508" t="str">
        <f t="shared" si="13"/>
        <v/>
      </c>
      <c r="O33" s="510" t="str">
        <f t="shared" si="14"/>
        <v/>
      </c>
      <c r="P33" s="508" t="str">
        <f t="array" aca="1" ref="P33" ca="1">IF(B33="","",IFERROR(MAX(OFFSET(高値!$E$6,MATCH(TEXT(B33,"0"),TEXT(銘柄管理!$B$6:$B$305,"0"),0)-1,0,1,10)),""))</f>
        <v/>
      </c>
      <c r="Q33" s="508" t="str">
        <f t="array" aca="1" ref="Q33" ca="1">IF(B33="","",IFERROR(MIN(OFFSET(安値!$E$6,MATCH(TEXT(B33,"0"),TEXT(銘柄管理!$B$6:$B$305,"0"),0)-1,0,1,10)),""))</f>
        <v/>
      </c>
      <c r="R33" s="508" t="str">
        <f t="shared" ca="1" si="15"/>
        <v/>
      </c>
      <c r="S33" s="511" t="str">
        <f t="shared" si="16"/>
        <v/>
      </c>
      <c r="T33" s="507"/>
      <c r="U33" s="507"/>
      <c r="V33" s="508" t="str">
        <f t="shared" si="17"/>
        <v/>
      </c>
      <c r="W33" s="512" t="str">
        <f t="shared" ca="1" si="18"/>
        <v/>
      </c>
      <c r="X33" s="507"/>
      <c r="Y33" s="513"/>
      <c r="Z33" s="499"/>
    </row>
    <row r="34" spans="1:26" ht="43.5" customHeight="1">
      <c r="A34" s="501" t="str">
        <f t="shared" si="9"/>
        <v/>
      </c>
      <c r="B34" s="502"/>
      <c r="C34" s="503" t="s">
        <v>1004</v>
      </c>
      <c r="D34" s="504" t="str" cm="1">
        <f t="array" ref="D34">_xll.RssMarket(B34, "銘柄名称")</f>
        <v/>
      </c>
      <c r="E34" s="505"/>
      <c r="F34" s="506"/>
      <c r="G34" s="507">
        <v>100</v>
      </c>
      <c r="H34" s="508" t="str" cm="1">
        <f t="array" ref="H34">_xll.RssMarket(B34, "出来高加重平均")</f>
        <v/>
      </c>
      <c r="I34" s="508" t="str" cm="1">
        <f t="array" ref="I34">_xll.RssMarket(B34, "出来高加重平均")</f>
        <v/>
      </c>
      <c r="J34" s="508" t="str" cm="1">
        <f t="array" ref="J34">_xll.RssMarket($B34, "前日比")</f>
        <v/>
      </c>
      <c r="K34" s="508" t="str">
        <f t="shared" si="10"/>
        <v/>
      </c>
      <c r="L34" s="509" t="str">
        <f t="shared" si="11"/>
        <v/>
      </c>
      <c r="M34" s="508" t="str">
        <f t="shared" si="12"/>
        <v/>
      </c>
      <c r="N34" s="508" t="str">
        <f t="shared" si="13"/>
        <v/>
      </c>
      <c r="O34" s="510" t="str">
        <f t="shared" si="14"/>
        <v/>
      </c>
      <c r="P34" s="508" t="str">
        <f t="array" aca="1" ref="P34" ca="1">IF(B34="","",IFERROR(MAX(OFFSET(高値!$E$6,MATCH(TEXT(B34,"0"),TEXT(銘柄管理!$B$6:$B$305,"0"),0)-1,0,1,10)),""))</f>
        <v/>
      </c>
      <c r="Q34" s="508" t="str">
        <f t="array" aca="1" ref="Q34" ca="1">IF(B34="","",IFERROR(MIN(OFFSET(安値!$E$6,MATCH(TEXT(B34,"0"),TEXT(銘柄管理!$B$6:$B$305,"0"),0)-1,0,1,10)),""))</f>
        <v/>
      </c>
      <c r="R34" s="508" t="str">
        <f t="shared" ca="1" si="15"/>
        <v/>
      </c>
      <c r="S34" s="511" t="str">
        <f t="shared" si="16"/>
        <v/>
      </c>
      <c r="T34" s="507"/>
      <c r="U34" s="507"/>
      <c r="V34" s="508" t="str">
        <f t="shared" si="17"/>
        <v/>
      </c>
      <c r="W34" s="512" t="str">
        <f t="shared" ca="1" si="18"/>
        <v/>
      </c>
      <c r="X34" s="507"/>
      <c r="Y34" s="513"/>
      <c r="Z34" s="499"/>
    </row>
    <row r="35" spans="1:26" ht="43.5" customHeight="1">
      <c r="A35" s="501" t="str">
        <f t="shared" si="9"/>
        <v/>
      </c>
      <c r="B35" s="502"/>
      <c r="C35" s="503" t="s">
        <v>1004</v>
      </c>
      <c r="D35" s="504" t="str" cm="1">
        <f t="array" ref="D35">_xll.RssMarket(B35, "銘柄名称")</f>
        <v/>
      </c>
      <c r="E35" s="505"/>
      <c r="F35" s="506"/>
      <c r="G35" s="507">
        <v>100</v>
      </c>
      <c r="H35" s="508" t="str" cm="1">
        <f t="array" ref="H35">_xll.RssMarket(B35, "出来高加重平均")</f>
        <v/>
      </c>
      <c r="I35" s="508" t="str" cm="1">
        <f t="array" ref="I35">_xll.RssMarket(B35, "出来高加重平均")</f>
        <v/>
      </c>
      <c r="J35" s="508" t="str" cm="1">
        <f t="array" ref="J35">_xll.RssMarket($B35, "前日比")</f>
        <v/>
      </c>
      <c r="K35" s="508" t="str">
        <f t="shared" si="10"/>
        <v/>
      </c>
      <c r="L35" s="509" t="str">
        <f t="shared" si="11"/>
        <v/>
      </c>
      <c r="M35" s="508" t="str">
        <f t="shared" si="12"/>
        <v/>
      </c>
      <c r="N35" s="508" t="str">
        <f t="shared" si="13"/>
        <v/>
      </c>
      <c r="O35" s="510" t="str">
        <f t="shared" si="14"/>
        <v/>
      </c>
      <c r="P35" s="508" t="str">
        <f t="array" aca="1" ref="P35" ca="1">IF(B35="","",IFERROR(MAX(OFFSET(高値!$E$6,MATCH(TEXT(B35,"0"),TEXT(銘柄管理!$B$6:$B$305,"0"),0)-1,0,1,10)),""))</f>
        <v/>
      </c>
      <c r="Q35" s="508" t="str">
        <f t="array" aca="1" ref="Q35" ca="1">IF(B35="","",IFERROR(MIN(OFFSET(安値!$E$6,MATCH(TEXT(B35,"0"),TEXT(銘柄管理!$B$6:$B$305,"0"),0)-1,0,1,10)),""))</f>
        <v/>
      </c>
      <c r="R35" s="508" t="str">
        <f t="shared" ca="1" si="15"/>
        <v/>
      </c>
      <c r="S35" s="511" t="str">
        <f t="shared" si="16"/>
        <v/>
      </c>
      <c r="T35" s="507"/>
      <c r="U35" s="507"/>
      <c r="V35" s="508" t="str">
        <f t="shared" si="17"/>
        <v/>
      </c>
      <c r="W35" s="512" t="str">
        <f t="shared" ca="1" si="18"/>
        <v/>
      </c>
      <c r="X35" s="507"/>
      <c r="Y35" s="513"/>
      <c r="Z35" s="499"/>
    </row>
    <row r="36" spans="1:26" ht="43.5" customHeight="1">
      <c r="A36" s="501" t="str">
        <f t="shared" si="9"/>
        <v/>
      </c>
      <c r="B36" s="502"/>
      <c r="C36" s="503" t="s">
        <v>1004</v>
      </c>
      <c r="D36" s="504" t="str" cm="1">
        <f t="array" ref="D36">_xll.RssMarket(B36, "銘柄名称")</f>
        <v/>
      </c>
      <c r="E36" s="505"/>
      <c r="F36" s="506"/>
      <c r="G36" s="507">
        <v>100</v>
      </c>
      <c r="H36" s="508" t="str" cm="1">
        <f t="array" ref="H36">_xll.RssMarket(B36, "出来高加重平均")</f>
        <v/>
      </c>
      <c r="I36" s="508" t="str" cm="1">
        <f t="array" ref="I36">_xll.RssMarket(B36, "出来高加重平均")</f>
        <v/>
      </c>
      <c r="J36" s="508" t="str" cm="1">
        <f t="array" ref="J36">_xll.RssMarket($B36, "前日比")</f>
        <v/>
      </c>
      <c r="K36" s="508" t="str">
        <f t="shared" si="10"/>
        <v/>
      </c>
      <c r="L36" s="509" t="str">
        <f t="shared" si="11"/>
        <v/>
      </c>
      <c r="M36" s="508" t="str">
        <f t="shared" si="12"/>
        <v/>
      </c>
      <c r="N36" s="508" t="str">
        <f t="shared" si="13"/>
        <v/>
      </c>
      <c r="O36" s="510" t="str">
        <f t="shared" si="14"/>
        <v/>
      </c>
      <c r="P36" s="508" t="str">
        <f t="array" aca="1" ref="P36" ca="1">IF(B36="","",IFERROR(MAX(OFFSET(高値!$E$6,MATCH(TEXT(B36,"0"),TEXT(銘柄管理!$B$6:$B$305,"0"),0)-1,0,1,10)),""))</f>
        <v/>
      </c>
      <c r="Q36" s="508" t="str">
        <f t="array" aca="1" ref="Q36" ca="1">IF(B36="","",IFERROR(MIN(OFFSET(安値!$E$6,MATCH(TEXT(B36,"0"),TEXT(銘柄管理!$B$6:$B$305,"0"),0)-1,0,1,10)),""))</f>
        <v/>
      </c>
      <c r="R36" s="508" t="str">
        <f t="shared" ca="1" si="15"/>
        <v/>
      </c>
      <c r="S36" s="511" t="str">
        <f t="shared" si="16"/>
        <v/>
      </c>
      <c r="T36" s="507"/>
      <c r="U36" s="507"/>
      <c r="V36" s="508" t="str">
        <f t="shared" si="17"/>
        <v/>
      </c>
      <c r="W36" s="512" t="str">
        <f t="shared" ca="1" si="18"/>
        <v/>
      </c>
      <c r="X36" s="507"/>
      <c r="Y36" s="513"/>
      <c r="Z36" s="499"/>
    </row>
    <row r="37" spans="1:26" ht="43.5" customHeight="1">
      <c r="A37" s="501" t="str">
        <f t="shared" si="9"/>
        <v/>
      </c>
      <c r="B37" s="502"/>
      <c r="C37" s="503" t="s">
        <v>1004</v>
      </c>
      <c r="D37" s="504" t="str" cm="1">
        <f t="array" ref="D37">_xll.RssMarket(B37, "銘柄名称")</f>
        <v/>
      </c>
      <c r="E37" s="505"/>
      <c r="F37" s="506"/>
      <c r="G37" s="507">
        <v>100</v>
      </c>
      <c r="H37" s="508" t="str" cm="1">
        <f t="array" ref="H37">_xll.RssMarket(B37, "出来高加重平均")</f>
        <v/>
      </c>
      <c r="I37" s="508" t="str" cm="1">
        <f t="array" ref="I37">_xll.RssMarket(B37, "出来高加重平均")</f>
        <v/>
      </c>
      <c r="J37" s="508" t="str" cm="1">
        <f t="array" ref="J37">_xll.RssMarket($B37, "前日比")</f>
        <v/>
      </c>
      <c r="K37" s="508" t="str">
        <f t="shared" si="10"/>
        <v/>
      </c>
      <c r="L37" s="509" t="str">
        <f t="shared" si="11"/>
        <v/>
      </c>
      <c r="M37" s="508" t="str">
        <f t="shared" si="12"/>
        <v/>
      </c>
      <c r="N37" s="508" t="str">
        <f t="shared" si="13"/>
        <v/>
      </c>
      <c r="O37" s="510" t="str">
        <f t="shared" si="14"/>
        <v/>
      </c>
      <c r="P37" s="508" t="str">
        <f t="array" aca="1" ref="P37" ca="1">IF(B37="","",IFERROR(MAX(OFFSET(高値!$E$6,MATCH(TEXT(B37,"0"),TEXT(銘柄管理!$B$6:$B$305,"0"),0)-1,0,1,10)),""))</f>
        <v/>
      </c>
      <c r="Q37" s="508" t="str">
        <f t="array" aca="1" ref="Q37" ca="1">IF(B37="","",IFERROR(MIN(OFFSET(安値!$E$6,MATCH(TEXT(B37,"0"),TEXT(銘柄管理!$B$6:$B$305,"0"),0)-1,0,1,10)),""))</f>
        <v/>
      </c>
      <c r="R37" s="508" t="str">
        <f t="shared" ca="1" si="15"/>
        <v/>
      </c>
      <c r="S37" s="511" t="str">
        <f t="shared" si="16"/>
        <v/>
      </c>
      <c r="T37" s="507"/>
      <c r="U37" s="507"/>
      <c r="V37" s="508" t="str">
        <f t="shared" si="17"/>
        <v/>
      </c>
      <c r="W37" s="512" t="str">
        <f t="shared" ca="1" si="18"/>
        <v/>
      </c>
      <c r="X37" s="507"/>
      <c r="Y37" s="513"/>
      <c r="Z37" s="499"/>
    </row>
    <row r="38" spans="1:26" ht="43.5" customHeight="1">
      <c r="A38" s="501" t="str">
        <f t="shared" si="9"/>
        <v/>
      </c>
      <c r="B38" s="502"/>
      <c r="C38" s="503" t="s">
        <v>1004</v>
      </c>
      <c r="D38" s="504" t="str" cm="1">
        <f t="array" ref="D38">_xll.RssMarket(B38, "銘柄名称")</f>
        <v/>
      </c>
      <c r="E38" s="505"/>
      <c r="F38" s="506"/>
      <c r="G38" s="507">
        <v>100</v>
      </c>
      <c r="H38" s="508" t="str" cm="1">
        <f t="array" ref="H38">_xll.RssMarket(B38, "出来高加重平均")</f>
        <v/>
      </c>
      <c r="I38" s="508" t="str" cm="1">
        <f t="array" ref="I38">_xll.RssMarket(B38, "出来高加重平均")</f>
        <v/>
      </c>
      <c r="J38" s="508" t="str" cm="1">
        <f t="array" ref="J38">_xll.RssMarket($B38, "前日比")</f>
        <v/>
      </c>
      <c r="K38" s="508" t="str">
        <f t="shared" si="10"/>
        <v/>
      </c>
      <c r="L38" s="509" t="str">
        <f t="shared" si="11"/>
        <v/>
      </c>
      <c r="M38" s="508" t="str">
        <f t="shared" si="12"/>
        <v/>
      </c>
      <c r="N38" s="508" t="str">
        <f t="shared" si="13"/>
        <v/>
      </c>
      <c r="O38" s="510" t="str">
        <f t="shared" si="14"/>
        <v/>
      </c>
      <c r="P38" s="508" t="str">
        <f t="array" aca="1" ref="P38" ca="1">IF(B38="","",IFERROR(MAX(OFFSET(高値!$E$6,MATCH(TEXT(B38,"0"),TEXT(銘柄管理!$B$6:$B$305,"0"),0)-1,0,1,10)),""))</f>
        <v/>
      </c>
      <c r="Q38" s="508" t="str">
        <f t="array" aca="1" ref="Q38" ca="1">IF(B38="","",IFERROR(MIN(OFFSET(安値!$E$6,MATCH(TEXT(B38,"0"),TEXT(銘柄管理!$B$6:$B$305,"0"),0)-1,0,1,10)),""))</f>
        <v/>
      </c>
      <c r="R38" s="508" t="str">
        <f t="shared" ca="1" si="15"/>
        <v/>
      </c>
      <c r="S38" s="511" t="str">
        <f t="shared" si="16"/>
        <v/>
      </c>
      <c r="T38" s="507"/>
      <c r="U38" s="507"/>
      <c r="V38" s="508" t="str">
        <f t="shared" si="17"/>
        <v/>
      </c>
      <c r="W38" s="512" t="str">
        <f t="shared" ca="1" si="18"/>
        <v/>
      </c>
      <c r="X38" s="507"/>
      <c r="Y38" s="513"/>
      <c r="Z38" s="499"/>
    </row>
    <row r="39" spans="1:26" ht="43.5" customHeight="1">
      <c r="A39" s="501" t="str">
        <f t="shared" si="9"/>
        <v/>
      </c>
      <c r="B39" s="502"/>
      <c r="C39" s="503" t="s">
        <v>1004</v>
      </c>
      <c r="D39" s="504" t="str" cm="1">
        <f t="array" ref="D39">_xll.RssMarket(B39, "銘柄名称")</f>
        <v/>
      </c>
      <c r="E39" s="505"/>
      <c r="F39" s="506"/>
      <c r="G39" s="507">
        <v>100</v>
      </c>
      <c r="H39" s="508" t="str" cm="1">
        <f t="array" ref="H39">_xll.RssMarket(B39, "出来高加重平均")</f>
        <v/>
      </c>
      <c r="I39" s="508" t="str" cm="1">
        <f t="array" ref="I39">_xll.RssMarket(B39, "出来高加重平均")</f>
        <v/>
      </c>
      <c r="J39" s="508" t="str" cm="1">
        <f t="array" ref="J39">_xll.RssMarket($B39, "前日比")</f>
        <v/>
      </c>
      <c r="K39" s="508" t="str">
        <f t="shared" si="10"/>
        <v/>
      </c>
      <c r="L39" s="509" t="str">
        <f t="shared" si="11"/>
        <v/>
      </c>
      <c r="M39" s="508" t="str">
        <f t="shared" si="12"/>
        <v/>
      </c>
      <c r="N39" s="508" t="str">
        <f t="shared" si="13"/>
        <v/>
      </c>
      <c r="O39" s="510" t="str">
        <f t="shared" si="14"/>
        <v/>
      </c>
      <c r="P39" s="508" t="str">
        <f t="array" aca="1" ref="P39" ca="1">IF(B39="","",IFERROR(MAX(OFFSET(高値!$E$6,MATCH(TEXT(B39,"0"),TEXT(銘柄管理!$B$6:$B$305,"0"),0)-1,0,1,10)),""))</f>
        <v/>
      </c>
      <c r="Q39" s="508" t="str">
        <f t="array" aca="1" ref="Q39" ca="1">IF(B39="","",IFERROR(MIN(OFFSET(安値!$E$6,MATCH(TEXT(B39,"0"),TEXT(銘柄管理!$B$6:$B$305,"0"),0)-1,0,1,10)),""))</f>
        <v/>
      </c>
      <c r="R39" s="508" t="str">
        <f t="shared" ca="1" si="15"/>
        <v/>
      </c>
      <c r="S39" s="511" t="str">
        <f t="shared" si="16"/>
        <v/>
      </c>
      <c r="T39" s="507"/>
      <c r="U39" s="507"/>
      <c r="V39" s="508" t="str">
        <f t="shared" si="17"/>
        <v/>
      </c>
      <c r="W39" s="512" t="str">
        <f t="shared" ca="1" si="18"/>
        <v/>
      </c>
      <c r="X39" s="507"/>
      <c r="Y39" s="513"/>
      <c r="Z39" s="499"/>
    </row>
    <row r="40" spans="1:26" ht="43.5" customHeight="1">
      <c r="A40" s="501" t="str">
        <f t="shared" si="9"/>
        <v/>
      </c>
      <c r="B40" s="502"/>
      <c r="C40" s="503" t="s">
        <v>1004</v>
      </c>
      <c r="D40" s="504" t="str" cm="1">
        <f t="array" ref="D40">_xll.RssMarket(B40, "銘柄名称")</f>
        <v/>
      </c>
      <c r="E40" s="505"/>
      <c r="F40" s="506"/>
      <c r="G40" s="507">
        <v>100</v>
      </c>
      <c r="H40" s="508" t="str" cm="1">
        <f t="array" ref="H40">_xll.RssMarket(B40, "出来高加重平均")</f>
        <v/>
      </c>
      <c r="I40" s="508" t="str" cm="1">
        <f t="array" ref="I40">_xll.RssMarket(B40, "出来高加重平均")</f>
        <v/>
      </c>
      <c r="J40" s="508" t="str" cm="1">
        <f t="array" ref="J40">_xll.RssMarket($B40, "前日比")</f>
        <v/>
      </c>
      <c r="K40" s="508" t="str">
        <f t="shared" si="10"/>
        <v/>
      </c>
      <c r="L40" s="509" t="str">
        <f t="shared" si="11"/>
        <v/>
      </c>
      <c r="M40" s="508" t="str">
        <f t="shared" si="12"/>
        <v/>
      </c>
      <c r="N40" s="508" t="str">
        <f t="shared" si="13"/>
        <v/>
      </c>
      <c r="O40" s="510" t="str">
        <f t="shared" si="14"/>
        <v/>
      </c>
      <c r="P40" s="508" t="str">
        <f t="array" aca="1" ref="P40" ca="1">IF(B40="","",IFERROR(MAX(OFFSET(高値!$E$6,MATCH(TEXT(B40,"0"),TEXT(銘柄管理!$B$6:$B$305,"0"),0)-1,0,1,10)),""))</f>
        <v/>
      </c>
      <c r="Q40" s="508" t="str">
        <f t="array" aca="1" ref="Q40" ca="1">IF(B40="","",IFERROR(MIN(OFFSET(安値!$E$6,MATCH(TEXT(B40,"0"),TEXT(銘柄管理!$B$6:$B$305,"0"),0)-1,0,1,10)),""))</f>
        <v/>
      </c>
      <c r="R40" s="508" t="str">
        <f t="shared" ca="1" si="15"/>
        <v/>
      </c>
      <c r="S40" s="511" t="str">
        <f t="shared" si="16"/>
        <v/>
      </c>
      <c r="T40" s="507"/>
      <c r="U40" s="507"/>
      <c r="V40" s="508" t="str">
        <f t="shared" si="17"/>
        <v/>
      </c>
      <c r="W40" s="512" t="str">
        <f t="shared" ca="1" si="18"/>
        <v/>
      </c>
      <c r="X40" s="507"/>
      <c r="Y40" s="513"/>
      <c r="Z40" s="499"/>
    </row>
    <row r="41" spans="1:26" ht="43.5" customHeight="1">
      <c r="A41" s="501" t="str">
        <f t="shared" si="9"/>
        <v/>
      </c>
      <c r="B41" s="502"/>
      <c r="C41" s="503" t="s">
        <v>1004</v>
      </c>
      <c r="D41" s="504" t="str" cm="1">
        <f t="array" ref="D41">_xll.RssMarket(B41, "銘柄名称")</f>
        <v/>
      </c>
      <c r="E41" s="505"/>
      <c r="F41" s="506"/>
      <c r="G41" s="507">
        <v>100</v>
      </c>
      <c r="H41" s="508" t="str" cm="1">
        <f t="array" ref="H41">_xll.RssMarket(B41, "出来高加重平均")</f>
        <v/>
      </c>
      <c r="I41" s="508" t="str" cm="1">
        <f t="array" ref="I41">_xll.RssMarket(B41, "出来高加重平均")</f>
        <v/>
      </c>
      <c r="J41" s="508" t="str" cm="1">
        <f t="array" ref="J41">_xll.RssMarket($B41, "前日比")</f>
        <v/>
      </c>
      <c r="K41" s="508" t="str">
        <f t="shared" si="10"/>
        <v/>
      </c>
      <c r="L41" s="509" t="str">
        <f t="shared" si="11"/>
        <v/>
      </c>
      <c r="M41" s="508" t="str">
        <f t="shared" si="12"/>
        <v/>
      </c>
      <c r="N41" s="508" t="str">
        <f t="shared" si="13"/>
        <v/>
      </c>
      <c r="O41" s="510" t="str">
        <f t="shared" si="14"/>
        <v/>
      </c>
      <c r="P41" s="508" t="str">
        <f t="array" aca="1" ref="P41" ca="1">IF(B41="","",IFERROR(MAX(OFFSET(高値!$E$6,MATCH(TEXT(B41,"0"),TEXT(銘柄管理!$B$6:$B$305,"0"),0)-1,0,1,10)),""))</f>
        <v/>
      </c>
      <c r="Q41" s="508" t="str">
        <f t="array" aca="1" ref="Q41" ca="1">IF(B41="","",IFERROR(MIN(OFFSET(安値!$E$6,MATCH(TEXT(B41,"0"),TEXT(銘柄管理!$B$6:$B$305,"0"),0)-1,0,1,10)),""))</f>
        <v/>
      </c>
      <c r="R41" s="508" t="str">
        <f t="shared" ca="1" si="15"/>
        <v/>
      </c>
      <c r="S41" s="511" t="str">
        <f t="shared" si="16"/>
        <v/>
      </c>
      <c r="T41" s="507"/>
      <c r="U41" s="507"/>
      <c r="V41" s="508" t="str">
        <f t="shared" si="17"/>
        <v/>
      </c>
      <c r="W41" s="512" t="str">
        <f t="shared" ca="1" si="18"/>
        <v/>
      </c>
      <c r="X41" s="507"/>
      <c r="Y41" s="513"/>
      <c r="Z41" s="499"/>
    </row>
    <row r="42" spans="1:26" ht="43.5" customHeight="1">
      <c r="A42" s="501" t="str">
        <f t="shared" si="9"/>
        <v/>
      </c>
      <c r="B42" s="502"/>
      <c r="C42" s="503" t="s">
        <v>1004</v>
      </c>
      <c r="D42" s="504" t="str" cm="1">
        <f t="array" ref="D42">_xll.RssMarket(B42, "銘柄名称")</f>
        <v/>
      </c>
      <c r="E42" s="505"/>
      <c r="F42" s="506"/>
      <c r="G42" s="507">
        <v>100</v>
      </c>
      <c r="H42" s="508" t="str" cm="1">
        <f t="array" ref="H42">_xll.RssMarket(B42, "出来高加重平均")</f>
        <v/>
      </c>
      <c r="I42" s="508" t="str" cm="1">
        <f t="array" ref="I42">_xll.RssMarket(B42, "出来高加重平均")</f>
        <v/>
      </c>
      <c r="J42" s="508" t="str" cm="1">
        <f t="array" ref="J42">_xll.RssMarket($B42, "前日比")</f>
        <v/>
      </c>
      <c r="K42" s="508" t="str">
        <f t="shared" si="10"/>
        <v/>
      </c>
      <c r="L42" s="509" t="str">
        <f t="shared" si="11"/>
        <v/>
      </c>
      <c r="M42" s="508" t="str">
        <f t="shared" si="12"/>
        <v/>
      </c>
      <c r="N42" s="508" t="str">
        <f t="shared" si="13"/>
        <v/>
      </c>
      <c r="O42" s="510" t="str">
        <f t="shared" si="14"/>
        <v/>
      </c>
      <c r="P42" s="508" t="str">
        <f t="array" aca="1" ref="P42" ca="1">IF(B42="","",IFERROR(MAX(OFFSET(高値!$E$6,MATCH(TEXT(B42,"0"),TEXT(銘柄管理!$B$6:$B$305,"0"),0)-1,0,1,10)),""))</f>
        <v/>
      </c>
      <c r="Q42" s="508" t="str">
        <f t="array" aca="1" ref="Q42" ca="1">IF(B42="","",IFERROR(MIN(OFFSET(安値!$E$6,MATCH(TEXT(B42,"0"),TEXT(銘柄管理!$B$6:$B$305,"0"),0)-1,0,1,10)),""))</f>
        <v/>
      </c>
      <c r="R42" s="508" t="str">
        <f t="shared" ca="1" si="15"/>
        <v/>
      </c>
      <c r="S42" s="511" t="str">
        <f t="shared" si="16"/>
        <v/>
      </c>
      <c r="T42" s="507"/>
      <c r="U42" s="507"/>
      <c r="V42" s="508" t="str">
        <f t="shared" si="17"/>
        <v/>
      </c>
      <c r="W42" s="512" t="str">
        <f t="shared" ca="1" si="18"/>
        <v/>
      </c>
      <c r="X42" s="507"/>
      <c r="Y42" s="513"/>
      <c r="Z42" s="499"/>
    </row>
    <row r="43" spans="1:26" ht="43.5" customHeight="1">
      <c r="A43" s="514" t="str">
        <f t="shared" ref="A43:A69" si="23">IF(B43="","",HYPERLINK("https://kabutan.jp/stock/?code="&amp;B43,"株探"))</f>
        <v/>
      </c>
      <c r="B43" s="515"/>
      <c r="C43" s="516"/>
      <c r="D43" s="515" t="str">
        <f t="array" ref="D43">IF(B43="","",_xll.RssMarket(B43,"銘柄名称"))</f>
        <v/>
      </c>
      <c r="E43" s="517"/>
      <c r="F43" s="518"/>
      <c r="G43" s="515"/>
      <c r="H43" s="519" t="str">
        <f t="array" ref="H43">IF(B43="","",_xll.RssMarket(B43,"現在値"))</f>
        <v/>
      </c>
      <c r="I43" s="519" t="str">
        <f t="array" ref="I43">_xll.RssMarket(B43, "出来高加重平均")</f>
        <v/>
      </c>
      <c r="J43" s="519" t="str">
        <f t="array" ref="J43">_xll.RssMarket(B43, "前日比")</f>
        <v/>
      </c>
      <c r="K43" s="519" t="str">
        <f t="shared" ref="K43:K44" si="24">IF(OR(F43="",G43="",H43=""),"",IF(C43="売",(F43-H43)*G43,(H43-F43)*G43))</f>
        <v/>
      </c>
      <c r="L43" s="520" t="str">
        <f t="shared" ref="L43:L44" si="25">IF(OR(F43="",H43=""),"",IF(C43="売",(F43-H43)/F43,(H43-F43)/F43))</f>
        <v/>
      </c>
      <c r="M43" s="519" t="str">
        <f t="shared" ref="M43:M44" si="26">IF(F43="","",IF(C43="売",F43*0.94,F43*1.06))</f>
        <v/>
      </c>
      <c r="N43" s="519" t="str">
        <f t="shared" ref="N43:N44" si="27">IF(F43="","",IF(C43="売",F43*1.04,F43*0.96))</f>
        <v/>
      </c>
      <c r="O43" s="521" t="str">
        <f t="shared" ref="O43:O44" si="28">IF(B43="","",IF(H43="","保有中",IF(C43="売",IF(H43&lt;=M43,"🟢利確推奨",IF(H43&lt;=F43*0.95,"🟡利確&amp;TR STOP検討",IF(H43&gt;=N43,"🔴損切推奨",IF(H43&gt;=F43*1.035,"🔴損切間近",IF(H43&gt;=F43*1.03,"⚠️+3%注意","保持継続"))))),IF(H43&gt;=M43,"🟢利確推奨",IF(H43&gt;=F43*1.05,"🟡利確&amp;TR STOP検討",IF(H43&lt;=N43,"🔴損切推奨",IF(H43&lt;=F43*0.965,"🔴損切間近",IF(H43&lt;=F43*0.97,"⚠️-3%注意","保持継続"))))))))</f>
        <v/>
      </c>
      <c r="P43" s="519" t="str">
        <f t="array" aca="1" ref="P43" ca="1">IF(B43="","",IFERROR(MAX(OFFSET(高値!$E$6,MATCH(TEXT(B43,"0"),TEXT(銘柄管理!$B$6:$B$305,"0"),0)-1,0,1,10)),""))</f>
        <v/>
      </c>
      <c r="Q43" s="519" t="str">
        <f t="array" aca="1" ref="Q43" ca="1">IF(B43="","",IFERROR(MIN(OFFSET(安値!$E$6,MATCH(TEXT(B43,"0"),TEXT(銘柄管理!$B$6:$B$305,"0"),0)-1,0,1,10)),""))</f>
        <v/>
      </c>
      <c r="R43" s="519" t="str">
        <f t="shared" ca="1" si="5"/>
        <v/>
      </c>
      <c r="S43" s="522" t="str">
        <f t="shared" si="6"/>
        <v/>
      </c>
      <c r="T43" s="515"/>
      <c r="U43" s="515"/>
      <c r="V43" s="519" t="str">
        <f t="shared" ref="V43:V44" si="29">IF(OR(F43="",G43="",U43=""),"",IF(C43="売",(F43-U43)*G43,(U43-F43)*G43))</f>
        <v/>
      </c>
      <c r="W43" s="523" t="str">
        <f t="shared" ca="1" si="8"/>
        <v/>
      </c>
      <c r="X43" s="515"/>
      <c r="Y43" s="513"/>
      <c r="Z43" s="499"/>
    </row>
    <row r="44" spans="1:26" ht="17.25" customHeight="1">
      <c r="A44" s="514" t="str">
        <f t="shared" si="23"/>
        <v/>
      </c>
      <c r="B44" s="515"/>
      <c r="C44" s="516"/>
      <c r="D44" s="515" t="str">
        <f t="array" ref="D44">IF(B44="","",_xll.RssMarket(B44,"銘柄名称"))</f>
        <v/>
      </c>
      <c r="E44" s="517"/>
      <c r="F44" s="518"/>
      <c r="G44" s="515"/>
      <c r="H44" s="519" t="str">
        <f t="array" ref="H44">IF(B44="","",_xll.RssMarket(B44,"現在値"))</f>
        <v/>
      </c>
      <c r="I44" s="519" t="str">
        <f t="array" ref="I44">_xll.RssMarket(B44, "出来高加重平均")</f>
        <v/>
      </c>
      <c r="J44" s="519" t="str">
        <f t="array" ref="J44">_xll.RssMarket(B44, "前日比")</f>
        <v/>
      </c>
      <c r="K44" s="519" t="str">
        <f t="shared" si="24"/>
        <v/>
      </c>
      <c r="L44" s="520" t="str">
        <f t="shared" si="25"/>
        <v/>
      </c>
      <c r="M44" s="519" t="str">
        <f t="shared" si="26"/>
        <v/>
      </c>
      <c r="N44" s="519" t="str">
        <f t="shared" si="27"/>
        <v/>
      </c>
      <c r="O44" s="521" t="str">
        <f t="shared" si="28"/>
        <v/>
      </c>
      <c r="P44" s="519" t="str">
        <f t="array" aca="1" ref="P44" ca="1">IF(B44="","",IFERROR(MAX(OFFSET(高値!$E$6,MATCH(TEXT(B44,"0"),TEXT(銘柄管理!$B$6:$B$305,"0"),0)-1,0,1,10)),""))</f>
        <v/>
      </c>
      <c r="Q44" s="519" t="str">
        <f t="array" aca="1" ref="Q44" ca="1">IF(B44="","",IFERROR(MIN(OFFSET(安値!$E$6,MATCH(TEXT(B44,"0"),TEXT(銘柄管理!$B$6:$B$305,"0"),0)-1,0,1,10)),""))</f>
        <v/>
      </c>
      <c r="R44" s="519" t="str">
        <f t="shared" ca="1" si="5"/>
        <v/>
      </c>
      <c r="S44" s="522" t="str">
        <f t="shared" si="6"/>
        <v/>
      </c>
      <c r="T44" s="515"/>
      <c r="U44" s="515"/>
      <c r="V44" s="519" t="str">
        <f t="shared" si="29"/>
        <v/>
      </c>
      <c r="W44" s="523" t="str">
        <f t="shared" ca="1" si="8"/>
        <v/>
      </c>
      <c r="X44" s="515"/>
      <c r="Y44" s="513"/>
      <c r="Z44" s="499"/>
    </row>
    <row r="45" spans="1:26" ht="17.25" customHeight="1">
      <c r="A45" s="514" t="str">
        <f t="shared" si="23"/>
        <v/>
      </c>
      <c r="B45" s="515"/>
      <c r="C45" s="516"/>
      <c r="D45" s="515" t="str">
        <f t="array" ref="D45">IF(B45="","",_xll.RssMarket(B45,"銘柄名称"))</f>
        <v/>
      </c>
      <c r="E45" s="517"/>
      <c r="F45" s="518"/>
      <c r="G45" s="515"/>
      <c r="H45" s="519" t="str">
        <f t="array" ref="H45">IF(B45="","",_xll.RssMarket(B45,"現在値"))</f>
        <v/>
      </c>
      <c r="I45" s="519" t="str">
        <f t="array" ref="I45">_xll.RssMarket(B45, "出来高加重平均")</f>
        <v/>
      </c>
      <c r="J45" s="519" t="str">
        <f t="array" ref="J45">_xll.RssMarket(B45, "前日比")</f>
        <v/>
      </c>
      <c r="K45" s="519" t="str">
        <f t="shared" ref="K45:K54" si="30">IF(OR(F45="",G45="",H45=""),"",IF(C45="売",(F45-H45)*G45,(H45-F45)*G45))</f>
        <v/>
      </c>
      <c r="L45" s="520" t="str">
        <f t="shared" ref="L45:L54" si="31">IF(OR(F45="",H45=""),"",IF(C45="売",(F45-H45)/F45,(H45-F45)/F45))</f>
        <v/>
      </c>
      <c r="M45" s="519" t="str">
        <f t="shared" ref="M45:M54" si="32">IF(F45="","",IF(C45="売",F45*0.94,F45*1.06))</f>
        <v/>
      </c>
      <c r="N45" s="519" t="str">
        <f t="shared" ref="N45:N54" si="33">IF(F45="","",IF(C45="売",F45*1.04,F45*0.96))</f>
        <v/>
      </c>
      <c r="O45" s="521" t="str">
        <f t="shared" ref="O45:O54" si="34">IF(B45="","",IF(H45="","保有中",IF(C45="売",IF(H45&lt;=M45,"🟢利確推奨",IF(H45&lt;=F45*0.95,"🟡利確&amp;TR STOP検討",IF(H45&gt;=N45,"🔴損切推奨",IF(H45&gt;=F45*1.035,"🔴損切間近",IF(H45&gt;=F45*1.03,"⚠️+3%注意","保持継続"))))),IF(H45&gt;=M45,"🟢利確推奨",IF(H45&gt;=F45*1.05,"🟡利確&amp;TR STOP検討",IF(H45&lt;=N45,"🔴損切推奨",IF(H45&lt;=F45*0.965,"🔴損切間近",IF(H45&lt;=F45*0.97,"⚠️-3%注意","保持継続"))))))))</f>
        <v/>
      </c>
      <c r="P45" s="519" t="str">
        <f t="array" aca="1" ref="P45" ca="1">IF(B45="","",IFERROR(MAX(OFFSET(高値!$E$6,MATCH(TEXT(B45,"0"),TEXT(銘柄管理!$B$6:$B$305,"0"),0)-1,0,1,10)),""))</f>
        <v/>
      </c>
      <c r="Q45" s="519" t="str">
        <f t="array" aca="1" ref="Q45" ca="1">IF(B45="","",IFERROR(MIN(OFFSET(安値!$E$6,MATCH(TEXT(B45,"0"),TEXT(銘柄管理!$B$6:$B$305,"0"),0)-1,0,1,10)),""))</f>
        <v/>
      </c>
      <c r="R45" s="519" t="str">
        <f t="shared" ref="R45:R108" ca="1" si="35">IF(P45="","",ROUND(P45*0.97,0))</f>
        <v/>
      </c>
      <c r="S45" s="522" t="str">
        <f t="shared" si="6"/>
        <v/>
      </c>
      <c r="T45" s="515"/>
      <c r="U45" s="515"/>
      <c r="V45" s="519" t="str">
        <f t="shared" ref="V45:V54" si="36">IF(OR(F45="",G45="",U45=""),"",IF(C45="売",(F45-U45)*G45,(U45-F45)*G45))</f>
        <v/>
      </c>
      <c r="W45" s="523" t="str">
        <f t="shared" ref="W45:W108" ca="1" si="37">IF(OR(E45="",B45=""),"",IF(T45&lt;&gt;"",T45-E45,TODAY()-E45))</f>
        <v/>
      </c>
      <c r="X45" s="515"/>
      <c r="Y45" s="513"/>
      <c r="Z45" s="499"/>
    </row>
    <row r="46" spans="1:26" ht="17.25" customHeight="1">
      <c r="A46" s="514" t="str">
        <f t="shared" si="23"/>
        <v/>
      </c>
      <c r="B46" s="515"/>
      <c r="C46" s="516"/>
      <c r="D46" s="515" t="str">
        <f t="array" ref="D46">IF(B46="","",_xll.RssMarket(B46,"銘柄名称"))</f>
        <v/>
      </c>
      <c r="E46" s="517"/>
      <c r="F46" s="518"/>
      <c r="G46" s="515"/>
      <c r="H46" s="519" t="str">
        <f t="array" ref="H46">IF(B46="","",_xll.RssMarket(B46,"現在値"))</f>
        <v/>
      </c>
      <c r="I46" s="519" t="str">
        <f t="array" ref="I46">_xll.RssMarket(B46, "出来高加重平均")</f>
        <v/>
      </c>
      <c r="J46" s="519" t="str">
        <f t="array" ref="J46">_xll.RssMarket(B46, "前日比")</f>
        <v/>
      </c>
      <c r="K46" s="519" t="str">
        <f t="shared" si="30"/>
        <v/>
      </c>
      <c r="L46" s="520" t="str">
        <f t="shared" si="31"/>
        <v/>
      </c>
      <c r="M46" s="519" t="str">
        <f t="shared" si="32"/>
        <v/>
      </c>
      <c r="N46" s="519" t="str">
        <f t="shared" si="33"/>
        <v/>
      </c>
      <c r="O46" s="521" t="str">
        <f t="shared" si="34"/>
        <v/>
      </c>
      <c r="P46" s="519" t="str">
        <f t="array" aca="1" ref="P46" ca="1">IF(B46="","",IFERROR(MAX(OFFSET(高値!$E$6,MATCH(TEXT(B46,"0"),TEXT(銘柄管理!$B$6:$B$305,"0"),0)-1,0,1,10)),""))</f>
        <v/>
      </c>
      <c r="Q46" s="519" t="str">
        <f t="array" aca="1" ref="Q46" ca="1">IF(B46="","",IFERROR(MIN(OFFSET(安値!$E$6,MATCH(TEXT(B46,"0"),TEXT(銘柄管理!$B$6:$B$305,"0"),0)-1,0,1,10)),""))</f>
        <v/>
      </c>
      <c r="R46" s="519" t="str">
        <f t="shared" ca="1" si="35"/>
        <v/>
      </c>
      <c r="S46" s="522" t="str">
        <f t="shared" ref="S46:S54" si="38">IF(B46="","",IF(T46&lt;&gt;"","✅売却済",IF(OR(H46="",L46=""),"📌保有中",IF(L46&gt;=0.06,"🟢利確推奨",IF(L46&gt;=0.05,"🟡利確直近",IF(L46&gt;=0.045,"🔵トレーリング検討",IF(L46&gt;-0.03,"📌保有中",IF(L46&gt;-0.04,"⚠️損切注意","🔴損切り"))))))))</f>
        <v/>
      </c>
      <c r="T46" s="515"/>
      <c r="U46" s="515"/>
      <c r="V46" s="519" t="str">
        <f t="shared" si="36"/>
        <v/>
      </c>
      <c r="W46" s="523" t="str">
        <f t="shared" ca="1" si="37"/>
        <v/>
      </c>
      <c r="X46" s="515"/>
      <c r="Y46" s="513"/>
      <c r="Z46" s="499"/>
    </row>
    <row r="47" spans="1:26" ht="17.25" customHeight="1">
      <c r="A47" s="514" t="str">
        <f t="shared" si="23"/>
        <v/>
      </c>
      <c r="B47" s="515"/>
      <c r="C47" s="516"/>
      <c r="D47" s="515" t="str">
        <f t="array" ref="D47">IF(B47="","",_xll.RssMarket(B47,"銘柄名称"))</f>
        <v/>
      </c>
      <c r="E47" s="517"/>
      <c r="F47" s="518"/>
      <c r="G47" s="515"/>
      <c r="H47" s="519" t="str">
        <f t="array" ref="H47">IF(B47="","",_xll.RssMarket(B47,"現在値"))</f>
        <v/>
      </c>
      <c r="I47" s="519" t="str">
        <f t="array" ref="I47">_xll.RssMarket(B47, "出来高加重平均")</f>
        <v/>
      </c>
      <c r="J47" s="519" t="str">
        <f t="array" ref="J47">_xll.RssMarket(B47, "前日比")</f>
        <v/>
      </c>
      <c r="K47" s="519" t="str">
        <f t="shared" si="30"/>
        <v/>
      </c>
      <c r="L47" s="520" t="str">
        <f t="shared" si="31"/>
        <v/>
      </c>
      <c r="M47" s="519" t="str">
        <f t="shared" si="32"/>
        <v/>
      </c>
      <c r="N47" s="519" t="str">
        <f t="shared" si="33"/>
        <v/>
      </c>
      <c r="O47" s="521" t="str">
        <f t="shared" si="34"/>
        <v/>
      </c>
      <c r="P47" s="519" t="str">
        <f t="array" aca="1" ref="P47" ca="1">IF(B47="","",IFERROR(MAX(OFFSET(高値!$E$6,MATCH(TEXT(B47,"0"),TEXT(銘柄管理!$B$6:$B$305,"0"),0)-1,0,1,10)),""))</f>
        <v/>
      </c>
      <c r="Q47" s="519" t="str">
        <f t="array" aca="1" ref="Q47" ca="1">IF(B47="","",IFERROR(MIN(OFFSET(安値!$E$6,MATCH(TEXT(B47,"0"),TEXT(銘柄管理!$B$6:$B$305,"0"),0)-1,0,1,10)),""))</f>
        <v/>
      </c>
      <c r="R47" s="519" t="str">
        <f t="shared" ca="1" si="35"/>
        <v/>
      </c>
      <c r="S47" s="522" t="str">
        <f t="shared" si="38"/>
        <v/>
      </c>
      <c r="T47" s="515"/>
      <c r="U47" s="515"/>
      <c r="V47" s="519" t="str">
        <f t="shared" si="36"/>
        <v/>
      </c>
      <c r="W47" s="523" t="str">
        <f t="shared" ca="1" si="37"/>
        <v/>
      </c>
      <c r="X47" s="515"/>
      <c r="Y47" s="513"/>
      <c r="Z47" s="499"/>
    </row>
    <row r="48" spans="1:26" ht="17.25" customHeight="1">
      <c r="A48" s="514" t="str">
        <f t="shared" si="23"/>
        <v/>
      </c>
      <c r="B48" s="515"/>
      <c r="C48" s="516"/>
      <c r="D48" s="515" t="str">
        <f t="array" ref="D48">IF(B48="","",_xll.RssMarket(B48,"銘柄名称"))</f>
        <v/>
      </c>
      <c r="E48" s="517"/>
      <c r="F48" s="518"/>
      <c r="G48" s="515"/>
      <c r="H48" s="519" t="str">
        <f t="array" ref="H48">IF(B48="","",_xll.RssMarket(B48,"現在値"))</f>
        <v/>
      </c>
      <c r="I48" s="519" t="str">
        <f t="array" ref="I48">_xll.RssMarket(B48, "出来高加重平均")</f>
        <v/>
      </c>
      <c r="J48" s="519" t="str">
        <f t="array" ref="J48">_xll.RssMarket(B48, "前日比")</f>
        <v/>
      </c>
      <c r="K48" s="519" t="str">
        <f t="shared" si="30"/>
        <v/>
      </c>
      <c r="L48" s="520" t="str">
        <f t="shared" si="31"/>
        <v/>
      </c>
      <c r="M48" s="519" t="str">
        <f t="shared" si="32"/>
        <v/>
      </c>
      <c r="N48" s="519" t="str">
        <f t="shared" si="33"/>
        <v/>
      </c>
      <c r="O48" s="521" t="str">
        <f t="shared" si="34"/>
        <v/>
      </c>
      <c r="P48" s="519" t="str">
        <f t="array" aca="1" ref="P48" ca="1">IF(B48="","",IFERROR(MAX(OFFSET(高値!$E$6,MATCH(TEXT(B48,"0"),TEXT(銘柄管理!$B$6:$B$305,"0"),0)-1,0,1,10)),""))</f>
        <v/>
      </c>
      <c r="Q48" s="519" t="str">
        <f t="array" aca="1" ref="Q48" ca="1">IF(B48="","",IFERROR(MIN(OFFSET(安値!$E$6,MATCH(TEXT(B48,"0"),TEXT(銘柄管理!$B$6:$B$305,"0"),0)-1,0,1,10)),""))</f>
        <v/>
      </c>
      <c r="R48" s="519" t="str">
        <f t="shared" ca="1" si="35"/>
        <v/>
      </c>
      <c r="S48" s="522" t="str">
        <f t="shared" si="38"/>
        <v/>
      </c>
      <c r="T48" s="515"/>
      <c r="U48" s="515"/>
      <c r="V48" s="519" t="str">
        <f t="shared" si="36"/>
        <v/>
      </c>
      <c r="W48" s="523" t="str">
        <f t="shared" ca="1" si="37"/>
        <v/>
      </c>
      <c r="X48" s="515"/>
      <c r="Y48" s="513"/>
      <c r="Z48" s="499"/>
    </row>
    <row r="49" spans="1:26" ht="17.25" customHeight="1">
      <c r="A49" s="514" t="str">
        <f t="shared" si="23"/>
        <v/>
      </c>
      <c r="B49" s="515"/>
      <c r="C49" s="516"/>
      <c r="D49" s="515" t="str">
        <f t="array" ref="D49">IF(B49="","",_xll.RssMarket(B49,"銘柄名称"))</f>
        <v/>
      </c>
      <c r="E49" s="517"/>
      <c r="F49" s="518"/>
      <c r="G49" s="515"/>
      <c r="H49" s="519" t="str">
        <f t="array" ref="H49">IF(B49="","",_xll.RssMarket(B49,"現在値"))</f>
        <v/>
      </c>
      <c r="I49" s="519" t="str">
        <f t="array" ref="I49">_xll.RssMarket(B49, "出来高加重平均")</f>
        <v/>
      </c>
      <c r="J49" s="519" t="str">
        <f t="array" ref="J49">_xll.RssMarket(B49, "前日比")</f>
        <v/>
      </c>
      <c r="K49" s="519" t="str">
        <f t="shared" si="30"/>
        <v/>
      </c>
      <c r="L49" s="520" t="str">
        <f t="shared" si="31"/>
        <v/>
      </c>
      <c r="M49" s="519" t="str">
        <f t="shared" si="32"/>
        <v/>
      </c>
      <c r="N49" s="519" t="str">
        <f t="shared" si="33"/>
        <v/>
      </c>
      <c r="O49" s="521" t="str">
        <f t="shared" si="34"/>
        <v/>
      </c>
      <c r="P49" s="519" t="str">
        <f t="array" aca="1" ref="P49" ca="1">IF(B49="","",IFERROR(MAX(OFFSET(高値!$E$6,MATCH(TEXT(B49,"0"),TEXT(銘柄管理!$B$6:$B$305,"0"),0)-1,0,1,10)),""))</f>
        <v/>
      </c>
      <c r="Q49" s="519" t="str">
        <f t="array" aca="1" ref="Q49" ca="1">IF(B49="","",IFERROR(MIN(OFFSET(安値!$E$6,MATCH(TEXT(B49,"0"),TEXT(銘柄管理!$B$6:$B$305,"0"),0)-1,0,1,10)),""))</f>
        <v/>
      </c>
      <c r="R49" s="519" t="str">
        <f t="shared" ca="1" si="35"/>
        <v/>
      </c>
      <c r="S49" s="522" t="str">
        <f t="shared" si="38"/>
        <v/>
      </c>
      <c r="T49" s="515"/>
      <c r="U49" s="515"/>
      <c r="V49" s="519" t="str">
        <f t="shared" si="36"/>
        <v/>
      </c>
      <c r="W49" s="523" t="str">
        <f t="shared" ca="1" si="37"/>
        <v/>
      </c>
      <c r="X49" s="515"/>
      <c r="Y49" s="513"/>
      <c r="Z49" s="499"/>
    </row>
    <row r="50" spans="1:26" ht="17.25" customHeight="1">
      <c r="A50" s="514" t="str">
        <f t="shared" si="23"/>
        <v/>
      </c>
      <c r="B50" s="515"/>
      <c r="C50" s="516"/>
      <c r="D50" s="515" t="str">
        <f t="array" ref="D50">IF(B50="","",_xll.RssMarket(B50,"銘柄名称"))</f>
        <v/>
      </c>
      <c r="E50" s="517"/>
      <c r="F50" s="518"/>
      <c r="G50" s="515"/>
      <c r="H50" s="519" t="str">
        <f t="array" ref="H50">IF(B50="","",_xll.RssMarket(B50,"現在値"))</f>
        <v/>
      </c>
      <c r="I50" s="519" t="str">
        <f t="array" ref="I50">_xll.RssMarket(B50, "出来高加重平均")</f>
        <v/>
      </c>
      <c r="J50" s="519" t="str">
        <f t="array" ref="J50">_xll.RssMarket(B50, "前日比")</f>
        <v/>
      </c>
      <c r="K50" s="519" t="str">
        <f t="shared" si="30"/>
        <v/>
      </c>
      <c r="L50" s="520" t="str">
        <f t="shared" si="31"/>
        <v/>
      </c>
      <c r="M50" s="519" t="str">
        <f t="shared" si="32"/>
        <v/>
      </c>
      <c r="N50" s="519" t="str">
        <f t="shared" si="33"/>
        <v/>
      </c>
      <c r="O50" s="521" t="str">
        <f t="shared" si="34"/>
        <v/>
      </c>
      <c r="P50" s="519" t="str">
        <f t="array" aca="1" ref="P50" ca="1">IF(B50="","",IFERROR(MAX(OFFSET(高値!$E$6,MATCH(TEXT(B50,"0"),TEXT(銘柄管理!$B$6:$B$305,"0"),0)-1,0,1,10)),""))</f>
        <v/>
      </c>
      <c r="Q50" s="519" t="str">
        <f t="array" aca="1" ref="Q50" ca="1">IF(B50="","",IFERROR(MIN(OFFSET(安値!$E$6,MATCH(TEXT(B50,"0"),TEXT(銘柄管理!$B$6:$B$305,"0"),0)-1,0,1,10)),""))</f>
        <v/>
      </c>
      <c r="R50" s="519" t="str">
        <f t="shared" ca="1" si="35"/>
        <v/>
      </c>
      <c r="S50" s="522" t="str">
        <f t="shared" si="38"/>
        <v/>
      </c>
      <c r="T50" s="515"/>
      <c r="U50" s="515"/>
      <c r="V50" s="519" t="str">
        <f t="shared" si="36"/>
        <v/>
      </c>
      <c r="W50" s="523" t="str">
        <f t="shared" ca="1" si="37"/>
        <v/>
      </c>
      <c r="X50" s="515"/>
      <c r="Y50" s="513"/>
      <c r="Z50" s="499"/>
    </row>
    <row r="51" spans="1:26" ht="17.25" customHeight="1">
      <c r="A51" s="514" t="str">
        <f t="shared" si="23"/>
        <v/>
      </c>
      <c r="B51" s="515"/>
      <c r="C51" s="516"/>
      <c r="D51" s="515" t="str">
        <f t="array" ref="D51">IF(B51="","",_xll.RssMarket(B51,"銘柄名称"))</f>
        <v/>
      </c>
      <c r="E51" s="517"/>
      <c r="F51" s="518"/>
      <c r="G51" s="515"/>
      <c r="H51" s="519" t="str">
        <f t="array" ref="H51">IF(B51="","",_xll.RssMarket(B51,"現在値"))</f>
        <v/>
      </c>
      <c r="I51" s="519" t="str">
        <f t="array" ref="I51">_xll.RssMarket(B51, "出来高加重平均")</f>
        <v/>
      </c>
      <c r="J51" s="519" t="str">
        <f t="array" ref="J51">_xll.RssMarket(B51, "前日比")</f>
        <v/>
      </c>
      <c r="K51" s="519" t="str">
        <f t="shared" si="30"/>
        <v/>
      </c>
      <c r="L51" s="520" t="str">
        <f t="shared" si="31"/>
        <v/>
      </c>
      <c r="M51" s="519" t="str">
        <f t="shared" si="32"/>
        <v/>
      </c>
      <c r="N51" s="519" t="str">
        <f t="shared" si="33"/>
        <v/>
      </c>
      <c r="O51" s="521" t="str">
        <f t="shared" si="34"/>
        <v/>
      </c>
      <c r="P51" s="519" t="str">
        <f t="array" aca="1" ref="P51" ca="1">IF(B51="","",IFERROR(MAX(OFFSET(高値!$E$6,MATCH(TEXT(B51,"0"),TEXT(銘柄管理!$B$6:$B$305,"0"),0)-1,0,1,10)),""))</f>
        <v/>
      </c>
      <c r="Q51" s="519" t="str">
        <f t="array" aca="1" ref="Q51" ca="1">IF(B51="","",IFERROR(MIN(OFFSET(安値!$E$6,MATCH(TEXT(B51,"0"),TEXT(銘柄管理!$B$6:$B$305,"0"),0)-1,0,1,10)),""))</f>
        <v/>
      </c>
      <c r="R51" s="519" t="str">
        <f t="shared" ca="1" si="35"/>
        <v/>
      </c>
      <c r="S51" s="522" t="str">
        <f t="shared" si="38"/>
        <v/>
      </c>
      <c r="T51" s="515"/>
      <c r="U51" s="515"/>
      <c r="V51" s="519" t="str">
        <f t="shared" si="36"/>
        <v/>
      </c>
      <c r="W51" s="523" t="str">
        <f t="shared" ca="1" si="37"/>
        <v/>
      </c>
      <c r="X51" s="515"/>
      <c r="Y51" s="513"/>
      <c r="Z51" s="499"/>
    </row>
    <row r="52" spans="1:26" ht="17.25" customHeight="1">
      <c r="A52" s="514" t="str">
        <f t="shared" si="23"/>
        <v/>
      </c>
      <c r="B52" s="515"/>
      <c r="C52" s="516"/>
      <c r="D52" s="515" t="str">
        <f t="array" ref="D52">IF(B52="","",_xll.RssMarket(B52,"銘柄名称"))</f>
        <v/>
      </c>
      <c r="E52" s="517"/>
      <c r="F52" s="518"/>
      <c r="G52" s="515"/>
      <c r="H52" s="519" t="str">
        <f t="array" ref="H52">IF(B52="","",_xll.RssMarket(B52,"現在値"))</f>
        <v/>
      </c>
      <c r="I52" s="519" t="str">
        <f t="array" ref="I52">_xll.RssMarket(B52, "出来高加重平均")</f>
        <v/>
      </c>
      <c r="J52" s="519" t="str">
        <f t="array" ref="J52">_xll.RssMarket(B52, "前日比")</f>
        <v/>
      </c>
      <c r="K52" s="519" t="str">
        <f t="shared" si="30"/>
        <v/>
      </c>
      <c r="L52" s="520" t="str">
        <f t="shared" si="31"/>
        <v/>
      </c>
      <c r="M52" s="519" t="str">
        <f t="shared" si="32"/>
        <v/>
      </c>
      <c r="N52" s="519" t="str">
        <f t="shared" si="33"/>
        <v/>
      </c>
      <c r="O52" s="521" t="str">
        <f t="shared" si="34"/>
        <v/>
      </c>
      <c r="P52" s="519" t="str">
        <f t="array" aca="1" ref="P52" ca="1">IF(B52="","",IFERROR(MAX(OFFSET(高値!$E$6,MATCH(TEXT(B52,"0"),TEXT(銘柄管理!$B$6:$B$305,"0"),0)-1,0,1,10)),""))</f>
        <v/>
      </c>
      <c r="Q52" s="519" t="str">
        <f t="array" aca="1" ref="Q52" ca="1">IF(B52="","",IFERROR(MIN(OFFSET(安値!$E$6,MATCH(TEXT(B52,"0"),TEXT(銘柄管理!$B$6:$B$305,"0"),0)-1,0,1,10)),""))</f>
        <v/>
      </c>
      <c r="R52" s="519" t="str">
        <f t="shared" ca="1" si="35"/>
        <v/>
      </c>
      <c r="S52" s="522" t="str">
        <f t="shared" si="38"/>
        <v/>
      </c>
      <c r="T52" s="515"/>
      <c r="U52" s="515"/>
      <c r="V52" s="519" t="str">
        <f t="shared" si="36"/>
        <v/>
      </c>
      <c r="W52" s="523" t="str">
        <f t="shared" ca="1" si="37"/>
        <v/>
      </c>
      <c r="X52" s="515"/>
      <c r="Y52" s="513"/>
      <c r="Z52" s="499"/>
    </row>
    <row r="53" spans="1:26" ht="17.25" customHeight="1">
      <c r="A53" s="514" t="str">
        <f t="shared" si="23"/>
        <v/>
      </c>
      <c r="B53" s="515"/>
      <c r="C53" s="516"/>
      <c r="D53" s="515" t="str">
        <f t="array" ref="D53">IF(B53="","",_xll.RssMarket(B53,"銘柄名称"))</f>
        <v/>
      </c>
      <c r="E53" s="517"/>
      <c r="F53" s="518"/>
      <c r="G53" s="515"/>
      <c r="H53" s="519" t="str">
        <f t="array" ref="H53">IF(B53="","",_xll.RssMarket(B53,"現在値"))</f>
        <v/>
      </c>
      <c r="I53" s="519" t="str">
        <f t="array" ref="I53">_xll.RssMarket(B53, "出来高加重平均")</f>
        <v/>
      </c>
      <c r="J53" s="519" t="str">
        <f t="array" ref="J53">_xll.RssMarket(B53, "前日比")</f>
        <v/>
      </c>
      <c r="K53" s="519" t="str">
        <f t="shared" si="30"/>
        <v/>
      </c>
      <c r="L53" s="520" t="str">
        <f t="shared" si="31"/>
        <v/>
      </c>
      <c r="M53" s="519" t="str">
        <f t="shared" si="32"/>
        <v/>
      </c>
      <c r="N53" s="519" t="str">
        <f t="shared" si="33"/>
        <v/>
      </c>
      <c r="O53" s="521" t="str">
        <f t="shared" si="34"/>
        <v/>
      </c>
      <c r="P53" s="519" t="str">
        <f t="array" aca="1" ref="P53" ca="1">IF(B53="","",IFERROR(MAX(OFFSET(高値!$E$6,MATCH(TEXT(B53,"0"),TEXT(銘柄管理!$B$6:$B$305,"0"),0)-1,0,1,10)),""))</f>
        <v/>
      </c>
      <c r="Q53" s="519" t="str">
        <f t="array" aca="1" ref="Q53" ca="1">IF(B53="","",IFERROR(MIN(OFFSET(安値!$E$6,MATCH(TEXT(B53,"0"),TEXT(銘柄管理!$B$6:$B$305,"0"),0)-1,0,1,10)),""))</f>
        <v/>
      </c>
      <c r="R53" s="519" t="str">
        <f t="shared" ca="1" si="35"/>
        <v/>
      </c>
      <c r="S53" s="522" t="str">
        <f t="shared" si="38"/>
        <v/>
      </c>
      <c r="T53" s="515"/>
      <c r="U53" s="515"/>
      <c r="V53" s="519" t="str">
        <f t="shared" si="36"/>
        <v/>
      </c>
      <c r="W53" s="523" t="str">
        <f t="shared" ca="1" si="37"/>
        <v/>
      </c>
      <c r="X53" s="515"/>
      <c r="Y53" s="513"/>
      <c r="Z53" s="499"/>
    </row>
    <row r="54" spans="1:26" ht="17.25" customHeight="1">
      <c r="A54" s="514" t="str">
        <f t="shared" si="23"/>
        <v/>
      </c>
      <c r="B54" s="515"/>
      <c r="C54" s="516"/>
      <c r="D54" s="515" t="str">
        <f t="array" ref="D54">IF(B54="","",_xll.RssMarket(B54,"銘柄名称"))</f>
        <v/>
      </c>
      <c r="E54" s="517"/>
      <c r="F54" s="518"/>
      <c r="G54" s="515"/>
      <c r="H54" s="519" t="str">
        <f t="array" ref="H54">IF(B54="","",_xll.RssMarket(B54,"現在値"))</f>
        <v/>
      </c>
      <c r="I54" s="519" t="str">
        <f t="array" ref="I54">_xll.RssMarket(B54, "出来高加重平均")</f>
        <v/>
      </c>
      <c r="J54" s="519" t="str">
        <f t="array" ref="J54">_xll.RssMarket(B54, "前日比")</f>
        <v/>
      </c>
      <c r="K54" s="519" t="str">
        <f t="shared" si="30"/>
        <v/>
      </c>
      <c r="L54" s="520" t="str">
        <f t="shared" si="31"/>
        <v/>
      </c>
      <c r="M54" s="519" t="str">
        <f t="shared" si="32"/>
        <v/>
      </c>
      <c r="N54" s="519" t="str">
        <f t="shared" si="33"/>
        <v/>
      </c>
      <c r="O54" s="521" t="str">
        <f t="shared" si="34"/>
        <v/>
      </c>
      <c r="P54" s="519" t="str">
        <f t="array" aca="1" ref="P54" ca="1">IF(B54="","",IFERROR(MAX(OFFSET(高値!$E$6,MATCH(TEXT(B54,"0"),TEXT(銘柄管理!$B$6:$B$305,"0"),0)-1,0,1,10)),""))</f>
        <v/>
      </c>
      <c r="Q54" s="519" t="str">
        <f t="array" aca="1" ref="Q54" ca="1">IF(B54="","",IFERROR(MIN(OFFSET(安値!$E$6,MATCH(TEXT(B54,"0"),TEXT(銘柄管理!$B$6:$B$305,"0"),0)-1,0,1,10)),""))</f>
        <v/>
      </c>
      <c r="R54" s="519" t="str">
        <f t="shared" ca="1" si="35"/>
        <v/>
      </c>
      <c r="S54" s="522" t="str">
        <f t="shared" si="38"/>
        <v/>
      </c>
      <c r="T54" s="515"/>
      <c r="U54" s="515"/>
      <c r="V54" s="519" t="str">
        <f t="shared" si="36"/>
        <v/>
      </c>
      <c r="W54" s="523" t="str">
        <f t="shared" ca="1" si="37"/>
        <v/>
      </c>
      <c r="X54" s="515"/>
      <c r="Y54" s="513"/>
      <c r="Z54" s="499"/>
    </row>
    <row r="55" spans="1:26" ht="17.25" customHeight="1">
      <c r="A55" s="514" t="str">
        <f t="shared" si="23"/>
        <v/>
      </c>
      <c r="B55" s="515"/>
      <c r="C55" s="515"/>
      <c r="D55" s="515"/>
      <c r="E55" s="517"/>
      <c r="F55" s="518"/>
      <c r="G55" s="515"/>
      <c r="H55" s="519" t="str">
        <f>_xll.RssMarket("d7","現在値")</f>
        <v/>
      </c>
      <c r="I55" s="519" t="str">
        <f t="array" ref="I55">_xll.RssMarket(B55, "出来高加重平均")</f>
        <v/>
      </c>
      <c r="J55" s="519" t="str">
        <f t="array" ref="J55">_xll.RssMarket(B55, "前日比")</f>
        <v/>
      </c>
      <c r="K55" s="519" t="str">
        <f t="shared" ref="K55:K86" si="39">IF(OR(F55="",G55="",H55=""),"",(H55-F55)*G55)</f>
        <v/>
      </c>
      <c r="L55" s="520" t="str">
        <f t="shared" ref="L55:L86" si="40">IF(OR(F55="",H55=""),"",(H55-F55)/F55)</f>
        <v/>
      </c>
      <c r="M55" s="519" t="str">
        <f t="shared" ref="M55:M86" si="41">IF(F55="","",F55*1.07)</f>
        <v/>
      </c>
      <c r="N55" s="519" t="str">
        <f t="shared" ref="N55:N86" si="42">IF(F55="","",F55*0.96)</f>
        <v/>
      </c>
      <c r="O55" s="521" t="str">
        <f t="shared" ref="O55:O86" si="43">IF(B55="","",IF(H55="","保有中",IF(H55&gt;=M55,"🟢利確推奨",IF(H55&gt;=F55*1.06,"🟡利確&amp;TR STOP検討",IF(H55&lt;=N55,"🔴損切推奨",IF(H55&lt;=F55*0.965,"🔴損切間近",IF(H55&lt;=F55*0.97,"⚠️-3%注意",IF(H55&lt;=F55*0.96,"🟡STOP推奨","保持継続"))))))))</f>
        <v/>
      </c>
      <c r="P55" s="519" t="str">
        <f t="array" aca="1" ref="P55" ca="1">IF(B55="","",IFERROR(MAX(OFFSET(高値!$E$6,MATCH(TEXT(B55,"0"),TEXT(銘柄管理!$B$6:$B$305,"0"),0)-1,0,1,10)),""))</f>
        <v/>
      </c>
      <c r="Q55" s="519" t="str">
        <f t="array" aca="1" ref="Q55" ca="1">IF(B55="","",IFERROR(MIN(OFFSET(安値!$E$6,MATCH(TEXT(B55,"0"),TEXT(銘柄管理!$B$6:$B$305,"0"),0)-1,0,1,10)),""))</f>
        <v/>
      </c>
      <c r="R55" s="519" t="str">
        <f t="shared" ca="1" si="35"/>
        <v/>
      </c>
      <c r="S55" s="522" t="str">
        <f t="shared" ref="S55:S86" si="44">IF(B55="","",IF(T55&lt;&gt;"","?売却済",IF(H55="","?保有中",IF(H55&gt;=M55,"??利確推奨",IF(H55&lt;=N55,"??損切推奨",IF(H55&lt;=R55,"??STOP推奨","?保有中"))))))</f>
        <v/>
      </c>
      <c r="T55" s="515"/>
      <c r="U55" s="515"/>
      <c r="V55" s="519" t="str">
        <f t="shared" ref="V55:V86" si="45">IF(OR(F55="",G55="",U55=""),"",(U55-F55)*G55)</f>
        <v/>
      </c>
      <c r="W55" s="523" t="str">
        <f t="shared" ca="1" si="37"/>
        <v/>
      </c>
      <c r="X55" s="515"/>
      <c r="Y55" s="513"/>
      <c r="Z55" s="499"/>
    </row>
    <row r="56" spans="1:26" ht="17.25" customHeight="1">
      <c r="A56" s="514" t="str">
        <f t="shared" si="23"/>
        <v/>
      </c>
      <c r="B56" s="515"/>
      <c r="C56" s="515"/>
      <c r="D56" s="515"/>
      <c r="E56" s="517"/>
      <c r="F56" s="518"/>
      <c r="G56" s="515"/>
      <c r="H56" s="519" t="str">
        <f>_xll.RssMarket("d7","現在値")</f>
        <v/>
      </c>
      <c r="I56" s="519" t="str">
        <f t="array" ref="I56">_xll.RssMarket(B56, "出来高加重平均")</f>
        <v/>
      </c>
      <c r="J56" s="519" t="str">
        <f t="array" ref="J56">_xll.RssMarket(B56, "前日比")</f>
        <v/>
      </c>
      <c r="K56" s="519" t="str">
        <f t="shared" si="39"/>
        <v/>
      </c>
      <c r="L56" s="520" t="str">
        <f t="shared" si="40"/>
        <v/>
      </c>
      <c r="M56" s="519" t="str">
        <f t="shared" si="41"/>
        <v/>
      </c>
      <c r="N56" s="519" t="str">
        <f t="shared" si="42"/>
        <v/>
      </c>
      <c r="O56" s="521" t="str">
        <f t="shared" si="43"/>
        <v/>
      </c>
      <c r="P56" s="519" t="str">
        <f t="array" aca="1" ref="P56" ca="1">IF(B56="","",IFERROR(MAX(OFFSET(高値!$E$6,MATCH(TEXT(B56,"0"),TEXT(銘柄管理!$B$6:$B$305,"0"),0)-1,0,1,10)),""))</f>
        <v/>
      </c>
      <c r="Q56" s="519" t="str">
        <f t="array" aca="1" ref="Q56" ca="1">IF(B56="","",IFERROR(MIN(OFFSET(安値!$E$6,MATCH(TEXT(B56,"0"),TEXT(銘柄管理!$B$6:$B$305,"0"),0)-1,0,1,10)),""))</f>
        <v/>
      </c>
      <c r="R56" s="519" t="str">
        <f t="shared" ca="1" si="35"/>
        <v/>
      </c>
      <c r="S56" s="522" t="str">
        <f t="shared" si="44"/>
        <v/>
      </c>
      <c r="T56" s="515"/>
      <c r="U56" s="515"/>
      <c r="V56" s="519" t="str">
        <f t="shared" si="45"/>
        <v/>
      </c>
      <c r="W56" s="523" t="str">
        <f t="shared" ca="1" si="37"/>
        <v/>
      </c>
      <c r="X56" s="515"/>
      <c r="Y56" s="513"/>
      <c r="Z56" s="499"/>
    </row>
    <row r="57" spans="1:26" ht="17.25" customHeight="1">
      <c r="A57" s="514" t="str">
        <f t="shared" si="23"/>
        <v/>
      </c>
      <c r="B57" s="515"/>
      <c r="C57" s="515"/>
      <c r="D57" s="515"/>
      <c r="E57" s="517"/>
      <c r="F57" s="518"/>
      <c r="G57" s="515"/>
      <c r="H57" s="519" t="str">
        <f>_xll.RssMarket("d7","現在値")</f>
        <v/>
      </c>
      <c r="I57" s="519" t="str">
        <f t="array" ref="I57">_xll.RssMarket(B57, "出来高加重平均")</f>
        <v/>
      </c>
      <c r="J57" s="519" t="str">
        <f t="array" ref="J57">_xll.RssMarket(B57, "前日比")</f>
        <v/>
      </c>
      <c r="K57" s="519" t="str">
        <f t="shared" si="39"/>
        <v/>
      </c>
      <c r="L57" s="520" t="str">
        <f t="shared" si="40"/>
        <v/>
      </c>
      <c r="M57" s="519" t="str">
        <f t="shared" si="41"/>
        <v/>
      </c>
      <c r="N57" s="519" t="str">
        <f t="shared" si="42"/>
        <v/>
      </c>
      <c r="O57" s="521" t="str">
        <f t="shared" si="43"/>
        <v/>
      </c>
      <c r="P57" s="519" t="str">
        <f t="array" aca="1" ref="P57" ca="1">IF(B57="","",IFERROR(MAX(OFFSET(高値!$E$6,MATCH(TEXT(B57,"0"),TEXT(銘柄管理!$B$6:$B$305,"0"),0)-1,0,1,10)),""))</f>
        <v/>
      </c>
      <c r="Q57" s="519" t="str">
        <f t="array" aca="1" ref="Q57" ca="1">IF(B57="","",IFERROR(MIN(OFFSET(安値!$E$6,MATCH(TEXT(B57,"0"),TEXT(銘柄管理!$B$6:$B$305,"0"),0)-1,0,1,10)),""))</f>
        <v/>
      </c>
      <c r="R57" s="519" t="str">
        <f t="shared" ca="1" si="35"/>
        <v/>
      </c>
      <c r="S57" s="522" t="str">
        <f t="shared" si="44"/>
        <v/>
      </c>
      <c r="T57" s="515"/>
      <c r="U57" s="515"/>
      <c r="V57" s="519" t="str">
        <f t="shared" si="45"/>
        <v/>
      </c>
      <c r="W57" s="523" t="str">
        <f t="shared" ca="1" si="37"/>
        <v/>
      </c>
      <c r="X57" s="515"/>
      <c r="Y57" s="513"/>
      <c r="Z57" s="499"/>
    </row>
    <row r="58" spans="1:26" ht="17.25" customHeight="1">
      <c r="A58" s="514" t="str">
        <f t="shared" si="23"/>
        <v/>
      </c>
      <c r="B58" s="515"/>
      <c r="C58" s="515"/>
      <c r="D58" s="515"/>
      <c r="E58" s="517"/>
      <c r="F58" s="518"/>
      <c r="G58" s="515"/>
      <c r="H58" s="519" t="str">
        <f>_xll.RssMarket("d7","現在値")</f>
        <v/>
      </c>
      <c r="I58" s="519" t="str">
        <f t="array" ref="I58">_xll.RssMarket(B58, "出来高加重平均")</f>
        <v/>
      </c>
      <c r="J58" s="519" t="str">
        <f t="array" ref="J58">_xll.RssMarket(B58, "前日比")</f>
        <v/>
      </c>
      <c r="K58" s="519" t="str">
        <f t="shared" si="39"/>
        <v/>
      </c>
      <c r="L58" s="520" t="str">
        <f t="shared" si="40"/>
        <v/>
      </c>
      <c r="M58" s="519" t="str">
        <f t="shared" si="41"/>
        <v/>
      </c>
      <c r="N58" s="519" t="str">
        <f t="shared" si="42"/>
        <v/>
      </c>
      <c r="O58" s="521" t="str">
        <f t="shared" si="43"/>
        <v/>
      </c>
      <c r="P58" s="519" t="str">
        <f t="array" aca="1" ref="P58" ca="1">IF(B58="","",IFERROR(MAX(OFFSET(高値!$E$6,MATCH(TEXT(B58,"0"),TEXT(銘柄管理!$B$6:$B$305,"0"),0)-1,0,1,10)),""))</f>
        <v/>
      </c>
      <c r="Q58" s="519" t="str">
        <f t="array" aca="1" ref="Q58" ca="1">IF(B58="","",IFERROR(MIN(OFFSET(安値!$E$6,MATCH(TEXT(B58,"0"),TEXT(銘柄管理!$B$6:$B$305,"0"),0)-1,0,1,10)),""))</f>
        <v/>
      </c>
      <c r="R58" s="519" t="str">
        <f t="shared" ca="1" si="35"/>
        <v/>
      </c>
      <c r="S58" s="522" t="str">
        <f t="shared" si="44"/>
        <v/>
      </c>
      <c r="T58" s="515"/>
      <c r="U58" s="515"/>
      <c r="V58" s="519" t="str">
        <f t="shared" si="45"/>
        <v/>
      </c>
      <c r="W58" s="523" t="str">
        <f t="shared" ca="1" si="37"/>
        <v/>
      </c>
      <c r="X58" s="515"/>
      <c r="Y58" s="513"/>
      <c r="Z58" s="499"/>
    </row>
    <row r="59" spans="1:26" ht="17.25" customHeight="1">
      <c r="A59" s="514" t="str">
        <f t="shared" si="23"/>
        <v/>
      </c>
      <c r="B59" s="515"/>
      <c r="C59" s="515"/>
      <c r="D59" s="515"/>
      <c r="E59" s="517"/>
      <c r="F59" s="518"/>
      <c r="G59" s="515"/>
      <c r="H59" s="519" t="str">
        <f>_xll.RssMarket("d7","現在値")</f>
        <v/>
      </c>
      <c r="I59" s="519" t="str">
        <f t="array" ref="I59">_xll.RssMarket(B59, "出来高加重平均")</f>
        <v/>
      </c>
      <c r="J59" s="519" t="str">
        <f t="array" ref="J59">_xll.RssMarket(B59, "前日比")</f>
        <v/>
      </c>
      <c r="K59" s="519" t="str">
        <f t="shared" si="39"/>
        <v/>
      </c>
      <c r="L59" s="520" t="str">
        <f t="shared" si="40"/>
        <v/>
      </c>
      <c r="M59" s="519" t="str">
        <f t="shared" si="41"/>
        <v/>
      </c>
      <c r="N59" s="519" t="str">
        <f t="shared" si="42"/>
        <v/>
      </c>
      <c r="O59" s="521" t="str">
        <f t="shared" si="43"/>
        <v/>
      </c>
      <c r="P59" s="519" t="str">
        <f t="array" aca="1" ref="P59" ca="1">IF(B59="","",IFERROR(MAX(OFFSET(高値!$E$6,MATCH(TEXT(B59,"0"),TEXT(銘柄管理!$B$6:$B$305,"0"),0)-1,0,1,10)),""))</f>
        <v/>
      </c>
      <c r="Q59" s="519" t="str">
        <f t="array" aca="1" ref="Q59" ca="1">IF(B59="","",IFERROR(MIN(OFFSET(安値!$E$6,MATCH(TEXT(B59,"0"),TEXT(銘柄管理!$B$6:$B$305,"0"),0)-1,0,1,10)),""))</f>
        <v/>
      </c>
      <c r="R59" s="519" t="str">
        <f t="shared" ca="1" si="35"/>
        <v/>
      </c>
      <c r="S59" s="522" t="str">
        <f t="shared" si="44"/>
        <v/>
      </c>
      <c r="T59" s="515"/>
      <c r="U59" s="515"/>
      <c r="V59" s="519" t="str">
        <f t="shared" si="45"/>
        <v/>
      </c>
      <c r="W59" s="523" t="str">
        <f t="shared" ca="1" si="37"/>
        <v/>
      </c>
      <c r="X59" s="515"/>
      <c r="Y59" s="513"/>
      <c r="Z59" s="499"/>
    </row>
    <row r="60" spans="1:26" ht="17.25" customHeight="1">
      <c r="A60" s="514" t="str">
        <f t="shared" si="23"/>
        <v/>
      </c>
      <c r="B60" s="515"/>
      <c r="C60" s="515"/>
      <c r="D60" s="515"/>
      <c r="E60" s="517"/>
      <c r="F60" s="518"/>
      <c r="G60" s="515"/>
      <c r="H60" s="519" t="str">
        <f>_xll.RssMarket("d7","現在値")</f>
        <v/>
      </c>
      <c r="I60" s="519" t="str">
        <f t="array" ref="I60">_xll.RssMarket(B60, "出来高加重平均")</f>
        <v/>
      </c>
      <c r="J60" s="519" t="str">
        <f t="array" ref="J60">_xll.RssMarket(B60, "前日比")</f>
        <v/>
      </c>
      <c r="K60" s="519" t="str">
        <f t="shared" si="39"/>
        <v/>
      </c>
      <c r="L60" s="520" t="str">
        <f t="shared" si="40"/>
        <v/>
      </c>
      <c r="M60" s="519" t="str">
        <f t="shared" si="41"/>
        <v/>
      </c>
      <c r="N60" s="519" t="str">
        <f t="shared" si="42"/>
        <v/>
      </c>
      <c r="O60" s="521" t="str">
        <f t="shared" si="43"/>
        <v/>
      </c>
      <c r="P60" s="519" t="str">
        <f t="array" aca="1" ref="P60" ca="1">IF(B60="","",IFERROR(MAX(OFFSET(高値!$E$6,MATCH(TEXT(B60,"0"),TEXT(銘柄管理!$B$6:$B$305,"0"),0)-1,0,1,10)),""))</f>
        <v/>
      </c>
      <c r="Q60" s="519" t="str">
        <f t="array" aca="1" ref="Q60" ca="1">IF(B60="","",IFERROR(MIN(OFFSET(安値!$E$6,MATCH(TEXT(B60,"0"),TEXT(銘柄管理!$B$6:$B$305,"0"),0)-1,0,1,10)),""))</f>
        <v/>
      </c>
      <c r="R60" s="519" t="str">
        <f t="shared" ca="1" si="35"/>
        <v/>
      </c>
      <c r="S60" s="522" t="str">
        <f t="shared" si="44"/>
        <v/>
      </c>
      <c r="T60" s="515"/>
      <c r="U60" s="515"/>
      <c r="V60" s="519" t="str">
        <f t="shared" si="45"/>
        <v/>
      </c>
      <c r="W60" s="523" t="str">
        <f t="shared" ca="1" si="37"/>
        <v/>
      </c>
      <c r="X60" s="515"/>
      <c r="Y60" s="513"/>
      <c r="Z60" s="499"/>
    </row>
    <row r="61" spans="1:26" ht="17.25" customHeight="1">
      <c r="A61" s="514" t="str">
        <f t="shared" si="23"/>
        <v/>
      </c>
      <c r="B61" s="515"/>
      <c r="C61" s="515"/>
      <c r="D61" s="515"/>
      <c r="E61" s="517"/>
      <c r="F61" s="518"/>
      <c r="G61" s="515"/>
      <c r="H61" s="519" t="str">
        <f>_xll.RssMarket("d7","現在値")</f>
        <v/>
      </c>
      <c r="I61" s="519" t="str">
        <f t="array" ref="I61">_xll.RssMarket(B61, "出来高加重平均")</f>
        <v/>
      </c>
      <c r="J61" s="519" t="str">
        <f t="array" ref="J61">_xll.RssMarket(B61, "前日比")</f>
        <v/>
      </c>
      <c r="K61" s="519" t="str">
        <f t="shared" si="39"/>
        <v/>
      </c>
      <c r="L61" s="520" t="str">
        <f t="shared" si="40"/>
        <v/>
      </c>
      <c r="M61" s="519" t="str">
        <f t="shared" si="41"/>
        <v/>
      </c>
      <c r="N61" s="519" t="str">
        <f t="shared" si="42"/>
        <v/>
      </c>
      <c r="O61" s="521" t="str">
        <f t="shared" si="43"/>
        <v/>
      </c>
      <c r="P61" s="519" t="str">
        <f t="array" aca="1" ref="P61" ca="1">IF(B61="","",IFERROR(MAX(OFFSET(高値!$E$6,MATCH(TEXT(B61,"0"),TEXT(銘柄管理!$B$6:$B$305,"0"),0)-1,0,1,10)),""))</f>
        <v/>
      </c>
      <c r="Q61" s="519" t="str">
        <f t="array" aca="1" ref="Q61" ca="1">IF(B61="","",IFERROR(MIN(OFFSET(安値!$E$6,MATCH(TEXT(B61,"0"),TEXT(銘柄管理!$B$6:$B$305,"0"),0)-1,0,1,10)),""))</f>
        <v/>
      </c>
      <c r="R61" s="519" t="str">
        <f t="shared" ca="1" si="35"/>
        <v/>
      </c>
      <c r="S61" s="522" t="str">
        <f t="shared" si="44"/>
        <v/>
      </c>
      <c r="T61" s="515"/>
      <c r="U61" s="515"/>
      <c r="V61" s="519" t="str">
        <f t="shared" si="45"/>
        <v/>
      </c>
      <c r="W61" s="523" t="str">
        <f t="shared" ca="1" si="37"/>
        <v/>
      </c>
      <c r="X61" s="515"/>
      <c r="Y61" s="513"/>
      <c r="Z61" s="499"/>
    </row>
    <row r="62" spans="1:26" ht="17.25" customHeight="1">
      <c r="A62" s="514" t="str">
        <f t="shared" si="23"/>
        <v/>
      </c>
      <c r="B62" s="515"/>
      <c r="C62" s="515"/>
      <c r="D62" s="515"/>
      <c r="E62" s="517"/>
      <c r="F62" s="518"/>
      <c r="G62" s="515"/>
      <c r="H62" s="519" t="str">
        <f>_xll.RssMarket("d7","現在値")</f>
        <v/>
      </c>
      <c r="I62" s="519" t="str">
        <f t="array" ref="I62">_xll.RssMarket(B62, "出来高加重平均")</f>
        <v/>
      </c>
      <c r="J62" s="519" t="str">
        <f t="array" ref="J62">_xll.RssMarket(B62, "前日比")</f>
        <v/>
      </c>
      <c r="K62" s="519" t="str">
        <f t="shared" si="39"/>
        <v/>
      </c>
      <c r="L62" s="520" t="str">
        <f t="shared" si="40"/>
        <v/>
      </c>
      <c r="M62" s="519" t="str">
        <f t="shared" si="41"/>
        <v/>
      </c>
      <c r="N62" s="519" t="str">
        <f t="shared" si="42"/>
        <v/>
      </c>
      <c r="O62" s="521" t="str">
        <f t="shared" si="43"/>
        <v/>
      </c>
      <c r="P62" s="519" t="str">
        <f t="array" aca="1" ref="P62" ca="1">IF(B62="","",IFERROR(MAX(OFFSET(高値!$E$6,MATCH(TEXT(B62,"0"),TEXT(銘柄管理!$B$6:$B$305,"0"),0)-1,0,1,10)),""))</f>
        <v/>
      </c>
      <c r="Q62" s="519" t="str">
        <f t="array" aca="1" ref="Q62" ca="1">IF(B62="","",IFERROR(MIN(OFFSET(安値!$E$6,MATCH(TEXT(B62,"0"),TEXT(銘柄管理!$B$6:$B$305,"0"),0)-1,0,1,10)),""))</f>
        <v/>
      </c>
      <c r="R62" s="519" t="str">
        <f t="shared" ca="1" si="35"/>
        <v/>
      </c>
      <c r="S62" s="522" t="str">
        <f t="shared" si="44"/>
        <v/>
      </c>
      <c r="T62" s="515"/>
      <c r="U62" s="515"/>
      <c r="V62" s="519" t="str">
        <f t="shared" si="45"/>
        <v/>
      </c>
      <c r="W62" s="523" t="str">
        <f t="shared" ca="1" si="37"/>
        <v/>
      </c>
      <c r="X62" s="515"/>
      <c r="Y62" s="513"/>
      <c r="Z62" s="499"/>
    </row>
    <row r="63" spans="1:26" ht="17.25" customHeight="1">
      <c r="A63" s="514" t="str">
        <f t="shared" si="23"/>
        <v/>
      </c>
      <c r="B63" s="515"/>
      <c r="C63" s="515"/>
      <c r="D63" s="515"/>
      <c r="E63" s="517"/>
      <c r="F63" s="518"/>
      <c r="G63" s="515"/>
      <c r="H63" s="519" t="str">
        <f>_xll.RssMarket("d7","現在値")</f>
        <v/>
      </c>
      <c r="I63" s="519" t="str">
        <f t="array" ref="I63">_xll.RssMarket(B63, "出来高加重平均")</f>
        <v/>
      </c>
      <c r="J63" s="519" t="str">
        <f t="array" ref="J63">_xll.RssMarket(B63, "前日比")</f>
        <v/>
      </c>
      <c r="K63" s="519" t="str">
        <f t="shared" si="39"/>
        <v/>
      </c>
      <c r="L63" s="520" t="str">
        <f t="shared" si="40"/>
        <v/>
      </c>
      <c r="M63" s="519" t="str">
        <f t="shared" si="41"/>
        <v/>
      </c>
      <c r="N63" s="519" t="str">
        <f t="shared" si="42"/>
        <v/>
      </c>
      <c r="O63" s="521" t="str">
        <f t="shared" si="43"/>
        <v/>
      </c>
      <c r="P63" s="519" t="str">
        <f t="array" aca="1" ref="P63" ca="1">IF(B63="","",IFERROR(MAX(OFFSET(高値!$E$6,MATCH(TEXT(B63,"0"),TEXT(銘柄管理!$B$6:$B$305,"0"),0)-1,0,1,10)),""))</f>
        <v/>
      </c>
      <c r="Q63" s="519" t="str">
        <f t="array" aca="1" ref="Q63" ca="1">IF(B63="","",IFERROR(MIN(OFFSET(安値!$E$6,MATCH(TEXT(B63,"0"),TEXT(銘柄管理!$B$6:$B$305,"0"),0)-1,0,1,10)),""))</f>
        <v/>
      </c>
      <c r="R63" s="519" t="str">
        <f t="shared" ca="1" si="35"/>
        <v/>
      </c>
      <c r="S63" s="522" t="str">
        <f t="shared" si="44"/>
        <v/>
      </c>
      <c r="T63" s="515"/>
      <c r="U63" s="515"/>
      <c r="V63" s="519" t="str">
        <f t="shared" si="45"/>
        <v/>
      </c>
      <c r="W63" s="523" t="str">
        <f t="shared" ca="1" si="37"/>
        <v/>
      </c>
      <c r="X63" s="515"/>
      <c r="Y63" s="513"/>
      <c r="Z63" s="499"/>
    </row>
    <row r="64" spans="1:26" ht="17.25" customHeight="1">
      <c r="A64" s="514" t="str">
        <f t="shared" si="23"/>
        <v/>
      </c>
      <c r="B64" s="515"/>
      <c r="C64" s="515"/>
      <c r="D64" s="515"/>
      <c r="E64" s="517"/>
      <c r="F64" s="518"/>
      <c r="G64" s="515"/>
      <c r="H64" s="519" t="str">
        <f>_xll.RssMarket("d7","現在値")</f>
        <v/>
      </c>
      <c r="I64" s="519" t="str">
        <f t="array" ref="I64">_xll.RssMarket(B64, "出来高加重平均")</f>
        <v/>
      </c>
      <c r="J64" s="519" t="str">
        <f t="array" ref="J64">_xll.RssMarket(B64, "前日比")</f>
        <v/>
      </c>
      <c r="K64" s="519" t="str">
        <f t="shared" si="39"/>
        <v/>
      </c>
      <c r="L64" s="520" t="str">
        <f t="shared" si="40"/>
        <v/>
      </c>
      <c r="M64" s="519" t="str">
        <f t="shared" si="41"/>
        <v/>
      </c>
      <c r="N64" s="519" t="str">
        <f t="shared" si="42"/>
        <v/>
      </c>
      <c r="O64" s="521" t="str">
        <f t="shared" si="43"/>
        <v/>
      </c>
      <c r="P64" s="519" t="str">
        <f t="array" aca="1" ref="P64" ca="1">IF(B64="","",IFERROR(MAX(OFFSET(高値!$E$6,MATCH(TEXT(B64,"0"),TEXT(銘柄管理!$B$6:$B$305,"0"),0)-1,0,1,10)),""))</f>
        <v/>
      </c>
      <c r="Q64" s="519" t="str">
        <f t="array" aca="1" ref="Q64" ca="1">IF(B64="","",IFERROR(MIN(OFFSET(安値!$E$6,MATCH(TEXT(B64,"0"),TEXT(銘柄管理!$B$6:$B$305,"0"),0)-1,0,1,10)),""))</f>
        <v/>
      </c>
      <c r="R64" s="519" t="str">
        <f t="shared" ca="1" si="35"/>
        <v/>
      </c>
      <c r="S64" s="522" t="str">
        <f t="shared" si="44"/>
        <v/>
      </c>
      <c r="T64" s="515"/>
      <c r="U64" s="515"/>
      <c r="V64" s="519" t="str">
        <f t="shared" si="45"/>
        <v/>
      </c>
      <c r="W64" s="523" t="str">
        <f t="shared" ca="1" si="37"/>
        <v/>
      </c>
      <c r="X64" s="515"/>
      <c r="Y64" s="513"/>
      <c r="Z64" s="499"/>
    </row>
    <row r="65" spans="1:26" ht="17.25" customHeight="1">
      <c r="A65" s="514" t="str">
        <f t="shared" si="23"/>
        <v/>
      </c>
      <c r="B65" s="515"/>
      <c r="C65" s="515"/>
      <c r="D65" s="515"/>
      <c r="E65" s="517"/>
      <c r="F65" s="518"/>
      <c r="G65" s="515"/>
      <c r="H65" s="519" t="str">
        <f>_xll.RssMarket("d7","現在値")</f>
        <v/>
      </c>
      <c r="I65" s="519" t="str">
        <f t="array" ref="I65">_xll.RssMarket(B65, "出来高加重平均")</f>
        <v/>
      </c>
      <c r="J65" s="519" t="str">
        <f t="array" ref="J65">_xll.RssMarket(B65, "前日比")</f>
        <v/>
      </c>
      <c r="K65" s="519" t="str">
        <f t="shared" si="39"/>
        <v/>
      </c>
      <c r="L65" s="520" t="str">
        <f t="shared" si="40"/>
        <v/>
      </c>
      <c r="M65" s="519" t="str">
        <f t="shared" si="41"/>
        <v/>
      </c>
      <c r="N65" s="519" t="str">
        <f t="shared" si="42"/>
        <v/>
      </c>
      <c r="O65" s="521" t="str">
        <f t="shared" si="43"/>
        <v/>
      </c>
      <c r="P65" s="519" t="str">
        <f t="array" aca="1" ref="P65" ca="1">IF(B65="","",IFERROR(MAX(OFFSET(高値!$E$6,MATCH(TEXT(B65,"0"),TEXT(銘柄管理!$B$6:$B$305,"0"),0)-1,0,1,10)),""))</f>
        <v/>
      </c>
      <c r="Q65" s="519" t="str">
        <f t="array" aca="1" ref="Q65" ca="1">IF(B65="","",IFERROR(MIN(OFFSET(安値!$E$6,MATCH(TEXT(B65,"0"),TEXT(銘柄管理!$B$6:$B$305,"0"),0)-1,0,1,10)),""))</f>
        <v/>
      </c>
      <c r="R65" s="519" t="str">
        <f t="shared" ca="1" si="35"/>
        <v/>
      </c>
      <c r="S65" s="522" t="str">
        <f t="shared" si="44"/>
        <v/>
      </c>
      <c r="T65" s="515"/>
      <c r="U65" s="515"/>
      <c r="V65" s="519" t="str">
        <f t="shared" si="45"/>
        <v/>
      </c>
      <c r="W65" s="523" t="str">
        <f t="shared" ca="1" si="37"/>
        <v/>
      </c>
      <c r="X65" s="515"/>
      <c r="Y65" s="513"/>
      <c r="Z65" s="499"/>
    </row>
    <row r="66" spans="1:26" ht="17.25" customHeight="1">
      <c r="A66" s="514" t="str">
        <f t="shared" si="23"/>
        <v/>
      </c>
      <c r="B66" s="515"/>
      <c r="C66" s="515"/>
      <c r="D66" s="515"/>
      <c r="E66" s="517"/>
      <c r="F66" s="518"/>
      <c r="G66" s="515"/>
      <c r="H66" s="519" t="str">
        <f>_xll.RssMarket("d7","現在値")</f>
        <v/>
      </c>
      <c r="I66" s="519" t="str">
        <f t="array" ref="I66">_xll.RssMarket(B66, "出来高加重平均")</f>
        <v/>
      </c>
      <c r="J66" s="519" t="str">
        <f t="array" ref="J66">_xll.RssMarket(B66, "前日比")</f>
        <v/>
      </c>
      <c r="K66" s="519" t="str">
        <f t="shared" si="39"/>
        <v/>
      </c>
      <c r="L66" s="520" t="str">
        <f t="shared" si="40"/>
        <v/>
      </c>
      <c r="M66" s="519" t="str">
        <f t="shared" si="41"/>
        <v/>
      </c>
      <c r="N66" s="519" t="str">
        <f t="shared" si="42"/>
        <v/>
      </c>
      <c r="O66" s="521" t="str">
        <f t="shared" si="43"/>
        <v/>
      </c>
      <c r="P66" s="519" t="str">
        <f t="array" aca="1" ref="P66" ca="1">IF(B66="","",IFERROR(MAX(OFFSET(高値!$E$6,MATCH(TEXT(B66,"0"),TEXT(銘柄管理!$B$6:$B$305,"0"),0)-1,0,1,10)),""))</f>
        <v/>
      </c>
      <c r="Q66" s="519" t="str">
        <f t="array" aca="1" ref="Q66" ca="1">IF(B66="","",IFERROR(MIN(OFFSET(安値!$E$6,MATCH(TEXT(B66,"0"),TEXT(銘柄管理!$B$6:$B$305,"0"),0)-1,0,1,10)),""))</f>
        <v/>
      </c>
      <c r="R66" s="519" t="str">
        <f t="shared" ca="1" si="35"/>
        <v/>
      </c>
      <c r="S66" s="522" t="str">
        <f t="shared" si="44"/>
        <v/>
      </c>
      <c r="T66" s="515"/>
      <c r="U66" s="515"/>
      <c r="V66" s="519" t="str">
        <f t="shared" si="45"/>
        <v/>
      </c>
      <c r="W66" s="523" t="str">
        <f t="shared" ca="1" si="37"/>
        <v/>
      </c>
      <c r="X66" s="515"/>
      <c r="Y66" s="513"/>
      <c r="Z66" s="499"/>
    </row>
    <row r="67" spans="1:26" ht="17.25" customHeight="1">
      <c r="A67" s="514" t="str">
        <f t="shared" si="23"/>
        <v/>
      </c>
      <c r="B67" s="515"/>
      <c r="C67" s="515"/>
      <c r="D67" s="515"/>
      <c r="E67" s="517"/>
      <c r="F67" s="518"/>
      <c r="G67" s="515"/>
      <c r="H67" s="519" t="str">
        <f>_xll.RssMarket("d7","現在値")</f>
        <v/>
      </c>
      <c r="I67" s="519" t="str">
        <f t="array" ref="I67">_xll.RssMarket(B67, "出来高加重平均")</f>
        <v/>
      </c>
      <c r="J67" s="519" t="str">
        <f t="array" ref="J67">_xll.RssMarket(B67, "前日比")</f>
        <v/>
      </c>
      <c r="K67" s="519" t="str">
        <f t="shared" si="39"/>
        <v/>
      </c>
      <c r="L67" s="520" t="str">
        <f t="shared" si="40"/>
        <v/>
      </c>
      <c r="M67" s="519" t="str">
        <f t="shared" si="41"/>
        <v/>
      </c>
      <c r="N67" s="519" t="str">
        <f t="shared" si="42"/>
        <v/>
      </c>
      <c r="O67" s="521" t="str">
        <f t="shared" si="43"/>
        <v/>
      </c>
      <c r="P67" s="519" t="str">
        <f t="array" aca="1" ref="P67" ca="1">IF(B67="","",IFERROR(MAX(OFFSET(高値!$E$6,MATCH(TEXT(B67,"0"),TEXT(銘柄管理!$B$6:$B$305,"0"),0)-1,0,1,10)),""))</f>
        <v/>
      </c>
      <c r="Q67" s="519" t="str">
        <f t="array" aca="1" ref="Q67" ca="1">IF(B67="","",IFERROR(MIN(OFFSET(安値!$E$6,MATCH(TEXT(B67,"0"),TEXT(銘柄管理!$B$6:$B$305,"0"),0)-1,0,1,10)),""))</f>
        <v/>
      </c>
      <c r="R67" s="519" t="str">
        <f t="shared" ca="1" si="35"/>
        <v/>
      </c>
      <c r="S67" s="522" t="str">
        <f t="shared" si="44"/>
        <v/>
      </c>
      <c r="T67" s="515"/>
      <c r="U67" s="515"/>
      <c r="V67" s="519" t="str">
        <f t="shared" si="45"/>
        <v/>
      </c>
      <c r="W67" s="523" t="str">
        <f t="shared" ca="1" si="37"/>
        <v/>
      </c>
      <c r="X67" s="515"/>
      <c r="Y67" s="513"/>
      <c r="Z67" s="499"/>
    </row>
    <row r="68" spans="1:26" ht="17.25" customHeight="1">
      <c r="A68" s="514" t="str">
        <f t="shared" si="23"/>
        <v/>
      </c>
      <c r="B68" s="515"/>
      <c r="C68" s="515"/>
      <c r="D68" s="515"/>
      <c r="E68" s="517"/>
      <c r="F68" s="518"/>
      <c r="G68" s="515"/>
      <c r="H68" s="519" t="str">
        <f>_xll.RssMarket("d7","現在値")</f>
        <v/>
      </c>
      <c r="I68" s="519" t="str">
        <f t="array" ref="I68">_xll.RssMarket(B68, "出来高加重平均")</f>
        <v/>
      </c>
      <c r="J68" s="519" t="str">
        <f t="array" ref="J68">_xll.RssMarket(B68, "前日比")</f>
        <v/>
      </c>
      <c r="K68" s="519" t="str">
        <f t="shared" si="39"/>
        <v/>
      </c>
      <c r="L68" s="520" t="str">
        <f t="shared" si="40"/>
        <v/>
      </c>
      <c r="M68" s="519" t="str">
        <f t="shared" si="41"/>
        <v/>
      </c>
      <c r="N68" s="519" t="str">
        <f t="shared" si="42"/>
        <v/>
      </c>
      <c r="O68" s="521" t="str">
        <f t="shared" si="43"/>
        <v/>
      </c>
      <c r="P68" s="519" t="str">
        <f t="array" aca="1" ref="P68" ca="1">IF(B68="","",IFERROR(MAX(OFFSET(高値!$E$6,MATCH(TEXT(B68,"0"),TEXT(銘柄管理!$B$6:$B$305,"0"),0)-1,0,1,10)),""))</f>
        <v/>
      </c>
      <c r="Q68" s="519" t="str">
        <f t="array" aca="1" ref="Q68" ca="1">IF(B68="","",IFERROR(MIN(OFFSET(安値!$E$6,MATCH(TEXT(B68,"0"),TEXT(銘柄管理!$B$6:$B$305,"0"),0)-1,0,1,10)),""))</f>
        <v/>
      </c>
      <c r="R68" s="519" t="str">
        <f t="shared" ca="1" si="35"/>
        <v/>
      </c>
      <c r="S68" s="522" t="str">
        <f t="shared" si="44"/>
        <v/>
      </c>
      <c r="T68" s="515"/>
      <c r="U68" s="515"/>
      <c r="V68" s="519" t="str">
        <f t="shared" si="45"/>
        <v/>
      </c>
      <c r="W68" s="523" t="str">
        <f t="shared" ca="1" si="37"/>
        <v/>
      </c>
      <c r="X68" s="515"/>
      <c r="Y68" s="513"/>
      <c r="Z68" s="499"/>
    </row>
    <row r="69" spans="1:26" ht="17.25" customHeight="1">
      <c r="A69" s="514" t="str">
        <f t="shared" si="23"/>
        <v/>
      </c>
      <c r="B69" s="515"/>
      <c r="C69" s="515"/>
      <c r="D69" s="515"/>
      <c r="E69" s="517"/>
      <c r="F69" s="518"/>
      <c r="G69" s="515"/>
      <c r="H69" s="519" t="str">
        <f>_xll.RssMarket("d7","現在値")</f>
        <v/>
      </c>
      <c r="I69" s="519" t="str">
        <f t="array" ref="I69">_xll.RssMarket(B69, "出来高加重平均")</f>
        <v/>
      </c>
      <c r="J69" s="519" t="str">
        <f t="array" ref="J69">_xll.RssMarket(B69, "前日比")</f>
        <v/>
      </c>
      <c r="K69" s="519" t="str">
        <f t="shared" si="39"/>
        <v/>
      </c>
      <c r="L69" s="520" t="str">
        <f t="shared" si="40"/>
        <v/>
      </c>
      <c r="M69" s="519" t="str">
        <f t="shared" si="41"/>
        <v/>
      </c>
      <c r="N69" s="519" t="str">
        <f t="shared" si="42"/>
        <v/>
      </c>
      <c r="O69" s="521" t="str">
        <f t="shared" si="43"/>
        <v/>
      </c>
      <c r="P69" s="519" t="str">
        <f t="array" aca="1" ref="P69" ca="1">IF(B69="","",IFERROR(MAX(OFFSET(高値!$E$6,MATCH(TEXT(B69,"0"),TEXT(銘柄管理!$B$6:$B$305,"0"),0)-1,0,1,10)),""))</f>
        <v/>
      </c>
      <c r="Q69" s="519" t="str">
        <f t="array" aca="1" ref="Q69" ca="1">IF(B69="","",IFERROR(MIN(OFFSET(安値!$E$6,MATCH(TEXT(B69,"0"),TEXT(銘柄管理!$B$6:$B$305,"0"),0)-1,0,1,10)),""))</f>
        <v/>
      </c>
      <c r="R69" s="519" t="str">
        <f t="shared" ca="1" si="35"/>
        <v/>
      </c>
      <c r="S69" s="522" t="str">
        <f t="shared" si="44"/>
        <v/>
      </c>
      <c r="T69" s="515"/>
      <c r="U69" s="515"/>
      <c r="V69" s="519" t="str">
        <f t="shared" si="45"/>
        <v/>
      </c>
      <c r="W69" s="523" t="str">
        <f t="shared" ca="1" si="37"/>
        <v/>
      </c>
      <c r="X69" s="515"/>
      <c r="Y69" s="513"/>
      <c r="Z69" s="499"/>
    </row>
    <row r="70" spans="1:26" ht="17.25" customHeight="1">
      <c r="A70" s="514" t="str">
        <f t="shared" ref="A70:A133" si="46">IF(B70="","",HYPERLINK("https://kabutan.jp/stock/?code="&amp;B70,"株探"))</f>
        <v/>
      </c>
      <c r="B70" s="515"/>
      <c r="C70" s="515"/>
      <c r="D70" s="515"/>
      <c r="E70" s="517"/>
      <c r="F70" s="518"/>
      <c r="G70" s="515"/>
      <c r="H70" s="519" t="str">
        <f>_xll.RssMarket("d7","現在値")</f>
        <v/>
      </c>
      <c r="I70" s="519" t="str">
        <f t="array" ref="I70">_xll.RssMarket(B70, "出来高加重平均")</f>
        <v/>
      </c>
      <c r="J70" s="519" t="str">
        <f t="array" ref="J70">_xll.RssMarket(B70, "前日比")</f>
        <v/>
      </c>
      <c r="K70" s="519" t="str">
        <f t="shared" si="39"/>
        <v/>
      </c>
      <c r="L70" s="520" t="str">
        <f t="shared" si="40"/>
        <v/>
      </c>
      <c r="M70" s="519" t="str">
        <f t="shared" si="41"/>
        <v/>
      </c>
      <c r="N70" s="519" t="str">
        <f t="shared" si="42"/>
        <v/>
      </c>
      <c r="O70" s="521" t="str">
        <f t="shared" si="43"/>
        <v/>
      </c>
      <c r="P70" s="519" t="str">
        <f t="array" aca="1" ref="P70" ca="1">IF(B70="","",IFERROR(MAX(OFFSET(高値!$E$6,MATCH(TEXT(B70,"0"),TEXT(銘柄管理!$B$6:$B$305,"0"),0)-1,0,1,10)),""))</f>
        <v/>
      </c>
      <c r="Q70" s="519" t="str">
        <f t="array" aca="1" ref="Q70" ca="1">IF(B70="","",IFERROR(MIN(OFFSET(安値!$E$6,MATCH(TEXT(B70,"0"),TEXT(銘柄管理!$B$6:$B$305,"0"),0)-1,0,1,10)),""))</f>
        <v/>
      </c>
      <c r="R70" s="519" t="str">
        <f t="shared" ca="1" si="35"/>
        <v/>
      </c>
      <c r="S70" s="522" t="str">
        <f t="shared" si="44"/>
        <v/>
      </c>
      <c r="T70" s="515"/>
      <c r="U70" s="515"/>
      <c r="V70" s="519" t="str">
        <f t="shared" si="45"/>
        <v/>
      </c>
      <c r="W70" s="523" t="str">
        <f t="shared" ca="1" si="37"/>
        <v/>
      </c>
      <c r="X70" s="515"/>
      <c r="Y70" s="513"/>
      <c r="Z70" s="499"/>
    </row>
    <row r="71" spans="1:26" ht="17.25" customHeight="1">
      <c r="A71" s="514" t="str">
        <f t="shared" si="46"/>
        <v/>
      </c>
      <c r="B71" s="515"/>
      <c r="C71" s="515"/>
      <c r="D71" s="515"/>
      <c r="E71" s="517"/>
      <c r="F71" s="518"/>
      <c r="G71" s="515"/>
      <c r="H71" s="519" t="str">
        <f>_xll.RssMarket("d7","現在値")</f>
        <v/>
      </c>
      <c r="I71" s="519" t="str">
        <f t="array" ref="I71">_xll.RssMarket(B71, "出来高加重平均")</f>
        <v/>
      </c>
      <c r="J71" s="519" t="str">
        <f t="array" ref="J71">_xll.RssMarket(B71, "前日比")</f>
        <v/>
      </c>
      <c r="K71" s="519" t="str">
        <f t="shared" si="39"/>
        <v/>
      </c>
      <c r="L71" s="520" t="str">
        <f t="shared" si="40"/>
        <v/>
      </c>
      <c r="M71" s="519" t="str">
        <f t="shared" si="41"/>
        <v/>
      </c>
      <c r="N71" s="519" t="str">
        <f t="shared" si="42"/>
        <v/>
      </c>
      <c r="O71" s="521" t="str">
        <f t="shared" si="43"/>
        <v/>
      </c>
      <c r="P71" s="519" t="str">
        <f t="array" aca="1" ref="P71" ca="1">IF(B71="","",IFERROR(MAX(OFFSET(高値!$E$6,MATCH(TEXT(B71,"0"),TEXT(銘柄管理!$B$6:$B$305,"0"),0)-1,0,1,10)),""))</f>
        <v/>
      </c>
      <c r="Q71" s="519" t="str">
        <f t="array" aca="1" ref="Q71" ca="1">IF(B71="","",IFERROR(MIN(OFFSET(安値!$E$6,MATCH(TEXT(B71,"0"),TEXT(銘柄管理!$B$6:$B$305,"0"),0)-1,0,1,10)),""))</f>
        <v/>
      </c>
      <c r="R71" s="519" t="str">
        <f t="shared" ca="1" si="35"/>
        <v/>
      </c>
      <c r="S71" s="522" t="str">
        <f t="shared" si="44"/>
        <v/>
      </c>
      <c r="T71" s="515"/>
      <c r="U71" s="515"/>
      <c r="V71" s="519" t="str">
        <f t="shared" si="45"/>
        <v/>
      </c>
      <c r="W71" s="523" t="str">
        <f t="shared" ca="1" si="37"/>
        <v/>
      </c>
      <c r="X71" s="515"/>
      <c r="Y71" s="513"/>
      <c r="Z71" s="499"/>
    </row>
    <row r="72" spans="1:26" ht="17.25" customHeight="1">
      <c r="A72" s="514" t="str">
        <f t="shared" si="46"/>
        <v/>
      </c>
      <c r="B72" s="515"/>
      <c r="C72" s="515"/>
      <c r="D72" s="515"/>
      <c r="E72" s="517"/>
      <c r="F72" s="518"/>
      <c r="G72" s="515"/>
      <c r="H72" s="519" t="str">
        <f>_xll.RssMarket("d7","現在値")</f>
        <v/>
      </c>
      <c r="I72" s="519" t="str">
        <f t="array" ref="I72">_xll.RssMarket(B72, "出来高加重平均")</f>
        <v/>
      </c>
      <c r="J72" s="519" t="str">
        <f t="array" ref="J72">_xll.RssMarket(B72, "前日比")</f>
        <v/>
      </c>
      <c r="K72" s="519" t="str">
        <f t="shared" si="39"/>
        <v/>
      </c>
      <c r="L72" s="520" t="str">
        <f t="shared" si="40"/>
        <v/>
      </c>
      <c r="M72" s="519" t="str">
        <f t="shared" si="41"/>
        <v/>
      </c>
      <c r="N72" s="519" t="str">
        <f t="shared" si="42"/>
        <v/>
      </c>
      <c r="O72" s="521" t="str">
        <f t="shared" si="43"/>
        <v/>
      </c>
      <c r="P72" s="519" t="str">
        <f t="array" aca="1" ref="P72" ca="1">IF(B72="","",IFERROR(MAX(OFFSET(高値!$E$6,MATCH(TEXT(B72,"0"),TEXT(銘柄管理!$B$6:$B$305,"0"),0)-1,0,1,10)),""))</f>
        <v/>
      </c>
      <c r="Q72" s="519" t="str">
        <f t="array" aca="1" ref="Q72" ca="1">IF(B72="","",IFERROR(MIN(OFFSET(安値!$E$6,MATCH(TEXT(B72,"0"),TEXT(銘柄管理!$B$6:$B$305,"0"),0)-1,0,1,10)),""))</f>
        <v/>
      </c>
      <c r="R72" s="519" t="str">
        <f t="shared" ca="1" si="35"/>
        <v/>
      </c>
      <c r="S72" s="522" t="str">
        <f t="shared" si="44"/>
        <v/>
      </c>
      <c r="T72" s="515"/>
      <c r="U72" s="515"/>
      <c r="V72" s="519" t="str">
        <f t="shared" si="45"/>
        <v/>
      </c>
      <c r="W72" s="523" t="str">
        <f t="shared" ca="1" si="37"/>
        <v/>
      </c>
      <c r="X72" s="515"/>
      <c r="Y72" s="513"/>
      <c r="Z72" s="499"/>
    </row>
    <row r="73" spans="1:26" ht="17.25" customHeight="1">
      <c r="A73" s="514" t="str">
        <f t="shared" si="46"/>
        <v/>
      </c>
      <c r="B73" s="515"/>
      <c r="C73" s="515"/>
      <c r="D73" s="515"/>
      <c r="E73" s="517"/>
      <c r="F73" s="518"/>
      <c r="G73" s="515"/>
      <c r="H73" s="519" t="str">
        <f>_xll.RssMarket("d7","現在値")</f>
        <v/>
      </c>
      <c r="I73" s="519" t="str">
        <f t="array" ref="I73">_xll.RssMarket(B73, "出来高加重平均")</f>
        <v/>
      </c>
      <c r="J73" s="519" t="str">
        <f t="array" ref="J73">_xll.RssMarket(B73, "前日比")</f>
        <v/>
      </c>
      <c r="K73" s="519" t="str">
        <f t="shared" si="39"/>
        <v/>
      </c>
      <c r="L73" s="520" t="str">
        <f t="shared" si="40"/>
        <v/>
      </c>
      <c r="M73" s="519" t="str">
        <f t="shared" si="41"/>
        <v/>
      </c>
      <c r="N73" s="519" t="str">
        <f t="shared" si="42"/>
        <v/>
      </c>
      <c r="O73" s="521" t="str">
        <f t="shared" si="43"/>
        <v/>
      </c>
      <c r="P73" s="519" t="str">
        <f t="array" aca="1" ref="P73" ca="1">IF(B73="","",IFERROR(MAX(OFFSET(高値!$E$6,MATCH(TEXT(B73,"0"),TEXT(銘柄管理!$B$6:$B$305,"0"),0)-1,0,1,10)),""))</f>
        <v/>
      </c>
      <c r="Q73" s="519" t="str">
        <f t="array" aca="1" ref="Q73" ca="1">IF(B73="","",IFERROR(MIN(OFFSET(安値!$E$6,MATCH(TEXT(B73,"0"),TEXT(銘柄管理!$B$6:$B$305,"0"),0)-1,0,1,10)),""))</f>
        <v/>
      </c>
      <c r="R73" s="519" t="str">
        <f t="shared" ca="1" si="35"/>
        <v/>
      </c>
      <c r="S73" s="522" t="str">
        <f t="shared" si="44"/>
        <v/>
      </c>
      <c r="T73" s="515"/>
      <c r="U73" s="515"/>
      <c r="V73" s="519" t="str">
        <f t="shared" si="45"/>
        <v/>
      </c>
      <c r="W73" s="523" t="str">
        <f t="shared" ca="1" si="37"/>
        <v/>
      </c>
      <c r="X73" s="515"/>
      <c r="Y73" s="513"/>
      <c r="Z73" s="499"/>
    </row>
    <row r="74" spans="1:26" ht="17.25" customHeight="1">
      <c r="A74" s="514" t="str">
        <f t="shared" si="46"/>
        <v/>
      </c>
      <c r="B74" s="515"/>
      <c r="C74" s="515"/>
      <c r="D74" s="515"/>
      <c r="E74" s="517"/>
      <c r="F74" s="518"/>
      <c r="G74" s="515"/>
      <c r="H74" s="519" t="str">
        <f>_xll.RssMarket("d7","現在値")</f>
        <v/>
      </c>
      <c r="I74" s="519" t="str">
        <f t="array" ref="I74">_xll.RssMarket(B74, "出来高加重平均")</f>
        <v/>
      </c>
      <c r="J74" s="519" t="str">
        <f t="array" ref="J74">_xll.RssMarket(B74, "前日比")</f>
        <v/>
      </c>
      <c r="K74" s="519" t="str">
        <f t="shared" si="39"/>
        <v/>
      </c>
      <c r="L74" s="520" t="str">
        <f t="shared" si="40"/>
        <v/>
      </c>
      <c r="M74" s="519" t="str">
        <f t="shared" si="41"/>
        <v/>
      </c>
      <c r="N74" s="519" t="str">
        <f t="shared" si="42"/>
        <v/>
      </c>
      <c r="O74" s="521" t="str">
        <f t="shared" si="43"/>
        <v/>
      </c>
      <c r="P74" s="519" t="str">
        <f t="array" aca="1" ref="P74" ca="1">IF(B74="","",IFERROR(MAX(OFFSET(高値!$E$6,MATCH(TEXT(B74,"0"),TEXT(銘柄管理!$B$6:$B$305,"0"),0)-1,0,1,10)),""))</f>
        <v/>
      </c>
      <c r="Q74" s="519" t="str">
        <f t="array" aca="1" ref="Q74" ca="1">IF(B74="","",IFERROR(MIN(OFFSET(安値!$E$6,MATCH(TEXT(B74,"0"),TEXT(銘柄管理!$B$6:$B$305,"0"),0)-1,0,1,10)),""))</f>
        <v/>
      </c>
      <c r="R74" s="519" t="str">
        <f t="shared" ca="1" si="35"/>
        <v/>
      </c>
      <c r="S74" s="522" t="str">
        <f t="shared" si="44"/>
        <v/>
      </c>
      <c r="T74" s="515"/>
      <c r="U74" s="515"/>
      <c r="V74" s="519" t="str">
        <f t="shared" si="45"/>
        <v/>
      </c>
      <c r="W74" s="523" t="str">
        <f t="shared" ca="1" si="37"/>
        <v/>
      </c>
      <c r="X74" s="515"/>
      <c r="Y74" s="513"/>
      <c r="Z74" s="499"/>
    </row>
    <row r="75" spans="1:26" ht="17.25" customHeight="1">
      <c r="A75" s="514" t="str">
        <f t="shared" si="46"/>
        <v/>
      </c>
      <c r="B75" s="515"/>
      <c r="C75" s="515"/>
      <c r="D75" s="515"/>
      <c r="E75" s="517"/>
      <c r="F75" s="518"/>
      <c r="G75" s="515"/>
      <c r="H75" s="519" t="str">
        <f>_xll.RssMarket("d7","現在値")</f>
        <v/>
      </c>
      <c r="I75" s="519" t="str">
        <f t="array" ref="I75">_xll.RssMarket(B75, "出来高加重平均")</f>
        <v/>
      </c>
      <c r="J75" s="519" t="str">
        <f t="array" ref="J75">_xll.RssMarket(B75, "前日比")</f>
        <v/>
      </c>
      <c r="K75" s="519" t="str">
        <f t="shared" si="39"/>
        <v/>
      </c>
      <c r="L75" s="520" t="str">
        <f t="shared" si="40"/>
        <v/>
      </c>
      <c r="M75" s="519" t="str">
        <f t="shared" si="41"/>
        <v/>
      </c>
      <c r="N75" s="519" t="str">
        <f t="shared" si="42"/>
        <v/>
      </c>
      <c r="O75" s="521" t="str">
        <f t="shared" si="43"/>
        <v/>
      </c>
      <c r="P75" s="519" t="str">
        <f t="array" aca="1" ref="P75" ca="1">IF(B75="","",IFERROR(MAX(OFFSET(高値!$E$6,MATCH(TEXT(B75,"0"),TEXT(銘柄管理!$B$6:$B$305,"0"),0)-1,0,1,10)),""))</f>
        <v/>
      </c>
      <c r="Q75" s="519" t="str">
        <f t="array" aca="1" ref="Q75" ca="1">IF(B75="","",IFERROR(MIN(OFFSET(安値!$E$6,MATCH(TEXT(B75,"0"),TEXT(銘柄管理!$B$6:$B$305,"0"),0)-1,0,1,10)),""))</f>
        <v/>
      </c>
      <c r="R75" s="519" t="str">
        <f t="shared" ca="1" si="35"/>
        <v/>
      </c>
      <c r="S75" s="522" t="str">
        <f t="shared" si="44"/>
        <v/>
      </c>
      <c r="T75" s="515"/>
      <c r="U75" s="515"/>
      <c r="V75" s="519" t="str">
        <f t="shared" si="45"/>
        <v/>
      </c>
      <c r="W75" s="523" t="str">
        <f t="shared" ca="1" si="37"/>
        <v/>
      </c>
      <c r="X75" s="515"/>
      <c r="Y75" s="513"/>
      <c r="Z75" s="499"/>
    </row>
    <row r="76" spans="1:26" ht="17.25" customHeight="1">
      <c r="A76" s="514" t="str">
        <f t="shared" si="46"/>
        <v/>
      </c>
      <c r="B76" s="515"/>
      <c r="C76" s="515"/>
      <c r="D76" s="515"/>
      <c r="E76" s="517"/>
      <c r="F76" s="518"/>
      <c r="G76" s="515"/>
      <c r="H76" s="519" t="str">
        <f>_xll.RssMarket("d7","現在値")</f>
        <v/>
      </c>
      <c r="I76" s="519" t="str">
        <f t="array" ref="I76">_xll.RssMarket(B76, "出来高加重平均")</f>
        <v/>
      </c>
      <c r="J76" s="519" t="str">
        <f t="array" ref="J76">_xll.RssMarket(B76, "前日比")</f>
        <v/>
      </c>
      <c r="K76" s="519" t="str">
        <f t="shared" si="39"/>
        <v/>
      </c>
      <c r="L76" s="520" t="str">
        <f t="shared" si="40"/>
        <v/>
      </c>
      <c r="M76" s="519" t="str">
        <f t="shared" si="41"/>
        <v/>
      </c>
      <c r="N76" s="519" t="str">
        <f t="shared" si="42"/>
        <v/>
      </c>
      <c r="O76" s="521" t="str">
        <f t="shared" si="43"/>
        <v/>
      </c>
      <c r="P76" s="519" t="str">
        <f t="array" aca="1" ref="P76" ca="1">IF(B76="","",IFERROR(MAX(OFFSET(高値!$E$6,MATCH(TEXT(B76,"0"),TEXT(銘柄管理!$B$6:$B$305,"0"),0)-1,0,1,10)),""))</f>
        <v/>
      </c>
      <c r="Q76" s="519" t="str">
        <f t="array" aca="1" ref="Q76" ca="1">IF(B76="","",IFERROR(MIN(OFFSET(安値!$E$6,MATCH(TEXT(B76,"0"),TEXT(銘柄管理!$B$6:$B$305,"0"),0)-1,0,1,10)),""))</f>
        <v/>
      </c>
      <c r="R76" s="519" t="str">
        <f t="shared" ca="1" si="35"/>
        <v/>
      </c>
      <c r="S76" s="522" t="str">
        <f t="shared" si="44"/>
        <v/>
      </c>
      <c r="T76" s="515"/>
      <c r="U76" s="515"/>
      <c r="V76" s="519" t="str">
        <f t="shared" si="45"/>
        <v/>
      </c>
      <c r="W76" s="523" t="str">
        <f t="shared" ca="1" si="37"/>
        <v/>
      </c>
      <c r="X76" s="515"/>
      <c r="Y76" s="513"/>
      <c r="Z76" s="499"/>
    </row>
    <row r="77" spans="1:26" ht="17.25" customHeight="1">
      <c r="A77" s="514" t="str">
        <f t="shared" si="46"/>
        <v/>
      </c>
      <c r="B77" s="515"/>
      <c r="C77" s="515"/>
      <c r="D77" s="515"/>
      <c r="E77" s="517"/>
      <c r="F77" s="518"/>
      <c r="G77" s="515"/>
      <c r="H77" s="519" t="str">
        <f>_xll.RssMarket("d7","現在値")</f>
        <v/>
      </c>
      <c r="I77" s="519" t="str">
        <f t="array" ref="I77">_xll.RssMarket(B77, "出来高加重平均")</f>
        <v/>
      </c>
      <c r="J77" s="519" t="str">
        <f t="array" ref="J77">_xll.RssMarket(B77, "前日比")</f>
        <v/>
      </c>
      <c r="K77" s="519" t="str">
        <f t="shared" si="39"/>
        <v/>
      </c>
      <c r="L77" s="520" t="str">
        <f t="shared" si="40"/>
        <v/>
      </c>
      <c r="M77" s="519" t="str">
        <f t="shared" si="41"/>
        <v/>
      </c>
      <c r="N77" s="519" t="str">
        <f t="shared" si="42"/>
        <v/>
      </c>
      <c r="O77" s="521" t="str">
        <f t="shared" si="43"/>
        <v/>
      </c>
      <c r="P77" s="519" t="str">
        <f t="array" aca="1" ref="P77" ca="1">IF(B77="","",IFERROR(MAX(OFFSET(高値!$E$6,MATCH(TEXT(B77,"0"),TEXT(銘柄管理!$B$6:$B$305,"0"),0)-1,0,1,10)),""))</f>
        <v/>
      </c>
      <c r="Q77" s="519" t="str">
        <f t="array" aca="1" ref="Q77" ca="1">IF(B77="","",IFERROR(MIN(OFFSET(安値!$E$6,MATCH(TEXT(B77,"0"),TEXT(銘柄管理!$B$6:$B$305,"0"),0)-1,0,1,10)),""))</f>
        <v/>
      </c>
      <c r="R77" s="519" t="str">
        <f t="shared" ca="1" si="35"/>
        <v/>
      </c>
      <c r="S77" s="522" t="str">
        <f t="shared" si="44"/>
        <v/>
      </c>
      <c r="T77" s="515"/>
      <c r="U77" s="515"/>
      <c r="V77" s="519" t="str">
        <f t="shared" si="45"/>
        <v/>
      </c>
      <c r="W77" s="523" t="str">
        <f t="shared" ca="1" si="37"/>
        <v/>
      </c>
      <c r="X77" s="515"/>
      <c r="Y77" s="513"/>
      <c r="Z77" s="499"/>
    </row>
    <row r="78" spans="1:26" ht="17.25" customHeight="1">
      <c r="A78" s="514" t="str">
        <f t="shared" si="46"/>
        <v/>
      </c>
      <c r="B78" s="515"/>
      <c r="C78" s="515"/>
      <c r="D78" s="515"/>
      <c r="E78" s="517"/>
      <c r="F78" s="518"/>
      <c r="G78" s="515"/>
      <c r="H78" s="519" t="str">
        <f>_xll.RssMarket("d7","現在値")</f>
        <v/>
      </c>
      <c r="I78" s="519" t="str">
        <f t="array" ref="I78">_xll.RssMarket(B78, "出来高加重平均")</f>
        <v/>
      </c>
      <c r="J78" s="519" t="str">
        <f t="array" ref="J78">_xll.RssMarket(B78, "前日比")</f>
        <v/>
      </c>
      <c r="K78" s="519" t="str">
        <f t="shared" si="39"/>
        <v/>
      </c>
      <c r="L78" s="520" t="str">
        <f t="shared" si="40"/>
        <v/>
      </c>
      <c r="M78" s="519" t="str">
        <f t="shared" si="41"/>
        <v/>
      </c>
      <c r="N78" s="519" t="str">
        <f t="shared" si="42"/>
        <v/>
      </c>
      <c r="O78" s="521" t="str">
        <f t="shared" si="43"/>
        <v/>
      </c>
      <c r="P78" s="519" t="str">
        <f t="array" aca="1" ref="P78" ca="1">IF(B78="","",IFERROR(MAX(OFFSET(高値!$E$6,MATCH(TEXT(B78,"0"),TEXT(銘柄管理!$B$6:$B$305,"0"),0)-1,0,1,10)),""))</f>
        <v/>
      </c>
      <c r="Q78" s="519" t="str">
        <f t="array" aca="1" ref="Q78" ca="1">IF(B78="","",IFERROR(MIN(OFFSET(安値!$E$6,MATCH(TEXT(B78,"0"),TEXT(銘柄管理!$B$6:$B$305,"0"),0)-1,0,1,10)),""))</f>
        <v/>
      </c>
      <c r="R78" s="519" t="str">
        <f t="shared" ca="1" si="35"/>
        <v/>
      </c>
      <c r="S78" s="522" t="str">
        <f t="shared" si="44"/>
        <v/>
      </c>
      <c r="T78" s="515"/>
      <c r="U78" s="515"/>
      <c r="V78" s="519" t="str">
        <f t="shared" si="45"/>
        <v/>
      </c>
      <c r="W78" s="523" t="str">
        <f t="shared" ca="1" si="37"/>
        <v/>
      </c>
      <c r="X78" s="515"/>
      <c r="Y78" s="513"/>
      <c r="Z78" s="499"/>
    </row>
    <row r="79" spans="1:26" ht="17.25" customHeight="1">
      <c r="A79" s="514" t="str">
        <f t="shared" si="46"/>
        <v/>
      </c>
      <c r="B79" s="515"/>
      <c r="C79" s="515"/>
      <c r="D79" s="515"/>
      <c r="E79" s="517"/>
      <c r="F79" s="518"/>
      <c r="G79" s="515"/>
      <c r="H79" s="519" t="str">
        <f>_xll.RssMarket("d7","現在値")</f>
        <v/>
      </c>
      <c r="I79" s="519" t="str">
        <f t="array" ref="I79">_xll.RssMarket(B79, "出来高加重平均")</f>
        <v/>
      </c>
      <c r="J79" s="519" t="str">
        <f t="array" ref="J79">_xll.RssMarket(B79, "前日比")</f>
        <v/>
      </c>
      <c r="K79" s="519" t="str">
        <f t="shared" si="39"/>
        <v/>
      </c>
      <c r="L79" s="520" t="str">
        <f t="shared" si="40"/>
        <v/>
      </c>
      <c r="M79" s="519" t="str">
        <f t="shared" si="41"/>
        <v/>
      </c>
      <c r="N79" s="519" t="str">
        <f t="shared" si="42"/>
        <v/>
      </c>
      <c r="O79" s="521" t="str">
        <f t="shared" si="43"/>
        <v/>
      </c>
      <c r="P79" s="519" t="str">
        <f t="array" aca="1" ref="P79" ca="1">IF(B79="","",IFERROR(MAX(OFFSET(高値!$E$6,MATCH(TEXT(B79,"0"),TEXT(銘柄管理!$B$6:$B$305,"0"),0)-1,0,1,10)),""))</f>
        <v/>
      </c>
      <c r="Q79" s="519" t="str">
        <f t="array" aca="1" ref="Q79" ca="1">IF(B79="","",IFERROR(MIN(OFFSET(安値!$E$6,MATCH(TEXT(B79,"0"),TEXT(銘柄管理!$B$6:$B$305,"0"),0)-1,0,1,10)),""))</f>
        <v/>
      </c>
      <c r="R79" s="519" t="str">
        <f t="shared" ca="1" si="35"/>
        <v/>
      </c>
      <c r="S79" s="522" t="str">
        <f t="shared" si="44"/>
        <v/>
      </c>
      <c r="T79" s="515"/>
      <c r="U79" s="515"/>
      <c r="V79" s="519" t="str">
        <f t="shared" si="45"/>
        <v/>
      </c>
      <c r="W79" s="523" t="str">
        <f t="shared" ca="1" si="37"/>
        <v/>
      </c>
      <c r="X79" s="515"/>
      <c r="Y79" s="513"/>
      <c r="Z79" s="499"/>
    </row>
    <row r="80" spans="1:26" ht="17.25" customHeight="1">
      <c r="A80" s="514" t="str">
        <f t="shared" si="46"/>
        <v/>
      </c>
      <c r="B80" s="515"/>
      <c r="C80" s="515"/>
      <c r="D80" s="515"/>
      <c r="E80" s="517"/>
      <c r="F80" s="518"/>
      <c r="G80" s="515"/>
      <c r="H80" s="519" t="str">
        <f>_xll.RssMarket("d7","現在値")</f>
        <v/>
      </c>
      <c r="I80" s="519" t="str">
        <f t="array" ref="I80">_xll.RssMarket(B80, "出来高加重平均")</f>
        <v/>
      </c>
      <c r="J80" s="519" t="str">
        <f t="array" ref="J80">_xll.RssMarket(B80, "前日比")</f>
        <v/>
      </c>
      <c r="K80" s="519" t="str">
        <f t="shared" si="39"/>
        <v/>
      </c>
      <c r="L80" s="520" t="str">
        <f t="shared" si="40"/>
        <v/>
      </c>
      <c r="M80" s="519" t="str">
        <f t="shared" si="41"/>
        <v/>
      </c>
      <c r="N80" s="519" t="str">
        <f t="shared" si="42"/>
        <v/>
      </c>
      <c r="O80" s="521" t="str">
        <f t="shared" si="43"/>
        <v/>
      </c>
      <c r="P80" s="519" t="str">
        <f t="array" aca="1" ref="P80" ca="1">IF(B80="","",IFERROR(MAX(OFFSET(高値!$E$6,MATCH(TEXT(B80,"0"),TEXT(銘柄管理!$B$6:$B$305,"0"),0)-1,0,1,10)),""))</f>
        <v/>
      </c>
      <c r="Q80" s="519" t="str">
        <f t="array" aca="1" ref="Q80" ca="1">IF(B80="","",IFERROR(MIN(OFFSET(安値!$E$6,MATCH(TEXT(B80,"0"),TEXT(銘柄管理!$B$6:$B$305,"0"),0)-1,0,1,10)),""))</f>
        <v/>
      </c>
      <c r="R80" s="519" t="str">
        <f t="shared" ca="1" si="35"/>
        <v/>
      </c>
      <c r="S80" s="522" t="str">
        <f t="shared" si="44"/>
        <v/>
      </c>
      <c r="T80" s="515"/>
      <c r="U80" s="515"/>
      <c r="V80" s="519" t="str">
        <f t="shared" si="45"/>
        <v/>
      </c>
      <c r="W80" s="523" t="str">
        <f t="shared" ca="1" si="37"/>
        <v/>
      </c>
      <c r="X80" s="515"/>
      <c r="Y80" s="513"/>
      <c r="Z80" s="499"/>
    </row>
    <row r="81" spans="1:26" ht="17.25" customHeight="1">
      <c r="A81" s="514" t="str">
        <f t="shared" si="46"/>
        <v/>
      </c>
      <c r="B81" s="515"/>
      <c r="C81" s="515"/>
      <c r="D81" s="515"/>
      <c r="E81" s="517"/>
      <c r="F81" s="518"/>
      <c r="G81" s="515"/>
      <c r="H81" s="519" t="str">
        <f>_xll.RssMarket("d7","現在値")</f>
        <v/>
      </c>
      <c r="I81" s="519" t="str">
        <f t="array" ref="I81">_xll.RssMarket(B81, "出来高加重平均")</f>
        <v/>
      </c>
      <c r="J81" s="519" t="str">
        <f t="array" ref="J81">_xll.RssMarket(B81, "前日比")</f>
        <v/>
      </c>
      <c r="K81" s="519" t="str">
        <f t="shared" si="39"/>
        <v/>
      </c>
      <c r="L81" s="520" t="str">
        <f t="shared" si="40"/>
        <v/>
      </c>
      <c r="M81" s="519" t="str">
        <f t="shared" si="41"/>
        <v/>
      </c>
      <c r="N81" s="519" t="str">
        <f t="shared" si="42"/>
        <v/>
      </c>
      <c r="O81" s="521" t="str">
        <f t="shared" si="43"/>
        <v/>
      </c>
      <c r="P81" s="519" t="str">
        <f t="array" aca="1" ref="P81" ca="1">IF(B81="","",IFERROR(MAX(OFFSET(高値!$E$6,MATCH(TEXT(B81,"0"),TEXT(銘柄管理!$B$6:$B$305,"0"),0)-1,0,1,10)),""))</f>
        <v/>
      </c>
      <c r="Q81" s="519" t="str">
        <f t="array" aca="1" ref="Q81" ca="1">IF(B81="","",IFERROR(MIN(OFFSET(安値!$E$6,MATCH(TEXT(B81,"0"),TEXT(銘柄管理!$B$6:$B$305,"0"),0)-1,0,1,10)),""))</f>
        <v/>
      </c>
      <c r="R81" s="519" t="str">
        <f t="shared" ca="1" si="35"/>
        <v/>
      </c>
      <c r="S81" s="522" t="str">
        <f t="shared" si="44"/>
        <v/>
      </c>
      <c r="T81" s="515"/>
      <c r="U81" s="515"/>
      <c r="V81" s="519" t="str">
        <f t="shared" si="45"/>
        <v/>
      </c>
      <c r="W81" s="523" t="str">
        <f t="shared" ca="1" si="37"/>
        <v/>
      </c>
      <c r="X81" s="515"/>
      <c r="Y81" s="513"/>
      <c r="Z81" s="499"/>
    </row>
    <row r="82" spans="1:26" ht="17.25" customHeight="1">
      <c r="A82" s="514" t="str">
        <f t="shared" si="46"/>
        <v/>
      </c>
      <c r="B82" s="515"/>
      <c r="C82" s="515"/>
      <c r="D82" s="515"/>
      <c r="E82" s="517"/>
      <c r="F82" s="518"/>
      <c r="G82" s="515"/>
      <c r="H82" s="519" t="str">
        <f>_xll.RssMarket("d7","現在値")</f>
        <v/>
      </c>
      <c r="I82" s="519" t="str">
        <f t="array" ref="I82">_xll.RssMarket(B82, "出来高加重平均")</f>
        <v/>
      </c>
      <c r="J82" s="519" t="str">
        <f t="array" ref="J82">_xll.RssMarket(B82, "前日比")</f>
        <v/>
      </c>
      <c r="K82" s="519" t="str">
        <f t="shared" si="39"/>
        <v/>
      </c>
      <c r="L82" s="520" t="str">
        <f t="shared" si="40"/>
        <v/>
      </c>
      <c r="M82" s="519" t="str">
        <f t="shared" si="41"/>
        <v/>
      </c>
      <c r="N82" s="519" t="str">
        <f t="shared" si="42"/>
        <v/>
      </c>
      <c r="O82" s="521" t="str">
        <f t="shared" si="43"/>
        <v/>
      </c>
      <c r="P82" s="519" t="str">
        <f t="array" aca="1" ref="P82" ca="1">IF(B82="","",IFERROR(MAX(OFFSET(高値!$E$6,MATCH(TEXT(B82,"0"),TEXT(銘柄管理!$B$6:$B$305,"0"),0)-1,0,1,10)),""))</f>
        <v/>
      </c>
      <c r="Q82" s="519" t="str">
        <f t="array" aca="1" ref="Q82" ca="1">IF(B82="","",IFERROR(MIN(OFFSET(安値!$E$6,MATCH(TEXT(B82,"0"),TEXT(銘柄管理!$B$6:$B$305,"0"),0)-1,0,1,10)),""))</f>
        <v/>
      </c>
      <c r="R82" s="519" t="str">
        <f t="shared" ca="1" si="35"/>
        <v/>
      </c>
      <c r="S82" s="522" t="str">
        <f t="shared" si="44"/>
        <v/>
      </c>
      <c r="T82" s="515"/>
      <c r="U82" s="515"/>
      <c r="V82" s="519" t="str">
        <f t="shared" si="45"/>
        <v/>
      </c>
      <c r="W82" s="523" t="str">
        <f t="shared" ca="1" si="37"/>
        <v/>
      </c>
      <c r="X82" s="515"/>
      <c r="Y82" s="513"/>
      <c r="Z82" s="499"/>
    </row>
    <row r="83" spans="1:26" ht="17.25" customHeight="1">
      <c r="A83" s="514" t="str">
        <f t="shared" si="46"/>
        <v/>
      </c>
      <c r="B83" s="515"/>
      <c r="C83" s="515"/>
      <c r="D83" s="515"/>
      <c r="E83" s="517"/>
      <c r="F83" s="518"/>
      <c r="G83" s="515"/>
      <c r="H83" s="519" t="str">
        <f>_xll.RssMarket("d7","現在値")</f>
        <v/>
      </c>
      <c r="I83" s="519" t="str">
        <f t="array" ref="I83">_xll.RssMarket(B83, "出来高加重平均")</f>
        <v/>
      </c>
      <c r="J83" s="519" t="str">
        <f t="array" ref="J83">_xll.RssMarket(B83, "前日比")</f>
        <v/>
      </c>
      <c r="K83" s="519" t="str">
        <f t="shared" si="39"/>
        <v/>
      </c>
      <c r="L83" s="520" t="str">
        <f t="shared" si="40"/>
        <v/>
      </c>
      <c r="M83" s="519" t="str">
        <f t="shared" si="41"/>
        <v/>
      </c>
      <c r="N83" s="519" t="str">
        <f t="shared" si="42"/>
        <v/>
      </c>
      <c r="O83" s="521" t="str">
        <f t="shared" si="43"/>
        <v/>
      </c>
      <c r="P83" s="519" t="str">
        <f t="array" aca="1" ref="P83" ca="1">IF(B83="","",IFERROR(MAX(OFFSET(高値!$E$6,MATCH(TEXT(B83,"0"),TEXT(銘柄管理!$B$6:$B$305,"0"),0)-1,0,1,10)),""))</f>
        <v/>
      </c>
      <c r="Q83" s="519" t="str">
        <f t="array" aca="1" ref="Q83" ca="1">IF(B83="","",IFERROR(MIN(OFFSET(安値!$E$6,MATCH(TEXT(B83,"0"),TEXT(銘柄管理!$B$6:$B$305,"0"),0)-1,0,1,10)),""))</f>
        <v/>
      </c>
      <c r="R83" s="519" t="str">
        <f t="shared" ca="1" si="35"/>
        <v/>
      </c>
      <c r="S83" s="522" t="str">
        <f t="shared" si="44"/>
        <v/>
      </c>
      <c r="T83" s="515"/>
      <c r="U83" s="515"/>
      <c r="V83" s="519" t="str">
        <f t="shared" si="45"/>
        <v/>
      </c>
      <c r="W83" s="523" t="str">
        <f t="shared" ca="1" si="37"/>
        <v/>
      </c>
      <c r="X83" s="515"/>
      <c r="Y83" s="513"/>
      <c r="Z83" s="499"/>
    </row>
    <row r="84" spans="1:26" ht="17.25" customHeight="1">
      <c r="A84" s="514" t="str">
        <f t="shared" si="46"/>
        <v/>
      </c>
      <c r="B84" s="515"/>
      <c r="C84" s="515"/>
      <c r="D84" s="515"/>
      <c r="E84" s="517"/>
      <c r="F84" s="518"/>
      <c r="G84" s="515"/>
      <c r="H84" s="519" t="str">
        <f>_xll.RssMarket("d7","現在値")</f>
        <v/>
      </c>
      <c r="I84" s="519" t="str">
        <f t="array" ref="I84">_xll.RssMarket(B84, "出来高加重平均")</f>
        <v/>
      </c>
      <c r="J84" s="519" t="str">
        <f t="array" ref="J84">_xll.RssMarket(B84, "前日比")</f>
        <v/>
      </c>
      <c r="K84" s="519" t="str">
        <f t="shared" si="39"/>
        <v/>
      </c>
      <c r="L84" s="520" t="str">
        <f t="shared" si="40"/>
        <v/>
      </c>
      <c r="M84" s="519" t="str">
        <f t="shared" si="41"/>
        <v/>
      </c>
      <c r="N84" s="519" t="str">
        <f t="shared" si="42"/>
        <v/>
      </c>
      <c r="O84" s="521" t="str">
        <f t="shared" si="43"/>
        <v/>
      </c>
      <c r="P84" s="519" t="str">
        <f t="array" aca="1" ref="P84" ca="1">IF(B84="","",IFERROR(MAX(OFFSET(高値!$E$6,MATCH(TEXT(B84,"0"),TEXT(銘柄管理!$B$6:$B$305,"0"),0)-1,0,1,10)),""))</f>
        <v/>
      </c>
      <c r="Q84" s="519" t="str">
        <f t="array" aca="1" ref="Q84" ca="1">IF(B84="","",IFERROR(MIN(OFFSET(安値!$E$6,MATCH(TEXT(B84,"0"),TEXT(銘柄管理!$B$6:$B$305,"0"),0)-1,0,1,10)),""))</f>
        <v/>
      </c>
      <c r="R84" s="519" t="str">
        <f t="shared" ca="1" si="35"/>
        <v/>
      </c>
      <c r="S84" s="522" t="str">
        <f t="shared" si="44"/>
        <v/>
      </c>
      <c r="T84" s="515"/>
      <c r="U84" s="515"/>
      <c r="V84" s="519" t="str">
        <f t="shared" si="45"/>
        <v/>
      </c>
      <c r="W84" s="523" t="str">
        <f t="shared" ca="1" si="37"/>
        <v/>
      </c>
      <c r="X84" s="515"/>
      <c r="Y84" s="513"/>
      <c r="Z84" s="499"/>
    </row>
    <row r="85" spans="1:26" ht="17.25" customHeight="1">
      <c r="A85" s="514" t="str">
        <f t="shared" si="46"/>
        <v/>
      </c>
      <c r="B85" s="515"/>
      <c r="C85" s="515"/>
      <c r="D85" s="515"/>
      <c r="E85" s="517"/>
      <c r="F85" s="518"/>
      <c r="G85" s="515"/>
      <c r="H85" s="519" t="str">
        <f>_xll.RssMarket("d7","現在値")</f>
        <v/>
      </c>
      <c r="I85" s="519" t="str">
        <f t="array" ref="I85">_xll.RssMarket(B85, "出来高加重平均")</f>
        <v/>
      </c>
      <c r="J85" s="519" t="str">
        <f t="array" ref="J85">_xll.RssMarket(B85, "前日比")</f>
        <v/>
      </c>
      <c r="K85" s="519" t="str">
        <f t="shared" si="39"/>
        <v/>
      </c>
      <c r="L85" s="520" t="str">
        <f t="shared" si="40"/>
        <v/>
      </c>
      <c r="M85" s="519" t="str">
        <f t="shared" si="41"/>
        <v/>
      </c>
      <c r="N85" s="519" t="str">
        <f t="shared" si="42"/>
        <v/>
      </c>
      <c r="O85" s="521" t="str">
        <f t="shared" si="43"/>
        <v/>
      </c>
      <c r="P85" s="519" t="str">
        <f t="array" aca="1" ref="P85" ca="1">IF(B85="","",IFERROR(MAX(OFFSET(高値!$E$6,MATCH(TEXT(B85,"0"),TEXT(銘柄管理!$B$6:$B$305,"0"),0)-1,0,1,10)),""))</f>
        <v/>
      </c>
      <c r="Q85" s="519" t="str">
        <f t="array" aca="1" ref="Q85" ca="1">IF(B85="","",IFERROR(MIN(OFFSET(安値!$E$6,MATCH(TEXT(B85,"0"),TEXT(銘柄管理!$B$6:$B$305,"0"),0)-1,0,1,10)),""))</f>
        <v/>
      </c>
      <c r="R85" s="519" t="str">
        <f t="shared" ca="1" si="35"/>
        <v/>
      </c>
      <c r="S85" s="522" t="str">
        <f t="shared" si="44"/>
        <v/>
      </c>
      <c r="T85" s="515"/>
      <c r="U85" s="515"/>
      <c r="V85" s="519" t="str">
        <f t="shared" si="45"/>
        <v/>
      </c>
      <c r="W85" s="523" t="str">
        <f t="shared" ca="1" si="37"/>
        <v/>
      </c>
      <c r="X85" s="515"/>
      <c r="Y85" s="513"/>
      <c r="Z85" s="499"/>
    </row>
    <row r="86" spans="1:26" ht="17.25" customHeight="1">
      <c r="A86" s="514" t="str">
        <f t="shared" si="46"/>
        <v/>
      </c>
      <c r="B86" s="515"/>
      <c r="C86" s="515"/>
      <c r="D86" s="515"/>
      <c r="E86" s="517"/>
      <c r="F86" s="518"/>
      <c r="G86" s="515"/>
      <c r="H86" s="519" t="str">
        <f>_xll.RssMarket("d7","現在値")</f>
        <v/>
      </c>
      <c r="I86" s="519" t="str">
        <f t="array" ref="I86">_xll.RssMarket(B86, "出来高加重平均")</f>
        <v/>
      </c>
      <c r="J86" s="519" t="str">
        <f t="array" ref="J86">_xll.RssMarket(B86, "前日比")</f>
        <v/>
      </c>
      <c r="K86" s="519" t="str">
        <f t="shared" si="39"/>
        <v/>
      </c>
      <c r="L86" s="520" t="str">
        <f t="shared" si="40"/>
        <v/>
      </c>
      <c r="M86" s="519" t="str">
        <f t="shared" si="41"/>
        <v/>
      </c>
      <c r="N86" s="519" t="str">
        <f t="shared" si="42"/>
        <v/>
      </c>
      <c r="O86" s="521" t="str">
        <f t="shared" si="43"/>
        <v/>
      </c>
      <c r="P86" s="519" t="str">
        <f t="array" aca="1" ref="P86" ca="1">IF(B86="","",IFERROR(MAX(OFFSET(高値!$E$6,MATCH(TEXT(B86,"0"),TEXT(銘柄管理!$B$6:$B$305,"0"),0)-1,0,1,10)),""))</f>
        <v/>
      </c>
      <c r="Q86" s="519" t="str">
        <f t="array" aca="1" ref="Q86" ca="1">IF(B86="","",IFERROR(MIN(OFFSET(安値!$E$6,MATCH(TEXT(B86,"0"),TEXT(銘柄管理!$B$6:$B$305,"0"),0)-1,0,1,10)),""))</f>
        <v/>
      </c>
      <c r="R86" s="519" t="str">
        <f t="shared" ca="1" si="35"/>
        <v/>
      </c>
      <c r="S86" s="522" t="str">
        <f t="shared" si="44"/>
        <v/>
      </c>
      <c r="T86" s="515"/>
      <c r="U86" s="515"/>
      <c r="V86" s="519" t="str">
        <f t="shared" si="45"/>
        <v/>
      </c>
      <c r="W86" s="523" t="str">
        <f t="shared" ca="1" si="37"/>
        <v/>
      </c>
      <c r="X86" s="515"/>
      <c r="Y86" s="513"/>
      <c r="Z86" s="499"/>
    </row>
    <row r="87" spans="1:26" ht="17.25" customHeight="1">
      <c r="A87" s="514" t="str">
        <f t="shared" si="46"/>
        <v/>
      </c>
      <c r="B87" s="515"/>
      <c r="C87" s="515"/>
      <c r="D87" s="515"/>
      <c r="E87" s="517"/>
      <c r="F87" s="518"/>
      <c r="G87" s="515"/>
      <c r="H87" s="519" t="str">
        <f>_xll.RssMarket("d7","現在値")</f>
        <v/>
      </c>
      <c r="I87" s="519" t="str">
        <f t="array" ref="I87">_xll.RssMarket(B87, "出来高加重平均")</f>
        <v/>
      </c>
      <c r="J87" s="519" t="str">
        <f t="array" ref="J87">_xll.RssMarket(B87, "前日比")</f>
        <v/>
      </c>
      <c r="K87" s="519" t="str">
        <f t="shared" ref="K87:K118" si="47">IF(OR(F87="",G87="",H87=""),"",(H87-F87)*G87)</f>
        <v/>
      </c>
      <c r="L87" s="520" t="str">
        <f t="shared" ref="L87:L118" si="48">IF(OR(F87="",H87=""),"",(H87-F87)/F87)</f>
        <v/>
      </c>
      <c r="M87" s="519" t="str">
        <f t="shared" ref="M87:M118" si="49">IF(F87="","",F87*1.07)</f>
        <v/>
      </c>
      <c r="N87" s="519" t="str">
        <f t="shared" ref="N87:N118" si="50">IF(F87="","",F87*0.96)</f>
        <v/>
      </c>
      <c r="O87" s="521" t="str">
        <f t="shared" ref="O87:O118" si="51">IF(B87="","",IF(H87="","保有中",IF(H87&gt;=M87,"🟢利確推奨",IF(H87&gt;=F87*1.06,"🟡利確&amp;TR STOP検討",IF(H87&lt;=N87,"🔴損切推奨",IF(H87&lt;=F87*0.965,"🔴損切間近",IF(H87&lt;=F87*0.97,"⚠️-3%注意",IF(H87&lt;=F87*0.96,"🟡STOP推奨","保持継続"))))))))</f>
        <v/>
      </c>
      <c r="P87" s="519" t="str">
        <f t="array" aca="1" ref="P87" ca="1">IF(B87="","",IFERROR(MAX(OFFSET(高値!$E$6,MATCH(TEXT(B87,"0"),TEXT(銘柄管理!$B$6:$B$305,"0"),0)-1,0,1,10)),""))</f>
        <v/>
      </c>
      <c r="Q87" s="519" t="str">
        <f t="array" aca="1" ref="Q87" ca="1">IF(B87="","",IFERROR(MIN(OFFSET(安値!$E$6,MATCH(TEXT(B87,"0"),TEXT(銘柄管理!$B$6:$B$305,"0"),0)-1,0,1,10)),""))</f>
        <v/>
      </c>
      <c r="R87" s="519" t="str">
        <f t="shared" ca="1" si="35"/>
        <v/>
      </c>
      <c r="S87" s="522" t="str">
        <f t="shared" ref="S87:S118" si="52">IF(B87="","",IF(T87&lt;&gt;"","?売却済",IF(H87="","?保有中",IF(H87&gt;=M87,"??利確推奨",IF(H87&lt;=N87,"??損切推奨",IF(H87&lt;=R87,"??STOP推奨","?保有中"))))))</f>
        <v/>
      </c>
      <c r="T87" s="515"/>
      <c r="U87" s="515"/>
      <c r="V87" s="519" t="str">
        <f t="shared" ref="V87:V118" si="53">IF(OR(F87="",G87="",U87=""),"",(U87-F87)*G87)</f>
        <v/>
      </c>
      <c r="W87" s="523" t="str">
        <f t="shared" ca="1" si="37"/>
        <v/>
      </c>
      <c r="X87" s="515"/>
      <c r="Y87" s="513"/>
      <c r="Z87" s="499"/>
    </row>
    <row r="88" spans="1:26" ht="17.25" customHeight="1">
      <c r="A88" s="514" t="str">
        <f t="shared" si="46"/>
        <v/>
      </c>
      <c r="B88" s="515"/>
      <c r="C88" s="515"/>
      <c r="D88" s="515"/>
      <c r="E88" s="517"/>
      <c r="F88" s="518"/>
      <c r="G88" s="515"/>
      <c r="H88" s="519" t="str">
        <f>_xll.RssMarket("d7","現在値")</f>
        <v/>
      </c>
      <c r="I88" s="519" t="str">
        <f t="array" ref="I88">_xll.RssMarket(B88, "出来高加重平均")</f>
        <v/>
      </c>
      <c r="J88" s="519" t="str">
        <f t="array" ref="J88">_xll.RssMarket(B88, "前日比")</f>
        <v/>
      </c>
      <c r="K88" s="519" t="str">
        <f t="shared" si="47"/>
        <v/>
      </c>
      <c r="L88" s="520" t="str">
        <f t="shared" si="48"/>
        <v/>
      </c>
      <c r="M88" s="519" t="str">
        <f t="shared" si="49"/>
        <v/>
      </c>
      <c r="N88" s="519" t="str">
        <f t="shared" si="50"/>
        <v/>
      </c>
      <c r="O88" s="521" t="str">
        <f t="shared" si="51"/>
        <v/>
      </c>
      <c r="P88" s="519" t="str">
        <f t="array" aca="1" ref="P88" ca="1">IF(B88="","",IFERROR(MAX(OFFSET(高値!$E$6,MATCH(TEXT(B88,"0"),TEXT(銘柄管理!$B$6:$B$305,"0"),0)-1,0,1,10)),""))</f>
        <v/>
      </c>
      <c r="Q88" s="519" t="str">
        <f t="array" aca="1" ref="Q88" ca="1">IF(B88="","",IFERROR(MIN(OFFSET(安値!$E$6,MATCH(TEXT(B88,"0"),TEXT(銘柄管理!$B$6:$B$305,"0"),0)-1,0,1,10)),""))</f>
        <v/>
      </c>
      <c r="R88" s="519" t="str">
        <f t="shared" ca="1" si="35"/>
        <v/>
      </c>
      <c r="S88" s="522" t="str">
        <f t="shared" si="52"/>
        <v/>
      </c>
      <c r="T88" s="515"/>
      <c r="U88" s="515"/>
      <c r="V88" s="519" t="str">
        <f t="shared" si="53"/>
        <v/>
      </c>
      <c r="W88" s="523" t="str">
        <f t="shared" ca="1" si="37"/>
        <v/>
      </c>
      <c r="X88" s="515"/>
      <c r="Y88" s="513"/>
      <c r="Z88" s="499"/>
    </row>
    <row r="89" spans="1:26" ht="17.25" customHeight="1">
      <c r="A89" s="514" t="str">
        <f t="shared" si="46"/>
        <v/>
      </c>
      <c r="B89" s="515"/>
      <c r="C89" s="515"/>
      <c r="D89" s="515"/>
      <c r="E89" s="517"/>
      <c r="F89" s="518"/>
      <c r="G89" s="515"/>
      <c r="H89" s="519" t="str">
        <f>_xll.RssMarket("d7","現在値")</f>
        <v/>
      </c>
      <c r="I89" s="519" t="str">
        <f t="array" ref="I89">_xll.RssMarket(B89, "出来高加重平均")</f>
        <v/>
      </c>
      <c r="J89" s="519" t="str">
        <f t="array" ref="J89">_xll.RssMarket(B89, "前日比")</f>
        <v/>
      </c>
      <c r="K89" s="519" t="str">
        <f t="shared" si="47"/>
        <v/>
      </c>
      <c r="L89" s="520" t="str">
        <f t="shared" si="48"/>
        <v/>
      </c>
      <c r="M89" s="519" t="str">
        <f t="shared" si="49"/>
        <v/>
      </c>
      <c r="N89" s="519" t="str">
        <f t="shared" si="50"/>
        <v/>
      </c>
      <c r="O89" s="521" t="str">
        <f t="shared" si="51"/>
        <v/>
      </c>
      <c r="P89" s="519" t="str">
        <f t="array" aca="1" ref="P89" ca="1">IF(B89="","",IFERROR(MAX(OFFSET(高値!$E$6,MATCH(TEXT(B89,"0"),TEXT(銘柄管理!$B$6:$B$305,"0"),0)-1,0,1,10)),""))</f>
        <v/>
      </c>
      <c r="Q89" s="519" t="str">
        <f t="array" aca="1" ref="Q89" ca="1">IF(B89="","",IFERROR(MIN(OFFSET(安値!$E$6,MATCH(TEXT(B89,"0"),TEXT(銘柄管理!$B$6:$B$305,"0"),0)-1,0,1,10)),""))</f>
        <v/>
      </c>
      <c r="R89" s="519" t="str">
        <f t="shared" ca="1" si="35"/>
        <v/>
      </c>
      <c r="S89" s="522" t="str">
        <f t="shared" si="52"/>
        <v/>
      </c>
      <c r="T89" s="515"/>
      <c r="U89" s="515"/>
      <c r="V89" s="519" t="str">
        <f t="shared" si="53"/>
        <v/>
      </c>
      <c r="W89" s="523" t="str">
        <f t="shared" ca="1" si="37"/>
        <v/>
      </c>
      <c r="X89" s="515"/>
      <c r="Y89" s="513"/>
      <c r="Z89" s="499"/>
    </row>
    <row r="90" spans="1:26" ht="17.25" customHeight="1">
      <c r="A90" s="514" t="str">
        <f t="shared" si="46"/>
        <v/>
      </c>
      <c r="B90" s="515"/>
      <c r="C90" s="515"/>
      <c r="D90" s="515"/>
      <c r="E90" s="517"/>
      <c r="F90" s="518"/>
      <c r="G90" s="515"/>
      <c r="H90" s="519" t="str">
        <f>_xll.RssMarket("d7","現在値")</f>
        <v/>
      </c>
      <c r="I90" s="519" t="str">
        <f t="array" ref="I90">_xll.RssMarket(B90, "出来高加重平均")</f>
        <v/>
      </c>
      <c r="J90" s="519" t="str">
        <f t="array" ref="J90">_xll.RssMarket(B90, "前日比")</f>
        <v/>
      </c>
      <c r="K90" s="519" t="str">
        <f t="shared" si="47"/>
        <v/>
      </c>
      <c r="L90" s="520" t="str">
        <f t="shared" si="48"/>
        <v/>
      </c>
      <c r="M90" s="519" t="str">
        <f t="shared" si="49"/>
        <v/>
      </c>
      <c r="N90" s="519" t="str">
        <f t="shared" si="50"/>
        <v/>
      </c>
      <c r="O90" s="521" t="str">
        <f t="shared" si="51"/>
        <v/>
      </c>
      <c r="P90" s="519" t="str">
        <f t="array" aca="1" ref="P90" ca="1">IF(B90="","",IFERROR(MAX(OFFSET(高値!$E$6,MATCH(TEXT(B90,"0"),TEXT(銘柄管理!$B$6:$B$305,"0"),0)-1,0,1,10)),""))</f>
        <v/>
      </c>
      <c r="Q90" s="519" t="str">
        <f t="array" aca="1" ref="Q90" ca="1">IF(B90="","",IFERROR(MIN(OFFSET(安値!$E$6,MATCH(TEXT(B90,"0"),TEXT(銘柄管理!$B$6:$B$305,"0"),0)-1,0,1,10)),""))</f>
        <v/>
      </c>
      <c r="R90" s="519" t="str">
        <f t="shared" ca="1" si="35"/>
        <v/>
      </c>
      <c r="S90" s="522" t="str">
        <f t="shared" si="52"/>
        <v/>
      </c>
      <c r="T90" s="515"/>
      <c r="U90" s="515"/>
      <c r="V90" s="519" t="str">
        <f t="shared" si="53"/>
        <v/>
      </c>
      <c r="W90" s="523" t="str">
        <f t="shared" ca="1" si="37"/>
        <v/>
      </c>
      <c r="X90" s="515"/>
      <c r="Y90" s="513"/>
      <c r="Z90" s="499"/>
    </row>
    <row r="91" spans="1:26" ht="17.25" customHeight="1">
      <c r="A91" s="514" t="str">
        <f t="shared" si="46"/>
        <v/>
      </c>
      <c r="B91" s="515"/>
      <c r="C91" s="515"/>
      <c r="D91" s="515"/>
      <c r="E91" s="517"/>
      <c r="F91" s="518"/>
      <c r="G91" s="515"/>
      <c r="H91" s="519" t="str">
        <f>_xll.RssMarket("d7","現在値")</f>
        <v/>
      </c>
      <c r="I91" s="519" t="str">
        <f t="array" ref="I91">_xll.RssMarket(B91, "出来高加重平均")</f>
        <v/>
      </c>
      <c r="J91" s="519" t="str">
        <f t="array" ref="J91">_xll.RssMarket(B91, "前日比")</f>
        <v/>
      </c>
      <c r="K91" s="519" t="str">
        <f t="shared" si="47"/>
        <v/>
      </c>
      <c r="L91" s="520" t="str">
        <f t="shared" si="48"/>
        <v/>
      </c>
      <c r="M91" s="519" t="str">
        <f t="shared" si="49"/>
        <v/>
      </c>
      <c r="N91" s="519" t="str">
        <f t="shared" si="50"/>
        <v/>
      </c>
      <c r="O91" s="521" t="str">
        <f t="shared" si="51"/>
        <v/>
      </c>
      <c r="P91" s="519" t="str">
        <f t="array" aca="1" ref="P91" ca="1">IF(B91="","",IFERROR(MAX(OFFSET(高値!$E$6,MATCH(TEXT(B91,"0"),TEXT(銘柄管理!$B$6:$B$305,"0"),0)-1,0,1,10)),""))</f>
        <v/>
      </c>
      <c r="Q91" s="519" t="str">
        <f t="array" aca="1" ref="Q91" ca="1">IF(B91="","",IFERROR(MIN(OFFSET(安値!$E$6,MATCH(TEXT(B91,"0"),TEXT(銘柄管理!$B$6:$B$305,"0"),0)-1,0,1,10)),""))</f>
        <v/>
      </c>
      <c r="R91" s="519" t="str">
        <f t="shared" ca="1" si="35"/>
        <v/>
      </c>
      <c r="S91" s="522" t="str">
        <f t="shared" si="52"/>
        <v/>
      </c>
      <c r="T91" s="515"/>
      <c r="U91" s="515"/>
      <c r="V91" s="519" t="str">
        <f t="shared" si="53"/>
        <v/>
      </c>
      <c r="W91" s="523" t="str">
        <f t="shared" ca="1" si="37"/>
        <v/>
      </c>
      <c r="X91" s="515"/>
      <c r="Y91" s="513"/>
      <c r="Z91" s="499"/>
    </row>
    <row r="92" spans="1:26" ht="17.25" customHeight="1">
      <c r="A92" s="514" t="str">
        <f t="shared" si="46"/>
        <v/>
      </c>
      <c r="B92" s="515"/>
      <c r="C92" s="515"/>
      <c r="D92" s="515"/>
      <c r="E92" s="517"/>
      <c r="F92" s="518"/>
      <c r="G92" s="515"/>
      <c r="H92" s="519" t="str">
        <f>_xll.RssMarket("d7","現在値")</f>
        <v/>
      </c>
      <c r="I92" s="519" t="str">
        <f t="array" ref="I92">_xll.RssMarket(B92, "出来高加重平均")</f>
        <v/>
      </c>
      <c r="J92" s="519" t="str">
        <f t="array" ref="J92">_xll.RssMarket(B92, "前日比")</f>
        <v/>
      </c>
      <c r="K92" s="519" t="str">
        <f t="shared" si="47"/>
        <v/>
      </c>
      <c r="L92" s="520" t="str">
        <f t="shared" si="48"/>
        <v/>
      </c>
      <c r="M92" s="519" t="str">
        <f t="shared" si="49"/>
        <v/>
      </c>
      <c r="N92" s="519" t="str">
        <f t="shared" si="50"/>
        <v/>
      </c>
      <c r="O92" s="521" t="str">
        <f t="shared" si="51"/>
        <v/>
      </c>
      <c r="P92" s="519" t="str">
        <f t="array" aca="1" ref="P92" ca="1">IF(B92="","",IFERROR(MAX(OFFSET(高値!$E$6,MATCH(TEXT(B92,"0"),TEXT(銘柄管理!$B$6:$B$305,"0"),0)-1,0,1,10)),""))</f>
        <v/>
      </c>
      <c r="Q92" s="519" t="str">
        <f t="array" aca="1" ref="Q92" ca="1">IF(B92="","",IFERROR(MIN(OFFSET(安値!$E$6,MATCH(TEXT(B92,"0"),TEXT(銘柄管理!$B$6:$B$305,"0"),0)-1,0,1,10)),""))</f>
        <v/>
      </c>
      <c r="R92" s="519" t="str">
        <f t="shared" ca="1" si="35"/>
        <v/>
      </c>
      <c r="S92" s="522" t="str">
        <f t="shared" si="52"/>
        <v/>
      </c>
      <c r="T92" s="515"/>
      <c r="U92" s="515"/>
      <c r="V92" s="519" t="str">
        <f t="shared" si="53"/>
        <v/>
      </c>
      <c r="W92" s="523" t="str">
        <f t="shared" ca="1" si="37"/>
        <v/>
      </c>
      <c r="X92" s="515"/>
      <c r="Y92" s="513"/>
      <c r="Z92" s="499"/>
    </row>
    <row r="93" spans="1:26" ht="17.25" customHeight="1">
      <c r="A93" s="514" t="str">
        <f t="shared" si="46"/>
        <v/>
      </c>
      <c r="B93" s="515"/>
      <c r="C93" s="515"/>
      <c r="D93" s="515"/>
      <c r="E93" s="517"/>
      <c r="F93" s="518"/>
      <c r="G93" s="515"/>
      <c r="H93" s="519" t="str">
        <f>_xll.RssMarket("d7","現在値")</f>
        <v/>
      </c>
      <c r="I93" s="519" t="str">
        <f t="array" ref="I93">_xll.RssMarket(B93, "出来高加重平均")</f>
        <v/>
      </c>
      <c r="J93" s="519" t="str">
        <f t="array" ref="J93">_xll.RssMarket(B93, "前日比")</f>
        <v/>
      </c>
      <c r="K93" s="519" t="str">
        <f t="shared" si="47"/>
        <v/>
      </c>
      <c r="L93" s="520" t="str">
        <f t="shared" si="48"/>
        <v/>
      </c>
      <c r="M93" s="519" t="str">
        <f t="shared" si="49"/>
        <v/>
      </c>
      <c r="N93" s="519" t="str">
        <f t="shared" si="50"/>
        <v/>
      </c>
      <c r="O93" s="521" t="str">
        <f t="shared" si="51"/>
        <v/>
      </c>
      <c r="P93" s="519" t="str">
        <f t="array" aca="1" ref="P93" ca="1">IF(B93="","",IFERROR(MAX(OFFSET(高値!$E$6,MATCH(TEXT(B93,"0"),TEXT(銘柄管理!$B$6:$B$305,"0"),0)-1,0,1,10)),""))</f>
        <v/>
      </c>
      <c r="Q93" s="519" t="str">
        <f t="array" aca="1" ref="Q93" ca="1">IF(B93="","",IFERROR(MIN(OFFSET(安値!$E$6,MATCH(TEXT(B93,"0"),TEXT(銘柄管理!$B$6:$B$305,"0"),0)-1,0,1,10)),""))</f>
        <v/>
      </c>
      <c r="R93" s="519" t="str">
        <f t="shared" ca="1" si="35"/>
        <v/>
      </c>
      <c r="S93" s="522" t="str">
        <f t="shared" si="52"/>
        <v/>
      </c>
      <c r="T93" s="515"/>
      <c r="U93" s="515"/>
      <c r="V93" s="519" t="str">
        <f t="shared" si="53"/>
        <v/>
      </c>
      <c r="W93" s="523" t="str">
        <f t="shared" ca="1" si="37"/>
        <v/>
      </c>
      <c r="X93" s="515"/>
      <c r="Y93" s="513"/>
      <c r="Z93" s="499"/>
    </row>
    <row r="94" spans="1:26" ht="17.25" customHeight="1">
      <c r="A94" s="514" t="str">
        <f t="shared" si="46"/>
        <v/>
      </c>
      <c r="B94" s="515"/>
      <c r="C94" s="515"/>
      <c r="D94" s="515"/>
      <c r="E94" s="517"/>
      <c r="F94" s="518"/>
      <c r="G94" s="515"/>
      <c r="H94" s="519" t="str">
        <f>_xll.RssMarket("d7","現在値")</f>
        <v/>
      </c>
      <c r="I94" s="519" t="str">
        <f t="array" ref="I94">_xll.RssMarket(B94, "出来高加重平均")</f>
        <v/>
      </c>
      <c r="J94" s="519" t="str">
        <f t="array" ref="J94">_xll.RssMarket(B94, "前日比")</f>
        <v/>
      </c>
      <c r="K94" s="519" t="str">
        <f t="shared" si="47"/>
        <v/>
      </c>
      <c r="L94" s="520" t="str">
        <f t="shared" si="48"/>
        <v/>
      </c>
      <c r="M94" s="519" t="str">
        <f t="shared" si="49"/>
        <v/>
      </c>
      <c r="N94" s="519" t="str">
        <f t="shared" si="50"/>
        <v/>
      </c>
      <c r="O94" s="521" t="str">
        <f t="shared" si="51"/>
        <v/>
      </c>
      <c r="P94" s="519" t="str">
        <f t="array" aca="1" ref="P94" ca="1">IF(B94="","",IFERROR(MAX(OFFSET(高値!$E$6,MATCH(TEXT(B94,"0"),TEXT(銘柄管理!$B$6:$B$305,"0"),0)-1,0,1,10)),""))</f>
        <v/>
      </c>
      <c r="Q94" s="519" t="str">
        <f t="array" aca="1" ref="Q94" ca="1">IF(B94="","",IFERROR(MIN(OFFSET(安値!$E$6,MATCH(TEXT(B94,"0"),TEXT(銘柄管理!$B$6:$B$305,"0"),0)-1,0,1,10)),""))</f>
        <v/>
      </c>
      <c r="R94" s="519" t="str">
        <f t="shared" ca="1" si="35"/>
        <v/>
      </c>
      <c r="S94" s="522" t="str">
        <f t="shared" si="52"/>
        <v/>
      </c>
      <c r="T94" s="515"/>
      <c r="U94" s="515"/>
      <c r="V94" s="519" t="str">
        <f t="shared" si="53"/>
        <v/>
      </c>
      <c r="W94" s="523" t="str">
        <f t="shared" ca="1" si="37"/>
        <v/>
      </c>
      <c r="X94" s="515"/>
      <c r="Y94" s="513"/>
      <c r="Z94" s="499"/>
    </row>
    <row r="95" spans="1:26" ht="17.25" customHeight="1">
      <c r="A95" s="514" t="str">
        <f t="shared" si="46"/>
        <v/>
      </c>
      <c r="B95" s="515"/>
      <c r="C95" s="515"/>
      <c r="D95" s="515"/>
      <c r="E95" s="517"/>
      <c r="F95" s="518"/>
      <c r="G95" s="515"/>
      <c r="H95" s="519" t="str">
        <f>_xll.RssMarket("d7","現在値")</f>
        <v/>
      </c>
      <c r="I95" s="519" t="str">
        <f t="array" ref="I95">_xll.RssMarket(B95, "出来高加重平均")</f>
        <v/>
      </c>
      <c r="J95" s="519" t="str">
        <f t="array" ref="J95">_xll.RssMarket(B95, "前日比")</f>
        <v/>
      </c>
      <c r="K95" s="519" t="str">
        <f t="shared" si="47"/>
        <v/>
      </c>
      <c r="L95" s="520" t="str">
        <f t="shared" si="48"/>
        <v/>
      </c>
      <c r="M95" s="519" t="str">
        <f t="shared" si="49"/>
        <v/>
      </c>
      <c r="N95" s="519" t="str">
        <f t="shared" si="50"/>
        <v/>
      </c>
      <c r="O95" s="521" t="str">
        <f t="shared" si="51"/>
        <v/>
      </c>
      <c r="P95" s="519" t="str">
        <f t="array" aca="1" ref="P95" ca="1">IF(B95="","",IFERROR(MAX(OFFSET(高値!$E$6,MATCH(TEXT(B95,"0"),TEXT(銘柄管理!$B$6:$B$305,"0"),0)-1,0,1,10)),""))</f>
        <v/>
      </c>
      <c r="Q95" s="519" t="str">
        <f t="array" aca="1" ref="Q95" ca="1">IF(B95="","",IFERROR(MIN(OFFSET(安値!$E$6,MATCH(TEXT(B95,"0"),TEXT(銘柄管理!$B$6:$B$305,"0"),0)-1,0,1,10)),""))</f>
        <v/>
      </c>
      <c r="R95" s="519" t="str">
        <f t="shared" ca="1" si="35"/>
        <v/>
      </c>
      <c r="S95" s="522" t="str">
        <f t="shared" si="52"/>
        <v/>
      </c>
      <c r="T95" s="515"/>
      <c r="U95" s="515"/>
      <c r="V95" s="519" t="str">
        <f t="shared" si="53"/>
        <v/>
      </c>
      <c r="W95" s="523" t="str">
        <f t="shared" ca="1" si="37"/>
        <v/>
      </c>
      <c r="X95" s="515"/>
      <c r="Y95" s="513"/>
      <c r="Z95" s="499"/>
    </row>
    <row r="96" spans="1:26" ht="17.25" customHeight="1">
      <c r="A96" s="514" t="str">
        <f t="shared" si="46"/>
        <v/>
      </c>
      <c r="B96" s="515"/>
      <c r="C96" s="515"/>
      <c r="D96" s="515"/>
      <c r="E96" s="517"/>
      <c r="F96" s="518"/>
      <c r="G96" s="515"/>
      <c r="H96" s="519" t="str">
        <f>_xll.RssMarket("d7","現在値")</f>
        <v/>
      </c>
      <c r="I96" s="519" t="str">
        <f t="array" ref="I96">_xll.RssMarket(B96, "出来高加重平均")</f>
        <v/>
      </c>
      <c r="J96" s="519" t="str">
        <f t="array" ref="J96">_xll.RssMarket(B96, "前日比")</f>
        <v/>
      </c>
      <c r="K96" s="519" t="str">
        <f t="shared" si="47"/>
        <v/>
      </c>
      <c r="L96" s="520" t="str">
        <f t="shared" si="48"/>
        <v/>
      </c>
      <c r="M96" s="519" t="str">
        <f t="shared" si="49"/>
        <v/>
      </c>
      <c r="N96" s="519" t="str">
        <f t="shared" si="50"/>
        <v/>
      </c>
      <c r="O96" s="521" t="str">
        <f t="shared" si="51"/>
        <v/>
      </c>
      <c r="P96" s="519" t="str">
        <f t="array" aca="1" ref="P96" ca="1">IF(B96="","",IFERROR(MAX(OFFSET(高値!$E$6,MATCH(TEXT(B96,"0"),TEXT(銘柄管理!$B$6:$B$305,"0"),0)-1,0,1,10)),""))</f>
        <v/>
      </c>
      <c r="Q96" s="519" t="str">
        <f t="array" aca="1" ref="Q96" ca="1">IF(B96="","",IFERROR(MIN(OFFSET(安値!$E$6,MATCH(TEXT(B96,"0"),TEXT(銘柄管理!$B$6:$B$305,"0"),0)-1,0,1,10)),""))</f>
        <v/>
      </c>
      <c r="R96" s="519" t="str">
        <f t="shared" ca="1" si="35"/>
        <v/>
      </c>
      <c r="S96" s="522" t="str">
        <f t="shared" si="52"/>
        <v/>
      </c>
      <c r="T96" s="515"/>
      <c r="U96" s="515"/>
      <c r="V96" s="519" t="str">
        <f t="shared" si="53"/>
        <v/>
      </c>
      <c r="W96" s="523" t="str">
        <f t="shared" ca="1" si="37"/>
        <v/>
      </c>
      <c r="X96" s="515"/>
      <c r="Y96" s="513"/>
      <c r="Z96" s="499"/>
    </row>
    <row r="97" spans="1:26" ht="17.25" customHeight="1">
      <c r="A97" s="514" t="str">
        <f t="shared" si="46"/>
        <v/>
      </c>
      <c r="B97" s="515"/>
      <c r="C97" s="515"/>
      <c r="D97" s="515"/>
      <c r="E97" s="517"/>
      <c r="F97" s="518"/>
      <c r="G97" s="515"/>
      <c r="H97" s="519" t="str">
        <f>_xll.RssMarket("d7","現在値")</f>
        <v/>
      </c>
      <c r="I97" s="519" t="str">
        <f t="array" ref="I97">_xll.RssMarket(B97, "出来高加重平均")</f>
        <v/>
      </c>
      <c r="J97" s="519" t="str">
        <f t="array" ref="J97">_xll.RssMarket(B97, "前日比")</f>
        <v/>
      </c>
      <c r="K97" s="519" t="str">
        <f t="shared" si="47"/>
        <v/>
      </c>
      <c r="L97" s="520" t="str">
        <f t="shared" si="48"/>
        <v/>
      </c>
      <c r="M97" s="519" t="str">
        <f t="shared" si="49"/>
        <v/>
      </c>
      <c r="N97" s="519" t="str">
        <f t="shared" si="50"/>
        <v/>
      </c>
      <c r="O97" s="521" t="str">
        <f t="shared" si="51"/>
        <v/>
      </c>
      <c r="P97" s="519" t="str">
        <f t="array" aca="1" ref="P97" ca="1">IF(B97="","",IFERROR(MAX(OFFSET(高値!$E$6,MATCH(TEXT(B97,"0"),TEXT(銘柄管理!$B$6:$B$305,"0"),0)-1,0,1,10)),""))</f>
        <v/>
      </c>
      <c r="Q97" s="519" t="str">
        <f t="array" aca="1" ref="Q97" ca="1">IF(B97="","",IFERROR(MIN(OFFSET(安値!$E$6,MATCH(TEXT(B97,"0"),TEXT(銘柄管理!$B$6:$B$305,"0"),0)-1,0,1,10)),""))</f>
        <v/>
      </c>
      <c r="R97" s="519" t="str">
        <f t="shared" ca="1" si="35"/>
        <v/>
      </c>
      <c r="S97" s="522" t="str">
        <f t="shared" si="52"/>
        <v/>
      </c>
      <c r="T97" s="515"/>
      <c r="U97" s="515"/>
      <c r="V97" s="519" t="str">
        <f t="shared" si="53"/>
        <v/>
      </c>
      <c r="W97" s="523" t="str">
        <f t="shared" ca="1" si="37"/>
        <v/>
      </c>
      <c r="X97" s="515"/>
      <c r="Y97" s="513"/>
      <c r="Z97" s="499"/>
    </row>
    <row r="98" spans="1:26" ht="17.25" customHeight="1">
      <c r="A98" s="514" t="str">
        <f t="shared" si="46"/>
        <v/>
      </c>
      <c r="B98" s="515"/>
      <c r="C98" s="515"/>
      <c r="D98" s="515"/>
      <c r="E98" s="517"/>
      <c r="F98" s="518"/>
      <c r="G98" s="515"/>
      <c r="H98" s="519" t="str">
        <f>_xll.RssMarket("d7","現在値")</f>
        <v/>
      </c>
      <c r="I98" s="519" t="str">
        <f t="array" ref="I98">_xll.RssMarket(B98, "出来高加重平均")</f>
        <v/>
      </c>
      <c r="J98" s="519" t="str">
        <f t="array" ref="J98">_xll.RssMarket(B98, "前日比")</f>
        <v/>
      </c>
      <c r="K98" s="519" t="str">
        <f t="shared" si="47"/>
        <v/>
      </c>
      <c r="L98" s="520" t="str">
        <f t="shared" si="48"/>
        <v/>
      </c>
      <c r="M98" s="519" t="str">
        <f t="shared" si="49"/>
        <v/>
      </c>
      <c r="N98" s="519" t="str">
        <f t="shared" si="50"/>
        <v/>
      </c>
      <c r="O98" s="521" t="str">
        <f t="shared" si="51"/>
        <v/>
      </c>
      <c r="P98" s="519" t="str">
        <f t="array" aca="1" ref="P98" ca="1">IF(B98="","",IFERROR(MAX(OFFSET(高値!$E$6,MATCH(TEXT(B98,"0"),TEXT(銘柄管理!$B$6:$B$305,"0"),0)-1,0,1,10)),""))</f>
        <v/>
      </c>
      <c r="Q98" s="519" t="str">
        <f t="array" aca="1" ref="Q98" ca="1">IF(B98="","",IFERROR(MIN(OFFSET(安値!$E$6,MATCH(TEXT(B98,"0"),TEXT(銘柄管理!$B$6:$B$305,"0"),0)-1,0,1,10)),""))</f>
        <v/>
      </c>
      <c r="R98" s="519" t="str">
        <f t="shared" ca="1" si="35"/>
        <v/>
      </c>
      <c r="S98" s="522" t="str">
        <f t="shared" si="52"/>
        <v/>
      </c>
      <c r="T98" s="515"/>
      <c r="U98" s="515"/>
      <c r="V98" s="519" t="str">
        <f t="shared" si="53"/>
        <v/>
      </c>
      <c r="W98" s="523" t="str">
        <f t="shared" ca="1" si="37"/>
        <v/>
      </c>
      <c r="X98" s="515"/>
      <c r="Y98" s="513"/>
      <c r="Z98" s="499"/>
    </row>
    <row r="99" spans="1:26" ht="17.25" customHeight="1">
      <c r="A99" s="514" t="str">
        <f t="shared" si="46"/>
        <v/>
      </c>
      <c r="B99" s="515"/>
      <c r="C99" s="515"/>
      <c r="D99" s="515"/>
      <c r="E99" s="517"/>
      <c r="F99" s="518"/>
      <c r="G99" s="515"/>
      <c r="H99" s="519" t="str">
        <f>_xll.RssMarket("d7","現在値")</f>
        <v/>
      </c>
      <c r="I99" s="519" t="str">
        <f t="array" ref="I99">_xll.RssMarket(B99, "出来高加重平均")</f>
        <v/>
      </c>
      <c r="J99" s="519" t="str">
        <f t="array" ref="J99">_xll.RssMarket(B99, "前日比")</f>
        <v/>
      </c>
      <c r="K99" s="519" t="str">
        <f t="shared" si="47"/>
        <v/>
      </c>
      <c r="L99" s="520" t="str">
        <f t="shared" si="48"/>
        <v/>
      </c>
      <c r="M99" s="519" t="str">
        <f t="shared" si="49"/>
        <v/>
      </c>
      <c r="N99" s="519" t="str">
        <f t="shared" si="50"/>
        <v/>
      </c>
      <c r="O99" s="521" t="str">
        <f t="shared" si="51"/>
        <v/>
      </c>
      <c r="P99" s="519" t="str">
        <f t="array" aca="1" ref="P99" ca="1">IF(B99="","",IFERROR(MAX(OFFSET(高値!$E$6,MATCH(TEXT(B99,"0"),TEXT(銘柄管理!$B$6:$B$305,"0"),0)-1,0,1,10)),""))</f>
        <v/>
      </c>
      <c r="Q99" s="519" t="str">
        <f t="array" aca="1" ref="Q99" ca="1">IF(B99="","",IFERROR(MIN(OFFSET(安値!$E$6,MATCH(TEXT(B99,"0"),TEXT(銘柄管理!$B$6:$B$305,"0"),0)-1,0,1,10)),""))</f>
        <v/>
      </c>
      <c r="R99" s="519" t="str">
        <f t="shared" ca="1" si="35"/>
        <v/>
      </c>
      <c r="S99" s="522" t="str">
        <f t="shared" si="52"/>
        <v/>
      </c>
      <c r="T99" s="515"/>
      <c r="U99" s="515"/>
      <c r="V99" s="519" t="str">
        <f t="shared" si="53"/>
        <v/>
      </c>
      <c r="W99" s="523" t="str">
        <f t="shared" ca="1" si="37"/>
        <v/>
      </c>
      <c r="X99" s="515"/>
      <c r="Y99" s="513"/>
      <c r="Z99" s="499"/>
    </row>
    <row r="100" spans="1:26" ht="17.25" customHeight="1">
      <c r="A100" s="514" t="str">
        <f t="shared" si="46"/>
        <v/>
      </c>
      <c r="B100" s="515"/>
      <c r="C100" s="515"/>
      <c r="D100" s="515"/>
      <c r="E100" s="517"/>
      <c r="F100" s="518"/>
      <c r="G100" s="515"/>
      <c r="H100" s="519" t="str">
        <f>_xll.RssMarket("d7","現在値")</f>
        <v/>
      </c>
      <c r="I100" s="519" t="str">
        <f t="array" ref="I100">_xll.RssMarket(B100, "出来高加重平均")</f>
        <v/>
      </c>
      <c r="J100" s="519" t="str">
        <f t="array" ref="J100">_xll.RssMarket(B100, "前日比")</f>
        <v/>
      </c>
      <c r="K100" s="519" t="str">
        <f t="shared" si="47"/>
        <v/>
      </c>
      <c r="L100" s="520" t="str">
        <f t="shared" si="48"/>
        <v/>
      </c>
      <c r="M100" s="519" t="str">
        <f t="shared" si="49"/>
        <v/>
      </c>
      <c r="N100" s="519" t="str">
        <f t="shared" si="50"/>
        <v/>
      </c>
      <c r="O100" s="521" t="str">
        <f t="shared" si="51"/>
        <v/>
      </c>
      <c r="P100" s="519" t="str">
        <f t="array" aca="1" ref="P100" ca="1">IF(B100="","",IFERROR(MAX(OFFSET(高値!$E$6,MATCH(TEXT(B100,"0"),TEXT(銘柄管理!$B$6:$B$305,"0"),0)-1,0,1,10)),""))</f>
        <v/>
      </c>
      <c r="Q100" s="519" t="str">
        <f t="array" aca="1" ref="Q100" ca="1">IF(B100="","",IFERROR(MIN(OFFSET(安値!$E$6,MATCH(TEXT(B100,"0"),TEXT(銘柄管理!$B$6:$B$305,"0"),0)-1,0,1,10)),""))</f>
        <v/>
      </c>
      <c r="R100" s="519" t="str">
        <f t="shared" ca="1" si="35"/>
        <v/>
      </c>
      <c r="S100" s="522" t="str">
        <f t="shared" si="52"/>
        <v/>
      </c>
      <c r="T100" s="515"/>
      <c r="U100" s="515"/>
      <c r="V100" s="519" t="str">
        <f t="shared" si="53"/>
        <v/>
      </c>
      <c r="W100" s="523" t="str">
        <f t="shared" ca="1" si="37"/>
        <v/>
      </c>
      <c r="X100" s="515"/>
      <c r="Y100" s="513"/>
      <c r="Z100" s="499"/>
    </row>
    <row r="101" spans="1:26" ht="17.25" customHeight="1">
      <c r="A101" s="514" t="str">
        <f t="shared" si="46"/>
        <v/>
      </c>
      <c r="B101" s="515"/>
      <c r="C101" s="515"/>
      <c r="D101" s="515"/>
      <c r="E101" s="517"/>
      <c r="F101" s="518"/>
      <c r="G101" s="515"/>
      <c r="H101" s="519" t="str">
        <f>_xll.RssMarket("d7","現在値")</f>
        <v/>
      </c>
      <c r="I101" s="519" t="str">
        <f t="array" ref="I101">_xll.RssMarket(B101, "出来高加重平均")</f>
        <v/>
      </c>
      <c r="J101" s="519" t="str">
        <f t="array" ref="J101">_xll.RssMarket(B101, "前日比")</f>
        <v/>
      </c>
      <c r="K101" s="519" t="str">
        <f t="shared" si="47"/>
        <v/>
      </c>
      <c r="L101" s="520" t="str">
        <f t="shared" si="48"/>
        <v/>
      </c>
      <c r="M101" s="519" t="str">
        <f t="shared" si="49"/>
        <v/>
      </c>
      <c r="N101" s="519" t="str">
        <f t="shared" si="50"/>
        <v/>
      </c>
      <c r="O101" s="521" t="str">
        <f t="shared" si="51"/>
        <v/>
      </c>
      <c r="P101" s="519" t="str">
        <f t="array" aca="1" ref="P101" ca="1">IF(B101="","",IFERROR(MAX(OFFSET(高値!$E$6,MATCH(TEXT(B101,"0"),TEXT(銘柄管理!$B$6:$B$305,"0"),0)-1,0,1,10)),""))</f>
        <v/>
      </c>
      <c r="Q101" s="519" t="str">
        <f t="array" aca="1" ref="Q101" ca="1">IF(B101="","",IFERROR(MIN(OFFSET(安値!$E$6,MATCH(TEXT(B101,"0"),TEXT(銘柄管理!$B$6:$B$305,"0"),0)-1,0,1,10)),""))</f>
        <v/>
      </c>
      <c r="R101" s="519" t="str">
        <f t="shared" ca="1" si="35"/>
        <v/>
      </c>
      <c r="S101" s="522" t="str">
        <f t="shared" si="52"/>
        <v/>
      </c>
      <c r="T101" s="515"/>
      <c r="U101" s="515"/>
      <c r="V101" s="519" t="str">
        <f t="shared" si="53"/>
        <v/>
      </c>
      <c r="W101" s="523" t="str">
        <f t="shared" ca="1" si="37"/>
        <v/>
      </c>
      <c r="X101" s="515"/>
      <c r="Y101" s="513"/>
      <c r="Z101" s="499"/>
    </row>
    <row r="102" spans="1:26" ht="17.25" customHeight="1">
      <c r="A102" s="514" t="str">
        <f t="shared" si="46"/>
        <v/>
      </c>
      <c r="B102" s="515"/>
      <c r="C102" s="515"/>
      <c r="D102" s="515"/>
      <c r="E102" s="517"/>
      <c r="F102" s="518"/>
      <c r="G102" s="515"/>
      <c r="H102" s="519" t="str">
        <f>_xll.RssMarket("d7","現在値")</f>
        <v/>
      </c>
      <c r="I102" s="519" t="str">
        <f t="array" ref="I102">_xll.RssMarket(B102, "出来高加重平均")</f>
        <v/>
      </c>
      <c r="J102" s="519" t="str">
        <f t="array" ref="J102">_xll.RssMarket(B102, "前日比")</f>
        <v/>
      </c>
      <c r="K102" s="519" t="str">
        <f t="shared" si="47"/>
        <v/>
      </c>
      <c r="L102" s="520" t="str">
        <f t="shared" si="48"/>
        <v/>
      </c>
      <c r="M102" s="519" t="str">
        <f t="shared" si="49"/>
        <v/>
      </c>
      <c r="N102" s="519" t="str">
        <f t="shared" si="50"/>
        <v/>
      </c>
      <c r="O102" s="521" t="str">
        <f t="shared" si="51"/>
        <v/>
      </c>
      <c r="P102" s="519" t="str">
        <f t="array" aca="1" ref="P102" ca="1">IF(B102="","",IFERROR(MAX(OFFSET(高値!$E$6,MATCH(TEXT(B102,"0"),TEXT(銘柄管理!$B$6:$B$305,"0"),0)-1,0,1,10)),""))</f>
        <v/>
      </c>
      <c r="Q102" s="519" t="str">
        <f t="array" aca="1" ref="Q102" ca="1">IF(B102="","",IFERROR(MIN(OFFSET(安値!$E$6,MATCH(TEXT(B102,"0"),TEXT(銘柄管理!$B$6:$B$305,"0"),0)-1,0,1,10)),""))</f>
        <v/>
      </c>
      <c r="R102" s="519" t="str">
        <f t="shared" ca="1" si="35"/>
        <v/>
      </c>
      <c r="S102" s="522" t="str">
        <f t="shared" si="52"/>
        <v/>
      </c>
      <c r="T102" s="515"/>
      <c r="U102" s="515"/>
      <c r="V102" s="519" t="str">
        <f t="shared" si="53"/>
        <v/>
      </c>
      <c r="W102" s="523" t="str">
        <f t="shared" ca="1" si="37"/>
        <v/>
      </c>
      <c r="X102" s="515"/>
      <c r="Y102" s="513"/>
      <c r="Z102" s="499"/>
    </row>
    <row r="103" spans="1:26" ht="17.25" customHeight="1">
      <c r="A103" s="514" t="str">
        <f t="shared" si="46"/>
        <v/>
      </c>
      <c r="B103" s="515"/>
      <c r="C103" s="515"/>
      <c r="D103" s="515"/>
      <c r="E103" s="517"/>
      <c r="F103" s="518"/>
      <c r="G103" s="515"/>
      <c r="H103" s="519" t="str">
        <f>_xll.RssMarket("d7","現在値")</f>
        <v/>
      </c>
      <c r="I103" s="519" t="str">
        <f t="array" ref="I103">_xll.RssMarket(B103, "出来高加重平均")</f>
        <v/>
      </c>
      <c r="J103" s="519" t="str">
        <f t="array" ref="J103">_xll.RssMarket(B103, "前日比")</f>
        <v/>
      </c>
      <c r="K103" s="519" t="str">
        <f t="shared" si="47"/>
        <v/>
      </c>
      <c r="L103" s="520" t="str">
        <f t="shared" si="48"/>
        <v/>
      </c>
      <c r="M103" s="519" t="str">
        <f t="shared" si="49"/>
        <v/>
      </c>
      <c r="N103" s="519" t="str">
        <f t="shared" si="50"/>
        <v/>
      </c>
      <c r="O103" s="521" t="str">
        <f t="shared" si="51"/>
        <v/>
      </c>
      <c r="P103" s="519" t="str">
        <f t="array" aca="1" ref="P103" ca="1">IF(B103="","",IFERROR(MAX(OFFSET(高値!$E$6,MATCH(TEXT(B103,"0"),TEXT(銘柄管理!$B$6:$B$305,"0"),0)-1,0,1,10)),""))</f>
        <v/>
      </c>
      <c r="Q103" s="519" t="str">
        <f t="array" aca="1" ref="Q103" ca="1">IF(B103="","",IFERROR(MIN(OFFSET(安値!$E$6,MATCH(TEXT(B103,"0"),TEXT(銘柄管理!$B$6:$B$305,"0"),0)-1,0,1,10)),""))</f>
        <v/>
      </c>
      <c r="R103" s="519" t="str">
        <f t="shared" ca="1" si="35"/>
        <v/>
      </c>
      <c r="S103" s="522" t="str">
        <f t="shared" si="52"/>
        <v/>
      </c>
      <c r="T103" s="515"/>
      <c r="U103" s="515"/>
      <c r="V103" s="519" t="str">
        <f t="shared" si="53"/>
        <v/>
      </c>
      <c r="W103" s="523" t="str">
        <f t="shared" ca="1" si="37"/>
        <v/>
      </c>
      <c r="X103" s="515"/>
      <c r="Y103" s="513"/>
      <c r="Z103" s="499"/>
    </row>
    <row r="104" spans="1:26" ht="17.25" customHeight="1">
      <c r="A104" s="514" t="str">
        <f t="shared" si="46"/>
        <v/>
      </c>
      <c r="B104" s="515"/>
      <c r="C104" s="515"/>
      <c r="D104" s="515"/>
      <c r="E104" s="517"/>
      <c r="F104" s="518"/>
      <c r="G104" s="515"/>
      <c r="H104" s="519" t="str">
        <f>_xll.RssMarket("d7","現在値")</f>
        <v/>
      </c>
      <c r="I104" s="519" t="str">
        <f t="array" ref="I104">_xll.RssMarket(B104, "出来高加重平均")</f>
        <v/>
      </c>
      <c r="J104" s="519" t="str">
        <f t="array" ref="J104">_xll.RssMarket(B104, "前日比")</f>
        <v/>
      </c>
      <c r="K104" s="519" t="str">
        <f t="shared" si="47"/>
        <v/>
      </c>
      <c r="L104" s="520" t="str">
        <f t="shared" si="48"/>
        <v/>
      </c>
      <c r="M104" s="519" t="str">
        <f t="shared" si="49"/>
        <v/>
      </c>
      <c r="N104" s="519" t="str">
        <f t="shared" si="50"/>
        <v/>
      </c>
      <c r="O104" s="521" t="str">
        <f t="shared" si="51"/>
        <v/>
      </c>
      <c r="P104" s="519" t="str">
        <f t="array" aca="1" ref="P104" ca="1">IF(B104="","",IFERROR(MAX(OFFSET(高値!$E$6,MATCH(TEXT(B104,"0"),TEXT(銘柄管理!$B$6:$B$305,"0"),0)-1,0,1,10)),""))</f>
        <v/>
      </c>
      <c r="Q104" s="519" t="str">
        <f t="array" aca="1" ref="Q104" ca="1">IF(B104="","",IFERROR(MIN(OFFSET(安値!$E$6,MATCH(TEXT(B104,"0"),TEXT(銘柄管理!$B$6:$B$305,"0"),0)-1,0,1,10)),""))</f>
        <v/>
      </c>
      <c r="R104" s="519" t="str">
        <f t="shared" ca="1" si="35"/>
        <v/>
      </c>
      <c r="S104" s="522" t="str">
        <f t="shared" si="52"/>
        <v/>
      </c>
      <c r="T104" s="515"/>
      <c r="U104" s="515"/>
      <c r="V104" s="519" t="str">
        <f t="shared" si="53"/>
        <v/>
      </c>
      <c r="W104" s="523" t="str">
        <f t="shared" ca="1" si="37"/>
        <v/>
      </c>
      <c r="X104" s="515"/>
      <c r="Y104" s="513"/>
      <c r="Z104" s="499"/>
    </row>
    <row r="105" spans="1:26" ht="17.25" customHeight="1">
      <c r="A105" s="514" t="str">
        <f t="shared" si="46"/>
        <v/>
      </c>
      <c r="B105" s="515"/>
      <c r="C105" s="515"/>
      <c r="D105" s="515"/>
      <c r="E105" s="517"/>
      <c r="F105" s="518"/>
      <c r="G105" s="515"/>
      <c r="H105" s="519" t="str">
        <f>_xll.RssMarket("d7","現在値")</f>
        <v/>
      </c>
      <c r="I105" s="519" t="str">
        <f t="array" ref="I105">_xll.RssMarket(B105, "出来高加重平均")</f>
        <v/>
      </c>
      <c r="J105" s="519" t="str">
        <f t="array" ref="J105">_xll.RssMarket(B105, "前日比")</f>
        <v/>
      </c>
      <c r="K105" s="519" t="str">
        <f t="shared" si="47"/>
        <v/>
      </c>
      <c r="L105" s="520" t="str">
        <f t="shared" si="48"/>
        <v/>
      </c>
      <c r="M105" s="519" t="str">
        <f t="shared" si="49"/>
        <v/>
      </c>
      <c r="N105" s="519" t="str">
        <f t="shared" si="50"/>
        <v/>
      </c>
      <c r="O105" s="521" t="str">
        <f t="shared" si="51"/>
        <v/>
      </c>
      <c r="P105" s="519" t="str">
        <f t="array" aca="1" ref="P105" ca="1">IF(B105="","",IFERROR(MAX(OFFSET(高値!$E$6,MATCH(TEXT(B105,"0"),TEXT(銘柄管理!$B$6:$B$305,"0"),0)-1,0,1,10)),""))</f>
        <v/>
      </c>
      <c r="Q105" s="519" t="str">
        <f t="array" aca="1" ref="Q105" ca="1">IF(B105="","",IFERROR(MIN(OFFSET(安値!$E$6,MATCH(TEXT(B105,"0"),TEXT(銘柄管理!$B$6:$B$305,"0"),0)-1,0,1,10)),""))</f>
        <v/>
      </c>
      <c r="R105" s="519" t="str">
        <f t="shared" ca="1" si="35"/>
        <v/>
      </c>
      <c r="S105" s="522" t="str">
        <f t="shared" si="52"/>
        <v/>
      </c>
      <c r="T105" s="515"/>
      <c r="U105" s="515"/>
      <c r="V105" s="519" t="str">
        <f t="shared" si="53"/>
        <v/>
      </c>
      <c r="W105" s="523" t="str">
        <f t="shared" ca="1" si="37"/>
        <v/>
      </c>
      <c r="X105" s="515"/>
      <c r="Y105" s="513"/>
      <c r="Z105" s="499"/>
    </row>
    <row r="106" spans="1:26" ht="17.25" customHeight="1">
      <c r="A106" s="514" t="str">
        <f t="shared" si="46"/>
        <v/>
      </c>
      <c r="B106" s="515"/>
      <c r="C106" s="515"/>
      <c r="D106" s="515"/>
      <c r="E106" s="517"/>
      <c r="F106" s="518"/>
      <c r="G106" s="515"/>
      <c r="H106" s="519" t="str">
        <f>_xll.RssMarket("d7","現在値")</f>
        <v/>
      </c>
      <c r="I106" s="519" t="str">
        <f t="array" ref="I106">_xll.RssMarket(B106, "出来高加重平均")</f>
        <v/>
      </c>
      <c r="J106" s="519" t="str">
        <f t="array" ref="J106">_xll.RssMarket(B106, "前日比")</f>
        <v/>
      </c>
      <c r="K106" s="519" t="str">
        <f t="shared" si="47"/>
        <v/>
      </c>
      <c r="L106" s="520" t="str">
        <f t="shared" si="48"/>
        <v/>
      </c>
      <c r="M106" s="519" t="str">
        <f t="shared" si="49"/>
        <v/>
      </c>
      <c r="N106" s="519" t="str">
        <f t="shared" si="50"/>
        <v/>
      </c>
      <c r="O106" s="521" t="str">
        <f t="shared" si="51"/>
        <v/>
      </c>
      <c r="P106" s="519" t="str">
        <f t="array" aca="1" ref="P106" ca="1">IF(B106="","",IFERROR(MAX(OFFSET(高値!$E$6,MATCH(TEXT(B106,"0"),TEXT(銘柄管理!$B$6:$B$305,"0"),0)-1,0,1,10)),""))</f>
        <v/>
      </c>
      <c r="Q106" s="519" t="str">
        <f t="array" aca="1" ref="Q106" ca="1">IF(B106="","",IFERROR(MIN(OFFSET(安値!$E$6,MATCH(TEXT(B106,"0"),TEXT(銘柄管理!$B$6:$B$305,"0"),0)-1,0,1,10)),""))</f>
        <v/>
      </c>
      <c r="R106" s="519" t="str">
        <f t="shared" ca="1" si="35"/>
        <v/>
      </c>
      <c r="S106" s="522" t="str">
        <f t="shared" si="52"/>
        <v/>
      </c>
      <c r="T106" s="515"/>
      <c r="U106" s="515"/>
      <c r="V106" s="519" t="str">
        <f t="shared" si="53"/>
        <v/>
      </c>
      <c r="W106" s="523" t="str">
        <f t="shared" ca="1" si="37"/>
        <v/>
      </c>
      <c r="X106" s="515"/>
      <c r="Y106" s="513"/>
      <c r="Z106" s="499"/>
    </row>
    <row r="107" spans="1:26" ht="17.25" customHeight="1">
      <c r="A107" s="514" t="str">
        <f t="shared" si="46"/>
        <v/>
      </c>
      <c r="B107" s="515"/>
      <c r="C107" s="515"/>
      <c r="D107" s="515"/>
      <c r="E107" s="517"/>
      <c r="F107" s="518"/>
      <c r="G107" s="515"/>
      <c r="H107" s="519" t="str">
        <f>_xll.RssMarket("d7","現在値")</f>
        <v/>
      </c>
      <c r="I107" s="519" t="str">
        <f t="array" ref="I107">_xll.RssMarket(B107, "出来高加重平均")</f>
        <v/>
      </c>
      <c r="J107" s="519" t="str">
        <f t="array" ref="J107">_xll.RssMarket(B107, "前日比")</f>
        <v/>
      </c>
      <c r="K107" s="519" t="str">
        <f t="shared" si="47"/>
        <v/>
      </c>
      <c r="L107" s="520" t="str">
        <f t="shared" si="48"/>
        <v/>
      </c>
      <c r="M107" s="519" t="str">
        <f t="shared" si="49"/>
        <v/>
      </c>
      <c r="N107" s="519" t="str">
        <f t="shared" si="50"/>
        <v/>
      </c>
      <c r="O107" s="521" t="str">
        <f t="shared" si="51"/>
        <v/>
      </c>
      <c r="P107" s="519" t="str">
        <f t="array" aca="1" ref="P107" ca="1">IF(B107="","",IFERROR(MAX(OFFSET(高値!$E$6,MATCH(TEXT(B107,"0"),TEXT(銘柄管理!$B$6:$B$305,"0"),0)-1,0,1,10)),""))</f>
        <v/>
      </c>
      <c r="Q107" s="519" t="str">
        <f t="array" aca="1" ref="Q107" ca="1">IF(B107="","",IFERROR(MIN(OFFSET(安値!$E$6,MATCH(TEXT(B107,"0"),TEXT(銘柄管理!$B$6:$B$305,"0"),0)-1,0,1,10)),""))</f>
        <v/>
      </c>
      <c r="R107" s="519" t="str">
        <f t="shared" ca="1" si="35"/>
        <v/>
      </c>
      <c r="S107" s="522" t="str">
        <f t="shared" si="52"/>
        <v/>
      </c>
      <c r="T107" s="515"/>
      <c r="U107" s="515"/>
      <c r="V107" s="519" t="str">
        <f t="shared" si="53"/>
        <v/>
      </c>
      <c r="W107" s="523" t="str">
        <f t="shared" ca="1" si="37"/>
        <v/>
      </c>
      <c r="X107" s="515"/>
      <c r="Y107" s="513"/>
      <c r="Z107" s="499"/>
    </row>
    <row r="108" spans="1:26" ht="17.25" customHeight="1">
      <c r="A108" s="514" t="str">
        <f t="shared" si="46"/>
        <v/>
      </c>
      <c r="B108" s="515"/>
      <c r="C108" s="515"/>
      <c r="D108" s="515"/>
      <c r="E108" s="517"/>
      <c r="F108" s="518"/>
      <c r="G108" s="515"/>
      <c r="H108" s="519" t="str">
        <f>_xll.RssMarket("d7","現在値")</f>
        <v/>
      </c>
      <c r="I108" s="519" t="str">
        <f t="array" ref="I108">_xll.RssMarket(B108, "出来高加重平均")</f>
        <v/>
      </c>
      <c r="J108" s="519" t="str">
        <f t="array" ref="J108">_xll.RssMarket(B108, "前日比")</f>
        <v/>
      </c>
      <c r="K108" s="519" t="str">
        <f t="shared" si="47"/>
        <v/>
      </c>
      <c r="L108" s="520" t="str">
        <f t="shared" si="48"/>
        <v/>
      </c>
      <c r="M108" s="519" t="str">
        <f t="shared" si="49"/>
        <v/>
      </c>
      <c r="N108" s="519" t="str">
        <f t="shared" si="50"/>
        <v/>
      </c>
      <c r="O108" s="521" t="str">
        <f t="shared" si="51"/>
        <v/>
      </c>
      <c r="P108" s="519" t="str">
        <f t="array" aca="1" ref="P108" ca="1">IF(B108="","",IFERROR(MAX(OFFSET(高値!$E$6,MATCH(TEXT(B108,"0"),TEXT(銘柄管理!$B$6:$B$305,"0"),0)-1,0,1,10)),""))</f>
        <v/>
      </c>
      <c r="Q108" s="519" t="str">
        <f t="array" aca="1" ref="Q108" ca="1">IF(B108="","",IFERROR(MIN(OFFSET(安値!$E$6,MATCH(TEXT(B108,"0"),TEXT(銘柄管理!$B$6:$B$305,"0"),0)-1,0,1,10)),""))</f>
        <v/>
      </c>
      <c r="R108" s="519" t="str">
        <f t="shared" ca="1" si="35"/>
        <v/>
      </c>
      <c r="S108" s="522" t="str">
        <f t="shared" si="52"/>
        <v/>
      </c>
      <c r="T108" s="515"/>
      <c r="U108" s="515"/>
      <c r="V108" s="519" t="str">
        <f t="shared" si="53"/>
        <v/>
      </c>
      <c r="W108" s="523" t="str">
        <f t="shared" ca="1" si="37"/>
        <v/>
      </c>
      <c r="X108" s="515"/>
      <c r="Y108" s="513"/>
      <c r="Z108" s="499"/>
    </row>
    <row r="109" spans="1:26" ht="17.25" customHeight="1">
      <c r="A109" s="514" t="str">
        <f t="shared" si="46"/>
        <v/>
      </c>
      <c r="B109" s="515"/>
      <c r="C109" s="515"/>
      <c r="D109" s="515"/>
      <c r="E109" s="517"/>
      <c r="F109" s="518"/>
      <c r="G109" s="515"/>
      <c r="H109" s="519" t="str">
        <f>_xll.RssMarket("d7","現在値")</f>
        <v/>
      </c>
      <c r="I109" s="519" t="str">
        <f t="array" ref="I109">_xll.RssMarket(B109, "出来高加重平均")</f>
        <v/>
      </c>
      <c r="J109" s="519" t="str">
        <f t="array" ref="J109">_xll.RssMarket(B109, "前日比")</f>
        <v/>
      </c>
      <c r="K109" s="519" t="str">
        <f t="shared" si="47"/>
        <v/>
      </c>
      <c r="L109" s="520" t="str">
        <f t="shared" si="48"/>
        <v/>
      </c>
      <c r="M109" s="519" t="str">
        <f t="shared" si="49"/>
        <v/>
      </c>
      <c r="N109" s="519" t="str">
        <f t="shared" si="50"/>
        <v/>
      </c>
      <c r="O109" s="521" t="str">
        <f t="shared" si="51"/>
        <v/>
      </c>
      <c r="P109" s="519" t="str">
        <f t="array" aca="1" ref="P109" ca="1">IF(B109="","",IFERROR(MAX(OFFSET(高値!$E$6,MATCH(TEXT(B109,"0"),TEXT(銘柄管理!$B$6:$B$305,"0"),0)-1,0,1,10)),""))</f>
        <v/>
      </c>
      <c r="Q109" s="519" t="str">
        <f t="array" aca="1" ref="Q109" ca="1">IF(B109="","",IFERROR(MIN(OFFSET(安値!$E$6,MATCH(TEXT(B109,"0"),TEXT(銘柄管理!$B$6:$B$305,"0"),0)-1,0,1,10)),""))</f>
        <v/>
      </c>
      <c r="R109" s="519" t="str">
        <f t="shared" ref="R109:R172" ca="1" si="54">IF(P109="","",ROUND(P109*0.97,0))</f>
        <v/>
      </c>
      <c r="S109" s="522" t="str">
        <f t="shared" si="52"/>
        <v/>
      </c>
      <c r="T109" s="515"/>
      <c r="U109" s="515"/>
      <c r="V109" s="519" t="str">
        <f t="shared" si="53"/>
        <v/>
      </c>
      <c r="W109" s="523" t="str">
        <f t="shared" ref="W109:W172" ca="1" si="55">IF(OR(E109="",B109=""),"",IF(T109&lt;&gt;"",T109-E109,TODAY()-E109))</f>
        <v/>
      </c>
      <c r="X109" s="515"/>
      <c r="Y109" s="513"/>
      <c r="Z109" s="499"/>
    </row>
    <row r="110" spans="1:26" ht="17.25" customHeight="1">
      <c r="A110" s="514" t="str">
        <f t="shared" si="46"/>
        <v/>
      </c>
      <c r="B110" s="515"/>
      <c r="C110" s="515"/>
      <c r="D110" s="515"/>
      <c r="E110" s="517"/>
      <c r="F110" s="518"/>
      <c r="G110" s="515"/>
      <c r="H110" s="519" t="str">
        <f>_xll.RssMarket("d7","現在値")</f>
        <v/>
      </c>
      <c r="I110" s="519" t="str">
        <f t="array" ref="I110">_xll.RssMarket(B110, "出来高加重平均")</f>
        <v/>
      </c>
      <c r="J110" s="519" t="str">
        <f t="array" ref="J110">_xll.RssMarket(B110, "前日比")</f>
        <v/>
      </c>
      <c r="K110" s="519" t="str">
        <f t="shared" si="47"/>
        <v/>
      </c>
      <c r="L110" s="520" t="str">
        <f t="shared" si="48"/>
        <v/>
      </c>
      <c r="M110" s="519" t="str">
        <f t="shared" si="49"/>
        <v/>
      </c>
      <c r="N110" s="519" t="str">
        <f t="shared" si="50"/>
        <v/>
      </c>
      <c r="O110" s="521" t="str">
        <f t="shared" si="51"/>
        <v/>
      </c>
      <c r="P110" s="519" t="str">
        <f t="array" aca="1" ref="P110" ca="1">IF(B110="","",IFERROR(MAX(OFFSET(高値!$E$6,MATCH(TEXT(B110,"0"),TEXT(銘柄管理!$B$6:$B$305,"0"),0)-1,0,1,10)),""))</f>
        <v/>
      </c>
      <c r="Q110" s="519" t="str">
        <f t="array" aca="1" ref="Q110" ca="1">IF(B110="","",IFERROR(MIN(OFFSET(安値!$E$6,MATCH(TEXT(B110,"0"),TEXT(銘柄管理!$B$6:$B$305,"0"),0)-1,0,1,10)),""))</f>
        <v/>
      </c>
      <c r="R110" s="519" t="str">
        <f t="shared" ca="1" si="54"/>
        <v/>
      </c>
      <c r="S110" s="522" t="str">
        <f t="shared" si="52"/>
        <v/>
      </c>
      <c r="T110" s="515"/>
      <c r="U110" s="515"/>
      <c r="V110" s="519" t="str">
        <f t="shared" si="53"/>
        <v/>
      </c>
      <c r="W110" s="523" t="str">
        <f t="shared" ca="1" si="55"/>
        <v/>
      </c>
      <c r="X110" s="515"/>
      <c r="Y110" s="513"/>
      <c r="Z110" s="499"/>
    </row>
    <row r="111" spans="1:26" ht="17.25" customHeight="1">
      <c r="A111" s="514" t="str">
        <f t="shared" si="46"/>
        <v/>
      </c>
      <c r="B111" s="515"/>
      <c r="C111" s="515"/>
      <c r="D111" s="515"/>
      <c r="E111" s="517"/>
      <c r="F111" s="518"/>
      <c r="G111" s="515"/>
      <c r="H111" s="519" t="str">
        <f>_xll.RssMarket("d7","現在値")</f>
        <v/>
      </c>
      <c r="I111" s="519" t="str">
        <f t="array" ref="I111">_xll.RssMarket(B111, "出来高加重平均")</f>
        <v/>
      </c>
      <c r="J111" s="519" t="str">
        <f t="array" ref="J111">_xll.RssMarket(B111, "前日比")</f>
        <v/>
      </c>
      <c r="K111" s="519" t="str">
        <f t="shared" si="47"/>
        <v/>
      </c>
      <c r="L111" s="520" t="str">
        <f t="shared" si="48"/>
        <v/>
      </c>
      <c r="M111" s="519" t="str">
        <f t="shared" si="49"/>
        <v/>
      </c>
      <c r="N111" s="519" t="str">
        <f t="shared" si="50"/>
        <v/>
      </c>
      <c r="O111" s="521" t="str">
        <f t="shared" si="51"/>
        <v/>
      </c>
      <c r="P111" s="519" t="str">
        <f t="array" aca="1" ref="P111" ca="1">IF(B111="","",IFERROR(MAX(OFFSET(高値!$E$6,MATCH(TEXT(B111,"0"),TEXT(銘柄管理!$B$6:$B$305,"0"),0)-1,0,1,10)),""))</f>
        <v/>
      </c>
      <c r="Q111" s="519" t="str">
        <f t="array" aca="1" ref="Q111" ca="1">IF(B111="","",IFERROR(MIN(OFFSET(安値!$E$6,MATCH(TEXT(B111,"0"),TEXT(銘柄管理!$B$6:$B$305,"0"),0)-1,0,1,10)),""))</f>
        <v/>
      </c>
      <c r="R111" s="519" t="str">
        <f t="shared" ca="1" si="54"/>
        <v/>
      </c>
      <c r="S111" s="522" t="str">
        <f t="shared" si="52"/>
        <v/>
      </c>
      <c r="T111" s="515"/>
      <c r="U111" s="515"/>
      <c r="V111" s="519" t="str">
        <f t="shared" si="53"/>
        <v/>
      </c>
      <c r="W111" s="523" t="str">
        <f t="shared" ca="1" si="55"/>
        <v/>
      </c>
      <c r="X111" s="515"/>
      <c r="Y111" s="513"/>
      <c r="Z111" s="499"/>
    </row>
    <row r="112" spans="1:26" ht="17.25" customHeight="1">
      <c r="A112" s="514" t="str">
        <f t="shared" si="46"/>
        <v/>
      </c>
      <c r="B112" s="515"/>
      <c r="C112" s="515"/>
      <c r="D112" s="515"/>
      <c r="E112" s="517"/>
      <c r="F112" s="518"/>
      <c r="G112" s="515"/>
      <c r="H112" s="519" t="str">
        <f>_xll.RssMarket("d7","現在値")</f>
        <v/>
      </c>
      <c r="I112" s="519" t="str">
        <f t="array" ref="I112">_xll.RssMarket(B112, "出来高加重平均")</f>
        <v/>
      </c>
      <c r="J112" s="519" t="str">
        <f t="array" ref="J112">_xll.RssMarket(B112, "前日比")</f>
        <v/>
      </c>
      <c r="K112" s="519" t="str">
        <f t="shared" si="47"/>
        <v/>
      </c>
      <c r="L112" s="520" t="str">
        <f t="shared" si="48"/>
        <v/>
      </c>
      <c r="M112" s="519" t="str">
        <f t="shared" si="49"/>
        <v/>
      </c>
      <c r="N112" s="519" t="str">
        <f t="shared" si="50"/>
        <v/>
      </c>
      <c r="O112" s="521" t="str">
        <f t="shared" si="51"/>
        <v/>
      </c>
      <c r="P112" s="519" t="str">
        <f t="array" aca="1" ref="P112" ca="1">IF(B112="","",IFERROR(MAX(OFFSET(高値!$E$6,MATCH(TEXT(B112,"0"),TEXT(銘柄管理!$B$6:$B$305,"0"),0)-1,0,1,10)),""))</f>
        <v/>
      </c>
      <c r="Q112" s="519" t="str">
        <f t="array" aca="1" ref="Q112" ca="1">IF(B112="","",IFERROR(MIN(OFFSET(安値!$E$6,MATCH(TEXT(B112,"0"),TEXT(銘柄管理!$B$6:$B$305,"0"),0)-1,0,1,10)),""))</f>
        <v/>
      </c>
      <c r="R112" s="519" t="str">
        <f t="shared" ca="1" si="54"/>
        <v/>
      </c>
      <c r="S112" s="522" t="str">
        <f t="shared" si="52"/>
        <v/>
      </c>
      <c r="T112" s="515"/>
      <c r="U112" s="515"/>
      <c r="V112" s="519" t="str">
        <f t="shared" si="53"/>
        <v/>
      </c>
      <c r="W112" s="523" t="str">
        <f t="shared" ca="1" si="55"/>
        <v/>
      </c>
      <c r="X112" s="515"/>
      <c r="Y112" s="513"/>
      <c r="Z112" s="499"/>
    </row>
    <row r="113" spans="1:26" ht="17.25" customHeight="1">
      <c r="A113" s="514" t="str">
        <f t="shared" si="46"/>
        <v/>
      </c>
      <c r="B113" s="515"/>
      <c r="C113" s="515"/>
      <c r="D113" s="515"/>
      <c r="E113" s="517"/>
      <c r="F113" s="518"/>
      <c r="G113" s="515"/>
      <c r="H113" s="519" t="str">
        <f>_xll.RssMarket("d7","現在値")</f>
        <v/>
      </c>
      <c r="I113" s="519" t="str">
        <f t="array" ref="I113">_xll.RssMarket(B113, "出来高加重平均")</f>
        <v/>
      </c>
      <c r="J113" s="519" t="str">
        <f t="array" ref="J113">_xll.RssMarket(B113, "前日比")</f>
        <v/>
      </c>
      <c r="K113" s="519" t="str">
        <f t="shared" si="47"/>
        <v/>
      </c>
      <c r="L113" s="520" t="str">
        <f t="shared" si="48"/>
        <v/>
      </c>
      <c r="M113" s="519" t="str">
        <f t="shared" si="49"/>
        <v/>
      </c>
      <c r="N113" s="519" t="str">
        <f t="shared" si="50"/>
        <v/>
      </c>
      <c r="O113" s="521" t="str">
        <f t="shared" si="51"/>
        <v/>
      </c>
      <c r="P113" s="519" t="str">
        <f t="array" aca="1" ref="P113" ca="1">IF(B113="","",IFERROR(MAX(OFFSET(高値!$E$6,MATCH(TEXT(B113,"0"),TEXT(銘柄管理!$B$6:$B$305,"0"),0)-1,0,1,10)),""))</f>
        <v/>
      </c>
      <c r="Q113" s="519" t="str">
        <f t="array" aca="1" ref="Q113" ca="1">IF(B113="","",IFERROR(MIN(OFFSET(安値!$E$6,MATCH(TEXT(B113,"0"),TEXT(銘柄管理!$B$6:$B$305,"0"),0)-1,0,1,10)),""))</f>
        <v/>
      </c>
      <c r="R113" s="519" t="str">
        <f t="shared" ca="1" si="54"/>
        <v/>
      </c>
      <c r="S113" s="522" t="str">
        <f t="shared" si="52"/>
        <v/>
      </c>
      <c r="T113" s="515"/>
      <c r="U113" s="515"/>
      <c r="V113" s="519" t="str">
        <f t="shared" si="53"/>
        <v/>
      </c>
      <c r="W113" s="523" t="str">
        <f t="shared" ca="1" si="55"/>
        <v/>
      </c>
      <c r="X113" s="515"/>
      <c r="Y113" s="513"/>
      <c r="Z113" s="499"/>
    </row>
    <row r="114" spans="1:26" ht="17.25" customHeight="1">
      <c r="A114" s="514" t="str">
        <f t="shared" si="46"/>
        <v/>
      </c>
      <c r="B114" s="515"/>
      <c r="C114" s="515"/>
      <c r="D114" s="515"/>
      <c r="E114" s="517"/>
      <c r="F114" s="518"/>
      <c r="G114" s="515"/>
      <c r="H114" s="519" t="str">
        <f>_xll.RssMarket("d7","現在値")</f>
        <v/>
      </c>
      <c r="I114" s="519" t="str">
        <f t="array" ref="I114">_xll.RssMarket(B114, "出来高加重平均")</f>
        <v/>
      </c>
      <c r="J114" s="519" t="str">
        <f t="array" ref="J114">_xll.RssMarket(B114, "前日比")</f>
        <v/>
      </c>
      <c r="K114" s="519" t="str">
        <f t="shared" si="47"/>
        <v/>
      </c>
      <c r="L114" s="520" t="str">
        <f t="shared" si="48"/>
        <v/>
      </c>
      <c r="M114" s="519" t="str">
        <f t="shared" si="49"/>
        <v/>
      </c>
      <c r="N114" s="519" t="str">
        <f t="shared" si="50"/>
        <v/>
      </c>
      <c r="O114" s="521" t="str">
        <f t="shared" si="51"/>
        <v/>
      </c>
      <c r="P114" s="519" t="str">
        <f t="array" aca="1" ref="P114" ca="1">IF(B114="","",IFERROR(MAX(OFFSET(高値!$E$6,MATCH(TEXT(B114,"0"),TEXT(銘柄管理!$B$6:$B$305,"0"),0)-1,0,1,10)),""))</f>
        <v/>
      </c>
      <c r="Q114" s="519" t="str">
        <f t="array" aca="1" ref="Q114" ca="1">IF(B114="","",IFERROR(MIN(OFFSET(安値!$E$6,MATCH(TEXT(B114,"0"),TEXT(銘柄管理!$B$6:$B$305,"0"),0)-1,0,1,10)),""))</f>
        <v/>
      </c>
      <c r="R114" s="519" t="str">
        <f t="shared" ca="1" si="54"/>
        <v/>
      </c>
      <c r="S114" s="522" t="str">
        <f t="shared" si="52"/>
        <v/>
      </c>
      <c r="T114" s="515"/>
      <c r="U114" s="515"/>
      <c r="V114" s="519" t="str">
        <f t="shared" si="53"/>
        <v/>
      </c>
      <c r="W114" s="523" t="str">
        <f t="shared" ca="1" si="55"/>
        <v/>
      </c>
      <c r="X114" s="515"/>
      <c r="Y114" s="513"/>
      <c r="Z114" s="499"/>
    </row>
    <row r="115" spans="1:26" ht="17.25" customHeight="1">
      <c r="A115" s="514" t="str">
        <f t="shared" si="46"/>
        <v/>
      </c>
      <c r="B115" s="515"/>
      <c r="C115" s="515"/>
      <c r="D115" s="515"/>
      <c r="E115" s="517"/>
      <c r="F115" s="518"/>
      <c r="G115" s="515"/>
      <c r="H115" s="519" t="str">
        <f>_xll.RssMarket("d7","現在値")</f>
        <v/>
      </c>
      <c r="I115" s="519" t="str">
        <f t="array" ref="I115">_xll.RssMarket(B115, "出来高加重平均")</f>
        <v/>
      </c>
      <c r="J115" s="519" t="str">
        <f t="array" ref="J115">_xll.RssMarket(B115, "前日比")</f>
        <v/>
      </c>
      <c r="K115" s="519" t="str">
        <f t="shared" si="47"/>
        <v/>
      </c>
      <c r="L115" s="520" t="str">
        <f t="shared" si="48"/>
        <v/>
      </c>
      <c r="M115" s="519" t="str">
        <f t="shared" si="49"/>
        <v/>
      </c>
      <c r="N115" s="519" t="str">
        <f t="shared" si="50"/>
        <v/>
      </c>
      <c r="O115" s="521" t="str">
        <f t="shared" si="51"/>
        <v/>
      </c>
      <c r="P115" s="519" t="str">
        <f t="array" aca="1" ref="P115" ca="1">IF(B115="","",IFERROR(MAX(OFFSET(高値!$E$6,MATCH(TEXT(B115,"0"),TEXT(銘柄管理!$B$6:$B$305,"0"),0)-1,0,1,10)),""))</f>
        <v/>
      </c>
      <c r="Q115" s="519" t="str">
        <f t="array" aca="1" ref="Q115" ca="1">IF(B115="","",IFERROR(MIN(OFFSET(安値!$E$6,MATCH(TEXT(B115,"0"),TEXT(銘柄管理!$B$6:$B$305,"0"),0)-1,0,1,10)),""))</f>
        <v/>
      </c>
      <c r="R115" s="519" t="str">
        <f t="shared" ca="1" si="54"/>
        <v/>
      </c>
      <c r="S115" s="522" t="str">
        <f t="shared" si="52"/>
        <v/>
      </c>
      <c r="T115" s="515"/>
      <c r="U115" s="515"/>
      <c r="V115" s="519" t="str">
        <f t="shared" si="53"/>
        <v/>
      </c>
      <c r="W115" s="523" t="str">
        <f t="shared" ca="1" si="55"/>
        <v/>
      </c>
      <c r="X115" s="515"/>
      <c r="Y115" s="513"/>
      <c r="Z115" s="499"/>
    </row>
    <row r="116" spans="1:26" ht="17.25" customHeight="1">
      <c r="A116" s="514" t="str">
        <f t="shared" si="46"/>
        <v/>
      </c>
      <c r="B116" s="515"/>
      <c r="C116" s="515"/>
      <c r="D116" s="515"/>
      <c r="E116" s="517"/>
      <c r="F116" s="518"/>
      <c r="G116" s="515"/>
      <c r="H116" s="519" t="str">
        <f>_xll.RssMarket("d7","現在値")</f>
        <v/>
      </c>
      <c r="I116" s="519" t="str">
        <f t="array" ref="I116">_xll.RssMarket(B116, "出来高加重平均")</f>
        <v/>
      </c>
      <c r="J116" s="519" t="str">
        <f t="array" ref="J116">_xll.RssMarket(B116, "前日比")</f>
        <v/>
      </c>
      <c r="K116" s="519" t="str">
        <f t="shared" si="47"/>
        <v/>
      </c>
      <c r="L116" s="520" t="str">
        <f t="shared" si="48"/>
        <v/>
      </c>
      <c r="M116" s="519" t="str">
        <f t="shared" si="49"/>
        <v/>
      </c>
      <c r="N116" s="519" t="str">
        <f t="shared" si="50"/>
        <v/>
      </c>
      <c r="O116" s="521" t="str">
        <f t="shared" si="51"/>
        <v/>
      </c>
      <c r="P116" s="519" t="str">
        <f t="array" aca="1" ref="P116" ca="1">IF(B116="","",IFERROR(MAX(OFFSET(高値!$E$6,MATCH(TEXT(B116,"0"),TEXT(銘柄管理!$B$6:$B$305,"0"),0)-1,0,1,10)),""))</f>
        <v/>
      </c>
      <c r="Q116" s="519" t="str">
        <f t="array" aca="1" ref="Q116" ca="1">IF(B116="","",IFERROR(MIN(OFFSET(安値!$E$6,MATCH(TEXT(B116,"0"),TEXT(銘柄管理!$B$6:$B$305,"0"),0)-1,0,1,10)),""))</f>
        <v/>
      </c>
      <c r="R116" s="519" t="str">
        <f t="shared" ca="1" si="54"/>
        <v/>
      </c>
      <c r="S116" s="522" t="str">
        <f t="shared" si="52"/>
        <v/>
      </c>
      <c r="T116" s="515"/>
      <c r="U116" s="515"/>
      <c r="V116" s="519" t="str">
        <f t="shared" si="53"/>
        <v/>
      </c>
      <c r="W116" s="523" t="str">
        <f t="shared" ca="1" si="55"/>
        <v/>
      </c>
      <c r="X116" s="515"/>
      <c r="Y116" s="513"/>
      <c r="Z116" s="499"/>
    </row>
    <row r="117" spans="1:26" ht="17.25" customHeight="1">
      <c r="A117" s="514" t="str">
        <f t="shared" si="46"/>
        <v/>
      </c>
      <c r="B117" s="515"/>
      <c r="C117" s="515"/>
      <c r="D117" s="515"/>
      <c r="E117" s="517"/>
      <c r="F117" s="518"/>
      <c r="G117" s="515"/>
      <c r="H117" s="519" t="str">
        <f>_xll.RssMarket("d7","現在値")</f>
        <v/>
      </c>
      <c r="I117" s="519" t="str">
        <f t="array" ref="I117">_xll.RssMarket(B117, "出来高加重平均")</f>
        <v/>
      </c>
      <c r="J117" s="519" t="str">
        <f t="array" ref="J117">_xll.RssMarket(B117, "前日比")</f>
        <v/>
      </c>
      <c r="K117" s="519" t="str">
        <f t="shared" si="47"/>
        <v/>
      </c>
      <c r="L117" s="520" t="str">
        <f t="shared" si="48"/>
        <v/>
      </c>
      <c r="M117" s="519" t="str">
        <f t="shared" si="49"/>
        <v/>
      </c>
      <c r="N117" s="519" t="str">
        <f t="shared" si="50"/>
        <v/>
      </c>
      <c r="O117" s="521" t="str">
        <f t="shared" si="51"/>
        <v/>
      </c>
      <c r="P117" s="519" t="str">
        <f t="array" aca="1" ref="P117" ca="1">IF(B117="","",IFERROR(MAX(OFFSET(高値!$E$6,MATCH(TEXT(B117,"0"),TEXT(銘柄管理!$B$6:$B$305,"0"),0)-1,0,1,10)),""))</f>
        <v/>
      </c>
      <c r="Q117" s="519" t="str">
        <f t="array" aca="1" ref="Q117" ca="1">IF(B117="","",IFERROR(MIN(OFFSET(安値!$E$6,MATCH(TEXT(B117,"0"),TEXT(銘柄管理!$B$6:$B$305,"0"),0)-1,0,1,10)),""))</f>
        <v/>
      </c>
      <c r="R117" s="519" t="str">
        <f t="shared" ca="1" si="54"/>
        <v/>
      </c>
      <c r="S117" s="522" t="str">
        <f t="shared" si="52"/>
        <v/>
      </c>
      <c r="T117" s="515"/>
      <c r="U117" s="515"/>
      <c r="V117" s="519" t="str">
        <f t="shared" si="53"/>
        <v/>
      </c>
      <c r="W117" s="523" t="str">
        <f t="shared" ca="1" si="55"/>
        <v/>
      </c>
      <c r="X117" s="515"/>
      <c r="Y117" s="513"/>
      <c r="Z117" s="499"/>
    </row>
    <row r="118" spans="1:26" ht="17.25" customHeight="1">
      <c r="A118" s="514" t="str">
        <f t="shared" si="46"/>
        <v/>
      </c>
      <c r="B118" s="515"/>
      <c r="C118" s="515"/>
      <c r="D118" s="515"/>
      <c r="E118" s="517"/>
      <c r="F118" s="518"/>
      <c r="G118" s="515"/>
      <c r="H118" s="519" t="str">
        <f>_xll.RssMarket("d7","現在値")</f>
        <v/>
      </c>
      <c r="I118" s="519" t="str">
        <f t="array" ref="I118">_xll.RssMarket(B118, "出来高加重平均")</f>
        <v/>
      </c>
      <c r="J118" s="519" t="str">
        <f t="array" ref="J118">_xll.RssMarket(B118, "前日比")</f>
        <v/>
      </c>
      <c r="K118" s="519" t="str">
        <f t="shared" si="47"/>
        <v/>
      </c>
      <c r="L118" s="520" t="str">
        <f t="shared" si="48"/>
        <v/>
      </c>
      <c r="M118" s="519" t="str">
        <f t="shared" si="49"/>
        <v/>
      </c>
      <c r="N118" s="519" t="str">
        <f t="shared" si="50"/>
        <v/>
      </c>
      <c r="O118" s="521" t="str">
        <f t="shared" si="51"/>
        <v/>
      </c>
      <c r="P118" s="519" t="str">
        <f t="array" aca="1" ref="P118" ca="1">IF(B118="","",IFERROR(MAX(OFFSET(高値!$E$6,MATCH(TEXT(B118,"0"),TEXT(銘柄管理!$B$6:$B$305,"0"),0)-1,0,1,10)),""))</f>
        <v/>
      </c>
      <c r="Q118" s="519" t="str">
        <f t="array" aca="1" ref="Q118" ca="1">IF(B118="","",IFERROR(MIN(OFFSET(安値!$E$6,MATCH(TEXT(B118,"0"),TEXT(銘柄管理!$B$6:$B$305,"0"),0)-1,0,1,10)),""))</f>
        <v/>
      </c>
      <c r="R118" s="519" t="str">
        <f t="shared" ca="1" si="54"/>
        <v/>
      </c>
      <c r="S118" s="522" t="str">
        <f t="shared" si="52"/>
        <v/>
      </c>
      <c r="T118" s="515"/>
      <c r="U118" s="515"/>
      <c r="V118" s="519" t="str">
        <f t="shared" si="53"/>
        <v/>
      </c>
      <c r="W118" s="523" t="str">
        <f t="shared" ca="1" si="55"/>
        <v/>
      </c>
      <c r="X118" s="515"/>
      <c r="Y118" s="513"/>
      <c r="Z118" s="499"/>
    </row>
    <row r="119" spans="1:26" ht="17.25" customHeight="1">
      <c r="A119" s="514" t="str">
        <f t="shared" si="46"/>
        <v/>
      </c>
      <c r="B119" s="515"/>
      <c r="C119" s="515"/>
      <c r="D119" s="515"/>
      <c r="E119" s="517"/>
      <c r="F119" s="518"/>
      <c r="G119" s="515"/>
      <c r="H119" s="519" t="str">
        <f>_xll.RssMarket("d7","現在値")</f>
        <v/>
      </c>
      <c r="I119" s="519" t="str">
        <f t="array" ref="I119">_xll.RssMarket(B119, "出来高加重平均")</f>
        <v/>
      </c>
      <c r="J119" s="519" t="str">
        <f t="array" ref="J119">_xll.RssMarket(B119, "前日比")</f>
        <v/>
      </c>
      <c r="K119" s="519" t="str">
        <f t="shared" ref="K119:K150" si="56">IF(OR(F119="",G119="",H119=""),"",(H119-F119)*G119)</f>
        <v/>
      </c>
      <c r="L119" s="520" t="str">
        <f t="shared" ref="L119:L150" si="57">IF(OR(F119="",H119=""),"",(H119-F119)/F119)</f>
        <v/>
      </c>
      <c r="M119" s="519" t="str">
        <f t="shared" ref="M119:M150" si="58">IF(F119="","",F119*1.07)</f>
        <v/>
      </c>
      <c r="N119" s="519" t="str">
        <f t="shared" ref="N119:N150" si="59">IF(F119="","",F119*0.96)</f>
        <v/>
      </c>
      <c r="O119" s="521" t="str">
        <f t="shared" ref="O119:O150" si="60">IF(B119="","",IF(H119="","保有中",IF(H119&gt;=M119,"🟢利確推奨",IF(H119&gt;=F119*1.06,"🟡利確&amp;TR STOP検討",IF(H119&lt;=N119,"🔴損切推奨",IF(H119&lt;=F119*0.965,"🔴損切間近",IF(H119&lt;=F119*0.97,"⚠️-3%注意",IF(H119&lt;=F119*0.96,"🟡STOP推奨","保持継続"))))))))</f>
        <v/>
      </c>
      <c r="P119" s="519" t="str">
        <f t="array" aca="1" ref="P119" ca="1">IF(B119="","",IFERROR(MAX(OFFSET(高値!$E$6,MATCH(TEXT(B119,"0"),TEXT(銘柄管理!$B$6:$B$305,"0"),0)-1,0,1,10)),""))</f>
        <v/>
      </c>
      <c r="Q119" s="519" t="str">
        <f t="array" aca="1" ref="Q119" ca="1">IF(B119="","",IFERROR(MIN(OFFSET(安値!$E$6,MATCH(TEXT(B119,"0"),TEXT(銘柄管理!$B$6:$B$305,"0"),0)-1,0,1,10)),""))</f>
        <v/>
      </c>
      <c r="R119" s="519" t="str">
        <f t="shared" ca="1" si="54"/>
        <v/>
      </c>
      <c r="S119" s="522" t="str">
        <f t="shared" ref="S119:S150" si="61">IF(B119="","",IF(T119&lt;&gt;"","?売却済",IF(H119="","?保有中",IF(H119&gt;=M119,"??利確推奨",IF(H119&lt;=N119,"??損切推奨",IF(H119&lt;=R119,"??STOP推奨","?保有中"))))))</f>
        <v/>
      </c>
      <c r="T119" s="515"/>
      <c r="U119" s="515"/>
      <c r="V119" s="519" t="str">
        <f t="shared" ref="V119:V150" si="62">IF(OR(F119="",G119="",U119=""),"",(U119-F119)*G119)</f>
        <v/>
      </c>
      <c r="W119" s="523" t="str">
        <f t="shared" ca="1" si="55"/>
        <v/>
      </c>
      <c r="X119" s="515"/>
      <c r="Y119" s="513"/>
      <c r="Z119" s="499"/>
    </row>
    <row r="120" spans="1:26" ht="17.25" customHeight="1">
      <c r="A120" s="514" t="str">
        <f t="shared" si="46"/>
        <v/>
      </c>
      <c r="B120" s="515"/>
      <c r="C120" s="515"/>
      <c r="D120" s="515"/>
      <c r="E120" s="517"/>
      <c r="F120" s="518"/>
      <c r="G120" s="515"/>
      <c r="H120" s="519" t="str">
        <f>_xll.RssMarket("d7","現在値")</f>
        <v/>
      </c>
      <c r="I120" s="519" t="str">
        <f t="array" ref="I120">_xll.RssMarket(B120, "出来高加重平均")</f>
        <v/>
      </c>
      <c r="J120" s="519" t="str">
        <f t="array" ref="J120">_xll.RssMarket(B120, "前日比")</f>
        <v/>
      </c>
      <c r="K120" s="519" t="str">
        <f t="shared" si="56"/>
        <v/>
      </c>
      <c r="L120" s="520" t="str">
        <f t="shared" si="57"/>
        <v/>
      </c>
      <c r="M120" s="519" t="str">
        <f t="shared" si="58"/>
        <v/>
      </c>
      <c r="N120" s="519" t="str">
        <f t="shared" si="59"/>
        <v/>
      </c>
      <c r="O120" s="521" t="str">
        <f t="shared" si="60"/>
        <v/>
      </c>
      <c r="P120" s="519" t="str">
        <f t="array" aca="1" ref="P120" ca="1">IF(B120="","",IFERROR(MAX(OFFSET(高値!$E$6,MATCH(TEXT(B120,"0"),TEXT(銘柄管理!$B$6:$B$305,"0"),0)-1,0,1,10)),""))</f>
        <v/>
      </c>
      <c r="Q120" s="519" t="str">
        <f t="array" aca="1" ref="Q120" ca="1">IF(B120="","",IFERROR(MIN(OFFSET(安値!$E$6,MATCH(TEXT(B120,"0"),TEXT(銘柄管理!$B$6:$B$305,"0"),0)-1,0,1,10)),""))</f>
        <v/>
      </c>
      <c r="R120" s="519" t="str">
        <f t="shared" ca="1" si="54"/>
        <v/>
      </c>
      <c r="S120" s="522" t="str">
        <f t="shared" si="61"/>
        <v/>
      </c>
      <c r="T120" s="515"/>
      <c r="U120" s="515"/>
      <c r="V120" s="519" t="str">
        <f t="shared" si="62"/>
        <v/>
      </c>
      <c r="W120" s="523" t="str">
        <f t="shared" ca="1" si="55"/>
        <v/>
      </c>
      <c r="X120" s="515"/>
      <c r="Y120" s="513"/>
      <c r="Z120" s="499"/>
    </row>
    <row r="121" spans="1:26" ht="17.25" customHeight="1">
      <c r="A121" s="514" t="str">
        <f t="shared" si="46"/>
        <v/>
      </c>
      <c r="B121" s="515"/>
      <c r="C121" s="515"/>
      <c r="D121" s="515"/>
      <c r="E121" s="517"/>
      <c r="F121" s="518"/>
      <c r="G121" s="515"/>
      <c r="H121" s="519" t="str">
        <f>_xll.RssMarket("d7","現在値")</f>
        <v/>
      </c>
      <c r="I121" s="519" t="str">
        <f t="array" ref="I121">_xll.RssMarket(B121, "出来高加重平均")</f>
        <v/>
      </c>
      <c r="J121" s="519" t="str">
        <f t="array" ref="J121">_xll.RssMarket(B121, "前日比")</f>
        <v/>
      </c>
      <c r="K121" s="519" t="str">
        <f t="shared" si="56"/>
        <v/>
      </c>
      <c r="L121" s="520" t="str">
        <f t="shared" si="57"/>
        <v/>
      </c>
      <c r="M121" s="519" t="str">
        <f t="shared" si="58"/>
        <v/>
      </c>
      <c r="N121" s="519" t="str">
        <f t="shared" si="59"/>
        <v/>
      </c>
      <c r="O121" s="521" t="str">
        <f t="shared" si="60"/>
        <v/>
      </c>
      <c r="P121" s="519" t="str">
        <f t="array" aca="1" ref="P121" ca="1">IF(B121="","",IFERROR(MAX(OFFSET(高値!$E$6,MATCH(TEXT(B121,"0"),TEXT(銘柄管理!$B$6:$B$305,"0"),0)-1,0,1,10)),""))</f>
        <v/>
      </c>
      <c r="Q121" s="519" t="str">
        <f t="array" aca="1" ref="Q121" ca="1">IF(B121="","",IFERROR(MIN(OFFSET(安値!$E$6,MATCH(TEXT(B121,"0"),TEXT(銘柄管理!$B$6:$B$305,"0"),0)-1,0,1,10)),""))</f>
        <v/>
      </c>
      <c r="R121" s="519" t="str">
        <f t="shared" ca="1" si="54"/>
        <v/>
      </c>
      <c r="S121" s="522" t="str">
        <f t="shared" si="61"/>
        <v/>
      </c>
      <c r="T121" s="515"/>
      <c r="U121" s="515"/>
      <c r="V121" s="519" t="str">
        <f t="shared" si="62"/>
        <v/>
      </c>
      <c r="W121" s="523" t="str">
        <f t="shared" ca="1" si="55"/>
        <v/>
      </c>
      <c r="X121" s="515"/>
      <c r="Y121" s="513"/>
      <c r="Z121" s="499"/>
    </row>
    <row r="122" spans="1:26" ht="17.25" customHeight="1">
      <c r="A122" s="514" t="str">
        <f t="shared" si="46"/>
        <v/>
      </c>
      <c r="B122" s="515"/>
      <c r="C122" s="515"/>
      <c r="D122" s="515"/>
      <c r="E122" s="517"/>
      <c r="F122" s="518"/>
      <c r="G122" s="515"/>
      <c r="H122" s="519" t="str">
        <f>_xll.RssMarket("d7","現在値")</f>
        <v/>
      </c>
      <c r="I122" s="519" t="str">
        <f t="array" ref="I122">_xll.RssMarket(B122, "出来高加重平均")</f>
        <v/>
      </c>
      <c r="J122" s="519" t="str">
        <f t="array" ref="J122">_xll.RssMarket(B122, "前日比")</f>
        <v/>
      </c>
      <c r="K122" s="519" t="str">
        <f t="shared" si="56"/>
        <v/>
      </c>
      <c r="L122" s="520" t="str">
        <f t="shared" si="57"/>
        <v/>
      </c>
      <c r="M122" s="519" t="str">
        <f t="shared" si="58"/>
        <v/>
      </c>
      <c r="N122" s="519" t="str">
        <f t="shared" si="59"/>
        <v/>
      </c>
      <c r="O122" s="521" t="str">
        <f t="shared" si="60"/>
        <v/>
      </c>
      <c r="P122" s="519" t="str">
        <f t="array" aca="1" ref="P122" ca="1">IF(B122="","",IFERROR(MAX(OFFSET(高値!$E$6,MATCH(TEXT(B122,"0"),TEXT(銘柄管理!$B$6:$B$305,"0"),0)-1,0,1,10)),""))</f>
        <v/>
      </c>
      <c r="Q122" s="519" t="str">
        <f t="array" aca="1" ref="Q122" ca="1">IF(B122="","",IFERROR(MIN(OFFSET(安値!$E$6,MATCH(TEXT(B122,"0"),TEXT(銘柄管理!$B$6:$B$305,"0"),0)-1,0,1,10)),""))</f>
        <v/>
      </c>
      <c r="R122" s="519" t="str">
        <f t="shared" ca="1" si="54"/>
        <v/>
      </c>
      <c r="S122" s="522" t="str">
        <f t="shared" si="61"/>
        <v/>
      </c>
      <c r="T122" s="515"/>
      <c r="U122" s="515"/>
      <c r="V122" s="519" t="str">
        <f t="shared" si="62"/>
        <v/>
      </c>
      <c r="W122" s="523" t="str">
        <f t="shared" ca="1" si="55"/>
        <v/>
      </c>
      <c r="X122" s="515"/>
      <c r="Y122" s="513"/>
      <c r="Z122" s="499"/>
    </row>
    <row r="123" spans="1:26" ht="17.25" customHeight="1">
      <c r="A123" s="514" t="str">
        <f t="shared" si="46"/>
        <v/>
      </c>
      <c r="B123" s="515"/>
      <c r="C123" s="515"/>
      <c r="D123" s="515"/>
      <c r="E123" s="517"/>
      <c r="F123" s="518"/>
      <c r="G123" s="515"/>
      <c r="H123" s="519" t="str">
        <f>_xll.RssMarket("d7","現在値")</f>
        <v/>
      </c>
      <c r="I123" s="519" t="str">
        <f t="array" ref="I123">_xll.RssMarket(B123, "出来高加重平均")</f>
        <v/>
      </c>
      <c r="J123" s="519" t="str">
        <f t="array" ref="J123">_xll.RssMarket(B123, "前日比")</f>
        <v/>
      </c>
      <c r="K123" s="519" t="str">
        <f t="shared" si="56"/>
        <v/>
      </c>
      <c r="L123" s="520" t="str">
        <f t="shared" si="57"/>
        <v/>
      </c>
      <c r="M123" s="519" t="str">
        <f t="shared" si="58"/>
        <v/>
      </c>
      <c r="N123" s="519" t="str">
        <f t="shared" si="59"/>
        <v/>
      </c>
      <c r="O123" s="521" t="str">
        <f t="shared" si="60"/>
        <v/>
      </c>
      <c r="P123" s="519" t="str">
        <f t="array" aca="1" ref="P123" ca="1">IF(B123="","",IFERROR(MAX(OFFSET(高値!$E$6,MATCH(TEXT(B123,"0"),TEXT(銘柄管理!$B$6:$B$305,"0"),0)-1,0,1,10)),""))</f>
        <v/>
      </c>
      <c r="Q123" s="519" t="str">
        <f t="array" aca="1" ref="Q123" ca="1">IF(B123="","",IFERROR(MIN(OFFSET(安値!$E$6,MATCH(TEXT(B123,"0"),TEXT(銘柄管理!$B$6:$B$305,"0"),0)-1,0,1,10)),""))</f>
        <v/>
      </c>
      <c r="R123" s="519" t="str">
        <f t="shared" ca="1" si="54"/>
        <v/>
      </c>
      <c r="S123" s="522" t="str">
        <f t="shared" si="61"/>
        <v/>
      </c>
      <c r="T123" s="515"/>
      <c r="U123" s="515"/>
      <c r="V123" s="519" t="str">
        <f t="shared" si="62"/>
        <v/>
      </c>
      <c r="W123" s="523" t="str">
        <f t="shared" ca="1" si="55"/>
        <v/>
      </c>
      <c r="X123" s="515"/>
      <c r="Y123" s="513"/>
      <c r="Z123" s="499"/>
    </row>
    <row r="124" spans="1:26" ht="17.25" customHeight="1">
      <c r="A124" s="514" t="str">
        <f t="shared" si="46"/>
        <v/>
      </c>
      <c r="B124" s="515"/>
      <c r="C124" s="515"/>
      <c r="D124" s="515"/>
      <c r="E124" s="517"/>
      <c r="F124" s="518"/>
      <c r="G124" s="515"/>
      <c r="H124" s="519" t="str">
        <f>_xll.RssMarket("d7","現在値")</f>
        <v/>
      </c>
      <c r="I124" s="519" t="str">
        <f t="array" ref="I124">_xll.RssMarket(B124, "出来高加重平均")</f>
        <v/>
      </c>
      <c r="J124" s="519" t="str">
        <f t="array" ref="J124">_xll.RssMarket(B124, "前日比")</f>
        <v/>
      </c>
      <c r="K124" s="519" t="str">
        <f t="shared" si="56"/>
        <v/>
      </c>
      <c r="L124" s="520" t="str">
        <f t="shared" si="57"/>
        <v/>
      </c>
      <c r="M124" s="519" t="str">
        <f t="shared" si="58"/>
        <v/>
      </c>
      <c r="N124" s="519" t="str">
        <f t="shared" si="59"/>
        <v/>
      </c>
      <c r="O124" s="521" t="str">
        <f t="shared" si="60"/>
        <v/>
      </c>
      <c r="P124" s="519" t="str">
        <f t="array" aca="1" ref="P124" ca="1">IF(B124="","",IFERROR(MAX(OFFSET(高値!$E$6,MATCH(TEXT(B124,"0"),TEXT(銘柄管理!$B$6:$B$305,"0"),0)-1,0,1,10)),""))</f>
        <v/>
      </c>
      <c r="Q124" s="519" t="str">
        <f t="array" aca="1" ref="Q124" ca="1">IF(B124="","",IFERROR(MIN(OFFSET(安値!$E$6,MATCH(TEXT(B124,"0"),TEXT(銘柄管理!$B$6:$B$305,"0"),0)-1,0,1,10)),""))</f>
        <v/>
      </c>
      <c r="R124" s="519" t="str">
        <f t="shared" ca="1" si="54"/>
        <v/>
      </c>
      <c r="S124" s="522" t="str">
        <f t="shared" si="61"/>
        <v/>
      </c>
      <c r="T124" s="515"/>
      <c r="U124" s="515"/>
      <c r="V124" s="519" t="str">
        <f t="shared" si="62"/>
        <v/>
      </c>
      <c r="W124" s="523" t="str">
        <f t="shared" ca="1" si="55"/>
        <v/>
      </c>
      <c r="X124" s="515"/>
      <c r="Y124" s="513"/>
      <c r="Z124" s="499"/>
    </row>
    <row r="125" spans="1:26" ht="17.25" customHeight="1">
      <c r="A125" s="514" t="str">
        <f t="shared" si="46"/>
        <v/>
      </c>
      <c r="B125" s="515"/>
      <c r="C125" s="515"/>
      <c r="D125" s="515"/>
      <c r="E125" s="517"/>
      <c r="F125" s="518"/>
      <c r="G125" s="515"/>
      <c r="H125" s="519" t="str">
        <f>_xll.RssMarket("d7","現在値")</f>
        <v/>
      </c>
      <c r="I125" s="519" t="str">
        <f t="array" ref="I125">_xll.RssMarket(B125, "出来高加重平均")</f>
        <v/>
      </c>
      <c r="J125" s="519" t="str">
        <f t="array" ref="J125">_xll.RssMarket(B125, "前日比")</f>
        <v/>
      </c>
      <c r="K125" s="519" t="str">
        <f t="shared" si="56"/>
        <v/>
      </c>
      <c r="L125" s="520" t="str">
        <f t="shared" si="57"/>
        <v/>
      </c>
      <c r="M125" s="519" t="str">
        <f t="shared" si="58"/>
        <v/>
      </c>
      <c r="N125" s="519" t="str">
        <f t="shared" si="59"/>
        <v/>
      </c>
      <c r="O125" s="521" t="str">
        <f t="shared" si="60"/>
        <v/>
      </c>
      <c r="P125" s="519" t="str">
        <f t="array" aca="1" ref="P125" ca="1">IF(B125="","",IFERROR(MAX(OFFSET(高値!$E$6,MATCH(TEXT(B125,"0"),TEXT(銘柄管理!$B$6:$B$305,"0"),0)-1,0,1,10)),""))</f>
        <v/>
      </c>
      <c r="Q125" s="519" t="str">
        <f t="array" aca="1" ref="Q125" ca="1">IF(B125="","",IFERROR(MIN(OFFSET(安値!$E$6,MATCH(TEXT(B125,"0"),TEXT(銘柄管理!$B$6:$B$305,"0"),0)-1,0,1,10)),""))</f>
        <v/>
      </c>
      <c r="R125" s="519" t="str">
        <f t="shared" ca="1" si="54"/>
        <v/>
      </c>
      <c r="S125" s="522" t="str">
        <f t="shared" si="61"/>
        <v/>
      </c>
      <c r="T125" s="515"/>
      <c r="U125" s="515"/>
      <c r="V125" s="519" t="str">
        <f t="shared" si="62"/>
        <v/>
      </c>
      <c r="W125" s="523" t="str">
        <f t="shared" ca="1" si="55"/>
        <v/>
      </c>
      <c r="X125" s="515"/>
      <c r="Y125" s="513"/>
      <c r="Z125" s="499"/>
    </row>
    <row r="126" spans="1:26" ht="17.25" customHeight="1">
      <c r="A126" s="514" t="str">
        <f t="shared" si="46"/>
        <v/>
      </c>
      <c r="B126" s="515"/>
      <c r="C126" s="515"/>
      <c r="D126" s="515"/>
      <c r="E126" s="517"/>
      <c r="F126" s="518"/>
      <c r="G126" s="515"/>
      <c r="H126" s="519" t="str">
        <f>_xll.RssMarket("d7","現在値")</f>
        <v/>
      </c>
      <c r="I126" s="519" t="str">
        <f t="array" ref="I126">_xll.RssMarket(B126, "出来高加重平均")</f>
        <v/>
      </c>
      <c r="J126" s="519" t="str">
        <f t="array" ref="J126">_xll.RssMarket(B126, "前日比")</f>
        <v/>
      </c>
      <c r="K126" s="519" t="str">
        <f t="shared" si="56"/>
        <v/>
      </c>
      <c r="L126" s="520" t="str">
        <f t="shared" si="57"/>
        <v/>
      </c>
      <c r="M126" s="519" t="str">
        <f t="shared" si="58"/>
        <v/>
      </c>
      <c r="N126" s="519" t="str">
        <f t="shared" si="59"/>
        <v/>
      </c>
      <c r="O126" s="521" t="str">
        <f t="shared" si="60"/>
        <v/>
      </c>
      <c r="P126" s="519" t="str">
        <f t="array" aca="1" ref="P126" ca="1">IF(B126="","",IFERROR(MAX(OFFSET(高値!$E$6,MATCH(TEXT(B126,"0"),TEXT(銘柄管理!$B$6:$B$305,"0"),0)-1,0,1,10)),""))</f>
        <v/>
      </c>
      <c r="Q126" s="519" t="str">
        <f t="array" aca="1" ref="Q126" ca="1">IF(B126="","",IFERROR(MIN(OFFSET(安値!$E$6,MATCH(TEXT(B126,"0"),TEXT(銘柄管理!$B$6:$B$305,"0"),0)-1,0,1,10)),""))</f>
        <v/>
      </c>
      <c r="R126" s="519" t="str">
        <f t="shared" ca="1" si="54"/>
        <v/>
      </c>
      <c r="S126" s="522" t="str">
        <f t="shared" si="61"/>
        <v/>
      </c>
      <c r="T126" s="515"/>
      <c r="U126" s="515"/>
      <c r="V126" s="519" t="str">
        <f t="shared" si="62"/>
        <v/>
      </c>
      <c r="W126" s="523" t="str">
        <f t="shared" ca="1" si="55"/>
        <v/>
      </c>
      <c r="X126" s="515"/>
      <c r="Y126" s="513"/>
      <c r="Z126" s="499"/>
    </row>
    <row r="127" spans="1:26" ht="17.25" customHeight="1">
      <c r="A127" s="514" t="str">
        <f t="shared" si="46"/>
        <v/>
      </c>
      <c r="B127" s="515"/>
      <c r="C127" s="515"/>
      <c r="D127" s="515"/>
      <c r="E127" s="517"/>
      <c r="F127" s="518"/>
      <c r="G127" s="515"/>
      <c r="H127" s="519" t="str">
        <f>_xll.RssMarket("d7","現在値")</f>
        <v/>
      </c>
      <c r="I127" s="519" t="str">
        <f t="array" ref="I127">_xll.RssMarket(B127, "出来高加重平均")</f>
        <v/>
      </c>
      <c r="J127" s="519" t="str">
        <f t="array" ref="J127">_xll.RssMarket(B127, "前日比")</f>
        <v/>
      </c>
      <c r="K127" s="519" t="str">
        <f t="shared" si="56"/>
        <v/>
      </c>
      <c r="L127" s="520" t="str">
        <f t="shared" si="57"/>
        <v/>
      </c>
      <c r="M127" s="519" t="str">
        <f t="shared" si="58"/>
        <v/>
      </c>
      <c r="N127" s="519" t="str">
        <f t="shared" si="59"/>
        <v/>
      </c>
      <c r="O127" s="521" t="str">
        <f t="shared" si="60"/>
        <v/>
      </c>
      <c r="P127" s="519" t="str">
        <f t="array" aca="1" ref="P127" ca="1">IF(B127="","",IFERROR(MAX(OFFSET(高値!$E$6,MATCH(TEXT(B127,"0"),TEXT(銘柄管理!$B$6:$B$305,"0"),0)-1,0,1,10)),""))</f>
        <v/>
      </c>
      <c r="Q127" s="519" t="str">
        <f t="array" aca="1" ref="Q127" ca="1">IF(B127="","",IFERROR(MIN(OFFSET(安値!$E$6,MATCH(TEXT(B127,"0"),TEXT(銘柄管理!$B$6:$B$305,"0"),0)-1,0,1,10)),""))</f>
        <v/>
      </c>
      <c r="R127" s="519" t="str">
        <f t="shared" ca="1" si="54"/>
        <v/>
      </c>
      <c r="S127" s="522" t="str">
        <f t="shared" si="61"/>
        <v/>
      </c>
      <c r="T127" s="515"/>
      <c r="U127" s="515"/>
      <c r="V127" s="519" t="str">
        <f t="shared" si="62"/>
        <v/>
      </c>
      <c r="W127" s="523" t="str">
        <f t="shared" ca="1" si="55"/>
        <v/>
      </c>
      <c r="X127" s="515"/>
      <c r="Y127" s="513"/>
      <c r="Z127" s="499"/>
    </row>
    <row r="128" spans="1:26" ht="17.25" customHeight="1">
      <c r="A128" s="514" t="str">
        <f t="shared" si="46"/>
        <v/>
      </c>
      <c r="B128" s="515"/>
      <c r="C128" s="515"/>
      <c r="D128" s="515"/>
      <c r="E128" s="517"/>
      <c r="F128" s="518"/>
      <c r="G128" s="515"/>
      <c r="H128" s="519" t="str">
        <f>_xll.RssMarket("d7","現在値")</f>
        <v/>
      </c>
      <c r="I128" s="519" t="str">
        <f t="array" ref="I128">_xll.RssMarket(B128, "出来高加重平均")</f>
        <v/>
      </c>
      <c r="J128" s="519" t="str">
        <f t="array" ref="J128">_xll.RssMarket(B128, "前日比")</f>
        <v/>
      </c>
      <c r="K128" s="519" t="str">
        <f t="shared" si="56"/>
        <v/>
      </c>
      <c r="L128" s="520" t="str">
        <f t="shared" si="57"/>
        <v/>
      </c>
      <c r="M128" s="519" t="str">
        <f t="shared" si="58"/>
        <v/>
      </c>
      <c r="N128" s="519" t="str">
        <f t="shared" si="59"/>
        <v/>
      </c>
      <c r="O128" s="521" t="str">
        <f t="shared" si="60"/>
        <v/>
      </c>
      <c r="P128" s="519" t="str">
        <f t="array" aca="1" ref="P128" ca="1">IF(B128="","",IFERROR(MAX(OFFSET(高値!$E$6,MATCH(TEXT(B128,"0"),TEXT(銘柄管理!$B$6:$B$305,"0"),0)-1,0,1,10)),""))</f>
        <v/>
      </c>
      <c r="Q128" s="519" t="str">
        <f t="array" aca="1" ref="Q128" ca="1">IF(B128="","",IFERROR(MIN(OFFSET(安値!$E$6,MATCH(TEXT(B128,"0"),TEXT(銘柄管理!$B$6:$B$305,"0"),0)-1,0,1,10)),""))</f>
        <v/>
      </c>
      <c r="R128" s="519" t="str">
        <f t="shared" ca="1" si="54"/>
        <v/>
      </c>
      <c r="S128" s="522" t="str">
        <f t="shared" si="61"/>
        <v/>
      </c>
      <c r="T128" s="515"/>
      <c r="U128" s="515"/>
      <c r="V128" s="519" t="str">
        <f t="shared" si="62"/>
        <v/>
      </c>
      <c r="W128" s="523" t="str">
        <f t="shared" ca="1" si="55"/>
        <v/>
      </c>
      <c r="X128" s="515"/>
      <c r="Y128" s="513"/>
      <c r="Z128" s="499"/>
    </row>
    <row r="129" spans="1:26" ht="17.25" customHeight="1">
      <c r="A129" s="514" t="str">
        <f t="shared" si="46"/>
        <v/>
      </c>
      <c r="B129" s="515"/>
      <c r="C129" s="515"/>
      <c r="D129" s="515"/>
      <c r="E129" s="517"/>
      <c r="F129" s="518"/>
      <c r="G129" s="515"/>
      <c r="H129" s="519" t="str">
        <f>_xll.RssMarket("d7","現在値")</f>
        <v/>
      </c>
      <c r="I129" s="519" t="str">
        <f t="array" ref="I129">_xll.RssMarket(B129, "出来高加重平均")</f>
        <v/>
      </c>
      <c r="J129" s="519" t="str">
        <f t="array" ref="J129">_xll.RssMarket(B129, "前日比")</f>
        <v/>
      </c>
      <c r="K129" s="519" t="str">
        <f t="shared" si="56"/>
        <v/>
      </c>
      <c r="L129" s="520" t="str">
        <f t="shared" si="57"/>
        <v/>
      </c>
      <c r="M129" s="519" t="str">
        <f t="shared" si="58"/>
        <v/>
      </c>
      <c r="N129" s="519" t="str">
        <f t="shared" si="59"/>
        <v/>
      </c>
      <c r="O129" s="521" t="str">
        <f t="shared" si="60"/>
        <v/>
      </c>
      <c r="P129" s="519" t="str">
        <f t="array" aca="1" ref="P129" ca="1">IF(B129="","",IFERROR(MAX(OFFSET(高値!$E$6,MATCH(TEXT(B129,"0"),TEXT(銘柄管理!$B$6:$B$305,"0"),0)-1,0,1,10)),""))</f>
        <v/>
      </c>
      <c r="Q129" s="519" t="str">
        <f t="array" aca="1" ref="Q129" ca="1">IF(B129="","",IFERROR(MIN(OFFSET(安値!$E$6,MATCH(TEXT(B129,"0"),TEXT(銘柄管理!$B$6:$B$305,"0"),0)-1,0,1,10)),""))</f>
        <v/>
      </c>
      <c r="R129" s="519" t="str">
        <f t="shared" ca="1" si="54"/>
        <v/>
      </c>
      <c r="S129" s="522" t="str">
        <f t="shared" si="61"/>
        <v/>
      </c>
      <c r="T129" s="515"/>
      <c r="U129" s="515"/>
      <c r="V129" s="519" t="str">
        <f t="shared" si="62"/>
        <v/>
      </c>
      <c r="W129" s="523" t="str">
        <f t="shared" ca="1" si="55"/>
        <v/>
      </c>
      <c r="X129" s="515"/>
      <c r="Y129" s="513"/>
      <c r="Z129" s="499"/>
    </row>
    <row r="130" spans="1:26" ht="17.25" customHeight="1">
      <c r="A130" s="514" t="str">
        <f t="shared" si="46"/>
        <v/>
      </c>
      <c r="B130" s="515"/>
      <c r="C130" s="515"/>
      <c r="D130" s="515"/>
      <c r="E130" s="517"/>
      <c r="F130" s="518"/>
      <c r="G130" s="515"/>
      <c r="H130" s="519" t="str">
        <f>_xll.RssMarket("d7","現在値")</f>
        <v/>
      </c>
      <c r="I130" s="519" t="str">
        <f t="array" ref="I130">_xll.RssMarket(B130, "出来高加重平均")</f>
        <v/>
      </c>
      <c r="J130" s="519" t="str">
        <f t="array" ref="J130">_xll.RssMarket(B130, "前日比")</f>
        <v/>
      </c>
      <c r="K130" s="519" t="str">
        <f t="shared" si="56"/>
        <v/>
      </c>
      <c r="L130" s="520" t="str">
        <f t="shared" si="57"/>
        <v/>
      </c>
      <c r="M130" s="519" t="str">
        <f t="shared" si="58"/>
        <v/>
      </c>
      <c r="N130" s="519" t="str">
        <f t="shared" si="59"/>
        <v/>
      </c>
      <c r="O130" s="521" t="str">
        <f t="shared" si="60"/>
        <v/>
      </c>
      <c r="P130" s="519" t="str">
        <f t="array" aca="1" ref="P130" ca="1">IF(B130="","",IFERROR(MAX(OFFSET(高値!$E$6,MATCH(TEXT(B130,"0"),TEXT(銘柄管理!$B$6:$B$305,"0"),0)-1,0,1,10)),""))</f>
        <v/>
      </c>
      <c r="Q130" s="519" t="str">
        <f t="array" aca="1" ref="Q130" ca="1">IF(B130="","",IFERROR(MIN(OFFSET(安値!$E$6,MATCH(TEXT(B130,"0"),TEXT(銘柄管理!$B$6:$B$305,"0"),0)-1,0,1,10)),""))</f>
        <v/>
      </c>
      <c r="R130" s="519" t="str">
        <f t="shared" ca="1" si="54"/>
        <v/>
      </c>
      <c r="S130" s="522" t="str">
        <f t="shared" si="61"/>
        <v/>
      </c>
      <c r="T130" s="515"/>
      <c r="U130" s="515"/>
      <c r="V130" s="519" t="str">
        <f t="shared" si="62"/>
        <v/>
      </c>
      <c r="W130" s="523" t="str">
        <f t="shared" ca="1" si="55"/>
        <v/>
      </c>
      <c r="X130" s="515"/>
      <c r="Y130" s="513"/>
      <c r="Z130" s="499"/>
    </row>
    <row r="131" spans="1:26" ht="17.25" customHeight="1">
      <c r="A131" s="514" t="str">
        <f t="shared" si="46"/>
        <v/>
      </c>
      <c r="B131" s="515"/>
      <c r="C131" s="515"/>
      <c r="D131" s="515"/>
      <c r="E131" s="517"/>
      <c r="F131" s="518"/>
      <c r="G131" s="515"/>
      <c r="H131" s="519" t="str">
        <f>_xll.RssMarket("d7","現在値")</f>
        <v/>
      </c>
      <c r="I131" s="519" t="str">
        <f t="array" ref="I131">_xll.RssMarket(B131, "出来高加重平均")</f>
        <v/>
      </c>
      <c r="J131" s="519" t="str">
        <f t="array" ref="J131">_xll.RssMarket(B131, "前日比")</f>
        <v/>
      </c>
      <c r="K131" s="519" t="str">
        <f t="shared" si="56"/>
        <v/>
      </c>
      <c r="L131" s="520" t="str">
        <f t="shared" si="57"/>
        <v/>
      </c>
      <c r="M131" s="519" t="str">
        <f t="shared" si="58"/>
        <v/>
      </c>
      <c r="N131" s="519" t="str">
        <f t="shared" si="59"/>
        <v/>
      </c>
      <c r="O131" s="521" t="str">
        <f t="shared" si="60"/>
        <v/>
      </c>
      <c r="P131" s="519" t="str">
        <f t="array" aca="1" ref="P131" ca="1">IF(B131="","",IFERROR(MAX(OFFSET(高値!$E$6,MATCH(TEXT(B131,"0"),TEXT(銘柄管理!$B$6:$B$305,"0"),0)-1,0,1,10)),""))</f>
        <v/>
      </c>
      <c r="Q131" s="519" t="str">
        <f t="array" aca="1" ref="Q131" ca="1">IF(B131="","",IFERROR(MIN(OFFSET(安値!$E$6,MATCH(TEXT(B131,"0"),TEXT(銘柄管理!$B$6:$B$305,"0"),0)-1,0,1,10)),""))</f>
        <v/>
      </c>
      <c r="R131" s="519" t="str">
        <f t="shared" ca="1" si="54"/>
        <v/>
      </c>
      <c r="S131" s="522" t="str">
        <f t="shared" si="61"/>
        <v/>
      </c>
      <c r="T131" s="515"/>
      <c r="U131" s="515"/>
      <c r="V131" s="519" t="str">
        <f t="shared" si="62"/>
        <v/>
      </c>
      <c r="W131" s="523" t="str">
        <f t="shared" ca="1" si="55"/>
        <v/>
      </c>
      <c r="X131" s="515"/>
      <c r="Y131" s="513"/>
      <c r="Z131" s="499"/>
    </row>
    <row r="132" spans="1:26" ht="17.25" customHeight="1">
      <c r="A132" s="514" t="str">
        <f t="shared" si="46"/>
        <v/>
      </c>
      <c r="B132" s="515"/>
      <c r="C132" s="515"/>
      <c r="D132" s="515"/>
      <c r="E132" s="517"/>
      <c r="F132" s="518"/>
      <c r="G132" s="515"/>
      <c r="H132" s="519" t="str">
        <f>_xll.RssMarket("d7","現在値")</f>
        <v/>
      </c>
      <c r="I132" s="519" t="str">
        <f t="array" ref="I132">_xll.RssMarket(B132, "出来高加重平均")</f>
        <v/>
      </c>
      <c r="J132" s="519" t="str">
        <f t="array" ref="J132">_xll.RssMarket(B132, "前日比")</f>
        <v/>
      </c>
      <c r="K132" s="519" t="str">
        <f t="shared" si="56"/>
        <v/>
      </c>
      <c r="L132" s="520" t="str">
        <f t="shared" si="57"/>
        <v/>
      </c>
      <c r="M132" s="519" t="str">
        <f t="shared" si="58"/>
        <v/>
      </c>
      <c r="N132" s="519" t="str">
        <f t="shared" si="59"/>
        <v/>
      </c>
      <c r="O132" s="521" t="str">
        <f t="shared" si="60"/>
        <v/>
      </c>
      <c r="P132" s="519" t="str">
        <f t="array" aca="1" ref="P132" ca="1">IF(B132="","",IFERROR(MAX(OFFSET(高値!$E$6,MATCH(TEXT(B132,"0"),TEXT(銘柄管理!$B$6:$B$305,"0"),0)-1,0,1,10)),""))</f>
        <v/>
      </c>
      <c r="Q132" s="519" t="str">
        <f t="array" aca="1" ref="Q132" ca="1">IF(B132="","",IFERROR(MIN(OFFSET(安値!$E$6,MATCH(TEXT(B132,"0"),TEXT(銘柄管理!$B$6:$B$305,"0"),0)-1,0,1,10)),""))</f>
        <v/>
      </c>
      <c r="R132" s="519" t="str">
        <f t="shared" ca="1" si="54"/>
        <v/>
      </c>
      <c r="S132" s="522" t="str">
        <f t="shared" si="61"/>
        <v/>
      </c>
      <c r="T132" s="515"/>
      <c r="U132" s="515"/>
      <c r="V132" s="519" t="str">
        <f t="shared" si="62"/>
        <v/>
      </c>
      <c r="W132" s="523" t="str">
        <f t="shared" ca="1" si="55"/>
        <v/>
      </c>
      <c r="X132" s="515"/>
      <c r="Y132" s="513"/>
      <c r="Z132" s="499"/>
    </row>
    <row r="133" spans="1:26" ht="17.25" customHeight="1">
      <c r="A133" s="514" t="str">
        <f t="shared" si="46"/>
        <v/>
      </c>
      <c r="B133" s="515"/>
      <c r="C133" s="515"/>
      <c r="D133" s="515"/>
      <c r="E133" s="517"/>
      <c r="F133" s="518"/>
      <c r="G133" s="515"/>
      <c r="H133" s="519" t="str">
        <f>_xll.RssMarket("d7","現在値")</f>
        <v/>
      </c>
      <c r="I133" s="519" t="str">
        <f t="array" ref="I133">_xll.RssMarket(B133, "出来高加重平均")</f>
        <v/>
      </c>
      <c r="J133" s="519" t="str">
        <f t="array" ref="J133">_xll.RssMarket(B133, "前日比")</f>
        <v/>
      </c>
      <c r="K133" s="519" t="str">
        <f t="shared" si="56"/>
        <v/>
      </c>
      <c r="L133" s="520" t="str">
        <f t="shared" si="57"/>
        <v/>
      </c>
      <c r="M133" s="519" t="str">
        <f t="shared" si="58"/>
        <v/>
      </c>
      <c r="N133" s="519" t="str">
        <f t="shared" si="59"/>
        <v/>
      </c>
      <c r="O133" s="521" t="str">
        <f t="shared" si="60"/>
        <v/>
      </c>
      <c r="P133" s="519" t="str">
        <f t="array" aca="1" ref="P133" ca="1">IF(B133="","",IFERROR(MAX(OFFSET(高値!$E$6,MATCH(TEXT(B133,"0"),TEXT(銘柄管理!$B$6:$B$305,"0"),0)-1,0,1,10)),""))</f>
        <v/>
      </c>
      <c r="Q133" s="519" t="str">
        <f t="array" aca="1" ref="Q133" ca="1">IF(B133="","",IFERROR(MIN(OFFSET(安値!$E$6,MATCH(TEXT(B133,"0"),TEXT(銘柄管理!$B$6:$B$305,"0"),0)-1,0,1,10)),""))</f>
        <v/>
      </c>
      <c r="R133" s="519" t="str">
        <f t="shared" ca="1" si="54"/>
        <v/>
      </c>
      <c r="S133" s="522" t="str">
        <f t="shared" si="61"/>
        <v/>
      </c>
      <c r="T133" s="515"/>
      <c r="U133" s="515"/>
      <c r="V133" s="519" t="str">
        <f t="shared" si="62"/>
        <v/>
      </c>
      <c r="W133" s="523" t="str">
        <f t="shared" ca="1" si="55"/>
        <v/>
      </c>
      <c r="X133" s="515"/>
      <c r="Y133" s="513"/>
      <c r="Z133" s="499"/>
    </row>
    <row r="134" spans="1:26" ht="17.25" customHeight="1">
      <c r="A134" s="514" t="str">
        <f t="shared" ref="A134:A190" si="63">IF(B134="","",HYPERLINK("https://kabutan.jp/stock/?code="&amp;B134,"株探"))</f>
        <v/>
      </c>
      <c r="B134" s="515"/>
      <c r="C134" s="515"/>
      <c r="D134" s="515"/>
      <c r="E134" s="517"/>
      <c r="F134" s="518"/>
      <c r="G134" s="515"/>
      <c r="H134" s="519" t="str">
        <f>_xll.RssMarket("d7","現在値")</f>
        <v/>
      </c>
      <c r="I134" s="519" t="str">
        <f t="array" ref="I134">_xll.RssMarket(B134, "出来高加重平均")</f>
        <v/>
      </c>
      <c r="J134" s="519" t="str">
        <f t="array" ref="J134">_xll.RssMarket(B134, "前日比")</f>
        <v/>
      </c>
      <c r="K134" s="519" t="str">
        <f t="shared" si="56"/>
        <v/>
      </c>
      <c r="L134" s="520" t="str">
        <f t="shared" si="57"/>
        <v/>
      </c>
      <c r="M134" s="519" t="str">
        <f t="shared" si="58"/>
        <v/>
      </c>
      <c r="N134" s="519" t="str">
        <f t="shared" si="59"/>
        <v/>
      </c>
      <c r="O134" s="521" t="str">
        <f t="shared" si="60"/>
        <v/>
      </c>
      <c r="P134" s="519" t="str">
        <f t="array" aca="1" ref="P134" ca="1">IF(B134="","",IFERROR(MAX(OFFSET(高値!$E$6,MATCH(TEXT(B134,"0"),TEXT(銘柄管理!$B$6:$B$305,"0"),0)-1,0,1,10)),""))</f>
        <v/>
      </c>
      <c r="Q134" s="519" t="str">
        <f t="array" aca="1" ref="Q134" ca="1">IF(B134="","",IFERROR(MIN(OFFSET(安値!$E$6,MATCH(TEXT(B134,"0"),TEXT(銘柄管理!$B$6:$B$305,"0"),0)-1,0,1,10)),""))</f>
        <v/>
      </c>
      <c r="R134" s="519" t="str">
        <f t="shared" ca="1" si="54"/>
        <v/>
      </c>
      <c r="S134" s="522" t="str">
        <f t="shared" si="61"/>
        <v/>
      </c>
      <c r="T134" s="515"/>
      <c r="U134" s="515"/>
      <c r="V134" s="519" t="str">
        <f t="shared" si="62"/>
        <v/>
      </c>
      <c r="W134" s="523" t="str">
        <f t="shared" ca="1" si="55"/>
        <v/>
      </c>
      <c r="X134" s="515"/>
      <c r="Y134" s="513"/>
      <c r="Z134" s="499"/>
    </row>
    <row r="135" spans="1:26" ht="17.25" customHeight="1">
      <c r="A135" s="514" t="str">
        <f t="shared" si="63"/>
        <v/>
      </c>
      <c r="B135" s="515"/>
      <c r="C135" s="515"/>
      <c r="D135" s="515"/>
      <c r="E135" s="517"/>
      <c r="F135" s="518"/>
      <c r="G135" s="515"/>
      <c r="H135" s="519" t="str">
        <f>_xll.RssMarket("d7","現在値")</f>
        <v/>
      </c>
      <c r="I135" s="519" t="str">
        <f t="array" ref="I135">_xll.RssMarket(B135, "出来高加重平均")</f>
        <v/>
      </c>
      <c r="J135" s="519" t="str">
        <f t="array" ref="J135">_xll.RssMarket(B135, "前日比")</f>
        <v/>
      </c>
      <c r="K135" s="519" t="str">
        <f t="shared" si="56"/>
        <v/>
      </c>
      <c r="L135" s="520" t="str">
        <f t="shared" si="57"/>
        <v/>
      </c>
      <c r="M135" s="519" t="str">
        <f t="shared" si="58"/>
        <v/>
      </c>
      <c r="N135" s="519" t="str">
        <f t="shared" si="59"/>
        <v/>
      </c>
      <c r="O135" s="521" t="str">
        <f t="shared" si="60"/>
        <v/>
      </c>
      <c r="P135" s="519" t="str">
        <f t="array" aca="1" ref="P135" ca="1">IF(B135="","",IFERROR(MAX(OFFSET(高値!$E$6,MATCH(TEXT(B135,"0"),TEXT(銘柄管理!$B$6:$B$305,"0"),0)-1,0,1,10)),""))</f>
        <v/>
      </c>
      <c r="Q135" s="519" t="str">
        <f t="array" aca="1" ref="Q135" ca="1">IF(B135="","",IFERROR(MIN(OFFSET(安値!$E$6,MATCH(TEXT(B135,"0"),TEXT(銘柄管理!$B$6:$B$305,"0"),0)-1,0,1,10)),""))</f>
        <v/>
      </c>
      <c r="R135" s="519" t="str">
        <f t="shared" ca="1" si="54"/>
        <v/>
      </c>
      <c r="S135" s="522" t="str">
        <f t="shared" si="61"/>
        <v/>
      </c>
      <c r="T135" s="515"/>
      <c r="U135" s="515"/>
      <c r="V135" s="519" t="str">
        <f t="shared" si="62"/>
        <v/>
      </c>
      <c r="W135" s="523" t="str">
        <f t="shared" ca="1" si="55"/>
        <v/>
      </c>
      <c r="X135" s="515"/>
      <c r="Y135" s="513"/>
      <c r="Z135" s="499"/>
    </row>
    <row r="136" spans="1:26" ht="17.25" customHeight="1">
      <c r="A136" s="514" t="str">
        <f t="shared" si="63"/>
        <v/>
      </c>
      <c r="B136" s="515"/>
      <c r="C136" s="515"/>
      <c r="D136" s="515"/>
      <c r="E136" s="517"/>
      <c r="F136" s="518"/>
      <c r="G136" s="515"/>
      <c r="H136" s="519" t="str">
        <f>_xll.RssMarket("d7","現在値")</f>
        <v/>
      </c>
      <c r="I136" s="519" t="str">
        <f t="array" ref="I136">_xll.RssMarket(B136, "出来高加重平均")</f>
        <v/>
      </c>
      <c r="J136" s="519" t="str">
        <f t="array" ref="J136">_xll.RssMarket(B136, "前日比")</f>
        <v/>
      </c>
      <c r="K136" s="519" t="str">
        <f t="shared" si="56"/>
        <v/>
      </c>
      <c r="L136" s="520" t="str">
        <f t="shared" si="57"/>
        <v/>
      </c>
      <c r="M136" s="519" t="str">
        <f t="shared" si="58"/>
        <v/>
      </c>
      <c r="N136" s="519" t="str">
        <f t="shared" si="59"/>
        <v/>
      </c>
      <c r="O136" s="521" t="str">
        <f t="shared" si="60"/>
        <v/>
      </c>
      <c r="P136" s="519" t="str">
        <f t="array" aca="1" ref="P136" ca="1">IF(B136="","",IFERROR(MAX(OFFSET(高値!$E$6,MATCH(TEXT(B136,"0"),TEXT(銘柄管理!$B$6:$B$305,"0"),0)-1,0,1,10)),""))</f>
        <v/>
      </c>
      <c r="Q136" s="519" t="str">
        <f t="array" aca="1" ref="Q136" ca="1">IF(B136="","",IFERROR(MIN(OFFSET(安値!$E$6,MATCH(TEXT(B136,"0"),TEXT(銘柄管理!$B$6:$B$305,"0"),0)-1,0,1,10)),""))</f>
        <v/>
      </c>
      <c r="R136" s="519" t="str">
        <f t="shared" ca="1" si="54"/>
        <v/>
      </c>
      <c r="S136" s="522" t="str">
        <f t="shared" si="61"/>
        <v/>
      </c>
      <c r="T136" s="515"/>
      <c r="U136" s="515"/>
      <c r="V136" s="519" t="str">
        <f t="shared" si="62"/>
        <v/>
      </c>
      <c r="W136" s="523" t="str">
        <f t="shared" ca="1" si="55"/>
        <v/>
      </c>
      <c r="X136" s="515"/>
      <c r="Y136" s="513"/>
      <c r="Z136" s="499"/>
    </row>
    <row r="137" spans="1:26" ht="17.25" customHeight="1">
      <c r="A137" s="514" t="str">
        <f t="shared" si="63"/>
        <v/>
      </c>
      <c r="B137" s="515"/>
      <c r="C137" s="515"/>
      <c r="D137" s="515"/>
      <c r="E137" s="517"/>
      <c r="F137" s="518"/>
      <c r="G137" s="515"/>
      <c r="H137" s="519" t="str">
        <f>_xll.RssMarket("d7","現在値")</f>
        <v/>
      </c>
      <c r="I137" s="519" t="str">
        <f t="array" ref="I137">_xll.RssMarket(B137, "出来高加重平均")</f>
        <v/>
      </c>
      <c r="J137" s="519" t="str">
        <f t="array" ref="J137">_xll.RssMarket(B137, "前日比")</f>
        <v/>
      </c>
      <c r="K137" s="519" t="str">
        <f t="shared" si="56"/>
        <v/>
      </c>
      <c r="L137" s="520" t="str">
        <f t="shared" si="57"/>
        <v/>
      </c>
      <c r="M137" s="519" t="str">
        <f t="shared" si="58"/>
        <v/>
      </c>
      <c r="N137" s="519" t="str">
        <f t="shared" si="59"/>
        <v/>
      </c>
      <c r="O137" s="521" t="str">
        <f t="shared" si="60"/>
        <v/>
      </c>
      <c r="P137" s="519" t="str">
        <f t="array" aca="1" ref="P137" ca="1">IF(B137="","",IFERROR(MAX(OFFSET(高値!$E$6,MATCH(TEXT(B137,"0"),TEXT(銘柄管理!$B$6:$B$305,"0"),0)-1,0,1,10)),""))</f>
        <v/>
      </c>
      <c r="Q137" s="519" t="str">
        <f t="array" aca="1" ref="Q137" ca="1">IF(B137="","",IFERROR(MIN(OFFSET(安値!$E$6,MATCH(TEXT(B137,"0"),TEXT(銘柄管理!$B$6:$B$305,"0"),0)-1,0,1,10)),""))</f>
        <v/>
      </c>
      <c r="R137" s="519" t="str">
        <f t="shared" ca="1" si="54"/>
        <v/>
      </c>
      <c r="S137" s="522" t="str">
        <f t="shared" si="61"/>
        <v/>
      </c>
      <c r="T137" s="515"/>
      <c r="U137" s="515"/>
      <c r="V137" s="519" t="str">
        <f t="shared" si="62"/>
        <v/>
      </c>
      <c r="W137" s="523" t="str">
        <f t="shared" ca="1" si="55"/>
        <v/>
      </c>
      <c r="X137" s="515"/>
      <c r="Y137" s="513"/>
      <c r="Z137" s="499"/>
    </row>
    <row r="138" spans="1:26" ht="17.25" customHeight="1">
      <c r="A138" s="514" t="str">
        <f t="shared" si="63"/>
        <v/>
      </c>
      <c r="B138" s="515"/>
      <c r="C138" s="515"/>
      <c r="D138" s="515"/>
      <c r="E138" s="517"/>
      <c r="F138" s="518"/>
      <c r="G138" s="515"/>
      <c r="H138" s="519" t="str">
        <f>_xll.RssMarket("d7","現在値")</f>
        <v/>
      </c>
      <c r="I138" s="519" t="str">
        <f t="array" ref="I138">_xll.RssMarket(B138, "出来高加重平均")</f>
        <v/>
      </c>
      <c r="J138" s="519" t="str">
        <f t="array" ref="J138">_xll.RssMarket(B138, "前日比")</f>
        <v/>
      </c>
      <c r="K138" s="519" t="str">
        <f t="shared" si="56"/>
        <v/>
      </c>
      <c r="L138" s="520" t="str">
        <f t="shared" si="57"/>
        <v/>
      </c>
      <c r="M138" s="519" t="str">
        <f t="shared" si="58"/>
        <v/>
      </c>
      <c r="N138" s="519" t="str">
        <f t="shared" si="59"/>
        <v/>
      </c>
      <c r="O138" s="521" t="str">
        <f t="shared" si="60"/>
        <v/>
      </c>
      <c r="P138" s="519" t="str">
        <f t="array" aca="1" ref="P138" ca="1">IF(B138="","",IFERROR(MAX(OFFSET(高値!$E$6,MATCH(TEXT(B138,"0"),TEXT(銘柄管理!$B$6:$B$305,"0"),0)-1,0,1,10)),""))</f>
        <v/>
      </c>
      <c r="Q138" s="519" t="str">
        <f t="array" aca="1" ref="Q138" ca="1">IF(B138="","",IFERROR(MIN(OFFSET(安値!$E$6,MATCH(TEXT(B138,"0"),TEXT(銘柄管理!$B$6:$B$305,"0"),0)-1,0,1,10)),""))</f>
        <v/>
      </c>
      <c r="R138" s="519" t="str">
        <f t="shared" ca="1" si="54"/>
        <v/>
      </c>
      <c r="S138" s="522" t="str">
        <f t="shared" si="61"/>
        <v/>
      </c>
      <c r="T138" s="515"/>
      <c r="U138" s="515"/>
      <c r="V138" s="519" t="str">
        <f t="shared" si="62"/>
        <v/>
      </c>
      <c r="W138" s="523" t="str">
        <f t="shared" ca="1" si="55"/>
        <v/>
      </c>
      <c r="X138" s="515"/>
      <c r="Y138" s="513"/>
      <c r="Z138" s="499"/>
    </row>
    <row r="139" spans="1:26" ht="17.25" customHeight="1">
      <c r="A139" s="514" t="str">
        <f t="shared" si="63"/>
        <v/>
      </c>
      <c r="B139" s="515"/>
      <c r="C139" s="515"/>
      <c r="D139" s="515"/>
      <c r="E139" s="517"/>
      <c r="F139" s="518"/>
      <c r="G139" s="515"/>
      <c r="H139" s="519" t="str">
        <f>_xll.RssMarket("d7","現在値")</f>
        <v/>
      </c>
      <c r="I139" s="519" t="str">
        <f t="array" ref="I139">_xll.RssMarket(B139, "出来高加重平均")</f>
        <v/>
      </c>
      <c r="J139" s="519" t="str">
        <f t="array" ref="J139">_xll.RssMarket(B139, "前日比")</f>
        <v/>
      </c>
      <c r="K139" s="519" t="str">
        <f t="shared" si="56"/>
        <v/>
      </c>
      <c r="L139" s="520" t="str">
        <f t="shared" si="57"/>
        <v/>
      </c>
      <c r="M139" s="519" t="str">
        <f t="shared" si="58"/>
        <v/>
      </c>
      <c r="N139" s="519" t="str">
        <f t="shared" si="59"/>
        <v/>
      </c>
      <c r="O139" s="521" t="str">
        <f t="shared" si="60"/>
        <v/>
      </c>
      <c r="P139" s="519" t="str">
        <f t="array" aca="1" ref="P139" ca="1">IF(B139="","",IFERROR(MAX(OFFSET(高値!$E$6,MATCH(TEXT(B139,"0"),TEXT(銘柄管理!$B$6:$B$305,"0"),0)-1,0,1,10)),""))</f>
        <v/>
      </c>
      <c r="Q139" s="519" t="str">
        <f t="array" aca="1" ref="Q139" ca="1">IF(B139="","",IFERROR(MIN(OFFSET(安値!$E$6,MATCH(TEXT(B139,"0"),TEXT(銘柄管理!$B$6:$B$305,"0"),0)-1,0,1,10)),""))</f>
        <v/>
      </c>
      <c r="R139" s="519" t="str">
        <f t="shared" ca="1" si="54"/>
        <v/>
      </c>
      <c r="S139" s="522" t="str">
        <f t="shared" si="61"/>
        <v/>
      </c>
      <c r="T139" s="515"/>
      <c r="U139" s="515"/>
      <c r="V139" s="519" t="str">
        <f t="shared" si="62"/>
        <v/>
      </c>
      <c r="W139" s="523" t="str">
        <f t="shared" ca="1" si="55"/>
        <v/>
      </c>
      <c r="X139" s="515"/>
      <c r="Y139" s="513"/>
      <c r="Z139" s="499"/>
    </row>
    <row r="140" spans="1:26" ht="17.25" customHeight="1">
      <c r="A140" s="514" t="str">
        <f t="shared" si="63"/>
        <v/>
      </c>
      <c r="B140" s="515"/>
      <c r="C140" s="515"/>
      <c r="D140" s="515"/>
      <c r="E140" s="517"/>
      <c r="F140" s="518"/>
      <c r="G140" s="515"/>
      <c r="H140" s="519" t="str">
        <f>_xll.RssMarket("d7","現在値")</f>
        <v/>
      </c>
      <c r="I140" s="519" t="str">
        <f t="array" ref="I140">_xll.RssMarket(B140, "出来高加重平均")</f>
        <v/>
      </c>
      <c r="J140" s="519" t="str">
        <f t="array" ref="J140">_xll.RssMarket(B140, "前日比")</f>
        <v/>
      </c>
      <c r="K140" s="519" t="str">
        <f t="shared" si="56"/>
        <v/>
      </c>
      <c r="L140" s="520" t="str">
        <f t="shared" si="57"/>
        <v/>
      </c>
      <c r="M140" s="519" t="str">
        <f t="shared" si="58"/>
        <v/>
      </c>
      <c r="N140" s="519" t="str">
        <f t="shared" si="59"/>
        <v/>
      </c>
      <c r="O140" s="521" t="str">
        <f t="shared" si="60"/>
        <v/>
      </c>
      <c r="P140" s="519" t="str">
        <f t="array" aca="1" ref="P140" ca="1">IF(B140="","",IFERROR(MAX(OFFSET(高値!$E$6,MATCH(TEXT(B140,"0"),TEXT(銘柄管理!$B$6:$B$305,"0"),0)-1,0,1,10)),""))</f>
        <v/>
      </c>
      <c r="Q140" s="519" t="str">
        <f t="array" aca="1" ref="Q140" ca="1">IF(B140="","",IFERROR(MIN(OFFSET(安値!$E$6,MATCH(TEXT(B140,"0"),TEXT(銘柄管理!$B$6:$B$305,"0"),0)-1,0,1,10)),""))</f>
        <v/>
      </c>
      <c r="R140" s="519" t="str">
        <f t="shared" ca="1" si="54"/>
        <v/>
      </c>
      <c r="S140" s="522" t="str">
        <f t="shared" si="61"/>
        <v/>
      </c>
      <c r="T140" s="515"/>
      <c r="U140" s="515"/>
      <c r="V140" s="519" t="str">
        <f t="shared" si="62"/>
        <v/>
      </c>
      <c r="W140" s="523" t="str">
        <f t="shared" ca="1" si="55"/>
        <v/>
      </c>
      <c r="X140" s="515"/>
      <c r="Y140" s="513"/>
      <c r="Z140" s="499"/>
    </row>
    <row r="141" spans="1:26" ht="17.25" customHeight="1">
      <c r="A141" s="514" t="str">
        <f t="shared" si="63"/>
        <v/>
      </c>
      <c r="B141" s="515"/>
      <c r="C141" s="515"/>
      <c r="D141" s="515"/>
      <c r="E141" s="517"/>
      <c r="F141" s="518"/>
      <c r="G141" s="515"/>
      <c r="H141" s="519" t="str">
        <f>_xll.RssMarket("d7","現在値")</f>
        <v/>
      </c>
      <c r="I141" s="519" t="str">
        <f t="array" ref="I141">_xll.RssMarket(B141, "出来高加重平均")</f>
        <v/>
      </c>
      <c r="J141" s="519" t="str">
        <f t="array" ref="J141">_xll.RssMarket(B141, "前日比")</f>
        <v/>
      </c>
      <c r="K141" s="519" t="str">
        <f t="shared" si="56"/>
        <v/>
      </c>
      <c r="L141" s="520" t="str">
        <f t="shared" si="57"/>
        <v/>
      </c>
      <c r="M141" s="519" t="str">
        <f t="shared" si="58"/>
        <v/>
      </c>
      <c r="N141" s="519" t="str">
        <f t="shared" si="59"/>
        <v/>
      </c>
      <c r="O141" s="521" t="str">
        <f t="shared" si="60"/>
        <v/>
      </c>
      <c r="P141" s="519" t="str">
        <f t="array" aca="1" ref="P141" ca="1">IF(B141="","",IFERROR(MAX(OFFSET(高値!$E$6,MATCH(TEXT(B141,"0"),TEXT(銘柄管理!$B$6:$B$305,"0"),0)-1,0,1,10)),""))</f>
        <v/>
      </c>
      <c r="Q141" s="519" t="str">
        <f t="array" aca="1" ref="Q141" ca="1">IF(B141="","",IFERROR(MIN(OFFSET(安値!$E$6,MATCH(TEXT(B141,"0"),TEXT(銘柄管理!$B$6:$B$305,"0"),0)-1,0,1,10)),""))</f>
        <v/>
      </c>
      <c r="R141" s="519" t="str">
        <f t="shared" ca="1" si="54"/>
        <v/>
      </c>
      <c r="S141" s="522" t="str">
        <f t="shared" si="61"/>
        <v/>
      </c>
      <c r="T141" s="515"/>
      <c r="U141" s="515"/>
      <c r="V141" s="519" t="str">
        <f t="shared" si="62"/>
        <v/>
      </c>
      <c r="W141" s="523" t="str">
        <f t="shared" ca="1" si="55"/>
        <v/>
      </c>
      <c r="X141" s="515"/>
      <c r="Y141" s="513"/>
      <c r="Z141" s="499"/>
    </row>
    <row r="142" spans="1:26" ht="17.25" customHeight="1">
      <c r="A142" s="514" t="str">
        <f t="shared" si="63"/>
        <v/>
      </c>
      <c r="B142" s="515"/>
      <c r="C142" s="515"/>
      <c r="D142" s="515"/>
      <c r="E142" s="517"/>
      <c r="F142" s="518"/>
      <c r="G142" s="515"/>
      <c r="H142" s="519" t="str">
        <f>_xll.RssMarket("d7","現在値")</f>
        <v/>
      </c>
      <c r="I142" s="519" t="str">
        <f t="array" ref="I142">_xll.RssMarket(B142, "出来高加重平均")</f>
        <v/>
      </c>
      <c r="J142" s="519" t="str">
        <f t="array" ref="J142">_xll.RssMarket(B142, "前日比")</f>
        <v/>
      </c>
      <c r="K142" s="519" t="str">
        <f t="shared" si="56"/>
        <v/>
      </c>
      <c r="L142" s="520" t="str">
        <f t="shared" si="57"/>
        <v/>
      </c>
      <c r="M142" s="519" t="str">
        <f t="shared" si="58"/>
        <v/>
      </c>
      <c r="N142" s="519" t="str">
        <f t="shared" si="59"/>
        <v/>
      </c>
      <c r="O142" s="521" t="str">
        <f t="shared" si="60"/>
        <v/>
      </c>
      <c r="P142" s="519" t="str">
        <f t="array" aca="1" ref="P142" ca="1">IF(B142="","",IFERROR(MAX(OFFSET(高値!$E$6,MATCH(TEXT(B142,"0"),TEXT(銘柄管理!$B$6:$B$305,"0"),0)-1,0,1,10)),""))</f>
        <v/>
      </c>
      <c r="Q142" s="519" t="str">
        <f t="array" aca="1" ref="Q142" ca="1">IF(B142="","",IFERROR(MIN(OFFSET(安値!$E$6,MATCH(TEXT(B142,"0"),TEXT(銘柄管理!$B$6:$B$305,"0"),0)-1,0,1,10)),""))</f>
        <v/>
      </c>
      <c r="R142" s="519" t="str">
        <f t="shared" ca="1" si="54"/>
        <v/>
      </c>
      <c r="S142" s="522" t="str">
        <f t="shared" si="61"/>
        <v/>
      </c>
      <c r="T142" s="515"/>
      <c r="U142" s="515"/>
      <c r="V142" s="519" t="str">
        <f t="shared" si="62"/>
        <v/>
      </c>
      <c r="W142" s="523" t="str">
        <f t="shared" ca="1" si="55"/>
        <v/>
      </c>
      <c r="X142" s="515"/>
      <c r="Y142" s="513"/>
      <c r="Z142" s="499"/>
    </row>
    <row r="143" spans="1:26" ht="17.25" customHeight="1">
      <c r="A143" s="514" t="str">
        <f t="shared" si="63"/>
        <v/>
      </c>
      <c r="B143" s="515"/>
      <c r="C143" s="515"/>
      <c r="D143" s="515"/>
      <c r="E143" s="517"/>
      <c r="F143" s="518"/>
      <c r="G143" s="515"/>
      <c r="H143" s="519" t="str">
        <f>_xll.RssMarket("d7","現在値")</f>
        <v/>
      </c>
      <c r="I143" s="519" t="str">
        <f t="array" ref="I143">_xll.RssMarket(B143, "出来高加重平均")</f>
        <v/>
      </c>
      <c r="J143" s="519" t="str">
        <f t="array" ref="J143">_xll.RssMarket(B143, "前日比")</f>
        <v/>
      </c>
      <c r="K143" s="519" t="str">
        <f t="shared" si="56"/>
        <v/>
      </c>
      <c r="L143" s="520" t="str">
        <f t="shared" si="57"/>
        <v/>
      </c>
      <c r="M143" s="519" t="str">
        <f t="shared" si="58"/>
        <v/>
      </c>
      <c r="N143" s="519" t="str">
        <f t="shared" si="59"/>
        <v/>
      </c>
      <c r="O143" s="521" t="str">
        <f t="shared" si="60"/>
        <v/>
      </c>
      <c r="P143" s="519" t="str">
        <f t="array" aca="1" ref="P143" ca="1">IF(B143="","",IFERROR(MAX(OFFSET(高値!$E$6,MATCH(TEXT(B143,"0"),TEXT(銘柄管理!$B$6:$B$305,"0"),0)-1,0,1,10)),""))</f>
        <v/>
      </c>
      <c r="Q143" s="519" t="str">
        <f t="array" aca="1" ref="Q143" ca="1">IF(B143="","",IFERROR(MIN(OFFSET(安値!$E$6,MATCH(TEXT(B143,"0"),TEXT(銘柄管理!$B$6:$B$305,"0"),0)-1,0,1,10)),""))</f>
        <v/>
      </c>
      <c r="R143" s="519" t="str">
        <f t="shared" ca="1" si="54"/>
        <v/>
      </c>
      <c r="S143" s="522" t="str">
        <f t="shared" si="61"/>
        <v/>
      </c>
      <c r="T143" s="515"/>
      <c r="U143" s="515"/>
      <c r="V143" s="519" t="str">
        <f t="shared" si="62"/>
        <v/>
      </c>
      <c r="W143" s="523" t="str">
        <f t="shared" ca="1" si="55"/>
        <v/>
      </c>
      <c r="X143" s="515"/>
      <c r="Y143" s="513"/>
      <c r="Z143" s="499"/>
    </row>
    <row r="144" spans="1:26" ht="17.25" customHeight="1">
      <c r="A144" s="514" t="str">
        <f t="shared" si="63"/>
        <v/>
      </c>
      <c r="B144" s="515"/>
      <c r="C144" s="515"/>
      <c r="D144" s="515"/>
      <c r="E144" s="517"/>
      <c r="F144" s="518"/>
      <c r="G144" s="515"/>
      <c r="H144" s="519" t="str">
        <f>_xll.RssMarket("d7","現在値")</f>
        <v/>
      </c>
      <c r="I144" s="519" t="str">
        <f t="array" ref="I144">_xll.RssMarket(B144, "出来高加重平均")</f>
        <v/>
      </c>
      <c r="J144" s="519" t="str">
        <f t="array" ref="J144">_xll.RssMarket(B144, "前日比")</f>
        <v/>
      </c>
      <c r="K144" s="519" t="str">
        <f t="shared" si="56"/>
        <v/>
      </c>
      <c r="L144" s="520" t="str">
        <f t="shared" si="57"/>
        <v/>
      </c>
      <c r="M144" s="519" t="str">
        <f t="shared" si="58"/>
        <v/>
      </c>
      <c r="N144" s="519" t="str">
        <f t="shared" si="59"/>
        <v/>
      </c>
      <c r="O144" s="521" t="str">
        <f t="shared" si="60"/>
        <v/>
      </c>
      <c r="P144" s="519" t="str">
        <f t="array" aca="1" ref="P144" ca="1">IF(B144="","",IFERROR(MAX(OFFSET(高値!$E$6,MATCH(TEXT(B144,"0"),TEXT(銘柄管理!$B$6:$B$305,"0"),0)-1,0,1,10)),""))</f>
        <v/>
      </c>
      <c r="Q144" s="519" t="str">
        <f t="array" aca="1" ref="Q144" ca="1">IF(B144="","",IFERROR(MIN(OFFSET(安値!$E$6,MATCH(TEXT(B144,"0"),TEXT(銘柄管理!$B$6:$B$305,"0"),0)-1,0,1,10)),""))</f>
        <v/>
      </c>
      <c r="R144" s="519" t="str">
        <f t="shared" ca="1" si="54"/>
        <v/>
      </c>
      <c r="S144" s="522" t="str">
        <f t="shared" si="61"/>
        <v/>
      </c>
      <c r="T144" s="515"/>
      <c r="U144" s="515"/>
      <c r="V144" s="519" t="str">
        <f t="shared" si="62"/>
        <v/>
      </c>
      <c r="W144" s="523" t="str">
        <f t="shared" ca="1" si="55"/>
        <v/>
      </c>
      <c r="X144" s="515"/>
      <c r="Y144" s="513"/>
      <c r="Z144" s="499"/>
    </row>
    <row r="145" spans="1:26" ht="17.25" customHeight="1">
      <c r="A145" s="514" t="str">
        <f t="shared" si="63"/>
        <v/>
      </c>
      <c r="B145" s="515"/>
      <c r="C145" s="515"/>
      <c r="D145" s="515"/>
      <c r="E145" s="517"/>
      <c r="F145" s="518"/>
      <c r="G145" s="515"/>
      <c r="H145" s="519" t="str">
        <f>_xll.RssMarket("d7","現在値")</f>
        <v/>
      </c>
      <c r="I145" s="519" t="str">
        <f t="array" ref="I145">_xll.RssMarket(B145, "出来高加重平均")</f>
        <v/>
      </c>
      <c r="J145" s="519" t="str">
        <f t="array" ref="J145">_xll.RssMarket(B145, "前日比")</f>
        <v/>
      </c>
      <c r="K145" s="519" t="str">
        <f t="shared" si="56"/>
        <v/>
      </c>
      <c r="L145" s="520" t="str">
        <f t="shared" si="57"/>
        <v/>
      </c>
      <c r="M145" s="519" t="str">
        <f t="shared" si="58"/>
        <v/>
      </c>
      <c r="N145" s="519" t="str">
        <f t="shared" si="59"/>
        <v/>
      </c>
      <c r="O145" s="521" t="str">
        <f t="shared" si="60"/>
        <v/>
      </c>
      <c r="P145" s="519" t="str">
        <f t="array" aca="1" ref="P145" ca="1">IF(B145="","",IFERROR(MAX(OFFSET(高値!$E$6,MATCH(TEXT(B145,"0"),TEXT(銘柄管理!$B$6:$B$305,"0"),0)-1,0,1,10)),""))</f>
        <v/>
      </c>
      <c r="Q145" s="519" t="str">
        <f t="array" aca="1" ref="Q145" ca="1">IF(B145="","",IFERROR(MIN(OFFSET(安値!$E$6,MATCH(TEXT(B145,"0"),TEXT(銘柄管理!$B$6:$B$305,"0"),0)-1,0,1,10)),""))</f>
        <v/>
      </c>
      <c r="R145" s="519" t="str">
        <f t="shared" ca="1" si="54"/>
        <v/>
      </c>
      <c r="S145" s="522" t="str">
        <f t="shared" si="61"/>
        <v/>
      </c>
      <c r="T145" s="515"/>
      <c r="U145" s="515"/>
      <c r="V145" s="519" t="str">
        <f t="shared" si="62"/>
        <v/>
      </c>
      <c r="W145" s="523" t="str">
        <f t="shared" ca="1" si="55"/>
        <v/>
      </c>
      <c r="X145" s="515"/>
      <c r="Y145" s="513"/>
      <c r="Z145" s="499"/>
    </row>
    <row r="146" spans="1:26" ht="17.25" customHeight="1">
      <c r="A146" s="514" t="str">
        <f t="shared" si="63"/>
        <v/>
      </c>
      <c r="B146" s="515"/>
      <c r="C146" s="515"/>
      <c r="D146" s="515"/>
      <c r="E146" s="517"/>
      <c r="F146" s="518"/>
      <c r="G146" s="515"/>
      <c r="H146" s="519" t="str">
        <f>_xll.RssMarket("d7","現在値")</f>
        <v/>
      </c>
      <c r="I146" s="519" t="str">
        <f t="array" ref="I146">_xll.RssMarket(B146, "出来高加重平均")</f>
        <v/>
      </c>
      <c r="J146" s="519" t="str">
        <f t="array" ref="J146">_xll.RssMarket(B146, "前日比")</f>
        <v/>
      </c>
      <c r="K146" s="519" t="str">
        <f t="shared" si="56"/>
        <v/>
      </c>
      <c r="L146" s="520" t="str">
        <f t="shared" si="57"/>
        <v/>
      </c>
      <c r="M146" s="519" t="str">
        <f t="shared" si="58"/>
        <v/>
      </c>
      <c r="N146" s="519" t="str">
        <f t="shared" si="59"/>
        <v/>
      </c>
      <c r="O146" s="521" t="str">
        <f t="shared" si="60"/>
        <v/>
      </c>
      <c r="P146" s="519" t="str">
        <f t="array" aca="1" ref="P146" ca="1">IF(B146="","",IFERROR(MAX(OFFSET(高値!$E$6,MATCH(TEXT(B146,"0"),TEXT(銘柄管理!$B$6:$B$305,"0"),0)-1,0,1,10)),""))</f>
        <v/>
      </c>
      <c r="Q146" s="519" t="str">
        <f t="array" aca="1" ref="Q146" ca="1">IF(B146="","",IFERROR(MIN(OFFSET(安値!$E$6,MATCH(TEXT(B146,"0"),TEXT(銘柄管理!$B$6:$B$305,"0"),0)-1,0,1,10)),""))</f>
        <v/>
      </c>
      <c r="R146" s="519" t="str">
        <f t="shared" ca="1" si="54"/>
        <v/>
      </c>
      <c r="S146" s="522" t="str">
        <f t="shared" si="61"/>
        <v/>
      </c>
      <c r="T146" s="515"/>
      <c r="U146" s="515"/>
      <c r="V146" s="519" t="str">
        <f t="shared" si="62"/>
        <v/>
      </c>
      <c r="W146" s="523" t="str">
        <f t="shared" ca="1" si="55"/>
        <v/>
      </c>
      <c r="X146" s="515"/>
      <c r="Y146" s="513"/>
      <c r="Z146" s="499"/>
    </row>
    <row r="147" spans="1:26" ht="17.25" customHeight="1">
      <c r="A147" s="514" t="str">
        <f t="shared" si="63"/>
        <v/>
      </c>
      <c r="B147" s="515"/>
      <c r="C147" s="515"/>
      <c r="D147" s="515"/>
      <c r="E147" s="517"/>
      <c r="F147" s="518"/>
      <c r="G147" s="515"/>
      <c r="H147" s="519" t="str">
        <f>_xll.RssMarket("d7","現在値")</f>
        <v/>
      </c>
      <c r="I147" s="519" t="str">
        <f t="array" ref="I147">_xll.RssMarket(B147, "出来高加重平均")</f>
        <v/>
      </c>
      <c r="J147" s="519" t="str">
        <f t="array" ref="J147">_xll.RssMarket(B147, "前日比")</f>
        <v/>
      </c>
      <c r="K147" s="519" t="str">
        <f t="shared" si="56"/>
        <v/>
      </c>
      <c r="L147" s="520" t="str">
        <f t="shared" si="57"/>
        <v/>
      </c>
      <c r="M147" s="519" t="str">
        <f t="shared" si="58"/>
        <v/>
      </c>
      <c r="N147" s="519" t="str">
        <f t="shared" si="59"/>
        <v/>
      </c>
      <c r="O147" s="521" t="str">
        <f t="shared" si="60"/>
        <v/>
      </c>
      <c r="P147" s="519" t="str">
        <f t="array" aca="1" ref="P147" ca="1">IF(B147="","",IFERROR(MAX(OFFSET(高値!$E$6,MATCH(TEXT(B147,"0"),TEXT(銘柄管理!$B$6:$B$305,"0"),0)-1,0,1,10)),""))</f>
        <v/>
      </c>
      <c r="Q147" s="519" t="str">
        <f t="array" aca="1" ref="Q147" ca="1">IF(B147="","",IFERROR(MIN(OFFSET(安値!$E$6,MATCH(TEXT(B147,"0"),TEXT(銘柄管理!$B$6:$B$305,"0"),0)-1,0,1,10)),""))</f>
        <v/>
      </c>
      <c r="R147" s="519" t="str">
        <f t="shared" ca="1" si="54"/>
        <v/>
      </c>
      <c r="S147" s="522" t="str">
        <f t="shared" si="61"/>
        <v/>
      </c>
      <c r="T147" s="515"/>
      <c r="U147" s="515"/>
      <c r="V147" s="519" t="str">
        <f t="shared" si="62"/>
        <v/>
      </c>
      <c r="W147" s="523" t="str">
        <f t="shared" ca="1" si="55"/>
        <v/>
      </c>
      <c r="X147" s="515"/>
      <c r="Y147" s="513"/>
      <c r="Z147" s="499"/>
    </row>
    <row r="148" spans="1:26" ht="17.25" customHeight="1">
      <c r="A148" s="514" t="str">
        <f t="shared" si="63"/>
        <v/>
      </c>
      <c r="B148" s="515"/>
      <c r="C148" s="515"/>
      <c r="D148" s="515"/>
      <c r="E148" s="517"/>
      <c r="F148" s="518"/>
      <c r="G148" s="515"/>
      <c r="H148" s="519" t="str">
        <f>_xll.RssMarket("d7","現在値")</f>
        <v/>
      </c>
      <c r="I148" s="519" t="str">
        <f t="array" ref="I148">_xll.RssMarket(B148, "出来高加重平均")</f>
        <v/>
      </c>
      <c r="J148" s="519" t="str">
        <f t="array" ref="J148">_xll.RssMarket(B148, "前日比")</f>
        <v/>
      </c>
      <c r="K148" s="519" t="str">
        <f t="shared" si="56"/>
        <v/>
      </c>
      <c r="L148" s="520" t="str">
        <f t="shared" si="57"/>
        <v/>
      </c>
      <c r="M148" s="519" t="str">
        <f t="shared" si="58"/>
        <v/>
      </c>
      <c r="N148" s="519" t="str">
        <f t="shared" si="59"/>
        <v/>
      </c>
      <c r="O148" s="521" t="str">
        <f t="shared" si="60"/>
        <v/>
      </c>
      <c r="P148" s="519" t="str">
        <f t="array" aca="1" ref="P148" ca="1">IF(B148="","",IFERROR(MAX(OFFSET(高値!$E$6,MATCH(TEXT(B148,"0"),TEXT(銘柄管理!$B$6:$B$305,"0"),0)-1,0,1,10)),""))</f>
        <v/>
      </c>
      <c r="Q148" s="519" t="str">
        <f t="array" aca="1" ref="Q148" ca="1">IF(B148="","",IFERROR(MIN(OFFSET(安値!$E$6,MATCH(TEXT(B148,"0"),TEXT(銘柄管理!$B$6:$B$305,"0"),0)-1,0,1,10)),""))</f>
        <v/>
      </c>
      <c r="R148" s="519" t="str">
        <f t="shared" ca="1" si="54"/>
        <v/>
      </c>
      <c r="S148" s="522" t="str">
        <f t="shared" si="61"/>
        <v/>
      </c>
      <c r="T148" s="515"/>
      <c r="U148" s="515"/>
      <c r="V148" s="519" t="str">
        <f t="shared" si="62"/>
        <v/>
      </c>
      <c r="W148" s="523" t="str">
        <f t="shared" ca="1" si="55"/>
        <v/>
      </c>
      <c r="X148" s="515"/>
      <c r="Y148" s="513"/>
      <c r="Z148" s="499"/>
    </row>
    <row r="149" spans="1:26" ht="17.25" customHeight="1">
      <c r="A149" s="514" t="str">
        <f t="shared" si="63"/>
        <v/>
      </c>
      <c r="B149" s="515"/>
      <c r="C149" s="515"/>
      <c r="D149" s="515"/>
      <c r="E149" s="517"/>
      <c r="F149" s="518"/>
      <c r="G149" s="515"/>
      <c r="H149" s="519" t="str">
        <f>_xll.RssMarket("d7","現在値")</f>
        <v/>
      </c>
      <c r="I149" s="519" t="str">
        <f t="array" ref="I149">_xll.RssMarket(B149, "出来高加重平均")</f>
        <v/>
      </c>
      <c r="J149" s="519" t="str">
        <f t="array" ref="J149">_xll.RssMarket(B149, "前日比")</f>
        <v/>
      </c>
      <c r="K149" s="519" t="str">
        <f t="shared" si="56"/>
        <v/>
      </c>
      <c r="L149" s="520" t="str">
        <f t="shared" si="57"/>
        <v/>
      </c>
      <c r="M149" s="519" t="str">
        <f t="shared" si="58"/>
        <v/>
      </c>
      <c r="N149" s="519" t="str">
        <f t="shared" si="59"/>
        <v/>
      </c>
      <c r="O149" s="521" t="str">
        <f t="shared" si="60"/>
        <v/>
      </c>
      <c r="P149" s="519" t="str">
        <f t="array" aca="1" ref="P149" ca="1">IF(B149="","",IFERROR(MAX(OFFSET(高値!$E$6,MATCH(TEXT(B149,"0"),TEXT(銘柄管理!$B$6:$B$305,"0"),0)-1,0,1,10)),""))</f>
        <v/>
      </c>
      <c r="Q149" s="519" t="str">
        <f t="array" aca="1" ref="Q149" ca="1">IF(B149="","",IFERROR(MIN(OFFSET(安値!$E$6,MATCH(TEXT(B149,"0"),TEXT(銘柄管理!$B$6:$B$305,"0"),0)-1,0,1,10)),""))</f>
        <v/>
      </c>
      <c r="R149" s="519" t="str">
        <f t="shared" ca="1" si="54"/>
        <v/>
      </c>
      <c r="S149" s="522" t="str">
        <f t="shared" si="61"/>
        <v/>
      </c>
      <c r="T149" s="515"/>
      <c r="U149" s="515"/>
      <c r="V149" s="519" t="str">
        <f t="shared" si="62"/>
        <v/>
      </c>
      <c r="W149" s="523" t="str">
        <f t="shared" ca="1" si="55"/>
        <v/>
      </c>
      <c r="X149" s="515"/>
      <c r="Y149" s="513"/>
      <c r="Z149" s="499"/>
    </row>
    <row r="150" spans="1:26" ht="17.25" customHeight="1">
      <c r="A150" s="514" t="str">
        <f t="shared" si="63"/>
        <v/>
      </c>
      <c r="B150" s="515"/>
      <c r="C150" s="515"/>
      <c r="D150" s="515"/>
      <c r="E150" s="517"/>
      <c r="F150" s="518"/>
      <c r="G150" s="515"/>
      <c r="H150" s="519" t="str">
        <f>_xll.RssMarket("d7","現在値")</f>
        <v/>
      </c>
      <c r="I150" s="519" t="str">
        <f t="array" ref="I150">_xll.RssMarket(B150, "出来高加重平均")</f>
        <v/>
      </c>
      <c r="J150" s="519" t="str">
        <f t="array" ref="J150">_xll.RssMarket(B150, "前日比")</f>
        <v/>
      </c>
      <c r="K150" s="519" t="str">
        <f t="shared" si="56"/>
        <v/>
      </c>
      <c r="L150" s="520" t="str">
        <f t="shared" si="57"/>
        <v/>
      </c>
      <c r="M150" s="519" t="str">
        <f t="shared" si="58"/>
        <v/>
      </c>
      <c r="N150" s="519" t="str">
        <f t="shared" si="59"/>
        <v/>
      </c>
      <c r="O150" s="521" t="str">
        <f t="shared" si="60"/>
        <v/>
      </c>
      <c r="P150" s="519" t="str">
        <f t="array" aca="1" ref="P150" ca="1">IF(B150="","",IFERROR(MAX(OFFSET(高値!$E$6,MATCH(TEXT(B150,"0"),TEXT(銘柄管理!$B$6:$B$305,"0"),0)-1,0,1,10)),""))</f>
        <v/>
      </c>
      <c r="Q150" s="519" t="str">
        <f t="array" aca="1" ref="Q150" ca="1">IF(B150="","",IFERROR(MIN(OFFSET(安値!$E$6,MATCH(TEXT(B150,"0"),TEXT(銘柄管理!$B$6:$B$305,"0"),0)-1,0,1,10)),""))</f>
        <v/>
      </c>
      <c r="R150" s="519" t="str">
        <f t="shared" ca="1" si="54"/>
        <v/>
      </c>
      <c r="S150" s="522" t="str">
        <f t="shared" si="61"/>
        <v/>
      </c>
      <c r="T150" s="515"/>
      <c r="U150" s="515"/>
      <c r="V150" s="519" t="str">
        <f t="shared" si="62"/>
        <v/>
      </c>
      <c r="W150" s="523" t="str">
        <f t="shared" ca="1" si="55"/>
        <v/>
      </c>
      <c r="X150" s="515"/>
      <c r="Y150" s="513"/>
      <c r="Z150" s="499"/>
    </row>
    <row r="151" spans="1:26" ht="17.25" customHeight="1">
      <c r="A151" s="514" t="str">
        <f t="shared" si="63"/>
        <v/>
      </c>
      <c r="B151" s="515"/>
      <c r="C151" s="515"/>
      <c r="D151" s="515"/>
      <c r="E151" s="517"/>
      <c r="F151" s="518"/>
      <c r="G151" s="515"/>
      <c r="H151" s="519" t="str">
        <f>_xll.RssMarket("d7","現在値")</f>
        <v/>
      </c>
      <c r="I151" s="519" t="str">
        <f t="array" ref="I151">_xll.RssMarket(B151, "出来高加重平均")</f>
        <v/>
      </c>
      <c r="J151" s="519" t="str">
        <f t="array" ref="J151">_xll.RssMarket(B151, "前日比")</f>
        <v/>
      </c>
      <c r="K151" s="519" t="str">
        <f t="shared" ref="K151:K182" si="64">IF(OR(F151="",G151="",H151=""),"",(H151-F151)*G151)</f>
        <v/>
      </c>
      <c r="L151" s="520" t="str">
        <f t="shared" ref="L151:L182" si="65">IF(OR(F151="",H151=""),"",(H151-F151)/F151)</f>
        <v/>
      </c>
      <c r="M151" s="519" t="str">
        <f t="shared" ref="M151:M182" si="66">IF(F151="","",F151*1.07)</f>
        <v/>
      </c>
      <c r="N151" s="519" t="str">
        <f t="shared" ref="N151:N182" si="67">IF(F151="","",F151*0.96)</f>
        <v/>
      </c>
      <c r="O151" s="521" t="str">
        <f t="shared" ref="O151:O182" si="68">IF(B151="","",IF(H151="","保有中",IF(H151&gt;=M151,"🟢利確推奨",IF(H151&gt;=F151*1.06,"🟡利確&amp;TR STOP検討",IF(H151&lt;=N151,"🔴損切推奨",IF(H151&lt;=F151*0.965,"🔴損切間近",IF(H151&lt;=F151*0.97,"⚠️-3%注意",IF(H151&lt;=F151*0.96,"🟡STOP推奨","保持継続"))))))))</f>
        <v/>
      </c>
      <c r="P151" s="519" t="str">
        <f t="array" aca="1" ref="P151" ca="1">IF(B151="","",IFERROR(MAX(OFFSET(高値!$E$6,MATCH(TEXT(B151,"0"),TEXT(銘柄管理!$B$6:$B$305,"0"),0)-1,0,1,10)),""))</f>
        <v/>
      </c>
      <c r="Q151" s="519" t="str">
        <f t="array" aca="1" ref="Q151" ca="1">IF(B151="","",IFERROR(MIN(OFFSET(安値!$E$6,MATCH(TEXT(B151,"0"),TEXT(銘柄管理!$B$6:$B$305,"0"),0)-1,0,1,10)),""))</f>
        <v/>
      </c>
      <c r="R151" s="519" t="str">
        <f t="shared" ca="1" si="54"/>
        <v/>
      </c>
      <c r="S151" s="522" t="str">
        <f t="shared" ref="S151:S182" si="69">IF(B151="","",IF(T151&lt;&gt;"","?売却済",IF(H151="","?保有中",IF(H151&gt;=M151,"??利確推奨",IF(H151&lt;=N151,"??損切推奨",IF(H151&lt;=R151,"??STOP推奨","?保有中"))))))</f>
        <v/>
      </c>
      <c r="T151" s="515"/>
      <c r="U151" s="515"/>
      <c r="V151" s="519" t="str">
        <f t="shared" ref="V151:V182" si="70">IF(OR(F151="",G151="",U151=""),"",(U151-F151)*G151)</f>
        <v/>
      </c>
      <c r="W151" s="523" t="str">
        <f t="shared" ca="1" si="55"/>
        <v/>
      </c>
      <c r="X151" s="515"/>
      <c r="Y151" s="513"/>
      <c r="Z151" s="499"/>
    </row>
    <row r="152" spans="1:26" ht="17.25" customHeight="1">
      <c r="A152" s="514" t="str">
        <f t="shared" si="63"/>
        <v/>
      </c>
      <c r="B152" s="515"/>
      <c r="C152" s="515"/>
      <c r="D152" s="515"/>
      <c r="E152" s="517"/>
      <c r="F152" s="518"/>
      <c r="G152" s="515"/>
      <c r="H152" s="519" t="str">
        <f>_xll.RssMarket("d7","現在値")</f>
        <v/>
      </c>
      <c r="I152" s="519" t="str">
        <f t="array" ref="I152">_xll.RssMarket(B152, "出来高加重平均")</f>
        <v/>
      </c>
      <c r="J152" s="519" t="str">
        <f t="array" ref="J152">_xll.RssMarket(B152, "前日比")</f>
        <v/>
      </c>
      <c r="K152" s="519" t="str">
        <f t="shared" si="64"/>
        <v/>
      </c>
      <c r="L152" s="520" t="str">
        <f t="shared" si="65"/>
        <v/>
      </c>
      <c r="M152" s="519" t="str">
        <f t="shared" si="66"/>
        <v/>
      </c>
      <c r="N152" s="519" t="str">
        <f t="shared" si="67"/>
        <v/>
      </c>
      <c r="O152" s="521" t="str">
        <f t="shared" si="68"/>
        <v/>
      </c>
      <c r="P152" s="519" t="str">
        <f t="array" aca="1" ref="P152" ca="1">IF(B152="","",IFERROR(MAX(OFFSET(高値!$E$6,MATCH(TEXT(B152,"0"),TEXT(銘柄管理!$B$6:$B$305,"0"),0)-1,0,1,10)),""))</f>
        <v/>
      </c>
      <c r="Q152" s="519" t="str">
        <f t="array" aca="1" ref="Q152" ca="1">IF(B152="","",IFERROR(MIN(OFFSET(安値!$E$6,MATCH(TEXT(B152,"0"),TEXT(銘柄管理!$B$6:$B$305,"0"),0)-1,0,1,10)),""))</f>
        <v/>
      </c>
      <c r="R152" s="519" t="str">
        <f t="shared" ca="1" si="54"/>
        <v/>
      </c>
      <c r="S152" s="522" t="str">
        <f t="shared" si="69"/>
        <v/>
      </c>
      <c r="T152" s="515"/>
      <c r="U152" s="515"/>
      <c r="V152" s="519" t="str">
        <f t="shared" si="70"/>
        <v/>
      </c>
      <c r="W152" s="523" t="str">
        <f t="shared" ca="1" si="55"/>
        <v/>
      </c>
      <c r="X152" s="515"/>
      <c r="Y152" s="513"/>
      <c r="Z152" s="499"/>
    </row>
    <row r="153" spans="1:26" ht="17.25" customHeight="1">
      <c r="A153" s="514" t="str">
        <f t="shared" si="63"/>
        <v/>
      </c>
      <c r="B153" s="515"/>
      <c r="C153" s="515"/>
      <c r="D153" s="515"/>
      <c r="E153" s="517"/>
      <c r="F153" s="518"/>
      <c r="G153" s="515"/>
      <c r="H153" s="519" t="str">
        <f>_xll.RssMarket("d7","現在値")</f>
        <v/>
      </c>
      <c r="I153" s="519" t="str">
        <f t="array" ref="I153">_xll.RssMarket(B153, "出来高加重平均")</f>
        <v/>
      </c>
      <c r="J153" s="519" t="str">
        <f t="array" ref="J153">_xll.RssMarket(B153, "前日比")</f>
        <v/>
      </c>
      <c r="K153" s="519" t="str">
        <f t="shared" si="64"/>
        <v/>
      </c>
      <c r="L153" s="520" t="str">
        <f t="shared" si="65"/>
        <v/>
      </c>
      <c r="M153" s="519" t="str">
        <f t="shared" si="66"/>
        <v/>
      </c>
      <c r="N153" s="519" t="str">
        <f t="shared" si="67"/>
        <v/>
      </c>
      <c r="O153" s="521" t="str">
        <f t="shared" si="68"/>
        <v/>
      </c>
      <c r="P153" s="519" t="str">
        <f t="array" aca="1" ref="P153" ca="1">IF(B153="","",IFERROR(MAX(OFFSET(高値!$E$6,MATCH(TEXT(B153,"0"),TEXT(銘柄管理!$B$6:$B$305,"0"),0)-1,0,1,10)),""))</f>
        <v/>
      </c>
      <c r="Q153" s="519" t="str">
        <f t="array" aca="1" ref="Q153" ca="1">IF(B153="","",IFERROR(MIN(OFFSET(安値!$E$6,MATCH(TEXT(B153,"0"),TEXT(銘柄管理!$B$6:$B$305,"0"),0)-1,0,1,10)),""))</f>
        <v/>
      </c>
      <c r="R153" s="519" t="str">
        <f t="shared" ca="1" si="54"/>
        <v/>
      </c>
      <c r="S153" s="522" t="str">
        <f t="shared" si="69"/>
        <v/>
      </c>
      <c r="T153" s="515"/>
      <c r="U153" s="515"/>
      <c r="V153" s="519" t="str">
        <f t="shared" si="70"/>
        <v/>
      </c>
      <c r="W153" s="523" t="str">
        <f t="shared" ca="1" si="55"/>
        <v/>
      </c>
      <c r="X153" s="515"/>
      <c r="Y153" s="513"/>
      <c r="Z153" s="499"/>
    </row>
    <row r="154" spans="1:26" ht="17.25" customHeight="1">
      <c r="A154" s="514" t="str">
        <f t="shared" si="63"/>
        <v/>
      </c>
      <c r="B154" s="515"/>
      <c r="C154" s="515"/>
      <c r="D154" s="515"/>
      <c r="E154" s="517"/>
      <c r="F154" s="518"/>
      <c r="G154" s="515"/>
      <c r="H154" s="519" t="str">
        <f>_xll.RssMarket("d7","現在値")</f>
        <v/>
      </c>
      <c r="I154" s="519" t="str">
        <f t="array" ref="I154">_xll.RssMarket(B154, "出来高加重平均")</f>
        <v/>
      </c>
      <c r="J154" s="519" t="str">
        <f t="array" ref="J154">_xll.RssMarket(B154, "前日比")</f>
        <v/>
      </c>
      <c r="K154" s="519" t="str">
        <f t="shared" si="64"/>
        <v/>
      </c>
      <c r="L154" s="520" t="str">
        <f t="shared" si="65"/>
        <v/>
      </c>
      <c r="M154" s="519" t="str">
        <f t="shared" si="66"/>
        <v/>
      </c>
      <c r="N154" s="519" t="str">
        <f t="shared" si="67"/>
        <v/>
      </c>
      <c r="O154" s="521" t="str">
        <f t="shared" si="68"/>
        <v/>
      </c>
      <c r="P154" s="519" t="str">
        <f t="array" aca="1" ref="P154" ca="1">IF(B154="","",IFERROR(MAX(OFFSET(高値!$E$6,MATCH(TEXT(B154,"0"),TEXT(銘柄管理!$B$6:$B$305,"0"),0)-1,0,1,10)),""))</f>
        <v/>
      </c>
      <c r="Q154" s="519" t="str">
        <f t="array" aca="1" ref="Q154" ca="1">IF(B154="","",IFERROR(MIN(OFFSET(安値!$E$6,MATCH(TEXT(B154,"0"),TEXT(銘柄管理!$B$6:$B$305,"0"),0)-1,0,1,10)),""))</f>
        <v/>
      </c>
      <c r="R154" s="519" t="str">
        <f t="shared" ca="1" si="54"/>
        <v/>
      </c>
      <c r="S154" s="522" t="str">
        <f t="shared" si="69"/>
        <v/>
      </c>
      <c r="T154" s="515"/>
      <c r="U154" s="515"/>
      <c r="V154" s="519" t="str">
        <f t="shared" si="70"/>
        <v/>
      </c>
      <c r="W154" s="523" t="str">
        <f t="shared" ca="1" si="55"/>
        <v/>
      </c>
      <c r="X154" s="515"/>
      <c r="Y154" s="513"/>
      <c r="Z154" s="499"/>
    </row>
    <row r="155" spans="1:26" ht="17.25" customHeight="1">
      <c r="A155" s="514" t="str">
        <f t="shared" si="63"/>
        <v/>
      </c>
      <c r="B155" s="515"/>
      <c r="C155" s="515"/>
      <c r="D155" s="515"/>
      <c r="E155" s="517"/>
      <c r="F155" s="518"/>
      <c r="G155" s="515"/>
      <c r="H155" s="519" t="str">
        <f>_xll.RssMarket("d7","現在値")</f>
        <v/>
      </c>
      <c r="I155" s="519" t="str">
        <f t="array" ref="I155">_xll.RssMarket(B155, "出来高加重平均")</f>
        <v/>
      </c>
      <c r="J155" s="519" t="str">
        <f t="array" ref="J155">_xll.RssMarket(B155, "前日比")</f>
        <v/>
      </c>
      <c r="K155" s="519" t="str">
        <f t="shared" si="64"/>
        <v/>
      </c>
      <c r="L155" s="520" t="str">
        <f t="shared" si="65"/>
        <v/>
      </c>
      <c r="M155" s="519" t="str">
        <f t="shared" si="66"/>
        <v/>
      </c>
      <c r="N155" s="519" t="str">
        <f t="shared" si="67"/>
        <v/>
      </c>
      <c r="O155" s="521" t="str">
        <f t="shared" si="68"/>
        <v/>
      </c>
      <c r="P155" s="519" t="str">
        <f t="array" aca="1" ref="P155" ca="1">IF(B155="","",IFERROR(MAX(OFFSET(高値!$E$6,MATCH(TEXT(B155,"0"),TEXT(銘柄管理!$B$6:$B$305,"0"),0)-1,0,1,10)),""))</f>
        <v/>
      </c>
      <c r="Q155" s="519" t="str">
        <f t="array" aca="1" ref="Q155" ca="1">IF(B155="","",IFERROR(MIN(OFFSET(安値!$E$6,MATCH(TEXT(B155,"0"),TEXT(銘柄管理!$B$6:$B$305,"0"),0)-1,0,1,10)),""))</f>
        <v/>
      </c>
      <c r="R155" s="519" t="str">
        <f t="shared" ca="1" si="54"/>
        <v/>
      </c>
      <c r="S155" s="522" t="str">
        <f t="shared" si="69"/>
        <v/>
      </c>
      <c r="T155" s="515"/>
      <c r="U155" s="515"/>
      <c r="V155" s="519" t="str">
        <f t="shared" si="70"/>
        <v/>
      </c>
      <c r="W155" s="523" t="str">
        <f t="shared" ca="1" si="55"/>
        <v/>
      </c>
      <c r="X155" s="515"/>
      <c r="Y155" s="513"/>
      <c r="Z155" s="499"/>
    </row>
    <row r="156" spans="1:26" ht="17.25" customHeight="1">
      <c r="A156" s="514" t="str">
        <f t="shared" si="63"/>
        <v/>
      </c>
      <c r="B156" s="515"/>
      <c r="C156" s="515"/>
      <c r="D156" s="515"/>
      <c r="E156" s="517"/>
      <c r="F156" s="518"/>
      <c r="G156" s="515"/>
      <c r="H156" s="519" t="str">
        <f>_xll.RssMarket("d7","現在値")</f>
        <v/>
      </c>
      <c r="I156" s="519" t="str">
        <f t="array" ref="I156">_xll.RssMarket(B156, "出来高加重平均")</f>
        <v/>
      </c>
      <c r="J156" s="519" t="str">
        <f t="array" ref="J156">_xll.RssMarket(B156, "前日比")</f>
        <v/>
      </c>
      <c r="K156" s="519" t="str">
        <f t="shared" si="64"/>
        <v/>
      </c>
      <c r="L156" s="520" t="str">
        <f t="shared" si="65"/>
        <v/>
      </c>
      <c r="M156" s="519" t="str">
        <f t="shared" si="66"/>
        <v/>
      </c>
      <c r="N156" s="519" t="str">
        <f t="shared" si="67"/>
        <v/>
      </c>
      <c r="O156" s="521" t="str">
        <f t="shared" si="68"/>
        <v/>
      </c>
      <c r="P156" s="519" t="str">
        <f t="array" aca="1" ref="P156" ca="1">IF(B156="","",IFERROR(MAX(OFFSET(高値!$E$6,MATCH(TEXT(B156,"0"),TEXT(銘柄管理!$B$6:$B$305,"0"),0)-1,0,1,10)),""))</f>
        <v/>
      </c>
      <c r="Q156" s="519" t="str">
        <f t="array" aca="1" ref="Q156" ca="1">IF(B156="","",IFERROR(MIN(OFFSET(安値!$E$6,MATCH(TEXT(B156,"0"),TEXT(銘柄管理!$B$6:$B$305,"0"),0)-1,0,1,10)),""))</f>
        <v/>
      </c>
      <c r="R156" s="519" t="str">
        <f t="shared" ca="1" si="54"/>
        <v/>
      </c>
      <c r="S156" s="522" t="str">
        <f t="shared" si="69"/>
        <v/>
      </c>
      <c r="T156" s="515"/>
      <c r="U156" s="515"/>
      <c r="V156" s="519" t="str">
        <f t="shared" si="70"/>
        <v/>
      </c>
      <c r="W156" s="523" t="str">
        <f t="shared" ca="1" si="55"/>
        <v/>
      </c>
      <c r="X156" s="515"/>
      <c r="Y156" s="513"/>
      <c r="Z156" s="499"/>
    </row>
    <row r="157" spans="1:26" ht="17.25" customHeight="1">
      <c r="A157" s="514" t="str">
        <f t="shared" si="63"/>
        <v/>
      </c>
      <c r="B157" s="515"/>
      <c r="C157" s="515"/>
      <c r="D157" s="515"/>
      <c r="E157" s="517"/>
      <c r="F157" s="518"/>
      <c r="G157" s="515"/>
      <c r="H157" s="519" t="str">
        <f>_xll.RssMarket("d7","現在値")</f>
        <v/>
      </c>
      <c r="I157" s="519" t="str">
        <f t="array" ref="I157">_xll.RssMarket(B157, "出来高加重平均")</f>
        <v/>
      </c>
      <c r="J157" s="519" t="str">
        <f t="array" ref="J157">_xll.RssMarket(B157, "前日比")</f>
        <v/>
      </c>
      <c r="K157" s="519" t="str">
        <f t="shared" si="64"/>
        <v/>
      </c>
      <c r="L157" s="520" t="str">
        <f t="shared" si="65"/>
        <v/>
      </c>
      <c r="M157" s="519" t="str">
        <f t="shared" si="66"/>
        <v/>
      </c>
      <c r="N157" s="519" t="str">
        <f t="shared" si="67"/>
        <v/>
      </c>
      <c r="O157" s="521" t="str">
        <f t="shared" si="68"/>
        <v/>
      </c>
      <c r="P157" s="519" t="str">
        <f t="array" aca="1" ref="P157" ca="1">IF(B157="","",IFERROR(MAX(OFFSET(高値!$E$6,MATCH(TEXT(B157,"0"),TEXT(銘柄管理!$B$6:$B$305,"0"),0)-1,0,1,10)),""))</f>
        <v/>
      </c>
      <c r="Q157" s="519" t="str">
        <f t="array" aca="1" ref="Q157" ca="1">IF(B157="","",IFERROR(MIN(OFFSET(安値!$E$6,MATCH(TEXT(B157,"0"),TEXT(銘柄管理!$B$6:$B$305,"0"),0)-1,0,1,10)),""))</f>
        <v/>
      </c>
      <c r="R157" s="519" t="str">
        <f t="shared" ca="1" si="54"/>
        <v/>
      </c>
      <c r="S157" s="522" t="str">
        <f t="shared" si="69"/>
        <v/>
      </c>
      <c r="T157" s="515"/>
      <c r="U157" s="515"/>
      <c r="V157" s="519" t="str">
        <f t="shared" si="70"/>
        <v/>
      </c>
      <c r="W157" s="523" t="str">
        <f t="shared" ca="1" si="55"/>
        <v/>
      </c>
      <c r="X157" s="515"/>
      <c r="Y157" s="513"/>
      <c r="Z157" s="499"/>
    </row>
    <row r="158" spans="1:26" ht="17.25" customHeight="1">
      <c r="A158" s="514" t="str">
        <f t="shared" si="63"/>
        <v/>
      </c>
      <c r="B158" s="515"/>
      <c r="C158" s="515"/>
      <c r="D158" s="515"/>
      <c r="E158" s="517"/>
      <c r="F158" s="518"/>
      <c r="G158" s="515"/>
      <c r="H158" s="519" t="str">
        <f>_xll.RssMarket("d7","現在値")</f>
        <v/>
      </c>
      <c r="I158" s="519" t="str">
        <f t="array" ref="I158">_xll.RssMarket(B158, "出来高加重平均")</f>
        <v/>
      </c>
      <c r="J158" s="519" t="str">
        <f t="array" ref="J158">_xll.RssMarket(B158, "前日比")</f>
        <v/>
      </c>
      <c r="K158" s="519" t="str">
        <f t="shared" si="64"/>
        <v/>
      </c>
      <c r="L158" s="520" t="str">
        <f t="shared" si="65"/>
        <v/>
      </c>
      <c r="M158" s="519" t="str">
        <f t="shared" si="66"/>
        <v/>
      </c>
      <c r="N158" s="519" t="str">
        <f t="shared" si="67"/>
        <v/>
      </c>
      <c r="O158" s="521" t="str">
        <f t="shared" si="68"/>
        <v/>
      </c>
      <c r="P158" s="519" t="str">
        <f t="array" aca="1" ref="P158" ca="1">IF(B158="","",IFERROR(MAX(OFFSET(高値!$E$6,MATCH(TEXT(B158,"0"),TEXT(銘柄管理!$B$6:$B$305,"0"),0)-1,0,1,10)),""))</f>
        <v/>
      </c>
      <c r="Q158" s="519" t="str">
        <f t="array" aca="1" ref="Q158" ca="1">IF(B158="","",IFERROR(MIN(OFFSET(安値!$E$6,MATCH(TEXT(B158,"0"),TEXT(銘柄管理!$B$6:$B$305,"0"),0)-1,0,1,10)),""))</f>
        <v/>
      </c>
      <c r="R158" s="519" t="str">
        <f t="shared" ca="1" si="54"/>
        <v/>
      </c>
      <c r="S158" s="522" t="str">
        <f t="shared" si="69"/>
        <v/>
      </c>
      <c r="T158" s="515"/>
      <c r="U158" s="515"/>
      <c r="V158" s="519" t="str">
        <f t="shared" si="70"/>
        <v/>
      </c>
      <c r="W158" s="523" t="str">
        <f t="shared" ca="1" si="55"/>
        <v/>
      </c>
      <c r="X158" s="515"/>
      <c r="Y158" s="513"/>
      <c r="Z158" s="499"/>
    </row>
    <row r="159" spans="1:26" ht="17.25" customHeight="1">
      <c r="A159" s="514" t="str">
        <f t="shared" si="63"/>
        <v/>
      </c>
      <c r="B159" s="515"/>
      <c r="C159" s="515"/>
      <c r="D159" s="515"/>
      <c r="E159" s="517"/>
      <c r="F159" s="518"/>
      <c r="G159" s="515"/>
      <c r="H159" s="519" t="str">
        <f>_xll.RssMarket("d7","現在値")</f>
        <v/>
      </c>
      <c r="I159" s="519" t="str">
        <f t="array" ref="I159">_xll.RssMarket(B159, "出来高加重平均")</f>
        <v/>
      </c>
      <c r="J159" s="519" t="str">
        <f t="array" ref="J159">_xll.RssMarket(B159, "前日比")</f>
        <v/>
      </c>
      <c r="K159" s="519" t="str">
        <f t="shared" si="64"/>
        <v/>
      </c>
      <c r="L159" s="520" t="str">
        <f t="shared" si="65"/>
        <v/>
      </c>
      <c r="M159" s="519" t="str">
        <f t="shared" si="66"/>
        <v/>
      </c>
      <c r="N159" s="519" t="str">
        <f t="shared" si="67"/>
        <v/>
      </c>
      <c r="O159" s="521" t="str">
        <f t="shared" si="68"/>
        <v/>
      </c>
      <c r="P159" s="519" t="str">
        <f t="array" aca="1" ref="P159" ca="1">IF(B159="","",IFERROR(MAX(OFFSET(高値!$E$6,MATCH(TEXT(B159,"0"),TEXT(銘柄管理!$B$6:$B$305,"0"),0)-1,0,1,10)),""))</f>
        <v/>
      </c>
      <c r="Q159" s="519" t="str">
        <f t="array" aca="1" ref="Q159" ca="1">IF(B159="","",IFERROR(MIN(OFFSET(安値!$E$6,MATCH(TEXT(B159,"0"),TEXT(銘柄管理!$B$6:$B$305,"0"),0)-1,0,1,10)),""))</f>
        <v/>
      </c>
      <c r="R159" s="519" t="str">
        <f t="shared" ca="1" si="54"/>
        <v/>
      </c>
      <c r="S159" s="522" t="str">
        <f t="shared" si="69"/>
        <v/>
      </c>
      <c r="T159" s="515"/>
      <c r="U159" s="515"/>
      <c r="V159" s="519" t="str">
        <f t="shared" si="70"/>
        <v/>
      </c>
      <c r="W159" s="523" t="str">
        <f t="shared" ca="1" si="55"/>
        <v/>
      </c>
      <c r="X159" s="515"/>
      <c r="Y159" s="513"/>
      <c r="Z159" s="499"/>
    </row>
    <row r="160" spans="1:26" ht="17.25" customHeight="1">
      <c r="A160" s="514" t="str">
        <f t="shared" si="63"/>
        <v/>
      </c>
      <c r="B160" s="515"/>
      <c r="C160" s="515"/>
      <c r="D160" s="515"/>
      <c r="E160" s="517"/>
      <c r="F160" s="518"/>
      <c r="G160" s="515"/>
      <c r="H160" s="519" t="str">
        <f>_xll.RssMarket("d7","現在値")</f>
        <v/>
      </c>
      <c r="I160" s="519" t="str">
        <f t="array" ref="I160">_xll.RssMarket(B160, "出来高加重平均")</f>
        <v/>
      </c>
      <c r="J160" s="519" t="str">
        <f t="array" ref="J160">_xll.RssMarket(B160, "前日比")</f>
        <v/>
      </c>
      <c r="K160" s="519" t="str">
        <f t="shared" si="64"/>
        <v/>
      </c>
      <c r="L160" s="520" t="str">
        <f t="shared" si="65"/>
        <v/>
      </c>
      <c r="M160" s="519" t="str">
        <f t="shared" si="66"/>
        <v/>
      </c>
      <c r="N160" s="519" t="str">
        <f t="shared" si="67"/>
        <v/>
      </c>
      <c r="O160" s="521" t="str">
        <f t="shared" si="68"/>
        <v/>
      </c>
      <c r="P160" s="519" t="str">
        <f t="array" aca="1" ref="P160" ca="1">IF(B160="","",IFERROR(MAX(OFFSET(高値!$E$6,MATCH(TEXT(B160,"0"),TEXT(銘柄管理!$B$6:$B$305,"0"),0)-1,0,1,10)),""))</f>
        <v/>
      </c>
      <c r="Q160" s="519" t="str">
        <f t="array" aca="1" ref="Q160" ca="1">IF(B160="","",IFERROR(MIN(OFFSET(安値!$E$6,MATCH(TEXT(B160,"0"),TEXT(銘柄管理!$B$6:$B$305,"0"),0)-1,0,1,10)),""))</f>
        <v/>
      </c>
      <c r="R160" s="519" t="str">
        <f t="shared" ca="1" si="54"/>
        <v/>
      </c>
      <c r="S160" s="522" t="str">
        <f t="shared" si="69"/>
        <v/>
      </c>
      <c r="T160" s="515"/>
      <c r="U160" s="515"/>
      <c r="V160" s="519" t="str">
        <f t="shared" si="70"/>
        <v/>
      </c>
      <c r="W160" s="523" t="str">
        <f t="shared" ca="1" si="55"/>
        <v/>
      </c>
      <c r="X160" s="515"/>
      <c r="Y160" s="513"/>
      <c r="Z160" s="499"/>
    </row>
    <row r="161" spans="1:26" ht="17.25" customHeight="1">
      <c r="A161" s="514" t="str">
        <f t="shared" si="63"/>
        <v/>
      </c>
      <c r="B161" s="515"/>
      <c r="C161" s="515"/>
      <c r="D161" s="515"/>
      <c r="E161" s="517"/>
      <c r="F161" s="518"/>
      <c r="G161" s="515"/>
      <c r="H161" s="519" t="str">
        <f>_xll.RssMarket("d7","現在値")</f>
        <v/>
      </c>
      <c r="I161" s="519" t="str">
        <f t="array" ref="I161">_xll.RssMarket(B161, "出来高加重平均")</f>
        <v/>
      </c>
      <c r="J161" s="519" t="str">
        <f t="array" ref="J161">_xll.RssMarket(B161, "前日比")</f>
        <v/>
      </c>
      <c r="K161" s="519" t="str">
        <f t="shared" si="64"/>
        <v/>
      </c>
      <c r="L161" s="520" t="str">
        <f t="shared" si="65"/>
        <v/>
      </c>
      <c r="M161" s="519" t="str">
        <f t="shared" si="66"/>
        <v/>
      </c>
      <c r="N161" s="519" t="str">
        <f t="shared" si="67"/>
        <v/>
      </c>
      <c r="O161" s="521" t="str">
        <f t="shared" si="68"/>
        <v/>
      </c>
      <c r="P161" s="519" t="str">
        <f t="array" aca="1" ref="P161" ca="1">IF(B161="","",IFERROR(MAX(OFFSET(高値!$E$6,MATCH(TEXT(B161,"0"),TEXT(銘柄管理!$B$6:$B$305,"0"),0)-1,0,1,10)),""))</f>
        <v/>
      </c>
      <c r="Q161" s="519" t="str">
        <f t="array" aca="1" ref="Q161" ca="1">IF(B161="","",IFERROR(MIN(OFFSET(安値!$E$6,MATCH(TEXT(B161,"0"),TEXT(銘柄管理!$B$6:$B$305,"0"),0)-1,0,1,10)),""))</f>
        <v/>
      </c>
      <c r="R161" s="519" t="str">
        <f t="shared" ca="1" si="54"/>
        <v/>
      </c>
      <c r="S161" s="522" t="str">
        <f t="shared" si="69"/>
        <v/>
      </c>
      <c r="T161" s="515"/>
      <c r="U161" s="515"/>
      <c r="V161" s="519" t="str">
        <f t="shared" si="70"/>
        <v/>
      </c>
      <c r="W161" s="523" t="str">
        <f t="shared" ca="1" si="55"/>
        <v/>
      </c>
      <c r="X161" s="515"/>
      <c r="Y161" s="513"/>
      <c r="Z161" s="499"/>
    </row>
    <row r="162" spans="1:26" ht="17.25" customHeight="1">
      <c r="A162" s="514" t="str">
        <f t="shared" si="63"/>
        <v/>
      </c>
      <c r="B162" s="515"/>
      <c r="C162" s="515"/>
      <c r="D162" s="515"/>
      <c r="E162" s="517"/>
      <c r="F162" s="518"/>
      <c r="G162" s="515"/>
      <c r="H162" s="519" t="str">
        <f>_xll.RssMarket("d7","現在値")</f>
        <v/>
      </c>
      <c r="I162" s="519" t="str">
        <f t="array" ref="I162">_xll.RssMarket(B162, "出来高加重平均")</f>
        <v/>
      </c>
      <c r="J162" s="519" t="str">
        <f t="array" ref="J162">_xll.RssMarket(B162, "前日比")</f>
        <v/>
      </c>
      <c r="K162" s="519" t="str">
        <f t="shared" si="64"/>
        <v/>
      </c>
      <c r="L162" s="520" t="str">
        <f t="shared" si="65"/>
        <v/>
      </c>
      <c r="M162" s="519" t="str">
        <f t="shared" si="66"/>
        <v/>
      </c>
      <c r="N162" s="519" t="str">
        <f t="shared" si="67"/>
        <v/>
      </c>
      <c r="O162" s="521" t="str">
        <f t="shared" si="68"/>
        <v/>
      </c>
      <c r="P162" s="519" t="str">
        <f t="array" aca="1" ref="P162" ca="1">IF(B162="","",IFERROR(MAX(OFFSET(高値!$E$6,MATCH(TEXT(B162,"0"),TEXT(銘柄管理!$B$6:$B$305,"0"),0)-1,0,1,10)),""))</f>
        <v/>
      </c>
      <c r="Q162" s="519" t="str">
        <f t="array" aca="1" ref="Q162" ca="1">IF(B162="","",IFERROR(MIN(OFFSET(安値!$E$6,MATCH(TEXT(B162,"0"),TEXT(銘柄管理!$B$6:$B$305,"0"),0)-1,0,1,10)),""))</f>
        <v/>
      </c>
      <c r="R162" s="519" t="str">
        <f t="shared" ca="1" si="54"/>
        <v/>
      </c>
      <c r="S162" s="522" t="str">
        <f t="shared" si="69"/>
        <v/>
      </c>
      <c r="T162" s="515"/>
      <c r="U162" s="515"/>
      <c r="V162" s="519" t="str">
        <f t="shared" si="70"/>
        <v/>
      </c>
      <c r="W162" s="523" t="str">
        <f t="shared" ca="1" si="55"/>
        <v/>
      </c>
      <c r="X162" s="515"/>
      <c r="Y162" s="513"/>
      <c r="Z162" s="499"/>
    </row>
    <row r="163" spans="1:26" ht="17.25" customHeight="1">
      <c r="A163" s="514" t="str">
        <f t="shared" si="63"/>
        <v/>
      </c>
      <c r="B163" s="515"/>
      <c r="C163" s="515"/>
      <c r="D163" s="515"/>
      <c r="E163" s="517"/>
      <c r="F163" s="518"/>
      <c r="G163" s="515"/>
      <c r="H163" s="519" t="str">
        <f>_xll.RssMarket("d7","現在値")</f>
        <v/>
      </c>
      <c r="I163" s="519" t="str">
        <f t="array" ref="I163">_xll.RssMarket(B163, "出来高加重平均")</f>
        <v/>
      </c>
      <c r="J163" s="519" t="str">
        <f t="array" ref="J163">_xll.RssMarket(B163, "前日比")</f>
        <v/>
      </c>
      <c r="K163" s="519" t="str">
        <f t="shared" si="64"/>
        <v/>
      </c>
      <c r="L163" s="520" t="str">
        <f t="shared" si="65"/>
        <v/>
      </c>
      <c r="M163" s="519" t="str">
        <f t="shared" si="66"/>
        <v/>
      </c>
      <c r="N163" s="519" t="str">
        <f t="shared" si="67"/>
        <v/>
      </c>
      <c r="O163" s="521" t="str">
        <f t="shared" si="68"/>
        <v/>
      </c>
      <c r="P163" s="519" t="str">
        <f t="array" aca="1" ref="P163" ca="1">IF(B163="","",IFERROR(MAX(OFFSET(高値!$E$6,MATCH(TEXT(B163,"0"),TEXT(銘柄管理!$B$6:$B$305,"0"),0)-1,0,1,10)),""))</f>
        <v/>
      </c>
      <c r="Q163" s="519" t="str">
        <f t="array" aca="1" ref="Q163" ca="1">IF(B163="","",IFERROR(MIN(OFFSET(安値!$E$6,MATCH(TEXT(B163,"0"),TEXT(銘柄管理!$B$6:$B$305,"0"),0)-1,0,1,10)),""))</f>
        <v/>
      </c>
      <c r="R163" s="519" t="str">
        <f t="shared" ca="1" si="54"/>
        <v/>
      </c>
      <c r="S163" s="522" t="str">
        <f t="shared" si="69"/>
        <v/>
      </c>
      <c r="T163" s="515"/>
      <c r="U163" s="515"/>
      <c r="V163" s="519" t="str">
        <f t="shared" si="70"/>
        <v/>
      </c>
      <c r="W163" s="523" t="str">
        <f t="shared" ca="1" si="55"/>
        <v/>
      </c>
      <c r="X163" s="515"/>
      <c r="Y163" s="513"/>
      <c r="Z163" s="499"/>
    </row>
    <row r="164" spans="1:26" ht="17.25" customHeight="1">
      <c r="A164" s="514" t="str">
        <f t="shared" si="63"/>
        <v/>
      </c>
      <c r="B164" s="515"/>
      <c r="C164" s="515"/>
      <c r="D164" s="515"/>
      <c r="E164" s="517"/>
      <c r="F164" s="518"/>
      <c r="G164" s="515"/>
      <c r="H164" s="519" t="str">
        <f>_xll.RssMarket("d7","現在値")</f>
        <v/>
      </c>
      <c r="I164" s="519" t="str">
        <f t="array" ref="I164">_xll.RssMarket(B164, "出来高加重平均")</f>
        <v/>
      </c>
      <c r="J164" s="519" t="str">
        <f t="array" ref="J164">_xll.RssMarket(B164, "前日比")</f>
        <v/>
      </c>
      <c r="K164" s="519" t="str">
        <f t="shared" si="64"/>
        <v/>
      </c>
      <c r="L164" s="520" t="str">
        <f t="shared" si="65"/>
        <v/>
      </c>
      <c r="M164" s="519" t="str">
        <f t="shared" si="66"/>
        <v/>
      </c>
      <c r="N164" s="519" t="str">
        <f t="shared" si="67"/>
        <v/>
      </c>
      <c r="O164" s="521" t="str">
        <f t="shared" si="68"/>
        <v/>
      </c>
      <c r="P164" s="519" t="str">
        <f t="array" aca="1" ref="P164" ca="1">IF(B164="","",IFERROR(MAX(OFFSET(高値!$E$6,MATCH(TEXT(B164,"0"),TEXT(銘柄管理!$B$6:$B$305,"0"),0)-1,0,1,10)),""))</f>
        <v/>
      </c>
      <c r="Q164" s="519" t="str">
        <f t="array" aca="1" ref="Q164" ca="1">IF(B164="","",IFERROR(MIN(OFFSET(安値!$E$6,MATCH(TEXT(B164,"0"),TEXT(銘柄管理!$B$6:$B$305,"0"),0)-1,0,1,10)),""))</f>
        <v/>
      </c>
      <c r="R164" s="519" t="str">
        <f t="shared" ca="1" si="54"/>
        <v/>
      </c>
      <c r="S164" s="522" t="str">
        <f t="shared" si="69"/>
        <v/>
      </c>
      <c r="T164" s="515"/>
      <c r="U164" s="515"/>
      <c r="V164" s="519" t="str">
        <f t="shared" si="70"/>
        <v/>
      </c>
      <c r="W164" s="523" t="str">
        <f t="shared" ca="1" si="55"/>
        <v/>
      </c>
      <c r="X164" s="515"/>
      <c r="Y164" s="513"/>
      <c r="Z164" s="499"/>
    </row>
    <row r="165" spans="1:26" ht="17.25" customHeight="1">
      <c r="A165" s="514" t="str">
        <f t="shared" si="63"/>
        <v/>
      </c>
      <c r="B165" s="515"/>
      <c r="C165" s="515"/>
      <c r="D165" s="515"/>
      <c r="E165" s="517"/>
      <c r="F165" s="518"/>
      <c r="G165" s="515"/>
      <c r="H165" s="519" t="str">
        <f>_xll.RssMarket("d7","現在値")</f>
        <v/>
      </c>
      <c r="I165" s="519" t="str">
        <f t="array" ref="I165">_xll.RssMarket(B165, "出来高加重平均")</f>
        <v/>
      </c>
      <c r="J165" s="519" t="str">
        <f t="array" ref="J165">_xll.RssMarket(B165, "前日比")</f>
        <v/>
      </c>
      <c r="K165" s="519" t="str">
        <f t="shared" si="64"/>
        <v/>
      </c>
      <c r="L165" s="520" t="str">
        <f t="shared" si="65"/>
        <v/>
      </c>
      <c r="M165" s="519" t="str">
        <f t="shared" si="66"/>
        <v/>
      </c>
      <c r="N165" s="519" t="str">
        <f t="shared" si="67"/>
        <v/>
      </c>
      <c r="O165" s="521" t="str">
        <f t="shared" si="68"/>
        <v/>
      </c>
      <c r="P165" s="519" t="str">
        <f t="array" aca="1" ref="P165" ca="1">IF(B165="","",IFERROR(MAX(OFFSET(高値!$E$6,MATCH(TEXT(B165,"0"),TEXT(銘柄管理!$B$6:$B$305,"0"),0)-1,0,1,10)),""))</f>
        <v/>
      </c>
      <c r="Q165" s="519" t="str">
        <f t="array" aca="1" ref="Q165" ca="1">IF(B165="","",IFERROR(MIN(OFFSET(安値!$E$6,MATCH(TEXT(B165,"0"),TEXT(銘柄管理!$B$6:$B$305,"0"),0)-1,0,1,10)),""))</f>
        <v/>
      </c>
      <c r="R165" s="519" t="str">
        <f t="shared" ca="1" si="54"/>
        <v/>
      </c>
      <c r="S165" s="522" t="str">
        <f t="shared" si="69"/>
        <v/>
      </c>
      <c r="T165" s="515"/>
      <c r="U165" s="515"/>
      <c r="V165" s="519" t="str">
        <f t="shared" si="70"/>
        <v/>
      </c>
      <c r="W165" s="523" t="str">
        <f t="shared" ca="1" si="55"/>
        <v/>
      </c>
      <c r="X165" s="515"/>
      <c r="Y165" s="513"/>
      <c r="Z165" s="499"/>
    </row>
    <row r="166" spans="1:26" ht="17.25" customHeight="1">
      <c r="A166" s="514" t="str">
        <f t="shared" si="63"/>
        <v/>
      </c>
      <c r="B166" s="515"/>
      <c r="C166" s="515"/>
      <c r="D166" s="515"/>
      <c r="E166" s="517"/>
      <c r="F166" s="518"/>
      <c r="G166" s="515"/>
      <c r="H166" s="519" t="str">
        <f>_xll.RssMarket("d7","現在値")</f>
        <v/>
      </c>
      <c r="I166" s="519" t="str">
        <f t="array" ref="I166">_xll.RssMarket(B166, "出来高加重平均")</f>
        <v/>
      </c>
      <c r="J166" s="519" t="str">
        <f t="array" ref="J166">_xll.RssMarket(B166, "前日比")</f>
        <v/>
      </c>
      <c r="K166" s="519" t="str">
        <f t="shared" si="64"/>
        <v/>
      </c>
      <c r="L166" s="520" t="str">
        <f t="shared" si="65"/>
        <v/>
      </c>
      <c r="M166" s="519" t="str">
        <f t="shared" si="66"/>
        <v/>
      </c>
      <c r="N166" s="519" t="str">
        <f t="shared" si="67"/>
        <v/>
      </c>
      <c r="O166" s="521" t="str">
        <f t="shared" si="68"/>
        <v/>
      </c>
      <c r="P166" s="519" t="str">
        <f t="array" aca="1" ref="P166" ca="1">IF(B166="","",IFERROR(MAX(OFFSET(高値!$E$6,MATCH(TEXT(B166,"0"),TEXT(銘柄管理!$B$6:$B$305,"0"),0)-1,0,1,10)),""))</f>
        <v/>
      </c>
      <c r="Q166" s="519" t="str">
        <f t="array" aca="1" ref="Q166" ca="1">IF(B166="","",IFERROR(MIN(OFFSET(安値!$E$6,MATCH(TEXT(B166,"0"),TEXT(銘柄管理!$B$6:$B$305,"0"),0)-1,0,1,10)),""))</f>
        <v/>
      </c>
      <c r="R166" s="519" t="str">
        <f t="shared" ca="1" si="54"/>
        <v/>
      </c>
      <c r="S166" s="522" t="str">
        <f t="shared" si="69"/>
        <v/>
      </c>
      <c r="T166" s="515"/>
      <c r="U166" s="515"/>
      <c r="V166" s="519" t="str">
        <f t="shared" si="70"/>
        <v/>
      </c>
      <c r="W166" s="523" t="str">
        <f t="shared" ca="1" si="55"/>
        <v/>
      </c>
      <c r="X166" s="515"/>
      <c r="Y166" s="513"/>
      <c r="Z166" s="499"/>
    </row>
    <row r="167" spans="1:26" ht="17.25" customHeight="1">
      <c r="A167" s="514" t="str">
        <f t="shared" si="63"/>
        <v/>
      </c>
      <c r="B167" s="515"/>
      <c r="C167" s="515"/>
      <c r="D167" s="515"/>
      <c r="E167" s="517"/>
      <c r="F167" s="518"/>
      <c r="G167" s="515"/>
      <c r="H167" s="519" t="str">
        <f>_xll.RssMarket("d7","現在値")</f>
        <v/>
      </c>
      <c r="I167" s="519" t="str">
        <f t="array" ref="I167">_xll.RssMarket(B167, "出来高加重平均")</f>
        <v/>
      </c>
      <c r="J167" s="519" t="str">
        <f t="array" ref="J167">_xll.RssMarket(B167, "前日比")</f>
        <v/>
      </c>
      <c r="K167" s="519" t="str">
        <f t="shared" si="64"/>
        <v/>
      </c>
      <c r="L167" s="520" t="str">
        <f t="shared" si="65"/>
        <v/>
      </c>
      <c r="M167" s="519" t="str">
        <f t="shared" si="66"/>
        <v/>
      </c>
      <c r="N167" s="519" t="str">
        <f t="shared" si="67"/>
        <v/>
      </c>
      <c r="O167" s="521" t="str">
        <f t="shared" si="68"/>
        <v/>
      </c>
      <c r="P167" s="519" t="str">
        <f t="array" aca="1" ref="P167" ca="1">IF(B167="","",IFERROR(MAX(OFFSET(高値!$E$6,MATCH(TEXT(B167,"0"),TEXT(銘柄管理!$B$6:$B$305,"0"),0)-1,0,1,10)),""))</f>
        <v/>
      </c>
      <c r="Q167" s="519" t="str">
        <f t="array" aca="1" ref="Q167" ca="1">IF(B167="","",IFERROR(MIN(OFFSET(安値!$E$6,MATCH(TEXT(B167,"0"),TEXT(銘柄管理!$B$6:$B$305,"0"),0)-1,0,1,10)),""))</f>
        <v/>
      </c>
      <c r="R167" s="519" t="str">
        <f t="shared" ca="1" si="54"/>
        <v/>
      </c>
      <c r="S167" s="522" t="str">
        <f t="shared" si="69"/>
        <v/>
      </c>
      <c r="T167" s="515"/>
      <c r="U167" s="515"/>
      <c r="V167" s="519" t="str">
        <f t="shared" si="70"/>
        <v/>
      </c>
      <c r="W167" s="523" t="str">
        <f t="shared" ca="1" si="55"/>
        <v/>
      </c>
      <c r="X167" s="515"/>
      <c r="Y167" s="513"/>
      <c r="Z167" s="499"/>
    </row>
    <row r="168" spans="1:26" ht="17.25" customHeight="1">
      <c r="A168" s="514" t="str">
        <f t="shared" si="63"/>
        <v/>
      </c>
      <c r="B168" s="515"/>
      <c r="C168" s="515"/>
      <c r="D168" s="515"/>
      <c r="E168" s="517"/>
      <c r="F168" s="518"/>
      <c r="G168" s="515"/>
      <c r="H168" s="519" t="str">
        <f>_xll.RssMarket("d7","現在値")</f>
        <v/>
      </c>
      <c r="I168" s="519" t="str">
        <f t="array" ref="I168">_xll.RssMarket(B168, "出来高加重平均")</f>
        <v/>
      </c>
      <c r="J168" s="519" t="str">
        <f t="array" ref="J168">_xll.RssMarket(B168, "前日比")</f>
        <v/>
      </c>
      <c r="K168" s="519" t="str">
        <f t="shared" si="64"/>
        <v/>
      </c>
      <c r="L168" s="520" t="str">
        <f t="shared" si="65"/>
        <v/>
      </c>
      <c r="M168" s="519" t="str">
        <f t="shared" si="66"/>
        <v/>
      </c>
      <c r="N168" s="519" t="str">
        <f t="shared" si="67"/>
        <v/>
      </c>
      <c r="O168" s="521" t="str">
        <f t="shared" si="68"/>
        <v/>
      </c>
      <c r="P168" s="519" t="str">
        <f t="array" aca="1" ref="P168" ca="1">IF(B168="","",IFERROR(MAX(OFFSET(高値!$E$6,MATCH(TEXT(B168,"0"),TEXT(銘柄管理!$B$6:$B$305,"0"),0)-1,0,1,10)),""))</f>
        <v/>
      </c>
      <c r="Q168" s="519" t="str">
        <f t="array" aca="1" ref="Q168" ca="1">IF(B168="","",IFERROR(MIN(OFFSET(安値!$E$6,MATCH(TEXT(B168,"0"),TEXT(銘柄管理!$B$6:$B$305,"0"),0)-1,0,1,10)),""))</f>
        <v/>
      </c>
      <c r="R168" s="519" t="str">
        <f t="shared" ca="1" si="54"/>
        <v/>
      </c>
      <c r="S168" s="522" t="str">
        <f t="shared" si="69"/>
        <v/>
      </c>
      <c r="T168" s="515"/>
      <c r="U168" s="515"/>
      <c r="V168" s="519" t="str">
        <f t="shared" si="70"/>
        <v/>
      </c>
      <c r="W168" s="523" t="str">
        <f t="shared" ca="1" si="55"/>
        <v/>
      </c>
      <c r="X168" s="515"/>
      <c r="Y168" s="513"/>
      <c r="Z168" s="499"/>
    </row>
    <row r="169" spans="1:26" ht="17.25" customHeight="1">
      <c r="A169" s="514" t="str">
        <f t="shared" si="63"/>
        <v/>
      </c>
      <c r="B169" s="515"/>
      <c r="C169" s="515"/>
      <c r="D169" s="515"/>
      <c r="E169" s="517"/>
      <c r="F169" s="518"/>
      <c r="G169" s="515"/>
      <c r="H169" s="519" t="str">
        <f>_xll.RssMarket("d7","現在値")</f>
        <v/>
      </c>
      <c r="I169" s="519" t="str">
        <f t="array" ref="I169">_xll.RssMarket(B169, "出来高加重平均")</f>
        <v/>
      </c>
      <c r="J169" s="519" t="str">
        <f t="array" ref="J169">_xll.RssMarket(B169, "前日比")</f>
        <v/>
      </c>
      <c r="K169" s="519" t="str">
        <f t="shared" si="64"/>
        <v/>
      </c>
      <c r="L169" s="520" t="str">
        <f t="shared" si="65"/>
        <v/>
      </c>
      <c r="M169" s="519" t="str">
        <f t="shared" si="66"/>
        <v/>
      </c>
      <c r="N169" s="519" t="str">
        <f t="shared" si="67"/>
        <v/>
      </c>
      <c r="O169" s="521" t="str">
        <f t="shared" si="68"/>
        <v/>
      </c>
      <c r="P169" s="519" t="str">
        <f t="array" aca="1" ref="P169" ca="1">IF(B169="","",IFERROR(MAX(OFFSET(高値!$E$6,MATCH(TEXT(B169,"0"),TEXT(銘柄管理!$B$6:$B$305,"0"),0)-1,0,1,10)),""))</f>
        <v/>
      </c>
      <c r="Q169" s="519" t="str">
        <f t="array" aca="1" ref="Q169" ca="1">IF(B169="","",IFERROR(MIN(OFFSET(安値!$E$6,MATCH(TEXT(B169,"0"),TEXT(銘柄管理!$B$6:$B$305,"0"),0)-1,0,1,10)),""))</f>
        <v/>
      </c>
      <c r="R169" s="519" t="str">
        <f t="shared" ca="1" si="54"/>
        <v/>
      </c>
      <c r="S169" s="522" t="str">
        <f t="shared" si="69"/>
        <v/>
      </c>
      <c r="T169" s="515"/>
      <c r="U169" s="515"/>
      <c r="V169" s="519" t="str">
        <f t="shared" si="70"/>
        <v/>
      </c>
      <c r="W169" s="523" t="str">
        <f t="shared" ca="1" si="55"/>
        <v/>
      </c>
      <c r="X169" s="515"/>
      <c r="Y169" s="513"/>
      <c r="Z169" s="499"/>
    </row>
    <row r="170" spans="1:26" ht="17.25" customHeight="1">
      <c r="A170" s="514" t="str">
        <f t="shared" si="63"/>
        <v/>
      </c>
      <c r="B170" s="515"/>
      <c r="C170" s="515"/>
      <c r="D170" s="515"/>
      <c r="E170" s="517"/>
      <c r="F170" s="518"/>
      <c r="G170" s="515"/>
      <c r="H170" s="519" t="str">
        <f>_xll.RssMarket("d7","現在値")</f>
        <v/>
      </c>
      <c r="I170" s="519" t="str">
        <f t="array" ref="I170">_xll.RssMarket(B170, "出来高加重平均")</f>
        <v/>
      </c>
      <c r="J170" s="519" t="str">
        <f t="array" ref="J170">_xll.RssMarket(B170, "前日比")</f>
        <v/>
      </c>
      <c r="K170" s="519" t="str">
        <f t="shared" si="64"/>
        <v/>
      </c>
      <c r="L170" s="520" t="str">
        <f t="shared" si="65"/>
        <v/>
      </c>
      <c r="M170" s="519" t="str">
        <f t="shared" si="66"/>
        <v/>
      </c>
      <c r="N170" s="519" t="str">
        <f t="shared" si="67"/>
        <v/>
      </c>
      <c r="O170" s="521" t="str">
        <f t="shared" si="68"/>
        <v/>
      </c>
      <c r="P170" s="519" t="str">
        <f t="array" aca="1" ref="P170" ca="1">IF(B170="","",IFERROR(MAX(OFFSET(高値!$E$6,MATCH(TEXT(B170,"0"),TEXT(銘柄管理!$B$6:$B$305,"0"),0)-1,0,1,10)),""))</f>
        <v/>
      </c>
      <c r="Q170" s="519" t="str">
        <f t="array" aca="1" ref="Q170" ca="1">IF(B170="","",IFERROR(MIN(OFFSET(安値!$E$6,MATCH(TEXT(B170,"0"),TEXT(銘柄管理!$B$6:$B$305,"0"),0)-1,0,1,10)),""))</f>
        <v/>
      </c>
      <c r="R170" s="519" t="str">
        <f t="shared" ca="1" si="54"/>
        <v/>
      </c>
      <c r="S170" s="522" t="str">
        <f t="shared" si="69"/>
        <v/>
      </c>
      <c r="T170" s="515"/>
      <c r="U170" s="515"/>
      <c r="V170" s="519" t="str">
        <f t="shared" si="70"/>
        <v/>
      </c>
      <c r="W170" s="523" t="str">
        <f t="shared" ca="1" si="55"/>
        <v/>
      </c>
      <c r="X170" s="515"/>
      <c r="Y170" s="513"/>
      <c r="Z170" s="499"/>
    </row>
    <row r="171" spans="1:26" ht="17.25" customHeight="1">
      <c r="A171" s="514" t="str">
        <f t="shared" si="63"/>
        <v/>
      </c>
      <c r="B171" s="515"/>
      <c r="C171" s="515"/>
      <c r="D171" s="515"/>
      <c r="E171" s="517"/>
      <c r="F171" s="518"/>
      <c r="G171" s="515"/>
      <c r="H171" s="519" t="str">
        <f>_xll.RssMarket("d7","現在値")</f>
        <v/>
      </c>
      <c r="I171" s="519" t="str">
        <f t="array" ref="I171">_xll.RssMarket(B171, "出来高加重平均")</f>
        <v/>
      </c>
      <c r="J171" s="519" t="str">
        <f t="array" ref="J171">_xll.RssMarket(B171, "前日比")</f>
        <v/>
      </c>
      <c r="K171" s="519" t="str">
        <f t="shared" si="64"/>
        <v/>
      </c>
      <c r="L171" s="520" t="str">
        <f t="shared" si="65"/>
        <v/>
      </c>
      <c r="M171" s="519" t="str">
        <f t="shared" si="66"/>
        <v/>
      </c>
      <c r="N171" s="519" t="str">
        <f t="shared" si="67"/>
        <v/>
      </c>
      <c r="O171" s="521" t="str">
        <f t="shared" si="68"/>
        <v/>
      </c>
      <c r="P171" s="519" t="str">
        <f t="array" aca="1" ref="P171" ca="1">IF(B171="","",IFERROR(MAX(OFFSET(高値!$E$6,MATCH(TEXT(B171,"0"),TEXT(銘柄管理!$B$6:$B$305,"0"),0)-1,0,1,10)),""))</f>
        <v/>
      </c>
      <c r="Q171" s="519" t="str">
        <f t="array" aca="1" ref="Q171" ca="1">IF(B171="","",IFERROR(MIN(OFFSET(安値!$E$6,MATCH(TEXT(B171,"0"),TEXT(銘柄管理!$B$6:$B$305,"0"),0)-1,0,1,10)),""))</f>
        <v/>
      </c>
      <c r="R171" s="519" t="str">
        <f t="shared" ca="1" si="54"/>
        <v/>
      </c>
      <c r="S171" s="522" t="str">
        <f t="shared" si="69"/>
        <v/>
      </c>
      <c r="T171" s="515"/>
      <c r="U171" s="515"/>
      <c r="V171" s="519" t="str">
        <f t="shared" si="70"/>
        <v/>
      </c>
      <c r="W171" s="523" t="str">
        <f t="shared" ca="1" si="55"/>
        <v/>
      </c>
      <c r="X171" s="515"/>
      <c r="Y171" s="513"/>
      <c r="Z171" s="499"/>
    </row>
    <row r="172" spans="1:26" ht="17.25" customHeight="1">
      <c r="A172" s="514" t="str">
        <f t="shared" si="63"/>
        <v/>
      </c>
      <c r="B172" s="515"/>
      <c r="C172" s="515"/>
      <c r="D172" s="515"/>
      <c r="E172" s="517"/>
      <c r="F172" s="518"/>
      <c r="G172" s="515"/>
      <c r="H172" s="519" t="str">
        <f>_xll.RssMarket("d7","現在値")</f>
        <v/>
      </c>
      <c r="I172" s="519" t="str">
        <f t="array" ref="I172">_xll.RssMarket(B172, "出来高加重平均")</f>
        <v/>
      </c>
      <c r="J172" s="519" t="str">
        <f t="array" ref="J172">_xll.RssMarket(B172, "前日比")</f>
        <v/>
      </c>
      <c r="K172" s="519" t="str">
        <f t="shared" si="64"/>
        <v/>
      </c>
      <c r="L172" s="520" t="str">
        <f t="shared" si="65"/>
        <v/>
      </c>
      <c r="M172" s="519" t="str">
        <f t="shared" si="66"/>
        <v/>
      </c>
      <c r="N172" s="519" t="str">
        <f t="shared" si="67"/>
        <v/>
      </c>
      <c r="O172" s="521" t="str">
        <f t="shared" si="68"/>
        <v/>
      </c>
      <c r="P172" s="519" t="str">
        <f t="array" aca="1" ref="P172" ca="1">IF(B172="","",IFERROR(MAX(OFFSET(高値!$E$6,MATCH(TEXT(B172,"0"),TEXT(銘柄管理!$B$6:$B$305,"0"),0)-1,0,1,10)),""))</f>
        <v/>
      </c>
      <c r="Q172" s="519" t="str">
        <f t="array" aca="1" ref="Q172" ca="1">IF(B172="","",IFERROR(MIN(OFFSET(安値!$E$6,MATCH(TEXT(B172,"0"),TEXT(銘柄管理!$B$6:$B$305,"0"),0)-1,0,1,10)),""))</f>
        <v/>
      </c>
      <c r="R172" s="519" t="str">
        <f t="shared" ca="1" si="54"/>
        <v/>
      </c>
      <c r="S172" s="522" t="str">
        <f t="shared" si="69"/>
        <v/>
      </c>
      <c r="T172" s="515"/>
      <c r="U172" s="515"/>
      <c r="V172" s="519" t="str">
        <f t="shared" si="70"/>
        <v/>
      </c>
      <c r="W172" s="523" t="str">
        <f t="shared" ca="1" si="55"/>
        <v/>
      </c>
      <c r="X172" s="515"/>
      <c r="Y172" s="513"/>
      <c r="Z172" s="499"/>
    </row>
    <row r="173" spans="1:26" ht="17.25" customHeight="1">
      <c r="A173" s="514" t="str">
        <f t="shared" si="63"/>
        <v/>
      </c>
      <c r="B173" s="515"/>
      <c r="C173" s="515"/>
      <c r="D173" s="515"/>
      <c r="E173" s="517"/>
      <c r="F173" s="518"/>
      <c r="G173" s="515"/>
      <c r="H173" s="519" t="str">
        <f>_xll.RssMarket("d7","現在値")</f>
        <v/>
      </c>
      <c r="I173" s="519" t="str">
        <f t="array" ref="I173">_xll.RssMarket(B173, "出来高加重平均")</f>
        <v/>
      </c>
      <c r="J173" s="519" t="str">
        <f t="array" ref="J173">_xll.RssMarket(B173, "前日比")</f>
        <v/>
      </c>
      <c r="K173" s="519" t="str">
        <f t="shared" si="64"/>
        <v/>
      </c>
      <c r="L173" s="520" t="str">
        <f t="shared" si="65"/>
        <v/>
      </c>
      <c r="M173" s="519" t="str">
        <f t="shared" si="66"/>
        <v/>
      </c>
      <c r="N173" s="519" t="str">
        <f t="shared" si="67"/>
        <v/>
      </c>
      <c r="O173" s="521" t="str">
        <f t="shared" si="68"/>
        <v/>
      </c>
      <c r="P173" s="519" t="str">
        <f t="array" aca="1" ref="P173" ca="1">IF(B173="","",IFERROR(MAX(OFFSET(高値!$E$6,MATCH(TEXT(B173,"0"),TEXT(銘柄管理!$B$6:$B$305,"0"),0)-1,0,1,10)),""))</f>
        <v/>
      </c>
      <c r="Q173" s="519" t="str">
        <f t="array" aca="1" ref="Q173" ca="1">IF(B173="","",IFERROR(MIN(OFFSET(安値!$E$6,MATCH(TEXT(B173,"0"),TEXT(銘柄管理!$B$6:$B$305,"0"),0)-1,0,1,10)),""))</f>
        <v/>
      </c>
      <c r="R173" s="519" t="str">
        <f t="shared" ref="R173:R190" ca="1" si="71">IF(P173="","",ROUND(P173*0.97,0))</f>
        <v/>
      </c>
      <c r="S173" s="522" t="str">
        <f t="shared" si="69"/>
        <v/>
      </c>
      <c r="T173" s="515"/>
      <c r="U173" s="515"/>
      <c r="V173" s="519" t="str">
        <f t="shared" si="70"/>
        <v/>
      </c>
      <c r="W173" s="523" t="str">
        <f t="shared" ref="W173:W190" ca="1" si="72">IF(OR(E173="",B173=""),"",IF(T173&lt;&gt;"",T173-E173,TODAY()-E173))</f>
        <v/>
      </c>
      <c r="X173" s="515"/>
      <c r="Y173" s="513"/>
      <c r="Z173" s="499"/>
    </row>
    <row r="174" spans="1:26" ht="17.25" customHeight="1">
      <c r="A174" s="514" t="str">
        <f t="shared" si="63"/>
        <v/>
      </c>
      <c r="B174" s="515"/>
      <c r="C174" s="515"/>
      <c r="D174" s="515"/>
      <c r="E174" s="517"/>
      <c r="F174" s="518"/>
      <c r="G174" s="515"/>
      <c r="H174" s="519" t="str">
        <f>_xll.RssMarket("d7","現在値")</f>
        <v/>
      </c>
      <c r="I174" s="519" t="str">
        <f t="array" ref="I174">_xll.RssMarket(B174, "出来高加重平均")</f>
        <v/>
      </c>
      <c r="J174" s="519" t="str">
        <f t="array" ref="J174">_xll.RssMarket(B174, "前日比")</f>
        <v/>
      </c>
      <c r="K174" s="519" t="str">
        <f t="shared" si="64"/>
        <v/>
      </c>
      <c r="L174" s="520" t="str">
        <f t="shared" si="65"/>
        <v/>
      </c>
      <c r="M174" s="519" t="str">
        <f t="shared" si="66"/>
        <v/>
      </c>
      <c r="N174" s="519" t="str">
        <f t="shared" si="67"/>
        <v/>
      </c>
      <c r="O174" s="521" t="str">
        <f t="shared" si="68"/>
        <v/>
      </c>
      <c r="P174" s="519" t="str">
        <f t="array" aca="1" ref="P174" ca="1">IF(B174="","",IFERROR(MAX(OFFSET(高値!$E$6,MATCH(TEXT(B174,"0"),TEXT(銘柄管理!$B$6:$B$305,"0"),0)-1,0,1,10)),""))</f>
        <v/>
      </c>
      <c r="Q174" s="519" t="str">
        <f t="array" aca="1" ref="Q174" ca="1">IF(B174="","",IFERROR(MIN(OFFSET(安値!$E$6,MATCH(TEXT(B174,"0"),TEXT(銘柄管理!$B$6:$B$305,"0"),0)-1,0,1,10)),""))</f>
        <v/>
      </c>
      <c r="R174" s="519" t="str">
        <f t="shared" ca="1" si="71"/>
        <v/>
      </c>
      <c r="S174" s="522" t="str">
        <f t="shared" si="69"/>
        <v/>
      </c>
      <c r="T174" s="515"/>
      <c r="U174" s="515"/>
      <c r="V174" s="519" t="str">
        <f t="shared" si="70"/>
        <v/>
      </c>
      <c r="W174" s="523" t="str">
        <f t="shared" ca="1" si="72"/>
        <v/>
      </c>
      <c r="X174" s="515"/>
      <c r="Y174" s="513"/>
      <c r="Z174" s="499"/>
    </row>
    <row r="175" spans="1:26" ht="17.25" customHeight="1">
      <c r="A175" s="514" t="str">
        <f t="shared" si="63"/>
        <v/>
      </c>
      <c r="B175" s="515"/>
      <c r="C175" s="515"/>
      <c r="D175" s="515"/>
      <c r="E175" s="517"/>
      <c r="F175" s="518"/>
      <c r="G175" s="515"/>
      <c r="H175" s="519" t="str">
        <f>_xll.RssMarket("d7","現在値")</f>
        <v/>
      </c>
      <c r="I175" s="519" t="str">
        <f t="array" ref="I175">_xll.RssMarket(B175, "出来高加重平均")</f>
        <v/>
      </c>
      <c r="J175" s="519" t="str">
        <f t="array" ref="J175">_xll.RssMarket(B175, "前日比")</f>
        <v/>
      </c>
      <c r="K175" s="519" t="str">
        <f t="shared" si="64"/>
        <v/>
      </c>
      <c r="L175" s="520" t="str">
        <f t="shared" si="65"/>
        <v/>
      </c>
      <c r="M175" s="519" t="str">
        <f t="shared" si="66"/>
        <v/>
      </c>
      <c r="N175" s="519" t="str">
        <f t="shared" si="67"/>
        <v/>
      </c>
      <c r="O175" s="521" t="str">
        <f t="shared" si="68"/>
        <v/>
      </c>
      <c r="P175" s="519" t="str">
        <f t="array" aca="1" ref="P175" ca="1">IF(B175="","",IFERROR(MAX(OFFSET(高値!$E$6,MATCH(TEXT(B175,"0"),TEXT(銘柄管理!$B$6:$B$305,"0"),0)-1,0,1,10)),""))</f>
        <v/>
      </c>
      <c r="Q175" s="519" t="str">
        <f t="array" aca="1" ref="Q175" ca="1">IF(B175="","",IFERROR(MIN(OFFSET(安値!$E$6,MATCH(TEXT(B175,"0"),TEXT(銘柄管理!$B$6:$B$305,"0"),0)-1,0,1,10)),""))</f>
        <v/>
      </c>
      <c r="R175" s="519" t="str">
        <f t="shared" ca="1" si="71"/>
        <v/>
      </c>
      <c r="S175" s="522" t="str">
        <f t="shared" si="69"/>
        <v/>
      </c>
      <c r="T175" s="515"/>
      <c r="U175" s="515"/>
      <c r="V175" s="519" t="str">
        <f t="shared" si="70"/>
        <v/>
      </c>
      <c r="W175" s="523" t="str">
        <f t="shared" ca="1" si="72"/>
        <v/>
      </c>
      <c r="X175" s="515"/>
      <c r="Y175" s="513"/>
      <c r="Z175" s="499"/>
    </row>
    <row r="176" spans="1:26" ht="17.25" customHeight="1">
      <c r="A176" s="514" t="str">
        <f t="shared" si="63"/>
        <v/>
      </c>
      <c r="B176" s="515"/>
      <c r="C176" s="515"/>
      <c r="D176" s="515"/>
      <c r="E176" s="517"/>
      <c r="F176" s="518"/>
      <c r="G176" s="515"/>
      <c r="H176" s="519" t="str">
        <f>_xll.RssMarket("d7","現在値")</f>
        <v/>
      </c>
      <c r="I176" s="519" t="str">
        <f t="array" ref="I176">_xll.RssMarket(B176, "出来高加重平均")</f>
        <v/>
      </c>
      <c r="J176" s="519" t="str">
        <f t="array" ref="J176">_xll.RssMarket(B176, "前日比")</f>
        <v/>
      </c>
      <c r="K176" s="519" t="str">
        <f t="shared" si="64"/>
        <v/>
      </c>
      <c r="L176" s="520" t="str">
        <f t="shared" si="65"/>
        <v/>
      </c>
      <c r="M176" s="519" t="str">
        <f t="shared" si="66"/>
        <v/>
      </c>
      <c r="N176" s="519" t="str">
        <f t="shared" si="67"/>
        <v/>
      </c>
      <c r="O176" s="521" t="str">
        <f t="shared" si="68"/>
        <v/>
      </c>
      <c r="P176" s="519" t="str">
        <f t="array" aca="1" ref="P176" ca="1">IF(B176="","",IFERROR(MAX(OFFSET(高値!$E$6,MATCH(TEXT(B176,"0"),TEXT(銘柄管理!$B$6:$B$305,"0"),0)-1,0,1,10)),""))</f>
        <v/>
      </c>
      <c r="Q176" s="519" t="str">
        <f t="array" aca="1" ref="Q176" ca="1">IF(B176="","",IFERROR(MIN(OFFSET(安値!$E$6,MATCH(TEXT(B176,"0"),TEXT(銘柄管理!$B$6:$B$305,"0"),0)-1,0,1,10)),""))</f>
        <v/>
      </c>
      <c r="R176" s="519" t="str">
        <f t="shared" ca="1" si="71"/>
        <v/>
      </c>
      <c r="S176" s="522" t="str">
        <f t="shared" si="69"/>
        <v/>
      </c>
      <c r="T176" s="515"/>
      <c r="U176" s="515"/>
      <c r="V176" s="519" t="str">
        <f t="shared" si="70"/>
        <v/>
      </c>
      <c r="W176" s="523" t="str">
        <f t="shared" ca="1" si="72"/>
        <v/>
      </c>
      <c r="X176" s="515"/>
      <c r="Y176" s="513"/>
      <c r="Z176" s="499"/>
    </row>
    <row r="177" spans="1:26" ht="17.25" customHeight="1">
      <c r="A177" s="514" t="str">
        <f t="shared" si="63"/>
        <v/>
      </c>
      <c r="B177" s="515"/>
      <c r="C177" s="515"/>
      <c r="D177" s="515"/>
      <c r="E177" s="517"/>
      <c r="F177" s="518"/>
      <c r="G177" s="515"/>
      <c r="H177" s="519" t="str">
        <f>_xll.RssMarket("d7","現在値")</f>
        <v/>
      </c>
      <c r="I177" s="519" t="str">
        <f t="array" ref="I177">_xll.RssMarket(B177, "出来高加重平均")</f>
        <v/>
      </c>
      <c r="J177" s="519" t="str">
        <f t="array" ref="J177">_xll.RssMarket(B177, "前日比")</f>
        <v/>
      </c>
      <c r="K177" s="519" t="str">
        <f t="shared" si="64"/>
        <v/>
      </c>
      <c r="L177" s="520" t="str">
        <f t="shared" si="65"/>
        <v/>
      </c>
      <c r="M177" s="519" t="str">
        <f t="shared" si="66"/>
        <v/>
      </c>
      <c r="N177" s="519" t="str">
        <f t="shared" si="67"/>
        <v/>
      </c>
      <c r="O177" s="521" t="str">
        <f t="shared" si="68"/>
        <v/>
      </c>
      <c r="P177" s="519" t="str">
        <f t="array" aca="1" ref="P177" ca="1">IF(B177="","",IFERROR(MAX(OFFSET(高値!$E$6,MATCH(TEXT(B177,"0"),TEXT(銘柄管理!$B$6:$B$305,"0"),0)-1,0,1,10)),""))</f>
        <v/>
      </c>
      <c r="Q177" s="519" t="str">
        <f t="array" aca="1" ref="Q177" ca="1">IF(B177="","",IFERROR(MIN(OFFSET(安値!$E$6,MATCH(TEXT(B177,"0"),TEXT(銘柄管理!$B$6:$B$305,"0"),0)-1,0,1,10)),""))</f>
        <v/>
      </c>
      <c r="R177" s="519" t="str">
        <f t="shared" ca="1" si="71"/>
        <v/>
      </c>
      <c r="S177" s="522" t="str">
        <f t="shared" si="69"/>
        <v/>
      </c>
      <c r="T177" s="515"/>
      <c r="U177" s="515"/>
      <c r="V177" s="519" t="str">
        <f t="shared" si="70"/>
        <v/>
      </c>
      <c r="W177" s="523" t="str">
        <f t="shared" ca="1" si="72"/>
        <v/>
      </c>
      <c r="X177" s="515"/>
      <c r="Y177" s="513"/>
      <c r="Z177" s="499"/>
    </row>
    <row r="178" spans="1:26" ht="17.25" customHeight="1">
      <c r="A178" s="514" t="str">
        <f t="shared" si="63"/>
        <v/>
      </c>
      <c r="B178" s="515"/>
      <c r="C178" s="515"/>
      <c r="D178" s="515"/>
      <c r="E178" s="517"/>
      <c r="F178" s="518"/>
      <c r="G178" s="515"/>
      <c r="H178" s="519" t="str">
        <f>_xll.RssMarket("d7","現在値")</f>
        <v/>
      </c>
      <c r="I178" s="519" t="str">
        <f t="array" ref="I178">_xll.RssMarket(B178, "出来高加重平均")</f>
        <v/>
      </c>
      <c r="J178" s="519" t="str">
        <f t="array" ref="J178">_xll.RssMarket(B178, "前日比")</f>
        <v/>
      </c>
      <c r="K178" s="519" t="str">
        <f t="shared" si="64"/>
        <v/>
      </c>
      <c r="L178" s="520" t="str">
        <f t="shared" si="65"/>
        <v/>
      </c>
      <c r="M178" s="519" t="str">
        <f t="shared" si="66"/>
        <v/>
      </c>
      <c r="N178" s="519" t="str">
        <f t="shared" si="67"/>
        <v/>
      </c>
      <c r="O178" s="521" t="str">
        <f t="shared" si="68"/>
        <v/>
      </c>
      <c r="P178" s="519" t="str">
        <f t="array" aca="1" ref="P178" ca="1">IF(B178="","",IFERROR(MAX(OFFSET(高値!$E$6,MATCH(TEXT(B178,"0"),TEXT(銘柄管理!$B$6:$B$305,"0"),0)-1,0,1,10)),""))</f>
        <v/>
      </c>
      <c r="Q178" s="519" t="str">
        <f t="array" aca="1" ref="Q178" ca="1">IF(B178="","",IFERROR(MIN(OFFSET(安値!$E$6,MATCH(TEXT(B178,"0"),TEXT(銘柄管理!$B$6:$B$305,"0"),0)-1,0,1,10)),""))</f>
        <v/>
      </c>
      <c r="R178" s="519" t="str">
        <f t="shared" ca="1" si="71"/>
        <v/>
      </c>
      <c r="S178" s="522" t="str">
        <f t="shared" si="69"/>
        <v/>
      </c>
      <c r="T178" s="515"/>
      <c r="U178" s="515"/>
      <c r="V178" s="519" t="str">
        <f t="shared" si="70"/>
        <v/>
      </c>
      <c r="W178" s="523" t="str">
        <f t="shared" ca="1" si="72"/>
        <v/>
      </c>
      <c r="X178" s="515"/>
      <c r="Y178" s="513"/>
      <c r="Z178" s="499"/>
    </row>
    <row r="179" spans="1:26" ht="17.25" customHeight="1">
      <c r="A179" s="514" t="str">
        <f t="shared" si="63"/>
        <v/>
      </c>
      <c r="B179" s="515"/>
      <c r="C179" s="515"/>
      <c r="D179" s="515"/>
      <c r="E179" s="517"/>
      <c r="F179" s="518"/>
      <c r="G179" s="515"/>
      <c r="H179" s="519" t="str">
        <f>_xll.RssMarket("d7","現在値")</f>
        <v/>
      </c>
      <c r="I179" s="519" t="str">
        <f t="array" ref="I179">_xll.RssMarket(B179, "出来高加重平均")</f>
        <v/>
      </c>
      <c r="J179" s="519" t="str">
        <f t="array" ref="J179">_xll.RssMarket(B179, "前日比")</f>
        <v/>
      </c>
      <c r="K179" s="519" t="str">
        <f t="shared" si="64"/>
        <v/>
      </c>
      <c r="L179" s="520" t="str">
        <f t="shared" si="65"/>
        <v/>
      </c>
      <c r="M179" s="519" t="str">
        <f t="shared" si="66"/>
        <v/>
      </c>
      <c r="N179" s="519" t="str">
        <f t="shared" si="67"/>
        <v/>
      </c>
      <c r="O179" s="521" t="str">
        <f t="shared" si="68"/>
        <v/>
      </c>
      <c r="P179" s="519" t="str">
        <f t="array" aca="1" ref="P179" ca="1">IF(B179="","",IFERROR(MAX(OFFSET(高値!$E$6,MATCH(TEXT(B179,"0"),TEXT(銘柄管理!$B$6:$B$305,"0"),0)-1,0,1,10)),""))</f>
        <v/>
      </c>
      <c r="Q179" s="519" t="str">
        <f t="array" aca="1" ref="Q179" ca="1">IF(B179="","",IFERROR(MIN(OFFSET(安値!$E$6,MATCH(TEXT(B179,"0"),TEXT(銘柄管理!$B$6:$B$305,"0"),0)-1,0,1,10)),""))</f>
        <v/>
      </c>
      <c r="R179" s="519" t="str">
        <f t="shared" ca="1" si="71"/>
        <v/>
      </c>
      <c r="S179" s="522" t="str">
        <f t="shared" si="69"/>
        <v/>
      </c>
      <c r="T179" s="515"/>
      <c r="U179" s="515"/>
      <c r="V179" s="519" t="str">
        <f t="shared" si="70"/>
        <v/>
      </c>
      <c r="W179" s="523" t="str">
        <f t="shared" ca="1" si="72"/>
        <v/>
      </c>
      <c r="X179" s="515"/>
      <c r="Y179" s="513"/>
      <c r="Z179" s="499"/>
    </row>
    <row r="180" spans="1:26" ht="17.25" customHeight="1">
      <c r="A180" s="514" t="str">
        <f t="shared" si="63"/>
        <v/>
      </c>
      <c r="B180" s="515"/>
      <c r="C180" s="515"/>
      <c r="D180" s="515"/>
      <c r="E180" s="517"/>
      <c r="F180" s="518"/>
      <c r="G180" s="515"/>
      <c r="H180" s="519" t="str">
        <f>_xll.RssMarket("d7","現在値")</f>
        <v/>
      </c>
      <c r="I180" s="519" t="str">
        <f t="array" ref="I180">_xll.RssMarket(B180, "出来高加重平均")</f>
        <v/>
      </c>
      <c r="J180" s="519" t="str">
        <f t="array" ref="J180">_xll.RssMarket(B180, "前日比")</f>
        <v/>
      </c>
      <c r="K180" s="519" t="str">
        <f t="shared" si="64"/>
        <v/>
      </c>
      <c r="L180" s="520" t="str">
        <f t="shared" si="65"/>
        <v/>
      </c>
      <c r="M180" s="519" t="str">
        <f t="shared" si="66"/>
        <v/>
      </c>
      <c r="N180" s="519" t="str">
        <f t="shared" si="67"/>
        <v/>
      </c>
      <c r="O180" s="521" t="str">
        <f t="shared" si="68"/>
        <v/>
      </c>
      <c r="P180" s="519" t="str">
        <f t="array" aca="1" ref="P180" ca="1">IF(B180="","",IFERROR(MAX(OFFSET(高値!$E$6,MATCH(TEXT(B180,"0"),TEXT(銘柄管理!$B$6:$B$305,"0"),0)-1,0,1,10)),""))</f>
        <v/>
      </c>
      <c r="Q180" s="519" t="str">
        <f t="array" aca="1" ref="Q180" ca="1">IF(B180="","",IFERROR(MIN(OFFSET(安値!$E$6,MATCH(TEXT(B180,"0"),TEXT(銘柄管理!$B$6:$B$305,"0"),0)-1,0,1,10)),""))</f>
        <v/>
      </c>
      <c r="R180" s="519" t="str">
        <f t="shared" ca="1" si="71"/>
        <v/>
      </c>
      <c r="S180" s="522" t="str">
        <f t="shared" si="69"/>
        <v/>
      </c>
      <c r="T180" s="515"/>
      <c r="U180" s="515"/>
      <c r="V180" s="519" t="str">
        <f t="shared" si="70"/>
        <v/>
      </c>
      <c r="W180" s="523" t="str">
        <f t="shared" ca="1" si="72"/>
        <v/>
      </c>
      <c r="X180" s="515"/>
      <c r="Y180" s="513"/>
      <c r="Z180" s="499"/>
    </row>
    <row r="181" spans="1:26" ht="17.25" customHeight="1">
      <c r="A181" s="514" t="str">
        <f t="shared" si="63"/>
        <v/>
      </c>
      <c r="B181" s="515"/>
      <c r="C181" s="515"/>
      <c r="D181" s="515"/>
      <c r="E181" s="517"/>
      <c r="F181" s="518"/>
      <c r="G181" s="515"/>
      <c r="H181" s="519" t="str">
        <f>_xll.RssMarket("d7","現在値")</f>
        <v/>
      </c>
      <c r="I181" s="519" t="str">
        <f t="array" ref="I181">_xll.RssMarket(B181, "出来高加重平均")</f>
        <v/>
      </c>
      <c r="J181" s="519" t="str">
        <f t="array" ref="J181">_xll.RssMarket(B181, "前日比")</f>
        <v/>
      </c>
      <c r="K181" s="519" t="str">
        <f t="shared" si="64"/>
        <v/>
      </c>
      <c r="L181" s="520" t="str">
        <f t="shared" si="65"/>
        <v/>
      </c>
      <c r="M181" s="519" t="str">
        <f t="shared" si="66"/>
        <v/>
      </c>
      <c r="N181" s="519" t="str">
        <f t="shared" si="67"/>
        <v/>
      </c>
      <c r="O181" s="521" t="str">
        <f t="shared" si="68"/>
        <v/>
      </c>
      <c r="P181" s="519" t="str">
        <f t="array" aca="1" ref="P181" ca="1">IF(B181="","",IFERROR(MAX(OFFSET(高値!$E$6,MATCH(TEXT(B181,"0"),TEXT(銘柄管理!$B$6:$B$305,"0"),0)-1,0,1,10)),""))</f>
        <v/>
      </c>
      <c r="Q181" s="519" t="str">
        <f t="array" aca="1" ref="Q181" ca="1">IF(B181="","",IFERROR(MIN(OFFSET(安値!$E$6,MATCH(TEXT(B181,"0"),TEXT(銘柄管理!$B$6:$B$305,"0"),0)-1,0,1,10)),""))</f>
        <v/>
      </c>
      <c r="R181" s="519" t="str">
        <f t="shared" ca="1" si="71"/>
        <v/>
      </c>
      <c r="S181" s="522" t="str">
        <f t="shared" si="69"/>
        <v/>
      </c>
      <c r="T181" s="515"/>
      <c r="U181" s="515"/>
      <c r="V181" s="519" t="str">
        <f t="shared" si="70"/>
        <v/>
      </c>
      <c r="W181" s="523" t="str">
        <f t="shared" ca="1" si="72"/>
        <v/>
      </c>
      <c r="X181" s="515"/>
      <c r="Y181" s="513"/>
      <c r="Z181" s="499"/>
    </row>
    <row r="182" spans="1:26" ht="17.25" customHeight="1">
      <c r="A182" s="514" t="str">
        <f t="shared" si="63"/>
        <v/>
      </c>
      <c r="B182" s="515"/>
      <c r="C182" s="515"/>
      <c r="D182" s="515"/>
      <c r="E182" s="517"/>
      <c r="F182" s="518"/>
      <c r="G182" s="515"/>
      <c r="H182" s="519" t="str">
        <f>_xll.RssMarket("d7","現在値")</f>
        <v/>
      </c>
      <c r="I182" s="519" t="str">
        <f t="array" ref="I182">_xll.RssMarket(B182, "出来高加重平均")</f>
        <v/>
      </c>
      <c r="J182" s="519" t="str">
        <f t="array" ref="J182">_xll.RssMarket(B182, "前日比")</f>
        <v/>
      </c>
      <c r="K182" s="519" t="str">
        <f t="shared" si="64"/>
        <v/>
      </c>
      <c r="L182" s="520" t="str">
        <f t="shared" si="65"/>
        <v/>
      </c>
      <c r="M182" s="519" t="str">
        <f t="shared" si="66"/>
        <v/>
      </c>
      <c r="N182" s="519" t="str">
        <f t="shared" si="67"/>
        <v/>
      </c>
      <c r="O182" s="521" t="str">
        <f t="shared" si="68"/>
        <v/>
      </c>
      <c r="P182" s="519" t="str">
        <f t="array" aca="1" ref="P182" ca="1">IF(B182="","",IFERROR(MAX(OFFSET(高値!$E$6,MATCH(TEXT(B182,"0"),TEXT(銘柄管理!$B$6:$B$305,"0"),0)-1,0,1,10)),""))</f>
        <v/>
      </c>
      <c r="Q182" s="519" t="str">
        <f t="array" aca="1" ref="Q182" ca="1">IF(B182="","",IFERROR(MIN(OFFSET(安値!$E$6,MATCH(TEXT(B182,"0"),TEXT(銘柄管理!$B$6:$B$305,"0"),0)-1,0,1,10)),""))</f>
        <v/>
      </c>
      <c r="R182" s="519" t="str">
        <f t="shared" ca="1" si="71"/>
        <v/>
      </c>
      <c r="S182" s="522" t="str">
        <f t="shared" si="69"/>
        <v/>
      </c>
      <c r="T182" s="515"/>
      <c r="U182" s="515"/>
      <c r="V182" s="519" t="str">
        <f t="shared" si="70"/>
        <v/>
      </c>
      <c r="W182" s="523" t="str">
        <f t="shared" ca="1" si="72"/>
        <v/>
      </c>
      <c r="X182" s="515"/>
      <c r="Y182" s="513"/>
      <c r="Z182" s="499"/>
    </row>
    <row r="183" spans="1:26" ht="17.25" customHeight="1">
      <c r="A183" s="514" t="str">
        <f t="shared" si="63"/>
        <v/>
      </c>
      <c r="B183" s="515"/>
      <c r="C183" s="515"/>
      <c r="D183" s="515"/>
      <c r="E183" s="517"/>
      <c r="F183" s="518"/>
      <c r="G183" s="515"/>
      <c r="H183" s="519" t="str">
        <f>_xll.RssMarket("d7","現在値")</f>
        <v/>
      </c>
      <c r="I183" s="519" t="str">
        <f t="array" ref="I183">_xll.RssMarket(B183, "出来高加重平均")</f>
        <v/>
      </c>
      <c r="J183" s="519" t="str">
        <f t="array" ref="J183">_xll.RssMarket(B183, "前日比")</f>
        <v/>
      </c>
      <c r="K183" s="519" t="str">
        <f t="shared" ref="K183:K190" si="73">IF(OR(F183="",G183="",H183=""),"",(H183-F183)*G183)</f>
        <v/>
      </c>
      <c r="L183" s="520" t="str">
        <f t="shared" ref="L183:L190" si="74">IF(OR(F183="",H183=""),"",(H183-F183)/F183)</f>
        <v/>
      </c>
      <c r="M183" s="519" t="str">
        <f t="shared" ref="M183:M190" si="75">IF(F183="","",F183*1.07)</f>
        <v/>
      </c>
      <c r="N183" s="519" t="str">
        <f t="shared" ref="N183:N190" si="76">IF(F183="","",F183*0.96)</f>
        <v/>
      </c>
      <c r="O183" s="521" t="str">
        <f t="shared" ref="O183:O190" si="77">IF(B183="","",IF(H183="","保有中",IF(H183&gt;=M183,"🟢利確推奨",IF(H183&gt;=F183*1.06,"🟡利確&amp;TR STOP検討",IF(H183&lt;=N183,"🔴損切推奨",IF(H183&lt;=F183*0.965,"🔴損切間近",IF(H183&lt;=F183*0.97,"⚠️-3%注意",IF(H183&lt;=F183*0.96,"🟡STOP推奨","保持継続"))))))))</f>
        <v/>
      </c>
      <c r="P183" s="519" t="str">
        <f t="array" aca="1" ref="P183" ca="1">IF(B183="","",IFERROR(MAX(OFFSET(高値!$E$6,MATCH(TEXT(B183,"0"),TEXT(銘柄管理!$B$6:$B$305,"0"),0)-1,0,1,10)),""))</f>
        <v/>
      </c>
      <c r="Q183" s="519" t="str">
        <f t="array" aca="1" ref="Q183" ca="1">IF(B183="","",IFERROR(MIN(OFFSET(安値!$E$6,MATCH(TEXT(B183,"0"),TEXT(銘柄管理!$B$6:$B$305,"0"),0)-1,0,1,10)),""))</f>
        <v/>
      </c>
      <c r="R183" s="519" t="str">
        <f t="shared" ca="1" si="71"/>
        <v/>
      </c>
      <c r="S183" s="522" t="str">
        <f t="shared" ref="S183:S190" si="78">IF(B183="","",IF(T183&lt;&gt;"","?売却済",IF(H183="","?保有中",IF(H183&gt;=M183,"??利確推奨",IF(H183&lt;=N183,"??損切推奨",IF(H183&lt;=R183,"??STOP推奨","?保有中"))))))</f>
        <v/>
      </c>
      <c r="T183" s="515"/>
      <c r="U183" s="515"/>
      <c r="V183" s="519" t="str">
        <f t="shared" ref="V183:V190" si="79">IF(OR(F183="",G183="",U183=""),"",(U183-F183)*G183)</f>
        <v/>
      </c>
      <c r="W183" s="523" t="str">
        <f t="shared" ca="1" si="72"/>
        <v/>
      </c>
      <c r="X183" s="515"/>
      <c r="Y183" s="513"/>
      <c r="Z183" s="499"/>
    </row>
    <row r="184" spans="1:26" ht="17.25" customHeight="1">
      <c r="A184" s="514" t="str">
        <f t="shared" si="63"/>
        <v/>
      </c>
      <c r="B184" s="515"/>
      <c r="C184" s="515"/>
      <c r="D184" s="515"/>
      <c r="E184" s="517"/>
      <c r="F184" s="518"/>
      <c r="G184" s="515"/>
      <c r="H184" s="519" t="str">
        <f>_xll.RssMarket("d7","現在値")</f>
        <v/>
      </c>
      <c r="I184" s="519" t="str">
        <f t="array" ref="I184">_xll.RssMarket(B184, "出来高加重平均")</f>
        <v/>
      </c>
      <c r="J184" s="519" t="str">
        <f t="array" ref="J184">_xll.RssMarket(B184, "前日比")</f>
        <v/>
      </c>
      <c r="K184" s="519" t="str">
        <f t="shared" si="73"/>
        <v/>
      </c>
      <c r="L184" s="520" t="str">
        <f t="shared" si="74"/>
        <v/>
      </c>
      <c r="M184" s="519" t="str">
        <f t="shared" si="75"/>
        <v/>
      </c>
      <c r="N184" s="519" t="str">
        <f t="shared" si="76"/>
        <v/>
      </c>
      <c r="O184" s="521" t="str">
        <f t="shared" si="77"/>
        <v/>
      </c>
      <c r="P184" s="519" t="str">
        <f t="array" aca="1" ref="P184" ca="1">IF(B184="","",IFERROR(MAX(OFFSET(高値!$E$6,MATCH(TEXT(B184,"0"),TEXT(銘柄管理!$B$6:$B$305,"0"),0)-1,0,1,10)),""))</f>
        <v/>
      </c>
      <c r="Q184" s="519" t="str">
        <f t="array" aca="1" ref="Q184" ca="1">IF(B184="","",IFERROR(MIN(OFFSET(安値!$E$6,MATCH(TEXT(B184,"0"),TEXT(銘柄管理!$B$6:$B$305,"0"),0)-1,0,1,10)),""))</f>
        <v/>
      </c>
      <c r="R184" s="519" t="str">
        <f t="shared" ca="1" si="71"/>
        <v/>
      </c>
      <c r="S184" s="522" t="str">
        <f t="shared" si="78"/>
        <v/>
      </c>
      <c r="T184" s="515"/>
      <c r="U184" s="515"/>
      <c r="V184" s="519" t="str">
        <f t="shared" si="79"/>
        <v/>
      </c>
      <c r="W184" s="523" t="str">
        <f t="shared" ca="1" si="72"/>
        <v/>
      </c>
      <c r="X184" s="515"/>
      <c r="Y184" s="513"/>
      <c r="Z184" s="499"/>
    </row>
    <row r="185" spans="1:26" ht="17.25" customHeight="1">
      <c r="A185" s="514" t="str">
        <f t="shared" si="63"/>
        <v/>
      </c>
      <c r="B185" s="515"/>
      <c r="C185" s="515"/>
      <c r="D185" s="515"/>
      <c r="E185" s="517"/>
      <c r="F185" s="518"/>
      <c r="G185" s="515"/>
      <c r="H185" s="519" t="str">
        <f>_xll.RssMarket("d7","現在値")</f>
        <v/>
      </c>
      <c r="I185" s="519" t="str">
        <f t="array" ref="I185">_xll.RssMarket(B185, "出来高加重平均")</f>
        <v/>
      </c>
      <c r="J185" s="519" t="str">
        <f t="array" ref="J185">_xll.RssMarket(B185, "前日比")</f>
        <v/>
      </c>
      <c r="K185" s="519" t="str">
        <f t="shared" si="73"/>
        <v/>
      </c>
      <c r="L185" s="520" t="str">
        <f t="shared" si="74"/>
        <v/>
      </c>
      <c r="M185" s="519" t="str">
        <f t="shared" si="75"/>
        <v/>
      </c>
      <c r="N185" s="519" t="str">
        <f t="shared" si="76"/>
        <v/>
      </c>
      <c r="O185" s="521" t="str">
        <f t="shared" si="77"/>
        <v/>
      </c>
      <c r="P185" s="519" t="str">
        <f t="array" aca="1" ref="P185" ca="1">IF(B185="","",IFERROR(MAX(OFFSET(高値!$E$6,MATCH(TEXT(B185,"0"),TEXT(銘柄管理!$B$6:$B$305,"0"),0)-1,0,1,10)),""))</f>
        <v/>
      </c>
      <c r="Q185" s="519" t="str">
        <f t="array" aca="1" ref="Q185" ca="1">IF(B185="","",IFERROR(MIN(OFFSET(安値!$E$6,MATCH(TEXT(B185,"0"),TEXT(銘柄管理!$B$6:$B$305,"0"),0)-1,0,1,10)),""))</f>
        <v/>
      </c>
      <c r="R185" s="519" t="str">
        <f t="shared" ca="1" si="71"/>
        <v/>
      </c>
      <c r="S185" s="522" t="str">
        <f t="shared" si="78"/>
        <v/>
      </c>
      <c r="T185" s="515"/>
      <c r="U185" s="515"/>
      <c r="V185" s="519" t="str">
        <f t="shared" si="79"/>
        <v/>
      </c>
      <c r="W185" s="523" t="str">
        <f t="shared" ca="1" si="72"/>
        <v/>
      </c>
      <c r="X185" s="515"/>
      <c r="Y185" s="513"/>
      <c r="Z185" s="499"/>
    </row>
    <row r="186" spans="1:26" ht="17.25" customHeight="1">
      <c r="A186" s="514" t="str">
        <f t="shared" si="63"/>
        <v/>
      </c>
      <c r="B186" s="515"/>
      <c r="C186" s="515"/>
      <c r="D186" s="515"/>
      <c r="E186" s="517"/>
      <c r="F186" s="518"/>
      <c r="G186" s="515"/>
      <c r="H186" s="519" t="str">
        <f>_xll.RssMarket("d7","現在値")</f>
        <v/>
      </c>
      <c r="I186" s="519" t="str">
        <f t="array" ref="I186">_xll.RssMarket(B186, "出来高加重平均")</f>
        <v/>
      </c>
      <c r="J186" s="519"/>
      <c r="K186" s="519" t="str">
        <f t="shared" si="73"/>
        <v/>
      </c>
      <c r="L186" s="520" t="str">
        <f t="shared" si="74"/>
        <v/>
      </c>
      <c r="M186" s="519" t="str">
        <f t="shared" si="75"/>
        <v/>
      </c>
      <c r="N186" s="519" t="str">
        <f t="shared" si="76"/>
        <v/>
      </c>
      <c r="O186" s="521" t="str">
        <f t="shared" si="77"/>
        <v/>
      </c>
      <c r="P186" s="519" t="str">
        <f t="array" aca="1" ref="P186" ca="1">IF(B186="","",IFERROR(MAX(OFFSET(高値!$E$6,MATCH(TEXT(B186,"0"),TEXT(銘柄管理!$B$6:$B$305,"0"),0)-1,0,1,10)),""))</f>
        <v/>
      </c>
      <c r="Q186" s="519" t="str">
        <f t="array" aca="1" ref="Q186" ca="1">IF(B186="","",IFERROR(MIN(OFFSET(安値!$E$6,MATCH(TEXT(B186,"0"),TEXT(銘柄管理!$B$6:$B$305,"0"),0)-1,0,1,10)),""))</f>
        <v/>
      </c>
      <c r="R186" s="519" t="str">
        <f t="shared" ca="1" si="71"/>
        <v/>
      </c>
      <c r="S186" s="522" t="str">
        <f t="shared" si="78"/>
        <v/>
      </c>
      <c r="T186" s="515"/>
      <c r="U186" s="515"/>
      <c r="V186" s="519" t="str">
        <f t="shared" si="79"/>
        <v/>
      </c>
      <c r="W186" s="523" t="str">
        <f t="shared" ca="1" si="72"/>
        <v/>
      </c>
      <c r="X186" s="515"/>
      <c r="Y186" s="513"/>
      <c r="Z186" s="499"/>
    </row>
    <row r="187" spans="1:26" ht="17.25" customHeight="1">
      <c r="A187" s="514" t="str">
        <f t="shared" si="63"/>
        <v/>
      </c>
      <c r="B187" s="515"/>
      <c r="C187" s="515"/>
      <c r="D187" s="515"/>
      <c r="E187" s="517"/>
      <c r="F187" s="518"/>
      <c r="G187" s="515"/>
      <c r="H187" s="519" t="str">
        <f>_xll.RssMarket("d7","現在値")</f>
        <v/>
      </c>
      <c r="I187" s="519" t="str">
        <f t="array" ref="I187">_xll.RssMarket(B187, "出来高加重平均")</f>
        <v/>
      </c>
      <c r="J187" s="519"/>
      <c r="K187" s="519" t="str">
        <f t="shared" si="73"/>
        <v/>
      </c>
      <c r="L187" s="520" t="str">
        <f t="shared" si="74"/>
        <v/>
      </c>
      <c r="M187" s="519" t="str">
        <f t="shared" si="75"/>
        <v/>
      </c>
      <c r="N187" s="519" t="str">
        <f t="shared" si="76"/>
        <v/>
      </c>
      <c r="O187" s="521" t="str">
        <f t="shared" si="77"/>
        <v/>
      </c>
      <c r="P187" s="519" t="str">
        <f t="array" aca="1" ref="P187" ca="1">IF(B187="","",IFERROR(MAX(OFFSET(高値!$E$6,MATCH(TEXT(B187,"0"),TEXT(銘柄管理!$B$6:$B$305,"0"),0)-1,0,1,10)),""))</f>
        <v/>
      </c>
      <c r="Q187" s="519" t="str">
        <f t="array" aca="1" ref="Q187" ca="1">IF(B187="","",IFERROR(MIN(OFFSET(安値!$E$6,MATCH(TEXT(B187,"0"),TEXT(銘柄管理!$B$6:$B$305,"0"),0)-1,0,1,10)),""))</f>
        <v/>
      </c>
      <c r="R187" s="519" t="str">
        <f t="shared" ca="1" si="71"/>
        <v/>
      </c>
      <c r="S187" s="522" t="str">
        <f t="shared" si="78"/>
        <v/>
      </c>
      <c r="T187" s="515"/>
      <c r="U187" s="515"/>
      <c r="V187" s="519" t="str">
        <f t="shared" si="79"/>
        <v/>
      </c>
      <c r="W187" s="523" t="str">
        <f t="shared" ca="1" si="72"/>
        <v/>
      </c>
      <c r="X187" s="515"/>
      <c r="Y187" s="513"/>
      <c r="Z187" s="499"/>
    </row>
    <row r="188" spans="1:26" ht="17.25" customHeight="1">
      <c r="A188" s="498" t="str">
        <f t="shared" si="63"/>
        <v/>
      </c>
      <c r="B188" s="449"/>
      <c r="C188" s="449"/>
      <c r="D188" s="449"/>
      <c r="E188" s="450"/>
      <c r="F188" s="451"/>
      <c r="G188" s="449"/>
      <c r="H188" s="452" t="str">
        <f>_xll.RssMarket("d7","現在値")</f>
        <v/>
      </c>
      <c r="I188" s="452" t="str">
        <f t="array" ref="I188">_xll.RssMarket(B188, "出来高加重平均")</f>
        <v/>
      </c>
      <c r="J188" s="452"/>
      <c r="K188" s="452" t="str">
        <f t="shared" si="73"/>
        <v/>
      </c>
      <c r="L188" s="453" t="str">
        <f t="shared" si="74"/>
        <v/>
      </c>
      <c r="M188" s="452" t="str">
        <f t="shared" si="75"/>
        <v/>
      </c>
      <c r="N188" s="452" t="str">
        <f t="shared" si="76"/>
        <v/>
      </c>
      <c r="O188" s="489" t="str">
        <f t="shared" si="77"/>
        <v/>
      </c>
      <c r="P188" s="452" t="str">
        <f t="array" aca="1" ref="P188" ca="1">IF(B188="","",IFERROR(MAX(OFFSET(高値!$E$6,MATCH(TEXT(B188,"0"),TEXT(銘柄管理!$B$6:$B$305,"0"),0)-1,0,1,10)),""))</f>
        <v/>
      </c>
      <c r="Q188" s="452" t="str">
        <f t="array" aca="1" ref="Q188" ca="1">IF(B188="","",IFERROR(MIN(OFFSET(安値!$E$6,MATCH(TEXT(B188,"0"),TEXT(銘柄管理!$B$6:$B$305,"0"),0)-1,0,1,10)),""))</f>
        <v/>
      </c>
      <c r="R188" s="452" t="str">
        <f t="shared" ca="1" si="71"/>
        <v/>
      </c>
      <c r="S188" s="481" t="str">
        <f t="shared" si="78"/>
        <v/>
      </c>
      <c r="T188" s="449"/>
      <c r="U188" s="449"/>
      <c r="V188" s="452" t="str">
        <f t="shared" si="79"/>
        <v/>
      </c>
      <c r="W188" s="454" t="str">
        <f t="shared" ca="1" si="72"/>
        <v/>
      </c>
      <c r="X188" s="449"/>
      <c r="Y188" s="499"/>
      <c r="Z188" s="499"/>
    </row>
    <row r="189" spans="1:26" ht="17.25" customHeight="1">
      <c r="A189" s="498" t="str">
        <f t="shared" si="63"/>
        <v/>
      </c>
      <c r="B189" s="449"/>
      <c r="C189" s="449"/>
      <c r="D189" s="449"/>
      <c r="E189" s="450"/>
      <c r="F189" s="451"/>
      <c r="G189" s="449"/>
      <c r="H189" s="452" t="str">
        <f>_xll.RssMarket("d7","現在値")</f>
        <v/>
      </c>
      <c r="I189" s="452" t="str">
        <f t="array" ref="I189">_xll.RssMarket(B189, "出来高加重平均")</f>
        <v/>
      </c>
      <c r="J189" s="452"/>
      <c r="K189" s="452" t="str">
        <f t="shared" si="73"/>
        <v/>
      </c>
      <c r="L189" s="453" t="str">
        <f t="shared" si="74"/>
        <v/>
      </c>
      <c r="M189" s="452" t="str">
        <f t="shared" si="75"/>
        <v/>
      </c>
      <c r="N189" s="452" t="str">
        <f t="shared" si="76"/>
        <v/>
      </c>
      <c r="O189" s="489" t="str">
        <f t="shared" si="77"/>
        <v/>
      </c>
      <c r="P189" s="452" t="str">
        <f t="array" aca="1" ref="P189" ca="1">IF(B189="","",IFERROR(MAX(OFFSET(高値!$E$6,MATCH(TEXT(B189,"0"),TEXT(銘柄管理!$B$6:$B$305,"0"),0)-1,0,1,10)),""))</f>
        <v/>
      </c>
      <c r="Q189" s="452" t="str">
        <f t="array" aca="1" ref="Q189" ca="1">IF(B189="","",IFERROR(MIN(OFFSET(安値!$E$6,MATCH(TEXT(B189,"0"),TEXT(銘柄管理!$B$6:$B$305,"0"),0)-1,0,1,10)),""))</f>
        <v/>
      </c>
      <c r="R189" s="452" t="str">
        <f t="shared" ca="1" si="71"/>
        <v/>
      </c>
      <c r="S189" s="481" t="str">
        <f t="shared" si="78"/>
        <v/>
      </c>
      <c r="T189" s="449"/>
      <c r="U189" s="449"/>
      <c r="V189" s="452" t="str">
        <f t="shared" si="79"/>
        <v/>
      </c>
      <c r="W189" s="454" t="str">
        <f t="shared" ca="1" si="72"/>
        <v/>
      </c>
      <c r="X189" s="449"/>
      <c r="Y189" s="499"/>
      <c r="Z189" s="499"/>
    </row>
    <row r="190" spans="1:26" ht="17.25" customHeight="1">
      <c r="A190" s="498" t="str">
        <f t="shared" si="63"/>
        <v/>
      </c>
      <c r="B190" s="449"/>
      <c r="C190" s="449"/>
      <c r="D190" s="449"/>
      <c r="E190" s="450"/>
      <c r="F190" s="451"/>
      <c r="G190" s="449"/>
      <c r="H190" s="452" t="str">
        <f>_xll.RssMarket("d7","現在値")</f>
        <v/>
      </c>
      <c r="I190" s="452" t="str">
        <f t="array" ref="I190">_xll.RssMarket(B190, "出来高加重平均")</f>
        <v/>
      </c>
      <c r="J190" s="452"/>
      <c r="K190" s="452" t="str">
        <f t="shared" si="73"/>
        <v/>
      </c>
      <c r="L190" s="453" t="str">
        <f t="shared" si="74"/>
        <v/>
      </c>
      <c r="M190" s="452" t="str">
        <f t="shared" si="75"/>
        <v/>
      </c>
      <c r="N190" s="452" t="str">
        <f t="shared" si="76"/>
        <v/>
      </c>
      <c r="O190" s="489" t="str">
        <f t="shared" si="77"/>
        <v/>
      </c>
      <c r="P190" s="452" t="str">
        <f t="array" aca="1" ref="P190" ca="1">IF(B190="","",IFERROR(MAX(OFFSET(高値!$E$6,MATCH(TEXT(B190,"0"),TEXT(銘柄管理!$B$6:$B$305,"0"),0)-1,0,1,10)),""))</f>
        <v/>
      </c>
      <c r="Q190" s="452" t="str">
        <f t="array" aca="1" ref="Q190" ca="1">IF(B190="","",IFERROR(MIN(OFFSET(安値!$E$6,MATCH(TEXT(B190,"0"),TEXT(銘柄管理!$B$6:$B$305,"0"),0)-1,0,1,10)),""))</f>
        <v/>
      </c>
      <c r="R190" s="452" t="str">
        <f t="shared" ca="1" si="71"/>
        <v/>
      </c>
      <c r="S190" s="481" t="str">
        <f t="shared" si="78"/>
        <v/>
      </c>
      <c r="T190" s="449"/>
      <c r="U190" s="449"/>
      <c r="V190" s="452" t="str">
        <f t="shared" si="79"/>
        <v/>
      </c>
      <c r="W190" s="454" t="str">
        <f t="shared" ca="1" si="72"/>
        <v/>
      </c>
      <c r="X190" s="449"/>
      <c r="Y190" s="499"/>
      <c r="Z190" s="499"/>
    </row>
    <row r="191" spans="1:26" ht="17.25" customHeight="1">
      <c r="A191" s="499"/>
      <c r="B191" s="499"/>
      <c r="C191" s="499"/>
      <c r="D191" s="499"/>
      <c r="E191" s="499"/>
      <c r="F191" s="500"/>
      <c r="G191" s="499"/>
      <c r="H191" s="499"/>
      <c r="I191" s="499"/>
      <c r="J191" s="452"/>
      <c r="K191" s="499"/>
      <c r="L191" s="499"/>
      <c r="M191" s="499"/>
      <c r="N191" s="499"/>
      <c r="P191" s="452" t="str">
        <f t="array" aca="1" ref="P191" ca="1">IF(B191="","",IFERROR(MAX(OFFSET(高値!$E$6,MATCH(TEXT(B191,"0"),TEXT(銘柄管理!$B$6:$B$305,"0"),0)-1,0,1,10)),""))</f>
        <v/>
      </c>
      <c r="Q191" s="452" t="str">
        <f t="array" aca="1" ref="Q191" ca="1">IF(B191="","",IFERROR(MIN(OFFSET(安値!$E$6,MATCH(TEXT(B191,"0"),TEXT(銘柄管理!$B$6:$B$305,"0"),0)-1,0,1,10)),""))</f>
        <v/>
      </c>
      <c r="R191" s="499"/>
      <c r="S191" s="499"/>
      <c r="T191" s="499"/>
      <c r="U191" s="499"/>
      <c r="V191" s="499"/>
      <c r="W191" s="499"/>
      <c r="X191" s="499"/>
      <c r="Y191" s="499"/>
      <c r="Z191" s="499"/>
    </row>
    <row r="192" spans="1:26" ht="17.25" customHeight="1">
      <c r="A192" s="499"/>
      <c r="B192" s="499"/>
      <c r="C192" s="499"/>
      <c r="D192" s="499"/>
      <c r="E192" s="499"/>
      <c r="F192" s="500"/>
      <c r="G192" s="499"/>
      <c r="H192" s="499"/>
      <c r="I192" s="499"/>
      <c r="J192" s="452"/>
      <c r="K192" s="499"/>
      <c r="L192" s="499"/>
      <c r="M192" s="499"/>
      <c r="N192" s="499"/>
      <c r="P192" s="452" t="str">
        <f t="array" aca="1" ref="P192" ca="1">IF(B192="","",IFERROR(MAX(OFFSET(高値!$E$6,MATCH(TEXT(B192,"0"),TEXT(銘柄管理!$B$6:$B$305,"0"),0)-1,0,1,10)),""))</f>
        <v/>
      </c>
      <c r="Q192" s="452" t="str">
        <f t="array" aca="1" ref="Q192" ca="1">IF(B192="","",IFERROR(MIN(OFFSET(安値!$E$6,MATCH(TEXT(B192,"0"),TEXT(銘柄管理!$B$6:$B$305,"0"),0)-1,0,1,10)),""))</f>
        <v/>
      </c>
      <c r="R192" s="499"/>
      <c r="S192" s="499"/>
      <c r="T192" s="499"/>
      <c r="U192" s="499"/>
      <c r="V192" s="499"/>
      <c r="W192" s="499"/>
      <c r="X192" s="499"/>
      <c r="Y192" s="499"/>
      <c r="Z192" s="499"/>
    </row>
    <row r="193" spans="1:26" ht="17.25" customHeight="1">
      <c r="A193" s="499"/>
      <c r="B193" s="499"/>
      <c r="C193" s="499"/>
      <c r="D193" s="499"/>
      <c r="E193" s="499"/>
      <c r="F193" s="500"/>
      <c r="G193" s="499"/>
      <c r="H193" s="499"/>
      <c r="I193" s="499"/>
      <c r="J193" s="452"/>
      <c r="K193" s="499"/>
      <c r="L193" s="499"/>
      <c r="M193" s="499"/>
      <c r="N193" s="499"/>
      <c r="P193" s="452" t="str">
        <f t="array" aca="1" ref="P193" ca="1">IF(B193="","",IFERROR(MAX(OFFSET(高値!$E$6,MATCH(TEXT(B193,"0"),TEXT(銘柄管理!$B$6:$B$305,"0"),0)-1,0,1,10)),""))</f>
        <v/>
      </c>
      <c r="Q193" s="452" t="str">
        <f t="array" aca="1" ref="Q193" ca="1">IF(B193="","",IFERROR(MIN(OFFSET(安値!$E$6,MATCH(TEXT(B193,"0"),TEXT(銘柄管理!$B$6:$B$305,"0"),0)-1,0,1,10)),""))</f>
        <v/>
      </c>
      <c r="R193" s="499"/>
      <c r="S193" s="499"/>
      <c r="T193" s="499"/>
      <c r="U193" s="499"/>
      <c r="V193" s="499"/>
      <c r="W193" s="499"/>
      <c r="X193" s="499"/>
      <c r="Y193" s="499"/>
      <c r="Z193" s="499"/>
    </row>
    <row r="194" spans="1:26" ht="17.25" customHeight="1">
      <c r="A194" s="499"/>
      <c r="B194" s="499"/>
      <c r="C194" s="499"/>
      <c r="D194" s="499"/>
      <c r="E194" s="499"/>
      <c r="F194" s="500"/>
      <c r="G194" s="499"/>
      <c r="H194" s="499"/>
      <c r="I194" s="499"/>
      <c r="J194" s="452"/>
      <c r="K194" s="499"/>
      <c r="L194" s="499"/>
      <c r="M194" s="499"/>
      <c r="N194" s="499"/>
      <c r="P194" s="452" t="str">
        <f t="array" aca="1" ref="P194" ca="1">IF(B194="","",IFERROR(MAX(OFFSET(高値!$E$6,MATCH(TEXT(B194,"0"),TEXT(銘柄管理!$B$6:$B$305,"0"),0)-1,0,1,10)),""))</f>
        <v/>
      </c>
      <c r="Q194" s="452" t="str">
        <f t="array" aca="1" ref="Q194" ca="1">IF(B194="","",IFERROR(MIN(OFFSET(安値!$E$6,MATCH(TEXT(B194,"0"),TEXT(銘柄管理!$B$6:$B$305,"0"),0)-1,0,1,10)),""))</f>
        <v/>
      </c>
      <c r="R194" s="499"/>
      <c r="S194" s="499"/>
      <c r="T194" s="499"/>
      <c r="U194" s="499"/>
      <c r="V194" s="499"/>
      <c r="W194" s="499"/>
      <c r="X194" s="499"/>
      <c r="Y194" s="499"/>
      <c r="Z194" s="499"/>
    </row>
    <row r="195" spans="1:26" ht="17.25" customHeight="1">
      <c r="A195" s="499"/>
      <c r="B195" s="499"/>
      <c r="C195" s="499"/>
      <c r="D195" s="499"/>
      <c r="E195" s="499"/>
      <c r="F195" s="500"/>
      <c r="G195" s="499"/>
      <c r="H195" s="499"/>
      <c r="I195" s="499"/>
      <c r="J195" s="452"/>
      <c r="K195" s="499"/>
      <c r="L195" s="499"/>
      <c r="M195" s="499"/>
      <c r="N195" s="499"/>
      <c r="P195" s="452" t="str">
        <f t="array" aca="1" ref="P195" ca="1">IF(B195="","",IFERROR(MAX(OFFSET(高値!$E$6,MATCH(TEXT(B195,"0"),TEXT(銘柄管理!$B$6:$B$305,"0"),0)-1,0,1,10)),""))</f>
        <v/>
      </c>
      <c r="Q195" s="452" t="str">
        <f t="array" aca="1" ref="Q195" ca="1">IF(B195="","",IFERROR(MIN(OFFSET(安値!$E$6,MATCH(TEXT(B195,"0"),TEXT(銘柄管理!$B$6:$B$305,"0"),0)-1,0,1,10)),""))</f>
        <v/>
      </c>
      <c r="R195" s="499"/>
      <c r="S195" s="499"/>
      <c r="T195" s="499"/>
      <c r="U195" s="499"/>
      <c r="V195" s="499"/>
      <c r="W195" s="499"/>
      <c r="X195" s="499"/>
      <c r="Y195" s="499"/>
      <c r="Z195" s="499"/>
    </row>
    <row r="196" spans="1:26" ht="17.25" customHeight="1">
      <c r="A196" s="499"/>
      <c r="B196" s="499"/>
      <c r="C196" s="499"/>
      <c r="D196" s="499"/>
      <c r="E196" s="499"/>
      <c r="F196" s="500"/>
      <c r="G196" s="499"/>
      <c r="H196" s="499"/>
      <c r="I196" s="499"/>
      <c r="J196" s="452"/>
      <c r="K196" s="499"/>
      <c r="L196" s="499"/>
      <c r="M196" s="499"/>
      <c r="N196" s="499"/>
      <c r="P196" s="452" t="str">
        <f t="array" aca="1" ref="P196" ca="1">IF(B196="","",IFERROR(MAX(OFFSET(高値!$E$6,MATCH(TEXT(B196,"0"),TEXT(銘柄管理!$B$6:$B$305,"0"),0)-1,0,1,10)),""))</f>
        <v/>
      </c>
      <c r="Q196" s="452" t="str">
        <f t="array" aca="1" ref="Q196" ca="1">IF(B196="","",IFERROR(MIN(OFFSET(安値!$E$6,MATCH(TEXT(B196,"0"),TEXT(銘柄管理!$B$6:$B$305,"0"),0)-1,0,1,10)),""))</f>
        <v/>
      </c>
      <c r="R196" s="499"/>
      <c r="S196" s="499"/>
      <c r="T196" s="499"/>
      <c r="U196" s="499"/>
      <c r="V196" s="499"/>
      <c r="W196" s="499"/>
      <c r="X196" s="499"/>
      <c r="Y196" s="499"/>
      <c r="Z196" s="499"/>
    </row>
    <row r="197" spans="1:26" ht="17.25" customHeight="1">
      <c r="A197" s="499"/>
      <c r="B197" s="499"/>
      <c r="C197" s="499"/>
      <c r="D197" s="499"/>
      <c r="E197" s="499"/>
      <c r="F197" s="500"/>
      <c r="G197" s="499"/>
      <c r="H197" s="499"/>
      <c r="I197" s="499"/>
      <c r="J197" s="452"/>
      <c r="K197" s="499"/>
      <c r="L197" s="499"/>
      <c r="M197" s="499"/>
      <c r="N197" s="499"/>
      <c r="P197" s="452" t="str">
        <f t="array" aca="1" ref="P197" ca="1">IF(B197="","",IFERROR(MAX(OFFSET(高値!$E$6,MATCH(TEXT(B197,"0"),TEXT(銘柄管理!$B$6:$B$305,"0"),0)-1,0,1,10)),""))</f>
        <v/>
      </c>
      <c r="Q197" s="452" t="str">
        <f t="array" aca="1" ref="Q197" ca="1">IF(B197="","",IFERROR(MIN(OFFSET(安値!$E$6,MATCH(TEXT(B197,"0"),TEXT(銘柄管理!$B$6:$B$305,"0"),0)-1,0,1,10)),""))</f>
        <v/>
      </c>
      <c r="R197" s="499"/>
      <c r="S197" s="499"/>
      <c r="T197" s="499"/>
      <c r="U197" s="499"/>
      <c r="V197" s="499"/>
      <c r="W197" s="499"/>
      <c r="X197" s="499"/>
      <c r="Y197" s="499"/>
      <c r="Z197" s="499"/>
    </row>
    <row r="198" spans="1:26" ht="17.25" customHeight="1">
      <c r="A198" s="499"/>
      <c r="B198" s="499"/>
      <c r="C198" s="499"/>
      <c r="D198" s="499"/>
      <c r="E198" s="499"/>
      <c r="F198" s="500"/>
      <c r="G198" s="499"/>
      <c r="H198" s="499"/>
      <c r="I198" s="499"/>
      <c r="J198" s="452"/>
      <c r="K198" s="499"/>
      <c r="L198" s="499"/>
      <c r="M198" s="499"/>
      <c r="N198" s="499"/>
      <c r="P198" s="452" t="str">
        <f t="array" aca="1" ref="P198" ca="1">IF(B198="","",IFERROR(MAX(OFFSET(高値!$E$6,MATCH(TEXT(B198,"0"),TEXT(銘柄管理!$B$6:$B$305,"0"),0)-1,0,1,10)),""))</f>
        <v/>
      </c>
      <c r="Q198" s="452" t="str">
        <f t="array" aca="1" ref="Q198" ca="1">IF(B198="","",IFERROR(MIN(OFFSET(安値!$E$6,MATCH(TEXT(B198,"0"),TEXT(銘柄管理!$B$6:$B$305,"0"),0)-1,0,1,10)),""))</f>
        <v/>
      </c>
      <c r="R198" s="499"/>
      <c r="S198" s="499"/>
      <c r="T198" s="499"/>
      <c r="U198" s="499"/>
      <c r="V198" s="499"/>
      <c r="W198" s="499"/>
      <c r="X198" s="499"/>
      <c r="Y198" s="499"/>
      <c r="Z198" s="499"/>
    </row>
    <row r="199" spans="1:26" ht="17.25" customHeight="1">
      <c r="A199" s="499"/>
      <c r="B199" s="499"/>
      <c r="C199" s="499"/>
      <c r="D199" s="499"/>
      <c r="E199" s="499"/>
      <c r="F199" s="500"/>
      <c r="G199" s="499"/>
      <c r="H199" s="499"/>
      <c r="I199" s="499"/>
      <c r="J199" s="452"/>
      <c r="K199" s="499"/>
      <c r="L199" s="499"/>
      <c r="M199" s="499"/>
      <c r="N199" s="499"/>
      <c r="P199" s="452" t="str">
        <f t="array" aca="1" ref="P199" ca="1">IF(B199="","",IFERROR(MAX(OFFSET(高値!$E$6,MATCH(TEXT(B199,"0"),TEXT(銘柄管理!$B$6:$B$305,"0"),0)-1,0,1,10)),""))</f>
        <v/>
      </c>
      <c r="Q199" s="452" t="str">
        <f t="array" aca="1" ref="Q199" ca="1">IF(B199="","",IFERROR(MIN(OFFSET(安値!$E$6,MATCH(TEXT(B199,"0"),TEXT(銘柄管理!$B$6:$B$305,"0"),0)-1,0,1,10)),""))</f>
        <v/>
      </c>
      <c r="R199" s="499"/>
      <c r="S199" s="499"/>
      <c r="T199" s="499"/>
      <c r="U199" s="499"/>
      <c r="V199" s="499"/>
      <c r="W199" s="499"/>
      <c r="X199" s="499"/>
      <c r="Y199" s="499"/>
      <c r="Z199" s="499"/>
    </row>
    <row r="200" spans="1:26" ht="17.25" customHeight="1">
      <c r="A200" s="499"/>
      <c r="B200" s="499"/>
      <c r="C200" s="499"/>
      <c r="D200" s="499"/>
      <c r="E200" s="499"/>
      <c r="F200" s="500"/>
      <c r="G200" s="499"/>
      <c r="H200" s="499"/>
      <c r="I200" s="499"/>
      <c r="J200" s="452"/>
      <c r="K200" s="499"/>
      <c r="L200" s="499"/>
      <c r="M200" s="499"/>
      <c r="N200" s="499"/>
      <c r="P200" s="452" t="str">
        <f t="array" aca="1" ref="P200" ca="1">IF(B200="","",IFERROR(MAX(OFFSET(高値!$E$6,MATCH(TEXT(B200,"0"),TEXT(銘柄管理!$B$6:$B$305,"0"),0)-1,0,1,10)),""))</f>
        <v/>
      </c>
      <c r="Q200" s="452" t="str">
        <f t="array" aca="1" ref="Q200" ca="1">IF(B200="","",IFERROR(MIN(OFFSET(安値!$E$6,MATCH(TEXT(B200,"0"),TEXT(銘柄管理!$B$6:$B$305,"0"),0)-1,0,1,10)),""))</f>
        <v/>
      </c>
      <c r="R200" s="499"/>
      <c r="S200" s="499"/>
      <c r="T200" s="499"/>
      <c r="U200" s="499"/>
      <c r="V200" s="499"/>
      <c r="W200" s="499"/>
      <c r="X200" s="499"/>
      <c r="Y200" s="499"/>
      <c r="Z200" s="499"/>
    </row>
    <row r="201" spans="1:26" ht="17.25" customHeight="1">
      <c r="A201" s="499"/>
      <c r="B201" s="499"/>
      <c r="C201" s="499"/>
      <c r="D201" s="499"/>
      <c r="E201" s="499"/>
      <c r="F201" s="500"/>
      <c r="G201" s="499"/>
      <c r="H201" s="499"/>
      <c r="I201" s="499"/>
      <c r="J201" s="452"/>
      <c r="K201" s="499"/>
      <c r="L201" s="499"/>
      <c r="M201" s="499"/>
      <c r="N201" s="499"/>
      <c r="P201" s="452" t="str">
        <f t="array" aca="1" ref="P201" ca="1">IF(B201="","",IFERROR(MAX(OFFSET(高値!$E$6,MATCH(TEXT(B201,"0"),TEXT(銘柄管理!$B$6:$B$305,"0"),0)-1,0,1,10)),""))</f>
        <v/>
      </c>
      <c r="Q201" s="452" t="str">
        <f t="array" aca="1" ref="Q201" ca="1">IF(B201="","",IFERROR(MIN(OFFSET(安値!$E$6,MATCH(TEXT(B201,"0"),TEXT(銘柄管理!$B$6:$B$305,"0"),0)-1,0,1,10)),""))</f>
        <v/>
      </c>
      <c r="R201" s="499"/>
      <c r="S201" s="499"/>
      <c r="T201" s="499"/>
      <c r="U201" s="499"/>
      <c r="V201" s="499"/>
      <c r="W201" s="499"/>
      <c r="X201" s="499"/>
      <c r="Y201" s="499"/>
      <c r="Z201" s="499"/>
    </row>
    <row r="202" spans="1:26" ht="17.25" customHeight="1">
      <c r="A202" s="499"/>
      <c r="B202" s="499"/>
      <c r="C202" s="499"/>
      <c r="D202" s="499"/>
      <c r="E202" s="499"/>
      <c r="F202" s="500"/>
      <c r="G202" s="499"/>
      <c r="H202" s="499"/>
      <c r="I202" s="499"/>
      <c r="J202" s="452"/>
      <c r="K202" s="499"/>
      <c r="L202" s="499"/>
      <c r="M202" s="499"/>
      <c r="N202" s="499"/>
      <c r="P202" s="452" t="str">
        <f t="array" aca="1" ref="P202" ca="1">IF(B202="","",IFERROR(MAX(OFFSET(高値!$E$6,MATCH(TEXT(B202,"0"),TEXT(銘柄管理!$B$6:$B$305,"0"),0)-1,0,1,10)),""))</f>
        <v/>
      </c>
      <c r="Q202" s="452" t="str">
        <f t="array" aca="1" ref="Q202" ca="1">IF(B202="","",IFERROR(MIN(OFFSET(安値!$E$6,MATCH(TEXT(B202,"0"),TEXT(銘柄管理!$B$6:$B$305,"0"),0)-1,0,1,10)),""))</f>
        <v/>
      </c>
      <c r="R202" s="499"/>
      <c r="S202" s="499"/>
      <c r="T202" s="499"/>
      <c r="U202" s="499"/>
      <c r="V202" s="499"/>
      <c r="W202" s="499"/>
      <c r="X202" s="499"/>
      <c r="Y202" s="499"/>
      <c r="Z202" s="499"/>
    </row>
    <row r="203" spans="1:26" ht="17.25" customHeight="1">
      <c r="A203" s="499"/>
      <c r="B203" s="499"/>
      <c r="C203" s="499"/>
      <c r="D203" s="499"/>
      <c r="E203" s="499"/>
      <c r="F203" s="500"/>
      <c r="G203" s="499"/>
      <c r="H203" s="499"/>
      <c r="I203" s="499"/>
      <c r="J203" s="452"/>
      <c r="K203" s="499"/>
      <c r="L203" s="499"/>
      <c r="M203" s="499"/>
      <c r="N203" s="499"/>
      <c r="P203" s="452" t="str">
        <f t="array" aca="1" ref="P203" ca="1">IF(B203="","",IFERROR(MAX(OFFSET(高値!$E$6,MATCH(TEXT(B203,"0"),TEXT(銘柄管理!$B$6:$B$305,"0"),0)-1,0,1,10)),""))</f>
        <v/>
      </c>
      <c r="Q203" s="452" t="str">
        <f t="array" aca="1" ref="Q203" ca="1">IF(B203="","",IFERROR(MIN(OFFSET(安値!$E$6,MATCH(TEXT(B203,"0"),TEXT(銘柄管理!$B$6:$B$305,"0"),0)-1,0,1,10)),""))</f>
        <v/>
      </c>
      <c r="R203" s="499"/>
      <c r="S203" s="499"/>
      <c r="T203" s="499"/>
      <c r="U203" s="499"/>
      <c r="V203" s="499"/>
      <c r="W203" s="499"/>
      <c r="X203" s="499"/>
      <c r="Y203" s="499"/>
      <c r="Z203" s="499"/>
    </row>
    <row r="204" spans="1:26" ht="17.25" customHeight="1">
      <c r="A204" s="499"/>
      <c r="B204" s="499"/>
      <c r="C204" s="499"/>
      <c r="D204" s="499"/>
      <c r="E204" s="499"/>
      <c r="F204" s="500"/>
      <c r="G204" s="499"/>
      <c r="H204" s="499"/>
      <c r="I204" s="499"/>
      <c r="J204" s="452"/>
      <c r="K204" s="499"/>
      <c r="L204" s="499"/>
      <c r="M204" s="499"/>
      <c r="N204" s="499"/>
      <c r="P204" s="452" t="str">
        <f t="array" aca="1" ref="P204" ca="1">IF(B204="","",IFERROR(MAX(OFFSET(高値!$E$6,MATCH(TEXT(B204,"0"),TEXT(銘柄管理!$B$6:$B$305,"0"),0)-1,0,1,10)),""))</f>
        <v/>
      </c>
      <c r="Q204" s="452" t="str">
        <f t="array" aca="1" ref="Q204" ca="1">IF(B204="","",IFERROR(MIN(OFFSET(安値!$E$6,MATCH(TEXT(B204,"0"),TEXT(銘柄管理!$B$6:$B$305,"0"),0)-1,0,1,10)),""))</f>
        <v/>
      </c>
      <c r="R204" s="499"/>
      <c r="S204" s="499"/>
      <c r="T204" s="499"/>
      <c r="U204" s="499"/>
      <c r="V204" s="499"/>
      <c r="W204" s="499"/>
      <c r="X204" s="499"/>
      <c r="Y204" s="499"/>
      <c r="Z204" s="499"/>
    </row>
    <row r="205" spans="1:26" ht="17.25" customHeight="1">
      <c r="A205" s="499"/>
      <c r="B205" s="499"/>
      <c r="C205" s="499"/>
      <c r="D205" s="499"/>
      <c r="E205" s="499"/>
      <c r="F205" s="500"/>
      <c r="G205" s="499"/>
      <c r="H205" s="499"/>
      <c r="I205" s="499"/>
      <c r="J205" s="452"/>
      <c r="K205" s="499"/>
      <c r="L205" s="499"/>
      <c r="M205" s="499"/>
      <c r="N205" s="499"/>
      <c r="P205" s="452" t="str">
        <f t="array" aca="1" ref="P205" ca="1">IF(B205="","",IFERROR(MAX(OFFSET(高値!$E$6,MATCH(TEXT(B205,"0"),TEXT(銘柄管理!$B$6:$B$305,"0"),0)-1,0,1,10)),""))</f>
        <v/>
      </c>
      <c r="Q205" s="452" t="str">
        <f t="array" aca="1" ref="Q205" ca="1">IF(B205="","",IFERROR(MIN(OFFSET(安値!$E$6,MATCH(TEXT(B205,"0"),TEXT(銘柄管理!$B$6:$B$305,"0"),0)-1,0,1,10)),""))</f>
        <v/>
      </c>
      <c r="R205" s="499"/>
      <c r="S205" s="499"/>
      <c r="T205" s="499"/>
      <c r="U205" s="499"/>
      <c r="V205" s="499"/>
      <c r="W205" s="499"/>
      <c r="X205" s="499"/>
      <c r="Y205" s="499"/>
      <c r="Z205" s="499"/>
    </row>
    <row r="206" spans="1:26" ht="17.25" customHeight="1">
      <c r="A206" s="499"/>
      <c r="B206" s="499"/>
      <c r="C206" s="499"/>
      <c r="D206" s="499"/>
      <c r="E206" s="499"/>
      <c r="F206" s="500"/>
      <c r="G206" s="499"/>
      <c r="H206" s="499"/>
      <c r="I206" s="499"/>
      <c r="J206" s="452"/>
      <c r="K206" s="499"/>
      <c r="L206" s="499"/>
      <c r="M206" s="499"/>
      <c r="N206" s="499"/>
      <c r="P206" s="452" t="str">
        <f t="array" aca="1" ref="P206" ca="1">IF(B206="","",IFERROR(MAX(OFFSET(高値!$E$6,MATCH(TEXT(B206,"0"),TEXT(銘柄管理!$B$6:$B$305,"0"),0)-1,0,1,10)),""))</f>
        <v/>
      </c>
      <c r="Q206" s="452" t="str">
        <f t="array" aca="1" ref="Q206" ca="1">IF(B206="","",IFERROR(MIN(OFFSET(安値!$E$6,MATCH(TEXT(B206,"0"),TEXT(銘柄管理!$B$6:$B$305,"0"),0)-1,0,1,10)),""))</f>
        <v/>
      </c>
      <c r="R206" s="499"/>
      <c r="S206" s="499"/>
      <c r="T206" s="499"/>
      <c r="U206" s="499"/>
      <c r="V206" s="499"/>
      <c r="W206" s="499"/>
      <c r="X206" s="499"/>
      <c r="Y206" s="499"/>
      <c r="Z206" s="499"/>
    </row>
    <row r="207" spans="1:26" ht="17.25" customHeight="1">
      <c r="A207" s="499"/>
      <c r="B207" s="499"/>
      <c r="C207" s="499"/>
      <c r="D207" s="499"/>
      <c r="E207" s="499"/>
      <c r="F207" s="500"/>
      <c r="G207" s="499"/>
      <c r="H207" s="499"/>
      <c r="I207" s="499"/>
      <c r="J207" s="452"/>
      <c r="K207" s="499"/>
      <c r="L207" s="499"/>
      <c r="M207" s="499"/>
      <c r="N207" s="499"/>
      <c r="P207" s="452" t="str">
        <f t="array" aca="1" ref="P207" ca="1">IF(B207="","",IFERROR(MAX(OFFSET(高値!$E$6,MATCH(TEXT(B207,"0"),TEXT(銘柄管理!$B$6:$B$305,"0"),0)-1,0,1,10)),""))</f>
        <v/>
      </c>
      <c r="Q207" s="452" t="str">
        <f t="array" aca="1" ref="Q207" ca="1">IF(B207="","",IFERROR(MIN(OFFSET(安値!$E$6,MATCH(TEXT(B207,"0"),TEXT(銘柄管理!$B$6:$B$305,"0"),0)-1,0,1,10)),""))</f>
        <v/>
      </c>
      <c r="R207" s="499"/>
      <c r="S207" s="499"/>
      <c r="T207" s="499"/>
      <c r="U207" s="499"/>
      <c r="V207" s="499"/>
      <c r="W207" s="499"/>
      <c r="X207" s="499"/>
      <c r="Y207" s="499"/>
      <c r="Z207" s="499"/>
    </row>
    <row r="208" spans="1:26" ht="17.25" customHeight="1">
      <c r="A208" s="499"/>
      <c r="B208" s="499"/>
      <c r="C208" s="499"/>
      <c r="D208" s="499"/>
      <c r="E208" s="499"/>
      <c r="F208" s="500"/>
      <c r="G208" s="499"/>
      <c r="H208" s="499"/>
      <c r="I208" s="499"/>
      <c r="J208" s="452"/>
      <c r="K208" s="499"/>
      <c r="L208" s="499"/>
      <c r="M208" s="499"/>
      <c r="N208" s="499"/>
      <c r="P208" s="452" t="str">
        <f t="array" aca="1" ref="P208" ca="1">IF(B208="","",IFERROR(MAX(OFFSET(高値!$E$6,MATCH(TEXT(B208,"0"),TEXT(銘柄管理!$B$6:$B$305,"0"),0)-1,0,1,10)),""))</f>
        <v/>
      </c>
      <c r="Q208" s="452" t="str">
        <f t="array" aca="1" ref="Q208" ca="1">IF(B208="","",IFERROR(MIN(OFFSET(安値!$E$6,MATCH(TEXT(B208,"0"),TEXT(銘柄管理!$B$6:$B$305,"0"),0)-1,0,1,10)),""))</f>
        <v/>
      </c>
      <c r="R208" s="499"/>
      <c r="S208" s="499"/>
      <c r="T208" s="499"/>
      <c r="U208" s="499"/>
      <c r="V208" s="499"/>
      <c r="W208" s="499"/>
      <c r="X208" s="499"/>
      <c r="Y208" s="499"/>
      <c r="Z208" s="499"/>
    </row>
    <row r="209" spans="1:26" ht="17.25" customHeight="1">
      <c r="A209" s="499"/>
      <c r="B209" s="499"/>
      <c r="C209" s="499"/>
      <c r="D209" s="499"/>
      <c r="E209" s="499"/>
      <c r="F209" s="500"/>
      <c r="G209" s="499"/>
      <c r="H209" s="499"/>
      <c r="I209" s="499"/>
      <c r="J209" s="452"/>
      <c r="K209" s="499"/>
      <c r="L209" s="499"/>
      <c r="M209" s="499"/>
      <c r="N209" s="499"/>
      <c r="P209" s="452" t="str">
        <f t="array" aca="1" ref="P209" ca="1">IF(B209="","",IFERROR(MAX(OFFSET(高値!$E$6,MATCH(TEXT(B209,"0"),TEXT(銘柄管理!$B$6:$B$305,"0"),0)-1,0,1,10)),""))</f>
        <v/>
      </c>
      <c r="Q209" s="452" t="str">
        <f t="array" aca="1" ref="Q209" ca="1">IF(B209="","",IFERROR(MIN(OFFSET(安値!$E$6,MATCH(TEXT(B209,"0"),TEXT(銘柄管理!$B$6:$B$305,"0"),0)-1,0,1,10)),""))</f>
        <v/>
      </c>
      <c r="R209" s="499"/>
      <c r="S209" s="499"/>
      <c r="T209" s="499"/>
      <c r="U209" s="499"/>
      <c r="V209" s="499"/>
      <c r="W209" s="499"/>
      <c r="X209" s="499"/>
      <c r="Y209" s="499"/>
      <c r="Z209" s="499"/>
    </row>
    <row r="210" spans="1:26" ht="17.25" customHeight="1">
      <c r="A210" s="499"/>
      <c r="B210" s="499"/>
      <c r="C210" s="499"/>
      <c r="D210" s="499"/>
      <c r="E210" s="499"/>
      <c r="F210" s="500"/>
      <c r="G210" s="499"/>
      <c r="H210" s="499"/>
      <c r="I210" s="499"/>
      <c r="J210" s="452"/>
      <c r="K210" s="499"/>
      <c r="L210" s="499"/>
      <c r="M210" s="499"/>
      <c r="N210" s="499"/>
      <c r="P210" s="452" t="str">
        <f t="array" aca="1" ref="P210" ca="1">IF(B210="","",IFERROR(MAX(OFFSET(高値!$E$6,MATCH(TEXT(B210,"0"),TEXT(銘柄管理!$B$6:$B$305,"0"),0)-1,0,1,10)),""))</f>
        <v/>
      </c>
      <c r="Q210" s="452" t="str">
        <f t="array" aca="1" ref="Q210" ca="1">IF(B210="","",IFERROR(MIN(OFFSET(安値!$E$6,MATCH(TEXT(B210,"0"),TEXT(銘柄管理!$B$6:$B$305,"0"),0)-1,0,1,10)),""))</f>
        <v/>
      </c>
      <c r="R210" s="499"/>
      <c r="S210" s="499"/>
      <c r="T210" s="499"/>
      <c r="U210" s="499"/>
      <c r="V210" s="499"/>
      <c r="W210" s="499"/>
      <c r="X210" s="499"/>
      <c r="Y210" s="499"/>
      <c r="Z210" s="499"/>
    </row>
    <row r="211" spans="1:26" ht="17.25" customHeight="1">
      <c r="A211" s="499"/>
      <c r="B211" s="499"/>
      <c r="C211" s="499"/>
      <c r="D211" s="499"/>
      <c r="E211" s="499"/>
      <c r="F211" s="500"/>
      <c r="G211" s="499"/>
      <c r="H211" s="499"/>
      <c r="I211" s="499"/>
      <c r="J211" s="452"/>
      <c r="K211" s="499"/>
      <c r="L211" s="499"/>
      <c r="M211" s="499"/>
      <c r="N211" s="499"/>
      <c r="P211" s="452" t="str">
        <f t="array" aca="1" ref="P211" ca="1">IF(B211="","",IFERROR(MAX(OFFSET(高値!$E$6,MATCH(TEXT(B211,"0"),TEXT(銘柄管理!$B$6:$B$305,"0"),0)-1,0,1,10)),""))</f>
        <v/>
      </c>
      <c r="Q211" s="452" t="str">
        <f t="array" aca="1" ref="Q211" ca="1">IF(B211="","",IFERROR(MIN(OFFSET(安値!$E$6,MATCH(TEXT(B211,"0"),TEXT(銘柄管理!$B$6:$B$305,"0"),0)-1,0,1,10)),""))</f>
        <v/>
      </c>
      <c r="R211" s="499"/>
      <c r="S211" s="499"/>
      <c r="T211" s="499"/>
      <c r="U211" s="499"/>
      <c r="V211" s="499"/>
      <c r="W211" s="499"/>
      <c r="X211" s="499"/>
      <c r="Y211" s="499"/>
      <c r="Z211" s="499"/>
    </row>
    <row r="212" spans="1:26" ht="17.25" customHeight="1">
      <c r="A212" s="499"/>
      <c r="B212" s="499"/>
      <c r="C212" s="499"/>
      <c r="D212" s="499"/>
      <c r="E212" s="499"/>
      <c r="F212" s="500"/>
      <c r="G212" s="499"/>
      <c r="H212" s="499"/>
      <c r="I212" s="499"/>
      <c r="J212" s="452"/>
      <c r="K212" s="499"/>
      <c r="L212" s="499"/>
      <c r="M212" s="499"/>
      <c r="N212" s="499"/>
      <c r="P212" s="452" t="str">
        <f t="array" aca="1" ref="P212" ca="1">IF(B212="","",IFERROR(MAX(OFFSET(高値!$E$6,MATCH(TEXT(B212,"0"),TEXT(銘柄管理!$B$6:$B$305,"0"),0)-1,0,1,10)),""))</f>
        <v/>
      </c>
      <c r="Q212" s="452" t="str">
        <f t="array" aca="1" ref="Q212" ca="1">IF(B212="","",IFERROR(MIN(OFFSET(安値!$E$6,MATCH(TEXT(B212,"0"),TEXT(銘柄管理!$B$6:$B$305,"0"),0)-1,0,1,10)),""))</f>
        <v/>
      </c>
      <c r="R212" s="499"/>
      <c r="S212" s="499"/>
      <c r="T212" s="499"/>
      <c r="U212" s="499"/>
      <c r="V212" s="499"/>
      <c r="W212" s="499"/>
      <c r="X212" s="499"/>
      <c r="Y212" s="499"/>
      <c r="Z212" s="499"/>
    </row>
    <row r="213" spans="1:26" ht="17.25" customHeight="1">
      <c r="A213" s="499"/>
      <c r="B213" s="499"/>
      <c r="C213" s="499"/>
      <c r="D213" s="499"/>
      <c r="E213" s="499"/>
      <c r="F213" s="500"/>
      <c r="G213" s="499"/>
      <c r="H213" s="499"/>
      <c r="I213" s="499"/>
      <c r="J213" s="452"/>
      <c r="K213" s="499"/>
      <c r="L213" s="499"/>
      <c r="M213" s="499"/>
      <c r="N213" s="499"/>
      <c r="P213" s="452" t="str">
        <f t="array" aca="1" ref="P213" ca="1">IF(B213="","",IFERROR(MAX(OFFSET(高値!$E$6,MATCH(TEXT(B213,"0"),TEXT(銘柄管理!$B$6:$B$305,"0"),0)-1,0,1,10)),""))</f>
        <v/>
      </c>
      <c r="Q213" s="452" t="str">
        <f t="array" aca="1" ref="Q213" ca="1">IF(B213="","",IFERROR(MIN(OFFSET(安値!$E$6,MATCH(TEXT(B213,"0"),TEXT(銘柄管理!$B$6:$B$305,"0"),0)-1,0,1,10)),""))</f>
        <v/>
      </c>
      <c r="R213" s="499"/>
      <c r="S213" s="499"/>
      <c r="T213" s="499"/>
      <c r="U213" s="499"/>
      <c r="V213" s="499"/>
      <c r="W213" s="499"/>
      <c r="X213" s="499"/>
      <c r="Y213" s="499"/>
      <c r="Z213" s="499"/>
    </row>
    <row r="214" spans="1:26" ht="17.25" customHeight="1">
      <c r="A214" s="499"/>
      <c r="B214" s="499"/>
      <c r="C214" s="499"/>
      <c r="D214" s="499"/>
      <c r="E214" s="499"/>
      <c r="F214" s="500"/>
      <c r="G214" s="499"/>
      <c r="H214" s="499"/>
      <c r="I214" s="499"/>
      <c r="J214" s="452"/>
      <c r="K214" s="499"/>
      <c r="L214" s="499"/>
      <c r="M214" s="499"/>
      <c r="N214" s="499"/>
      <c r="P214" s="452" t="str">
        <f t="array" aca="1" ref="P214" ca="1">IF(B214="","",IFERROR(MAX(OFFSET(高値!$E$6,MATCH(TEXT(B214,"0"),TEXT(銘柄管理!$B$6:$B$305,"0"),0)-1,0,1,10)),""))</f>
        <v/>
      </c>
      <c r="Q214" s="452" t="str">
        <f t="array" aca="1" ref="Q214" ca="1">IF(B214="","",IFERROR(MIN(OFFSET(安値!$E$6,MATCH(TEXT(B214,"0"),TEXT(銘柄管理!$B$6:$B$305,"0"),0)-1,0,1,10)),""))</f>
        <v/>
      </c>
      <c r="R214" s="499"/>
      <c r="S214" s="499"/>
      <c r="T214" s="499"/>
      <c r="U214" s="499"/>
      <c r="V214" s="499"/>
      <c r="W214" s="499"/>
      <c r="X214" s="499"/>
      <c r="Y214" s="499"/>
      <c r="Z214" s="499"/>
    </row>
    <row r="215" spans="1:26" ht="17.25" customHeight="1">
      <c r="A215" s="499"/>
      <c r="B215" s="499"/>
      <c r="C215" s="499"/>
      <c r="D215" s="499"/>
      <c r="E215" s="499"/>
      <c r="F215" s="500"/>
      <c r="G215" s="499"/>
      <c r="H215" s="499"/>
      <c r="I215" s="499"/>
      <c r="J215" s="452"/>
      <c r="K215" s="499"/>
      <c r="L215" s="499"/>
      <c r="M215" s="499"/>
      <c r="N215" s="499"/>
      <c r="P215" s="452" t="str">
        <f t="array" aca="1" ref="P215" ca="1">IF(B215="","",IFERROR(MAX(OFFSET(高値!$E$6,MATCH(TEXT(B215,"0"),TEXT(銘柄管理!$B$6:$B$305,"0"),0)-1,0,1,10)),""))</f>
        <v/>
      </c>
      <c r="Q215" s="452" t="str">
        <f t="array" aca="1" ref="Q215" ca="1">IF(B215="","",IFERROR(MIN(OFFSET(安値!$E$6,MATCH(TEXT(B215,"0"),TEXT(銘柄管理!$B$6:$B$305,"0"),0)-1,0,1,10)),""))</f>
        <v/>
      </c>
      <c r="R215" s="499"/>
      <c r="S215" s="499"/>
      <c r="T215" s="499"/>
      <c r="U215" s="499"/>
      <c r="V215" s="499"/>
      <c r="W215" s="499"/>
      <c r="X215" s="499"/>
      <c r="Y215" s="499"/>
      <c r="Z215" s="499"/>
    </row>
    <row r="216" spans="1:26" ht="17.25" customHeight="1">
      <c r="A216" s="499"/>
      <c r="B216" s="499"/>
      <c r="C216" s="499"/>
      <c r="D216" s="499"/>
      <c r="E216" s="499"/>
      <c r="F216" s="500"/>
      <c r="G216" s="499"/>
      <c r="H216" s="499"/>
      <c r="I216" s="499"/>
      <c r="J216" s="452"/>
      <c r="K216" s="499"/>
      <c r="L216" s="499"/>
      <c r="M216" s="499"/>
      <c r="N216" s="499"/>
      <c r="P216" s="452" t="str">
        <f t="array" aca="1" ref="P216" ca="1">IF(B216="","",IFERROR(MAX(OFFSET(高値!$E$6,MATCH(TEXT(B216,"0"),TEXT(銘柄管理!$B$6:$B$305,"0"),0)-1,0,1,10)),""))</f>
        <v/>
      </c>
      <c r="Q216" s="452" t="str">
        <f t="array" aca="1" ref="Q216" ca="1">IF(B216="","",IFERROR(MIN(OFFSET(安値!$E$6,MATCH(TEXT(B216,"0"),TEXT(銘柄管理!$B$6:$B$305,"0"),0)-1,0,1,10)),""))</f>
        <v/>
      </c>
      <c r="R216" s="499"/>
      <c r="S216" s="499"/>
      <c r="T216" s="499"/>
      <c r="U216" s="499"/>
      <c r="V216" s="499"/>
      <c r="W216" s="499"/>
      <c r="X216" s="499"/>
      <c r="Y216" s="499"/>
      <c r="Z216" s="499"/>
    </row>
    <row r="217" spans="1:26" ht="17.25" customHeight="1">
      <c r="A217" s="499"/>
      <c r="B217" s="499"/>
      <c r="C217" s="499"/>
      <c r="D217" s="499"/>
      <c r="E217" s="499"/>
      <c r="F217" s="500"/>
      <c r="G217" s="499"/>
      <c r="H217" s="499"/>
      <c r="I217" s="499"/>
      <c r="J217" s="452"/>
      <c r="K217" s="499"/>
      <c r="L217" s="499"/>
      <c r="M217" s="499"/>
      <c r="N217" s="499"/>
      <c r="P217" s="452" t="str">
        <f t="array" aca="1" ref="P217" ca="1">IF(B217="","",IFERROR(MAX(OFFSET(高値!$E$6,MATCH(TEXT(B217,"0"),TEXT(銘柄管理!$B$6:$B$305,"0"),0)-1,0,1,10)),""))</f>
        <v/>
      </c>
      <c r="Q217" s="452" t="str">
        <f t="array" aca="1" ref="Q217" ca="1">IF(B217="","",IFERROR(MIN(OFFSET(安値!$E$6,MATCH(TEXT(B217,"0"),TEXT(銘柄管理!$B$6:$B$305,"0"),0)-1,0,1,10)),""))</f>
        <v/>
      </c>
      <c r="R217" s="499"/>
      <c r="S217" s="499"/>
      <c r="T217" s="499"/>
      <c r="U217" s="499"/>
      <c r="V217" s="499"/>
      <c r="W217" s="499"/>
      <c r="X217" s="499"/>
      <c r="Y217" s="499"/>
      <c r="Z217" s="499"/>
    </row>
    <row r="218" spans="1:26" ht="17.25" customHeight="1">
      <c r="A218" s="499"/>
      <c r="B218" s="499"/>
      <c r="C218" s="499"/>
      <c r="D218" s="499"/>
      <c r="E218" s="499"/>
      <c r="F218" s="500"/>
      <c r="G218" s="499"/>
      <c r="H218" s="499"/>
      <c r="I218" s="499"/>
      <c r="J218" s="452"/>
      <c r="K218" s="499"/>
      <c r="L218" s="499"/>
      <c r="M218" s="499"/>
      <c r="N218" s="499"/>
      <c r="P218" s="452" t="str">
        <f t="array" aca="1" ref="P218" ca="1">IF(B218="","",IFERROR(MAX(OFFSET(高値!$E$6,MATCH(TEXT(B218,"0"),TEXT(銘柄管理!$B$6:$B$305,"0"),0)-1,0,1,10)),""))</f>
        <v/>
      </c>
      <c r="Q218" s="452" t="str">
        <f t="array" aca="1" ref="Q218" ca="1">IF(B218="","",IFERROR(MIN(OFFSET(安値!$E$6,MATCH(TEXT(B218,"0"),TEXT(銘柄管理!$B$6:$B$305,"0"),0)-1,0,1,10)),""))</f>
        <v/>
      </c>
      <c r="R218" s="499"/>
      <c r="S218" s="499"/>
      <c r="T218" s="499"/>
      <c r="U218" s="499"/>
      <c r="V218" s="499"/>
      <c r="W218" s="499"/>
      <c r="X218" s="499"/>
      <c r="Y218" s="499"/>
      <c r="Z218" s="499"/>
    </row>
    <row r="219" spans="1:26" ht="17.25" customHeight="1">
      <c r="A219" s="499"/>
      <c r="B219" s="499"/>
      <c r="C219" s="499"/>
      <c r="D219" s="499"/>
      <c r="E219" s="499"/>
      <c r="F219" s="500"/>
      <c r="G219" s="499"/>
      <c r="H219" s="499"/>
      <c r="I219" s="499"/>
      <c r="J219" s="452"/>
      <c r="K219" s="499"/>
      <c r="L219" s="499"/>
      <c r="M219" s="499"/>
      <c r="N219" s="499"/>
      <c r="P219" s="452" t="str">
        <f t="array" aca="1" ref="P219" ca="1">IF(B219="","",IFERROR(MAX(OFFSET(高値!$E$6,MATCH(TEXT(B219,"0"),TEXT(銘柄管理!$B$6:$B$305,"0"),0)-1,0,1,10)),""))</f>
        <v/>
      </c>
      <c r="Q219" s="452" t="str">
        <f t="array" aca="1" ref="Q219" ca="1">IF(B219="","",IFERROR(MIN(OFFSET(安値!$E$6,MATCH(TEXT(B219,"0"),TEXT(銘柄管理!$B$6:$B$305,"0"),0)-1,0,1,10)),""))</f>
        <v/>
      </c>
      <c r="R219" s="499"/>
      <c r="S219" s="499"/>
      <c r="T219" s="499"/>
      <c r="U219" s="499"/>
      <c r="V219" s="499"/>
      <c r="W219" s="499"/>
      <c r="X219" s="499"/>
      <c r="Y219" s="499"/>
      <c r="Z219" s="499"/>
    </row>
    <row r="220" spans="1:26" ht="17.25" customHeight="1">
      <c r="A220" s="499"/>
      <c r="B220" s="499"/>
      <c r="C220" s="499"/>
      <c r="D220" s="499"/>
      <c r="E220" s="499"/>
      <c r="F220" s="500"/>
      <c r="G220" s="499"/>
      <c r="H220" s="499"/>
      <c r="I220" s="499"/>
      <c r="J220" s="452"/>
      <c r="K220" s="499"/>
      <c r="L220" s="499"/>
      <c r="M220" s="499"/>
      <c r="N220" s="499"/>
      <c r="P220" s="452" t="str">
        <f t="array" aca="1" ref="P220" ca="1">IF(B220="","",IFERROR(MAX(OFFSET(高値!$E$6,MATCH(TEXT(B220,"0"),TEXT(銘柄管理!$B$6:$B$305,"0"),0)-1,0,1,10)),""))</f>
        <v/>
      </c>
      <c r="Q220" s="452" t="str">
        <f t="array" aca="1" ref="Q220" ca="1">IF(B220="","",IFERROR(MIN(OFFSET(安値!$E$6,MATCH(TEXT(B220,"0"),TEXT(銘柄管理!$B$6:$B$305,"0"),0)-1,0,1,10)),""))</f>
        <v/>
      </c>
      <c r="R220" s="499"/>
      <c r="S220" s="499"/>
      <c r="T220" s="499"/>
      <c r="U220" s="499"/>
      <c r="V220" s="499"/>
      <c r="W220" s="499"/>
      <c r="X220" s="499"/>
      <c r="Y220" s="499"/>
      <c r="Z220" s="499"/>
    </row>
    <row r="221" spans="1:26" ht="17.25" customHeight="1">
      <c r="A221" s="499"/>
      <c r="B221" s="499"/>
      <c r="C221" s="499"/>
      <c r="D221" s="499"/>
      <c r="E221" s="499"/>
      <c r="F221" s="500"/>
      <c r="G221" s="499"/>
      <c r="H221" s="499"/>
      <c r="I221" s="499"/>
      <c r="J221" s="452"/>
      <c r="K221" s="499"/>
      <c r="L221" s="499"/>
      <c r="M221" s="499"/>
      <c r="N221" s="499"/>
      <c r="P221" s="452" t="str">
        <f t="array" aca="1" ref="P221" ca="1">IF(B221="","",IFERROR(MAX(OFFSET(高値!$E$6,MATCH(TEXT(B221,"0"),TEXT(銘柄管理!$B$6:$B$305,"0"),0)-1,0,1,10)),""))</f>
        <v/>
      </c>
      <c r="Q221" s="452" t="str">
        <f t="array" aca="1" ref="Q221" ca="1">IF(B221="","",IFERROR(MIN(OFFSET(安値!$E$6,MATCH(TEXT(B221,"0"),TEXT(銘柄管理!$B$6:$B$305,"0"),0)-1,0,1,10)),""))</f>
        <v/>
      </c>
      <c r="R221" s="499"/>
      <c r="S221" s="499"/>
      <c r="T221" s="499"/>
      <c r="U221" s="499"/>
      <c r="V221" s="499"/>
      <c r="W221" s="499"/>
      <c r="X221" s="499"/>
      <c r="Y221" s="499"/>
      <c r="Z221" s="499"/>
    </row>
    <row r="222" spans="1:26" ht="17.25" customHeight="1">
      <c r="A222" s="499"/>
      <c r="B222" s="499"/>
      <c r="C222" s="499"/>
      <c r="D222" s="499"/>
      <c r="E222" s="499"/>
      <c r="F222" s="500"/>
      <c r="G222" s="499"/>
      <c r="H222" s="499"/>
      <c r="I222" s="499"/>
      <c r="J222" s="452"/>
      <c r="K222" s="499"/>
      <c r="L222" s="499"/>
      <c r="M222" s="499"/>
      <c r="N222" s="499"/>
      <c r="P222" s="452" t="str">
        <f t="array" aca="1" ref="P222" ca="1">IF(B222="","",IFERROR(MAX(OFFSET(高値!$E$6,MATCH(TEXT(B222,"0"),TEXT(銘柄管理!$B$6:$B$305,"0"),0)-1,0,1,10)),""))</f>
        <v/>
      </c>
      <c r="Q222" s="452" t="str">
        <f t="array" aca="1" ref="Q222" ca="1">IF(B222="","",IFERROR(MIN(OFFSET(安値!$E$6,MATCH(TEXT(B222,"0"),TEXT(銘柄管理!$B$6:$B$305,"0"),0)-1,0,1,10)),""))</f>
        <v/>
      </c>
      <c r="R222" s="499"/>
      <c r="S222" s="499"/>
      <c r="T222" s="499"/>
      <c r="U222" s="499"/>
      <c r="V222" s="499"/>
      <c r="W222" s="499"/>
      <c r="X222" s="499"/>
      <c r="Y222" s="499"/>
      <c r="Z222" s="499"/>
    </row>
    <row r="223" spans="1:26" ht="17.25" customHeight="1">
      <c r="A223" s="499"/>
      <c r="B223" s="499"/>
      <c r="C223" s="499"/>
      <c r="D223" s="499"/>
      <c r="E223" s="499"/>
      <c r="F223" s="500"/>
      <c r="G223" s="499"/>
      <c r="H223" s="499"/>
      <c r="I223" s="499"/>
      <c r="J223" s="452"/>
      <c r="K223" s="499"/>
      <c r="L223" s="499"/>
      <c r="M223" s="499"/>
      <c r="N223" s="499"/>
      <c r="P223" s="452" t="str">
        <f t="array" aca="1" ref="P223" ca="1">IF(B223="","",IFERROR(MAX(OFFSET(高値!$E$6,MATCH(TEXT(B223,"0"),TEXT(銘柄管理!$B$6:$B$305,"0"),0)-1,0,1,10)),""))</f>
        <v/>
      </c>
      <c r="Q223" s="452" t="str">
        <f t="array" aca="1" ref="Q223" ca="1">IF(B223="","",IFERROR(MIN(OFFSET(安値!$E$6,MATCH(TEXT(B223,"0"),TEXT(銘柄管理!$B$6:$B$305,"0"),0)-1,0,1,10)),""))</f>
        <v/>
      </c>
      <c r="R223" s="499"/>
      <c r="S223" s="499"/>
      <c r="T223" s="499"/>
      <c r="U223" s="499"/>
      <c r="V223" s="499"/>
      <c r="W223" s="499"/>
      <c r="X223" s="499"/>
      <c r="Y223" s="499"/>
      <c r="Z223" s="499"/>
    </row>
    <row r="224" spans="1:26" ht="17.25" customHeight="1">
      <c r="A224" s="499"/>
      <c r="B224" s="499"/>
      <c r="C224" s="499"/>
      <c r="D224" s="499"/>
      <c r="E224" s="499"/>
      <c r="F224" s="500"/>
      <c r="G224" s="499"/>
      <c r="H224" s="499"/>
      <c r="I224" s="499"/>
      <c r="J224" s="452"/>
      <c r="K224" s="499"/>
      <c r="L224" s="499"/>
      <c r="M224" s="499"/>
      <c r="N224" s="499"/>
      <c r="P224" s="452" t="str">
        <f t="array" aca="1" ref="P224" ca="1">IF(B224="","",IFERROR(MAX(OFFSET(高値!$E$6,MATCH(TEXT(B224,"0"),TEXT(銘柄管理!$B$6:$B$305,"0"),0)-1,0,1,10)),""))</f>
        <v/>
      </c>
      <c r="Q224" s="452" t="str">
        <f t="array" aca="1" ref="Q224" ca="1">IF(B224="","",IFERROR(MIN(OFFSET(安値!$E$6,MATCH(TEXT(B224,"0"),TEXT(銘柄管理!$B$6:$B$305,"0"),0)-1,0,1,10)),""))</f>
        <v/>
      </c>
      <c r="R224" s="499"/>
      <c r="S224" s="499"/>
      <c r="T224" s="499"/>
      <c r="U224" s="499"/>
      <c r="V224" s="499"/>
      <c r="W224" s="499"/>
      <c r="X224" s="499"/>
      <c r="Y224" s="499"/>
      <c r="Z224" s="499"/>
    </row>
    <row r="225" spans="1:26" ht="17.25" customHeight="1">
      <c r="A225" s="499"/>
      <c r="B225" s="499"/>
      <c r="C225" s="499"/>
      <c r="D225" s="499"/>
      <c r="E225" s="499"/>
      <c r="F225" s="500"/>
      <c r="G225" s="499"/>
      <c r="H225" s="499"/>
      <c r="I225" s="499"/>
      <c r="J225" s="452"/>
      <c r="K225" s="499"/>
      <c r="L225" s="499"/>
      <c r="M225" s="499"/>
      <c r="N225" s="499"/>
      <c r="P225" s="452" t="str">
        <f t="array" aca="1" ref="P225" ca="1">IF(B225="","",IFERROR(MAX(OFFSET(高値!$E$6,MATCH(TEXT(B225,"0"),TEXT(銘柄管理!$B$6:$B$305,"0"),0)-1,0,1,10)),""))</f>
        <v/>
      </c>
      <c r="Q225" s="452" t="str">
        <f t="array" aca="1" ref="Q225" ca="1">IF(B225="","",IFERROR(MIN(OFFSET(安値!$E$6,MATCH(TEXT(B225,"0"),TEXT(銘柄管理!$B$6:$B$305,"0"),0)-1,0,1,10)),""))</f>
        <v/>
      </c>
      <c r="R225" s="499"/>
      <c r="S225" s="499"/>
      <c r="T225" s="499"/>
      <c r="U225" s="499"/>
      <c r="V225" s="499"/>
      <c r="W225" s="499"/>
      <c r="X225" s="499"/>
      <c r="Y225" s="499"/>
      <c r="Z225" s="499"/>
    </row>
    <row r="226" spans="1:26" ht="17.25" customHeight="1">
      <c r="A226" s="499"/>
      <c r="B226" s="499"/>
      <c r="C226" s="499"/>
      <c r="D226" s="499"/>
      <c r="E226" s="499"/>
      <c r="F226" s="500"/>
      <c r="G226" s="499"/>
      <c r="H226" s="499"/>
      <c r="I226" s="499"/>
      <c r="J226" s="452"/>
      <c r="K226" s="499"/>
      <c r="L226" s="499"/>
      <c r="M226" s="499"/>
      <c r="N226" s="499"/>
      <c r="P226" s="452" t="str">
        <f t="array" aca="1" ref="P226" ca="1">IF(B226="","",IFERROR(MAX(OFFSET(高値!$E$6,MATCH(TEXT(B226,"0"),TEXT(銘柄管理!$B$6:$B$305,"0"),0)-1,0,1,10)),""))</f>
        <v/>
      </c>
      <c r="Q226" s="452" t="str">
        <f t="array" aca="1" ref="Q226" ca="1">IF(B226="","",IFERROR(MIN(OFFSET(安値!$E$6,MATCH(TEXT(B226,"0"),TEXT(銘柄管理!$B$6:$B$305,"0"),0)-1,0,1,10)),""))</f>
        <v/>
      </c>
      <c r="R226" s="499"/>
      <c r="S226" s="499"/>
      <c r="T226" s="499"/>
      <c r="U226" s="499"/>
      <c r="V226" s="499"/>
      <c r="W226" s="499"/>
      <c r="X226" s="499"/>
      <c r="Y226" s="499"/>
      <c r="Z226" s="499"/>
    </row>
    <row r="227" spans="1:26" ht="17.25" customHeight="1">
      <c r="A227" s="499"/>
      <c r="B227" s="499"/>
      <c r="C227" s="499"/>
      <c r="D227" s="499"/>
      <c r="E227" s="499"/>
      <c r="F227" s="500"/>
      <c r="G227" s="499"/>
      <c r="H227" s="499"/>
      <c r="I227" s="499"/>
      <c r="J227" s="452"/>
      <c r="K227" s="499"/>
      <c r="L227" s="499"/>
      <c r="M227" s="499"/>
      <c r="N227" s="499"/>
      <c r="P227" s="452" t="str">
        <f t="array" aca="1" ref="P227" ca="1">IF(B227="","",IFERROR(MAX(OFFSET(高値!$E$6,MATCH(TEXT(B227,"0"),TEXT(銘柄管理!$B$6:$B$305,"0"),0)-1,0,1,10)),""))</f>
        <v/>
      </c>
      <c r="Q227" s="452" t="str">
        <f t="array" aca="1" ref="Q227" ca="1">IF(B227="","",IFERROR(MIN(OFFSET(安値!$E$6,MATCH(TEXT(B227,"0"),TEXT(銘柄管理!$B$6:$B$305,"0"),0)-1,0,1,10)),""))</f>
        <v/>
      </c>
      <c r="R227" s="499"/>
      <c r="S227" s="499"/>
      <c r="T227" s="499"/>
      <c r="U227" s="499"/>
      <c r="V227" s="499"/>
      <c r="W227" s="499"/>
      <c r="X227" s="499"/>
      <c r="Y227" s="499"/>
      <c r="Z227" s="499"/>
    </row>
    <row r="228" spans="1:26" ht="17.25" customHeight="1">
      <c r="A228" s="499"/>
      <c r="B228" s="499"/>
      <c r="C228" s="499"/>
      <c r="D228" s="499"/>
      <c r="E228" s="499"/>
      <c r="F228" s="500"/>
      <c r="G228" s="499"/>
      <c r="H228" s="499"/>
      <c r="I228" s="499"/>
      <c r="J228" s="452"/>
      <c r="K228" s="499"/>
      <c r="L228" s="499"/>
      <c r="M228" s="499"/>
      <c r="N228" s="499"/>
      <c r="P228" s="452" t="str">
        <f t="array" aca="1" ref="P228" ca="1">IF(B228="","",IFERROR(MAX(OFFSET(高値!$E$6,MATCH(TEXT(B228,"0"),TEXT(銘柄管理!$B$6:$B$305,"0"),0)-1,0,1,10)),""))</f>
        <v/>
      </c>
      <c r="Q228" s="452" t="str">
        <f t="array" aca="1" ref="Q228" ca="1">IF(B228="","",IFERROR(MIN(OFFSET(安値!$E$6,MATCH(TEXT(B228,"0"),TEXT(銘柄管理!$B$6:$B$305,"0"),0)-1,0,1,10)),""))</f>
        <v/>
      </c>
      <c r="R228" s="499"/>
      <c r="S228" s="499"/>
      <c r="T228" s="499"/>
      <c r="U228" s="499"/>
      <c r="V228" s="499"/>
      <c r="W228" s="499"/>
      <c r="X228" s="499"/>
      <c r="Y228" s="499"/>
      <c r="Z228" s="499"/>
    </row>
    <row r="229" spans="1:26" ht="17.25" customHeight="1">
      <c r="A229" s="499"/>
      <c r="B229" s="499"/>
      <c r="C229" s="499"/>
      <c r="D229" s="499"/>
      <c r="E229" s="499"/>
      <c r="F229" s="500"/>
      <c r="G229" s="499"/>
      <c r="H229" s="499"/>
      <c r="I229" s="499"/>
      <c r="J229" s="452"/>
      <c r="K229" s="499"/>
      <c r="L229" s="499"/>
      <c r="M229" s="499"/>
      <c r="N229" s="499"/>
      <c r="P229" s="452" t="str">
        <f t="array" aca="1" ref="P229" ca="1">IF(B229="","",IFERROR(MAX(OFFSET(高値!$E$6,MATCH(TEXT(B229,"0"),TEXT(銘柄管理!$B$6:$B$305,"0"),0)-1,0,1,10)),""))</f>
        <v/>
      </c>
      <c r="Q229" s="452" t="str">
        <f t="array" aca="1" ref="Q229" ca="1">IF(B229="","",IFERROR(MIN(OFFSET(安値!$E$6,MATCH(TEXT(B229,"0"),TEXT(銘柄管理!$B$6:$B$305,"0"),0)-1,0,1,10)),""))</f>
        <v/>
      </c>
      <c r="R229" s="499"/>
      <c r="S229" s="499"/>
      <c r="T229" s="499"/>
      <c r="U229" s="499"/>
      <c r="V229" s="499"/>
      <c r="W229" s="499"/>
      <c r="X229" s="499"/>
      <c r="Y229" s="499"/>
      <c r="Z229" s="499"/>
    </row>
    <row r="230" spans="1:26" ht="17.25" customHeight="1">
      <c r="A230" s="499"/>
      <c r="B230" s="499"/>
      <c r="C230" s="499"/>
      <c r="D230" s="499"/>
      <c r="E230" s="499"/>
      <c r="F230" s="500"/>
      <c r="G230" s="499"/>
      <c r="H230" s="499"/>
      <c r="I230" s="499"/>
      <c r="J230" s="452"/>
      <c r="K230" s="499"/>
      <c r="L230" s="499"/>
      <c r="M230" s="499"/>
      <c r="N230" s="499"/>
      <c r="P230" s="452" t="str">
        <f t="array" aca="1" ref="P230" ca="1">IF(B230="","",IFERROR(MAX(OFFSET(高値!$E$6,MATCH(TEXT(B230,"0"),TEXT(銘柄管理!$B$6:$B$305,"0"),0)-1,0,1,10)),""))</f>
        <v/>
      </c>
      <c r="Q230" s="452" t="str">
        <f t="array" aca="1" ref="Q230" ca="1">IF(B230="","",IFERROR(MIN(OFFSET(安値!$E$6,MATCH(TEXT(B230,"0"),TEXT(銘柄管理!$B$6:$B$305,"0"),0)-1,0,1,10)),""))</f>
        <v/>
      </c>
      <c r="R230" s="499"/>
      <c r="S230" s="499"/>
      <c r="T230" s="499"/>
      <c r="U230" s="499"/>
      <c r="V230" s="499"/>
      <c r="W230" s="499"/>
      <c r="X230" s="499"/>
      <c r="Y230" s="499"/>
      <c r="Z230" s="499"/>
    </row>
    <row r="231" spans="1:26" ht="17.25" customHeight="1">
      <c r="A231" s="499"/>
      <c r="B231" s="499"/>
      <c r="C231" s="499"/>
      <c r="D231" s="499"/>
      <c r="E231" s="499"/>
      <c r="F231" s="500"/>
      <c r="G231" s="499"/>
      <c r="H231" s="499"/>
      <c r="I231" s="499"/>
      <c r="J231" s="452"/>
      <c r="K231" s="499"/>
      <c r="L231" s="499"/>
      <c r="M231" s="499"/>
      <c r="N231" s="499"/>
      <c r="P231" s="452" t="str">
        <f t="array" aca="1" ref="P231" ca="1">IF(B231="","",IFERROR(MAX(OFFSET(高値!$E$6,MATCH(TEXT(B231,"0"),TEXT(銘柄管理!$B$6:$B$305,"0"),0)-1,0,1,10)),""))</f>
        <v/>
      </c>
      <c r="Q231" s="452" t="str">
        <f t="array" aca="1" ref="Q231" ca="1">IF(B231="","",IFERROR(MIN(OFFSET(安値!$E$6,MATCH(TEXT(B231,"0"),TEXT(銘柄管理!$B$6:$B$305,"0"),0)-1,0,1,10)),""))</f>
        <v/>
      </c>
      <c r="R231" s="499"/>
      <c r="S231" s="499"/>
      <c r="T231" s="499"/>
      <c r="U231" s="499"/>
      <c r="V231" s="499"/>
      <c r="W231" s="499"/>
      <c r="X231" s="499"/>
      <c r="Y231" s="499"/>
      <c r="Z231" s="499"/>
    </row>
    <row r="232" spans="1:26" ht="17.25" customHeight="1">
      <c r="A232" s="499"/>
      <c r="B232" s="499"/>
      <c r="C232" s="499"/>
      <c r="D232" s="499"/>
      <c r="E232" s="499"/>
      <c r="F232" s="500"/>
      <c r="G232" s="499"/>
      <c r="H232" s="499"/>
      <c r="I232" s="499"/>
      <c r="J232" s="452"/>
      <c r="K232" s="499"/>
      <c r="L232" s="499"/>
      <c r="M232" s="499"/>
      <c r="N232" s="499"/>
      <c r="P232" s="452" t="str">
        <f t="array" aca="1" ref="P232" ca="1">IF(B232="","",IFERROR(MAX(OFFSET(高値!$E$6,MATCH(TEXT(B232,"0"),TEXT(銘柄管理!$B$6:$B$305,"0"),0)-1,0,1,10)),""))</f>
        <v/>
      </c>
      <c r="Q232" s="452" t="str">
        <f t="array" aca="1" ref="Q232" ca="1">IF(B232="","",IFERROR(MIN(OFFSET(安値!$E$6,MATCH(TEXT(B232,"0"),TEXT(銘柄管理!$B$6:$B$305,"0"),0)-1,0,1,10)),""))</f>
        <v/>
      </c>
      <c r="R232" s="499"/>
      <c r="S232" s="499"/>
      <c r="T232" s="499"/>
      <c r="U232" s="499"/>
      <c r="V232" s="499"/>
      <c r="W232" s="499"/>
      <c r="X232" s="499"/>
      <c r="Y232" s="499"/>
      <c r="Z232" s="499"/>
    </row>
    <row r="233" spans="1:26" ht="17.25" customHeight="1">
      <c r="A233" s="499"/>
      <c r="B233" s="499"/>
      <c r="C233" s="499"/>
      <c r="D233" s="499"/>
      <c r="E233" s="499"/>
      <c r="F233" s="500"/>
      <c r="G233" s="499"/>
      <c r="H233" s="499"/>
      <c r="I233" s="499"/>
      <c r="J233" s="452"/>
      <c r="K233" s="499"/>
      <c r="L233" s="499"/>
      <c r="M233" s="499"/>
      <c r="N233" s="499"/>
      <c r="P233" s="452" t="str">
        <f t="array" aca="1" ref="P233" ca="1">IF(B233="","",IFERROR(MAX(OFFSET(高値!$E$6,MATCH(TEXT(B233,"0"),TEXT(銘柄管理!$B$6:$B$305,"0"),0)-1,0,1,10)),""))</f>
        <v/>
      </c>
      <c r="Q233" s="452" t="str">
        <f t="array" aca="1" ref="Q233" ca="1">IF(B233="","",IFERROR(MIN(OFFSET(安値!$E$6,MATCH(TEXT(B233,"0"),TEXT(銘柄管理!$B$6:$B$305,"0"),0)-1,0,1,10)),""))</f>
        <v/>
      </c>
      <c r="R233" s="499"/>
      <c r="S233" s="499"/>
      <c r="T233" s="499"/>
      <c r="U233" s="499"/>
      <c r="V233" s="499"/>
      <c r="W233" s="499"/>
      <c r="X233" s="499"/>
      <c r="Y233" s="499"/>
      <c r="Z233" s="499"/>
    </row>
    <row r="234" spans="1:26" ht="17.25" customHeight="1">
      <c r="A234" s="499"/>
      <c r="B234" s="499"/>
      <c r="C234" s="499"/>
      <c r="D234" s="499"/>
      <c r="E234" s="499"/>
      <c r="F234" s="500"/>
      <c r="G234" s="499"/>
      <c r="H234" s="499"/>
      <c r="I234" s="499"/>
      <c r="J234" s="452"/>
      <c r="K234" s="499"/>
      <c r="L234" s="499"/>
      <c r="M234" s="499"/>
      <c r="N234" s="499"/>
      <c r="P234" s="452" t="str">
        <f t="array" aca="1" ref="P234" ca="1">IF(B234="","",IFERROR(MAX(OFFSET(高値!$E$6,MATCH(TEXT(B234,"0"),TEXT(銘柄管理!$B$6:$B$305,"0"),0)-1,0,1,10)),""))</f>
        <v/>
      </c>
      <c r="Q234" s="452" t="str">
        <f t="array" aca="1" ref="Q234" ca="1">IF(B234="","",IFERROR(MIN(OFFSET(安値!$E$6,MATCH(TEXT(B234,"0"),TEXT(銘柄管理!$B$6:$B$305,"0"),0)-1,0,1,10)),""))</f>
        <v/>
      </c>
      <c r="R234" s="499"/>
      <c r="S234" s="499"/>
      <c r="T234" s="499"/>
      <c r="U234" s="499"/>
      <c r="V234" s="499"/>
      <c r="W234" s="499"/>
      <c r="X234" s="499"/>
      <c r="Y234" s="499"/>
      <c r="Z234" s="499"/>
    </row>
    <row r="235" spans="1:26" ht="17.25" customHeight="1">
      <c r="A235" s="499"/>
      <c r="B235" s="499"/>
      <c r="C235" s="499"/>
      <c r="D235" s="499"/>
      <c r="E235" s="499"/>
      <c r="F235" s="500"/>
      <c r="G235" s="499"/>
      <c r="H235" s="499"/>
      <c r="I235" s="499"/>
      <c r="J235" s="452"/>
      <c r="K235" s="499"/>
      <c r="L235" s="499"/>
      <c r="M235" s="499"/>
      <c r="N235" s="499"/>
      <c r="P235" s="452" t="str">
        <f t="array" aca="1" ref="P235" ca="1">IF(B235="","",IFERROR(MAX(OFFSET(高値!$E$6,MATCH(TEXT(B235,"0"),TEXT(銘柄管理!$B$6:$B$305,"0"),0)-1,0,1,10)),""))</f>
        <v/>
      </c>
      <c r="Q235" s="452" t="str">
        <f t="array" aca="1" ref="Q235" ca="1">IF(B235="","",IFERROR(MIN(OFFSET(安値!$E$6,MATCH(TEXT(B235,"0"),TEXT(銘柄管理!$B$6:$B$305,"0"),0)-1,0,1,10)),""))</f>
        <v/>
      </c>
      <c r="R235" s="499"/>
      <c r="S235" s="499"/>
      <c r="T235" s="499"/>
      <c r="U235" s="499"/>
      <c r="V235" s="499"/>
      <c r="W235" s="499"/>
      <c r="X235" s="499"/>
      <c r="Y235" s="499"/>
      <c r="Z235" s="499"/>
    </row>
    <row r="236" spans="1:26" ht="17.25" customHeight="1">
      <c r="A236" s="499"/>
      <c r="B236" s="499"/>
      <c r="C236" s="499"/>
      <c r="D236" s="499"/>
      <c r="E236" s="499"/>
      <c r="F236" s="500"/>
      <c r="G236" s="499"/>
      <c r="H236" s="499"/>
      <c r="I236" s="499"/>
      <c r="J236" s="452"/>
      <c r="K236" s="499"/>
      <c r="L236" s="499"/>
      <c r="M236" s="499"/>
      <c r="N236" s="499"/>
      <c r="P236" s="452" t="str">
        <f t="array" aca="1" ref="P236" ca="1">IF(B236="","",IFERROR(MAX(OFFSET(高値!$E$6,MATCH(TEXT(B236,"0"),TEXT(銘柄管理!$B$6:$B$305,"0"),0)-1,0,1,10)),""))</f>
        <v/>
      </c>
      <c r="Q236" s="452" t="str">
        <f t="array" aca="1" ref="Q236" ca="1">IF(B236="","",IFERROR(MIN(OFFSET(安値!$E$6,MATCH(TEXT(B236,"0"),TEXT(銘柄管理!$B$6:$B$305,"0"),0)-1,0,1,10)),""))</f>
        <v/>
      </c>
      <c r="R236" s="499"/>
      <c r="S236" s="499"/>
      <c r="T236" s="499"/>
      <c r="U236" s="499"/>
      <c r="V236" s="499"/>
      <c r="W236" s="499"/>
      <c r="X236" s="499"/>
      <c r="Y236" s="499"/>
      <c r="Z236" s="499"/>
    </row>
    <row r="237" spans="1:26" ht="17.25" customHeight="1">
      <c r="A237" s="499"/>
      <c r="B237" s="499"/>
      <c r="C237" s="499"/>
      <c r="D237" s="499"/>
      <c r="E237" s="499"/>
      <c r="F237" s="500"/>
      <c r="G237" s="499"/>
      <c r="H237" s="499"/>
      <c r="I237" s="499"/>
      <c r="J237" s="452"/>
      <c r="K237" s="499"/>
      <c r="L237" s="499"/>
      <c r="M237" s="499"/>
      <c r="N237" s="499"/>
      <c r="P237" s="452" t="str">
        <f t="array" aca="1" ref="P237" ca="1">IF(B237="","",IFERROR(MAX(OFFSET(高値!$E$6,MATCH(TEXT(B237,"0"),TEXT(銘柄管理!$B$6:$B$305,"0"),0)-1,0,1,10)),""))</f>
        <v/>
      </c>
      <c r="Q237" s="452" t="str">
        <f t="array" aca="1" ref="Q237" ca="1">IF(B237="","",IFERROR(MIN(OFFSET(安値!$E$6,MATCH(TEXT(B237,"0"),TEXT(銘柄管理!$B$6:$B$305,"0"),0)-1,0,1,10)),""))</f>
        <v/>
      </c>
      <c r="R237" s="499"/>
      <c r="S237" s="499"/>
      <c r="T237" s="499"/>
      <c r="U237" s="499"/>
      <c r="V237" s="499"/>
      <c r="W237" s="499"/>
      <c r="X237" s="499"/>
      <c r="Y237" s="499"/>
      <c r="Z237" s="499"/>
    </row>
    <row r="238" spans="1:26" ht="17.25" customHeight="1">
      <c r="A238" s="499"/>
      <c r="B238" s="499"/>
      <c r="C238" s="499"/>
      <c r="D238" s="499"/>
      <c r="E238" s="499"/>
      <c r="F238" s="500"/>
      <c r="G238" s="499"/>
      <c r="H238" s="499"/>
      <c r="I238" s="499"/>
      <c r="J238" s="452"/>
      <c r="K238" s="499"/>
      <c r="L238" s="499"/>
      <c r="M238" s="499"/>
      <c r="N238" s="499"/>
      <c r="P238" s="452" t="str">
        <f t="array" aca="1" ref="P238" ca="1">IF(B238="","",IFERROR(MAX(OFFSET(高値!$E$6,MATCH(TEXT(B238,"0"),TEXT(銘柄管理!$B$6:$B$305,"0"),0)-1,0,1,10)),""))</f>
        <v/>
      </c>
      <c r="Q238" s="452" t="str">
        <f t="array" aca="1" ref="Q238" ca="1">IF(B238="","",IFERROR(MIN(OFFSET(安値!$E$6,MATCH(TEXT(B238,"0"),TEXT(銘柄管理!$B$6:$B$305,"0"),0)-1,0,1,10)),""))</f>
        <v/>
      </c>
      <c r="R238" s="499"/>
      <c r="S238" s="499"/>
      <c r="T238" s="499"/>
      <c r="U238" s="499"/>
      <c r="V238" s="499"/>
      <c r="W238" s="499"/>
      <c r="X238" s="499"/>
      <c r="Y238" s="499"/>
      <c r="Z238" s="499"/>
    </row>
    <row r="239" spans="1:26" ht="17.25" customHeight="1">
      <c r="A239" s="499"/>
      <c r="B239" s="499"/>
      <c r="C239" s="499"/>
      <c r="D239" s="499"/>
      <c r="E239" s="499"/>
      <c r="F239" s="500"/>
      <c r="G239" s="499"/>
      <c r="H239" s="499"/>
      <c r="I239" s="499"/>
      <c r="J239" s="452"/>
      <c r="K239" s="499"/>
      <c r="L239" s="499"/>
      <c r="M239" s="499"/>
      <c r="N239" s="499"/>
      <c r="P239" s="452" t="str">
        <f t="array" aca="1" ref="P239" ca="1">IF(B239="","",IFERROR(MAX(OFFSET(高値!$E$6,MATCH(TEXT(B239,"0"),TEXT(銘柄管理!$B$6:$B$305,"0"),0)-1,0,1,10)),""))</f>
        <v/>
      </c>
      <c r="Q239" s="452" t="str">
        <f t="array" aca="1" ref="Q239" ca="1">IF(B239="","",IFERROR(MIN(OFFSET(安値!$E$6,MATCH(TEXT(B239,"0"),TEXT(銘柄管理!$B$6:$B$305,"0"),0)-1,0,1,10)),""))</f>
        <v/>
      </c>
      <c r="R239" s="499"/>
      <c r="S239" s="499"/>
      <c r="T239" s="499"/>
      <c r="U239" s="499"/>
      <c r="V239" s="499"/>
      <c r="W239" s="499"/>
      <c r="X239" s="499"/>
      <c r="Y239" s="499"/>
      <c r="Z239" s="499"/>
    </row>
    <row r="240" spans="1:26" ht="17.25" customHeight="1">
      <c r="A240" s="499"/>
      <c r="B240" s="499"/>
      <c r="C240" s="499"/>
      <c r="D240" s="499"/>
      <c r="E240" s="499"/>
      <c r="F240" s="500"/>
      <c r="G240" s="499"/>
      <c r="H240" s="499"/>
      <c r="I240" s="499"/>
      <c r="J240" s="452"/>
      <c r="K240" s="499"/>
      <c r="L240" s="499"/>
      <c r="M240" s="499"/>
      <c r="N240" s="499"/>
      <c r="P240" s="452" t="str">
        <f t="array" aca="1" ref="P240" ca="1">IF(B240="","",IFERROR(MAX(OFFSET(高値!$E$6,MATCH(TEXT(B240,"0"),TEXT(銘柄管理!$B$6:$B$305,"0"),0)-1,0,1,10)),""))</f>
        <v/>
      </c>
      <c r="Q240" s="452" t="str">
        <f t="array" aca="1" ref="Q240" ca="1">IF(B240="","",IFERROR(MIN(OFFSET(安値!$E$6,MATCH(TEXT(B240,"0"),TEXT(銘柄管理!$B$6:$B$305,"0"),0)-1,0,1,10)),""))</f>
        <v/>
      </c>
      <c r="R240" s="499"/>
      <c r="S240" s="499"/>
      <c r="T240" s="499"/>
      <c r="U240" s="499"/>
      <c r="V240" s="499"/>
      <c r="W240" s="499"/>
      <c r="X240" s="499"/>
      <c r="Y240" s="499"/>
      <c r="Z240" s="499"/>
    </row>
    <row r="241" spans="1:26" ht="17.25" customHeight="1">
      <c r="A241" s="499"/>
      <c r="B241" s="499"/>
      <c r="C241" s="499"/>
      <c r="D241" s="499"/>
      <c r="E241" s="499"/>
      <c r="F241" s="500"/>
      <c r="G241" s="499"/>
      <c r="H241" s="499"/>
      <c r="I241" s="499"/>
      <c r="J241" s="452"/>
      <c r="K241" s="499"/>
      <c r="L241" s="499"/>
      <c r="M241" s="499"/>
      <c r="N241" s="499"/>
      <c r="P241" s="452" t="str">
        <f t="array" aca="1" ref="P241" ca="1">IF(B241="","",IFERROR(MAX(OFFSET(高値!$E$6,MATCH(TEXT(B241,"0"),TEXT(銘柄管理!$B$6:$B$305,"0"),0)-1,0,1,10)),""))</f>
        <v/>
      </c>
      <c r="Q241" s="452" t="str">
        <f t="array" aca="1" ref="Q241" ca="1">IF(B241="","",IFERROR(MIN(OFFSET(安値!$E$6,MATCH(TEXT(B241,"0"),TEXT(銘柄管理!$B$6:$B$305,"0"),0)-1,0,1,10)),""))</f>
        <v/>
      </c>
      <c r="R241" s="499"/>
      <c r="S241" s="499"/>
      <c r="T241" s="499"/>
      <c r="U241" s="499"/>
      <c r="V241" s="499"/>
      <c r="W241" s="499"/>
      <c r="X241" s="499"/>
      <c r="Y241" s="499"/>
      <c r="Z241" s="499"/>
    </row>
    <row r="242" spans="1:26" ht="17.25" customHeight="1">
      <c r="A242" s="499"/>
      <c r="B242" s="499"/>
      <c r="C242" s="499"/>
      <c r="D242" s="499"/>
      <c r="E242" s="499"/>
      <c r="F242" s="500"/>
      <c r="G242" s="499"/>
      <c r="H242" s="499"/>
      <c r="I242" s="499"/>
      <c r="J242" s="452"/>
      <c r="K242" s="499"/>
      <c r="L242" s="499"/>
      <c r="M242" s="499"/>
      <c r="N242" s="499"/>
      <c r="P242" s="452" t="str">
        <f t="array" aca="1" ref="P242" ca="1">IF(B242="","",IFERROR(MAX(OFFSET(高値!$E$6,MATCH(TEXT(B242,"0"),TEXT(銘柄管理!$B$6:$B$305,"0"),0)-1,0,1,10)),""))</f>
        <v/>
      </c>
      <c r="Q242" s="452" t="str">
        <f t="array" aca="1" ref="Q242" ca="1">IF(B242="","",IFERROR(MIN(OFFSET(安値!$E$6,MATCH(TEXT(B242,"0"),TEXT(銘柄管理!$B$6:$B$305,"0"),0)-1,0,1,10)),""))</f>
        <v/>
      </c>
      <c r="R242" s="499"/>
      <c r="S242" s="499"/>
      <c r="T242" s="499"/>
      <c r="U242" s="499"/>
      <c r="V242" s="499"/>
      <c r="W242" s="499"/>
      <c r="X242" s="499"/>
      <c r="Y242" s="499"/>
      <c r="Z242" s="499"/>
    </row>
    <row r="243" spans="1:26" ht="17.25" customHeight="1">
      <c r="A243" s="499"/>
      <c r="B243" s="499"/>
      <c r="C243" s="499"/>
      <c r="D243" s="499"/>
      <c r="E243" s="499"/>
      <c r="F243" s="500"/>
      <c r="G243" s="499"/>
      <c r="H243" s="499"/>
      <c r="I243" s="499"/>
      <c r="J243" s="452"/>
      <c r="K243" s="499"/>
      <c r="L243" s="499"/>
      <c r="M243" s="499"/>
      <c r="N243" s="499"/>
      <c r="P243" s="452" t="str">
        <f t="array" aca="1" ref="P243" ca="1">IF(B243="","",IFERROR(MAX(OFFSET(高値!$E$6,MATCH(TEXT(B243,"0"),TEXT(銘柄管理!$B$6:$B$305,"0"),0)-1,0,1,10)),""))</f>
        <v/>
      </c>
      <c r="Q243" s="452" t="str">
        <f t="array" aca="1" ref="Q243" ca="1">IF(B243="","",IFERROR(MIN(OFFSET(安値!$E$6,MATCH(TEXT(B243,"0"),TEXT(銘柄管理!$B$6:$B$305,"0"),0)-1,0,1,10)),""))</f>
        <v/>
      </c>
      <c r="R243" s="499"/>
      <c r="S243" s="499"/>
      <c r="T243" s="499"/>
      <c r="U243" s="499"/>
      <c r="V243" s="499"/>
      <c r="W243" s="499"/>
      <c r="X243" s="499"/>
      <c r="Y243" s="499"/>
      <c r="Z243" s="499"/>
    </row>
    <row r="244" spans="1:26" ht="17.25" customHeight="1">
      <c r="A244" s="499"/>
      <c r="B244" s="499"/>
      <c r="C244" s="499"/>
      <c r="D244" s="499"/>
      <c r="E244" s="499"/>
      <c r="F244" s="500"/>
      <c r="G244" s="499"/>
      <c r="H244" s="499"/>
      <c r="I244" s="499"/>
      <c r="J244" s="452"/>
      <c r="K244" s="499"/>
      <c r="L244" s="499"/>
      <c r="M244" s="499"/>
      <c r="N244" s="499"/>
      <c r="P244" s="452" t="str">
        <f t="array" aca="1" ref="P244" ca="1">IF(B244="","",IFERROR(MAX(OFFSET(高値!$E$6,MATCH(TEXT(B244,"0"),TEXT(銘柄管理!$B$6:$B$305,"0"),0)-1,0,1,10)),""))</f>
        <v/>
      </c>
      <c r="Q244" s="452" t="str">
        <f t="array" aca="1" ref="Q244" ca="1">IF(B244="","",IFERROR(MIN(OFFSET(安値!$E$6,MATCH(TEXT(B244,"0"),TEXT(銘柄管理!$B$6:$B$305,"0"),0)-1,0,1,10)),""))</f>
        <v/>
      </c>
      <c r="R244" s="499"/>
      <c r="S244" s="499"/>
      <c r="T244" s="499"/>
      <c r="U244" s="499"/>
      <c r="V244" s="499"/>
      <c r="W244" s="499"/>
      <c r="X244" s="499"/>
      <c r="Y244" s="499"/>
      <c r="Z244" s="499"/>
    </row>
    <row r="245" spans="1:26" ht="17.25" customHeight="1">
      <c r="A245" s="499"/>
      <c r="B245" s="499"/>
      <c r="C245" s="499"/>
      <c r="D245" s="499"/>
      <c r="E245" s="499"/>
      <c r="F245" s="500"/>
      <c r="G245" s="499"/>
      <c r="H245" s="499"/>
      <c r="I245" s="499"/>
      <c r="J245" s="452"/>
      <c r="K245" s="499"/>
      <c r="L245" s="499"/>
      <c r="M245" s="499"/>
      <c r="N245" s="499"/>
      <c r="P245" s="452" t="str">
        <f t="array" aca="1" ref="P245" ca="1">IF(B245="","",IFERROR(MAX(OFFSET(高値!$E$6,MATCH(TEXT(B245,"0"),TEXT(銘柄管理!$B$6:$B$305,"0"),0)-1,0,1,10)),""))</f>
        <v/>
      </c>
      <c r="Q245" s="452" t="str">
        <f t="array" aca="1" ref="Q245" ca="1">IF(B245="","",IFERROR(MIN(OFFSET(安値!$E$6,MATCH(TEXT(B245,"0"),TEXT(銘柄管理!$B$6:$B$305,"0"),0)-1,0,1,10)),""))</f>
        <v/>
      </c>
      <c r="R245" s="499"/>
      <c r="S245" s="499"/>
      <c r="T245" s="499"/>
      <c r="U245" s="499"/>
      <c r="V245" s="499"/>
      <c r="W245" s="499"/>
      <c r="X245" s="499"/>
      <c r="Y245" s="499"/>
      <c r="Z245" s="499"/>
    </row>
    <row r="246" spans="1:26" ht="17.25" customHeight="1">
      <c r="A246" s="499"/>
      <c r="B246" s="499"/>
      <c r="C246" s="499"/>
      <c r="D246" s="499"/>
      <c r="E246" s="499"/>
      <c r="F246" s="500"/>
      <c r="G246" s="499"/>
      <c r="H246" s="499"/>
      <c r="I246" s="499"/>
      <c r="J246" s="452"/>
      <c r="K246" s="499"/>
      <c r="L246" s="499"/>
      <c r="M246" s="499"/>
      <c r="N246" s="499"/>
      <c r="P246" s="452" t="str">
        <f t="array" aca="1" ref="P246" ca="1">IF(B246="","",IFERROR(MAX(OFFSET(高値!$E$6,MATCH(TEXT(B246,"0"),TEXT(銘柄管理!$B$6:$B$305,"0"),0)-1,0,1,10)),""))</f>
        <v/>
      </c>
      <c r="Q246" s="452" t="str">
        <f t="array" aca="1" ref="Q246" ca="1">IF(B246="","",IFERROR(MIN(OFFSET(安値!$E$6,MATCH(TEXT(B246,"0"),TEXT(銘柄管理!$B$6:$B$305,"0"),0)-1,0,1,10)),""))</f>
        <v/>
      </c>
      <c r="R246" s="499"/>
      <c r="S246" s="499"/>
      <c r="T246" s="499"/>
      <c r="U246" s="499"/>
      <c r="V246" s="499"/>
      <c r="W246" s="499"/>
      <c r="X246" s="499"/>
      <c r="Y246" s="499"/>
      <c r="Z246" s="499"/>
    </row>
    <row r="247" spans="1:26" ht="17.25" customHeight="1">
      <c r="A247" s="499"/>
      <c r="B247" s="499"/>
      <c r="C247" s="499"/>
      <c r="D247" s="499"/>
      <c r="E247" s="499"/>
      <c r="F247" s="500"/>
      <c r="G247" s="499"/>
      <c r="H247" s="499"/>
      <c r="I247" s="499"/>
      <c r="J247" s="452"/>
      <c r="K247" s="499"/>
      <c r="L247" s="499"/>
      <c r="M247" s="499"/>
      <c r="N247" s="499"/>
      <c r="P247" s="452" t="str">
        <f t="array" aca="1" ref="P247" ca="1">IF(B247="","",IFERROR(MAX(OFFSET(高値!$E$6,MATCH(TEXT(B247,"0"),TEXT(銘柄管理!$B$6:$B$305,"0"),0)-1,0,1,10)),""))</f>
        <v/>
      </c>
      <c r="Q247" s="452" t="str">
        <f t="array" aca="1" ref="Q247" ca="1">IF(B247="","",IFERROR(MIN(OFFSET(安値!$E$6,MATCH(TEXT(B247,"0"),TEXT(銘柄管理!$B$6:$B$305,"0"),0)-1,0,1,10)),""))</f>
        <v/>
      </c>
      <c r="R247" s="499"/>
      <c r="S247" s="499"/>
      <c r="T247" s="499"/>
      <c r="U247" s="499"/>
      <c r="V247" s="499"/>
      <c r="W247" s="499"/>
      <c r="X247" s="499"/>
      <c r="Y247" s="499"/>
      <c r="Z247" s="499"/>
    </row>
    <row r="248" spans="1:26" ht="17.25" customHeight="1">
      <c r="A248" s="499"/>
      <c r="B248" s="499"/>
      <c r="C248" s="499"/>
      <c r="D248" s="499"/>
      <c r="E248" s="499"/>
      <c r="F248" s="500"/>
      <c r="G248" s="499"/>
      <c r="H248" s="499"/>
      <c r="I248" s="499"/>
      <c r="J248" s="452"/>
      <c r="K248" s="499"/>
      <c r="L248" s="499"/>
      <c r="M248" s="499"/>
      <c r="N248" s="499"/>
      <c r="P248" s="452" t="str">
        <f t="array" aca="1" ref="P248" ca="1">IF(B248="","",IFERROR(MAX(OFFSET(高値!$E$6,MATCH(TEXT(B248,"0"),TEXT(銘柄管理!$B$6:$B$305,"0"),0)-1,0,1,10)),""))</f>
        <v/>
      </c>
      <c r="Q248" s="452" t="str">
        <f t="array" aca="1" ref="Q248" ca="1">IF(B248="","",IFERROR(MIN(OFFSET(安値!$E$6,MATCH(TEXT(B248,"0"),TEXT(銘柄管理!$B$6:$B$305,"0"),0)-1,0,1,10)),""))</f>
        <v/>
      </c>
      <c r="R248" s="499"/>
      <c r="S248" s="499"/>
      <c r="T248" s="499"/>
      <c r="U248" s="499"/>
      <c r="V248" s="499"/>
      <c r="W248" s="499"/>
      <c r="X248" s="499"/>
      <c r="Y248" s="499"/>
      <c r="Z248" s="499"/>
    </row>
    <row r="249" spans="1:26" ht="17.25" customHeight="1">
      <c r="A249" s="499"/>
      <c r="B249" s="499"/>
      <c r="C249" s="499"/>
      <c r="D249" s="499"/>
      <c r="E249" s="499"/>
      <c r="F249" s="500"/>
      <c r="G249" s="499"/>
      <c r="H249" s="499"/>
      <c r="I249" s="499"/>
      <c r="J249" s="452"/>
      <c r="K249" s="499"/>
      <c r="L249" s="499"/>
      <c r="M249" s="499"/>
      <c r="N249" s="499"/>
      <c r="P249" s="452" t="str">
        <f t="array" aca="1" ref="P249" ca="1">IF(B249="","",IFERROR(MAX(OFFSET(高値!$E$6,MATCH(TEXT(B249,"0"),TEXT(銘柄管理!$B$6:$B$305,"0"),0)-1,0,1,10)),""))</f>
        <v/>
      </c>
      <c r="Q249" s="452" t="str">
        <f t="array" aca="1" ref="Q249" ca="1">IF(B249="","",IFERROR(MIN(OFFSET(安値!$E$6,MATCH(TEXT(B249,"0"),TEXT(銘柄管理!$B$6:$B$305,"0"),0)-1,0,1,10)),""))</f>
        <v/>
      </c>
      <c r="R249" s="499"/>
      <c r="S249" s="499"/>
      <c r="T249" s="499"/>
      <c r="U249" s="499"/>
      <c r="V249" s="499"/>
      <c r="W249" s="499"/>
      <c r="X249" s="499"/>
      <c r="Y249" s="499"/>
      <c r="Z249" s="499"/>
    </row>
    <row r="250" spans="1:26" ht="17.25" customHeight="1">
      <c r="A250" s="499"/>
      <c r="B250" s="499"/>
      <c r="C250" s="499"/>
      <c r="D250" s="499"/>
      <c r="E250" s="499"/>
      <c r="F250" s="500"/>
      <c r="G250" s="499"/>
      <c r="H250" s="499"/>
      <c r="I250" s="499"/>
      <c r="J250" s="452"/>
      <c r="K250" s="499"/>
      <c r="L250" s="499"/>
      <c r="M250" s="499"/>
      <c r="N250" s="499"/>
      <c r="P250" s="452" t="str">
        <f t="array" aca="1" ref="P250" ca="1">IF(B250="","",IFERROR(MAX(OFFSET(高値!$E$6,MATCH(TEXT(B250,"0"),TEXT(銘柄管理!$B$6:$B$305,"0"),0)-1,0,1,10)),""))</f>
        <v/>
      </c>
      <c r="Q250" s="452" t="str">
        <f t="array" aca="1" ref="Q250" ca="1">IF(B250="","",IFERROR(MIN(OFFSET(安値!$E$6,MATCH(TEXT(B250,"0"),TEXT(銘柄管理!$B$6:$B$305,"0"),0)-1,0,1,10)),""))</f>
        <v/>
      </c>
      <c r="R250" s="499"/>
      <c r="S250" s="499"/>
      <c r="T250" s="499"/>
      <c r="U250" s="499"/>
      <c r="V250" s="499"/>
      <c r="W250" s="499"/>
      <c r="X250" s="499"/>
      <c r="Y250" s="499"/>
      <c r="Z250" s="499"/>
    </row>
    <row r="251" spans="1:26" ht="17.25" customHeight="1">
      <c r="A251" s="499"/>
      <c r="B251" s="499"/>
      <c r="C251" s="499"/>
      <c r="D251" s="499"/>
      <c r="E251" s="499"/>
      <c r="F251" s="500"/>
      <c r="G251" s="499"/>
      <c r="H251" s="499"/>
      <c r="I251" s="499"/>
      <c r="J251" s="452"/>
      <c r="K251" s="499"/>
      <c r="L251" s="499"/>
      <c r="M251" s="499"/>
      <c r="N251" s="499"/>
      <c r="P251" s="452" t="str">
        <f t="array" aca="1" ref="P251" ca="1">IF(B251="","",IFERROR(MAX(OFFSET(高値!$E$6,MATCH(TEXT(B251,"0"),TEXT(銘柄管理!$B$6:$B$305,"0"),0)-1,0,1,10)),""))</f>
        <v/>
      </c>
      <c r="Q251" s="452" t="str">
        <f t="array" aca="1" ref="Q251" ca="1">IF(B251="","",IFERROR(MIN(OFFSET(安値!$E$6,MATCH(TEXT(B251,"0"),TEXT(銘柄管理!$B$6:$B$305,"0"),0)-1,0,1,10)),""))</f>
        <v/>
      </c>
      <c r="R251" s="499"/>
      <c r="S251" s="499"/>
      <c r="T251" s="499"/>
      <c r="U251" s="499"/>
      <c r="V251" s="499"/>
      <c r="W251" s="499"/>
      <c r="X251" s="499"/>
      <c r="Y251" s="499"/>
      <c r="Z251" s="499"/>
    </row>
    <row r="252" spans="1:26" ht="17.25" customHeight="1">
      <c r="A252" s="499"/>
      <c r="B252" s="499"/>
      <c r="C252" s="499"/>
      <c r="D252" s="499"/>
      <c r="E252" s="499"/>
      <c r="F252" s="500"/>
      <c r="G252" s="499"/>
      <c r="H252" s="499"/>
      <c r="I252" s="499"/>
      <c r="J252" s="452"/>
      <c r="K252" s="499"/>
      <c r="L252" s="499"/>
      <c r="M252" s="499"/>
      <c r="N252" s="499"/>
      <c r="P252" s="452" t="str">
        <f t="array" aca="1" ref="P252" ca="1">IF(B252="","",IFERROR(MAX(OFFSET(高値!$E$6,MATCH(TEXT(B252,"0"),TEXT(銘柄管理!$B$6:$B$305,"0"),0)-1,0,1,10)),""))</f>
        <v/>
      </c>
      <c r="Q252" s="452" t="str">
        <f t="array" aca="1" ref="Q252" ca="1">IF(B252="","",IFERROR(MIN(OFFSET(安値!$E$6,MATCH(TEXT(B252,"0"),TEXT(銘柄管理!$B$6:$B$305,"0"),0)-1,0,1,10)),""))</f>
        <v/>
      </c>
      <c r="R252" s="499"/>
      <c r="S252" s="499"/>
      <c r="T252" s="499"/>
      <c r="U252" s="499"/>
      <c r="V252" s="499"/>
      <c r="W252" s="499"/>
      <c r="X252" s="499"/>
      <c r="Y252" s="499"/>
      <c r="Z252" s="499"/>
    </row>
    <row r="253" spans="1:26" ht="17.25" customHeight="1">
      <c r="A253" s="499"/>
      <c r="B253" s="499"/>
      <c r="C253" s="499"/>
      <c r="D253" s="499"/>
      <c r="E253" s="499"/>
      <c r="F253" s="500"/>
      <c r="G253" s="499"/>
      <c r="H253" s="499"/>
      <c r="I253" s="499"/>
      <c r="J253" s="452"/>
      <c r="K253" s="499"/>
      <c r="L253" s="499"/>
      <c r="M253" s="499"/>
      <c r="N253" s="499"/>
      <c r="P253" s="452" t="str">
        <f t="array" aca="1" ref="P253" ca="1">IF(B253="","",IFERROR(MAX(OFFSET(高値!$E$6,MATCH(TEXT(B253,"0"),TEXT(銘柄管理!$B$6:$B$305,"0"),0)-1,0,1,10)),""))</f>
        <v/>
      </c>
      <c r="Q253" s="452" t="str">
        <f t="array" aca="1" ref="Q253" ca="1">IF(B253="","",IFERROR(MIN(OFFSET(安値!$E$6,MATCH(TEXT(B253,"0"),TEXT(銘柄管理!$B$6:$B$305,"0"),0)-1,0,1,10)),""))</f>
        <v/>
      </c>
      <c r="R253" s="499"/>
      <c r="S253" s="499"/>
      <c r="T253" s="499"/>
      <c r="U253" s="499"/>
      <c r="V253" s="499"/>
      <c r="W253" s="499"/>
      <c r="X253" s="499"/>
      <c r="Y253" s="499"/>
      <c r="Z253" s="499"/>
    </row>
    <row r="254" spans="1:26" ht="17.25" customHeight="1">
      <c r="A254" s="499"/>
      <c r="B254" s="499"/>
      <c r="C254" s="499"/>
      <c r="D254" s="499"/>
      <c r="E254" s="499"/>
      <c r="F254" s="500"/>
      <c r="G254" s="499"/>
      <c r="H254" s="499"/>
      <c r="I254" s="499"/>
      <c r="J254" s="452"/>
      <c r="K254" s="499"/>
      <c r="L254" s="499"/>
      <c r="M254" s="499"/>
      <c r="N254" s="499"/>
      <c r="P254" s="452" t="str">
        <f t="array" aca="1" ref="P254" ca="1">IF(B254="","",IFERROR(MAX(OFFSET(高値!$E$6,MATCH(TEXT(B254,"0"),TEXT(銘柄管理!$B$6:$B$305,"0"),0)-1,0,1,10)),""))</f>
        <v/>
      </c>
      <c r="Q254" s="452" t="str">
        <f t="array" aca="1" ref="Q254" ca="1">IF(B254="","",IFERROR(MIN(OFFSET(安値!$E$6,MATCH(TEXT(B254,"0"),TEXT(銘柄管理!$B$6:$B$305,"0"),0)-1,0,1,10)),""))</f>
        <v/>
      </c>
      <c r="R254" s="499"/>
      <c r="S254" s="499"/>
      <c r="T254" s="499"/>
      <c r="U254" s="499"/>
      <c r="V254" s="499"/>
      <c r="W254" s="499"/>
      <c r="X254" s="499"/>
      <c r="Y254" s="499"/>
      <c r="Z254" s="499"/>
    </row>
    <row r="255" spans="1:26" ht="17.25" customHeight="1">
      <c r="A255" s="499"/>
      <c r="B255" s="499"/>
      <c r="C255" s="499"/>
      <c r="D255" s="499"/>
      <c r="E255" s="499"/>
      <c r="F255" s="500"/>
      <c r="G255" s="499"/>
      <c r="H255" s="499"/>
      <c r="I255" s="499"/>
      <c r="J255" s="452"/>
      <c r="K255" s="499"/>
      <c r="L255" s="499"/>
      <c r="M255" s="499"/>
      <c r="N255" s="499"/>
      <c r="P255" s="452" t="str">
        <f t="array" aca="1" ref="P255" ca="1">IF(B255="","",IFERROR(MAX(OFFSET(高値!$E$6,MATCH(TEXT(B255,"0"),TEXT(銘柄管理!$B$6:$B$305,"0"),0)-1,0,1,10)),""))</f>
        <v/>
      </c>
      <c r="Q255" s="452" t="str">
        <f t="array" aca="1" ref="Q255" ca="1">IF(B255="","",IFERROR(MIN(OFFSET(安値!$E$6,MATCH(TEXT(B255,"0"),TEXT(銘柄管理!$B$6:$B$305,"0"),0)-1,0,1,10)),""))</f>
        <v/>
      </c>
      <c r="R255" s="499"/>
      <c r="S255" s="499"/>
      <c r="T255" s="499"/>
      <c r="U255" s="499"/>
      <c r="V255" s="499"/>
      <c r="W255" s="499"/>
      <c r="X255" s="499"/>
      <c r="Y255" s="499"/>
      <c r="Z255" s="499"/>
    </row>
    <row r="256" spans="1:26" ht="17.25" customHeight="1">
      <c r="A256" s="499"/>
      <c r="B256" s="499"/>
      <c r="C256" s="499"/>
      <c r="D256" s="499"/>
      <c r="E256" s="499"/>
      <c r="F256" s="500"/>
      <c r="G256" s="499"/>
      <c r="H256" s="499"/>
      <c r="I256" s="499"/>
      <c r="J256" s="452"/>
      <c r="K256" s="499"/>
      <c r="L256" s="499"/>
      <c r="M256" s="499"/>
      <c r="N256" s="499"/>
      <c r="P256" s="452" t="str">
        <f t="array" aca="1" ref="P256" ca="1">IF(B256="","",IFERROR(MAX(OFFSET(高値!$E$6,MATCH(TEXT(B256,"0"),TEXT(銘柄管理!$B$6:$B$305,"0"),0)-1,0,1,10)),""))</f>
        <v/>
      </c>
      <c r="Q256" s="452" t="str">
        <f t="array" aca="1" ref="Q256" ca="1">IF(B256="","",IFERROR(MIN(OFFSET(安値!$E$6,MATCH(TEXT(B256,"0"),TEXT(銘柄管理!$B$6:$B$305,"0"),0)-1,0,1,10)),""))</f>
        <v/>
      </c>
      <c r="R256" s="499"/>
      <c r="S256" s="499"/>
      <c r="T256" s="499"/>
      <c r="U256" s="499"/>
      <c r="V256" s="499"/>
      <c r="W256" s="499"/>
      <c r="X256" s="499"/>
      <c r="Y256" s="499"/>
      <c r="Z256" s="499"/>
    </row>
    <row r="257" spans="1:26" ht="17.25" customHeight="1">
      <c r="A257" s="499"/>
      <c r="B257" s="499"/>
      <c r="C257" s="499"/>
      <c r="D257" s="499"/>
      <c r="E257" s="499"/>
      <c r="F257" s="500"/>
      <c r="G257" s="499"/>
      <c r="H257" s="499"/>
      <c r="I257" s="499"/>
      <c r="J257" s="452"/>
      <c r="K257" s="499"/>
      <c r="L257" s="499"/>
      <c r="M257" s="499"/>
      <c r="N257" s="499"/>
      <c r="P257" s="452" t="str">
        <f t="array" aca="1" ref="P257" ca="1">IF(B257="","",IFERROR(MAX(OFFSET(高値!$E$6,MATCH(TEXT(B257,"0"),TEXT(銘柄管理!$B$6:$B$305,"0"),0)-1,0,1,10)),""))</f>
        <v/>
      </c>
      <c r="Q257" s="452" t="str">
        <f t="array" aca="1" ref="Q257" ca="1">IF(B257="","",IFERROR(MIN(OFFSET(安値!$E$6,MATCH(TEXT(B257,"0"),TEXT(銘柄管理!$B$6:$B$305,"0"),0)-1,0,1,10)),""))</f>
        <v/>
      </c>
      <c r="R257" s="499"/>
      <c r="S257" s="499"/>
      <c r="T257" s="499"/>
      <c r="U257" s="499"/>
      <c r="V257" s="499"/>
      <c r="W257" s="499"/>
      <c r="X257" s="499"/>
      <c r="Y257" s="499"/>
      <c r="Z257" s="499"/>
    </row>
    <row r="258" spans="1:26" ht="17.25" customHeight="1">
      <c r="A258" s="499"/>
      <c r="B258" s="499"/>
      <c r="C258" s="499"/>
      <c r="D258" s="499"/>
      <c r="E258" s="499"/>
      <c r="F258" s="500"/>
      <c r="G258" s="499"/>
      <c r="H258" s="499"/>
      <c r="I258" s="499"/>
      <c r="J258" s="452"/>
      <c r="K258" s="499"/>
      <c r="L258" s="499"/>
      <c r="M258" s="499"/>
      <c r="N258" s="499"/>
      <c r="P258" s="452" t="str">
        <f t="array" aca="1" ref="P258" ca="1">IF(B258="","",IFERROR(MAX(OFFSET(高値!$E$6,MATCH(TEXT(B258,"0"),TEXT(銘柄管理!$B$6:$B$305,"0"),0)-1,0,1,10)),""))</f>
        <v/>
      </c>
      <c r="Q258" s="452" t="str">
        <f t="array" aca="1" ref="Q258" ca="1">IF(B258="","",IFERROR(MIN(OFFSET(安値!$E$6,MATCH(TEXT(B258,"0"),TEXT(銘柄管理!$B$6:$B$305,"0"),0)-1,0,1,10)),""))</f>
        <v/>
      </c>
      <c r="R258" s="499"/>
      <c r="S258" s="499"/>
      <c r="T258" s="499"/>
      <c r="U258" s="499"/>
      <c r="V258" s="499"/>
      <c r="W258" s="499"/>
      <c r="X258" s="499"/>
      <c r="Y258" s="499"/>
      <c r="Z258" s="499"/>
    </row>
    <row r="259" spans="1:26" ht="17.25" customHeight="1">
      <c r="A259" s="499"/>
      <c r="B259" s="499"/>
      <c r="C259" s="499"/>
      <c r="D259" s="499"/>
      <c r="E259" s="499"/>
      <c r="F259" s="500"/>
      <c r="G259" s="499"/>
      <c r="H259" s="499"/>
      <c r="I259" s="499"/>
      <c r="J259" s="452"/>
      <c r="K259" s="499"/>
      <c r="L259" s="499"/>
      <c r="M259" s="499"/>
      <c r="N259" s="499"/>
      <c r="P259" s="452" t="str">
        <f t="array" aca="1" ref="P259" ca="1">IF(B259="","",IFERROR(MAX(OFFSET(高値!$E$6,MATCH(TEXT(B259,"0"),TEXT(銘柄管理!$B$6:$B$305,"0"),0)-1,0,1,10)),""))</f>
        <v/>
      </c>
      <c r="Q259" s="452" t="str">
        <f t="array" aca="1" ref="Q259" ca="1">IF(B259="","",IFERROR(MIN(OFFSET(安値!$E$6,MATCH(TEXT(B259,"0"),TEXT(銘柄管理!$B$6:$B$305,"0"),0)-1,0,1,10)),""))</f>
        <v/>
      </c>
      <c r="R259" s="499"/>
      <c r="S259" s="499"/>
      <c r="T259" s="499"/>
      <c r="U259" s="499"/>
      <c r="V259" s="499"/>
      <c r="W259" s="499"/>
      <c r="X259" s="499"/>
      <c r="Y259" s="499"/>
      <c r="Z259" s="499"/>
    </row>
    <row r="260" spans="1:26" ht="17.25" customHeight="1">
      <c r="A260" s="499"/>
      <c r="B260" s="499"/>
      <c r="C260" s="499"/>
      <c r="D260" s="499"/>
      <c r="E260" s="499"/>
      <c r="F260" s="500"/>
      <c r="G260" s="499"/>
      <c r="H260" s="499"/>
      <c r="I260" s="499"/>
      <c r="J260" s="452"/>
      <c r="K260" s="499"/>
      <c r="L260" s="499"/>
      <c r="M260" s="499"/>
      <c r="N260" s="499"/>
      <c r="P260" s="452" t="str">
        <f t="array" aca="1" ref="P260" ca="1">IF(B260="","",IFERROR(MAX(OFFSET(高値!$E$6,MATCH(TEXT(B260,"0"),TEXT(銘柄管理!$B$6:$B$305,"0"),0)-1,0,1,10)),""))</f>
        <v/>
      </c>
      <c r="Q260" s="452" t="str">
        <f t="array" aca="1" ref="Q260" ca="1">IF(B260="","",IFERROR(MIN(OFFSET(安値!$E$6,MATCH(TEXT(B260,"0"),TEXT(銘柄管理!$B$6:$B$305,"0"),0)-1,0,1,10)),""))</f>
        <v/>
      </c>
      <c r="R260" s="499"/>
      <c r="S260" s="499"/>
      <c r="T260" s="499"/>
      <c r="U260" s="499"/>
      <c r="V260" s="499"/>
      <c r="W260" s="499"/>
      <c r="X260" s="499"/>
      <c r="Y260" s="499"/>
      <c r="Z260" s="499"/>
    </row>
    <row r="261" spans="1:26" ht="17.25" customHeight="1">
      <c r="A261" s="499"/>
      <c r="B261" s="499"/>
      <c r="C261" s="499"/>
      <c r="D261" s="499"/>
      <c r="E261" s="499"/>
      <c r="F261" s="500"/>
      <c r="G261" s="499"/>
      <c r="H261" s="499"/>
      <c r="I261" s="499"/>
      <c r="J261" s="452"/>
      <c r="K261" s="499"/>
      <c r="L261" s="499"/>
      <c r="M261" s="499"/>
      <c r="N261" s="499"/>
      <c r="P261" s="452" t="str">
        <f t="array" aca="1" ref="P261" ca="1">IF(B261="","",IFERROR(MAX(OFFSET(高値!$E$6,MATCH(TEXT(B261,"0"),TEXT(銘柄管理!$B$6:$B$305,"0"),0)-1,0,1,10)),""))</f>
        <v/>
      </c>
      <c r="Q261" s="452" t="str">
        <f t="array" aca="1" ref="Q261" ca="1">IF(B261="","",IFERROR(MIN(OFFSET(安値!$E$6,MATCH(TEXT(B261,"0"),TEXT(銘柄管理!$B$6:$B$305,"0"),0)-1,0,1,10)),""))</f>
        <v/>
      </c>
      <c r="R261" s="499"/>
      <c r="S261" s="499"/>
      <c r="T261" s="499"/>
      <c r="U261" s="499"/>
      <c r="V261" s="499"/>
      <c r="W261" s="499"/>
      <c r="X261" s="499"/>
      <c r="Y261" s="499"/>
      <c r="Z261" s="499"/>
    </row>
    <row r="262" spans="1:26" ht="17.25" customHeight="1">
      <c r="A262" s="499"/>
      <c r="B262" s="499"/>
      <c r="C262" s="499"/>
      <c r="D262" s="499"/>
      <c r="E262" s="499"/>
      <c r="F262" s="500"/>
      <c r="G262" s="499"/>
      <c r="H262" s="499"/>
      <c r="I262" s="499"/>
      <c r="J262" s="452"/>
      <c r="K262" s="499"/>
      <c r="L262" s="499"/>
      <c r="M262" s="499"/>
      <c r="N262" s="499"/>
      <c r="P262" s="452" t="str">
        <f t="array" aca="1" ref="P262" ca="1">IF(B262="","",IFERROR(MAX(OFFSET(高値!$E$6,MATCH(TEXT(B262,"0"),TEXT(銘柄管理!$B$6:$B$305,"0"),0)-1,0,1,10)),""))</f>
        <v/>
      </c>
      <c r="Q262" s="452" t="str">
        <f t="array" aca="1" ref="Q262" ca="1">IF(B262="","",IFERROR(MIN(OFFSET(安値!$E$6,MATCH(TEXT(B262,"0"),TEXT(銘柄管理!$B$6:$B$305,"0"),0)-1,0,1,10)),""))</f>
        <v/>
      </c>
      <c r="R262" s="499"/>
      <c r="S262" s="499"/>
      <c r="T262" s="499"/>
      <c r="U262" s="499"/>
      <c r="V262" s="499"/>
      <c r="W262" s="499"/>
      <c r="X262" s="499"/>
      <c r="Y262" s="499"/>
      <c r="Z262" s="499"/>
    </row>
    <row r="263" spans="1:26" ht="17.25" customHeight="1">
      <c r="A263" s="499"/>
      <c r="B263" s="499"/>
      <c r="C263" s="499"/>
      <c r="D263" s="499"/>
      <c r="E263" s="499"/>
      <c r="F263" s="500"/>
      <c r="G263" s="499"/>
      <c r="H263" s="499"/>
      <c r="I263" s="499"/>
      <c r="J263" s="452"/>
      <c r="K263" s="499"/>
      <c r="L263" s="499"/>
      <c r="M263" s="499"/>
      <c r="N263" s="499"/>
      <c r="P263" s="452" t="str">
        <f t="array" aca="1" ref="P263" ca="1">IF(B263="","",IFERROR(MAX(OFFSET(高値!$E$6,MATCH(TEXT(B263,"0"),TEXT(銘柄管理!$B$6:$B$305,"0"),0)-1,0,1,10)),""))</f>
        <v/>
      </c>
      <c r="Q263" s="452" t="str">
        <f t="array" aca="1" ref="Q263" ca="1">IF(B263="","",IFERROR(MIN(OFFSET(安値!$E$6,MATCH(TEXT(B263,"0"),TEXT(銘柄管理!$B$6:$B$305,"0"),0)-1,0,1,10)),""))</f>
        <v/>
      </c>
      <c r="R263" s="499"/>
      <c r="S263" s="499"/>
      <c r="T263" s="499"/>
      <c r="U263" s="499"/>
      <c r="V263" s="499"/>
      <c r="W263" s="499"/>
      <c r="X263" s="499"/>
      <c r="Y263" s="499"/>
      <c r="Z263" s="499"/>
    </row>
    <row r="264" spans="1:26" ht="17.25" customHeight="1">
      <c r="A264" s="499"/>
      <c r="B264" s="499"/>
      <c r="C264" s="499"/>
      <c r="D264" s="499"/>
      <c r="E264" s="499"/>
      <c r="F264" s="500"/>
      <c r="G264" s="499"/>
      <c r="H264" s="499"/>
      <c r="I264" s="499"/>
      <c r="J264" s="452"/>
      <c r="K264" s="499"/>
      <c r="L264" s="499"/>
      <c r="M264" s="499"/>
      <c r="N264" s="499"/>
      <c r="P264" s="452" t="str">
        <f t="array" aca="1" ref="P264" ca="1">IF(B264="","",IFERROR(MAX(OFFSET(高値!$E$6,MATCH(TEXT(B264,"0"),TEXT(銘柄管理!$B$6:$B$305,"0"),0)-1,0,1,10)),""))</f>
        <v/>
      </c>
      <c r="Q264" s="452" t="str">
        <f t="array" aca="1" ref="Q264" ca="1">IF(B264="","",IFERROR(MIN(OFFSET(安値!$E$6,MATCH(TEXT(B264,"0"),TEXT(銘柄管理!$B$6:$B$305,"0"),0)-1,0,1,10)),""))</f>
        <v/>
      </c>
      <c r="R264" s="499"/>
      <c r="S264" s="499"/>
      <c r="T264" s="499"/>
      <c r="U264" s="499"/>
      <c r="V264" s="499"/>
      <c r="W264" s="499"/>
      <c r="X264" s="499"/>
      <c r="Y264" s="499"/>
      <c r="Z264" s="499"/>
    </row>
    <row r="265" spans="1:26" ht="17.25" customHeight="1">
      <c r="A265" s="499"/>
      <c r="B265" s="499"/>
      <c r="C265" s="499"/>
      <c r="D265" s="499"/>
      <c r="E265" s="499"/>
      <c r="F265" s="500"/>
      <c r="G265" s="499"/>
      <c r="H265" s="499"/>
      <c r="I265" s="499"/>
      <c r="J265" s="452"/>
      <c r="K265" s="499"/>
      <c r="L265" s="499"/>
      <c r="M265" s="499"/>
      <c r="N265" s="499"/>
      <c r="P265" s="452" t="str">
        <f t="array" aca="1" ref="P265" ca="1">IF(B265="","",IFERROR(MAX(OFFSET(高値!$E$6,MATCH(TEXT(B265,"0"),TEXT(銘柄管理!$B$6:$B$305,"0"),0)-1,0,1,10)),""))</f>
        <v/>
      </c>
      <c r="Q265" s="452" t="str">
        <f t="array" aca="1" ref="Q265" ca="1">IF(B265="","",IFERROR(MIN(OFFSET(安値!$E$6,MATCH(TEXT(B265,"0"),TEXT(銘柄管理!$B$6:$B$305,"0"),0)-1,0,1,10)),""))</f>
        <v/>
      </c>
      <c r="R265" s="499"/>
      <c r="S265" s="499"/>
      <c r="T265" s="499"/>
      <c r="U265" s="499"/>
      <c r="V265" s="499"/>
      <c r="W265" s="499"/>
      <c r="X265" s="499"/>
      <c r="Y265" s="499"/>
      <c r="Z265" s="499"/>
    </row>
    <row r="266" spans="1:26" ht="17.25" customHeight="1">
      <c r="A266" s="499"/>
      <c r="B266" s="499"/>
      <c r="C266" s="499"/>
      <c r="D266" s="499"/>
      <c r="E266" s="499"/>
      <c r="F266" s="500"/>
      <c r="G266" s="499"/>
      <c r="H266" s="499"/>
      <c r="I266" s="499"/>
      <c r="J266" s="452"/>
      <c r="K266" s="499"/>
      <c r="L266" s="499"/>
      <c r="M266" s="499"/>
      <c r="N266" s="499"/>
      <c r="P266" s="452" t="str">
        <f t="array" aca="1" ref="P266" ca="1">IF(B266="","",IFERROR(MAX(OFFSET(高値!$E$6,MATCH(TEXT(B266,"0"),TEXT(銘柄管理!$B$6:$B$305,"0"),0)-1,0,1,10)),""))</f>
        <v/>
      </c>
      <c r="Q266" s="452" t="str">
        <f t="array" aca="1" ref="Q266" ca="1">IF(B266="","",IFERROR(MIN(OFFSET(安値!$E$6,MATCH(TEXT(B266,"0"),TEXT(銘柄管理!$B$6:$B$305,"0"),0)-1,0,1,10)),""))</f>
        <v/>
      </c>
      <c r="R266" s="499"/>
      <c r="S266" s="499"/>
      <c r="T266" s="499"/>
      <c r="U266" s="499"/>
      <c r="V266" s="499"/>
      <c r="W266" s="499"/>
      <c r="X266" s="499"/>
      <c r="Y266" s="499"/>
      <c r="Z266" s="499"/>
    </row>
    <row r="267" spans="1:26" ht="17.25" customHeight="1">
      <c r="A267" s="499"/>
      <c r="B267" s="499"/>
      <c r="C267" s="499"/>
      <c r="D267" s="499"/>
      <c r="E267" s="499"/>
      <c r="F267" s="500"/>
      <c r="G267" s="499"/>
      <c r="H267" s="499"/>
      <c r="I267" s="499"/>
      <c r="J267" s="452"/>
      <c r="K267" s="499"/>
      <c r="L267" s="499"/>
      <c r="M267" s="499"/>
      <c r="N267" s="499"/>
      <c r="P267" s="452" t="str">
        <f t="array" aca="1" ref="P267" ca="1">IF(B267="","",IFERROR(MAX(OFFSET(高値!$E$6,MATCH(TEXT(B267,"0"),TEXT(銘柄管理!$B$6:$B$305,"0"),0)-1,0,1,10)),""))</f>
        <v/>
      </c>
      <c r="Q267" s="452" t="str">
        <f t="array" aca="1" ref="Q267" ca="1">IF(B267="","",IFERROR(MIN(OFFSET(安値!$E$6,MATCH(TEXT(B267,"0"),TEXT(銘柄管理!$B$6:$B$305,"0"),0)-1,0,1,10)),""))</f>
        <v/>
      </c>
      <c r="R267" s="499"/>
      <c r="S267" s="499"/>
      <c r="T267" s="499"/>
      <c r="U267" s="499"/>
      <c r="V267" s="499"/>
      <c r="W267" s="499"/>
      <c r="X267" s="499"/>
      <c r="Y267" s="499"/>
      <c r="Z267" s="499"/>
    </row>
    <row r="268" spans="1:26" ht="17.25" customHeight="1">
      <c r="A268" s="499"/>
      <c r="B268" s="499"/>
      <c r="C268" s="499"/>
      <c r="D268" s="499"/>
      <c r="E268" s="499"/>
      <c r="F268" s="500"/>
      <c r="G268" s="499"/>
      <c r="H268" s="499"/>
      <c r="I268" s="499"/>
      <c r="J268" s="452"/>
      <c r="K268" s="499"/>
      <c r="L268" s="499"/>
      <c r="M268" s="499"/>
      <c r="N268" s="499"/>
      <c r="P268" s="452" t="str">
        <f t="array" aca="1" ref="P268" ca="1">IF(B268="","",IFERROR(MAX(OFFSET(高値!$E$6,MATCH(TEXT(B268,"0"),TEXT(銘柄管理!$B$6:$B$305,"0"),0)-1,0,1,10)),""))</f>
        <v/>
      </c>
      <c r="Q268" s="452" t="str">
        <f t="array" aca="1" ref="Q268" ca="1">IF(B268="","",IFERROR(MIN(OFFSET(安値!$E$6,MATCH(TEXT(B268,"0"),TEXT(銘柄管理!$B$6:$B$305,"0"),0)-1,0,1,10)),""))</f>
        <v/>
      </c>
      <c r="R268" s="499"/>
      <c r="S268" s="499"/>
      <c r="T268" s="499"/>
      <c r="U268" s="499"/>
      <c r="V268" s="499"/>
      <c r="W268" s="499"/>
      <c r="X268" s="499"/>
      <c r="Y268" s="499"/>
      <c r="Z268" s="499"/>
    </row>
    <row r="269" spans="1:26" ht="17.25" customHeight="1">
      <c r="A269" s="499"/>
      <c r="B269" s="499"/>
      <c r="C269" s="499"/>
      <c r="D269" s="499"/>
      <c r="E269" s="499"/>
      <c r="F269" s="500"/>
      <c r="G269" s="499"/>
      <c r="H269" s="499"/>
      <c r="I269" s="499"/>
      <c r="J269" s="452"/>
      <c r="K269" s="499"/>
      <c r="L269" s="499"/>
      <c r="M269" s="499"/>
      <c r="N269" s="499"/>
      <c r="P269" s="452" t="str">
        <f t="array" aca="1" ref="P269" ca="1">IF(B269="","",IFERROR(MAX(OFFSET(高値!$E$6,MATCH(TEXT(B269,"0"),TEXT(銘柄管理!$B$6:$B$305,"0"),0)-1,0,1,10)),""))</f>
        <v/>
      </c>
      <c r="Q269" s="452" t="str">
        <f t="array" aca="1" ref="Q269" ca="1">IF(B269="","",IFERROR(MIN(OFFSET(安値!$E$6,MATCH(TEXT(B269,"0"),TEXT(銘柄管理!$B$6:$B$305,"0"),0)-1,0,1,10)),""))</f>
        <v/>
      </c>
      <c r="R269" s="499"/>
      <c r="S269" s="499"/>
      <c r="T269" s="499"/>
      <c r="U269" s="499"/>
      <c r="V269" s="499"/>
      <c r="W269" s="499"/>
      <c r="X269" s="499"/>
      <c r="Y269" s="499"/>
      <c r="Z269" s="499"/>
    </row>
    <row r="270" spans="1:26" ht="17.25" customHeight="1">
      <c r="A270" s="499"/>
      <c r="B270" s="499"/>
      <c r="C270" s="499"/>
      <c r="D270" s="499"/>
      <c r="E270" s="499"/>
      <c r="F270" s="500"/>
      <c r="G270" s="499"/>
      <c r="H270" s="499"/>
      <c r="I270" s="499"/>
      <c r="J270" s="452"/>
      <c r="K270" s="499"/>
      <c r="L270" s="499"/>
      <c r="M270" s="499"/>
      <c r="N270" s="499"/>
      <c r="P270" s="452" t="str">
        <f t="array" aca="1" ref="P270" ca="1">IF(B270="","",IFERROR(MAX(OFFSET(高値!$E$6,MATCH(TEXT(B270,"0"),TEXT(銘柄管理!$B$6:$B$305,"0"),0)-1,0,1,10)),""))</f>
        <v/>
      </c>
      <c r="Q270" s="452" t="str">
        <f t="array" aca="1" ref="Q270" ca="1">IF(B270="","",IFERROR(MIN(OFFSET(安値!$E$6,MATCH(TEXT(B270,"0"),TEXT(銘柄管理!$B$6:$B$305,"0"),0)-1,0,1,10)),""))</f>
        <v/>
      </c>
      <c r="R270" s="499"/>
      <c r="S270" s="499"/>
      <c r="T270" s="499"/>
      <c r="U270" s="499"/>
      <c r="V270" s="499"/>
      <c r="W270" s="499"/>
      <c r="X270" s="499"/>
      <c r="Y270" s="499"/>
      <c r="Z270" s="499"/>
    </row>
    <row r="271" spans="1:26" ht="17.25" customHeight="1">
      <c r="A271" s="499"/>
      <c r="B271" s="499"/>
      <c r="C271" s="499"/>
      <c r="D271" s="499"/>
      <c r="E271" s="499"/>
      <c r="F271" s="500"/>
      <c r="G271" s="499"/>
      <c r="H271" s="499"/>
      <c r="I271" s="499"/>
      <c r="J271" s="452"/>
      <c r="K271" s="499"/>
      <c r="L271" s="499"/>
      <c r="M271" s="499"/>
      <c r="N271" s="499"/>
      <c r="P271" s="452" t="str">
        <f t="array" aca="1" ref="P271" ca="1">IF(B271="","",IFERROR(MAX(OFFSET(高値!$E$6,MATCH(TEXT(B271,"0"),TEXT(銘柄管理!$B$6:$B$305,"0"),0)-1,0,1,10)),""))</f>
        <v/>
      </c>
      <c r="Q271" s="452" t="str">
        <f t="array" aca="1" ref="Q271" ca="1">IF(B271="","",IFERROR(MIN(OFFSET(安値!$E$6,MATCH(TEXT(B271,"0"),TEXT(銘柄管理!$B$6:$B$305,"0"),0)-1,0,1,10)),""))</f>
        <v/>
      </c>
      <c r="R271" s="499"/>
      <c r="S271" s="499"/>
      <c r="T271" s="499"/>
      <c r="U271" s="499"/>
      <c r="V271" s="499"/>
      <c r="W271" s="499"/>
      <c r="X271" s="499"/>
      <c r="Y271" s="499"/>
      <c r="Z271" s="499"/>
    </row>
    <row r="272" spans="1:26" ht="17.25" customHeight="1">
      <c r="A272" s="499"/>
      <c r="B272" s="499"/>
      <c r="C272" s="499"/>
      <c r="D272" s="499"/>
      <c r="E272" s="499"/>
      <c r="F272" s="500"/>
      <c r="G272" s="499"/>
      <c r="H272" s="499"/>
      <c r="I272" s="499"/>
      <c r="J272" s="452"/>
      <c r="K272" s="499"/>
      <c r="L272" s="499"/>
      <c r="M272" s="499"/>
      <c r="N272" s="499"/>
      <c r="P272" s="452" t="str">
        <f t="array" aca="1" ref="P272" ca="1">IF(B272="","",IFERROR(MAX(OFFSET(高値!$E$6,MATCH(TEXT(B272,"0"),TEXT(銘柄管理!$B$6:$B$305,"0"),0)-1,0,1,10)),""))</f>
        <v/>
      </c>
      <c r="Q272" s="452" t="str">
        <f t="array" aca="1" ref="Q272" ca="1">IF(B272="","",IFERROR(MIN(OFFSET(安値!$E$6,MATCH(TEXT(B272,"0"),TEXT(銘柄管理!$B$6:$B$305,"0"),0)-1,0,1,10)),""))</f>
        <v/>
      </c>
      <c r="R272" s="499"/>
      <c r="S272" s="499"/>
      <c r="T272" s="499"/>
      <c r="U272" s="499"/>
      <c r="V272" s="499"/>
      <c r="W272" s="499"/>
      <c r="X272" s="499"/>
      <c r="Y272" s="499"/>
      <c r="Z272" s="499"/>
    </row>
    <row r="273" spans="1:26" ht="17.25" customHeight="1">
      <c r="A273" s="499"/>
      <c r="B273" s="499"/>
      <c r="C273" s="499"/>
      <c r="D273" s="499"/>
      <c r="E273" s="499"/>
      <c r="F273" s="500"/>
      <c r="G273" s="499"/>
      <c r="H273" s="499"/>
      <c r="I273" s="499"/>
      <c r="J273" s="452"/>
      <c r="K273" s="499"/>
      <c r="L273" s="499"/>
      <c r="M273" s="499"/>
      <c r="N273" s="499"/>
      <c r="P273" s="452" t="str">
        <f t="array" aca="1" ref="P273" ca="1">IF(B273="","",IFERROR(MAX(OFFSET(高値!$E$6,MATCH(TEXT(B273,"0"),TEXT(銘柄管理!$B$6:$B$305,"0"),0)-1,0,1,10)),""))</f>
        <v/>
      </c>
      <c r="Q273" s="452" t="str">
        <f t="array" aca="1" ref="Q273" ca="1">IF(B273="","",IFERROR(MIN(OFFSET(安値!$E$6,MATCH(TEXT(B273,"0"),TEXT(銘柄管理!$B$6:$B$305,"0"),0)-1,0,1,10)),""))</f>
        <v/>
      </c>
      <c r="R273" s="499"/>
      <c r="S273" s="499"/>
      <c r="T273" s="499"/>
      <c r="U273" s="499"/>
      <c r="V273" s="499"/>
      <c r="W273" s="499"/>
      <c r="X273" s="499"/>
      <c r="Y273" s="499"/>
      <c r="Z273" s="499"/>
    </row>
    <row r="274" spans="1:26" ht="17.25" customHeight="1">
      <c r="A274" s="499"/>
      <c r="B274" s="499"/>
      <c r="C274" s="499"/>
      <c r="D274" s="499"/>
      <c r="E274" s="499"/>
      <c r="F274" s="500"/>
      <c r="G274" s="499"/>
      <c r="H274" s="499"/>
      <c r="I274" s="499"/>
      <c r="J274" s="452"/>
      <c r="K274" s="499"/>
      <c r="L274" s="499"/>
      <c r="M274" s="499"/>
      <c r="N274" s="499"/>
      <c r="P274" s="452" t="str">
        <f t="array" aca="1" ref="P274" ca="1">IF(B274="","",IFERROR(MAX(OFFSET(高値!$E$6,MATCH(TEXT(B274,"0"),TEXT(銘柄管理!$B$6:$B$305,"0"),0)-1,0,1,10)),""))</f>
        <v/>
      </c>
      <c r="Q274" s="452" t="str">
        <f t="array" aca="1" ref="Q274" ca="1">IF(B274="","",IFERROR(MIN(OFFSET(安値!$E$6,MATCH(TEXT(B274,"0"),TEXT(銘柄管理!$B$6:$B$305,"0"),0)-1,0,1,10)),""))</f>
        <v/>
      </c>
      <c r="R274" s="499"/>
      <c r="S274" s="499"/>
      <c r="T274" s="499"/>
      <c r="U274" s="499"/>
      <c r="V274" s="499"/>
      <c r="W274" s="499"/>
      <c r="X274" s="499"/>
      <c r="Y274" s="499"/>
      <c r="Z274" s="499"/>
    </row>
    <row r="275" spans="1:26" ht="17.25" customHeight="1">
      <c r="A275" s="499"/>
      <c r="B275" s="499"/>
      <c r="C275" s="499"/>
      <c r="D275" s="499"/>
      <c r="E275" s="499"/>
      <c r="F275" s="500"/>
      <c r="G275" s="499"/>
      <c r="H275" s="499"/>
      <c r="I275" s="499"/>
      <c r="J275" s="452"/>
      <c r="K275" s="499"/>
      <c r="L275" s="499"/>
      <c r="M275" s="499"/>
      <c r="N275" s="499"/>
      <c r="P275" s="452" t="str">
        <f t="array" aca="1" ref="P275" ca="1">IF(B275="","",IFERROR(MAX(OFFSET(高値!$E$6,MATCH(TEXT(B275,"0"),TEXT(銘柄管理!$B$6:$B$305,"0"),0)-1,0,1,10)),""))</f>
        <v/>
      </c>
      <c r="Q275" s="452" t="str">
        <f t="array" aca="1" ref="Q275" ca="1">IF(B275="","",IFERROR(MIN(OFFSET(安値!$E$6,MATCH(TEXT(B275,"0"),TEXT(銘柄管理!$B$6:$B$305,"0"),0)-1,0,1,10)),""))</f>
        <v/>
      </c>
      <c r="R275" s="499"/>
      <c r="S275" s="499"/>
      <c r="T275" s="499"/>
      <c r="U275" s="499"/>
      <c r="V275" s="499"/>
      <c r="W275" s="499"/>
      <c r="X275" s="499"/>
      <c r="Y275" s="499"/>
      <c r="Z275" s="499"/>
    </row>
    <row r="276" spans="1:26" ht="17.25" customHeight="1">
      <c r="A276" s="499"/>
      <c r="B276" s="499"/>
      <c r="C276" s="499"/>
      <c r="D276" s="499"/>
      <c r="E276" s="499"/>
      <c r="F276" s="500"/>
      <c r="G276" s="499"/>
      <c r="H276" s="499"/>
      <c r="I276" s="499"/>
      <c r="J276" s="452"/>
      <c r="K276" s="499"/>
      <c r="L276" s="499"/>
      <c r="M276" s="499"/>
      <c r="N276" s="499"/>
      <c r="P276" s="452" t="str">
        <f t="array" aca="1" ref="P276" ca="1">IF(B276="","",IFERROR(MAX(OFFSET(高値!$E$6,MATCH(TEXT(B276,"0"),TEXT(銘柄管理!$B$6:$B$305,"0"),0)-1,0,1,10)),""))</f>
        <v/>
      </c>
      <c r="Q276" s="452" t="str">
        <f t="array" aca="1" ref="Q276" ca="1">IF(B276="","",IFERROR(MIN(OFFSET(安値!$E$6,MATCH(TEXT(B276,"0"),TEXT(銘柄管理!$B$6:$B$305,"0"),0)-1,0,1,10)),""))</f>
        <v/>
      </c>
      <c r="R276" s="499"/>
      <c r="S276" s="499"/>
      <c r="T276" s="499"/>
      <c r="U276" s="499"/>
      <c r="V276" s="499"/>
      <c r="W276" s="499"/>
      <c r="X276" s="499"/>
      <c r="Y276" s="499"/>
      <c r="Z276" s="499"/>
    </row>
    <row r="277" spans="1:26" ht="17.25" customHeight="1">
      <c r="A277" s="499"/>
      <c r="B277" s="499"/>
      <c r="C277" s="499"/>
      <c r="D277" s="499"/>
      <c r="E277" s="499"/>
      <c r="F277" s="500"/>
      <c r="G277" s="499"/>
      <c r="H277" s="499"/>
      <c r="I277" s="499"/>
      <c r="J277" s="452"/>
      <c r="K277" s="499"/>
      <c r="L277" s="499"/>
      <c r="M277" s="499"/>
      <c r="N277" s="499"/>
      <c r="P277" s="452" t="str">
        <f t="array" aca="1" ref="P277" ca="1">IF(B277="","",IFERROR(MAX(OFFSET(高値!$E$6,MATCH(TEXT(B277,"0"),TEXT(銘柄管理!$B$6:$B$305,"0"),0)-1,0,1,10)),""))</f>
        <v/>
      </c>
      <c r="Q277" s="452" t="str">
        <f t="array" aca="1" ref="Q277" ca="1">IF(B277="","",IFERROR(MIN(OFFSET(安値!$E$6,MATCH(TEXT(B277,"0"),TEXT(銘柄管理!$B$6:$B$305,"0"),0)-1,0,1,10)),""))</f>
        <v/>
      </c>
      <c r="R277" s="499"/>
      <c r="S277" s="499"/>
      <c r="T277" s="499"/>
      <c r="U277" s="499"/>
      <c r="V277" s="499"/>
      <c r="W277" s="499"/>
      <c r="X277" s="499"/>
      <c r="Y277" s="499"/>
      <c r="Z277" s="499"/>
    </row>
    <row r="278" spans="1:26" ht="17.25" customHeight="1">
      <c r="A278" s="499"/>
      <c r="B278" s="499"/>
      <c r="C278" s="499"/>
      <c r="D278" s="499"/>
      <c r="E278" s="499"/>
      <c r="F278" s="500"/>
      <c r="G278" s="499"/>
      <c r="H278" s="499"/>
      <c r="I278" s="499"/>
      <c r="J278" s="452"/>
      <c r="K278" s="499"/>
      <c r="L278" s="499"/>
      <c r="M278" s="499"/>
      <c r="N278" s="499"/>
      <c r="P278" s="452" t="str">
        <f t="array" aca="1" ref="P278" ca="1">IF(B278="","",IFERROR(MAX(OFFSET(高値!$E$6,MATCH(TEXT(B278,"0"),TEXT(銘柄管理!$B$6:$B$305,"0"),0)-1,0,1,10)),""))</f>
        <v/>
      </c>
      <c r="Q278" s="452" t="str">
        <f t="array" aca="1" ref="Q278" ca="1">IF(B278="","",IFERROR(MIN(OFFSET(安値!$E$6,MATCH(TEXT(B278,"0"),TEXT(銘柄管理!$B$6:$B$305,"0"),0)-1,0,1,10)),""))</f>
        <v/>
      </c>
      <c r="R278" s="499"/>
      <c r="S278" s="499"/>
      <c r="T278" s="499"/>
      <c r="U278" s="499"/>
      <c r="V278" s="499"/>
      <c r="W278" s="499"/>
      <c r="X278" s="499"/>
      <c r="Y278" s="499"/>
      <c r="Z278" s="499"/>
    </row>
    <row r="279" spans="1:26" ht="17.25" customHeight="1">
      <c r="A279" s="499"/>
      <c r="B279" s="499"/>
      <c r="C279" s="499"/>
      <c r="D279" s="499"/>
      <c r="E279" s="499"/>
      <c r="F279" s="500"/>
      <c r="G279" s="499"/>
      <c r="H279" s="499"/>
      <c r="I279" s="499"/>
      <c r="J279" s="452"/>
      <c r="K279" s="499"/>
      <c r="L279" s="499"/>
      <c r="M279" s="499"/>
      <c r="N279" s="499"/>
      <c r="P279" s="452" t="str">
        <f t="array" aca="1" ref="P279" ca="1">IF(B279="","",IFERROR(MAX(OFFSET(高値!$E$6,MATCH(TEXT(B279,"0"),TEXT(銘柄管理!$B$6:$B$305,"0"),0)-1,0,1,10)),""))</f>
        <v/>
      </c>
      <c r="Q279" s="452" t="str">
        <f t="array" aca="1" ref="Q279" ca="1">IF(B279="","",IFERROR(MIN(OFFSET(安値!$E$6,MATCH(TEXT(B279,"0"),TEXT(銘柄管理!$B$6:$B$305,"0"),0)-1,0,1,10)),""))</f>
        <v/>
      </c>
      <c r="R279" s="499"/>
      <c r="S279" s="499"/>
      <c r="T279" s="499"/>
      <c r="U279" s="499"/>
      <c r="V279" s="499"/>
      <c r="W279" s="499"/>
      <c r="X279" s="499"/>
      <c r="Y279" s="499"/>
      <c r="Z279" s="499"/>
    </row>
    <row r="280" spans="1:26" ht="17.25" customHeight="1">
      <c r="A280" s="499"/>
      <c r="B280" s="499"/>
      <c r="C280" s="499"/>
      <c r="D280" s="499"/>
      <c r="E280" s="499"/>
      <c r="F280" s="500"/>
      <c r="G280" s="499"/>
      <c r="H280" s="499"/>
      <c r="I280" s="499"/>
      <c r="J280" s="452"/>
      <c r="K280" s="499"/>
      <c r="L280" s="499"/>
      <c r="M280" s="499"/>
      <c r="N280" s="499"/>
      <c r="P280" s="452" t="str">
        <f t="array" aca="1" ref="P280" ca="1">IF(B280="","",IFERROR(MAX(OFFSET(高値!$E$6,MATCH(TEXT(B280,"0"),TEXT(銘柄管理!$B$6:$B$305,"0"),0)-1,0,1,10)),""))</f>
        <v/>
      </c>
      <c r="Q280" s="452" t="str">
        <f t="array" aca="1" ref="Q280" ca="1">IF(B280="","",IFERROR(MIN(OFFSET(安値!$E$6,MATCH(TEXT(B280,"0"),TEXT(銘柄管理!$B$6:$B$305,"0"),0)-1,0,1,10)),""))</f>
        <v/>
      </c>
      <c r="R280" s="499"/>
      <c r="S280" s="499"/>
      <c r="T280" s="499"/>
      <c r="U280" s="499"/>
      <c r="V280" s="499"/>
      <c r="W280" s="499"/>
      <c r="X280" s="499"/>
      <c r="Y280" s="499"/>
      <c r="Z280" s="499"/>
    </row>
    <row r="281" spans="1:26" ht="17.25" customHeight="1">
      <c r="A281" s="499"/>
      <c r="B281" s="499"/>
      <c r="C281" s="499"/>
      <c r="D281" s="499"/>
      <c r="E281" s="499"/>
      <c r="F281" s="500"/>
      <c r="G281" s="499"/>
      <c r="H281" s="499"/>
      <c r="I281" s="499"/>
      <c r="J281" s="452"/>
      <c r="K281" s="499"/>
      <c r="L281" s="499"/>
      <c r="M281" s="499"/>
      <c r="N281" s="499"/>
      <c r="P281" s="452" t="str">
        <f t="array" aca="1" ref="P281" ca="1">IF(B281="","",IFERROR(MAX(OFFSET(高値!$E$6,MATCH(TEXT(B281,"0"),TEXT(銘柄管理!$B$6:$B$305,"0"),0)-1,0,1,10)),""))</f>
        <v/>
      </c>
      <c r="Q281" s="452" t="str">
        <f t="array" aca="1" ref="Q281" ca="1">IF(B281="","",IFERROR(MIN(OFFSET(安値!$E$6,MATCH(TEXT(B281,"0"),TEXT(銘柄管理!$B$6:$B$305,"0"),0)-1,0,1,10)),""))</f>
        <v/>
      </c>
      <c r="R281" s="499"/>
      <c r="S281" s="499"/>
      <c r="T281" s="499"/>
      <c r="U281" s="499"/>
      <c r="V281" s="499"/>
      <c r="W281" s="499"/>
      <c r="X281" s="499"/>
      <c r="Y281" s="499"/>
      <c r="Z281" s="499"/>
    </row>
    <row r="282" spans="1:26" ht="17.25" customHeight="1">
      <c r="A282" s="499"/>
      <c r="B282" s="499"/>
      <c r="C282" s="499"/>
      <c r="D282" s="499"/>
      <c r="E282" s="499"/>
      <c r="F282" s="500"/>
      <c r="G282" s="499"/>
      <c r="H282" s="499"/>
      <c r="I282" s="499"/>
      <c r="J282" s="452"/>
      <c r="K282" s="499"/>
      <c r="L282" s="499"/>
      <c r="M282" s="499"/>
      <c r="N282" s="499"/>
      <c r="P282" s="452" t="str">
        <f t="array" aca="1" ref="P282" ca="1">IF(B282="","",IFERROR(MAX(OFFSET(高値!$E$6,MATCH(TEXT(B282,"0"),TEXT(銘柄管理!$B$6:$B$305,"0"),0)-1,0,1,10)),""))</f>
        <v/>
      </c>
      <c r="Q282" s="452" t="str">
        <f t="array" aca="1" ref="Q282" ca="1">IF(B282="","",IFERROR(MIN(OFFSET(安値!$E$6,MATCH(TEXT(B282,"0"),TEXT(銘柄管理!$B$6:$B$305,"0"),0)-1,0,1,10)),""))</f>
        <v/>
      </c>
      <c r="R282" s="499"/>
      <c r="S282" s="499"/>
      <c r="T282" s="499"/>
      <c r="U282" s="499"/>
      <c r="V282" s="499"/>
      <c r="W282" s="499"/>
      <c r="X282" s="499"/>
      <c r="Y282" s="499"/>
      <c r="Z282" s="499"/>
    </row>
    <row r="283" spans="1:26" ht="17.25" customHeight="1">
      <c r="A283" s="499"/>
      <c r="B283" s="499"/>
      <c r="C283" s="499"/>
      <c r="D283" s="499"/>
      <c r="E283" s="499"/>
      <c r="F283" s="500"/>
      <c r="G283" s="499"/>
      <c r="H283" s="499"/>
      <c r="I283" s="499"/>
      <c r="J283" s="452"/>
      <c r="K283" s="499"/>
      <c r="L283" s="499"/>
      <c r="M283" s="499"/>
      <c r="N283" s="499"/>
      <c r="P283" s="452" t="str">
        <f t="array" aca="1" ref="P283" ca="1">IF(B283="","",IFERROR(MAX(OFFSET(高値!$E$6,MATCH(TEXT(B283,"0"),TEXT(銘柄管理!$B$6:$B$305,"0"),0)-1,0,1,10)),""))</f>
        <v/>
      </c>
      <c r="Q283" s="452" t="str">
        <f t="array" aca="1" ref="Q283" ca="1">IF(B283="","",IFERROR(MIN(OFFSET(安値!$E$6,MATCH(TEXT(B283,"0"),TEXT(銘柄管理!$B$6:$B$305,"0"),0)-1,0,1,10)),""))</f>
        <v/>
      </c>
      <c r="R283" s="499"/>
      <c r="S283" s="499"/>
      <c r="T283" s="499"/>
      <c r="U283" s="499"/>
      <c r="V283" s="499"/>
      <c r="W283" s="499"/>
      <c r="X283" s="499"/>
      <c r="Y283" s="499"/>
      <c r="Z283" s="499"/>
    </row>
    <row r="284" spans="1:26" ht="17.25" customHeight="1">
      <c r="A284" s="499"/>
      <c r="B284" s="499"/>
      <c r="C284" s="499"/>
      <c r="D284" s="499"/>
      <c r="E284" s="499"/>
      <c r="F284" s="500"/>
      <c r="G284" s="499"/>
      <c r="H284" s="499"/>
      <c r="I284" s="499"/>
      <c r="J284" s="452"/>
      <c r="K284" s="499"/>
      <c r="L284" s="499"/>
      <c r="M284" s="499"/>
      <c r="N284" s="499"/>
      <c r="P284" s="452" t="str">
        <f t="array" aca="1" ref="P284" ca="1">IF(B284="","",IFERROR(MAX(OFFSET(高値!$E$6,MATCH(TEXT(B284,"0"),TEXT(銘柄管理!$B$6:$B$305,"0"),0)-1,0,1,10)),""))</f>
        <v/>
      </c>
      <c r="Q284" s="452" t="str">
        <f t="array" aca="1" ref="Q284" ca="1">IF(B284="","",IFERROR(MIN(OFFSET(安値!$E$6,MATCH(TEXT(B284,"0"),TEXT(銘柄管理!$B$6:$B$305,"0"),0)-1,0,1,10)),""))</f>
        <v/>
      </c>
      <c r="R284" s="499"/>
      <c r="S284" s="499"/>
      <c r="T284" s="499"/>
      <c r="U284" s="499"/>
      <c r="V284" s="499"/>
      <c r="W284" s="499"/>
      <c r="X284" s="499"/>
      <c r="Y284" s="499"/>
      <c r="Z284" s="499"/>
    </row>
    <row r="285" spans="1:26" ht="17.25" customHeight="1">
      <c r="A285" s="499"/>
      <c r="B285" s="499"/>
      <c r="C285" s="499"/>
      <c r="D285" s="499"/>
      <c r="E285" s="499"/>
      <c r="F285" s="500"/>
      <c r="G285" s="499"/>
      <c r="H285" s="499"/>
      <c r="I285" s="499"/>
      <c r="J285" s="452"/>
      <c r="K285" s="499"/>
      <c r="L285" s="499"/>
      <c r="M285" s="499"/>
      <c r="N285" s="499"/>
      <c r="P285" s="452" t="str">
        <f t="array" aca="1" ref="P285" ca="1">IF(B285="","",IFERROR(MAX(OFFSET(高値!$E$6,MATCH(TEXT(B285,"0"),TEXT(銘柄管理!$B$6:$B$305,"0"),0)-1,0,1,10)),""))</f>
        <v/>
      </c>
      <c r="Q285" s="452" t="str">
        <f t="array" aca="1" ref="Q285" ca="1">IF(B285="","",IFERROR(MIN(OFFSET(安値!$E$6,MATCH(TEXT(B285,"0"),TEXT(銘柄管理!$B$6:$B$305,"0"),0)-1,0,1,10)),""))</f>
        <v/>
      </c>
      <c r="R285" s="499"/>
      <c r="S285" s="499"/>
      <c r="T285" s="499"/>
      <c r="U285" s="499"/>
      <c r="V285" s="499"/>
      <c r="W285" s="499"/>
      <c r="X285" s="499"/>
      <c r="Y285" s="499"/>
      <c r="Z285" s="499"/>
    </row>
    <row r="286" spans="1:26" ht="17.25" customHeight="1">
      <c r="A286" s="499"/>
      <c r="B286" s="499"/>
      <c r="C286" s="499"/>
      <c r="D286" s="499"/>
      <c r="E286" s="499"/>
      <c r="F286" s="500"/>
      <c r="G286" s="499"/>
      <c r="H286" s="499"/>
      <c r="I286" s="499"/>
      <c r="J286" s="452"/>
      <c r="K286" s="499"/>
      <c r="L286" s="499"/>
      <c r="M286" s="499"/>
      <c r="N286" s="499"/>
      <c r="P286" s="452" t="str">
        <f t="array" aca="1" ref="P286" ca="1">IF(B286="","",IFERROR(MAX(OFFSET(高値!$E$6,MATCH(TEXT(B286,"0"),TEXT(銘柄管理!$B$6:$B$305,"0"),0)-1,0,1,10)),""))</f>
        <v/>
      </c>
      <c r="Q286" s="452" t="str">
        <f t="array" aca="1" ref="Q286" ca="1">IF(B286="","",IFERROR(MIN(OFFSET(安値!$E$6,MATCH(TEXT(B286,"0"),TEXT(銘柄管理!$B$6:$B$305,"0"),0)-1,0,1,10)),""))</f>
        <v/>
      </c>
      <c r="R286" s="499"/>
      <c r="S286" s="499"/>
      <c r="T286" s="499"/>
      <c r="U286" s="499"/>
      <c r="V286" s="499"/>
      <c r="W286" s="499"/>
      <c r="X286" s="499"/>
      <c r="Y286" s="499"/>
      <c r="Z286" s="499"/>
    </row>
    <row r="287" spans="1:26" ht="17.25" customHeight="1">
      <c r="A287" s="499"/>
      <c r="B287" s="499"/>
      <c r="C287" s="499"/>
      <c r="D287" s="499"/>
      <c r="E287" s="499"/>
      <c r="F287" s="500"/>
      <c r="G287" s="499"/>
      <c r="H287" s="499"/>
      <c r="I287" s="499"/>
      <c r="J287" s="452"/>
      <c r="K287" s="499"/>
      <c r="L287" s="499"/>
      <c r="M287" s="499"/>
      <c r="N287" s="499"/>
      <c r="P287" s="452" t="str">
        <f t="array" aca="1" ref="P287" ca="1">IF(B287="","",IFERROR(MAX(OFFSET(高値!$E$6,MATCH(TEXT(B287,"0"),TEXT(銘柄管理!$B$6:$B$305,"0"),0)-1,0,1,10)),""))</f>
        <v/>
      </c>
      <c r="Q287" s="452" t="str">
        <f t="array" aca="1" ref="Q287" ca="1">IF(B287="","",IFERROR(MIN(OFFSET(安値!$E$6,MATCH(TEXT(B287,"0"),TEXT(銘柄管理!$B$6:$B$305,"0"),0)-1,0,1,10)),""))</f>
        <v/>
      </c>
      <c r="R287" s="499"/>
      <c r="S287" s="499"/>
      <c r="T287" s="499"/>
      <c r="U287" s="499"/>
      <c r="V287" s="499"/>
      <c r="W287" s="499"/>
      <c r="X287" s="499"/>
      <c r="Y287" s="499"/>
      <c r="Z287" s="499"/>
    </row>
    <row r="288" spans="1:26" ht="17.25" customHeight="1">
      <c r="A288" s="499"/>
      <c r="B288" s="499"/>
      <c r="C288" s="499"/>
      <c r="D288" s="499"/>
      <c r="E288" s="499"/>
      <c r="F288" s="500"/>
      <c r="G288" s="499"/>
      <c r="H288" s="499"/>
      <c r="I288" s="499"/>
      <c r="J288" s="452"/>
      <c r="K288" s="499"/>
      <c r="L288" s="499"/>
      <c r="M288" s="499"/>
      <c r="N288" s="499"/>
      <c r="P288" s="452" t="str">
        <f t="array" aca="1" ref="P288" ca="1">IF(B288="","",IFERROR(MAX(OFFSET(高値!$E$6,MATCH(TEXT(B288,"0"),TEXT(銘柄管理!$B$6:$B$305,"0"),0)-1,0,1,10)),""))</f>
        <v/>
      </c>
      <c r="Q288" s="452" t="str">
        <f ca="1">IF(B288="","",IFERROR(MIN(OFFSET(安値!$E$6,MATCH(B288,銘柄管理!$B$6:$B$305,0)-1,0,1,10)),""))</f>
        <v/>
      </c>
      <c r="R288" s="499"/>
      <c r="S288" s="499"/>
      <c r="T288" s="499"/>
      <c r="U288" s="499"/>
      <c r="V288" s="499"/>
      <c r="W288" s="499"/>
      <c r="X288" s="499"/>
      <c r="Y288" s="499"/>
      <c r="Z288" s="499"/>
    </row>
    <row r="289" spans="1:26" ht="17.25" customHeight="1">
      <c r="A289" s="499"/>
      <c r="B289" s="499"/>
      <c r="C289" s="499"/>
      <c r="D289" s="499"/>
      <c r="E289" s="499"/>
      <c r="F289" s="500"/>
      <c r="G289" s="499"/>
      <c r="H289" s="499"/>
      <c r="I289" s="499"/>
      <c r="J289" s="452"/>
      <c r="K289" s="499"/>
      <c r="L289" s="499"/>
      <c r="M289" s="499"/>
      <c r="N289" s="499"/>
      <c r="P289" s="452" t="str">
        <f t="array" aca="1" ref="P289" ca="1">IF(B289="","",IFERROR(MAX(OFFSET(高値!$E$6,MATCH(TEXT(B289,"0"),TEXT(銘柄管理!$B$6:$B$305,"0"),0)-1,0,1,10)),""))</f>
        <v/>
      </c>
      <c r="Q289" s="452" t="str">
        <f ca="1">IF(B289="","",IFERROR(MIN(OFFSET(安値!$E$6,MATCH(B289,銘柄管理!$B$6:$B$305,0)-1,0,1,10)),""))</f>
        <v/>
      </c>
      <c r="R289" s="499"/>
      <c r="S289" s="499"/>
      <c r="T289" s="499"/>
      <c r="U289" s="499"/>
      <c r="V289" s="499"/>
      <c r="W289" s="499"/>
      <c r="X289" s="499"/>
      <c r="Y289" s="499"/>
      <c r="Z289" s="499"/>
    </row>
    <row r="290" spans="1:26" ht="17.25" customHeight="1">
      <c r="A290" s="499"/>
      <c r="B290" s="499"/>
      <c r="C290" s="499"/>
      <c r="D290" s="499"/>
      <c r="E290" s="499"/>
      <c r="F290" s="500"/>
      <c r="G290" s="499"/>
      <c r="H290" s="499"/>
      <c r="I290" s="499"/>
      <c r="J290" s="452"/>
      <c r="K290" s="499"/>
      <c r="L290" s="499"/>
      <c r="M290" s="499"/>
      <c r="N290" s="499"/>
      <c r="P290" s="452" t="str">
        <f t="array" aca="1" ref="P290" ca="1">IF(B290="","",IFERROR(MAX(OFFSET(高値!$E$6,MATCH(TEXT(B290,"0"),TEXT(銘柄管理!$B$6:$B$305,"0"),0)-1,0,1,10)),""))</f>
        <v/>
      </c>
      <c r="Q290" s="452" t="str">
        <f ca="1">IF(B290="","",IFERROR(MIN(OFFSET(安値!$E$6,MATCH(B290,銘柄管理!$B$6:$B$305,0)-1,0,1,10)),""))</f>
        <v/>
      </c>
      <c r="R290" s="499"/>
      <c r="S290" s="499"/>
      <c r="T290" s="499"/>
      <c r="U290" s="499"/>
      <c r="V290" s="499"/>
      <c r="W290" s="499"/>
      <c r="X290" s="499"/>
      <c r="Y290" s="499"/>
      <c r="Z290" s="499"/>
    </row>
    <row r="291" spans="1:26" ht="17.25" customHeight="1">
      <c r="A291" s="499"/>
      <c r="B291" s="499"/>
      <c r="C291" s="499"/>
      <c r="D291" s="499"/>
      <c r="E291" s="499"/>
      <c r="F291" s="500"/>
      <c r="G291" s="499"/>
      <c r="H291" s="499"/>
      <c r="I291" s="499"/>
      <c r="J291" s="452"/>
      <c r="K291" s="499"/>
      <c r="L291" s="499"/>
      <c r="M291" s="499"/>
      <c r="N291" s="499"/>
      <c r="P291" s="452" t="str">
        <f t="array" aca="1" ref="P291" ca="1">IF(B291="","",IFERROR(MAX(OFFSET(高値!$E$6,MATCH(TEXT(B291,"0"),TEXT(銘柄管理!$B$6:$B$305,"0"),0)-1,0,1,10)),""))</f>
        <v/>
      </c>
      <c r="Q291" s="452" t="str">
        <f ca="1">IF(B291="","",IFERROR(MIN(OFFSET(安値!$E$6,MATCH(B291,銘柄管理!$B$6:$B$305,0)-1,0,1,10)),""))</f>
        <v/>
      </c>
      <c r="R291" s="499"/>
      <c r="S291" s="499"/>
      <c r="T291" s="499"/>
      <c r="U291" s="499"/>
      <c r="V291" s="499"/>
      <c r="W291" s="499"/>
      <c r="X291" s="499"/>
      <c r="Y291" s="499"/>
      <c r="Z291" s="499"/>
    </row>
    <row r="292" spans="1:26" ht="17.25" customHeight="1">
      <c r="A292" s="499"/>
      <c r="B292" s="499"/>
      <c r="C292" s="499"/>
      <c r="D292" s="499"/>
      <c r="E292" s="499"/>
      <c r="F292" s="500"/>
      <c r="G292" s="499"/>
      <c r="H292" s="499"/>
      <c r="I292" s="499"/>
      <c r="J292" s="452"/>
      <c r="K292" s="499"/>
      <c r="L292" s="499"/>
      <c r="M292" s="499"/>
      <c r="N292" s="499"/>
      <c r="P292" s="452" t="str">
        <f t="array" aca="1" ref="P292" ca="1">IF(B292="","",IFERROR(MAX(OFFSET(高値!$E$6,MATCH(TEXT(B292,"0"),TEXT(銘柄管理!$B$6:$B$305,"0"),0)-1,0,1,10)),""))</f>
        <v/>
      </c>
      <c r="Q292" s="452" t="str">
        <f ca="1">IF(B292="","",IFERROR(MIN(OFFSET(安値!$E$6,MATCH(B292,銘柄管理!$B$6:$B$305,0)-1,0,1,10)),""))</f>
        <v/>
      </c>
      <c r="R292" s="499"/>
      <c r="S292" s="499"/>
      <c r="T292" s="499"/>
      <c r="U292" s="499"/>
      <c r="V292" s="499"/>
      <c r="W292" s="499"/>
      <c r="X292" s="499"/>
      <c r="Y292" s="499"/>
      <c r="Z292" s="499"/>
    </row>
    <row r="293" spans="1:26" ht="17.25" customHeight="1">
      <c r="A293" s="499"/>
      <c r="B293" s="499"/>
      <c r="C293" s="499"/>
      <c r="D293" s="499"/>
      <c r="E293" s="499"/>
      <c r="F293" s="500"/>
      <c r="G293" s="499"/>
      <c r="H293" s="499"/>
      <c r="I293" s="499"/>
      <c r="J293" s="452"/>
      <c r="K293" s="499"/>
      <c r="L293" s="499"/>
      <c r="M293" s="499"/>
      <c r="N293" s="499"/>
      <c r="P293" s="452" t="str">
        <f t="array" aca="1" ref="P293" ca="1">IF(B293="","",IFERROR(MAX(OFFSET(高値!$E$6,MATCH(TEXT(B293,"0"),TEXT(銘柄管理!$B$6:$B$305,"0"),0)-1,0,1,10)),""))</f>
        <v/>
      </c>
      <c r="Q293" s="452" t="str">
        <f ca="1">IF(B293="","",IFERROR(MIN(OFFSET(安値!$E$6,MATCH(B293,銘柄管理!$B$6:$B$305,0)-1,0,1,10)),""))</f>
        <v/>
      </c>
      <c r="R293" s="499"/>
      <c r="S293" s="499"/>
      <c r="T293" s="499"/>
      <c r="U293" s="499"/>
      <c r="V293" s="499"/>
      <c r="W293" s="499"/>
      <c r="X293" s="499"/>
      <c r="Y293" s="499"/>
      <c r="Z293" s="499"/>
    </row>
    <row r="294" spans="1:26" ht="17.25" customHeight="1">
      <c r="A294" s="499"/>
      <c r="B294" s="499"/>
      <c r="C294" s="499"/>
      <c r="D294" s="499"/>
      <c r="E294" s="499"/>
      <c r="F294" s="500"/>
      <c r="G294" s="499"/>
      <c r="H294" s="499"/>
      <c r="I294" s="499"/>
      <c r="J294" s="452"/>
      <c r="K294" s="499"/>
      <c r="L294" s="499"/>
      <c r="M294" s="499"/>
      <c r="N294" s="499"/>
      <c r="P294" s="452" t="str">
        <f t="array" aca="1" ref="P294" ca="1">IF(B294="","",IFERROR(MAX(OFFSET(高値!$E$6,MATCH(TEXT(B294,"0"),TEXT(銘柄管理!$B$6:$B$305,"0"),0)-1,0,1,10)),""))</f>
        <v/>
      </c>
      <c r="Q294" s="452" t="str">
        <f ca="1">IF(B294="","",IFERROR(MIN(OFFSET(安値!$E$6,MATCH(B294,銘柄管理!$B$6:$B$305,0)-1,0,1,10)),""))</f>
        <v/>
      </c>
      <c r="R294" s="499"/>
      <c r="S294" s="499"/>
      <c r="T294" s="499"/>
      <c r="U294" s="499"/>
      <c r="V294" s="499"/>
      <c r="W294" s="499"/>
      <c r="X294" s="499"/>
      <c r="Y294" s="499"/>
      <c r="Z294" s="499"/>
    </row>
    <row r="295" spans="1:26" ht="17.25" customHeight="1">
      <c r="A295" s="499"/>
      <c r="B295" s="499"/>
      <c r="C295" s="499"/>
      <c r="D295" s="499"/>
      <c r="E295" s="499"/>
      <c r="F295" s="500"/>
      <c r="G295" s="499"/>
      <c r="H295" s="499"/>
      <c r="I295" s="499"/>
      <c r="J295" s="452"/>
      <c r="K295" s="499"/>
      <c r="L295" s="499"/>
      <c r="M295" s="499"/>
      <c r="N295" s="499"/>
      <c r="P295" s="452" t="str">
        <f t="array" aca="1" ref="P295" ca="1">IF(B295="","",IFERROR(MAX(OFFSET(高値!$E$6,MATCH(TEXT(B295,"0"),TEXT(銘柄管理!$B$6:$B$305,"0"),0)-1,0,1,10)),""))</f>
        <v/>
      </c>
      <c r="Q295" s="452" t="str">
        <f ca="1">IF(B295="","",IFERROR(MIN(OFFSET(安値!$E$6,MATCH(B295,銘柄管理!$B$6:$B$305,0)-1,0,1,10)),""))</f>
        <v/>
      </c>
      <c r="R295" s="499"/>
      <c r="S295" s="499"/>
      <c r="T295" s="499"/>
      <c r="U295" s="499"/>
      <c r="V295" s="499"/>
      <c r="W295" s="499"/>
      <c r="X295" s="499"/>
      <c r="Y295" s="499"/>
      <c r="Z295" s="499"/>
    </row>
    <row r="296" spans="1:26" ht="17.25" customHeight="1">
      <c r="A296" s="499"/>
      <c r="B296" s="499"/>
      <c r="C296" s="499"/>
      <c r="D296" s="499"/>
      <c r="E296" s="499"/>
      <c r="F296" s="500"/>
      <c r="G296" s="499"/>
      <c r="H296" s="499"/>
      <c r="I296" s="499"/>
      <c r="J296" s="452"/>
      <c r="K296" s="499"/>
      <c r="L296" s="499"/>
      <c r="M296" s="499"/>
      <c r="N296" s="499"/>
      <c r="P296" s="452" t="str">
        <f t="array" aca="1" ref="P296" ca="1">IF(B296="","",IFERROR(MAX(OFFSET(高値!$E$6,MATCH(TEXT(B296,"0"),TEXT(銘柄管理!$B$6:$B$305,"0"),0)-1,0,1,10)),""))</f>
        <v/>
      </c>
      <c r="Q296" s="452" t="str">
        <f ca="1">IF(B296="","",IFERROR(MIN(OFFSET(安値!$E$6,MATCH(B296,銘柄管理!$B$6:$B$305,0)-1,0,1,10)),""))</f>
        <v/>
      </c>
      <c r="R296" s="499"/>
      <c r="S296" s="499"/>
      <c r="T296" s="499"/>
      <c r="U296" s="499"/>
      <c r="V296" s="499"/>
      <c r="W296" s="499"/>
      <c r="X296" s="499"/>
      <c r="Y296" s="499"/>
      <c r="Z296" s="499"/>
    </row>
    <row r="297" spans="1:26" ht="17.25" customHeight="1">
      <c r="A297" s="499"/>
      <c r="B297" s="499"/>
      <c r="C297" s="499"/>
      <c r="D297" s="499"/>
      <c r="E297" s="499"/>
      <c r="F297" s="500"/>
      <c r="G297" s="499"/>
      <c r="H297" s="499"/>
      <c r="I297" s="499"/>
      <c r="J297" s="452"/>
      <c r="K297" s="499"/>
      <c r="L297" s="499"/>
      <c r="M297" s="499"/>
      <c r="N297" s="499"/>
      <c r="P297" s="452" t="str">
        <f t="array" aca="1" ref="P297" ca="1">IF(B297="","",IFERROR(MAX(OFFSET(高値!$E$6,MATCH(TEXT(B297,"0"),TEXT(銘柄管理!$B$6:$B$305,"0"),0)-1,0,1,10)),""))</f>
        <v/>
      </c>
      <c r="Q297" s="452" t="str">
        <f ca="1">IF(B297="","",IFERROR(MIN(OFFSET(安値!$E$6,MATCH(B297,銘柄管理!$B$6:$B$305,0)-1,0,1,10)),""))</f>
        <v/>
      </c>
      <c r="R297" s="499"/>
      <c r="S297" s="499"/>
      <c r="T297" s="499"/>
      <c r="U297" s="499"/>
      <c r="V297" s="499"/>
      <c r="W297" s="499"/>
      <c r="X297" s="499"/>
      <c r="Y297" s="499"/>
      <c r="Z297" s="499"/>
    </row>
    <row r="298" spans="1:26" ht="17.25" customHeight="1">
      <c r="A298" s="499"/>
      <c r="B298" s="499"/>
      <c r="C298" s="499"/>
      <c r="D298" s="499"/>
      <c r="E298" s="499"/>
      <c r="F298" s="500"/>
      <c r="G298" s="499"/>
      <c r="H298" s="499"/>
      <c r="I298" s="499"/>
      <c r="J298" s="452"/>
      <c r="K298" s="499"/>
      <c r="L298" s="499"/>
      <c r="M298" s="499"/>
      <c r="N298" s="499"/>
      <c r="P298" s="452" t="str">
        <f t="array" aca="1" ref="P298" ca="1">IF(B298="","",IFERROR(MAX(OFFSET(高値!$E$6,MATCH(TEXT(B298,"0"),TEXT(銘柄管理!$B$6:$B$305,"0"),0)-1,0,1,10)),""))</f>
        <v/>
      </c>
      <c r="Q298" s="452" t="str">
        <f ca="1">IF(B298="","",IFERROR(MIN(OFFSET(安値!$E$6,MATCH(B298,銘柄管理!$B$6:$B$305,0)-1,0,1,10)),""))</f>
        <v/>
      </c>
      <c r="R298" s="499"/>
      <c r="S298" s="499"/>
      <c r="T298" s="499"/>
      <c r="U298" s="499"/>
      <c r="V298" s="499"/>
      <c r="W298" s="499"/>
      <c r="X298" s="499"/>
      <c r="Y298" s="499"/>
      <c r="Z298" s="499"/>
    </row>
    <row r="299" spans="1:26" ht="17.25" customHeight="1">
      <c r="A299" s="499"/>
      <c r="B299" s="499"/>
      <c r="C299" s="499"/>
      <c r="D299" s="499"/>
      <c r="E299" s="499"/>
      <c r="F299" s="500"/>
      <c r="G299" s="499"/>
      <c r="H299" s="499"/>
      <c r="I299" s="499"/>
      <c r="J299" s="452"/>
      <c r="K299" s="499"/>
      <c r="L299" s="499"/>
      <c r="M299" s="499"/>
      <c r="N299" s="499"/>
      <c r="P299" s="452" t="str">
        <f t="array" aca="1" ref="P299" ca="1">IF(B299="","",IFERROR(MAX(OFFSET(高値!$E$6,MATCH(TEXT(B299,"0"),TEXT(銘柄管理!$B$6:$B$305,"0"),0)-1,0,1,10)),""))</f>
        <v/>
      </c>
      <c r="Q299" s="452" t="str">
        <f ca="1">IF(B299="","",IFERROR(MIN(OFFSET(安値!$E$6,MATCH(B299,銘柄管理!$B$6:$B$305,0)-1,0,1,10)),""))</f>
        <v/>
      </c>
      <c r="R299" s="499"/>
      <c r="S299" s="499"/>
      <c r="T299" s="499"/>
      <c r="U299" s="499"/>
      <c r="V299" s="499"/>
      <c r="W299" s="499"/>
      <c r="X299" s="499"/>
      <c r="Y299" s="499"/>
      <c r="Z299" s="499"/>
    </row>
    <row r="300" spans="1:26" ht="17.25" customHeight="1">
      <c r="A300" s="499"/>
      <c r="B300" s="499"/>
      <c r="C300" s="499"/>
      <c r="D300" s="499"/>
      <c r="E300" s="499"/>
      <c r="F300" s="500"/>
      <c r="G300" s="499"/>
      <c r="H300" s="499"/>
      <c r="I300" s="499"/>
      <c r="J300" s="452"/>
      <c r="K300" s="499"/>
      <c r="L300" s="499"/>
      <c r="M300" s="499"/>
      <c r="N300" s="499"/>
      <c r="P300" s="452" t="str">
        <f t="array" aca="1" ref="P300" ca="1">IF(B300="","",IFERROR(MAX(OFFSET(高値!$E$6,MATCH(TEXT(B300,"0"),TEXT(銘柄管理!$B$6:$B$305,"0"),0)-1,0,1,10)),""))</f>
        <v/>
      </c>
      <c r="Q300" s="452" t="str">
        <f ca="1">IF(B300="","",IFERROR(MIN(OFFSET(安値!$E$6,MATCH(B300,銘柄管理!$B$6:$B$305,0)-1,0,1,10)),""))</f>
        <v/>
      </c>
      <c r="R300" s="499"/>
      <c r="S300" s="499"/>
      <c r="T300" s="499"/>
      <c r="U300" s="499"/>
      <c r="V300" s="499"/>
      <c r="W300" s="499"/>
      <c r="X300" s="499"/>
      <c r="Y300" s="499"/>
      <c r="Z300" s="499"/>
    </row>
    <row r="301" spans="1:26" ht="17.25" customHeight="1">
      <c r="A301" s="499"/>
      <c r="B301" s="499"/>
      <c r="C301" s="499"/>
      <c r="D301" s="499"/>
      <c r="E301" s="499"/>
      <c r="F301" s="500"/>
      <c r="G301" s="499"/>
      <c r="H301" s="499"/>
      <c r="I301" s="499"/>
      <c r="J301" s="452"/>
      <c r="K301" s="499"/>
      <c r="L301" s="499"/>
      <c r="M301" s="499"/>
      <c r="N301" s="499"/>
      <c r="P301" s="452" t="str">
        <f t="array" aca="1" ref="P301" ca="1">IF(B301="","",IFERROR(MAX(OFFSET(高値!$E$6,MATCH(TEXT(B301,"0"),TEXT(銘柄管理!$B$6:$B$305,"0"),0)-1,0,1,10)),""))</f>
        <v/>
      </c>
      <c r="Q301" s="452" t="str">
        <f ca="1">IF(B301="","",IFERROR(MIN(OFFSET(安値!$E$6,MATCH(B301,銘柄管理!$B$6:$B$305,0)-1,0,1,10)),""))</f>
        <v/>
      </c>
      <c r="R301" s="499"/>
      <c r="S301" s="499"/>
      <c r="T301" s="499"/>
      <c r="U301" s="499"/>
      <c r="V301" s="499"/>
      <c r="W301" s="499"/>
      <c r="X301" s="499"/>
      <c r="Y301" s="499"/>
      <c r="Z301" s="499"/>
    </row>
    <row r="302" spans="1:26" ht="17.25" customHeight="1">
      <c r="A302" s="499"/>
      <c r="B302" s="499"/>
      <c r="C302" s="499"/>
      <c r="D302" s="499"/>
      <c r="E302" s="499"/>
      <c r="F302" s="500"/>
      <c r="G302" s="499"/>
      <c r="H302" s="499"/>
      <c r="I302" s="499"/>
      <c r="J302" s="452"/>
      <c r="K302" s="499"/>
      <c r="L302" s="499"/>
      <c r="M302" s="499"/>
      <c r="N302" s="499"/>
      <c r="P302" s="452" t="str">
        <f t="array" aca="1" ref="P302" ca="1">IF(B302="","",IFERROR(MAX(OFFSET(高値!$E$6,MATCH(TEXT(B302,"0"),TEXT(銘柄管理!$B$6:$B$305,"0"),0)-1,0,1,10)),""))</f>
        <v/>
      </c>
      <c r="Q302" s="452" t="str">
        <f ca="1">IF(B302="","",IFERROR(MIN(OFFSET(安値!$E$6,MATCH(B302,銘柄管理!$B$6:$B$305,0)-1,0,1,10)),""))</f>
        <v/>
      </c>
      <c r="R302" s="499"/>
      <c r="S302" s="499"/>
      <c r="T302" s="499"/>
      <c r="U302" s="499"/>
      <c r="V302" s="499"/>
      <c r="W302" s="499"/>
      <c r="X302" s="499"/>
      <c r="Y302" s="499"/>
      <c r="Z302" s="499"/>
    </row>
    <row r="303" spans="1:26" ht="17.25" customHeight="1">
      <c r="A303" s="499"/>
      <c r="B303" s="499"/>
      <c r="C303" s="499"/>
      <c r="D303" s="499"/>
      <c r="E303" s="499"/>
      <c r="F303" s="500"/>
      <c r="G303" s="499"/>
      <c r="H303" s="499"/>
      <c r="I303" s="499"/>
      <c r="J303" s="452"/>
      <c r="K303" s="499"/>
      <c r="L303" s="499"/>
      <c r="M303" s="499"/>
      <c r="N303" s="499"/>
      <c r="P303" s="452" t="str">
        <f t="array" aca="1" ref="P303" ca="1">IF(B303="","",IFERROR(MAX(OFFSET(高値!$E$6,MATCH(TEXT(B303,"0"),TEXT(銘柄管理!$B$6:$B$305,"0"),0)-1,0,1,10)),""))</f>
        <v/>
      </c>
      <c r="Q303" s="452" t="str">
        <f ca="1">IF(B303="","",IFERROR(MIN(OFFSET(安値!$E$6,MATCH(B303,銘柄管理!$B$6:$B$305,0)-1,0,1,10)),""))</f>
        <v/>
      </c>
      <c r="R303" s="499"/>
      <c r="S303" s="499"/>
      <c r="T303" s="499"/>
      <c r="U303" s="499"/>
      <c r="V303" s="499"/>
      <c r="W303" s="499"/>
      <c r="X303" s="499"/>
      <c r="Y303" s="499"/>
      <c r="Z303" s="499"/>
    </row>
    <row r="304" spans="1:26" ht="17.25" customHeight="1">
      <c r="A304" s="499"/>
      <c r="B304" s="499"/>
      <c r="C304" s="499"/>
      <c r="D304" s="499"/>
      <c r="E304" s="499"/>
      <c r="F304" s="500"/>
      <c r="G304" s="499"/>
      <c r="H304" s="499"/>
      <c r="I304" s="499"/>
      <c r="J304" s="452"/>
      <c r="K304" s="499"/>
      <c r="L304" s="499"/>
      <c r="M304" s="499"/>
      <c r="N304" s="499"/>
      <c r="P304" s="452" t="str">
        <f t="array" aca="1" ref="P304" ca="1">IF(B304="","",IFERROR(MAX(OFFSET(高値!$E$6,MATCH(TEXT(B304,"0"),TEXT(銘柄管理!$B$6:$B$305,"0"),0)-1,0,1,10)),""))</f>
        <v/>
      </c>
      <c r="Q304" s="452" t="str">
        <f ca="1">IF(B304="","",IFERROR(MIN(OFFSET(安値!$E$6,MATCH(B304,銘柄管理!$B$6:$B$305,0)-1,0,1,10)),""))</f>
        <v/>
      </c>
      <c r="R304" s="499"/>
      <c r="S304" s="499"/>
      <c r="T304" s="499"/>
      <c r="U304" s="499"/>
      <c r="V304" s="499"/>
      <c r="W304" s="499"/>
      <c r="X304" s="499"/>
      <c r="Y304" s="499"/>
      <c r="Z304" s="499"/>
    </row>
    <row r="305" spans="1:26" ht="17.25" customHeight="1">
      <c r="A305" s="499"/>
      <c r="B305" s="499"/>
      <c r="C305" s="499"/>
      <c r="D305" s="499"/>
      <c r="E305" s="499"/>
      <c r="F305" s="500"/>
      <c r="G305" s="499"/>
      <c r="H305" s="499"/>
      <c r="I305" s="499"/>
      <c r="J305" s="452"/>
      <c r="K305" s="499"/>
      <c r="L305" s="499"/>
      <c r="M305" s="499"/>
      <c r="N305" s="499"/>
      <c r="P305" s="452" t="str">
        <f t="array" aca="1" ref="P305" ca="1">IF(B305="","",IFERROR(MAX(OFFSET(高値!$E$6,MATCH(TEXT(B305,"0"),TEXT(銘柄管理!$B$6:$B$305,"0"),0)-1,0,1,10)),""))</f>
        <v/>
      </c>
      <c r="Q305" s="452" t="str">
        <f ca="1">IF(B305="","",IFERROR(MIN(OFFSET(安値!$E$6,MATCH(B305,銘柄管理!$B$6:$B$305,0)-1,0,1,10)),""))</f>
        <v/>
      </c>
      <c r="R305" s="499"/>
      <c r="S305" s="499"/>
      <c r="T305" s="499"/>
      <c r="U305" s="499"/>
      <c r="V305" s="499"/>
      <c r="W305" s="499"/>
      <c r="X305" s="499"/>
      <c r="Y305" s="499"/>
      <c r="Z305" s="499"/>
    </row>
    <row r="306" spans="1:26" ht="17.25" customHeight="1">
      <c r="A306" s="499"/>
      <c r="B306" s="499"/>
      <c r="C306" s="499"/>
      <c r="D306" s="499"/>
      <c r="E306" s="499"/>
      <c r="F306" s="500"/>
      <c r="G306" s="499"/>
      <c r="H306" s="499"/>
      <c r="I306" s="499"/>
      <c r="J306" s="452"/>
      <c r="K306" s="499"/>
      <c r="L306" s="499"/>
      <c r="M306" s="499"/>
      <c r="N306" s="499"/>
      <c r="P306" s="452" t="str">
        <f t="array" aca="1" ref="P306" ca="1">IF(B306="","",IFERROR(MAX(OFFSET(高値!$E$6,MATCH(TEXT(B306,"0"),TEXT(銘柄管理!$B$6:$B$305,"0"),0)-1,0,1,10)),""))</f>
        <v/>
      </c>
      <c r="Q306" s="452" t="str">
        <f ca="1">IF(B306="","",IFERROR(MIN(OFFSET(安値!$E$6,MATCH(B306,銘柄管理!$B$6:$B$305,0)-1,0,1,10)),""))</f>
        <v/>
      </c>
      <c r="R306" s="499"/>
      <c r="S306" s="499"/>
      <c r="T306" s="499"/>
      <c r="U306" s="499"/>
      <c r="V306" s="499"/>
      <c r="W306" s="499"/>
      <c r="X306" s="499"/>
      <c r="Y306" s="499"/>
      <c r="Z306" s="499"/>
    </row>
    <row r="307" spans="1:26" ht="17.25" customHeight="1">
      <c r="A307" s="499"/>
      <c r="B307" s="499"/>
      <c r="C307" s="499"/>
      <c r="D307" s="499"/>
      <c r="E307" s="499"/>
      <c r="F307" s="500"/>
      <c r="G307" s="499"/>
      <c r="H307" s="499"/>
      <c r="I307" s="499"/>
      <c r="J307" s="452"/>
      <c r="K307" s="499"/>
      <c r="L307" s="499"/>
      <c r="M307" s="499"/>
      <c r="N307" s="499"/>
      <c r="P307" s="452" t="str">
        <f t="array" aca="1" ref="P307" ca="1">IF(B307="","",IFERROR(MAX(OFFSET(高値!$E$6,MATCH(TEXT(B307,"0"),TEXT(銘柄管理!$B$6:$B$305,"0"),0)-1,0,1,10)),""))</f>
        <v/>
      </c>
      <c r="Q307" s="452" t="str">
        <f ca="1">IF(B307="","",IFERROR(MIN(OFFSET(安値!$E$6,MATCH(B307,銘柄管理!$B$6:$B$305,0)-1,0,1,10)),""))</f>
        <v/>
      </c>
      <c r="R307" s="499"/>
      <c r="S307" s="499"/>
      <c r="T307" s="499"/>
      <c r="U307" s="499"/>
      <c r="V307" s="499"/>
      <c r="W307" s="499"/>
      <c r="X307" s="499"/>
      <c r="Y307" s="499"/>
      <c r="Z307" s="499"/>
    </row>
    <row r="308" spans="1:26" ht="17.25" customHeight="1">
      <c r="A308" s="499"/>
      <c r="B308" s="499"/>
      <c r="C308" s="499"/>
      <c r="D308" s="499"/>
      <c r="E308" s="499"/>
      <c r="F308" s="500"/>
      <c r="G308" s="499"/>
      <c r="H308" s="499"/>
      <c r="I308" s="499"/>
      <c r="J308" s="452"/>
      <c r="K308" s="499"/>
      <c r="L308" s="499"/>
      <c r="M308" s="499"/>
      <c r="N308" s="499"/>
      <c r="P308" s="452" t="str">
        <f t="array" aca="1" ref="P308" ca="1">IF(B308="","",IFERROR(MAX(OFFSET(高値!$E$6,MATCH(TEXT(B308,"0"),TEXT(銘柄管理!$B$6:$B$305,"0"),0)-1,0,1,10)),""))</f>
        <v/>
      </c>
      <c r="Q308" s="452" t="str">
        <f ca="1">IF(B308="","",IFERROR(MIN(OFFSET(安値!$E$6,MATCH(B308,銘柄管理!$B$6:$B$305,0)-1,0,1,10)),""))</f>
        <v/>
      </c>
      <c r="R308" s="499"/>
      <c r="S308" s="499"/>
      <c r="T308" s="499"/>
      <c r="U308" s="499"/>
      <c r="V308" s="499"/>
      <c r="W308" s="499"/>
      <c r="X308" s="499"/>
      <c r="Y308" s="499"/>
      <c r="Z308" s="499"/>
    </row>
    <row r="309" spans="1:26" ht="17.25" customHeight="1">
      <c r="A309" s="499"/>
      <c r="B309" s="499"/>
      <c r="C309" s="499"/>
      <c r="D309" s="499"/>
      <c r="E309" s="499"/>
      <c r="F309" s="500"/>
      <c r="G309" s="499"/>
      <c r="H309" s="499"/>
      <c r="I309" s="499"/>
      <c r="J309" s="452"/>
      <c r="K309" s="499"/>
      <c r="L309" s="499"/>
      <c r="M309" s="499"/>
      <c r="N309" s="499"/>
      <c r="P309" s="452" t="str">
        <f t="array" aca="1" ref="P309" ca="1">IF(B309="","",IFERROR(MAX(OFFSET(高値!$E$6,MATCH(TEXT(B309,"0"),TEXT(銘柄管理!$B$6:$B$305,"0"),0)-1,0,1,10)),""))</f>
        <v/>
      </c>
      <c r="Q309" s="452" t="str">
        <f ca="1">IF(B309="","",IFERROR(MIN(OFFSET(安値!$E$6,MATCH(B309,銘柄管理!$B$6:$B$305,0)-1,0,1,10)),""))</f>
        <v/>
      </c>
      <c r="R309" s="499"/>
      <c r="S309" s="499"/>
      <c r="T309" s="499"/>
      <c r="U309" s="499"/>
      <c r="V309" s="499"/>
      <c r="W309" s="499"/>
      <c r="X309" s="499"/>
      <c r="Y309" s="499"/>
      <c r="Z309" s="499"/>
    </row>
    <row r="310" spans="1:26" ht="17.25" customHeight="1">
      <c r="A310" s="499"/>
      <c r="B310" s="499"/>
      <c r="C310" s="499"/>
      <c r="D310" s="499"/>
      <c r="E310" s="499"/>
      <c r="F310" s="500"/>
      <c r="G310" s="499"/>
      <c r="H310" s="499"/>
      <c r="I310" s="499"/>
      <c r="J310" s="452"/>
      <c r="K310" s="499"/>
      <c r="L310" s="499"/>
      <c r="M310" s="499"/>
      <c r="N310" s="499"/>
      <c r="P310" s="452" t="str">
        <f t="array" aca="1" ref="P310" ca="1">IF(B310="","",IFERROR(MAX(OFFSET(高値!$E$6,MATCH(TEXT(B310,"0"),TEXT(銘柄管理!$B$6:$B$305,"0"),0)-1,0,1,10)),""))</f>
        <v/>
      </c>
      <c r="Q310" s="452" t="str">
        <f ca="1">IF(B310="","",IFERROR(MIN(OFFSET(安値!$E$6,MATCH(B310,銘柄管理!$B$6:$B$305,0)-1,0,1,10)),""))</f>
        <v/>
      </c>
      <c r="R310" s="499"/>
      <c r="S310" s="499"/>
      <c r="T310" s="499"/>
      <c r="U310" s="499"/>
      <c r="V310" s="499"/>
      <c r="W310" s="499"/>
      <c r="X310" s="499"/>
      <c r="Y310" s="499"/>
      <c r="Z310" s="499"/>
    </row>
    <row r="311" spans="1:26" ht="17.25" customHeight="1">
      <c r="A311" s="499"/>
      <c r="B311" s="499"/>
      <c r="C311" s="499"/>
      <c r="D311" s="499"/>
      <c r="E311" s="499"/>
      <c r="F311" s="500"/>
      <c r="G311" s="499"/>
      <c r="H311" s="499"/>
      <c r="I311" s="499"/>
      <c r="J311" s="452"/>
      <c r="K311" s="499"/>
      <c r="L311" s="499"/>
      <c r="M311" s="499"/>
      <c r="N311" s="499"/>
      <c r="P311" s="452" t="str">
        <f t="array" aca="1" ref="P311" ca="1">IF(B311="","",IFERROR(MAX(OFFSET(高値!$E$6,MATCH(TEXT(B311,"0"),TEXT(銘柄管理!$B$6:$B$305,"0"),0)-1,0,1,10)),""))</f>
        <v/>
      </c>
      <c r="Q311" s="452" t="str">
        <f ca="1">IF(B311="","",IFERROR(MIN(OFFSET(安値!$E$6,MATCH(B311,銘柄管理!$B$6:$B$305,0)-1,0,1,10)),""))</f>
        <v/>
      </c>
      <c r="R311" s="499"/>
      <c r="S311" s="499"/>
      <c r="T311" s="499"/>
      <c r="U311" s="499"/>
      <c r="V311" s="499"/>
      <c r="W311" s="499"/>
      <c r="X311" s="499"/>
      <c r="Y311" s="499"/>
      <c r="Z311" s="499"/>
    </row>
    <row r="312" spans="1:26" ht="17.25" customHeight="1">
      <c r="A312" s="499"/>
      <c r="B312" s="499"/>
      <c r="C312" s="499"/>
      <c r="D312" s="499"/>
      <c r="E312" s="499"/>
      <c r="F312" s="500"/>
      <c r="G312" s="499"/>
      <c r="H312" s="499"/>
      <c r="I312" s="499"/>
      <c r="J312" s="452"/>
      <c r="K312" s="499"/>
      <c r="L312" s="499"/>
      <c r="M312" s="499"/>
      <c r="N312" s="499"/>
      <c r="P312" s="452" t="str">
        <f t="array" aca="1" ref="P312" ca="1">IF(B312="","",IFERROR(MAX(OFFSET(高値!$E$6,MATCH(TEXT(B312,"0"),TEXT(銘柄管理!$B$6:$B$305,"0"),0)-1,0,1,10)),""))</f>
        <v/>
      </c>
      <c r="Q312" s="452" t="str">
        <f ca="1">IF(B312="","",IFERROR(MIN(OFFSET(安値!$E$6,MATCH(B312,銘柄管理!$B$6:$B$305,0)-1,0,1,10)),""))</f>
        <v/>
      </c>
      <c r="R312" s="499"/>
      <c r="S312" s="499"/>
      <c r="T312" s="499"/>
      <c r="U312" s="499"/>
      <c r="V312" s="499"/>
      <c r="W312" s="499"/>
      <c r="X312" s="499"/>
      <c r="Y312" s="499"/>
      <c r="Z312" s="499"/>
    </row>
    <row r="313" spans="1:26" ht="17.25" customHeight="1">
      <c r="A313" s="499"/>
      <c r="B313" s="499"/>
      <c r="C313" s="499"/>
      <c r="D313" s="499"/>
      <c r="E313" s="499"/>
      <c r="F313" s="500"/>
      <c r="G313" s="499"/>
      <c r="H313" s="499"/>
      <c r="I313" s="499"/>
      <c r="J313" s="452"/>
      <c r="K313" s="499"/>
      <c r="L313" s="499"/>
      <c r="M313" s="499"/>
      <c r="N313" s="499"/>
      <c r="P313" s="452" t="str">
        <f t="array" aca="1" ref="P313" ca="1">IF(B313="","",IFERROR(MAX(OFFSET(高値!$E$6,MATCH(TEXT(B313,"0"),TEXT(銘柄管理!$B$6:$B$305,"0"),0)-1,0,1,10)),""))</f>
        <v/>
      </c>
      <c r="Q313" s="452" t="str">
        <f ca="1">IF(B313="","",IFERROR(MIN(OFFSET(安値!$E$6,MATCH(B313,銘柄管理!$B$6:$B$305,0)-1,0,1,10)),""))</f>
        <v/>
      </c>
      <c r="R313" s="499"/>
      <c r="S313" s="499"/>
      <c r="T313" s="499"/>
      <c r="U313" s="499"/>
      <c r="V313" s="499"/>
      <c r="W313" s="499"/>
      <c r="X313" s="499"/>
      <c r="Y313" s="499"/>
      <c r="Z313" s="499"/>
    </row>
    <row r="314" spans="1:26" ht="17.25" customHeight="1">
      <c r="A314" s="499"/>
      <c r="B314" s="499"/>
      <c r="C314" s="499"/>
      <c r="D314" s="499"/>
      <c r="E314" s="499"/>
      <c r="F314" s="500"/>
      <c r="G314" s="499"/>
      <c r="H314" s="499"/>
      <c r="I314" s="499"/>
      <c r="J314" s="452"/>
      <c r="K314" s="499"/>
      <c r="L314" s="499"/>
      <c r="M314" s="499"/>
      <c r="N314" s="499"/>
      <c r="P314" s="452" t="str">
        <f t="array" aca="1" ref="P314" ca="1">IF(B314="","",IFERROR(MAX(OFFSET(高値!$E$6,MATCH(TEXT(B314,"0"),TEXT(銘柄管理!$B$6:$B$305,"0"),0)-1,0,1,10)),""))</f>
        <v/>
      </c>
      <c r="Q314" s="452" t="str">
        <f ca="1">IF(B314="","",IFERROR(MIN(OFFSET(安値!$E$6,MATCH(B314,銘柄管理!$B$6:$B$305,0)-1,0,1,10)),""))</f>
        <v/>
      </c>
      <c r="R314" s="499"/>
      <c r="S314" s="499"/>
      <c r="T314" s="499"/>
      <c r="U314" s="499"/>
      <c r="V314" s="499"/>
      <c r="W314" s="499"/>
      <c r="X314" s="499"/>
      <c r="Y314" s="499"/>
      <c r="Z314" s="499"/>
    </row>
    <row r="315" spans="1:26" ht="17.25" customHeight="1">
      <c r="A315" s="499"/>
      <c r="B315" s="499"/>
      <c r="C315" s="499"/>
      <c r="D315" s="499"/>
      <c r="E315" s="499"/>
      <c r="F315" s="500"/>
      <c r="G315" s="499"/>
      <c r="H315" s="499"/>
      <c r="I315" s="499"/>
      <c r="J315" s="452"/>
      <c r="K315" s="499"/>
      <c r="L315" s="499"/>
      <c r="M315" s="499"/>
      <c r="N315" s="499"/>
      <c r="P315" s="452" t="str">
        <f t="array" aca="1" ref="P315" ca="1">IF(B315="","",IFERROR(MAX(OFFSET(高値!$E$6,MATCH(TEXT(B315,"0"),TEXT(銘柄管理!$B$6:$B$305,"0"),0)-1,0,1,10)),""))</f>
        <v/>
      </c>
      <c r="Q315" s="452" t="str">
        <f ca="1">IF(B315="","",IFERROR(MIN(OFFSET(安値!$E$6,MATCH(B315,銘柄管理!$B$6:$B$305,0)-1,0,1,10)),""))</f>
        <v/>
      </c>
      <c r="R315" s="499"/>
      <c r="S315" s="499"/>
      <c r="T315" s="499"/>
      <c r="U315" s="499"/>
      <c r="V315" s="499"/>
      <c r="W315" s="499"/>
      <c r="X315" s="499"/>
      <c r="Y315" s="499"/>
      <c r="Z315" s="499"/>
    </row>
    <row r="316" spans="1:26" ht="17.25" customHeight="1">
      <c r="A316" s="499"/>
      <c r="B316" s="499"/>
      <c r="C316" s="499"/>
      <c r="D316" s="499"/>
      <c r="E316" s="499"/>
      <c r="F316" s="500"/>
      <c r="G316" s="499"/>
      <c r="H316" s="499"/>
      <c r="I316" s="499"/>
      <c r="J316" s="452"/>
      <c r="K316" s="499"/>
      <c r="L316" s="499"/>
      <c r="M316" s="499"/>
      <c r="N316" s="499"/>
      <c r="P316" s="452" t="str">
        <f t="array" aca="1" ref="P316" ca="1">IF(B316="","",IFERROR(MAX(OFFSET(高値!$E$6,MATCH(TEXT(B316,"0"),TEXT(銘柄管理!$B$6:$B$305,"0"),0)-1,0,1,10)),""))</f>
        <v/>
      </c>
      <c r="Q316" s="452" t="str">
        <f ca="1">IF(B316="","",IFERROR(MIN(OFFSET(安値!$E$6,MATCH(B316,銘柄管理!$B$6:$B$305,0)-1,0,1,10)),""))</f>
        <v/>
      </c>
      <c r="R316" s="499"/>
      <c r="S316" s="499"/>
      <c r="T316" s="499"/>
      <c r="U316" s="499"/>
      <c r="V316" s="499"/>
      <c r="W316" s="499"/>
      <c r="X316" s="499"/>
      <c r="Y316" s="499"/>
      <c r="Z316" s="499"/>
    </row>
    <row r="317" spans="1:26" ht="17.25" customHeight="1">
      <c r="A317" s="499"/>
      <c r="B317" s="499"/>
      <c r="C317" s="499"/>
      <c r="D317" s="499"/>
      <c r="E317" s="499"/>
      <c r="F317" s="500"/>
      <c r="G317" s="499"/>
      <c r="H317" s="499"/>
      <c r="I317" s="499"/>
      <c r="J317" s="452"/>
      <c r="K317" s="499"/>
      <c r="L317" s="499"/>
      <c r="M317" s="499"/>
      <c r="N317" s="499"/>
      <c r="P317" s="452" t="str">
        <f t="array" aca="1" ref="P317" ca="1">IF(B317="","",IFERROR(MAX(OFFSET(高値!$E$6,MATCH(TEXT(B317,"0"),TEXT(銘柄管理!$B$6:$B$305,"0"),0)-1,0,1,10)),""))</f>
        <v/>
      </c>
      <c r="Q317" s="452" t="str">
        <f ca="1">IF(B317="","",IFERROR(MIN(OFFSET(安値!$E$6,MATCH(B317,銘柄管理!$B$6:$B$305,0)-1,0,1,10)),""))</f>
        <v/>
      </c>
      <c r="R317" s="499"/>
      <c r="S317" s="499"/>
      <c r="T317" s="499"/>
      <c r="U317" s="499"/>
      <c r="V317" s="499"/>
      <c r="W317" s="499"/>
      <c r="X317" s="499"/>
      <c r="Y317" s="499"/>
      <c r="Z317" s="499"/>
    </row>
    <row r="318" spans="1:26" ht="17.25" customHeight="1">
      <c r="A318" s="499"/>
      <c r="B318" s="499"/>
      <c r="C318" s="499"/>
      <c r="D318" s="499"/>
      <c r="E318" s="499"/>
      <c r="F318" s="500"/>
      <c r="G318" s="499"/>
      <c r="H318" s="499"/>
      <c r="I318" s="499"/>
      <c r="J318" s="452"/>
      <c r="K318" s="499"/>
      <c r="L318" s="499"/>
      <c r="M318" s="499"/>
      <c r="N318" s="499"/>
      <c r="P318" s="452" t="str">
        <f t="array" aca="1" ref="P318" ca="1">IF(B318="","",IFERROR(MAX(OFFSET(高値!$E$6,MATCH(TEXT(B318,"0"),TEXT(銘柄管理!$B$6:$B$305,"0"),0)-1,0,1,10)),""))</f>
        <v/>
      </c>
      <c r="Q318" s="452" t="str">
        <f ca="1">IF(B318="","",IFERROR(MIN(OFFSET(安値!$E$6,MATCH(B318,銘柄管理!$B$6:$B$305,0)-1,0,1,10)),""))</f>
        <v/>
      </c>
      <c r="R318" s="499"/>
      <c r="S318" s="499"/>
      <c r="T318" s="499"/>
      <c r="U318" s="499"/>
      <c r="V318" s="499"/>
      <c r="W318" s="499"/>
      <c r="X318" s="499"/>
      <c r="Y318" s="499"/>
      <c r="Z318" s="499"/>
    </row>
    <row r="319" spans="1:26" ht="17.25" customHeight="1">
      <c r="A319" s="499"/>
      <c r="B319" s="499"/>
      <c r="C319" s="499"/>
      <c r="D319" s="499"/>
      <c r="E319" s="499"/>
      <c r="F319" s="500"/>
      <c r="G319" s="499"/>
      <c r="H319" s="499"/>
      <c r="I319" s="499"/>
      <c r="J319" s="452"/>
      <c r="K319" s="499"/>
      <c r="L319" s="499"/>
      <c r="M319" s="499"/>
      <c r="N319" s="499"/>
      <c r="P319" s="452" t="str">
        <f t="array" aca="1" ref="P319" ca="1">IF(B319="","",IFERROR(MAX(OFFSET(高値!$E$6,MATCH(TEXT(B319,"0"),TEXT(銘柄管理!$B$6:$B$305,"0"),0)-1,0,1,10)),""))</f>
        <v/>
      </c>
      <c r="Q319" s="452" t="str">
        <f ca="1">IF(B319="","",IFERROR(MIN(OFFSET(安値!$E$6,MATCH(B319,銘柄管理!$B$6:$B$305,0)-1,0,1,10)),""))</f>
        <v/>
      </c>
      <c r="R319" s="499"/>
      <c r="S319" s="499"/>
      <c r="T319" s="499"/>
      <c r="U319" s="499"/>
      <c r="V319" s="499"/>
      <c r="W319" s="499"/>
      <c r="X319" s="499"/>
      <c r="Y319" s="499"/>
      <c r="Z319" s="499"/>
    </row>
    <row r="320" spans="1:26" ht="17.25" customHeight="1">
      <c r="A320" s="499"/>
      <c r="B320" s="499"/>
      <c r="C320" s="499"/>
      <c r="D320" s="499"/>
      <c r="E320" s="499"/>
      <c r="F320" s="500"/>
      <c r="G320" s="499"/>
      <c r="H320" s="499"/>
      <c r="I320" s="499"/>
      <c r="J320" s="452"/>
      <c r="K320" s="499"/>
      <c r="L320" s="499"/>
      <c r="M320" s="499"/>
      <c r="N320" s="499"/>
      <c r="P320" s="452" t="str">
        <f t="array" aca="1" ref="P320" ca="1">IF(B320="","",IFERROR(MAX(OFFSET(高値!$E$6,MATCH(TEXT(B320,"0"),TEXT(銘柄管理!$B$6:$B$305,"0"),0)-1,0,1,10)),""))</f>
        <v/>
      </c>
      <c r="Q320" s="452" t="str">
        <f ca="1">IF(B320="","",IFERROR(MIN(OFFSET(安値!$E$6,MATCH(B320,銘柄管理!$B$6:$B$305,0)-1,0,1,10)),""))</f>
        <v/>
      </c>
      <c r="R320" s="499"/>
      <c r="S320" s="499"/>
      <c r="T320" s="499"/>
      <c r="U320" s="499"/>
      <c r="V320" s="499"/>
      <c r="W320" s="499"/>
      <c r="X320" s="499"/>
      <c r="Y320" s="499"/>
      <c r="Z320" s="499"/>
    </row>
    <row r="321" spans="1:26" ht="17.25" customHeight="1">
      <c r="A321" s="499"/>
      <c r="B321" s="499"/>
      <c r="C321" s="499"/>
      <c r="D321" s="499"/>
      <c r="E321" s="499"/>
      <c r="F321" s="500"/>
      <c r="G321" s="499"/>
      <c r="H321" s="499"/>
      <c r="I321" s="499"/>
      <c r="J321" s="452"/>
      <c r="K321" s="499"/>
      <c r="L321" s="499"/>
      <c r="M321" s="499"/>
      <c r="N321" s="499"/>
      <c r="P321" s="452" t="str">
        <f t="array" aca="1" ref="P321" ca="1">IF(B321="","",IFERROR(MAX(OFFSET(高値!$E$6,MATCH(TEXT(B321,"0"),TEXT(銘柄管理!$B$6:$B$305,"0"),0)-1,0,1,10)),""))</f>
        <v/>
      </c>
      <c r="Q321" s="452" t="str">
        <f ca="1">IF(B321="","",IFERROR(MIN(OFFSET(安値!$E$6,MATCH(B321,銘柄管理!$B$6:$B$305,0)-1,0,1,10)),""))</f>
        <v/>
      </c>
      <c r="R321" s="499"/>
      <c r="S321" s="499"/>
      <c r="T321" s="499"/>
      <c r="U321" s="499"/>
      <c r="V321" s="499"/>
      <c r="W321" s="499"/>
      <c r="X321" s="499"/>
      <c r="Y321" s="499"/>
      <c r="Z321" s="499"/>
    </row>
    <row r="322" spans="1:26" ht="17.25" customHeight="1">
      <c r="A322" s="499"/>
      <c r="B322" s="499"/>
      <c r="C322" s="499"/>
      <c r="D322" s="499"/>
      <c r="E322" s="499"/>
      <c r="F322" s="500"/>
      <c r="G322" s="499"/>
      <c r="H322" s="499"/>
      <c r="I322" s="499"/>
      <c r="J322" s="452"/>
      <c r="K322" s="499"/>
      <c r="L322" s="499"/>
      <c r="M322" s="499"/>
      <c r="N322" s="499"/>
      <c r="P322" s="452" t="str">
        <f t="array" aca="1" ref="P322" ca="1">IF(B322="","",IFERROR(MAX(OFFSET(高値!$E$6,MATCH(TEXT(B322,"0"),TEXT(銘柄管理!$B$6:$B$305,"0"),0)-1,0,1,10)),""))</f>
        <v/>
      </c>
      <c r="Q322" s="452" t="str">
        <f ca="1">IF(B322="","",IFERROR(MIN(OFFSET(安値!$E$6,MATCH(B322,銘柄管理!$B$6:$B$305,0)-1,0,1,10)),""))</f>
        <v/>
      </c>
      <c r="R322" s="499"/>
      <c r="S322" s="499"/>
      <c r="T322" s="499"/>
      <c r="U322" s="499"/>
      <c r="V322" s="499"/>
      <c r="W322" s="499"/>
      <c r="X322" s="499"/>
      <c r="Y322" s="499"/>
      <c r="Z322" s="499"/>
    </row>
    <row r="323" spans="1:26" ht="17.25" customHeight="1">
      <c r="A323" s="499"/>
      <c r="B323" s="499"/>
      <c r="C323" s="499"/>
      <c r="D323" s="499"/>
      <c r="E323" s="499"/>
      <c r="F323" s="500"/>
      <c r="G323" s="499"/>
      <c r="H323" s="499"/>
      <c r="I323" s="499"/>
      <c r="J323" s="452"/>
      <c r="K323" s="499"/>
      <c r="L323" s="499"/>
      <c r="M323" s="499"/>
      <c r="N323" s="499"/>
      <c r="P323" s="452" t="str">
        <f t="array" aca="1" ref="P323" ca="1">IF(B323="","",IFERROR(MAX(OFFSET(高値!$E$6,MATCH(TEXT(B323,"0"),TEXT(銘柄管理!$B$6:$B$305,"0"),0)-1,0,1,10)),""))</f>
        <v/>
      </c>
      <c r="Q323" s="452" t="str">
        <f ca="1">IF(B323="","",IFERROR(MIN(OFFSET(安値!$E$6,MATCH(B323,銘柄管理!$B$6:$B$305,0)-1,0,1,10)),""))</f>
        <v/>
      </c>
      <c r="R323" s="499"/>
      <c r="S323" s="499"/>
      <c r="T323" s="499"/>
      <c r="U323" s="499"/>
      <c r="V323" s="499"/>
      <c r="W323" s="499"/>
      <c r="X323" s="499"/>
      <c r="Y323" s="499"/>
      <c r="Z323" s="499"/>
    </row>
    <row r="324" spans="1:26" ht="17.25" customHeight="1">
      <c r="A324" s="499"/>
      <c r="B324" s="499"/>
      <c r="C324" s="499"/>
      <c r="D324" s="499"/>
      <c r="E324" s="499"/>
      <c r="F324" s="500"/>
      <c r="G324" s="499"/>
      <c r="H324" s="499"/>
      <c r="I324" s="499"/>
      <c r="J324" s="452"/>
      <c r="K324" s="499"/>
      <c r="L324" s="499"/>
      <c r="M324" s="499"/>
      <c r="N324" s="499"/>
      <c r="P324" s="452" t="str">
        <f t="array" aca="1" ref="P324" ca="1">IF(B324="","",IFERROR(MAX(OFFSET(高値!$E$6,MATCH(TEXT(B324,"0"),TEXT(銘柄管理!$B$6:$B$305,"0"),0)-1,0,1,10)),""))</f>
        <v/>
      </c>
      <c r="Q324" s="452" t="str">
        <f ca="1">IF(B324="","",IFERROR(MIN(OFFSET(安値!$E$6,MATCH(B324,銘柄管理!$B$6:$B$305,0)-1,0,1,10)),""))</f>
        <v/>
      </c>
      <c r="R324" s="499"/>
      <c r="S324" s="499"/>
      <c r="T324" s="499"/>
      <c r="U324" s="499"/>
      <c r="V324" s="499"/>
      <c r="W324" s="499"/>
      <c r="X324" s="499"/>
      <c r="Y324" s="499"/>
      <c r="Z324" s="499"/>
    </row>
    <row r="325" spans="1:26" ht="17.25" customHeight="1">
      <c r="A325" s="499"/>
      <c r="B325" s="499"/>
      <c r="C325" s="499"/>
      <c r="D325" s="499"/>
      <c r="E325" s="499"/>
      <c r="F325" s="500"/>
      <c r="G325" s="499"/>
      <c r="H325" s="499"/>
      <c r="I325" s="499"/>
      <c r="J325" s="452"/>
      <c r="K325" s="499"/>
      <c r="L325" s="499"/>
      <c r="M325" s="499"/>
      <c r="N325" s="499"/>
      <c r="P325" s="452" t="str">
        <f t="array" aca="1" ref="P325" ca="1">IF(B325="","",IFERROR(MAX(OFFSET(高値!$E$6,MATCH(TEXT(B325,"0"),TEXT(銘柄管理!$B$6:$B$305,"0"),0)-1,0,1,10)),""))</f>
        <v/>
      </c>
      <c r="Q325" s="452" t="str">
        <f ca="1">IF(B325="","",IFERROR(MIN(OFFSET(安値!$E$6,MATCH(B325,銘柄管理!$B$6:$B$305,0)-1,0,1,10)),""))</f>
        <v/>
      </c>
      <c r="R325" s="499"/>
      <c r="S325" s="499"/>
      <c r="T325" s="499"/>
      <c r="U325" s="499"/>
      <c r="V325" s="499"/>
      <c r="W325" s="499"/>
      <c r="X325" s="499"/>
      <c r="Y325" s="499"/>
      <c r="Z325" s="499"/>
    </row>
    <row r="326" spans="1:26" ht="17.25" customHeight="1">
      <c r="A326" s="499"/>
      <c r="B326" s="499"/>
      <c r="C326" s="499"/>
      <c r="D326" s="499"/>
      <c r="E326" s="499"/>
      <c r="F326" s="500"/>
      <c r="G326" s="499"/>
      <c r="H326" s="499"/>
      <c r="I326" s="499"/>
      <c r="J326" s="452"/>
      <c r="K326" s="499"/>
      <c r="L326" s="499"/>
      <c r="M326" s="499"/>
      <c r="N326" s="499"/>
      <c r="P326" s="452" t="str">
        <f t="array" aca="1" ref="P326" ca="1">IF(B326="","",IFERROR(MAX(OFFSET(高値!$E$6,MATCH(TEXT(B326,"0"),TEXT(銘柄管理!$B$6:$B$305,"0"),0)-1,0,1,10)),""))</f>
        <v/>
      </c>
      <c r="Q326" s="452" t="str">
        <f ca="1">IF(B326="","",IFERROR(MIN(OFFSET(安値!$E$6,MATCH(B326,銘柄管理!$B$6:$B$305,0)-1,0,1,10)),""))</f>
        <v/>
      </c>
      <c r="R326" s="499"/>
      <c r="S326" s="499"/>
      <c r="T326" s="499"/>
      <c r="U326" s="499"/>
      <c r="V326" s="499"/>
      <c r="W326" s="499"/>
      <c r="X326" s="499"/>
      <c r="Y326" s="499"/>
      <c r="Z326" s="499"/>
    </row>
    <row r="327" spans="1:26" ht="17.25" customHeight="1">
      <c r="A327" s="499"/>
      <c r="B327" s="499"/>
      <c r="C327" s="499"/>
      <c r="D327" s="499"/>
      <c r="E327" s="499"/>
      <c r="F327" s="500"/>
      <c r="G327" s="499"/>
      <c r="H327" s="499"/>
      <c r="I327" s="499"/>
      <c r="J327" s="452"/>
      <c r="K327" s="499"/>
      <c r="L327" s="499"/>
      <c r="M327" s="499"/>
      <c r="N327" s="499"/>
      <c r="P327" s="452" t="str">
        <f t="array" aca="1" ref="P327" ca="1">IF(B327="","",IFERROR(MAX(OFFSET(高値!$E$6,MATCH(TEXT(B327,"0"),TEXT(銘柄管理!$B$6:$B$305,"0"),0)-1,0,1,10)),""))</f>
        <v/>
      </c>
      <c r="Q327" s="452" t="str">
        <f ca="1">IF(B327="","",IFERROR(MIN(OFFSET(安値!$E$6,MATCH(B327,銘柄管理!$B$6:$B$305,0)-1,0,1,10)),""))</f>
        <v/>
      </c>
      <c r="R327" s="499"/>
      <c r="S327" s="499"/>
      <c r="T327" s="499"/>
      <c r="U327" s="499"/>
      <c r="V327" s="499"/>
      <c r="W327" s="499"/>
      <c r="X327" s="499"/>
      <c r="Y327" s="499"/>
      <c r="Z327" s="499"/>
    </row>
    <row r="328" spans="1:26" ht="17.25" customHeight="1">
      <c r="A328" s="499"/>
      <c r="B328" s="499"/>
      <c r="C328" s="499"/>
      <c r="D328" s="499"/>
      <c r="E328" s="499"/>
      <c r="F328" s="500"/>
      <c r="G328" s="499"/>
      <c r="H328" s="499"/>
      <c r="I328" s="499"/>
      <c r="J328" s="452"/>
      <c r="K328" s="499"/>
      <c r="L328" s="499"/>
      <c r="M328" s="499"/>
      <c r="N328" s="499"/>
      <c r="P328" s="452" t="str">
        <f t="array" aca="1" ref="P328" ca="1">IF(B328="","",IFERROR(MAX(OFFSET(高値!$E$6,MATCH(TEXT(B328,"0"),TEXT(銘柄管理!$B$6:$B$305,"0"),0)-1,0,1,10)),""))</f>
        <v/>
      </c>
      <c r="Q328" s="452" t="str">
        <f ca="1">IF(B328="","",IFERROR(MIN(OFFSET(安値!$E$6,MATCH(B328,銘柄管理!$B$6:$B$305,0)-1,0,1,10)),""))</f>
        <v/>
      </c>
      <c r="R328" s="499"/>
      <c r="S328" s="499"/>
      <c r="T328" s="499"/>
      <c r="U328" s="499"/>
      <c r="V328" s="499"/>
      <c r="W328" s="499"/>
      <c r="X328" s="499"/>
      <c r="Y328" s="499"/>
      <c r="Z328" s="499"/>
    </row>
    <row r="329" spans="1:26" ht="17.25" customHeight="1">
      <c r="A329" s="499"/>
      <c r="B329" s="499"/>
      <c r="C329" s="499"/>
      <c r="D329" s="499"/>
      <c r="E329" s="499"/>
      <c r="F329" s="500"/>
      <c r="G329" s="499"/>
      <c r="H329" s="499"/>
      <c r="I329" s="499"/>
      <c r="J329" s="452"/>
      <c r="K329" s="499"/>
      <c r="L329" s="499"/>
      <c r="M329" s="499"/>
      <c r="N329" s="499"/>
      <c r="P329" s="452" t="str">
        <f t="array" aca="1" ref="P329" ca="1">IF(B329="","",IFERROR(MAX(OFFSET(高値!$E$6,MATCH(TEXT(B329,"0"),TEXT(銘柄管理!$B$6:$B$305,"0"),0)-1,0,1,10)),""))</f>
        <v/>
      </c>
      <c r="Q329" s="452" t="str">
        <f ca="1">IF(B329="","",IFERROR(MIN(OFFSET(安値!$E$6,MATCH(B329,銘柄管理!$B$6:$B$305,0)-1,0,1,10)),""))</f>
        <v/>
      </c>
      <c r="R329" s="499"/>
      <c r="S329" s="499"/>
      <c r="T329" s="499"/>
      <c r="U329" s="499"/>
      <c r="V329" s="499"/>
      <c r="W329" s="499"/>
      <c r="X329" s="499"/>
      <c r="Y329" s="499"/>
      <c r="Z329" s="499"/>
    </row>
    <row r="330" spans="1:26" ht="17.25" customHeight="1">
      <c r="A330" s="499"/>
      <c r="B330" s="499"/>
      <c r="C330" s="499"/>
      <c r="D330" s="499"/>
      <c r="E330" s="499"/>
      <c r="F330" s="500"/>
      <c r="G330" s="499"/>
      <c r="H330" s="499"/>
      <c r="I330" s="499"/>
      <c r="J330" s="452"/>
      <c r="K330" s="499"/>
      <c r="L330" s="499"/>
      <c r="M330" s="499"/>
      <c r="N330" s="499"/>
      <c r="P330" s="452" t="str">
        <f t="array" aca="1" ref="P330" ca="1">IF(B330="","",IFERROR(MAX(OFFSET(高値!$E$6,MATCH(TEXT(B330,"0"),TEXT(銘柄管理!$B$6:$B$305,"0"),0)-1,0,1,10)),""))</f>
        <v/>
      </c>
      <c r="Q330" s="452" t="str">
        <f ca="1">IF(B330="","",IFERROR(MIN(OFFSET(安値!$E$6,MATCH(B330,銘柄管理!$B$6:$B$305,0)-1,0,1,10)),""))</f>
        <v/>
      </c>
      <c r="R330" s="499"/>
      <c r="S330" s="499"/>
      <c r="T330" s="499"/>
      <c r="U330" s="499"/>
      <c r="V330" s="499"/>
      <c r="W330" s="499"/>
      <c r="X330" s="499"/>
      <c r="Y330" s="499"/>
      <c r="Z330" s="499"/>
    </row>
    <row r="331" spans="1:26" ht="17.25" customHeight="1">
      <c r="A331" s="499"/>
      <c r="B331" s="499"/>
      <c r="C331" s="499"/>
      <c r="D331" s="499"/>
      <c r="E331" s="499"/>
      <c r="F331" s="500"/>
      <c r="G331" s="499"/>
      <c r="H331" s="499"/>
      <c r="I331" s="499"/>
      <c r="J331" s="452"/>
      <c r="K331" s="499"/>
      <c r="L331" s="499"/>
      <c r="M331" s="499"/>
      <c r="N331" s="499"/>
      <c r="P331" s="452" t="str">
        <f t="array" aca="1" ref="P331" ca="1">IF(B331="","",IFERROR(MAX(OFFSET(高値!$E$6,MATCH(TEXT(B331,"0"),TEXT(銘柄管理!$B$6:$B$305,"0"),0)-1,0,1,10)),""))</f>
        <v/>
      </c>
      <c r="Q331" s="452" t="str">
        <f ca="1">IF(B331="","",IFERROR(MIN(OFFSET(安値!$E$6,MATCH(B331,銘柄管理!$B$6:$B$305,0)-1,0,1,10)),""))</f>
        <v/>
      </c>
      <c r="R331" s="499"/>
      <c r="S331" s="499"/>
      <c r="T331" s="499"/>
      <c r="U331" s="499"/>
      <c r="V331" s="499"/>
      <c r="W331" s="499"/>
      <c r="X331" s="499"/>
      <c r="Y331" s="499"/>
      <c r="Z331" s="499"/>
    </row>
    <row r="332" spans="1:26" ht="17.25" customHeight="1">
      <c r="A332" s="499"/>
      <c r="B332" s="499"/>
      <c r="C332" s="499"/>
      <c r="D332" s="499"/>
      <c r="E332" s="499"/>
      <c r="F332" s="500"/>
      <c r="G332" s="499"/>
      <c r="H332" s="499"/>
      <c r="I332" s="499"/>
      <c r="J332" s="452"/>
      <c r="K332" s="499"/>
      <c r="L332" s="499"/>
      <c r="M332" s="499"/>
      <c r="N332" s="499"/>
      <c r="P332" s="452" t="str">
        <f t="array" aca="1" ref="P332" ca="1">IF(B332="","",IFERROR(MAX(OFFSET(高値!$E$6,MATCH(TEXT(B332,"0"),TEXT(銘柄管理!$B$6:$B$305,"0"),0)-1,0,1,10)),""))</f>
        <v/>
      </c>
      <c r="Q332" s="452" t="str">
        <f ca="1">IF(B332="","",IFERROR(MIN(OFFSET(安値!$E$6,MATCH(B332,銘柄管理!$B$6:$B$305,0)-1,0,1,10)),""))</f>
        <v/>
      </c>
      <c r="R332" s="499"/>
      <c r="S332" s="499"/>
      <c r="T332" s="499"/>
      <c r="U332" s="499"/>
      <c r="V332" s="499"/>
      <c r="W332" s="499"/>
      <c r="X332" s="499"/>
      <c r="Y332" s="499"/>
      <c r="Z332" s="499"/>
    </row>
    <row r="333" spans="1:26" ht="17.25" customHeight="1">
      <c r="A333" s="499"/>
      <c r="B333" s="499"/>
      <c r="C333" s="499"/>
      <c r="D333" s="499"/>
      <c r="E333" s="499"/>
      <c r="F333" s="500"/>
      <c r="G333" s="499"/>
      <c r="H333" s="499"/>
      <c r="I333" s="499"/>
      <c r="J333" s="452"/>
      <c r="K333" s="499"/>
      <c r="L333" s="499"/>
      <c r="M333" s="499"/>
      <c r="N333" s="499"/>
      <c r="P333" s="452" t="str">
        <f t="array" aca="1" ref="P333" ca="1">IF(B333="","",IFERROR(MAX(OFFSET(高値!$E$6,MATCH(TEXT(B333,"0"),TEXT(銘柄管理!$B$6:$B$305,"0"),0)-1,0,1,10)),""))</f>
        <v/>
      </c>
      <c r="Q333" s="452" t="str">
        <f ca="1">IF(B333="","",IFERROR(MIN(OFFSET(安値!$E$6,MATCH(B333,銘柄管理!$B$6:$B$305,0)-1,0,1,10)),""))</f>
        <v/>
      </c>
      <c r="R333" s="499"/>
      <c r="S333" s="499"/>
      <c r="T333" s="499"/>
      <c r="U333" s="499"/>
      <c r="V333" s="499"/>
      <c r="W333" s="499"/>
      <c r="X333" s="499"/>
      <c r="Y333" s="499"/>
      <c r="Z333" s="499"/>
    </row>
    <row r="334" spans="1:26" ht="17.25" customHeight="1">
      <c r="A334" s="499"/>
      <c r="B334" s="499"/>
      <c r="C334" s="499"/>
      <c r="D334" s="499"/>
      <c r="E334" s="499"/>
      <c r="F334" s="500"/>
      <c r="G334" s="499"/>
      <c r="H334" s="499"/>
      <c r="I334" s="499"/>
      <c r="J334" s="452"/>
      <c r="K334" s="499"/>
      <c r="L334" s="499"/>
      <c r="M334" s="499"/>
      <c r="N334" s="499"/>
      <c r="P334" s="452" t="str">
        <f t="array" aca="1" ref="P334" ca="1">IF(B334="","",IFERROR(MAX(OFFSET(高値!$E$6,MATCH(TEXT(B334,"0"),TEXT(銘柄管理!$B$6:$B$305,"0"),0)-1,0,1,10)),""))</f>
        <v/>
      </c>
      <c r="Q334" s="452" t="str">
        <f ca="1">IF(B334="","",IFERROR(MIN(OFFSET(安値!$E$6,MATCH(B334,銘柄管理!$B$6:$B$305,0)-1,0,1,10)),""))</f>
        <v/>
      </c>
      <c r="R334" s="499"/>
      <c r="S334" s="499"/>
      <c r="T334" s="499"/>
      <c r="U334" s="499"/>
      <c r="V334" s="499"/>
      <c r="W334" s="499"/>
      <c r="X334" s="499"/>
      <c r="Y334" s="499"/>
      <c r="Z334" s="499"/>
    </row>
    <row r="335" spans="1:26" ht="17.25" customHeight="1">
      <c r="A335" s="499"/>
      <c r="B335" s="499"/>
      <c r="C335" s="499"/>
      <c r="D335" s="499"/>
      <c r="E335" s="499"/>
      <c r="F335" s="500"/>
      <c r="G335" s="499"/>
      <c r="H335" s="499"/>
      <c r="I335" s="499"/>
      <c r="J335" s="452"/>
      <c r="K335" s="499"/>
      <c r="L335" s="499"/>
      <c r="M335" s="499"/>
      <c r="N335" s="499"/>
      <c r="P335" s="452" t="str">
        <f t="array" aca="1" ref="P335" ca="1">IF(B335="","",IFERROR(MAX(OFFSET(高値!$E$6,MATCH(TEXT(B335,"0"),TEXT(銘柄管理!$B$6:$B$305,"0"),0)-1,0,1,10)),""))</f>
        <v/>
      </c>
      <c r="Q335" s="452" t="str">
        <f ca="1">IF(B335="","",IFERROR(MIN(OFFSET(安値!$E$6,MATCH(B335,銘柄管理!$B$6:$B$305,0)-1,0,1,10)),""))</f>
        <v/>
      </c>
      <c r="R335" s="499"/>
      <c r="S335" s="499"/>
      <c r="T335" s="499"/>
      <c r="U335" s="499"/>
      <c r="V335" s="499"/>
      <c r="W335" s="499"/>
      <c r="X335" s="499"/>
      <c r="Y335" s="499"/>
      <c r="Z335" s="499"/>
    </row>
    <row r="336" spans="1:26" ht="17.25" customHeight="1">
      <c r="J336" s="452"/>
      <c r="P336" s="452" t="str">
        <f t="array" aca="1" ref="P336" ca="1">IF(B336="","",IFERROR(MAX(OFFSET(高値!$E$6,MATCH(TEXT(B336,"0"),TEXT(銘柄管理!$B$6:$B$305,"0"),0)-1,0,1,10)),""))</f>
        <v/>
      </c>
      <c r="Q336" s="452" t="str">
        <f ca="1">IF(B336="","",IFERROR(MIN(OFFSET(安値!$E$6,MATCH(B336,銘柄管理!$B$6:$B$305,0)-1,0,1,10)),""))</f>
        <v/>
      </c>
    </row>
    <row r="337" spans="10:17" ht="17.25" customHeight="1">
      <c r="J337" s="452"/>
      <c r="P337" s="452" t="str">
        <f t="array" aca="1" ref="P337" ca="1">IF(B337="","",IFERROR(MAX(OFFSET(高値!$E$6,MATCH(TEXT(B337,"0"),TEXT(銘柄管理!$B$6:$B$305,"0"),0)-1,0,1,10)),""))</f>
        <v/>
      </c>
      <c r="Q337" s="452" t="str">
        <f ca="1">IF(B337="","",IFERROR(MIN(OFFSET(安値!$E$6,MATCH(B337,銘柄管理!$B$6:$B$305,0)-1,0,1,10)),""))</f>
        <v/>
      </c>
    </row>
    <row r="338" spans="10:17" ht="17.25" customHeight="1">
      <c r="J338" s="452"/>
      <c r="P338" s="452" t="str">
        <f t="array" aca="1" ref="P338" ca="1">IF(B338="","",IFERROR(MAX(OFFSET(高値!$E$6,MATCH(TEXT(B338,"0"),TEXT(銘柄管理!$B$6:$B$305,"0"),0)-1,0,1,10)),""))</f>
        <v/>
      </c>
      <c r="Q338" s="452" t="str">
        <f ca="1">IF(B338="","",IFERROR(MIN(OFFSET(安値!$E$6,MATCH(B338,銘柄管理!$B$6:$B$305,0)-1,0,1,10)),""))</f>
        <v/>
      </c>
    </row>
    <row r="339" spans="10:17" ht="17.25" customHeight="1">
      <c r="J339" s="452"/>
      <c r="P339" s="452" t="str">
        <f t="array" aca="1" ref="P339" ca="1">IF(B339="","",IFERROR(MAX(OFFSET(高値!$E$6,MATCH(TEXT(B339,"0"),TEXT(銘柄管理!$B$6:$B$305,"0"),0)-1,0,1,10)),""))</f>
        <v/>
      </c>
      <c r="Q339" s="452" t="str">
        <f ca="1">IF(B339="","",IFERROR(MIN(OFFSET(安値!$E$6,MATCH(B339,銘柄管理!$B$6:$B$305,0)-1,0,1,10)),""))</f>
        <v/>
      </c>
    </row>
    <row r="340" spans="10:17" ht="17.25" customHeight="1">
      <c r="J340" s="452"/>
      <c r="P340" s="452" t="str">
        <f t="array" aca="1" ref="P340" ca="1">IF(B340="","",IFERROR(MAX(OFFSET(高値!$E$6,MATCH(TEXT(B340,"0"),TEXT(銘柄管理!$B$6:$B$305,"0"),0)-1,0,1,10)),""))</f>
        <v/>
      </c>
      <c r="Q340" s="452" t="str">
        <f ca="1">IF(B340="","",IFERROR(MIN(OFFSET(安値!$E$6,MATCH(B340,銘柄管理!$B$6:$B$305,0)-1,0,1,10)),""))</f>
        <v/>
      </c>
    </row>
    <row r="341" spans="10:17" ht="17.25" customHeight="1">
      <c r="J341" s="452"/>
      <c r="P341" s="452" t="str">
        <f t="array" aca="1" ref="P341" ca="1">IF(B341="","",IFERROR(MAX(OFFSET(高値!$E$6,MATCH(TEXT(B341,"0"),TEXT(銘柄管理!$B$6:$B$305,"0"),0)-1,0,1,10)),""))</f>
        <v/>
      </c>
      <c r="Q341" s="452" t="str">
        <f ca="1">IF(B341="","",IFERROR(MIN(OFFSET(安値!$E$6,MATCH(B341,銘柄管理!$B$6:$B$305,0)-1,0,1,10)),""))</f>
        <v/>
      </c>
    </row>
    <row r="342" spans="10:17" ht="17.25" customHeight="1">
      <c r="J342" s="452"/>
      <c r="P342" s="452" t="str">
        <f t="array" aca="1" ref="P342" ca="1">IF(B342="","",IFERROR(MAX(OFFSET(高値!$E$6,MATCH(TEXT(B342,"0"),TEXT(銘柄管理!$B$6:$B$305,"0"),0)-1,0,1,10)),""))</f>
        <v/>
      </c>
      <c r="Q342" s="452" t="str">
        <f ca="1">IF(B342="","",IFERROR(MIN(OFFSET(安値!$E$6,MATCH(B342,銘柄管理!$B$6:$B$305,0)-1,0,1,10)),""))</f>
        <v/>
      </c>
    </row>
    <row r="343" spans="10:17" ht="17.25" customHeight="1">
      <c r="J343" s="452"/>
      <c r="P343" s="452" t="str">
        <f t="array" aca="1" ref="P343" ca="1">IF(B343="","",IFERROR(MAX(OFFSET(高値!$E$6,MATCH(TEXT(B343,"0"),TEXT(銘柄管理!$B$6:$B$305,"0"),0)-1,0,1,10)),""))</f>
        <v/>
      </c>
      <c r="Q343" s="452" t="str">
        <f ca="1">IF(B343="","",IFERROR(MIN(OFFSET(安値!$E$6,MATCH(B343,銘柄管理!$B$6:$B$305,0)-1,0,1,10)),""))</f>
        <v/>
      </c>
    </row>
    <row r="344" spans="10:17" ht="17.25" customHeight="1">
      <c r="J344" s="452"/>
      <c r="P344" s="452" t="str">
        <f t="array" aca="1" ref="P344" ca="1">IF(B344="","",IFERROR(MAX(OFFSET(高値!$E$6,MATCH(TEXT(B344,"0"),TEXT(銘柄管理!$B$6:$B$305,"0"),0)-1,0,1,10)),""))</f>
        <v/>
      </c>
      <c r="Q344" s="452" t="str">
        <f ca="1">IF(B344="","",IFERROR(MIN(OFFSET(安値!$E$6,MATCH(B344,銘柄管理!$B$6:$B$305,0)-1,0,1,10)),""))</f>
        <v/>
      </c>
    </row>
    <row r="345" spans="10:17" ht="17.25" customHeight="1">
      <c r="J345" s="452"/>
      <c r="P345" s="452" t="str">
        <f t="array" aca="1" ref="P345" ca="1">IF(B345="","",IFERROR(MAX(OFFSET(高値!$E$6,MATCH(TEXT(B345,"0"),TEXT(銘柄管理!$B$6:$B$305,"0"),0)-1,0,1,10)),""))</f>
        <v/>
      </c>
      <c r="Q345" s="452" t="str">
        <f ca="1">IF(B345="","",IFERROR(MIN(OFFSET(安値!$E$6,MATCH(B345,銘柄管理!$B$6:$B$305,0)-1,0,1,10)),""))</f>
        <v/>
      </c>
    </row>
    <row r="346" spans="10:17" ht="17.25" customHeight="1">
      <c r="J346" s="452"/>
      <c r="P346" s="452" t="str">
        <f t="array" aca="1" ref="P346" ca="1">IF(B346="","",IFERROR(MAX(OFFSET(高値!$E$6,MATCH(TEXT(B346,"0"),TEXT(銘柄管理!$B$6:$B$305,"0"),0)-1,0,1,10)),""))</f>
        <v/>
      </c>
      <c r="Q346" s="452" t="str">
        <f ca="1">IF(B346="","",IFERROR(MIN(OFFSET(安値!$E$6,MATCH(B346,銘柄管理!$B$6:$B$305,0)-1,0,1,10)),""))</f>
        <v/>
      </c>
    </row>
    <row r="347" spans="10:17" ht="17.25" customHeight="1">
      <c r="J347" s="452"/>
      <c r="P347" s="452" t="str">
        <f t="array" aca="1" ref="P347" ca="1">IF(B347="","",IFERROR(MAX(OFFSET(高値!$E$6,MATCH(TEXT(B347,"0"),TEXT(銘柄管理!$B$6:$B$305,"0"),0)-1,0,1,10)),""))</f>
        <v/>
      </c>
      <c r="Q347" s="452" t="str">
        <f ca="1">IF(B347="","",IFERROR(MIN(OFFSET(安値!$E$6,MATCH(B347,銘柄管理!$B$6:$B$305,0)-1,0,1,10)),""))</f>
        <v/>
      </c>
    </row>
    <row r="348" spans="10:17" ht="17.25" customHeight="1">
      <c r="J348" s="452"/>
      <c r="P348" s="452" t="str">
        <f t="array" aca="1" ref="P348" ca="1">IF(B348="","",IFERROR(MAX(OFFSET(高値!$E$6,MATCH(TEXT(B348,"0"),TEXT(銘柄管理!$B$6:$B$305,"0"),0)-1,0,1,10)),""))</f>
        <v/>
      </c>
      <c r="Q348" s="452" t="str">
        <f ca="1">IF(B348="","",IFERROR(MIN(OFFSET(安値!$E$6,MATCH(B348,銘柄管理!$B$6:$B$305,0)-1,0,1,10)),""))</f>
        <v/>
      </c>
    </row>
    <row r="349" spans="10:17" ht="17.25" customHeight="1">
      <c r="J349" s="452"/>
      <c r="P349" s="452" t="str">
        <f t="array" aca="1" ref="P349" ca="1">IF(B349="","",IFERROR(MAX(OFFSET(高値!$E$6,MATCH(TEXT(B349,"0"),TEXT(銘柄管理!$B$6:$B$305,"0"),0)-1,0,1,10)),""))</f>
        <v/>
      </c>
      <c r="Q349" s="452" t="str">
        <f ca="1">IF(B349="","",IFERROR(MIN(OFFSET(安値!$E$6,MATCH(B349,銘柄管理!$B$6:$B$305,0)-1,0,1,10)),""))</f>
        <v/>
      </c>
    </row>
    <row r="350" spans="10:17" ht="17.25" customHeight="1">
      <c r="J350" s="452"/>
      <c r="P350" s="452" t="str">
        <f t="array" aca="1" ref="P350" ca="1">IF(B350="","",IFERROR(MAX(OFFSET(高値!$E$6,MATCH(TEXT(B350,"0"),TEXT(銘柄管理!$B$6:$B$305,"0"),0)-1,0,1,10)),""))</f>
        <v/>
      </c>
      <c r="Q350" s="452" t="str">
        <f ca="1">IF(B350="","",IFERROR(MIN(OFFSET(安値!$E$6,MATCH(B350,銘柄管理!$B$6:$B$305,0)-1,0,1,10)),""))</f>
        <v/>
      </c>
    </row>
    <row r="351" spans="10:17" ht="17.25" customHeight="1">
      <c r="J351" s="452"/>
      <c r="P351" s="452" t="str">
        <f t="array" aca="1" ref="P351" ca="1">IF(B351="","",IFERROR(MAX(OFFSET(高値!$E$6,MATCH(TEXT(B351,"0"),TEXT(銘柄管理!$B$6:$B$305,"0"),0)-1,0,1,10)),""))</f>
        <v/>
      </c>
      <c r="Q351" s="452" t="str">
        <f ca="1">IF(B351="","",IFERROR(MIN(OFFSET(安値!$E$6,MATCH(B351,銘柄管理!$B$6:$B$305,0)-1,0,1,10)),""))</f>
        <v/>
      </c>
    </row>
    <row r="352" spans="10:17" ht="17.25" customHeight="1">
      <c r="J352" s="452"/>
      <c r="P352" s="452" t="str">
        <f t="array" aca="1" ref="P352" ca="1">IF(B352="","",IFERROR(MAX(OFFSET(高値!$E$6,MATCH(TEXT(B352,"0"),TEXT(銘柄管理!$B$6:$B$305,"0"),0)-1,0,1,10)),""))</f>
        <v/>
      </c>
      <c r="Q352" s="452" t="str">
        <f ca="1">IF(B352="","",IFERROR(MIN(OFFSET(安値!$E$6,MATCH(B352,銘柄管理!$B$6:$B$305,0)-1,0,1,10)),""))</f>
        <v/>
      </c>
    </row>
    <row r="353" spans="10:17" ht="17.25" customHeight="1">
      <c r="J353" s="452"/>
      <c r="P353" s="452" t="str">
        <f t="array" aca="1" ref="P353" ca="1">IF(B353="","",IFERROR(MAX(OFFSET(高値!$E$6,MATCH(TEXT(B353,"0"),TEXT(銘柄管理!$B$6:$B$305,"0"),0)-1,0,1,10)),""))</f>
        <v/>
      </c>
      <c r="Q353" s="452" t="str">
        <f ca="1">IF(B353="","",IFERROR(MIN(OFFSET(安値!$E$6,MATCH(B353,銘柄管理!$B$6:$B$305,0)-1,0,1,10)),""))</f>
        <v/>
      </c>
    </row>
    <row r="354" spans="10:17" ht="17.25" customHeight="1">
      <c r="J354" s="452"/>
      <c r="P354" s="452" t="str">
        <f t="array" aca="1" ref="P354" ca="1">IF(B354="","",IFERROR(MAX(OFFSET(高値!$E$6,MATCH(TEXT(B354,"0"),TEXT(銘柄管理!$B$6:$B$305,"0"),0)-1,0,1,10)),""))</f>
        <v/>
      </c>
      <c r="Q354" s="452" t="str">
        <f ca="1">IF(B354="","",IFERROR(MIN(OFFSET(安値!$E$6,MATCH(B354,銘柄管理!$B$6:$B$305,0)-1,0,1,10)),""))</f>
        <v/>
      </c>
    </row>
    <row r="355" spans="10:17" ht="17.25" customHeight="1">
      <c r="J355" s="452"/>
      <c r="P355" s="452" t="str">
        <f t="array" aca="1" ref="P355" ca="1">IF(B355="","",IFERROR(MAX(OFFSET(高値!$E$6,MATCH(TEXT(B355,"0"),TEXT(銘柄管理!$B$6:$B$305,"0"),0)-1,0,1,10)),""))</f>
        <v/>
      </c>
      <c r="Q355" s="452" t="str">
        <f ca="1">IF(B355="","",IFERROR(MIN(OFFSET(安値!$E$6,MATCH(B355,銘柄管理!$B$6:$B$305,0)-1,0,1,10)),""))</f>
        <v/>
      </c>
    </row>
    <row r="356" spans="10:17" ht="17.25" customHeight="1">
      <c r="J356" s="452"/>
      <c r="P356" s="452" t="str">
        <f t="array" aca="1" ref="P356" ca="1">IF(B356="","",IFERROR(MAX(OFFSET(高値!$E$6,MATCH(TEXT(B356,"0"),TEXT(銘柄管理!$B$6:$B$305,"0"),0)-1,0,1,10)),""))</f>
        <v/>
      </c>
      <c r="Q356" s="452" t="str">
        <f ca="1">IF(B356="","",IFERROR(MIN(OFFSET(安値!$E$6,MATCH(B356,銘柄管理!$B$6:$B$305,0)-1,0,1,10)),""))</f>
        <v/>
      </c>
    </row>
    <row r="357" spans="10:17" ht="17.25" customHeight="1">
      <c r="J357" s="452"/>
      <c r="P357" s="452" t="str">
        <f t="array" aca="1" ref="P357" ca="1">IF(B357="","",IFERROR(MAX(OFFSET(高値!$E$6,MATCH(TEXT(B357,"0"),TEXT(銘柄管理!$B$6:$B$305,"0"),0)-1,0,1,10)),""))</f>
        <v/>
      </c>
      <c r="Q357" s="452" t="str">
        <f ca="1">IF(B357="","",IFERROR(MIN(OFFSET(安値!$E$6,MATCH(B357,銘柄管理!$B$6:$B$305,0)-1,0,1,10)),""))</f>
        <v/>
      </c>
    </row>
    <row r="358" spans="10:17" ht="17.25" customHeight="1">
      <c r="J358" s="452"/>
      <c r="P358" s="452" t="str">
        <f t="array" aca="1" ref="P358" ca="1">IF(B358="","",IFERROR(MAX(OFFSET(高値!$E$6,MATCH(TEXT(B358,"0"),TEXT(銘柄管理!$B$6:$B$305,"0"),0)-1,0,1,10)),""))</f>
        <v/>
      </c>
      <c r="Q358" s="452" t="str">
        <f ca="1">IF(B358="","",IFERROR(MIN(OFFSET(安値!$E$6,MATCH(B358,銘柄管理!$B$6:$B$305,0)-1,0,1,10)),""))</f>
        <v/>
      </c>
    </row>
    <row r="359" spans="10:17" ht="17.25" customHeight="1">
      <c r="J359" s="452"/>
      <c r="P359" s="452" t="str">
        <f t="array" aca="1" ref="P359" ca="1">IF(B359="","",IFERROR(MAX(OFFSET(高値!$E$6,MATCH(TEXT(B359,"0"),TEXT(銘柄管理!$B$6:$B$305,"0"),0)-1,0,1,10)),""))</f>
        <v/>
      </c>
    </row>
    <row r="360" spans="10:17" ht="17.25" customHeight="1">
      <c r="J360" s="452"/>
      <c r="P360" s="452" t="str">
        <f t="array" aca="1" ref="P360" ca="1">IF(B360="","",IFERROR(MAX(OFFSET(高値!$E$6,MATCH(TEXT(B360,"0"),TEXT(銘柄管理!$B$6:$B$305,"0"),0)-1,0,1,10)),""))</f>
        <v/>
      </c>
    </row>
    <row r="361" spans="10:17" ht="17.25" customHeight="1">
      <c r="J361" s="452"/>
      <c r="P361" s="452" t="str">
        <f t="array" aca="1" ref="P361" ca="1">IF(B361="","",IFERROR(MAX(OFFSET(高値!$E$6,MATCH(TEXT(B361,"0"),TEXT(銘柄管理!$B$6:$B$305,"0"),0)-1,0,1,10)),""))</f>
        <v/>
      </c>
    </row>
    <row r="362" spans="10:17" ht="17.25" customHeight="1">
      <c r="J362" s="452"/>
      <c r="P362" s="452" t="str">
        <f t="array" aca="1" ref="P362" ca="1">IF(B362="","",IFERROR(MAX(OFFSET(高値!$E$6,MATCH(TEXT(B362,"0"),TEXT(銘柄管理!$B$6:$B$305,"0"),0)-1,0,1,10)),""))</f>
        <v/>
      </c>
    </row>
    <row r="363" spans="10:17" ht="17.25" customHeight="1">
      <c r="J363" s="452"/>
      <c r="P363" s="452" t="str">
        <f t="array" aca="1" ref="P363" ca="1">IF(B363="","",IFERROR(MAX(OFFSET(高値!$E$6,MATCH(TEXT(B363,"0"),TEXT(銘柄管理!$B$6:$B$305,"0"),0)-1,0,1,10)),""))</f>
        <v/>
      </c>
    </row>
    <row r="364" spans="10:17" ht="17.25" customHeight="1">
      <c r="J364" s="452"/>
      <c r="P364" s="452" t="str">
        <f t="array" aca="1" ref="P364" ca="1">IF(B364="","",IFERROR(MAX(OFFSET(高値!$E$6,MATCH(TEXT(B364,"0"),TEXT(銘柄管理!$B$6:$B$305,"0"),0)-1,0,1,10)),""))</f>
        <v/>
      </c>
    </row>
    <row r="365" spans="10:17" ht="17.25" customHeight="1">
      <c r="J365" s="452"/>
      <c r="P365" s="452" t="str">
        <f t="array" aca="1" ref="P365" ca="1">IF(B365="","",IFERROR(MAX(OFFSET(高値!$E$6,MATCH(TEXT(B365,"0"),TEXT(銘柄管理!$B$6:$B$305,"0"),0)-1,0,1,10)),""))</f>
        <v/>
      </c>
    </row>
    <row r="366" spans="10:17" ht="17.25" customHeight="1">
      <c r="P366" s="452" t="str">
        <f t="array" aca="1" ref="P366" ca="1">IF(B366="","",IFERROR(MAX(OFFSET(高値!$E$6,MATCH(TEXT(B366,"0"),TEXT(銘柄管理!$B$6:$B$305,"0"),0)-1,0,1,10)),""))</f>
        <v/>
      </c>
    </row>
    <row r="367" spans="10:17" ht="17.25" customHeight="1">
      <c r="P367" s="452" t="str">
        <f t="array" aca="1" ref="P367" ca="1">IF(B367="","",IFERROR(MAX(OFFSET(高値!$E$6,MATCH(TEXT(B367,"0"),TEXT(銘柄管理!$B$6:$B$305,"0"),0)-1,0,1,10)),""))</f>
        <v/>
      </c>
    </row>
    <row r="368" spans="10:17" ht="17.25" customHeight="1">
      <c r="P368" s="452" t="str">
        <f t="array" aca="1" ref="P368" ca="1">IF(B368="","",IFERROR(MAX(OFFSET(高値!$E$6,MATCH(TEXT(B368,"0"),TEXT(銘柄管理!$B$6:$B$305,"0"),0)-1,0,1,10)),""))</f>
        <v/>
      </c>
    </row>
    <row r="369" spans="16:16" ht="17.25" customHeight="1">
      <c r="P369" s="452" t="str">
        <f t="array" aca="1" ref="P369" ca="1">IF(B369="","",IFERROR(MAX(OFFSET(高値!$E$6,MATCH(TEXT(B369,"0"),TEXT(銘柄管理!$B$6:$B$305,"0"),0)-1,0,1,10)),""))</f>
        <v/>
      </c>
    </row>
    <row r="370" spans="16:16" ht="17.25" customHeight="1">
      <c r="P370" s="452" t="str">
        <f t="array" aca="1" ref="P370" ca="1">IF(B370="","",IFERROR(MAX(OFFSET(高値!$E$6,MATCH(TEXT(B370,"0"),TEXT(銘柄管理!$B$6:$B$305,"0"),0)-1,0,1,10)),""))</f>
        <v/>
      </c>
    </row>
    <row r="371" spans="16:16" ht="17.25" customHeight="1">
      <c r="P371" s="452" t="str">
        <f t="array" aca="1" ref="P371" ca="1">IF(B371="","",IFERROR(MAX(OFFSET(高値!$E$6,MATCH(TEXT(B371,"0"),TEXT(銘柄管理!$B$6:$B$305,"0"),0)-1,0,1,10)),""))</f>
        <v/>
      </c>
    </row>
    <row r="372" spans="16:16" ht="17.25" customHeight="1">
      <c r="P372" s="452" t="str">
        <f t="array" aca="1" ref="P372" ca="1">IF(B372="","",IFERROR(MAX(OFFSET(高値!$E$6,MATCH(TEXT(B372,"0"),TEXT(銘柄管理!$B$6:$B$305,"0"),0)-1,0,1,10)),""))</f>
        <v/>
      </c>
    </row>
    <row r="373" spans="16:16" ht="17.25" customHeight="1">
      <c r="P373" s="452" t="str">
        <f t="array" aca="1" ref="P373" ca="1">IF(B373="","",IFERROR(MAX(OFFSET(高値!$E$6,MATCH(TEXT(B373,"0"),TEXT(銘柄管理!$B$6:$B$305,"0"),0)-1,0,1,10)),""))</f>
        <v/>
      </c>
    </row>
    <row r="374" spans="16:16" ht="17.25" customHeight="1">
      <c r="P374" s="452" t="str">
        <f t="array" aca="1" ref="P374" ca="1">IF(B374="","",IFERROR(MAX(OFFSET(高値!$E$6,MATCH(TEXT(B374,"0"),TEXT(銘柄管理!$B$6:$B$305,"0"),0)-1,0,1,10)),""))</f>
        <v/>
      </c>
    </row>
    <row r="375" spans="16:16" ht="17.25" customHeight="1">
      <c r="P375" s="452" t="str">
        <f t="array" aca="1" ref="P375" ca="1">IF(B375="","",IFERROR(MAX(OFFSET(高値!$E$6,MATCH(TEXT(B375,"0"),TEXT(銘柄管理!$B$6:$B$305,"0"),0)-1,0,1,10)),""))</f>
        <v/>
      </c>
    </row>
    <row r="376" spans="16:16" ht="17.25" customHeight="1">
      <c r="P376" s="452" t="str">
        <f t="array" aca="1" ref="P376" ca="1">IF(B376="","",IFERROR(MAX(OFFSET(高値!$E$6,MATCH(TEXT(B376,"0"),TEXT(銘柄管理!$B$6:$B$305,"0"),0)-1,0,1,10)),""))</f>
        <v/>
      </c>
    </row>
    <row r="377" spans="16:16" ht="17.25" customHeight="1">
      <c r="P377" s="452" t="str">
        <f t="array" aca="1" ref="P377" ca="1">IF(B377="","",IFERROR(MAX(OFFSET(高値!$E$6,MATCH(TEXT(B377,"0"),TEXT(銘柄管理!$B$6:$B$305,"0"),0)-1,0,1,10)),""))</f>
        <v/>
      </c>
    </row>
    <row r="378" spans="16:16" ht="17.25" customHeight="1">
      <c r="P378" s="452" t="str">
        <f t="array" aca="1" ref="P378" ca="1">IF(B378="","",IFERROR(MAX(OFFSET(高値!$E$6,MATCH(TEXT(B378,"0"),TEXT(銘柄管理!$B$6:$B$305,"0"),0)-1,0,1,10)),""))</f>
        <v/>
      </c>
    </row>
    <row r="379" spans="16:16" ht="17.25" customHeight="1">
      <c r="P379" s="452" t="str">
        <f t="array" aca="1" ref="P379" ca="1">IF(B379="","",IFERROR(MAX(OFFSET(高値!$E$6,MATCH(TEXT(B379,"0"),TEXT(銘柄管理!$B$6:$B$305,"0"),0)-1,0,1,10)),""))</f>
        <v/>
      </c>
    </row>
    <row r="380" spans="16:16" ht="17.25" customHeight="1">
      <c r="P380" s="452" t="str">
        <f t="array" aca="1" ref="P380" ca="1">IF(B380="","",IFERROR(MAX(OFFSET(高値!$E$6,MATCH(TEXT(B380,"0"),TEXT(銘柄管理!$B$6:$B$305,"0"),0)-1,0,1,10)),""))</f>
        <v/>
      </c>
    </row>
    <row r="381" spans="16:16" ht="17.25" customHeight="1">
      <c r="P381" s="452" t="str">
        <f t="array" aca="1" ref="P381" ca="1">IF(B381="","",IFERROR(MAX(OFFSET(高値!$E$6,MATCH(TEXT(B381,"0"),TEXT(銘柄管理!$B$6:$B$305,"0"),0)-1,0,1,10)),""))</f>
        <v/>
      </c>
    </row>
    <row r="382" spans="16:16" ht="17.25" customHeight="1">
      <c r="P382" s="452" t="str">
        <f t="array" aca="1" ref="P382" ca="1">IF(B382="","",IFERROR(MAX(OFFSET(高値!$E$6,MATCH(TEXT(B382,"0"),TEXT(銘柄管理!$B$6:$B$305,"0"),0)-1,0,1,10)),""))</f>
        <v/>
      </c>
    </row>
    <row r="383" spans="16:16" ht="17.25" customHeight="1">
      <c r="P383" s="452" t="str">
        <f t="array" aca="1" ref="P383" ca="1">IF(B383="","",IFERROR(MAX(OFFSET(高値!$E$6,MATCH(TEXT(B383,"0"),TEXT(銘柄管理!$B$6:$B$305,"0"),0)-1,0,1,10)),""))</f>
        <v/>
      </c>
    </row>
    <row r="384" spans="16:16" ht="17.25" customHeight="1">
      <c r="P384" s="452" t="str">
        <f t="array" aca="1" ref="P384" ca="1">IF(B384="","",IFERROR(MAX(OFFSET(高値!$E$6,MATCH(TEXT(B384,"0"),TEXT(銘柄管理!$B$6:$B$305,"0"),0)-1,0,1,10)),""))</f>
        <v/>
      </c>
    </row>
    <row r="385" spans="16:16" ht="17.25" customHeight="1">
      <c r="P385" s="452" t="str">
        <f t="array" aca="1" ref="P385" ca="1">IF(B385="","",IFERROR(MAX(OFFSET(高値!$E$6,MATCH(TEXT(B385,"0"),TEXT(銘柄管理!$B$6:$B$305,"0"),0)-1,0,1,10)),""))</f>
        <v/>
      </c>
    </row>
    <row r="386" spans="16:16" ht="17.25" customHeight="1">
      <c r="P386" s="452" t="str">
        <f t="array" aca="1" ref="P386" ca="1">IF(B386="","",IFERROR(MAX(OFFSET(高値!$E$6,MATCH(TEXT(B386,"0"),TEXT(銘柄管理!$B$6:$B$305,"0"),0)-1,0,1,10)),""))</f>
        <v/>
      </c>
    </row>
    <row r="387" spans="16:16" ht="17.25" customHeight="1">
      <c r="P387" s="452" t="str">
        <f t="array" aca="1" ref="P387" ca="1">IF(B387="","",IFERROR(MAX(OFFSET(高値!$E$6,MATCH(TEXT(B387,"0"),TEXT(銘柄管理!$B$6:$B$305,"0"),0)-1,0,1,10)),""))</f>
        <v/>
      </c>
    </row>
    <row r="388" spans="16:16" ht="17.25" customHeight="1">
      <c r="P388" s="452" t="str">
        <f t="array" aca="1" ref="P388" ca="1">IF(B388="","",IFERROR(MAX(OFFSET(高値!$E$6,MATCH(TEXT(B388,"0"),TEXT(銘柄管理!$B$6:$B$305,"0"),0)-1,0,1,10)),""))</f>
        <v/>
      </c>
    </row>
    <row r="389" spans="16:16" ht="17.25" customHeight="1">
      <c r="P389" s="452" t="str">
        <f t="array" aca="1" ref="P389" ca="1">IF(B389="","",IFERROR(MAX(OFFSET(高値!$E$6,MATCH(TEXT(B389,"0"),TEXT(銘柄管理!$B$6:$B$305,"0"),0)-1,0,1,10)),""))</f>
        <v/>
      </c>
    </row>
    <row r="390" spans="16:16" ht="17.25" customHeight="1">
      <c r="P390" s="452" t="str">
        <f t="array" aca="1" ref="P390" ca="1">IF(B390="","",IFERROR(MAX(OFFSET(高値!$E$6,MATCH(TEXT(B390,"0"),TEXT(銘柄管理!$B$6:$B$305,"0"),0)-1,0,1,10)),""))</f>
        <v/>
      </c>
    </row>
    <row r="391" spans="16:16" ht="17.25" customHeight="1">
      <c r="P391" s="452" t="str">
        <f t="array" aca="1" ref="P391" ca="1">IF(B391="","",IFERROR(MAX(OFFSET(高値!$E$6,MATCH(TEXT(B391,"0"),TEXT(銘柄管理!$B$6:$B$305,"0"),0)-1,0,1,10)),""))</f>
        <v/>
      </c>
    </row>
    <row r="392" spans="16:16" ht="17.25" customHeight="1">
      <c r="P392" s="452" t="str">
        <f t="array" aca="1" ref="P392" ca="1">IF(B392="","",IFERROR(MAX(OFFSET(高値!$E$6,MATCH(TEXT(B392,"0"),TEXT(銘柄管理!$B$6:$B$305,"0"),0)-1,0,1,10)),""))</f>
        <v/>
      </c>
    </row>
    <row r="393" spans="16:16" ht="17.25" customHeight="1">
      <c r="P393" s="452" t="str">
        <f t="array" aca="1" ref="P393" ca="1">IF(B393="","",IFERROR(MAX(OFFSET(高値!$E$6,MATCH(TEXT(B393,"0"),TEXT(銘柄管理!$B$6:$B$305,"0"),0)-1,0,1,10)),""))</f>
        <v/>
      </c>
    </row>
    <row r="394" spans="16:16" ht="17.25" customHeight="1">
      <c r="P394" s="452" t="str">
        <f t="array" aca="1" ref="P394" ca="1">IF(B394="","",IFERROR(MAX(OFFSET(高値!$E$6,MATCH(TEXT(B394,"0"),TEXT(銘柄管理!$B$6:$B$305,"0"),0)-1,0,1,10)),""))</f>
        <v/>
      </c>
    </row>
    <row r="395" spans="16:16" ht="17.25" customHeight="1">
      <c r="P395" s="452" t="str">
        <f t="array" aca="1" ref="P395" ca="1">IF(B395="","",IFERROR(MAX(OFFSET(高値!$E$6,MATCH(TEXT(B395,"0"),TEXT(銘柄管理!$B$6:$B$305,"0"),0)-1,0,1,10)),""))</f>
        <v/>
      </c>
    </row>
    <row r="396" spans="16:16" ht="17.25" customHeight="1">
      <c r="P396" s="452" t="str">
        <f t="array" aca="1" ref="P396" ca="1">IF(B396="","",IFERROR(MAX(OFFSET(高値!$E$6,MATCH(TEXT(B396,"0"),TEXT(銘柄管理!$B$6:$B$305,"0"),0)-1,0,1,10)),""))</f>
        <v/>
      </c>
    </row>
    <row r="397" spans="16:16" ht="17.25" customHeight="1">
      <c r="P397" s="452" t="str">
        <f t="array" aca="1" ref="P397" ca="1">IF(B397="","",IFERROR(MAX(OFFSET(高値!$E$6,MATCH(TEXT(B397,"0"),TEXT(銘柄管理!$B$6:$B$305,"0"),0)-1,0,1,10)),""))</f>
        <v/>
      </c>
    </row>
    <row r="398" spans="16:16" ht="17.25" customHeight="1">
      <c r="P398" s="452" t="str">
        <f t="array" aca="1" ref="P398" ca="1">IF(B398="","",IFERROR(MAX(OFFSET(高値!$E$6,MATCH(TEXT(B398,"0"),TEXT(銘柄管理!$B$6:$B$305,"0"),0)-1,0,1,10)),""))</f>
        <v/>
      </c>
    </row>
    <row r="399" spans="16:16" ht="17.25" customHeight="1">
      <c r="P399" s="452" t="str">
        <f t="array" aca="1" ref="P399" ca="1">IF(B399="","",IFERROR(MAX(OFFSET(高値!$E$6,MATCH(TEXT(B399,"0"),TEXT(銘柄管理!$B$6:$B$305,"0"),0)-1,0,1,10)),""))</f>
        <v/>
      </c>
    </row>
    <row r="400" spans="16:16" ht="17.25" customHeight="1">
      <c r="P400" s="452" t="str">
        <f t="array" aca="1" ref="P400" ca="1">IF(B400="","",IFERROR(MAX(OFFSET(高値!$E$6,MATCH(TEXT(B400,"0"),TEXT(銘柄管理!$B$6:$B$305,"0"),0)-1,0,1,10)),""))</f>
        <v/>
      </c>
    </row>
    <row r="401" spans="16:16" ht="17.25" customHeight="1">
      <c r="P401" s="452" t="str">
        <f t="array" aca="1" ref="P401" ca="1">IF(B401="","",IFERROR(MAX(OFFSET(高値!$E$6,MATCH(TEXT(B401,"0"),TEXT(銘柄管理!$B$6:$B$305,"0"),0)-1,0,1,10)),""))</f>
        <v/>
      </c>
    </row>
    <row r="402" spans="16:16" ht="17.25" customHeight="1">
      <c r="P402" s="452" t="str">
        <f t="array" aca="1" ref="P402" ca="1">IF(B402="","",IFERROR(MAX(OFFSET(高値!$E$6,MATCH(TEXT(B402,"0"),TEXT(銘柄管理!$B$6:$B$305,"0"),0)-1,0,1,10)),""))</f>
        <v/>
      </c>
    </row>
    <row r="403" spans="16:16" ht="17.25" customHeight="1">
      <c r="P403" s="452" t="str">
        <f t="array" aca="1" ref="P403" ca="1">IF(B403="","",IFERROR(MAX(OFFSET(高値!$E$6,MATCH(TEXT(B403,"0"),TEXT(銘柄管理!$B$6:$B$305,"0"),0)-1,0,1,10)),""))</f>
        <v/>
      </c>
    </row>
    <row r="404" spans="16:16" ht="17.25" customHeight="1">
      <c r="P404" s="452" t="str">
        <f t="array" aca="1" ref="P404" ca="1">IF(B404="","",IFERROR(MAX(OFFSET(高値!$E$6,MATCH(TEXT(B404,"0"),TEXT(銘柄管理!$B$6:$B$305,"0"),0)-1,0,1,10)),""))</f>
        <v/>
      </c>
    </row>
    <row r="405" spans="16:16" ht="17.25" customHeight="1">
      <c r="P405" s="452" t="str">
        <f t="array" aca="1" ref="P405" ca="1">IF(B405="","",IFERROR(MAX(OFFSET(高値!$E$6,MATCH(TEXT(B405,"0"),TEXT(銘柄管理!$B$6:$B$305,"0"),0)-1,0,1,10)),""))</f>
        <v/>
      </c>
    </row>
    <row r="406" spans="16:16" ht="17.25" customHeight="1">
      <c r="P406" s="452" t="str">
        <f t="array" aca="1" ref="P406" ca="1">IF(B406="","",IFERROR(MAX(OFFSET(高値!$E$6,MATCH(TEXT(B406,"0"),TEXT(銘柄管理!$B$6:$B$305,"0"),0)-1,0,1,10)),""))</f>
        <v/>
      </c>
    </row>
    <row r="407" spans="16:16" ht="17.25" customHeight="1">
      <c r="P407" s="452" t="str">
        <f t="array" aca="1" ref="P407" ca="1">IF(B407="","",IFERROR(MAX(OFFSET(高値!$E$6,MATCH(TEXT(B407,"0"),TEXT(銘柄管理!$B$6:$B$305,"0"),0)-1,0,1,10)),""))</f>
        <v/>
      </c>
    </row>
    <row r="408" spans="16:16" ht="17.25" customHeight="1">
      <c r="P408" s="452" t="str">
        <f t="array" aca="1" ref="P408" ca="1">IF(B408="","",IFERROR(MAX(OFFSET(高値!$E$6,MATCH(TEXT(B408,"0"),TEXT(銘柄管理!$B$6:$B$305,"0"),0)-1,0,1,10)),""))</f>
        <v/>
      </c>
    </row>
    <row r="409" spans="16:16" ht="17.25" customHeight="1">
      <c r="P409" s="452" t="str">
        <f t="array" aca="1" ref="P409" ca="1">IF(B409="","",IFERROR(MAX(OFFSET(高値!$E$6,MATCH(TEXT(B409,"0"),TEXT(銘柄管理!$B$6:$B$305,"0"),0)-1,0,1,10)),""))</f>
        <v/>
      </c>
    </row>
    <row r="410" spans="16:16" ht="17.25" customHeight="1">
      <c r="P410" s="452" t="str">
        <f t="array" aca="1" ref="P410" ca="1">IF(B410="","",IFERROR(MAX(OFFSET(高値!$E$6,MATCH(TEXT(B410,"0"),TEXT(銘柄管理!$B$6:$B$305,"0"),0)-1,0,1,10)),""))</f>
        <v/>
      </c>
    </row>
    <row r="411" spans="16:16" ht="17.25" customHeight="1">
      <c r="P411" s="452" t="str">
        <f t="array" aca="1" ref="P411" ca="1">IF(B411="","",IFERROR(MAX(OFFSET(高値!$E$6,MATCH(TEXT(B411,"0"),TEXT(銘柄管理!$B$6:$B$305,"0"),0)-1,0,1,10)),""))</f>
        <v/>
      </c>
    </row>
    <row r="412" spans="16:16" ht="17.25" customHeight="1">
      <c r="P412" s="452" t="str">
        <f t="array" aca="1" ref="P412" ca="1">IF(B412="","",IFERROR(MAX(OFFSET(高値!$E$6,MATCH(TEXT(B412,"0"),TEXT(銘柄管理!$B$6:$B$305,"0"),0)-1,0,1,10)),""))</f>
        <v/>
      </c>
    </row>
    <row r="413" spans="16:16" ht="17.25" customHeight="1">
      <c r="P413" s="452" t="str">
        <f t="array" aca="1" ref="P413" ca="1">IF(B413="","",IFERROR(MAX(OFFSET(高値!$E$6,MATCH(TEXT(B413,"0"),TEXT(銘柄管理!$B$6:$B$305,"0"),0)-1,0,1,10)),""))</f>
        <v/>
      </c>
    </row>
    <row r="414" spans="16:16" ht="17.25" customHeight="1">
      <c r="P414" s="452" t="str">
        <f t="array" aca="1" ref="P414" ca="1">IF(B414="","",IFERROR(MAX(OFFSET(高値!$E$6,MATCH(TEXT(B414,"0"),TEXT(銘柄管理!$B$6:$B$305,"0"),0)-1,0,1,10)),""))</f>
        <v/>
      </c>
    </row>
    <row r="415" spans="16:16" ht="17.25" customHeight="1">
      <c r="P415" s="452" t="str">
        <f t="array" aca="1" ref="P415" ca="1">IF(B415="","",IFERROR(MAX(OFFSET(高値!$E$6,MATCH(TEXT(B415,"0"),TEXT(銘柄管理!$B$6:$B$305,"0"),0)-1,0,1,10)),""))</f>
        <v/>
      </c>
    </row>
    <row r="416" spans="16:16" ht="17.25" customHeight="1">
      <c r="P416" s="452" t="str">
        <f t="array" aca="1" ref="P416" ca="1">IF(B416="","",IFERROR(MAX(OFFSET(高値!$E$6,MATCH(TEXT(B416,"0"),TEXT(銘柄管理!$B$6:$B$305,"0"),0)-1,0,1,10)),""))</f>
        <v/>
      </c>
    </row>
    <row r="417" spans="16:16" ht="17.25" customHeight="1">
      <c r="P417" s="452" t="str">
        <f t="array" aca="1" ref="P417" ca="1">IF(B417="","",IFERROR(MAX(OFFSET(高値!$E$6,MATCH(TEXT(B417,"0"),TEXT(銘柄管理!$B$6:$B$305,"0"),0)-1,0,1,10)),""))</f>
        <v/>
      </c>
    </row>
    <row r="418" spans="16:16" ht="17.25" customHeight="1">
      <c r="P418" s="452" t="str">
        <f t="array" aca="1" ref="P418" ca="1">IF(B418="","",IFERROR(MAX(OFFSET(高値!$E$6,MATCH(TEXT(B418,"0"),TEXT(銘柄管理!$B$6:$B$305,"0"),0)-1,0,1,10)),""))</f>
        <v/>
      </c>
    </row>
    <row r="419" spans="16:16" ht="17.25" customHeight="1">
      <c r="P419" s="452" t="str">
        <f t="array" aca="1" ref="P419" ca="1">IF(B419="","",IFERROR(MAX(OFFSET(高値!$E$6,MATCH(TEXT(B419,"0"),TEXT(銘柄管理!$B$6:$B$305,"0"),0)-1,0,1,10)),""))</f>
        <v/>
      </c>
    </row>
    <row r="420" spans="16:16" ht="17.25" customHeight="1">
      <c r="P420" s="452" t="str">
        <f t="array" aca="1" ref="P420" ca="1">IF(B420="","",IFERROR(MAX(OFFSET(高値!$E$6,MATCH(TEXT(B420,"0"),TEXT(銘柄管理!$B$6:$B$305,"0"),0)-1,0,1,10)),""))</f>
        <v/>
      </c>
    </row>
    <row r="421" spans="16:16" ht="17.25" customHeight="1">
      <c r="P421" s="452" t="str">
        <f t="array" aca="1" ref="P421" ca="1">IF(B421="","",IFERROR(MAX(OFFSET(高値!$E$6,MATCH(TEXT(B421,"0"),TEXT(銘柄管理!$B$6:$B$305,"0"),0)-1,0,1,10)),""))</f>
        <v/>
      </c>
    </row>
    <row r="422" spans="16:16" ht="17.25" customHeight="1">
      <c r="P422" s="452" t="str">
        <f t="array" aca="1" ref="P422" ca="1">IF(B422="","",IFERROR(MAX(OFFSET(高値!$E$6,MATCH(TEXT(B422,"0"),TEXT(銘柄管理!$B$6:$B$305,"0"),0)-1,0,1,10)),""))</f>
        <v/>
      </c>
    </row>
    <row r="423" spans="16:16" ht="17.25" customHeight="1">
      <c r="P423" s="452" t="str">
        <f t="array" aca="1" ref="P423" ca="1">IF(B423="","",IFERROR(MAX(OFFSET(高値!$E$6,MATCH(TEXT(B423,"0"),TEXT(銘柄管理!$B$6:$B$305,"0"),0)-1,0,1,10)),""))</f>
        <v/>
      </c>
    </row>
    <row r="424" spans="16:16" ht="17.25" customHeight="1">
      <c r="P424" s="452" t="str">
        <f t="array" aca="1" ref="P424" ca="1">IF(B424="","",IFERROR(MAX(OFFSET(高値!$E$6,MATCH(TEXT(B424,"0"),TEXT(銘柄管理!$B$6:$B$305,"0"),0)-1,0,1,10)),""))</f>
        <v/>
      </c>
    </row>
    <row r="425" spans="16:16" ht="17.25" customHeight="1">
      <c r="P425" s="452" t="str">
        <f t="array" aca="1" ref="P425" ca="1">IF(B425="","",IFERROR(MAX(OFFSET(高値!$E$6,MATCH(TEXT(B425,"0"),TEXT(銘柄管理!$B$6:$B$305,"0"),0)-1,0,1,10)),""))</f>
        <v/>
      </c>
    </row>
    <row r="426" spans="16:16" ht="17.25" customHeight="1">
      <c r="P426" s="452" t="str">
        <f t="array" aca="1" ref="P426" ca="1">IF(B426="","",IFERROR(MAX(OFFSET(高値!$E$6,MATCH(TEXT(B426,"0"),TEXT(銘柄管理!$B$6:$B$305,"0"),0)-1,0,1,10)),""))</f>
        <v/>
      </c>
    </row>
    <row r="427" spans="16:16" ht="17.25" customHeight="1">
      <c r="P427" s="452" t="str">
        <f t="array" aca="1" ref="P427" ca="1">IF(B427="","",IFERROR(MAX(OFFSET(高値!$E$6,MATCH(TEXT(B427,"0"),TEXT(銘柄管理!$B$6:$B$305,"0"),0)-1,0,1,10)),""))</f>
        <v/>
      </c>
    </row>
    <row r="428" spans="16:16" ht="17.25" customHeight="1">
      <c r="P428" s="452" t="str">
        <f t="array" aca="1" ref="P428" ca="1">IF(B428="","",IFERROR(MAX(OFFSET(高値!$E$6,MATCH(TEXT(B428,"0"),TEXT(銘柄管理!$B$6:$B$305,"0"),0)-1,0,1,10)),""))</f>
        <v/>
      </c>
    </row>
    <row r="429" spans="16:16" ht="17.25" customHeight="1">
      <c r="P429" s="452" t="str">
        <f t="array" aca="1" ref="P429" ca="1">IF(B429="","",IFERROR(MAX(OFFSET(高値!$E$6,MATCH(TEXT(B429,"0"),TEXT(銘柄管理!$B$6:$B$305,"0"),0)-1,0,1,10)),""))</f>
        <v/>
      </c>
    </row>
    <row r="430" spans="16:16" ht="17.25" customHeight="1">
      <c r="P430" s="452" t="str">
        <f t="array" aca="1" ref="P430" ca="1">IF(B430="","",IFERROR(MAX(OFFSET(高値!$E$6,MATCH(TEXT(B430,"0"),TEXT(銘柄管理!$B$6:$B$305,"0"),0)-1,0,1,10)),""))</f>
        <v/>
      </c>
    </row>
    <row r="431" spans="16:16" ht="17.25" customHeight="1">
      <c r="P431" s="452" t="str">
        <f t="array" aca="1" ref="P431" ca="1">IF(B431="","",IFERROR(MAX(OFFSET(高値!$E$6,MATCH(TEXT(B431,"0"),TEXT(銘柄管理!$B$6:$B$305,"0"),0)-1,0,1,10)),""))</f>
        <v/>
      </c>
    </row>
    <row r="432" spans="16:16" ht="17.25" customHeight="1">
      <c r="P432" s="452" t="str">
        <f t="array" aca="1" ref="P432" ca="1">IF(B432="","",IFERROR(MAX(OFFSET(高値!$E$6,MATCH(TEXT(B432,"0"),TEXT(銘柄管理!$B$6:$B$305,"0"),0)-1,0,1,10)),""))</f>
        <v/>
      </c>
    </row>
    <row r="433" spans="16:16" ht="17.25" customHeight="1">
      <c r="P433" s="452" t="str">
        <f t="array" aca="1" ref="P433" ca="1">IF(B433="","",IFERROR(MAX(OFFSET(高値!$E$6,MATCH(TEXT(B433,"0"),TEXT(銘柄管理!$B$6:$B$305,"0"),0)-1,0,1,10)),""))</f>
        <v/>
      </c>
    </row>
    <row r="434" spans="16:16" ht="17.25" customHeight="1">
      <c r="P434" s="452" t="str">
        <f t="array" aca="1" ref="P434" ca="1">IF(B434="","",IFERROR(MAX(OFFSET(高値!$E$6,MATCH(TEXT(B434,"0"),TEXT(銘柄管理!$B$6:$B$305,"0"),0)-1,0,1,10)),""))</f>
        <v/>
      </c>
    </row>
    <row r="435" spans="16:16" ht="17.25" customHeight="1">
      <c r="P435" s="452" t="str">
        <f t="array" aca="1" ref="P435" ca="1">IF(B435="","",IFERROR(MAX(OFFSET(高値!$E$6,MATCH(TEXT(B435,"0"),TEXT(銘柄管理!$B$6:$B$305,"0"),0)-1,0,1,10)),""))</f>
        <v/>
      </c>
    </row>
    <row r="436" spans="16:16" ht="17.25" customHeight="1">
      <c r="P436" s="452" t="str">
        <f t="array" aca="1" ref="P436" ca="1">IF(B436="","",IFERROR(MAX(OFFSET(高値!$E$6,MATCH(TEXT(B436,"0"),TEXT(銘柄管理!$B$6:$B$305,"0"),0)-1,0,1,10)),""))</f>
        <v/>
      </c>
    </row>
    <row r="437" spans="16:16" ht="17.25" customHeight="1">
      <c r="P437" s="452" t="str">
        <f t="array" aca="1" ref="P437" ca="1">IF(B437="","",IFERROR(MAX(OFFSET(高値!$E$6,MATCH(TEXT(B437,"0"),TEXT(銘柄管理!$B$6:$B$305,"0"),0)-1,0,1,10)),""))</f>
        <v/>
      </c>
    </row>
    <row r="438" spans="16:16" ht="17.25" customHeight="1">
      <c r="P438" s="452" t="str">
        <f t="array" aca="1" ref="P438" ca="1">IF(B438="","",IFERROR(MAX(OFFSET(高値!$E$6,MATCH(TEXT(B438,"0"),TEXT(銘柄管理!$B$6:$B$305,"0"),0)-1,0,1,10)),""))</f>
        <v/>
      </c>
    </row>
    <row r="439" spans="16:16" ht="17.25" customHeight="1">
      <c r="P439" s="452" t="str">
        <f t="array" aca="1" ref="P439" ca="1">IF(B439="","",IFERROR(MAX(OFFSET(高値!$E$6,MATCH(TEXT(B439,"0"),TEXT(銘柄管理!$B$6:$B$305,"0"),0)-1,0,1,10)),""))</f>
        <v/>
      </c>
    </row>
    <row r="440" spans="16:16" ht="17.25" customHeight="1">
      <c r="P440" s="452" t="str">
        <f t="array" aca="1" ref="P440" ca="1">IF(B440="","",IFERROR(MAX(OFFSET(高値!$E$6,MATCH(TEXT(B440,"0"),TEXT(銘柄管理!$B$6:$B$305,"0"),0)-1,0,1,10)),""))</f>
        <v/>
      </c>
    </row>
    <row r="441" spans="16:16" ht="17.25" customHeight="1">
      <c r="P441" s="452" t="str">
        <f t="array" aca="1" ref="P441" ca="1">IF(B441="","",IFERROR(MAX(OFFSET(高値!$E$6,MATCH(TEXT(B441,"0"),TEXT(銘柄管理!$B$6:$B$305,"0"),0)-1,0,1,10)),""))</f>
        <v/>
      </c>
    </row>
    <row r="442" spans="16:16" ht="17.25" customHeight="1">
      <c r="P442" s="452" t="str">
        <f t="array" aca="1" ref="P442" ca="1">IF(B442="","",IFERROR(MAX(OFFSET(高値!$E$6,MATCH(TEXT(B442,"0"),TEXT(銘柄管理!$B$6:$B$305,"0"),0)-1,0,1,10)),""))</f>
        <v/>
      </c>
    </row>
    <row r="443" spans="16:16" ht="17.25" customHeight="1">
      <c r="P443" s="452" t="str">
        <f t="array" aca="1" ref="P443" ca="1">IF(B443="","",IFERROR(MAX(OFFSET(高値!$E$6,MATCH(TEXT(B443,"0"),TEXT(銘柄管理!$B$6:$B$305,"0"),0)-1,0,1,10)),""))</f>
        <v/>
      </c>
    </row>
    <row r="444" spans="16:16" ht="17.25" customHeight="1">
      <c r="P444" s="452" t="str">
        <f t="array" aca="1" ref="P444" ca="1">IF(B444="","",IFERROR(MAX(OFFSET(高値!$E$6,MATCH(TEXT(B444,"0"),TEXT(銘柄管理!$B$6:$B$305,"0"),0)-1,0,1,10)),""))</f>
        <v/>
      </c>
    </row>
    <row r="445" spans="16:16" ht="17.25" customHeight="1">
      <c r="P445" s="452" t="str">
        <f t="array" aca="1" ref="P445" ca="1">IF(B445="","",IFERROR(MAX(OFFSET(高値!$E$6,MATCH(TEXT(B445,"0"),TEXT(銘柄管理!$B$6:$B$305,"0"),0)-1,0,1,10)),""))</f>
        <v/>
      </c>
    </row>
    <row r="446" spans="16:16" ht="17.25" customHeight="1">
      <c r="P446" s="452" t="str">
        <f t="array" aca="1" ref="P446" ca="1">IF(B446="","",IFERROR(MAX(OFFSET(高値!$E$6,MATCH(TEXT(B446,"0"),TEXT(銘柄管理!$B$6:$B$305,"0"),0)-1,0,1,10)),""))</f>
        <v/>
      </c>
    </row>
    <row r="447" spans="16:16" ht="17.25" customHeight="1">
      <c r="P447" s="452" t="str">
        <f t="array" aca="1" ref="P447" ca="1">IF(B447="","",IFERROR(MAX(OFFSET(高値!$E$6,MATCH(TEXT(B447,"0"),TEXT(銘柄管理!$B$6:$B$305,"0"),0)-1,0,1,10)),""))</f>
        <v/>
      </c>
    </row>
    <row r="448" spans="16:16" ht="17.25" customHeight="1">
      <c r="P448" s="452" t="str">
        <f t="array" aca="1" ref="P448" ca="1">IF(B448="","",IFERROR(MAX(OFFSET(高値!$E$6,MATCH(TEXT(B448,"0"),TEXT(銘柄管理!$B$6:$B$305,"0"),0)-1,0,1,10)),""))</f>
        <v/>
      </c>
    </row>
    <row r="449" spans="16:16" ht="17.25" customHeight="1">
      <c r="P449" s="452" t="str">
        <f t="array" aca="1" ref="P449" ca="1">IF(B449="","",IFERROR(MAX(OFFSET(高値!$E$6,MATCH(TEXT(B449,"0"),TEXT(銘柄管理!$B$6:$B$305,"0"),0)-1,0,1,10)),""))</f>
        <v/>
      </c>
    </row>
    <row r="450" spans="16:16" ht="17.25" customHeight="1">
      <c r="P450" s="452" t="str">
        <f t="array" aca="1" ref="P450" ca="1">IF(B450="","",IFERROR(MAX(OFFSET(高値!$E$6,MATCH(TEXT(B450,"0"),TEXT(銘柄管理!$B$6:$B$305,"0"),0)-1,0,1,10)),""))</f>
        <v/>
      </c>
    </row>
    <row r="451" spans="16:16" ht="17.25" customHeight="1">
      <c r="P451" s="452" t="str">
        <f t="array" aca="1" ref="P451" ca="1">IF(B451="","",IFERROR(MAX(OFFSET(高値!$E$6,MATCH(TEXT(B451,"0"),TEXT(銘柄管理!$B$6:$B$305,"0"),0)-1,0,1,10)),""))</f>
        <v/>
      </c>
    </row>
    <row r="452" spans="16:16" ht="17.25" customHeight="1">
      <c r="P452" s="452" t="str">
        <f t="array" aca="1" ref="P452" ca="1">IF(B452="","",IFERROR(MAX(OFFSET(高値!$E$6,MATCH(TEXT(B452,"0"),TEXT(銘柄管理!$B$6:$B$305,"0"),0)-1,0,1,10)),""))</f>
        <v/>
      </c>
    </row>
    <row r="453" spans="16:16" ht="17.25" customHeight="1">
      <c r="P453" s="452" t="str">
        <f t="array" aca="1" ref="P453" ca="1">IF(B453="","",IFERROR(MAX(OFFSET(高値!$E$6,MATCH(TEXT(B453,"0"),TEXT(銘柄管理!$B$6:$B$305,"0"),0)-1,0,1,10)),""))</f>
        <v/>
      </c>
    </row>
    <row r="454" spans="16:16" ht="17.25" customHeight="1">
      <c r="P454" s="452" t="str">
        <f t="array" aca="1" ref="P454" ca="1">IF(B454="","",IFERROR(MAX(OFFSET(高値!$E$6,MATCH(TEXT(B454,"0"),TEXT(銘柄管理!$B$6:$B$305,"0"),0)-1,0,1,10)),""))</f>
        <v/>
      </c>
    </row>
    <row r="455" spans="16:16" ht="17.25" customHeight="1">
      <c r="P455" s="452" t="str">
        <f t="array" aca="1" ref="P455" ca="1">IF(B455="","",IFERROR(MAX(OFFSET(高値!$E$6,MATCH(TEXT(B455,"0"),TEXT(銘柄管理!$B$6:$B$305,"0"),0)-1,0,1,10)),""))</f>
        <v/>
      </c>
    </row>
    <row r="456" spans="16:16" ht="17.25" customHeight="1">
      <c r="P456" s="452" t="str">
        <f t="array" aca="1" ref="P456" ca="1">IF(B456="","",IFERROR(MAX(OFFSET(高値!$E$6,MATCH(TEXT(B456,"0"),TEXT(銘柄管理!$B$6:$B$305,"0"),0)-1,0,1,10)),""))</f>
        <v/>
      </c>
    </row>
    <row r="457" spans="16:16" ht="17.25" customHeight="1">
      <c r="P457" s="452" t="str">
        <f t="array" aca="1" ref="P457" ca="1">IF(B457="","",IFERROR(MAX(OFFSET(高値!$E$6,MATCH(TEXT(B457,"0"),TEXT(銘柄管理!$B$6:$B$305,"0"),0)-1,0,1,10)),""))</f>
        <v/>
      </c>
    </row>
    <row r="458" spans="16:16" ht="17.25" customHeight="1">
      <c r="P458" s="452" t="str">
        <f t="array" aca="1" ref="P458" ca="1">IF(B458="","",IFERROR(MAX(OFFSET(高値!$E$6,MATCH(TEXT(B458,"0"),TEXT(銘柄管理!$B$6:$B$305,"0"),0)-1,0,1,10)),""))</f>
        <v/>
      </c>
    </row>
    <row r="459" spans="16:16" ht="17.25" customHeight="1">
      <c r="P459" s="452" t="str">
        <f t="array" aca="1" ref="P459" ca="1">IF(B459="","",IFERROR(MAX(OFFSET(高値!$E$6,MATCH(TEXT(B459,"0"),TEXT(銘柄管理!$B$6:$B$305,"0"),0)-1,0,1,10)),""))</f>
        <v/>
      </c>
    </row>
    <row r="460" spans="16:16" ht="17.25" customHeight="1">
      <c r="P460" s="452" t="str">
        <f t="array" aca="1" ref="P460" ca="1">IF(B460="","",IFERROR(MAX(OFFSET(高値!$E$6,MATCH(TEXT(B460,"0"),TEXT(銘柄管理!$B$6:$B$305,"0"),0)-1,0,1,10)),""))</f>
        <v/>
      </c>
    </row>
    <row r="461" spans="16:16" ht="17.25" customHeight="1">
      <c r="P461" s="452" t="str">
        <f t="array" aca="1" ref="P461" ca="1">IF(B461="","",IFERROR(MAX(OFFSET(高値!$E$6,MATCH(TEXT(B461,"0"),TEXT(銘柄管理!$B$6:$B$305,"0"),0)-1,0,1,10)),""))</f>
        <v/>
      </c>
    </row>
    <row r="462" spans="16:16" ht="17.25" customHeight="1">
      <c r="P462" s="452" t="str">
        <f t="array" aca="1" ref="P462" ca="1">IF(B462="","",IFERROR(MAX(OFFSET(高値!$E$6,MATCH(TEXT(B462,"0"),TEXT(銘柄管理!$B$6:$B$305,"0"),0)-1,0,1,10)),""))</f>
        <v/>
      </c>
    </row>
    <row r="463" spans="16:16" ht="17.25" customHeight="1">
      <c r="P463" s="452" t="str">
        <f t="array" aca="1" ref="P463" ca="1">IF(B463="","",IFERROR(MAX(OFFSET(高値!$E$6,MATCH(TEXT(B463,"0"),TEXT(銘柄管理!$B$6:$B$305,"0"),0)-1,0,1,10)),""))</f>
        <v/>
      </c>
    </row>
    <row r="464" spans="16:16" ht="17.25" customHeight="1">
      <c r="P464" s="452" t="str">
        <f t="array" aca="1" ref="P464" ca="1">IF(B464="","",IFERROR(MAX(OFFSET(高値!$E$6,MATCH(TEXT(B464,"0"),TEXT(銘柄管理!$B$6:$B$305,"0"),0)-1,0,1,10)),""))</f>
        <v/>
      </c>
    </row>
    <row r="465" spans="16:16" ht="17.25" customHeight="1">
      <c r="P465" s="452" t="str">
        <f t="array" aca="1" ref="P465" ca="1">IF(B465="","",IFERROR(MAX(OFFSET(高値!$E$6,MATCH(TEXT(B465,"0"),TEXT(銘柄管理!$B$6:$B$305,"0"),0)-1,0,1,10)),""))</f>
        <v/>
      </c>
    </row>
    <row r="466" spans="16:16" ht="17.25" customHeight="1">
      <c r="P466" s="452" t="str">
        <f t="array" aca="1" ref="P466" ca="1">IF(B466="","",IFERROR(MAX(OFFSET(高値!$E$6,MATCH(TEXT(B466,"0"),TEXT(銘柄管理!$B$6:$B$305,"0"),0)-1,0,1,10)),""))</f>
        <v/>
      </c>
    </row>
    <row r="467" spans="16:16" ht="17.25" customHeight="1">
      <c r="P467" s="452" t="str">
        <f t="array" aca="1" ref="P467" ca="1">IF(B467="","",IFERROR(MAX(OFFSET(高値!$E$6,MATCH(TEXT(B467,"0"),TEXT(銘柄管理!$B$6:$B$305,"0"),0)-1,0,1,10)),""))</f>
        <v/>
      </c>
    </row>
    <row r="468" spans="16:16" ht="17.25" customHeight="1">
      <c r="P468" s="452" t="str">
        <f t="array" aca="1" ref="P468" ca="1">IF(B468="","",IFERROR(MAX(OFFSET(高値!$E$6,MATCH(TEXT(B468,"0"),TEXT(銘柄管理!$B$6:$B$305,"0"),0)-1,0,1,10)),""))</f>
        <v/>
      </c>
    </row>
    <row r="469" spans="16:16" ht="17.25" customHeight="1">
      <c r="P469" s="452" t="str">
        <f t="array" aca="1" ref="P469" ca="1">IF(B469="","",IFERROR(MAX(OFFSET(高値!$E$6,MATCH(TEXT(B469,"0"),TEXT(銘柄管理!$B$6:$B$305,"0"),0)-1,0,1,10)),""))</f>
        <v/>
      </c>
    </row>
    <row r="470" spans="16:16" ht="17.25" customHeight="1">
      <c r="P470" s="452" t="str">
        <f t="array" aca="1" ref="P470" ca="1">IF(B470="","",IFERROR(MAX(OFFSET(高値!$E$6,MATCH(TEXT(B470,"0"),TEXT(銘柄管理!$B$6:$B$305,"0"),0)-1,0,1,10)),""))</f>
        <v/>
      </c>
    </row>
    <row r="471" spans="16:16" ht="17.25" customHeight="1">
      <c r="P471" s="452" t="str">
        <f t="array" aca="1" ref="P471" ca="1">IF(B471="","",IFERROR(MAX(OFFSET(高値!$E$6,MATCH(TEXT(B471,"0"),TEXT(銘柄管理!$B$6:$B$305,"0"),0)-1,0,1,10)),""))</f>
        <v/>
      </c>
    </row>
    <row r="472" spans="16:16" ht="17.25" customHeight="1">
      <c r="P472" s="452" t="str">
        <f t="array" aca="1" ref="P472" ca="1">IF(B472="","",IFERROR(MAX(OFFSET(高値!$E$6,MATCH(TEXT(B472,"0"),TEXT(銘柄管理!$B$6:$B$305,"0"),0)-1,0,1,10)),""))</f>
        <v/>
      </c>
    </row>
    <row r="473" spans="16:16" ht="17.25" customHeight="1">
      <c r="P473" s="452" t="str">
        <f t="array" aca="1" ref="P473" ca="1">IF(B473="","",IFERROR(MAX(OFFSET(高値!$E$6,MATCH(TEXT(B473,"0"),TEXT(銘柄管理!$B$6:$B$305,"0"),0)-1,0,1,10)),""))</f>
        <v/>
      </c>
    </row>
    <row r="474" spans="16:16" ht="17.25" customHeight="1">
      <c r="P474" s="452" t="str">
        <f t="array" aca="1" ref="P474" ca="1">IF(B474="","",IFERROR(MAX(OFFSET(高値!$E$6,MATCH(TEXT(B474,"0"),TEXT(銘柄管理!$B$6:$B$305,"0"),0)-1,0,1,10)),""))</f>
        <v/>
      </c>
    </row>
    <row r="475" spans="16:16" ht="17.25" customHeight="1">
      <c r="P475" s="452" t="str">
        <f t="array" aca="1" ref="P475" ca="1">IF(B475="","",IFERROR(MAX(OFFSET(高値!$E$6,MATCH(TEXT(B475,"0"),TEXT(銘柄管理!$B$6:$B$305,"0"),0)-1,0,1,10)),""))</f>
        <v/>
      </c>
    </row>
    <row r="476" spans="16:16" ht="17.25" customHeight="1">
      <c r="P476" s="452" t="str">
        <f t="array" aca="1" ref="P476" ca="1">IF(B476="","",IFERROR(MAX(OFFSET(高値!$E$6,MATCH(TEXT(B476,"0"),TEXT(銘柄管理!$B$6:$B$305,"0"),0)-1,0,1,10)),""))</f>
        <v/>
      </c>
    </row>
  </sheetData>
  <mergeCells count="1">
    <mergeCell ref="A1:X1"/>
  </mergeCells>
  <phoneticPr fontId="16"/>
  <conditionalFormatting sqref="B4:X54">
    <cfRule type="expression" dxfId="2" priority="1">
      <formula>$C4="買"</formula>
    </cfRule>
  </conditionalFormatting>
  <conditionalFormatting sqref="B4:X54">
    <cfRule type="expression" dxfId="1" priority="2">
      <formula>$C4="売"</formula>
    </cfRule>
  </conditionalFormatting>
  <conditionalFormatting sqref="A2:AA3 B4:AA54">
    <cfRule type="cellIs" dxfId="0" priority="3" operator="lessThan">
      <formula>0</formula>
    </cfRule>
  </conditionalFormatting>
  <dataValidations xWindow="186" yWindow="1324" count="1">
    <dataValidation type="list" allowBlank="1" showInputMessage="1" showErrorMessage="1" promptTitle="売買区分" prompt="買 または 売 を選択してください" sqref="C4:C54" xr:uid="{00000000-0002-0000-0F00-000000000000}">
      <formula1>"買,売"</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BL95"/>
  <sheetViews>
    <sheetView workbookViewId="0">
      <pane ySplit="2" topLeftCell="A3" activePane="bottomLeft" state="frozen"/>
      <selection pane="bottomLeft" activeCell="T27" sqref="T27"/>
    </sheetView>
  </sheetViews>
  <sheetFormatPr defaultRowHeight="13.2"/>
  <cols>
    <col min="1" max="1" width="61" bestFit="1" customWidth="1"/>
    <col min="2" max="3" width="15.21875" customWidth="1"/>
    <col min="9" max="9" width="12.109375" customWidth="1"/>
  </cols>
  <sheetData>
    <row r="1" spans="1:64" ht="26.25" customHeight="1">
      <c r="A1" s="410" t="s">
        <v>804</v>
      </c>
      <c r="B1" s="418"/>
      <c r="C1" s="418"/>
      <c r="D1" s="418"/>
      <c r="E1" s="418"/>
      <c r="F1" s="418"/>
      <c r="G1" s="418"/>
      <c r="H1" s="418"/>
      <c r="I1" s="418"/>
      <c r="J1" s="418"/>
      <c r="K1" s="418"/>
      <c r="L1" s="418"/>
      <c r="M1" s="418"/>
      <c r="N1" s="418"/>
      <c r="O1" s="418"/>
      <c r="P1" s="418"/>
      <c r="Q1" s="418"/>
      <c r="R1" s="418"/>
      <c r="S1" s="418"/>
      <c r="T1" s="418"/>
      <c r="U1" s="418"/>
      <c r="V1" s="418"/>
      <c r="W1" s="418"/>
      <c r="X1" s="418"/>
      <c r="Y1" s="418"/>
      <c r="Z1" s="418"/>
      <c r="AA1" s="418"/>
      <c r="AB1" s="418"/>
      <c r="AC1" s="418"/>
      <c r="AD1" s="418"/>
      <c r="AE1" s="418"/>
      <c r="AF1" s="418"/>
      <c r="AG1" s="418"/>
      <c r="AH1" s="418"/>
      <c r="AI1" s="418"/>
      <c r="AJ1" s="418"/>
      <c r="AK1" s="418"/>
      <c r="AL1" s="418"/>
      <c r="AM1" s="418"/>
      <c r="AN1" s="418"/>
      <c r="AO1" s="418"/>
      <c r="AP1" s="418"/>
      <c r="AQ1" s="418"/>
      <c r="AR1" s="418"/>
      <c r="AS1" s="418"/>
      <c r="AT1" s="418"/>
      <c r="AU1" s="418"/>
      <c r="AV1" s="418"/>
      <c r="AW1" s="418"/>
      <c r="AX1" s="418"/>
      <c r="AY1" s="418"/>
      <c r="AZ1" s="418"/>
      <c r="BA1" s="418"/>
      <c r="BB1" s="418"/>
      <c r="BC1" s="418"/>
      <c r="BD1" s="418"/>
      <c r="BE1" s="418"/>
      <c r="BF1" s="418"/>
      <c r="BG1" s="418"/>
      <c r="BH1" s="418"/>
      <c r="BI1" s="418"/>
      <c r="BJ1" s="418"/>
      <c r="BK1" s="418"/>
      <c r="BL1" s="418"/>
    </row>
    <row r="2" spans="1:64" ht="26.25" customHeight="1">
      <c r="A2" s="419" t="s">
        <v>805</v>
      </c>
      <c r="B2" s="419" t="s">
        <v>806</v>
      </c>
      <c r="C2" s="419" t="s">
        <v>550</v>
      </c>
      <c r="D2" s="411"/>
    </row>
    <row r="3" spans="1:64" ht="26.25" customHeight="1">
      <c r="A3" s="420" t="s">
        <v>807</v>
      </c>
      <c r="B3" s="421" t="str">
        <f t="array" ref="B3">_xll.RssIndexMarket("DJIA", "現在値")</f>
        <v/>
      </c>
      <c r="C3" s="421" t="str">
        <f t="array" ref="C3">_xll.RssIndexMarket("DJIA", "前日比率")</f>
        <v/>
      </c>
      <c r="I3" t="str">
        <f t="array" ref="I3">_xll.RssChartPast($I$4, "DJIA", "D", 20160310, 80)</f>
        <v>=RssChartPast($I$4, "DJIA", "D", 20160310, 80) =&gt; ヘッダー行に有効な項目名が存在しません。</v>
      </c>
    </row>
    <row r="4" spans="1:64" ht="26.25" customHeight="1">
      <c r="A4" s="422" t="s">
        <v>808</v>
      </c>
      <c r="B4" s="423"/>
      <c r="C4" s="423"/>
      <c r="I4" t="str" cm="1">
        <f t="array" ref="I4">_xll.RssChartPast($I$5:$J$5, "DJIA", "D", 20260310, 100)</f>
        <v>=RssChartPast($I$5:$J$5, "DJIA", "D", 20260310, 100) =&gt; マーケットスピード II にログインして「接続中」の状態に変更してから利用してください。</v>
      </c>
    </row>
    <row r="5" spans="1:64" ht="26.25" customHeight="1">
      <c r="A5" s="420" t="s">
        <v>809</v>
      </c>
      <c r="B5" s="421"/>
      <c r="C5" s="421"/>
      <c r="I5" t="s">
        <v>593</v>
      </c>
      <c r="J5" t="s">
        <v>595</v>
      </c>
    </row>
    <row r="6" spans="1:64" ht="26.25" customHeight="1">
      <c r="A6" s="422" t="s">
        <v>810</v>
      </c>
      <c r="B6" s="423"/>
      <c r="C6" s="423"/>
      <c r="I6" t="s">
        <v>1012</v>
      </c>
      <c r="J6">
        <v>47706.51</v>
      </c>
    </row>
    <row r="7" spans="1:64" ht="26.25" customHeight="1">
      <c r="A7" s="420" t="s">
        <v>811</v>
      </c>
      <c r="B7" s="421"/>
      <c r="C7" s="421"/>
      <c r="I7" t="s">
        <v>1013</v>
      </c>
      <c r="J7">
        <v>47417.27</v>
      </c>
    </row>
    <row r="8" spans="1:64" ht="26.25" customHeight="1">
      <c r="A8" s="422" t="s">
        <v>812</v>
      </c>
      <c r="B8" s="423"/>
      <c r="C8" s="423"/>
      <c r="I8" t="s">
        <v>1014</v>
      </c>
      <c r="J8">
        <v>46677.85</v>
      </c>
    </row>
    <row r="9" spans="1:64" ht="26.25" customHeight="1">
      <c r="A9" s="420" t="s">
        <v>813</v>
      </c>
      <c r="B9" s="421"/>
      <c r="C9" s="421"/>
      <c r="I9" t="s">
        <v>1015</v>
      </c>
      <c r="J9">
        <v>46558.47</v>
      </c>
    </row>
    <row r="10" spans="1:64" ht="26.25" customHeight="1">
      <c r="I10" t="s">
        <v>1016</v>
      </c>
      <c r="J10">
        <v>46946.41</v>
      </c>
    </row>
    <row r="11" spans="1:64" ht="26.25" customHeight="1">
      <c r="A11" s="412" t="s">
        <v>814</v>
      </c>
      <c r="B11" s="424"/>
      <c r="C11" s="424"/>
      <c r="D11" s="424"/>
      <c r="I11" t="s">
        <v>1017</v>
      </c>
      <c r="J11">
        <v>46993.26</v>
      </c>
    </row>
    <row r="12" spans="1:64" ht="26.25" customHeight="1">
      <c r="A12" s="413" t="s">
        <v>815</v>
      </c>
      <c r="I12" t="s">
        <v>1018</v>
      </c>
      <c r="J12">
        <v>46225.15</v>
      </c>
    </row>
    <row r="13" spans="1:64" ht="26.25" customHeight="1">
      <c r="A13" s="414" t="s">
        <v>816</v>
      </c>
      <c r="I13" t="s">
        <v>1019</v>
      </c>
      <c r="J13">
        <v>46021.43</v>
      </c>
    </row>
    <row r="14" spans="1:64" ht="26.25" customHeight="1">
      <c r="A14" s="415" t="s">
        <v>817</v>
      </c>
      <c r="I14" t="s">
        <v>1095</v>
      </c>
      <c r="J14">
        <v>45577.47</v>
      </c>
    </row>
    <row r="15" spans="1:64" ht="26.25" customHeight="1">
      <c r="A15" s="416" t="s">
        <v>818</v>
      </c>
      <c r="I15" t="s">
        <v>1020</v>
      </c>
      <c r="J15">
        <v>46208.47</v>
      </c>
    </row>
    <row r="16" spans="1:64" ht="26.25" customHeight="1">
      <c r="I16" t="s">
        <v>1021</v>
      </c>
      <c r="J16">
        <v>46124.06</v>
      </c>
    </row>
    <row r="17" spans="1:10" ht="26.25" customHeight="1">
      <c r="A17" s="417" t="s">
        <v>819</v>
      </c>
      <c r="B17" s="425"/>
      <c r="C17" s="425"/>
      <c r="D17" s="425"/>
      <c r="I17" t="s">
        <v>1022</v>
      </c>
      <c r="J17">
        <v>46429.49</v>
      </c>
    </row>
    <row r="18" spans="1:10" ht="26.25" customHeight="1">
      <c r="A18" t="s">
        <v>820</v>
      </c>
      <c r="I18" t="s">
        <v>1023</v>
      </c>
      <c r="J18">
        <v>45960.11</v>
      </c>
    </row>
    <row r="19" spans="1:10" ht="26.25" customHeight="1">
      <c r="A19" t="s">
        <v>821</v>
      </c>
      <c r="I19" t="s">
        <v>1024</v>
      </c>
      <c r="J19">
        <v>45166.64</v>
      </c>
    </row>
    <row r="20" spans="1:10" ht="26.25" customHeight="1">
      <c r="A20" t="s">
        <v>822</v>
      </c>
      <c r="I20" t="s">
        <v>1025</v>
      </c>
      <c r="J20">
        <v>45216.14</v>
      </c>
    </row>
    <row r="21" spans="1:10" ht="26.25" customHeight="1">
      <c r="I21" t="s">
        <v>1026</v>
      </c>
      <c r="J21">
        <v>46341.51</v>
      </c>
    </row>
    <row r="22" spans="1:10" ht="26.25" customHeight="1">
      <c r="I22" t="s">
        <v>1027</v>
      </c>
      <c r="J22">
        <v>46565.74</v>
      </c>
    </row>
    <row r="23" spans="1:10">
      <c r="I23" t="s">
        <v>1028</v>
      </c>
      <c r="J23">
        <v>46504.67</v>
      </c>
    </row>
    <row r="24" spans="1:10">
      <c r="I24" t="s">
        <v>1030</v>
      </c>
      <c r="J24">
        <v>46669.88</v>
      </c>
    </row>
    <row r="25" spans="1:10">
      <c r="I25" t="s">
        <v>1031</v>
      </c>
      <c r="J25">
        <v>46584.46</v>
      </c>
    </row>
    <row r="26" spans="1:10">
      <c r="I26" t="s">
        <v>1032</v>
      </c>
      <c r="J26">
        <v>47909.919999999998</v>
      </c>
    </row>
    <row r="27" spans="1:10">
      <c r="I27" t="s">
        <v>1033</v>
      </c>
      <c r="J27">
        <v>48185.8</v>
      </c>
    </row>
    <row r="28" spans="1:10">
      <c r="I28" t="s">
        <v>1034</v>
      </c>
      <c r="J28">
        <v>47916.57</v>
      </c>
    </row>
    <row r="29" spans="1:10">
      <c r="I29" t="s">
        <v>1035</v>
      </c>
      <c r="J29">
        <v>48218.25</v>
      </c>
    </row>
    <row r="30" spans="1:10">
      <c r="I30" t="s">
        <v>1036</v>
      </c>
      <c r="J30">
        <v>48535.99</v>
      </c>
    </row>
    <row r="31" spans="1:10">
      <c r="I31" t="s">
        <v>1037</v>
      </c>
      <c r="J31">
        <v>48463.72</v>
      </c>
    </row>
    <row r="32" spans="1:10">
      <c r="I32" t="s">
        <v>1038</v>
      </c>
      <c r="J32">
        <v>48578.720000000001</v>
      </c>
    </row>
    <row r="33" spans="9:10">
      <c r="I33" t="s">
        <v>1039</v>
      </c>
      <c r="J33">
        <v>49447.43</v>
      </c>
    </row>
    <row r="34" spans="9:10">
      <c r="I34" t="s">
        <v>1040</v>
      </c>
      <c r="J34">
        <v>49442.559999999998</v>
      </c>
    </row>
    <row r="35" spans="9:10">
      <c r="I35" t="s">
        <v>1041</v>
      </c>
      <c r="J35">
        <v>49149.38</v>
      </c>
    </row>
    <row r="36" spans="9:10">
      <c r="I36" t="s">
        <v>1042</v>
      </c>
      <c r="J36">
        <v>49490.03</v>
      </c>
    </row>
    <row r="37" spans="9:10">
      <c r="I37" t="s">
        <v>1043</v>
      </c>
      <c r="J37">
        <v>49310.32</v>
      </c>
    </row>
    <row r="38" spans="9:10">
      <c r="I38" t="s">
        <v>1044</v>
      </c>
      <c r="J38">
        <v>49230.71</v>
      </c>
    </row>
    <row r="39" spans="9:10">
      <c r="I39" t="s">
        <v>1045</v>
      </c>
      <c r="J39">
        <v>49167.79</v>
      </c>
    </row>
    <row r="40" spans="9:10">
      <c r="I40" t="s">
        <v>1046</v>
      </c>
      <c r="J40">
        <v>49141.93</v>
      </c>
    </row>
    <row r="41" spans="9:10">
      <c r="I41" t="s">
        <v>1096</v>
      </c>
      <c r="J41">
        <v>48861.81</v>
      </c>
    </row>
    <row r="42" spans="9:10">
      <c r="I42" t="s">
        <v>1047</v>
      </c>
      <c r="J42">
        <v>49652.14</v>
      </c>
    </row>
    <row r="43" spans="9:10">
      <c r="I43" t="s">
        <v>1048</v>
      </c>
      <c r="J43">
        <v>49499.27</v>
      </c>
    </row>
    <row r="44" spans="9:10">
      <c r="I44" t="s">
        <v>1097</v>
      </c>
      <c r="J44">
        <v>48941.9</v>
      </c>
    </row>
    <row r="45" spans="9:10">
      <c r="I45" t="s">
        <v>1098</v>
      </c>
      <c r="J45">
        <v>49298.25</v>
      </c>
    </row>
    <row r="46" spans="9:10">
      <c r="I46" t="s">
        <v>1099</v>
      </c>
      <c r="J46">
        <v>49910.59</v>
      </c>
    </row>
    <row r="47" spans="9:10">
      <c r="I47" t="s">
        <v>1049</v>
      </c>
      <c r="J47">
        <v>49596.97</v>
      </c>
    </row>
    <row r="48" spans="9:10">
      <c r="I48" t="s">
        <v>1050</v>
      </c>
      <c r="J48">
        <v>49609.16</v>
      </c>
    </row>
    <row r="49" spans="9:10">
      <c r="I49" t="s">
        <v>1051</v>
      </c>
      <c r="J49">
        <v>49704.47</v>
      </c>
    </row>
    <row r="50" spans="9:10">
      <c r="I50" t="s">
        <v>1052</v>
      </c>
      <c r="J50">
        <v>49760.56</v>
      </c>
    </row>
    <row r="51" spans="9:10">
      <c r="I51" t="s">
        <v>1053</v>
      </c>
      <c r="J51">
        <v>49693.2</v>
      </c>
    </row>
    <row r="52" spans="9:10">
      <c r="I52" t="s">
        <v>1054</v>
      </c>
      <c r="J52">
        <v>50063.46</v>
      </c>
    </row>
    <row r="53" spans="9:10">
      <c r="I53" t="s">
        <v>1055</v>
      </c>
      <c r="J53">
        <v>49526.17</v>
      </c>
    </row>
    <row r="54" spans="9:10">
      <c r="I54" t="s">
        <v>1056</v>
      </c>
      <c r="J54">
        <v>49686.12</v>
      </c>
    </row>
    <row r="55" spans="9:10">
      <c r="I55" t="s">
        <v>1057</v>
      </c>
      <c r="J55">
        <v>49363.88</v>
      </c>
    </row>
    <row r="56" spans="9:10">
      <c r="I56" t="s">
        <v>1058</v>
      </c>
      <c r="J56">
        <v>50009.35</v>
      </c>
    </row>
    <row r="57" spans="9:10">
      <c r="I57" t="s">
        <v>1059</v>
      </c>
      <c r="J57">
        <v>50285.66</v>
      </c>
    </row>
    <row r="58" spans="9:10">
      <c r="I58" t="s">
        <v>1060</v>
      </c>
      <c r="J58">
        <v>50579.7</v>
      </c>
    </row>
    <row r="59" spans="9:10">
      <c r="I59" t="s">
        <v>1062</v>
      </c>
      <c r="J59">
        <v>50461.68</v>
      </c>
    </row>
    <row r="60" spans="9:10">
      <c r="I60" t="s">
        <v>1063</v>
      </c>
      <c r="J60">
        <v>50644.28</v>
      </c>
    </row>
    <row r="61" spans="9:10">
      <c r="I61" t="s">
        <v>1064</v>
      </c>
      <c r="J61">
        <v>50668.97</v>
      </c>
    </row>
    <row r="62" spans="9:10">
      <c r="I62" t="s">
        <v>1065</v>
      </c>
      <c r="J62">
        <v>51032.46</v>
      </c>
    </row>
    <row r="63" spans="9:10">
      <c r="I63" t="s">
        <v>1066</v>
      </c>
      <c r="J63">
        <v>51078.879999999997</v>
      </c>
    </row>
    <row r="64" spans="9:10">
      <c r="I64" t="s">
        <v>1067</v>
      </c>
      <c r="J64">
        <v>51307.79</v>
      </c>
    </row>
    <row r="65" spans="9:10">
      <c r="I65" t="s">
        <v>1068</v>
      </c>
      <c r="J65">
        <v>50687.07</v>
      </c>
    </row>
    <row r="66" spans="9:10">
      <c r="I66" t="s">
        <v>1069</v>
      </c>
      <c r="J66">
        <v>51561.93</v>
      </c>
    </row>
    <row r="67" spans="9:10">
      <c r="I67" t="s">
        <v>1070</v>
      </c>
      <c r="J67">
        <v>50866.78</v>
      </c>
    </row>
    <row r="68" spans="9:10">
      <c r="I68" t="s">
        <v>1071</v>
      </c>
      <c r="J68">
        <v>50786.01</v>
      </c>
    </row>
    <row r="69" spans="9:10">
      <c r="I69" t="s">
        <v>1072</v>
      </c>
      <c r="J69">
        <v>50872.11</v>
      </c>
    </row>
    <row r="70" spans="9:10">
      <c r="I70" t="s">
        <v>1073</v>
      </c>
      <c r="J70">
        <v>49918.78</v>
      </c>
    </row>
    <row r="71" spans="9:10">
      <c r="I71" t="s">
        <v>1074</v>
      </c>
      <c r="J71">
        <v>50848.75</v>
      </c>
    </row>
    <row r="72" spans="9:10">
      <c r="I72" t="s">
        <v>1075</v>
      </c>
      <c r="J72">
        <v>51202.26</v>
      </c>
    </row>
    <row r="73" spans="9:10">
      <c r="I73" s="426" t="s">
        <v>1076</v>
      </c>
      <c r="J73" s="426">
        <v>51671.03</v>
      </c>
    </row>
    <row r="74" spans="9:10">
      <c r="I74" s="426" t="s">
        <v>1077</v>
      </c>
      <c r="J74" s="426">
        <v>51999.67</v>
      </c>
    </row>
    <row r="75" spans="9:10">
      <c r="I75" s="426" t="s">
        <v>1078</v>
      </c>
      <c r="J75" s="426">
        <v>51492.55</v>
      </c>
    </row>
    <row r="76" spans="9:10">
      <c r="I76" s="426" t="s">
        <v>1079</v>
      </c>
      <c r="J76" s="426">
        <v>51564.7</v>
      </c>
    </row>
    <row r="77" spans="9:10">
      <c r="I77" s="426" t="s">
        <v>1081</v>
      </c>
      <c r="J77" s="426">
        <v>51712.71</v>
      </c>
    </row>
    <row r="78" spans="9:10">
      <c r="I78" s="426" t="s">
        <v>1082</v>
      </c>
      <c r="J78" s="426">
        <v>51666.84</v>
      </c>
    </row>
    <row r="79" spans="9:10">
      <c r="I79" s="426" t="s">
        <v>1083</v>
      </c>
      <c r="J79" s="426">
        <v>51848.9</v>
      </c>
    </row>
    <row r="80" spans="9:10">
      <c r="I80" s="426" t="s">
        <v>1084</v>
      </c>
      <c r="J80" s="426">
        <v>51920.62</v>
      </c>
    </row>
    <row r="81" spans="9:10">
      <c r="I81" s="426" t="s">
        <v>1085</v>
      </c>
      <c r="J81" s="426">
        <v>51876.11</v>
      </c>
    </row>
    <row r="82" spans="9:10">
      <c r="I82" s="426" t="s">
        <v>1086</v>
      </c>
      <c r="J82" s="426">
        <v>52182.74</v>
      </c>
    </row>
    <row r="83" spans="9:10">
      <c r="I83" s="426" t="s">
        <v>1087</v>
      </c>
      <c r="J83" s="426">
        <v>52319.199999999997</v>
      </c>
    </row>
    <row r="84" spans="9:10">
      <c r="I84" t="s">
        <v>1088</v>
      </c>
      <c r="J84">
        <v>52305.24</v>
      </c>
    </row>
    <row r="85" spans="9:10">
      <c r="I85" s="426" t="s">
        <v>1089</v>
      </c>
      <c r="J85" s="426">
        <v>52900.07</v>
      </c>
    </row>
    <row r="86" spans="9:10">
      <c r="I86" s="426" t="s">
        <v>1091</v>
      </c>
      <c r="J86" s="426">
        <v>53055.91</v>
      </c>
    </row>
    <row r="87" spans="9:10">
      <c r="I87" s="426" t="s">
        <v>1092</v>
      </c>
      <c r="J87" s="426">
        <v>52925.15</v>
      </c>
    </row>
    <row r="88" spans="9:10">
      <c r="I88" s="426" t="s">
        <v>1093</v>
      </c>
      <c r="J88" s="426">
        <v>52348.39</v>
      </c>
    </row>
    <row r="89" spans="9:10">
      <c r="I89" s="426" t="s">
        <v>1094</v>
      </c>
      <c r="J89" s="426">
        <v>52487.41</v>
      </c>
    </row>
    <row r="90" spans="9:10">
      <c r="I90" s="426" t="s">
        <v>1100</v>
      </c>
      <c r="J90" s="426">
        <v>52637.01</v>
      </c>
    </row>
    <row r="91" spans="9:10">
      <c r="I91" s="426" t="s">
        <v>1104</v>
      </c>
      <c r="J91" s="426">
        <v>52498.64</v>
      </c>
    </row>
    <row r="92" spans="9:10">
      <c r="I92" s="426" t="s">
        <v>1106</v>
      </c>
      <c r="J92" s="426">
        <v>52508.27</v>
      </c>
    </row>
    <row r="93" spans="9:10">
      <c r="I93" s="426" t="s">
        <v>1143</v>
      </c>
      <c r="J93" s="426">
        <v>52658.64</v>
      </c>
    </row>
    <row r="94" spans="9:10">
      <c r="I94" s="426" t="s">
        <v>1149</v>
      </c>
      <c r="J94" s="426">
        <v>52552.97</v>
      </c>
    </row>
    <row r="95" spans="9:10">
      <c r="I95" s="426" t="s">
        <v>881</v>
      </c>
      <c r="J95" s="426" t="s">
        <v>881</v>
      </c>
    </row>
  </sheetData>
  <phoneticPr fontId="16"/>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theme="0" tint="-0.499984740745262"/>
  </sheetPr>
  <dimension ref="A1"/>
  <sheetViews>
    <sheetView workbookViewId="0">
      <selection activeCell="Q63" sqref="Q63"/>
    </sheetView>
  </sheetViews>
  <sheetFormatPr defaultRowHeight="13.2"/>
  <sheetData/>
  <phoneticPr fontId="16"/>
  <pageMargins left="0.7" right="0.7" top="0.75" bottom="0.75" header="0.3" footer="0.3"/>
  <pageSetup paperSize="9" orientation="portrait" horizontalDpi="0" verticalDpi="0" r:id="rId1"/>
</worksheet>
</file>

<file path=xl/worksheets/sheet20.xml><?xml version="1.0" encoding="utf-8"?>
<worksheet xmlns="http://schemas.openxmlformats.org/spreadsheetml/2006/main" xmlns:r="http://schemas.openxmlformats.org/officeDocument/2006/relationships">
  <dimension ref="A1:G25"/>
  <sheetViews>
    <sheetView showGridLines="0" workbookViewId="0"/>
  </sheetViews>
  <sheetFormatPr defaultRowHeight="15"/>
  <cols>
    <col min="1" max="1" width="3.0" customWidth="1"/>
    <col min="2" max="2" width="26.0" customWidth="1"/>
    <col min="3" max="3" width="30.0" customWidth="1"/>
    <col min="4" max="4" width="26.0" customWidth="1"/>
    <col min="5" max="5" width="22.0" customWidth="1"/>
    <col min="6" max="6" width="22.0" customWidth="1"/>
    <col min="7" max="7" width="20.0" customWidth="1"/>
  </cols>
  <sheetData>
    <row r="1">
      <c r="B1" s="675" t="inlineStr">
        <is>
          <t xml:space="preserve">📘 ボリンジャーバンド投資シート ― 使い方と戦略</t>
        </is>
      </c>
    </row>
    <row r="2">
      <c r="B2" s="679" t="inlineStr">
        <is>
          <t xml:space="preserve">このブックは既存の楽天RSS株価管理システムに「ボリンジャーバンド(SMA20・±1σ/±2σ)」の</t>
        </is>
      </c>
    </row>
    <row r="3">
      <c r="B3" s="679" t="inlineStr">
        <is>
          <t xml:space="preserve">買い候補スクリーニング／バックテストを追加したものです。既存シートは一切変更していません。</t>
        </is>
      </c>
    </row>
    <row r="5">
      <c r="B5" s="691" t="inlineStr">
        <is>
          <t xml:space="preserve">■ シートの使い方</t>
        </is>
      </c>
    </row>
    <row r="6">
      <c r="B6" s="680" t="inlineStr">
        <is>
          <t xml:space="preserve">① 楽天RSS(マーケットスピードII RSS)を起動し、いつも通り「終値/高値/安値/出来高」シートを最新化する。</t>
        </is>
      </c>
    </row>
    <row r="7">
      <c r="B7" s="680" t="inlineStr">
        <is>
          <t xml:space="preserve">② 自動再計算(F9)後、「BBスクリーニング」シートを開く。全銘柄のバンド・シグナルが自動計算される。</t>
        </is>
      </c>
    </row>
    <row r="8">
      <c r="B8" s="680" t="inlineStr">
        <is>
          <t xml:space="preserve">③ 「スコア」列で降順に並べ替え、または「BB買い候補TOP」シートで上位30銘柄を確認する。</t>
        </is>
      </c>
    </row>
    <row r="9">
      <c r="B9" s="680" t="inlineStr">
        <is>
          <t xml:space="preserve">④ 「戦略シグナル」列が ◎○△ の銘柄を候補とし、利確(+1σ)・損切り(ミドル)ラインを確認する。</t>
        </is>
      </c>
    </row>
    <row r="10">
      <c r="B10" s="680" t="inlineStr">
        <is>
          <t xml:space="preserve">⑤ 「BBバックテスト」シートに銘柄コードを入れると、その銘柄の過去検証(勝率・損益)が出る。</t>
        </is>
      </c>
    </row>
    <row r="11">
      <c r="B11" s="680" t="inlineStr">
        <is>
          <t xml:space="preserve">⑥ 数値のしきい値は「BB設定」シートの青字セルで変更できる。</t>
        </is>
      </c>
    </row>
    <row r="13">
      <c r="B13" s="691" t="inlineStr">
        <is>
          <t xml:space="preserve">■ 戦略サマリー表（動画の手法をシート化）</t>
        </is>
      </c>
    </row>
    <row r="14">
      <c r="B14" s="676" t="inlineStr">
        <is>
          <t xml:space="preserve">戦略</t>
        </is>
      </c>
      <c r="C14" s="676" t="inlineStr">
        <is>
          <t xml:space="preserve">エントリー条件</t>
        </is>
      </c>
      <c r="D14" s="676" t="inlineStr">
        <is>
          <t xml:space="preserve">確認フィルター</t>
        </is>
      </c>
      <c r="E14" s="676" t="inlineStr">
        <is>
          <t xml:space="preserve">利確</t>
        </is>
      </c>
      <c r="F14" s="676" t="inlineStr">
        <is>
          <t xml:space="preserve">損切り</t>
        </is>
      </c>
      <c r="G14" s="676" t="inlineStr">
        <is>
          <t xml:space="preserve">使用指標</t>
        </is>
      </c>
    </row>
    <row r="15">
      <c r="B15" s="680" t="inlineStr">
        <is>
          <t xml:space="preserve">①スクイーズブレイク</t>
        </is>
      </c>
      <c r="C15" s="680" t="inlineStr">
        <is>
          <t xml:space="preserve">帯幅が歴史的低水準→終値が+2σを実体で突破</t>
        </is>
      </c>
      <c r="D15" s="680" t="inlineStr">
        <is>
          <t xml:space="preserve">帯幅が拡大に転換／ダマシ回避</t>
        </is>
      </c>
      <c r="E15" s="680" t="inlineStr">
        <is>
          <t xml:space="preserve">+1σを実体割れ</t>
        </is>
      </c>
      <c r="F15" s="680" t="inlineStr">
        <is>
          <t xml:space="preserve">ミドル(SMA)割れ</t>
        </is>
      </c>
      <c r="G15" s="680" t="inlineStr">
        <is>
          <t xml:space="preserve">帯幅・SMA・±2σ</t>
        </is>
      </c>
    </row>
    <row r="16">
      <c r="B16" s="680" t="inlineStr">
        <is>
          <t xml:space="preserve">②トレンドフォロー
(バンドウォーク)</t>
        </is>
      </c>
      <c r="C16" s="680" t="inlineStr">
        <is>
          <t xml:space="preserve">終値が+1σ以上を上方に歩く</t>
        </is>
      </c>
      <c r="D16" s="680" t="inlineStr">
        <is>
          <t xml:space="preserve">MFI≥80(資金流入強)。逆らわず押し目買い</t>
        </is>
      </c>
      <c r="E16" s="680" t="inlineStr">
        <is>
          <t xml:space="preserve">+1σ実体割れ</t>
        </is>
      </c>
      <c r="F16" s="680" t="inlineStr">
        <is>
          <t xml:space="preserve">ミドル／直近安値割れ</t>
        </is>
      </c>
      <c r="G16" s="680" t="inlineStr">
        <is>
          <t xml:space="preserve">±1σ・MFI・SMA</t>
        </is>
      </c>
    </row>
    <row r="17">
      <c r="B17" s="680" t="inlineStr">
        <is>
          <t xml:space="preserve">③ダブルトップ/ボトム
(厳密スイング検出)</t>
        </is>
      </c>
      <c r="C17" s="680" t="inlineStr">
        <is>
          <t xml:space="preserve">フラクタル(前後2本)で2つの谷/山を検出
→同水準＋間に戻り＝W/M型</t>
        </is>
      </c>
      <c r="D17" s="680" t="inlineStr">
        <is>
          <t xml:space="preserve">1回目バンド外→2回目バンド内を自動判定
ネックライン上抜け/下抜けで「確」</t>
        </is>
      </c>
      <c r="E17" s="680" t="inlineStr">
        <is>
          <t xml:space="preserve">ネックライン到達</t>
        </is>
      </c>
      <c r="F17" s="680" t="inlineStr">
        <is>
          <t xml:space="preserve">直近安値割れ</t>
        </is>
      </c>
      <c r="G17" s="680" t="inlineStr">
        <is>
          <t xml:space="preserve">スイング・±2σ</t>
        </is>
      </c>
    </row>
    <row r="18">
      <c r="B18" s="680" t="inlineStr">
        <is>
          <t xml:space="preserve">④ダイバージェンス</t>
        </is>
      </c>
      <c r="C18" s="680" t="inlineStr">
        <is>
          <t xml:space="preserve">価格は安値更新もRSIは切上げ</t>
        </is>
      </c>
      <c r="D18" s="680" t="inlineStr">
        <is>
          <t xml:space="preserve">ミドルライン上抜けでエントリー</t>
        </is>
      </c>
      <c r="E18" s="680" t="inlineStr">
        <is>
          <t xml:space="preserve">+1σ／+2σ目標</t>
        </is>
      </c>
      <c r="F18" s="680" t="inlineStr">
        <is>
          <t xml:space="preserve">直近安値割れ</t>
        </is>
      </c>
      <c r="G18" s="680" t="inlineStr">
        <is>
          <t xml:space="preserve">RSI・SMA</t>
        </is>
      </c>
    </row>
    <row r="19">
      <c r="B19" s="680" t="inlineStr">
        <is>
          <t xml:space="preserve">利確・損切り原則</t>
        </is>
      </c>
      <c r="C19" s="680" t="inlineStr">
        <is>
          <t xml:space="preserve">強いトレンドは+1σ〜+2σを歩く(バンドウォーク)</t>
        </is>
      </c>
      <c r="D19" s="680" t="inlineStr">
        <is>
          <t xml:space="preserve">+1σを実体で割ったら「宴の終わり」</t>
        </is>
      </c>
      <c r="E19" s="680" t="inlineStr">
        <is>
          <t xml:space="preserve">+1σ割れで決済</t>
        </is>
      </c>
      <c r="F19" s="680" t="inlineStr">
        <is>
          <t xml:space="preserve">ミドル or 直近安値割れ</t>
        </is>
      </c>
      <c r="G19" s="680" t="inlineStr">
        <is>
          <t xml:space="preserve">±1σ・SMA</t>
        </is>
      </c>
    </row>
    <row r="21">
      <c r="B21" s="679" t="inlineStr">
        <is>
          <t xml:space="preserve">※ 移動平均は必ず SMA（単純移動平均）を使用しています（期間20日）。σは母標準偏差(STDEVP)。</t>
        </is>
      </c>
    </row>
    <row r="22">
      <c r="B22" s="679" t="inlineStr">
        <is>
          <t xml:space="preserve">※ スクイーズ=帯幅が過去40日の最小付近。ダイバージェンス=10日前とRSIを比較して逆行を検出。</t>
        </is>
      </c>
    </row>
    <row r="23">
      <c r="B23" s="679" t="inlineStr">
        <is>
          <t xml:space="preserve">※ データはすべて既存の終値/高値/安値/出来高シート（楽天RSS取得）を参照。二重入力は不要です。</t>
        </is>
      </c>
    </row>
    <row r="24">
      <c r="B24" s="679" t="inlineStr">
        <is>
          <t xml:space="preserve">※ バックテストは履歴の範囲（最大100日、履歴が増えるほど自動で検証期間も延びます）。</t>
        </is>
      </c>
    </row>
    <row r="25">
      <c r="B25" s="679" t="inlineStr">
        <is>
          <t xml:space="preserve">※ 本シートは投資助言ではありません。最終判断はご自身で行ってください。</t>
        </is>
      </c>
    </row>
  </sheetData>
  <mergeCells count="16">
    <mergeCell ref="B1:G1"/>
    <mergeCell ref="B2:G2"/>
    <mergeCell ref="B3:G3"/>
    <mergeCell ref="B5:G5"/>
    <mergeCell ref="B6:G6"/>
    <mergeCell ref="B7:G7"/>
    <mergeCell ref="B8:G8"/>
    <mergeCell ref="B9:G9"/>
    <mergeCell ref="B10:G10"/>
    <mergeCell ref="B11:G11"/>
    <mergeCell ref="B13:G13"/>
    <mergeCell ref="B21:G21"/>
    <mergeCell ref="B22:G22"/>
    <mergeCell ref="B23:G23"/>
    <mergeCell ref="B24:G24"/>
    <mergeCell ref="B25:G25"/>
  </mergeCells>
  <pageMargins left="0.4" right="0.4" top="0.4" bottom="0.4" header="0.2" footer="0.2"/>
</worksheet>
</file>

<file path=xl/worksheets/sheet21.xml><?xml version="1.0" encoding="utf-8"?>
<worksheet xmlns="http://schemas.openxmlformats.org/spreadsheetml/2006/main" xmlns:r="http://schemas.openxmlformats.org/officeDocument/2006/relationships">
  <dimension ref="A1:C23"/>
  <sheetViews>
    <sheetView showGridLines="0" workbookViewId="0"/>
  </sheetViews>
  <sheetFormatPr defaultRowHeight="15"/>
  <cols>
    <col min="1" max="1" width="26.0" customWidth="1"/>
    <col min="2" max="2" width="10.0" customWidth="1"/>
    <col min="3" max="3" width="52.0" customWidth="1"/>
  </cols>
  <sheetData>
    <row r="1">
      <c r="A1" s="675" t="inlineStr">
        <is>
          <t xml:space="preserve">⚙ ボリンジャーバンド設定（青字セル＝変更可）</t>
        </is>
      </c>
    </row>
    <row r="3">
      <c r="A3" s="676" t="inlineStr">
        <is>
          <t xml:space="preserve">項目</t>
        </is>
      </c>
      <c r="B3" s="676" t="inlineStr">
        <is>
          <t xml:space="preserve">値</t>
        </is>
      </c>
      <c r="C3" s="676" t="inlineStr">
        <is>
          <t xml:space="preserve">説明</t>
        </is>
      </c>
    </row>
    <row r="4">
      <c r="A4" s="692" t="inlineStr">
        <is>
          <t xml:space="preserve">外側バンド σ倍率</t>
        </is>
      </c>
      <c r="B4" s="678">
        <v>2</v>
      </c>
      <c r="C4" s="680" t="inlineStr">
        <is>
          <t xml:space="preserve">±2σ。ボリンジャーバンドの外側。ブレイク判定に使用</t>
        </is>
      </c>
    </row>
    <row r="5">
      <c r="A5" s="692" t="inlineStr">
        <is>
          <t xml:space="preserve">内側バンド σ倍率</t>
        </is>
      </c>
      <c r="B5" s="678">
        <v>1</v>
      </c>
      <c r="C5" s="680" t="inlineStr">
        <is>
          <t xml:space="preserve">±1σ。利確ライン・バンドウォーク判定に使用</t>
        </is>
      </c>
    </row>
    <row r="6">
      <c r="A6" s="692" t="inlineStr">
        <is>
          <t xml:space="preserve">SMA期間（固定20）</t>
        </is>
      </c>
      <c r="B6" s="681">
        <v>20</v>
      </c>
      <c r="C6" s="680" t="inlineStr">
        <is>
          <t xml:space="preserve">単純移動平均SMAの期間。式はE:X=20日で固定 ※SMA使用</t>
        </is>
      </c>
    </row>
    <row r="7">
      <c r="A7" s="692" t="inlineStr">
        <is>
          <t xml:space="preserve">スクイーズ許容係数</t>
        </is>
      </c>
      <c r="B7" s="678">
        <v>1.1</v>
      </c>
      <c r="C7" s="680" t="inlineStr">
        <is>
          <t xml:space="preserve">帯幅 ≤ 過去40日最小×この値 でスクイーズ判定</t>
        </is>
      </c>
    </row>
    <row r="8">
      <c r="A8" s="692" t="inlineStr">
        <is>
          <t xml:space="preserve">スクイーズ履歴（固定40）</t>
        </is>
      </c>
      <c r="B8" s="681">
        <v>40</v>
      </c>
      <c r="C8" s="680" t="inlineStr">
        <is>
          <t xml:space="preserve">帯幅の最小を探す期間（式で固定）</t>
        </is>
      </c>
    </row>
    <row r="9">
      <c r="A9" s="692" t="inlineStr">
        <is>
          <t xml:space="preserve">RSI/MFI期間（固定14）</t>
        </is>
      </c>
      <c r="B9" s="681">
        <v>14</v>
      </c>
      <c r="C9" s="680" t="inlineStr">
        <is>
          <t xml:space="preserve">RSI・MFIの期間。式はE:R=14で固定</t>
        </is>
      </c>
    </row>
    <row r="10">
      <c r="A10" s="692" t="inlineStr">
        <is>
          <t xml:space="preserve">MFI強気しきい値</t>
        </is>
      </c>
      <c r="B10" s="678">
        <v>80</v>
      </c>
      <c r="C10" s="680" t="inlineStr">
        <is>
          <t xml:space="preserve">MFIがこの値以上＝資金流入が強い→順張り継続</t>
        </is>
      </c>
    </row>
    <row r="11">
      <c r="A11" s="692" t="inlineStr">
        <is>
          <t xml:space="preserve">ダイバージェンス比較（固定10）</t>
        </is>
      </c>
      <c r="B11" s="681">
        <v>10</v>
      </c>
      <c r="C11" s="680" t="inlineStr">
        <is>
          <t xml:space="preserve">10日前とRSIを比較して逆行を検出</t>
        </is>
      </c>
    </row>
    <row r="12">
      <c r="A12" s="692" t="inlineStr">
        <is>
          <t xml:space="preserve">二番底/天井 価格許容</t>
        </is>
      </c>
      <c r="B12" s="678">
        <v>0.05</v>
      </c>
      <c r="C12" s="680" t="inlineStr">
        <is>
          <t xml:space="preserve">2つのスイング安値(高値)の価格差がこの割合以内なら「同水準」</t>
        </is>
      </c>
    </row>
    <row r="13">
      <c r="A13" s="692" t="inlineStr">
        <is>
          <t xml:space="preserve">ネックライン戻り</t>
        </is>
      </c>
      <c r="B13" s="678">
        <v>0.03</v>
      </c>
      <c r="C13" s="680" t="inlineStr">
        <is>
          <t xml:space="preserve">2つの谷(山)の間の戻りがこの割合以上でW/M型と判定</t>
        </is>
      </c>
    </row>
    <row r="15">
      <c r="A15" s="691" t="inlineStr">
        <is>
          <t xml:space="preserve">■ シグナル凡例</t>
        </is>
      </c>
    </row>
    <row r="16">
      <c r="A16" s="690" t="inlineStr">
        <is>
          <t xml:space="preserve">◎スクイーズブレイク買</t>
        </is>
      </c>
      <c r="B16" s="681" t="inlineStr">
        <is>
          <t xml:space="preserve">→</t>
        </is>
      </c>
      <c r="C16" s="680" t="inlineStr">
        <is>
          <t xml:space="preserve">帯幅最小圏→+2σ突破＆帯拡大。最も強い買いサイン</t>
        </is>
      </c>
    </row>
    <row r="17">
      <c r="A17" s="690" t="inlineStr">
        <is>
          <t xml:space="preserve">○順張り継続(walk)</t>
        </is>
      </c>
      <c r="B17" s="681" t="inlineStr">
        <is>
          <t xml:space="preserve">→</t>
        </is>
      </c>
      <c r="C17" s="680" t="inlineStr">
        <is>
          <t xml:space="preserve">+1σ以上でMFI≥80。トレンドに乗る</t>
        </is>
      </c>
    </row>
    <row r="18">
      <c r="A18" s="690" t="inlineStr">
        <is>
          <t xml:space="preserve">○反発(ダイバ)買</t>
        </is>
      </c>
      <c r="B18" s="681" t="inlineStr">
        <is>
          <t xml:space="preserve">→</t>
        </is>
      </c>
      <c r="C18" s="680" t="inlineStr">
        <is>
          <t xml:space="preserve">強気ダイバージェンス＆-1σ回復。下落エネルギー切れ</t>
        </is>
      </c>
    </row>
    <row r="19">
      <c r="A19" s="690" t="inlineStr">
        <is>
          <t xml:space="preserve">△二番底買(確)</t>
        </is>
      </c>
      <c r="B19" s="681" t="inlineStr">
        <is>
          <t xml:space="preserve">→</t>
        </is>
      </c>
      <c r="C19" s="680" t="inlineStr">
        <is>
          <t xml:space="preserve">厳密スイング検出のW型＋ネックライン上抜け/バンド内復帰。反転狙い</t>
        </is>
      </c>
    </row>
    <row r="20">
      <c r="A20" s="690" t="inlineStr">
        <is>
          <t xml:space="preserve">△二番底形成</t>
        </is>
      </c>
      <c r="B20" s="681" t="inlineStr">
        <is>
          <t xml:space="preserve">→</t>
        </is>
      </c>
      <c r="C20" s="680" t="inlineStr">
        <is>
          <t xml:space="preserve">W型は成立、ネックライン未上抜け。ブレイク待ち</t>
        </is>
      </c>
    </row>
    <row r="21">
      <c r="A21" s="690" t="inlineStr">
        <is>
          <t xml:space="preserve">☆スクイーズ監視</t>
        </is>
      </c>
      <c r="B21" s="681" t="inlineStr">
        <is>
          <t xml:space="preserve">→</t>
        </is>
      </c>
      <c r="C21" s="680" t="inlineStr">
        <is>
          <t xml:space="preserve">帯幅が最小圏。ブレイク待ちの監視銘柄</t>
        </is>
      </c>
    </row>
    <row r="22">
      <c r="A22" s="690" t="inlineStr">
        <is>
          <t xml:space="preserve">・押し目注目</t>
        </is>
      </c>
      <c r="B22" s="681" t="inlineStr">
        <is>
          <t xml:space="preserve">→</t>
        </is>
      </c>
      <c r="C22" s="680" t="inlineStr">
        <is>
          <t xml:space="preserve">ミドル上で%B&lt;0.6・MFI≥50。押し目買い候補</t>
        </is>
      </c>
    </row>
    <row r="23">
      <c r="A23" s="690" t="inlineStr">
        <is>
          <t xml:space="preserve">▼-2σ割れ危険</t>
        </is>
      </c>
      <c r="B23" s="681" t="inlineStr">
        <is>
          <t xml:space="preserve">→</t>
        </is>
      </c>
      <c r="C23" s="680" t="inlineStr">
        <is>
          <t xml:space="preserve">-2σ割れ。下落継続の警戒</t>
        </is>
      </c>
    </row>
  </sheetData>
  <mergeCells count="2">
    <mergeCell ref="A1:C1"/>
    <mergeCell ref="A15:C15"/>
  </mergeCells>
  <pageMargins left="0.4" right="0.4" top="0.4" bottom="0.4" header="0.2" footer="0.2"/>
</worksheet>
</file>

<file path=xl/worksheets/sheet22.xml><?xml version="1.0" encoding="utf-8"?>
<worksheet xmlns="http://schemas.openxmlformats.org/spreadsheetml/2006/main" xmlns:r="http://schemas.openxmlformats.org/officeDocument/2006/relationships">
  <dimension ref="A1:AE405"/>
  <sheetViews>
    <sheetView showGridLines="0" workbookViewId="0">
      <pane xSplit="3" ySplit="5" topLeftCell="D6" activePane="bottomRight" state="frozen"/>
      <selection pane="bottomRight" activeCell="D6" sqref="D6"/>
    </sheetView>
  </sheetViews>
  <sheetFormatPr defaultRowHeight="15"/>
  <cols>
    <col min="1" max="1" width="4.0" customWidth="1"/>
    <col min="2" max="2" width="6.0" customWidth="1"/>
    <col min="3" max="3" width="14.0" customWidth="1"/>
    <col min="4" max="10" width="8.5" customWidth="1"/>
    <col min="11" max="11" width="6.0" customWidth="1"/>
    <col min="12" max="13" width="8.0" customWidth="1"/>
    <col min="14" max="14" width="10.0" customWidth="1"/>
    <col min="15" max="15" width="7.0" customWidth="1"/>
    <col min="16" max="16" width="9.0" customWidth="1"/>
    <col min="17" max="18" width="6.0" customWidth="1"/>
    <col min="19" max="19" width="10.0" customWidth="1"/>
    <col min="20" max="20" width="9.0" customWidth="1"/>
    <col min="21" max="21" width="11.0" customWidth="1"/>
    <col min="22" max="22" width="6.0" customWidth="1"/>
    <col min="23" max="23" width="19.0" customWidth="1"/>
    <col min="24" max="24" width="6.0" customWidth="1"/>
    <col min="25" max="28" width="8.0" customWidth="1"/>
    <col min="29" max="29" width="6.0" customWidth="1"/>
    <col min="30" max="30" width="8.0" customWidth="1"/>
    <col min="31" max="31" width="10.0" customWidth="1" hidden="1"/>
  </cols>
  <sheetData>
    <row r="1">
      <c r="A1" s="675" t="inlineStr">
        <is>
          <t xml:space="preserve">📊 ボリンジャーバンド 買い候補スクリーニング（SMA20・±1σ/±2σ）</t>
        </is>
      </c>
    </row>
    <row r="2">
      <c r="A2" s="679" t="inlineStr">
        <is>
          <t xml:space="preserve">終値シートの最新終値を基準に自動計算。スコア降順に並べ替え、または「BB買い候補TOP」を参照。</t>
        </is>
      </c>
    </row>
    <row r="3">
      <c r="A3" s="679" t="inlineStr">
        <is>
          <t xml:space="preserve">◎スクイーズブレイク ○順張り/反発 △二番底 ☆スクイーズ監視 ・押し目 ▼危険（凡例はBB設定シート）</t>
        </is>
      </c>
    </row>
    <row r="5">
      <c r="A5" s="676" t="inlineStr">
        <is>
          <t xml:space="preserve">🔗</t>
        </is>
      </c>
      <c r="B5" s="676" t="inlineStr">
        <is>
          <t xml:space="preserve">コード</t>
        </is>
      </c>
      <c r="C5" s="676" t="inlineStr">
        <is>
          <t xml:space="preserve">銘柄名</t>
        </is>
      </c>
      <c r="D5" s="676" t="inlineStr">
        <is>
          <t xml:space="preserve">現在値</t>
        </is>
      </c>
      <c r="E5" s="676" t="inlineStr">
        <is>
          <t xml:space="preserve">SMA20
ミドル</t>
        </is>
      </c>
      <c r="F5" s="676" t="inlineStr">
        <is>
          <t xml:space="preserve">σ</t>
        </is>
      </c>
      <c r="G5" s="676" t="inlineStr">
        <is>
          <t xml:space="preserve">+2σ</t>
        </is>
      </c>
      <c r="H5" s="676" t="inlineStr">
        <is>
          <t xml:space="preserve">+1σ</t>
        </is>
      </c>
      <c r="I5" s="676" t="inlineStr">
        <is>
          <t xml:space="preserve">-1σ</t>
        </is>
      </c>
      <c r="J5" s="676" t="inlineStr">
        <is>
          <t xml:space="preserve">-2σ</t>
        </is>
      </c>
      <c r="K5" s="676" t="inlineStr">
        <is>
          <t xml:space="preserve">%B</t>
        </is>
      </c>
      <c r="L5" s="676" t="inlineStr">
        <is>
          <t xml:space="preserve">帯幅%</t>
        </is>
      </c>
      <c r="M5" s="676" t="inlineStr">
        <is>
          <t xml:space="preserve">帯幅25日
最小%</t>
        </is>
      </c>
      <c r="N5" s="676" t="inlineStr">
        <is>
          <t xml:space="preserve">スクイーズ</t>
        </is>
      </c>
      <c r="O5" s="676" t="inlineStr">
        <is>
          <t xml:space="preserve">帯拡大</t>
        </is>
      </c>
      <c r="P5" s="676" t="inlineStr">
        <is>
          <t xml:space="preserve">ブレイク</t>
        </is>
      </c>
      <c r="Q5" s="676" t="inlineStr">
        <is>
          <t xml:space="preserve">RSI14</t>
        </is>
      </c>
      <c r="R5" s="676" t="inlineStr">
        <is>
          <t xml:space="preserve">MFI14</t>
        </is>
      </c>
      <c r="S5" s="676" t="inlineStr">
        <is>
          <t xml:space="preserve">ダイバー
ジェンス</t>
        </is>
      </c>
      <c r="T5" s="676" t="inlineStr">
        <is>
          <t xml:space="preserve">バンド
ウォーク</t>
        </is>
      </c>
      <c r="U5" s="676" t="inlineStr">
        <is>
          <t xml:space="preserve">二番底/天井</t>
        </is>
      </c>
      <c r="V5" s="676" t="inlineStr">
        <is>
          <t xml:space="preserve">出来高
倍率</t>
        </is>
      </c>
      <c r="W5" s="676" t="inlineStr">
        <is>
          <t xml:space="preserve">戦略シグナル</t>
        </is>
      </c>
      <c r="X5" s="676" t="inlineStr">
        <is>
          <t xml:space="preserve">スコア</t>
        </is>
      </c>
      <c r="Y5" s="676" t="inlineStr">
        <is>
          <t xml:space="preserve">エントリー
目安</t>
        </is>
      </c>
      <c r="Z5" s="676" t="inlineStr">
        <is>
          <t xml:space="preserve">利確
(+1σ)</t>
        </is>
      </c>
      <c r="AA5" s="676" t="inlineStr">
        <is>
          <t xml:space="preserve">損切り
(ミドル)</t>
        </is>
      </c>
      <c r="AB5" s="676" t="inlineStr">
        <is>
          <t xml:space="preserve">目標
(+2σ)</t>
        </is>
      </c>
      <c r="AC5" s="676" t="inlineStr">
        <is>
          <t xml:space="preserve">R:R</t>
        </is>
      </c>
      <c r="AD5" s="676" t="inlineStr">
        <is>
          <t xml:space="preserve">直近5日
安値</t>
        </is>
      </c>
      <c r="AE5" s="676" t="inlineStr">
        <is>
          <t xml:space="preserve">sortkey</t>
        </is>
      </c>
    </row>
    <row r="6">
      <c r="A6" s="681">
        <f>IF(終値!A6="","",HYPERLINK("https://kabutan.jp/stock/?code="&amp;終値!A6,"📈"))</f>
      </c>
      <c r="B6" s="681">
        <f>IF(終値!A6="","",終値!A6)</f>
      </c>
      <c r="C6" s="680">
        <f>IF(終値!A6="","",終値!B6)</f>
      </c>
      <c r="D6" s="682">
        <f>IF(終値!A6="","",終値!E6)</f>
      </c>
      <c r="E6" s="682">
        <f>IF($D6="","",AVERAGE(終値!E6:X6))</f>
      </c>
      <c r="F6" s="683">
        <f>IF($D6="","",STDEVP(終値!E6:X6))</f>
      </c>
      <c r="G6" s="682">
        <f>IF($D6="","",$E6+BB設定!$B$4*$F6)</f>
      </c>
      <c r="H6" s="682">
        <f>IF($D6="","",$E6+BB設定!$B$5*$F6)</f>
      </c>
      <c r="I6" s="682">
        <f>IF($D6="","",$E6-BB設定!$B$5*$F6)</f>
      </c>
      <c r="J6" s="682">
        <f>IF($D6="","",$E6-BB設定!$B$4*$F6)</f>
      </c>
      <c r="K6" s="687">
        <f>IF($D6="","",IFERROR(($D6-$J6)/($G6-$J6),""))</f>
      </c>
      <c r="L6" s="686">
        <f>IF($D6="","",IFERROR(($G6-$J6)/$E6*100,""))</f>
      </c>
      <c r="M6" s="686">
        <f>IF($D6="","",IFERROR(MIN(BB_帯幅!B6:AP6)*100,""))</f>
      </c>
      <c r="N6" s="681">
        <f>IF($L6="","",IF($L6&lt;=$M6*BB設定!$B$7,"スクイーズ★",IF($L6&lt;=$M6*1.3,"収縮","－")))</f>
      </c>
      <c r="O6" s="681">
        <f>IF($D6="","",IF($L6&gt;(4*STDEVP(終値!F6:Y6)/AVERAGE(終値!F6:Y6)*100),"拡大↑","縮小↓"))</f>
      </c>
      <c r="P6" s="681">
        <f>IF($D6="","",IF($D6&gt;$G6,"↑+2σ突破",IF($D6&lt;$J6,"↓-2σ割れ",IF($D6&gt;$H6,"+1σ上",IF($D6&lt;$I6,"-1σ下","バンド内")))))</f>
      </c>
      <c r="Q6" s="684">
        <f>IF($D6="","",IFERROR(100-100/(1+SUMPRODUCT((終値!E6:R6&gt;終値!F6:S6)*(終値!E6:R6-終値!F6:S6))/SUMPRODUCT((終値!E6:R6&lt;終値!F6:S6)*(終値!F6:S6-終値!E6:R6))),100))</f>
      </c>
      <c r="R6" s="684">
        <f>IF($D6="","",IFERROR(100-100/(1+SUMPRODUCT((((高値!E6:R6+安値!E6:R6+終値!E6:R6)/3)&gt;((高値!F6:S6+安値!F6:S6+終値!F6:S6)/3))*((高値!E6:R6+安値!E6:R6+終値!E6:R6)/3)*出来高!E6:R6)/SUMPRODUCT((((高値!E6:R6+安値!E6:R6+終値!E6:R6)/3)&lt;((高値!F6:S6+安値!F6:S6+終値!F6:S6)/3))*((高値!E6:R6+安値!E6:R6+終値!E6:R6)/3)*出来高!E6:R6)),50))</f>
      </c>
      <c r="S6" s="681">
        <f>IF($D6="","",IF(AND(終値!E6&lt;終値!O6,$Q6&gt;(IFERROR(100-100/(1+SUMPRODUCT((終値!O6:AB6&gt;終値!P6:AC6)*(終値!O6:AB6-終値!P6:AC6))/SUMPRODUCT((終値!O6:AB6&lt;終値!P6:AC6)*(終値!P6:AC6-終値!O6:AB6))),100))),"強気div▲",IF(AND(終値!E6&gt;終値!O6,$Q6&lt;(IFERROR(100-100/(1+SUMPRODUCT((終値!O6:AB6&gt;終値!P6:AC6)*(終値!O6:AB6-終値!P6:AC6))/SUMPRODUCT((終値!O6:AB6&lt;終値!P6:AC6)*(終値!P6:AC6-終値!O6:AB6))),100))),"弱気div▼","－")))</f>
      </c>
      <c r="T6" s="681">
        <f>IF($D6="","",IF($D6&gt;=$H6,"上walk▲",IF($D6&lt;=$I6,"下walk▼","－")))</f>
      </c>
      <c r="U6" s="681">
        <f>IF(終値!A6="","",BB_スイング!BT6)</f>
      </c>
      <c r="V6" s="689">
        <f>IF($D6="","",IFERROR(出来高!E6/AVERAGE(出来高!E6:I6),""))</f>
      </c>
      <c r="W6" s="690">
        <f>IF($D6="","",IF(AND($D6&gt;$G6,$O6="拡大↑",$L6&lt;=$M6*1.8),"◎スクイーズブレイク買",IF(AND($D6&gt;=$H6,$R6&gt;=BB設定!$B$10),"○順張り継続(walk)",IF(AND($S6="強気div▲",$D6&gt;$I6),"○反発(ダイバ)買",IF($U6="二番底W▲","△二番底買(確)",IF($U6="二番底W形成","△二番底形成",IF($D6&lt;$J6,"▼-2σ割れ危険",IF(AND($D6&gt;$E6,$K6&lt;0.6,$R6&gt;=50),"・押し目注目",IF($N6="スクイーズ★","☆スクイーズ監視","様子見")))))))))</f>
      </c>
      <c r="X6" s="685">
        <f>IF($D6="","",MIN(100,IF($L6&lt;=$M6*1.15,20,IF($L6&lt;=$M6*1.4,10,0))+IF($D6&gt;$G6,20,IF($D6&gt;$H6,12,IF($D6&gt;$E6,5,0)))+IF($O6="拡大↑",10,0)+IF($R6&gt;=80,15,IF($R6&gt;=60,10,IF($R6&gt;=50,5,0)))+IF(AND($Q6&gt;=50,$Q6&lt;=70),10,IF($Q6&gt;70,3,IF($Q6&gt;=40,5,0)))+IF($S6="強気div▲",15,0)+IF($T6="上walk▲",5,0)+IF($V6&gt;=2,5,IF($V6&gt;=1.5,3,0))))</f>
      </c>
      <c r="Y6" s="682">
        <f>IF($D6="","",$D6)</f>
      </c>
      <c r="Z6" s="682">
        <f>IF($D6="","",$H6)</f>
      </c>
      <c r="AA6" s="682">
        <f>IF($D6="","",IF($D6&gt;$E6,$E6,$AD6))</f>
      </c>
      <c r="AB6" s="682">
        <f>IF($D6="","",$G6)</f>
      </c>
      <c r="AC6" s="688">
        <f>IF($D6="","",IF(($Y6-$AA6)&lt;=0,"－",IFERROR(ROUND(MIN(20,($AB6-$Y6)/($Y6-$AA6)),2),"－")))</f>
      </c>
      <c r="AD6" s="682">
        <f>IF($D6="","",MIN(終値!E6:I6))</f>
      </c>
      <c r="AE6" s="684">
        <f>IF($D6="","",$X6+(10000-ROW())/100000)</f>
      </c>
    </row>
    <row r="7">
      <c r="A7" s="681">
        <f>IF(終値!A7="","",HYPERLINK("https://kabutan.jp/stock/?code="&amp;終値!A7,"📈"))</f>
      </c>
      <c r="B7" s="681">
        <f>IF(終値!A7="","",終値!A7)</f>
      </c>
      <c r="C7" s="680">
        <f>IF(終値!A7="","",終値!B7)</f>
      </c>
      <c r="D7" s="682">
        <f>IF(終値!A7="","",終値!E7)</f>
      </c>
      <c r="E7" s="682">
        <f>IF($D7="","",AVERAGE(終値!E7:X7))</f>
      </c>
      <c r="F7" s="683">
        <f>IF($D7="","",STDEVP(終値!E7:X7))</f>
      </c>
      <c r="G7" s="682">
        <f>IF($D7="","",$E7+BB設定!$B$4*$F7)</f>
      </c>
      <c r="H7" s="682">
        <f>IF($D7="","",$E7+BB設定!$B$5*$F7)</f>
      </c>
      <c r="I7" s="682">
        <f>IF($D7="","",$E7-BB設定!$B$5*$F7)</f>
      </c>
      <c r="J7" s="682">
        <f>IF($D7="","",$E7-BB設定!$B$4*$F7)</f>
      </c>
      <c r="K7" s="687">
        <f>IF($D7="","",IFERROR(($D7-$J7)/($G7-$J7),""))</f>
      </c>
      <c r="L7" s="686">
        <f>IF($D7="","",IFERROR(($G7-$J7)/$E7*100,""))</f>
      </c>
      <c r="M7" s="686">
        <f>IF($D7="","",IFERROR(MIN(BB_帯幅!B7:AP7)*100,""))</f>
      </c>
      <c r="N7" s="681">
        <f>IF($L7="","",IF($L7&lt;=$M7*BB設定!$B$7,"スクイーズ★",IF($L7&lt;=$M7*1.3,"収縮","－")))</f>
      </c>
      <c r="O7" s="681">
        <f>IF($D7="","",IF($L7&gt;(4*STDEVP(終値!F7:Y7)/AVERAGE(終値!F7:Y7)*100),"拡大↑","縮小↓"))</f>
      </c>
      <c r="P7" s="681">
        <f>IF($D7="","",IF($D7&gt;$G7,"↑+2σ突破",IF($D7&lt;$J7,"↓-2σ割れ",IF($D7&gt;$H7,"+1σ上",IF($D7&lt;$I7,"-1σ下","バンド内")))))</f>
      </c>
      <c r="Q7" s="684">
        <f>IF($D7="","",IFERROR(100-100/(1+SUMPRODUCT((終値!E7:R7&gt;終値!F7:S7)*(終値!E7:R7-終値!F7:S7))/SUMPRODUCT((終値!E7:R7&lt;終値!F7:S7)*(終値!F7:S7-終値!E7:R7))),100))</f>
      </c>
      <c r="R7" s="684">
        <f>IF($D7="","",IFERROR(100-100/(1+SUMPRODUCT((((高値!E7:R7+安値!E7:R7+終値!E7:R7)/3)&gt;((高値!F7:S7+安値!F7:S7+終値!F7:S7)/3))*((高値!E7:R7+安値!E7:R7+終値!E7:R7)/3)*出来高!E7:R7)/SUMPRODUCT((((高値!E7:R7+安値!E7:R7+終値!E7:R7)/3)&lt;((高値!F7:S7+安値!F7:S7+終値!F7:S7)/3))*((高値!E7:R7+安値!E7:R7+終値!E7:R7)/3)*出来高!E7:R7)),50))</f>
      </c>
      <c r="S7" s="681">
        <f>IF($D7="","",IF(AND(終値!E7&lt;終値!O7,$Q7&gt;(IFERROR(100-100/(1+SUMPRODUCT((終値!O7:AB7&gt;終値!P7:AC7)*(終値!O7:AB7-終値!P7:AC7))/SUMPRODUCT((終値!O7:AB7&lt;終値!P7:AC7)*(終値!P7:AC7-終値!O7:AB7))),100))),"強気div▲",IF(AND(終値!E7&gt;終値!O7,$Q7&lt;(IFERROR(100-100/(1+SUMPRODUCT((終値!O7:AB7&gt;終値!P7:AC7)*(終値!O7:AB7-終値!P7:AC7))/SUMPRODUCT((終値!O7:AB7&lt;終値!P7:AC7)*(終値!P7:AC7-終値!O7:AB7))),100))),"弱気div▼","－")))</f>
      </c>
      <c r="T7" s="681">
        <f>IF($D7="","",IF($D7&gt;=$H7,"上walk▲",IF($D7&lt;=$I7,"下walk▼","－")))</f>
      </c>
      <c r="U7" s="681">
        <f>IF(終値!A7="","",BB_スイング!BT7)</f>
      </c>
      <c r="V7" s="689">
        <f>IF($D7="","",IFERROR(出来高!E7/AVERAGE(出来高!E7:I7),""))</f>
      </c>
      <c r="W7" s="690">
        <f>IF($D7="","",IF(AND($D7&gt;$G7,$O7="拡大↑",$L7&lt;=$M7*1.8),"◎スクイーズブレイク買",IF(AND($D7&gt;=$H7,$R7&gt;=BB設定!$B$10),"○順張り継続(walk)",IF(AND($S7="強気div▲",$D7&gt;$I7),"○反発(ダイバ)買",IF($U7="二番底W▲","△二番底買(確)",IF($U7="二番底W形成","△二番底形成",IF($D7&lt;$J7,"▼-2σ割れ危険",IF(AND($D7&gt;$E7,$K7&lt;0.6,$R7&gt;=50),"・押し目注目",IF($N7="スクイーズ★","☆スクイーズ監視","様子見")))))))))</f>
      </c>
      <c r="X7" s="685">
        <f>IF($D7="","",MIN(100,IF($L7&lt;=$M7*1.15,20,IF($L7&lt;=$M7*1.4,10,0))+IF($D7&gt;$G7,20,IF($D7&gt;$H7,12,IF($D7&gt;$E7,5,0)))+IF($O7="拡大↑",10,0)+IF($R7&gt;=80,15,IF($R7&gt;=60,10,IF($R7&gt;=50,5,0)))+IF(AND($Q7&gt;=50,$Q7&lt;=70),10,IF($Q7&gt;70,3,IF($Q7&gt;=40,5,0)))+IF($S7="強気div▲",15,0)+IF($T7="上walk▲",5,0)+IF($V7&gt;=2,5,IF($V7&gt;=1.5,3,0))))</f>
      </c>
      <c r="Y7" s="682">
        <f>IF($D7="","",$D7)</f>
      </c>
      <c r="Z7" s="682">
        <f>IF($D7="","",$H7)</f>
      </c>
      <c r="AA7" s="682">
        <f>IF($D7="","",IF($D7&gt;$E7,$E7,$AD7))</f>
      </c>
      <c r="AB7" s="682">
        <f>IF($D7="","",$G7)</f>
      </c>
      <c r="AC7" s="688">
        <f>IF($D7="","",IF(($Y7-$AA7)&lt;=0,"－",IFERROR(ROUND(MIN(20,($AB7-$Y7)/($Y7-$AA7)),2),"－")))</f>
      </c>
      <c r="AD7" s="682">
        <f>IF($D7="","",MIN(終値!E7:I7))</f>
      </c>
      <c r="AE7" s="684">
        <f>IF($D7="","",$X7+(10000-ROW())/100000)</f>
      </c>
    </row>
    <row r="8">
      <c r="A8" s="681">
        <f>IF(終値!A8="","",HYPERLINK("https://kabutan.jp/stock/?code="&amp;終値!A8,"📈"))</f>
      </c>
      <c r="B8" s="681">
        <f>IF(終値!A8="","",終値!A8)</f>
      </c>
      <c r="C8" s="680">
        <f>IF(終値!A8="","",終値!B8)</f>
      </c>
      <c r="D8" s="682">
        <f>IF(終値!A8="","",終値!E8)</f>
      </c>
      <c r="E8" s="682">
        <f>IF($D8="","",AVERAGE(終値!E8:X8))</f>
      </c>
      <c r="F8" s="683">
        <f>IF($D8="","",STDEVP(終値!E8:X8))</f>
      </c>
      <c r="G8" s="682">
        <f>IF($D8="","",$E8+BB設定!$B$4*$F8)</f>
      </c>
      <c r="H8" s="682">
        <f>IF($D8="","",$E8+BB設定!$B$5*$F8)</f>
      </c>
      <c r="I8" s="682">
        <f>IF($D8="","",$E8-BB設定!$B$5*$F8)</f>
      </c>
      <c r="J8" s="682">
        <f>IF($D8="","",$E8-BB設定!$B$4*$F8)</f>
      </c>
      <c r="K8" s="687">
        <f>IF($D8="","",IFERROR(($D8-$J8)/($G8-$J8),""))</f>
      </c>
      <c r="L8" s="686">
        <f>IF($D8="","",IFERROR(($G8-$J8)/$E8*100,""))</f>
      </c>
      <c r="M8" s="686">
        <f>IF($D8="","",IFERROR(MIN(BB_帯幅!B8:AP8)*100,""))</f>
      </c>
      <c r="N8" s="681">
        <f>IF($L8="","",IF($L8&lt;=$M8*BB設定!$B$7,"スクイーズ★",IF($L8&lt;=$M8*1.3,"収縮","－")))</f>
      </c>
      <c r="O8" s="681">
        <f>IF($D8="","",IF($L8&gt;(4*STDEVP(終値!F8:Y8)/AVERAGE(終値!F8:Y8)*100),"拡大↑","縮小↓"))</f>
      </c>
      <c r="P8" s="681">
        <f>IF($D8="","",IF($D8&gt;$G8,"↑+2σ突破",IF($D8&lt;$J8,"↓-2σ割れ",IF($D8&gt;$H8,"+1σ上",IF($D8&lt;$I8,"-1σ下","バンド内")))))</f>
      </c>
      <c r="Q8" s="684">
        <f>IF($D8="","",IFERROR(100-100/(1+SUMPRODUCT((終値!E8:R8&gt;終値!F8:S8)*(終値!E8:R8-終値!F8:S8))/SUMPRODUCT((終値!E8:R8&lt;終値!F8:S8)*(終値!F8:S8-終値!E8:R8))),100))</f>
      </c>
      <c r="R8" s="684">
        <f>IF($D8="","",IFERROR(100-100/(1+SUMPRODUCT((((高値!E8:R8+安値!E8:R8+終値!E8:R8)/3)&gt;((高値!F8:S8+安値!F8:S8+終値!F8:S8)/3))*((高値!E8:R8+安値!E8:R8+終値!E8:R8)/3)*出来高!E8:R8)/SUMPRODUCT((((高値!E8:R8+安値!E8:R8+終値!E8:R8)/3)&lt;((高値!F8:S8+安値!F8:S8+終値!F8:S8)/3))*((高値!E8:R8+安値!E8:R8+終値!E8:R8)/3)*出来高!E8:R8)),50))</f>
      </c>
      <c r="S8" s="681">
        <f>IF($D8="","",IF(AND(終値!E8&lt;終値!O8,$Q8&gt;(IFERROR(100-100/(1+SUMPRODUCT((終値!O8:AB8&gt;終値!P8:AC8)*(終値!O8:AB8-終値!P8:AC8))/SUMPRODUCT((終値!O8:AB8&lt;終値!P8:AC8)*(終値!P8:AC8-終値!O8:AB8))),100))),"強気div▲",IF(AND(終値!E8&gt;終値!O8,$Q8&lt;(IFERROR(100-100/(1+SUMPRODUCT((終値!O8:AB8&gt;終値!P8:AC8)*(終値!O8:AB8-終値!P8:AC8))/SUMPRODUCT((終値!O8:AB8&lt;終値!P8:AC8)*(終値!P8:AC8-終値!O8:AB8))),100))),"弱気div▼","－")))</f>
      </c>
      <c r="T8" s="681">
        <f>IF($D8="","",IF($D8&gt;=$H8,"上walk▲",IF($D8&lt;=$I8,"下walk▼","－")))</f>
      </c>
      <c r="U8" s="681">
        <f>IF(終値!A8="","",BB_スイング!BT8)</f>
      </c>
      <c r="V8" s="689">
        <f>IF($D8="","",IFERROR(出来高!E8/AVERAGE(出来高!E8:I8),""))</f>
      </c>
      <c r="W8" s="690">
        <f>IF($D8="","",IF(AND($D8&gt;$G8,$O8="拡大↑",$L8&lt;=$M8*1.8),"◎スクイーズブレイク買",IF(AND($D8&gt;=$H8,$R8&gt;=BB設定!$B$10),"○順張り継続(walk)",IF(AND($S8="強気div▲",$D8&gt;$I8),"○反発(ダイバ)買",IF($U8="二番底W▲","△二番底買(確)",IF($U8="二番底W形成","△二番底形成",IF($D8&lt;$J8,"▼-2σ割れ危険",IF(AND($D8&gt;$E8,$K8&lt;0.6,$R8&gt;=50),"・押し目注目",IF($N8="スクイーズ★","☆スクイーズ監視","様子見")))))))))</f>
      </c>
      <c r="X8" s="685">
        <f>IF($D8="","",MIN(100,IF($L8&lt;=$M8*1.15,20,IF($L8&lt;=$M8*1.4,10,0))+IF($D8&gt;$G8,20,IF($D8&gt;$H8,12,IF($D8&gt;$E8,5,0)))+IF($O8="拡大↑",10,0)+IF($R8&gt;=80,15,IF($R8&gt;=60,10,IF($R8&gt;=50,5,0)))+IF(AND($Q8&gt;=50,$Q8&lt;=70),10,IF($Q8&gt;70,3,IF($Q8&gt;=40,5,0)))+IF($S8="強気div▲",15,0)+IF($T8="上walk▲",5,0)+IF($V8&gt;=2,5,IF($V8&gt;=1.5,3,0))))</f>
      </c>
      <c r="Y8" s="682">
        <f>IF($D8="","",$D8)</f>
      </c>
      <c r="Z8" s="682">
        <f>IF($D8="","",$H8)</f>
      </c>
      <c r="AA8" s="682">
        <f>IF($D8="","",IF($D8&gt;$E8,$E8,$AD8))</f>
      </c>
      <c r="AB8" s="682">
        <f>IF($D8="","",$G8)</f>
      </c>
      <c r="AC8" s="688">
        <f>IF($D8="","",IF(($Y8-$AA8)&lt;=0,"－",IFERROR(ROUND(MIN(20,($AB8-$Y8)/($Y8-$AA8)),2),"－")))</f>
      </c>
      <c r="AD8" s="682">
        <f>IF($D8="","",MIN(終値!E8:I8))</f>
      </c>
      <c r="AE8" s="684">
        <f>IF($D8="","",$X8+(10000-ROW())/100000)</f>
      </c>
    </row>
    <row r="9">
      <c r="A9" s="681">
        <f>IF(終値!A9="","",HYPERLINK("https://kabutan.jp/stock/?code="&amp;終値!A9,"📈"))</f>
      </c>
      <c r="B9" s="681">
        <f>IF(終値!A9="","",終値!A9)</f>
      </c>
      <c r="C9" s="680">
        <f>IF(終値!A9="","",終値!B9)</f>
      </c>
      <c r="D9" s="682">
        <f>IF(終値!A9="","",終値!E9)</f>
      </c>
      <c r="E9" s="682">
        <f>IF($D9="","",AVERAGE(終値!E9:X9))</f>
      </c>
      <c r="F9" s="683">
        <f>IF($D9="","",STDEVP(終値!E9:X9))</f>
      </c>
      <c r="G9" s="682">
        <f>IF($D9="","",$E9+BB設定!$B$4*$F9)</f>
      </c>
      <c r="H9" s="682">
        <f>IF($D9="","",$E9+BB設定!$B$5*$F9)</f>
      </c>
      <c r="I9" s="682">
        <f>IF($D9="","",$E9-BB設定!$B$5*$F9)</f>
      </c>
      <c r="J9" s="682">
        <f>IF($D9="","",$E9-BB設定!$B$4*$F9)</f>
      </c>
      <c r="K9" s="687">
        <f>IF($D9="","",IFERROR(($D9-$J9)/($G9-$J9),""))</f>
      </c>
      <c r="L9" s="686">
        <f>IF($D9="","",IFERROR(($G9-$J9)/$E9*100,""))</f>
      </c>
      <c r="M9" s="686">
        <f>IF($D9="","",IFERROR(MIN(BB_帯幅!B9:AP9)*100,""))</f>
      </c>
      <c r="N9" s="681">
        <f>IF($L9="","",IF($L9&lt;=$M9*BB設定!$B$7,"スクイーズ★",IF($L9&lt;=$M9*1.3,"収縮","－")))</f>
      </c>
      <c r="O9" s="681">
        <f>IF($D9="","",IF($L9&gt;(4*STDEVP(終値!F9:Y9)/AVERAGE(終値!F9:Y9)*100),"拡大↑","縮小↓"))</f>
      </c>
      <c r="P9" s="681">
        <f>IF($D9="","",IF($D9&gt;$G9,"↑+2σ突破",IF($D9&lt;$J9,"↓-2σ割れ",IF($D9&gt;$H9,"+1σ上",IF($D9&lt;$I9,"-1σ下","バンド内")))))</f>
      </c>
      <c r="Q9" s="684">
        <f>IF($D9="","",IFERROR(100-100/(1+SUMPRODUCT((終値!E9:R9&gt;終値!F9:S9)*(終値!E9:R9-終値!F9:S9))/SUMPRODUCT((終値!E9:R9&lt;終値!F9:S9)*(終値!F9:S9-終値!E9:R9))),100))</f>
      </c>
      <c r="R9" s="684">
        <f>IF($D9="","",IFERROR(100-100/(1+SUMPRODUCT((((高値!E9:R9+安値!E9:R9+終値!E9:R9)/3)&gt;((高値!F9:S9+安値!F9:S9+終値!F9:S9)/3))*((高値!E9:R9+安値!E9:R9+終値!E9:R9)/3)*出来高!E9:R9)/SUMPRODUCT((((高値!E9:R9+安値!E9:R9+終値!E9:R9)/3)&lt;((高値!F9:S9+安値!F9:S9+終値!F9:S9)/3))*((高値!E9:R9+安値!E9:R9+終値!E9:R9)/3)*出来高!E9:R9)),50))</f>
      </c>
      <c r="S9" s="681">
        <f>IF($D9="","",IF(AND(終値!E9&lt;終値!O9,$Q9&gt;(IFERROR(100-100/(1+SUMPRODUCT((終値!O9:AB9&gt;終値!P9:AC9)*(終値!O9:AB9-終値!P9:AC9))/SUMPRODUCT((終値!O9:AB9&lt;終値!P9:AC9)*(終値!P9:AC9-終値!O9:AB9))),100))),"強気div▲",IF(AND(終値!E9&gt;終値!O9,$Q9&lt;(IFERROR(100-100/(1+SUMPRODUCT((終値!O9:AB9&gt;終値!P9:AC9)*(終値!O9:AB9-終値!P9:AC9))/SUMPRODUCT((終値!O9:AB9&lt;終値!P9:AC9)*(終値!P9:AC9-終値!O9:AB9))),100))),"弱気div▼","－")))</f>
      </c>
      <c r="T9" s="681">
        <f>IF($D9="","",IF($D9&gt;=$H9,"上walk▲",IF($D9&lt;=$I9,"下walk▼","－")))</f>
      </c>
      <c r="U9" s="681">
        <f>IF(終値!A9="","",BB_スイング!BT9)</f>
      </c>
      <c r="V9" s="689">
        <f>IF($D9="","",IFERROR(出来高!E9/AVERAGE(出来高!E9:I9),""))</f>
      </c>
      <c r="W9" s="690">
        <f>IF($D9="","",IF(AND($D9&gt;$G9,$O9="拡大↑",$L9&lt;=$M9*1.8),"◎スクイーズブレイク買",IF(AND($D9&gt;=$H9,$R9&gt;=BB設定!$B$10),"○順張り継続(walk)",IF(AND($S9="強気div▲",$D9&gt;$I9),"○反発(ダイバ)買",IF($U9="二番底W▲","△二番底買(確)",IF($U9="二番底W形成","△二番底形成",IF($D9&lt;$J9,"▼-2σ割れ危険",IF(AND($D9&gt;$E9,$K9&lt;0.6,$R9&gt;=50),"・押し目注目",IF($N9="スクイーズ★","☆スクイーズ監視","様子見")))))))))</f>
      </c>
      <c r="X9" s="685">
        <f>IF($D9="","",MIN(100,IF($L9&lt;=$M9*1.15,20,IF($L9&lt;=$M9*1.4,10,0))+IF($D9&gt;$G9,20,IF($D9&gt;$H9,12,IF($D9&gt;$E9,5,0)))+IF($O9="拡大↑",10,0)+IF($R9&gt;=80,15,IF($R9&gt;=60,10,IF($R9&gt;=50,5,0)))+IF(AND($Q9&gt;=50,$Q9&lt;=70),10,IF($Q9&gt;70,3,IF($Q9&gt;=40,5,0)))+IF($S9="強気div▲",15,0)+IF($T9="上walk▲",5,0)+IF($V9&gt;=2,5,IF($V9&gt;=1.5,3,0))))</f>
      </c>
      <c r="Y9" s="682">
        <f>IF($D9="","",$D9)</f>
      </c>
      <c r="Z9" s="682">
        <f>IF($D9="","",$H9)</f>
      </c>
      <c r="AA9" s="682">
        <f>IF($D9="","",IF($D9&gt;$E9,$E9,$AD9))</f>
      </c>
      <c r="AB9" s="682">
        <f>IF($D9="","",$G9)</f>
      </c>
      <c r="AC9" s="688">
        <f>IF($D9="","",IF(($Y9-$AA9)&lt;=0,"－",IFERROR(ROUND(MIN(20,($AB9-$Y9)/($Y9-$AA9)),2),"－")))</f>
      </c>
      <c r="AD9" s="682">
        <f>IF($D9="","",MIN(終値!E9:I9))</f>
      </c>
      <c r="AE9" s="684">
        <f>IF($D9="","",$X9+(10000-ROW())/100000)</f>
      </c>
    </row>
    <row r="10">
      <c r="A10" s="681">
        <f>IF(終値!A10="","",HYPERLINK("https://kabutan.jp/stock/?code="&amp;終値!A10,"📈"))</f>
      </c>
      <c r="B10" s="681">
        <f>IF(終値!A10="","",終値!A10)</f>
      </c>
      <c r="C10" s="680">
        <f>IF(終値!A10="","",終値!B10)</f>
      </c>
      <c r="D10" s="682">
        <f>IF(終値!A10="","",終値!E10)</f>
      </c>
      <c r="E10" s="682">
        <f>IF($D10="","",AVERAGE(終値!E10:X10))</f>
      </c>
      <c r="F10" s="683">
        <f>IF($D10="","",STDEVP(終値!E10:X10))</f>
      </c>
      <c r="G10" s="682">
        <f>IF($D10="","",$E10+BB設定!$B$4*$F10)</f>
      </c>
      <c r="H10" s="682">
        <f>IF($D10="","",$E10+BB設定!$B$5*$F10)</f>
      </c>
      <c r="I10" s="682">
        <f>IF($D10="","",$E10-BB設定!$B$5*$F10)</f>
      </c>
      <c r="J10" s="682">
        <f>IF($D10="","",$E10-BB設定!$B$4*$F10)</f>
      </c>
      <c r="K10" s="687">
        <f>IF($D10="","",IFERROR(($D10-$J10)/($G10-$J10),""))</f>
      </c>
      <c r="L10" s="686">
        <f>IF($D10="","",IFERROR(($G10-$J10)/$E10*100,""))</f>
      </c>
      <c r="M10" s="686">
        <f>IF($D10="","",IFERROR(MIN(BB_帯幅!B10:AP10)*100,""))</f>
      </c>
      <c r="N10" s="681">
        <f>IF($L10="","",IF($L10&lt;=$M10*BB設定!$B$7,"スクイーズ★",IF($L10&lt;=$M10*1.3,"収縮","－")))</f>
      </c>
      <c r="O10" s="681">
        <f>IF($D10="","",IF($L10&gt;(4*STDEVP(終値!F10:Y10)/AVERAGE(終値!F10:Y10)*100),"拡大↑","縮小↓"))</f>
      </c>
      <c r="P10" s="681">
        <f>IF($D10="","",IF($D10&gt;$G10,"↑+2σ突破",IF($D10&lt;$J10,"↓-2σ割れ",IF($D10&gt;$H10,"+1σ上",IF($D10&lt;$I10,"-1σ下","バンド内")))))</f>
      </c>
      <c r="Q10" s="684">
        <f>IF($D10="","",IFERROR(100-100/(1+SUMPRODUCT((終値!E10:R10&gt;終値!F10:S10)*(終値!E10:R10-終値!F10:S10))/SUMPRODUCT((終値!E10:R10&lt;終値!F10:S10)*(終値!F10:S10-終値!E10:R10))),100))</f>
      </c>
      <c r="R10" s="684">
        <f>IF($D10="","",IFERROR(100-100/(1+SUMPRODUCT((((高値!E10:R10+安値!E10:R10+終値!E10:R10)/3)&gt;((高値!F10:S10+安値!F10:S10+終値!F10:S10)/3))*((高値!E10:R10+安値!E10:R10+終値!E10:R10)/3)*出来高!E10:R10)/SUMPRODUCT((((高値!E10:R10+安値!E10:R10+終値!E10:R10)/3)&lt;((高値!F10:S10+安値!F10:S10+終値!F10:S10)/3))*((高値!E10:R10+安値!E10:R10+終値!E10:R10)/3)*出来高!E10:R10)),50))</f>
      </c>
      <c r="S10" s="681">
        <f>IF($D10="","",IF(AND(終値!E10&lt;終値!O10,$Q10&gt;(IFERROR(100-100/(1+SUMPRODUCT((終値!O10:AB10&gt;終値!P10:AC10)*(終値!O10:AB10-終値!P10:AC10))/SUMPRODUCT((終値!O10:AB10&lt;終値!P10:AC10)*(終値!P10:AC10-終値!O10:AB10))),100))),"強気div▲",IF(AND(終値!E10&gt;終値!O10,$Q10&lt;(IFERROR(100-100/(1+SUMPRODUCT((終値!O10:AB10&gt;終値!P10:AC10)*(終値!O10:AB10-終値!P10:AC10))/SUMPRODUCT((終値!O10:AB10&lt;終値!P10:AC10)*(終値!P10:AC10-終値!O10:AB10))),100))),"弱気div▼","－")))</f>
      </c>
      <c r="T10" s="681">
        <f>IF($D10="","",IF($D10&gt;=$H10,"上walk▲",IF($D10&lt;=$I10,"下walk▼","－")))</f>
      </c>
      <c r="U10" s="681">
        <f>IF(終値!A10="","",BB_スイング!BT10)</f>
      </c>
      <c r="V10" s="689">
        <f>IF($D10="","",IFERROR(出来高!E10/AVERAGE(出来高!E10:I10),""))</f>
      </c>
      <c r="W10" s="690">
        <f>IF($D10="","",IF(AND($D10&gt;$G10,$O10="拡大↑",$L10&lt;=$M10*1.8),"◎スクイーズブレイク買",IF(AND($D10&gt;=$H10,$R10&gt;=BB設定!$B$10),"○順張り継続(walk)",IF(AND($S10="強気div▲",$D10&gt;$I10),"○反発(ダイバ)買",IF($U10="二番底W▲","△二番底買(確)",IF($U10="二番底W形成","△二番底形成",IF($D10&lt;$J10,"▼-2σ割れ危険",IF(AND($D10&gt;$E10,$K10&lt;0.6,$R10&gt;=50),"・押し目注目",IF($N10="スクイーズ★","☆スクイーズ監視","様子見")))))))))</f>
      </c>
      <c r="X10" s="685">
        <f>IF($D10="","",MIN(100,IF($L10&lt;=$M10*1.15,20,IF($L10&lt;=$M10*1.4,10,0))+IF($D10&gt;$G10,20,IF($D10&gt;$H10,12,IF($D10&gt;$E10,5,0)))+IF($O10="拡大↑",10,0)+IF($R10&gt;=80,15,IF($R10&gt;=60,10,IF($R10&gt;=50,5,0)))+IF(AND($Q10&gt;=50,$Q10&lt;=70),10,IF($Q10&gt;70,3,IF($Q10&gt;=40,5,0)))+IF($S10="強気div▲",15,0)+IF($T10="上walk▲",5,0)+IF($V10&gt;=2,5,IF($V10&gt;=1.5,3,0))))</f>
      </c>
      <c r="Y10" s="682">
        <f>IF($D10="","",$D10)</f>
      </c>
      <c r="Z10" s="682">
        <f>IF($D10="","",$H10)</f>
      </c>
      <c r="AA10" s="682">
        <f>IF($D10="","",IF($D10&gt;$E10,$E10,$AD10))</f>
      </c>
      <c r="AB10" s="682">
        <f>IF($D10="","",$G10)</f>
      </c>
      <c r="AC10" s="688">
        <f>IF($D10="","",IF(($Y10-$AA10)&lt;=0,"－",IFERROR(ROUND(MIN(20,($AB10-$Y10)/($Y10-$AA10)),2),"－")))</f>
      </c>
      <c r="AD10" s="682">
        <f>IF($D10="","",MIN(終値!E10:I10))</f>
      </c>
      <c r="AE10" s="684">
        <f>IF($D10="","",$X10+(10000-ROW())/100000)</f>
      </c>
    </row>
    <row r="11">
      <c r="A11" s="681">
        <f>IF(終値!A11="","",HYPERLINK("https://kabutan.jp/stock/?code="&amp;終値!A11,"📈"))</f>
      </c>
      <c r="B11" s="681">
        <f>IF(終値!A11="","",終値!A11)</f>
      </c>
      <c r="C11" s="680">
        <f>IF(終値!A11="","",終値!B11)</f>
      </c>
      <c r="D11" s="682">
        <f>IF(終値!A11="","",終値!E11)</f>
      </c>
      <c r="E11" s="682">
        <f>IF($D11="","",AVERAGE(終値!E11:X11))</f>
      </c>
      <c r="F11" s="683">
        <f>IF($D11="","",STDEVP(終値!E11:X11))</f>
      </c>
      <c r="G11" s="682">
        <f>IF($D11="","",$E11+BB設定!$B$4*$F11)</f>
      </c>
      <c r="H11" s="682">
        <f>IF($D11="","",$E11+BB設定!$B$5*$F11)</f>
      </c>
      <c r="I11" s="682">
        <f>IF($D11="","",$E11-BB設定!$B$5*$F11)</f>
      </c>
      <c r="J11" s="682">
        <f>IF($D11="","",$E11-BB設定!$B$4*$F11)</f>
      </c>
      <c r="K11" s="687">
        <f>IF($D11="","",IFERROR(($D11-$J11)/($G11-$J11),""))</f>
      </c>
      <c r="L11" s="686">
        <f>IF($D11="","",IFERROR(($G11-$J11)/$E11*100,""))</f>
      </c>
      <c r="M11" s="686">
        <f>IF($D11="","",IFERROR(MIN(BB_帯幅!B11:AP11)*100,""))</f>
      </c>
      <c r="N11" s="681">
        <f>IF($L11="","",IF($L11&lt;=$M11*BB設定!$B$7,"スクイーズ★",IF($L11&lt;=$M11*1.3,"収縮","－")))</f>
      </c>
      <c r="O11" s="681">
        <f>IF($D11="","",IF($L11&gt;(4*STDEVP(終値!F11:Y11)/AVERAGE(終値!F11:Y11)*100),"拡大↑","縮小↓"))</f>
      </c>
      <c r="P11" s="681">
        <f>IF($D11="","",IF($D11&gt;$G11,"↑+2σ突破",IF($D11&lt;$J11,"↓-2σ割れ",IF($D11&gt;$H11,"+1σ上",IF($D11&lt;$I11,"-1σ下","バンド内")))))</f>
      </c>
      <c r="Q11" s="684">
        <f>IF($D11="","",IFERROR(100-100/(1+SUMPRODUCT((終値!E11:R11&gt;終値!F11:S11)*(終値!E11:R11-終値!F11:S11))/SUMPRODUCT((終値!E11:R11&lt;終値!F11:S11)*(終値!F11:S11-終値!E11:R11))),100))</f>
      </c>
      <c r="R11" s="684">
        <f>IF($D11="","",IFERROR(100-100/(1+SUMPRODUCT((((高値!E11:R11+安値!E11:R11+終値!E11:R11)/3)&gt;((高値!F11:S11+安値!F11:S11+終値!F11:S11)/3))*((高値!E11:R11+安値!E11:R11+終値!E11:R11)/3)*出来高!E11:R11)/SUMPRODUCT((((高値!E11:R11+安値!E11:R11+終値!E11:R11)/3)&lt;((高値!F11:S11+安値!F11:S11+終値!F11:S11)/3))*((高値!E11:R11+安値!E11:R11+終値!E11:R11)/3)*出来高!E11:R11)),50))</f>
      </c>
      <c r="S11" s="681">
        <f>IF($D11="","",IF(AND(終値!E11&lt;終値!O11,$Q11&gt;(IFERROR(100-100/(1+SUMPRODUCT((終値!O11:AB11&gt;終値!P11:AC11)*(終値!O11:AB11-終値!P11:AC11))/SUMPRODUCT((終値!O11:AB11&lt;終値!P11:AC11)*(終値!P11:AC11-終値!O11:AB11))),100))),"強気div▲",IF(AND(終値!E11&gt;終値!O11,$Q11&lt;(IFERROR(100-100/(1+SUMPRODUCT((終値!O11:AB11&gt;終値!P11:AC11)*(終値!O11:AB11-終値!P11:AC11))/SUMPRODUCT((終値!O11:AB11&lt;終値!P11:AC11)*(終値!P11:AC11-終値!O11:AB11))),100))),"弱気div▼","－")))</f>
      </c>
      <c r="T11" s="681">
        <f>IF($D11="","",IF($D11&gt;=$H11,"上walk▲",IF($D11&lt;=$I11,"下walk▼","－")))</f>
      </c>
      <c r="U11" s="681">
        <f>IF(終値!A11="","",BB_スイング!BT11)</f>
      </c>
      <c r="V11" s="689">
        <f>IF($D11="","",IFERROR(出来高!E11/AVERAGE(出来高!E11:I11),""))</f>
      </c>
      <c r="W11" s="690">
        <f>IF($D11="","",IF(AND($D11&gt;$G11,$O11="拡大↑",$L11&lt;=$M11*1.8),"◎スクイーズブレイク買",IF(AND($D11&gt;=$H11,$R11&gt;=BB設定!$B$10),"○順張り継続(walk)",IF(AND($S11="強気div▲",$D11&gt;$I11),"○反発(ダイバ)買",IF($U11="二番底W▲","△二番底買(確)",IF($U11="二番底W形成","△二番底形成",IF($D11&lt;$J11,"▼-2σ割れ危険",IF(AND($D11&gt;$E11,$K11&lt;0.6,$R11&gt;=50),"・押し目注目",IF($N11="スクイーズ★","☆スクイーズ監視","様子見")))))))))</f>
      </c>
      <c r="X11" s="685">
        <f>IF($D11="","",MIN(100,IF($L11&lt;=$M11*1.15,20,IF($L11&lt;=$M11*1.4,10,0))+IF($D11&gt;$G11,20,IF($D11&gt;$H11,12,IF($D11&gt;$E11,5,0)))+IF($O11="拡大↑",10,0)+IF($R11&gt;=80,15,IF($R11&gt;=60,10,IF($R11&gt;=50,5,0)))+IF(AND($Q11&gt;=50,$Q11&lt;=70),10,IF($Q11&gt;70,3,IF($Q11&gt;=40,5,0)))+IF($S11="強気div▲",15,0)+IF($T11="上walk▲",5,0)+IF($V11&gt;=2,5,IF($V11&gt;=1.5,3,0))))</f>
      </c>
      <c r="Y11" s="682">
        <f>IF($D11="","",$D11)</f>
      </c>
      <c r="Z11" s="682">
        <f>IF($D11="","",$H11)</f>
      </c>
      <c r="AA11" s="682">
        <f>IF($D11="","",IF($D11&gt;$E11,$E11,$AD11))</f>
      </c>
      <c r="AB11" s="682">
        <f>IF($D11="","",$G11)</f>
      </c>
      <c r="AC11" s="688">
        <f>IF($D11="","",IF(($Y11-$AA11)&lt;=0,"－",IFERROR(ROUND(MIN(20,($AB11-$Y11)/($Y11-$AA11)),2),"－")))</f>
      </c>
      <c r="AD11" s="682">
        <f>IF($D11="","",MIN(終値!E11:I11))</f>
      </c>
      <c r="AE11" s="684">
        <f>IF($D11="","",$X11+(10000-ROW())/100000)</f>
      </c>
    </row>
    <row r="12">
      <c r="A12" s="681">
        <f>IF(終値!A12="","",HYPERLINK("https://kabutan.jp/stock/?code="&amp;終値!A12,"📈"))</f>
      </c>
      <c r="B12" s="681">
        <f>IF(終値!A12="","",終値!A12)</f>
      </c>
      <c r="C12" s="680">
        <f>IF(終値!A12="","",終値!B12)</f>
      </c>
      <c r="D12" s="682">
        <f>IF(終値!A12="","",終値!E12)</f>
      </c>
      <c r="E12" s="682">
        <f>IF($D12="","",AVERAGE(終値!E12:X12))</f>
      </c>
      <c r="F12" s="683">
        <f>IF($D12="","",STDEVP(終値!E12:X12))</f>
      </c>
      <c r="G12" s="682">
        <f>IF($D12="","",$E12+BB設定!$B$4*$F12)</f>
      </c>
      <c r="H12" s="682">
        <f>IF($D12="","",$E12+BB設定!$B$5*$F12)</f>
      </c>
      <c r="I12" s="682">
        <f>IF($D12="","",$E12-BB設定!$B$5*$F12)</f>
      </c>
      <c r="J12" s="682">
        <f>IF($D12="","",$E12-BB設定!$B$4*$F12)</f>
      </c>
      <c r="K12" s="687">
        <f>IF($D12="","",IFERROR(($D12-$J12)/($G12-$J12),""))</f>
      </c>
      <c r="L12" s="686">
        <f>IF($D12="","",IFERROR(($G12-$J12)/$E12*100,""))</f>
      </c>
      <c r="M12" s="686">
        <f>IF($D12="","",IFERROR(MIN(BB_帯幅!B12:AP12)*100,""))</f>
      </c>
      <c r="N12" s="681">
        <f>IF($L12="","",IF($L12&lt;=$M12*BB設定!$B$7,"スクイーズ★",IF($L12&lt;=$M12*1.3,"収縮","－")))</f>
      </c>
      <c r="O12" s="681">
        <f>IF($D12="","",IF($L12&gt;(4*STDEVP(終値!F12:Y12)/AVERAGE(終値!F12:Y12)*100),"拡大↑","縮小↓"))</f>
      </c>
      <c r="P12" s="681">
        <f>IF($D12="","",IF($D12&gt;$G12,"↑+2σ突破",IF($D12&lt;$J12,"↓-2σ割れ",IF($D12&gt;$H12,"+1σ上",IF($D12&lt;$I12,"-1σ下","バンド内")))))</f>
      </c>
      <c r="Q12" s="684">
        <f>IF($D12="","",IFERROR(100-100/(1+SUMPRODUCT((終値!E12:R12&gt;終値!F12:S12)*(終値!E12:R12-終値!F12:S12))/SUMPRODUCT((終値!E12:R12&lt;終値!F12:S12)*(終値!F12:S12-終値!E12:R12))),100))</f>
      </c>
      <c r="R12" s="684">
        <f>IF($D12="","",IFERROR(100-100/(1+SUMPRODUCT((((高値!E12:R12+安値!E12:R12+終値!E12:R12)/3)&gt;((高値!F12:S12+安値!F12:S12+終値!F12:S12)/3))*((高値!E12:R12+安値!E12:R12+終値!E12:R12)/3)*出来高!E12:R12)/SUMPRODUCT((((高値!E12:R12+安値!E12:R12+終値!E12:R12)/3)&lt;((高値!F12:S12+安値!F12:S12+終値!F12:S12)/3))*((高値!E12:R12+安値!E12:R12+終値!E12:R12)/3)*出来高!E12:R12)),50))</f>
      </c>
      <c r="S12" s="681">
        <f>IF($D12="","",IF(AND(終値!E12&lt;終値!O12,$Q12&gt;(IFERROR(100-100/(1+SUMPRODUCT((終値!O12:AB12&gt;終値!P12:AC12)*(終値!O12:AB12-終値!P12:AC12))/SUMPRODUCT((終値!O12:AB12&lt;終値!P12:AC12)*(終値!P12:AC12-終値!O12:AB12))),100))),"強気div▲",IF(AND(終値!E12&gt;終値!O12,$Q12&lt;(IFERROR(100-100/(1+SUMPRODUCT((終値!O12:AB12&gt;終値!P12:AC12)*(終値!O12:AB12-終値!P12:AC12))/SUMPRODUCT((終値!O12:AB12&lt;終値!P12:AC12)*(終値!P12:AC12-終値!O12:AB12))),100))),"弱気div▼","－")))</f>
      </c>
      <c r="T12" s="681">
        <f>IF($D12="","",IF($D12&gt;=$H12,"上walk▲",IF($D12&lt;=$I12,"下walk▼","－")))</f>
      </c>
      <c r="U12" s="681">
        <f>IF(終値!A12="","",BB_スイング!BT12)</f>
      </c>
      <c r="V12" s="689">
        <f>IF($D12="","",IFERROR(出来高!E12/AVERAGE(出来高!E12:I12),""))</f>
      </c>
      <c r="W12" s="690">
        <f>IF($D12="","",IF(AND($D12&gt;$G12,$O12="拡大↑",$L12&lt;=$M12*1.8),"◎スクイーズブレイク買",IF(AND($D12&gt;=$H12,$R12&gt;=BB設定!$B$10),"○順張り継続(walk)",IF(AND($S12="強気div▲",$D12&gt;$I12),"○反発(ダイバ)買",IF($U12="二番底W▲","△二番底買(確)",IF($U12="二番底W形成","△二番底形成",IF($D12&lt;$J12,"▼-2σ割れ危険",IF(AND($D12&gt;$E12,$K12&lt;0.6,$R12&gt;=50),"・押し目注目",IF($N12="スクイーズ★","☆スクイーズ監視","様子見")))))))))</f>
      </c>
      <c r="X12" s="685">
        <f>IF($D12="","",MIN(100,IF($L12&lt;=$M12*1.15,20,IF($L12&lt;=$M12*1.4,10,0))+IF($D12&gt;$G12,20,IF($D12&gt;$H12,12,IF($D12&gt;$E12,5,0)))+IF($O12="拡大↑",10,0)+IF($R12&gt;=80,15,IF($R12&gt;=60,10,IF($R12&gt;=50,5,0)))+IF(AND($Q12&gt;=50,$Q12&lt;=70),10,IF($Q12&gt;70,3,IF($Q12&gt;=40,5,0)))+IF($S12="強気div▲",15,0)+IF($T12="上walk▲",5,0)+IF($V12&gt;=2,5,IF($V12&gt;=1.5,3,0))))</f>
      </c>
      <c r="Y12" s="682">
        <f>IF($D12="","",$D12)</f>
      </c>
      <c r="Z12" s="682">
        <f>IF($D12="","",$H12)</f>
      </c>
      <c r="AA12" s="682">
        <f>IF($D12="","",IF($D12&gt;$E12,$E12,$AD12))</f>
      </c>
      <c r="AB12" s="682">
        <f>IF($D12="","",$G12)</f>
      </c>
      <c r="AC12" s="688">
        <f>IF($D12="","",IF(($Y12-$AA12)&lt;=0,"－",IFERROR(ROUND(MIN(20,($AB12-$Y12)/($Y12-$AA12)),2),"－")))</f>
      </c>
      <c r="AD12" s="682">
        <f>IF($D12="","",MIN(終値!E12:I12))</f>
      </c>
      <c r="AE12" s="684">
        <f>IF($D12="","",$X12+(10000-ROW())/100000)</f>
      </c>
    </row>
    <row r="13">
      <c r="A13" s="681">
        <f>IF(終値!A13="","",HYPERLINK("https://kabutan.jp/stock/?code="&amp;終値!A13,"📈"))</f>
      </c>
      <c r="B13" s="681">
        <f>IF(終値!A13="","",終値!A13)</f>
      </c>
      <c r="C13" s="680">
        <f>IF(終値!A13="","",終値!B13)</f>
      </c>
      <c r="D13" s="682">
        <f>IF(終値!A13="","",終値!E13)</f>
      </c>
      <c r="E13" s="682">
        <f>IF($D13="","",AVERAGE(終値!E13:X13))</f>
      </c>
      <c r="F13" s="683">
        <f>IF($D13="","",STDEVP(終値!E13:X13))</f>
      </c>
      <c r="G13" s="682">
        <f>IF($D13="","",$E13+BB設定!$B$4*$F13)</f>
      </c>
      <c r="H13" s="682">
        <f>IF($D13="","",$E13+BB設定!$B$5*$F13)</f>
      </c>
      <c r="I13" s="682">
        <f>IF($D13="","",$E13-BB設定!$B$5*$F13)</f>
      </c>
      <c r="J13" s="682">
        <f>IF($D13="","",$E13-BB設定!$B$4*$F13)</f>
      </c>
      <c r="K13" s="687">
        <f>IF($D13="","",IFERROR(($D13-$J13)/($G13-$J13),""))</f>
      </c>
      <c r="L13" s="686">
        <f>IF($D13="","",IFERROR(($G13-$J13)/$E13*100,""))</f>
      </c>
      <c r="M13" s="686">
        <f>IF($D13="","",IFERROR(MIN(BB_帯幅!B13:AP13)*100,""))</f>
      </c>
      <c r="N13" s="681">
        <f>IF($L13="","",IF($L13&lt;=$M13*BB設定!$B$7,"スクイーズ★",IF($L13&lt;=$M13*1.3,"収縮","－")))</f>
      </c>
      <c r="O13" s="681">
        <f>IF($D13="","",IF($L13&gt;(4*STDEVP(終値!F13:Y13)/AVERAGE(終値!F13:Y13)*100),"拡大↑","縮小↓"))</f>
      </c>
      <c r="P13" s="681">
        <f>IF($D13="","",IF($D13&gt;$G13,"↑+2σ突破",IF($D13&lt;$J13,"↓-2σ割れ",IF($D13&gt;$H13,"+1σ上",IF($D13&lt;$I13,"-1σ下","バンド内")))))</f>
      </c>
      <c r="Q13" s="684">
        <f>IF($D13="","",IFERROR(100-100/(1+SUMPRODUCT((終値!E13:R13&gt;終値!F13:S13)*(終値!E13:R13-終値!F13:S13))/SUMPRODUCT((終値!E13:R13&lt;終値!F13:S13)*(終値!F13:S13-終値!E13:R13))),100))</f>
      </c>
      <c r="R13" s="684">
        <f>IF($D13="","",IFERROR(100-100/(1+SUMPRODUCT((((高値!E13:R13+安値!E13:R13+終値!E13:R13)/3)&gt;((高値!F13:S13+安値!F13:S13+終値!F13:S13)/3))*((高値!E13:R13+安値!E13:R13+終値!E13:R13)/3)*出来高!E13:R13)/SUMPRODUCT((((高値!E13:R13+安値!E13:R13+終値!E13:R13)/3)&lt;((高値!F13:S13+安値!F13:S13+終値!F13:S13)/3))*((高値!E13:R13+安値!E13:R13+終値!E13:R13)/3)*出来高!E13:R13)),50))</f>
      </c>
      <c r="S13" s="681">
        <f>IF($D13="","",IF(AND(終値!E13&lt;終値!O13,$Q13&gt;(IFERROR(100-100/(1+SUMPRODUCT((終値!O13:AB13&gt;終値!P13:AC13)*(終値!O13:AB13-終値!P13:AC13))/SUMPRODUCT((終値!O13:AB13&lt;終値!P13:AC13)*(終値!P13:AC13-終値!O13:AB13))),100))),"強気div▲",IF(AND(終値!E13&gt;終値!O13,$Q13&lt;(IFERROR(100-100/(1+SUMPRODUCT((終値!O13:AB13&gt;終値!P13:AC13)*(終値!O13:AB13-終値!P13:AC13))/SUMPRODUCT((終値!O13:AB13&lt;終値!P13:AC13)*(終値!P13:AC13-終値!O13:AB13))),100))),"弱気div▼","－")))</f>
      </c>
      <c r="T13" s="681">
        <f>IF($D13="","",IF($D13&gt;=$H13,"上walk▲",IF($D13&lt;=$I13,"下walk▼","－")))</f>
      </c>
      <c r="U13" s="681">
        <f>IF(終値!A13="","",BB_スイング!BT13)</f>
      </c>
      <c r="V13" s="689">
        <f>IF($D13="","",IFERROR(出来高!E13/AVERAGE(出来高!E13:I13),""))</f>
      </c>
      <c r="W13" s="690">
        <f>IF($D13="","",IF(AND($D13&gt;$G13,$O13="拡大↑",$L13&lt;=$M13*1.8),"◎スクイーズブレイク買",IF(AND($D13&gt;=$H13,$R13&gt;=BB設定!$B$10),"○順張り継続(walk)",IF(AND($S13="強気div▲",$D13&gt;$I13),"○反発(ダイバ)買",IF($U13="二番底W▲","△二番底買(確)",IF($U13="二番底W形成","△二番底形成",IF($D13&lt;$J13,"▼-2σ割れ危険",IF(AND($D13&gt;$E13,$K13&lt;0.6,$R13&gt;=50),"・押し目注目",IF($N13="スクイーズ★","☆スクイーズ監視","様子見")))))))))</f>
      </c>
      <c r="X13" s="685">
        <f>IF($D13="","",MIN(100,IF($L13&lt;=$M13*1.15,20,IF($L13&lt;=$M13*1.4,10,0))+IF($D13&gt;$G13,20,IF($D13&gt;$H13,12,IF($D13&gt;$E13,5,0)))+IF($O13="拡大↑",10,0)+IF($R13&gt;=80,15,IF($R13&gt;=60,10,IF($R13&gt;=50,5,0)))+IF(AND($Q13&gt;=50,$Q13&lt;=70),10,IF($Q13&gt;70,3,IF($Q13&gt;=40,5,0)))+IF($S13="強気div▲",15,0)+IF($T13="上walk▲",5,0)+IF($V13&gt;=2,5,IF($V13&gt;=1.5,3,0))))</f>
      </c>
      <c r="Y13" s="682">
        <f>IF($D13="","",$D13)</f>
      </c>
      <c r="Z13" s="682">
        <f>IF($D13="","",$H13)</f>
      </c>
      <c r="AA13" s="682">
        <f>IF($D13="","",IF($D13&gt;$E13,$E13,$AD13))</f>
      </c>
      <c r="AB13" s="682">
        <f>IF($D13="","",$G13)</f>
      </c>
      <c r="AC13" s="688">
        <f>IF($D13="","",IF(($Y13-$AA13)&lt;=0,"－",IFERROR(ROUND(MIN(20,($AB13-$Y13)/($Y13-$AA13)),2),"－")))</f>
      </c>
      <c r="AD13" s="682">
        <f>IF($D13="","",MIN(終値!E13:I13))</f>
      </c>
      <c r="AE13" s="684">
        <f>IF($D13="","",$X13+(10000-ROW())/100000)</f>
      </c>
    </row>
    <row r="14">
      <c r="A14" s="681">
        <f>IF(終値!A14="","",HYPERLINK("https://kabutan.jp/stock/?code="&amp;終値!A14,"📈"))</f>
      </c>
      <c r="B14" s="681">
        <f>IF(終値!A14="","",終値!A14)</f>
      </c>
      <c r="C14" s="680">
        <f>IF(終値!A14="","",終値!B14)</f>
      </c>
      <c r="D14" s="682">
        <f>IF(終値!A14="","",終値!E14)</f>
      </c>
      <c r="E14" s="682">
        <f>IF($D14="","",AVERAGE(終値!E14:X14))</f>
      </c>
      <c r="F14" s="683">
        <f>IF($D14="","",STDEVP(終値!E14:X14))</f>
      </c>
      <c r="G14" s="682">
        <f>IF($D14="","",$E14+BB設定!$B$4*$F14)</f>
      </c>
      <c r="H14" s="682">
        <f>IF($D14="","",$E14+BB設定!$B$5*$F14)</f>
      </c>
      <c r="I14" s="682">
        <f>IF($D14="","",$E14-BB設定!$B$5*$F14)</f>
      </c>
      <c r="J14" s="682">
        <f>IF($D14="","",$E14-BB設定!$B$4*$F14)</f>
      </c>
      <c r="K14" s="687">
        <f>IF($D14="","",IFERROR(($D14-$J14)/($G14-$J14),""))</f>
      </c>
      <c r="L14" s="686">
        <f>IF($D14="","",IFERROR(($G14-$J14)/$E14*100,""))</f>
      </c>
      <c r="M14" s="686">
        <f>IF($D14="","",IFERROR(MIN(BB_帯幅!B14:AP14)*100,""))</f>
      </c>
      <c r="N14" s="681">
        <f>IF($L14="","",IF($L14&lt;=$M14*BB設定!$B$7,"スクイーズ★",IF($L14&lt;=$M14*1.3,"収縮","－")))</f>
      </c>
      <c r="O14" s="681">
        <f>IF($D14="","",IF($L14&gt;(4*STDEVP(終値!F14:Y14)/AVERAGE(終値!F14:Y14)*100),"拡大↑","縮小↓"))</f>
      </c>
      <c r="P14" s="681">
        <f>IF($D14="","",IF($D14&gt;$G14,"↑+2σ突破",IF($D14&lt;$J14,"↓-2σ割れ",IF($D14&gt;$H14,"+1σ上",IF($D14&lt;$I14,"-1σ下","バンド内")))))</f>
      </c>
      <c r="Q14" s="684">
        <f>IF($D14="","",IFERROR(100-100/(1+SUMPRODUCT((終値!E14:R14&gt;終値!F14:S14)*(終値!E14:R14-終値!F14:S14))/SUMPRODUCT((終値!E14:R14&lt;終値!F14:S14)*(終値!F14:S14-終値!E14:R14))),100))</f>
      </c>
      <c r="R14" s="684">
        <f>IF($D14="","",IFERROR(100-100/(1+SUMPRODUCT((((高値!E14:R14+安値!E14:R14+終値!E14:R14)/3)&gt;((高値!F14:S14+安値!F14:S14+終値!F14:S14)/3))*((高値!E14:R14+安値!E14:R14+終値!E14:R14)/3)*出来高!E14:R14)/SUMPRODUCT((((高値!E14:R14+安値!E14:R14+終値!E14:R14)/3)&lt;((高値!F14:S14+安値!F14:S14+終値!F14:S14)/3))*((高値!E14:R14+安値!E14:R14+終値!E14:R14)/3)*出来高!E14:R14)),50))</f>
      </c>
      <c r="S14" s="681">
        <f>IF($D14="","",IF(AND(終値!E14&lt;終値!O14,$Q14&gt;(IFERROR(100-100/(1+SUMPRODUCT((終値!O14:AB14&gt;終値!P14:AC14)*(終値!O14:AB14-終値!P14:AC14))/SUMPRODUCT((終値!O14:AB14&lt;終値!P14:AC14)*(終値!P14:AC14-終値!O14:AB14))),100))),"強気div▲",IF(AND(終値!E14&gt;終値!O14,$Q14&lt;(IFERROR(100-100/(1+SUMPRODUCT((終値!O14:AB14&gt;終値!P14:AC14)*(終値!O14:AB14-終値!P14:AC14))/SUMPRODUCT((終値!O14:AB14&lt;終値!P14:AC14)*(終値!P14:AC14-終値!O14:AB14))),100))),"弱気div▼","－")))</f>
      </c>
      <c r="T14" s="681">
        <f>IF($D14="","",IF($D14&gt;=$H14,"上walk▲",IF($D14&lt;=$I14,"下walk▼","－")))</f>
      </c>
      <c r="U14" s="681">
        <f>IF(終値!A14="","",BB_スイング!BT14)</f>
      </c>
      <c r="V14" s="689">
        <f>IF($D14="","",IFERROR(出来高!E14/AVERAGE(出来高!E14:I14),""))</f>
      </c>
      <c r="W14" s="690">
        <f>IF($D14="","",IF(AND($D14&gt;$G14,$O14="拡大↑",$L14&lt;=$M14*1.8),"◎スクイーズブレイク買",IF(AND($D14&gt;=$H14,$R14&gt;=BB設定!$B$10),"○順張り継続(walk)",IF(AND($S14="強気div▲",$D14&gt;$I14),"○反発(ダイバ)買",IF($U14="二番底W▲","△二番底買(確)",IF($U14="二番底W形成","△二番底形成",IF($D14&lt;$J14,"▼-2σ割れ危険",IF(AND($D14&gt;$E14,$K14&lt;0.6,$R14&gt;=50),"・押し目注目",IF($N14="スクイーズ★","☆スクイーズ監視","様子見")))))))))</f>
      </c>
      <c r="X14" s="685">
        <f>IF($D14="","",MIN(100,IF($L14&lt;=$M14*1.15,20,IF($L14&lt;=$M14*1.4,10,0))+IF($D14&gt;$G14,20,IF($D14&gt;$H14,12,IF($D14&gt;$E14,5,0)))+IF($O14="拡大↑",10,0)+IF($R14&gt;=80,15,IF($R14&gt;=60,10,IF($R14&gt;=50,5,0)))+IF(AND($Q14&gt;=50,$Q14&lt;=70),10,IF($Q14&gt;70,3,IF($Q14&gt;=40,5,0)))+IF($S14="強気div▲",15,0)+IF($T14="上walk▲",5,0)+IF($V14&gt;=2,5,IF($V14&gt;=1.5,3,0))))</f>
      </c>
      <c r="Y14" s="682">
        <f>IF($D14="","",$D14)</f>
      </c>
      <c r="Z14" s="682">
        <f>IF($D14="","",$H14)</f>
      </c>
      <c r="AA14" s="682">
        <f>IF($D14="","",IF($D14&gt;$E14,$E14,$AD14))</f>
      </c>
      <c r="AB14" s="682">
        <f>IF($D14="","",$G14)</f>
      </c>
      <c r="AC14" s="688">
        <f>IF($D14="","",IF(($Y14-$AA14)&lt;=0,"－",IFERROR(ROUND(MIN(20,($AB14-$Y14)/($Y14-$AA14)),2),"－")))</f>
      </c>
      <c r="AD14" s="682">
        <f>IF($D14="","",MIN(終値!E14:I14))</f>
      </c>
      <c r="AE14" s="684">
        <f>IF($D14="","",$X14+(10000-ROW())/100000)</f>
      </c>
    </row>
    <row r="15">
      <c r="A15" s="681">
        <f>IF(終値!A15="","",HYPERLINK("https://kabutan.jp/stock/?code="&amp;終値!A15,"📈"))</f>
      </c>
      <c r="B15" s="681">
        <f>IF(終値!A15="","",終値!A15)</f>
      </c>
      <c r="C15" s="680">
        <f>IF(終値!A15="","",終値!B15)</f>
      </c>
      <c r="D15" s="682">
        <f>IF(終値!A15="","",終値!E15)</f>
      </c>
      <c r="E15" s="682">
        <f>IF($D15="","",AVERAGE(終値!E15:X15))</f>
      </c>
      <c r="F15" s="683">
        <f>IF($D15="","",STDEVP(終値!E15:X15))</f>
      </c>
      <c r="G15" s="682">
        <f>IF($D15="","",$E15+BB設定!$B$4*$F15)</f>
      </c>
      <c r="H15" s="682">
        <f>IF($D15="","",$E15+BB設定!$B$5*$F15)</f>
      </c>
      <c r="I15" s="682">
        <f>IF($D15="","",$E15-BB設定!$B$5*$F15)</f>
      </c>
      <c r="J15" s="682">
        <f>IF($D15="","",$E15-BB設定!$B$4*$F15)</f>
      </c>
      <c r="K15" s="687">
        <f>IF($D15="","",IFERROR(($D15-$J15)/($G15-$J15),""))</f>
      </c>
      <c r="L15" s="686">
        <f>IF($D15="","",IFERROR(($G15-$J15)/$E15*100,""))</f>
      </c>
      <c r="M15" s="686">
        <f>IF($D15="","",IFERROR(MIN(BB_帯幅!B15:AP15)*100,""))</f>
      </c>
      <c r="N15" s="681">
        <f>IF($L15="","",IF($L15&lt;=$M15*BB設定!$B$7,"スクイーズ★",IF($L15&lt;=$M15*1.3,"収縮","－")))</f>
      </c>
      <c r="O15" s="681">
        <f>IF($D15="","",IF($L15&gt;(4*STDEVP(終値!F15:Y15)/AVERAGE(終値!F15:Y15)*100),"拡大↑","縮小↓"))</f>
      </c>
      <c r="P15" s="681">
        <f>IF($D15="","",IF($D15&gt;$G15,"↑+2σ突破",IF($D15&lt;$J15,"↓-2σ割れ",IF($D15&gt;$H15,"+1σ上",IF($D15&lt;$I15,"-1σ下","バンド内")))))</f>
      </c>
      <c r="Q15" s="684">
        <f>IF($D15="","",IFERROR(100-100/(1+SUMPRODUCT((終値!E15:R15&gt;終値!F15:S15)*(終値!E15:R15-終値!F15:S15))/SUMPRODUCT((終値!E15:R15&lt;終値!F15:S15)*(終値!F15:S15-終値!E15:R15))),100))</f>
      </c>
      <c r="R15" s="684">
        <f>IF($D15="","",IFERROR(100-100/(1+SUMPRODUCT((((高値!E15:R15+安値!E15:R15+終値!E15:R15)/3)&gt;((高値!F15:S15+安値!F15:S15+終値!F15:S15)/3))*((高値!E15:R15+安値!E15:R15+終値!E15:R15)/3)*出来高!E15:R15)/SUMPRODUCT((((高値!E15:R15+安値!E15:R15+終値!E15:R15)/3)&lt;((高値!F15:S15+安値!F15:S15+終値!F15:S15)/3))*((高値!E15:R15+安値!E15:R15+終値!E15:R15)/3)*出来高!E15:R15)),50))</f>
      </c>
      <c r="S15" s="681">
        <f>IF($D15="","",IF(AND(終値!E15&lt;終値!O15,$Q15&gt;(IFERROR(100-100/(1+SUMPRODUCT((終値!O15:AB15&gt;終値!P15:AC15)*(終値!O15:AB15-終値!P15:AC15))/SUMPRODUCT((終値!O15:AB15&lt;終値!P15:AC15)*(終値!P15:AC15-終値!O15:AB15))),100))),"強気div▲",IF(AND(終値!E15&gt;終値!O15,$Q15&lt;(IFERROR(100-100/(1+SUMPRODUCT((終値!O15:AB15&gt;終値!P15:AC15)*(終値!O15:AB15-終値!P15:AC15))/SUMPRODUCT((終値!O15:AB15&lt;終値!P15:AC15)*(終値!P15:AC15-終値!O15:AB15))),100))),"弱気div▼","－")))</f>
      </c>
      <c r="T15" s="681">
        <f>IF($D15="","",IF($D15&gt;=$H15,"上walk▲",IF($D15&lt;=$I15,"下walk▼","－")))</f>
      </c>
      <c r="U15" s="681">
        <f>IF(終値!A15="","",BB_スイング!BT15)</f>
      </c>
      <c r="V15" s="689">
        <f>IF($D15="","",IFERROR(出来高!E15/AVERAGE(出来高!E15:I15),""))</f>
      </c>
      <c r="W15" s="690">
        <f>IF($D15="","",IF(AND($D15&gt;$G15,$O15="拡大↑",$L15&lt;=$M15*1.8),"◎スクイーズブレイク買",IF(AND($D15&gt;=$H15,$R15&gt;=BB設定!$B$10),"○順張り継続(walk)",IF(AND($S15="強気div▲",$D15&gt;$I15),"○反発(ダイバ)買",IF($U15="二番底W▲","△二番底買(確)",IF($U15="二番底W形成","△二番底形成",IF($D15&lt;$J15,"▼-2σ割れ危険",IF(AND($D15&gt;$E15,$K15&lt;0.6,$R15&gt;=50),"・押し目注目",IF($N15="スクイーズ★","☆スクイーズ監視","様子見")))))))))</f>
      </c>
      <c r="X15" s="685">
        <f>IF($D15="","",MIN(100,IF($L15&lt;=$M15*1.15,20,IF($L15&lt;=$M15*1.4,10,0))+IF($D15&gt;$G15,20,IF($D15&gt;$H15,12,IF($D15&gt;$E15,5,0)))+IF($O15="拡大↑",10,0)+IF($R15&gt;=80,15,IF($R15&gt;=60,10,IF($R15&gt;=50,5,0)))+IF(AND($Q15&gt;=50,$Q15&lt;=70),10,IF($Q15&gt;70,3,IF($Q15&gt;=40,5,0)))+IF($S15="強気div▲",15,0)+IF($T15="上walk▲",5,0)+IF($V15&gt;=2,5,IF($V15&gt;=1.5,3,0))))</f>
      </c>
      <c r="Y15" s="682">
        <f>IF($D15="","",$D15)</f>
      </c>
      <c r="Z15" s="682">
        <f>IF($D15="","",$H15)</f>
      </c>
      <c r="AA15" s="682">
        <f>IF($D15="","",IF($D15&gt;$E15,$E15,$AD15))</f>
      </c>
      <c r="AB15" s="682">
        <f>IF($D15="","",$G15)</f>
      </c>
      <c r="AC15" s="688">
        <f>IF($D15="","",IF(($Y15-$AA15)&lt;=0,"－",IFERROR(ROUND(MIN(20,($AB15-$Y15)/($Y15-$AA15)),2),"－")))</f>
      </c>
      <c r="AD15" s="682">
        <f>IF($D15="","",MIN(終値!E15:I15))</f>
      </c>
      <c r="AE15" s="684">
        <f>IF($D15="","",$X15+(10000-ROW())/100000)</f>
      </c>
    </row>
    <row r="16">
      <c r="A16" s="681">
        <f>IF(終値!A16="","",HYPERLINK("https://kabutan.jp/stock/?code="&amp;終値!A16,"📈"))</f>
      </c>
      <c r="B16" s="681">
        <f>IF(終値!A16="","",終値!A16)</f>
      </c>
      <c r="C16" s="680">
        <f>IF(終値!A16="","",終値!B16)</f>
      </c>
      <c r="D16" s="682">
        <f>IF(終値!A16="","",終値!E16)</f>
      </c>
      <c r="E16" s="682">
        <f>IF($D16="","",AVERAGE(終値!E16:X16))</f>
      </c>
      <c r="F16" s="683">
        <f>IF($D16="","",STDEVP(終値!E16:X16))</f>
      </c>
      <c r="G16" s="682">
        <f>IF($D16="","",$E16+BB設定!$B$4*$F16)</f>
      </c>
      <c r="H16" s="682">
        <f>IF($D16="","",$E16+BB設定!$B$5*$F16)</f>
      </c>
      <c r="I16" s="682">
        <f>IF($D16="","",$E16-BB設定!$B$5*$F16)</f>
      </c>
      <c r="J16" s="682">
        <f>IF($D16="","",$E16-BB設定!$B$4*$F16)</f>
      </c>
      <c r="K16" s="687">
        <f>IF($D16="","",IFERROR(($D16-$J16)/($G16-$J16),""))</f>
      </c>
      <c r="L16" s="686">
        <f>IF($D16="","",IFERROR(($G16-$J16)/$E16*100,""))</f>
      </c>
      <c r="M16" s="686">
        <f>IF($D16="","",IFERROR(MIN(BB_帯幅!B16:AP16)*100,""))</f>
      </c>
      <c r="N16" s="681">
        <f>IF($L16="","",IF($L16&lt;=$M16*BB設定!$B$7,"スクイーズ★",IF($L16&lt;=$M16*1.3,"収縮","－")))</f>
      </c>
      <c r="O16" s="681">
        <f>IF($D16="","",IF($L16&gt;(4*STDEVP(終値!F16:Y16)/AVERAGE(終値!F16:Y16)*100),"拡大↑","縮小↓"))</f>
      </c>
      <c r="P16" s="681">
        <f>IF($D16="","",IF($D16&gt;$G16,"↑+2σ突破",IF($D16&lt;$J16,"↓-2σ割れ",IF($D16&gt;$H16,"+1σ上",IF($D16&lt;$I16,"-1σ下","バンド内")))))</f>
      </c>
      <c r="Q16" s="684">
        <f>IF($D16="","",IFERROR(100-100/(1+SUMPRODUCT((終値!E16:R16&gt;終値!F16:S16)*(終値!E16:R16-終値!F16:S16))/SUMPRODUCT((終値!E16:R16&lt;終値!F16:S16)*(終値!F16:S16-終値!E16:R16))),100))</f>
      </c>
      <c r="R16" s="684">
        <f>IF($D16="","",IFERROR(100-100/(1+SUMPRODUCT((((高値!E16:R16+安値!E16:R16+終値!E16:R16)/3)&gt;((高値!F16:S16+安値!F16:S16+終値!F16:S16)/3))*((高値!E16:R16+安値!E16:R16+終値!E16:R16)/3)*出来高!E16:R16)/SUMPRODUCT((((高値!E16:R16+安値!E16:R16+終値!E16:R16)/3)&lt;((高値!F16:S16+安値!F16:S16+終値!F16:S16)/3))*((高値!E16:R16+安値!E16:R16+終値!E16:R16)/3)*出来高!E16:R16)),50))</f>
      </c>
      <c r="S16" s="681">
        <f>IF($D16="","",IF(AND(終値!E16&lt;終値!O16,$Q16&gt;(IFERROR(100-100/(1+SUMPRODUCT((終値!O16:AB16&gt;終値!P16:AC16)*(終値!O16:AB16-終値!P16:AC16))/SUMPRODUCT((終値!O16:AB16&lt;終値!P16:AC16)*(終値!P16:AC16-終値!O16:AB16))),100))),"強気div▲",IF(AND(終値!E16&gt;終値!O16,$Q16&lt;(IFERROR(100-100/(1+SUMPRODUCT((終値!O16:AB16&gt;終値!P16:AC16)*(終値!O16:AB16-終値!P16:AC16))/SUMPRODUCT((終値!O16:AB16&lt;終値!P16:AC16)*(終値!P16:AC16-終値!O16:AB16))),100))),"弱気div▼","－")))</f>
      </c>
      <c r="T16" s="681">
        <f>IF($D16="","",IF($D16&gt;=$H16,"上walk▲",IF($D16&lt;=$I16,"下walk▼","－")))</f>
      </c>
      <c r="U16" s="681">
        <f>IF(終値!A16="","",BB_スイング!BT16)</f>
      </c>
      <c r="V16" s="689">
        <f>IF($D16="","",IFERROR(出来高!E16/AVERAGE(出来高!E16:I16),""))</f>
      </c>
      <c r="W16" s="690">
        <f>IF($D16="","",IF(AND($D16&gt;$G16,$O16="拡大↑",$L16&lt;=$M16*1.8),"◎スクイーズブレイク買",IF(AND($D16&gt;=$H16,$R16&gt;=BB設定!$B$10),"○順張り継続(walk)",IF(AND($S16="強気div▲",$D16&gt;$I16),"○反発(ダイバ)買",IF($U16="二番底W▲","△二番底買(確)",IF($U16="二番底W形成","△二番底形成",IF($D16&lt;$J16,"▼-2σ割れ危険",IF(AND($D16&gt;$E16,$K16&lt;0.6,$R16&gt;=50),"・押し目注目",IF($N16="スクイーズ★","☆スクイーズ監視","様子見")))))))))</f>
      </c>
      <c r="X16" s="685">
        <f>IF($D16="","",MIN(100,IF($L16&lt;=$M16*1.15,20,IF($L16&lt;=$M16*1.4,10,0))+IF($D16&gt;$G16,20,IF($D16&gt;$H16,12,IF($D16&gt;$E16,5,0)))+IF($O16="拡大↑",10,0)+IF($R16&gt;=80,15,IF($R16&gt;=60,10,IF($R16&gt;=50,5,0)))+IF(AND($Q16&gt;=50,$Q16&lt;=70),10,IF($Q16&gt;70,3,IF($Q16&gt;=40,5,0)))+IF($S16="強気div▲",15,0)+IF($T16="上walk▲",5,0)+IF($V16&gt;=2,5,IF($V16&gt;=1.5,3,0))))</f>
      </c>
      <c r="Y16" s="682">
        <f>IF($D16="","",$D16)</f>
      </c>
      <c r="Z16" s="682">
        <f>IF($D16="","",$H16)</f>
      </c>
      <c r="AA16" s="682">
        <f>IF($D16="","",IF($D16&gt;$E16,$E16,$AD16))</f>
      </c>
      <c r="AB16" s="682">
        <f>IF($D16="","",$G16)</f>
      </c>
      <c r="AC16" s="688">
        <f>IF($D16="","",IF(($Y16-$AA16)&lt;=0,"－",IFERROR(ROUND(MIN(20,($AB16-$Y16)/($Y16-$AA16)),2),"－")))</f>
      </c>
      <c r="AD16" s="682">
        <f>IF($D16="","",MIN(終値!E16:I16))</f>
      </c>
      <c r="AE16" s="684">
        <f>IF($D16="","",$X16+(10000-ROW())/100000)</f>
      </c>
    </row>
    <row r="17">
      <c r="A17" s="681">
        <f>IF(終値!A17="","",HYPERLINK("https://kabutan.jp/stock/?code="&amp;終値!A17,"📈"))</f>
      </c>
      <c r="B17" s="681">
        <f>IF(終値!A17="","",終値!A17)</f>
      </c>
      <c r="C17" s="680">
        <f>IF(終値!A17="","",終値!B17)</f>
      </c>
      <c r="D17" s="682">
        <f>IF(終値!A17="","",終値!E17)</f>
      </c>
      <c r="E17" s="682">
        <f>IF($D17="","",AVERAGE(終値!E17:X17))</f>
      </c>
      <c r="F17" s="683">
        <f>IF($D17="","",STDEVP(終値!E17:X17))</f>
      </c>
      <c r="G17" s="682">
        <f>IF($D17="","",$E17+BB設定!$B$4*$F17)</f>
      </c>
      <c r="H17" s="682">
        <f>IF($D17="","",$E17+BB設定!$B$5*$F17)</f>
      </c>
      <c r="I17" s="682">
        <f>IF($D17="","",$E17-BB設定!$B$5*$F17)</f>
      </c>
      <c r="J17" s="682">
        <f>IF($D17="","",$E17-BB設定!$B$4*$F17)</f>
      </c>
      <c r="K17" s="687">
        <f>IF($D17="","",IFERROR(($D17-$J17)/($G17-$J17),""))</f>
      </c>
      <c r="L17" s="686">
        <f>IF($D17="","",IFERROR(($G17-$J17)/$E17*100,""))</f>
      </c>
      <c r="M17" s="686">
        <f>IF($D17="","",IFERROR(MIN(BB_帯幅!B17:AP17)*100,""))</f>
      </c>
      <c r="N17" s="681">
        <f>IF($L17="","",IF($L17&lt;=$M17*BB設定!$B$7,"スクイーズ★",IF($L17&lt;=$M17*1.3,"収縮","－")))</f>
      </c>
      <c r="O17" s="681">
        <f>IF($D17="","",IF($L17&gt;(4*STDEVP(終値!F17:Y17)/AVERAGE(終値!F17:Y17)*100),"拡大↑","縮小↓"))</f>
      </c>
      <c r="P17" s="681">
        <f>IF($D17="","",IF($D17&gt;$G17,"↑+2σ突破",IF($D17&lt;$J17,"↓-2σ割れ",IF($D17&gt;$H17,"+1σ上",IF($D17&lt;$I17,"-1σ下","バンド内")))))</f>
      </c>
      <c r="Q17" s="684">
        <f>IF($D17="","",IFERROR(100-100/(1+SUMPRODUCT((終値!E17:R17&gt;終値!F17:S17)*(終値!E17:R17-終値!F17:S17))/SUMPRODUCT((終値!E17:R17&lt;終値!F17:S17)*(終値!F17:S17-終値!E17:R17))),100))</f>
      </c>
      <c r="R17" s="684">
        <f>IF($D17="","",IFERROR(100-100/(1+SUMPRODUCT((((高値!E17:R17+安値!E17:R17+終値!E17:R17)/3)&gt;((高値!F17:S17+安値!F17:S17+終値!F17:S17)/3))*((高値!E17:R17+安値!E17:R17+終値!E17:R17)/3)*出来高!E17:R17)/SUMPRODUCT((((高値!E17:R17+安値!E17:R17+終値!E17:R17)/3)&lt;((高値!F17:S17+安値!F17:S17+終値!F17:S17)/3))*((高値!E17:R17+安値!E17:R17+終値!E17:R17)/3)*出来高!E17:R17)),50))</f>
      </c>
      <c r="S17" s="681">
        <f>IF($D17="","",IF(AND(終値!E17&lt;終値!O17,$Q17&gt;(IFERROR(100-100/(1+SUMPRODUCT((終値!O17:AB17&gt;終値!P17:AC17)*(終値!O17:AB17-終値!P17:AC17))/SUMPRODUCT((終値!O17:AB17&lt;終値!P17:AC17)*(終値!P17:AC17-終値!O17:AB17))),100))),"強気div▲",IF(AND(終値!E17&gt;終値!O17,$Q17&lt;(IFERROR(100-100/(1+SUMPRODUCT((終値!O17:AB17&gt;終値!P17:AC17)*(終値!O17:AB17-終値!P17:AC17))/SUMPRODUCT((終値!O17:AB17&lt;終値!P17:AC17)*(終値!P17:AC17-終値!O17:AB17))),100))),"弱気div▼","－")))</f>
      </c>
      <c r="T17" s="681">
        <f>IF($D17="","",IF($D17&gt;=$H17,"上walk▲",IF($D17&lt;=$I17,"下walk▼","－")))</f>
      </c>
      <c r="U17" s="681">
        <f>IF(終値!A17="","",BB_スイング!BT17)</f>
      </c>
      <c r="V17" s="689">
        <f>IF($D17="","",IFERROR(出来高!E17/AVERAGE(出来高!E17:I17),""))</f>
      </c>
      <c r="W17" s="690">
        <f>IF($D17="","",IF(AND($D17&gt;$G17,$O17="拡大↑",$L17&lt;=$M17*1.8),"◎スクイーズブレイク買",IF(AND($D17&gt;=$H17,$R17&gt;=BB設定!$B$10),"○順張り継続(walk)",IF(AND($S17="強気div▲",$D17&gt;$I17),"○反発(ダイバ)買",IF($U17="二番底W▲","△二番底買(確)",IF($U17="二番底W形成","△二番底形成",IF($D17&lt;$J17,"▼-2σ割れ危険",IF(AND($D17&gt;$E17,$K17&lt;0.6,$R17&gt;=50),"・押し目注目",IF($N17="スクイーズ★","☆スクイーズ監視","様子見")))))))))</f>
      </c>
      <c r="X17" s="685">
        <f>IF($D17="","",MIN(100,IF($L17&lt;=$M17*1.15,20,IF($L17&lt;=$M17*1.4,10,0))+IF($D17&gt;$G17,20,IF($D17&gt;$H17,12,IF($D17&gt;$E17,5,0)))+IF($O17="拡大↑",10,0)+IF($R17&gt;=80,15,IF($R17&gt;=60,10,IF($R17&gt;=50,5,0)))+IF(AND($Q17&gt;=50,$Q17&lt;=70),10,IF($Q17&gt;70,3,IF($Q17&gt;=40,5,0)))+IF($S17="強気div▲",15,0)+IF($T17="上walk▲",5,0)+IF($V17&gt;=2,5,IF($V17&gt;=1.5,3,0))))</f>
      </c>
      <c r="Y17" s="682">
        <f>IF($D17="","",$D17)</f>
      </c>
      <c r="Z17" s="682">
        <f>IF($D17="","",$H17)</f>
      </c>
      <c r="AA17" s="682">
        <f>IF($D17="","",IF($D17&gt;$E17,$E17,$AD17))</f>
      </c>
      <c r="AB17" s="682">
        <f>IF($D17="","",$G17)</f>
      </c>
      <c r="AC17" s="688">
        <f>IF($D17="","",IF(($Y17-$AA17)&lt;=0,"－",IFERROR(ROUND(MIN(20,($AB17-$Y17)/($Y17-$AA17)),2),"－")))</f>
      </c>
      <c r="AD17" s="682">
        <f>IF($D17="","",MIN(終値!E17:I17))</f>
      </c>
      <c r="AE17" s="684">
        <f>IF($D17="","",$X17+(10000-ROW())/100000)</f>
      </c>
    </row>
    <row r="18">
      <c r="A18" s="681">
        <f>IF(終値!A18="","",HYPERLINK("https://kabutan.jp/stock/?code="&amp;終値!A18,"📈"))</f>
      </c>
      <c r="B18" s="681">
        <f>IF(終値!A18="","",終値!A18)</f>
      </c>
      <c r="C18" s="680">
        <f>IF(終値!A18="","",終値!B18)</f>
      </c>
      <c r="D18" s="682">
        <f>IF(終値!A18="","",終値!E18)</f>
      </c>
      <c r="E18" s="682">
        <f>IF($D18="","",AVERAGE(終値!E18:X18))</f>
      </c>
      <c r="F18" s="683">
        <f>IF($D18="","",STDEVP(終値!E18:X18))</f>
      </c>
      <c r="G18" s="682">
        <f>IF($D18="","",$E18+BB設定!$B$4*$F18)</f>
      </c>
      <c r="H18" s="682">
        <f>IF($D18="","",$E18+BB設定!$B$5*$F18)</f>
      </c>
      <c r="I18" s="682">
        <f>IF($D18="","",$E18-BB設定!$B$5*$F18)</f>
      </c>
      <c r="J18" s="682">
        <f>IF($D18="","",$E18-BB設定!$B$4*$F18)</f>
      </c>
      <c r="K18" s="687">
        <f>IF($D18="","",IFERROR(($D18-$J18)/($G18-$J18),""))</f>
      </c>
      <c r="L18" s="686">
        <f>IF($D18="","",IFERROR(($G18-$J18)/$E18*100,""))</f>
      </c>
      <c r="M18" s="686">
        <f>IF($D18="","",IFERROR(MIN(BB_帯幅!B18:AP18)*100,""))</f>
      </c>
      <c r="N18" s="681">
        <f>IF($L18="","",IF($L18&lt;=$M18*BB設定!$B$7,"スクイーズ★",IF($L18&lt;=$M18*1.3,"収縮","－")))</f>
      </c>
      <c r="O18" s="681">
        <f>IF($D18="","",IF($L18&gt;(4*STDEVP(終値!F18:Y18)/AVERAGE(終値!F18:Y18)*100),"拡大↑","縮小↓"))</f>
      </c>
      <c r="P18" s="681">
        <f>IF($D18="","",IF($D18&gt;$G18,"↑+2σ突破",IF($D18&lt;$J18,"↓-2σ割れ",IF($D18&gt;$H18,"+1σ上",IF($D18&lt;$I18,"-1σ下","バンド内")))))</f>
      </c>
      <c r="Q18" s="684">
        <f>IF($D18="","",IFERROR(100-100/(1+SUMPRODUCT((終値!E18:R18&gt;終値!F18:S18)*(終値!E18:R18-終値!F18:S18))/SUMPRODUCT((終値!E18:R18&lt;終値!F18:S18)*(終値!F18:S18-終値!E18:R18))),100))</f>
      </c>
      <c r="R18" s="684">
        <f>IF($D18="","",IFERROR(100-100/(1+SUMPRODUCT((((高値!E18:R18+安値!E18:R18+終値!E18:R18)/3)&gt;((高値!F18:S18+安値!F18:S18+終値!F18:S18)/3))*((高値!E18:R18+安値!E18:R18+終値!E18:R18)/3)*出来高!E18:R18)/SUMPRODUCT((((高値!E18:R18+安値!E18:R18+終値!E18:R18)/3)&lt;((高値!F18:S18+安値!F18:S18+終値!F18:S18)/3))*((高値!E18:R18+安値!E18:R18+終値!E18:R18)/3)*出来高!E18:R18)),50))</f>
      </c>
      <c r="S18" s="681">
        <f>IF($D18="","",IF(AND(終値!E18&lt;終値!O18,$Q18&gt;(IFERROR(100-100/(1+SUMPRODUCT((終値!O18:AB18&gt;終値!P18:AC18)*(終値!O18:AB18-終値!P18:AC18))/SUMPRODUCT((終値!O18:AB18&lt;終値!P18:AC18)*(終値!P18:AC18-終値!O18:AB18))),100))),"強気div▲",IF(AND(終値!E18&gt;終値!O18,$Q18&lt;(IFERROR(100-100/(1+SUMPRODUCT((終値!O18:AB18&gt;終値!P18:AC18)*(終値!O18:AB18-終値!P18:AC18))/SUMPRODUCT((終値!O18:AB18&lt;終値!P18:AC18)*(終値!P18:AC18-終値!O18:AB18))),100))),"弱気div▼","－")))</f>
      </c>
      <c r="T18" s="681">
        <f>IF($D18="","",IF($D18&gt;=$H18,"上walk▲",IF($D18&lt;=$I18,"下walk▼","－")))</f>
      </c>
      <c r="U18" s="681">
        <f>IF(終値!A18="","",BB_スイング!BT18)</f>
      </c>
      <c r="V18" s="689">
        <f>IF($D18="","",IFERROR(出来高!E18/AVERAGE(出来高!E18:I18),""))</f>
      </c>
      <c r="W18" s="690">
        <f>IF($D18="","",IF(AND($D18&gt;$G18,$O18="拡大↑",$L18&lt;=$M18*1.8),"◎スクイーズブレイク買",IF(AND($D18&gt;=$H18,$R18&gt;=BB設定!$B$10),"○順張り継続(walk)",IF(AND($S18="強気div▲",$D18&gt;$I18),"○反発(ダイバ)買",IF($U18="二番底W▲","△二番底買(確)",IF($U18="二番底W形成","△二番底形成",IF($D18&lt;$J18,"▼-2σ割れ危険",IF(AND($D18&gt;$E18,$K18&lt;0.6,$R18&gt;=50),"・押し目注目",IF($N18="スクイーズ★","☆スクイーズ監視","様子見")))))))))</f>
      </c>
      <c r="X18" s="685">
        <f>IF($D18="","",MIN(100,IF($L18&lt;=$M18*1.15,20,IF($L18&lt;=$M18*1.4,10,0))+IF($D18&gt;$G18,20,IF($D18&gt;$H18,12,IF($D18&gt;$E18,5,0)))+IF($O18="拡大↑",10,0)+IF($R18&gt;=80,15,IF($R18&gt;=60,10,IF($R18&gt;=50,5,0)))+IF(AND($Q18&gt;=50,$Q18&lt;=70),10,IF($Q18&gt;70,3,IF($Q18&gt;=40,5,0)))+IF($S18="強気div▲",15,0)+IF($T18="上walk▲",5,0)+IF($V18&gt;=2,5,IF($V18&gt;=1.5,3,0))))</f>
      </c>
      <c r="Y18" s="682">
        <f>IF($D18="","",$D18)</f>
      </c>
      <c r="Z18" s="682">
        <f>IF($D18="","",$H18)</f>
      </c>
      <c r="AA18" s="682">
        <f>IF($D18="","",IF($D18&gt;$E18,$E18,$AD18))</f>
      </c>
      <c r="AB18" s="682">
        <f>IF($D18="","",$G18)</f>
      </c>
      <c r="AC18" s="688">
        <f>IF($D18="","",IF(($Y18-$AA18)&lt;=0,"－",IFERROR(ROUND(MIN(20,($AB18-$Y18)/($Y18-$AA18)),2),"－")))</f>
      </c>
      <c r="AD18" s="682">
        <f>IF($D18="","",MIN(終値!E18:I18))</f>
      </c>
      <c r="AE18" s="684">
        <f>IF($D18="","",$X18+(10000-ROW())/100000)</f>
      </c>
    </row>
    <row r="19">
      <c r="A19" s="681">
        <f>IF(終値!A19="","",HYPERLINK("https://kabutan.jp/stock/?code="&amp;終値!A19,"📈"))</f>
      </c>
      <c r="B19" s="681">
        <f>IF(終値!A19="","",終値!A19)</f>
      </c>
      <c r="C19" s="680">
        <f>IF(終値!A19="","",終値!B19)</f>
      </c>
      <c r="D19" s="682">
        <f>IF(終値!A19="","",終値!E19)</f>
      </c>
      <c r="E19" s="682">
        <f>IF($D19="","",AVERAGE(終値!E19:X19))</f>
      </c>
      <c r="F19" s="683">
        <f>IF($D19="","",STDEVP(終値!E19:X19))</f>
      </c>
      <c r="G19" s="682">
        <f>IF($D19="","",$E19+BB設定!$B$4*$F19)</f>
      </c>
      <c r="H19" s="682">
        <f>IF($D19="","",$E19+BB設定!$B$5*$F19)</f>
      </c>
      <c r="I19" s="682">
        <f>IF($D19="","",$E19-BB設定!$B$5*$F19)</f>
      </c>
      <c r="J19" s="682">
        <f>IF($D19="","",$E19-BB設定!$B$4*$F19)</f>
      </c>
      <c r="K19" s="687">
        <f>IF($D19="","",IFERROR(($D19-$J19)/($G19-$J19),""))</f>
      </c>
      <c r="L19" s="686">
        <f>IF($D19="","",IFERROR(($G19-$J19)/$E19*100,""))</f>
      </c>
      <c r="M19" s="686">
        <f>IF($D19="","",IFERROR(MIN(BB_帯幅!B19:AP19)*100,""))</f>
      </c>
      <c r="N19" s="681">
        <f>IF($L19="","",IF($L19&lt;=$M19*BB設定!$B$7,"スクイーズ★",IF($L19&lt;=$M19*1.3,"収縮","－")))</f>
      </c>
      <c r="O19" s="681">
        <f>IF($D19="","",IF($L19&gt;(4*STDEVP(終値!F19:Y19)/AVERAGE(終値!F19:Y19)*100),"拡大↑","縮小↓"))</f>
      </c>
      <c r="P19" s="681">
        <f>IF($D19="","",IF($D19&gt;$G19,"↑+2σ突破",IF($D19&lt;$J19,"↓-2σ割れ",IF($D19&gt;$H19,"+1σ上",IF($D19&lt;$I19,"-1σ下","バンド内")))))</f>
      </c>
      <c r="Q19" s="684">
        <f>IF($D19="","",IFERROR(100-100/(1+SUMPRODUCT((終値!E19:R19&gt;終値!F19:S19)*(終値!E19:R19-終値!F19:S19))/SUMPRODUCT((終値!E19:R19&lt;終値!F19:S19)*(終値!F19:S19-終値!E19:R19))),100))</f>
      </c>
      <c r="R19" s="684">
        <f>IF($D19="","",IFERROR(100-100/(1+SUMPRODUCT((((高値!E19:R19+安値!E19:R19+終値!E19:R19)/3)&gt;((高値!F19:S19+安値!F19:S19+終値!F19:S19)/3))*((高値!E19:R19+安値!E19:R19+終値!E19:R19)/3)*出来高!E19:R19)/SUMPRODUCT((((高値!E19:R19+安値!E19:R19+終値!E19:R19)/3)&lt;((高値!F19:S19+安値!F19:S19+終値!F19:S19)/3))*((高値!E19:R19+安値!E19:R19+終値!E19:R19)/3)*出来高!E19:R19)),50))</f>
      </c>
      <c r="S19" s="681">
        <f>IF($D19="","",IF(AND(終値!E19&lt;終値!O19,$Q19&gt;(IFERROR(100-100/(1+SUMPRODUCT((終値!O19:AB19&gt;終値!P19:AC19)*(終値!O19:AB19-終値!P19:AC19))/SUMPRODUCT((終値!O19:AB19&lt;終値!P19:AC19)*(終値!P19:AC19-終値!O19:AB19))),100))),"強気div▲",IF(AND(終値!E19&gt;終値!O19,$Q19&lt;(IFERROR(100-100/(1+SUMPRODUCT((終値!O19:AB19&gt;終値!P19:AC19)*(終値!O19:AB19-終値!P19:AC19))/SUMPRODUCT((終値!O19:AB19&lt;終値!P19:AC19)*(終値!P19:AC19-終値!O19:AB19))),100))),"弱気div▼","－")))</f>
      </c>
      <c r="T19" s="681">
        <f>IF($D19="","",IF($D19&gt;=$H19,"上walk▲",IF($D19&lt;=$I19,"下walk▼","－")))</f>
      </c>
      <c r="U19" s="681">
        <f>IF(終値!A19="","",BB_スイング!BT19)</f>
      </c>
      <c r="V19" s="689">
        <f>IF($D19="","",IFERROR(出来高!E19/AVERAGE(出来高!E19:I19),""))</f>
      </c>
      <c r="W19" s="690">
        <f>IF($D19="","",IF(AND($D19&gt;$G19,$O19="拡大↑",$L19&lt;=$M19*1.8),"◎スクイーズブレイク買",IF(AND($D19&gt;=$H19,$R19&gt;=BB設定!$B$10),"○順張り継続(walk)",IF(AND($S19="強気div▲",$D19&gt;$I19),"○反発(ダイバ)買",IF($U19="二番底W▲","△二番底買(確)",IF($U19="二番底W形成","△二番底形成",IF($D19&lt;$J19,"▼-2σ割れ危険",IF(AND($D19&gt;$E19,$K19&lt;0.6,$R19&gt;=50),"・押し目注目",IF($N19="スクイーズ★","☆スクイーズ監視","様子見")))))))))</f>
      </c>
      <c r="X19" s="685">
        <f>IF($D19="","",MIN(100,IF($L19&lt;=$M19*1.15,20,IF($L19&lt;=$M19*1.4,10,0))+IF($D19&gt;$G19,20,IF($D19&gt;$H19,12,IF($D19&gt;$E19,5,0)))+IF($O19="拡大↑",10,0)+IF($R19&gt;=80,15,IF($R19&gt;=60,10,IF($R19&gt;=50,5,0)))+IF(AND($Q19&gt;=50,$Q19&lt;=70),10,IF($Q19&gt;70,3,IF($Q19&gt;=40,5,0)))+IF($S19="強気div▲",15,0)+IF($T19="上walk▲",5,0)+IF($V19&gt;=2,5,IF($V19&gt;=1.5,3,0))))</f>
      </c>
      <c r="Y19" s="682">
        <f>IF($D19="","",$D19)</f>
      </c>
      <c r="Z19" s="682">
        <f>IF($D19="","",$H19)</f>
      </c>
      <c r="AA19" s="682">
        <f>IF($D19="","",IF($D19&gt;$E19,$E19,$AD19))</f>
      </c>
      <c r="AB19" s="682">
        <f>IF($D19="","",$G19)</f>
      </c>
      <c r="AC19" s="688">
        <f>IF($D19="","",IF(($Y19-$AA19)&lt;=0,"－",IFERROR(ROUND(MIN(20,($AB19-$Y19)/($Y19-$AA19)),2),"－")))</f>
      </c>
      <c r="AD19" s="682">
        <f>IF($D19="","",MIN(終値!E19:I19))</f>
      </c>
      <c r="AE19" s="684">
        <f>IF($D19="","",$X19+(10000-ROW())/100000)</f>
      </c>
    </row>
    <row r="20">
      <c r="A20" s="681">
        <f>IF(終値!A20="","",HYPERLINK("https://kabutan.jp/stock/?code="&amp;終値!A20,"📈"))</f>
      </c>
      <c r="B20" s="681">
        <f>IF(終値!A20="","",終値!A20)</f>
      </c>
      <c r="C20" s="680">
        <f>IF(終値!A20="","",終値!B20)</f>
      </c>
      <c r="D20" s="682">
        <f>IF(終値!A20="","",終値!E20)</f>
      </c>
      <c r="E20" s="682">
        <f>IF($D20="","",AVERAGE(終値!E20:X20))</f>
      </c>
      <c r="F20" s="683">
        <f>IF($D20="","",STDEVP(終値!E20:X20))</f>
      </c>
      <c r="G20" s="682">
        <f>IF($D20="","",$E20+BB設定!$B$4*$F20)</f>
      </c>
      <c r="H20" s="682">
        <f>IF($D20="","",$E20+BB設定!$B$5*$F20)</f>
      </c>
      <c r="I20" s="682">
        <f>IF($D20="","",$E20-BB設定!$B$5*$F20)</f>
      </c>
      <c r="J20" s="682">
        <f>IF($D20="","",$E20-BB設定!$B$4*$F20)</f>
      </c>
      <c r="K20" s="687">
        <f>IF($D20="","",IFERROR(($D20-$J20)/($G20-$J20),""))</f>
      </c>
      <c r="L20" s="686">
        <f>IF($D20="","",IFERROR(($G20-$J20)/$E20*100,""))</f>
      </c>
      <c r="M20" s="686">
        <f>IF($D20="","",IFERROR(MIN(BB_帯幅!B20:AP20)*100,""))</f>
      </c>
      <c r="N20" s="681">
        <f>IF($L20="","",IF($L20&lt;=$M20*BB設定!$B$7,"スクイーズ★",IF($L20&lt;=$M20*1.3,"収縮","－")))</f>
      </c>
      <c r="O20" s="681">
        <f>IF($D20="","",IF($L20&gt;(4*STDEVP(終値!F20:Y20)/AVERAGE(終値!F20:Y20)*100),"拡大↑","縮小↓"))</f>
      </c>
      <c r="P20" s="681">
        <f>IF($D20="","",IF($D20&gt;$G20,"↑+2σ突破",IF($D20&lt;$J20,"↓-2σ割れ",IF($D20&gt;$H20,"+1σ上",IF($D20&lt;$I20,"-1σ下","バンド内")))))</f>
      </c>
      <c r="Q20" s="684">
        <f>IF($D20="","",IFERROR(100-100/(1+SUMPRODUCT((終値!E20:R20&gt;終値!F20:S20)*(終値!E20:R20-終値!F20:S20))/SUMPRODUCT((終値!E20:R20&lt;終値!F20:S20)*(終値!F20:S20-終値!E20:R20))),100))</f>
      </c>
      <c r="R20" s="684">
        <f>IF($D20="","",IFERROR(100-100/(1+SUMPRODUCT((((高値!E20:R20+安値!E20:R20+終値!E20:R20)/3)&gt;((高値!F20:S20+安値!F20:S20+終値!F20:S20)/3))*((高値!E20:R20+安値!E20:R20+終値!E20:R20)/3)*出来高!E20:R20)/SUMPRODUCT((((高値!E20:R20+安値!E20:R20+終値!E20:R20)/3)&lt;((高値!F20:S20+安値!F20:S20+終値!F20:S20)/3))*((高値!E20:R20+安値!E20:R20+終値!E20:R20)/3)*出来高!E20:R20)),50))</f>
      </c>
      <c r="S20" s="681">
        <f>IF($D20="","",IF(AND(終値!E20&lt;終値!O20,$Q20&gt;(IFERROR(100-100/(1+SUMPRODUCT((終値!O20:AB20&gt;終値!P20:AC20)*(終値!O20:AB20-終値!P20:AC20))/SUMPRODUCT((終値!O20:AB20&lt;終値!P20:AC20)*(終値!P20:AC20-終値!O20:AB20))),100))),"強気div▲",IF(AND(終値!E20&gt;終値!O20,$Q20&lt;(IFERROR(100-100/(1+SUMPRODUCT((終値!O20:AB20&gt;終値!P20:AC20)*(終値!O20:AB20-終値!P20:AC20))/SUMPRODUCT((終値!O20:AB20&lt;終値!P20:AC20)*(終値!P20:AC20-終値!O20:AB20))),100))),"弱気div▼","－")))</f>
      </c>
      <c r="T20" s="681">
        <f>IF($D20="","",IF($D20&gt;=$H20,"上walk▲",IF($D20&lt;=$I20,"下walk▼","－")))</f>
      </c>
      <c r="U20" s="681">
        <f>IF(終値!A20="","",BB_スイング!BT20)</f>
      </c>
      <c r="V20" s="689">
        <f>IF($D20="","",IFERROR(出来高!E20/AVERAGE(出来高!E20:I20),""))</f>
      </c>
      <c r="W20" s="690">
        <f>IF($D20="","",IF(AND($D20&gt;$G20,$O20="拡大↑",$L20&lt;=$M20*1.8),"◎スクイーズブレイク買",IF(AND($D20&gt;=$H20,$R20&gt;=BB設定!$B$10),"○順張り継続(walk)",IF(AND($S20="強気div▲",$D20&gt;$I20),"○反発(ダイバ)買",IF($U20="二番底W▲","△二番底買(確)",IF($U20="二番底W形成","△二番底形成",IF($D20&lt;$J20,"▼-2σ割れ危険",IF(AND($D20&gt;$E20,$K20&lt;0.6,$R20&gt;=50),"・押し目注目",IF($N20="スクイーズ★","☆スクイーズ監視","様子見")))))))))</f>
      </c>
      <c r="X20" s="685">
        <f>IF($D20="","",MIN(100,IF($L20&lt;=$M20*1.15,20,IF($L20&lt;=$M20*1.4,10,0))+IF($D20&gt;$G20,20,IF($D20&gt;$H20,12,IF($D20&gt;$E20,5,0)))+IF($O20="拡大↑",10,0)+IF($R20&gt;=80,15,IF($R20&gt;=60,10,IF($R20&gt;=50,5,0)))+IF(AND($Q20&gt;=50,$Q20&lt;=70),10,IF($Q20&gt;70,3,IF($Q20&gt;=40,5,0)))+IF($S20="強気div▲",15,0)+IF($T20="上walk▲",5,0)+IF($V20&gt;=2,5,IF($V20&gt;=1.5,3,0))))</f>
      </c>
      <c r="Y20" s="682">
        <f>IF($D20="","",$D20)</f>
      </c>
      <c r="Z20" s="682">
        <f>IF($D20="","",$H20)</f>
      </c>
      <c r="AA20" s="682">
        <f>IF($D20="","",IF($D20&gt;$E20,$E20,$AD20))</f>
      </c>
      <c r="AB20" s="682">
        <f>IF($D20="","",$G20)</f>
      </c>
      <c r="AC20" s="688">
        <f>IF($D20="","",IF(($Y20-$AA20)&lt;=0,"－",IFERROR(ROUND(MIN(20,($AB20-$Y20)/($Y20-$AA20)),2),"－")))</f>
      </c>
      <c r="AD20" s="682">
        <f>IF($D20="","",MIN(終値!E20:I20))</f>
      </c>
      <c r="AE20" s="684">
        <f>IF($D20="","",$X20+(10000-ROW())/100000)</f>
      </c>
    </row>
    <row r="21">
      <c r="A21" s="681">
        <f>IF(終値!A21="","",HYPERLINK("https://kabutan.jp/stock/?code="&amp;終値!A21,"📈"))</f>
      </c>
      <c r="B21" s="681">
        <f>IF(終値!A21="","",終値!A21)</f>
      </c>
      <c r="C21" s="680">
        <f>IF(終値!A21="","",終値!B21)</f>
      </c>
      <c r="D21" s="682">
        <f>IF(終値!A21="","",終値!E21)</f>
      </c>
      <c r="E21" s="682">
        <f>IF($D21="","",AVERAGE(終値!E21:X21))</f>
      </c>
      <c r="F21" s="683">
        <f>IF($D21="","",STDEVP(終値!E21:X21))</f>
      </c>
      <c r="G21" s="682">
        <f>IF($D21="","",$E21+BB設定!$B$4*$F21)</f>
      </c>
      <c r="H21" s="682">
        <f>IF($D21="","",$E21+BB設定!$B$5*$F21)</f>
      </c>
      <c r="I21" s="682">
        <f>IF($D21="","",$E21-BB設定!$B$5*$F21)</f>
      </c>
      <c r="J21" s="682">
        <f>IF($D21="","",$E21-BB設定!$B$4*$F21)</f>
      </c>
      <c r="K21" s="687">
        <f>IF($D21="","",IFERROR(($D21-$J21)/($G21-$J21),""))</f>
      </c>
      <c r="L21" s="686">
        <f>IF($D21="","",IFERROR(($G21-$J21)/$E21*100,""))</f>
      </c>
      <c r="M21" s="686">
        <f>IF($D21="","",IFERROR(MIN(BB_帯幅!B21:AP21)*100,""))</f>
      </c>
      <c r="N21" s="681">
        <f>IF($L21="","",IF($L21&lt;=$M21*BB設定!$B$7,"スクイーズ★",IF($L21&lt;=$M21*1.3,"収縮","－")))</f>
      </c>
      <c r="O21" s="681">
        <f>IF($D21="","",IF($L21&gt;(4*STDEVP(終値!F21:Y21)/AVERAGE(終値!F21:Y21)*100),"拡大↑","縮小↓"))</f>
      </c>
      <c r="P21" s="681">
        <f>IF($D21="","",IF($D21&gt;$G21,"↑+2σ突破",IF($D21&lt;$J21,"↓-2σ割れ",IF($D21&gt;$H21,"+1σ上",IF($D21&lt;$I21,"-1σ下","バンド内")))))</f>
      </c>
      <c r="Q21" s="684">
        <f>IF($D21="","",IFERROR(100-100/(1+SUMPRODUCT((終値!E21:R21&gt;終値!F21:S21)*(終値!E21:R21-終値!F21:S21))/SUMPRODUCT((終値!E21:R21&lt;終値!F21:S21)*(終値!F21:S21-終値!E21:R21))),100))</f>
      </c>
      <c r="R21" s="684">
        <f>IF($D21="","",IFERROR(100-100/(1+SUMPRODUCT((((高値!E21:R21+安値!E21:R21+終値!E21:R21)/3)&gt;((高値!F21:S21+安値!F21:S21+終値!F21:S21)/3))*((高値!E21:R21+安値!E21:R21+終値!E21:R21)/3)*出来高!E21:R21)/SUMPRODUCT((((高値!E21:R21+安値!E21:R21+終値!E21:R21)/3)&lt;((高値!F21:S21+安値!F21:S21+終値!F21:S21)/3))*((高値!E21:R21+安値!E21:R21+終値!E21:R21)/3)*出来高!E21:R21)),50))</f>
      </c>
      <c r="S21" s="681">
        <f>IF($D21="","",IF(AND(終値!E21&lt;終値!O21,$Q21&gt;(IFERROR(100-100/(1+SUMPRODUCT((終値!O21:AB21&gt;終値!P21:AC21)*(終値!O21:AB21-終値!P21:AC21))/SUMPRODUCT((終値!O21:AB21&lt;終値!P21:AC21)*(終値!P21:AC21-終値!O21:AB21))),100))),"強気div▲",IF(AND(終値!E21&gt;終値!O21,$Q21&lt;(IFERROR(100-100/(1+SUMPRODUCT((終値!O21:AB21&gt;終値!P21:AC21)*(終値!O21:AB21-終値!P21:AC21))/SUMPRODUCT((終値!O21:AB21&lt;終値!P21:AC21)*(終値!P21:AC21-終値!O21:AB21))),100))),"弱気div▼","－")))</f>
      </c>
      <c r="T21" s="681">
        <f>IF($D21="","",IF($D21&gt;=$H21,"上walk▲",IF($D21&lt;=$I21,"下walk▼","－")))</f>
      </c>
      <c r="U21" s="681">
        <f>IF(終値!A21="","",BB_スイング!BT21)</f>
      </c>
      <c r="V21" s="689">
        <f>IF($D21="","",IFERROR(出来高!E21/AVERAGE(出来高!E21:I21),""))</f>
      </c>
      <c r="W21" s="690">
        <f>IF($D21="","",IF(AND($D21&gt;$G21,$O21="拡大↑",$L21&lt;=$M21*1.8),"◎スクイーズブレイク買",IF(AND($D21&gt;=$H21,$R21&gt;=BB設定!$B$10),"○順張り継続(walk)",IF(AND($S21="強気div▲",$D21&gt;$I21),"○反発(ダイバ)買",IF($U21="二番底W▲","△二番底買(確)",IF($U21="二番底W形成","△二番底形成",IF($D21&lt;$J21,"▼-2σ割れ危険",IF(AND($D21&gt;$E21,$K21&lt;0.6,$R21&gt;=50),"・押し目注目",IF($N21="スクイーズ★","☆スクイーズ監視","様子見")))))))))</f>
      </c>
      <c r="X21" s="685">
        <f>IF($D21="","",MIN(100,IF($L21&lt;=$M21*1.15,20,IF($L21&lt;=$M21*1.4,10,0))+IF($D21&gt;$G21,20,IF($D21&gt;$H21,12,IF($D21&gt;$E21,5,0)))+IF($O21="拡大↑",10,0)+IF($R21&gt;=80,15,IF($R21&gt;=60,10,IF($R21&gt;=50,5,0)))+IF(AND($Q21&gt;=50,$Q21&lt;=70),10,IF($Q21&gt;70,3,IF($Q21&gt;=40,5,0)))+IF($S21="強気div▲",15,0)+IF($T21="上walk▲",5,0)+IF($V21&gt;=2,5,IF($V21&gt;=1.5,3,0))))</f>
      </c>
      <c r="Y21" s="682">
        <f>IF($D21="","",$D21)</f>
      </c>
      <c r="Z21" s="682">
        <f>IF($D21="","",$H21)</f>
      </c>
      <c r="AA21" s="682">
        <f>IF($D21="","",IF($D21&gt;$E21,$E21,$AD21))</f>
      </c>
      <c r="AB21" s="682">
        <f>IF($D21="","",$G21)</f>
      </c>
      <c r="AC21" s="688">
        <f>IF($D21="","",IF(($Y21-$AA21)&lt;=0,"－",IFERROR(ROUND(MIN(20,($AB21-$Y21)/($Y21-$AA21)),2),"－")))</f>
      </c>
      <c r="AD21" s="682">
        <f>IF($D21="","",MIN(終値!E21:I21))</f>
      </c>
      <c r="AE21" s="684">
        <f>IF($D21="","",$X21+(10000-ROW())/100000)</f>
      </c>
    </row>
    <row r="22">
      <c r="A22" s="681">
        <f>IF(終値!A22="","",HYPERLINK("https://kabutan.jp/stock/?code="&amp;終値!A22,"📈"))</f>
      </c>
      <c r="B22" s="681">
        <f>IF(終値!A22="","",終値!A22)</f>
      </c>
      <c r="C22" s="680">
        <f>IF(終値!A22="","",終値!B22)</f>
      </c>
      <c r="D22" s="682">
        <f>IF(終値!A22="","",終値!E22)</f>
      </c>
      <c r="E22" s="682">
        <f>IF($D22="","",AVERAGE(終値!E22:X22))</f>
      </c>
      <c r="F22" s="683">
        <f>IF($D22="","",STDEVP(終値!E22:X22))</f>
      </c>
      <c r="G22" s="682">
        <f>IF($D22="","",$E22+BB設定!$B$4*$F22)</f>
      </c>
      <c r="H22" s="682">
        <f>IF($D22="","",$E22+BB設定!$B$5*$F22)</f>
      </c>
      <c r="I22" s="682">
        <f>IF($D22="","",$E22-BB設定!$B$5*$F22)</f>
      </c>
      <c r="J22" s="682">
        <f>IF($D22="","",$E22-BB設定!$B$4*$F22)</f>
      </c>
      <c r="K22" s="687">
        <f>IF($D22="","",IFERROR(($D22-$J22)/($G22-$J22),""))</f>
      </c>
      <c r="L22" s="686">
        <f>IF($D22="","",IFERROR(($G22-$J22)/$E22*100,""))</f>
      </c>
      <c r="M22" s="686">
        <f>IF($D22="","",IFERROR(MIN(BB_帯幅!B22:AP22)*100,""))</f>
      </c>
      <c r="N22" s="681">
        <f>IF($L22="","",IF($L22&lt;=$M22*BB設定!$B$7,"スクイーズ★",IF($L22&lt;=$M22*1.3,"収縮","－")))</f>
      </c>
      <c r="O22" s="681">
        <f>IF($D22="","",IF($L22&gt;(4*STDEVP(終値!F22:Y22)/AVERAGE(終値!F22:Y22)*100),"拡大↑","縮小↓"))</f>
      </c>
      <c r="P22" s="681">
        <f>IF($D22="","",IF($D22&gt;$G22,"↑+2σ突破",IF($D22&lt;$J22,"↓-2σ割れ",IF($D22&gt;$H22,"+1σ上",IF($D22&lt;$I22,"-1σ下","バンド内")))))</f>
      </c>
      <c r="Q22" s="684">
        <f>IF($D22="","",IFERROR(100-100/(1+SUMPRODUCT((終値!E22:R22&gt;終値!F22:S22)*(終値!E22:R22-終値!F22:S22))/SUMPRODUCT((終値!E22:R22&lt;終値!F22:S22)*(終値!F22:S22-終値!E22:R22))),100))</f>
      </c>
      <c r="R22" s="684">
        <f>IF($D22="","",IFERROR(100-100/(1+SUMPRODUCT((((高値!E22:R22+安値!E22:R22+終値!E22:R22)/3)&gt;((高値!F22:S22+安値!F22:S22+終値!F22:S22)/3))*((高値!E22:R22+安値!E22:R22+終値!E22:R22)/3)*出来高!E22:R22)/SUMPRODUCT((((高値!E22:R22+安値!E22:R22+終値!E22:R22)/3)&lt;((高値!F22:S22+安値!F22:S22+終値!F22:S22)/3))*((高値!E22:R22+安値!E22:R22+終値!E22:R22)/3)*出来高!E22:R22)),50))</f>
      </c>
      <c r="S22" s="681">
        <f>IF($D22="","",IF(AND(終値!E22&lt;終値!O22,$Q22&gt;(IFERROR(100-100/(1+SUMPRODUCT((終値!O22:AB22&gt;終値!P22:AC22)*(終値!O22:AB22-終値!P22:AC22))/SUMPRODUCT((終値!O22:AB22&lt;終値!P22:AC22)*(終値!P22:AC22-終値!O22:AB22))),100))),"強気div▲",IF(AND(終値!E22&gt;終値!O22,$Q22&lt;(IFERROR(100-100/(1+SUMPRODUCT((終値!O22:AB22&gt;終値!P22:AC22)*(終値!O22:AB22-終値!P22:AC22))/SUMPRODUCT((終値!O22:AB22&lt;終値!P22:AC22)*(終値!P22:AC22-終値!O22:AB22))),100))),"弱気div▼","－")))</f>
      </c>
      <c r="T22" s="681">
        <f>IF($D22="","",IF($D22&gt;=$H22,"上walk▲",IF($D22&lt;=$I22,"下walk▼","－")))</f>
      </c>
      <c r="U22" s="681">
        <f>IF(終値!A22="","",BB_スイング!BT22)</f>
      </c>
      <c r="V22" s="689">
        <f>IF($D22="","",IFERROR(出来高!E22/AVERAGE(出来高!E22:I22),""))</f>
      </c>
      <c r="W22" s="690">
        <f>IF($D22="","",IF(AND($D22&gt;$G22,$O22="拡大↑",$L22&lt;=$M22*1.8),"◎スクイーズブレイク買",IF(AND($D22&gt;=$H22,$R22&gt;=BB設定!$B$10),"○順張り継続(walk)",IF(AND($S22="強気div▲",$D22&gt;$I22),"○反発(ダイバ)買",IF($U22="二番底W▲","△二番底買(確)",IF($U22="二番底W形成","△二番底形成",IF($D22&lt;$J22,"▼-2σ割れ危険",IF(AND($D22&gt;$E22,$K22&lt;0.6,$R22&gt;=50),"・押し目注目",IF($N22="スクイーズ★","☆スクイーズ監視","様子見")))))))))</f>
      </c>
      <c r="X22" s="685">
        <f>IF($D22="","",MIN(100,IF($L22&lt;=$M22*1.15,20,IF($L22&lt;=$M22*1.4,10,0))+IF($D22&gt;$G22,20,IF($D22&gt;$H22,12,IF($D22&gt;$E22,5,0)))+IF($O22="拡大↑",10,0)+IF($R22&gt;=80,15,IF($R22&gt;=60,10,IF($R22&gt;=50,5,0)))+IF(AND($Q22&gt;=50,$Q22&lt;=70),10,IF($Q22&gt;70,3,IF($Q22&gt;=40,5,0)))+IF($S22="強気div▲",15,0)+IF($T22="上walk▲",5,0)+IF($V22&gt;=2,5,IF($V22&gt;=1.5,3,0))))</f>
      </c>
      <c r="Y22" s="682">
        <f>IF($D22="","",$D22)</f>
      </c>
      <c r="Z22" s="682">
        <f>IF($D22="","",$H22)</f>
      </c>
      <c r="AA22" s="682">
        <f>IF($D22="","",IF($D22&gt;$E22,$E22,$AD22))</f>
      </c>
      <c r="AB22" s="682">
        <f>IF($D22="","",$G22)</f>
      </c>
      <c r="AC22" s="688">
        <f>IF($D22="","",IF(($Y22-$AA22)&lt;=0,"－",IFERROR(ROUND(MIN(20,($AB22-$Y22)/($Y22-$AA22)),2),"－")))</f>
      </c>
      <c r="AD22" s="682">
        <f>IF($D22="","",MIN(終値!E22:I22))</f>
      </c>
      <c r="AE22" s="684">
        <f>IF($D22="","",$X22+(10000-ROW())/100000)</f>
      </c>
    </row>
    <row r="23">
      <c r="A23" s="681">
        <f>IF(終値!A23="","",HYPERLINK("https://kabutan.jp/stock/?code="&amp;終値!A23,"📈"))</f>
      </c>
      <c r="B23" s="681">
        <f>IF(終値!A23="","",終値!A23)</f>
      </c>
      <c r="C23" s="680">
        <f>IF(終値!A23="","",終値!B23)</f>
      </c>
      <c r="D23" s="682">
        <f>IF(終値!A23="","",終値!E23)</f>
      </c>
      <c r="E23" s="682">
        <f>IF($D23="","",AVERAGE(終値!E23:X23))</f>
      </c>
      <c r="F23" s="683">
        <f>IF($D23="","",STDEVP(終値!E23:X23))</f>
      </c>
      <c r="G23" s="682">
        <f>IF($D23="","",$E23+BB設定!$B$4*$F23)</f>
      </c>
      <c r="H23" s="682">
        <f>IF($D23="","",$E23+BB設定!$B$5*$F23)</f>
      </c>
      <c r="I23" s="682">
        <f>IF($D23="","",$E23-BB設定!$B$5*$F23)</f>
      </c>
      <c r="J23" s="682">
        <f>IF($D23="","",$E23-BB設定!$B$4*$F23)</f>
      </c>
      <c r="K23" s="687">
        <f>IF($D23="","",IFERROR(($D23-$J23)/($G23-$J23),""))</f>
      </c>
      <c r="L23" s="686">
        <f>IF($D23="","",IFERROR(($G23-$J23)/$E23*100,""))</f>
      </c>
      <c r="M23" s="686">
        <f>IF($D23="","",IFERROR(MIN(BB_帯幅!B23:AP23)*100,""))</f>
      </c>
      <c r="N23" s="681">
        <f>IF($L23="","",IF($L23&lt;=$M23*BB設定!$B$7,"スクイーズ★",IF($L23&lt;=$M23*1.3,"収縮","－")))</f>
      </c>
      <c r="O23" s="681">
        <f>IF($D23="","",IF($L23&gt;(4*STDEVP(終値!F23:Y23)/AVERAGE(終値!F23:Y23)*100),"拡大↑","縮小↓"))</f>
      </c>
      <c r="P23" s="681">
        <f>IF($D23="","",IF($D23&gt;$G23,"↑+2σ突破",IF($D23&lt;$J23,"↓-2σ割れ",IF($D23&gt;$H23,"+1σ上",IF($D23&lt;$I23,"-1σ下","バンド内")))))</f>
      </c>
      <c r="Q23" s="684">
        <f>IF($D23="","",IFERROR(100-100/(1+SUMPRODUCT((終値!E23:R23&gt;終値!F23:S23)*(終値!E23:R23-終値!F23:S23))/SUMPRODUCT((終値!E23:R23&lt;終値!F23:S23)*(終値!F23:S23-終値!E23:R23))),100))</f>
      </c>
      <c r="R23" s="684">
        <f>IF($D23="","",IFERROR(100-100/(1+SUMPRODUCT((((高値!E23:R23+安値!E23:R23+終値!E23:R23)/3)&gt;((高値!F23:S23+安値!F23:S23+終値!F23:S23)/3))*((高値!E23:R23+安値!E23:R23+終値!E23:R23)/3)*出来高!E23:R23)/SUMPRODUCT((((高値!E23:R23+安値!E23:R23+終値!E23:R23)/3)&lt;((高値!F23:S23+安値!F23:S23+終値!F23:S23)/3))*((高値!E23:R23+安値!E23:R23+終値!E23:R23)/3)*出来高!E23:R23)),50))</f>
      </c>
      <c r="S23" s="681">
        <f>IF($D23="","",IF(AND(終値!E23&lt;終値!O23,$Q23&gt;(IFERROR(100-100/(1+SUMPRODUCT((終値!O23:AB23&gt;終値!P23:AC23)*(終値!O23:AB23-終値!P23:AC23))/SUMPRODUCT((終値!O23:AB23&lt;終値!P23:AC23)*(終値!P23:AC23-終値!O23:AB23))),100))),"強気div▲",IF(AND(終値!E23&gt;終値!O23,$Q23&lt;(IFERROR(100-100/(1+SUMPRODUCT((終値!O23:AB23&gt;終値!P23:AC23)*(終値!O23:AB23-終値!P23:AC23))/SUMPRODUCT((終値!O23:AB23&lt;終値!P23:AC23)*(終値!P23:AC23-終値!O23:AB23))),100))),"弱気div▼","－")))</f>
      </c>
      <c r="T23" s="681">
        <f>IF($D23="","",IF($D23&gt;=$H23,"上walk▲",IF($D23&lt;=$I23,"下walk▼","－")))</f>
      </c>
      <c r="U23" s="681">
        <f>IF(終値!A23="","",BB_スイング!BT23)</f>
      </c>
      <c r="V23" s="689">
        <f>IF($D23="","",IFERROR(出来高!E23/AVERAGE(出来高!E23:I23),""))</f>
      </c>
      <c r="W23" s="690">
        <f>IF($D23="","",IF(AND($D23&gt;$G23,$O23="拡大↑",$L23&lt;=$M23*1.8),"◎スクイーズブレイク買",IF(AND($D23&gt;=$H23,$R23&gt;=BB設定!$B$10),"○順張り継続(walk)",IF(AND($S23="強気div▲",$D23&gt;$I23),"○反発(ダイバ)買",IF($U23="二番底W▲","△二番底買(確)",IF($U23="二番底W形成","△二番底形成",IF($D23&lt;$J23,"▼-2σ割れ危険",IF(AND($D23&gt;$E23,$K23&lt;0.6,$R23&gt;=50),"・押し目注目",IF($N23="スクイーズ★","☆スクイーズ監視","様子見")))))))))</f>
      </c>
      <c r="X23" s="685">
        <f>IF($D23="","",MIN(100,IF($L23&lt;=$M23*1.15,20,IF($L23&lt;=$M23*1.4,10,0))+IF($D23&gt;$G23,20,IF($D23&gt;$H23,12,IF($D23&gt;$E23,5,0)))+IF($O23="拡大↑",10,0)+IF($R23&gt;=80,15,IF($R23&gt;=60,10,IF($R23&gt;=50,5,0)))+IF(AND($Q23&gt;=50,$Q23&lt;=70),10,IF($Q23&gt;70,3,IF($Q23&gt;=40,5,0)))+IF($S23="強気div▲",15,0)+IF($T23="上walk▲",5,0)+IF($V23&gt;=2,5,IF($V23&gt;=1.5,3,0))))</f>
      </c>
      <c r="Y23" s="682">
        <f>IF($D23="","",$D23)</f>
      </c>
      <c r="Z23" s="682">
        <f>IF($D23="","",$H23)</f>
      </c>
      <c r="AA23" s="682">
        <f>IF($D23="","",IF($D23&gt;$E23,$E23,$AD23))</f>
      </c>
      <c r="AB23" s="682">
        <f>IF($D23="","",$G23)</f>
      </c>
      <c r="AC23" s="688">
        <f>IF($D23="","",IF(($Y23-$AA23)&lt;=0,"－",IFERROR(ROUND(MIN(20,($AB23-$Y23)/($Y23-$AA23)),2),"－")))</f>
      </c>
      <c r="AD23" s="682">
        <f>IF($D23="","",MIN(終値!E23:I23))</f>
      </c>
      <c r="AE23" s="684">
        <f>IF($D23="","",$X23+(10000-ROW())/100000)</f>
      </c>
    </row>
    <row r="24">
      <c r="A24" s="681">
        <f>IF(終値!A24="","",HYPERLINK("https://kabutan.jp/stock/?code="&amp;終値!A24,"📈"))</f>
      </c>
      <c r="B24" s="681">
        <f>IF(終値!A24="","",終値!A24)</f>
      </c>
      <c r="C24" s="680">
        <f>IF(終値!A24="","",終値!B24)</f>
      </c>
      <c r="D24" s="682">
        <f>IF(終値!A24="","",終値!E24)</f>
      </c>
      <c r="E24" s="682">
        <f>IF($D24="","",AVERAGE(終値!E24:X24))</f>
      </c>
      <c r="F24" s="683">
        <f>IF($D24="","",STDEVP(終値!E24:X24))</f>
      </c>
      <c r="G24" s="682">
        <f>IF($D24="","",$E24+BB設定!$B$4*$F24)</f>
      </c>
      <c r="H24" s="682">
        <f>IF($D24="","",$E24+BB設定!$B$5*$F24)</f>
      </c>
      <c r="I24" s="682">
        <f>IF($D24="","",$E24-BB設定!$B$5*$F24)</f>
      </c>
      <c r="J24" s="682">
        <f>IF($D24="","",$E24-BB設定!$B$4*$F24)</f>
      </c>
      <c r="K24" s="687">
        <f>IF($D24="","",IFERROR(($D24-$J24)/($G24-$J24),""))</f>
      </c>
      <c r="L24" s="686">
        <f>IF($D24="","",IFERROR(($G24-$J24)/$E24*100,""))</f>
      </c>
      <c r="M24" s="686">
        <f>IF($D24="","",IFERROR(MIN(BB_帯幅!B24:AP24)*100,""))</f>
      </c>
      <c r="N24" s="681">
        <f>IF($L24="","",IF($L24&lt;=$M24*BB設定!$B$7,"スクイーズ★",IF($L24&lt;=$M24*1.3,"収縮","－")))</f>
      </c>
      <c r="O24" s="681">
        <f>IF($D24="","",IF($L24&gt;(4*STDEVP(終値!F24:Y24)/AVERAGE(終値!F24:Y24)*100),"拡大↑","縮小↓"))</f>
      </c>
      <c r="P24" s="681">
        <f>IF($D24="","",IF($D24&gt;$G24,"↑+2σ突破",IF($D24&lt;$J24,"↓-2σ割れ",IF($D24&gt;$H24,"+1σ上",IF($D24&lt;$I24,"-1σ下","バンド内")))))</f>
      </c>
      <c r="Q24" s="684">
        <f>IF($D24="","",IFERROR(100-100/(1+SUMPRODUCT((終値!E24:R24&gt;終値!F24:S24)*(終値!E24:R24-終値!F24:S24))/SUMPRODUCT((終値!E24:R24&lt;終値!F24:S24)*(終値!F24:S24-終値!E24:R24))),100))</f>
      </c>
      <c r="R24" s="684">
        <f>IF($D24="","",IFERROR(100-100/(1+SUMPRODUCT((((高値!E24:R24+安値!E24:R24+終値!E24:R24)/3)&gt;((高値!F24:S24+安値!F24:S24+終値!F24:S24)/3))*((高値!E24:R24+安値!E24:R24+終値!E24:R24)/3)*出来高!E24:R24)/SUMPRODUCT((((高値!E24:R24+安値!E24:R24+終値!E24:R24)/3)&lt;((高値!F24:S24+安値!F24:S24+終値!F24:S24)/3))*((高値!E24:R24+安値!E24:R24+終値!E24:R24)/3)*出来高!E24:R24)),50))</f>
      </c>
      <c r="S24" s="681">
        <f>IF($D24="","",IF(AND(終値!E24&lt;終値!O24,$Q24&gt;(IFERROR(100-100/(1+SUMPRODUCT((終値!O24:AB24&gt;終値!P24:AC24)*(終値!O24:AB24-終値!P24:AC24))/SUMPRODUCT((終値!O24:AB24&lt;終値!P24:AC24)*(終値!P24:AC24-終値!O24:AB24))),100))),"強気div▲",IF(AND(終値!E24&gt;終値!O24,$Q24&lt;(IFERROR(100-100/(1+SUMPRODUCT((終値!O24:AB24&gt;終値!P24:AC24)*(終値!O24:AB24-終値!P24:AC24))/SUMPRODUCT((終値!O24:AB24&lt;終値!P24:AC24)*(終値!P24:AC24-終値!O24:AB24))),100))),"弱気div▼","－")))</f>
      </c>
      <c r="T24" s="681">
        <f>IF($D24="","",IF($D24&gt;=$H24,"上walk▲",IF($D24&lt;=$I24,"下walk▼","－")))</f>
      </c>
      <c r="U24" s="681">
        <f>IF(終値!A24="","",BB_スイング!BT24)</f>
      </c>
      <c r="V24" s="689">
        <f>IF($D24="","",IFERROR(出来高!E24/AVERAGE(出来高!E24:I24),""))</f>
      </c>
      <c r="W24" s="690">
        <f>IF($D24="","",IF(AND($D24&gt;$G24,$O24="拡大↑",$L24&lt;=$M24*1.8),"◎スクイーズブレイク買",IF(AND($D24&gt;=$H24,$R24&gt;=BB設定!$B$10),"○順張り継続(walk)",IF(AND($S24="強気div▲",$D24&gt;$I24),"○反発(ダイバ)買",IF($U24="二番底W▲","△二番底買(確)",IF($U24="二番底W形成","△二番底形成",IF($D24&lt;$J24,"▼-2σ割れ危険",IF(AND($D24&gt;$E24,$K24&lt;0.6,$R24&gt;=50),"・押し目注目",IF($N24="スクイーズ★","☆スクイーズ監視","様子見")))))))))</f>
      </c>
      <c r="X24" s="685">
        <f>IF($D24="","",MIN(100,IF($L24&lt;=$M24*1.15,20,IF($L24&lt;=$M24*1.4,10,0))+IF($D24&gt;$G24,20,IF($D24&gt;$H24,12,IF($D24&gt;$E24,5,0)))+IF($O24="拡大↑",10,0)+IF($R24&gt;=80,15,IF($R24&gt;=60,10,IF($R24&gt;=50,5,0)))+IF(AND($Q24&gt;=50,$Q24&lt;=70),10,IF($Q24&gt;70,3,IF($Q24&gt;=40,5,0)))+IF($S24="強気div▲",15,0)+IF($T24="上walk▲",5,0)+IF($V24&gt;=2,5,IF($V24&gt;=1.5,3,0))))</f>
      </c>
      <c r="Y24" s="682">
        <f>IF($D24="","",$D24)</f>
      </c>
      <c r="Z24" s="682">
        <f>IF($D24="","",$H24)</f>
      </c>
      <c r="AA24" s="682">
        <f>IF($D24="","",IF($D24&gt;$E24,$E24,$AD24))</f>
      </c>
      <c r="AB24" s="682">
        <f>IF($D24="","",$G24)</f>
      </c>
      <c r="AC24" s="688">
        <f>IF($D24="","",IF(($Y24-$AA24)&lt;=0,"－",IFERROR(ROUND(MIN(20,($AB24-$Y24)/($Y24-$AA24)),2),"－")))</f>
      </c>
      <c r="AD24" s="682">
        <f>IF($D24="","",MIN(終値!E24:I24))</f>
      </c>
      <c r="AE24" s="684">
        <f>IF($D24="","",$X24+(10000-ROW())/100000)</f>
      </c>
    </row>
    <row r="25">
      <c r="A25" s="681">
        <f>IF(終値!A25="","",HYPERLINK("https://kabutan.jp/stock/?code="&amp;終値!A25,"📈"))</f>
      </c>
      <c r="B25" s="681">
        <f>IF(終値!A25="","",終値!A25)</f>
      </c>
      <c r="C25" s="680">
        <f>IF(終値!A25="","",終値!B25)</f>
      </c>
      <c r="D25" s="682">
        <f>IF(終値!A25="","",終値!E25)</f>
      </c>
      <c r="E25" s="682">
        <f>IF($D25="","",AVERAGE(終値!E25:X25))</f>
      </c>
      <c r="F25" s="683">
        <f>IF($D25="","",STDEVP(終値!E25:X25))</f>
      </c>
      <c r="G25" s="682">
        <f>IF($D25="","",$E25+BB設定!$B$4*$F25)</f>
      </c>
      <c r="H25" s="682">
        <f>IF($D25="","",$E25+BB設定!$B$5*$F25)</f>
      </c>
      <c r="I25" s="682">
        <f>IF($D25="","",$E25-BB設定!$B$5*$F25)</f>
      </c>
      <c r="J25" s="682">
        <f>IF($D25="","",$E25-BB設定!$B$4*$F25)</f>
      </c>
      <c r="K25" s="687">
        <f>IF($D25="","",IFERROR(($D25-$J25)/($G25-$J25),""))</f>
      </c>
      <c r="L25" s="686">
        <f>IF($D25="","",IFERROR(($G25-$J25)/$E25*100,""))</f>
      </c>
      <c r="M25" s="686">
        <f>IF($D25="","",IFERROR(MIN(BB_帯幅!B25:AP25)*100,""))</f>
      </c>
      <c r="N25" s="681">
        <f>IF($L25="","",IF($L25&lt;=$M25*BB設定!$B$7,"スクイーズ★",IF($L25&lt;=$M25*1.3,"収縮","－")))</f>
      </c>
      <c r="O25" s="681">
        <f>IF($D25="","",IF($L25&gt;(4*STDEVP(終値!F25:Y25)/AVERAGE(終値!F25:Y25)*100),"拡大↑","縮小↓"))</f>
      </c>
      <c r="P25" s="681">
        <f>IF($D25="","",IF($D25&gt;$G25,"↑+2σ突破",IF($D25&lt;$J25,"↓-2σ割れ",IF($D25&gt;$H25,"+1σ上",IF($D25&lt;$I25,"-1σ下","バンド内")))))</f>
      </c>
      <c r="Q25" s="684">
        <f>IF($D25="","",IFERROR(100-100/(1+SUMPRODUCT((終値!E25:R25&gt;終値!F25:S25)*(終値!E25:R25-終値!F25:S25))/SUMPRODUCT((終値!E25:R25&lt;終値!F25:S25)*(終値!F25:S25-終値!E25:R25))),100))</f>
      </c>
      <c r="R25" s="684">
        <f>IF($D25="","",IFERROR(100-100/(1+SUMPRODUCT((((高値!E25:R25+安値!E25:R25+終値!E25:R25)/3)&gt;((高値!F25:S25+安値!F25:S25+終値!F25:S25)/3))*((高値!E25:R25+安値!E25:R25+終値!E25:R25)/3)*出来高!E25:R25)/SUMPRODUCT((((高値!E25:R25+安値!E25:R25+終値!E25:R25)/3)&lt;((高値!F25:S25+安値!F25:S25+終値!F25:S25)/3))*((高値!E25:R25+安値!E25:R25+終値!E25:R25)/3)*出来高!E25:R25)),50))</f>
      </c>
      <c r="S25" s="681">
        <f>IF($D25="","",IF(AND(終値!E25&lt;終値!O25,$Q25&gt;(IFERROR(100-100/(1+SUMPRODUCT((終値!O25:AB25&gt;終値!P25:AC25)*(終値!O25:AB25-終値!P25:AC25))/SUMPRODUCT((終値!O25:AB25&lt;終値!P25:AC25)*(終値!P25:AC25-終値!O25:AB25))),100))),"強気div▲",IF(AND(終値!E25&gt;終値!O25,$Q25&lt;(IFERROR(100-100/(1+SUMPRODUCT((終値!O25:AB25&gt;終値!P25:AC25)*(終値!O25:AB25-終値!P25:AC25))/SUMPRODUCT((終値!O25:AB25&lt;終値!P25:AC25)*(終値!P25:AC25-終値!O25:AB25))),100))),"弱気div▼","－")))</f>
      </c>
      <c r="T25" s="681">
        <f>IF($D25="","",IF($D25&gt;=$H25,"上walk▲",IF($D25&lt;=$I25,"下walk▼","－")))</f>
      </c>
      <c r="U25" s="681">
        <f>IF(終値!A25="","",BB_スイング!BT25)</f>
      </c>
      <c r="V25" s="689">
        <f>IF($D25="","",IFERROR(出来高!E25/AVERAGE(出来高!E25:I25),""))</f>
      </c>
      <c r="W25" s="690">
        <f>IF($D25="","",IF(AND($D25&gt;$G25,$O25="拡大↑",$L25&lt;=$M25*1.8),"◎スクイーズブレイク買",IF(AND($D25&gt;=$H25,$R25&gt;=BB設定!$B$10),"○順張り継続(walk)",IF(AND($S25="強気div▲",$D25&gt;$I25),"○反発(ダイバ)買",IF($U25="二番底W▲","△二番底買(確)",IF($U25="二番底W形成","△二番底形成",IF($D25&lt;$J25,"▼-2σ割れ危険",IF(AND($D25&gt;$E25,$K25&lt;0.6,$R25&gt;=50),"・押し目注目",IF($N25="スクイーズ★","☆スクイーズ監視","様子見")))))))))</f>
      </c>
      <c r="X25" s="685">
        <f>IF($D25="","",MIN(100,IF($L25&lt;=$M25*1.15,20,IF($L25&lt;=$M25*1.4,10,0))+IF($D25&gt;$G25,20,IF($D25&gt;$H25,12,IF($D25&gt;$E25,5,0)))+IF($O25="拡大↑",10,0)+IF($R25&gt;=80,15,IF($R25&gt;=60,10,IF($R25&gt;=50,5,0)))+IF(AND($Q25&gt;=50,$Q25&lt;=70),10,IF($Q25&gt;70,3,IF($Q25&gt;=40,5,0)))+IF($S25="強気div▲",15,0)+IF($T25="上walk▲",5,0)+IF($V25&gt;=2,5,IF($V25&gt;=1.5,3,0))))</f>
      </c>
      <c r="Y25" s="682">
        <f>IF($D25="","",$D25)</f>
      </c>
      <c r="Z25" s="682">
        <f>IF($D25="","",$H25)</f>
      </c>
      <c r="AA25" s="682">
        <f>IF($D25="","",IF($D25&gt;$E25,$E25,$AD25))</f>
      </c>
      <c r="AB25" s="682">
        <f>IF($D25="","",$G25)</f>
      </c>
      <c r="AC25" s="688">
        <f>IF($D25="","",IF(($Y25-$AA25)&lt;=0,"－",IFERROR(ROUND(MIN(20,($AB25-$Y25)/($Y25-$AA25)),2),"－")))</f>
      </c>
      <c r="AD25" s="682">
        <f>IF($D25="","",MIN(終値!E25:I25))</f>
      </c>
      <c r="AE25" s="684">
        <f>IF($D25="","",$X25+(10000-ROW())/100000)</f>
      </c>
    </row>
    <row r="26">
      <c r="A26" s="681">
        <f>IF(終値!A26="","",HYPERLINK("https://kabutan.jp/stock/?code="&amp;終値!A26,"📈"))</f>
      </c>
      <c r="B26" s="681">
        <f>IF(終値!A26="","",終値!A26)</f>
      </c>
      <c r="C26" s="680">
        <f>IF(終値!A26="","",終値!B26)</f>
      </c>
      <c r="D26" s="682">
        <f>IF(終値!A26="","",終値!E26)</f>
      </c>
      <c r="E26" s="682">
        <f>IF($D26="","",AVERAGE(終値!E26:X26))</f>
      </c>
      <c r="F26" s="683">
        <f>IF($D26="","",STDEVP(終値!E26:X26))</f>
      </c>
      <c r="G26" s="682">
        <f>IF($D26="","",$E26+BB設定!$B$4*$F26)</f>
      </c>
      <c r="H26" s="682">
        <f>IF($D26="","",$E26+BB設定!$B$5*$F26)</f>
      </c>
      <c r="I26" s="682">
        <f>IF($D26="","",$E26-BB設定!$B$5*$F26)</f>
      </c>
      <c r="J26" s="682">
        <f>IF($D26="","",$E26-BB設定!$B$4*$F26)</f>
      </c>
      <c r="K26" s="687">
        <f>IF($D26="","",IFERROR(($D26-$J26)/($G26-$J26),""))</f>
      </c>
      <c r="L26" s="686">
        <f>IF($D26="","",IFERROR(($G26-$J26)/$E26*100,""))</f>
      </c>
      <c r="M26" s="686">
        <f>IF($D26="","",IFERROR(MIN(BB_帯幅!B26:AP26)*100,""))</f>
      </c>
      <c r="N26" s="681">
        <f>IF($L26="","",IF($L26&lt;=$M26*BB設定!$B$7,"スクイーズ★",IF($L26&lt;=$M26*1.3,"収縮","－")))</f>
      </c>
      <c r="O26" s="681">
        <f>IF($D26="","",IF($L26&gt;(4*STDEVP(終値!F26:Y26)/AVERAGE(終値!F26:Y26)*100),"拡大↑","縮小↓"))</f>
      </c>
      <c r="P26" s="681">
        <f>IF($D26="","",IF($D26&gt;$G26,"↑+2σ突破",IF($D26&lt;$J26,"↓-2σ割れ",IF($D26&gt;$H26,"+1σ上",IF($D26&lt;$I26,"-1σ下","バンド内")))))</f>
      </c>
      <c r="Q26" s="684">
        <f>IF($D26="","",IFERROR(100-100/(1+SUMPRODUCT((終値!E26:R26&gt;終値!F26:S26)*(終値!E26:R26-終値!F26:S26))/SUMPRODUCT((終値!E26:R26&lt;終値!F26:S26)*(終値!F26:S26-終値!E26:R26))),100))</f>
      </c>
      <c r="R26" s="684">
        <f>IF($D26="","",IFERROR(100-100/(1+SUMPRODUCT((((高値!E26:R26+安値!E26:R26+終値!E26:R26)/3)&gt;((高値!F26:S26+安値!F26:S26+終値!F26:S26)/3))*((高値!E26:R26+安値!E26:R26+終値!E26:R26)/3)*出来高!E26:R26)/SUMPRODUCT((((高値!E26:R26+安値!E26:R26+終値!E26:R26)/3)&lt;((高値!F26:S26+安値!F26:S26+終値!F26:S26)/3))*((高値!E26:R26+安値!E26:R26+終値!E26:R26)/3)*出来高!E26:R26)),50))</f>
      </c>
      <c r="S26" s="681">
        <f>IF($D26="","",IF(AND(終値!E26&lt;終値!O26,$Q26&gt;(IFERROR(100-100/(1+SUMPRODUCT((終値!O26:AB26&gt;終値!P26:AC26)*(終値!O26:AB26-終値!P26:AC26))/SUMPRODUCT((終値!O26:AB26&lt;終値!P26:AC26)*(終値!P26:AC26-終値!O26:AB26))),100))),"強気div▲",IF(AND(終値!E26&gt;終値!O26,$Q26&lt;(IFERROR(100-100/(1+SUMPRODUCT((終値!O26:AB26&gt;終値!P26:AC26)*(終値!O26:AB26-終値!P26:AC26))/SUMPRODUCT((終値!O26:AB26&lt;終値!P26:AC26)*(終値!P26:AC26-終値!O26:AB26))),100))),"弱気div▼","－")))</f>
      </c>
      <c r="T26" s="681">
        <f>IF($D26="","",IF($D26&gt;=$H26,"上walk▲",IF($D26&lt;=$I26,"下walk▼","－")))</f>
      </c>
      <c r="U26" s="681">
        <f>IF(終値!A26="","",BB_スイング!BT26)</f>
      </c>
      <c r="V26" s="689">
        <f>IF($D26="","",IFERROR(出来高!E26/AVERAGE(出来高!E26:I26),""))</f>
      </c>
      <c r="W26" s="690">
        <f>IF($D26="","",IF(AND($D26&gt;$G26,$O26="拡大↑",$L26&lt;=$M26*1.8),"◎スクイーズブレイク買",IF(AND($D26&gt;=$H26,$R26&gt;=BB設定!$B$10),"○順張り継続(walk)",IF(AND($S26="強気div▲",$D26&gt;$I26),"○反発(ダイバ)買",IF($U26="二番底W▲","△二番底買(確)",IF($U26="二番底W形成","△二番底形成",IF($D26&lt;$J26,"▼-2σ割れ危険",IF(AND($D26&gt;$E26,$K26&lt;0.6,$R26&gt;=50),"・押し目注目",IF($N26="スクイーズ★","☆スクイーズ監視","様子見")))))))))</f>
      </c>
      <c r="X26" s="685">
        <f>IF($D26="","",MIN(100,IF($L26&lt;=$M26*1.15,20,IF($L26&lt;=$M26*1.4,10,0))+IF($D26&gt;$G26,20,IF($D26&gt;$H26,12,IF($D26&gt;$E26,5,0)))+IF($O26="拡大↑",10,0)+IF($R26&gt;=80,15,IF($R26&gt;=60,10,IF($R26&gt;=50,5,0)))+IF(AND($Q26&gt;=50,$Q26&lt;=70),10,IF($Q26&gt;70,3,IF($Q26&gt;=40,5,0)))+IF($S26="強気div▲",15,0)+IF($T26="上walk▲",5,0)+IF($V26&gt;=2,5,IF($V26&gt;=1.5,3,0))))</f>
      </c>
      <c r="Y26" s="682">
        <f>IF($D26="","",$D26)</f>
      </c>
      <c r="Z26" s="682">
        <f>IF($D26="","",$H26)</f>
      </c>
      <c r="AA26" s="682">
        <f>IF($D26="","",IF($D26&gt;$E26,$E26,$AD26))</f>
      </c>
      <c r="AB26" s="682">
        <f>IF($D26="","",$G26)</f>
      </c>
      <c r="AC26" s="688">
        <f>IF($D26="","",IF(($Y26-$AA26)&lt;=0,"－",IFERROR(ROUND(MIN(20,($AB26-$Y26)/($Y26-$AA26)),2),"－")))</f>
      </c>
      <c r="AD26" s="682">
        <f>IF($D26="","",MIN(終値!E26:I26))</f>
      </c>
      <c r="AE26" s="684">
        <f>IF($D26="","",$X26+(10000-ROW())/100000)</f>
      </c>
    </row>
    <row r="27">
      <c r="A27" s="681">
        <f>IF(終値!A27="","",HYPERLINK("https://kabutan.jp/stock/?code="&amp;終値!A27,"📈"))</f>
      </c>
      <c r="B27" s="681">
        <f>IF(終値!A27="","",終値!A27)</f>
      </c>
      <c r="C27" s="680">
        <f>IF(終値!A27="","",終値!B27)</f>
      </c>
      <c r="D27" s="682">
        <f>IF(終値!A27="","",終値!E27)</f>
      </c>
      <c r="E27" s="682">
        <f>IF($D27="","",AVERAGE(終値!E27:X27))</f>
      </c>
      <c r="F27" s="683">
        <f>IF($D27="","",STDEVP(終値!E27:X27))</f>
      </c>
      <c r="G27" s="682">
        <f>IF($D27="","",$E27+BB設定!$B$4*$F27)</f>
      </c>
      <c r="H27" s="682">
        <f>IF($D27="","",$E27+BB設定!$B$5*$F27)</f>
      </c>
      <c r="I27" s="682">
        <f>IF($D27="","",$E27-BB設定!$B$5*$F27)</f>
      </c>
      <c r="J27" s="682">
        <f>IF($D27="","",$E27-BB設定!$B$4*$F27)</f>
      </c>
      <c r="K27" s="687">
        <f>IF($D27="","",IFERROR(($D27-$J27)/($G27-$J27),""))</f>
      </c>
      <c r="L27" s="686">
        <f>IF($D27="","",IFERROR(($G27-$J27)/$E27*100,""))</f>
      </c>
      <c r="M27" s="686">
        <f>IF($D27="","",IFERROR(MIN(BB_帯幅!B27:AP27)*100,""))</f>
      </c>
      <c r="N27" s="681">
        <f>IF($L27="","",IF($L27&lt;=$M27*BB設定!$B$7,"スクイーズ★",IF($L27&lt;=$M27*1.3,"収縮","－")))</f>
      </c>
      <c r="O27" s="681">
        <f>IF($D27="","",IF($L27&gt;(4*STDEVP(終値!F27:Y27)/AVERAGE(終値!F27:Y27)*100),"拡大↑","縮小↓"))</f>
      </c>
      <c r="P27" s="681">
        <f>IF($D27="","",IF($D27&gt;$G27,"↑+2σ突破",IF($D27&lt;$J27,"↓-2σ割れ",IF($D27&gt;$H27,"+1σ上",IF($D27&lt;$I27,"-1σ下","バンド内")))))</f>
      </c>
      <c r="Q27" s="684">
        <f>IF($D27="","",IFERROR(100-100/(1+SUMPRODUCT((終値!E27:R27&gt;終値!F27:S27)*(終値!E27:R27-終値!F27:S27))/SUMPRODUCT((終値!E27:R27&lt;終値!F27:S27)*(終値!F27:S27-終値!E27:R27))),100))</f>
      </c>
      <c r="R27" s="684">
        <f>IF($D27="","",IFERROR(100-100/(1+SUMPRODUCT((((高値!E27:R27+安値!E27:R27+終値!E27:R27)/3)&gt;((高値!F27:S27+安値!F27:S27+終値!F27:S27)/3))*((高値!E27:R27+安値!E27:R27+終値!E27:R27)/3)*出来高!E27:R27)/SUMPRODUCT((((高値!E27:R27+安値!E27:R27+終値!E27:R27)/3)&lt;((高値!F27:S27+安値!F27:S27+終値!F27:S27)/3))*((高値!E27:R27+安値!E27:R27+終値!E27:R27)/3)*出来高!E27:R27)),50))</f>
      </c>
      <c r="S27" s="681">
        <f>IF($D27="","",IF(AND(終値!E27&lt;終値!O27,$Q27&gt;(IFERROR(100-100/(1+SUMPRODUCT((終値!O27:AB27&gt;終値!P27:AC27)*(終値!O27:AB27-終値!P27:AC27))/SUMPRODUCT((終値!O27:AB27&lt;終値!P27:AC27)*(終値!P27:AC27-終値!O27:AB27))),100))),"強気div▲",IF(AND(終値!E27&gt;終値!O27,$Q27&lt;(IFERROR(100-100/(1+SUMPRODUCT((終値!O27:AB27&gt;終値!P27:AC27)*(終値!O27:AB27-終値!P27:AC27))/SUMPRODUCT((終値!O27:AB27&lt;終値!P27:AC27)*(終値!P27:AC27-終値!O27:AB27))),100))),"弱気div▼","－")))</f>
      </c>
      <c r="T27" s="681">
        <f>IF($D27="","",IF($D27&gt;=$H27,"上walk▲",IF($D27&lt;=$I27,"下walk▼","－")))</f>
      </c>
      <c r="U27" s="681">
        <f>IF(終値!A27="","",BB_スイング!BT27)</f>
      </c>
      <c r="V27" s="689">
        <f>IF($D27="","",IFERROR(出来高!E27/AVERAGE(出来高!E27:I27),""))</f>
      </c>
      <c r="W27" s="690">
        <f>IF($D27="","",IF(AND($D27&gt;$G27,$O27="拡大↑",$L27&lt;=$M27*1.8),"◎スクイーズブレイク買",IF(AND($D27&gt;=$H27,$R27&gt;=BB設定!$B$10),"○順張り継続(walk)",IF(AND($S27="強気div▲",$D27&gt;$I27),"○反発(ダイバ)買",IF($U27="二番底W▲","△二番底買(確)",IF($U27="二番底W形成","△二番底形成",IF($D27&lt;$J27,"▼-2σ割れ危険",IF(AND($D27&gt;$E27,$K27&lt;0.6,$R27&gt;=50),"・押し目注目",IF($N27="スクイーズ★","☆スクイーズ監視","様子見")))))))))</f>
      </c>
      <c r="X27" s="685">
        <f>IF($D27="","",MIN(100,IF($L27&lt;=$M27*1.15,20,IF($L27&lt;=$M27*1.4,10,0))+IF($D27&gt;$G27,20,IF($D27&gt;$H27,12,IF($D27&gt;$E27,5,0)))+IF($O27="拡大↑",10,0)+IF($R27&gt;=80,15,IF($R27&gt;=60,10,IF($R27&gt;=50,5,0)))+IF(AND($Q27&gt;=50,$Q27&lt;=70),10,IF($Q27&gt;70,3,IF($Q27&gt;=40,5,0)))+IF($S27="強気div▲",15,0)+IF($T27="上walk▲",5,0)+IF($V27&gt;=2,5,IF($V27&gt;=1.5,3,0))))</f>
      </c>
      <c r="Y27" s="682">
        <f>IF($D27="","",$D27)</f>
      </c>
      <c r="Z27" s="682">
        <f>IF($D27="","",$H27)</f>
      </c>
      <c r="AA27" s="682">
        <f>IF($D27="","",IF($D27&gt;$E27,$E27,$AD27))</f>
      </c>
      <c r="AB27" s="682">
        <f>IF($D27="","",$G27)</f>
      </c>
      <c r="AC27" s="688">
        <f>IF($D27="","",IF(($Y27-$AA27)&lt;=0,"－",IFERROR(ROUND(MIN(20,($AB27-$Y27)/($Y27-$AA27)),2),"－")))</f>
      </c>
      <c r="AD27" s="682">
        <f>IF($D27="","",MIN(終値!E27:I27))</f>
      </c>
      <c r="AE27" s="684">
        <f>IF($D27="","",$X27+(10000-ROW())/100000)</f>
      </c>
    </row>
    <row r="28">
      <c r="A28" s="681">
        <f>IF(終値!A28="","",HYPERLINK("https://kabutan.jp/stock/?code="&amp;終値!A28,"📈"))</f>
      </c>
      <c r="B28" s="681">
        <f>IF(終値!A28="","",終値!A28)</f>
      </c>
      <c r="C28" s="680">
        <f>IF(終値!A28="","",終値!B28)</f>
      </c>
      <c r="D28" s="682">
        <f>IF(終値!A28="","",終値!E28)</f>
      </c>
      <c r="E28" s="682">
        <f>IF($D28="","",AVERAGE(終値!E28:X28))</f>
      </c>
      <c r="F28" s="683">
        <f>IF($D28="","",STDEVP(終値!E28:X28))</f>
      </c>
      <c r="G28" s="682">
        <f>IF($D28="","",$E28+BB設定!$B$4*$F28)</f>
      </c>
      <c r="H28" s="682">
        <f>IF($D28="","",$E28+BB設定!$B$5*$F28)</f>
      </c>
      <c r="I28" s="682">
        <f>IF($D28="","",$E28-BB設定!$B$5*$F28)</f>
      </c>
      <c r="J28" s="682">
        <f>IF($D28="","",$E28-BB設定!$B$4*$F28)</f>
      </c>
      <c r="K28" s="687">
        <f>IF($D28="","",IFERROR(($D28-$J28)/($G28-$J28),""))</f>
      </c>
      <c r="L28" s="686">
        <f>IF($D28="","",IFERROR(($G28-$J28)/$E28*100,""))</f>
      </c>
      <c r="M28" s="686">
        <f>IF($D28="","",IFERROR(MIN(BB_帯幅!B28:AP28)*100,""))</f>
      </c>
      <c r="N28" s="681">
        <f>IF($L28="","",IF($L28&lt;=$M28*BB設定!$B$7,"スクイーズ★",IF($L28&lt;=$M28*1.3,"収縮","－")))</f>
      </c>
      <c r="O28" s="681">
        <f>IF($D28="","",IF($L28&gt;(4*STDEVP(終値!F28:Y28)/AVERAGE(終値!F28:Y28)*100),"拡大↑","縮小↓"))</f>
      </c>
      <c r="P28" s="681">
        <f>IF($D28="","",IF($D28&gt;$G28,"↑+2σ突破",IF($D28&lt;$J28,"↓-2σ割れ",IF($D28&gt;$H28,"+1σ上",IF($D28&lt;$I28,"-1σ下","バンド内")))))</f>
      </c>
      <c r="Q28" s="684">
        <f>IF($D28="","",IFERROR(100-100/(1+SUMPRODUCT((終値!E28:R28&gt;終値!F28:S28)*(終値!E28:R28-終値!F28:S28))/SUMPRODUCT((終値!E28:R28&lt;終値!F28:S28)*(終値!F28:S28-終値!E28:R28))),100))</f>
      </c>
      <c r="R28" s="684">
        <f>IF($D28="","",IFERROR(100-100/(1+SUMPRODUCT((((高値!E28:R28+安値!E28:R28+終値!E28:R28)/3)&gt;((高値!F28:S28+安値!F28:S28+終値!F28:S28)/3))*((高値!E28:R28+安値!E28:R28+終値!E28:R28)/3)*出来高!E28:R28)/SUMPRODUCT((((高値!E28:R28+安値!E28:R28+終値!E28:R28)/3)&lt;((高値!F28:S28+安値!F28:S28+終値!F28:S28)/3))*((高値!E28:R28+安値!E28:R28+終値!E28:R28)/3)*出来高!E28:R28)),50))</f>
      </c>
      <c r="S28" s="681">
        <f>IF($D28="","",IF(AND(終値!E28&lt;終値!O28,$Q28&gt;(IFERROR(100-100/(1+SUMPRODUCT((終値!O28:AB28&gt;終値!P28:AC28)*(終値!O28:AB28-終値!P28:AC28))/SUMPRODUCT((終値!O28:AB28&lt;終値!P28:AC28)*(終値!P28:AC28-終値!O28:AB28))),100))),"強気div▲",IF(AND(終値!E28&gt;終値!O28,$Q28&lt;(IFERROR(100-100/(1+SUMPRODUCT((終値!O28:AB28&gt;終値!P28:AC28)*(終値!O28:AB28-終値!P28:AC28))/SUMPRODUCT((終値!O28:AB28&lt;終値!P28:AC28)*(終値!P28:AC28-終値!O28:AB28))),100))),"弱気div▼","－")))</f>
      </c>
      <c r="T28" s="681">
        <f>IF($D28="","",IF($D28&gt;=$H28,"上walk▲",IF($D28&lt;=$I28,"下walk▼","－")))</f>
      </c>
      <c r="U28" s="681">
        <f>IF(終値!A28="","",BB_スイング!BT28)</f>
      </c>
      <c r="V28" s="689">
        <f>IF($D28="","",IFERROR(出来高!E28/AVERAGE(出来高!E28:I28),""))</f>
      </c>
      <c r="W28" s="690">
        <f>IF($D28="","",IF(AND($D28&gt;$G28,$O28="拡大↑",$L28&lt;=$M28*1.8),"◎スクイーズブレイク買",IF(AND($D28&gt;=$H28,$R28&gt;=BB設定!$B$10),"○順張り継続(walk)",IF(AND($S28="強気div▲",$D28&gt;$I28),"○反発(ダイバ)買",IF($U28="二番底W▲","△二番底買(確)",IF($U28="二番底W形成","△二番底形成",IF($D28&lt;$J28,"▼-2σ割れ危険",IF(AND($D28&gt;$E28,$K28&lt;0.6,$R28&gt;=50),"・押し目注目",IF($N28="スクイーズ★","☆スクイーズ監視","様子見")))))))))</f>
      </c>
      <c r="X28" s="685">
        <f>IF($D28="","",MIN(100,IF($L28&lt;=$M28*1.15,20,IF($L28&lt;=$M28*1.4,10,0))+IF($D28&gt;$G28,20,IF($D28&gt;$H28,12,IF($D28&gt;$E28,5,0)))+IF($O28="拡大↑",10,0)+IF($R28&gt;=80,15,IF($R28&gt;=60,10,IF($R28&gt;=50,5,0)))+IF(AND($Q28&gt;=50,$Q28&lt;=70),10,IF($Q28&gt;70,3,IF($Q28&gt;=40,5,0)))+IF($S28="強気div▲",15,0)+IF($T28="上walk▲",5,0)+IF($V28&gt;=2,5,IF($V28&gt;=1.5,3,0))))</f>
      </c>
      <c r="Y28" s="682">
        <f>IF($D28="","",$D28)</f>
      </c>
      <c r="Z28" s="682">
        <f>IF($D28="","",$H28)</f>
      </c>
      <c r="AA28" s="682">
        <f>IF($D28="","",IF($D28&gt;$E28,$E28,$AD28))</f>
      </c>
      <c r="AB28" s="682">
        <f>IF($D28="","",$G28)</f>
      </c>
      <c r="AC28" s="688">
        <f>IF($D28="","",IF(($Y28-$AA28)&lt;=0,"－",IFERROR(ROUND(MIN(20,($AB28-$Y28)/($Y28-$AA28)),2),"－")))</f>
      </c>
      <c r="AD28" s="682">
        <f>IF($D28="","",MIN(終値!E28:I28))</f>
      </c>
      <c r="AE28" s="684">
        <f>IF($D28="","",$X28+(10000-ROW())/100000)</f>
      </c>
    </row>
    <row r="29">
      <c r="A29" s="681">
        <f>IF(終値!A29="","",HYPERLINK("https://kabutan.jp/stock/?code="&amp;終値!A29,"📈"))</f>
      </c>
      <c r="B29" s="681">
        <f>IF(終値!A29="","",終値!A29)</f>
      </c>
      <c r="C29" s="680">
        <f>IF(終値!A29="","",終値!B29)</f>
      </c>
      <c r="D29" s="682">
        <f>IF(終値!A29="","",終値!E29)</f>
      </c>
      <c r="E29" s="682">
        <f>IF($D29="","",AVERAGE(終値!E29:X29))</f>
      </c>
      <c r="F29" s="683">
        <f>IF($D29="","",STDEVP(終値!E29:X29))</f>
      </c>
      <c r="G29" s="682">
        <f>IF($D29="","",$E29+BB設定!$B$4*$F29)</f>
      </c>
      <c r="H29" s="682">
        <f>IF($D29="","",$E29+BB設定!$B$5*$F29)</f>
      </c>
      <c r="I29" s="682">
        <f>IF($D29="","",$E29-BB設定!$B$5*$F29)</f>
      </c>
      <c r="J29" s="682">
        <f>IF($D29="","",$E29-BB設定!$B$4*$F29)</f>
      </c>
      <c r="K29" s="687">
        <f>IF($D29="","",IFERROR(($D29-$J29)/($G29-$J29),""))</f>
      </c>
      <c r="L29" s="686">
        <f>IF($D29="","",IFERROR(($G29-$J29)/$E29*100,""))</f>
      </c>
      <c r="M29" s="686">
        <f>IF($D29="","",IFERROR(MIN(BB_帯幅!B29:AP29)*100,""))</f>
      </c>
      <c r="N29" s="681">
        <f>IF($L29="","",IF($L29&lt;=$M29*BB設定!$B$7,"スクイーズ★",IF($L29&lt;=$M29*1.3,"収縮","－")))</f>
      </c>
      <c r="O29" s="681">
        <f>IF($D29="","",IF($L29&gt;(4*STDEVP(終値!F29:Y29)/AVERAGE(終値!F29:Y29)*100),"拡大↑","縮小↓"))</f>
      </c>
      <c r="P29" s="681">
        <f>IF($D29="","",IF($D29&gt;$G29,"↑+2σ突破",IF($D29&lt;$J29,"↓-2σ割れ",IF($D29&gt;$H29,"+1σ上",IF($D29&lt;$I29,"-1σ下","バンド内")))))</f>
      </c>
      <c r="Q29" s="684">
        <f>IF($D29="","",IFERROR(100-100/(1+SUMPRODUCT((終値!E29:R29&gt;終値!F29:S29)*(終値!E29:R29-終値!F29:S29))/SUMPRODUCT((終値!E29:R29&lt;終値!F29:S29)*(終値!F29:S29-終値!E29:R29))),100))</f>
      </c>
      <c r="R29" s="684">
        <f>IF($D29="","",IFERROR(100-100/(1+SUMPRODUCT((((高値!E29:R29+安値!E29:R29+終値!E29:R29)/3)&gt;((高値!F29:S29+安値!F29:S29+終値!F29:S29)/3))*((高値!E29:R29+安値!E29:R29+終値!E29:R29)/3)*出来高!E29:R29)/SUMPRODUCT((((高値!E29:R29+安値!E29:R29+終値!E29:R29)/3)&lt;((高値!F29:S29+安値!F29:S29+終値!F29:S29)/3))*((高値!E29:R29+安値!E29:R29+終値!E29:R29)/3)*出来高!E29:R29)),50))</f>
      </c>
      <c r="S29" s="681">
        <f>IF($D29="","",IF(AND(終値!E29&lt;終値!O29,$Q29&gt;(IFERROR(100-100/(1+SUMPRODUCT((終値!O29:AB29&gt;終値!P29:AC29)*(終値!O29:AB29-終値!P29:AC29))/SUMPRODUCT((終値!O29:AB29&lt;終値!P29:AC29)*(終値!P29:AC29-終値!O29:AB29))),100))),"強気div▲",IF(AND(終値!E29&gt;終値!O29,$Q29&lt;(IFERROR(100-100/(1+SUMPRODUCT((終値!O29:AB29&gt;終値!P29:AC29)*(終値!O29:AB29-終値!P29:AC29))/SUMPRODUCT((終値!O29:AB29&lt;終値!P29:AC29)*(終値!P29:AC29-終値!O29:AB29))),100))),"弱気div▼","－")))</f>
      </c>
      <c r="T29" s="681">
        <f>IF($D29="","",IF($D29&gt;=$H29,"上walk▲",IF($D29&lt;=$I29,"下walk▼","－")))</f>
      </c>
      <c r="U29" s="681">
        <f>IF(終値!A29="","",BB_スイング!BT29)</f>
      </c>
      <c r="V29" s="689">
        <f>IF($D29="","",IFERROR(出来高!E29/AVERAGE(出来高!E29:I29),""))</f>
      </c>
      <c r="W29" s="690">
        <f>IF($D29="","",IF(AND($D29&gt;$G29,$O29="拡大↑",$L29&lt;=$M29*1.8),"◎スクイーズブレイク買",IF(AND($D29&gt;=$H29,$R29&gt;=BB設定!$B$10),"○順張り継続(walk)",IF(AND($S29="強気div▲",$D29&gt;$I29),"○反発(ダイバ)買",IF($U29="二番底W▲","△二番底買(確)",IF($U29="二番底W形成","△二番底形成",IF($D29&lt;$J29,"▼-2σ割れ危険",IF(AND($D29&gt;$E29,$K29&lt;0.6,$R29&gt;=50),"・押し目注目",IF($N29="スクイーズ★","☆スクイーズ監視","様子見")))))))))</f>
      </c>
      <c r="X29" s="685">
        <f>IF($D29="","",MIN(100,IF($L29&lt;=$M29*1.15,20,IF($L29&lt;=$M29*1.4,10,0))+IF($D29&gt;$G29,20,IF($D29&gt;$H29,12,IF($D29&gt;$E29,5,0)))+IF($O29="拡大↑",10,0)+IF($R29&gt;=80,15,IF($R29&gt;=60,10,IF($R29&gt;=50,5,0)))+IF(AND($Q29&gt;=50,$Q29&lt;=70),10,IF($Q29&gt;70,3,IF($Q29&gt;=40,5,0)))+IF($S29="強気div▲",15,0)+IF($T29="上walk▲",5,0)+IF($V29&gt;=2,5,IF($V29&gt;=1.5,3,0))))</f>
      </c>
      <c r="Y29" s="682">
        <f>IF($D29="","",$D29)</f>
      </c>
      <c r="Z29" s="682">
        <f>IF($D29="","",$H29)</f>
      </c>
      <c r="AA29" s="682">
        <f>IF($D29="","",IF($D29&gt;$E29,$E29,$AD29))</f>
      </c>
      <c r="AB29" s="682">
        <f>IF($D29="","",$G29)</f>
      </c>
      <c r="AC29" s="688">
        <f>IF($D29="","",IF(($Y29-$AA29)&lt;=0,"－",IFERROR(ROUND(MIN(20,($AB29-$Y29)/($Y29-$AA29)),2),"－")))</f>
      </c>
      <c r="AD29" s="682">
        <f>IF($D29="","",MIN(終値!E29:I29))</f>
      </c>
      <c r="AE29" s="684">
        <f>IF($D29="","",$X29+(10000-ROW())/100000)</f>
      </c>
    </row>
    <row r="30">
      <c r="A30" s="681">
        <f>IF(終値!A30="","",HYPERLINK("https://kabutan.jp/stock/?code="&amp;終値!A30,"📈"))</f>
      </c>
      <c r="B30" s="681">
        <f>IF(終値!A30="","",終値!A30)</f>
      </c>
      <c r="C30" s="680">
        <f>IF(終値!A30="","",終値!B30)</f>
      </c>
      <c r="D30" s="682">
        <f>IF(終値!A30="","",終値!E30)</f>
      </c>
      <c r="E30" s="682">
        <f>IF($D30="","",AVERAGE(終値!E30:X30))</f>
      </c>
      <c r="F30" s="683">
        <f>IF($D30="","",STDEVP(終値!E30:X30))</f>
      </c>
      <c r="G30" s="682">
        <f>IF($D30="","",$E30+BB設定!$B$4*$F30)</f>
      </c>
      <c r="H30" s="682">
        <f>IF($D30="","",$E30+BB設定!$B$5*$F30)</f>
      </c>
      <c r="I30" s="682">
        <f>IF($D30="","",$E30-BB設定!$B$5*$F30)</f>
      </c>
      <c r="J30" s="682">
        <f>IF($D30="","",$E30-BB設定!$B$4*$F30)</f>
      </c>
      <c r="K30" s="687">
        <f>IF($D30="","",IFERROR(($D30-$J30)/($G30-$J30),""))</f>
      </c>
      <c r="L30" s="686">
        <f>IF($D30="","",IFERROR(($G30-$J30)/$E30*100,""))</f>
      </c>
      <c r="M30" s="686">
        <f>IF($D30="","",IFERROR(MIN(BB_帯幅!B30:AP30)*100,""))</f>
      </c>
      <c r="N30" s="681">
        <f>IF($L30="","",IF($L30&lt;=$M30*BB設定!$B$7,"スクイーズ★",IF($L30&lt;=$M30*1.3,"収縮","－")))</f>
      </c>
      <c r="O30" s="681">
        <f>IF($D30="","",IF($L30&gt;(4*STDEVP(終値!F30:Y30)/AVERAGE(終値!F30:Y30)*100),"拡大↑","縮小↓"))</f>
      </c>
      <c r="P30" s="681">
        <f>IF($D30="","",IF($D30&gt;$G30,"↑+2σ突破",IF($D30&lt;$J30,"↓-2σ割れ",IF($D30&gt;$H30,"+1σ上",IF($D30&lt;$I30,"-1σ下","バンド内")))))</f>
      </c>
      <c r="Q30" s="684">
        <f>IF($D30="","",IFERROR(100-100/(1+SUMPRODUCT((終値!E30:R30&gt;終値!F30:S30)*(終値!E30:R30-終値!F30:S30))/SUMPRODUCT((終値!E30:R30&lt;終値!F30:S30)*(終値!F30:S30-終値!E30:R30))),100))</f>
      </c>
      <c r="R30" s="684">
        <f>IF($D30="","",IFERROR(100-100/(1+SUMPRODUCT((((高値!E30:R30+安値!E30:R30+終値!E30:R30)/3)&gt;((高値!F30:S30+安値!F30:S30+終値!F30:S30)/3))*((高値!E30:R30+安値!E30:R30+終値!E30:R30)/3)*出来高!E30:R30)/SUMPRODUCT((((高値!E30:R30+安値!E30:R30+終値!E30:R30)/3)&lt;((高値!F30:S30+安値!F30:S30+終値!F30:S30)/3))*((高値!E30:R30+安値!E30:R30+終値!E30:R30)/3)*出来高!E30:R30)),50))</f>
      </c>
      <c r="S30" s="681">
        <f>IF($D30="","",IF(AND(終値!E30&lt;終値!O30,$Q30&gt;(IFERROR(100-100/(1+SUMPRODUCT((終値!O30:AB30&gt;終値!P30:AC30)*(終値!O30:AB30-終値!P30:AC30))/SUMPRODUCT((終値!O30:AB30&lt;終値!P30:AC30)*(終値!P30:AC30-終値!O30:AB30))),100))),"強気div▲",IF(AND(終値!E30&gt;終値!O30,$Q30&lt;(IFERROR(100-100/(1+SUMPRODUCT((終値!O30:AB30&gt;終値!P30:AC30)*(終値!O30:AB30-終値!P30:AC30))/SUMPRODUCT((終値!O30:AB30&lt;終値!P30:AC30)*(終値!P30:AC30-終値!O30:AB30))),100))),"弱気div▼","－")))</f>
      </c>
      <c r="T30" s="681">
        <f>IF($D30="","",IF($D30&gt;=$H30,"上walk▲",IF($D30&lt;=$I30,"下walk▼","－")))</f>
      </c>
      <c r="U30" s="681">
        <f>IF(終値!A30="","",BB_スイング!BT30)</f>
      </c>
      <c r="V30" s="689">
        <f>IF($D30="","",IFERROR(出来高!E30/AVERAGE(出来高!E30:I30),""))</f>
      </c>
      <c r="W30" s="690">
        <f>IF($D30="","",IF(AND($D30&gt;$G30,$O30="拡大↑",$L30&lt;=$M30*1.8),"◎スクイーズブレイク買",IF(AND($D30&gt;=$H30,$R30&gt;=BB設定!$B$10),"○順張り継続(walk)",IF(AND($S30="強気div▲",$D30&gt;$I30),"○反発(ダイバ)買",IF($U30="二番底W▲","△二番底買(確)",IF($U30="二番底W形成","△二番底形成",IF($D30&lt;$J30,"▼-2σ割れ危険",IF(AND($D30&gt;$E30,$K30&lt;0.6,$R30&gt;=50),"・押し目注目",IF($N30="スクイーズ★","☆スクイーズ監視","様子見")))))))))</f>
      </c>
      <c r="X30" s="685">
        <f>IF($D30="","",MIN(100,IF($L30&lt;=$M30*1.15,20,IF($L30&lt;=$M30*1.4,10,0))+IF($D30&gt;$G30,20,IF($D30&gt;$H30,12,IF($D30&gt;$E30,5,0)))+IF($O30="拡大↑",10,0)+IF($R30&gt;=80,15,IF($R30&gt;=60,10,IF($R30&gt;=50,5,0)))+IF(AND($Q30&gt;=50,$Q30&lt;=70),10,IF($Q30&gt;70,3,IF($Q30&gt;=40,5,0)))+IF($S30="強気div▲",15,0)+IF($T30="上walk▲",5,0)+IF($V30&gt;=2,5,IF($V30&gt;=1.5,3,0))))</f>
      </c>
      <c r="Y30" s="682">
        <f>IF($D30="","",$D30)</f>
      </c>
      <c r="Z30" s="682">
        <f>IF($D30="","",$H30)</f>
      </c>
      <c r="AA30" s="682">
        <f>IF($D30="","",IF($D30&gt;$E30,$E30,$AD30))</f>
      </c>
      <c r="AB30" s="682">
        <f>IF($D30="","",$G30)</f>
      </c>
      <c r="AC30" s="688">
        <f>IF($D30="","",IF(($Y30-$AA30)&lt;=0,"－",IFERROR(ROUND(MIN(20,($AB30-$Y30)/($Y30-$AA30)),2),"－")))</f>
      </c>
      <c r="AD30" s="682">
        <f>IF($D30="","",MIN(終値!E30:I30))</f>
      </c>
      <c r="AE30" s="684">
        <f>IF($D30="","",$X30+(10000-ROW())/100000)</f>
      </c>
    </row>
    <row r="31">
      <c r="A31" s="681">
        <f>IF(終値!A31="","",HYPERLINK("https://kabutan.jp/stock/?code="&amp;終値!A31,"📈"))</f>
      </c>
      <c r="B31" s="681">
        <f>IF(終値!A31="","",終値!A31)</f>
      </c>
      <c r="C31" s="680">
        <f>IF(終値!A31="","",終値!B31)</f>
      </c>
      <c r="D31" s="682">
        <f>IF(終値!A31="","",終値!E31)</f>
      </c>
      <c r="E31" s="682">
        <f>IF($D31="","",AVERAGE(終値!E31:X31))</f>
      </c>
      <c r="F31" s="683">
        <f>IF($D31="","",STDEVP(終値!E31:X31))</f>
      </c>
      <c r="G31" s="682">
        <f>IF($D31="","",$E31+BB設定!$B$4*$F31)</f>
      </c>
      <c r="H31" s="682">
        <f>IF($D31="","",$E31+BB設定!$B$5*$F31)</f>
      </c>
      <c r="I31" s="682">
        <f>IF($D31="","",$E31-BB設定!$B$5*$F31)</f>
      </c>
      <c r="J31" s="682">
        <f>IF($D31="","",$E31-BB設定!$B$4*$F31)</f>
      </c>
      <c r="K31" s="687">
        <f>IF($D31="","",IFERROR(($D31-$J31)/($G31-$J31),""))</f>
      </c>
      <c r="L31" s="686">
        <f>IF($D31="","",IFERROR(($G31-$J31)/$E31*100,""))</f>
      </c>
      <c r="M31" s="686">
        <f>IF($D31="","",IFERROR(MIN(BB_帯幅!B31:AP31)*100,""))</f>
      </c>
      <c r="N31" s="681">
        <f>IF($L31="","",IF($L31&lt;=$M31*BB設定!$B$7,"スクイーズ★",IF($L31&lt;=$M31*1.3,"収縮","－")))</f>
      </c>
      <c r="O31" s="681">
        <f>IF($D31="","",IF($L31&gt;(4*STDEVP(終値!F31:Y31)/AVERAGE(終値!F31:Y31)*100),"拡大↑","縮小↓"))</f>
      </c>
      <c r="P31" s="681">
        <f>IF($D31="","",IF($D31&gt;$G31,"↑+2σ突破",IF($D31&lt;$J31,"↓-2σ割れ",IF($D31&gt;$H31,"+1σ上",IF($D31&lt;$I31,"-1σ下","バンド内")))))</f>
      </c>
      <c r="Q31" s="684">
        <f>IF($D31="","",IFERROR(100-100/(1+SUMPRODUCT((終値!E31:R31&gt;終値!F31:S31)*(終値!E31:R31-終値!F31:S31))/SUMPRODUCT((終値!E31:R31&lt;終値!F31:S31)*(終値!F31:S31-終値!E31:R31))),100))</f>
      </c>
      <c r="R31" s="684">
        <f>IF($D31="","",IFERROR(100-100/(1+SUMPRODUCT((((高値!E31:R31+安値!E31:R31+終値!E31:R31)/3)&gt;((高値!F31:S31+安値!F31:S31+終値!F31:S31)/3))*((高値!E31:R31+安値!E31:R31+終値!E31:R31)/3)*出来高!E31:R31)/SUMPRODUCT((((高値!E31:R31+安値!E31:R31+終値!E31:R31)/3)&lt;((高値!F31:S31+安値!F31:S31+終値!F31:S31)/3))*((高値!E31:R31+安値!E31:R31+終値!E31:R31)/3)*出来高!E31:R31)),50))</f>
      </c>
      <c r="S31" s="681">
        <f>IF($D31="","",IF(AND(終値!E31&lt;終値!O31,$Q31&gt;(IFERROR(100-100/(1+SUMPRODUCT((終値!O31:AB31&gt;終値!P31:AC31)*(終値!O31:AB31-終値!P31:AC31))/SUMPRODUCT((終値!O31:AB31&lt;終値!P31:AC31)*(終値!P31:AC31-終値!O31:AB31))),100))),"強気div▲",IF(AND(終値!E31&gt;終値!O31,$Q31&lt;(IFERROR(100-100/(1+SUMPRODUCT((終値!O31:AB31&gt;終値!P31:AC31)*(終値!O31:AB31-終値!P31:AC31))/SUMPRODUCT((終値!O31:AB31&lt;終値!P31:AC31)*(終値!P31:AC31-終値!O31:AB31))),100))),"弱気div▼","－")))</f>
      </c>
      <c r="T31" s="681">
        <f>IF($D31="","",IF($D31&gt;=$H31,"上walk▲",IF($D31&lt;=$I31,"下walk▼","－")))</f>
      </c>
      <c r="U31" s="681">
        <f>IF(終値!A31="","",BB_スイング!BT31)</f>
      </c>
      <c r="V31" s="689">
        <f>IF($D31="","",IFERROR(出来高!E31/AVERAGE(出来高!E31:I31),""))</f>
      </c>
      <c r="W31" s="690">
        <f>IF($D31="","",IF(AND($D31&gt;$G31,$O31="拡大↑",$L31&lt;=$M31*1.8),"◎スクイーズブレイク買",IF(AND($D31&gt;=$H31,$R31&gt;=BB設定!$B$10),"○順張り継続(walk)",IF(AND($S31="強気div▲",$D31&gt;$I31),"○反発(ダイバ)買",IF($U31="二番底W▲","△二番底買(確)",IF($U31="二番底W形成","△二番底形成",IF($D31&lt;$J31,"▼-2σ割れ危険",IF(AND($D31&gt;$E31,$K31&lt;0.6,$R31&gt;=50),"・押し目注目",IF($N31="スクイーズ★","☆スクイーズ監視","様子見")))))))))</f>
      </c>
      <c r="X31" s="685">
        <f>IF($D31="","",MIN(100,IF($L31&lt;=$M31*1.15,20,IF($L31&lt;=$M31*1.4,10,0))+IF($D31&gt;$G31,20,IF($D31&gt;$H31,12,IF($D31&gt;$E31,5,0)))+IF($O31="拡大↑",10,0)+IF($R31&gt;=80,15,IF($R31&gt;=60,10,IF($R31&gt;=50,5,0)))+IF(AND($Q31&gt;=50,$Q31&lt;=70),10,IF($Q31&gt;70,3,IF($Q31&gt;=40,5,0)))+IF($S31="強気div▲",15,0)+IF($T31="上walk▲",5,0)+IF($V31&gt;=2,5,IF($V31&gt;=1.5,3,0))))</f>
      </c>
      <c r="Y31" s="682">
        <f>IF($D31="","",$D31)</f>
      </c>
      <c r="Z31" s="682">
        <f>IF($D31="","",$H31)</f>
      </c>
      <c r="AA31" s="682">
        <f>IF($D31="","",IF($D31&gt;$E31,$E31,$AD31))</f>
      </c>
      <c r="AB31" s="682">
        <f>IF($D31="","",$G31)</f>
      </c>
      <c r="AC31" s="688">
        <f>IF($D31="","",IF(($Y31-$AA31)&lt;=0,"－",IFERROR(ROUND(MIN(20,($AB31-$Y31)/($Y31-$AA31)),2),"－")))</f>
      </c>
      <c r="AD31" s="682">
        <f>IF($D31="","",MIN(終値!E31:I31))</f>
      </c>
      <c r="AE31" s="684">
        <f>IF($D31="","",$X31+(10000-ROW())/100000)</f>
      </c>
    </row>
    <row r="32">
      <c r="A32" s="681">
        <f>IF(終値!A32="","",HYPERLINK("https://kabutan.jp/stock/?code="&amp;終値!A32,"📈"))</f>
      </c>
      <c r="B32" s="681">
        <f>IF(終値!A32="","",終値!A32)</f>
      </c>
      <c r="C32" s="680">
        <f>IF(終値!A32="","",終値!B32)</f>
      </c>
      <c r="D32" s="682">
        <f>IF(終値!A32="","",終値!E32)</f>
      </c>
      <c r="E32" s="682">
        <f>IF($D32="","",AVERAGE(終値!E32:X32))</f>
      </c>
      <c r="F32" s="683">
        <f>IF($D32="","",STDEVP(終値!E32:X32))</f>
      </c>
      <c r="G32" s="682">
        <f>IF($D32="","",$E32+BB設定!$B$4*$F32)</f>
      </c>
      <c r="H32" s="682">
        <f>IF($D32="","",$E32+BB設定!$B$5*$F32)</f>
      </c>
      <c r="I32" s="682">
        <f>IF($D32="","",$E32-BB設定!$B$5*$F32)</f>
      </c>
      <c r="J32" s="682">
        <f>IF($D32="","",$E32-BB設定!$B$4*$F32)</f>
      </c>
      <c r="K32" s="687">
        <f>IF($D32="","",IFERROR(($D32-$J32)/($G32-$J32),""))</f>
      </c>
      <c r="L32" s="686">
        <f>IF($D32="","",IFERROR(($G32-$J32)/$E32*100,""))</f>
      </c>
      <c r="M32" s="686">
        <f>IF($D32="","",IFERROR(MIN(BB_帯幅!B32:AP32)*100,""))</f>
      </c>
      <c r="N32" s="681">
        <f>IF($L32="","",IF($L32&lt;=$M32*BB設定!$B$7,"スクイーズ★",IF($L32&lt;=$M32*1.3,"収縮","－")))</f>
      </c>
      <c r="O32" s="681">
        <f>IF($D32="","",IF($L32&gt;(4*STDEVP(終値!F32:Y32)/AVERAGE(終値!F32:Y32)*100),"拡大↑","縮小↓"))</f>
      </c>
      <c r="P32" s="681">
        <f>IF($D32="","",IF($D32&gt;$G32,"↑+2σ突破",IF($D32&lt;$J32,"↓-2σ割れ",IF($D32&gt;$H32,"+1σ上",IF($D32&lt;$I32,"-1σ下","バンド内")))))</f>
      </c>
      <c r="Q32" s="684">
        <f>IF($D32="","",IFERROR(100-100/(1+SUMPRODUCT((終値!E32:R32&gt;終値!F32:S32)*(終値!E32:R32-終値!F32:S32))/SUMPRODUCT((終値!E32:R32&lt;終値!F32:S32)*(終値!F32:S32-終値!E32:R32))),100))</f>
      </c>
      <c r="R32" s="684">
        <f>IF($D32="","",IFERROR(100-100/(1+SUMPRODUCT((((高値!E32:R32+安値!E32:R32+終値!E32:R32)/3)&gt;((高値!F32:S32+安値!F32:S32+終値!F32:S32)/3))*((高値!E32:R32+安値!E32:R32+終値!E32:R32)/3)*出来高!E32:R32)/SUMPRODUCT((((高値!E32:R32+安値!E32:R32+終値!E32:R32)/3)&lt;((高値!F32:S32+安値!F32:S32+終値!F32:S32)/3))*((高値!E32:R32+安値!E32:R32+終値!E32:R32)/3)*出来高!E32:R32)),50))</f>
      </c>
      <c r="S32" s="681">
        <f>IF($D32="","",IF(AND(終値!E32&lt;終値!O32,$Q32&gt;(IFERROR(100-100/(1+SUMPRODUCT((終値!O32:AB32&gt;終値!P32:AC32)*(終値!O32:AB32-終値!P32:AC32))/SUMPRODUCT((終値!O32:AB32&lt;終値!P32:AC32)*(終値!P32:AC32-終値!O32:AB32))),100))),"強気div▲",IF(AND(終値!E32&gt;終値!O32,$Q32&lt;(IFERROR(100-100/(1+SUMPRODUCT((終値!O32:AB32&gt;終値!P32:AC32)*(終値!O32:AB32-終値!P32:AC32))/SUMPRODUCT((終値!O32:AB32&lt;終値!P32:AC32)*(終値!P32:AC32-終値!O32:AB32))),100))),"弱気div▼","－")))</f>
      </c>
      <c r="T32" s="681">
        <f>IF($D32="","",IF($D32&gt;=$H32,"上walk▲",IF($D32&lt;=$I32,"下walk▼","－")))</f>
      </c>
      <c r="U32" s="681">
        <f>IF(終値!A32="","",BB_スイング!BT32)</f>
      </c>
      <c r="V32" s="689">
        <f>IF($D32="","",IFERROR(出来高!E32/AVERAGE(出来高!E32:I32),""))</f>
      </c>
      <c r="W32" s="690">
        <f>IF($D32="","",IF(AND($D32&gt;$G32,$O32="拡大↑",$L32&lt;=$M32*1.8),"◎スクイーズブレイク買",IF(AND($D32&gt;=$H32,$R32&gt;=BB設定!$B$10),"○順張り継続(walk)",IF(AND($S32="強気div▲",$D32&gt;$I32),"○反発(ダイバ)買",IF($U32="二番底W▲","△二番底買(確)",IF($U32="二番底W形成","△二番底形成",IF($D32&lt;$J32,"▼-2σ割れ危険",IF(AND($D32&gt;$E32,$K32&lt;0.6,$R32&gt;=50),"・押し目注目",IF($N32="スクイーズ★","☆スクイーズ監視","様子見")))))))))</f>
      </c>
      <c r="X32" s="685">
        <f>IF($D32="","",MIN(100,IF($L32&lt;=$M32*1.15,20,IF($L32&lt;=$M32*1.4,10,0))+IF($D32&gt;$G32,20,IF($D32&gt;$H32,12,IF($D32&gt;$E32,5,0)))+IF($O32="拡大↑",10,0)+IF($R32&gt;=80,15,IF($R32&gt;=60,10,IF($R32&gt;=50,5,0)))+IF(AND($Q32&gt;=50,$Q32&lt;=70),10,IF($Q32&gt;70,3,IF($Q32&gt;=40,5,0)))+IF($S32="強気div▲",15,0)+IF($T32="上walk▲",5,0)+IF($V32&gt;=2,5,IF($V32&gt;=1.5,3,0))))</f>
      </c>
      <c r="Y32" s="682">
        <f>IF($D32="","",$D32)</f>
      </c>
      <c r="Z32" s="682">
        <f>IF($D32="","",$H32)</f>
      </c>
      <c r="AA32" s="682">
        <f>IF($D32="","",IF($D32&gt;$E32,$E32,$AD32))</f>
      </c>
      <c r="AB32" s="682">
        <f>IF($D32="","",$G32)</f>
      </c>
      <c r="AC32" s="688">
        <f>IF($D32="","",IF(($Y32-$AA32)&lt;=0,"－",IFERROR(ROUND(MIN(20,($AB32-$Y32)/($Y32-$AA32)),2),"－")))</f>
      </c>
      <c r="AD32" s="682">
        <f>IF($D32="","",MIN(終値!E32:I32))</f>
      </c>
      <c r="AE32" s="684">
        <f>IF($D32="","",$X32+(10000-ROW())/100000)</f>
      </c>
    </row>
    <row r="33">
      <c r="A33" s="681">
        <f>IF(終値!A33="","",HYPERLINK("https://kabutan.jp/stock/?code="&amp;終値!A33,"📈"))</f>
      </c>
      <c r="B33" s="681">
        <f>IF(終値!A33="","",終値!A33)</f>
      </c>
      <c r="C33" s="680">
        <f>IF(終値!A33="","",終値!B33)</f>
      </c>
      <c r="D33" s="682">
        <f>IF(終値!A33="","",終値!E33)</f>
      </c>
      <c r="E33" s="682">
        <f>IF($D33="","",AVERAGE(終値!E33:X33))</f>
      </c>
      <c r="F33" s="683">
        <f>IF($D33="","",STDEVP(終値!E33:X33))</f>
      </c>
      <c r="G33" s="682">
        <f>IF($D33="","",$E33+BB設定!$B$4*$F33)</f>
      </c>
      <c r="H33" s="682">
        <f>IF($D33="","",$E33+BB設定!$B$5*$F33)</f>
      </c>
      <c r="I33" s="682">
        <f>IF($D33="","",$E33-BB設定!$B$5*$F33)</f>
      </c>
      <c r="J33" s="682">
        <f>IF($D33="","",$E33-BB設定!$B$4*$F33)</f>
      </c>
      <c r="K33" s="687">
        <f>IF($D33="","",IFERROR(($D33-$J33)/($G33-$J33),""))</f>
      </c>
      <c r="L33" s="686">
        <f>IF($D33="","",IFERROR(($G33-$J33)/$E33*100,""))</f>
      </c>
      <c r="M33" s="686">
        <f>IF($D33="","",IFERROR(MIN(BB_帯幅!B33:AP33)*100,""))</f>
      </c>
      <c r="N33" s="681">
        <f>IF($L33="","",IF($L33&lt;=$M33*BB設定!$B$7,"スクイーズ★",IF($L33&lt;=$M33*1.3,"収縮","－")))</f>
      </c>
      <c r="O33" s="681">
        <f>IF($D33="","",IF($L33&gt;(4*STDEVP(終値!F33:Y33)/AVERAGE(終値!F33:Y33)*100),"拡大↑","縮小↓"))</f>
      </c>
      <c r="P33" s="681">
        <f>IF($D33="","",IF($D33&gt;$G33,"↑+2σ突破",IF($D33&lt;$J33,"↓-2σ割れ",IF($D33&gt;$H33,"+1σ上",IF($D33&lt;$I33,"-1σ下","バンド内")))))</f>
      </c>
      <c r="Q33" s="684">
        <f>IF($D33="","",IFERROR(100-100/(1+SUMPRODUCT((終値!E33:R33&gt;終値!F33:S33)*(終値!E33:R33-終値!F33:S33))/SUMPRODUCT((終値!E33:R33&lt;終値!F33:S33)*(終値!F33:S33-終値!E33:R33))),100))</f>
      </c>
      <c r="R33" s="684">
        <f>IF($D33="","",IFERROR(100-100/(1+SUMPRODUCT((((高値!E33:R33+安値!E33:R33+終値!E33:R33)/3)&gt;((高値!F33:S33+安値!F33:S33+終値!F33:S33)/3))*((高値!E33:R33+安値!E33:R33+終値!E33:R33)/3)*出来高!E33:R33)/SUMPRODUCT((((高値!E33:R33+安値!E33:R33+終値!E33:R33)/3)&lt;((高値!F33:S33+安値!F33:S33+終値!F33:S33)/3))*((高値!E33:R33+安値!E33:R33+終値!E33:R33)/3)*出来高!E33:R33)),50))</f>
      </c>
      <c r="S33" s="681">
        <f>IF($D33="","",IF(AND(終値!E33&lt;終値!O33,$Q33&gt;(IFERROR(100-100/(1+SUMPRODUCT((終値!O33:AB33&gt;終値!P33:AC33)*(終値!O33:AB33-終値!P33:AC33))/SUMPRODUCT((終値!O33:AB33&lt;終値!P33:AC33)*(終値!P33:AC33-終値!O33:AB33))),100))),"強気div▲",IF(AND(終値!E33&gt;終値!O33,$Q33&lt;(IFERROR(100-100/(1+SUMPRODUCT((終値!O33:AB33&gt;終値!P33:AC33)*(終値!O33:AB33-終値!P33:AC33))/SUMPRODUCT((終値!O33:AB33&lt;終値!P33:AC33)*(終値!P33:AC33-終値!O33:AB33))),100))),"弱気div▼","－")))</f>
      </c>
      <c r="T33" s="681">
        <f>IF($D33="","",IF($D33&gt;=$H33,"上walk▲",IF($D33&lt;=$I33,"下walk▼","－")))</f>
      </c>
      <c r="U33" s="681">
        <f>IF(終値!A33="","",BB_スイング!BT33)</f>
      </c>
      <c r="V33" s="689">
        <f>IF($D33="","",IFERROR(出来高!E33/AVERAGE(出来高!E33:I33),""))</f>
      </c>
      <c r="W33" s="690">
        <f>IF($D33="","",IF(AND($D33&gt;$G33,$O33="拡大↑",$L33&lt;=$M33*1.8),"◎スクイーズブレイク買",IF(AND($D33&gt;=$H33,$R33&gt;=BB設定!$B$10),"○順張り継続(walk)",IF(AND($S33="強気div▲",$D33&gt;$I33),"○反発(ダイバ)買",IF($U33="二番底W▲","△二番底買(確)",IF($U33="二番底W形成","△二番底形成",IF($D33&lt;$J33,"▼-2σ割れ危険",IF(AND($D33&gt;$E33,$K33&lt;0.6,$R33&gt;=50),"・押し目注目",IF($N33="スクイーズ★","☆スクイーズ監視","様子見")))))))))</f>
      </c>
      <c r="X33" s="685">
        <f>IF($D33="","",MIN(100,IF($L33&lt;=$M33*1.15,20,IF($L33&lt;=$M33*1.4,10,0))+IF($D33&gt;$G33,20,IF($D33&gt;$H33,12,IF($D33&gt;$E33,5,0)))+IF($O33="拡大↑",10,0)+IF($R33&gt;=80,15,IF($R33&gt;=60,10,IF($R33&gt;=50,5,0)))+IF(AND($Q33&gt;=50,$Q33&lt;=70),10,IF($Q33&gt;70,3,IF($Q33&gt;=40,5,0)))+IF($S33="強気div▲",15,0)+IF($T33="上walk▲",5,0)+IF($V33&gt;=2,5,IF($V33&gt;=1.5,3,0))))</f>
      </c>
      <c r="Y33" s="682">
        <f>IF($D33="","",$D33)</f>
      </c>
      <c r="Z33" s="682">
        <f>IF($D33="","",$H33)</f>
      </c>
      <c r="AA33" s="682">
        <f>IF($D33="","",IF($D33&gt;$E33,$E33,$AD33))</f>
      </c>
      <c r="AB33" s="682">
        <f>IF($D33="","",$G33)</f>
      </c>
      <c r="AC33" s="688">
        <f>IF($D33="","",IF(($Y33-$AA33)&lt;=0,"－",IFERROR(ROUND(MIN(20,($AB33-$Y33)/($Y33-$AA33)),2),"－")))</f>
      </c>
      <c r="AD33" s="682">
        <f>IF($D33="","",MIN(終値!E33:I33))</f>
      </c>
      <c r="AE33" s="684">
        <f>IF($D33="","",$X33+(10000-ROW())/100000)</f>
      </c>
    </row>
    <row r="34">
      <c r="A34" s="681">
        <f>IF(終値!A34="","",HYPERLINK("https://kabutan.jp/stock/?code="&amp;終値!A34,"📈"))</f>
      </c>
      <c r="B34" s="681">
        <f>IF(終値!A34="","",終値!A34)</f>
      </c>
      <c r="C34" s="680">
        <f>IF(終値!A34="","",終値!B34)</f>
      </c>
      <c r="D34" s="682">
        <f>IF(終値!A34="","",終値!E34)</f>
      </c>
      <c r="E34" s="682">
        <f>IF($D34="","",AVERAGE(終値!E34:X34))</f>
      </c>
      <c r="F34" s="683">
        <f>IF($D34="","",STDEVP(終値!E34:X34))</f>
      </c>
      <c r="G34" s="682">
        <f>IF($D34="","",$E34+BB設定!$B$4*$F34)</f>
      </c>
      <c r="H34" s="682">
        <f>IF($D34="","",$E34+BB設定!$B$5*$F34)</f>
      </c>
      <c r="I34" s="682">
        <f>IF($D34="","",$E34-BB設定!$B$5*$F34)</f>
      </c>
      <c r="J34" s="682">
        <f>IF($D34="","",$E34-BB設定!$B$4*$F34)</f>
      </c>
      <c r="K34" s="687">
        <f>IF($D34="","",IFERROR(($D34-$J34)/($G34-$J34),""))</f>
      </c>
      <c r="L34" s="686">
        <f>IF($D34="","",IFERROR(($G34-$J34)/$E34*100,""))</f>
      </c>
      <c r="M34" s="686">
        <f>IF($D34="","",IFERROR(MIN(BB_帯幅!B34:AP34)*100,""))</f>
      </c>
      <c r="N34" s="681">
        <f>IF($L34="","",IF($L34&lt;=$M34*BB設定!$B$7,"スクイーズ★",IF($L34&lt;=$M34*1.3,"収縮","－")))</f>
      </c>
      <c r="O34" s="681">
        <f>IF($D34="","",IF($L34&gt;(4*STDEVP(終値!F34:Y34)/AVERAGE(終値!F34:Y34)*100),"拡大↑","縮小↓"))</f>
      </c>
      <c r="P34" s="681">
        <f>IF($D34="","",IF($D34&gt;$G34,"↑+2σ突破",IF($D34&lt;$J34,"↓-2σ割れ",IF($D34&gt;$H34,"+1σ上",IF($D34&lt;$I34,"-1σ下","バンド内")))))</f>
      </c>
      <c r="Q34" s="684">
        <f>IF($D34="","",IFERROR(100-100/(1+SUMPRODUCT((終値!E34:R34&gt;終値!F34:S34)*(終値!E34:R34-終値!F34:S34))/SUMPRODUCT((終値!E34:R34&lt;終値!F34:S34)*(終値!F34:S34-終値!E34:R34))),100))</f>
      </c>
      <c r="R34" s="684">
        <f>IF($D34="","",IFERROR(100-100/(1+SUMPRODUCT((((高値!E34:R34+安値!E34:R34+終値!E34:R34)/3)&gt;((高値!F34:S34+安値!F34:S34+終値!F34:S34)/3))*((高値!E34:R34+安値!E34:R34+終値!E34:R34)/3)*出来高!E34:R34)/SUMPRODUCT((((高値!E34:R34+安値!E34:R34+終値!E34:R34)/3)&lt;((高値!F34:S34+安値!F34:S34+終値!F34:S34)/3))*((高値!E34:R34+安値!E34:R34+終値!E34:R34)/3)*出来高!E34:R34)),50))</f>
      </c>
      <c r="S34" s="681">
        <f>IF($D34="","",IF(AND(終値!E34&lt;終値!O34,$Q34&gt;(IFERROR(100-100/(1+SUMPRODUCT((終値!O34:AB34&gt;終値!P34:AC34)*(終値!O34:AB34-終値!P34:AC34))/SUMPRODUCT((終値!O34:AB34&lt;終値!P34:AC34)*(終値!P34:AC34-終値!O34:AB34))),100))),"強気div▲",IF(AND(終値!E34&gt;終値!O34,$Q34&lt;(IFERROR(100-100/(1+SUMPRODUCT((終値!O34:AB34&gt;終値!P34:AC34)*(終値!O34:AB34-終値!P34:AC34))/SUMPRODUCT((終値!O34:AB34&lt;終値!P34:AC34)*(終値!P34:AC34-終値!O34:AB34))),100))),"弱気div▼","－")))</f>
      </c>
      <c r="T34" s="681">
        <f>IF($D34="","",IF($D34&gt;=$H34,"上walk▲",IF($D34&lt;=$I34,"下walk▼","－")))</f>
      </c>
      <c r="U34" s="681">
        <f>IF(終値!A34="","",BB_スイング!BT34)</f>
      </c>
      <c r="V34" s="689">
        <f>IF($D34="","",IFERROR(出来高!E34/AVERAGE(出来高!E34:I34),""))</f>
      </c>
      <c r="W34" s="690">
        <f>IF($D34="","",IF(AND($D34&gt;$G34,$O34="拡大↑",$L34&lt;=$M34*1.8),"◎スクイーズブレイク買",IF(AND($D34&gt;=$H34,$R34&gt;=BB設定!$B$10),"○順張り継続(walk)",IF(AND($S34="強気div▲",$D34&gt;$I34),"○反発(ダイバ)買",IF($U34="二番底W▲","△二番底買(確)",IF($U34="二番底W形成","△二番底形成",IF($D34&lt;$J34,"▼-2σ割れ危険",IF(AND($D34&gt;$E34,$K34&lt;0.6,$R34&gt;=50),"・押し目注目",IF($N34="スクイーズ★","☆スクイーズ監視","様子見")))))))))</f>
      </c>
      <c r="X34" s="685">
        <f>IF($D34="","",MIN(100,IF($L34&lt;=$M34*1.15,20,IF($L34&lt;=$M34*1.4,10,0))+IF($D34&gt;$G34,20,IF($D34&gt;$H34,12,IF($D34&gt;$E34,5,0)))+IF($O34="拡大↑",10,0)+IF($R34&gt;=80,15,IF($R34&gt;=60,10,IF($R34&gt;=50,5,0)))+IF(AND($Q34&gt;=50,$Q34&lt;=70),10,IF($Q34&gt;70,3,IF($Q34&gt;=40,5,0)))+IF($S34="強気div▲",15,0)+IF($T34="上walk▲",5,0)+IF($V34&gt;=2,5,IF($V34&gt;=1.5,3,0))))</f>
      </c>
      <c r="Y34" s="682">
        <f>IF($D34="","",$D34)</f>
      </c>
      <c r="Z34" s="682">
        <f>IF($D34="","",$H34)</f>
      </c>
      <c r="AA34" s="682">
        <f>IF($D34="","",IF($D34&gt;$E34,$E34,$AD34))</f>
      </c>
      <c r="AB34" s="682">
        <f>IF($D34="","",$G34)</f>
      </c>
      <c r="AC34" s="688">
        <f>IF($D34="","",IF(($Y34-$AA34)&lt;=0,"－",IFERROR(ROUND(MIN(20,($AB34-$Y34)/($Y34-$AA34)),2),"－")))</f>
      </c>
      <c r="AD34" s="682">
        <f>IF($D34="","",MIN(終値!E34:I34))</f>
      </c>
      <c r="AE34" s="684">
        <f>IF($D34="","",$X34+(10000-ROW())/100000)</f>
      </c>
    </row>
    <row r="35">
      <c r="A35" s="681">
        <f>IF(終値!A35="","",HYPERLINK("https://kabutan.jp/stock/?code="&amp;終値!A35,"📈"))</f>
      </c>
      <c r="B35" s="681">
        <f>IF(終値!A35="","",終値!A35)</f>
      </c>
      <c r="C35" s="680">
        <f>IF(終値!A35="","",終値!B35)</f>
      </c>
      <c r="D35" s="682">
        <f>IF(終値!A35="","",終値!E35)</f>
      </c>
      <c r="E35" s="682">
        <f>IF($D35="","",AVERAGE(終値!E35:X35))</f>
      </c>
      <c r="F35" s="683">
        <f>IF($D35="","",STDEVP(終値!E35:X35))</f>
      </c>
      <c r="G35" s="682">
        <f>IF($D35="","",$E35+BB設定!$B$4*$F35)</f>
      </c>
      <c r="H35" s="682">
        <f>IF($D35="","",$E35+BB設定!$B$5*$F35)</f>
      </c>
      <c r="I35" s="682">
        <f>IF($D35="","",$E35-BB設定!$B$5*$F35)</f>
      </c>
      <c r="J35" s="682">
        <f>IF($D35="","",$E35-BB設定!$B$4*$F35)</f>
      </c>
      <c r="K35" s="687">
        <f>IF($D35="","",IFERROR(($D35-$J35)/($G35-$J35),""))</f>
      </c>
      <c r="L35" s="686">
        <f>IF($D35="","",IFERROR(($G35-$J35)/$E35*100,""))</f>
      </c>
      <c r="M35" s="686">
        <f>IF($D35="","",IFERROR(MIN(BB_帯幅!B35:AP35)*100,""))</f>
      </c>
      <c r="N35" s="681">
        <f>IF($L35="","",IF($L35&lt;=$M35*BB設定!$B$7,"スクイーズ★",IF($L35&lt;=$M35*1.3,"収縮","－")))</f>
      </c>
      <c r="O35" s="681">
        <f>IF($D35="","",IF($L35&gt;(4*STDEVP(終値!F35:Y35)/AVERAGE(終値!F35:Y35)*100),"拡大↑","縮小↓"))</f>
      </c>
      <c r="P35" s="681">
        <f>IF($D35="","",IF($D35&gt;$G35,"↑+2σ突破",IF($D35&lt;$J35,"↓-2σ割れ",IF($D35&gt;$H35,"+1σ上",IF($D35&lt;$I35,"-1σ下","バンド内")))))</f>
      </c>
      <c r="Q35" s="684">
        <f>IF($D35="","",IFERROR(100-100/(1+SUMPRODUCT((終値!E35:R35&gt;終値!F35:S35)*(終値!E35:R35-終値!F35:S35))/SUMPRODUCT((終値!E35:R35&lt;終値!F35:S35)*(終値!F35:S35-終値!E35:R35))),100))</f>
      </c>
      <c r="R35" s="684">
        <f>IF($D35="","",IFERROR(100-100/(1+SUMPRODUCT((((高値!E35:R35+安値!E35:R35+終値!E35:R35)/3)&gt;((高値!F35:S35+安値!F35:S35+終値!F35:S35)/3))*((高値!E35:R35+安値!E35:R35+終値!E35:R35)/3)*出来高!E35:R35)/SUMPRODUCT((((高値!E35:R35+安値!E35:R35+終値!E35:R35)/3)&lt;((高値!F35:S35+安値!F35:S35+終値!F35:S35)/3))*((高値!E35:R35+安値!E35:R35+終値!E35:R35)/3)*出来高!E35:R35)),50))</f>
      </c>
      <c r="S35" s="681">
        <f>IF($D35="","",IF(AND(終値!E35&lt;終値!O35,$Q35&gt;(IFERROR(100-100/(1+SUMPRODUCT((終値!O35:AB35&gt;終値!P35:AC35)*(終値!O35:AB35-終値!P35:AC35))/SUMPRODUCT((終値!O35:AB35&lt;終値!P35:AC35)*(終値!P35:AC35-終値!O35:AB35))),100))),"強気div▲",IF(AND(終値!E35&gt;終値!O35,$Q35&lt;(IFERROR(100-100/(1+SUMPRODUCT((終値!O35:AB35&gt;終値!P35:AC35)*(終値!O35:AB35-終値!P35:AC35))/SUMPRODUCT((終値!O35:AB35&lt;終値!P35:AC35)*(終値!P35:AC35-終値!O35:AB35))),100))),"弱気div▼","－")))</f>
      </c>
      <c r="T35" s="681">
        <f>IF($D35="","",IF($D35&gt;=$H35,"上walk▲",IF($D35&lt;=$I35,"下walk▼","－")))</f>
      </c>
      <c r="U35" s="681">
        <f>IF(終値!A35="","",BB_スイング!BT35)</f>
      </c>
      <c r="V35" s="689">
        <f>IF($D35="","",IFERROR(出来高!E35/AVERAGE(出来高!E35:I35),""))</f>
      </c>
      <c r="W35" s="690">
        <f>IF($D35="","",IF(AND($D35&gt;$G35,$O35="拡大↑",$L35&lt;=$M35*1.8),"◎スクイーズブレイク買",IF(AND($D35&gt;=$H35,$R35&gt;=BB設定!$B$10),"○順張り継続(walk)",IF(AND($S35="強気div▲",$D35&gt;$I35),"○反発(ダイバ)買",IF($U35="二番底W▲","△二番底買(確)",IF($U35="二番底W形成","△二番底形成",IF($D35&lt;$J35,"▼-2σ割れ危険",IF(AND($D35&gt;$E35,$K35&lt;0.6,$R35&gt;=50),"・押し目注目",IF($N35="スクイーズ★","☆スクイーズ監視","様子見")))))))))</f>
      </c>
      <c r="X35" s="685">
        <f>IF($D35="","",MIN(100,IF($L35&lt;=$M35*1.15,20,IF($L35&lt;=$M35*1.4,10,0))+IF($D35&gt;$G35,20,IF($D35&gt;$H35,12,IF($D35&gt;$E35,5,0)))+IF($O35="拡大↑",10,0)+IF($R35&gt;=80,15,IF($R35&gt;=60,10,IF($R35&gt;=50,5,0)))+IF(AND($Q35&gt;=50,$Q35&lt;=70),10,IF($Q35&gt;70,3,IF($Q35&gt;=40,5,0)))+IF($S35="強気div▲",15,0)+IF($T35="上walk▲",5,0)+IF($V35&gt;=2,5,IF($V35&gt;=1.5,3,0))))</f>
      </c>
      <c r="Y35" s="682">
        <f>IF($D35="","",$D35)</f>
      </c>
      <c r="Z35" s="682">
        <f>IF($D35="","",$H35)</f>
      </c>
      <c r="AA35" s="682">
        <f>IF($D35="","",IF($D35&gt;$E35,$E35,$AD35))</f>
      </c>
      <c r="AB35" s="682">
        <f>IF($D35="","",$G35)</f>
      </c>
      <c r="AC35" s="688">
        <f>IF($D35="","",IF(($Y35-$AA35)&lt;=0,"－",IFERROR(ROUND(MIN(20,($AB35-$Y35)/($Y35-$AA35)),2),"－")))</f>
      </c>
      <c r="AD35" s="682">
        <f>IF($D35="","",MIN(終値!E35:I35))</f>
      </c>
      <c r="AE35" s="684">
        <f>IF($D35="","",$X35+(10000-ROW())/100000)</f>
      </c>
    </row>
    <row r="36">
      <c r="A36" s="681">
        <f>IF(終値!A36="","",HYPERLINK("https://kabutan.jp/stock/?code="&amp;終値!A36,"📈"))</f>
      </c>
      <c r="B36" s="681">
        <f>IF(終値!A36="","",終値!A36)</f>
      </c>
      <c r="C36" s="680">
        <f>IF(終値!A36="","",終値!B36)</f>
      </c>
      <c r="D36" s="682">
        <f>IF(終値!A36="","",終値!E36)</f>
      </c>
      <c r="E36" s="682">
        <f>IF($D36="","",AVERAGE(終値!E36:X36))</f>
      </c>
      <c r="F36" s="683">
        <f>IF($D36="","",STDEVP(終値!E36:X36))</f>
      </c>
      <c r="G36" s="682">
        <f>IF($D36="","",$E36+BB設定!$B$4*$F36)</f>
      </c>
      <c r="H36" s="682">
        <f>IF($D36="","",$E36+BB設定!$B$5*$F36)</f>
      </c>
      <c r="I36" s="682">
        <f>IF($D36="","",$E36-BB設定!$B$5*$F36)</f>
      </c>
      <c r="J36" s="682">
        <f>IF($D36="","",$E36-BB設定!$B$4*$F36)</f>
      </c>
      <c r="K36" s="687">
        <f>IF($D36="","",IFERROR(($D36-$J36)/($G36-$J36),""))</f>
      </c>
      <c r="L36" s="686">
        <f>IF($D36="","",IFERROR(($G36-$J36)/$E36*100,""))</f>
      </c>
      <c r="M36" s="686">
        <f>IF($D36="","",IFERROR(MIN(BB_帯幅!B36:AP36)*100,""))</f>
      </c>
      <c r="N36" s="681">
        <f>IF($L36="","",IF($L36&lt;=$M36*BB設定!$B$7,"スクイーズ★",IF($L36&lt;=$M36*1.3,"収縮","－")))</f>
      </c>
      <c r="O36" s="681">
        <f>IF($D36="","",IF($L36&gt;(4*STDEVP(終値!F36:Y36)/AVERAGE(終値!F36:Y36)*100),"拡大↑","縮小↓"))</f>
      </c>
      <c r="P36" s="681">
        <f>IF($D36="","",IF($D36&gt;$G36,"↑+2σ突破",IF($D36&lt;$J36,"↓-2σ割れ",IF($D36&gt;$H36,"+1σ上",IF($D36&lt;$I36,"-1σ下","バンド内")))))</f>
      </c>
      <c r="Q36" s="684">
        <f>IF($D36="","",IFERROR(100-100/(1+SUMPRODUCT((終値!E36:R36&gt;終値!F36:S36)*(終値!E36:R36-終値!F36:S36))/SUMPRODUCT((終値!E36:R36&lt;終値!F36:S36)*(終値!F36:S36-終値!E36:R36))),100))</f>
      </c>
      <c r="R36" s="684">
        <f>IF($D36="","",IFERROR(100-100/(1+SUMPRODUCT((((高値!E36:R36+安値!E36:R36+終値!E36:R36)/3)&gt;((高値!F36:S36+安値!F36:S36+終値!F36:S36)/3))*((高値!E36:R36+安値!E36:R36+終値!E36:R36)/3)*出来高!E36:R36)/SUMPRODUCT((((高値!E36:R36+安値!E36:R36+終値!E36:R36)/3)&lt;((高値!F36:S36+安値!F36:S36+終値!F36:S36)/3))*((高値!E36:R36+安値!E36:R36+終値!E36:R36)/3)*出来高!E36:R36)),50))</f>
      </c>
      <c r="S36" s="681">
        <f>IF($D36="","",IF(AND(終値!E36&lt;終値!O36,$Q36&gt;(IFERROR(100-100/(1+SUMPRODUCT((終値!O36:AB36&gt;終値!P36:AC36)*(終値!O36:AB36-終値!P36:AC36))/SUMPRODUCT((終値!O36:AB36&lt;終値!P36:AC36)*(終値!P36:AC36-終値!O36:AB36))),100))),"強気div▲",IF(AND(終値!E36&gt;終値!O36,$Q36&lt;(IFERROR(100-100/(1+SUMPRODUCT((終値!O36:AB36&gt;終値!P36:AC36)*(終値!O36:AB36-終値!P36:AC36))/SUMPRODUCT((終値!O36:AB36&lt;終値!P36:AC36)*(終値!P36:AC36-終値!O36:AB36))),100))),"弱気div▼","－")))</f>
      </c>
      <c r="T36" s="681">
        <f>IF($D36="","",IF($D36&gt;=$H36,"上walk▲",IF($D36&lt;=$I36,"下walk▼","－")))</f>
      </c>
      <c r="U36" s="681">
        <f>IF(終値!A36="","",BB_スイング!BT36)</f>
      </c>
      <c r="V36" s="689">
        <f>IF($D36="","",IFERROR(出来高!E36/AVERAGE(出来高!E36:I36),""))</f>
      </c>
      <c r="W36" s="690">
        <f>IF($D36="","",IF(AND($D36&gt;$G36,$O36="拡大↑",$L36&lt;=$M36*1.8),"◎スクイーズブレイク買",IF(AND($D36&gt;=$H36,$R36&gt;=BB設定!$B$10),"○順張り継続(walk)",IF(AND($S36="強気div▲",$D36&gt;$I36),"○反発(ダイバ)買",IF($U36="二番底W▲","△二番底買(確)",IF($U36="二番底W形成","△二番底形成",IF($D36&lt;$J36,"▼-2σ割れ危険",IF(AND($D36&gt;$E36,$K36&lt;0.6,$R36&gt;=50),"・押し目注目",IF($N36="スクイーズ★","☆スクイーズ監視","様子見")))))))))</f>
      </c>
      <c r="X36" s="685">
        <f>IF($D36="","",MIN(100,IF($L36&lt;=$M36*1.15,20,IF($L36&lt;=$M36*1.4,10,0))+IF($D36&gt;$G36,20,IF($D36&gt;$H36,12,IF($D36&gt;$E36,5,0)))+IF($O36="拡大↑",10,0)+IF($R36&gt;=80,15,IF($R36&gt;=60,10,IF($R36&gt;=50,5,0)))+IF(AND($Q36&gt;=50,$Q36&lt;=70),10,IF($Q36&gt;70,3,IF($Q36&gt;=40,5,0)))+IF($S36="強気div▲",15,0)+IF($T36="上walk▲",5,0)+IF($V36&gt;=2,5,IF($V36&gt;=1.5,3,0))))</f>
      </c>
      <c r="Y36" s="682">
        <f>IF($D36="","",$D36)</f>
      </c>
      <c r="Z36" s="682">
        <f>IF($D36="","",$H36)</f>
      </c>
      <c r="AA36" s="682">
        <f>IF($D36="","",IF($D36&gt;$E36,$E36,$AD36))</f>
      </c>
      <c r="AB36" s="682">
        <f>IF($D36="","",$G36)</f>
      </c>
      <c r="AC36" s="688">
        <f>IF($D36="","",IF(($Y36-$AA36)&lt;=0,"－",IFERROR(ROUND(MIN(20,($AB36-$Y36)/($Y36-$AA36)),2),"－")))</f>
      </c>
      <c r="AD36" s="682">
        <f>IF($D36="","",MIN(終値!E36:I36))</f>
      </c>
      <c r="AE36" s="684">
        <f>IF($D36="","",$X36+(10000-ROW())/100000)</f>
      </c>
    </row>
    <row r="37">
      <c r="A37" s="681">
        <f>IF(終値!A37="","",HYPERLINK("https://kabutan.jp/stock/?code="&amp;終値!A37,"📈"))</f>
      </c>
      <c r="B37" s="681">
        <f>IF(終値!A37="","",終値!A37)</f>
      </c>
      <c r="C37" s="680">
        <f>IF(終値!A37="","",終値!B37)</f>
      </c>
      <c r="D37" s="682">
        <f>IF(終値!A37="","",終値!E37)</f>
      </c>
      <c r="E37" s="682">
        <f>IF($D37="","",AVERAGE(終値!E37:X37))</f>
      </c>
      <c r="F37" s="683">
        <f>IF($D37="","",STDEVP(終値!E37:X37))</f>
      </c>
      <c r="G37" s="682">
        <f>IF($D37="","",$E37+BB設定!$B$4*$F37)</f>
      </c>
      <c r="H37" s="682">
        <f>IF($D37="","",$E37+BB設定!$B$5*$F37)</f>
      </c>
      <c r="I37" s="682">
        <f>IF($D37="","",$E37-BB設定!$B$5*$F37)</f>
      </c>
      <c r="J37" s="682">
        <f>IF($D37="","",$E37-BB設定!$B$4*$F37)</f>
      </c>
      <c r="K37" s="687">
        <f>IF($D37="","",IFERROR(($D37-$J37)/($G37-$J37),""))</f>
      </c>
      <c r="L37" s="686">
        <f>IF($D37="","",IFERROR(($G37-$J37)/$E37*100,""))</f>
      </c>
      <c r="M37" s="686">
        <f>IF($D37="","",IFERROR(MIN(BB_帯幅!B37:AP37)*100,""))</f>
      </c>
      <c r="N37" s="681">
        <f>IF($L37="","",IF($L37&lt;=$M37*BB設定!$B$7,"スクイーズ★",IF($L37&lt;=$M37*1.3,"収縮","－")))</f>
      </c>
      <c r="O37" s="681">
        <f>IF($D37="","",IF($L37&gt;(4*STDEVP(終値!F37:Y37)/AVERAGE(終値!F37:Y37)*100),"拡大↑","縮小↓"))</f>
      </c>
      <c r="P37" s="681">
        <f>IF($D37="","",IF($D37&gt;$G37,"↑+2σ突破",IF($D37&lt;$J37,"↓-2σ割れ",IF($D37&gt;$H37,"+1σ上",IF($D37&lt;$I37,"-1σ下","バンド内")))))</f>
      </c>
      <c r="Q37" s="684">
        <f>IF($D37="","",IFERROR(100-100/(1+SUMPRODUCT((終値!E37:R37&gt;終値!F37:S37)*(終値!E37:R37-終値!F37:S37))/SUMPRODUCT((終値!E37:R37&lt;終値!F37:S37)*(終値!F37:S37-終値!E37:R37))),100))</f>
      </c>
      <c r="R37" s="684">
        <f>IF($D37="","",IFERROR(100-100/(1+SUMPRODUCT((((高値!E37:R37+安値!E37:R37+終値!E37:R37)/3)&gt;((高値!F37:S37+安値!F37:S37+終値!F37:S37)/3))*((高値!E37:R37+安値!E37:R37+終値!E37:R37)/3)*出来高!E37:R37)/SUMPRODUCT((((高値!E37:R37+安値!E37:R37+終値!E37:R37)/3)&lt;((高値!F37:S37+安値!F37:S37+終値!F37:S37)/3))*((高値!E37:R37+安値!E37:R37+終値!E37:R37)/3)*出来高!E37:R37)),50))</f>
      </c>
      <c r="S37" s="681">
        <f>IF($D37="","",IF(AND(終値!E37&lt;終値!O37,$Q37&gt;(IFERROR(100-100/(1+SUMPRODUCT((終値!O37:AB37&gt;終値!P37:AC37)*(終値!O37:AB37-終値!P37:AC37))/SUMPRODUCT((終値!O37:AB37&lt;終値!P37:AC37)*(終値!P37:AC37-終値!O37:AB37))),100))),"強気div▲",IF(AND(終値!E37&gt;終値!O37,$Q37&lt;(IFERROR(100-100/(1+SUMPRODUCT((終値!O37:AB37&gt;終値!P37:AC37)*(終値!O37:AB37-終値!P37:AC37))/SUMPRODUCT((終値!O37:AB37&lt;終値!P37:AC37)*(終値!P37:AC37-終値!O37:AB37))),100))),"弱気div▼","－")))</f>
      </c>
      <c r="T37" s="681">
        <f>IF($D37="","",IF($D37&gt;=$H37,"上walk▲",IF($D37&lt;=$I37,"下walk▼","－")))</f>
      </c>
      <c r="U37" s="681">
        <f>IF(終値!A37="","",BB_スイング!BT37)</f>
      </c>
      <c r="V37" s="689">
        <f>IF($D37="","",IFERROR(出来高!E37/AVERAGE(出来高!E37:I37),""))</f>
      </c>
      <c r="W37" s="690">
        <f>IF($D37="","",IF(AND($D37&gt;$G37,$O37="拡大↑",$L37&lt;=$M37*1.8),"◎スクイーズブレイク買",IF(AND($D37&gt;=$H37,$R37&gt;=BB設定!$B$10),"○順張り継続(walk)",IF(AND($S37="強気div▲",$D37&gt;$I37),"○反発(ダイバ)買",IF($U37="二番底W▲","△二番底買(確)",IF($U37="二番底W形成","△二番底形成",IF($D37&lt;$J37,"▼-2σ割れ危険",IF(AND($D37&gt;$E37,$K37&lt;0.6,$R37&gt;=50),"・押し目注目",IF($N37="スクイーズ★","☆スクイーズ監視","様子見")))))))))</f>
      </c>
      <c r="X37" s="685">
        <f>IF($D37="","",MIN(100,IF($L37&lt;=$M37*1.15,20,IF($L37&lt;=$M37*1.4,10,0))+IF($D37&gt;$G37,20,IF($D37&gt;$H37,12,IF($D37&gt;$E37,5,0)))+IF($O37="拡大↑",10,0)+IF($R37&gt;=80,15,IF($R37&gt;=60,10,IF($R37&gt;=50,5,0)))+IF(AND($Q37&gt;=50,$Q37&lt;=70),10,IF($Q37&gt;70,3,IF($Q37&gt;=40,5,0)))+IF($S37="強気div▲",15,0)+IF($T37="上walk▲",5,0)+IF($V37&gt;=2,5,IF($V37&gt;=1.5,3,0))))</f>
      </c>
      <c r="Y37" s="682">
        <f>IF($D37="","",$D37)</f>
      </c>
      <c r="Z37" s="682">
        <f>IF($D37="","",$H37)</f>
      </c>
      <c r="AA37" s="682">
        <f>IF($D37="","",IF($D37&gt;$E37,$E37,$AD37))</f>
      </c>
      <c r="AB37" s="682">
        <f>IF($D37="","",$G37)</f>
      </c>
      <c r="AC37" s="688">
        <f>IF($D37="","",IF(($Y37-$AA37)&lt;=0,"－",IFERROR(ROUND(MIN(20,($AB37-$Y37)/($Y37-$AA37)),2),"－")))</f>
      </c>
      <c r="AD37" s="682">
        <f>IF($D37="","",MIN(終値!E37:I37))</f>
      </c>
      <c r="AE37" s="684">
        <f>IF($D37="","",$X37+(10000-ROW())/100000)</f>
      </c>
    </row>
    <row r="38">
      <c r="A38" s="681">
        <f>IF(終値!A38="","",HYPERLINK("https://kabutan.jp/stock/?code="&amp;終値!A38,"📈"))</f>
      </c>
      <c r="B38" s="681">
        <f>IF(終値!A38="","",終値!A38)</f>
      </c>
      <c r="C38" s="680">
        <f>IF(終値!A38="","",終値!B38)</f>
      </c>
      <c r="D38" s="682">
        <f>IF(終値!A38="","",終値!E38)</f>
      </c>
      <c r="E38" s="682">
        <f>IF($D38="","",AVERAGE(終値!E38:X38))</f>
      </c>
      <c r="F38" s="683">
        <f>IF($D38="","",STDEVP(終値!E38:X38))</f>
      </c>
      <c r="G38" s="682">
        <f>IF($D38="","",$E38+BB設定!$B$4*$F38)</f>
      </c>
      <c r="H38" s="682">
        <f>IF($D38="","",$E38+BB設定!$B$5*$F38)</f>
      </c>
      <c r="I38" s="682">
        <f>IF($D38="","",$E38-BB設定!$B$5*$F38)</f>
      </c>
      <c r="J38" s="682">
        <f>IF($D38="","",$E38-BB設定!$B$4*$F38)</f>
      </c>
      <c r="K38" s="687">
        <f>IF($D38="","",IFERROR(($D38-$J38)/($G38-$J38),""))</f>
      </c>
      <c r="L38" s="686">
        <f>IF($D38="","",IFERROR(($G38-$J38)/$E38*100,""))</f>
      </c>
      <c r="M38" s="686">
        <f>IF($D38="","",IFERROR(MIN(BB_帯幅!B38:AP38)*100,""))</f>
      </c>
      <c r="N38" s="681">
        <f>IF($L38="","",IF($L38&lt;=$M38*BB設定!$B$7,"スクイーズ★",IF($L38&lt;=$M38*1.3,"収縮","－")))</f>
      </c>
      <c r="O38" s="681">
        <f>IF($D38="","",IF($L38&gt;(4*STDEVP(終値!F38:Y38)/AVERAGE(終値!F38:Y38)*100),"拡大↑","縮小↓"))</f>
      </c>
      <c r="P38" s="681">
        <f>IF($D38="","",IF($D38&gt;$G38,"↑+2σ突破",IF($D38&lt;$J38,"↓-2σ割れ",IF($D38&gt;$H38,"+1σ上",IF($D38&lt;$I38,"-1σ下","バンド内")))))</f>
      </c>
      <c r="Q38" s="684">
        <f>IF($D38="","",IFERROR(100-100/(1+SUMPRODUCT((終値!E38:R38&gt;終値!F38:S38)*(終値!E38:R38-終値!F38:S38))/SUMPRODUCT((終値!E38:R38&lt;終値!F38:S38)*(終値!F38:S38-終値!E38:R38))),100))</f>
      </c>
      <c r="R38" s="684">
        <f>IF($D38="","",IFERROR(100-100/(1+SUMPRODUCT((((高値!E38:R38+安値!E38:R38+終値!E38:R38)/3)&gt;((高値!F38:S38+安値!F38:S38+終値!F38:S38)/3))*((高値!E38:R38+安値!E38:R38+終値!E38:R38)/3)*出来高!E38:R38)/SUMPRODUCT((((高値!E38:R38+安値!E38:R38+終値!E38:R38)/3)&lt;((高値!F38:S38+安値!F38:S38+終値!F38:S38)/3))*((高値!E38:R38+安値!E38:R38+終値!E38:R38)/3)*出来高!E38:R38)),50))</f>
      </c>
      <c r="S38" s="681">
        <f>IF($D38="","",IF(AND(終値!E38&lt;終値!O38,$Q38&gt;(IFERROR(100-100/(1+SUMPRODUCT((終値!O38:AB38&gt;終値!P38:AC38)*(終値!O38:AB38-終値!P38:AC38))/SUMPRODUCT((終値!O38:AB38&lt;終値!P38:AC38)*(終値!P38:AC38-終値!O38:AB38))),100))),"強気div▲",IF(AND(終値!E38&gt;終値!O38,$Q38&lt;(IFERROR(100-100/(1+SUMPRODUCT((終値!O38:AB38&gt;終値!P38:AC38)*(終値!O38:AB38-終値!P38:AC38))/SUMPRODUCT((終値!O38:AB38&lt;終値!P38:AC38)*(終値!P38:AC38-終値!O38:AB38))),100))),"弱気div▼","－")))</f>
      </c>
      <c r="T38" s="681">
        <f>IF($D38="","",IF($D38&gt;=$H38,"上walk▲",IF($D38&lt;=$I38,"下walk▼","－")))</f>
      </c>
      <c r="U38" s="681">
        <f>IF(終値!A38="","",BB_スイング!BT38)</f>
      </c>
      <c r="V38" s="689">
        <f>IF($D38="","",IFERROR(出来高!E38/AVERAGE(出来高!E38:I38),""))</f>
      </c>
      <c r="W38" s="690">
        <f>IF($D38="","",IF(AND($D38&gt;$G38,$O38="拡大↑",$L38&lt;=$M38*1.8),"◎スクイーズブレイク買",IF(AND($D38&gt;=$H38,$R38&gt;=BB設定!$B$10),"○順張り継続(walk)",IF(AND($S38="強気div▲",$D38&gt;$I38),"○反発(ダイバ)買",IF($U38="二番底W▲","△二番底買(確)",IF($U38="二番底W形成","△二番底形成",IF($D38&lt;$J38,"▼-2σ割れ危険",IF(AND($D38&gt;$E38,$K38&lt;0.6,$R38&gt;=50),"・押し目注目",IF($N38="スクイーズ★","☆スクイーズ監視","様子見")))))))))</f>
      </c>
      <c r="X38" s="685">
        <f>IF($D38="","",MIN(100,IF($L38&lt;=$M38*1.15,20,IF($L38&lt;=$M38*1.4,10,0))+IF($D38&gt;$G38,20,IF($D38&gt;$H38,12,IF($D38&gt;$E38,5,0)))+IF($O38="拡大↑",10,0)+IF($R38&gt;=80,15,IF($R38&gt;=60,10,IF($R38&gt;=50,5,0)))+IF(AND($Q38&gt;=50,$Q38&lt;=70),10,IF($Q38&gt;70,3,IF($Q38&gt;=40,5,0)))+IF($S38="強気div▲",15,0)+IF($T38="上walk▲",5,0)+IF($V38&gt;=2,5,IF($V38&gt;=1.5,3,0))))</f>
      </c>
      <c r="Y38" s="682">
        <f>IF($D38="","",$D38)</f>
      </c>
      <c r="Z38" s="682">
        <f>IF($D38="","",$H38)</f>
      </c>
      <c r="AA38" s="682">
        <f>IF($D38="","",IF($D38&gt;$E38,$E38,$AD38))</f>
      </c>
      <c r="AB38" s="682">
        <f>IF($D38="","",$G38)</f>
      </c>
      <c r="AC38" s="688">
        <f>IF($D38="","",IF(($Y38-$AA38)&lt;=0,"－",IFERROR(ROUND(MIN(20,($AB38-$Y38)/($Y38-$AA38)),2),"－")))</f>
      </c>
      <c r="AD38" s="682">
        <f>IF($D38="","",MIN(終値!E38:I38))</f>
      </c>
      <c r="AE38" s="684">
        <f>IF($D38="","",$X38+(10000-ROW())/100000)</f>
      </c>
    </row>
    <row r="39">
      <c r="A39" s="681">
        <f>IF(終値!A39="","",HYPERLINK("https://kabutan.jp/stock/?code="&amp;終値!A39,"📈"))</f>
      </c>
      <c r="B39" s="681">
        <f>IF(終値!A39="","",終値!A39)</f>
      </c>
      <c r="C39" s="680">
        <f>IF(終値!A39="","",終値!B39)</f>
      </c>
      <c r="D39" s="682">
        <f>IF(終値!A39="","",終値!E39)</f>
      </c>
      <c r="E39" s="682">
        <f>IF($D39="","",AVERAGE(終値!E39:X39))</f>
      </c>
      <c r="F39" s="683">
        <f>IF($D39="","",STDEVP(終値!E39:X39))</f>
      </c>
      <c r="G39" s="682">
        <f>IF($D39="","",$E39+BB設定!$B$4*$F39)</f>
      </c>
      <c r="H39" s="682">
        <f>IF($D39="","",$E39+BB設定!$B$5*$F39)</f>
      </c>
      <c r="I39" s="682">
        <f>IF($D39="","",$E39-BB設定!$B$5*$F39)</f>
      </c>
      <c r="J39" s="682">
        <f>IF($D39="","",$E39-BB設定!$B$4*$F39)</f>
      </c>
      <c r="K39" s="687">
        <f>IF($D39="","",IFERROR(($D39-$J39)/($G39-$J39),""))</f>
      </c>
      <c r="L39" s="686">
        <f>IF($D39="","",IFERROR(($G39-$J39)/$E39*100,""))</f>
      </c>
      <c r="M39" s="686">
        <f>IF($D39="","",IFERROR(MIN(BB_帯幅!B39:AP39)*100,""))</f>
      </c>
      <c r="N39" s="681">
        <f>IF($L39="","",IF($L39&lt;=$M39*BB設定!$B$7,"スクイーズ★",IF($L39&lt;=$M39*1.3,"収縮","－")))</f>
      </c>
      <c r="O39" s="681">
        <f>IF($D39="","",IF($L39&gt;(4*STDEVP(終値!F39:Y39)/AVERAGE(終値!F39:Y39)*100),"拡大↑","縮小↓"))</f>
      </c>
      <c r="P39" s="681">
        <f>IF($D39="","",IF($D39&gt;$G39,"↑+2σ突破",IF($D39&lt;$J39,"↓-2σ割れ",IF($D39&gt;$H39,"+1σ上",IF($D39&lt;$I39,"-1σ下","バンド内")))))</f>
      </c>
      <c r="Q39" s="684">
        <f>IF($D39="","",IFERROR(100-100/(1+SUMPRODUCT((終値!E39:R39&gt;終値!F39:S39)*(終値!E39:R39-終値!F39:S39))/SUMPRODUCT((終値!E39:R39&lt;終値!F39:S39)*(終値!F39:S39-終値!E39:R39))),100))</f>
      </c>
      <c r="R39" s="684">
        <f>IF($D39="","",IFERROR(100-100/(1+SUMPRODUCT((((高値!E39:R39+安値!E39:R39+終値!E39:R39)/3)&gt;((高値!F39:S39+安値!F39:S39+終値!F39:S39)/3))*((高値!E39:R39+安値!E39:R39+終値!E39:R39)/3)*出来高!E39:R39)/SUMPRODUCT((((高値!E39:R39+安値!E39:R39+終値!E39:R39)/3)&lt;((高値!F39:S39+安値!F39:S39+終値!F39:S39)/3))*((高値!E39:R39+安値!E39:R39+終値!E39:R39)/3)*出来高!E39:R39)),50))</f>
      </c>
      <c r="S39" s="681">
        <f>IF($D39="","",IF(AND(終値!E39&lt;終値!O39,$Q39&gt;(IFERROR(100-100/(1+SUMPRODUCT((終値!O39:AB39&gt;終値!P39:AC39)*(終値!O39:AB39-終値!P39:AC39))/SUMPRODUCT((終値!O39:AB39&lt;終値!P39:AC39)*(終値!P39:AC39-終値!O39:AB39))),100))),"強気div▲",IF(AND(終値!E39&gt;終値!O39,$Q39&lt;(IFERROR(100-100/(1+SUMPRODUCT((終値!O39:AB39&gt;終値!P39:AC39)*(終値!O39:AB39-終値!P39:AC39))/SUMPRODUCT((終値!O39:AB39&lt;終値!P39:AC39)*(終値!P39:AC39-終値!O39:AB39))),100))),"弱気div▼","－")))</f>
      </c>
      <c r="T39" s="681">
        <f>IF($D39="","",IF($D39&gt;=$H39,"上walk▲",IF($D39&lt;=$I39,"下walk▼","－")))</f>
      </c>
      <c r="U39" s="681">
        <f>IF(終値!A39="","",BB_スイング!BT39)</f>
      </c>
      <c r="V39" s="689">
        <f>IF($D39="","",IFERROR(出来高!E39/AVERAGE(出来高!E39:I39),""))</f>
      </c>
      <c r="W39" s="690">
        <f>IF($D39="","",IF(AND($D39&gt;$G39,$O39="拡大↑",$L39&lt;=$M39*1.8),"◎スクイーズブレイク買",IF(AND($D39&gt;=$H39,$R39&gt;=BB設定!$B$10),"○順張り継続(walk)",IF(AND($S39="強気div▲",$D39&gt;$I39),"○反発(ダイバ)買",IF($U39="二番底W▲","△二番底買(確)",IF($U39="二番底W形成","△二番底形成",IF($D39&lt;$J39,"▼-2σ割れ危険",IF(AND($D39&gt;$E39,$K39&lt;0.6,$R39&gt;=50),"・押し目注目",IF($N39="スクイーズ★","☆スクイーズ監視","様子見")))))))))</f>
      </c>
      <c r="X39" s="685">
        <f>IF($D39="","",MIN(100,IF($L39&lt;=$M39*1.15,20,IF($L39&lt;=$M39*1.4,10,0))+IF($D39&gt;$G39,20,IF($D39&gt;$H39,12,IF($D39&gt;$E39,5,0)))+IF($O39="拡大↑",10,0)+IF($R39&gt;=80,15,IF($R39&gt;=60,10,IF($R39&gt;=50,5,0)))+IF(AND($Q39&gt;=50,$Q39&lt;=70),10,IF($Q39&gt;70,3,IF($Q39&gt;=40,5,0)))+IF($S39="強気div▲",15,0)+IF($T39="上walk▲",5,0)+IF($V39&gt;=2,5,IF($V39&gt;=1.5,3,0))))</f>
      </c>
      <c r="Y39" s="682">
        <f>IF($D39="","",$D39)</f>
      </c>
      <c r="Z39" s="682">
        <f>IF($D39="","",$H39)</f>
      </c>
      <c r="AA39" s="682">
        <f>IF($D39="","",IF($D39&gt;$E39,$E39,$AD39))</f>
      </c>
      <c r="AB39" s="682">
        <f>IF($D39="","",$G39)</f>
      </c>
      <c r="AC39" s="688">
        <f>IF($D39="","",IF(($Y39-$AA39)&lt;=0,"－",IFERROR(ROUND(MIN(20,($AB39-$Y39)/($Y39-$AA39)),2),"－")))</f>
      </c>
      <c r="AD39" s="682">
        <f>IF($D39="","",MIN(終値!E39:I39))</f>
      </c>
      <c r="AE39" s="684">
        <f>IF($D39="","",$X39+(10000-ROW())/100000)</f>
      </c>
    </row>
    <row r="40">
      <c r="A40" s="681">
        <f>IF(終値!A40="","",HYPERLINK("https://kabutan.jp/stock/?code="&amp;終値!A40,"📈"))</f>
      </c>
      <c r="B40" s="681">
        <f>IF(終値!A40="","",終値!A40)</f>
      </c>
      <c r="C40" s="680">
        <f>IF(終値!A40="","",終値!B40)</f>
      </c>
      <c r="D40" s="682">
        <f>IF(終値!A40="","",終値!E40)</f>
      </c>
      <c r="E40" s="682">
        <f>IF($D40="","",AVERAGE(終値!E40:X40))</f>
      </c>
      <c r="F40" s="683">
        <f>IF($D40="","",STDEVP(終値!E40:X40))</f>
      </c>
      <c r="G40" s="682">
        <f>IF($D40="","",$E40+BB設定!$B$4*$F40)</f>
      </c>
      <c r="H40" s="682">
        <f>IF($D40="","",$E40+BB設定!$B$5*$F40)</f>
      </c>
      <c r="I40" s="682">
        <f>IF($D40="","",$E40-BB設定!$B$5*$F40)</f>
      </c>
      <c r="J40" s="682">
        <f>IF($D40="","",$E40-BB設定!$B$4*$F40)</f>
      </c>
      <c r="K40" s="687">
        <f>IF($D40="","",IFERROR(($D40-$J40)/($G40-$J40),""))</f>
      </c>
      <c r="L40" s="686">
        <f>IF($D40="","",IFERROR(($G40-$J40)/$E40*100,""))</f>
      </c>
      <c r="M40" s="686">
        <f>IF($D40="","",IFERROR(MIN(BB_帯幅!B40:AP40)*100,""))</f>
      </c>
      <c r="N40" s="681">
        <f>IF($L40="","",IF($L40&lt;=$M40*BB設定!$B$7,"スクイーズ★",IF($L40&lt;=$M40*1.3,"収縮","－")))</f>
      </c>
      <c r="O40" s="681">
        <f>IF($D40="","",IF($L40&gt;(4*STDEVP(終値!F40:Y40)/AVERAGE(終値!F40:Y40)*100),"拡大↑","縮小↓"))</f>
      </c>
      <c r="P40" s="681">
        <f>IF($D40="","",IF($D40&gt;$G40,"↑+2σ突破",IF($D40&lt;$J40,"↓-2σ割れ",IF($D40&gt;$H40,"+1σ上",IF($D40&lt;$I40,"-1σ下","バンド内")))))</f>
      </c>
      <c r="Q40" s="684">
        <f>IF($D40="","",IFERROR(100-100/(1+SUMPRODUCT((終値!E40:R40&gt;終値!F40:S40)*(終値!E40:R40-終値!F40:S40))/SUMPRODUCT((終値!E40:R40&lt;終値!F40:S40)*(終値!F40:S40-終値!E40:R40))),100))</f>
      </c>
      <c r="R40" s="684">
        <f>IF($D40="","",IFERROR(100-100/(1+SUMPRODUCT((((高値!E40:R40+安値!E40:R40+終値!E40:R40)/3)&gt;((高値!F40:S40+安値!F40:S40+終値!F40:S40)/3))*((高値!E40:R40+安値!E40:R40+終値!E40:R40)/3)*出来高!E40:R40)/SUMPRODUCT((((高値!E40:R40+安値!E40:R40+終値!E40:R40)/3)&lt;((高値!F40:S40+安値!F40:S40+終値!F40:S40)/3))*((高値!E40:R40+安値!E40:R40+終値!E40:R40)/3)*出来高!E40:R40)),50))</f>
      </c>
      <c r="S40" s="681">
        <f>IF($D40="","",IF(AND(終値!E40&lt;終値!O40,$Q40&gt;(IFERROR(100-100/(1+SUMPRODUCT((終値!O40:AB40&gt;終値!P40:AC40)*(終値!O40:AB40-終値!P40:AC40))/SUMPRODUCT((終値!O40:AB40&lt;終値!P40:AC40)*(終値!P40:AC40-終値!O40:AB40))),100))),"強気div▲",IF(AND(終値!E40&gt;終値!O40,$Q40&lt;(IFERROR(100-100/(1+SUMPRODUCT((終値!O40:AB40&gt;終値!P40:AC40)*(終値!O40:AB40-終値!P40:AC40))/SUMPRODUCT((終値!O40:AB40&lt;終値!P40:AC40)*(終値!P40:AC40-終値!O40:AB40))),100))),"弱気div▼","－")))</f>
      </c>
      <c r="T40" s="681">
        <f>IF($D40="","",IF($D40&gt;=$H40,"上walk▲",IF($D40&lt;=$I40,"下walk▼","－")))</f>
      </c>
      <c r="U40" s="681">
        <f>IF(終値!A40="","",BB_スイング!BT40)</f>
      </c>
      <c r="V40" s="689">
        <f>IF($D40="","",IFERROR(出来高!E40/AVERAGE(出来高!E40:I40),""))</f>
      </c>
      <c r="W40" s="690">
        <f>IF($D40="","",IF(AND($D40&gt;$G40,$O40="拡大↑",$L40&lt;=$M40*1.8),"◎スクイーズブレイク買",IF(AND($D40&gt;=$H40,$R40&gt;=BB設定!$B$10),"○順張り継続(walk)",IF(AND($S40="強気div▲",$D40&gt;$I40),"○反発(ダイバ)買",IF($U40="二番底W▲","△二番底買(確)",IF($U40="二番底W形成","△二番底形成",IF($D40&lt;$J40,"▼-2σ割れ危険",IF(AND($D40&gt;$E40,$K40&lt;0.6,$R40&gt;=50),"・押し目注目",IF($N40="スクイーズ★","☆スクイーズ監視","様子見")))))))))</f>
      </c>
      <c r="X40" s="685">
        <f>IF($D40="","",MIN(100,IF($L40&lt;=$M40*1.15,20,IF($L40&lt;=$M40*1.4,10,0))+IF($D40&gt;$G40,20,IF($D40&gt;$H40,12,IF($D40&gt;$E40,5,0)))+IF($O40="拡大↑",10,0)+IF($R40&gt;=80,15,IF($R40&gt;=60,10,IF($R40&gt;=50,5,0)))+IF(AND($Q40&gt;=50,$Q40&lt;=70),10,IF($Q40&gt;70,3,IF($Q40&gt;=40,5,0)))+IF($S40="強気div▲",15,0)+IF($T40="上walk▲",5,0)+IF($V40&gt;=2,5,IF($V40&gt;=1.5,3,0))))</f>
      </c>
      <c r="Y40" s="682">
        <f>IF($D40="","",$D40)</f>
      </c>
      <c r="Z40" s="682">
        <f>IF($D40="","",$H40)</f>
      </c>
      <c r="AA40" s="682">
        <f>IF($D40="","",IF($D40&gt;$E40,$E40,$AD40))</f>
      </c>
      <c r="AB40" s="682">
        <f>IF($D40="","",$G40)</f>
      </c>
      <c r="AC40" s="688">
        <f>IF($D40="","",IF(($Y40-$AA40)&lt;=0,"－",IFERROR(ROUND(MIN(20,($AB40-$Y40)/($Y40-$AA40)),2),"－")))</f>
      </c>
      <c r="AD40" s="682">
        <f>IF($D40="","",MIN(終値!E40:I40))</f>
      </c>
      <c r="AE40" s="684">
        <f>IF($D40="","",$X40+(10000-ROW())/100000)</f>
      </c>
    </row>
    <row r="41">
      <c r="A41" s="681">
        <f>IF(終値!A41="","",HYPERLINK("https://kabutan.jp/stock/?code="&amp;終値!A41,"📈"))</f>
      </c>
      <c r="B41" s="681">
        <f>IF(終値!A41="","",終値!A41)</f>
      </c>
      <c r="C41" s="680">
        <f>IF(終値!A41="","",終値!B41)</f>
      </c>
      <c r="D41" s="682">
        <f>IF(終値!A41="","",終値!E41)</f>
      </c>
      <c r="E41" s="682">
        <f>IF($D41="","",AVERAGE(終値!E41:X41))</f>
      </c>
      <c r="F41" s="683">
        <f>IF($D41="","",STDEVP(終値!E41:X41))</f>
      </c>
      <c r="G41" s="682">
        <f>IF($D41="","",$E41+BB設定!$B$4*$F41)</f>
      </c>
      <c r="H41" s="682">
        <f>IF($D41="","",$E41+BB設定!$B$5*$F41)</f>
      </c>
      <c r="I41" s="682">
        <f>IF($D41="","",$E41-BB設定!$B$5*$F41)</f>
      </c>
      <c r="J41" s="682">
        <f>IF($D41="","",$E41-BB設定!$B$4*$F41)</f>
      </c>
      <c r="K41" s="687">
        <f>IF($D41="","",IFERROR(($D41-$J41)/($G41-$J41),""))</f>
      </c>
      <c r="L41" s="686">
        <f>IF($D41="","",IFERROR(($G41-$J41)/$E41*100,""))</f>
      </c>
      <c r="M41" s="686">
        <f>IF($D41="","",IFERROR(MIN(BB_帯幅!B41:AP41)*100,""))</f>
      </c>
      <c r="N41" s="681">
        <f>IF($L41="","",IF($L41&lt;=$M41*BB設定!$B$7,"スクイーズ★",IF($L41&lt;=$M41*1.3,"収縮","－")))</f>
      </c>
      <c r="O41" s="681">
        <f>IF($D41="","",IF($L41&gt;(4*STDEVP(終値!F41:Y41)/AVERAGE(終値!F41:Y41)*100),"拡大↑","縮小↓"))</f>
      </c>
      <c r="P41" s="681">
        <f>IF($D41="","",IF($D41&gt;$G41,"↑+2σ突破",IF($D41&lt;$J41,"↓-2σ割れ",IF($D41&gt;$H41,"+1σ上",IF($D41&lt;$I41,"-1σ下","バンド内")))))</f>
      </c>
      <c r="Q41" s="684">
        <f>IF($D41="","",IFERROR(100-100/(1+SUMPRODUCT((終値!E41:R41&gt;終値!F41:S41)*(終値!E41:R41-終値!F41:S41))/SUMPRODUCT((終値!E41:R41&lt;終値!F41:S41)*(終値!F41:S41-終値!E41:R41))),100))</f>
      </c>
      <c r="R41" s="684">
        <f>IF($D41="","",IFERROR(100-100/(1+SUMPRODUCT((((高値!E41:R41+安値!E41:R41+終値!E41:R41)/3)&gt;((高値!F41:S41+安値!F41:S41+終値!F41:S41)/3))*((高値!E41:R41+安値!E41:R41+終値!E41:R41)/3)*出来高!E41:R41)/SUMPRODUCT((((高値!E41:R41+安値!E41:R41+終値!E41:R41)/3)&lt;((高値!F41:S41+安値!F41:S41+終値!F41:S41)/3))*((高値!E41:R41+安値!E41:R41+終値!E41:R41)/3)*出来高!E41:R41)),50))</f>
      </c>
      <c r="S41" s="681">
        <f>IF($D41="","",IF(AND(終値!E41&lt;終値!O41,$Q41&gt;(IFERROR(100-100/(1+SUMPRODUCT((終値!O41:AB41&gt;終値!P41:AC41)*(終値!O41:AB41-終値!P41:AC41))/SUMPRODUCT((終値!O41:AB41&lt;終値!P41:AC41)*(終値!P41:AC41-終値!O41:AB41))),100))),"強気div▲",IF(AND(終値!E41&gt;終値!O41,$Q41&lt;(IFERROR(100-100/(1+SUMPRODUCT((終値!O41:AB41&gt;終値!P41:AC41)*(終値!O41:AB41-終値!P41:AC41))/SUMPRODUCT((終値!O41:AB41&lt;終値!P41:AC41)*(終値!P41:AC41-終値!O41:AB41))),100))),"弱気div▼","－")))</f>
      </c>
      <c r="T41" s="681">
        <f>IF($D41="","",IF($D41&gt;=$H41,"上walk▲",IF($D41&lt;=$I41,"下walk▼","－")))</f>
      </c>
      <c r="U41" s="681">
        <f>IF(終値!A41="","",BB_スイング!BT41)</f>
      </c>
      <c r="V41" s="689">
        <f>IF($D41="","",IFERROR(出来高!E41/AVERAGE(出来高!E41:I41),""))</f>
      </c>
      <c r="W41" s="690">
        <f>IF($D41="","",IF(AND($D41&gt;$G41,$O41="拡大↑",$L41&lt;=$M41*1.8),"◎スクイーズブレイク買",IF(AND($D41&gt;=$H41,$R41&gt;=BB設定!$B$10),"○順張り継続(walk)",IF(AND($S41="強気div▲",$D41&gt;$I41),"○反発(ダイバ)買",IF($U41="二番底W▲","△二番底買(確)",IF($U41="二番底W形成","△二番底形成",IF($D41&lt;$J41,"▼-2σ割れ危険",IF(AND($D41&gt;$E41,$K41&lt;0.6,$R41&gt;=50),"・押し目注目",IF($N41="スクイーズ★","☆スクイーズ監視","様子見")))))))))</f>
      </c>
      <c r="X41" s="685">
        <f>IF($D41="","",MIN(100,IF($L41&lt;=$M41*1.15,20,IF($L41&lt;=$M41*1.4,10,0))+IF($D41&gt;$G41,20,IF($D41&gt;$H41,12,IF($D41&gt;$E41,5,0)))+IF($O41="拡大↑",10,0)+IF($R41&gt;=80,15,IF($R41&gt;=60,10,IF($R41&gt;=50,5,0)))+IF(AND($Q41&gt;=50,$Q41&lt;=70),10,IF($Q41&gt;70,3,IF($Q41&gt;=40,5,0)))+IF($S41="強気div▲",15,0)+IF($T41="上walk▲",5,0)+IF($V41&gt;=2,5,IF($V41&gt;=1.5,3,0))))</f>
      </c>
      <c r="Y41" s="682">
        <f>IF($D41="","",$D41)</f>
      </c>
      <c r="Z41" s="682">
        <f>IF($D41="","",$H41)</f>
      </c>
      <c r="AA41" s="682">
        <f>IF($D41="","",IF($D41&gt;$E41,$E41,$AD41))</f>
      </c>
      <c r="AB41" s="682">
        <f>IF($D41="","",$G41)</f>
      </c>
      <c r="AC41" s="688">
        <f>IF($D41="","",IF(($Y41-$AA41)&lt;=0,"－",IFERROR(ROUND(MIN(20,($AB41-$Y41)/($Y41-$AA41)),2),"－")))</f>
      </c>
      <c r="AD41" s="682">
        <f>IF($D41="","",MIN(終値!E41:I41))</f>
      </c>
      <c r="AE41" s="684">
        <f>IF($D41="","",$X41+(10000-ROW())/100000)</f>
      </c>
    </row>
    <row r="42">
      <c r="A42" s="681">
        <f>IF(終値!A42="","",HYPERLINK("https://kabutan.jp/stock/?code="&amp;終値!A42,"📈"))</f>
      </c>
      <c r="B42" s="681">
        <f>IF(終値!A42="","",終値!A42)</f>
      </c>
      <c r="C42" s="680">
        <f>IF(終値!A42="","",終値!B42)</f>
      </c>
      <c r="D42" s="682">
        <f>IF(終値!A42="","",終値!E42)</f>
      </c>
      <c r="E42" s="682">
        <f>IF($D42="","",AVERAGE(終値!E42:X42))</f>
      </c>
      <c r="F42" s="683">
        <f>IF($D42="","",STDEVP(終値!E42:X42))</f>
      </c>
      <c r="G42" s="682">
        <f>IF($D42="","",$E42+BB設定!$B$4*$F42)</f>
      </c>
      <c r="H42" s="682">
        <f>IF($D42="","",$E42+BB設定!$B$5*$F42)</f>
      </c>
      <c r="I42" s="682">
        <f>IF($D42="","",$E42-BB設定!$B$5*$F42)</f>
      </c>
      <c r="J42" s="682">
        <f>IF($D42="","",$E42-BB設定!$B$4*$F42)</f>
      </c>
      <c r="K42" s="687">
        <f>IF($D42="","",IFERROR(($D42-$J42)/($G42-$J42),""))</f>
      </c>
      <c r="L42" s="686">
        <f>IF($D42="","",IFERROR(($G42-$J42)/$E42*100,""))</f>
      </c>
      <c r="M42" s="686">
        <f>IF($D42="","",IFERROR(MIN(BB_帯幅!B42:AP42)*100,""))</f>
      </c>
      <c r="N42" s="681">
        <f>IF($L42="","",IF($L42&lt;=$M42*BB設定!$B$7,"スクイーズ★",IF($L42&lt;=$M42*1.3,"収縮","－")))</f>
      </c>
      <c r="O42" s="681">
        <f>IF($D42="","",IF($L42&gt;(4*STDEVP(終値!F42:Y42)/AVERAGE(終値!F42:Y42)*100),"拡大↑","縮小↓"))</f>
      </c>
      <c r="P42" s="681">
        <f>IF($D42="","",IF($D42&gt;$G42,"↑+2σ突破",IF($D42&lt;$J42,"↓-2σ割れ",IF($D42&gt;$H42,"+1σ上",IF($D42&lt;$I42,"-1σ下","バンド内")))))</f>
      </c>
      <c r="Q42" s="684">
        <f>IF($D42="","",IFERROR(100-100/(1+SUMPRODUCT((終値!E42:R42&gt;終値!F42:S42)*(終値!E42:R42-終値!F42:S42))/SUMPRODUCT((終値!E42:R42&lt;終値!F42:S42)*(終値!F42:S42-終値!E42:R42))),100))</f>
      </c>
      <c r="R42" s="684">
        <f>IF($D42="","",IFERROR(100-100/(1+SUMPRODUCT((((高値!E42:R42+安値!E42:R42+終値!E42:R42)/3)&gt;((高値!F42:S42+安値!F42:S42+終値!F42:S42)/3))*((高値!E42:R42+安値!E42:R42+終値!E42:R42)/3)*出来高!E42:R42)/SUMPRODUCT((((高値!E42:R42+安値!E42:R42+終値!E42:R42)/3)&lt;((高値!F42:S42+安値!F42:S42+終値!F42:S42)/3))*((高値!E42:R42+安値!E42:R42+終値!E42:R42)/3)*出来高!E42:R42)),50))</f>
      </c>
      <c r="S42" s="681">
        <f>IF($D42="","",IF(AND(終値!E42&lt;終値!O42,$Q42&gt;(IFERROR(100-100/(1+SUMPRODUCT((終値!O42:AB42&gt;終値!P42:AC42)*(終値!O42:AB42-終値!P42:AC42))/SUMPRODUCT((終値!O42:AB42&lt;終値!P42:AC42)*(終値!P42:AC42-終値!O42:AB42))),100))),"強気div▲",IF(AND(終値!E42&gt;終値!O42,$Q42&lt;(IFERROR(100-100/(1+SUMPRODUCT((終値!O42:AB42&gt;終値!P42:AC42)*(終値!O42:AB42-終値!P42:AC42))/SUMPRODUCT((終値!O42:AB42&lt;終値!P42:AC42)*(終値!P42:AC42-終値!O42:AB42))),100))),"弱気div▼","－")))</f>
      </c>
      <c r="T42" s="681">
        <f>IF($D42="","",IF($D42&gt;=$H42,"上walk▲",IF($D42&lt;=$I42,"下walk▼","－")))</f>
      </c>
      <c r="U42" s="681">
        <f>IF(終値!A42="","",BB_スイング!BT42)</f>
      </c>
      <c r="V42" s="689">
        <f>IF($D42="","",IFERROR(出来高!E42/AVERAGE(出来高!E42:I42),""))</f>
      </c>
      <c r="W42" s="690">
        <f>IF($D42="","",IF(AND($D42&gt;$G42,$O42="拡大↑",$L42&lt;=$M42*1.8),"◎スクイーズブレイク買",IF(AND($D42&gt;=$H42,$R42&gt;=BB設定!$B$10),"○順張り継続(walk)",IF(AND($S42="強気div▲",$D42&gt;$I42),"○反発(ダイバ)買",IF($U42="二番底W▲","△二番底買(確)",IF($U42="二番底W形成","△二番底形成",IF($D42&lt;$J42,"▼-2σ割れ危険",IF(AND($D42&gt;$E42,$K42&lt;0.6,$R42&gt;=50),"・押し目注目",IF($N42="スクイーズ★","☆スクイーズ監視","様子見")))))))))</f>
      </c>
      <c r="X42" s="685">
        <f>IF($D42="","",MIN(100,IF($L42&lt;=$M42*1.15,20,IF($L42&lt;=$M42*1.4,10,0))+IF($D42&gt;$G42,20,IF($D42&gt;$H42,12,IF($D42&gt;$E42,5,0)))+IF($O42="拡大↑",10,0)+IF($R42&gt;=80,15,IF($R42&gt;=60,10,IF($R42&gt;=50,5,0)))+IF(AND($Q42&gt;=50,$Q42&lt;=70),10,IF($Q42&gt;70,3,IF($Q42&gt;=40,5,0)))+IF($S42="強気div▲",15,0)+IF($T42="上walk▲",5,0)+IF($V42&gt;=2,5,IF($V42&gt;=1.5,3,0))))</f>
      </c>
      <c r="Y42" s="682">
        <f>IF($D42="","",$D42)</f>
      </c>
      <c r="Z42" s="682">
        <f>IF($D42="","",$H42)</f>
      </c>
      <c r="AA42" s="682">
        <f>IF($D42="","",IF($D42&gt;$E42,$E42,$AD42))</f>
      </c>
      <c r="AB42" s="682">
        <f>IF($D42="","",$G42)</f>
      </c>
      <c r="AC42" s="688">
        <f>IF($D42="","",IF(($Y42-$AA42)&lt;=0,"－",IFERROR(ROUND(MIN(20,($AB42-$Y42)/($Y42-$AA42)),2),"－")))</f>
      </c>
      <c r="AD42" s="682">
        <f>IF($D42="","",MIN(終値!E42:I42))</f>
      </c>
      <c r="AE42" s="684">
        <f>IF($D42="","",$X42+(10000-ROW())/100000)</f>
      </c>
    </row>
    <row r="43">
      <c r="A43" s="681">
        <f>IF(終値!A43="","",HYPERLINK("https://kabutan.jp/stock/?code="&amp;終値!A43,"📈"))</f>
      </c>
      <c r="B43" s="681">
        <f>IF(終値!A43="","",終値!A43)</f>
      </c>
      <c r="C43" s="680">
        <f>IF(終値!A43="","",終値!B43)</f>
      </c>
      <c r="D43" s="682">
        <f>IF(終値!A43="","",終値!E43)</f>
      </c>
      <c r="E43" s="682">
        <f>IF($D43="","",AVERAGE(終値!E43:X43))</f>
      </c>
      <c r="F43" s="683">
        <f>IF($D43="","",STDEVP(終値!E43:X43))</f>
      </c>
      <c r="G43" s="682">
        <f>IF($D43="","",$E43+BB設定!$B$4*$F43)</f>
      </c>
      <c r="H43" s="682">
        <f>IF($D43="","",$E43+BB設定!$B$5*$F43)</f>
      </c>
      <c r="I43" s="682">
        <f>IF($D43="","",$E43-BB設定!$B$5*$F43)</f>
      </c>
      <c r="J43" s="682">
        <f>IF($D43="","",$E43-BB設定!$B$4*$F43)</f>
      </c>
      <c r="K43" s="687">
        <f>IF($D43="","",IFERROR(($D43-$J43)/($G43-$J43),""))</f>
      </c>
      <c r="L43" s="686">
        <f>IF($D43="","",IFERROR(($G43-$J43)/$E43*100,""))</f>
      </c>
      <c r="M43" s="686">
        <f>IF($D43="","",IFERROR(MIN(BB_帯幅!B43:AP43)*100,""))</f>
      </c>
      <c r="N43" s="681">
        <f>IF($L43="","",IF($L43&lt;=$M43*BB設定!$B$7,"スクイーズ★",IF($L43&lt;=$M43*1.3,"収縮","－")))</f>
      </c>
      <c r="O43" s="681">
        <f>IF($D43="","",IF($L43&gt;(4*STDEVP(終値!F43:Y43)/AVERAGE(終値!F43:Y43)*100),"拡大↑","縮小↓"))</f>
      </c>
      <c r="P43" s="681">
        <f>IF($D43="","",IF($D43&gt;$G43,"↑+2σ突破",IF($D43&lt;$J43,"↓-2σ割れ",IF($D43&gt;$H43,"+1σ上",IF($D43&lt;$I43,"-1σ下","バンド内")))))</f>
      </c>
      <c r="Q43" s="684">
        <f>IF($D43="","",IFERROR(100-100/(1+SUMPRODUCT((終値!E43:R43&gt;終値!F43:S43)*(終値!E43:R43-終値!F43:S43))/SUMPRODUCT((終値!E43:R43&lt;終値!F43:S43)*(終値!F43:S43-終値!E43:R43))),100))</f>
      </c>
      <c r="R43" s="684">
        <f>IF($D43="","",IFERROR(100-100/(1+SUMPRODUCT((((高値!E43:R43+安値!E43:R43+終値!E43:R43)/3)&gt;((高値!F43:S43+安値!F43:S43+終値!F43:S43)/3))*((高値!E43:R43+安値!E43:R43+終値!E43:R43)/3)*出来高!E43:R43)/SUMPRODUCT((((高値!E43:R43+安値!E43:R43+終値!E43:R43)/3)&lt;((高値!F43:S43+安値!F43:S43+終値!F43:S43)/3))*((高値!E43:R43+安値!E43:R43+終値!E43:R43)/3)*出来高!E43:R43)),50))</f>
      </c>
      <c r="S43" s="681">
        <f>IF($D43="","",IF(AND(終値!E43&lt;終値!O43,$Q43&gt;(IFERROR(100-100/(1+SUMPRODUCT((終値!O43:AB43&gt;終値!P43:AC43)*(終値!O43:AB43-終値!P43:AC43))/SUMPRODUCT((終値!O43:AB43&lt;終値!P43:AC43)*(終値!P43:AC43-終値!O43:AB43))),100))),"強気div▲",IF(AND(終値!E43&gt;終値!O43,$Q43&lt;(IFERROR(100-100/(1+SUMPRODUCT((終値!O43:AB43&gt;終値!P43:AC43)*(終値!O43:AB43-終値!P43:AC43))/SUMPRODUCT((終値!O43:AB43&lt;終値!P43:AC43)*(終値!P43:AC43-終値!O43:AB43))),100))),"弱気div▼","－")))</f>
      </c>
      <c r="T43" s="681">
        <f>IF($D43="","",IF($D43&gt;=$H43,"上walk▲",IF($D43&lt;=$I43,"下walk▼","－")))</f>
      </c>
      <c r="U43" s="681">
        <f>IF(終値!A43="","",BB_スイング!BT43)</f>
      </c>
      <c r="V43" s="689">
        <f>IF($D43="","",IFERROR(出来高!E43/AVERAGE(出来高!E43:I43),""))</f>
      </c>
      <c r="W43" s="690">
        <f>IF($D43="","",IF(AND($D43&gt;$G43,$O43="拡大↑",$L43&lt;=$M43*1.8),"◎スクイーズブレイク買",IF(AND($D43&gt;=$H43,$R43&gt;=BB設定!$B$10),"○順張り継続(walk)",IF(AND($S43="強気div▲",$D43&gt;$I43),"○反発(ダイバ)買",IF($U43="二番底W▲","△二番底買(確)",IF($U43="二番底W形成","△二番底形成",IF($D43&lt;$J43,"▼-2σ割れ危険",IF(AND($D43&gt;$E43,$K43&lt;0.6,$R43&gt;=50),"・押し目注目",IF($N43="スクイーズ★","☆スクイーズ監視","様子見")))))))))</f>
      </c>
      <c r="X43" s="685">
        <f>IF($D43="","",MIN(100,IF($L43&lt;=$M43*1.15,20,IF($L43&lt;=$M43*1.4,10,0))+IF($D43&gt;$G43,20,IF($D43&gt;$H43,12,IF($D43&gt;$E43,5,0)))+IF($O43="拡大↑",10,0)+IF($R43&gt;=80,15,IF($R43&gt;=60,10,IF($R43&gt;=50,5,0)))+IF(AND($Q43&gt;=50,$Q43&lt;=70),10,IF($Q43&gt;70,3,IF($Q43&gt;=40,5,0)))+IF($S43="強気div▲",15,0)+IF($T43="上walk▲",5,0)+IF($V43&gt;=2,5,IF($V43&gt;=1.5,3,0))))</f>
      </c>
      <c r="Y43" s="682">
        <f>IF($D43="","",$D43)</f>
      </c>
      <c r="Z43" s="682">
        <f>IF($D43="","",$H43)</f>
      </c>
      <c r="AA43" s="682">
        <f>IF($D43="","",IF($D43&gt;$E43,$E43,$AD43))</f>
      </c>
      <c r="AB43" s="682">
        <f>IF($D43="","",$G43)</f>
      </c>
      <c r="AC43" s="688">
        <f>IF($D43="","",IF(($Y43-$AA43)&lt;=0,"－",IFERROR(ROUND(MIN(20,($AB43-$Y43)/($Y43-$AA43)),2),"－")))</f>
      </c>
      <c r="AD43" s="682">
        <f>IF($D43="","",MIN(終値!E43:I43))</f>
      </c>
      <c r="AE43" s="684">
        <f>IF($D43="","",$X43+(10000-ROW())/100000)</f>
      </c>
    </row>
    <row r="44">
      <c r="A44" s="681">
        <f>IF(終値!A44="","",HYPERLINK("https://kabutan.jp/stock/?code="&amp;終値!A44,"📈"))</f>
      </c>
      <c r="B44" s="681">
        <f>IF(終値!A44="","",終値!A44)</f>
      </c>
      <c r="C44" s="680">
        <f>IF(終値!A44="","",終値!B44)</f>
      </c>
      <c r="D44" s="682">
        <f>IF(終値!A44="","",終値!E44)</f>
      </c>
      <c r="E44" s="682">
        <f>IF($D44="","",AVERAGE(終値!E44:X44))</f>
      </c>
      <c r="F44" s="683">
        <f>IF($D44="","",STDEVP(終値!E44:X44))</f>
      </c>
      <c r="G44" s="682">
        <f>IF($D44="","",$E44+BB設定!$B$4*$F44)</f>
      </c>
      <c r="H44" s="682">
        <f>IF($D44="","",$E44+BB設定!$B$5*$F44)</f>
      </c>
      <c r="I44" s="682">
        <f>IF($D44="","",$E44-BB設定!$B$5*$F44)</f>
      </c>
      <c r="J44" s="682">
        <f>IF($D44="","",$E44-BB設定!$B$4*$F44)</f>
      </c>
      <c r="K44" s="687">
        <f>IF($D44="","",IFERROR(($D44-$J44)/($G44-$J44),""))</f>
      </c>
      <c r="L44" s="686">
        <f>IF($D44="","",IFERROR(($G44-$J44)/$E44*100,""))</f>
      </c>
      <c r="M44" s="686">
        <f>IF($D44="","",IFERROR(MIN(BB_帯幅!B44:AP44)*100,""))</f>
      </c>
      <c r="N44" s="681">
        <f>IF($L44="","",IF($L44&lt;=$M44*BB設定!$B$7,"スクイーズ★",IF($L44&lt;=$M44*1.3,"収縮","－")))</f>
      </c>
      <c r="O44" s="681">
        <f>IF($D44="","",IF($L44&gt;(4*STDEVP(終値!F44:Y44)/AVERAGE(終値!F44:Y44)*100),"拡大↑","縮小↓"))</f>
      </c>
      <c r="P44" s="681">
        <f>IF($D44="","",IF($D44&gt;$G44,"↑+2σ突破",IF($D44&lt;$J44,"↓-2σ割れ",IF($D44&gt;$H44,"+1σ上",IF($D44&lt;$I44,"-1σ下","バンド内")))))</f>
      </c>
      <c r="Q44" s="684">
        <f>IF($D44="","",IFERROR(100-100/(1+SUMPRODUCT((終値!E44:R44&gt;終値!F44:S44)*(終値!E44:R44-終値!F44:S44))/SUMPRODUCT((終値!E44:R44&lt;終値!F44:S44)*(終値!F44:S44-終値!E44:R44))),100))</f>
      </c>
      <c r="R44" s="684">
        <f>IF($D44="","",IFERROR(100-100/(1+SUMPRODUCT((((高値!E44:R44+安値!E44:R44+終値!E44:R44)/3)&gt;((高値!F44:S44+安値!F44:S44+終値!F44:S44)/3))*((高値!E44:R44+安値!E44:R44+終値!E44:R44)/3)*出来高!E44:R44)/SUMPRODUCT((((高値!E44:R44+安値!E44:R44+終値!E44:R44)/3)&lt;((高値!F44:S44+安値!F44:S44+終値!F44:S44)/3))*((高値!E44:R44+安値!E44:R44+終値!E44:R44)/3)*出来高!E44:R44)),50))</f>
      </c>
      <c r="S44" s="681">
        <f>IF($D44="","",IF(AND(終値!E44&lt;終値!O44,$Q44&gt;(IFERROR(100-100/(1+SUMPRODUCT((終値!O44:AB44&gt;終値!P44:AC44)*(終値!O44:AB44-終値!P44:AC44))/SUMPRODUCT((終値!O44:AB44&lt;終値!P44:AC44)*(終値!P44:AC44-終値!O44:AB44))),100))),"強気div▲",IF(AND(終値!E44&gt;終値!O44,$Q44&lt;(IFERROR(100-100/(1+SUMPRODUCT((終値!O44:AB44&gt;終値!P44:AC44)*(終値!O44:AB44-終値!P44:AC44))/SUMPRODUCT((終値!O44:AB44&lt;終値!P44:AC44)*(終値!P44:AC44-終値!O44:AB44))),100))),"弱気div▼","－")))</f>
      </c>
      <c r="T44" s="681">
        <f>IF($D44="","",IF($D44&gt;=$H44,"上walk▲",IF($D44&lt;=$I44,"下walk▼","－")))</f>
      </c>
      <c r="U44" s="681">
        <f>IF(終値!A44="","",BB_スイング!BT44)</f>
      </c>
      <c r="V44" s="689">
        <f>IF($D44="","",IFERROR(出来高!E44/AVERAGE(出来高!E44:I44),""))</f>
      </c>
      <c r="W44" s="690">
        <f>IF($D44="","",IF(AND($D44&gt;$G44,$O44="拡大↑",$L44&lt;=$M44*1.8),"◎スクイーズブレイク買",IF(AND($D44&gt;=$H44,$R44&gt;=BB設定!$B$10),"○順張り継続(walk)",IF(AND($S44="強気div▲",$D44&gt;$I44),"○反発(ダイバ)買",IF($U44="二番底W▲","△二番底買(確)",IF($U44="二番底W形成","△二番底形成",IF($D44&lt;$J44,"▼-2σ割れ危険",IF(AND($D44&gt;$E44,$K44&lt;0.6,$R44&gt;=50),"・押し目注目",IF($N44="スクイーズ★","☆スクイーズ監視","様子見")))))))))</f>
      </c>
      <c r="X44" s="685">
        <f>IF($D44="","",MIN(100,IF($L44&lt;=$M44*1.15,20,IF($L44&lt;=$M44*1.4,10,0))+IF($D44&gt;$G44,20,IF($D44&gt;$H44,12,IF($D44&gt;$E44,5,0)))+IF($O44="拡大↑",10,0)+IF($R44&gt;=80,15,IF($R44&gt;=60,10,IF($R44&gt;=50,5,0)))+IF(AND($Q44&gt;=50,$Q44&lt;=70),10,IF($Q44&gt;70,3,IF($Q44&gt;=40,5,0)))+IF($S44="強気div▲",15,0)+IF($T44="上walk▲",5,0)+IF($V44&gt;=2,5,IF($V44&gt;=1.5,3,0))))</f>
      </c>
      <c r="Y44" s="682">
        <f>IF($D44="","",$D44)</f>
      </c>
      <c r="Z44" s="682">
        <f>IF($D44="","",$H44)</f>
      </c>
      <c r="AA44" s="682">
        <f>IF($D44="","",IF($D44&gt;$E44,$E44,$AD44))</f>
      </c>
      <c r="AB44" s="682">
        <f>IF($D44="","",$G44)</f>
      </c>
      <c r="AC44" s="688">
        <f>IF($D44="","",IF(($Y44-$AA44)&lt;=0,"－",IFERROR(ROUND(MIN(20,($AB44-$Y44)/($Y44-$AA44)),2),"－")))</f>
      </c>
      <c r="AD44" s="682">
        <f>IF($D44="","",MIN(終値!E44:I44))</f>
      </c>
      <c r="AE44" s="684">
        <f>IF($D44="","",$X44+(10000-ROW())/100000)</f>
      </c>
    </row>
    <row r="45">
      <c r="A45" s="681">
        <f>IF(終値!A45="","",HYPERLINK("https://kabutan.jp/stock/?code="&amp;終値!A45,"📈"))</f>
      </c>
      <c r="B45" s="681">
        <f>IF(終値!A45="","",終値!A45)</f>
      </c>
      <c r="C45" s="680">
        <f>IF(終値!A45="","",終値!B45)</f>
      </c>
      <c r="D45" s="682">
        <f>IF(終値!A45="","",終値!E45)</f>
      </c>
      <c r="E45" s="682">
        <f>IF($D45="","",AVERAGE(終値!E45:X45))</f>
      </c>
      <c r="F45" s="683">
        <f>IF($D45="","",STDEVP(終値!E45:X45))</f>
      </c>
      <c r="G45" s="682">
        <f>IF($D45="","",$E45+BB設定!$B$4*$F45)</f>
      </c>
      <c r="H45" s="682">
        <f>IF($D45="","",$E45+BB設定!$B$5*$F45)</f>
      </c>
      <c r="I45" s="682">
        <f>IF($D45="","",$E45-BB設定!$B$5*$F45)</f>
      </c>
      <c r="J45" s="682">
        <f>IF($D45="","",$E45-BB設定!$B$4*$F45)</f>
      </c>
      <c r="K45" s="687">
        <f>IF($D45="","",IFERROR(($D45-$J45)/($G45-$J45),""))</f>
      </c>
      <c r="L45" s="686">
        <f>IF($D45="","",IFERROR(($G45-$J45)/$E45*100,""))</f>
      </c>
      <c r="M45" s="686">
        <f>IF($D45="","",IFERROR(MIN(BB_帯幅!B45:AP45)*100,""))</f>
      </c>
      <c r="N45" s="681">
        <f>IF($L45="","",IF($L45&lt;=$M45*BB設定!$B$7,"スクイーズ★",IF($L45&lt;=$M45*1.3,"収縮","－")))</f>
      </c>
      <c r="O45" s="681">
        <f>IF($D45="","",IF($L45&gt;(4*STDEVP(終値!F45:Y45)/AVERAGE(終値!F45:Y45)*100),"拡大↑","縮小↓"))</f>
      </c>
      <c r="P45" s="681">
        <f>IF($D45="","",IF($D45&gt;$G45,"↑+2σ突破",IF($D45&lt;$J45,"↓-2σ割れ",IF($D45&gt;$H45,"+1σ上",IF($D45&lt;$I45,"-1σ下","バンド内")))))</f>
      </c>
      <c r="Q45" s="684">
        <f>IF($D45="","",IFERROR(100-100/(1+SUMPRODUCT((終値!E45:R45&gt;終値!F45:S45)*(終値!E45:R45-終値!F45:S45))/SUMPRODUCT((終値!E45:R45&lt;終値!F45:S45)*(終値!F45:S45-終値!E45:R45))),100))</f>
      </c>
      <c r="R45" s="684">
        <f>IF($D45="","",IFERROR(100-100/(1+SUMPRODUCT((((高値!E45:R45+安値!E45:R45+終値!E45:R45)/3)&gt;((高値!F45:S45+安値!F45:S45+終値!F45:S45)/3))*((高値!E45:R45+安値!E45:R45+終値!E45:R45)/3)*出来高!E45:R45)/SUMPRODUCT((((高値!E45:R45+安値!E45:R45+終値!E45:R45)/3)&lt;((高値!F45:S45+安値!F45:S45+終値!F45:S45)/3))*((高値!E45:R45+安値!E45:R45+終値!E45:R45)/3)*出来高!E45:R45)),50))</f>
      </c>
      <c r="S45" s="681">
        <f>IF($D45="","",IF(AND(終値!E45&lt;終値!O45,$Q45&gt;(IFERROR(100-100/(1+SUMPRODUCT((終値!O45:AB45&gt;終値!P45:AC45)*(終値!O45:AB45-終値!P45:AC45))/SUMPRODUCT((終値!O45:AB45&lt;終値!P45:AC45)*(終値!P45:AC45-終値!O45:AB45))),100))),"強気div▲",IF(AND(終値!E45&gt;終値!O45,$Q45&lt;(IFERROR(100-100/(1+SUMPRODUCT((終値!O45:AB45&gt;終値!P45:AC45)*(終値!O45:AB45-終値!P45:AC45))/SUMPRODUCT((終値!O45:AB45&lt;終値!P45:AC45)*(終値!P45:AC45-終値!O45:AB45))),100))),"弱気div▼","－")))</f>
      </c>
      <c r="T45" s="681">
        <f>IF($D45="","",IF($D45&gt;=$H45,"上walk▲",IF($D45&lt;=$I45,"下walk▼","－")))</f>
      </c>
      <c r="U45" s="681">
        <f>IF(終値!A45="","",BB_スイング!BT45)</f>
      </c>
      <c r="V45" s="689">
        <f>IF($D45="","",IFERROR(出来高!E45/AVERAGE(出来高!E45:I45),""))</f>
      </c>
      <c r="W45" s="690">
        <f>IF($D45="","",IF(AND($D45&gt;$G45,$O45="拡大↑",$L45&lt;=$M45*1.8),"◎スクイーズブレイク買",IF(AND($D45&gt;=$H45,$R45&gt;=BB設定!$B$10),"○順張り継続(walk)",IF(AND($S45="強気div▲",$D45&gt;$I45),"○反発(ダイバ)買",IF($U45="二番底W▲","△二番底買(確)",IF($U45="二番底W形成","△二番底形成",IF($D45&lt;$J45,"▼-2σ割れ危険",IF(AND($D45&gt;$E45,$K45&lt;0.6,$R45&gt;=50),"・押し目注目",IF($N45="スクイーズ★","☆スクイーズ監視","様子見")))))))))</f>
      </c>
      <c r="X45" s="685">
        <f>IF($D45="","",MIN(100,IF($L45&lt;=$M45*1.15,20,IF($L45&lt;=$M45*1.4,10,0))+IF($D45&gt;$G45,20,IF($D45&gt;$H45,12,IF($D45&gt;$E45,5,0)))+IF($O45="拡大↑",10,0)+IF($R45&gt;=80,15,IF($R45&gt;=60,10,IF($R45&gt;=50,5,0)))+IF(AND($Q45&gt;=50,$Q45&lt;=70),10,IF($Q45&gt;70,3,IF($Q45&gt;=40,5,0)))+IF($S45="強気div▲",15,0)+IF($T45="上walk▲",5,0)+IF($V45&gt;=2,5,IF($V45&gt;=1.5,3,0))))</f>
      </c>
      <c r="Y45" s="682">
        <f>IF($D45="","",$D45)</f>
      </c>
      <c r="Z45" s="682">
        <f>IF($D45="","",$H45)</f>
      </c>
      <c r="AA45" s="682">
        <f>IF($D45="","",IF($D45&gt;$E45,$E45,$AD45))</f>
      </c>
      <c r="AB45" s="682">
        <f>IF($D45="","",$G45)</f>
      </c>
      <c r="AC45" s="688">
        <f>IF($D45="","",IF(($Y45-$AA45)&lt;=0,"－",IFERROR(ROUND(MIN(20,($AB45-$Y45)/($Y45-$AA45)),2),"－")))</f>
      </c>
      <c r="AD45" s="682">
        <f>IF($D45="","",MIN(終値!E45:I45))</f>
      </c>
      <c r="AE45" s="684">
        <f>IF($D45="","",$X45+(10000-ROW())/100000)</f>
      </c>
    </row>
    <row r="46">
      <c r="A46" s="681">
        <f>IF(終値!A46="","",HYPERLINK("https://kabutan.jp/stock/?code="&amp;終値!A46,"📈"))</f>
      </c>
      <c r="B46" s="681">
        <f>IF(終値!A46="","",終値!A46)</f>
      </c>
      <c r="C46" s="680">
        <f>IF(終値!A46="","",終値!B46)</f>
      </c>
      <c r="D46" s="682">
        <f>IF(終値!A46="","",終値!E46)</f>
      </c>
      <c r="E46" s="682">
        <f>IF($D46="","",AVERAGE(終値!E46:X46))</f>
      </c>
      <c r="F46" s="683">
        <f>IF($D46="","",STDEVP(終値!E46:X46))</f>
      </c>
      <c r="G46" s="682">
        <f>IF($D46="","",$E46+BB設定!$B$4*$F46)</f>
      </c>
      <c r="H46" s="682">
        <f>IF($D46="","",$E46+BB設定!$B$5*$F46)</f>
      </c>
      <c r="I46" s="682">
        <f>IF($D46="","",$E46-BB設定!$B$5*$F46)</f>
      </c>
      <c r="J46" s="682">
        <f>IF($D46="","",$E46-BB設定!$B$4*$F46)</f>
      </c>
      <c r="K46" s="687">
        <f>IF($D46="","",IFERROR(($D46-$J46)/($G46-$J46),""))</f>
      </c>
      <c r="L46" s="686">
        <f>IF($D46="","",IFERROR(($G46-$J46)/$E46*100,""))</f>
      </c>
      <c r="M46" s="686">
        <f>IF($D46="","",IFERROR(MIN(BB_帯幅!B46:AP46)*100,""))</f>
      </c>
      <c r="N46" s="681">
        <f>IF($L46="","",IF($L46&lt;=$M46*BB設定!$B$7,"スクイーズ★",IF($L46&lt;=$M46*1.3,"収縮","－")))</f>
      </c>
      <c r="O46" s="681">
        <f>IF($D46="","",IF($L46&gt;(4*STDEVP(終値!F46:Y46)/AVERAGE(終値!F46:Y46)*100),"拡大↑","縮小↓"))</f>
      </c>
      <c r="P46" s="681">
        <f>IF($D46="","",IF($D46&gt;$G46,"↑+2σ突破",IF($D46&lt;$J46,"↓-2σ割れ",IF($D46&gt;$H46,"+1σ上",IF($D46&lt;$I46,"-1σ下","バンド内")))))</f>
      </c>
      <c r="Q46" s="684">
        <f>IF($D46="","",IFERROR(100-100/(1+SUMPRODUCT((終値!E46:R46&gt;終値!F46:S46)*(終値!E46:R46-終値!F46:S46))/SUMPRODUCT((終値!E46:R46&lt;終値!F46:S46)*(終値!F46:S46-終値!E46:R46))),100))</f>
      </c>
      <c r="R46" s="684">
        <f>IF($D46="","",IFERROR(100-100/(1+SUMPRODUCT((((高値!E46:R46+安値!E46:R46+終値!E46:R46)/3)&gt;((高値!F46:S46+安値!F46:S46+終値!F46:S46)/3))*((高値!E46:R46+安値!E46:R46+終値!E46:R46)/3)*出来高!E46:R46)/SUMPRODUCT((((高値!E46:R46+安値!E46:R46+終値!E46:R46)/3)&lt;((高値!F46:S46+安値!F46:S46+終値!F46:S46)/3))*((高値!E46:R46+安値!E46:R46+終値!E46:R46)/3)*出来高!E46:R46)),50))</f>
      </c>
      <c r="S46" s="681">
        <f>IF($D46="","",IF(AND(終値!E46&lt;終値!O46,$Q46&gt;(IFERROR(100-100/(1+SUMPRODUCT((終値!O46:AB46&gt;終値!P46:AC46)*(終値!O46:AB46-終値!P46:AC46))/SUMPRODUCT((終値!O46:AB46&lt;終値!P46:AC46)*(終値!P46:AC46-終値!O46:AB46))),100))),"強気div▲",IF(AND(終値!E46&gt;終値!O46,$Q46&lt;(IFERROR(100-100/(1+SUMPRODUCT((終値!O46:AB46&gt;終値!P46:AC46)*(終値!O46:AB46-終値!P46:AC46))/SUMPRODUCT((終値!O46:AB46&lt;終値!P46:AC46)*(終値!P46:AC46-終値!O46:AB46))),100))),"弱気div▼","－")))</f>
      </c>
      <c r="T46" s="681">
        <f>IF($D46="","",IF($D46&gt;=$H46,"上walk▲",IF($D46&lt;=$I46,"下walk▼","－")))</f>
      </c>
      <c r="U46" s="681">
        <f>IF(終値!A46="","",BB_スイング!BT46)</f>
      </c>
      <c r="V46" s="689">
        <f>IF($D46="","",IFERROR(出来高!E46/AVERAGE(出来高!E46:I46),""))</f>
      </c>
      <c r="W46" s="690">
        <f>IF($D46="","",IF(AND($D46&gt;$G46,$O46="拡大↑",$L46&lt;=$M46*1.8),"◎スクイーズブレイク買",IF(AND($D46&gt;=$H46,$R46&gt;=BB設定!$B$10),"○順張り継続(walk)",IF(AND($S46="強気div▲",$D46&gt;$I46),"○反発(ダイバ)買",IF($U46="二番底W▲","△二番底買(確)",IF($U46="二番底W形成","△二番底形成",IF($D46&lt;$J46,"▼-2σ割れ危険",IF(AND($D46&gt;$E46,$K46&lt;0.6,$R46&gt;=50),"・押し目注目",IF($N46="スクイーズ★","☆スクイーズ監視","様子見")))))))))</f>
      </c>
      <c r="X46" s="685">
        <f>IF($D46="","",MIN(100,IF($L46&lt;=$M46*1.15,20,IF($L46&lt;=$M46*1.4,10,0))+IF($D46&gt;$G46,20,IF($D46&gt;$H46,12,IF($D46&gt;$E46,5,0)))+IF($O46="拡大↑",10,0)+IF($R46&gt;=80,15,IF($R46&gt;=60,10,IF($R46&gt;=50,5,0)))+IF(AND($Q46&gt;=50,$Q46&lt;=70),10,IF($Q46&gt;70,3,IF($Q46&gt;=40,5,0)))+IF($S46="強気div▲",15,0)+IF($T46="上walk▲",5,0)+IF($V46&gt;=2,5,IF($V46&gt;=1.5,3,0))))</f>
      </c>
      <c r="Y46" s="682">
        <f>IF($D46="","",$D46)</f>
      </c>
      <c r="Z46" s="682">
        <f>IF($D46="","",$H46)</f>
      </c>
      <c r="AA46" s="682">
        <f>IF($D46="","",IF($D46&gt;$E46,$E46,$AD46))</f>
      </c>
      <c r="AB46" s="682">
        <f>IF($D46="","",$G46)</f>
      </c>
      <c r="AC46" s="688">
        <f>IF($D46="","",IF(($Y46-$AA46)&lt;=0,"－",IFERROR(ROUND(MIN(20,($AB46-$Y46)/($Y46-$AA46)),2),"－")))</f>
      </c>
      <c r="AD46" s="682">
        <f>IF($D46="","",MIN(終値!E46:I46))</f>
      </c>
      <c r="AE46" s="684">
        <f>IF($D46="","",$X46+(10000-ROW())/100000)</f>
      </c>
    </row>
    <row r="47">
      <c r="A47" s="681">
        <f>IF(終値!A47="","",HYPERLINK("https://kabutan.jp/stock/?code="&amp;終値!A47,"📈"))</f>
      </c>
      <c r="B47" s="681">
        <f>IF(終値!A47="","",終値!A47)</f>
      </c>
      <c r="C47" s="680">
        <f>IF(終値!A47="","",終値!B47)</f>
      </c>
      <c r="D47" s="682">
        <f>IF(終値!A47="","",終値!E47)</f>
      </c>
      <c r="E47" s="682">
        <f>IF($D47="","",AVERAGE(終値!E47:X47))</f>
      </c>
      <c r="F47" s="683">
        <f>IF($D47="","",STDEVP(終値!E47:X47))</f>
      </c>
      <c r="G47" s="682">
        <f>IF($D47="","",$E47+BB設定!$B$4*$F47)</f>
      </c>
      <c r="H47" s="682">
        <f>IF($D47="","",$E47+BB設定!$B$5*$F47)</f>
      </c>
      <c r="I47" s="682">
        <f>IF($D47="","",$E47-BB設定!$B$5*$F47)</f>
      </c>
      <c r="J47" s="682">
        <f>IF($D47="","",$E47-BB設定!$B$4*$F47)</f>
      </c>
      <c r="K47" s="687">
        <f>IF($D47="","",IFERROR(($D47-$J47)/($G47-$J47),""))</f>
      </c>
      <c r="L47" s="686">
        <f>IF($D47="","",IFERROR(($G47-$J47)/$E47*100,""))</f>
      </c>
      <c r="M47" s="686">
        <f>IF($D47="","",IFERROR(MIN(BB_帯幅!B47:AP47)*100,""))</f>
      </c>
      <c r="N47" s="681">
        <f>IF($L47="","",IF($L47&lt;=$M47*BB設定!$B$7,"スクイーズ★",IF($L47&lt;=$M47*1.3,"収縮","－")))</f>
      </c>
      <c r="O47" s="681">
        <f>IF($D47="","",IF($L47&gt;(4*STDEVP(終値!F47:Y47)/AVERAGE(終値!F47:Y47)*100),"拡大↑","縮小↓"))</f>
      </c>
      <c r="P47" s="681">
        <f>IF($D47="","",IF($D47&gt;$G47,"↑+2σ突破",IF($D47&lt;$J47,"↓-2σ割れ",IF($D47&gt;$H47,"+1σ上",IF($D47&lt;$I47,"-1σ下","バンド内")))))</f>
      </c>
      <c r="Q47" s="684">
        <f>IF($D47="","",IFERROR(100-100/(1+SUMPRODUCT((終値!E47:R47&gt;終値!F47:S47)*(終値!E47:R47-終値!F47:S47))/SUMPRODUCT((終値!E47:R47&lt;終値!F47:S47)*(終値!F47:S47-終値!E47:R47))),100))</f>
      </c>
      <c r="R47" s="684">
        <f>IF($D47="","",IFERROR(100-100/(1+SUMPRODUCT((((高値!E47:R47+安値!E47:R47+終値!E47:R47)/3)&gt;((高値!F47:S47+安値!F47:S47+終値!F47:S47)/3))*((高値!E47:R47+安値!E47:R47+終値!E47:R47)/3)*出来高!E47:R47)/SUMPRODUCT((((高値!E47:R47+安値!E47:R47+終値!E47:R47)/3)&lt;((高値!F47:S47+安値!F47:S47+終値!F47:S47)/3))*((高値!E47:R47+安値!E47:R47+終値!E47:R47)/3)*出来高!E47:R47)),50))</f>
      </c>
      <c r="S47" s="681">
        <f>IF($D47="","",IF(AND(終値!E47&lt;終値!O47,$Q47&gt;(IFERROR(100-100/(1+SUMPRODUCT((終値!O47:AB47&gt;終値!P47:AC47)*(終値!O47:AB47-終値!P47:AC47))/SUMPRODUCT((終値!O47:AB47&lt;終値!P47:AC47)*(終値!P47:AC47-終値!O47:AB47))),100))),"強気div▲",IF(AND(終値!E47&gt;終値!O47,$Q47&lt;(IFERROR(100-100/(1+SUMPRODUCT((終値!O47:AB47&gt;終値!P47:AC47)*(終値!O47:AB47-終値!P47:AC47))/SUMPRODUCT((終値!O47:AB47&lt;終値!P47:AC47)*(終値!P47:AC47-終値!O47:AB47))),100))),"弱気div▼","－")))</f>
      </c>
      <c r="T47" s="681">
        <f>IF($D47="","",IF($D47&gt;=$H47,"上walk▲",IF($D47&lt;=$I47,"下walk▼","－")))</f>
      </c>
      <c r="U47" s="681">
        <f>IF(終値!A47="","",BB_スイング!BT47)</f>
      </c>
      <c r="V47" s="689">
        <f>IF($D47="","",IFERROR(出来高!E47/AVERAGE(出来高!E47:I47),""))</f>
      </c>
      <c r="W47" s="690">
        <f>IF($D47="","",IF(AND($D47&gt;$G47,$O47="拡大↑",$L47&lt;=$M47*1.8),"◎スクイーズブレイク買",IF(AND($D47&gt;=$H47,$R47&gt;=BB設定!$B$10),"○順張り継続(walk)",IF(AND($S47="強気div▲",$D47&gt;$I47),"○反発(ダイバ)買",IF($U47="二番底W▲","△二番底買(確)",IF($U47="二番底W形成","△二番底形成",IF($D47&lt;$J47,"▼-2σ割れ危険",IF(AND($D47&gt;$E47,$K47&lt;0.6,$R47&gt;=50),"・押し目注目",IF($N47="スクイーズ★","☆スクイーズ監視","様子見")))))))))</f>
      </c>
      <c r="X47" s="685">
        <f>IF($D47="","",MIN(100,IF($L47&lt;=$M47*1.15,20,IF($L47&lt;=$M47*1.4,10,0))+IF($D47&gt;$G47,20,IF($D47&gt;$H47,12,IF($D47&gt;$E47,5,0)))+IF($O47="拡大↑",10,0)+IF($R47&gt;=80,15,IF($R47&gt;=60,10,IF($R47&gt;=50,5,0)))+IF(AND($Q47&gt;=50,$Q47&lt;=70),10,IF($Q47&gt;70,3,IF($Q47&gt;=40,5,0)))+IF($S47="強気div▲",15,0)+IF($T47="上walk▲",5,0)+IF($V47&gt;=2,5,IF($V47&gt;=1.5,3,0))))</f>
      </c>
      <c r="Y47" s="682">
        <f>IF($D47="","",$D47)</f>
      </c>
      <c r="Z47" s="682">
        <f>IF($D47="","",$H47)</f>
      </c>
      <c r="AA47" s="682">
        <f>IF($D47="","",IF($D47&gt;$E47,$E47,$AD47))</f>
      </c>
      <c r="AB47" s="682">
        <f>IF($D47="","",$G47)</f>
      </c>
      <c r="AC47" s="688">
        <f>IF($D47="","",IF(($Y47-$AA47)&lt;=0,"－",IFERROR(ROUND(MIN(20,($AB47-$Y47)/($Y47-$AA47)),2),"－")))</f>
      </c>
      <c r="AD47" s="682">
        <f>IF($D47="","",MIN(終値!E47:I47))</f>
      </c>
      <c r="AE47" s="684">
        <f>IF($D47="","",$X47+(10000-ROW())/100000)</f>
      </c>
    </row>
    <row r="48">
      <c r="A48" s="681">
        <f>IF(終値!A48="","",HYPERLINK("https://kabutan.jp/stock/?code="&amp;終値!A48,"📈"))</f>
      </c>
      <c r="B48" s="681">
        <f>IF(終値!A48="","",終値!A48)</f>
      </c>
      <c r="C48" s="680">
        <f>IF(終値!A48="","",終値!B48)</f>
      </c>
      <c r="D48" s="682">
        <f>IF(終値!A48="","",終値!E48)</f>
      </c>
      <c r="E48" s="682">
        <f>IF($D48="","",AVERAGE(終値!E48:X48))</f>
      </c>
      <c r="F48" s="683">
        <f>IF($D48="","",STDEVP(終値!E48:X48))</f>
      </c>
      <c r="G48" s="682">
        <f>IF($D48="","",$E48+BB設定!$B$4*$F48)</f>
      </c>
      <c r="H48" s="682">
        <f>IF($D48="","",$E48+BB設定!$B$5*$F48)</f>
      </c>
      <c r="I48" s="682">
        <f>IF($D48="","",$E48-BB設定!$B$5*$F48)</f>
      </c>
      <c r="J48" s="682">
        <f>IF($D48="","",$E48-BB設定!$B$4*$F48)</f>
      </c>
      <c r="K48" s="687">
        <f>IF($D48="","",IFERROR(($D48-$J48)/($G48-$J48),""))</f>
      </c>
      <c r="L48" s="686">
        <f>IF($D48="","",IFERROR(($G48-$J48)/$E48*100,""))</f>
      </c>
      <c r="M48" s="686">
        <f>IF($D48="","",IFERROR(MIN(BB_帯幅!B48:AP48)*100,""))</f>
      </c>
      <c r="N48" s="681">
        <f>IF($L48="","",IF($L48&lt;=$M48*BB設定!$B$7,"スクイーズ★",IF($L48&lt;=$M48*1.3,"収縮","－")))</f>
      </c>
      <c r="O48" s="681">
        <f>IF($D48="","",IF($L48&gt;(4*STDEVP(終値!F48:Y48)/AVERAGE(終値!F48:Y48)*100),"拡大↑","縮小↓"))</f>
      </c>
      <c r="P48" s="681">
        <f>IF($D48="","",IF($D48&gt;$G48,"↑+2σ突破",IF($D48&lt;$J48,"↓-2σ割れ",IF($D48&gt;$H48,"+1σ上",IF($D48&lt;$I48,"-1σ下","バンド内")))))</f>
      </c>
      <c r="Q48" s="684">
        <f>IF($D48="","",IFERROR(100-100/(1+SUMPRODUCT((終値!E48:R48&gt;終値!F48:S48)*(終値!E48:R48-終値!F48:S48))/SUMPRODUCT((終値!E48:R48&lt;終値!F48:S48)*(終値!F48:S48-終値!E48:R48))),100))</f>
      </c>
      <c r="R48" s="684">
        <f>IF($D48="","",IFERROR(100-100/(1+SUMPRODUCT((((高値!E48:R48+安値!E48:R48+終値!E48:R48)/3)&gt;((高値!F48:S48+安値!F48:S48+終値!F48:S48)/3))*((高値!E48:R48+安値!E48:R48+終値!E48:R48)/3)*出来高!E48:R48)/SUMPRODUCT((((高値!E48:R48+安値!E48:R48+終値!E48:R48)/3)&lt;((高値!F48:S48+安値!F48:S48+終値!F48:S48)/3))*((高値!E48:R48+安値!E48:R48+終値!E48:R48)/3)*出来高!E48:R48)),50))</f>
      </c>
      <c r="S48" s="681">
        <f>IF($D48="","",IF(AND(終値!E48&lt;終値!O48,$Q48&gt;(IFERROR(100-100/(1+SUMPRODUCT((終値!O48:AB48&gt;終値!P48:AC48)*(終値!O48:AB48-終値!P48:AC48))/SUMPRODUCT((終値!O48:AB48&lt;終値!P48:AC48)*(終値!P48:AC48-終値!O48:AB48))),100))),"強気div▲",IF(AND(終値!E48&gt;終値!O48,$Q48&lt;(IFERROR(100-100/(1+SUMPRODUCT((終値!O48:AB48&gt;終値!P48:AC48)*(終値!O48:AB48-終値!P48:AC48))/SUMPRODUCT((終値!O48:AB48&lt;終値!P48:AC48)*(終値!P48:AC48-終値!O48:AB48))),100))),"弱気div▼","－")))</f>
      </c>
      <c r="T48" s="681">
        <f>IF($D48="","",IF($D48&gt;=$H48,"上walk▲",IF($D48&lt;=$I48,"下walk▼","－")))</f>
      </c>
      <c r="U48" s="681">
        <f>IF(終値!A48="","",BB_スイング!BT48)</f>
      </c>
      <c r="V48" s="689">
        <f>IF($D48="","",IFERROR(出来高!E48/AVERAGE(出来高!E48:I48),""))</f>
      </c>
      <c r="W48" s="690">
        <f>IF($D48="","",IF(AND($D48&gt;$G48,$O48="拡大↑",$L48&lt;=$M48*1.8),"◎スクイーズブレイク買",IF(AND($D48&gt;=$H48,$R48&gt;=BB設定!$B$10),"○順張り継続(walk)",IF(AND($S48="強気div▲",$D48&gt;$I48),"○反発(ダイバ)買",IF($U48="二番底W▲","△二番底買(確)",IF($U48="二番底W形成","△二番底形成",IF($D48&lt;$J48,"▼-2σ割れ危険",IF(AND($D48&gt;$E48,$K48&lt;0.6,$R48&gt;=50),"・押し目注目",IF($N48="スクイーズ★","☆スクイーズ監視","様子見")))))))))</f>
      </c>
      <c r="X48" s="685">
        <f>IF($D48="","",MIN(100,IF($L48&lt;=$M48*1.15,20,IF($L48&lt;=$M48*1.4,10,0))+IF($D48&gt;$G48,20,IF($D48&gt;$H48,12,IF($D48&gt;$E48,5,0)))+IF($O48="拡大↑",10,0)+IF($R48&gt;=80,15,IF($R48&gt;=60,10,IF($R48&gt;=50,5,0)))+IF(AND($Q48&gt;=50,$Q48&lt;=70),10,IF($Q48&gt;70,3,IF($Q48&gt;=40,5,0)))+IF($S48="強気div▲",15,0)+IF($T48="上walk▲",5,0)+IF($V48&gt;=2,5,IF($V48&gt;=1.5,3,0))))</f>
      </c>
      <c r="Y48" s="682">
        <f>IF($D48="","",$D48)</f>
      </c>
      <c r="Z48" s="682">
        <f>IF($D48="","",$H48)</f>
      </c>
      <c r="AA48" s="682">
        <f>IF($D48="","",IF($D48&gt;$E48,$E48,$AD48))</f>
      </c>
      <c r="AB48" s="682">
        <f>IF($D48="","",$G48)</f>
      </c>
      <c r="AC48" s="688">
        <f>IF($D48="","",IF(($Y48-$AA48)&lt;=0,"－",IFERROR(ROUND(MIN(20,($AB48-$Y48)/($Y48-$AA48)),2),"－")))</f>
      </c>
      <c r="AD48" s="682">
        <f>IF($D48="","",MIN(終値!E48:I48))</f>
      </c>
      <c r="AE48" s="684">
        <f>IF($D48="","",$X48+(10000-ROW())/100000)</f>
      </c>
    </row>
    <row r="49">
      <c r="A49" s="681">
        <f>IF(終値!A49="","",HYPERLINK("https://kabutan.jp/stock/?code="&amp;終値!A49,"📈"))</f>
      </c>
      <c r="B49" s="681">
        <f>IF(終値!A49="","",終値!A49)</f>
      </c>
      <c r="C49" s="680">
        <f>IF(終値!A49="","",終値!B49)</f>
      </c>
      <c r="D49" s="682">
        <f>IF(終値!A49="","",終値!E49)</f>
      </c>
      <c r="E49" s="682">
        <f>IF($D49="","",AVERAGE(終値!E49:X49))</f>
      </c>
      <c r="F49" s="683">
        <f>IF($D49="","",STDEVP(終値!E49:X49))</f>
      </c>
      <c r="G49" s="682">
        <f>IF($D49="","",$E49+BB設定!$B$4*$F49)</f>
      </c>
      <c r="H49" s="682">
        <f>IF($D49="","",$E49+BB設定!$B$5*$F49)</f>
      </c>
      <c r="I49" s="682">
        <f>IF($D49="","",$E49-BB設定!$B$5*$F49)</f>
      </c>
      <c r="J49" s="682">
        <f>IF($D49="","",$E49-BB設定!$B$4*$F49)</f>
      </c>
      <c r="K49" s="687">
        <f>IF($D49="","",IFERROR(($D49-$J49)/($G49-$J49),""))</f>
      </c>
      <c r="L49" s="686">
        <f>IF($D49="","",IFERROR(($G49-$J49)/$E49*100,""))</f>
      </c>
      <c r="M49" s="686">
        <f>IF($D49="","",IFERROR(MIN(BB_帯幅!B49:AP49)*100,""))</f>
      </c>
      <c r="N49" s="681">
        <f>IF($L49="","",IF($L49&lt;=$M49*BB設定!$B$7,"スクイーズ★",IF($L49&lt;=$M49*1.3,"収縮","－")))</f>
      </c>
      <c r="O49" s="681">
        <f>IF($D49="","",IF($L49&gt;(4*STDEVP(終値!F49:Y49)/AVERAGE(終値!F49:Y49)*100),"拡大↑","縮小↓"))</f>
      </c>
      <c r="P49" s="681">
        <f>IF($D49="","",IF($D49&gt;$G49,"↑+2σ突破",IF($D49&lt;$J49,"↓-2σ割れ",IF($D49&gt;$H49,"+1σ上",IF($D49&lt;$I49,"-1σ下","バンド内")))))</f>
      </c>
      <c r="Q49" s="684">
        <f>IF($D49="","",IFERROR(100-100/(1+SUMPRODUCT((終値!E49:R49&gt;終値!F49:S49)*(終値!E49:R49-終値!F49:S49))/SUMPRODUCT((終値!E49:R49&lt;終値!F49:S49)*(終値!F49:S49-終値!E49:R49))),100))</f>
      </c>
      <c r="R49" s="684">
        <f>IF($D49="","",IFERROR(100-100/(1+SUMPRODUCT((((高値!E49:R49+安値!E49:R49+終値!E49:R49)/3)&gt;((高値!F49:S49+安値!F49:S49+終値!F49:S49)/3))*((高値!E49:R49+安値!E49:R49+終値!E49:R49)/3)*出来高!E49:R49)/SUMPRODUCT((((高値!E49:R49+安値!E49:R49+終値!E49:R49)/3)&lt;((高値!F49:S49+安値!F49:S49+終値!F49:S49)/3))*((高値!E49:R49+安値!E49:R49+終値!E49:R49)/3)*出来高!E49:R49)),50))</f>
      </c>
      <c r="S49" s="681">
        <f>IF($D49="","",IF(AND(終値!E49&lt;終値!O49,$Q49&gt;(IFERROR(100-100/(1+SUMPRODUCT((終値!O49:AB49&gt;終値!P49:AC49)*(終値!O49:AB49-終値!P49:AC49))/SUMPRODUCT((終値!O49:AB49&lt;終値!P49:AC49)*(終値!P49:AC49-終値!O49:AB49))),100))),"強気div▲",IF(AND(終値!E49&gt;終値!O49,$Q49&lt;(IFERROR(100-100/(1+SUMPRODUCT((終値!O49:AB49&gt;終値!P49:AC49)*(終値!O49:AB49-終値!P49:AC49))/SUMPRODUCT((終値!O49:AB49&lt;終値!P49:AC49)*(終値!P49:AC49-終値!O49:AB49))),100))),"弱気div▼","－")))</f>
      </c>
      <c r="T49" s="681">
        <f>IF($D49="","",IF($D49&gt;=$H49,"上walk▲",IF($D49&lt;=$I49,"下walk▼","－")))</f>
      </c>
      <c r="U49" s="681">
        <f>IF(終値!A49="","",BB_スイング!BT49)</f>
      </c>
      <c r="V49" s="689">
        <f>IF($D49="","",IFERROR(出来高!E49/AVERAGE(出来高!E49:I49),""))</f>
      </c>
      <c r="W49" s="690">
        <f>IF($D49="","",IF(AND($D49&gt;$G49,$O49="拡大↑",$L49&lt;=$M49*1.8),"◎スクイーズブレイク買",IF(AND($D49&gt;=$H49,$R49&gt;=BB設定!$B$10),"○順張り継続(walk)",IF(AND($S49="強気div▲",$D49&gt;$I49),"○反発(ダイバ)買",IF($U49="二番底W▲","△二番底買(確)",IF($U49="二番底W形成","△二番底形成",IF($D49&lt;$J49,"▼-2σ割れ危険",IF(AND($D49&gt;$E49,$K49&lt;0.6,$R49&gt;=50),"・押し目注目",IF($N49="スクイーズ★","☆スクイーズ監視","様子見")))))))))</f>
      </c>
      <c r="X49" s="685">
        <f>IF($D49="","",MIN(100,IF($L49&lt;=$M49*1.15,20,IF($L49&lt;=$M49*1.4,10,0))+IF($D49&gt;$G49,20,IF($D49&gt;$H49,12,IF($D49&gt;$E49,5,0)))+IF($O49="拡大↑",10,0)+IF($R49&gt;=80,15,IF($R49&gt;=60,10,IF($R49&gt;=50,5,0)))+IF(AND($Q49&gt;=50,$Q49&lt;=70),10,IF($Q49&gt;70,3,IF($Q49&gt;=40,5,0)))+IF($S49="強気div▲",15,0)+IF($T49="上walk▲",5,0)+IF($V49&gt;=2,5,IF($V49&gt;=1.5,3,0))))</f>
      </c>
      <c r="Y49" s="682">
        <f>IF($D49="","",$D49)</f>
      </c>
      <c r="Z49" s="682">
        <f>IF($D49="","",$H49)</f>
      </c>
      <c r="AA49" s="682">
        <f>IF($D49="","",IF($D49&gt;$E49,$E49,$AD49))</f>
      </c>
      <c r="AB49" s="682">
        <f>IF($D49="","",$G49)</f>
      </c>
      <c r="AC49" s="688">
        <f>IF($D49="","",IF(($Y49-$AA49)&lt;=0,"－",IFERROR(ROUND(MIN(20,($AB49-$Y49)/($Y49-$AA49)),2),"－")))</f>
      </c>
      <c r="AD49" s="682">
        <f>IF($D49="","",MIN(終値!E49:I49))</f>
      </c>
      <c r="AE49" s="684">
        <f>IF($D49="","",$X49+(10000-ROW())/100000)</f>
      </c>
    </row>
    <row r="50">
      <c r="A50" s="681">
        <f>IF(終値!A50="","",HYPERLINK("https://kabutan.jp/stock/?code="&amp;終値!A50,"📈"))</f>
      </c>
      <c r="B50" s="681">
        <f>IF(終値!A50="","",終値!A50)</f>
      </c>
      <c r="C50" s="680">
        <f>IF(終値!A50="","",終値!B50)</f>
      </c>
      <c r="D50" s="682">
        <f>IF(終値!A50="","",終値!E50)</f>
      </c>
      <c r="E50" s="682">
        <f>IF($D50="","",AVERAGE(終値!E50:X50))</f>
      </c>
      <c r="F50" s="683">
        <f>IF($D50="","",STDEVP(終値!E50:X50))</f>
      </c>
      <c r="G50" s="682">
        <f>IF($D50="","",$E50+BB設定!$B$4*$F50)</f>
      </c>
      <c r="H50" s="682">
        <f>IF($D50="","",$E50+BB設定!$B$5*$F50)</f>
      </c>
      <c r="I50" s="682">
        <f>IF($D50="","",$E50-BB設定!$B$5*$F50)</f>
      </c>
      <c r="J50" s="682">
        <f>IF($D50="","",$E50-BB設定!$B$4*$F50)</f>
      </c>
      <c r="K50" s="687">
        <f>IF($D50="","",IFERROR(($D50-$J50)/($G50-$J50),""))</f>
      </c>
      <c r="L50" s="686">
        <f>IF($D50="","",IFERROR(($G50-$J50)/$E50*100,""))</f>
      </c>
      <c r="M50" s="686">
        <f>IF($D50="","",IFERROR(MIN(BB_帯幅!B50:AP50)*100,""))</f>
      </c>
      <c r="N50" s="681">
        <f>IF($L50="","",IF($L50&lt;=$M50*BB設定!$B$7,"スクイーズ★",IF($L50&lt;=$M50*1.3,"収縮","－")))</f>
      </c>
      <c r="O50" s="681">
        <f>IF($D50="","",IF($L50&gt;(4*STDEVP(終値!F50:Y50)/AVERAGE(終値!F50:Y50)*100),"拡大↑","縮小↓"))</f>
      </c>
      <c r="P50" s="681">
        <f>IF($D50="","",IF($D50&gt;$G50,"↑+2σ突破",IF($D50&lt;$J50,"↓-2σ割れ",IF($D50&gt;$H50,"+1σ上",IF($D50&lt;$I50,"-1σ下","バンド内")))))</f>
      </c>
      <c r="Q50" s="684">
        <f>IF($D50="","",IFERROR(100-100/(1+SUMPRODUCT((終値!E50:R50&gt;終値!F50:S50)*(終値!E50:R50-終値!F50:S50))/SUMPRODUCT((終値!E50:R50&lt;終値!F50:S50)*(終値!F50:S50-終値!E50:R50))),100))</f>
      </c>
      <c r="R50" s="684">
        <f>IF($D50="","",IFERROR(100-100/(1+SUMPRODUCT((((高値!E50:R50+安値!E50:R50+終値!E50:R50)/3)&gt;((高値!F50:S50+安値!F50:S50+終値!F50:S50)/3))*((高値!E50:R50+安値!E50:R50+終値!E50:R50)/3)*出来高!E50:R50)/SUMPRODUCT((((高値!E50:R50+安値!E50:R50+終値!E50:R50)/3)&lt;((高値!F50:S50+安値!F50:S50+終値!F50:S50)/3))*((高値!E50:R50+安値!E50:R50+終値!E50:R50)/3)*出来高!E50:R50)),50))</f>
      </c>
      <c r="S50" s="681">
        <f>IF($D50="","",IF(AND(終値!E50&lt;終値!O50,$Q50&gt;(IFERROR(100-100/(1+SUMPRODUCT((終値!O50:AB50&gt;終値!P50:AC50)*(終値!O50:AB50-終値!P50:AC50))/SUMPRODUCT((終値!O50:AB50&lt;終値!P50:AC50)*(終値!P50:AC50-終値!O50:AB50))),100))),"強気div▲",IF(AND(終値!E50&gt;終値!O50,$Q50&lt;(IFERROR(100-100/(1+SUMPRODUCT((終値!O50:AB50&gt;終値!P50:AC50)*(終値!O50:AB50-終値!P50:AC50))/SUMPRODUCT((終値!O50:AB50&lt;終値!P50:AC50)*(終値!P50:AC50-終値!O50:AB50))),100))),"弱気div▼","－")))</f>
      </c>
      <c r="T50" s="681">
        <f>IF($D50="","",IF($D50&gt;=$H50,"上walk▲",IF($D50&lt;=$I50,"下walk▼","－")))</f>
      </c>
      <c r="U50" s="681">
        <f>IF(終値!A50="","",BB_スイング!BT50)</f>
      </c>
      <c r="V50" s="689">
        <f>IF($D50="","",IFERROR(出来高!E50/AVERAGE(出来高!E50:I50),""))</f>
      </c>
      <c r="W50" s="690">
        <f>IF($D50="","",IF(AND($D50&gt;$G50,$O50="拡大↑",$L50&lt;=$M50*1.8),"◎スクイーズブレイク買",IF(AND($D50&gt;=$H50,$R50&gt;=BB設定!$B$10),"○順張り継続(walk)",IF(AND($S50="強気div▲",$D50&gt;$I50),"○反発(ダイバ)買",IF($U50="二番底W▲","△二番底買(確)",IF($U50="二番底W形成","△二番底形成",IF($D50&lt;$J50,"▼-2σ割れ危険",IF(AND($D50&gt;$E50,$K50&lt;0.6,$R50&gt;=50),"・押し目注目",IF($N50="スクイーズ★","☆スクイーズ監視","様子見")))))))))</f>
      </c>
      <c r="X50" s="685">
        <f>IF($D50="","",MIN(100,IF($L50&lt;=$M50*1.15,20,IF($L50&lt;=$M50*1.4,10,0))+IF($D50&gt;$G50,20,IF($D50&gt;$H50,12,IF($D50&gt;$E50,5,0)))+IF($O50="拡大↑",10,0)+IF($R50&gt;=80,15,IF($R50&gt;=60,10,IF($R50&gt;=50,5,0)))+IF(AND($Q50&gt;=50,$Q50&lt;=70),10,IF($Q50&gt;70,3,IF($Q50&gt;=40,5,0)))+IF($S50="強気div▲",15,0)+IF($T50="上walk▲",5,0)+IF($V50&gt;=2,5,IF($V50&gt;=1.5,3,0))))</f>
      </c>
      <c r="Y50" s="682">
        <f>IF($D50="","",$D50)</f>
      </c>
      <c r="Z50" s="682">
        <f>IF($D50="","",$H50)</f>
      </c>
      <c r="AA50" s="682">
        <f>IF($D50="","",IF($D50&gt;$E50,$E50,$AD50))</f>
      </c>
      <c r="AB50" s="682">
        <f>IF($D50="","",$G50)</f>
      </c>
      <c r="AC50" s="688">
        <f>IF($D50="","",IF(($Y50-$AA50)&lt;=0,"－",IFERROR(ROUND(MIN(20,($AB50-$Y50)/($Y50-$AA50)),2),"－")))</f>
      </c>
      <c r="AD50" s="682">
        <f>IF($D50="","",MIN(終値!E50:I50))</f>
      </c>
      <c r="AE50" s="684">
        <f>IF($D50="","",$X50+(10000-ROW())/100000)</f>
      </c>
    </row>
    <row r="51">
      <c r="A51" s="681">
        <f>IF(終値!A51="","",HYPERLINK("https://kabutan.jp/stock/?code="&amp;終値!A51,"📈"))</f>
      </c>
      <c r="B51" s="681">
        <f>IF(終値!A51="","",終値!A51)</f>
      </c>
      <c r="C51" s="680">
        <f>IF(終値!A51="","",終値!B51)</f>
      </c>
      <c r="D51" s="682">
        <f>IF(終値!A51="","",終値!E51)</f>
      </c>
      <c r="E51" s="682">
        <f>IF($D51="","",AVERAGE(終値!E51:X51))</f>
      </c>
      <c r="F51" s="683">
        <f>IF($D51="","",STDEVP(終値!E51:X51))</f>
      </c>
      <c r="G51" s="682">
        <f>IF($D51="","",$E51+BB設定!$B$4*$F51)</f>
      </c>
      <c r="H51" s="682">
        <f>IF($D51="","",$E51+BB設定!$B$5*$F51)</f>
      </c>
      <c r="I51" s="682">
        <f>IF($D51="","",$E51-BB設定!$B$5*$F51)</f>
      </c>
      <c r="J51" s="682">
        <f>IF($D51="","",$E51-BB設定!$B$4*$F51)</f>
      </c>
      <c r="K51" s="687">
        <f>IF($D51="","",IFERROR(($D51-$J51)/($G51-$J51),""))</f>
      </c>
      <c r="L51" s="686">
        <f>IF($D51="","",IFERROR(($G51-$J51)/$E51*100,""))</f>
      </c>
      <c r="M51" s="686">
        <f>IF($D51="","",IFERROR(MIN(BB_帯幅!B51:AP51)*100,""))</f>
      </c>
      <c r="N51" s="681">
        <f>IF($L51="","",IF($L51&lt;=$M51*BB設定!$B$7,"スクイーズ★",IF($L51&lt;=$M51*1.3,"収縮","－")))</f>
      </c>
      <c r="O51" s="681">
        <f>IF($D51="","",IF($L51&gt;(4*STDEVP(終値!F51:Y51)/AVERAGE(終値!F51:Y51)*100),"拡大↑","縮小↓"))</f>
      </c>
      <c r="P51" s="681">
        <f>IF($D51="","",IF($D51&gt;$G51,"↑+2σ突破",IF($D51&lt;$J51,"↓-2σ割れ",IF($D51&gt;$H51,"+1σ上",IF($D51&lt;$I51,"-1σ下","バンド内")))))</f>
      </c>
      <c r="Q51" s="684">
        <f>IF($D51="","",IFERROR(100-100/(1+SUMPRODUCT((終値!E51:R51&gt;終値!F51:S51)*(終値!E51:R51-終値!F51:S51))/SUMPRODUCT((終値!E51:R51&lt;終値!F51:S51)*(終値!F51:S51-終値!E51:R51))),100))</f>
      </c>
      <c r="R51" s="684">
        <f>IF($D51="","",IFERROR(100-100/(1+SUMPRODUCT((((高値!E51:R51+安値!E51:R51+終値!E51:R51)/3)&gt;((高値!F51:S51+安値!F51:S51+終値!F51:S51)/3))*((高値!E51:R51+安値!E51:R51+終値!E51:R51)/3)*出来高!E51:R51)/SUMPRODUCT((((高値!E51:R51+安値!E51:R51+終値!E51:R51)/3)&lt;((高値!F51:S51+安値!F51:S51+終値!F51:S51)/3))*((高値!E51:R51+安値!E51:R51+終値!E51:R51)/3)*出来高!E51:R51)),50))</f>
      </c>
      <c r="S51" s="681">
        <f>IF($D51="","",IF(AND(終値!E51&lt;終値!O51,$Q51&gt;(IFERROR(100-100/(1+SUMPRODUCT((終値!O51:AB51&gt;終値!P51:AC51)*(終値!O51:AB51-終値!P51:AC51))/SUMPRODUCT((終値!O51:AB51&lt;終値!P51:AC51)*(終値!P51:AC51-終値!O51:AB51))),100))),"強気div▲",IF(AND(終値!E51&gt;終値!O51,$Q51&lt;(IFERROR(100-100/(1+SUMPRODUCT((終値!O51:AB51&gt;終値!P51:AC51)*(終値!O51:AB51-終値!P51:AC51))/SUMPRODUCT((終値!O51:AB51&lt;終値!P51:AC51)*(終値!P51:AC51-終値!O51:AB51))),100))),"弱気div▼","－")))</f>
      </c>
      <c r="T51" s="681">
        <f>IF($D51="","",IF($D51&gt;=$H51,"上walk▲",IF($D51&lt;=$I51,"下walk▼","－")))</f>
      </c>
      <c r="U51" s="681">
        <f>IF(終値!A51="","",BB_スイング!BT51)</f>
      </c>
      <c r="V51" s="689">
        <f>IF($D51="","",IFERROR(出来高!E51/AVERAGE(出来高!E51:I51),""))</f>
      </c>
      <c r="W51" s="690">
        <f>IF($D51="","",IF(AND($D51&gt;$G51,$O51="拡大↑",$L51&lt;=$M51*1.8),"◎スクイーズブレイク買",IF(AND($D51&gt;=$H51,$R51&gt;=BB設定!$B$10),"○順張り継続(walk)",IF(AND($S51="強気div▲",$D51&gt;$I51),"○反発(ダイバ)買",IF($U51="二番底W▲","△二番底買(確)",IF($U51="二番底W形成","△二番底形成",IF($D51&lt;$J51,"▼-2σ割れ危険",IF(AND($D51&gt;$E51,$K51&lt;0.6,$R51&gt;=50),"・押し目注目",IF($N51="スクイーズ★","☆スクイーズ監視","様子見")))))))))</f>
      </c>
      <c r="X51" s="685">
        <f>IF($D51="","",MIN(100,IF($L51&lt;=$M51*1.15,20,IF($L51&lt;=$M51*1.4,10,0))+IF($D51&gt;$G51,20,IF($D51&gt;$H51,12,IF($D51&gt;$E51,5,0)))+IF($O51="拡大↑",10,0)+IF($R51&gt;=80,15,IF($R51&gt;=60,10,IF($R51&gt;=50,5,0)))+IF(AND($Q51&gt;=50,$Q51&lt;=70),10,IF($Q51&gt;70,3,IF($Q51&gt;=40,5,0)))+IF($S51="強気div▲",15,0)+IF($T51="上walk▲",5,0)+IF($V51&gt;=2,5,IF($V51&gt;=1.5,3,0))))</f>
      </c>
      <c r="Y51" s="682">
        <f>IF($D51="","",$D51)</f>
      </c>
      <c r="Z51" s="682">
        <f>IF($D51="","",$H51)</f>
      </c>
      <c r="AA51" s="682">
        <f>IF($D51="","",IF($D51&gt;$E51,$E51,$AD51))</f>
      </c>
      <c r="AB51" s="682">
        <f>IF($D51="","",$G51)</f>
      </c>
      <c r="AC51" s="688">
        <f>IF($D51="","",IF(($Y51-$AA51)&lt;=0,"－",IFERROR(ROUND(MIN(20,($AB51-$Y51)/($Y51-$AA51)),2),"－")))</f>
      </c>
      <c r="AD51" s="682">
        <f>IF($D51="","",MIN(終値!E51:I51))</f>
      </c>
      <c r="AE51" s="684">
        <f>IF($D51="","",$X51+(10000-ROW())/100000)</f>
      </c>
    </row>
    <row r="52">
      <c r="A52" s="681">
        <f>IF(終値!A52="","",HYPERLINK("https://kabutan.jp/stock/?code="&amp;終値!A52,"📈"))</f>
      </c>
      <c r="B52" s="681">
        <f>IF(終値!A52="","",終値!A52)</f>
      </c>
      <c r="C52" s="680">
        <f>IF(終値!A52="","",終値!B52)</f>
      </c>
      <c r="D52" s="682">
        <f>IF(終値!A52="","",終値!E52)</f>
      </c>
      <c r="E52" s="682">
        <f>IF($D52="","",AVERAGE(終値!E52:X52))</f>
      </c>
      <c r="F52" s="683">
        <f>IF($D52="","",STDEVP(終値!E52:X52))</f>
      </c>
      <c r="G52" s="682">
        <f>IF($D52="","",$E52+BB設定!$B$4*$F52)</f>
      </c>
      <c r="H52" s="682">
        <f>IF($D52="","",$E52+BB設定!$B$5*$F52)</f>
      </c>
      <c r="I52" s="682">
        <f>IF($D52="","",$E52-BB設定!$B$5*$F52)</f>
      </c>
      <c r="J52" s="682">
        <f>IF($D52="","",$E52-BB設定!$B$4*$F52)</f>
      </c>
      <c r="K52" s="687">
        <f>IF($D52="","",IFERROR(($D52-$J52)/($G52-$J52),""))</f>
      </c>
      <c r="L52" s="686">
        <f>IF($D52="","",IFERROR(($G52-$J52)/$E52*100,""))</f>
      </c>
      <c r="M52" s="686">
        <f>IF($D52="","",IFERROR(MIN(BB_帯幅!B52:AP52)*100,""))</f>
      </c>
      <c r="N52" s="681">
        <f>IF($L52="","",IF($L52&lt;=$M52*BB設定!$B$7,"スクイーズ★",IF($L52&lt;=$M52*1.3,"収縮","－")))</f>
      </c>
      <c r="O52" s="681">
        <f>IF($D52="","",IF($L52&gt;(4*STDEVP(終値!F52:Y52)/AVERAGE(終値!F52:Y52)*100),"拡大↑","縮小↓"))</f>
      </c>
      <c r="P52" s="681">
        <f>IF($D52="","",IF($D52&gt;$G52,"↑+2σ突破",IF($D52&lt;$J52,"↓-2σ割れ",IF($D52&gt;$H52,"+1σ上",IF($D52&lt;$I52,"-1σ下","バンド内")))))</f>
      </c>
      <c r="Q52" s="684">
        <f>IF($D52="","",IFERROR(100-100/(1+SUMPRODUCT((終値!E52:R52&gt;終値!F52:S52)*(終値!E52:R52-終値!F52:S52))/SUMPRODUCT((終値!E52:R52&lt;終値!F52:S52)*(終値!F52:S52-終値!E52:R52))),100))</f>
      </c>
      <c r="R52" s="684">
        <f>IF($D52="","",IFERROR(100-100/(1+SUMPRODUCT((((高値!E52:R52+安値!E52:R52+終値!E52:R52)/3)&gt;((高値!F52:S52+安値!F52:S52+終値!F52:S52)/3))*((高値!E52:R52+安値!E52:R52+終値!E52:R52)/3)*出来高!E52:R52)/SUMPRODUCT((((高値!E52:R52+安値!E52:R52+終値!E52:R52)/3)&lt;((高値!F52:S52+安値!F52:S52+終値!F52:S52)/3))*((高値!E52:R52+安値!E52:R52+終値!E52:R52)/3)*出来高!E52:R52)),50))</f>
      </c>
      <c r="S52" s="681">
        <f>IF($D52="","",IF(AND(終値!E52&lt;終値!O52,$Q52&gt;(IFERROR(100-100/(1+SUMPRODUCT((終値!O52:AB52&gt;終値!P52:AC52)*(終値!O52:AB52-終値!P52:AC52))/SUMPRODUCT((終値!O52:AB52&lt;終値!P52:AC52)*(終値!P52:AC52-終値!O52:AB52))),100))),"強気div▲",IF(AND(終値!E52&gt;終値!O52,$Q52&lt;(IFERROR(100-100/(1+SUMPRODUCT((終値!O52:AB52&gt;終値!P52:AC52)*(終値!O52:AB52-終値!P52:AC52))/SUMPRODUCT((終値!O52:AB52&lt;終値!P52:AC52)*(終値!P52:AC52-終値!O52:AB52))),100))),"弱気div▼","－")))</f>
      </c>
      <c r="T52" s="681">
        <f>IF($D52="","",IF($D52&gt;=$H52,"上walk▲",IF($D52&lt;=$I52,"下walk▼","－")))</f>
      </c>
      <c r="U52" s="681">
        <f>IF(終値!A52="","",BB_スイング!BT52)</f>
      </c>
      <c r="V52" s="689">
        <f>IF($D52="","",IFERROR(出来高!E52/AVERAGE(出来高!E52:I52),""))</f>
      </c>
      <c r="W52" s="690">
        <f>IF($D52="","",IF(AND($D52&gt;$G52,$O52="拡大↑",$L52&lt;=$M52*1.8),"◎スクイーズブレイク買",IF(AND($D52&gt;=$H52,$R52&gt;=BB設定!$B$10),"○順張り継続(walk)",IF(AND($S52="強気div▲",$D52&gt;$I52),"○反発(ダイバ)買",IF($U52="二番底W▲","△二番底買(確)",IF($U52="二番底W形成","△二番底形成",IF($D52&lt;$J52,"▼-2σ割れ危険",IF(AND($D52&gt;$E52,$K52&lt;0.6,$R52&gt;=50),"・押し目注目",IF($N52="スクイーズ★","☆スクイーズ監視","様子見")))))))))</f>
      </c>
      <c r="X52" s="685">
        <f>IF($D52="","",MIN(100,IF($L52&lt;=$M52*1.15,20,IF($L52&lt;=$M52*1.4,10,0))+IF($D52&gt;$G52,20,IF($D52&gt;$H52,12,IF($D52&gt;$E52,5,0)))+IF($O52="拡大↑",10,0)+IF($R52&gt;=80,15,IF($R52&gt;=60,10,IF($R52&gt;=50,5,0)))+IF(AND($Q52&gt;=50,$Q52&lt;=70),10,IF($Q52&gt;70,3,IF($Q52&gt;=40,5,0)))+IF($S52="強気div▲",15,0)+IF($T52="上walk▲",5,0)+IF($V52&gt;=2,5,IF($V52&gt;=1.5,3,0))))</f>
      </c>
      <c r="Y52" s="682">
        <f>IF($D52="","",$D52)</f>
      </c>
      <c r="Z52" s="682">
        <f>IF($D52="","",$H52)</f>
      </c>
      <c r="AA52" s="682">
        <f>IF($D52="","",IF($D52&gt;$E52,$E52,$AD52))</f>
      </c>
      <c r="AB52" s="682">
        <f>IF($D52="","",$G52)</f>
      </c>
      <c r="AC52" s="688">
        <f>IF($D52="","",IF(($Y52-$AA52)&lt;=0,"－",IFERROR(ROUND(MIN(20,($AB52-$Y52)/($Y52-$AA52)),2),"－")))</f>
      </c>
      <c r="AD52" s="682">
        <f>IF($D52="","",MIN(終値!E52:I52))</f>
      </c>
      <c r="AE52" s="684">
        <f>IF($D52="","",$X52+(10000-ROW())/100000)</f>
      </c>
    </row>
    <row r="53">
      <c r="A53" s="681">
        <f>IF(終値!A53="","",HYPERLINK("https://kabutan.jp/stock/?code="&amp;終値!A53,"📈"))</f>
      </c>
      <c r="B53" s="681">
        <f>IF(終値!A53="","",終値!A53)</f>
      </c>
      <c r="C53" s="680">
        <f>IF(終値!A53="","",終値!B53)</f>
      </c>
      <c r="D53" s="682">
        <f>IF(終値!A53="","",終値!E53)</f>
      </c>
      <c r="E53" s="682">
        <f>IF($D53="","",AVERAGE(終値!E53:X53))</f>
      </c>
      <c r="F53" s="683">
        <f>IF($D53="","",STDEVP(終値!E53:X53))</f>
      </c>
      <c r="G53" s="682">
        <f>IF($D53="","",$E53+BB設定!$B$4*$F53)</f>
      </c>
      <c r="H53" s="682">
        <f>IF($D53="","",$E53+BB設定!$B$5*$F53)</f>
      </c>
      <c r="I53" s="682">
        <f>IF($D53="","",$E53-BB設定!$B$5*$F53)</f>
      </c>
      <c r="J53" s="682">
        <f>IF($D53="","",$E53-BB設定!$B$4*$F53)</f>
      </c>
      <c r="K53" s="687">
        <f>IF($D53="","",IFERROR(($D53-$J53)/($G53-$J53),""))</f>
      </c>
      <c r="L53" s="686">
        <f>IF($D53="","",IFERROR(($G53-$J53)/$E53*100,""))</f>
      </c>
      <c r="M53" s="686">
        <f>IF($D53="","",IFERROR(MIN(BB_帯幅!B53:AP53)*100,""))</f>
      </c>
      <c r="N53" s="681">
        <f>IF($L53="","",IF($L53&lt;=$M53*BB設定!$B$7,"スクイーズ★",IF($L53&lt;=$M53*1.3,"収縮","－")))</f>
      </c>
      <c r="O53" s="681">
        <f>IF($D53="","",IF($L53&gt;(4*STDEVP(終値!F53:Y53)/AVERAGE(終値!F53:Y53)*100),"拡大↑","縮小↓"))</f>
      </c>
      <c r="P53" s="681">
        <f>IF($D53="","",IF($D53&gt;$G53,"↑+2σ突破",IF($D53&lt;$J53,"↓-2σ割れ",IF($D53&gt;$H53,"+1σ上",IF($D53&lt;$I53,"-1σ下","バンド内")))))</f>
      </c>
      <c r="Q53" s="684">
        <f>IF($D53="","",IFERROR(100-100/(1+SUMPRODUCT((終値!E53:R53&gt;終値!F53:S53)*(終値!E53:R53-終値!F53:S53))/SUMPRODUCT((終値!E53:R53&lt;終値!F53:S53)*(終値!F53:S53-終値!E53:R53))),100))</f>
      </c>
      <c r="R53" s="684">
        <f>IF($D53="","",IFERROR(100-100/(1+SUMPRODUCT((((高値!E53:R53+安値!E53:R53+終値!E53:R53)/3)&gt;((高値!F53:S53+安値!F53:S53+終値!F53:S53)/3))*((高値!E53:R53+安値!E53:R53+終値!E53:R53)/3)*出来高!E53:R53)/SUMPRODUCT((((高値!E53:R53+安値!E53:R53+終値!E53:R53)/3)&lt;((高値!F53:S53+安値!F53:S53+終値!F53:S53)/3))*((高値!E53:R53+安値!E53:R53+終値!E53:R53)/3)*出来高!E53:R53)),50))</f>
      </c>
      <c r="S53" s="681">
        <f>IF($D53="","",IF(AND(終値!E53&lt;終値!O53,$Q53&gt;(IFERROR(100-100/(1+SUMPRODUCT((終値!O53:AB53&gt;終値!P53:AC53)*(終値!O53:AB53-終値!P53:AC53))/SUMPRODUCT((終値!O53:AB53&lt;終値!P53:AC53)*(終値!P53:AC53-終値!O53:AB53))),100))),"強気div▲",IF(AND(終値!E53&gt;終値!O53,$Q53&lt;(IFERROR(100-100/(1+SUMPRODUCT((終値!O53:AB53&gt;終値!P53:AC53)*(終値!O53:AB53-終値!P53:AC53))/SUMPRODUCT((終値!O53:AB53&lt;終値!P53:AC53)*(終値!P53:AC53-終値!O53:AB53))),100))),"弱気div▼","－")))</f>
      </c>
      <c r="T53" s="681">
        <f>IF($D53="","",IF($D53&gt;=$H53,"上walk▲",IF($D53&lt;=$I53,"下walk▼","－")))</f>
      </c>
      <c r="U53" s="681">
        <f>IF(終値!A53="","",BB_スイング!BT53)</f>
      </c>
      <c r="V53" s="689">
        <f>IF($D53="","",IFERROR(出来高!E53/AVERAGE(出来高!E53:I53),""))</f>
      </c>
      <c r="W53" s="690">
        <f>IF($D53="","",IF(AND($D53&gt;$G53,$O53="拡大↑",$L53&lt;=$M53*1.8),"◎スクイーズブレイク買",IF(AND($D53&gt;=$H53,$R53&gt;=BB設定!$B$10),"○順張り継続(walk)",IF(AND($S53="強気div▲",$D53&gt;$I53),"○反発(ダイバ)買",IF($U53="二番底W▲","△二番底買(確)",IF($U53="二番底W形成","△二番底形成",IF($D53&lt;$J53,"▼-2σ割れ危険",IF(AND($D53&gt;$E53,$K53&lt;0.6,$R53&gt;=50),"・押し目注目",IF($N53="スクイーズ★","☆スクイーズ監視","様子見")))))))))</f>
      </c>
      <c r="X53" s="685">
        <f>IF($D53="","",MIN(100,IF($L53&lt;=$M53*1.15,20,IF($L53&lt;=$M53*1.4,10,0))+IF($D53&gt;$G53,20,IF($D53&gt;$H53,12,IF($D53&gt;$E53,5,0)))+IF($O53="拡大↑",10,0)+IF($R53&gt;=80,15,IF($R53&gt;=60,10,IF($R53&gt;=50,5,0)))+IF(AND($Q53&gt;=50,$Q53&lt;=70),10,IF($Q53&gt;70,3,IF($Q53&gt;=40,5,0)))+IF($S53="強気div▲",15,0)+IF($T53="上walk▲",5,0)+IF($V53&gt;=2,5,IF($V53&gt;=1.5,3,0))))</f>
      </c>
      <c r="Y53" s="682">
        <f>IF($D53="","",$D53)</f>
      </c>
      <c r="Z53" s="682">
        <f>IF($D53="","",$H53)</f>
      </c>
      <c r="AA53" s="682">
        <f>IF($D53="","",IF($D53&gt;$E53,$E53,$AD53))</f>
      </c>
      <c r="AB53" s="682">
        <f>IF($D53="","",$G53)</f>
      </c>
      <c r="AC53" s="688">
        <f>IF($D53="","",IF(($Y53-$AA53)&lt;=0,"－",IFERROR(ROUND(MIN(20,($AB53-$Y53)/($Y53-$AA53)),2),"－")))</f>
      </c>
      <c r="AD53" s="682">
        <f>IF($D53="","",MIN(終値!E53:I53))</f>
      </c>
      <c r="AE53" s="684">
        <f>IF($D53="","",$X53+(10000-ROW())/100000)</f>
      </c>
    </row>
    <row r="54">
      <c r="A54" s="681">
        <f>IF(終値!A54="","",HYPERLINK("https://kabutan.jp/stock/?code="&amp;終値!A54,"📈"))</f>
      </c>
      <c r="B54" s="681">
        <f>IF(終値!A54="","",終値!A54)</f>
      </c>
      <c r="C54" s="680">
        <f>IF(終値!A54="","",終値!B54)</f>
      </c>
      <c r="D54" s="682">
        <f>IF(終値!A54="","",終値!E54)</f>
      </c>
      <c r="E54" s="682">
        <f>IF($D54="","",AVERAGE(終値!E54:X54))</f>
      </c>
      <c r="F54" s="683">
        <f>IF($D54="","",STDEVP(終値!E54:X54))</f>
      </c>
      <c r="G54" s="682">
        <f>IF($D54="","",$E54+BB設定!$B$4*$F54)</f>
      </c>
      <c r="H54" s="682">
        <f>IF($D54="","",$E54+BB設定!$B$5*$F54)</f>
      </c>
      <c r="I54" s="682">
        <f>IF($D54="","",$E54-BB設定!$B$5*$F54)</f>
      </c>
      <c r="J54" s="682">
        <f>IF($D54="","",$E54-BB設定!$B$4*$F54)</f>
      </c>
      <c r="K54" s="687">
        <f>IF($D54="","",IFERROR(($D54-$J54)/($G54-$J54),""))</f>
      </c>
      <c r="L54" s="686">
        <f>IF($D54="","",IFERROR(($G54-$J54)/$E54*100,""))</f>
      </c>
      <c r="M54" s="686">
        <f>IF($D54="","",IFERROR(MIN(BB_帯幅!B54:AP54)*100,""))</f>
      </c>
      <c r="N54" s="681">
        <f>IF($L54="","",IF($L54&lt;=$M54*BB設定!$B$7,"スクイーズ★",IF($L54&lt;=$M54*1.3,"収縮","－")))</f>
      </c>
      <c r="O54" s="681">
        <f>IF($D54="","",IF($L54&gt;(4*STDEVP(終値!F54:Y54)/AVERAGE(終値!F54:Y54)*100),"拡大↑","縮小↓"))</f>
      </c>
      <c r="P54" s="681">
        <f>IF($D54="","",IF($D54&gt;$G54,"↑+2σ突破",IF($D54&lt;$J54,"↓-2σ割れ",IF($D54&gt;$H54,"+1σ上",IF($D54&lt;$I54,"-1σ下","バンド内")))))</f>
      </c>
      <c r="Q54" s="684">
        <f>IF($D54="","",IFERROR(100-100/(1+SUMPRODUCT((終値!E54:R54&gt;終値!F54:S54)*(終値!E54:R54-終値!F54:S54))/SUMPRODUCT((終値!E54:R54&lt;終値!F54:S54)*(終値!F54:S54-終値!E54:R54))),100))</f>
      </c>
      <c r="R54" s="684">
        <f>IF($D54="","",IFERROR(100-100/(1+SUMPRODUCT((((高値!E54:R54+安値!E54:R54+終値!E54:R54)/3)&gt;((高値!F54:S54+安値!F54:S54+終値!F54:S54)/3))*((高値!E54:R54+安値!E54:R54+終値!E54:R54)/3)*出来高!E54:R54)/SUMPRODUCT((((高値!E54:R54+安値!E54:R54+終値!E54:R54)/3)&lt;((高値!F54:S54+安値!F54:S54+終値!F54:S54)/3))*((高値!E54:R54+安値!E54:R54+終値!E54:R54)/3)*出来高!E54:R54)),50))</f>
      </c>
      <c r="S54" s="681">
        <f>IF($D54="","",IF(AND(終値!E54&lt;終値!O54,$Q54&gt;(IFERROR(100-100/(1+SUMPRODUCT((終値!O54:AB54&gt;終値!P54:AC54)*(終値!O54:AB54-終値!P54:AC54))/SUMPRODUCT((終値!O54:AB54&lt;終値!P54:AC54)*(終値!P54:AC54-終値!O54:AB54))),100))),"強気div▲",IF(AND(終値!E54&gt;終値!O54,$Q54&lt;(IFERROR(100-100/(1+SUMPRODUCT((終値!O54:AB54&gt;終値!P54:AC54)*(終値!O54:AB54-終値!P54:AC54))/SUMPRODUCT((終値!O54:AB54&lt;終値!P54:AC54)*(終値!P54:AC54-終値!O54:AB54))),100))),"弱気div▼","－")))</f>
      </c>
      <c r="T54" s="681">
        <f>IF($D54="","",IF($D54&gt;=$H54,"上walk▲",IF($D54&lt;=$I54,"下walk▼","－")))</f>
      </c>
      <c r="U54" s="681">
        <f>IF(終値!A54="","",BB_スイング!BT54)</f>
      </c>
      <c r="V54" s="689">
        <f>IF($D54="","",IFERROR(出来高!E54/AVERAGE(出来高!E54:I54),""))</f>
      </c>
      <c r="W54" s="690">
        <f>IF($D54="","",IF(AND($D54&gt;$G54,$O54="拡大↑",$L54&lt;=$M54*1.8),"◎スクイーズブレイク買",IF(AND($D54&gt;=$H54,$R54&gt;=BB設定!$B$10),"○順張り継続(walk)",IF(AND($S54="強気div▲",$D54&gt;$I54),"○反発(ダイバ)買",IF($U54="二番底W▲","△二番底買(確)",IF($U54="二番底W形成","△二番底形成",IF($D54&lt;$J54,"▼-2σ割れ危険",IF(AND($D54&gt;$E54,$K54&lt;0.6,$R54&gt;=50),"・押し目注目",IF($N54="スクイーズ★","☆スクイーズ監視","様子見")))))))))</f>
      </c>
      <c r="X54" s="685">
        <f>IF($D54="","",MIN(100,IF($L54&lt;=$M54*1.15,20,IF($L54&lt;=$M54*1.4,10,0))+IF($D54&gt;$G54,20,IF($D54&gt;$H54,12,IF($D54&gt;$E54,5,0)))+IF($O54="拡大↑",10,0)+IF($R54&gt;=80,15,IF($R54&gt;=60,10,IF($R54&gt;=50,5,0)))+IF(AND($Q54&gt;=50,$Q54&lt;=70),10,IF($Q54&gt;70,3,IF($Q54&gt;=40,5,0)))+IF($S54="強気div▲",15,0)+IF($T54="上walk▲",5,0)+IF($V54&gt;=2,5,IF($V54&gt;=1.5,3,0))))</f>
      </c>
      <c r="Y54" s="682">
        <f>IF($D54="","",$D54)</f>
      </c>
      <c r="Z54" s="682">
        <f>IF($D54="","",$H54)</f>
      </c>
      <c r="AA54" s="682">
        <f>IF($D54="","",IF($D54&gt;$E54,$E54,$AD54))</f>
      </c>
      <c r="AB54" s="682">
        <f>IF($D54="","",$G54)</f>
      </c>
      <c r="AC54" s="688">
        <f>IF($D54="","",IF(($Y54-$AA54)&lt;=0,"－",IFERROR(ROUND(MIN(20,($AB54-$Y54)/($Y54-$AA54)),2),"－")))</f>
      </c>
      <c r="AD54" s="682">
        <f>IF($D54="","",MIN(終値!E54:I54))</f>
      </c>
      <c r="AE54" s="684">
        <f>IF($D54="","",$X54+(10000-ROW())/100000)</f>
      </c>
    </row>
    <row r="55">
      <c r="A55" s="681">
        <f>IF(終値!A55="","",HYPERLINK("https://kabutan.jp/stock/?code="&amp;終値!A55,"📈"))</f>
      </c>
      <c r="B55" s="681">
        <f>IF(終値!A55="","",終値!A55)</f>
      </c>
      <c r="C55" s="680">
        <f>IF(終値!A55="","",終値!B55)</f>
      </c>
      <c r="D55" s="682">
        <f>IF(終値!A55="","",終値!E55)</f>
      </c>
      <c r="E55" s="682">
        <f>IF($D55="","",AVERAGE(終値!E55:X55))</f>
      </c>
      <c r="F55" s="683">
        <f>IF($D55="","",STDEVP(終値!E55:X55))</f>
      </c>
      <c r="G55" s="682">
        <f>IF($D55="","",$E55+BB設定!$B$4*$F55)</f>
      </c>
      <c r="H55" s="682">
        <f>IF($D55="","",$E55+BB設定!$B$5*$F55)</f>
      </c>
      <c r="I55" s="682">
        <f>IF($D55="","",$E55-BB設定!$B$5*$F55)</f>
      </c>
      <c r="J55" s="682">
        <f>IF($D55="","",$E55-BB設定!$B$4*$F55)</f>
      </c>
      <c r="K55" s="687">
        <f>IF($D55="","",IFERROR(($D55-$J55)/($G55-$J55),""))</f>
      </c>
      <c r="L55" s="686">
        <f>IF($D55="","",IFERROR(($G55-$J55)/$E55*100,""))</f>
      </c>
      <c r="M55" s="686">
        <f>IF($D55="","",IFERROR(MIN(BB_帯幅!B55:AP55)*100,""))</f>
      </c>
      <c r="N55" s="681">
        <f>IF($L55="","",IF($L55&lt;=$M55*BB設定!$B$7,"スクイーズ★",IF($L55&lt;=$M55*1.3,"収縮","－")))</f>
      </c>
      <c r="O55" s="681">
        <f>IF($D55="","",IF($L55&gt;(4*STDEVP(終値!F55:Y55)/AVERAGE(終値!F55:Y55)*100),"拡大↑","縮小↓"))</f>
      </c>
      <c r="P55" s="681">
        <f>IF($D55="","",IF($D55&gt;$G55,"↑+2σ突破",IF($D55&lt;$J55,"↓-2σ割れ",IF($D55&gt;$H55,"+1σ上",IF($D55&lt;$I55,"-1σ下","バンド内")))))</f>
      </c>
      <c r="Q55" s="684">
        <f>IF($D55="","",IFERROR(100-100/(1+SUMPRODUCT((終値!E55:R55&gt;終値!F55:S55)*(終値!E55:R55-終値!F55:S55))/SUMPRODUCT((終値!E55:R55&lt;終値!F55:S55)*(終値!F55:S55-終値!E55:R55))),100))</f>
      </c>
      <c r="R55" s="684">
        <f>IF($D55="","",IFERROR(100-100/(1+SUMPRODUCT((((高値!E55:R55+安値!E55:R55+終値!E55:R55)/3)&gt;((高値!F55:S55+安値!F55:S55+終値!F55:S55)/3))*((高値!E55:R55+安値!E55:R55+終値!E55:R55)/3)*出来高!E55:R55)/SUMPRODUCT((((高値!E55:R55+安値!E55:R55+終値!E55:R55)/3)&lt;((高値!F55:S55+安値!F55:S55+終値!F55:S55)/3))*((高値!E55:R55+安値!E55:R55+終値!E55:R55)/3)*出来高!E55:R55)),50))</f>
      </c>
      <c r="S55" s="681">
        <f>IF($D55="","",IF(AND(終値!E55&lt;終値!O55,$Q55&gt;(IFERROR(100-100/(1+SUMPRODUCT((終値!O55:AB55&gt;終値!P55:AC55)*(終値!O55:AB55-終値!P55:AC55))/SUMPRODUCT((終値!O55:AB55&lt;終値!P55:AC55)*(終値!P55:AC55-終値!O55:AB55))),100))),"強気div▲",IF(AND(終値!E55&gt;終値!O55,$Q55&lt;(IFERROR(100-100/(1+SUMPRODUCT((終値!O55:AB55&gt;終値!P55:AC55)*(終値!O55:AB55-終値!P55:AC55))/SUMPRODUCT((終値!O55:AB55&lt;終値!P55:AC55)*(終値!P55:AC55-終値!O55:AB55))),100))),"弱気div▼","－")))</f>
      </c>
      <c r="T55" s="681">
        <f>IF($D55="","",IF($D55&gt;=$H55,"上walk▲",IF($D55&lt;=$I55,"下walk▼","－")))</f>
      </c>
      <c r="U55" s="681">
        <f>IF(終値!A55="","",BB_スイング!BT55)</f>
      </c>
      <c r="V55" s="689">
        <f>IF($D55="","",IFERROR(出来高!E55/AVERAGE(出来高!E55:I55),""))</f>
      </c>
      <c r="W55" s="690">
        <f>IF($D55="","",IF(AND($D55&gt;$G55,$O55="拡大↑",$L55&lt;=$M55*1.8),"◎スクイーズブレイク買",IF(AND($D55&gt;=$H55,$R55&gt;=BB設定!$B$10),"○順張り継続(walk)",IF(AND($S55="強気div▲",$D55&gt;$I55),"○反発(ダイバ)買",IF($U55="二番底W▲","△二番底買(確)",IF($U55="二番底W形成","△二番底形成",IF($D55&lt;$J55,"▼-2σ割れ危険",IF(AND($D55&gt;$E55,$K55&lt;0.6,$R55&gt;=50),"・押し目注目",IF($N55="スクイーズ★","☆スクイーズ監視","様子見")))))))))</f>
      </c>
      <c r="X55" s="685">
        <f>IF($D55="","",MIN(100,IF($L55&lt;=$M55*1.15,20,IF($L55&lt;=$M55*1.4,10,0))+IF($D55&gt;$G55,20,IF($D55&gt;$H55,12,IF($D55&gt;$E55,5,0)))+IF($O55="拡大↑",10,0)+IF($R55&gt;=80,15,IF($R55&gt;=60,10,IF($R55&gt;=50,5,0)))+IF(AND($Q55&gt;=50,$Q55&lt;=70),10,IF($Q55&gt;70,3,IF($Q55&gt;=40,5,0)))+IF($S55="強気div▲",15,0)+IF($T55="上walk▲",5,0)+IF($V55&gt;=2,5,IF($V55&gt;=1.5,3,0))))</f>
      </c>
      <c r="Y55" s="682">
        <f>IF($D55="","",$D55)</f>
      </c>
      <c r="Z55" s="682">
        <f>IF($D55="","",$H55)</f>
      </c>
      <c r="AA55" s="682">
        <f>IF($D55="","",IF($D55&gt;$E55,$E55,$AD55))</f>
      </c>
      <c r="AB55" s="682">
        <f>IF($D55="","",$G55)</f>
      </c>
      <c r="AC55" s="688">
        <f>IF($D55="","",IF(($Y55-$AA55)&lt;=0,"－",IFERROR(ROUND(MIN(20,($AB55-$Y55)/($Y55-$AA55)),2),"－")))</f>
      </c>
      <c r="AD55" s="682">
        <f>IF($D55="","",MIN(終値!E55:I55))</f>
      </c>
      <c r="AE55" s="684">
        <f>IF($D55="","",$X55+(10000-ROW())/100000)</f>
      </c>
    </row>
    <row r="56">
      <c r="A56" s="681">
        <f>IF(終値!A56="","",HYPERLINK("https://kabutan.jp/stock/?code="&amp;終値!A56,"📈"))</f>
      </c>
      <c r="B56" s="681">
        <f>IF(終値!A56="","",終値!A56)</f>
      </c>
      <c r="C56" s="680">
        <f>IF(終値!A56="","",終値!B56)</f>
      </c>
      <c r="D56" s="682">
        <f>IF(終値!A56="","",終値!E56)</f>
      </c>
      <c r="E56" s="682">
        <f>IF($D56="","",AVERAGE(終値!E56:X56))</f>
      </c>
      <c r="F56" s="683">
        <f>IF($D56="","",STDEVP(終値!E56:X56))</f>
      </c>
      <c r="G56" s="682">
        <f>IF($D56="","",$E56+BB設定!$B$4*$F56)</f>
      </c>
      <c r="H56" s="682">
        <f>IF($D56="","",$E56+BB設定!$B$5*$F56)</f>
      </c>
      <c r="I56" s="682">
        <f>IF($D56="","",$E56-BB設定!$B$5*$F56)</f>
      </c>
      <c r="J56" s="682">
        <f>IF($D56="","",$E56-BB設定!$B$4*$F56)</f>
      </c>
      <c r="K56" s="687">
        <f>IF($D56="","",IFERROR(($D56-$J56)/($G56-$J56),""))</f>
      </c>
      <c r="L56" s="686">
        <f>IF($D56="","",IFERROR(($G56-$J56)/$E56*100,""))</f>
      </c>
      <c r="M56" s="686">
        <f>IF($D56="","",IFERROR(MIN(BB_帯幅!B56:AP56)*100,""))</f>
      </c>
      <c r="N56" s="681">
        <f>IF($L56="","",IF($L56&lt;=$M56*BB設定!$B$7,"スクイーズ★",IF($L56&lt;=$M56*1.3,"収縮","－")))</f>
      </c>
      <c r="O56" s="681">
        <f>IF($D56="","",IF($L56&gt;(4*STDEVP(終値!F56:Y56)/AVERAGE(終値!F56:Y56)*100),"拡大↑","縮小↓"))</f>
      </c>
      <c r="P56" s="681">
        <f>IF($D56="","",IF($D56&gt;$G56,"↑+2σ突破",IF($D56&lt;$J56,"↓-2σ割れ",IF($D56&gt;$H56,"+1σ上",IF($D56&lt;$I56,"-1σ下","バンド内")))))</f>
      </c>
      <c r="Q56" s="684">
        <f>IF($D56="","",IFERROR(100-100/(1+SUMPRODUCT((終値!E56:R56&gt;終値!F56:S56)*(終値!E56:R56-終値!F56:S56))/SUMPRODUCT((終値!E56:R56&lt;終値!F56:S56)*(終値!F56:S56-終値!E56:R56))),100))</f>
      </c>
      <c r="R56" s="684">
        <f>IF($D56="","",IFERROR(100-100/(1+SUMPRODUCT((((高値!E56:R56+安値!E56:R56+終値!E56:R56)/3)&gt;((高値!F56:S56+安値!F56:S56+終値!F56:S56)/3))*((高値!E56:R56+安値!E56:R56+終値!E56:R56)/3)*出来高!E56:R56)/SUMPRODUCT((((高値!E56:R56+安値!E56:R56+終値!E56:R56)/3)&lt;((高値!F56:S56+安値!F56:S56+終値!F56:S56)/3))*((高値!E56:R56+安値!E56:R56+終値!E56:R56)/3)*出来高!E56:R56)),50))</f>
      </c>
      <c r="S56" s="681">
        <f>IF($D56="","",IF(AND(終値!E56&lt;終値!O56,$Q56&gt;(IFERROR(100-100/(1+SUMPRODUCT((終値!O56:AB56&gt;終値!P56:AC56)*(終値!O56:AB56-終値!P56:AC56))/SUMPRODUCT((終値!O56:AB56&lt;終値!P56:AC56)*(終値!P56:AC56-終値!O56:AB56))),100))),"強気div▲",IF(AND(終値!E56&gt;終値!O56,$Q56&lt;(IFERROR(100-100/(1+SUMPRODUCT((終値!O56:AB56&gt;終値!P56:AC56)*(終値!O56:AB56-終値!P56:AC56))/SUMPRODUCT((終値!O56:AB56&lt;終値!P56:AC56)*(終値!P56:AC56-終値!O56:AB56))),100))),"弱気div▼","－")))</f>
      </c>
      <c r="T56" s="681">
        <f>IF($D56="","",IF($D56&gt;=$H56,"上walk▲",IF($D56&lt;=$I56,"下walk▼","－")))</f>
      </c>
      <c r="U56" s="681">
        <f>IF(終値!A56="","",BB_スイング!BT56)</f>
      </c>
      <c r="V56" s="689">
        <f>IF($D56="","",IFERROR(出来高!E56/AVERAGE(出来高!E56:I56),""))</f>
      </c>
      <c r="W56" s="690">
        <f>IF($D56="","",IF(AND($D56&gt;$G56,$O56="拡大↑",$L56&lt;=$M56*1.8),"◎スクイーズブレイク買",IF(AND($D56&gt;=$H56,$R56&gt;=BB設定!$B$10),"○順張り継続(walk)",IF(AND($S56="強気div▲",$D56&gt;$I56),"○反発(ダイバ)買",IF($U56="二番底W▲","△二番底買(確)",IF($U56="二番底W形成","△二番底形成",IF($D56&lt;$J56,"▼-2σ割れ危険",IF(AND($D56&gt;$E56,$K56&lt;0.6,$R56&gt;=50),"・押し目注目",IF($N56="スクイーズ★","☆スクイーズ監視","様子見")))))))))</f>
      </c>
      <c r="X56" s="685">
        <f>IF($D56="","",MIN(100,IF($L56&lt;=$M56*1.15,20,IF($L56&lt;=$M56*1.4,10,0))+IF($D56&gt;$G56,20,IF($D56&gt;$H56,12,IF($D56&gt;$E56,5,0)))+IF($O56="拡大↑",10,0)+IF($R56&gt;=80,15,IF($R56&gt;=60,10,IF($R56&gt;=50,5,0)))+IF(AND($Q56&gt;=50,$Q56&lt;=70),10,IF($Q56&gt;70,3,IF($Q56&gt;=40,5,0)))+IF($S56="強気div▲",15,0)+IF($T56="上walk▲",5,0)+IF($V56&gt;=2,5,IF($V56&gt;=1.5,3,0))))</f>
      </c>
      <c r="Y56" s="682">
        <f>IF($D56="","",$D56)</f>
      </c>
      <c r="Z56" s="682">
        <f>IF($D56="","",$H56)</f>
      </c>
      <c r="AA56" s="682">
        <f>IF($D56="","",IF($D56&gt;$E56,$E56,$AD56))</f>
      </c>
      <c r="AB56" s="682">
        <f>IF($D56="","",$G56)</f>
      </c>
      <c r="AC56" s="688">
        <f>IF($D56="","",IF(($Y56-$AA56)&lt;=0,"－",IFERROR(ROUND(MIN(20,($AB56-$Y56)/($Y56-$AA56)),2),"－")))</f>
      </c>
      <c r="AD56" s="682">
        <f>IF($D56="","",MIN(終値!E56:I56))</f>
      </c>
      <c r="AE56" s="684">
        <f>IF($D56="","",$X56+(10000-ROW())/100000)</f>
      </c>
    </row>
    <row r="57">
      <c r="A57" s="681">
        <f>IF(終値!A57="","",HYPERLINK("https://kabutan.jp/stock/?code="&amp;終値!A57,"📈"))</f>
      </c>
      <c r="B57" s="681">
        <f>IF(終値!A57="","",終値!A57)</f>
      </c>
      <c r="C57" s="680">
        <f>IF(終値!A57="","",終値!B57)</f>
      </c>
      <c r="D57" s="682">
        <f>IF(終値!A57="","",終値!E57)</f>
      </c>
      <c r="E57" s="682">
        <f>IF($D57="","",AVERAGE(終値!E57:X57))</f>
      </c>
      <c r="F57" s="683">
        <f>IF($D57="","",STDEVP(終値!E57:X57))</f>
      </c>
      <c r="G57" s="682">
        <f>IF($D57="","",$E57+BB設定!$B$4*$F57)</f>
      </c>
      <c r="H57" s="682">
        <f>IF($D57="","",$E57+BB設定!$B$5*$F57)</f>
      </c>
      <c r="I57" s="682">
        <f>IF($D57="","",$E57-BB設定!$B$5*$F57)</f>
      </c>
      <c r="J57" s="682">
        <f>IF($D57="","",$E57-BB設定!$B$4*$F57)</f>
      </c>
      <c r="K57" s="687">
        <f>IF($D57="","",IFERROR(($D57-$J57)/($G57-$J57),""))</f>
      </c>
      <c r="L57" s="686">
        <f>IF($D57="","",IFERROR(($G57-$J57)/$E57*100,""))</f>
      </c>
      <c r="M57" s="686">
        <f>IF($D57="","",IFERROR(MIN(BB_帯幅!B57:AP57)*100,""))</f>
      </c>
      <c r="N57" s="681">
        <f>IF($L57="","",IF($L57&lt;=$M57*BB設定!$B$7,"スクイーズ★",IF($L57&lt;=$M57*1.3,"収縮","－")))</f>
      </c>
      <c r="O57" s="681">
        <f>IF($D57="","",IF($L57&gt;(4*STDEVP(終値!F57:Y57)/AVERAGE(終値!F57:Y57)*100),"拡大↑","縮小↓"))</f>
      </c>
      <c r="P57" s="681">
        <f>IF($D57="","",IF($D57&gt;$G57,"↑+2σ突破",IF($D57&lt;$J57,"↓-2σ割れ",IF($D57&gt;$H57,"+1σ上",IF($D57&lt;$I57,"-1σ下","バンド内")))))</f>
      </c>
      <c r="Q57" s="684">
        <f>IF($D57="","",IFERROR(100-100/(1+SUMPRODUCT((終値!E57:R57&gt;終値!F57:S57)*(終値!E57:R57-終値!F57:S57))/SUMPRODUCT((終値!E57:R57&lt;終値!F57:S57)*(終値!F57:S57-終値!E57:R57))),100))</f>
      </c>
      <c r="R57" s="684">
        <f>IF($D57="","",IFERROR(100-100/(1+SUMPRODUCT((((高値!E57:R57+安値!E57:R57+終値!E57:R57)/3)&gt;((高値!F57:S57+安値!F57:S57+終値!F57:S57)/3))*((高値!E57:R57+安値!E57:R57+終値!E57:R57)/3)*出来高!E57:R57)/SUMPRODUCT((((高値!E57:R57+安値!E57:R57+終値!E57:R57)/3)&lt;((高値!F57:S57+安値!F57:S57+終値!F57:S57)/3))*((高値!E57:R57+安値!E57:R57+終値!E57:R57)/3)*出来高!E57:R57)),50))</f>
      </c>
      <c r="S57" s="681">
        <f>IF($D57="","",IF(AND(終値!E57&lt;終値!O57,$Q57&gt;(IFERROR(100-100/(1+SUMPRODUCT((終値!O57:AB57&gt;終値!P57:AC57)*(終値!O57:AB57-終値!P57:AC57))/SUMPRODUCT((終値!O57:AB57&lt;終値!P57:AC57)*(終値!P57:AC57-終値!O57:AB57))),100))),"強気div▲",IF(AND(終値!E57&gt;終値!O57,$Q57&lt;(IFERROR(100-100/(1+SUMPRODUCT((終値!O57:AB57&gt;終値!P57:AC57)*(終値!O57:AB57-終値!P57:AC57))/SUMPRODUCT((終値!O57:AB57&lt;終値!P57:AC57)*(終値!P57:AC57-終値!O57:AB57))),100))),"弱気div▼","－")))</f>
      </c>
      <c r="T57" s="681">
        <f>IF($D57="","",IF($D57&gt;=$H57,"上walk▲",IF($D57&lt;=$I57,"下walk▼","－")))</f>
      </c>
      <c r="U57" s="681">
        <f>IF(終値!A57="","",BB_スイング!BT57)</f>
      </c>
      <c r="V57" s="689">
        <f>IF($D57="","",IFERROR(出来高!E57/AVERAGE(出来高!E57:I57),""))</f>
      </c>
      <c r="W57" s="690">
        <f>IF($D57="","",IF(AND($D57&gt;$G57,$O57="拡大↑",$L57&lt;=$M57*1.8),"◎スクイーズブレイク買",IF(AND($D57&gt;=$H57,$R57&gt;=BB設定!$B$10),"○順張り継続(walk)",IF(AND($S57="強気div▲",$D57&gt;$I57),"○反発(ダイバ)買",IF($U57="二番底W▲","△二番底買(確)",IF($U57="二番底W形成","△二番底形成",IF($D57&lt;$J57,"▼-2σ割れ危険",IF(AND($D57&gt;$E57,$K57&lt;0.6,$R57&gt;=50),"・押し目注目",IF($N57="スクイーズ★","☆スクイーズ監視","様子見")))))))))</f>
      </c>
      <c r="X57" s="685">
        <f>IF($D57="","",MIN(100,IF($L57&lt;=$M57*1.15,20,IF($L57&lt;=$M57*1.4,10,0))+IF($D57&gt;$G57,20,IF($D57&gt;$H57,12,IF($D57&gt;$E57,5,0)))+IF($O57="拡大↑",10,0)+IF($R57&gt;=80,15,IF($R57&gt;=60,10,IF($R57&gt;=50,5,0)))+IF(AND($Q57&gt;=50,$Q57&lt;=70),10,IF($Q57&gt;70,3,IF($Q57&gt;=40,5,0)))+IF($S57="強気div▲",15,0)+IF($T57="上walk▲",5,0)+IF($V57&gt;=2,5,IF($V57&gt;=1.5,3,0))))</f>
      </c>
      <c r="Y57" s="682">
        <f>IF($D57="","",$D57)</f>
      </c>
      <c r="Z57" s="682">
        <f>IF($D57="","",$H57)</f>
      </c>
      <c r="AA57" s="682">
        <f>IF($D57="","",IF($D57&gt;$E57,$E57,$AD57))</f>
      </c>
      <c r="AB57" s="682">
        <f>IF($D57="","",$G57)</f>
      </c>
      <c r="AC57" s="688">
        <f>IF($D57="","",IF(($Y57-$AA57)&lt;=0,"－",IFERROR(ROUND(MIN(20,($AB57-$Y57)/($Y57-$AA57)),2),"－")))</f>
      </c>
      <c r="AD57" s="682">
        <f>IF($D57="","",MIN(終値!E57:I57))</f>
      </c>
      <c r="AE57" s="684">
        <f>IF($D57="","",$X57+(10000-ROW())/100000)</f>
      </c>
    </row>
    <row r="58">
      <c r="A58" s="681">
        <f>IF(終値!A58="","",HYPERLINK("https://kabutan.jp/stock/?code="&amp;終値!A58,"📈"))</f>
      </c>
      <c r="B58" s="681">
        <f>IF(終値!A58="","",終値!A58)</f>
      </c>
      <c r="C58" s="680">
        <f>IF(終値!A58="","",終値!B58)</f>
      </c>
      <c r="D58" s="682">
        <f>IF(終値!A58="","",終値!E58)</f>
      </c>
      <c r="E58" s="682">
        <f>IF($D58="","",AVERAGE(終値!E58:X58))</f>
      </c>
      <c r="F58" s="683">
        <f>IF($D58="","",STDEVP(終値!E58:X58))</f>
      </c>
      <c r="G58" s="682">
        <f>IF($D58="","",$E58+BB設定!$B$4*$F58)</f>
      </c>
      <c r="H58" s="682">
        <f>IF($D58="","",$E58+BB設定!$B$5*$F58)</f>
      </c>
      <c r="I58" s="682">
        <f>IF($D58="","",$E58-BB設定!$B$5*$F58)</f>
      </c>
      <c r="J58" s="682">
        <f>IF($D58="","",$E58-BB設定!$B$4*$F58)</f>
      </c>
      <c r="K58" s="687">
        <f>IF($D58="","",IFERROR(($D58-$J58)/($G58-$J58),""))</f>
      </c>
      <c r="L58" s="686">
        <f>IF($D58="","",IFERROR(($G58-$J58)/$E58*100,""))</f>
      </c>
      <c r="M58" s="686">
        <f>IF($D58="","",IFERROR(MIN(BB_帯幅!B58:AP58)*100,""))</f>
      </c>
      <c r="N58" s="681">
        <f>IF($L58="","",IF($L58&lt;=$M58*BB設定!$B$7,"スクイーズ★",IF($L58&lt;=$M58*1.3,"収縮","－")))</f>
      </c>
      <c r="O58" s="681">
        <f>IF($D58="","",IF($L58&gt;(4*STDEVP(終値!F58:Y58)/AVERAGE(終値!F58:Y58)*100),"拡大↑","縮小↓"))</f>
      </c>
      <c r="P58" s="681">
        <f>IF($D58="","",IF($D58&gt;$G58,"↑+2σ突破",IF($D58&lt;$J58,"↓-2σ割れ",IF($D58&gt;$H58,"+1σ上",IF($D58&lt;$I58,"-1σ下","バンド内")))))</f>
      </c>
      <c r="Q58" s="684">
        <f>IF($D58="","",IFERROR(100-100/(1+SUMPRODUCT((終値!E58:R58&gt;終値!F58:S58)*(終値!E58:R58-終値!F58:S58))/SUMPRODUCT((終値!E58:R58&lt;終値!F58:S58)*(終値!F58:S58-終値!E58:R58))),100))</f>
      </c>
      <c r="R58" s="684">
        <f>IF($D58="","",IFERROR(100-100/(1+SUMPRODUCT((((高値!E58:R58+安値!E58:R58+終値!E58:R58)/3)&gt;((高値!F58:S58+安値!F58:S58+終値!F58:S58)/3))*((高値!E58:R58+安値!E58:R58+終値!E58:R58)/3)*出来高!E58:R58)/SUMPRODUCT((((高値!E58:R58+安値!E58:R58+終値!E58:R58)/3)&lt;((高値!F58:S58+安値!F58:S58+終値!F58:S58)/3))*((高値!E58:R58+安値!E58:R58+終値!E58:R58)/3)*出来高!E58:R58)),50))</f>
      </c>
      <c r="S58" s="681">
        <f>IF($D58="","",IF(AND(終値!E58&lt;終値!O58,$Q58&gt;(IFERROR(100-100/(1+SUMPRODUCT((終値!O58:AB58&gt;終値!P58:AC58)*(終値!O58:AB58-終値!P58:AC58))/SUMPRODUCT((終値!O58:AB58&lt;終値!P58:AC58)*(終値!P58:AC58-終値!O58:AB58))),100))),"強気div▲",IF(AND(終値!E58&gt;終値!O58,$Q58&lt;(IFERROR(100-100/(1+SUMPRODUCT((終値!O58:AB58&gt;終値!P58:AC58)*(終値!O58:AB58-終値!P58:AC58))/SUMPRODUCT((終値!O58:AB58&lt;終値!P58:AC58)*(終値!P58:AC58-終値!O58:AB58))),100))),"弱気div▼","－")))</f>
      </c>
      <c r="T58" s="681">
        <f>IF($D58="","",IF($D58&gt;=$H58,"上walk▲",IF($D58&lt;=$I58,"下walk▼","－")))</f>
      </c>
      <c r="U58" s="681">
        <f>IF(終値!A58="","",BB_スイング!BT58)</f>
      </c>
      <c r="V58" s="689">
        <f>IF($D58="","",IFERROR(出来高!E58/AVERAGE(出来高!E58:I58),""))</f>
      </c>
      <c r="W58" s="690">
        <f>IF($D58="","",IF(AND($D58&gt;$G58,$O58="拡大↑",$L58&lt;=$M58*1.8),"◎スクイーズブレイク買",IF(AND($D58&gt;=$H58,$R58&gt;=BB設定!$B$10),"○順張り継続(walk)",IF(AND($S58="強気div▲",$D58&gt;$I58),"○反発(ダイバ)買",IF($U58="二番底W▲","△二番底買(確)",IF($U58="二番底W形成","△二番底形成",IF($D58&lt;$J58,"▼-2σ割れ危険",IF(AND($D58&gt;$E58,$K58&lt;0.6,$R58&gt;=50),"・押し目注目",IF($N58="スクイーズ★","☆スクイーズ監視","様子見")))))))))</f>
      </c>
      <c r="X58" s="685">
        <f>IF($D58="","",MIN(100,IF($L58&lt;=$M58*1.15,20,IF($L58&lt;=$M58*1.4,10,0))+IF($D58&gt;$G58,20,IF($D58&gt;$H58,12,IF($D58&gt;$E58,5,0)))+IF($O58="拡大↑",10,0)+IF($R58&gt;=80,15,IF($R58&gt;=60,10,IF($R58&gt;=50,5,0)))+IF(AND($Q58&gt;=50,$Q58&lt;=70),10,IF($Q58&gt;70,3,IF($Q58&gt;=40,5,0)))+IF($S58="強気div▲",15,0)+IF($T58="上walk▲",5,0)+IF($V58&gt;=2,5,IF($V58&gt;=1.5,3,0))))</f>
      </c>
      <c r="Y58" s="682">
        <f>IF($D58="","",$D58)</f>
      </c>
      <c r="Z58" s="682">
        <f>IF($D58="","",$H58)</f>
      </c>
      <c r="AA58" s="682">
        <f>IF($D58="","",IF($D58&gt;$E58,$E58,$AD58))</f>
      </c>
      <c r="AB58" s="682">
        <f>IF($D58="","",$G58)</f>
      </c>
      <c r="AC58" s="688">
        <f>IF($D58="","",IF(($Y58-$AA58)&lt;=0,"－",IFERROR(ROUND(MIN(20,($AB58-$Y58)/($Y58-$AA58)),2),"－")))</f>
      </c>
      <c r="AD58" s="682">
        <f>IF($D58="","",MIN(終値!E58:I58))</f>
      </c>
      <c r="AE58" s="684">
        <f>IF($D58="","",$X58+(10000-ROW())/100000)</f>
      </c>
    </row>
    <row r="59">
      <c r="A59" s="681">
        <f>IF(終値!A59="","",HYPERLINK("https://kabutan.jp/stock/?code="&amp;終値!A59,"📈"))</f>
      </c>
      <c r="B59" s="681">
        <f>IF(終値!A59="","",終値!A59)</f>
      </c>
      <c r="C59" s="680">
        <f>IF(終値!A59="","",終値!B59)</f>
      </c>
      <c r="D59" s="682">
        <f>IF(終値!A59="","",終値!E59)</f>
      </c>
      <c r="E59" s="682">
        <f>IF($D59="","",AVERAGE(終値!E59:X59))</f>
      </c>
      <c r="F59" s="683">
        <f>IF($D59="","",STDEVP(終値!E59:X59))</f>
      </c>
      <c r="G59" s="682">
        <f>IF($D59="","",$E59+BB設定!$B$4*$F59)</f>
      </c>
      <c r="H59" s="682">
        <f>IF($D59="","",$E59+BB設定!$B$5*$F59)</f>
      </c>
      <c r="I59" s="682">
        <f>IF($D59="","",$E59-BB設定!$B$5*$F59)</f>
      </c>
      <c r="J59" s="682">
        <f>IF($D59="","",$E59-BB設定!$B$4*$F59)</f>
      </c>
      <c r="K59" s="687">
        <f>IF($D59="","",IFERROR(($D59-$J59)/($G59-$J59),""))</f>
      </c>
      <c r="L59" s="686">
        <f>IF($D59="","",IFERROR(($G59-$J59)/$E59*100,""))</f>
      </c>
      <c r="M59" s="686">
        <f>IF($D59="","",IFERROR(MIN(BB_帯幅!B59:AP59)*100,""))</f>
      </c>
      <c r="N59" s="681">
        <f>IF($L59="","",IF($L59&lt;=$M59*BB設定!$B$7,"スクイーズ★",IF($L59&lt;=$M59*1.3,"収縮","－")))</f>
      </c>
      <c r="O59" s="681">
        <f>IF($D59="","",IF($L59&gt;(4*STDEVP(終値!F59:Y59)/AVERAGE(終値!F59:Y59)*100),"拡大↑","縮小↓"))</f>
      </c>
      <c r="P59" s="681">
        <f>IF($D59="","",IF($D59&gt;$G59,"↑+2σ突破",IF($D59&lt;$J59,"↓-2σ割れ",IF($D59&gt;$H59,"+1σ上",IF($D59&lt;$I59,"-1σ下","バンド内")))))</f>
      </c>
      <c r="Q59" s="684">
        <f>IF($D59="","",IFERROR(100-100/(1+SUMPRODUCT((終値!E59:R59&gt;終値!F59:S59)*(終値!E59:R59-終値!F59:S59))/SUMPRODUCT((終値!E59:R59&lt;終値!F59:S59)*(終値!F59:S59-終値!E59:R59))),100))</f>
      </c>
      <c r="R59" s="684">
        <f>IF($D59="","",IFERROR(100-100/(1+SUMPRODUCT((((高値!E59:R59+安値!E59:R59+終値!E59:R59)/3)&gt;((高値!F59:S59+安値!F59:S59+終値!F59:S59)/3))*((高値!E59:R59+安値!E59:R59+終値!E59:R59)/3)*出来高!E59:R59)/SUMPRODUCT((((高値!E59:R59+安値!E59:R59+終値!E59:R59)/3)&lt;((高値!F59:S59+安値!F59:S59+終値!F59:S59)/3))*((高値!E59:R59+安値!E59:R59+終値!E59:R59)/3)*出来高!E59:R59)),50))</f>
      </c>
      <c r="S59" s="681">
        <f>IF($D59="","",IF(AND(終値!E59&lt;終値!O59,$Q59&gt;(IFERROR(100-100/(1+SUMPRODUCT((終値!O59:AB59&gt;終値!P59:AC59)*(終値!O59:AB59-終値!P59:AC59))/SUMPRODUCT((終値!O59:AB59&lt;終値!P59:AC59)*(終値!P59:AC59-終値!O59:AB59))),100))),"強気div▲",IF(AND(終値!E59&gt;終値!O59,$Q59&lt;(IFERROR(100-100/(1+SUMPRODUCT((終値!O59:AB59&gt;終値!P59:AC59)*(終値!O59:AB59-終値!P59:AC59))/SUMPRODUCT((終値!O59:AB59&lt;終値!P59:AC59)*(終値!P59:AC59-終値!O59:AB59))),100))),"弱気div▼","－")))</f>
      </c>
      <c r="T59" s="681">
        <f>IF($D59="","",IF($D59&gt;=$H59,"上walk▲",IF($D59&lt;=$I59,"下walk▼","－")))</f>
      </c>
      <c r="U59" s="681">
        <f>IF(終値!A59="","",BB_スイング!BT59)</f>
      </c>
      <c r="V59" s="689">
        <f>IF($D59="","",IFERROR(出来高!E59/AVERAGE(出来高!E59:I59),""))</f>
      </c>
      <c r="W59" s="690">
        <f>IF($D59="","",IF(AND($D59&gt;$G59,$O59="拡大↑",$L59&lt;=$M59*1.8),"◎スクイーズブレイク買",IF(AND($D59&gt;=$H59,$R59&gt;=BB設定!$B$10),"○順張り継続(walk)",IF(AND($S59="強気div▲",$D59&gt;$I59),"○反発(ダイバ)買",IF($U59="二番底W▲","△二番底買(確)",IF($U59="二番底W形成","△二番底形成",IF($D59&lt;$J59,"▼-2σ割れ危険",IF(AND($D59&gt;$E59,$K59&lt;0.6,$R59&gt;=50),"・押し目注目",IF($N59="スクイーズ★","☆スクイーズ監視","様子見")))))))))</f>
      </c>
      <c r="X59" s="685">
        <f>IF($D59="","",MIN(100,IF($L59&lt;=$M59*1.15,20,IF($L59&lt;=$M59*1.4,10,0))+IF($D59&gt;$G59,20,IF($D59&gt;$H59,12,IF($D59&gt;$E59,5,0)))+IF($O59="拡大↑",10,0)+IF($R59&gt;=80,15,IF($R59&gt;=60,10,IF($R59&gt;=50,5,0)))+IF(AND($Q59&gt;=50,$Q59&lt;=70),10,IF($Q59&gt;70,3,IF($Q59&gt;=40,5,0)))+IF($S59="強気div▲",15,0)+IF($T59="上walk▲",5,0)+IF($V59&gt;=2,5,IF($V59&gt;=1.5,3,0))))</f>
      </c>
      <c r="Y59" s="682">
        <f>IF($D59="","",$D59)</f>
      </c>
      <c r="Z59" s="682">
        <f>IF($D59="","",$H59)</f>
      </c>
      <c r="AA59" s="682">
        <f>IF($D59="","",IF($D59&gt;$E59,$E59,$AD59))</f>
      </c>
      <c r="AB59" s="682">
        <f>IF($D59="","",$G59)</f>
      </c>
      <c r="AC59" s="688">
        <f>IF($D59="","",IF(($Y59-$AA59)&lt;=0,"－",IFERROR(ROUND(MIN(20,($AB59-$Y59)/($Y59-$AA59)),2),"－")))</f>
      </c>
      <c r="AD59" s="682">
        <f>IF($D59="","",MIN(終値!E59:I59))</f>
      </c>
      <c r="AE59" s="684">
        <f>IF($D59="","",$X59+(10000-ROW())/100000)</f>
      </c>
    </row>
    <row r="60">
      <c r="A60" s="681">
        <f>IF(終値!A60="","",HYPERLINK("https://kabutan.jp/stock/?code="&amp;終値!A60,"📈"))</f>
      </c>
      <c r="B60" s="681">
        <f>IF(終値!A60="","",終値!A60)</f>
      </c>
      <c r="C60" s="680">
        <f>IF(終値!A60="","",終値!B60)</f>
      </c>
      <c r="D60" s="682">
        <f>IF(終値!A60="","",終値!E60)</f>
      </c>
      <c r="E60" s="682">
        <f>IF($D60="","",AVERAGE(終値!E60:X60))</f>
      </c>
      <c r="F60" s="683">
        <f>IF($D60="","",STDEVP(終値!E60:X60))</f>
      </c>
      <c r="G60" s="682">
        <f>IF($D60="","",$E60+BB設定!$B$4*$F60)</f>
      </c>
      <c r="H60" s="682">
        <f>IF($D60="","",$E60+BB設定!$B$5*$F60)</f>
      </c>
      <c r="I60" s="682">
        <f>IF($D60="","",$E60-BB設定!$B$5*$F60)</f>
      </c>
      <c r="J60" s="682">
        <f>IF($D60="","",$E60-BB設定!$B$4*$F60)</f>
      </c>
      <c r="K60" s="687">
        <f>IF($D60="","",IFERROR(($D60-$J60)/($G60-$J60),""))</f>
      </c>
      <c r="L60" s="686">
        <f>IF($D60="","",IFERROR(($G60-$J60)/$E60*100,""))</f>
      </c>
      <c r="M60" s="686">
        <f>IF($D60="","",IFERROR(MIN(BB_帯幅!B60:AP60)*100,""))</f>
      </c>
      <c r="N60" s="681">
        <f>IF($L60="","",IF($L60&lt;=$M60*BB設定!$B$7,"スクイーズ★",IF($L60&lt;=$M60*1.3,"収縮","－")))</f>
      </c>
      <c r="O60" s="681">
        <f>IF($D60="","",IF($L60&gt;(4*STDEVP(終値!F60:Y60)/AVERAGE(終値!F60:Y60)*100),"拡大↑","縮小↓"))</f>
      </c>
      <c r="P60" s="681">
        <f>IF($D60="","",IF($D60&gt;$G60,"↑+2σ突破",IF($D60&lt;$J60,"↓-2σ割れ",IF($D60&gt;$H60,"+1σ上",IF($D60&lt;$I60,"-1σ下","バンド内")))))</f>
      </c>
      <c r="Q60" s="684">
        <f>IF($D60="","",IFERROR(100-100/(1+SUMPRODUCT((終値!E60:R60&gt;終値!F60:S60)*(終値!E60:R60-終値!F60:S60))/SUMPRODUCT((終値!E60:R60&lt;終値!F60:S60)*(終値!F60:S60-終値!E60:R60))),100))</f>
      </c>
      <c r="R60" s="684">
        <f>IF($D60="","",IFERROR(100-100/(1+SUMPRODUCT((((高値!E60:R60+安値!E60:R60+終値!E60:R60)/3)&gt;((高値!F60:S60+安値!F60:S60+終値!F60:S60)/3))*((高値!E60:R60+安値!E60:R60+終値!E60:R60)/3)*出来高!E60:R60)/SUMPRODUCT((((高値!E60:R60+安値!E60:R60+終値!E60:R60)/3)&lt;((高値!F60:S60+安値!F60:S60+終値!F60:S60)/3))*((高値!E60:R60+安値!E60:R60+終値!E60:R60)/3)*出来高!E60:R60)),50))</f>
      </c>
      <c r="S60" s="681">
        <f>IF($D60="","",IF(AND(終値!E60&lt;終値!O60,$Q60&gt;(IFERROR(100-100/(1+SUMPRODUCT((終値!O60:AB60&gt;終値!P60:AC60)*(終値!O60:AB60-終値!P60:AC60))/SUMPRODUCT((終値!O60:AB60&lt;終値!P60:AC60)*(終値!P60:AC60-終値!O60:AB60))),100))),"強気div▲",IF(AND(終値!E60&gt;終値!O60,$Q60&lt;(IFERROR(100-100/(1+SUMPRODUCT((終値!O60:AB60&gt;終値!P60:AC60)*(終値!O60:AB60-終値!P60:AC60))/SUMPRODUCT((終値!O60:AB60&lt;終値!P60:AC60)*(終値!P60:AC60-終値!O60:AB60))),100))),"弱気div▼","－")))</f>
      </c>
      <c r="T60" s="681">
        <f>IF($D60="","",IF($D60&gt;=$H60,"上walk▲",IF($D60&lt;=$I60,"下walk▼","－")))</f>
      </c>
      <c r="U60" s="681">
        <f>IF(終値!A60="","",BB_スイング!BT60)</f>
      </c>
      <c r="V60" s="689">
        <f>IF($D60="","",IFERROR(出来高!E60/AVERAGE(出来高!E60:I60),""))</f>
      </c>
      <c r="W60" s="690">
        <f>IF($D60="","",IF(AND($D60&gt;$G60,$O60="拡大↑",$L60&lt;=$M60*1.8),"◎スクイーズブレイク買",IF(AND($D60&gt;=$H60,$R60&gt;=BB設定!$B$10),"○順張り継続(walk)",IF(AND($S60="強気div▲",$D60&gt;$I60),"○反発(ダイバ)買",IF($U60="二番底W▲","△二番底買(確)",IF($U60="二番底W形成","△二番底形成",IF($D60&lt;$J60,"▼-2σ割れ危険",IF(AND($D60&gt;$E60,$K60&lt;0.6,$R60&gt;=50),"・押し目注目",IF($N60="スクイーズ★","☆スクイーズ監視","様子見")))))))))</f>
      </c>
      <c r="X60" s="685">
        <f>IF($D60="","",MIN(100,IF($L60&lt;=$M60*1.15,20,IF($L60&lt;=$M60*1.4,10,0))+IF($D60&gt;$G60,20,IF($D60&gt;$H60,12,IF($D60&gt;$E60,5,0)))+IF($O60="拡大↑",10,0)+IF($R60&gt;=80,15,IF($R60&gt;=60,10,IF($R60&gt;=50,5,0)))+IF(AND($Q60&gt;=50,$Q60&lt;=70),10,IF($Q60&gt;70,3,IF($Q60&gt;=40,5,0)))+IF($S60="強気div▲",15,0)+IF($T60="上walk▲",5,0)+IF($V60&gt;=2,5,IF($V60&gt;=1.5,3,0))))</f>
      </c>
      <c r="Y60" s="682">
        <f>IF($D60="","",$D60)</f>
      </c>
      <c r="Z60" s="682">
        <f>IF($D60="","",$H60)</f>
      </c>
      <c r="AA60" s="682">
        <f>IF($D60="","",IF($D60&gt;$E60,$E60,$AD60))</f>
      </c>
      <c r="AB60" s="682">
        <f>IF($D60="","",$G60)</f>
      </c>
      <c r="AC60" s="688">
        <f>IF($D60="","",IF(($Y60-$AA60)&lt;=0,"－",IFERROR(ROUND(MIN(20,($AB60-$Y60)/($Y60-$AA60)),2),"－")))</f>
      </c>
      <c r="AD60" s="682">
        <f>IF($D60="","",MIN(終値!E60:I60))</f>
      </c>
      <c r="AE60" s="684">
        <f>IF($D60="","",$X60+(10000-ROW())/100000)</f>
      </c>
    </row>
    <row r="61">
      <c r="A61" s="681">
        <f>IF(終値!A61="","",HYPERLINK("https://kabutan.jp/stock/?code="&amp;終値!A61,"📈"))</f>
      </c>
      <c r="B61" s="681">
        <f>IF(終値!A61="","",終値!A61)</f>
      </c>
      <c r="C61" s="680">
        <f>IF(終値!A61="","",終値!B61)</f>
      </c>
      <c r="D61" s="682">
        <f>IF(終値!A61="","",終値!E61)</f>
      </c>
      <c r="E61" s="682">
        <f>IF($D61="","",AVERAGE(終値!E61:X61))</f>
      </c>
      <c r="F61" s="683">
        <f>IF($D61="","",STDEVP(終値!E61:X61))</f>
      </c>
      <c r="G61" s="682">
        <f>IF($D61="","",$E61+BB設定!$B$4*$F61)</f>
      </c>
      <c r="H61" s="682">
        <f>IF($D61="","",$E61+BB設定!$B$5*$F61)</f>
      </c>
      <c r="I61" s="682">
        <f>IF($D61="","",$E61-BB設定!$B$5*$F61)</f>
      </c>
      <c r="J61" s="682">
        <f>IF($D61="","",$E61-BB設定!$B$4*$F61)</f>
      </c>
      <c r="K61" s="687">
        <f>IF($D61="","",IFERROR(($D61-$J61)/($G61-$J61),""))</f>
      </c>
      <c r="L61" s="686">
        <f>IF($D61="","",IFERROR(($G61-$J61)/$E61*100,""))</f>
      </c>
      <c r="M61" s="686">
        <f>IF($D61="","",IFERROR(MIN(BB_帯幅!B61:AP61)*100,""))</f>
      </c>
      <c r="N61" s="681">
        <f>IF($L61="","",IF($L61&lt;=$M61*BB設定!$B$7,"スクイーズ★",IF($L61&lt;=$M61*1.3,"収縮","－")))</f>
      </c>
      <c r="O61" s="681">
        <f>IF($D61="","",IF($L61&gt;(4*STDEVP(終値!F61:Y61)/AVERAGE(終値!F61:Y61)*100),"拡大↑","縮小↓"))</f>
      </c>
      <c r="P61" s="681">
        <f>IF($D61="","",IF($D61&gt;$G61,"↑+2σ突破",IF($D61&lt;$J61,"↓-2σ割れ",IF($D61&gt;$H61,"+1σ上",IF($D61&lt;$I61,"-1σ下","バンド内")))))</f>
      </c>
      <c r="Q61" s="684">
        <f>IF($D61="","",IFERROR(100-100/(1+SUMPRODUCT((終値!E61:R61&gt;終値!F61:S61)*(終値!E61:R61-終値!F61:S61))/SUMPRODUCT((終値!E61:R61&lt;終値!F61:S61)*(終値!F61:S61-終値!E61:R61))),100))</f>
      </c>
      <c r="R61" s="684">
        <f>IF($D61="","",IFERROR(100-100/(1+SUMPRODUCT((((高値!E61:R61+安値!E61:R61+終値!E61:R61)/3)&gt;((高値!F61:S61+安値!F61:S61+終値!F61:S61)/3))*((高値!E61:R61+安値!E61:R61+終値!E61:R61)/3)*出来高!E61:R61)/SUMPRODUCT((((高値!E61:R61+安値!E61:R61+終値!E61:R61)/3)&lt;((高値!F61:S61+安値!F61:S61+終値!F61:S61)/3))*((高値!E61:R61+安値!E61:R61+終値!E61:R61)/3)*出来高!E61:R61)),50))</f>
      </c>
      <c r="S61" s="681">
        <f>IF($D61="","",IF(AND(終値!E61&lt;終値!O61,$Q61&gt;(IFERROR(100-100/(1+SUMPRODUCT((終値!O61:AB61&gt;終値!P61:AC61)*(終値!O61:AB61-終値!P61:AC61))/SUMPRODUCT((終値!O61:AB61&lt;終値!P61:AC61)*(終値!P61:AC61-終値!O61:AB61))),100))),"強気div▲",IF(AND(終値!E61&gt;終値!O61,$Q61&lt;(IFERROR(100-100/(1+SUMPRODUCT((終値!O61:AB61&gt;終値!P61:AC61)*(終値!O61:AB61-終値!P61:AC61))/SUMPRODUCT((終値!O61:AB61&lt;終値!P61:AC61)*(終値!P61:AC61-終値!O61:AB61))),100))),"弱気div▼","－")))</f>
      </c>
      <c r="T61" s="681">
        <f>IF($D61="","",IF($D61&gt;=$H61,"上walk▲",IF($D61&lt;=$I61,"下walk▼","－")))</f>
      </c>
      <c r="U61" s="681">
        <f>IF(終値!A61="","",BB_スイング!BT61)</f>
      </c>
      <c r="V61" s="689">
        <f>IF($D61="","",IFERROR(出来高!E61/AVERAGE(出来高!E61:I61),""))</f>
      </c>
      <c r="W61" s="690">
        <f>IF($D61="","",IF(AND($D61&gt;$G61,$O61="拡大↑",$L61&lt;=$M61*1.8),"◎スクイーズブレイク買",IF(AND($D61&gt;=$H61,$R61&gt;=BB設定!$B$10),"○順張り継続(walk)",IF(AND($S61="強気div▲",$D61&gt;$I61),"○反発(ダイバ)買",IF($U61="二番底W▲","△二番底買(確)",IF($U61="二番底W形成","△二番底形成",IF($D61&lt;$J61,"▼-2σ割れ危険",IF(AND($D61&gt;$E61,$K61&lt;0.6,$R61&gt;=50),"・押し目注目",IF($N61="スクイーズ★","☆スクイーズ監視","様子見")))))))))</f>
      </c>
      <c r="X61" s="685">
        <f>IF($D61="","",MIN(100,IF($L61&lt;=$M61*1.15,20,IF($L61&lt;=$M61*1.4,10,0))+IF($D61&gt;$G61,20,IF($D61&gt;$H61,12,IF($D61&gt;$E61,5,0)))+IF($O61="拡大↑",10,0)+IF($R61&gt;=80,15,IF($R61&gt;=60,10,IF($R61&gt;=50,5,0)))+IF(AND($Q61&gt;=50,$Q61&lt;=70),10,IF($Q61&gt;70,3,IF($Q61&gt;=40,5,0)))+IF($S61="強気div▲",15,0)+IF($T61="上walk▲",5,0)+IF($V61&gt;=2,5,IF($V61&gt;=1.5,3,0))))</f>
      </c>
      <c r="Y61" s="682">
        <f>IF($D61="","",$D61)</f>
      </c>
      <c r="Z61" s="682">
        <f>IF($D61="","",$H61)</f>
      </c>
      <c r="AA61" s="682">
        <f>IF($D61="","",IF($D61&gt;$E61,$E61,$AD61))</f>
      </c>
      <c r="AB61" s="682">
        <f>IF($D61="","",$G61)</f>
      </c>
      <c r="AC61" s="688">
        <f>IF($D61="","",IF(($Y61-$AA61)&lt;=0,"－",IFERROR(ROUND(MIN(20,($AB61-$Y61)/($Y61-$AA61)),2),"－")))</f>
      </c>
      <c r="AD61" s="682">
        <f>IF($D61="","",MIN(終値!E61:I61))</f>
      </c>
      <c r="AE61" s="684">
        <f>IF($D61="","",$X61+(10000-ROW())/100000)</f>
      </c>
    </row>
    <row r="62">
      <c r="A62" s="681">
        <f>IF(終値!A62="","",HYPERLINK("https://kabutan.jp/stock/?code="&amp;終値!A62,"📈"))</f>
      </c>
      <c r="B62" s="681">
        <f>IF(終値!A62="","",終値!A62)</f>
      </c>
      <c r="C62" s="680">
        <f>IF(終値!A62="","",終値!B62)</f>
      </c>
      <c r="D62" s="682">
        <f>IF(終値!A62="","",終値!E62)</f>
      </c>
      <c r="E62" s="682">
        <f>IF($D62="","",AVERAGE(終値!E62:X62))</f>
      </c>
      <c r="F62" s="683">
        <f>IF($D62="","",STDEVP(終値!E62:X62))</f>
      </c>
      <c r="G62" s="682">
        <f>IF($D62="","",$E62+BB設定!$B$4*$F62)</f>
      </c>
      <c r="H62" s="682">
        <f>IF($D62="","",$E62+BB設定!$B$5*$F62)</f>
      </c>
      <c r="I62" s="682">
        <f>IF($D62="","",$E62-BB設定!$B$5*$F62)</f>
      </c>
      <c r="J62" s="682">
        <f>IF($D62="","",$E62-BB設定!$B$4*$F62)</f>
      </c>
      <c r="K62" s="687">
        <f>IF($D62="","",IFERROR(($D62-$J62)/($G62-$J62),""))</f>
      </c>
      <c r="L62" s="686">
        <f>IF($D62="","",IFERROR(($G62-$J62)/$E62*100,""))</f>
      </c>
      <c r="M62" s="686">
        <f>IF($D62="","",IFERROR(MIN(BB_帯幅!B62:AP62)*100,""))</f>
      </c>
      <c r="N62" s="681">
        <f>IF($L62="","",IF($L62&lt;=$M62*BB設定!$B$7,"スクイーズ★",IF($L62&lt;=$M62*1.3,"収縮","－")))</f>
      </c>
      <c r="O62" s="681">
        <f>IF($D62="","",IF($L62&gt;(4*STDEVP(終値!F62:Y62)/AVERAGE(終値!F62:Y62)*100),"拡大↑","縮小↓"))</f>
      </c>
      <c r="P62" s="681">
        <f>IF($D62="","",IF($D62&gt;$G62,"↑+2σ突破",IF($D62&lt;$J62,"↓-2σ割れ",IF($D62&gt;$H62,"+1σ上",IF($D62&lt;$I62,"-1σ下","バンド内")))))</f>
      </c>
      <c r="Q62" s="684">
        <f>IF($D62="","",IFERROR(100-100/(1+SUMPRODUCT((終値!E62:R62&gt;終値!F62:S62)*(終値!E62:R62-終値!F62:S62))/SUMPRODUCT((終値!E62:R62&lt;終値!F62:S62)*(終値!F62:S62-終値!E62:R62))),100))</f>
      </c>
      <c r="R62" s="684">
        <f>IF($D62="","",IFERROR(100-100/(1+SUMPRODUCT((((高値!E62:R62+安値!E62:R62+終値!E62:R62)/3)&gt;((高値!F62:S62+安値!F62:S62+終値!F62:S62)/3))*((高値!E62:R62+安値!E62:R62+終値!E62:R62)/3)*出来高!E62:R62)/SUMPRODUCT((((高値!E62:R62+安値!E62:R62+終値!E62:R62)/3)&lt;((高値!F62:S62+安値!F62:S62+終値!F62:S62)/3))*((高値!E62:R62+安値!E62:R62+終値!E62:R62)/3)*出来高!E62:R62)),50))</f>
      </c>
      <c r="S62" s="681">
        <f>IF($D62="","",IF(AND(終値!E62&lt;終値!O62,$Q62&gt;(IFERROR(100-100/(1+SUMPRODUCT((終値!O62:AB62&gt;終値!P62:AC62)*(終値!O62:AB62-終値!P62:AC62))/SUMPRODUCT((終値!O62:AB62&lt;終値!P62:AC62)*(終値!P62:AC62-終値!O62:AB62))),100))),"強気div▲",IF(AND(終値!E62&gt;終値!O62,$Q62&lt;(IFERROR(100-100/(1+SUMPRODUCT((終値!O62:AB62&gt;終値!P62:AC62)*(終値!O62:AB62-終値!P62:AC62))/SUMPRODUCT((終値!O62:AB62&lt;終値!P62:AC62)*(終値!P62:AC62-終値!O62:AB62))),100))),"弱気div▼","－")))</f>
      </c>
      <c r="T62" s="681">
        <f>IF($D62="","",IF($D62&gt;=$H62,"上walk▲",IF($D62&lt;=$I62,"下walk▼","－")))</f>
      </c>
      <c r="U62" s="681">
        <f>IF(終値!A62="","",BB_スイング!BT62)</f>
      </c>
      <c r="V62" s="689">
        <f>IF($D62="","",IFERROR(出来高!E62/AVERAGE(出来高!E62:I62),""))</f>
      </c>
      <c r="W62" s="690">
        <f>IF($D62="","",IF(AND($D62&gt;$G62,$O62="拡大↑",$L62&lt;=$M62*1.8),"◎スクイーズブレイク買",IF(AND($D62&gt;=$H62,$R62&gt;=BB設定!$B$10),"○順張り継続(walk)",IF(AND($S62="強気div▲",$D62&gt;$I62),"○反発(ダイバ)買",IF($U62="二番底W▲","△二番底買(確)",IF($U62="二番底W形成","△二番底形成",IF($D62&lt;$J62,"▼-2σ割れ危険",IF(AND($D62&gt;$E62,$K62&lt;0.6,$R62&gt;=50),"・押し目注目",IF($N62="スクイーズ★","☆スクイーズ監視","様子見")))))))))</f>
      </c>
      <c r="X62" s="685">
        <f>IF($D62="","",MIN(100,IF($L62&lt;=$M62*1.15,20,IF($L62&lt;=$M62*1.4,10,0))+IF($D62&gt;$G62,20,IF($D62&gt;$H62,12,IF($D62&gt;$E62,5,0)))+IF($O62="拡大↑",10,0)+IF($R62&gt;=80,15,IF($R62&gt;=60,10,IF($R62&gt;=50,5,0)))+IF(AND($Q62&gt;=50,$Q62&lt;=70),10,IF($Q62&gt;70,3,IF($Q62&gt;=40,5,0)))+IF($S62="強気div▲",15,0)+IF($T62="上walk▲",5,0)+IF($V62&gt;=2,5,IF($V62&gt;=1.5,3,0))))</f>
      </c>
      <c r="Y62" s="682">
        <f>IF($D62="","",$D62)</f>
      </c>
      <c r="Z62" s="682">
        <f>IF($D62="","",$H62)</f>
      </c>
      <c r="AA62" s="682">
        <f>IF($D62="","",IF($D62&gt;$E62,$E62,$AD62))</f>
      </c>
      <c r="AB62" s="682">
        <f>IF($D62="","",$G62)</f>
      </c>
      <c r="AC62" s="688">
        <f>IF($D62="","",IF(($Y62-$AA62)&lt;=0,"－",IFERROR(ROUND(MIN(20,($AB62-$Y62)/($Y62-$AA62)),2),"－")))</f>
      </c>
      <c r="AD62" s="682">
        <f>IF($D62="","",MIN(終値!E62:I62))</f>
      </c>
      <c r="AE62" s="684">
        <f>IF($D62="","",$X62+(10000-ROW())/100000)</f>
      </c>
    </row>
    <row r="63">
      <c r="A63" s="681">
        <f>IF(終値!A63="","",HYPERLINK("https://kabutan.jp/stock/?code="&amp;終値!A63,"📈"))</f>
      </c>
      <c r="B63" s="681">
        <f>IF(終値!A63="","",終値!A63)</f>
      </c>
      <c r="C63" s="680">
        <f>IF(終値!A63="","",終値!B63)</f>
      </c>
      <c r="D63" s="682">
        <f>IF(終値!A63="","",終値!E63)</f>
      </c>
      <c r="E63" s="682">
        <f>IF($D63="","",AVERAGE(終値!E63:X63))</f>
      </c>
      <c r="F63" s="683">
        <f>IF($D63="","",STDEVP(終値!E63:X63))</f>
      </c>
      <c r="G63" s="682">
        <f>IF($D63="","",$E63+BB設定!$B$4*$F63)</f>
      </c>
      <c r="H63" s="682">
        <f>IF($D63="","",$E63+BB設定!$B$5*$F63)</f>
      </c>
      <c r="I63" s="682">
        <f>IF($D63="","",$E63-BB設定!$B$5*$F63)</f>
      </c>
      <c r="J63" s="682">
        <f>IF($D63="","",$E63-BB設定!$B$4*$F63)</f>
      </c>
      <c r="K63" s="687">
        <f>IF($D63="","",IFERROR(($D63-$J63)/($G63-$J63),""))</f>
      </c>
      <c r="L63" s="686">
        <f>IF($D63="","",IFERROR(($G63-$J63)/$E63*100,""))</f>
      </c>
      <c r="M63" s="686">
        <f>IF($D63="","",IFERROR(MIN(BB_帯幅!B63:AP63)*100,""))</f>
      </c>
      <c r="N63" s="681">
        <f>IF($L63="","",IF($L63&lt;=$M63*BB設定!$B$7,"スクイーズ★",IF($L63&lt;=$M63*1.3,"収縮","－")))</f>
      </c>
      <c r="O63" s="681">
        <f>IF($D63="","",IF($L63&gt;(4*STDEVP(終値!F63:Y63)/AVERAGE(終値!F63:Y63)*100),"拡大↑","縮小↓"))</f>
      </c>
      <c r="P63" s="681">
        <f>IF($D63="","",IF($D63&gt;$G63,"↑+2σ突破",IF($D63&lt;$J63,"↓-2σ割れ",IF($D63&gt;$H63,"+1σ上",IF($D63&lt;$I63,"-1σ下","バンド内")))))</f>
      </c>
      <c r="Q63" s="684">
        <f>IF($D63="","",IFERROR(100-100/(1+SUMPRODUCT((終値!E63:R63&gt;終値!F63:S63)*(終値!E63:R63-終値!F63:S63))/SUMPRODUCT((終値!E63:R63&lt;終値!F63:S63)*(終値!F63:S63-終値!E63:R63))),100))</f>
      </c>
      <c r="R63" s="684">
        <f>IF($D63="","",IFERROR(100-100/(1+SUMPRODUCT((((高値!E63:R63+安値!E63:R63+終値!E63:R63)/3)&gt;((高値!F63:S63+安値!F63:S63+終値!F63:S63)/3))*((高値!E63:R63+安値!E63:R63+終値!E63:R63)/3)*出来高!E63:R63)/SUMPRODUCT((((高値!E63:R63+安値!E63:R63+終値!E63:R63)/3)&lt;((高値!F63:S63+安値!F63:S63+終値!F63:S63)/3))*((高値!E63:R63+安値!E63:R63+終値!E63:R63)/3)*出来高!E63:R63)),50))</f>
      </c>
      <c r="S63" s="681">
        <f>IF($D63="","",IF(AND(終値!E63&lt;終値!O63,$Q63&gt;(IFERROR(100-100/(1+SUMPRODUCT((終値!O63:AB63&gt;終値!P63:AC63)*(終値!O63:AB63-終値!P63:AC63))/SUMPRODUCT((終値!O63:AB63&lt;終値!P63:AC63)*(終値!P63:AC63-終値!O63:AB63))),100))),"強気div▲",IF(AND(終値!E63&gt;終値!O63,$Q63&lt;(IFERROR(100-100/(1+SUMPRODUCT((終値!O63:AB63&gt;終値!P63:AC63)*(終値!O63:AB63-終値!P63:AC63))/SUMPRODUCT((終値!O63:AB63&lt;終値!P63:AC63)*(終値!P63:AC63-終値!O63:AB63))),100))),"弱気div▼","－")))</f>
      </c>
      <c r="T63" s="681">
        <f>IF($D63="","",IF($D63&gt;=$H63,"上walk▲",IF($D63&lt;=$I63,"下walk▼","－")))</f>
      </c>
      <c r="U63" s="681">
        <f>IF(終値!A63="","",BB_スイング!BT63)</f>
      </c>
      <c r="V63" s="689">
        <f>IF($D63="","",IFERROR(出来高!E63/AVERAGE(出来高!E63:I63),""))</f>
      </c>
      <c r="W63" s="690">
        <f>IF($D63="","",IF(AND($D63&gt;$G63,$O63="拡大↑",$L63&lt;=$M63*1.8),"◎スクイーズブレイク買",IF(AND($D63&gt;=$H63,$R63&gt;=BB設定!$B$10),"○順張り継続(walk)",IF(AND($S63="強気div▲",$D63&gt;$I63),"○反発(ダイバ)買",IF($U63="二番底W▲","△二番底買(確)",IF($U63="二番底W形成","△二番底形成",IF($D63&lt;$J63,"▼-2σ割れ危険",IF(AND($D63&gt;$E63,$K63&lt;0.6,$R63&gt;=50),"・押し目注目",IF($N63="スクイーズ★","☆スクイーズ監視","様子見")))))))))</f>
      </c>
      <c r="X63" s="685">
        <f>IF($D63="","",MIN(100,IF($L63&lt;=$M63*1.15,20,IF($L63&lt;=$M63*1.4,10,0))+IF($D63&gt;$G63,20,IF($D63&gt;$H63,12,IF($D63&gt;$E63,5,0)))+IF($O63="拡大↑",10,0)+IF($R63&gt;=80,15,IF($R63&gt;=60,10,IF($R63&gt;=50,5,0)))+IF(AND($Q63&gt;=50,$Q63&lt;=70),10,IF($Q63&gt;70,3,IF($Q63&gt;=40,5,0)))+IF($S63="強気div▲",15,0)+IF($T63="上walk▲",5,0)+IF($V63&gt;=2,5,IF($V63&gt;=1.5,3,0))))</f>
      </c>
      <c r="Y63" s="682">
        <f>IF($D63="","",$D63)</f>
      </c>
      <c r="Z63" s="682">
        <f>IF($D63="","",$H63)</f>
      </c>
      <c r="AA63" s="682">
        <f>IF($D63="","",IF($D63&gt;$E63,$E63,$AD63))</f>
      </c>
      <c r="AB63" s="682">
        <f>IF($D63="","",$G63)</f>
      </c>
      <c r="AC63" s="688">
        <f>IF($D63="","",IF(($Y63-$AA63)&lt;=0,"－",IFERROR(ROUND(MIN(20,($AB63-$Y63)/($Y63-$AA63)),2),"－")))</f>
      </c>
      <c r="AD63" s="682">
        <f>IF($D63="","",MIN(終値!E63:I63))</f>
      </c>
      <c r="AE63" s="684">
        <f>IF($D63="","",$X63+(10000-ROW())/100000)</f>
      </c>
    </row>
    <row r="64">
      <c r="A64" s="681">
        <f>IF(終値!A64="","",HYPERLINK("https://kabutan.jp/stock/?code="&amp;終値!A64,"📈"))</f>
      </c>
      <c r="B64" s="681">
        <f>IF(終値!A64="","",終値!A64)</f>
      </c>
      <c r="C64" s="680">
        <f>IF(終値!A64="","",終値!B64)</f>
      </c>
      <c r="D64" s="682">
        <f>IF(終値!A64="","",終値!E64)</f>
      </c>
      <c r="E64" s="682">
        <f>IF($D64="","",AVERAGE(終値!E64:X64))</f>
      </c>
      <c r="F64" s="683">
        <f>IF($D64="","",STDEVP(終値!E64:X64))</f>
      </c>
      <c r="G64" s="682">
        <f>IF($D64="","",$E64+BB設定!$B$4*$F64)</f>
      </c>
      <c r="H64" s="682">
        <f>IF($D64="","",$E64+BB設定!$B$5*$F64)</f>
      </c>
      <c r="I64" s="682">
        <f>IF($D64="","",$E64-BB設定!$B$5*$F64)</f>
      </c>
      <c r="J64" s="682">
        <f>IF($D64="","",$E64-BB設定!$B$4*$F64)</f>
      </c>
      <c r="K64" s="687">
        <f>IF($D64="","",IFERROR(($D64-$J64)/($G64-$J64),""))</f>
      </c>
      <c r="L64" s="686">
        <f>IF($D64="","",IFERROR(($G64-$J64)/$E64*100,""))</f>
      </c>
      <c r="M64" s="686">
        <f>IF($D64="","",IFERROR(MIN(BB_帯幅!B64:AP64)*100,""))</f>
      </c>
      <c r="N64" s="681">
        <f>IF($L64="","",IF($L64&lt;=$M64*BB設定!$B$7,"スクイーズ★",IF($L64&lt;=$M64*1.3,"収縮","－")))</f>
      </c>
      <c r="O64" s="681">
        <f>IF($D64="","",IF($L64&gt;(4*STDEVP(終値!F64:Y64)/AVERAGE(終値!F64:Y64)*100),"拡大↑","縮小↓"))</f>
      </c>
      <c r="P64" s="681">
        <f>IF($D64="","",IF($D64&gt;$G64,"↑+2σ突破",IF($D64&lt;$J64,"↓-2σ割れ",IF($D64&gt;$H64,"+1σ上",IF($D64&lt;$I64,"-1σ下","バンド内")))))</f>
      </c>
      <c r="Q64" s="684">
        <f>IF($D64="","",IFERROR(100-100/(1+SUMPRODUCT((終値!E64:R64&gt;終値!F64:S64)*(終値!E64:R64-終値!F64:S64))/SUMPRODUCT((終値!E64:R64&lt;終値!F64:S64)*(終値!F64:S64-終値!E64:R64))),100))</f>
      </c>
      <c r="R64" s="684">
        <f>IF($D64="","",IFERROR(100-100/(1+SUMPRODUCT((((高値!E64:R64+安値!E64:R64+終値!E64:R64)/3)&gt;((高値!F64:S64+安値!F64:S64+終値!F64:S64)/3))*((高値!E64:R64+安値!E64:R64+終値!E64:R64)/3)*出来高!E64:R64)/SUMPRODUCT((((高値!E64:R64+安値!E64:R64+終値!E64:R64)/3)&lt;((高値!F64:S64+安値!F64:S64+終値!F64:S64)/3))*((高値!E64:R64+安値!E64:R64+終値!E64:R64)/3)*出来高!E64:R64)),50))</f>
      </c>
      <c r="S64" s="681">
        <f>IF($D64="","",IF(AND(終値!E64&lt;終値!O64,$Q64&gt;(IFERROR(100-100/(1+SUMPRODUCT((終値!O64:AB64&gt;終値!P64:AC64)*(終値!O64:AB64-終値!P64:AC64))/SUMPRODUCT((終値!O64:AB64&lt;終値!P64:AC64)*(終値!P64:AC64-終値!O64:AB64))),100))),"強気div▲",IF(AND(終値!E64&gt;終値!O64,$Q64&lt;(IFERROR(100-100/(1+SUMPRODUCT((終値!O64:AB64&gt;終値!P64:AC64)*(終値!O64:AB64-終値!P64:AC64))/SUMPRODUCT((終値!O64:AB64&lt;終値!P64:AC64)*(終値!P64:AC64-終値!O64:AB64))),100))),"弱気div▼","－")))</f>
      </c>
      <c r="T64" s="681">
        <f>IF($D64="","",IF($D64&gt;=$H64,"上walk▲",IF($D64&lt;=$I64,"下walk▼","－")))</f>
      </c>
      <c r="U64" s="681">
        <f>IF(終値!A64="","",BB_スイング!BT64)</f>
      </c>
      <c r="V64" s="689">
        <f>IF($D64="","",IFERROR(出来高!E64/AVERAGE(出来高!E64:I64),""))</f>
      </c>
      <c r="W64" s="690">
        <f>IF($D64="","",IF(AND($D64&gt;$G64,$O64="拡大↑",$L64&lt;=$M64*1.8),"◎スクイーズブレイク買",IF(AND($D64&gt;=$H64,$R64&gt;=BB設定!$B$10),"○順張り継続(walk)",IF(AND($S64="強気div▲",$D64&gt;$I64),"○反発(ダイバ)買",IF($U64="二番底W▲","△二番底買(確)",IF($U64="二番底W形成","△二番底形成",IF($D64&lt;$J64,"▼-2σ割れ危険",IF(AND($D64&gt;$E64,$K64&lt;0.6,$R64&gt;=50),"・押し目注目",IF($N64="スクイーズ★","☆スクイーズ監視","様子見")))))))))</f>
      </c>
      <c r="X64" s="685">
        <f>IF($D64="","",MIN(100,IF($L64&lt;=$M64*1.15,20,IF($L64&lt;=$M64*1.4,10,0))+IF($D64&gt;$G64,20,IF($D64&gt;$H64,12,IF($D64&gt;$E64,5,0)))+IF($O64="拡大↑",10,0)+IF($R64&gt;=80,15,IF($R64&gt;=60,10,IF($R64&gt;=50,5,0)))+IF(AND($Q64&gt;=50,$Q64&lt;=70),10,IF($Q64&gt;70,3,IF($Q64&gt;=40,5,0)))+IF($S64="強気div▲",15,0)+IF($T64="上walk▲",5,0)+IF($V64&gt;=2,5,IF($V64&gt;=1.5,3,0))))</f>
      </c>
      <c r="Y64" s="682">
        <f>IF($D64="","",$D64)</f>
      </c>
      <c r="Z64" s="682">
        <f>IF($D64="","",$H64)</f>
      </c>
      <c r="AA64" s="682">
        <f>IF($D64="","",IF($D64&gt;$E64,$E64,$AD64))</f>
      </c>
      <c r="AB64" s="682">
        <f>IF($D64="","",$G64)</f>
      </c>
      <c r="AC64" s="688">
        <f>IF($D64="","",IF(($Y64-$AA64)&lt;=0,"－",IFERROR(ROUND(MIN(20,($AB64-$Y64)/($Y64-$AA64)),2),"－")))</f>
      </c>
      <c r="AD64" s="682">
        <f>IF($D64="","",MIN(終値!E64:I64))</f>
      </c>
      <c r="AE64" s="684">
        <f>IF($D64="","",$X64+(10000-ROW())/100000)</f>
      </c>
    </row>
    <row r="65">
      <c r="A65" s="681">
        <f>IF(終値!A65="","",HYPERLINK("https://kabutan.jp/stock/?code="&amp;終値!A65,"📈"))</f>
      </c>
      <c r="B65" s="681">
        <f>IF(終値!A65="","",終値!A65)</f>
      </c>
      <c r="C65" s="680">
        <f>IF(終値!A65="","",終値!B65)</f>
      </c>
      <c r="D65" s="682">
        <f>IF(終値!A65="","",終値!E65)</f>
      </c>
      <c r="E65" s="682">
        <f>IF($D65="","",AVERAGE(終値!E65:X65))</f>
      </c>
      <c r="F65" s="683">
        <f>IF($D65="","",STDEVP(終値!E65:X65))</f>
      </c>
      <c r="G65" s="682">
        <f>IF($D65="","",$E65+BB設定!$B$4*$F65)</f>
      </c>
      <c r="H65" s="682">
        <f>IF($D65="","",$E65+BB設定!$B$5*$F65)</f>
      </c>
      <c r="I65" s="682">
        <f>IF($D65="","",$E65-BB設定!$B$5*$F65)</f>
      </c>
      <c r="J65" s="682">
        <f>IF($D65="","",$E65-BB設定!$B$4*$F65)</f>
      </c>
      <c r="K65" s="687">
        <f>IF($D65="","",IFERROR(($D65-$J65)/($G65-$J65),""))</f>
      </c>
      <c r="L65" s="686">
        <f>IF($D65="","",IFERROR(($G65-$J65)/$E65*100,""))</f>
      </c>
      <c r="M65" s="686">
        <f>IF($D65="","",IFERROR(MIN(BB_帯幅!B65:AP65)*100,""))</f>
      </c>
      <c r="N65" s="681">
        <f>IF($L65="","",IF($L65&lt;=$M65*BB設定!$B$7,"スクイーズ★",IF($L65&lt;=$M65*1.3,"収縮","－")))</f>
      </c>
      <c r="O65" s="681">
        <f>IF($D65="","",IF($L65&gt;(4*STDEVP(終値!F65:Y65)/AVERAGE(終値!F65:Y65)*100),"拡大↑","縮小↓"))</f>
      </c>
      <c r="P65" s="681">
        <f>IF($D65="","",IF($D65&gt;$G65,"↑+2σ突破",IF($D65&lt;$J65,"↓-2σ割れ",IF($D65&gt;$H65,"+1σ上",IF($D65&lt;$I65,"-1σ下","バンド内")))))</f>
      </c>
      <c r="Q65" s="684">
        <f>IF($D65="","",IFERROR(100-100/(1+SUMPRODUCT((終値!E65:R65&gt;終値!F65:S65)*(終値!E65:R65-終値!F65:S65))/SUMPRODUCT((終値!E65:R65&lt;終値!F65:S65)*(終値!F65:S65-終値!E65:R65))),100))</f>
      </c>
      <c r="R65" s="684">
        <f>IF($D65="","",IFERROR(100-100/(1+SUMPRODUCT((((高値!E65:R65+安値!E65:R65+終値!E65:R65)/3)&gt;((高値!F65:S65+安値!F65:S65+終値!F65:S65)/3))*((高値!E65:R65+安値!E65:R65+終値!E65:R65)/3)*出来高!E65:R65)/SUMPRODUCT((((高値!E65:R65+安値!E65:R65+終値!E65:R65)/3)&lt;((高値!F65:S65+安値!F65:S65+終値!F65:S65)/3))*((高値!E65:R65+安値!E65:R65+終値!E65:R65)/3)*出来高!E65:R65)),50))</f>
      </c>
      <c r="S65" s="681">
        <f>IF($D65="","",IF(AND(終値!E65&lt;終値!O65,$Q65&gt;(IFERROR(100-100/(1+SUMPRODUCT((終値!O65:AB65&gt;終値!P65:AC65)*(終値!O65:AB65-終値!P65:AC65))/SUMPRODUCT((終値!O65:AB65&lt;終値!P65:AC65)*(終値!P65:AC65-終値!O65:AB65))),100))),"強気div▲",IF(AND(終値!E65&gt;終値!O65,$Q65&lt;(IFERROR(100-100/(1+SUMPRODUCT((終値!O65:AB65&gt;終値!P65:AC65)*(終値!O65:AB65-終値!P65:AC65))/SUMPRODUCT((終値!O65:AB65&lt;終値!P65:AC65)*(終値!P65:AC65-終値!O65:AB65))),100))),"弱気div▼","－")))</f>
      </c>
      <c r="T65" s="681">
        <f>IF($D65="","",IF($D65&gt;=$H65,"上walk▲",IF($D65&lt;=$I65,"下walk▼","－")))</f>
      </c>
      <c r="U65" s="681">
        <f>IF(終値!A65="","",BB_スイング!BT65)</f>
      </c>
      <c r="V65" s="689">
        <f>IF($D65="","",IFERROR(出来高!E65/AVERAGE(出来高!E65:I65),""))</f>
      </c>
      <c r="W65" s="690">
        <f>IF($D65="","",IF(AND($D65&gt;$G65,$O65="拡大↑",$L65&lt;=$M65*1.8),"◎スクイーズブレイク買",IF(AND($D65&gt;=$H65,$R65&gt;=BB設定!$B$10),"○順張り継続(walk)",IF(AND($S65="強気div▲",$D65&gt;$I65),"○反発(ダイバ)買",IF($U65="二番底W▲","△二番底買(確)",IF($U65="二番底W形成","△二番底形成",IF($D65&lt;$J65,"▼-2σ割れ危険",IF(AND($D65&gt;$E65,$K65&lt;0.6,$R65&gt;=50),"・押し目注目",IF($N65="スクイーズ★","☆スクイーズ監視","様子見")))))))))</f>
      </c>
      <c r="X65" s="685">
        <f>IF($D65="","",MIN(100,IF($L65&lt;=$M65*1.15,20,IF($L65&lt;=$M65*1.4,10,0))+IF($D65&gt;$G65,20,IF($D65&gt;$H65,12,IF($D65&gt;$E65,5,0)))+IF($O65="拡大↑",10,0)+IF($R65&gt;=80,15,IF($R65&gt;=60,10,IF($R65&gt;=50,5,0)))+IF(AND($Q65&gt;=50,$Q65&lt;=70),10,IF($Q65&gt;70,3,IF($Q65&gt;=40,5,0)))+IF($S65="強気div▲",15,0)+IF($T65="上walk▲",5,0)+IF($V65&gt;=2,5,IF($V65&gt;=1.5,3,0))))</f>
      </c>
      <c r="Y65" s="682">
        <f>IF($D65="","",$D65)</f>
      </c>
      <c r="Z65" s="682">
        <f>IF($D65="","",$H65)</f>
      </c>
      <c r="AA65" s="682">
        <f>IF($D65="","",IF($D65&gt;$E65,$E65,$AD65))</f>
      </c>
      <c r="AB65" s="682">
        <f>IF($D65="","",$G65)</f>
      </c>
      <c r="AC65" s="688">
        <f>IF($D65="","",IF(($Y65-$AA65)&lt;=0,"－",IFERROR(ROUND(MIN(20,($AB65-$Y65)/($Y65-$AA65)),2),"－")))</f>
      </c>
      <c r="AD65" s="682">
        <f>IF($D65="","",MIN(終値!E65:I65))</f>
      </c>
      <c r="AE65" s="684">
        <f>IF($D65="","",$X65+(10000-ROW())/100000)</f>
      </c>
    </row>
    <row r="66">
      <c r="A66" s="681">
        <f>IF(終値!A66="","",HYPERLINK("https://kabutan.jp/stock/?code="&amp;終値!A66,"📈"))</f>
      </c>
      <c r="B66" s="681">
        <f>IF(終値!A66="","",終値!A66)</f>
      </c>
      <c r="C66" s="680">
        <f>IF(終値!A66="","",終値!B66)</f>
      </c>
      <c r="D66" s="682">
        <f>IF(終値!A66="","",終値!E66)</f>
      </c>
      <c r="E66" s="682">
        <f>IF($D66="","",AVERAGE(終値!E66:X66))</f>
      </c>
      <c r="F66" s="683">
        <f>IF($D66="","",STDEVP(終値!E66:X66))</f>
      </c>
      <c r="G66" s="682">
        <f>IF($D66="","",$E66+BB設定!$B$4*$F66)</f>
      </c>
      <c r="H66" s="682">
        <f>IF($D66="","",$E66+BB設定!$B$5*$F66)</f>
      </c>
      <c r="I66" s="682">
        <f>IF($D66="","",$E66-BB設定!$B$5*$F66)</f>
      </c>
      <c r="J66" s="682">
        <f>IF($D66="","",$E66-BB設定!$B$4*$F66)</f>
      </c>
      <c r="K66" s="687">
        <f>IF($D66="","",IFERROR(($D66-$J66)/($G66-$J66),""))</f>
      </c>
      <c r="L66" s="686">
        <f>IF($D66="","",IFERROR(($G66-$J66)/$E66*100,""))</f>
      </c>
      <c r="M66" s="686">
        <f>IF($D66="","",IFERROR(MIN(BB_帯幅!B66:AP66)*100,""))</f>
      </c>
      <c r="N66" s="681">
        <f>IF($L66="","",IF($L66&lt;=$M66*BB設定!$B$7,"スクイーズ★",IF($L66&lt;=$M66*1.3,"収縮","－")))</f>
      </c>
      <c r="O66" s="681">
        <f>IF($D66="","",IF($L66&gt;(4*STDEVP(終値!F66:Y66)/AVERAGE(終値!F66:Y66)*100),"拡大↑","縮小↓"))</f>
      </c>
      <c r="P66" s="681">
        <f>IF($D66="","",IF($D66&gt;$G66,"↑+2σ突破",IF($D66&lt;$J66,"↓-2σ割れ",IF($D66&gt;$H66,"+1σ上",IF($D66&lt;$I66,"-1σ下","バンド内")))))</f>
      </c>
      <c r="Q66" s="684">
        <f>IF($D66="","",IFERROR(100-100/(1+SUMPRODUCT((終値!E66:R66&gt;終値!F66:S66)*(終値!E66:R66-終値!F66:S66))/SUMPRODUCT((終値!E66:R66&lt;終値!F66:S66)*(終値!F66:S66-終値!E66:R66))),100))</f>
      </c>
      <c r="R66" s="684">
        <f>IF($D66="","",IFERROR(100-100/(1+SUMPRODUCT((((高値!E66:R66+安値!E66:R66+終値!E66:R66)/3)&gt;((高値!F66:S66+安値!F66:S66+終値!F66:S66)/3))*((高値!E66:R66+安値!E66:R66+終値!E66:R66)/3)*出来高!E66:R66)/SUMPRODUCT((((高値!E66:R66+安値!E66:R66+終値!E66:R66)/3)&lt;((高値!F66:S66+安値!F66:S66+終値!F66:S66)/3))*((高値!E66:R66+安値!E66:R66+終値!E66:R66)/3)*出来高!E66:R66)),50))</f>
      </c>
      <c r="S66" s="681">
        <f>IF($D66="","",IF(AND(終値!E66&lt;終値!O66,$Q66&gt;(IFERROR(100-100/(1+SUMPRODUCT((終値!O66:AB66&gt;終値!P66:AC66)*(終値!O66:AB66-終値!P66:AC66))/SUMPRODUCT((終値!O66:AB66&lt;終値!P66:AC66)*(終値!P66:AC66-終値!O66:AB66))),100))),"強気div▲",IF(AND(終値!E66&gt;終値!O66,$Q66&lt;(IFERROR(100-100/(1+SUMPRODUCT((終値!O66:AB66&gt;終値!P66:AC66)*(終値!O66:AB66-終値!P66:AC66))/SUMPRODUCT((終値!O66:AB66&lt;終値!P66:AC66)*(終値!P66:AC66-終値!O66:AB66))),100))),"弱気div▼","－")))</f>
      </c>
      <c r="T66" s="681">
        <f>IF($D66="","",IF($D66&gt;=$H66,"上walk▲",IF($D66&lt;=$I66,"下walk▼","－")))</f>
      </c>
      <c r="U66" s="681">
        <f>IF(終値!A66="","",BB_スイング!BT66)</f>
      </c>
      <c r="V66" s="689">
        <f>IF($D66="","",IFERROR(出来高!E66/AVERAGE(出来高!E66:I66),""))</f>
      </c>
      <c r="W66" s="690">
        <f>IF($D66="","",IF(AND($D66&gt;$G66,$O66="拡大↑",$L66&lt;=$M66*1.8),"◎スクイーズブレイク買",IF(AND($D66&gt;=$H66,$R66&gt;=BB設定!$B$10),"○順張り継続(walk)",IF(AND($S66="強気div▲",$D66&gt;$I66),"○反発(ダイバ)買",IF($U66="二番底W▲","△二番底買(確)",IF($U66="二番底W形成","△二番底形成",IF($D66&lt;$J66,"▼-2σ割れ危険",IF(AND($D66&gt;$E66,$K66&lt;0.6,$R66&gt;=50),"・押し目注目",IF($N66="スクイーズ★","☆スクイーズ監視","様子見")))))))))</f>
      </c>
      <c r="X66" s="685">
        <f>IF($D66="","",MIN(100,IF($L66&lt;=$M66*1.15,20,IF($L66&lt;=$M66*1.4,10,0))+IF($D66&gt;$G66,20,IF($D66&gt;$H66,12,IF($D66&gt;$E66,5,0)))+IF($O66="拡大↑",10,0)+IF($R66&gt;=80,15,IF($R66&gt;=60,10,IF($R66&gt;=50,5,0)))+IF(AND($Q66&gt;=50,$Q66&lt;=70),10,IF($Q66&gt;70,3,IF($Q66&gt;=40,5,0)))+IF($S66="強気div▲",15,0)+IF($T66="上walk▲",5,0)+IF($V66&gt;=2,5,IF($V66&gt;=1.5,3,0))))</f>
      </c>
      <c r="Y66" s="682">
        <f>IF($D66="","",$D66)</f>
      </c>
      <c r="Z66" s="682">
        <f>IF($D66="","",$H66)</f>
      </c>
      <c r="AA66" s="682">
        <f>IF($D66="","",IF($D66&gt;$E66,$E66,$AD66))</f>
      </c>
      <c r="AB66" s="682">
        <f>IF($D66="","",$G66)</f>
      </c>
      <c r="AC66" s="688">
        <f>IF($D66="","",IF(($Y66-$AA66)&lt;=0,"－",IFERROR(ROUND(MIN(20,($AB66-$Y66)/($Y66-$AA66)),2),"－")))</f>
      </c>
      <c r="AD66" s="682">
        <f>IF($D66="","",MIN(終値!E66:I66))</f>
      </c>
      <c r="AE66" s="684">
        <f>IF($D66="","",$X66+(10000-ROW())/100000)</f>
      </c>
    </row>
    <row r="67">
      <c r="A67" s="681">
        <f>IF(終値!A67="","",HYPERLINK("https://kabutan.jp/stock/?code="&amp;終値!A67,"📈"))</f>
      </c>
      <c r="B67" s="681">
        <f>IF(終値!A67="","",終値!A67)</f>
      </c>
      <c r="C67" s="680">
        <f>IF(終値!A67="","",終値!B67)</f>
      </c>
      <c r="D67" s="682">
        <f>IF(終値!A67="","",終値!E67)</f>
      </c>
      <c r="E67" s="682">
        <f>IF($D67="","",AVERAGE(終値!E67:X67))</f>
      </c>
      <c r="F67" s="683">
        <f>IF($D67="","",STDEVP(終値!E67:X67))</f>
      </c>
      <c r="G67" s="682">
        <f>IF($D67="","",$E67+BB設定!$B$4*$F67)</f>
      </c>
      <c r="H67" s="682">
        <f>IF($D67="","",$E67+BB設定!$B$5*$F67)</f>
      </c>
      <c r="I67" s="682">
        <f>IF($D67="","",$E67-BB設定!$B$5*$F67)</f>
      </c>
      <c r="J67" s="682">
        <f>IF($D67="","",$E67-BB設定!$B$4*$F67)</f>
      </c>
      <c r="K67" s="687">
        <f>IF($D67="","",IFERROR(($D67-$J67)/($G67-$J67),""))</f>
      </c>
      <c r="L67" s="686">
        <f>IF($D67="","",IFERROR(($G67-$J67)/$E67*100,""))</f>
      </c>
      <c r="M67" s="686">
        <f>IF($D67="","",IFERROR(MIN(BB_帯幅!B67:AP67)*100,""))</f>
      </c>
      <c r="N67" s="681">
        <f>IF($L67="","",IF($L67&lt;=$M67*BB設定!$B$7,"スクイーズ★",IF($L67&lt;=$M67*1.3,"収縮","－")))</f>
      </c>
      <c r="O67" s="681">
        <f>IF($D67="","",IF($L67&gt;(4*STDEVP(終値!F67:Y67)/AVERAGE(終値!F67:Y67)*100),"拡大↑","縮小↓"))</f>
      </c>
      <c r="P67" s="681">
        <f>IF($D67="","",IF($D67&gt;$G67,"↑+2σ突破",IF($D67&lt;$J67,"↓-2σ割れ",IF($D67&gt;$H67,"+1σ上",IF($D67&lt;$I67,"-1σ下","バンド内")))))</f>
      </c>
      <c r="Q67" s="684">
        <f>IF($D67="","",IFERROR(100-100/(1+SUMPRODUCT((終値!E67:R67&gt;終値!F67:S67)*(終値!E67:R67-終値!F67:S67))/SUMPRODUCT((終値!E67:R67&lt;終値!F67:S67)*(終値!F67:S67-終値!E67:R67))),100))</f>
      </c>
      <c r="R67" s="684">
        <f>IF($D67="","",IFERROR(100-100/(1+SUMPRODUCT((((高値!E67:R67+安値!E67:R67+終値!E67:R67)/3)&gt;((高値!F67:S67+安値!F67:S67+終値!F67:S67)/3))*((高値!E67:R67+安値!E67:R67+終値!E67:R67)/3)*出来高!E67:R67)/SUMPRODUCT((((高値!E67:R67+安値!E67:R67+終値!E67:R67)/3)&lt;((高値!F67:S67+安値!F67:S67+終値!F67:S67)/3))*((高値!E67:R67+安値!E67:R67+終値!E67:R67)/3)*出来高!E67:R67)),50))</f>
      </c>
      <c r="S67" s="681">
        <f>IF($D67="","",IF(AND(終値!E67&lt;終値!O67,$Q67&gt;(IFERROR(100-100/(1+SUMPRODUCT((終値!O67:AB67&gt;終値!P67:AC67)*(終値!O67:AB67-終値!P67:AC67))/SUMPRODUCT((終値!O67:AB67&lt;終値!P67:AC67)*(終値!P67:AC67-終値!O67:AB67))),100))),"強気div▲",IF(AND(終値!E67&gt;終値!O67,$Q67&lt;(IFERROR(100-100/(1+SUMPRODUCT((終値!O67:AB67&gt;終値!P67:AC67)*(終値!O67:AB67-終値!P67:AC67))/SUMPRODUCT((終値!O67:AB67&lt;終値!P67:AC67)*(終値!P67:AC67-終値!O67:AB67))),100))),"弱気div▼","－")))</f>
      </c>
      <c r="T67" s="681">
        <f>IF($D67="","",IF($D67&gt;=$H67,"上walk▲",IF($D67&lt;=$I67,"下walk▼","－")))</f>
      </c>
      <c r="U67" s="681">
        <f>IF(終値!A67="","",BB_スイング!BT67)</f>
      </c>
      <c r="V67" s="689">
        <f>IF($D67="","",IFERROR(出来高!E67/AVERAGE(出来高!E67:I67),""))</f>
      </c>
      <c r="W67" s="690">
        <f>IF($D67="","",IF(AND($D67&gt;$G67,$O67="拡大↑",$L67&lt;=$M67*1.8),"◎スクイーズブレイク買",IF(AND($D67&gt;=$H67,$R67&gt;=BB設定!$B$10),"○順張り継続(walk)",IF(AND($S67="強気div▲",$D67&gt;$I67),"○反発(ダイバ)買",IF($U67="二番底W▲","△二番底買(確)",IF($U67="二番底W形成","△二番底形成",IF($D67&lt;$J67,"▼-2σ割れ危険",IF(AND($D67&gt;$E67,$K67&lt;0.6,$R67&gt;=50),"・押し目注目",IF($N67="スクイーズ★","☆スクイーズ監視","様子見")))))))))</f>
      </c>
      <c r="X67" s="685">
        <f>IF($D67="","",MIN(100,IF($L67&lt;=$M67*1.15,20,IF($L67&lt;=$M67*1.4,10,0))+IF($D67&gt;$G67,20,IF($D67&gt;$H67,12,IF($D67&gt;$E67,5,0)))+IF($O67="拡大↑",10,0)+IF($R67&gt;=80,15,IF($R67&gt;=60,10,IF($R67&gt;=50,5,0)))+IF(AND($Q67&gt;=50,$Q67&lt;=70),10,IF($Q67&gt;70,3,IF($Q67&gt;=40,5,0)))+IF($S67="強気div▲",15,0)+IF($T67="上walk▲",5,0)+IF($V67&gt;=2,5,IF($V67&gt;=1.5,3,0))))</f>
      </c>
      <c r="Y67" s="682">
        <f>IF($D67="","",$D67)</f>
      </c>
      <c r="Z67" s="682">
        <f>IF($D67="","",$H67)</f>
      </c>
      <c r="AA67" s="682">
        <f>IF($D67="","",IF($D67&gt;$E67,$E67,$AD67))</f>
      </c>
      <c r="AB67" s="682">
        <f>IF($D67="","",$G67)</f>
      </c>
      <c r="AC67" s="688">
        <f>IF($D67="","",IF(($Y67-$AA67)&lt;=0,"－",IFERROR(ROUND(MIN(20,($AB67-$Y67)/($Y67-$AA67)),2),"－")))</f>
      </c>
      <c r="AD67" s="682">
        <f>IF($D67="","",MIN(終値!E67:I67))</f>
      </c>
      <c r="AE67" s="684">
        <f>IF($D67="","",$X67+(10000-ROW())/100000)</f>
      </c>
    </row>
    <row r="68">
      <c r="A68" s="681">
        <f>IF(終値!A68="","",HYPERLINK("https://kabutan.jp/stock/?code="&amp;終値!A68,"📈"))</f>
      </c>
      <c r="B68" s="681">
        <f>IF(終値!A68="","",終値!A68)</f>
      </c>
      <c r="C68" s="680">
        <f>IF(終値!A68="","",終値!B68)</f>
      </c>
      <c r="D68" s="682">
        <f>IF(終値!A68="","",終値!E68)</f>
      </c>
      <c r="E68" s="682">
        <f>IF($D68="","",AVERAGE(終値!E68:X68))</f>
      </c>
      <c r="F68" s="683">
        <f>IF($D68="","",STDEVP(終値!E68:X68))</f>
      </c>
      <c r="G68" s="682">
        <f>IF($D68="","",$E68+BB設定!$B$4*$F68)</f>
      </c>
      <c r="H68" s="682">
        <f>IF($D68="","",$E68+BB設定!$B$5*$F68)</f>
      </c>
      <c r="I68" s="682">
        <f>IF($D68="","",$E68-BB設定!$B$5*$F68)</f>
      </c>
      <c r="J68" s="682">
        <f>IF($D68="","",$E68-BB設定!$B$4*$F68)</f>
      </c>
      <c r="K68" s="687">
        <f>IF($D68="","",IFERROR(($D68-$J68)/($G68-$J68),""))</f>
      </c>
      <c r="L68" s="686">
        <f>IF($D68="","",IFERROR(($G68-$J68)/$E68*100,""))</f>
      </c>
      <c r="M68" s="686">
        <f>IF($D68="","",IFERROR(MIN(BB_帯幅!B68:AP68)*100,""))</f>
      </c>
      <c r="N68" s="681">
        <f>IF($L68="","",IF($L68&lt;=$M68*BB設定!$B$7,"スクイーズ★",IF($L68&lt;=$M68*1.3,"収縮","－")))</f>
      </c>
      <c r="O68" s="681">
        <f>IF($D68="","",IF($L68&gt;(4*STDEVP(終値!F68:Y68)/AVERAGE(終値!F68:Y68)*100),"拡大↑","縮小↓"))</f>
      </c>
      <c r="P68" s="681">
        <f>IF($D68="","",IF($D68&gt;$G68,"↑+2σ突破",IF($D68&lt;$J68,"↓-2σ割れ",IF($D68&gt;$H68,"+1σ上",IF($D68&lt;$I68,"-1σ下","バンド内")))))</f>
      </c>
      <c r="Q68" s="684">
        <f>IF($D68="","",IFERROR(100-100/(1+SUMPRODUCT((終値!E68:R68&gt;終値!F68:S68)*(終値!E68:R68-終値!F68:S68))/SUMPRODUCT((終値!E68:R68&lt;終値!F68:S68)*(終値!F68:S68-終値!E68:R68))),100))</f>
      </c>
      <c r="R68" s="684">
        <f>IF($D68="","",IFERROR(100-100/(1+SUMPRODUCT((((高値!E68:R68+安値!E68:R68+終値!E68:R68)/3)&gt;((高値!F68:S68+安値!F68:S68+終値!F68:S68)/3))*((高値!E68:R68+安値!E68:R68+終値!E68:R68)/3)*出来高!E68:R68)/SUMPRODUCT((((高値!E68:R68+安値!E68:R68+終値!E68:R68)/3)&lt;((高値!F68:S68+安値!F68:S68+終値!F68:S68)/3))*((高値!E68:R68+安値!E68:R68+終値!E68:R68)/3)*出来高!E68:R68)),50))</f>
      </c>
      <c r="S68" s="681">
        <f>IF($D68="","",IF(AND(終値!E68&lt;終値!O68,$Q68&gt;(IFERROR(100-100/(1+SUMPRODUCT((終値!O68:AB68&gt;終値!P68:AC68)*(終値!O68:AB68-終値!P68:AC68))/SUMPRODUCT((終値!O68:AB68&lt;終値!P68:AC68)*(終値!P68:AC68-終値!O68:AB68))),100))),"強気div▲",IF(AND(終値!E68&gt;終値!O68,$Q68&lt;(IFERROR(100-100/(1+SUMPRODUCT((終値!O68:AB68&gt;終値!P68:AC68)*(終値!O68:AB68-終値!P68:AC68))/SUMPRODUCT((終値!O68:AB68&lt;終値!P68:AC68)*(終値!P68:AC68-終値!O68:AB68))),100))),"弱気div▼","－")))</f>
      </c>
      <c r="T68" s="681">
        <f>IF($D68="","",IF($D68&gt;=$H68,"上walk▲",IF($D68&lt;=$I68,"下walk▼","－")))</f>
      </c>
      <c r="U68" s="681">
        <f>IF(終値!A68="","",BB_スイング!BT68)</f>
      </c>
      <c r="V68" s="689">
        <f>IF($D68="","",IFERROR(出来高!E68/AVERAGE(出来高!E68:I68),""))</f>
      </c>
      <c r="W68" s="690">
        <f>IF($D68="","",IF(AND($D68&gt;$G68,$O68="拡大↑",$L68&lt;=$M68*1.8),"◎スクイーズブレイク買",IF(AND($D68&gt;=$H68,$R68&gt;=BB設定!$B$10),"○順張り継続(walk)",IF(AND($S68="強気div▲",$D68&gt;$I68),"○反発(ダイバ)買",IF($U68="二番底W▲","△二番底買(確)",IF($U68="二番底W形成","△二番底形成",IF($D68&lt;$J68,"▼-2σ割れ危険",IF(AND($D68&gt;$E68,$K68&lt;0.6,$R68&gt;=50),"・押し目注目",IF($N68="スクイーズ★","☆スクイーズ監視","様子見")))))))))</f>
      </c>
      <c r="X68" s="685">
        <f>IF($D68="","",MIN(100,IF($L68&lt;=$M68*1.15,20,IF($L68&lt;=$M68*1.4,10,0))+IF($D68&gt;$G68,20,IF($D68&gt;$H68,12,IF($D68&gt;$E68,5,0)))+IF($O68="拡大↑",10,0)+IF($R68&gt;=80,15,IF($R68&gt;=60,10,IF($R68&gt;=50,5,0)))+IF(AND($Q68&gt;=50,$Q68&lt;=70),10,IF($Q68&gt;70,3,IF($Q68&gt;=40,5,0)))+IF($S68="強気div▲",15,0)+IF($T68="上walk▲",5,0)+IF($V68&gt;=2,5,IF($V68&gt;=1.5,3,0))))</f>
      </c>
      <c r="Y68" s="682">
        <f>IF($D68="","",$D68)</f>
      </c>
      <c r="Z68" s="682">
        <f>IF($D68="","",$H68)</f>
      </c>
      <c r="AA68" s="682">
        <f>IF($D68="","",IF($D68&gt;$E68,$E68,$AD68))</f>
      </c>
      <c r="AB68" s="682">
        <f>IF($D68="","",$G68)</f>
      </c>
      <c r="AC68" s="688">
        <f>IF($D68="","",IF(($Y68-$AA68)&lt;=0,"－",IFERROR(ROUND(MIN(20,($AB68-$Y68)/($Y68-$AA68)),2),"－")))</f>
      </c>
      <c r="AD68" s="682">
        <f>IF($D68="","",MIN(終値!E68:I68))</f>
      </c>
      <c r="AE68" s="684">
        <f>IF($D68="","",$X68+(10000-ROW())/100000)</f>
      </c>
    </row>
    <row r="69">
      <c r="A69" s="681">
        <f>IF(終値!A69="","",HYPERLINK("https://kabutan.jp/stock/?code="&amp;終値!A69,"📈"))</f>
      </c>
      <c r="B69" s="681">
        <f>IF(終値!A69="","",終値!A69)</f>
      </c>
      <c r="C69" s="680">
        <f>IF(終値!A69="","",終値!B69)</f>
      </c>
      <c r="D69" s="682">
        <f>IF(終値!A69="","",終値!E69)</f>
      </c>
      <c r="E69" s="682">
        <f>IF($D69="","",AVERAGE(終値!E69:X69))</f>
      </c>
      <c r="F69" s="683">
        <f>IF($D69="","",STDEVP(終値!E69:X69))</f>
      </c>
      <c r="G69" s="682">
        <f>IF($D69="","",$E69+BB設定!$B$4*$F69)</f>
      </c>
      <c r="H69" s="682">
        <f>IF($D69="","",$E69+BB設定!$B$5*$F69)</f>
      </c>
      <c r="I69" s="682">
        <f>IF($D69="","",$E69-BB設定!$B$5*$F69)</f>
      </c>
      <c r="J69" s="682">
        <f>IF($D69="","",$E69-BB設定!$B$4*$F69)</f>
      </c>
      <c r="K69" s="687">
        <f>IF($D69="","",IFERROR(($D69-$J69)/($G69-$J69),""))</f>
      </c>
      <c r="L69" s="686">
        <f>IF($D69="","",IFERROR(($G69-$J69)/$E69*100,""))</f>
      </c>
      <c r="M69" s="686">
        <f>IF($D69="","",IFERROR(MIN(BB_帯幅!B69:AP69)*100,""))</f>
      </c>
      <c r="N69" s="681">
        <f>IF($L69="","",IF($L69&lt;=$M69*BB設定!$B$7,"スクイーズ★",IF($L69&lt;=$M69*1.3,"収縮","－")))</f>
      </c>
      <c r="O69" s="681">
        <f>IF($D69="","",IF($L69&gt;(4*STDEVP(終値!F69:Y69)/AVERAGE(終値!F69:Y69)*100),"拡大↑","縮小↓"))</f>
      </c>
      <c r="P69" s="681">
        <f>IF($D69="","",IF($D69&gt;$G69,"↑+2σ突破",IF($D69&lt;$J69,"↓-2σ割れ",IF($D69&gt;$H69,"+1σ上",IF($D69&lt;$I69,"-1σ下","バンド内")))))</f>
      </c>
      <c r="Q69" s="684">
        <f>IF($D69="","",IFERROR(100-100/(1+SUMPRODUCT((終値!E69:R69&gt;終値!F69:S69)*(終値!E69:R69-終値!F69:S69))/SUMPRODUCT((終値!E69:R69&lt;終値!F69:S69)*(終値!F69:S69-終値!E69:R69))),100))</f>
      </c>
      <c r="R69" s="684">
        <f>IF($D69="","",IFERROR(100-100/(1+SUMPRODUCT((((高値!E69:R69+安値!E69:R69+終値!E69:R69)/3)&gt;((高値!F69:S69+安値!F69:S69+終値!F69:S69)/3))*((高値!E69:R69+安値!E69:R69+終値!E69:R69)/3)*出来高!E69:R69)/SUMPRODUCT((((高値!E69:R69+安値!E69:R69+終値!E69:R69)/3)&lt;((高値!F69:S69+安値!F69:S69+終値!F69:S69)/3))*((高値!E69:R69+安値!E69:R69+終値!E69:R69)/3)*出来高!E69:R69)),50))</f>
      </c>
      <c r="S69" s="681">
        <f>IF($D69="","",IF(AND(終値!E69&lt;終値!O69,$Q69&gt;(IFERROR(100-100/(1+SUMPRODUCT((終値!O69:AB69&gt;終値!P69:AC69)*(終値!O69:AB69-終値!P69:AC69))/SUMPRODUCT((終値!O69:AB69&lt;終値!P69:AC69)*(終値!P69:AC69-終値!O69:AB69))),100))),"強気div▲",IF(AND(終値!E69&gt;終値!O69,$Q69&lt;(IFERROR(100-100/(1+SUMPRODUCT((終値!O69:AB69&gt;終値!P69:AC69)*(終値!O69:AB69-終値!P69:AC69))/SUMPRODUCT((終値!O69:AB69&lt;終値!P69:AC69)*(終値!P69:AC69-終値!O69:AB69))),100))),"弱気div▼","－")))</f>
      </c>
      <c r="T69" s="681">
        <f>IF($D69="","",IF($D69&gt;=$H69,"上walk▲",IF($D69&lt;=$I69,"下walk▼","－")))</f>
      </c>
      <c r="U69" s="681">
        <f>IF(終値!A69="","",BB_スイング!BT69)</f>
      </c>
      <c r="V69" s="689">
        <f>IF($D69="","",IFERROR(出来高!E69/AVERAGE(出来高!E69:I69),""))</f>
      </c>
      <c r="W69" s="690">
        <f>IF($D69="","",IF(AND($D69&gt;$G69,$O69="拡大↑",$L69&lt;=$M69*1.8),"◎スクイーズブレイク買",IF(AND($D69&gt;=$H69,$R69&gt;=BB設定!$B$10),"○順張り継続(walk)",IF(AND($S69="強気div▲",$D69&gt;$I69),"○反発(ダイバ)買",IF($U69="二番底W▲","△二番底買(確)",IF($U69="二番底W形成","△二番底形成",IF($D69&lt;$J69,"▼-2σ割れ危険",IF(AND($D69&gt;$E69,$K69&lt;0.6,$R69&gt;=50),"・押し目注目",IF($N69="スクイーズ★","☆スクイーズ監視","様子見")))))))))</f>
      </c>
      <c r="X69" s="685">
        <f>IF($D69="","",MIN(100,IF($L69&lt;=$M69*1.15,20,IF($L69&lt;=$M69*1.4,10,0))+IF($D69&gt;$G69,20,IF($D69&gt;$H69,12,IF($D69&gt;$E69,5,0)))+IF($O69="拡大↑",10,0)+IF($R69&gt;=80,15,IF($R69&gt;=60,10,IF($R69&gt;=50,5,0)))+IF(AND($Q69&gt;=50,$Q69&lt;=70),10,IF($Q69&gt;70,3,IF($Q69&gt;=40,5,0)))+IF($S69="強気div▲",15,0)+IF($T69="上walk▲",5,0)+IF($V69&gt;=2,5,IF($V69&gt;=1.5,3,0))))</f>
      </c>
      <c r="Y69" s="682">
        <f>IF($D69="","",$D69)</f>
      </c>
      <c r="Z69" s="682">
        <f>IF($D69="","",$H69)</f>
      </c>
      <c r="AA69" s="682">
        <f>IF($D69="","",IF($D69&gt;$E69,$E69,$AD69))</f>
      </c>
      <c r="AB69" s="682">
        <f>IF($D69="","",$G69)</f>
      </c>
      <c r="AC69" s="688">
        <f>IF($D69="","",IF(($Y69-$AA69)&lt;=0,"－",IFERROR(ROUND(MIN(20,($AB69-$Y69)/($Y69-$AA69)),2),"－")))</f>
      </c>
      <c r="AD69" s="682">
        <f>IF($D69="","",MIN(終値!E69:I69))</f>
      </c>
      <c r="AE69" s="684">
        <f>IF($D69="","",$X69+(10000-ROW())/100000)</f>
      </c>
    </row>
    <row r="70">
      <c r="A70" s="681">
        <f>IF(終値!A70="","",HYPERLINK("https://kabutan.jp/stock/?code="&amp;終値!A70,"📈"))</f>
      </c>
      <c r="B70" s="681">
        <f>IF(終値!A70="","",終値!A70)</f>
      </c>
      <c r="C70" s="680">
        <f>IF(終値!A70="","",終値!B70)</f>
      </c>
      <c r="D70" s="682">
        <f>IF(終値!A70="","",終値!E70)</f>
      </c>
      <c r="E70" s="682">
        <f>IF($D70="","",AVERAGE(終値!E70:X70))</f>
      </c>
      <c r="F70" s="683">
        <f>IF($D70="","",STDEVP(終値!E70:X70))</f>
      </c>
      <c r="G70" s="682">
        <f>IF($D70="","",$E70+BB設定!$B$4*$F70)</f>
      </c>
      <c r="H70" s="682">
        <f>IF($D70="","",$E70+BB設定!$B$5*$F70)</f>
      </c>
      <c r="I70" s="682">
        <f>IF($D70="","",$E70-BB設定!$B$5*$F70)</f>
      </c>
      <c r="J70" s="682">
        <f>IF($D70="","",$E70-BB設定!$B$4*$F70)</f>
      </c>
      <c r="K70" s="687">
        <f>IF($D70="","",IFERROR(($D70-$J70)/($G70-$J70),""))</f>
      </c>
      <c r="L70" s="686">
        <f>IF($D70="","",IFERROR(($G70-$J70)/$E70*100,""))</f>
      </c>
      <c r="M70" s="686">
        <f>IF($D70="","",IFERROR(MIN(BB_帯幅!B70:AP70)*100,""))</f>
      </c>
      <c r="N70" s="681">
        <f>IF($L70="","",IF($L70&lt;=$M70*BB設定!$B$7,"スクイーズ★",IF($L70&lt;=$M70*1.3,"収縮","－")))</f>
      </c>
      <c r="O70" s="681">
        <f>IF($D70="","",IF($L70&gt;(4*STDEVP(終値!F70:Y70)/AVERAGE(終値!F70:Y70)*100),"拡大↑","縮小↓"))</f>
      </c>
      <c r="P70" s="681">
        <f>IF($D70="","",IF($D70&gt;$G70,"↑+2σ突破",IF($D70&lt;$J70,"↓-2σ割れ",IF($D70&gt;$H70,"+1σ上",IF($D70&lt;$I70,"-1σ下","バンド内")))))</f>
      </c>
      <c r="Q70" s="684">
        <f>IF($D70="","",IFERROR(100-100/(1+SUMPRODUCT((終値!E70:R70&gt;終値!F70:S70)*(終値!E70:R70-終値!F70:S70))/SUMPRODUCT((終値!E70:R70&lt;終値!F70:S70)*(終値!F70:S70-終値!E70:R70))),100))</f>
      </c>
      <c r="R70" s="684">
        <f>IF($D70="","",IFERROR(100-100/(1+SUMPRODUCT((((高値!E70:R70+安値!E70:R70+終値!E70:R70)/3)&gt;((高値!F70:S70+安値!F70:S70+終値!F70:S70)/3))*((高値!E70:R70+安値!E70:R70+終値!E70:R70)/3)*出来高!E70:R70)/SUMPRODUCT((((高値!E70:R70+安値!E70:R70+終値!E70:R70)/3)&lt;((高値!F70:S70+安値!F70:S70+終値!F70:S70)/3))*((高値!E70:R70+安値!E70:R70+終値!E70:R70)/3)*出来高!E70:R70)),50))</f>
      </c>
      <c r="S70" s="681">
        <f>IF($D70="","",IF(AND(終値!E70&lt;終値!O70,$Q70&gt;(IFERROR(100-100/(1+SUMPRODUCT((終値!O70:AB70&gt;終値!P70:AC70)*(終値!O70:AB70-終値!P70:AC70))/SUMPRODUCT((終値!O70:AB70&lt;終値!P70:AC70)*(終値!P70:AC70-終値!O70:AB70))),100))),"強気div▲",IF(AND(終値!E70&gt;終値!O70,$Q70&lt;(IFERROR(100-100/(1+SUMPRODUCT((終値!O70:AB70&gt;終値!P70:AC70)*(終値!O70:AB70-終値!P70:AC70))/SUMPRODUCT((終値!O70:AB70&lt;終値!P70:AC70)*(終値!P70:AC70-終値!O70:AB70))),100))),"弱気div▼","－")))</f>
      </c>
      <c r="T70" s="681">
        <f>IF($D70="","",IF($D70&gt;=$H70,"上walk▲",IF($D70&lt;=$I70,"下walk▼","－")))</f>
      </c>
      <c r="U70" s="681">
        <f>IF(終値!A70="","",BB_スイング!BT70)</f>
      </c>
      <c r="V70" s="689">
        <f>IF($D70="","",IFERROR(出来高!E70/AVERAGE(出来高!E70:I70),""))</f>
      </c>
      <c r="W70" s="690">
        <f>IF($D70="","",IF(AND($D70&gt;$G70,$O70="拡大↑",$L70&lt;=$M70*1.8),"◎スクイーズブレイク買",IF(AND($D70&gt;=$H70,$R70&gt;=BB設定!$B$10),"○順張り継続(walk)",IF(AND($S70="強気div▲",$D70&gt;$I70),"○反発(ダイバ)買",IF($U70="二番底W▲","△二番底買(確)",IF($U70="二番底W形成","△二番底形成",IF($D70&lt;$J70,"▼-2σ割れ危険",IF(AND($D70&gt;$E70,$K70&lt;0.6,$R70&gt;=50),"・押し目注目",IF($N70="スクイーズ★","☆スクイーズ監視","様子見")))))))))</f>
      </c>
      <c r="X70" s="685">
        <f>IF($D70="","",MIN(100,IF($L70&lt;=$M70*1.15,20,IF($L70&lt;=$M70*1.4,10,0))+IF($D70&gt;$G70,20,IF($D70&gt;$H70,12,IF($D70&gt;$E70,5,0)))+IF($O70="拡大↑",10,0)+IF($R70&gt;=80,15,IF($R70&gt;=60,10,IF($R70&gt;=50,5,0)))+IF(AND($Q70&gt;=50,$Q70&lt;=70),10,IF($Q70&gt;70,3,IF($Q70&gt;=40,5,0)))+IF($S70="強気div▲",15,0)+IF($T70="上walk▲",5,0)+IF($V70&gt;=2,5,IF($V70&gt;=1.5,3,0))))</f>
      </c>
      <c r="Y70" s="682">
        <f>IF($D70="","",$D70)</f>
      </c>
      <c r="Z70" s="682">
        <f>IF($D70="","",$H70)</f>
      </c>
      <c r="AA70" s="682">
        <f>IF($D70="","",IF($D70&gt;$E70,$E70,$AD70))</f>
      </c>
      <c r="AB70" s="682">
        <f>IF($D70="","",$G70)</f>
      </c>
      <c r="AC70" s="688">
        <f>IF($D70="","",IF(($Y70-$AA70)&lt;=0,"－",IFERROR(ROUND(MIN(20,($AB70-$Y70)/($Y70-$AA70)),2),"－")))</f>
      </c>
      <c r="AD70" s="682">
        <f>IF($D70="","",MIN(終値!E70:I70))</f>
      </c>
      <c r="AE70" s="684">
        <f>IF($D70="","",$X70+(10000-ROW())/100000)</f>
      </c>
    </row>
    <row r="71">
      <c r="A71" s="681">
        <f>IF(終値!A71="","",HYPERLINK("https://kabutan.jp/stock/?code="&amp;終値!A71,"📈"))</f>
      </c>
      <c r="B71" s="681">
        <f>IF(終値!A71="","",終値!A71)</f>
      </c>
      <c r="C71" s="680">
        <f>IF(終値!A71="","",終値!B71)</f>
      </c>
      <c r="D71" s="682">
        <f>IF(終値!A71="","",終値!E71)</f>
      </c>
      <c r="E71" s="682">
        <f>IF($D71="","",AVERAGE(終値!E71:X71))</f>
      </c>
      <c r="F71" s="683">
        <f>IF($D71="","",STDEVP(終値!E71:X71))</f>
      </c>
      <c r="G71" s="682">
        <f>IF($D71="","",$E71+BB設定!$B$4*$F71)</f>
      </c>
      <c r="H71" s="682">
        <f>IF($D71="","",$E71+BB設定!$B$5*$F71)</f>
      </c>
      <c r="I71" s="682">
        <f>IF($D71="","",$E71-BB設定!$B$5*$F71)</f>
      </c>
      <c r="J71" s="682">
        <f>IF($D71="","",$E71-BB設定!$B$4*$F71)</f>
      </c>
      <c r="K71" s="687">
        <f>IF($D71="","",IFERROR(($D71-$J71)/($G71-$J71),""))</f>
      </c>
      <c r="L71" s="686">
        <f>IF($D71="","",IFERROR(($G71-$J71)/$E71*100,""))</f>
      </c>
      <c r="M71" s="686">
        <f>IF($D71="","",IFERROR(MIN(BB_帯幅!B71:AP71)*100,""))</f>
      </c>
      <c r="N71" s="681">
        <f>IF($L71="","",IF($L71&lt;=$M71*BB設定!$B$7,"スクイーズ★",IF($L71&lt;=$M71*1.3,"収縮","－")))</f>
      </c>
      <c r="O71" s="681">
        <f>IF($D71="","",IF($L71&gt;(4*STDEVP(終値!F71:Y71)/AVERAGE(終値!F71:Y71)*100),"拡大↑","縮小↓"))</f>
      </c>
      <c r="P71" s="681">
        <f>IF($D71="","",IF($D71&gt;$G71,"↑+2σ突破",IF($D71&lt;$J71,"↓-2σ割れ",IF($D71&gt;$H71,"+1σ上",IF($D71&lt;$I71,"-1σ下","バンド内")))))</f>
      </c>
      <c r="Q71" s="684">
        <f>IF($D71="","",IFERROR(100-100/(1+SUMPRODUCT((終値!E71:R71&gt;終値!F71:S71)*(終値!E71:R71-終値!F71:S71))/SUMPRODUCT((終値!E71:R71&lt;終値!F71:S71)*(終値!F71:S71-終値!E71:R71))),100))</f>
      </c>
      <c r="R71" s="684">
        <f>IF($D71="","",IFERROR(100-100/(1+SUMPRODUCT((((高値!E71:R71+安値!E71:R71+終値!E71:R71)/3)&gt;((高値!F71:S71+安値!F71:S71+終値!F71:S71)/3))*((高値!E71:R71+安値!E71:R71+終値!E71:R71)/3)*出来高!E71:R71)/SUMPRODUCT((((高値!E71:R71+安値!E71:R71+終値!E71:R71)/3)&lt;((高値!F71:S71+安値!F71:S71+終値!F71:S71)/3))*((高値!E71:R71+安値!E71:R71+終値!E71:R71)/3)*出来高!E71:R71)),50))</f>
      </c>
      <c r="S71" s="681">
        <f>IF($D71="","",IF(AND(終値!E71&lt;終値!O71,$Q71&gt;(IFERROR(100-100/(1+SUMPRODUCT((終値!O71:AB71&gt;終値!P71:AC71)*(終値!O71:AB71-終値!P71:AC71))/SUMPRODUCT((終値!O71:AB71&lt;終値!P71:AC71)*(終値!P71:AC71-終値!O71:AB71))),100))),"強気div▲",IF(AND(終値!E71&gt;終値!O71,$Q71&lt;(IFERROR(100-100/(1+SUMPRODUCT((終値!O71:AB71&gt;終値!P71:AC71)*(終値!O71:AB71-終値!P71:AC71))/SUMPRODUCT((終値!O71:AB71&lt;終値!P71:AC71)*(終値!P71:AC71-終値!O71:AB71))),100))),"弱気div▼","－")))</f>
      </c>
      <c r="T71" s="681">
        <f>IF($D71="","",IF($D71&gt;=$H71,"上walk▲",IF($D71&lt;=$I71,"下walk▼","－")))</f>
      </c>
      <c r="U71" s="681">
        <f>IF(終値!A71="","",BB_スイング!BT71)</f>
      </c>
      <c r="V71" s="689">
        <f>IF($D71="","",IFERROR(出来高!E71/AVERAGE(出来高!E71:I71),""))</f>
      </c>
      <c r="W71" s="690">
        <f>IF($D71="","",IF(AND($D71&gt;$G71,$O71="拡大↑",$L71&lt;=$M71*1.8),"◎スクイーズブレイク買",IF(AND($D71&gt;=$H71,$R71&gt;=BB設定!$B$10),"○順張り継続(walk)",IF(AND($S71="強気div▲",$D71&gt;$I71),"○反発(ダイバ)買",IF($U71="二番底W▲","△二番底買(確)",IF($U71="二番底W形成","△二番底形成",IF($D71&lt;$J71,"▼-2σ割れ危険",IF(AND($D71&gt;$E71,$K71&lt;0.6,$R71&gt;=50),"・押し目注目",IF($N71="スクイーズ★","☆スクイーズ監視","様子見")))))))))</f>
      </c>
      <c r="X71" s="685">
        <f>IF($D71="","",MIN(100,IF($L71&lt;=$M71*1.15,20,IF($L71&lt;=$M71*1.4,10,0))+IF($D71&gt;$G71,20,IF($D71&gt;$H71,12,IF($D71&gt;$E71,5,0)))+IF($O71="拡大↑",10,0)+IF($R71&gt;=80,15,IF($R71&gt;=60,10,IF($R71&gt;=50,5,0)))+IF(AND($Q71&gt;=50,$Q71&lt;=70),10,IF($Q71&gt;70,3,IF($Q71&gt;=40,5,0)))+IF($S71="強気div▲",15,0)+IF($T71="上walk▲",5,0)+IF($V71&gt;=2,5,IF($V71&gt;=1.5,3,0))))</f>
      </c>
      <c r="Y71" s="682">
        <f>IF($D71="","",$D71)</f>
      </c>
      <c r="Z71" s="682">
        <f>IF($D71="","",$H71)</f>
      </c>
      <c r="AA71" s="682">
        <f>IF($D71="","",IF($D71&gt;$E71,$E71,$AD71))</f>
      </c>
      <c r="AB71" s="682">
        <f>IF($D71="","",$G71)</f>
      </c>
      <c r="AC71" s="688">
        <f>IF($D71="","",IF(($Y71-$AA71)&lt;=0,"－",IFERROR(ROUND(MIN(20,($AB71-$Y71)/($Y71-$AA71)),2),"－")))</f>
      </c>
      <c r="AD71" s="682">
        <f>IF($D71="","",MIN(終値!E71:I71))</f>
      </c>
      <c r="AE71" s="684">
        <f>IF($D71="","",$X71+(10000-ROW())/100000)</f>
      </c>
    </row>
    <row r="72">
      <c r="A72" s="681">
        <f>IF(終値!A72="","",HYPERLINK("https://kabutan.jp/stock/?code="&amp;終値!A72,"📈"))</f>
      </c>
      <c r="B72" s="681">
        <f>IF(終値!A72="","",終値!A72)</f>
      </c>
      <c r="C72" s="680">
        <f>IF(終値!A72="","",終値!B72)</f>
      </c>
      <c r="D72" s="682">
        <f>IF(終値!A72="","",終値!E72)</f>
      </c>
      <c r="E72" s="682">
        <f>IF($D72="","",AVERAGE(終値!E72:X72))</f>
      </c>
      <c r="F72" s="683">
        <f>IF($D72="","",STDEVP(終値!E72:X72))</f>
      </c>
      <c r="G72" s="682">
        <f>IF($D72="","",$E72+BB設定!$B$4*$F72)</f>
      </c>
      <c r="H72" s="682">
        <f>IF($D72="","",$E72+BB設定!$B$5*$F72)</f>
      </c>
      <c r="I72" s="682">
        <f>IF($D72="","",$E72-BB設定!$B$5*$F72)</f>
      </c>
      <c r="J72" s="682">
        <f>IF($D72="","",$E72-BB設定!$B$4*$F72)</f>
      </c>
      <c r="K72" s="687">
        <f>IF($D72="","",IFERROR(($D72-$J72)/($G72-$J72),""))</f>
      </c>
      <c r="L72" s="686">
        <f>IF($D72="","",IFERROR(($G72-$J72)/$E72*100,""))</f>
      </c>
      <c r="M72" s="686">
        <f>IF($D72="","",IFERROR(MIN(BB_帯幅!B72:AP72)*100,""))</f>
      </c>
      <c r="N72" s="681">
        <f>IF($L72="","",IF($L72&lt;=$M72*BB設定!$B$7,"スクイーズ★",IF($L72&lt;=$M72*1.3,"収縮","－")))</f>
      </c>
      <c r="O72" s="681">
        <f>IF($D72="","",IF($L72&gt;(4*STDEVP(終値!F72:Y72)/AVERAGE(終値!F72:Y72)*100),"拡大↑","縮小↓"))</f>
      </c>
      <c r="P72" s="681">
        <f>IF($D72="","",IF($D72&gt;$G72,"↑+2σ突破",IF($D72&lt;$J72,"↓-2σ割れ",IF($D72&gt;$H72,"+1σ上",IF($D72&lt;$I72,"-1σ下","バンド内")))))</f>
      </c>
      <c r="Q72" s="684">
        <f>IF($D72="","",IFERROR(100-100/(1+SUMPRODUCT((終値!E72:R72&gt;終値!F72:S72)*(終値!E72:R72-終値!F72:S72))/SUMPRODUCT((終値!E72:R72&lt;終値!F72:S72)*(終値!F72:S72-終値!E72:R72))),100))</f>
      </c>
      <c r="R72" s="684">
        <f>IF($D72="","",IFERROR(100-100/(1+SUMPRODUCT((((高値!E72:R72+安値!E72:R72+終値!E72:R72)/3)&gt;((高値!F72:S72+安値!F72:S72+終値!F72:S72)/3))*((高値!E72:R72+安値!E72:R72+終値!E72:R72)/3)*出来高!E72:R72)/SUMPRODUCT((((高値!E72:R72+安値!E72:R72+終値!E72:R72)/3)&lt;((高値!F72:S72+安値!F72:S72+終値!F72:S72)/3))*((高値!E72:R72+安値!E72:R72+終値!E72:R72)/3)*出来高!E72:R72)),50))</f>
      </c>
      <c r="S72" s="681">
        <f>IF($D72="","",IF(AND(終値!E72&lt;終値!O72,$Q72&gt;(IFERROR(100-100/(1+SUMPRODUCT((終値!O72:AB72&gt;終値!P72:AC72)*(終値!O72:AB72-終値!P72:AC72))/SUMPRODUCT((終値!O72:AB72&lt;終値!P72:AC72)*(終値!P72:AC72-終値!O72:AB72))),100))),"強気div▲",IF(AND(終値!E72&gt;終値!O72,$Q72&lt;(IFERROR(100-100/(1+SUMPRODUCT((終値!O72:AB72&gt;終値!P72:AC72)*(終値!O72:AB72-終値!P72:AC72))/SUMPRODUCT((終値!O72:AB72&lt;終値!P72:AC72)*(終値!P72:AC72-終値!O72:AB72))),100))),"弱気div▼","－")))</f>
      </c>
      <c r="T72" s="681">
        <f>IF($D72="","",IF($D72&gt;=$H72,"上walk▲",IF($D72&lt;=$I72,"下walk▼","－")))</f>
      </c>
      <c r="U72" s="681">
        <f>IF(終値!A72="","",BB_スイング!BT72)</f>
      </c>
      <c r="V72" s="689">
        <f>IF($D72="","",IFERROR(出来高!E72/AVERAGE(出来高!E72:I72),""))</f>
      </c>
      <c r="W72" s="690">
        <f>IF($D72="","",IF(AND($D72&gt;$G72,$O72="拡大↑",$L72&lt;=$M72*1.8),"◎スクイーズブレイク買",IF(AND($D72&gt;=$H72,$R72&gt;=BB設定!$B$10),"○順張り継続(walk)",IF(AND($S72="強気div▲",$D72&gt;$I72),"○反発(ダイバ)買",IF($U72="二番底W▲","△二番底買(確)",IF($U72="二番底W形成","△二番底形成",IF($D72&lt;$J72,"▼-2σ割れ危険",IF(AND($D72&gt;$E72,$K72&lt;0.6,$R72&gt;=50),"・押し目注目",IF($N72="スクイーズ★","☆スクイーズ監視","様子見")))))))))</f>
      </c>
      <c r="X72" s="685">
        <f>IF($D72="","",MIN(100,IF($L72&lt;=$M72*1.15,20,IF($L72&lt;=$M72*1.4,10,0))+IF($D72&gt;$G72,20,IF($D72&gt;$H72,12,IF($D72&gt;$E72,5,0)))+IF($O72="拡大↑",10,0)+IF($R72&gt;=80,15,IF($R72&gt;=60,10,IF($R72&gt;=50,5,0)))+IF(AND($Q72&gt;=50,$Q72&lt;=70),10,IF($Q72&gt;70,3,IF($Q72&gt;=40,5,0)))+IF($S72="強気div▲",15,0)+IF($T72="上walk▲",5,0)+IF($V72&gt;=2,5,IF($V72&gt;=1.5,3,0))))</f>
      </c>
      <c r="Y72" s="682">
        <f>IF($D72="","",$D72)</f>
      </c>
      <c r="Z72" s="682">
        <f>IF($D72="","",$H72)</f>
      </c>
      <c r="AA72" s="682">
        <f>IF($D72="","",IF($D72&gt;$E72,$E72,$AD72))</f>
      </c>
      <c r="AB72" s="682">
        <f>IF($D72="","",$G72)</f>
      </c>
      <c r="AC72" s="688">
        <f>IF($D72="","",IF(($Y72-$AA72)&lt;=0,"－",IFERROR(ROUND(MIN(20,($AB72-$Y72)/($Y72-$AA72)),2),"－")))</f>
      </c>
      <c r="AD72" s="682">
        <f>IF($D72="","",MIN(終値!E72:I72))</f>
      </c>
      <c r="AE72" s="684">
        <f>IF($D72="","",$X72+(10000-ROW())/100000)</f>
      </c>
    </row>
    <row r="73">
      <c r="A73" s="681">
        <f>IF(終値!A73="","",HYPERLINK("https://kabutan.jp/stock/?code="&amp;終値!A73,"📈"))</f>
      </c>
      <c r="B73" s="681">
        <f>IF(終値!A73="","",終値!A73)</f>
      </c>
      <c r="C73" s="680">
        <f>IF(終値!A73="","",終値!B73)</f>
      </c>
      <c r="D73" s="682">
        <f>IF(終値!A73="","",終値!E73)</f>
      </c>
      <c r="E73" s="682">
        <f>IF($D73="","",AVERAGE(終値!E73:X73))</f>
      </c>
      <c r="F73" s="683">
        <f>IF($D73="","",STDEVP(終値!E73:X73))</f>
      </c>
      <c r="G73" s="682">
        <f>IF($D73="","",$E73+BB設定!$B$4*$F73)</f>
      </c>
      <c r="H73" s="682">
        <f>IF($D73="","",$E73+BB設定!$B$5*$F73)</f>
      </c>
      <c r="I73" s="682">
        <f>IF($D73="","",$E73-BB設定!$B$5*$F73)</f>
      </c>
      <c r="J73" s="682">
        <f>IF($D73="","",$E73-BB設定!$B$4*$F73)</f>
      </c>
      <c r="K73" s="687">
        <f>IF($D73="","",IFERROR(($D73-$J73)/($G73-$J73),""))</f>
      </c>
      <c r="L73" s="686">
        <f>IF($D73="","",IFERROR(($G73-$J73)/$E73*100,""))</f>
      </c>
      <c r="M73" s="686">
        <f>IF($D73="","",IFERROR(MIN(BB_帯幅!B73:AP73)*100,""))</f>
      </c>
      <c r="N73" s="681">
        <f>IF($L73="","",IF($L73&lt;=$M73*BB設定!$B$7,"スクイーズ★",IF($L73&lt;=$M73*1.3,"収縮","－")))</f>
      </c>
      <c r="O73" s="681">
        <f>IF($D73="","",IF($L73&gt;(4*STDEVP(終値!F73:Y73)/AVERAGE(終値!F73:Y73)*100),"拡大↑","縮小↓"))</f>
      </c>
      <c r="P73" s="681">
        <f>IF($D73="","",IF($D73&gt;$G73,"↑+2σ突破",IF($D73&lt;$J73,"↓-2σ割れ",IF($D73&gt;$H73,"+1σ上",IF($D73&lt;$I73,"-1σ下","バンド内")))))</f>
      </c>
      <c r="Q73" s="684">
        <f>IF($D73="","",IFERROR(100-100/(1+SUMPRODUCT((終値!E73:R73&gt;終値!F73:S73)*(終値!E73:R73-終値!F73:S73))/SUMPRODUCT((終値!E73:R73&lt;終値!F73:S73)*(終値!F73:S73-終値!E73:R73))),100))</f>
      </c>
      <c r="R73" s="684">
        <f>IF($D73="","",IFERROR(100-100/(1+SUMPRODUCT((((高値!E73:R73+安値!E73:R73+終値!E73:R73)/3)&gt;((高値!F73:S73+安値!F73:S73+終値!F73:S73)/3))*((高値!E73:R73+安値!E73:R73+終値!E73:R73)/3)*出来高!E73:R73)/SUMPRODUCT((((高値!E73:R73+安値!E73:R73+終値!E73:R73)/3)&lt;((高値!F73:S73+安値!F73:S73+終値!F73:S73)/3))*((高値!E73:R73+安値!E73:R73+終値!E73:R73)/3)*出来高!E73:R73)),50))</f>
      </c>
      <c r="S73" s="681">
        <f>IF($D73="","",IF(AND(終値!E73&lt;終値!O73,$Q73&gt;(IFERROR(100-100/(1+SUMPRODUCT((終値!O73:AB73&gt;終値!P73:AC73)*(終値!O73:AB73-終値!P73:AC73))/SUMPRODUCT((終値!O73:AB73&lt;終値!P73:AC73)*(終値!P73:AC73-終値!O73:AB73))),100))),"強気div▲",IF(AND(終値!E73&gt;終値!O73,$Q73&lt;(IFERROR(100-100/(1+SUMPRODUCT((終値!O73:AB73&gt;終値!P73:AC73)*(終値!O73:AB73-終値!P73:AC73))/SUMPRODUCT((終値!O73:AB73&lt;終値!P73:AC73)*(終値!P73:AC73-終値!O73:AB73))),100))),"弱気div▼","－")))</f>
      </c>
      <c r="T73" s="681">
        <f>IF($D73="","",IF($D73&gt;=$H73,"上walk▲",IF($D73&lt;=$I73,"下walk▼","－")))</f>
      </c>
      <c r="U73" s="681">
        <f>IF(終値!A73="","",BB_スイング!BT73)</f>
      </c>
      <c r="V73" s="689">
        <f>IF($D73="","",IFERROR(出来高!E73/AVERAGE(出来高!E73:I73),""))</f>
      </c>
      <c r="W73" s="690">
        <f>IF($D73="","",IF(AND($D73&gt;$G73,$O73="拡大↑",$L73&lt;=$M73*1.8),"◎スクイーズブレイク買",IF(AND($D73&gt;=$H73,$R73&gt;=BB設定!$B$10),"○順張り継続(walk)",IF(AND($S73="強気div▲",$D73&gt;$I73),"○反発(ダイバ)買",IF($U73="二番底W▲","△二番底買(確)",IF($U73="二番底W形成","△二番底形成",IF($D73&lt;$J73,"▼-2σ割れ危険",IF(AND($D73&gt;$E73,$K73&lt;0.6,$R73&gt;=50),"・押し目注目",IF($N73="スクイーズ★","☆スクイーズ監視","様子見")))))))))</f>
      </c>
      <c r="X73" s="685">
        <f>IF($D73="","",MIN(100,IF($L73&lt;=$M73*1.15,20,IF($L73&lt;=$M73*1.4,10,0))+IF($D73&gt;$G73,20,IF($D73&gt;$H73,12,IF($D73&gt;$E73,5,0)))+IF($O73="拡大↑",10,0)+IF($R73&gt;=80,15,IF($R73&gt;=60,10,IF($R73&gt;=50,5,0)))+IF(AND($Q73&gt;=50,$Q73&lt;=70),10,IF($Q73&gt;70,3,IF($Q73&gt;=40,5,0)))+IF($S73="強気div▲",15,0)+IF($T73="上walk▲",5,0)+IF($V73&gt;=2,5,IF($V73&gt;=1.5,3,0))))</f>
      </c>
      <c r="Y73" s="682">
        <f>IF($D73="","",$D73)</f>
      </c>
      <c r="Z73" s="682">
        <f>IF($D73="","",$H73)</f>
      </c>
      <c r="AA73" s="682">
        <f>IF($D73="","",IF($D73&gt;$E73,$E73,$AD73))</f>
      </c>
      <c r="AB73" s="682">
        <f>IF($D73="","",$G73)</f>
      </c>
      <c r="AC73" s="688">
        <f>IF($D73="","",IF(($Y73-$AA73)&lt;=0,"－",IFERROR(ROUND(MIN(20,($AB73-$Y73)/($Y73-$AA73)),2),"－")))</f>
      </c>
      <c r="AD73" s="682">
        <f>IF($D73="","",MIN(終値!E73:I73))</f>
      </c>
      <c r="AE73" s="684">
        <f>IF($D73="","",$X73+(10000-ROW())/100000)</f>
      </c>
    </row>
    <row r="74">
      <c r="A74" s="681">
        <f>IF(終値!A74="","",HYPERLINK("https://kabutan.jp/stock/?code="&amp;終値!A74,"📈"))</f>
      </c>
      <c r="B74" s="681">
        <f>IF(終値!A74="","",終値!A74)</f>
      </c>
      <c r="C74" s="680">
        <f>IF(終値!A74="","",終値!B74)</f>
      </c>
      <c r="D74" s="682">
        <f>IF(終値!A74="","",終値!E74)</f>
      </c>
      <c r="E74" s="682">
        <f>IF($D74="","",AVERAGE(終値!E74:X74))</f>
      </c>
      <c r="F74" s="683">
        <f>IF($D74="","",STDEVP(終値!E74:X74))</f>
      </c>
      <c r="G74" s="682">
        <f>IF($D74="","",$E74+BB設定!$B$4*$F74)</f>
      </c>
      <c r="H74" s="682">
        <f>IF($D74="","",$E74+BB設定!$B$5*$F74)</f>
      </c>
      <c r="I74" s="682">
        <f>IF($D74="","",$E74-BB設定!$B$5*$F74)</f>
      </c>
      <c r="J74" s="682">
        <f>IF($D74="","",$E74-BB設定!$B$4*$F74)</f>
      </c>
      <c r="K74" s="687">
        <f>IF($D74="","",IFERROR(($D74-$J74)/($G74-$J74),""))</f>
      </c>
      <c r="L74" s="686">
        <f>IF($D74="","",IFERROR(($G74-$J74)/$E74*100,""))</f>
      </c>
      <c r="M74" s="686">
        <f>IF($D74="","",IFERROR(MIN(BB_帯幅!B74:AP74)*100,""))</f>
      </c>
      <c r="N74" s="681">
        <f>IF($L74="","",IF($L74&lt;=$M74*BB設定!$B$7,"スクイーズ★",IF($L74&lt;=$M74*1.3,"収縮","－")))</f>
      </c>
      <c r="O74" s="681">
        <f>IF($D74="","",IF($L74&gt;(4*STDEVP(終値!F74:Y74)/AVERAGE(終値!F74:Y74)*100),"拡大↑","縮小↓"))</f>
      </c>
      <c r="P74" s="681">
        <f>IF($D74="","",IF($D74&gt;$G74,"↑+2σ突破",IF($D74&lt;$J74,"↓-2σ割れ",IF($D74&gt;$H74,"+1σ上",IF($D74&lt;$I74,"-1σ下","バンド内")))))</f>
      </c>
      <c r="Q74" s="684">
        <f>IF($D74="","",IFERROR(100-100/(1+SUMPRODUCT((終値!E74:R74&gt;終値!F74:S74)*(終値!E74:R74-終値!F74:S74))/SUMPRODUCT((終値!E74:R74&lt;終値!F74:S74)*(終値!F74:S74-終値!E74:R74))),100))</f>
      </c>
      <c r="R74" s="684">
        <f>IF($D74="","",IFERROR(100-100/(1+SUMPRODUCT((((高値!E74:R74+安値!E74:R74+終値!E74:R74)/3)&gt;((高値!F74:S74+安値!F74:S74+終値!F74:S74)/3))*((高値!E74:R74+安値!E74:R74+終値!E74:R74)/3)*出来高!E74:R74)/SUMPRODUCT((((高値!E74:R74+安値!E74:R74+終値!E74:R74)/3)&lt;((高値!F74:S74+安値!F74:S74+終値!F74:S74)/3))*((高値!E74:R74+安値!E74:R74+終値!E74:R74)/3)*出来高!E74:R74)),50))</f>
      </c>
      <c r="S74" s="681">
        <f>IF($D74="","",IF(AND(終値!E74&lt;終値!O74,$Q74&gt;(IFERROR(100-100/(1+SUMPRODUCT((終値!O74:AB74&gt;終値!P74:AC74)*(終値!O74:AB74-終値!P74:AC74))/SUMPRODUCT((終値!O74:AB74&lt;終値!P74:AC74)*(終値!P74:AC74-終値!O74:AB74))),100))),"強気div▲",IF(AND(終値!E74&gt;終値!O74,$Q74&lt;(IFERROR(100-100/(1+SUMPRODUCT((終値!O74:AB74&gt;終値!P74:AC74)*(終値!O74:AB74-終値!P74:AC74))/SUMPRODUCT((終値!O74:AB74&lt;終値!P74:AC74)*(終値!P74:AC74-終値!O74:AB74))),100))),"弱気div▼","－")))</f>
      </c>
      <c r="T74" s="681">
        <f>IF($D74="","",IF($D74&gt;=$H74,"上walk▲",IF($D74&lt;=$I74,"下walk▼","－")))</f>
      </c>
      <c r="U74" s="681">
        <f>IF(終値!A74="","",BB_スイング!BT74)</f>
      </c>
      <c r="V74" s="689">
        <f>IF($D74="","",IFERROR(出来高!E74/AVERAGE(出来高!E74:I74),""))</f>
      </c>
      <c r="W74" s="690">
        <f>IF($D74="","",IF(AND($D74&gt;$G74,$O74="拡大↑",$L74&lt;=$M74*1.8),"◎スクイーズブレイク買",IF(AND($D74&gt;=$H74,$R74&gt;=BB設定!$B$10),"○順張り継続(walk)",IF(AND($S74="強気div▲",$D74&gt;$I74),"○反発(ダイバ)買",IF($U74="二番底W▲","△二番底買(確)",IF($U74="二番底W形成","△二番底形成",IF($D74&lt;$J74,"▼-2σ割れ危険",IF(AND($D74&gt;$E74,$K74&lt;0.6,$R74&gt;=50),"・押し目注目",IF($N74="スクイーズ★","☆スクイーズ監視","様子見")))))))))</f>
      </c>
      <c r="X74" s="685">
        <f>IF($D74="","",MIN(100,IF($L74&lt;=$M74*1.15,20,IF($L74&lt;=$M74*1.4,10,0))+IF($D74&gt;$G74,20,IF($D74&gt;$H74,12,IF($D74&gt;$E74,5,0)))+IF($O74="拡大↑",10,0)+IF($R74&gt;=80,15,IF($R74&gt;=60,10,IF($R74&gt;=50,5,0)))+IF(AND($Q74&gt;=50,$Q74&lt;=70),10,IF($Q74&gt;70,3,IF($Q74&gt;=40,5,0)))+IF($S74="強気div▲",15,0)+IF($T74="上walk▲",5,0)+IF($V74&gt;=2,5,IF($V74&gt;=1.5,3,0))))</f>
      </c>
      <c r="Y74" s="682">
        <f>IF($D74="","",$D74)</f>
      </c>
      <c r="Z74" s="682">
        <f>IF($D74="","",$H74)</f>
      </c>
      <c r="AA74" s="682">
        <f>IF($D74="","",IF($D74&gt;$E74,$E74,$AD74))</f>
      </c>
      <c r="AB74" s="682">
        <f>IF($D74="","",$G74)</f>
      </c>
      <c r="AC74" s="688">
        <f>IF($D74="","",IF(($Y74-$AA74)&lt;=0,"－",IFERROR(ROUND(MIN(20,($AB74-$Y74)/($Y74-$AA74)),2),"－")))</f>
      </c>
      <c r="AD74" s="682">
        <f>IF($D74="","",MIN(終値!E74:I74))</f>
      </c>
      <c r="AE74" s="684">
        <f>IF($D74="","",$X74+(10000-ROW())/100000)</f>
      </c>
    </row>
    <row r="75">
      <c r="A75" s="681">
        <f>IF(終値!A75="","",HYPERLINK("https://kabutan.jp/stock/?code="&amp;終値!A75,"📈"))</f>
      </c>
      <c r="B75" s="681">
        <f>IF(終値!A75="","",終値!A75)</f>
      </c>
      <c r="C75" s="680">
        <f>IF(終値!A75="","",終値!B75)</f>
      </c>
      <c r="D75" s="682">
        <f>IF(終値!A75="","",終値!E75)</f>
      </c>
      <c r="E75" s="682">
        <f>IF($D75="","",AVERAGE(終値!E75:X75))</f>
      </c>
      <c r="F75" s="683">
        <f>IF($D75="","",STDEVP(終値!E75:X75))</f>
      </c>
      <c r="G75" s="682">
        <f>IF($D75="","",$E75+BB設定!$B$4*$F75)</f>
      </c>
      <c r="H75" s="682">
        <f>IF($D75="","",$E75+BB設定!$B$5*$F75)</f>
      </c>
      <c r="I75" s="682">
        <f>IF($D75="","",$E75-BB設定!$B$5*$F75)</f>
      </c>
      <c r="J75" s="682">
        <f>IF($D75="","",$E75-BB設定!$B$4*$F75)</f>
      </c>
      <c r="K75" s="687">
        <f>IF($D75="","",IFERROR(($D75-$J75)/($G75-$J75),""))</f>
      </c>
      <c r="L75" s="686">
        <f>IF($D75="","",IFERROR(($G75-$J75)/$E75*100,""))</f>
      </c>
      <c r="M75" s="686">
        <f>IF($D75="","",IFERROR(MIN(BB_帯幅!B75:AP75)*100,""))</f>
      </c>
      <c r="N75" s="681">
        <f>IF($L75="","",IF($L75&lt;=$M75*BB設定!$B$7,"スクイーズ★",IF($L75&lt;=$M75*1.3,"収縮","－")))</f>
      </c>
      <c r="O75" s="681">
        <f>IF($D75="","",IF($L75&gt;(4*STDEVP(終値!F75:Y75)/AVERAGE(終値!F75:Y75)*100),"拡大↑","縮小↓"))</f>
      </c>
      <c r="P75" s="681">
        <f>IF($D75="","",IF($D75&gt;$G75,"↑+2σ突破",IF($D75&lt;$J75,"↓-2σ割れ",IF($D75&gt;$H75,"+1σ上",IF($D75&lt;$I75,"-1σ下","バンド内")))))</f>
      </c>
      <c r="Q75" s="684">
        <f>IF($D75="","",IFERROR(100-100/(1+SUMPRODUCT((終値!E75:R75&gt;終値!F75:S75)*(終値!E75:R75-終値!F75:S75))/SUMPRODUCT((終値!E75:R75&lt;終値!F75:S75)*(終値!F75:S75-終値!E75:R75))),100))</f>
      </c>
      <c r="R75" s="684">
        <f>IF($D75="","",IFERROR(100-100/(1+SUMPRODUCT((((高値!E75:R75+安値!E75:R75+終値!E75:R75)/3)&gt;((高値!F75:S75+安値!F75:S75+終値!F75:S75)/3))*((高値!E75:R75+安値!E75:R75+終値!E75:R75)/3)*出来高!E75:R75)/SUMPRODUCT((((高値!E75:R75+安値!E75:R75+終値!E75:R75)/3)&lt;((高値!F75:S75+安値!F75:S75+終値!F75:S75)/3))*((高値!E75:R75+安値!E75:R75+終値!E75:R75)/3)*出来高!E75:R75)),50))</f>
      </c>
      <c r="S75" s="681">
        <f>IF($D75="","",IF(AND(終値!E75&lt;終値!O75,$Q75&gt;(IFERROR(100-100/(1+SUMPRODUCT((終値!O75:AB75&gt;終値!P75:AC75)*(終値!O75:AB75-終値!P75:AC75))/SUMPRODUCT((終値!O75:AB75&lt;終値!P75:AC75)*(終値!P75:AC75-終値!O75:AB75))),100))),"強気div▲",IF(AND(終値!E75&gt;終値!O75,$Q75&lt;(IFERROR(100-100/(1+SUMPRODUCT((終値!O75:AB75&gt;終値!P75:AC75)*(終値!O75:AB75-終値!P75:AC75))/SUMPRODUCT((終値!O75:AB75&lt;終値!P75:AC75)*(終値!P75:AC75-終値!O75:AB75))),100))),"弱気div▼","－")))</f>
      </c>
      <c r="T75" s="681">
        <f>IF($D75="","",IF($D75&gt;=$H75,"上walk▲",IF($D75&lt;=$I75,"下walk▼","－")))</f>
      </c>
      <c r="U75" s="681">
        <f>IF(終値!A75="","",BB_スイング!BT75)</f>
      </c>
      <c r="V75" s="689">
        <f>IF($D75="","",IFERROR(出来高!E75/AVERAGE(出来高!E75:I75),""))</f>
      </c>
      <c r="W75" s="690">
        <f>IF($D75="","",IF(AND($D75&gt;$G75,$O75="拡大↑",$L75&lt;=$M75*1.8),"◎スクイーズブレイク買",IF(AND($D75&gt;=$H75,$R75&gt;=BB設定!$B$10),"○順張り継続(walk)",IF(AND($S75="強気div▲",$D75&gt;$I75),"○反発(ダイバ)買",IF($U75="二番底W▲","△二番底買(確)",IF($U75="二番底W形成","△二番底形成",IF($D75&lt;$J75,"▼-2σ割れ危険",IF(AND($D75&gt;$E75,$K75&lt;0.6,$R75&gt;=50),"・押し目注目",IF($N75="スクイーズ★","☆スクイーズ監視","様子見")))))))))</f>
      </c>
      <c r="X75" s="685">
        <f>IF($D75="","",MIN(100,IF($L75&lt;=$M75*1.15,20,IF($L75&lt;=$M75*1.4,10,0))+IF($D75&gt;$G75,20,IF($D75&gt;$H75,12,IF($D75&gt;$E75,5,0)))+IF($O75="拡大↑",10,0)+IF($R75&gt;=80,15,IF($R75&gt;=60,10,IF($R75&gt;=50,5,0)))+IF(AND($Q75&gt;=50,$Q75&lt;=70),10,IF($Q75&gt;70,3,IF($Q75&gt;=40,5,0)))+IF($S75="強気div▲",15,0)+IF($T75="上walk▲",5,0)+IF($V75&gt;=2,5,IF($V75&gt;=1.5,3,0))))</f>
      </c>
      <c r="Y75" s="682">
        <f>IF($D75="","",$D75)</f>
      </c>
      <c r="Z75" s="682">
        <f>IF($D75="","",$H75)</f>
      </c>
      <c r="AA75" s="682">
        <f>IF($D75="","",IF($D75&gt;$E75,$E75,$AD75))</f>
      </c>
      <c r="AB75" s="682">
        <f>IF($D75="","",$G75)</f>
      </c>
      <c r="AC75" s="688">
        <f>IF($D75="","",IF(($Y75-$AA75)&lt;=0,"－",IFERROR(ROUND(MIN(20,($AB75-$Y75)/($Y75-$AA75)),2),"－")))</f>
      </c>
      <c r="AD75" s="682">
        <f>IF($D75="","",MIN(終値!E75:I75))</f>
      </c>
      <c r="AE75" s="684">
        <f>IF($D75="","",$X75+(10000-ROW())/100000)</f>
      </c>
    </row>
    <row r="76">
      <c r="A76" s="681">
        <f>IF(終値!A76="","",HYPERLINK("https://kabutan.jp/stock/?code="&amp;終値!A76,"📈"))</f>
      </c>
      <c r="B76" s="681">
        <f>IF(終値!A76="","",終値!A76)</f>
      </c>
      <c r="C76" s="680">
        <f>IF(終値!A76="","",終値!B76)</f>
      </c>
      <c r="D76" s="682">
        <f>IF(終値!A76="","",終値!E76)</f>
      </c>
      <c r="E76" s="682">
        <f>IF($D76="","",AVERAGE(終値!E76:X76))</f>
      </c>
      <c r="F76" s="683">
        <f>IF($D76="","",STDEVP(終値!E76:X76))</f>
      </c>
      <c r="G76" s="682">
        <f>IF($D76="","",$E76+BB設定!$B$4*$F76)</f>
      </c>
      <c r="H76" s="682">
        <f>IF($D76="","",$E76+BB設定!$B$5*$F76)</f>
      </c>
      <c r="I76" s="682">
        <f>IF($D76="","",$E76-BB設定!$B$5*$F76)</f>
      </c>
      <c r="J76" s="682">
        <f>IF($D76="","",$E76-BB設定!$B$4*$F76)</f>
      </c>
      <c r="K76" s="687">
        <f>IF($D76="","",IFERROR(($D76-$J76)/($G76-$J76),""))</f>
      </c>
      <c r="L76" s="686">
        <f>IF($D76="","",IFERROR(($G76-$J76)/$E76*100,""))</f>
      </c>
      <c r="M76" s="686">
        <f>IF($D76="","",IFERROR(MIN(BB_帯幅!B76:AP76)*100,""))</f>
      </c>
      <c r="N76" s="681">
        <f>IF($L76="","",IF($L76&lt;=$M76*BB設定!$B$7,"スクイーズ★",IF($L76&lt;=$M76*1.3,"収縮","－")))</f>
      </c>
      <c r="O76" s="681">
        <f>IF($D76="","",IF($L76&gt;(4*STDEVP(終値!F76:Y76)/AVERAGE(終値!F76:Y76)*100),"拡大↑","縮小↓"))</f>
      </c>
      <c r="P76" s="681">
        <f>IF($D76="","",IF($D76&gt;$G76,"↑+2σ突破",IF($D76&lt;$J76,"↓-2σ割れ",IF($D76&gt;$H76,"+1σ上",IF($D76&lt;$I76,"-1σ下","バンド内")))))</f>
      </c>
      <c r="Q76" s="684">
        <f>IF($D76="","",IFERROR(100-100/(1+SUMPRODUCT((終値!E76:R76&gt;終値!F76:S76)*(終値!E76:R76-終値!F76:S76))/SUMPRODUCT((終値!E76:R76&lt;終値!F76:S76)*(終値!F76:S76-終値!E76:R76))),100))</f>
      </c>
      <c r="R76" s="684">
        <f>IF($D76="","",IFERROR(100-100/(1+SUMPRODUCT((((高値!E76:R76+安値!E76:R76+終値!E76:R76)/3)&gt;((高値!F76:S76+安値!F76:S76+終値!F76:S76)/3))*((高値!E76:R76+安値!E76:R76+終値!E76:R76)/3)*出来高!E76:R76)/SUMPRODUCT((((高値!E76:R76+安値!E76:R76+終値!E76:R76)/3)&lt;((高値!F76:S76+安値!F76:S76+終値!F76:S76)/3))*((高値!E76:R76+安値!E76:R76+終値!E76:R76)/3)*出来高!E76:R76)),50))</f>
      </c>
      <c r="S76" s="681">
        <f>IF($D76="","",IF(AND(終値!E76&lt;終値!O76,$Q76&gt;(IFERROR(100-100/(1+SUMPRODUCT((終値!O76:AB76&gt;終値!P76:AC76)*(終値!O76:AB76-終値!P76:AC76))/SUMPRODUCT((終値!O76:AB76&lt;終値!P76:AC76)*(終値!P76:AC76-終値!O76:AB76))),100))),"強気div▲",IF(AND(終値!E76&gt;終値!O76,$Q76&lt;(IFERROR(100-100/(1+SUMPRODUCT((終値!O76:AB76&gt;終値!P76:AC76)*(終値!O76:AB76-終値!P76:AC76))/SUMPRODUCT((終値!O76:AB76&lt;終値!P76:AC76)*(終値!P76:AC76-終値!O76:AB76))),100))),"弱気div▼","－")))</f>
      </c>
      <c r="T76" s="681">
        <f>IF($D76="","",IF($D76&gt;=$H76,"上walk▲",IF($D76&lt;=$I76,"下walk▼","－")))</f>
      </c>
      <c r="U76" s="681">
        <f>IF(終値!A76="","",BB_スイング!BT76)</f>
      </c>
      <c r="V76" s="689">
        <f>IF($D76="","",IFERROR(出来高!E76/AVERAGE(出来高!E76:I76),""))</f>
      </c>
      <c r="W76" s="690">
        <f>IF($D76="","",IF(AND($D76&gt;$G76,$O76="拡大↑",$L76&lt;=$M76*1.8),"◎スクイーズブレイク買",IF(AND($D76&gt;=$H76,$R76&gt;=BB設定!$B$10),"○順張り継続(walk)",IF(AND($S76="強気div▲",$D76&gt;$I76),"○反発(ダイバ)買",IF($U76="二番底W▲","△二番底買(確)",IF($U76="二番底W形成","△二番底形成",IF($D76&lt;$J76,"▼-2σ割れ危険",IF(AND($D76&gt;$E76,$K76&lt;0.6,$R76&gt;=50),"・押し目注目",IF($N76="スクイーズ★","☆スクイーズ監視","様子見")))))))))</f>
      </c>
      <c r="X76" s="685">
        <f>IF($D76="","",MIN(100,IF($L76&lt;=$M76*1.15,20,IF($L76&lt;=$M76*1.4,10,0))+IF($D76&gt;$G76,20,IF($D76&gt;$H76,12,IF($D76&gt;$E76,5,0)))+IF($O76="拡大↑",10,0)+IF($R76&gt;=80,15,IF($R76&gt;=60,10,IF($R76&gt;=50,5,0)))+IF(AND($Q76&gt;=50,$Q76&lt;=70),10,IF($Q76&gt;70,3,IF($Q76&gt;=40,5,0)))+IF($S76="強気div▲",15,0)+IF($T76="上walk▲",5,0)+IF($V76&gt;=2,5,IF($V76&gt;=1.5,3,0))))</f>
      </c>
      <c r="Y76" s="682">
        <f>IF($D76="","",$D76)</f>
      </c>
      <c r="Z76" s="682">
        <f>IF($D76="","",$H76)</f>
      </c>
      <c r="AA76" s="682">
        <f>IF($D76="","",IF($D76&gt;$E76,$E76,$AD76))</f>
      </c>
      <c r="AB76" s="682">
        <f>IF($D76="","",$G76)</f>
      </c>
      <c r="AC76" s="688">
        <f>IF($D76="","",IF(($Y76-$AA76)&lt;=0,"－",IFERROR(ROUND(MIN(20,($AB76-$Y76)/($Y76-$AA76)),2),"－")))</f>
      </c>
      <c r="AD76" s="682">
        <f>IF($D76="","",MIN(終値!E76:I76))</f>
      </c>
      <c r="AE76" s="684">
        <f>IF($D76="","",$X76+(10000-ROW())/100000)</f>
      </c>
    </row>
    <row r="77">
      <c r="A77" s="681">
        <f>IF(終値!A77="","",HYPERLINK("https://kabutan.jp/stock/?code="&amp;終値!A77,"📈"))</f>
      </c>
      <c r="B77" s="681">
        <f>IF(終値!A77="","",終値!A77)</f>
      </c>
      <c r="C77" s="680">
        <f>IF(終値!A77="","",終値!B77)</f>
      </c>
      <c r="D77" s="682">
        <f>IF(終値!A77="","",終値!E77)</f>
      </c>
      <c r="E77" s="682">
        <f>IF($D77="","",AVERAGE(終値!E77:X77))</f>
      </c>
      <c r="F77" s="683">
        <f>IF($D77="","",STDEVP(終値!E77:X77))</f>
      </c>
      <c r="G77" s="682">
        <f>IF($D77="","",$E77+BB設定!$B$4*$F77)</f>
      </c>
      <c r="H77" s="682">
        <f>IF($D77="","",$E77+BB設定!$B$5*$F77)</f>
      </c>
      <c r="I77" s="682">
        <f>IF($D77="","",$E77-BB設定!$B$5*$F77)</f>
      </c>
      <c r="J77" s="682">
        <f>IF($D77="","",$E77-BB設定!$B$4*$F77)</f>
      </c>
      <c r="K77" s="687">
        <f>IF($D77="","",IFERROR(($D77-$J77)/($G77-$J77),""))</f>
      </c>
      <c r="L77" s="686">
        <f>IF($D77="","",IFERROR(($G77-$J77)/$E77*100,""))</f>
      </c>
      <c r="M77" s="686">
        <f>IF($D77="","",IFERROR(MIN(BB_帯幅!B77:AP77)*100,""))</f>
      </c>
      <c r="N77" s="681">
        <f>IF($L77="","",IF($L77&lt;=$M77*BB設定!$B$7,"スクイーズ★",IF($L77&lt;=$M77*1.3,"収縮","－")))</f>
      </c>
      <c r="O77" s="681">
        <f>IF($D77="","",IF($L77&gt;(4*STDEVP(終値!F77:Y77)/AVERAGE(終値!F77:Y77)*100),"拡大↑","縮小↓"))</f>
      </c>
      <c r="P77" s="681">
        <f>IF($D77="","",IF($D77&gt;$G77,"↑+2σ突破",IF($D77&lt;$J77,"↓-2σ割れ",IF($D77&gt;$H77,"+1σ上",IF($D77&lt;$I77,"-1σ下","バンド内")))))</f>
      </c>
      <c r="Q77" s="684">
        <f>IF($D77="","",IFERROR(100-100/(1+SUMPRODUCT((終値!E77:R77&gt;終値!F77:S77)*(終値!E77:R77-終値!F77:S77))/SUMPRODUCT((終値!E77:R77&lt;終値!F77:S77)*(終値!F77:S77-終値!E77:R77))),100))</f>
      </c>
      <c r="R77" s="684">
        <f>IF($D77="","",IFERROR(100-100/(1+SUMPRODUCT((((高値!E77:R77+安値!E77:R77+終値!E77:R77)/3)&gt;((高値!F77:S77+安値!F77:S77+終値!F77:S77)/3))*((高値!E77:R77+安値!E77:R77+終値!E77:R77)/3)*出来高!E77:R77)/SUMPRODUCT((((高値!E77:R77+安値!E77:R77+終値!E77:R77)/3)&lt;((高値!F77:S77+安値!F77:S77+終値!F77:S77)/3))*((高値!E77:R77+安値!E77:R77+終値!E77:R77)/3)*出来高!E77:R77)),50))</f>
      </c>
      <c r="S77" s="681">
        <f>IF($D77="","",IF(AND(終値!E77&lt;終値!O77,$Q77&gt;(IFERROR(100-100/(1+SUMPRODUCT((終値!O77:AB77&gt;終値!P77:AC77)*(終値!O77:AB77-終値!P77:AC77))/SUMPRODUCT((終値!O77:AB77&lt;終値!P77:AC77)*(終値!P77:AC77-終値!O77:AB77))),100))),"強気div▲",IF(AND(終値!E77&gt;終値!O77,$Q77&lt;(IFERROR(100-100/(1+SUMPRODUCT((終値!O77:AB77&gt;終値!P77:AC77)*(終値!O77:AB77-終値!P77:AC77))/SUMPRODUCT((終値!O77:AB77&lt;終値!P77:AC77)*(終値!P77:AC77-終値!O77:AB77))),100))),"弱気div▼","－")))</f>
      </c>
      <c r="T77" s="681">
        <f>IF($D77="","",IF($D77&gt;=$H77,"上walk▲",IF($D77&lt;=$I77,"下walk▼","－")))</f>
      </c>
      <c r="U77" s="681">
        <f>IF(終値!A77="","",BB_スイング!BT77)</f>
      </c>
      <c r="V77" s="689">
        <f>IF($D77="","",IFERROR(出来高!E77/AVERAGE(出来高!E77:I77),""))</f>
      </c>
      <c r="W77" s="690">
        <f>IF($D77="","",IF(AND($D77&gt;$G77,$O77="拡大↑",$L77&lt;=$M77*1.8),"◎スクイーズブレイク買",IF(AND($D77&gt;=$H77,$R77&gt;=BB設定!$B$10),"○順張り継続(walk)",IF(AND($S77="強気div▲",$D77&gt;$I77),"○反発(ダイバ)買",IF($U77="二番底W▲","△二番底買(確)",IF($U77="二番底W形成","△二番底形成",IF($D77&lt;$J77,"▼-2σ割れ危険",IF(AND($D77&gt;$E77,$K77&lt;0.6,$R77&gt;=50),"・押し目注目",IF($N77="スクイーズ★","☆スクイーズ監視","様子見")))))))))</f>
      </c>
      <c r="X77" s="685">
        <f>IF($D77="","",MIN(100,IF($L77&lt;=$M77*1.15,20,IF($L77&lt;=$M77*1.4,10,0))+IF($D77&gt;$G77,20,IF($D77&gt;$H77,12,IF($D77&gt;$E77,5,0)))+IF($O77="拡大↑",10,0)+IF($R77&gt;=80,15,IF($R77&gt;=60,10,IF($R77&gt;=50,5,0)))+IF(AND($Q77&gt;=50,$Q77&lt;=70),10,IF($Q77&gt;70,3,IF($Q77&gt;=40,5,0)))+IF($S77="強気div▲",15,0)+IF($T77="上walk▲",5,0)+IF($V77&gt;=2,5,IF($V77&gt;=1.5,3,0))))</f>
      </c>
      <c r="Y77" s="682">
        <f>IF($D77="","",$D77)</f>
      </c>
      <c r="Z77" s="682">
        <f>IF($D77="","",$H77)</f>
      </c>
      <c r="AA77" s="682">
        <f>IF($D77="","",IF($D77&gt;$E77,$E77,$AD77))</f>
      </c>
      <c r="AB77" s="682">
        <f>IF($D77="","",$G77)</f>
      </c>
      <c r="AC77" s="688">
        <f>IF($D77="","",IF(($Y77-$AA77)&lt;=0,"－",IFERROR(ROUND(MIN(20,($AB77-$Y77)/($Y77-$AA77)),2),"－")))</f>
      </c>
      <c r="AD77" s="682">
        <f>IF($D77="","",MIN(終値!E77:I77))</f>
      </c>
      <c r="AE77" s="684">
        <f>IF($D77="","",$X77+(10000-ROW())/100000)</f>
      </c>
    </row>
    <row r="78">
      <c r="A78" s="681">
        <f>IF(終値!A78="","",HYPERLINK("https://kabutan.jp/stock/?code="&amp;終値!A78,"📈"))</f>
      </c>
      <c r="B78" s="681">
        <f>IF(終値!A78="","",終値!A78)</f>
      </c>
      <c r="C78" s="680">
        <f>IF(終値!A78="","",終値!B78)</f>
      </c>
      <c r="D78" s="682">
        <f>IF(終値!A78="","",終値!E78)</f>
      </c>
      <c r="E78" s="682">
        <f>IF($D78="","",AVERAGE(終値!E78:X78))</f>
      </c>
      <c r="F78" s="683">
        <f>IF($D78="","",STDEVP(終値!E78:X78))</f>
      </c>
      <c r="G78" s="682">
        <f>IF($D78="","",$E78+BB設定!$B$4*$F78)</f>
      </c>
      <c r="H78" s="682">
        <f>IF($D78="","",$E78+BB設定!$B$5*$F78)</f>
      </c>
      <c r="I78" s="682">
        <f>IF($D78="","",$E78-BB設定!$B$5*$F78)</f>
      </c>
      <c r="J78" s="682">
        <f>IF($D78="","",$E78-BB設定!$B$4*$F78)</f>
      </c>
      <c r="K78" s="687">
        <f>IF($D78="","",IFERROR(($D78-$J78)/($G78-$J78),""))</f>
      </c>
      <c r="L78" s="686">
        <f>IF($D78="","",IFERROR(($G78-$J78)/$E78*100,""))</f>
      </c>
      <c r="M78" s="686">
        <f>IF($D78="","",IFERROR(MIN(BB_帯幅!B78:AP78)*100,""))</f>
      </c>
      <c r="N78" s="681">
        <f>IF($L78="","",IF($L78&lt;=$M78*BB設定!$B$7,"スクイーズ★",IF($L78&lt;=$M78*1.3,"収縮","－")))</f>
      </c>
      <c r="O78" s="681">
        <f>IF($D78="","",IF($L78&gt;(4*STDEVP(終値!F78:Y78)/AVERAGE(終値!F78:Y78)*100),"拡大↑","縮小↓"))</f>
      </c>
      <c r="P78" s="681">
        <f>IF($D78="","",IF($D78&gt;$G78,"↑+2σ突破",IF($D78&lt;$J78,"↓-2σ割れ",IF($D78&gt;$H78,"+1σ上",IF($D78&lt;$I78,"-1σ下","バンド内")))))</f>
      </c>
      <c r="Q78" s="684">
        <f>IF($D78="","",IFERROR(100-100/(1+SUMPRODUCT((終値!E78:R78&gt;終値!F78:S78)*(終値!E78:R78-終値!F78:S78))/SUMPRODUCT((終値!E78:R78&lt;終値!F78:S78)*(終値!F78:S78-終値!E78:R78))),100))</f>
      </c>
      <c r="R78" s="684">
        <f>IF($D78="","",IFERROR(100-100/(1+SUMPRODUCT((((高値!E78:R78+安値!E78:R78+終値!E78:R78)/3)&gt;((高値!F78:S78+安値!F78:S78+終値!F78:S78)/3))*((高値!E78:R78+安値!E78:R78+終値!E78:R78)/3)*出来高!E78:R78)/SUMPRODUCT((((高値!E78:R78+安値!E78:R78+終値!E78:R78)/3)&lt;((高値!F78:S78+安値!F78:S78+終値!F78:S78)/3))*((高値!E78:R78+安値!E78:R78+終値!E78:R78)/3)*出来高!E78:R78)),50))</f>
      </c>
      <c r="S78" s="681">
        <f>IF($D78="","",IF(AND(終値!E78&lt;終値!O78,$Q78&gt;(IFERROR(100-100/(1+SUMPRODUCT((終値!O78:AB78&gt;終値!P78:AC78)*(終値!O78:AB78-終値!P78:AC78))/SUMPRODUCT((終値!O78:AB78&lt;終値!P78:AC78)*(終値!P78:AC78-終値!O78:AB78))),100))),"強気div▲",IF(AND(終値!E78&gt;終値!O78,$Q78&lt;(IFERROR(100-100/(1+SUMPRODUCT((終値!O78:AB78&gt;終値!P78:AC78)*(終値!O78:AB78-終値!P78:AC78))/SUMPRODUCT((終値!O78:AB78&lt;終値!P78:AC78)*(終値!P78:AC78-終値!O78:AB78))),100))),"弱気div▼","－")))</f>
      </c>
      <c r="T78" s="681">
        <f>IF($D78="","",IF($D78&gt;=$H78,"上walk▲",IF($D78&lt;=$I78,"下walk▼","－")))</f>
      </c>
      <c r="U78" s="681">
        <f>IF(終値!A78="","",BB_スイング!BT78)</f>
      </c>
      <c r="V78" s="689">
        <f>IF($D78="","",IFERROR(出来高!E78/AVERAGE(出来高!E78:I78),""))</f>
      </c>
      <c r="W78" s="690">
        <f>IF($D78="","",IF(AND($D78&gt;$G78,$O78="拡大↑",$L78&lt;=$M78*1.8),"◎スクイーズブレイク買",IF(AND($D78&gt;=$H78,$R78&gt;=BB設定!$B$10),"○順張り継続(walk)",IF(AND($S78="強気div▲",$D78&gt;$I78),"○反発(ダイバ)買",IF($U78="二番底W▲","△二番底買(確)",IF($U78="二番底W形成","△二番底形成",IF($D78&lt;$J78,"▼-2σ割れ危険",IF(AND($D78&gt;$E78,$K78&lt;0.6,$R78&gt;=50),"・押し目注目",IF($N78="スクイーズ★","☆スクイーズ監視","様子見")))))))))</f>
      </c>
      <c r="X78" s="685">
        <f>IF($D78="","",MIN(100,IF($L78&lt;=$M78*1.15,20,IF($L78&lt;=$M78*1.4,10,0))+IF($D78&gt;$G78,20,IF($D78&gt;$H78,12,IF($D78&gt;$E78,5,0)))+IF($O78="拡大↑",10,0)+IF($R78&gt;=80,15,IF($R78&gt;=60,10,IF($R78&gt;=50,5,0)))+IF(AND($Q78&gt;=50,$Q78&lt;=70),10,IF($Q78&gt;70,3,IF($Q78&gt;=40,5,0)))+IF($S78="強気div▲",15,0)+IF($T78="上walk▲",5,0)+IF($V78&gt;=2,5,IF($V78&gt;=1.5,3,0))))</f>
      </c>
      <c r="Y78" s="682">
        <f>IF($D78="","",$D78)</f>
      </c>
      <c r="Z78" s="682">
        <f>IF($D78="","",$H78)</f>
      </c>
      <c r="AA78" s="682">
        <f>IF($D78="","",IF($D78&gt;$E78,$E78,$AD78))</f>
      </c>
      <c r="AB78" s="682">
        <f>IF($D78="","",$G78)</f>
      </c>
      <c r="AC78" s="688">
        <f>IF($D78="","",IF(($Y78-$AA78)&lt;=0,"－",IFERROR(ROUND(MIN(20,($AB78-$Y78)/($Y78-$AA78)),2),"－")))</f>
      </c>
      <c r="AD78" s="682">
        <f>IF($D78="","",MIN(終値!E78:I78))</f>
      </c>
      <c r="AE78" s="684">
        <f>IF($D78="","",$X78+(10000-ROW())/100000)</f>
      </c>
    </row>
    <row r="79">
      <c r="A79" s="681">
        <f>IF(終値!A79="","",HYPERLINK("https://kabutan.jp/stock/?code="&amp;終値!A79,"📈"))</f>
      </c>
      <c r="B79" s="681">
        <f>IF(終値!A79="","",終値!A79)</f>
      </c>
      <c r="C79" s="680">
        <f>IF(終値!A79="","",終値!B79)</f>
      </c>
      <c r="D79" s="682">
        <f>IF(終値!A79="","",終値!E79)</f>
      </c>
      <c r="E79" s="682">
        <f>IF($D79="","",AVERAGE(終値!E79:X79))</f>
      </c>
      <c r="F79" s="683">
        <f>IF($D79="","",STDEVP(終値!E79:X79))</f>
      </c>
      <c r="G79" s="682">
        <f>IF($D79="","",$E79+BB設定!$B$4*$F79)</f>
      </c>
      <c r="H79" s="682">
        <f>IF($D79="","",$E79+BB設定!$B$5*$F79)</f>
      </c>
      <c r="I79" s="682">
        <f>IF($D79="","",$E79-BB設定!$B$5*$F79)</f>
      </c>
      <c r="J79" s="682">
        <f>IF($D79="","",$E79-BB設定!$B$4*$F79)</f>
      </c>
      <c r="K79" s="687">
        <f>IF($D79="","",IFERROR(($D79-$J79)/($G79-$J79),""))</f>
      </c>
      <c r="L79" s="686">
        <f>IF($D79="","",IFERROR(($G79-$J79)/$E79*100,""))</f>
      </c>
      <c r="M79" s="686">
        <f>IF($D79="","",IFERROR(MIN(BB_帯幅!B79:AP79)*100,""))</f>
      </c>
      <c r="N79" s="681">
        <f>IF($L79="","",IF($L79&lt;=$M79*BB設定!$B$7,"スクイーズ★",IF($L79&lt;=$M79*1.3,"収縮","－")))</f>
      </c>
      <c r="O79" s="681">
        <f>IF($D79="","",IF($L79&gt;(4*STDEVP(終値!F79:Y79)/AVERAGE(終値!F79:Y79)*100),"拡大↑","縮小↓"))</f>
      </c>
      <c r="P79" s="681">
        <f>IF($D79="","",IF($D79&gt;$G79,"↑+2σ突破",IF($D79&lt;$J79,"↓-2σ割れ",IF($D79&gt;$H79,"+1σ上",IF($D79&lt;$I79,"-1σ下","バンド内")))))</f>
      </c>
      <c r="Q79" s="684">
        <f>IF($D79="","",IFERROR(100-100/(1+SUMPRODUCT((終値!E79:R79&gt;終値!F79:S79)*(終値!E79:R79-終値!F79:S79))/SUMPRODUCT((終値!E79:R79&lt;終値!F79:S79)*(終値!F79:S79-終値!E79:R79))),100))</f>
      </c>
      <c r="R79" s="684">
        <f>IF($D79="","",IFERROR(100-100/(1+SUMPRODUCT((((高値!E79:R79+安値!E79:R79+終値!E79:R79)/3)&gt;((高値!F79:S79+安値!F79:S79+終値!F79:S79)/3))*((高値!E79:R79+安値!E79:R79+終値!E79:R79)/3)*出来高!E79:R79)/SUMPRODUCT((((高値!E79:R79+安値!E79:R79+終値!E79:R79)/3)&lt;((高値!F79:S79+安値!F79:S79+終値!F79:S79)/3))*((高値!E79:R79+安値!E79:R79+終値!E79:R79)/3)*出来高!E79:R79)),50))</f>
      </c>
      <c r="S79" s="681">
        <f>IF($D79="","",IF(AND(終値!E79&lt;終値!O79,$Q79&gt;(IFERROR(100-100/(1+SUMPRODUCT((終値!O79:AB79&gt;終値!P79:AC79)*(終値!O79:AB79-終値!P79:AC79))/SUMPRODUCT((終値!O79:AB79&lt;終値!P79:AC79)*(終値!P79:AC79-終値!O79:AB79))),100))),"強気div▲",IF(AND(終値!E79&gt;終値!O79,$Q79&lt;(IFERROR(100-100/(1+SUMPRODUCT((終値!O79:AB79&gt;終値!P79:AC79)*(終値!O79:AB79-終値!P79:AC79))/SUMPRODUCT((終値!O79:AB79&lt;終値!P79:AC79)*(終値!P79:AC79-終値!O79:AB79))),100))),"弱気div▼","－")))</f>
      </c>
      <c r="T79" s="681">
        <f>IF($D79="","",IF($D79&gt;=$H79,"上walk▲",IF($D79&lt;=$I79,"下walk▼","－")))</f>
      </c>
      <c r="U79" s="681">
        <f>IF(終値!A79="","",BB_スイング!BT79)</f>
      </c>
      <c r="V79" s="689">
        <f>IF($D79="","",IFERROR(出来高!E79/AVERAGE(出来高!E79:I79),""))</f>
      </c>
      <c r="W79" s="690">
        <f>IF($D79="","",IF(AND($D79&gt;$G79,$O79="拡大↑",$L79&lt;=$M79*1.8),"◎スクイーズブレイク買",IF(AND($D79&gt;=$H79,$R79&gt;=BB設定!$B$10),"○順張り継続(walk)",IF(AND($S79="強気div▲",$D79&gt;$I79),"○反発(ダイバ)買",IF($U79="二番底W▲","△二番底買(確)",IF($U79="二番底W形成","△二番底形成",IF($D79&lt;$J79,"▼-2σ割れ危険",IF(AND($D79&gt;$E79,$K79&lt;0.6,$R79&gt;=50),"・押し目注目",IF($N79="スクイーズ★","☆スクイーズ監視","様子見")))))))))</f>
      </c>
      <c r="X79" s="685">
        <f>IF($D79="","",MIN(100,IF($L79&lt;=$M79*1.15,20,IF($L79&lt;=$M79*1.4,10,0))+IF($D79&gt;$G79,20,IF($D79&gt;$H79,12,IF($D79&gt;$E79,5,0)))+IF($O79="拡大↑",10,0)+IF($R79&gt;=80,15,IF($R79&gt;=60,10,IF($R79&gt;=50,5,0)))+IF(AND($Q79&gt;=50,$Q79&lt;=70),10,IF($Q79&gt;70,3,IF($Q79&gt;=40,5,0)))+IF($S79="強気div▲",15,0)+IF($T79="上walk▲",5,0)+IF($V79&gt;=2,5,IF($V79&gt;=1.5,3,0))))</f>
      </c>
      <c r="Y79" s="682">
        <f>IF($D79="","",$D79)</f>
      </c>
      <c r="Z79" s="682">
        <f>IF($D79="","",$H79)</f>
      </c>
      <c r="AA79" s="682">
        <f>IF($D79="","",IF($D79&gt;$E79,$E79,$AD79))</f>
      </c>
      <c r="AB79" s="682">
        <f>IF($D79="","",$G79)</f>
      </c>
      <c r="AC79" s="688">
        <f>IF($D79="","",IF(($Y79-$AA79)&lt;=0,"－",IFERROR(ROUND(MIN(20,($AB79-$Y79)/($Y79-$AA79)),2),"－")))</f>
      </c>
      <c r="AD79" s="682">
        <f>IF($D79="","",MIN(終値!E79:I79))</f>
      </c>
      <c r="AE79" s="684">
        <f>IF($D79="","",$X79+(10000-ROW())/100000)</f>
      </c>
    </row>
    <row r="80">
      <c r="A80" s="681">
        <f>IF(終値!A80="","",HYPERLINK("https://kabutan.jp/stock/?code="&amp;終値!A80,"📈"))</f>
      </c>
      <c r="B80" s="681">
        <f>IF(終値!A80="","",終値!A80)</f>
      </c>
      <c r="C80" s="680">
        <f>IF(終値!A80="","",終値!B80)</f>
      </c>
      <c r="D80" s="682">
        <f>IF(終値!A80="","",終値!E80)</f>
      </c>
      <c r="E80" s="682">
        <f>IF($D80="","",AVERAGE(終値!E80:X80))</f>
      </c>
      <c r="F80" s="683">
        <f>IF($D80="","",STDEVP(終値!E80:X80))</f>
      </c>
      <c r="G80" s="682">
        <f>IF($D80="","",$E80+BB設定!$B$4*$F80)</f>
      </c>
      <c r="H80" s="682">
        <f>IF($D80="","",$E80+BB設定!$B$5*$F80)</f>
      </c>
      <c r="I80" s="682">
        <f>IF($D80="","",$E80-BB設定!$B$5*$F80)</f>
      </c>
      <c r="J80" s="682">
        <f>IF($D80="","",$E80-BB設定!$B$4*$F80)</f>
      </c>
      <c r="K80" s="687">
        <f>IF($D80="","",IFERROR(($D80-$J80)/($G80-$J80),""))</f>
      </c>
      <c r="L80" s="686">
        <f>IF($D80="","",IFERROR(($G80-$J80)/$E80*100,""))</f>
      </c>
      <c r="M80" s="686">
        <f>IF($D80="","",IFERROR(MIN(BB_帯幅!B80:AP80)*100,""))</f>
      </c>
      <c r="N80" s="681">
        <f>IF($L80="","",IF($L80&lt;=$M80*BB設定!$B$7,"スクイーズ★",IF($L80&lt;=$M80*1.3,"収縮","－")))</f>
      </c>
      <c r="O80" s="681">
        <f>IF($D80="","",IF($L80&gt;(4*STDEVP(終値!F80:Y80)/AVERAGE(終値!F80:Y80)*100),"拡大↑","縮小↓"))</f>
      </c>
      <c r="P80" s="681">
        <f>IF($D80="","",IF($D80&gt;$G80,"↑+2σ突破",IF($D80&lt;$J80,"↓-2σ割れ",IF($D80&gt;$H80,"+1σ上",IF($D80&lt;$I80,"-1σ下","バンド内")))))</f>
      </c>
      <c r="Q80" s="684">
        <f>IF($D80="","",IFERROR(100-100/(1+SUMPRODUCT((終値!E80:R80&gt;終値!F80:S80)*(終値!E80:R80-終値!F80:S80))/SUMPRODUCT((終値!E80:R80&lt;終値!F80:S80)*(終値!F80:S80-終値!E80:R80))),100))</f>
      </c>
      <c r="R80" s="684">
        <f>IF($D80="","",IFERROR(100-100/(1+SUMPRODUCT((((高値!E80:R80+安値!E80:R80+終値!E80:R80)/3)&gt;((高値!F80:S80+安値!F80:S80+終値!F80:S80)/3))*((高値!E80:R80+安値!E80:R80+終値!E80:R80)/3)*出来高!E80:R80)/SUMPRODUCT((((高値!E80:R80+安値!E80:R80+終値!E80:R80)/3)&lt;((高値!F80:S80+安値!F80:S80+終値!F80:S80)/3))*((高値!E80:R80+安値!E80:R80+終値!E80:R80)/3)*出来高!E80:R80)),50))</f>
      </c>
      <c r="S80" s="681">
        <f>IF($D80="","",IF(AND(終値!E80&lt;終値!O80,$Q80&gt;(IFERROR(100-100/(1+SUMPRODUCT((終値!O80:AB80&gt;終値!P80:AC80)*(終値!O80:AB80-終値!P80:AC80))/SUMPRODUCT((終値!O80:AB80&lt;終値!P80:AC80)*(終値!P80:AC80-終値!O80:AB80))),100))),"強気div▲",IF(AND(終値!E80&gt;終値!O80,$Q80&lt;(IFERROR(100-100/(1+SUMPRODUCT((終値!O80:AB80&gt;終値!P80:AC80)*(終値!O80:AB80-終値!P80:AC80))/SUMPRODUCT((終値!O80:AB80&lt;終値!P80:AC80)*(終値!P80:AC80-終値!O80:AB80))),100))),"弱気div▼","－")))</f>
      </c>
      <c r="T80" s="681">
        <f>IF($D80="","",IF($D80&gt;=$H80,"上walk▲",IF($D80&lt;=$I80,"下walk▼","－")))</f>
      </c>
      <c r="U80" s="681">
        <f>IF(終値!A80="","",BB_スイング!BT80)</f>
      </c>
      <c r="V80" s="689">
        <f>IF($D80="","",IFERROR(出来高!E80/AVERAGE(出来高!E80:I80),""))</f>
      </c>
      <c r="W80" s="690">
        <f>IF($D80="","",IF(AND($D80&gt;$G80,$O80="拡大↑",$L80&lt;=$M80*1.8),"◎スクイーズブレイク買",IF(AND($D80&gt;=$H80,$R80&gt;=BB設定!$B$10),"○順張り継続(walk)",IF(AND($S80="強気div▲",$D80&gt;$I80),"○反発(ダイバ)買",IF($U80="二番底W▲","△二番底買(確)",IF($U80="二番底W形成","△二番底形成",IF($D80&lt;$J80,"▼-2σ割れ危険",IF(AND($D80&gt;$E80,$K80&lt;0.6,$R80&gt;=50),"・押し目注目",IF($N80="スクイーズ★","☆スクイーズ監視","様子見")))))))))</f>
      </c>
      <c r="X80" s="685">
        <f>IF($D80="","",MIN(100,IF($L80&lt;=$M80*1.15,20,IF($L80&lt;=$M80*1.4,10,0))+IF($D80&gt;$G80,20,IF($D80&gt;$H80,12,IF($D80&gt;$E80,5,0)))+IF($O80="拡大↑",10,0)+IF($R80&gt;=80,15,IF($R80&gt;=60,10,IF($R80&gt;=50,5,0)))+IF(AND($Q80&gt;=50,$Q80&lt;=70),10,IF($Q80&gt;70,3,IF($Q80&gt;=40,5,0)))+IF($S80="強気div▲",15,0)+IF($T80="上walk▲",5,0)+IF($V80&gt;=2,5,IF($V80&gt;=1.5,3,0))))</f>
      </c>
      <c r="Y80" s="682">
        <f>IF($D80="","",$D80)</f>
      </c>
      <c r="Z80" s="682">
        <f>IF($D80="","",$H80)</f>
      </c>
      <c r="AA80" s="682">
        <f>IF($D80="","",IF($D80&gt;$E80,$E80,$AD80))</f>
      </c>
      <c r="AB80" s="682">
        <f>IF($D80="","",$G80)</f>
      </c>
      <c r="AC80" s="688">
        <f>IF($D80="","",IF(($Y80-$AA80)&lt;=0,"－",IFERROR(ROUND(MIN(20,($AB80-$Y80)/($Y80-$AA80)),2),"－")))</f>
      </c>
      <c r="AD80" s="682">
        <f>IF($D80="","",MIN(終値!E80:I80))</f>
      </c>
      <c r="AE80" s="684">
        <f>IF($D80="","",$X80+(10000-ROW())/100000)</f>
      </c>
    </row>
    <row r="81">
      <c r="A81" s="681">
        <f>IF(終値!A81="","",HYPERLINK("https://kabutan.jp/stock/?code="&amp;終値!A81,"📈"))</f>
      </c>
      <c r="B81" s="681">
        <f>IF(終値!A81="","",終値!A81)</f>
      </c>
      <c r="C81" s="680">
        <f>IF(終値!A81="","",終値!B81)</f>
      </c>
      <c r="D81" s="682">
        <f>IF(終値!A81="","",終値!E81)</f>
      </c>
      <c r="E81" s="682">
        <f>IF($D81="","",AVERAGE(終値!E81:X81))</f>
      </c>
      <c r="F81" s="683">
        <f>IF($D81="","",STDEVP(終値!E81:X81))</f>
      </c>
      <c r="G81" s="682">
        <f>IF($D81="","",$E81+BB設定!$B$4*$F81)</f>
      </c>
      <c r="H81" s="682">
        <f>IF($D81="","",$E81+BB設定!$B$5*$F81)</f>
      </c>
      <c r="I81" s="682">
        <f>IF($D81="","",$E81-BB設定!$B$5*$F81)</f>
      </c>
      <c r="J81" s="682">
        <f>IF($D81="","",$E81-BB設定!$B$4*$F81)</f>
      </c>
      <c r="K81" s="687">
        <f>IF($D81="","",IFERROR(($D81-$J81)/($G81-$J81),""))</f>
      </c>
      <c r="L81" s="686">
        <f>IF($D81="","",IFERROR(($G81-$J81)/$E81*100,""))</f>
      </c>
      <c r="M81" s="686">
        <f>IF($D81="","",IFERROR(MIN(BB_帯幅!B81:AP81)*100,""))</f>
      </c>
      <c r="N81" s="681">
        <f>IF($L81="","",IF($L81&lt;=$M81*BB設定!$B$7,"スクイーズ★",IF($L81&lt;=$M81*1.3,"収縮","－")))</f>
      </c>
      <c r="O81" s="681">
        <f>IF($D81="","",IF($L81&gt;(4*STDEVP(終値!F81:Y81)/AVERAGE(終値!F81:Y81)*100),"拡大↑","縮小↓"))</f>
      </c>
      <c r="P81" s="681">
        <f>IF($D81="","",IF($D81&gt;$G81,"↑+2σ突破",IF($D81&lt;$J81,"↓-2σ割れ",IF($D81&gt;$H81,"+1σ上",IF($D81&lt;$I81,"-1σ下","バンド内")))))</f>
      </c>
      <c r="Q81" s="684">
        <f>IF($D81="","",IFERROR(100-100/(1+SUMPRODUCT((終値!E81:R81&gt;終値!F81:S81)*(終値!E81:R81-終値!F81:S81))/SUMPRODUCT((終値!E81:R81&lt;終値!F81:S81)*(終値!F81:S81-終値!E81:R81))),100))</f>
      </c>
      <c r="R81" s="684">
        <f>IF($D81="","",IFERROR(100-100/(1+SUMPRODUCT((((高値!E81:R81+安値!E81:R81+終値!E81:R81)/3)&gt;((高値!F81:S81+安値!F81:S81+終値!F81:S81)/3))*((高値!E81:R81+安値!E81:R81+終値!E81:R81)/3)*出来高!E81:R81)/SUMPRODUCT((((高値!E81:R81+安値!E81:R81+終値!E81:R81)/3)&lt;((高値!F81:S81+安値!F81:S81+終値!F81:S81)/3))*((高値!E81:R81+安値!E81:R81+終値!E81:R81)/3)*出来高!E81:R81)),50))</f>
      </c>
      <c r="S81" s="681">
        <f>IF($D81="","",IF(AND(終値!E81&lt;終値!O81,$Q81&gt;(IFERROR(100-100/(1+SUMPRODUCT((終値!O81:AB81&gt;終値!P81:AC81)*(終値!O81:AB81-終値!P81:AC81))/SUMPRODUCT((終値!O81:AB81&lt;終値!P81:AC81)*(終値!P81:AC81-終値!O81:AB81))),100))),"強気div▲",IF(AND(終値!E81&gt;終値!O81,$Q81&lt;(IFERROR(100-100/(1+SUMPRODUCT((終値!O81:AB81&gt;終値!P81:AC81)*(終値!O81:AB81-終値!P81:AC81))/SUMPRODUCT((終値!O81:AB81&lt;終値!P81:AC81)*(終値!P81:AC81-終値!O81:AB81))),100))),"弱気div▼","－")))</f>
      </c>
      <c r="T81" s="681">
        <f>IF($D81="","",IF($D81&gt;=$H81,"上walk▲",IF($D81&lt;=$I81,"下walk▼","－")))</f>
      </c>
      <c r="U81" s="681">
        <f>IF(終値!A81="","",BB_スイング!BT81)</f>
      </c>
      <c r="V81" s="689">
        <f>IF($D81="","",IFERROR(出来高!E81/AVERAGE(出来高!E81:I81),""))</f>
      </c>
      <c r="W81" s="690">
        <f>IF($D81="","",IF(AND($D81&gt;$G81,$O81="拡大↑",$L81&lt;=$M81*1.8),"◎スクイーズブレイク買",IF(AND($D81&gt;=$H81,$R81&gt;=BB設定!$B$10),"○順張り継続(walk)",IF(AND($S81="強気div▲",$D81&gt;$I81),"○反発(ダイバ)買",IF($U81="二番底W▲","△二番底買(確)",IF($U81="二番底W形成","△二番底形成",IF($D81&lt;$J81,"▼-2σ割れ危険",IF(AND($D81&gt;$E81,$K81&lt;0.6,$R81&gt;=50),"・押し目注目",IF($N81="スクイーズ★","☆スクイーズ監視","様子見")))))))))</f>
      </c>
      <c r="X81" s="685">
        <f>IF($D81="","",MIN(100,IF($L81&lt;=$M81*1.15,20,IF($L81&lt;=$M81*1.4,10,0))+IF($D81&gt;$G81,20,IF($D81&gt;$H81,12,IF($D81&gt;$E81,5,0)))+IF($O81="拡大↑",10,0)+IF($R81&gt;=80,15,IF($R81&gt;=60,10,IF($R81&gt;=50,5,0)))+IF(AND($Q81&gt;=50,$Q81&lt;=70),10,IF($Q81&gt;70,3,IF($Q81&gt;=40,5,0)))+IF($S81="強気div▲",15,0)+IF($T81="上walk▲",5,0)+IF($V81&gt;=2,5,IF($V81&gt;=1.5,3,0))))</f>
      </c>
      <c r="Y81" s="682">
        <f>IF($D81="","",$D81)</f>
      </c>
      <c r="Z81" s="682">
        <f>IF($D81="","",$H81)</f>
      </c>
      <c r="AA81" s="682">
        <f>IF($D81="","",IF($D81&gt;$E81,$E81,$AD81))</f>
      </c>
      <c r="AB81" s="682">
        <f>IF($D81="","",$G81)</f>
      </c>
      <c r="AC81" s="688">
        <f>IF($D81="","",IF(($Y81-$AA81)&lt;=0,"－",IFERROR(ROUND(MIN(20,($AB81-$Y81)/($Y81-$AA81)),2),"－")))</f>
      </c>
      <c r="AD81" s="682">
        <f>IF($D81="","",MIN(終値!E81:I81))</f>
      </c>
      <c r="AE81" s="684">
        <f>IF($D81="","",$X81+(10000-ROW())/100000)</f>
      </c>
    </row>
    <row r="82">
      <c r="A82" s="681">
        <f>IF(終値!A82="","",HYPERLINK("https://kabutan.jp/stock/?code="&amp;終値!A82,"📈"))</f>
      </c>
      <c r="B82" s="681">
        <f>IF(終値!A82="","",終値!A82)</f>
      </c>
      <c r="C82" s="680">
        <f>IF(終値!A82="","",終値!B82)</f>
      </c>
      <c r="D82" s="682">
        <f>IF(終値!A82="","",終値!E82)</f>
      </c>
      <c r="E82" s="682">
        <f>IF($D82="","",AVERAGE(終値!E82:X82))</f>
      </c>
      <c r="F82" s="683">
        <f>IF($D82="","",STDEVP(終値!E82:X82))</f>
      </c>
      <c r="G82" s="682">
        <f>IF($D82="","",$E82+BB設定!$B$4*$F82)</f>
      </c>
      <c r="H82" s="682">
        <f>IF($D82="","",$E82+BB設定!$B$5*$F82)</f>
      </c>
      <c r="I82" s="682">
        <f>IF($D82="","",$E82-BB設定!$B$5*$F82)</f>
      </c>
      <c r="J82" s="682">
        <f>IF($D82="","",$E82-BB設定!$B$4*$F82)</f>
      </c>
      <c r="K82" s="687">
        <f>IF($D82="","",IFERROR(($D82-$J82)/($G82-$J82),""))</f>
      </c>
      <c r="L82" s="686">
        <f>IF($D82="","",IFERROR(($G82-$J82)/$E82*100,""))</f>
      </c>
      <c r="M82" s="686">
        <f>IF($D82="","",IFERROR(MIN(BB_帯幅!B82:AP82)*100,""))</f>
      </c>
      <c r="N82" s="681">
        <f>IF($L82="","",IF($L82&lt;=$M82*BB設定!$B$7,"スクイーズ★",IF($L82&lt;=$M82*1.3,"収縮","－")))</f>
      </c>
      <c r="O82" s="681">
        <f>IF($D82="","",IF($L82&gt;(4*STDEVP(終値!F82:Y82)/AVERAGE(終値!F82:Y82)*100),"拡大↑","縮小↓"))</f>
      </c>
      <c r="P82" s="681">
        <f>IF($D82="","",IF($D82&gt;$G82,"↑+2σ突破",IF($D82&lt;$J82,"↓-2σ割れ",IF($D82&gt;$H82,"+1σ上",IF($D82&lt;$I82,"-1σ下","バンド内")))))</f>
      </c>
      <c r="Q82" s="684">
        <f>IF($D82="","",IFERROR(100-100/(1+SUMPRODUCT((終値!E82:R82&gt;終値!F82:S82)*(終値!E82:R82-終値!F82:S82))/SUMPRODUCT((終値!E82:R82&lt;終値!F82:S82)*(終値!F82:S82-終値!E82:R82))),100))</f>
      </c>
      <c r="R82" s="684">
        <f>IF($D82="","",IFERROR(100-100/(1+SUMPRODUCT((((高値!E82:R82+安値!E82:R82+終値!E82:R82)/3)&gt;((高値!F82:S82+安値!F82:S82+終値!F82:S82)/3))*((高値!E82:R82+安値!E82:R82+終値!E82:R82)/3)*出来高!E82:R82)/SUMPRODUCT((((高値!E82:R82+安値!E82:R82+終値!E82:R82)/3)&lt;((高値!F82:S82+安値!F82:S82+終値!F82:S82)/3))*((高値!E82:R82+安値!E82:R82+終値!E82:R82)/3)*出来高!E82:R82)),50))</f>
      </c>
      <c r="S82" s="681">
        <f>IF($D82="","",IF(AND(終値!E82&lt;終値!O82,$Q82&gt;(IFERROR(100-100/(1+SUMPRODUCT((終値!O82:AB82&gt;終値!P82:AC82)*(終値!O82:AB82-終値!P82:AC82))/SUMPRODUCT((終値!O82:AB82&lt;終値!P82:AC82)*(終値!P82:AC82-終値!O82:AB82))),100))),"強気div▲",IF(AND(終値!E82&gt;終値!O82,$Q82&lt;(IFERROR(100-100/(1+SUMPRODUCT((終値!O82:AB82&gt;終値!P82:AC82)*(終値!O82:AB82-終値!P82:AC82))/SUMPRODUCT((終値!O82:AB82&lt;終値!P82:AC82)*(終値!P82:AC82-終値!O82:AB82))),100))),"弱気div▼","－")))</f>
      </c>
      <c r="T82" s="681">
        <f>IF($D82="","",IF($D82&gt;=$H82,"上walk▲",IF($D82&lt;=$I82,"下walk▼","－")))</f>
      </c>
      <c r="U82" s="681">
        <f>IF(終値!A82="","",BB_スイング!BT82)</f>
      </c>
      <c r="V82" s="689">
        <f>IF($D82="","",IFERROR(出来高!E82/AVERAGE(出来高!E82:I82),""))</f>
      </c>
      <c r="W82" s="690">
        <f>IF($D82="","",IF(AND($D82&gt;$G82,$O82="拡大↑",$L82&lt;=$M82*1.8),"◎スクイーズブレイク買",IF(AND($D82&gt;=$H82,$R82&gt;=BB設定!$B$10),"○順張り継続(walk)",IF(AND($S82="強気div▲",$D82&gt;$I82),"○反発(ダイバ)買",IF($U82="二番底W▲","△二番底買(確)",IF($U82="二番底W形成","△二番底形成",IF($D82&lt;$J82,"▼-2σ割れ危険",IF(AND($D82&gt;$E82,$K82&lt;0.6,$R82&gt;=50),"・押し目注目",IF($N82="スクイーズ★","☆スクイーズ監視","様子見")))))))))</f>
      </c>
      <c r="X82" s="685">
        <f>IF($D82="","",MIN(100,IF($L82&lt;=$M82*1.15,20,IF($L82&lt;=$M82*1.4,10,0))+IF($D82&gt;$G82,20,IF($D82&gt;$H82,12,IF($D82&gt;$E82,5,0)))+IF($O82="拡大↑",10,0)+IF($R82&gt;=80,15,IF($R82&gt;=60,10,IF($R82&gt;=50,5,0)))+IF(AND($Q82&gt;=50,$Q82&lt;=70),10,IF($Q82&gt;70,3,IF($Q82&gt;=40,5,0)))+IF($S82="強気div▲",15,0)+IF($T82="上walk▲",5,0)+IF($V82&gt;=2,5,IF($V82&gt;=1.5,3,0))))</f>
      </c>
      <c r="Y82" s="682">
        <f>IF($D82="","",$D82)</f>
      </c>
      <c r="Z82" s="682">
        <f>IF($D82="","",$H82)</f>
      </c>
      <c r="AA82" s="682">
        <f>IF($D82="","",IF($D82&gt;$E82,$E82,$AD82))</f>
      </c>
      <c r="AB82" s="682">
        <f>IF($D82="","",$G82)</f>
      </c>
      <c r="AC82" s="688">
        <f>IF($D82="","",IF(($Y82-$AA82)&lt;=0,"－",IFERROR(ROUND(MIN(20,($AB82-$Y82)/($Y82-$AA82)),2),"－")))</f>
      </c>
      <c r="AD82" s="682">
        <f>IF($D82="","",MIN(終値!E82:I82))</f>
      </c>
      <c r="AE82" s="684">
        <f>IF($D82="","",$X82+(10000-ROW())/100000)</f>
      </c>
    </row>
    <row r="83">
      <c r="A83" s="681">
        <f>IF(終値!A83="","",HYPERLINK("https://kabutan.jp/stock/?code="&amp;終値!A83,"📈"))</f>
      </c>
      <c r="B83" s="681">
        <f>IF(終値!A83="","",終値!A83)</f>
      </c>
      <c r="C83" s="680">
        <f>IF(終値!A83="","",終値!B83)</f>
      </c>
      <c r="D83" s="682">
        <f>IF(終値!A83="","",終値!E83)</f>
      </c>
      <c r="E83" s="682">
        <f>IF($D83="","",AVERAGE(終値!E83:X83))</f>
      </c>
      <c r="F83" s="683">
        <f>IF($D83="","",STDEVP(終値!E83:X83))</f>
      </c>
      <c r="G83" s="682">
        <f>IF($D83="","",$E83+BB設定!$B$4*$F83)</f>
      </c>
      <c r="H83" s="682">
        <f>IF($D83="","",$E83+BB設定!$B$5*$F83)</f>
      </c>
      <c r="I83" s="682">
        <f>IF($D83="","",$E83-BB設定!$B$5*$F83)</f>
      </c>
      <c r="J83" s="682">
        <f>IF($D83="","",$E83-BB設定!$B$4*$F83)</f>
      </c>
      <c r="K83" s="687">
        <f>IF($D83="","",IFERROR(($D83-$J83)/($G83-$J83),""))</f>
      </c>
      <c r="L83" s="686">
        <f>IF($D83="","",IFERROR(($G83-$J83)/$E83*100,""))</f>
      </c>
      <c r="M83" s="686">
        <f>IF($D83="","",IFERROR(MIN(BB_帯幅!B83:AP83)*100,""))</f>
      </c>
      <c r="N83" s="681">
        <f>IF($L83="","",IF($L83&lt;=$M83*BB設定!$B$7,"スクイーズ★",IF($L83&lt;=$M83*1.3,"収縮","－")))</f>
      </c>
      <c r="O83" s="681">
        <f>IF($D83="","",IF($L83&gt;(4*STDEVP(終値!F83:Y83)/AVERAGE(終値!F83:Y83)*100),"拡大↑","縮小↓"))</f>
      </c>
      <c r="P83" s="681">
        <f>IF($D83="","",IF($D83&gt;$G83,"↑+2σ突破",IF($D83&lt;$J83,"↓-2σ割れ",IF($D83&gt;$H83,"+1σ上",IF($D83&lt;$I83,"-1σ下","バンド内")))))</f>
      </c>
      <c r="Q83" s="684">
        <f>IF($D83="","",IFERROR(100-100/(1+SUMPRODUCT((終値!E83:R83&gt;終値!F83:S83)*(終値!E83:R83-終値!F83:S83))/SUMPRODUCT((終値!E83:R83&lt;終値!F83:S83)*(終値!F83:S83-終値!E83:R83))),100))</f>
      </c>
      <c r="R83" s="684">
        <f>IF($D83="","",IFERROR(100-100/(1+SUMPRODUCT((((高値!E83:R83+安値!E83:R83+終値!E83:R83)/3)&gt;((高値!F83:S83+安値!F83:S83+終値!F83:S83)/3))*((高値!E83:R83+安値!E83:R83+終値!E83:R83)/3)*出来高!E83:R83)/SUMPRODUCT((((高値!E83:R83+安値!E83:R83+終値!E83:R83)/3)&lt;((高値!F83:S83+安値!F83:S83+終値!F83:S83)/3))*((高値!E83:R83+安値!E83:R83+終値!E83:R83)/3)*出来高!E83:R83)),50))</f>
      </c>
      <c r="S83" s="681">
        <f>IF($D83="","",IF(AND(終値!E83&lt;終値!O83,$Q83&gt;(IFERROR(100-100/(1+SUMPRODUCT((終値!O83:AB83&gt;終値!P83:AC83)*(終値!O83:AB83-終値!P83:AC83))/SUMPRODUCT((終値!O83:AB83&lt;終値!P83:AC83)*(終値!P83:AC83-終値!O83:AB83))),100))),"強気div▲",IF(AND(終値!E83&gt;終値!O83,$Q83&lt;(IFERROR(100-100/(1+SUMPRODUCT((終値!O83:AB83&gt;終値!P83:AC83)*(終値!O83:AB83-終値!P83:AC83))/SUMPRODUCT((終値!O83:AB83&lt;終値!P83:AC83)*(終値!P83:AC83-終値!O83:AB83))),100))),"弱気div▼","－")))</f>
      </c>
      <c r="T83" s="681">
        <f>IF($D83="","",IF($D83&gt;=$H83,"上walk▲",IF($D83&lt;=$I83,"下walk▼","－")))</f>
      </c>
      <c r="U83" s="681">
        <f>IF(終値!A83="","",BB_スイング!BT83)</f>
      </c>
      <c r="V83" s="689">
        <f>IF($D83="","",IFERROR(出来高!E83/AVERAGE(出来高!E83:I83),""))</f>
      </c>
      <c r="W83" s="690">
        <f>IF($D83="","",IF(AND($D83&gt;$G83,$O83="拡大↑",$L83&lt;=$M83*1.8),"◎スクイーズブレイク買",IF(AND($D83&gt;=$H83,$R83&gt;=BB設定!$B$10),"○順張り継続(walk)",IF(AND($S83="強気div▲",$D83&gt;$I83),"○反発(ダイバ)買",IF($U83="二番底W▲","△二番底買(確)",IF($U83="二番底W形成","△二番底形成",IF($D83&lt;$J83,"▼-2σ割れ危険",IF(AND($D83&gt;$E83,$K83&lt;0.6,$R83&gt;=50),"・押し目注目",IF($N83="スクイーズ★","☆スクイーズ監視","様子見")))))))))</f>
      </c>
      <c r="X83" s="685">
        <f>IF($D83="","",MIN(100,IF($L83&lt;=$M83*1.15,20,IF($L83&lt;=$M83*1.4,10,0))+IF($D83&gt;$G83,20,IF($D83&gt;$H83,12,IF($D83&gt;$E83,5,0)))+IF($O83="拡大↑",10,0)+IF($R83&gt;=80,15,IF($R83&gt;=60,10,IF($R83&gt;=50,5,0)))+IF(AND($Q83&gt;=50,$Q83&lt;=70),10,IF($Q83&gt;70,3,IF($Q83&gt;=40,5,0)))+IF($S83="強気div▲",15,0)+IF($T83="上walk▲",5,0)+IF($V83&gt;=2,5,IF($V83&gt;=1.5,3,0))))</f>
      </c>
      <c r="Y83" s="682">
        <f>IF($D83="","",$D83)</f>
      </c>
      <c r="Z83" s="682">
        <f>IF($D83="","",$H83)</f>
      </c>
      <c r="AA83" s="682">
        <f>IF($D83="","",IF($D83&gt;$E83,$E83,$AD83))</f>
      </c>
      <c r="AB83" s="682">
        <f>IF($D83="","",$G83)</f>
      </c>
      <c r="AC83" s="688">
        <f>IF($D83="","",IF(($Y83-$AA83)&lt;=0,"－",IFERROR(ROUND(MIN(20,($AB83-$Y83)/($Y83-$AA83)),2),"－")))</f>
      </c>
      <c r="AD83" s="682">
        <f>IF($D83="","",MIN(終値!E83:I83))</f>
      </c>
      <c r="AE83" s="684">
        <f>IF($D83="","",$X83+(10000-ROW())/100000)</f>
      </c>
    </row>
    <row r="84">
      <c r="A84" s="681">
        <f>IF(終値!A84="","",HYPERLINK("https://kabutan.jp/stock/?code="&amp;終値!A84,"📈"))</f>
      </c>
      <c r="B84" s="681">
        <f>IF(終値!A84="","",終値!A84)</f>
      </c>
      <c r="C84" s="680">
        <f>IF(終値!A84="","",終値!B84)</f>
      </c>
      <c r="D84" s="682">
        <f>IF(終値!A84="","",終値!E84)</f>
      </c>
      <c r="E84" s="682">
        <f>IF($D84="","",AVERAGE(終値!E84:X84))</f>
      </c>
      <c r="F84" s="683">
        <f>IF($D84="","",STDEVP(終値!E84:X84))</f>
      </c>
      <c r="G84" s="682">
        <f>IF($D84="","",$E84+BB設定!$B$4*$F84)</f>
      </c>
      <c r="H84" s="682">
        <f>IF($D84="","",$E84+BB設定!$B$5*$F84)</f>
      </c>
      <c r="I84" s="682">
        <f>IF($D84="","",$E84-BB設定!$B$5*$F84)</f>
      </c>
      <c r="J84" s="682">
        <f>IF($D84="","",$E84-BB設定!$B$4*$F84)</f>
      </c>
      <c r="K84" s="687">
        <f>IF($D84="","",IFERROR(($D84-$J84)/($G84-$J84),""))</f>
      </c>
      <c r="L84" s="686">
        <f>IF($D84="","",IFERROR(($G84-$J84)/$E84*100,""))</f>
      </c>
      <c r="M84" s="686">
        <f>IF($D84="","",IFERROR(MIN(BB_帯幅!B84:AP84)*100,""))</f>
      </c>
      <c r="N84" s="681">
        <f>IF($L84="","",IF($L84&lt;=$M84*BB設定!$B$7,"スクイーズ★",IF($L84&lt;=$M84*1.3,"収縮","－")))</f>
      </c>
      <c r="O84" s="681">
        <f>IF($D84="","",IF($L84&gt;(4*STDEVP(終値!F84:Y84)/AVERAGE(終値!F84:Y84)*100),"拡大↑","縮小↓"))</f>
      </c>
      <c r="P84" s="681">
        <f>IF($D84="","",IF($D84&gt;$G84,"↑+2σ突破",IF($D84&lt;$J84,"↓-2σ割れ",IF($D84&gt;$H84,"+1σ上",IF($D84&lt;$I84,"-1σ下","バンド内")))))</f>
      </c>
      <c r="Q84" s="684">
        <f>IF($D84="","",IFERROR(100-100/(1+SUMPRODUCT((終値!E84:R84&gt;終値!F84:S84)*(終値!E84:R84-終値!F84:S84))/SUMPRODUCT((終値!E84:R84&lt;終値!F84:S84)*(終値!F84:S84-終値!E84:R84))),100))</f>
      </c>
      <c r="R84" s="684">
        <f>IF($D84="","",IFERROR(100-100/(1+SUMPRODUCT((((高値!E84:R84+安値!E84:R84+終値!E84:R84)/3)&gt;((高値!F84:S84+安値!F84:S84+終値!F84:S84)/3))*((高値!E84:R84+安値!E84:R84+終値!E84:R84)/3)*出来高!E84:R84)/SUMPRODUCT((((高値!E84:R84+安値!E84:R84+終値!E84:R84)/3)&lt;((高値!F84:S84+安値!F84:S84+終値!F84:S84)/3))*((高値!E84:R84+安値!E84:R84+終値!E84:R84)/3)*出来高!E84:R84)),50))</f>
      </c>
      <c r="S84" s="681">
        <f>IF($D84="","",IF(AND(終値!E84&lt;終値!O84,$Q84&gt;(IFERROR(100-100/(1+SUMPRODUCT((終値!O84:AB84&gt;終値!P84:AC84)*(終値!O84:AB84-終値!P84:AC84))/SUMPRODUCT((終値!O84:AB84&lt;終値!P84:AC84)*(終値!P84:AC84-終値!O84:AB84))),100))),"強気div▲",IF(AND(終値!E84&gt;終値!O84,$Q84&lt;(IFERROR(100-100/(1+SUMPRODUCT((終値!O84:AB84&gt;終値!P84:AC84)*(終値!O84:AB84-終値!P84:AC84))/SUMPRODUCT((終値!O84:AB84&lt;終値!P84:AC84)*(終値!P84:AC84-終値!O84:AB84))),100))),"弱気div▼","－")))</f>
      </c>
      <c r="T84" s="681">
        <f>IF($D84="","",IF($D84&gt;=$H84,"上walk▲",IF($D84&lt;=$I84,"下walk▼","－")))</f>
      </c>
      <c r="U84" s="681">
        <f>IF(終値!A84="","",BB_スイング!BT84)</f>
      </c>
      <c r="V84" s="689">
        <f>IF($D84="","",IFERROR(出来高!E84/AVERAGE(出来高!E84:I84),""))</f>
      </c>
      <c r="W84" s="690">
        <f>IF($D84="","",IF(AND($D84&gt;$G84,$O84="拡大↑",$L84&lt;=$M84*1.8),"◎スクイーズブレイク買",IF(AND($D84&gt;=$H84,$R84&gt;=BB設定!$B$10),"○順張り継続(walk)",IF(AND($S84="強気div▲",$D84&gt;$I84),"○反発(ダイバ)買",IF($U84="二番底W▲","△二番底買(確)",IF($U84="二番底W形成","△二番底形成",IF($D84&lt;$J84,"▼-2σ割れ危険",IF(AND($D84&gt;$E84,$K84&lt;0.6,$R84&gt;=50),"・押し目注目",IF($N84="スクイーズ★","☆スクイーズ監視","様子見")))))))))</f>
      </c>
      <c r="X84" s="685">
        <f>IF($D84="","",MIN(100,IF($L84&lt;=$M84*1.15,20,IF($L84&lt;=$M84*1.4,10,0))+IF($D84&gt;$G84,20,IF($D84&gt;$H84,12,IF($D84&gt;$E84,5,0)))+IF($O84="拡大↑",10,0)+IF($R84&gt;=80,15,IF($R84&gt;=60,10,IF($R84&gt;=50,5,0)))+IF(AND($Q84&gt;=50,$Q84&lt;=70),10,IF($Q84&gt;70,3,IF($Q84&gt;=40,5,0)))+IF($S84="強気div▲",15,0)+IF($T84="上walk▲",5,0)+IF($V84&gt;=2,5,IF($V84&gt;=1.5,3,0))))</f>
      </c>
      <c r="Y84" s="682">
        <f>IF($D84="","",$D84)</f>
      </c>
      <c r="Z84" s="682">
        <f>IF($D84="","",$H84)</f>
      </c>
      <c r="AA84" s="682">
        <f>IF($D84="","",IF($D84&gt;$E84,$E84,$AD84))</f>
      </c>
      <c r="AB84" s="682">
        <f>IF($D84="","",$G84)</f>
      </c>
      <c r="AC84" s="688">
        <f>IF($D84="","",IF(($Y84-$AA84)&lt;=0,"－",IFERROR(ROUND(MIN(20,($AB84-$Y84)/($Y84-$AA84)),2),"－")))</f>
      </c>
      <c r="AD84" s="682">
        <f>IF($D84="","",MIN(終値!E84:I84))</f>
      </c>
      <c r="AE84" s="684">
        <f>IF($D84="","",$X84+(10000-ROW())/100000)</f>
      </c>
    </row>
    <row r="85">
      <c r="A85" s="681">
        <f>IF(終値!A85="","",HYPERLINK("https://kabutan.jp/stock/?code="&amp;終値!A85,"📈"))</f>
      </c>
      <c r="B85" s="681">
        <f>IF(終値!A85="","",終値!A85)</f>
      </c>
      <c r="C85" s="680">
        <f>IF(終値!A85="","",終値!B85)</f>
      </c>
      <c r="D85" s="682">
        <f>IF(終値!A85="","",終値!E85)</f>
      </c>
      <c r="E85" s="682">
        <f>IF($D85="","",AVERAGE(終値!E85:X85))</f>
      </c>
      <c r="F85" s="683">
        <f>IF($D85="","",STDEVP(終値!E85:X85))</f>
      </c>
      <c r="G85" s="682">
        <f>IF($D85="","",$E85+BB設定!$B$4*$F85)</f>
      </c>
      <c r="H85" s="682">
        <f>IF($D85="","",$E85+BB設定!$B$5*$F85)</f>
      </c>
      <c r="I85" s="682">
        <f>IF($D85="","",$E85-BB設定!$B$5*$F85)</f>
      </c>
      <c r="J85" s="682">
        <f>IF($D85="","",$E85-BB設定!$B$4*$F85)</f>
      </c>
      <c r="K85" s="687">
        <f>IF($D85="","",IFERROR(($D85-$J85)/($G85-$J85),""))</f>
      </c>
      <c r="L85" s="686">
        <f>IF($D85="","",IFERROR(($G85-$J85)/$E85*100,""))</f>
      </c>
      <c r="M85" s="686">
        <f>IF($D85="","",IFERROR(MIN(BB_帯幅!B85:AP85)*100,""))</f>
      </c>
      <c r="N85" s="681">
        <f>IF($L85="","",IF($L85&lt;=$M85*BB設定!$B$7,"スクイーズ★",IF($L85&lt;=$M85*1.3,"収縮","－")))</f>
      </c>
      <c r="O85" s="681">
        <f>IF($D85="","",IF($L85&gt;(4*STDEVP(終値!F85:Y85)/AVERAGE(終値!F85:Y85)*100),"拡大↑","縮小↓"))</f>
      </c>
      <c r="P85" s="681">
        <f>IF($D85="","",IF($D85&gt;$G85,"↑+2σ突破",IF($D85&lt;$J85,"↓-2σ割れ",IF($D85&gt;$H85,"+1σ上",IF($D85&lt;$I85,"-1σ下","バンド内")))))</f>
      </c>
      <c r="Q85" s="684">
        <f>IF($D85="","",IFERROR(100-100/(1+SUMPRODUCT((終値!E85:R85&gt;終値!F85:S85)*(終値!E85:R85-終値!F85:S85))/SUMPRODUCT((終値!E85:R85&lt;終値!F85:S85)*(終値!F85:S85-終値!E85:R85))),100))</f>
      </c>
      <c r="R85" s="684">
        <f>IF($D85="","",IFERROR(100-100/(1+SUMPRODUCT((((高値!E85:R85+安値!E85:R85+終値!E85:R85)/3)&gt;((高値!F85:S85+安値!F85:S85+終値!F85:S85)/3))*((高値!E85:R85+安値!E85:R85+終値!E85:R85)/3)*出来高!E85:R85)/SUMPRODUCT((((高値!E85:R85+安値!E85:R85+終値!E85:R85)/3)&lt;((高値!F85:S85+安値!F85:S85+終値!F85:S85)/3))*((高値!E85:R85+安値!E85:R85+終値!E85:R85)/3)*出来高!E85:R85)),50))</f>
      </c>
      <c r="S85" s="681">
        <f>IF($D85="","",IF(AND(終値!E85&lt;終値!O85,$Q85&gt;(IFERROR(100-100/(1+SUMPRODUCT((終値!O85:AB85&gt;終値!P85:AC85)*(終値!O85:AB85-終値!P85:AC85))/SUMPRODUCT((終値!O85:AB85&lt;終値!P85:AC85)*(終値!P85:AC85-終値!O85:AB85))),100))),"強気div▲",IF(AND(終値!E85&gt;終値!O85,$Q85&lt;(IFERROR(100-100/(1+SUMPRODUCT((終値!O85:AB85&gt;終値!P85:AC85)*(終値!O85:AB85-終値!P85:AC85))/SUMPRODUCT((終値!O85:AB85&lt;終値!P85:AC85)*(終値!P85:AC85-終値!O85:AB85))),100))),"弱気div▼","－")))</f>
      </c>
      <c r="T85" s="681">
        <f>IF($D85="","",IF($D85&gt;=$H85,"上walk▲",IF($D85&lt;=$I85,"下walk▼","－")))</f>
      </c>
      <c r="U85" s="681">
        <f>IF(終値!A85="","",BB_スイング!BT85)</f>
      </c>
      <c r="V85" s="689">
        <f>IF($D85="","",IFERROR(出来高!E85/AVERAGE(出来高!E85:I85),""))</f>
      </c>
      <c r="W85" s="690">
        <f>IF($D85="","",IF(AND($D85&gt;$G85,$O85="拡大↑",$L85&lt;=$M85*1.8),"◎スクイーズブレイク買",IF(AND($D85&gt;=$H85,$R85&gt;=BB設定!$B$10),"○順張り継続(walk)",IF(AND($S85="強気div▲",$D85&gt;$I85),"○反発(ダイバ)買",IF($U85="二番底W▲","△二番底買(確)",IF($U85="二番底W形成","△二番底形成",IF($D85&lt;$J85,"▼-2σ割れ危険",IF(AND($D85&gt;$E85,$K85&lt;0.6,$R85&gt;=50),"・押し目注目",IF($N85="スクイーズ★","☆スクイーズ監視","様子見")))))))))</f>
      </c>
      <c r="X85" s="685">
        <f>IF($D85="","",MIN(100,IF($L85&lt;=$M85*1.15,20,IF($L85&lt;=$M85*1.4,10,0))+IF($D85&gt;$G85,20,IF($D85&gt;$H85,12,IF($D85&gt;$E85,5,0)))+IF($O85="拡大↑",10,0)+IF($R85&gt;=80,15,IF($R85&gt;=60,10,IF($R85&gt;=50,5,0)))+IF(AND($Q85&gt;=50,$Q85&lt;=70),10,IF($Q85&gt;70,3,IF($Q85&gt;=40,5,0)))+IF($S85="強気div▲",15,0)+IF($T85="上walk▲",5,0)+IF($V85&gt;=2,5,IF($V85&gt;=1.5,3,0))))</f>
      </c>
      <c r="Y85" s="682">
        <f>IF($D85="","",$D85)</f>
      </c>
      <c r="Z85" s="682">
        <f>IF($D85="","",$H85)</f>
      </c>
      <c r="AA85" s="682">
        <f>IF($D85="","",IF($D85&gt;$E85,$E85,$AD85))</f>
      </c>
      <c r="AB85" s="682">
        <f>IF($D85="","",$G85)</f>
      </c>
      <c r="AC85" s="688">
        <f>IF($D85="","",IF(($Y85-$AA85)&lt;=0,"－",IFERROR(ROUND(MIN(20,($AB85-$Y85)/($Y85-$AA85)),2),"－")))</f>
      </c>
      <c r="AD85" s="682">
        <f>IF($D85="","",MIN(終値!E85:I85))</f>
      </c>
      <c r="AE85" s="684">
        <f>IF($D85="","",$X85+(10000-ROW())/100000)</f>
      </c>
    </row>
    <row r="86">
      <c r="A86" s="681">
        <f>IF(終値!A86="","",HYPERLINK("https://kabutan.jp/stock/?code="&amp;終値!A86,"📈"))</f>
      </c>
      <c r="B86" s="681">
        <f>IF(終値!A86="","",終値!A86)</f>
      </c>
      <c r="C86" s="680">
        <f>IF(終値!A86="","",終値!B86)</f>
      </c>
      <c r="D86" s="682">
        <f>IF(終値!A86="","",終値!E86)</f>
      </c>
      <c r="E86" s="682">
        <f>IF($D86="","",AVERAGE(終値!E86:X86))</f>
      </c>
      <c r="F86" s="683">
        <f>IF($D86="","",STDEVP(終値!E86:X86))</f>
      </c>
      <c r="G86" s="682">
        <f>IF($D86="","",$E86+BB設定!$B$4*$F86)</f>
      </c>
      <c r="H86" s="682">
        <f>IF($D86="","",$E86+BB設定!$B$5*$F86)</f>
      </c>
      <c r="I86" s="682">
        <f>IF($D86="","",$E86-BB設定!$B$5*$F86)</f>
      </c>
      <c r="J86" s="682">
        <f>IF($D86="","",$E86-BB設定!$B$4*$F86)</f>
      </c>
      <c r="K86" s="687">
        <f>IF($D86="","",IFERROR(($D86-$J86)/($G86-$J86),""))</f>
      </c>
      <c r="L86" s="686">
        <f>IF($D86="","",IFERROR(($G86-$J86)/$E86*100,""))</f>
      </c>
      <c r="M86" s="686">
        <f>IF($D86="","",IFERROR(MIN(BB_帯幅!B86:AP86)*100,""))</f>
      </c>
      <c r="N86" s="681">
        <f>IF($L86="","",IF($L86&lt;=$M86*BB設定!$B$7,"スクイーズ★",IF($L86&lt;=$M86*1.3,"収縮","－")))</f>
      </c>
      <c r="O86" s="681">
        <f>IF($D86="","",IF($L86&gt;(4*STDEVP(終値!F86:Y86)/AVERAGE(終値!F86:Y86)*100),"拡大↑","縮小↓"))</f>
      </c>
      <c r="P86" s="681">
        <f>IF($D86="","",IF($D86&gt;$G86,"↑+2σ突破",IF($D86&lt;$J86,"↓-2σ割れ",IF($D86&gt;$H86,"+1σ上",IF($D86&lt;$I86,"-1σ下","バンド内")))))</f>
      </c>
      <c r="Q86" s="684">
        <f>IF($D86="","",IFERROR(100-100/(1+SUMPRODUCT((終値!E86:R86&gt;終値!F86:S86)*(終値!E86:R86-終値!F86:S86))/SUMPRODUCT((終値!E86:R86&lt;終値!F86:S86)*(終値!F86:S86-終値!E86:R86))),100))</f>
      </c>
      <c r="R86" s="684">
        <f>IF($D86="","",IFERROR(100-100/(1+SUMPRODUCT((((高値!E86:R86+安値!E86:R86+終値!E86:R86)/3)&gt;((高値!F86:S86+安値!F86:S86+終値!F86:S86)/3))*((高値!E86:R86+安値!E86:R86+終値!E86:R86)/3)*出来高!E86:R86)/SUMPRODUCT((((高値!E86:R86+安値!E86:R86+終値!E86:R86)/3)&lt;((高値!F86:S86+安値!F86:S86+終値!F86:S86)/3))*((高値!E86:R86+安値!E86:R86+終値!E86:R86)/3)*出来高!E86:R86)),50))</f>
      </c>
      <c r="S86" s="681">
        <f>IF($D86="","",IF(AND(終値!E86&lt;終値!O86,$Q86&gt;(IFERROR(100-100/(1+SUMPRODUCT((終値!O86:AB86&gt;終値!P86:AC86)*(終値!O86:AB86-終値!P86:AC86))/SUMPRODUCT((終値!O86:AB86&lt;終値!P86:AC86)*(終値!P86:AC86-終値!O86:AB86))),100))),"強気div▲",IF(AND(終値!E86&gt;終値!O86,$Q86&lt;(IFERROR(100-100/(1+SUMPRODUCT((終値!O86:AB86&gt;終値!P86:AC86)*(終値!O86:AB86-終値!P86:AC86))/SUMPRODUCT((終値!O86:AB86&lt;終値!P86:AC86)*(終値!P86:AC86-終値!O86:AB86))),100))),"弱気div▼","－")))</f>
      </c>
      <c r="T86" s="681">
        <f>IF($D86="","",IF($D86&gt;=$H86,"上walk▲",IF($D86&lt;=$I86,"下walk▼","－")))</f>
      </c>
      <c r="U86" s="681">
        <f>IF(終値!A86="","",BB_スイング!BT86)</f>
      </c>
      <c r="V86" s="689">
        <f>IF($D86="","",IFERROR(出来高!E86/AVERAGE(出来高!E86:I86),""))</f>
      </c>
      <c r="W86" s="690">
        <f>IF($D86="","",IF(AND($D86&gt;$G86,$O86="拡大↑",$L86&lt;=$M86*1.8),"◎スクイーズブレイク買",IF(AND($D86&gt;=$H86,$R86&gt;=BB設定!$B$10),"○順張り継続(walk)",IF(AND($S86="強気div▲",$D86&gt;$I86),"○反発(ダイバ)買",IF($U86="二番底W▲","△二番底買(確)",IF($U86="二番底W形成","△二番底形成",IF($D86&lt;$J86,"▼-2σ割れ危険",IF(AND($D86&gt;$E86,$K86&lt;0.6,$R86&gt;=50),"・押し目注目",IF($N86="スクイーズ★","☆スクイーズ監視","様子見")))))))))</f>
      </c>
      <c r="X86" s="685">
        <f>IF($D86="","",MIN(100,IF($L86&lt;=$M86*1.15,20,IF($L86&lt;=$M86*1.4,10,0))+IF($D86&gt;$G86,20,IF($D86&gt;$H86,12,IF($D86&gt;$E86,5,0)))+IF($O86="拡大↑",10,0)+IF($R86&gt;=80,15,IF($R86&gt;=60,10,IF($R86&gt;=50,5,0)))+IF(AND($Q86&gt;=50,$Q86&lt;=70),10,IF($Q86&gt;70,3,IF($Q86&gt;=40,5,0)))+IF($S86="強気div▲",15,0)+IF($T86="上walk▲",5,0)+IF($V86&gt;=2,5,IF($V86&gt;=1.5,3,0))))</f>
      </c>
      <c r="Y86" s="682">
        <f>IF($D86="","",$D86)</f>
      </c>
      <c r="Z86" s="682">
        <f>IF($D86="","",$H86)</f>
      </c>
      <c r="AA86" s="682">
        <f>IF($D86="","",IF($D86&gt;$E86,$E86,$AD86))</f>
      </c>
      <c r="AB86" s="682">
        <f>IF($D86="","",$G86)</f>
      </c>
      <c r="AC86" s="688">
        <f>IF($D86="","",IF(($Y86-$AA86)&lt;=0,"－",IFERROR(ROUND(MIN(20,($AB86-$Y86)/($Y86-$AA86)),2),"－")))</f>
      </c>
      <c r="AD86" s="682">
        <f>IF($D86="","",MIN(終値!E86:I86))</f>
      </c>
      <c r="AE86" s="684">
        <f>IF($D86="","",$X86+(10000-ROW())/100000)</f>
      </c>
    </row>
    <row r="87">
      <c r="A87" s="681">
        <f>IF(終値!A87="","",HYPERLINK("https://kabutan.jp/stock/?code="&amp;終値!A87,"📈"))</f>
      </c>
      <c r="B87" s="681">
        <f>IF(終値!A87="","",終値!A87)</f>
      </c>
      <c r="C87" s="680">
        <f>IF(終値!A87="","",終値!B87)</f>
      </c>
      <c r="D87" s="682">
        <f>IF(終値!A87="","",終値!E87)</f>
      </c>
      <c r="E87" s="682">
        <f>IF($D87="","",AVERAGE(終値!E87:X87))</f>
      </c>
      <c r="F87" s="683">
        <f>IF($D87="","",STDEVP(終値!E87:X87))</f>
      </c>
      <c r="G87" s="682">
        <f>IF($D87="","",$E87+BB設定!$B$4*$F87)</f>
      </c>
      <c r="H87" s="682">
        <f>IF($D87="","",$E87+BB設定!$B$5*$F87)</f>
      </c>
      <c r="I87" s="682">
        <f>IF($D87="","",$E87-BB設定!$B$5*$F87)</f>
      </c>
      <c r="J87" s="682">
        <f>IF($D87="","",$E87-BB設定!$B$4*$F87)</f>
      </c>
      <c r="K87" s="687">
        <f>IF($D87="","",IFERROR(($D87-$J87)/($G87-$J87),""))</f>
      </c>
      <c r="L87" s="686">
        <f>IF($D87="","",IFERROR(($G87-$J87)/$E87*100,""))</f>
      </c>
      <c r="M87" s="686">
        <f>IF($D87="","",IFERROR(MIN(BB_帯幅!B87:AP87)*100,""))</f>
      </c>
      <c r="N87" s="681">
        <f>IF($L87="","",IF($L87&lt;=$M87*BB設定!$B$7,"スクイーズ★",IF($L87&lt;=$M87*1.3,"収縮","－")))</f>
      </c>
      <c r="O87" s="681">
        <f>IF($D87="","",IF($L87&gt;(4*STDEVP(終値!F87:Y87)/AVERAGE(終値!F87:Y87)*100),"拡大↑","縮小↓"))</f>
      </c>
      <c r="P87" s="681">
        <f>IF($D87="","",IF($D87&gt;$G87,"↑+2σ突破",IF($D87&lt;$J87,"↓-2σ割れ",IF($D87&gt;$H87,"+1σ上",IF($D87&lt;$I87,"-1σ下","バンド内")))))</f>
      </c>
      <c r="Q87" s="684">
        <f>IF($D87="","",IFERROR(100-100/(1+SUMPRODUCT((終値!E87:R87&gt;終値!F87:S87)*(終値!E87:R87-終値!F87:S87))/SUMPRODUCT((終値!E87:R87&lt;終値!F87:S87)*(終値!F87:S87-終値!E87:R87))),100))</f>
      </c>
      <c r="R87" s="684">
        <f>IF($D87="","",IFERROR(100-100/(1+SUMPRODUCT((((高値!E87:R87+安値!E87:R87+終値!E87:R87)/3)&gt;((高値!F87:S87+安値!F87:S87+終値!F87:S87)/3))*((高値!E87:R87+安値!E87:R87+終値!E87:R87)/3)*出来高!E87:R87)/SUMPRODUCT((((高値!E87:R87+安値!E87:R87+終値!E87:R87)/3)&lt;((高値!F87:S87+安値!F87:S87+終値!F87:S87)/3))*((高値!E87:R87+安値!E87:R87+終値!E87:R87)/3)*出来高!E87:R87)),50))</f>
      </c>
      <c r="S87" s="681">
        <f>IF($D87="","",IF(AND(終値!E87&lt;終値!O87,$Q87&gt;(IFERROR(100-100/(1+SUMPRODUCT((終値!O87:AB87&gt;終値!P87:AC87)*(終値!O87:AB87-終値!P87:AC87))/SUMPRODUCT((終値!O87:AB87&lt;終値!P87:AC87)*(終値!P87:AC87-終値!O87:AB87))),100))),"強気div▲",IF(AND(終値!E87&gt;終値!O87,$Q87&lt;(IFERROR(100-100/(1+SUMPRODUCT((終値!O87:AB87&gt;終値!P87:AC87)*(終値!O87:AB87-終値!P87:AC87))/SUMPRODUCT((終値!O87:AB87&lt;終値!P87:AC87)*(終値!P87:AC87-終値!O87:AB87))),100))),"弱気div▼","－")))</f>
      </c>
      <c r="T87" s="681">
        <f>IF($D87="","",IF($D87&gt;=$H87,"上walk▲",IF($D87&lt;=$I87,"下walk▼","－")))</f>
      </c>
      <c r="U87" s="681">
        <f>IF(終値!A87="","",BB_スイング!BT87)</f>
      </c>
      <c r="V87" s="689">
        <f>IF($D87="","",IFERROR(出来高!E87/AVERAGE(出来高!E87:I87),""))</f>
      </c>
      <c r="W87" s="690">
        <f>IF($D87="","",IF(AND($D87&gt;$G87,$O87="拡大↑",$L87&lt;=$M87*1.8),"◎スクイーズブレイク買",IF(AND($D87&gt;=$H87,$R87&gt;=BB設定!$B$10),"○順張り継続(walk)",IF(AND($S87="強気div▲",$D87&gt;$I87),"○反発(ダイバ)買",IF($U87="二番底W▲","△二番底買(確)",IF($U87="二番底W形成","△二番底形成",IF($D87&lt;$J87,"▼-2σ割れ危険",IF(AND($D87&gt;$E87,$K87&lt;0.6,$R87&gt;=50),"・押し目注目",IF($N87="スクイーズ★","☆スクイーズ監視","様子見")))))))))</f>
      </c>
      <c r="X87" s="685">
        <f>IF($D87="","",MIN(100,IF($L87&lt;=$M87*1.15,20,IF($L87&lt;=$M87*1.4,10,0))+IF($D87&gt;$G87,20,IF($D87&gt;$H87,12,IF($D87&gt;$E87,5,0)))+IF($O87="拡大↑",10,0)+IF($R87&gt;=80,15,IF($R87&gt;=60,10,IF($R87&gt;=50,5,0)))+IF(AND($Q87&gt;=50,$Q87&lt;=70),10,IF($Q87&gt;70,3,IF($Q87&gt;=40,5,0)))+IF($S87="強気div▲",15,0)+IF($T87="上walk▲",5,0)+IF($V87&gt;=2,5,IF($V87&gt;=1.5,3,0))))</f>
      </c>
      <c r="Y87" s="682">
        <f>IF($D87="","",$D87)</f>
      </c>
      <c r="Z87" s="682">
        <f>IF($D87="","",$H87)</f>
      </c>
      <c r="AA87" s="682">
        <f>IF($D87="","",IF($D87&gt;$E87,$E87,$AD87))</f>
      </c>
      <c r="AB87" s="682">
        <f>IF($D87="","",$G87)</f>
      </c>
      <c r="AC87" s="688">
        <f>IF($D87="","",IF(($Y87-$AA87)&lt;=0,"－",IFERROR(ROUND(MIN(20,($AB87-$Y87)/($Y87-$AA87)),2),"－")))</f>
      </c>
      <c r="AD87" s="682">
        <f>IF($D87="","",MIN(終値!E87:I87))</f>
      </c>
      <c r="AE87" s="684">
        <f>IF($D87="","",$X87+(10000-ROW())/100000)</f>
      </c>
    </row>
    <row r="88">
      <c r="A88" s="681">
        <f>IF(終値!A88="","",HYPERLINK("https://kabutan.jp/stock/?code="&amp;終値!A88,"📈"))</f>
      </c>
      <c r="B88" s="681">
        <f>IF(終値!A88="","",終値!A88)</f>
      </c>
      <c r="C88" s="680">
        <f>IF(終値!A88="","",終値!B88)</f>
      </c>
      <c r="D88" s="682">
        <f>IF(終値!A88="","",終値!E88)</f>
      </c>
      <c r="E88" s="682">
        <f>IF($D88="","",AVERAGE(終値!E88:X88))</f>
      </c>
      <c r="F88" s="683">
        <f>IF($D88="","",STDEVP(終値!E88:X88))</f>
      </c>
      <c r="G88" s="682">
        <f>IF($D88="","",$E88+BB設定!$B$4*$F88)</f>
      </c>
      <c r="H88" s="682">
        <f>IF($D88="","",$E88+BB設定!$B$5*$F88)</f>
      </c>
      <c r="I88" s="682">
        <f>IF($D88="","",$E88-BB設定!$B$5*$F88)</f>
      </c>
      <c r="J88" s="682">
        <f>IF($D88="","",$E88-BB設定!$B$4*$F88)</f>
      </c>
      <c r="K88" s="687">
        <f>IF($D88="","",IFERROR(($D88-$J88)/($G88-$J88),""))</f>
      </c>
      <c r="L88" s="686">
        <f>IF($D88="","",IFERROR(($G88-$J88)/$E88*100,""))</f>
      </c>
      <c r="M88" s="686">
        <f>IF($D88="","",IFERROR(MIN(BB_帯幅!B88:AP88)*100,""))</f>
      </c>
      <c r="N88" s="681">
        <f>IF($L88="","",IF($L88&lt;=$M88*BB設定!$B$7,"スクイーズ★",IF($L88&lt;=$M88*1.3,"収縮","－")))</f>
      </c>
      <c r="O88" s="681">
        <f>IF($D88="","",IF($L88&gt;(4*STDEVP(終値!F88:Y88)/AVERAGE(終値!F88:Y88)*100),"拡大↑","縮小↓"))</f>
      </c>
      <c r="P88" s="681">
        <f>IF($D88="","",IF($D88&gt;$G88,"↑+2σ突破",IF($D88&lt;$J88,"↓-2σ割れ",IF($D88&gt;$H88,"+1σ上",IF($D88&lt;$I88,"-1σ下","バンド内")))))</f>
      </c>
      <c r="Q88" s="684">
        <f>IF($D88="","",IFERROR(100-100/(1+SUMPRODUCT((終値!E88:R88&gt;終値!F88:S88)*(終値!E88:R88-終値!F88:S88))/SUMPRODUCT((終値!E88:R88&lt;終値!F88:S88)*(終値!F88:S88-終値!E88:R88))),100))</f>
      </c>
      <c r="R88" s="684">
        <f>IF($D88="","",IFERROR(100-100/(1+SUMPRODUCT((((高値!E88:R88+安値!E88:R88+終値!E88:R88)/3)&gt;((高値!F88:S88+安値!F88:S88+終値!F88:S88)/3))*((高値!E88:R88+安値!E88:R88+終値!E88:R88)/3)*出来高!E88:R88)/SUMPRODUCT((((高値!E88:R88+安値!E88:R88+終値!E88:R88)/3)&lt;((高値!F88:S88+安値!F88:S88+終値!F88:S88)/3))*((高値!E88:R88+安値!E88:R88+終値!E88:R88)/3)*出来高!E88:R88)),50))</f>
      </c>
      <c r="S88" s="681">
        <f>IF($D88="","",IF(AND(終値!E88&lt;終値!O88,$Q88&gt;(IFERROR(100-100/(1+SUMPRODUCT((終値!O88:AB88&gt;終値!P88:AC88)*(終値!O88:AB88-終値!P88:AC88))/SUMPRODUCT((終値!O88:AB88&lt;終値!P88:AC88)*(終値!P88:AC88-終値!O88:AB88))),100))),"強気div▲",IF(AND(終値!E88&gt;終値!O88,$Q88&lt;(IFERROR(100-100/(1+SUMPRODUCT((終値!O88:AB88&gt;終値!P88:AC88)*(終値!O88:AB88-終値!P88:AC88))/SUMPRODUCT((終値!O88:AB88&lt;終値!P88:AC88)*(終値!P88:AC88-終値!O88:AB88))),100))),"弱気div▼","－")))</f>
      </c>
      <c r="T88" s="681">
        <f>IF($D88="","",IF($D88&gt;=$H88,"上walk▲",IF($D88&lt;=$I88,"下walk▼","－")))</f>
      </c>
      <c r="U88" s="681">
        <f>IF(終値!A88="","",BB_スイング!BT88)</f>
      </c>
      <c r="V88" s="689">
        <f>IF($D88="","",IFERROR(出来高!E88/AVERAGE(出来高!E88:I88),""))</f>
      </c>
      <c r="W88" s="690">
        <f>IF($D88="","",IF(AND($D88&gt;$G88,$O88="拡大↑",$L88&lt;=$M88*1.8),"◎スクイーズブレイク買",IF(AND($D88&gt;=$H88,$R88&gt;=BB設定!$B$10),"○順張り継続(walk)",IF(AND($S88="強気div▲",$D88&gt;$I88),"○反発(ダイバ)買",IF($U88="二番底W▲","△二番底買(確)",IF($U88="二番底W形成","△二番底形成",IF($D88&lt;$J88,"▼-2σ割れ危険",IF(AND($D88&gt;$E88,$K88&lt;0.6,$R88&gt;=50),"・押し目注目",IF($N88="スクイーズ★","☆スクイーズ監視","様子見")))))))))</f>
      </c>
      <c r="X88" s="685">
        <f>IF($D88="","",MIN(100,IF($L88&lt;=$M88*1.15,20,IF($L88&lt;=$M88*1.4,10,0))+IF($D88&gt;$G88,20,IF($D88&gt;$H88,12,IF($D88&gt;$E88,5,0)))+IF($O88="拡大↑",10,0)+IF($R88&gt;=80,15,IF($R88&gt;=60,10,IF($R88&gt;=50,5,0)))+IF(AND($Q88&gt;=50,$Q88&lt;=70),10,IF($Q88&gt;70,3,IF($Q88&gt;=40,5,0)))+IF($S88="強気div▲",15,0)+IF($T88="上walk▲",5,0)+IF($V88&gt;=2,5,IF($V88&gt;=1.5,3,0))))</f>
      </c>
      <c r="Y88" s="682">
        <f>IF($D88="","",$D88)</f>
      </c>
      <c r="Z88" s="682">
        <f>IF($D88="","",$H88)</f>
      </c>
      <c r="AA88" s="682">
        <f>IF($D88="","",IF($D88&gt;$E88,$E88,$AD88))</f>
      </c>
      <c r="AB88" s="682">
        <f>IF($D88="","",$G88)</f>
      </c>
      <c r="AC88" s="688">
        <f>IF($D88="","",IF(($Y88-$AA88)&lt;=0,"－",IFERROR(ROUND(MIN(20,($AB88-$Y88)/($Y88-$AA88)),2),"－")))</f>
      </c>
      <c r="AD88" s="682">
        <f>IF($D88="","",MIN(終値!E88:I88))</f>
      </c>
      <c r="AE88" s="684">
        <f>IF($D88="","",$X88+(10000-ROW())/100000)</f>
      </c>
    </row>
    <row r="89">
      <c r="A89" s="681">
        <f>IF(終値!A89="","",HYPERLINK("https://kabutan.jp/stock/?code="&amp;終値!A89,"📈"))</f>
      </c>
      <c r="B89" s="681">
        <f>IF(終値!A89="","",終値!A89)</f>
      </c>
      <c r="C89" s="680">
        <f>IF(終値!A89="","",終値!B89)</f>
      </c>
      <c r="D89" s="682">
        <f>IF(終値!A89="","",終値!E89)</f>
      </c>
      <c r="E89" s="682">
        <f>IF($D89="","",AVERAGE(終値!E89:X89))</f>
      </c>
      <c r="F89" s="683">
        <f>IF($D89="","",STDEVP(終値!E89:X89))</f>
      </c>
      <c r="G89" s="682">
        <f>IF($D89="","",$E89+BB設定!$B$4*$F89)</f>
      </c>
      <c r="H89" s="682">
        <f>IF($D89="","",$E89+BB設定!$B$5*$F89)</f>
      </c>
      <c r="I89" s="682">
        <f>IF($D89="","",$E89-BB設定!$B$5*$F89)</f>
      </c>
      <c r="J89" s="682">
        <f>IF($D89="","",$E89-BB設定!$B$4*$F89)</f>
      </c>
      <c r="K89" s="687">
        <f>IF($D89="","",IFERROR(($D89-$J89)/($G89-$J89),""))</f>
      </c>
      <c r="L89" s="686">
        <f>IF($D89="","",IFERROR(($G89-$J89)/$E89*100,""))</f>
      </c>
      <c r="M89" s="686">
        <f>IF($D89="","",IFERROR(MIN(BB_帯幅!B89:AP89)*100,""))</f>
      </c>
      <c r="N89" s="681">
        <f>IF($L89="","",IF($L89&lt;=$M89*BB設定!$B$7,"スクイーズ★",IF($L89&lt;=$M89*1.3,"収縮","－")))</f>
      </c>
      <c r="O89" s="681">
        <f>IF($D89="","",IF($L89&gt;(4*STDEVP(終値!F89:Y89)/AVERAGE(終値!F89:Y89)*100),"拡大↑","縮小↓"))</f>
      </c>
      <c r="P89" s="681">
        <f>IF($D89="","",IF($D89&gt;$G89,"↑+2σ突破",IF($D89&lt;$J89,"↓-2σ割れ",IF($D89&gt;$H89,"+1σ上",IF($D89&lt;$I89,"-1σ下","バンド内")))))</f>
      </c>
      <c r="Q89" s="684">
        <f>IF($D89="","",IFERROR(100-100/(1+SUMPRODUCT((終値!E89:R89&gt;終値!F89:S89)*(終値!E89:R89-終値!F89:S89))/SUMPRODUCT((終値!E89:R89&lt;終値!F89:S89)*(終値!F89:S89-終値!E89:R89))),100))</f>
      </c>
      <c r="R89" s="684">
        <f>IF($D89="","",IFERROR(100-100/(1+SUMPRODUCT((((高値!E89:R89+安値!E89:R89+終値!E89:R89)/3)&gt;((高値!F89:S89+安値!F89:S89+終値!F89:S89)/3))*((高値!E89:R89+安値!E89:R89+終値!E89:R89)/3)*出来高!E89:R89)/SUMPRODUCT((((高値!E89:R89+安値!E89:R89+終値!E89:R89)/3)&lt;((高値!F89:S89+安値!F89:S89+終値!F89:S89)/3))*((高値!E89:R89+安値!E89:R89+終値!E89:R89)/3)*出来高!E89:R89)),50))</f>
      </c>
      <c r="S89" s="681">
        <f>IF($D89="","",IF(AND(終値!E89&lt;終値!O89,$Q89&gt;(IFERROR(100-100/(1+SUMPRODUCT((終値!O89:AB89&gt;終値!P89:AC89)*(終値!O89:AB89-終値!P89:AC89))/SUMPRODUCT((終値!O89:AB89&lt;終値!P89:AC89)*(終値!P89:AC89-終値!O89:AB89))),100))),"強気div▲",IF(AND(終値!E89&gt;終値!O89,$Q89&lt;(IFERROR(100-100/(1+SUMPRODUCT((終値!O89:AB89&gt;終値!P89:AC89)*(終値!O89:AB89-終値!P89:AC89))/SUMPRODUCT((終値!O89:AB89&lt;終値!P89:AC89)*(終値!P89:AC89-終値!O89:AB89))),100))),"弱気div▼","－")))</f>
      </c>
      <c r="T89" s="681">
        <f>IF($D89="","",IF($D89&gt;=$H89,"上walk▲",IF($D89&lt;=$I89,"下walk▼","－")))</f>
      </c>
      <c r="U89" s="681">
        <f>IF(終値!A89="","",BB_スイング!BT89)</f>
      </c>
      <c r="V89" s="689">
        <f>IF($D89="","",IFERROR(出来高!E89/AVERAGE(出来高!E89:I89),""))</f>
      </c>
      <c r="W89" s="690">
        <f>IF($D89="","",IF(AND($D89&gt;$G89,$O89="拡大↑",$L89&lt;=$M89*1.8),"◎スクイーズブレイク買",IF(AND($D89&gt;=$H89,$R89&gt;=BB設定!$B$10),"○順張り継続(walk)",IF(AND($S89="強気div▲",$D89&gt;$I89),"○反発(ダイバ)買",IF($U89="二番底W▲","△二番底買(確)",IF($U89="二番底W形成","△二番底形成",IF($D89&lt;$J89,"▼-2σ割れ危険",IF(AND($D89&gt;$E89,$K89&lt;0.6,$R89&gt;=50),"・押し目注目",IF($N89="スクイーズ★","☆スクイーズ監視","様子見")))))))))</f>
      </c>
      <c r="X89" s="685">
        <f>IF($D89="","",MIN(100,IF($L89&lt;=$M89*1.15,20,IF($L89&lt;=$M89*1.4,10,0))+IF($D89&gt;$G89,20,IF($D89&gt;$H89,12,IF($D89&gt;$E89,5,0)))+IF($O89="拡大↑",10,0)+IF($R89&gt;=80,15,IF($R89&gt;=60,10,IF($R89&gt;=50,5,0)))+IF(AND($Q89&gt;=50,$Q89&lt;=70),10,IF($Q89&gt;70,3,IF($Q89&gt;=40,5,0)))+IF($S89="強気div▲",15,0)+IF($T89="上walk▲",5,0)+IF($V89&gt;=2,5,IF($V89&gt;=1.5,3,0))))</f>
      </c>
      <c r="Y89" s="682">
        <f>IF($D89="","",$D89)</f>
      </c>
      <c r="Z89" s="682">
        <f>IF($D89="","",$H89)</f>
      </c>
      <c r="AA89" s="682">
        <f>IF($D89="","",IF($D89&gt;$E89,$E89,$AD89))</f>
      </c>
      <c r="AB89" s="682">
        <f>IF($D89="","",$G89)</f>
      </c>
      <c r="AC89" s="688">
        <f>IF($D89="","",IF(($Y89-$AA89)&lt;=0,"－",IFERROR(ROUND(MIN(20,($AB89-$Y89)/($Y89-$AA89)),2),"－")))</f>
      </c>
      <c r="AD89" s="682">
        <f>IF($D89="","",MIN(終値!E89:I89))</f>
      </c>
      <c r="AE89" s="684">
        <f>IF($D89="","",$X89+(10000-ROW())/100000)</f>
      </c>
    </row>
    <row r="90">
      <c r="A90" s="681">
        <f>IF(終値!A90="","",HYPERLINK("https://kabutan.jp/stock/?code="&amp;終値!A90,"📈"))</f>
      </c>
      <c r="B90" s="681">
        <f>IF(終値!A90="","",終値!A90)</f>
      </c>
      <c r="C90" s="680">
        <f>IF(終値!A90="","",終値!B90)</f>
      </c>
      <c r="D90" s="682">
        <f>IF(終値!A90="","",終値!E90)</f>
      </c>
      <c r="E90" s="682">
        <f>IF($D90="","",AVERAGE(終値!E90:X90))</f>
      </c>
      <c r="F90" s="683">
        <f>IF($D90="","",STDEVP(終値!E90:X90))</f>
      </c>
      <c r="G90" s="682">
        <f>IF($D90="","",$E90+BB設定!$B$4*$F90)</f>
      </c>
      <c r="H90" s="682">
        <f>IF($D90="","",$E90+BB設定!$B$5*$F90)</f>
      </c>
      <c r="I90" s="682">
        <f>IF($D90="","",$E90-BB設定!$B$5*$F90)</f>
      </c>
      <c r="J90" s="682">
        <f>IF($D90="","",$E90-BB設定!$B$4*$F90)</f>
      </c>
      <c r="K90" s="687">
        <f>IF($D90="","",IFERROR(($D90-$J90)/($G90-$J90),""))</f>
      </c>
      <c r="L90" s="686">
        <f>IF($D90="","",IFERROR(($G90-$J90)/$E90*100,""))</f>
      </c>
      <c r="M90" s="686">
        <f>IF($D90="","",IFERROR(MIN(BB_帯幅!B90:AP90)*100,""))</f>
      </c>
      <c r="N90" s="681">
        <f>IF($L90="","",IF($L90&lt;=$M90*BB設定!$B$7,"スクイーズ★",IF($L90&lt;=$M90*1.3,"収縮","－")))</f>
      </c>
      <c r="O90" s="681">
        <f>IF($D90="","",IF($L90&gt;(4*STDEVP(終値!F90:Y90)/AVERAGE(終値!F90:Y90)*100),"拡大↑","縮小↓"))</f>
      </c>
      <c r="P90" s="681">
        <f>IF($D90="","",IF($D90&gt;$G90,"↑+2σ突破",IF($D90&lt;$J90,"↓-2σ割れ",IF($D90&gt;$H90,"+1σ上",IF($D90&lt;$I90,"-1σ下","バンド内")))))</f>
      </c>
      <c r="Q90" s="684">
        <f>IF($D90="","",IFERROR(100-100/(1+SUMPRODUCT((終値!E90:R90&gt;終値!F90:S90)*(終値!E90:R90-終値!F90:S90))/SUMPRODUCT((終値!E90:R90&lt;終値!F90:S90)*(終値!F90:S90-終値!E90:R90))),100))</f>
      </c>
      <c r="R90" s="684">
        <f>IF($D90="","",IFERROR(100-100/(1+SUMPRODUCT((((高値!E90:R90+安値!E90:R90+終値!E90:R90)/3)&gt;((高値!F90:S90+安値!F90:S90+終値!F90:S90)/3))*((高値!E90:R90+安値!E90:R90+終値!E90:R90)/3)*出来高!E90:R90)/SUMPRODUCT((((高値!E90:R90+安値!E90:R90+終値!E90:R90)/3)&lt;((高値!F90:S90+安値!F90:S90+終値!F90:S90)/3))*((高値!E90:R90+安値!E90:R90+終値!E90:R90)/3)*出来高!E90:R90)),50))</f>
      </c>
      <c r="S90" s="681">
        <f>IF($D90="","",IF(AND(終値!E90&lt;終値!O90,$Q90&gt;(IFERROR(100-100/(1+SUMPRODUCT((終値!O90:AB90&gt;終値!P90:AC90)*(終値!O90:AB90-終値!P90:AC90))/SUMPRODUCT((終値!O90:AB90&lt;終値!P90:AC90)*(終値!P90:AC90-終値!O90:AB90))),100))),"強気div▲",IF(AND(終値!E90&gt;終値!O90,$Q90&lt;(IFERROR(100-100/(1+SUMPRODUCT((終値!O90:AB90&gt;終値!P90:AC90)*(終値!O90:AB90-終値!P90:AC90))/SUMPRODUCT((終値!O90:AB90&lt;終値!P90:AC90)*(終値!P90:AC90-終値!O90:AB90))),100))),"弱気div▼","－")))</f>
      </c>
      <c r="T90" s="681">
        <f>IF($D90="","",IF($D90&gt;=$H90,"上walk▲",IF($D90&lt;=$I90,"下walk▼","－")))</f>
      </c>
      <c r="U90" s="681">
        <f>IF(終値!A90="","",BB_スイング!BT90)</f>
      </c>
      <c r="V90" s="689">
        <f>IF($D90="","",IFERROR(出来高!E90/AVERAGE(出来高!E90:I90),""))</f>
      </c>
      <c r="W90" s="690">
        <f>IF($D90="","",IF(AND($D90&gt;$G90,$O90="拡大↑",$L90&lt;=$M90*1.8),"◎スクイーズブレイク買",IF(AND($D90&gt;=$H90,$R90&gt;=BB設定!$B$10),"○順張り継続(walk)",IF(AND($S90="強気div▲",$D90&gt;$I90),"○反発(ダイバ)買",IF($U90="二番底W▲","△二番底買(確)",IF($U90="二番底W形成","△二番底形成",IF($D90&lt;$J90,"▼-2σ割れ危険",IF(AND($D90&gt;$E90,$K90&lt;0.6,$R90&gt;=50),"・押し目注目",IF($N90="スクイーズ★","☆スクイーズ監視","様子見")))))))))</f>
      </c>
      <c r="X90" s="685">
        <f>IF($D90="","",MIN(100,IF($L90&lt;=$M90*1.15,20,IF($L90&lt;=$M90*1.4,10,0))+IF($D90&gt;$G90,20,IF($D90&gt;$H90,12,IF($D90&gt;$E90,5,0)))+IF($O90="拡大↑",10,0)+IF($R90&gt;=80,15,IF($R90&gt;=60,10,IF($R90&gt;=50,5,0)))+IF(AND($Q90&gt;=50,$Q90&lt;=70),10,IF($Q90&gt;70,3,IF($Q90&gt;=40,5,0)))+IF($S90="強気div▲",15,0)+IF($T90="上walk▲",5,0)+IF($V90&gt;=2,5,IF($V90&gt;=1.5,3,0))))</f>
      </c>
      <c r="Y90" s="682">
        <f>IF($D90="","",$D90)</f>
      </c>
      <c r="Z90" s="682">
        <f>IF($D90="","",$H90)</f>
      </c>
      <c r="AA90" s="682">
        <f>IF($D90="","",IF($D90&gt;$E90,$E90,$AD90))</f>
      </c>
      <c r="AB90" s="682">
        <f>IF($D90="","",$G90)</f>
      </c>
      <c r="AC90" s="688">
        <f>IF($D90="","",IF(($Y90-$AA90)&lt;=0,"－",IFERROR(ROUND(MIN(20,($AB90-$Y90)/($Y90-$AA90)),2),"－")))</f>
      </c>
      <c r="AD90" s="682">
        <f>IF($D90="","",MIN(終値!E90:I90))</f>
      </c>
      <c r="AE90" s="684">
        <f>IF($D90="","",$X90+(10000-ROW())/100000)</f>
      </c>
    </row>
    <row r="91">
      <c r="A91" s="681">
        <f>IF(終値!A91="","",HYPERLINK("https://kabutan.jp/stock/?code="&amp;終値!A91,"📈"))</f>
      </c>
      <c r="B91" s="681">
        <f>IF(終値!A91="","",終値!A91)</f>
      </c>
      <c r="C91" s="680">
        <f>IF(終値!A91="","",終値!B91)</f>
      </c>
      <c r="D91" s="682">
        <f>IF(終値!A91="","",終値!E91)</f>
      </c>
      <c r="E91" s="682">
        <f>IF($D91="","",AVERAGE(終値!E91:X91))</f>
      </c>
      <c r="F91" s="683">
        <f>IF($D91="","",STDEVP(終値!E91:X91))</f>
      </c>
      <c r="G91" s="682">
        <f>IF($D91="","",$E91+BB設定!$B$4*$F91)</f>
      </c>
      <c r="H91" s="682">
        <f>IF($D91="","",$E91+BB設定!$B$5*$F91)</f>
      </c>
      <c r="I91" s="682">
        <f>IF($D91="","",$E91-BB設定!$B$5*$F91)</f>
      </c>
      <c r="J91" s="682">
        <f>IF($D91="","",$E91-BB設定!$B$4*$F91)</f>
      </c>
      <c r="K91" s="687">
        <f>IF($D91="","",IFERROR(($D91-$J91)/($G91-$J91),""))</f>
      </c>
      <c r="L91" s="686">
        <f>IF($D91="","",IFERROR(($G91-$J91)/$E91*100,""))</f>
      </c>
      <c r="M91" s="686">
        <f>IF($D91="","",IFERROR(MIN(BB_帯幅!B91:AP91)*100,""))</f>
      </c>
      <c r="N91" s="681">
        <f>IF($L91="","",IF($L91&lt;=$M91*BB設定!$B$7,"スクイーズ★",IF($L91&lt;=$M91*1.3,"収縮","－")))</f>
      </c>
      <c r="O91" s="681">
        <f>IF($D91="","",IF($L91&gt;(4*STDEVP(終値!F91:Y91)/AVERAGE(終値!F91:Y91)*100),"拡大↑","縮小↓"))</f>
      </c>
      <c r="P91" s="681">
        <f>IF($D91="","",IF($D91&gt;$G91,"↑+2σ突破",IF($D91&lt;$J91,"↓-2σ割れ",IF($D91&gt;$H91,"+1σ上",IF($D91&lt;$I91,"-1σ下","バンド内")))))</f>
      </c>
      <c r="Q91" s="684">
        <f>IF($D91="","",IFERROR(100-100/(1+SUMPRODUCT((終値!E91:R91&gt;終値!F91:S91)*(終値!E91:R91-終値!F91:S91))/SUMPRODUCT((終値!E91:R91&lt;終値!F91:S91)*(終値!F91:S91-終値!E91:R91))),100))</f>
      </c>
      <c r="R91" s="684">
        <f>IF($D91="","",IFERROR(100-100/(1+SUMPRODUCT((((高値!E91:R91+安値!E91:R91+終値!E91:R91)/3)&gt;((高値!F91:S91+安値!F91:S91+終値!F91:S91)/3))*((高値!E91:R91+安値!E91:R91+終値!E91:R91)/3)*出来高!E91:R91)/SUMPRODUCT((((高値!E91:R91+安値!E91:R91+終値!E91:R91)/3)&lt;((高値!F91:S91+安値!F91:S91+終値!F91:S91)/3))*((高値!E91:R91+安値!E91:R91+終値!E91:R91)/3)*出来高!E91:R91)),50))</f>
      </c>
      <c r="S91" s="681">
        <f>IF($D91="","",IF(AND(終値!E91&lt;終値!O91,$Q91&gt;(IFERROR(100-100/(1+SUMPRODUCT((終値!O91:AB91&gt;終値!P91:AC91)*(終値!O91:AB91-終値!P91:AC91))/SUMPRODUCT((終値!O91:AB91&lt;終値!P91:AC91)*(終値!P91:AC91-終値!O91:AB91))),100))),"強気div▲",IF(AND(終値!E91&gt;終値!O91,$Q91&lt;(IFERROR(100-100/(1+SUMPRODUCT((終値!O91:AB91&gt;終値!P91:AC91)*(終値!O91:AB91-終値!P91:AC91))/SUMPRODUCT((終値!O91:AB91&lt;終値!P91:AC91)*(終値!P91:AC91-終値!O91:AB91))),100))),"弱気div▼","－")))</f>
      </c>
      <c r="T91" s="681">
        <f>IF($D91="","",IF($D91&gt;=$H91,"上walk▲",IF($D91&lt;=$I91,"下walk▼","－")))</f>
      </c>
      <c r="U91" s="681">
        <f>IF(終値!A91="","",BB_スイング!BT91)</f>
      </c>
      <c r="V91" s="689">
        <f>IF($D91="","",IFERROR(出来高!E91/AVERAGE(出来高!E91:I91),""))</f>
      </c>
      <c r="W91" s="690">
        <f>IF($D91="","",IF(AND($D91&gt;$G91,$O91="拡大↑",$L91&lt;=$M91*1.8),"◎スクイーズブレイク買",IF(AND($D91&gt;=$H91,$R91&gt;=BB設定!$B$10),"○順張り継続(walk)",IF(AND($S91="強気div▲",$D91&gt;$I91),"○反発(ダイバ)買",IF($U91="二番底W▲","△二番底買(確)",IF($U91="二番底W形成","△二番底形成",IF($D91&lt;$J91,"▼-2σ割れ危険",IF(AND($D91&gt;$E91,$K91&lt;0.6,$R91&gt;=50),"・押し目注目",IF($N91="スクイーズ★","☆スクイーズ監視","様子見")))))))))</f>
      </c>
      <c r="X91" s="685">
        <f>IF($D91="","",MIN(100,IF($L91&lt;=$M91*1.15,20,IF($L91&lt;=$M91*1.4,10,0))+IF($D91&gt;$G91,20,IF($D91&gt;$H91,12,IF($D91&gt;$E91,5,0)))+IF($O91="拡大↑",10,0)+IF($R91&gt;=80,15,IF($R91&gt;=60,10,IF($R91&gt;=50,5,0)))+IF(AND($Q91&gt;=50,$Q91&lt;=70),10,IF($Q91&gt;70,3,IF($Q91&gt;=40,5,0)))+IF($S91="強気div▲",15,0)+IF($T91="上walk▲",5,0)+IF($V91&gt;=2,5,IF($V91&gt;=1.5,3,0))))</f>
      </c>
      <c r="Y91" s="682">
        <f>IF($D91="","",$D91)</f>
      </c>
      <c r="Z91" s="682">
        <f>IF($D91="","",$H91)</f>
      </c>
      <c r="AA91" s="682">
        <f>IF($D91="","",IF($D91&gt;$E91,$E91,$AD91))</f>
      </c>
      <c r="AB91" s="682">
        <f>IF($D91="","",$G91)</f>
      </c>
      <c r="AC91" s="688">
        <f>IF($D91="","",IF(($Y91-$AA91)&lt;=0,"－",IFERROR(ROUND(MIN(20,($AB91-$Y91)/($Y91-$AA91)),2),"－")))</f>
      </c>
      <c r="AD91" s="682">
        <f>IF($D91="","",MIN(終値!E91:I91))</f>
      </c>
      <c r="AE91" s="684">
        <f>IF($D91="","",$X91+(10000-ROW())/100000)</f>
      </c>
    </row>
    <row r="92">
      <c r="A92" s="681">
        <f>IF(終値!A92="","",HYPERLINK("https://kabutan.jp/stock/?code="&amp;終値!A92,"📈"))</f>
      </c>
      <c r="B92" s="681">
        <f>IF(終値!A92="","",終値!A92)</f>
      </c>
      <c r="C92" s="680">
        <f>IF(終値!A92="","",終値!B92)</f>
      </c>
      <c r="D92" s="682">
        <f>IF(終値!A92="","",終値!E92)</f>
      </c>
      <c r="E92" s="682">
        <f>IF($D92="","",AVERAGE(終値!E92:X92))</f>
      </c>
      <c r="F92" s="683">
        <f>IF($D92="","",STDEVP(終値!E92:X92))</f>
      </c>
      <c r="G92" s="682">
        <f>IF($D92="","",$E92+BB設定!$B$4*$F92)</f>
      </c>
      <c r="H92" s="682">
        <f>IF($D92="","",$E92+BB設定!$B$5*$F92)</f>
      </c>
      <c r="I92" s="682">
        <f>IF($D92="","",$E92-BB設定!$B$5*$F92)</f>
      </c>
      <c r="J92" s="682">
        <f>IF($D92="","",$E92-BB設定!$B$4*$F92)</f>
      </c>
      <c r="K92" s="687">
        <f>IF($D92="","",IFERROR(($D92-$J92)/($G92-$J92),""))</f>
      </c>
      <c r="L92" s="686">
        <f>IF($D92="","",IFERROR(($G92-$J92)/$E92*100,""))</f>
      </c>
      <c r="M92" s="686">
        <f>IF($D92="","",IFERROR(MIN(BB_帯幅!B92:AP92)*100,""))</f>
      </c>
      <c r="N92" s="681">
        <f>IF($L92="","",IF($L92&lt;=$M92*BB設定!$B$7,"スクイーズ★",IF($L92&lt;=$M92*1.3,"収縮","－")))</f>
      </c>
      <c r="O92" s="681">
        <f>IF($D92="","",IF($L92&gt;(4*STDEVP(終値!F92:Y92)/AVERAGE(終値!F92:Y92)*100),"拡大↑","縮小↓"))</f>
      </c>
      <c r="P92" s="681">
        <f>IF($D92="","",IF($D92&gt;$G92,"↑+2σ突破",IF($D92&lt;$J92,"↓-2σ割れ",IF($D92&gt;$H92,"+1σ上",IF($D92&lt;$I92,"-1σ下","バンド内")))))</f>
      </c>
      <c r="Q92" s="684">
        <f>IF($D92="","",IFERROR(100-100/(1+SUMPRODUCT((終値!E92:R92&gt;終値!F92:S92)*(終値!E92:R92-終値!F92:S92))/SUMPRODUCT((終値!E92:R92&lt;終値!F92:S92)*(終値!F92:S92-終値!E92:R92))),100))</f>
      </c>
      <c r="R92" s="684">
        <f>IF($D92="","",IFERROR(100-100/(1+SUMPRODUCT((((高値!E92:R92+安値!E92:R92+終値!E92:R92)/3)&gt;((高値!F92:S92+安値!F92:S92+終値!F92:S92)/3))*((高値!E92:R92+安値!E92:R92+終値!E92:R92)/3)*出来高!E92:R92)/SUMPRODUCT((((高値!E92:R92+安値!E92:R92+終値!E92:R92)/3)&lt;((高値!F92:S92+安値!F92:S92+終値!F92:S92)/3))*((高値!E92:R92+安値!E92:R92+終値!E92:R92)/3)*出来高!E92:R92)),50))</f>
      </c>
      <c r="S92" s="681">
        <f>IF($D92="","",IF(AND(終値!E92&lt;終値!O92,$Q92&gt;(IFERROR(100-100/(1+SUMPRODUCT((終値!O92:AB92&gt;終値!P92:AC92)*(終値!O92:AB92-終値!P92:AC92))/SUMPRODUCT((終値!O92:AB92&lt;終値!P92:AC92)*(終値!P92:AC92-終値!O92:AB92))),100))),"強気div▲",IF(AND(終値!E92&gt;終値!O92,$Q92&lt;(IFERROR(100-100/(1+SUMPRODUCT((終値!O92:AB92&gt;終値!P92:AC92)*(終値!O92:AB92-終値!P92:AC92))/SUMPRODUCT((終値!O92:AB92&lt;終値!P92:AC92)*(終値!P92:AC92-終値!O92:AB92))),100))),"弱気div▼","－")))</f>
      </c>
      <c r="T92" s="681">
        <f>IF($D92="","",IF($D92&gt;=$H92,"上walk▲",IF($D92&lt;=$I92,"下walk▼","－")))</f>
      </c>
      <c r="U92" s="681">
        <f>IF(終値!A92="","",BB_スイング!BT92)</f>
      </c>
      <c r="V92" s="689">
        <f>IF($D92="","",IFERROR(出来高!E92/AVERAGE(出来高!E92:I92),""))</f>
      </c>
      <c r="W92" s="690">
        <f>IF($D92="","",IF(AND($D92&gt;$G92,$O92="拡大↑",$L92&lt;=$M92*1.8),"◎スクイーズブレイク買",IF(AND($D92&gt;=$H92,$R92&gt;=BB設定!$B$10),"○順張り継続(walk)",IF(AND($S92="強気div▲",$D92&gt;$I92),"○反発(ダイバ)買",IF($U92="二番底W▲","△二番底買(確)",IF($U92="二番底W形成","△二番底形成",IF($D92&lt;$J92,"▼-2σ割れ危険",IF(AND($D92&gt;$E92,$K92&lt;0.6,$R92&gt;=50),"・押し目注目",IF($N92="スクイーズ★","☆スクイーズ監視","様子見")))))))))</f>
      </c>
      <c r="X92" s="685">
        <f>IF($D92="","",MIN(100,IF($L92&lt;=$M92*1.15,20,IF($L92&lt;=$M92*1.4,10,0))+IF($D92&gt;$G92,20,IF($D92&gt;$H92,12,IF($D92&gt;$E92,5,0)))+IF($O92="拡大↑",10,0)+IF($R92&gt;=80,15,IF($R92&gt;=60,10,IF($R92&gt;=50,5,0)))+IF(AND($Q92&gt;=50,$Q92&lt;=70),10,IF($Q92&gt;70,3,IF($Q92&gt;=40,5,0)))+IF($S92="強気div▲",15,0)+IF($T92="上walk▲",5,0)+IF($V92&gt;=2,5,IF($V92&gt;=1.5,3,0))))</f>
      </c>
      <c r="Y92" s="682">
        <f>IF($D92="","",$D92)</f>
      </c>
      <c r="Z92" s="682">
        <f>IF($D92="","",$H92)</f>
      </c>
      <c r="AA92" s="682">
        <f>IF($D92="","",IF($D92&gt;$E92,$E92,$AD92))</f>
      </c>
      <c r="AB92" s="682">
        <f>IF($D92="","",$G92)</f>
      </c>
      <c r="AC92" s="688">
        <f>IF($D92="","",IF(($Y92-$AA92)&lt;=0,"－",IFERROR(ROUND(MIN(20,($AB92-$Y92)/($Y92-$AA92)),2),"－")))</f>
      </c>
      <c r="AD92" s="682">
        <f>IF($D92="","",MIN(終値!E92:I92))</f>
      </c>
      <c r="AE92" s="684">
        <f>IF($D92="","",$X92+(10000-ROW())/100000)</f>
      </c>
    </row>
    <row r="93">
      <c r="A93" s="681">
        <f>IF(終値!A93="","",HYPERLINK("https://kabutan.jp/stock/?code="&amp;終値!A93,"📈"))</f>
      </c>
      <c r="B93" s="681">
        <f>IF(終値!A93="","",終値!A93)</f>
      </c>
      <c r="C93" s="680">
        <f>IF(終値!A93="","",終値!B93)</f>
      </c>
      <c r="D93" s="682">
        <f>IF(終値!A93="","",終値!E93)</f>
      </c>
      <c r="E93" s="682">
        <f>IF($D93="","",AVERAGE(終値!E93:X93))</f>
      </c>
      <c r="F93" s="683">
        <f>IF($D93="","",STDEVP(終値!E93:X93))</f>
      </c>
      <c r="G93" s="682">
        <f>IF($D93="","",$E93+BB設定!$B$4*$F93)</f>
      </c>
      <c r="H93" s="682">
        <f>IF($D93="","",$E93+BB設定!$B$5*$F93)</f>
      </c>
      <c r="I93" s="682">
        <f>IF($D93="","",$E93-BB設定!$B$5*$F93)</f>
      </c>
      <c r="J93" s="682">
        <f>IF($D93="","",$E93-BB設定!$B$4*$F93)</f>
      </c>
      <c r="K93" s="687">
        <f>IF($D93="","",IFERROR(($D93-$J93)/($G93-$J93),""))</f>
      </c>
      <c r="L93" s="686">
        <f>IF($D93="","",IFERROR(($G93-$J93)/$E93*100,""))</f>
      </c>
      <c r="M93" s="686">
        <f>IF($D93="","",IFERROR(MIN(BB_帯幅!B93:AP93)*100,""))</f>
      </c>
      <c r="N93" s="681">
        <f>IF($L93="","",IF($L93&lt;=$M93*BB設定!$B$7,"スクイーズ★",IF($L93&lt;=$M93*1.3,"収縮","－")))</f>
      </c>
      <c r="O93" s="681">
        <f>IF($D93="","",IF($L93&gt;(4*STDEVP(終値!F93:Y93)/AVERAGE(終値!F93:Y93)*100),"拡大↑","縮小↓"))</f>
      </c>
      <c r="P93" s="681">
        <f>IF($D93="","",IF($D93&gt;$G93,"↑+2σ突破",IF($D93&lt;$J93,"↓-2σ割れ",IF($D93&gt;$H93,"+1σ上",IF($D93&lt;$I93,"-1σ下","バンド内")))))</f>
      </c>
      <c r="Q93" s="684">
        <f>IF($D93="","",IFERROR(100-100/(1+SUMPRODUCT((終値!E93:R93&gt;終値!F93:S93)*(終値!E93:R93-終値!F93:S93))/SUMPRODUCT((終値!E93:R93&lt;終値!F93:S93)*(終値!F93:S93-終値!E93:R93))),100))</f>
      </c>
      <c r="R93" s="684">
        <f>IF($D93="","",IFERROR(100-100/(1+SUMPRODUCT((((高値!E93:R93+安値!E93:R93+終値!E93:R93)/3)&gt;((高値!F93:S93+安値!F93:S93+終値!F93:S93)/3))*((高値!E93:R93+安値!E93:R93+終値!E93:R93)/3)*出来高!E93:R93)/SUMPRODUCT((((高値!E93:R93+安値!E93:R93+終値!E93:R93)/3)&lt;((高値!F93:S93+安値!F93:S93+終値!F93:S93)/3))*((高値!E93:R93+安値!E93:R93+終値!E93:R93)/3)*出来高!E93:R93)),50))</f>
      </c>
      <c r="S93" s="681">
        <f>IF($D93="","",IF(AND(終値!E93&lt;終値!O93,$Q93&gt;(IFERROR(100-100/(1+SUMPRODUCT((終値!O93:AB93&gt;終値!P93:AC93)*(終値!O93:AB93-終値!P93:AC93))/SUMPRODUCT((終値!O93:AB93&lt;終値!P93:AC93)*(終値!P93:AC93-終値!O93:AB93))),100))),"強気div▲",IF(AND(終値!E93&gt;終値!O93,$Q93&lt;(IFERROR(100-100/(1+SUMPRODUCT((終値!O93:AB93&gt;終値!P93:AC93)*(終値!O93:AB93-終値!P93:AC93))/SUMPRODUCT((終値!O93:AB93&lt;終値!P93:AC93)*(終値!P93:AC93-終値!O93:AB93))),100))),"弱気div▼","－")))</f>
      </c>
      <c r="T93" s="681">
        <f>IF($D93="","",IF($D93&gt;=$H93,"上walk▲",IF($D93&lt;=$I93,"下walk▼","－")))</f>
      </c>
      <c r="U93" s="681">
        <f>IF(終値!A93="","",BB_スイング!BT93)</f>
      </c>
      <c r="V93" s="689">
        <f>IF($D93="","",IFERROR(出来高!E93/AVERAGE(出来高!E93:I93),""))</f>
      </c>
      <c r="W93" s="690">
        <f>IF($D93="","",IF(AND($D93&gt;$G93,$O93="拡大↑",$L93&lt;=$M93*1.8),"◎スクイーズブレイク買",IF(AND($D93&gt;=$H93,$R93&gt;=BB設定!$B$10),"○順張り継続(walk)",IF(AND($S93="強気div▲",$D93&gt;$I93),"○反発(ダイバ)買",IF($U93="二番底W▲","△二番底買(確)",IF($U93="二番底W形成","△二番底形成",IF($D93&lt;$J93,"▼-2σ割れ危険",IF(AND($D93&gt;$E93,$K93&lt;0.6,$R93&gt;=50),"・押し目注目",IF($N93="スクイーズ★","☆スクイーズ監視","様子見")))))))))</f>
      </c>
      <c r="X93" s="685">
        <f>IF($D93="","",MIN(100,IF($L93&lt;=$M93*1.15,20,IF($L93&lt;=$M93*1.4,10,0))+IF($D93&gt;$G93,20,IF($D93&gt;$H93,12,IF($D93&gt;$E93,5,0)))+IF($O93="拡大↑",10,0)+IF($R93&gt;=80,15,IF($R93&gt;=60,10,IF($R93&gt;=50,5,0)))+IF(AND($Q93&gt;=50,$Q93&lt;=70),10,IF($Q93&gt;70,3,IF($Q93&gt;=40,5,0)))+IF($S93="強気div▲",15,0)+IF($T93="上walk▲",5,0)+IF($V93&gt;=2,5,IF($V93&gt;=1.5,3,0))))</f>
      </c>
      <c r="Y93" s="682">
        <f>IF($D93="","",$D93)</f>
      </c>
      <c r="Z93" s="682">
        <f>IF($D93="","",$H93)</f>
      </c>
      <c r="AA93" s="682">
        <f>IF($D93="","",IF($D93&gt;$E93,$E93,$AD93))</f>
      </c>
      <c r="AB93" s="682">
        <f>IF($D93="","",$G93)</f>
      </c>
      <c r="AC93" s="688">
        <f>IF($D93="","",IF(($Y93-$AA93)&lt;=0,"－",IFERROR(ROUND(MIN(20,($AB93-$Y93)/($Y93-$AA93)),2),"－")))</f>
      </c>
      <c r="AD93" s="682">
        <f>IF($D93="","",MIN(終値!E93:I93))</f>
      </c>
      <c r="AE93" s="684">
        <f>IF($D93="","",$X93+(10000-ROW())/100000)</f>
      </c>
    </row>
    <row r="94">
      <c r="A94" s="681">
        <f>IF(終値!A94="","",HYPERLINK("https://kabutan.jp/stock/?code="&amp;終値!A94,"📈"))</f>
      </c>
      <c r="B94" s="681">
        <f>IF(終値!A94="","",終値!A94)</f>
      </c>
      <c r="C94" s="680">
        <f>IF(終値!A94="","",終値!B94)</f>
      </c>
      <c r="D94" s="682">
        <f>IF(終値!A94="","",終値!E94)</f>
      </c>
      <c r="E94" s="682">
        <f>IF($D94="","",AVERAGE(終値!E94:X94))</f>
      </c>
      <c r="F94" s="683">
        <f>IF($D94="","",STDEVP(終値!E94:X94))</f>
      </c>
      <c r="G94" s="682">
        <f>IF($D94="","",$E94+BB設定!$B$4*$F94)</f>
      </c>
      <c r="H94" s="682">
        <f>IF($D94="","",$E94+BB設定!$B$5*$F94)</f>
      </c>
      <c r="I94" s="682">
        <f>IF($D94="","",$E94-BB設定!$B$5*$F94)</f>
      </c>
      <c r="J94" s="682">
        <f>IF($D94="","",$E94-BB設定!$B$4*$F94)</f>
      </c>
      <c r="K94" s="687">
        <f>IF($D94="","",IFERROR(($D94-$J94)/($G94-$J94),""))</f>
      </c>
      <c r="L94" s="686">
        <f>IF($D94="","",IFERROR(($G94-$J94)/$E94*100,""))</f>
      </c>
      <c r="M94" s="686">
        <f>IF($D94="","",IFERROR(MIN(BB_帯幅!B94:AP94)*100,""))</f>
      </c>
      <c r="N94" s="681">
        <f>IF($L94="","",IF($L94&lt;=$M94*BB設定!$B$7,"スクイーズ★",IF($L94&lt;=$M94*1.3,"収縮","－")))</f>
      </c>
      <c r="O94" s="681">
        <f>IF($D94="","",IF($L94&gt;(4*STDEVP(終値!F94:Y94)/AVERAGE(終値!F94:Y94)*100),"拡大↑","縮小↓"))</f>
      </c>
      <c r="P94" s="681">
        <f>IF($D94="","",IF($D94&gt;$G94,"↑+2σ突破",IF($D94&lt;$J94,"↓-2σ割れ",IF($D94&gt;$H94,"+1σ上",IF($D94&lt;$I94,"-1σ下","バンド内")))))</f>
      </c>
      <c r="Q94" s="684">
        <f>IF($D94="","",IFERROR(100-100/(1+SUMPRODUCT((終値!E94:R94&gt;終値!F94:S94)*(終値!E94:R94-終値!F94:S94))/SUMPRODUCT((終値!E94:R94&lt;終値!F94:S94)*(終値!F94:S94-終値!E94:R94))),100))</f>
      </c>
      <c r="R94" s="684">
        <f>IF($D94="","",IFERROR(100-100/(1+SUMPRODUCT((((高値!E94:R94+安値!E94:R94+終値!E94:R94)/3)&gt;((高値!F94:S94+安値!F94:S94+終値!F94:S94)/3))*((高値!E94:R94+安値!E94:R94+終値!E94:R94)/3)*出来高!E94:R94)/SUMPRODUCT((((高値!E94:R94+安値!E94:R94+終値!E94:R94)/3)&lt;((高値!F94:S94+安値!F94:S94+終値!F94:S94)/3))*((高値!E94:R94+安値!E94:R94+終値!E94:R94)/3)*出来高!E94:R94)),50))</f>
      </c>
      <c r="S94" s="681">
        <f>IF($D94="","",IF(AND(終値!E94&lt;終値!O94,$Q94&gt;(IFERROR(100-100/(1+SUMPRODUCT((終値!O94:AB94&gt;終値!P94:AC94)*(終値!O94:AB94-終値!P94:AC94))/SUMPRODUCT((終値!O94:AB94&lt;終値!P94:AC94)*(終値!P94:AC94-終値!O94:AB94))),100))),"強気div▲",IF(AND(終値!E94&gt;終値!O94,$Q94&lt;(IFERROR(100-100/(1+SUMPRODUCT((終値!O94:AB94&gt;終値!P94:AC94)*(終値!O94:AB94-終値!P94:AC94))/SUMPRODUCT((終値!O94:AB94&lt;終値!P94:AC94)*(終値!P94:AC94-終値!O94:AB94))),100))),"弱気div▼","－")))</f>
      </c>
      <c r="T94" s="681">
        <f>IF($D94="","",IF($D94&gt;=$H94,"上walk▲",IF($D94&lt;=$I94,"下walk▼","－")))</f>
      </c>
      <c r="U94" s="681">
        <f>IF(終値!A94="","",BB_スイング!BT94)</f>
      </c>
      <c r="V94" s="689">
        <f>IF($D94="","",IFERROR(出来高!E94/AVERAGE(出来高!E94:I94),""))</f>
      </c>
      <c r="W94" s="690">
        <f>IF($D94="","",IF(AND($D94&gt;$G94,$O94="拡大↑",$L94&lt;=$M94*1.8),"◎スクイーズブレイク買",IF(AND($D94&gt;=$H94,$R94&gt;=BB設定!$B$10),"○順張り継続(walk)",IF(AND($S94="強気div▲",$D94&gt;$I94),"○反発(ダイバ)買",IF($U94="二番底W▲","△二番底買(確)",IF($U94="二番底W形成","△二番底形成",IF($D94&lt;$J94,"▼-2σ割れ危険",IF(AND($D94&gt;$E94,$K94&lt;0.6,$R94&gt;=50),"・押し目注目",IF($N94="スクイーズ★","☆スクイーズ監視","様子見")))))))))</f>
      </c>
      <c r="X94" s="685">
        <f>IF($D94="","",MIN(100,IF($L94&lt;=$M94*1.15,20,IF($L94&lt;=$M94*1.4,10,0))+IF($D94&gt;$G94,20,IF($D94&gt;$H94,12,IF($D94&gt;$E94,5,0)))+IF($O94="拡大↑",10,0)+IF($R94&gt;=80,15,IF($R94&gt;=60,10,IF($R94&gt;=50,5,0)))+IF(AND($Q94&gt;=50,$Q94&lt;=70),10,IF($Q94&gt;70,3,IF($Q94&gt;=40,5,0)))+IF($S94="強気div▲",15,0)+IF($T94="上walk▲",5,0)+IF($V94&gt;=2,5,IF($V94&gt;=1.5,3,0))))</f>
      </c>
      <c r="Y94" s="682">
        <f>IF($D94="","",$D94)</f>
      </c>
      <c r="Z94" s="682">
        <f>IF($D94="","",$H94)</f>
      </c>
      <c r="AA94" s="682">
        <f>IF($D94="","",IF($D94&gt;$E94,$E94,$AD94))</f>
      </c>
      <c r="AB94" s="682">
        <f>IF($D94="","",$G94)</f>
      </c>
      <c r="AC94" s="688">
        <f>IF($D94="","",IF(($Y94-$AA94)&lt;=0,"－",IFERROR(ROUND(MIN(20,($AB94-$Y94)/($Y94-$AA94)),2),"－")))</f>
      </c>
      <c r="AD94" s="682">
        <f>IF($D94="","",MIN(終値!E94:I94))</f>
      </c>
      <c r="AE94" s="684">
        <f>IF($D94="","",$X94+(10000-ROW())/100000)</f>
      </c>
    </row>
    <row r="95">
      <c r="A95" s="681">
        <f>IF(終値!A95="","",HYPERLINK("https://kabutan.jp/stock/?code="&amp;終値!A95,"📈"))</f>
      </c>
      <c r="B95" s="681">
        <f>IF(終値!A95="","",終値!A95)</f>
      </c>
      <c r="C95" s="680">
        <f>IF(終値!A95="","",終値!B95)</f>
      </c>
      <c r="D95" s="682">
        <f>IF(終値!A95="","",終値!E95)</f>
      </c>
      <c r="E95" s="682">
        <f>IF($D95="","",AVERAGE(終値!E95:X95))</f>
      </c>
      <c r="F95" s="683">
        <f>IF($D95="","",STDEVP(終値!E95:X95))</f>
      </c>
      <c r="G95" s="682">
        <f>IF($D95="","",$E95+BB設定!$B$4*$F95)</f>
      </c>
      <c r="H95" s="682">
        <f>IF($D95="","",$E95+BB設定!$B$5*$F95)</f>
      </c>
      <c r="I95" s="682">
        <f>IF($D95="","",$E95-BB設定!$B$5*$F95)</f>
      </c>
      <c r="J95" s="682">
        <f>IF($D95="","",$E95-BB設定!$B$4*$F95)</f>
      </c>
      <c r="K95" s="687">
        <f>IF($D95="","",IFERROR(($D95-$J95)/($G95-$J95),""))</f>
      </c>
      <c r="L95" s="686">
        <f>IF($D95="","",IFERROR(($G95-$J95)/$E95*100,""))</f>
      </c>
      <c r="M95" s="686">
        <f>IF($D95="","",IFERROR(MIN(BB_帯幅!B95:AP95)*100,""))</f>
      </c>
      <c r="N95" s="681">
        <f>IF($L95="","",IF($L95&lt;=$M95*BB設定!$B$7,"スクイーズ★",IF($L95&lt;=$M95*1.3,"収縮","－")))</f>
      </c>
      <c r="O95" s="681">
        <f>IF($D95="","",IF($L95&gt;(4*STDEVP(終値!F95:Y95)/AVERAGE(終値!F95:Y95)*100),"拡大↑","縮小↓"))</f>
      </c>
      <c r="P95" s="681">
        <f>IF($D95="","",IF($D95&gt;$G95,"↑+2σ突破",IF($D95&lt;$J95,"↓-2σ割れ",IF($D95&gt;$H95,"+1σ上",IF($D95&lt;$I95,"-1σ下","バンド内")))))</f>
      </c>
      <c r="Q95" s="684">
        <f>IF($D95="","",IFERROR(100-100/(1+SUMPRODUCT((終値!E95:R95&gt;終値!F95:S95)*(終値!E95:R95-終値!F95:S95))/SUMPRODUCT((終値!E95:R95&lt;終値!F95:S95)*(終値!F95:S95-終値!E95:R95))),100))</f>
      </c>
      <c r="R95" s="684">
        <f>IF($D95="","",IFERROR(100-100/(1+SUMPRODUCT((((高値!E95:R95+安値!E95:R95+終値!E95:R95)/3)&gt;((高値!F95:S95+安値!F95:S95+終値!F95:S95)/3))*((高値!E95:R95+安値!E95:R95+終値!E95:R95)/3)*出来高!E95:R95)/SUMPRODUCT((((高値!E95:R95+安値!E95:R95+終値!E95:R95)/3)&lt;((高値!F95:S95+安値!F95:S95+終値!F95:S95)/3))*((高値!E95:R95+安値!E95:R95+終値!E95:R95)/3)*出来高!E95:R95)),50))</f>
      </c>
      <c r="S95" s="681">
        <f>IF($D95="","",IF(AND(終値!E95&lt;終値!O95,$Q95&gt;(IFERROR(100-100/(1+SUMPRODUCT((終値!O95:AB95&gt;終値!P95:AC95)*(終値!O95:AB95-終値!P95:AC95))/SUMPRODUCT((終値!O95:AB95&lt;終値!P95:AC95)*(終値!P95:AC95-終値!O95:AB95))),100))),"強気div▲",IF(AND(終値!E95&gt;終値!O95,$Q95&lt;(IFERROR(100-100/(1+SUMPRODUCT((終値!O95:AB95&gt;終値!P95:AC95)*(終値!O95:AB95-終値!P95:AC95))/SUMPRODUCT((終値!O95:AB95&lt;終値!P95:AC95)*(終値!P95:AC95-終値!O95:AB95))),100))),"弱気div▼","－")))</f>
      </c>
      <c r="T95" s="681">
        <f>IF($D95="","",IF($D95&gt;=$H95,"上walk▲",IF($D95&lt;=$I95,"下walk▼","－")))</f>
      </c>
      <c r="U95" s="681">
        <f>IF(終値!A95="","",BB_スイング!BT95)</f>
      </c>
      <c r="V95" s="689">
        <f>IF($D95="","",IFERROR(出来高!E95/AVERAGE(出来高!E95:I95),""))</f>
      </c>
      <c r="W95" s="690">
        <f>IF($D95="","",IF(AND($D95&gt;$G95,$O95="拡大↑",$L95&lt;=$M95*1.8),"◎スクイーズブレイク買",IF(AND($D95&gt;=$H95,$R95&gt;=BB設定!$B$10),"○順張り継続(walk)",IF(AND($S95="強気div▲",$D95&gt;$I95),"○反発(ダイバ)買",IF($U95="二番底W▲","△二番底買(確)",IF($U95="二番底W形成","△二番底形成",IF($D95&lt;$J95,"▼-2σ割れ危険",IF(AND($D95&gt;$E95,$K95&lt;0.6,$R95&gt;=50),"・押し目注目",IF($N95="スクイーズ★","☆スクイーズ監視","様子見")))))))))</f>
      </c>
      <c r="X95" s="685">
        <f>IF($D95="","",MIN(100,IF($L95&lt;=$M95*1.15,20,IF($L95&lt;=$M95*1.4,10,0))+IF($D95&gt;$G95,20,IF($D95&gt;$H95,12,IF($D95&gt;$E95,5,0)))+IF($O95="拡大↑",10,0)+IF($R95&gt;=80,15,IF($R95&gt;=60,10,IF($R95&gt;=50,5,0)))+IF(AND($Q95&gt;=50,$Q95&lt;=70),10,IF($Q95&gt;70,3,IF($Q95&gt;=40,5,0)))+IF($S95="強気div▲",15,0)+IF($T95="上walk▲",5,0)+IF($V95&gt;=2,5,IF($V95&gt;=1.5,3,0))))</f>
      </c>
      <c r="Y95" s="682">
        <f>IF($D95="","",$D95)</f>
      </c>
      <c r="Z95" s="682">
        <f>IF($D95="","",$H95)</f>
      </c>
      <c r="AA95" s="682">
        <f>IF($D95="","",IF($D95&gt;$E95,$E95,$AD95))</f>
      </c>
      <c r="AB95" s="682">
        <f>IF($D95="","",$G95)</f>
      </c>
      <c r="AC95" s="688">
        <f>IF($D95="","",IF(($Y95-$AA95)&lt;=0,"－",IFERROR(ROUND(MIN(20,($AB95-$Y95)/($Y95-$AA95)),2),"－")))</f>
      </c>
      <c r="AD95" s="682">
        <f>IF($D95="","",MIN(終値!E95:I95))</f>
      </c>
      <c r="AE95" s="684">
        <f>IF($D95="","",$X95+(10000-ROW())/100000)</f>
      </c>
    </row>
    <row r="96">
      <c r="A96" s="681">
        <f>IF(終値!A96="","",HYPERLINK("https://kabutan.jp/stock/?code="&amp;終値!A96,"📈"))</f>
      </c>
      <c r="B96" s="681">
        <f>IF(終値!A96="","",終値!A96)</f>
      </c>
      <c r="C96" s="680">
        <f>IF(終値!A96="","",終値!B96)</f>
      </c>
      <c r="D96" s="682">
        <f>IF(終値!A96="","",終値!E96)</f>
      </c>
      <c r="E96" s="682">
        <f>IF($D96="","",AVERAGE(終値!E96:X96))</f>
      </c>
      <c r="F96" s="683">
        <f>IF($D96="","",STDEVP(終値!E96:X96))</f>
      </c>
      <c r="G96" s="682">
        <f>IF($D96="","",$E96+BB設定!$B$4*$F96)</f>
      </c>
      <c r="H96" s="682">
        <f>IF($D96="","",$E96+BB設定!$B$5*$F96)</f>
      </c>
      <c r="I96" s="682">
        <f>IF($D96="","",$E96-BB設定!$B$5*$F96)</f>
      </c>
      <c r="J96" s="682">
        <f>IF($D96="","",$E96-BB設定!$B$4*$F96)</f>
      </c>
      <c r="K96" s="687">
        <f>IF($D96="","",IFERROR(($D96-$J96)/($G96-$J96),""))</f>
      </c>
      <c r="L96" s="686">
        <f>IF($D96="","",IFERROR(($G96-$J96)/$E96*100,""))</f>
      </c>
      <c r="M96" s="686">
        <f>IF($D96="","",IFERROR(MIN(BB_帯幅!B96:AP96)*100,""))</f>
      </c>
      <c r="N96" s="681">
        <f>IF($L96="","",IF($L96&lt;=$M96*BB設定!$B$7,"スクイーズ★",IF($L96&lt;=$M96*1.3,"収縮","－")))</f>
      </c>
      <c r="O96" s="681">
        <f>IF($D96="","",IF($L96&gt;(4*STDEVP(終値!F96:Y96)/AVERAGE(終値!F96:Y96)*100),"拡大↑","縮小↓"))</f>
      </c>
      <c r="P96" s="681">
        <f>IF($D96="","",IF($D96&gt;$G96,"↑+2σ突破",IF($D96&lt;$J96,"↓-2σ割れ",IF($D96&gt;$H96,"+1σ上",IF($D96&lt;$I96,"-1σ下","バンド内")))))</f>
      </c>
      <c r="Q96" s="684">
        <f>IF($D96="","",IFERROR(100-100/(1+SUMPRODUCT((終値!E96:R96&gt;終値!F96:S96)*(終値!E96:R96-終値!F96:S96))/SUMPRODUCT((終値!E96:R96&lt;終値!F96:S96)*(終値!F96:S96-終値!E96:R96))),100))</f>
      </c>
      <c r="R96" s="684">
        <f>IF($D96="","",IFERROR(100-100/(1+SUMPRODUCT((((高値!E96:R96+安値!E96:R96+終値!E96:R96)/3)&gt;((高値!F96:S96+安値!F96:S96+終値!F96:S96)/3))*((高値!E96:R96+安値!E96:R96+終値!E96:R96)/3)*出来高!E96:R96)/SUMPRODUCT((((高値!E96:R96+安値!E96:R96+終値!E96:R96)/3)&lt;((高値!F96:S96+安値!F96:S96+終値!F96:S96)/3))*((高値!E96:R96+安値!E96:R96+終値!E96:R96)/3)*出来高!E96:R96)),50))</f>
      </c>
      <c r="S96" s="681">
        <f>IF($D96="","",IF(AND(終値!E96&lt;終値!O96,$Q96&gt;(IFERROR(100-100/(1+SUMPRODUCT((終値!O96:AB96&gt;終値!P96:AC96)*(終値!O96:AB96-終値!P96:AC96))/SUMPRODUCT((終値!O96:AB96&lt;終値!P96:AC96)*(終値!P96:AC96-終値!O96:AB96))),100))),"強気div▲",IF(AND(終値!E96&gt;終値!O96,$Q96&lt;(IFERROR(100-100/(1+SUMPRODUCT((終値!O96:AB96&gt;終値!P96:AC96)*(終値!O96:AB96-終値!P96:AC96))/SUMPRODUCT((終値!O96:AB96&lt;終値!P96:AC96)*(終値!P96:AC96-終値!O96:AB96))),100))),"弱気div▼","－")))</f>
      </c>
      <c r="T96" s="681">
        <f>IF($D96="","",IF($D96&gt;=$H96,"上walk▲",IF($D96&lt;=$I96,"下walk▼","－")))</f>
      </c>
      <c r="U96" s="681">
        <f>IF(終値!A96="","",BB_スイング!BT96)</f>
      </c>
      <c r="V96" s="689">
        <f>IF($D96="","",IFERROR(出来高!E96/AVERAGE(出来高!E96:I96),""))</f>
      </c>
      <c r="W96" s="690">
        <f>IF($D96="","",IF(AND($D96&gt;$G96,$O96="拡大↑",$L96&lt;=$M96*1.8),"◎スクイーズブレイク買",IF(AND($D96&gt;=$H96,$R96&gt;=BB設定!$B$10),"○順張り継続(walk)",IF(AND($S96="強気div▲",$D96&gt;$I96),"○反発(ダイバ)買",IF($U96="二番底W▲","△二番底買(確)",IF($U96="二番底W形成","△二番底形成",IF($D96&lt;$J96,"▼-2σ割れ危険",IF(AND($D96&gt;$E96,$K96&lt;0.6,$R96&gt;=50),"・押し目注目",IF($N96="スクイーズ★","☆スクイーズ監視","様子見")))))))))</f>
      </c>
      <c r="X96" s="685">
        <f>IF($D96="","",MIN(100,IF($L96&lt;=$M96*1.15,20,IF($L96&lt;=$M96*1.4,10,0))+IF($D96&gt;$G96,20,IF($D96&gt;$H96,12,IF($D96&gt;$E96,5,0)))+IF($O96="拡大↑",10,0)+IF($R96&gt;=80,15,IF($R96&gt;=60,10,IF($R96&gt;=50,5,0)))+IF(AND($Q96&gt;=50,$Q96&lt;=70),10,IF($Q96&gt;70,3,IF($Q96&gt;=40,5,0)))+IF($S96="強気div▲",15,0)+IF($T96="上walk▲",5,0)+IF($V96&gt;=2,5,IF($V96&gt;=1.5,3,0))))</f>
      </c>
      <c r="Y96" s="682">
        <f>IF($D96="","",$D96)</f>
      </c>
      <c r="Z96" s="682">
        <f>IF($D96="","",$H96)</f>
      </c>
      <c r="AA96" s="682">
        <f>IF($D96="","",IF($D96&gt;$E96,$E96,$AD96))</f>
      </c>
      <c r="AB96" s="682">
        <f>IF($D96="","",$G96)</f>
      </c>
      <c r="AC96" s="688">
        <f>IF($D96="","",IF(($Y96-$AA96)&lt;=0,"－",IFERROR(ROUND(MIN(20,($AB96-$Y96)/($Y96-$AA96)),2),"－")))</f>
      </c>
      <c r="AD96" s="682">
        <f>IF($D96="","",MIN(終値!E96:I96))</f>
      </c>
      <c r="AE96" s="684">
        <f>IF($D96="","",$X96+(10000-ROW())/100000)</f>
      </c>
    </row>
    <row r="97">
      <c r="A97" s="681">
        <f>IF(終値!A97="","",HYPERLINK("https://kabutan.jp/stock/?code="&amp;終値!A97,"📈"))</f>
      </c>
      <c r="B97" s="681">
        <f>IF(終値!A97="","",終値!A97)</f>
      </c>
      <c r="C97" s="680">
        <f>IF(終値!A97="","",終値!B97)</f>
      </c>
      <c r="D97" s="682">
        <f>IF(終値!A97="","",終値!E97)</f>
      </c>
      <c r="E97" s="682">
        <f>IF($D97="","",AVERAGE(終値!E97:X97))</f>
      </c>
      <c r="F97" s="683">
        <f>IF($D97="","",STDEVP(終値!E97:X97))</f>
      </c>
      <c r="G97" s="682">
        <f>IF($D97="","",$E97+BB設定!$B$4*$F97)</f>
      </c>
      <c r="H97" s="682">
        <f>IF($D97="","",$E97+BB設定!$B$5*$F97)</f>
      </c>
      <c r="I97" s="682">
        <f>IF($D97="","",$E97-BB設定!$B$5*$F97)</f>
      </c>
      <c r="J97" s="682">
        <f>IF($D97="","",$E97-BB設定!$B$4*$F97)</f>
      </c>
      <c r="K97" s="687">
        <f>IF($D97="","",IFERROR(($D97-$J97)/($G97-$J97),""))</f>
      </c>
      <c r="L97" s="686">
        <f>IF($D97="","",IFERROR(($G97-$J97)/$E97*100,""))</f>
      </c>
      <c r="M97" s="686">
        <f>IF($D97="","",IFERROR(MIN(BB_帯幅!B97:AP97)*100,""))</f>
      </c>
      <c r="N97" s="681">
        <f>IF($L97="","",IF($L97&lt;=$M97*BB設定!$B$7,"スクイーズ★",IF($L97&lt;=$M97*1.3,"収縮","－")))</f>
      </c>
      <c r="O97" s="681">
        <f>IF($D97="","",IF($L97&gt;(4*STDEVP(終値!F97:Y97)/AVERAGE(終値!F97:Y97)*100),"拡大↑","縮小↓"))</f>
      </c>
      <c r="P97" s="681">
        <f>IF($D97="","",IF($D97&gt;$G97,"↑+2σ突破",IF($D97&lt;$J97,"↓-2σ割れ",IF($D97&gt;$H97,"+1σ上",IF($D97&lt;$I97,"-1σ下","バンド内")))))</f>
      </c>
      <c r="Q97" s="684">
        <f>IF($D97="","",IFERROR(100-100/(1+SUMPRODUCT((終値!E97:R97&gt;終値!F97:S97)*(終値!E97:R97-終値!F97:S97))/SUMPRODUCT((終値!E97:R97&lt;終値!F97:S97)*(終値!F97:S97-終値!E97:R97))),100))</f>
      </c>
      <c r="R97" s="684">
        <f>IF($D97="","",IFERROR(100-100/(1+SUMPRODUCT((((高値!E97:R97+安値!E97:R97+終値!E97:R97)/3)&gt;((高値!F97:S97+安値!F97:S97+終値!F97:S97)/3))*((高値!E97:R97+安値!E97:R97+終値!E97:R97)/3)*出来高!E97:R97)/SUMPRODUCT((((高値!E97:R97+安値!E97:R97+終値!E97:R97)/3)&lt;((高値!F97:S97+安値!F97:S97+終値!F97:S97)/3))*((高値!E97:R97+安値!E97:R97+終値!E97:R97)/3)*出来高!E97:R97)),50))</f>
      </c>
      <c r="S97" s="681">
        <f>IF($D97="","",IF(AND(終値!E97&lt;終値!O97,$Q97&gt;(IFERROR(100-100/(1+SUMPRODUCT((終値!O97:AB97&gt;終値!P97:AC97)*(終値!O97:AB97-終値!P97:AC97))/SUMPRODUCT((終値!O97:AB97&lt;終値!P97:AC97)*(終値!P97:AC97-終値!O97:AB97))),100))),"強気div▲",IF(AND(終値!E97&gt;終値!O97,$Q97&lt;(IFERROR(100-100/(1+SUMPRODUCT((終値!O97:AB97&gt;終値!P97:AC97)*(終値!O97:AB97-終値!P97:AC97))/SUMPRODUCT((終値!O97:AB97&lt;終値!P97:AC97)*(終値!P97:AC97-終値!O97:AB97))),100))),"弱気div▼","－")))</f>
      </c>
      <c r="T97" s="681">
        <f>IF($D97="","",IF($D97&gt;=$H97,"上walk▲",IF($D97&lt;=$I97,"下walk▼","－")))</f>
      </c>
      <c r="U97" s="681">
        <f>IF(終値!A97="","",BB_スイング!BT97)</f>
      </c>
      <c r="V97" s="689">
        <f>IF($D97="","",IFERROR(出来高!E97/AVERAGE(出来高!E97:I97),""))</f>
      </c>
      <c r="W97" s="690">
        <f>IF($D97="","",IF(AND($D97&gt;$G97,$O97="拡大↑",$L97&lt;=$M97*1.8),"◎スクイーズブレイク買",IF(AND($D97&gt;=$H97,$R97&gt;=BB設定!$B$10),"○順張り継続(walk)",IF(AND($S97="強気div▲",$D97&gt;$I97),"○反発(ダイバ)買",IF($U97="二番底W▲","△二番底買(確)",IF($U97="二番底W形成","△二番底形成",IF($D97&lt;$J97,"▼-2σ割れ危険",IF(AND($D97&gt;$E97,$K97&lt;0.6,$R97&gt;=50),"・押し目注目",IF($N97="スクイーズ★","☆スクイーズ監視","様子見")))))))))</f>
      </c>
      <c r="X97" s="685">
        <f>IF($D97="","",MIN(100,IF($L97&lt;=$M97*1.15,20,IF($L97&lt;=$M97*1.4,10,0))+IF($D97&gt;$G97,20,IF($D97&gt;$H97,12,IF($D97&gt;$E97,5,0)))+IF($O97="拡大↑",10,0)+IF($R97&gt;=80,15,IF($R97&gt;=60,10,IF($R97&gt;=50,5,0)))+IF(AND($Q97&gt;=50,$Q97&lt;=70),10,IF($Q97&gt;70,3,IF($Q97&gt;=40,5,0)))+IF($S97="強気div▲",15,0)+IF($T97="上walk▲",5,0)+IF($V97&gt;=2,5,IF($V97&gt;=1.5,3,0))))</f>
      </c>
      <c r="Y97" s="682">
        <f>IF($D97="","",$D97)</f>
      </c>
      <c r="Z97" s="682">
        <f>IF($D97="","",$H97)</f>
      </c>
      <c r="AA97" s="682">
        <f>IF($D97="","",IF($D97&gt;$E97,$E97,$AD97))</f>
      </c>
      <c r="AB97" s="682">
        <f>IF($D97="","",$G97)</f>
      </c>
      <c r="AC97" s="688">
        <f>IF($D97="","",IF(($Y97-$AA97)&lt;=0,"－",IFERROR(ROUND(MIN(20,($AB97-$Y97)/($Y97-$AA97)),2),"－")))</f>
      </c>
      <c r="AD97" s="682">
        <f>IF($D97="","",MIN(終値!E97:I97))</f>
      </c>
      <c r="AE97" s="684">
        <f>IF($D97="","",$X97+(10000-ROW())/100000)</f>
      </c>
    </row>
    <row r="98">
      <c r="A98" s="681">
        <f>IF(終値!A98="","",HYPERLINK("https://kabutan.jp/stock/?code="&amp;終値!A98,"📈"))</f>
      </c>
      <c r="B98" s="681">
        <f>IF(終値!A98="","",終値!A98)</f>
      </c>
      <c r="C98" s="680">
        <f>IF(終値!A98="","",終値!B98)</f>
      </c>
      <c r="D98" s="682">
        <f>IF(終値!A98="","",終値!E98)</f>
      </c>
      <c r="E98" s="682">
        <f>IF($D98="","",AVERAGE(終値!E98:X98))</f>
      </c>
      <c r="F98" s="683">
        <f>IF($D98="","",STDEVP(終値!E98:X98))</f>
      </c>
      <c r="G98" s="682">
        <f>IF($D98="","",$E98+BB設定!$B$4*$F98)</f>
      </c>
      <c r="H98" s="682">
        <f>IF($D98="","",$E98+BB設定!$B$5*$F98)</f>
      </c>
      <c r="I98" s="682">
        <f>IF($D98="","",$E98-BB設定!$B$5*$F98)</f>
      </c>
      <c r="J98" s="682">
        <f>IF($D98="","",$E98-BB設定!$B$4*$F98)</f>
      </c>
      <c r="K98" s="687">
        <f>IF($D98="","",IFERROR(($D98-$J98)/($G98-$J98),""))</f>
      </c>
      <c r="L98" s="686">
        <f>IF($D98="","",IFERROR(($G98-$J98)/$E98*100,""))</f>
      </c>
      <c r="M98" s="686">
        <f>IF($D98="","",IFERROR(MIN(BB_帯幅!B98:AP98)*100,""))</f>
      </c>
      <c r="N98" s="681">
        <f>IF($L98="","",IF($L98&lt;=$M98*BB設定!$B$7,"スクイーズ★",IF($L98&lt;=$M98*1.3,"収縮","－")))</f>
      </c>
      <c r="O98" s="681">
        <f>IF($D98="","",IF($L98&gt;(4*STDEVP(終値!F98:Y98)/AVERAGE(終値!F98:Y98)*100),"拡大↑","縮小↓"))</f>
      </c>
      <c r="P98" s="681">
        <f>IF($D98="","",IF($D98&gt;$G98,"↑+2σ突破",IF($D98&lt;$J98,"↓-2σ割れ",IF($D98&gt;$H98,"+1σ上",IF($D98&lt;$I98,"-1σ下","バンド内")))))</f>
      </c>
      <c r="Q98" s="684">
        <f>IF($D98="","",IFERROR(100-100/(1+SUMPRODUCT((終値!E98:R98&gt;終値!F98:S98)*(終値!E98:R98-終値!F98:S98))/SUMPRODUCT((終値!E98:R98&lt;終値!F98:S98)*(終値!F98:S98-終値!E98:R98))),100))</f>
      </c>
      <c r="R98" s="684">
        <f>IF($D98="","",IFERROR(100-100/(1+SUMPRODUCT((((高値!E98:R98+安値!E98:R98+終値!E98:R98)/3)&gt;((高値!F98:S98+安値!F98:S98+終値!F98:S98)/3))*((高値!E98:R98+安値!E98:R98+終値!E98:R98)/3)*出来高!E98:R98)/SUMPRODUCT((((高値!E98:R98+安値!E98:R98+終値!E98:R98)/3)&lt;((高値!F98:S98+安値!F98:S98+終値!F98:S98)/3))*((高値!E98:R98+安値!E98:R98+終値!E98:R98)/3)*出来高!E98:R98)),50))</f>
      </c>
      <c r="S98" s="681">
        <f>IF($D98="","",IF(AND(終値!E98&lt;終値!O98,$Q98&gt;(IFERROR(100-100/(1+SUMPRODUCT((終値!O98:AB98&gt;終値!P98:AC98)*(終値!O98:AB98-終値!P98:AC98))/SUMPRODUCT((終値!O98:AB98&lt;終値!P98:AC98)*(終値!P98:AC98-終値!O98:AB98))),100))),"強気div▲",IF(AND(終値!E98&gt;終値!O98,$Q98&lt;(IFERROR(100-100/(1+SUMPRODUCT((終値!O98:AB98&gt;終値!P98:AC98)*(終値!O98:AB98-終値!P98:AC98))/SUMPRODUCT((終値!O98:AB98&lt;終値!P98:AC98)*(終値!P98:AC98-終値!O98:AB98))),100))),"弱気div▼","－")))</f>
      </c>
      <c r="T98" s="681">
        <f>IF($D98="","",IF($D98&gt;=$H98,"上walk▲",IF($D98&lt;=$I98,"下walk▼","－")))</f>
      </c>
      <c r="U98" s="681">
        <f>IF(終値!A98="","",BB_スイング!BT98)</f>
      </c>
      <c r="V98" s="689">
        <f>IF($D98="","",IFERROR(出来高!E98/AVERAGE(出来高!E98:I98),""))</f>
      </c>
      <c r="W98" s="690">
        <f>IF($D98="","",IF(AND($D98&gt;$G98,$O98="拡大↑",$L98&lt;=$M98*1.8),"◎スクイーズブレイク買",IF(AND($D98&gt;=$H98,$R98&gt;=BB設定!$B$10),"○順張り継続(walk)",IF(AND($S98="強気div▲",$D98&gt;$I98),"○反発(ダイバ)買",IF($U98="二番底W▲","△二番底買(確)",IF($U98="二番底W形成","△二番底形成",IF($D98&lt;$J98,"▼-2σ割れ危険",IF(AND($D98&gt;$E98,$K98&lt;0.6,$R98&gt;=50),"・押し目注目",IF($N98="スクイーズ★","☆スクイーズ監視","様子見")))))))))</f>
      </c>
      <c r="X98" s="685">
        <f>IF($D98="","",MIN(100,IF($L98&lt;=$M98*1.15,20,IF($L98&lt;=$M98*1.4,10,0))+IF($D98&gt;$G98,20,IF($D98&gt;$H98,12,IF($D98&gt;$E98,5,0)))+IF($O98="拡大↑",10,0)+IF($R98&gt;=80,15,IF($R98&gt;=60,10,IF($R98&gt;=50,5,0)))+IF(AND($Q98&gt;=50,$Q98&lt;=70),10,IF($Q98&gt;70,3,IF($Q98&gt;=40,5,0)))+IF($S98="強気div▲",15,0)+IF($T98="上walk▲",5,0)+IF($V98&gt;=2,5,IF($V98&gt;=1.5,3,0))))</f>
      </c>
      <c r="Y98" s="682">
        <f>IF($D98="","",$D98)</f>
      </c>
      <c r="Z98" s="682">
        <f>IF($D98="","",$H98)</f>
      </c>
      <c r="AA98" s="682">
        <f>IF($D98="","",IF($D98&gt;$E98,$E98,$AD98))</f>
      </c>
      <c r="AB98" s="682">
        <f>IF($D98="","",$G98)</f>
      </c>
      <c r="AC98" s="688">
        <f>IF($D98="","",IF(($Y98-$AA98)&lt;=0,"－",IFERROR(ROUND(MIN(20,($AB98-$Y98)/($Y98-$AA98)),2),"－")))</f>
      </c>
      <c r="AD98" s="682">
        <f>IF($D98="","",MIN(終値!E98:I98))</f>
      </c>
      <c r="AE98" s="684">
        <f>IF($D98="","",$X98+(10000-ROW())/100000)</f>
      </c>
    </row>
    <row r="99">
      <c r="A99" s="681">
        <f>IF(終値!A99="","",HYPERLINK("https://kabutan.jp/stock/?code="&amp;終値!A99,"📈"))</f>
      </c>
      <c r="B99" s="681">
        <f>IF(終値!A99="","",終値!A99)</f>
      </c>
      <c r="C99" s="680">
        <f>IF(終値!A99="","",終値!B99)</f>
      </c>
      <c r="D99" s="682">
        <f>IF(終値!A99="","",終値!E99)</f>
      </c>
      <c r="E99" s="682">
        <f>IF($D99="","",AVERAGE(終値!E99:X99))</f>
      </c>
      <c r="F99" s="683">
        <f>IF($D99="","",STDEVP(終値!E99:X99))</f>
      </c>
      <c r="G99" s="682">
        <f>IF($D99="","",$E99+BB設定!$B$4*$F99)</f>
      </c>
      <c r="H99" s="682">
        <f>IF($D99="","",$E99+BB設定!$B$5*$F99)</f>
      </c>
      <c r="I99" s="682">
        <f>IF($D99="","",$E99-BB設定!$B$5*$F99)</f>
      </c>
      <c r="J99" s="682">
        <f>IF($D99="","",$E99-BB設定!$B$4*$F99)</f>
      </c>
      <c r="K99" s="687">
        <f>IF($D99="","",IFERROR(($D99-$J99)/($G99-$J99),""))</f>
      </c>
      <c r="L99" s="686">
        <f>IF($D99="","",IFERROR(($G99-$J99)/$E99*100,""))</f>
      </c>
      <c r="M99" s="686">
        <f>IF($D99="","",IFERROR(MIN(BB_帯幅!B99:AP99)*100,""))</f>
      </c>
      <c r="N99" s="681">
        <f>IF($L99="","",IF($L99&lt;=$M99*BB設定!$B$7,"スクイーズ★",IF($L99&lt;=$M99*1.3,"収縮","－")))</f>
      </c>
      <c r="O99" s="681">
        <f>IF($D99="","",IF($L99&gt;(4*STDEVP(終値!F99:Y99)/AVERAGE(終値!F99:Y99)*100),"拡大↑","縮小↓"))</f>
      </c>
      <c r="P99" s="681">
        <f>IF($D99="","",IF($D99&gt;$G99,"↑+2σ突破",IF($D99&lt;$J99,"↓-2σ割れ",IF($D99&gt;$H99,"+1σ上",IF($D99&lt;$I99,"-1σ下","バンド内")))))</f>
      </c>
      <c r="Q99" s="684">
        <f>IF($D99="","",IFERROR(100-100/(1+SUMPRODUCT((終値!E99:R99&gt;終値!F99:S99)*(終値!E99:R99-終値!F99:S99))/SUMPRODUCT((終値!E99:R99&lt;終値!F99:S99)*(終値!F99:S99-終値!E99:R99))),100))</f>
      </c>
      <c r="R99" s="684">
        <f>IF($D99="","",IFERROR(100-100/(1+SUMPRODUCT((((高値!E99:R99+安値!E99:R99+終値!E99:R99)/3)&gt;((高値!F99:S99+安値!F99:S99+終値!F99:S99)/3))*((高値!E99:R99+安値!E99:R99+終値!E99:R99)/3)*出来高!E99:R99)/SUMPRODUCT((((高値!E99:R99+安値!E99:R99+終値!E99:R99)/3)&lt;((高値!F99:S99+安値!F99:S99+終値!F99:S99)/3))*((高値!E99:R99+安値!E99:R99+終値!E99:R99)/3)*出来高!E99:R99)),50))</f>
      </c>
      <c r="S99" s="681">
        <f>IF($D99="","",IF(AND(終値!E99&lt;終値!O99,$Q99&gt;(IFERROR(100-100/(1+SUMPRODUCT((終値!O99:AB99&gt;終値!P99:AC99)*(終値!O99:AB99-終値!P99:AC99))/SUMPRODUCT((終値!O99:AB99&lt;終値!P99:AC99)*(終値!P99:AC99-終値!O99:AB99))),100))),"強気div▲",IF(AND(終値!E99&gt;終値!O99,$Q99&lt;(IFERROR(100-100/(1+SUMPRODUCT((終値!O99:AB99&gt;終値!P99:AC99)*(終値!O99:AB99-終値!P99:AC99))/SUMPRODUCT((終値!O99:AB99&lt;終値!P99:AC99)*(終値!P99:AC99-終値!O99:AB99))),100))),"弱気div▼","－")))</f>
      </c>
      <c r="T99" s="681">
        <f>IF($D99="","",IF($D99&gt;=$H99,"上walk▲",IF($D99&lt;=$I99,"下walk▼","－")))</f>
      </c>
      <c r="U99" s="681">
        <f>IF(終値!A99="","",BB_スイング!BT99)</f>
      </c>
      <c r="V99" s="689">
        <f>IF($D99="","",IFERROR(出来高!E99/AVERAGE(出来高!E99:I99),""))</f>
      </c>
      <c r="W99" s="690">
        <f>IF($D99="","",IF(AND($D99&gt;$G99,$O99="拡大↑",$L99&lt;=$M99*1.8),"◎スクイーズブレイク買",IF(AND($D99&gt;=$H99,$R99&gt;=BB設定!$B$10),"○順張り継続(walk)",IF(AND($S99="強気div▲",$D99&gt;$I99),"○反発(ダイバ)買",IF($U99="二番底W▲","△二番底買(確)",IF($U99="二番底W形成","△二番底形成",IF($D99&lt;$J99,"▼-2σ割れ危険",IF(AND($D99&gt;$E99,$K99&lt;0.6,$R99&gt;=50),"・押し目注目",IF($N99="スクイーズ★","☆スクイーズ監視","様子見")))))))))</f>
      </c>
      <c r="X99" s="685">
        <f>IF($D99="","",MIN(100,IF($L99&lt;=$M99*1.15,20,IF($L99&lt;=$M99*1.4,10,0))+IF($D99&gt;$G99,20,IF($D99&gt;$H99,12,IF($D99&gt;$E99,5,0)))+IF($O99="拡大↑",10,0)+IF($R99&gt;=80,15,IF($R99&gt;=60,10,IF($R99&gt;=50,5,0)))+IF(AND($Q99&gt;=50,$Q99&lt;=70),10,IF($Q99&gt;70,3,IF($Q99&gt;=40,5,0)))+IF($S99="強気div▲",15,0)+IF($T99="上walk▲",5,0)+IF($V99&gt;=2,5,IF($V99&gt;=1.5,3,0))))</f>
      </c>
      <c r="Y99" s="682">
        <f>IF($D99="","",$D99)</f>
      </c>
      <c r="Z99" s="682">
        <f>IF($D99="","",$H99)</f>
      </c>
      <c r="AA99" s="682">
        <f>IF($D99="","",IF($D99&gt;$E99,$E99,$AD99))</f>
      </c>
      <c r="AB99" s="682">
        <f>IF($D99="","",$G99)</f>
      </c>
      <c r="AC99" s="688">
        <f>IF($D99="","",IF(($Y99-$AA99)&lt;=0,"－",IFERROR(ROUND(MIN(20,($AB99-$Y99)/($Y99-$AA99)),2),"－")))</f>
      </c>
      <c r="AD99" s="682">
        <f>IF($D99="","",MIN(終値!E99:I99))</f>
      </c>
      <c r="AE99" s="684">
        <f>IF($D99="","",$X99+(10000-ROW())/100000)</f>
      </c>
    </row>
    <row r="100">
      <c r="A100" s="681">
        <f>IF(終値!A100="","",HYPERLINK("https://kabutan.jp/stock/?code="&amp;終値!A100,"📈"))</f>
      </c>
      <c r="B100" s="681">
        <f>IF(終値!A100="","",終値!A100)</f>
      </c>
      <c r="C100" s="680">
        <f>IF(終値!A100="","",終値!B100)</f>
      </c>
      <c r="D100" s="682">
        <f>IF(終値!A100="","",終値!E100)</f>
      </c>
      <c r="E100" s="682">
        <f>IF($D100="","",AVERAGE(終値!E100:X100))</f>
      </c>
      <c r="F100" s="683">
        <f>IF($D100="","",STDEVP(終値!E100:X100))</f>
      </c>
      <c r="G100" s="682">
        <f>IF($D100="","",$E100+BB設定!$B$4*$F100)</f>
      </c>
      <c r="H100" s="682">
        <f>IF($D100="","",$E100+BB設定!$B$5*$F100)</f>
      </c>
      <c r="I100" s="682">
        <f>IF($D100="","",$E100-BB設定!$B$5*$F100)</f>
      </c>
      <c r="J100" s="682">
        <f>IF($D100="","",$E100-BB設定!$B$4*$F100)</f>
      </c>
      <c r="K100" s="687">
        <f>IF($D100="","",IFERROR(($D100-$J100)/($G100-$J100),""))</f>
      </c>
      <c r="L100" s="686">
        <f>IF($D100="","",IFERROR(($G100-$J100)/$E100*100,""))</f>
      </c>
      <c r="M100" s="686">
        <f>IF($D100="","",IFERROR(MIN(BB_帯幅!B100:AP100)*100,""))</f>
      </c>
      <c r="N100" s="681">
        <f>IF($L100="","",IF($L100&lt;=$M100*BB設定!$B$7,"スクイーズ★",IF($L100&lt;=$M100*1.3,"収縮","－")))</f>
      </c>
      <c r="O100" s="681">
        <f>IF($D100="","",IF($L100&gt;(4*STDEVP(終値!F100:Y100)/AVERAGE(終値!F100:Y100)*100),"拡大↑","縮小↓"))</f>
      </c>
      <c r="P100" s="681">
        <f>IF($D100="","",IF($D100&gt;$G100,"↑+2σ突破",IF($D100&lt;$J100,"↓-2σ割れ",IF($D100&gt;$H100,"+1σ上",IF($D100&lt;$I100,"-1σ下","バンド内")))))</f>
      </c>
      <c r="Q100" s="684">
        <f>IF($D100="","",IFERROR(100-100/(1+SUMPRODUCT((終値!E100:R100&gt;終値!F100:S100)*(終値!E100:R100-終値!F100:S100))/SUMPRODUCT((終値!E100:R100&lt;終値!F100:S100)*(終値!F100:S100-終値!E100:R100))),100))</f>
      </c>
      <c r="R100" s="684">
        <f>IF($D100="","",IFERROR(100-100/(1+SUMPRODUCT((((高値!E100:R100+安値!E100:R100+終値!E100:R100)/3)&gt;((高値!F100:S100+安値!F100:S100+終値!F100:S100)/3))*((高値!E100:R100+安値!E100:R100+終値!E100:R100)/3)*出来高!E100:R100)/SUMPRODUCT((((高値!E100:R100+安値!E100:R100+終値!E100:R100)/3)&lt;((高値!F100:S100+安値!F100:S100+終値!F100:S100)/3))*((高値!E100:R100+安値!E100:R100+終値!E100:R100)/3)*出来高!E100:R100)),50))</f>
      </c>
      <c r="S100" s="681">
        <f>IF($D100="","",IF(AND(終値!E100&lt;終値!O100,$Q100&gt;(IFERROR(100-100/(1+SUMPRODUCT((終値!O100:AB100&gt;終値!P100:AC100)*(終値!O100:AB100-終値!P100:AC100))/SUMPRODUCT((終値!O100:AB100&lt;終値!P100:AC100)*(終値!P100:AC100-終値!O100:AB100))),100))),"強気div▲",IF(AND(終値!E100&gt;終値!O100,$Q100&lt;(IFERROR(100-100/(1+SUMPRODUCT((終値!O100:AB100&gt;終値!P100:AC100)*(終値!O100:AB100-終値!P100:AC100))/SUMPRODUCT((終値!O100:AB100&lt;終値!P100:AC100)*(終値!P100:AC100-終値!O100:AB100))),100))),"弱気div▼","－")))</f>
      </c>
      <c r="T100" s="681">
        <f>IF($D100="","",IF($D100&gt;=$H100,"上walk▲",IF($D100&lt;=$I100,"下walk▼","－")))</f>
      </c>
      <c r="U100" s="681">
        <f>IF(終値!A100="","",BB_スイング!BT100)</f>
      </c>
      <c r="V100" s="689">
        <f>IF($D100="","",IFERROR(出来高!E100/AVERAGE(出来高!E100:I100),""))</f>
      </c>
      <c r="W100" s="690">
        <f>IF($D100="","",IF(AND($D100&gt;$G100,$O100="拡大↑",$L100&lt;=$M100*1.8),"◎スクイーズブレイク買",IF(AND($D100&gt;=$H100,$R100&gt;=BB設定!$B$10),"○順張り継続(walk)",IF(AND($S100="強気div▲",$D100&gt;$I100),"○反発(ダイバ)買",IF($U100="二番底W▲","△二番底買(確)",IF($U100="二番底W形成","△二番底形成",IF($D100&lt;$J100,"▼-2σ割れ危険",IF(AND($D100&gt;$E100,$K100&lt;0.6,$R100&gt;=50),"・押し目注目",IF($N100="スクイーズ★","☆スクイーズ監視","様子見")))))))))</f>
      </c>
      <c r="X100" s="685">
        <f>IF($D100="","",MIN(100,IF($L100&lt;=$M100*1.15,20,IF($L100&lt;=$M100*1.4,10,0))+IF($D100&gt;$G100,20,IF($D100&gt;$H100,12,IF($D100&gt;$E100,5,0)))+IF($O100="拡大↑",10,0)+IF($R100&gt;=80,15,IF($R100&gt;=60,10,IF($R100&gt;=50,5,0)))+IF(AND($Q100&gt;=50,$Q100&lt;=70),10,IF($Q100&gt;70,3,IF($Q100&gt;=40,5,0)))+IF($S100="強気div▲",15,0)+IF($T100="上walk▲",5,0)+IF($V100&gt;=2,5,IF($V100&gt;=1.5,3,0))))</f>
      </c>
      <c r="Y100" s="682">
        <f>IF($D100="","",$D100)</f>
      </c>
      <c r="Z100" s="682">
        <f>IF($D100="","",$H100)</f>
      </c>
      <c r="AA100" s="682">
        <f>IF($D100="","",IF($D100&gt;$E100,$E100,$AD100))</f>
      </c>
      <c r="AB100" s="682">
        <f>IF($D100="","",$G100)</f>
      </c>
      <c r="AC100" s="688">
        <f>IF($D100="","",IF(($Y100-$AA100)&lt;=0,"－",IFERROR(ROUND(MIN(20,($AB100-$Y100)/($Y100-$AA100)),2),"－")))</f>
      </c>
      <c r="AD100" s="682">
        <f>IF($D100="","",MIN(終値!E100:I100))</f>
      </c>
      <c r="AE100" s="684">
        <f>IF($D100="","",$X100+(10000-ROW())/100000)</f>
      </c>
    </row>
    <row r="101">
      <c r="A101" s="681">
        <f>IF(終値!A101="","",HYPERLINK("https://kabutan.jp/stock/?code="&amp;終値!A101,"📈"))</f>
      </c>
      <c r="B101" s="681">
        <f>IF(終値!A101="","",終値!A101)</f>
      </c>
      <c r="C101" s="680">
        <f>IF(終値!A101="","",終値!B101)</f>
      </c>
      <c r="D101" s="682">
        <f>IF(終値!A101="","",終値!E101)</f>
      </c>
      <c r="E101" s="682">
        <f>IF($D101="","",AVERAGE(終値!E101:X101))</f>
      </c>
      <c r="F101" s="683">
        <f>IF($D101="","",STDEVP(終値!E101:X101))</f>
      </c>
      <c r="G101" s="682">
        <f>IF($D101="","",$E101+BB設定!$B$4*$F101)</f>
      </c>
      <c r="H101" s="682">
        <f>IF($D101="","",$E101+BB設定!$B$5*$F101)</f>
      </c>
      <c r="I101" s="682">
        <f>IF($D101="","",$E101-BB設定!$B$5*$F101)</f>
      </c>
      <c r="J101" s="682">
        <f>IF($D101="","",$E101-BB設定!$B$4*$F101)</f>
      </c>
      <c r="K101" s="687">
        <f>IF($D101="","",IFERROR(($D101-$J101)/($G101-$J101),""))</f>
      </c>
      <c r="L101" s="686">
        <f>IF($D101="","",IFERROR(($G101-$J101)/$E101*100,""))</f>
      </c>
      <c r="M101" s="686">
        <f>IF($D101="","",IFERROR(MIN(BB_帯幅!B101:AP101)*100,""))</f>
      </c>
      <c r="N101" s="681">
        <f>IF($L101="","",IF($L101&lt;=$M101*BB設定!$B$7,"スクイーズ★",IF($L101&lt;=$M101*1.3,"収縮","－")))</f>
      </c>
      <c r="O101" s="681">
        <f>IF($D101="","",IF($L101&gt;(4*STDEVP(終値!F101:Y101)/AVERAGE(終値!F101:Y101)*100),"拡大↑","縮小↓"))</f>
      </c>
      <c r="P101" s="681">
        <f>IF($D101="","",IF($D101&gt;$G101,"↑+2σ突破",IF($D101&lt;$J101,"↓-2σ割れ",IF($D101&gt;$H101,"+1σ上",IF($D101&lt;$I101,"-1σ下","バンド内")))))</f>
      </c>
      <c r="Q101" s="684">
        <f>IF($D101="","",IFERROR(100-100/(1+SUMPRODUCT((終値!E101:R101&gt;終値!F101:S101)*(終値!E101:R101-終値!F101:S101))/SUMPRODUCT((終値!E101:R101&lt;終値!F101:S101)*(終値!F101:S101-終値!E101:R101))),100))</f>
      </c>
      <c r="R101" s="684">
        <f>IF($D101="","",IFERROR(100-100/(1+SUMPRODUCT((((高値!E101:R101+安値!E101:R101+終値!E101:R101)/3)&gt;((高値!F101:S101+安値!F101:S101+終値!F101:S101)/3))*((高値!E101:R101+安値!E101:R101+終値!E101:R101)/3)*出来高!E101:R101)/SUMPRODUCT((((高値!E101:R101+安値!E101:R101+終値!E101:R101)/3)&lt;((高値!F101:S101+安値!F101:S101+終値!F101:S101)/3))*((高値!E101:R101+安値!E101:R101+終値!E101:R101)/3)*出来高!E101:R101)),50))</f>
      </c>
      <c r="S101" s="681">
        <f>IF($D101="","",IF(AND(終値!E101&lt;終値!O101,$Q101&gt;(IFERROR(100-100/(1+SUMPRODUCT((終値!O101:AB101&gt;終値!P101:AC101)*(終値!O101:AB101-終値!P101:AC101))/SUMPRODUCT((終値!O101:AB101&lt;終値!P101:AC101)*(終値!P101:AC101-終値!O101:AB101))),100))),"強気div▲",IF(AND(終値!E101&gt;終値!O101,$Q101&lt;(IFERROR(100-100/(1+SUMPRODUCT((終値!O101:AB101&gt;終値!P101:AC101)*(終値!O101:AB101-終値!P101:AC101))/SUMPRODUCT((終値!O101:AB101&lt;終値!P101:AC101)*(終値!P101:AC101-終値!O101:AB101))),100))),"弱気div▼","－")))</f>
      </c>
      <c r="T101" s="681">
        <f>IF($D101="","",IF($D101&gt;=$H101,"上walk▲",IF($D101&lt;=$I101,"下walk▼","－")))</f>
      </c>
      <c r="U101" s="681">
        <f>IF(終値!A101="","",BB_スイング!BT101)</f>
      </c>
      <c r="V101" s="689">
        <f>IF($D101="","",IFERROR(出来高!E101/AVERAGE(出来高!E101:I101),""))</f>
      </c>
      <c r="W101" s="690">
        <f>IF($D101="","",IF(AND($D101&gt;$G101,$O101="拡大↑",$L101&lt;=$M101*1.8),"◎スクイーズブレイク買",IF(AND($D101&gt;=$H101,$R101&gt;=BB設定!$B$10),"○順張り継続(walk)",IF(AND($S101="強気div▲",$D101&gt;$I101),"○反発(ダイバ)買",IF($U101="二番底W▲","△二番底買(確)",IF($U101="二番底W形成","△二番底形成",IF($D101&lt;$J101,"▼-2σ割れ危険",IF(AND($D101&gt;$E101,$K101&lt;0.6,$R101&gt;=50),"・押し目注目",IF($N101="スクイーズ★","☆スクイーズ監視","様子見")))))))))</f>
      </c>
      <c r="X101" s="685">
        <f>IF($D101="","",MIN(100,IF($L101&lt;=$M101*1.15,20,IF($L101&lt;=$M101*1.4,10,0))+IF($D101&gt;$G101,20,IF($D101&gt;$H101,12,IF($D101&gt;$E101,5,0)))+IF($O101="拡大↑",10,0)+IF($R101&gt;=80,15,IF($R101&gt;=60,10,IF($R101&gt;=50,5,0)))+IF(AND($Q101&gt;=50,$Q101&lt;=70),10,IF($Q101&gt;70,3,IF($Q101&gt;=40,5,0)))+IF($S101="強気div▲",15,0)+IF($T101="上walk▲",5,0)+IF($V101&gt;=2,5,IF($V101&gt;=1.5,3,0))))</f>
      </c>
      <c r="Y101" s="682">
        <f>IF($D101="","",$D101)</f>
      </c>
      <c r="Z101" s="682">
        <f>IF($D101="","",$H101)</f>
      </c>
      <c r="AA101" s="682">
        <f>IF($D101="","",IF($D101&gt;$E101,$E101,$AD101))</f>
      </c>
      <c r="AB101" s="682">
        <f>IF($D101="","",$G101)</f>
      </c>
      <c r="AC101" s="688">
        <f>IF($D101="","",IF(($Y101-$AA101)&lt;=0,"－",IFERROR(ROUND(MIN(20,($AB101-$Y101)/($Y101-$AA101)),2),"－")))</f>
      </c>
      <c r="AD101" s="682">
        <f>IF($D101="","",MIN(終値!E101:I101))</f>
      </c>
      <c r="AE101" s="684">
        <f>IF($D101="","",$X101+(10000-ROW())/100000)</f>
      </c>
    </row>
    <row r="102">
      <c r="A102" s="681">
        <f>IF(終値!A102="","",HYPERLINK("https://kabutan.jp/stock/?code="&amp;終値!A102,"📈"))</f>
      </c>
      <c r="B102" s="681">
        <f>IF(終値!A102="","",終値!A102)</f>
      </c>
      <c r="C102" s="680">
        <f>IF(終値!A102="","",終値!B102)</f>
      </c>
      <c r="D102" s="682">
        <f>IF(終値!A102="","",終値!E102)</f>
      </c>
      <c r="E102" s="682">
        <f>IF($D102="","",AVERAGE(終値!E102:X102))</f>
      </c>
      <c r="F102" s="683">
        <f>IF($D102="","",STDEVP(終値!E102:X102))</f>
      </c>
      <c r="G102" s="682">
        <f>IF($D102="","",$E102+BB設定!$B$4*$F102)</f>
      </c>
      <c r="H102" s="682">
        <f>IF($D102="","",$E102+BB設定!$B$5*$F102)</f>
      </c>
      <c r="I102" s="682">
        <f>IF($D102="","",$E102-BB設定!$B$5*$F102)</f>
      </c>
      <c r="J102" s="682">
        <f>IF($D102="","",$E102-BB設定!$B$4*$F102)</f>
      </c>
      <c r="K102" s="687">
        <f>IF($D102="","",IFERROR(($D102-$J102)/($G102-$J102),""))</f>
      </c>
      <c r="L102" s="686">
        <f>IF($D102="","",IFERROR(($G102-$J102)/$E102*100,""))</f>
      </c>
      <c r="M102" s="686">
        <f>IF($D102="","",IFERROR(MIN(BB_帯幅!B102:AP102)*100,""))</f>
      </c>
      <c r="N102" s="681">
        <f>IF($L102="","",IF($L102&lt;=$M102*BB設定!$B$7,"スクイーズ★",IF($L102&lt;=$M102*1.3,"収縮","－")))</f>
      </c>
      <c r="O102" s="681">
        <f>IF($D102="","",IF($L102&gt;(4*STDEVP(終値!F102:Y102)/AVERAGE(終値!F102:Y102)*100),"拡大↑","縮小↓"))</f>
      </c>
      <c r="P102" s="681">
        <f>IF($D102="","",IF($D102&gt;$G102,"↑+2σ突破",IF($D102&lt;$J102,"↓-2σ割れ",IF($D102&gt;$H102,"+1σ上",IF($D102&lt;$I102,"-1σ下","バンド内")))))</f>
      </c>
      <c r="Q102" s="684">
        <f>IF($D102="","",IFERROR(100-100/(1+SUMPRODUCT((終値!E102:R102&gt;終値!F102:S102)*(終値!E102:R102-終値!F102:S102))/SUMPRODUCT((終値!E102:R102&lt;終値!F102:S102)*(終値!F102:S102-終値!E102:R102))),100))</f>
      </c>
      <c r="R102" s="684">
        <f>IF($D102="","",IFERROR(100-100/(1+SUMPRODUCT((((高値!E102:R102+安値!E102:R102+終値!E102:R102)/3)&gt;((高値!F102:S102+安値!F102:S102+終値!F102:S102)/3))*((高値!E102:R102+安値!E102:R102+終値!E102:R102)/3)*出来高!E102:R102)/SUMPRODUCT((((高値!E102:R102+安値!E102:R102+終値!E102:R102)/3)&lt;((高値!F102:S102+安値!F102:S102+終値!F102:S102)/3))*((高値!E102:R102+安値!E102:R102+終値!E102:R102)/3)*出来高!E102:R102)),50))</f>
      </c>
      <c r="S102" s="681">
        <f>IF($D102="","",IF(AND(終値!E102&lt;終値!O102,$Q102&gt;(IFERROR(100-100/(1+SUMPRODUCT((終値!O102:AB102&gt;終値!P102:AC102)*(終値!O102:AB102-終値!P102:AC102))/SUMPRODUCT((終値!O102:AB102&lt;終値!P102:AC102)*(終値!P102:AC102-終値!O102:AB102))),100))),"強気div▲",IF(AND(終値!E102&gt;終値!O102,$Q102&lt;(IFERROR(100-100/(1+SUMPRODUCT((終値!O102:AB102&gt;終値!P102:AC102)*(終値!O102:AB102-終値!P102:AC102))/SUMPRODUCT((終値!O102:AB102&lt;終値!P102:AC102)*(終値!P102:AC102-終値!O102:AB102))),100))),"弱気div▼","－")))</f>
      </c>
      <c r="T102" s="681">
        <f>IF($D102="","",IF($D102&gt;=$H102,"上walk▲",IF($D102&lt;=$I102,"下walk▼","－")))</f>
      </c>
      <c r="U102" s="681">
        <f>IF(終値!A102="","",BB_スイング!BT102)</f>
      </c>
      <c r="V102" s="689">
        <f>IF($D102="","",IFERROR(出来高!E102/AVERAGE(出来高!E102:I102),""))</f>
      </c>
      <c r="W102" s="690">
        <f>IF($D102="","",IF(AND($D102&gt;$G102,$O102="拡大↑",$L102&lt;=$M102*1.8),"◎スクイーズブレイク買",IF(AND($D102&gt;=$H102,$R102&gt;=BB設定!$B$10),"○順張り継続(walk)",IF(AND($S102="強気div▲",$D102&gt;$I102),"○反発(ダイバ)買",IF($U102="二番底W▲","△二番底買(確)",IF($U102="二番底W形成","△二番底形成",IF($D102&lt;$J102,"▼-2σ割れ危険",IF(AND($D102&gt;$E102,$K102&lt;0.6,$R102&gt;=50),"・押し目注目",IF($N102="スクイーズ★","☆スクイーズ監視","様子見")))))))))</f>
      </c>
      <c r="X102" s="685">
        <f>IF($D102="","",MIN(100,IF($L102&lt;=$M102*1.15,20,IF($L102&lt;=$M102*1.4,10,0))+IF($D102&gt;$G102,20,IF($D102&gt;$H102,12,IF($D102&gt;$E102,5,0)))+IF($O102="拡大↑",10,0)+IF($R102&gt;=80,15,IF($R102&gt;=60,10,IF($R102&gt;=50,5,0)))+IF(AND($Q102&gt;=50,$Q102&lt;=70),10,IF($Q102&gt;70,3,IF($Q102&gt;=40,5,0)))+IF($S102="強気div▲",15,0)+IF($T102="上walk▲",5,0)+IF($V102&gt;=2,5,IF($V102&gt;=1.5,3,0))))</f>
      </c>
      <c r="Y102" s="682">
        <f>IF($D102="","",$D102)</f>
      </c>
      <c r="Z102" s="682">
        <f>IF($D102="","",$H102)</f>
      </c>
      <c r="AA102" s="682">
        <f>IF($D102="","",IF($D102&gt;$E102,$E102,$AD102))</f>
      </c>
      <c r="AB102" s="682">
        <f>IF($D102="","",$G102)</f>
      </c>
      <c r="AC102" s="688">
        <f>IF($D102="","",IF(($Y102-$AA102)&lt;=0,"－",IFERROR(ROUND(MIN(20,($AB102-$Y102)/($Y102-$AA102)),2),"－")))</f>
      </c>
      <c r="AD102" s="682">
        <f>IF($D102="","",MIN(終値!E102:I102))</f>
      </c>
      <c r="AE102" s="684">
        <f>IF($D102="","",$X102+(10000-ROW())/100000)</f>
      </c>
    </row>
    <row r="103">
      <c r="A103" s="681">
        <f>IF(終値!A103="","",HYPERLINK("https://kabutan.jp/stock/?code="&amp;終値!A103,"📈"))</f>
      </c>
      <c r="B103" s="681">
        <f>IF(終値!A103="","",終値!A103)</f>
      </c>
      <c r="C103" s="680">
        <f>IF(終値!A103="","",終値!B103)</f>
      </c>
      <c r="D103" s="682">
        <f>IF(終値!A103="","",終値!E103)</f>
      </c>
      <c r="E103" s="682">
        <f>IF($D103="","",AVERAGE(終値!E103:X103))</f>
      </c>
      <c r="F103" s="683">
        <f>IF($D103="","",STDEVP(終値!E103:X103))</f>
      </c>
      <c r="G103" s="682">
        <f>IF($D103="","",$E103+BB設定!$B$4*$F103)</f>
      </c>
      <c r="H103" s="682">
        <f>IF($D103="","",$E103+BB設定!$B$5*$F103)</f>
      </c>
      <c r="I103" s="682">
        <f>IF($D103="","",$E103-BB設定!$B$5*$F103)</f>
      </c>
      <c r="J103" s="682">
        <f>IF($D103="","",$E103-BB設定!$B$4*$F103)</f>
      </c>
      <c r="K103" s="687">
        <f>IF($D103="","",IFERROR(($D103-$J103)/($G103-$J103),""))</f>
      </c>
      <c r="L103" s="686">
        <f>IF($D103="","",IFERROR(($G103-$J103)/$E103*100,""))</f>
      </c>
      <c r="M103" s="686">
        <f>IF($D103="","",IFERROR(MIN(BB_帯幅!B103:AP103)*100,""))</f>
      </c>
      <c r="N103" s="681">
        <f>IF($L103="","",IF($L103&lt;=$M103*BB設定!$B$7,"スクイーズ★",IF($L103&lt;=$M103*1.3,"収縮","－")))</f>
      </c>
      <c r="O103" s="681">
        <f>IF($D103="","",IF($L103&gt;(4*STDEVP(終値!F103:Y103)/AVERAGE(終値!F103:Y103)*100),"拡大↑","縮小↓"))</f>
      </c>
      <c r="P103" s="681">
        <f>IF($D103="","",IF($D103&gt;$G103,"↑+2σ突破",IF($D103&lt;$J103,"↓-2σ割れ",IF($D103&gt;$H103,"+1σ上",IF($D103&lt;$I103,"-1σ下","バンド内")))))</f>
      </c>
      <c r="Q103" s="684">
        <f>IF($D103="","",IFERROR(100-100/(1+SUMPRODUCT((終値!E103:R103&gt;終値!F103:S103)*(終値!E103:R103-終値!F103:S103))/SUMPRODUCT((終値!E103:R103&lt;終値!F103:S103)*(終値!F103:S103-終値!E103:R103))),100))</f>
      </c>
      <c r="R103" s="684">
        <f>IF($D103="","",IFERROR(100-100/(1+SUMPRODUCT((((高値!E103:R103+安値!E103:R103+終値!E103:R103)/3)&gt;((高値!F103:S103+安値!F103:S103+終値!F103:S103)/3))*((高値!E103:R103+安値!E103:R103+終値!E103:R103)/3)*出来高!E103:R103)/SUMPRODUCT((((高値!E103:R103+安値!E103:R103+終値!E103:R103)/3)&lt;((高値!F103:S103+安値!F103:S103+終値!F103:S103)/3))*((高値!E103:R103+安値!E103:R103+終値!E103:R103)/3)*出来高!E103:R103)),50))</f>
      </c>
      <c r="S103" s="681">
        <f>IF($D103="","",IF(AND(終値!E103&lt;終値!O103,$Q103&gt;(IFERROR(100-100/(1+SUMPRODUCT((終値!O103:AB103&gt;終値!P103:AC103)*(終値!O103:AB103-終値!P103:AC103))/SUMPRODUCT((終値!O103:AB103&lt;終値!P103:AC103)*(終値!P103:AC103-終値!O103:AB103))),100))),"強気div▲",IF(AND(終値!E103&gt;終値!O103,$Q103&lt;(IFERROR(100-100/(1+SUMPRODUCT((終値!O103:AB103&gt;終値!P103:AC103)*(終値!O103:AB103-終値!P103:AC103))/SUMPRODUCT((終値!O103:AB103&lt;終値!P103:AC103)*(終値!P103:AC103-終値!O103:AB103))),100))),"弱気div▼","－")))</f>
      </c>
      <c r="T103" s="681">
        <f>IF($D103="","",IF($D103&gt;=$H103,"上walk▲",IF($D103&lt;=$I103,"下walk▼","－")))</f>
      </c>
      <c r="U103" s="681">
        <f>IF(終値!A103="","",BB_スイング!BT103)</f>
      </c>
      <c r="V103" s="689">
        <f>IF($D103="","",IFERROR(出来高!E103/AVERAGE(出来高!E103:I103),""))</f>
      </c>
      <c r="W103" s="690">
        <f>IF($D103="","",IF(AND($D103&gt;$G103,$O103="拡大↑",$L103&lt;=$M103*1.8),"◎スクイーズブレイク買",IF(AND($D103&gt;=$H103,$R103&gt;=BB設定!$B$10),"○順張り継続(walk)",IF(AND($S103="強気div▲",$D103&gt;$I103),"○反発(ダイバ)買",IF($U103="二番底W▲","△二番底買(確)",IF($U103="二番底W形成","△二番底形成",IF($D103&lt;$J103,"▼-2σ割れ危険",IF(AND($D103&gt;$E103,$K103&lt;0.6,$R103&gt;=50),"・押し目注目",IF($N103="スクイーズ★","☆スクイーズ監視","様子見")))))))))</f>
      </c>
      <c r="X103" s="685">
        <f>IF($D103="","",MIN(100,IF($L103&lt;=$M103*1.15,20,IF($L103&lt;=$M103*1.4,10,0))+IF($D103&gt;$G103,20,IF($D103&gt;$H103,12,IF($D103&gt;$E103,5,0)))+IF($O103="拡大↑",10,0)+IF($R103&gt;=80,15,IF($R103&gt;=60,10,IF($R103&gt;=50,5,0)))+IF(AND($Q103&gt;=50,$Q103&lt;=70),10,IF($Q103&gt;70,3,IF($Q103&gt;=40,5,0)))+IF($S103="強気div▲",15,0)+IF($T103="上walk▲",5,0)+IF($V103&gt;=2,5,IF($V103&gt;=1.5,3,0))))</f>
      </c>
      <c r="Y103" s="682">
        <f>IF($D103="","",$D103)</f>
      </c>
      <c r="Z103" s="682">
        <f>IF($D103="","",$H103)</f>
      </c>
      <c r="AA103" s="682">
        <f>IF($D103="","",IF($D103&gt;$E103,$E103,$AD103))</f>
      </c>
      <c r="AB103" s="682">
        <f>IF($D103="","",$G103)</f>
      </c>
      <c r="AC103" s="688">
        <f>IF($D103="","",IF(($Y103-$AA103)&lt;=0,"－",IFERROR(ROUND(MIN(20,($AB103-$Y103)/($Y103-$AA103)),2),"－")))</f>
      </c>
      <c r="AD103" s="682">
        <f>IF($D103="","",MIN(終値!E103:I103))</f>
      </c>
      <c r="AE103" s="684">
        <f>IF($D103="","",$X103+(10000-ROW())/100000)</f>
      </c>
    </row>
    <row r="104">
      <c r="A104" s="681">
        <f>IF(終値!A104="","",HYPERLINK("https://kabutan.jp/stock/?code="&amp;終値!A104,"📈"))</f>
      </c>
      <c r="B104" s="681">
        <f>IF(終値!A104="","",終値!A104)</f>
      </c>
      <c r="C104" s="680">
        <f>IF(終値!A104="","",終値!B104)</f>
      </c>
      <c r="D104" s="682">
        <f>IF(終値!A104="","",終値!E104)</f>
      </c>
      <c r="E104" s="682">
        <f>IF($D104="","",AVERAGE(終値!E104:X104))</f>
      </c>
      <c r="F104" s="683">
        <f>IF($D104="","",STDEVP(終値!E104:X104))</f>
      </c>
      <c r="G104" s="682">
        <f>IF($D104="","",$E104+BB設定!$B$4*$F104)</f>
      </c>
      <c r="H104" s="682">
        <f>IF($D104="","",$E104+BB設定!$B$5*$F104)</f>
      </c>
      <c r="I104" s="682">
        <f>IF($D104="","",$E104-BB設定!$B$5*$F104)</f>
      </c>
      <c r="J104" s="682">
        <f>IF($D104="","",$E104-BB設定!$B$4*$F104)</f>
      </c>
      <c r="K104" s="687">
        <f>IF($D104="","",IFERROR(($D104-$J104)/($G104-$J104),""))</f>
      </c>
      <c r="L104" s="686">
        <f>IF($D104="","",IFERROR(($G104-$J104)/$E104*100,""))</f>
      </c>
      <c r="M104" s="686">
        <f>IF($D104="","",IFERROR(MIN(BB_帯幅!B104:AP104)*100,""))</f>
      </c>
      <c r="N104" s="681">
        <f>IF($L104="","",IF($L104&lt;=$M104*BB設定!$B$7,"スクイーズ★",IF($L104&lt;=$M104*1.3,"収縮","－")))</f>
      </c>
      <c r="O104" s="681">
        <f>IF($D104="","",IF($L104&gt;(4*STDEVP(終値!F104:Y104)/AVERAGE(終値!F104:Y104)*100),"拡大↑","縮小↓"))</f>
      </c>
      <c r="P104" s="681">
        <f>IF($D104="","",IF($D104&gt;$G104,"↑+2σ突破",IF($D104&lt;$J104,"↓-2σ割れ",IF($D104&gt;$H104,"+1σ上",IF($D104&lt;$I104,"-1σ下","バンド内")))))</f>
      </c>
      <c r="Q104" s="684">
        <f>IF($D104="","",IFERROR(100-100/(1+SUMPRODUCT((終値!E104:R104&gt;終値!F104:S104)*(終値!E104:R104-終値!F104:S104))/SUMPRODUCT((終値!E104:R104&lt;終値!F104:S104)*(終値!F104:S104-終値!E104:R104))),100))</f>
      </c>
      <c r="R104" s="684">
        <f>IF($D104="","",IFERROR(100-100/(1+SUMPRODUCT((((高値!E104:R104+安値!E104:R104+終値!E104:R104)/3)&gt;((高値!F104:S104+安値!F104:S104+終値!F104:S104)/3))*((高値!E104:R104+安値!E104:R104+終値!E104:R104)/3)*出来高!E104:R104)/SUMPRODUCT((((高値!E104:R104+安値!E104:R104+終値!E104:R104)/3)&lt;((高値!F104:S104+安値!F104:S104+終値!F104:S104)/3))*((高値!E104:R104+安値!E104:R104+終値!E104:R104)/3)*出来高!E104:R104)),50))</f>
      </c>
      <c r="S104" s="681">
        <f>IF($D104="","",IF(AND(終値!E104&lt;終値!O104,$Q104&gt;(IFERROR(100-100/(1+SUMPRODUCT((終値!O104:AB104&gt;終値!P104:AC104)*(終値!O104:AB104-終値!P104:AC104))/SUMPRODUCT((終値!O104:AB104&lt;終値!P104:AC104)*(終値!P104:AC104-終値!O104:AB104))),100))),"強気div▲",IF(AND(終値!E104&gt;終値!O104,$Q104&lt;(IFERROR(100-100/(1+SUMPRODUCT((終値!O104:AB104&gt;終値!P104:AC104)*(終値!O104:AB104-終値!P104:AC104))/SUMPRODUCT((終値!O104:AB104&lt;終値!P104:AC104)*(終値!P104:AC104-終値!O104:AB104))),100))),"弱気div▼","－")))</f>
      </c>
      <c r="T104" s="681">
        <f>IF($D104="","",IF($D104&gt;=$H104,"上walk▲",IF($D104&lt;=$I104,"下walk▼","－")))</f>
      </c>
      <c r="U104" s="681">
        <f>IF(終値!A104="","",BB_スイング!BT104)</f>
      </c>
      <c r="V104" s="689">
        <f>IF($D104="","",IFERROR(出来高!E104/AVERAGE(出来高!E104:I104),""))</f>
      </c>
      <c r="W104" s="690">
        <f>IF($D104="","",IF(AND($D104&gt;$G104,$O104="拡大↑",$L104&lt;=$M104*1.8),"◎スクイーズブレイク買",IF(AND($D104&gt;=$H104,$R104&gt;=BB設定!$B$10),"○順張り継続(walk)",IF(AND($S104="強気div▲",$D104&gt;$I104),"○反発(ダイバ)買",IF($U104="二番底W▲","△二番底買(確)",IF($U104="二番底W形成","△二番底形成",IF($D104&lt;$J104,"▼-2σ割れ危険",IF(AND($D104&gt;$E104,$K104&lt;0.6,$R104&gt;=50),"・押し目注目",IF($N104="スクイーズ★","☆スクイーズ監視","様子見")))))))))</f>
      </c>
      <c r="X104" s="685">
        <f>IF($D104="","",MIN(100,IF($L104&lt;=$M104*1.15,20,IF($L104&lt;=$M104*1.4,10,0))+IF($D104&gt;$G104,20,IF($D104&gt;$H104,12,IF($D104&gt;$E104,5,0)))+IF($O104="拡大↑",10,0)+IF($R104&gt;=80,15,IF($R104&gt;=60,10,IF($R104&gt;=50,5,0)))+IF(AND($Q104&gt;=50,$Q104&lt;=70),10,IF($Q104&gt;70,3,IF($Q104&gt;=40,5,0)))+IF($S104="強気div▲",15,0)+IF($T104="上walk▲",5,0)+IF($V104&gt;=2,5,IF($V104&gt;=1.5,3,0))))</f>
      </c>
      <c r="Y104" s="682">
        <f>IF($D104="","",$D104)</f>
      </c>
      <c r="Z104" s="682">
        <f>IF($D104="","",$H104)</f>
      </c>
      <c r="AA104" s="682">
        <f>IF($D104="","",IF($D104&gt;$E104,$E104,$AD104))</f>
      </c>
      <c r="AB104" s="682">
        <f>IF($D104="","",$G104)</f>
      </c>
      <c r="AC104" s="688">
        <f>IF($D104="","",IF(($Y104-$AA104)&lt;=0,"－",IFERROR(ROUND(MIN(20,($AB104-$Y104)/($Y104-$AA104)),2),"－")))</f>
      </c>
      <c r="AD104" s="682">
        <f>IF($D104="","",MIN(終値!E104:I104))</f>
      </c>
      <c r="AE104" s="684">
        <f>IF($D104="","",$X104+(10000-ROW())/100000)</f>
      </c>
    </row>
    <row r="105">
      <c r="A105" s="681">
        <f>IF(終値!A105="","",HYPERLINK("https://kabutan.jp/stock/?code="&amp;終値!A105,"📈"))</f>
      </c>
      <c r="B105" s="681">
        <f>IF(終値!A105="","",終値!A105)</f>
      </c>
      <c r="C105" s="680">
        <f>IF(終値!A105="","",終値!B105)</f>
      </c>
      <c r="D105" s="682">
        <f>IF(終値!A105="","",終値!E105)</f>
      </c>
      <c r="E105" s="682">
        <f>IF($D105="","",AVERAGE(終値!E105:X105))</f>
      </c>
      <c r="F105" s="683">
        <f>IF($D105="","",STDEVP(終値!E105:X105))</f>
      </c>
      <c r="G105" s="682">
        <f>IF($D105="","",$E105+BB設定!$B$4*$F105)</f>
      </c>
      <c r="H105" s="682">
        <f>IF($D105="","",$E105+BB設定!$B$5*$F105)</f>
      </c>
      <c r="I105" s="682">
        <f>IF($D105="","",$E105-BB設定!$B$5*$F105)</f>
      </c>
      <c r="J105" s="682">
        <f>IF($D105="","",$E105-BB設定!$B$4*$F105)</f>
      </c>
      <c r="K105" s="687">
        <f>IF($D105="","",IFERROR(($D105-$J105)/($G105-$J105),""))</f>
      </c>
      <c r="L105" s="686">
        <f>IF($D105="","",IFERROR(($G105-$J105)/$E105*100,""))</f>
      </c>
      <c r="M105" s="686">
        <f>IF($D105="","",IFERROR(MIN(BB_帯幅!B105:AP105)*100,""))</f>
      </c>
      <c r="N105" s="681">
        <f>IF($L105="","",IF($L105&lt;=$M105*BB設定!$B$7,"スクイーズ★",IF($L105&lt;=$M105*1.3,"収縮","－")))</f>
      </c>
      <c r="O105" s="681">
        <f>IF($D105="","",IF($L105&gt;(4*STDEVP(終値!F105:Y105)/AVERAGE(終値!F105:Y105)*100),"拡大↑","縮小↓"))</f>
      </c>
      <c r="P105" s="681">
        <f>IF($D105="","",IF($D105&gt;$G105,"↑+2σ突破",IF($D105&lt;$J105,"↓-2σ割れ",IF($D105&gt;$H105,"+1σ上",IF($D105&lt;$I105,"-1σ下","バンド内")))))</f>
      </c>
      <c r="Q105" s="684">
        <f>IF($D105="","",IFERROR(100-100/(1+SUMPRODUCT((終値!E105:R105&gt;終値!F105:S105)*(終値!E105:R105-終値!F105:S105))/SUMPRODUCT((終値!E105:R105&lt;終値!F105:S105)*(終値!F105:S105-終値!E105:R105))),100))</f>
      </c>
      <c r="R105" s="684">
        <f>IF($D105="","",IFERROR(100-100/(1+SUMPRODUCT((((高値!E105:R105+安値!E105:R105+終値!E105:R105)/3)&gt;((高値!F105:S105+安値!F105:S105+終値!F105:S105)/3))*((高値!E105:R105+安値!E105:R105+終値!E105:R105)/3)*出来高!E105:R105)/SUMPRODUCT((((高値!E105:R105+安値!E105:R105+終値!E105:R105)/3)&lt;((高値!F105:S105+安値!F105:S105+終値!F105:S105)/3))*((高値!E105:R105+安値!E105:R105+終値!E105:R105)/3)*出来高!E105:R105)),50))</f>
      </c>
      <c r="S105" s="681">
        <f>IF($D105="","",IF(AND(終値!E105&lt;終値!O105,$Q105&gt;(IFERROR(100-100/(1+SUMPRODUCT((終値!O105:AB105&gt;終値!P105:AC105)*(終値!O105:AB105-終値!P105:AC105))/SUMPRODUCT((終値!O105:AB105&lt;終値!P105:AC105)*(終値!P105:AC105-終値!O105:AB105))),100))),"強気div▲",IF(AND(終値!E105&gt;終値!O105,$Q105&lt;(IFERROR(100-100/(1+SUMPRODUCT((終値!O105:AB105&gt;終値!P105:AC105)*(終値!O105:AB105-終値!P105:AC105))/SUMPRODUCT((終値!O105:AB105&lt;終値!P105:AC105)*(終値!P105:AC105-終値!O105:AB105))),100))),"弱気div▼","－")))</f>
      </c>
      <c r="T105" s="681">
        <f>IF($D105="","",IF($D105&gt;=$H105,"上walk▲",IF($D105&lt;=$I105,"下walk▼","－")))</f>
      </c>
      <c r="U105" s="681">
        <f>IF(終値!A105="","",BB_スイング!BT105)</f>
      </c>
      <c r="V105" s="689">
        <f>IF($D105="","",IFERROR(出来高!E105/AVERAGE(出来高!E105:I105),""))</f>
      </c>
      <c r="W105" s="690">
        <f>IF($D105="","",IF(AND($D105&gt;$G105,$O105="拡大↑",$L105&lt;=$M105*1.8),"◎スクイーズブレイク買",IF(AND($D105&gt;=$H105,$R105&gt;=BB設定!$B$10),"○順張り継続(walk)",IF(AND($S105="強気div▲",$D105&gt;$I105),"○反発(ダイバ)買",IF($U105="二番底W▲","△二番底買(確)",IF($U105="二番底W形成","△二番底形成",IF($D105&lt;$J105,"▼-2σ割れ危険",IF(AND($D105&gt;$E105,$K105&lt;0.6,$R105&gt;=50),"・押し目注目",IF($N105="スクイーズ★","☆スクイーズ監視","様子見")))))))))</f>
      </c>
      <c r="X105" s="685">
        <f>IF($D105="","",MIN(100,IF($L105&lt;=$M105*1.15,20,IF($L105&lt;=$M105*1.4,10,0))+IF($D105&gt;$G105,20,IF($D105&gt;$H105,12,IF($D105&gt;$E105,5,0)))+IF($O105="拡大↑",10,0)+IF($R105&gt;=80,15,IF($R105&gt;=60,10,IF($R105&gt;=50,5,0)))+IF(AND($Q105&gt;=50,$Q105&lt;=70),10,IF($Q105&gt;70,3,IF($Q105&gt;=40,5,0)))+IF($S105="強気div▲",15,0)+IF($T105="上walk▲",5,0)+IF($V105&gt;=2,5,IF($V105&gt;=1.5,3,0))))</f>
      </c>
      <c r="Y105" s="682">
        <f>IF($D105="","",$D105)</f>
      </c>
      <c r="Z105" s="682">
        <f>IF($D105="","",$H105)</f>
      </c>
      <c r="AA105" s="682">
        <f>IF($D105="","",IF($D105&gt;$E105,$E105,$AD105))</f>
      </c>
      <c r="AB105" s="682">
        <f>IF($D105="","",$G105)</f>
      </c>
      <c r="AC105" s="688">
        <f>IF($D105="","",IF(($Y105-$AA105)&lt;=0,"－",IFERROR(ROUND(MIN(20,($AB105-$Y105)/($Y105-$AA105)),2),"－")))</f>
      </c>
      <c r="AD105" s="682">
        <f>IF($D105="","",MIN(終値!E105:I105))</f>
      </c>
      <c r="AE105" s="684">
        <f>IF($D105="","",$X105+(10000-ROW())/100000)</f>
      </c>
    </row>
    <row r="106">
      <c r="A106" s="681">
        <f>IF(終値!A106="","",HYPERLINK("https://kabutan.jp/stock/?code="&amp;終値!A106,"📈"))</f>
      </c>
      <c r="B106" s="681">
        <f>IF(終値!A106="","",終値!A106)</f>
      </c>
      <c r="C106" s="680">
        <f>IF(終値!A106="","",終値!B106)</f>
      </c>
      <c r="D106" s="682">
        <f>IF(終値!A106="","",終値!E106)</f>
      </c>
      <c r="E106" s="682">
        <f>IF($D106="","",AVERAGE(終値!E106:X106))</f>
      </c>
      <c r="F106" s="683">
        <f>IF($D106="","",STDEVP(終値!E106:X106))</f>
      </c>
      <c r="G106" s="682">
        <f>IF($D106="","",$E106+BB設定!$B$4*$F106)</f>
      </c>
      <c r="H106" s="682">
        <f>IF($D106="","",$E106+BB設定!$B$5*$F106)</f>
      </c>
      <c r="I106" s="682">
        <f>IF($D106="","",$E106-BB設定!$B$5*$F106)</f>
      </c>
      <c r="J106" s="682">
        <f>IF($D106="","",$E106-BB設定!$B$4*$F106)</f>
      </c>
      <c r="K106" s="687">
        <f>IF($D106="","",IFERROR(($D106-$J106)/($G106-$J106),""))</f>
      </c>
      <c r="L106" s="686">
        <f>IF($D106="","",IFERROR(($G106-$J106)/$E106*100,""))</f>
      </c>
      <c r="M106" s="686">
        <f>IF($D106="","",IFERROR(MIN(BB_帯幅!B106:AP106)*100,""))</f>
      </c>
      <c r="N106" s="681">
        <f>IF($L106="","",IF($L106&lt;=$M106*BB設定!$B$7,"スクイーズ★",IF($L106&lt;=$M106*1.3,"収縮","－")))</f>
      </c>
      <c r="O106" s="681">
        <f>IF($D106="","",IF($L106&gt;(4*STDEVP(終値!F106:Y106)/AVERAGE(終値!F106:Y106)*100),"拡大↑","縮小↓"))</f>
      </c>
      <c r="P106" s="681">
        <f>IF($D106="","",IF($D106&gt;$G106,"↑+2σ突破",IF($D106&lt;$J106,"↓-2σ割れ",IF($D106&gt;$H106,"+1σ上",IF($D106&lt;$I106,"-1σ下","バンド内")))))</f>
      </c>
      <c r="Q106" s="684">
        <f>IF($D106="","",IFERROR(100-100/(1+SUMPRODUCT((終値!E106:R106&gt;終値!F106:S106)*(終値!E106:R106-終値!F106:S106))/SUMPRODUCT((終値!E106:R106&lt;終値!F106:S106)*(終値!F106:S106-終値!E106:R106))),100))</f>
      </c>
      <c r="R106" s="684">
        <f>IF($D106="","",IFERROR(100-100/(1+SUMPRODUCT((((高値!E106:R106+安値!E106:R106+終値!E106:R106)/3)&gt;((高値!F106:S106+安値!F106:S106+終値!F106:S106)/3))*((高値!E106:R106+安値!E106:R106+終値!E106:R106)/3)*出来高!E106:R106)/SUMPRODUCT((((高値!E106:R106+安値!E106:R106+終値!E106:R106)/3)&lt;((高値!F106:S106+安値!F106:S106+終値!F106:S106)/3))*((高値!E106:R106+安値!E106:R106+終値!E106:R106)/3)*出来高!E106:R106)),50))</f>
      </c>
      <c r="S106" s="681">
        <f>IF($D106="","",IF(AND(終値!E106&lt;終値!O106,$Q106&gt;(IFERROR(100-100/(1+SUMPRODUCT((終値!O106:AB106&gt;終値!P106:AC106)*(終値!O106:AB106-終値!P106:AC106))/SUMPRODUCT((終値!O106:AB106&lt;終値!P106:AC106)*(終値!P106:AC106-終値!O106:AB106))),100))),"強気div▲",IF(AND(終値!E106&gt;終値!O106,$Q106&lt;(IFERROR(100-100/(1+SUMPRODUCT((終値!O106:AB106&gt;終値!P106:AC106)*(終値!O106:AB106-終値!P106:AC106))/SUMPRODUCT((終値!O106:AB106&lt;終値!P106:AC106)*(終値!P106:AC106-終値!O106:AB106))),100))),"弱気div▼","－")))</f>
      </c>
      <c r="T106" s="681">
        <f>IF($D106="","",IF($D106&gt;=$H106,"上walk▲",IF($D106&lt;=$I106,"下walk▼","－")))</f>
      </c>
      <c r="U106" s="681">
        <f>IF(終値!A106="","",BB_スイング!BT106)</f>
      </c>
      <c r="V106" s="689">
        <f>IF($D106="","",IFERROR(出来高!E106/AVERAGE(出来高!E106:I106),""))</f>
      </c>
      <c r="W106" s="690">
        <f>IF($D106="","",IF(AND($D106&gt;$G106,$O106="拡大↑",$L106&lt;=$M106*1.8),"◎スクイーズブレイク買",IF(AND($D106&gt;=$H106,$R106&gt;=BB設定!$B$10),"○順張り継続(walk)",IF(AND($S106="強気div▲",$D106&gt;$I106),"○反発(ダイバ)買",IF($U106="二番底W▲","△二番底買(確)",IF($U106="二番底W形成","△二番底形成",IF($D106&lt;$J106,"▼-2σ割れ危険",IF(AND($D106&gt;$E106,$K106&lt;0.6,$R106&gt;=50),"・押し目注目",IF($N106="スクイーズ★","☆スクイーズ監視","様子見")))))))))</f>
      </c>
      <c r="X106" s="685">
        <f>IF($D106="","",MIN(100,IF($L106&lt;=$M106*1.15,20,IF($L106&lt;=$M106*1.4,10,0))+IF($D106&gt;$G106,20,IF($D106&gt;$H106,12,IF($D106&gt;$E106,5,0)))+IF($O106="拡大↑",10,0)+IF($R106&gt;=80,15,IF($R106&gt;=60,10,IF($R106&gt;=50,5,0)))+IF(AND($Q106&gt;=50,$Q106&lt;=70),10,IF($Q106&gt;70,3,IF($Q106&gt;=40,5,0)))+IF($S106="強気div▲",15,0)+IF($T106="上walk▲",5,0)+IF($V106&gt;=2,5,IF($V106&gt;=1.5,3,0))))</f>
      </c>
      <c r="Y106" s="682">
        <f>IF($D106="","",$D106)</f>
      </c>
      <c r="Z106" s="682">
        <f>IF($D106="","",$H106)</f>
      </c>
      <c r="AA106" s="682">
        <f>IF($D106="","",IF($D106&gt;$E106,$E106,$AD106))</f>
      </c>
      <c r="AB106" s="682">
        <f>IF($D106="","",$G106)</f>
      </c>
      <c r="AC106" s="688">
        <f>IF($D106="","",IF(($Y106-$AA106)&lt;=0,"－",IFERROR(ROUND(MIN(20,($AB106-$Y106)/($Y106-$AA106)),2),"－")))</f>
      </c>
      <c r="AD106" s="682">
        <f>IF($D106="","",MIN(終値!E106:I106))</f>
      </c>
      <c r="AE106" s="684">
        <f>IF($D106="","",$X106+(10000-ROW())/100000)</f>
      </c>
    </row>
    <row r="107">
      <c r="A107" s="681">
        <f>IF(終値!A107="","",HYPERLINK("https://kabutan.jp/stock/?code="&amp;終値!A107,"📈"))</f>
      </c>
      <c r="B107" s="681">
        <f>IF(終値!A107="","",終値!A107)</f>
      </c>
      <c r="C107" s="680">
        <f>IF(終値!A107="","",終値!B107)</f>
      </c>
      <c r="D107" s="682">
        <f>IF(終値!A107="","",終値!E107)</f>
      </c>
      <c r="E107" s="682">
        <f>IF($D107="","",AVERAGE(終値!E107:X107))</f>
      </c>
      <c r="F107" s="683">
        <f>IF($D107="","",STDEVP(終値!E107:X107))</f>
      </c>
      <c r="G107" s="682">
        <f>IF($D107="","",$E107+BB設定!$B$4*$F107)</f>
      </c>
      <c r="H107" s="682">
        <f>IF($D107="","",$E107+BB設定!$B$5*$F107)</f>
      </c>
      <c r="I107" s="682">
        <f>IF($D107="","",$E107-BB設定!$B$5*$F107)</f>
      </c>
      <c r="J107" s="682">
        <f>IF($D107="","",$E107-BB設定!$B$4*$F107)</f>
      </c>
      <c r="K107" s="687">
        <f>IF($D107="","",IFERROR(($D107-$J107)/($G107-$J107),""))</f>
      </c>
      <c r="L107" s="686">
        <f>IF($D107="","",IFERROR(($G107-$J107)/$E107*100,""))</f>
      </c>
      <c r="M107" s="686">
        <f>IF($D107="","",IFERROR(MIN(BB_帯幅!B107:AP107)*100,""))</f>
      </c>
      <c r="N107" s="681">
        <f>IF($L107="","",IF($L107&lt;=$M107*BB設定!$B$7,"スクイーズ★",IF($L107&lt;=$M107*1.3,"収縮","－")))</f>
      </c>
      <c r="O107" s="681">
        <f>IF($D107="","",IF($L107&gt;(4*STDEVP(終値!F107:Y107)/AVERAGE(終値!F107:Y107)*100),"拡大↑","縮小↓"))</f>
      </c>
      <c r="P107" s="681">
        <f>IF($D107="","",IF($D107&gt;$G107,"↑+2σ突破",IF($D107&lt;$J107,"↓-2σ割れ",IF($D107&gt;$H107,"+1σ上",IF($D107&lt;$I107,"-1σ下","バンド内")))))</f>
      </c>
      <c r="Q107" s="684">
        <f>IF($D107="","",IFERROR(100-100/(1+SUMPRODUCT((終値!E107:R107&gt;終値!F107:S107)*(終値!E107:R107-終値!F107:S107))/SUMPRODUCT((終値!E107:R107&lt;終値!F107:S107)*(終値!F107:S107-終値!E107:R107))),100))</f>
      </c>
      <c r="R107" s="684">
        <f>IF($D107="","",IFERROR(100-100/(1+SUMPRODUCT((((高値!E107:R107+安値!E107:R107+終値!E107:R107)/3)&gt;((高値!F107:S107+安値!F107:S107+終値!F107:S107)/3))*((高値!E107:R107+安値!E107:R107+終値!E107:R107)/3)*出来高!E107:R107)/SUMPRODUCT((((高値!E107:R107+安値!E107:R107+終値!E107:R107)/3)&lt;((高値!F107:S107+安値!F107:S107+終値!F107:S107)/3))*((高値!E107:R107+安値!E107:R107+終値!E107:R107)/3)*出来高!E107:R107)),50))</f>
      </c>
      <c r="S107" s="681">
        <f>IF($D107="","",IF(AND(終値!E107&lt;終値!O107,$Q107&gt;(IFERROR(100-100/(1+SUMPRODUCT((終値!O107:AB107&gt;終値!P107:AC107)*(終値!O107:AB107-終値!P107:AC107))/SUMPRODUCT((終値!O107:AB107&lt;終値!P107:AC107)*(終値!P107:AC107-終値!O107:AB107))),100))),"強気div▲",IF(AND(終値!E107&gt;終値!O107,$Q107&lt;(IFERROR(100-100/(1+SUMPRODUCT((終値!O107:AB107&gt;終値!P107:AC107)*(終値!O107:AB107-終値!P107:AC107))/SUMPRODUCT((終値!O107:AB107&lt;終値!P107:AC107)*(終値!P107:AC107-終値!O107:AB107))),100))),"弱気div▼","－")))</f>
      </c>
      <c r="T107" s="681">
        <f>IF($D107="","",IF($D107&gt;=$H107,"上walk▲",IF($D107&lt;=$I107,"下walk▼","－")))</f>
      </c>
      <c r="U107" s="681">
        <f>IF(終値!A107="","",BB_スイング!BT107)</f>
      </c>
      <c r="V107" s="689">
        <f>IF($D107="","",IFERROR(出来高!E107/AVERAGE(出来高!E107:I107),""))</f>
      </c>
      <c r="W107" s="690">
        <f>IF($D107="","",IF(AND($D107&gt;$G107,$O107="拡大↑",$L107&lt;=$M107*1.8),"◎スクイーズブレイク買",IF(AND($D107&gt;=$H107,$R107&gt;=BB設定!$B$10),"○順張り継続(walk)",IF(AND($S107="強気div▲",$D107&gt;$I107),"○反発(ダイバ)買",IF($U107="二番底W▲","△二番底買(確)",IF($U107="二番底W形成","△二番底形成",IF($D107&lt;$J107,"▼-2σ割れ危険",IF(AND($D107&gt;$E107,$K107&lt;0.6,$R107&gt;=50),"・押し目注目",IF($N107="スクイーズ★","☆スクイーズ監視","様子見")))))))))</f>
      </c>
      <c r="X107" s="685">
        <f>IF($D107="","",MIN(100,IF($L107&lt;=$M107*1.15,20,IF($L107&lt;=$M107*1.4,10,0))+IF($D107&gt;$G107,20,IF($D107&gt;$H107,12,IF($D107&gt;$E107,5,0)))+IF($O107="拡大↑",10,0)+IF($R107&gt;=80,15,IF($R107&gt;=60,10,IF($R107&gt;=50,5,0)))+IF(AND($Q107&gt;=50,$Q107&lt;=70),10,IF($Q107&gt;70,3,IF($Q107&gt;=40,5,0)))+IF($S107="強気div▲",15,0)+IF($T107="上walk▲",5,0)+IF($V107&gt;=2,5,IF($V107&gt;=1.5,3,0))))</f>
      </c>
      <c r="Y107" s="682">
        <f>IF($D107="","",$D107)</f>
      </c>
      <c r="Z107" s="682">
        <f>IF($D107="","",$H107)</f>
      </c>
      <c r="AA107" s="682">
        <f>IF($D107="","",IF($D107&gt;$E107,$E107,$AD107))</f>
      </c>
      <c r="AB107" s="682">
        <f>IF($D107="","",$G107)</f>
      </c>
      <c r="AC107" s="688">
        <f>IF($D107="","",IF(($Y107-$AA107)&lt;=0,"－",IFERROR(ROUND(MIN(20,($AB107-$Y107)/($Y107-$AA107)),2),"－")))</f>
      </c>
      <c r="AD107" s="682">
        <f>IF($D107="","",MIN(終値!E107:I107))</f>
      </c>
      <c r="AE107" s="684">
        <f>IF($D107="","",$X107+(10000-ROW())/100000)</f>
      </c>
    </row>
    <row r="108">
      <c r="A108" s="681">
        <f>IF(終値!A108="","",HYPERLINK("https://kabutan.jp/stock/?code="&amp;終値!A108,"📈"))</f>
      </c>
      <c r="B108" s="681">
        <f>IF(終値!A108="","",終値!A108)</f>
      </c>
      <c r="C108" s="680">
        <f>IF(終値!A108="","",終値!B108)</f>
      </c>
      <c r="D108" s="682">
        <f>IF(終値!A108="","",終値!E108)</f>
      </c>
      <c r="E108" s="682">
        <f>IF($D108="","",AVERAGE(終値!E108:X108))</f>
      </c>
      <c r="F108" s="683">
        <f>IF($D108="","",STDEVP(終値!E108:X108))</f>
      </c>
      <c r="G108" s="682">
        <f>IF($D108="","",$E108+BB設定!$B$4*$F108)</f>
      </c>
      <c r="H108" s="682">
        <f>IF($D108="","",$E108+BB設定!$B$5*$F108)</f>
      </c>
      <c r="I108" s="682">
        <f>IF($D108="","",$E108-BB設定!$B$5*$F108)</f>
      </c>
      <c r="J108" s="682">
        <f>IF($D108="","",$E108-BB設定!$B$4*$F108)</f>
      </c>
      <c r="K108" s="687">
        <f>IF($D108="","",IFERROR(($D108-$J108)/($G108-$J108),""))</f>
      </c>
      <c r="L108" s="686">
        <f>IF($D108="","",IFERROR(($G108-$J108)/$E108*100,""))</f>
      </c>
      <c r="M108" s="686">
        <f>IF($D108="","",IFERROR(MIN(BB_帯幅!B108:AP108)*100,""))</f>
      </c>
      <c r="N108" s="681">
        <f>IF($L108="","",IF($L108&lt;=$M108*BB設定!$B$7,"スクイーズ★",IF($L108&lt;=$M108*1.3,"収縮","－")))</f>
      </c>
      <c r="O108" s="681">
        <f>IF($D108="","",IF($L108&gt;(4*STDEVP(終値!F108:Y108)/AVERAGE(終値!F108:Y108)*100),"拡大↑","縮小↓"))</f>
      </c>
      <c r="P108" s="681">
        <f>IF($D108="","",IF($D108&gt;$G108,"↑+2σ突破",IF($D108&lt;$J108,"↓-2σ割れ",IF($D108&gt;$H108,"+1σ上",IF($D108&lt;$I108,"-1σ下","バンド内")))))</f>
      </c>
      <c r="Q108" s="684">
        <f>IF($D108="","",IFERROR(100-100/(1+SUMPRODUCT((終値!E108:R108&gt;終値!F108:S108)*(終値!E108:R108-終値!F108:S108))/SUMPRODUCT((終値!E108:R108&lt;終値!F108:S108)*(終値!F108:S108-終値!E108:R108))),100))</f>
      </c>
      <c r="R108" s="684">
        <f>IF($D108="","",IFERROR(100-100/(1+SUMPRODUCT((((高値!E108:R108+安値!E108:R108+終値!E108:R108)/3)&gt;((高値!F108:S108+安値!F108:S108+終値!F108:S108)/3))*((高値!E108:R108+安値!E108:R108+終値!E108:R108)/3)*出来高!E108:R108)/SUMPRODUCT((((高値!E108:R108+安値!E108:R108+終値!E108:R108)/3)&lt;((高値!F108:S108+安値!F108:S108+終値!F108:S108)/3))*((高値!E108:R108+安値!E108:R108+終値!E108:R108)/3)*出来高!E108:R108)),50))</f>
      </c>
      <c r="S108" s="681">
        <f>IF($D108="","",IF(AND(終値!E108&lt;終値!O108,$Q108&gt;(IFERROR(100-100/(1+SUMPRODUCT((終値!O108:AB108&gt;終値!P108:AC108)*(終値!O108:AB108-終値!P108:AC108))/SUMPRODUCT((終値!O108:AB108&lt;終値!P108:AC108)*(終値!P108:AC108-終値!O108:AB108))),100))),"強気div▲",IF(AND(終値!E108&gt;終値!O108,$Q108&lt;(IFERROR(100-100/(1+SUMPRODUCT((終値!O108:AB108&gt;終値!P108:AC108)*(終値!O108:AB108-終値!P108:AC108))/SUMPRODUCT((終値!O108:AB108&lt;終値!P108:AC108)*(終値!P108:AC108-終値!O108:AB108))),100))),"弱気div▼","－")))</f>
      </c>
      <c r="T108" s="681">
        <f>IF($D108="","",IF($D108&gt;=$H108,"上walk▲",IF($D108&lt;=$I108,"下walk▼","－")))</f>
      </c>
      <c r="U108" s="681">
        <f>IF(終値!A108="","",BB_スイング!BT108)</f>
      </c>
      <c r="V108" s="689">
        <f>IF($D108="","",IFERROR(出来高!E108/AVERAGE(出来高!E108:I108),""))</f>
      </c>
      <c r="W108" s="690">
        <f>IF($D108="","",IF(AND($D108&gt;$G108,$O108="拡大↑",$L108&lt;=$M108*1.8),"◎スクイーズブレイク買",IF(AND($D108&gt;=$H108,$R108&gt;=BB設定!$B$10),"○順張り継続(walk)",IF(AND($S108="強気div▲",$D108&gt;$I108),"○反発(ダイバ)買",IF($U108="二番底W▲","△二番底買(確)",IF($U108="二番底W形成","△二番底形成",IF($D108&lt;$J108,"▼-2σ割れ危険",IF(AND($D108&gt;$E108,$K108&lt;0.6,$R108&gt;=50),"・押し目注目",IF($N108="スクイーズ★","☆スクイーズ監視","様子見")))))))))</f>
      </c>
      <c r="X108" s="685">
        <f>IF($D108="","",MIN(100,IF($L108&lt;=$M108*1.15,20,IF($L108&lt;=$M108*1.4,10,0))+IF($D108&gt;$G108,20,IF($D108&gt;$H108,12,IF($D108&gt;$E108,5,0)))+IF($O108="拡大↑",10,0)+IF($R108&gt;=80,15,IF($R108&gt;=60,10,IF($R108&gt;=50,5,0)))+IF(AND($Q108&gt;=50,$Q108&lt;=70),10,IF($Q108&gt;70,3,IF($Q108&gt;=40,5,0)))+IF($S108="強気div▲",15,0)+IF($T108="上walk▲",5,0)+IF($V108&gt;=2,5,IF($V108&gt;=1.5,3,0))))</f>
      </c>
      <c r="Y108" s="682">
        <f>IF($D108="","",$D108)</f>
      </c>
      <c r="Z108" s="682">
        <f>IF($D108="","",$H108)</f>
      </c>
      <c r="AA108" s="682">
        <f>IF($D108="","",IF($D108&gt;$E108,$E108,$AD108))</f>
      </c>
      <c r="AB108" s="682">
        <f>IF($D108="","",$G108)</f>
      </c>
      <c r="AC108" s="688">
        <f>IF($D108="","",IF(($Y108-$AA108)&lt;=0,"－",IFERROR(ROUND(MIN(20,($AB108-$Y108)/($Y108-$AA108)),2),"－")))</f>
      </c>
      <c r="AD108" s="682">
        <f>IF($D108="","",MIN(終値!E108:I108))</f>
      </c>
      <c r="AE108" s="684">
        <f>IF($D108="","",$X108+(10000-ROW())/100000)</f>
      </c>
    </row>
    <row r="109">
      <c r="A109" s="681">
        <f>IF(終値!A109="","",HYPERLINK("https://kabutan.jp/stock/?code="&amp;終値!A109,"📈"))</f>
      </c>
      <c r="B109" s="681">
        <f>IF(終値!A109="","",終値!A109)</f>
      </c>
      <c r="C109" s="680">
        <f>IF(終値!A109="","",終値!B109)</f>
      </c>
      <c r="D109" s="682">
        <f>IF(終値!A109="","",終値!E109)</f>
      </c>
      <c r="E109" s="682">
        <f>IF($D109="","",AVERAGE(終値!E109:X109))</f>
      </c>
      <c r="F109" s="683">
        <f>IF($D109="","",STDEVP(終値!E109:X109))</f>
      </c>
      <c r="G109" s="682">
        <f>IF($D109="","",$E109+BB設定!$B$4*$F109)</f>
      </c>
      <c r="H109" s="682">
        <f>IF($D109="","",$E109+BB設定!$B$5*$F109)</f>
      </c>
      <c r="I109" s="682">
        <f>IF($D109="","",$E109-BB設定!$B$5*$F109)</f>
      </c>
      <c r="J109" s="682">
        <f>IF($D109="","",$E109-BB設定!$B$4*$F109)</f>
      </c>
      <c r="K109" s="687">
        <f>IF($D109="","",IFERROR(($D109-$J109)/($G109-$J109),""))</f>
      </c>
      <c r="L109" s="686">
        <f>IF($D109="","",IFERROR(($G109-$J109)/$E109*100,""))</f>
      </c>
      <c r="M109" s="686">
        <f>IF($D109="","",IFERROR(MIN(BB_帯幅!B109:AP109)*100,""))</f>
      </c>
      <c r="N109" s="681">
        <f>IF($L109="","",IF($L109&lt;=$M109*BB設定!$B$7,"スクイーズ★",IF($L109&lt;=$M109*1.3,"収縮","－")))</f>
      </c>
      <c r="O109" s="681">
        <f>IF($D109="","",IF($L109&gt;(4*STDEVP(終値!F109:Y109)/AVERAGE(終値!F109:Y109)*100),"拡大↑","縮小↓"))</f>
      </c>
      <c r="P109" s="681">
        <f>IF($D109="","",IF($D109&gt;$G109,"↑+2σ突破",IF($D109&lt;$J109,"↓-2σ割れ",IF($D109&gt;$H109,"+1σ上",IF($D109&lt;$I109,"-1σ下","バンド内")))))</f>
      </c>
      <c r="Q109" s="684">
        <f>IF($D109="","",IFERROR(100-100/(1+SUMPRODUCT((終値!E109:R109&gt;終値!F109:S109)*(終値!E109:R109-終値!F109:S109))/SUMPRODUCT((終値!E109:R109&lt;終値!F109:S109)*(終値!F109:S109-終値!E109:R109))),100))</f>
      </c>
      <c r="R109" s="684">
        <f>IF($D109="","",IFERROR(100-100/(1+SUMPRODUCT((((高値!E109:R109+安値!E109:R109+終値!E109:R109)/3)&gt;((高値!F109:S109+安値!F109:S109+終値!F109:S109)/3))*((高値!E109:R109+安値!E109:R109+終値!E109:R109)/3)*出来高!E109:R109)/SUMPRODUCT((((高値!E109:R109+安値!E109:R109+終値!E109:R109)/3)&lt;((高値!F109:S109+安値!F109:S109+終値!F109:S109)/3))*((高値!E109:R109+安値!E109:R109+終値!E109:R109)/3)*出来高!E109:R109)),50))</f>
      </c>
      <c r="S109" s="681">
        <f>IF($D109="","",IF(AND(終値!E109&lt;終値!O109,$Q109&gt;(IFERROR(100-100/(1+SUMPRODUCT((終値!O109:AB109&gt;終値!P109:AC109)*(終値!O109:AB109-終値!P109:AC109))/SUMPRODUCT((終値!O109:AB109&lt;終値!P109:AC109)*(終値!P109:AC109-終値!O109:AB109))),100))),"強気div▲",IF(AND(終値!E109&gt;終値!O109,$Q109&lt;(IFERROR(100-100/(1+SUMPRODUCT((終値!O109:AB109&gt;終値!P109:AC109)*(終値!O109:AB109-終値!P109:AC109))/SUMPRODUCT((終値!O109:AB109&lt;終値!P109:AC109)*(終値!P109:AC109-終値!O109:AB109))),100))),"弱気div▼","－")))</f>
      </c>
      <c r="T109" s="681">
        <f>IF($D109="","",IF($D109&gt;=$H109,"上walk▲",IF($D109&lt;=$I109,"下walk▼","－")))</f>
      </c>
      <c r="U109" s="681">
        <f>IF(終値!A109="","",BB_スイング!BT109)</f>
      </c>
      <c r="V109" s="689">
        <f>IF($D109="","",IFERROR(出来高!E109/AVERAGE(出来高!E109:I109),""))</f>
      </c>
      <c r="W109" s="690">
        <f>IF($D109="","",IF(AND($D109&gt;$G109,$O109="拡大↑",$L109&lt;=$M109*1.8),"◎スクイーズブレイク買",IF(AND($D109&gt;=$H109,$R109&gt;=BB設定!$B$10),"○順張り継続(walk)",IF(AND($S109="強気div▲",$D109&gt;$I109),"○反発(ダイバ)買",IF($U109="二番底W▲","△二番底買(確)",IF($U109="二番底W形成","△二番底形成",IF($D109&lt;$J109,"▼-2σ割れ危険",IF(AND($D109&gt;$E109,$K109&lt;0.6,$R109&gt;=50),"・押し目注目",IF($N109="スクイーズ★","☆スクイーズ監視","様子見")))))))))</f>
      </c>
      <c r="X109" s="685">
        <f>IF($D109="","",MIN(100,IF($L109&lt;=$M109*1.15,20,IF($L109&lt;=$M109*1.4,10,0))+IF($D109&gt;$G109,20,IF($D109&gt;$H109,12,IF($D109&gt;$E109,5,0)))+IF($O109="拡大↑",10,0)+IF($R109&gt;=80,15,IF($R109&gt;=60,10,IF($R109&gt;=50,5,0)))+IF(AND($Q109&gt;=50,$Q109&lt;=70),10,IF($Q109&gt;70,3,IF($Q109&gt;=40,5,0)))+IF($S109="強気div▲",15,0)+IF($T109="上walk▲",5,0)+IF($V109&gt;=2,5,IF($V109&gt;=1.5,3,0))))</f>
      </c>
      <c r="Y109" s="682">
        <f>IF($D109="","",$D109)</f>
      </c>
      <c r="Z109" s="682">
        <f>IF($D109="","",$H109)</f>
      </c>
      <c r="AA109" s="682">
        <f>IF($D109="","",IF($D109&gt;$E109,$E109,$AD109))</f>
      </c>
      <c r="AB109" s="682">
        <f>IF($D109="","",$G109)</f>
      </c>
      <c r="AC109" s="688">
        <f>IF($D109="","",IF(($Y109-$AA109)&lt;=0,"－",IFERROR(ROUND(MIN(20,($AB109-$Y109)/($Y109-$AA109)),2),"－")))</f>
      </c>
      <c r="AD109" s="682">
        <f>IF($D109="","",MIN(終値!E109:I109))</f>
      </c>
      <c r="AE109" s="684">
        <f>IF($D109="","",$X109+(10000-ROW())/100000)</f>
      </c>
    </row>
    <row r="110">
      <c r="A110" s="681">
        <f>IF(終値!A110="","",HYPERLINK("https://kabutan.jp/stock/?code="&amp;終値!A110,"📈"))</f>
      </c>
      <c r="B110" s="681">
        <f>IF(終値!A110="","",終値!A110)</f>
      </c>
      <c r="C110" s="680">
        <f>IF(終値!A110="","",終値!B110)</f>
      </c>
      <c r="D110" s="682">
        <f>IF(終値!A110="","",終値!E110)</f>
      </c>
      <c r="E110" s="682">
        <f>IF($D110="","",AVERAGE(終値!E110:X110))</f>
      </c>
      <c r="F110" s="683">
        <f>IF($D110="","",STDEVP(終値!E110:X110))</f>
      </c>
      <c r="G110" s="682">
        <f>IF($D110="","",$E110+BB設定!$B$4*$F110)</f>
      </c>
      <c r="H110" s="682">
        <f>IF($D110="","",$E110+BB設定!$B$5*$F110)</f>
      </c>
      <c r="I110" s="682">
        <f>IF($D110="","",$E110-BB設定!$B$5*$F110)</f>
      </c>
      <c r="J110" s="682">
        <f>IF($D110="","",$E110-BB設定!$B$4*$F110)</f>
      </c>
      <c r="K110" s="687">
        <f>IF($D110="","",IFERROR(($D110-$J110)/($G110-$J110),""))</f>
      </c>
      <c r="L110" s="686">
        <f>IF($D110="","",IFERROR(($G110-$J110)/$E110*100,""))</f>
      </c>
      <c r="M110" s="686">
        <f>IF($D110="","",IFERROR(MIN(BB_帯幅!B110:AP110)*100,""))</f>
      </c>
      <c r="N110" s="681">
        <f>IF($L110="","",IF($L110&lt;=$M110*BB設定!$B$7,"スクイーズ★",IF($L110&lt;=$M110*1.3,"収縮","－")))</f>
      </c>
      <c r="O110" s="681">
        <f>IF($D110="","",IF($L110&gt;(4*STDEVP(終値!F110:Y110)/AVERAGE(終値!F110:Y110)*100),"拡大↑","縮小↓"))</f>
      </c>
      <c r="P110" s="681">
        <f>IF($D110="","",IF($D110&gt;$G110,"↑+2σ突破",IF($D110&lt;$J110,"↓-2σ割れ",IF($D110&gt;$H110,"+1σ上",IF($D110&lt;$I110,"-1σ下","バンド内")))))</f>
      </c>
      <c r="Q110" s="684">
        <f>IF($D110="","",IFERROR(100-100/(1+SUMPRODUCT((終値!E110:R110&gt;終値!F110:S110)*(終値!E110:R110-終値!F110:S110))/SUMPRODUCT((終値!E110:R110&lt;終値!F110:S110)*(終値!F110:S110-終値!E110:R110))),100))</f>
      </c>
      <c r="R110" s="684">
        <f>IF($D110="","",IFERROR(100-100/(1+SUMPRODUCT((((高値!E110:R110+安値!E110:R110+終値!E110:R110)/3)&gt;((高値!F110:S110+安値!F110:S110+終値!F110:S110)/3))*((高値!E110:R110+安値!E110:R110+終値!E110:R110)/3)*出来高!E110:R110)/SUMPRODUCT((((高値!E110:R110+安値!E110:R110+終値!E110:R110)/3)&lt;((高値!F110:S110+安値!F110:S110+終値!F110:S110)/3))*((高値!E110:R110+安値!E110:R110+終値!E110:R110)/3)*出来高!E110:R110)),50))</f>
      </c>
      <c r="S110" s="681">
        <f>IF($D110="","",IF(AND(終値!E110&lt;終値!O110,$Q110&gt;(IFERROR(100-100/(1+SUMPRODUCT((終値!O110:AB110&gt;終値!P110:AC110)*(終値!O110:AB110-終値!P110:AC110))/SUMPRODUCT((終値!O110:AB110&lt;終値!P110:AC110)*(終値!P110:AC110-終値!O110:AB110))),100))),"強気div▲",IF(AND(終値!E110&gt;終値!O110,$Q110&lt;(IFERROR(100-100/(1+SUMPRODUCT((終値!O110:AB110&gt;終値!P110:AC110)*(終値!O110:AB110-終値!P110:AC110))/SUMPRODUCT((終値!O110:AB110&lt;終値!P110:AC110)*(終値!P110:AC110-終値!O110:AB110))),100))),"弱気div▼","－")))</f>
      </c>
      <c r="T110" s="681">
        <f>IF($D110="","",IF($D110&gt;=$H110,"上walk▲",IF($D110&lt;=$I110,"下walk▼","－")))</f>
      </c>
      <c r="U110" s="681">
        <f>IF(終値!A110="","",BB_スイング!BT110)</f>
      </c>
      <c r="V110" s="689">
        <f>IF($D110="","",IFERROR(出来高!E110/AVERAGE(出来高!E110:I110),""))</f>
      </c>
      <c r="W110" s="690">
        <f>IF($D110="","",IF(AND($D110&gt;$G110,$O110="拡大↑",$L110&lt;=$M110*1.8),"◎スクイーズブレイク買",IF(AND($D110&gt;=$H110,$R110&gt;=BB設定!$B$10),"○順張り継続(walk)",IF(AND($S110="強気div▲",$D110&gt;$I110),"○反発(ダイバ)買",IF($U110="二番底W▲","△二番底買(確)",IF($U110="二番底W形成","△二番底形成",IF($D110&lt;$J110,"▼-2σ割れ危険",IF(AND($D110&gt;$E110,$K110&lt;0.6,$R110&gt;=50),"・押し目注目",IF($N110="スクイーズ★","☆スクイーズ監視","様子見")))))))))</f>
      </c>
      <c r="X110" s="685">
        <f>IF($D110="","",MIN(100,IF($L110&lt;=$M110*1.15,20,IF($L110&lt;=$M110*1.4,10,0))+IF($D110&gt;$G110,20,IF($D110&gt;$H110,12,IF($D110&gt;$E110,5,0)))+IF($O110="拡大↑",10,0)+IF($R110&gt;=80,15,IF($R110&gt;=60,10,IF($R110&gt;=50,5,0)))+IF(AND($Q110&gt;=50,$Q110&lt;=70),10,IF($Q110&gt;70,3,IF($Q110&gt;=40,5,0)))+IF($S110="強気div▲",15,0)+IF($T110="上walk▲",5,0)+IF($V110&gt;=2,5,IF($V110&gt;=1.5,3,0))))</f>
      </c>
      <c r="Y110" s="682">
        <f>IF($D110="","",$D110)</f>
      </c>
      <c r="Z110" s="682">
        <f>IF($D110="","",$H110)</f>
      </c>
      <c r="AA110" s="682">
        <f>IF($D110="","",IF($D110&gt;$E110,$E110,$AD110))</f>
      </c>
      <c r="AB110" s="682">
        <f>IF($D110="","",$G110)</f>
      </c>
      <c r="AC110" s="688">
        <f>IF($D110="","",IF(($Y110-$AA110)&lt;=0,"－",IFERROR(ROUND(MIN(20,($AB110-$Y110)/($Y110-$AA110)),2),"－")))</f>
      </c>
      <c r="AD110" s="682">
        <f>IF($D110="","",MIN(終値!E110:I110))</f>
      </c>
      <c r="AE110" s="684">
        <f>IF($D110="","",$X110+(10000-ROW())/100000)</f>
      </c>
    </row>
    <row r="111">
      <c r="A111" s="681">
        <f>IF(終値!A111="","",HYPERLINK("https://kabutan.jp/stock/?code="&amp;終値!A111,"📈"))</f>
      </c>
      <c r="B111" s="681">
        <f>IF(終値!A111="","",終値!A111)</f>
      </c>
      <c r="C111" s="680">
        <f>IF(終値!A111="","",終値!B111)</f>
      </c>
      <c r="D111" s="682">
        <f>IF(終値!A111="","",終値!E111)</f>
      </c>
      <c r="E111" s="682">
        <f>IF($D111="","",AVERAGE(終値!E111:X111))</f>
      </c>
      <c r="F111" s="683">
        <f>IF($D111="","",STDEVP(終値!E111:X111))</f>
      </c>
      <c r="G111" s="682">
        <f>IF($D111="","",$E111+BB設定!$B$4*$F111)</f>
      </c>
      <c r="H111" s="682">
        <f>IF($D111="","",$E111+BB設定!$B$5*$F111)</f>
      </c>
      <c r="I111" s="682">
        <f>IF($D111="","",$E111-BB設定!$B$5*$F111)</f>
      </c>
      <c r="J111" s="682">
        <f>IF($D111="","",$E111-BB設定!$B$4*$F111)</f>
      </c>
      <c r="K111" s="687">
        <f>IF($D111="","",IFERROR(($D111-$J111)/($G111-$J111),""))</f>
      </c>
      <c r="L111" s="686">
        <f>IF($D111="","",IFERROR(($G111-$J111)/$E111*100,""))</f>
      </c>
      <c r="M111" s="686">
        <f>IF($D111="","",IFERROR(MIN(BB_帯幅!B111:AP111)*100,""))</f>
      </c>
      <c r="N111" s="681">
        <f>IF($L111="","",IF($L111&lt;=$M111*BB設定!$B$7,"スクイーズ★",IF($L111&lt;=$M111*1.3,"収縮","－")))</f>
      </c>
      <c r="O111" s="681">
        <f>IF($D111="","",IF($L111&gt;(4*STDEVP(終値!F111:Y111)/AVERAGE(終値!F111:Y111)*100),"拡大↑","縮小↓"))</f>
      </c>
      <c r="P111" s="681">
        <f>IF($D111="","",IF($D111&gt;$G111,"↑+2σ突破",IF($D111&lt;$J111,"↓-2σ割れ",IF($D111&gt;$H111,"+1σ上",IF($D111&lt;$I111,"-1σ下","バンド内")))))</f>
      </c>
      <c r="Q111" s="684">
        <f>IF($D111="","",IFERROR(100-100/(1+SUMPRODUCT((終値!E111:R111&gt;終値!F111:S111)*(終値!E111:R111-終値!F111:S111))/SUMPRODUCT((終値!E111:R111&lt;終値!F111:S111)*(終値!F111:S111-終値!E111:R111))),100))</f>
      </c>
      <c r="R111" s="684">
        <f>IF($D111="","",IFERROR(100-100/(1+SUMPRODUCT((((高値!E111:R111+安値!E111:R111+終値!E111:R111)/3)&gt;((高値!F111:S111+安値!F111:S111+終値!F111:S111)/3))*((高値!E111:R111+安値!E111:R111+終値!E111:R111)/3)*出来高!E111:R111)/SUMPRODUCT((((高値!E111:R111+安値!E111:R111+終値!E111:R111)/3)&lt;((高値!F111:S111+安値!F111:S111+終値!F111:S111)/3))*((高値!E111:R111+安値!E111:R111+終値!E111:R111)/3)*出来高!E111:R111)),50))</f>
      </c>
      <c r="S111" s="681">
        <f>IF($D111="","",IF(AND(終値!E111&lt;終値!O111,$Q111&gt;(IFERROR(100-100/(1+SUMPRODUCT((終値!O111:AB111&gt;終値!P111:AC111)*(終値!O111:AB111-終値!P111:AC111))/SUMPRODUCT((終値!O111:AB111&lt;終値!P111:AC111)*(終値!P111:AC111-終値!O111:AB111))),100))),"強気div▲",IF(AND(終値!E111&gt;終値!O111,$Q111&lt;(IFERROR(100-100/(1+SUMPRODUCT((終値!O111:AB111&gt;終値!P111:AC111)*(終値!O111:AB111-終値!P111:AC111))/SUMPRODUCT((終値!O111:AB111&lt;終値!P111:AC111)*(終値!P111:AC111-終値!O111:AB111))),100))),"弱気div▼","－")))</f>
      </c>
      <c r="T111" s="681">
        <f>IF($D111="","",IF($D111&gt;=$H111,"上walk▲",IF($D111&lt;=$I111,"下walk▼","－")))</f>
      </c>
      <c r="U111" s="681">
        <f>IF(終値!A111="","",BB_スイング!BT111)</f>
      </c>
      <c r="V111" s="689">
        <f>IF($D111="","",IFERROR(出来高!E111/AVERAGE(出来高!E111:I111),""))</f>
      </c>
      <c r="W111" s="690">
        <f>IF($D111="","",IF(AND($D111&gt;$G111,$O111="拡大↑",$L111&lt;=$M111*1.8),"◎スクイーズブレイク買",IF(AND($D111&gt;=$H111,$R111&gt;=BB設定!$B$10),"○順張り継続(walk)",IF(AND($S111="強気div▲",$D111&gt;$I111),"○反発(ダイバ)買",IF($U111="二番底W▲","△二番底買(確)",IF($U111="二番底W形成","△二番底形成",IF($D111&lt;$J111,"▼-2σ割れ危険",IF(AND($D111&gt;$E111,$K111&lt;0.6,$R111&gt;=50),"・押し目注目",IF($N111="スクイーズ★","☆スクイーズ監視","様子見")))))))))</f>
      </c>
      <c r="X111" s="685">
        <f>IF($D111="","",MIN(100,IF($L111&lt;=$M111*1.15,20,IF($L111&lt;=$M111*1.4,10,0))+IF($D111&gt;$G111,20,IF($D111&gt;$H111,12,IF($D111&gt;$E111,5,0)))+IF($O111="拡大↑",10,0)+IF($R111&gt;=80,15,IF($R111&gt;=60,10,IF($R111&gt;=50,5,0)))+IF(AND($Q111&gt;=50,$Q111&lt;=70),10,IF($Q111&gt;70,3,IF($Q111&gt;=40,5,0)))+IF($S111="強気div▲",15,0)+IF($T111="上walk▲",5,0)+IF($V111&gt;=2,5,IF($V111&gt;=1.5,3,0))))</f>
      </c>
      <c r="Y111" s="682">
        <f>IF($D111="","",$D111)</f>
      </c>
      <c r="Z111" s="682">
        <f>IF($D111="","",$H111)</f>
      </c>
      <c r="AA111" s="682">
        <f>IF($D111="","",IF($D111&gt;$E111,$E111,$AD111))</f>
      </c>
      <c r="AB111" s="682">
        <f>IF($D111="","",$G111)</f>
      </c>
      <c r="AC111" s="688">
        <f>IF($D111="","",IF(($Y111-$AA111)&lt;=0,"－",IFERROR(ROUND(MIN(20,($AB111-$Y111)/($Y111-$AA111)),2),"－")))</f>
      </c>
      <c r="AD111" s="682">
        <f>IF($D111="","",MIN(終値!E111:I111))</f>
      </c>
      <c r="AE111" s="684">
        <f>IF($D111="","",$X111+(10000-ROW())/100000)</f>
      </c>
    </row>
    <row r="112">
      <c r="A112" s="681">
        <f>IF(終値!A112="","",HYPERLINK("https://kabutan.jp/stock/?code="&amp;終値!A112,"📈"))</f>
      </c>
      <c r="B112" s="681">
        <f>IF(終値!A112="","",終値!A112)</f>
      </c>
      <c r="C112" s="680">
        <f>IF(終値!A112="","",終値!B112)</f>
      </c>
      <c r="D112" s="682">
        <f>IF(終値!A112="","",終値!E112)</f>
      </c>
      <c r="E112" s="682">
        <f>IF($D112="","",AVERAGE(終値!E112:X112))</f>
      </c>
      <c r="F112" s="683">
        <f>IF($D112="","",STDEVP(終値!E112:X112))</f>
      </c>
      <c r="G112" s="682">
        <f>IF($D112="","",$E112+BB設定!$B$4*$F112)</f>
      </c>
      <c r="H112" s="682">
        <f>IF($D112="","",$E112+BB設定!$B$5*$F112)</f>
      </c>
      <c r="I112" s="682">
        <f>IF($D112="","",$E112-BB設定!$B$5*$F112)</f>
      </c>
      <c r="J112" s="682">
        <f>IF($D112="","",$E112-BB設定!$B$4*$F112)</f>
      </c>
      <c r="K112" s="687">
        <f>IF($D112="","",IFERROR(($D112-$J112)/($G112-$J112),""))</f>
      </c>
      <c r="L112" s="686">
        <f>IF($D112="","",IFERROR(($G112-$J112)/$E112*100,""))</f>
      </c>
      <c r="M112" s="686">
        <f>IF($D112="","",IFERROR(MIN(BB_帯幅!B112:AP112)*100,""))</f>
      </c>
      <c r="N112" s="681">
        <f>IF($L112="","",IF($L112&lt;=$M112*BB設定!$B$7,"スクイーズ★",IF($L112&lt;=$M112*1.3,"収縮","－")))</f>
      </c>
      <c r="O112" s="681">
        <f>IF($D112="","",IF($L112&gt;(4*STDEVP(終値!F112:Y112)/AVERAGE(終値!F112:Y112)*100),"拡大↑","縮小↓"))</f>
      </c>
      <c r="P112" s="681">
        <f>IF($D112="","",IF($D112&gt;$G112,"↑+2σ突破",IF($D112&lt;$J112,"↓-2σ割れ",IF($D112&gt;$H112,"+1σ上",IF($D112&lt;$I112,"-1σ下","バンド内")))))</f>
      </c>
      <c r="Q112" s="684">
        <f>IF($D112="","",IFERROR(100-100/(1+SUMPRODUCT((終値!E112:R112&gt;終値!F112:S112)*(終値!E112:R112-終値!F112:S112))/SUMPRODUCT((終値!E112:R112&lt;終値!F112:S112)*(終値!F112:S112-終値!E112:R112))),100))</f>
      </c>
      <c r="R112" s="684">
        <f>IF($D112="","",IFERROR(100-100/(1+SUMPRODUCT((((高値!E112:R112+安値!E112:R112+終値!E112:R112)/3)&gt;((高値!F112:S112+安値!F112:S112+終値!F112:S112)/3))*((高値!E112:R112+安値!E112:R112+終値!E112:R112)/3)*出来高!E112:R112)/SUMPRODUCT((((高値!E112:R112+安値!E112:R112+終値!E112:R112)/3)&lt;((高値!F112:S112+安値!F112:S112+終値!F112:S112)/3))*((高値!E112:R112+安値!E112:R112+終値!E112:R112)/3)*出来高!E112:R112)),50))</f>
      </c>
      <c r="S112" s="681">
        <f>IF($D112="","",IF(AND(終値!E112&lt;終値!O112,$Q112&gt;(IFERROR(100-100/(1+SUMPRODUCT((終値!O112:AB112&gt;終値!P112:AC112)*(終値!O112:AB112-終値!P112:AC112))/SUMPRODUCT((終値!O112:AB112&lt;終値!P112:AC112)*(終値!P112:AC112-終値!O112:AB112))),100))),"強気div▲",IF(AND(終値!E112&gt;終値!O112,$Q112&lt;(IFERROR(100-100/(1+SUMPRODUCT((終値!O112:AB112&gt;終値!P112:AC112)*(終値!O112:AB112-終値!P112:AC112))/SUMPRODUCT((終値!O112:AB112&lt;終値!P112:AC112)*(終値!P112:AC112-終値!O112:AB112))),100))),"弱気div▼","－")))</f>
      </c>
      <c r="T112" s="681">
        <f>IF($D112="","",IF($D112&gt;=$H112,"上walk▲",IF($D112&lt;=$I112,"下walk▼","－")))</f>
      </c>
      <c r="U112" s="681">
        <f>IF(終値!A112="","",BB_スイング!BT112)</f>
      </c>
      <c r="V112" s="689">
        <f>IF($D112="","",IFERROR(出来高!E112/AVERAGE(出来高!E112:I112),""))</f>
      </c>
      <c r="W112" s="690">
        <f>IF($D112="","",IF(AND($D112&gt;$G112,$O112="拡大↑",$L112&lt;=$M112*1.8),"◎スクイーズブレイク買",IF(AND($D112&gt;=$H112,$R112&gt;=BB設定!$B$10),"○順張り継続(walk)",IF(AND($S112="強気div▲",$D112&gt;$I112),"○反発(ダイバ)買",IF($U112="二番底W▲","△二番底買(確)",IF($U112="二番底W形成","△二番底形成",IF($D112&lt;$J112,"▼-2σ割れ危険",IF(AND($D112&gt;$E112,$K112&lt;0.6,$R112&gt;=50),"・押し目注目",IF($N112="スクイーズ★","☆スクイーズ監視","様子見")))))))))</f>
      </c>
      <c r="X112" s="685">
        <f>IF($D112="","",MIN(100,IF($L112&lt;=$M112*1.15,20,IF($L112&lt;=$M112*1.4,10,0))+IF($D112&gt;$G112,20,IF($D112&gt;$H112,12,IF($D112&gt;$E112,5,0)))+IF($O112="拡大↑",10,0)+IF($R112&gt;=80,15,IF($R112&gt;=60,10,IF($R112&gt;=50,5,0)))+IF(AND($Q112&gt;=50,$Q112&lt;=70),10,IF($Q112&gt;70,3,IF($Q112&gt;=40,5,0)))+IF($S112="強気div▲",15,0)+IF($T112="上walk▲",5,0)+IF($V112&gt;=2,5,IF($V112&gt;=1.5,3,0))))</f>
      </c>
      <c r="Y112" s="682">
        <f>IF($D112="","",$D112)</f>
      </c>
      <c r="Z112" s="682">
        <f>IF($D112="","",$H112)</f>
      </c>
      <c r="AA112" s="682">
        <f>IF($D112="","",IF($D112&gt;$E112,$E112,$AD112))</f>
      </c>
      <c r="AB112" s="682">
        <f>IF($D112="","",$G112)</f>
      </c>
      <c r="AC112" s="688">
        <f>IF($D112="","",IF(($Y112-$AA112)&lt;=0,"－",IFERROR(ROUND(MIN(20,($AB112-$Y112)/($Y112-$AA112)),2),"－")))</f>
      </c>
      <c r="AD112" s="682">
        <f>IF($D112="","",MIN(終値!E112:I112))</f>
      </c>
      <c r="AE112" s="684">
        <f>IF($D112="","",$X112+(10000-ROW())/100000)</f>
      </c>
    </row>
    <row r="113">
      <c r="A113" s="681">
        <f>IF(終値!A113="","",HYPERLINK("https://kabutan.jp/stock/?code="&amp;終値!A113,"📈"))</f>
      </c>
      <c r="B113" s="681">
        <f>IF(終値!A113="","",終値!A113)</f>
      </c>
      <c r="C113" s="680">
        <f>IF(終値!A113="","",終値!B113)</f>
      </c>
      <c r="D113" s="682">
        <f>IF(終値!A113="","",終値!E113)</f>
      </c>
      <c r="E113" s="682">
        <f>IF($D113="","",AVERAGE(終値!E113:X113))</f>
      </c>
      <c r="F113" s="683">
        <f>IF($D113="","",STDEVP(終値!E113:X113))</f>
      </c>
      <c r="G113" s="682">
        <f>IF($D113="","",$E113+BB設定!$B$4*$F113)</f>
      </c>
      <c r="H113" s="682">
        <f>IF($D113="","",$E113+BB設定!$B$5*$F113)</f>
      </c>
      <c r="I113" s="682">
        <f>IF($D113="","",$E113-BB設定!$B$5*$F113)</f>
      </c>
      <c r="J113" s="682">
        <f>IF($D113="","",$E113-BB設定!$B$4*$F113)</f>
      </c>
      <c r="K113" s="687">
        <f>IF($D113="","",IFERROR(($D113-$J113)/($G113-$J113),""))</f>
      </c>
      <c r="L113" s="686">
        <f>IF($D113="","",IFERROR(($G113-$J113)/$E113*100,""))</f>
      </c>
      <c r="M113" s="686">
        <f>IF($D113="","",IFERROR(MIN(BB_帯幅!B113:AP113)*100,""))</f>
      </c>
      <c r="N113" s="681">
        <f>IF($L113="","",IF($L113&lt;=$M113*BB設定!$B$7,"スクイーズ★",IF($L113&lt;=$M113*1.3,"収縮","－")))</f>
      </c>
      <c r="O113" s="681">
        <f>IF($D113="","",IF($L113&gt;(4*STDEVP(終値!F113:Y113)/AVERAGE(終値!F113:Y113)*100),"拡大↑","縮小↓"))</f>
      </c>
      <c r="P113" s="681">
        <f>IF($D113="","",IF($D113&gt;$G113,"↑+2σ突破",IF($D113&lt;$J113,"↓-2σ割れ",IF($D113&gt;$H113,"+1σ上",IF($D113&lt;$I113,"-1σ下","バンド内")))))</f>
      </c>
      <c r="Q113" s="684">
        <f>IF($D113="","",IFERROR(100-100/(1+SUMPRODUCT((終値!E113:R113&gt;終値!F113:S113)*(終値!E113:R113-終値!F113:S113))/SUMPRODUCT((終値!E113:R113&lt;終値!F113:S113)*(終値!F113:S113-終値!E113:R113))),100))</f>
      </c>
      <c r="R113" s="684">
        <f>IF($D113="","",IFERROR(100-100/(1+SUMPRODUCT((((高値!E113:R113+安値!E113:R113+終値!E113:R113)/3)&gt;((高値!F113:S113+安値!F113:S113+終値!F113:S113)/3))*((高値!E113:R113+安値!E113:R113+終値!E113:R113)/3)*出来高!E113:R113)/SUMPRODUCT((((高値!E113:R113+安値!E113:R113+終値!E113:R113)/3)&lt;((高値!F113:S113+安値!F113:S113+終値!F113:S113)/3))*((高値!E113:R113+安値!E113:R113+終値!E113:R113)/3)*出来高!E113:R113)),50))</f>
      </c>
      <c r="S113" s="681">
        <f>IF($D113="","",IF(AND(終値!E113&lt;終値!O113,$Q113&gt;(IFERROR(100-100/(1+SUMPRODUCT((終値!O113:AB113&gt;終値!P113:AC113)*(終値!O113:AB113-終値!P113:AC113))/SUMPRODUCT((終値!O113:AB113&lt;終値!P113:AC113)*(終値!P113:AC113-終値!O113:AB113))),100))),"強気div▲",IF(AND(終値!E113&gt;終値!O113,$Q113&lt;(IFERROR(100-100/(1+SUMPRODUCT((終値!O113:AB113&gt;終値!P113:AC113)*(終値!O113:AB113-終値!P113:AC113))/SUMPRODUCT((終値!O113:AB113&lt;終値!P113:AC113)*(終値!P113:AC113-終値!O113:AB113))),100))),"弱気div▼","－")))</f>
      </c>
      <c r="T113" s="681">
        <f>IF($D113="","",IF($D113&gt;=$H113,"上walk▲",IF($D113&lt;=$I113,"下walk▼","－")))</f>
      </c>
      <c r="U113" s="681">
        <f>IF(終値!A113="","",BB_スイング!BT113)</f>
      </c>
      <c r="V113" s="689">
        <f>IF($D113="","",IFERROR(出来高!E113/AVERAGE(出来高!E113:I113),""))</f>
      </c>
      <c r="W113" s="690">
        <f>IF($D113="","",IF(AND($D113&gt;$G113,$O113="拡大↑",$L113&lt;=$M113*1.8),"◎スクイーズブレイク買",IF(AND($D113&gt;=$H113,$R113&gt;=BB設定!$B$10),"○順張り継続(walk)",IF(AND($S113="強気div▲",$D113&gt;$I113),"○反発(ダイバ)買",IF($U113="二番底W▲","△二番底買(確)",IF($U113="二番底W形成","△二番底形成",IF($D113&lt;$J113,"▼-2σ割れ危険",IF(AND($D113&gt;$E113,$K113&lt;0.6,$R113&gt;=50),"・押し目注目",IF($N113="スクイーズ★","☆スクイーズ監視","様子見")))))))))</f>
      </c>
      <c r="X113" s="685">
        <f>IF($D113="","",MIN(100,IF($L113&lt;=$M113*1.15,20,IF($L113&lt;=$M113*1.4,10,0))+IF($D113&gt;$G113,20,IF($D113&gt;$H113,12,IF($D113&gt;$E113,5,0)))+IF($O113="拡大↑",10,0)+IF($R113&gt;=80,15,IF($R113&gt;=60,10,IF($R113&gt;=50,5,0)))+IF(AND($Q113&gt;=50,$Q113&lt;=70),10,IF($Q113&gt;70,3,IF($Q113&gt;=40,5,0)))+IF($S113="強気div▲",15,0)+IF($T113="上walk▲",5,0)+IF($V113&gt;=2,5,IF($V113&gt;=1.5,3,0))))</f>
      </c>
      <c r="Y113" s="682">
        <f>IF($D113="","",$D113)</f>
      </c>
      <c r="Z113" s="682">
        <f>IF($D113="","",$H113)</f>
      </c>
      <c r="AA113" s="682">
        <f>IF($D113="","",IF($D113&gt;$E113,$E113,$AD113))</f>
      </c>
      <c r="AB113" s="682">
        <f>IF($D113="","",$G113)</f>
      </c>
      <c r="AC113" s="688">
        <f>IF($D113="","",IF(($Y113-$AA113)&lt;=0,"－",IFERROR(ROUND(MIN(20,($AB113-$Y113)/($Y113-$AA113)),2),"－")))</f>
      </c>
      <c r="AD113" s="682">
        <f>IF($D113="","",MIN(終値!E113:I113))</f>
      </c>
      <c r="AE113" s="684">
        <f>IF($D113="","",$X113+(10000-ROW())/100000)</f>
      </c>
    </row>
    <row r="114">
      <c r="A114" s="681">
        <f>IF(終値!A114="","",HYPERLINK("https://kabutan.jp/stock/?code="&amp;終値!A114,"📈"))</f>
      </c>
      <c r="B114" s="681">
        <f>IF(終値!A114="","",終値!A114)</f>
      </c>
      <c r="C114" s="680">
        <f>IF(終値!A114="","",終値!B114)</f>
      </c>
      <c r="D114" s="682">
        <f>IF(終値!A114="","",終値!E114)</f>
      </c>
      <c r="E114" s="682">
        <f>IF($D114="","",AVERAGE(終値!E114:X114))</f>
      </c>
      <c r="F114" s="683">
        <f>IF($D114="","",STDEVP(終値!E114:X114))</f>
      </c>
      <c r="G114" s="682">
        <f>IF($D114="","",$E114+BB設定!$B$4*$F114)</f>
      </c>
      <c r="H114" s="682">
        <f>IF($D114="","",$E114+BB設定!$B$5*$F114)</f>
      </c>
      <c r="I114" s="682">
        <f>IF($D114="","",$E114-BB設定!$B$5*$F114)</f>
      </c>
      <c r="J114" s="682">
        <f>IF($D114="","",$E114-BB設定!$B$4*$F114)</f>
      </c>
      <c r="K114" s="687">
        <f>IF($D114="","",IFERROR(($D114-$J114)/($G114-$J114),""))</f>
      </c>
      <c r="L114" s="686">
        <f>IF($D114="","",IFERROR(($G114-$J114)/$E114*100,""))</f>
      </c>
      <c r="M114" s="686">
        <f>IF($D114="","",IFERROR(MIN(BB_帯幅!B114:AP114)*100,""))</f>
      </c>
      <c r="N114" s="681">
        <f>IF($L114="","",IF($L114&lt;=$M114*BB設定!$B$7,"スクイーズ★",IF($L114&lt;=$M114*1.3,"収縮","－")))</f>
      </c>
      <c r="O114" s="681">
        <f>IF($D114="","",IF($L114&gt;(4*STDEVP(終値!F114:Y114)/AVERAGE(終値!F114:Y114)*100),"拡大↑","縮小↓"))</f>
      </c>
      <c r="P114" s="681">
        <f>IF($D114="","",IF($D114&gt;$G114,"↑+2σ突破",IF($D114&lt;$J114,"↓-2σ割れ",IF($D114&gt;$H114,"+1σ上",IF($D114&lt;$I114,"-1σ下","バンド内")))))</f>
      </c>
      <c r="Q114" s="684">
        <f>IF($D114="","",IFERROR(100-100/(1+SUMPRODUCT((終値!E114:R114&gt;終値!F114:S114)*(終値!E114:R114-終値!F114:S114))/SUMPRODUCT((終値!E114:R114&lt;終値!F114:S114)*(終値!F114:S114-終値!E114:R114))),100))</f>
      </c>
      <c r="R114" s="684">
        <f>IF($D114="","",IFERROR(100-100/(1+SUMPRODUCT((((高値!E114:R114+安値!E114:R114+終値!E114:R114)/3)&gt;((高値!F114:S114+安値!F114:S114+終値!F114:S114)/3))*((高値!E114:R114+安値!E114:R114+終値!E114:R114)/3)*出来高!E114:R114)/SUMPRODUCT((((高値!E114:R114+安値!E114:R114+終値!E114:R114)/3)&lt;((高値!F114:S114+安値!F114:S114+終値!F114:S114)/3))*((高値!E114:R114+安値!E114:R114+終値!E114:R114)/3)*出来高!E114:R114)),50))</f>
      </c>
      <c r="S114" s="681">
        <f>IF($D114="","",IF(AND(終値!E114&lt;終値!O114,$Q114&gt;(IFERROR(100-100/(1+SUMPRODUCT((終値!O114:AB114&gt;終値!P114:AC114)*(終値!O114:AB114-終値!P114:AC114))/SUMPRODUCT((終値!O114:AB114&lt;終値!P114:AC114)*(終値!P114:AC114-終値!O114:AB114))),100))),"強気div▲",IF(AND(終値!E114&gt;終値!O114,$Q114&lt;(IFERROR(100-100/(1+SUMPRODUCT((終値!O114:AB114&gt;終値!P114:AC114)*(終値!O114:AB114-終値!P114:AC114))/SUMPRODUCT((終値!O114:AB114&lt;終値!P114:AC114)*(終値!P114:AC114-終値!O114:AB114))),100))),"弱気div▼","－")))</f>
      </c>
      <c r="T114" s="681">
        <f>IF($D114="","",IF($D114&gt;=$H114,"上walk▲",IF($D114&lt;=$I114,"下walk▼","－")))</f>
      </c>
      <c r="U114" s="681">
        <f>IF(終値!A114="","",BB_スイング!BT114)</f>
      </c>
      <c r="V114" s="689">
        <f>IF($D114="","",IFERROR(出来高!E114/AVERAGE(出来高!E114:I114),""))</f>
      </c>
      <c r="W114" s="690">
        <f>IF($D114="","",IF(AND($D114&gt;$G114,$O114="拡大↑",$L114&lt;=$M114*1.8),"◎スクイーズブレイク買",IF(AND($D114&gt;=$H114,$R114&gt;=BB設定!$B$10),"○順張り継続(walk)",IF(AND($S114="強気div▲",$D114&gt;$I114),"○反発(ダイバ)買",IF($U114="二番底W▲","△二番底買(確)",IF($U114="二番底W形成","△二番底形成",IF($D114&lt;$J114,"▼-2σ割れ危険",IF(AND($D114&gt;$E114,$K114&lt;0.6,$R114&gt;=50),"・押し目注目",IF($N114="スクイーズ★","☆スクイーズ監視","様子見")))))))))</f>
      </c>
      <c r="X114" s="685">
        <f>IF($D114="","",MIN(100,IF($L114&lt;=$M114*1.15,20,IF($L114&lt;=$M114*1.4,10,0))+IF($D114&gt;$G114,20,IF($D114&gt;$H114,12,IF($D114&gt;$E114,5,0)))+IF($O114="拡大↑",10,0)+IF($R114&gt;=80,15,IF($R114&gt;=60,10,IF($R114&gt;=50,5,0)))+IF(AND($Q114&gt;=50,$Q114&lt;=70),10,IF($Q114&gt;70,3,IF($Q114&gt;=40,5,0)))+IF($S114="強気div▲",15,0)+IF($T114="上walk▲",5,0)+IF($V114&gt;=2,5,IF($V114&gt;=1.5,3,0))))</f>
      </c>
      <c r="Y114" s="682">
        <f>IF($D114="","",$D114)</f>
      </c>
      <c r="Z114" s="682">
        <f>IF($D114="","",$H114)</f>
      </c>
      <c r="AA114" s="682">
        <f>IF($D114="","",IF($D114&gt;$E114,$E114,$AD114))</f>
      </c>
      <c r="AB114" s="682">
        <f>IF($D114="","",$G114)</f>
      </c>
      <c r="AC114" s="688">
        <f>IF($D114="","",IF(($Y114-$AA114)&lt;=0,"－",IFERROR(ROUND(MIN(20,($AB114-$Y114)/($Y114-$AA114)),2),"－")))</f>
      </c>
      <c r="AD114" s="682">
        <f>IF($D114="","",MIN(終値!E114:I114))</f>
      </c>
      <c r="AE114" s="684">
        <f>IF($D114="","",$X114+(10000-ROW())/100000)</f>
      </c>
    </row>
    <row r="115">
      <c r="A115" s="681">
        <f>IF(終値!A115="","",HYPERLINK("https://kabutan.jp/stock/?code="&amp;終値!A115,"📈"))</f>
      </c>
      <c r="B115" s="681">
        <f>IF(終値!A115="","",終値!A115)</f>
      </c>
      <c r="C115" s="680">
        <f>IF(終値!A115="","",終値!B115)</f>
      </c>
      <c r="D115" s="682">
        <f>IF(終値!A115="","",終値!E115)</f>
      </c>
      <c r="E115" s="682">
        <f>IF($D115="","",AVERAGE(終値!E115:X115))</f>
      </c>
      <c r="F115" s="683">
        <f>IF($D115="","",STDEVP(終値!E115:X115))</f>
      </c>
      <c r="G115" s="682">
        <f>IF($D115="","",$E115+BB設定!$B$4*$F115)</f>
      </c>
      <c r="H115" s="682">
        <f>IF($D115="","",$E115+BB設定!$B$5*$F115)</f>
      </c>
      <c r="I115" s="682">
        <f>IF($D115="","",$E115-BB設定!$B$5*$F115)</f>
      </c>
      <c r="J115" s="682">
        <f>IF($D115="","",$E115-BB設定!$B$4*$F115)</f>
      </c>
      <c r="K115" s="687">
        <f>IF($D115="","",IFERROR(($D115-$J115)/($G115-$J115),""))</f>
      </c>
      <c r="L115" s="686">
        <f>IF($D115="","",IFERROR(($G115-$J115)/$E115*100,""))</f>
      </c>
      <c r="M115" s="686">
        <f>IF($D115="","",IFERROR(MIN(BB_帯幅!B115:AP115)*100,""))</f>
      </c>
      <c r="N115" s="681">
        <f>IF($L115="","",IF($L115&lt;=$M115*BB設定!$B$7,"スクイーズ★",IF($L115&lt;=$M115*1.3,"収縮","－")))</f>
      </c>
      <c r="O115" s="681">
        <f>IF($D115="","",IF($L115&gt;(4*STDEVP(終値!F115:Y115)/AVERAGE(終値!F115:Y115)*100),"拡大↑","縮小↓"))</f>
      </c>
      <c r="P115" s="681">
        <f>IF($D115="","",IF($D115&gt;$G115,"↑+2σ突破",IF($D115&lt;$J115,"↓-2σ割れ",IF($D115&gt;$H115,"+1σ上",IF($D115&lt;$I115,"-1σ下","バンド内")))))</f>
      </c>
      <c r="Q115" s="684">
        <f>IF($D115="","",IFERROR(100-100/(1+SUMPRODUCT((終値!E115:R115&gt;終値!F115:S115)*(終値!E115:R115-終値!F115:S115))/SUMPRODUCT((終値!E115:R115&lt;終値!F115:S115)*(終値!F115:S115-終値!E115:R115))),100))</f>
      </c>
      <c r="R115" s="684">
        <f>IF($D115="","",IFERROR(100-100/(1+SUMPRODUCT((((高値!E115:R115+安値!E115:R115+終値!E115:R115)/3)&gt;((高値!F115:S115+安値!F115:S115+終値!F115:S115)/3))*((高値!E115:R115+安値!E115:R115+終値!E115:R115)/3)*出来高!E115:R115)/SUMPRODUCT((((高値!E115:R115+安値!E115:R115+終値!E115:R115)/3)&lt;((高値!F115:S115+安値!F115:S115+終値!F115:S115)/3))*((高値!E115:R115+安値!E115:R115+終値!E115:R115)/3)*出来高!E115:R115)),50))</f>
      </c>
      <c r="S115" s="681">
        <f>IF($D115="","",IF(AND(終値!E115&lt;終値!O115,$Q115&gt;(IFERROR(100-100/(1+SUMPRODUCT((終値!O115:AB115&gt;終値!P115:AC115)*(終値!O115:AB115-終値!P115:AC115))/SUMPRODUCT((終値!O115:AB115&lt;終値!P115:AC115)*(終値!P115:AC115-終値!O115:AB115))),100))),"強気div▲",IF(AND(終値!E115&gt;終値!O115,$Q115&lt;(IFERROR(100-100/(1+SUMPRODUCT((終値!O115:AB115&gt;終値!P115:AC115)*(終値!O115:AB115-終値!P115:AC115))/SUMPRODUCT((終値!O115:AB115&lt;終値!P115:AC115)*(終値!P115:AC115-終値!O115:AB115))),100))),"弱気div▼","－")))</f>
      </c>
      <c r="T115" s="681">
        <f>IF($D115="","",IF($D115&gt;=$H115,"上walk▲",IF($D115&lt;=$I115,"下walk▼","－")))</f>
      </c>
      <c r="U115" s="681">
        <f>IF(終値!A115="","",BB_スイング!BT115)</f>
      </c>
      <c r="V115" s="689">
        <f>IF($D115="","",IFERROR(出来高!E115/AVERAGE(出来高!E115:I115),""))</f>
      </c>
      <c r="W115" s="690">
        <f>IF($D115="","",IF(AND($D115&gt;$G115,$O115="拡大↑",$L115&lt;=$M115*1.8),"◎スクイーズブレイク買",IF(AND($D115&gt;=$H115,$R115&gt;=BB設定!$B$10),"○順張り継続(walk)",IF(AND($S115="強気div▲",$D115&gt;$I115),"○反発(ダイバ)買",IF($U115="二番底W▲","△二番底買(確)",IF($U115="二番底W形成","△二番底形成",IF($D115&lt;$J115,"▼-2σ割れ危険",IF(AND($D115&gt;$E115,$K115&lt;0.6,$R115&gt;=50),"・押し目注目",IF($N115="スクイーズ★","☆スクイーズ監視","様子見")))))))))</f>
      </c>
      <c r="X115" s="685">
        <f>IF($D115="","",MIN(100,IF($L115&lt;=$M115*1.15,20,IF($L115&lt;=$M115*1.4,10,0))+IF($D115&gt;$G115,20,IF($D115&gt;$H115,12,IF($D115&gt;$E115,5,0)))+IF($O115="拡大↑",10,0)+IF($R115&gt;=80,15,IF($R115&gt;=60,10,IF($R115&gt;=50,5,0)))+IF(AND($Q115&gt;=50,$Q115&lt;=70),10,IF($Q115&gt;70,3,IF($Q115&gt;=40,5,0)))+IF($S115="強気div▲",15,0)+IF($T115="上walk▲",5,0)+IF($V115&gt;=2,5,IF($V115&gt;=1.5,3,0))))</f>
      </c>
      <c r="Y115" s="682">
        <f>IF($D115="","",$D115)</f>
      </c>
      <c r="Z115" s="682">
        <f>IF($D115="","",$H115)</f>
      </c>
      <c r="AA115" s="682">
        <f>IF($D115="","",IF($D115&gt;$E115,$E115,$AD115))</f>
      </c>
      <c r="AB115" s="682">
        <f>IF($D115="","",$G115)</f>
      </c>
      <c r="AC115" s="688">
        <f>IF($D115="","",IF(($Y115-$AA115)&lt;=0,"－",IFERROR(ROUND(MIN(20,($AB115-$Y115)/($Y115-$AA115)),2),"－")))</f>
      </c>
      <c r="AD115" s="682">
        <f>IF($D115="","",MIN(終値!E115:I115))</f>
      </c>
      <c r="AE115" s="684">
        <f>IF($D115="","",$X115+(10000-ROW())/100000)</f>
      </c>
    </row>
    <row r="116">
      <c r="A116" s="681">
        <f>IF(終値!A116="","",HYPERLINK("https://kabutan.jp/stock/?code="&amp;終値!A116,"📈"))</f>
      </c>
      <c r="B116" s="681">
        <f>IF(終値!A116="","",終値!A116)</f>
      </c>
      <c r="C116" s="680">
        <f>IF(終値!A116="","",終値!B116)</f>
      </c>
      <c r="D116" s="682">
        <f>IF(終値!A116="","",終値!E116)</f>
      </c>
      <c r="E116" s="682">
        <f>IF($D116="","",AVERAGE(終値!E116:X116))</f>
      </c>
      <c r="F116" s="683">
        <f>IF($D116="","",STDEVP(終値!E116:X116))</f>
      </c>
      <c r="G116" s="682">
        <f>IF($D116="","",$E116+BB設定!$B$4*$F116)</f>
      </c>
      <c r="H116" s="682">
        <f>IF($D116="","",$E116+BB設定!$B$5*$F116)</f>
      </c>
      <c r="I116" s="682">
        <f>IF($D116="","",$E116-BB設定!$B$5*$F116)</f>
      </c>
      <c r="J116" s="682">
        <f>IF($D116="","",$E116-BB設定!$B$4*$F116)</f>
      </c>
      <c r="K116" s="687">
        <f>IF($D116="","",IFERROR(($D116-$J116)/($G116-$J116),""))</f>
      </c>
      <c r="L116" s="686">
        <f>IF($D116="","",IFERROR(($G116-$J116)/$E116*100,""))</f>
      </c>
      <c r="M116" s="686">
        <f>IF($D116="","",IFERROR(MIN(BB_帯幅!B116:AP116)*100,""))</f>
      </c>
      <c r="N116" s="681">
        <f>IF($L116="","",IF($L116&lt;=$M116*BB設定!$B$7,"スクイーズ★",IF($L116&lt;=$M116*1.3,"収縮","－")))</f>
      </c>
      <c r="O116" s="681">
        <f>IF($D116="","",IF($L116&gt;(4*STDEVP(終値!F116:Y116)/AVERAGE(終値!F116:Y116)*100),"拡大↑","縮小↓"))</f>
      </c>
      <c r="P116" s="681">
        <f>IF($D116="","",IF($D116&gt;$G116,"↑+2σ突破",IF($D116&lt;$J116,"↓-2σ割れ",IF($D116&gt;$H116,"+1σ上",IF($D116&lt;$I116,"-1σ下","バンド内")))))</f>
      </c>
      <c r="Q116" s="684">
        <f>IF($D116="","",IFERROR(100-100/(1+SUMPRODUCT((終値!E116:R116&gt;終値!F116:S116)*(終値!E116:R116-終値!F116:S116))/SUMPRODUCT((終値!E116:R116&lt;終値!F116:S116)*(終値!F116:S116-終値!E116:R116))),100))</f>
      </c>
      <c r="R116" s="684">
        <f>IF($D116="","",IFERROR(100-100/(1+SUMPRODUCT((((高値!E116:R116+安値!E116:R116+終値!E116:R116)/3)&gt;((高値!F116:S116+安値!F116:S116+終値!F116:S116)/3))*((高値!E116:R116+安値!E116:R116+終値!E116:R116)/3)*出来高!E116:R116)/SUMPRODUCT((((高値!E116:R116+安値!E116:R116+終値!E116:R116)/3)&lt;((高値!F116:S116+安値!F116:S116+終値!F116:S116)/3))*((高値!E116:R116+安値!E116:R116+終値!E116:R116)/3)*出来高!E116:R116)),50))</f>
      </c>
      <c r="S116" s="681">
        <f>IF($D116="","",IF(AND(終値!E116&lt;終値!O116,$Q116&gt;(IFERROR(100-100/(1+SUMPRODUCT((終値!O116:AB116&gt;終値!P116:AC116)*(終値!O116:AB116-終値!P116:AC116))/SUMPRODUCT((終値!O116:AB116&lt;終値!P116:AC116)*(終値!P116:AC116-終値!O116:AB116))),100))),"強気div▲",IF(AND(終値!E116&gt;終値!O116,$Q116&lt;(IFERROR(100-100/(1+SUMPRODUCT((終値!O116:AB116&gt;終値!P116:AC116)*(終値!O116:AB116-終値!P116:AC116))/SUMPRODUCT((終値!O116:AB116&lt;終値!P116:AC116)*(終値!P116:AC116-終値!O116:AB116))),100))),"弱気div▼","－")))</f>
      </c>
      <c r="T116" s="681">
        <f>IF($D116="","",IF($D116&gt;=$H116,"上walk▲",IF($D116&lt;=$I116,"下walk▼","－")))</f>
      </c>
      <c r="U116" s="681">
        <f>IF(終値!A116="","",BB_スイング!BT116)</f>
      </c>
      <c r="V116" s="689">
        <f>IF($D116="","",IFERROR(出来高!E116/AVERAGE(出来高!E116:I116),""))</f>
      </c>
      <c r="W116" s="690">
        <f>IF($D116="","",IF(AND($D116&gt;$G116,$O116="拡大↑",$L116&lt;=$M116*1.8),"◎スクイーズブレイク買",IF(AND($D116&gt;=$H116,$R116&gt;=BB設定!$B$10),"○順張り継続(walk)",IF(AND($S116="強気div▲",$D116&gt;$I116),"○反発(ダイバ)買",IF($U116="二番底W▲","△二番底買(確)",IF($U116="二番底W形成","△二番底形成",IF($D116&lt;$J116,"▼-2σ割れ危険",IF(AND($D116&gt;$E116,$K116&lt;0.6,$R116&gt;=50),"・押し目注目",IF($N116="スクイーズ★","☆スクイーズ監視","様子見")))))))))</f>
      </c>
      <c r="X116" s="685">
        <f>IF($D116="","",MIN(100,IF($L116&lt;=$M116*1.15,20,IF($L116&lt;=$M116*1.4,10,0))+IF($D116&gt;$G116,20,IF($D116&gt;$H116,12,IF($D116&gt;$E116,5,0)))+IF($O116="拡大↑",10,0)+IF($R116&gt;=80,15,IF($R116&gt;=60,10,IF($R116&gt;=50,5,0)))+IF(AND($Q116&gt;=50,$Q116&lt;=70),10,IF($Q116&gt;70,3,IF($Q116&gt;=40,5,0)))+IF($S116="強気div▲",15,0)+IF($T116="上walk▲",5,0)+IF($V116&gt;=2,5,IF($V116&gt;=1.5,3,0))))</f>
      </c>
      <c r="Y116" s="682">
        <f>IF($D116="","",$D116)</f>
      </c>
      <c r="Z116" s="682">
        <f>IF($D116="","",$H116)</f>
      </c>
      <c r="AA116" s="682">
        <f>IF($D116="","",IF($D116&gt;$E116,$E116,$AD116))</f>
      </c>
      <c r="AB116" s="682">
        <f>IF($D116="","",$G116)</f>
      </c>
      <c r="AC116" s="688">
        <f>IF($D116="","",IF(($Y116-$AA116)&lt;=0,"－",IFERROR(ROUND(MIN(20,($AB116-$Y116)/($Y116-$AA116)),2),"－")))</f>
      </c>
      <c r="AD116" s="682">
        <f>IF($D116="","",MIN(終値!E116:I116))</f>
      </c>
      <c r="AE116" s="684">
        <f>IF($D116="","",$X116+(10000-ROW())/100000)</f>
      </c>
    </row>
    <row r="117">
      <c r="A117" s="681">
        <f>IF(終値!A117="","",HYPERLINK("https://kabutan.jp/stock/?code="&amp;終値!A117,"📈"))</f>
      </c>
      <c r="B117" s="681">
        <f>IF(終値!A117="","",終値!A117)</f>
      </c>
      <c r="C117" s="680">
        <f>IF(終値!A117="","",終値!B117)</f>
      </c>
      <c r="D117" s="682">
        <f>IF(終値!A117="","",終値!E117)</f>
      </c>
      <c r="E117" s="682">
        <f>IF($D117="","",AVERAGE(終値!E117:X117))</f>
      </c>
      <c r="F117" s="683">
        <f>IF($D117="","",STDEVP(終値!E117:X117))</f>
      </c>
      <c r="G117" s="682">
        <f>IF($D117="","",$E117+BB設定!$B$4*$F117)</f>
      </c>
      <c r="H117" s="682">
        <f>IF($D117="","",$E117+BB設定!$B$5*$F117)</f>
      </c>
      <c r="I117" s="682">
        <f>IF($D117="","",$E117-BB設定!$B$5*$F117)</f>
      </c>
      <c r="J117" s="682">
        <f>IF($D117="","",$E117-BB設定!$B$4*$F117)</f>
      </c>
      <c r="K117" s="687">
        <f>IF($D117="","",IFERROR(($D117-$J117)/($G117-$J117),""))</f>
      </c>
      <c r="L117" s="686">
        <f>IF($D117="","",IFERROR(($G117-$J117)/$E117*100,""))</f>
      </c>
      <c r="M117" s="686">
        <f>IF($D117="","",IFERROR(MIN(BB_帯幅!B117:AP117)*100,""))</f>
      </c>
      <c r="N117" s="681">
        <f>IF($L117="","",IF($L117&lt;=$M117*BB設定!$B$7,"スクイーズ★",IF($L117&lt;=$M117*1.3,"収縮","－")))</f>
      </c>
      <c r="O117" s="681">
        <f>IF($D117="","",IF($L117&gt;(4*STDEVP(終値!F117:Y117)/AVERAGE(終値!F117:Y117)*100),"拡大↑","縮小↓"))</f>
      </c>
      <c r="P117" s="681">
        <f>IF($D117="","",IF($D117&gt;$G117,"↑+2σ突破",IF($D117&lt;$J117,"↓-2σ割れ",IF($D117&gt;$H117,"+1σ上",IF($D117&lt;$I117,"-1σ下","バンド内")))))</f>
      </c>
      <c r="Q117" s="684">
        <f>IF($D117="","",IFERROR(100-100/(1+SUMPRODUCT((終値!E117:R117&gt;終値!F117:S117)*(終値!E117:R117-終値!F117:S117))/SUMPRODUCT((終値!E117:R117&lt;終値!F117:S117)*(終値!F117:S117-終値!E117:R117))),100))</f>
      </c>
      <c r="R117" s="684">
        <f>IF($D117="","",IFERROR(100-100/(1+SUMPRODUCT((((高値!E117:R117+安値!E117:R117+終値!E117:R117)/3)&gt;((高値!F117:S117+安値!F117:S117+終値!F117:S117)/3))*((高値!E117:R117+安値!E117:R117+終値!E117:R117)/3)*出来高!E117:R117)/SUMPRODUCT((((高値!E117:R117+安値!E117:R117+終値!E117:R117)/3)&lt;((高値!F117:S117+安値!F117:S117+終値!F117:S117)/3))*((高値!E117:R117+安値!E117:R117+終値!E117:R117)/3)*出来高!E117:R117)),50))</f>
      </c>
      <c r="S117" s="681">
        <f>IF($D117="","",IF(AND(終値!E117&lt;終値!O117,$Q117&gt;(IFERROR(100-100/(1+SUMPRODUCT((終値!O117:AB117&gt;終値!P117:AC117)*(終値!O117:AB117-終値!P117:AC117))/SUMPRODUCT((終値!O117:AB117&lt;終値!P117:AC117)*(終値!P117:AC117-終値!O117:AB117))),100))),"強気div▲",IF(AND(終値!E117&gt;終値!O117,$Q117&lt;(IFERROR(100-100/(1+SUMPRODUCT((終値!O117:AB117&gt;終値!P117:AC117)*(終値!O117:AB117-終値!P117:AC117))/SUMPRODUCT((終値!O117:AB117&lt;終値!P117:AC117)*(終値!P117:AC117-終値!O117:AB117))),100))),"弱気div▼","－")))</f>
      </c>
      <c r="T117" s="681">
        <f>IF($D117="","",IF($D117&gt;=$H117,"上walk▲",IF($D117&lt;=$I117,"下walk▼","－")))</f>
      </c>
      <c r="U117" s="681">
        <f>IF(終値!A117="","",BB_スイング!BT117)</f>
      </c>
      <c r="V117" s="689">
        <f>IF($D117="","",IFERROR(出来高!E117/AVERAGE(出来高!E117:I117),""))</f>
      </c>
      <c r="W117" s="690">
        <f>IF($D117="","",IF(AND($D117&gt;$G117,$O117="拡大↑",$L117&lt;=$M117*1.8),"◎スクイーズブレイク買",IF(AND($D117&gt;=$H117,$R117&gt;=BB設定!$B$10),"○順張り継続(walk)",IF(AND($S117="強気div▲",$D117&gt;$I117),"○反発(ダイバ)買",IF($U117="二番底W▲","△二番底買(確)",IF($U117="二番底W形成","△二番底形成",IF($D117&lt;$J117,"▼-2σ割れ危険",IF(AND($D117&gt;$E117,$K117&lt;0.6,$R117&gt;=50),"・押し目注目",IF($N117="スクイーズ★","☆スクイーズ監視","様子見")))))))))</f>
      </c>
      <c r="X117" s="685">
        <f>IF($D117="","",MIN(100,IF($L117&lt;=$M117*1.15,20,IF($L117&lt;=$M117*1.4,10,0))+IF($D117&gt;$G117,20,IF($D117&gt;$H117,12,IF($D117&gt;$E117,5,0)))+IF($O117="拡大↑",10,0)+IF($R117&gt;=80,15,IF($R117&gt;=60,10,IF($R117&gt;=50,5,0)))+IF(AND($Q117&gt;=50,$Q117&lt;=70),10,IF($Q117&gt;70,3,IF($Q117&gt;=40,5,0)))+IF($S117="強気div▲",15,0)+IF($T117="上walk▲",5,0)+IF($V117&gt;=2,5,IF($V117&gt;=1.5,3,0))))</f>
      </c>
      <c r="Y117" s="682">
        <f>IF($D117="","",$D117)</f>
      </c>
      <c r="Z117" s="682">
        <f>IF($D117="","",$H117)</f>
      </c>
      <c r="AA117" s="682">
        <f>IF($D117="","",IF($D117&gt;$E117,$E117,$AD117))</f>
      </c>
      <c r="AB117" s="682">
        <f>IF($D117="","",$G117)</f>
      </c>
      <c r="AC117" s="688">
        <f>IF($D117="","",IF(($Y117-$AA117)&lt;=0,"－",IFERROR(ROUND(MIN(20,($AB117-$Y117)/($Y117-$AA117)),2),"－")))</f>
      </c>
      <c r="AD117" s="682">
        <f>IF($D117="","",MIN(終値!E117:I117))</f>
      </c>
      <c r="AE117" s="684">
        <f>IF($D117="","",$X117+(10000-ROW())/100000)</f>
      </c>
    </row>
    <row r="118">
      <c r="A118" s="681">
        <f>IF(終値!A118="","",HYPERLINK("https://kabutan.jp/stock/?code="&amp;終値!A118,"📈"))</f>
      </c>
      <c r="B118" s="681">
        <f>IF(終値!A118="","",終値!A118)</f>
      </c>
      <c r="C118" s="680">
        <f>IF(終値!A118="","",終値!B118)</f>
      </c>
      <c r="D118" s="682">
        <f>IF(終値!A118="","",終値!E118)</f>
      </c>
      <c r="E118" s="682">
        <f>IF($D118="","",AVERAGE(終値!E118:X118))</f>
      </c>
      <c r="F118" s="683">
        <f>IF($D118="","",STDEVP(終値!E118:X118))</f>
      </c>
      <c r="G118" s="682">
        <f>IF($D118="","",$E118+BB設定!$B$4*$F118)</f>
      </c>
      <c r="H118" s="682">
        <f>IF($D118="","",$E118+BB設定!$B$5*$F118)</f>
      </c>
      <c r="I118" s="682">
        <f>IF($D118="","",$E118-BB設定!$B$5*$F118)</f>
      </c>
      <c r="J118" s="682">
        <f>IF($D118="","",$E118-BB設定!$B$4*$F118)</f>
      </c>
      <c r="K118" s="687">
        <f>IF($D118="","",IFERROR(($D118-$J118)/($G118-$J118),""))</f>
      </c>
      <c r="L118" s="686">
        <f>IF($D118="","",IFERROR(($G118-$J118)/$E118*100,""))</f>
      </c>
      <c r="M118" s="686">
        <f>IF($D118="","",IFERROR(MIN(BB_帯幅!B118:AP118)*100,""))</f>
      </c>
      <c r="N118" s="681">
        <f>IF($L118="","",IF($L118&lt;=$M118*BB設定!$B$7,"スクイーズ★",IF($L118&lt;=$M118*1.3,"収縮","－")))</f>
      </c>
      <c r="O118" s="681">
        <f>IF($D118="","",IF($L118&gt;(4*STDEVP(終値!F118:Y118)/AVERAGE(終値!F118:Y118)*100),"拡大↑","縮小↓"))</f>
      </c>
      <c r="P118" s="681">
        <f>IF($D118="","",IF($D118&gt;$G118,"↑+2σ突破",IF($D118&lt;$J118,"↓-2σ割れ",IF($D118&gt;$H118,"+1σ上",IF($D118&lt;$I118,"-1σ下","バンド内")))))</f>
      </c>
      <c r="Q118" s="684">
        <f>IF($D118="","",IFERROR(100-100/(1+SUMPRODUCT((終値!E118:R118&gt;終値!F118:S118)*(終値!E118:R118-終値!F118:S118))/SUMPRODUCT((終値!E118:R118&lt;終値!F118:S118)*(終値!F118:S118-終値!E118:R118))),100))</f>
      </c>
      <c r="R118" s="684">
        <f>IF($D118="","",IFERROR(100-100/(1+SUMPRODUCT((((高値!E118:R118+安値!E118:R118+終値!E118:R118)/3)&gt;((高値!F118:S118+安値!F118:S118+終値!F118:S118)/3))*((高値!E118:R118+安値!E118:R118+終値!E118:R118)/3)*出来高!E118:R118)/SUMPRODUCT((((高値!E118:R118+安値!E118:R118+終値!E118:R118)/3)&lt;((高値!F118:S118+安値!F118:S118+終値!F118:S118)/3))*((高値!E118:R118+安値!E118:R118+終値!E118:R118)/3)*出来高!E118:R118)),50))</f>
      </c>
      <c r="S118" s="681">
        <f>IF($D118="","",IF(AND(終値!E118&lt;終値!O118,$Q118&gt;(IFERROR(100-100/(1+SUMPRODUCT((終値!O118:AB118&gt;終値!P118:AC118)*(終値!O118:AB118-終値!P118:AC118))/SUMPRODUCT((終値!O118:AB118&lt;終値!P118:AC118)*(終値!P118:AC118-終値!O118:AB118))),100))),"強気div▲",IF(AND(終値!E118&gt;終値!O118,$Q118&lt;(IFERROR(100-100/(1+SUMPRODUCT((終値!O118:AB118&gt;終値!P118:AC118)*(終値!O118:AB118-終値!P118:AC118))/SUMPRODUCT((終値!O118:AB118&lt;終値!P118:AC118)*(終値!P118:AC118-終値!O118:AB118))),100))),"弱気div▼","－")))</f>
      </c>
      <c r="T118" s="681">
        <f>IF($D118="","",IF($D118&gt;=$H118,"上walk▲",IF($D118&lt;=$I118,"下walk▼","－")))</f>
      </c>
      <c r="U118" s="681">
        <f>IF(終値!A118="","",BB_スイング!BT118)</f>
      </c>
      <c r="V118" s="689">
        <f>IF($D118="","",IFERROR(出来高!E118/AVERAGE(出来高!E118:I118),""))</f>
      </c>
      <c r="W118" s="690">
        <f>IF($D118="","",IF(AND($D118&gt;$G118,$O118="拡大↑",$L118&lt;=$M118*1.8),"◎スクイーズブレイク買",IF(AND($D118&gt;=$H118,$R118&gt;=BB設定!$B$10),"○順張り継続(walk)",IF(AND($S118="強気div▲",$D118&gt;$I118),"○反発(ダイバ)買",IF($U118="二番底W▲","△二番底買(確)",IF($U118="二番底W形成","△二番底形成",IF($D118&lt;$J118,"▼-2σ割れ危険",IF(AND($D118&gt;$E118,$K118&lt;0.6,$R118&gt;=50),"・押し目注目",IF($N118="スクイーズ★","☆スクイーズ監視","様子見")))))))))</f>
      </c>
      <c r="X118" s="685">
        <f>IF($D118="","",MIN(100,IF($L118&lt;=$M118*1.15,20,IF($L118&lt;=$M118*1.4,10,0))+IF($D118&gt;$G118,20,IF($D118&gt;$H118,12,IF($D118&gt;$E118,5,0)))+IF($O118="拡大↑",10,0)+IF($R118&gt;=80,15,IF($R118&gt;=60,10,IF($R118&gt;=50,5,0)))+IF(AND($Q118&gt;=50,$Q118&lt;=70),10,IF($Q118&gt;70,3,IF($Q118&gt;=40,5,0)))+IF($S118="強気div▲",15,0)+IF($T118="上walk▲",5,0)+IF($V118&gt;=2,5,IF($V118&gt;=1.5,3,0))))</f>
      </c>
      <c r="Y118" s="682">
        <f>IF($D118="","",$D118)</f>
      </c>
      <c r="Z118" s="682">
        <f>IF($D118="","",$H118)</f>
      </c>
      <c r="AA118" s="682">
        <f>IF($D118="","",IF($D118&gt;$E118,$E118,$AD118))</f>
      </c>
      <c r="AB118" s="682">
        <f>IF($D118="","",$G118)</f>
      </c>
      <c r="AC118" s="688">
        <f>IF($D118="","",IF(($Y118-$AA118)&lt;=0,"－",IFERROR(ROUND(MIN(20,($AB118-$Y118)/($Y118-$AA118)),2),"－")))</f>
      </c>
      <c r="AD118" s="682">
        <f>IF($D118="","",MIN(終値!E118:I118))</f>
      </c>
      <c r="AE118" s="684">
        <f>IF($D118="","",$X118+(10000-ROW())/100000)</f>
      </c>
    </row>
    <row r="119">
      <c r="A119" s="681">
        <f>IF(終値!A119="","",HYPERLINK("https://kabutan.jp/stock/?code="&amp;終値!A119,"📈"))</f>
      </c>
      <c r="B119" s="681">
        <f>IF(終値!A119="","",終値!A119)</f>
      </c>
      <c r="C119" s="680">
        <f>IF(終値!A119="","",終値!B119)</f>
      </c>
      <c r="D119" s="682">
        <f>IF(終値!A119="","",終値!E119)</f>
      </c>
      <c r="E119" s="682">
        <f>IF($D119="","",AVERAGE(終値!E119:X119))</f>
      </c>
      <c r="F119" s="683">
        <f>IF($D119="","",STDEVP(終値!E119:X119))</f>
      </c>
      <c r="G119" s="682">
        <f>IF($D119="","",$E119+BB設定!$B$4*$F119)</f>
      </c>
      <c r="H119" s="682">
        <f>IF($D119="","",$E119+BB設定!$B$5*$F119)</f>
      </c>
      <c r="I119" s="682">
        <f>IF($D119="","",$E119-BB設定!$B$5*$F119)</f>
      </c>
      <c r="J119" s="682">
        <f>IF($D119="","",$E119-BB設定!$B$4*$F119)</f>
      </c>
      <c r="K119" s="687">
        <f>IF($D119="","",IFERROR(($D119-$J119)/($G119-$J119),""))</f>
      </c>
      <c r="L119" s="686">
        <f>IF($D119="","",IFERROR(($G119-$J119)/$E119*100,""))</f>
      </c>
      <c r="M119" s="686">
        <f>IF($D119="","",IFERROR(MIN(BB_帯幅!B119:AP119)*100,""))</f>
      </c>
      <c r="N119" s="681">
        <f>IF($L119="","",IF($L119&lt;=$M119*BB設定!$B$7,"スクイーズ★",IF($L119&lt;=$M119*1.3,"収縮","－")))</f>
      </c>
      <c r="O119" s="681">
        <f>IF($D119="","",IF($L119&gt;(4*STDEVP(終値!F119:Y119)/AVERAGE(終値!F119:Y119)*100),"拡大↑","縮小↓"))</f>
      </c>
      <c r="P119" s="681">
        <f>IF($D119="","",IF($D119&gt;$G119,"↑+2σ突破",IF($D119&lt;$J119,"↓-2σ割れ",IF($D119&gt;$H119,"+1σ上",IF($D119&lt;$I119,"-1σ下","バンド内")))))</f>
      </c>
      <c r="Q119" s="684">
        <f>IF($D119="","",IFERROR(100-100/(1+SUMPRODUCT((終値!E119:R119&gt;終値!F119:S119)*(終値!E119:R119-終値!F119:S119))/SUMPRODUCT((終値!E119:R119&lt;終値!F119:S119)*(終値!F119:S119-終値!E119:R119))),100))</f>
      </c>
      <c r="R119" s="684">
        <f>IF($D119="","",IFERROR(100-100/(1+SUMPRODUCT((((高値!E119:R119+安値!E119:R119+終値!E119:R119)/3)&gt;((高値!F119:S119+安値!F119:S119+終値!F119:S119)/3))*((高値!E119:R119+安値!E119:R119+終値!E119:R119)/3)*出来高!E119:R119)/SUMPRODUCT((((高値!E119:R119+安値!E119:R119+終値!E119:R119)/3)&lt;((高値!F119:S119+安値!F119:S119+終値!F119:S119)/3))*((高値!E119:R119+安値!E119:R119+終値!E119:R119)/3)*出来高!E119:R119)),50))</f>
      </c>
      <c r="S119" s="681">
        <f>IF($D119="","",IF(AND(終値!E119&lt;終値!O119,$Q119&gt;(IFERROR(100-100/(1+SUMPRODUCT((終値!O119:AB119&gt;終値!P119:AC119)*(終値!O119:AB119-終値!P119:AC119))/SUMPRODUCT((終値!O119:AB119&lt;終値!P119:AC119)*(終値!P119:AC119-終値!O119:AB119))),100))),"強気div▲",IF(AND(終値!E119&gt;終値!O119,$Q119&lt;(IFERROR(100-100/(1+SUMPRODUCT((終値!O119:AB119&gt;終値!P119:AC119)*(終値!O119:AB119-終値!P119:AC119))/SUMPRODUCT((終値!O119:AB119&lt;終値!P119:AC119)*(終値!P119:AC119-終値!O119:AB119))),100))),"弱気div▼","－")))</f>
      </c>
      <c r="T119" s="681">
        <f>IF($D119="","",IF($D119&gt;=$H119,"上walk▲",IF($D119&lt;=$I119,"下walk▼","－")))</f>
      </c>
      <c r="U119" s="681">
        <f>IF(終値!A119="","",BB_スイング!BT119)</f>
      </c>
      <c r="V119" s="689">
        <f>IF($D119="","",IFERROR(出来高!E119/AVERAGE(出来高!E119:I119),""))</f>
      </c>
      <c r="W119" s="690">
        <f>IF($D119="","",IF(AND($D119&gt;$G119,$O119="拡大↑",$L119&lt;=$M119*1.8),"◎スクイーズブレイク買",IF(AND($D119&gt;=$H119,$R119&gt;=BB設定!$B$10),"○順張り継続(walk)",IF(AND($S119="強気div▲",$D119&gt;$I119),"○反発(ダイバ)買",IF($U119="二番底W▲","△二番底買(確)",IF($U119="二番底W形成","△二番底形成",IF($D119&lt;$J119,"▼-2σ割れ危険",IF(AND($D119&gt;$E119,$K119&lt;0.6,$R119&gt;=50),"・押し目注目",IF($N119="スクイーズ★","☆スクイーズ監視","様子見")))))))))</f>
      </c>
      <c r="X119" s="685">
        <f>IF($D119="","",MIN(100,IF($L119&lt;=$M119*1.15,20,IF($L119&lt;=$M119*1.4,10,0))+IF($D119&gt;$G119,20,IF($D119&gt;$H119,12,IF($D119&gt;$E119,5,0)))+IF($O119="拡大↑",10,0)+IF($R119&gt;=80,15,IF($R119&gt;=60,10,IF($R119&gt;=50,5,0)))+IF(AND($Q119&gt;=50,$Q119&lt;=70),10,IF($Q119&gt;70,3,IF($Q119&gt;=40,5,0)))+IF($S119="強気div▲",15,0)+IF($T119="上walk▲",5,0)+IF($V119&gt;=2,5,IF($V119&gt;=1.5,3,0))))</f>
      </c>
      <c r="Y119" s="682">
        <f>IF($D119="","",$D119)</f>
      </c>
      <c r="Z119" s="682">
        <f>IF($D119="","",$H119)</f>
      </c>
      <c r="AA119" s="682">
        <f>IF($D119="","",IF($D119&gt;$E119,$E119,$AD119))</f>
      </c>
      <c r="AB119" s="682">
        <f>IF($D119="","",$G119)</f>
      </c>
      <c r="AC119" s="688">
        <f>IF($D119="","",IF(($Y119-$AA119)&lt;=0,"－",IFERROR(ROUND(MIN(20,($AB119-$Y119)/($Y119-$AA119)),2),"－")))</f>
      </c>
      <c r="AD119" s="682">
        <f>IF($D119="","",MIN(終値!E119:I119))</f>
      </c>
      <c r="AE119" s="684">
        <f>IF($D119="","",$X119+(10000-ROW())/100000)</f>
      </c>
    </row>
    <row r="120">
      <c r="A120" s="681">
        <f>IF(終値!A120="","",HYPERLINK("https://kabutan.jp/stock/?code="&amp;終値!A120,"📈"))</f>
      </c>
      <c r="B120" s="681">
        <f>IF(終値!A120="","",終値!A120)</f>
      </c>
      <c r="C120" s="680">
        <f>IF(終値!A120="","",終値!B120)</f>
      </c>
      <c r="D120" s="682">
        <f>IF(終値!A120="","",終値!E120)</f>
      </c>
      <c r="E120" s="682">
        <f>IF($D120="","",AVERAGE(終値!E120:X120))</f>
      </c>
      <c r="F120" s="683">
        <f>IF($D120="","",STDEVP(終値!E120:X120))</f>
      </c>
      <c r="G120" s="682">
        <f>IF($D120="","",$E120+BB設定!$B$4*$F120)</f>
      </c>
      <c r="H120" s="682">
        <f>IF($D120="","",$E120+BB設定!$B$5*$F120)</f>
      </c>
      <c r="I120" s="682">
        <f>IF($D120="","",$E120-BB設定!$B$5*$F120)</f>
      </c>
      <c r="J120" s="682">
        <f>IF($D120="","",$E120-BB設定!$B$4*$F120)</f>
      </c>
      <c r="K120" s="687">
        <f>IF($D120="","",IFERROR(($D120-$J120)/($G120-$J120),""))</f>
      </c>
      <c r="L120" s="686">
        <f>IF($D120="","",IFERROR(($G120-$J120)/$E120*100,""))</f>
      </c>
      <c r="M120" s="686">
        <f>IF($D120="","",IFERROR(MIN(BB_帯幅!B120:AP120)*100,""))</f>
      </c>
      <c r="N120" s="681">
        <f>IF($L120="","",IF($L120&lt;=$M120*BB設定!$B$7,"スクイーズ★",IF($L120&lt;=$M120*1.3,"収縮","－")))</f>
      </c>
      <c r="O120" s="681">
        <f>IF($D120="","",IF($L120&gt;(4*STDEVP(終値!F120:Y120)/AVERAGE(終値!F120:Y120)*100),"拡大↑","縮小↓"))</f>
      </c>
      <c r="P120" s="681">
        <f>IF($D120="","",IF($D120&gt;$G120,"↑+2σ突破",IF($D120&lt;$J120,"↓-2σ割れ",IF($D120&gt;$H120,"+1σ上",IF($D120&lt;$I120,"-1σ下","バンド内")))))</f>
      </c>
      <c r="Q120" s="684">
        <f>IF($D120="","",IFERROR(100-100/(1+SUMPRODUCT((終値!E120:R120&gt;終値!F120:S120)*(終値!E120:R120-終値!F120:S120))/SUMPRODUCT((終値!E120:R120&lt;終値!F120:S120)*(終値!F120:S120-終値!E120:R120))),100))</f>
      </c>
      <c r="R120" s="684">
        <f>IF($D120="","",IFERROR(100-100/(1+SUMPRODUCT((((高値!E120:R120+安値!E120:R120+終値!E120:R120)/3)&gt;((高値!F120:S120+安値!F120:S120+終値!F120:S120)/3))*((高値!E120:R120+安値!E120:R120+終値!E120:R120)/3)*出来高!E120:R120)/SUMPRODUCT((((高値!E120:R120+安値!E120:R120+終値!E120:R120)/3)&lt;((高値!F120:S120+安値!F120:S120+終値!F120:S120)/3))*((高値!E120:R120+安値!E120:R120+終値!E120:R120)/3)*出来高!E120:R120)),50))</f>
      </c>
      <c r="S120" s="681">
        <f>IF($D120="","",IF(AND(終値!E120&lt;終値!O120,$Q120&gt;(IFERROR(100-100/(1+SUMPRODUCT((終値!O120:AB120&gt;終値!P120:AC120)*(終値!O120:AB120-終値!P120:AC120))/SUMPRODUCT((終値!O120:AB120&lt;終値!P120:AC120)*(終値!P120:AC120-終値!O120:AB120))),100))),"強気div▲",IF(AND(終値!E120&gt;終値!O120,$Q120&lt;(IFERROR(100-100/(1+SUMPRODUCT((終値!O120:AB120&gt;終値!P120:AC120)*(終値!O120:AB120-終値!P120:AC120))/SUMPRODUCT((終値!O120:AB120&lt;終値!P120:AC120)*(終値!P120:AC120-終値!O120:AB120))),100))),"弱気div▼","－")))</f>
      </c>
      <c r="T120" s="681">
        <f>IF($D120="","",IF($D120&gt;=$H120,"上walk▲",IF($D120&lt;=$I120,"下walk▼","－")))</f>
      </c>
      <c r="U120" s="681">
        <f>IF(終値!A120="","",BB_スイング!BT120)</f>
      </c>
      <c r="V120" s="689">
        <f>IF($D120="","",IFERROR(出来高!E120/AVERAGE(出来高!E120:I120),""))</f>
      </c>
      <c r="W120" s="690">
        <f>IF($D120="","",IF(AND($D120&gt;$G120,$O120="拡大↑",$L120&lt;=$M120*1.8),"◎スクイーズブレイク買",IF(AND($D120&gt;=$H120,$R120&gt;=BB設定!$B$10),"○順張り継続(walk)",IF(AND($S120="強気div▲",$D120&gt;$I120),"○反発(ダイバ)買",IF($U120="二番底W▲","△二番底買(確)",IF($U120="二番底W形成","△二番底形成",IF($D120&lt;$J120,"▼-2σ割れ危険",IF(AND($D120&gt;$E120,$K120&lt;0.6,$R120&gt;=50),"・押し目注目",IF($N120="スクイーズ★","☆スクイーズ監視","様子見")))))))))</f>
      </c>
      <c r="X120" s="685">
        <f>IF($D120="","",MIN(100,IF($L120&lt;=$M120*1.15,20,IF($L120&lt;=$M120*1.4,10,0))+IF($D120&gt;$G120,20,IF($D120&gt;$H120,12,IF($D120&gt;$E120,5,0)))+IF($O120="拡大↑",10,0)+IF($R120&gt;=80,15,IF($R120&gt;=60,10,IF($R120&gt;=50,5,0)))+IF(AND($Q120&gt;=50,$Q120&lt;=70),10,IF($Q120&gt;70,3,IF($Q120&gt;=40,5,0)))+IF($S120="強気div▲",15,0)+IF($T120="上walk▲",5,0)+IF($V120&gt;=2,5,IF($V120&gt;=1.5,3,0))))</f>
      </c>
      <c r="Y120" s="682">
        <f>IF($D120="","",$D120)</f>
      </c>
      <c r="Z120" s="682">
        <f>IF($D120="","",$H120)</f>
      </c>
      <c r="AA120" s="682">
        <f>IF($D120="","",IF($D120&gt;$E120,$E120,$AD120))</f>
      </c>
      <c r="AB120" s="682">
        <f>IF($D120="","",$G120)</f>
      </c>
      <c r="AC120" s="688">
        <f>IF($D120="","",IF(($Y120-$AA120)&lt;=0,"－",IFERROR(ROUND(MIN(20,($AB120-$Y120)/($Y120-$AA120)),2),"－")))</f>
      </c>
      <c r="AD120" s="682">
        <f>IF($D120="","",MIN(終値!E120:I120))</f>
      </c>
      <c r="AE120" s="684">
        <f>IF($D120="","",$X120+(10000-ROW())/100000)</f>
      </c>
    </row>
    <row r="121">
      <c r="A121" s="681">
        <f>IF(終値!A121="","",HYPERLINK("https://kabutan.jp/stock/?code="&amp;終値!A121,"📈"))</f>
      </c>
      <c r="B121" s="681">
        <f>IF(終値!A121="","",終値!A121)</f>
      </c>
      <c r="C121" s="680">
        <f>IF(終値!A121="","",終値!B121)</f>
      </c>
      <c r="D121" s="682">
        <f>IF(終値!A121="","",終値!E121)</f>
      </c>
      <c r="E121" s="682">
        <f>IF($D121="","",AVERAGE(終値!E121:X121))</f>
      </c>
      <c r="F121" s="683">
        <f>IF($D121="","",STDEVP(終値!E121:X121))</f>
      </c>
      <c r="G121" s="682">
        <f>IF($D121="","",$E121+BB設定!$B$4*$F121)</f>
      </c>
      <c r="H121" s="682">
        <f>IF($D121="","",$E121+BB設定!$B$5*$F121)</f>
      </c>
      <c r="I121" s="682">
        <f>IF($D121="","",$E121-BB設定!$B$5*$F121)</f>
      </c>
      <c r="J121" s="682">
        <f>IF($D121="","",$E121-BB設定!$B$4*$F121)</f>
      </c>
      <c r="K121" s="687">
        <f>IF($D121="","",IFERROR(($D121-$J121)/($G121-$J121),""))</f>
      </c>
      <c r="L121" s="686">
        <f>IF($D121="","",IFERROR(($G121-$J121)/$E121*100,""))</f>
      </c>
      <c r="M121" s="686">
        <f>IF($D121="","",IFERROR(MIN(BB_帯幅!B121:AP121)*100,""))</f>
      </c>
      <c r="N121" s="681">
        <f>IF($L121="","",IF($L121&lt;=$M121*BB設定!$B$7,"スクイーズ★",IF($L121&lt;=$M121*1.3,"収縮","－")))</f>
      </c>
      <c r="O121" s="681">
        <f>IF($D121="","",IF($L121&gt;(4*STDEVP(終値!F121:Y121)/AVERAGE(終値!F121:Y121)*100),"拡大↑","縮小↓"))</f>
      </c>
      <c r="P121" s="681">
        <f>IF($D121="","",IF($D121&gt;$G121,"↑+2σ突破",IF($D121&lt;$J121,"↓-2σ割れ",IF($D121&gt;$H121,"+1σ上",IF($D121&lt;$I121,"-1σ下","バンド内")))))</f>
      </c>
      <c r="Q121" s="684">
        <f>IF($D121="","",IFERROR(100-100/(1+SUMPRODUCT((終値!E121:R121&gt;終値!F121:S121)*(終値!E121:R121-終値!F121:S121))/SUMPRODUCT((終値!E121:R121&lt;終値!F121:S121)*(終値!F121:S121-終値!E121:R121))),100))</f>
      </c>
      <c r="R121" s="684">
        <f>IF($D121="","",IFERROR(100-100/(1+SUMPRODUCT((((高値!E121:R121+安値!E121:R121+終値!E121:R121)/3)&gt;((高値!F121:S121+安値!F121:S121+終値!F121:S121)/3))*((高値!E121:R121+安値!E121:R121+終値!E121:R121)/3)*出来高!E121:R121)/SUMPRODUCT((((高値!E121:R121+安値!E121:R121+終値!E121:R121)/3)&lt;((高値!F121:S121+安値!F121:S121+終値!F121:S121)/3))*((高値!E121:R121+安値!E121:R121+終値!E121:R121)/3)*出来高!E121:R121)),50))</f>
      </c>
      <c r="S121" s="681">
        <f>IF($D121="","",IF(AND(終値!E121&lt;終値!O121,$Q121&gt;(IFERROR(100-100/(1+SUMPRODUCT((終値!O121:AB121&gt;終値!P121:AC121)*(終値!O121:AB121-終値!P121:AC121))/SUMPRODUCT((終値!O121:AB121&lt;終値!P121:AC121)*(終値!P121:AC121-終値!O121:AB121))),100))),"強気div▲",IF(AND(終値!E121&gt;終値!O121,$Q121&lt;(IFERROR(100-100/(1+SUMPRODUCT((終値!O121:AB121&gt;終値!P121:AC121)*(終値!O121:AB121-終値!P121:AC121))/SUMPRODUCT((終値!O121:AB121&lt;終値!P121:AC121)*(終値!P121:AC121-終値!O121:AB121))),100))),"弱気div▼","－")))</f>
      </c>
      <c r="T121" s="681">
        <f>IF($D121="","",IF($D121&gt;=$H121,"上walk▲",IF($D121&lt;=$I121,"下walk▼","－")))</f>
      </c>
      <c r="U121" s="681">
        <f>IF(終値!A121="","",BB_スイング!BT121)</f>
      </c>
      <c r="V121" s="689">
        <f>IF($D121="","",IFERROR(出来高!E121/AVERAGE(出来高!E121:I121),""))</f>
      </c>
      <c r="W121" s="690">
        <f>IF($D121="","",IF(AND($D121&gt;$G121,$O121="拡大↑",$L121&lt;=$M121*1.8),"◎スクイーズブレイク買",IF(AND($D121&gt;=$H121,$R121&gt;=BB設定!$B$10),"○順張り継続(walk)",IF(AND($S121="強気div▲",$D121&gt;$I121),"○反発(ダイバ)買",IF($U121="二番底W▲","△二番底買(確)",IF($U121="二番底W形成","△二番底形成",IF($D121&lt;$J121,"▼-2σ割れ危険",IF(AND($D121&gt;$E121,$K121&lt;0.6,$R121&gt;=50),"・押し目注目",IF($N121="スクイーズ★","☆スクイーズ監視","様子見")))))))))</f>
      </c>
      <c r="X121" s="685">
        <f>IF($D121="","",MIN(100,IF($L121&lt;=$M121*1.15,20,IF($L121&lt;=$M121*1.4,10,0))+IF($D121&gt;$G121,20,IF($D121&gt;$H121,12,IF($D121&gt;$E121,5,0)))+IF($O121="拡大↑",10,0)+IF($R121&gt;=80,15,IF($R121&gt;=60,10,IF($R121&gt;=50,5,0)))+IF(AND($Q121&gt;=50,$Q121&lt;=70),10,IF($Q121&gt;70,3,IF($Q121&gt;=40,5,0)))+IF($S121="強気div▲",15,0)+IF($T121="上walk▲",5,0)+IF($V121&gt;=2,5,IF($V121&gt;=1.5,3,0))))</f>
      </c>
      <c r="Y121" s="682">
        <f>IF($D121="","",$D121)</f>
      </c>
      <c r="Z121" s="682">
        <f>IF($D121="","",$H121)</f>
      </c>
      <c r="AA121" s="682">
        <f>IF($D121="","",IF($D121&gt;$E121,$E121,$AD121))</f>
      </c>
      <c r="AB121" s="682">
        <f>IF($D121="","",$G121)</f>
      </c>
      <c r="AC121" s="688">
        <f>IF($D121="","",IF(($Y121-$AA121)&lt;=0,"－",IFERROR(ROUND(MIN(20,($AB121-$Y121)/($Y121-$AA121)),2),"－")))</f>
      </c>
      <c r="AD121" s="682">
        <f>IF($D121="","",MIN(終値!E121:I121))</f>
      </c>
      <c r="AE121" s="684">
        <f>IF($D121="","",$X121+(10000-ROW())/100000)</f>
      </c>
    </row>
    <row r="122">
      <c r="A122" s="681">
        <f>IF(終値!A122="","",HYPERLINK("https://kabutan.jp/stock/?code="&amp;終値!A122,"📈"))</f>
      </c>
      <c r="B122" s="681">
        <f>IF(終値!A122="","",終値!A122)</f>
      </c>
      <c r="C122" s="680">
        <f>IF(終値!A122="","",終値!B122)</f>
      </c>
      <c r="D122" s="682">
        <f>IF(終値!A122="","",終値!E122)</f>
      </c>
      <c r="E122" s="682">
        <f>IF($D122="","",AVERAGE(終値!E122:X122))</f>
      </c>
      <c r="F122" s="683">
        <f>IF($D122="","",STDEVP(終値!E122:X122))</f>
      </c>
      <c r="G122" s="682">
        <f>IF($D122="","",$E122+BB設定!$B$4*$F122)</f>
      </c>
      <c r="H122" s="682">
        <f>IF($D122="","",$E122+BB設定!$B$5*$F122)</f>
      </c>
      <c r="I122" s="682">
        <f>IF($D122="","",$E122-BB設定!$B$5*$F122)</f>
      </c>
      <c r="J122" s="682">
        <f>IF($D122="","",$E122-BB設定!$B$4*$F122)</f>
      </c>
      <c r="K122" s="687">
        <f>IF($D122="","",IFERROR(($D122-$J122)/($G122-$J122),""))</f>
      </c>
      <c r="L122" s="686">
        <f>IF($D122="","",IFERROR(($G122-$J122)/$E122*100,""))</f>
      </c>
      <c r="M122" s="686">
        <f>IF($D122="","",IFERROR(MIN(BB_帯幅!B122:AP122)*100,""))</f>
      </c>
      <c r="N122" s="681">
        <f>IF($L122="","",IF($L122&lt;=$M122*BB設定!$B$7,"スクイーズ★",IF($L122&lt;=$M122*1.3,"収縮","－")))</f>
      </c>
      <c r="O122" s="681">
        <f>IF($D122="","",IF($L122&gt;(4*STDEVP(終値!F122:Y122)/AVERAGE(終値!F122:Y122)*100),"拡大↑","縮小↓"))</f>
      </c>
      <c r="P122" s="681">
        <f>IF($D122="","",IF($D122&gt;$G122,"↑+2σ突破",IF($D122&lt;$J122,"↓-2σ割れ",IF($D122&gt;$H122,"+1σ上",IF($D122&lt;$I122,"-1σ下","バンド内")))))</f>
      </c>
      <c r="Q122" s="684">
        <f>IF($D122="","",IFERROR(100-100/(1+SUMPRODUCT((終値!E122:R122&gt;終値!F122:S122)*(終値!E122:R122-終値!F122:S122))/SUMPRODUCT((終値!E122:R122&lt;終値!F122:S122)*(終値!F122:S122-終値!E122:R122))),100))</f>
      </c>
      <c r="R122" s="684">
        <f>IF($D122="","",IFERROR(100-100/(1+SUMPRODUCT((((高値!E122:R122+安値!E122:R122+終値!E122:R122)/3)&gt;((高値!F122:S122+安値!F122:S122+終値!F122:S122)/3))*((高値!E122:R122+安値!E122:R122+終値!E122:R122)/3)*出来高!E122:R122)/SUMPRODUCT((((高値!E122:R122+安値!E122:R122+終値!E122:R122)/3)&lt;((高値!F122:S122+安値!F122:S122+終値!F122:S122)/3))*((高値!E122:R122+安値!E122:R122+終値!E122:R122)/3)*出来高!E122:R122)),50))</f>
      </c>
      <c r="S122" s="681">
        <f>IF($D122="","",IF(AND(終値!E122&lt;終値!O122,$Q122&gt;(IFERROR(100-100/(1+SUMPRODUCT((終値!O122:AB122&gt;終値!P122:AC122)*(終値!O122:AB122-終値!P122:AC122))/SUMPRODUCT((終値!O122:AB122&lt;終値!P122:AC122)*(終値!P122:AC122-終値!O122:AB122))),100))),"強気div▲",IF(AND(終値!E122&gt;終値!O122,$Q122&lt;(IFERROR(100-100/(1+SUMPRODUCT((終値!O122:AB122&gt;終値!P122:AC122)*(終値!O122:AB122-終値!P122:AC122))/SUMPRODUCT((終値!O122:AB122&lt;終値!P122:AC122)*(終値!P122:AC122-終値!O122:AB122))),100))),"弱気div▼","－")))</f>
      </c>
      <c r="T122" s="681">
        <f>IF($D122="","",IF($D122&gt;=$H122,"上walk▲",IF($D122&lt;=$I122,"下walk▼","－")))</f>
      </c>
      <c r="U122" s="681">
        <f>IF(終値!A122="","",BB_スイング!BT122)</f>
      </c>
      <c r="V122" s="689">
        <f>IF($D122="","",IFERROR(出来高!E122/AVERAGE(出来高!E122:I122),""))</f>
      </c>
      <c r="W122" s="690">
        <f>IF($D122="","",IF(AND($D122&gt;$G122,$O122="拡大↑",$L122&lt;=$M122*1.8),"◎スクイーズブレイク買",IF(AND($D122&gt;=$H122,$R122&gt;=BB設定!$B$10),"○順張り継続(walk)",IF(AND($S122="強気div▲",$D122&gt;$I122),"○反発(ダイバ)買",IF($U122="二番底W▲","△二番底買(確)",IF($U122="二番底W形成","△二番底形成",IF($D122&lt;$J122,"▼-2σ割れ危険",IF(AND($D122&gt;$E122,$K122&lt;0.6,$R122&gt;=50),"・押し目注目",IF($N122="スクイーズ★","☆スクイーズ監視","様子見")))))))))</f>
      </c>
      <c r="X122" s="685">
        <f>IF($D122="","",MIN(100,IF($L122&lt;=$M122*1.15,20,IF($L122&lt;=$M122*1.4,10,0))+IF($D122&gt;$G122,20,IF($D122&gt;$H122,12,IF($D122&gt;$E122,5,0)))+IF($O122="拡大↑",10,0)+IF($R122&gt;=80,15,IF($R122&gt;=60,10,IF($R122&gt;=50,5,0)))+IF(AND($Q122&gt;=50,$Q122&lt;=70),10,IF($Q122&gt;70,3,IF($Q122&gt;=40,5,0)))+IF($S122="強気div▲",15,0)+IF($T122="上walk▲",5,0)+IF($V122&gt;=2,5,IF($V122&gt;=1.5,3,0))))</f>
      </c>
      <c r="Y122" s="682">
        <f>IF($D122="","",$D122)</f>
      </c>
      <c r="Z122" s="682">
        <f>IF($D122="","",$H122)</f>
      </c>
      <c r="AA122" s="682">
        <f>IF($D122="","",IF($D122&gt;$E122,$E122,$AD122))</f>
      </c>
      <c r="AB122" s="682">
        <f>IF($D122="","",$G122)</f>
      </c>
      <c r="AC122" s="688">
        <f>IF($D122="","",IF(($Y122-$AA122)&lt;=0,"－",IFERROR(ROUND(MIN(20,($AB122-$Y122)/($Y122-$AA122)),2),"－")))</f>
      </c>
      <c r="AD122" s="682">
        <f>IF($D122="","",MIN(終値!E122:I122))</f>
      </c>
      <c r="AE122" s="684">
        <f>IF($D122="","",$X122+(10000-ROW())/100000)</f>
      </c>
    </row>
    <row r="123">
      <c r="A123" s="681">
        <f>IF(終値!A123="","",HYPERLINK("https://kabutan.jp/stock/?code="&amp;終値!A123,"📈"))</f>
      </c>
      <c r="B123" s="681">
        <f>IF(終値!A123="","",終値!A123)</f>
      </c>
      <c r="C123" s="680">
        <f>IF(終値!A123="","",終値!B123)</f>
      </c>
      <c r="D123" s="682">
        <f>IF(終値!A123="","",終値!E123)</f>
      </c>
      <c r="E123" s="682">
        <f>IF($D123="","",AVERAGE(終値!E123:X123))</f>
      </c>
      <c r="F123" s="683">
        <f>IF($D123="","",STDEVP(終値!E123:X123))</f>
      </c>
      <c r="G123" s="682">
        <f>IF($D123="","",$E123+BB設定!$B$4*$F123)</f>
      </c>
      <c r="H123" s="682">
        <f>IF($D123="","",$E123+BB設定!$B$5*$F123)</f>
      </c>
      <c r="I123" s="682">
        <f>IF($D123="","",$E123-BB設定!$B$5*$F123)</f>
      </c>
      <c r="J123" s="682">
        <f>IF($D123="","",$E123-BB設定!$B$4*$F123)</f>
      </c>
      <c r="K123" s="687">
        <f>IF($D123="","",IFERROR(($D123-$J123)/($G123-$J123),""))</f>
      </c>
      <c r="L123" s="686">
        <f>IF($D123="","",IFERROR(($G123-$J123)/$E123*100,""))</f>
      </c>
      <c r="M123" s="686">
        <f>IF($D123="","",IFERROR(MIN(BB_帯幅!B123:AP123)*100,""))</f>
      </c>
      <c r="N123" s="681">
        <f>IF($L123="","",IF($L123&lt;=$M123*BB設定!$B$7,"スクイーズ★",IF($L123&lt;=$M123*1.3,"収縮","－")))</f>
      </c>
      <c r="O123" s="681">
        <f>IF($D123="","",IF($L123&gt;(4*STDEVP(終値!F123:Y123)/AVERAGE(終値!F123:Y123)*100),"拡大↑","縮小↓"))</f>
      </c>
      <c r="P123" s="681">
        <f>IF($D123="","",IF($D123&gt;$G123,"↑+2σ突破",IF($D123&lt;$J123,"↓-2σ割れ",IF($D123&gt;$H123,"+1σ上",IF($D123&lt;$I123,"-1σ下","バンド内")))))</f>
      </c>
      <c r="Q123" s="684">
        <f>IF($D123="","",IFERROR(100-100/(1+SUMPRODUCT((終値!E123:R123&gt;終値!F123:S123)*(終値!E123:R123-終値!F123:S123))/SUMPRODUCT((終値!E123:R123&lt;終値!F123:S123)*(終値!F123:S123-終値!E123:R123))),100))</f>
      </c>
      <c r="R123" s="684">
        <f>IF($D123="","",IFERROR(100-100/(1+SUMPRODUCT((((高値!E123:R123+安値!E123:R123+終値!E123:R123)/3)&gt;((高値!F123:S123+安値!F123:S123+終値!F123:S123)/3))*((高値!E123:R123+安値!E123:R123+終値!E123:R123)/3)*出来高!E123:R123)/SUMPRODUCT((((高値!E123:R123+安値!E123:R123+終値!E123:R123)/3)&lt;((高値!F123:S123+安値!F123:S123+終値!F123:S123)/3))*((高値!E123:R123+安値!E123:R123+終値!E123:R123)/3)*出来高!E123:R123)),50))</f>
      </c>
      <c r="S123" s="681">
        <f>IF($D123="","",IF(AND(終値!E123&lt;終値!O123,$Q123&gt;(IFERROR(100-100/(1+SUMPRODUCT((終値!O123:AB123&gt;終値!P123:AC123)*(終値!O123:AB123-終値!P123:AC123))/SUMPRODUCT((終値!O123:AB123&lt;終値!P123:AC123)*(終値!P123:AC123-終値!O123:AB123))),100))),"強気div▲",IF(AND(終値!E123&gt;終値!O123,$Q123&lt;(IFERROR(100-100/(1+SUMPRODUCT((終値!O123:AB123&gt;終値!P123:AC123)*(終値!O123:AB123-終値!P123:AC123))/SUMPRODUCT((終値!O123:AB123&lt;終値!P123:AC123)*(終値!P123:AC123-終値!O123:AB123))),100))),"弱気div▼","－")))</f>
      </c>
      <c r="T123" s="681">
        <f>IF($D123="","",IF($D123&gt;=$H123,"上walk▲",IF($D123&lt;=$I123,"下walk▼","－")))</f>
      </c>
      <c r="U123" s="681">
        <f>IF(終値!A123="","",BB_スイング!BT123)</f>
      </c>
      <c r="V123" s="689">
        <f>IF($D123="","",IFERROR(出来高!E123/AVERAGE(出来高!E123:I123),""))</f>
      </c>
      <c r="W123" s="690">
        <f>IF($D123="","",IF(AND($D123&gt;$G123,$O123="拡大↑",$L123&lt;=$M123*1.8),"◎スクイーズブレイク買",IF(AND($D123&gt;=$H123,$R123&gt;=BB設定!$B$10),"○順張り継続(walk)",IF(AND($S123="強気div▲",$D123&gt;$I123),"○反発(ダイバ)買",IF($U123="二番底W▲","△二番底買(確)",IF($U123="二番底W形成","△二番底形成",IF($D123&lt;$J123,"▼-2σ割れ危険",IF(AND($D123&gt;$E123,$K123&lt;0.6,$R123&gt;=50),"・押し目注目",IF($N123="スクイーズ★","☆スクイーズ監視","様子見")))))))))</f>
      </c>
      <c r="X123" s="685">
        <f>IF($D123="","",MIN(100,IF($L123&lt;=$M123*1.15,20,IF($L123&lt;=$M123*1.4,10,0))+IF($D123&gt;$G123,20,IF($D123&gt;$H123,12,IF($D123&gt;$E123,5,0)))+IF($O123="拡大↑",10,0)+IF($R123&gt;=80,15,IF($R123&gt;=60,10,IF($R123&gt;=50,5,0)))+IF(AND($Q123&gt;=50,$Q123&lt;=70),10,IF($Q123&gt;70,3,IF($Q123&gt;=40,5,0)))+IF($S123="強気div▲",15,0)+IF($T123="上walk▲",5,0)+IF($V123&gt;=2,5,IF($V123&gt;=1.5,3,0))))</f>
      </c>
      <c r="Y123" s="682">
        <f>IF($D123="","",$D123)</f>
      </c>
      <c r="Z123" s="682">
        <f>IF($D123="","",$H123)</f>
      </c>
      <c r="AA123" s="682">
        <f>IF($D123="","",IF($D123&gt;$E123,$E123,$AD123))</f>
      </c>
      <c r="AB123" s="682">
        <f>IF($D123="","",$G123)</f>
      </c>
      <c r="AC123" s="688">
        <f>IF($D123="","",IF(($Y123-$AA123)&lt;=0,"－",IFERROR(ROUND(MIN(20,($AB123-$Y123)/($Y123-$AA123)),2),"－")))</f>
      </c>
      <c r="AD123" s="682">
        <f>IF($D123="","",MIN(終値!E123:I123))</f>
      </c>
      <c r="AE123" s="684">
        <f>IF($D123="","",$X123+(10000-ROW())/100000)</f>
      </c>
    </row>
    <row r="124">
      <c r="A124" s="681">
        <f>IF(終値!A124="","",HYPERLINK("https://kabutan.jp/stock/?code="&amp;終値!A124,"📈"))</f>
      </c>
      <c r="B124" s="681">
        <f>IF(終値!A124="","",終値!A124)</f>
      </c>
      <c r="C124" s="680">
        <f>IF(終値!A124="","",終値!B124)</f>
      </c>
      <c r="D124" s="682">
        <f>IF(終値!A124="","",終値!E124)</f>
      </c>
      <c r="E124" s="682">
        <f>IF($D124="","",AVERAGE(終値!E124:X124))</f>
      </c>
      <c r="F124" s="683">
        <f>IF($D124="","",STDEVP(終値!E124:X124))</f>
      </c>
      <c r="G124" s="682">
        <f>IF($D124="","",$E124+BB設定!$B$4*$F124)</f>
      </c>
      <c r="H124" s="682">
        <f>IF($D124="","",$E124+BB設定!$B$5*$F124)</f>
      </c>
      <c r="I124" s="682">
        <f>IF($D124="","",$E124-BB設定!$B$5*$F124)</f>
      </c>
      <c r="J124" s="682">
        <f>IF($D124="","",$E124-BB設定!$B$4*$F124)</f>
      </c>
      <c r="K124" s="687">
        <f>IF($D124="","",IFERROR(($D124-$J124)/($G124-$J124),""))</f>
      </c>
      <c r="L124" s="686">
        <f>IF($D124="","",IFERROR(($G124-$J124)/$E124*100,""))</f>
      </c>
      <c r="M124" s="686">
        <f>IF($D124="","",IFERROR(MIN(BB_帯幅!B124:AP124)*100,""))</f>
      </c>
      <c r="N124" s="681">
        <f>IF($L124="","",IF($L124&lt;=$M124*BB設定!$B$7,"スクイーズ★",IF($L124&lt;=$M124*1.3,"収縮","－")))</f>
      </c>
      <c r="O124" s="681">
        <f>IF($D124="","",IF($L124&gt;(4*STDEVP(終値!F124:Y124)/AVERAGE(終値!F124:Y124)*100),"拡大↑","縮小↓"))</f>
      </c>
      <c r="P124" s="681">
        <f>IF($D124="","",IF($D124&gt;$G124,"↑+2σ突破",IF($D124&lt;$J124,"↓-2σ割れ",IF($D124&gt;$H124,"+1σ上",IF($D124&lt;$I124,"-1σ下","バンド内")))))</f>
      </c>
      <c r="Q124" s="684">
        <f>IF($D124="","",IFERROR(100-100/(1+SUMPRODUCT((終値!E124:R124&gt;終値!F124:S124)*(終値!E124:R124-終値!F124:S124))/SUMPRODUCT((終値!E124:R124&lt;終値!F124:S124)*(終値!F124:S124-終値!E124:R124))),100))</f>
      </c>
      <c r="R124" s="684">
        <f>IF($D124="","",IFERROR(100-100/(1+SUMPRODUCT((((高値!E124:R124+安値!E124:R124+終値!E124:R124)/3)&gt;((高値!F124:S124+安値!F124:S124+終値!F124:S124)/3))*((高値!E124:R124+安値!E124:R124+終値!E124:R124)/3)*出来高!E124:R124)/SUMPRODUCT((((高値!E124:R124+安値!E124:R124+終値!E124:R124)/3)&lt;((高値!F124:S124+安値!F124:S124+終値!F124:S124)/3))*((高値!E124:R124+安値!E124:R124+終値!E124:R124)/3)*出来高!E124:R124)),50))</f>
      </c>
      <c r="S124" s="681">
        <f>IF($D124="","",IF(AND(終値!E124&lt;終値!O124,$Q124&gt;(IFERROR(100-100/(1+SUMPRODUCT((終値!O124:AB124&gt;終値!P124:AC124)*(終値!O124:AB124-終値!P124:AC124))/SUMPRODUCT((終値!O124:AB124&lt;終値!P124:AC124)*(終値!P124:AC124-終値!O124:AB124))),100))),"強気div▲",IF(AND(終値!E124&gt;終値!O124,$Q124&lt;(IFERROR(100-100/(1+SUMPRODUCT((終値!O124:AB124&gt;終値!P124:AC124)*(終値!O124:AB124-終値!P124:AC124))/SUMPRODUCT((終値!O124:AB124&lt;終値!P124:AC124)*(終値!P124:AC124-終値!O124:AB124))),100))),"弱気div▼","－")))</f>
      </c>
      <c r="T124" s="681">
        <f>IF($D124="","",IF($D124&gt;=$H124,"上walk▲",IF($D124&lt;=$I124,"下walk▼","－")))</f>
      </c>
      <c r="U124" s="681">
        <f>IF(終値!A124="","",BB_スイング!BT124)</f>
      </c>
      <c r="V124" s="689">
        <f>IF($D124="","",IFERROR(出来高!E124/AVERAGE(出来高!E124:I124),""))</f>
      </c>
      <c r="W124" s="690">
        <f>IF($D124="","",IF(AND($D124&gt;$G124,$O124="拡大↑",$L124&lt;=$M124*1.8),"◎スクイーズブレイク買",IF(AND($D124&gt;=$H124,$R124&gt;=BB設定!$B$10),"○順張り継続(walk)",IF(AND($S124="強気div▲",$D124&gt;$I124),"○反発(ダイバ)買",IF($U124="二番底W▲","△二番底買(確)",IF($U124="二番底W形成","△二番底形成",IF($D124&lt;$J124,"▼-2σ割れ危険",IF(AND($D124&gt;$E124,$K124&lt;0.6,$R124&gt;=50),"・押し目注目",IF($N124="スクイーズ★","☆スクイーズ監視","様子見")))))))))</f>
      </c>
      <c r="X124" s="685">
        <f>IF($D124="","",MIN(100,IF($L124&lt;=$M124*1.15,20,IF($L124&lt;=$M124*1.4,10,0))+IF($D124&gt;$G124,20,IF($D124&gt;$H124,12,IF($D124&gt;$E124,5,0)))+IF($O124="拡大↑",10,0)+IF($R124&gt;=80,15,IF($R124&gt;=60,10,IF($R124&gt;=50,5,0)))+IF(AND($Q124&gt;=50,$Q124&lt;=70),10,IF($Q124&gt;70,3,IF($Q124&gt;=40,5,0)))+IF($S124="強気div▲",15,0)+IF($T124="上walk▲",5,0)+IF($V124&gt;=2,5,IF($V124&gt;=1.5,3,0))))</f>
      </c>
      <c r="Y124" s="682">
        <f>IF($D124="","",$D124)</f>
      </c>
      <c r="Z124" s="682">
        <f>IF($D124="","",$H124)</f>
      </c>
      <c r="AA124" s="682">
        <f>IF($D124="","",IF($D124&gt;$E124,$E124,$AD124))</f>
      </c>
      <c r="AB124" s="682">
        <f>IF($D124="","",$G124)</f>
      </c>
      <c r="AC124" s="688">
        <f>IF($D124="","",IF(($Y124-$AA124)&lt;=0,"－",IFERROR(ROUND(MIN(20,($AB124-$Y124)/($Y124-$AA124)),2),"－")))</f>
      </c>
      <c r="AD124" s="682">
        <f>IF($D124="","",MIN(終値!E124:I124))</f>
      </c>
      <c r="AE124" s="684">
        <f>IF($D124="","",$X124+(10000-ROW())/100000)</f>
      </c>
    </row>
    <row r="125">
      <c r="A125" s="681">
        <f>IF(終値!A125="","",HYPERLINK("https://kabutan.jp/stock/?code="&amp;終値!A125,"📈"))</f>
      </c>
      <c r="B125" s="681">
        <f>IF(終値!A125="","",終値!A125)</f>
      </c>
      <c r="C125" s="680">
        <f>IF(終値!A125="","",終値!B125)</f>
      </c>
      <c r="D125" s="682">
        <f>IF(終値!A125="","",終値!E125)</f>
      </c>
      <c r="E125" s="682">
        <f>IF($D125="","",AVERAGE(終値!E125:X125))</f>
      </c>
      <c r="F125" s="683">
        <f>IF($D125="","",STDEVP(終値!E125:X125))</f>
      </c>
      <c r="G125" s="682">
        <f>IF($D125="","",$E125+BB設定!$B$4*$F125)</f>
      </c>
      <c r="H125" s="682">
        <f>IF($D125="","",$E125+BB設定!$B$5*$F125)</f>
      </c>
      <c r="I125" s="682">
        <f>IF($D125="","",$E125-BB設定!$B$5*$F125)</f>
      </c>
      <c r="J125" s="682">
        <f>IF($D125="","",$E125-BB設定!$B$4*$F125)</f>
      </c>
      <c r="K125" s="687">
        <f>IF($D125="","",IFERROR(($D125-$J125)/($G125-$J125),""))</f>
      </c>
      <c r="L125" s="686">
        <f>IF($D125="","",IFERROR(($G125-$J125)/$E125*100,""))</f>
      </c>
      <c r="M125" s="686">
        <f>IF($D125="","",IFERROR(MIN(BB_帯幅!B125:AP125)*100,""))</f>
      </c>
      <c r="N125" s="681">
        <f>IF($L125="","",IF($L125&lt;=$M125*BB設定!$B$7,"スクイーズ★",IF($L125&lt;=$M125*1.3,"収縮","－")))</f>
      </c>
      <c r="O125" s="681">
        <f>IF($D125="","",IF($L125&gt;(4*STDEVP(終値!F125:Y125)/AVERAGE(終値!F125:Y125)*100),"拡大↑","縮小↓"))</f>
      </c>
      <c r="P125" s="681">
        <f>IF($D125="","",IF($D125&gt;$G125,"↑+2σ突破",IF($D125&lt;$J125,"↓-2σ割れ",IF($D125&gt;$H125,"+1σ上",IF($D125&lt;$I125,"-1σ下","バンド内")))))</f>
      </c>
      <c r="Q125" s="684">
        <f>IF($D125="","",IFERROR(100-100/(1+SUMPRODUCT((終値!E125:R125&gt;終値!F125:S125)*(終値!E125:R125-終値!F125:S125))/SUMPRODUCT((終値!E125:R125&lt;終値!F125:S125)*(終値!F125:S125-終値!E125:R125))),100))</f>
      </c>
      <c r="R125" s="684">
        <f>IF($D125="","",IFERROR(100-100/(1+SUMPRODUCT((((高値!E125:R125+安値!E125:R125+終値!E125:R125)/3)&gt;((高値!F125:S125+安値!F125:S125+終値!F125:S125)/3))*((高値!E125:R125+安値!E125:R125+終値!E125:R125)/3)*出来高!E125:R125)/SUMPRODUCT((((高値!E125:R125+安値!E125:R125+終値!E125:R125)/3)&lt;((高値!F125:S125+安値!F125:S125+終値!F125:S125)/3))*((高値!E125:R125+安値!E125:R125+終値!E125:R125)/3)*出来高!E125:R125)),50))</f>
      </c>
      <c r="S125" s="681">
        <f>IF($D125="","",IF(AND(終値!E125&lt;終値!O125,$Q125&gt;(IFERROR(100-100/(1+SUMPRODUCT((終値!O125:AB125&gt;終値!P125:AC125)*(終値!O125:AB125-終値!P125:AC125))/SUMPRODUCT((終値!O125:AB125&lt;終値!P125:AC125)*(終値!P125:AC125-終値!O125:AB125))),100))),"強気div▲",IF(AND(終値!E125&gt;終値!O125,$Q125&lt;(IFERROR(100-100/(1+SUMPRODUCT((終値!O125:AB125&gt;終値!P125:AC125)*(終値!O125:AB125-終値!P125:AC125))/SUMPRODUCT((終値!O125:AB125&lt;終値!P125:AC125)*(終値!P125:AC125-終値!O125:AB125))),100))),"弱気div▼","－")))</f>
      </c>
      <c r="T125" s="681">
        <f>IF($D125="","",IF($D125&gt;=$H125,"上walk▲",IF($D125&lt;=$I125,"下walk▼","－")))</f>
      </c>
      <c r="U125" s="681">
        <f>IF(終値!A125="","",BB_スイング!BT125)</f>
      </c>
      <c r="V125" s="689">
        <f>IF($D125="","",IFERROR(出来高!E125/AVERAGE(出来高!E125:I125),""))</f>
      </c>
      <c r="W125" s="690">
        <f>IF($D125="","",IF(AND($D125&gt;$G125,$O125="拡大↑",$L125&lt;=$M125*1.8),"◎スクイーズブレイク買",IF(AND($D125&gt;=$H125,$R125&gt;=BB設定!$B$10),"○順張り継続(walk)",IF(AND($S125="強気div▲",$D125&gt;$I125),"○反発(ダイバ)買",IF($U125="二番底W▲","△二番底買(確)",IF($U125="二番底W形成","△二番底形成",IF($D125&lt;$J125,"▼-2σ割れ危険",IF(AND($D125&gt;$E125,$K125&lt;0.6,$R125&gt;=50),"・押し目注目",IF($N125="スクイーズ★","☆スクイーズ監視","様子見")))))))))</f>
      </c>
      <c r="X125" s="685">
        <f>IF($D125="","",MIN(100,IF($L125&lt;=$M125*1.15,20,IF($L125&lt;=$M125*1.4,10,0))+IF($D125&gt;$G125,20,IF($D125&gt;$H125,12,IF($D125&gt;$E125,5,0)))+IF($O125="拡大↑",10,0)+IF($R125&gt;=80,15,IF($R125&gt;=60,10,IF($R125&gt;=50,5,0)))+IF(AND($Q125&gt;=50,$Q125&lt;=70),10,IF($Q125&gt;70,3,IF($Q125&gt;=40,5,0)))+IF($S125="強気div▲",15,0)+IF($T125="上walk▲",5,0)+IF($V125&gt;=2,5,IF($V125&gt;=1.5,3,0))))</f>
      </c>
      <c r="Y125" s="682">
        <f>IF($D125="","",$D125)</f>
      </c>
      <c r="Z125" s="682">
        <f>IF($D125="","",$H125)</f>
      </c>
      <c r="AA125" s="682">
        <f>IF($D125="","",IF($D125&gt;$E125,$E125,$AD125))</f>
      </c>
      <c r="AB125" s="682">
        <f>IF($D125="","",$G125)</f>
      </c>
      <c r="AC125" s="688">
        <f>IF($D125="","",IF(($Y125-$AA125)&lt;=0,"－",IFERROR(ROUND(MIN(20,($AB125-$Y125)/($Y125-$AA125)),2),"－")))</f>
      </c>
      <c r="AD125" s="682">
        <f>IF($D125="","",MIN(終値!E125:I125))</f>
      </c>
      <c r="AE125" s="684">
        <f>IF($D125="","",$X125+(10000-ROW())/100000)</f>
      </c>
    </row>
    <row r="126">
      <c r="A126" s="681">
        <f>IF(終値!A126="","",HYPERLINK("https://kabutan.jp/stock/?code="&amp;終値!A126,"📈"))</f>
      </c>
      <c r="B126" s="681">
        <f>IF(終値!A126="","",終値!A126)</f>
      </c>
      <c r="C126" s="680">
        <f>IF(終値!A126="","",終値!B126)</f>
      </c>
      <c r="D126" s="682">
        <f>IF(終値!A126="","",終値!E126)</f>
      </c>
      <c r="E126" s="682">
        <f>IF($D126="","",AVERAGE(終値!E126:X126))</f>
      </c>
      <c r="F126" s="683">
        <f>IF($D126="","",STDEVP(終値!E126:X126))</f>
      </c>
      <c r="G126" s="682">
        <f>IF($D126="","",$E126+BB設定!$B$4*$F126)</f>
      </c>
      <c r="H126" s="682">
        <f>IF($D126="","",$E126+BB設定!$B$5*$F126)</f>
      </c>
      <c r="I126" s="682">
        <f>IF($D126="","",$E126-BB設定!$B$5*$F126)</f>
      </c>
      <c r="J126" s="682">
        <f>IF($D126="","",$E126-BB設定!$B$4*$F126)</f>
      </c>
      <c r="K126" s="687">
        <f>IF($D126="","",IFERROR(($D126-$J126)/($G126-$J126),""))</f>
      </c>
      <c r="L126" s="686">
        <f>IF($D126="","",IFERROR(($G126-$J126)/$E126*100,""))</f>
      </c>
      <c r="M126" s="686">
        <f>IF($D126="","",IFERROR(MIN(BB_帯幅!B126:AP126)*100,""))</f>
      </c>
      <c r="N126" s="681">
        <f>IF($L126="","",IF($L126&lt;=$M126*BB設定!$B$7,"スクイーズ★",IF($L126&lt;=$M126*1.3,"収縮","－")))</f>
      </c>
      <c r="O126" s="681">
        <f>IF($D126="","",IF($L126&gt;(4*STDEVP(終値!F126:Y126)/AVERAGE(終値!F126:Y126)*100),"拡大↑","縮小↓"))</f>
      </c>
      <c r="P126" s="681">
        <f>IF($D126="","",IF($D126&gt;$G126,"↑+2σ突破",IF($D126&lt;$J126,"↓-2σ割れ",IF($D126&gt;$H126,"+1σ上",IF($D126&lt;$I126,"-1σ下","バンド内")))))</f>
      </c>
      <c r="Q126" s="684">
        <f>IF($D126="","",IFERROR(100-100/(1+SUMPRODUCT((終値!E126:R126&gt;終値!F126:S126)*(終値!E126:R126-終値!F126:S126))/SUMPRODUCT((終値!E126:R126&lt;終値!F126:S126)*(終値!F126:S126-終値!E126:R126))),100))</f>
      </c>
      <c r="R126" s="684">
        <f>IF($D126="","",IFERROR(100-100/(1+SUMPRODUCT((((高値!E126:R126+安値!E126:R126+終値!E126:R126)/3)&gt;((高値!F126:S126+安値!F126:S126+終値!F126:S126)/3))*((高値!E126:R126+安値!E126:R126+終値!E126:R126)/3)*出来高!E126:R126)/SUMPRODUCT((((高値!E126:R126+安値!E126:R126+終値!E126:R126)/3)&lt;((高値!F126:S126+安値!F126:S126+終値!F126:S126)/3))*((高値!E126:R126+安値!E126:R126+終値!E126:R126)/3)*出来高!E126:R126)),50))</f>
      </c>
      <c r="S126" s="681">
        <f>IF($D126="","",IF(AND(終値!E126&lt;終値!O126,$Q126&gt;(IFERROR(100-100/(1+SUMPRODUCT((終値!O126:AB126&gt;終値!P126:AC126)*(終値!O126:AB126-終値!P126:AC126))/SUMPRODUCT((終値!O126:AB126&lt;終値!P126:AC126)*(終値!P126:AC126-終値!O126:AB126))),100))),"強気div▲",IF(AND(終値!E126&gt;終値!O126,$Q126&lt;(IFERROR(100-100/(1+SUMPRODUCT((終値!O126:AB126&gt;終値!P126:AC126)*(終値!O126:AB126-終値!P126:AC126))/SUMPRODUCT((終値!O126:AB126&lt;終値!P126:AC126)*(終値!P126:AC126-終値!O126:AB126))),100))),"弱気div▼","－")))</f>
      </c>
      <c r="T126" s="681">
        <f>IF($D126="","",IF($D126&gt;=$H126,"上walk▲",IF($D126&lt;=$I126,"下walk▼","－")))</f>
      </c>
      <c r="U126" s="681">
        <f>IF(終値!A126="","",BB_スイング!BT126)</f>
      </c>
      <c r="V126" s="689">
        <f>IF($D126="","",IFERROR(出来高!E126/AVERAGE(出来高!E126:I126),""))</f>
      </c>
      <c r="W126" s="690">
        <f>IF($D126="","",IF(AND($D126&gt;$G126,$O126="拡大↑",$L126&lt;=$M126*1.8),"◎スクイーズブレイク買",IF(AND($D126&gt;=$H126,$R126&gt;=BB設定!$B$10),"○順張り継続(walk)",IF(AND($S126="強気div▲",$D126&gt;$I126),"○反発(ダイバ)買",IF($U126="二番底W▲","△二番底買(確)",IF($U126="二番底W形成","△二番底形成",IF($D126&lt;$J126,"▼-2σ割れ危険",IF(AND($D126&gt;$E126,$K126&lt;0.6,$R126&gt;=50),"・押し目注目",IF($N126="スクイーズ★","☆スクイーズ監視","様子見")))))))))</f>
      </c>
      <c r="X126" s="685">
        <f>IF($D126="","",MIN(100,IF($L126&lt;=$M126*1.15,20,IF($L126&lt;=$M126*1.4,10,0))+IF($D126&gt;$G126,20,IF($D126&gt;$H126,12,IF($D126&gt;$E126,5,0)))+IF($O126="拡大↑",10,0)+IF($R126&gt;=80,15,IF($R126&gt;=60,10,IF($R126&gt;=50,5,0)))+IF(AND($Q126&gt;=50,$Q126&lt;=70),10,IF($Q126&gt;70,3,IF($Q126&gt;=40,5,0)))+IF($S126="強気div▲",15,0)+IF($T126="上walk▲",5,0)+IF($V126&gt;=2,5,IF($V126&gt;=1.5,3,0))))</f>
      </c>
      <c r="Y126" s="682">
        <f>IF($D126="","",$D126)</f>
      </c>
      <c r="Z126" s="682">
        <f>IF($D126="","",$H126)</f>
      </c>
      <c r="AA126" s="682">
        <f>IF($D126="","",IF($D126&gt;$E126,$E126,$AD126))</f>
      </c>
      <c r="AB126" s="682">
        <f>IF($D126="","",$G126)</f>
      </c>
      <c r="AC126" s="688">
        <f>IF($D126="","",IF(($Y126-$AA126)&lt;=0,"－",IFERROR(ROUND(MIN(20,($AB126-$Y126)/($Y126-$AA126)),2),"－")))</f>
      </c>
      <c r="AD126" s="682">
        <f>IF($D126="","",MIN(終値!E126:I126))</f>
      </c>
      <c r="AE126" s="684">
        <f>IF($D126="","",$X126+(10000-ROW())/100000)</f>
      </c>
    </row>
    <row r="127">
      <c r="A127" s="681">
        <f>IF(終値!A127="","",HYPERLINK("https://kabutan.jp/stock/?code="&amp;終値!A127,"📈"))</f>
      </c>
      <c r="B127" s="681">
        <f>IF(終値!A127="","",終値!A127)</f>
      </c>
      <c r="C127" s="680">
        <f>IF(終値!A127="","",終値!B127)</f>
      </c>
      <c r="D127" s="682">
        <f>IF(終値!A127="","",終値!E127)</f>
      </c>
      <c r="E127" s="682">
        <f>IF($D127="","",AVERAGE(終値!E127:X127))</f>
      </c>
      <c r="F127" s="683">
        <f>IF($D127="","",STDEVP(終値!E127:X127))</f>
      </c>
      <c r="G127" s="682">
        <f>IF($D127="","",$E127+BB設定!$B$4*$F127)</f>
      </c>
      <c r="H127" s="682">
        <f>IF($D127="","",$E127+BB設定!$B$5*$F127)</f>
      </c>
      <c r="I127" s="682">
        <f>IF($D127="","",$E127-BB設定!$B$5*$F127)</f>
      </c>
      <c r="J127" s="682">
        <f>IF($D127="","",$E127-BB設定!$B$4*$F127)</f>
      </c>
      <c r="K127" s="687">
        <f>IF($D127="","",IFERROR(($D127-$J127)/($G127-$J127),""))</f>
      </c>
      <c r="L127" s="686">
        <f>IF($D127="","",IFERROR(($G127-$J127)/$E127*100,""))</f>
      </c>
      <c r="M127" s="686">
        <f>IF($D127="","",IFERROR(MIN(BB_帯幅!B127:AP127)*100,""))</f>
      </c>
      <c r="N127" s="681">
        <f>IF($L127="","",IF($L127&lt;=$M127*BB設定!$B$7,"スクイーズ★",IF($L127&lt;=$M127*1.3,"収縮","－")))</f>
      </c>
      <c r="O127" s="681">
        <f>IF($D127="","",IF($L127&gt;(4*STDEVP(終値!F127:Y127)/AVERAGE(終値!F127:Y127)*100),"拡大↑","縮小↓"))</f>
      </c>
      <c r="P127" s="681">
        <f>IF($D127="","",IF($D127&gt;$G127,"↑+2σ突破",IF($D127&lt;$J127,"↓-2σ割れ",IF($D127&gt;$H127,"+1σ上",IF($D127&lt;$I127,"-1σ下","バンド内")))))</f>
      </c>
      <c r="Q127" s="684">
        <f>IF($D127="","",IFERROR(100-100/(1+SUMPRODUCT((終値!E127:R127&gt;終値!F127:S127)*(終値!E127:R127-終値!F127:S127))/SUMPRODUCT((終値!E127:R127&lt;終値!F127:S127)*(終値!F127:S127-終値!E127:R127))),100))</f>
      </c>
      <c r="R127" s="684">
        <f>IF($D127="","",IFERROR(100-100/(1+SUMPRODUCT((((高値!E127:R127+安値!E127:R127+終値!E127:R127)/3)&gt;((高値!F127:S127+安値!F127:S127+終値!F127:S127)/3))*((高値!E127:R127+安値!E127:R127+終値!E127:R127)/3)*出来高!E127:R127)/SUMPRODUCT((((高値!E127:R127+安値!E127:R127+終値!E127:R127)/3)&lt;((高値!F127:S127+安値!F127:S127+終値!F127:S127)/3))*((高値!E127:R127+安値!E127:R127+終値!E127:R127)/3)*出来高!E127:R127)),50))</f>
      </c>
      <c r="S127" s="681">
        <f>IF($D127="","",IF(AND(終値!E127&lt;終値!O127,$Q127&gt;(IFERROR(100-100/(1+SUMPRODUCT((終値!O127:AB127&gt;終値!P127:AC127)*(終値!O127:AB127-終値!P127:AC127))/SUMPRODUCT((終値!O127:AB127&lt;終値!P127:AC127)*(終値!P127:AC127-終値!O127:AB127))),100))),"強気div▲",IF(AND(終値!E127&gt;終値!O127,$Q127&lt;(IFERROR(100-100/(1+SUMPRODUCT((終値!O127:AB127&gt;終値!P127:AC127)*(終値!O127:AB127-終値!P127:AC127))/SUMPRODUCT((終値!O127:AB127&lt;終値!P127:AC127)*(終値!P127:AC127-終値!O127:AB127))),100))),"弱気div▼","－")))</f>
      </c>
      <c r="T127" s="681">
        <f>IF($D127="","",IF($D127&gt;=$H127,"上walk▲",IF($D127&lt;=$I127,"下walk▼","－")))</f>
      </c>
      <c r="U127" s="681">
        <f>IF(終値!A127="","",BB_スイング!BT127)</f>
      </c>
      <c r="V127" s="689">
        <f>IF($D127="","",IFERROR(出来高!E127/AVERAGE(出来高!E127:I127),""))</f>
      </c>
      <c r="W127" s="690">
        <f>IF($D127="","",IF(AND($D127&gt;$G127,$O127="拡大↑",$L127&lt;=$M127*1.8),"◎スクイーズブレイク買",IF(AND($D127&gt;=$H127,$R127&gt;=BB設定!$B$10),"○順張り継続(walk)",IF(AND($S127="強気div▲",$D127&gt;$I127),"○反発(ダイバ)買",IF($U127="二番底W▲","△二番底買(確)",IF($U127="二番底W形成","△二番底形成",IF($D127&lt;$J127,"▼-2σ割れ危険",IF(AND($D127&gt;$E127,$K127&lt;0.6,$R127&gt;=50),"・押し目注目",IF($N127="スクイーズ★","☆スクイーズ監視","様子見")))))))))</f>
      </c>
      <c r="X127" s="685">
        <f>IF($D127="","",MIN(100,IF($L127&lt;=$M127*1.15,20,IF($L127&lt;=$M127*1.4,10,0))+IF($D127&gt;$G127,20,IF($D127&gt;$H127,12,IF($D127&gt;$E127,5,0)))+IF($O127="拡大↑",10,0)+IF($R127&gt;=80,15,IF($R127&gt;=60,10,IF($R127&gt;=50,5,0)))+IF(AND($Q127&gt;=50,$Q127&lt;=70),10,IF($Q127&gt;70,3,IF($Q127&gt;=40,5,0)))+IF($S127="強気div▲",15,0)+IF($T127="上walk▲",5,0)+IF($V127&gt;=2,5,IF($V127&gt;=1.5,3,0))))</f>
      </c>
      <c r="Y127" s="682">
        <f>IF($D127="","",$D127)</f>
      </c>
      <c r="Z127" s="682">
        <f>IF($D127="","",$H127)</f>
      </c>
      <c r="AA127" s="682">
        <f>IF($D127="","",IF($D127&gt;$E127,$E127,$AD127))</f>
      </c>
      <c r="AB127" s="682">
        <f>IF($D127="","",$G127)</f>
      </c>
      <c r="AC127" s="688">
        <f>IF($D127="","",IF(($Y127-$AA127)&lt;=0,"－",IFERROR(ROUND(MIN(20,($AB127-$Y127)/($Y127-$AA127)),2),"－")))</f>
      </c>
      <c r="AD127" s="682">
        <f>IF($D127="","",MIN(終値!E127:I127))</f>
      </c>
      <c r="AE127" s="684">
        <f>IF($D127="","",$X127+(10000-ROW())/100000)</f>
      </c>
    </row>
    <row r="128">
      <c r="A128" s="681">
        <f>IF(終値!A128="","",HYPERLINK("https://kabutan.jp/stock/?code="&amp;終値!A128,"📈"))</f>
      </c>
      <c r="B128" s="681">
        <f>IF(終値!A128="","",終値!A128)</f>
      </c>
      <c r="C128" s="680">
        <f>IF(終値!A128="","",終値!B128)</f>
      </c>
      <c r="D128" s="682">
        <f>IF(終値!A128="","",終値!E128)</f>
      </c>
      <c r="E128" s="682">
        <f>IF($D128="","",AVERAGE(終値!E128:X128))</f>
      </c>
      <c r="F128" s="683">
        <f>IF($D128="","",STDEVP(終値!E128:X128))</f>
      </c>
      <c r="G128" s="682">
        <f>IF($D128="","",$E128+BB設定!$B$4*$F128)</f>
      </c>
      <c r="H128" s="682">
        <f>IF($D128="","",$E128+BB設定!$B$5*$F128)</f>
      </c>
      <c r="I128" s="682">
        <f>IF($D128="","",$E128-BB設定!$B$5*$F128)</f>
      </c>
      <c r="J128" s="682">
        <f>IF($D128="","",$E128-BB設定!$B$4*$F128)</f>
      </c>
      <c r="K128" s="687">
        <f>IF($D128="","",IFERROR(($D128-$J128)/($G128-$J128),""))</f>
      </c>
      <c r="L128" s="686">
        <f>IF($D128="","",IFERROR(($G128-$J128)/$E128*100,""))</f>
      </c>
      <c r="M128" s="686">
        <f>IF($D128="","",IFERROR(MIN(BB_帯幅!B128:AP128)*100,""))</f>
      </c>
      <c r="N128" s="681">
        <f>IF($L128="","",IF($L128&lt;=$M128*BB設定!$B$7,"スクイーズ★",IF($L128&lt;=$M128*1.3,"収縮","－")))</f>
      </c>
      <c r="O128" s="681">
        <f>IF($D128="","",IF($L128&gt;(4*STDEVP(終値!F128:Y128)/AVERAGE(終値!F128:Y128)*100),"拡大↑","縮小↓"))</f>
      </c>
      <c r="P128" s="681">
        <f>IF($D128="","",IF($D128&gt;$G128,"↑+2σ突破",IF($D128&lt;$J128,"↓-2σ割れ",IF($D128&gt;$H128,"+1σ上",IF($D128&lt;$I128,"-1σ下","バンド内")))))</f>
      </c>
      <c r="Q128" s="684">
        <f>IF($D128="","",IFERROR(100-100/(1+SUMPRODUCT((終値!E128:R128&gt;終値!F128:S128)*(終値!E128:R128-終値!F128:S128))/SUMPRODUCT((終値!E128:R128&lt;終値!F128:S128)*(終値!F128:S128-終値!E128:R128))),100))</f>
      </c>
      <c r="R128" s="684">
        <f>IF($D128="","",IFERROR(100-100/(1+SUMPRODUCT((((高値!E128:R128+安値!E128:R128+終値!E128:R128)/3)&gt;((高値!F128:S128+安値!F128:S128+終値!F128:S128)/3))*((高値!E128:R128+安値!E128:R128+終値!E128:R128)/3)*出来高!E128:R128)/SUMPRODUCT((((高値!E128:R128+安値!E128:R128+終値!E128:R128)/3)&lt;((高値!F128:S128+安値!F128:S128+終値!F128:S128)/3))*((高値!E128:R128+安値!E128:R128+終値!E128:R128)/3)*出来高!E128:R128)),50))</f>
      </c>
      <c r="S128" s="681">
        <f>IF($D128="","",IF(AND(終値!E128&lt;終値!O128,$Q128&gt;(IFERROR(100-100/(1+SUMPRODUCT((終値!O128:AB128&gt;終値!P128:AC128)*(終値!O128:AB128-終値!P128:AC128))/SUMPRODUCT((終値!O128:AB128&lt;終値!P128:AC128)*(終値!P128:AC128-終値!O128:AB128))),100))),"強気div▲",IF(AND(終値!E128&gt;終値!O128,$Q128&lt;(IFERROR(100-100/(1+SUMPRODUCT((終値!O128:AB128&gt;終値!P128:AC128)*(終値!O128:AB128-終値!P128:AC128))/SUMPRODUCT((終値!O128:AB128&lt;終値!P128:AC128)*(終値!P128:AC128-終値!O128:AB128))),100))),"弱気div▼","－")))</f>
      </c>
      <c r="T128" s="681">
        <f>IF($D128="","",IF($D128&gt;=$H128,"上walk▲",IF($D128&lt;=$I128,"下walk▼","－")))</f>
      </c>
      <c r="U128" s="681">
        <f>IF(終値!A128="","",BB_スイング!BT128)</f>
      </c>
      <c r="V128" s="689">
        <f>IF($D128="","",IFERROR(出来高!E128/AVERAGE(出来高!E128:I128),""))</f>
      </c>
      <c r="W128" s="690">
        <f>IF($D128="","",IF(AND($D128&gt;$G128,$O128="拡大↑",$L128&lt;=$M128*1.8),"◎スクイーズブレイク買",IF(AND($D128&gt;=$H128,$R128&gt;=BB設定!$B$10),"○順張り継続(walk)",IF(AND($S128="強気div▲",$D128&gt;$I128),"○反発(ダイバ)買",IF($U128="二番底W▲","△二番底買(確)",IF($U128="二番底W形成","△二番底形成",IF($D128&lt;$J128,"▼-2σ割れ危険",IF(AND($D128&gt;$E128,$K128&lt;0.6,$R128&gt;=50),"・押し目注目",IF($N128="スクイーズ★","☆スクイーズ監視","様子見")))))))))</f>
      </c>
      <c r="X128" s="685">
        <f>IF($D128="","",MIN(100,IF($L128&lt;=$M128*1.15,20,IF($L128&lt;=$M128*1.4,10,0))+IF($D128&gt;$G128,20,IF($D128&gt;$H128,12,IF($D128&gt;$E128,5,0)))+IF($O128="拡大↑",10,0)+IF($R128&gt;=80,15,IF($R128&gt;=60,10,IF($R128&gt;=50,5,0)))+IF(AND($Q128&gt;=50,$Q128&lt;=70),10,IF($Q128&gt;70,3,IF($Q128&gt;=40,5,0)))+IF($S128="強気div▲",15,0)+IF($T128="上walk▲",5,0)+IF($V128&gt;=2,5,IF($V128&gt;=1.5,3,0))))</f>
      </c>
      <c r="Y128" s="682">
        <f>IF($D128="","",$D128)</f>
      </c>
      <c r="Z128" s="682">
        <f>IF($D128="","",$H128)</f>
      </c>
      <c r="AA128" s="682">
        <f>IF($D128="","",IF($D128&gt;$E128,$E128,$AD128))</f>
      </c>
      <c r="AB128" s="682">
        <f>IF($D128="","",$G128)</f>
      </c>
      <c r="AC128" s="688">
        <f>IF($D128="","",IF(($Y128-$AA128)&lt;=0,"－",IFERROR(ROUND(MIN(20,($AB128-$Y128)/($Y128-$AA128)),2),"－")))</f>
      </c>
      <c r="AD128" s="682">
        <f>IF($D128="","",MIN(終値!E128:I128))</f>
      </c>
      <c r="AE128" s="684">
        <f>IF($D128="","",$X128+(10000-ROW())/100000)</f>
      </c>
    </row>
    <row r="129">
      <c r="A129" s="681">
        <f>IF(終値!A129="","",HYPERLINK("https://kabutan.jp/stock/?code="&amp;終値!A129,"📈"))</f>
      </c>
      <c r="B129" s="681">
        <f>IF(終値!A129="","",終値!A129)</f>
      </c>
      <c r="C129" s="680">
        <f>IF(終値!A129="","",終値!B129)</f>
      </c>
      <c r="D129" s="682">
        <f>IF(終値!A129="","",終値!E129)</f>
      </c>
      <c r="E129" s="682">
        <f>IF($D129="","",AVERAGE(終値!E129:X129))</f>
      </c>
      <c r="F129" s="683">
        <f>IF($D129="","",STDEVP(終値!E129:X129))</f>
      </c>
      <c r="G129" s="682">
        <f>IF($D129="","",$E129+BB設定!$B$4*$F129)</f>
      </c>
      <c r="H129" s="682">
        <f>IF($D129="","",$E129+BB設定!$B$5*$F129)</f>
      </c>
      <c r="I129" s="682">
        <f>IF($D129="","",$E129-BB設定!$B$5*$F129)</f>
      </c>
      <c r="J129" s="682">
        <f>IF($D129="","",$E129-BB設定!$B$4*$F129)</f>
      </c>
      <c r="K129" s="687">
        <f>IF($D129="","",IFERROR(($D129-$J129)/($G129-$J129),""))</f>
      </c>
      <c r="L129" s="686">
        <f>IF($D129="","",IFERROR(($G129-$J129)/$E129*100,""))</f>
      </c>
      <c r="M129" s="686">
        <f>IF($D129="","",IFERROR(MIN(BB_帯幅!B129:AP129)*100,""))</f>
      </c>
      <c r="N129" s="681">
        <f>IF($L129="","",IF($L129&lt;=$M129*BB設定!$B$7,"スクイーズ★",IF($L129&lt;=$M129*1.3,"収縮","－")))</f>
      </c>
      <c r="O129" s="681">
        <f>IF($D129="","",IF($L129&gt;(4*STDEVP(終値!F129:Y129)/AVERAGE(終値!F129:Y129)*100),"拡大↑","縮小↓"))</f>
      </c>
      <c r="P129" s="681">
        <f>IF($D129="","",IF($D129&gt;$G129,"↑+2σ突破",IF($D129&lt;$J129,"↓-2σ割れ",IF($D129&gt;$H129,"+1σ上",IF($D129&lt;$I129,"-1σ下","バンド内")))))</f>
      </c>
      <c r="Q129" s="684">
        <f>IF($D129="","",IFERROR(100-100/(1+SUMPRODUCT((終値!E129:R129&gt;終値!F129:S129)*(終値!E129:R129-終値!F129:S129))/SUMPRODUCT((終値!E129:R129&lt;終値!F129:S129)*(終値!F129:S129-終値!E129:R129))),100))</f>
      </c>
      <c r="R129" s="684">
        <f>IF($D129="","",IFERROR(100-100/(1+SUMPRODUCT((((高値!E129:R129+安値!E129:R129+終値!E129:R129)/3)&gt;((高値!F129:S129+安値!F129:S129+終値!F129:S129)/3))*((高値!E129:R129+安値!E129:R129+終値!E129:R129)/3)*出来高!E129:R129)/SUMPRODUCT((((高値!E129:R129+安値!E129:R129+終値!E129:R129)/3)&lt;((高値!F129:S129+安値!F129:S129+終値!F129:S129)/3))*((高値!E129:R129+安値!E129:R129+終値!E129:R129)/3)*出来高!E129:R129)),50))</f>
      </c>
      <c r="S129" s="681">
        <f>IF($D129="","",IF(AND(終値!E129&lt;終値!O129,$Q129&gt;(IFERROR(100-100/(1+SUMPRODUCT((終値!O129:AB129&gt;終値!P129:AC129)*(終値!O129:AB129-終値!P129:AC129))/SUMPRODUCT((終値!O129:AB129&lt;終値!P129:AC129)*(終値!P129:AC129-終値!O129:AB129))),100))),"強気div▲",IF(AND(終値!E129&gt;終値!O129,$Q129&lt;(IFERROR(100-100/(1+SUMPRODUCT((終値!O129:AB129&gt;終値!P129:AC129)*(終値!O129:AB129-終値!P129:AC129))/SUMPRODUCT((終値!O129:AB129&lt;終値!P129:AC129)*(終値!P129:AC129-終値!O129:AB129))),100))),"弱気div▼","－")))</f>
      </c>
      <c r="T129" s="681">
        <f>IF($D129="","",IF($D129&gt;=$H129,"上walk▲",IF($D129&lt;=$I129,"下walk▼","－")))</f>
      </c>
      <c r="U129" s="681">
        <f>IF(終値!A129="","",BB_スイング!BT129)</f>
      </c>
      <c r="V129" s="689">
        <f>IF($D129="","",IFERROR(出来高!E129/AVERAGE(出来高!E129:I129),""))</f>
      </c>
      <c r="W129" s="690">
        <f>IF($D129="","",IF(AND($D129&gt;$G129,$O129="拡大↑",$L129&lt;=$M129*1.8),"◎スクイーズブレイク買",IF(AND($D129&gt;=$H129,$R129&gt;=BB設定!$B$10),"○順張り継続(walk)",IF(AND($S129="強気div▲",$D129&gt;$I129),"○反発(ダイバ)買",IF($U129="二番底W▲","△二番底買(確)",IF($U129="二番底W形成","△二番底形成",IF($D129&lt;$J129,"▼-2σ割れ危険",IF(AND($D129&gt;$E129,$K129&lt;0.6,$R129&gt;=50),"・押し目注目",IF($N129="スクイーズ★","☆スクイーズ監視","様子見")))))))))</f>
      </c>
      <c r="X129" s="685">
        <f>IF($D129="","",MIN(100,IF($L129&lt;=$M129*1.15,20,IF($L129&lt;=$M129*1.4,10,0))+IF($D129&gt;$G129,20,IF($D129&gt;$H129,12,IF($D129&gt;$E129,5,0)))+IF($O129="拡大↑",10,0)+IF($R129&gt;=80,15,IF($R129&gt;=60,10,IF($R129&gt;=50,5,0)))+IF(AND($Q129&gt;=50,$Q129&lt;=70),10,IF($Q129&gt;70,3,IF($Q129&gt;=40,5,0)))+IF($S129="強気div▲",15,0)+IF($T129="上walk▲",5,0)+IF($V129&gt;=2,5,IF($V129&gt;=1.5,3,0))))</f>
      </c>
      <c r="Y129" s="682">
        <f>IF($D129="","",$D129)</f>
      </c>
      <c r="Z129" s="682">
        <f>IF($D129="","",$H129)</f>
      </c>
      <c r="AA129" s="682">
        <f>IF($D129="","",IF($D129&gt;$E129,$E129,$AD129))</f>
      </c>
      <c r="AB129" s="682">
        <f>IF($D129="","",$G129)</f>
      </c>
      <c r="AC129" s="688">
        <f>IF($D129="","",IF(($Y129-$AA129)&lt;=0,"－",IFERROR(ROUND(MIN(20,($AB129-$Y129)/($Y129-$AA129)),2),"－")))</f>
      </c>
      <c r="AD129" s="682">
        <f>IF($D129="","",MIN(終値!E129:I129))</f>
      </c>
      <c r="AE129" s="684">
        <f>IF($D129="","",$X129+(10000-ROW())/100000)</f>
      </c>
    </row>
    <row r="130">
      <c r="A130" s="681">
        <f>IF(終値!A130="","",HYPERLINK("https://kabutan.jp/stock/?code="&amp;終値!A130,"📈"))</f>
      </c>
      <c r="B130" s="681">
        <f>IF(終値!A130="","",終値!A130)</f>
      </c>
      <c r="C130" s="680">
        <f>IF(終値!A130="","",終値!B130)</f>
      </c>
      <c r="D130" s="682">
        <f>IF(終値!A130="","",終値!E130)</f>
      </c>
      <c r="E130" s="682">
        <f>IF($D130="","",AVERAGE(終値!E130:X130))</f>
      </c>
      <c r="F130" s="683">
        <f>IF($D130="","",STDEVP(終値!E130:X130))</f>
      </c>
      <c r="G130" s="682">
        <f>IF($D130="","",$E130+BB設定!$B$4*$F130)</f>
      </c>
      <c r="H130" s="682">
        <f>IF($D130="","",$E130+BB設定!$B$5*$F130)</f>
      </c>
      <c r="I130" s="682">
        <f>IF($D130="","",$E130-BB設定!$B$5*$F130)</f>
      </c>
      <c r="J130" s="682">
        <f>IF($D130="","",$E130-BB設定!$B$4*$F130)</f>
      </c>
      <c r="K130" s="687">
        <f>IF($D130="","",IFERROR(($D130-$J130)/($G130-$J130),""))</f>
      </c>
      <c r="L130" s="686">
        <f>IF($D130="","",IFERROR(($G130-$J130)/$E130*100,""))</f>
      </c>
      <c r="M130" s="686">
        <f>IF($D130="","",IFERROR(MIN(BB_帯幅!B130:AP130)*100,""))</f>
      </c>
      <c r="N130" s="681">
        <f>IF($L130="","",IF($L130&lt;=$M130*BB設定!$B$7,"スクイーズ★",IF($L130&lt;=$M130*1.3,"収縮","－")))</f>
      </c>
      <c r="O130" s="681">
        <f>IF($D130="","",IF($L130&gt;(4*STDEVP(終値!F130:Y130)/AVERAGE(終値!F130:Y130)*100),"拡大↑","縮小↓"))</f>
      </c>
      <c r="P130" s="681">
        <f>IF($D130="","",IF($D130&gt;$G130,"↑+2σ突破",IF($D130&lt;$J130,"↓-2σ割れ",IF($D130&gt;$H130,"+1σ上",IF($D130&lt;$I130,"-1σ下","バンド内")))))</f>
      </c>
      <c r="Q130" s="684">
        <f>IF($D130="","",IFERROR(100-100/(1+SUMPRODUCT((終値!E130:R130&gt;終値!F130:S130)*(終値!E130:R130-終値!F130:S130))/SUMPRODUCT((終値!E130:R130&lt;終値!F130:S130)*(終値!F130:S130-終値!E130:R130))),100))</f>
      </c>
      <c r="R130" s="684">
        <f>IF($D130="","",IFERROR(100-100/(1+SUMPRODUCT((((高値!E130:R130+安値!E130:R130+終値!E130:R130)/3)&gt;((高値!F130:S130+安値!F130:S130+終値!F130:S130)/3))*((高値!E130:R130+安値!E130:R130+終値!E130:R130)/3)*出来高!E130:R130)/SUMPRODUCT((((高値!E130:R130+安値!E130:R130+終値!E130:R130)/3)&lt;((高値!F130:S130+安値!F130:S130+終値!F130:S130)/3))*((高値!E130:R130+安値!E130:R130+終値!E130:R130)/3)*出来高!E130:R130)),50))</f>
      </c>
      <c r="S130" s="681">
        <f>IF($D130="","",IF(AND(終値!E130&lt;終値!O130,$Q130&gt;(IFERROR(100-100/(1+SUMPRODUCT((終値!O130:AB130&gt;終値!P130:AC130)*(終値!O130:AB130-終値!P130:AC130))/SUMPRODUCT((終値!O130:AB130&lt;終値!P130:AC130)*(終値!P130:AC130-終値!O130:AB130))),100))),"強気div▲",IF(AND(終値!E130&gt;終値!O130,$Q130&lt;(IFERROR(100-100/(1+SUMPRODUCT((終値!O130:AB130&gt;終値!P130:AC130)*(終値!O130:AB130-終値!P130:AC130))/SUMPRODUCT((終値!O130:AB130&lt;終値!P130:AC130)*(終値!P130:AC130-終値!O130:AB130))),100))),"弱気div▼","－")))</f>
      </c>
      <c r="T130" s="681">
        <f>IF($D130="","",IF($D130&gt;=$H130,"上walk▲",IF($D130&lt;=$I130,"下walk▼","－")))</f>
      </c>
      <c r="U130" s="681">
        <f>IF(終値!A130="","",BB_スイング!BT130)</f>
      </c>
      <c r="V130" s="689">
        <f>IF($D130="","",IFERROR(出来高!E130/AVERAGE(出来高!E130:I130),""))</f>
      </c>
      <c r="W130" s="690">
        <f>IF($D130="","",IF(AND($D130&gt;$G130,$O130="拡大↑",$L130&lt;=$M130*1.8),"◎スクイーズブレイク買",IF(AND($D130&gt;=$H130,$R130&gt;=BB設定!$B$10),"○順張り継続(walk)",IF(AND($S130="強気div▲",$D130&gt;$I130),"○反発(ダイバ)買",IF($U130="二番底W▲","△二番底買(確)",IF($U130="二番底W形成","△二番底形成",IF($D130&lt;$J130,"▼-2σ割れ危険",IF(AND($D130&gt;$E130,$K130&lt;0.6,$R130&gt;=50),"・押し目注目",IF($N130="スクイーズ★","☆スクイーズ監視","様子見")))))))))</f>
      </c>
      <c r="X130" s="685">
        <f>IF($D130="","",MIN(100,IF($L130&lt;=$M130*1.15,20,IF($L130&lt;=$M130*1.4,10,0))+IF($D130&gt;$G130,20,IF($D130&gt;$H130,12,IF($D130&gt;$E130,5,0)))+IF($O130="拡大↑",10,0)+IF($R130&gt;=80,15,IF($R130&gt;=60,10,IF($R130&gt;=50,5,0)))+IF(AND($Q130&gt;=50,$Q130&lt;=70),10,IF($Q130&gt;70,3,IF($Q130&gt;=40,5,0)))+IF($S130="強気div▲",15,0)+IF($T130="上walk▲",5,0)+IF($V130&gt;=2,5,IF($V130&gt;=1.5,3,0))))</f>
      </c>
      <c r="Y130" s="682">
        <f>IF($D130="","",$D130)</f>
      </c>
      <c r="Z130" s="682">
        <f>IF($D130="","",$H130)</f>
      </c>
      <c r="AA130" s="682">
        <f>IF($D130="","",IF($D130&gt;$E130,$E130,$AD130))</f>
      </c>
      <c r="AB130" s="682">
        <f>IF($D130="","",$G130)</f>
      </c>
      <c r="AC130" s="688">
        <f>IF($D130="","",IF(($Y130-$AA130)&lt;=0,"－",IFERROR(ROUND(MIN(20,($AB130-$Y130)/($Y130-$AA130)),2),"－")))</f>
      </c>
      <c r="AD130" s="682">
        <f>IF($D130="","",MIN(終値!E130:I130))</f>
      </c>
      <c r="AE130" s="684">
        <f>IF($D130="","",$X130+(10000-ROW())/100000)</f>
      </c>
    </row>
    <row r="131">
      <c r="A131" s="681">
        <f>IF(終値!A131="","",HYPERLINK("https://kabutan.jp/stock/?code="&amp;終値!A131,"📈"))</f>
      </c>
      <c r="B131" s="681">
        <f>IF(終値!A131="","",終値!A131)</f>
      </c>
      <c r="C131" s="680">
        <f>IF(終値!A131="","",終値!B131)</f>
      </c>
      <c r="D131" s="682">
        <f>IF(終値!A131="","",終値!E131)</f>
      </c>
      <c r="E131" s="682">
        <f>IF($D131="","",AVERAGE(終値!E131:X131))</f>
      </c>
      <c r="F131" s="683">
        <f>IF($D131="","",STDEVP(終値!E131:X131))</f>
      </c>
      <c r="G131" s="682">
        <f>IF($D131="","",$E131+BB設定!$B$4*$F131)</f>
      </c>
      <c r="H131" s="682">
        <f>IF($D131="","",$E131+BB設定!$B$5*$F131)</f>
      </c>
      <c r="I131" s="682">
        <f>IF($D131="","",$E131-BB設定!$B$5*$F131)</f>
      </c>
      <c r="J131" s="682">
        <f>IF($D131="","",$E131-BB設定!$B$4*$F131)</f>
      </c>
      <c r="K131" s="687">
        <f>IF($D131="","",IFERROR(($D131-$J131)/($G131-$J131),""))</f>
      </c>
      <c r="L131" s="686">
        <f>IF($D131="","",IFERROR(($G131-$J131)/$E131*100,""))</f>
      </c>
      <c r="M131" s="686">
        <f>IF($D131="","",IFERROR(MIN(BB_帯幅!B131:AP131)*100,""))</f>
      </c>
      <c r="N131" s="681">
        <f>IF($L131="","",IF($L131&lt;=$M131*BB設定!$B$7,"スクイーズ★",IF($L131&lt;=$M131*1.3,"収縮","－")))</f>
      </c>
      <c r="O131" s="681">
        <f>IF($D131="","",IF($L131&gt;(4*STDEVP(終値!F131:Y131)/AVERAGE(終値!F131:Y131)*100),"拡大↑","縮小↓"))</f>
      </c>
      <c r="P131" s="681">
        <f>IF($D131="","",IF($D131&gt;$G131,"↑+2σ突破",IF($D131&lt;$J131,"↓-2σ割れ",IF($D131&gt;$H131,"+1σ上",IF($D131&lt;$I131,"-1σ下","バンド内")))))</f>
      </c>
      <c r="Q131" s="684">
        <f>IF($D131="","",IFERROR(100-100/(1+SUMPRODUCT((終値!E131:R131&gt;終値!F131:S131)*(終値!E131:R131-終値!F131:S131))/SUMPRODUCT((終値!E131:R131&lt;終値!F131:S131)*(終値!F131:S131-終値!E131:R131))),100))</f>
      </c>
      <c r="R131" s="684">
        <f>IF($D131="","",IFERROR(100-100/(1+SUMPRODUCT((((高値!E131:R131+安値!E131:R131+終値!E131:R131)/3)&gt;((高値!F131:S131+安値!F131:S131+終値!F131:S131)/3))*((高値!E131:R131+安値!E131:R131+終値!E131:R131)/3)*出来高!E131:R131)/SUMPRODUCT((((高値!E131:R131+安値!E131:R131+終値!E131:R131)/3)&lt;((高値!F131:S131+安値!F131:S131+終値!F131:S131)/3))*((高値!E131:R131+安値!E131:R131+終値!E131:R131)/3)*出来高!E131:R131)),50))</f>
      </c>
      <c r="S131" s="681">
        <f>IF($D131="","",IF(AND(終値!E131&lt;終値!O131,$Q131&gt;(IFERROR(100-100/(1+SUMPRODUCT((終値!O131:AB131&gt;終値!P131:AC131)*(終値!O131:AB131-終値!P131:AC131))/SUMPRODUCT((終値!O131:AB131&lt;終値!P131:AC131)*(終値!P131:AC131-終値!O131:AB131))),100))),"強気div▲",IF(AND(終値!E131&gt;終値!O131,$Q131&lt;(IFERROR(100-100/(1+SUMPRODUCT((終値!O131:AB131&gt;終値!P131:AC131)*(終値!O131:AB131-終値!P131:AC131))/SUMPRODUCT((終値!O131:AB131&lt;終値!P131:AC131)*(終値!P131:AC131-終値!O131:AB131))),100))),"弱気div▼","－")))</f>
      </c>
      <c r="T131" s="681">
        <f>IF($D131="","",IF($D131&gt;=$H131,"上walk▲",IF($D131&lt;=$I131,"下walk▼","－")))</f>
      </c>
      <c r="U131" s="681">
        <f>IF(終値!A131="","",BB_スイング!BT131)</f>
      </c>
      <c r="V131" s="689">
        <f>IF($D131="","",IFERROR(出来高!E131/AVERAGE(出来高!E131:I131),""))</f>
      </c>
      <c r="W131" s="690">
        <f>IF($D131="","",IF(AND($D131&gt;$G131,$O131="拡大↑",$L131&lt;=$M131*1.8),"◎スクイーズブレイク買",IF(AND($D131&gt;=$H131,$R131&gt;=BB設定!$B$10),"○順張り継続(walk)",IF(AND($S131="強気div▲",$D131&gt;$I131),"○反発(ダイバ)買",IF($U131="二番底W▲","△二番底買(確)",IF($U131="二番底W形成","△二番底形成",IF($D131&lt;$J131,"▼-2σ割れ危険",IF(AND($D131&gt;$E131,$K131&lt;0.6,$R131&gt;=50),"・押し目注目",IF($N131="スクイーズ★","☆スクイーズ監視","様子見")))))))))</f>
      </c>
      <c r="X131" s="685">
        <f>IF($D131="","",MIN(100,IF($L131&lt;=$M131*1.15,20,IF($L131&lt;=$M131*1.4,10,0))+IF($D131&gt;$G131,20,IF($D131&gt;$H131,12,IF($D131&gt;$E131,5,0)))+IF($O131="拡大↑",10,0)+IF($R131&gt;=80,15,IF($R131&gt;=60,10,IF($R131&gt;=50,5,0)))+IF(AND($Q131&gt;=50,$Q131&lt;=70),10,IF($Q131&gt;70,3,IF($Q131&gt;=40,5,0)))+IF($S131="強気div▲",15,0)+IF($T131="上walk▲",5,0)+IF($V131&gt;=2,5,IF($V131&gt;=1.5,3,0))))</f>
      </c>
      <c r="Y131" s="682">
        <f>IF($D131="","",$D131)</f>
      </c>
      <c r="Z131" s="682">
        <f>IF($D131="","",$H131)</f>
      </c>
      <c r="AA131" s="682">
        <f>IF($D131="","",IF($D131&gt;$E131,$E131,$AD131))</f>
      </c>
      <c r="AB131" s="682">
        <f>IF($D131="","",$G131)</f>
      </c>
      <c r="AC131" s="688">
        <f>IF($D131="","",IF(($Y131-$AA131)&lt;=0,"－",IFERROR(ROUND(MIN(20,($AB131-$Y131)/($Y131-$AA131)),2),"－")))</f>
      </c>
      <c r="AD131" s="682">
        <f>IF($D131="","",MIN(終値!E131:I131))</f>
      </c>
      <c r="AE131" s="684">
        <f>IF($D131="","",$X131+(10000-ROW())/100000)</f>
      </c>
    </row>
    <row r="132">
      <c r="A132" s="681">
        <f>IF(終値!A132="","",HYPERLINK("https://kabutan.jp/stock/?code="&amp;終値!A132,"📈"))</f>
      </c>
      <c r="B132" s="681">
        <f>IF(終値!A132="","",終値!A132)</f>
      </c>
      <c r="C132" s="680">
        <f>IF(終値!A132="","",終値!B132)</f>
      </c>
      <c r="D132" s="682">
        <f>IF(終値!A132="","",終値!E132)</f>
      </c>
      <c r="E132" s="682">
        <f>IF($D132="","",AVERAGE(終値!E132:X132))</f>
      </c>
      <c r="F132" s="683">
        <f>IF($D132="","",STDEVP(終値!E132:X132))</f>
      </c>
      <c r="G132" s="682">
        <f>IF($D132="","",$E132+BB設定!$B$4*$F132)</f>
      </c>
      <c r="H132" s="682">
        <f>IF($D132="","",$E132+BB設定!$B$5*$F132)</f>
      </c>
      <c r="I132" s="682">
        <f>IF($D132="","",$E132-BB設定!$B$5*$F132)</f>
      </c>
      <c r="J132" s="682">
        <f>IF($D132="","",$E132-BB設定!$B$4*$F132)</f>
      </c>
      <c r="K132" s="687">
        <f>IF($D132="","",IFERROR(($D132-$J132)/($G132-$J132),""))</f>
      </c>
      <c r="L132" s="686">
        <f>IF($D132="","",IFERROR(($G132-$J132)/$E132*100,""))</f>
      </c>
      <c r="M132" s="686">
        <f>IF($D132="","",IFERROR(MIN(BB_帯幅!B132:AP132)*100,""))</f>
      </c>
      <c r="N132" s="681">
        <f>IF($L132="","",IF($L132&lt;=$M132*BB設定!$B$7,"スクイーズ★",IF($L132&lt;=$M132*1.3,"収縮","－")))</f>
      </c>
      <c r="O132" s="681">
        <f>IF($D132="","",IF($L132&gt;(4*STDEVP(終値!F132:Y132)/AVERAGE(終値!F132:Y132)*100),"拡大↑","縮小↓"))</f>
      </c>
      <c r="P132" s="681">
        <f>IF($D132="","",IF($D132&gt;$G132,"↑+2σ突破",IF($D132&lt;$J132,"↓-2σ割れ",IF($D132&gt;$H132,"+1σ上",IF($D132&lt;$I132,"-1σ下","バンド内")))))</f>
      </c>
      <c r="Q132" s="684">
        <f>IF($D132="","",IFERROR(100-100/(1+SUMPRODUCT((終値!E132:R132&gt;終値!F132:S132)*(終値!E132:R132-終値!F132:S132))/SUMPRODUCT((終値!E132:R132&lt;終値!F132:S132)*(終値!F132:S132-終値!E132:R132))),100))</f>
      </c>
      <c r="R132" s="684">
        <f>IF($D132="","",IFERROR(100-100/(1+SUMPRODUCT((((高値!E132:R132+安値!E132:R132+終値!E132:R132)/3)&gt;((高値!F132:S132+安値!F132:S132+終値!F132:S132)/3))*((高値!E132:R132+安値!E132:R132+終値!E132:R132)/3)*出来高!E132:R132)/SUMPRODUCT((((高値!E132:R132+安値!E132:R132+終値!E132:R132)/3)&lt;((高値!F132:S132+安値!F132:S132+終値!F132:S132)/3))*((高値!E132:R132+安値!E132:R132+終値!E132:R132)/3)*出来高!E132:R132)),50))</f>
      </c>
      <c r="S132" s="681">
        <f>IF($D132="","",IF(AND(終値!E132&lt;終値!O132,$Q132&gt;(IFERROR(100-100/(1+SUMPRODUCT((終値!O132:AB132&gt;終値!P132:AC132)*(終値!O132:AB132-終値!P132:AC132))/SUMPRODUCT((終値!O132:AB132&lt;終値!P132:AC132)*(終値!P132:AC132-終値!O132:AB132))),100))),"強気div▲",IF(AND(終値!E132&gt;終値!O132,$Q132&lt;(IFERROR(100-100/(1+SUMPRODUCT((終値!O132:AB132&gt;終値!P132:AC132)*(終値!O132:AB132-終値!P132:AC132))/SUMPRODUCT((終値!O132:AB132&lt;終値!P132:AC132)*(終値!P132:AC132-終値!O132:AB132))),100))),"弱気div▼","－")))</f>
      </c>
      <c r="T132" s="681">
        <f>IF($D132="","",IF($D132&gt;=$H132,"上walk▲",IF($D132&lt;=$I132,"下walk▼","－")))</f>
      </c>
      <c r="U132" s="681">
        <f>IF(終値!A132="","",BB_スイング!BT132)</f>
      </c>
      <c r="V132" s="689">
        <f>IF($D132="","",IFERROR(出来高!E132/AVERAGE(出来高!E132:I132),""))</f>
      </c>
      <c r="W132" s="690">
        <f>IF($D132="","",IF(AND($D132&gt;$G132,$O132="拡大↑",$L132&lt;=$M132*1.8),"◎スクイーズブレイク買",IF(AND($D132&gt;=$H132,$R132&gt;=BB設定!$B$10),"○順張り継続(walk)",IF(AND($S132="強気div▲",$D132&gt;$I132),"○反発(ダイバ)買",IF($U132="二番底W▲","△二番底買(確)",IF($U132="二番底W形成","△二番底形成",IF($D132&lt;$J132,"▼-2σ割れ危険",IF(AND($D132&gt;$E132,$K132&lt;0.6,$R132&gt;=50),"・押し目注目",IF($N132="スクイーズ★","☆スクイーズ監視","様子見")))))))))</f>
      </c>
      <c r="X132" s="685">
        <f>IF($D132="","",MIN(100,IF($L132&lt;=$M132*1.15,20,IF($L132&lt;=$M132*1.4,10,0))+IF($D132&gt;$G132,20,IF($D132&gt;$H132,12,IF($D132&gt;$E132,5,0)))+IF($O132="拡大↑",10,0)+IF($R132&gt;=80,15,IF($R132&gt;=60,10,IF($R132&gt;=50,5,0)))+IF(AND($Q132&gt;=50,$Q132&lt;=70),10,IF($Q132&gt;70,3,IF($Q132&gt;=40,5,0)))+IF($S132="強気div▲",15,0)+IF($T132="上walk▲",5,0)+IF($V132&gt;=2,5,IF($V132&gt;=1.5,3,0))))</f>
      </c>
      <c r="Y132" s="682">
        <f>IF($D132="","",$D132)</f>
      </c>
      <c r="Z132" s="682">
        <f>IF($D132="","",$H132)</f>
      </c>
      <c r="AA132" s="682">
        <f>IF($D132="","",IF($D132&gt;$E132,$E132,$AD132))</f>
      </c>
      <c r="AB132" s="682">
        <f>IF($D132="","",$G132)</f>
      </c>
      <c r="AC132" s="688">
        <f>IF($D132="","",IF(($Y132-$AA132)&lt;=0,"－",IFERROR(ROUND(MIN(20,($AB132-$Y132)/($Y132-$AA132)),2),"－")))</f>
      </c>
      <c r="AD132" s="682">
        <f>IF($D132="","",MIN(終値!E132:I132))</f>
      </c>
      <c r="AE132" s="684">
        <f>IF($D132="","",$X132+(10000-ROW())/100000)</f>
      </c>
    </row>
    <row r="133">
      <c r="A133" s="681">
        <f>IF(終値!A133="","",HYPERLINK("https://kabutan.jp/stock/?code="&amp;終値!A133,"📈"))</f>
      </c>
      <c r="B133" s="681">
        <f>IF(終値!A133="","",終値!A133)</f>
      </c>
      <c r="C133" s="680">
        <f>IF(終値!A133="","",終値!B133)</f>
      </c>
      <c r="D133" s="682">
        <f>IF(終値!A133="","",終値!E133)</f>
      </c>
      <c r="E133" s="682">
        <f>IF($D133="","",AVERAGE(終値!E133:X133))</f>
      </c>
      <c r="F133" s="683">
        <f>IF($D133="","",STDEVP(終値!E133:X133))</f>
      </c>
      <c r="G133" s="682">
        <f>IF($D133="","",$E133+BB設定!$B$4*$F133)</f>
      </c>
      <c r="H133" s="682">
        <f>IF($D133="","",$E133+BB設定!$B$5*$F133)</f>
      </c>
      <c r="I133" s="682">
        <f>IF($D133="","",$E133-BB設定!$B$5*$F133)</f>
      </c>
      <c r="J133" s="682">
        <f>IF($D133="","",$E133-BB設定!$B$4*$F133)</f>
      </c>
      <c r="K133" s="687">
        <f>IF($D133="","",IFERROR(($D133-$J133)/($G133-$J133),""))</f>
      </c>
      <c r="L133" s="686">
        <f>IF($D133="","",IFERROR(($G133-$J133)/$E133*100,""))</f>
      </c>
      <c r="M133" s="686">
        <f>IF($D133="","",IFERROR(MIN(BB_帯幅!B133:AP133)*100,""))</f>
      </c>
      <c r="N133" s="681">
        <f>IF($L133="","",IF($L133&lt;=$M133*BB設定!$B$7,"スクイーズ★",IF($L133&lt;=$M133*1.3,"収縮","－")))</f>
      </c>
      <c r="O133" s="681">
        <f>IF($D133="","",IF($L133&gt;(4*STDEVP(終値!F133:Y133)/AVERAGE(終値!F133:Y133)*100),"拡大↑","縮小↓"))</f>
      </c>
      <c r="P133" s="681">
        <f>IF($D133="","",IF($D133&gt;$G133,"↑+2σ突破",IF($D133&lt;$J133,"↓-2σ割れ",IF($D133&gt;$H133,"+1σ上",IF($D133&lt;$I133,"-1σ下","バンド内")))))</f>
      </c>
      <c r="Q133" s="684">
        <f>IF($D133="","",IFERROR(100-100/(1+SUMPRODUCT((終値!E133:R133&gt;終値!F133:S133)*(終値!E133:R133-終値!F133:S133))/SUMPRODUCT((終値!E133:R133&lt;終値!F133:S133)*(終値!F133:S133-終値!E133:R133))),100))</f>
      </c>
      <c r="R133" s="684">
        <f>IF($D133="","",IFERROR(100-100/(1+SUMPRODUCT((((高値!E133:R133+安値!E133:R133+終値!E133:R133)/3)&gt;((高値!F133:S133+安値!F133:S133+終値!F133:S133)/3))*((高値!E133:R133+安値!E133:R133+終値!E133:R133)/3)*出来高!E133:R133)/SUMPRODUCT((((高値!E133:R133+安値!E133:R133+終値!E133:R133)/3)&lt;((高値!F133:S133+安値!F133:S133+終値!F133:S133)/3))*((高値!E133:R133+安値!E133:R133+終値!E133:R133)/3)*出来高!E133:R133)),50))</f>
      </c>
      <c r="S133" s="681">
        <f>IF($D133="","",IF(AND(終値!E133&lt;終値!O133,$Q133&gt;(IFERROR(100-100/(1+SUMPRODUCT((終値!O133:AB133&gt;終値!P133:AC133)*(終値!O133:AB133-終値!P133:AC133))/SUMPRODUCT((終値!O133:AB133&lt;終値!P133:AC133)*(終値!P133:AC133-終値!O133:AB133))),100))),"強気div▲",IF(AND(終値!E133&gt;終値!O133,$Q133&lt;(IFERROR(100-100/(1+SUMPRODUCT((終値!O133:AB133&gt;終値!P133:AC133)*(終値!O133:AB133-終値!P133:AC133))/SUMPRODUCT((終値!O133:AB133&lt;終値!P133:AC133)*(終値!P133:AC133-終値!O133:AB133))),100))),"弱気div▼","－")))</f>
      </c>
      <c r="T133" s="681">
        <f>IF($D133="","",IF($D133&gt;=$H133,"上walk▲",IF($D133&lt;=$I133,"下walk▼","－")))</f>
      </c>
      <c r="U133" s="681">
        <f>IF(終値!A133="","",BB_スイング!BT133)</f>
      </c>
      <c r="V133" s="689">
        <f>IF($D133="","",IFERROR(出来高!E133/AVERAGE(出来高!E133:I133),""))</f>
      </c>
      <c r="W133" s="690">
        <f>IF($D133="","",IF(AND($D133&gt;$G133,$O133="拡大↑",$L133&lt;=$M133*1.8),"◎スクイーズブレイク買",IF(AND($D133&gt;=$H133,$R133&gt;=BB設定!$B$10),"○順張り継続(walk)",IF(AND($S133="強気div▲",$D133&gt;$I133),"○反発(ダイバ)買",IF($U133="二番底W▲","△二番底買(確)",IF($U133="二番底W形成","△二番底形成",IF($D133&lt;$J133,"▼-2σ割れ危険",IF(AND($D133&gt;$E133,$K133&lt;0.6,$R133&gt;=50),"・押し目注目",IF($N133="スクイーズ★","☆スクイーズ監視","様子見")))))))))</f>
      </c>
      <c r="X133" s="685">
        <f>IF($D133="","",MIN(100,IF($L133&lt;=$M133*1.15,20,IF($L133&lt;=$M133*1.4,10,0))+IF($D133&gt;$G133,20,IF($D133&gt;$H133,12,IF($D133&gt;$E133,5,0)))+IF($O133="拡大↑",10,0)+IF($R133&gt;=80,15,IF($R133&gt;=60,10,IF($R133&gt;=50,5,0)))+IF(AND($Q133&gt;=50,$Q133&lt;=70),10,IF($Q133&gt;70,3,IF($Q133&gt;=40,5,0)))+IF($S133="強気div▲",15,0)+IF($T133="上walk▲",5,0)+IF($V133&gt;=2,5,IF($V133&gt;=1.5,3,0))))</f>
      </c>
      <c r="Y133" s="682">
        <f>IF($D133="","",$D133)</f>
      </c>
      <c r="Z133" s="682">
        <f>IF($D133="","",$H133)</f>
      </c>
      <c r="AA133" s="682">
        <f>IF($D133="","",IF($D133&gt;$E133,$E133,$AD133))</f>
      </c>
      <c r="AB133" s="682">
        <f>IF($D133="","",$G133)</f>
      </c>
      <c r="AC133" s="688">
        <f>IF($D133="","",IF(($Y133-$AA133)&lt;=0,"－",IFERROR(ROUND(MIN(20,($AB133-$Y133)/($Y133-$AA133)),2),"－")))</f>
      </c>
      <c r="AD133" s="682">
        <f>IF($D133="","",MIN(終値!E133:I133))</f>
      </c>
      <c r="AE133" s="684">
        <f>IF($D133="","",$X133+(10000-ROW())/100000)</f>
      </c>
    </row>
    <row r="134">
      <c r="A134" s="681">
        <f>IF(終値!A134="","",HYPERLINK("https://kabutan.jp/stock/?code="&amp;終値!A134,"📈"))</f>
      </c>
      <c r="B134" s="681">
        <f>IF(終値!A134="","",終値!A134)</f>
      </c>
      <c r="C134" s="680">
        <f>IF(終値!A134="","",終値!B134)</f>
      </c>
      <c r="D134" s="682">
        <f>IF(終値!A134="","",終値!E134)</f>
      </c>
      <c r="E134" s="682">
        <f>IF($D134="","",AVERAGE(終値!E134:X134))</f>
      </c>
      <c r="F134" s="683">
        <f>IF($D134="","",STDEVP(終値!E134:X134))</f>
      </c>
      <c r="G134" s="682">
        <f>IF($D134="","",$E134+BB設定!$B$4*$F134)</f>
      </c>
      <c r="H134" s="682">
        <f>IF($D134="","",$E134+BB設定!$B$5*$F134)</f>
      </c>
      <c r="I134" s="682">
        <f>IF($D134="","",$E134-BB設定!$B$5*$F134)</f>
      </c>
      <c r="J134" s="682">
        <f>IF($D134="","",$E134-BB設定!$B$4*$F134)</f>
      </c>
      <c r="K134" s="687">
        <f>IF($D134="","",IFERROR(($D134-$J134)/($G134-$J134),""))</f>
      </c>
      <c r="L134" s="686">
        <f>IF($D134="","",IFERROR(($G134-$J134)/$E134*100,""))</f>
      </c>
      <c r="M134" s="686">
        <f>IF($D134="","",IFERROR(MIN(BB_帯幅!B134:AP134)*100,""))</f>
      </c>
      <c r="N134" s="681">
        <f>IF($L134="","",IF($L134&lt;=$M134*BB設定!$B$7,"スクイーズ★",IF($L134&lt;=$M134*1.3,"収縮","－")))</f>
      </c>
      <c r="O134" s="681">
        <f>IF($D134="","",IF($L134&gt;(4*STDEVP(終値!F134:Y134)/AVERAGE(終値!F134:Y134)*100),"拡大↑","縮小↓"))</f>
      </c>
      <c r="P134" s="681">
        <f>IF($D134="","",IF($D134&gt;$G134,"↑+2σ突破",IF($D134&lt;$J134,"↓-2σ割れ",IF($D134&gt;$H134,"+1σ上",IF($D134&lt;$I134,"-1σ下","バンド内")))))</f>
      </c>
      <c r="Q134" s="684">
        <f>IF($D134="","",IFERROR(100-100/(1+SUMPRODUCT((終値!E134:R134&gt;終値!F134:S134)*(終値!E134:R134-終値!F134:S134))/SUMPRODUCT((終値!E134:R134&lt;終値!F134:S134)*(終値!F134:S134-終値!E134:R134))),100))</f>
      </c>
      <c r="R134" s="684">
        <f>IF($D134="","",IFERROR(100-100/(1+SUMPRODUCT((((高値!E134:R134+安値!E134:R134+終値!E134:R134)/3)&gt;((高値!F134:S134+安値!F134:S134+終値!F134:S134)/3))*((高値!E134:R134+安値!E134:R134+終値!E134:R134)/3)*出来高!E134:R134)/SUMPRODUCT((((高値!E134:R134+安値!E134:R134+終値!E134:R134)/3)&lt;((高値!F134:S134+安値!F134:S134+終値!F134:S134)/3))*((高値!E134:R134+安値!E134:R134+終値!E134:R134)/3)*出来高!E134:R134)),50))</f>
      </c>
      <c r="S134" s="681">
        <f>IF($D134="","",IF(AND(終値!E134&lt;終値!O134,$Q134&gt;(IFERROR(100-100/(1+SUMPRODUCT((終値!O134:AB134&gt;終値!P134:AC134)*(終値!O134:AB134-終値!P134:AC134))/SUMPRODUCT((終値!O134:AB134&lt;終値!P134:AC134)*(終値!P134:AC134-終値!O134:AB134))),100))),"強気div▲",IF(AND(終値!E134&gt;終値!O134,$Q134&lt;(IFERROR(100-100/(1+SUMPRODUCT((終値!O134:AB134&gt;終値!P134:AC134)*(終値!O134:AB134-終値!P134:AC134))/SUMPRODUCT((終値!O134:AB134&lt;終値!P134:AC134)*(終値!P134:AC134-終値!O134:AB134))),100))),"弱気div▼","－")))</f>
      </c>
      <c r="T134" s="681">
        <f>IF($D134="","",IF($D134&gt;=$H134,"上walk▲",IF($D134&lt;=$I134,"下walk▼","－")))</f>
      </c>
      <c r="U134" s="681">
        <f>IF(終値!A134="","",BB_スイング!BT134)</f>
      </c>
      <c r="V134" s="689">
        <f>IF($D134="","",IFERROR(出来高!E134/AVERAGE(出来高!E134:I134),""))</f>
      </c>
      <c r="W134" s="690">
        <f>IF($D134="","",IF(AND($D134&gt;$G134,$O134="拡大↑",$L134&lt;=$M134*1.8),"◎スクイーズブレイク買",IF(AND($D134&gt;=$H134,$R134&gt;=BB設定!$B$10),"○順張り継続(walk)",IF(AND($S134="強気div▲",$D134&gt;$I134),"○反発(ダイバ)買",IF($U134="二番底W▲","△二番底買(確)",IF($U134="二番底W形成","△二番底形成",IF($D134&lt;$J134,"▼-2σ割れ危険",IF(AND($D134&gt;$E134,$K134&lt;0.6,$R134&gt;=50),"・押し目注目",IF($N134="スクイーズ★","☆スクイーズ監視","様子見")))))))))</f>
      </c>
      <c r="X134" s="685">
        <f>IF($D134="","",MIN(100,IF($L134&lt;=$M134*1.15,20,IF($L134&lt;=$M134*1.4,10,0))+IF($D134&gt;$G134,20,IF($D134&gt;$H134,12,IF($D134&gt;$E134,5,0)))+IF($O134="拡大↑",10,0)+IF($R134&gt;=80,15,IF($R134&gt;=60,10,IF($R134&gt;=50,5,0)))+IF(AND($Q134&gt;=50,$Q134&lt;=70),10,IF($Q134&gt;70,3,IF($Q134&gt;=40,5,0)))+IF($S134="強気div▲",15,0)+IF($T134="上walk▲",5,0)+IF($V134&gt;=2,5,IF($V134&gt;=1.5,3,0))))</f>
      </c>
      <c r="Y134" s="682">
        <f>IF($D134="","",$D134)</f>
      </c>
      <c r="Z134" s="682">
        <f>IF($D134="","",$H134)</f>
      </c>
      <c r="AA134" s="682">
        <f>IF($D134="","",IF($D134&gt;$E134,$E134,$AD134))</f>
      </c>
      <c r="AB134" s="682">
        <f>IF($D134="","",$G134)</f>
      </c>
      <c r="AC134" s="688">
        <f>IF($D134="","",IF(($Y134-$AA134)&lt;=0,"－",IFERROR(ROUND(MIN(20,($AB134-$Y134)/($Y134-$AA134)),2),"－")))</f>
      </c>
      <c r="AD134" s="682">
        <f>IF($D134="","",MIN(終値!E134:I134))</f>
      </c>
      <c r="AE134" s="684">
        <f>IF($D134="","",$X134+(10000-ROW())/100000)</f>
      </c>
    </row>
    <row r="135">
      <c r="A135" s="681">
        <f>IF(終値!A135="","",HYPERLINK("https://kabutan.jp/stock/?code="&amp;終値!A135,"📈"))</f>
      </c>
      <c r="B135" s="681">
        <f>IF(終値!A135="","",終値!A135)</f>
      </c>
      <c r="C135" s="680">
        <f>IF(終値!A135="","",終値!B135)</f>
      </c>
      <c r="D135" s="682">
        <f>IF(終値!A135="","",終値!E135)</f>
      </c>
      <c r="E135" s="682">
        <f>IF($D135="","",AVERAGE(終値!E135:X135))</f>
      </c>
      <c r="F135" s="683">
        <f>IF($D135="","",STDEVP(終値!E135:X135))</f>
      </c>
      <c r="G135" s="682">
        <f>IF($D135="","",$E135+BB設定!$B$4*$F135)</f>
      </c>
      <c r="H135" s="682">
        <f>IF($D135="","",$E135+BB設定!$B$5*$F135)</f>
      </c>
      <c r="I135" s="682">
        <f>IF($D135="","",$E135-BB設定!$B$5*$F135)</f>
      </c>
      <c r="J135" s="682">
        <f>IF($D135="","",$E135-BB設定!$B$4*$F135)</f>
      </c>
      <c r="K135" s="687">
        <f>IF($D135="","",IFERROR(($D135-$J135)/($G135-$J135),""))</f>
      </c>
      <c r="L135" s="686">
        <f>IF($D135="","",IFERROR(($G135-$J135)/$E135*100,""))</f>
      </c>
      <c r="M135" s="686">
        <f>IF($D135="","",IFERROR(MIN(BB_帯幅!B135:AP135)*100,""))</f>
      </c>
      <c r="N135" s="681">
        <f>IF($L135="","",IF($L135&lt;=$M135*BB設定!$B$7,"スクイーズ★",IF($L135&lt;=$M135*1.3,"収縮","－")))</f>
      </c>
      <c r="O135" s="681">
        <f>IF($D135="","",IF($L135&gt;(4*STDEVP(終値!F135:Y135)/AVERAGE(終値!F135:Y135)*100),"拡大↑","縮小↓"))</f>
      </c>
      <c r="P135" s="681">
        <f>IF($D135="","",IF($D135&gt;$G135,"↑+2σ突破",IF($D135&lt;$J135,"↓-2σ割れ",IF($D135&gt;$H135,"+1σ上",IF($D135&lt;$I135,"-1σ下","バンド内")))))</f>
      </c>
      <c r="Q135" s="684">
        <f>IF($D135="","",IFERROR(100-100/(1+SUMPRODUCT((終値!E135:R135&gt;終値!F135:S135)*(終値!E135:R135-終値!F135:S135))/SUMPRODUCT((終値!E135:R135&lt;終値!F135:S135)*(終値!F135:S135-終値!E135:R135))),100))</f>
      </c>
      <c r="R135" s="684">
        <f>IF($D135="","",IFERROR(100-100/(1+SUMPRODUCT((((高値!E135:R135+安値!E135:R135+終値!E135:R135)/3)&gt;((高値!F135:S135+安値!F135:S135+終値!F135:S135)/3))*((高値!E135:R135+安値!E135:R135+終値!E135:R135)/3)*出来高!E135:R135)/SUMPRODUCT((((高値!E135:R135+安値!E135:R135+終値!E135:R135)/3)&lt;((高値!F135:S135+安値!F135:S135+終値!F135:S135)/3))*((高値!E135:R135+安値!E135:R135+終値!E135:R135)/3)*出来高!E135:R135)),50))</f>
      </c>
      <c r="S135" s="681">
        <f>IF($D135="","",IF(AND(終値!E135&lt;終値!O135,$Q135&gt;(IFERROR(100-100/(1+SUMPRODUCT((終値!O135:AB135&gt;終値!P135:AC135)*(終値!O135:AB135-終値!P135:AC135))/SUMPRODUCT((終値!O135:AB135&lt;終値!P135:AC135)*(終値!P135:AC135-終値!O135:AB135))),100))),"強気div▲",IF(AND(終値!E135&gt;終値!O135,$Q135&lt;(IFERROR(100-100/(1+SUMPRODUCT((終値!O135:AB135&gt;終値!P135:AC135)*(終値!O135:AB135-終値!P135:AC135))/SUMPRODUCT((終値!O135:AB135&lt;終値!P135:AC135)*(終値!P135:AC135-終値!O135:AB135))),100))),"弱気div▼","－")))</f>
      </c>
      <c r="T135" s="681">
        <f>IF($D135="","",IF($D135&gt;=$H135,"上walk▲",IF($D135&lt;=$I135,"下walk▼","－")))</f>
      </c>
      <c r="U135" s="681">
        <f>IF(終値!A135="","",BB_スイング!BT135)</f>
      </c>
      <c r="V135" s="689">
        <f>IF($D135="","",IFERROR(出来高!E135/AVERAGE(出来高!E135:I135),""))</f>
      </c>
      <c r="W135" s="690">
        <f>IF($D135="","",IF(AND($D135&gt;$G135,$O135="拡大↑",$L135&lt;=$M135*1.8),"◎スクイーズブレイク買",IF(AND($D135&gt;=$H135,$R135&gt;=BB設定!$B$10),"○順張り継続(walk)",IF(AND($S135="強気div▲",$D135&gt;$I135),"○反発(ダイバ)買",IF($U135="二番底W▲","△二番底買(確)",IF($U135="二番底W形成","△二番底形成",IF($D135&lt;$J135,"▼-2σ割れ危険",IF(AND($D135&gt;$E135,$K135&lt;0.6,$R135&gt;=50),"・押し目注目",IF($N135="スクイーズ★","☆スクイーズ監視","様子見")))))))))</f>
      </c>
      <c r="X135" s="685">
        <f>IF($D135="","",MIN(100,IF($L135&lt;=$M135*1.15,20,IF($L135&lt;=$M135*1.4,10,0))+IF($D135&gt;$G135,20,IF($D135&gt;$H135,12,IF($D135&gt;$E135,5,0)))+IF($O135="拡大↑",10,0)+IF($R135&gt;=80,15,IF($R135&gt;=60,10,IF($R135&gt;=50,5,0)))+IF(AND($Q135&gt;=50,$Q135&lt;=70),10,IF($Q135&gt;70,3,IF($Q135&gt;=40,5,0)))+IF($S135="強気div▲",15,0)+IF($T135="上walk▲",5,0)+IF($V135&gt;=2,5,IF($V135&gt;=1.5,3,0))))</f>
      </c>
      <c r="Y135" s="682">
        <f>IF($D135="","",$D135)</f>
      </c>
      <c r="Z135" s="682">
        <f>IF($D135="","",$H135)</f>
      </c>
      <c r="AA135" s="682">
        <f>IF($D135="","",IF($D135&gt;$E135,$E135,$AD135))</f>
      </c>
      <c r="AB135" s="682">
        <f>IF($D135="","",$G135)</f>
      </c>
      <c r="AC135" s="688">
        <f>IF($D135="","",IF(($Y135-$AA135)&lt;=0,"－",IFERROR(ROUND(MIN(20,($AB135-$Y135)/($Y135-$AA135)),2),"－")))</f>
      </c>
      <c r="AD135" s="682">
        <f>IF($D135="","",MIN(終値!E135:I135))</f>
      </c>
      <c r="AE135" s="684">
        <f>IF($D135="","",$X135+(10000-ROW())/100000)</f>
      </c>
    </row>
    <row r="136">
      <c r="A136" s="681">
        <f>IF(終値!A136="","",HYPERLINK("https://kabutan.jp/stock/?code="&amp;終値!A136,"📈"))</f>
      </c>
      <c r="B136" s="681">
        <f>IF(終値!A136="","",終値!A136)</f>
      </c>
      <c r="C136" s="680">
        <f>IF(終値!A136="","",終値!B136)</f>
      </c>
      <c r="D136" s="682">
        <f>IF(終値!A136="","",終値!E136)</f>
      </c>
      <c r="E136" s="682">
        <f>IF($D136="","",AVERAGE(終値!E136:X136))</f>
      </c>
      <c r="F136" s="683">
        <f>IF($D136="","",STDEVP(終値!E136:X136))</f>
      </c>
      <c r="G136" s="682">
        <f>IF($D136="","",$E136+BB設定!$B$4*$F136)</f>
      </c>
      <c r="H136" s="682">
        <f>IF($D136="","",$E136+BB設定!$B$5*$F136)</f>
      </c>
      <c r="I136" s="682">
        <f>IF($D136="","",$E136-BB設定!$B$5*$F136)</f>
      </c>
      <c r="J136" s="682">
        <f>IF($D136="","",$E136-BB設定!$B$4*$F136)</f>
      </c>
      <c r="K136" s="687">
        <f>IF($D136="","",IFERROR(($D136-$J136)/($G136-$J136),""))</f>
      </c>
      <c r="L136" s="686">
        <f>IF($D136="","",IFERROR(($G136-$J136)/$E136*100,""))</f>
      </c>
      <c r="M136" s="686">
        <f>IF($D136="","",IFERROR(MIN(BB_帯幅!B136:AP136)*100,""))</f>
      </c>
      <c r="N136" s="681">
        <f>IF($L136="","",IF($L136&lt;=$M136*BB設定!$B$7,"スクイーズ★",IF($L136&lt;=$M136*1.3,"収縮","－")))</f>
      </c>
      <c r="O136" s="681">
        <f>IF($D136="","",IF($L136&gt;(4*STDEVP(終値!F136:Y136)/AVERAGE(終値!F136:Y136)*100),"拡大↑","縮小↓"))</f>
      </c>
      <c r="P136" s="681">
        <f>IF($D136="","",IF($D136&gt;$G136,"↑+2σ突破",IF($D136&lt;$J136,"↓-2σ割れ",IF($D136&gt;$H136,"+1σ上",IF($D136&lt;$I136,"-1σ下","バンド内")))))</f>
      </c>
      <c r="Q136" s="684">
        <f>IF($D136="","",IFERROR(100-100/(1+SUMPRODUCT((終値!E136:R136&gt;終値!F136:S136)*(終値!E136:R136-終値!F136:S136))/SUMPRODUCT((終値!E136:R136&lt;終値!F136:S136)*(終値!F136:S136-終値!E136:R136))),100))</f>
      </c>
      <c r="R136" s="684">
        <f>IF($D136="","",IFERROR(100-100/(1+SUMPRODUCT((((高値!E136:R136+安値!E136:R136+終値!E136:R136)/3)&gt;((高値!F136:S136+安値!F136:S136+終値!F136:S136)/3))*((高値!E136:R136+安値!E136:R136+終値!E136:R136)/3)*出来高!E136:R136)/SUMPRODUCT((((高値!E136:R136+安値!E136:R136+終値!E136:R136)/3)&lt;((高値!F136:S136+安値!F136:S136+終値!F136:S136)/3))*((高値!E136:R136+安値!E136:R136+終値!E136:R136)/3)*出来高!E136:R136)),50))</f>
      </c>
      <c r="S136" s="681">
        <f>IF($D136="","",IF(AND(終値!E136&lt;終値!O136,$Q136&gt;(IFERROR(100-100/(1+SUMPRODUCT((終値!O136:AB136&gt;終値!P136:AC136)*(終値!O136:AB136-終値!P136:AC136))/SUMPRODUCT((終値!O136:AB136&lt;終値!P136:AC136)*(終値!P136:AC136-終値!O136:AB136))),100))),"強気div▲",IF(AND(終値!E136&gt;終値!O136,$Q136&lt;(IFERROR(100-100/(1+SUMPRODUCT((終値!O136:AB136&gt;終値!P136:AC136)*(終値!O136:AB136-終値!P136:AC136))/SUMPRODUCT((終値!O136:AB136&lt;終値!P136:AC136)*(終値!P136:AC136-終値!O136:AB136))),100))),"弱気div▼","－")))</f>
      </c>
      <c r="T136" s="681">
        <f>IF($D136="","",IF($D136&gt;=$H136,"上walk▲",IF($D136&lt;=$I136,"下walk▼","－")))</f>
      </c>
      <c r="U136" s="681">
        <f>IF(終値!A136="","",BB_スイング!BT136)</f>
      </c>
      <c r="V136" s="689">
        <f>IF($D136="","",IFERROR(出来高!E136/AVERAGE(出来高!E136:I136),""))</f>
      </c>
      <c r="W136" s="690">
        <f>IF($D136="","",IF(AND($D136&gt;$G136,$O136="拡大↑",$L136&lt;=$M136*1.8),"◎スクイーズブレイク買",IF(AND($D136&gt;=$H136,$R136&gt;=BB設定!$B$10),"○順張り継続(walk)",IF(AND($S136="強気div▲",$D136&gt;$I136),"○反発(ダイバ)買",IF($U136="二番底W▲","△二番底買(確)",IF($U136="二番底W形成","△二番底形成",IF($D136&lt;$J136,"▼-2σ割れ危険",IF(AND($D136&gt;$E136,$K136&lt;0.6,$R136&gt;=50),"・押し目注目",IF($N136="スクイーズ★","☆スクイーズ監視","様子見")))))))))</f>
      </c>
      <c r="X136" s="685">
        <f>IF($D136="","",MIN(100,IF($L136&lt;=$M136*1.15,20,IF($L136&lt;=$M136*1.4,10,0))+IF($D136&gt;$G136,20,IF($D136&gt;$H136,12,IF($D136&gt;$E136,5,0)))+IF($O136="拡大↑",10,0)+IF($R136&gt;=80,15,IF($R136&gt;=60,10,IF($R136&gt;=50,5,0)))+IF(AND($Q136&gt;=50,$Q136&lt;=70),10,IF($Q136&gt;70,3,IF($Q136&gt;=40,5,0)))+IF($S136="強気div▲",15,0)+IF($T136="上walk▲",5,0)+IF($V136&gt;=2,5,IF($V136&gt;=1.5,3,0))))</f>
      </c>
      <c r="Y136" s="682">
        <f>IF($D136="","",$D136)</f>
      </c>
      <c r="Z136" s="682">
        <f>IF($D136="","",$H136)</f>
      </c>
      <c r="AA136" s="682">
        <f>IF($D136="","",IF($D136&gt;$E136,$E136,$AD136))</f>
      </c>
      <c r="AB136" s="682">
        <f>IF($D136="","",$G136)</f>
      </c>
      <c r="AC136" s="688">
        <f>IF($D136="","",IF(($Y136-$AA136)&lt;=0,"－",IFERROR(ROUND(MIN(20,($AB136-$Y136)/($Y136-$AA136)),2),"－")))</f>
      </c>
      <c r="AD136" s="682">
        <f>IF($D136="","",MIN(終値!E136:I136))</f>
      </c>
      <c r="AE136" s="684">
        <f>IF($D136="","",$X136+(10000-ROW())/100000)</f>
      </c>
    </row>
    <row r="137">
      <c r="A137" s="681">
        <f>IF(終値!A137="","",HYPERLINK("https://kabutan.jp/stock/?code="&amp;終値!A137,"📈"))</f>
      </c>
      <c r="B137" s="681">
        <f>IF(終値!A137="","",終値!A137)</f>
      </c>
      <c r="C137" s="680">
        <f>IF(終値!A137="","",終値!B137)</f>
      </c>
      <c r="D137" s="682">
        <f>IF(終値!A137="","",終値!E137)</f>
      </c>
      <c r="E137" s="682">
        <f>IF($D137="","",AVERAGE(終値!E137:X137))</f>
      </c>
      <c r="F137" s="683">
        <f>IF($D137="","",STDEVP(終値!E137:X137))</f>
      </c>
      <c r="G137" s="682">
        <f>IF($D137="","",$E137+BB設定!$B$4*$F137)</f>
      </c>
      <c r="H137" s="682">
        <f>IF($D137="","",$E137+BB設定!$B$5*$F137)</f>
      </c>
      <c r="I137" s="682">
        <f>IF($D137="","",$E137-BB設定!$B$5*$F137)</f>
      </c>
      <c r="J137" s="682">
        <f>IF($D137="","",$E137-BB設定!$B$4*$F137)</f>
      </c>
      <c r="K137" s="687">
        <f>IF($D137="","",IFERROR(($D137-$J137)/($G137-$J137),""))</f>
      </c>
      <c r="L137" s="686">
        <f>IF($D137="","",IFERROR(($G137-$J137)/$E137*100,""))</f>
      </c>
      <c r="M137" s="686">
        <f>IF($D137="","",IFERROR(MIN(BB_帯幅!B137:AP137)*100,""))</f>
      </c>
      <c r="N137" s="681">
        <f>IF($L137="","",IF($L137&lt;=$M137*BB設定!$B$7,"スクイーズ★",IF($L137&lt;=$M137*1.3,"収縮","－")))</f>
      </c>
      <c r="O137" s="681">
        <f>IF($D137="","",IF($L137&gt;(4*STDEVP(終値!F137:Y137)/AVERAGE(終値!F137:Y137)*100),"拡大↑","縮小↓"))</f>
      </c>
      <c r="P137" s="681">
        <f>IF($D137="","",IF($D137&gt;$G137,"↑+2σ突破",IF($D137&lt;$J137,"↓-2σ割れ",IF($D137&gt;$H137,"+1σ上",IF($D137&lt;$I137,"-1σ下","バンド内")))))</f>
      </c>
      <c r="Q137" s="684">
        <f>IF($D137="","",IFERROR(100-100/(1+SUMPRODUCT((終値!E137:R137&gt;終値!F137:S137)*(終値!E137:R137-終値!F137:S137))/SUMPRODUCT((終値!E137:R137&lt;終値!F137:S137)*(終値!F137:S137-終値!E137:R137))),100))</f>
      </c>
      <c r="R137" s="684">
        <f>IF($D137="","",IFERROR(100-100/(1+SUMPRODUCT((((高値!E137:R137+安値!E137:R137+終値!E137:R137)/3)&gt;((高値!F137:S137+安値!F137:S137+終値!F137:S137)/3))*((高値!E137:R137+安値!E137:R137+終値!E137:R137)/3)*出来高!E137:R137)/SUMPRODUCT((((高値!E137:R137+安値!E137:R137+終値!E137:R137)/3)&lt;((高値!F137:S137+安値!F137:S137+終値!F137:S137)/3))*((高値!E137:R137+安値!E137:R137+終値!E137:R137)/3)*出来高!E137:R137)),50))</f>
      </c>
      <c r="S137" s="681">
        <f>IF($D137="","",IF(AND(終値!E137&lt;終値!O137,$Q137&gt;(IFERROR(100-100/(1+SUMPRODUCT((終値!O137:AB137&gt;終値!P137:AC137)*(終値!O137:AB137-終値!P137:AC137))/SUMPRODUCT((終値!O137:AB137&lt;終値!P137:AC137)*(終値!P137:AC137-終値!O137:AB137))),100))),"強気div▲",IF(AND(終値!E137&gt;終値!O137,$Q137&lt;(IFERROR(100-100/(1+SUMPRODUCT((終値!O137:AB137&gt;終値!P137:AC137)*(終値!O137:AB137-終値!P137:AC137))/SUMPRODUCT((終値!O137:AB137&lt;終値!P137:AC137)*(終値!P137:AC137-終値!O137:AB137))),100))),"弱気div▼","－")))</f>
      </c>
      <c r="T137" s="681">
        <f>IF($D137="","",IF($D137&gt;=$H137,"上walk▲",IF($D137&lt;=$I137,"下walk▼","－")))</f>
      </c>
      <c r="U137" s="681">
        <f>IF(終値!A137="","",BB_スイング!BT137)</f>
      </c>
      <c r="V137" s="689">
        <f>IF($D137="","",IFERROR(出来高!E137/AVERAGE(出来高!E137:I137),""))</f>
      </c>
      <c r="W137" s="690">
        <f>IF($D137="","",IF(AND($D137&gt;$G137,$O137="拡大↑",$L137&lt;=$M137*1.8),"◎スクイーズブレイク買",IF(AND($D137&gt;=$H137,$R137&gt;=BB設定!$B$10),"○順張り継続(walk)",IF(AND($S137="強気div▲",$D137&gt;$I137),"○反発(ダイバ)買",IF($U137="二番底W▲","△二番底買(確)",IF($U137="二番底W形成","△二番底形成",IF($D137&lt;$J137,"▼-2σ割れ危険",IF(AND($D137&gt;$E137,$K137&lt;0.6,$R137&gt;=50),"・押し目注目",IF($N137="スクイーズ★","☆スクイーズ監視","様子見")))))))))</f>
      </c>
      <c r="X137" s="685">
        <f>IF($D137="","",MIN(100,IF($L137&lt;=$M137*1.15,20,IF($L137&lt;=$M137*1.4,10,0))+IF($D137&gt;$G137,20,IF($D137&gt;$H137,12,IF($D137&gt;$E137,5,0)))+IF($O137="拡大↑",10,0)+IF($R137&gt;=80,15,IF($R137&gt;=60,10,IF($R137&gt;=50,5,0)))+IF(AND($Q137&gt;=50,$Q137&lt;=70),10,IF($Q137&gt;70,3,IF($Q137&gt;=40,5,0)))+IF($S137="強気div▲",15,0)+IF($T137="上walk▲",5,0)+IF($V137&gt;=2,5,IF($V137&gt;=1.5,3,0))))</f>
      </c>
      <c r="Y137" s="682">
        <f>IF($D137="","",$D137)</f>
      </c>
      <c r="Z137" s="682">
        <f>IF($D137="","",$H137)</f>
      </c>
      <c r="AA137" s="682">
        <f>IF($D137="","",IF($D137&gt;$E137,$E137,$AD137))</f>
      </c>
      <c r="AB137" s="682">
        <f>IF($D137="","",$G137)</f>
      </c>
      <c r="AC137" s="688">
        <f>IF($D137="","",IF(($Y137-$AA137)&lt;=0,"－",IFERROR(ROUND(MIN(20,($AB137-$Y137)/($Y137-$AA137)),2),"－")))</f>
      </c>
      <c r="AD137" s="682">
        <f>IF($D137="","",MIN(終値!E137:I137))</f>
      </c>
      <c r="AE137" s="684">
        <f>IF($D137="","",$X137+(10000-ROW())/100000)</f>
      </c>
    </row>
    <row r="138">
      <c r="A138" s="681">
        <f>IF(終値!A138="","",HYPERLINK("https://kabutan.jp/stock/?code="&amp;終値!A138,"📈"))</f>
      </c>
      <c r="B138" s="681">
        <f>IF(終値!A138="","",終値!A138)</f>
      </c>
      <c r="C138" s="680">
        <f>IF(終値!A138="","",終値!B138)</f>
      </c>
      <c r="D138" s="682">
        <f>IF(終値!A138="","",終値!E138)</f>
      </c>
      <c r="E138" s="682">
        <f>IF($D138="","",AVERAGE(終値!E138:X138))</f>
      </c>
      <c r="F138" s="683">
        <f>IF($D138="","",STDEVP(終値!E138:X138))</f>
      </c>
      <c r="G138" s="682">
        <f>IF($D138="","",$E138+BB設定!$B$4*$F138)</f>
      </c>
      <c r="H138" s="682">
        <f>IF($D138="","",$E138+BB設定!$B$5*$F138)</f>
      </c>
      <c r="I138" s="682">
        <f>IF($D138="","",$E138-BB設定!$B$5*$F138)</f>
      </c>
      <c r="J138" s="682">
        <f>IF($D138="","",$E138-BB設定!$B$4*$F138)</f>
      </c>
      <c r="K138" s="687">
        <f>IF($D138="","",IFERROR(($D138-$J138)/($G138-$J138),""))</f>
      </c>
      <c r="L138" s="686">
        <f>IF($D138="","",IFERROR(($G138-$J138)/$E138*100,""))</f>
      </c>
      <c r="M138" s="686">
        <f>IF($D138="","",IFERROR(MIN(BB_帯幅!B138:AP138)*100,""))</f>
      </c>
      <c r="N138" s="681">
        <f>IF($L138="","",IF($L138&lt;=$M138*BB設定!$B$7,"スクイーズ★",IF($L138&lt;=$M138*1.3,"収縮","－")))</f>
      </c>
      <c r="O138" s="681">
        <f>IF($D138="","",IF($L138&gt;(4*STDEVP(終値!F138:Y138)/AVERAGE(終値!F138:Y138)*100),"拡大↑","縮小↓"))</f>
      </c>
      <c r="P138" s="681">
        <f>IF($D138="","",IF($D138&gt;$G138,"↑+2σ突破",IF($D138&lt;$J138,"↓-2σ割れ",IF($D138&gt;$H138,"+1σ上",IF($D138&lt;$I138,"-1σ下","バンド内")))))</f>
      </c>
      <c r="Q138" s="684">
        <f>IF($D138="","",IFERROR(100-100/(1+SUMPRODUCT((終値!E138:R138&gt;終値!F138:S138)*(終値!E138:R138-終値!F138:S138))/SUMPRODUCT((終値!E138:R138&lt;終値!F138:S138)*(終値!F138:S138-終値!E138:R138))),100))</f>
      </c>
      <c r="R138" s="684">
        <f>IF($D138="","",IFERROR(100-100/(1+SUMPRODUCT((((高値!E138:R138+安値!E138:R138+終値!E138:R138)/3)&gt;((高値!F138:S138+安値!F138:S138+終値!F138:S138)/3))*((高値!E138:R138+安値!E138:R138+終値!E138:R138)/3)*出来高!E138:R138)/SUMPRODUCT((((高値!E138:R138+安値!E138:R138+終値!E138:R138)/3)&lt;((高値!F138:S138+安値!F138:S138+終値!F138:S138)/3))*((高値!E138:R138+安値!E138:R138+終値!E138:R138)/3)*出来高!E138:R138)),50))</f>
      </c>
      <c r="S138" s="681">
        <f>IF($D138="","",IF(AND(終値!E138&lt;終値!O138,$Q138&gt;(IFERROR(100-100/(1+SUMPRODUCT((終値!O138:AB138&gt;終値!P138:AC138)*(終値!O138:AB138-終値!P138:AC138))/SUMPRODUCT((終値!O138:AB138&lt;終値!P138:AC138)*(終値!P138:AC138-終値!O138:AB138))),100))),"強気div▲",IF(AND(終値!E138&gt;終値!O138,$Q138&lt;(IFERROR(100-100/(1+SUMPRODUCT((終値!O138:AB138&gt;終値!P138:AC138)*(終値!O138:AB138-終値!P138:AC138))/SUMPRODUCT((終値!O138:AB138&lt;終値!P138:AC138)*(終値!P138:AC138-終値!O138:AB138))),100))),"弱気div▼","－")))</f>
      </c>
      <c r="T138" s="681">
        <f>IF($D138="","",IF($D138&gt;=$H138,"上walk▲",IF($D138&lt;=$I138,"下walk▼","－")))</f>
      </c>
      <c r="U138" s="681">
        <f>IF(終値!A138="","",BB_スイング!BT138)</f>
      </c>
      <c r="V138" s="689">
        <f>IF($D138="","",IFERROR(出来高!E138/AVERAGE(出来高!E138:I138),""))</f>
      </c>
      <c r="W138" s="690">
        <f>IF($D138="","",IF(AND($D138&gt;$G138,$O138="拡大↑",$L138&lt;=$M138*1.8),"◎スクイーズブレイク買",IF(AND($D138&gt;=$H138,$R138&gt;=BB設定!$B$10),"○順張り継続(walk)",IF(AND($S138="強気div▲",$D138&gt;$I138),"○反発(ダイバ)買",IF($U138="二番底W▲","△二番底買(確)",IF($U138="二番底W形成","△二番底形成",IF($D138&lt;$J138,"▼-2σ割れ危険",IF(AND($D138&gt;$E138,$K138&lt;0.6,$R138&gt;=50),"・押し目注目",IF($N138="スクイーズ★","☆スクイーズ監視","様子見")))))))))</f>
      </c>
      <c r="X138" s="685">
        <f>IF($D138="","",MIN(100,IF($L138&lt;=$M138*1.15,20,IF($L138&lt;=$M138*1.4,10,0))+IF($D138&gt;$G138,20,IF($D138&gt;$H138,12,IF($D138&gt;$E138,5,0)))+IF($O138="拡大↑",10,0)+IF($R138&gt;=80,15,IF($R138&gt;=60,10,IF($R138&gt;=50,5,0)))+IF(AND($Q138&gt;=50,$Q138&lt;=70),10,IF($Q138&gt;70,3,IF($Q138&gt;=40,5,0)))+IF($S138="強気div▲",15,0)+IF($T138="上walk▲",5,0)+IF($V138&gt;=2,5,IF($V138&gt;=1.5,3,0))))</f>
      </c>
      <c r="Y138" s="682">
        <f>IF($D138="","",$D138)</f>
      </c>
      <c r="Z138" s="682">
        <f>IF($D138="","",$H138)</f>
      </c>
      <c r="AA138" s="682">
        <f>IF($D138="","",IF($D138&gt;$E138,$E138,$AD138))</f>
      </c>
      <c r="AB138" s="682">
        <f>IF($D138="","",$G138)</f>
      </c>
      <c r="AC138" s="688">
        <f>IF($D138="","",IF(($Y138-$AA138)&lt;=0,"－",IFERROR(ROUND(MIN(20,($AB138-$Y138)/($Y138-$AA138)),2),"－")))</f>
      </c>
      <c r="AD138" s="682">
        <f>IF($D138="","",MIN(終値!E138:I138))</f>
      </c>
      <c r="AE138" s="684">
        <f>IF($D138="","",$X138+(10000-ROW())/100000)</f>
      </c>
    </row>
    <row r="139">
      <c r="A139" s="681">
        <f>IF(終値!A139="","",HYPERLINK("https://kabutan.jp/stock/?code="&amp;終値!A139,"📈"))</f>
      </c>
      <c r="B139" s="681">
        <f>IF(終値!A139="","",終値!A139)</f>
      </c>
      <c r="C139" s="680">
        <f>IF(終値!A139="","",終値!B139)</f>
      </c>
      <c r="D139" s="682">
        <f>IF(終値!A139="","",終値!E139)</f>
      </c>
      <c r="E139" s="682">
        <f>IF($D139="","",AVERAGE(終値!E139:X139))</f>
      </c>
      <c r="F139" s="683">
        <f>IF($D139="","",STDEVP(終値!E139:X139))</f>
      </c>
      <c r="G139" s="682">
        <f>IF($D139="","",$E139+BB設定!$B$4*$F139)</f>
      </c>
      <c r="H139" s="682">
        <f>IF($D139="","",$E139+BB設定!$B$5*$F139)</f>
      </c>
      <c r="I139" s="682">
        <f>IF($D139="","",$E139-BB設定!$B$5*$F139)</f>
      </c>
      <c r="J139" s="682">
        <f>IF($D139="","",$E139-BB設定!$B$4*$F139)</f>
      </c>
      <c r="K139" s="687">
        <f>IF($D139="","",IFERROR(($D139-$J139)/($G139-$J139),""))</f>
      </c>
      <c r="L139" s="686">
        <f>IF($D139="","",IFERROR(($G139-$J139)/$E139*100,""))</f>
      </c>
      <c r="M139" s="686">
        <f>IF($D139="","",IFERROR(MIN(BB_帯幅!B139:AP139)*100,""))</f>
      </c>
      <c r="N139" s="681">
        <f>IF($L139="","",IF($L139&lt;=$M139*BB設定!$B$7,"スクイーズ★",IF($L139&lt;=$M139*1.3,"収縮","－")))</f>
      </c>
      <c r="O139" s="681">
        <f>IF($D139="","",IF($L139&gt;(4*STDEVP(終値!F139:Y139)/AVERAGE(終値!F139:Y139)*100),"拡大↑","縮小↓"))</f>
      </c>
      <c r="P139" s="681">
        <f>IF($D139="","",IF($D139&gt;$G139,"↑+2σ突破",IF($D139&lt;$J139,"↓-2σ割れ",IF($D139&gt;$H139,"+1σ上",IF($D139&lt;$I139,"-1σ下","バンド内")))))</f>
      </c>
      <c r="Q139" s="684">
        <f>IF($D139="","",IFERROR(100-100/(1+SUMPRODUCT((終値!E139:R139&gt;終値!F139:S139)*(終値!E139:R139-終値!F139:S139))/SUMPRODUCT((終値!E139:R139&lt;終値!F139:S139)*(終値!F139:S139-終値!E139:R139))),100))</f>
      </c>
      <c r="R139" s="684">
        <f>IF($D139="","",IFERROR(100-100/(1+SUMPRODUCT((((高値!E139:R139+安値!E139:R139+終値!E139:R139)/3)&gt;((高値!F139:S139+安値!F139:S139+終値!F139:S139)/3))*((高値!E139:R139+安値!E139:R139+終値!E139:R139)/3)*出来高!E139:R139)/SUMPRODUCT((((高値!E139:R139+安値!E139:R139+終値!E139:R139)/3)&lt;((高値!F139:S139+安値!F139:S139+終値!F139:S139)/3))*((高値!E139:R139+安値!E139:R139+終値!E139:R139)/3)*出来高!E139:R139)),50))</f>
      </c>
      <c r="S139" s="681">
        <f>IF($D139="","",IF(AND(終値!E139&lt;終値!O139,$Q139&gt;(IFERROR(100-100/(1+SUMPRODUCT((終値!O139:AB139&gt;終値!P139:AC139)*(終値!O139:AB139-終値!P139:AC139))/SUMPRODUCT((終値!O139:AB139&lt;終値!P139:AC139)*(終値!P139:AC139-終値!O139:AB139))),100))),"強気div▲",IF(AND(終値!E139&gt;終値!O139,$Q139&lt;(IFERROR(100-100/(1+SUMPRODUCT((終値!O139:AB139&gt;終値!P139:AC139)*(終値!O139:AB139-終値!P139:AC139))/SUMPRODUCT((終値!O139:AB139&lt;終値!P139:AC139)*(終値!P139:AC139-終値!O139:AB139))),100))),"弱気div▼","－")))</f>
      </c>
      <c r="T139" s="681">
        <f>IF($D139="","",IF($D139&gt;=$H139,"上walk▲",IF($D139&lt;=$I139,"下walk▼","－")))</f>
      </c>
      <c r="U139" s="681">
        <f>IF(終値!A139="","",BB_スイング!BT139)</f>
      </c>
      <c r="V139" s="689">
        <f>IF($D139="","",IFERROR(出来高!E139/AVERAGE(出来高!E139:I139),""))</f>
      </c>
      <c r="W139" s="690">
        <f>IF($D139="","",IF(AND($D139&gt;$G139,$O139="拡大↑",$L139&lt;=$M139*1.8),"◎スクイーズブレイク買",IF(AND($D139&gt;=$H139,$R139&gt;=BB設定!$B$10),"○順張り継続(walk)",IF(AND($S139="強気div▲",$D139&gt;$I139),"○反発(ダイバ)買",IF($U139="二番底W▲","△二番底買(確)",IF($U139="二番底W形成","△二番底形成",IF($D139&lt;$J139,"▼-2σ割れ危険",IF(AND($D139&gt;$E139,$K139&lt;0.6,$R139&gt;=50),"・押し目注目",IF($N139="スクイーズ★","☆スクイーズ監視","様子見")))))))))</f>
      </c>
      <c r="X139" s="685">
        <f>IF($D139="","",MIN(100,IF($L139&lt;=$M139*1.15,20,IF($L139&lt;=$M139*1.4,10,0))+IF($D139&gt;$G139,20,IF($D139&gt;$H139,12,IF($D139&gt;$E139,5,0)))+IF($O139="拡大↑",10,0)+IF($R139&gt;=80,15,IF($R139&gt;=60,10,IF($R139&gt;=50,5,0)))+IF(AND($Q139&gt;=50,$Q139&lt;=70),10,IF($Q139&gt;70,3,IF($Q139&gt;=40,5,0)))+IF($S139="強気div▲",15,0)+IF($T139="上walk▲",5,0)+IF($V139&gt;=2,5,IF($V139&gt;=1.5,3,0))))</f>
      </c>
      <c r="Y139" s="682">
        <f>IF($D139="","",$D139)</f>
      </c>
      <c r="Z139" s="682">
        <f>IF($D139="","",$H139)</f>
      </c>
      <c r="AA139" s="682">
        <f>IF($D139="","",IF($D139&gt;$E139,$E139,$AD139))</f>
      </c>
      <c r="AB139" s="682">
        <f>IF($D139="","",$G139)</f>
      </c>
      <c r="AC139" s="688">
        <f>IF($D139="","",IF(($Y139-$AA139)&lt;=0,"－",IFERROR(ROUND(MIN(20,($AB139-$Y139)/($Y139-$AA139)),2),"－")))</f>
      </c>
      <c r="AD139" s="682">
        <f>IF($D139="","",MIN(終値!E139:I139))</f>
      </c>
      <c r="AE139" s="684">
        <f>IF($D139="","",$X139+(10000-ROW())/100000)</f>
      </c>
    </row>
    <row r="140">
      <c r="A140" s="681">
        <f>IF(終値!A140="","",HYPERLINK("https://kabutan.jp/stock/?code="&amp;終値!A140,"📈"))</f>
      </c>
      <c r="B140" s="681">
        <f>IF(終値!A140="","",終値!A140)</f>
      </c>
      <c r="C140" s="680">
        <f>IF(終値!A140="","",終値!B140)</f>
      </c>
      <c r="D140" s="682">
        <f>IF(終値!A140="","",終値!E140)</f>
      </c>
      <c r="E140" s="682">
        <f>IF($D140="","",AVERAGE(終値!E140:X140))</f>
      </c>
      <c r="F140" s="683">
        <f>IF($D140="","",STDEVP(終値!E140:X140))</f>
      </c>
      <c r="G140" s="682">
        <f>IF($D140="","",$E140+BB設定!$B$4*$F140)</f>
      </c>
      <c r="H140" s="682">
        <f>IF($D140="","",$E140+BB設定!$B$5*$F140)</f>
      </c>
      <c r="I140" s="682">
        <f>IF($D140="","",$E140-BB設定!$B$5*$F140)</f>
      </c>
      <c r="J140" s="682">
        <f>IF($D140="","",$E140-BB設定!$B$4*$F140)</f>
      </c>
      <c r="K140" s="687">
        <f>IF($D140="","",IFERROR(($D140-$J140)/($G140-$J140),""))</f>
      </c>
      <c r="L140" s="686">
        <f>IF($D140="","",IFERROR(($G140-$J140)/$E140*100,""))</f>
      </c>
      <c r="M140" s="686">
        <f>IF($D140="","",IFERROR(MIN(BB_帯幅!B140:AP140)*100,""))</f>
      </c>
      <c r="N140" s="681">
        <f>IF($L140="","",IF($L140&lt;=$M140*BB設定!$B$7,"スクイーズ★",IF($L140&lt;=$M140*1.3,"収縮","－")))</f>
      </c>
      <c r="O140" s="681">
        <f>IF($D140="","",IF($L140&gt;(4*STDEVP(終値!F140:Y140)/AVERAGE(終値!F140:Y140)*100),"拡大↑","縮小↓"))</f>
      </c>
      <c r="P140" s="681">
        <f>IF($D140="","",IF($D140&gt;$G140,"↑+2σ突破",IF($D140&lt;$J140,"↓-2σ割れ",IF($D140&gt;$H140,"+1σ上",IF($D140&lt;$I140,"-1σ下","バンド内")))))</f>
      </c>
      <c r="Q140" s="684">
        <f>IF($D140="","",IFERROR(100-100/(1+SUMPRODUCT((終値!E140:R140&gt;終値!F140:S140)*(終値!E140:R140-終値!F140:S140))/SUMPRODUCT((終値!E140:R140&lt;終値!F140:S140)*(終値!F140:S140-終値!E140:R140))),100))</f>
      </c>
      <c r="R140" s="684">
        <f>IF($D140="","",IFERROR(100-100/(1+SUMPRODUCT((((高値!E140:R140+安値!E140:R140+終値!E140:R140)/3)&gt;((高値!F140:S140+安値!F140:S140+終値!F140:S140)/3))*((高値!E140:R140+安値!E140:R140+終値!E140:R140)/3)*出来高!E140:R140)/SUMPRODUCT((((高値!E140:R140+安値!E140:R140+終値!E140:R140)/3)&lt;((高値!F140:S140+安値!F140:S140+終値!F140:S140)/3))*((高値!E140:R140+安値!E140:R140+終値!E140:R140)/3)*出来高!E140:R140)),50))</f>
      </c>
      <c r="S140" s="681">
        <f>IF($D140="","",IF(AND(終値!E140&lt;終値!O140,$Q140&gt;(IFERROR(100-100/(1+SUMPRODUCT((終値!O140:AB140&gt;終値!P140:AC140)*(終値!O140:AB140-終値!P140:AC140))/SUMPRODUCT((終値!O140:AB140&lt;終値!P140:AC140)*(終値!P140:AC140-終値!O140:AB140))),100))),"強気div▲",IF(AND(終値!E140&gt;終値!O140,$Q140&lt;(IFERROR(100-100/(1+SUMPRODUCT((終値!O140:AB140&gt;終値!P140:AC140)*(終値!O140:AB140-終値!P140:AC140))/SUMPRODUCT((終値!O140:AB140&lt;終値!P140:AC140)*(終値!P140:AC140-終値!O140:AB140))),100))),"弱気div▼","－")))</f>
      </c>
      <c r="T140" s="681">
        <f>IF($D140="","",IF($D140&gt;=$H140,"上walk▲",IF($D140&lt;=$I140,"下walk▼","－")))</f>
      </c>
      <c r="U140" s="681">
        <f>IF(終値!A140="","",BB_スイング!BT140)</f>
      </c>
      <c r="V140" s="689">
        <f>IF($D140="","",IFERROR(出来高!E140/AVERAGE(出来高!E140:I140),""))</f>
      </c>
      <c r="W140" s="690">
        <f>IF($D140="","",IF(AND($D140&gt;$G140,$O140="拡大↑",$L140&lt;=$M140*1.8),"◎スクイーズブレイク買",IF(AND($D140&gt;=$H140,$R140&gt;=BB設定!$B$10),"○順張り継続(walk)",IF(AND($S140="強気div▲",$D140&gt;$I140),"○反発(ダイバ)買",IF($U140="二番底W▲","△二番底買(確)",IF($U140="二番底W形成","△二番底形成",IF($D140&lt;$J140,"▼-2σ割れ危険",IF(AND($D140&gt;$E140,$K140&lt;0.6,$R140&gt;=50),"・押し目注目",IF($N140="スクイーズ★","☆スクイーズ監視","様子見")))))))))</f>
      </c>
      <c r="X140" s="685">
        <f>IF($D140="","",MIN(100,IF($L140&lt;=$M140*1.15,20,IF($L140&lt;=$M140*1.4,10,0))+IF($D140&gt;$G140,20,IF($D140&gt;$H140,12,IF($D140&gt;$E140,5,0)))+IF($O140="拡大↑",10,0)+IF($R140&gt;=80,15,IF($R140&gt;=60,10,IF($R140&gt;=50,5,0)))+IF(AND($Q140&gt;=50,$Q140&lt;=70),10,IF($Q140&gt;70,3,IF($Q140&gt;=40,5,0)))+IF($S140="強気div▲",15,0)+IF($T140="上walk▲",5,0)+IF($V140&gt;=2,5,IF($V140&gt;=1.5,3,0))))</f>
      </c>
      <c r="Y140" s="682">
        <f>IF($D140="","",$D140)</f>
      </c>
      <c r="Z140" s="682">
        <f>IF($D140="","",$H140)</f>
      </c>
      <c r="AA140" s="682">
        <f>IF($D140="","",IF($D140&gt;$E140,$E140,$AD140))</f>
      </c>
      <c r="AB140" s="682">
        <f>IF($D140="","",$G140)</f>
      </c>
      <c r="AC140" s="688">
        <f>IF($D140="","",IF(($Y140-$AA140)&lt;=0,"－",IFERROR(ROUND(MIN(20,($AB140-$Y140)/($Y140-$AA140)),2),"－")))</f>
      </c>
      <c r="AD140" s="682">
        <f>IF($D140="","",MIN(終値!E140:I140))</f>
      </c>
      <c r="AE140" s="684">
        <f>IF($D140="","",$X140+(10000-ROW())/100000)</f>
      </c>
    </row>
    <row r="141">
      <c r="A141" s="681">
        <f>IF(終値!A141="","",HYPERLINK("https://kabutan.jp/stock/?code="&amp;終値!A141,"📈"))</f>
      </c>
      <c r="B141" s="681">
        <f>IF(終値!A141="","",終値!A141)</f>
      </c>
      <c r="C141" s="680">
        <f>IF(終値!A141="","",終値!B141)</f>
      </c>
      <c r="D141" s="682">
        <f>IF(終値!A141="","",終値!E141)</f>
      </c>
      <c r="E141" s="682">
        <f>IF($D141="","",AVERAGE(終値!E141:X141))</f>
      </c>
      <c r="F141" s="683">
        <f>IF($D141="","",STDEVP(終値!E141:X141))</f>
      </c>
      <c r="G141" s="682">
        <f>IF($D141="","",$E141+BB設定!$B$4*$F141)</f>
      </c>
      <c r="H141" s="682">
        <f>IF($D141="","",$E141+BB設定!$B$5*$F141)</f>
      </c>
      <c r="I141" s="682">
        <f>IF($D141="","",$E141-BB設定!$B$5*$F141)</f>
      </c>
      <c r="J141" s="682">
        <f>IF($D141="","",$E141-BB設定!$B$4*$F141)</f>
      </c>
      <c r="K141" s="687">
        <f>IF($D141="","",IFERROR(($D141-$J141)/($G141-$J141),""))</f>
      </c>
      <c r="L141" s="686">
        <f>IF($D141="","",IFERROR(($G141-$J141)/$E141*100,""))</f>
      </c>
      <c r="M141" s="686">
        <f>IF($D141="","",IFERROR(MIN(BB_帯幅!B141:AP141)*100,""))</f>
      </c>
      <c r="N141" s="681">
        <f>IF($L141="","",IF($L141&lt;=$M141*BB設定!$B$7,"スクイーズ★",IF($L141&lt;=$M141*1.3,"収縮","－")))</f>
      </c>
      <c r="O141" s="681">
        <f>IF($D141="","",IF($L141&gt;(4*STDEVP(終値!F141:Y141)/AVERAGE(終値!F141:Y141)*100),"拡大↑","縮小↓"))</f>
      </c>
      <c r="P141" s="681">
        <f>IF($D141="","",IF($D141&gt;$G141,"↑+2σ突破",IF($D141&lt;$J141,"↓-2σ割れ",IF($D141&gt;$H141,"+1σ上",IF($D141&lt;$I141,"-1σ下","バンド内")))))</f>
      </c>
      <c r="Q141" s="684">
        <f>IF($D141="","",IFERROR(100-100/(1+SUMPRODUCT((終値!E141:R141&gt;終値!F141:S141)*(終値!E141:R141-終値!F141:S141))/SUMPRODUCT((終値!E141:R141&lt;終値!F141:S141)*(終値!F141:S141-終値!E141:R141))),100))</f>
      </c>
      <c r="R141" s="684">
        <f>IF($D141="","",IFERROR(100-100/(1+SUMPRODUCT((((高値!E141:R141+安値!E141:R141+終値!E141:R141)/3)&gt;((高値!F141:S141+安値!F141:S141+終値!F141:S141)/3))*((高値!E141:R141+安値!E141:R141+終値!E141:R141)/3)*出来高!E141:R141)/SUMPRODUCT((((高値!E141:R141+安値!E141:R141+終値!E141:R141)/3)&lt;((高値!F141:S141+安値!F141:S141+終値!F141:S141)/3))*((高値!E141:R141+安値!E141:R141+終値!E141:R141)/3)*出来高!E141:R141)),50))</f>
      </c>
      <c r="S141" s="681">
        <f>IF($D141="","",IF(AND(終値!E141&lt;終値!O141,$Q141&gt;(IFERROR(100-100/(1+SUMPRODUCT((終値!O141:AB141&gt;終値!P141:AC141)*(終値!O141:AB141-終値!P141:AC141))/SUMPRODUCT((終値!O141:AB141&lt;終値!P141:AC141)*(終値!P141:AC141-終値!O141:AB141))),100))),"強気div▲",IF(AND(終値!E141&gt;終値!O141,$Q141&lt;(IFERROR(100-100/(1+SUMPRODUCT((終値!O141:AB141&gt;終値!P141:AC141)*(終値!O141:AB141-終値!P141:AC141))/SUMPRODUCT((終値!O141:AB141&lt;終値!P141:AC141)*(終値!P141:AC141-終値!O141:AB141))),100))),"弱気div▼","－")))</f>
      </c>
      <c r="T141" s="681">
        <f>IF($D141="","",IF($D141&gt;=$H141,"上walk▲",IF($D141&lt;=$I141,"下walk▼","－")))</f>
      </c>
      <c r="U141" s="681">
        <f>IF(終値!A141="","",BB_スイング!BT141)</f>
      </c>
      <c r="V141" s="689">
        <f>IF($D141="","",IFERROR(出来高!E141/AVERAGE(出来高!E141:I141),""))</f>
      </c>
      <c r="W141" s="690">
        <f>IF($D141="","",IF(AND($D141&gt;$G141,$O141="拡大↑",$L141&lt;=$M141*1.8),"◎スクイーズブレイク買",IF(AND($D141&gt;=$H141,$R141&gt;=BB設定!$B$10),"○順張り継続(walk)",IF(AND($S141="強気div▲",$D141&gt;$I141),"○反発(ダイバ)買",IF($U141="二番底W▲","△二番底買(確)",IF($U141="二番底W形成","△二番底形成",IF($D141&lt;$J141,"▼-2σ割れ危険",IF(AND($D141&gt;$E141,$K141&lt;0.6,$R141&gt;=50),"・押し目注目",IF($N141="スクイーズ★","☆スクイーズ監視","様子見")))))))))</f>
      </c>
      <c r="X141" s="685">
        <f>IF($D141="","",MIN(100,IF($L141&lt;=$M141*1.15,20,IF($L141&lt;=$M141*1.4,10,0))+IF($D141&gt;$G141,20,IF($D141&gt;$H141,12,IF($D141&gt;$E141,5,0)))+IF($O141="拡大↑",10,0)+IF($R141&gt;=80,15,IF($R141&gt;=60,10,IF($R141&gt;=50,5,0)))+IF(AND($Q141&gt;=50,$Q141&lt;=70),10,IF($Q141&gt;70,3,IF($Q141&gt;=40,5,0)))+IF($S141="強気div▲",15,0)+IF($T141="上walk▲",5,0)+IF($V141&gt;=2,5,IF($V141&gt;=1.5,3,0))))</f>
      </c>
      <c r="Y141" s="682">
        <f>IF($D141="","",$D141)</f>
      </c>
      <c r="Z141" s="682">
        <f>IF($D141="","",$H141)</f>
      </c>
      <c r="AA141" s="682">
        <f>IF($D141="","",IF($D141&gt;$E141,$E141,$AD141))</f>
      </c>
      <c r="AB141" s="682">
        <f>IF($D141="","",$G141)</f>
      </c>
      <c r="AC141" s="688">
        <f>IF($D141="","",IF(($Y141-$AA141)&lt;=0,"－",IFERROR(ROUND(MIN(20,($AB141-$Y141)/($Y141-$AA141)),2),"－")))</f>
      </c>
      <c r="AD141" s="682">
        <f>IF($D141="","",MIN(終値!E141:I141))</f>
      </c>
      <c r="AE141" s="684">
        <f>IF($D141="","",$X141+(10000-ROW())/100000)</f>
      </c>
    </row>
    <row r="142">
      <c r="A142" s="681">
        <f>IF(終値!A142="","",HYPERLINK("https://kabutan.jp/stock/?code="&amp;終値!A142,"📈"))</f>
      </c>
      <c r="B142" s="681">
        <f>IF(終値!A142="","",終値!A142)</f>
      </c>
      <c r="C142" s="680">
        <f>IF(終値!A142="","",終値!B142)</f>
      </c>
      <c r="D142" s="682">
        <f>IF(終値!A142="","",終値!E142)</f>
      </c>
      <c r="E142" s="682">
        <f>IF($D142="","",AVERAGE(終値!E142:X142))</f>
      </c>
      <c r="F142" s="683">
        <f>IF($D142="","",STDEVP(終値!E142:X142))</f>
      </c>
      <c r="G142" s="682">
        <f>IF($D142="","",$E142+BB設定!$B$4*$F142)</f>
      </c>
      <c r="H142" s="682">
        <f>IF($D142="","",$E142+BB設定!$B$5*$F142)</f>
      </c>
      <c r="I142" s="682">
        <f>IF($D142="","",$E142-BB設定!$B$5*$F142)</f>
      </c>
      <c r="J142" s="682">
        <f>IF($D142="","",$E142-BB設定!$B$4*$F142)</f>
      </c>
      <c r="K142" s="687">
        <f>IF($D142="","",IFERROR(($D142-$J142)/($G142-$J142),""))</f>
      </c>
      <c r="L142" s="686">
        <f>IF($D142="","",IFERROR(($G142-$J142)/$E142*100,""))</f>
      </c>
      <c r="M142" s="686">
        <f>IF($D142="","",IFERROR(MIN(BB_帯幅!B142:AP142)*100,""))</f>
      </c>
      <c r="N142" s="681">
        <f>IF($L142="","",IF($L142&lt;=$M142*BB設定!$B$7,"スクイーズ★",IF($L142&lt;=$M142*1.3,"収縮","－")))</f>
      </c>
      <c r="O142" s="681">
        <f>IF($D142="","",IF($L142&gt;(4*STDEVP(終値!F142:Y142)/AVERAGE(終値!F142:Y142)*100),"拡大↑","縮小↓"))</f>
      </c>
      <c r="P142" s="681">
        <f>IF($D142="","",IF($D142&gt;$G142,"↑+2σ突破",IF($D142&lt;$J142,"↓-2σ割れ",IF($D142&gt;$H142,"+1σ上",IF($D142&lt;$I142,"-1σ下","バンド内")))))</f>
      </c>
      <c r="Q142" s="684">
        <f>IF($D142="","",IFERROR(100-100/(1+SUMPRODUCT((終値!E142:R142&gt;終値!F142:S142)*(終値!E142:R142-終値!F142:S142))/SUMPRODUCT((終値!E142:R142&lt;終値!F142:S142)*(終値!F142:S142-終値!E142:R142))),100))</f>
      </c>
      <c r="R142" s="684">
        <f>IF($D142="","",IFERROR(100-100/(1+SUMPRODUCT((((高値!E142:R142+安値!E142:R142+終値!E142:R142)/3)&gt;((高値!F142:S142+安値!F142:S142+終値!F142:S142)/3))*((高値!E142:R142+安値!E142:R142+終値!E142:R142)/3)*出来高!E142:R142)/SUMPRODUCT((((高値!E142:R142+安値!E142:R142+終値!E142:R142)/3)&lt;((高値!F142:S142+安値!F142:S142+終値!F142:S142)/3))*((高値!E142:R142+安値!E142:R142+終値!E142:R142)/3)*出来高!E142:R142)),50))</f>
      </c>
      <c r="S142" s="681">
        <f>IF($D142="","",IF(AND(終値!E142&lt;終値!O142,$Q142&gt;(IFERROR(100-100/(1+SUMPRODUCT((終値!O142:AB142&gt;終値!P142:AC142)*(終値!O142:AB142-終値!P142:AC142))/SUMPRODUCT((終値!O142:AB142&lt;終値!P142:AC142)*(終値!P142:AC142-終値!O142:AB142))),100))),"強気div▲",IF(AND(終値!E142&gt;終値!O142,$Q142&lt;(IFERROR(100-100/(1+SUMPRODUCT((終値!O142:AB142&gt;終値!P142:AC142)*(終値!O142:AB142-終値!P142:AC142))/SUMPRODUCT((終値!O142:AB142&lt;終値!P142:AC142)*(終値!P142:AC142-終値!O142:AB142))),100))),"弱気div▼","－")))</f>
      </c>
      <c r="T142" s="681">
        <f>IF($D142="","",IF($D142&gt;=$H142,"上walk▲",IF($D142&lt;=$I142,"下walk▼","－")))</f>
      </c>
      <c r="U142" s="681">
        <f>IF(終値!A142="","",BB_スイング!BT142)</f>
      </c>
      <c r="V142" s="689">
        <f>IF($D142="","",IFERROR(出来高!E142/AVERAGE(出来高!E142:I142),""))</f>
      </c>
      <c r="W142" s="690">
        <f>IF($D142="","",IF(AND($D142&gt;$G142,$O142="拡大↑",$L142&lt;=$M142*1.8),"◎スクイーズブレイク買",IF(AND($D142&gt;=$H142,$R142&gt;=BB設定!$B$10),"○順張り継続(walk)",IF(AND($S142="強気div▲",$D142&gt;$I142),"○反発(ダイバ)買",IF($U142="二番底W▲","△二番底買(確)",IF($U142="二番底W形成","△二番底形成",IF($D142&lt;$J142,"▼-2σ割れ危険",IF(AND($D142&gt;$E142,$K142&lt;0.6,$R142&gt;=50),"・押し目注目",IF($N142="スクイーズ★","☆スクイーズ監視","様子見")))))))))</f>
      </c>
      <c r="X142" s="685">
        <f>IF($D142="","",MIN(100,IF($L142&lt;=$M142*1.15,20,IF($L142&lt;=$M142*1.4,10,0))+IF($D142&gt;$G142,20,IF($D142&gt;$H142,12,IF($D142&gt;$E142,5,0)))+IF($O142="拡大↑",10,0)+IF($R142&gt;=80,15,IF($R142&gt;=60,10,IF($R142&gt;=50,5,0)))+IF(AND($Q142&gt;=50,$Q142&lt;=70),10,IF($Q142&gt;70,3,IF($Q142&gt;=40,5,0)))+IF($S142="強気div▲",15,0)+IF($T142="上walk▲",5,0)+IF($V142&gt;=2,5,IF($V142&gt;=1.5,3,0))))</f>
      </c>
      <c r="Y142" s="682">
        <f>IF($D142="","",$D142)</f>
      </c>
      <c r="Z142" s="682">
        <f>IF($D142="","",$H142)</f>
      </c>
      <c r="AA142" s="682">
        <f>IF($D142="","",IF($D142&gt;$E142,$E142,$AD142))</f>
      </c>
      <c r="AB142" s="682">
        <f>IF($D142="","",$G142)</f>
      </c>
      <c r="AC142" s="688">
        <f>IF($D142="","",IF(($Y142-$AA142)&lt;=0,"－",IFERROR(ROUND(MIN(20,($AB142-$Y142)/($Y142-$AA142)),2),"－")))</f>
      </c>
      <c r="AD142" s="682">
        <f>IF($D142="","",MIN(終値!E142:I142))</f>
      </c>
      <c r="AE142" s="684">
        <f>IF($D142="","",$X142+(10000-ROW())/100000)</f>
      </c>
    </row>
    <row r="143">
      <c r="A143" s="681">
        <f>IF(終値!A143="","",HYPERLINK("https://kabutan.jp/stock/?code="&amp;終値!A143,"📈"))</f>
      </c>
      <c r="B143" s="681">
        <f>IF(終値!A143="","",終値!A143)</f>
      </c>
      <c r="C143" s="680">
        <f>IF(終値!A143="","",終値!B143)</f>
      </c>
      <c r="D143" s="682">
        <f>IF(終値!A143="","",終値!E143)</f>
      </c>
      <c r="E143" s="682">
        <f>IF($D143="","",AVERAGE(終値!E143:X143))</f>
      </c>
      <c r="F143" s="683">
        <f>IF($D143="","",STDEVP(終値!E143:X143))</f>
      </c>
      <c r="G143" s="682">
        <f>IF($D143="","",$E143+BB設定!$B$4*$F143)</f>
      </c>
      <c r="H143" s="682">
        <f>IF($D143="","",$E143+BB設定!$B$5*$F143)</f>
      </c>
      <c r="I143" s="682">
        <f>IF($D143="","",$E143-BB設定!$B$5*$F143)</f>
      </c>
      <c r="J143" s="682">
        <f>IF($D143="","",$E143-BB設定!$B$4*$F143)</f>
      </c>
      <c r="K143" s="687">
        <f>IF($D143="","",IFERROR(($D143-$J143)/($G143-$J143),""))</f>
      </c>
      <c r="L143" s="686">
        <f>IF($D143="","",IFERROR(($G143-$J143)/$E143*100,""))</f>
      </c>
      <c r="M143" s="686">
        <f>IF($D143="","",IFERROR(MIN(BB_帯幅!B143:AP143)*100,""))</f>
      </c>
      <c r="N143" s="681">
        <f>IF($L143="","",IF($L143&lt;=$M143*BB設定!$B$7,"スクイーズ★",IF($L143&lt;=$M143*1.3,"収縮","－")))</f>
      </c>
      <c r="O143" s="681">
        <f>IF($D143="","",IF($L143&gt;(4*STDEVP(終値!F143:Y143)/AVERAGE(終値!F143:Y143)*100),"拡大↑","縮小↓"))</f>
      </c>
      <c r="P143" s="681">
        <f>IF($D143="","",IF($D143&gt;$G143,"↑+2σ突破",IF($D143&lt;$J143,"↓-2σ割れ",IF($D143&gt;$H143,"+1σ上",IF($D143&lt;$I143,"-1σ下","バンド内")))))</f>
      </c>
      <c r="Q143" s="684">
        <f>IF($D143="","",IFERROR(100-100/(1+SUMPRODUCT((終値!E143:R143&gt;終値!F143:S143)*(終値!E143:R143-終値!F143:S143))/SUMPRODUCT((終値!E143:R143&lt;終値!F143:S143)*(終値!F143:S143-終値!E143:R143))),100))</f>
      </c>
      <c r="R143" s="684">
        <f>IF($D143="","",IFERROR(100-100/(1+SUMPRODUCT((((高値!E143:R143+安値!E143:R143+終値!E143:R143)/3)&gt;((高値!F143:S143+安値!F143:S143+終値!F143:S143)/3))*((高値!E143:R143+安値!E143:R143+終値!E143:R143)/3)*出来高!E143:R143)/SUMPRODUCT((((高値!E143:R143+安値!E143:R143+終値!E143:R143)/3)&lt;((高値!F143:S143+安値!F143:S143+終値!F143:S143)/3))*((高値!E143:R143+安値!E143:R143+終値!E143:R143)/3)*出来高!E143:R143)),50))</f>
      </c>
      <c r="S143" s="681">
        <f>IF($D143="","",IF(AND(終値!E143&lt;終値!O143,$Q143&gt;(IFERROR(100-100/(1+SUMPRODUCT((終値!O143:AB143&gt;終値!P143:AC143)*(終値!O143:AB143-終値!P143:AC143))/SUMPRODUCT((終値!O143:AB143&lt;終値!P143:AC143)*(終値!P143:AC143-終値!O143:AB143))),100))),"強気div▲",IF(AND(終値!E143&gt;終値!O143,$Q143&lt;(IFERROR(100-100/(1+SUMPRODUCT((終値!O143:AB143&gt;終値!P143:AC143)*(終値!O143:AB143-終値!P143:AC143))/SUMPRODUCT((終値!O143:AB143&lt;終値!P143:AC143)*(終値!P143:AC143-終値!O143:AB143))),100))),"弱気div▼","－")))</f>
      </c>
      <c r="T143" s="681">
        <f>IF($D143="","",IF($D143&gt;=$H143,"上walk▲",IF($D143&lt;=$I143,"下walk▼","－")))</f>
      </c>
      <c r="U143" s="681">
        <f>IF(終値!A143="","",BB_スイング!BT143)</f>
      </c>
      <c r="V143" s="689">
        <f>IF($D143="","",IFERROR(出来高!E143/AVERAGE(出来高!E143:I143),""))</f>
      </c>
      <c r="W143" s="690">
        <f>IF($D143="","",IF(AND($D143&gt;$G143,$O143="拡大↑",$L143&lt;=$M143*1.8),"◎スクイーズブレイク買",IF(AND($D143&gt;=$H143,$R143&gt;=BB設定!$B$10),"○順張り継続(walk)",IF(AND($S143="強気div▲",$D143&gt;$I143),"○反発(ダイバ)買",IF($U143="二番底W▲","△二番底買(確)",IF($U143="二番底W形成","△二番底形成",IF($D143&lt;$J143,"▼-2σ割れ危険",IF(AND($D143&gt;$E143,$K143&lt;0.6,$R143&gt;=50),"・押し目注目",IF($N143="スクイーズ★","☆スクイーズ監視","様子見")))))))))</f>
      </c>
      <c r="X143" s="685">
        <f>IF($D143="","",MIN(100,IF($L143&lt;=$M143*1.15,20,IF($L143&lt;=$M143*1.4,10,0))+IF($D143&gt;$G143,20,IF($D143&gt;$H143,12,IF($D143&gt;$E143,5,0)))+IF($O143="拡大↑",10,0)+IF($R143&gt;=80,15,IF($R143&gt;=60,10,IF($R143&gt;=50,5,0)))+IF(AND($Q143&gt;=50,$Q143&lt;=70),10,IF($Q143&gt;70,3,IF($Q143&gt;=40,5,0)))+IF($S143="強気div▲",15,0)+IF($T143="上walk▲",5,0)+IF($V143&gt;=2,5,IF($V143&gt;=1.5,3,0))))</f>
      </c>
      <c r="Y143" s="682">
        <f>IF($D143="","",$D143)</f>
      </c>
      <c r="Z143" s="682">
        <f>IF($D143="","",$H143)</f>
      </c>
      <c r="AA143" s="682">
        <f>IF($D143="","",IF($D143&gt;$E143,$E143,$AD143))</f>
      </c>
      <c r="AB143" s="682">
        <f>IF($D143="","",$G143)</f>
      </c>
      <c r="AC143" s="688">
        <f>IF($D143="","",IF(($Y143-$AA143)&lt;=0,"－",IFERROR(ROUND(MIN(20,($AB143-$Y143)/($Y143-$AA143)),2),"－")))</f>
      </c>
      <c r="AD143" s="682">
        <f>IF($D143="","",MIN(終値!E143:I143))</f>
      </c>
      <c r="AE143" s="684">
        <f>IF($D143="","",$X143+(10000-ROW())/100000)</f>
      </c>
    </row>
    <row r="144">
      <c r="A144" s="681">
        <f>IF(終値!A144="","",HYPERLINK("https://kabutan.jp/stock/?code="&amp;終値!A144,"📈"))</f>
      </c>
      <c r="B144" s="681">
        <f>IF(終値!A144="","",終値!A144)</f>
      </c>
      <c r="C144" s="680">
        <f>IF(終値!A144="","",終値!B144)</f>
      </c>
      <c r="D144" s="682">
        <f>IF(終値!A144="","",終値!E144)</f>
      </c>
      <c r="E144" s="682">
        <f>IF($D144="","",AVERAGE(終値!E144:X144))</f>
      </c>
      <c r="F144" s="683">
        <f>IF($D144="","",STDEVP(終値!E144:X144))</f>
      </c>
      <c r="G144" s="682">
        <f>IF($D144="","",$E144+BB設定!$B$4*$F144)</f>
      </c>
      <c r="H144" s="682">
        <f>IF($D144="","",$E144+BB設定!$B$5*$F144)</f>
      </c>
      <c r="I144" s="682">
        <f>IF($D144="","",$E144-BB設定!$B$5*$F144)</f>
      </c>
      <c r="J144" s="682">
        <f>IF($D144="","",$E144-BB設定!$B$4*$F144)</f>
      </c>
      <c r="K144" s="687">
        <f>IF($D144="","",IFERROR(($D144-$J144)/($G144-$J144),""))</f>
      </c>
      <c r="L144" s="686">
        <f>IF($D144="","",IFERROR(($G144-$J144)/$E144*100,""))</f>
      </c>
      <c r="M144" s="686">
        <f>IF($D144="","",IFERROR(MIN(BB_帯幅!B144:AP144)*100,""))</f>
      </c>
      <c r="N144" s="681">
        <f>IF($L144="","",IF($L144&lt;=$M144*BB設定!$B$7,"スクイーズ★",IF($L144&lt;=$M144*1.3,"収縮","－")))</f>
      </c>
      <c r="O144" s="681">
        <f>IF($D144="","",IF($L144&gt;(4*STDEVP(終値!F144:Y144)/AVERAGE(終値!F144:Y144)*100),"拡大↑","縮小↓"))</f>
      </c>
      <c r="P144" s="681">
        <f>IF($D144="","",IF($D144&gt;$G144,"↑+2σ突破",IF($D144&lt;$J144,"↓-2σ割れ",IF($D144&gt;$H144,"+1σ上",IF($D144&lt;$I144,"-1σ下","バンド内")))))</f>
      </c>
      <c r="Q144" s="684">
        <f>IF($D144="","",IFERROR(100-100/(1+SUMPRODUCT((終値!E144:R144&gt;終値!F144:S144)*(終値!E144:R144-終値!F144:S144))/SUMPRODUCT((終値!E144:R144&lt;終値!F144:S144)*(終値!F144:S144-終値!E144:R144))),100))</f>
      </c>
      <c r="R144" s="684">
        <f>IF($D144="","",IFERROR(100-100/(1+SUMPRODUCT((((高値!E144:R144+安値!E144:R144+終値!E144:R144)/3)&gt;((高値!F144:S144+安値!F144:S144+終値!F144:S144)/3))*((高値!E144:R144+安値!E144:R144+終値!E144:R144)/3)*出来高!E144:R144)/SUMPRODUCT((((高値!E144:R144+安値!E144:R144+終値!E144:R144)/3)&lt;((高値!F144:S144+安値!F144:S144+終値!F144:S144)/3))*((高値!E144:R144+安値!E144:R144+終値!E144:R144)/3)*出来高!E144:R144)),50))</f>
      </c>
      <c r="S144" s="681">
        <f>IF($D144="","",IF(AND(終値!E144&lt;終値!O144,$Q144&gt;(IFERROR(100-100/(1+SUMPRODUCT((終値!O144:AB144&gt;終値!P144:AC144)*(終値!O144:AB144-終値!P144:AC144))/SUMPRODUCT((終値!O144:AB144&lt;終値!P144:AC144)*(終値!P144:AC144-終値!O144:AB144))),100))),"強気div▲",IF(AND(終値!E144&gt;終値!O144,$Q144&lt;(IFERROR(100-100/(1+SUMPRODUCT((終値!O144:AB144&gt;終値!P144:AC144)*(終値!O144:AB144-終値!P144:AC144))/SUMPRODUCT((終値!O144:AB144&lt;終値!P144:AC144)*(終値!P144:AC144-終値!O144:AB144))),100))),"弱気div▼","－")))</f>
      </c>
      <c r="T144" s="681">
        <f>IF($D144="","",IF($D144&gt;=$H144,"上walk▲",IF($D144&lt;=$I144,"下walk▼","－")))</f>
      </c>
      <c r="U144" s="681">
        <f>IF(終値!A144="","",BB_スイング!BT144)</f>
      </c>
      <c r="V144" s="689">
        <f>IF($D144="","",IFERROR(出来高!E144/AVERAGE(出来高!E144:I144),""))</f>
      </c>
      <c r="W144" s="690">
        <f>IF($D144="","",IF(AND($D144&gt;$G144,$O144="拡大↑",$L144&lt;=$M144*1.8),"◎スクイーズブレイク買",IF(AND($D144&gt;=$H144,$R144&gt;=BB設定!$B$10),"○順張り継続(walk)",IF(AND($S144="強気div▲",$D144&gt;$I144),"○反発(ダイバ)買",IF($U144="二番底W▲","△二番底買(確)",IF($U144="二番底W形成","△二番底形成",IF($D144&lt;$J144,"▼-2σ割れ危険",IF(AND($D144&gt;$E144,$K144&lt;0.6,$R144&gt;=50),"・押し目注目",IF($N144="スクイーズ★","☆スクイーズ監視","様子見")))))))))</f>
      </c>
      <c r="X144" s="685">
        <f>IF($D144="","",MIN(100,IF($L144&lt;=$M144*1.15,20,IF($L144&lt;=$M144*1.4,10,0))+IF($D144&gt;$G144,20,IF($D144&gt;$H144,12,IF($D144&gt;$E144,5,0)))+IF($O144="拡大↑",10,0)+IF($R144&gt;=80,15,IF($R144&gt;=60,10,IF($R144&gt;=50,5,0)))+IF(AND($Q144&gt;=50,$Q144&lt;=70),10,IF($Q144&gt;70,3,IF($Q144&gt;=40,5,0)))+IF($S144="強気div▲",15,0)+IF($T144="上walk▲",5,0)+IF($V144&gt;=2,5,IF($V144&gt;=1.5,3,0))))</f>
      </c>
      <c r="Y144" s="682">
        <f>IF($D144="","",$D144)</f>
      </c>
      <c r="Z144" s="682">
        <f>IF($D144="","",$H144)</f>
      </c>
      <c r="AA144" s="682">
        <f>IF($D144="","",IF($D144&gt;$E144,$E144,$AD144))</f>
      </c>
      <c r="AB144" s="682">
        <f>IF($D144="","",$G144)</f>
      </c>
      <c r="AC144" s="688">
        <f>IF($D144="","",IF(($Y144-$AA144)&lt;=0,"－",IFERROR(ROUND(MIN(20,($AB144-$Y144)/($Y144-$AA144)),2),"－")))</f>
      </c>
      <c r="AD144" s="682">
        <f>IF($D144="","",MIN(終値!E144:I144))</f>
      </c>
      <c r="AE144" s="684">
        <f>IF($D144="","",$X144+(10000-ROW())/100000)</f>
      </c>
    </row>
    <row r="145">
      <c r="A145" s="681">
        <f>IF(終値!A145="","",HYPERLINK("https://kabutan.jp/stock/?code="&amp;終値!A145,"📈"))</f>
      </c>
      <c r="B145" s="681">
        <f>IF(終値!A145="","",終値!A145)</f>
      </c>
      <c r="C145" s="680">
        <f>IF(終値!A145="","",終値!B145)</f>
      </c>
      <c r="D145" s="682">
        <f>IF(終値!A145="","",終値!E145)</f>
      </c>
      <c r="E145" s="682">
        <f>IF($D145="","",AVERAGE(終値!E145:X145))</f>
      </c>
      <c r="F145" s="683">
        <f>IF($D145="","",STDEVP(終値!E145:X145))</f>
      </c>
      <c r="G145" s="682">
        <f>IF($D145="","",$E145+BB設定!$B$4*$F145)</f>
      </c>
      <c r="H145" s="682">
        <f>IF($D145="","",$E145+BB設定!$B$5*$F145)</f>
      </c>
      <c r="I145" s="682">
        <f>IF($D145="","",$E145-BB設定!$B$5*$F145)</f>
      </c>
      <c r="J145" s="682">
        <f>IF($D145="","",$E145-BB設定!$B$4*$F145)</f>
      </c>
      <c r="K145" s="687">
        <f>IF($D145="","",IFERROR(($D145-$J145)/($G145-$J145),""))</f>
      </c>
      <c r="L145" s="686">
        <f>IF($D145="","",IFERROR(($G145-$J145)/$E145*100,""))</f>
      </c>
      <c r="M145" s="686">
        <f>IF($D145="","",IFERROR(MIN(BB_帯幅!B145:AP145)*100,""))</f>
      </c>
      <c r="N145" s="681">
        <f>IF($L145="","",IF($L145&lt;=$M145*BB設定!$B$7,"スクイーズ★",IF($L145&lt;=$M145*1.3,"収縮","－")))</f>
      </c>
      <c r="O145" s="681">
        <f>IF($D145="","",IF($L145&gt;(4*STDEVP(終値!F145:Y145)/AVERAGE(終値!F145:Y145)*100),"拡大↑","縮小↓"))</f>
      </c>
      <c r="P145" s="681">
        <f>IF($D145="","",IF($D145&gt;$G145,"↑+2σ突破",IF($D145&lt;$J145,"↓-2σ割れ",IF($D145&gt;$H145,"+1σ上",IF($D145&lt;$I145,"-1σ下","バンド内")))))</f>
      </c>
      <c r="Q145" s="684">
        <f>IF($D145="","",IFERROR(100-100/(1+SUMPRODUCT((終値!E145:R145&gt;終値!F145:S145)*(終値!E145:R145-終値!F145:S145))/SUMPRODUCT((終値!E145:R145&lt;終値!F145:S145)*(終値!F145:S145-終値!E145:R145))),100))</f>
      </c>
      <c r="R145" s="684">
        <f>IF($D145="","",IFERROR(100-100/(1+SUMPRODUCT((((高値!E145:R145+安値!E145:R145+終値!E145:R145)/3)&gt;((高値!F145:S145+安値!F145:S145+終値!F145:S145)/3))*((高値!E145:R145+安値!E145:R145+終値!E145:R145)/3)*出来高!E145:R145)/SUMPRODUCT((((高値!E145:R145+安値!E145:R145+終値!E145:R145)/3)&lt;((高値!F145:S145+安値!F145:S145+終値!F145:S145)/3))*((高値!E145:R145+安値!E145:R145+終値!E145:R145)/3)*出来高!E145:R145)),50))</f>
      </c>
      <c r="S145" s="681">
        <f>IF($D145="","",IF(AND(終値!E145&lt;終値!O145,$Q145&gt;(IFERROR(100-100/(1+SUMPRODUCT((終値!O145:AB145&gt;終値!P145:AC145)*(終値!O145:AB145-終値!P145:AC145))/SUMPRODUCT((終値!O145:AB145&lt;終値!P145:AC145)*(終値!P145:AC145-終値!O145:AB145))),100))),"強気div▲",IF(AND(終値!E145&gt;終値!O145,$Q145&lt;(IFERROR(100-100/(1+SUMPRODUCT((終値!O145:AB145&gt;終値!P145:AC145)*(終値!O145:AB145-終値!P145:AC145))/SUMPRODUCT((終値!O145:AB145&lt;終値!P145:AC145)*(終値!P145:AC145-終値!O145:AB145))),100))),"弱気div▼","－")))</f>
      </c>
      <c r="T145" s="681">
        <f>IF($D145="","",IF($D145&gt;=$H145,"上walk▲",IF($D145&lt;=$I145,"下walk▼","－")))</f>
      </c>
      <c r="U145" s="681">
        <f>IF(終値!A145="","",BB_スイング!BT145)</f>
      </c>
      <c r="V145" s="689">
        <f>IF($D145="","",IFERROR(出来高!E145/AVERAGE(出来高!E145:I145),""))</f>
      </c>
      <c r="W145" s="690">
        <f>IF($D145="","",IF(AND($D145&gt;$G145,$O145="拡大↑",$L145&lt;=$M145*1.8),"◎スクイーズブレイク買",IF(AND($D145&gt;=$H145,$R145&gt;=BB設定!$B$10),"○順張り継続(walk)",IF(AND($S145="強気div▲",$D145&gt;$I145),"○反発(ダイバ)買",IF($U145="二番底W▲","△二番底買(確)",IF($U145="二番底W形成","△二番底形成",IF($D145&lt;$J145,"▼-2σ割れ危険",IF(AND($D145&gt;$E145,$K145&lt;0.6,$R145&gt;=50),"・押し目注目",IF($N145="スクイーズ★","☆スクイーズ監視","様子見")))))))))</f>
      </c>
      <c r="X145" s="685">
        <f>IF($D145="","",MIN(100,IF($L145&lt;=$M145*1.15,20,IF($L145&lt;=$M145*1.4,10,0))+IF($D145&gt;$G145,20,IF($D145&gt;$H145,12,IF($D145&gt;$E145,5,0)))+IF($O145="拡大↑",10,0)+IF($R145&gt;=80,15,IF($R145&gt;=60,10,IF($R145&gt;=50,5,0)))+IF(AND($Q145&gt;=50,$Q145&lt;=70),10,IF($Q145&gt;70,3,IF($Q145&gt;=40,5,0)))+IF($S145="強気div▲",15,0)+IF($T145="上walk▲",5,0)+IF($V145&gt;=2,5,IF($V145&gt;=1.5,3,0))))</f>
      </c>
      <c r="Y145" s="682">
        <f>IF($D145="","",$D145)</f>
      </c>
      <c r="Z145" s="682">
        <f>IF($D145="","",$H145)</f>
      </c>
      <c r="AA145" s="682">
        <f>IF($D145="","",IF($D145&gt;$E145,$E145,$AD145))</f>
      </c>
      <c r="AB145" s="682">
        <f>IF($D145="","",$G145)</f>
      </c>
      <c r="AC145" s="688">
        <f>IF($D145="","",IF(($Y145-$AA145)&lt;=0,"－",IFERROR(ROUND(MIN(20,($AB145-$Y145)/($Y145-$AA145)),2),"－")))</f>
      </c>
      <c r="AD145" s="682">
        <f>IF($D145="","",MIN(終値!E145:I145))</f>
      </c>
      <c r="AE145" s="684">
        <f>IF($D145="","",$X145+(10000-ROW())/100000)</f>
      </c>
    </row>
    <row r="146">
      <c r="A146" s="681">
        <f>IF(終値!A146="","",HYPERLINK("https://kabutan.jp/stock/?code="&amp;終値!A146,"📈"))</f>
      </c>
      <c r="B146" s="681">
        <f>IF(終値!A146="","",終値!A146)</f>
      </c>
      <c r="C146" s="680">
        <f>IF(終値!A146="","",終値!B146)</f>
      </c>
      <c r="D146" s="682">
        <f>IF(終値!A146="","",終値!E146)</f>
      </c>
      <c r="E146" s="682">
        <f>IF($D146="","",AVERAGE(終値!E146:X146))</f>
      </c>
      <c r="F146" s="683">
        <f>IF($D146="","",STDEVP(終値!E146:X146))</f>
      </c>
      <c r="G146" s="682">
        <f>IF($D146="","",$E146+BB設定!$B$4*$F146)</f>
      </c>
      <c r="H146" s="682">
        <f>IF($D146="","",$E146+BB設定!$B$5*$F146)</f>
      </c>
      <c r="I146" s="682">
        <f>IF($D146="","",$E146-BB設定!$B$5*$F146)</f>
      </c>
      <c r="J146" s="682">
        <f>IF($D146="","",$E146-BB設定!$B$4*$F146)</f>
      </c>
      <c r="K146" s="687">
        <f>IF($D146="","",IFERROR(($D146-$J146)/($G146-$J146),""))</f>
      </c>
      <c r="L146" s="686">
        <f>IF($D146="","",IFERROR(($G146-$J146)/$E146*100,""))</f>
      </c>
      <c r="M146" s="686">
        <f>IF($D146="","",IFERROR(MIN(BB_帯幅!B146:AP146)*100,""))</f>
      </c>
      <c r="N146" s="681">
        <f>IF($L146="","",IF($L146&lt;=$M146*BB設定!$B$7,"スクイーズ★",IF($L146&lt;=$M146*1.3,"収縮","－")))</f>
      </c>
      <c r="O146" s="681">
        <f>IF($D146="","",IF($L146&gt;(4*STDEVP(終値!F146:Y146)/AVERAGE(終値!F146:Y146)*100),"拡大↑","縮小↓"))</f>
      </c>
      <c r="P146" s="681">
        <f>IF($D146="","",IF($D146&gt;$G146,"↑+2σ突破",IF($D146&lt;$J146,"↓-2σ割れ",IF($D146&gt;$H146,"+1σ上",IF($D146&lt;$I146,"-1σ下","バンド内")))))</f>
      </c>
      <c r="Q146" s="684">
        <f>IF($D146="","",IFERROR(100-100/(1+SUMPRODUCT((終値!E146:R146&gt;終値!F146:S146)*(終値!E146:R146-終値!F146:S146))/SUMPRODUCT((終値!E146:R146&lt;終値!F146:S146)*(終値!F146:S146-終値!E146:R146))),100))</f>
      </c>
      <c r="R146" s="684">
        <f>IF($D146="","",IFERROR(100-100/(1+SUMPRODUCT((((高値!E146:R146+安値!E146:R146+終値!E146:R146)/3)&gt;((高値!F146:S146+安値!F146:S146+終値!F146:S146)/3))*((高値!E146:R146+安値!E146:R146+終値!E146:R146)/3)*出来高!E146:R146)/SUMPRODUCT((((高値!E146:R146+安値!E146:R146+終値!E146:R146)/3)&lt;((高値!F146:S146+安値!F146:S146+終値!F146:S146)/3))*((高値!E146:R146+安値!E146:R146+終値!E146:R146)/3)*出来高!E146:R146)),50))</f>
      </c>
      <c r="S146" s="681">
        <f>IF($D146="","",IF(AND(終値!E146&lt;終値!O146,$Q146&gt;(IFERROR(100-100/(1+SUMPRODUCT((終値!O146:AB146&gt;終値!P146:AC146)*(終値!O146:AB146-終値!P146:AC146))/SUMPRODUCT((終値!O146:AB146&lt;終値!P146:AC146)*(終値!P146:AC146-終値!O146:AB146))),100))),"強気div▲",IF(AND(終値!E146&gt;終値!O146,$Q146&lt;(IFERROR(100-100/(1+SUMPRODUCT((終値!O146:AB146&gt;終値!P146:AC146)*(終値!O146:AB146-終値!P146:AC146))/SUMPRODUCT((終値!O146:AB146&lt;終値!P146:AC146)*(終値!P146:AC146-終値!O146:AB146))),100))),"弱気div▼","－")))</f>
      </c>
      <c r="T146" s="681">
        <f>IF($D146="","",IF($D146&gt;=$H146,"上walk▲",IF($D146&lt;=$I146,"下walk▼","－")))</f>
      </c>
      <c r="U146" s="681">
        <f>IF(終値!A146="","",BB_スイング!BT146)</f>
      </c>
      <c r="V146" s="689">
        <f>IF($D146="","",IFERROR(出来高!E146/AVERAGE(出来高!E146:I146),""))</f>
      </c>
      <c r="W146" s="690">
        <f>IF($D146="","",IF(AND($D146&gt;$G146,$O146="拡大↑",$L146&lt;=$M146*1.8),"◎スクイーズブレイク買",IF(AND($D146&gt;=$H146,$R146&gt;=BB設定!$B$10),"○順張り継続(walk)",IF(AND($S146="強気div▲",$D146&gt;$I146),"○反発(ダイバ)買",IF($U146="二番底W▲","△二番底買(確)",IF($U146="二番底W形成","△二番底形成",IF($D146&lt;$J146,"▼-2σ割れ危険",IF(AND($D146&gt;$E146,$K146&lt;0.6,$R146&gt;=50),"・押し目注目",IF($N146="スクイーズ★","☆スクイーズ監視","様子見")))))))))</f>
      </c>
      <c r="X146" s="685">
        <f>IF($D146="","",MIN(100,IF($L146&lt;=$M146*1.15,20,IF($L146&lt;=$M146*1.4,10,0))+IF($D146&gt;$G146,20,IF($D146&gt;$H146,12,IF($D146&gt;$E146,5,0)))+IF($O146="拡大↑",10,0)+IF($R146&gt;=80,15,IF($R146&gt;=60,10,IF($R146&gt;=50,5,0)))+IF(AND($Q146&gt;=50,$Q146&lt;=70),10,IF($Q146&gt;70,3,IF($Q146&gt;=40,5,0)))+IF($S146="強気div▲",15,0)+IF($T146="上walk▲",5,0)+IF($V146&gt;=2,5,IF($V146&gt;=1.5,3,0))))</f>
      </c>
      <c r="Y146" s="682">
        <f>IF($D146="","",$D146)</f>
      </c>
      <c r="Z146" s="682">
        <f>IF($D146="","",$H146)</f>
      </c>
      <c r="AA146" s="682">
        <f>IF($D146="","",IF($D146&gt;$E146,$E146,$AD146))</f>
      </c>
      <c r="AB146" s="682">
        <f>IF($D146="","",$G146)</f>
      </c>
      <c r="AC146" s="688">
        <f>IF($D146="","",IF(($Y146-$AA146)&lt;=0,"－",IFERROR(ROUND(MIN(20,($AB146-$Y146)/($Y146-$AA146)),2),"－")))</f>
      </c>
      <c r="AD146" s="682">
        <f>IF($D146="","",MIN(終値!E146:I146))</f>
      </c>
      <c r="AE146" s="684">
        <f>IF($D146="","",$X146+(10000-ROW())/100000)</f>
      </c>
    </row>
    <row r="147">
      <c r="A147" s="681">
        <f>IF(終値!A147="","",HYPERLINK("https://kabutan.jp/stock/?code="&amp;終値!A147,"📈"))</f>
      </c>
      <c r="B147" s="681">
        <f>IF(終値!A147="","",終値!A147)</f>
      </c>
      <c r="C147" s="680">
        <f>IF(終値!A147="","",終値!B147)</f>
      </c>
      <c r="D147" s="682">
        <f>IF(終値!A147="","",終値!E147)</f>
      </c>
      <c r="E147" s="682">
        <f>IF($D147="","",AVERAGE(終値!E147:X147))</f>
      </c>
      <c r="F147" s="683">
        <f>IF($D147="","",STDEVP(終値!E147:X147))</f>
      </c>
      <c r="G147" s="682">
        <f>IF($D147="","",$E147+BB設定!$B$4*$F147)</f>
      </c>
      <c r="H147" s="682">
        <f>IF($D147="","",$E147+BB設定!$B$5*$F147)</f>
      </c>
      <c r="I147" s="682">
        <f>IF($D147="","",$E147-BB設定!$B$5*$F147)</f>
      </c>
      <c r="J147" s="682">
        <f>IF($D147="","",$E147-BB設定!$B$4*$F147)</f>
      </c>
      <c r="K147" s="687">
        <f>IF($D147="","",IFERROR(($D147-$J147)/($G147-$J147),""))</f>
      </c>
      <c r="L147" s="686">
        <f>IF($D147="","",IFERROR(($G147-$J147)/$E147*100,""))</f>
      </c>
      <c r="M147" s="686">
        <f>IF($D147="","",IFERROR(MIN(BB_帯幅!B147:AP147)*100,""))</f>
      </c>
      <c r="N147" s="681">
        <f>IF($L147="","",IF($L147&lt;=$M147*BB設定!$B$7,"スクイーズ★",IF($L147&lt;=$M147*1.3,"収縮","－")))</f>
      </c>
      <c r="O147" s="681">
        <f>IF($D147="","",IF($L147&gt;(4*STDEVP(終値!F147:Y147)/AVERAGE(終値!F147:Y147)*100),"拡大↑","縮小↓"))</f>
      </c>
      <c r="P147" s="681">
        <f>IF($D147="","",IF($D147&gt;$G147,"↑+2σ突破",IF($D147&lt;$J147,"↓-2σ割れ",IF($D147&gt;$H147,"+1σ上",IF($D147&lt;$I147,"-1σ下","バンド内")))))</f>
      </c>
      <c r="Q147" s="684">
        <f>IF($D147="","",IFERROR(100-100/(1+SUMPRODUCT((終値!E147:R147&gt;終値!F147:S147)*(終値!E147:R147-終値!F147:S147))/SUMPRODUCT((終値!E147:R147&lt;終値!F147:S147)*(終値!F147:S147-終値!E147:R147))),100))</f>
      </c>
      <c r="R147" s="684">
        <f>IF($D147="","",IFERROR(100-100/(1+SUMPRODUCT((((高値!E147:R147+安値!E147:R147+終値!E147:R147)/3)&gt;((高値!F147:S147+安値!F147:S147+終値!F147:S147)/3))*((高値!E147:R147+安値!E147:R147+終値!E147:R147)/3)*出来高!E147:R147)/SUMPRODUCT((((高値!E147:R147+安値!E147:R147+終値!E147:R147)/3)&lt;((高値!F147:S147+安値!F147:S147+終値!F147:S147)/3))*((高値!E147:R147+安値!E147:R147+終値!E147:R147)/3)*出来高!E147:R147)),50))</f>
      </c>
      <c r="S147" s="681">
        <f>IF($D147="","",IF(AND(終値!E147&lt;終値!O147,$Q147&gt;(IFERROR(100-100/(1+SUMPRODUCT((終値!O147:AB147&gt;終値!P147:AC147)*(終値!O147:AB147-終値!P147:AC147))/SUMPRODUCT((終値!O147:AB147&lt;終値!P147:AC147)*(終値!P147:AC147-終値!O147:AB147))),100))),"強気div▲",IF(AND(終値!E147&gt;終値!O147,$Q147&lt;(IFERROR(100-100/(1+SUMPRODUCT((終値!O147:AB147&gt;終値!P147:AC147)*(終値!O147:AB147-終値!P147:AC147))/SUMPRODUCT((終値!O147:AB147&lt;終値!P147:AC147)*(終値!P147:AC147-終値!O147:AB147))),100))),"弱気div▼","－")))</f>
      </c>
      <c r="T147" s="681">
        <f>IF($D147="","",IF($D147&gt;=$H147,"上walk▲",IF($D147&lt;=$I147,"下walk▼","－")))</f>
      </c>
      <c r="U147" s="681">
        <f>IF(終値!A147="","",BB_スイング!BT147)</f>
      </c>
      <c r="V147" s="689">
        <f>IF($D147="","",IFERROR(出来高!E147/AVERAGE(出来高!E147:I147),""))</f>
      </c>
      <c r="W147" s="690">
        <f>IF($D147="","",IF(AND($D147&gt;$G147,$O147="拡大↑",$L147&lt;=$M147*1.8),"◎スクイーズブレイク買",IF(AND($D147&gt;=$H147,$R147&gt;=BB設定!$B$10),"○順張り継続(walk)",IF(AND($S147="強気div▲",$D147&gt;$I147),"○反発(ダイバ)買",IF($U147="二番底W▲","△二番底買(確)",IF($U147="二番底W形成","△二番底形成",IF($D147&lt;$J147,"▼-2σ割れ危険",IF(AND($D147&gt;$E147,$K147&lt;0.6,$R147&gt;=50),"・押し目注目",IF($N147="スクイーズ★","☆スクイーズ監視","様子見")))))))))</f>
      </c>
      <c r="X147" s="685">
        <f>IF($D147="","",MIN(100,IF($L147&lt;=$M147*1.15,20,IF($L147&lt;=$M147*1.4,10,0))+IF($D147&gt;$G147,20,IF($D147&gt;$H147,12,IF($D147&gt;$E147,5,0)))+IF($O147="拡大↑",10,0)+IF($R147&gt;=80,15,IF($R147&gt;=60,10,IF($R147&gt;=50,5,0)))+IF(AND($Q147&gt;=50,$Q147&lt;=70),10,IF($Q147&gt;70,3,IF($Q147&gt;=40,5,0)))+IF($S147="強気div▲",15,0)+IF($T147="上walk▲",5,0)+IF($V147&gt;=2,5,IF($V147&gt;=1.5,3,0))))</f>
      </c>
      <c r="Y147" s="682">
        <f>IF($D147="","",$D147)</f>
      </c>
      <c r="Z147" s="682">
        <f>IF($D147="","",$H147)</f>
      </c>
      <c r="AA147" s="682">
        <f>IF($D147="","",IF($D147&gt;$E147,$E147,$AD147))</f>
      </c>
      <c r="AB147" s="682">
        <f>IF($D147="","",$G147)</f>
      </c>
      <c r="AC147" s="688">
        <f>IF($D147="","",IF(($Y147-$AA147)&lt;=0,"－",IFERROR(ROUND(MIN(20,($AB147-$Y147)/($Y147-$AA147)),2),"－")))</f>
      </c>
      <c r="AD147" s="682">
        <f>IF($D147="","",MIN(終値!E147:I147))</f>
      </c>
      <c r="AE147" s="684">
        <f>IF($D147="","",$X147+(10000-ROW())/100000)</f>
      </c>
    </row>
    <row r="148">
      <c r="A148" s="681">
        <f>IF(終値!A148="","",HYPERLINK("https://kabutan.jp/stock/?code="&amp;終値!A148,"📈"))</f>
      </c>
      <c r="B148" s="681">
        <f>IF(終値!A148="","",終値!A148)</f>
      </c>
      <c r="C148" s="680">
        <f>IF(終値!A148="","",終値!B148)</f>
      </c>
      <c r="D148" s="682">
        <f>IF(終値!A148="","",終値!E148)</f>
      </c>
      <c r="E148" s="682">
        <f>IF($D148="","",AVERAGE(終値!E148:X148))</f>
      </c>
      <c r="F148" s="683">
        <f>IF($D148="","",STDEVP(終値!E148:X148))</f>
      </c>
      <c r="G148" s="682">
        <f>IF($D148="","",$E148+BB設定!$B$4*$F148)</f>
      </c>
      <c r="H148" s="682">
        <f>IF($D148="","",$E148+BB設定!$B$5*$F148)</f>
      </c>
      <c r="I148" s="682">
        <f>IF($D148="","",$E148-BB設定!$B$5*$F148)</f>
      </c>
      <c r="J148" s="682">
        <f>IF($D148="","",$E148-BB設定!$B$4*$F148)</f>
      </c>
      <c r="K148" s="687">
        <f>IF($D148="","",IFERROR(($D148-$J148)/($G148-$J148),""))</f>
      </c>
      <c r="L148" s="686">
        <f>IF($D148="","",IFERROR(($G148-$J148)/$E148*100,""))</f>
      </c>
      <c r="M148" s="686">
        <f>IF($D148="","",IFERROR(MIN(BB_帯幅!B148:AP148)*100,""))</f>
      </c>
      <c r="N148" s="681">
        <f>IF($L148="","",IF($L148&lt;=$M148*BB設定!$B$7,"スクイーズ★",IF($L148&lt;=$M148*1.3,"収縮","－")))</f>
      </c>
      <c r="O148" s="681">
        <f>IF($D148="","",IF($L148&gt;(4*STDEVP(終値!F148:Y148)/AVERAGE(終値!F148:Y148)*100),"拡大↑","縮小↓"))</f>
      </c>
      <c r="P148" s="681">
        <f>IF($D148="","",IF($D148&gt;$G148,"↑+2σ突破",IF($D148&lt;$J148,"↓-2σ割れ",IF($D148&gt;$H148,"+1σ上",IF($D148&lt;$I148,"-1σ下","バンド内")))))</f>
      </c>
      <c r="Q148" s="684">
        <f>IF($D148="","",IFERROR(100-100/(1+SUMPRODUCT((終値!E148:R148&gt;終値!F148:S148)*(終値!E148:R148-終値!F148:S148))/SUMPRODUCT((終値!E148:R148&lt;終値!F148:S148)*(終値!F148:S148-終値!E148:R148))),100))</f>
      </c>
      <c r="R148" s="684">
        <f>IF($D148="","",IFERROR(100-100/(1+SUMPRODUCT((((高値!E148:R148+安値!E148:R148+終値!E148:R148)/3)&gt;((高値!F148:S148+安値!F148:S148+終値!F148:S148)/3))*((高値!E148:R148+安値!E148:R148+終値!E148:R148)/3)*出来高!E148:R148)/SUMPRODUCT((((高値!E148:R148+安値!E148:R148+終値!E148:R148)/3)&lt;((高値!F148:S148+安値!F148:S148+終値!F148:S148)/3))*((高値!E148:R148+安値!E148:R148+終値!E148:R148)/3)*出来高!E148:R148)),50))</f>
      </c>
      <c r="S148" s="681">
        <f>IF($D148="","",IF(AND(終値!E148&lt;終値!O148,$Q148&gt;(IFERROR(100-100/(1+SUMPRODUCT((終値!O148:AB148&gt;終値!P148:AC148)*(終値!O148:AB148-終値!P148:AC148))/SUMPRODUCT((終値!O148:AB148&lt;終値!P148:AC148)*(終値!P148:AC148-終値!O148:AB148))),100))),"強気div▲",IF(AND(終値!E148&gt;終値!O148,$Q148&lt;(IFERROR(100-100/(1+SUMPRODUCT((終値!O148:AB148&gt;終値!P148:AC148)*(終値!O148:AB148-終値!P148:AC148))/SUMPRODUCT((終値!O148:AB148&lt;終値!P148:AC148)*(終値!P148:AC148-終値!O148:AB148))),100))),"弱気div▼","－")))</f>
      </c>
      <c r="T148" s="681">
        <f>IF($D148="","",IF($D148&gt;=$H148,"上walk▲",IF($D148&lt;=$I148,"下walk▼","－")))</f>
      </c>
      <c r="U148" s="681">
        <f>IF(終値!A148="","",BB_スイング!BT148)</f>
      </c>
      <c r="V148" s="689">
        <f>IF($D148="","",IFERROR(出来高!E148/AVERAGE(出来高!E148:I148),""))</f>
      </c>
      <c r="W148" s="690">
        <f>IF($D148="","",IF(AND($D148&gt;$G148,$O148="拡大↑",$L148&lt;=$M148*1.8),"◎スクイーズブレイク買",IF(AND($D148&gt;=$H148,$R148&gt;=BB設定!$B$10),"○順張り継続(walk)",IF(AND($S148="強気div▲",$D148&gt;$I148),"○反発(ダイバ)買",IF($U148="二番底W▲","△二番底買(確)",IF($U148="二番底W形成","△二番底形成",IF($D148&lt;$J148,"▼-2σ割れ危険",IF(AND($D148&gt;$E148,$K148&lt;0.6,$R148&gt;=50),"・押し目注目",IF($N148="スクイーズ★","☆スクイーズ監視","様子見")))))))))</f>
      </c>
      <c r="X148" s="685">
        <f>IF($D148="","",MIN(100,IF($L148&lt;=$M148*1.15,20,IF($L148&lt;=$M148*1.4,10,0))+IF($D148&gt;$G148,20,IF($D148&gt;$H148,12,IF($D148&gt;$E148,5,0)))+IF($O148="拡大↑",10,0)+IF($R148&gt;=80,15,IF($R148&gt;=60,10,IF($R148&gt;=50,5,0)))+IF(AND($Q148&gt;=50,$Q148&lt;=70),10,IF($Q148&gt;70,3,IF($Q148&gt;=40,5,0)))+IF($S148="強気div▲",15,0)+IF($T148="上walk▲",5,0)+IF($V148&gt;=2,5,IF($V148&gt;=1.5,3,0))))</f>
      </c>
      <c r="Y148" s="682">
        <f>IF($D148="","",$D148)</f>
      </c>
      <c r="Z148" s="682">
        <f>IF($D148="","",$H148)</f>
      </c>
      <c r="AA148" s="682">
        <f>IF($D148="","",IF($D148&gt;$E148,$E148,$AD148))</f>
      </c>
      <c r="AB148" s="682">
        <f>IF($D148="","",$G148)</f>
      </c>
      <c r="AC148" s="688">
        <f>IF($D148="","",IF(($Y148-$AA148)&lt;=0,"－",IFERROR(ROUND(MIN(20,($AB148-$Y148)/($Y148-$AA148)),2),"－")))</f>
      </c>
      <c r="AD148" s="682">
        <f>IF($D148="","",MIN(終値!E148:I148))</f>
      </c>
      <c r="AE148" s="684">
        <f>IF($D148="","",$X148+(10000-ROW())/100000)</f>
      </c>
    </row>
    <row r="149">
      <c r="A149" s="681">
        <f>IF(終値!A149="","",HYPERLINK("https://kabutan.jp/stock/?code="&amp;終値!A149,"📈"))</f>
      </c>
      <c r="B149" s="681">
        <f>IF(終値!A149="","",終値!A149)</f>
      </c>
      <c r="C149" s="680">
        <f>IF(終値!A149="","",終値!B149)</f>
      </c>
      <c r="D149" s="682">
        <f>IF(終値!A149="","",終値!E149)</f>
      </c>
      <c r="E149" s="682">
        <f>IF($D149="","",AVERAGE(終値!E149:X149))</f>
      </c>
      <c r="F149" s="683">
        <f>IF($D149="","",STDEVP(終値!E149:X149))</f>
      </c>
      <c r="G149" s="682">
        <f>IF($D149="","",$E149+BB設定!$B$4*$F149)</f>
      </c>
      <c r="H149" s="682">
        <f>IF($D149="","",$E149+BB設定!$B$5*$F149)</f>
      </c>
      <c r="I149" s="682">
        <f>IF($D149="","",$E149-BB設定!$B$5*$F149)</f>
      </c>
      <c r="J149" s="682">
        <f>IF($D149="","",$E149-BB設定!$B$4*$F149)</f>
      </c>
      <c r="K149" s="687">
        <f>IF($D149="","",IFERROR(($D149-$J149)/($G149-$J149),""))</f>
      </c>
      <c r="L149" s="686">
        <f>IF($D149="","",IFERROR(($G149-$J149)/$E149*100,""))</f>
      </c>
      <c r="M149" s="686">
        <f>IF($D149="","",IFERROR(MIN(BB_帯幅!B149:AP149)*100,""))</f>
      </c>
      <c r="N149" s="681">
        <f>IF($L149="","",IF($L149&lt;=$M149*BB設定!$B$7,"スクイーズ★",IF($L149&lt;=$M149*1.3,"収縮","－")))</f>
      </c>
      <c r="O149" s="681">
        <f>IF($D149="","",IF($L149&gt;(4*STDEVP(終値!F149:Y149)/AVERAGE(終値!F149:Y149)*100),"拡大↑","縮小↓"))</f>
      </c>
      <c r="P149" s="681">
        <f>IF($D149="","",IF($D149&gt;$G149,"↑+2σ突破",IF($D149&lt;$J149,"↓-2σ割れ",IF($D149&gt;$H149,"+1σ上",IF($D149&lt;$I149,"-1σ下","バンド内")))))</f>
      </c>
      <c r="Q149" s="684">
        <f>IF($D149="","",IFERROR(100-100/(1+SUMPRODUCT((終値!E149:R149&gt;終値!F149:S149)*(終値!E149:R149-終値!F149:S149))/SUMPRODUCT((終値!E149:R149&lt;終値!F149:S149)*(終値!F149:S149-終値!E149:R149))),100))</f>
      </c>
      <c r="R149" s="684">
        <f>IF($D149="","",IFERROR(100-100/(1+SUMPRODUCT((((高値!E149:R149+安値!E149:R149+終値!E149:R149)/3)&gt;((高値!F149:S149+安値!F149:S149+終値!F149:S149)/3))*((高値!E149:R149+安値!E149:R149+終値!E149:R149)/3)*出来高!E149:R149)/SUMPRODUCT((((高値!E149:R149+安値!E149:R149+終値!E149:R149)/3)&lt;((高値!F149:S149+安値!F149:S149+終値!F149:S149)/3))*((高値!E149:R149+安値!E149:R149+終値!E149:R149)/3)*出来高!E149:R149)),50))</f>
      </c>
      <c r="S149" s="681">
        <f>IF($D149="","",IF(AND(終値!E149&lt;終値!O149,$Q149&gt;(IFERROR(100-100/(1+SUMPRODUCT((終値!O149:AB149&gt;終値!P149:AC149)*(終値!O149:AB149-終値!P149:AC149))/SUMPRODUCT((終値!O149:AB149&lt;終値!P149:AC149)*(終値!P149:AC149-終値!O149:AB149))),100))),"強気div▲",IF(AND(終値!E149&gt;終値!O149,$Q149&lt;(IFERROR(100-100/(1+SUMPRODUCT((終値!O149:AB149&gt;終値!P149:AC149)*(終値!O149:AB149-終値!P149:AC149))/SUMPRODUCT((終値!O149:AB149&lt;終値!P149:AC149)*(終値!P149:AC149-終値!O149:AB149))),100))),"弱気div▼","－")))</f>
      </c>
      <c r="T149" s="681">
        <f>IF($D149="","",IF($D149&gt;=$H149,"上walk▲",IF($D149&lt;=$I149,"下walk▼","－")))</f>
      </c>
      <c r="U149" s="681">
        <f>IF(終値!A149="","",BB_スイング!BT149)</f>
      </c>
      <c r="V149" s="689">
        <f>IF($D149="","",IFERROR(出来高!E149/AVERAGE(出来高!E149:I149),""))</f>
      </c>
      <c r="W149" s="690">
        <f>IF($D149="","",IF(AND($D149&gt;$G149,$O149="拡大↑",$L149&lt;=$M149*1.8),"◎スクイーズブレイク買",IF(AND($D149&gt;=$H149,$R149&gt;=BB設定!$B$10),"○順張り継続(walk)",IF(AND($S149="強気div▲",$D149&gt;$I149),"○反発(ダイバ)買",IF($U149="二番底W▲","△二番底買(確)",IF($U149="二番底W形成","△二番底形成",IF($D149&lt;$J149,"▼-2σ割れ危険",IF(AND($D149&gt;$E149,$K149&lt;0.6,$R149&gt;=50),"・押し目注目",IF($N149="スクイーズ★","☆スクイーズ監視","様子見")))))))))</f>
      </c>
      <c r="X149" s="685">
        <f>IF($D149="","",MIN(100,IF($L149&lt;=$M149*1.15,20,IF($L149&lt;=$M149*1.4,10,0))+IF($D149&gt;$G149,20,IF($D149&gt;$H149,12,IF($D149&gt;$E149,5,0)))+IF($O149="拡大↑",10,0)+IF($R149&gt;=80,15,IF($R149&gt;=60,10,IF($R149&gt;=50,5,0)))+IF(AND($Q149&gt;=50,$Q149&lt;=70),10,IF($Q149&gt;70,3,IF($Q149&gt;=40,5,0)))+IF($S149="強気div▲",15,0)+IF($T149="上walk▲",5,0)+IF($V149&gt;=2,5,IF($V149&gt;=1.5,3,0))))</f>
      </c>
      <c r="Y149" s="682">
        <f>IF($D149="","",$D149)</f>
      </c>
      <c r="Z149" s="682">
        <f>IF($D149="","",$H149)</f>
      </c>
      <c r="AA149" s="682">
        <f>IF($D149="","",IF($D149&gt;$E149,$E149,$AD149))</f>
      </c>
      <c r="AB149" s="682">
        <f>IF($D149="","",$G149)</f>
      </c>
      <c r="AC149" s="688">
        <f>IF($D149="","",IF(($Y149-$AA149)&lt;=0,"－",IFERROR(ROUND(MIN(20,($AB149-$Y149)/($Y149-$AA149)),2),"－")))</f>
      </c>
      <c r="AD149" s="682">
        <f>IF($D149="","",MIN(終値!E149:I149))</f>
      </c>
      <c r="AE149" s="684">
        <f>IF($D149="","",$X149+(10000-ROW())/100000)</f>
      </c>
    </row>
    <row r="150">
      <c r="A150" s="681">
        <f>IF(終値!A150="","",HYPERLINK("https://kabutan.jp/stock/?code="&amp;終値!A150,"📈"))</f>
      </c>
      <c r="B150" s="681">
        <f>IF(終値!A150="","",終値!A150)</f>
      </c>
      <c r="C150" s="680">
        <f>IF(終値!A150="","",終値!B150)</f>
      </c>
      <c r="D150" s="682">
        <f>IF(終値!A150="","",終値!E150)</f>
      </c>
      <c r="E150" s="682">
        <f>IF($D150="","",AVERAGE(終値!E150:X150))</f>
      </c>
      <c r="F150" s="683">
        <f>IF($D150="","",STDEVP(終値!E150:X150))</f>
      </c>
      <c r="G150" s="682">
        <f>IF($D150="","",$E150+BB設定!$B$4*$F150)</f>
      </c>
      <c r="H150" s="682">
        <f>IF($D150="","",$E150+BB設定!$B$5*$F150)</f>
      </c>
      <c r="I150" s="682">
        <f>IF($D150="","",$E150-BB設定!$B$5*$F150)</f>
      </c>
      <c r="J150" s="682">
        <f>IF($D150="","",$E150-BB設定!$B$4*$F150)</f>
      </c>
      <c r="K150" s="687">
        <f>IF($D150="","",IFERROR(($D150-$J150)/($G150-$J150),""))</f>
      </c>
      <c r="L150" s="686">
        <f>IF($D150="","",IFERROR(($G150-$J150)/$E150*100,""))</f>
      </c>
      <c r="M150" s="686">
        <f>IF($D150="","",IFERROR(MIN(BB_帯幅!B150:AP150)*100,""))</f>
      </c>
      <c r="N150" s="681">
        <f>IF($L150="","",IF($L150&lt;=$M150*BB設定!$B$7,"スクイーズ★",IF($L150&lt;=$M150*1.3,"収縮","－")))</f>
      </c>
      <c r="O150" s="681">
        <f>IF($D150="","",IF($L150&gt;(4*STDEVP(終値!F150:Y150)/AVERAGE(終値!F150:Y150)*100),"拡大↑","縮小↓"))</f>
      </c>
      <c r="P150" s="681">
        <f>IF($D150="","",IF($D150&gt;$G150,"↑+2σ突破",IF($D150&lt;$J150,"↓-2σ割れ",IF($D150&gt;$H150,"+1σ上",IF($D150&lt;$I150,"-1σ下","バンド内")))))</f>
      </c>
      <c r="Q150" s="684">
        <f>IF($D150="","",IFERROR(100-100/(1+SUMPRODUCT((終値!E150:R150&gt;終値!F150:S150)*(終値!E150:R150-終値!F150:S150))/SUMPRODUCT((終値!E150:R150&lt;終値!F150:S150)*(終値!F150:S150-終値!E150:R150))),100))</f>
      </c>
      <c r="R150" s="684">
        <f>IF($D150="","",IFERROR(100-100/(1+SUMPRODUCT((((高値!E150:R150+安値!E150:R150+終値!E150:R150)/3)&gt;((高値!F150:S150+安値!F150:S150+終値!F150:S150)/3))*((高値!E150:R150+安値!E150:R150+終値!E150:R150)/3)*出来高!E150:R150)/SUMPRODUCT((((高値!E150:R150+安値!E150:R150+終値!E150:R150)/3)&lt;((高値!F150:S150+安値!F150:S150+終値!F150:S150)/3))*((高値!E150:R150+安値!E150:R150+終値!E150:R150)/3)*出来高!E150:R150)),50))</f>
      </c>
      <c r="S150" s="681">
        <f>IF($D150="","",IF(AND(終値!E150&lt;終値!O150,$Q150&gt;(IFERROR(100-100/(1+SUMPRODUCT((終値!O150:AB150&gt;終値!P150:AC150)*(終値!O150:AB150-終値!P150:AC150))/SUMPRODUCT((終値!O150:AB150&lt;終値!P150:AC150)*(終値!P150:AC150-終値!O150:AB150))),100))),"強気div▲",IF(AND(終値!E150&gt;終値!O150,$Q150&lt;(IFERROR(100-100/(1+SUMPRODUCT((終値!O150:AB150&gt;終値!P150:AC150)*(終値!O150:AB150-終値!P150:AC150))/SUMPRODUCT((終値!O150:AB150&lt;終値!P150:AC150)*(終値!P150:AC150-終値!O150:AB150))),100))),"弱気div▼","－")))</f>
      </c>
      <c r="T150" s="681">
        <f>IF($D150="","",IF($D150&gt;=$H150,"上walk▲",IF($D150&lt;=$I150,"下walk▼","－")))</f>
      </c>
      <c r="U150" s="681">
        <f>IF(終値!A150="","",BB_スイング!BT150)</f>
      </c>
      <c r="V150" s="689">
        <f>IF($D150="","",IFERROR(出来高!E150/AVERAGE(出来高!E150:I150),""))</f>
      </c>
      <c r="W150" s="690">
        <f>IF($D150="","",IF(AND($D150&gt;$G150,$O150="拡大↑",$L150&lt;=$M150*1.8),"◎スクイーズブレイク買",IF(AND($D150&gt;=$H150,$R150&gt;=BB設定!$B$10),"○順張り継続(walk)",IF(AND($S150="強気div▲",$D150&gt;$I150),"○反発(ダイバ)買",IF($U150="二番底W▲","△二番底買(確)",IF($U150="二番底W形成","△二番底形成",IF($D150&lt;$J150,"▼-2σ割れ危険",IF(AND($D150&gt;$E150,$K150&lt;0.6,$R150&gt;=50),"・押し目注目",IF($N150="スクイーズ★","☆スクイーズ監視","様子見")))))))))</f>
      </c>
      <c r="X150" s="685">
        <f>IF($D150="","",MIN(100,IF($L150&lt;=$M150*1.15,20,IF($L150&lt;=$M150*1.4,10,0))+IF($D150&gt;$G150,20,IF($D150&gt;$H150,12,IF($D150&gt;$E150,5,0)))+IF($O150="拡大↑",10,0)+IF($R150&gt;=80,15,IF($R150&gt;=60,10,IF($R150&gt;=50,5,0)))+IF(AND($Q150&gt;=50,$Q150&lt;=70),10,IF($Q150&gt;70,3,IF($Q150&gt;=40,5,0)))+IF($S150="強気div▲",15,0)+IF($T150="上walk▲",5,0)+IF($V150&gt;=2,5,IF($V150&gt;=1.5,3,0))))</f>
      </c>
      <c r="Y150" s="682">
        <f>IF($D150="","",$D150)</f>
      </c>
      <c r="Z150" s="682">
        <f>IF($D150="","",$H150)</f>
      </c>
      <c r="AA150" s="682">
        <f>IF($D150="","",IF($D150&gt;$E150,$E150,$AD150))</f>
      </c>
      <c r="AB150" s="682">
        <f>IF($D150="","",$G150)</f>
      </c>
      <c r="AC150" s="688">
        <f>IF($D150="","",IF(($Y150-$AA150)&lt;=0,"－",IFERROR(ROUND(MIN(20,($AB150-$Y150)/($Y150-$AA150)),2),"－")))</f>
      </c>
      <c r="AD150" s="682">
        <f>IF($D150="","",MIN(終値!E150:I150))</f>
      </c>
      <c r="AE150" s="684">
        <f>IF($D150="","",$X150+(10000-ROW())/100000)</f>
      </c>
    </row>
    <row r="151">
      <c r="A151" s="681">
        <f>IF(終値!A151="","",HYPERLINK("https://kabutan.jp/stock/?code="&amp;終値!A151,"📈"))</f>
      </c>
      <c r="B151" s="681">
        <f>IF(終値!A151="","",終値!A151)</f>
      </c>
      <c r="C151" s="680">
        <f>IF(終値!A151="","",終値!B151)</f>
      </c>
      <c r="D151" s="682">
        <f>IF(終値!A151="","",終値!E151)</f>
      </c>
      <c r="E151" s="682">
        <f>IF($D151="","",AVERAGE(終値!E151:X151))</f>
      </c>
      <c r="F151" s="683">
        <f>IF($D151="","",STDEVP(終値!E151:X151))</f>
      </c>
      <c r="G151" s="682">
        <f>IF($D151="","",$E151+BB設定!$B$4*$F151)</f>
      </c>
      <c r="H151" s="682">
        <f>IF($D151="","",$E151+BB設定!$B$5*$F151)</f>
      </c>
      <c r="I151" s="682">
        <f>IF($D151="","",$E151-BB設定!$B$5*$F151)</f>
      </c>
      <c r="J151" s="682">
        <f>IF($D151="","",$E151-BB設定!$B$4*$F151)</f>
      </c>
      <c r="K151" s="687">
        <f>IF($D151="","",IFERROR(($D151-$J151)/($G151-$J151),""))</f>
      </c>
      <c r="L151" s="686">
        <f>IF($D151="","",IFERROR(($G151-$J151)/$E151*100,""))</f>
      </c>
      <c r="M151" s="686">
        <f>IF($D151="","",IFERROR(MIN(BB_帯幅!B151:AP151)*100,""))</f>
      </c>
      <c r="N151" s="681">
        <f>IF($L151="","",IF($L151&lt;=$M151*BB設定!$B$7,"スクイーズ★",IF($L151&lt;=$M151*1.3,"収縮","－")))</f>
      </c>
      <c r="O151" s="681">
        <f>IF($D151="","",IF($L151&gt;(4*STDEVP(終値!F151:Y151)/AVERAGE(終値!F151:Y151)*100),"拡大↑","縮小↓"))</f>
      </c>
      <c r="P151" s="681">
        <f>IF($D151="","",IF($D151&gt;$G151,"↑+2σ突破",IF($D151&lt;$J151,"↓-2σ割れ",IF($D151&gt;$H151,"+1σ上",IF($D151&lt;$I151,"-1σ下","バンド内")))))</f>
      </c>
      <c r="Q151" s="684">
        <f>IF($D151="","",IFERROR(100-100/(1+SUMPRODUCT((終値!E151:R151&gt;終値!F151:S151)*(終値!E151:R151-終値!F151:S151))/SUMPRODUCT((終値!E151:R151&lt;終値!F151:S151)*(終値!F151:S151-終値!E151:R151))),100))</f>
      </c>
      <c r="R151" s="684">
        <f>IF($D151="","",IFERROR(100-100/(1+SUMPRODUCT((((高値!E151:R151+安値!E151:R151+終値!E151:R151)/3)&gt;((高値!F151:S151+安値!F151:S151+終値!F151:S151)/3))*((高値!E151:R151+安値!E151:R151+終値!E151:R151)/3)*出来高!E151:R151)/SUMPRODUCT((((高値!E151:R151+安値!E151:R151+終値!E151:R151)/3)&lt;((高値!F151:S151+安値!F151:S151+終値!F151:S151)/3))*((高値!E151:R151+安値!E151:R151+終値!E151:R151)/3)*出来高!E151:R151)),50))</f>
      </c>
      <c r="S151" s="681">
        <f>IF($D151="","",IF(AND(終値!E151&lt;終値!O151,$Q151&gt;(IFERROR(100-100/(1+SUMPRODUCT((終値!O151:AB151&gt;終値!P151:AC151)*(終値!O151:AB151-終値!P151:AC151))/SUMPRODUCT((終値!O151:AB151&lt;終値!P151:AC151)*(終値!P151:AC151-終値!O151:AB151))),100))),"強気div▲",IF(AND(終値!E151&gt;終値!O151,$Q151&lt;(IFERROR(100-100/(1+SUMPRODUCT((終値!O151:AB151&gt;終値!P151:AC151)*(終値!O151:AB151-終値!P151:AC151))/SUMPRODUCT((終値!O151:AB151&lt;終値!P151:AC151)*(終値!P151:AC151-終値!O151:AB151))),100))),"弱気div▼","－")))</f>
      </c>
      <c r="T151" s="681">
        <f>IF($D151="","",IF($D151&gt;=$H151,"上walk▲",IF($D151&lt;=$I151,"下walk▼","－")))</f>
      </c>
      <c r="U151" s="681">
        <f>IF(終値!A151="","",BB_スイング!BT151)</f>
      </c>
      <c r="V151" s="689">
        <f>IF($D151="","",IFERROR(出来高!E151/AVERAGE(出来高!E151:I151),""))</f>
      </c>
      <c r="W151" s="690">
        <f>IF($D151="","",IF(AND($D151&gt;$G151,$O151="拡大↑",$L151&lt;=$M151*1.8),"◎スクイーズブレイク買",IF(AND($D151&gt;=$H151,$R151&gt;=BB設定!$B$10),"○順張り継続(walk)",IF(AND($S151="強気div▲",$D151&gt;$I151),"○反発(ダイバ)買",IF($U151="二番底W▲","△二番底買(確)",IF($U151="二番底W形成","△二番底形成",IF($D151&lt;$J151,"▼-2σ割れ危険",IF(AND($D151&gt;$E151,$K151&lt;0.6,$R151&gt;=50),"・押し目注目",IF($N151="スクイーズ★","☆スクイーズ監視","様子見")))))))))</f>
      </c>
      <c r="X151" s="685">
        <f>IF($D151="","",MIN(100,IF($L151&lt;=$M151*1.15,20,IF($L151&lt;=$M151*1.4,10,0))+IF($D151&gt;$G151,20,IF($D151&gt;$H151,12,IF($D151&gt;$E151,5,0)))+IF($O151="拡大↑",10,0)+IF($R151&gt;=80,15,IF($R151&gt;=60,10,IF($R151&gt;=50,5,0)))+IF(AND($Q151&gt;=50,$Q151&lt;=70),10,IF($Q151&gt;70,3,IF($Q151&gt;=40,5,0)))+IF($S151="強気div▲",15,0)+IF($T151="上walk▲",5,0)+IF($V151&gt;=2,5,IF($V151&gt;=1.5,3,0))))</f>
      </c>
      <c r="Y151" s="682">
        <f>IF($D151="","",$D151)</f>
      </c>
      <c r="Z151" s="682">
        <f>IF($D151="","",$H151)</f>
      </c>
      <c r="AA151" s="682">
        <f>IF($D151="","",IF($D151&gt;$E151,$E151,$AD151))</f>
      </c>
      <c r="AB151" s="682">
        <f>IF($D151="","",$G151)</f>
      </c>
      <c r="AC151" s="688">
        <f>IF($D151="","",IF(($Y151-$AA151)&lt;=0,"－",IFERROR(ROUND(MIN(20,($AB151-$Y151)/($Y151-$AA151)),2),"－")))</f>
      </c>
      <c r="AD151" s="682">
        <f>IF($D151="","",MIN(終値!E151:I151))</f>
      </c>
      <c r="AE151" s="684">
        <f>IF($D151="","",$X151+(10000-ROW())/100000)</f>
      </c>
    </row>
    <row r="152">
      <c r="A152" s="681">
        <f>IF(終値!A152="","",HYPERLINK("https://kabutan.jp/stock/?code="&amp;終値!A152,"📈"))</f>
      </c>
      <c r="B152" s="681">
        <f>IF(終値!A152="","",終値!A152)</f>
      </c>
      <c r="C152" s="680">
        <f>IF(終値!A152="","",終値!B152)</f>
      </c>
      <c r="D152" s="682">
        <f>IF(終値!A152="","",終値!E152)</f>
      </c>
      <c r="E152" s="682">
        <f>IF($D152="","",AVERAGE(終値!E152:X152))</f>
      </c>
      <c r="F152" s="683">
        <f>IF($D152="","",STDEVP(終値!E152:X152))</f>
      </c>
      <c r="G152" s="682">
        <f>IF($D152="","",$E152+BB設定!$B$4*$F152)</f>
      </c>
      <c r="H152" s="682">
        <f>IF($D152="","",$E152+BB設定!$B$5*$F152)</f>
      </c>
      <c r="I152" s="682">
        <f>IF($D152="","",$E152-BB設定!$B$5*$F152)</f>
      </c>
      <c r="J152" s="682">
        <f>IF($D152="","",$E152-BB設定!$B$4*$F152)</f>
      </c>
      <c r="K152" s="687">
        <f>IF($D152="","",IFERROR(($D152-$J152)/($G152-$J152),""))</f>
      </c>
      <c r="L152" s="686">
        <f>IF($D152="","",IFERROR(($G152-$J152)/$E152*100,""))</f>
      </c>
      <c r="M152" s="686">
        <f>IF($D152="","",IFERROR(MIN(BB_帯幅!B152:AP152)*100,""))</f>
      </c>
      <c r="N152" s="681">
        <f>IF($L152="","",IF($L152&lt;=$M152*BB設定!$B$7,"スクイーズ★",IF($L152&lt;=$M152*1.3,"収縮","－")))</f>
      </c>
      <c r="O152" s="681">
        <f>IF($D152="","",IF($L152&gt;(4*STDEVP(終値!F152:Y152)/AVERAGE(終値!F152:Y152)*100),"拡大↑","縮小↓"))</f>
      </c>
      <c r="P152" s="681">
        <f>IF($D152="","",IF($D152&gt;$G152,"↑+2σ突破",IF($D152&lt;$J152,"↓-2σ割れ",IF($D152&gt;$H152,"+1σ上",IF($D152&lt;$I152,"-1σ下","バンド内")))))</f>
      </c>
      <c r="Q152" s="684">
        <f>IF($D152="","",IFERROR(100-100/(1+SUMPRODUCT((終値!E152:R152&gt;終値!F152:S152)*(終値!E152:R152-終値!F152:S152))/SUMPRODUCT((終値!E152:R152&lt;終値!F152:S152)*(終値!F152:S152-終値!E152:R152))),100))</f>
      </c>
      <c r="R152" s="684">
        <f>IF($D152="","",IFERROR(100-100/(1+SUMPRODUCT((((高値!E152:R152+安値!E152:R152+終値!E152:R152)/3)&gt;((高値!F152:S152+安値!F152:S152+終値!F152:S152)/3))*((高値!E152:R152+安値!E152:R152+終値!E152:R152)/3)*出来高!E152:R152)/SUMPRODUCT((((高値!E152:R152+安値!E152:R152+終値!E152:R152)/3)&lt;((高値!F152:S152+安値!F152:S152+終値!F152:S152)/3))*((高値!E152:R152+安値!E152:R152+終値!E152:R152)/3)*出来高!E152:R152)),50))</f>
      </c>
      <c r="S152" s="681">
        <f>IF($D152="","",IF(AND(終値!E152&lt;終値!O152,$Q152&gt;(IFERROR(100-100/(1+SUMPRODUCT((終値!O152:AB152&gt;終値!P152:AC152)*(終値!O152:AB152-終値!P152:AC152))/SUMPRODUCT((終値!O152:AB152&lt;終値!P152:AC152)*(終値!P152:AC152-終値!O152:AB152))),100))),"強気div▲",IF(AND(終値!E152&gt;終値!O152,$Q152&lt;(IFERROR(100-100/(1+SUMPRODUCT((終値!O152:AB152&gt;終値!P152:AC152)*(終値!O152:AB152-終値!P152:AC152))/SUMPRODUCT((終値!O152:AB152&lt;終値!P152:AC152)*(終値!P152:AC152-終値!O152:AB152))),100))),"弱気div▼","－")))</f>
      </c>
      <c r="T152" s="681">
        <f>IF($D152="","",IF($D152&gt;=$H152,"上walk▲",IF($D152&lt;=$I152,"下walk▼","－")))</f>
      </c>
      <c r="U152" s="681">
        <f>IF(終値!A152="","",BB_スイング!BT152)</f>
      </c>
      <c r="V152" s="689">
        <f>IF($D152="","",IFERROR(出来高!E152/AVERAGE(出来高!E152:I152),""))</f>
      </c>
      <c r="W152" s="690">
        <f>IF($D152="","",IF(AND($D152&gt;$G152,$O152="拡大↑",$L152&lt;=$M152*1.8),"◎スクイーズブレイク買",IF(AND($D152&gt;=$H152,$R152&gt;=BB設定!$B$10),"○順張り継続(walk)",IF(AND($S152="強気div▲",$D152&gt;$I152),"○反発(ダイバ)買",IF($U152="二番底W▲","△二番底買(確)",IF($U152="二番底W形成","△二番底形成",IF($D152&lt;$J152,"▼-2σ割れ危険",IF(AND($D152&gt;$E152,$K152&lt;0.6,$R152&gt;=50),"・押し目注目",IF($N152="スクイーズ★","☆スクイーズ監視","様子見")))))))))</f>
      </c>
      <c r="X152" s="685">
        <f>IF($D152="","",MIN(100,IF($L152&lt;=$M152*1.15,20,IF($L152&lt;=$M152*1.4,10,0))+IF($D152&gt;$G152,20,IF($D152&gt;$H152,12,IF($D152&gt;$E152,5,0)))+IF($O152="拡大↑",10,0)+IF($R152&gt;=80,15,IF($R152&gt;=60,10,IF($R152&gt;=50,5,0)))+IF(AND($Q152&gt;=50,$Q152&lt;=70),10,IF($Q152&gt;70,3,IF($Q152&gt;=40,5,0)))+IF($S152="強気div▲",15,0)+IF($T152="上walk▲",5,0)+IF($V152&gt;=2,5,IF($V152&gt;=1.5,3,0))))</f>
      </c>
      <c r="Y152" s="682">
        <f>IF($D152="","",$D152)</f>
      </c>
      <c r="Z152" s="682">
        <f>IF($D152="","",$H152)</f>
      </c>
      <c r="AA152" s="682">
        <f>IF($D152="","",IF($D152&gt;$E152,$E152,$AD152))</f>
      </c>
      <c r="AB152" s="682">
        <f>IF($D152="","",$G152)</f>
      </c>
      <c r="AC152" s="688">
        <f>IF($D152="","",IF(($Y152-$AA152)&lt;=0,"－",IFERROR(ROUND(MIN(20,($AB152-$Y152)/($Y152-$AA152)),2),"－")))</f>
      </c>
      <c r="AD152" s="682">
        <f>IF($D152="","",MIN(終値!E152:I152))</f>
      </c>
      <c r="AE152" s="684">
        <f>IF($D152="","",$X152+(10000-ROW())/100000)</f>
      </c>
    </row>
    <row r="153">
      <c r="A153" s="681">
        <f>IF(終値!A153="","",HYPERLINK("https://kabutan.jp/stock/?code="&amp;終値!A153,"📈"))</f>
      </c>
      <c r="B153" s="681">
        <f>IF(終値!A153="","",終値!A153)</f>
      </c>
      <c r="C153" s="680">
        <f>IF(終値!A153="","",終値!B153)</f>
      </c>
      <c r="D153" s="682">
        <f>IF(終値!A153="","",終値!E153)</f>
      </c>
      <c r="E153" s="682">
        <f>IF($D153="","",AVERAGE(終値!E153:X153))</f>
      </c>
      <c r="F153" s="683">
        <f>IF($D153="","",STDEVP(終値!E153:X153))</f>
      </c>
      <c r="G153" s="682">
        <f>IF($D153="","",$E153+BB設定!$B$4*$F153)</f>
      </c>
      <c r="H153" s="682">
        <f>IF($D153="","",$E153+BB設定!$B$5*$F153)</f>
      </c>
      <c r="I153" s="682">
        <f>IF($D153="","",$E153-BB設定!$B$5*$F153)</f>
      </c>
      <c r="J153" s="682">
        <f>IF($D153="","",$E153-BB設定!$B$4*$F153)</f>
      </c>
      <c r="K153" s="687">
        <f>IF($D153="","",IFERROR(($D153-$J153)/($G153-$J153),""))</f>
      </c>
      <c r="L153" s="686">
        <f>IF($D153="","",IFERROR(($G153-$J153)/$E153*100,""))</f>
      </c>
      <c r="M153" s="686">
        <f>IF($D153="","",IFERROR(MIN(BB_帯幅!B153:AP153)*100,""))</f>
      </c>
      <c r="N153" s="681">
        <f>IF($L153="","",IF($L153&lt;=$M153*BB設定!$B$7,"スクイーズ★",IF($L153&lt;=$M153*1.3,"収縮","－")))</f>
      </c>
      <c r="O153" s="681">
        <f>IF($D153="","",IF($L153&gt;(4*STDEVP(終値!F153:Y153)/AVERAGE(終値!F153:Y153)*100),"拡大↑","縮小↓"))</f>
      </c>
      <c r="P153" s="681">
        <f>IF($D153="","",IF($D153&gt;$G153,"↑+2σ突破",IF($D153&lt;$J153,"↓-2σ割れ",IF($D153&gt;$H153,"+1σ上",IF($D153&lt;$I153,"-1σ下","バンド内")))))</f>
      </c>
      <c r="Q153" s="684">
        <f>IF($D153="","",IFERROR(100-100/(1+SUMPRODUCT((終値!E153:R153&gt;終値!F153:S153)*(終値!E153:R153-終値!F153:S153))/SUMPRODUCT((終値!E153:R153&lt;終値!F153:S153)*(終値!F153:S153-終値!E153:R153))),100))</f>
      </c>
      <c r="R153" s="684">
        <f>IF($D153="","",IFERROR(100-100/(1+SUMPRODUCT((((高値!E153:R153+安値!E153:R153+終値!E153:R153)/3)&gt;((高値!F153:S153+安値!F153:S153+終値!F153:S153)/3))*((高値!E153:R153+安値!E153:R153+終値!E153:R153)/3)*出来高!E153:R153)/SUMPRODUCT((((高値!E153:R153+安値!E153:R153+終値!E153:R153)/3)&lt;((高値!F153:S153+安値!F153:S153+終値!F153:S153)/3))*((高値!E153:R153+安値!E153:R153+終値!E153:R153)/3)*出来高!E153:R153)),50))</f>
      </c>
      <c r="S153" s="681">
        <f>IF($D153="","",IF(AND(終値!E153&lt;終値!O153,$Q153&gt;(IFERROR(100-100/(1+SUMPRODUCT((終値!O153:AB153&gt;終値!P153:AC153)*(終値!O153:AB153-終値!P153:AC153))/SUMPRODUCT((終値!O153:AB153&lt;終値!P153:AC153)*(終値!P153:AC153-終値!O153:AB153))),100))),"強気div▲",IF(AND(終値!E153&gt;終値!O153,$Q153&lt;(IFERROR(100-100/(1+SUMPRODUCT((終値!O153:AB153&gt;終値!P153:AC153)*(終値!O153:AB153-終値!P153:AC153))/SUMPRODUCT((終値!O153:AB153&lt;終値!P153:AC153)*(終値!P153:AC153-終値!O153:AB153))),100))),"弱気div▼","－")))</f>
      </c>
      <c r="T153" s="681">
        <f>IF($D153="","",IF($D153&gt;=$H153,"上walk▲",IF($D153&lt;=$I153,"下walk▼","－")))</f>
      </c>
      <c r="U153" s="681">
        <f>IF(終値!A153="","",BB_スイング!BT153)</f>
      </c>
      <c r="V153" s="689">
        <f>IF($D153="","",IFERROR(出来高!E153/AVERAGE(出来高!E153:I153),""))</f>
      </c>
      <c r="W153" s="690">
        <f>IF($D153="","",IF(AND($D153&gt;$G153,$O153="拡大↑",$L153&lt;=$M153*1.8),"◎スクイーズブレイク買",IF(AND($D153&gt;=$H153,$R153&gt;=BB設定!$B$10),"○順張り継続(walk)",IF(AND($S153="強気div▲",$D153&gt;$I153),"○反発(ダイバ)買",IF($U153="二番底W▲","△二番底買(確)",IF($U153="二番底W形成","△二番底形成",IF($D153&lt;$J153,"▼-2σ割れ危険",IF(AND($D153&gt;$E153,$K153&lt;0.6,$R153&gt;=50),"・押し目注目",IF($N153="スクイーズ★","☆スクイーズ監視","様子見")))))))))</f>
      </c>
      <c r="X153" s="685">
        <f>IF($D153="","",MIN(100,IF($L153&lt;=$M153*1.15,20,IF($L153&lt;=$M153*1.4,10,0))+IF($D153&gt;$G153,20,IF($D153&gt;$H153,12,IF($D153&gt;$E153,5,0)))+IF($O153="拡大↑",10,0)+IF($R153&gt;=80,15,IF($R153&gt;=60,10,IF($R153&gt;=50,5,0)))+IF(AND($Q153&gt;=50,$Q153&lt;=70),10,IF($Q153&gt;70,3,IF($Q153&gt;=40,5,0)))+IF($S153="強気div▲",15,0)+IF($T153="上walk▲",5,0)+IF($V153&gt;=2,5,IF($V153&gt;=1.5,3,0))))</f>
      </c>
      <c r="Y153" s="682">
        <f>IF($D153="","",$D153)</f>
      </c>
      <c r="Z153" s="682">
        <f>IF($D153="","",$H153)</f>
      </c>
      <c r="AA153" s="682">
        <f>IF($D153="","",IF($D153&gt;$E153,$E153,$AD153))</f>
      </c>
      <c r="AB153" s="682">
        <f>IF($D153="","",$G153)</f>
      </c>
      <c r="AC153" s="688">
        <f>IF($D153="","",IF(($Y153-$AA153)&lt;=0,"－",IFERROR(ROUND(MIN(20,($AB153-$Y153)/($Y153-$AA153)),2),"－")))</f>
      </c>
      <c r="AD153" s="682">
        <f>IF($D153="","",MIN(終値!E153:I153))</f>
      </c>
      <c r="AE153" s="684">
        <f>IF($D153="","",$X153+(10000-ROW())/100000)</f>
      </c>
    </row>
    <row r="154">
      <c r="A154" s="681">
        <f>IF(終値!A154="","",HYPERLINK("https://kabutan.jp/stock/?code="&amp;終値!A154,"📈"))</f>
      </c>
      <c r="B154" s="681">
        <f>IF(終値!A154="","",終値!A154)</f>
      </c>
      <c r="C154" s="680">
        <f>IF(終値!A154="","",終値!B154)</f>
      </c>
      <c r="D154" s="682">
        <f>IF(終値!A154="","",終値!E154)</f>
      </c>
      <c r="E154" s="682">
        <f>IF($D154="","",AVERAGE(終値!E154:X154))</f>
      </c>
      <c r="F154" s="683">
        <f>IF($D154="","",STDEVP(終値!E154:X154))</f>
      </c>
      <c r="G154" s="682">
        <f>IF($D154="","",$E154+BB設定!$B$4*$F154)</f>
      </c>
      <c r="H154" s="682">
        <f>IF($D154="","",$E154+BB設定!$B$5*$F154)</f>
      </c>
      <c r="I154" s="682">
        <f>IF($D154="","",$E154-BB設定!$B$5*$F154)</f>
      </c>
      <c r="J154" s="682">
        <f>IF($D154="","",$E154-BB設定!$B$4*$F154)</f>
      </c>
      <c r="K154" s="687">
        <f>IF($D154="","",IFERROR(($D154-$J154)/($G154-$J154),""))</f>
      </c>
      <c r="L154" s="686">
        <f>IF($D154="","",IFERROR(($G154-$J154)/$E154*100,""))</f>
      </c>
      <c r="M154" s="686">
        <f>IF($D154="","",IFERROR(MIN(BB_帯幅!B154:AP154)*100,""))</f>
      </c>
      <c r="N154" s="681">
        <f>IF($L154="","",IF($L154&lt;=$M154*BB設定!$B$7,"スクイーズ★",IF($L154&lt;=$M154*1.3,"収縮","－")))</f>
      </c>
      <c r="O154" s="681">
        <f>IF($D154="","",IF($L154&gt;(4*STDEVP(終値!F154:Y154)/AVERAGE(終値!F154:Y154)*100),"拡大↑","縮小↓"))</f>
      </c>
      <c r="P154" s="681">
        <f>IF($D154="","",IF($D154&gt;$G154,"↑+2σ突破",IF($D154&lt;$J154,"↓-2σ割れ",IF($D154&gt;$H154,"+1σ上",IF($D154&lt;$I154,"-1σ下","バンド内")))))</f>
      </c>
      <c r="Q154" s="684">
        <f>IF($D154="","",IFERROR(100-100/(1+SUMPRODUCT((終値!E154:R154&gt;終値!F154:S154)*(終値!E154:R154-終値!F154:S154))/SUMPRODUCT((終値!E154:R154&lt;終値!F154:S154)*(終値!F154:S154-終値!E154:R154))),100))</f>
      </c>
      <c r="R154" s="684">
        <f>IF($D154="","",IFERROR(100-100/(1+SUMPRODUCT((((高値!E154:R154+安値!E154:R154+終値!E154:R154)/3)&gt;((高値!F154:S154+安値!F154:S154+終値!F154:S154)/3))*((高値!E154:R154+安値!E154:R154+終値!E154:R154)/3)*出来高!E154:R154)/SUMPRODUCT((((高値!E154:R154+安値!E154:R154+終値!E154:R154)/3)&lt;((高値!F154:S154+安値!F154:S154+終値!F154:S154)/3))*((高値!E154:R154+安値!E154:R154+終値!E154:R154)/3)*出来高!E154:R154)),50))</f>
      </c>
      <c r="S154" s="681">
        <f>IF($D154="","",IF(AND(終値!E154&lt;終値!O154,$Q154&gt;(IFERROR(100-100/(1+SUMPRODUCT((終値!O154:AB154&gt;終値!P154:AC154)*(終値!O154:AB154-終値!P154:AC154))/SUMPRODUCT((終値!O154:AB154&lt;終値!P154:AC154)*(終値!P154:AC154-終値!O154:AB154))),100))),"強気div▲",IF(AND(終値!E154&gt;終値!O154,$Q154&lt;(IFERROR(100-100/(1+SUMPRODUCT((終値!O154:AB154&gt;終値!P154:AC154)*(終値!O154:AB154-終値!P154:AC154))/SUMPRODUCT((終値!O154:AB154&lt;終値!P154:AC154)*(終値!P154:AC154-終値!O154:AB154))),100))),"弱気div▼","－")))</f>
      </c>
      <c r="T154" s="681">
        <f>IF($D154="","",IF($D154&gt;=$H154,"上walk▲",IF($D154&lt;=$I154,"下walk▼","－")))</f>
      </c>
      <c r="U154" s="681">
        <f>IF(終値!A154="","",BB_スイング!BT154)</f>
      </c>
      <c r="V154" s="689">
        <f>IF($D154="","",IFERROR(出来高!E154/AVERAGE(出来高!E154:I154),""))</f>
      </c>
      <c r="W154" s="690">
        <f>IF($D154="","",IF(AND($D154&gt;$G154,$O154="拡大↑",$L154&lt;=$M154*1.8),"◎スクイーズブレイク買",IF(AND($D154&gt;=$H154,$R154&gt;=BB設定!$B$10),"○順張り継続(walk)",IF(AND($S154="強気div▲",$D154&gt;$I154),"○反発(ダイバ)買",IF($U154="二番底W▲","△二番底買(確)",IF($U154="二番底W形成","△二番底形成",IF($D154&lt;$J154,"▼-2σ割れ危険",IF(AND($D154&gt;$E154,$K154&lt;0.6,$R154&gt;=50),"・押し目注目",IF($N154="スクイーズ★","☆スクイーズ監視","様子見")))))))))</f>
      </c>
      <c r="X154" s="685">
        <f>IF($D154="","",MIN(100,IF($L154&lt;=$M154*1.15,20,IF($L154&lt;=$M154*1.4,10,0))+IF($D154&gt;$G154,20,IF($D154&gt;$H154,12,IF($D154&gt;$E154,5,0)))+IF($O154="拡大↑",10,0)+IF($R154&gt;=80,15,IF($R154&gt;=60,10,IF($R154&gt;=50,5,0)))+IF(AND($Q154&gt;=50,$Q154&lt;=70),10,IF($Q154&gt;70,3,IF($Q154&gt;=40,5,0)))+IF($S154="強気div▲",15,0)+IF($T154="上walk▲",5,0)+IF($V154&gt;=2,5,IF($V154&gt;=1.5,3,0))))</f>
      </c>
      <c r="Y154" s="682">
        <f>IF($D154="","",$D154)</f>
      </c>
      <c r="Z154" s="682">
        <f>IF($D154="","",$H154)</f>
      </c>
      <c r="AA154" s="682">
        <f>IF($D154="","",IF($D154&gt;$E154,$E154,$AD154))</f>
      </c>
      <c r="AB154" s="682">
        <f>IF($D154="","",$G154)</f>
      </c>
      <c r="AC154" s="688">
        <f>IF($D154="","",IF(($Y154-$AA154)&lt;=0,"－",IFERROR(ROUND(MIN(20,($AB154-$Y154)/($Y154-$AA154)),2),"－")))</f>
      </c>
      <c r="AD154" s="682">
        <f>IF($D154="","",MIN(終値!E154:I154))</f>
      </c>
      <c r="AE154" s="684">
        <f>IF($D154="","",$X154+(10000-ROW())/100000)</f>
      </c>
    </row>
    <row r="155">
      <c r="A155" s="681">
        <f>IF(終値!A155="","",HYPERLINK("https://kabutan.jp/stock/?code="&amp;終値!A155,"📈"))</f>
      </c>
      <c r="B155" s="681">
        <f>IF(終値!A155="","",終値!A155)</f>
      </c>
      <c r="C155" s="680">
        <f>IF(終値!A155="","",終値!B155)</f>
      </c>
      <c r="D155" s="682">
        <f>IF(終値!A155="","",終値!E155)</f>
      </c>
      <c r="E155" s="682">
        <f>IF($D155="","",AVERAGE(終値!E155:X155))</f>
      </c>
      <c r="F155" s="683">
        <f>IF($D155="","",STDEVP(終値!E155:X155))</f>
      </c>
      <c r="G155" s="682">
        <f>IF($D155="","",$E155+BB設定!$B$4*$F155)</f>
      </c>
      <c r="H155" s="682">
        <f>IF($D155="","",$E155+BB設定!$B$5*$F155)</f>
      </c>
      <c r="I155" s="682">
        <f>IF($D155="","",$E155-BB設定!$B$5*$F155)</f>
      </c>
      <c r="J155" s="682">
        <f>IF($D155="","",$E155-BB設定!$B$4*$F155)</f>
      </c>
      <c r="K155" s="687">
        <f>IF($D155="","",IFERROR(($D155-$J155)/($G155-$J155),""))</f>
      </c>
      <c r="L155" s="686">
        <f>IF($D155="","",IFERROR(($G155-$J155)/$E155*100,""))</f>
      </c>
      <c r="M155" s="686">
        <f>IF($D155="","",IFERROR(MIN(BB_帯幅!B155:AP155)*100,""))</f>
      </c>
      <c r="N155" s="681">
        <f>IF($L155="","",IF($L155&lt;=$M155*BB設定!$B$7,"スクイーズ★",IF($L155&lt;=$M155*1.3,"収縮","－")))</f>
      </c>
      <c r="O155" s="681">
        <f>IF($D155="","",IF($L155&gt;(4*STDEVP(終値!F155:Y155)/AVERAGE(終値!F155:Y155)*100),"拡大↑","縮小↓"))</f>
      </c>
      <c r="P155" s="681">
        <f>IF($D155="","",IF($D155&gt;$G155,"↑+2σ突破",IF($D155&lt;$J155,"↓-2σ割れ",IF($D155&gt;$H155,"+1σ上",IF($D155&lt;$I155,"-1σ下","バンド内")))))</f>
      </c>
      <c r="Q155" s="684">
        <f>IF($D155="","",IFERROR(100-100/(1+SUMPRODUCT((終値!E155:R155&gt;終値!F155:S155)*(終値!E155:R155-終値!F155:S155))/SUMPRODUCT((終値!E155:R155&lt;終値!F155:S155)*(終値!F155:S155-終値!E155:R155))),100))</f>
      </c>
      <c r="R155" s="684">
        <f>IF($D155="","",IFERROR(100-100/(1+SUMPRODUCT((((高値!E155:R155+安値!E155:R155+終値!E155:R155)/3)&gt;((高値!F155:S155+安値!F155:S155+終値!F155:S155)/3))*((高値!E155:R155+安値!E155:R155+終値!E155:R155)/3)*出来高!E155:R155)/SUMPRODUCT((((高値!E155:R155+安値!E155:R155+終値!E155:R155)/3)&lt;((高値!F155:S155+安値!F155:S155+終値!F155:S155)/3))*((高値!E155:R155+安値!E155:R155+終値!E155:R155)/3)*出来高!E155:R155)),50))</f>
      </c>
      <c r="S155" s="681">
        <f>IF($D155="","",IF(AND(終値!E155&lt;終値!O155,$Q155&gt;(IFERROR(100-100/(1+SUMPRODUCT((終値!O155:AB155&gt;終値!P155:AC155)*(終値!O155:AB155-終値!P155:AC155))/SUMPRODUCT((終値!O155:AB155&lt;終値!P155:AC155)*(終値!P155:AC155-終値!O155:AB155))),100))),"強気div▲",IF(AND(終値!E155&gt;終値!O155,$Q155&lt;(IFERROR(100-100/(1+SUMPRODUCT((終値!O155:AB155&gt;終値!P155:AC155)*(終値!O155:AB155-終値!P155:AC155))/SUMPRODUCT((終値!O155:AB155&lt;終値!P155:AC155)*(終値!P155:AC155-終値!O155:AB155))),100))),"弱気div▼","－")))</f>
      </c>
      <c r="T155" s="681">
        <f>IF($D155="","",IF($D155&gt;=$H155,"上walk▲",IF($D155&lt;=$I155,"下walk▼","－")))</f>
      </c>
      <c r="U155" s="681">
        <f>IF(終値!A155="","",BB_スイング!BT155)</f>
      </c>
      <c r="V155" s="689">
        <f>IF($D155="","",IFERROR(出来高!E155/AVERAGE(出来高!E155:I155),""))</f>
      </c>
      <c r="W155" s="690">
        <f>IF($D155="","",IF(AND($D155&gt;$G155,$O155="拡大↑",$L155&lt;=$M155*1.8),"◎スクイーズブレイク買",IF(AND($D155&gt;=$H155,$R155&gt;=BB設定!$B$10),"○順張り継続(walk)",IF(AND($S155="強気div▲",$D155&gt;$I155),"○反発(ダイバ)買",IF($U155="二番底W▲","△二番底買(確)",IF($U155="二番底W形成","△二番底形成",IF($D155&lt;$J155,"▼-2σ割れ危険",IF(AND($D155&gt;$E155,$K155&lt;0.6,$R155&gt;=50),"・押し目注目",IF($N155="スクイーズ★","☆スクイーズ監視","様子見")))))))))</f>
      </c>
      <c r="X155" s="685">
        <f>IF($D155="","",MIN(100,IF($L155&lt;=$M155*1.15,20,IF($L155&lt;=$M155*1.4,10,0))+IF($D155&gt;$G155,20,IF($D155&gt;$H155,12,IF($D155&gt;$E155,5,0)))+IF($O155="拡大↑",10,0)+IF($R155&gt;=80,15,IF($R155&gt;=60,10,IF($R155&gt;=50,5,0)))+IF(AND($Q155&gt;=50,$Q155&lt;=70),10,IF($Q155&gt;70,3,IF($Q155&gt;=40,5,0)))+IF($S155="強気div▲",15,0)+IF($T155="上walk▲",5,0)+IF($V155&gt;=2,5,IF($V155&gt;=1.5,3,0))))</f>
      </c>
      <c r="Y155" s="682">
        <f>IF($D155="","",$D155)</f>
      </c>
      <c r="Z155" s="682">
        <f>IF($D155="","",$H155)</f>
      </c>
      <c r="AA155" s="682">
        <f>IF($D155="","",IF($D155&gt;$E155,$E155,$AD155))</f>
      </c>
      <c r="AB155" s="682">
        <f>IF($D155="","",$G155)</f>
      </c>
      <c r="AC155" s="688">
        <f>IF($D155="","",IF(($Y155-$AA155)&lt;=0,"－",IFERROR(ROUND(MIN(20,($AB155-$Y155)/($Y155-$AA155)),2),"－")))</f>
      </c>
      <c r="AD155" s="682">
        <f>IF($D155="","",MIN(終値!E155:I155))</f>
      </c>
      <c r="AE155" s="684">
        <f>IF($D155="","",$X155+(10000-ROW())/100000)</f>
      </c>
    </row>
    <row r="156">
      <c r="A156" s="681">
        <f>IF(終値!A156="","",HYPERLINK("https://kabutan.jp/stock/?code="&amp;終値!A156,"📈"))</f>
      </c>
      <c r="B156" s="681">
        <f>IF(終値!A156="","",終値!A156)</f>
      </c>
      <c r="C156" s="680">
        <f>IF(終値!A156="","",終値!B156)</f>
      </c>
      <c r="D156" s="682">
        <f>IF(終値!A156="","",終値!E156)</f>
      </c>
      <c r="E156" s="682">
        <f>IF($D156="","",AVERAGE(終値!E156:X156))</f>
      </c>
      <c r="F156" s="683">
        <f>IF($D156="","",STDEVP(終値!E156:X156))</f>
      </c>
      <c r="G156" s="682">
        <f>IF($D156="","",$E156+BB設定!$B$4*$F156)</f>
      </c>
      <c r="H156" s="682">
        <f>IF($D156="","",$E156+BB設定!$B$5*$F156)</f>
      </c>
      <c r="I156" s="682">
        <f>IF($D156="","",$E156-BB設定!$B$5*$F156)</f>
      </c>
      <c r="J156" s="682">
        <f>IF($D156="","",$E156-BB設定!$B$4*$F156)</f>
      </c>
      <c r="K156" s="687">
        <f>IF($D156="","",IFERROR(($D156-$J156)/($G156-$J156),""))</f>
      </c>
      <c r="L156" s="686">
        <f>IF($D156="","",IFERROR(($G156-$J156)/$E156*100,""))</f>
      </c>
      <c r="M156" s="686">
        <f>IF($D156="","",IFERROR(MIN(BB_帯幅!B156:AP156)*100,""))</f>
      </c>
      <c r="N156" s="681">
        <f>IF($L156="","",IF($L156&lt;=$M156*BB設定!$B$7,"スクイーズ★",IF($L156&lt;=$M156*1.3,"収縮","－")))</f>
      </c>
      <c r="O156" s="681">
        <f>IF($D156="","",IF($L156&gt;(4*STDEVP(終値!F156:Y156)/AVERAGE(終値!F156:Y156)*100),"拡大↑","縮小↓"))</f>
      </c>
      <c r="P156" s="681">
        <f>IF($D156="","",IF($D156&gt;$G156,"↑+2σ突破",IF($D156&lt;$J156,"↓-2σ割れ",IF($D156&gt;$H156,"+1σ上",IF($D156&lt;$I156,"-1σ下","バンド内")))))</f>
      </c>
      <c r="Q156" s="684">
        <f>IF($D156="","",IFERROR(100-100/(1+SUMPRODUCT((終値!E156:R156&gt;終値!F156:S156)*(終値!E156:R156-終値!F156:S156))/SUMPRODUCT((終値!E156:R156&lt;終値!F156:S156)*(終値!F156:S156-終値!E156:R156))),100))</f>
      </c>
      <c r="R156" s="684">
        <f>IF($D156="","",IFERROR(100-100/(1+SUMPRODUCT((((高値!E156:R156+安値!E156:R156+終値!E156:R156)/3)&gt;((高値!F156:S156+安値!F156:S156+終値!F156:S156)/3))*((高値!E156:R156+安値!E156:R156+終値!E156:R156)/3)*出来高!E156:R156)/SUMPRODUCT((((高値!E156:R156+安値!E156:R156+終値!E156:R156)/3)&lt;((高値!F156:S156+安値!F156:S156+終値!F156:S156)/3))*((高値!E156:R156+安値!E156:R156+終値!E156:R156)/3)*出来高!E156:R156)),50))</f>
      </c>
      <c r="S156" s="681">
        <f>IF($D156="","",IF(AND(終値!E156&lt;終値!O156,$Q156&gt;(IFERROR(100-100/(1+SUMPRODUCT((終値!O156:AB156&gt;終値!P156:AC156)*(終値!O156:AB156-終値!P156:AC156))/SUMPRODUCT((終値!O156:AB156&lt;終値!P156:AC156)*(終値!P156:AC156-終値!O156:AB156))),100))),"強気div▲",IF(AND(終値!E156&gt;終値!O156,$Q156&lt;(IFERROR(100-100/(1+SUMPRODUCT((終値!O156:AB156&gt;終値!P156:AC156)*(終値!O156:AB156-終値!P156:AC156))/SUMPRODUCT((終値!O156:AB156&lt;終値!P156:AC156)*(終値!P156:AC156-終値!O156:AB156))),100))),"弱気div▼","－")))</f>
      </c>
      <c r="T156" s="681">
        <f>IF($D156="","",IF($D156&gt;=$H156,"上walk▲",IF($D156&lt;=$I156,"下walk▼","－")))</f>
      </c>
      <c r="U156" s="681">
        <f>IF(終値!A156="","",BB_スイング!BT156)</f>
      </c>
      <c r="V156" s="689">
        <f>IF($D156="","",IFERROR(出来高!E156/AVERAGE(出来高!E156:I156),""))</f>
      </c>
      <c r="W156" s="690">
        <f>IF($D156="","",IF(AND($D156&gt;$G156,$O156="拡大↑",$L156&lt;=$M156*1.8),"◎スクイーズブレイク買",IF(AND($D156&gt;=$H156,$R156&gt;=BB設定!$B$10),"○順張り継続(walk)",IF(AND($S156="強気div▲",$D156&gt;$I156),"○反発(ダイバ)買",IF($U156="二番底W▲","△二番底買(確)",IF($U156="二番底W形成","△二番底形成",IF($D156&lt;$J156,"▼-2σ割れ危険",IF(AND($D156&gt;$E156,$K156&lt;0.6,$R156&gt;=50),"・押し目注目",IF($N156="スクイーズ★","☆スクイーズ監視","様子見")))))))))</f>
      </c>
      <c r="X156" s="685">
        <f>IF($D156="","",MIN(100,IF($L156&lt;=$M156*1.15,20,IF($L156&lt;=$M156*1.4,10,0))+IF($D156&gt;$G156,20,IF($D156&gt;$H156,12,IF($D156&gt;$E156,5,0)))+IF($O156="拡大↑",10,0)+IF($R156&gt;=80,15,IF($R156&gt;=60,10,IF($R156&gt;=50,5,0)))+IF(AND($Q156&gt;=50,$Q156&lt;=70),10,IF($Q156&gt;70,3,IF($Q156&gt;=40,5,0)))+IF($S156="強気div▲",15,0)+IF($T156="上walk▲",5,0)+IF($V156&gt;=2,5,IF($V156&gt;=1.5,3,0))))</f>
      </c>
      <c r="Y156" s="682">
        <f>IF($D156="","",$D156)</f>
      </c>
      <c r="Z156" s="682">
        <f>IF($D156="","",$H156)</f>
      </c>
      <c r="AA156" s="682">
        <f>IF($D156="","",IF($D156&gt;$E156,$E156,$AD156))</f>
      </c>
      <c r="AB156" s="682">
        <f>IF($D156="","",$G156)</f>
      </c>
      <c r="AC156" s="688">
        <f>IF($D156="","",IF(($Y156-$AA156)&lt;=0,"－",IFERROR(ROUND(MIN(20,($AB156-$Y156)/($Y156-$AA156)),2),"－")))</f>
      </c>
      <c r="AD156" s="682">
        <f>IF($D156="","",MIN(終値!E156:I156))</f>
      </c>
      <c r="AE156" s="684">
        <f>IF($D156="","",$X156+(10000-ROW())/100000)</f>
      </c>
    </row>
    <row r="157">
      <c r="A157" s="681">
        <f>IF(終値!A157="","",HYPERLINK("https://kabutan.jp/stock/?code="&amp;終値!A157,"📈"))</f>
      </c>
      <c r="B157" s="681">
        <f>IF(終値!A157="","",終値!A157)</f>
      </c>
      <c r="C157" s="680">
        <f>IF(終値!A157="","",終値!B157)</f>
      </c>
      <c r="D157" s="682">
        <f>IF(終値!A157="","",終値!E157)</f>
      </c>
      <c r="E157" s="682">
        <f>IF($D157="","",AVERAGE(終値!E157:X157))</f>
      </c>
      <c r="F157" s="683">
        <f>IF($D157="","",STDEVP(終値!E157:X157))</f>
      </c>
      <c r="G157" s="682">
        <f>IF($D157="","",$E157+BB設定!$B$4*$F157)</f>
      </c>
      <c r="H157" s="682">
        <f>IF($D157="","",$E157+BB設定!$B$5*$F157)</f>
      </c>
      <c r="I157" s="682">
        <f>IF($D157="","",$E157-BB設定!$B$5*$F157)</f>
      </c>
      <c r="J157" s="682">
        <f>IF($D157="","",$E157-BB設定!$B$4*$F157)</f>
      </c>
      <c r="K157" s="687">
        <f>IF($D157="","",IFERROR(($D157-$J157)/($G157-$J157),""))</f>
      </c>
      <c r="L157" s="686">
        <f>IF($D157="","",IFERROR(($G157-$J157)/$E157*100,""))</f>
      </c>
      <c r="M157" s="686">
        <f>IF($D157="","",IFERROR(MIN(BB_帯幅!B157:AP157)*100,""))</f>
      </c>
      <c r="N157" s="681">
        <f>IF($L157="","",IF($L157&lt;=$M157*BB設定!$B$7,"スクイーズ★",IF($L157&lt;=$M157*1.3,"収縮","－")))</f>
      </c>
      <c r="O157" s="681">
        <f>IF($D157="","",IF($L157&gt;(4*STDEVP(終値!F157:Y157)/AVERAGE(終値!F157:Y157)*100),"拡大↑","縮小↓"))</f>
      </c>
      <c r="P157" s="681">
        <f>IF($D157="","",IF($D157&gt;$G157,"↑+2σ突破",IF($D157&lt;$J157,"↓-2σ割れ",IF($D157&gt;$H157,"+1σ上",IF($D157&lt;$I157,"-1σ下","バンド内")))))</f>
      </c>
      <c r="Q157" s="684">
        <f>IF($D157="","",IFERROR(100-100/(1+SUMPRODUCT((終値!E157:R157&gt;終値!F157:S157)*(終値!E157:R157-終値!F157:S157))/SUMPRODUCT((終値!E157:R157&lt;終値!F157:S157)*(終値!F157:S157-終値!E157:R157))),100))</f>
      </c>
      <c r="R157" s="684">
        <f>IF($D157="","",IFERROR(100-100/(1+SUMPRODUCT((((高値!E157:R157+安値!E157:R157+終値!E157:R157)/3)&gt;((高値!F157:S157+安値!F157:S157+終値!F157:S157)/3))*((高値!E157:R157+安値!E157:R157+終値!E157:R157)/3)*出来高!E157:R157)/SUMPRODUCT((((高値!E157:R157+安値!E157:R157+終値!E157:R157)/3)&lt;((高値!F157:S157+安値!F157:S157+終値!F157:S157)/3))*((高値!E157:R157+安値!E157:R157+終値!E157:R157)/3)*出来高!E157:R157)),50))</f>
      </c>
      <c r="S157" s="681">
        <f>IF($D157="","",IF(AND(終値!E157&lt;終値!O157,$Q157&gt;(IFERROR(100-100/(1+SUMPRODUCT((終値!O157:AB157&gt;終値!P157:AC157)*(終値!O157:AB157-終値!P157:AC157))/SUMPRODUCT((終値!O157:AB157&lt;終値!P157:AC157)*(終値!P157:AC157-終値!O157:AB157))),100))),"強気div▲",IF(AND(終値!E157&gt;終値!O157,$Q157&lt;(IFERROR(100-100/(1+SUMPRODUCT((終値!O157:AB157&gt;終値!P157:AC157)*(終値!O157:AB157-終値!P157:AC157))/SUMPRODUCT((終値!O157:AB157&lt;終値!P157:AC157)*(終値!P157:AC157-終値!O157:AB157))),100))),"弱気div▼","－")))</f>
      </c>
      <c r="T157" s="681">
        <f>IF($D157="","",IF($D157&gt;=$H157,"上walk▲",IF($D157&lt;=$I157,"下walk▼","－")))</f>
      </c>
      <c r="U157" s="681">
        <f>IF(終値!A157="","",BB_スイング!BT157)</f>
      </c>
      <c r="V157" s="689">
        <f>IF($D157="","",IFERROR(出来高!E157/AVERAGE(出来高!E157:I157),""))</f>
      </c>
      <c r="W157" s="690">
        <f>IF($D157="","",IF(AND($D157&gt;$G157,$O157="拡大↑",$L157&lt;=$M157*1.8),"◎スクイーズブレイク買",IF(AND($D157&gt;=$H157,$R157&gt;=BB設定!$B$10),"○順張り継続(walk)",IF(AND($S157="強気div▲",$D157&gt;$I157),"○反発(ダイバ)買",IF($U157="二番底W▲","△二番底買(確)",IF($U157="二番底W形成","△二番底形成",IF($D157&lt;$J157,"▼-2σ割れ危険",IF(AND($D157&gt;$E157,$K157&lt;0.6,$R157&gt;=50),"・押し目注目",IF($N157="スクイーズ★","☆スクイーズ監視","様子見")))))))))</f>
      </c>
      <c r="X157" s="685">
        <f>IF($D157="","",MIN(100,IF($L157&lt;=$M157*1.15,20,IF($L157&lt;=$M157*1.4,10,0))+IF($D157&gt;$G157,20,IF($D157&gt;$H157,12,IF($D157&gt;$E157,5,0)))+IF($O157="拡大↑",10,0)+IF($R157&gt;=80,15,IF($R157&gt;=60,10,IF($R157&gt;=50,5,0)))+IF(AND($Q157&gt;=50,$Q157&lt;=70),10,IF($Q157&gt;70,3,IF($Q157&gt;=40,5,0)))+IF($S157="強気div▲",15,0)+IF($T157="上walk▲",5,0)+IF($V157&gt;=2,5,IF($V157&gt;=1.5,3,0))))</f>
      </c>
      <c r="Y157" s="682">
        <f>IF($D157="","",$D157)</f>
      </c>
      <c r="Z157" s="682">
        <f>IF($D157="","",$H157)</f>
      </c>
      <c r="AA157" s="682">
        <f>IF($D157="","",IF($D157&gt;$E157,$E157,$AD157))</f>
      </c>
      <c r="AB157" s="682">
        <f>IF($D157="","",$G157)</f>
      </c>
      <c r="AC157" s="688">
        <f>IF($D157="","",IF(($Y157-$AA157)&lt;=0,"－",IFERROR(ROUND(MIN(20,($AB157-$Y157)/($Y157-$AA157)),2),"－")))</f>
      </c>
      <c r="AD157" s="682">
        <f>IF($D157="","",MIN(終値!E157:I157))</f>
      </c>
      <c r="AE157" s="684">
        <f>IF($D157="","",$X157+(10000-ROW())/100000)</f>
      </c>
    </row>
    <row r="158">
      <c r="A158" s="681">
        <f>IF(終値!A158="","",HYPERLINK("https://kabutan.jp/stock/?code="&amp;終値!A158,"📈"))</f>
      </c>
      <c r="B158" s="681">
        <f>IF(終値!A158="","",終値!A158)</f>
      </c>
      <c r="C158" s="680">
        <f>IF(終値!A158="","",終値!B158)</f>
      </c>
      <c r="D158" s="682">
        <f>IF(終値!A158="","",終値!E158)</f>
      </c>
      <c r="E158" s="682">
        <f>IF($D158="","",AVERAGE(終値!E158:X158))</f>
      </c>
      <c r="F158" s="683">
        <f>IF($D158="","",STDEVP(終値!E158:X158))</f>
      </c>
      <c r="G158" s="682">
        <f>IF($D158="","",$E158+BB設定!$B$4*$F158)</f>
      </c>
      <c r="H158" s="682">
        <f>IF($D158="","",$E158+BB設定!$B$5*$F158)</f>
      </c>
      <c r="I158" s="682">
        <f>IF($D158="","",$E158-BB設定!$B$5*$F158)</f>
      </c>
      <c r="J158" s="682">
        <f>IF($D158="","",$E158-BB設定!$B$4*$F158)</f>
      </c>
      <c r="K158" s="687">
        <f>IF($D158="","",IFERROR(($D158-$J158)/($G158-$J158),""))</f>
      </c>
      <c r="L158" s="686">
        <f>IF($D158="","",IFERROR(($G158-$J158)/$E158*100,""))</f>
      </c>
      <c r="M158" s="686">
        <f>IF($D158="","",IFERROR(MIN(BB_帯幅!B158:AP158)*100,""))</f>
      </c>
      <c r="N158" s="681">
        <f>IF($L158="","",IF($L158&lt;=$M158*BB設定!$B$7,"スクイーズ★",IF($L158&lt;=$M158*1.3,"収縮","－")))</f>
      </c>
      <c r="O158" s="681">
        <f>IF($D158="","",IF($L158&gt;(4*STDEVP(終値!F158:Y158)/AVERAGE(終値!F158:Y158)*100),"拡大↑","縮小↓"))</f>
      </c>
      <c r="P158" s="681">
        <f>IF($D158="","",IF($D158&gt;$G158,"↑+2σ突破",IF($D158&lt;$J158,"↓-2σ割れ",IF($D158&gt;$H158,"+1σ上",IF($D158&lt;$I158,"-1σ下","バンド内")))))</f>
      </c>
      <c r="Q158" s="684">
        <f>IF($D158="","",IFERROR(100-100/(1+SUMPRODUCT((終値!E158:R158&gt;終値!F158:S158)*(終値!E158:R158-終値!F158:S158))/SUMPRODUCT((終値!E158:R158&lt;終値!F158:S158)*(終値!F158:S158-終値!E158:R158))),100))</f>
      </c>
      <c r="R158" s="684">
        <f>IF($D158="","",IFERROR(100-100/(1+SUMPRODUCT((((高値!E158:R158+安値!E158:R158+終値!E158:R158)/3)&gt;((高値!F158:S158+安値!F158:S158+終値!F158:S158)/3))*((高値!E158:R158+安値!E158:R158+終値!E158:R158)/3)*出来高!E158:R158)/SUMPRODUCT((((高値!E158:R158+安値!E158:R158+終値!E158:R158)/3)&lt;((高値!F158:S158+安値!F158:S158+終値!F158:S158)/3))*((高値!E158:R158+安値!E158:R158+終値!E158:R158)/3)*出来高!E158:R158)),50))</f>
      </c>
      <c r="S158" s="681">
        <f>IF($D158="","",IF(AND(終値!E158&lt;終値!O158,$Q158&gt;(IFERROR(100-100/(1+SUMPRODUCT((終値!O158:AB158&gt;終値!P158:AC158)*(終値!O158:AB158-終値!P158:AC158))/SUMPRODUCT((終値!O158:AB158&lt;終値!P158:AC158)*(終値!P158:AC158-終値!O158:AB158))),100))),"強気div▲",IF(AND(終値!E158&gt;終値!O158,$Q158&lt;(IFERROR(100-100/(1+SUMPRODUCT((終値!O158:AB158&gt;終値!P158:AC158)*(終値!O158:AB158-終値!P158:AC158))/SUMPRODUCT((終値!O158:AB158&lt;終値!P158:AC158)*(終値!P158:AC158-終値!O158:AB158))),100))),"弱気div▼","－")))</f>
      </c>
      <c r="T158" s="681">
        <f>IF($D158="","",IF($D158&gt;=$H158,"上walk▲",IF($D158&lt;=$I158,"下walk▼","－")))</f>
      </c>
      <c r="U158" s="681">
        <f>IF(終値!A158="","",BB_スイング!BT158)</f>
      </c>
      <c r="V158" s="689">
        <f>IF($D158="","",IFERROR(出来高!E158/AVERAGE(出来高!E158:I158),""))</f>
      </c>
      <c r="W158" s="690">
        <f>IF($D158="","",IF(AND($D158&gt;$G158,$O158="拡大↑",$L158&lt;=$M158*1.8),"◎スクイーズブレイク買",IF(AND($D158&gt;=$H158,$R158&gt;=BB設定!$B$10),"○順張り継続(walk)",IF(AND($S158="強気div▲",$D158&gt;$I158),"○反発(ダイバ)買",IF($U158="二番底W▲","△二番底買(確)",IF($U158="二番底W形成","△二番底形成",IF($D158&lt;$J158,"▼-2σ割れ危険",IF(AND($D158&gt;$E158,$K158&lt;0.6,$R158&gt;=50),"・押し目注目",IF($N158="スクイーズ★","☆スクイーズ監視","様子見")))))))))</f>
      </c>
      <c r="X158" s="685">
        <f>IF($D158="","",MIN(100,IF($L158&lt;=$M158*1.15,20,IF($L158&lt;=$M158*1.4,10,0))+IF($D158&gt;$G158,20,IF($D158&gt;$H158,12,IF($D158&gt;$E158,5,0)))+IF($O158="拡大↑",10,0)+IF($R158&gt;=80,15,IF($R158&gt;=60,10,IF($R158&gt;=50,5,0)))+IF(AND($Q158&gt;=50,$Q158&lt;=70),10,IF($Q158&gt;70,3,IF($Q158&gt;=40,5,0)))+IF($S158="強気div▲",15,0)+IF($T158="上walk▲",5,0)+IF($V158&gt;=2,5,IF($V158&gt;=1.5,3,0))))</f>
      </c>
      <c r="Y158" s="682">
        <f>IF($D158="","",$D158)</f>
      </c>
      <c r="Z158" s="682">
        <f>IF($D158="","",$H158)</f>
      </c>
      <c r="AA158" s="682">
        <f>IF($D158="","",IF($D158&gt;$E158,$E158,$AD158))</f>
      </c>
      <c r="AB158" s="682">
        <f>IF($D158="","",$G158)</f>
      </c>
      <c r="AC158" s="688">
        <f>IF($D158="","",IF(($Y158-$AA158)&lt;=0,"－",IFERROR(ROUND(MIN(20,($AB158-$Y158)/($Y158-$AA158)),2),"－")))</f>
      </c>
      <c r="AD158" s="682">
        <f>IF($D158="","",MIN(終値!E158:I158))</f>
      </c>
      <c r="AE158" s="684">
        <f>IF($D158="","",$X158+(10000-ROW())/100000)</f>
      </c>
    </row>
    <row r="159">
      <c r="A159" s="681">
        <f>IF(終値!A159="","",HYPERLINK("https://kabutan.jp/stock/?code="&amp;終値!A159,"📈"))</f>
      </c>
      <c r="B159" s="681">
        <f>IF(終値!A159="","",終値!A159)</f>
      </c>
      <c r="C159" s="680">
        <f>IF(終値!A159="","",終値!B159)</f>
      </c>
      <c r="D159" s="682">
        <f>IF(終値!A159="","",終値!E159)</f>
      </c>
      <c r="E159" s="682">
        <f>IF($D159="","",AVERAGE(終値!E159:X159))</f>
      </c>
      <c r="F159" s="683">
        <f>IF($D159="","",STDEVP(終値!E159:X159))</f>
      </c>
      <c r="G159" s="682">
        <f>IF($D159="","",$E159+BB設定!$B$4*$F159)</f>
      </c>
      <c r="H159" s="682">
        <f>IF($D159="","",$E159+BB設定!$B$5*$F159)</f>
      </c>
      <c r="I159" s="682">
        <f>IF($D159="","",$E159-BB設定!$B$5*$F159)</f>
      </c>
      <c r="J159" s="682">
        <f>IF($D159="","",$E159-BB設定!$B$4*$F159)</f>
      </c>
      <c r="K159" s="687">
        <f>IF($D159="","",IFERROR(($D159-$J159)/($G159-$J159),""))</f>
      </c>
      <c r="L159" s="686">
        <f>IF($D159="","",IFERROR(($G159-$J159)/$E159*100,""))</f>
      </c>
      <c r="M159" s="686">
        <f>IF($D159="","",IFERROR(MIN(BB_帯幅!B159:AP159)*100,""))</f>
      </c>
      <c r="N159" s="681">
        <f>IF($L159="","",IF($L159&lt;=$M159*BB設定!$B$7,"スクイーズ★",IF($L159&lt;=$M159*1.3,"収縮","－")))</f>
      </c>
      <c r="O159" s="681">
        <f>IF($D159="","",IF($L159&gt;(4*STDEVP(終値!F159:Y159)/AVERAGE(終値!F159:Y159)*100),"拡大↑","縮小↓"))</f>
      </c>
      <c r="P159" s="681">
        <f>IF($D159="","",IF($D159&gt;$G159,"↑+2σ突破",IF($D159&lt;$J159,"↓-2σ割れ",IF($D159&gt;$H159,"+1σ上",IF($D159&lt;$I159,"-1σ下","バンド内")))))</f>
      </c>
      <c r="Q159" s="684">
        <f>IF($D159="","",IFERROR(100-100/(1+SUMPRODUCT((終値!E159:R159&gt;終値!F159:S159)*(終値!E159:R159-終値!F159:S159))/SUMPRODUCT((終値!E159:R159&lt;終値!F159:S159)*(終値!F159:S159-終値!E159:R159))),100))</f>
      </c>
      <c r="R159" s="684">
        <f>IF($D159="","",IFERROR(100-100/(1+SUMPRODUCT((((高値!E159:R159+安値!E159:R159+終値!E159:R159)/3)&gt;((高値!F159:S159+安値!F159:S159+終値!F159:S159)/3))*((高値!E159:R159+安値!E159:R159+終値!E159:R159)/3)*出来高!E159:R159)/SUMPRODUCT((((高値!E159:R159+安値!E159:R159+終値!E159:R159)/3)&lt;((高値!F159:S159+安値!F159:S159+終値!F159:S159)/3))*((高値!E159:R159+安値!E159:R159+終値!E159:R159)/3)*出来高!E159:R159)),50))</f>
      </c>
      <c r="S159" s="681">
        <f>IF($D159="","",IF(AND(終値!E159&lt;終値!O159,$Q159&gt;(IFERROR(100-100/(1+SUMPRODUCT((終値!O159:AB159&gt;終値!P159:AC159)*(終値!O159:AB159-終値!P159:AC159))/SUMPRODUCT((終値!O159:AB159&lt;終値!P159:AC159)*(終値!P159:AC159-終値!O159:AB159))),100))),"強気div▲",IF(AND(終値!E159&gt;終値!O159,$Q159&lt;(IFERROR(100-100/(1+SUMPRODUCT((終値!O159:AB159&gt;終値!P159:AC159)*(終値!O159:AB159-終値!P159:AC159))/SUMPRODUCT((終値!O159:AB159&lt;終値!P159:AC159)*(終値!P159:AC159-終値!O159:AB159))),100))),"弱気div▼","－")))</f>
      </c>
      <c r="T159" s="681">
        <f>IF($D159="","",IF($D159&gt;=$H159,"上walk▲",IF($D159&lt;=$I159,"下walk▼","－")))</f>
      </c>
      <c r="U159" s="681">
        <f>IF(終値!A159="","",BB_スイング!BT159)</f>
      </c>
      <c r="V159" s="689">
        <f>IF($D159="","",IFERROR(出来高!E159/AVERAGE(出来高!E159:I159),""))</f>
      </c>
      <c r="W159" s="690">
        <f>IF($D159="","",IF(AND($D159&gt;$G159,$O159="拡大↑",$L159&lt;=$M159*1.8),"◎スクイーズブレイク買",IF(AND($D159&gt;=$H159,$R159&gt;=BB設定!$B$10),"○順張り継続(walk)",IF(AND($S159="強気div▲",$D159&gt;$I159),"○反発(ダイバ)買",IF($U159="二番底W▲","△二番底買(確)",IF($U159="二番底W形成","△二番底形成",IF($D159&lt;$J159,"▼-2σ割れ危険",IF(AND($D159&gt;$E159,$K159&lt;0.6,$R159&gt;=50),"・押し目注目",IF($N159="スクイーズ★","☆スクイーズ監視","様子見")))))))))</f>
      </c>
      <c r="X159" s="685">
        <f>IF($D159="","",MIN(100,IF($L159&lt;=$M159*1.15,20,IF($L159&lt;=$M159*1.4,10,0))+IF($D159&gt;$G159,20,IF($D159&gt;$H159,12,IF($D159&gt;$E159,5,0)))+IF($O159="拡大↑",10,0)+IF($R159&gt;=80,15,IF($R159&gt;=60,10,IF($R159&gt;=50,5,0)))+IF(AND($Q159&gt;=50,$Q159&lt;=70),10,IF($Q159&gt;70,3,IF($Q159&gt;=40,5,0)))+IF($S159="強気div▲",15,0)+IF($T159="上walk▲",5,0)+IF($V159&gt;=2,5,IF($V159&gt;=1.5,3,0))))</f>
      </c>
      <c r="Y159" s="682">
        <f>IF($D159="","",$D159)</f>
      </c>
      <c r="Z159" s="682">
        <f>IF($D159="","",$H159)</f>
      </c>
      <c r="AA159" s="682">
        <f>IF($D159="","",IF($D159&gt;$E159,$E159,$AD159))</f>
      </c>
      <c r="AB159" s="682">
        <f>IF($D159="","",$G159)</f>
      </c>
      <c r="AC159" s="688">
        <f>IF($D159="","",IF(($Y159-$AA159)&lt;=0,"－",IFERROR(ROUND(MIN(20,($AB159-$Y159)/($Y159-$AA159)),2),"－")))</f>
      </c>
      <c r="AD159" s="682">
        <f>IF($D159="","",MIN(終値!E159:I159))</f>
      </c>
      <c r="AE159" s="684">
        <f>IF($D159="","",$X159+(10000-ROW())/100000)</f>
      </c>
    </row>
    <row r="160">
      <c r="A160" s="681">
        <f>IF(終値!A160="","",HYPERLINK("https://kabutan.jp/stock/?code="&amp;終値!A160,"📈"))</f>
      </c>
      <c r="B160" s="681">
        <f>IF(終値!A160="","",終値!A160)</f>
      </c>
      <c r="C160" s="680">
        <f>IF(終値!A160="","",終値!B160)</f>
      </c>
      <c r="D160" s="682">
        <f>IF(終値!A160="","",終値!E160)</f>
      </c>
      <c r="E160" s="682">
        <f>IF($D160="","",AVERAGE(終値!E160:X160))</f>
      </c>
      <c r="F160" s="683">
        <f>IF($D160="","",STDEVP(終値!E160:X160))</f>
      </c>
      <c r="G160" s="682">
        <f>IF($D160="","",$E160+BB設定!$B$4*$F160)</f>
      </c>
      <c r="H160" s="682">
        <f>IF($D160="","",$E160+BB設定!$B$5*$F160)</f>
      </c>
      <c r="I160" s="682">
        <f>IF($D160="","",$E160-BB設定!$B$5*$F160)</f>
      </c>
      <c r="J160" s="682">
        <f>IF($D160="","",$E160-BB設定!$B$4*$F160)</f>
      </c>
      <c r="K160" s="687">
        <f>IF($D160="","",IFERROR(($D160-$J160)/($G160-$J160),""))</f>
      </c>
      <c r="L160" s="686">
        <f>IF($D160="","",IFERROR(($G160-$J160)/$E160*100,""))</f>
      </c>
      <c r="M160" s="686">
        <f>IF($D160="","",IFERROR(MIN(BB_帯幅!B160:AP160)*100,""))</f>
      </c>
      <c r="N160" s="681">
        <f>IF($L160="","",IF($L160&lt;=$M160*BB設定!$B$7,"スクイーズ★",IF($L160&lt;=$M160*1.3,"収縮","－")))</f>
      </c>
      <c r="O160" s="681">
        <f>IF($D160="","",IF($L160&gt;(4*STDEVP(終値!F160:Y160)/AVERAGE(終値!F160:Y160)*100),"拡大↑","縮小↓"))</f>
      </c>
      <c r="P160" s="681">
        <f>IF($D160="","",IF($D160&gt;$G160,"↑+2σ突破",IF($D160&lt;$J160,"↓-2σ割れ",IF($D160&gt;$H160,"+1σ上",IF($D160&lt;$I160,"-1σ下","バンド内")))))</f>
      </c>
      <c r="Q160" s="684">
        <f>IF($D160="","",IFERROR(100-100/(1+SUMPRODUCT((終値!E160:R160&gt;終値!F160:S160)*(終値!E160:R160-終値!F160:S160))/SUMPRODUCT((終値!E160:R160&lt;終値!F160:S160)*(終値!F160:S160-終値!E160:R160))),100))</f>
      </c>
      <c r="R160" s="684">
        <f>IF($D160="","",IFERROR(100-100/(1+SUMPRODUCT((((高値!E160:R160+安値!E160:R160+終値!E160:R160)/3)&gt;((高値!F160:S160+安値!F160:S160+終値!F160:S160)/3))*((高値!E160:R160+安値!E160:R160+終値!E160:R160)/3)*出来高!E160:R160)/SUMPRODUCT((((高値!E160:R160+安値!E160:R160+終値!E160:R160)/3)&lt;((高値!F160:S160+安値!F160:S160+終値!F160:S160)/3))*((高値!E160:R160+安値!E160:R160+終値!E160:R160)/3)*出来高!E160:R160)),50))</f>
      </c>
      <c r="S160" s="681">
        <f>IF($D160="","",IF(AND(終値!E160&lt;終値!O160,$Q160&gt;(IFERROR(100-100/(1+SUMPRODUCT((終値!O160:AB160&gt;終値!P160:AC160)*(終値!O160:AB160-終値!P160:AC160))/SUMPRODUCT((終値!O160:AB160&lt;終値!P160:AC160)*(終値!P160:AC160-終値!O160:AB160))),100))),"強気div▲",IF(AND(終値!E160&gt;終値!O160,$Q160&lt;(IFERROR(100-100/(1+SUMPRODUCT((終値!O160:AB160&gt;終値!P160:AC160)*(終値!O160:AB160-終値!P160:AC160))/SUMPRODUCT((終値!O160:AB160&lt;終値!P160:AC160)*(終値!P160:AC160-終値!O160:AB160))),100))),"弱気div▼","－")))</f>
      </c>
      <c r="T160" s="681">
        <f>IF($D160="","",IF($D160&gt;=$H160,"上walk▲",IF($D160&lt;=$I160,"下walk▼","－")))</f>
      </c>
      <c r="U160" s="681">
        <f>IF(終値!A160="","",BB_スイング!BT160)</f>
      </c>
      <c r="V160" s="689">
        <f>IF($D160="","",IFERROR(出来高!E160/AVERAGE(出来高!E160:I160),""))</f>
      </c>
      <c r="W160" s="690">
        <f>IF($D160="","",IF(AND($D160&gt;$G160,$O160="拡大↑",$L160&lt;=$M160*1.8),"◎スクイーズブレイク買",IF(AND($D160&gt;=$H160,$R160&gt;=BB設定!$B$10),"○順張り継続(walk)",IF(AND($S160="強気div▲",$D160&gt;$I160),"○反発(ダイバ)買",IF($U160="二番底W▲","△二番底買(確)",IF($U160="二番底W形成","△二番底形成",IF($D160&lt;$J160,"▼-2σ割れ危険",IF(AND($D160&gt;$E160,$K160&lt;0.6,$R160&gt;=50),"・押し目注目",IF($N160="スクイーズ★","☆スクイーズ監視","様子見")))))))))</f>
      </c>
      <c r="X160" s="685">
        <f>IF($D160="","",MIN(100,IF($L160&lt;=$M160*1.15,20,IF($L160&lt;=$M160*1.4,10,0))+IF($D160&gt;$G160,20,IF($D160&gt;$H160,12,IF($D160&gt;$E160,5,0)))+IF($O160="拡大↑",10,0)+IF($R160&gt;=80,15,IF($R160&gt;=60,10,IF($R160&gt;=50,5,0)))+IF(AND($Q160&gt;=50,$Q160&lt;=70),10,IF($Q160&gt;70,3,IF($Q160&gt;=40,5,0)))+IF($S160="強気div▲",15,0)+IF($T160="上walk▲",5,0)+IF($V160&gt;=2,5,IF($V160&gt;=1.5,3,0))))</f>
      </c>
      <c r="Y160" s="682">
        <f>IF($D160="","",$D160)</f>
      </c>
      <c r="Z160" s="682">
        <f>IF($D160="","",$H160)</f>
      </c>
      <c r="AA160" s="682">
        <f>IF($D160="","",IF($D160&gt;$E160,$E160,$AD160))</f>
      </c>
      <c r="AB160" s="682">
        <f>IF($D160="","",$G160)</f>
      </c>
      <c r="AC160" s="688">
        <f>IF($D160="","",IF(($Y160-$AA160)&lt;=0,"－",IFERROR(ROUND(MIN(20,($AB160-$Y160)/($Y160-$AA160)),2),"－")))</f>
      </c>
      <c r="AD160" s="682">
        <f>IF($D160="","",MIN(終値!E160:I160))</f>
      </c>
      <c r="AE160" s="684">
        <f>IF($D160="","",$X160+(10000-ROW())/100000)</f>
      </c>
    </row>
    <row r="161">
      <c r="A161" s="681">
        <f>IF(終値!A161="","",HYPERLINK("https://kabutan.jp/stock/?code="&amp;終値!A161,"📈"))</f>
      </c>
      <c r="B161" s="681">
        <f>IF(終値!A161="","",終値!A161)</f>
      </c>
      <c r="C161" s="680">
        <f>IF(終値!A161="","",終値!B161)</f>
      </c>
      <c r="D161" s="682">
        <f>IF(終値!A161="","",終値!E161)</f>
      </c>
      <c r="E161" s="682">
        <f>IF($D161="","",AVERAGE(終値!E161:X161))</f>
      </c>
      <c r="F161" s="683">
        <f>IF($D161="","",STDEVP(終値!E161:X161))</f>
      </c>
      <c r="G161" s="682">
        <f>IF($D161="","",$E161+BB設定!$B$4*$F161)</f>
      </c>
      <c r="H161" s="682">
        <f>IF($D161="","",$E161+BB設定!$B$5*$F161)</f>
      </c>
      <c r="I161" s="682">
        <f>IF($D161="","",$E161-BB設定!$B$5*$F161)</f>
      </c>
      <c r="J161" s="682">
        <f>IF($D161="","",$E161-BB設定!$B$4*$F161)</f>
      </c>
      <c r="K161" s="687">
        <f>IF($D161="","",IFERROR(($D161-$J161)/($G161-$J161),""))</f>
      </c>
      <c r="L161" s="686">
        <f>IF($D161="","",IFERROR(($G161-$J161)/$E161*100,""))</f>
      </c>
      <c r="M161" s="686">
        <f>IF($D161="","",IFERROR(MIN(BB_帯幅!B161:AP161)*100,""))</f>
      </c>
      <c r="N161" s="681">
        <f>IF($L161="","",IF($L161&lt;=$M161*BB設定!$B$7,"スクイーズ★",IF($L161&lt;=$M161*1.3,"収縮","－")))</f>
      </c>
      <c r="O161" s="681">
        <f>IF($D161="","",IF($L161&gt;(4*STDEVP(終値!F161:Y161)/AVERAGE(終値!F161:Y161)*100),"拡大↑","縮小↓"))</f>
      </c>
      <c r="P161" s="681">
        <f>IF($D161="","",IF($D161&gt;$G161,"↑+2σ突破",IF($D161&lt;$J161,"↓-2σ割れ",IF($D161&gt;$H161,"+1σ上",IF($D161&lt;$I161,"-1σ下","バンド内")))))</f>
      </c>
      <c r="Q161" s="684">
        <f>IF($D161="","",IFERROR(100-100/(1+SUMPRODUCT((終値!E161:R161&gt;終値!F161:S161)*(終値!E161:R161-終値!F161:S161))/SUMPRODUCT((終値!E161:R161&lt;終値!F161:S161)*(終値!F161:S161-終値!E161:R161))),100))</f>
      </c>
      <c r="R161" s="684">
        <f>IF($D161="","",IFERROR(100-100/(1+SUMPRODUCT((((高値!E161:R161+安値!E161:R161+終値!E161:R161)/3)&gt;((高値!F161:S161+安値!F161:S161+終値!F161:S161)/3))*((高値!E161:R161+安値!E161:R161+終値!E161:R161)/3)*出来高!E161:R161)/SUMPRODUCT((((高値!E161:R161+安値!E161:R161+終値!E161:R161)/3)&lt;((高値!F161:S161+安値!F161:S161+終値!F161:S161)/3))*((高値!E161:R161+安値!E161:R161+終値!E161:R161)/3)*出来高!E161:R161)),50))</f>
      </c>
      <c r="S161" s="681">
        <f>IF($D161="","",IF(AND(終値!E161&lt;終値!O161,$Q161&gt;(IFERROR(100-100/(1+SUMPRODUCT((終値!O161:AB161&gt;終値!P161:AC161)*(終値!O161:AB161-終値!P161:AC161))/SUMPRODUCT((終値!O161:AB161&lt;終値!P161:AC161)*(終値!P161:AC161-終値!O161:AB161))),100))),"強気div▲",IF(AND(終値!E161&gt;終値!O161,$Q161&lt;(IFERROR(100-100/(1+SUMPRODUCT((終値!O161:AB161&gt;終値!P161:AC161)*(終値!O161:AB161-終値!P161:AC161))/SUMPRODUCT((終値!O161:AB161&lt;終値!P161:AC161)*(終値!P161:AC161-終値!O161:AB161))),100))),"弱気div▼","－")))</f>
      </c>
      <c r="T161" s="681">
        <f>IF($D161="","",IF($D161&gt;=$H161,"上walk▲",IF($D161&lt;=$I161,"下walk▼","－")))</f>
      </c>
      <c r="U161" s="681">
        <f>IF(終値!A161="","",BB_スイング!BT161)</f>
      </c>
      <c r="V161" s="689">
        <f>IF($D161="","",IFERROR(出来高!E161/AVERAGE(出来高!E161:I161),""))</f>
      </c>
      <c r="W161" s="690">
        <f>IF($D161="","",IF(AND($D161&gt;$G161,$O161="拡大↑",$L161&lt;=$M161*1.8),"◎スクイーズブレイク買",IF(AND($D161&gt;=$H161,$R161&gt;=BB設定!$B$10),"○順張り継続(walk)",IF(AND($S161="強気div▲",$D161&gt;$I161),"○反発(ダイバ)買",IF($U161="二番底W▲","△二番底買(確)",IF($U161="二番底W形成","△二番底形成",IF($D161&lt;$J161,"▼-2σ割れ危険",IF(AND($D161&gt;$E161,$K161&lt;0.6,$R161&gt;=50),"・押し目注目",IF($N161="スクイーズ★","☆スクイーズ監視","様子見")))))))))</f>
      </c>
      <c r="X161" s="685">
        <f>IF($D161="","",MIN(100,IF($L161&lt;=$M161*1.15,20,IF($L161&lt;=$M161*1.4,10,0))+IF($D161&gt;$G161,20,IF($D161&gt;$H161,12,IF($D161&gt;$E161,5,0)))+IF($O161="拡大↑",10,0)+IF($R161&gt;=80,15,IF($R161&gt;=60,10,IF($R161&gt;=50,5,0)))+IF(AND($Q161&gt;=50,$Q161&lt;=70),10,IF($Q161&gt;70,3,IF($Q161&gt;=40,5,0)))+IF($S161="強気div▲",15,0)+IF($T161="上walk▲",5,0)+IF($V161&gt;=2,5,IF($V161&gt;=1.5,3,0))))</f>
      </c>
      <c r="Y161" s="682">
        <f>IF($D161="","",$D161)</f>
      </c>
      <c r="Z161" s="682">
        <f>IF($D161="","",$H161)</f>
      </c>
      <c r="AA161" s="682">
        <f>IF($D161="","",IF($D161&gt;$E161,$E161,$AD161))</f>
      </c>
      <c r="AB161" s="682">
        <f>IF($D161="","",$G161)</f>
      </c>
      <c r="AC161" s="688">
        <f>IF($D161="","",IF(($Y161-$AA161)&lt;=0,"－",IFERROR(ROUND(MIN(20,($AB161-$Y161)/($Y161-$AA161)),2),"－")))</f>
      </c>
      <c r="AD161" s="682">
        <f>IF($D161="","",MIN(終値!E161:I161))</f>
      </c>
      <c r="AE161" s="684">
        <f>IF($D161="","",$X161+(10000-ROW())/100000)</f>
      </c>
    </row>
    <row r="162">
      <c r="A162" s="681">
        <f>IF(終値!A162="","",HYPERLINK("https://kabutan.jp/stock/?code="&amp;終値!A162,"📈"))</f>
      </c>
      <c r="B162" s="681">
        <f>IF(終値!A162="","",終値!A162)</f>
      </c>
      <c r="C162" s="680">
        <f>IF(終値!A162="","",終値!B162)</f>
      </c>
      <c r="D162" s="682">
        <f>IF(終値!A162="","",終値!E162)</f>
      </c>
      <c r="E162" s="682">
        <f>IF($D162="","",AVERAGE(終値!E162:X162))</f>
      </c>
      <c r="F162" s="683">
        <f>IF($D162="","",STDEVP(終値!E162:X162))</f>
      </c>
      <c r="G162" s="682">
        <f>IF($D162="","",$E162+BB設定!$B$4*$F162)</f>
      </c>
      <c r="H162" s="682">
        <f>IF($D162="","",$E162+BB設定!$B$5*$F162)</f>
      </c>
      <c r="I162" s="682">
        <f>IF($D162="","",$E162-BB設定!$B$5*$F162)</f>
      </c>
      <c r="J162" s="682">
        <f>IF($D162="","",$E162-BB設定!$B$4*$F162)</f>
      </c>
      <c r="K162" s="687">
        <f>IF($D162="","",IFERROR(($D162-$J162)/($G162-$J162),""))</f>
      </c>
      <c r="L162" s="686">
        <f>IF($D162="","",IFERROR(($G162-$J162)/$E162*100,""))</f>
      </c>
      <c r="M162" s="686">
        <f>IF($D162="","",IFERROR(MIN(BB_帯幅!B162:AP162)*100,""))</f>
      </c>
      <c r="N162" s="681">
        <f>IF($L162="","",IF($L162&lt;=$M162*BB設定!$B$7,"スクイーズ★",IF($L162&lt;=$M162*1.3,"収縮","－")))</f>
      </c>
      <c r="O162" s="681">
        <f>IF($D162="","",IF($L162&gt;(4*STDEVP(終値!F162:Y162)/AVERAGE(終値!F162:Y162)*100),"拡大↑","縮小↓"))</f>
      </c>
      <c r="P162" s="681">
        <f>IF($D162="","",IF($D162&gt;$G162,"↑+2σ突破",IF($D162&lt;$J162,"↓-2σ割れ",IF($D162&gt;$H162,"+1σ上",IF($D162&lt;$I162,"-1σ下","バンド内")))))</f>
      </c>
      <c r="Q162" s="684">
        <f>IF($D162="","",IFERROR(100-100/(1+SUMPRODUCT((終値!E162:R162&gt;終値!F162:S162)*(終値!E162:R162-終値!F162:S162))/SUMPRODUCT((終値!E162:R162&lt;終値!F162:S162)*(終値!F162:S162-終値!E162:R162))),100))</f>
      </c>
      <c r="R162" s="684">
        <f>IF($D162="","",IFERROR(100-100/(1+SUMPRODUCT((((高値!E162:R162+安値!E162:R162+終値!E162:R162)/3)&gt;((高値!F162:S162+安値!F162:S162+終値!F162:S162)/3))*((高値!E162:R162+安値!E162:R162+終値!E162:R162)/3)*出来高!E162:R162)/SUMPRODUCT((((高値!E162:R162+安値!E162:R162+終値!E162:R162)/3)&lt;((高値!F162:S162+安値!F162:S162+終値!F162:S162)/3))*((高値!E162:R162+安値!E162:R162+終値!E162:R162)/3)*出来高!E162:R162)),50))</f>
      </c>
      <c r="S162" s="681">
        <f>IF($D162="","",IF(AND(終値!E162&lt;終値!O162,$Q162&gt;(IFERROR(100-100/(1+SUMPRODUCT((終値!O162:AB162&gt;終値!P162:AC162)*(終値!O162:AB162-終値!P162:AC162))/SUMPRODUCT((終値!O162:AB162&lt;終値!P162:AC162)*(終値!P162:AC162-終値!O162:AB162))),100))),"強気div▲",IF(AND(終値!E162&gt;終値!O162,$Q162&lt;(IFERROR(100-100/(1+SUMPRODUCT((終値!O162:AB162&gt;終値!P162:AC162)*(終値!O162:AB162-終値!P162:AC162))/SUMPRODUCT((終値!O162:AB162&lt;終値!P162:AC162)*(終値!P162:AC162-終値!O162:AB162))),100))),"弱気div▼","－")))</f>
      </c>
      <c r="T162" s="681">
        <f>IF($D162="","",IF($D162&gt;=$H162,"上walk▲",IF($D162&lt;=$I162,"下walk▼","－")))</f>
      </c>
      <c r="U162" s="681">
        <f>IF(終値!A162="","",BB_スイング!BT162)</f>
      </c>
      <c r="V162" s="689">
        <f>IF($D162="","",IFERROR(出来高!E162/AVERAGE(出来高!E162:I162),""))</f>
      </c>
      <c r="W162" s="690">
        <f>IF($D162="","",IF(AND($D162&gt;$G162,$O162="拡大↑",$L162&lt;=$M162*1.8),"◎スクイーズブレイク買",IF(AND($D162&gt;=$H162,$R162&gt;=BB設定!$B$10),"○順張り継続(walk)",IF(AND($S162="強気div▲",$D162&gt;$I162),"○反発(ダイバ)買",IF($U162="二番底W▲","△二番底買(確)",IF($U162="二番底W形成","△二番底形成",IF($D162&lt;$J162,"▼-2σ割れ危険",IF(AND($D162&gt;$E162,$K162&lt;0.6,$R162&gt;=50),"・押し目注目",IF($N162="スクイーズ★","☆スクイーズ監視","様子見")))))))))</f>
      </c>
      <c r="X162" s="685">
        <f>IF($D162="","",MIN(100,IF($L162&lt;=$M162*1.15,20,IF($L162&lt;=$M162*1.4,10,0))+IF($D162&gt;$G162,20,IF($D162&gt;$H162,12,IF($D162&gt;$E162,5,0)))+IF($O162="拡大↑",10,0)+IF($R162&gt;=80,15,IF($R162&gt;=60,10,IF($R162&gt;=50,5,0)))+IF(AND($Q162&gt;=50,$Q162&lt;=70),10,IF($Q162&gt;70,3,IF($Q162&gt;=40,5,0)))+IF($S162="強気div▲",15,0)+IF($T162="上walk▲",5,0)+IF($V162&gt;=2,5,IF($V162&gt;=1.5,3,0))))</f>
      </c>
      <c r="Y162" s="682">
        <f>IF($D162="","",$D162)</f>
      </c>
      <c r="Z162" s="682">
        <f>IF($D162="","",$H162)</f>
      </c>
      <c r="AA162" s="682">
        <f>IF($D162="","",IF($D162&gt;$E162,$E162,$AD162))</f>
      </c>
      <c r="AB162" s="682">
        <f>IF($D162="","",$G162)</f>
      </c>
      <c r="AC162" s="688">
        <f>IF($D162="","",IF(($Y162-$AA162)&lt;=0,"－",IFERROR(ROUND(MIN(20,($AB162-$Y162)/($Y162-$AA162)),2),"－")))</f>
      </c>
      <c r="AD162" s="682">
        <f>IF($D162="","",MIN(終値!E162:I162))</f>
      </c>
      <c r="AE162" s="684">
        <f>IF($D162="","",$X162+(10000-ROW())/100000)</f>
      </c>
    </row>
    <row r="163">
      <c r="A163" s="681">
        <f>IF(終値!A163="","",HYPERLINK("https://kabutan.jp/stock/?code="&amp;終値!A163,"📈"))</f>
      </c>
      <c r="B163" s="681">
        <f>IF(終値!A163="","",終値!A163)</f>
      </c>
      <c r="C163" s="680">
        <f>IF(終値!A163="","",終値!B163)</f>
      </c>
      <c r="D163" s="682">
        <f>IF(終値!A163="","",終値!E163)</f>
      </c>
      <c r="E163" s="682">
        <f>IF($D163="","",AVERAGE(終値!E163:X163))</f>
      </c>
      <c r="F163" s="683">
        <f>IF($D163="","",STDEVP(終値!E163:X163))</f>
      </c>
      <c r="G163" s="682">
        <f>IF($D163="","",$E163+BB設定!$B$4*$F163)</f>
      </c>
      <c r="H163" s="682">
        <f>IF($D163="","",$E163+BB設定!$B$5*$F163)</f>
      </c>
      <c r="I163" s="682">
        <f>IF($D163="","",$E163-BB設定!$B$5*$F163)</f>
      </c>
      <c r="J163" s="682">
        <f>IF($D163="","",$E163-BB設定!$B$4*$F163)</f>
      </c>
      <c r="K163" s="687">
        <f>IF($D163="","",IFERROR(($D163-$J163)/($G163-$J163),""))</f>
      </c>
      <c r="L163" s="686">
        <f>IF($D163="","",IFERROR(($G163-$J163)/$E163*100,""))</f>
      </c>
      <c r="M163" s="686">
        <f>IF($D163="","",IFERROR(MIN(BB_帯幅!B163:AP163)*100,""))</f>
      </c>
      <c r="N163" s="681">
        <f>IF($L163="","",IF($L163&lt;=$M163*BB設定!$B$7,"スクイーズ★",IF($L163&lt;=$M163*1.3,"収縮","－")))</f>
      </c>
      <c r="O163" s="681">
        <f>IF($D163="","",IF($L163&gt;(4*STDEVP(終値!F163:Y163)/AVERAGE(終値!F163:Y163)*100),"拡大↑","縮小↓"))</f>
      </c>
      <c r="P163" s="681">
        <f>IF($D163="","",IF($D163&gt;$G163,"↑+2σ突破",IF($D163&lt;$J163,"↓-2σ割れ",IF($D163&gt;$H163,"+1σ上",IF($D163&lt;$I163,"-1σ下","バンド内")))))</f>
      </c>
      <c r="Q163" s="684">
        <f>IF($D163="","",IFERROR(100-100/(1+SUMPRODUCT((終値!E163:R163&gt;終値!F163:S163)*(終値!E163:R163-終値!F163:S163))/SUMPRODUCT((終値!E163:R163&lt;終値!F163:S163)*(終値!F163:S163-終値!E163:R163))),100))</f>
      </c>
      <c r="R163" s="684">
        <f>IF($D163="","",IFERROR(100-100/(1+SUMPRODUCT((((高値!E163:R163+安値!E163:R163+終値!E163:R163)/3)&gt;((高値!F163:S163+安値!F163:S163+終値!F163:S163)/3))*((高値!E163:R163+安値!E163:R163+終値!E163:R163)/3)*出来高!E163:R163)/SUMPRODUCT((((高値!E163:R163+安値!E163:R163+終値!E163:R163)/3)&lt;((高値!F163:S163+安値!F163:S163+終値!F163:S163)/3))*((高値!E163:R163+安値!E163:R163+終値!E163:R163)/3)*出来高!E163:R163)),50))</f>
      </c>
      <c r="S163" s="681">
        <f>IF($D163="","",IF(AND(終値!E163&lt;終値!O163,$Q163&gt;(IFERROR(100-100/(1+SUMPRODUCT((終値!O163:AB163&gt;終値!P163:AC163)*(終値!O163:AB163-終値!P163:AC163))/SUMPRODUCT((終値!O163:AB163&lt;終値!P163:AC163)*(終値!P163:AC163-終値!O163:AB163))),100))),"強気div▲",IF(AND(終値!E163&gt;終値!O163,$Q163&lt;(IFERROR(100-100/(1+SUMPRODUCT((終値!O163:AB163&gt;終値!P163:AC163)*(終値!O163:AB163-終値!P163:AC163))/SUMPRODUCT((終値!O163:AB163&lt;終値!P163:AC163)*(終値!P163:AC163-終値!O163:AB163))),100))),"弱気div▼","－")))</f>
      </c>
      <c r="T163" s="681">
        <f>IF($D163="","",IF($D163&gt;=$H163,"上walk▲",IF($D163&lt;=$I163,"下walk▼","－")))</f>
      </c>
      <c r="U163" s="681">
        <f>IF(終値!A163="","",BB_スイング!BT163)</f>
      </c>
      <c r="V163" s="689">
        <f>IF($D163="","",IFERROR(出来高!E163/AVERAGE(出来高!E163:I163),""))</f>
      </c>
      <c r="W163" s="690">
        <f>IF($D163="","",IF(AND($D163&gt;$G163,$O163="拡大↑",$L163&lt;=$M163*1.8),"◎スクイーズブレイク買",IF(AND($D163&gt;=$H163,$R163&gt;=BB設定!$B$10),"○順張り継続(walk)",IF(AND($S163="強気div▲",$D163&gt;$I163),"○反発(ダイバ)買",IF($U163="二番底W▲","△二番底買(確)",IF($U163="二番底W形成","△二番底形成",IF($D163&lt;$J163,"▼-2σ割れ危険",IF(AND($D163&gt;$E163,$K163&lt;0.6,$R163&gt;=50),"・押し目注目",IF($N163="スクイーズ★","☆スクイーズ監視","様子見")))))))))</f>
      </c>
      <c r="X163" s="685">
        <f>IF($D163="","",MIN(100,IF($L163&lt;=$M163*1.15,20,IF($L163&lt;=$M163*1.4,10,0))+IF($D163&gt;$G163,20,IF($D163&gt;$H163,12,IF($D163&gt;$E163,5,0)))+IF($O163="拡大↑",10,0)+IF($R163&gt;=80,15,IF($R163&gt;=60,10,IF($R163&gt;=50,5,0)))+IF(AND($Q163&gt;=50,$Q163&lt;=70),10,IF($Q163&gt;70,3,IF($Q163&gt;=40,5,0)))+IF($S163="強気div▲",15,0)+IF($T163="上walk▲",5,0)+IF($V163&gt;=2,5,IF($V163&gt;=1.5,3,0))))</f>
      </c>
      <c r="Y163" s="682">
        <f>IF($D163="","",$D163)</f>
      </c>
      <c r="Z163" s="682">
        <f>IF($D163="","",$H163)</f>
      </c>
      <c r="AA163" s="682">
        <f>IF($D163="","",IF($D163&gt;$E163,$E163,$AD163))</f>
      </c>
      <c r="AB163" s="682">
        <f>IF($D163="","",$G163)</f>
      </c>
      <c r="AC163" s="688">
        <f>IF($D163="","",IF(($Y163-$AA163)&lt;=0,"－",IFERROR(ROUND(MIN(20,($AB163-$Y163)/($Y163-$AA163)),2),"－")))</f>
      </c>
      <c r="AD163" s="682">
        <f>IF($D163="","",MIN(終値!E163:I163))</f>
      </c>
      <c r="AE163" s="684">
        <f>IF($D163="","",$X163+(10000-ROW())/100000)</f>
      </c>
    </row>
    <row r="164">
      <c r="A164" s="681">
        <f>IF(終値!A164="","",HYPERLINK("https://kabutan.jp/stock/?code="&amp;終値!A164,"📈"))</f>
      </c>
      <c r="B164" s="681">
        <f>IF(終値!A164="","",終値!A164)</f>
      </c>
      <c r="C164" s="680">
        <f>IF(終値!A164="","",終値!B164)</f>
      </c>
      <c r="D164" s="682">
        <f>IF(終値!A164="","",終値!E164)</f>
      </c>
      <c r="E164" s="682">
        <f>IF($D164="","",AVERAGE(終値!E164:X164))</f>
      </c>
      <c r="F164" s="683">
        <f>IF($D164="","",STDEVP(終値!E164:X164))</f>
      </c>
      <c r="G164" s="682">
        <f>IF($D164="","",$E164+BB設定!$B$4*$F164)</f>
      </c>
      <c r="H164" s="682">
        <f>IF($D164="","",$E164+BB設定!$B$5*$F164)</f>
      </c>
      <c r="I164" s="682">
        <f>IF($D164="","",$E164-BB設定!$B$5*$F164)</f>
      </c>
      <c r="J164" s="682">
        <f>IF($D164="","",$E164-BB設定!$B$4*$F164)</f>
      </c>
      <c r="K164" s="687">
        <f>IF($D164="","",IFERROR(($D164-$J164)/($G164-$J164),""))</f>
      </c>
      <c r="L164" s="686">
        <f>IF($D164="","",IFERROR(($G164-$J164)/$E164*100,""))</f>
      </c>
      <c r="M164" s="686">
        <f>IF($D164="","",IFERROR(MIN(BB_帯幅!B164:AP164)*100,""))</f>
      </c>
      <c r="N164" s="681">
        <f>IF($L164="","",IF($L164&lt;=$M164*BB設定!$B$7,"スクイーズ★",IF($L164&lt;=$M164*1.3,"収縮","－")))</f>
      </c>
      <c r="O164" s="681">
        <f>IF($D164="","",IF($L164&gt;(4*STDEVP(終値!F164:Y164)/AVERAGE(終値!F164:Y164)*100),"拡大↑","縮小↓"))</f>
      </c>
      <c r="P164" s="681">
        <f>IF($D164="","",IF($D164&gt;$G164,"↑+2σ突破",IF($D164&lt;$J164,"↓-2σ割れ",IF($D164&gt;$H164,"+1σ上",IF($D164&lt;$I164,"-1σ下","バンド内")))))</f>
      </c>
      <c r="Q164" s="684">
        <f>IF($D164="","",IFERROR(100-100/(1+SUMPRODUCT((終値!E164:R164&gt;終値!F164:S164)*(終値!E164:R164-終値!F164:S164))/SUMPRODUCT((終値!E164:R164&lt;終値!F164:S164)*(終値!F164:S164-終値!E164:R164))),100))</f>
      </c>
      <c r="R164" s="684">
        <f>IF($D164="","",IFERROR(100-100/(1+SUMPRODUCT((((高値!E164:R164+安値!E164:R164+終値!E164:R164)/3)&gt;((高値!F164:S164+安値!F164:S164+終値!F164:S164)/3))*((高値!E164:R164+安値!E164:R164+終値!E164:R164)/3)*出来高!E164:R164)/SUMPRODUCT((((高値!E164:R164+安値!E164:R164+終値!E164:R164)/3)&lt;((高値!F164:S164+安値!F164:S164+終値!F164:S164)/3))*((高値!E164:R164+安値!E164:R164+終値!E164:R164)/3)*出来高!E164:R164)),50))</f>
      </c>
      <c r="S164" s="681">
        <f>IF($D164="","",IF(AND(終値!E164&lt;終値!O164,$Q164&gt;(IFERROR(100-100/(1+SUMPRODUCT((終値!O164:AB164&gt;終値!P164:AC164)*(終値!O164:AB164-終値!P164:AC164))/SUMPRODUCT((終値!O164:AB164&lt;終値!P164:AC164)*(終値!P164:AC164-終値!O164:AB164))),100))),"強気div▲",IF(AND(終値!E164&gt;終値!O164,$Q164&lt;(IFERROR(100-100/(1+SUMPRODUCT((終値!O164:AB164&gt;終値!P164:AC164)*(終値!O164:AB164-終値!P164:AC164))/SUMPRODUCT((終値!O164:AB164&lt;終値!P164:AC164)*(終値!P164:AC164-終値!O164:AB164))),100))),"弱気div▼","－")))</f>
      </c>
      <c r="T164" s="681">
        <f>IF($D164="","",IF($D164&gt;=$H164,"上walk▲",IF($D164&lt;=$I164,"下walk▼","－")))</f>
      </c>
      <c r="U164" s="681">
        <f>IF(終値!A164="","",BB_スイング!BT164)</f>
      </c>
      <c r="V164" s="689">
        <f>IF($D164="","",IFERROR(出来高!E164/AVERAGE(出来高!E164:I164),""))</f>
      </c>
      <c r="W164" s="690">
        <f>IF($D164="","",IF(AND($D164&gt;$G164,$O164="拡大↑",$L164&lt;=$M164*1.8),"◎スクイーズブレイク買",IF(AND($D164&gt;=$H164,$R164&gt;=BB設定!$B$10),"○順張り継続(walk)",IF(AND($S164="強気div▲",$D164&gt;$I164),"○反発(ダイバ)買",IF($U164="二番底W▲","△二番底買(確)",IF($U164="二番底W形成","△二番底形成",IF($D164&lt;$J164,"▼-2σ割れ危険",IF(AND($D164&gt;$E164,$K164&lt;0.6,$R164&gt;=50),"・押し目注目",IF($N164="スクイーズ★","☆スクイーズ監視","様子見")))))))))</f>
      </c>
      <c r="X164" s="685">
        <f>IF($D164="","",MIN(100,IF($L164&lt;=$M164*1.15,20,IF($L164&lt;=$M164*1.4,10,0))+IF($D164&gt;$G164,20,IF($D164&gt;$H164,12,IF($D164&gt;$E164,5,0)))+IF($O164="拡大↑",10,0)+IF($R164&gt;=80,15,IF($R164&gt;=60,10,IF($R164&gt;=50,5,0)))+IF(AND($Q164&gt;=50,$Q164&lt;=70),10,IF($Q164&gt;70,3,IF($Q164&gt;=40,5,0)))+IF($S164="強気div▲",15,0)+IF($T164="上walk▲",5,0)+IF($V164&gt;=2,5,IF($V164&gt;=1.5,3,0))))</f>
      </c>
      <c r="Y164" s="682">
        <f>IF($D164="","",$D164)</f>
      </c>
      <c r="Z164" s="682">
        <f>IF($D164="","",$H164)</f>
      </c>
      <c r="AA164" s="682">
        <f>IF($D164="","",IF($D164&gt;$E164,$E164,$AD164))</f>
      </c>
      <c r="AB164" s="682">
        <f>IF($D164="","",$G164)</f>
      </c>
      <c r="AC164" s="688">
        <f>IF($D164="","",IF(($Y164-$AA164)&lt;=0,"－",IFERROR(ROUND(MIN(20,($AB164-$Y164)/($Y164-$AA164)),2),"－")))</f>
      </c>
      <c r="AD164" s="682">
        <f>IF($D164="","",MIN(終値!E164:I164))</f>
      </c>
      <c r="AE164" s="684">
        <f>IF($D164="","",$X164+(10000-ROW())/100000)</f>
      </c>
    </row>
    <row r="165">
      <c r="A165" s="681">
        <f>IF(終値!A165="","",HYPERLINK("https://kabutan.jp/stock/?code="&amp;終値!A165,"📈"))</f>
      </c>
      <c r="B165" s="681">
        <f>IF(終値!A165="","",終値!A165)</f>
      </c>
      <c r="C165" s="680">
        <f>IF(終値!A165="","",終値!B165)</f>
      </c>
      <c r="D165" s="682">
        <f>IF(終値!A165="","",終値!E165)</f>
      </c>
      <c r="E165" s="682">
        <f>IF($D165="","",AVERAGE(終値!E165:X165))</f>
      </c>
      <c r="F165" s="683">
        <f>IF($D165="","",STDEVP(終値!E165:X165))</f>
      </c>
      <c r="G165" s="682">
        <f>IF($D165="","",$E165+BB設定!$B$4*$F165)</f>
      </c>
      <c r="H165" s="682">
        <f>IF($D165="","",$E165+BB設定!$B$5*$F165)</f>
      </c>
      <c r="I165" s="682">
        <f>IF($D165="","",$E165-BB設定!$B$5*$F165)</f>
      </c>
      <c r="J165" s="682">
        <f>IF($D165="","",$E165-BB設定!$B$4*$F165)</f>
      </c>
      <c r="K165" s="687">
        <f>IF($D165="","",IFERROR(($D165-$J165)/($G165-$J165),""))</f>
      </c>
      <c r="L165" s="686">
        <f>IF($D165="","",IFERROR(($G165-$J165)/$E165*100,""))</f>
      </c>
      <c r="M165" s="686">
        <f>IF($D165="","",IFERROR(MIN(BB_帯幅!B165:AP165)*100,""))</f>
      </c>
      <c r="N165" s="681">
        <f>IF($L165="","",IF($L165&lt;=$M165*BB設定!$B$7,"スクイーズ★",IF($L165&lt;=$M165*1.3,"収縮","－")))</f>
      </c>
      <c r="O165" s="681">
        <f>IF($D165="","",IF($L165&gt;(4*STDEVP(終値!F165:Y165)/AVERAGE(終値!F165:Y165)*100),"拡大↑","縮小↓"))</f>
      </c>
      <c r="P165" s="681">
        <f>IF($D165="","",IF($D165&gt;$G165,"↑+2σ突破",IF($D165&lt;$J165,"↓-2σ割れ",IF($D165&gt;$H165,"+1σ上",IF($D165&lt;$I165,"-1σ下","バンド内")))))</f>
      </c>
      <c r="Q165" s="684">
        <f>IF($D165="","",IFERROR(100-100/(1+SUMPRODUCT((終値!E165:R165&gt;終値!F165:S165)*(終値!E165:R165-終値!F165:S165))/SUMPRODUCT((終値!E165:R165&lt;終値!F165:S165)*(終値!F165:S165-終値!E165:R165))),100))</f>
      </c>
      <c r="R165" s="684">
        <f>IF($D165="","",IFERROR(100-100/(1+SUMPRODUCT((((高値!E165:R165+安値!E165:R165+終値!E165:R165)/3)&gt;((高値!F165:S165+安値!F165:S165+終値!F165:S165)/3))*((高値!E165:R165+安値!E165:R165+終値!E165:R165)/3)*出来高!E165:R165)/SUMPRODUCT((((高値!E165:R165+安値!E165:R165+終値!E165:R165)/3)&lt;((高値!F165:S165+安値!F165:S165+終値!F165:S165)/3))*((高値!E165:R165+安値!E165:R165+終値!E165:R165)/3)*出来高!E165:R165)),50))</f>
      </c>
      <c r="S165" s="681">
        <f>IF($D165="","",IF(AND(終値!E165&lt;終値!O165,$Q165&gt;(IFERROR(100-100/(1+SUMPRODUCT((終値!O165:AB165&gt;終値!P165:AC165)*(終値!O165:AB165-終値!P165:AC165))/SUMPRODUCT((終値!O165:AB165&lt;終値!P165:AC165)*(終値!P165:AC165-終値!O165:AB165))),100))),"強気div▲",IF(AND(終値!E165&gt;終値!O165,$Q165&lt;(IFERROR(100-100/(1+SUMPRODUCT((終値!O165:AB165&gt;終値!P165:AC165)*(終値!O165:AB165-終値!P165:AC165))/SUMPRODUCT((終値!O165:AB165&lt;終値!P165:AC165)*(終値!P165:AC165-終値!O165:AB165))),100))),"弱気div▼","－")))</f>
      </c>
      <c r="T165" s="681">
        <f>IF($D165="","",IF($D165&gt;=$H165,"上walk▲",IF($D165&lt;=$I165,"下walk▼","－")))</f>
      </c>
      <c r="U165" s="681">
        <f>IF(終値!A165="","",BB_スイング!BT165)</f>
      </c>
      <c r="V165" s="689">
        <f>IF($D165="","",IFERROR(出来高!E165/AVERAGE(出来高!E165:I165),""))</f>
      </c>
      <c r="W165" s="690">
        <f>IF($D165="","",IF(AND($D165&gt;$G165,$O165="拡大↑",$L165&lt;=$M165*1.8),"◎スクイーズブレイク買",IF(AND($D165&gt;=$H165,$R165&gt;=BB設定!$B$10),"○順張り継続(walk)",IF(AND($S165="強気div▲",$D165&gt;$I165),"○反発(ダイバ)買",IF($U165="二番底W▲","△二番底買(確)",IF($U165="二番底W形成","△二番底形成",IF($D165&lt;$J165,"▼-2σ割れ危険",IF(AND($D165&gt;$E165,$K165&lt;0.6,$R165&gt;=50),"・押し目注目",IF($N165="スクイーズ★","☆スクイーズ監視","様子見")))))))))</f>
      </c>
      <c r="X165" s="685">
        <f>IF($D165="","",MIN(100,IF($L165&lt;=$M165*1.15,20,IF($L165&lt;=$M165*1.4,10,0))+IF($D165&gt;$G165,20,IF($D165&gt;$H165,12,IF($D165&gt;$E165,5,0)))+IF($O165="拡大↑",10,0)+IF($R165&gt;=80,15,IF($R165&gt;=60,10,IF($R165&gt;=50,5,0)))+IF(AND($Q165&gt;=50,$Q165&lt;=70),10,IF($Q165&gt;70,3,IF($Q165&gt;=40,5,0)))+IF($S165="強気div▲",15,0)+IF($T165="上walk▲",5,0)+IF($V165&gt;=2,5,IF($V165&gt;=1.5,3,0))))</f>
      </c>
      <c r="Y165" s="682">
        <f>IF($D165="","",$D165)</f>
      </c>
      <c r="Z165" s="682">
        <f>IF($D165="","",$H165)</f>
      </c>
      <c r="AA165" s="682">
        <f>IF($D165="","",IF($D165&gt;$E165,$E165,$AD165))</f>
      </c>
      <c r="AB165" s="682">
        <f>IF($D165="","",$G165)</f>
      </c>
      <c r="AC165" s="688">
        <f>IF($D165="","",IF(($Y165-$AA165)&lt;=0,"－",IFERROR(ROUND(MIN(20,($AB165-$Y165)/($Y165-$AA165)),2),"－")))</f>
      </c>
      <c r="AD165" s="682">
        <f>IF($D165="","",MIN(終値!E165:I165))</f>
      </c>
      <c r="AE165" s="684">
        <f>IF($D165="","",$X165+(10000-ROW())/100000)</f>
      </c>
    </row>
    <row r="166">
      <c r="A166" s="681">
        <f>IF(終値!A166="","",HYPERLINK("https://kabutan.jp/stock/?code="&amp;終値!A166,"📈"))</f>
      </c>
      <c r="B166" s="681">
        <f>IF(終値!A166="","",終値!A166)</f>
      </c>
      <c r="C166" s="680">
        <f>IF(終値!A166="","",終値!B166)</f>
      </c>
      <c r="D166" s="682">
        <f>IF(終値!A166="","",終値!E166)</f>
      </c>
      <c r="E166" s="682">
        <f>IF($D166="","",AVERAGE(終値!E166:X166))</f>
      </c>
      <c r="F166" s="683">
        <f>IF($D166="","",STDEVP(終値!E166:X166))</f>
      </c>
      <c r="G166" s="682">
        <f>IF($D166="","",$E166+BB設定!$B$4*$F166)</f>
      </c>
      <c r="H166" s="682">
        <f>IF($D166="","",$E166+BB設定!$B$5*$F166)</f>
      </c>
      <c r="I166" s="682">
        <f>IF($D166="","",$E166-BB設定!$B$5*$F166)</f>
      </c>
      <c r="J166" s="682">
        <f>IF($D166="","",$E166-BB設定!$B$4*$F166)</f>
      </c>
      <c r="K166" s="687">
        <f>IF($D166="","",IFERROR(($D166-$J166)/($G166-$J166),""))</f>
      </c>
      <c r="L166" s="686">
        <f>IF($D166="","",IFERROR(($G166-$J166)/$E166*100,""))</f>
      </c>
      <c r="M166" s="686">
        <f>IF($D166="","",IFERROR(MIN(BB_帯幅!B166:AP166)*100,""))</f>
      </c>
      <c r="N166" s="681">
        <f>IF($L166="","",IF($L166&lt;=$M166*BB設定!$B$7,"スクイーズ★",IF($L166&lt;=$M166*1.3,"収縮","－")))</f>
      </c>
      <c r="O166" s="681">
        <f>IF($D166="","",IF($L166&gt;(4*STDEVP(終値!F166:Y166)/AVERAGE(終値!F166:Y166)*100),"拡大↑","縮小↓"))</f>
      </c>
      <c r="P166" s="681">
        <f>IF($D166="","",IF($D166&gt;$G166,"↑+2σ突破",IF($D166&lt;$J166,"↓-2σ割れ",IF($D166&gt;$H166,"+1σ上",IF($D166&lt;$I166,"-1σ下","バンド内")))))</f>
      </c>
      <c r="Q166" s="684">
        <f>IF($D166="","",IFERROR(100-100/(1+SUMPRODUCT((終値!E166:R166&gt;終値!F166:S166)*(終値!E166:R166-終値!F166:S166))/SUMPRODUCT((終値!E166:R166&lt;終値!F166:S166)*(終値!F166:S166-終値!E166:R166))),100))</f>
      </c>
      <c r="R166" s="684">
        <f>IF($D166="","",IFERROR(100-100/(1+SUMPRODUCT((((高値!E166:R166+安値!E166:R166+終値!E166:R166)/3)&gt;((高値!F166:S166+安値!F166:S166+終値!F166:S166)/3))*((高値!E166:R166+安値!E166:R166+終値!E166:R166)/3)*出来高!E166:R166)/SUMPRODUCT((((高値!E166:R166+安値!E166:R166+終値!E166:R166)/3)&lt;((高値!F166:S166+安値!F166:S166+終値!F166:S166)/3))*((高値!E166:R166+安値!E166:R166+終値!E166:R166)/3)*出来高!E166:R166)),50))</f>
      </c>
      <c r="S166" s="681">
        <f>IF($D166="","",IF(AND(終値!E166&lt;終値!O166,$Q166&gt;(IFERROR(100-100/(1+SUMPRODUCT((終値!O166:AB166&gt;終値!P166:AC166)*(終値!O166:AB166-終値!P166:AC166))/SUMPRODUCT((終値!O166:AB166&lt;終値!P166:AC166)*(終値!P166:AC166-終値!O166:AB166))),100))),"強気div▲",IF(AND(終値!E166&gt;終値!O166,$Q166&lt;(IFERROR(100-100/(1+SUMPRODUCT((終値!O166:AB166&gt;終値!P166:AC166)*(終値!O166:AB166-終値!P166:AC166))/SUMPRODUCT((終値!O166:AB166&lt;終値!P166:AC166)*(終値!P166:AC166-終値!O166:AB166))),100))),"弱気div▼","－")))</f>
      </c>
      <c r="T166" s="681">
        <f>IF($D166="","",IF($D166&gt;=$H166,"上walk▲",IF($D166&lt;=$I166,"下walk▼","－")))</f>
      </c>
      <c r="U166" s="681">
        <f>IF(終値!A166="","",BB_スイング!BT166)</f>
      </c>
      <c r="V166" s="689">
        <f>IF($D166="","",IFERROR(出来高!E166/AVERAGE(出来高!E166:I166),""))</f>
      </c>
      <c r="W166" s="690">
        <f>IF($D166="","",IF(AND($D166&gt;$G166,$O166="拡大↑",$L166&lt;=$M166*1.8),"◎スクイーズブレイク買",IF(AND($D166&gt;=$H166,$R166&gt;=BB設定!$B$10),"○順張り継続(walk)",IF(AND($S166="強気div▲",$D166&gt;$I166),"○反発(ダイバ)買",IF($U166="二番底W▲","△二番底買(確)",IF($U166="二番底W形成","△二番底形成",IF($D166&lt;$J166,"▼-2σ割れ危険",IF(AND($D166&gt;$E166,$K166&lt;0.6,$R166&gt;=50),"・押し目注目",IF($N166="スクイーズ★","☆スクイーズ監視","様子見")))))))))</f>
      </c>
      <c r="X166" s="685">
        <f>IF($D166="","",MIN(100,IF($L166&lt;=$M166*1.15,20,IF($L166&lt;=$M166*1.4,10,0))+IF($D166&gt;$G166,20,IF($D166&gt;$H166,12,IF($D166&gt;$E166,5,0)))+IF($O166="拡大↑",10,0)+IF($R166&gt;=80,15,IF($R166&gt;=60,10,IF($R166&gt;=50,5,0)))+IF(AND($Q166&gt;=50,$Q166&lt;=70),10,IF($Q166&gt;70,3,IF($Q166&gt;=40,5,0)))+IF($S166="強気div▲",15,0)+IF($T166="上walk▲",5,0)+IF($V166&gt;=2,5,IF($V166&gt;=1.5,3,0))))</f>
      </c>
      <c r="Y166" s="682">
        <f>IF($D166="","",$D166)</f>
      </c>
      <c r="Z166" s="682">
        <f>IF($D166="","",$H166)</f>
      </c>
      <c r="AA166" s="682">
        <f>IF($D166="","",IF($D166&gt;$E166,$E166,$AD166))</f>
      </c>
      <c r="AB166" s="682">
        <f>IF($D166="","",$G166)</f>
      </c>
      <c r="AC166" s="688">
        <f>IF($D166="","",IF(($Y166-$AA166)&lt;=0,"－",IFERROR(ROUND(MIN(20,($AB166-$Y166)/($Y166-$AA166)),2),"－")))</f>
      </c>
      <c r="AD166" s="682">
        <f>IF($D166="","",MIN(終値!E166:I166))</f>
      </c>
      <c r="AE166" s="684">
        <f>IF($D166="","",$X166+(10000-ROW())/100000)</f>
      </c>
    </row>
    <row r="167">
      <c r="A167" s="681">
        <f>IF(終値!A167="","",HYPERLINK("https://kabutan.jp/stock/?code="&amp;終値!A167,"📈"))</f>
      </c>
      <c r="B167" s="681">
        <f>IF(終値!A167="","",終値!A167)</f>
      </c>
      <c r="C167" s="680">
        <f>IF(終値!A167="","",終値!B167)</f>
      </c>
      <c r="D167" s="682">
        <f>IF(終値!A167="","",終値!E167)</f>
      </c>
      <c r="E167" s="682">
        <f>IF($D167="","",AVERAGE(終値!E167:X167))</f>
      </c>
      <c r="F167" s="683">
        <f>IF($D167="","",STDEVP(終値!E167:X167))</f>
      </c>
      <c r="G167" s="682">
        <f>IF($D167="","",$E167+BB設定!$B$4*$F167)</f>
      </c>
      <c r="H167" s="682">
        <f>IF($D167="","",$E167+BB設定!$B$5*$F167)</f>
      </c>
      <c r="I167" s="682">
        <f>IF($D167="","",$E167-BB設定!$B$5*$F167)</f>
      </c>
      <c r="J167" s="682">
        <f>IF($D167="","",$E167-BB設定!$B$4*$F167)</f>
      </c>
      <c r="K167" s="687">
        <f>IF($D167="","",IFERROR(($D167-$J167)/($G167-$J167),""))</f>
      </c>
      <c r="L167" s="686">
        <f>IF($D167="","",IFERROR(($G167-$J167)/$E167*100,""))</f>
      </c>
      <c r="M167" s="686">
        <f>IF($D167="","",IFERROR(MIN(BB_帯幅!B167:AP167)*100,""))</f>
      </c>
      <c r="N167" s="681">
        <f>IF($L167="","",IF($L167&lt;=$M167*BB設定!$B$7,"スクイーズ★",IF($L167&lt;=$M167*1.3,"収縮","－")))</f>
      </c>
      <c r="O167" s="681">
        <f>IF($D167="","",IF($L167&gt;(4*STDEVP(終値!F167:Y167)/AVERAGE(終値!F167:Y167)*100),"拡大↑","縮小↓"))</f>
      </c>
      <c r="P167" s="681">
        <f>IF($D167="","",IF($D167&gt;$G167,"↑+2σ突破",IF($D167&lt;$J167,"↓-2σ割れ",IF($D167&gt;$H167,"+1σ上",IF($D167&lt;$I167,"-1σ下","バンド内")))))</f>
      </c>
      <c r="Q167" s="684">
        <f>IF($D167="","",IFERROR(100-100/(1+SUMPRODUCT((終値!E167:R167&gt;終値!F167:S167)*(終値!E167:R167-終値!F167:S167))/SUMPRODUCT((終値!E167:R167&lt;終値!F167:S167)*(終値!F167:S167-終値!E167:R167))),100))</f>
      </c>
      <c r="R167" s="684">
        <f>IF($D167="","",IFERROR(100-100/(1+SUMPRODUCT((((高値!E167:R167+安値!E167:R167+終値!E167:R167)/3)&gt;((高値!F167:S167+安値!F167:S167+終値!F167:S167)/3))*((高値!E167:R167+安値!E167:R167+終値!E167:R167)/3)*出来高!E167:R167)/SUMPRODUCT((((高値!E167:R167+安値!E167:R167+終値!E167:R167)/3)&lt;((高値!F167:S167+安値!F167:S167+終値!F167:S167)/3))*((高値!E167:R167+安値!E167:R167+終値!E167:R167)/3)*出来高!E167:R167)),50))</f>
      </c>
      <c r="S167" s="681">
        <f>IF($D167="","",IF(AND(終値!E167&lt;終値!O167,$Q167&gt;(IFERROR(100-100/(1+SUMPRODUCT((終値!O167:AB167&gt;終値!P167:AC167)*(終値!O167:AB167-終値!P167:AC167))/SUMPRODUCT((終値!O167:AB167&lt;終値!P167:AC167)*(終値!P167:AC167-終値!O167:AB167))),100))),"強気div▲",IF(AND(終値!E167&gt;終値!O167,$Q167&lt;(IFERROR(100-100/(1+SUMPRODUCT((終値!O167:AB167&gt;終値!P167:AC167)*(終値!O167:AB167-終値!P167:AC167))/SUMPRODUCT((終値!O167:AB167&lt;終値!P167:AC167)*(終値!P167:AC167-終値!O167:AB167))),100))),"弱気div▼","－")))</f>
      </c>
      <c r="T167" s="681">
        <f>IF($D167="","",IF($D167&gt;=$H167,"上walk▲",IF($D167&lt;=$I167,"下walk▼","－")))</f>
      </c>
      <c r="U167" s="681">
        <f>IF(終値!A167="","",BB_スイング!BT167)</f>
      </c>
      <c r="V167" s="689">
        <f>IF($D167="","",IFERROR(出来高!E167/AVERAGE(出来高!E167:I167),""))</f>
      </c>
      <c r="W167" s="690">
        <f>IF($D167="","",IF(AND($D167&gt;$G167,$O167="拡大↑",$L167&lt;=$M167*1.8),"◎スクイーズブレイク買",IF(AND($D167&gt;=$H167,$R167&gt;=BB設定!$B$10),"○順張り継続(walk)",IF(AND($S167="強気div▲",$D167&gt;$I167),"○反発(ダイバ)買",IF($U167="二番底W▲","△二番底買(確)",IF($U167="二番底W形成","△二番底形成",IF($D167&lt;$J167,"▼-2σ割れ危険",IF(AND($D167&gt;$E167,$K167&lt;0.6,$R167&gt;=50),"・押し目注目",IF($N167="スクイーズ★","☆スクイーズ監視","様子見")))))))))</f>
      </c>
      <c r="X167" s="685">
        <f>IF($D167="","",MIN(100,IF($L167&lt;=$M167*1.15,20,IF($L167&lt;=$M167*1.4,10,0))+IF($D167&gt;$G167,20,IF($D167&gt;$H167,12,IF($D167&gt;$E167,5,0)))+IF($O167="拡大↑",10,0)+IF($R167&gt;=80,15,IF($R167&gt;=60,10,IF($R167&gt;=50,5,0)))+IF(AND($Q167&gt;=50,$Q167&lt;=70),10,IF($Q167&gt;70,3,IF($Q167&gt;=40,5,0)))+IF($S167="強気div▲",15,0)+IF($T167="上walk▲",5,0)+IF($V167&gt;=2,5,IF($V167&gt;=1.5,3,0))))</f>
      </c>
      <c r="Y167" s="682">
        <f>IF($D167="","",$D167)</f>
      </c>
      <c r="Z167" s="682">
        <f>IF($D167="","",$H167)</f>
      </c>
      <c r="AA167" s="682">
        <f>IF($D167="","",IF($D167&gt;$E167,$E167,$AD167))</f>
      </c>
      <c r="AB167" s="682">
        <f>IF($D167="","",$G167)</f>
      </c>
      <c r="AC167" s="688">
        <f>IF($D167="","",IF(($Y167-$AA167)&lt;=0,"－",IFERROR(ROUND(MIN(20,($AB167-$Y167)/($Y167-$AA167)),2),"－")))</f>
      </c>
      <c r="AD167" s="682">
        <f>IF($D167="","",MIN(終値!E167:I167))</f>
      </c>
      <c r="AE167" s="684">
        <f>IF($D167="","",$X167+(10000-ROW())/100000)</f>
      </c>
    </row>
    <row r="168">
      <c r="A168" s="681">
        <f>IF(終値!A168="","",HYPERLINK("https://kabutan.jp/stock/?code="&amp;終値!A168,"📈"))</f>
      </c>
      <c r="B168" s="681">
        <f>IF(終値!A168="","",終値!A168)</f>
      </c>
      <c r="C168" s="680">
        <f>IF(終値!A168="","",終値!B168)</f>
      </c>
      <c r="D168" s="682">
        <f>IF(終値!A168="","",終値!E168)</f>
      </c>
      <c r="E168" s="682">
        <f>IF($D168="","",AVERAGE(終値!E168:X168))</f>
      </c>
      <c r="F168" s="683">
        <f>IF($D168="","",STDEVP(終値!E168:X168))</f>
      </c>
      <c r="G168" s="682">
        <f>IF($D168="","",$E168+BB設定!$B$4*$F168)</f>
      </c>
      <c r="H168" s="682">
        <f>IF($D168="","",$E168+BB設定!$B$5*$F168)</f>
      </c>
      <c r="I168" s="682">
        <f>IF($D168="","",$E168-BB設定!$B$5*$F168)</f>
      </c>
      <c r="J168" s="682">
        <f>IF($D168="","",$E168-BB設定!$B$4*$F168)</f>
      </c>
      <c r="K168" s="687">
        <f>IF($D168="","",IFERROR(($D168-$J168)/($G168-$J168),""))</f>
      </c>
      <c r="L168" s="686">
        <f>IF($D168="","",IFERROR(($G168-$J168)/$E168*100,""))</f>
      </c>
      <c r="M168" s="686">
        <f>IF($D168="","",IFERROR(MIN(BB_帯幅!B168:AP168)*100,""))</f>
      </c>
      <c r="N168" s="681">
        <f>IF($L168="","",IF($L168&lt;=$M168*BB設定!$B$7,"スクイーズ★",IF($L168&lt;=$M168*1.3,"収縮","－")))</f>
      </c>
      <c r="O168" s="681">
        <f>IF($D168="","",IF($L168&gt;(4*STDEVP(終値!F168:Y168)/AVERAGE(終値!F168:Y168)*100),"拡大↑","縮小↓"))</f>
      </c>
      <c r="P168" s="681">
        <f>IF($D168="","",IF($D168&gt;$G168,"↑+2σ突破",IF($D168&lt;$J168,"↓-2σ割れ",IF($D168&gt;$H168,"+1σ上",IF($D168&lt;$I168,"-1σ下","バンド内")))))</f>
      </c>
      <c r="Q168" s="684">
        <f>IF($D168="","",IFERROR(100-100/(1+SUMPRODUCT((終値!E168:R168&gt;終値!F168:S168)*(終値!E168:R168-終値!F168:S168))/SUMPRODUCT((終値!E168:R168&lt;終値!F168:S168)*(終値!F168:S168-終値!E168:R168))),100))</f>
      </c>
      <c r="R168" s="684">
        <f>IF($D168="","",IFERROR(100-100/(1+SUMPRODUCT((((高値!E168:R168+安値!E168:R168+終値!E168:R168)/3)&gt;((高値!F168:S168+安値!F168:S168+終値!F168:S168)/3))*((高値!E168:R168+安値!E168:R168+終値!E168:R168)/3)*出来高!E168:R168)/SUMPRODUCT((((高値!E168:R168+安値!E168:R168+終値!E168:R168)/3)&lt;((高値!F168:S168+安値!F168:S168+終値!F168:S168)/3))*((高値!E168:R168+安値!E168:R168+終値!E168:R168)/3)*出来高!E168:R168)),50))</f>
      </c>
      <c r="S168" s="681">
        <f>IF($D168="","",IF(AND(終値!E168&lt;終値!O168,$Q168&gt;(IFERROR(100-100/(1+SUMPRODUCT((終値!O168:AB168&gt;終値!P168:AC168)*(終値!O168:AB168-終値!P168:AC168))/SUMPRODUCT((終値!O168:AB168&lt;終値!P168:AC168)*(終値!P168:AC168-終値!O168:AB168))),100))),"強気div▲",IF(AND(終値!E168&gt;終値!O168,$Q168&lt;(IFERROR(100-100/(1+SUMPRODUCT((終値!O168:AB168&gt;終値!P168:AC168)*(終値!O168:AB168-終値!P168:AC168))/SUMPRODUCT((終値!O168:AB168&lt;終値!P168:AC168)*(終値!P168:AC168-終値!O168:AB168))),100))),"弱気div▼","－")))</f>
      </c>
      <c r="T168" s="681">
        <f>IF($D168="","",IF($D168&gt;=$H168,"上walk▲",IF($D168&lt;=$I168,"下walk▼","－")))</f>
      </c>
      <c r="U168" s="681">
        <f>IF(終値!A168="","",BB_スイング!BT168)</f>
      </c>
      <c r="V168" s="689">
        <f>IF($D168="","",IFERROR(出来高!E168/AVERAGE(出来高!E168:I168),""))</f>
      </c>
      <c r="W168" s="690">
        <f>IF($D168="","",IF(AND($D168&gt;$G168,$O168="拡大↑",$L168&lt;=$M168*1.8),"◎スクイーズブレイク買",IF(AND($D168&gt;=$H168,$R168&gt;=BB設定!$B$10),"○順張り継続(walk)",IF(AND($S168="強気div▲",$D168&gt;$I168),"○反発(ダイバ)買",IF($U168="二番底W▲","△二番底買(確)",IF($U168="二番底W形成","△二番底形成",IF($D168&lt;$J168,"▼-2σ割れ危険",IF(AND($D168&gt;$E168,$K168&lt;0.6,$R168&gt;=50),"・押し目注目",IF($N168="スクイーズ★","☆スクイーズ監視","様子見")))))))))</f>
      </c>
      <c r="X168" s="685">
        <f>IF($D168="","",MIN(100,IF($L168&lt;=$M168*1.15,20,IF($L168&lt;=$M168*1.4,10,0))+IF($D168&gt;$G168,20,IF($D168&gt;$H168,12,IF($D168&gt;$E168,5,0)))+IF($O168="拡大↑",10,0)+IF($R168&gt;=80,15,IF($R168&gt;=60,10,IF($R168&gt;=50,5,0)))+IF(AND($Q168&gt;=50,$Q168&lt;=70),10,IF($Q168&gt;70,3,IF($Q168&gt;=40,5,0)))+IF($S168="強気div▲",15,0)+IF($T168="上walk▲",5,0)+IF($V168&gt;=2,5,IF($V168&gt;=1.5,3,0))))</f>
      </c>
      <c r="Y168" s="682">
        <f>IF($D168="","",$D168)</f>
      </c>
      <c r="Z168" s="682">
        <f>IF($D168="","",$H168)</f>
      </c>
      <c r="AA168" s="682">
        <f>IF($D168="","",IF($D168&gt;$E168,$E168,$AD168))</f>
      </c>
      <c r="AB168" s="682">
        <f>IF($D168="","",$G168)</f>
      </c>
      <c r="AC168" s="688">
        <f>IF($D168="","",IF(($Y168-$AA168)&lt;=0,"－",IFERROR(ROUND(MIN(20,($AB168-$Y168)/($Y168-$AA168)),2),"－")))</f>
      </c>
      <c r="AD168" s="682">
        <f>IF($D168="","",MIN(終値!E168:I168))</f>
      </c>
      <c r="AE168" s="684">
        <f>IF($D168="","",$X168+(10000-ROW())/100000)</f>
      </c>
    </row>
    <row r="169">
      <c r="A169" s="681">
        <f>IF(終値!A169="","",HYPERLINK("https://kabutan.jp/stock/?code="&amp;終値!A169,"📈"))</f>
      </c>
      <c r="B169" s="681">
        <f>IF(終値!A169="","",終値!A169)</f>
      </c>
      <c r="C169" s="680">
        <f>IF(終値!A169="","",終値!B169)</f>
      </c>
      <c r="D169" s="682">
        <f>IF(終値!A169="","",終値!E169)</f>
      </c>
      <c r="E169" s="682">
        <f>IF($D169="","",AVERAGE(終値!E169:X169))</f>
      </c>
      <c r="F169" s="683">
        <f>IF($D169="","",STDEVP(終値!E169:X169))</f>
      </c>
      <c r="G169" s="682">
        <f>IF($D169="","",$E169+BB設定!$B$4*$F169)</f>
      </c>
      <c r="H169" s="682">
        <f>IF($D169="","",$E169+BB設定!$B$5*$F169)</f>
      </c>
      <c r="I169" s="682">
        <f>IF($D169="","",$E169-BB設定!$B$5*$F169)</f>
      </c>
      <c r="J169" s="682">
        <f>IF($D169="","",$E169-BB設定!$B$4*$F169)</f>
      </c>
      <c r="K169" s="687">
        <f>IF($D169="","",IFERROR(($D169-$J169)/($G169-$J169),""))</f>
      </c>
      <c r="L169" s="686">
        <f>IF($D169="","",IFERROR(($G169-$J169)/$E169*100,""))</f>
      </c>
      <c r="M169" s="686">
        <f>IF($D169="","",IFERROR(MIN(BB_帯幅!B169:AP169)*100,""))</f>
      </c>
      <c r="N169" s="681">
        <f>IF($L169="","",IF($L169&lt;=$M169*BB設定!$B$7,"スクイーズ★",IF($L169&lt;=$M169*1.3,"収縮","－")))</f>
      </c>
      <c r="O169" s="681">
        <f>IF($D169="","",IF($L169&gt;(4*STDEVP(終値!F169:Y169)/AVERAGE(終値!F169:Y169)*100),"拡大↑","縮小↓"))</f>
      </c>
      <c r="P169" s="681">
        <f>IF($D169="","",IF($D169&gt;$G169,"↑+2σ突破",IF($D169&lt;$J169,"↓-2σ割れ",IF($D169&gt;$H169,"+1σ上",IF($D169&lt;$I169,"-1σ下","バンド内")))))</f>
      </c>
      <c r="Q169" s="684">
        <f>IF($D169="","",IFERROR(100-100/(1+SUMPRODUCT((終値!E169:R169&gt;終値!F169:S169)*(終値!E169:R169-終値!F169:S169))/SUMPRODUCT((終値!E169:R169&lt;終値!F169:S169)*(終値!F169:S169-終値!E169:R169))),100))</f>
      </c>
      <c r="R169" s="684">
        <f>IF($D169="","",IFERROR(100-100/(1+SUMPRODUCT((((高値!E169:R169+安値!E169:R169+終値!E169:R169)/3)&gt;((高値!F169:S169+安値!F169:S169+終値!F169:S169)/3))*((高値!E169:R169+安値!E169:R169+終値!E169:R169)/3)*出来高!E169:R169)/SUMPRODUCT((((高値!E169:R169+安値!E169:R169+終値!E169:R169)/3)&lt;((高値!F169:S169+安値!F169:S169+終値!F169:S169)/3))*((高値!E169:R169+安値!E169:R169+終値!E169:R169)/3)*出来高!E169:R169)),50))</f>
      </c>
      <c r="S169" s="681">
        <f>IF($D169="","",IF(AND(終値!E169&lt;終値!O169,$Q169&gt;(IFERROR(100-100/(1+SUMPRODUCT((終値!O169:AB169&gt;終値!P169:AC169)*(終値!O169:AB169-終値!P169:AC169))/SUMPRODUCT((終値!O169:AB169&lt;終値!P169:AC169)*(終値!P169:AC169-終値!O169:AB169))),100))),"強気div▲",IF(AND(終値!E169&gt;終値!O169,$Q169&lt;(IFERROR(100-100/(1+SUMPRODUCT((終値!O169:AB169&gt;終値!P169:AC169)*(終値!O169:AB169-終値!P169:AC169))/SUMPRODUCT((終値!O169:AB169&lt;終値!P169:AC169)*(終値!P169:AC169-終値!O169:AB169))),100))),"弱気div▼","－")))</f>
      </c>
      <c r="T169" s="681">
        <f>IF($D169="","",IF($D169&gt;=$H169,"上walk▲",IF($D169&lt;=$I169,"下walk▼","－")))</f>
      </c>
      <c r="U169" s="681">
        <f>IF(終値!A169="","",BB_スイング!BT169)</f>
      </c>
      <c r="V169" s="689">
        <f>IF($D169="","",IFERROR(出来高!E169/AVERAGE(出来高!E169:I169),""))</f>
      </c>
      <c r="W169" s="690">
        <f>IF($D169="","",IF(AND($D169&gt;$G169,$O169="拡大↑",$L169&lt;=$M169*1.8),"◎スクイーズブレイク買",IF(AND($D169&gt;=$H169,$R169&gt;=BB設定!$B$10),"○順張り継続(walk)",IF(AND($S169="強気div▲",$D169&gt;$I169),"○反発(ダイバ)買",IF($U169="二番底W▲","△二番底買(確)",IF($U169="二番底W形成","△二番底形成",IF($D169&lt;$J169,"▼-2σ割れ危険",IF(AND($D169&gt;$E169,$K169&lt;0.6,$R169&gt;=50),"・押し目注目",IF($N169="スクイーズ★","☆スクイーズ監視","様子見")))))))))</f>
      </c>
      <c r="X169" s="685">
        <f>IF($D169="","",MIN(100,IF($L169&lt;=$M169*1.15,20,IF($L169&lt;=$M169*1.4,10,0))+IF($D169&gt;$G169,20,IF($D169&gt;$H169,12,IF($D169&gt;$E169,5,0)))+IF($O169="拡大↑",10,0)+IF($R169&gt;=80,15,IF($R169&gt;=60,10,IF($R169&gt;=50,5,0)))+IF(AND($Q169&gt;=50,$Q169&lt;=70),10,IF($Q169&gt;70,3,IF($Q169&gt;=40,5,0)))+IF($S169="強気div▲",15,0)+IF($T169="上walk▲",5,0)+IF($V169&gt;=2,5,IF($V169&gt;=1.5,3,0))))</f>
      </c>
      <c r="Y169" s="682">
        <f>IF($D169="","",$D169)</f>
      </c>
      <c r="Z169" s="682">
        <f>IF($D169="","",$H169)</f>
      </c>
      <c r="AA169" s="682">
        <f>IF($D169="","",IF($D169&gt;$E169,$E169,$AD169))</f>
      </c>
      <c r="AB169" s="682">
        <f>IF($D169="","",$G169)</f>
      </c>
      <c r="AC169" s="688">
        <f>IF($D169="","",IF(($Y169-$AA169)&lt;=0,"－",IFERROR(ROUND(MIN(20,($AB169-$Y169)/($Y169-$AA169)),2),"－")))</f>
      </c>
      <c r="AD169" s="682">
        <f>IF($D169="","",MIN(終値!E169:I169))</f>
      </c>
      <c r="AE169" s="684">
        <f>IF($D169="","",$X169+(10000-ROW())/100000)</f>
      </c>
    </row>
    <row r="170">
      <c r="A170" s="681">
        <f>IF(終値!A170="","",HYPERLINK("https://kabutan.jp/stock/?code="&amp;終値!A170,"📈"))</f>
      </c>
      <c r="B170" s="681">
        <f>IF(終値!A170="","",終値!A170)</f>
      </c>
      <c r="C170" s="680">
        <f>IF(終値!A170="","",終値!B170)</f>
      </c>
      <c r="D170" s="682">
        <f>IF(終値!A170="","",終値!E170)</f>
      </c>
      <c r="E170" s="682">
        <f>IF($D170="","",AVERAGE(終値!E170:X170))</f>
      </c>
      <c r="F170" s="683">
        <f>IF($D170="","",STDEVP(終値!E170:X170))</f>
      </c>
      <c r="G170" s="682">
        <f>IF($D170="","",$E170+BB設定!$B$4*$F170)</f>
      </c>
      <c r="H170" s="682">
        <f>IF($D170="","",$E170+BB設定!$B$5*$F170)</f>
      </c>
      <c r="I170" s="682">
        <f>IF($D170="","",$E170-BB設定!$B$5*$F170)</f>
      </c>
      <c r="J170" s="682">
        <f>IF($D170="","",$E170-BB設定!$B$4*$F170)</f>
      </c>
      <c r="K170" s="687">
        <f>IF($D170="","",IFERROR(($D170-$J170)/($G170-$J170),""))</f>
      </c>
      <c r="L170" s="686">
        <f>IF($D170="","",IFERROR(($G170-$J170)/$E170*100,""))</f>
      </c>
      <c r="M170" s="686">
        <f>IF($D170="","",IFERROR(MIN(BB_帯幅!B170:AP170)*100,""))</f>
      </c>
      <c r="N170" s="681">
        <f>IF($L170="","",IF($L170&lt;=$M170*BB設定!$B$7,"スクイーズ★",IF($L170&lt;=$M170*1.3,"収縮","－")))</f>
      </c>
      <c r="O170" s="681">
        <f>IF($D170="","",IF($L170&gt;(4*STDEVP(終値!F170:Y170)/AVERAGE(終値!F170:Y170)*100),"拡大↑","縮小↓"))</f>
      </c>
      <c r="P170" s="681">
        <f>IF($D170="","",IF($D170&gt;$G170,"↑+2σ突破",IF($D170&lt;$J170,"↓-2σ割れ",IF($D170&gt;$H170,"+1σ上",IF($D170&lt;$I170,"-1σ下","バンド内")))))</f>
      </c>
      <c r="Q170" s="684">
        <f>IF($D170="","",IFERROR(100-100/(1+SUMPRODUCT((終値!E170:R170&gt;終値!F170:S170)*(終値!E170:R170-終値!F170:S170))/SUMPRODUCT((終値!E170:R170&lt;終値!F170:S170)*(終値!F170:S170-終値!E170:R170))),100))</f>
      </c>
      <c r="R170" s="684">
        <f>IF($D170="","",IFERROR(100-100/(1+SUMPRODUCT((((高値!E170:R170+安値!E170:R170+終値!E170:R170)/3)&gt;((高値!F170:S170+安値!F170:S170+終値!F170:S170)/3))*((高値!E170:R170+安値!E170:R170+終値!E170:R170)/3)*出来高!E170:R170)/SUMPRODUCT((((高値!E170:R170+安値!E170:R170+終値!E170:R170)/3)&lt;((高値!F170:S170+安値!F170:S170+終値!F170:S170)/3))*((高値!E170:R170+安値!E170:R170+終値!E170:R170)/3)*出来高!E170:R170)),50))</f>
      </c>
      <c r="S170" s="681">
        <f>IF($D170="","",IF(AND(終値!E170&lt;終値!O170,$Q170&gt;(IFERROR(100-100/(1+SUMPRODUCT((終値!O170:AB170&gt;終値!P170:AC170)*(終値!O170:AB170-終値!P170:AC170))/SUMPRODUCT((終値!O170:AB170&lt;終値!P170:AC170)*(終値!P170:AC170-終値!O170:AB170))),100))),"強気div▲",IF(AND(終値!E170&gt;終値!O170,$Q170&lt;(IFERROR(100-100/(1+SUMPRODUCT((終値!O170:AB170&gt;終値!P170:AC170)*(終値!O170:AB170-終値!P170:AC170))/SUMPRODUCT((終値!O170:AB170&lt;終値!P170:AC170)*(終値!P170:AC170-終値!O170:AB170))),100))),"弱気div▼","－")))</f>
      </c>
      <c r="T170" s="681">
        <f>IF($D170="","",IF($D170&gt;=$H170,"上walk▲",IF($D170&lt;=$I170,"下walk▼","－")))</f>
      </c>
      <c r="U170" s="681">
        <f>IF(終値!A170="","",BB_スイング!BT170)</f>
      </c>
      <c r="V170" s="689">
        <f>IF($D170="","",IFERROR(出来高!E170/AVERAGE(出来高!E170:I170),""))</f>
      </c>
      <c r="W170" s="690">
        <f>IF($D170="","",IF(AND($D170&gt;$G170,$O170="拡大↑",$L170&lt;=$M170*1.8),"◎スクイーズブレイク買",IF(AND($D170&gt;=$H170,$R170&gt;=BB設定!$B$10),"○順張り継続(walk)",IF(AND($S170="強気div▲",$D170&gt;$I170),"○反発(ダイバ)買",IF($U170="二番底W▲","△二番底買(確)",IF($U170="二番底W形成","△二番底形成",IF($D170&lt;$J170,"▼-2σ割れ危険",IF(AND($D170&gt;$E170,$K170&lt;0.6,$R170&gt;=50),"・押し目注目",IF($N170="スクイーズ★","☆スクイーズ監視","様子見")))))))))</f>
      </c>
      <c r="X170" s="685">
        <f>IF($D170="","",MIN(100,IF($L170&lt;=$M170*1.15,20,IF($L170&lt;=$M170*1.4,10,0))+IF($D170&gt;$G170,20,IF($D170&gt;$H170,12,IF($D170&gt;$E170,5,0)))+IF($O170="拡大↑",10,0)+IF($R170&gt;=80,15,IF($R170&gt;=60,10,IF($R170&gt;=50,5,0)))+IF(AND($Q170&gt;=50,$Q170&lt;=70),10,IF($Q170&gt;70,3,IF($Q170&gt;=40,5,0)))+IF($S170="強気div▲",15,0)+IF($T170="上walk▲",5,0)+IF($V170&gt;=2,5,IF($V170&gt;=1.5,3,0))))</f>
      </c>
      <c r="Y170" s="682">
        <f>IF($D170="","",$D170)</f>
      </c>
      <c r="Z170" s="682">
        <f>IF($D170="","",$H170)</f>
      </c>
      <c r="AA170" s="682">
        <f>IF($D170="","",IF($D170&gt;$E170,$E170,$AD170))</f>
      </c>
      <c r="AB170" s="682">
        <f>IF($D170="","",$G170)</f>
      </c>
      <c r="AC170" s="688">
        <f>IF($D170="","",IF(($Y170-$AA170)&lt;=0,"－",IFERROR(ROUND(MIN(20,($AB170-$Y170)/($Y170-$AA170)),2),"－")))</f>
      </c>
      <c r="AD170" s="682">
        <f>IF($D170="","",MIN(終値!E170:I170))</f>
      </c>
      <c r="AE170" s="684">
        <f>IF($D170="","",$X170+(10000-ROW())/100000)</f>
      </c>
    </row>
    <row r="171">
      <c r="A171" s="681">
        <f>IF(終値!A171="","",HYPERLINK("https://kabutan.jp/stock/?code="&amp;終値!A171,"📈"))</f>
      </c>
      <c r="B171" s="681">
        <f>IF(終値!A171="","",終値!A171)</f>
      </c>
      <c r="C171" s="680">
        <f>IF(終値!A171="","",終値!B171)</f>
      </c>
      <c r="D171" s="682">
        <f>IF(終値!A171="","",終値!E171)</f>
      </c>
      <c r="E171" s="682">
        <f>IF($D171="","",AVERAGE(終値!E171:X171))</f>
      </c>
      <c r="F171" s="683">
        <f>IF($D171="","",STDEVP(終値!E171:X171))</f>
      </c>
      <c r="G171" s="682">
        <f>IF($D171="","",$E171+BB設定!$B$4*$F171)</f>
      </c>
      <c r="H171" s="682">
        <f>IF($D171="","",$E171+BB設定!$B$5*$F171)</f>
      </c>
      <c r="I171" s="682">
        <f>IF($D171="","",$E171-BB設定!$B$5*$F171)</f>
      </c>
      <c r="J171" s="682">
        <f>IF($D171="","",$E171-BB設定!$B$4*$F171)</f>
      </c>
      <c r="K171" s="687">
        <f>IF($D171="","",IFERROR(($D171-$J171)/($G171-$J171),""))</f>
      </c>
      <c r="L171" s="686">
        <f>IF($D171="","",IFERROR(($G171-$J171)/$E171*100,""))</f>
      </c>
      <c r="M171" s="686">
        <f>IF($D171="","",IFERROR(MIN(BB_帯幅!B171:AP171)*100,""))</f>
      </c>
      <c r="N171" s="681">
        <f>IF($L171="","",IF($L171&lt;=$M171*BB設定!$B$7,"スクイーズ★",IF($L171&lt;=$M171*1.3,"収縮","－")))</f>
      </c>
      <c r="O171" s="681">
        <f>IF($D171="","",IF($L171&gt;(4*STDEVP(終値!F171:Y171)/AVERAGE(終値!F171:Y171)*100),"拡大↑","縮小↓"))</f>
      </c>
      <c r="P171" s="681">
        <f>IF($D171="","",IF($D171&gt;$G171,"↑+2σ突破",IF($D171&lt;$J171,"↓-2σ割れ",IF($D171&gt;$H171,"+1σ上",IF($D171&lt;$I171,"-1σ下","バンド内")))))</f>
      </c>
      <c r="Q171" s="684">
        <f>IF($D171="","",IFERROR(100-100/(1+SUMPRODUCT((終値!E171:R171&gt;終値!F171:S171)*(終値!E171:R171-終値!F171:S171))/SUMPRODUCT((終値!E171:R171&lt;終値!F171:S171)*(終値!F171:S171-終値!E171:R171))),100))</f>
      </c>
      <c r="R171" s="684">
        <f>IF($D171="","",IFERROR(100-100/(1+SUMPRODUCT((((高値!E171:R171+安値!E171:R171+終値!E171:R171)/3)&gt;((高値!F171:S171+安値!F171:S171+終値!F171:S171)/3))*((高値!E171:R171+安値!E171:R171+終値!E171:R171)/3)*出来高!E171:R171)/SUMPRODUCT((((高値!E171:R171+安値!E171:R171+終値!E171:R171)/3)&lt;((高値!F171:S171+安値!F171:S171+終値!F171:S171)/3))*((高値!E171:R171+安値!E171:R171+終値!E171:R171)/3)*出来高!E171:R171)),50))</f>
      </c>
      <c r="S171" s="681">
        <f>IF($D171="","",IF(AND(終値!E171&lt;終値!O171,$Q171&gt;(IFERROR(100-100/(1+SUMPRODUCT((終値!O171:AB171&gt;終値!P171:AC171)*(終値!O171:AB171-終値!P171:AC171))/SUMPRODUCT((終値!O171:AB171&lt;終値!P171:AC171)*(終値!P171:AC171-終値!O171:AB171))),100))),"強気div▲",IF(AND(終値!E171&gt;終値!O171,$Q171&lt;(IFERROR(100-100/(1+SUMPRODUCT((終値!O171:AB171&gt;終値!P171:AC171)*(終値!O171:AB171-終値!P171:AC171))/SUMPRODUCT((終値!O171:AB171&lt;終値!P171:AC171)*(終値!P171:AC171-終値!O171:AB171))),100))),"弱気div▼","－")))</f>
      </c>
      <c r="T171" s="681">
        <f>IF($D171="","",IF($D171&gt;=$H171,"上walk▲",IF($D171&lt;=$I171,"下walk▼","－")))</f>
      </c>
      <c r="U171" s="681">
        <f>IF(終値!A171="","",BB_スイング!BT171)</f>
      </c>
      <c r="V171" s="689">
        <f>IF($D171="","",IFERROR(出来高!E171/AVERAGE(出来高!E171:I171),""))</f>
      </c>
      <c r="W171" s="690">
        <f>IF($D171="","",IF(AND($D171&gt;$G171,$O171="拡大↑",$L171&lt;=$M171*1.8),"◎スクイーズブレイク買",IF(AND($D171&gt;=$H171,$R171&gt;=BB設定!$B$10),"○順張り継続(walk)",IF(AND($S171="強気div▲",$D171&gt;$I171),"○反発(ダイバ)買",IF($U171="二番底W▲","△二番底買(確)",IF($U171="二番底W形成","△二番底形成",IF($D171&lt;$J171,"▼-2σ割れ危険",IF(AND($D171&gt;$E171,$K171&lt;0.6,$R171&gt;=50),"・押し目注目",IF($N171="スクイーズ★","☆スクイーズ監視","様子見")))))))))</f>
      </c>
      <c r="X171" s="685">
        <f>IF($D171="","",MIN(100,IF($L171&lt;=$M171*1.15,20,IF($L171&lt;=$M171*1.4,10,0))+IF($D171&gt;$G171,20,IF($D171&gt;$H171,12,IF($D171&gt;$E171,5,0)))+IF($O171="拡大↑",10,0)+IF($R171&gt;=80,15,IF($R171&gt;=60,10,IF($R171&gt;=50,5,0)))+IF(AND($Q171&gt;=50,$Q171&lt;=70),10,IF($Q171&gt;70,3,IF($Q171&gt;=40,5,0)))+IF($S171="強気div▲",15,0)+IF($T171="上walk▲",5,0)+IF($V171&gt;=2,5,IF($V171&gt;=1.5,3,0))))</f>
      </c>
      <c r="Y171" s="682">
        <f>IF($D171="","",$D171)</f>
      </c>
      <c r="Z171" s="682">
        <f>IF($D171="","",$H171)</f>
      </c>
      <c r="AA171" s="682">
        <f>IF($D171="","",IF($D171&gt;$E171,$E171,$AD171))</f>
      </c>
      <c r="AB171" s="682">
        <f>IF($D171="","",$G171)</f>
      </c>
      <c r="AC171" s="688">
        <f>IF($D171="","",IF(($Y171-$AA171)&lt;=0,"－",IFERROR(ROUND(MIN(20,($AB171-$Y171)/($Y171-$AA171)),2),"－")))</f>
      </c>
      <c r="AD171" s="682">
        <f>IF($D171="","",MIN(終値!E171:I171))</f>
      </c>
      <c r="AE171" s="684">
        <f>IF($D171="","",$X171+(10000-ROW())/100000)</f>
      </c>
    </row>
    <row r="172">
      <c r="A172" s="681">
        <f>IF(終値!A172="","",HYPERLINK("https://kabutan.jp/stock/?code="&amp;終値!A172,"📈"))</f>
      </c>
      <c r="B172" s="681">
        <f>IF(終値!A172="","",終値!A172)</f>
      </c>
      <c r="C172" s="680">
        <f>IF(終値!A172="","",終値!B172)</f>
      </c>
      <c r="D172" s="682">
        <f>IF(終値!A172="","",終値!E172)</f>
      </c>
      <c r="E172" s="682">
        <f>IF($D172="","",AVERAGE(終値!E172:X172))</f>
      </c>
      <c r="F172" s="683">
        <f>IF($D172="","",STDEVP(終値!E172:X172))</f>
      </c>
      <c r="G172" s="682">
        <f>IF($D172="","",$E172+BB設定!$B$4*$F172)</f>
      </c>
      <c r="H172" s="682">
        <f>IF($D172="","",$E172+BB設定!$B$5*$F172)</f>
      </c>
      <c r="I172" s="682">
        <f>IF($D172="","",$E172-BB設定!$B$5*$F172)</f>
      </c>
      <c r="J172" s="682">
        <f>IF($D172="","",$E172-BB設定!$B$4*$F172)</f>
      </c>
      <c r="K172" s="687">
        <f>IF($D172="","",IFERROR(($D172-$J172)/($G172-$J172),""))</f>
      </c>
      <c r="L172" s="686">
        <f>IF($D172="","",IFERROR(($G172-$J172)/$E172*100,""))</f>
      </c>
      <c r="M172" s="686">
        <f>IF($D172="","",IFERROR(MIN(BB_帯幅!B172:AP172)*100,""))</f>
      </c>
      <c r="N172" s="681">
        <f>IF($L172="","",IF($L172&lt;=$M172*BB設定!$B$7,"スクイーズ★",IF($L172&lt;=$M172*1.3,"収縮","－")))</f>
      </c>
      <c r="O172" s="681">
        <f>IF($D172="","",IF($L172&gt;(4*STDEVP(終値!F172:Y172)/AVERAGE(終値!F172:Y172)*100),"拡大↑","縮小↓"))</f>
      </c>
      <c r="P172" s="681">
        <f>IF($D172="","",IF($D172&gt;$G172,"↑+2σ突破",IF($D172&lt;$J172,"↓-2σ割れ",IF($D172&gt;$H172,"+1σ上",IF($D172&lt;$I172,"-1σ下","バンド内")))))</f>
      </c>
      <c r="Q172" s="684">
        <f>IF($D172="","",IFERROR(100-100/(1+SUMPRODUCT((終値!E172:R172&gt;終値!F172:S172)*(終値!E172:R172-終値!F172:S172))/SUMPRODUCT((終値!E172:R172&lt;終値!F172:S172)*(終値!F172:S172-終値!E172:R172))),100))</f>
      </c>
      <c r="R172" s="684">
        <f>IF($D172="","",IFERROR(100-100/(1+SUMPRODUCT((((高値!E172:R172+安値!E172:R172+終値!E172:R172)/3)&gt;((高値!F172:S172+安値!F172:S172+終値!F172:S172)/3))*((高値!E172:R172+安値!E172:R172+終値!E172:R172)/3)*出来高!E172:R172)/SUMPRODUCT((((高値!E172:R172+安値!E172:R172+終値!E172:R172)/3)&lt;((高値!F172:S172+安値!F172:S172+終値!F172:S172)/3))*((高値!E172:R172+安値!E172:R172+終値!E172:R172)/3)*出来高!E172:R172)),50))</f>
      </c>
      <c r="S172" s="681">
        <f>IF($D172="","",IF(AND(終値!E172&lt;終値!O172,$Q172&gt;(IFERROR(100-100/(1+SUMPRODUCT((終値!O172:AB172&gt;終値!P172:AC172)*(終値!O172:AB172-終値!P172:AC172))/SUMPRODUCT((終値!O172:AB172&lt;終値!P172:AC172)*(終値!P172:AC172-終値!O172:AB172))),100))),"強気div▲",IF(AND(終値!E172&gt;終値!O172,$Q172&lt;(IFERROR(100-100/(1+SUMPRODUCT((終値!O172:AB172&gt;終値!P172:AC172)*(終値!O172:AB172-終値!P172:AC172))/SUMPRODUCT((終値!O172:AB172&lt;終値!P172:AC172)*(終値!P172:AC172-終値!O172:AB172))),100))),"弱気div▼","－")))</f>
      </c>
      <c r="T172" s="681">
        <f>IF($D172="","",IF($D172&gt;=$H172,"上walk▲",IF($D172&lt;=$I172,"下walk▼","－")))</f>
      </c>
      <c r="U172" s="681">
        <f>IF(終値!A172="","",BB_スイング!BT172)</f>
      </c>
      <c r="V172" s="689">
        <f>IF($D172="","",IFERROR(出来高!E172/AVERAGE(出来高!E172:I172),""))</f>
      </c>
      <c r="W172" s="690">
        <f>IF($D172="","",IF(AND($D172&gt;$G172,$O172="拡大↑",$L172&lt;=$M172*1.8),"◎スクイーズブレイク買",IF(AND($D172&gt;=$H172,$R172&gt;=BB設定!$B$10),"○順張り継続(walk)",IF(AND($S172="強気div▲",$D172&gt;$I172),"○反発(ダイバ)買",IF($U172="二番底W▲","△二番底買(確)",IF($U172="二番底W形成","△二番底形成",IF($D172&lt;$J172,"▼-2σ割れ危険",IF(AND($D172&gt;$E172,$K172&lt;0.6,$R172&gt;=50),"・押し目注目",IF($N172="スクイーズ★","☆スクイーズ監視","様子見")))))))))</f>
      </c>
      <c r="X172" s="685">
        <f>IF($D172="","",MIN(100,IF($L172&lt;=$M172*1.15,20,IF($L172&lt;=$M172*1.4,10,0))+IF($D172&gt;$G172,20,IF($D172&gt;$H172,12,IF($D172&gt;$E172,5,0)))+IF($O172="拡大↑",10,0)+IF($R172&gt;=80,15,IF($R172&gt;=60,10,IF($R172&gt;=50,5,0)))+IF(AND($Q172&gt;=50,$Q172&lt;=70),10,IF($Q172&gt;70,3,IF($Q172&gt;=40,5,0)))+IF($S172="強気div▲",15,0)+IF($T172="上walk▲",5,0)+IF($V172&gt;=2,5,IF($V172&gt;=1.5,3,0))))</f>
      </c>
      <c r="Y172" s="682">
        <f>IF($D172="","",$D172)</f>
      </c>
      <c r="Z172" s="682">
        <f>IF($D172="","",$H172)</f>
      </c>
      <c r="AA172" s="682">
        <f>IF($D172="","",IF($D172&gt;$E172,$E172,$AD172))</f>
      </c>
      <c r="AB172" s="682">
        <f>IF($D172="","",$G172)</f>
      </c>
      <c r="AC172" s="688">
        <f>IF($D172="","",IF(($Y172-$AA172)&lt;=0,"－",IFERROR(ROUND(MIN(20,($AB172-$Y172)/($Y172-$AA172)),2),"－")))</f>
      </c>
      <c r="AD172" s="682">
        <f>IF($D172="","",MIN(終値!E172:I172))</f>
      </c>
      <c r="AE172" s="684">
        <f>IF($D172="","",$X172+(10000-ROW())/100000)</f>
      </c>
    </row>
    <row r="173">
      <c r="A173" s="681">
        <f>IF(終値!A173="","",HYPERLINK("https://kabutan.jp/stock/?code="&amp;終値!A173,"📈"))</f>
      </c>
      <c r="B173" s="681">
        <f>IF(終値!A173="","",終値!A173)</f>
      </c>
      <c r="C173" s="680">
        <f>IF(終値!A173="","",終値!B173)</f>
      </c>
      <c r="D173" s="682">
        <f>IF(終値!A173="","",終値!E173)</f>
      </c>
      <c r="E173" s="682">
        <f>IF($D173="","",AVERAGE(終値!E173:X173))</f>
      </c>
      <c r="F173" s="683">
        <f>IF($D173="","",STDEVP(終値!E173:X173))</f>
      </c>
      <c r="G173" s="682">
        <f>IF($D173="","",$E173+BB設定!$B$4*$F173)</f>
      </c>
      <c r="H173" s="682">
        <f>IF($D173="","",$E173+BB設定!$B$5*$F173)</f>
      </c>
      <c r="I173" s="682">
        <f>IF($D173="","",$E173-BB設定!$B$5*$F173)</f>
      </c>
      <c r="J173" s="682">
        <f>IF($D173="","",$E173-BB設定!$B$4*$F173)</f>
      </c>
      <c r="K173" s="687">
        <f>IF($D173="","",IFERROR(($D173-$J173)/($G173-$J173),""))</f>
      </c>
      <c r="L173" s="686">
        <f>IF($D173="","",IFERROR(($G173-$J173)/$E173*100,""))</f>
      </c>
      <c r="M173" s="686">
        <f>IF($D173="","",IFERROR(MIN(BB_帯幅!B173:AP173)*100,""))</f>
      </c>
      <c r="N173" s="681">
        <f>IF($L173="","",IF($L173&lt;=$M173*BB設定!$B$7,"スクイーズ★",IF($L173&lt;=$M173*1.3,"収縮","－")))</f>
      </c>
      <c r="O173" s="681">
        <f>IF($D173="","",IF($L173&gt;(4*STDEVP(終値!F173:Y173)/AVERAGE(終値!F173:Y173)*100),"拡大↑","縮小↓"))</f>
      </c>
      <c r="P173" s="681">
        <f>IF($D173="","",IF($D173&gt;$G173,"↑+2σ突破",IF($D173&lt;$J173,"↓-2σ割れ",IF($D173&gt;$H173,"+1σ上",IF($D173&lt;$I173,"-1σ下","バンド内")))))</f>
      </c>
      <c r="Q173" s="684">
        <f>IF($D173="","",IFERROR(100-100/(1+SUMPRODUCT((終値!E173:R173&gt;終値!F173:S173)*(終値!E173:R173-終値!F173:S173))/SUMPRODUCT((終値!E173:R173&lt;終値!F173:S173)*(終値!F173:S173-終値!E173:R173))),100))</f>
      </c>
      <c r="R173" s="684">
        <f>IF($D173="","",IFERROR(100-100/(1+SUMPRODUCT((((高値!E173:R173+安値!E173:R173+終値!E173:R173)/3)&gt;((高値!F173:S173+安値!F173:S173+終値!F173:S173)/3))*((高値!E173:R173+安値!E173:R173+終値!E173:R173)/3)*出来高!E173:R173)/SUMPRODUCT((((高値!E173:R173+安値!E173:R173+終値!E173:R173)/3)&lt;((高値!F173:S173+安値!F173:S173+終値!F173:S173)/3))*((高値!E173:R173+安値!E173:R173+終値!E173:R173)/3)*出来高!E173:R173)),50))</f>
      </c>
      <c r="S173" s="681">
        <f>IF($D173="","",IF(AND(終値!E173&lt;終値!O173,$Q173&gt;(IFERROR(100-100/(1+SUMPRODUCT((終値!O173:AB173&gt;終値!P173:AC173)*(終値!O173:AB173-終値!P173:AC173))/SUMPRODUCT((終値!O173:AB173&lt;終値!P173:AC173)*(終値!P173:AC173-終値!O173:AB173))),100))),"強気div▲",IF(AND(終値!E173&gt;終値!O173,$Q173&lt;(IFERROR(100-100/(1+SUMPRODUCT((終値!O173:AB173&gt;終値!P173:AC173)*(終値!O173:AB173-終値!P173:AC173))/SUMPRODUCT((終値!O173:AB173&lt;終値!P173:AC173)*(終値!P173:AC173-終値!O173:AB173))),100))),"弱気div▼","－")))</f>
      </c>
      <c r="T173" s="681">
        <f>IF($D173="","",IF($D173&gt;=$H173,"上walk▲",IF($D173&lt;=$I173,"下walk▼","－")))</f>
      </c>
      <c r="U173" s="681">
        <f>IF(終値!A173="","",BB_スイング!BT173)</f>
      </c>
      <c r="V173" s="689">
        <f>IF($D173="","",IFERROR(出来高!E173/AVERAGE(出来高!E173:I173),""))</f>
      </c>
      <c r="W173" s="690">
        <f>IF($D173="","",IF(AND($D173&gt;$G173,$O173="拡大↑",$L173&lt;=$M173*1.8),"◎スクイーズブレイク買",IF(AND($D173&gt;=$H173,$R173&gt;=BB設定!$B$10),"○順張り継続(walk)",IF(AND($S173="強気div▲",$D173&gt;$I173),"○反発(ダイバ)買",IF($U173="二番底W▲","△二番底買(確)",IF($U173="二番底W形成","△二番底形成",IF($D173&lt;$J173,"▼-2σ割れ危険",IF(AND($D173&gt;$E173,$K173&lt;0.6,$R173&gt;=50),"・押し目注目",IF($N173="スクイーズ★","☆スクイーズ監視","様子見")))))))))</f>
      </c>
      <c r="X173" s="685">
        <f>IF($D173="","",MIN(100,IF($L173&lt;=$M173*1.15,20,IF($L173&lt;=$M173*1.4,10,0))+IF($D173&gt;$G173,20,IF($D173&gt;$H173,12,IF($D173&gt;$E173,5,0)))+IF($O173="拡大↑",10,0)+IF($R173&gt;=80,15,IF($R173&gt;=60,10,IF($R173&gt;=50,5,0)))+IF(AND($Q173&gt;=50,$Q173&lt;=70),10,IF($Q173&gt;70,3,IF($Q173&gt;=40,5,0)))+IF($S173="強気div▲",15,0)+IF($T173="上walk▲",5,0)+IF($V173&gt;=2,5,IF($V173&gt;=1.5,3,0))))</f>
      </c>
      <c r="Y173" s="682">
        <f>IF($D173="","",$D173)</f>
      </c>
      <c r="Z173" s="682">
        <f>IF($D173="","",$H173)</f>
      </c>
      <c r="AA173" s="682">
        <f>IF($D173="","",IF($D173&gt;$E173,$E173,$AD173))</f>
      </c>
      <c r="AB173" s="682">
        <f>IF($D173="","",$G173)</f>
      </c>
      <c r="AC173" s="688">
        <f>IF($D173="","",IF(($Y173-$AA173)&lt;=0,"－",IFERROR(ROUND(MIN(20,($AB173-$Y173)/($Y173-$AA173)),2),"－")))</f>
      </c>
      <c r="AD173" s="682">
        <f>IF($D173="","",MIN(終値!E173:I173))</f>
      </c>
      <c r="AE173" s="684">
        <f>IF($D173="","",$X173+(10000-ROW())/100000)</f>
      </c>
    </row>
    <row r="174">
      <c r="A174" s="681">
        <f>IF(終値!A174="","",HYPERLINK("https://kabutan.jp/stock/?code="&amp;終値!A174,"📈"))</f>
      </c>
      <c r="B174" s="681">
        <f>IF(終値!A174="","",終値!A174)</f>
      </c>
      <c r="C174" s="680">
        <f>IF(終値!A174="","",終値!B174)</f>
      </c>
      <c r="D174" s="682">
        <f>IF(終値!A174="","",終値!E174)</f>
      </c>
      <c r="E174" s="682">
        <f>IF($D174="","",AVERAGE(終値!E174:X174))</f>
      </c>
      <c r="F174" s="683">
        <f>IF($D174="","",STDEVP(終値!E174:X174))</f>
      </c>
      <c r="G174" s="682">
        <f>IF($D174="","",$E174+BB設定!$B$4*$F174)</f>
      </c>
      <c r="H174" s="682">
        <f>IF($D174="","",$E174+BB設定!$B$5*$F174)</f>
      </c>
      <c r="I174" s="682">
        <f>IF($D174="","",$E174-BB設定!$B$5*$F174)</f>
      </c>
      <c r="J174" s="682">
        <f>IF($D174="","",$E174-BB設定!$B$4*$F174)</f>
      </c>
      <c r="K174" s="687">
        <f>IF($D174="","",IFERROR(($D174-$J174)/($G174-$J174),""))</f>
      </c>
      <c r="L174" s="686">
        <f>IF($D174="","",IFERROR(($G174-$J174)/$E174*100,""))</f>
      </c>
      <c r="M174" s="686">
        <f>IF($D174="","",IFERROR(MIN(BB_帯幅!B174:AP174)*100,""))</f>
      </c>
      <c r="N174" s="681">
        <f>IF($L174="","",IF($L174&lt;=$M174*BB設定!$B$7,"スクイーズ★",IF($L174&lt;=$M174*1.3,"収縮","－")))</f>
      </c>
      <c r="O174" s="681">
        <f>IF($D174="","",IF($L174&gt;(4*STDEVP(終値!F174:Y174)/AVERAGE(終値!F174:Y174)*100),"拡大↑","縮小↓"))</f>
      </c>
      <c r="P174" s="681">
        <f>IF($D174="","",IF($D174&gt;$G174,"↑+2σ突破",IF($D174&lt;$J174,"↓-2σ割れ",IF($D174&gt;$H174,"+1σ上",IF($D174&lt;$I174,"-1σ下","バンド内")))))</f>
      </c>
      <c r="Q174" s="684">
        <f>IF($D174="","",IFERROR(100-100/(1+SUMPRODUCT((終値!E174:R174&gt;終値!F174:S174)*(終値!E174:R174-終値!F174:S174))/SUMPRODUCT((終値!E174:R174&lt;終値!F174:S174)*(終値!F174:S174-終値!E174:R174))),100))</f>
      </c>
      <c r="R174" s="684">
        <f>IF($D174="","",IFERROR(100-100/(1+SUMPRODUCT((((高値!E174:R174+安値!E174:R174+終値!E174:R174)/3)&gt;((高値!F174:S174+安値!F174:S174+終値!F174:S174)/3))*((高値!E174:R174+安値!E174:R174+終値!E174:R174)/3)*出来高!E174:R174)/SUMPRODUCT((((高値!E174:R174+安値!E174:R174+終値!E174:R174)/3)&lt;((高値!F174:S174+安値!F174:S174+終値!F174:S174)/3))*((高値!E174:R174+安値!E174:R174+終値!E174:R174)/3)*出来高!E174:R174)),50))</f>
      </c>
      <c r="S174" s="681">
        <f>IF($D174="","",IF(AND(終値!E174&lt;終値!O174,$Q174&gt;(IFERROR(100-100/(1+SUMPRODUCT((終値!O174:AB174&gt;終値!P174:AC174)*(終値!O174:AB174-終値!P174:AC174))/SUMPRODUCT((終値!O174:AB174&lt;終値!P174:AC174)*(終値!P174:AC174-終値!O174:AB174))),100))),"強気div▲",IF(AND(終値!E174&gt;終値!O174,$Q174&lt;(IFERROR(100-100/(1+SUMPRODUCT((終値!O174:AB174&gt;終値!P174:AC174)*(終値!O174:AB174-終値!P174:AC174))/SUMPRODUCT((終値!O174:AB174&lt;終値!P174:AC174)*(終値!P174:AC174-終値!O174:AB174))),100))),"弱気div▼","－")))</f>
      </c>
      <c r="T174" s="681">
        <f>IF($D174="","",IF($D174&gt;=$H174,"上walk▲",IF($D174&lt;=$I174,"下walk▼","－")))</f>
      </c>
      <c r="U174" s="681">
        <f>IF(終値!A174="","",BB_スイング!BT174)</f>
      </c>
      <c r="V174" s="689">
        <f>IF($D174="","",IFERROR(出来高!E174/AVERAGE(出来高!E174:I174),""))</f>
      </c>
      <c r="W174" s="690">
        <f>IF($D174="","",IF(AND($D174&gt;$G174,$O174="拡大↑",$L174&lt;=$M174*1.8),"◎スクイーズブレイク買",IF(AND($D174&gt;=$H174,$R174&gt;=BB設定!$B$10),"○順張り継続(walk)",IF(AND($S174="強気div▲",$D174&gt;$I174),"○反発(ダイバ)買",IF($U174="二番底W▲","△二番底買(確)",IF($U174="二番底W形成","△二番底形成",IF($D174&lt;$J174,"▼-2σ割れ危険",IF(AND($D174&gt;$E174,$K174&lt;0.6,$R174&gt;=50),"・押し目注目",IF($N174="スクイーズ★","☆スクイーズ監視","様子見")))))))))</f>
      </c>
      <c r="X174" s="685">
        <f>IF($D174="","",MIN(100,IF($L174&lt;=$M174*1.15,20,IF($L174&lt;=$M174*1.4,10,0))+IF($D174&gt;$G174,20,IF($D174&gt;$H174,12,IF($D174&gt;$E174,5,0)))+IF($O174="拡大↑",10,0)+IF($R174&gt;=80,15,IF($R174&gt;=60,10,IF($R174&gt;=50,5,0)))+IF(AND($Q174&gt;=50,$Q174&lt;=70),10,IF($Q174&gt;70,3,IF($Q174&gt;=40,5,0)))+IF($S174="強気div▲",15,0)+IF($T174="上walk▲",5,0)+IF($V174&gt;=2,5,IF($V174&gt;=1.5,3,0))))</f>
      </c>
      <c r="Y174" s="682">
        <f>IF($D174="","",$D174)</f>
      </c>
      <c r="Z174" s="682">
        <f>IF($D174="","",$H174)</f>
      </c>
      <c r="AA174" s="682">
        <f>IF($D174="","",IF($D174&gt;$E174,$E174,$AD174))</f>
      </c>
      <c r="AB174" s="682">
        <f>IF($D174="","",$G174)</f>
      </c>
      <c r="AC174" s="688">
        <f>IF($D174="","",IF(($Y174-$AA174)&lt;=0,"－",IFERROR(ROUND(MIN(20,($AB174-$Y174)/($Y174-$AA174)),2),"－")))</f>
      </c>
      <c r="AD174" s="682">
        <f>IF($D174="","",MIN(終値!E174:I174))</f>
      </c>
      <c r="AE174" s="684">
        <f>IF($D174="","",$X174+(10000-ROW())/100000)</f>
      </c>
    </row>
    <row r="175">
      <c r="A175" s="681">
        <f>IF(終値!A175="","",HYPERLINK("https://kabutan.jp/stock/?code="&amp;終値!A175,"📈"))</f>
      </c>
      <c r="B175" s="681">
        <f>IF(終値!A175="","",終値!A175)</f>
      </c>
      <c r="C175" s="680">
        <f>IF(終値!A175="","",終値!B175)</f>
      </c>
      <c r="D175" s="682">
        <f>IF(終値!A175="","",終値!E175)</f>
      </c>
      <c r="E175" s="682">
        <f>IF($D175="","",AVERAGE(終値!E175:X175))</f>
      </c>
      <c r="F175" s="683">
        <f>IF($D175="","",STDEVP(終値!E175:X175))</f>
      </c>
      <c r="G175" s="682">
        <f>IF($D175="","",$E175+BB設定!$B$4*$F175)</f>
      </c>
      <c r="H175" s="682">
        <f>IF($D175="","",$E175+BB設定!$B$5*$F175)</f>
      </c>
      <c r="I175" s="682">
        <f>IF($D175="","",$E175-BB設定!$B$5*$F175)</f>
      </c>
      <c r="J175" s="682">
        <f>IF($D175="","",$E175-BB設定!$B$4*$F175)</f>
      </c>
      <c r="K175" s="687">
        <f>IF($D175="","",IFERROR(($D175-$J175)/($G175-$J175),""))</f>
      </c>
      <c r="L175" s="686">
        <f>IF($D175="","",IFERROR(($G175-$J175)/$E175*100,""))</f>
      </c>
      <c r="M175" s="686">
        <f>IF($D175="","",IFERROR(MIN(BB_帯幅!B175:AP175)*100,""))</f>
      </c>
      <c r="N175" s="681">
        <f>IF($L175="","",IF($L175&lt;=$M175*BB設定!$B$7,"スクイーズ★",IF($L175&lt;=$M175*1.3,"収縮","－")))</f>
      </c>
      <c r="O175" s="681">
        <f>IF($D175="","",IF($L175&gt;(4*STDEVP(終値!F175:Y175)/AVERAGE(終値!F175:Y175)*100),"拡大↑","縮小↓"))</f>
      </c>
      <c r="P175" s="681">
        <f>IF($D175="","",IF($D175&gt;$G175,"↑+2σ突破",IF($D175&lt;$J175,"↓-2σ割れ",IF($D175&gt;$H175,"+1σ上",IF($D175&lt;$I175,"-1σ下","バンド内")))))</f>
      </c>
      <c r="Q175" s="684">
        <f>IF($D175="","",IFERROR(100-100/(1+SUMPRODUCT((終値!E175:R175&gt;終値!F175:S175)*(終値!E175:R175-終値!F175:S175))/SUMPRODUCT((終値!E175:R175&lt;終値!F175:S175)*(終値!F175:S175-終値!E175:R175))),100))</f>
      </c>
      <c r="R175" s="684">
        <f>IF($D175="","",IFERROR(100-100/(1+SUMPRODUCT((((高値!E175:R175+安値!E175:R175+終値!E175:R175)/3)&gt;((高値!F175:S175+安値!F175:S175+終値!F175:S175)/3))*((高値!E175:R175+安値!E175:R175+終値!E175:R175)/3)*出来高!E175:R175)/SUMPRODUCT((((高値!E175:R175+安値!E175:R175+終値!E175:R175)/3)&lt;((高値!F175:S175+安値!F175:S175+終値!F175:S175)/3))*((高値!E175:R175+安値!E175:R175+終値!E175:R175)/3)*出来高!E175:R175)),50))</f>
      </c>
      <c r="S175" s="681">
        <f>IF($D175="","",IF(AND(終値!E175&lt;終値!O175,$Q175&gt;(IFERROR(100-100/(1+SUMPRODUCT((終値!O175:AB175&gt;終値!P175:AC175)*(終値!O175:AB175-終値!P175:AC175))/SUMPRODUCT((終値!O175:AB175&lt;終値!P175:AC175)*(終値!P175:AC175-終値!O175:AB175))),100))),"強気div▲",IF(AND(終値!E175&gt;終値!O175,$Q175&lt;(IFERROR(100-100/(1+SUMPRODUCT((終値!O175:AB175&gt;終値!P175:AC175)*(終値!O175:AB175-終値!P175:AC175))/SUMPRODUCT((終値!O175:AB175&lt;終値!P175:AC175)*(終値!P175:AC175-終値!O175:AB175))),100))),"弱気div▼","－")))</f>
      </c>
      <c r="T175" s="681">
        <f>IF($D175="","",IF($D175&gt;=$H175,"上walk▲",IF($D175&lt;=$I175,"下walk▼","－")))</f>
      </c>
      <c r="U175" s="681">
        <f>IF(終値!A175="","",BB_スイング!BT175)</f>
      </c>
      <c r="V175" s="689">
        <f>IF($D175="","",IFERROR(出来高!E175/AVERAGE(出来高!E175:I175),""))</f>
      </c>
      <c r="W175" s="690">
        <f>IF($D175="","",IF(AND($D175&gt;$G175,$O175="拡大↑",$L175&lt;=$M175*1.8),"◎スクイーズブレイク買",IF(AND($D175&gt;=$H175,$R175&gt;=BB設定!$B$10),"○順張り継続(walk)",IF(AND($S175="強気div▲",$D175&gt;$I175),"○反発(ダイバ)買",IF($U175="二番底W▲","△二番底買(確)",IF($U175="二番底W形成","△二番底形成",IF($D175&lt;$J175,"▼-2σ割れ危険",IF(AND($D175&gt;$E175,$K175&lt;0.6,$R175&gt;=50),"・押し目注目",IF($N175="スクイーズ★","☆スクイーズ監視","様子見")))))))))</f>
      </c>
      <c r="X175" s="685">
        <f>IF($D175="","",MIN(100,IF($L175&lt;=$M175*1.15,20,IF($L175&lt;=$M175*1.4,10,0))+IF($D175&gt;$G175,20,IF($D175&gt;$H175,12,IF($D175&gt;$E175,5,0)))+IF($O175="拡大↑",10,0)+IF($R175&gt;=80,15,IF($R175&gt;=60,10,IF($R175&gt;=50,5,0)))+IF(AND($Q175&gt;=50,$Q175&lt;=70),10,IF($Q175&gt;70,3,IF($Q175&gt;=40,5,0)))+IF($S175="強気div▲",15,0)+IF($T175="上walk▲",5,0)+IF($V175&gt;=2,5,IF($V175&gt;=1.5,3,0))))</f>
      </c>
      <c r="Y175" s="682">
        <f>IF($D175="","",$D175)</f>
      </c>
      <c r="Z175" s="682">
        <f>IF($D175="","",$H175)</f>
      </c>
      <c r="AA175" s="682">
        <f>IF($D175="","",IF($D175&gt;$E175,$E175,$AD175))</f>
      </c>
      <c r="AB175" s="682">
        <f>IF($D175="","",$G175)</f>
      </c>
      <c r="AC175" s="688">
        <f>IF($D175="","",IF(($Y175-$AA175)&lt;=0,"－",IFERROR(ROUND(MIN(20,($AB175-$Y175)/($Y175-$AA175)),2),"－")))</f>
      </c>
      <c r="AD175" s="682">
        <f>IF($D175="","",MIN(終値!E175:I175))</f>
      </c>
      <c r="AE175" s="684">
        <f>IF($D175="","",$X175+(10000-ROW())/100000)</f>
      </c>
    </row>
    <row r="176">
      <c r="A176" s="681">
        <f>IF(終値!A176="","",HYPERLINK("https://kabutan.jp/stock/?code="&amp;終値!A176,"📈"))</f>
      </c>
      <c r="B176" s="681">
        <f>IF(終値!A176="","",終値!A176)</f>
      </c>
      <c r="C176" s="680">
        <f>IF(終値!A176="","",終値!B176)</f>
      </c>
      <c r="D176" s="682">
        <f>IF(終値!A176="","",終値!E176)</f>
      </c>
      <c r="E176" s="682">
        <f>IF($D176="","",AVERAGE(終値!E176:X176))</f>
      </c>
      <c r="F176" s="683">
        <f>IF($D176="","",STDEVP(終値!E176:X176))</f>
      </c>
      <c r="G176" s="682">
        <f>IF($D176="","",$E176+BB設定!$B$4*$F176)</f>
      </c>
      <c r="H176" s="682">
        <f>IF($D176="","",$E176+BB設定!$B$5*$F176)</f>
      </c>
      <c r="I176" s="682">
        <f>IF($D176="","",$E176-BB設定!$B$5*$F176)</f>
      </c>
      <c r="J176" s="682">
        <f>IF($D176="","",$E176-BB設定!$B$4*$F176)</f>
      </c>
      <c r="K176" s="687">
        <f>IF($D176="","",IFERROR(($D176-$J176)/($G176-$J176),""))</f>
      </c>
      <c r="L176" s="686">
        <f>IF($D176="","",IFERROR(($G176-$J176)/$E176*100,""))</f>
      </c>
      <c r="M176" s="686">
        <f>IF($D176="","",IFERROR(MIN(BB_帯幅!B176:AP176)*100,""))</f>
      </c>
      <c r="N176" s="681">
        <f>IF($L176="","",IF($L176&lt;=$M176*BB設定!$B$7,"スクイーズ★",IF($L176&lt;=$M176*1.3,"収縮","－")))</f>
      </c>
      <c r="O176" s="681">
        <f>IF($D176="","",IF($L176&gt;(4*STDEVP(終値!F176:Y176)/AVERAGE(終値!F176:Y176)*100),"拡大↑","縮小↓"))</f>
      </c>
      <c r="P176" s="681">
        <f>IF($D176="","",IF($D176&gt;$G176,"↑+2σ突破",IF($D176&lt;$J176,"↓-2σ割れ",IF($D176&gt;$H176,"+1σ上",IF($D176&lt;$I176,"-1σ下","バンド内")))))</f>
      </c>
      <c r="Q176" s="684">
        <f>IF($D176="","",IFERROR(100-100/(1+SUMPRODUCT((終値!E176:R176&gt;終値!F176:S176)*(終値!E176:R176-終値!F176:S176))/SUMPRODUCT((終値!E176:R176&lt;終値!F176:S176)*(終値!F176:S176-終値!E176:R176))),100))</f>
      </c>
      <c r="R176" s="684">
        <f>IF($D176="","",IFERROR(100-100/(1+SUMPRODUCT((((高値!E176:R176+安値!E176:R176+終値!E176:R176)/3)&gt;((高値!F176:S176+安値!F176:S176+終値!F176:S176)/3))*((高値!E176:R176+安値!E176:R176+終値!E176:R176)/3)*出来高!E176:R176)/SUMPRODUCT((((高値!E176:R176+安値!E176:R176+終値!E176:R176)/3)&lt;((高値!F176:S176+安値!F176:S176+終値!F176:S176)/3))*((高値!E176:R176+安値!E176:R176+終値!E176:R176)/3)*出来高!E176:R176)),50))</f>
      </c>
      <c r="S176" s="681">
        <f>IF($D176="","",IF(AND(終値!E176&lt;終値!O176,$Q176&gt;(IFERROR(100-100/(1+SUMPRODUCT((終値!O176:AB176&gt;終値!P176:AC176)*(終値!O176:AB176-終値!P176:AC176))/SUMPRODUCT((終値!O176:AB176&lt;終値!P176:AC176)*(終値!P176:AC176-終値!O176:AB176))),100))),"強気div▲",IF(AND(終値!E176&gt;終値!O176,$Q176&lt;(IFERROR(100-100/(1+SUMPRODUCT((終値!O176:AB176&gt;終値!P176:AC176)*(終値!O176:AB176-終値!P176:AC176))/SUMPRODUCT((終値!O176:AB176&lt;終値!P176:AC176)*(終値!P176:AC176-終値!O176:AB176))),100))),"弱気div▼","－")))</f>
      </c>
      <c r="T176" s="681">
        <f>IF($D176="","",IF($D176&gt;=$H176,"上walk▲",IF($D176&lt;=$I176,"下walk▼","－")))</f>
      </c>
      <c r="U176" s="681">
        <f>IF(終値!A176="","",BB_スイング!BT176)</f>
      </c>
      <c r="V176" s="689">
        <f>IF($D176="","",IFERROR(出来高!E176/AVERAGE(出来高!E176:I176),""))</f>
      </c>
      <c r="W176" s="690">
        <f>IF($D176="","",IF(AND($D176&gt;$G176,$O176="拡大↑",$L176&lt;=$M176*1.8),"◎スクイーズブレイク買",IF(AND($D176&gt;=$H176,$R176&gt;=BB設定!$B$10),"○順張り継続(walk)",IF(AND($S176="強気div▲",$D176&gt;$I176),"○反発(ダイバ)買",IF($U176="二番底W▲","△二番底買(確)",IF($U176="二番底W形成","△二番底形成",IF($D176&lt;$J176,"▼-2σ割れ危険",IF(AND($D176&gt;$E176,$K176&lt;0.6,$R176&gt;=50),"・押し目注目",IF($N176="スクイーズ★","☆スクイーズ監視","様子見")))))))))</f>
      </c>
      <c r="X176" s="685">
        <f>IF($D176="","",MIN(100,IF($L176&lt;=$M176*1.15,20,IF($L176&lt;=$M176*1.4,10,0))+IF($D176&gt;$G176,20,IF($D176&gt;$H176,12,IF($D176&gt;$E176,5,0)))+IF($O176="拡大↑",10,0)+IF($R176&gt;=80,15,IF($R176&gt;=60,10,IF($R176&gt;=50,5,0)))+IF(AND($Q176&gt;=50,$Q176&lt;=70),10,IF($Q176&gt;70,3,IF($Q176&gt;=40,5,0)))+IF($S176="強気div▲",15,0)+IF($T176="上walk▲",5,0)+IF($V176&gt;=2,5,IF($V176&gt;=1.5,3,0))))</f>
      </c>
      <c r="Y176" s="682">
        <f>IF($D176="","",$D176)</f>
      </c>
      <c r="Z176" s="682">
        <f>IF($D176="","",$H176)</f>
      </c>
      <c r="AA176" s="682">
        <f>IF($D176="","",IF($D176&gt;$E176,$E176,$AD176))</f>
      </c>
      <c r="AB176" s="682">
        <f>IF($D176="","",$G176)</f>
      </c>
      <c r="AC176" s="688">
        <f>IF($D176="","",IF(($Y176-$AA176)&lt;=0,"－",IFERROR(ROUND(MIN(20,($AB176-$Y176)/($Y176-$AA176)),2),"－")))</f>
      </c>
      <c r="AD176" s="682">
        <f>IF($D176="","",MIN(終値!E176:I176))</f>
      </c>
      <c r="AE176" s="684">
        <f>IF($D176="","",$X176+(10000-ROW())/100000)</f>
      </c>
    </row>
    <row r="177">
      <c r="A177" s="681">
        <f>IF(終値!A177="","",HYPERLINK("https://kabutan.jp/stock/?code="&amp;終値!A177,"📈"))</f>
      </c>
      <c r="B177" s="681">
        <f>IF(終値!A177="","",終値!A177)</f>
      </c>
      <c r="C177" s="680">
        <f>IF(終値!A177="","",終値!B177)</f>
      </c>
      <c r="D177" s="682">
        <f>IF(終値!A177="","",終値!E177)</f>
      </c>
      <c r="E177" s="682">
        <f>IF($D177="","",AVERAGE(終値!E177:X177))</f>
      </c>
      <c r="F177" s="683">
        <f>IF($D177="","",STDEVP(終値!E177:X177))</f>
      </c>
      <c r="G177" s="682">
        <f>IF($D177="","",$E177+BB設定!$B$4*$F177)</f>
      </c>
      <c r="H177" s="682">
        <f>IF($D177="","",$E177+BB設定!$B$5*$F177)</f>
      </c>
      <c r="I177" s="682">
        <f>IF($D177="","",$E177-BB設定!$B$5*$F177)</f>
      </c>
      <c r="J177" s="682">
        <f>IF($D177="","",$E177-BB設定!$B$4*$F177)</f>
      </c>
      <c r="K177" s="687">
        <f>IF($D177="","",IFERROR(($D177-$J177)/($G177-$J177),""))</f>
      </c>
      <c r="L177" s="686">
        <f>IF($D177="","",IFERROR(($G177-$J177)/$E177*100,""))</f>
      </c>
      <c r="M177" s="686">
        <f>IF($D177="","",IFERROR(MIN(BB_帯幅!B177:AP177)*100,""))</f>
      </c>
      <c r="N177" s="681">
        <f>IF($L177="","",IF($L177&lt;=$M177*BB設定!$B$7,"スクイーズ★",IF($L177&lt;=$M177*1.3,"収縮","－")))</f>
      </c>
      <c r="O177" s="681">
        <f>IF($D177="","",IF($L177&gt;(4*STDEVP(終値!F177:Y177)/AVERAGE(終値!F177:Y177)*100),"拡大↑","縮小↓"))</f>
      </c>
      <c r="P177" s="681">
        <f>IF($D177="","",IF($D177&gt;$G177,"↑+2σ突破",IF($D177&lt;$J177,"↓-2σ割れ",IF($D177&gt;$H177,"+1σ上",IF($D177&lt;$I177,"-1σ下","バンド内")))))</f>
      </c>
      <c r="Q177" s="684">
        <f>IF($D177="","",IFERROR(100-100/(1+SUMPRODUCT((終値!E177:R177&gt;終値!F177:S177)*(終値!E177:R177-終値!F177:S177))/SUMPRODUCT((終値!E177:R177&lt;終値!F177:S177)*(終値!F177:S177-終値!E177:R177))),100))</f>
      </c>
      <c r="R177" s="684">
        <f>IF($D177="","",IFERROR(100-100/(1+SUMPRODUCT((((高値!E177:R177+安値!E177:R177+終値!E177:R177)/3)&gt;((高値!F177:S177+安値!F177:S177+終値!F177:S177)/3))*((高値!E177:R177+安値!E177:R177+終値!E177:R177)/3)*出来高!E177:R177)/SUMPRODUCT((((高値!E177:R177+安値!E177:R177+終値!E177:R177)/3)&lt;((高値!F177:S177+安値!F177:S177+終値!F177:S177)/3))*((高値!E177:R177+安値!E177:R177+終値!E177:R177)/3)*出来高!E177:R177)),50))</f>
      </c>
      <c r="S177" s="681">
        <f>IF($D177="","",IF(AND(終値!E177&lt;終値!O177,$Q177&gt;(IFERROR(100-100/(1+SUMPRODUCT((終値!O177:AB177&gt;終値!P177:AC177)*(終値!O177:AB177-終値!P177:AC177))/SUMPRODUCT((終値!O177:AB177&lt;終値!P177:AC177)*(終値!P177:AC177-終値!O177:AB177))),100))),"強気div▲",IF(AND(終値!E177&gt;終値!O177,$Q177&lt;(IFERROR(100-100/(1+SUMPRODUCT((終値!O177:AB177&gt;終値!P177:AC177)*(終値!O177:AB177-終値!P177:AC177))/SUMPRODUCT((終値!O177:AB177&lt;終値!P177:AC177)*(終値!P177:AC177-終値!O177:AB177))),100))),"弱気div▼","－")))</f>
      </c>
      <c r="T177" s="681">
        <f>IF($D177="","",IF($D177&gt;=$H177,"上walk▲",IF($D177&lt;=$I177,"下walk▼","－")))</f>
      </c>
      <c r="U177" s="681">
        <f>IF(終値!A177="","",BB_スイング!BT177)</f>
      </c>
      <c r="V177" s="689">
        <f>IF($D177="","",IFERROR(出来高!E177/AVERAGE(出来高!E177:I177),""))</f>
      </c>
      <c r="W177" s="690">
        <f>IF($D177="","",IF(AND($D177&gt;$G177,$O177="拡大↑",$L177&lt;=$M177*1.8),"◎スクイーズブレイク買",IF(AND($D177&gt;=$H177,$R177&gt;=BB設定!$B$10),"○順張り継続(walk)",IF(AND($S177="強気div▲",$D177&gt;$I177),"○反発(ダイバ)買",IF($U177="二番底W▲","△二番底買(確)",IF($U177="二番底W形成","△二番底形成",IF($D177&lt;$J177,"▼-2σ割れ危険",IF(AND($D177&gt;$E177,$K177&lt;0.6,$R177&gt;=50),"・押し目注目",IF($N177="スクイーズ★","☆スクイーズ監視","様子見")))))))))</f>
      </c>
      <c r="X177" s="685">
        <f>IF($D177="","",MIN(100,IF($L177&lt;=$M177*1.15,20,IF($L177&lt;=$M177*1.4,10,0))+IF($D177&gt;$G177,20,IF($D177&gt;$H177,12,IF($D177&gt;$E177,5,0)))+IF($O177="拡大↑",10,0)+IF($R177&gt;=80,15,IF($R177&gt;=60,10,IF($R177&gt;=50,5,0)))+IF(AND($Q177&gt;=50,$Q177&lt;=70),10,IF($Q177&gt;70,3,IF($Q177&gt;=40,5,0)))+IF($S177="強気div▲",15,0)+IF($T177="上walk▲",5,0)+IF($V177&gt;=2,5,IF($V177&gt;=1.5,3,0))))</f>
      </c>
      <c r="Y177" s="682">
        <f>IF($D177="","",$D177)</f>
      </c>
      <c r="Z177" s="682">
        <f>IF($D177="","",$H177)</f>
      </c>
      <c r="AA177" s="682">
        <f>IF($D177="","",IF($D177&gt;$E177,$E177,$AD177))</f>
      </c>
      <c r="AB177" s="682">
        <f>IF($D177="","",$G177)</f>
      </c>
      <c r="AC177" s="688">
        <f>IF($D177="","",IF(($Y177-$AA177)&lt;=0,"－",IFERROR(ROUND(MIN(20,($AB177-$Y177)/($Y177-$AA177)),2),"－")))</f>
      </c>
      <c r="AD177" s="682">
        <f>IF($D177="","",MIN(終値!E177:I177))</f>
      </c>
      <c r="AE177" s="684">
        <f>IF($D177="","",$X177+(10000-ROW())/100000)</f>
      </c>
    </row>
    <row r="178">
      <c r="A178" s="681">
        <f>IF(終値!A178="","",HYPERLINK("https://kabutan.jp/stock/?code="&amp;終値!A178,"📈"))</f>
      </c>
      <c r="B178" s="681">
        <f>IF(終値!A178="","",終値!A178)</f>
      </c>
      <c r="C178" s="680">
        <f>IF(終値!A178="","",終値!B178)</f>
      </c>
      <c r="D178" s="682">
        <f>IF(終値!A178="","",終値!E178)</f>
      </c>
      <c r="E178" s="682">
        <f>IF($D178="","",AVERAGE(終値!E178:X178))</f>
      </c>
      <c r="F178" s="683">
        <f>IF($D178="","",STDEVP(終値!E178:X178))</f>
      </c>
      <c r="G178" s="682">
        <f>IF($D178="","",$E178+BB設定!$B$4*$F178)</f>
      </c>
      <c r="H178" s="682">
        <f>IF($D178="","",$E178+BB設定!$B$5*$F178)</f>
      </c>
      <c r="I178" s="682">
        <f>IF($D178="","",$E178-BB設定!$B$5*$F178)</f>
      </c>
      <c r="J178" s="682">
        <f>IF($D178="","",$E178-BB設定!$B$4*$F178)</f>
      </c>
      <c r="K178" s="687">
        <f>IF($D178="","",IFERROR(($D178-$J178)/($G178-$J178),""))</f>
      </c>
      <c r="L178" s="686">
        <f>IF($D178="","",IFERROR(($G178-$J178)/$E178*100,""))</f>
      </c>
      <c r="M178" s="686">
        <f>IF($D178="","",IFERROR(MIN(BB_帯幅!B178:AP178)*100,""))</f>
      </c>
      <c r="N178" s="681">
        <f>IF($L178="","",IF($L178&lt;=$M178*BB設定!$B$7,"スクイーズ★",IF($L178&lt;=$M178*1.3,"収縮","－")))</f>
      </c>
      <c r="O178" s="681">
        <f>IF($D178="","",IF($L178&gt;(4*STDEVP(終値!F178:Y178)/AVERAGE(終値!F178:Y178)*100),"拡大↑","縮小↓"))</f>
      </c>
      <c r="P178" s="681">
        <f>IF($D178="","",IF($D178&gt;$G178,"↑+2σ突破",IF($D178&lt;$J178,"↓-2σ割れ",IF($D178&gt;$H178,"+1σ上",IF($D178&lt;$I178,"-1σ下","バンド内")))))</f>
      </c>
      <c r="Q178" s="684">
        <f>IF($D178="","",IFERROR(100-100/(1+SUMPRODUCT((終値!E178:R178&gt;終値!F178:S178)*(終値!E178:R178-終値!F178:S178))/SUMPRODUCT((終値!E178:R178&lt;終値!F178:S178)*(終値!F178:S178-終値!E178:R178))),100))</f>
      </c>
      <c r="R178" s="684">
        <f>IF($D178="","",IFERROR(100-100/(1+SUMPRODUCT((((高値!E178:R178+安値!E178:R178+終値!E178:R178)/3)&gt;((高値!F178:S178+安値!F178:S178+終値!F178:S178)/3))*((高値!E178:R178+安値!E178:R178+終値!E178:R178)/3)*出来高!E178:R178)/SUMPRODUCT((((高値!E178:R178+安値!E178:R178+終値!E178:R178)/3)&lt;((高値!F178:S178+安値!F178:S178+終値!F178:S178)/3))*((高値!E178:R178+安値!E178:R178+終値!E178:R178)/3)*出来高!E178:R178)),50))</f>
      </c>
      <c r="S178" s="681">
        <f>IF($D178="","",IF(AND(終値!E178&lt;終値!O178,$Q178&gt;(IFERROR(100-100/(1+SUMPRODUCT((終値!O178:AB178&gt;終値!P178:AC178)*(終値!O178:AB178-終値!P178:AC178))/SUMPRODUCT((終値!O178:AB178&lt;終値!P178:AC178)*(終値!P178:AC178-終値!O178:AB178))),100))),"強気div▲",IF(AND(終値!E178&gt;終値!O178,$Q178&lt;(IFERROR(100-100/(1+SUMPRODUCT((終値!O178:AB178&gt;終値!P178:AC178)*(終値!O178:AB178-終値!P178:AC178))/SUMPRODUCT((終値!O178:AB178&lt;終値!P178:AC178)*(終値!P178:AC178-終値!O178:AB178))),100))),"弱気div▼","－")))</f>
      </c>
      <c r="T178" s="681">
        <f>IF($D178="","",IF($D178&gt;=$H178,"上walk▲",IF($D178&lt;=$I178,"下walk▼","－")))</f>
      </c>
      <c r="U178" s="681">
        <f>IF(終値!A178="","",BB_スイング!BT178)</f>
      </c>
      <c r="V178" s="689">
        <f>IF($D178="","",IFERROR(出来高!E178/AVERAGE(出来高!E178:I178),""))</f>
      </c>
      <c r="W178" s="690">
        <f>IF($D178="","",IF(AND($D178&gt;$G178,$O178="拡大↑",$L178&lt;=$M178*1.8),"◎スクイーズブレイク買",IF(AND($D178&gt;=$H178,$R178&gt;=BB設定!$B$10),"○順張り継続(walk)",IF(AND($S178="強気div▲",$D178&gt;$I178),"○反発(ダイバ)買",IF($U178="二番底W▲","△二番底買(確)",IF($U178="二番底W形成","△二番底形成",IF($D178&lt;$J178,"▼-2σ割れ危険",IF(AND($D178&gt;$E178,$K178&lt;0.6,$R178&gt;=50),"・押し目注目",IF($N178="スクイーズ★","☆スクイーズ監視","様子見")))))))))</f>
      </c>
      <c r="X178" s="685">
        <f>IF($D178="","",MIN(100,IF($L178&lt;=$M178*1.15,20,IF($L178&lt;=$M178*1.4,10,0))+IF($D178&gt;$G178,20,IF($D178&gt;$H178,12,IF($D178&gt;$E178,5,0)))+IF($O178="拡大↑",10,0)+IF($R178&gt;=80,15,IF($R178&gt;=60,10,IF($R178&gt;=50,5,0)))+IF(AND($Q178&gt;=50,$Q178&lt;=70),10,IF($Q178&gt;70,3,IF($Q178&gt;=40,5,0)))+IF($S178="強気div▲",15,0)+IF($T178="上walk▲",5,0)+IF($V178&gt;=2,5,IF($V178&gt;=1.5,3,0))))</f>
      </c>
      <c r="Y178" s="682">
        <f>IF($D178="","",$D178)</f>
      </c>
      <c r="Z178" s="682">
        <f>IF($D178="","",$H178)</f>
      </c>
      <c r="AA178" s="682">
        <f>IF($D178="","",IF($D178&gt;$E178,$E178,$AD178))</f>
      </c>
      <c r="AB178" s="682">
        <f>IF($D178="","",$G178)</f>
      </c>
      <c r="AC178" s="688">
        <f>IF($D178="","",IF(($Y178-$AA178)&lt;=0,"－",IFERROR(ROUND(MIN(20,($AB178-$Y178)/($Y178-$AA178)),2),"－")))</f>
      </c>
      <c r="AD178" s="682">
        <f>IF($D178="","",MIN(終値!E178:I178))</f>
      </c>
      <c r="AE178" s="684">
        <f>IF($D178="","",$X178+(10000-ROW())/100000)</f>
      </c>
    </row>
    <row r="179">
      <c r="A179" s="681">
        <f>IF(終値!A179="","",HYPERLINK("https://kabutan.jp/stock/?code="&amp;終値!A179,"📈"))</f>
      </c>
      <c r="B179" s="681">
        <f>IF(終値!A179="","",終値!A179)</f>
      </c>
      <c r="C179" s="680">
        <f>IF(終値!A179="","",終値!B179)</f>
      </c>
      <c r="D179" s="682">
        <f>IF(終値!A179="","",終値!E179)</f>
      </c>
      <c r="E179" s="682">
        <f>IF($D179="","",AVERAGE(終値!E179:X179))</f>
      </c>
      <c r="F179" s="683">
        <f>IF($D179="","",STDEVP(終値!E179:X179))</f>
      </c>
      <c r="G179" s="682">
        <f>IF($D179="","",$E179+BB設定!$B$4*$F179)</f>
      </c>
      <c r="H179" s="682">
        <f>IF($D179="","",$E179+BB設定!$B$5*$F179)</f>
      </c>
      <c r="I179" s="682">
        <f>IF($D179="","",$E179-BB設定!$B$5*$F179)</f>
      </c>
      <c r="J179" s="682">
        <f>IF($D179="","",$E179-BB設定!$B$4*$F179)</f>
      </c>
      <c r="K179" s="687">
        <f>IF($D179="","",IFERROR(($D179-$J179)/($G179-$J179),""))</f>
      </c>
      <c r="L179" s="686">
        <f>IF($D179="","",IFERROR(($G179-$J179)/$E179*100,""))</f>
      </c>
      <c r="M179" s="686">
        <f>IF($D179="","",IFERROR(MIN(BB_帯幅!B179:AP179)*100,""))</f>
      </c>
      <c r="N179" s="681">
        <f>IF($L179="","",IF($L179&lt;=$M179*BB設定!$B$7,"スクイーズ★",IF($L179&lt;=$M179*1.3,"収縮","－")))</f>
      </c>
      <c r="O179" s="681">
        <f>IF($D179="","",IF($L179&gt;(4*STDEVP(終値!F179:Y179)/AVERAGE(終値!F179:Y179)*100),"拡大↑","縮小↓"))</f>
      </c>
      <c r="P179" s="681">
        <f>IF($D179="","",IF($D179&gt;$G179,"↑+2σ突破",IF($D179&lt;$J179,"↓-2σ割れ",IF($D179&gt;$H179,"+1σ上",IF($D179&lt;$I179,"-1σ下","バンド内")))))</f>
      </c>
      <c r="Q179" s="684">
        <f>IF($D179="","",IFERROR(100-100/(1+SUMPRODUCT((終値!E179:R179&gt;終値!F179:S179)*(終値!E179:R179-終値!F179:S179))/SUMPRODUCT((終値!E179:R179&lt;終値!F179:S179)*(終値!F179:S179-終値!E179:R179))),100))</f>
      </c>
      <c r="R179" s="684">
        <f>IF($D179="","",IFERROR(100-100/(1+SUMPRODUCT((((高値!E179:R179+安値!E179:R179+終値!E179:R179)/3)&gt;((高値!F179:S179+安値!F179:S179+終値!F179:S179)/3))*((高値!E179:R179+安値!E179:R179+終値!E179:R179)/3)*出来高!E179:R179)/SUMPRODUCT((((高値!E179:R179+安値!E179:R179+終値!E179:R179)/3)&lt;((高値!F179:S179+安値!F179:S179+終値!F179:S179)/3))*((高値!E179:R179+安値!E179:R179+終値!E179:R179)/3)*出来高!E179:R179)),50))</f>
      </c>
      <c r="S179" s="681">
        <f>IF($D179="","",IF(AND(終値!E179&lt;終値!O179,$Q179&gt;(IFERROR(100-100/(1+SUMPRODUCT((終値!O179:AB179&gt;終値!P179:AC179)*(終値!O179:AB179-終値!P179:AC179))/SUMPRODUCT((終値!O179:AB179&lt;終値!P179:AC179)*(終値!P179:AC179-終値!O179:AB179))),100))),"強気div▲",IF(AND(終値!E179&gt;終値!O179,$Q179&lt;(IFERROR(100-100/(1+SUMPRODUCT((終値!O179:AB179&gt;終値!P179:AC179)*(終値!O179:AB179-終値!P179:AC179))/SUMPRODUCT((終値!O179:AB179&lt;終値!P179:AC179)*(終値!P179:AC179-終値!O179:AB179))),100))),"弱気div▼","－")))</f>
      </c>
      <c r="T179" s="681">
        <f>IF($D179="","",IF($D179&gt;=$H179,"上walk▲",IF($D179&lt;=$I179,"下walk▼","－")))</f>
      </c>
      <c r="U179" s="681">
        <f>IF(終値!A179="","",BB_スイング!BT179)</f>
      </c>
      <c r="V179" s="689">
        <f>IF($D179="","",IFERROR(出来高!E179/AVERAGE(出来高!E179:I179),""))</f>
      </c>
      <c r="W179" s="690">
        <f>IF($D179="","",IF(AND($D179&gt;$G179,$O179="拡大↑",$L179&lt;=$M179*1.8),"◎スクイーズブレイク買",IF(AND($D179&gt;=$H179,$R179&gt;=BB設定!$B$10),"○順張り継続(walk)",IF(AND($S179="強気div▲",$D179&gt;$I179),"○反発(ダイバ)買",IF($U179="二番底W▲","△二番底買(確)",IF($U179="二番底W形成","△二番底形成",IF($D179&lt;$J179,"▼-2σ割れ危険",IF(AND($D179&gt;$E179,$K179&lt;0.6,$R179&gt;=50),"・押し目注目",IF($N179="スクイーズ★","☆スクイーズ監視","様子見")))))))))</f>
      </c>
      <c r="X179" s="685">
        <f>IF($D179="","",MIN(100,IF($L179&lt;=$M179*1.15,20,IF($L179&lt;=$M179*1.4,10,0))+IF($D179&gt;$G179,20,IF($D179&gt;$H179,12,IF($D179&gt;$E179,5,0)))+IF($O179="拡大↑",10,0)+IF($R179&gt;=80,15,IF($R179&gt;=60,10,IF($R179&gt;=50,5,0)))+IF(AND($Q179&gt;=50,$Q179&lt;=70),10,IF($Q179&gt;70,3,IF($Q179&gt;=40,5,0)))+IF($S179="強気div▲",15,0)+IF($T179="上walk▲",5,0)+IF($V179&gt;=2,5,IF($V179&gt;=1.5,3,0))))</f>
      </c>
      <c r="Y179" s="682">
        <f>IF($D179="","",$D179)</f>
      </c>
      <c r="Z179" s="682">
        <f>IF($D179="","",$H179)</f>
      </c>
      <c r="AA179" s="682">
        <f>IF($D179="","",IF($D179&gt;$E179,$E179,$AD179))</f>
      </c>
      <c r="AB179" s="682">
        <f>IF($D179="","",$G179)</f>
      </c>
      <c r="AC179" s="688">
        <f>IF($D179="","",IF(($Y179-$AA179)&lt;=0,"－",IFERROR(ROUND(MIN(20,($AB179-$Y179)/($Y179-$AA179)),2),"－")))</f>
      </c>
      <c r="AD179" s="682">
        <f>IF($D179="","",MIN(終値!E179:I179))</f>
      </c>
      <c r="AE179" s="684">
        <f>IF($D179="","",$X179+(10000-ROW())/100000)</f>
      </c>
    </row>
    <row r="180">
      <c r="A180" s="681">
        <f>IF(終値!A180="","",HYPERLINK("https://kabutan.jp/stock/?code="&amp;終値!A180,"📈"))</f>
      </c>
      <c r="B180" s="681">
        <f>IF(終値!A180="","",終値!A180)</f>
      </c>
      <c r="C180" s="680">
        <f>IF(終値!A180="","",終値!B180)</f>
      </c>
      <c r="D180" s="682">
        <f>IF(終値!A180="","",終値!E180)</f>
      </c>
      <c r="E180" s="682">
        <f>IF($D180="","",AVERAGE(終値!E180:X180))</f>
      </c>
      <c r="F180" s="683">
        <f>IF($D180="","",STDEVP(終値!E180:X180))</f>
      </c>
      <c r="G180" s="682">
        <f>IF($D180="","",$E180+BB設定!$B$4*$F180)</f>
      </c>
      <c r="H180" s="682">
        <f>IF($D180="","",$E180+BB設定!$B$5*$F180)</f>
      </c>
      <c r="I180" s="682">
        <f>IF($D180="","",$E180-BB設定!$B$5*$F180)</f>
      </c>
      <c r="J180" s="682">
        <f>IF($D180="","",$E180-BB設定!$B$4*$F180)</f>
      </c>
      <c r="K180" s="687">
        <f>IF($D180="","",IFERROR(($D180-$J180)/($G180-$J180),""))</f>
      </c>
      <c r="L180" s="686">
        <f>IF($D180="","",IFERROR(($G180-$J180)/$E180*100,""))</f>
      </c>
      <c r="M180" s="686">
        <f>IF($D180="","",IFERROR(MIN(BB_帯幅!B180:AP180)*100,""))</f>
      </c>
      <c r="N180" s="681">
        <f>IF($L180="","",IF($L180&lt;=$M180*BB設定!$B$7,"スクイーズ★",IF($L180&lt;=$M180*1.3,"収縮","－")))</f>
      </c>
      <c r="O180" s="681">
        <f>IF($D180="","",IF($L180&gt;(4*STDEVP(終値!F180:Y180)/AVERAGE(終値!F180:Y180)*100),"拡大↑","縮小↓"))</f>
      </c>
      <c r="P180" s="681">
        <f>IF($D180="","",IF($D180&gt;$G180,"↑+2σ突破",IF($D180&lt;$J180,"↓-2σ割れ",IF($D180&gt;$H180,"+1σ上",IF($D180&lt;$I180,"-1σ下","バンド内")))))</f>
      </c>
      <c r="Q180" s="684">
        <f>IF($D180="","",IFERROR(100-100/(1+SUMPRODUCT((終値!E180:R180&gt;終値!F180:S180)*(終値!E180:R180-終値!F180:S180))/SUMPRODUCT((終値!E180:R180&lt;終値!F180:S180)*(終値!F180:S180-終値!E180:R180))),100))</f>
      </c>
      <c r="R180" s="684">
        <f>IF($D180="","",IFERROR(100-100/(1+SUMPRODUCT((((高値!E180:R180+安値!E180:R180+終値!E180:R180)/3)&gt;((高値!F180:S180+安値!F180:S180+終値!F180:S180)/3))*((高値!E180:R180+安値!E180:R180+終値!E180:R180)/3)*出来高!E180:R180)/SUMPRODUCT((((高値!E180:R180+安値!E180:R180+終値!E180:R180)/3)&lt;((高値!F180:S180+安値!F180:S180+終値!F180:S180)/3))*((高値!E180:R180+安値!E180:R180+終値!E180:R180)/3)*出来高!E180:R180)),50))</f>
      </c>
      <c r="S180" s="681">
        <f>IF($D180="","",IF(AND(終値!E180&lt;終値!O180,$Q180&gt;(IFERROR(100-100/(1+SUMPRODUCT((終値!O180:AB180&gt;終値!P180:AC180)*(終値!O180:AB180-終値!P180:AC180))/SUMPRODUCT((終値!O180:AB180&lt;終値!P180:AC180)*(終値!P180:AC180-終値!O180:AB180))),100))),"強気div▲",IF(AND(終値!E180&gt;終値!O180,$Q180&lt;(IFERROR(100-100/(1+SUMPRODUCT((終値!O180:AB180&gt;終値!P180:AC180)*(終値!O180:AB180-終値!P180:AC180))/SUMPRODUCT((終値!O180:AB180&lt;終値!P180:AC180)*(終値!P180:AC180-終値!O180:AB180))),100))),"弱気div▼","－")))</f>
      </c>
      <c r="T180" s="681">
        <f>IF($D180="","",IF($D180&gt;=$H180,"上walk▲",IF($D180&lt;=$I180,"下walk▼","－")))</f>
      </c>
      <c r="U180" s="681">
        <f>IF(終値!A180="","",BB_スイング!BT180)</f>
      </c>
      <c r="V180" s="689">
        <f>IF($D180="","",IFERROR(出来高!E180/AVERAGE(出来高!E180:I180),""))</f>
      </c>
      <c r="W180" s="690">
        <f>IF($D180="","",IF(AND($D180&gt;$G180,$O180="拡大↑",$L180&lt;=$M180*1.8),"◎スクイーズブレイク買",IF(AND($D180&gt;=$H180,$R180&gt;=BB設定!$B$10),"○順張り継続(walk)",IF(AND($S180="強気div▲",$D180&gt;$I180),"○反発(ダイバ)買",IF($U180="二番底W▲","△二番底買(確)",IF($U180="二番底W形成","△二番底形成",IF($D180&lt;$J180,"▼-2σ割れ危険",IF(AND($D180&gt;$E180,$K180&lt;0.6,$R180&gt;=50),"・押し目注目",IF($N180="スクイーズ★","☆スクイーズ監視","様子見")))))))))</f>
      </c>
      <c r="X180" s="685">
        <f>IF($D180="","",MIN(100,IF($L180&lt;=$M180*1.15,20,IF($L180&lt;=$M180*1.4,10,0))+IF($D180&gt;$G180,20,IF($D180&gt;$H180,12,IF($D180&gt;$E180,5,0)))+IF($O180="拡大↑",10,0)+IF($R180&gt;=80,15,IF($R180&gt;=60,10,IF($R180&gt;=50,5,0)))+IF(AND($Q180&gt;=50,$Q180&lt;=70),10,IF($Q180&gt;70,3,IF($Q180&gt;=40,5,0)))+IF($S180="強気div▲",15,0)+IF($T180="上walk▲",5,0)+IF($V180&gt;=2,5,IF($V180&gt;=1.5,3,0))))</f>
      </c>
      <c r="Y180" s="682">
        <f>IF($D180="","",$D180)</f>
      </c>
      <c r="Z180" s="682">
        <f>IF($D180="","",$H180)</f>
      </c>
      <c r="AA180" s="682">
        <f>IF($D180="","",IF($D180&gt;$E180,$E180,$AD180))</f>
      </c>
      <c r="AB180" s="682">
        <f>IF($D180="","",$G180)</f>
      </c>
      <c r="AC180" s="688">
        <f>IF($D180="","",IF(($Y180-$AA180)&lt;=0,"－",IFERROR(ROUND(MIN(20,($AB180-$Y180)/($Y180-$AA180)),2),"－")))</f>
      </c>
      <c r="AD180" s="682">
        <f>IF($D180="","",MIN(終値!E180:I180))</f>
      </c>
      <c r="AE180" s="684">
        <f>IF($D180="","",$X180+(10000-ROW())/100000)</f>
      </c>
    </row>
    <row r="181">
      <c r="A181" s="681">
        <f>IF(終値!A181="","",HYPERLINK("https://kabutan.jp/stock/?code="&amp;終値!A181,"📈"))</f>
      </c>
      <c r="B181" s="681">
        <f>IF(終値!A181="","",終値!A181)</f>
      </c>
      <c r="C181" s="680">
        <f>IF(終値!A181="","",終値!B181)</f>
      </c>
      <c r="D181" s="682">
        <f>IF(終値!A181="","",終値!E181)</f>
      </c>
      <c r="E181" s="682">
        <f>IF($D181="","",AVERAGE(終値!E181:X181))</f>
      </c>
      <c r="F181" s="683">
        <f>IF($D181="","",STDEVP(終値!E181:X181))</f>
      </c>
      <c r="G181" s="682">
        <f>IF($D181="","",$E181+BB設定!$B$4*$F181)</f>
      </c>
      <c r="H181" s="682">
        <f>IF($D181="","",$E181+BB設定!$B$5*$F181)</f>
      </c>
      <c r="I181" s="682">
        <f>IF($D181="","",$E181-BB設定!$B$5*$F181)</f>
      </c>
      <c r="J181" s="682">
        <f>IF($D181="","",$E181-BB設定!$B$4*$F181)</f>
      </c>
      <c r="K181" s="687">
        <f>IF($D181="","",IFERROR(($D181-$J181)/($G181-$J181),""))</f>
      </c>
      <c r="L181" s="686">
        <f>IF($D181="","",IFERROR(($G181-$J181)/$E181*100,""))</f>
      </c>
      <c r="M181" s="686">
        <f>IF($D181="","",IFERROR(MIN(BB_帯幅!B181:AP181)*100,""))</f>
      </c>
      <c r="N181" s="681">
        <f>IF($L181="","",IF($L181&lt;=$M181*BB設定!$B$7,"スクイーズ★",IF($L181&lt;=$M181*1.3,"収縮","－")))</f>
      </c>
      <c r="O181" s="681">
        <f>IF($D181="","",IF($L181&gt;(4*STDEVP(終値!F181:Y181)/AVERAGE(終値!F181:Y181)*100),"拡大↑","縮小↓"))</f>
      </c>
      <c r="P181" s="681">
        <f>IF($D181="","",IF($D181&gt;$G181,"↑+2σ突破",IF($D181&lt;$J181,"↓-2σ割れ",IF($D181&gt;$H181,"+1σ上",IF($D181&lt;$I181,"-1σ下","バンド内")))))</f>
      </c>
      <c r="Q181" s="684">
        <f>IF($D181="","",IFERROR(100-100/(1+SUMPRODUCT((終値!E181:R181&gt;終値!F181:S181)*(終値!E181:R181-終値!F181:S181))/SUMPRODUCT((終値!E181:R181&lt;終値!F181:S181)*(終値!F181:S181-終値!E181:R181))),100))</f>
      </c>
      <c r="R181" s="684">
        <f>IF($D181="","",IFERROR(100-100/(1+SUMPRODUCT((((高値!E181:R181+安値!E181:R181+終値!E181:R181)/3)&gt;((高値!F181:S181+安値!F181:S181+終値!F181:S181)/3))*((高値!E181:R181+安値!E181:R181+終値!E181:R181)/3)*出来高!E181:R181)/SUMPRODUCT((((高値!E181:R181+安値!E181:R181+終値!E181:R181)/3)&lt;((高値!F181:S181+安値!F181:S181+終値!F181:S181)/3))*((高値!E181:R181+安値!E181:R181+終値!E181:R181)/3)*出来高!E181:R181)),50))</f>
      </c>
      <c r="S181" s="681">
        <f>IF($D181="","",IF(AND(終値!E181&lt;終値!O181,$Q181&gt;(IFERROR(100-100/(1+SUMPRODUCT((終値!O181:AB181&gt;終値!P181:AC181)*(終値!O181:AB181-終値!P181:AC181))/SUMPRODUCT((終値!O181:AB181&lt;終値!P181:AC181)*(終値!P181:AC181-終値!O181:AB181))),100))),"強気div▲",IF(AND(終値!E181&gt;終値!O181,$Q181&lt;(IFERROR(100-100/(1+SUMPRODUCT((終値!O181:AB181&gt;終値!P181:AC181)*(終値!O181:AB181-終値!P181:AC181))/SUMPRODUCT((終値!O181:AB181&lt;終値!P181:AC181)*(終値!P181:AC181-終値!O181:AB181))),100))),"弱気div▼","－")))</f>
      </c>
      <c r="T181" s="681">
        <f>IF($D181="","",IF($D181&gt;=$H181,"上walk▲",IF($D181&lt;=$I181,"下walk▼","－")))</f>
      </c>
      <c r="U181" s="681">
        <f>IF(終値!A181="","",BB_スイング!BT181)</f>
      </c>
      <c r="V181" s="689">
        <f>IF($D181="","",IFERROR(出来高!E181/AVERAGE(出来高!E181:I181),""))</f>
      </c>
      <c r="W181" s="690">
        <f>IF($D181="","",IF(AND($D181&gt;$G181,$O181="拡大↑",$L181&lt;=$M181*1.8),"◎スクイーズブレイク買",IF(AND($D181&gt;=$H181,$R181&gt;=BB設定!$B$10),"○順張り継続(walk)",IF(AND($S181="強気div▲",$D181&gt;$I181),"○反発(ダイバ)買",IF($U181="二番底W▲","△二番底買(確)",IF($U181="二番底W形成","△二番底形成",IF($D181&lt;$J181,"▼-2σ割れ危険",IF(AND($D181&gt;$E181,$K181&lt;0.6,$R181&gt;=50),"・押し目注目",IF($N181="スクイーズ★","☆スクイーズ監視","様子見")))))))))</f>
      </c>
      <c r="X181" s="685">
        <f>IF($D181="","",MIN(100,IF($L181&lt;=$M181*1.15,20,IF($L181&lt;=$M181*1.4,10,0))+IF($D181&gt;$G181,20,IF($D181&gt;$H181,12,IF($D181&gt;$E181,5,0)))+IF($O181="拡大↑",10,0)+IF($R181&gt;=80,15,IF($R181&gt;=60,10,IF($R181&gt;=50,5,0)))+IF(AND($Q181&gt;=50,$Q181&lt;=70),10,IF($Q181&gt;70,3,IF($Q181&gt;=40,5,0)))+IF($S181="強気div▲",15,0)+IF($T181="上walk▲",5,0)+IF($V181&gt;=2,5,IF($V181&gt;=1.5,3,0))))</f>
      </c>
      <c r="Y181" s="682">
        <f>IF($D181="","",$D181)</f>
      </c>
      <c r="Z181" s="682">
        <f>IF($D181="","",$H181)</f>
      </c>
      <c r="AA181" s="682">
        <f>IF($D181="","",IF($D181&gt;$E181,$E181,$AD181))</f>
      </c>
      <c r="AB181" s="682">
        <f>IF($D181="","",$G181)</f>
      </c>
      <c r="AC181" s="688">
        <f>IF($D181="","",IF(($Y181-$AA181)&lt;=0,"－",IFERROR(ROUND(MIN(20,($AB181-$Y181)/($Y181-$AA181)),2),"－")))</f>
      </c>
      <c r="AD181" s="682">
        <f>IF($D181="","",MIN(終値!E181:I181))</f>
      </c>
      <c r="AE181" s="684">
        <f>IF($D181="","",$X181+(10000-ROW())/100000)</f>
      </c>
    </row>
    <row r="182">
      <c r="A182" s="681">
        <f>IF(終値!A182="","",HYPERLINK("https://kabutan.jp/stock/?code="&amp;終値!A182,"📈"))</f>
      </c>
      <c r="B182" s="681">
        <f>IF(終値!A182="","",終値!A182)</f>
      </c>
      <c r="C182" s="680">
        <f>IF(終値!A182="","",終値!B182)</f>
      </c>
      <c r="D182" s="682">
        <f>IF(終値!A182="","",終値!E182)</f>
      </c>
      <c r="E182" s="682">
        <f>IF($D182="","",AVERAGE(終値!E182:X182))</f>
      </c>
      <c r="F182" s="683">
        <f>IF($D182="","",STDEVP(終値!E182:X182))</f>
      </c>
      <c r="G182" s="682">
        <f>IF($D182="","",$E182+BB設定!$B$4*$F182)</f>
      </c>
      <c r="H182" s="682">
        <f>IF($D182="","",$E182+BB設定!$B$5*$F182)</f>
      </c>
      <c r="I182" s="682">
        <f>IF($D182="","",$E182-BB設定!$B$5*$F182)</f>
      </c>
      <c r="J182" s="682">
        <f>IF($D182="","",$E182-BB設定!$B$4*$F182)</f>
      </c>
      <c r="K182" s="687">
        <f>IF($D182="","",IFERROR(($D182-$J182)/($G182-$J182),""))</f>
      </c>
      <c r="L182" s="686">
        <f>IF($D182="","",IFERROR(($G182-$J182)/$E182*100,""))</f>
      </c>
      <c r="M182" s="686">
        <f>IF($D182="","",IFERROR(MIN(BB_帯幅!B182:AP182)*100,""))</f>
      </c>
      <c r="N182" s="681">
        <f>IF($L182="","",IF($L182&lt;=$M182*BB設定!$B$7,"スクイーズ★",IF($L182&lt;=$M182*1.3,"収縮","－")))</f>
      </c>
      <c r="O182" s="681">
        <f>IF($D182="","",IF($L182&gt;(4*STDEVP(終値!F182:Y182)/AVERAGE(終値!F182:Y182)*100),"拡大↑","縮小↓"))</f>
      </c>
      <c r="P182" s="681">
        <f>IF($D182="","",IF($D182&gt;$G182,"↑+2σ突破",IF($D182&lt;$J182,"↓-2σ割れ",IF($D182&gt;$H182,"+1σ上",IF($D182&lt;$I182,"-1σ下","バンド内")))))</f>
      </c>
      <c r="Q182" s="684">
        <f>IF($D182="","",IFERROR(100-100/(1+SUMPRODUCT((終値!E182:R182&gt;終値!F182:S182)*(終値!E182:R182-終値!F182:S182))/SUMPRODUCT((終値!E182:R182&lt;終値!F182:S182)*(終値!F182:S182-終値!E182:R182))),100))</f>
      </c>
      <c r="R182" s="684">
        <f>IF($D182="","",IFERROR(100-100/(1+SUMPRODUCT((((高値!E182:R182+安値!E182:R182+終値!E182:R182)/3)&gt;((高値!F182:S182+安値!F182:S182+終値!F182:S182)/3))*((高値!E182:R182+安値!E182:R182+終値!E182:R182)/3)*出来高!E182:R182)/SUMPRODUCT((((高値!E182:R182+安値!E182:R182+終値!E182:R182)/3)&lt;((高値!F182:S182+安値!F182:S182+終値!F182:S182)/3))*((高値!E182:R182+安値!E182:R182+終値!E182:R182)/3)*出来高!E182:R182)),50))</f>
      </c>
      <c r="S182" s="681">
        <f>IF($D182="","",IF(AND(終値!E182&lt;終値!O182,$Q182&gt;(IFERROR(100-100/(1+SUMPRODUCT((終値!O182:AB182&gt;終値!P182:AC182)*(終値!O182:AB182-終値!P182:AC182))/SUMPRODUCT((終値!O182:AB182&lt;終値!P182:AC182)*(終値!P182:AC182-終値!O182:AB182))),100))),"強気div▲",IF(AND(終値!E182&gt;終値!O182,$Q182&lt;(IFERROR(100-100/(1+SUMPRODUCT((終値!O182:AB182&gt;終値!P182:AC182)*(終値!O182:AB182-終値!P182:AC182))/SUMPRODUCT((終値!O182:AB182&lt;終値!P182:AC182)*(終値!P182:AC182-終値!O182:AB182))),100))),"弱気div▼","－")))</f>
      </c>
      <c r="T182" s="681">
        <f>IF($D182="","",IF($D182&gt;=$H182,"上walk▲",IF($D182&lt;=$I182,"下walk▼","－")))</f>
      </c>
      <c r="U182" s="681">
        <f>IF(終値!A182="","",BB_スイング!BT182)</f>
      </c>
      <c r="V182" s="689">
        <f>IF($D182="","",IFERROR(出来高!E182/AVERAGE(出来高!E182:I182),""))</f>
      </c>
      <c r="W182" s="690">
        <f>IF($D182="","",IF(AND($D182&gt;$G182,$O182="拡大↑",$L182&lt;=$M182*1.8),"◎スクイーズブレイク買",IF(AND($D182&gt;=$H182,$R182&gt;=BB設定!$B$10),"○順張り継続(walk)",IF(AND($S182="強気div▲",$D182&gt;$I182),"○反発(ダイバ)買",IF($U182="二番底W▲","△二番底買(確)",IF($U182="二番底W形成","△二番底形成",IF($D182&lt;$J182,"▼-2σ割れ危険",IF(AND($D182&gt;$E182,$K182&lt;0.6,$R182&gt;=50),"・押し目注目",IF($N182="スクイーズ★","☆スクイーズ監視","様子見")))))))))</f>
      </c>
      <c r="X182" s="685">
        <f>IF($D182="","",MIN(100,IF($L182&lt;=$M182*1.15,20,IF($L182&lt;=$M182*1.4,10,0))+IF($D182&gt;$G182,20,IF($D182&gt;$H182,12,IF($D182&gt;$E182,5,0)))+IF($O182="拡大↑",10,0)+IF($R182&gt;=80,15,IF($R182&gt;=60,10,IF($R182&gt;=50,5,0)))+IF(AND($Q182&gt;=50,$Q182&lt;=70),10,IF($Q182&gt;70,3,IF($Q182&gt;=40,5,0)))+IF($S182="強気div▲",15,0)+IF($T182="上walk▲",5,0)+IF($V182&gt;=2,5,IF($V182&gt;=1.5,3,0))))</f>
      </c>
      <c r="Y182" s="682">
        <f>IF($D182="","",$D182)</f>
      </c>
      <c r="Z182" s="682">
        <f>IF($D182="","",$H182)</f>
      </c>
      <c r="AA182" s="682">
        <f>IF($D182="","",IF($D182&gt;$E182,$E182,$AD182))</f>
      </c>
      <c r="AB182" s="682">
        <f>IF($D182="","",$G182)</f>
      </c>
      <c r="AC182" s="688">
        <f>IF($D182="","",IF(($Y182-$AA182)&lt;=0,"－",IFERROR(ROUND(MIN(20,($AB182-$Y182)/($Y182-$AA182)),2),"－")))</f>
      </c>
      <c r="AD182" s="682">
        <f>IF($D182="","",MIN(終値!E182:I182))</f>
      </c>
      <c r="AE182" s="684">
        <f>IF($D182="","",$X182+(10000-ROW())/100000)</f>
      </c>
    </row>
    <row r="183">
      <c r="A183" s="681">
        <f>IF(終値!A183="","",HYPERLINK("https://kabutan.jp/stock/?code="&amp;終値!A183,"📈"))</f>
      </c>
      <c r="B183" s="681">
        <f>IF(終値!A183="","",終値!A183)</f>
      </c>
      <c r="C183" s="680">
        <f>IF(終値!A183="","",終値!B183)</f>
      </c>
      <c r="D183" s="682">
        <f>IF(終値!A183="","",終値!E183)</f>
      </c>
      <c r="E183" s="682">
        <f>IF($D183="","",AVERAGE(終値!E183:X183))</f>
      </c>
      <c r="F183" s="683">
        <f>IF($D183="","",STDEVP(終値!E183:X183))</f>
      </c>
      <c r="G183" s="682">
        <f>IF($D183="","",$E183+BB設定!$B$4*$F183)</f>
      </c>
      <c r="H183" s="682">
        <f>IF($D183="","",$E183+BB設定!$B$5*$F183)</f>
      </c>
      <c r="I183" s="682">
        <f>IF($D183="","",$E183-BB設定!$B$5*$F183)</f>
      </c>
      <c r="J183" s="682">
        <f>IF($D183="","",$E183-BB設定!$B$4*$F183)</f>
      </c>
      <c r="K183" s="687">
        <f>IF($D183="","",IFERROR(($D183-$J183)/($G183-$J183),""))</f>
      </c>
      <c r="L183" s="686">
        <f>IF($D183="","",IFERROR(($G183-$J183)/$E183*100,""))</f>
      </c>
      <c r="M183" s="686">
        <f>IF($D183="","",IFERROR(MIN(BB_帯幅!B183:AP183)*100,""))</f>
      </c>
      <c r="N183" s="681">
        <f>IF($L183="","",IF($L183&lt;=$M183*BB設定!$B$7,"スクイーズ★",IF($L183&lt;=$M183*1.3,"収縮","－")))</f>
      </c>
      <c r="O183" s="681">
        <f>IF($D183="","",IF($L183&gt;(4*STDEVP(終値!F183:Y183)/AVERAGE(終値!F183:Y183)*100),"拡大↑","縮小↓"))</f>
      </c>
      <c r="P183" s="681">
        <f>IF($D183="","",IF($D183&gt;$G183,"↑+2σ突破",IF($D183&lt;$J183,"↓-2σ割れ",IF($D183&gt;$H183,"+1σ上",IF($D183&lt;$I183,"-1σ下","バンド内")))))</f>
      </c>
      <c r="Q183" s="684">
        <f>IF($D183="","",IFERROR(100-100/(1+SUMPRODUCT((終値!E183:R183&gt;終値!F183:S183)*(終値!E183:R183-終値!F183:S183))/SUMPRODUCT((終値!E183:R183&lt;終値!F183:S183)*(終値!F183:S183-終値!E183:R183))),100))</f>
      </c>
      <c r="R183" s="684">
        <f>IF($D183="","",IFERROR(100-100/(1+SUMPRODUCT((((高値!E183:R183+安値!E183:R183+終値!E183:R183)/3)&gt;((高値!F183:S183+安値!F183:S183+終値!F183:S183)/3))*((高値!E183:R183+安値!E183:R183+終値!E183:R183)/3)*出来高!E183:R183)/SUMPRODUCT((((高値!E183:R183+安値!E183:R183+終値!E183:R183)/3)&lt;((高値!F183:S183+安値!F183:S183+終値!F183:S183)/3))*((高値!E183:R183+安値!E183:R183+終値!E183:R183)/3)*出来高!E183:R183)),50))</f>
      </c>
      <c r="S183" s="681">
        <f>IF($D183="","",IF(AND(終値!E183&lt;終値!O183,$Q183&gt;(IFERROR(100-100/(1+SUMPRODUCT((終値!O183:AB183&gt;終値!P183:AC183)*(終値!O183:AB183-終値!P183:AC183))/SUMPRODUCT((終値!O183:AB183&lt;終値!P183:AC183)*(終値!P183:AC183-終値!O183:AB183))),100))),"強気div▲",IF(AND(終値!E183&gt;終値!O183,$Q183&lt;(IFERROR(100-100/(1+SUMPRODUCT((終値!O183:AB183&gt;終値!P183:AC183)*(終値!O183:AB183-終値!P183:AC183))/SUMPRODUCT((終値!O183:AB183&lt;終値!P183:AC183)*(終値!P183:AC183-終値!O183:AB183))),100))),"弱気div▼","－")))</f>
      </c>
      <c r="T183" s="681">
        <f>IF($D183="","",IF($D183&gt;=$H183,"上walk▲",IF($D183&lt;=$I183,"下walk▼","－")))</f>
      </c>
      <c r="U183" s="681">
        <f>IF(終値!A183="","",BB_スイング!BT183)</f>
      </c>
      <c r="V183" s="689">
        <f>IF($D183="","",IFERROR(出来高!E183/AVERAGE(出来高!E183:I183),""))</f>
      </c>
      <c r="W183" s="690">
        <f>IF($D183="","",IF(AND($D183&gt;$G183,$O183="拡大↑",$L183&lt;=$M183*1.8),"◎スクイーズブレイク買",IF(AND($D183&gt;=$H183,$R183&gt;=BB設定!$B$10),"○順張り継続(walk)",IF(AND($S183="強気div▲",$D183&gt;$I183),"○反発(ダイバ)買",IF($U183="二番底W▲","△二番底買(確)",IF($U183="二番底W形成","△二番底形成",IF($D183&lt;$J183,"▼-2σ割れ危険",IF(AND($D183&gt;$E183,$K183&lt;0.6,$R183&gt;=50),"・押し目注目",IF($N183="スクイーズ★","☆スクイーズ監視","様子見")))))))))</f>
      </c>
      <c r="X183" s="685">
        <f>IF($D183="","",MIN(100,IF($L183&lt;=$M183*1.15,20,IF($L183&lt;=$M183*1.4,10,0))+IF($D183&gt;$G183,20,IF($D183&gt;$H183,12,IF($D183&gt;$E183,5,0)))+IF($O183="拡大↑",10,0)+IF($R183&gt;=80,15,IF($R183&gt;=60,10,IF($R183&gt;=50,5,0)))+IF(AND($Q183&gt;=50,$Q183&lt;=70),10,IF($Q183&gt;70,3,IF($Q183&gt;=40,5,0)))+IF($S183="強気div▲",15,0)+IF($T183="上walk▲",5,0)+IF($V183&gt;=2,5,IF($V183&gt;=1.5,3,0))))</f>
      </c>
      <c r="Y183" s="682">
        <f>IF($D183="","",$D183)</f>
      </c>
      <c r="Z183" s="682">
        <f>IF($D183="","",$H183)</f>
      </c>
      <c r="AA183" s="682">
        <f>IF($D183="","",IF($D183&gt;$E183,$E183,$AD183))</f>
      </c>
      <c r="AB183" s="682">
        <f>IF($D183="","",$G183)</f>
      </c>
      <c r="AC183" s="688">
        <f>IF($D183="","",IF(($Y183-$AA183)&lt;=0,"－",IFERROR(ROUND(MIN(20,($AB183-$Y183)/($Y183-$AA183)),2),"－")))</f>
      </c>
      <c r="AD183" s="682">
        <f>IF($D183="","",MIN(終値!E183:I183))</f>
      </c>
      <c r="AE183" s="684">
        <f>IF($D183="","",$X183+(10000-ROW())/100000)</f>
      </c>
    </row>
    <row r="184">
      <c r="A184" s="681">
        <f>IF(終値!A184="","",HYPERLINK("https://kabutan.jp/stock/?code="&amp;終値!A184,"📈"))</f>
      </c>
      <c r="B184" s="681">
        <f>IF(終値!A184="","",終値!A184)</f>
      </c>
      <c r="C184" s="680">
        <f>IF(終値!A184="","",終値!B184)</f>
      </c>
      <c r="D184" s="682">
        <f>IF(終値!A184="","",終値!E184)</f>
      </c>
      <c r="E184" s="682">
        <f>IF($D184="","",AVERAGE(終値!E184:X184))</f>
      </c>
      <c r="F184" s="683">
        <f>IF($D184="","",STDEVP(終値!E184:X184))</f>
      </c>
      <c r="G184" s="682">
        <f>IF($D184="","",$E184+BB設定!$B$4*$F184)</f>
      </c>
      <c r="H184" s="682">
        <f>IF($D184="","",$E184+BB設定!$B$5*$F184)</f>
      </c>
      <c r="I184" s="682">
        <f>IF($D184="","",$E184-BB設定!$B$5*$F184)</f>
      </c>
      <c r="J184" s="682">
        <f>IF($D184="","",$E184-BB設定!$B$4*$F184)</f>
      </c>
      <c r="K184" s="687">
        <f>IF($D184="","",IFERROR(($D184-$J184)/($G184-$J184),""))</f>
      </c>
      <c r="L184" s="686">
        <f>IF($D184="","",IFERROR(($G184-$J184)/$E184*100,""))</f>
      </c>
      <c r="M184" s="686">
        <f>IF($D184="","",IFERROR(MIN(BB_帯幅!B184:AP184)*100,""))</f>
      </c>
      <c r="N184" s="681">
        <f>IF($L184="","",IF($L184&lt;=$M184*BB設定!$B$7,"スクイーズ★",IF($L184&lt;=$M184*1.3,"収縮","－")))</f>
      </c>
      <c r="O184" s="681">
        <f>IF($D184="","",IF($L184&gt;(4*STDEVP(終値!F184:Y184)/AVERAGE(終値!F184:Y184)*100),"拡大↑","縮小↓"))</f>
      </c>
      <c r="P184" s="681">
        <f>IF($D184="","",IF($D184&gt;$G184,"↑+2σ突破",IF($D184&lt;$J184,"↓-2σ割れ",IF($D184&gt;$H184,"+1σ上",IF($D184&lt;$I184,"-1σ下","バンド内")))))</f>
      </c>
      <c r="Q184" s="684">
        <f>IF($D184="","",IFERROR(100-100/(1+SUMPRODUCT((終値!E184:R184&gt;終値!F184:S184)*(終値!E184:R184-終値!F184:S184))/SUMPRODUCT((終値!E184:R184&lt;終値!F184:S184)*(終値!F184:S184-終値!E184:R184))),100))</f>
      </c>
      <c r="R184" s="684">
        <f>IF($D184="","",IFERROR(100-100/(1+SUMPRODUCT((((高値!E184:R184+安値!E184:R184+終値!E184:R184)/3)&gt;((高値!F184:S184+安値!F184:S184+終値!F184:S184)/3))*((高値!E184:R184+安値!E184:R184+終値!E184:R184)/3)*出来高!E184:R184)/SUMPRODUCT((((高値!E184:R184+安値!E184:R184+終値!E184:R184)/3)&lt;((高値!F184:S184+安値!F184:S184+終値!F184:S184)/3))*((高値!E184:R184+安値!E184:R184+終値!E184:R184)/3)*出来高!E184:R184)),50))</f>
      </c>
      <c r="S184" s="681">
        <f>IF($D184="","",IF(AND(終値!E184&lt;終値!O184,$Q184&gt;(IFERROR(100-100/(1+SUMPRODUCT((終値!O184:AB184&gt;終値!P184:AC184)*(終値!O184:AB184-終値!P184:AC184))/SUMPRODUCT((終値!O184:AB184&lt;終値!P184:AC184)*(終値!P184:AC184-終値!O184:AB184))),100))),"強気div▲",IF(AND(終値!E184&gt;終値!O184,$Q184&lt;(IFERROR(100-100/(1+SUMPRODUCT((終値!O184:AB184&gt;終値!P184:AC184)*(終値!O184:AB184-終値!P184:AC184))/SUMPRODUCT((終値!O184:AB184&lt;終値!P184:AC184)*(終値!P184:AC184-終値!O184:AB184))),100))),"弱気div▼","－")))</f>
      </c>
      <c r="T184" s="681">
        <f>IF($D184="","",IF($D184&gt;=$H184,"上walk▲",IF($D184&lt;=$I184,"下walk▼","－")))</f>
      </c>
      <c r="U184" s="681">
        <f>IF(終値!A184="","",BB_スイング!BT184)</f>
      </c>
      <c r="V184" s="689">
        <f>IF($D184="","",IFERROR(出来高!E184/AVERAGE(出来高!E184:I184),""))</f>
      </c>
      <c r="W184" s="690">
        <f>IF($D184="","",IF(AND($D184&gt;$G184,$O184="拡大↑",$L184&lt;=$M184*1.8),"◎スクイーズブレイク買",IF(AND($D184&gt;=$H184,$R184&gt;=BB設定!$B$10),"○順張り継続(walk)",IF(AND($S184="強気div▲",$D184&gt;$I184),"○反発(ダイバ)買",IF($U184="二番底W▲","△二番底買(確)",IF($U184="二番底W形成","△二番底形成",IF($D184&lt;$J184,"▼-2σ割れ危険",IF(AND($D184&gt;$E184,$K184&lt;0.6,$R184&gt;=50),"・押し目注目",IF($N184="スクイーズ★","☆スクイーズ監視","様子見")))))))))</f>
      </c>
      <c r="X184" s="685">
        <f>IF($D184="","",MIN(100,IF($L184&lt;=$M184*1.15,20,IF($L184&lt;=$M184*1.4,10,0))+IF($D184&gt;$G184,20,IF($D184&gt;$H184,12,IF($D184&gt;$E184,5,0)))+IF($O184="拡大↑",10,0)+IF($R184&gt;=80,15,IF($R184&gt;=60,10,IF($R184&gt;=50,5,0)))+IF(AND($Q184&gt;=50,$Q184&lt;=70),10,IF($Q184&gt;70,3,IF($Q184&gt;=40,5,0)))+IF($S184="強気div▲",15,0)+IF($T184="上walk▲",5,0)+IF($V184&gt;=2,5,IF($V184&gt;=1.5,3,0))))</f>
      </c>
      <c r="Y184" s="682">
        <f>IF($D184="","",$D184)</f>
      </c>
      <c r="Z184" s="682">
        <f>IF($D184="","",$H184)</f>
      </c>
      <c r="AA184" s="682">
        <f>IF($D184="","",IF($D184&gt;$E184,$E184,$AD184))</f>
      </c>
      <c r="AB184" s="682">
        <f>IF($D184="","",$G184)</f>
      </c>
      <c r="AC184" s="688">
        <f>IF($D184="","",IF(($Y184-$AA184)&lt;=0,"－",IFERROR(ROUND(MIN(20,($AB184-$Y184)/($Y184-$AA184)),2),"－")))</f>
      </c>
      <c r="AD184" s="682">
        <f>IF($D184="","",MIN(終値!E184:I184))</f>
      </c>
      <c r="AE184" s="684">
        <f>IF($D184="","",$X184+(10000-ROW())/100000)</f>
      </c>
    </row>
    <row r="185">
      <c r="A185" s="681">
        <f>IF(終値!A185="","",HYPERLINK("https://kabutan.jp/stock/?code="&amp;終値!A185,"📈"))</f>
      </c>
      <c r="B185" s="681">
        <f>IF(終値!A185="","",終値!A185)</f>
      </c>
      <c r="C185" s="680">
        <f>IF(終値!A185="","",終値!B185)</f>
      </c>
      <c r="D185" s="682">
        <f>IF(終値!A185="","",終値!E185)</f>
      </c>
      <c r="E185" s="682">
        <f>IF($D185="","",AVERAGE(終値!E185:X185))</f>
      </c>
      <c r="F185" s="683">
        <f>IF($D185="","",STDEVP(終値!E185:X185))</f>
      </c>
      <c r="G185" s="682">
        <f>IF($D185="","",$E185+BB設定!$B$4*$F185)</f>
      </c>
      <c r="H185" s="682">
        <f>IF($D185="","",$E185+BB設定!$B$5*$F185)</f>
      </c>
      <c r="I185" s="682">
        <f>IF($D185="","",$E185-BB設定!$B$5*$F185)</f>
      </c>
      <c r="J185" s="682">
        <f>IF($D185="","",$E185-BB設定!$B$4*$F185)</f>
      </c>
      <c r="K185" s="687">
        <f>IF($D185="","",IFERROR(($D185-$J185)/($G185-$J185),""))</f>
      </c>
      <c r="L185" s="686">
        <f>IF($D185="","",IFERROR(($G185-$J185)/$E185*100,""))</f>
      </c>
      <c r="M185" s="686">
        <f>IF($D185="","",IFERROR(MIN(BB_帯幅!B185:AP185)*100,""))</f>
      </c>
      <c r="N185" s="681">
        <f>IF($L185="","",IF($L185&lt;=$M185*BB設定!$B$7,"スクイーズ★",IF($L185&lt;=$M185*1.3,"収縮","－")))</f>
      </c>
      <c r="O185" s="681">
        <f>IF($D185="","",IF($L185&gt;(4*STDEVP(終値!F185:Y185)/AVERAGE(終値!F185:Y185)*100),"拡大↑","縮小↓"))</f>
      </c>
      <c r="P185" s="681">
        <f>IF($D185="","",IF($D185&gt;$G185,"↑+2σ突破",IF($D185&lt;$J185,"↓-2σ割れ",IF($D185&gt;$H185,"+1σ上",IF($D185&lt;$I185,"-1σ下","バンド内")))))</f>
      </c>
      <c r="Q185" s="684">
        <f>IF($D185="","",IFERROR(100-100/(1+SUMPRODUCT((終値!E185:R185&gt;終値!F185:S185)*(終値!E185:R185-終値!F185:S185))/SUMPRODUCT((終値!E185:R185&lt;終値!F185:S185)*(終値!F185:S185-終値!E185:R185))),100))</f>
      </c>
      <c r="R185" s="684">
        <f>IF($D185="","",IFERROR(100-100/(1+SUMPRODUCT((((高値!E185:R185+安値!E185:R185+終値!E185:R185)/3)&gt;((高値!F185:S185+安値!F185:S185+終値!F185:S185)/3))*((高値!E185:R185+安値!E185:R185+終値!E185:R185)/3)*出来高!E185:R185)/SUMPRODUCT((((高値!E185:R185+安値!E185:R185+終値!E185:R185)/3)&lt;((高値!F185:S185+安値!F185:S185+終値!F185:S185)/3))*((高値!E185:R185+安値!E185:R185+終値!E185:R185)/3)*出来高!E185:R185)),50))</f>
      </c>
      <c r="S185" s="681">
        <f>IF($D185="","",IF(AND(終値!E185&lt;終値!O185,$Q185&gt;(IFERROR(100-100/(1+SUMPRODUCT((終値!O185:AB185&gt;終値!P185:AC185)*(終値!O185:AB185-終値!P185:AC185))/SUMPRODUCT((終値!O185:AB185&lt;終値!P185:AC185)*(終値!P185:AC185-終値!O185:AB185))),100))),"強気div▲",IF(AND(終値!E185&gt;終値!O185,$Q185&lt;(IFERROR(100-100/(1+SUMPRODUCT((終値!O185:AB185&gt;終値!P185:AC185)*(終値!O185:AB185-終値!P185:AC185))/SUMPRODUCT((終値!O185:AB185&lt;終値!P185:AC185)*(終値!P185:AC185-終値!O185:AB185))),100))),"弱気div▼","－")))</f>
      </c>
      <c r="T185" s="681">
        <f>IF($D185="","",IF($D185&gt;=$H185,"上walk▲",IF($D185&lt;=$I185,"下walk▼","－")))</f>
      </c>
      <c r="U185" s="681">
        <f>IF(終値!A185="","",BB_スイング!BT185)</f>
      </c>
      <c r="V185" s="689">
        <f>IF($D185="","",IFERROR(出来高!E185/AVERAGE(出来高!E185:I185),""))</f>
      </c>
      <c r="W185" s="690">
        <f>IF($D185="","",IF(AND($D185&gt;$G185,$O185="拡大↑",$L185&lt;=$M185*1.8),"◎スクイーズブレイク買",IF(AND($D185&gt;=$H185,$R185&gt;=BB設定!$B$10),"○順張り継続(walk)",IF(AND($S185="強気div▲",$D185&gt;$I185),"○反発(ダイバ)買",IF($U185="二番底W▲","△二番底買(確)",IF($U185="二番底W形成","△二番底形成",IF($D185&lt;$J185,"▼-2σ割れ危険",IF(AND($D185&gt;$E185,$K185&lt;0.6,$R185&gt;=50),"・押し目注目",IF($N185="スクイーズ★","☆スクイーズ監視","様子見")))))))))</f>
      </c>
      <c r="X185" s="685">
        <f>IF($D185="","",MIN(100,IF($L185&lt;=$M185*1.15,20,IF($L185&lt;=$M185*1.4,10,0))+IF($D185&gt;$G185,20,IF($D185&gt;$H185,12,IF($D185&gt;$E185,5,0)))+IF($O185="拡大↑",10,0)+IF($R185&gt;=80,15,IF($R185&gt;=60,10,IF($R185&gt;=50,5,0)))+IF(AND($Q185&gt;=50,$Q185&lt;=70),10,IF($Q185&gt;70,3,IF($Q185&gt;=40,5,0)))+IF($S185="強気div▲",15,0)+IF($T185="上walk▲",5,0)+IF($V185&gt;=2,5,IF($V185&gt;=1.5,3,0))))</f>
      </c>
      <c r="Y185" s="682">
        <f>IF($D185="","",$D185)</f>
      </c>
      <c r="Z185" s="682">
        <f>IF($D185="","",$H185)</f>
      </c>
      <c r="AA185" s="682">
        <f>IF($D185="","",IF($D185&gt;$E185,$E185,$AD185))</f>
      </c>
      <c r="AB185" s="682">
        <f>IF($D185="","",$G185)</f>
      </c>
      <c r="AC185" s="688">
        <f>IF($D185="","",IF(($Y185-$AA185)&lt;=0,"－",IFERROR(ROUND(MIN(20,($AB185-$Y185)/($Y185-$AA185)),2),"－")))</f>
      </c>
      <c r="AD185" s="682">
        <f>IF($D185="","",MIN(終値!E185:I185))</f>
      </c>
      <c r="AE185" s="684">
        <f>IF($D185="","",$X185+(10000-ROW())/100000)</f>
      </c>
    </row>
    <row r="186">
      <c r="A186" s="681">
        <f>IF(終値!A186="","",HYPERLINK("https://kabutan.jp/stock/?code="&amp;終値!A186,"📈"))</f>
      </c>
      <c r="B186" s="681">
        <f>IF(終値!A186="","",終値!A186)</f>
      </c>
      <c r="C186" s="680">
        <f>IF(終値!A186="","",終値!B186)</f>
      </c>
      <c r="D186" s="682">
        <f>IF(終値!A186="","",終値!E186)</f>
      </c>
      <c r="E186" s="682">
        <f>IF($D186="","",AVERAGE(終値!E186:X186))</f>
      </c>
      <c r="F186" s="683">
        <f>IF($D186="","",STDEVP(終値!E186:X186))</f>
      </c>
      <c r="G186" s="682">
        <f>IF($D186="","",$E186+BB設定!$B$4*$F186)</f>
      </c>
      <c r="H186" s="682">
        <f>IF($D186="","",$E186+BB設定!$B$5*$F186)</f>
      </c>
      <c r="I186" s="682">
        <f>IF($D186="","",$E186-BB設定!$B$5*$F186)</f>
      </c>
      <c r="J186" s="682">
        <f>IF($D186="","",$E186-BB設定!$B$4*$F186)</f>
      </c>
      <c r="K186" s="687">
        <f>IF($D186="","",IFERROR(($D186-$J186)/($G186-$J186),""))</f>
      </c>
      <c r="L186" s="686">
        <f>IF($D186="","",IFERROR(($G186-$J186)/$E186*100,""))</f>
      </c>
      <c r="M186" s="686">
        <f>IF($D186="","",IFERROR(MIN(BB_帯幅!B186:AP186)*100,""))</f>
      </c>
      <c r="N186" s="681">
        <f>IF($L186="","",IF($L186&lt;=$M186*BB設定!$B$7,"スクイーズ★",IF($L186&lt;=$M186*1.3,"収縮","－")))</f>
      </c>
      <c r="O186" s="681">
        <f>IF($D186="","",IF($L186&gt;(4*STDEVP(終値!F186:Y186)/AVERAGE(終値!F186:Y186)*100),"拡大↑","縮小↓"))</f>
      </c>
      <c r="P186" s="681">
        <f>IF($D186="","",IF($D186&gt;$G186,"↑+2σ突破",IF($D186&lt;$J186,"↓-2σ割れ",IF($D186&gt;$H186,"+1σ上",IF($D186&lt;$I186,"-1σ下","バンド内")))))</f>
      </c>
      <c r="Q186" s="684">
        <f>IF($D186="","",IFERROR(100-100/(1+SUMPRODUCT((終値!E186:R186&gt;終値!F186:S186)*(終値!E186:R186-終値!F186:S186))/SUMPRODUCT((終値!E186:R186&lt;終値!F186:S186)*(終値!F186:S186-終値!E186:R186))),100))</f>
      </c>
      <c r="R186" s="684">
        <f>IF($D186="","",IFERROR(100-100/(1+SUMPRODUCT((((高値!E186:R186+安値!E186:R186+終値!E186:R186)/3)&gt;((高値!F186:S186+安値!F186:S186+終値!F186:S186)/3))*((高値!E186:R186+安値!E186:R186+終値!E186:R186)/3)*出来高!E186:R186)/SUMPRODUCT((((高値!E186:R186+安値!E186:R186+終値!E186:R186)/3)&lt;((高値!F186:S186+安値!F186:S186+終値!F186:S186)/3))*((高値!E186:R186+安値!E186:R186+終値!E186:R186)/3)*出来高!E186:R186)),50))</f>
      </c>
      <c r="S186" s="681">
        <f>IF($D186="","",IF(AND(終値!E186&lt;終値!O186,$Q186&gt;(IFERROR(100-100/(1+SUMPRODUCT((終値!O186:AB186&gt;終値!P186:AC186)*(終値!O186:AB186-終値!P186:AC186))/SUMPRODUCT((終値!O186:AB186&lt;終値!P186:AC186)*(終値!P186:AC186-終値!O186:AB186))),100))),"強気div▲",IF(AND(終値!E186&gt;終値!O186,$Q186&lt;(IFERROR(100-100/(1+SUMPRODUCT((終値!O186:AB186&gt;終値!P186:AC186)*(終値!O186:AB186-終値!P186:AC186))/SUMPRODUCT((終値!O186:AB186&lt;終値!P186:AC186)*(終値!P186:AC186-終値!O186:AB186))),100))),"弱気div▼","－")))</f>
      </c>
      <c r="T186" s="681">
        <f>IF($D186="","",IF($D186&gt;=$H186,"上walk▲",IF($D186&lt;=$I186,"下walk▼","－")))</f>
      </c>
      <c r="U186" s="681">
        <f>IF(終値!A186="","",BB_スイング!BT186)</f>
      </c>
      <c r="V186" s="689">
        <f>IF($D186="","",IFERROR(出来高!E186/AVERAGE(出来高!E186:I186),""))</f>
      </c>
      <c r="W186" s="690">
        <f>IF($D186="","",IF(AND($D186&gt;$G186,$O186="拡大↑",$L186&lt;=$M186*1.8),"◎スクイーズブレイク買",IF(AND($D186&gt;=$H186,$R186&gt;=BB設定!$B$10),"○順張り継続(walk)",IF(AND($S186="強気div▲",$D186&gt;$I186),"○反発(ダイバ)買",IF($U186="二番底W▲","△二番底買(確)",IF($U186="二番底W形成","△二番底形成",IF($D186&lt;$J186,"▼-2σ割れ危険",IF(AND($D186&gt;$E186,$K186&lt;0.6,$R186&gt;=50),"・押し目注目",IF($N186="スクイーズ★","☆スクイーズ監視","様子見")))))))))</f>
      </c>
      <c r="X186" s="685">
        <f>IF($D186="","",MIN(100,IF($L186&lt;=$M186*1.15,20,IF($L186&lt;=$M186*1.4,10,0))+IF($D186&gt;$G186,20,IF($D186&gt;$H186,12,IF($D186&gt;$E186,5,0)))+IF($O186="拡大↑",10,0)+IF($R186&gt;=80,15,IF($R186&gt;=60,10,IF($R186&gt;=50,5,0)))+IF(AND($Q186&gt;=50,$Q186&lt;=70),10,IF($Q186&gt;70,3,IF($Q186&gt;=40,5,0)))+IF($S186="強気div▲",15,0)+IF($T186="上walk▲",5,0)+IF($V186&gt;=2,5,IF($V186&gt;=1.5,3,0))))</f>
      </c>
      <c r="Y186" s="682">
        <f>IF($D186="","",$D186)</f>
      </c>
      <c r="Z186" s="682">
        <f>IF($D186="","",$H186)</f>
      </c>
      <c r="AA186" s="682">
        <f>IF($D186="","",IF($D186&gt;$E186,$E186,$AD186))</f>
      </c>
      <c r="AB186" s="682">
        <f>IF($D186="","",$G186)</f>
      </c>
      <c r="AC186" s="688">
        <f>IF($D186="","",IF(($Y186-$AA186)&lt;=0,"－",IFERROR(ROUND(MIN(20,($AB186-$Y186)/($Y186-$AA186)),2),"－")))</f>
      </c>
      <c r="AD186" s="682">
        <f>IF($D186="","",MIN(終値!E186:I186))</f>
      </c>
      <c r="AE186" s="684">
        <f>IF($D186="","",$X186+(10000-ROW())/100000)</f>
      </c>
    </row>
    <row r="187">
      <c r="A187" s="681">
        <f>IF(終値!A187="","",HYPERLINK("https://kabutan.jp/stock/?code="&amp;終値!A187,"📈"))</f>
      </c>
      <c r="B187" s="681">
        <f>IF(終値!A187="","",終値!A187)</f>
      </c>
      <c r="C187" s="680">
        <f>IF(終値!A187="","",終値!B187)</f>
      </c>
      <c r="D187" s="682">
        <f>IF(終値!A187="","",終値!E187)</f>
      </c>
      <c r="E187" s="682">
        <f>IF($D187="","",AVERAGE(終値!E187:X187))</f>
      </c>
      <c r="F187" s="683">
        <f>IF($D187="","",STDEVP(終値!E187:X187))</f>
      </c>
      <c r="G187" s="682">
        <f>IF($D187="","",$E187+BB設定!$B$4*$F187)</f>
      </c>
      <c r="H187" s="682">
        <f>IF($D187="","",$E187+BB設定!$B$5*$F187)</f>
      </c>
      <c r="I187" s="682">
        <f>IF($D187="","",$E187-BB設定!$B$5*$F187)</f>
      </c>
      <c r="J187" s="682">
        <f>IF($D187="","",$E187-BB設定!$B$4*$F187)</f>
      </c>
      <c r="K187" s="687">
        <f>IF($D187="","",IFERROR(($D187-$J187)/($G187-$J187),""))</f>
      </c>
      <c r="L187" s="686">
        <f>IF($D187="","",IFERROR(($G187-$J187)/$E187*100,""))</f>
      </c>
      <c r="M187" s="686">
        <f>IF($D187="","",IFERROR(MIN(BB_帯幅!B187:AP187)*100,""))</f>
      </c>
      <c r="N187" s="681">
        <f>IF($L187="","",IF($L187&lt;=$M187*BB設定!$B$7,"スクイーズ★",IF($L187&lt;=$M187*1.3,"収縮","－")))</f>
      </c>
      <c r="O187" s="681">
        <f>IF($D187="","",IF($L187&gt;(4*STDEVP(終値!F187:Y187)/AVERAGE(終値!F187:Y187)*100),"拡大↑","縮小↓"))</f>
      </c>
      <c r="P187" s="681">
        <f>IF($D187="","",IF($D187&gt;$G187,"↑+2σ突破",IF($D187&lt;$J187,"↓-2σ割れ",IF($D187&gt;$H187,"+1σ上",IF($D187&lt;$I187,"-1σ下","バンド内")))))</f>
      </c>
      <c r="Q187" s="684">
        <f>IF($D187="","",IFERROR(100-100/(1+SUMPRODUCT((終値!E187:R187&gt;終値!F187:S187)*(終値!E187:R187-終値!F187:S187))/SUMPRODUCT((終値!E187:R187&lt;終値!F187:S187)*(終値!F187:S187-終値!E187:R187))),100))</f>
      </c>
      <c r="R187" s="684">
        <f>IF($D187="","",IFERROR(100-100/(1+SUMPRODUCT((((高値!E187:R187+安値!E187:R187+終値!E187:R187)/3)&gt;((高値!F187:S187+安値!F187:S187+終値!F187:S187)/3))*((高値!E187:R187+安値!E187:R187+終値!E187:R187)/3)*出来高!E187:R187)/SUMPRODUCT((((高値!E187:R187+安値!E187:R187+終値!E187:R187)/3)&lt;((高値!F187:S187+安値!F187:S187+終値!F187:S187)/3))*((高値!E187:R187+安値!E187:R187+終値!E187:R187)/3)*出来高!E187:R187)),50))</f>
      </c>
      <c r="S187" s="681">
        <f>IF($D187="","",IF(AND(終値!E187&lt;終値!O187,$Q187&gt;(IFERROR(100-100/(1+SUMPRODUCT((終値!O187:AB187&gt;終値!P187:AC187)*(終値!O187:AB187-終値!P187:AC187))/SUMPRODUCT((終値!O187:AB187&lt;終値!P187:AC187)*(終値!P187:AC187-終値!O187:AB187))),100))),"強気div▲",IF(AND(終値!E187&gt;終値!O187,$Q187&lt;(IFERROR(100-100/(1+SUMPRODUCT((終値!O187:AB187&gt;終値!P187:AC187)*(終値!O187:AB187-終値!P187:AC187))/SUMPRODUCT((終値!O187:AB187&lt;終値!P187:AC187)*(終値!P187:AC187-終値!O187:AB187))),100))),"弱気div▼","－")))</f>
      </c>
      <c r="T187" s="681">
        <f>IF($D187="","",IF($D187&gt;=$H187,"上walk▲",IF($D187&lt;=$I187,"下walk▼","－")))</f>
      </c>
      <c r="U187" s="681">
        <f>IF(終値!A187="","",BB_スイング!BT187)</f>
      </c>
      <c r="V187" s="689">
        <f>IF($D187="","",IFERROR(出来高!E187/AVERAGE(出来高!E187:I187),""))</f>
      </c>
      <c r="W187" s="690">
        <f>IF($D187="","",IF(AND($D187&gt;$G187,$O187="拡大↑",$L187&lt;=$M187*1.8),"◎スクイーズブレイク買",IF(AND($D187&gt;=$H187,$R187&gt;=BB設定!$B$10),"○順張り継続(walk)",IF(AND($S187="強気div▲",$D187&gt;$I187),"○反発(ダイバ)買",IF($U187="二番底W▲","△二番底買(確)",IF($U187="二番底W形成","△二番底形成",IF($D187&lt;$J187,"▼-2σ割れ危険",IF(AND($D187&gt;$E187,$K187&lt;0.6,$R187&gt;=50),"・押し目注目",IF($N187="スクイーズ★","☆スクイーズ監視","様子見")))))))))</f>
      </c>
      <c r="X187" s="685">
        <f>IF($D187="","",MIN(100,IF($L187&lt;=$M187*1.15,20,IF($L187&lt;=$M187*1.4,10,0))+IF($D187&gt;$G187,20,IF($D187&gt;$H187,12,IF($D187&gt;$E187,5,0)))+IF($O187="拡大↑",10,0)+IF($R187&gt;=80,15,IF($R187&gt;=60,10,IF($R187&gt;=50,5,0)))+IF(AND($Q187&gt;=50,$Q187&lt;=70),10,IF($Q187&gt;70,3,IF($Q187&gt;=40,5,0)))+IF($S187="強気div▲",15,0)+IF($T187="上walk▲",5,0)+IF($V187&gt;=2,5,IF($V187&gt;=1.5,3,0))))</f>
      </c>
      <c r="Y187" s="682">
        <f>IF($D187="","",$D187)</f>
      </c>
      <c r="Z187" s="682">
        <f>IF($D187="","",$H187)</f>
      </c>
      <c r="AA187" s="682">
        <f>IF($D187="","",IF($D187&gt;$E187,$E187,$AD187))</f>
      </c>
      <c r="AB187" s="682">
        <f>IF($D187="","",$G187)</f>
      </c>
      <c r="AC187" s="688">
        <f>IF($D187="","",IF(($Y187-$AA187)&lt;=0,"－",IFERROR(ROUND(MIN(20,($AB187-$Y187)/($Y187-$AA187)),2),"－")))</f>
      </c>
      <c r="AD187" s="682">
        <f>IF($D187="","",MIN(終値!E187:I187))</f>
      </c>
      <c r="AE187" s="684">
        <f>IF($D187="","",$X187+(10000-ROW())/100000)</f>
      </c>
    </row>
    <row r="188">
      <c r="A188" s="681">
        <f>IF(終値!A188="","",HYPERLINK("https://kabutan.jp/stock/?code="&amp;終値!A188,"📈"))</f>
      </c>
      <c r="B188" s="681">
        <f>IF(終値!A188="","",終値!A188)</f>
      </c>
      <c r="C188" s="680">
        <f>IF(終値!A188="","",終値!B188)</f>
      </c>
      <c r="D188" s="682">
        <f>IF(終値!A188="","",終値!E188)</f>
      </c>
      <c r="E188" s="682">
        <f>IF($D188="","",AVERAGE(終値!E188:X188))</f>
      </c>
      <c r="F188" s="683">
        <f>IF($D188="","",STDEVP(終値!E188:X188))</f>
      </c>
      <c r="G188" s="682">
        <f>IF($D188="","",$E188+BB設定!$B$4*$F188)</f>
      </c>
      <c r="H188" s="682">
        <f>IF($D188="","",$E188+BB設定!$B$5*$F188)</f>
      </c>
      <c r="I188" s="682">
        <f>IF($D188="","",$E188-BB設定!$B$5*$F188)</f>
      </c>
      <c r="J188" s="682">
        <f>IF($D188="","",$E188-BB設定!$B$4*$F188)</f>
      </c>
      <c r="K188" s="687">
        <f>IF($D188="","",IFERROR(($D188-$J188)/($G188-$J188),""))</f>
      </c>
      <c r="L188" s="686">
        <f>IF($D188="","",IFERROR(($G188-$J188)/$E188*100,""))</f>
      </c>
      <c r="M188" s="686">
        <f>IF($D188="","",IFERROR(MIN(BB_帯幅!B188:AP188)*100,""))</f>
      </c>
      <c r="N188" s="681">
        <f>IF($L188="","",IF($L188&lt;=$M188*BB設定!$B$7,"スクイーズ★",IF($L188&lt;=$M188*1.3,"収縮","－")))</f>
      </c>
      <c r="O188" s="681">
        <f>IF($D188="","",IF($L188&gt;(4*STDEVP(終値!F188:Y188)/AVERAGE(終値!F188:Y188)*100),"拡大↑","縮小↓"))</f>
      </c>
      <c r="P188" s="681">
        <f>IF($D188="","",IF($D188&gt;$G188,"↑+2σ突破",IF($D188&lt;$J188,"↓-2σ割れ",IF($D188&gt;$H188,"+1σ上",IF($D188&lt;$I188,"-1σ下","バンド内")))))</f>
      </c>
      <c r="Q188" s="684">
        <f>IF($D188="","",IFERROR(100-100/(1+SUMPRODUCT((終値!E188:R188&gt;終値!F188:S188)*(終値!E188:R188-終値!F188:S188))/SUMPRODUCT((終値!E188:R188&lt;終値!F188:S188)*(終値!F188:S188-終値!E188:R188))),100))</f>
      </c>
      <c r="R188" s="684">
        <f>IF($D188="","",IFERROR(100-100/(1+SUMPRODUCT((((高値!E188:R188+安値!E188:R188+終値!E188:R188)/3)&gt;((高値!F188:S188+安値!F188:S188+終値!F188:S188)/3))*((高値!E188:R188+安値!E188:R188+終値!E188:R188)/3)*出来高!E188:R188)/SUMPRODUCT((((高値!E188:R188+安値!E188:R188+終値!E188:R188)/3)&lt;((高値!F188:S188+安値!F188:S188+終値!F188:S188)/3))*((高値!E188:R188+安値!E188:R188+終値!E188:R188)/3)*出来高!E188:R188)),50))</f>
      </c>
      <c r="S188" s="681">
        <f>IF($D188="","",IF(AND(終値!E188&lt;終値!O188,$Q188&gt;(IFERROR(100-100/(1+SUMPRODUCT((終値!O188:AB188&gt;終値!P188:AC188)*(終値!O188:AB188-終値!P188:AC188))/SUMPRODUCT((終値!O188:AB188&lt;終値!P188:AC188)*(終値!P188:AC188-終値!O188:AB188))),100))),"強気div▲",IF(AND(終値!E188&gt;終値!O188,$Q188&lt;(IFERROR(100-100/(1+SUMPRODUCT((終値!O188:AB188&gt;終値!P188:AC188)*(終値!O188:AB188-終値!P188:AC188))/SUMPRODUCT((終値!O188:AB188&lt;終値!P188:AC188)*(終値!P188:AC188-終値!O188:AB188))),100))),"弱気div▼","－")))</f>
      </c>
      <c r="T188" s="681">
        <f>IF($D188="","",IF($D188&gt;=$H188,"上walk▲",IF($D188&lt;=$I188,"下walk▼","－")))</f>
      </c>
      <c r="U188" s="681">
        <f>IF(終値!A188="","",BB_スイング!BT188)</f>
      </c>
      <c r="V188" s="689">
        <f>IF($D188="","",IFERROR(出来高!E188/AVERAGE(出来高!E188:I188),""))</f>
      </c>
      <c r="W188" s="690">
        <f>IF($D188="","",IF(AND($D188&gt;$G188,$O188="拡大↑",$L188&lt;=$M188*1.8),"◎スクイーズブレイク買",IF(AND($D188&gt;=$H188,$R188&gt;=BB設定!$B$10),"○順張り継続(walk)",IF(AND($S188="強気div▲",$D188&gt;$I188),"○反発(ダイバ)買",IF($U188="二番底W▲","△二番底買(確)",IF($U188="二番底W形成","△二番底形成",IF($D188&lt;$J188,"▼-2σ割れ危険",IF(AND($D188&gt;$E188,$K188&lt;0.6,$R188&gt;=50),"・押し目注目",IF($N188="スクイーズ★","☆スクイーズ監視","様子見")))))))))</f>
      </c>
      <c r="X188" s="685">
        <f>IF($D188="","",MIN(100,IF($L188&lt;=$M188*1.15,20,IF($L188&lt;=$M188*1.4,10,0))+IF($D188&gt;$G188,20,IF($D188&gt;$H188,12,IF($D188&gt;$E188,5,0)))+IF($O188="拡大↑",10,0)+IF($R188&gt;=80,15,IF($R188&gt;=60,10,IF($R188&gt;=50,5,0)))+IF(AND($Q188&gt;=50,$Q188&lt;=70),10,IF($Q188&gt;70,3,IF($Q188&gt;=40,5,0)))+IF($S188="強気div▲",15,0)+IF($T188="上walk▲",5,0)+IF($V188&gt;=2,5,IF($V188&gt;=1.5,3,0))))</f>
      </c>
      <c r="Y188" s="682">
        <f>IF($D188="","",$D188)</f>
      </c>
      <c r="Z188" s="682">
        <f>IF($D188="","",$H188)</f>
      </c>
      <c r="AA188" s="682">
        <f>IF($D188="","",IF($D188&gt;$E188,$E188,$AD188))</f>
      </c>
      <c r="AB188" s="682">
        <f>IF($D188="","",$G188)</f>
      </c>
      <c r="AC188" s="688">
        <f>IF($D188="","",IF(($Y188-$AA188)&lt;=0,"－",IFERROR(ROUND(MIN(20,($AB188-$Y188)/($Y188-$AA188)),2),"－")))</f>
      </c>
      <c r="AD188" s="682">
        <f>IF($D188="","",MIN(終値!E188:I188))</f>
      </c>
      <c r="AE188" s="684">
        <f>IF($D188="","",$X188+(10000-ROW())/100000)</f>
      </c>
    </row>
    <row r="189">
      <c r="A189" s="681">
        <f>IF(終値!A189="","",HYPERLINK("https://kabutan.jp/stock/?code="&amp;終値!A189,"📈"))</f>
      </c>
      <c r="B189" s="681">
        <f>IF(終値!A189="","",終値!A189)</f>
      </c>
      <c r="C189" s="680">
        <f>IF(終値!A189="","",終値!B189)</f>
      </c>
      <c r="D189" s="682">
        <f>IF(終値!A189="","",終値!E189)</f>
      </c>
      <c r="E189" s="682">
        <f>IF($D189="","",AVERAGE(終値!E189:X189))</f>
      </c>
      <c r="F189" s="683">
        <f>IF($D189="","",STDEVP(終値!E189:X189))</f>
      </c>
      <c r="G189" s="682">
        <f>IF($D189="","",$E189+BB設定!$B$4*$F189)</f>
      </c>
      <c r="H189" s="682">
        <f>IF($D189="","",$E189+BB設定!$B$5*$F189)</f>
      </c>
      <c r="I189" s="682">
        <f>IF($D189="","",$E189-BB設定!$B$5*$F189)</f>
      </c>
      <c r="J189" s="682">
        <f>IF($D189="","",$E189-BB設定!$B$4*$F189)</f>
      </c>
      <c r="K189" s="687">
        <f>IF($D189="","",IFERROR(($D189-$J189)/($G189-$J189),""))</f>
      </c>
      <c r="L189" s="686">
        <f>IF($D189="","",IFERROR(($G189-$J189)/$E189*100,""))</f>
      </c>
      <c r="M189" s="686">
        <f>IF($D189="","",IFERROR(MIN(BB_帯幅!B189:AP189)*100,""))</f>
      </c>
      <c r="N189" s="681">
        <f>IF($L189="","",IF($L189&lt;=$M189*BB設定!$B$7,"スクイーズ★",IF($L189&lt;=$M189*1.3,"収縮","－")))</f>
      </c>
      <c r="O189" s="681">
        <f>IF($D189="","",IF($L189&gt;(4*STDEVP(終値!F189:Y189)/AVERAGE(終値!F189:Y189)*100),"拡大↑","縮小↓"))</f>
      </c>
      <c r="P189" s="681">
        <f>IF($D189="","",IF($D189&gt;$G189,"↑+2σ突破",IF($D189&lt;$J189,"↓-2σ割れ",IF($D189&gt;$H189,"+1σ上",IF($D189&lt;$I189,"-1σ下","バンド内")))))</f>
      </c>
      <c r="Q189" s="684">
        <f>IF($D189="","",IFERROR(100-100/(1+SUMPRODUCT((終値!E189:R189&gt;終値!F189:S189)*(終値!E189:R189-終値!F189:S189))/SUMPRODUCT((終値!E189:R189&lt;終値!F189:S189)*(終値!F189:S189-終値!E189:R189))),100))</f>
      </c>
      <c r="R189" s="684">
        <f>IF($D189="","",IFERROR(100-100/(1+SUMPRODUCT((((高値!E189:R189+安値!E189:R189+終値!E189:R189)/3)&gt;((高値!F189:S189+安値!F189:S189+終値!F189:S189)/3))*((高値!E189:R189+安値!E189:R189+終値!E189:R189)/3)*出来高!E189:R189)/SUMPRODUCT((((高値!E189:R189+安値!E189:R189+終値!E189:R189)/3)&lt;((高値!F189:S189+安値!F189:S189+終値!F189:S189)/3))*((高値!E189:R189+安値!E189:R189+終値!E189:R189)/3)*出来高!E189:R189)),50))</f>
      </c>
      <c r="S189" s="681">
        <f>IF($D189="","",IF(AND(終値!E189&lt;終値!O189,$Q189&gt;(IFERROR(100-100/(1+SUMPRODUCT((終値!O189:AB189&gt;終値!P189:AC189)*(終値!O189:AB189-終値!P189:AC189))/SUMPRODUCT((終値!O189:AB189&lt;終値!P189:AC189)*(終値!P189:AC189-終値!O189:AB189))),100))),"強気div▲",IF(AND(終値!E189&gt;終値!O189,$Q189&lt;(IFERROR(100-100/(1+SUMPRODUCT((終値!O189:AB189&gt;終値!P189:AC189)*(終値!O189:AB189-終値!P189:AC189))/SUMPRODUCT((終値!O189:AB189&lt;終値!P189:AC189)*(終値!P189:AC189-終値!O189:AB189))),100))),"弱気div▼","－")))</f>
      </c>
      <c r="T189" s="681">
        <f>IF($D189="","",IF($D189&gt;=$H189,"上walk▲",IF($D189&lt;=$I189,"下walk▼","－")))</f>
      </c>
      <c r="U189" s="681">
        <f>IF(終値!A189="","",BB_スイング!BT189)</f>
      </c>
      <c r="V189" s="689">
        <f>IF($D189="","",IFERROR(出来高!E189/AVERAGE(出来高!E189:I189),""))</f>
      </c>
      <c r="W189" s="690">
        <f>IF($D189="","",IF(AND($D189&gt;$G189,$O189="拡大↑",$L189&lt;=$M189*1.8),"◎スクイーズブレイク買",IF(AND($D189&gt;=$H189,$R189&gt;=BB設定!$B$10),"○順張り継続(walk)",IF(AND($S189="強気div▲",$D189&gt;$I189),"○反発(ダイバ)買",IF($U189="二番底W▲","△二番底買(確)",IF($U189="二番底W形成","△二番底形成",IF($D189&lt;$J189,"▼-2σ割れ危険",IF(AND($D189&gt;$E189,$K189&lt;0.6,$R189&gt;=50),"・押し目注目",IF($N189="スクイーズ★","☆スクイーズ監視","様子見")))))))))</f>
      </c>
      <c r="X189" s="685">
        <f>IF($D189="","",MIN(100,IF($L189&lt;=$M189*1.15,20,IF($L189&lt;=$M189*1.4,10,0))+IF($D189&gt;$G189,20,IF($D189&gt;$H189,12,IF($D189&gt;$E189,5,0)))+IF($O189="拡大↑",10,0)+IF($R189&gt;=80,15,IF($R189&gt;=60,10,IF($R189&gt;=50,5,0)))+IF(AND($Q189&gt;=50,$Q189&lt;=70),10,IF($Q189&gt;70,3,IF($Q189&gt;=40,5,0)))+IF($S189="強気div▲",15,0)+IF($T189="上walk▲",5,0)+IF($V189&gt;=2,5,IF($V189&gt;=1.5,3,0))))</f>
      </c>
      <c r="Y189" s="682">
        <f>IF($D189="","",$D189)</f>
      </c>
      <c r="Z189" s="682">
        <f>IF($D189="","",$H189)</f>
      </c>
      <c r="AA189" s="682">
        <f>IF($D189="","",IF($D189&gt;$E189,$E189,$AD189))</f>
      </c>
      <c r="AB189" s="682">
        <f>IF($D189="","",$G189)</f>
      </c>
      <c r="AC189" s="688">
        <f>IF($D189="","",IF(($Y189-$AA189)&lt;=0,"－",IFERROR(ROUND(MIN(20,($AB189-$Y189)/($Y189-$AA189)),2),"－")))</f>
      </c>
      <c r="AD189" s="682">
        <f>IF($D189="","",MIN(終値!E189:I189))</f>
      </c>
      <c r="AE189" s="684">
        <f>IF($D189="","",$X189+(10000-ROW())/100000)</f>
      </c>
    </row>
    <row r="190">
      <c r="A190" s="681">
        <f>IF(終値!A190="","",HYPERLINK("https://kabutan.jp/stock/?code="&amp;終値!A190,"📈"))</f>
      </c>
      <c r="B190" s="681">
        <f>IF(終値!A190="","",終値!A190)</f>
      </c>
      <c r="C190" s="680">
        <f>IF(終値!A190="","",終値!B190)</f>
      </c>
      <c r="D190" s="682">
        <f>IF(終値!A190="","",終値!E190)</f>
      </c>
      <c r="E190" s="682">
        <f>IF($D190="","",AVERAGE(終値!E190:X190))</f>
      </c>
      <c r="F190" s="683">
        <f>IF($D190="","",STDEVP(終値!E190:X190))</f>
      </c>
      <c r="G190" s="682">
        <f>IF($D190="","",$E190+BB設定!$B$4*$F190)</f>
      </c>
      <c r="H190" s="682">
        <f>IF($D190="","",$E190+BB設定!$B$5*$F190)</f>
      </c>
      <c r="I190" s="682">
        <f>IF($D190="","",$E190-BB設定!$B$5*$F190)</f>
      </c>
      <c r="J190" s="682">
        <f>IF($D190="","",$E190-BB設定!$B$4*$F190)</f>
      </c>
      <c r="K190" s="687">
        <f>IF($D190="","",IFERROR(($D190-$J190)/($G190-$J190),""))</f>
      </c>
      <c r="L190" s="686">
        <f>IF($D190="","",IFERROR(($G190-$J190)/$E190*100,""))</f>
      </c>
      <c r="M190" s="686">
        <f>IF($D190="","",IFERROR(MIN(BB_帯幅!B190:AP190)*100,""))</f>
      </c>
      <c r="N190" s="681">
        <f>IF($L190="","",IF($L190&lt;=$M190*BB設定!$B$7,"スクイーズ★",IF($L190&lt;=$M190*1.3,"収縮","－")))</f>
      </c>
      <c r="O190" s="681">
        <f>IF($D190="","",IF($L190&gt;(4*STDEVP(終値!F190:Y190)/AVERAGE(終値!F190:Y190)*100),"拡大↑","縮小↓"))</f>
      </c>
      <c r="P190" s="681">
        <f>IF($D190="","",IF($D190&gt;$G190,"↑+2σ突破",IF($D190&lt;$J190,"↓-2σ割れ",IF($D190&gt;$H190,"+1σ上",IF($D190&lt;$I190,"-1σ下","バンド内")))))</f>
      </c>
      <c r="Q190" s="684">
        <f>IF($D190="","",IFERROR(100-100/(1+SUMPRODUCT((終値!E190:R190&gt;終値!F190:S190)*(終値!E190:R190-終値!F190:S190))/SUMPRODUCT((終値!E190:R190&lt;終値!F190:S190)*(終値!F190:S190-終値!E190:R190))),100))</f>
      </c>
      <c r="R190" s="684">
        <f>IF($D190="","",IFERROR(100-100/(1+SUMPRODUCT((((高値!E190:R190+安値!E190:R190+終値!E190:R190)/3)&gt;((高値!F190:S190+安値!F190:S190+終値!F190:S190)/3))*((高値!E190:R190+安値!E190:R190+終値!E190:R190)/3)*出来高!E190:R190)/SUMPRODUCT((((高値!E190:R190+安値!E190:R190+終値!E190:R190)/3)&lt;((高値!F190:S190+安値!F190:S190+終値!F190:S190)/3))*((高値!E190:R190+安値!E190:R190+終値!E190:R190)/3)*出来高!E190:R190)),50))</f>
      </c>
      <c r="S190" s="681">
        <f>IF($D190="","",IF(AND(終値!E190&lt;終値!O190,$Q190&gt;(IFERROR(100-100/(1+SUMPRODUCT((終値!O190:AB190&gt;終値!P190:AC190)*(終値!O190:AB190-終値!P190:AC190))/SUMPRODUCT((終値!O190:AB190&lt;終値!P190:AC190)*(終値!P190:AC190-終値!O190:AB190))),100))),"強気div▲",IF(AND(終値!E190&gt;終値!O190,$Q190&lt;(IFERROR(100-100/(1+SUMPRODUCT((終値!O190:AB190&gt;終値!P190:AC190)*(終値!O190:AB190-終値!P190:AC190))/SUMPRODUCT((終値!O190:AB190&lt;終値!P190:AC190)*(終値!P190:AC190-終値!O190:AB190))),100))),"弱気div▼","－")))</f>
      </c>
      <c r="T190" s="681">
        <f>IF($D190="","",IF($D190&gt;=$H190,"上walk▲",IF($D190&lt;=$I190,"下walk▼","－")))</f>
      </c>
      <c r="U190" s="681">
        <f>IF(終値!A190="","",BB_スイング!BT190)</f>
      </c>
      <c r="V190" s="689">
        <f>IF($D190="","",IFERROR(出来高!E190/AVERAGE(出来高!E190:I190),""))</f>
      </c>
      <c r="W190" s="690">
        <f>IF($D190="","",IF(AND($D190&gt;$G190,$O190="拡大↑",$L190&lt;=$M190*1.8),"◎スクイーズブレイク買",IF(AND($D190&gt;=$H190,$R190&gt;=BB設定!$B$10),"○順張り継続(walk)",IF(AND($S190="強気div▲",$D190&gt;$I190),"○反発(ダイバ)買",IF($U190="二番底W▲","△二番底買(確)",IF($U190="二番底W形成","△二番底形成",IF($D190&lt;$J190,"▼-2σ割れ危険",IF(AND($D190&gt;$E190,$K190&lt;0.6,$R190&gt;=50),"・押し目注目",IF($N190="スクイーズ★","☆スクイーズ監視","様子見")))))))))</f>
      </c>
      <c r="X190" s="685">
        <f>IF($D190="","",MIN(100,IF($L190&lt;=$M190*1.15,20,IF($L190&lt;=$M190*1.4,10,0))+IF($D190&gt;$G190,20,IF($D190&gt;$H190,12,IF($D190&gt;$E190,5,0)))+IF($O190="拡大↑",10,0)+IF($R190&gt;=80,15,IF($R190&gt;=60,10,IF($R190&gt;=50,5,0)))+IF(AND($Q190&gt;=50,$Q190&lt;=70),10,IF($Q190&gt;70,3,IF($Q190&gt;=40,5,0)))+IF($S190="強気div▲",15,0)+IF($T190="上walk▲",5,0)+IF($V190&gt;=2,5,IF($V190&gt;=1.5,3,0))))</f>
      </c>
      <c r="Y190" s="682">
        <f>IF($D190="","",$D190)</f>
      </c>
      <c r="Z190" s="682">
        <f>IF($D190="","",$H190)</f>
      </c>
      <c r="AA190" s="682">
        <f>IF($D190="","",IF($D190&gt;$E190,$E190,$AD190))</f>
      </c>
      <c r="AB190" s="682">
        <f>IF($D190="","",$G190)</f>
      </c>
      <c r="AC190" s="688">
        <f>IF($D190="","",IF(($Y190-$AA190)&lt;=0,"－",IFERROR(ROUND(MIN(20,($AB190-$Y190)/($Y190-$AA190)),2),"－")))</f>
      </c>
      <c r="AD190" s="682">
        <f>IF($D190="","",MIN(終値!E190:I190))</f>
      </c>
      <c r="AE190" s="684">
        <f>IF($D190="","",$X190+(10000-ROW())/100000)</f>
      </c>
    </row>
    <row r="191">
      <c r="A191" s="681">
        <f>IF(終値!A191="","",HYPERLINK("https://kabutan.jp/stock/?code="&amp;終値!A191,"📈"))</f>
      </c>
      <c r="B191" s="681">
        <f>IF(終値!A191="","",終値!A191)</f>
      </c>
      <c r="C191" s="680">
        <f>IF(終値!A191="","",終値!B191)</f>
      </c>
      <c r="D191" s="682">
        <f>IF(終値!A191="","",終値!E191)</f>
      </c>
      <c r="E191" s="682">
        <f>IF($D191="","",AVERAGE(終値!E191:X191))</f>
      </c>
      <c r="F191" s="683">
        <f>IF($D191="","",STDEVP(終値!E191:X191))</f>
      </c>
      <c r="G191" s="682">
        <f>IF($D191="","",$E191+BB設定!$B$4*$F191)</f>
      </c>
      <c r="H191" s="682">
        <f>IF($D191="","",$E191+BB設定!$B$5*$F191)</f>
      </c>
      <c r="I191" s="682">
        <f>IF($D191="","",$E191-BB設定!$B$5*$F191)</f>
      </c>
      <c r="J191" s="682">
        <f>IF($D191="","",$E191-BB設定!$B$4*$F191)</f>
      </c>
      <c r="K191" s="687">
        <f>IF($D191="","",IFERROR(($D191-$J191)/($G191-$J191),""))</f>
      </c>
      <c r="L191" s="686">
        <f>IF($D191="","",IFERROR(($G191-$J191)/$E191*100,""))</f>
      </c>
      <c r="M191" s="686">
        <f>IF($D191="","",IFERROR(MIN(BB_帯幅!B191:AP191)*100,""))</f>
      </c>
      <c r="N191" s="681">
        <f>IF($L191="","",IF($L191&lt;=$M191*BB設定!$B$7,"スクイーズ★",IF($L191&lt;=$M191*1.3,"収縮","－")))</f>
      </c>
      <c r="O191" s="681">
        <f>IF($D191="","",IF($L191&gt;(4*STDEVP(終値!F191:Y191)/AVERAGE(終値!F191:Y191)*100),"拡大↑","縮小↓"))</f>
      </c>
      <c r="P191" s="681">
        <f>IF($D191="","",IF($D191&gt;$G191,"↑+2σ突破",IF($D191&lt;$J191,"↓-2σ割れ",IF($D191&gt;$H191,"+1σ上",IF($D191&lt;$I191,"-1σ下","バンド内")))))</f>
      </c>
      <c r="Q191" s="684">
        <f>IF($D191="","",IFERROR(100-100/(1+SUMPRODUCT((終値!E191:R191&gt;終値!F191:S191)*(終値!E191:R191-終値!F191:S191))/SUMPRODUCT((終値!E191:R191&lt;終値!F191:S191)*(終値!F191:S191-終値!E191:R191))),100))</f>
      </c>
      <c r="R191" s="684">
        <f>IF($D191="","",IFERROR(100-100/(1+SUMPRODUCT((((高値!E191:R191+安値!E191:R191+終値!E191:R191)/3)&gt;((高値!F191:S191+安値!F191:S191+終値!F191:S191)/3))*((高値!E191:R191+安値!E191:R191+終値!E191:R191)/3)*出来高!E191:R191)/SUMPRODUCT((((高値!E191:R191+安値!E191:R191+終値!E191:R191)/3)&lt;((高値!F191:S191+安値!F191:S191+終値!F191:S191)/3))*((高値!E191:R191+安値!E191:R191+終値!E191:R191)/3)*出来高!E191:R191)),50))</f>
      </c>
      <c r="S191" s="681">
        <f>IF($D191="","",IF(AND(終値!E191&lt;終値!O191,$Q191&gt;(IFERROR(100-100/(1+SUMPRODUCT((終値!O191:AB191&gt;終値!P191:AC191)*(終値!O191:AB191-終値!P191:AC191))/SUMPRODUCT((終値!O191:AB191&lt;終値!P191:AC191)*(終値!P191:AC191-終値!O191:AB191))),100))),"強気div▲",IF(AND(終値!E191&gt;終値!O191,$Q191&lt;(IFERROR(100-100/(1+SUMPRODUCT((終値!O191:AB191&gt;終値!P191:AC191)*(終値!O191:AB191-終値!P191:AC191))/SUMPRODUCT((終値!O191:AB191&lt;終値!P191:AC191)*(終値!P191:AC191-終値!O191:AB191))),100))),"弱気div▼","－")))</f>
      </c>
      <c r="T191" s="681">
        <f>IF($D191="","",IF($D191&gt;=$H191,"上walk▲",IF($D191&lt;=$I191,"下walk▼","－")))</f>
      </c>
      <c r="U191" s="681">
        <f>IF(終値!A191="","",BB_スイング!BT191)</f>
      </c>
      <c r="V191" s="689">
        <f>IF($D191="","",IFERROR(出来高!E191/AVERAGE(出来高!E191:I191),""))</f>
      </c>
      <c r="W191" s="690">
        <f>IF($D191="","",IF(AND($D191&gt;$G191,$O191="拡大↑",$L191&lt;=$M191*1.8),"◎スクイーズブレイク買",IF(AND($D191&gt;=$H191,$R191&gt;=BB設定!$B$10),"○順張り継続(walk)",IF(AND($S191="強気div▲",$D191&gt;$I191),"○反発(ダイバ)買",IF($U191="二番底W▲","△二番底買(確)",IF($U191="二番底W形成","△二番底形成",IF($D191&lt;$J191,"▼-2σ割れ危険",IF(AND($D191&gt;$E191,$K191&lt;0.6,$R191&gt;=50),"・押し目注目",IF($N191="スクイーズ★","☆スクイーズ監視","様子見")))))))))</f>
      </c>
      <c r="X191" s="685">
        <f>IF($D191="","",MIN(100,IF($L191&lt;=$M191*1.15,20,IF($L191&lt;=$M191*1.4,10,0))+IF($D191&gt;$G191,20,IF($D191&gt;$H191,12,IF($D191&gt;$E191,5,0)))+IF($O191="拡大↑",10,0)+IF($R191&gt;=80,15,IF($R191&gt;=60,10,IF($R191&gt;=50,5,0)))+IF(AND($Q191&gt;=50,$Q191&lt;=70),10,IF($Q191&gt;70,3,IF($Q191&gt;=40,5,0)))+IF($S191="強気div▲",15,0)+IF($T191="上walk▲",5,0)+IF($V191&gt;=2,5,IF($V191&gt;=1.5,3,0))))</f>
      </c>
      <c r="Y191" s="682">
        <f>IF($D191="","",$D191)</f>
      </c>
      <c r="Z191" s="682">
        <f>IF($D191="","",$H191)</f>
      </c>
      <c r="AA191" s="682">
        <f>IF($D191="","",IF($D191&gt;$E191,$E191,$AD191))</f>
      </c>
      <c r="AB191" s="682">
        <f>IF($D191="","",$G191)</f>
      </c>
      <c r="AC191" s="688">
        <f>IF($D191="","",IF(($Y191-$AA191)&lt;=0,"－",IFERROR(ROUND(MIN(20,($AB191-$Y191)/($Y191-$AA191)),2),"－")))</f>
      </c>
      <c r="AD191" s="682">
        <f>IF($D191="","",MIN(終値!E191:I191))</f>
      </c>
      <c r="AE191" s="684">
        <f>IF($D191="","",$X191+(10000-ROW())/100000)</f>
      </c>
    </row>
    <row r="192">
      <c r="A192" s="681">
        <f>IF(終値!A192="","",HYPERLINK("https://kabutan.jp/stock/?code="&amp;終値!A192,"📈"))</f>
      </c>
      <c r="B192" s="681">
        <f>IF(終値!A192="","",終値!A192)</f>
      </c>
      <c r="C192" s="680">
        <f>IF(終値!A192="","",終値!B192)</f>
      </c>
      <c r="D192" s="682">
        <f>IF(終値!A192="","",終値!E192)</f>
      </c>
      <c r="E192" s="682">
        <f>IF($D192="","",AVERAGE(終値!E192:X192))</f>
      </c>
      <c r="F192" s="683">
        <f>IF($D192="","",STDEVP(終値!E192:X192))</f>
      </c>
      <c r="G192" s="682">
        <f>IF($D192="","",$E192+BB設定!$B$4*$F192)</f>
      </c>
      <c r="H192" s="682">
        <f>IF($D192="","",$E192+BB設定!$B$5*$F192)</f>
      </c>
      <c r="I192" s="682">
        <f>IF($D192="","",$E192-BB設定!$B$5*$F192)</f>
      </c>
      <c r="J192" s="682">
        <f>IF($D192="","",$E192-BB設定!$B$4*$F192)</f>
      </c>
      <c r="K192" s="687">
        <f>IF($D192="","",IFERROR(($D192-$J192)/($G192-$J192),""))</f>
      </c>
      <c r="L192" s="686">
        <f>IF($D192="","",IFERROR(($G192-$J192)/$E192*100,""))</f>
      </c>
      <c r="M192" s="686">
        <f>IF($D192="","",IFERROR(MIN(BB_帯幅!B192:AP192)*100,""))</f>
      </c>
      <c r="N192" s="681">
        <f>IF($L192="","",IF($L192&lt;=$M192*BB設定!$B$7,"スクイーズ★",IF($L192&lt;=$M192*1.3,"収縮","－")))</f>
      </c>
      <c r="O192" s="681">
        <f>IF($D192="","",IF($L192&gt;(4*STDEVP(終値!F192:Y192)/AVERAGE(終値!F192:Y192)*100),"拡大↑","縮小↓"))</f>
      </c>
      <c r="P192" s="681">
        <f>IF($D192="","",IF($D192&gt;$G192,"↑+2σ突破",IF($D192&lt;$J192,"↓-2σ割れ",IF($D192&gt;$H192,"+1σ上",IF($D192&lt;$I192,"-1σ下","バンド内")))))</f>
      </c>
      <c r="Q192" s="684">
        <f>IF($D192="","",IFERROR(100-100/(1+SUMPRODUCT((終値!E192:R192&gt;終値!F192:S192)*(終値!E192:R192-終値!F192:S192))/SUMPRODUCT((終値!E192:R192&lt;終値!F192:S192)*(終値!F192:S192-終値!E192:R192))),100))</f>
      </c>
      <c r="R192" s="684">
        <f>IF($D192="","",IFERROR(100-100/(1+SUMPRODUCT((((高値!E192:R192+安値!E192:R192+終値!E192:R192)/3)&gt;((高値!F192:S192+安値!F192:S192+終値!F192:S192)/3))*((高値!E192:R192+安値!E192:R192+終値!E192:R192)/3)*出来高!E192:R192)/SUMPRODUCT((((高値!E192:R192+安値!E192:R192+終値!E192:R192)/3)&lt;((高値!F192:S192+安値!F192:S192+終値!F192:S192)/3))*((高値!E192:R192+安値!E192:R192+終値!E192:R192)/3)*出来高!E192:R192)),50))</f>
      </c>
      <c r="S192" s="681">
        <f>IF($D192="","",IF(AND(終値!E192&lt;終値!O192,$Q192&gt;(IFERROR(100-100/(1+SUMPRODUCT((終値!O192:AB192&gt;終値!P192:AC192)*(終値!O192:AB192-終値!P192:AC192))/SUMPRODUCT((終値!O192:AB192&lt;終値!P192:AC192)*(終値!P192:AC192-終値!O192:AB192))),100))),"強気div▲",IF(AND(終値!E192&gt;終値!O192,$Q192&lt;(IFERROR(100-100/(1+SUMPRODUCT((終値!O192:AB192&gt;終値!P192:AC192)*(終値!O192:AB192-終値!P192:AC192))/SUMPRODUCT((終値!O192:AB192&lt;終値!P192:AC192)*(終値!P192:AC192-終値!O192:AB192))),100))),"弱気div▼","－")))</f>
      </c>
      <c r="T192" s="681">
        <f>IF($D192="","",IF($D192&gt;=$H192,"上walk▲",IF($D192&lt;=$I192,"下walk▼","－")))</f>
      </c>
      <c r="U192" s="681">
        <f>IF(終値!A192="","",BB_スイング!BT192)</f>
      </c>
      <c r="V192" s="689">
        <f>IF($D192="","",IFERROR(出来高!E192/AVERAGE(出来高!E192:I192),""))</f>
      </c>
      <c r="W192" s="690">
        <f>IF($D192="","",IF(AND($D192&gt;$G192,$O192="拡大↑",$L192&lt;=$M192*1.8),"◎スクイーズブレイク買",IF(AND($D192&gt;=$H192,$R192&gt;=BB設定!$B$10),"○順張り継続(walk)",IF(AND($S192="強気div▲",$D192&gt;$I192),"○反発(ダイバ)買",IF($U192="二番底W▲","△二番底買(確)",IF($U192="二番底W形成","△二番底形成",IF($D192&lt;$J192,"▼-2σ割れ危険",IF(AND($D192&gt;$E192,$K192&lt;0.6,$R192&gt;=50),"・押し目注目",IF($N192="スクイーズ★","☆スクイーズ監視","様子見")))))))))</f>
      </c>
      <c r="X192" s="685">
        <f>IF($D192="","",MIN(100,IF($L192&lt;=$M192*1.15,20,IF($L192&lt;=$M192*1.4,10,0))+IF($D192&gt;$G192,20,IF($D192&gt;$H192,12,IF($D192&gt;$E192,5,0)))+IF($O192="拡大↑",10,0)+IF($R192&gt;=80,15,IF($R192&gt;=60,10,IF($R192&gt;=50,5,0)))+IF(AND($Q192&gt;=50,$Q192&lt;=70),10,IF($Q192&gt;70,3,IF($Q192&gt;=40,5,0)))+IF($S192="強気div▲",15,0)+IF($T192="上walk▲",5,0)+IF($V192&gt;=2,5,IF($V192&gt;=1.5,3,0))))</f>
      </c>
      <c r="Y192" s="682">
        <f>IF($D192="","",$D192)</f>
      </c>
      <c r="Z192" s="682">
        <f>IF($D192="","",$H192)</f>
      </c>
      <c r="AA192" s="682">
        <f>IF($D192="","",IF($D192&gt;$E192,$E192,$AD192))</f>
      </c>
      <c r="AB192" s="682">
        <f>IF($D192="","",$G192)</f>
      </c>
      <c r="AC192" s="688">
        <f>IF($D192="","",IF(($Y192-$AA192)&lt;=0,"－",IFERROR(ROUND(MIN(20,($AB192-$Y192)/($Y192-$AA192)),2),"－")))</f>
      </c>
      <c r="AD192" s="682">
        <f>IF($D192="","",MIN(終値!E192:I192))</f>
      </c>
      <c r="AE192" s="684">
        <f>IF($D192="","",$X192+(10000-ROW())/100000)</f>
      </c>
    </row>
    <row r="193">
      <c r="A193" s="681">
        <f>IF(終値!A193="","",HYPERLINK("https://kabutan.jp/stock/?code="&amp;終値!A193,"📈"))</f>
      </c>
      <c r="B193" s="681">
        <f>IF(終値!A193="","",終値!A193)</f>
      </c>
      <c r="C193" s="680">
        <f>IF(終値!A193="","",終値!B193)</f>
      </c>
      <c r="D193" s="682">
        <f>IF(終値!A193="","",終値!E193)</f>
      </c>
      <c r="E193" s="682">
        <f>IF($D193="","",AVERAGE(終値!E193:X193))</f>
      </c>
      <c r="F193" s="683">
        <f>IF($D193="","",STDEVP(終値!E193:X193))</f>
      </c>
      <c r="G193" s="682">
        <f>IF($D193="","",$E193+BB設定!$B$4*$F193)</f>
      </c>
      <c r="H193" s="682">
        <f>IF($D193="","",$E193+BB設定!$B$5*$F193)</f>
      </c>
      <c r="I193" s="682">
        <f>IF($D193="","",$E193-BB設定!$B$5*$F193)</f>
      </c>
      <c r="J193" s="682">
        <f>IF($D193="","",$E193-BB設定!$B$4*$F193)</f>
      </c>
      <c r="K193" s="687">
        <f>IF($D193="","",IFERROR(($D193-$J193)/($G193-$J193),""))</f>
      </c>
      <c r="L193" s="686">
        <f>IF($D193="","",IFERROR(($G193-$J193)/$E193*100,""))</f>
      </c>
      <c r="M193" s="686">
        <f>IF($D193="","",IFERROR(MIN(BB_帯幅!B193:AP193)*100,""))</f>
      </c>
      <c r="N193" s="681">
        <f>IF($L193="","",IF($L193&lt;=$M193*BB設定!$B$7,"スクイーズ★",IF($L193&lt;=$M193*1.3,"収縮","－")))</f>
      </c>
      <c r="O193" s="681">
        <f>IF($D193="","",IF($L193&gt;(4*STDEVP(終値!F193:Y193)/AVERAGE(終値!F193:Y193)*100),"拡大↑","縮小↓"))</f>
      </c>
      <c r="P193" s="681">
        <f>IF($D193="","",IF($D193&gt;$G193,"↑+2σ突破",IF($D193&lt;$J193,"↓-2σ割れ",IF($D193&gt;$H193,"+1σ上",IF($D193&lt;$I193,"-1σ下","バンド内")))))</f>
      </c>
      <c r="Q193" s="684">
        <f>IF($D193="","",IFERROR(100-100/(1+SUMPRODUCT((終値!E193:R193&gt;終値!F193:S193)*(終値!E193:R193-終値!F193:S193))/SUMPRODUCT((終値!E193:R193&lt;終値!F193:S193)*(終値!F193:S193-終値!E193:R193))),100))</f>
      </c>
      <c r="R193" s="684">
        <f>IF($D193="","",IFERROR(100-100/(1+SUMPRODUCT((((高値!E193:R193+安値!E193:R193+終値!E193:R193)/3)&gt;((高値!F193:S193+安値!F193:S193+終値!F193:S193)/3))*((高値!E193:R193+安値!E193:R193+終値!E193:R193)/3)*出来高!E193:R193)/SUMPRODUCT((((高値!E193:R193+安値!E193:R193+終値!E193:R193)/3)&lt;((高値!F193:S193+安値!F193:S193+終値!F193:S193)/3))*((高値!E193:R193+安値!E193:R193+終値!E193:R193)/3)*出来高!E193:R193)),50))</f>
      </c>
      <c r="S193" s="681">
        <f>IF($D193="","",IF(AND(終値!E193&lt;終値!O193,$Q193&gt;(IFERROR(100-100/(1+SUMPRODUCT((終値!O193:AB193&gt;終値!P193:AC193)*(終値!O193:AB193-終値!P193:AC193))/SUMPRODUCT((終値!O193:AB193&lt;終値!P193:AC193)*(終値!P193:AC193-終値!O193:AB193))),100))),"強気div▲",IF(AND(終値!E193&gt;終値!O193,$Q193&lt;(IFERROR(100-100/(1+SUMPRODUCT((終値!O193:AB193&gt;終値!P193:AC193)*(終値!O193:AB193-終値!P193:AC193))/SUMPRODUCT((終値!O193:AB193&lt;終値!P193:AC193)*(終値!P193:AC193-終値!O193:AB193))),100))),"弱気div▼","－")))</f>
      </c>
      <c r="T193" s="681">
        <f>IF($D193="","",IF($D193&gt;=$H193,"上walk▲",IF($D193&lt;=$I193,"下walk▼","－")))</f>
      </c>
      <c r="U193" s="681">
        <f>IF(終値!A193="","",BB_スイング!BT193)</f>
      </c>
      <c r="V193" s="689">
        <f>IF($D193="","",IFERROR(出来高!E193/AVERAGE(出来高!E193:I193),""))</f>
      </c>
      <c r="W193" s="690">
        <f>IF($D193="","",IF(AND($D193&gt;$G193,$O193="拡大↑",$L193&lt;=$M193*1.8),"◎スクイーズブレイク買",IF(AND($D193&gt;=$H193,$R193&gt;=BB設定!$B$10),"○順張り継続(walk)",IF(AND($S193="強気div▲",$D193&gt;$I193),"○反発(ダイバ)買",IF($U193="二番底W▲","△二番底買(確)",IF($U193="二番底W形成","△二番底形成",IF($D193&lt;$J193,"▼-2σ割れ危険",IF(AND($D193&gt;$E193,$K193&lt;0.6,$R193&gt;=50),"・押し目注目",IF($N193="スクイーズ★","☆スクイーズ監視","様子見")))))))))</f>
      </c>
      <c r="X193" s="685">
        <f>IF($D193="","",MIN(100,IF($L193&lt;=$M193*1.15,20,IF($L193&lt;=$M193*1.4,10,0))+IF($D193&gt;$G193,20,IF($D193&gt;$H193,12,IF($D193&gt;$E193,5,0)))+IF($O193="拡大↑",10,0)+IF($R193&gt;=80,15,IF($R193&gt;=60,10,IF($R193&gt;=50,5,0)))+IF(AND($Q193&gt;=50,$Q193&lt;=70),10,IF($Q193&gt;70,3,IF($Q193&gt;=40,5,0)))+IF($S193="強気div▲",15,0)+IF($T193="上walk▲",5,0)+IF($V193&gt;=2,5,IF($V193&gt;=1.5,3,0))))</f>
      </c>
      <c r="Y193" s="682">
        <f>IF($D193="","",$D193)</f>
      </c>
      <c r="Z193" s="682">
        <f>IF($D193="","",$H193)</f>
      </c>
      <c r="AA193" s="682">
        <f>IF($D193="","",IF($D193&gt;$E193,$E193,$AD193))</f>
      </c>
      <c r="AB193" s="682">
        <f>IF($D193="","",$G193)</f>
      </c>
      <c r="AC193" s="688">
        <f>IF($D193="","",IF(($Y193-$AA193)&lt;=0,"－",IFERROR(ROUND(MIN(20,($AB193-$Y193)/($Y193-$AA193)),2),"－")))</f>
      </c>
      <c r="AD193" s="682">
        <f>IF($D193="","",MIN(終値!E193:I193))</f>
      </c>
      <c r="AE193" s="684">
        <f>IF($D193="","",$X193+(10000-ROW())/100000)</f>
      </c>
    </row>
    <row r="194">
      <c r="A194" s="681">
        <f>IF(終値!A194="","",HYPERLINK("https://kabutan.jp/stock/?code="&amp;終値!A194,"📈"))</f>
      </c>
      <c r="B194" s="681">
        <f>IF(終値!A194="","",終値!A194)</f>
      </c>
      <c r="C194" s="680">
        <f>IF(終値!A194="","",終値!B194)</f>
      </c>
      <c r="D194" s="682">
        <f>IF(終値!A194="","",終値!E194)</f>
      </c>
      <c r="E194" s="682">
        <f>IF($D194="","",AVERAGE(終値!E194:X194))</f>
      </c>
      <c r="F194" s="683">
        <f>IF($D194="","",STDEVP(終値!E194:X194))</f>
      </c>
      <c r="G194" s="682">
        <f>IF($D194="","",$E194+BB設定!$B$4*$F194)</f>
      </c>
      <c r="H194" s="682">
        <f>IF($D194="","",$E194+BB設定!$B$5*$F194)</f>
      </c>
      <c r="I194" s="682">
        <f>IF($D194="","",$E194-BB設定!$B$5*$F194)</f>
      </c>
      <c r="J194" s="682">
        <f>IF($D194="","",$E194-BB設定!$B$4*$F194)</f>
      </c>
      <c r="K194" s="687">
        <f>IF($D194="","",IFERROR(($D194-$J194)/($G194-$J194),""))</f>
      </c>
      <c r="L194" s="686">
        <f>IF($D194="","",IFERROR(($G194-$J194)/$E194*100,""))</f>
      </c>
      <c r="M194" s="686">
        <f>IF($D194="","",IFERROR(MIN(BB_帯幅!B194:AP194)*100,""))</f>
      </c>
      <c r="N194" s="681">
        <f>IF($L194="","",IF($L194&lt;=$M194*BB設定!$B$7,"スクイーズ★",IF($L194&lt;=$M194*1.3,"収縮","－")))</f>
      </c>
      <c r="O194" s="681">
        <f>IF($D194="","",IF($L194&gt;(4*STDEVP(終値!F194:Y194)/AVERAGE(終値!F194:Y194)*100),"拡大↑","縮小↓"))</f>
      </c>
      <c r="P194" s="681">
        <f>IF($D194="","",IF($D194&gt;$G194,"↑+2σ突破",IF($D194&lt;$J194,"↓-2σ割れ",IF($D194&gt;$H194,"+1σ上",IF($D194&lt;$I194,"-1σ下","バンド内")))))</f>
      </c>
      <c r="Q194" s="684">
        <f>IF($D194="","",IFERROR(100-100/(1+SUMPRODUCT((終値!E194:R194&gt;終値!F194:S194)*(終値!E194:R194-終値!F194:S194))/SUMPRODUCT((終値!E194:R194&lt;終値!F194:S194)*(終値!F194:S194-終値!E194:R194))),100))</f>
      </c>
      <c r="R194" s="684">
        <f>IF($D194="","",IFERROR(100-100/(1+SUMPRODUCT((((高値!E194:R194+安値!E194:R194+終値!E194:R194)/3)&gt;((高値!F194:S194+安値!F194:S194+終値!F194:S194)/3))*((高値!E194:R194+安値!E194:R194+終値!E194:R194)/3)*出来高!E194:R194)/SUMPRODUCT((((高値!E194:R194+安値!E194:R194+終値!E194:R194)/3)&lt;((高値!F194:S194+安値!F194:S194+終値!F194:S194)/3))*((高値!E194:R194+安値!E194:R194+終値!E194:R194)/3)*出来高!E194:R194)),50))</f>
      </c>
      <c r="S194" s="681">
        <f>IF($D194="","",IF(AND(終値!E194&lt;終値!O194,$Q194&gt;(IFERROR(100-100/(1+SUMPRODUCT((終値!O194:AB194&gt;終値!P194:AC194)*(終値!O194:AB194-終値!P194:AC194))/SUMPRODUCT((終値!O194:AB194&lt;終値!P194:AC194)*(終値!P194:AC194-終値!O194:AB194))),100))),"強気div▲",IF(AND(終値!E194&gt;終値!O194,$Q194&lt;(IFERROR(100-100/(1+SUMPRODUCT((終値!O194:AB194&gt;終値!P194:AC194)*(終値!O194:AB194-終値!P194:AC194))/SUMPRODUCT((終値!O194:AB194&lt;終値!P194:AC194)*(終値!P194:AC194-終値!O194:AB194))),100))),"弱気div▼","－")))</f>
      </c>
      <c r="T194" s="681">
        <f>IF($D194="","",IF($D194&gt;=$H194,"上walk▲",IF($D194&lt;=$I194,"下walk▼","－")))</f>
      </c>
      <c r="U194" s="681">
        <f>IF(終値!A194="","",BB_スイング!BT194)</f>
      </c>
      <c r="V194" s="689">
        <f>IF($D194="","",IFERROR(出来高!E194/AVERAGE(出来高!E194:I194),""))</f>
      </c>
      <c r="W194" s="690">
        <f>IF($D194="","",IF(AND($D194&gt;$G194,$O194="拡大↑",$L194&lt;=$M194*1.8),"◎スクイーズブレイク買",IF(AND($D194&gt;=$H194,$R194&gt;=BB設定!$B$10),"○順張り継続(walk)",IF(AND($S194="強気div▲",$D194&gt;$I194),"○反発(ダイバ)買",IF($U194="二番底W▲","△二番底買(確)",IF($U194="二番底W形成","△二番底形成",IF($D194&lt;$J194,"▼-2σ割れ危険",IF(AND($D194&gt;$E194,$K194&lt;0.6,$R194&gt;=50),"・押し目注目",IF($N194="スクイーズ★","☆スクイーズ監視","様子見")))))))))</f>
      </c>
      <c r="X194" s="685">
        <f>IF($D194="","",MIN(100,IF($L194&lt;=$M194*1.15,20,IF($L194&lt;=$M194*1.4,10,0))+IF($D194&gt;$G194,20,IF($D194&gt;$H194,12,IF($D194&gt;$E194,5,0)))+IF($O194="拡大↑",10,0)+IF($R194&gt;=80,15,IF($R194&gt;=60,10,IF($R194&gt;=50,5,0)))+IF(AND($Q194&gt;=50,$Q194&lt;=70),10,IF($Q194&gt;70,3,IF($Q194&gt;=40,5,0)))+IF($S194="強気div▲",15,0)+IF($T194="上walk▲",5,0)+IF($V194&gt;=2,5,IF($V194&gt;=1.5,3,0))))</f>
      </c>
      <c r="Y194" s="682">
        <f>IF($D194="","",$D194)</f>
      </c>
      <c r="Z194" s="682">
        <f>IF($D194="","",$H194)</f>
      </c>
      <c r="AA194" s="682">
        <f>IF($D194="","",IF($D194&gt;$E194,$E194,$AD194))</f>
      </c>
      <c r="AB194" s="682">
        <f>IF($D194="","",$G194)</f>
      </c>
      <c r="AC194" s="688">
        <f>IF($D194="","",IF(($Y194-$AA194)&lt;=0,"－",IFERROR(ROUND(MIN(20,($AB194-$Y194)/($Y194-$AA194)),2),"－")))</f>
      </c>
      <c r="AD194" s="682">
        <f>IF($D194="","",MIN(終値!E194:I194))</f>
      </c>
      <c r="AE194" s="684">
        <f>IF($D194="","",$X194+(10000-ROW())/100000)</f>
      </c>
    </row>
    <row r="195">
      <c r="A195" s="681">
        <f>IF(終値!A195="","",HYPERLINK("https://kabutan.jp/stock/?code="&amp;終値!A195,"📈"))</f>
      </c>
      <c r="B195" s="681">
        <f>IF(終値!A195="","",終値!A195)</f>
      </c>
      <c r="C195" s="680">
        <f>IF(終値!A195="","",終値!B195)</f>
      </c>
      <c r="D195" s="682">
        <f>IF(終値!A195="","",終値!E195)</f>
      </c>
      <c r="E195" s="682">
        <f>IF($D195="","",AVERAGE(終値!E195:X195))</f>
      </c>
      <c r="F195" s="683">
        <f>IF($D195="","",STDEVP(終値!E195:X195))</f>
      </c>
      <c r="G195" s="682">
        <f>IF($D195="","",$E195+BB設定!$B$4*$F195)</f>
      </c>
      <c r="H195" s="682">
        <f>IF($D195="","",$E195+BB設定!$B$5*$F195)</f>
      </c>
      <c r="I195" s="682">
        <f>IF($D195="","",$E195-BB設定!$B$5*$F195)</f>
      </c>
      <c r="J195" s="682">
        <f>IF($D195="","",$E195-BB設定!$B$4*$F195)</f>
      </c>
      <c r="K195" s="687">
        <f>IF($D195="","",IFERROR(($D195-$J195)/($G195-$J195),""))</f>
      </c>
      <c r="L195" s="686">
        <f>IF($D195="","",IFERROR(($G195-$J195)/$E195*100,""))</f>
      </c>
      <c r="M195" s="686">
        <f>IF($D195="","",IFERROR(MIN(BB_帯幅!B195:AP195)*100,""))</f>
      </c>
      <c r="N195" s="681">
        <f>IF($L195="","",IF($L195&lt;=$M195*BB設定!$B$7,"スクイーズ★",IF($L195&lt;=$M195*1.3,"収縮","－")))</f>
      </c>
      <c r="O195" s="681">
        <f>IF($D195="","",IF($L195&gt;(4*STDEVP(終値!F195:Y195)/AVERAGE(終値!F195:Y195)*100),"拡大↑","縮小↓"))</f>
      </c>
      <c r="P195" s="681">
        <f>IF($D195="","",IF($D195&gt;$G195,"↑+2σ突破",IF($D195&lt;$J195,"↓-2σ割れ",IF($D195&gt;$H195,"+1σ上",IF($D195&lt;$I195,"-1σ下","バンド内")))))</f>
      </c>
      <c r="Q195" s="684">
        <f>IF($D195="","",IFERROR(100-100/(1+SUMPRODUCT((終値!E195:R195&gt;終値!F195:S195)*(終値!E195:R195-終値!F195:S195))/SUMPRODUCT((終値!E195:R195&lt;終値!F195:S195)*(終値!F195:S195-終値!E195:R195))),100))</f>
      </c>
      <c r="R195" s="684">
        <f>IF($D195="","",IFERROR(100-100/(1+SUMPRODUCT((((高値!E195:R195+安値!E195:R195+終値!E195:R195)/3)&gt;((高値!F195:S195+安値!F195:S195+終値!F195:S195)/3))*((高値!E195:R195+安値!E195:R195+終値!E195:R195)/3)*出来高!E195:R195)/SUMPRODUCT((((高値!E195:R195+安値!E195:R195+終値!E195:R195)/3)&lt;((高値!F195:S195+安値!F195:S195+終値!F195:S195)/3))*((高値!E195:R195+安値!E195:R195+終値!E195:R195)/3)*出来高!E195:R195)),50))</f>
      </c>
      <c r="S195" s="681">
        <f>IF($D195="","",IF(AND(終値!E195&lt;終値!O195,$Q195&gt;(IFERROR(100-100/(1+SUMPRODUCT((終値!O195:AB195&gt;終値!P195:AC195)*(終値!O195:AB195-終値!P195:AC195))/SUMPRODUCT((終値!O195:AB195&lt;終値!P195:AC195)*(終値!P195:AC195-終値!O195:AB195))),100))),"強気div▲",IF(AND(終値!E195&gt;終値!O195,$Q195&lt;(IFERROR(100-100/(1+SUMPRODUCT((終値!O195:AB195&gt;終値!P195:AC195)*(終値!O195:AB195-終値!P195:AC195))/SUMPRODUCT((終値!O195:AB195&lt;終値!P195:AC195)*(終値!P195:AC195-終値!O195:AB195))),100))),"弱気div▼","－")))</f>
      </c>
      <c r="T195" s="681">
        <f>IF($D195="","",IF($D195&gt;=$H195,"上walk▲",IF($D195&lt;=$I195,"下walk▼","－")))</f>
      </c>
      <c r="U195" s="681">
        <f>IF(終値!A195="","",BB_スイング!BT195)</f>
      </c>
      <c r="V195" s="689">
        <f>IF($D195="","",IFERROR(出来高!E195/AVERAGE(出来高!E195:I195),""))</f>
      </c>
      <c r="W195" s="690">
        <f>IF($D195="","",IF(AND($D195&gt;$G195,$O195="拡大↑",$L195&lt;=$M195*1.8),"◎スクイーズブレイク買",IF(AND($D195&gt;=$H195,$R195&gt;=BB設定!$B$10),"○順張り継続(walk)",IF(AND($S195="強気div▲",$D195&gt;$I195),"○反発(ダイバ)買",IF($U195="二番底W▲","△二番底買(確)",IF($U195="二番底W形成","△二番底形成",IF($D195&lt;$J195,"▼-2σ割れ危険",IF(AND($D195&gt;$E195,$K195&lt;0.6,$R195&gt;=50),"・押し目注目",IF($N195="スクイーズ★","☆スクイーズ監視","様子見")))))))))</f>
      </c>
      <c r="X195" s="685">
        <f>IF($D195="","",MIN(100,IF($L195&lt;=$M195*1.15,20,IF($L195&lt;=$M195*1.4,10,0))+IF($D195&gt;$G195,20,IF($D195&gt;$H195,12,IF($D195&gt;$E195,5,0)))+IF($O195="拡大↑",10,0)+IF($R195&gt;=80,15,IF($R195&gt;=60,10,IF($R195&gt;=50,5,0)))+IF(AND($Q195&gt;=50,$Q195&lt;=70),10,IF($Q195&gt;70,3,IF($Q195&gt;=40,5,0)))+IF($S195="強気div▲",15,0)+IF($T195="上walk▲",5,0)+IF($V195&gt;=2,5,IF($V195&gt;=1.5,3,0))))</f>
      </c>
      <c r="Y195" s="682">
        <f>IF($D195="","",$D195)</f>
      </c>
      <c r="Z195" s="682">
        <f>IF($D195="","",$H195)</f>
      </c>
      <c r="AA195" s="682">
        <f>IF($D195="","",IF($D195&gt;$E195,$E195,$AD195))</f>
      </c>
      <c r="AB195" s="682">
        <f>IF($D195="","",$G195)</f>
      </c>
      <c r="AC195" s="688">
        <f>IF($D195="","",IF(($Y195-$AA195)&lt;=0,"－",IFERROR(ROUND(MIN(20,($AB195-$Y195)/($Y195-$AA195)),2),"－")))</f>
      </c>
      <c r="AD195" s="682">
        <f>IF($D195="","",MIN(終値!E195:I195))</f>
      </c>
      <c r="AE195" s="684">
        <f>IF($D195="","",$X195+(10000-ROW())/100000)</f>
      </c>
    </row>
    <row r="196">
      <c r="A196" s="681">
        <f>IF(終値!A196="","",HYPERLINK("https://kabutan.jp/stock/?code="&amp;終値!A196,"📈"))</f>
      </c>
      <c r="B196" s="681">
        <f>IF(終値!A196="","",終値!A196)</f>
      </c>
      <c r="C196" s="680">
        <f>IF(終値!A196="","",終値!B196)</f>
      </c>
      <c r="D196" s="682">
        <f>IF(終値!A196="","",終値!E196)</f>
      </c>
      <c r="E196" s="682">
        <f>IF($D196="","",AVERAGE(終値!E196:X196))</f>
      </c>
      <c r="F196" s="683">
        <f>IF($D196="","",STDEVP(終値!E196:X196))</f>
      </c>
      <c r="G196" s="682">
        <f>IF($D196="","",$E196+BB設定!$B$4*$F196)</f>
      </c>
      <c r="H196" s="682">
        <f>IF($D196="","",$E196+BB設定!$B$5*$F196)</f>
      </c>
      <c r="I196" s="682">
        <f>IF($D196="","",$E196-BB設定!$B$5*$F196)</f>
      </c>
      <c r="J196" s="682">
        <f>IF($D196="","",$E196-BB設定!$B$4*$F196)</f>
      </c>
      <c r="K196" s="687">
        <f>IF($D196="","",IFERROR(($D196-$J196)/($G196-$J196),""))</f>
      </c>
      <c r="L196" s="686">
        <f>IF($D196="","",IFERROR(($G196-$J196)/$E196*100,""))</f>
      </c>
      <c r="M196" s="686">
        <f>IF($D196="","",IFERROR(MIN(BB_帯幅!B196:AP196)*100,""))</f>
      </c>
      <c r="N196" s="681">
        <f>IF($L196="","",IF($L196&lt;=$M196*BB設定!$B$7,"スクイーズ★",IF($L196&lt;=$M196*1.3,"収縮","－")))</f>
      </c>
      <c r="O196" s="681">
        <f>IF($D196="","",IF($L196&gt;(4*STDEVP(終値!F196:Y196)/AVERAGE(終値!F196:Y196)*100),"拡大↑","縮小↓"))</f>
      </c>
      <c r="P196" s="681">
        <f>IF($D196="","",IF($D196&gt;$G196,"↑+2σ突破",IF($D196&lt;$J196,"↓-2σ割れ",IF($D196&gt;$H196,"+1σ上",IF($D196&lt;$I196,"-1σ下","バンド内")))))</f>
      </c>
      <c r="Q196" s="684">
        <f>IF($D196="","",IFERROR(100-100/(1+SUMPRODUCT((終値!E196:R196&gt;終値!F196:S196)*(終値!E196:R196-終値!F196:S196))/SUMPRODUCT((終値!E196:R196&lt;終値!F196:S196)*(終値!F196:S196-終値!E196:R196))),100))</f>
      </c>
      <c r="R196" s="684">
        <f>IF($D196="","",IFERROR(100-100/(1+SUMPRODUCT((((高値!E196:R196+安値!E196:R196+終値!E196:R196)/3)&gt;((高値!F196:S196+安値!F196:S196+終値!F196:S196)/3))*((高値!E196:R196+安値!E196:R196+終値!E196:R196)/3)*出来高!E196:R196)/SUMPRODUCT((((高値!E196:R196+安値!E196:R196+終値!E196:R196)/3)&lt;((高値!F196:S196+安値!F196:S196+終値!F196:S196)/3))*((高値!E196:R196+安値!E196:R196+終値!E196:R196)/3)*出来高!E196:R196)),50))</f>
      </c>
      <c r="S196" s="681">
        <f>IF($D196="","",IF(AND(終値!E196&lt;終値!O196,$Q196&gt;(IFERROR(100-100/(1+SUMPRODUCT((終値!O196:AB196&gt;終値!P196:AC196)*(終値!O196:AB196-終値!P196:AC196))/SUMPRODUCT((終値!O196:AB196&lt;終値!P196:AC196)*(終値!P196:AC196-終値!O196:AB196))),100))),"強気div▲",IF(AND(終値!E196&gt;終値!O196,$Q196&lt;(IFERROR(100-100/(1+SUMPRODUCT((終値!O196:AB196&gt;終値!P196:AC196)*(終値!O196:AB196-終値!P196:AC196))/SUMPRODUCT((終値!O196:AB196&lt;終値!P196:AC196)*(終値!P196:AC196-終値!O196:AB196))),100))),"弱気div▼","－")))</f>
      </c>
      <c r="T196" s="681">
        <f>IF($D196="","",IF($D196&gt;=$H196,"上walk▲",IF($D196&lt;=$I196,"下walk▼","－")))</f>
      </c>
      <c r="U196" s="681">
        <f>IF(終値!A196="","",BB_スイング!BT196)</f>
      </c>
      <c r="V196" s="689">
        <f>IF($D196="","",IFERROR(出来高!E196/AVERAGE(出来高!E196:I196),""))</f>
      </c>
      <c r="W196" s="690">
        <f>IF($D196="","",IF(AND($D196&gt;$G196,$O196="拡大↑",$L196&lt;=$M196*1.8),"◎スクイーズブレイク買",IF(AND($D196&gt;=$H196,$R196&gt;=BB設定!$B$10),"○順張り継続(walk)",IF(AND($S196="強気div▲",$D196&gt;$I196),"○反発(ダイバ)買",IF($U196="二番底W▲","△二番底買(確)",IF($U196="二番底W形成","△二番底形成",IF($D196&lt;$J196,"▼-2σ割れ危険",IF(AND($D196&gt;$E196,$K196&lt;0.6,$R196&gt;=50),"・押し目注目",IF($N196="スクイーズ★","☆スクイーズ監視","様子見")))))))))</f>
      </c>
      <c r="X196" s="685">
        <f>IF($D196="","",MIN(100,IF($L196&lt;=$M196*1.15,20,IF($L196&lt;=$M196*1.4,10,0))+IF($D196&gt;$G196,20,IF($D196&gt;$H196,12,IF($D196&gt;$E196,5,0)))+IF($O196="拡大↑",10,0)+IF($R196&gt;=80,15,IF($R196&gt;=60,10,IF($R196&gt;=50,5,0)))+IF(AND($Q196&gt;=50,$Q196&lt;=70),10,IF($Q196&gt;70,3,IF($Q196&gt;=40,5,0)))+IF($S196="強気div▲",15,0)+IF($T196="上walk▲",5,0)+IF($V196&gt;=2,5,IF($V196&gt;=1.5,3,0))))</f>
      </c>
      <c r="Y196" s="682">
        <f>IF($D196="","",$D196)</f>
      </c>
      <c r="Z196" s="682">
        <f>IF($D196="","",$H196)</f>
      </c>
      <c r="AA196" s="682">
        <f>IF($D196="","",IF($D196&gt;$E196,$E196,$AD196))</f>
      </c>
      <c r="AB196" s="682">
        <f>IF($D196="","",$G196)</f>
      </c>
      <c r="AC196" s="688">
        <f>IF($D196="","",IF(($Y196-$AA196)&lt;=0,"－",IFERROR(ROUND(MIN(20,($AB196-$Y196)/($Y196-$AA196)),2),"－")))</f>
      </c>
      <c r="AD196" s="682">
        <f>IF($D196="","",MIN(終値!E196:I196))</f>
      </c>
      <c r="AE196" s="684">
        <f>IF($D196="","",$X196+(10000-ROW())/100000)</f>
      </c>
    </row>
    <row r="197">
      <c r="A197" s="681">
        <f>IF(終値!A197="","",HYPERLINK("https://kabutan.jp/stock/?code="&amp;終値!A197,"📈"))</f>
      </c>
      <c r="B197" s="681">
        <f>IF(終値!A197="","",終値!A197)</f>
      </c>
      <c r="C197" s="680">
        <f>IF(終値!A197="","",終値!B197)</f>
      </c>
      <c r="D197" s="682">
        <f>IF(終値!A197="","",終値!E197)</f>
      </c>
      <c r="E197" s="682">
        <f>IF($D197="","",AVERAGE(終値!E197:X197))</f>
      </c>
      <c r="F197" s="683">
        <f>IF($D197="","",STDEVP(終値!E197:X197))</f>
      </c>
      <c r="G197" s="682">
        <f>IF($D197="","",$E197+BB設定!$B$4*$F197)</f>
      </c>
      <c r="H197" s="682">
        <f>IF($D197="","",$E197+BB設定!$B$5*$F197)</f>
      </c>
      <c r="I197" s="682">
        <f>IF($D197="","",$E197-BB設定!$B$5*$F197)</f>
      </c>
      <c r="J197" s="682">
        <f>IF($D197="","",$E197-BB設定!$B$4*$F197)</f>
      </c>
      <c r="K197" s="687">
        <f>IF($D197="","",IFERROR(($D197-$J197)/($G197-$J197),""))</f>
      </c>
      <c r="L197" s="686">
        <f>IF($D197="","",IFERROR(($G197-$J197)/$E197*100,""))</f>
      </c>
      <c r="M197" s="686">
        <f>IF($D197="","",IFERROR(MIN(BB_帯幅!B197:AP197)*100,""))</f>
      </c>
      <c r="N197" s="681">
        <f>IF($L197="","",IF($L197&lt;=$M197*BB設定!$B$7,"スクイーズ★",IF($L197&lt;=$M197*1.3,"収縮","－")))</f>
      </c>
      <c r="O197" s="681">
        <f>IF($D197="","",IF($L197&gt;(4*STDEVP(終値!F197:Y197)/AVERAGE(終値!F197:Y197)*100),"拡大↑","縮小↓"))</f>
      </c>
      <c r="P197" s="681">
        <f>IF($D197="","",IF($D197&gt;$G197,"↑+2σ突破",IF($D197&lt;$J197,"↓-2σ割れ",IF($D197&gt;$H197,"+1σ上",IF($D197&lt;$I197,"-1σ下","バンド内")))))</f>
      </c>
      <c r="Q197" s="684">
        <f>IF($D197="","",IFERROR(100-100/(1+SUMPRODUCT((終値!E197:R197&gt;終値!F197:S197)*(終値!E197:R197-終値!F197:S197))/SUMPRODUCT((終値!E197:R197&lt;終値!F197:S197)*(終値!F197:S197-終値!E197:R197))),100))</f>
      </c>
      <c r="R197" s="684">
        <f>IF($D197="","",IFERROR(100-100/(1+SUMPRODUCT((((高値!E197:R197+安値!E197:R197+終値!E197:R197)/3)&gt;((高値!F197:S197+安値!F197:S197+終値!F197:S197)/3))*((高値!E197:R197+安値!E197:R197+終値!E197:R197)/3)*出来高!E197:R197)/SUMPRODUCT((((高値!E197:R197+安値!E197:R197+終値!E197:R197)/3)&lt;((高値!F197:S197+安値!F197:S197+終値!F197:S197)/3))*((高値!E197:R197+安値!E197:R197+終値!E197:R197)/3)*出来高!E197:R197)),50))</f>
      </c>
      <c r="S197" s="681">
        <f>IF($D197="","",IF(AND(終値!E197&lt;終値!O197,$Q197&gt;(IFERROR(100-100/(1+SUMPRODUCT((終値!O197:AB197&gt;終値!P197:AC197)*(終値!O197:AB197-終値!P197:AC197))/SUMPRODUCT((終値!O197:AB197&lt;終値!P197:AC197)*(終値!P197:AC197-終値!O197:AB197))),100))),"強気div▲",IF(AND(終値!E197&gt;終値!O197,$Q197&lt;(IFERROR(100-100/(1+SUMPRODUCT((終値!O197:AB197&gt;終値!P197:AC197)*(終値!O197:AB197-終値!P197:AC197))/SUMPRODUCT((終値!O197:AB197&lt;終値!P197:AC197)*(終値!P197:AC197-終値!O197:AB197))),100))),"弱気div▼","－")))</f>
      </c>
      <c r="T197" s="681">
        <f>IF($D197="","",IF($D197&gt;=$H197,"上walk▲",IF($D197&lt;=$I197,"下walk▼","－")))</f>
      </c>
      <c r="U197" s="681">
        <f>IF(終値!A197="","",BB_スイング!BT197)</f>
      </c>
      <c r="V197" s="689">
        <f>IF($D197="","",IFERROR(出来高!E197/AVERAGE(出来高!E197:I197),""))</f>
      </c>
      <c r="W197" s="690">
        <f>IF($D197="","",IF(AND($D197&gt;$G197,$O197="拡大↑",$L197&lt;=$M197*1.8),"◎スクイーズブレイク買",IF(AND($D197&gt;=$H197,$R197&gt;=BB設定!$B$10),"○順張り継続(walk)",IF(AND($S197="強気div▲",$D197&gt;$I197),"○反発(ダイバ)買",IF($U197="二番底W▲","△二番底買(確)",IF($U197="二番底W形成","△二番底形成",IF($D197&lt;$J197,"▼-2σ割れ危険",IF(AND($D197&gt;$E197,$K197&lt;0.6,$R197&gt;=50),"・押し目注目",IF($N197="スクイーズ★","☆スクイーズ監視","様子見")))))))))</f>
      </c>
      <c r="X197" s="685">
        <f>IF($D197="","",MIN(100,IF($L197&lt;=$M197*1.15,20,IF($L197&lt;=$M197*1.4,10,0))+IF($D197&gt;$G197,20,IF($D197&gt;$H197,12,IF($D197&gt;$E197,5,0)))+IF($O197="拡大↑",10,0)+IF($R197&gt;=80,15,IF($R197&gt;=60,10,IF($R197&gt;=50,5,0)))+IF(AND($Q197&gt;=50,$Q197&lt;=70),10,IF($Q197&gt;70,3,IF($Q197&gt;=40,5,0)))+IF($S197="強気div▲",15,0)+IF($T197="上walk▲",5,0)+IF($V197&gt;=2,5,IF($V197&gt;=1.5,3,0))))</f>
      </c>
      <c r="Y197" s="682">
        <f>IF($D197="","",$D197)</f>
      </c>
      <c r="Z197" s="682">
        <f>IF($D197="","",$H197)</f>
      </c>
      <c r="AA197" s="682">
        <f>IF($D197="","",IF($D197&gt;$E197,$E197,$AD197))</f>
      </c>
      <c r="AB197" s="682">
        <f>IF($D197="","",$G197)</f>
      </c>
      <c r="AC197" s="688">
        <f>IF($D197="","",IF(($Y197-$AA197)&lt;=0,"－",IFERROR(ROUND(MIN(20,($AB197-$Y197)/($Y197-$AA197)),2),"－")))</f>
      </c>
      <c r="AD197" s="682">
        <f>IF($D197="","",MIN(終値!E197:I197))</f>
      </c>
      <c r="AE197" s="684">
        <f>IF($D197="","",$X197+(10000-ROW())/100000)</f>
      </c>
    </row>
    <row r="198">
      <c r="A198" s="681">
        <f>IF(終値!A198="","",HYPERLINK("https://kabutan.jp/stock/?code="&amp;終値!A198,"📈"))</f>
      </c>
      <c r="B198" s="681">
        <f>IF(終値!A198="","",終値!A198)</f>
      </c>
      <c r="C198" s="680">
        <f>IF(終値!A198="","",終値!B198)</f>
      </c>
      <c r="D198" s="682">
        <f>IF(終値!A198="","",終値!E198)</f>
      </c>
      <c r="E198" s="682">
        <f>IF($D198="","",AVERAGE(終値!E198:X198))</f>
      </c>
      <c r="F198" s="683">
        <f>IF($D198="","",STDEVP(終値!E198:X198))</f>
      </c>
      <c r="G198" s="682">
        <f>IF($D198="","",$E198+BB設定!$B$4*$F198)</f>
      </c>
      <c r="H198" s="682">
        <f>IF($D198="","",$E198+BB設定!$B$5*$F198)</f>
      </c>
      <c r="I198" s="682">
        <f>IF($D198="","",$E198-BB設定!$B$5*$F198)</f>
      </c>
      <c r="J198" s="682">
        <f>IF($D198="","",$E198-BB設定!$B$4*$F198)</f>
      </c>
      <c r="K198" s="687">
        <f>IF($D198="","",IFERROR(($D198-$J198)/($G198-$J198),""))</f>
      </c>
      <c r="L198" s="686">
        <f>IF($D198="","",IFERROR(($G198-$J198)/$E198*100,""))</f>
      </c>
      <c r="M198" s="686">
        <f>IF($D198="","",IFERROR(MIN(BB_帯幅!B198:AP198)*100,""))</f>
      </c>
      <c r="N198" s="681">
        <f>IF($L198="","",IF($L198&lt;=$M198*BB設定!$B$7,"スクイーズ★",IF($L198&lt;=$M198*1.3,"収縮","－")))</f>
      </c>
      <c r="O198" s="681">
        <f>IF($D198="","",IF($L198&gt;(4*STDEVP(終値!F198:Y198)/AVERAGE(終値!F198:Y198)*100),"拡大↑","縮小↓"))</f>
      </c>
      <c r="P198" s="681">
        <f>IF($D198="","",IF($D198&gt;$G198,"↑+2σ突破",IF($D198&lt;$J198,"↓-2σ割れ",IF($D198&gt;$H198,"+1σ上",IF($D198&lt;$I198,"-1σ下","バンド内")))))</f>
      </c>
      <c r="Q198" s="684">
        <f>IF($D198="","",IFERROR(100-100/(1+SUMPRODUCT((終値!E198:R198&gt;終値!F198:S198)*(終値!E198:R198-終値!F198:S198))/SUMPRODUCT((終値!E198:R198&lt;終値!F198:S198)*(終値!F198:S198-終値!E198:R198))),100))</f>
      </c>
      <c r="R198" s="684">
        <f>IF($D198="","",IFERROR(100-100/(1+SUMPRODUCT((((高値!E198:R198+安値!E198:R198+終値!E198:R198)/3)&gt;((高値!F198:S198+安値!F198:S198+終値!F198:S198)/3))*((高値!E198:R198+安値!E198:R198+終値!E198:R198)/3)*出来高!E198:R198)/SUMPRODUCT((((高値!E198:R198+安値!E198:R198+終値!E198:R198)/3)&lt;((高値!F198:S198+安値!F198:S198+終値!F198:S198)/3))*((高値!E198:R198+安値!E198:R198+終値!E198:R198)/3)*出来高!E198:R198)),50))</f>
      </c>
      <c r="S198" s="681">
        <f>IF($D198="","",IF(AND(終値!E198&lt;終値!O198,$Q198&gt;(IFERROR(100-100/(1+SUMPRODUCT((終値!O198:AB198&gt;終値!P198:AC198)*(終値!O198:AB198-終値!P198:AC198))/SUMPRODUCT((終値!O198:AB198&lt;終値!P198:AC198)*(終値!P198:AC198-終値!O198:AB198))),100))),"強気div▲",IF(AND(終値!E198&gt;終値!O198,$Q198&lt;(IFERROR(100-100/(1+SUMPRODUCT((終値!O198:AB198&gt;終値!P198:AC198)*(終値!O198:AB198-終値!P198:AC198))/SUMPRODUCT((終値!O198:AB198&lt;終値!P198:AC198)*(終値!P198:AC198-終値!O198:AB198))),100))),"弱気div▼","－")))</f>
      </c>
      <c r="T198" s="681">
        <f>IF($D198="","",IF($D198&gt;=$H198,"上walk▲",IF($D198&lt;=$I198,"下walk▼","－")))</f>
      </c>
      <c r="U198" s="681">
        <f>IF(終値!A198="","",BB_スイング!BT198)</f>
      </c>
      <c r="V198" s="689">
        <f>IF($D198="","",IFERROR(出来高!E198/AVERAGE(出来高!E198:I198),""))</f>
      </c>
      <c r="W198" s="690">
        <f>IF($D198="","",IF(AND($D198&gt;$G198,$O198="拡大↑",$L198&lt;=$M198*1.8),"◎スクイーズブレイク買",IF(AND($D198&gt;=$H198,$R198&gt;=BB設定!$B$10),"○順張り継続(walk)",IF(AND($S198="強気div▲",$D198&gt;$I198),"○反発(ダイバ)買",IF($U198="二番底W▲","△二番底買(確)",IF($U198="二番底W形成","△二番底形成",IF($D198&lt;$J198,"▼-2σ割れ危険",IF(AND($D198&gt;$E198,$K198&lt;0.6,$R198&gt;=50),"・押し目注目",IF($N198="スクイーズ★","☆スクイーズ監視","様子見")))))))))</f>
      </c>
      <c r="X198" s="685">
        <f>IF($D198="","",MIN(100,IF($L198&lt;=$M198*1.15,20,IF($L198&lt;=$M198*1.4,10,0))+IF($D198&gt;$G198,20,IF($D198&gt;$H198,12,IF($D198&gt;$E198,5,0)))+IF($O198="拡大↑",10,0)+IF($R198&gt;=80,15,IF($R198&gt;=60,10,IF($R198&gt;=50,5,0)))+IF(AND($Q198&gt;=50,$Q198&lt;=70),10,IF($Q198&gt;70,3,IF($Q198&gt;=40,5,0)))+IF($S198="強気div▲",15,0)+IF($T198="上walk▲",5,0)+IF($V198&gt;=2,5,IF($V198&gt;=1.5,3,0))))</f>
      </c>
      <c r="Y198" s="682">
        <f>IF($D198="","",$D198)</f>
      </c>
      <c r="Z198" s="682">
        <f>IF($D198="","",$H198)</f>
      </c>
      <c r="AA198" s="682">
        <f>IF($D198="","",IF($D198&gt;$E198,$E198,$AD198))</f>
      </c>
      <c r="AB198" s="682">
        <f>IF($D198="","",$G198)</f>
      </c>
      <c r="AC198" s="688">
        <f>IF($D198="","",IF(($Y198-$AA198)&lt;=0,"－",IFERROR(ROUND(MIN(20,($AB198-$Y198)/($Y198-$AA198)),2),"－")))</f>
      </c>
      <c r="AD198" s="682">
        <f>IF($D198="","",MIN(終値!E198:I198))</f>
      </c>
      <c r="AE198" s="684">
        <f>IF($D198="","",$X198+(10000-ROW())/100000)</f>
      </c>
    </row>
    <row r="199">
      <c r="A199" s="681">
        <f>IF(終値!A199="","",HYPERLINK("https://kabutan.jp/stock/?code="&amp;終値!A199,"📈"))</f>
      </c>
      <c r="B199" s="681">
        <f>IF(終値!A199="","",終値!A199)</f>
      </c>
      <c r="C199" s="680">
        <f>IF(終値!A199="","",終値!B199)</f>
      </c>
      <c r="D199" s="682">
        <f>IF(終値!A199="","",終値!E199)</f>
      </c>
      <c r="E199" s="682">
        <f>IF($D199="","",AVERAGE(終値!E199:X199))</f>
      </c>
      <c r="F199" s="683">
        <f>IF($D199="","",STDEVP(終値!E199:X199))</f>
      </c>
      <c r="G199" s="682">
        <f>IF($D199="","",$E199+BB設定!$B$4*$F199)</f>
      </c>
      <c r="H199" s="682">
        <f>IF($D199="","",$E199+BB設定!$B$5*$F199)</f>
      </c>
      <c r="I199" s="682">
        <f>IF($D199="","",$E199-BB設定!$B$5*$F199)</f>
      </c>
      <c r="J199" s="682">
        <f>IF($D199="","",$E199-BB設定!$B$4*$F199)</f>
      </c>
      <c r="K199" s="687">
        <f>IF($D199="","",IFERROR(($D199-$J199)/($G199-$J199),""))</f>
      </c>
      <c r="L199" s="686">
        <f>IF($D199="","",IFERROR(($G199-$J199)/$E199*100,""))</f>
      </c>
      <c r="M199" s="686">
        <f>IF($D199="","",IFERROR(MIN(BB_帯幅!B199:AP199)*100,""))</f>
      </c>
      <c r="N199" s="681">
        <f>IF($L199="","",IF($L199&lt;=$M199*BB設定!$B$7,"スクイーズ★",IF($L199&lt;=$M199*1.3,"収縮","－")))</f>
      </c>
      <c r="O199" s="681">
        <f>IF($D199="","",IF($L199&gt;(4*STDEVP(終値!F199:Y199)/AVERAGE(終値!F199:Y199)*100),"拡大↑","縮小↓"))</f>
      </c>
      <c r="P199" s="681">
        <f>IF($D199="","",IF($D199&gt;$G199,"↑+2σ突破",IF($D199&lt;$J199,"↓-2σ割れ",IF($D199&gt;$H199,"+1σ上",IF($D199&lt;$I199,"-1σ下","バンド内")))))</f>
      </c>
      <c r="Q199" s="684">
        <f>IF($D199="","",IFERROR(100-100/(1+SUMPRODUCT((終値!E199:R199&gt;終値!F199:S199)*(終値!E199:R199-終値!F199:S199))/SUMPRODUCT((終値!E199:R199&lt;終値!F199:S199)*(終値!F199:S199-終値!E199:R199))),100))</f>
      </c>
      <c r="R199" s="684">
        <f>IF($D199="","",IFERROR(100-100/(1+SUMPRODUCT((((高値!E199:R199+安値!E199:R199+終値!E199:R199)/3)&gt;((高値!F199:S199+安値!F199:S199+終値!F199:S199)/3))*((高値!E199:R199+安値!E199:R199+終値!E199:R199)/3)*出来高!E199:R199)/SUMPRODUCT((((高値!E199:R199+安値!E199:R199+終値!E199:R199)/3)&lt;((高値!F199:S199+安値!F199:S199+終値!F199:S199)/3))*((高値!E199:R199+安値!E199:R199+終値!E199:R199)/3)*出来高!E199:R199)),50))</f>
      </c>
      <c r="S199" s="681">
        <f>IF($D199="","",IF(AND(終値!E199&lt;終値!O199,$Q199&gt;(IFERROR(100-100/(1+SUMPRODUCT((終値!O199:AB199&gt;終値!P199:AC199)*(終値!O199:AB199-終値!P199:AC199))/SUMPRODUCT((終値!O199:AB199&lt;終値!P199:AC199)*(終値!P199:AC199-終値!O199:AB199))),100))),"強気div▲",IF(AND(終値!E199&gt;終値!O199,$Q199&lt;(IFERROR(100-100/(1+SUMPRODUCT((終値!O199:AB199&gt;終値!P199:AC199)*(終値!O199:AB199-終値!P199:AC199))/SUMPRODUCT((終値!O199:AB199&lt;終値!P199:AC199)*(終値!P199:AC199-終値!O199:AB199))),100))),"弱気div▼","－")))</f>
      </c>
      <c r="T199" s="681">
        <f>IF($D199="","",IF($D199&gt;=$H199,"上walk▲",IF($D199&lt;=$I199,"下walk▼","－")))</f>
      </c>
      <c r="U199" s="681">
        <f>IF(終値!A199="","",BB_スイング!BT199)</f>
      </c>
      <c r="V199" s="689">
        <f>IF($D199="","",IFERROR(出来高!E199/AVERAGE(出来高!E199:I199),""))</f>
      </c>
      <c r="W199" s="690">
        <f>IF($D199="","",IF(AND($D199&gt;$G199,$O199="拡大↑",$L199&lt;=$M199*1.8),"◎スクイーズブレイク買",IF(AND($D199&gt;=$H199,$R199&gt;=BB設定!$B$10),"○順張り継続(walk)",IF(AND($S199="強気div▲",$D199&gt;$I199),"○反発(ダイバ)買",IF($U199="二番底W▲","△二番底買(確)",IF($U199="二番底W形成","△二番底形成",IF($D199&lt;$J199,"▼-2σ割れ危険",IF(AND($D199&gt;$E199,$K199&lt;0.6,$R199&gt;=50),"・押し目注目",IF($N199="スクイーズ★","☆スクイーズ監視","様子見")))))))))</f>
      </c>
      <c r="X199" s="685">
        <f>IF($D199="","",MIN(100,IF($L199&lt;=$M199*1.15,20,IF($L199&lt;=$M199*1.4,10,0))+IF($D199&gt;$G199,20,IF($D199&gt;$H199,12,IF($D199&gt;$E199,5,0)))+IF($O199="拡大↑",10,0)+IF($R199&gt;=80,15,IF($R199&gt;=60,10,IF($R199&gt;=50,5,0)))+IF(AND($Q199&gt;=50,$Q199&lt;=70),10,IF($Q199&gt;70,3,IF($Q199&gt;=40,5,0)))+IF($S199="強気div▲",15,0)+IF($T199="上walk▲",5,0)+IF($V199&gt;=2,5,IF($V199&gt;=1.5,3,0))))</f>
      </c>
      <c r="Y199" s="682">
        <f>IF($D199="","",$D199)</f>
      </c>
      <c r="Z199" s="682">
        <f>IF($D199="","",$H199)</f>
      </c>
      <c r="AA199" s="682">
        <f>IF($D199="","",IF($D199&gt;$E199,$E199,$AD199))</f>
      </c>
      <c r="AB199" s="682">
        <f>IF($D199="","",$G199)</f>
      </c>
      <c r="AC199" s="688">
        <f>IF($D199="","",IF(($Y199-$AA199)&lt;=0,"－",IFERROR(ROUND(MIN(20,($AB199-$Y199)/($Y199-$AA199)),2),"－")))</f>
      </c>
      <c r="AD199" s="682">
        <f>IF($D199="","",MIN(終値!E199:I199))</f>
      </c>
      <c r="AE199" s="684">
        <f>IF($D199="","",$X199+(10000-ROW())/100000)</f>
      </c>
    </row>
    <row r="200">
      <c r="A200" s="681">
        <f>IF(終値!A200="","",HYPERLINK("https://kabutan.jp/stock/?code="&amp;終値!A200,"📈"))</f>
      </c>
      <c r="B200" s="681">
        <f>IF(終値!A200="","",終値!A200)</f>
      </c>
      <c r="C200" s="680">
        <f>IF(終値!A200="","",終値!B200)</f>
      </c>
      <c r="D200" s="682">
        <f>IF(終値!A200="","",終値!E200)</f>
      </c>
      <c r="E200" s="682">
        <f>IF($D200="","",AVERAGE(終値!E200:X200))</f>
      </c>
      <c r="F200" s="683">
        <f>IF($D200="","",STDEVP(終値!E200:X200))</f>
      </c>
      <c r="G200" s="682">
        <f>IF($D200="","",$E200+BB設定!$B$4*$F200)</f>
      </c>
      <c r="H200" s="682">
        <f>IF($D200="","",$E200+BB設定!$B$5*$F200)</f>
      </c>
      <c r="I200" s="682">
        <f>IF($D200="","",$E200-BB設定!$B$5*$F200)</f>
      </c>
      <c r="J200" s="682">
        <f>IF($D200="","",$E200-BB設定!$B$4*$F200)</f>
      </c>
      <c r="K200" s="687">
        <f>IF($D200="","",IFERROR(($D200-$J200)/($G200-$J200),""))</f>
      </c>
      <c r="L200" s="686">
        <f>IF($D200="","",IFERROR(($G200-$J200)/$E200*100,""))</f>
      </c>
      <c r="M200" s="686">
        <f>IF($D200="","",IFERROR(MIN(BB_帯幅!B200:AP200)*100,""))</f>
      </c>
      <c r="N200" s="681">
        <f>IF($L200="","",IF($L200&lt;=$M200*BB設定!$B$7,"スクイーズ★",IF($L200&lt;=$M200*1.3,"収縮","－")))</f>
      </c>
      <c r="O200" s="681">
        <f>IF($D200="","",IF($L200&gt;(4*STDEVP(終値!F200:Y200)/AVERAGE(終値!F200:Y200)*100),"拡大↑","縮小↓"))</f>
      </c>
      <c r="P200" s="681">
        <f>IF($D200="","",IF($D200&gt;$G200,"↑+2σ突破",IF($D200&lt;$J200,"↓-2σ割れ",IF($D200&gt;$H200,"+1σ上",IF($D200&lt;$I200,"-1σ下","バンド内")))))</f>
      </c>
      <c r="Q200" s="684">
        <f>IF($D200="","",IFERROR(100-100/(1+SUMPRODUCT((終値!E200:R200&gt;終値!F200:S200)*(終値!E200:R200-終値!F200:S200))/SUMPRODUCT((終値!E200:R200&lt;終値!F200:S200)*(終値!F200:S200-終値!E200:R200))),100))</f>
      </c>
      <c r="R200" s="684">
        <f>IF($D200="","",IFERROR(100-100/(1+SUMPRODUCT((((高値!E200:R200+安値!E200:R200+終値!E200:R200)/3)&gt;((高値!F200:S200+安値!F200:S200+終値!F200:S200)/3))*((高値!E200:R200+安値!E200:R200+終値!E200:R200)/3)*出来高!E200:R200)/SUMPRODUCT((((高値!E200:R200+安値!E200:R200+終値!E200:R200)/3)&lt;((高値!F200:S200+安値!F200:S200+終値!F200:S200)/3))*((高値!E200:R200+安値!E200:R200+終値!E200:R200)/3)*出来高!E200:R200)),50))</f>
      </c>
      <c r="S200" s="681">
        <f>IF($D200="","",IF(AND(終値!E200&lt;終値!O200,$Q200&gt;(IFERROR(100-100/(1+SUMPRODUCT((終値!O200:AB200&gt;終値!P200:AC200)*(終値!O200:AB200-終値!P200:AC200))/SUMPRODUCT((終値!O200:AB200&lt;終値!P200:AC200)*(終値!P200:AC200-終値!O200:AB200))),100))),"強気div▲",IF(AND(終値!E200&gt;終値!O200,$Q200&lt;(IFERROR(100-100/(1+SUMPRODUCT((終値!O200:AB200&gt;終値!P200:AC200)*(終値!O200:AB200-終値!P200:AC200))/SUMPRODUCT((終値!O200:AB200&lt;終値!P200:AC200)*(終値!P200:AC200-終値!O200:AB200))),100))),"弱気div▼","－")))</f>
      </c>
      <c r="T200" s="681">
        <f>IF($D200="","",IF($D200&gt;=$H200,"上walk▲",IF($D200&lt;=$I200,"下walk▼","－")))</f>
      </c>
      <c r="U200" s="681">
        <f>IF(終値!A200="","",BB_スイング!BT200)</f>
      </c>
      <c r="V200" s="689">
        <f>IF($D200="","",IFERROR(出来高!E200/AVERAGE(出来高!E200:I200),""))</f>
      </c>
      <c r="W200" s="690">
        <f>IF($D200="","",IF(AND($D200&gt;$G200,$O200="拡大↑",$L200&lt;=$M200*1.8),"◎スクイーズブレイク買",IF(AND($D200&gt;=$H200,$R200&gt;=BB設定!$B$10),"○順張り継続(walk)",IF(AND($S200="強気div▲",$D200&gt;$I200),"○反発(ダイバ)買",IF($U200="二番底W▲","△二番底買(確)",IF($U200="二番底W形成","△二番底形成",IF($D200&lt;$J200,"▼-2σ割れ危険",IF(AND($D200&gt;$E200,$K200&lt;0.6,$R200&gt;=50),"・押し目注目",IF($N200="スクイーズ★","☆スクイーズ監視","様子見")))))))))</f>
      </c>
      <c r="X200" s="685">
        <f>IF($D200="","",MIN(100,IF($L200&lt;=$M200*1.15,20,IF($L200&lt;=$M200*1.4,10,0))+IF($D200&gt;$G200,20,IF($D200&gt;$H200,12,IF($D200&gt;$E200,5,0)))+IF($O200="拡大↑",10,0)+IF($R200&gt;=80,15,IF($R200&gt;=60,10,IF($R200&gt;=50,5,0)))+IF(AND($Q200&gt;=50,$Q200&lt;=70),10,IF($Q200&gt;70,3,IF($Q200&gt;=40,5,0)))+IF($S200="強気div▲",15,0)+IF($T200="上walk▲",5,0)+IF($V200&gt;=2,5,IF($V200&gt;=1.5,3,0))))</f>
      </c>
      <c r="Y200" s="682">
        <f>IF($D200="","",$D200)</f>
      </c>
      <c r="Z200" s="682">
        <f>IF($D200="","",$H200)</f>
      </c>
      <c r="AA200" s="682">
        <f>IF($D200="","",IF($D200&gt;$E200,$E200,$AD200))</f>
      </c>
      <c r="AB200" s="682">
        <f>IF($D200="","",$G200)</f>
      </c>
      <c r="AC200" s="688">
        <f>IF($D200="","",IF(($Y200-$AA200)&lt;=0,"－",IFERROR(ROUND(MIN(20,($AB200-$Y200)/($Y200-$AA200)),2),"－")))</f>
      </c>
      <c r="AD200" s="682">
        <f>IF($D200="","",MIN(終値!E200:I200))</f>
      </c>
      <c r="AE200" s="684">
        <f>IF($D200="","",$X200+(10000-ROW())/100000)</f>
      </c>
    </row>
    <row r="201">
      <c r="A201" s="681">
        <f>IF(終値!A201="","",HYPERLINK("https://kabutan.jp/stock/?code="&amp;終値!A201,"📈"))</f>
      </c>
      <c r="B201" s="681">
        <f>IF(終値!A201="","",終値!A201)</f>
      </c>
      <c r="C201" s="680">
        <f>IF(終値!A201="","",終値!B201)</f>
      </c>
      <c r="D201" s="682">
        <f>IF(終値!A201="","",終値!E201)</f>
      </c>
      <c r="E201" s="682">
        <f>IF($D201="","",AVERAGE(終値!E201:X201))</f>
      </c>
      <c r="F201" s="683">
        <f>IF($D201="","",STDEVP(終値!E201:X201))</f>
      </c>
      <c r="G201" s="682">
        <f>IF($D201="","",$E201+BB設定!$B$4*$F201)</f>
      </c>
      <c r="H201" s="682">
        <f>IF($D201="","",$E201+BB設定!$B$5*$F201)</f>
      </c>
      <c r="I201" s="682">
        <f>IF($D201="","",$E201-BB設定!$B$5*$F201)</f>
      </c>
      <c r="J201" s="682">
        <f>IF($D201="","",$E201-BB設定!$B$4*$F201)</f>
      </c>
      <c r="K201" s="687">
        <f>IF($D201="","",IFERROR(($D201-$J201)/($G201-$J201),""))</f>
      </c>
      <c r="L201" s="686">
        <f>IF($D201="","",IFERROR(($G201-$J201)/$E201*100,""))</f>
      </c>
      <c r="M201" s="686">
        <f>IF($D201="","",IFERROR(MIN(BB_帯幅!B201:AP201)*100,""))</f>
      </c>
      <c r="N201" s="681">
        <f>IF($L201="","",IF($L201&lt;=$M201*BB設定!$B$7,"スクイーズ★",IF($L201&lt;=$M201*1.3,"収縮","－")))</f>
      </c>
      <c r="O201" s="681">
        <f>IF($D201="","",IF($L201&gt;(4*STDEVP(終値!F201:Y201)/AVERAGE(終値!F201:Y201)*100),"拡大↑","縮小↓"))</f>
      </c>
      <c r="P201" s="681">
        <f>IF($D201="","",IF($D201&gt;$G201,"↑+2σ突破",IF($D201&lt;$J201,"↓-2σ割れ",IF($D201&gt;$H201,"+1σ上",IF($D201&lt;$I201,"-1σ下","バンド内")))))</f>
      </c>
      <c r="Q201" s="684">
        <f>IF($D201="","",IFERROR(100-100/(1+SUMPRODUCT((終値!E201:R201&gt;終値!F201:S201)*(終値!E201:R201-終値!F201:S201))/SUMPRODUCT((終値!E201:R201&lt;終値!F201:S201)*(終値!F201:S201-終値!E201:R201))),100))</f>
      </c>
      <c r="R201" s="684">
        <f>IF($D201="","",IFERROR(100-100/(1+SUMPRODUCT((((高値!E201:R201+安値!E201:R201+終値!E201:R201)/3)&gt;((高値!F201:S201+安値!F201:S201+終値!F201:S201)/3))*((高値!E201:R201+安値!E201:R201+終値!E201:R201)/3)*出来高!E201:R201)/SUMPRODUCT((((高値!E201:R201+安値!E201:R201+終値!E201:R201)/3)&lt;((高値!F201:S201+安値!F201:S201+終値!F201:S201)/3))*((高値!E201:R201+安値!E201:R201+終値!E201:R201)/3)*出来高!E201:R201)),50))</f>
      </c>
      <c r="S201" s="681">
        <f>IF($D201="","",IF(AND(終値!E201&lt;終値!O201,$Q201&gt;(IFERROR(100-100/(1+SUMPRODUCT((終値!O201:AB201&gt;終値!P201:AC201)*(終値!O201:AB201-終値!P201:AC201))/SUMPRODUCT((終値!O201:AB201&lt;終値!P201:AC201)*(終値!P201:AC201-終値!O201:AB201))),100))),"強気div▲",IF(AND(終値!E201&gt;終値!O201,$Q201&lt;(IFERROR(100-100/(1+SUMPRODUCT((終値!O201:AB201&gt;終値!P201:AC201)*(終値!O201:AB201-終値!P201:AC201))/SUMPRODUCT((終値!O201:AB201&lt;終値!P201:AC201)*(終値!P201:AC201-終値!O201:AB201))),100))),"弱気div▼","－")))</f>
      </c>
      <c r="T201" s="681">
        <f>IF($D201="","",IF($D201&gt;=$H201,"上walk▲",IF($D201&lt;=$I201,"下walk▼","－")))</f>
      </c>
      <c r="U201" s="681">
        <f>IF(終値!A201="","",BB_スイング!BT201)</f>
      </c>
      <c r="V201" s="689">
        <f>IF($D201="","",IFERROR(出来高!E201/AVERAGE(出来高!E201:I201),""))</f>
      </c>
      <c r="W201" s="690">
        <f>IF($D201="","",IF(AND($D201&gt;$G201,$O201="拡大↑",$L201&lt;=$M201*1.8),"◎スクイーズブレイク買",IF(AND($D201&gt;=$H201,$R201&gt;=BB設定!$B$10),"○順張り継続(walk)",IF(AND($S201="強気div▲",$D201&gt;$I201),"○反発(ダイバ)買",IF($U201="二番底W▲","△二番底買(確)",IF($U201="二番底W形成","△二番底形成",IF($D201&lt;$J201,"▼-2σ割れ危険",IF(AND($D201&gt;$E201,$K201&lt;0.6,$R201&gt;=50),"・押し目注目",IF($N201="スクイーズ★","☆スクイーズ監視","様子見")))))))))</f>
      </c>
      <c r="X201" s="685">
        <f>IF($D201="","",MIN(100,IF($L201&lt;=$M201*1.15,20,IF($L201&lt;=$M201*1.4,10,0))+IF($D201&gt;$G201,20,IF($D201&gt;$H201,12,IF($D201&gt;$E201,5,0)))+IF($O201="拡大↑",10,0)+IF($R201&gt;=80,15,IF($R201&gt;=60,10,IF($R201&gt;=50,5,0)))+IF(AND($Q201&gt;=50,$Q201&lt;=70),10,IF($Q201&gt;70,3,IF($Q201&gt;=40,5,0)))+IF($S201="強気div▲",15,0)+IF($T201="上walk▲",5,0)+IF($V201&gt;=2,5,IF($V201&gt;=1.5,3,0))))</f>
      </c>
      <c r="Y201" s="682">
        <f>IF($D201="","",$D201)</f>
      </c>
      <c r="Z201" s="682">
        <f>IF($D201="","",$H201)</f>
      </c>
      <c r="AA201" s="682">
        <f>IF($D201="","",IF($D201&gt;$E201,$E201,$AD201))</f>
      </c>
      <c r="AB201" s="682">
        <f>IF($D201="","",$G201)</f>
      </c>
      <c r="AC201" s="688">
        <f>IF($D201="","",IF(($Y201-$AA201)&lt;=0,"－",IFERROR(ROUND(MIN(20,($AB201-$Y201)/($Y201-$AA201)),2),"－")))</f>
      </c>
      <c r="AD201" s="682">
        <f>IF($D201="","",MIN(終値!E201:I201))</f>
      </c>
      <c r="AE201" s="684">
        <f>IF($D201="","",$X201+(10000-ROW())/100000)</f>
      </c>
    </row>
    <row r="202">
      <c r="A202" s="681">
        <f>IF(終値!A202="","",HYPERLINK("https://kabutan.jp/stock/?code="&amp;終値!A202,"📈"))</f>
      </c>
      <c r="B202" s="681">
        <f>IF(終値!A202="","",終値!A202)</f>
      </c>
      <c r="C202" s="680">
        <f>IF(終値!A202="","",終値!B202)</f>
      </c>
      <c r="D202" s="682">
        <f>IF(終値!A202="","",終値!E202)</f>
      </c>
      <c r="E202" s="682">
        <f>IF($D202="","",AVERAGE(終値!E202:X202))</f>
      </c>
      <c r="F202" s="683">
        <f>IF($D202="","",STDEVP(終値!E202:X202))</f>
      </c>
      <c r="G202" s="682">
        <f>IF($D202="","",$E202+BB設定!$B$4*$F202)</f>
      </c>
      <c r="H202" s="682">
        <f>IF($D202="","",$E202+BB設定!$B$5*$F202)</f>
      </c>
      <c r="I202" s="682">
        <f>IF($D202="","",$E202-BB設定!$B$5*$F202)</f>
      </c>
      <c r="J202" s="682">
        <f>IF($D202="","",$E202-BB設定!$B$4*$F202)</f>
      </c>
      <c r="K202" s="687">
        <f>IF($D202="","",IFERROR(($D202-$J202)/($G202-$J202),""))</f>
      </c>
      <c r="L202" s="686">
        <f>IF($D202="","",IFERROR(($G202-$J202)/$E202*100,""))</f>
      </c>
      <c r="M202" s="686">
        <f>IF($D202="","",IFERROR(MIN(BB_帯幅!B202:AP202)*100,""))</f>
      </c>
      <c r="N202" s="681">
        <f>IF($L202="","",IF($L202&lt;=$M202*BB設定!$B$7,"スクイーズ★",IF($L202&lt;=$M202*1.3,"収縮","－")))</f>
      </c>
      <c r="O202" s="681">
        <f>IF($D202="","",IF($L202&gt;(4*STDEVP(終値!F202:Y202)/AVERAGE(終値!F202:Y202)*100),"拡大↑","縮小↓"))</f>
      </c>
      <c r="P202" s="681">
        <f>IF($D202="","",IF($D202&gt;$G202,"↑+2σ突破",IF($D202&lt;$J202,"↓-2σ割れ",IF($D202&gt;$H202,"+1σ上",IF($D202&lt;$I202,"-1σ下","バンド内")))))</f>
      </c>
      <c r="Q202" s="684">
        <f>IF($D202="","",IFERROR(100-100/(1+SUMPRODUCT((終値!E202:R202&gt;終値!F202:S202)*(終値!E202:R202-終値!F202:S202))/SUMPRODUCT((終値!E202:R202&lt;終値!F202:S202)*(終値!F202:S202-終値!E202:R202))),100))</f>
      </c>
      <c r="R202" s="684">
        <f>IF($D202="","",IFERROR(100-100/(1+SUMPRODUCT((((高値!E202:R202+安値!E202:R202+終値!E202:R202)/3)&gt;((高値!F202:S202+安値!F202:S202+終値!F202:S202)/3))*((高値!E202:R202+安値!E202:R202+終値!E202:R202)/3)*出来高!E202:R202)/SUMPRODUCT((((高値!E202:R202+安値!E202:R202+終値!E202:R202)/3)&lt;((高値!F202:S202+安値!F202:S202+終値!F202:S202)/3))*((高値!E202:R202+安値!E202:R202+終値!E202:R202)/3)*出来高!E202:R202)),50))</f>
      </c>
      <c r="S202" s="681">
        <f>IF($D202="","",IF(AND(終値!E202&lt;終値!O202,$Q202&gt;(IFERROR(100-100/(1+SUMPRODUCT((終値!O202:AB202&gt;終値!P202:AC202)*(終値!O202:AB202-終値!P202:AC202))/SUMPRODUCT((終値!O202:AB202&lt;終値!P202:AC202)*(終値!P202:AC202-終値!O202:AB202))),100))),"強気div▲",IF(AND(終値!E202&gt;終値!O202,$Q202&lt;(IFERROR(100-100/(1+SUMPRODUCT((終値!O202:AB202&gt;終値!P202:AC202)*(終値!O202:AB202-終値!P202:AC202))/SUMPRODUCT((終値!O202:AB202&lt;終値!P202:AC202)*(終値!P202:AC202-終値!O202:AB202))),100))),"弱気div▼","－")))</f>
      </c>
      <c r="T202" s="681">
        <f>IF($D202="","",IF($D202&gt;=$H202,"上walk▲",IF($D202&lt;=$I202,"下walk▼","－")))</f>
      </c>
      <c r="U202" s="681">
        <f>IF(終値!A202="","",BB_スイング!BT202)</f>
      </c>
      <c r="V202" s="689">
        <f>IF($D202="","",IFERROR(出来高!E202/AVERAGE(出来高!E202:I202),""))</f>
      </c>
      <c r="W202" s="690">
        <f>IF($D202="","",IF(AND($D202&gt;$G202,$O202="拡大↑",$L202&lt;=$M202*1.8),"◎スクイーズブレイク買",IF(AND($D202&gt;=$H202,$R202&gt;=BB設定!$B$10),"○順張り継続(walk)",IF(AND($S202="強気div▲",$D202&gt;$I202),"○反発(ダイバ)買",IF($U202="二番底W▲","△二番底買(確)",IF($U202="二番底W形成","△二番底形成",IF($D202&lt;$J202,"▼-2σ割れ危険",IF(AND($D202&gt;$E202,$K202&lt;0.6,$R202&gt;=50),"・押し目注目",IF($N202="スクイーズ★","☆スクイーズ監視","様子見")))))))))</f>
      </c>
      <c r="X202" s="685">
        <f>IF($D202="","",MIN(100,IF($L202&lt;=$M202*1.15,20,IF($L202&lt;=$M202*1.4,10,0))+IF($D202&gt;$G202,20,IF($D202&gt;$H202,12,IF($D202&gt;$E202,5,0)))+IF($O202="拡大↑",10,0)+IF($R202&gt;=80,15,IF($R202&gt;=60,10,IF($R202&gt;=50,5,0)))+IF(AND($Q202&gt;=50,$Q202&lt;=70),10,IF($Q202&gt;70,3,IF($Q202&gt;=40,5,0)))+IF($S202="強気div▲",15,0)+IF($T202="上walk▲",5,0)+IF($V202&gt;=2,5,IF($V202&gt;=1.5,3,0))))</f>
      </c>
      <c r="Y202" s="682">
        <f>IF($D202="","",$D202)</f>
      </c>
      <c r="Z202" s="682">
        <f>IF($D202="","",$H202)</f>
      </c>
      <c r="AA202" s="682">
        <f>IF($D202="","",IF($D202&gt;$E202,$E202,$AD202))</f>
      </c>
      <c r="AB202" s="682">
        <f>IF($D202="","",$G202)</f>
      </c>
      <c r="AC202" s="688">
        <f>IF($D202="","",IF(($Y202-$AA202)&lt;=0,"－",IFERROR(ROUND(MIN(20,($AB202-$Y202)/($Y202-$AA202)),2),"－")))</f>
      </c>
      <c r="AD202" s="682">
        <f>IF($D202="","",MIN(終値!E202:I202))</f>
      </c>
      <c r="AE202" s="684">
        <f>IF($D202="","",$X202+(10000-ROW())/100000)</f>
      </c>
    </row>
    <row r="203">
      <c r="A203" s="681">
        <f>IF(終値!A203="","",HYPERLINK("https://kabutan.jp/stock/?code="&amp;終値!A203,"📈"))</f>
      </c>
      <c r="B203" s="681">
        <f>IF(終値!A203="","",終値!A203)</f>
      </c>
      <c r="C203" s="680">
        <f>IF(終値!A203="","",終値!B203)</f>
      </c>
      <c r="D203" s="682">
        <f>IF(終値!A203="","",終値!E203)</f>
      </c>
      <c r="E203" s="682">
        <f>IF($D203="","",AVERAGE(終値!E203:X203))</f>
      </c>
      <c r="F203" s="683">
        <f>IF($D203="","",STDEVP(終値!E203:X203))</f>
      </c>
      <c r="G203" s="682">
        <f>IF($D203="","",$E203+BB設定!$B$4*$F203)</f>
      </c>
      <c r="H203" s="682">
        <f>IF($D203="","",$E203+BB設定!$B$5*$F203)</f>
      </c>
      <c r="I203" s="682">
        <f>IF($D203="","",$E203-BB設定!$B$5*$F203)</f>
      </c>
      <c r="J203" s="682">
        <f>IF($D203="","",$E203-BB設定!$B$4*$F203)</f>
      </c>
      <c r="K203" s="687">
        <f>IF($D203="","",IFERROR(($D203-$J203)/($G203-$J203),""))</f>
      </c>
      <c r="L203" s="686">
        <f>IF($D203="","",IFERROR(($G203-$J203)/$E203*100,""))</f>
      </c>
      <c r="M203" s="686">
        <f>IF($D203="","",IFERROR(MIN(BB_帯幅!B203:AP203)*100,""))</f>
      </c>
      <c r="N203" s="681">
        <f>IF($L203="","",IF($L203&lt;=$M203*BB設定!$B$7,"スクイーズ★",IF($L203&lt;=$M203*1.3,"収縮","－")))</f>
      </c>
      <c r="O203" s="681">
        <f>IF($D203="","",IF($L203&gt;(4*STDEVP(終値!F203:Y203)/AVERAGE(終値!F203:Y203)*100),"拡大↑","縮小↓"))</f>
      </c>
      <c r="P203" s="681">
        <f>IF($D203="","",IF($D203&gt;$G203,"↑+2σ突破",IF($D203&lt;$J203,"↓-2σ割れ",IF($D203&gt;$H203,"+1σ上",IF($D203&lt;$I203,"-1σ下","バンド内")))))</f>
      </c>
      <c r="Q203" s="684">
        <f>IF($D203="","",IFERROR(100-100/(1+SUMPRODUCT((終値!E203:R203&gt;終値!F203:S203)*(終値!E203:R203-終値!F203:S203))/SUMPRODUCT((終値!E203:R203&lt;終値!F203:S203)*(終値!F203:S203-終値!E203:R203))),100))</f>
      </c>
      <c r="R203" s="684">
        <f>IF($D203="","",IFERROR(100-100/(1+SUMPRODUCT((((高値!E203:R203+安値!E203:R203+終値!E203:R203)/3)&gt;((高値!F203:S203+安値!F203:S203+終値!F203:S203)/3))*((高値!E203:R203+安値!E203:R203+終値!E203:R203)/3)*出来高!E203:R203)/SUMPRODUCT((((高値!E203:R203+安値!E203:R203+終値!E203:R203)/3)&lt;((高値!F203:S203+安値!F203:S203+終値!F203:S203)/3))*((高値!E203:R203+安値!E203:R203+終値!E203:R203)/3)*出来高!E203:R203)),50))</f>
      </c>
      <c r="S203" s="681">
        <f>IF($D203="","",IF(AND(終値!E203&lt;終値!O203,$Q203&gt;(IFERROR(100-100/(1+SUMPRODUCT((終値!O203:AB203&gt;終値!P203:AC203)*(終値!O203:AB203-終値!P203:AC203))/SUMPRODUCT((終値!O203:AB203&lt;終値!P203:AC203)*(終値!P203:AC203-終値!O203:AB203))),100))),"強気div▲",IF(AND(終値!E203&gt;終値!O203,$Q203&lt;(IFERROR(100-100/(1+SUMPRODUCT((終値!O203:AB203&gt;終値!P203:AC203)*(終値!O203:AB203-終値!P203:AC203))/SUMPRODUCT((終値!O203:AB203&lt;終値!P203:AC203)*(終値!P203:AC203-終値!O203:AB203))),100))),"弱気div▼","－")))</f>
      </c>
      <c r="T203" s="681">
        <f>IF($D203="","",IF($D203&gt;=$H203,"上walk▲",IF($D203&lt;=$I203,"下walk▼","－")))</f>
      </c>
      <c r="U203" s="681">
        <f>IF(終値!A203="","",BB_スイング!BT203)</f>
      </c>
      <c r="V203" s="689">
        <f>IF($D203="","",IFERROR(出来高!E203/AVERAGE(出来高!E203:I203),""))</f>
      </c>
      <c r="W203" s="690">
        <f>IF($D203="","",IF(AND($D203&gt;$G203,$O203="拡大↑",$L203&lt;=$M203*1.8),"◎スクイーズブレイク買",IF(AND($D203&gt;=$H203,$R203&gt;=BB設定!$B$10),"○順張り継続(walk)",IF(AND($S203="強気div▲",$D203&gt;$I203),"○反発(ダイバ)買",IF($U203="二番底W▲","△二番底買(確)",IF($U203="二番底W形成","△二番底形成",IF($D203&lt;$J203,"▼-2σ割れ危険",IF(AND($D203&gt;$E203,$K203&lt;0.6,$R203&gt;=50),"・押し目注目",IF($N203="スクイーズ★","☆スクイーズ監視","様子見")))))))))</f>
      </c>
      <c r="X203" s="685">
        <f>IF($D203="","",MIN(100,IF($L203&lt;=$M203*1.15,20,IF($L203&lt;=$M203*1.4,10,0))+IF($D203&gt;$G203,20,IF($D203&gt;$H203,12,IF($D203&gt;$E203,5,0)))+IF($O203="拡大↑",10,0)+IF($R203&gt;=80,15,IF($R203&gt;=60,10,IF($R203&gt;=50,5,0)))+IF(AND($Q203&gt;=50,$Q203&lt;=70),10,IF($Q203&gt;70,3,IF($Q203&gt;=40,5,0)))+IF($S203="強気div▲",15,0)+IF($T203="上walk▲",5,0)+IF($V203&gt;=2,5,IF($V203&gt;=1.5,3,0))))</f>
      </c>
      <c r="Y203" s="682">
        <f>IF($D203="","",$D203)</f>
      </c>
      <c r="Z203" s="682">
        <f>IF($D203="","",$H203)</f>
      </c>
      <c r="AA203" s="682">
        <f>IF($D203="","",IF($D203&gt;$E203,$E203,$AD203))</f>
      </c>
      <c r="AB203" s="682">
        <f>IF($D203="","",$G203)</f>
      </c>
      <c r="AC203" s="688">
        <f>IF($D203="","",IF(($Y203-$AA203)&lt;=0,"－",IFERROR(ROUND(MIN(20,($AB203-$Y203)/($Y203-$AA203)),2),"－")))</f>
      </c>
      <c r="AD203" s="682">
        <f>IF($D203="","",MIN(終値!E203:I203))</f>
      </c>
      <c r="AE203" s="684">
        <f>IF($D203="","",$X203+(10000-ROW())/100000)</f>
      </c>
    </row>
    <row r="204">
      <c r="A204" s="681">
        <f>IF(終値!A204="","",HYPERLINK("https://kabutan.jp/stock/?code="&amp;終値!A204,"📈"))</f>
      </c>
      <c r="B204" s="681">
        <f>IF(終値!A204="","",終値!A204)</f>
      </c>
      <c r="C204" s="680">
        <f>IF(終値!A204="","",終値!B204)</f>
      </c>
      <c r="D204" s="682">
        <f>IF(終値!A204="","",終値!E204)</f>
      </c>
      <c r="E204" s="682">
        <f>IF($D204="","",AVERAGE(終値!E204:X204))</f>
      </c>
      <c r="F204" s="683">
        <f>IF($D204="","",STDEVP(終値!E204:X204))</f>
      </c>
      <c r="G204" s="682">
        <f>IF($D204="","",$E204+BB設定!$B$4*$F204)</f>
      </c>
      <c r="H204" s="682">
        <f>IF($D204="","",$E204+BB設定!$B$5*$F204)</f>
      </c>
      <c r="I204" s="682">
        <f>IF($D204="","",$E204-BB設定!$B$5*$F204)</f>
      </c>
      <c r="J204" s="682">
        <f>IF($D204="","",$E204-BB設定!$B$4*$F204)</f>
      </c>
      <c r="K204" s="687">
        <f>IF($D204="","",IFERROR(($D204-$J204)/($G204-$J204),""))</f>
      </c>
      <c r="L204" s="686">
        <f>IF($D204="","",IFERROR(($G204-$J204)/$E204*100,""))</f>
      </c>
      <c r="M204" s="686">
        <f>IF($D204="","",IFERROR(MIN(BB_帯幅!B204:AP204)*100,""))</f>
      </c>
      <c r="N204" s="681">
        <f>IF($L204="","",IF($L204&lt;=$M204*BB設定!$B$7,"スクイーズ★",IF($L204&lt;=$M204*1.3,"収縮","－")))</f>
      </c>
      <c r="O204" s="681">
        <f>IF($D204="","",IF($L204&gt;(4*STDEVP(終値!F204:Y204)/AVERAGE(終値!F204:Y204)*100),"拡大↑","縮小↓"))</f>
      </c>
      <c r="P204" s="681">
        <f>IF($D204="","",IF($D204&gt;$G204,"↑+2σ突破",IF($D204&lt;$J204,"↓-2σ割れ",IF($D204&gt;$H204,"+1σ上",IF($D204&lt;$I204,"-1σ下","バンド内")))))</f>
      </c>
      <c r="Q204" s="684">
        <f>IF($D204="","",IFERROR(100-100/(1+SUMPRODUCT((終値!E204:R204&gt;終値!F204:S204)*(終値!E204:R204-終値!F204:S204))/SUMPRODUCT((終値!E204:R204&lt;終値!F204:S204)*(終値!F204:S204-終値!E204:R204))),100))</f>
      </c>
      <c r="R204" s="684">
        <f>IF($D204="","",IFERROR(100-100/(1+SUMPRODUCT((((高値!E204:R204+安値!E204:R204+終値!E204:R204)/3)&gt;((高値!F204:S204+安値!F204:S204+終値!F204:S204)/3))*((高値!E204:R204+安値!E204:R204+終値!E204:R204)/3)*出来高!E204:R204)/SUMPRODUCT((((高値!E204:R204+安値!E204:R204+終値!E204:R204)/3)&lt;((高値!F204:S204+安値!F204:S204+終値!F204:S204)/3))*((高値!E204:R204+安値!E204:R204+終値!E204:R204)/3)*出来高!E204:R204)),50))</f>
      </c>
      <c r="S204" s="681">
        <f>IF($D204="","",IF(AND(終値!E204&lt;終値!O204,$Q204&gt;(IFERROR(100-100/(1+SUMPRODUCT((終値!O204:AB204&gt;終値!P204:AC204)*(終値!O204:AB204-終値!P204:AC204))/SUMPRODUCT((終値!O204:AB204&lt;終値!P204:AC204)*(終値!P204:AC204-終値!O204:AB204))),100))),"強気div▲",IF(AND(終値!E204&gt;終値!O204,$Q204&lt;(IFERROR(100-100/(1+SUMPRODUCT((終値!O204:AB204&gt;終値!P204:AC204)*(終値!O204:AB204-終値!P204:AC204))/SUMPRODUCT((終値!O204:AB204&lt;終値!P204:AC204)*(終値!P204:AC204-終値!O204:AB204))),100))),"弱気div▼","－")))</f>
      </c>
      <c r="T204" s="681">
        <f>IF($D204="","",IF($D204&gt;=$H204,"上walk▲",IF($D204&lt;=$I204,"下walk▼","－")))</f>
      </c>
      <c r="U204" s="681">
        <f>IF(終値!A204="","",BB_スイング!BT204)</f>
      </c>
      <c r="V204" s="689">
        <f>IF($D204="","",IFERROR(出来高!E204/AVERAGE(出来高!E204:I204),""))</f>
      </c>
      <c r="W204" s="690">
        <f>IF($D204="","",IF(AND($D204&gt;$G204,$O204="拡大↑",$L204&lt;=$M204*1.8),"◎スクイーズブレイク買",IF(AND($D204&gt;=$H204,$R204&gt;=BB設定!$B$10),"○順張り継続(walk)",IF(AND($S204="強気div▲",$D204&gt;$I204),"○反発(ダイバ)買",IF($U204="二番底W▲","△二番底買(確)",IF($U204="二番底W形成","△二番底形成",IF($D204&lt;$J204,"▼-2σ割れ危険",IF(AND($D204&gt;$E204,$K204&lt;0.6,$R204&gt;=50),"・押し目注目",IF($N204="スクイーズ★","☆スクイーズ監視","様子見")))))))))</f>
      </c>
      <c r="X204" s="685">
        <f>IF($D204="","",MIN(100,IF($L204&lt;=$M204*1.15,20,IF($L204&lt;=$M204*1.4,10,0))+IF($D204&gt;$G204,20,IF($D204&gt;$H204,12,IF($D204&gt;$E204,5,0)))+IF($O204="拡大↑",10,0)+IF($R204&gt;=80,15,IF($R204&gt;=60,10,IF($R204&gt;=50,5,0)))+IF(AND($Q204&gt;=50,$Q204&lt;=70),10,IF($Q204&gt;70,3,IF($Q204&gt;=40,5,0)))+IF($S204="強気div▲",15,0)+IF($T204="上walk▲",5,0)+IF($V204&gt;=2,5,IF($V204&gt;=1.5,3,0))))</f>
      </c>
      <c r="Y204" s="682">
        <f>IF($D204="","",$D204)</f>
      </c>
      <c r="Z204" s="682">
        <f>IF($D204="","",$H204)</f>
      </c>
      <c r="AA204" s="682">
        <f>IF($D204="","",IF($D204&gt;$E204,$E204,$AD204))</f>
      </c>
      <c r="AB204" s="682">
        <f>IF($D204="","",$G204)</f>
      </c>
      <c r="AC204" s="688">
        <f>IF($D204="","",IF(($Y204-$AA204)&lt;=0,"－",IFERROR(ROUND(MIN(20,($AB204-$Y204)/($Y204-$AA204)),2),"－")))</f>
      </c>
      <c r="AD204" s="682">
        <f>IF($D204="","",MIN(終値!E204:I204))</f>
      </c>
      <c r="AE204" s="684">
        <f>IF($D204="","",$X204+(10000-ROW())/100000)</f>
      </c>
    </row>
    <row r="205">
      <c r="A205" s="681">
        <f>IF(終値!A205="","",HYPERLINK("https://kabutan.jp/stock/?code="&amp;終値!A205,"📈"))</f>
      </c>
      <c r="B205" s="681">
        <f>IF(終値!A205="","",終値!A205)</f>
      </c>
      <c r="C205" s="680">
        <f>IF(終値!A205="","",終値!B205)</f>
      </c>
      <c r="D205" s="682">
        <f>IF(終値!A205="","",終値!E205)</f>
      </c>
      <c r="E205" s="682">
        <f>IF($D205="","",AVERAGE(終値!E205:X205))</f>
      </c>
      <c r="F205" s="683">
        <f>IF($D205="","",STDEVP(終値!E205:X205))</f>
      </c>
      <c r="G205" s="682">
        <f>IF($D205="","",$E205+BB設定!$B$4*$F205)</f>
      </c>
      <c r="H205" s="682">
        <f>IF($D205="","",$E205+BB設定!$B$5*$F205)</f>
      </c>
      <c r="I205" s="682">
        <f>IF($D205="","",$E205-BB設定!$B$5*$F205)</f>
      </c>
      <c r="J205" s="682">
        <f>IF($D205="","",$E205-BB設定!$B$4*$F205)</f>
      </c>
      <c r="K205" s="687">
        <f>IF($D205="","",IFERROR(($D205-$J205)/($G205-$J205),""))</f>
      </c>
      <c r="L205" s="686">
        <f>IF($D205="","",IFERROR(($G205-$J205)/$E205*100,""))</f>
      </c>
      <c r="M205" s="686">
        <f>IF($D205="","",IFERROR(MIN(BB_帯幅!B205:AP205)*100,""))</f>
      </c>
      <c r="N205" s="681">
        <f>IF($L205="","",IF($L205&lt;=$M205*BB設定!$B$7,"スクイーズ★",IF($L205&lt;=$M205*1.3,"収縮","－")))</f>
      </c>
      <c r="O205" s="681">
        <f>IF($D205="","",IF($L205&gt;(4*STDEVP(終値!F205:Y205)/AVERAGE(終値!F205:Y205)*100),"拡大↑","縮小↓"))</f>
      </c>
      <c r="P205" s="681">
        <f>IF($D205="","",IF($D205&gt;$G205,"↑+2σ突破",IF($D205&lt;$J205,"↓-2σ割れ",IF($D205&gt;$H205,"+1σ上",IF($D205&lt;$I205,"-1σ下","バンド内")))))</f>
      </c>
      <c r="Q205" s="684">
        <f>IF($D205="","",IFERROR(100-100/(1+SUMPRODUCT((終値!E205:R205&gt;終値!F205:S205)*(終値!E205:R205-終値!F205:S205))/SUMPRODUCT((終値!E205:R205&lt;終値!F205:S205)*(終値!F205:S205-終値!E205:R205))),100))</f>
      </c>
      <c r="R205" s="684">
        <f>IF($D205="","",IFERROR(100-100/(1+SUMPRODUCT((((高値!E205:R205+安値!E205:R205+終値!E205:R205)/3)&gt;((高値!F205:S205+安値!F205:S205+終値!F205:S205)/3))*((高値!E205:R205+安値!E205:R205+終値!E205:R205)/3)*出来高!E205:R205)/SUMPRODUCT((((高値!E205:R205+安値!E205:R205+終値!E205:R205)/3)&lt;((高値!F205:S205+安値!F205:S205+終値!F205:S205)/3))*((高値!E205:R205+安値!E205:R205+終値!E205:R205)/3)*出来高!E205:R205)),50))</f>
      </c>
      <c r="S205" s="681">
        <f>IF($D205="","",IF(AND(終値!E205&lt;終値!O205,$Q205&gt;(IFERROR(100-100/(1+SUMPRODUCT((終値!O205:AB205&gt;終値!P205:AC205)*(終値!O205:AB205-終値!P205:AC205))/SUMPRODUCT((終値!O205:AB205&lt;終値!P205:AC205)*(終値!P205:AC205-終値!O205:AB205))),100))),"強気div▲",IF(AND(終値!E205&gt;終値!O205,$Q205&lt;(IFERROR(100-100/(1+SUMPRODUCT((終値!O205:AB205&gt;終値!P205:AC205)*(終値!O205:AB205-終値!P205:AC205))/SUMPRODUCT((終値!O205:AB205&lt;終値!P205:AC205)*(終値!P205:AC205-終値!O205:AB205))),100))),"弱気div▼","－")))</f>
      </c>
      <c r="T205" s="681">
        <f>IF($D205="","",IF($D205&gt;=$H205,"上walk▲",IF($D205&lt;=$I205,"下walk▼","－")))</f>
      </c>
      <c r="U205" s="681">
        <f>IF(終値!A205="","",BB_スイング!BT205)</f>
      </c>
      <c r="V205" s="689">
        <f>IF($D205="","",IFERROR(出来高!E205/AVERAGE(出来高!E205:I205),""))</f>
      </c>
      <c r="W205" s="690">
        <f>IF($D205="","",IF(AND($D205&gt;$G205,$O205="拡大↑",$L205&lt;=$M205*1.8),"◎スクイーズブレイク買",IF(AND($D205&gt;=$H205,$R205&gt;=BB設定!$B$10),"○順張り継続(walk)",IF(AND($S205="強気div▲",$D205&gt;$I205),"○反発(ダイバ)買",IF($U205="二番底W▲","△二番底買(確)",IF($U205="二番底W形成","△二番底形成",IF($D205&lt;$J205,"▼-2σ割れ危険",IF(AND($D205&gt;$E205,$K205&lt;0.6,$R205&gt;=50),"・押し目注目",IF($N205="スクイーズ★","☆スクイーズ監視","様子見")))))))))</f>
      </c>
      <c r="X205" s="685">
        <f>IF($D205="","",MIN(100,IF($L205&lt;=$M205*1.15,20,IF($L205&lt;=$M205*1.4,10,0))+IF($D205&gt;$G205,20,IF($D205&gt;$H205,12,IF($D205&gt;$E205,5,0)))+IF($O205="拡大↑",10,0)+IF($R205&gt;=80,15,IF($R205&gt;=60,10,IF($R205&gt;=50,5,0)))+IF(AND($Q205&gt;=50,$Q205&lt;=70),10,IF($Q205&gt;70,3,IF($Q205&gt;=40,5,0)))+IF($S205="強気div▲",15,0)+IF($T205="上walk▲",5,0)+IF($V205&gt;=2,5,IF($V205&gt;=1.5,3,0))))</f>
      </c>
      <c r="Y205" s="682">
        <f>IF($D205="","",$D205)</f>
      </c>
      <c r="Z205" s="682">
        <f>IF($D205="","",$H205)</f>
      </c>
      <c r="AA205" s="682">
        <f>IF($D205="","",IF($D205&gt;$E205,$E205,$AD205))</f>
      </c>
      <c r="AB205" s="682">
        <f>IF($D205="","",$G205)</f>
      </c>
      <c r="AC205" s="688">
        <f>IF($D205="","",IF(($Y205-$AA205)&lt;=0,"－",IFERROR(ROUND(MIN(20,($AB205-$Y205)/($Y205-$AA205)),2),"－")))</f>
      </c>
      <c r="AD205" s="682">
        <f>IF($D205="","",MIN(終値!E205:I205))</f>
      </c>
      <c r="AE205" s="684">
        <f>IF($D205="","",$X205+(10000-ROW())/100000)</f>
      </c>
    </row>
    <row r="206">
      <c r="A206" s="681">
        <f>IF(終値!A206="","",HYPERLINK("https://kabutan.jp/stock/?code="&amp;終値!A206,"📈"))</f>
      </c>
      <c r="B206" s="681">
        <f>IF(終値!A206="","",終値!A206)</f>
      </c>
      <c r="C206" s="680">
        <f>IF(終値!A206="","",終値!B206)</f>
      </c>
      <c r="D206" s="682">
        <f>IF(終値!A206="","",終値!E206)</f>
      </c>
      <c r="E206" s="682">
        <f>IF($D206="","",AVERAGE(終値!E206:X206))</f>
      </c>
      <c r="F206" s="683">
        <f>IF($D206="","",STDEVP(終値!E206:X206))</f>
      </c>
      <c r="G206" s="682">
        <f>IF($D206="","",$E206+BB設定!$B$4*$F206)</f>
      </c>
      <c r="H206" s="682">
        <f>IF($D206="","",$E206+BB設定!$B$5*$F206)</f>
      </c>
      <c r="I206" s="682">
        <f>IF($D206="","",$E206-BB設定!$B$5*$F206)</f>
      </c>
      <c r="J206" s="682">
        <f>IF($D206="","",$E206-BB設定!$B$4*$F206)</f>
      </c>
      <c r="K206" s="687">
        <f>IF($D206="","",IFERROR(($D206-$J206)/($G206-$J206),""))</f>
      </c>
      <c r="L206" s="686">
        <f>IF($D206="","",IFERROR(($G206-$J206)/$E206*100,""))</f>
      </c>
      <c r="M206" s="686">
        <f>IF($D206="","",IFERROR(MIN(BB_帯幅!B206:AP206)*100,""))</f>
      </c>
      <c r="N206" s="681">
        <f>IF($L206="","",IF($L206&lt;=$M206*BB設定!$B$7,"スクイーズ★",IF($L206&lt;=$M206*1.3,"収縮","－")))</f>
      </c>
      <c r="O206" s="681">
        <f>IF($D206="","",IF($L206&gt;(4*STDEVP(終値!F206:Y206)/AVERAGE(終値!F206:Y206)*100),"拡大↑","縮小↓"))</f>
      </c>
      <c r="P206" s="681">
        <f>IF($D206="","",IF($D206&gt;$G206,"↑+2σ突破",IF($D206&lt;$J206,"↓-2σ割れ",IF($D206&gt;$H206,"+1σ上",IF($D206&lt;$I206,"-1σ下","バンド内")))))</f>
      </c>
      <c r="Q206" s="684">
        <f>IF($D206="","",IFERROR(100-100/(1+SUMPRODUCT((終値!E206:R206&gt;終値!F206:S206)*(終値!E206:R206-終値!F206:S206))/SUMPRODUCT((終値!E206:R206&lt;終値!F206:S206)*(終値!F206:S206-終値!E206:R206))),100))</f>
      </c>
      <c r="R206" s="684">
        <f>IF($D206="","",IFERROR(100-100/(1+SUMPRODUCT((((高値!E206:R206+安値!E206:R206+終値!E206:R206)/3)&gt;((高値!F206:S206+安値!F206:S206+終値!F206:S206)/3))*((高値!E206:R206+安値!E206:R206+終値!E206:R206)/3)*出来高!E206:R206)/SUMPRODUCT((((高値!E206:R206+安値!E206:R206+終値!E206:R206)/3)&lt;((高値!F206:S206+安値!F206:S206+終値!F206:S206)/3))*((高値!E206:R206+安値!E206:R206+終値!E206:R206)/3)*出来高!E206:R206)),50))</f>
      </c>
      <c r="S206" s="681">
        <f>IF($D206="","",IF(AND(終値!E206&lt;終値!O206,$Q206&gt;(IFERROR(100-100/(1+SUMPRODUCT((終値!O206:AB206&gt;終値!P206:AC206)*(終値!O206:AB206-終値!P206:AC206))/SUMPRODUCT((終値!O206:AB206&lt;終値!P206:AC206)*(終値!P206:AC206-終値!O206:AB206))),100))),"強気div▲",IF(AND(終値!E206&gt;終値!O206,$Q206&lt;(IFERROR(100-100/(1+SUMPRODUCT((終値!O206:AB206&gt;終値!P206:AC206)*(終値!O206:AB206-終値!P206:AC206))/SUMPRODUCT((終値!O206:AB206&lt;終値!P206:AC206)*(終値!P206:AC206-終値!O206:AB206))),100))),"弱気div▼","－")))</f>
      </c>
      <c r="T206" s="681">
        <f>IF($D206="","",IF($D206&gt;=$H206,"上walk▲",IF($D206&lt;=$I206,"下walk▼","－")))</f>
      </c>
      <c r="U206" s="681">
        <f>IF(終値!A206="","",BB_スイング!BT206)</f>
      </c>
      <c r="V206" s="689">
        <f>IF($D206="","",IFERROR(出来高!E206/AVERAGE(出来高!E206:I206),""))</f>
      </c>
      <c r="W206" s="690">
        <f>IF($D206="","",IF(AND($D206&gt;$G206,$O206="拡大↑",$L206&lt;=$M206*1.8),"◎スクイーズブレイク買",IF(AND($D206&gt;=$H206,$R206&gt;=BB設定!$B$10),"○順張り継続(walk)",IF(AND($S206="強気div▲",$D206&gt;$I206),"○反発(ダイバ)買",IF($U206="二番底W▲","△二番底買(確)",IF($U206="二番底W形成","△二番底形成",IF($D206&lt;$J206,"▼-2σ割れ危険",IF(AND($D206&gt;$E206,$K206&lt;0.6,$R206&gt;=50),"・押し目注目",IF($N206="スクイーズ★","☆スクイーズ監視","様子見")))))))))</f>
      </c>
      <c r="X206" s="685">
        <f>IF($D206="","",MIN(100,IF($L206&lt;=$M206*1.15,20,IF($L206&lt;=$M206*1.4,10,0))+IF($D206&gt;$G206,20,IF($D206&gt;$H206,12,IF($D206&gt;$E206,5,0)))+IF($O206="拡大↑",10,0)+IF($R206&gt;=80,15,IF($R206&gt;=60,10,IF($R206&gt;=50,5,0)))+IF(AND($Q206&gt;=50,$Q206&lt;=70),10,IF($Q206&gt;70,3,IF($Q206&gt;=40,5,0)))+IF($S206="強気div▲",15,0)+IF($T206="上walk▲",5,0)+IF($V206&gt;=2,5,IF($V206&gt;=1.5,3,0))))</f>
      </c>
      <c r="Y206" s="682">
        <f>IF($D206="","",$D206)</f>
      </c>
      <c r="Z206" s="682">
        <f>IF($D206="","",$H206)</f>
      </c>
      <c r="AA206" s="682">
        <f>IF($D206="","",IF($D206&gt;$E206,$E206,$AD206))</f>
      </c>
      <c r="AB206" s="682">
        <f>IF($D206="","",$G206)</f>
      </c>
      <c r="AC206" s="688">
        <f>IF($D206="","",IF(($Y206-$AA206)&lt;=0,"－",IFERROR(ROUND(MIN(20,($AB206-$Y206)/($Y206-$AA206)),2),"－")))</f>
      </c>
      <c r="AD206" s="682">
        <f>IF($D206="","",MIN(終値!E206:I206))</f>
      </c>
      <c r="AE206" s="684">
        <f>IF($D206="","",$X206+(10000-ROW())/100000)</f>
      </c>
    </row>
    <row r="207">
      <c r="A207" s="681">
        <f>IF(終値!A207="","",HYPERLINK("https://kabutan.jp/stock/?code="&amp;終値!A207,"📈"))</f>
      </c>
      <c r="B207" s="681">
        <f>IF(終値!A207="","",終値!A207)</f>
      </c>
      <c r="C207" s="680">
        <f>IF(終値!A207="","",終値!B207)</f>
      </c>
      <c r="D207" s="682">
        <f>IF(終値!A207="","",終値!E207)</f>
      </c>
      <c r="E207" s="682">
        <f>IF($D207="","",AVERAGE(終値!E207:X207))</f>
      </c>
      <c r="F207" s="683">
        <f>IF($D207="","",STDEVP(終値!E207:X207))</f>
      </c>
      <c r="G207" s="682">
        <f>IF($D207="","",$E207+BB設定!$B$4*$F207)</f>
      </c>
      <c r="H207" s="682">
        <f>IF($D207="","",$E207+BB設定!$B$5*$F207)</f>
      </c>
      <c r="I207" s="682">
        <f>IF($D207="","",$E207-BB設定!$B$5*$F207)</f>
      </c>
      <c r="J207" s="682">
        <f>IF($D207="","",$E207-BB設定!$B$4*$F207)</f>
      </c>
      <c r="K207" s="687">
        <f>IF($D207="","",IFERROR(($D207-$J207)/($G207-$J207),""))</f>
      </c>
      <c r="L207" s="686">
        <f>IF($D207="","",IFERROR(($G207-$J207)/$E207*100,""))</f>
      </c>
      <c r="M207" s="686">
        <f>IF($D207="","",IFERROR(MIN(BB_帯幅!B207:AP207)*100,""))</f>
      </c>
      <c r="N207" s="681">
        <f>IF($L207="","",IF($L207&lt;=$M207*BB設定!$B$7,"スクイーズ★",IF($L207&lt;=$M207*1.3,"収縮","－")))</f>
      </c>
      <c r="O207" s="681">
        <f>IF($D207="","",IF($L207&gt;(4*STDEVP(終値!F207:Y207)/AVERAGE(終値!F207:Y207)*100),"拡大↑","縮小↓"))</f>
      </c>
      <c r="P207" s="681">
        <f>IF($D207="","",IF($D207&gt;$G207,"↑+2σ突破",IF($D207&lt;$J207,"↓-2σ割れ",IF($D207&gt;$H207,"+1σ上",IF($D207&lt;$I207,"-1σ下","バンド内")))))</f>
      </c>
      <c r="Q207" s="684">
        <f>IF($D207="","",IFERROR(100-100/(1+SUMPRODUCT((終値!E207:R207&gt;終値!F207:S207)*(終値!E207:R207-終値!F207:S207))/SUMPRODUCT((終値!E207:R207&lt;終値!F207:S207)*(終値!F207:S207-終値!E207:R207))),100))</f>
      </c>
      <c r="R207" s="684">
        <f>IF($D207="","",IFERROR(100-100/(1+SUMPRODUCT((((高値!E207:R207+安値!E207:R207+終値!E207:R207)/3)&gt;((高値!F207:S207+安値!F207:S207+終値!F207:S207)/3))*((高値!E207:R207+安値!E207:R207+終値!E207:R207)/3)*出来高!E207:R207)/SUMPRODUCT((((高値!E207:R207+安値!E207:R207+終値!E207:R207)/3)&lt;((高値!F207:S207+安値!F207:S207+終値!F207:S207)/3))*((高値!E207:R207+安値!E207:R207+終値!E207:R207)/3)*出来高!E207:R207)),50))</f>
      </c>
      <c r="S207" s="681">
        <f>IF($D207="","",IF(AND(終値!E207&lt;終値!O207,$Q207&gt;(IFERROR(100-100/(1+SUMPRODUCT((終値!O207:AB207&gt;終値!P207:AC207)*(終値!O207:AB207-終値!P207:AC207))/SUMPRODUCT((終値!O207:AB207&lt;終値!P207:AC207)*(終値!P207:AC207-終値!O207:AB207))),100))),"強気div▲",IF(AND(終値!E207&gt;終値!O207,$Q207&lt;(IFERROR(100-100/(1+SUMPRODUCT((終値!O207:AB207&gt;終値!P207:AC207)*(終値!O207:AB207-終値!P207:AC207))/SUMPRODUCT((終値!O207:AB207&lt;終値!P207:AC207)*(終値!P207:AC207-終値!O207:AB207))),100))),"弱気div▼","－")))</f>
      </c>
      <c r="T207" s="681">
        <f>IF($D207="","",IF($D207&gt;=$H207,"上walk▲",IF($D207&lt;=$I207,"下walk▼","－")))</f>
      </c>
      <c r="U207" s="681">
        <f>IF(終値!A207="","",BB_スイング!BT207)</f>
      </c>
      <c r="V207" s="689">
        <f>IF($D207="","",IFERROR(出来高!E207/AVERAGE(出来高!E207:I207),""))</f>
      </c>
      <c r="W207" s="690">
        <f>IF($D207="","",IF(AND($D207&gt;$G207,$O207="拡大↑",$L207&lt;=$M207*1.8),"◎スクイーズブレイク買",IF(AND($D207&gt;=$H207,$R207&gt;=BB設定!$B$10),"○順張り継続(walk)",IF(AND($S207="強気div▲",$D207&gt;$I207),"○反発(ダイバ)買",IF($U207="二番底W▲","△二番底買(確)",IF($U207="二番底W形成","△二番底形成",IF($D207&lt;$J207,"▼-2σ割れ危険",IF(AND($D207&gt;$E207,$K207&lt;0.6,$R207&gt;=50),"・押し目注目",IF($N207="スクイーズ★","☆スクイーズ監視","様子見")))))))))</f>
      </c>
      <c r="X207" s="685">
        <f>IF($D207="","",MIN(100,IF($L207&lt;=$M207*1.15,20,IF($L207&lt;=$M207*1.4,10,0))+IF($D207&gt;$G207,20,IF($D207&gt;$H207,12,IF($D207&gt;$E207,5,0)))+IF($O207="拡大↑",10,0)+IF($R207&gt;=80,15,IF($R207&gt;=60,10,IF($R207&gt;=50,5,0)))+IF(AND($Q207&gt;=50,$Q207&lt;=70),10,IF($Q207&gt;70,3,IF($Q207&gt;=40,5,0)))+IF($S207="強気div▲",15,0)+IF($T207="上walk▲",5,0)+IF($V207&gt;=2,5,IF($V207&gt;=1.5,3,0))))</f>
      </c>
      <c r="Y207" s="682">
        <f>IF($D207="","",$D207)</f>
      </c>
      <c r="Z207" s="682">
        <f>IF($D207="","",$H207)</f>
      </c>
      <c r="AA207" s="682">
        <f>IF($D207="","",IF($D207&gt;$E207,$E207,$AD207))</f>
      </c>
      <c r="AB207" s="682">
        <f>IF($D207="","",$G207)</f>
      </c>
      <c r="AC207" s="688">
        <f>IF($D207="","",IF(($Y207-$AA207)&lt;=0,"－",IFERROR(ROUND(MIN(20,($AB207-$Y207)/($Y207-$AA207)),2),"－")))</f>
      </c>
      <c r="AD207" s="682">
        <f>IF($D207="","",MIN(終値!E207:I207))</f>
      </c>
      <c r="AE207" s="684">
        <f>IF($D207="","",$X207+(10000-ROW())/100000)</f>
      </c>
    </row>
    <row r="208">
      <c r="A208" s="681">
        <f>IF(終値!A208="","",HYPERLINK("https://kabutan.jp/stock/?code="&amp;終値!A208,"📈"))</f>
      </c>
      <c r="B208" s="681">
        <f>IF(終値!A208="","",終値!A208)</f>
      </c>
      <c r="C208" s="680">
        <f>IF(終値!A208="","",終値!B208)</f>
      </c>
      <c r="D208" s="682">
        <f>IF(終値!A208="","",終値!E208)</f>
      </c>
      <c r="E208" s="682">
        <f>IF($D208="","",AVERAGE(終値!E208:X208))</f>
      </c>
      <c r="F208" s="683">
        <f>IF($D208="","",STDEVP(終値!E208:X208))</f>
      </c>
      <c r="G208" s="682">
        <f>IF($D208="","",$E208+BB設定!$B$4*$F208)</f>
      </c>
      <c r="H208" s="682">
        <f>IF($D208="","",$E208+BB設定!$B$5*$F208)</f>
      </c>
      <c r="I208" s="682">
        <f>IF($D208="","",$E208-BB設定!$B$5*$F208)</f>
      </c>
      <c r="J208" s="682">
        <f>IF($D208="","",$E208-BB設定!$B$4*$F208)</f>
      </c>
      <c r="K208" s="687">
        <f>IF($D208="","",IFERROR(($D208-$J208)/($G208-$J208),""))</f>
      </c>
      <c r="L208" s="686">
        <f>IF($D208="","",IFERROR(($G208-$J208)/$E208*100,""))</f>
      </c>
      <c r="M208" s="686">
        <f>IF($D208="","",IFERROR(MIN(BB_帯幅!B208:AP208)*100,""))</f>
      </c>
      <c r="N208" s="681">
        <f>IF($L208="","",IF($L208&lt;=$M208*BB設定!$B$7,"スクイーズ★",IF($L208&lt;=$M208*1.3,"収縮","－")))</f>
      </c>
      <c r="O208" s="681">
        <f>IF($D208="","",IF($L208&gt;(4*STDEVP(終値!F208:Y208)/AVERAGE(終値!F208:Y208)*100),"拡大↑","縮小↓"))</f>
      </c>
      <c r="P208" s="681">
        <f>IF($D208="","",IF($D208&gt;$G208,"↑+2σ突破",IF($D208&lt;$J208,"↓-2σ割れ",IF($D208&gt;$H208,"+1σ上",IF($D208&lt;$I208,"-1σ下","バンド内")))))</f>
      </c>
      <c r="Q208" s="684">
        <f>IF($D208="","",IFERROR(100-100/(1+SUMPRODUCT((終値!E208:R208&gt;終値!F208:S208)*(終値!E208:R208-終値!F208:S208))/SUMPRODUCT((終値!E208:R208&lt;終値!F208:S208)*(終値!F208:S208-終値!E208:R208))),100))</f>
      </c>
      <c r="R208" s="684">
        <f>IF($D208="","",IFERROR(100-100/(1+SUMPRODUCT((((高値!E208:R208+安値!E208:R208+終値!E208:R208)/3)&gt;((高値!F208:S208+安値!F208:S208+終値!F208:S208)/3))*((高値!E208:R208+安値!E208:R208+終値!E208:R208)/3)*出来高!E208:R208)/SUMPRODUCT((((高値!E208:R208+安値!E208:R208+終値!E208:R208)/3)&lt;((高値!F208:S208+安値!F208:S208+終値!F208:S208)/3))*((高値!E208:R208+安値!E208:R208+終値!E208:R208)/3)*出来高!E208:R208)),50))</f>
      </c>
      <c r="S208" s="681">
        <f>IF($D208="","",IF(AND(終値!E208&lt;終値!O208,$Q208&gt;(IFERROR(100-100/(1+SUMPRODUCT((終値!O208:AB208&gt;終値!P208:AC208)*(終値!O208:AB208-終値!P208:AC208))/SUMPRODUCT((終値!O208:AB208&lt;終値!P208:AC208)*(終値!P208:AC208-終値!O208:AB208))),100))),"強気div▲",IF(AND(終値!E208&gt;終値!O208,$Q208&lt;(IFERROR(100-100/(1+SUMPRODUCT((終値!O208:AB208&gt;終値!P208:AC208)*(終値!O208:AB208-終値!P208:AC208))/SUMPRODUCT((終値!O208:AB208&lt;終値!P208:AC208)*(終値!P208:AC208-終値!O208:AB208))),100))),"弱気div▼","－")))</f>
      </c>
      <c r="T208" s="681">
        <f>IF($D208="","",IF($D208&gt;=$H208,"上walk▲",IF($D208&lt;=$I208,"下walk▼","－")))</f>
      </c>
      <c r="U208" s="681">
        <f>IF(終値!A208="","",BB_スイング!BT208)</f>
      </c>
      <c r="V208" s="689">
        <f>IF($D208="","",IFERROR(出来高!E208/AVERAGE(出来高!E208:I208),""))</f>
      </c>
      <c r="W208" s="690">
        <f>IF($D208="","",IF(AND($D208&gt;$G208,$O208="拡大↑",$L208&lt;=$M208*1.8),"◎スクイーズブレイク買",IF(AND($D208&gt;=$H208,$R208&gt;=BB設定!$B$10),"○順張り継続(walk)",IF(AND($S208="強気div▲",$D208&gt;$I208),"○反発(ダイバ)買",IF($U208="二番底W▲","△二番底買(確)",IF($U208="二番底W形成","△二番底形成",IF($D208&lt;$J208,"▼-2σ割れ危険",IF(AND($D208&gt;$E208,$K208&lt;0.6,$R208&gt;=50),"・押し目注目",IF($N208="スクイーズ★","☆スクイーズ監視","様子見")))))))))</f>
      </c>
      <c r="X208" s="685">
        <f>IF($D208="","",MIN(100,IF($L208&lt;=$M208*1.15,20,IF($L208&lt;=$M208*1.4,10,0))+IF($D208&gt;$G208,20,IF($D208&gt;$H208,12,IF($D208&gt;$E208,5,0)))+IF($O208="拡大↑",10,0)+IF($R208&gt;=80,15,IF($R208&gt;=60,10,IF($R208&gt;=50,5,0)))+IF(AND($Q208&gt;=50,$Q208&lt;=70),10,IF($Q208&gt;70,3,IF($Q208&gt;=40,5,0)))+IF($S208="強気div▲",15,0)+IF($T208="上walk▲",5,0)+IF($V208&gt;=2,5,IF($V208&gt;=1.5,3,0))))</f>
      </c>
      <c r="Y208" s="682">
        <f>IF($D208="","",$D208)</f>
      </c>
      <c r="Z208" s="682">
        <f>IF($D208="","",$H208)</f>
      </c>
      <c r="AA208" s="682">
        <f>IF($D208="","",IF($D208&gt;$E208,$E208,$AD208))</f>
      </c>
      <c r="AB208" s="682">
        <f>IF($D208="","",$G208)</f>
      </c>
      <c r="AC208" s="688">
        <f>IF($D208="","",IF(($Y208-$AA208)&lt;=0,"－",IFERROR(ROUND(MIN(20,($AB208-$Y208)/($Y208-$AA208)),2),"－")))</f>
      </c>
      <c r="AD208" s="682">
        <f>IF($D208="","",MIN(終値!E208:I208))</f>
      </c>
      <c r="AE208" s="684">
        <f>IF($D208="","",$X208+(10000-ROW())/100000)</f>
      </c>
    </row>
    <row r="209">
      <c r="A209" s="681">
        <f>IF(終値!A209="","",HYPERLINK("https://kabutan.jp/stock/?code="&amp;終値!A209,"📈"))</f>
      </c>
      <c r="B209" s="681">
        <f>IF(終値!A209="","",終値!A209)</f>
      </c>
      <c r="C209" s="680">
        <f>IF(終値!A209="","",終値!B209)</f>
      </c>
      <c r="D209" s="682">
        <f>IF(終値!A209="","",終値!E209)</f>
      </c>
      <c r="E209" s="682">
        <f>IF($D209="","",AVERAGE(終値!E209:X209))</f>
      </c>
      <c r="F209" s="683">
        <f>IF($D209="","",STDEVP(終値!E209:X209))</f>
      </c>
      <c r="G209" s="682">
        <f>IF($D209="","",$E209+BB設定!$B$4*$F209)</f>
      </c>
      <c r="H209" s="682">
        <f>IF($D209="","",$E209+BB設定!$B$5*$F209)</f>
      </c>
      <c r="I209" s="682">
        <f>IF($D209="","",$E209-BB設定!$B$5*$F209)</f>
      </c>
      <c r="J209" s="682">
        <f>IF($D209="","",$E209-BB設定!$B$4*$F209)</f>
      </c>
      <c r="K209" s="687">
        <f>IF($D209="","",IFERROR(($D209-$J209)/($G209-$J209),""))</f>
      </c>
      <c r="L209" s="686">
        <f>IF($D209="","",IFERROR(($G209-$J209)/$E209*100,""))</f>
      </c>
      <c r="M209" s="686">
        <f>IF($D209="","",IFERROR(MIN(BB_帯幅!B209:AP209)*100,""))</f>
      </c>
      <c r="N209" s="681">
        <f>IF($L209="","",IF($L209&lt;=$M209*BB設定!$B$7,"スクイーズ★",IF($L209&lt;=$M209*1.3,"収縮","－")))</f>
      </c>
      <c r="O209" s="681">
        <f>IF($D209="","",IF($L209&gt;(4*STDEVP(終値!F209:Y209)/AVERAGE(終値!F209:Y209)*100),"拡大↑","縮小↓"))</f>
      </c>
      <c r="P209" s="681">
        <f>IF($D209="","",IF($D209&gt;$G209,"↑+2σ突破",IF($D209&lt;$J209,"↓-2σ割れ",IF($D209&gt;$H209,"+1σ上",IF($D209&lt;$I209,"-1σ下","バンド内")))))</f>
      </c>
      <c r="Q209" s="684">
        <f>IF($D209="","",IFERROR(100-100/(1+SUMPRODUCT((終値!E209:R209&gt;終値!F209:S209)*(終値!E209:R209-終値!F209:S209))/SUMPRODUCT((終値!E209:R209&lt;終値!F209:S209)*(終値!F209:S209-終値!E209:R209))),100))</f>
      </c>
      <c r="R209" s="684">
        <f>IF($D209="","",IFERROR(100-100/(1+SUMPRODUCT((((高値!E209:R209+安値!E209:R209+終値!E209:R209)/3)&gt;((高値!F209:S209+安値!F209:S209+終値!F209:S209)/3))*((高値!E209:R209+安値!E209:R209+終値!E209:R209)/3)*出来高!E209:R209)/SUMPRODUCT((((高値!E209:R209+安値!E209:R209+終値!E209:R209)/3)&lt;((高値!F209:S209+安値!F209:S209+終値!F209:S209)/3))*((高値!E209:R209+安値!E209:R209+終値!E209:R209)/3)*出来高!E209:R209)),50))</f>
      </c>
      <c r="S209" s="681">
        <f>IF($D209="","",IF(AND(終値!E209&lt;終値!O209,$Q209&gt;(IFERROR(100-100/(1+SUMPRODUCT((終値!O209:AB209&gt;終値!P209:AC209)*(終値!O209:AB209-終値!P209:AC209))/SUMPRODUCT((終値!O209:AB209&lt;終値!P209:AC209)*(終値!P209:AC209-終値!O209:AB209))),100))),"強気div▲",IF(AND(終値!E209&gt;終値!O209,$Q209&lt;(IFERROR(100-100/(1+SUMPRODUCT((終値!O209:AB209&gt;終値!P209:AC209)*(終値!O209:AB209-終値!P209:AC209))/SUMPRODUCT((終値!O209:AB209&lt;終値!P209:AC209)*(終値!P209:AC209-終値!O209:AB209))),100))),"弱気div▼","－")))</f>
      </c>
      <c r="T209" s="681">
        <f>IF($D209="","",IF($D209&gt;=$H209,"上walk▲",IF($D209&lt;=$I209,"下walk▼","－")))</f>
      </c>
      <c r="U209" s="681">
        <f>IF(終値!A209="","",BB_スイング!BT209)</f>
      </c>
      <c r="V209" s="689">
        <f>IF($D209="","",IFERROR(出来高!E209/AVERAGE(出来高!E209:I209),""))</f>
      </c>
      <c r="W209" s="690">
        <f>IF($D209="","",IF(AND($D209&gt;$G209,$O209="拡大↑",$L209&lt;=$M209*1.8),"◎スクイーズブレイク買",IF(AND($D209&gt;=$H209,$R209&gt;=BB設定!$B$10),"○順張り継続(walk)",IF(AND($S209="強気div▲",$D209&gt;$I209),"○反発(ダイバ)買",IF($U209="二番底W▲","△二番底買(確)",IF($U209="二番底W形成","△二番底形成",IF($D209&lt;$J209,"▼-2σ割れ危険",IF(AND($D209&gt;$E209,$K209&lt;0.6,$R209&gt;=50),"・押し目注目",IF($N209="スクイーズ★","☆スクイーズ監視","様子見")))))))))</f>
      </c>
      <c r="X209" s="685">
        <f>IF($D209="","",MIN(100,IF($L209&lt;=$M209*1.15,20,IF($L209&lt;=$M209*1.4,10,0))+IF($D209&gt;$G209,20,IF($D209&gt;$H209,12,IF($D209&gt;$E209,5,0)))+IF($O209="拡大↑",10,0)+IF($R209&gt;=80,15,IF($R209&gt;=60,10,IF($R209&gt;=50,5,0)))+IF(AND($Q209&gt;=50,$Q209&lt;=70),10,IF($Q209&gt;70,3,IF($Q209&gt;=40,5,0)))+IF($S209="強気div▲",15,0)+IF($T209="上walk▲",5,0)+IF($V209&gt;=2,5,IF($V209&gt;=1.5,3,0))))</f>
      </c>
      <c r="Y209" s="682">
        <f>IF($D209="","",$D209)</f>
      </c>
      <c r="Z209" s="682">
        <f>IF($D209="","",$H209)</f>
      </c>
      <c r="AA209" s="682">
        <f>IF($D209="","",IF($D209&gt;$E209,$E209,$AD209))</f>
      </c>
      <c r="AB209" s="682">
        <f>IF($D209="","",$G209)</f>
      </c>
      <c r="AC209" s="688">
        <f>IF($D209="","",IF(($Y209-$AA209)&lt;=0,"－",IFERROR(ROUND(MIN(20,($AB209-$Y209)/($Y209-$AA209)),2),"－")))</f>
      </c>
      <c r="AD209" s="682">
        <f>IF($D209="","",MIN(終値!E209:I209))</f>
      </c>
      <c r="AE209" s="684">
        <f>IF($D209="","",$X209+(10000-ROW())/100000)</f>
      </c>
    </row>
    <row r="210">
      <c r="A210" s="681">
        <f>IF(終値!A210="","",HYPERLINK("https://kabutan.jp/stock/?code="&amp;終値!A210,"📈"))</f>
      </c>
      <c r="B210" s="681">
        <f>IF(終値!A210="","",終値!A210)</f>
      </c>
      <c r="C210" s="680">
        <f>IF(終値!A210="","",終値!B210)</f>
      </c>
      <c r="D210" s="682">
        <f>IF(終値!A210="","",終値!E210)</f>
      </c>
      <c r="E210" s="682">
        <f>IF($D210="","",AVERAGE(終値!E210:X210))</f>
      </c>
      <c r="F210" s="683">
        <f>IF($D210="","",STDEVP(終値!E210:X210))</f>
      </c>
      <c r="G210" s="682">
        <f>IF($D210="","",$E210+BB設定!$B$4*$F210)</f>
      </c>
      <c r="H210" s="682">
        <f>IF($D210="","",$E210+BB設定!$B$5*$F210)</f>
      </c>
      <c r="I210" s="682">
        <f>IF($D210="","",$E210-BB設定!$B$5*$F210)</f>
      </c>
      <c r="J210" s="682">
        <f>IF($D210="","",$E210-BB設定!$B$4*$F210)</f>
      </c>
      <c r="K210" s="687">
        <f>IF($D210="","",IFERROR(($D210-$J210)/($G210-$J210),""))</f>
      </c>
      <c r="L210" s="686">
        <f>IF($D210="","",IFERROR(($G210-$J210)/$E210*100,""))</f>
      </c>
      <c r="M210" s="686">
        <f>IF($D210="","",IFERROR(MIN(BB_帯幅!B210:AP210)*100,""))</f>
      </c>
      <c r="N210" s="681">
        <f>IF($L210="","",IF($L210&lt;=$M210*BB設定!$B$7,"スクイーズ★",IF($L210&lt;=$M210*1.3,"収縮","－")))</f>
      </c>
      <c r="O210" s="681">
        <f>IF($D210="","",IF($L210&gt;(4*STDEVP(終値!F210:Y210)/AVERAGE(終値!F210:Y210)*100),"拡大↑","縮小↓"))</f>
      </c>
      <c r="P210" s="681">
        <f>IF($D210="","",IF($D210&gt;$G210,"↑+2σ突破",IF($D210&lt;$J210,"↓-2σ割れ",IF($D210&gt;$H210,"+1σ上",IF($D210&lt;$I210,"-1σ下","バンド内")))))</f>
      </c>
      <c r="Q210" s="684">
        <f>IF($D210="","",IFERROR(100-100/(1+SUMPRODUCT((終値!E210:R210&gt;終値!F210:S210)*(終値!E210:R210-終値!F210:S210))/SUMPRODUCT((終値!E210:R210&lt;終値!F210:S210)*(終値!F210:S210-終値!E210:R210))),100))</f>
      </c>
      <c r="R210" s="684">
        <f>IF($D210="","",IFERROR(100-100/(1+SUMPRODUCT((((高値!E210:R210+安値!E210:R210+終値!E210:R210)/3)&gt;((高値!F210:S210+安値!F210:S210+終値!F210:S210)/3))*((高値!E210:R210+安値!E210:R210+終値!E210:R210)/3)*出来高!E210:R210)/SUMPRODUCT((((高値!E210:R210+安値!E210:R210+終値!E210:R210)/3)&lt;((高値!F210:S210+安値!F210:S210+終値!F210:S210)/3))*((高値!E210:R210+安値!E210:R210+終値!E210:R210)/3)*出来高!E210:R210)),50))</f>
      </c>
      <c r="S210" s="681">
        <f>IF($D210="","",IF(AND(終値!E210&lt;終値!O210,$Q210&gt;(IFERROR(100-100/(1+SUMPRODUCT((終値!O210:AB210&gt;終値!P210:AC210)*(終値!O210:AB210-終値!P210:AC210))/SUMPRODUCT((終値!O210:AB210&lt;終値!P210:AC210)*(終値!P210:AC210-終値!O210:AB210))),100))),"強気div▲",IF(AND(終値!E210&gt;終値!O210,$Q210&lt;(IFERROR(100-100/(1+SUMPRODUCT((終値!O210:AB210&gt;終値!P210:AC210)*(終値!O210:AB210-終値!P210:AC210))/SUMPRODUCT((終値!O210:AB210&lt;終値!P210:AC210)*(終値!P210:AC210-終値!O210:AB210))),100))),"弱気div▼","－")))</f>
      </c>
      <c r="T210" s="681">
        <f>IF($D210="","",IF($D210&gt;=$H210,"上walk▲",IF($D210&lt;=$I210,"下walk▼","－")))</f>
      </c>
      <c r="U210" s="681">
        <f>IF(終値!A210="","",BB_スイング!BT210)</f>
      </c>
      <c r="V210" s="689">
        <f>IF($D210="","",IFERROR(出来高!E210/AVERAGE(出来高!E210:I210),""))</f>
      </c>
      <c r="W210" s="690">
        <f>IF($D210="","",IF(AND($D210&gt;$G210,$O210="拡大↑",$L210&lt;=$M210*1.8),"◎スクイーズブレイク買",IF(AND($D210&gt;=$H210,$R210&gt;=BB設定!$B$10),"○順張り継続(walk)",IF(AND($S210="強気div▲",$D210&gt;$I210),"○反発(ダイバ)買",IF($U210="二番底W▲","△二番底買(確)",IF($U210="二番底W形成","△二番底形成",IF($D210&lt;$J210,"▼-2σ割れ危険",IF(AND($D210&gt;$E210,$K210&lt;0.6,$R210&gt;=50),"・押し目注目",IF($N210="スクイーズ★","☆スクイーズ監視","様子見")))))))))</f>
      </c>
      <c r="X210" s="685">
        <f>IF($D210="","",MIN(100,IF($L210&lt;=$M210*1.15,20,IF($L210&lt;=$M210*1.4,10,0))+IF($D210&gt;$G210,20,IF($D210&gt;$H210,12,IF($D210&gt;$E210,5,0)))+IF($O210="拡大↑",10,0)+IF($R210&gt;=80,15,IF($R210&gt;=60,10,IF($R210&gt;=50,5,0)))+IF(AND($Q210&gt;=50,$Q210&lt;=70),10,IF($Q210&gt;70,3,IF($Q210&gt;=40,5,0)))+IF($S210="強気div▲",15,0)+IF($T210="上walk▲",5,0)+IF($V210&gt;=2,5,IF($V210&gt;=1.5,3,0))))</f>
      </c>
      <c r="Y210" s="682">
        <f>IF($D210="","",$D210)</f>
      </c>
      <c r="Z210" s="682">
        <f>IF($D210="","",$H210)</f>
      </c>
      <c r="AA210" s="682">
        <f>IF($D210="","",IF($D210&gt;$E210,$E210,$AD210))</f>
      </c>
      <c r="AB210" s="682">
        <f>IF($D210="","",$G210)</f>
      </c>
      <c r="AC210" s="688">
        <f>IF($D210="","",IF(($Y210-$AA210)&lt;=0,"－",IFERROR(ROUND(MIN(20,($AB210-$Y210)/($Y210-$AA210)),2),"－")))</f>
      </c>
      <c r="AD210" s="682">
        <f>IF($D210="","",MIN(終値!E210:I210))</f>
      </c>
      <c r="AE210" s="684">
        <f>IF($D210="","",$X210+(10000-ROW())/100000)</f>
      </c>
    </row>
    <row r="211">
      <c r="A211" s="681">
        <f>IF(終値!A211="","",HYPERLINK("https://kabutan.jp/stock/?code="&amp;終値!A211,"📈"))</f>
      </c>
      <c r="B211" s="681">
        <f>IF(終値!A211="","",終値!A211)</f>
      </c>
      <c r="C211" s="680">
        <f>IF(終値!A211="","",終値!B211)</f>
      </c>
      <c r="D211" s="682">
        <f>IF(終値!A211="","",終値!E211)</f>
      </c>
      <c r="E211" s="682">
        <f>IF($D211="","",AVERAGE(終値!E211:X211))</f>
      </c>
      <c r="F211" s="683">
        <f>IF($D211="","",STDEVP(終値!E211:X211))</f>
      </c>
      <c r="G211" s="682">
        <f>IF($D211="","",$E211+BB設定!$B$4*$F211)</f>
      </c>
      <c r="H211" s="682">
        <f>IF($D211="","",$E211+BB設定!$B$5*$F211)</f>
      </c>
      <c r="I211" s="682">
        <f>IF($D211="","",$E211-BB設定!$B$5*$F211)</f>
      </c>
      <c r="J211" s="682">
        <f>IF($D211="","",$E211-BB設定!$B$4*$F211)</f>
      </c>
      <c r="K211" s="687">
        <f>IF($D211="","",IFERROR(($D211-$J211)/($G211-$J211),""))</f>
      </c>
      <c r="L211" s="686">
        <f>IF($D211="","",IFERROR(($G211-$J211)/$E211*100,""))</f>
      </c>
      <c r="M211" s="686">
        <f>IF($D211="","",IFERROR(MIN(BB_帯幅!B211:AP211)*100,""))</f>
      </c>
      <c r="N211" s="681">
        <f>IF($L211="","",IF($L211&lt;=$M211*BB設定!$B$7,"スクイーズ★",IF($L211&lt;=$M211*1.3,"収縮","－")))</f>
      </c>
      <c r="O211" s="681">
        <f>IF($D211="","",IF($L211&gt;(4*STDEVP(終値!F211:Y211)/AVERAGE(終値!F211:Y211)*100),"拡大↑","縮小↓"))</f>
      </c>
      <c r="P211" s="681">
        <f>IF($D211="","",IF($D211&gt;$G211,"↑+2σ突破",IF($D211&lt;$J211,"↓-2σ割れ",IF($D211&gt;$H211,"+1σ上",IF($D211&lt;$I211,"-1σ下","バンド内")))))</f>
      </c>
      <c r="Q211" s="684">
        <f>IF($D211="","",IFERROR(100-100/(1+SUMPRODUCT((終値!E211:R211&gt;終値!F211:S211)*(終値!E211:R211-終値!F211:S211))/SUMPRODUCT((終値!E211:R211&lt;終値!F211:S211)*(終値!F211:S211-終値!E211:R211))),100))</f>
      </c>
      <c r="R211" s="684">
        <f>IF($D211="","",IFERROR(100-100/(1+SUMPRODUCT((((高値!E211:R211+安値!E211:R211+終値!E211:R211)/3)&gt;((高値!F211:S211+安値!F211:S211+終値!F211:S211)/3))*((高値!E211:R211+安値!E211:R211+終値!E211:R211)/3)*出来高!E211:R211)/SUMPRODUCT((((高値!E211:R211+安値!E211:R211+終値!E211:R211)/3)&lt;((高値!F211:S211+安値!F211:S211+終値!F211:S211)/3))*((高値!E211:R211+安値!E211:R211+終値!E211:R211)/3)*出来高!E211:R211)),50))</f>
      </c>
      <c r="S211" s="681">
        <f>IF($D211="","",IF(AND(終値!E211&lt;終値!O211,$Q211&gt;(IFERROR(100-100/(1+SUMPRODUCT((終値!O211:AB211&gt;終値!P211:AC211)*(終値!O211:AB211-終値!P211:AC211))/SUMPRODUCT((終値!O211:AB211&lt;終値!P211:AC211)*(終値!P211:AC211-終値!O211:AB211))),100))),"強気div▲",IF(AND(終値!E211&gt;終値!O211,$Q211&lt;(IFERROR(100-100/(1+SUMPRODUCT((終値!O211:AB211&gt;終値!P211:AC211)*(終値!O211:AB211-終値!P211:AC211))/SUMPRODUCT((終値!O211:AB211&lt;終値!P211:AC211)*(終値!P211:AC211-終値!O211:AB211))),100))),"弱気div▼","－")))</f>
      </c>
      <c r="T211" s="681">
        <f>IF($D211="","",IF($D211&gt;=$H211,"上walk▲",IF($D211&lt;=$I211,"下walk▼","－")))</f>
      </c>
      <c r="U211" s="681">
        <f>IF(終値!A211="","",BB_スイング!BT211)</f>
      </c>
      <c r="V211" s="689">
        <f>IF($D211="","",IFERROR(出来高!E211/AVERAGE(出来高!E211:I211),""))</f>
      </c>
      <c r="W211" s="690">
        <f>IF($D211="","",IF(AND($D211&gt;$G211,$O211="拡大↑",$L211&lt;=$M211*1.8),"◎スクイーズブレイク買",IF(AND($D211&gt;=$H211,$R211&gt;=BB設定!$B$10),"○順張り継続(walk)",IF(AND($S211="強気div▲",$D211&gt;$I211),"○反発(ダイバ)買",IF($U211="二番底W▲","△二番底買(確)",IF($U211="二番底W形成","△二番底形成",IF($D211&lt;$J211,"▼-2σ割れ危険",IF(AND($D211&gt;$E211,$K211&lt;0.6,$R211&gt;=50),"・押し目注目",IF($N211="スクイーズ★","☆スクイーズ監視","様子見")))))))))</f>
      </c>
      <c r="X211" s="685">
        <f>IF($D211="","",MIN(100,IF($L211&lt;=$M211*1.15,20,IF($L211&lt;=$M211*1.4,10,0))+IF($D211&gt;$G211,20,IF($D211&gt;$H211,12,IF($D211&gt;$E211,5,0)))+IF($O211="拡大↑",10,0)+IF($R211&gt;=80,15,IF($R211&gt;=60,10,IF($R211&gt;=50,5,0)))+IF(AND($Q211&gt;=50,$Q211&lt;=70),10,IF($Q211&gt;70,3,IF($Q211&gt;=40,5,0)))+IF($S211="強気div▲",15,0)+IF($T211="上walk▲",5,0)+IF($V211&gt;=2,5,IF($V211&gt;=1.5,3,0))))</f>
      </c>
      <c r="Y211" s="682">
        <f>IF($D211="","",$D211)</f>
      </c>
      <c r="Z211" s="682">
        <f>IF($D211="","",$H211)</f>
      </c>
      <c r="AA211" s="682">
        <f>IF($D211="","",IF($D211&gt;$E211,$E211,$AD211))</f>
      </c>
      <c r="AB211" s="682">
        <f>IF($D211="","",$G211)</f>
      </c>
      <c r="AC211" s="688">
        <f>IF($D211="","",IF(($Y211-$AA211)&lt;=0,"－",IFERROR(ROUND(MIN(20,($AB211-$Y211)/($Y211-$AA211)),2),"－")))</f>
      </c>
      <c r="AD211" s="682">
        <f>IF($D211="","",MIN(終値!E211:I211))</f>
      </c>
      <c r="AE211" s="684">
        <f>IF($D211="","",$X211+(10000-ROW())/100000)</f>
      </c>
    </row>
    <row r="212">
      <c r="A212" s="681">
        <f>IF(終値!A212="","",HYPERLINK("https://kabutan.jp/stock/?code="&amp;終値!A212,"📈"))</f>
      </c>
      <c r="B212" s="681">
        <f>IF(終値!A212="","",終値!A212)</f>
      </c>
      <c r="C212" s="680">
        <f>IF(終値!A212="","",終値!B212)</f>
      </c>
      <c r="D212" s="682">
        <f>IF(終値!A212="","",終値!E212)</f>
      </c>
      <c r="E212" s="682">
        <f>IF($D212="","",AVERAGE(終値!E212:X212))</f>
      </c>
      <c r="F212" s="683">
        <f>IF($D212="","",STDEVP(終値!E212:X212))</f>
      </c>
      <c r="G212" s="682">
        <f>IF($D212="","",$E212+BB設定!$B$4*$F212)</f>
      </c>
      <c r="H212" s="682">
        <f>IF($D212="","",$E212+BB設定!$B$5*$F212)</f>
      </c>
      <c r="I212" s="682">
        <f>IF($D212="","",$E212-BB設定!$B$5*$F212)</f>
      </c>
      <c r="J212" s="682">
        <f>IF($D212="","",$E212-BB設定!$B$4*$F212)</f>
      </c>
      <c r="K212" s="687">
        <f>IF($D212="","",IFERROR(($D212-$J212)/($G212-$J212),""))</f>
      </c>
      <c r="L212" s="686">
        <f>IF($D212="","",IFERROR(($G212-$J212)/$E212*100,""))</f>
      </c>
      <c r="M212" s="686">
        <f>IF($D212="","",IFERROR(MIN(BB_帯幅!B212:AP212)*100,""))</f>
      </c>
      <c r="N212" s="681">
        <f>IF($L212="","",IF($L212&lt;=$M212*BB設定!$B$7,"スクイーズ★",IF($L212&lt;=$M212*1.3,"収縮","－")))</f>
      </c>
      <c r="O212" s="681">
        <f>IF($D212="","",IF($L212&gt;(4*STDEVP(終値!F212:Y212)/AVERAGE(終値!F212:Y212)*100),"拡大↑","縮小↓"))</f>
      </c>
      <c r="P212" s="681">
        <f>IF($D212="","",IF($D212&gt;$G212,"↑+2σ突破",IF($D212&lt;$J212,"↓-2σ割れ",IF($D212&gt;$H212,"+1σ上",IF($D212&lt;$I212,"-1σ下","バンド内")))))</f>
      </c>
      <c r="Q212" s="684">
        <f>IF($D212="","",IFERROR(100-100/(1+SUMPRODUCT((終値!E212:R212&gt;終値!F212:S212)*(終値!E212:R212-終値!F212:S212))/SUMPRODUCT((終値!E212:R212&lt;終値!F212:S212)*(終値!F212:S212-終値!E212:R212))),100))</f>
      </c>
      <c r="R212" s="684">
        <f>IF($D212="","",IFERROR(100-100/(1+SUMPRODUCT((((高値!E212:R212+安値!E212:R212+終値!E212:R212)/3)&gt;((高値!F212:S212+安値!F212:S212+終値!F212:S212)/3))*((高値!E212:R212+安値!E212:R212+終値!E212:R212)/3)*出来高!E212:R212)/SUMPRODUCT((((高値!E212:R212+安値!E212:R212+終値!E212:R212)/3)&lt;((高値!F212:S212+安値!F212:S212+終値!F212:S212)/3))*((高値!E212:R212+安値!E212:R212+終値!E212:R212)/3)*出来高!E212:R212)),50))</f>
      </c>
      <c r="S212" s="681">
        <f>IF($D212="","",IF(AND(終値!E212&lt;終値!O212,$Q212&gt;(IFERROR(100-100/(1+SUMPRODUCT((終値!O212:AB212&gt;終値!P212:AC212)*(終値!O212:AB212-終値!P212:AC212))/SUMPRODUCT((終値!O212:AB212&lt;終値!P212:AC212)*(終値!P212:AC212-終値!O212:AB212))),100))),"強気div▲",IF(AND(終値!E212&gt;終値!O212,$Q212&lt;(IFERROR(100-100/(1+SUMPRODUCT((終値!O212:AB212&gt;終値!P212:AC212)*(終値!O212:AB212-終値!P212:AC212))/SUMPRODUCT((終値!O212:AB212&lt;終値!P212:AC212)*(終値!P212:AC212-終値!O212:AB212))),100))),"弱気div▼","－")))</f>
      </c>
      <c r="T212" s="681">
        <f>IF($D212="","",IF($D212&gt;=$H212,"上walk▲",IF($D212&lt;=$I212,"下walk▼","－")))</f>
      </c>
      <c r="U212" s="681">
        <f>IF(終値!A212="","",BB_スイング!BT212)</f>
      </c>
      <c r="V212" s="689">
        <f>IF($D212="","",IFERROR(出来高!E212/AVERAGE(出来高!E212:I212),""))</f>
      </c>
      <c r="W212" s="690">
        <f>IF($D212="","",IF(AND($D212&gt;$G212,$O212="拡大↑",$L212&lt;=$M212*1.8),"◎スクイーズブレイク買",IF(AND($D212&gt;=$H212,$R212&gt;=BB設定!$B$10),"○順張り継続(walk)",IF(AND($S212="強気div▲",$D212&gt;$I212),"○反発(ダイバ)買",IF($U212="二番底W▲","△二番底買(確)",IF($U212="二番底W形成","△二番底形成",IF($D212&lt;$J212,"▼-2σ割れ危険",IF(AND($D212&gt;$E212,$K212&lt;0.6,$R212&gt;=50),"・押し目注目",IF($N212="スクイーズ★","☆スクイーズ監視","様子見")))))))))</f>
      </c>
      <c r="X212" s="685">
        <f>IF($D212="","",MIN(100,IF($L212&lt;=$M212*1.15,20,IF($L212&lt;=$M212*1.4,10,0))+IF($D212&gt;$G212,20,IF($D212&gt;$H212,12,IF($D212&gt;$E212,5,0)))+IF($O212="拡大↑",10,0)+IF($R212&gt;=80,15,IF($R212&gt;=60,10,IF($R212&gt;=50,5,0)))+IF(AND($Q212&gt;=50,$Q212&lt;=70),10,IF($Q212&gt;70,3,IF($Q212&gt;=40,5,0)))+IF($S212="強気div▲",15,0)+IF($T212="上walk▲",5,0)+IF($V212&gt;=2,5,IF($V212&gt;=1.5,3,0))))</f>
      </c>
      <c r="Y212" s="682">
        <f>IF($D212="","",$D212)</f>
      </c>
      <c r="Z212" s="682">
        <f>IF($D212="","",$H212)</f>
      </c>
      <c r="AA212" s="682">
        <f>IF($D212="","",IF($D212&gt;$E212,$E212,$AD212))</f>
      </c>
      <c r="AB212" s="682">
        <f>IF($D212="","",$G212)</f>
      </c>
      <c r="AC212" s="688">
        <f>IF($D212="","",IF(($Y212-$AA212)&lt;=0,"－",IFERROR(ROUND(MIN(20,($AB212-$Y212)/($Y212-$AA212)),2),"－")))</f>
      </c>
      <c r="AD212" s="682">
        <f>IF($D212="","",MIN(終値!E212:I212))</f>
      </c>
      <c r="AE212" s="684">
        <f>IF($D212="","",$X212+(10000-ROW())/100000)</f>
      </c>
    </row>
    <row r="213">
      <c r="A213" s="681">
        <f>IF(終値!A213="","",HYPERLINK("https://kabutan.jp/stock/?code="&amp;終値!A213,"📈"))</f>
      </c>
      <c r="B213" s="681">
        <f>IF(終値!A213="","",終値!A213)</f>
      </c>
      <c r="C213" s="680">
        <f>IF(終値!A213="","",終値!B213)</f>
      </c>
      <c r="D213" s="682">
        <f>IF(終値!A213="","",終値!E213)</f>
      </c>
      <c r="E213" s="682">
        <f>IF($D213="","",AVERAGE(終値!E213:X213))</f>
      </c>
      <c r="F213" s="683">
        <f>IF($D213="","",STDEVP(終値!E213:X213))</f>
      </c>
      <c r="G213" s="682">
        <f>IF($D213="","",$E213+BB設定!$B$4*$F213)</f>
      </c>
      <c r="H213" s="682">
        <f>IF($D213="","",$E213+BB設定!$B$5*$F213)</f>
      </c>
      <c r="I213" s="682">
        <f>IF($D213="","",$E213-BB設定!$B$5*$F213)</f>
      </c>
      <c r="J213" s="682">
        <f>IF($D213="","",$E213-BB設定!$B$4*$F213)</f>
      </c>
      <c r="K213" s="687">
        <f>IF($D213="","",IFERROR(($D213-$J213)/($G213-$J213),""))</f>
      </c>
      <c r="L213" s="686">
        <f>IF($D213="","",IFERROR(($G213-$J213)/$E213*100,""))</f>
      </c>
      <c r="M213" s="686">
        <f>IF($D213="","",IFERROR(MIN(BB_帯幅!B213:AP213)*100,""))</f>
      </c>
      <c r="N213" s="681">
        <f>IF($L213="","",IF($L213&lt;=$M213*BB設定!$B$7,"スクイーズ★",IF($L213&lt;=$M213*1.3,"収縮","－")))</f>
      </c>
      <c r="O213" s="681">
        <f>IF($D213="","",IF($L213&gt;(4*STDEVP(終値!F213:Y213)/AVERAGE(終値!F213:Y213)*100),"拡大↑","縮小↓"))</f>
      </c>
      <c r="P213" s="681">
        <f>IF($D213="","",IF($D213&gt;$G213,"↑+2σ突破",IF($D213&lt;$J213,"↓-2σ割れ",IF($D213&gt;$H213,"+1σ上",IF($D213&lt;$I213,"-1σ下","バンド内")))))</f>
      </c>
      <c r="Q213" s="684">
        <f>IF($D213="","",IFERROR(100-100/(1+SUMPRODUCT((終値!E213:R213&gt;終値!F213:S213)*(終値!E213:R213-終値!F213:S213))/SUMPRODUCT((終値!E213:R213&lt;終値!F213:S213)*(終値!F213:S213-終値!E213:R213))),100))</f>
      </c>
      <c r="R213" s="684">
        <f>IF($D213="","",IFERROR(100-100/(1+SUMPRODUCT((((高値!E213:R213+安値!E213:R213+終値!E213:R213)/3)&gt;((高値!F213:S213+安値!F213:S213+終値!F213:S213)/3))*((高値!E213:R213+安値!E213:R213+終値!E213:R213)/3)*出来高!E213:R213)/SUMPRODUCT((((高値!E213:R213+安値!E213:R213+終値!E213:R213)/3)&lt;((高値!F213:S213+安値!F213:S213+終値!F213:S213)/3))*((高値!E213:R213+安値!E213:R213+終値!E213:R213)/3)*出来高!E213:R213)),50))</f>
      </c>
      <c r="S213" s="681">
        <f>IF($D213="","",IF(AND(終値!E213&lt;終値!O213,$Q213&gt;(IFERROR(100-100/(1+SUMPRODUCT((終値!O213:AB213&gt;終値!P213:AC213)*(終値!O213:AB213-終値!P213:AC213))/SUMPRODUCT((終値!O213:AB213&lt;終値!P213:AC213)*(終値!P213:AC213-終値!O213:AB213))),100))),"強気div▲",IF(AND(終値!E213&gt;終値!O213,$Q213&lt;(IFERROR(100-100/(1+SUMPRODUCT((終値!O213:AB213&gt;終値!P213:AC213)*(終値!O213:AB213-終値!P213:AC213))/SUMPRODUCT((終値!O213:AB213&lt;終値!P213:AC213)*(終値!P213:AC213-終値!O213:AB213))),100))),"弱気div▼","－")))</f>
      </c>
      <c r="T213" s="681">
        <f>IF($D213="","",IF($D213&gt;=$H213,"上walk▲",IF($D213&lt;=$I213,"下walk▼","－")))</f>
      </c>
      <c r="U213" s="681">
        <f>IF(終値!A213="","",BB_スイング!BT213)</f>
      </c>
      <c r="V213" s="689">
        <f>IF($D213="","",IFERROR(出来高!E213/AVERAGE(出来高!E213:I213),""))</f>
      </c>
      <c r="W213" s="690">
        <f>IF($D213="","",IF(AND($D213&gt;$G213,$O213="拡大↑",$L213&lt;=$M213*1.8),"◎スクイーズブレイク買",IF(AND($D213&gt;=$H213,$R213&gt;=BB設定!$B$10),"○順張り継続(walk)",IF(AND($S213="強気div▲",$D213&gt;$I213),"○反発(ダイバ)買",IF($U213="二番底W▲","△二番底買(確)",IF($U213="二番底W形成","△二番底形成",IF($D213&lt;$J213,"▼-2σ割れ危険",IF(AND($D213&gt;$E213,$K213&lt;0.6,$R213&gt;=50),"・押し目注目",IF($N213="スクイーズ★","☆スクイーズ監視","様子見")))))))))</f>
      </c>
      <c r="X213" s="685">
        <f>IF($D213="","",MIN(100,IF($L213&lt;=$M213*1.15,20,IF($L213&lt;=$M213*1.4,10,0))+IF($D213&gt;$G213,20,IF($D213&gt;$H213,12,IF($D213&gt;$E213,5,0)))+IF($O213="拡大↑",10,0)+IF($R213&gt;=80,15,IF($R213&gt;=60,10,IF($R213&gt;=50,5,0)))+IF(AND($Q213&gt;=50,$Q213&lt;=70),10,IF($Q213&gt;70,3,IF($Q213&gt;=40,5,0)))+IF($S213="強気div▲",15,0)+IF($T213="上walk▲",5,0)+IF($V213&gt;=2,5,IF($V213&gt;=1.5,3,0))))</f>
      </c>
      <c r="Y213" s="682">
        <f>IF($D213="","",$D213)</f>
      </c>
      <c r="Z213" s="682">
        <f>IF($D213="","",$H213)</f>
      </c>
      <c r="AA213" s="682">
        <f>IF($D213="","",IF($D213&gt;$E213,$E213,$AD213))</f>
      </c>
      <c r="AB213" s="682">
        <f>IF($D213="","",$G213)</f>
      </c>
      <c r="AC213" s="688">
        <f>IF($D213="","",IF(($Y213-$AA213)&lt;=0,"－",IFERROR(ROUND(MIN(20,($AB213-$Y213)/($Y213-$AA213)),2),"－")))</f>
      </c>
      <c r="AD213" s="682">
        <f>IF($D213="","",MIN(終値!E213:I213))</f>
      </c>
      <c r="AE213" s="684">
        <f>IF($D213="","",$X213+(10000-ROW())/100000)</f>
      </c>
    </row>
    <row r="214">
      <c r="A214" s="681">
        <f>IF(終値!A214="","",HYPERLINK("https://kabutan.jp/stock/?code="&amp;終値!A214,"📈"))</f>
      </c>
      <c r="B214" s="681">
        <f>IF(終値!A214="","",終値!A214)</f>
      </c>
      <c r="C214" s="680">
        <f>IF(終値!A214="","",終値!B214)</f>
      </c>
      <c r="D214" s="682">
        <f>IF(終値!A214="","",終値!E214)</f>
      </c>
      <c r="E214" s="682">
        <f>IF($D214="","",AVERAGE(終値!E214:X214))</f>
      </c>
      <c r="F214" s="683">
        <f>IF($D214="","",STDEVP(終値!E214:X214))</f>
      </c>
      <c r="G214" s="682">
        <f>IF($D214="","",$E214+BB設定!$B$4*$F214)</f>
      </c>
      <c r="H214" s="682">
        <f>IF($D214="","",$E214+BB設定!$B$5*$F214)</f>
      </c>
      <c r="I214" s="682">
        <f>IF($D214="","",$E214-BB設定!$B$5*$F214)</f>
      </c>
      <c r="J214" s="682">
        <f>IF($D214="","",$E214-BB設定!$B$4*$F214)</f>
      </c>
      <c r="K214" s="687">
        <f>IF($D214="","",IFERROR(($D214-$J214)/($G214-$J214),""))</f>
      </c>
      <c r="L214" s="686">
        <f>IF($D214="","",IFERROR(($G214-$J214)/$E214*100,""))</f>
      </c>
      <c r="M214" s="686">
        <f>IF($D214="","",IFERROR(MIN(BB_帯幅!B214:AP214)*100,""))</f>
      </c>
      <c r="N214" s="681">
        <f>IF($L214="","",IF($L214&lt;=$M214*BB設定!$B$7,"スクイーズ★",IF($L214&lt;=$M214*1.3,"収縮","－")))</f>
      </c>
      <c r="O214" s="681">
        <f>IF($D214="","",IF($L214&gt;(4*STDEVP(終値!F214:Y214)/AVERAGE(終値!F214:Y214)*100),"拡大↑","縮小↓"))</f>
      </c>
      <c r="P214" s="681">
        <f>IF($D214="","",IF($D214&gt;$G214,"↑+2σ突破",IF($D214&lt;$J214,"↓-2σ割れ",IF($D214&gt;$H214,"+1σ上",IF($D214&lt;$I214,"-1σ下","バンド内")))))</f>
      </c>
      <c r="Q214" s="684">
        <f>IF($D214="","",IFERROR(100-100/(1+SUMPRODUCT((終値!E214:R214&gt;終値!F214:S214)*(終値!E214:R214-終値!F214:S214))/SUMPRODUCT((終値!E214:R214&lt;終値!F214:S214)*(終値!F214:S214-終値!E214:R214))),100))</f>
      </c>
      <c r="R214" s="684">
        <f>IF($D214="","",IFERROR(100-100/(1+SUMPRODUCT((((高値!E214:R214+安値!E214:R214+終値!E214:R214)/3)&gt;((高値!F214:S214+安値!F214:S214+終値!F214:S214)/3))*((高値!E214:R214+安値!E214:R214+終値!E214:R214)/3)*出来高!E214:R214)/SUMPRODUCT((((高値!E214:R214+安値!E214:R214+終値!E214:R214)/3)&lt;((高値!F214:S214+安値!F214:S214+終値!F214:S214)/3))*((高値!E214:R214+安値!E214:R214+終値!E214:R214)/3)*出来高!E214:R214)),50))</f>
      </c>
      <c r="S214" s="681">
        <f>IF($D214="","",IF(AND(終値!E214&lt;終値!O214,$Q214&gt;(IFERROR(100-100/(1+SUMPRODUCT((終値!O214:AB214&gt;終値!P214:AC214)*(終値!O214:AB214-終値!P214:AC214))/SUMPRODUCT((終値!O214:AB214&lt;終値!P214:AC214)*(終値!P214:AC214-終値!O214:AB214))),100))),"強気div▲",IF(AND(終値!E214&gt;終値!O214,$Q214&lt;(IFERROR(100-100/(1+SUMPRODUCT((終値!O214:AB214&gt;終値!P214:AC214)*(終値!O214:AB214-終値!P214:AC214))/SUMPRODUCT((終値!O214:AB214&lt;終値!P214:AC214)*(終値!P214:AC214-終値!O214:AB214))),100))),"弱気div▼","－")))</f>
      </c>
      <c r="T214" s="681">
        <f>IF($D214="","",IF($D214&gt;=$H214,"上walk▲",IF($D214&lt;=$I214,"下walk▼","－")))</f>
      </c>
      <c r="U214" s="681">
        <f>IF(終値!A214="","",BB_スイング!BT214)</f>
      </c>
      <c r="V214" s="689">
        <f>IF($D214="","",IFERROR(出来高!E214/AVERAGE(出来高!E214:I214),""))</f>
      </c>
      <c r="W214" s="690">
        <f>IF($D214="","",IF(AND($D214&gt;$G214,$O214="拡大↑",$L214&lt;=$M214*1.8),"◎スクイーズブレイク買",IF(AND($D214&gt;=$H214,$R214&gt;=BB設定!$B$10),"○順張り継続(walk)",IF(AND($S214="強気div▲",$D214&gt;$I214),"○反発(ダイバ)買",IF($U214="二番底W▲","△二番底買(確)",IF($U214="二番底W形成","△二番底形成",IF($D214&lt;$J214,"▼-2σ割れ危険",IF(AND($D214&gt;$E214,$K214&lt;0.6,$R214&gt;=50),"・押し目注目",IF($N214="スクイーズ★","☆スクイーズ監視","様子見")))))))))</f>
      </c>
      <c r="X214" s="685">
        <f>IF($D214="","",MIN(100,IF($L214&lt;=$M214*1.15,20,IF($L214&lt;=$M214*1.4,10,0))+IF($D214&gt;$G214,20,IF($D214&gt;$H214,12,IF($D214&gt;$E214,5,0)))+IF($O214="拡大↑",10,0)+IF($R214&gt;=80,15,IF($R214&gt;=60,10,IF($R214&gt;=50,5,0)))+IF(AND($Q214&gt;=50,$Q214&lt;=70),10,IF($Q214&gt;70,3,IF($Q214&gt;=40,5,0)))+IF($S214="強気div▲",15,0)+IF($T214="上walk▲",5,0)+IF($V214&gt;=2,5,IF($V214&gt;=1.5,3,0))))</f>
      </c>
      <c r="Y214" s="682">
        <f>IF($D214="","",$D214)</f>
      </c>
      <c r="Z214" s="682">
        <f>IF($D214="","",$H214)</f>
      </c>
      <c r="AA214" s="682">
        <f>IF($D214="","",IF($D214&gt;$E214,$E214,$AD214))</f>
      </c>
      <c r="AB214" s="682">
        <f>IF($D214="","",$G214)</f>
      </c>
      <c r="AC214" s="688">
        <f>IF($D214="","",IF(($Y214-$AA214)&lt;=0,"－",IFERROR(ROUND(MIN(20,($AB214-$Y214)/($Y214-$AA214)),2),"－")))</f>
      </c>
      <c r="AD214" s="682">
        <f>IF($D214="","",MIN(終値!E214:I214))</f>
      </c>
      <c r="AE214" s="684">
        <f>IF($D214="","",$X214+(10000-ROW())/100000)</f>
      </c>
    </row>
    <row r="215">
      <c r="A215" s="681">
        <f>IF(終値!A215="","",HYPERLINK("https://kabutan.jp/stock/?code="&amp;終値!A215,"📈"))</f>
      </c>
      <c r="B215" s="681">
        <f>IF(終値!A215="","",終値!A215)</f>
      </c>
      <c r="C215" s="680">
        <f>IF(終値!A215="","",終値!B215)</f>
      </c>
      <c r="D215" s="682">
        <f>IF(終値!A215="","",終値!E215)</f>
      </c>
      <c r="E215" s="682">
        <f>IF($D215="","",AVERAGE(終値!E215:X215))</f>
      </c>
      <c r="F215" s="683">
        <f>IF($D215="","",STDEVP(終値!E215:X215))</f>
      </c>
      <c r="G215" s="682">
        <f>IF($D215="","",$E215+BB設定!$B$4*$F215)</f>
      </c>
      <c r="H215" s="682">
        <f>IF($D215="","",$E215+BB設定!$B$5*$F215)</f>
      </c>
      <c r="I215" s="682">
        <f>IF($D215="","",$E215-BB設定!$B$5*$F215)</f>
      </c>
      <c r="J215" s="682">
        <f>IF($D215="","",$E215-BB設定!$B$4*$F215)</f>
      </c>
      <c r="K215" s="687">
        <f>IF($D215="","",IFERROR(($D215-$J215)/($G215-$J215),""))</f>
      </c>
      <c r="L215" s="686">
        <f>IF($D215="","",IFERROR(($G215-$J215)/$E215*100,""))</f>
      </c>
      <c r="M215" s="686">
        <f>IF($D215="","",IFERROR(MIN(BB_帯幅!B215:AP215)*100,""))</f>
      </c>
      <c r="N215" s="681">
        <f>IF($L215="","",IF($L215&lt;=$M215*BB設定!$B$7,"スクイーズ★",IF($L215&lt;=$M215*1.3,"収縮","－")))</f>
      </c>
      <c r="O215" s="681">
        <f>IF($D215="","",IF($L215&gt;(4*STDEVP(終値!F215:Y215)/AVERAGE(終値!F215:Y215)*100),"拡大↑","縮小↓"))</f>
      </c>
      <c r="P215" s="681">
        <f>IF($D215="","",IF($D215&gt;$G215,"↑+2σ突破",IF($D215&lt;$J215,"↓-2σ割れ",IF($D215&gt;$H215,"+1σ上",IF($D215&lt;$I215,"-1σ下","バンド内")))))</f>
      </c>
      <c r="Q215" s="684">
        <f>IF($D215="","",IFERROR(100-100/(1+SUMPRODUCT((終値!E215:R215&gt;終値!F215:S215)*(終値!E215:R215-終値!F215:S215))/SUMPRODUCT((終値!E215:R215&lt;終値!F215:S215)*(終値!F215:S215-終値!E215:R215))),100))</f>
      </c>
      <c r="R215" s="684">
        <f>IF($D215="","",IFERROR(100-100/(1+SUMPRODUCT((((高値!E215:R215+安値!E215:R215+終値!E215:R215)/3)&gt;((高値!F215:S215+安値!F215:S215+終値!F215:S215)/3))*((高値!E215:R215+安値!E215:R215+終値!E215:R215)/3)*出来高!E215:R215)/SUMPRODUCT((((高値!E215:R215+安値!E215:R215+終値!E215:R215)/3)&lt;((高値!F215:S215+安値!F215:S215+終値!F215:S215)/3))*((高値!E215:R215+安値!E215:R215+終値!E215:R215)/3)*出来高!E215:R215)),50))</f>
      </c>
      <c r="S215" s="681">
        <f>IF($D215="","",IF(AND(終値!E215&lt;終値!O215,$Q215&gt;(IFERROR(100-100/(1+SUMPRODUCT((終値!O215:AB215&gt;終値!P215:AC215)*(終値!O215:AB215-終値!P215:AC215))/SUMPRODUCT((終値!O215:AB215&lt;終値!P215:AC215)*(終値!P215:AC215-終値!O215:AB215))),100))),"強気div▲",IF(AND(終値!E215&gt;終値!O215,$Q215&lt;(IFERROR(100-100/(1+SUMPRODUCT((終値!O215:AB215&gt;終値!P215:AC215)*(終値!O215:AB215-終値!P215:AC215))/SUMPRODUCT((終値!O215:AB215&lt;終値!P215:AC215)*(終値!P215:AC215-終値!O215:AB215))),100))),"弱気div▼","－")))</f>
      </c>
      <c r="T215" s="681">
        <f>IF($D215="","",IF($D215&gt;=$H215,"上walk▲",IF($D215&lt;=$I215,"下walk▼","－")))</f>
      </c>
      <c r="U215" s="681">
        <f>IF(終値!A215="","",BB_スイング!BT215)</f>
      </c>
      <c r="V215" s="689">
        <f>IF($D215="","",IFERROR(出来高!E215/AVERAGE(出来高!E215:I215),""))</f>
      </c>
      <c r="W215" s="690">
        <f>IF($D215="","",IF(AND($D215&gt;$G215,$O215="拡大↑",$L215&lt;=$M215*1.8),"◎スクイーズブレイク買",IF(AND($D215&gt;=$H215,$R215&gt;=BB設定!$B$10),"○順張り継続(walk)",IF(AND($S215="強気div▲",$D215&gt;$I215),"○反発(ダイバ)買",IF($U215="二番底W▲","△二番底買(確)",IF($U215="二番底W形成","△二番底形成",IF($D215&lt;$J215,"▼-2σ割れ危険",IF(AND($D215&gt;$E215,$K215&lt;0.6,$R215&gt;=50),"・押し目注目",IF($N215="スクイーズ★","☆スクイーズ監視","様子見")))))))))</f>
      </c>
      <c r="X215" s="685">
        <f>IF($D215="","",MIN(100,IF($L215&lt;=$M215*1.15,20,IF($L215&lt;=$M215*1.4,10,0))+IF($D215&gt;$G215,20,IF($D215&gt;$H215,12,IF($D215&gt;$E215,5,0)))+IF($O215="拡大↑",10,0)+IF($R215&gt;=80,15,IF($R215&gt;=60,10,IF($R215&gt;=50,5,0)))+IF(AND($Q215&gt;=50,$Q215&lt;=70),10,IF($Q215&gt;70,3,IF($Q215&gt;=40,5,0)))+IF($S215="強気div▲",15,0)+IF($T215="上walk▲",5,0)+IF($V215&gt;=2,5,IF($V215&gt;=1.5,3,0))))</f>
      </c>
      <c r="Y215" s="682">
        <f>IF($D215="","",$D215)</f>
      </c>
      <c r="Z215" s="682">
        <f>IF($D215="","",$H215)</f>
      </c>
      <c r="AA215" s="682">
        <f>IF($D215="","",IF($D215&gt;$E215,$E215,$AD215))</f>
      </c>
      <c r="AB215" s="682">
        <f>IF($D215="","",$G215)</f>
      </c>
      <c r="AC215" s="688">
        <f>IF($D215="","",IF(($Y215-$AA215)&lt;=0,"－",IFERROR(ROUND(MIN(20,($AB215-$Y215)/($Y215-$AA215)),2),"－")))</f>
      </c>
      <c r="AD215" s="682">
        <f>IF($D215="","",MIN(終値!E215:I215))</f>
      </c>
      <c r="AE215" s="684">
        <f>IF($D215="","",$X215+(10000-ROW())/100000)</f>
      </c>
    </row>
    <row r="216">
      <c r="A216" s="681">
        <f>IF(終値!A216="","",HYPERLINK("https://kabutan.jp/stock/?code="&amp;終値!A216,"📈"))</f>
      </c>
      <c r="B216" s="681">
        <f>IF(終値!A216="","",終値!A216)</f>
      </c>
      <c r="C216" s="680">
        <f>IF(終値!A216="","",終値!B216)</f>
      </c>
      <c r="D216" s="682">
        <f>IF(終値!A216="","",終値!E216)</f>
      </c>
      <c r="E216" s="682">
        <f>IF($D216="","",AVERAGE(終値!E216:X216))</f>
      </c>
      <c r="F216" s="683">
        <f>IF($D216="","",STDEVP(終値!E216:X216))</f>
      </c>
      <c r="G216" s="682">
        <f>IF($D216="","",$E216+BB設定!$B$4*$F216)</f>
      </c>
      <c r="H216" s="682">
        <f>IF($D216="","",$E216+BB設定!$B$5*$F216)</f>
      </c>
      <c r="I216" s="682">
        <f>IF($D216="","",$E216-BB設定!$B$5*$F216)</f>
      </c>
      <c r="J216" s="682">
        <f>IF($D216="","",$E216-BB設定!$B$4*$F216)</f>
      </c>
      <c r="K216" s="687">
        <f>IF($D216="","",IFERROR(($D216-$J216)/($G216-$J216),""))</f>
      </c>
      <c r="L216" s="686">
        <f>IF($D216="","",IFERROR(($G216-$J216)/$E216*100,""))</f>
      </c>
      <c r="M216" s="686">
        <f>IF($D216="","",IFERROR(MIN(BB_帯幅!B216:AP216)*100,""))</f>
      </c>
      <c r="N216" s="681">
        <f>IF($L216="","",IF($L216&lt;=$M216*BB設定!$B$7,"スクイーズ★",IF($L216&lt;=$M216*1.3,"収縮","－")))</f>
      </c>
      <c r="O216" s="681">
        <f>IF($D216="","",IF($L216&gt;(4*STDEVP(終値!F216:Y216)/AVERAGE(終値!F216:Y216)*100),"拡大↑","縮小↓"))</f>
      </c>
      <c r="P216" s="681">
        <f>IF($D216="","",IF($D216&gt;$G216,"↑+2σ突破",IF($D216&lt;$J216,"↓-2σ割れ",IF($D216&gt;$H216,"+1σ上",IF($D216&lt;$I216,"-1σ下","バンド内")))))</f>
      </c>
      <c r="Q216" s="684">
        <f>IF($D216="","",IFERROR(100-100/(1+SUMPRODUCT((終値!E216:R216&gt;終値!F216:S216)*(終値!E216:R216-終値!F216:S216))/SUMPRODUCT((終値!E216:R216&lt;終値!F216:S216)*(終値!F216:S216-終値!E216:R216))),100))</f>
      </c>
      <c r="R216" s="684">
        <f>IF($D216="","",IFERROR(100-100/(1+SUMPRODUCT((((高値!E216:R216+安値!E216:R216+終値!E216:R216)/3)&gt;((高値!F216:S216+安値!F216:S216+終値!F216:S216)/3))*((高値!E216:R216+安値!E216:R216+終値!E216:R216)/3)*出来高!E216:R216)/SUMPRODUCT((((高値!E216:R216+安値!E216:R216+終値!E216:R216)/3)&lt;((高値!F216:S216+安値!F216:S216+終値!F216:S216)/3))*((高値!E216:R216+安値!E216:R216+終値!E216:R216)/3)*出来高!E216:R216)),50))</f>
      </c>
      <c r="S216" s="681">
        <f>IF($D216="","",IF(AND(終値!E216&lt;終値!O216,$Q216&gt;(IFERROR(100-100/(1+SUMPRODUCT((終値!O216:AB216&gt;終値!P216:AC216)*(終値!O216:AB216-終値!P216:AC216))/SUMPRODUCT((終値!O216:AB216&lt;終値!P216:AC216)*(終値!P216:AC216-終値!O216:AB216))),100))),"強気div▲",IF(AND(終値!E216&gt;終値!O216,$Q216&lt;(IFERROR(100-100/(1+SUMPRODUCT((終値!O216:AB216&gt;終値!P216:AC216)*(終値!O216:AB216-終値!P216:AC216))/SUMPRODUCT((終値!O216:AB216&lt;終値!P216:AC216)*(終値!P216:AC216-終値!O216:AB216))),100))),"弱気div▼","－")))</f>
      </c>
      <c r="T216" s="681">
        <f>IF($D216="","",IF($D216&gt;=$H216,"上walk▲",IF($D216&lt;=$I216,"下walk▼","－")))</f>
      </c>
      <c r="U216" s="681">
        <f>IF(終値!A216="","",BB_スイング!BT216)</f>
      </c>
      <c r="V216" s="689">
        <f>IF($D216="","",IFERROR(出来高!E216/AVERAGE(出来高!E216:I216),""))</f>
      </c>
      <c r="W216" s="690">
        <f>IF($D216="","",IF(AND($D216&gt;$G216,$O216="拡大↑",$L216&lt;=$M216*1.8),"◎スクイーズブレイク買",IF(AND($D216&gt;=$H216,$R216&gt;=BB設定!$B$10),"○順張り継続(walk)",IF(AND($S216="強気div▲",$D216&gt;$I216),"○反発(ダイバ)買",IF($U216="二番底W▲","△二番底買(確)",IF($U216="二番底W形成","△二番底形成",IF($D216&lt;$J216,"▼-2σ割れ危険",IF(AND($D216&gt;$E216,$K216&lt;0.6,$R216&gt;=50),"・押し目注目",IF($N216="スクイーズ★","☆スクイーズ監視","様子見")))))))))</f>
      </c>
      <c r="X216" s="685">
        <f>IF($D216="","",MIN(100,IF($L216&lt;=$M216*1.15,20,IF($L216&lt;=$M216*1.4,10,0))+IF($D216&gt;$G216,20,IF($D216&gt;$H216,12,IF($D216&gt;$E216,5,0)))+IF($O216="拡大↑",10,0)+IF($R216&gt;=80,15,IF($R216&gt;=60,10,IF($R216&gt;=50,5,0)))+IF(AND($Q216&gt;=50,$Q216&lt;=70),10,IF($Q216&gt;70,3,IF($Q216&gt;=40,5,0)))+IF($S216="強気div▲",15,0)+IF($T216="上walk▲",5,0)+IF($V216&gt;=2,5,IF($V216&gt;=1.5,3,0))))</f>
      </c>
      <c r="Y216" s="682">
        <f>IF($D216="","",$D216)</f>
      </c>
      <c r="Z216" s="682">
        <f>IF($D216="","",$H216)</f>
      </c>
      <c r="AA216" s="682">
        <f>IF($D216="","",IF($D216&gt;$E216,$E216,$AD216))</f>
      </c>
      <c r="AB216" s="682">
        <f>IF($D216="","",$G216)</f>
      </c>
      <c r="AC216" s="688">
        <f>IF($D216="","",IF(($Y216-$AA216)&lt;=0,"－",IFERROR(ROUND(MIN(20,($AB216-$Y216)/($Y216-$AA216)),2),"－")))</f>
      </c>
      <c r="AD216" s="682">
        <f>IF($D216="","",MIN(終値!E216:I216))</f>
      </c>
      <c r="AE216" s="684">
        <f>IF($D216="","",$X216+(10000-ROW())/100000)</f>
      </c>
    </row>
    <row r="217">
      <c r="A217" s="681">
        <f>IF(終値!A217="","",HYPERLINK("https://kabutan.jp/stock/?code="&amp;終値!A217,"📈"))</f>
      </c>
      <c r="B217" s="681">
        <f>IF(終値!A217="","",終値!A217)</f>
      </c>
      <c r="C217" s="680">
        <f>IF(終値!A217="","",終値!B217)</f>
      </c>
      <c r="D217" s="682">
        <f>IF(終値!A217="","",終値!E217)</f>
      </c>
      <c r="E217" s="682">
        <f>IF($D217="","",AVERAGE(終値!E217:X217))</f>
      </c>
      <c r="F217" s="683">
        <f>IF($D217="","",STDEVP(終値!E217:X217))</f>
      </c>
      <c r="G217" s="682">
        <f>IF($D217="","",$E217+BB設定!$B$4*$F217)</f>
      </c>
      <c r="H217" s="682">
        <f>IF($D217="","",$E217+BB設定!$B$5*$F217)</f>
      </c>
      <c r="I217" s="682">
        <f>IF($D217="","",$E217-BB設定!$B$5*$F217)</f>
      </c>
      <c r="J217" s="682">
        <f>IF($D217="","",$E217-BB設定!$B$4*$F217)</f>
      </c>
      <c r="K217" s="687">
        <f>IF($D217="","",IFERROR(($D217-$J217)/($G217-$J217),""))</f>
      </c>
      <c r="L217" s="686">
        <f>IF($D217="","",IFERROR(($G217-$J217)/$E217*100,""))</f>
      </c>
      <c r="M217" s="686">
        <f>IF($D217="","",IFERROR(MIN(BB_帯幅!B217:AP217)*100,""))</f>
      </c>
      <c r="N217" s="681">
        <f>IF($L217="","",IF($L217&lt;=$M217*BB設定!$B$7,"スクイーズ★",IF($L217&lt;=$M217*1.3,"収縮","－")))</f>
      </c>
      <c r="O217" s="681">
        <f>IF($D217="","",IF($L217&gt;(4*STDEVP(終値!F217:Y217)/AVERAGE(終値!F217:Y217)*100),"拡大↑","縮小↓"))</f>
      </c>
      <c r="P217" s="681">
        <f>IF($D217="","",IF($D217&gt;$G217,"↑+2σ突破",IF($D217&lt;$J217,"↓-2σ割れ",IF($D217&gt;$H217,"+1σ上",IF($D217&lt;$I217,"-1σ下","バンド内")))))</f>
      </c>
      <c r="Q217" s="684">
        <f>IF($D217="","",IFERROR(100-100/(1+SUMPRODUCT((終値!E217:R217&gt;終値!F217:S217)*(終値!E217:R217-終値!F217:S217))/SUMPRODUCT((終値!E217:R217&lt;終値!F217:S217)*(終値!F217:S217-終値!E217:R217))),100))</f>
      </c>
      <c r="R217" s="684">
        <f>IF($D217="","",IFERROR(100-100/(1+SUMPRODUCT((((高値!E217:R217+安値!E217:R217+終値!E217:R217)/3)&gt;((高値!F217:S217+安値!F217:S217+終値!F217:S217)/3))*((高値!E217:R217+安値!E217:R217+終値!E217:R217)/3)*出来高!E217:R217)/SUMPRODUCT((((高値!E217:R217+安値!E217:R217+終値!E217:R217)/3)&lt;((高値!F217:S217+安値!F217:S217+終値!F217:S217)/3))*((高値!E217:R217+安値!E217:R217+終値!E217:R217)/3)*出来高!E217:R217)),50))</f>
      </c>
      <c r="S217" s="681">
        <f>IF($D217="","",IF(AND(終値!E217&lt;終値!O217,$Q217&gt;(IFERROR(100-100/(1+SUMPRODUCT((終値!O217:AB217&gt;終値!P217:AC217)*(終値!O217:AB217-終値!P217:AC217))/SUMPRODUCT((終値!O217:AB217&lt;終値!P217:AC217)*(終値!P217:AC217-終値!O217:AB217))),100))),"強気div▲",IF(AND(終値!E217&gt;終値!O217,$Q217&lt;(IFERROR(100-100/(1+SUMPRODUCT((終値!O217:AB217&gt;終値!P217:AC217)*(終値!O217:AB217-終値!P217:AC217))/SUMPRODUCT((終値!O217:AB217&lt;終値!P217:AC217)*(終値!P217:AC217-終値!O217:AB217))),100))),"弱気div▼","－")))</f>
      </c>
      <c r="T217" s="681">
        <f>IF($D217="","",IF($D217&gt;=$H217,"上walk▲",IF($D217&lt;=$I217,"下walk▼","－")))</f>
      </c>
      <c r="U217" s="681">
        <f>IF(終値!A217="","",BB_スイング!BT217)</f>
      </c>
      <c r="V217" s="689">
        <f>IF($D217="","",IFERROR(出来高!E217/AVERAGE(出来高!E217:I217),""))</f>
      </c>
      <c r="W217" s="690">
        <f>IF($D217="","",IF(AND($D217&gt;$G217,$O217="拡大↑",$L217&lt;=$M217*1.8),"◎スクイーズブレイク買",IF(AND($D217&gt;=$H217,$R217&gt;=BB設定!$B$10),"○順張り継続(walk)",IF(AND($S217="強気div▲",$D217&gt;$I217),"○反発(ダイバ)買",IF($U217="二番底W▲","△二番底買(確)",IF($U217="二番底W形成","△二番底形成",IF($D217&lt;$J217,"▼-2σ割れ危険",IF(AND($D217&gt;$E217,$K217&lt;0.6,$R217&gt;=50),"・押し目注目",IF($N217="スクイーズ★","☆スクイーズ監視","様子見")))))))))</f>
      </c>
      <c r="X217" s="685">
        <f>IF($D217="","",MIN(100,IF($L217&lt;=$M217*1.15,20,IF($L217&lt;=$M217*1.4,10,0))+IF($D217&gt;$G217,20,IF($D217&gt;$H217,12,IF($D217&gt;$E217,5,0)))+IF($O217="拡大↑",10,0)+IF($R217&gt;=80,15,IF($R217&gt;=60,10,IF($R217&gt;=50,5,0)))+IF(AND($Q217&gt;=50,$Q217&lt;=70),10,IF($Q217&gt;70,3,IF($Q217&gt;=40,5,0)))+IF($S217="強気div▲",15,0)+IF($T217="上walk▲",5,0)+IF($V217&gt;=2,5,IF($V217&gt;=1.5,3,0))))</f>
      </c>
      <c r="Y217" s="682">
        <f>IF($D217="","",$D217)</f>
      </c>
      <c r="Z217" s="682">
        <f>IF($D217="","",$H217)</f>
      </c>
      <c r="AA217" s="682">
        <f>IF($D217="","",IF($D217&gt;$E217,$E217,$AD217))</f>
      </c>
      <c r="AB217" s="682">
        <f>IF($D217="","",$G217)</f>
      </c>
      <c r="AC217" s="688">
        <f>IF($D217="","",IF(($Y217-$AA217)&lt;=0,"－",IFERROR(ROUND(MIN(20,($AB217-$Y217)/($Y217-$AA217)),2),"－")))</f>
      </c>
      <c r="AD217" s="682">
        <f>IF($D217="","",MIN(終値!E217:I217))</f>
      </c>
      <c r="AE217" s="684">
        <f>IF($D217="","",$X217+(10000-ROW())/100000)</f>
      </c>
    </row>
    <row r="218">
      <c r="A218" s="681">
        <f>IF(終値!A218="","",HYPERLINK("https://kabutan.jp/stock/?code="&amp;終値!A218,"📈"))</f>
      </c>
      <c r="B218" s="681">
        <f>IF(終値!A218="","",終値!A218)</f>
      </c>
      <c r="C218" s="680">
        <f>IF(終値!A218="","",終値!B218)</f>
      </c>
      <c r="D218" s="682">
        <f>IF(終値!A218="","",終値!E218)</f>
      </c>
      <c r="E218" s="682">
        <f>IF($D218="","",AVERAGE(終値!E218:X218))</f>
      </c>
      <c r="F218" s="683">
        <f>IF($D218="","",STDEVP(終値!E218:X218))</f>
      </c>
      <c r="G218" s="682">
        <f>IF($D218="","",$E218+BB設定!$B$4*$F218)</f>
      </c>
      <c r="H218" s="682">
        <f>IF($D218="","",$E218+BB設定!$B$5*$F218)</f>
      </c>
      <c r="I218" s="682">
        <f>IF($D218="","",$E218-BB設定!$B$5*$F218)</f>
      </c>
      <c r="J218" s="682">
        <f>IF($D218="","",$E218-BB設定!$B$4*$F218)</f>
      </c>
      <c r="K218" s="687">
        <f>IF($D218="","",IFERROR(($D218-$J218)/($G218-$J218),""))</f>
      </c>
      <c r="L218" s="686">
        <f>IF($D218="","",IFERROR(($G218-$J218)/$E218*100,""))</f>
      </c>
      <c r="M218" s="686">
        <f>IF($D218="","",IFERROR(MIN(BB_帯幅!B218:AP218)*100,""))</f>
      </c>
      <c r="N218" s="681">
        <f>IF($L218="","",IF($L218&lt;=$M218*BB設定!$B$7,"スクイーズ★",IF($L218&lt;=$M218*1.3,"収縮","－")))</f>
      </c>
      <c r="O218" s="681">
        <f>IF($D218="","",IF($L218&gt;(4*STDEVP(終値!F218:Y218)/AVERAGE(終値!F218:Y218)*100),"拡大↑","縮小↓"))</f>
      </c>
      <c r="P218" s="681">
        <f>IF($D218="","",IF($D218&gt;$G218,"↑+2σ突破",IF($D218&lt;$J218,"↓-2σ割れ",IF($D218&gt;$H218,"+1σ上",IF($D218&lt;$I218,"-1σ下","バンド内")))))</f>
      </c>
      <c r="Q218" s="684">
        <f>IF($D218="","",IFERROR(100-100/(1+SUMPRODUCT((終値!E218:R218&gt;終値!F218:S218)*(終値!E218:R218-終値!F218:S218))/SUMPRODUCT((終値!E218:R218&lt;終値!F218:S218)*(終値!F218:S218-終値!E218:R218))),100))</f>
      </c>
      <c r="R218" s="684">
        <f>IF($D218="","",IFERROR(100-100/(1+SUMPRODUCT((((高値!E218:R218+安値!E218:R218+終値!E218:R218)/3)&gt;((高値!F218:S218+安値!F218:S218+終値!F218:S218)/3))*((高値!E218:R218+安値!E218:R218+終値!E218:R218)/3)*出来高!E218:R218)/SUMPRODUCT((((高値!E218:R218+安値!E218:R218+終値!E218:R218)/3)&lt;((高値!F218:S218+安値!F218:S218+終値!F218:S218)/3))*((高値!E218:R218+安値!E218:R218+終値!E218:R218)/3)*出来高!E218:R218)),50))</f>
      </c>
      <c r="S218" s="681">
        <f>IF($D218="","",IF(AND(終値!E218&lt;終値!O218,$Q218&gt;(IFERROR(100-100/(1+SUMPRODUCT((終値!O218:AB218&gt;終値!P218:AC218)*(終値!O218:AB218-終値!P218:AC218))/SUMPRODUCT((終値!O218:AB218&lt;終値!P218:AC218)*(終値!P218:AC218-終値!O218:AB218))),100))),"強気div▲",IF(AND(終値!E218&gt;終値!O218,$Q218&lt;(IFERROR(100-100/(1+SUMPRODUCT((終値!O218:AB218&gt;終値!P218:AC218)*(終値!O218:AB218-終値!P218:AC218))/SUMPRODUCT((終値!O218:AB218&lt;終値!P218:AC218)*(終値!P218:AC218-終値!O218:AB218))),100))),"弱気div▼","－")))</f>
      </c>
      <c r="T218" s="681">
        <f>IF($D218="","",IF($D218&gt;=$H218,"上walk▲",IF($D218&lt;=$I218,"下walk▼","－")))</f>
      </c>
      <c r="U218" s="681">
        <f>IF(終値!A218="","",BB_スイング!BT218)</f>
      </c>
      <c r="V218" s="689">
        <f>IF($D218="","",IFERROR(出来高!E218/AVERAGE(出来高!E218:I218),""))</f>
      </c>
      <c r="W218" s="690">
        <f>IF($D218="","",IF(AND($D218&gt;$G218,$O218="拡大↑",$L218&lt;=$M218*1.8),"◎スクイーズブレイク買",IF(AND($D218&gt;=$H218,$R218&gt;=BB設定!$B$10),"○順張り継続(walk)",IF(AND($S218="強気div▲",$D218&gt;$I218),"○反発(ダイバ)買",IF($U218="二番底W▲","△二番底買(確)",IF($U218="二番底W形成","△二番底形成",IF($D218&lt;$J218,"▼-2σ割れ危険",IF(AND($D218&gt;$E218,$K218&lt;0.6,$R218&gt;=50),"・押し目注目",IF($N218="スクイーズ★","☆スクイーズ監視","様子見")))))))))</f>
      </c>
      <c r="X218" s="685">
        <f>IF($D218="","",MIN(100,IF($L218&lt;=$M218*1.15,20,IF($L218&lt;=$M218*1.4,10,0))+IF($D218&gt;$G218,20,IF($D218&gt;$H218,12,IF($D218&gt;$E218,5,0)))+IF($O218="拡大↑",10,0)+IF($R218&gt;=80,15,IF($R218&gt;=60,10,IF($R218&gt;=50,5,0)))+IF(AND($Q218&gt;=50,$Q218&lt;=70),10,IF($Q218&gt;70,3,IF($Q218&gt;=40,5,0)))+IF($S218="強気div▲",15,0)+IF($T218="上walk▲",5,0)+IF($V218&gt;=2,5,IF($V218&gt;=1.5,3,0))))</f>
      </c>
      <c r="Y218" s="682">
        <f>IF($D218="","",$D218)</f>
      </c>
      <c r="Z218" s="682">
        <f>IF($D218="","",$H218)</f>
      </c>
      <c r="AA218" s="682">
        <f>IF($D218="","",IF($D218&gt;$E218,$E218,$AD218))</f>
      </c>
      <c r="AB218" s="682">
        <f>IF($D218="","",$G218)</f>
      </c>
      <c r="AC218" s="688">
        <f>IF($D218="","",IF(($Y218-$AA218)&lt;=0,"－",IFERROR(ROUND(MIN(20,($AB218-$Y218)/($Y218-$AA218)),2),"－")))</f>
      </c>
      <c r="AD218" s="682">
        <f>IF($D218="","",MIN(終値!E218:I218))</f>
      </c>
      <c r="AE218" s="684">
        <f>IF($D218="","",$X218+(10000-ROW())/100000)</f>
      </c>
    </row>
    <row r="219">
      <c r="A219" s="681">
        <f>IF(終値!A219="","",HYPERLINK("https://kabutan.jp/stock/?code="&amp;終値!A219,"📈"))</f>
      </c>
      <c r="B219" s="681">
        <f>IF(終値!A219="","",終値!A219)</f>
      </c>
      <c r="C219" s="680">
        <f>IF(終値!A219="","",終値!B219)</f>
      </c>
      <c r="D219" s="682">
        <f>IF(終値!A219="","",終値!E219)</f>
      </c>
      <c r="E219" s="682">
        <f>IF($D219="","",AVERAGE(終値!E219:X219))</f>
      </c>
      <c r="F219" s="683">
        <f>IF($D219="","",STDEVP(終値!E219:X219))</f>
      </c>
      <c r="G219" s="682">
        <f>IF($D219="","",$E219+BB設定!$B$4*$F219)</f>
      </c>
      <c r="H219" s="682">
        <f>IF($D219="","",$E219+BB設定!$B$5*$F219)</f>
      </c>
      <c r="I219" s="682">
        <f>IF($D219="","",$E219-BB設定!$B$5*$F219)</f>
      </c>
      <c r="J219" s="682">
        <f>IF($D219="","",$E219-BB設定!$B$4*$F219)</f>
      </c>
      <c r="K219" s="687">
        <f>IF($D219="","",IFERROR(($D219-$J219)/($G219-$J219),""))</f>
      </c>
      <c r="L219" s="686">
        <f>IF($D219="","",IFERROR(($G219-$J219)/$E219*100,""))</f>
      </c>
      <c r="M219" s="686">
        <f>IF($D219="","",IFERROR(MIN(BB_帯幅!B219:AP219)*100,""))</f>
      </c>
      <c r="N219" s="681">
        <f>IF($L219="","",IF($L219&lt;=$M219*BB設定!$B$7,"スクイーズ★",IF($L219&lt;=$M219*1.3,"収縮","－")))</f>
      </c>
      <c r="O219" s="681">
        <f>IF($D219="","",IF($L219&gt;(4*STDEVP(終値!F219:Y219)/AVERAGE(終値!F219:Y219)*100),"拡大↑","縮小↓"))</f>
      </c>
      <c r="P219" s="681">
        <f>IF($D219="","",IF($D219&gt;$G219,"↑+2σ突破",IF($D219&lt;$J219,"↓-2σ割れ",IF($D219&gt;$H219,"+1σ上",IF($D219&lt;$I219,"-1σ下","バンド内")))))</f>
      </c>
      <c r="Q219" s="684">
        <f>IF($D219="","",IFERROR(100-100/(1+SUMPRODUCT((終値!E219:R219&gt;終値!F219:S219)*(終値!E219:R219-終値!F219:S219))/SUMPRODUCT((終値!E219:R219&lt;終値!F219:S219)*(終値!F219:S219-終値!E219:R219))),100))</f>
      </c>
      <c r="R219" s="684">
        <f>IF($D219="","",IFERROR(100-100/(1+SUMPRODUCT((((高値!E219:R219+安値!E219:R219+終値!E219:R219)/3)&gt;((高値!F219:S219+安値!F219:S219+終値!F219:S219)/3))*((高値!E219:R219+安値!E219:R219+終値!E219:R219)/3)*出来高!E219:R219)/SUMPRODUCT((((高値!E219:R219+安値!E219:R219+終値!E219:R219)/3)&lt;((高値!F219:S219+安値!F219:S219+終値!F219:S219)/3))*((高値!E219:R219+安値!E219:R219+終値!E219:R219)/3)*出来高!E219:R219)),50))</f>
      </c>
      <c r="S219" s="681">
        <f>IF($D219="","",IF(AND(終値!E219&lt;終値!O219,$Q219&gt;(IFERROR(100-100/(1+SUMPRODUCT((終値!O219:AB219&gt;終値!P219:AC219)*(終値!O219:AB219-終値!P219:AC219))/SUMPRODUCT((終値!O219:AB219&lt;終値!P219:AC219)*(終値!P219:AC219-終値!O219:AB219))),100))),"強気div▲",IF(AND(終値!E219&gt;終値!O219,$Q219&lt;(IFERROR(100-100/(1+SUMPRODUCT((終値!O219:AB219&gt;終値!P219:AC219)*(終値!O219:AB219-終値!P219:AC219))/SUMPRODUCT((終値!O219:AB219&lt;終値!P219:AC219)*(終値!P219:AC219-終値!O219:AB219))),100))),"弱気div▼","－")))</f>
      </c>
      <c r="T219" s="681">
        <f>IF($D219="","",IF($D219&gt;=$H219,"上walk▲",IF($D219&lt;=$I219,"下walk▼","－")))</f>
      </c>
      <c r="U219" s="681">
        <f>IF(終値!A219="","",BB_スイング!BT219)</f>
      </c>
      <c r="V219" s="689">
        <f>IF($D219="","",IFERROR(出来高!E219/AVERAGE(出来高!E219:I219),""))</f>
      </c>
      <c r="W219" s="690">
        <f>IF($D219="","",IF(AND($D219&gt;$G219,$O219="拡大↑",$L219&lt;=$M219*1.8),"◎スクイーズブレイク買",IF(AND($D219&gt;=$H219,$R219&gt;=BB設定!$B$10),"○順張り継続(walk)",IF(AND($S219="強気div▲",$D219&gt;$I219),"○反発(ダイバ)買",IF($U219="二番底W▲","△二番底買(確)",IF($U219="二番底W形成","△二番底形成",IF($D219&lt;$J219,"▼-2σ割れ危険",IF(AND($D219&gt;$E219,$K219&lt;0.6,$R219&gt;=50),"・押し目注目",IF($N219="スクイーズ★","☆スクイーズ監視","様子見")))))))))</f>
      </c>
      <c r="X219" s="685">
        <f>IF($D219="","",MIN(100,IF($L219&lt;=$M219*1.15,20,IF($L219&lt;=$M219*1.4,10,0))+IF($D219&gt;$G219,20,IF($D219&gt;$H219,12,IF($D219&gt;$E219,5,0)))+IF($O219="拡大↑",10,0)+IF($R219&gt;=80,15,IF($R219&gt;=60,10,IF($R219&gt;=50,5,0)))+IF(AND($Q219&gt;=50,$Q219&lt;=70),10,IF($Q219&gt;70,3,IF($Q219&gt;=40,5,0)))+IF($S219="強気div▲",15,0)+IF($T219="上walk▲",5,0)+IF($V219&gt;=2,5,IF($V219&gt;=1.5,3,0))))</f>
      </c>
      <c r="Y219" s="682">
        <f>IF($D219="","",$D219)</f>
      </c>
      <c r="Z219" s="682">
        <f>IF($D219="","",$H219)</f>
      </c>
      <c r="AA219" s="682">
        <f>IF($D219="","",IF($D219&gt;$E219,$E219,$AD219))</f>
      </c>
      <c r="AB219" s="682">
        <f>IF($D219="","",$G219)</f>
      </c>
      <c r="AC219" s="688">
        <f>IF($D219="","",IF(($Y219-$AA219)&lt;=0,"－",IFERROR(ROUND(MIN(20,($AB219-$Y219)/($Y219-$AA219)),2),"－")))</f>
      </c>
      <c r="AD219" s="682">
        <f>IF($D219="","",MIN(終値!E219:I219))</f>
      </c>
      <c r="AE219" s="684">
        <f>IF($D219="","",$X219+(10000-ROW())/100000)</f>
      </c>
    </row>
    <row r="220">
      <c r="A220" s="681">
        <f>IF(終値!A220="","",HYPERLINK("https://kabutan.jp/stock/?code="&amp;終値!A220,"📈"))</f>
      </c>
      <c r="B220" s="681">
        <f>IF(終値!A220="","",終値!A220)</f>
      </c>
      <c r="C220" s="680">
        <f>IF(終値!A220="","",終値!B220)</f>
      </c>
      <c r="D220" s="682">
        <f>IF(終値!A220="","",終値!E220)</f>
      </c>
      <c r="E220" s="682">
        <f>IF($D220="","",AVERAGE(終値!E220:X220))</f>
      </c>
      <c r="F220" s="683">
        <f>IF($D220="","",STDEVP(終値!E220:X220))</f>
      </c>
      <c r="G220" s="682">
        <f>IF($D220="","",$E220+BB設定!$B$4*$F220)</f>
      </c>
      <c r="H220" s="682">
        <f>IF($D220="","",$E220+BB設定!$B$5*$F220)</f>
      </c>
      <c r="I220" s="682">
        <f>IF($D220="","",$E220-BB設定!$B$5*$F220)</f>
      </c>
      <c r="J220" s="682">
        <f>IF($D220="","",$E220-BB設定!$B$4*$F220)</f>
      </c>
      <c r="K220" s="687">
        <f>IF($D220="","",IFERROR(($D220-$J220)/($G220-$J220),""))</f>
      </c>
      <c r="L220" s="686">
        <f>IF($D220="","",IFERROR(($G220-$J220)/$E220*100,""))</f>
      </c>
      <c r="M220" s="686">
        <f>IF($D220="","",IFERROR(MIN(BB_帯幅!B220:AP220)*100,""))</f>
      </c>
      <c r="N220" s="681">
        <f>IF($L220="","",IF($L220&lt;=$M220*BB設定!$B$7,"スクイーズ★",IF($L220&lt;=$M220*1.3,"収縮","－")))</f>
      </c>
      <c r="O220" s="681">
        <f>IF($D220="","",IF($L220&gt;(4*STDEVP(終値!F220:Y220)/AVERAGE(終値!F220:Y220)*100),"拡大↑","縮小↓"))</f>
      </c>
      <c r="P220" s="681">
        <f>IF($D220="","",IF($D220&gt;$G220,"↑+2σ突破",IF($D220&lt;$J220,"↓-2σ割れ",IF($D220&gt;$H220,"+1σ上",IF($D220&lt;$I220,"-1σ下","バンド内")))))</f>
      </c>
      <c r="Q220" s="684">
        <f>IF($D220="","",IFERROR(100-100/(1+SUMPRODUCT((終値!E220:R220&gt;終値!F220:S220)*(終値!E220:R220-終値!F220:S220))/SUMPRODUCT((終値!E220:R220&lt;終値!F220:S220)*(終値!F220:S220-終値!E220:R220))),100))</f>
      </c>
      <c r="R220" s="684">
        <f>IF($D220="","",IFERROR(100-100/(1+SUMPRODUCT((((高値!E220:R220+安値!E220:R220+終値!E220:R220)/3)&gt;((高値!F220:S220+安値!F220:S220+終値!F220:S220)/3))*((高値!E220:R220+安値!E220:R220+終値!E220:R220)/3)*出来高!E220:R220)/SUMPRODUCT((((高値!E220:R220+安値!E220:R220+終値!E220:R220)/3)&lt;((高値!F220:S220+安値!F220:S220+終値!F220:S220)/3))*((高値!E220:R220+安値!E220:R220+終値!E220:R220)/3)*出来高!E220:R220)),50))</f>
      </c>
      <c r="S220" s="681">
        <f>IF($D220="","",IF(AND(終値!E220&lt;終値!O220,$Q220&gt;(IFERROR(100-100/(1+SUMPRODUCT((終値!O220:AB220&gt;終値!P220:AC220)*(終値!O220:AB220-終値!P220:AC220))/SUMPRODUCT((終値!O220:AB220&lt;終値!P220:AC220)*(終値!P220:AC220-終値!O220:AB220))),100))),"強気div▲",IF(AND(終値!E220&gt;終値!O220,$Q220&lt;(IFERROR(100-100/(1+SUMPRODUCT((終値!O220:AB220&gt;終値!P220:AC220)*(終値!O220:AB220-終値!P220:AC220))/SUMPRODUCT((終値!O220:AB220&lt;終値!P220:AC220)*(終値!P220:AC220-終値!O220:AB220))),100))),"弱気div▼","－")))</f>
      </c>
      <c r="T220" s="681">
        <f>IF($D220="","",IF($D220&gt;=$H220,"上walk▲",IF($D220&lt;=$I220,"下walk▼","－")))</f>
      </c>
      <c r="U220" s="681">
        <f>IF(終値!A220="","",BB_スイング!BT220)</f>
      </c>
      <c r="V220" s="689">
        <f>IF($D220="","",IFERROR(出来高!E220/AVERAGE(出来高!E220:I220),""))</f>
      </c>
      <c r="W220" s="690">
        <f>IF($D220="","",IF(AND($D220&gt;$G220,$O220="拡大↑",$L220&lt;=$M220*1.8),"◎スクイーズブレイク買",IF(AND($D220&gt;=$H220,$R220&gt;=BB設定!$B$10),"○順張り継続(walk)",IF(AND($S220="強気div▲",$D220&gt;$I220),"○反発(ダイバ)買",IF($U220="二番底W▲","△二番底買(確)",IF($U220="二番底W形成","△二番底形成",IF($D220&lt;$J220,"▼-2σ割れ危険",IF(AND($D220&gt;$E220,$K220&lt;0.6,$R220&gt;=50),"・押し目注目",IF($N220="スクイーズ★","☆スクイーズ監視","様子見")))))))))</f>
      </c>
      <c r="X220" s="685">
        <f>IF($D220="","",MIN(100,IF($L220&lt;=$M220*1.15,20,IF($L220&lt;=$M220*1.4,10,0))+IF($D220&gt;$G220,20,IF($D220&gt;$H220,12,IF($D220&gt;$E220,5,0)))+IF($O220="拡大↑",10,0)+IF($R220&gt;=80,15,IF($R220&gt;=60,10,IF($R220&gt;=50,5,0)))+IF(AND($Q220&gt;=50,$Q220&lt;=70),10,IF($Q220&gt;70,3,IF($Q220&gt;=40,5,0)))+IF($S220="強気div▲",15,0)+IF($T220="上walk▲",5,0)+IF($V220&gt;=2,5,IF($V220&gt;=1.5,3,0))))</f>
      </c>
      <c r="Y220" s="682">
        <f>IF($D220="","",$D220)</f>
      </c>
      <c r="Z220" s="682">
        <f>IF($D220="","",$H220)</f>
      </c>
      <c r="AA220" s="682">
        <f>IF($D220="","",IF($D220&gt;$E220,$E220,$AD220))</f>
      </c>
      <c r="AB220" s="682">
        <f>IF($D220="","",$G220)</f>
      </c>
      <c r="AC220" s="688">
        <f>IF($D220="","",IF(($Y220-$AA220)&lt;=0,"－",IFERROR(ROUND(MIN(20,($AB220-$Y220)/($Y220-$AA220)),2),"－")))</f>
      </c>
      <c r="AD220" s="682">
        <f>IF($D220="","",MIN(終値!E220:I220))</f>
      </c>
      <c r="AE220" s="684">
        <f>IF($D220="","",$X220+(10000-ROW())/100000)</f>
      </c>
    </row>
    <row r="221">
      <c r="A221" s="681">
        <f>IF(終値!A221="","",HYPERLINK("https://kabutan.jp/stock/?code="&amp;終値!A221,"📈"))</f>
      </c>
      <c r="B221" s="681">
        <f>IF(終値!A221="","",終値!A221)</f>
      </c>
      <c r="C221" s="680">
        <f>IF(終値!A221="","",終値!B221)</f>
      </c>
      <c r="D221" s="682">
        <f>IF(終値!A221="","",終値!E221)</f>
      </c>
      <c r="E221" s="682">
        <f>IF($D221="","",AVERAGE(終値!E221:X221))</f>
      </c>
      <c r="F221" s="683">
        <f>IF($D221="","",STDEVP(終値!E221:X221))</f>
      </c>
      <c r="G221" s="682">
        <f>IF($D221="","",$E221+BB設定!$B$4*$F221)</f>
      </c>
      <c r="H221" s="682">
        <f>IF($D221="","",$E221+BB設定!$B$5*$F221)</f>
      </c>
      <c r="I221" s="682">
        <f>IF($D221="","",$E221-BB設定!$B$5*$F221)</f>
      </c>
      <c r="J221" s="682">
        <f>IF($D221="","",$E221-BB設定!$B$4*$F221)</f>
      </c>
      <c r="K221" s="687">
        <f>IF($D221="","",IFERROR(($D221-$J221)/($G221-$J221),""))</f>
      </c>
      <c r="L221" s="686">
        <f>IF($D221="","",IFERROR(($G221-$J221)/$E221*100,""))</f>
      </c>
      <c r="M221" s="686">
        <f>IF($D221="","",IFERROR(MIN(BB_帯幅!B221:AP221)*100,""))</f>
      </c>
      <c r="N221" s="681">
        <f>IF($L221="","",IF($L221&lt;=$M221*BB設定!$B$7,"スクイーズ★",IF($L221&lt;=$M221*1.3,"収縮","－")))</f>
      </c>
      <c r="O221" s="681">
        <f>IF($D221="","",IF($L221&gt;(4*STDEVP(終値!F221:Y221)/AVERAGE(終値!F221:Y221)*100),"拡大↑","縮小↓"))</f>
      </c>
      <c r="P221" s="681">
        <f>IF($D221="","",IF($D221&gt;$G221,"↑+2σ突破",IF($D221&lt;$J221,"↓-2σ割れ",IF($D221&gt;$H221,"+1σ上",IF($D221&lt;$I221,"-1σ下","バンド内")))))</f>
      </c>
      <c r="Q221" s="684">
        <f>IF($D221="","",IFERROR(100-100/(1+SUMPRODUCT((終値!E221:R221&gt;終値!F221:S221)*(終値!E221:R221-終値!F221:S221))/SUMPRODUCT((終値!E221:R221&lt;終値!F221:S221)*(終値!F221:S221-終値!E221:R221))),100))</f>
      </c>
      <c r="R221" s="684">
        <f>IF($D221="","",IFERROR(100-100/(1+SUMPRODUCT((((高値!E221:R221+安値!E221:R221+終値!E221:R221)/3)&gt;((高値!F221:S221+安値!F221:S221+終値!F221:S221)/3))*((高値!E221:R221+安値!E221:R221+終値!E221:R221)/3)*出来高!E221:R221)/SUMPRODUCT((((高値!E221:R221+安値!E221:R221+終値!E221:R221)/3)&lt;((高値!F221:S221+安値!F221:S221+終値!F221:S221)/3))*((高値!E221:R221+安値!E221:R221+終値!E221:R221)/3)*出来高!E221:R221)),50))</f>
      </c>
      <c r="S221" s="681">
        <f>IF($D221="","",IF(AND(終値!E221&lt;終値!O221,$Q221&gt;(IFERROR(100-100/(1+SUMPRODUCT((終値!O221:AB221&gt;終値!P221:AC221)*(終値!O221:AB221-終値!P221:AC221))/SUMPRODUCT((終値!O221:AB221&lt;終値!P221:AC221)*(終値!P221:AC221-終値!O221:AB221))),100))),"強気div▲",IF(AND(終値!E221&gt;終値!O221,$Q221&lt;(IFERROR(100-100/(1+SUMPRODUCT((終値!O221:AB221&gt;終値!P221:AC221)*(終値!O221:AB221-終値!P221:AC221))/SUMPRODUCT((終値!O221:AB221&lt;終値!P221:AC221)*(終値!P221:AC221-終値!O221:AB221))),100))),"弱気div▼","－")))</f>
      </c>
      <c r="T221" s="681">
        <f>IF($D221="","",IF($D221&gt;=$H221,"上walk▲",IF($D221&lt;=$I221,"下walk▼","－")))</f>
      </c>
      <c r="U221" s="681">
        <f>IF(終値!A221="","",BB_スイング!BT221)</f>
      </c>
      <c r="V221" s="689">
        <f>IF($D221="","",IFERROR(出来高!E221/AVERAGE(出来高!E221:I221),""))</f>
      </c>
      <c r="W221" s="690">
        <f>IF($D221="","",IF(AND($D221&gt;$G221,$O221="拡大↑",$L221&lt;=$M221*1.8),"◎スクイーズブレイク買",IF(AND($D221&gt;=$H221,$R221&gt;=BB設定!$B$10),"○順張り継続(walk)",IF(AND($S221="強気div▲",$D221&gt;$I221),"○反発(ダイバ)買",IF($U221="二番底W▲","△二番底買(確)",IF($U221="二番底W形成","△二番底形成",IF($D221&lt;$J221,"▼-2σ割れ危険",IF(AND($D221&gt;$E221,$K221&lt;0.6,$R221&gt;=50),"・押し目注目",IF($N221="スクイーズ★","☆スクイーズ監視","様子見")))))))))</f>
      </c>
      <c r="X221" s="685">
        <f>IF($D221="","",MIN(100,IF($L221&lt;=$M221*1.15,20,IF($L221&lt;=$M221*1.4,10,0))+IF($D221&gt;$G221,20,IF($D221&gt;$H221,12,IF($D221&gt;$E221,5,0)))+IF($O221="拡大↑",10,0)+IF($R221&gt;=80,15,IF($R221&gt;=60,10,IF($R221&gt;=50,5,0)))+IF(AND($Q221&gt;=50,$Q221&lt;=70),10,IF($Q221&gt;70,3,IF($Q221&gt;=40,5,0)))+IF($S221="強気div▲",15,0)+IF($T221="上walk▲",5,0)+IF($V221&gt;=2,5,IF($V221&gt;=1.5,3,0))))</f>
      </c>
      <c r="Y221" s="682">
        <f>IF($D221="","",$D221)</f>
      </c>
      <c r="Z221" s="682">
        <f>IF($D221="","",$H221)</f>
      </c>
      <c r="AA221" s="682">
        <f>IF($D221="","",IF($D221&gt;$E221,$E221,$AD221))</f>
      </c>
      <c r="AB221" s="682">
        <f>IF($D221="","",$G221)</f>
      </c>
      <c r="AC221" s="688">
        <f>IF($D221="","",IF(($Y221-$AA221)&lt;=0,"－",IFERROR(ROUND(MIN(20,($AB221-$Y221)/($Y221-$AA221)),2),"－")))</f>
      </c>
      <c r="AD221" s="682">
        <f>IF($D221="","",MIN(終値!E221:I221))</f>
      </c>
      <c r="AE221" s="684">
        <f>IF($D221="","",$X221+(10000-ROW())/100000)</f>
      </c>
    </row>
    <row r="222">
      <c r="A222" s="681">
        <f>IF(終値!A222="","",HYPERLINK("https://kabutan.jp/stock/?code="&amp;終値!A222,"📈"))</f>
      </c>
      <c r="B222" s="681">
        <f>IF(終値!A222="","",終値!A222)</f>
      </c>
      <c r="C222" s="680">
        <f>IF(終値!A222="","",終値!B222)</f>
      </c>
      <c r="D222" s="682">
        <f>IF(終値!A222="","",終値!E222)</f>
      </c>
      <c r="E222" s="682">
        <f>IF($D222="","",AVERAGE(終値!E222:X222))</f>
      </c>
      <c r="F222" s="683">
        <f>IF($D222="","",STDEVP(終値!E222:X222))</f>
      </c>
      <c r="G222" s="682">
        <f>IF($D222="","",$E222+BB設定!$B$4*$F222)</f>
      </c>
      <c r="H222" s="682">
        <f>IF($D222="","",$E222+BB設定!$B$5*$F222)</f>
      </c>
      <c r="I222" s="682">
        <f>IF($D222="","",$E222-BB設定!$B$5*$F222)</f>
      </c>
      <c r="J222" s="682">
        <f>IF($D222="","",$E222-BB設定!$B$4*$F222)</f>
      </c>
      <c r="K222" s="687">
        <f>IF($D222="","",IFERROR(($D222-$J222)/($G222-$J222),""))</f>
      </c>
      <c r="L222" s="686">
        <f>IF($D222="","",IFERROR(($G222-$J222)/$E222*100,""))</f>
      </c>
      <c r="M222" s="686">
        <f>IF($D222="","",IFERROR(MIN(BB_帯幅!B222:AP222)*100,""))</f>
      </c>
      <c r="N222" s="681">
        <f>IF($L222="","",IF($L222&lt;=$M222*BB設定!$B$7,"スクイーズ★",IF($L222&lt;=$M222*1.3,"収縮","－")))</f>
      </c>
      <c r="O222" s="681">
        <f>IF($D222="","",IF($L222&gt;(4*STDEVP(終値!F222:Y222)/AVERAGE(終値!F222:Y222)*100),"拡大↑","縮小↓"))</f>
      </c>
      <c r="P222" s="681">
        <f>IF($D222="","",IF($D222&gt;$G222,"↑+2σ突破",IF($D222&lt;$J222,"↓-2σ割れ",IF($D222&gt;$H222,"+1σ上",IF($D222&lt;$I222,"-1σ下","バンド内")))))</f>
      </c>
      <c r="Q222" s="684">
        <f>IF($D222="","",IFERROR(100-100/(1+SUMPRODUCT((終値!E222:R222&gt;終値!F222:S222)*(終値!E222:R222-終値!F222:S222))/SUMPRODUCT((終値!E222:R222&lt;終値!F222:S222)*(終値!F222:S222-終値!E222:R222))),100))</f>
      </c>
      <c r="R222" s="684">
        <f>IF($D222="","",IFERROR(100-100/(1+SUMPRODUCT((((高値!E222:R222+安値!E222:R222+終値!E222:R222)/3)&gt;((高値!F222:S222+安値!F222:S222+終値!F222:S222)/3))*((高値!E222:R222+安値!E222:R222+終値!E222:R222)/3)*出来高!E222:R222)/SUMPRODUCT((((高値!E222:R222+安値!E222:R222+終値!E222:R222)/3)&lt;((高値!F222:S222+安値!F222:S222+終値!F222:S222)/3))*((高値!E222:R222+安値!E222:R222+終値!E222:R222)/3)*出来高!E222:R222)),50))</f>
      </c>
      <c r="S222" s="681">
        <f>IF($D222="","",IF(AND(終値!E222&lt;終値!O222,$Q222&gt;(IFERROR(100-100/(1+SUMPRODUCT((終値!O222:AB222&gt;終値!P222:AC222)*(終値!O222:AB222-終値!P222:AC222))/SUMPRODUCT((終値!O222:AB222&lt;終値!P222:AC222)*(終値!P222:AC222-終値!O222:AB222))),100))),"強気div▲",IF(AND(終値!E222&gt;終値!O222,$Q222&lt;(IFERROR(100-100/(1+SUMPRODUCT((終値!O222:AB222&gt;終値!P222:AC222)*(終値!O222:AB222-終値!P222:AC222))/SUMPRODUCT((終値!O222:AB222&lt;終値!P222:AC222)*(終値!P222:AC222-終値!O222:AB222))),100))),"弱気div▼","－")))</f>
      </c>
      <c r="T222" s="681">
        <f>IF($D222="","",IF($D222&gt;=$H222,"上walk▲",IF($D222&lt;=$I222,"下walk▼","－")))</f>
      </c>
      <c r="U222" s="681">
        <f>IF(終値!A222="","",BB_スイング!BT222)</f>
      </c>
      <c r="V222" s="689">
        <f>IF($D222="","",IFERROR(出来高!E222/AVERAGE(出来高!E222:I222),""))</f>
      </c>
      <c r="W222" s="690">
        <f>IF($D222="","",IF(AND($D222&gt;$G222,$O222="拡大↑",$L222&lt;=$M222*1.8),"◎スクイーズブレイク買",IF(AND($D222&gt;=$H222,$R222&gt;=BB設定!$B$10),"○順張り継続(walk)",IF(AND($S222="強気div▲",$D222&gt;$I222),"○反発(ダイバ)買",IF($U222="二番底W▲","△二番底買(確)",IF($U222="二番底W形成","△二番底形成",IF($D222&lt;$J222,"▼-2σ割れ危険",IF(AND($D222&gt;$E222,$K222&lt;0.6,$R222&gt;=50),"・押し目注目",IF($N222="スクイーズ★","☆スクイーズ監視","様子見")))))))))</f>
      </c>
      <c r="X222" s="685">
        <f>IF($D222="","",MIN(100,IF($L222&lt;=$M222*1.15,20,IF($L222&lt;=$M222*1.4,10,0))+IF($D222&gt;$G222,20,IF($D222&gt;$H222,12,IF($D222&gt;$E222,5,0)))+IF($O222="拡大↑",10,0)+IF($R222&gt;=80,15,IF($R222&gt;=60,10,IF($R222&gt;=50,5,0)))+IF(AND($Q222&gt;=50,$Q222&lt;=70),10,IF($Q222&gt;70,3,IF($Q222&gt;=40,5,0)))+IF($S222="強気div▲",15,0)+IF($T222="上walk▲",5,0)+IF($V222&gt;=2,5,IF($V222&gt;=1.5,3,0))))</f>
      </c>
      <c r="Y222" s="682">
        <f>IF($D222="","",$D222)</f>
      </c>
      <c r="Z222" s="682">
        <f>IF($D222="","",$H222)</f>
      </c>
      <c r="AA222" s="682">
        <f>IF($D222="","",IF($D222&gt;$E222,$E222,$AD222))</f>
      </c>
      <c r="AB222" s="682">
        <f>IF($D222="","",$G222)</f>
      </c>
      <c r="AC222" s="688">
        <f>IF($D222="","",IF(($Y222-$AA222)&lt;=0,"－",IFERROR(ROUND(MIN(20,($AB222-$Y222)/($Y222-$AA222)),2),"－")))</f>
      </c>
      <c r="AD222" s="682">
        <f>IF($D222="","",MIN(終値!E222:I222))</f>
      </c>
      <c r="AE222" s="684">
        <f>IF($D222="","",$X222+(10000-ROW())/100000)</f>
      </c>
    </row>
    <row r="223">
      <c r="A223" s="681">
        <f>IF(終値!A223="","",HYPERLINK("https://kabutan.jp/stock/?code="&amp;終値!A223,"📈"))</f>
      </c>
      <c r="B223" s="681">
        <f>IF(終値!A223="","",終値!A223)</f>
      </c>
      <c r="C223" s="680">
        <f>IF(終値!A223="","",終値!B223)</f>
      </c>
      <c r="D223" s="682">
        <f>IF(終値!A223="","",終値!E223)</f>
      </c>
      <c r="E223" s="682">
        <f>IF($D223="","",AVERAGE(終値!E223:X223))</f>
      </c>
      <c r="F223" s="683">
        <f>IF($D223="","",STDEVP(終値!E223:X223))</f>
      </c>
      <c r="G223" s="682">
        <f>IF($D223="","",$E223+BB設定!$B$4*$F223)</f>
      </c>
      <c r="H223" s="682">
        <f>IF($D223="","",$E223+BB設定!$B$5*$F223)</f>
      </c>
      <c r="I223" s="682">
        <f>IF($D223="","",$E223-BB設定!$B$5*$F223)</f>
      </c>
      <c r="J223" s="682">
        <f>IF($D223="","",$E223-BB設定!$B$4*$F223)</f>
      </c>
      <c r="K223" s="687">
        <f>IF($D223="","",IFERROR(($D223-$J223)/($G223-$J223),""))</f>
      </c>
      <c r="L223" s="686">
        <f>IF($D223="","",IFERROR(($G223-$J223)/$E223*100,""))</f>
      </c>
      <c r="M223" s="686">
        <f>IF($D223="","",IFERROR(MIN(BB_帯幅!B223:AP223)*100,""))</f>
      </c>
      <c r="N223" s="681">
        <f>IF($L223="","",IF($L223&lt;=$M223*BB設定!$B$7,"スクイーズ★",IF($L223&lt;=$M223*1.3,"収縮","－")))</f>
      </c>
      <c r="O223" s="681">
        <f>IF($D223="","",IF($L223&gt;(4*STDEVP(終値!F223:Y223)/AVERAGE(終値!F223:Y223)*100),"拡大↑","縮小↓"))</f>
      </c>
      <c r="P223" s="681">
        <f>IF($D223="","",IF($D223&gt;$G223,"↑+2σ突破",IF($D223&lt;$J223,"↓-2σ割れ",IF($D223&gt;$H223,"+1σ上",IF($D223&lt;$I223,"-1σ下","バンド内")))))</f>
      </c>
      <c r="Q223" s="684">
        <f>IF($D223="","",IFERROR(100-100/(1+SUMPRODUCT((終値!E223:R223&gt;終値!F223:S223)*(終値!E223:R223-終値!F223:S223))/SUMPRODUCT((終値!E223:R223&lt;終値!F223:S223)*(終値!F223:S223-終値!E223:R223))),100))</f>
      </c>
      <c r="R223" s="684">
        <f>IF($D223="","",IFERROR(100-100/(1+SUMPRODUCT((((高値!E223:R223+安値!E223:R223+終値!E223:R223)/3)&gt;((高値!F223:S223+安値!F223:S223+終値!F223:S223)/3))*((高値!E223:R223+安値!E223:R223+終値!E223:R223)/3)*出来高!E223:R223)/SUMPRODUCT((((高値!E223:R223+安値!E223:R223+終値!E223:R223)/3)&lt;((高値!F223:S223+安値!F223:S223+終値!F223:S223)/3))*((高値!E223:R223+安値!E223:R223+終値!E223:R223)/3)*出来高!E223:R223)),50))</f>
      </c>
      <c r="S223" s="681">
        <f>IF($D223="","",IF(AND(終値!E223&lt;終値!O223,$Q223&gt;(IFERROR(100-100/(1+SUMPRODUCT((終値!O223:AB223&gt;終値!P223:AC223)*(終値!O223:AB223-終値!P223:AC223))/SUMPRODUCT((終値!O223:AB223&lt;終値!P223:AC223)*(終値!P223:AC223-終値!O223:AB223))),100))),"強気div▲",IF(AND(終値!E223&gt;終値!O223,$Q223&lt;(IFERROR(100-100/(1+SUMPRODUCT((終値!O223:AB223&gt;終値!P223:AC223)*(終値!O223:AB223-終値!P223:AC223))/SUMPRODUCT((終値!O223:AB223&lt;終値!P223:AC223)*(終値!P223:AC223-終値!O223:AB223))),100))),"弱気div▼","－")))</f>
      </c>
      <c r="T223" s="681">
        <f>IF($D223="","",IF($D223&gt;=$H223,"上walk▲",IF($D223&lt;=$I223,"下walk▼","－")))</f>
      </c>
      <c r="U223" s="681">
        <f>IF(終値!A223="","",BB_スイング!BT223)</f>
      </c>
      <c r="V223" s="689">
        <f>IF($D223="","",IFERROR(出来高!E223/AVERAGE(出来高!E223:I223),""))</f>
      </c>
      <c r="W223" s="690">
        <f>IF($D223="","",IF(AND($D223&gt;$G223,$O223="拡大↑",$L223&lt;=$M223*1.8),"◎スクイーズブレイク買",IF(AND($D223&gt;=$H223,$R223&gt;=BB設定!$B$10),"○順張り継続(walk)",IF(AND($S223="強気div▲",$D223&gt;$I223),"○反発(ダイバ)買",IF($U223="二番底W▲","△二番底買(確)",IF($U223="二番底W形成","△二番底形成",IF($D223&lt;$J223,"▼-2σ割れ危険",IF(AND($D223&gt;$E223,$K223&lt;0.6,$R223&gt;=50),"・押し目注目",IF($N223="スクイーズ★","☆スクイーズ監視","様子見")))))))))</f>
      </c>
      <c r="X223" s="685">
        <f>IF($D223="","",MIN(100,IF($L223&lt;=$M223*1.15,20,IF($L223&lt;=$M223*1.4,10,0))+IF($D223&gt;$G223,20,IF($D223&gt;$H223,12,IF($D223&gt;$E223,5,0)))+IF($O223="拡大↑",10,0)+IF($R223&gt;=80,15,IF($R223&gt;=60,10,IF($R223&gt;=50,5,0)))+IF(AND($Q223&gt;=50,$Q223&lt;=70),10,IF($Q223&gt;70,3,IF($Q223&gt;=40,5,0)))+IF($S223="強気div▲",15,0)+IF($T223="上walk▲",5,0)+IF($V223&gt;=2,5,IF($V223&gt;=1.5,3,0))))</f>
      </c>
      <c r="Y223" s="682">
        <f>IF($D223="","",$D223)</f>
      </c>
      <c r="Z223" s="682">
        <f>IF($D223="","",$H223)</f>
      </c>
      <c r="AA223" s="682">
        <f>IF($D223="","",IF($D223&gt;$E223,$E223,$AD223))</f>
      </c>
      <c r="AB223" s="682">
        <f>IF($D223="","",$G223)</f>
      </c>
      <c r="AC223" s="688">
        <f>IF($D223="","",IF(($Y223-$AA223)&lt;=0,"－",IFERROR(ROUND(MIN(20,($AB223-$Y223)/($Y223-$AA223)),2),"－")))</f>
      </c>
      <c r="AD223" s="682">
        <f>IF($D223="","",MIN(終値!E223:I223))</f>
      </c>
      <c r="AE223" s="684">
        <f>IF($D223="","",$X223+(10000-ROW())/100000)</f>
      </c>
    </row>
    <row r="224">
      <c r="A224" s="681">
        <f>IF(終値!A224="","",HYPERLINK("https://kabutan.jp/stock/?code="&amp;終値!A224,"📈"))</f>
      </c>
      <c r="B224" s="681">
        <f>IF(終値!A224="","",終値!A224)</f>
      </c>
      <c r="C224" s="680">
        <f>IF(終値!A224="","",終値!B224)</f>
      </c>
      <c r="D224" s="682">
        <f>IF(終値!A224="","",終値!E224)</f>
      </c>
      <c r="E224" s="682">
        <f>IF($D224="","",AVERAGE(終値!E224:X224))</f>
      </c>
      <c r="F224" s="683">
        <f>IF($D224="","",STDEVP(終値!E224:X224))</f>
      </c>
      <c r="G224" s="682">
        <f>IF($D224="","",$E224+BB設定!$B$4*$F224)</f>
      </c>
      <c r="H224" s="682">
        <f>IF($D224="","",$E224+BB設定!$B$5*$F224)</f>
      </c>
      <c r="I224" s="682">
        <f>IF($D224="","",$E224-BB設定!$B$5*$F224)</f>
      </c>
      <c r="J224" s="682">
        <f>IF($D224="","",$E224-BB設定!$B$4*$F224)</f>
      </c>
      <c r="K224" s="687">
        <f>IF($D224="","",IFERROR(($D224-$J224)/($G224-$J224),""))</f>
      </c>
      <c r="L224" s="686">
        <f>IF($D224="","",IFERROR(($G224-$J224)/$E224*100,""))</f>
      </c>
      <c r="M224" s="686">
        <f>IF($D224="","",IFERROR(MIN(BB_帯幅!B224:AP224)*100,""))</f>
      </c>
      <c r="N224" s="681">
        <f>IF($L224="","",IF($L224&lt;=$M224*BB設定!$B$7,"スクイーズ★",IF($L224&lt;=$M224*1.3,"収縮","－")))</f>
      </c>
      <c r="O224" s="681">
        <f>IF($D224="","",IF($L224&gt;(4*STDEVP(終値!F224:Y224)/AVERAGE(終値!F224:Y224)*100),"拡大↑","縮小↓"))</f>
      </c>
      <c r="P224" s="681">
        <f>IF($D224="","",IF($D224&gt;$G224,"↑+2σ突破",IF($D224&lt;$J224,"↓-2σ割れ",IF($D224&gt;$H224,"+1σ上",IF($D224&lt;$I224,"-1σ下","バンド内")))))</f>
      </c>
      <c r="Q224" s="684">
        <f>IF($D224="","",IFERROR(100-100/(1+SUMPRODUCT((終値!E224:R224&gt;終値!F224:S224)*(終値!E224:R224-終値!F224:S224))/SUMPRODUCT((終値!E224:R224&lt;終値!F224:S224)*(終値!F224:S224-終値!E224:R224))),100))</f>
      </c>
      <c r="R224" s="684">
        <f>IF($D224="","",IFERROR(100-100/(1+SUMPRODUCT((((高値!E224:R224+安値!E224:R224+終値!E224:R224)/3)&gt;((高値!F224:S224+安値!F224:S224+終値!F224:S224)/3))*((高値!E224:R224+安値!E224:R224+終値!E224:R224)/3)*出来高!E224:R224)/SUMPRODUCT((((高値!E224:R224+安値!E224:R224+終値!E224:R224)/3)&lt;((高値!F224:S224+安値!F224:S224+終値!F224:S224)/3))*((高値!E224:R224+安値!E224:R224+終値!E224:R224)/3)*出来高!E224:R224)),50))</f>
      </c>
      <c r="S224" s="681">
        <f>IF($D224="","",IF(AND(終値!E224&lt;終値!O224,$Q224&gt;(IFERROR(100-100/(1+SUMPRODUCT((終値!O224:AB224&gt;終値!P224:AC224)*(終値!O224:AB224-終値!P224:AC224))/SUMPRODUCT((終値!O224:AB224&lt;終値!P224:AC224)*(終値!P224:AC224-終値!O224:AB224))),100))),"強気div▲",IF(AND(終値!E224&gt;終値!O224,$Q224&lt;(IFERROR(100-100/(1+SUMPRODUCT((終値!O224:AB224&gt;終値!P224:AC224)*(終値!O224:AB224-終値!P224:AC224))/SUMPRODUCT((終値!O224:AB224&lt;終値!P224:AC224)*(終値!P224:AC224-終値!O224:AB224))),100))),"弱気div▼","－")))</f>
      </c>
      <c r="T224" s="681">
        <f>IF($D224="","",IF($D224&gt;=$H224,"上walk▲",IF($D224&lt;=$I224,"下walk▼","－")))</f>
      </c>
      <c r="U224" s="681">
        <f>IF(終値!A224="","",BB_スイング!BT224)</f>
      </c>
      <c r="V224" s="689">
        <f>IF($D224="","",IFERROR(出来高!E224/AVERAGE(出来高!E224:I224),""))</f>
      </c>
      <c r="W224" s="690">
        <f>IF($D224="","",IF(AND($D224&gt;$G224,$O224="拡大↑",$L224&lt;=$M224*1.8),"◎スクイーズブレイク買",IF(AND($D224&gt;=$H224,$R224&gt;=BB設定!$B$10),"○順張り継続(walk)",IF(AND($S224="強気div▲",$D224&gt;$I224),"○反発(ダイバ)買",IF($U224="二番底W▲","△二番底買(確)",IF($U224="二番底W形成","△二番底形成",IF($D224&lt;$J224,"▼-2σ割れ危険",IF(AND($D224&gt;$E224,$K224&lt;0.6,$R224&gt;=50),"・押し目注目",IF($N224="スクイーズ★","☆スクイーズ監視","様子見")))))))))</f>
      </c>
      <c r="X224" s="685">
        <f>IF($D224="","",MIN(100,IF($L224&lt;=$M224*1.15,20,IF($L224&lt;=$M224*1.4,10,0))+IF($D224&gt;$G224,20,IF($D224&gt;$H224,12,IF($D224&gt;$E224,5,0)))+IF($O224="拡大↑",10,0)+IF($R224&gt;=80,15,IF($R224&gt;=60,10,IF($R224&gt;=50,5,0)))+IF(AND($Q224&gt;=50,$Q224&lt;=70),10,IF($Q224&gt;70,3,IF($Q224&gt;=40,5,0)))+IF($S224="強気div▲",15,0)+IF($T224="上walk▲",5,0)+IF($V224&gt;=2,5,IF($V224&gt;=1.5,3,0))))</f>
      </c>
      <c r="Y224" s="682">
        <f>IF($D224="","",$D224)</f>
      </c>
      <c r="Z224" s="682">
        <f>IF($D224="","",$H224)</f>
      </c>
      <c r="AA224" s="682">
        <f>IF($D224="","",IF($D224&gt;$E224,$E224,$AD224))</f>
      </c>
      <c r="AB224" s="682">
        <f>IF($D224="","",$G224)</f>
      </c>
      <c r="AC224" s="688">
        <f>IF($D224="","",IF(($Y224-$AA224)&lt;=0,"－",IFERROR(ROUND(MIN(20,($AB224-$Y224)/($Y224-$AA224)),2),"－")))</f>
      </c>
      <c r="AD224" s="682">
        <f>IF($D224="","",MIN(終値!E224:I224))</f>
      </c>
      <c r="AE224" s="684">
        <f>IF($D224="","",$X224+(10000-ROW())/100000)</f>
      </c>
    </row>
    <row r="225">
      <c r="A225" s="681">
        <f>IF(終値!A225="","",HYPERLINK("https://kabutan.jp/stock/?code="&amp;終値!A225,"📈"))</f>
      </c>
      <c r="B225" s="681">
        <f>IF(終値!A225="","",終値!A225)</f>
      </c>
      <c r="C225" s="680">
        <f>IF(終値!A225="","",終値!B225)</f>
      </c>
      <c r="D225" s="682">
        <f>IF(終値!A225="","",終値!E225)</f>
      </c>
      <c r="E225" s="682">
        <f>IF($D225="","",AVERAGE(終値!E225:X225))</f>
      </c>
      <c r="F225" s="683">
        <f>IF($D225="","",STDEVP(終値!E225:X225))</f>
      </c>
      <c r="G225" s="682">
        <f>IF($D225="","",$E225+BB設定!$B$4*$F225)</f>
      </c>
      <c r="H225" s="682">
        <f>IF($D225="","",$E225+BB設定!$B$5*$F225)</f>
      </c>
      <c r="I225" s="682">
        <f>IF($D225="","",$E225-BB設定!$B$5*$F225)</f>
      </c>
      <c r="J225" s="682">
        <f>IF($D225="","",$E225-BB設定!$B$4*$F225)</f>
      </c>
      <c r="K225" s="687">
        <f>IF($D225="","",IFERROR(($D225-$J225)/($G225-$J225),""))</f>
      </c>
      <c r="L225" s="686">
        <f>IF($D225="","",IFERROR(($G225-$J225)/$E225*100,""))</f>
      </c>
      <c r="M225" s="686">
        <f>IF($D225="","",IFERROR(MIN(BB_帯幅!B225:AP225)*100,""))</f>
      </c>
      <c r="N225" s="681">
        <f>IF($L225="","",IF($L225&lt;=$M225*BB設定!$B$7,"スクイーズ★",IF($L225&lt;=$M225*1.3,"収縮","－")))</f>
      </c>
      <c r="O225" s="681">
        <f>IF($D225="","",IF($L225&gt;(4*STDEVP(終値!F225:Y225)/AVERAGE(終値!F225:Y225)*100),"拡大↑","縮小↓"))</f>
      </c>
      <c r="P225" s="681">
        <f>IF($D225="","",IF($D225&gt;$G225,"↑+2σ突破",IF($D225&lt;$J225,"↓-2σ割れ",IF($D225&gt;$H225,"+1σ上",IF($D225&lt;$I225,"-1σ下","バンド内")))))</f>
      </c>
      <c r="Q225" s="684">
        <f>IF($D225="","",IFERROR(100-100/(1+SUMPRODUCT((終値!E225:R225&gt;終値!F225:S225)*(終値!E225:R225-終値!F225:S225))/SUMPRODUCT((終値!E225:R225&lt;終値!F225:S225)*(終値!F225:S225-終値!E225:R225))),100))</f>
      </c>
      <c r="R225" s="684">
        <f>IF($D225="","",IFERROR(100-100/(1+SUMPRODUCT((((高値!E225:R225+安値!E225:R225+終値!E225:R225)/3)&gt;((高値!F225:S225+安値!F225:S225+終値!F225:S225)/3))*((高値!E225:R225+安値!E225:R225+終値!E225:R225)/3)*出来高!E225:R225)/SUMPRODUCT((((高値!E225:R225+安値!E225:R225+終値!E225:R225)/3)&lt;((高値!F225:S225+安値!F225:S225+終値!F225:S225)/3))*((高値!E225:R225+安値!E225:R225+終値!E225:R225)/3)*出来高!E225:R225)),50))</f>
      </c>
      <c r="S225" s="681">
        <f>IF($D225="","",IF(AND(終値!E225&lt;終値!O225,$Q225&gt;(IFERROR(100-100/(1+SUMPRODUCT((終値!O225:AB225&gt;終値!P225:AC225)*(終値!O225:AB225-終値!P225:AC225))/SUMPRODUCT((終値!O225:AB225&lt;終値!P225:AC225)*(終値!P225:AC225-終値!O225:AB225))),100))),"強気div▲",IF(AND(終値!E225&gt;終値!O225,$Q225&lt;(IFERROR(100-100/(1+SUMPRODUCT((終値!O225:AB225&gt;終値!P225:AC225)*(終値!O225:AB225-終値!P225:AC225))/SUMPRODUCT((終値!O225:AB225&lt;終値!P225:AC225)*(終値!P225:AC225-終値!O225:AB225))),100))),"弱気div▼","－")))</f>
      </c>
      <c r="T225" s="681">
        <f>IF($D225="","",IF($D225&gt;=$H225,"上walk▲",IF($D225&lt;=$I225,"下walk▼","－")))</f>
      </c>
      <c r="U225" s="681">
        <f>IF(終値!A225="","",BB_スイング!BT225)</f>
      </c>
      <c r="V225" s="689">
        <f>IF($D225="","",IFERROR(出来高!E225/AVERAGE(出来高!E225:I225),""))</f>
      </c>
      <c r="W225" s="690">
        <f>IF($D225="","",IF(AND($D225&gt;$G225,$O225="拡大↑",$L225&lt;=$M225*1.8),"◎スクイーズブレイク買",IF(AND($D225&gt;=$H225,$R225&gt;=BB設定!$B$10),"○順張り継続(walk)",IF(AND($S225="強気div▲",$D225&gt;$I225),"○反発(ダイバ)買",IF($U225="二番底W▲","△二番底買(確)",IF($U225="二番底W形成","△二番底形成",IF($D225&lt;$J225,"▼-2σ割れ危険",IF(AND($D225&gt;$E225,$K225&lt;0.6,$R225&gt;=50),"・押し目注目",IF($N225="スクイーズ★","☆スクイーズ監視","様子見")))))))))</f>
      </c>
      <c r="X225" s="685">
        <f>IF($D225="","",MIN(100,IF($L225&lt;=$M225*1.15,20,IF($L225&lt;=$M225*1.4,10,0))+IF($D225&gt;$G225,20,IF($D225&gt;$H225,12,IF($D225&gt;$E225,5,0)))+IF($O225="拡大↑",10,0)+IF($R225&gt;=80,15,IF($R225&gt;=60,10,IF($R225&gt;=50,5,0)))+IF(AND($Q225&gt;=50,$Q225&lt;=70),10,IF($Q225&gt;70,3,IF($Q225&gt;=40,5,0)))+IF($S225="強気div▲",15,0)+IF($T225="上walk▲",5,0)+IF($V225&gt;=2,5,IF($V225&gt;=1.5,3,0))))</f>
      </c>
      <c r="Y225" s="682">
        <f>IF($D225="","",$D225)</f>
      </c>
      <c r="Z225" s="682">
        <f>IF($D225="","",$H225)</f>
      </c>
      <c r="AA225" s="682">
        <f>IF($D225="","",IF($D225&gt;$E225,$E225,$AD225))</f>
      </c>
      <c r="AB225" s="682">
        <f>IF($D225="","",$G225)</f>
      </c>
      <c r="AC225" s="688">
        <f>IF($D225="","",IF(($Y225-$AA225)&lt;=0,"－",IFERROR(ROUND(MIN(20,($AB225-$Y225)/($Y225-$AA225)),2),"－")))</f>
      </c>
      <c r="AD225" s="682">
        <f>IF($D225="","",MIN(終値!E225:I225))</f>
      </c>
      <c r="AE225" s="684">
        <f>IF($D225="","",$X225+(10000-ROW())/100000)</f>
      </c>
    </row>
    <row r="226">
      <c r="A226" s="681">
        <f>IF(終値!A226="","",HYPERLINK("https://kabutan.jp/stock/?code="&amp;終値!A226,"📈"))</f>
      </c>
      <c r="B226" s="681">
        <f>IF(終値!A226="","",終値!A226)</f>
      </c>
      <c r="C226" s="680">
        <f>IF(終値!A226="","",終値!B226)</f>
      </c>
      <c r="D226" s="682">
        <f>IF(終値!A226="","",終値!E226)</f>
      </c>
      <c r="E226" s="682">
        <f>IF($D226="","",AVERAGE(終値!E226:X226))</f>
      </c>
      <c r="F226" s="683">
        <f>IF($D226="","",STDEVP(終値!E226:X226))</f>
      </c>
      <c r="G226" s="682">
        <f>IF($D226="","",$E226+BB設定!$B$4*$F226)</f>
      </c>
      <c r="H226" s="682">
        <f>IF($D226="","",$E226+BB設定!$B$5*$F226)</f>
      </c>
      <c r="I226" s="682">
        <f>IF($D226="","",$E226-BB設定!$B$5*$F226)</f>
      </c>
      <c r="J226" s="682">
        <f>IF($D226="","",$E226-BB設定!$B$4*$F226)</f>
      </c>
      <c r="K226" s="687">
        <f>IF($D226="","",IFERROR(($D226-$J226)/($G226-$J226),""))</f>
      </c>
      <c r="L226" s="686">
        <f>IF($D226="","",IFERROR(($G226-$J226)/$E226*100,""))</f>
      </c>
      <c r="M226" s="686">
        <f>IF($D226="","",IFERROR(MIN(BB_帯幅!B226:AP226)*100,""))</f>
      </c>
      <c r="N226" s="681">
        <f>IF($L226="","",IF($L226&lt;=$M226*BB設定!$B$7,"スクイーズ★",IF($L226&lt;=$M226*1.3,"収縮","－")))</f>
      </c>
      <c r="O226" s="681">
        <f>IF($D226="","",IF($L226&gt;(4*STDEVP(終値!F226:Y226)/AVERAGE(終値!F226:Y226)*100),"拡大↑","縮小↓"))</f>
      </c>
      <c r="P226" s="681">
        <f>IF($D226="","",IF($D226&gt;$G226,"↑+2σ突破",IF($D226&lt;$J226,"↓-2σ割れ",IF($D226&gt;$H226,"+1σ上",IF($D226&lt;$I226,"-1σ下","バンド内")))))</f>
      </c>
      <c r="Q226" s="684">
        <f>IF($D226="","",IFERROR(100-100/(1+SUMPRODUCT((終値!E226:R226&gt;終値!F226:S226)*(終値!E226:R226-終値!F226:S226))/SUMPRODUCT((終値!E226:R226&lt;終値!F226:S226)*(終値!F226:S226-終値!E226:R226))),100))</f>
      </c>
      <c r="R226" s="684">
        <f>IF($D226="","",IFERROR(100-100/(1+SUMPRODUCT((((高値!E226:R226+安値!E226:R226+終値!E226:R226)/3)&gt;((高値!F226:S226+安値!F226:S226+終値!F226:S226)/3))*((高値!E226:R226+安値!E226:R226+終値!E226:R226)/3)*出来高!E226:R226)/SUMPRODUCT((((高値!E226:R226+安値!E226:R226+終値!E226:R226)/3)&lt;((高値!F226:S226+安値!F226:S226+終値!F226:S226)/3))*((高値!E226:R226+安値!E226:R226+終値!E226:R226)/3)*出来高!E226:R226)),50))</f>
      </c>
      <c r="S226" s="681">
        <f>IF($D226="","",IF(AND(終値!E226&lt;終値!O226,$Q226&gt;(IFERROR(100-100/(1+SUMPRODUCT((終値!O226:AB226&gt;終値!P226:AC226)*(終値!O226:AB226-終値!P226:AC226))/SUMPRODUCT((終値!O226:AB226&lt;終値!P226:AC226)*(終値!P226:AC226-終値!O226:AB226))),100))),"強気div▲",IF(AND(終値!E226&gt;終値!O226,$Q226&lt;(IFERROR(100-100/(1+SUMPRODUCT((終値!O226:AB226&gt;終値!P226:AC226)*(終値!O226:AB226-終値!P226:AC226))/SUMPRODUCT((終値!O226:AB226&lt;終値!P226:AC226)*(終値!P226:AC226-終値!O226:AB226))),100))),"弱気div▼","－")))</f>
      </c>
      <c r="T226" s="681">
        <f>IF($D226="","",IF($D226&gt;=$H226,"上walk▲",IF($D226&lt;=$I226,"下walk▼","－")))</f>
      </c>
      <c r="U226" s="681">
        <f>IF(終値!A226="","",BB_スイング!BT226)</f>
      </c>
      <c r="V226" s="689">
        <f>IF($D226="","",IFERROR(出来高!E226/AVERAGE(出来高!E226:I226),""))</f>
      </c>
      <c r="W226" s="690">
        <f>IF($D226="","",IF(AND($D226&gt;$G226,$O226="拡大↑",$L226&lt;=$M226*1.8),"◎スクイーズブレイク買",IF(AND($D226&gt;=$H226,$R226&gt;=BB設定!$B$10),"○順張り継続(walk)",IF(AND($S226="強気div▲",$D226&gt;$I226),"○反発(ダイバ)買",IF($U226="二番底W▲","△二番底買(確)",IF($U226="二番底W形成","△二番底形成",IF($D226&lt;$J226,"▼-2σ割れ危険",IF(AND($D226&gt;$E226,$K226&lt;0.6,$R226&gt;=50),"・押し目注目",IF($N226="スクイーズ★","☆スクイーズ監視","様子見")))))))))</f>
      </c>
      <c r="X226" s="685">
        <f>IF($D226="","",MIN(100,IF($L226&lt;=$M226*1.15,20,IF($L226&lt;=$M226*1.4,10,0))+IF($D226&gt;$G226,20,IF($D226&gt;$H226,12,IF($D226&gt;$E226,5,0)))+IF($O226="拡大↑",10,0)+IF($R226&gt;=80,15,IF($R226&gt;=60,10,IF($R226&gt;=50,5,0)))+IF(AND($Q226&gt;=50,$Q226&lt;=70),10,IF($Q226&gt;70,3,IF($Q226&gt;=40,5,0)))+IF($S226="強気div▲",15,0)+IF($T226="上walk▲",5,0)+IF($V226&gt;=2,5,IF($V226&gt;=1.5,3,0))))</f>
      </c>
      <c r="Y226" s="682">
        <f>IF($D226="","",$D226)</f>
      </c>
      <c r="Z226" s="682">
        <f>IF($D226="","",$H226)</f>
      </c>
      <c r="AA226" s="682">
        <f>IF($D226="","",IF($D226&gt;$E226,$E226,$AD226))</f>
      </c>
      <c r="AB226" s="682">
        <f>IF($D226="","",$G226)</f>
      </c>
      <c r="AC226" s="688">
        <f>IF($D226="","",IF(($Y226-$AA226)&lt;=0,"－",IFERROR(ROUND(MIN(20,($AB226-$Y226)/($Y226-$AA226)),2),"－")))</f>
      </c>
      <c r="AD226" s="682">
        <f>IF($D226="","",MIN(終値!E226:I226))</f>
      </c>
      <c r="AE226" s="684">
        <f>IF($D226="","",$X226+(10000-ROW())/100000)</f>
      </c>
    </row>
    <row r="227">
      <c r="A227" s="681">
        <f>IF(終値!A227="","",HYPERLINK("https://kabutan.jp/stock/?code="&amp;終値!A227,"📈"))</f>
      </c>
      <c r="B227" s="681">
        <f>IF(終値!A227="","",終値!A227)</f>
      </c>
      <c r="C227" s="680">
        <f>IF(終値!A227="","",終値!B227)</f>
      </c>
      <c r="D227" s="682">
        <f>IF(終値!A227="","",終値!E227)</f>
      </c>
      <c r="E227" s="682">
        <f>IF($D227="","",AVERAGE(終値!E227:X227))</f>
      </c>
      <c r="F227" s="683">
        <f>IF($D227="","",STDEVP(終値!E227:X227))</f>
      </c>
      <c r="G227" s="682">
        <f>IF($D227="","",$E227+BB設定!$B$4*$F227)</f>
      </c>
      <c r="H227" s="682">
        <f>IF($D227="","",$E227+BB設定!$B$5*$F227)</f>
      </c>
      <c r="I227" s="682">
        <f>IF($D227="","",$E227-BB設定!$B$5*$F227)</f>
      </c>
      <c r="J227" s="682">
        <f>IF($D227="","",$E227-BB設定!$B$4*$F227)</f>
      </c>
      <c r="K227" s="687">
        <f>IF($D227="","",IFERROR(($D227-$J227)/($G227-$J227),""))</f>
      </c>
      <c r="L227" s="686">
        <f>IF($D227="","",IFERROR(($G227-$J227)/$E227*100,""))</f>
      </c>
      <c r="M227" s="686">
        <f>IF($D227="","",IFERROR(MIN(BB_帯幅!B227:AP227)*100,""))</f>
      </c>
      <c r="N227" s="681">
        <f>IF($L227="","",IF($L227&lt;=$M227*BB設定!$B$7,"スクイーズ★",IF($L227&lt;=$M227*1.3,"収縮","－")))</f>
      </c>
      <c r="O227" s="681">
        <f>IF($D227="","",IF($L227&gt;(4*STDEVP(終値!F227:Y227)/AVERAGE(終値!F227:Y227)*100),"拡大↑","縮小↓"))</f>
      </c>
      <c r="P227" s="681">
        <f>IF($D227="","",IF($D227&gt;$G227,"↑+2σ突破",IF($D227&lt;$J227,"↓-2σ割れ",IF($D227&gt;$H227,"+1σ上",IF($D227&lt;$I227,"-1σ下","バンド内")))))</f>
      </c>
      <c r="Q227" s="684">
        <f>IF($D227="","",IFERROR(100-100/(1+SUMPRODUCT((終値!E227:R227&gt;終値!F227:S227)*(終値!E227:R227-終値!F227:S227))/SUMPRODUCT((終値!E227:R227&lt;終値!F227:S227)*(終値!F227:S227-終値!E227:R227))),100))</f>
      </c>
      <c r="R227" s="684">
        <f>IF($D227="","",IFERROR(100-100/(1+SUMPRODUCT((((高値!E227:R227+安値!E227:R227+終値!E227:R227)/3)&gt;((高値!F227:S227+安値!F227:S227+終値!F227:S227)/3))*((高値!E227:R227+安値!E227:R227+終値!E227:R227)/3)*出来高!E227:R227)/SUMPRODUCT((((高値!E227:R227+安値!E227:R227+終値!E227:R227)/3)&lt;((高値!F227:S227+安値!F227:S227+終値!F227:S227)/3))*((高値!E227:R227+安値!E227:R227+終値!E227:R227)/3)*出来高!E227:R227)),50))</f>
      </c>
      <c r="S227" s="681">
        <f>IF($D227="","",IF(AND(終値!E227&lt;終値!O227,$Q227&gt;(IFERROR(100-100/(1+SUMPRODUCT((終値!O227:AB227&gt;終値!P227:AC227)*(終値!O227:AB227-終値!P227:AC227))/SUMPRODUCT((終値!O227:AB227&lt;終値!P227:AC227)*(終値!P227:AC227-終値!O227:AB227))),100))),"強気div▲",IF(AND(終値!E227&gt;終値!O227,$Q227&lt;(IFERROR(100-100/(1+SUMPRODUCT((終値!O227:AB227&gt;終値!P227:AC227)*(終値!O227:AB227-終値!P227:AC227))/SUMPRODUCT((終値!O227:AB227&lt;終値!P227:AC227)*(終値!P227:AC227-終値!O227:AB227))),100))),"弱気div▼","－")))</f>
      </c>
      <c r="T227" s="681">
        <f>IF($D227="","",IF($D227&gt;=$H227,"上walk▲",IF($D227&lt;=$I227,"下walk▼","－")))</f>
      </c>
      <c r="U227" s="681">
        <f>IF(終値!A227="","",BB_スイング!BT227)</f>
      </c>
      <c r="V227" s="689">
        <f>IF($D227="","",IFERROR(出来高!E227/AVERAGE(出来高!E227:I227),""))</f>
      </c>
      <c r="W227" s="690">
        <f>IF($D227="","",IF(AND($D227&gt;$G227,$O227="拡大↑",$L227&lt;=$M227*1.8),"◎スクイーズブレイク買",IF(AND($D227&gt;=$H227,$R227&gt;=BB設定!$B$10),"○順張り継続(walk)",IF(AND($S227="強気div▲",$D227&gt;$I227),"○反発(ダイバ)買",IF($U227="二番底W▲","△二番底買(確)",IF($U227="二番底W形成","△二番底形成",IF($D227&lt;$J227,"▼-2σ割れ危険",IF(AND($D227&gt;$E227,$K227&lt;0.6,$R227&gt;=50),"・押し目注目",IF($N227="スクイーズ★","☆スクイーズ監視","様子見")))))))))</f>
      </c>
      <c r="X227" s="685">
        <f>IF($D227="","",MIN(100,IF($L227&lt;=$M227*1.15,20,IF($L227&lt;=$M227*1.4,10,0))+IF($D227&gt;$G227,20,IF($D227&gt;$H227,12,IF($D227&gt;$E227,5,0)))+IF($O227="拡大↑",10,0)+IF($R227&gt;=80,15,IF($R227&gt;=60,10,IF($R227&gt;=50,5,0)))+IF(AND($Q227&gt;=50,$Q227&lt;=70),10,IF($Q227&gt;70,3,IF($Q227&gt;=40,5,0)))+IF($S227="強気div▲",15,0)+IF($T227="上walk▲",5,0)+IF($V227&gt;=2,5,IF($V227&gt;=1.5,3,0))))</f>
      </c>
      <c r="Y227" s="682">
        <f>IF($D227="","",$D227)</f>
      </c>
      <c r="Z227" s="682">
        <f>IF($D227="","",$H227)</f>
      </c>
      <c r="AA227" s="682">
        <f>IF($D227="","",IF($D227&gt;$E227,$E227,$AD227))</f>
      </c>
      <c r="AB227" s="682">
        <f>IF($D227="","",$G227)</f>
      </c>
      <c r="AC227" s="688">
        <f>IF($D227="","",IF(($Y227-$AA227)&lt;=0,"－",IFERROR(ROUND(MIN(20,($AB227-$Y227)/($Y227-$AA227)),2),"－")))</f>
      </c>
      <c r="AD227" s="682">
        <f>IF($D227="","",MIN(終値!E227:I227))</f>
      </c>
      <c r="AE227" s="684">
        <f>IF($D227="","",$X227+(10000-ROW())/100000)</f>
      </c>
    </row>
    <row r="228">
      <c r="A228" s="681">
        <f>IF(終値!A228="","",HYPERLINK("https://kabutan.jp/stock/?code="&amp;終値!A228,"📈"))</f>
      </c>
      <c r="B228" s="681">
        <f>IF(終値!A228="","",終値!A228)</f>
      </c>
      <c r="C228" s="680">
        <f>IF(終値!A228="","",終値!B228)</f>
      </c>
      <c r="D228" s="682">
        <f>IF(終値!A228="","",終値!E228)</f>
      </c>
      <c r="E228" s="682">
        <f>IF($D228="","",AVERAGE(終値!E228:X228))</f>
      </c>
      <c r="F228" s="683">
        <f>IF($D228="","",STDEVP(終値!E228:X228))</f>
      </c>
      <c r="G228" s="682">
        <f>IF($D228="","",$E228+BB設定!$B$4*$F228)</f>
      </c>
      <c r="H228" s="682">
        <f>IF($D228="","",$E228+BB設定!$B$5*$F228)</f>
      </c>
      <c r="I228" s="682">
        <f>IF($D228="","",$E228-BB設定!$B$5*$F228)</f>
      </c>
      <c r="J228" s="682">
        <f>IF($D228="","",$E228-BB設定!$B$4*$F228)</f>
      </c>
      <c r="K228" s="687">
        <f>IF($D228="","",IFERROR(($D228-$J228)/($G228-$J228),""))</f>
      </c>
      <c r="L228" s="686">
        <f>IF($D228="","",IFERROR(($G228-$J228)/$E228*100,""))</f>
      </c>
      <c r="M228" s="686">
        <f>IF($D228="","",IFERROR(MIN(BB_帯幅!B228:AP228)*100,""))</f>
      </c>
      <c r="N228" s="681">
        <f>IF($L228="","",IF($L228&lt;=$M228*BB設定!$B$7,"スクイーズ★",IF($L228&lt;=$M228*1.3,"収縮","－")))</f>
      </c>
      <c r="O228" s="681">
        <f>IF($D228="","",IF($L228&gt;(4*STDEVP(終値!F228:Y228)/AVERAGE(終値!F228:Y228)*100),"拡大↑","縮小↓"))</f>
      </c>
      <c r="P228" s="681">
        <f>IF($D228="","",IF($D228&gt;$G228,"↑+2σ突破",IF($D228&lt;$J228,"↓-2σ割れ",IF($D228&gt;$H228,"+1σ上",IF($D228&lt;$I228,"-1σ下","バンド内")))))</f>
      </c>
      <c r="Q228" s="684">
        <f>IF($D228="","",IFERROR(100-100/(1+SUMPRODUCT((終値!E228:R228&gt;終値!F228:S228)*(終値!E228:R228-終値!F228:S228))/SUMPRODUCT((終値!E228:R228&lt;終値!F228:S228)*(終値!F228:S228-終値!E228:R228))),100))</f>
      </c>
      <c r="R228" s="684">
        <f>IF($D228="","",IFERROR(100-100/(1+SUMPRODUCT((((高値!E228:R228+安値!E228:R228+終値!E228:R228)/3)&gt;((高値!F228:S228+安値!F228:S228+終値!F228:S228)/3))*((高値!E228:R228+安値!E228:R228+終値!E228:R228)/3)*出来高!E228:R228)/SUMPRODUCT((((高値!E228:R228+安値!E228:R228+終値!E228:R228)/3)&lt;((高値!F228:S228+安値!F228:S228+終値!F228:S228)/3))*((高値!E228:R228+安値!E228:R228+終値!E228:R228)/3)*出来高!E228:R228)),50))</f>
      </c>
      <c r="S228" s="681">
        <f>IF($D228="","",IF(AND(終値!E228&lt;終値!O228,$Q228&gt;(IFERROR(100-100/(1+SUMPRODUCT((終値!O228:AB228&gt;終値!P228:AC228)*(終値!O228:AB228-終値!P228:AC228))/SUMPRODUCT((終値!O228:AB228&lt;終値!P228:AC228)*(終値!P228:AC228-終値!O228:AB228))),100))),"強気div▲",IF(AND(終値!E228&gt;終値!O228,$Q228&lt;(IFERROR(100-100/(1+SUMPRODUCT((終値!O228:AB228&gt;終値!P228:AC228)*(終値!O228:AB228-終値!P228:AC228))/SUMPRODUCT((終値!O228:AB228&lt;終値!P228:AC228)*(終値!P228:AC228-終値!O228:AB228))),100))),"弱気div▼","－")))</f>
      </c>
      <c r="T228" s="681">
        <f>IF($D228="","",IF($D228&gt;=$H228,"上walk▲",IF($D228&lt;=$I228,"下walk▼","－")))</f>
      </c>
      <c r="U228" s="681">
        <f>IF(終値!A228="","",BB_スイング!BT228)</f>
      </c>
      <c r="V228" s="689">
        <f>IF($D228="","",IFERROR(出来高!E228/AVERAGE(出来高!E228:I228),""))</f>
      </c>
      <c r="W228" s="690">
        <f>IF($D228="","",IF(AND($D228&gt;$G228,$O228="拡大↑",$L228&lt;=$M228*1.8),"◎スクイーズブレイク買",IF(AND($D228&gt;=$H228,$R228&gt;=BB設定!$B$10),"○順張り継続(walk)",IF(AND($S228="強気div▲",$D228&gt;$I228),"○反発(ダイバ)買",IF($U228="二番底W▲","△二番底買(確)",IF($U228="二番底W形成","△二番底形成",IF($D228&lt;$J228,"▼-2σ割れ危険",IF(AND($D228&gt;$E228,$K228&lt;0.6,$R228&gt;=50),"・押し目注目",IF($N228="スクイーズ★","☆スクイーズ監視","様子見")))))))))</f>
      </c>
      <c r="X228" s="685">
        <f>IF($D228="","",MIN(100,IF($L228&lt;=$M228*1.15,20,IF($L228&lt;=$M228*1.4,10,0))+IF($D228&gt;$G228,20,IF($D228&gt;$H228,12,IF($D228&gt;$E228,5,0)))+IF($O228="拡大↑",10,0)+IF($R228&gt;=80,15,IF($R228&gt;=60,10,IF($R228&gt;=50,5,0)))+IF(AND($Q228&gt;=50,$Q228&lt;=70),10,IF($Q228&gt;70,3,IF($Q228&gt;=40,5,0)))+IF($S228="強気div▲",15,0)+IF($T228="上walk▲",5,0)+IF($V228&gt;=2,5,IF($V228&gt;=1.5,3,0))))</f>
      </c>
      <c r="Y228" s="682">
        <f>IF($D228="","",$D228)</f>
      </c>
      <c r="Z228" s="682">
        <f>IF($D228="","",$H228)</f>
      </c>
      <c r="AA228" s="682">
        <f>IF($D228="","",IF($D228&gt;$E228,$E228,$AD228))</f>
      </c>
      <c r="AB228" s="682">
        <f>IF($D228="","",$G228)</f>
      </c>
      <c r="AC228" s="688">
        <f>IF($D228="","",IF(($Y228-$AA228)&lt;=0,"－",IFERROR(ROUND(MIN(20,($AB228-$Y228)/($Y228-$AA228)),2),"－")))</f>
      </c>
      <c r="AD228" s="682">
        <f>IF($D228="","",MIN(終値!E228:I228))</f>
      </c>
      <c r="AE228" s="684">
        <f>IF($D228="","",$X228+(10000-ROW())/100000)</f>
      </c>
    </row>
    <row r="229">
      <c r="A229" s="681">
        <f>IF(終値!A229="","",HYPERLINK("https://kabutan.jp/stock/?code="&amp;終値!A229,"📈"))</f>
      </c>
      <c r="B229" s="681">
        <f>IF(終値!A229="","",終値!A229)</f>
      </c>
      <c r="C229" s="680">
        <f>IF(終値!A229="","",終値!B229)</f>
      </c>
      <c r="D229" s="682">
        <f>IF(終値!A229="","",終値!E229)</f>
      </c>
      <c r="E229" s="682">
        <f>IF($D229="","",AVERAGE(終値!E229:X229))</f>
      </c>
      <c r="F229" s="683">
        <f>IF($D229="","",STDEVP(終値!E229:X229))</f>
      </c>
      <c r="G229" s="682">
        <f>IF($D229="","",$E229+BB設定!$B$4*$F229)</f>
      </c>
      <c r="H229" s="682">
        <f>IF($D229="","",$E229+BB設定!$B$5*$F229)</f>
      </c>
      <c r="I229" s="682">
        <f>IF($D229="","",$E229-BB設定!$B$5*$F229)</f>
      </c>
      <c r="J229" s="682">
        <f>IF($D229="","",$E229-BB設定!$B$4*$F229)</f>
      </c>
      <c r="K229" s="687">
        <f>IF($D229="","",IFERROR(($D229-$J229)/($G229-$J229),""))</f>
      </c>
      <c r="L229" s="686">
        <f>IF($D229="","",IFERROR(($G229-$J229)/$E229*100,""))</f>
      </c>
      <c r="M229" s="686">
        <f>IF($D229="","",IFERROR(MIN(BB_帯幅!B229:AP229)*100,""))</f>
      </c>
      <c r="N229" s="681">
        <f>IF($L229="","",IF($L229&lt;=$M229*BB設定!$B$7,"スクイーズ★",IF($L229&lt;=$M229*1.3,"収縮","－")))</f>
      </c>
      <c r="O229" s="681">
        <f>IF($D229="","",IF($L229&gt;(4*STDEVP(終値!F229:Y229)/AVERAGE(終値!F229:Y229)*100),"拡大↑","縮小↓"))</f>
      </c>
      <c r="P229" s="681">
        <f>IF($D229="","",IF($D229&gt;$G229,"↑+2σ突破",IF($D229&lt;$J229,"↓-2σ割れ",IF($D229&gt;$H229,"+1σ上",IF($D229&lt;$I229,"-1σ下","バンド内")))))</f>
      </c>
      <c r="Q229" s="684">
        <f>IF($D229="","",IFERROR(100-100/(1+SUMPRODUCT((終値!E229:R229&gt;終値!F229:S229)*(終値!E229:R229-終値!F229:S229))/SUMPRODUCT((終値!E229:R229&lt;終値!F229:S229)*(終値!F229:S229-終値!E229:R229))),100))</f>
      </c>
      <c r="R229" s="684">
        <f>IF($D229="","",IFERROR(100-100/(1+SUMPRODUCT((((高値!E229:R229+安値!E229:R229+終値!E229:R229)/3)&gt;((高値!F229:S229+安値!F229:S229+終値!F229:S229)/3))*((高値!E229:R229+安値!E229:R229+終値!E229:R229)/3)*出来高!E229:R229)/SUMPRODUCT((((高値!E229:R229+安値!E229:R229+終値!E229:R229)/3)&lt;((高値!F229:S229+安値!F229:S229+終値!F229:S229)/3))*((高値!E229:R229+安値!E229:R229+終値!E229:R229)/3)*出来高!E229:R229)),50))</f>
      </c>
      <c r="S229" s="681">
        <f>IF($D229="","",IF(AND(終値!E229&lt;終値!O229,$Q229&gt;(IFERROR(100-100/(1+SUMPRODUCT((終値!O229:AB229&gt;終値!P229:AC229)*(終値!O229:AB229-終値!P229:AC229))/SUMPRODUCT((終値!O229:AB229&lt;終値!P229:AC229)*(終値!P229:AC229-終値!O229:AB229))),100))),"強気div▲",IF(AND(終値!E229&gt;終値!O229,$Q229&lt;(IFERROR(100-100/(1+SUMPRODUCT((終値!O229:AB229&gt;終値!P229:AC229)*(終値!O229:AB229-終値!P229:AC229))/SUMPRODUCT((終値!O229:AB229&lt;終値!P229:AC229)*(終値!P229:AC229-終値!O229:AB229))),100))),"弱気div▼","－")))</f>
      </c>
      <c r="T229" s="681">
        <f>IF($D229="","",IF($D229&gt;=$H229,"上walk▲",IF($D229&lt;=$I229,"下walk▼","－")))</f>
      </c>
      <c r="U229" s="681">
        <f>IF(終値!A229="","",BB_スイング!BT229)</f>
      </c>
      <c r="V229" s="689">
        <f>IF($D229="","",IFERROR(出来高!E229/AVERAGE(出来高!E229:I229),""))</f>
      </c>
      <c r="W229" s="690">
        <f>IF($D229="","",IF(AND($D229&gt;$G229,$O229="拡大↑",$L229&lt;=$M229*1.8),"◎スクイーズブレイク買",IF(AND($D229&gt;=$H229,$R229&gt;=BB設定!$B$10),"○順張り継続(walk)",IF(AND($S229="強気div▲",$D229&gt;$I229),"○反発(ダイバ)買",IF($U229="二番底W▲","△二番底買(確)",IF($U229="二番底W形成","△二番底形成",IF($D229&lt;$J229,"▼-2σ割れ危険",IF(AND($D229&gt;$E229,$K229&lt;0.6,$R229&gt;=50),"・押し目注目",IF($N229="スクイーズ★","☆スクイーズ監視","様子見")))))))))</f>
      </c>
      <c r="X229" s="685">
        <f>IF($D229="","",MIN(100,IF($L229&lt;=$M229*1.15,20,IF($L229&lt;=$M229*1.4,10,0))+IF($D229&gt;$G229,20,IF($D229&gt;$H229,12,IF($D229&gt;$E229,5,0)))+IF($O229="拡大↑",10,0)+IF($R229&gt;=80,15,IF($R229&gt;=60,10,IF($R229&gt;=50,5,0)))+IF(AND($Q229&gt;=50,$Q229&lt;=70),10,IF($Q229&gt;70,3,IF($Q229&gt;=40,5,0)))+IF($S229="強気div▲",15,0)+IF($T229="上walk▲",5,0)+IF($V229&gt;=2,5,IF($V229&gt;=1.5,3,0))))</f>
      </c>
      <c r="Y229" s="682">
        <f>IF($D229="","",$D229)</f>
      </c>
      <c r="Z229" s="682">
        <f>IF($D229="","",$H229)</f>
      </c>
      <c r="AA229" s="682">
        <f>IF($D229="","",IF($D229&gt;$E229,$E229,$AD229))</f>
      </c>
      <c r="AB229" s="682">
        <f>IF($D229="","",$G229)</f>
      </c>
      <c r="AC229" s="688">
        <f>IF($D229="","",IF(($Y229-$AA229)&lt;=0,"－",IFERROR(ROUND(MIN(20,($AB229-$Y229)/($Y229-$AA229)),2),"－")))</f>
      </c>
      <c r="AD229" s="682">
        <f>IF($D229="","",MIN(終値!E229:I229))</f>
      </c>
      <c r="AE229" s="684">
        <f>IF($D229="","",$X229+(10000-ROW())/100000)</f>
      </c>
    </row>
    <row r="230">
      <c r="A230" s="681">
        <f>IF(終値!A230="","",HYPERLINK("https://kabutan.jp/stock/?code="&amp;終値!A230,"📈"))</f>
      </c>
      <c r="B230" s="681">
        <f>IF(終値!A230="","",終値!A230)</f>
      </c>
      <c r="C230" s="680">
        <f>IF(終値!A230="","",終値!B230)</f>
      </c>
      <c r="D230" s="682">
        <f>IF(終値!A230="","",終値!E230)</f>
      </c>
      <c r="E230" s="682">
        <f>IF($D230="","",AVERAGE(終値!E230:X230))</f>
      </c>
      <c r="F230" s="683">
        <f>IF($D230="","",STDEVP(終値!E230:X230))</f>
      </c>
      <c r="G230" s="682">
        <f>IF($D230="","",$E230+BB設定!$B$4*$F230)</f>
      </c>
      <c r="H230" s="682">
        <f>IF($D230="","",$E230+BB設定!$B$5*$F230)</f>
      </c>
      <c r="I230" s="682">
        <f>IF($D230="","",$E230-BB設定!$B$5*$F230)</f>
      </c>
      <c r="J230" s="682">
        <f>IF($D230="","",$E230-BB設定!$B$4*$F230)</f>
      </c>
      <c r="K230" s="687">
        <f>IF($D230="","",IFERROR(($D230-$J230)/($G230-$J230),""))</f>
      </c>
      <c r="L230" s="686">
        <f>IF($D230="","",IFERROR(($G230-$J230)/$E230*100,""))</f>
      </c>
      <c r="M230" s="686">
        <f>IF($D230="","",IFERROR(MIN(BB_帯幅!B230:AP230)*100,""))</f>
      </c>
      <c r="N230" s="681">
        <f>IF($L230="","",IF($L230&lt;=$M230*BB設定!$B$7,"スクイーズ★",IF($L230&lt;=$M230*1.3,"収縮","－")))</f>
      </c>
      <c r="O230" s="681">
        <f>IF($D230="","",IF($L230&gt;(4*STDEVP(終値!F230:Y230)/AVERAGE(終値!F230:Y230)*100),"拡大↑","縮小↓"))</f>
      </c>
      <c r="P230" s="681">
        <f>IF($D230="","",IF($D230&gt;$G230,"↑+2σ突破",IF($D230&lt;$J230,"↓-2σ割れ",IF($D230&gt;$H230,"+1σ上",IF($D230&lt;$I230,"-1σ下","バンド内")))))</f>
      </c>
      <c r="Q230" s="684">
        <f>IF($D230="","",IFERROR(100-100/(1+SUMPRODUCT((終値!E230:R230&gt;終値!F230:S230)*(終値!E230:R230-終値!F230:S230))/SUMPRODUCT((終値!E230:R230&lt;終値!F230:S230)*(終値!F230:S230-終値!E230:R230))),100))</f>
      </c>
      <c r="R230" s="684">
        <f>IF($D230="","",IFERROR(100-100/(1+SUMPRODUCT((((高値!E230:R230+安値!E230:R230+終値!E230:R230)/3)&gt;((高値!F230:S230+安値!F230:S230+終値!F230:S230)/3))*((高値!E230:R230+安値!E230:R230+終値!E230:R230)/3)*出来高!E230:R230)/SUMPRODUCT((((高値!E230:R230+安値!E230:R230+終値!E230:R230)/3)&lt;((高値!F230:S230+安値!F230:S230+終値!F230:S230)/3))*((高値!E230:R230+安値!E230:R230+終値!E230:R230)/3)*出来高!E230:R230)),50))</f>
      </c>
      <c r="S230" s="681">
        <f>IF($D230="","",IF(AND(終値!E230&lt;終値!O230,$Q230&gt;(IFERROR(100-100/(1+SUMPRODUCT((終値!O230:AB230&gt;終値!P230:AC230)*(終値!O230:AB230-終値!P230:AC230))/SUMPRODUCT((終値!O230:AB230&lt;終値!P230:AC230)*(終値!P230:AC230-終値!O230:AB230))),100))),"強気div▲",IF(AND(終値!E230&gt;終値!O230,$Q230&lt;(IFERROR(100-100/(1+SUMPRODUCT((終値!O230:AB230&gt;終値!P230:AC230)*(終値!O230:AB230-終値!P230:AC230))/SUMPRODUCT((終値!O230:AB230&lt;終値!P230:AC230)*(終値!P230:AC230-終値!O230:AB230))),100))),"弱気div▼","－")))</f>
      </c>
      <c r="T230" s="681">
        <f>IF($D230="","",IF($D230&gt;=$H230,"上walk▲",IF($D230&lt;=$I230,"下walk▼","－")))</f>
      </c>
      <c r="U230" s="681">
        <f>IF(終値!A230="","",BB_スイング!BT230)</f>
      </c>
      <c r="V230" s="689">
        <f>IF($D230="","",IFERROR(出来高!E230/AVERAGE(出来高!E230:I230),""))</f>
      </c>
      <c r="W230" s="690">
        <f>IF($D230="","",IF(AND($D230&gt;$G230,$O230="拡大↑",$L230&lt;=$M230*1.8),"◎スクイーズブレイク買",IF(AND($D230&gt;=$H230,$R230&gt;=BB設定!$B$10),"○順張り継続(walk)",IF(AND($S230="強気div▲",$D230&gt;$I230),"○反発(ダイバ)買",IF($U230="二番底W▲","△二番底買(確)",IF($U230="二番底W形成","△二番底形成",IF($D230&lt;$J230,"▼-2σ割れ危険",IF(AND($D230&gt;$E230,$K230&lt;0.6,$R230&gt;=50),"・押し目注目",IF($N230="スクイーズ★","☆スクイーズ監視","様子見")))))))))</f>
      </c>
      <c r="X230" s="685">
        <f>IF($D230="","",MIN(100,IF($L230&lt;=$M230*1.15,20,IF($L230&lt;=$M230*1.4,10,0))+IF($D230&gt;$G230,20,IF($D230&gt;$H230,12,IF($D230&gt;$E230,5,0)))+IF($O230="拡大↑",10,0)+IF($R230&gt;=80,15,IF($R230&gt;=60,10,IF($R230&gt;=50,5,0)))+IF(AND($Q230&gt;=50,$Q230&lt;=70),10,IF($Q230&gt;70,3,IF($Q230&gt;=40,5,0)))+IF($S230="強気div▲",15,0)+IF($T230="上walk▲",5,0)+IF($V230&gt;=2,5,IF($V230&gt;=1.5,3,0))))</f>
      </c>
      <c r="Y230" s="682">
        <f>IF($D230="","",$D230)</f>
      </c>
      <c r="Z230" s="682">
        <f>IF($D230="","",$H230)</f>
      </c>
      <c r="AA230" s="682">
        <f>IF($D230="","",IF($D230&gt;$E230,$E230,$AD230))</f>
      </c>
      <c r="AB230" s="682">
        <f>IF($D230="","",$G230)</f>
      </c>
      <c r="AC230" s="688">
        <f>IF($D230="","",IF(($Y230-$AA230)&lt;=0,"－",IFERROR(ROUND(MIN(20,($AB230-$Y230)/($Y230-$AA230)),2),"－")))</f>
      </c>
      <c r="AD230" s="682">
        <f>IF($D230="","",MIN(終値!E230:I230))</f>
      </c>
      <c r="AE230" s="684">
        <f>IF($D230="","",$X230+(10000-ROW())/100000)</f>
      </c>
    </row>
    <row r="231">
      <c r="A231" s="681">
        <f>IF(終値!A231="","",HYPERLINK("https://kabutan.jp/stock/?code="&amp;終値!A231,"📈"))</f>
      </c>
      <c r="B231" s="681">
        <f>IF(終値!A231="","",終値!A231)</f>
      </c>
      <c r="C231" s="680">
        <f>IF(終値!A231="","",終値!B231)</f>
      </c>
      <c r="D231" s="682">
        <f>IF(終値!A231="","",終値!E231)</f>
      </c>
      <c r="E231" s="682">
        <f>IF($D231="","",AVERAGE(終値!E231:X231))</f>
      </c>
      <c r="F231" s="683">
        <f>IF($D231="","",STDEVP(終値!E231:X231))</f>
      </c>
      <c r="G231" s="682">
        <f>IF($D231="","",$E231+BB設定!$B$4*$F231)</f>
      </c>
      <c r="H231" s="682">
        <f>IF($D231="","",$E231+BB設定!$B$5*$F231)</f>
      </c>
      <c r="I231" s="682">
        <f>IF($D231="","",$E231-BB設定!$B$5*$F231)</f>
      </c>
      <c r="J231" s="682">
        <f>IF($D231="","",$E231-BB設定!$B$4*$F231)</f>
      </c>
      <c r="K231" s="687">
        <f>IF($D231="","",IFERROR(($D231-$J231)/($G231-$J231),""))</f>
      </c>
      <c r="L231" s="686">
        <f>IF($D231="","",IFERROR(($G231-$J231)/$E231*100,""))</f>
      </c>
      <c r="M231" s="686">
        <f>IF($D231="","",IFERROR(MIN(BB_帯幅!B231:AP231)*100,""))</f>
      </c>
      <c r="N231" s="681">
        <f>IF($L231="","",IF($L231&lt;=$M231*BB設定!$B$7,"スクイーズ★",IF($L231&lt;=$M231*1.3,"収縮","－")))</f>
      </c>
      <c r="O231" s="681">
        <f>IF($D231="","",IF($L231&gt;(4*STDEVP(終値!F231:Y231)/AVERAGE(終値!F231:Y231)*100),"拡大↑","縮小↓"))</f>
      </c>
      <c r="P231" s="681">
        <f>IF($D231="","",IF($D231&gt;$G231,"↑+2σ突破",IF($D231&lt;$J231,"↓-2σ割れ",IF($D231&gt;$H231,"+1σ上",IF($D231&lt;$I231,"-1σ下","バンド内")))))</f>
      </c>
      <c r="Q231" s="684">
        <f>IF($D231="","",IFERROR(100-100/(1+SUMPRODUCT((終値!E231:R231&gt;終値!F231:S231)*(終値!E231:R231-終値!F231:S231))/SUMPRODUCT((終値!E231:R231&lt;終値!F231:S231)*(終値!F231:S231-終値!E231:R231))),100))</f>
      </c>
      <c r="R231" s="684">
        <f>IF($D231="","",IFERROR(100-100/(1+SUMPRODUCT((((高値!E231:R231+安値!E231:R231+終値!E231:R231)/3)&gt;((高値!F231:S231+安値!F231:S231+終値!F231:S231)/3))*((高値!E231:R231+安値!E231:R231+終値!E231:R231)/3)*出来高!E231:R231)/SUMPRODUCT((((高値!E231:R231+安値!E231:R231+終値!E231:R231)/3)&lt;((高値!F231:S231+安値!F231:S231+終値!F231:S231)/3))*((高値!E231:R231+安値!E231:R231+終値!E231:R231)/3)*出来高!E231:R231)),50))</f>
      </c>
      <c r="S231" s="681">
        <f>IF($D231="","",IF(AND(終値!E231&lt;終値!O231,$Q231&gt;(IFERROR(100-100/(1+SUMPRODUCT((終値!O231:AB231&gt;終値!P231:AC231)*(終値!O231:AB231-終値!P231:AC231))/SUMPRODUCT((終値!O231:AB231&lt;終値!P231:AC231)*(終値!P231:AC231-終値!O231:AB231))),100))),"強気div▲",IF(AND(終値!E231&gt;終値!O231,$Q231&lt;(IFERROR(100-100/(1+SUMPRODUCT((終値!O231:AB231&gt;終値!P231:AC231)*(終値!O231:AB231-終値!P231:AC231))/SUMPRODUCT((終値!O231:AB231&lt;終値!P231:AC231)*(終値!P231:AC231-終値!O231:AB231))),100))),"弱気div▼","－")))</f>
      </c>
      <c r="T231" s="681">
        <f>IF($D231="","",IF($D231&gt;=$H231,"上walk▲",IF($D231&lt;=$I231,"下walk▼","－")))</f>
      </c>
      <c r="U231" s="681">
        <f>IF(終値!A231="","",BB_スイング!BT231)</f>
      </c>
      <c r="V231" s="689">
        <f>IF($D231="","",IFERROR(出来高!E231/AVERAGE(出来高!E231:I231),""))</f>
      </c>
      <c r="W231" s="690">
        <f>IF($D231="","",IF(AND($D231&gt;$G231,$O231="拡大↑",$L231&lt;=$M231*1.8),"◎スクイーズブレイク買",IF(AND($D231&gt;=$H231,$R231&gt;=BB設定!$B$10),"○順張り継続(walk)",IF(AND($S231="強気div▲",$D231&gt;$I231),"○反発(ダイバ)買",IF($U231="二番底W▲","△二番底買(確)",IF($U231="二番底W形成","△二番底形成",IF($D231&lt;$J231,"▼-2σ割れ危険",IF(AND($D231&gt;$E231,$K231&lt;0.6,$R231&gt;=50),"・押し目注目",IF($N231="スクイーズ★","☆スクイーズ監視","様子見")))))))))</f>
      </c>
      <c r="X231" s="685">
        <f>IF($D231="","",MIN(100,IF($L231&lt;=$M231*1.15,20,IF($L231&lt;=$M231*1.4,10,0))+IF($D231&gt;$G231,20,IF($D231&gt;$H231,12,IF($D231&gt;$E231,5,0)))+IF($O231="拡大↑",10,0)+IF($R231&gt;=80,15,IF($R231&gt;=60,10,IF($R231&gt;=50,5,0)))+IF(AND($Q231&gt;=50,$Q231&lt;=70),10,IF($Q231&gt;70,3,IF($Q231&gt;=40,5,0)))+IF($S231="強気div▲",15,0)+IF($T231="上walk▲",5,0)+IF($V231&gt;=2,5,IF($V231&gt;=1.5,3,0))))</f>
      </c>
      <c r="Y231" s="682">
        <f>IF($D231="","",$D231)</f>
      </c>
      <c r="Z231" s="682">
        <f>IF($D231="","",$H231)</f>
      </c>
      <c r="AA231" s="682">
        <f>IF($D231="","",IF($D231&gt;$E231,$E231,$AD231))</f>
      </c>
      <c r="AB231" s="682">
        <f>IF($D231="","",$G231)</f>
      </c>
      <c r="AC231" s="688">
        <f>IF($D231="","",IF(($Y231-$AA231)&lt;=0,"－",IFERROR(ROUND(MIN(20,($AB231-$Y231)/($Y231-$AA231)),2),"－")))</f>
      </c>
      <c r="AD231" s="682">
        <f>IF($D231="","",MIN(終値!E231:I231))</f>
      </c>
      <c r="AE231" s="684">
        <f>IF($D231="","",$X231+(10000-ROW())/100000)</f>
      </c>
    </row>
    <row r="232">
      <c r="A232" s="681">
        <f>IF(終値!A232="","",HYPERLINK("https://kabutan.jp/stock/?code="&amp;終値!A232,"📈"))</f>
      </c>
      <c r="B232" s="681">
        <f>IF(終値!A232="","",終値!A232)</f>
      </c>
      <c r="C232" s="680">
        <f>IF(終値!A232="","",終値!B232)</f>
      </c>
      <c r="D232" s="682">
        <f>IF(終値!A232="","",終値!E232)</f>
      </c>
      <c r="E232" s="682">
        <f>IF($D232="","",AVERAGE(終値!E232:X232))</f>
      </c>
      <c r="F232" s="683">
        <f>IF($D232="","",STDEVP(終値!E232:X232))</f>
      </c>
      <c r="G232" s="682">
        <f>IF($D232="","",$E232+BB設定!$B$4*$F232)</f>
      </c>
      <c r="H232" s="682">
        <f>IF($D232="","",$E232+BB設定!$B$5*$F232)</f>
      </c>
      <c r="I232" s="682">
        <f>IF($D232="","",$E232-BB設定!$B$5*$F232)</f>
      </c>
      <c r="J232" s="682">
        <f>IF($D232="","",$E232-BB設定!$B$4*$F232)</f>
      </c>
      <c r="K232" s="687">
        <f>IF($D232="","",IFERROR(($D232-$J232)/($G232-$J232),""))</f>
      </c>
      <c r="L232" s="686">
        <f>IF($D232="","",IFERROR(($G232-$J232)/$E232*100,""))</f>
      </c>
      <c r="M232" s="686">
        <f>IF($D232="","",IFERROR(MIN(BB_帯幅!B232:AP232)*100,""))</f>
      </c>
      <c r="N232" s="681">
        <f>IF($L232="","",IF($L232&lt;=$M232*BB設定!$B$7,"スクイーズ★",IF($L232&lt;=$M232*1.3,"収縮","－")))</f>
      </c>
      <c r="O232" s="681">
        <f>IF($D232="","",IF($L232&gt;(4*STDEVP(終値!F232:Y232)/AVERAGE(終値!F232:Y232)*100),"拡大↑","縮小↓"))</f>
      </c>
      <c r="P232" s="681">
        <f>IF($D232="","",IF($D232&gt;$G232,"↑+2σ突破",IF($D232&lt;$J232,"↓-2σ割れ",IF($D232&gt;$H232,"+1σ上",IF($D232&lt;$I232,"-1σ下","バンド内")))))</f>
      </c>
      <c r="Q232" s="684">
        <f>IF($D232="","",IFERROR(100-100/(1+SUMPRODUCT((終値!E232:R232&gt;終値!F232:S232)*(終値!E232:R232-終値!F232:S232))/SUMPRODUCT((終値!E232:R232&lt;終値!F232:S232)*(終値!F232:S232-終値!E232:R232))),100))</f>
      </c>
      <c r="R232" s="684">
        <f>IF($D232="","",IFERROR(100-100/(1+SUMPRODUCT((((高値!E232:R232+安値!E232:R232+終値!E232:R232)/3)&gt;((高値!F232:S232+安値!F232:S232+終値!F232:S232)/3))*((高値!E232:R232+安値!E232:R232+終値!E232:R232)/3)*出来高!E232:R232)/SUMPRODUCT((((高値!E232:R232+安値!E232:R232+終値!E232:R232)/3)&lt;((高値!F232:S232+安値!F232:S232+終値!F232:S232)/3))*((高値!E232:R232+安値!E232:R232+終値!E232:R232)/3)*出来高!E232:R232)),50))</f>
      </c>
      <c r="S232" s="681">
        <f>IF($D232="","",IF(AND(終値!E232&lt;終値!O232,$Q232&gt;(IFERROR(100-100/(1+SUMPRODUCT((終値!O232:AB232&gt;終値!P232:AC232)*(終値!O232:AB232-終値!P232:AC232))/SUMPRODUCT((終値!O232:AB232&lt;終値!P232:AC232)*(終値!P232:AC232-終値!O232:AB232))),100))),"強気div▲",IF(AND(終値!E232&gt;終値!O232,$Q232&lt;(IFERROR(100-100/(1+SUMPRODUCT((終値!O232:AB232&gt;終値!P232:AC232)*(終値!O232:AB232-終値!P232:AC232))/SUMPRODUCT((終値!O232:AB232&lt;終値!P232:AC232)*(終値!P232:AC232-終値!O232:AB232))),100))),"弱気div▼","－")))</f>
      </c>
      <c r="T232" s="681">
        <f>IF($D232="","",IF($D232&gt;=$H232,"上walk▲",IF($D232&lt;=$I232,"下walk▼","－")))</f>
      </c>
      <c r="U232" s="681">
        <f>IF(終値!A232="","",BB_スイング!BT232)</f>
      </c>
      <c r="V232" s="689">
        <f>IF($D232="","",IFERROR(出来高!E232/AVERAGE(出来高!E232:I232),""))</f>
      </c>
      <c r="W232" s="690">
        <f>IF($D232="","",IF(AND($D232&gt;$G232,$O232="拡大↑",$L232&lt;=$M232*1.8),"◎スクイーズブレイク買",IF(AND($D232&gt;=$H232,$R232&gt;=BB設定!$B$10),"○順張り継続(walk)",IF(AND($S232="強気div▲",$D232&gt;$I232),"○反発(ダイバ)買",IF($U232="二番底W▲","△二番底買(確)",IF($U232="二番底W形成","△二番底形成",IF($D232&lt;$J232,"▼-2σ割れ危険",IF(AND($D232&gt;$E232,$K232&lt;0.6,$R232&gt;=50),"・押し目注目",IF($N232="スクイーズ★","☆スクイーズ監視","様子見")))))))))</f>
      </c>
      <c r="X232" s="685">
        <f>IF($D232="","",MIN(100,IF($L232&lt;=$M232*1.15,20,IF($L232&lt;=$M232*1.4,10,0))+IF($D232&gt;$G232,20,IF($D232&gt;$H232,12,IF($D232&gt;$E232,5,0)))+IF($O232="拡大↑",10,0)+IF($R232&gt;=80,15,IF($R232&gt;=60,10,IF($R232&gt;=50,5,0)))+IF(AND($Q232&gt;=50,$Q232&lt;=70),10,IF($Q232&gt;70,3,IF($Q232&gt;=40,5,0)))+IF($S232="強気div▲",15,0)+IF($T232="上walk▲",5,0)+IF($V232&gt;=2,5,IF($V232&gt;=1.5,3,0))))</f>
      </c>
      <c r="Y232" s="682">
        <f>IF($D232="","",$D232)</f>
      </c>
      <c r="Z232" s="682">
        <f>IF($D232="","",$H232)</f>
      </c>
      <c r="AA232" s="682">
        <f>IF($D232="","",IF($D232&gt;$E232,$E232,$AD232))</f>
      </c>
      <c r="AB232" s="682">
        <f>IF($D232="","",$G232)</f>
      </c>
      <c r="AC232" s="688">
        <f>IF($D232="","",IF(($Y232-$AA232)&lt;=0,"－",IFERROR(ROUND(MIN(20,($AB232-$Y232)/($Y232-$AA232)),2),"－")))</f>
      </c>
      <c r="AD232" s="682">
        <f>IF($D232="","",MIN(終値!E232:I232))</f>
      </c>
      <c r="AE232" s="684">
        <f>IF($D232="","",$X232+(10000-ROW())/100000)</f>
      </c>
    </row>
    <row r="233">
      <c r="A233" s="681">
        <f>IF(終値!A233="","",HYPERLINK("https://kabutan.jp/stock/?code="&amp;終値!A233,"📈"))</f>
      </c>
      <c r="B233" s="681">
        <f>IF(終値!A233="","",終値!A233)</f>
      </c>
      <c r="C233" s="680">
        <f>IF(終値!A233="","",終値!B233)</f>
      </c>
      <c r="D233" s="682">
        <f>IF(終値!A233="","",終値!E233)</f>
      </c>
      <c r="E233" s="682">
        <f>IF($D233="","",AVERAGE(終値!E233:X233))</f>
      </c>
      <c r="F233" s="683">
        <f>IF($D233="","",STDEVP(終値!E233:X233))</f>
      </c>
      <c r="G233" s="682">
        <f>IF($D233="","",$E233+BB設定!$B$4*$F233)</f>
      </c>
      <c r="H233" s="682">
        <f>IF($D233="","",$E233+BB設定!$B$5*$F233)</f>
      </c>
      <c r="I233" s="682">
        <f>IF($D233="","",$E233-BB設定!$B$5*$F233)</f>
      </c>
      <c r="J233" s="682">
        <f>IF($D233="","",$E233-BB設定!$B$4*$F233)</f>
      </c>
      <c r="K233" s="687">
        <f>IF($D233="","",IFERROR(($D233-$J233)/($G233-$J233),""))</f>
      </c>
      <c r="L233" s="686">
        <f>IF($D233="","",IFERROR(($G233-$J233)/$E233*100,""))</f>
      </c>
      <c r="M233" s="686">
        <f>IF($D233="","",IFERROR(MIN(BB_帯幅!B233:AP233)*100,""))</f>
      </c>
      <c r="N233" s="681">
        <f>IF($L233="","",IF($L233&lt;=$M233*BB設定!$B$7,"スクイーズ★",IF($L233&lt;=$M233*1.3,"収縮","－")))</f>
      </c>
      <c r="O233" s="681">
        <f>IF($D233="","",IF($L233&gt;(4*STDEVP(終値!F233:Y233)/AVERAGE(終値!F233:Y233)*100),"拡大↑","縮小↓"))</f>
      </c>
      <c r="P233" s="681">
        <f>IF($D233="","",IF($D233&gt;$G233,"↑+2σ突破",IF($D233&lt;$J233,"↓-2σ割れ",IF($D233&gt;$H233,"+1σ上",IF($D233&lt;$I233,"-1σ下","バンド内")))))</f>
      </c>
      <c r="Q233" s="684">
        <f>IF($D233="","",IFERROR(100-100/(1+SUMPRODUCT((終値!E233:R233&gt;終値!F233:S233)*(終値!E233:R233-終値!F233:S233))/SUMPRODUCT((終値!E233:R233&lt;終値!F233:S233)*(終値!F233:S233-終値!E233:R233))),100))</f>
      </c>
      <c r="R233" s="684">
        <f>IF($D233="","",IFERROR(100-100/(1+SUMPRODUCT((((高値!E233:R233+安値!E233:R233+終値!E233:R233)/3)&gt;((高値!F233:S233+安値!F233:S233+終値!F233:S233)/3))*((高値!E233:R233+安値!E233:R233+終値!E233:R233)/3)*出来高!E233:R233)/SUMPRODUCT((((高値!E233:R233+安値!E233:R233+終値!E233:R233)/3)&lt;((高値!F233:S233+安値!F233:S233+終値!F233:S233)/3))*((高値!E233:R233+安値!E233:R233+終値!E233:R233)/3)*出来高!E233:R233)),50))</f>
      </c>
      <c r="S233" s="681">
        <f>IF($D233="","",IF(AND(終値!E233&lt;終値!O233,$Q233&gt;(IFERROR(100-100/(1+SUMPRODUCT((終値!O233:AB233&gt;終値!P233:AC233)*(終値!O233:AB233-終値!P233:AC233))/SUMPRODUCT((終値!O233:AB233&lt;終値!P233:AC233)*(終値!P233:AC233-終値!O233:AB233))),100))),"強気div▲",IF(AND(終値!E233&gt;終値!O233,$Q233&lt;(IFERROR(100-100/(1+SUMPRODUCT((終値!O233:AB233&gt;終値!P233:AC233)*(終値!O233:AB233-終値!P233:AC233))/SUMPRODUCT((終値!O233:AB233&lt;終値!P233:AC233)*(終値!P233:AC233-終値!O233:AB233))),100))),"弱気div▼","－")))</f>
      </c>
      <c r="T233" s="681">
        <f>IF($D233="","",IF($D233&gt;=$H233,"上walk▲",IF($D233&lt;=$I233,"下walk▼","－")))</f>
      </c>
      <c r="U233" s="681">
        <f>IF(終値!A233="","",BB_スイング!BT233)</f>
      </c>
      <c r="V233" s="689">
        <f>IF($D233="","",IFERROR(出来高!E233/AVERAGE(出来高!E233:I233),""))</f>
      </c>
      <c r="W233" s="690">
        <f>IF($D233="","",IF(AND($D233&gt;$G233,$O233="拡大↑",$L233&lt;=$M233*1.8),"◎スクイーズブレイク買",IF(AND($D233&gt;=$H233,$R233&gt;=BB設定!$B$10),"○順張り継続(walk)",IF(AND($S233="強気div▲",$D233&gt;$I233),"○反発(ダイバ)買",IF($U233="二番底W▲","△二番底買(確)",IF($U233="二番底W形成","△二番底形成",IF($D233&lt;$J233,"▼-2σ割れ危険",IF(AND($D233&gt;$E233,$K233&lt;0.6,$R233&gt;=50),"・押し目注目",IF($N233="スクイーズ★","☆スクイーズ監視","様子見")))))))))</f>
      </c>
      <c r="X233" s="685">
        <f>IF($D233="","",MIN(100,IF($L233&lt;=$M233*1.15,20,IF($L233&lt;=$M233*1.4,10,0))+IF($D233&gt;$G233,20,IF($D233&gt;$H233,12,IF($D233&gt;$E233,5,0)))+IF($O233="拡大↑",10,0)+IF($R233&gt;=80,15,IF($R233&gt;=60,10,IF($R233&gt;=50,5,0)))+IF(AND($Q233&gt;=50,$Q233&lt;=70),10,IF($Q233&gt;70,3,IF($Q233&gt;=40,5,0)))+IF($S233="強気div▲",15,0)+IF($T233="上walk▲",5,0)+IF($V233&gt;=2,5,IF($V233&gt;=1.5,3,0))))</f>
      </c>
      <c r="Y233" s="682">
        <f>IF($D233="","",$D233)</f>
      </c>
      <c r="Z233" s="682">
        <f>IF($D233="","",$H233)</f>
      </c>
      <c r="AA233" s="682">
        <f>IF($D233="","",IF($D233&gt;$E233,$E233,$AD233))</f>
      </c>
      <c r="AB233" s="682">
        <f>IF($D233="","",$G233)</f>
      </c>
      <c r="AC233" s="688">
        <f>IF($D233="","",IF(($Y233-$AA233)&lt;=0,"－",IFERROR(ROUND(MIN(20,($AB233-$Y233)/($Y233-$AA233)),2),"－")))</f>
      </c>
      <c r="AD233" s="682">
        <f>IF($D233="","",MIN(終値!E233:I233))</f>
      </c>
      <c r="AE233" s="684">
        <f>IF($D233="","",$X233+(10000-ROW())/100000)</f>
      </c>
    </row>
    <row r="234">
      <c r="A234" s="681">
        <f>IF(終値!A234="","",HYPERLINK("https://kabutan.jp/stock/?code="&amp;終値!A234,"📈"))</f>
      </c>
      <c r="B234" s="681">
        <f>IF(終値!A234="","",終値!A234)</f>
      </c>
      <c r="C234" s="680">
        <f>IF(終値!A234="","",終値!B234)</f>
      </c>
      <c r="D234" s="682">
        <f>IF(終値!A234="","",終値!E234)</f>
      </c>
      <c r="E234" s="682">
        <f>IF($D234="","",AVERAGE(終値!E234:X234))</f>
      </c>
      <c r="F234" s="683">
        <f>IF($D234="","",STDEVP(終値!E234:X234))</f>
      </c>
      <c r="G234" s="682">
        <f>IF($D234="","",$E234+BB設定!$B$4*$F234)</f>
      </c>
      <c r="H234" s="682">
        <f>IF($D234="","",$E234+BB設定!$B$5*$F234)</f>
      </c>
      <c r="I234" s="682">
        <f>IF($D234="","",$E234-BB設定!$B$5*$F234)</f>
      </c>
      <c r="J234" s="682">
        <f>IF($D234="","",$E234-BB設定!$B$4*$F234)</f>
      </c>
      <c r="K234" s="687">
        <f>IF($D234="","",IFERROR(($D234-$J234)/($G234-$J234),""))</f>
      </c>
      <c r="L234" s="686">
        <f>IF($D234="","",IFERROR(($G234-$J234)/$E234*100,""))</f>
      </c>
      <c r="M234" s="686">
        <f>IF($D234="","",IFERROR(MIN(BB_帯幅!B234:AP234)*100,""))</f>
      </c>
      <c r="N234" s="681">
        <f>IF($L234="","",IF($L234&lt;=$M234*BB設定!$B$7,"スクイーズ★",IF($L234&lt;=$M234*1.3,"収縮","－")))</f>
      </c>
      <c r="O234" s="681">
        <f>IF($D234="","",IF($L234&gt;(4*STDEVP(終値!F234:Y234)/AVERAGE(終値!F234:Y234)*100),"拡大↑","縮小↓"))</f>
      </c>
      <c r="P234" s="681">
        <f>IF($D234="","",IF($D234&gt;$G234,"↑+2σ突破",IF($D234&lt;$J234,"↓-2σ割れ",IF($D234&gt;$H234,"+1σ上",IF($D234&lt;$I234,"-1σ下","バンド内")))))</f>
      </c>
      <c r="Q234" s="684">
        <f>IF($D234="","",IFERROR(100-100/(1+SUMPRODUCT((終値!E234:R234&gt;終値!F234:S234)*(終値!E234:R234-終値!F234:S234))/SUMPRODUCT((終値!E234:R234&lt;終値!F234:S234)*(終値!F234:S234-終値!E234:R234))),100))</f>
      </c>
      <c r="R234" s="684">
        <f>IF($D234="","",IFERROR(100-100/(1+SUMPRODUCT((((高値!E234:R234+安値!E234:R234+終値!E234:R234)/3)&gt;((高値!F234:S234+安値!F234:S234+終値!F234:S234)/3))*((高値!E234:R234+安値!E234:R234+終値!E234:R234)/3)*出来高!E234:R234)/SUMPRODUCT((((高値!E234:R234+安値!E234:R234+終値!E234:R234)/3)&lt;((高値!F234:S234+安値!F234:S234+終値!F234:S234)/3))*((高値!E234:R234+安値!E234:R234+終値!E234:R234)/3)*出来高!E234:R234)),50))</f>
      </c>
      <c r="S234" s="681">
        <f>IF($D234="","",IF(AND(終値!E234&lt;終値!O234,$Q234&gt;(IFERROR(100-100/(1+SUMPRODUCT((終値!O234:AB234&gt;終値!P234:AC234)*(終値!O234:AB234-終値!P234:AC234))/SUMPRODUCT((終値!O234:AB234&lt;終値!P234:AC234)*(終値!P234:AC234-終値!O234:AB234))),100))),"強気div▲",IF(AND(終値!E234&gt;終値!O234,$Q234&lt;(IFERROR(100-100/(1+SUMPRODUCT((終値!O234:AB234&gt;終値!P234:AC234)*(終値!O234:AB234-終値!P234:AC234))/SUMPRODUCT((終値!O234:AB234&lt;終値!P234:AC234)*(終値!P234:AC234-終値!O234:AB234))),100))),"弱気div▼","－")))</f>
      </c>
      <c r="T234" s="681">
        <f>IF($D234="","",IF($D234&gt;=$H234,"上walk▲",IF($D234&lt;=$I234,"下walk▼","－")))</f>
      </c>
      <c r="U234" s="681">
        <f>IF(終値!A234="","",BB_スイング!BT234)</f>
      </c>
      <c r="V234" s="689">
        <f>IF($D234="","",IFERROR(出来高!E234/AVERAGE(出来高!E234:I234),""))</f>
      </c>
      <c r="W234" s="690">
        <f>IF($D234="","",IF(AND($D234&gt;$G234,$O234="拡大↑",$L234&lt;=$M234*1.8),"◎スクイーズブレイク買",IF(AND($D234&gt;=$H234,$R234&gt;=BB設定!$B$10),"○順張り継続(walk)",IF(AND($S234="強気div▲",$D234&gt;$I234),"○反発(ダイバ)買",IF($U234="二番底W▲","△二番底買(確)",IF($U234="二番底W形成","△二番底形成",IF($D234&lt;$J234,"▼-2σ割れ危険",IF(AND($D234&gt;$E234,$K234&lt;0.6,$R234&gt;=50),"・押し目注目",IF($N234="スクイーズ★","☆スクイーズ監視","様子見")))))))))</f>
      </c>
      <c r="X234" s="685">
        <f>IF($D234="","",MIN(100,IF($L234&lt;=$M234*1.15,20,IF($L234&lt;=$M234*1.4,10,0))+IF($D234&gt;$G234,20,IF($D234&gt;$H234,12,IF($D234&gt;$E234,5,0)))+IF($O234="拡大↑",10,0)+IF($R234&gt;=80,15,IF($R234&gt;=60,10,IF($R234&gt;=50,5,0)))+IF(AND($Q234&gt;=50,$Q234&lt;=70),10,IF($Q234&gt;70,3,IF($Q234&gt;=40,5,0)))+IF($S234="強気div▲",15,0)+IF($T234="上walk▲",5,0)+IF($V234&gt;=2,5,IF($V234&gt;=1.5,3,0))))</f>
      </c>
      <c r="Y234" s="682">
        <f>IF($D234="","",$D234)</f>
      </c>
      <c r="Z234" s="682">
        <f>IF($D234="","",$H234)</f>
      </c>
      <c r="AA234" s="682">
        <f>IF($D234="","",IF($D234&gt;$E234,$E234,$AD234))</f>
      </c>
      <c r="AB234" s="682">
        <f>IF($D234="","",$G234)</f>
      </c>
      <c r="AC234" s="688">
        <f>IF($D234="","",IF(($Y234-$AA234)&lt;=0,"－",IFERROR(ROUND(MIN(20,($AB234-$Y234)/($Y234-$AA234)),2),"－")))</f>
      </c>
      <c r="AD234" s="682">
        <f>IF($D234="","",MIN(終値!E234:I234))</f>
      </c>
      <c r="AE234" s="684">
        <f>IF($D234="","",$X234+(10000-ROW())/100000)</f>
      </c>
    </row>
    <row r="235">
      <c r="A235" s="681">
        <f>IF(終値!A235="","",HYPERLINK("https://kabutan.jp/stock/?code="&amp;終値!A235,"📈"))</f>
      </c>
      <c r="B235" s="681">
        <f>IF(終値!A235="","",終値!A235)</f>
      </c>
      <c r="C235" s="680">
        <f>IF(終値!A235="","",終値!B235)</f>
      </c>
      <c r="D235" s="682">
        <f>IF(終値!A235="","",終値!E235)</f>
      </c>
      <c r="E235" s="682">
        <f>IF($D235="","",AVERAGE(終値!E235:X235))</f>
      </c>
      <c r="F235" s="683">
        <f>IF($D235="","",STDEVP(終値!E235:X235))</f>
      </c>
      <c r="G235" s="682">
        <f>IF($D235="","",$E235+BB設定!$B$4*$F235)</f>
      </c>
      <c r="H235" s="682">
        <f>IF($D235="","",$E235+BB設定!$B$5*$F235)</f>
      </c>
      <c r="I235" s="682">
        <f>IF($D235="","",$E235-BB設定!$B$5*$F235)</f>
      </c>
      <c r="J235" s="682">
        <f>IF($D235="","",$E235-BB設定!$B$4*$F235)</f>
      </c>
      <c r="K235" s="687">
        <f>IF($D235="","",IFERROR(($D235-$J235)/($G235-$J235),""))</f>
      </c>
      <c r="L235" s="686">
        <f>IF($D235="","",IFERROR(($G235-$J235)/$E235*100,""))</f>
      </c>
      <c r="M235" s="686">
        <f>IF($D235="","",IFERROR(MIN(BB_帯幅!B235:AP235)*100,""))</f>
      </c>
      <c r="N235" s="681">
        <f>IF($L235="","",IF($L235&lt;=$M235*BB設定!$B$7,"スクイーズ★",IF($L235&lt;=$M235*1.3,"収縮","－")))</f>
      </c>
      <c r="O235" s="681">
        <f>IF($D235="","",IF($L235&gt;(4*STDEVP(終値!F235:Y235)/AVERAGE(終値!F235:Y235)*100),"拡大↑","縮小↓"))</f>
      </c>
      <c r="P235" s="681">
        <f>IF($D235="","",IF($D235&gt;$G235,"↑+2σ突破",IF($D235&lt;$J235,"↓-2σ割れ",IF($D235&gt;$H235,"+1σ上",IF($D235&lt;$I235,"-1σ下","バンド内")))))</f>
      </c>
      <c r="Q235" s="684">
        <f>IF($D235="","",IFERROR(100-100/(1+SUMPRODUCT((終値!E235:R235&gt;終値!F235:S235)*(終値!E235:R235-終値!F235:S235))/SUMPRODUCT((終値!E235:R235&lt;終値!F235:S235)*(終値!F235:S235-終値!E235:R235))),100))</f>
      </c>
      <c r="R235" s="684">
        <f>IF($D235="","",IFERROR(100-100/(1+SUMPRODUCT((((高値!E235:R235+安値!E235:R235+終値!E235:R235)/3)&gt;((高値!F235:S235+安値!F235:S235+終値!F235:S235)/3))*((高値!E235:R235+安値!E235:R235+終値!E235:R235)/3)*出来高!E235:R235)/SUMPRODUCT((((高値!E235:R235+安値!E235:R235+終値!E235:R235)/3)&lt;((高値!F235:S235+安値!F235:S235+終値!F235:S235)/3))*((高値!E235:R235+安値!E235:R235+終値!E235:R235)/3)*出来高!E235:R235)),50))</f>
      </c>
      <c r="S235" s="681">
        <f>IF($D235="","",IF(AND(終値!E235&lt;終値!O235,$Q235&gt;(IFERROR(100-100/(1+SUMPRODUCT((終値!O235:AB235&gt;終値!P235:AC235)*(終値!O235:AB235-終値!P235:AC235))/SUMPRODUCT((終値!O235:AB235&lt;終値!P235:AC235)*(終値!P235:AC235-終値!O235:AB235))),100))),"強気div▲",IF(AND(終値!E235&gt;終値!O235,$Q235&lt;(IFERROR(100-100/(1+SUMPRODUCT((終値!O235:AB235&gt;終値!P235:AC235)*(終値!O235:AB235-終値!P235:AC235))/SUMPRODUCT((終値!O235:AB235&lt;終値!P235:AC235)*(終値!P235:AC235-終値!O235:AB235))),100))),"弱気div▼","－")))</f>
      </c>
      <c r="T235" s="681">
        <f>IF($D235="","",IF($D235&gt;=$H235,"上walk▲",IF($D235&lt;=$I235,"下walk▼","－")))</f>
      </c>
      <c r="U235" s="681">
        <f>IF(終値!A235="","",BB_スイング!BT235)</f>
      </c>
      <c r="V235" s="689">
        <f>IF($D235="","",IFERROR(出来高!E235/AVERAGE(出来高!E235:I235),""))</f>
      </c>
      <c r="W235" s="690">
        <f>IF($D235="","",IF(AND($D235&gt;$G235,$O235="拡大↑",$L235&lt;=$M235*1.8),"◎スクイーズブレイク買",IF(AND($D235&gt;=$H235,$R235&gt;=BB設定!$B$10),"○順張り継続(walk)",IF(AND($S235="強気div▲",$D235&gt;$I235),"○反発(ダイバ)買",IF($U235="二番底W▲","△二番底買(確)",IF($U235="二番底W形成","△二番底形成",IF($D235&lt;$J235,"▼-2σ割れ危険",IF(AND($D235&gt;$E235,$K235&lt;0.6,$R235&gt;=50),"・押し目注目",IF($N235="スクイーズ★","☆スクイーズ監視","様子見")))))))))</f>
      </c>
      <c r="X235" s="685">
        <f>IF($D235="","",MIN(100,IF($L235&lt;=$M235*1.15,20,IF($L235&lt;=$M235*1.4,10,0))+IF($D235&gt;$G235,20,IF($D235&gt;$H235,12,IF($D235&gt;$E235,5,0)))+IF($O235="拡大↑",10,0)+IF($R235&gt;=80,15,IF($R235&gt;=60,10,IF($R235&gt;=50,5,0)))+IF(AND($Q235&gt;=50,$Q235&lt;=70),10,IF($Q235&gt;70,3,IF($Q235&gt;=40,5,0)))+IF($S235="強気div▲",15,0)+IF($T235="上walk▲",5,0)+IF($V235&gt;=2,5,IF($V235&gt;=1.5,3,0))))</f>
      </c>
      <c r="Y235" s="682">
        <f>IF($D235="","",$D235)</f>
      </c>
      <c r="Z235" s="682">
        <f>IF($D235="","",$H235)</f>
      </c>
      <c r="AA235" s="682">
        <f>IF($D235="","",IF($D235&gt;$E235,$E235,$AD235))</f>
      </c>
      <c r="AB235" s="682">
        <f>IF($D235="","",$G235)</f>
      </c>
      <c r="AC235" s="688">
        <f>IF($D235="","",IF(($Y235-$AA235)&lt;=0,"－",IFERROR(ROUND(MIN(20,($AB235-$Y235)/($Y235-$AA235)),2),"－")))</f>
      </c>
      <c r="AD235" s="682">
        <f>IF($D235="","",MIN(終値!E235:I235))</f>
      </c>
      <c r="AE235" s="684">
        <f>IF($D235="","",$X235+(10000-ROW())/100000)</f>
      </c>
    </row>
    <row r="236">
      <c r="A236" s="681">
        <f>IF(終値!A236="","",HYPERLINK("https://kabutan.jp/stock/?code="&amp;終値!A236,"📈"))</f>
      </c>
      <c r="B236" s="681">
        <f>IF(終値!A236="","",終値!A236)</f>
      </c>
      <c r="C236" s="680">
        <f>IF(終値!A236="","",終値!B236)</f>
      </c>
      <c r="D236" s="682">
        <f>IF(終値!A236="","",終値!E236)</f>
      </c>
      <c r="E236" s="682">
        <f>IF($D236="","",AVERAGE(終値!E236:X236))</f>
      </c>
      <c r="F236" s="683">
        <f>IF($D236="","",STDEVP(終値!E236:X236))</f>
      </c>
      <c r="G236" s="682">
        <f>IF($D236="","",$E236+BB設定!$B$4*$F236)</f>
      </c>
      <c r="H236" s="682">
        <f>IF($D236="","",$E236+BB設定!$B$5*$F236)</f>
      </c>
      <c r="I236" s="682">
        <f>IF($D236="","",$E236-BB設定!$B$5*$F236)</f>
      </c>
      <c r="J236" s="682">
        <f>IF($D236="","",$E236-BB設定!$B$4*$F236)</f>
      </c>
      <c r="K236" s="687">
        <f>IF($D236="","",IFERROR(($D236-$J236)/($G236-$J236),""))</f>
      </c>
      <c r="L236" s="686">
        <f>IF($D236="","",IFERROR(($G236-$J236)/$E236*100,""))</f>
      </c>
      <c r="M236" s="686">
        <f>IF($D236="","",IFERROR(MIN(BB_帯幅!B236:AP236)*100,""))</f>
      </c>
      <c r="N236" s="681">
        <f>IF($L236="","",IF($L236&lt;=$M236*BB設定!$B$7,"スクイーズ★",IF($L236&lt;=$M236*1.3,"収縮","－")))</f>
      </c>
      <c r="O236" s="681">
        <f>IF($D236="","",IF($L236&gt;(4*STDEVP(終値!F236:Y236)/AVERAGE(終値!F236:Y236)*100),"拡大↑","縮小↓"))</f>
      </c>
      <c r="P236" s="681">
        <f>IF($D236="","",IF($D236&gt;$G236,"↑+2σ突破",IF($D236&lt;$J236,"↓-2σ割れ",IF($D236&gt;$H236,"+1σ上",IF($D236&lt;$I236,"-1σ下","バンド内")))))</f>
      </c>
      <c r="Q236" s="684">
        <f>IF($D236="","",IFERROR(100-100/(1+SUMPRODUCT((終値!E236:R236&gt;終値!F236:S236)*(終値!E236:R236-終値!F236:S236))/SUMPRODUCT((終値!E236:R236&lt;終値!F236:S236)*(終値!F236:S236-終値!E236:R236))),100))</f>
      </c>
      <c r="R236" s="684">
        <f>IF($D236="","",IFERROR(100-100/(1+SUMPRODUCT((((高値!E236:R236+安値!E236:R236+終値!E236:R236)/3)&gt;((高値!F236:S236+安値!F236:S236+終値!F236:S236)/3))*((高値!E236:R236+安値!E236:R236+終値!E236:R236)/3)*出来高!E236:R236)/SUMPRODUCT((((高値!E236:R236+安値!E236:R236+終値!E236:R236)/3)&lt;((高値!F236:S236+安値!F236:S236+終値!F236:S236)/3))*((高値!E236:R236+安値!E236:R236+終値!E236:R236)/3)*出来高!E236:R236)),50))</f>
      </c>
      <c r="S236" s="681">
        <f>IF($D236="","",IF(AND(終値!E236&lt;終値!O236,$Q236&gt;(IFERROR(100-100/(1+SUMPRODUCT((終値!O236:AB236&gt;終値!P236:AC236)*(終値!O236:AB236-終値!P236:AC236))/SUMPRODUCT((終値!O236:AB236&lt;終値!P236:AC236)*(終値!P236:AC236-終値!O236:AB236))),100))),"強気div▲",IF(AND(終値!E236&gt;終値!O236,$Q236&lt;(IFERROR(100-100/(1+SUMPRODUCT((終値!O236:AB236&gt;終値!P236:AC236)*(終値!O236:AB236-終値!P236:AC236))/SUMPRODUCT((終値!O236:AB236&lt;終値!P236:AC236)*(終値!P236:AC236-終値!O236:AB236))),100))),"弱気div▼","－")))</f>
      </c>
      <c r="T236" s="681">
        <f>IF($D236="","",IF($D236&gt;=$H236,"上walk▲",IF($D236&lt;=$I236,"下walk▼","－")))</f>
      </c>
      <c r="U236" s="681">
        <f>IF(終値!A236="","",BB_スイング!BT236)</f>
      </c>
      <c r="V236" s="689">
        <f>IF($D236="","",IFERROR(出来高!E236/AVERAGE(出来高!E236:I236),""))</f>
      </c>
      <c r="W236" s="690">
        <f>IF($D236="","",IF(AND($D236&gt;$G236,$O236="拡大↑",$L236&lt;=$M236*1.8),"◎スクイーズブレイク買",IF(AND($D236&gt;=$H236,$R236&gt;=BB設定!$B$10),"○順張り継続(walk)",IF(AND($S236="強気div▲",$D236&gt;$I236),"○反発(ダイバ)買",IF($U236="二番底W▲","△二番底買(確)",IF($U236="二番底W形成","△二番底形成",IF($D236&lt;$J236,"▼-2σ割れ危険",IF(AND($D236&gt;$E236,$K236&lt;0.6,$R236&gt;=50),"・押し目注目",IF($N236="スクイーズ★","☆スクイーズ監視","様子見")))))))))</f>
      </c>
      <c r="X236" s="685">
        <f>IF($D236="","",MIN(100,IF($L236&lt;=$M236*1.15,20,IF($L236&lt;=$M236*1.4,10,0))+IF($D236&gt;$G236,20,IF($D236&gt;$H236,12,IF($D236&gt;$E236,5,0)))+IF($O236="拡大↑",10,0)+IF($R236&gt;=80,15,IF($R236&gt;=60,10,IF($R236&gt;=50,5,0)))+IF(AND($Q236&gt;=50,$Q236&lt;=70),10,IF($Q236&gt;70,3,IF($Q236&gt;=40,5,0)))+IF($S236="強気div▲",15,0)+IF($T236="上walk▲",5,0)+IF($V236&gt;=2,5,IF($V236&gt;=1.5,3,0))))</f>
      </c>
      <c r="Y236" s="682">
        <f>IF($D236="","",$D236)</f>
      </c>
      <c r="Z236" s="682">
        <f>IF($D236="","",$H236)</f>
      </c>
      <c r="AA236" s="682">
        <f>IF($D236="","",IF($D236&gt;$E236,$E236,$AD236))</f>
      </c>
      <c r="AB236" s="682">
        <f>IF($D236="","",$G236)</f>
      </c>
      <c r="AC236" s="688">
        <f>IF($D236="","",IF(($Y236-$AA236)&lt;=0,"－",IFERROR(ROUND(MIN(20,($AB236-$Y236)/($Y236-$AA236)),2),"－")))</f>
      </c>
      <c r="AD236" s="682">
        <f>IF($D236="","",MIN(終値!E236:I236))</f>
      </c>
      <c r="AE236" s="684">
        <f>IF($D236="","",$X236+(10000-ROW())/100000)</f>
      </c>
    </row>
    <row r="237">
      <c r="A237" s="681">
        <f>IF(終値!A237="","",HYPERLINK("https://kabutan.jp/stock/?code="&amp;終値!A237,"📈"))</f>
      </c>
      <c r="B237" s="681">
        <f>IF(終値!A237="","",終値!A237)</f>
      </c>
      <c r="C237" s="680">
        <f>IF(終値!A237="","",終値!B237)</f>
      </c>
      <c r="D237" s="682">
        <f>IF(終値!A237="","",終値!E237)</f>
      </c>
      <c r="E237" s="682">
        <f>IF($D237="","",AVERAGE(終値!E237:X237))</f>
      </c>
      <c r="F237" s="683">
        <f>IF($D237="","",STDEVP(終値!E237:X237))</f>
      </c>
      <c r="G237" s="682">
        <f>IF($D237="","",$E237+BB設定!$B$4*$F237)</f>
      </c>
      <c r="H237" s="682">
        <f>IF($D237="","",$E237+BB設定!$B$5*$F237)</f>
      </c>
      <c r="I237" s="682">
        <f>IF($D237="","",$E237-BB設定!$B$5*$F237)</f>
      </c>
      <c r="J237" s="682">
        <f>IF($D237="","",$E237-BB設定!$B$4*$F237)</f>
      </c>
      <c r="K237" s="687">
        <f>IF($D237="","",IFERROR(($D237-$J237)/($G237-$J237),""))</f>
      </c>
      <c r="L237" s="686">
        <f>IF($D237="","",IFERROR(($G237-$J237)/$E237*100,""))</f>
      </c>
      <c r="M237" s="686">
        <f>IF($D237="","",IFERROR(MIN(BB_帯幅!B237:AP237)*100,""))</f>
      </c>
      <c r="N237" s="681">
        <f>IF($L237="","",IF($L237&lt;=$M237*BB設定!$B$7,"スクイーズ★",IF($L237&lt;=$M237*1.3,"収縮","－")))</f>
      </c>
      <c r="O237" s="681">
        <f>IF($D237="","",IF($L237&gt;(4*STDEVP(終値!F237:Y237)/AVERAGE(終値!F237:Y237)*100),"拡大↑","縮小↓"))</f>
      </c>
      <c r="P237" s="681">
        <f>IF($D237="","",IF($D237&gt;$G237,"↑+2σ突破",IF($D237&lt;$J237,"↓-2σ割れ",IF($D237&gt;$H237,"+1σ上",IF($D237&lt;$I237,"-1σ下","バンド内")))))</f>
      </c>
      <c r="Q237" s="684">
        <f>IF($D237="","",IFERROR(100-100/(1+SUMPRODUCT((終値!E237:R237&gt;終値!F237:S237)*(終値!E237:R237-終値!F237:S237))/SUMPRODUCT((終値!E237:R237&lt;終値!F237:S237)*(終値!F237:S237-終値!E237:R237))),100))</f>
      </c>
      <c r="R237" s="684">
        <f>IF($D237="","",IFERROR(100-100/(1+SUMPRODUCT((((高値!E237:R237+安値!E237:R237+終値!E237:R237)/3)&gt;((高値!F237:S237+安値!F237:S237+終値!F237:S237)/3))*((高値!E237:R237+安値!E237:R237+終値!E237:R237)/3)*出来高!E237:R237)/SUMPRODUCT((((高値!E237:R237+安値!E237:R237+終値!E237:R237)/3)&lt;((高値!F237:S237+安値!F237:S237+終値!F237:S237)/3))*((高値!E237:R237+安値!E237:R237+終値!E237:R237)/3)*出来高!E237:R237)),50))</f>
      </c>
      <c r="S237" s="681">
        <f>IF($D237="","",IF(AND(終値!E237&lt;終値!O237,$Q237&gt;(IFERROR(100-100/(1+SUMPRODUCT((終値!O237:AB237&gt;終値!P237:AC237)*(終値!O237:AB237-終値!P237:AC237))/SUMPRODUCT((終値!O237:AB237&lt;終値!P237:AC237)*(終値!P237:AC237-終値!O237:AB237))),100))),"強気div▲",IF(AND(終値!E237&gt;終値!O237,$Q237&lt;(IFERROR(100-100/(1+SUMPRODUCT((終値!O237:AB237&gt;終値!P237:AC237)*(終値!O237:AB237-終値!P237:AC237))/SUMPRODUCT((終値!O237:AB237&lt;終値!P237:AC237)*(終値!P237:AC237-終値!O237:AB237))),100))),"弱気div▼","－")))</f>
      </c>
      <c r="T237" s="681">
        <f>IF($D237="","",IF($D237&gt;=$H237,"上walk▲",IF($D237&lt;=$I237,"下walk▼","－")))</f>
      </c>
      <c r="U237" s="681">
        <f>IF(終値!A237="","",BB_スイング!BT237)</f>
      </c>
      <c r="V237" s="689">
        <f>IF($D237="","",IFERROR(出来高!E237/AVERAGE(出来高!E237:I237),""))</f>
      </c>
      <c r="W237" s="690">
        <f>IF($D237="","",IF(AND($D237&gt;$G237,$O237="拡大↑",$L237&lt;=$M237*1.8),"◎スクイーズブレイク買",IF(AND($D237&gt;=$H237,$R237&gt;=BB設定!$B$10),"○順張り継続(walk)",IF(AND($S237="強気div▲",$D237&gt;$I237),"○反発(ダイバ)買",IF($U237="二番底W▲","△二番底買(確)",IF($U237="二番底W形成","△二番底形成",IF($D237&lt;$J237,"▼-2σ割れ危険",IF(AND($D237&gt;$E237,$K237&lt;0.6,$R237&gt;=50),"・押し目注目",IF($N237="スクイーズ★","☆スクイーズ監視","様子見")))))))))</f>
      </c>
      <c r="X237" s="685">
        <f>IF($D237="","",MIN(100,IF($L237&lt;=$M237*1.15,20,IF($L237&lt;=$M237*1.4,10,0))+IF($D237&gt;$G237,20,IF($D237&gt;$H237,12,IF($D237&gt;$E237,5,0)))+IF($O237="拡大↑",10,0)+IF($R237&gt;=80,15,IF($R237&gt;=60,10,IF($R237&gt;=50,5,0)))+IF(AND($Q237&gt;=50,$Q237&lt;=70),10,IF($Q237&gt;70,3,IF($Q237&gt;=40,5,0)))+IF($S237="強気div▲",15,0)+IF($T237="上walk▲",5,0)+IF($V237&gt;=2,5,IF($V237&gt;=1.5,3,0))))</f>
      </c>
      <c r="Y237" s="682">
        <f>IF($D237="","",$D237)</f>
      </c>
      <c r="Z237" s="682">
        <f>IF($D237="","",$H237)</f>
      </c>
      <c r="AA237" s="682">
        <f>IF($D237="","",IF($D237&gt;$E237,$E237,$AD237))</f>
      </c>
      <c r="AB237" s="682">
        <f>IF($D237="","",$G237)</f>
      </c>
      <c r="AC237" s="688">
        <f>IF($D237="","",IF(($Y237-$AA237)&lt;=0,"－",IFERROR(ROUND(MIN(20,($AB237-$Y237)/($Y237-$AA237)),2),"－")))</f>
      </c>
      <c r="AD237" s="682">
        <f>IF($D237="","",MIN(終値!E237:I237))</f>
      </c>
      <c r="AE237" s="684">
        <f>IF($D237="","",$X237+(10000-ROW())/100000)</f>
      </c>
    </row>
    <row r="238">
      <c r="A238" s="681">
        <f>IF(終値!A238="","",HYPERLINK("https://kabutan.jp/stock/?code="&amp;終値!A238,"📈"))</f>
      </c>
      <c r="B238" s="681">
        <f>IF(終値!A238="","",終値!A238)</f>
      </c>
      <c r="C238" s="680">
        <f>IF(終値!A238="","",終値!B238)</f>
      </c>
      <c r="D238" s="682">
        <f>IF(終値!A238="","",終値!E238)</f>
      </c>
      <c r="E238" s="682">
        <f>IF($D238="","",AVERAGE(終値!E238:X238))</f>
      </c>
      <c r="F238" s="683">
        <f>IF($D238="","",STDEVP(終値!E238:X238))</f>
      </c>
      <c r="G238" s="682">
        <f>IF($D238="","",$E238+BB設定!$B$4*$F238)</f>
      </c>
      <c r="H238" s="682">
        <f>IF($D238="","",$E238+BB設定!$B$5*$F238)</f>
      </c>
      <c r="I238" s="682">
        <f>IF($D238="","",$E238-BB設定!$B$5*$F238)</f>
      </c>
      <c r="J238" s="682">
        <f>IF($D238="","",$E238-BB設定!$B$4*$F238)</f>
      </c>
      <c r="K238" s="687">
        <f>IF($D238="","",IFERROR(($D238-$J238)/($G238-$J238),""))</f>
      </c>
      <c r="L238" s="686">
        <f>IF($D238="","",IFERROR(($G238-$J238)/$E238*100,""))</f>
      </c>
      <c r="M238" s="686">
        <f>IF($D238="","",IFERROR(MIN(BB_帯幅!B238:AP238)*100,""))</f>
      </c>
      <c r="N238" s="681">
        <f>IF($L238="","",IF($L238&lt;=$M238*BB設定!$B$7,"スクイーズ★",IF($L238&lt;=$M238*1.3,"収縮","－")))</f>
      </c>
      <c r="O238" s="681">
        <f>IF($D238="","",IF($L238&gt;(4*STDEVP(終値!F238:Y238)/AVERAGE(終値!F238:Y238)*100),"拡大↑","縮小↓"))</f>
      </c>
      <c r="P238" s="681">
        <f>IF($D238="","",IF($D238&gt;$G238,"↑+2σ突破",IF($D238&lt;$J238,"↓-2σ割れ",IF($D238&gt;$H238,"+1σ上",IF($D238&lt;$I238,"-1σ下","バンド内")))))</f>
      </c>
      <c r="Q238" s="684">
        <f>IF($D238="","",IFERROR(100-100/(1+SUMPRODUCT((終値!E238:R238&gt;終値!F238:S238)*(終値!E238:R238-終値!F238:S238))/SUMPRODUCT((終値!E238:R238&lt;終値!F238:S238)*(終値!F238:S238-終値!E238:R238))),100))</f>
      </c>
      <c r="R238" s="684">
        <f>IF($D238="","",IFERROR(100-100/(1+SUMPRODUCT((((高値!E238:R238+安値!E238:R238+終値!E238:R238)/3)&gt;((高値!F238:S238+安値!F238:S238+終値!F238:S238)/3))*((高値!E238:R238+安値!E238:R238+終値!E238:R238)/3)*出来高!E238:R238)/SUMPRODUCT((((高値!E238:R238+安値!E238:R238+終値!E238:R238)/3)&lt;((高値!F238:S238+安値!F238:S238+終値!F238:S238)/3))*((高値!E238:R238+安値!E238:R238+終値!E238:R238)/3)*出来高!E238:R238)),50))</f>
      </c>
      <c r="S238" s="681">
        <f>IF($D238="","",IF(AND(終値!E238&lt;終値!O238,$Q238&gt;(IFERROR(100-100/(1+SUMPRODUCT((終値!O238:AB238&gt;終値!P238:AC238)*(終値!O238:AB238-終値!P238:AC238))/SUMPRODUCT((終値!O238:AB238&lt;終値!P238:AC238)*(終値!P238:AC238-終値!O238:AB238))),100))),"強気div▲",IF(AND(終値!E238&gt;終値!O238,$Q238&lt;(IFERROR(100-100/(1+SUMPRODUCT((終値!O238:AB238&gt;終値!P238:AC238)*(終値!O238:AB238-終値!P238:AC238))/SUMPRODUCT((終値!O238:AB238&lt;終値!P238:AC238)*(終値!P238:AC238-終値!O238:AB238))),100))),"弱気div▼","－")))</f>
      </c>
      <c r="T238" s="681">
        <f>IF($D238="","",IF($D238&gt;=$H238,"上walk▲",IF($D238&lt;=$I238,"下walk▼","－")))</f>
      </c>
      <c r="U238" s="681">
        <f>IF(終値!A238="","",BB_スイング!BT238)</f>
      </c>
      <c r="V238" s="689">
        <f>IF($D238="","",IFERROR(出来高!E238/AVERAGE(出来高!E238:I238),""))</f>
      </c>
      <c r="W238" s="690">
        <f>IF($D238="","",IF(AND($D238&gt;$G238,$O238="拡大↑",$L238&lt;=$M238*1.8),"◎スクイーズブレイク買",IF(AND($D238&gt;=$H238,$R238&gt;=BB設定!$B$10),"○順張り継続(walk)",IF(AND($S238="強気div▲",$D238&gt;$I238),"○反発(ダイバ)買",IF($U238="二番底W▲","△二番底買(確)",IF($U238="二番底W形成","△二番底形成",IF($D238&lt;$J238,"▼-2σ割れ危険",IF(AND($D238&gt;$E238,$K238&lt;0.6,$R238&gt;=50),"・押し目注目",IF($N238="スクイーズ★","☆スクイーズ監視","様子見")))))))))</f>
      </c>
      <c r="X238" s="685">
        <f>IF($D238="","",MIN(100,IF($L238&lt;=$M238*1.15,20,IF($L238&lt;=$M238*1.4,10,0))+IF($D238&gt;$G238,20,IF($D238&gt;$H238,12,IF($D238&gt;$E238,5,0)))+IF($O238="拡大↑",10,0)+IF($R238&gt;=80,15,IF($R238&gt;=60,10,IF($R238&gt;=50,5,0)))+IF(AND($Q238&gt;=50,$Q238&lt;=70),10,IF($Q238&gt;70,3,IF($Q238&gt;=40,5,0)))+IF($S238="強気div▲",15,0)+IF($T238="上walk▲",5,0)+IF($V238&gt;=2,5,IF($V238&gt;=1.5,3,0))))</f>
      </c>
      <c r="Y238" s="682">
        <f>IF($D238="","",$D238)</f>
      </c>
      <c r="Z238" s="682">
        <f>IF($D238="","",$H238)</f>
      </c>
      <c r="AA238" s="682">
        <f>IF($D238="","",IF($D238&gt;$E238,$E238,$AD238))</f>
      </c>
      <c r="AB238" s="682">
        <f>IF($D238="","",$G238)</f>
      </c>
      <c r="AC238" s="688">
        <f>IF($D238="","",IF(($Y238-$AA238)&lt;=0,"－",IFERROR(ROUND(MIN(20,($AB238-$Y238)/($Y238-$AA238)),2),"－")))</f>
      </c>
      <c r="AD238" s="682">
        <f>IF($D238="","",MIN(終値!E238:I238))</f>
      </c>
      <c r="AE238" s="684">
        <f>IF($D238="","",$X238+(10000-ROW())/100000)</f>
      </c>
    </row>
    <row r="239">
      <c r="A239" s="681">
        <f>IF(終値!A239="","",HYPERLINK("https://kabutan.jp/stock/?code="&amp;終値!A239,"📈"))</f>
      </c>
      <c r="B239" s="681">
        <f>IF(終値!A239="","",終値!A239)</f>
      </c>
      <c r="C239" s="680">
        <f>IF(終値!A239="","",終値!B239)</f>
      </c>
      <c r="D239" s="682">
        <f>IF(終値!A239="","",終値!E239)</f>
      </c>
      <c r="E239" s="682">
        <f>IF($D239="","",AVERAGE(終値!E239:X239))</f>
      </c>
      <c r="F239" s="683">
        <f>IF($D239="","",STDEVP(終値!E239:X239))</f>
      </c>
      <c r="G239" s="682">
        <f>IF($D239="","",$E239+BB設定!$B$4*$F239)</f>
      </c>
      <c r="H239" s="682">
        <f>IF($D239="","",$E239+BB設定!$B$5*$F239)</f>
      </c>
      <c r="I239" s="682">
        <f>IF($D239="","",$E239-BB設定!$B$5*$F239)</f>
      </c>
      <c r="J239" s="682">
        <f>IF($D239="","",$E239-BB設定!$B$4*$F239)</f>
      </c>
      <c r="K239" s="687">
        <f>IF($D239="","",IFERROR(($D239-$J239)/($G239-$J239),""))</f>
      </c>
      <c r="L239" s="686">
        <f>IF($D239="","",IFERROR(($G239-$J239)/$E239*100,""))</f>
      </c>
      <c r="M239" s="686">
        <f>IF($D239="","",IFERROR(MIN(BB_帯幅!B239:AP239)*100,""))</f>
      </c>
      <c r="N239" s="681">
        <f>IF($L239="","",IF($L239&lt;=$M239*BB設定!$B$7,"スクイーズ★",IF($L239&lt;=$M239*1.3,"収縮","－")))</f>
      </c>
      <c r="O239" s="681">
        <f>IF($D239="","",IF($L239&gt;(4*STDEVP(終値!F239:Y239)/AVERAGE(終値!F239:Y239)*100),"拡大↑","縮小↓"))</f>
      </c>
      <c r="P239" s="681">
        <f>IF($D239="","",IF($D239&gt;$G239,"↑+2σ突破",IF($D239&lt;$J239,"↓-2σ割れ",IF($D239&gt;$H239,"+1σ上",IF($D239&lt;$I239,"-1σ下","バンド内")))))</f>
      </c>
      <c r="Q239" s="684">
        <f>IF($D239="","",IFERROR(100-100/(1+SUMPRODUCT((終値!E239:R239&gt;終値!F239:S239)*(終値!E239:R239-終値!F239:S239))/SUMPRODUCT((終値!E239:R239&lt;終値!F239:S239)*(終値!F239:S239-終値!E239:R239))),100))</f>
      </c>
      <c r="R239" s="684">
        <f>IF($D239="","",IFERROR(100-100/(1+SUMPRODUCT((((高値!E239:R239+安値!E239:R239+終値!E239:R239)/3)&gt;((高値!F239:S239+安値!F239:S239+終値!F239:S239)/3))*((高値!E239:R239+安値!E239:R239+終値!E239:R239)/3)*出来高!E239:R239)/SUMPRODUCT((((高値!E239:R239+安値!E239:R239+終値!E239:R239)/3)&lt;((高値!F239:S239+安値!F239:S239+終値!F239:S239)/3))*((高値!E239:R239+安値!E239:R239+終値!E239:R239)/3)*出来高!E239:R239)),50))</f>
      </c>
      <c r="S239" s="681">
        <f>IF($D239="","",IF(AND(終値!E239&lt;終値!O239,$Q239&gt;(IFERROR(100-100/(1+SUMPRODUCT((終値!O239:AB239&gt;終値!P239:AC239)*(終値!O239:AB239-終値!P239:AC239))/SUMPRODUCT((終値!O239:AB239&lt;終値!P239:AC239)*(終値!P239:AC239-終値!O239:AB239))),100))),"強気div▲",IF(AND(終値!E239&gt;終値!O239,$Q239&lt;(IFERROR(100-100/(1+SUMPRODUCT((終値!O239:AB239&gt;終値!P239:AC239)*(終値!O239:AB239-終値!P239:AC239))/SUMPRODUCT((終値!O239:AB239&lt;終値!P239:AC239)*(終値!P239:AC239-終値!O239:AB239))),100))),"弱気div▼","－")))</f>
      </c>
      <c r="T239" s="681">
        <f>IF($D239="","",IF($D239&gt;=$H239,"上walk▲",IF($D239&lt;=$I239,"下walk▼","－")))</f>
      </c>
      <c r="U239" s="681">
        <f>IF(終値!A239="","",BB_スイング!BT239)</f>
      </c>
      <c r="V239" s="689">
        <f>IF($D239="","",IFERROR(出来高!E239/AVERAGE(出来高!E239:I239),""))</f>
      </c>
      <c r="W239" s="690">
        <f>IF($D239="","",IF(AND($D239&gt;$G239,$O239="拡大↑",$L239&lt;=$M239*1.8),"◎スクイーズブレイク買",IF(AND($D239&gt;=$H239,$R239&gt;=BB設定!$B$10),"○順張り継続(walk)",IF(AND($S239="強気div▲",$D239&gt;$I239),"○反発(ダイバ)買",IF($U239="二番底W▲","△二番底買(確)",IF($U239="二番底W形成","△二番底形成",IF($D239&lt;$J239,"▼-2σ割れ危険",IF(AND($D239&gt;$E239,$K239&lt;0.6,$R239&gt;=50),"・押し目注目",IF($N239="スクイーズ★","☆スクイーズ監視","様子見")))))))))</f>
      </c>
      <c r="X239" s="685">
        <f>IF($D239="","",MIN(100,IF($L239&lt;=$M239*1.15,20,IF($L239&lt;=$M239*1.4,10,0))+IF($D239&gt;$G239,20,IF($D239&gt;$H239,12,IF($D239&gt;$E239,5,0)))+IF($O239="拡大↑",10,0)+IF($R239&gt;=80,15,IF($R239&gt;=60,10,IF($R239&gt;=50,5,0)))+IF(AND($Q239&gt;=50,$Q239&lt;=70),10,IF($Q239&gt;70,3,IF($Q239&gt;=40,5,0)))+IF($S239="強気div▲",15,0)+IF($T239="上walk▲",5,0)+IF($V239&gt;=2,5,IF($V239&gt;=1.5,3,0))))</f>
      </c>
      <c r="Y239" s="682">
        <f>IF($D239="","",$D239)</f>
      </c>
      <c r="Z239" s="682">
        <f>IF($D239="","",$H239)</f>
      </c>
      <c r="AA239" s="682">
        <f>IF($D239="","",IF($D239&gt;$E239,$E239,$AD239))</f>
      </c>
      <c r="AB239" s="682">
        <f>IF($D239="","",$G239)</f>
      </c>
      <c r="AC239" s="688">
        <f>IF($D239="","",IF(($Y239-$AA239)&lt;=0,"－",IFERROR(ROUND(MIN(20,($AB239-$Y239)/($Y239-$AA239)),2),"－")))</f>
      </c>
      <c r="AD239" s="682">
        <f>IF($D239="","",MIN(終値!E239:I239))</f>
      </c>
      <c r="AE239" s="684">
        <f>IF($D239="","",$X239+(10000-ROW())/100000)</f>
      </c>
    </row>
    <row r="240">
      <c r="A240" s="681">
        <f>IF(終値!A240="","",HYPERLINK("https://kabutan.jp/stock/?code="&amp;終値!A240,"📈"))</f>
      </c>
      <c r="B240" s="681">
        <f>IF(終値!A240="","",終値!A240)</f>
      </c>
      <c r="C240" s="680">
        <f>IF(終値!A240="","",終値!B240)</f>
      </c>
      <c r="D240" s="682">
        <f>IF(終値!A240="","",終値!E240)</f>
      </c>
      <c r="E240" s="682">
        <f>IF($D240="","",AVERAGE(終値!E240:X240))</f>
      </c>
      <c r="F240" s="683">
        <f>IF($D240="","",STDEVP(終値!E240:X240))</f>
      </c>
      <c r="G240" s="682">
        <f>IF($D240="","",$E240+BB設定!$B$4*$F240)</f>
      </c>
      <c r="H240" s="682">
        <f>IF($D240="","",$E240+BB設定!$B$5*$F240)</f>
      </c>
      <c r="I240" s="682">
        <f>IF($D240="","",$E240-BB設定!$B$5*$F240)</f>
      </c>
      <c r="J240" s="682">
        <f>IF($D240="","",$E240-BB設定!$B$4*$F240)</f>
      </c>
      <c r="K240" s="687">
        <f>IF($D240="","",IFERROR(($D240-$J240)/($G240-$J240),""))</f>
      </c>
      <c r="L240" s="686">
        <f>IF($D240="","",IFERROR(($G240-$J240)/$E240*100,""))</f>
      </c>
      <c r="M240" s="686">
        <f>IF($D240="","",IFERROR(MIN(BB_帯幅!B240:AP240)*100,""))</f>
      </c>
      <c r="N240" s="681">
        <f>IF($L240="","",IF($L240&lt;=$M240*BB設定!$B$7,"スクイーズ★",IF($L240&lt;=$M240*1.3,"収縮","－")))</f>
      </c>
      <c r="O240" s="681">
        <f>IF($D240="","",IF($L240&gt;(4*STDEVP(終値!F240:Y240)/AVERAGE(終値!F240:Y240)*100),"拡大↑","縮小↓"))</f>
      </c>
      <c r="P240" s="681">
        <f>IF($D240="","",IF($D240&gt;$G240,"↑+2σ突破",IF($D240&lt;$J240,"↓-2σ割れ",IF($D240&gt;$H240,"+1σ上",IF($D240&lt;$I240,"-1σ下","バンド内")))))</f>
      </c>
      <c r="Q240" s="684">
        <f>IF($D240="","",IFERROR(100-100/(1+SUMPRODUCT((終値!E240:R240&gt;終値!F240:S240)*(終値!E240:R240-終値!F240:S240))/SUMPRODUCT((終値!E240:R240&lt;終値!F240:S240)*(終値!F240:S240-終値!E240:R240))),100))</f>
      </c>
      <c r="R240" s="684">
        <f>IF($D240="","",IFERROR(100-100/(1+SUMPRODUCT((((高値!E240:R240+安値!E240:R240+終値!E240:R240)/3)&gt;((高値!F240:S240+安値!F240:S240+終値!F240:S240)/3))*((高値!E240:R240+安値!E240:R240+終値!E240:R240)/3)*出来高!E240:R240)/SUMPRODUCT((((高値!E240:R240+安値!E240:R240+終値!E240:R240)/3)&lt;((高値!F240:S240+安値!F240:S240+終値!F240:S240)/3))*((高値!E240:R240+安値!E240:R240+終値!E240:R240)/3)*出来高!E240:R240)),50))</f>
      </c>
      <c r="S240" s="681">
        <f>IF($D240="","",IF(AND(終値!E240&lt;終値!O240,$Q240&gt;(IFERROR(100-100/(1+SUMPRODUCT((終値!O240:AB240&gt;終値!P240:AC240)*(終値!O240:AB240-終値!P240:AC240))/SUMPRODUCT((終値!O240:AB240&lt;終値!P240:AC240)*(終値!P240:AC240-終値!O240:AB240))),100))),"強気div▲",IF(AND(終値!E240&gt;終値!O240,$Q240&lt;(IFERROR(100-100/(1+SUMPRODUCT((終値!O240:AB240&gt;終値!P240:AC240)*(終値!O240:AB240-終値!P240:AC240))/SUMPRODUCT((終値!O240:AB240&lt;終値!P240:AC240)*(終値!P240:AC240-終値!O240:AB240))),100))),"弱気div▼","－")))</f>
      </c>
      <c r="T240" s="681">
        <f>IF($D240="","",IF($D240&gt;=$H240,"上walk▲",IF($D240&lt;=$I240,"下walk▼","－")))</f>
      </c>
      <c r="U240" s="681">
        <f>IF(終値!A240="","",BB_スイング!BT240)</f>
      </c>
      <c r="V240" s="689">
        <f>IF($D240="","",IFERROR(出来高!E240/AVERAGE(出来高!E240:I240),""))</f>
      </c>
      <c r="W240" s="690">
        <f>IF($D240="","",IF(AND($D240&gt;$G240,$O240="拡大↑",$L240&lt;=$M240*1.8),"◎スクイーズブレイク買",IF(AND($D240&gt;=$H240,$R240&gt;=BB設定!$B$10),"○順張り継続(walk)",IF(AND($S240="強気div▲",$D240&gt;$I240),"○反発(ダイバ)買",IF($U240="二番底W▲","△二番底買(確)",IF($U240="二番底W形成","△二番底形成",IF($D240&lt;$J240,"▼-2σ割れ危険",IF(AND($D240&gt;$E240,$K240&lt;0.6,$R240&gt;=50),"・押し目注目",IF($N240="スクイーズ★","☆スクイーズ監視","様子見")))))))))</f>
      </c>
      <c r="X240" s="685">
        <f>IF($D240="","",MIN(100,IF($L240&lt;=$M240*1.15,20,IF($L240&lt;=$M240*1.4,10,0))+IF($D240&gt;$G240,20,IF($D240&gt;$H240,12,IF($D240&gt;$E240,5,0)))+IF($O240="拡大↑",10,0)+IF($R240&gt;=80,15,IF($R240&gt;=60,10,IF($R240&gt;=50,5,0)))+IF(AND($Q240&gt;=50,$Q240&lt;=70),10,IF($Q240&gt;70,3,IF($Q240&gt;=40,5,0)))+IF($S240="強気div▲",15,0)+IF($T240="上walk▲",5,0)+IF($V240&gt;=2,5,IF($V240&gt;=1.5,3,0))))</f>
      </c>
      <c r="Y240" s="682">
        <f>IF($D240="","",$D240)</f>
      </c>
      <c r="Z240" s="682">
        <f>IF($D240="","",$H240)</f>
      </c>
      <c r="AA240" s="682">
        <f>IF($D240="","",IF($D240&gt;$E240,$E240,$AD240))</f>
      </c>
      <c r="AB240" s="682">
        <f>IF($D240="","",$G240)</f>
      </c>
      <c r="AC240" s="688">
        <f>IF($D240="","",IF(($Y240-$AA240)&lt;=0,"－",IFERROR(ROUND(MIN(20,($AB240-$Y240)/($Y240-$AA240)),2),"－")))</f>
      </c>
      <c r="AD240" s="682">
        <f>IF($D240="","",MIN(終値!E240:I240))</f>
      </c>
      <c r="AE240" s="684">
        <f>IF($D240="","",$X240+(10000-ROW())/100000)</f>
      </c>
    </row>
    <row r="241">
      <c r="A241" s="681">
        <f>IF(終値!A241="","",HYPERLINK("https://kabutan.jp/stock/?code="&amp;終値!A241,"📈"))</f>
      </c>
      <c r="B241" s="681">
        <f>IF(終値!A241="","",終値!A241)</f>
      </c>
      <c r="C241" s="680">
        <f>IF(終値!A241="","",終値!B241)</f>
      </c>
      <c r="D241" s="682">
        <f>IF(終値!A241="","",終値!E241)</f>
      </c>
      <c r="E241" s="682">
        <f>IF($D241="","",AVERAGE(終値!E241:X241))</f>
      </c>
      <c r="F241" s="683">
        <f>IF($D241="","",STDEVP(終値!E241:X241))</f>
      </c>
      <c r="G241" s="682">
        <f>IF($D241="","",$E241+BB設定!$B$4*$F241)</f>
      </c>
      <c r="H241" s="682">
        <f>IF($D241="","",$E241+BB設定!$B$5*$F241)</f>
      </c>
      <c r="I241" s="682">
        <f>IF($D241="","",$E241-BB設定!$B$5*$F241)</f>
      </c>
      <c r="J241" s="682">
        <f>IF($D241="","",$E241-BB設定!$B$4*$F241)</f>
      </c>
      <c r="K241" s="687">
        <f>IF($D241="","",IFERROR(($D241-$J241)/($G241-$J241),""))</f>
      </c>
      <c r="L241" s="686">
        <f>IF($D241="","",IFERROR(($G241-$J241)/$E241*100,""))</f>
      </c>
      <c r="M241" s="686">
        <f>IF($D241="","",IFERROR(MIN(BB_帯幅!B241:AP241)*100,""))</f>
      </c>
      <c r="N241" s="681">
        <f>IF($L241="","",IF($L241&lt;=$M241*BB設定!$B$7,"スクイーズ★",IF($L241&lt;=$M241*1.3,"収縮","－")))</f>
      </c>
      <c r="O241" s="681">
        <f>IF($D241="","",IF($L241&gt;(4*STDEVP(終値!F241:Y241)/AVERAGE(終値!F241:Y241)*100),"拡大↑","縮小↓"))</f>
      </c>
      <c r="P241" s="681">
        <f>IF($D241="","",IF($D241&gt;$G241,"↑+2σ突破",IF($D241&lt;$J241,"↓-2σ割れ",IF($D241&gt;$H241,"+1σ上",IF($D241&lt;$I241,"-1σ下","バンド内")))))</f>
      </c>
      <c r="Q241" s="684">
        <f>IF($D241="","",IFERROR(100-100/(1+SUMPRODUCT((終値!E241:R241&gt;終値!F241:S241)*(終値!E241:R241-終値!F241:S241))/SUMPRODUCT((終値!E241:R241&lt;終値!F241:S241)*(終値!F241:S241-終値!E241:R241))),100))</f>
      </c>
      <c r="R241" s="684">
        <f>IF($D241="","",IFERROR(100-100/(1+SUMPRODUCT((((高値!E241:R241+安値!E241:R241+終値!E241:R241)/3)&gt;((高値!F241:S241+安値!F241:S241+終値!F241:S241)/3))*((高値!E241:R241+安値!E241:R241+終値!E241:R241)/3)*出来高!E241:R241)/SUMPRODUCT((((高値!E241:R241+安値!E241:R241+終値!E241:R241)/3)&lt;((高値!F241:S241+安値!F241:S241+終値!F241:S241)/3))*((高値!E241:R241+安値!E241:R241+終値!E241:R241)/3)*出来高!E241:R241)),50))</f>
      </c>
      <c r="S241" s="681">
        <f>IF($D241="","",IF(AND(終値!E241&lt;終値!O241,$Q241&gt;(IFERROR(100-100/(1+SUMPRODUCT((終値!O241:AB241&gt;終値!P241:AC241)*(終値!O241:AB241-終値!P241:AC241))/SUMPRODUCT((終値!O241:AB241&lt;終値!P241:AC241)*(終値!P241:AC241-終値!O241:AB241))),100))),"強気div▲",IF(AND(終値!E241&gt;終値!O241,$Q241&lt;(IFERROR(100-100/(1+SUMPRODUCT((終値!O241:AB241&gt;終値!P241:AC241)*(終値!O241:AB241-終値!P241:AC241))/SUMPRODUCT((終値!O241:AB241&lt;終値!P241:AC241)*(終値!P241:AC241-終値!O241:AB241))),100))),"弱気div▼","－")))</f>
      </c>
      <c r="T241" s="681">
        <f>IF($D241="","",IF($D241&gt;=$H241,"上walk▲",IF($D241&lt;=$I241,"下walk▼","－")))</f>
      </c>
      <c r="U241" s="681">
        <f>IF(終値!A241="","",BB_スイング!BT241)</f>
      </c>
      <c r="V241" s="689">
        <f>IF($D241="","",IFERROR(出来高!E241/AVERAGE(出来高!E241:I241),""))</f>
      </c>
      <c r="W241" s="690">
        <f>IF($D241="","",IF(AND($D241&gt;$G241,$O241="拡大↑",$L241&lt;=$M241*1.8),"◎スクイーズブレイク買",IF(AND($D241&gt;=$H241,$R241&gt;=BB設定!$B$10),"○順張り継続(walk)",IF(AND($S241="強気div▲",$D241&gt;$I241),"○反発(ダイバ)買",IF($U241="二番底W▲","△二番底買(確)",IF($U241="二番底W形成","△二番底形成",IF($D241&lt;$J241,"▼-2σ割れ危険",IF(AND($D241&gt;$E241,$K241&lt;0.6,$R241&gt;=50),"・押し目注目",IF($N241="スクイーズ★","☆スクイーズ監視","様子見")))))))))</f>
      </c>
      <c r="X241" s="685">
        <f>IF($D241="","",MIN(100,IF($L241&lt;=$M241*1.15,20,IF($L241&lt;=$M241*1.4,10,0))+IF($D241&gt;$G241,20,IF($D241&gt;$H241,12,IF($D241&gt;$E241,5,0)))+IF($O241="拡大↑",10,0)+IF($R241&gt;=80,15,IF($R241&gt;=60,10,IF($R241&gt;=50,5,0)))+IF(AND($Q241&gt;=50,$Q241&lt;=70),10,IF($Q241&gt;70,3,IF($Q241&gt;=40,5,0)))+IF($S241="強気div▲",15,0)+IF($T241="上walk▲",5,0)+IF($V241&gt;=2,5,IF($V241&gt;=1.5,3,0))))</f>
      </c>
      <c r="Y241" s="682">
        <f>IF($D241="","",$D241)</f>
      </c>
      <c r="Z241" s="682">
        <f>IF($D241="","",$H241)</f>
      </c>
      <c r="AA241" s="682">
        <f>IF($D241="","",IF($D241&gt;$E241,$E241,$AD241))</f>
      </c>
      <c r="AB241" s="682">
        <f>IF($D241="","",$G241)</f>
      </c>
      <c r="AC241" s="688">
        <f>IF($D241="","",IF(($Y241-$AA241)&lt;=0,"－",IFERROR(ROUND(MIN(20,($AB241-$Y241)/($Y241-$AA241)),2),"－")))</f>
      </c>
      <c r="AD241" s="682">
        <f>IF($D241="","",MIN(終値!E241:I241))</f>
      </c>
      <c r="AE241" s="684">
        <f>IF($D241="","",$X241+(10000-ROW())/100000)</f>
      </c>
    </row>
    <row r="242">
      <c r="A242" s="681">
        <f>IF(終値!A242="","",HYPERLINK("https://kabutan.jp/stock/?code="&amp;終値!A242,"📈"))</f>
      </c>
      <c r="B242" s="681">
        <f>IF(終値!A242="","",終値!A242)</f>
      </c>
      <c r="C242" s="680">
        <f>IF(終値!A242="","",終値!B242)</f>
      </c>
      <c r="D242" s="682">
        <f>IF(終値!A242="","",終値!E242)</f>
      </c>
      <c r="E242" s="682">
        <f>IF($D242="","",AVERAGE(終値!E242:X242))</f>
      </c>
      <c r="F242" s="683">
        <f>IF($D242="","",STDEVP(終値!E242:X242))</f>
      </c>
      <c r="G242" s="682">
        <f>IF($D242="","",$E242+BB設定!$B$4*$F242)</f>
      </c>
      <c r="H242" s="682">
        <f>IF($D242="","",$E242+BB設定!$B$5*$F242)</f>
      </c>
      <c r="I242" s="682">
        <f>IF($D242="","",$E242-BB設定!$B$5*$F242)</f>
      </c>
      <c r="J242" s="682">
        <f>IF($D242="","",$E242-BB設定!$B$4*$F242)</f>
      </c>
      <c r="K242" s="687">
        <f>IF($D242="","",IFERROR(($D242-$J242)/($G242-$J242),""))</f>
      </c>
      <c r="L242" s="686">
        <f>IF($D242="","",IFERROR(($G242-$J242)/$E242*100,""))</f>
      </c>
      <c r="M242" s="686">
        <f>IF($D242="","",IFERROR(MIN(BB_帯幅!B242:AP242)*100,""))</f>
      </c>
      <c r="N242" s="681">
        <f>IF($L242="","",IF($L242&lt;=$M242*BB設定!$B$7,"スクイーズ★",IF($L242&lt;=$M242*1.3,"収縮","－")))</f>
      </c>
      <c r="O242" s="681">
        <f>IF($D242="","",IF($L242&gt;(4*STDEVP(終値!F242:Y242)/AVERAGE(終値!F242:Y242)*100),"拡大↑","縮小↓"))</f>
      </c>
      <c r="P242" s="681">
        <f>IF($D242="","",IF($D242&gt;$G242,"↑+2σ突破",IF($D242&lt;$J242,"↓-2σ割れ",IF($D242&gt;$H242,"+1σ上",IF($D242&lt;$I242,"-1σ下","バンド内")))))</f>
      </c>
      <c r="Q242" s="684">
        <f>IF($D242="","",IFERROR(100-100/(1+SUMPRODUCT((終値!E242:R242&gt;終値!F242:S242)*(終値!E242:R242-終値!F242:S242))/SUMPRODUCT((終値!E242:R242&lt;終値!F242:S242)*(終値!F242:S242-終値!E242:R242))),100))</f>
      </c>
      <c r="R242" s="684">
        <f>IF($D242="","",IFERROR(100-100/(1+SUMPRODUCT((((高値!E242:R242+安値!E242:R242+終値!E242:R242)/3)&gt;((高値!F242:S242+安値!F242:S242+終値!F242:S242)/3))*((高値!E242:R242+安値!E242:R242+終値!E242:R242)/3)*出来高!E242:R242)/SUMPRODUCT((((高値!E242:R242+安値!E242:R242+終値!E242:R242)/3)&lt;((高値!F242:S242+安値!F242:S242+終値!F242:S242)/3))*((高値!E242:R242+安値!E242:R242+終値!E242:R242)/3)*出来高!E242:R242)),50))</f>
      </c>
      <c r="S242" s="681">
        <f>IF($D242="","",IF(AND(終値!E242&lt;終値!O242,$Q242&gt;(IFERROR(100-100/(1+SUMPRODUCT((終値!O242:AB242&gt;終値!P242:AC242)*(終値!O242:AB242-終値!P242:AC242))/SUMPRODUCT((終値!O242:AB242&lt;終値!P242:AC242)*(終値!P242:AC242-終値!O242:AB242))),100))),"強気div▲",IF(AND(終値!E242&gt;終値!O242,$Q242&lt;(IFERROR(100-100/(1+SUMPRODUCT((終値!O242:AB242&gt;終値!P242:AC242)*(終値!O242:AB242-終値!P242:AC242))/SUMPRODUCT((終値!O242:AB242&lt;終値!P242:AC242)*(終値!P242:AC242-終値!O242:AB242))),100))),"弱気div▼","－")))</f>
      </c>
      <c r="T242" s="681">
        <f>IF($D242="","",IF($D242&gt;=$H242,"上walk▲",IF($D242&lt;=$I242,"下walk▼","－")))</f>
      </c>
      <c r="U242" s="681">
        <f>IF(終値!A242="","",BB_スイング!BT242)</f>
      </c>
      <c r="V242" s="689">
        <f>IF($D242="","",IFERROR(出来高!E242/AVERAGE(出来高!E242:I242),""))</f>
      </c>
      <c r="W242" s="690">
        <f>IF($D242="","",IF(AND($D242&gt;$G242,$O242="拡大↑",$L242&lt;=$M242*1.8),"◎スクイーズブレイク買",IF(AND($D242&gt;=$H242,$R242&gt;=BB設定!$B$10),"○順張り継続(walk)",IF(AND($S242="強気div▲",$D242&gt;$I242),"○反発(ダイバ)買",IF($U242="二番底W▲","△二番底買(確)",IF($U242="二番底W形成","△二番底形成",IF($D242&lt;$J242,"▼-2σ割れ危険",IF(AND($D242&gt;$E242,$K242&lt;0.6,$R242&gt;=50),"・押し目注目",IF($N242="スクイーズ★","☆スクイーズ監視","様子見")))))))))</f>
      </c>
      <c r="X242" s="685">
        <f>IF($D242="","",MIN(100,IF($L242&lt;=$M242*1.15,20,IF($L242&lt;=$M242*1.4,10,0))+IF($D242&gt;$G242,20,IF($D242&gt;$H242,12,IF($D242&gt;$E242,5,0)))+IF($O242="拡大↑",10,0)+IF($R242&gt;=80,15,IF($R242&gt;=60,10,IF($R242&gt;=50,5,0)))+IF(AND($Q242&gt;=50,$Q242&lt;=70),10,IF($Q242&gt;70,3,IF($Q242&gt;=40,5,0)))+IF($S242="強気div▲",15,0)+IF($T242="上walk▲",5,0)+IF($V242&gt;=2,5,IF($V242&gt;=1.5,3,0))))</f>
      </c>
      <c r="Y242" s="682">
        <f>IF($D242="","",$D242)</f>
      </c>
      <c r="Z242" s="682">
        <f>IF($D242="","",$H242)</f>
      </c>
      <c r="AA242" s="682">
        <f>IF($D242="","",IF($D242&gt;$E242,$E242,$AD242))</f>
      </c>
      <c r="AB242" s="682">
        <f>IF($D242="","",$G242)</f>
      </c>
      <c r="AC242" s="688">
        <f>IF($D242="","",IF(($Y242-$AA242)&lt;=0,"－",IFERROR(ROUND(MIN(20,($AB242-$Y242)/($Y242-$AA242)),2),"－")))</f>
      </c>
      <c r="AD242" s="682">
        <f>IF($D242="","",MIN(終値!E242:I242))</f>
      </c>
      <c r="AE242" s="684">
        <f>IF($D242="","",$X242+(10000-ROW())/100000)</f>
      </c>
    </row>
    <row r="243">
      <c r="A243" s="681">
        <f>IF(終値!A243="","",HYPERLINK("https://kabutan.jp/stock/?code="&amp;終値!A243,"📈"))</f>
      </c>
      <c r="B243" s="681">
        <f>IF(終値!A243="","",終値!A243)</f>
      </c>
      <c r="C243" s="680">
        <f>IF(終値!A243="","",終値!B243)</f>
      </c>
      <c r="D243" s="682">
        <f>IF(終値!A243="","",終値!E243)</f>
      </c>
      <c r="E243" s="682">
        <f>IF($D243="","",AVERAGE(終値!E243:X243))</f>
      </c>
      <c r="F243" s="683">
        <f>IF($D243="","",STDEVP(終値!E243:X243))</f>
      </c>
      <c r="G243" s="682">
        <f>IF($D243="","",$E243+BB設定!$B$4*$F243)</f>
      </c>
      <c r="H243" s="682">
        <f>IF($D243="","",$E243+BB設定!$B$5*$F243)</f>
      </c>
      <c r="I243" s="682">
        <f>IF($D243="","",$E243-BB設定!$B$5*$F243)</f>
      </c>
      <c r="J243" s="682">
        <f>IF($D243="","",$E243-BB設定!$B$4*$F243)</f>
      </c>
      <c r="K243" s="687">
        <f>IF($D243="","",IFERROR(($D243-$J243)/($G243-$J243),""))</f>
      </c>
      <c r="L243" s="686">
        <f>IF($D243="","",IFERROR(($G243-$J243)/$E243*100,""))</f>
      </c>
      <c r="M243" s="686">
        <f>IF($D243="","",IFERROR(MIN(BB_帯幅!B243:AP243)*100,""))</f>
      </c>
      <c r="N243" s="681">
        <f>IF($L243="","",IF($L243&lt;=$M243*BB設定!$B$7,"スクイーズ★",IF($L243&lt;=$M243*1.3,"収縮","－")))</f>
      </c>
      <c r="O243" s="681">
        <f>IF($D243="","",IF($L243&gt;(4*STDEVP(終値!F243:Y243)/AVERAGE(終値!F243:Y243)*100),"拡大↑","縮小↓"))</f>
      </c>
      <c r="P243" s="681">
        <f>IF($D243="","",IF($D243&gt;$G243,"↑+2σ突破",IF($D243&lt;$J243,"↓-2σ割れ",IF($D243&gt;$H243,"+1σ上",IF($D243&lt;$I243,"-1σ下","バンド内")))))</f>
      </c>
      <c r="Q243" s="684">
        <f>IF($D243="","",IFERROR(100-100/(1+SUMPRODUCT((終値!E243:R243&gt;終値!F243:S243)*(終値!E243:R243-終値!F243:S243))/SUMPRODUCT((終値!E243:R243&lt;終値!F243:S243)*(終値!F243:S243-終値!E243:R243))),100))</f>
      </c>
      <c r="R243" s="684">
        <f>IF($D243="","",IFERROR(100-100/(1+SUMPRODUCT((((高値!E243:R243+安値!E243:R243+終値!E243:R243)/3)&gt;((高値!F243:S243+安値!F243:S243+終値!F243:S243)/3))*((高値!E243:R243+安値!E243:R243+終値!E243:R243)/3)*出来高!E243:R243)/SUMPRODUCT((((高値!E243:R243+安値!E243:R243+終値!E243:R243)/3)&lt;((高値!F243:S243+安値!F243:S243+終値!F243:S243)/3))*((高値!E243:R243+安値!E243:R243+終値!E243:R243)/3)*出来高!E243:R243)),50))</f>
      </c>
      <c r="S243" s="681">
        <f>IF($D243="","",IF(AND(終値!E243&lt;終値!O243,$Q243&gt;(IFERROR(100-100/(1+SUMPRODUCT((終値!O243:AB243&gt;終値!P243:AC243)*(終値!O243:AB243-終値!P243:AC243))/SUMPRODUCT((終値!O243:AB243&lt;終値!P243:AC243)*(終値!P243:AC243-終値!O243:AB243))),100))),"強気div▲",IF(AND(終値!E243&gt;終値!O243,$Q243&lt;(IFERROR(100-100/(1+SUMPRODUCT((終値!O243:AB243&gt;終値!P243:AC243)*(終値!O243:AB243-終値!P243:AC243))/SUMPRODUCT((終値!O243:AB243&lt;終値!P243:AC243)*(終値!P243:AC243-終値!O243:AB243))),100))),"弱気div▼","－")))</f>
      </c>
      <c r="T243" s="681">
        <f>IF($D243="","",IF($D243&gt;=$H243,"上walk▲",IF($D243&lt;=$I243,"下walk▼","－")))</f>
      </c>
      <c r="U243" s="681">
        <f>IF(終値!A243="","",BB_スイング!BT243)</f>
      </c>
      <c r="V243" s="689">
        <f>IF($D243="","",IFERROR(出来高!E243/AVERAGE(出来高!E243:I243),""))</f>
      </c>
      <c r="W243" s="690">
        <f>IF($D243="","",IF(AND($D243&gt;$G243,$O243="拡大↑",$L243&lt;=$M243*1.8),"◎スクイーズブレイク買",IF(AND($D243&gt;=$H243,$R243&gt;=BB設定!$B$10),"○順張り継続(walk)",IF(AND($S243="強気div▲",$D243&gt;$I243),"○反発(ダイバ)買",IF($U243="二番底W▲","△二番底買(確)",IF($U243="二番底W形成","△二番底形成",IF($D243&lt;$J243,"▼-2σ割れ危険",IF(AND($D243&gt;$E243,$K243&lt;0.6,$R243&gt;=50),"・押し目注目",IF($N243="スクイーズ★","☆スクイーズ監視","様子見")))))))))</f>
      </c>
      <c r="X243" s="685">
        <f>IF($D243="","",MIN(100,IF($L243&lt;=$M243*1.15,20,IF($L243&lt;=$M243*1.4,10,0))+IF($D243&gt;$G243,20,IF($D243&gt;$H243,12,IF($D243&gt;$E243,5,0)))+IF($O243="拡大↑",10,0)+IF($R243&gt;=80,15,IF($R243&gt;=60,10,IF($R243&gt;=50,5,0)))+IF(AND($Q243&gt;=50,$Q243&lt;=70),10,IF($Q243&gt;70,3,IF($Q243&gt;=40,5,0)))+IF($S243="強気div▲",15,0)+IF($T243="上walk▲",5,0)+IF($V243&gt;=2,5,IF($V243&gt;=1.5,3,0))))</f>
      </c>
      <c r="Y243" s="682">
        <f>IF($D243="","",$D243)</f>
      </c>
      <c r="Z243" s="682">
        <f>IF($D243="","",$H243)</f>
      </c>
      <c r="AA243" s="682">
        <f>IF($D243="","",IF($D243&gt;$E243,$E243,$AD243))</f>
      </c>
      <c r="AB243" s="682">
        <f>IF($D243="","",$G243)</f>
      </c>
      <c r="AC243" s="688">
        <f>IF($D243="","",IF(($Y243-$AA243)&lt;=0,"－",IFERROR(ROUND(MIN(20,($AB243-$Y243)/($Y243-$AA243)),2),"－")))</f>
      </c>
      <c r="AD243" s="682">
        <f>IF($D243="","",MIN(終値!E243:I243))</f>
      </c>
      <c r="AE243" s="684">
        <f>IF($D243="","",$X243+(10000-ROW())/100000)</f>
      </c>
    </row>
    <row r="244">
      <c r="A244" s="681">
        <f>IF(終値!A244="","",HYPERLINK("https://kabutan.jp/stock/?code="&amp;終値!A244,"📈"))</f>
      </c>
      <c r="B244" s="681">
        <f>IF(終値!A244="","",終値!A244)</f>
      </c>
      <c r="C244" s="680">
        <f>IF(終値!A244="","",終値!B244)</f>
      </c>
      <c r="D244" s="682">
        <f>IF(終値!A244="","",終値!E244)</f>
      </c>
      <c r="E244" s="682">
        <f>IF($D244="","",AVERAGE(終値!E244:X244))</f>
      </c>
      <c r="F244" s="683">
        <f>IF($D244="","",STDEVP(終値!E244:X244))</f>
      </c>
      <c r="G244" s="682">
        <f>IF($D244="","",$E244+BB設定!$B$4*$F244)</f>
      </c>
      <c r="H244" s="682">
        <f>IF($D244="","",$E244+BB設定!$B$5*$F244)</f>
      </c>
      <c r="I244" s="682">
        <f>IF($D244="","",$E244-BB設定!$B$5*$F244)</f>
      </c>
      <c r="J244" s="682">
        <f>IF($D244="","",$E244-BB設定!$B$4*$F244)</f>
      </c>
      <c r="K244" s="687">
        <f>IF($D244="","",IFERROR(($D244-$J244)/($G244-$J244),""))</f>
      </c>
      <c r="L244" s="686">
        <f>IF($D244="","",IFERROR(($G244-$J244)/$E244*100,""))</f>
      </c>
      <c r="M244" s="686">
        <f>IF($D244="","",IFERROR(MIN(BB_帯幅!B244:AP244)*100,""))</f>
      </c>
      <c r="N244" s="681">
        <f>IF($L244="","",IF($L244&lt;=$M244*BB設定!$B$7,"スクイーズ★",IF($L244&lt;=$M244*1.3,"収縮","－")))</f>
      </c>
      <c r="O244" s="681">
        <f>IF($D244="","",IF($L244&gt;(4*STDEVP(終値!F244:Y244)/AVERAGE(終値!F244:Y244)*100),"拡大↑","縮小↓"))</f>
      </c>
      <c r="P244" s="681">
        <f>IF($D244="","",IF($D244&gt;$G244,"↑+2σ突破",IF($D244&lt;$J244,"↓-2σ割れ",IF($D244&gt;$H244,"+1σ上",IF($D244&lt;$I244,"-1σ下","バンド内")))))</f>
      </c>
      <c r="Q244" s="684">
        <f>IF($D244="","",IFERROR(100-100/(1+SUMPRODUCT((終値!E244:R244&gt;終値!F244:S244)*(終値!E244:R244-終値!F244:S244))/SUMPRODUCT((終値!E244:R244&lt;終値!F244:S244)*(終値!F244:S244-終値!E244:R244))),100))</f>
      </c>
      <c r="R244" s="684">
        <f>IF($D244="","",IFERROR(100-100/(1+SUMPRODUCT((((高値!E244:R244+安値!E244:R244+終値!E244:R244)/3)&gt;((高値!F244:S244+安値!F244:S244+終値!F244:S244)/3))*((高値!E244:R244+安値!E244:R244+終値!E244:R244)/3)*出来高!E244:R244)/SUMPRODUCT((((高値!E244:R244+安値!E244:R244+終値!E244:R244)/3)&lt;((高値!F244:S244+安値!F244:S244+終値!F244:S244)/3))*((高値!E244:R244+安値!E244:R244+終値!E244:R244)/3)*出来高!E244:R244)),50))</f>
      </c>
      <c r="S244" s="681">
        <f>IF($D244="","",IF(AND(終値!E244&lt;終値!O244,$Q244&gt;(IFERROR(100-100/(1+SUMPRODUCT((終値!O244:AB244&gt;終値!P244:AC244)*(終値!O244:AB244-終値!P244:AC244))/SUMPRODUCT((終値!O244:AB244&lt;終値!P244:AC244)*(終値!P244:AC244-終値!O244:AB244))),100))),"強気div▲",IF(AND(終値!E244&gt;終値!O244,$Q244&lt;(IFERROR(100-100/(1+SUMPRODUCT((終値!O244:AB244&gt;終値!P244:AC244)*(終値!O244:AB244-終値!P244:AC244))/SUMPRODUCT((終値!O244:AB244&lt;終値!P244:AC244)*(終値!P244:AC244-終値!O244:AB244))),100))),"弱気div▼","－")))</f>
      </c>
      <c r="T244" s="681">
        <f>IF($D244="","",IF($D244&gt;=$H244,"上walk▲",IF($D244&lt;=$I244,"下walk▼","－")))</f>
      </c>
      <c r="U244" s="681">
        <f>IF(終値!A244="","",BB_スイング!BT244)</f>
      </c>
      <c r="V244" s="689">
        <f>IF($D244="","",IFERROR(出来高!E244/AVERAGE(出来高!E244:I244),""))</f>
      </c>
      <c r="W244" s="690">
        <f>IF($D244="","",IF(AND($D244&gt;$G244,$O244="拡大↑",$L244&lt;=$M244*1.8),"◎スクイーズブレイク買",IF(AND($D244&gt;=$H244,$R244&gt;=BB設定!$B$10),"○順張り継続(walk)",IF(AND($S244="強気div▲",$D244&gt;$I244),"○反発(ダイバ)買",IF($U244="二番底W▲","△二番底買(確)",IF($U244="二番底W形成","△二番底形成",IF($D244&lt;$J244,"▼-2σ割れ危険",IF(AND($D244&gt;$E244,$K244&lt;0.6,$R244&gt;=50),"・押し目注目",IF($N244="スクイーズ★","☆スクイーズ監視","様子見")))))))))</f>
      </c>
      <c r="X244" s="685">
        <f>IF($D244="","",MIN(100,IF($L244&lt;=$M244*1.15,20,IF($L244&lt;=$M244*1.4,10,0))+IF($D244&gt;$G244,20,IF($D244&gt;$H244,12,IF($D244&gt;$E244,5,0)))+IF($O244="拡大↑",10,0)+IF($R244&gt;=80,15,IF($R244&gt;=60,10,IF($R244&gt;=50,5,0)))+IF(AND($Q244&gt;=50,$Q244&lt;=70),10,IF($Q244&gt;70,3,IF($Q244&gt;=40,5,0)))+IF($S244="強気div▲",15,0)+IF($T244="上walk▲",5,0)+IF($V244&gt;=2,5,IF($V244&gt;=1.5,3,0))))</f>
      </c>
      <c r="Y244" s="682">
        <f>IF($D244="","",$D244)</f>
      </c>
      <c r="Z244" s="682">
        <f>IF($D244="","",$H244)</f>
      </c>
      <c r="AA244" s="682">
        <f>IF($D244="","",IF($D244&gt;$E244,$E244,$AD244))</f>
      </c>
      <c r="AB244" s="682">
        <f>IF($D244="","",$G244)</f>
      </c>
      <c r="AC244" s="688">
        <f>IF($D244="","",IF(($Y244-$AA244)&lt;=0,"－",IFERROR(ROUND(MIN(20,($AB244-$Y244)/($Y244-$AA244)),2),"－")))</f>
      </c>
      <c r="AD244" s="682">
        <f>IF($D244="","",MIN(終値!E244:I244))</f>
      </c>
      <c r="AE244" s="684">
        <f>IF($D244="","",$X244+(10000-ROW())/100000)</f>
      </c>
    </row>
    <row r="245">
      <c r="A245" s="681">
        <f>IF(終値!A245="","",HYPERLINK("https://kabutan.jp/stock/?code="&amp;終値!A245,"📈"))</f>
      </c>
      <c r="B245" s="681">
        <f>IF(終値!A245="","",終値!A245)</f>
      </c>
      <c r="C245" s="680">
        <f>IF(終値!A245="","",終値!B245)</f>
      </c>
      <c r="D245" s="682">
        <f>IF(終値!A245="","",終値!E245)</f>
      </c>
      <c r="E245" s="682">
        <f>IF($D245="","",AVERAGE(終値!E245:X245))</f>
      </c>
      <c r="F245" s="683">
        <f>IF($D245="","",STDEVP(終値!E245:X245))</f>
      </c>
      <c r="G245" s="682">
        <f>IF($D245="","",$E245+BB設定!$B$4*$F245)</f>
      </c>
      <c r="H245" s="682">
        <f>IF($D245="","",$E245+BB設定!$B$5*$F245)</f>
      </c>
      <c r="I245" s="682">
        <f>IF($D245="","",$E245-BB設定!$B$5*$F245)</f>
      </c>
      <c r="J245" s="682">
        <f>IF($D245="","",$E245-BB設定!$B$4*$F245)</f>
      </c>
      <c r="K245" s="687">
        <f>IF($D245="","",IFERROR(($D245-$J245)/($G245-$J245),""))</f>
      </c>
      <c r="L245" s="686">
        <f>IF($D245="","",IFERROR(($G245-$J245)/$E245*100,""))</f>
      </c>
      <c r="M245" s="686">
        <f>IF($D245="","",IFERROR(MIN(BB_帯幅!B245:AP245)*100,""))</f>
      </c>
      <c r="N245" s="681">
        <f>IF($L245="","",IF($L245&lt;=$M245*BB設定!$B$7,"スクイーズ★",IF($L245&lt;=$M245*1.3,"収縮","－")))</f>
      </c>
      <c r="O245" s="681">
        <f>IF($D245="","",IF($L245&gt;(4*STDEVP(終値!F245:Y245)/AVERAGE(終値!F245:Y245)*100),"拡大↑","縮小↓"))</f>
      </c>
      <c r="P245" s="681">
        <f>IF($D245="","",IF($D245&gt;$G245,"↑+2σ突破",IF($D245&lt;$J245,"↓-2σ割れ",IF($D245&gt;$H245,"+1σ上",IF($D245&lt;$I245,"-1σ下","バンド内")))))</f>
      </c>
      <c r="Q245" s="684">
        <f>IF($D245="","",IFERROR(100-100/(1+SUMPRODUCT((終値!E245:R245&gt;終値!F245:S245)*(終値!E245:R245-終値!F245:S245))/SUMPRODUCT((終値!E245:R245&lt;終値!F245:S245)*(終値!F245:S245-終値!E245:R245))),100))</f>
      </c>
      <c r="R245" s="684">
        <f>IF($D245="","",IFERROR(100-100/(1+SUMPRODUCT((((高値!E245:R245+安値!E245:R245+終値!E245:R245)/3)&gt;((高値!F245:S245+安値!F245:S245+終値!F245:S245)/3))*((高値!E245:R245+安値!E245:R245+終値!E245:R245)/3)*出来高!E245:R245)/SUMPRODUCT((((高値!E245:R245+安値!E245:R245+終値!E245:R245)/3)&lt;((高値!F245:S245+安値!F245:S245+終値!F245:S245)/3))*((高値!E245:R245+安値!E245:R245+終値!E245:R245)/3)*出来高!E245:R245)),50))</f>
      </c>
      <c r="S245" s="681">
        <f>IF($D245="","",IF(AND(終値!E245&lt;終値!O245,$Q245&gt;(IFERROR(100-100/(1+SUMPRODUCT((終値!O245:AB245&gt;終値!P245:AC245)*(終値!O245:AB245-終値!P245:AC245))/SUMPRODUCT((終値!O245:AB245&lt;終値!P245:AC245)*(終値!P245:AC245-終値!O245:AB245))),100))),"強気div▲",IF(AND(終値!E245&gt;終値!O245,$Q245&lt;(IFERROR(100-100/(1+SUMPRODUCT((終値!O245:AB245&gt;終値!P245:AC245)*(終値!O245:AB245-終値!P245:AC245))/SUMPRODUCT((終値!O245:AB245&lt;終値!P245:AC245)*(終値!P245:AC245-終値!O245:AB245))),100))),"弱気div▼","－")))</f>
      </c>
      <c r="T245" s="681">
        <f>IF($D245="","",IF($D245&gt;=$H245,"上walk▲",IF($D245&lt;=$I245,"下walk▼","－")))</f>
      </c>
      <c r="U245" s="681">
        <f>IF(終値!A245="","",BB_スイング!BT245)</f>
      </c>
      <c r="V245" s="689">
        <f>IF($D245="","",IFERROR(出来高!E245/AVERAGE(出来高!E245:I245),""))</f>
      </c>
      <c r="W245" s="690">
        <f>IF($D245="","",IF(AND($D245&gt;$G245,$O245="拡大↑",$L245&lt;=$M245*1.8),"◎スクイーズブレイク買",IF(AND($D245&gt;=$H245,$R245&gt;=BB設定!$B$10),"○順張り継続(walk)",IF(AND($S245="強気div▲",$D245&gt;$I245),"○反発(ダイバ)買",IF($U245="二番底W▲","△二番底買(確)",IF($U245="二番底W形成","△二番底形成",IF($D245&lt;$J245,"▼-2σ割れ危険",IF(AND($D245&gt;$E245,$K245&lt;0.6,$R245&gt;=50),"・押し目注目",IF($N245="スクイーズ★","☆スクイーズ監視","様子見")))))))))</f>
      </c>
      <c r="X245" s="685">
        <f>IF($D245="","",MIN(100,IF($L245&lt;=$M245*1.15,20,IF($L245&lt;=$M245*1.4,10,0))+IF($D245&gt;$G245,20,IF($D245&gt;$H245,12,IF($D245&gt;$E245,5,0)))+IF($O245="拡大↑",10,0)+IF($R245&gt;=80,15,IF($R245&gt;=60,10,IF($R245&gt;=50,5,0)))+IF(AND($Q245&gt;=50,$Q245&lt;=70),10,IF($Q245&gt;70,3,IF($Q245&gt;=40,5,0)))+IF($S245="強気div▲",15,0)+IF($T245="上walk▲",5,0)+IF($V245&gt;=2,5,IF($V245&gt;=1.5,3,0))))</f>
      </c>
      <c r="Y245" s="682">
        <f>IF($D245="","",$D245)</f>
      </c>
      <c r="Z245" s="682">
        <f>IF($D245="","",$H245)</f>
      </c>
      <c r="AA245" s="682">
        <f>IF($D245="","",IF($D245&gt;$E245,$E245,$AD245))</f>
      </c>
      <c r="AB245" s="682">
        <f>IF($D245="","",$G245)</f>
      </c>
      <c r="AC245" s="688">
        <f>IF($D245="","",IF(($Y245-$AA245)&lt;=0,"－",IFERROR(ROUND(MIN(20,($AB245-$Y245)/($Y245-$AA245)),2),"－")))</f>
      </c>
      <c r="AD245" s="682">
        <f>IF($D245="","",MIN(終値!E245:I245))</f>
      </c>
      <c r="AE245" s="684">
        <f>IF($D245="","",$X245+(10000-ROW())/100000)</f>
      </c>
    </row>
    <row r="246">
      <c r="A246" s="681">
        <f>IF(終値!A246="","",HYPERLINK("https://kabutan.jp/stock/?code="&amp;終値!A246,"📈"))</f>
      </c>
      <c r="B246" s="681">
        <f>IF(終値!A246="","",終値!A246)</f>
      </c>
      <c r="C246" s="680">
        <f>IF(終値!A246="","",終値!B246)</f>
      </c>
      <c r="D246" s="682">
        <f>IF(終値!A246="","",終値!E246)</f>
      </c>
      <c r="E246" s="682">
        <f>IF($D246="","",AVERAGE(終値!E246:X246))</f>
      </c>
      <c r="F246" s="683">
        <f>IF($D246="","",STDEVP(終値!E246:X246))</f>
      </c>
      <c r="G246" s="682">
        <f>IF($D246="","",$E246+BB設定!$B$4*$F246)</f>
      </c>
      <c r="H246" s="682">
        <f>IF($D246="","",$E246+BB設定!$B$5*$F246)</f>
      </c>
      <c r="I246" s="682">
        <f>IF($D246="","",$E246-BB設定!$B$5*$F246)</f>
      </c>
      <c r="J246" s="682">
        <f>IF($D246="","",$E246-BB設定!$B$4*$F246)</f>
      </c>
      <c r="K246" s="687">
        <f>IF($D246="","",IFERROR(($D246-$J246)/($G246-$J246),""))</f>
      </c>
      <c r="L246" s="686">
        <f>IF($D246="","",IFERROR(($G246-$J246)/$E246*100,""))</f>
      </c>
      <c r="M246" s="686">
        <f>IF($D246="","",IFERROR(MIN(BB_帯幅!B246:AP246)*100,""))</f>
      </c>
      <c r="N246" s="681">
        <f>IF($L246="","",IF($L246&lt;=$M246*BB設定!$B$7,"スクイーズ★",IF($L246&lt;=$M246*1.3,"収縮","－")))</f>
      </c>
      <c r="O246" s="681">
        <f>IF($D246="","",IF($L246&gt;(4*STDEVP(終値!F246:Y246)/AVERAGE(終値!F246:Y246)*100),"拡大↑","縮小↓"))</f>
      </c>
      <c r="P246" s="681">
        <f>IF($D246="","",IF($D246&gt;$G246,"↑+2σ突破",IF($D246&lt;$J246,"↓-2σ割れ",IF($D246&gt;$H246,"+1σ上",IF($D246&lt;$I246,"-1σ下","バンド内")))))</f>
      </c>
      <c r="Q246" s="684">
        <f>IF($D246="","",IFERROR(100-100/(1+SUMPRODUCT((終値!E246:R246&gt;終値!F246:S246)*(終値!E246:R246-終値!F246:S246))/SUMPRODUCT((終値!E246:R246&lt;終値!F246:S246)*(終値!F246:S246-終値!E246:R246))),100))</f>
      </c>
      <c r="R246" s="684">
        <f>IF($D246="","",IFERROR(100-100/(1+SUMPRODUCT((((高値!E246:R246+安値!E246:R246+終値!E246:R246)/3)&gt;((高値!F246:S246+安値!F246:S246+終値!F246:S246)/3))*((高値!E246:R246+安値!E246:R246+終値!E246:R246)/3)*出来高!E246:R246)/SUMPRODUCT((((高値!E246:R246+安値!E246:R246+終値!E246:R246)/3)&lt;((高値!F246:S246+安値!F246:S246+終値!F246:S246)/3))*((高値!E246:R246+安値!E246:R246+終値!E246:R246)/3)*出来高!E246:R246)),50))</f>
      </c>
      <c r="S246" s="681">
        <f>IF($D246="","",IF(AND(終値!E246&lt;終値!O246,$Q246&gt;(IFERROR(100-100/(1+SUMPRODUCT((終値!O246:AB246&gt;終値!P246:AC246)*(終値!O246:AB246-終値!P246:AC246))/SUMPRODUCT((終値!O246:AB246&lt;終値!P246:AC246)*(終値!P246:AC246-終値!O246:AB246))),100))),"強気div▲",IF(AND(終値!E246&gt;終値!O246,$Q246&lt;(IFERROR(100-100/(1+SUMPRODUCT((終値!O246:AB246&gt;終値!P246:AC246)*(終値!O246:AB246-終値!P246:AC246))/SUMPRODUCT((終値!O246:AB246&lt;終値!P246:AC246)*(終値!P246:AC246-終値!O246:AB246))),100))),"弱気div▼","－")))</f>
      </c>
      <c r="T246" s="681">
        <f>IF($D246="","",IF($D246&gt;=$H246,"上walk▲",IF($D246&lt;=$I246,"下walk▼","－")))</f>
      </c>
      <c r="U246" s="681">
        <f>IF(終値!A246="","",BB_スイング!BT246)</f>
      </c>
      <c r="V246" s="689">
        <f>IF($D246="","",IFERROR(出来高!E246/AVERAGE(出来高!E246:I246),""))</f>
      </c>
      <c r="W246" s="690">
        <f>IF($D246="","",IF(AND($D246&gt;$G246,$O246="拡大↑",$L246&lt;=$M246*1.8),"◎スクイーズブレイク買",IF(AND($D246&gt;=$H246,$R246&gt;=BB設定!$B$10),"○順張り継続(walk)",IF(AND($S246="強気div▲",$D246&gt;$I246),"○反発(ダイバ)買",IF($U246="二番底W▲","△二番底買(確)",IF($U246="二番底W形成","△二番底形成",IF($D246&lt;$J246,"▼-2σ割れ危険",IF(AND($D246&gt;$E246,$K246&lt;0.6,$R246&gt;=50),"・押し目注目",IF($N246="スクイーズ★","☆スクイーズ監視","様子見")))))))))</f>
      </c>
      <c r="X246" s="685">
        <f>IF($D246="","",MIN(100,IF($L246&lt;=$M246*1.15,20,IF($L246&lt;=$M246*1.4,10,0))+IF($D246&gt;$G246,20,IF($D246&gt;$H246,12,IF($D246&gt;$E246,5,0)))+IF($O246="拡大↑",10,0)+IF($R246&gt;=80,15,IF($R246&gt;=60,10,IF($R246&gt;=50,5,0)))+IF(AND($Q246&gt;=50,$Q246&lt;=70),10,IF($Q246&gt;70,3,IF($Q246&gt;=40,5,0)))+IF($S246="強気div▲",15,0)+IF($T246="上walk▲",5,0)+IF($V246&gt;=2,5,IF($V246&gt;=1.5,3,0))))</f>
      </c>
      <c r="Y246" s="682">
        <f>IF($D246="","",$D246)</f>
      </c>
      <c r="Z246" s="682">
        <f>IF($D246="","",$H246)</f>
      </c>
      <c r="AA246" s="682">
        <f>IF($D246="","",IF($D246&gt;$E246,$E246,$AD246))</f>
      </c>
      <c r="AB246" s="682">
        <f>IF($D246="","",$G246)</f>
      </c>
      <c r="AC246" s="688">
        <f>IF($D246="","",IF(($Y246-$AA246)&lt;=0,"－",IFERROR(ROUND(MIN(20,($AB246-$Y246)/($Y246-$AA246)),2),"－")))</f>
      </c>
      <c r="AD246" s="682">
        <f>IF($D246="","",MIN(終値!E246:I246))</f>
      </c>
      <c r="AE246" s="684">
        <f>IF($D246="","",$X246+(10000-ROW())/100000)</f>
      </c>
    </row>
    <row r="247">
      <c r="A247" s="681">
        <f>IF(終値!A247="","",HYPERLINK("https://kabutan.jp/stock/?code="&amp;終値!A247,"📈"))</f>
      </c>
      <c r="B247" s="681">
        <f>IF(終値!A247="","",終値!A247)</f>
      </c>
      <c r="C247" s="680">
        <f>IF(終値!A247="","",終値!B247)</f>
      </c>
      <c r="D247" s="682">
        <f>IF(終値!A247="","",終値!E247)</f>
      </c>
      <c r="E247" s="682">
        <f>IF($D247="","",AVERAGE(終値!E247:X247))</f>
      </c>
      <c r="F247" s="683">
        <f>IF($D247="","",STDEVP(終値!E247:X247))</f>
      </c>
      <c r="G247" s="682">
        <f>IF($D247="","",$E247+BB設定!$B$4*$F247)</f>
      </c>
      <c r="H247" s="682">
        <f>IF($D247="","",$E247+BB設定!$B$5*$F247)</f>
      </c>
      <c r="I247" s="682">
        <f>IF($D247="","",$E247-BB設定!$B$5*$F247)</f>
      </c>
      <c r="J247" s="682">
        <f>IF($D247="","",$E247-BB設定!$B$4*$F247)</f>
      </c>
      <c r="K247" s="687">
        <f>IF($D247="","",IFERROR(($D247-$J247)/($G247-$J247),""))</f>
      </c>
      <c r="L247" s="686">
        <f>IF($D247="","",IFERROR(($G247-$J247)/$E247*100,""))</f>
      </c>
      <c r="M247" s="686">
        <f>IF($D247="","",IFERROR(MIN(BB_帯幅!B247:AP247)*100,""))</f>
      </c>
      <c r="N247" s="681">
        <f>IF($L247="","",IF($L247&lt;=$M247*BB設定!$B$7,"スクイーズ★",IF($L247&lt;=$M247*1.3,"収縮","－")))</f>
      </c>
      <c r="O247" s="681">
        <f>IF($D247="","",IF($L247&gt;(4*STDEVP(終値!F247:Y247)/AVERAGE(終値!F247:Y247)*100),"拡大↑","縮小↓"))</f>
      </c>
      <c r="P247" s="681">
        <f>IF($D247="","",IF($D247&gt;$G247,"↑+2σ突破",IF($D247&lt;$J247,"↓-2σ割れ",IF($D247&gt;$H247,"+1σ上",IF($D247&lt;$I247,"-1σ下","バンド内")))))</f>
      </c>
      <c r="Q247" s="684">
        <f>IF($D247="","",IFERROR(100-100/(1+SUMPRODUCT((終値!E247:R247&gt;終値!F247:S247)*(終値!E247:R247-終値!F247:S247))/SUMPRODUCT((終値!E247:R247&lt;終値!F247:S247)*(終値!F247:S247-終値!E247:R247))),100))</f>
      </c>
      <c r="R247" s="684">
        <f>IF($D247="","",IFERROR(100-100/(1+SUMPRODUCT((((高値!E247:R247+安値!E247:R247+終値!E247:R247)/3)&gt;((高値!F247:S247+安値!F247:S247+終値!F247:S247)/3))*((高値!E247:R247+安値!E247:R247+終値!E247:R247)/3)*出来高!E247:R247)/SUMPRODUCT((((高値!E247:R247+安値!E247:R247+終値!E247:R247)/3)&lt;((高値!F247:S247+安値!F247:S247+終値!F247:S247)/3))*((高値!E247:R247+安値!E247:R247+終値!E247:R247)/3)*出来高!E247:R247)),50))</f>
      </c>
      <c r="S247" s="681">
        <f>IF($D247="","",IF(AND(終値!E247&lt;終値!O247,$Q247&gt;(IFERROR(100-100/(1+SUMPRODUCT((終値!O247:AB247&gt;終値!P247:AC247)*(終値!O247:AB247-終値!P247:AC247))/SUMPRODUCT((終値!O247:AB247&lt;終値!P247:AC247)*(終値!P247:AC247-終値!O247:AB247))),100))),"強気div▲",IF(AND(終値!E247&gt;終値!O247,$Q247&lt;(IFERROR(100-100/(1+SUMPRODUCT((終値!O247:AB247&gt;終値!P247:AC247)*(終値!O247:AB247-終値!P247:AC247))/SUMPRODUCT((終値!O247:AB247&lt;終値!P247:AC247)*(終値!P247:AC247-終値!O247:AB247))),100))),"弱気div▼","－")))</f>
      </c>
      <c r="T247" s="681">
        <f>IF($D247="","",IF($D247&gt;=$H247,"上walk▲",IF($D247&lt;=$I247,"下walk▼","－")))</f>
      </c>
      <c r="U247" s="681">
        <f>IF(終値!A247="","",BB_スイング!BT247)</f>
      </c>
      <c r="V247" s="689">
        <f>IF($D247="","",IFERROR(出来高!E247/AVERAGE(出来高!E247:I247),""))</f>
      </c>
      <c r="W247" s="690">
        <f>IF($D247="","",IF(AND($D247&gt;$G247,$O247="拡大↑",$L247&lt;=$M247*1.8),"◎スクイーズブレイク買",IF(AND($D247&gt;=$H247,$R247&gt;=BB設定!$B$10),"○順張り継続(walk)",IF(AND($S247="強気div▲",$D247&gt;$I247),"○反発(ダイバ)買",IF($U247="二番底W▲","△二番底買(確)",IF($U247="二番底W形成","△二番底形成",IF($D247&lt;$J247,"▼-2σ割れ危険",IF(AND($D247&gt;$E247,$K247&lt;0.6,$R247&gt;=50),"・押し目注目",IF($N247="スクイーズ★","☆スクイーズ監視","様子見")))))))))</f>
      </c>
      <c r="X247" s="685">
        <f>IF($D247="","",MIN(100,IF($L247&lt;=$M247*1.15,20,IF($L247&lt;=$M247*1.4,10,0))+IF($D247&gt;$G247,20,IF($D247&gt;$H247,12,IF($D247&gt;$E247,5,0)))+IF($O247="拡大↑",10,0)+IF($R247&gt;=80,15,IF($R247&gt;=60,10,IF($R247&gt;=50,5,0)))+IF(AND($Q247&gt;=50,$Q247&lt;=70),10,IF($Q247&gt;70,3,IF($Q247&gt;=40,5,0)))+IF($S247="強気div▲",15,0)+IF($T247="上walk▲",5,0)+IF($V247&gt;=2,5,IF($V247&gt;=1.5,3,0))))</f>
      </c>
      <c r="Y247" s="682">
        <f>IF($D247="","",$D247)</f>
      </c>
      <c r="Z247" s="682">
        <f>IF($D247="","",$H247)</f>
      </c>
      <c r="AA247" s="682">
        <f>IF($D247="","",IF($D247&gt;$E247,$E247,$AD247))</f>
      </c>
      <c r="AB247" s="682">
        <f>IF($D247="","",$G247)</f>
      </c>
      <c r="AC247" s="688">
        <f>IF($D247="","",IF(($Y247-$AA247)&lt;=0,"－",IFERROR(ROUND(MIN(20,($AB247-$Y247)/($Y247-$AA247)),2),"－")))</f>
      </c>
      <c r="AD247" s="682">
        <f>IF($D247="","",MIN(終値!E247:I247))</f>
      </c>
      <c r="AE247" s="684">
        <f>IF($D247="","",$X247+(10000-ROW())/100000)</f>
      </c>
    </row>
    <row r="248">
      <c r="A248" s="681">
        <f>IF(終値!A248="","",HYPERLINK("https://kabutan.jp/stock/?code="&amp;終値!A248,"📈"))</f>
      </c>
      <c r="B248" s="681">
        <f>IF(終値!A248="","",終値!A248)</f>
      </c>
      <c r="C248" s="680">
        <f>IF(終値!A248="","",終値!B248)</f>
      </c>
      <c r="D248" s="682">
        <f>IF(終値!A248="","",終値!E248)</f>
      </c>
      <c r="E248" s="682">
        <f>IF($D248="","",AVERAGE(終値!E248:X248))</f>
      </c>
      <c r="F248" s="683">
        <f>IF($D248="","",STDEVP(終値!E248:X248))</f>
      </c>
      <c r="G248" s="682">
        <f>IF($D248="","",$E248+BB設定!$B$4*$F248)</f>
      </c>
      <c r="H248" s="682">
        <f>IF($D248="","",$E248+BB設定!$B$5*$F248)</f>
      </c>
      <c r="I248" s="682">
        <f>IF($D248="","",$E248-BB設定!$B$5*$F248)</f>
      </c>
      <c r="J248" s="682">
        <f>IF($D248="","",$E248-BB設定!$B$4*$F248)</f>
      </c>
      <c r="K248" s="687">
        <f>IF($D248="","",IFERROR(($D248-$J248)/($G248-$J248),""))</f>
      </c>
      <c r="L248" s="686">
        <f>IF($D248="","",IFERROR(($G248-$J248)/$E248*100,""))</f>
      </c>
      <c r="M248" s="686">
        <f>IF($D248="","",IFERROR(MIN(BB_帯幅!B248:AP248)*100,""))</f>
      </c>
      <c r="N248" s="681">
        <f>IF($L248="","",IF($L248&lt;=$M248*BB設定!$B$7,"スクイーズ★",IF($L248&lt;=$M248*1.3,"収縮","－")))</f>
      </c>
      <c r="O248" s="681">
        <f>IF($D248="","",IF($L248&gt;(4*STDEVP(終値!F248:Y248)/AVERAGE(終値!F248:Y248)*100),"拡大↑","縮小↓"))</f>
      </c>
      <c r="P248" s="681">
        <f>IF($D248="","",IF($D248&gt;$G248,"↑+2σ突破",IF($D248&lt;$J248,"↓-2σ割れ",IF($D248&gt;$H248,"+1σ上",IF($D248&lt;$I248,"-1σ下","バンド内")))))</f>
      </c>
      <c r="Q248" s="684">
        <f>IF($D248="","",IFERROR(100-100/(1+SUMPRODUCT((終値!E248:R248&gt;終値!F248:S248)*(終値!E248:R248-終値!F248:S248))/SUMPRODUCT((終値!E248:R248&lt;終値!F248:S248)*(終値!F248:S248-終値!E248:R248))),100))</f>
      </c>
      <c r="R248" s="684">
        <f>IF($D248="","",IFERROR(100-100/(1+SUMPRODUCT((((高値!E248:R248+安値!E248:R248+終値!E248:R248)/3)&gt;((高値!F248:S248+安値!F248:S248+終値!F248:S248)/3))*((高値!E248:R248+安値!E248:R248+終値!E248:R248)/3)*出来高!E248:R248)/SUMPRODUCT((((高値!E248:R248+安値!E248:R248+終値!E248:R248)/3)&lt;((高値!F248:S248+安値!F248:S248+終値!F248:S248)/3))*((高値!E248:R248+安値!E248:R248+終値!E248:R248)/3)*出来高!E248:R248)),50))</f>
      </c>
      <c r="S248" s="681">
        <f>IF($D248="","",IF(AND(終値!E248&lt;終値!O248,$Q248&gt;(IFERROR(100-100/(1+SUMPRODUCT((終値!O248:AB248&gt;終値!P248:AC248)*(終値!O248:AB248-終値!P248:AC248))/SUMPRODUCT((終値!O248:AB248&lt;終値!P248:AC248)*(終値!P248:AC248-終値!O248:AB248))),100))),"強気div▲",IF(AND(終値!E248&gt;終値!O248,$Q248&lt;(IFERROR(100-100/(1+SUMPRODUCT((終値!O248:AB248&gt;終値!P248:AC248)*(終値!O248:AB248-終値!P248:AC248))/SUMPRODUCT((終値!O248:AB248&lt;終値!P248:AC248)*(終値!P248:AC248-終値!O248:AB248))),100))),"弱気div▼","－")))</f>
      </c>
      <c r="T248" s="681">
        <f>IF($D248="","",IF($D248&gt;=$H248,"上walk▲",IF($D248&lt;=$I248,"下walk▼","－")))</f>
      </c>
      <c r="U248" s="681">
        <f>IF(終値!A248="","",BB_スイング!BT248)</f>
      </c>
      <c r="V248" s="689">
        <f>IF($D248="","",IFERROR(出来高!E248/AVERAGE(出来高!E248:I248),""))</f>
      </c>
      <c r="W248" s="690">
        <f>IF($D248="","",IF(AND($D248&gt;$G248,$O248="拡大↑",$L248&lt;=$M248*1.8),"◎スクイーズブレイク買",IF(AND($D248&gt;=$H248,$R248&gt;=BB設定!$B$10),"○順張り継続(walk)",IF(AND($S248="強気div▲",$D248&gt;$I248),"○反発(ダイバ)買",IF($U248="二番底W▲","△二番底買(確)",IF($U248="二番底W形成","△二番底形成",IF($D248&lt;$J248,"▼-2σ割れ危険",IF(AND($D248&gt;$E248,$K248&lt;0.6,$R248&gt;=50),"・押し目注目",IF($N248="スクイーズ★","☆スクイーズ監視","様子見")))))))))</f>
      </c>
      <c r="X248" s="685">
        <f>IF($D248="","",MIN(100,IF($L248&lt;=$M248*1.15,20,IF($L248&lt;=$M248*1.4,10,0))+IF($D248&gt;$G248,20,IF($D248&gt;$H248,12,IF($D248&gt;$E248,5,0)))+IF($O248="拡大↑",10,0)+IF($R248&gt;=80,15,IF($R248&gt;=60,10,IF($R248&gt;=50,5,0)))+IF(AND($Q248&gt;=50,$Q248&lt;=70),10,IF($Q248&gt;70,3,IF($Q248&gt;=40,5,0)))+IF($S248="強気div▲",15,0)+IF($T248="上walk▲",5,0)+IF($V248&gt;=2,5,IF($V248&gt;=1.5,3,0))))</f>
      </c>
      <c r="Y248" s="682">
        <f>IF($D248="","",$D248)</f>
      </c>
      <c r="Z248" s="682">
        <f>IF($D248="","",$H248)</f>
      </c>
      <c r="AA248" s="682">
        <f>IF($D248="","",IF($D248&gt;$E248,$E248,$AD248))</f>
      </c>
      <c r="AB248" s="682">
        <f>IF($D248="","",$G248)</f>
      </c>
      <c r="AC248" s="688">
        <f>IF($D248="","",IF(($Y248-$AA248)&lt;=0,"－",IFERROR(ROUND(MIN(20,($AB248-$Y248)/($Y248-$AA248)),2),"－")))</f>
      </c>
      <c r="AD248" s="682">
        <f>IF($D248="","",MIN(終値!E248:I248))</f>
      </c>
      <c r="AE248" s="684">
        <f>IF($D248="","",$X248+(10000-ROW())/100000)</f>
      </c>
    </row>
    <row r="249">
      <c r="A249" s="681">
        <f>IF(終値!A249="","",HYPERLINK("https://kabutan.jp/stock/?code="&amp;終値!A249,"📈"))</f>
      </c>
      <c r="B249" s="681">
        <f>IF(終値!A249="","",終値!A249)</f>
      </c>
      <c r="C249" s="680">
        <f>IF(終値!A249="","",終値!B249)</f>
      </c>
      <c r="D249" s="682">
        <f>IF(終値!A249="","",終値!E249)</f>
      </c>
      <c r="E249" s="682">
        <f>IF($D249="","",AVERAGE(終値!E249:X249))</f>
      </c>
      <c r="F249" s="683">
        <f>IF($D249="","",STDEVP(終値!E249:X249))</f>
      </c>
      <c r="G249" s="682">
        <f>IF($D249="","",$E249+BB設定!$B$4*$F249)</f>
      </c>
      <c r="H249" s="682">
        <f>IF($D249="","",$E249+BB設定!$B$5*$F249)</f>
      </c>
      <c r="I249" s="682">
        <f>IF($D249="","",$E249-BB設定!$B$5*$F249)</f>
      </c>
      <c r="J249" s="682">
        <f>IF($D249="","",$E249-BB設定!$B$4*$F249)</f>
      </c>
      <c r="K249" s="687">
        <f>IF($D249="","",IFERROR(($D249-$J249)/($G249-$J249),""))</f>
      </c>
      <c r="L249" s="686">
        <f>IF($D249="","",IFERROR(($G249-$J249)/$E249*100,""))</f>
      </c>
      <c r="M249" s="686">
        <f>IF($D249="","",IFERROR(MIN(BB_帯幅!B249:AP249)*100,""))</f>
      </c>
      <c r="N249" s="681">
        <f>IF($L249="","",IF($L249&lt;=$M249*BB設定!$B$7,"スクイーズ★",IF($L249&lt;=$M249*1.3,"収縮","－")))</f>
      </c>
      <c r="O249" s="681">
        <f>IF($D249="","",IF($L249&gt;(4*STDEVP(終値!F249:Y249)/AVERAGE(終値!F249:Y249)*100),"拡大↑","縮小↓"))</f>
      </c>
      <c r="P249" s="681">
        <f>IF($D249="","",IF($D249&gt;$G249,"↑+2σ突破",IF($D249&lt;$J249,"↓-2σ割れ",IF($D249&gt;$H249,"+1σ上",IF($D249&lt;$I249,"-1σ下","バンド内")))))</f>
      </c>
      <c r="Q249" s="684">
        <f>IF($D249="","",IFERROR(100-100/(1+SUMPRODUCT((終値!E249:R249&gt;終値!F249:S249)*(終値!E249:R249-終値!F249:S249))/SUMPRODUCT((終値!E249:R249&lt;終値!F249:S249)*(終値!F249:S249-終値!E249:R249))),100))</f>
      </c>
      <c r="R249" s="684">
        <f>IF($D249="","",IFERROR(100-100/(1+SUMPRODUCT((((高値!E249:R249+安値!E249:R249+終値!E249:R249)/3)&gt;((高値!F249:S249+安値!F249:S249+終値!F249:S249)/3))*((高値!E249:R249+安値!E249:R249+終値!E249:R249)/3)*出来高!E249:R249)/SUMPRODUCT((((高値!E249:R249+安値!E249:R249+終値!E249:R249)/3)&lt;((高値!F249:S249+安値!F249:S249+終値!F249:S249)/3))*((高値!E249:R249+安値!E249:R249+終値!E249:R249)/3)*出来高!E249:R249)),50))</f>
      </c>
      <c r="S249" s="681">
        <f>IF($D249="","",IF(AND(終値!E249&lt;終値!O249,$Q249&gt;(IFERROR(100-100/(1+SUMPRODUCT((終値!O249:AB249&gt;終値!P249:AC249)*(終値!O249:AB249-終値!P249:AC249))/SUMPRODUCT((終値!O249:AB249&lt;終値!P249:AC249)*(終値!P249:AC249-終値!O249:AB249))),100))),"強気div▲",IF(AND(終値!E249&gt;終値!O249,$Q249&lt;(IFERROR(100-100/(1+SUMPRODUCT((終値!O249:AB249&gt;終値!P249:AC249)*(終値!O249:AB249-終値!P249:AC249))/SUMPRODUCT((終値!O249:AB249&lt;終値!P249:AC249)*(終値!P249:AC249-終値!O249:AB249))),100))),"弱気div▼","－")))</f>
      </c>
      <c r="T249" s="681">
        <f>IF($D249="","",IF($D249&gt;=$H249,"上walk▲",IF($D249&lt;=$I249,"下walk▼","－")))</f>
      </c>
      <c r="U249" s="681">
        <f>IF(終値!A249="","",BB_スイング!BT249)</f>
      </c>
      <c r="V249" s="689">
        <f>IF($D249="","",IFERROR(出来高!E249/AVERAGE(出来高!E249:I249),""))</f>
      </c>
      <c r="W249" s="690">
        <f>IF($D249="","",IF(AND($D249&gt;$G249,$O249="拡大↑",$L249&lt;=$M249*1.8),"◎スクイーズブレイク買",IF(AND($D249&gt;=$H249,$R249&gt;=BB設定!$B$10),"○順張り継続(walk)",IF(AND($S249="強気div▲",$D249&gt;$I249),"○反発(ダイバ)買",IF($U249="二番底W▲","△二番底買(確)",IF($U249="二番底W形成","△二番底形成",IF($D249&lt;$J249,"▼-2σ割れ危険",IF(AND($D249&gt;$E249,$K249&lt;0.6,$R249&gt;=50),"・押し目注目",IF($N249="スクイーズ★","☆スクイーズ監視","様子見")))))))))</f>
      </c>
      <c r="X249" s="685">
        <f>IF($D249="","",MIN(100,IF($L249&lt;=$M249*1.15,20,IF($L249&lt;=$M249*1.4,10,0))+IF($D249&gt;$G249,20,IF($D249&gt;$H249,12,IF($D249&gt;$E249,5,0)))+IF($O249="拡大↑",10,0)+IF($R249&gt;=80,15,IF($R249&gt;=60,10,IF($R249&gt;=50,5,0)))+IF(AND($Q249&gt;=50,$Q249&lt;=70),10,IF($Q249&gt;70,3,IF($Q249&gt;=40,5,0)))+IF($S249="強気div▲",15,0)+IF($T249="上walk▲",5,0)+IF($V249&gt;=2,5,IF($V249&gt;=1.5,3,0))))</f>
      </c>
      <c r="Y249" s="682">
        <f>IF($D249="","",$D249)</f>
      </c>
      <c r="Z249" s="682">
        <f>IF($D249="","",$H249)</f>
      </c>
      <c r="AA249" s="682">
        <f>IF($D249="","",IF($D249&gt;$E249,$E249,$AD249))</f>
      </c>
      <c r="AB249" s="682">
        <f>IF($D249="","",$G249)</f>
      </c>
      <c r="AC249" s="688">
        <f>IF($D249="","",IF(($Y249-$AA249)&lt;=0,"－",IFERROR(ROUND(MIN(20,($AB249-$Y249)/($Y249-$AA249)),2),"－")))</f>
      </c>
      <c r="AD249" s="682">
        <f>IF($D249="","",MIN(終値!E249:I249))</f>
      </c>
      <c r="AE249" s="684">
        <f>IF($D249="","",$X249+(10000-ROW())/100000)</f>
      </c>
    </row>
    <row r="250">
      <c r="A250" s="681">
        <f>IF(終値!A250="","",HYPERLINK("https://kabutan.jp/stock/?code="&amp;終値!A250,"📈"))</f>
      </c>
      <c r="B250" s="681">
        <f>IF(終値!A250="","",終値!A250)</f>
      </c>
      <c r="C250" s="680">
        <f>IF(終値!A250="","",終値!B250)</f>
      </c>
      <c r="D250" s="682">
        <f>IF(終値!A250="","",終値!E250)</f>
      </c>
      <c r="E250" s="682">
        <f>IF($D250="","",AVERAGE(終値!E250:X250))</f>
      </c>
      <c r="F250" s="683">
        <f>IF($D250="","",STDEVP(終値!E250:X250))</f>
      </c>
      <c r="G250" s="682">
        <f>IF($D250="","",$E250+BB設定!$B$4*$F250)</f>
      </c>
      <c r="H250" s="682">
        <f>IF($D250="","",$E250+BB設定!$B$5*$F250)</f>
      </c>
      <c r="I250" s="682">
        <f>IF($D250="","",$E250-BB設定!$B$5*$F250)</f>
      </c>
      <c r="J250" s="682">
        <f>IF($D250="","",$E250-BB設定!$B$4*$F250)</f>
      </c>
      <c r="K250" s="687">
        <f>IF($D250="","",IFERROR(($D250-$J250)/($G250-$J250),""))</f>
      </c>
      <c r="L250" s="686">
        <f>IF($D250="","",IFERROR(($G250-$J250)/$E250*100,""))</f>
      </c>
      <c r="M250" s="686">
        <f>IF($D250="","",IFERROR(MIN(BB_帯幅!B250:AP250)*100,""))</f>
      </c>
      <c r="N250" s="681">
        <f>IF($L250="","",IF($L250&lt;=$M250*BB設定!$B$7,"スクイーズ★",IF($L250&lt;=$M250*1.3,"収縮","－")))</f>
      </c>
      <c r="O250" s="681">
        <f>IF($D250="","",IF($L250&gt;(4*STDEVP(終値!F250:Y250)/AVERAGE(終値!F250:Y250)*100),"拡大↑","縮小↓"))</f>
      </c>
      <c r="P250" s="681">
        <f>IF($D250="","",IF($D250&gt;$G250,"↑+2σ突破",IF($D250&lt;$J250,"↓-2σ割れ",IF($D250&gt;$H250,"+1σ上",IF($D250&lt;$I250,"-1σ下","バンド内")))))</f>
      </c>
      <c r="Q250" s="684">
        <f>IF($D250="","",IFERROR(100-100/(1+SUMPRODUCT((終値!E250:R250&gt;終値!F250:S250)*(終値!E250:R250-終値!F250:S250))/SUMPRODUCT((終値!E250:R250&lt;終値!F250:S250)*(終値!F250:S250-終値!E250:R250))),100))</f>
      </c>
      <c r="R250" s="684">
        <f>IF($D250="","",IFERROR(100-100/(1+SUMPRODUCT((((高値!E250:R250+安値!E250:R250+終値!E250:R250)/3)&gt;((高値!F250:S250+安値!F250:S250+終値!F250:S250)/3))*((高値!E250:R250+安値!E250:R250+終値!E250:R250)/3)*出来高!E250:R250)/SUMPRODUCT((((高値!E250:R250+安値!E250:R250+終値!E250:R250)/3)&lt;((高値!F250:S250+安値!F250:S250+終値!F250:S250)/3))*((高値!E250:R250+安値!E250:R250+終値!E250:R250)/3)*出来高!E250:R250)),50))</f>
      </c>
      <c r="S250" s="681">
        <f>IF($D250="","",IF(AND(終値!E250&lt;終値!O250,$Q250&gt;(IFERROR(100-100/(1+SUMPRODUCT((終値!O250:AB250&gt;終値!P250:AC250)*(終値!O250:AB250-終値!P250:AC250))/SUMPRODUCT((終値!O250:AB250&lt;終値!P250:AC250)*(終値!P250:AC250-終値!O250:AB250))),100))),"強気div▲",IF(AND(終値!E250&gt;終値!O250,$Q250&lt;(IFERROR(100-100/(1+SUMPRODUCT((終値!O250:AB250&gt;終値!P250:AC250)*(終値!O250:AB250-終値!P250:AC250))/SUMPRODUCT((終値!O250:AB250&lt;終値!P250:AC250)*(終値!P250:AC250-終値!O250:AB250))),100))),"弱気div▼","－")))</f>
      </c>
      <c r="T250" s="681">
        <f>IF($D250="","",IF($D250&gt;=$H250,"上walk▲",IF($D250&lt;=$I250,"下walk▼","－")))</f>
      </c>
      <c r="U250" s="681">
        <f>IF(終値!A250="","",BB_スイング!BT250)</f>
      </c>
      <c r="V250" s="689">
        <f>IF($D250="","",IFERROR(出来高!E250/AVERAGE(出来高!E250:I250),""))</f>
      </c>
      <c r="W250" s="690">
        <f>IF($D250="","",IF(AND($D250&gt;$G250,$O250="拡大↑",$L250&lt;=$M250*1.8),"◎スクイーズブレイク買",IF(AND($D250&gt;=$H250,$R250&gt;=BB設定!$B$10),"○順張り継続(walk)",IF(AND($S250="強気div▲",$D250&gt;$I250),"○反発(ダイバ)買",IF($U250="二番底W▲","△二番底買(確)",IF($U250="二番底W形成","△二番底形成",IF($D250&lt;$J250,"▼-2σ割れ危険",IF(AND($D250&gt;$E250,$K250&lt;0.6,$R250&gt;=50),"・押し目注目",IF($N250="スクイーズ★","☆スクイーズ監視","様子見")))))))))</f>
      </c>
      <c r="X250" s="685">
        <f>IF($D250="","",MIN(100,IF($L250&lt;=$M250*1.15,20,IF($L250&lt;=$M250*1.4,10,0))+IF($D250&gt;$G250,20,IF($D250&gt;$H250,12,IF($D250&gt;$E250,5,0)))+IF($O250="拡大↑",10,0)+IF($R250&gt;=80,15,IF($R250&gt;=60,10,IF($R250&gt;=50,5,0)))+IF(AND($Q250&gt;=50,$Q250&lt;=70),10,IF($Q250&gt;70,3,IF($Q250&gt;=40,5,0)))+IF($S250="強気div▲",15,0)+IF($T250="上walk▲",5,0)+IF($V250&gt;=2,5,IF($V250&gt;=1.5,3,0))))</f>
      </c>
      <c r="Y250" s="682">
        <f>IF($D250="","",$D250)</f>
      </c>
      <c r="Z250" s="682">
        <f>IF($D250="","",$H250)</f>
      </c>
      <c r="AA250" s="682">
        <f>IF($D250="","",IF($D250&gt;$E250,$E250,$AD250))</f>
      </c>
      <c r="AB250" s="682">
        <f>IF($D250="","",$G250)</f>
      </c>
      <c r="AC250" s="688">
        <f>IF($D250="","",IF(($Y250-$AA250)&lt;=0,"－",IFERROR(ROUND(MIN(20,($AB250-$Y250)/($Y250-$AA250)),2),"－")))</f>
      </c>
      <c r="AD250" s="682">
        <f>IF($D250="","",MIN(終値!E250:I250))</f>
      </c>
      <c r="AE250" s="684">
        <f>IF($D250="","",$X250+(10000-ROW())/100000)</f>
      </c>
    </row>
    <row r="251">
      <c r="A251" s="681">
        <f>IF(終値!A251="","",HYPERLINK("https://kabutan.jp/stock/?code="&amp;終値!A251,"📈"))</f>
      </c>
      <c r="B251" s="681">
        <f>IF(終値!A251="","",終値!A251)</f>
      </c>
      <c r="C251" s="680">
        <f>IF(終値!A251="","",終値!B251)</f>
      </c>
      <c r="D251" s="682">
        <f>IF(終値!A251="","",終値!E251)</f>
      </c>
      <c r="E251" s="682">
        <f>IF($D251="","",AVERAGE(終値!E251:X251))</f>
      </c>
      <c r="F251" s="683">
        <f>IF($D251="","",STDEVP(終値!E251:X251))</f>
      </c>
      <c r="G251" s="682">
        <f>IF($D251="","",$E251+BB設定!$B$4*$F251)</f>
      </c>
      <c r="H251" s="682">
        <f>IF($D251="","",$E251+BB設定!$B$5*$F251)</f>
      </c>
      <c r="I251" s="682">
        <f>IF($D251="","",$E251-BB設定!$B$5*$F251)</f>
      </c>
      <c r="J251" s="682">
        <f>IF($D251="","",$E251-BB設定!$B$4*$F251)</f>
      </c>
      <c r="K251" s="687">
        <f>IF($D251="","",IFERROR(($D251-$J251)/($G251-$J251),""))</f>
      </c>
      <c r="L251" s="686">
        <f>IF($D251="","",IFERROR(($G251-$J251)/$E251*100,""))</f>
      </c>
      <c r="M251" s="686">
        <f>IF($D251="","",IFERROR(MIN(BB_帯幅!B251:AP251)*100,""))</f>
      </c>
      <c r="N251" s="681">
        <f>IF($L251="","",IF($L251&lt;=$M251*BB設定!$B$7,"スクイーズ★",IF($L251&lt;=$M251*1.3,"収縮","－")))</f>
      </c>
      <c r="O251" s="681">
        <f>IF($D251="","",IF($L251&gt;(4*STDEVP(終値!F251:Y251)/AVERAGE(終値!F251:Y251)*100),"拡大↑","縮小↓"))</f>
      </c>
      <c r="P251" s="681">
        <f>IF($D251="","",IF($D251&gt;$G251,"↑+2σ突破",IF($D251&lt;$J251,"↓-2σ割れ",IF($D251&gt;$H251,"+1σ上",IF($D251&lt;$I251,"-1σ下","バンド内")))))</f>
      </c>
      <c r="Q251" s="684">
        <f>IF($D251="","",IFERROR(100-100/(1+SUMPRODUCT((終値!E251:R251&gt;終値!F251:S251)*(終値!E251:R251-終値!F251:S251))/SUMPRODUCT((終値!E251:R251&lt;終値!F251:S251)*(終値!F251:S251-終値!E251:R251))),100))</f>
      </c>
      <c r="R251" s="684">
        <f>IF($D251="","",IFERROR(100-100/(1+SUMPRODUCT((((高値!E251:R251+安値!E251:R251+終値!E251:R251)/3)&gt;((高値!F251:S251+安値!F251:S251+終値!F251:S251)/3))*((高値!E251:R251+安値!E251:R251+終値!E251:R251)/3)*出来高!E251:R251)/SUMPRODUCT((((高値!E251:R251+安値!E251:R251+終値!E251:R251)/3)&lt;((高値!F251:S251+安値!F251:S251+終値!F251:S251)/3))*((高値!E251:R251+安値!E251:R251+終値!E251:R251)/3)*出来高!E251:R251)),50))</f>
      </c>
      <c r="S251" s="681">
        <f>IF($D251="","",IF(AND(終値!E251&lt;終値!O251,$Q251&gt;(IFERROR(100-100/(1+SUMPRODUCT((終値!O251:AB251&gt;終値!P251:AC251)*(終値!O251:AB251-終値!P251:AC251))/SUMPRODUCT((終値!O251:AB251&lt;終値!P251:AC251)*(終値!P251:AC251-終値!O251:AB251))),100))),"強気div▲",IF(AND(終値!E251&gt;終値!O251,$Q251&lt;(IFERROR(100-100/(1+SUMPRODUCT((終値!O251:AB251&gt;終値!P251:AC251)*(終値!O251:AB251-終値!P251:AC251))/SUMPRODUCT((終値!O251:AB251&lt;終値!P251:AC251)*(終値!P251:AC251-終値!O251:AB251))),100))),"弱気div▼","－")))</f>
      </c>
      <c r="T251" s="681">
        <f>IF($D251="","",IF($D251&gt;=$H251,"上walk▲",IF($D251&lt;=$I251,"下walk▼","－")))</f>
      </c>
      <c r="U251" s="681">
        <f>IF(終値!A251="","",BB_スイング!BT251)</f>
      </c>
      <c r="V251" s="689">
        <f>IF($D251="","",IFERROR(出来高!E251/AVERAGE(出来高!E251:I251),""))</f>
      </c>
      <c r="W251" s="690">
        <f>IF($D251="","",IF(AND($D251&gt;$G251,$O251="拡大↑",$L251&lt;=$M251*1.8),"◎スクイーズブレイク買",IF(AND($D251&gt;=$H251,$R251&gt;=BB設定!$B$10),"○順張り継続(walk)",IF(AND($S251="強気div▲",$D251&gt;$I251),"○反発(ダイバ)買",IF($U251="二番底W▲","△二番底買(確)",IF($U251="二番底W形成","△二番底形成",IF($D251&lt;$J251,"▼-2σ割れ危険",IF(AND($D251&gt;$E251,$K251&lt;0.6,$R251&gt;=50),"・押し目注目",IF($N251="スクイーズ★","☆スクイーズ監視","様子見")))))))))</f>
      </c>
      <c r="X251" s="685">
        <f>IF($D251="","",MIN(100,IF($L251&lt;=$M251*1.15,20,IF($L251&lt;=$M251*1.4,10,0))+IF($D251&gt;$G251,20,IF($D251&gt;$H251,12,IF($D251&gt;$E251,5,0)))+IF($O251="拡大↑",10,0)+IF($R251&gt;=80,15,IF($R251&gt;=60,10,IF($R251&gt;=50,5,0)))+IF(AND($Q251&gt;=50,$Q251&lt;=70),10,IF($Q251&gt;70,3,IF($Q251&gt;=40,5,0)))+IF($S251="強気div▲",15,0)+IF($T251="上walk▲",5,0)+IF($V251&gt;=2,5,IF($V251&gt;=1.5,3,0))))</f>
      </c>
      <c r="Y251" s="682">
        <f>IF($D251="","",$D251)</f>
      </c>
      <c r="Z251" s="682">
        <f>IF($D251="","",$H251)</f>
      </c>
      <c r="AA251" s="682">
        <f>IF($D251="","",IF($D251&gt;$E251,$E251,$AD251))</f>
      </c>
      <c r="AB251" s="682">
        <f>IF($D251="","",$G251)</f>
      </c>
      <c r="AC251" s="688">
        <f>IF($D251="","",IF(($Y251-$AA251)&lt;=0,"－",IFERROR(ROUND(MIN(20,($AB251-$Y251)/($Y251-$AA251)),2),"－")))</f>
      </c>
      <c r="AD251" s="682">
        <f>IF($D251="","",MIN(終値!E251:I251))</f>
      </c>
      <c r="AE251" s="684">
        <f>IF($D251="","",$X251+(10000-ROW())/100000)</f>
      </c>
    </row>
    <row r="252">
      <c r="A252" s="681">
        <f>IF(終値!A252="","",HYPERLINK("https://kabutan.jp/stock/?code="&amp;終値!A252,"📈"))</f>
      </c>
      <c r="B252" s="681">
        <f>IF(終値!A252="","",終値!A252)</f>
      </c>
      <c r="C252" s="680">
        <f>IF(終値!A252="","",終値!B252)</f>
      </c>
      <c r="D252" s="682">
        <f>IF(終値!A252="","",終値!E252)</f>
      </c>
      <c r="E252" s="682">
        <f>IF($D252="","",AVERAGE(終値!E252:X252))</f>
      </c>
      <c r="F252" s="683">
        <f>IF($D252="","",STDEVP(終値!E252:X252))</f>
      </c>
      <c r="G252" s="682">
        <f>IF($D252="","",$E252+BB設定!$B$4*$F252)</f>
      </c>
      <c r="H252" s="682">
        <f>IF($D252="","",$E252+BB設定!$B$5*$F252)</f>
      </c>
      <c r="I252" s="682">
        <f>IF($D252="","",$E252-BB設定!$B$5*$F252)</f>
      </c>
      <c r="J252" s="682">
        <f>IF($D252="","",$E252-BB設定!$B$4*$F252)</f>
      </c>
      <c r="K252" s="687">
        <f>IF($D252="","",IFERROR(($D252-$J252)/($G252-$J252),""))</f>
      </c>
      <c r="L252" s="686">
        <f>IF($D252="","",IFERROR(($G252-$J252)/$E252*100,""))</f>
      </c>
      <c r="M252" s="686">
        <f>IF($D252="","",IFERROR(MIN(BB_帯幅!B252:AP252)*100,""))</f>
      </c>
      <c r="N252" s="681">
        <f>IF($L252="","",IF($L252&lt;=$M252*BB設定!$B$7,"スクイーズ★",IF($L252&lt;=$M252*1.3,"収縮","－")))</f>
      </c>
      <c r="O252" s="681">
        <f>IF($D252="","",IF($L252&gt;(4*STDEVP(終値!F252:Y252)/AVERAGE(終値!F252:Y252)*100),"拡大↑","縮小↓"))</f>
      </c>
      <c r="P252" s="681">
        <f>IF($D252="","",IF($D252&gt;$G252,"↑+2σ突破",IF($D252&lt;$J252,"↓-2σ割れ",IF($D252&gt;$H252,"+1σ上",IF($D252&lt;$I252,"-1σ下","バンド内")))))</f>
      </c>
      <c r="Q252" s="684">
        <f>IF($D252="","",IFERROR(100-100/(1+SUMPRODUCT((終値!E252:R252&gt;終値!F252:S252)*(終値!E252:R252-終値!F252:S252))/SUMPRODUCT((終値!E252:R252&lt;終値!F252:S252)*(終値!F252:S252-終値!E252:R252))),100))</f>
      </c>
      <c r="R252" s="684">
        <f>IF($D252="","",IFERROR(100-100/(1+SUMPRODUCT((((高値!E252:R252+安値!E252:R252+終値!E252:R252)/3)&gt;((高値!F252:S252+安値!F252:S252+終値!F252:S252)/3))*((高値!E252:R252+安値!E252:R252+終値!E252:R252)/3)*出来高!E252:R252)/SUMPRODUCT((((高値!E252:R252+安値!E252:R252+終値!E252:R252)/3)&lt;((高値!F252:S252+安値!F252:S252+終値!F252:S252)/3))*((高値!E252:R252+安値!E252:R252+終値!E252:R252)/3)*出来高!E252:R252)),50))</f>
      </c>
      <c r="S252" s="681">
        <f>IF($D252="","",IF(AND(終値!E252&lt;終値!O252,$Q252&gt;(IFERROR(100-100/(1+SUMPRODUCT((終値!O252:AB252&gt;終値!P252:AC252)*(終値!O252:AB252-終値!P252:AC252))/SUMPRODUCT((終値!O252:AB252&lt;終値!P252:AC252)*(終値!P252:AC252-終値!O252:AB252))),100))),"強気div▲",IF(AND(終値!E252&gt;終値!O252,$Q252&lt;(IFERROR(100-100/(1+SUMPRODUCT((終値!O252:AB252&gt;終値!P252:AC252)*(終値!O252:AB252-終値!P252:AC252))/SUMPRODUCT((終値!O252:AB252&lt;終値!P252:AC252)*(終値!P252:AC252-終値!O252:AB252))),100))),"弱気div▼","－")))</f>
      </c>
      <c r="T252" s="681">
        <f>IF($D252="","",IF($D252&gt;=$H252,"上walk▲",IF($D252&lt;=$I252,"下walk▼","－")))</f>
      </c>
      <c r="U252" s="681">
        <f>IF(終値!A252="","",BB_スイング!BT252)</f>
      </c>
      <c r="V252" s="689">
        <f>IF($D252="","",IFERROR(出来高!E252/AVERAGE(出来高!E252:I252),""))</f>
      </c>
      <c r="W252" s="690">
        <f>IF($D252="","",IF(AND($D252&gt;$G252,$O252="拡大↑",$L252&lt;=$M252*1.8),"◎スクイーズブレイク買",IF(AND($D252&gt;=$H252,$R252&gt;=BB設定!$B$10),"○順張り継続(walk)",IF(AND($S252="強気div▲",$D252&gt;$I252),"○反発(ダイバ)買",IF($U252="二番底W▲","△二番底買(確)",IF($U252="二番底W形成","△二番底形成",IF($D252&lt;$J252,"▼-2σ割れ危険",IF(AND($D252&gt;$E252,$K252&lt;0.6,$R252&gt;=50),"・押し目注目",IF($N252="スクイーズ★","☆スクイーズ監視","様子見")))))))))</f>
      </c>
      <c r="X252" s="685">
        <f>IF($D252="","",MIN(100,IF($L252&lt;=$M252*1.15,20,IF($L252&lt;=$M252*1.4,10,0))+IF($D252&gt;$G252,20,IF($D252&gt;$H252,12,IF($D252&gt;$E252,5,0)))+IF($O252="拡大↑",10,0)+IF($R252&gt;=80,15,IF($R252&gt;=60,10,IF($R252&gt;=50,5,0)))+IF(AND($Q252&gt;=50,$Q252&lt;=70),10,IF($Q252&gt;70,3,IF($Q252&gt;=40,5,0)))+IF($S252="強気div▲",15,0)+IF($T252="上walk▲",5,0)+IF($V252&gt;=2,5,IF($V252&gt;=1.5,3,0))))</f>
      </c>
      <c r="Y252" s="682">
        <f>IF($D252="","",$D252)</f>
      </c>
      <c r="Z252" s="682">
        <f>IF($D252="","",$H252)</f>
      </c>
      <c r="AA252" s="682">
        <f>IF($D252="","",IF($D252&gt;$E252,$E252,$AD252))</f>
      </c>
      <c r="AB252" s="682">
        <f>IF($D252="","",$G252)</f>
      </c>
      <c r="AC252" s="688">
        <f>IF($D252="","",IF(($Y252-$AA252)&lt;=0,"－",IFERROR(ROUND(MIN(20,($AB252-$Y252)/($Y252-$AA252)),2),"－")))</f>
      </c>
      <c r="AD252" s="682">
        <f>IF($D252="","",MIN(終値!E252:I252))</f>
      </c>
      <c r="AE252" s="684">
        <f>IF($D252="","",$X252+(10000-ROW())/100000)</f>
      </c>
    </row>
    <row r="253">
      <c r="A253" s="681">
        <f>IF(終値!A253="","",HYPERLINK("https://kabutan.jp/stock/?code="&amp;終値!A253,"📈"))</f>
      </c>
      <c r="B253" s="681">
        <f>IF(終値!A253="","",終値!A253)</f>
      </c>
      <c r="C253" s="680">
        <f>IF(終値!A253="","",終値!B253)</f>
      </c>
      <c r="D253" s="682">
        <f>IF(終値!A253="","",終値!E253)</f>
      </c>
      <c r="E253" s="682">
        <f>IF($D253="","",AVERAGE(終値!E253:X253))</f>
      </c>
      <c r="F253" s="683">
        <f>IF($D253="","",STDEVP(終値!E253:X253))</f>
      </c>
      <c r="G253" s="682">
        <f>IF($D253="","",$E253+BB設定!$B$4*$F253)</f>
      </c>
      <c r="H253" s="682">
        <f>IF($D253="","",$E253+BB設定!$B$5*$F253)</f>
      </c>
      <c r="I253" s="682">
        <f>IF($D253="","",$E253-BB設定!$B$5*$F253)</f>
      </c>
      <c r="J253" s="682">
        <f>IF($D253="","",$E253-BB設定!$B$4*$F253)</f>
      </c>
      <c r="K253" s="687">
        <f>IF($D253="","",IFERROR(($D253-$J253)/($G253-$J253),""))</f>
      </c>
      <c r="L253" s="686">
        <f>IF($D253="","",IFERROR(($G253-$J253)/$E253*100,""))</f>
      </c>
      <c r="M253" s="686">
        <f>IF($D253="","",IFERROR(MIN(BB_帯幅!B253:AP253)*100,""))</f>
      </c>
      <c r="N253" s="681">
        <f>IF($L253="","",IF($L253&lt;=$M253*BB設定!$B$7,"スクイーズ★",IF($L253&lt;=$M253*1.3,"収縮","－")))</f>
      </c>
      <c r="O253" s="681">
        <f>IF($D253="","",IF($L253&gt;(4*STDEVP(終値!F253:Y253)/AVERAGE(終値!F253:Y253)*100),"拡大↑","縮小↓"))</f>
      </c>
      <c r="P253" s="681">
        <f>IF($D253="","",IF($D253&gt;$G253,"↑+2σ突破",IF($D253&lt;$J253,"↓-2σ割れ",IF($D253&gt;$H253,"+1σ上",IF($D253&lt;$I253,"-1σ下","バンド内")))))</f>
      </c>
      <c r="Q253" s="684">
        <f>IF($D253="","",IFERROR(100-100/(1+SUMPRODUCT((終値!E253:R253&gt;終値!F253:S253)*(終値!E253:R253-終値!F253:S253))/SUMPRODUCT((終値!E253:R253&lt;終値!F253:S253)*(終値!F253:S253-終値!E253:R253))),100))</f>
      </c>
      <c r="R253" s="684">
        <f>IF($D253="","",IFERROR(100-100/(1+SUMPRODUCT((((高値!E253:R253+安値!E253:R253+終値!E253:R253)/3)&gt;((高値!F253:S253+安値!F253:S253+終値!F253:S253)/3))*((高値!E253:R253+安値!E253:R253+終値!E253:R253)/3)*出来高!E253:R253)/SUMPRODUCT((((高値!E253:R253+安値!E253:R253+終値!E253:R253)/3)&lt;((高値!F253:S253+安値!F253:S253+終値!F253:S253)/3))*((高値!E253:R253+安値!E253:R253+終値!E253:R253)/3)*出来高!E253:R253)),50))</f>
      </c>
      <c r="S253" s="681">
        <f>IF($D253="","",IF(AND(終値!E253&lt;終値!O253,$Q253&gt;(IFERROR(100-100/(1+SUMPRODUCT((終値!O253:AB253&gt;終値!P253:AC253)*(終値!O253:AB253-終値!P253:AC253))/SUMPRODUCT((終値!O253:AB253&lt;終値!P253:AC253)*(終値!P253:AC253-終値!O253:AB253))),100))),"強気div▲",IF(AND(終値!E253&gt;終値!O253,$Q253&lt;(IFERROR(100-100/(1+SUMPRODUCT((終値!O253:AB253&gt;終値!P253:AC253)*(終値!O253:AB253-終値!P253:AC253))/SUMPRODUCT((終値!O253:AB253&lt;終値!P253:AC253)*(終値!P253:AC253-終値!O253:AB253))),100))),"弱気div▼","－")))</f>
      </c>
      <c r="T253" s="681">
        <f>IF($D253="","",IF($D253&gt;=$H253,"上walk▲",IF($D253&lt;=$I253,"下walk▼","－")))</f>
      </c>
      <c r="U253" s="681">
        <f>IF(終値!A253="","",BB_スイング!BT253)</f>
      </c>
      <c r="V253" s="689">
        <f>IF($D253="","",IFERROR(出来高!E253/AVERAGE(出来高!E253:I253),""))</f>
      </c>
      <c r="W253" s="690">
        <f>IF($D253="","",IF(AND($D253&gt;$G253,$O253="拡大↑",$L253&lt;=$M253*1.8),"◎スクイーズブレイク買",IF(AND($D253&gt;=$H253,$R253&gt;=BB設定!$B$10),"○順張り継続(walk)",IF(AND($S253="強気div▲",$D253&gt;$I253),"○反発(ダイバ)買",IF($U253="二番底W▲","△二番底買(確)",IF($U253="二番底W形成","△二番底形成",IF($D253&lt;$J253,"▼-2σ割れ危険",IF(AND($D253&gt;$E253,$K253&lt;0.6,$R253&gt;=50),"・押し目注目",IF($N253="スクイーズ★","☆スクイーズ監視","様子見")))))))))</f>
      </c>
      <c r="X253" s="685">
        <f>IF($D253="","",MIN(100,IF($L253&lt;=$M253*1.15,20,IF($L253&lt;=$M253*1.4,10,0))+IF($D253&gt;$G253,20,IF($D253&gt;$H253,12,IF($D253&gt;$E253,5,0)))+IF($O253="拡大↑",10,0)+IF($R253&gt;=80,15,IF($R253&gt;=60,10,IF($R253&gt;=50,5,0)))+IF(AND($Q253&gt;=50,$Q253&lt;=70),10,IF($Q253&gt;70,3,IF($Q253&gt;=40,5,0)))+IF($S253="強気div▲",15,0)+IF($T253="上walk▲",5,0)+IF($V253&gt;=2,5,IF($V253&gt;=1.5,3,0))))</f>
      </c>
      <c r="Y253" s="682">
        <f>IF($D253="","",$D253)</f>
      </c>
      <c r="Z253" s="682">
        <f>IF($D253="","",$H253)</f>
      </c>
      <c r="AA253" s="682">
        <f>IF($D253="","",IF($D253&gt;$E253,$E253,$AD253))</f>
      </c>
      <c r="AB253" s="682">
        <f>IF($D253="","",$G253)</f>
      </c>
      <c r="AC253" s="688">
        <f>IF($D253="","",IF(($Y253-$AA253)&lt;=0,"－",IFERROR(ROUND(MIN(20,($AB253-$Y253)/($Y253-$AA253)),2),"－")))</f>
      </c>
      <c r="AD253" s="682">
        <f>IF($D253="","",MIN(終値!E253:I253))</f>
      </c>
      <c r="AE253" s="684">
        <f>IF($D253="","",$X253+(10000-ROW())/100000)</f>
      </c>
    </row>
    <row r="254">
      <c r="A254" s="681">
        <f>IF(終値!A254="","",HYPERLINK("https://kabutan.jp/stock/?code="&amp;終値!A254,"📈"))</f>
      </c>
      <c r="B254" s="681">
        <f>IF(終値!A254="","",終値!A254)</f>
      </c>
      <c r="C254" s="680">
        <f>IF(終値!A254="","",終値!B254)</f>
      </c>
      <c r="D254" s="682">
        <f>IF(終値!A254="","",終値!E254)</f>
      </c>
      <c r="E254" s="682">
        <f>IF($D254="","",AVERAGE(終値!E254:X254))</f>
      </c>
      <c r="F254" s="683">
        <f>IF($D254="","",STDEVP(終値!E254:X254))</f>
      </c>
      <c r="G254" s="682">
        <f>IF($D254="","",$E254+BB設定!$B$4*$F254)</f>
      </c>
      <c r="H254" s="682">
        <f>IF($D254="","",$E254+BB設定!$B$5*$F254)</f>
      </c>
      <c r="I254" s="682">
        <f>IF($D254="","",$E254-BB設定!$B$5*$F254)</f>
      </c>
      <c r="J254" s="682">
        <f>IF($D254="","",$E254-BB設定!$B$4*$F254)</f>
      </c>
      <c r="K254" s="687">
        <f>IF($D254="","",IFERROR(($D254-$J254)/($G254-$J254),""))</f>
      </c>
      <c r="L254" s="686">
        <f>IF($D254="","",IFERROR(($G254-$J254)/$E254*100,""))</f>
      </c>
      <c r="M254" s="686">
        <f>IF($D254="","",IFERROR(MIN(BB_帯幅!B254:AP254)*100,""))</f>
      </c>
      <c r="N254" s="681">
        <f>IF($L254="","",IF($L254&lt;=$M254*BB設定!$B$7,"スクイーズ★",IF($L254&lt;=$M254*1.3,"収縮","－")))</f>
      </c>
      <c r="O254" s="681">
        <f>IF($D254="","",IF($L254&gt;(4*STDEVP(終値!F254:Y254)/AVERAGE(終値!F254:Y254)*100),"拡大↑","縮小↓"))</f>
      </c>
      <c r="P254" s="681">
        <f>IF($D254="","",IF($D254&gt;$G254,"↑+2σ突破",IF($D254&lt;$J254,"↓-2σ割れ",IF($D254&gt;$H254,"+1σ上",IF($D254&lt;$I254,"-1σ下","バンド内")))))</f>
      </c>
      <c r="Q254" s="684">
        <f>IF($D254="","",IFERROR(100-100/(1+SUMPRODUCT((終値!E254:R254&gt;終値!F254:S254)*(終値!E254:R254-終値!F254:S254))/SUMPRODUCT((終値!E254:R254&lt;終値!F254:S254)*(終値!F254:S254-終値!E254:R254))),100))</f>
      </c>
      <c r="R254" s="684">
        <f>IF($D254="","",IFERROR(100-100/(1+SUMPRODUCT((((高値!E254:R254+安値!E254:R254+終値!E254:R254)/3)&gt;((高値!F254:S254+安値!F254:S254+終値!F254:S254)/3))*((高値!E254:R254+安値!E254:R254+終値!E254:R254)/3)*出来高!E254:R254)/SUMPRODUCT((((高値!E254:R254+安値!E254:R254+終値!E254:R254)/3)&lt;((高値!F254:S254+安値!F254:S254+終値!F254:S254)/3))*((高値!E254:R254+安値!E254:R254+終値!E254:R254)/3)*出来高!E254:R254)),50))</f>
      </c>
      <c r="S254" s="681">
        <f>IF($D254="","",IF(AND(終値!E254&lt;終値!O254,$Q254&gt;(IFERROR(100-100/(1+SUMPRODUCT((終値!O254:AB254&gt;終値!P254:AC254)*(終値!O254:AB254-終値!P254:AC254))/SUMPRODUCT((終値!O254:AB254&lt;終値!P254:AC254)*(終値!P254:AC254-終値!O254:AB254))),100))),"強気div▲",IF(AND(終値!E254&gt;終値!O254,$Q254&lt;(IFERROR(100-100/(1+SUMPRODUCT((終値!O254:AB254&gt;終値!P254:AC254)*(終値!O254:AB254-終値!P254:AC254))/SUMPRODUCT((終値!O254:AB254&lt;終値!P254:AC254)*(終値!P254:AC254-終値!O254:AB254))),100))),"弱気div▼","－")))</f>
      </c>
      <c r="T254" s="681">
        <f>IF($D254="","",IF($D254&gt;=$H254,"上walk▲",IF($D254&lt;=$I254,"下walk▼","－")))</f>
      </c>
      <c r="U254" s="681">
        <f>IF(終値!A254="","",BB_スイング!BT254)</f>
      </c>
      <c r="V254" s="689">
        <f>IF($D254="","",IFERROR(出来高!E254/AVERAGE(出来高!E254:I254),""))</f>
      </c>
      <c r="W254" s="690">
        <f>IF($D254="","",IF(AND($D254&gt;$G254,$O254="拡大↑",$L254&lt;=$M254*1.8),"◎スクイーズブレイク買",IF(AND($D254&gt;=$H254,$R254&gt;=BB設定!$B$10),"○順張り継続(walk)",IF(AND($S254="強気div▲",$D254&gt;$I254),"○反発(ダイバ)買",IF($U254="二番底W▲","△二番底買(確)",IF($U254="二番底W形成","△二番底形成",IF($D254&lt;$J254,"▼-2σ割れ危険",IF(AND($D254&gt;$E254,$K254&lt;0.6,$R254&gt;=50),"・押し目注目",IF($N254="スクイーズ★","☆スクイーズ監視","様子見")))))))))</f>
      </c>
      <c r="X254" s="685">
        <f>IF($D254="","",MIN(100,IF($L254&lt;=$M254*1.15,20,IF($L254&lt;=$M254*1.4,10,0))+IF($D254&gt;$G254,20,IF($D254&gt;$H254,12,IF($D254&gt;$E254,5,0)))+IF($O254="拡大↑",10,0)+IF($R254&gt;=80,15,IF($R254&gt;=60,10,IF($R254&gt;=50,5,0)))+IF(AND($Q254&gt;=50,$Q254&lt;=70),10,IF($Q254&gt;70,3,IF($Q254&gt;=40,5,0)))+IF($S254="強気div▲",15,0)+IF($T254="上walk▲",5,0)+IF($V254&gt;=2,5,IF($V254&gt;=1.5,3,0))))</f>
      </c>
      <c r="Y254" s="682">
        <f>IF($D254="","",$D254)</f>
      </c>
      <c r="Z254" s="682">
        <f>IF($D254="","",$H254)</f>
      </c>
      <c r="AA254" s="682">
        <f>IF($D254="","",IF($D254&gt;$E254,$E254,$AD254))</f>
      </c>
      <c r="AB254" s="682">
        <f>IF($D254="","",$G254)</f>
      </c>
      <c r="AC254" s="688">
        <f>IF($D254="","",IF(($Y254-$AA254)&lt;=0,"－",IFERROR(ROUND(MIN(20,($AB254-$Y254)/($Y254-$AA254)),2),"－")))</f>
      </c>
      <c r="AD254" s="682">
        <f>IF($D254="","",MIN(終値!E254:I254))</f>
      </c>
      <c r="AE254" s="684">
        <f>IF($D254="","",$X254+(10000-ROW())/100000)</f>
      </c>
    </row>
    <row r="255">
      <c r="A255" s="681">
        <f>IF(終値!A255="","",HYPERLINK("https://kabutan.jp/stock/?code="&amp;終値!A255,"📈"))</f>
      </c>
      <c r="B255" s="681">
        <f>IF(終値!A255="","",終値!A255)</f>
      </c>
      <c r="C255" s="680">
        <f>IF(終値!A255="","",終値!B255)</f>
      </c>
      <c r="D255" s="682">
        <f>IF(終値!A255="","",終値!E255)</f>
      </c>
      <c r="E255" s="682">
        <f>IF($D255="","",AVERAGE(終値!E255:X255))</f>
      </c>
      <c r="F255" s="683">
        <f>IF($D255="","",STDEVP(終値!E255:X255))</f>
      </c>
      <c r="G255" s="682">
        <f>IF($D255="","",$E255+BB設定!$B$4*$F255)</f>
      </c>
      <c r="H255" s="682">
        <f>IF($D255="","",$E255+BB設定!$B$5*$F255)</f>
      </c>
      <c r="I255" s="682">
        <f>IF($D255="","",$E255-BB設定!$B$5*$F255)</f>
      </c>
      <c r="J255" s="682">
        <f>IF($D255="","",$E255-BB設定!$B$4*$F255)</f>
      </c>
      <c r="K255" s="687">
        <f>IF($D255="","",IFERROR(($D255-$J255)/($G255-$J255),""))</f>
      </c>
      <c r="L255" s="686">
        <f>IF($D255="","",IFERROR(($G255-$J255)/$E255*100,""))</f>
      </c>
      <c r="M255" s="686">
        <f>IF($D255="","",IFERROR(MIN(BB_帯幅!B255:AP255)*100,""))</f>
      </c>
      <c r="N255" s="681">
        <f>IF($L255="","",IF($L255&lt;=$M255*BB設定!$B$7,"スクイーズ★",IF($L255&lt;=$M255*1.3,"収縮","－")))</f>
      </c>
      <c r="O255" s="681">
        <f>IF($D255="","",IF($L255&gt;(4*STDEVP(終値!F255:Y255)/AVERAGE(終値!F255:Y255)*100),"拡大↑","縮小↓"))</f>
      </c>
      <c r="P255" s="681">
        <f>IF($D255="","",IF($D255&gt;$G255,"↑+2σ突破",IF($D255&lt;$J255,"↓-2σ割れ",IF($D255&gt;$H255,"+1σ上",IF($D255&lt;$I255,"-1σ下","バンド内")))))</f>
      </c>
      <c r="Q255" s="684">
        <f>IF($D255="","",IFERROR(100-100/(1+SUMPRODUCT((終値!E255:R255&gt;終値!F255:S255)*(終値!E255:R255-終値!F255:S255))/SUMPRODUCT((終値!E255:R255&lt;終値!F255:S255)*(終値!F255:S255-終値!E255:R255))),100))</f>
      </c>
      <c r="R255" s="684">
        <f>IF($D255="","",IFERROR(100-100/(1+SUMPRODUCT((((高値!E255:R255+安値!E255:R255+終値!E255:R255)/3)&gt;((高値!F255:S255+安値!F255:S255+終値!F255:S255)/3))*((高値!E255:R255+安値!E255:R255+終値!E255:R255)/3)*出来高!E255:R255)/SUMPRODUCT((((高値!E255:R255+安値!E255:R255+終値!E255:R255)/3)&lt;((高値!F255:S255+安値!F255:S255+終値!F255:S255)/3))*((高値!E255:R255+安値!E255:R255+終値!E255:R255)/3)*出来高!E255:R255)),50))</f>
      </c>
      <c r="S255" s="681">
        <f>IF($D255="","",IF(AND(終値!E255&lt;終値!O255,$Q255&gt;(IFERROR(100-100/(1+SUMPRODUCT((終値!O255:AB255&gt;終値!P255:AC255)*(終値!O255:AB255-終値!P255:AC255))/SUMPRODUCT((終値!O255:AB255&lt;終値!P255:AC255)*(終値!P255:AC255-終値!O255:AB255))),100))),"強気div▲",IF(AND(終値!E255&gt;終値!O255,$Q255&lt;(IFERROR(100-100/(1+SUMPRODUCT((終値!O255:AB255&gt;終値!P255:AC255)*(終値!O255:AB255-終値!P255:AC255))/SUMPRODUCT((終値!O255:AB255&lt;終値!P255:AC255)*(終値!P255:AC255-終値!O255:AB255))),100))),"弱気div▼","－")))</f>
      </c>
      <c r="T255" s="681">
        <f>IF($D255="","",IF($D255&gt;=$H255,"上walk▲",IF($D255&lt;=$I255,"下walk▼","－")))</f>
      </c>
      <c r="U255" s="681">
        <f>IF(終値!A255="","",BB_スイング!BT255)</f>
      </c>
      <c r="V255" s="689">
        <f>IF($D255="","",IFERROR(出来高!E255/AVERAGE(出来高!E255:I255),""))</f>
      </c>
      <c r="W255" s="690">
        <f>IF($D255="","",IF(AND($D255&gt;$G255,$O255="拡大↑",$L255&lt;=$M255*1.8),"◎スクイーズブレイク買",IF(AND($D255&gt;=$H255,$R255&gt;=BB設定!$B$10),"○順張り継続(walk)",IF(AND($S255="強気div▲",$D255&gt;$I255),"○反発(ダイバ)買",IF($U255="二番底W▲","△二番底買(確)",IF($U255="二番底W形成","△二番底形成",IF($D255&lt;$J255,"▼-2σ割れ危険",IF(AND($D255&gt;$E255,$K255&lt;0.6,$R255&gt;=50),"・押し目注目",IF($N255="スクイーズ★","☆スクイーズ監視","様子見")))))))))</f>
      </c>
      <c r="X255" s="685">
        <f>IF($D255="","",MIN(100,IF($L255&lt;=$M255*1.15,20,IF($L255&lt;=$M255*1.4,10,0))+IF($D255&gt;$G255,20,IF($D255&gt;$H255,12,IF($D255&gt;$E255,5,0)))+IF($O255="拡大↑",10,0)+IF($R255&gt;=80,15,IF($R255&gt;=60,10,IF($R255&gt;=50,5,0)))+IF(AND($Q255&gt;=50,$Q255&lt;=70),10,IF($Q255&gt;70,3,IF($Q255&gt;=40,5,0)))+IF($S255="強気div▲",15,0)+IF($T255="上walk▲",5,0)+IF($V255&gt;=2,5,IF($V255&gt;=1.5,3,0))))</f>
      </c>
      <c r="Y255" s="682">
        <f>IF($D255="","",$D255)</f>
      </c>
      <c r="Z255" s="682">
        <f>IF($D255="","",$H255)</f>
      </c>
      <c r="AA255" s="682">
        <f>IF($D255="","",IF($D255&gt;$E255,$E255,$AD255))</f>
      </c>
      <c r="AB255" s="682">
        <f>IF($D255="","",$G255)</f>
      </c>
      <c r="AC255" s="688">
        <f>IF($D255="","",IF(($Y255-$AA255)&lt;=0,"－",IFERROR(ROUND(MIN(20,($AB255-$Y255)/($Y255-$AA255)),2),"－")))</f>
      </c>
      <c r="AD255" s="682">
        <f>IF($D255="","",MIN(終値!E255:I255))</f>
      </c>
      <c r="AE255" s="684">
        <f>IF($D255="","",$X255+(10000-ROW())/100000)</f>
      </c>
    </row>
    <row r="256">
      <c r="A256" s="681">
        <f>IF(終値!A256="","",HYPERLINK("https://kabutan.jp/stock/?code="&amp;終値!A256,"📈"))</f>
      </c>
      <c r="B256" s="681">
        <f>IF(終値!A256="","",終値!A256)</f>
      </c>
      <c r="C256" s="680">
        <f>IF(終値!A256="","",終値!B256)</f>
      </c>
      <c r="D256" s="682">
        <f>IF(終値!A256="","",終値!E256)</f>
      </c>
      <c r="E256" s="682">
        <f>IF($D256="","",AVERAGE(終値!E256:X256))</f>
      </c>
      <c r="F256" s="683">
        <f>IF($D256="","",STDEVP(終値!E256:X256))</f>
      </c>
      <c r="G256" s="682">
        <f>IF($D256="","",$E256+BB設定!$B$4*$F256)</f>
      </c>
      <c r="H256" s="682">
        <f>IF($D256="","",$E256+BB設定!$B$5*$F256)</f>
      </c>
      <c r="I256" s="682">
        <f>IF($D256="","",$E256-BB設定!$B$5*$F256)</f>
      </c>
      <c r="J256" s="682">
        <f>IF($D256="","",$E256-BB設定!$B$4*$F256)</f>
      </c>
      <c r="K256" s="687">
        <f>IF($D256="","",IFERROR(($D256-$J256)/($G256-$J256),""))</f>
      </c>
      <c r="L256" s="686">
        <f>IF($D256="","",IFERROR(($G256-$J256)/$E256*100,""))</f>
      </c>
      <c r="M256" s="686">
        <f>IF($D256="","",IFERROR(MIN(BB_帯幅!B256:AP256)*100,""))</f>
      </c>
      <c r="N256" s="681">
        <f>IF($L256="","",IF($L256&lt;=$M256*BB設定!$B$7,"スクイーズ★",IF($L256&lt;=$M256*1.3,"収縮","－")))</f>
      </c>
      <c r="O256" s="681">
        <f>IF($D256="","",IF($L256&gt;(4*STDEVP(終値!F256:Y256)/AVERAGE(終値!F256:Y256)*100),"拡大↑","縮小↓"))</f>
      </c>
      <c r="P256" s="681">
        <f>IF($D256="","",IF($D256&gt;$G256,"↑+2σ突破",IF($D256&lt;$J256,"↓-2σ割れ",IF($D256&gt;$H256,"+1σ上",IF($D256&lt;$I256,"-1σ下","バンド内")))))</f>
      </c>
      <c r="Q256" s="684">
        <f>IF($D256="","",IFERROR(100-100/(1+SUMPRODUCT((終値!E256:R256&gt;終値!F256:S256)*(終値!E256:R256-終値!F256:S256))/SUMPRODUCT((終値!E256:R256&lt;終値!F256:S256)*(終値!F256:S256-終値!E256:R256))),100))</f>
      </c>
      <c r="R256" s="684">
        <f>IF($D256="","",IFERROR(100-100/(1+SUMPRODUCT((((高値!E256:R256+安値!E256:R256+終値!E256:R256)/3)&gt;((高値!F256:S256+安値!F256:S256+終値!F256:S256)/3))*((高値!E256:R256+安値!E256:R256+終値!E256:R256)/3)*出来高!E256:R256)/SUMPRODUCT((((高値!E256:R256+安値!E256:R256+終値!E256:R256)/3)&lt;((高値!F256:S256+安値!F256:S256+終値!F256:S256)/3))*((高値!E256:R256+安値!E256:R256+終値!E256:R256)/3)*出来高!E256:R256)),50))</f>
      </c>
      <c r="S256" s="681">
        <f>IF($D256="","",IF(AND(終値!E256&lt;終値!O256,$Q256&gt;(IFERROR(100-100/(1+SUMPRODUCT((終値!O256:AB256&gt;終値!P256:AC256)*(終値!O256:AB256-終値!P256:AC256))/SUMPRODUCT((終値!O256:AB256&lt;終値!P256:AC256)*(終値!P256:AC256-終値!O256:AB256))),100))),"強気div▲",IF(AND(終値!E256&gt;終値!O256,$Q256&lt;(IFERROR(100-100/(1+SUMPRODUCT((終値!O256:AB256&gt;終値!P256:AC256)*(終値!O256:AB256-終値!P256:AC256))/SUMPRODUCT((終値!O256:AB256&lt;終値!P256:AC256)*(終値!P256:AC256-終値!O256:AB256))),100))),"弱気div▼","－")))</f>
      </c>
      <c r="T256" s="681">
        <f>IF($D256="","",IF($D256&gt;=$H256,"上walk▲",IF($D256&lt;=$I256,"下walk▼","－")))</f>
      </c>
      <c r="U256" s="681">
        <f>IF(終値!A256="","",BB_スイング!BT256)</f>
      </c>
      <c r="V256" s="689">
        <f>IF($D256="","",IFERROR(出来高!E256/AVERAGE(出来高!E256:I256),""))</f>
      </c>
      <c r="W256" s="690">
        <f>IF($D256="","",IF(AND($D256&gt;$G256,$O256="拡大↑",$L256&lt;=$M256*1.8),"◎スクイーズブレイク買",IF(AND($D256&gt;=$H256,$R256&gt;=BB設定!$B$10),"○順張り継続(walk)",IF(AND($S256="強気div▲",$D256&gt;$I256),"○反発(ダイバ)買",IF($U256="二番底W▲","△二番底買(確)",IF($U256="二番底W形成","△二番底形成",IF($D256&lt;$J256,"▼-2σ割れ危険",IF(AND($D256&gt;$E256,$K256&lt;0.6,$R256&gt;=50),"・押し目注目",IF($N256="スクイーズ★","☆スクイーズ監視","様子見")))))))))</f>
      </c>
      <c r="X256" s="685">
        <f>IF($D256="","",MIN(100,IF($L256&lt;=$M256*1.15,20,IF($L256&lt;=$M256*1.4,10,0))+IF($D256&gt;$G256,20,IF($D256&gt;$H256,12,IF($D256&gt;$E256,5,0)))+IF($O256="拡大↑",10,0)+IF($R256&gt;=80,15,IF($R256&gt;=60,10,IF($R256&gt;=50,5,0)))+IF(AND($Q256&gt;=50,$Q256&lt;=70),10,IF($Q256&gt;70,3,IF($Q256&gt;=40,5,0)))+IF($S256="強気div▲",15,0)+IF($T256="上walk▲",5,0)+IF($V256&gt;=2,5,IF($V256&gt;=1.5,3,0))))</f>
      </c>
      <c r="Y256" s="682">
        <f>IF($D256="","",$D256)</f>
      </c>
      <c r="Z256" s="682">
        <f>IF($D256="","",$H256)</f>
      </c>
      <c r="AA256" s="682">
        <f>IF($D256="","",IF($D256&gt;$E256,$E256,$AD256))</f>
      </c>
      <c r="AB256" s="682">
        <f>IF($D256="","",$G256)</f>
      </c>
      <c r="AC256" s="688">
        <f>IF($D256="","",IF(($Y256-$AA256)&lt;=0,"－",IFERROR(ROUND(MIN(20,($AB256-$Y256)/($Y256-$AA256)),2),"－")))</f>
      </c>
      <c r="AD256" s="682">
        <f>IF($D256="","",MIN(終値!E256:I256))</f>
      </c>
      <c r="AE256" s="684">
        <f>IF($D256="","",$X256+(10000-ROW())/100000)</f>
      </c>
    </row>
    <row r="257">
      <c r="A257" s="681">
        <f>IF(終値!A257="","",HYPERLINK("https://kabutan.jp/stock/?code="&amp;終値!A257,"📈"))</f>
      </c>
      <c r="B257" s="681">
        <f>IF(終値!A257="","",終値!A257)</f>
      </c>
      <c r="C257" s="680">
        <f>IF(終値!A257="","",終値!B257)</f>
      </c>
      <c r="D257" s="682">
        <f>IF(終値!A257="","",終値!E257)</f>
      </c>
      <c r="E257" s="682">
        <f>IF($D257="","",AVERAGE(終値!E257:X257))</f>
      </c>
      <c r="F257" s="683">
        <f>IF($D257="","",STDEVP(終値!E257:X257))</f>
      </c>
      <c r="G257" s="682">
        <f>IF($D257="","",$E257+BB設定!$B$4*$F257)</f>
      </c>
      <c r="H257" s="682">
        <f>IF($D257="","",$E257+BB設定!$B$5*$F257)</f>
      </c>
      <c r="I257" s="682">
        <f>IF($D257="","",$E257-BB設定!$B$5*$F257)</f>
      </c>
      <c r="J257" s="682">
        <f>IF($D257="","",$E257-BB設定!$B$4*$F257)</f>
      </c>
      <c r="K257" s="687">
        <f>IF($D257="","",IFERROR(($D257-$J257)/($G257-$J257),""))</f>
      </c>
      <c r="L257" s="686">
        <f>IF($D257="","",IFERROR(($G257-$J257)/$E257*100,""))</f>
      </c>
      <c r="M257" s="686">
        <f>IF($D257="","",IFERROR(MIN(BB_帯幅!B257:AP257)*100,""))</f>
      </c>
      <c r="N257" s="681">
        <f>IF($L257="","",IF($L257&lt;=$M257*BB設定!$B$7,"スクイーズ★",IF($L257&lt;=$M257*1.3,"収縮","－")))</f>
      </c>
      <c r="O257" s="681">
        <f>IF($D257="","",IF($L257&gt;(4*STDEVP(終値!F257:Y257)/AVERAGE(終値!F257:Y257)*100),"拡大↑","縮小↓"))</f>
      </c>
      <c r="P257" s="681">
        <f>IF($D257="","",IF($D257&gt;$G257,"↑+2σ突破",IF($D257&lt;$J257,"↓-2σ割れ",IF($D257&gt;$H257,"+1σ上",IF($D257&lt;$I257,"-1σ下","バンド内")))))</f>
      </c>
      <c r="Q257" s="684">
        <f>IF($D257="","",IFERROR(100-100/(1+SUMPRODUCT((終値!E257:R257&gt;終値!F257:S257)*(終値!E257:R257-終値!F257:S257))/SUMPRODUCT((終値!E257:R257&lt;終値!F257:S257)*(終値!F257:S257-終値!E257:R257))),100))</f>
      </c>
      <c r="R257" s="684">
        <f>IF($D257="","",IFERROR(100-100/(1+SUMPRODUCT((((高値!E257:R257+安値!E257:R257+終値!E257:R257)/3)&gt;((高値!F257:S257+安値!F257:S257+終値!F257:S257)/3))*((高値!E257:R257+安値!E257:R257+終値!E257:R257)/3)*出来高!E257:R257)/SUMPRODUCT((((高値!E257:R257+安値!E257:R257+終値!E257:R257)/3)&lt;((高値!F257:S257+安値!F257:S257+終値!F257:S257)/3))*((高値!E257:R257+安値!E257:R257+終値!E257:R257)/3)*出来高!E257:R257)),50))</f>
      </c>
      <c r="S257" s="681">
        <f>IF($D257="","",IF(AND(終値!E257&lt;終値!O257,$Q257&gt;(IFERROR(100-100/(1+SUMPRODUCT((終値!O257:AB257&gt;終値!P257:AC257)*(終値!O257:AB257-終値!P257:AC257))/SUMPRODUCT((終値!O257:AB257&lt;終値!P257:AC257)*(終値!P257:AC257-終値!O257:AB257))),100))),"強気div▲",IF(AND(終値!E257&gt;終値!O257,$Q257&lt;(IFERROR(100-100/(1+SUMPRODUCT((終値!O257:AB257&gt;終値!P257:AC257)*(終値!O257:AB257-終値!P257:AC257))/SUMPRODUCT((終値!O257:AB257&lt;終値!P257:AC257)*(終値!P257:AC257-終値!O257:AB257))),100))),"弱気div▼","－")))</f>
      </c>
      <c r="T257" s="681">
        <f>IF($D257="","",IF($D257&gt;=$H257,"上walk▲",IF($D257&lt;=$I257,"下walk▼","－")))</f>
      </c>
      <c r="U257" s="681">
        <f>IF(終値!A257="","",BB_スイング!BT257)</f>
      </c>
      <c r="V257" s="689">
        <f>IF($D257="","",IFERROR(出来高!E257/AVERAGE(出来高!E257:I257),""))</f>
      </c>
      <c r="W257" s="690">
        <f>IF($D257="","",IF(AND($D257&gt;$G257,$O257="拡大↑",$L257&lt;=$M257*1.8),"◎スクイーズブレイク買",IF(AND($D257&gt;=$H257,$R257&gt;=BB設定!$B$10),"○順張り継続(walk)",IF(AND($S257="強気div▲",$D257&gt;$I257),"○反発(ダイバ)買",IF($U257="二番底W▲","△二番底買(確)",IF($U257="二番底W形成","△二番底形成",IF($D257&lt;$J257,"▼-2σ割れ危険",IF(AND($D257&gt;$E257,$K257&lt;0.6,$R257&gt;=50),"・押し目注目",IF($N257="スクイーズ★","☆スクイーズ監視","様子見")))))))))</f>
      </c>
      <c r="X257" s="685">
        <f>IF($D257="","",MIN(100,IF($L257&lt;=$M257*1.15,20,IF($L257&lt;=$M257*1.4,10,0))+IF($D257&gt;$G257,20,IF($D257&gt;$H257,12,IF($D257&gt;$E257,5,0)))+IF($O257="拡大↑",10,0)+IF($R257&gt;=80,15,IF($R257&gt;=60,10,IF($R257&gt;=50,5,0)))+IF(AND($Q257&gt;=50,$Q257&lt;=70),10,IF($Q257&gt;70,3,IF($Q257&gt;=40,5,0)))+IF($S257="強気div▲",15,0)+IF($T257="上walk▲",5,0)+IF($V257&gt;=2,5,IF($V257&gt;=1.5,3,0))))</f>
      </c>
      <c r="Y257" s="682">
        <f>IF($D257="","",$D257)</f>
      </c>
      <c r="Z257" s="682">
        <f>IF($D257="","",$H257)</f>
      </c>
      <c r="AA257" s="682">
        <f>IF($D257="","",IF($D257&gt;$E257,$E257,$AD257))</f>
      </c>
      <c r="AB257" s="682">
        <f>IF($D257="","",$G257)</f>
      </c>
      <c r="AC257" s="688">
        <f>IF($D257="","",IF(($Y257-$AA257)&lt;=0,"－",IFERROR(ROUND(MIN(20,($AB257-$Y257)/($Y257-$AA257)),2),"－")))</f>
      </c>
      <c r="AD257" s="682">
        <f>IF($D257="","",MIN(終値!E257:I257))</f>
      </c>
      <c r="AE257" s="684">
        <f>IF($D257="","",$X257+(10000-ROW())/100000)</f>
      </c>
    </row>
    <row r="258">
      <c r="A258" s="681">
        <f>IF(終値!A258="","",HYPERLINK("https://kabutan.jp/stock/?code="&amp;終値!A258,"📈"))</f>
      </c>
      <c r="B258" s="681">
        <f>IF(終値!A258="","",終値!A258)</f>
      </c>
      <c r="C258" s="680">
        <f>IF(終値!A258="","",終値!B258)</f>
      </c>
      <c r="D258" s="682">
        <f>IF(終値!A258="","",終値!E258)</f>
      </c>
      <c r="E258" s="682">
        <f>IF($D258="","",AVERAGE(終値!E258:X258))</f>
      </c>
      <c r="F258" s="683">
        <f>IF($D258="","",STDEVP(終値!E258:X258))</f>
      </c>
      <c r="G258" s="682">
        <f>IF($D258="","",$E258+BB設定!$B$4*$F258)</f>
      </c>
      <c r="H258" s="682">
        <f>IF($D258="","",$E258+BB設定!$B$5*$F258)</f>
      </c>
      <c r="I258" s="682">
        <f>IF($D258="","",$E258-BB設定!$B$5*$F258)</f>
      </c>
      <c r="J258" s="682">
        <f>IF($D258="","",$E258-BB設定!$B$4*$F258)</f>
      </c>
      <c r="K258" s="687">
        <f>IF($D258="","",IFERROR(($D258-$J258)/($G258-$J258),""))</f>
      </c>
      <c r="L258" s="686">
        <f>IF($D258="","",IFERROR(($G258-$J258)/$E258*100,""))</f>
      </c>
      <c r="M258" s="686">
        <f>IF($D258="","",IFERROR(MIN(BB_帯幅!B258:AP258)*100,""))</f>
      </c>
      <c r="N258" s="681">
        <f>IF($L258="","",IF($L258&lt;=$M258*BB設定!$B$7,"スクイーズ★",IF($L258&lt;=$M258*1.3,"収縮","－")))</f>
      </c>
      <c r="O258" s="681">
        <f>IF($D258="","",IF($L258&gt;(4*STDEVP(終値!F258:Y258)/AVERAGE(終値!F258:Y258)*100),"拡大↑","縮小↓"))</f>
      </c>
      <c r="P258" s="681">
        <f>IF($D258="","",IF($D258&gt;$G258,"↑+2σ突破",IF($D258&lt;$J258,"↓-2σ割れ",IF($D258&gt;$H258,"+1σ上",IF($D258&lt;$I258,"-1σ下","バンド内")))))</f>
      </c>
      <c r="Q258" s="684">
        <f>IF($D258="","",IFERROR(100-100/(1+SUMPRODUCT((終値!E258:R258&gt;終値!F258:S258)*(終値!E258:R258-終値!F258:S258))/SUMPRODUCT((終値!E258:R258&lt;終値!F258:S258)*(終値!F258:S258-終値!E258:R258))),100))</f>
      </c>
      <c r="R258" s="684">
        <f>IF($D258="","",IFERROR(100-100/(1+SUMPRODUCT((((高値!E258:R258+安値!E258:R258+終値!E258:R258)/3)&gt;((高値!F258:S258+安値!F258:S258+終値!F258:S258)/3))*((高値!E258:R258+安値!E258:R258+終値!E258:R258)/3)*出来高!E258:R258)/SUMPRODUCT((((高値!E258:R258+安値!E258:R258+終値!E258:R258)/3)&lt;((高値!F258:S258+安値!F258:S258+終値!F258:S258)/3))*((高値!E258:R258+安値!E258:R258+終値!E258:R258)/3)*出来高!E258:R258)),50))</f>
      </c>
      <c r="S258" s="681">
        <f>IF($D258="","",IF(AND(終値!E258&lt;終値!O258,$Q258&gt;(IFERROR(100-100/(1+SUMPRODUCT((終値!O258:AB258&gt;終値!P258:AC258)*(終値!O258:AB258-終値!P258:AC258))/SUMPRODUCT((終値!O258:AB258&lt;終値!P258:AC258)*(終値!P258:AC258-終値!O258:AB258))),100))),"強気div▲",IF(AND(終値!E258&gt;終値!O258,$Q258&lt;(IFERROR(100-100/(1+SUMPRODUCT((終値!O258:AB258&gt;終値!P258:AC258)*(終値!O258:AB258-終値!P258:AC258))/SUMPRODUCT((終値!O258:AB258&lt;終値!P258:AC258)*(終値!P258:AC258-終値!O258:AB258))),100))),"弱気div▼","－")))</f>
      </c>
      <c r="T258" s="681">
        <f>IF($D258="","",IF($D258&gt;=$H258,"上walk▲",IF($D258&lt;=$I258,"下walk▼","－")))</f>
      </c>
      <c r="U258" s="681">
        <f>IF(終値!A258="","",BB_スイング!BT258)</f>
      </c>
      <c r="V258" s="689">
        <f>IF($D258="","",IFERROR(出来高!E258/AVERAGE(出来高!E258:I258),""))</f>
      </c>
      <c r="W258" s="690">
        <f>IF($D258="","",IF(AND($D258&gt;$G258,$O258="拡大↑",$L258&lt;=$M258*1.8),"◎スクイーズブレイク買",IF(AND($D258&gt;=$H258,$R258&gt;=BB設定!$B$10),"○順張り継続(walk)",IF(AND($S258="強気div▲",$D258&gt;$I258),"○反発(ダイバ)買",IF($U258="二番底W▲","△二番底買(確)",IF($U258="二番底W形成","△二番底形成",IF($D258&lt;$J258,"▼-2σ割れ危険",IF(AND($D258&gt;$E258,$K258&lt;0.6,$R258&gt;=50),"・押し目注目",IF($N258="スクイーズ★","☆スクイーズ監視","様子見")))))))))</f>
      </c>
      <c r="X258" s="685">
        <f>IF($D258="","",MIN(100,IF($L258&lt;=$M258*1.15,20,IF($L258&lt;=$M258*1.4,10,0))+IF($D258&gt;$G258,20,IF($D258&gt;$H258,12,IF($D258&gt;$E258,5,0)))+IF($O258="拡大↑",10,0)+IF($R258&gt;=80,15,IF($R258&gt;=60,10,IF($R258&gt;=50,5,0)))+IF(AND($Q258&gt;=50,$Q258&lt;=70),10,IF($Q258&gt;70,3,IF($Q258&gt;=40,5,0)))+IF($S258="強気div▲",15,0)+IF($T258="上walk▲",5,0)+IF($V258&gt;=2,5,IF($V258&gt;=1.5,3,0))))</f>
      </c>
      <c r="Y258" s="682">
        <f>IF($D258="","",$D258)</f>
      </c>
      <c r="Z258" s="682">
        <f>IF($D258="","",$H258)</f>
      </c>
      <c r="AA258" s="682">
        <f>IF($D258="","",IF($D258&gt;$E258,$E258,$AD258))</f>
      </c>
      <c r="AB258" s="682">
        <f>IF($D258="","",$G258)</f>
      </c>
      <c r="AC258" s="688">
        <f>IF($D258="","",IF(($Y258-$AA258)&lt;=0,"－",IFERROR(ROUND(MIN(20,($AB258-$Y258)/($Y258-$AA258)),2),"－")))</f>
      </c>
      <c r="AD258" s="682">
        <f>IF($D258="","",MIN(終値!E258:I258))</f>
      </c>
      <c r="AE258" s="684">
        <f>IF($D258="","",$X258+(10000-ROW())/100000)</f>
      </c>
    </row>
    <row r="259">
      <c r="A259" s="681">
        <f>IF(終値!A259="","",HYPERLINK("https://kabutan.jp/stock/?code="&amp;終値!A259,"📈"))</f>
      </c>
      <c r="B259" s="681">
        <f>IF(終値!A259="","",終値!A259)</f>
      </c>
      <c r="C259" s="680">
        <f>IF(終値!A259="","",終値!B259)</f>
      </c>
      <c r="D259" s="682">
        <f>IF(終値!A259="","",終値!E259)</f>
      </c>
      <c r="E259" s="682">
        <f>IF($D259="","",AVERAGE(終値!E259:X259))</f>
      </c>
      <c r="F259" s="683">
        <f>IF($D259="","",STDEVP(終値!E259:X259))</f>
      </c>
      <c r="G259" s="682">
        <f>IF($D259="","",$E259+BB設定!$B$4*$F259)</f>
      </c>
      <c r="H259" s="682">
        <f>IF($D259="","",$E259+BB設定!$B$5*$F259)</f>
      </c>
      <c r="I259" s="682">
        <f>IF($D259="","",$E259-BB設定!$B$5*$F259)</f>
      </c>
      <c r="J259" s="682">
        <f>IF($D259="","",$E259-BB設定!$B$4*$F259)</f>
      </c>
      <c r="K259" s="687">
        <f>IF($D259="","",IFERROR(($D259-$J259)/($G259-$J259),""))</f>
      </c>
      <c r="L259" s="686">
        <f>IF($D259="","",IFERROR(($G259-$J259)/$E259*100,""))</f>
      </c>
      <c r="M259" s="686">
        <f>IF($D259="","",IFERROR(MIN(BB_帯幅!B259:AP259)*100,""))</f>
      </c>
      <c r="N259" s="681">
        <f>IF($L259="","",IF($L259&lt;=$M259*BB設定!$B$7,"スクイーズ★",IF($L259&lt;=$M259*1.3,"収縮","－")))</f>
      </c>
      <c r="O259" s="681">
        <f>IF($D259="","",IF($L259&gt;(4*STDEVP(終値!F259:Y259)/AVERAGE(終値!F259:Y259)*100),"拡大↑","縮小↓"))</f>
      </c>
      <c r="P259" s="681">
        <f>IF($D259="","",IF($D259&gt;$G259,"↑+2σ突破",IF($D259&lt;$J259,"↓-2σ割れ",IF($D259&gt;$H259,"+1σ上",IF($D259&lt;$I259,"-1σ下","バンド内")))))</f>
      </c>
      <c r="Q259" s="684">
        <f>IF($D259="","",IFERROR(100-100/(1+SUMPRODUCT((終値!E259:R259&gt;終値!F259:S259)*(終値!E259:R259-終値!F259:S259))/SUMPRODUCT((終値!E259:R259&lt;終値!F259:S259)*(終値!F259:S259-終値!E259:R259))),100))</f>
      </c>
      <c r="R259" s="684">
        <f>IF($D259="","",IFERROR(100-100/(1+SUMPRODUCT((((高値!E259:R259+安値!E259:R259+終値!E259:R259)/3)&gt;((高値!F259:S259+安値!F259:S259+終値!F259:S259)/3))*((高値!E259:R259+安値!E259:R259+終値!E259:R259)/3)*出来高!E259:R259)/SUMPRODUCT((((高値!E259:R259+安値!E259:R259+終値!E259:R259)/3)&lt;((高値!F259:S259+安値!F259:S259+終値!F259:S259)/3))*((高値!E259:R259+安値!E259:R259+終値!E259:R259)/3)*出来高!E259:R259)),50))</f>
      </c>
      <c r="S259" s="681">
        <f>IF($D259="","",IF(AND(終値!E259&lt;終値!O259,$Q259&gt;(IFERROR(100-100/(1+SUMPRODUCT((終値!O259:AB259&gt;終値!P259:AC259)*(終値!O259:AB259-終値!P259:AC259))/SUMPRODUCT((終値!O259:AB259&lt;終値!P259:AC259)*(終値!P259:AC259-終値!O259:AB259))),100))),"強気div▲",IF(AND(終値!E259&gt;終値!O259,$Q259&lt;(IFERROR(100-100/(1+SUMPRODUCT((終値!O259:AB259&gt;終値!P259:AC259)*(終値!O259:AB259-終値!P259:AC259))/SUMPRODUCT((終値!O259:AB259&lt;終値!P259:AC259)*(終値!P259:AC259-終値!O259:AB259))),100))),"弱気div▼","－")))</f>
      </c>
      <c r="T259" s="681">
        <f>IF($D259="","",IF($D259&gt;=$H259,"上walk▲",IF($D259&lt;=$I259,"下walk▼","－")))</f>
      </c>
      <c r="U259" s="681">
        <f>IF(終値!A259="","",BB_スイング!BT259)</f>
      </c>
      <c r="V259" s="689">
        <f>IF($D259="","",IFERROR(出来高!E259/AVERAGE(出来高!E259:I259),""))</f>
      </c>
      <c r="W259" s="690">
        <f>IF($D259="","",IF(AND($D259&gt;$G259,$O259="拡大↑",$L259&lt;=$M259*1.8),"◎スクイーズブレイク買",IF(AND($D259&gt;=$H259,$R259&gt;=BB設定!$B$10),"○順張り継続(walk)",IF(AND($S259="強気div▲",$D259&gt;$I259),"○反発(ダイバ)買",IF($U259="二番底W▲","△二番底買(確)",IF($U259="二番底W形成","△二番底形成",IF($D259&lt;$J259,"▼-2σ割れ危険",IF(AND($D259&gt;$E259,$K259&lt;0.6,$R259&gt;=50),"・押し目注目",IF($N259="スクイーズ★","☆スクイーズ監視","様子見")))))))))</f>
      </c>
      <c r="X259" s="685">
        <f>IF($D259="","",MIN(100,IF($L259&lt;=$M259*1.15,20,IF($L259&lt;=$M259*1.4,10,0))+IF($D259&gt;$G259,20,IF($D259&gt;$H259,12,IF($D259&gt;$E259,5,0)))+IF($O259="拡大↑",10,0)+IF($R259&gt;=80,15,IF($R259&gt;=60,10,IF($R259&gt;=50,5,0)))+IF(AND($Q259&gt;=50,$Q259&lt;=70),10,IF($Q259&gt;70,3,IF($Q259&gt;=40,5,0)))+IF($S259="強気div▲",15,0)+IF($T259="上walk▲",5,0)+IF($V259&gt;=2,5,IF($V259&gt;=1.5,3,0))))</f>
      </c>
      <c r="Y259" s="682">
        <f>IF($D259="","",$D259)</f>
      </c>
      <c r="Z259" s="682">
        <f>IF($D259="","",$H259)</f>
      </c>
      <c r="AA259" s="682">
        <f>IF($D259="","",IF($D259&gt;$E259,$E259,$AD259))</f>
      </c>
      <c r="AB259" s="682">
        <f>IF($D259="","",$G259)</f>
      </c>
      <c r="AC259" s="688">
        <f>IF($D259="","",IF(($Y259-$AA259)&lt;=0,"－",IFERROR(ROUND(MIN(20,($AB259-$Y259)/($Y259-$AA259)),2),"－")))</f>
      </c>
      <c r="AD259" s="682">
        <f>IF($D259="","",MIN(終値!E259:I259))</f>
      </c>
      <c r="AE259" s="684">
        <f>IF($D259="","",$X259+(10000-ROW())/100000)</f>
      </c>
    </row>
    <row r="260">
      <c r="A260" s="681">
        <f>IF(終値!A260="","",HYPERLINK("https://kabutan.jp/stock/?code="&amp;終値!A260,"📈"))</f>
      </c>
      <c r="B260" s="681">
        <f>IF(終値!A260="","",終値!A260)</f>
      </c>
      <c r="C260" s="680">
        <f>IF(終値!A260="","",終値!B260)</f>
      </c>
      <c r="D260" s="682">
        <f>IF(終値!A260="","",終値!E260)</f>
      </c>
      <c r="E260" s="682">
        <f>IF($D260="","",AVERAGE(終値!E260:X260))</f>
      </c>
      <c r="F260" s="683">
        <f>IF($D260="","",STDEVP(終値!E260:X260))</f>
      </c>
      <c r="G260" s="682">
        <f>IF($D260="","",$E260+BB設定!$B$4*$F260)</f>
      </c>
      <c r="H260" s="682">
        <f>IF($D260="","",$E260+BB設定!$B$5*$F260)</f>
      </c>
      <c r="I260" s="682">
        <f>IF($D260="","",$E260-BB設定!$B$5*$F260)</f>
      </c>
      <c r="J260" s="682">
        <f>IF($D260="","",$E260-BB設定!$B$4*$F260)</f>
      </c>
      <c r="K260" s="687">
        <f>IF($D260="","",IFERROR(($D260-$J260)/($G260-$J260),""))</f>
      </c>
      <c r="L260" s="686">
        <f>IF($D260="","",IFERROR(($G260-$J260)/$E260*100,""))</f>
      </c>
      <c r="M260" s="686">
        <f>IF($D260="","",IFERROR(MIN(BB_帯幅!B260:AP260)*100,""))</f>
      </c>
      <c r="N260" s="681">
        <f>IF($L260="","",IF($L260&lt;=$M260*BB設定!$B$7,"スクイーズ★",IF($L260&lt;=$M260*1.3,"収縮","－")))</f>
      </c>
      <c r="O260" s="681">
        <f>IF($D260="","",IF($L260&gt;(4*STDEVP(終値!F260:Y260)/AVERAGE(終値!F260:Y260)*100),"拡大↑","縮小↓"))</f>
      </c>
      <c r="P260" s="681">
        <f>IF($D260="","",IF($D260&gt;$G260,"↑+2σ突破",IF($D260&lt;$J260,"↓-2σ割れ",IF($D260&gt;$H260,"+1σ上",IF($D260&lt;$I260,"-1σ下","バンド内")))))</f>
      </c>
      <c r="Q260" s="684">
        <f>IF($D260="","",IFERROR(100-100/(1+SUMPRODUCT((終値!E260:R260&gt;終値!F260:S260)*(終値!E260:R260-終値!F260:S260))/SUMPRODUCT((終値!E260:R260&lt;終値!F260:S260)*(終値!F260:S260-終値!E260:R260))),100))</f>
      </c>
      <c r="R260" s="684">
        <f>IF($D260="","",IFERROR(100-100/(1+SUMPRODUCT((((高値!E260:R260+安値!E260:R260+終値!E260:R260)/3)&gt;((高値!F260:S260+安値!F260:S260+終値!F260:S260)/3))*((高値!E260:R260+安値!E260:R260+終値!E260:R260)/3)*出来高!E260:R260)/SUMPRODUCT((((高値!E260:R260+安値!E260:R260+終値!E260:R260)/3)&lt;((高値!F260:S260+安値!F260:S260+終値!F260:S260)/3))*((高値!E260:R260+安値!E260:R260+終値!E260:R260)/3)*出来高!E260:R260)),50))</f>
      </c>
      <c r="S260" s="681">
        <f>IF($D260="","",IF(AND(終値!E260&lt;終値!O260,$Q260&gt;(IFERROR(100-100/(1+SUMPRODUCT((終値!O260:AB260&gt;終値!P260:AC260)*(終値!O260:AB260-終値!P260:AC260))/SUMPRODUCT((終値!O260:AB260&lt;終値!P260:AC260)*(終値!P260:AC260-終値!O260:AB260))),100))),"強気div▲",IF(AND(終値!E260&gt;終値!O260,$Q260&lt;(IFERROR(100-100/(1+SUMPRODUCT((終値!O260:AB260&gt;終値!P260:AC260)*(終値!O260:AB260-終値!P260:AC260))/SUMPRODUCT((終値!O260:AB260&lt;終値!P260:AC260)*(終値!P260:AC260-終値!O260:AB260))),100))),"弱気div▼","－")))</f>
      </c>
      <c r="T260" s="681">
        <f>IF($D260="","",IF($D260&gt;=$H260,"上walk▲",IF($D260&lt;=$I260,"下walk▼","－")))</f>
      </c>
      <c r="U260" s="681">
        <f>IF(終値!A260="","",BB_スイング!BT260)</f>
      </c>
      <c r="V260" s="689">
        <f>IF($D260="","",IFERROR(出来高!E260/AVERAGE(出来高!E260:I260),""))</f>
      </c>
      <c r="W260" s="690">
        <f>IF($D260="","",IF(AND($D260&gt;$G260,$O260="拡大↑",$L260&lt;=$M260*1.8),"◎スクイーズブレイク買",IF(AND($D260&gt;=$H260,$R260&gt;=BB設定!$B$10),"○順張り継続(walk)",IF(AND($S260="強気div▲",$D260&gt;$I260),"○反発(ダイバ)買",IF($U260="二番底W▲","△二番底買(確)",IF($U260="二番底W形成","△二番底形成",IF($D260&lt;$J260,"▼-2σ割れ危険",IF(AND($D260&gt;$E260,$K260&lt;0.6,$R260&gt;=50),"・押し目注目",IF($N260="スクイーズ★","☆スクイーズ監視","様子見")))))))))</f>
      </c>
      <c r="X260" s="685">
        <f>IF($D260="","",MIN(100,IF($L260&lt;=$M260*1.15,20,IF($L260&lt;=$M260*1.4,10,0))+IF($D260&gt;$G260,20,IF($D260&gt;$H260,12,IF($D260&gt;$E260,5,0)))+IF($O260="拡大↑",10,0)+IF($R260&gt;=80,15,IF($R260&gt;=60,10,IF($R260&gt;=50,5,0)))+IF(AND($Q260&gt;=50,$Q260&lt;=70),10,IF($Q260&gt;70,3,IF($Q260&gt;=40,5,0)))+IF($S260="強気div▲",15,0)+IF($T260="上walk▲",5,0)+IF($V260&gt;=2,5,IF($V260&gt;=1.5,3,0))))</f>
      </c>
      <c r="Y260" s="682">
        <f>IF($D260="","",$D260)</f>
      </c>
      <c r="Z260" s="682">
        <f>IF($D260="","",$H260)</f>
      </c>
      <c r="AA260" s="682">
        <f>IF($D260="","",IF($D260&gt;$E260,$E260,$AD260))</f>
      </c>
      <c r="AB260" s="682">
        <f>IF($D260="","",$G260)</f>
      </c>
      <c r="AC260" s="688">
        <f>IF($D260="","",IF(($Y260-$AA260)&lt;=0,"－",IFERROR(ROUND(MIN(20,($AB260-$Y260)/($Y260-$AA260)),2),"－")))</f>
      </c>
      <c r="AD260" s="682">
        <f>IF($D260="","",MIN(終値!E260:I260))</f>
      </c>
      <c r="AE260" s="684">
        <f>IF($D260="","",$X260+(10000-ROW())/100000)</f>
      </c>
    </row>
    <row r="261">
      <c r="A261" s="681">
        <f>IF(終値!A261="","",HYPERLINK("https://kabutan.jp/stock/?code="&amp;終値!A261,"📈"))</f>
      </c>
      <c r="B261" s="681">
        <f>IF(終値!A261="","",終値!A261)</f>
      </c>
      <c r="C261" s="680">
        <f>IF(終値!A261="","",終値!B261)</f>
      </c>
      <c r="D261" s="682">
        <f>IF(終値!A261="","",終値!E261)</f>
      </c>
      <c r="E261" s="682">
        <f>IF($D261="","",AVERAGE(終値!E261:X261))</f>
      </c>
      <c r="F261" s="683">
        <f>IF($D261="","",STDEVP(終値!E261:X261))</f>
      </c>
      <c r="G261" s="682">
        <f>IF($D261="","",$E261+BB設定!$B$4*$F261)</f>
      </c>
      <c r="H261" s="682">
        <f>IF($D261="","",$E261+BB設定!$B$5*$F261)</f>
      </c>
      <c r="I261" s="682">
        <f>IF($D261="","",$E261-BB設定!$B$5*$F261)</f>
      </c>
      <c r="J261" s="682">
        <f>IF($D261="","",$E261-BB設定!$B$4*$F261)</f>
      </c>
      <c r="K261" s="687">
        <f>IF($D261="","",IFERROR(($D261-$J261)/($G261-$J261),""))</f>
      </c>
      <c r="L261" s="686">
        <f>IF($D261="","",IFERROR(($G261-$J261)/$E261*100,""))</f>
      </c>
      <c r="M261" s="686">
        <f>IF($D261="","",IFERROR(MIN(BB_帯幅!B261:AP261)*100,""))</f>
      </c>
      <c r="N261" s="681">
        <f>IF($L261="","",IF($L261&lt;=$M261*BB設定!$B$7,"スクイーズ★",IF($L261&lt;=$M261*1.3,"収縮","－")))</f>
      </c>
      <c r="O261" s="681">
        <f>IF($D261="","",IF($L261&gt;(4*STDEVP(終値!F261:Y261)/AVERAGE(終値!F261:Y261)*100),"拡大↑","縮小↓"))</f>
      </c>
      <c r="P261" s="681">
        <f>IF($D261="","",IF($D261&gt;$G261,"↑+2σ突破",IF($D261&lt;$J261,"↓-2σ割れ",IF($D261&gt;$H261,"+1σ上",IF($D261&lt;$I261,"-1σ下","バンド内")))))</f>
      </c>
      <c r="Q261" s="684">
        <f>IF($D261="","",IFERROR(100-100/(1+SUMPRODUCT((終値!E261:R261&gt;終値!F261:S261)*(終値!E261:R261-終値!F261:S261))/SUMPRODUCT((終値!E261:R261&lt;終値!F261:S261)*(終値!F261:S261-終値!E261:R261))),100))</f>
      </c>
      <c r="R261" s="684">
        <f>IF($D261="","",IFERROR(100-100/(1+SUMPRODUCT((((高値!E261:R261+安値!E261:R261+終値!E261:R261)/3)&gt;((高値!F261:S261+安値!F261:S261+終値!F261:S261)/3))*((高値!E261:R261+安値!E261:R261+終値!E261:R261)/3)*出来高!E261:R261)/SUMPRODUCT((((高値!E261:R261+安値!E261:R261+終値!E261:R261)/3)&lt;((高値!F261:S261+安値!F261:S261+終値!F261:S261)/3))*((高値!E261:R261+安値!E261:R261+終値!E261:R261)/3)*出来高!E261:R261)),50))</f>
      </c>
      <c r="S261" s="681">
        <f>IF($D261="","",IF(AND(終値!E261&lt;終値!O261,$Q261&gt;(IFERROR(100-100/(1+SUMPRODUCT((終値!O261:AB261&gt;終値!P261:AC261)*(終値!O261:AB261-終値!P261:AC261))/SUMPRODUCT((終値!O261:AB261&lt;終値!P261:AC261)*(終値!P261:AC261-終値!O261:AB261))),100))),"強気div▲",IF(AND(終値!E261&gt;終値!O261,$Q261&lt;(IFERROR(100-100/(1+SUMPRODUCT((終値!O261:AB261&gt;終値!P261:AC261)*(終値!O261:AB261-終値!P261:AC261))/SUMPRODUCT((終値!O261:AB261&lt;終値!P261:AC261)*(終値!P261:AC261-終値!O261:AB261))),100))),"弱気div▼","－")))</f>
      </c>
      <c r="T261" s="681">
        <f>IF($D261="","",IF($D261&gt;=$H261,"上walk▲",IF($D261&lt;=$I261,"下walk▼","－")))</f>
      </c>
      <c r="U261" s="681">
        <f>IF(終値!A261="","",BB_スイング!BT261)</f>
      </c>
      <c r="V261" s="689">
        <f>IF($D261="","",IFERROR(出来高!E261/AVERAGE(出来高!E261:I261),""))</f>
      </c>
      <c r="W261" s="690">
        <f>IF($D261="","",IF(AND($D261&gt;$G261,$O261="拡大↑",$L261&lt;=$M261*1.8),"◎スクイーズブレイク買",IF(AND($D261&gt;=$H261,$R261&gt;=BB設定!$B$10),"○順張り継続(walk)",IF(AND($S261="強気div▲",$D261&gt;$I261),"○反発(ダイバ)買",IF($U261="二番底W▲","△二番底買(確)",IF($U261="二番底W形成","△二番底形成",IF($D261&lt;$J261,"▼-2σ割れ危険",IF(AND($D261&gt;$E261,$K261&lt;0.6,$R261&gt;=50),"・押し目注目",IF($N261="スクイーズ★","☆スクイーズ監視","様子見")))))))))</f>
      </c>
      <c r="X261" s="685">
        <f>IF($D261="","",MIN(100,IF($L261&lt;=$M261*1.15,20,IF($L261&lt;=$M261*1.4,10,0))+IF($D261&gt;$G261,20,IF($D261&gt;$H261,12,IF($D261&gt;$E261,5,0)))+IF($O261="拡大↑",10,0)+IF($R261&gt;=80,15,IF($R261&gt;=60,10,IF($R261&gt;=50,5,0)))+IF(AND($Q261&gt;=50,$Q261&lt;=70),10,IF($Q261&gt;70,3,IF($Q261&gt;=40,5,0)))+IF($S261="強気div▲",15,0)+IF($T261="上walk▲",5,0)+IF($V261&gt;=2,5,IF($V261&gt;=1.5,3,0))))</f>
      </c>
      <c r="Y261" s="682">
        <f>IF($D261="","",$D261)</f>
      </c>
      <c r="Z261" s="682">
        <f>IF($D261="","",$H261)</f>
      </c>
      <c r="AA261" s="682">
        <f>IF($D261="","",IF($D261&gt;$E261,$E261,$AD261))</f>
      </c>
      <c r="AB261" s="682">
        <f>IF($D261="","",$G261)</f>
      </c>
      <c r="AC261" s="688">
        <f>IF($D261="","",IF(($Y261-$AA261)&lt;=0,"－",IFERROR(ROUND(MIN(20,($AB261-$Y261)/($Y261-$AA261)),2),"－")))</f>
      </c>
      <c r="AD261" s="682">
        <f>IF($D261="","",MIN(終値!E261:I261))</f>
      </c>
      <c r="AE261" s="684">
        <f>IF($D261="","",$X261+(10000-ROW())/100000)</f>
      </c>
    </row>
    <row r="262">
      <c r="A262" s="681">
        <f>IF(終値!A262="","",HYPERLINK("https://kabutan.jp/stock/?code="&amp;終値!A262,"📈"))</f>
      </c>
      <c r="B262" s="681">
        <f>IF(終値!A262="","",終値!A262)</f>
      </c>
      <c r="C262" s="680">
        <f>IF(終値!A262="","",終値!B262)</f>
      </c>
      <c r="D262" s="682">
        <f>IF(終値!A262="","",終値!E262)</f>
      </c>
      <c r="E262" s="682">
        <f>IF($D262="","",AVERAGE(終値!E262:X262))</f>
      </c>
      <c r="F262" s="683">
        <f>IF($D262="","",STDEVP(終値!E262:X262))</f>
      </c>
      <c r="G262" s="682">
        <f>IF($D262="","",$E262+BB設定!$B$4*$F262)</f>
      </c>
      <c r="H262" s="682">
        <f>IF($D262="","",$E262+BB設定!$B$5*$F262)</f>
      </c>
      <c r="I262" s="682">
        <f>IF($D262="","",$E262-BB設定!$B$5*$F262)</f>
      </c>
      <c r="J262" s="682">
        <f>IF($D262="","",$E262-BB設定!$B$4*$F262)</f>
      </c>
      <c r="K262" s="687">
        <f>IF($D262="","",IFERROR(($D262-$J262)/($G262-$J262),""))</f>
      </c>
      <c r="L262" s="686">
        <f>IF($D262="","",IFERROR(($G262-$J262)/$E262*100,""))</f>
      </c>
      <c r="M262" s="686">
        <f>IF($D262="","",IFERROR(MIN(BB_帯幅!B262:AP262)*100,""))</f>
      </c>
      <c r="N262" s="681">
        <f>IF($L262="","",IF($L262&lt;=$M262*BB設定!$B$7,"スクイーズ★",IF($L262&lt;=$M262*1.3,"収縮","－")))</f>
      </c>
      <c r="O262" s="681">
        <f>IF($D262="","",IF($L262&gt;(4*STDEVP(終値!F262:Y262)/AVERAGE(終値!F262:Y262)*100),"拡大↑","縮小↓"))</f>
      </c>
      <c r="P262" s="681">
        <f>IF($D262="","",IF($D262&gt;$G262,"↑+2σ突破",IF($D262&lt;$J262,"↓-2σ割れ",IF($D262&gt;$H262,"+1σ上",IF($D262&lt;$I262,"-1σ下","バンド内")))))</f>
      </c>
      <c r="Q262" s="684">
        <f>IF($D262="","",IFERROR(100-100/(1+SUMPRODUCT((終値!E262:R262&gt;終値!F262:S262)*(終値!E262:R262-終値!F262:S262))/SUMPRODUCT((終値!E262:R262&lt;終値!F262:S262)*(終値!F262:S262-終値!E262:R262))),100))</f>
      </c>
      <c r="R262" s="684">
        <f>IF($D262="","",IFERROR(100-100/(1+SUMPRODUCT((((高値!E262:R262+安値!E262:R262+終値!E262:R262)/3)&gt;((高値!F262:S262+安値!F262:S262+終値!F262:S262)/3))*((高値!E262:R262+安値!E262:R262+終値!E262:R262)/3)*出来高!E262:R262)/SUMPRODUCT((((高値!E262:R262+安値!E262:R262+終値!E262:R262)/3)&lt;((高値!F262:S262+安値!F262:S262+終値!F262:S262)/3))*((高値!E262:R262+安値!E262:R262+終値!E262:R262)/3)*出来高!E262:R262)),50))</f>
      </c>
      <c r="S262" s="681">
        <f>IF($D262="","",IF(AND(終値!E262&lt;終値!O262,$Q262&gt;(IFERROR(100-100/(1+SUMPRODUCT((終値!O262:AB262&gt;終値!P262:AC262)*(終値!O262:AB262-終値!P262:AC262))/SUMPRODUCT((終値!O262:AB262&lt;終値!P262:AC262)*(終値!P262:AC262-終値!O262:AB262))),100))),"強気div▲",IF(AND(終値!E262&gt;終値!O262,$Q262&lt;(IFERROR(100-100/(1+SUMPRODUCT((終値!O262:AB262&gt;終値!P262:AC262)*(終値!O262:AB262-終値!P262:AC262))/SUMPRODUCT((終値!O262:AB262&lt;終値!P262:AC262)*(終値!P262:AC262-終値!O262:AB262))),100))),"弱気div▼","－")))</f>
      </c>
      <c r="T262" s="681">
        <f>IF($D262="","",IF($D262&gt;=$H262,"上walk▲",IF($D262&lt;=$I262,"下walk▼","－")))</f>
      </c>
      <c r="U262" s="681">
        <f>IF(終値!A262="","",BB_スイング!BT262)</f>
      </c>
      <c r="V262" s="689">
        <f>IF($D262="","",IFERROR(出来高!E262/AVERAGE(出来高!E262:I262),""))</f>
      </c>
      <c r="W262" s="690">
        <f>IF($D262="","",IF(AND($D262&gt;$G262,$O262="拡大↑",$L262&lt;=$M262*1.8),"◎スクイーズブレイク買",IF(AND($D262&gt;=$H262,$R262&gt;=BB設定!$B$10),"○順張り継続(walk)",IF(AND($S262="強気div▲",$D262&gt;$I262),"○反発(ダイバ)買",IF($U262="二番底W▲","△二番底買(確)",IF($U262="二番底W形成","△二番底形成",IF($D262&lt;$J262,"▼-2σ割れ危険",IF(AND($D262&gt;$E262,$K262&lt;0.6,$R262&gt;=50),"・押し目注目",IF($N262="スクイーズ★","☆スクイーズ監視","様子見")))))))))</f>
      </c>
      <c r="X262" s="685">
        <f>IF($D262="","",MIN(100,IF($L262&lt;=$M262*1.15,20,IF($L262&lt;=$M262*1.4,10,0))+IF($D262&gt;$G262,20,IF($D262&gt;$H262,12,IF($D262&gt;$E262,5,0)))+IF($O262="拡大↑",10,0)+IF($R262&gt;=80,15,IF($R262&gt;=60,10,IF($R262&gt;=50,5,0)))+IF(AND($Q262&gt;=50,$Q262&lt;=70),10,IF($Q262&gt;70,3,IF($Q262&gt;=40,5,0)))+IF($S262="強気div▲",15,0)+IF($T262="上walk▲",5,0)+IF($V262&gt;=2,5,IF($V262&gt;=1.5,3,0))))</f>
      </c>
      <c r="Y262" s="682">
        <f>IF($D262="","",$D262)</f>
      </c>
      <c r="Z262" s="682">
        <f>IF($D262="","",$H262)</f>
      </c>
      <c r="AA262" s="682">
        <f>IF($D262="","",IF($D262&gt;$E262,$E262,$AD262))</f>
      </c>
      <c r="AB262" s="682">
        <f>IF($D262="","",$G262)</f>
      </c>
      <c r="AC262" s="688">
        <f>IF($D262="","",IF(($Y262-$AA262)&lt;=0,"－",IFERROR(ROUND(MIN(20,($AB262-$Y262)/($Y262-$AA262)),2),"－")))</f>
      </c>
      <c r="AD262" s="682">
        <f>IF($D262="","",MIN(終値!E262:I262))</f>
      </c>
      <c r="AE262" s="684">
        <f>IF($D262="","",$X262+(10000-ROW())/100000)</f>
      </c>
    </row>
    <row r="263">
      <c r="A263" s="681">
        <f>IF(終値!A263="","",HYPERLINK("https://kabutan.jp/stock/?code="&amp;終値!A263,"📈"))</f>
      </c>
      <c r="B263" s="681">
        <f>IF(終値!A263="","",終値!A263)</f>
      </c>
      <c r="C263" s="680">
        <f>IF(終値!A263="","",終値!B263)</f>
      </c>
      <c r="D263" s="682">
        <f>IF(終値!A263="","",終値!E263)</f>
      </c>
      <c r="E263" s="682">
        <f>IF($D263="","",AVERAGE(終値!E263:X263))</f>
      </c>
      <c r="F263" s="683">
        <f>IF($D263="","",STDEVP(終値!E263:X263))</f>
      </c>
      <c r="G263" s="682">
        <f>IF($D263="","",$E263+BB設定!$B$4*$F263)</f>
      </c>
      <c r="H263" s="682">
        <f>IF($D263="","",$E263+BB設定!$B$5*$F263)</f>
      </c>
      <c r="I263" s="682">
        <f>IF($D263="","",$E263-BB設定!$B$5*$F263)</f>
      </c>
      <c r="J263" s="682">
        <f>IF($D263="","",$E263-BB設定!$B$4*$F263)</f>
      </c>
      <c r="K263" s="687">
        <f>IF($D263="","",IFERROR(($D263-$J263)/($G263-$J263),""))</f>
      </c>
      <c r="L263" s="686">
        <f>IF($D263="","",IFERROR(($G263-$J263)/$E263*100,""))</f>
      </c>
      <c r="M263" s="686">
        <f>IF($D263="","",IFERROR(MIN(BB_帯幅!B263:AP263)*100,""))</f>
      </c>
      <c r="N263" s="681">
        <f>IF($L263="","",IF($L263&lt;=$M263*BB設定!$B$7,"スクイーズ★",IF($L263&lt;=$M263*1.3,"収縮","－")))</f>
      </c>
      <c r="O263" s="681">
        <f>IF($D263="","",IF($L263&gt;(4*STDEVP(終値!F263:Y263)/AVERAGE(終値!F263:Y263)*100),"拡大↑","縮小↓"))</f>
      </c>
      <c r="P263" s="681">
        <f>IF($D263="","",IF($D263&gt;$G263,"↑+2σ突破",IF($D263&lt;$J263,"↓-2σ割れ",IF($D263&gt;$H263,"+1σ上",IF($D263&lt;$I263,"-1σ下","バンド内")))))</f>
      </c>
      <c r="Q263" s="684">
        <f>IF($D263="","",IFERROR(100-100/(1+SUMPRODUCT((終値!E263:R263&gt;終値!F263:S263)*(終値!E263:R263-終値!F263:S263))/SUMPRODUCT((終値!E263:R263&lt;終値!F263:S263)*(終値!F263:S263-終値!E263:R263))),100))</f>
      </c>
      <c r="R263" s="684">
        <f>IF($D263="","",IFERROR(100-100/(1+SUMPRODUCT((((高値!E263:R263+安値!E263:R263+終値!E263:R263)/3)&gt;((高値!F263:S263+安値!F263:S263+終値!F263:S263)/3))*((高値!E263:R263+安値!E263:R263+終値!E263:R263)/3)*出来高!E263:R263)/SUMPRODUCT((((高値!E263:R263+安値!E263:R263+終値!E263:R263)/3)&lt;((高値!F263:S263+安値!F263:S263+終値!F263:S263)/3))*((高値!E263:R263+安値!E263:R263+終値!E263:R263)/3)*出来高!E263:R263)),50))</f>
      </c>
      <c r="S263" s="681">
        <f>IF($D263="","",IF(AND(終値!E263&lt;終値!O263,$Q263&gt;(IFERROR(100-100/(1+SUMPRODUCT((終値!O263:AB263&gt;終値!P263:AC263)*(終値!O263:AB263-終値!P263:AC263))/SUMPRODUCT((終値!O263:AB263&lt;終値!P263:AC263)*(終値!P263:AC263-終値!O263:AB263))),100))),"強気div▲",IF(AND(終値!E263&gt;終値!O263,$Q263&lt;(IFERROR(100-100/(1+SUMPRODUCT((終値!O263:AB263&gt;終値!P263:AC263)*(終値!O263:AB263-終値!P263:AC263))/SUMPRODUCT((終値!O263:AB263&lt;終値!P263:AC263)*(終値!P263:AC263-終値!O263:AB263))),100))),"弱気div▼","－")))</f>
      </c>
      <c r="T263" s="681">
        <f>IF($D263="","",IF($D263&gt;=$H263,"上walk▲",IF($D263&lt;=$I263,"下walk▼","－")))</f>
      </c>
      <c r="U263" s="681">
        <f>IF(終値!A263="","",BB_スイング!BT263)</f>
      </c>
      <c r="V263" s="689">
        <f>IF($D263="","",IFERROR(出来高!E263/AVERAGE(出来高!E263:I263),""))</f>
      </c>
      <c r="W263" s="690">
        <f>IF($D263="","",IF(AND($D263&gt;$G263,$O263="拡大↑",$L263&lt;=$M263*1.8),"◎スクイーズブレイク買",IF(AND($D263&gt;=$H263,$R263&gt;=BB設定!$B$10),"○順張り継続(walk)",IF(AND($S263="強気div▲",$D263&gt;$I263),"○反発(ダイバ)買",IF($U263="二番底W▲","△二番底買(確)",IF($U263="二番底W形成","△二番底形成",IF($D263&lt;$J263,"▼-2σ割れ危険",IF(AND($D263&gt;$E263,$K263&lt;0.6,$R263&gt;=50),"・押し目注目",IF($N263="スクイーズ★","☆スクイーズ監視","様子見")))))))))</f>
      </c>
      <c r="X263" s="685">
        <f>IF($D263="","",MIN(100,IF($L263&lt;=$M263*1.15,20,IF($L263&lt;=$M263*1.4,10,0))+IF($D263&gt;$G263,20,IF($D263&gt;$H263,12,IF($D263&gt;$E263,5,0)))+IF($O263="拡大↑",10,0)+IF($R263&gt;=80,15,IF($R263&gt;=60,10,IF($R263&gt;=50,5,0)))+IF(AND($Q263&gt;=50,$Q263&lt;=70),10,IF($Q263&gt;70,3,IF($Q263&gt;=40,5,0)))+IF($S263="強気div▲",15,0)+IF($T263="上walk▲",5,0)+IF($V263&gt;=2,5,IF($V263&gt;=1.5,3,0))))</f>
      </c>
      <c r="Y263" s="682">
        <f>IF($D263="","",$D263)</f>
      </c>
      <c r="Z263" s="682">
        <f>IF($D263="","",$H263)</f>
      </c>
      <c r="AA263" s="682">
        <f>IF($D263="","",IF($D263&gt;$E263,$E263,$AD263))</f>
      </c>
      <c r="AB263" s="682">
        <f>IF($D263="","",$G263)</f>
      </c>
      <c r="AC263" s="688">
        <f>IF($D263="","",IF(($Y263-$AA263)&lt;=0,"－",IFERROR(ROUND(MIN(20,($AB263-$Y263)/($Y263-$AA263)),2),"－")))</f>
      </c>
      <c r="AD263" s="682">
        <f>IF($D263="","",MIN(終値!E263:I263))</f>
      </c>
      <c r="AE263" s="684">
        <f>IF($D263="","",$X263+(10000-ROW())/100000)</f>
      </c>
    </row>
    <row r="264">
      <c r="A264" s="681">
        <f>IF(終値!A264="","",HYPERLINK("https://kabutan.jp/stock/?code="&amp;終値!A264,"📈"))</f>
      </c>
      <c r="B264" s="681">
        <f>IF(終値!A264="","",終値!A264)</f>
      </c>
      <c r="C264" s="680">
        <f>IF(終値!A264="","",終値!B264)</f>
      </c>
      <c r="D264" s="682">
        <f>IF(終値!A264="","",終値!E264)</f>
      </c>
      <c r="E264" s="682">
        <f>IF($D264="","",AVERAGE(終値!E264:X264))</f>
      </c>
      <c r="F264" s="683">
        <f>IF($D264="","",STDEVP(終値!E264:X264))</f>
      </c>
      <c r="G264" s="682">
        <f>IF($D264="","",$E264+BB設定!$B$4*$F264)</f>
      </c>
      <c r="H264" s="682">
        <f>IF($D264="","",$E264+BB設定!$B$5*$F264)</f>
      </c>
      <c r="I264" s="682">
        <f>IF($D264="","",$E264-BB設定!$B$5*$F264)</f>
      </c>
      <c r="J264" s="682">
        <f>IF($D264="","",$E264-BB設定!$B$4*$F264)</f>
      </c>
      <c r="K264" s="687">
        <f>IF($D264="","",IFERROR(($D264-$J264)/($G264-$J264),""))</f>
      </c>
      <c r="L264" s="686">
        <f>IF($D264="","",IFERROR(($G264-$J264)/$E264*100,""))</f>
      </c>
      <c r="M264" s="686">
        <f>IF($D264="","",IFERROR(MIN(BB_帯幅!B264:AP264)*100,""))</f>
      </c>
      <c r="N264" s="681">
        <f>IF($L264="","",IF($L264&lt;=$M264*BB設定!$B$7,"スクイーズ★",IF($L264&lt;=$M264*1.3,"収縮","－")))</f>
      </c>
      <c r="O264" s="681">
        <f>IF($D264="","",IF($L264&gt;(4*STDEVP(終値!F264:Y264)/AVERAGE(終値!F264:Y264)*100),"拡大↑","縮小↓"))</f>
      </c>
      <c r="P264" s="681">
        <f>IF($D264="","",IF($D264&gt;$G264,"↑+2σ突破",IF($D264&lt;$J264,"↓-2σ割れ",IF($D264&gt;$H264,"+1σ上",IF($D264&lt;$I264,"-1σ下","バンド内")))))</f>
      </c>
      <c r="Q264" s="684">
        <f>IF($D264="","",IFERROR(100-100/(1+SUMPRODUCT((終値!E264:R264&gt;終値!F264:S264)*(終値!E264:R264-終値!F264:S264))/SUMPRODUCT((終値!E264:R264&lt;終値!F264:S264)*(終値!F264:S264-終値!E264:R264))),100))</f>
      </c>
      <c r="R264" s="684">
        <f>IF($D264="","",IFERROR(100-100/(1+SUMPRODUCT((((高値!E264:R264+安値!E264:R264+終値!E264:R264)/3)&gt;((高値!F264:S264+安値!F264:S264+終値!F264:S264)/3))*((高値!E264:R264+安値!E264:R264+終値!E264:R264)/3)*出来高!E264:R264)/SUMPRODUCT((((高値!E264:R264+安値!E264:R264+終値!E264:R264)/3)&lt;((高値!F264:S264+安値!F264:S264+終値!F264:S264)/3))*((高値!E264:R264+安値!E264:R264+終値!E264:R264)/3)*出来高!E264:R264)),50))</f>
      </c>
      <c r="S264" s="681">
        <f>IF($D264="","",IF(AND(終値!E264&lt;終値!O264,$Q264&gt;(IFERROR(100-100/(1+SUMPRODUCT((終値!O264:AB264&gt;終値!P264:AC264)*(終値!O264:AB264-終値!P264:AC264))/SUMPRODUCT((終値!O264:AB264&lt;終値!P264:AC264)*(終値!P264:AC264-終値!O264:AB264))),100))),"強気div▲",IF(AND(終値!E264&gt;終値!O264,$Q264&lt;(IFERROR(100-100/(1+SUMPRODUCT((終値!O264:AB264&gt;終値!P264:AC264)*(終値!O264:AB264-終値!P264:AC264))/SUMPRODUCT((終値!O264:AB264&lt;終値!P264:AC264)*(終値!P264:AC264-終値!O264:AB264))),100))),"弱気div▼","－")))</f>
      </c>
      <c r="T264" s="681">
        <f>IF($D264="","",IF($D264&gt;=$H264,"上walk▲",IF($D264&lt;=$I264,"下walk▼","－")))</f>
      </c>
      <c r="U264" s="681">
        <f>IF(終値!A264="","",BB_スイング!BT264)</f>
      </c>
      <c r="V264" s="689">
        <f>IF($D264="","",IFERROR(出来高!E264/AVERAGE(出来高!E264:I264),""))</f>
      </c>
      <c r="W264" s="690">
        <f>IF($D264="","",IF(AND($D264&gt;$G264,$O264="拡大↑",$L264&lt;=$M264*1.8),"◎スクイーズブレイク買",IF(AND($D264&gt;=$H264,$R264&gt;=BB設定!$B$10),"○順張り継続(walk)",IF(AND($S264="強気div▲",$D264&gt;$I264),"○反発(ダイバ)買",IF($U264="二番底W▲","△二番底買(確)",IF($U264="二番底W形成","△二番底形成",IF($D264&lt;$J264,"▼-2σ割れ危険",IF(AND($D264&gt;$E264,$K264&lt;0.6,$R264&gt;=50),"・押し目注目",IF($N264="スクイーズ★","☆スクイーズ監視","様子見")))))))))</f>
      </c>
      <c r="X264" s="685">
        <f>IF($D264="","",MIN(100,IF($L264&lt;=$M264*1.15,20,IF($L264&lt;=$M264*1.4,10,0))+IF($D264&gt;$G264,20,IF($D264&gt;$H264,12,IF($D264&gt;$E264,5,0)))+IF($O264="拡大↑",10,0)+IF($R264&gt;=80,15,IF($R264&gt;=60,10,IF($R264&gt;=50,5,0)))+IF(AND($Q264&gt;=50,$Q264&lt;=70),10,IF($Q264&gt;70,3,IF($Q264&gt;=40,5,0)))+IF($S264="強気div▲",15,0)+IF($T264="上walk▲",5,0)+IF($V264&gt;=2,5,IF($V264&gt;=1.5,3,0))))</f>
      </c>
      <c r="Y264" s="682">
        <f>IF($D264="","",$D264)</f>
      </c>
      <c r="Z264" s="682">
        <f>IF($D264="","",$H264)</f>
      </c>
      <c r="AA264" s="682">
        <f>IF($D264="","",IF($D264&gt;$E264,$E264,$AD264))</f>
      </c>
      <c r="AB264" s="682">
        <f>IF($D264="","",$G264)</f>
      </c>
      <c r="AC264" s="688">
        <f>IF($D264="","",IF(($Y264-$AA264)&lt;=0,"－",IFERROR(ROUND(MIN(20,($AB264-$Y264)/($Y264-$AA264)),2),"－")))</f>
      </c>
      <c r="AD264" s="682">
        <f>IF($D264="","",MIN(終値!E264:I264))</f>
      </c>
      <c r="AE264" s="684">
        <f>IF($D264="","",$X264+(10000-ROW())/100000)</f>
      </c>
    </row>
    <row r="265">
      <c r="A265" s="681">
        <f>IF(終値!A265="","",HYPERLINK("https://kabutan.jp/stock/?code="&amp;終値!A265,"📈"))</f>
      </c>
      <c r="B265" s="681">
        <f>IF(終値!A265="","",終値!A265)</f>
      </c>
      <c r="C265" s="680">
        <f>IF(終値!A265="","",終値!B265)</f>
      </c>
      <c r="D265" s="682">
        <f>IF(終値!A265="","",終値!E265)</f>
      </c>
      <c r="E265" s="682">
        <f>IF($D265="","",AVERAGE(終値!E265:X265))</f>
      </c>
      <c r="F265" s="683">
        <f>IF($D265="","",STDEVP(終値!E265:X265))</f>
      </c>
      <c r="G265" s="682">
        <f>IF($D265="","",$E265+BB設定!$B$4*$F265)</f>
      </c>
      <c r="H265" s="682">
        <f>IF($D265="","",$E265+BB設定!$B$5*$F265)</f>
      </c>
      <c r="I265" s="682">
        <f>IF($D265="","",$E265-BB設定!$B$5*$F265)</f>
      </c>
      <c r="J265" s="682">
        <f>IF($D265="","",$E265-BB設定!$B$4*$F265)</f>
      </c>
      <c r="K265" s="687">
        <f>IF($D265="","",IFERROR(($D265-$J265)/($G265-$J265),""))</f>
      </c>
      <c r="L265" s="686">
        <f>IF($D265="","",IFERROR(($G265-$J265)/$E265*100,""))</f>
      </c>
      <c r="M265" s="686">
        <f>IF($D265="","",IFERROR(MIN(BB_帯幅!B265:AP265)*100,""))</f>
      </c>
      <c r="N265" s="681">
        <f>IF($L265="","",IF($L265&lt;=$M265*BB設定!$B$7,"スクイーズ★",IF($L265&lt;=$M265*1.3,"収縮","－")))</f>
      </c>
      <c r="O265" s="681">
        <f>IF($D265="","",IF($L265&gt;(4*STDEVP(終値!F265:Y265)/AVERAGE(終値!F265:Y265)*100),"拡大↑","縮小↓"))</f>
      </c>
      <c r="P265" s="681">
        <f>IF($D265="","",IF($D265&gt;$G265,"↑+2σ突破",IF($D265&lt;$J265,"↓-2σ割れ",IF($D265&gt;$H265,"+1σ上",IF($D265&lt;$I265,"-1σ下","バンド内")))))</f>
      </c>
      <c r="Q265" s="684">
        <f>IF($D265="","",IFERROR(100-100/(1+SUMPRODUCT((終値!E265:R265&gt;終値!F265:S265)*(終値!E265:R265-終値!F265:S265))/SUMPRODUCT((終値!E265:R265&lt;終値!F265:S265)*(終値!F265:S265-終値!E265:R265))),100))</f>
      </c>
      <c r="R265" s="684">
        <f>IF($D265="","",IFERROR(100-100/(1+SUMPRODUCT((((高値!E265:R265+安値!E265:R265+終値!E265:R265)/3)&gt;((高値!F265:S265+安値!F265:S265+終値!F265:S265)/3))*((高値!E265:R265+安値!E265:R265+終値!E265:R265)/3)*出来高!E265:R265)/SUMPRODUCT((((高値!E265:R265+安値!E265:R265+終値!E265:R265)/3)&lt;((高値!F265:S265+安値!F265:S265+終値!F265:S265)/3))*((高値!E265:R265+安値!E265:R265+終値!E265:R265)/3)*出来高!E265:R265)),50))</f>
      </c>
      <c r="S265" s="681">
        <f>IF($D265="","",IF(AND(終値!E265&lt;終値!O265,$Q265&gt;(IFERROR(100-100/(1+SUMPRODUCT((終値!O265:AB265&gt;終値!P265:AC265)*(終値!O265:AB265-終値!P265:AC265))/SUMPRODUCT((終値!O265:AB265&lt;終値!P265:AC265)*(終値!P265:AC265-終値!O265:AB265))),100))),"強気div▲",IF(AND(終値!E265&gt;終値!O265,$Q265&lt;(IFERROR(100-100/(1+SUMPRODUCT((終値!O265:AB265&gt;終値!P265:AC265)*(終値!O265:AB265-終値!P265:AC265))/SUMPRODUCT((終値!O265:AB265&lt;終値!P265:AC265)*(終値!P265:AC265-終値!O265:AB265))),100))),"弱気div▼","－")))</f>
      </c>
      <c r="T265" s="681">
        <f>IF($D265="","",IF($D265&gt;=$H265,"上walk▲",IF($D265&lt;=$I265,"下walk▼","－")))</f>
      </c>
      <c r="U265" s="681">
        <f>IF(終値!A265="","",BB_スイング!BT265)</f>
      </c>
      <c r="V265" s="689">
        <f>IF($D265="","",IFERROR(出来高!E265/AVERAGE(出来高!E265:I265),""))</f>
      </c>
      <c r="W265" s="690">
        <f>IF($D265="","",IF(AND($D265&gt;$G265,$O265="拡大↑",$L265&lt;=$M265*1.8),"◎スクイーズブレイク買",IF(AND($D265&gt;=$H265,$R265&gt;=BB設定!$B$10),"○順張り継続(walk)",IF(AND($S265="強気div▲",$D265&gt;$I265),"○反発(ダイバ)買",IF($U265="二番底W▲","△二番底買(確)",IF($U265="二番底W形成","△二番底形成",IF($D265&lt;$J265,"▼-2σ割れ危険",IF(AND($D265&gt;$E265,$K265&lt;0.6,$R265&gt;=50),"・押し目注目",IF($N265="スクイーズ★","☆スクイーズ監視","様子見")))))))))</f>
      </c>
      <c r="X265" s="685">
        <f>IF($D265="","",MIN(100,IF($L265&lt;=$M265*1.15,20,IF($L265&lt;=$M265*1.4,10,0))+IF($D265&gt;$G265,20,IF($D265&gt;$H265,12,IF($D265&gt;$E265,5,0)))+IF($O265="拡大↑",10,0)+IF($R265&gt;=80,15,IF($R265&gt;=60,10,IF($R265&gt;=50,5,0)))+IF(AND($Q265&gt;=50,$Q265&lt;=70),10,IF($Q265&gt;70,3,IF($Q265&gt;=40,5,0)))+IF($S265="強気div▲",15,0)+IF($T265="上walk▲",5,0)+IF($V265&gt;=2,5,IF($V265&gt;=1.5,3,0))))</f>
      </c>
      <c r="Y265" s="682">
        <f>IF($D265="","",$D265)</f>
      </c>
      <c r="Z265" s="682">
        <f>IF($D265="","",$H265)</f>
      </c>
      <c r="AA265" s="682">
        <f>IF($D265="","",IF($D265&gt;$E265,$E265,$AD265))</f>
      </c>
      <c r="AB265" s="682">
        <f>IF($D265="","",$G265)</f>
      </c>
      <c r="AC265" s="688">
        <f>IF($D265="","",IF(($Y265-$AA265)&lt;=0,"－",IFERROR(ROUND(MIN(20,($AB265-$Y265)/($Y265-$AA265)),2),"－")))</f>
      </c>
      <c r="AD265" s="682">
        <f>IF($D265="","",MIN(終値!E265:I265))</f>
      </c>
      <c r="AE265" s="684">
        <f>IF($D265="","",$X265+(10000-ROW())/100000)</f>
      </c>
    </row>
    <row r="266">
      <c r="A266" s="681">
        <f>IF(終値!A266="","",HYPERLINK("https://kabutan.jp/stock/?code="&amp;終値!A266,"📈"))</f>
      </c>
      <c r="B266" s="681">
        <f>IF(終値!A266="","",終値!A266)</f>
      </c>
      <c r="C266" s="680">
        <f>IF(終値!A266="","",終値!B266)</f>
      </c>
      <c r="D266" s="682">
        <f>IF(終値!A266="","",終値!E266)</f>
      </c>
      <c r="E266" s="682">
        <f>IF($D266="","",AVERAGE(終値!E266:X266))</f>
      </c>
      <c r="F266" s="683">
        <f>IF($D266="","",STDEVP(終値!E266:X266))</f>
      </c>
      <c r="G266" s="682">
        <f>IF($D266="","",$E266+BB設定!$B$4*$F266)</f>
      </c>
      <c r="H266" s="682">
        <f>IF($D266="","",$E266+BB設定!$B$5*$F266)</f>
      </c>
      <c r="I266" s="682">
        <f>IF($D266="","",$E266-BB設定!$B$5*$F266)</f>
      </c>
      <c r="J266" s="682">
        <f>IF($D266="","",$E266-BB設定!$B$4*$F266)</f>
      </c>
      <c r="K266" s="687">
        <f>IF($D266="","",IFERROR(($D266-$J266)/($G266-$J266),""))</f>
      </c>
      <c r="L266" s="686">
        <f>IF($D266="","",IFERROR(($G266-$J266)/$E266*100,""))</f>
      </c>
      <c r="M266" s="686">
        <f>IF($D266="","",IFERROR(MIN(BB_帯幅!B266:AP266)*100,""))</f>
      </c>
      <c r="N266" s="681">
        <f>IF($L266="","",IF($L266&lt;=$M266*BB設定!$B$7,"スクイーズ★",IF($L266&lt;=$M266*1.3,"収縮","－")))</f>
      </c>
      <c r="O266" s="681">
        <f>IF($D266="","",IF($L266&gt;(4*STDEVP(終値!F266:Y266)/AVERAGE(終値!F266:Y266)*100),"拡大↑","縮小↓"))</f>
      </c>
      <c r="P266" s="681">
        <f>IF($D266="","",IF($D266&gt;$G266,"↑+2σ突破",IF($D266&lt;$J266,"↓-2σ割れ",IF($D266&gt;$H266,"+1σ上",IF($D266&lt;$I266,"-1σ下","バンド内")))))</f>
      </c>
      <c r="Q266" s="684">
        <f>IF($D266="","",IFERROR(100-100/(1+SUMPRODUCT((終値!E266:R266&gt;終値!F266:S266)*(終値!E266:R266-終値!F266:S266))/SUMPRODUCT((終値!E266:R266&lt;終値!F266:S266)*(終値!F266:S266-終値!E266:R266))),100))</f>
      </c>
      <c r="R266" s="684">
        <f>IF($D266="","",IFERROR(100-100/(1+SUMPRODUCT((((高値!E266:R266+安値!E266:R266+終値!E266:R266)/3)&gt;((高値!F266:S266+安値!F266:S266+終値!F266:S266)/3))*((高値!E266:R266+安値!E266:R266+終値!E266:R266)/3)*出来高!E266:R266)/SUMPRODUCT((((高値!E266:R266+安値!E266:R266+終値!E266:R266)/3)&lt;((高値!F266:S266+安値!F266:S266+終値!F266:S266)/3))*((高値!E266:R266+安値!E266:R266+終値!E266:R266)/3)*出来高!E266:R266)),50))</f>
      </c>
      <c r="S266" s="681">
        <f>IF($D266="","",IF(AND(終値!E266&lt;終値!O266,$Q266&gt;(IFERROR(100-100/(1+SUMPRODUCT((終値!O266:AB266&gt;終値!P266:AC266)*(終値!O266:AB266-終値!P266:AC266))/SUMPRODUCT((終値!O266:AB266&lt;終値!P266:AC266)*(終値!P266:AC266-終値!O266:AB266))),100))),"強気div▲",IF(AND(終値!E266&gt;終値!O266,$Q266&lt;(IFERROR(100-100/(1+SUMPRODUCT((終値!O266:AB266&gt;終値!P266:AC266)*(終値!O266:AB266-終値!P266:AC266))/SUMPRODUCT((終値!O266:AB266&lt;終値!P266:AC266)*(終値!P266:AC266-終値!O266:AB266))),100))),"弱気div▼","－")))</f>
      </c>
      <c r="T266" s="681">
        <f>IF($D266="","",IF($D266&gt;=$H266,"上walk▲",IF($D266&lt;=$I266,"下walk▼","－")))</f>
      </c>
      <c r="U266" s="681">
        <f>IF(終値!A266="","",BB_スイング!BT266)</f>
      </c>
      <c r="V266" s="689">
        <f>IF($D266="","",IFERROR(出来高!E266/AVERAGE(出来高!E266:I266),""))</f>
      </c>
      <c r="W266" s="690">
        <f>IF($D266="","",IF(AND($D266&gt;$G266,$O266="拡大↑",$L266&lt;=$M266*1.8),"◎スクイーズブレイク買",IF(AND($D266&gt;=$H266,$R266&gt;=BB設定!$B$10),"○順張り継続(walk)",IF(AND($S266="強気div▲",$D266&gt;$I266),"○反発(ダイバ)買",IF($U266="二番底W▲","△二番底買(確)",IF($U266="二番底W形成","△二番底形成",IF($D266&lt;$J266,"▼-2σ割れ危険",IF(AND($D266&gt;$E266,$K266&lt;0.6,$R266&gt;=50),"・押し目注目",IF($N266="スクイーズ★","☆スクイーズ監視","様子見")))))))))</f>
      </c>
      <c r="X266" s="685">
        <f>IF($D266="","",MIN(100,IF($L266&lt;=$M266*1.15,20,IF($L266&lt;=$M266*1.4,10,0))+IF($D266&gt;$G266,20,IF($D266&gt;$H266,12,IF($D266&gt;$E266,5,0)))+IF($O266="拡大↑",10,0)+IF($R266&gt;=80,15,IF($R266&gt;=60,10,IF($R266&gt;=50,5,0)))+IF(AND($Q266&gt;=50,$Q266&lt;=70),10,IF($Q266&gt;70,3,IF($Q266&gt;=40,5,0)))+IF($S266="強気div▲",15,0)+IF($T266="上walk▲",5,0)+IF($V266&gt;=2,5,IF($V266&gt;=1.5,3,0))))</f>
      </c>
      <c r="Y266" s="682">
        <f>IF($D266="","",$D266)</f>
      </c>
      <c r="Z266" s="682">
        <f>IF($D266="","",$H266)</f>
      </c>
      <c r="AA266" s="682">
        <f>IF($D266="","",IF($D266&gt;$E266,$E266,$AD266))</f>
      </c>
      <c r="AB266" s="682">
        <f>IF($D266="","",$G266)</f>
      </c>
      <c r="AC266" s="688">
        <f>IF($D266="","",IF(($Y266-$AA266)&lt;=0,"－",IFERROR(ROUND(MIN(20,($AB266-$Y266)/($Y266-$AA266)),2),"－")))</f>
      </c>
      <c r="AD266" s="682">
        <f>IF($D266="","",MIN(終値!E266:I266))</f>
      </c>
      <c r="AE266" s="684">
        <f>IF($D266="","",$X266+(10000-ROW())/100000)</f>
      </c>
    </row>
    <row r="267">
      <c r="A267" s="681">
        <f>IF(終値!A267="","",HYPERLINK("https://kabutan.jp/stock/?code="&amp;終値!A267,"📈"))</f>
      </c>
      <c r="B267" s="681">
        <f>IF(終値!A267="","",終値!A267)</f>
      </c>
      <c r="C267" s="680">
        <f>IF(終値!A267="","",終値!B267)</f>
      </c>
      <c r="D267" s="682">
        <f>IF(終値!A267="","",終値!E267)</f>
      </c>
      <c r="E267" s="682">
        <f>IF($D267="","",AVERAGE(終値!E267:X267))</f>
      </c>
      <c r="F267" s="683">
        <f>IF($D267="","",STDEVP(終値!E267:X267))</f>
      </c>
      <c r="G267" s="682">
        <f>IF($D267="","",$E267+BB設定!$B$4*$F267)</f>
      </c>
      <c r="H267" s="682">
        <f>IF($D267="","",$E267+BB設定!$B$5*$F267)</f>
      </c>
      <c r="I267" s="682">
        <f>IF($D267="","",$E267-BB設定!$B$5*$F267)</f>
      </c>
      <c r="J267" s="682">
        <f>IF($D267="","",$E267-BB設定!$B$4*$F267)</f>
      </c>
      <c r="K267" s="687">
        <f>IF($D267="","",IFERROR(($D267-$J267)/($G267-$J267),""))</f>
      </c>
      <c r="L267" s="686">
        <f>IF($D267="","",IFERROR(($G267-$J267)/$E267*100,""))</f>
      </c>
      <c r="M267" s="686">
        <f>IF($D267="","",IFERROR(MIN(BB_帯幅!B267:AP267)*100,""))</f>
      </c>
      <c r="N267" s="681">
        <f>IF($L267="","",IF($L267&lt;=$M267*BB設定!$B$7,"スクイーズ★",IF($L267&lt;=$M267*1.3,"収縮","－")))</f>
      </c>
      <c r="O267" s="681">
        <f>IF($D267="","",IF($L267&gt;(4*STDEVP(終値!F267:Y267)/AVERAGE(終値!F267:Y267)*100),"拡大↑","縮小↓"))</f>
      </c>
      <c r="P267" s="681">
        <f>IF($D267="","",IF($D267&gt;$G267,"↑+2σ突破",IF($D267&lt;$J267,"↓-2σ割れ",IF($D267&gt;$H267,"+1σ上",IF($D267&lt;$I267,"-1σ下","バンド内")))))</f>
      </c>
      <c r="Q267" s="684">
        <f>IF($D267="","",IFERROR(100-100/(1+SUMPRODUCT((終値!E267:R267&gt;終値!F267:S267)*(終値!E267:R267-終値!F267:S267))/SUMPRODUCT((終値!E267:R267&lt;終値!F267:S267)*(終値!F267:S267-終値!E267:R267))),100))</f>
      </c>
      <c r="R267" s="684">
        <f>IF($D267="","",IFERROR(100-100/(1+SUMPRODUCT((((高値!E267:R267+安値!E267:R267+終値!E267:R267)/3)&gt;((高値!F267:S267+安値!F267:S267+終値!F267:S267)/3))*((高値!E267:R267+安値!E267:R267+終値!E267:R267)/3)*出来高!E267:R267)/SUMPRODUCT((((高値!E267:R267+安値!E267:R267+終値!E267:R267)/3)&lt;((高値!F267:S267+安値!F267:S267+終値!F267:S267)/3))*((高値!E267:R267+安値!E267:R267+終値!E267:R267)/3)*出来高!E267:R267)),50))</f>
      </c>
      <c r="S267" s="681">
        <f>IF($D267="","",IF(AND(終値!E267&lt;終値!O267,$Q267&gt;(IFERROR(100-100/(1+SUMPRODUCT((終値!O267:AB267&gt;終値!P267:AC267)*(終値!O267:AB267-終値!P267:AC267))/SUMPRODUCT((終値!O267:AB267&lt;終値!P267:AC267)*(終値!P267:AC267-終値!O267:AB267))),100))),"強気div▲",IF(AND(終値!E267&gt;終値!O267,$Q267&lt;(IFERROR(100-100/(1+SUMPRODUCT((終値!O267:AB267&gt;終値!P267:AC267)*(終値!O267:AB267-終値!P267:AC267))/SUMPRODUCT((終値!O267:AB267&lt;終値!P267:AC267)*(終値!P267:AC267-終値!O267:AB267))),100))),"弱気div▼","－")))</f>
      </c>
      <c r="T267" s="681">
        <f>IF($D267="","",IF($D267&gt;=$H267,"上walk▲",IF($D267&lt;=$I267,"下walk▼","－")))</f>
      </c>
      <c r="U267" s="681">
        <f>IF(終値!A267="","",BB_スイング!BT267)</f>
      </c>
      <c r="V267" s="689">
        <f>IF($D267="","",IFERROR(出来高!E267/AVERAGE(出来高!E267:I267),""))</f>
      </c>
      <c r="W267" s="690">
        <f>IF($D267="","",IF(AND($D267&gt;$G267,$O267="拡大↑",$L267&lt;=$M267*1.8),"◎スクイーズブレイク買",IF(AND($D267&gt;=$H267,$R267&gt;=BB設定!$B$10),"○順張り継続(walk)",IF(AND($S267="強気div▲",$D267&gt;$I267),"○反発(ダイバ)買",IF($U267="二番底W▲","△二番底買(確)",IF($U267="二番底W形成","△二番底形成",IF($D267&lt;$J267,"▼-2σ割れ危険",IF(AND($D267&gt;$E267,$K267&lt;0.6,$R267&gt;=50),"・押し目注目",IF($N267="スクイーズ★","☆スクイーズ監視","様子見")))))))))</f>
      </c>
      <c r="X267" s="685">
        <f>IF($D267="","",MIN(100,IF($L267&lt;=$M267*1.15,20,IF($L267&lt;=$M267*1.4,10,0))+IF($D267&gt;$G267,20,IF($D267&gt;$H267,12,IF($D267&gt;$E267,5,0)))+IF($O267="拡大↑",10,0)+IF($R267&gt;=80,15,IF($R267&gt;=60,10,IF($R267&gt;=50,5,0)))+IF(AND($Q267&gt;=50,$Q267&lt;=70),10,IF($Q267&gt;70,3,IF($Q267&gt;=40,5,0)))+IF($S267="強気div▲",15,0)+IF($T267="上walk▲",5,0)+IF($V267&gt;=2,5,IF($V267&gt;=1.5,3,0))))</f>
      </c>
      <c r="Y267" s="682">
        <f>IF($D267="","",$D267)</f>
      </c>
      <c r="Z267" s="682">
        <f>IF($D267="","",$H267)</f>
      </c>
      <c r="AA267" s="682">
        <f>IF($D267="","",IF($D267&gt;$E267,$E267,$AD267))</f>
      </c>
      <c r="AB267" s="682">
        <f>IF($D267="","",$G267)</f>
      </c>
      <c r="AC267" s="688">
        <f>IF($D267="","",IF(($Y267-$AA267)&lt;=0,"－",IFERROR(ROUND(MIN(20,($AB267-$Y267)/($Y267-$AA267)),2),"－")))</f>
      </c>
      <c r="AD267" s="682">
        <f>IF($D267="","",MIN(終値!E267:I267))</f>
      </c>
      <c r="AE267" s="684">
        <f>IF($D267="","",$X267+(10000-ROW())/100000)</f>
      </c>
    </row>
    <row r="268">
      <c r="A268" s="681">
        <f>IF(終値!A268="","",HYPERLINK("https://kabutan.jp/stock/?code="&amp;終値!A268,"📈"))</f>
      </c>
      <c r="B268" s="681">
        <f>IF(終値!A268="","",終値!A268)</f>
      </c>
      <c r="C268" s="680">
        <f>IF(終値!A268="","",終値!B268)</f>
      </c>
      <c r="D268" s="682">
        <f>IF(終値!A268="","",終値!E268)</f>
      </c>
      <c r="E268" s="682">
        <f>IF($D268="","",AVERAGE(終値!E268:X268))</f>
      </c>
      <c r="F268" s="683">
        <f>IF($D268="","",STDEVP(終値!E268:X268))</f>
      </c>
      <c r="G268" s="682">
        <f>IF($D268="","",$E268+BB設定!$B$4*$F268)</f>
      </c>
      <c r="H268" s="682">
        <f>IF($D268="","",$E268+BB設定!$B$5*$F268)</f>
      </c>
      <c r="I268" s="682">
        <f>IF($D268="","",$E268-BB設定!$B$5*$F268)</f>
      </c>
      <c r="J268" s="682">
        <f>IF($D268="","",$E268-BB設定!$B$4*$F268)</f>
      </c>
      <c r="K268" s="687">
        <f>IF($D268="","",IFERROR(($D268-$J268)/($G268-$J268),""))</f>
      </c>
      <c r="L268" s="686">
        <f>IF($D268="","",IFERROR(($G268-$J268)/$E268*100,""))</f>
      </c>
      <c r="M268" s="686">
        <f>IF($D268="","",IFERROR(MIN(BB_帯幅!B268:AP268)*100,""))</f>
      </c>
      <c r="N268" s="681">
        <f>IF($L268="","",IF($L268&lt;=$M268*BB設定!$B$7,"スクイーズ★",IF($L268&lt;=$M268*1.3,"収縮","－")))</f>
      </c>
      <c r="O268" s="681">
        <f>IF($D268="","",IF($L268&gt;(4*STDEVP(終値!F268:Y268)/AVERAGE(終値!F268:Y268)*100),"拡大↑","縮小↓"))</f>
      </c>
      <c r="P268" s="681">
        <f>IF($D268="","",IF($D268&gt;$G268,"↑+2σ突破",IF($D268&lt;$J268,"↓-2σ割れ",IF($D268&gt;$H268,"+1σ上",IF($D268&lt;$I268,"-1σ下","バンド内")))))</f>
      </c>
      <c r="Q268" s="684">
        <f>IF($D268="","",IFERROR(100-100/(1+SUMPRODUCT((終値!E268:R268&gt;終値!F268:S268)*(終値!E268:R268-終値!F268:S268))/SUMPRODUCT((終値!E268:R268&lt;終値!F268:S268)*(終値!F268:S268-終値!E268:R268))),100))</f>
      </c>
      <c r="R268" s="684">
        <f>IF($D268="","",IFERROR(100-100/(1+SUMPRODUCT((((高値!E268:R268+安値!E268:R268+終値!E268:R268)/3)&gt;((高値!F268:S268+安値!F268:S268+終値!F268:S268)/3))*((高値!E268:R268+安値!E268:R268+終値!E268:R268)/3)*出来高!E268:R268)/SUMPRODUCT((((高値!E268:R268+安値!E268:R268+終値!E268:R268)/3)&lt;((高値!F268:S268+安値!F268:S268+終値!F268:S268)/3))*((高値!E268:R268+安値!E268:R268+終値!E268:R268)/3)*出来高!E268:R268)),50))</f>
      </c>
      <c r="S268" s="681">
        <f>IF($D268="","",IF(AND(終値!E268&lt;終値!O268,$Q268&gt;(IFERROR(100-100/(1+SUMPRODUCT((終値!O268:AB268&gt;終値!P268:AC268)*(終値!O268:AB268-終値!P268:AC268))/SUMPRODUCT((終値!O268:AB268&lt;終値!P268:AC268)*(終値!P268:AC268-終値!O268:AB268))),100))),"強気div▲",IF(AND(終値!E268&gt;終値!O268,$Q268&lt;(IFERROR(100-100/(1+SUMPRODUCT((終値!O268:AB268&gt;終値!P268:AC268)*(終値!O268:AB268-終値!P268:AC268))/SUMPRODUCT((終値!O268:AB268&lt;終値!P268:AC268)*(終値!P268:AC268-終値!O268:AB268))),100))),"弱気div▼","－")))</f>
      </c>
      <c r="T268" s="681">
        <f>IF($D268="","",IF($D268&gt;=$H268,"上walk▲",IF($D268&lt;=$I268,"下walk▼","－")))</f>
      </c>
      <c r="U268" s="681">
        <f>IF(終値!A268="","",BB_スイング!BT268)</f>
      </c>
      <c r="V268" s="689">
        <f>IF($D268="","",IFERROR(出来高!E268/AVERAGE(出来高!E268:I268),""))</f>
      </c>
      <c r="W268" s="690">
        <f>IF($D268="","",IF(AND($D268&gt;$G268,$O268="拡大↑",$L268&lt;=$M268*1.8),"◎スクイーズブレイク買",IF(AND($D268&gt;=$H268,$R268&gt;=BB設定!$B$10),"○順張り継続(walk)",IF(AND($S268="強気div▲",$D268&gt;$I268),"○反発(ダイバ)買",IF($U268="二番底W▲","△二番底買(確)",IF($U268="二番底W形成","△二番底形成",IF($D268&lt;$J268,"▼-2σ割れ危険",IF(AND($D268&gt;$E268,$K268&lt;0.6,$R268&gt;=50),"・押し目注目",IF($N268="スクイーズ★","☆スクイーズ監視","様子見")))))))))</f>
      </c>
      <c r="X268" s="685">
        <f>IF($D268="","",MIN(100,IF($L268&lt;=$M268*1.15,20,IF($L268&lt;=$M268*1.4,10,0))+IF($D268&gt;$G268,20,IF($D268&gt;$H268,12,IF($D268&gt;$E268,5,0)))+IF($O268="拡大↑",10,0)+IF($R268&gt;=80,15,IF($R268&gt;=60,10,IF($R268&gt;=50,5,0)))+IF(AND($Q268&gt;=50,$Q268&lt;=70),10,IF($Q268&gt;70,3,IF($Q268&gt;=40,5,0)))+IF($S268="強気div▲",15,0)+IF($T268="上walk▲",5,0)+IF($V268&gt;=2,5,IF($V268&gt;=1.5,3,0))))</f>
      </c>
      <c r="Y268" s="682">
        <f>IF($D268="","",$D268)</f>
      </c>
      <c r="Z268" s="682">
        <f>IF($D268="","",$H268)</f>
      </c>
      <c r="AA268" s="682">
        <f>IF($D268="","",IF($D268&gt;$E268,$E268,$AD268))</f>
      </c>
      <c r="AB268" s="682">
        <f>IF($D268="","",$G268)</f>
      </c>
      <c r="AC268" s="688">
        <f>IF($D268="","",IF(($Y268-$AA268)&lt;=0,"－",IFERROR(ROUND(MIN(20,($AB268-$Y268)/($Y268-$AA268)),2),"－")))</f>
      </c>
      <c r="AD268" s="682">
        <f>IF($D268="","",MIN(終値!E268:I268))</f>
      </c>
      <c r="AE268" s="684">
        <f>IF($D268="","",$X268+(10000-ROW())/100000)</f>
      </c>
    </row>
    <row r="269">
      <c r="A269" s="681">
        <f>IF(終値!A269="","",HYPERLINK("https://kabutan.jp/stock/?code="&amp;終値!A269,"📈"))</f>
      </c>
      <c r="B269" s="681">
        <f>IF(終値!A269="","",終値!A269)</f>
      </c>
      <c r="C269" s="680">
        <f>IF(終値!A269="","",終値!B269)</f>
      </c>
      <c r="D269" s="682">
        <f>IF(終値!A269="","",終値!E269)</f>
      </c>
      <c r="E269" s="682">
        <f>IF($D269="","",AVERAGE(終値!E269:X269))</f>
      </c>
      <c r="F269" s="683">
        <f>IF($D269="","",STDEVP(終値!E269:X269))</f>
      </c>
      <c r="G269" s="682">
        <f>IF($D269="","",$E269+BB設定!$B$4*$F269)</f>
      </c>
      <c r="H269" s="682">
        <f>IF($D269="","",$E269+BB設定!$B$5*$F269)</f>
      </c>
      <c r="I269" s="682">
        <f>IF($D269="","",$E269-BB設定!$B$5*$F269)</f>
      </c>
      <c r="J269" s="682">
        <f>IF($D269="","",$E269-BB設定!$B$4*$F269)</f>
      </c>
      <c r="K269" s="687">
        <f>IF($D269="","",IFERROR(($D269-$J269)/($G269-$J269),""))</f>
      </c>
      <c r="L269" s="686">
        <f>IF($D269="","",IFERROR(($G269-$J269)/$E269*100,""))</f>
      </c>
      <c r="M269" s="686">
        <f>IF($D269="","",IFERROR(MIN(BB_帯幅!B269:AP269)*100,""))</f>
      </c>
      <c r="N269" s="681">
        <f>IF($L269="","",IF($L269&lt;=$M269*BB設定!$B$7,"スクイーズ★",IF($L269&lt;=$M269*1.3,"収縮","－")))</f>
      </c>
      <c r="O269" s="681">
        <f>IF($D269="","",IF($L269&gt;(4*STDEVP(終値!F269:Y269)/AVERAGE(終値!F269:Y269)*100),"拡大↑","縮小↓"))</f>
      </c>
      <c r="P269" s="681">
        <f>IF($D269="","",IF($D269&gt;$G269,"↑+2σ突破",IF($D269&lt;$J269,"↓-2σ割れ",IF($D269&gt;$H269,"+1σ上",IF($D269&lt;$I269,"-1σ下","バンド内")))))</f>
      </c>
      <c r="Q269" s="684">
        <f>IF($D269="","",IFERROR(100-100/(1+SUMPRODUCT((終値!E269:R269&gt;終値!F269:S269)*(終値!E269:R269-終値!F269:S269))/SUMPRODUCT((終値!E269:R269&lt;終値!F269:S269)*(終値!F269:S269-終値!E269:R269))),100))</f>
      </c>
      <c r="R269" s="684">
        <f>IF($D269="","",IFERROR(100-100/(1+SUMPRODUCT((((高値!E269:R269+安値!E269:R269+終値!E269:R269)/3)&gt;((高値!F269:S269+安値!F269:S269+終値!F269:S269)/3))*((高値!E269:R269+安値!E269:R269+終値!E269:R269)/3)*出来高!E269:R269)/SUMPRODUCT((((高値!E269:R269+安値!E269:R269+終値!E269:R269)/3)&lt;((高値!F269:S269+安値!F269:S269+終値!F269:S269)/3))*((高値!E269:R269+安値!E269:R269+終値!E269:R269)/3)*出来高!E269:R269)),50))</f>
      </c>
      <c r="S269" s="681">
        <f>IF($D269="","",IF(AND(終値!E269&lt;終値!O269,$Q269&gt;(IFERROR(100-100/(1+SUMPRODUCT((終値!O269:AB269&gt;終値!P269:AC269)*(終値!O269:AB269-終値!P269:AC269))/SUMPRODUCT((終値!O269:AB269&lt;終値!P269:AC269)*(終値!P269:AC269-終値!O269:AB269))),100))),"強気div▲",IF(AND(終値!E269&gt;終値!O269,$Q269&lt;(IFERROR(100-100/(1+SUMPRODUCT((終値!O269:AB269&gt;終値!P269:AC269)*(終値!O269:AB269-終値!P269:AC269))/SUMPRODUCT((終値!O269:AB269&lt;終値!P269:AC269)*(終値!P269:AC269-終値!O269:AB269))),100))),"弱気div▼","－")))</f>
      </c>
      <c r="T269" s="681">
        <f>IF($D269="","",IF($D269&gt;=$H269,"上walk▲",IF($D269&lt;=$I269,"下walk▼","－")))</f>
      </c>
      <c r="U269" s="681">
        <f>IF(終値!A269="","",BB_スイング!BT269)</f>
      </c>
      <c r="V269" s="689">
        <f>IF($D269="","",IFERROR(出来高!E269/AVERAGE(出来高!E269:I269),""))</f>
      </c>
      <c r="W269" s="690">
        <f>IF($D269="","",IF(AND($D269&gt;$G269,$O269="拡大↑",$L269&lt;=$M269*1.8),"◎スクイーズブレイク買",IF(AND($D269&gt;=$H269,$R269&gt;=BB設定!$B$10),"○順張り継続(walk)",IF(AND($S269="強気div▲",$D269&gt;$I269),"○反発(ダイバ)買",IF($U269="二番底W▲","△二番底買(確)",IF($U269="二番底W形成","△二番底形成",IF($D269&lt;$J269,"▼-2σ割れ危険",IF(AND($D269&gt;$E269,$K269&lt;0.6,$R269&gt;=50),"・押し目注目",IF($N269="スクイーズ★","☆スクイーズ監視","様子見")))))))))</f>
      </c>
      <c r="X269" s="685">
        <f>IF($D269="","",MIN(100,IF($L269&lt;=$M269*1.15,20,IF($L269&lt;=$M269*1.4,10,0))+IF($D269&gt;$G269,20,IF($D269&gt;$H269,12,IF($D269&gt;$E269,5,0)))+IF($O269="拡大↑",10,0)+IF($R269&gt;=80,15,IF($R269&gt;=60,10,IF($R269&gt;=50,5,0)))+IF(AND($Q269&gt;=50,$Q269&lt;=70),10,IF($Q269&gt;70,3,IF($Q269&gt;=40,5,0)))+IF($S269="強気div▲",15,0)+IF($T269="上walk▲",5,0)+IF($V269&gt;=2,5,IF($V269&gt;=1.5,3,0))))</f>
      </c>
      <c r="Y269" s="682">
        <f>IF($D269="","",$D269)</f>
      </c>
      <c r="Z269" s="682">
        <f>IF($D269="","",$H269)</f>
      </c>
      <c r="AA269" s="682">
        <f>IF($D269="","",IF($D269&gt;$E269,$E269,$AD269))</f>
      </c>
      <c r="AB269" s="682">
        <f>IF($D269="","",$G269)</f>
      </c>
      <c r="AC269" s="688">
        <f>IF($D269="","",IF(($Y269-$AA269)&lt;=0,"－",IFERROR(ROUND(MIN(20,($AB269-$Y269)/($Y269-$AA269)),2),"－")))</f>
      </c>
      <c r="AD269" s="682">
        <f>IF($D269="","",MIN(終値!E269:I269))</f>
      </c>
      <c r="AE269" s="684">
        <f>IF($D269="","",$X269+(10000-ROW())/100000)</f>
      </c>
    </row>
    <row r="270">
      <c r="A270" s="681">
        <f>IF(終値!A270="","",HYPERLINK("https://kabutan.jp/stock/?code="&amp;終値!A270,"📈"))</f>
      </c>
      <c r="B270" s="681">
        <f>IF(終値!A270="","",終値!A270)</f>
      </c>
      <c r="C270" s="680">
        <f>IF(終値!A270="","",終値!B270)</f>
      </c>
      <c r="D270" s="682">
        <f>IF(終値!A270="","",終値!E270)</f>
      </c>
      <c r="E270" s="682">
        <f>IF($D270="","",AVERAGE(終値!E270:X270))</f>
      </c>
      <c r="F270" s="683">
        <f>IF($D270="","",STDEVP(終値!E270:X270))</f>
      </c>
      <c r="G270" s="682">
        <f>IF($D270="","",$E270+BB設定!$B$4*$F270)</f>
      </c>
      <c r="H270" s="682">
        <f>IF($D270="","",$E270+BB設定!$B$5*$F270)</f>
      </c>
      <c r="I270" s="682">
        <f>IF($D270="","",$E270-BB設定!$B$5*$F270)</f>
      </c>
      <c r="J270" s="682">
        <f>IF($D270="","",$E270-BB設定!$B$4*$F270)</f>
      </c>
      <c r="K270" s="687">
        <f>IF($D270="","",IFERROR(($D270-$J270)/($G270-$J270),""))</f>
      </c>
      <c r="L270" s="686">
        <f>IF($D270="","",IFERROR(($G270-$J270)/$E270*100,""))</f>
      </c>
      <c r="M270" s="686">
        <f>IF($D270="","",IFERROR(MIN(BB_帯幅!B270:AP270)*100,""))</f>
      </c>
      <c r="N270" s="681">
        <f>IF($L270="","",IF($L270&lt;=$M270*BB設定!$B$7,"スクイーズ★",IF($L270&lt;=$M270*1.3,"収縮","－")))</f>
      </c>
      <c r="O270" s="681">
        <f>IF($D270="","",IF($L270&gt;(4*STDEVP(終値!F270:Y270)/AVERAGE(終値!F270:Y270)*100),"拡大↑","縮小↓"))</f>
      </c>
      <c r="P270" s="681">
        <f>IF($D270="","",IF($D270&gt;$G270,"↑+2σ突破",IF($D270&lt;$J270,"↓-2σ割れ",IF($D270&gt;$H270,"+1σ上",IF($D270&lt;$I270,"-1σ下","バンド内")))))</f>
      </c>
      <c r="Q270" s="684">
        <f>IF($D270="","",IFERROR(100-100/(1+SUMPRODUCT((終値!E270:R270&gt;終値!F270:S270)*(終値!E270:R270-終値!F270:S270))/SUMPRODUCT((終値!E270:R270&lt;終値!F270:S270)*(終値!F270:S270-終値!E270:R270))),100))</f>
      </c>
      <c r="R270" s="684">
        <f>IF($D270="","",IFERROR(100-100/(1+SUMPRODUCT((((高値!E270:R270+安値!E270:R270+終値!E270:R270)/3)&gt;((高値!F270:S270+安値!F270:S270+終値!F270:S270)/3))*((高値!E270:R270+安値!E270:R270+終値!E270:R270)/3)*出来高!E270:R270)/SUMPRODUCT((((高値!E270:R270+安値!E270:R270+終値!E270:R270)/3)&lt;((高値!F270:S270+安値!F270:S270+終値!F270:S270)/3))*((高値!E270:R270+安値!E270:R270+終値!E270:R270)/3)*出来高!E270:R270)),50))</f>
      </c>
      <c r="S270" s="681">
        <f>IF($D270="","",IF(AND(終値!E270&lt;終値!O270,$Q270&gt;(IFERROR(100-100/(1+SUMPRODUCT((終値!O270:AB270&gt;終値!P270:AC270)*(終値!O270:AB270-終値!P270:AC270))/SUMPRODUCT((終値!O270:AB270&lt;終値!P270:AC270)*(終値!P270:AC270-終値!O270:AB270))),100))),"強気div▲",IF(AND(終値!E270&gt;終値!O270,$Q270&lt;(IFERROR(100-100/(1+SUMPRODUCT((終値!O270:AB270&gt;終値!P270:AC270)*(終値!O270:AB270-終値!P270:AC270))/SUMPRODUCT((終値!O270:AB270&lt;終値!P270:AC270)*(終値!P270:AC270-終値!O270:AB270))),100))),"弱気div▼","－")))</f>
      </c>
      <c r="T270" s="681">
        <f>IF($D270="","",IF($D270&gt;=$H270,"上walk▲",IF($D270&lt;=$I270,"下walk▼","－")))</f>
      </c>
      <c r="U270" s="681">
        <f>IF(終値!A270="","",BB_スイング!BT270)</f>
      </c>
      <c r="V270" s="689">
        <f>IF($D270="","",IFERROR(出来高!E270/AVERAGE(出来高!E270:I270),""))</f>
      </c>
      <c r="W270" s="690">
        <f>IF($D270="","",IF(AND($D270&gt;$G270,$O270="拡大↑",$L270&lt;=$M270*1.8),"◎スクイーズブレイク買",IF(AND($D270&gt;=$H270,$R270&gt;=BB設定!$B$10),"○順張り継続(walk)",IF(AND($S270="強気div▲",$D270&gt;$I270),"○反発(ダイバ)買",IF($U270="二番底W▲","△二番底買(確)",IF($U270="二番底W形成","△二番底形成",IF($D270&lt;$J270,"▼-2σ割れ危険",IF(AND($D270&gt;$E270,$K270&lt;0.6,$R270&gt;=50),"・押し目注目",IF($N270="スクイーズ★","☆スクイーズ監視","様子見")))))))))</f>
      </c>
      <c r="X270" s="685">
        <f>IF($D270="","",MIN(100,IF($L270&lt;=$M270*1.15,20,IF($L270&lt;=$M270*1.4,10,0))+IF($D270&gt;$G270,20,IF($D270&gt;$H270,12,IF($D270&gt;$E270,5,0)))+IF($O270="拡大↑",10,0)+IF($R270&gt;=80,15,IF($R270&gt;=60,10,IF($R270&gt;=50,5,0)))+IF(AND($Q270&gt;=50,$Q270&lt;=70),10,IF($Q270&gt;70,3,IF($Q270&gt;=40,5,0)))+IF($S270="強気div▲",15,0)+IF($T270="上walk▲",5,0)+IF($V270&gt;=2,5,IF($V270&gt;=1.5,3,0))))</f>
      </c>
      <c r="Y270" s="682">
        <f>IF($D270="","",$D270)</f>
      </c>
      <c r="Z270" s="682">
        <f>IF($D270="","",$H270)</f>
      </c>
      <c r="AA270" s="682">
        <f>IF($D270="","",IF($D270&gt;$E270,$E270,$AD270))</f>
      </c>
      <c r="AB270" s="682">
        <f>IF($D270="","",$G270)</f>
      </c>
      <c r="AC270" s="688">
        <f>IF($D270="","",IF(($Y270-$AA270)&lt;=0,"－",IFERROR(ROUND(MIN(20,($AB270-$Y270)/($Y270-$AA270)),2),"－")))</f>
      </c>
      <c r="AD270" s="682">
        <f>IF($D270="","",MIN(終値!E270:I270))</f>
      </c>
      <c r="AE270" s="684">
        <f>IF($D270="","",$X270+(10000-ROW())/100000)</f>
      </c>
    </row>
    <row r="271">
      <c r="A271" s="681">
        <f>IF(終値!A271="","",HYPERLINK("https://kabutan.jp/stock/?code="&amp;終値!A271,"📈"))</f>
      </c>
      <c r="B271" s="681">
        <f>IF(終値!A271="","",終値!A271)</f>
      </c>
      <c r="C271" s="680">
        <f>IF(終値!A271="","",終値!B271)</f>
      </c>
      <c r="D271" s="682">
        <f>IF(終値!A271="","",終値!E271)</f>
      </c>
      <c r="E271" s="682">
        <f>IF($D271="","",AVERAGE(終値!E271:X271))</f>
      </c>
      <c r="F271" s="683">
        <f>IF($D271="","",STDEVP(終値!E271:X271))</f>
      </c>
      <c r="G271" s="682">
        <f>IF($D271="","",$E271+BB設定!$B$4*$F271)</f>
      </c>
      <c r="H271" s="682">
        <f>IF($D271="","",$E271+BB設定!$B$5*$F271)</f>
      </c>
      <c r="I271" s="682">
        <f>IF($D271="","",$E271-BB設定!$B$5*$F271)</f>
      </c>
      <c r="J271" s="682">
        <f>IF($D271="","",$E271-BB設定!$B$4*$F271)</f>
      </c>
      <c r="K271" s="687">
        <f>IF($D271="","",IFERROR(($D271-$J271)/($G271-$J271),""))</f>
      </c>
      <c r="L271" s="686">
        <f>IF($D271="","",IFERROR(($G271-$J271)/$E271*100,""))</f>
      </c>
      <c r="M271" s="686">
        <f>IF($D271="","",IFERROR(MIN(BB_帯幅!B271:AP271)*100,""))</f>
      </c>
      <c r="N271" s="681">
        <f>IF($L271="","",IF($L271&lt;=$M271*BB設定!$B$7,"スクイーズ★",IF($L271&lt;=$M271*1.3,"収縮","－")))</f>
      </c>
      <c r="O271" s="681">
        <f>IF($D271="","",IF($L271&gt;(4*STDEVP(終値!F271:Y271)/AVERAGE(終値!F271:Y271)*100),"拡大↑","縮小↓"))</f>
      </c>
      <c r="P271" s="681">
        <f>IF($D271="","",IF($D271&gt;$G271,"↑+2σ突破",IF($D271&lt;$J271,"↓-2σ割れ",IF($D271&gt;$H271,"+1σ上",IF($D271&lt;$I271,"-1σ下","バンド内")))))</f>
      </c>
      <c r="Q271" s="684">
        <f>IF($D271="","",IFERROR(100-100/(1+SUMPRODUCT((終値!E271:R271&gt;終値!F271:S271)*(終値!E271:R271-終値!F271:S271))/SUMPRODUCT((終値!E271:R271&lt;終値!F271:S271)*(終値!F271:S271-終値!E271:R271))),100))</f>
      </c>
      <c r="R271" s="684">
        <f>IF($D271="","",IFERROR(100-100/(1+SUMPRODUCT((((高値!E271:R271+安値!E271:R271+終値!E271:R271)/3)&gt;((高値!F271:S271+安値!F271:S271+終値!F271:S271)/3))*((高値!E271:R271+安値!E271:R271+終値!E271:R271)/3)*出来高!E271:R271)/SUMPRODUCT((((高値!E271:R271+安値!E271:R271+終値!E271:R271)/3)&lt;((高値!F271:S271+安値!F271:S271+終値!F271:S271)/3))*((高値!E271:R271+安値!E271:R271+終値!E271:R271)/3)*出来高!E271:R271)),50))</f>
      </c>
      <c r="S271" s="681">
        <f>IF($D271="","",IF(AND(終値!E271&lt;終値!O271,$Q271&gt;(IFERROR(100-100/(1+SUMPRODUCT((終値!O271:AB271&gt;終値!P271:AC271)*(終値!O271:AB271-終値!P271:AC271))/SUMPRODUCT((終値!O271:AB271&lt;終値!P271:AC271)*(終値!P271:AC271-終値!O271:AB271))),100))),"強気div▲",IF(AND(終値!E271&gt;終値!O271,$Q271&lt;(IFERROR(100-100/(1+SUMPRODUCT((終値!O271:AB271&gt;終値!P271:AC271)*(終値!O271:AB271-終値!P271:AC271))/SUMPRODUCT((終値!O271:AB271&lt;終値!P271:AC271)*(終値!P271:AC271-終値!O271:AB271))),100))),"弱気div▼","－")))</f>
      </c>
      <c r="T271" s="681">
        <f>IF($D271="","",IF($D271&gt;=$H271,"上walk▲",IF($D271&lt;=$I271,"下walk▼","－")))</f>
      </c>
      <c r="U271" s="681">
        <f>IF(終値!A271="","",BB_スイング!BT271)</f>
      </c>
      <c r="V271" s="689">
        <f>IF($D271="","",IFERROR(出来高!E271/AVERAGE(出来高!E271:I271),""))</f>
      </c>
      <c r="W271" s="690">
        <f>IF($D271="","",IF(AND($D271&gt;$G271,$O271="拡大↑",$L271&lt;=$M271*1.8),"◎スクイーズブレイク買",IF(AND($D271&gt;=$H271,$R271&gt;=BB設定!$B$10),"○順張り継続(walk)",IF(AND($S271="強気div▲",$D271&gt;$I271),"○反発(ダイバ)買",IF($U271="二番底W▲","△二番底買(確)",IF($U271="二番底W形成","△二番底形成",IF($D271&lt;$J271,"▼-2σ割れ危険",IF(AND($D271&gt;$E271,$K271&lt;0.6,$R271&gt;=50),"・押し目注目",IF($N271="スクイーズ★","☆スクイーズ監視","様子見")))))))))</f>
      </c>
      <c r="X271" s="685">
        <f>IF($D271="","",MIN(100,IF($L271&lt;=$M271*1.15,20,IF($L271&lt;=$M271*1.4,10,0))+IF($D271&gt;$G271,20,IF($D271&gt;$H271,12,IF($D271&gt;$E271,5,0)))+IF($O271="拡大↑",10,0)+IF($R271&gt;=80,15,IF($R271&gt;=60,10,IF($R271&gt;=50,5,0)))+IF(AND($Q271&gt;=50,$Q271&lt;=70),10,IF($Q271&gt;70,3,IF($Q271&gt;=40,5,0)))+IF($S271="強気div▲",15,0)+IF($T271="上walk▲",5,0)+IF($V271&gt;=2,5,IF($V271&gt;=1.5,3,0))))</f>
      </c>
      <c r="Y271" s="682">
        <f>IF($D271="","",$D271)</f>
      </c>
      <c r="Z271" s="682">
        <f>IF($D271="","",$H271)</f>
      </c>
      <c r="AA271" s="682">
        <f>IF($D271="","",IF($D271&gt;$E271,$E271,$AD271))</f>
      </c>
      <c r="AB271" s="682">
        <f>IF($D271="","",$G271)</f>
      </c>
      <c r="AC271" s="688">
        <f>IF($D271="","",IF(($Y271-$AA271)&lt;=0,"－",IFERROR(ROUND(MIN(20,($AB271-$Y271)/($Y271-$AA271)),2),"－")))</f>
      </c>
      <c r="AD271" s="682">
        <f>IF($D271="","",MIN(終値!E271:I271))</f>
      </c>
      <c r="AE271" s="684">
        <f>IF($D271="","",$X271+(10000-ROW())/100000)</f>
      </c>
    </row>
    <row r="272">
      <c r="A272" s="681">
        <f>IF(終値!A272="","",HYPERLINK("https://kabutan.jp/stock/?code="&amp;終値!A272,"📈"))</f>
      </c>
      <c r="B272" s="681">
        <f>IF(終値!A272="","",終値!A272)</f>
      </c>
      <c r="C272" s="680">
        <f>IF(終値!A272="","",終値!B272)</f>
      </c>
      <c r="D272" s="682">
        <f>IF(終値!A272="","",終値!E272)</f>
      </c>
      <c r="E272" s="682">
        <f>IF($D272="","",AVERAGE(終値!E272:X272))</f>
      </c>
      <c r="F272" s="683">
        <f>IF($D272="","",STDEVP(終値!E272:X272))</f>
      </c>
      <c r="G272" s="682">
        <f>IF($D272="","",$E272+BB設定!$B$4*$F272)</f>
      </c>
      <c r="H272" s="682">
        <f>IF($D272="","",$E272+BB設定!$B$5*$F272)</f>
      </c>
      <c r="I272" s="682">
        <f>IF($D272="","",$E272-BB設定!$B$5*$F272)</f>
      </c>
      <c r="J272" s="682">
        <f>IF($D272="","",$E272-BB設定!$B$4*$F272)</f>
      </c>
      <c r="K272" s="687">
        <f>IF($D272="","",IFERROR(($D272-$J272)/($G272-$J272),""))</f>
      </c>
      <c r="L272" s="686">
        <f>IF($D272="","",IFERROR(($G272-$J272)/$E272*100,""))</f>
      </c>
      <c r="M272" s="686">
        <f>IF($D272="","",IFERROR(MIN(BB_帯幅!B272:AP272)*100,""))</f>
      </c>
      <c r="N272" s="681">
        <f>IF($L272="","",IF($L272&lt;=$M272*BB設定!$B$7,"スクイーズ★",IF($L272&lt;=$M272*1.3,"収縮","－")))</f>
      </c>
      <c r="O272" s="681">
        <f>IF($D272="","",IF($L272&gt;(4*STDEVP(終値!F272:Y272)/AVERAGE(終値!F272:Y272)*100),"拡大↑","縮小↓"))</f>
      </c>
      <c r="P272" s="681">
        <f>IF($D272="","",IF($D272&gt;$G272,"↑+2σ突破",IF($D272&lt;$J272,"↓-2σ割れ",IF($D272&gt;$H272,"+1σ上",IF($D272&lt;$I272,"-1σ下","バンド内")))))</f>
      </c>
      <c r="Q272" s="684">
        <f>IF($D272="","",IFERROR(100-100/(1+SUMPRODUCT((終値!E272:R272&gt;終値!F272:S272)*(終値!E272:R272-終値!F272:S272))/SUMPRODUCT((終値!E272:R272&lt;終値!F272:S272)*(終値!F272:S272-終値!E272:R272))),100))</f>
      </c>
      <c r="R272" s="684">
        <f>IF($D272="","",IFERROR(100-100/(1+SUMPRODUCT((((高値!E272:R272+安値!E272:R272+終値!E272:R272)/3)&gt;((高値!F272:S272+安値!F272:S272+終値!F272:S272)/3))*((高値!E272:R272+安値!E272:R272+終値!E272:R272)/3)*出来高!E272:R272)/SUMPRODUCT((((高値!E272:R272+安値!E272:R272+終値!E272:R272)/3)&lt;((高値!F272:S272+安値!F272:S272+終値!F272:S272)/3))*((高値!E272:R272+安値!E272:R272+終値!E272:R272)/3)*出来高!E272:R272)),50))</f>
      </c>
      <c r="S272" s="681">
        <f>IF($D272="","",IF(AND(終値!E272&lt;終値!O272,$Q272&gt;(IFERROR(100-100/(1+SUMPRODUCT((終値!O272:AB272&gt;終値!P272:AC272)*(終値!O272:AB272-終値!P272:AC272))/SUMPRODUCT((終値!O272:AB272&lt;終値!P272:AC272)*(終値!P272:AC272-終値!O272:AB272))),100))),"強気div▲",IF(AND(終値!E272&gt;終値!O272,$Q272&lt;(IFERROR(100-100/(1+SUMPRODUCT((終値!O272:AB272&gt;終値!P272:AC272)*(終値!O272:AB272-終値!P272:AC272))/SUMPRODUCT((終値!O272:AB272&lt;終値!P272:AC272)*(終値!P272:AC272-終値!O272:AB272))),100))),"弱気div▼","－")))</f>
      </c>
      <c r="T272" s="681">
        <f>IF($D272="","",IF($D272&gt;=$H272,"上walk▲",IF($D272&lt;=$I272,"下walk▼","－")))</f>
      </c>
      <c r="U272" s="681">
        <f>IF(終値!A272="","",BB_スイング!BT272)</f>
      </c>
      <c r="V272" s="689">
        <f>IF($D272="","",IFERROR(出来高!E272/AVERAGE(出来高!E272:I272),""))</f>
      </c>
      <c r="W272" s="690">
        <f>IF($D272="","",IF(AND($D272&gt;$G272,$O272="拡大↑",$L272&lt;=$M272*1.8),"◎スクイーズブレイク買",IF(AND($D272&gt;=$H272,$R272&gt;=BB設定!$B$10),"○順張り継続(walk)",IF(AND($S272="強気div▲",$D272&gt;$I272),"○反発(ダイバ)買",IF($U272="二番底W▲","△二番底買(確)",IF($U272="二番底W形成","△二番底形成",IF($D272&lt;$J272,"▼-2σ割れ危険",IF(AND($D272&gt;$E272,$K272&lt;0.6,$R272&gt;=50),"・押し目注目",IF($N272="スクイーズ★","☆スクイーズ監視","様子見")))))))))</f>
      </c>
      <c r="X272" s="685">
        <f>IF($D272="","",MIN(100,IF($L272&lt;=$M272*1.15,20,IF($L272&lt;=$M272*1.4,10,0))+IF($D272&gt;$G272,20,IF($D272&gt;$H272,12,IF($D272&gt;$E272,5,0)))+IF($O272="拡大↑",10,0)+IF($R272&gt;=80,15,IF($R272&gt;=60,10,IF($R272&gt;=50,5,0)))+IF(AND($Q272&gt;=50,$Q272&lt;=70),10,IF($Q272&gt;70,3,IF($Q272&gt;=40,5,0)))+IF($S272="強気div▲",15,0)+IF($T272="上walk▲",5,0)+IF($V272&gt;=2,5,IF($V272&gt;=1.5,3,0))))</f>
      </c>
      <c r="Y272" s="682">
        <f>IF($D272="","",$D272)</f>
      </c>
      <c r="Z272" s="682">
        <f>IF($D272="","",$H272)</f>
      </c>
      <c r="AA272" s="682">
        <f>IF($D272="","",IF($D272&gt;$E272,$E272,$AD272))</f>
      </c>
      <c r="AB272" s="682">
        <f>IF($D272="","",$G272)</f>
      </c>
      <c r="AC272" s="688">
        <f>IF($D272="","",IF(($Y272-$AA272)&lt;=0,"－",IFERROR(ROUND(MIN(20,($AB272-$Y272)/($Y272-$AA272)),2),"－")))</f>
      </c>
      <c r="AD272" s="682">
        <f>IF($D272="","",MIN(終値!E272:I272))</f>
      </c>
      <c r="AE272" s="684">
        <f>IF($D272="","",$X272+(10000-ROW())/100000)</f>
      </c>
    </row>
    <row r="273">
      <c r="A273" s="681">
        <f>IF(終値!A273="","",HYPERLINK("https://kabutan.jp/stock/?code="&amp;終値!A273,"📈"))</f>
      </c>
      <c r="B273" s="681">
        <f>IF(終値!A273="","",終値!A273)</f>
      </c>
      <c r="C273" s="680">
        <f>IF(終値!A273="","",終値!B273)</f>
      </c>
      <c r="D273" s="682">
        <f>IF(終値!A273="","",終値!E273)</f>
      </c>
      <c r="E273" s="682">
        <f>IF($D273="","",AVERAGE(終値!E273:X273))</f>
      </c>
      <c r="F273" s="683">
        <f>IF($D273="","",STDEVP(終値!E273:X273))</f>
      </c>
      <c r="G273" s="682">
        <f>IF($D273="","",$E273+BB設定!$B$4*$F273)</f>
      </c>
      <c r="H273" s="682">
        <f>IF($D273="","",$E273+BB設定!$B$5*$F273)</f>
      </c>
      <c r="I273" s="682">
        <f>IF($D273="","",$E273-BB設定!$B$5*$F273)</f>
      </c>
      <c r="J273" s="682">
        <f>IF($D273="","",$E273-BB設定!$B$4*$F273)</f>
      </c>
      <c r="K273" s="687">
        <f>IF($D273="","",IFERROR(($D273-$J273)/($G273-$J273),""))</f>
      </c>
      <c r="L273" s="686">
        <f>IF($D273="","",IFERROR(($G273-$J273)/$E273*100,""))</f>
      </c>
      <c r="M273" s="686">
        <f>IF($D273="","",IFERROR(MIN(BB_帯幅!B273:AP273)*100,""))</f>
      </c>
      <c r="N273" s="681">
        <f>IF($L273="","",IF($L273&lt;=$M273*BB設定!$B$7,"スクイーズ★",IF($L273&lt;=$M273*1.3,"収縮","－")))</f>
      </c>
      <c r="O273" s="681">
        <f>IF($D273="","",IF($L273&gt;(4*STDEVP(終値!F273:Y273)/AVERAGE(終値!F273:Y273)*100),"拡大↑","縮小↓"))</f>
      </c>
      <c r="P273" s="681">
        <f>IF($D273="","",IF($D273&gt;$G273,"↑+2σ突破",IF($D273&lt;$J273,"↓-2σ割れ",IF($D273&gt;$H273,"+1σ上",IF($D273&lt;$I273,"-1σ下","バンド内")))))</f>
      </c>
      <c r="Q273" s="684">
        <f>IF($D273="","",IFERROR(100-100/(1+SUMPRODUCT((終値!E273:R273&gt;終値!F273:S273)*(終値!E273:R273-終値!F273:S273))/SUMPRODUCT((終値!E273:R273&lt;終値!F273:S273)*(終値!F273:S273-終値!E273:R273))),100))</f>
      </c>
      <c r="R273" s="684">
        <f>IF($D273="","",IFERROR(100-100/(1+SUMPRODUCT((((高値!E273:R273+安値!E273:R273+終値!E273:R273)/3)&gt;((高値!F273:S273+安値!F273:S273+終値!F273:S273)/3))*((高値!E273:R273+安値!E273:R273+終値!E273:R273)/3)*出来高!E273:R273)/SUMPRODUCT((((高値!E273:R273+安値!E273:R273+終値!E273:R273)/3)&lt;((高値!F273:S273+安値!F273:S273+終値!F273:S273)/3))*((高値!E273:R273+安値!E273:R273+終値!E273:R273)/3)*出来高!E273:R273)),50))</f>
      </c>
      <c r="S273" s="681">
        <f>IF($D273="","",IF(AND(終値!E273&lt;終値!O273,$Q273&gt;(IFERROR(100-100/(1+SUMPRODUCT((終値!O273:AB273&gt;終値!P273:AC273)*(終値!O273:AB273-終値!P273:AC273))/SUMPRODUCT((終値!O273:AB273&lt;終値!P273:AC273)*(終値!P273:AC273-終値!O273:AB273))),100))),"強気div▲",IF(AND(終値!E273&gt;終値!O273,$Q273&lt;(IFERROR(100-100/(1+SUMPRODUCT((終値!O273:AB273&gt;終値!P273:AC273)*(終値!O273:AB273-終値!P273:AC273))/SUMPRODUCT((終値!O273:AB273&lt;終値!P273:AC273)*(終値!P273:AC273-終値!O273:AB273))),100))),"弱気div▼","－")))</f>
      </c>
      <c r="T273" s="681">
        <f>IF($D273="","",IF($D273&gt;=$H273,"上walk▲",IF($D273&lt;=$I273,"下walk▼","－")))</f>
      </c>
      <c r="U273" s="681">
        <f>IF(終値!A273="","",BB_スイング!BT273)</f>
      </c>
      <c r="V273" s="689">
        <f>IF($D273="","",IFERROR(出来高!E273/AVERAGE(出来高!E273:I273),""))</f>
      </c>
      <c r="W273" s="690">
        <f>IF($D273="","",IF(AND($D273&gt;$G273,$O273="拡大↑",$L273&lt;=$M273*1.8),"◎スクイーズブレイク買",IF(AND($D273&gt;=$H273,$R273&gt;=BB設定!$B$10),"○順張り継続(walk)",IF(AND($S273="強気div▲",$D273&gt;$I273),"○反発(ダイバ)買",IF($U273="二番底W▲","△二番底買(確)",IF($U273="二番底W形成","△二番底形成",IF($D273&lt;$J273,"▼-2σ割れ危険",IF(AND($D273&gt;$E273,$K273&lt;0.6,$R273&gt;=50),"・押し目注目",IF($N273="スクイーズ★","☆スクイーズ監視","様子見")))))))))</f>
      </c>
      <c r="X273" s="685">
        <f>IF($D273="","",MIN(100,IF($L273&lt;=$M273*1.15,20,IF($L273&lt;=$M273*1.4,10,0))+IF($D273&gt;$G273,20,IF($D273&gt;$H273,12,IF($D273&gt;$E273,5,0)))+IF($O273="拡大↑",10,0)+IF($R273&gt;=80,15,IF($R273&gt;=60,10,IF($R273&gt;=50,5,0)))+IF(AND($Q273&gt;=50,$Q273&lt;=70),10,IF($Q273&gt;70,3,IF($Q273&gt;=40,5,0)))+IF($S273="強気div▲",15,0)+IF($T273="上walk▲",5,0)+IF($V273&gt;=2,5,IF($V273&gt;=1.5,3,0))))</f>
      </c>
      <c r="Y273" s="682">
        <f>IF($D273="","",$D273)</f>
      </c>
      <c r="Z273" s="682">
        <f>IF($D273="","",$H273)</f>
      </c>
      <c r="AA273" s="682">
        <f>IF($D273="","",IF($D273&gt;$E273,$E273,$AD273))</f>
      </c>
      <c r="AB273" s="682">
        <f>IF($D273="","",$G273)</f>
      </c>
      <c r="AC273" s="688">
        <f>IF($D273="","",IF(($Y273-$AA273)&lt;=0,"－",IFERROR(ROUND(MIN(20,($AB273-$Y273)/($Y273-$AA273)),2),"－")))</f>
      </c>
      <c r="AD273" s="682">
        <f>IF($D273="","",MIN(終値!E273:I273))</f>
      </c>
      <c r="AE273" s="684">
        <f>IF($D273="","",$X273+(10000-ROW())/100000)</f>
      </c>
    </row>
    <row r="274">
      <c r="A274" s="681">
        <f>IF(終値!A274="","",HYPERLINK("https://kabutan.jp/stock/?code="&amp;終値!A274,"📈"))</f>
      </c>
      <c r="B274" s="681">
        <f>IF(終値!A274="","",終値!A274)</f>
      </c>
      <c r="C274" s="680">
        <f>IF(終値!A274="","",終値!B274)</f>
      </c>
      <c r="D274" s="682">
        <f>IF(終値!A274="","",終値!E274)</f>
      </c>
      <c r="E274" s="682">
        <f>IF($D274="","",AVERAGE(終値!E274:X274))</f>
      </c>
      <c r="F274" s="683">
        <f>IF($D274="","",STDEVP(終値!E274:X274))</f>
      </c>
      <c r="G274" s="682">
        <f>IF($D274="","",$E274+BB設定!$B$4*$F274)</f>
      </c>
      <c r="H274" s="682">
        <f>IF($D274="","",$E274+BB設定!$B$5*$F274)</f>
      </c>
      <c r="I274" s="682">
        <f>IF($D274="","",$E274-BB設定!$B$5*$F274)</f>
      </c>
      <c r="J274" s="682">
        <f>IF($D274="","",$E274-BB設定!$B$4*$F274)</f>
      </c>
      <c r="K274" s="687">
        <f>IF($D274="","",IFERROR(($D274-$J274)/($G274-$J274),""))</f>
      </c>
      <c r="L274" s="686">
        <f>IF($D274="","",IFERROR(($G274-$J274)/$E274*100,""))</f>
      </c>
      <c r="M274" s="686">
        <f>IF($D274="","",IFERROR(MIN(BB_帯幅!B274:AP274)*100,""))</f>
      </c>
      <c r="N274" s="681">
        <f>IF($L274="","",IF($L274&lt;=$M274*BB設定!$B$7,"スクイーズ★",IF($L274&lt;=$M274*1.3,"収縮","－")))</f>
      </c>
      <c r="O274" s="681">
        <f>IF($D274="","",IF($L274&gt;(4*STDEVP(終値!F274:Y274)/AVERAGE(終値!F274:Y274)*100),"拡大↑","縮小↓"))</f>
      </c>
      <c r="P274" s="681">
        <f>IF($D274="","",IF($D274&gt;$G274,"↑+2σ突破",IF($D274&lt;$J274,"↓-2σ割れ",IF($D274&gt;$H274,"+1σ上",IF($D274&lt;$I274,"-1σ下","バンド内")))))</f>
      </c>
      <c r="Q274" s="684">
        <f>IF($D274="","",IFERROR(100-100/(1+SUMPRODUCT((終値!E274:R274&gt;終値!F274:S274)*(終値!E274:R274-終値!F274:S274))/SUMPRODUCT((終値!E274:R274&lt;終値!F274:S274)*(終値!F274:S274-終値!E274:R274))),100))</f>
      </c>
      <c r="R274" s="684">
        <f>IF($D274="","",IFERROR(100-100/(1+SUMPRODUCT((((高値!E274:R274+安値!E274:R274+終値!E274:R274)/3)&gt;((高値!F274:S274+安値!F274:S274+終値!F274:S274)/3))*((高値!E274:R274+安値!E274:R274+終値!E274:R274)/3)*出来高!E274:R274)/SUMPRODUCT((((高値!E274:R274+安値!E274:R274+終値!E274:R274)/3)&lt;((高値!F274:S274+安値!F274:S274+終値!F274:S274)/3))*((高値!E274:R274+安値!E274:R274+終値!E274:R274)/3)*出来高!E274:R274)),50))</f>
      </c>
      <c r="S274" s="681">
        <f>IF($D274="","",IF(AND(終値!E274&lt;終値!O274,$Q274&gt;(IFERROR(100-100/(1+SUMPRODUCT((終値!O274:AB274&gt;終値!P274:AC274)*(終値!O274:AB274-終値!P274:AC274))/SUMPRODUCT((終値!O274:AB274&lt;終値!P274:AC274)*(終値!P274:AC274-終値!O274:AB274))),100))),"強気div▲",IF(AND(終値!E274&gt;終値!O274,$Q274&lt;(IFERROR(100-100/(1+SUMPRODUCT((終値!O274:AB274&gt;終値!P274:AC274)*(終値!O274:AB274-終値!P274:AC274))/SUMPRODUCT((終値!O274:AB274&lt;終値!P274:AC274)*(終値!P274:AC274-終値!O274:AB274))),100))),"弱気div▼","－")))</f>
      </c>
      <c r="T274" s="681">
        <f>IF($D274="","",IF($D274&gt;=$H274,"上walk▲",IF($D274&lt;=$I274,"下walk▼","－")))</f>
      </c>
      <c r="U274" s="681">
        <f>IF(終値!A274="","",BB_スイング!BT274)</f>
      </c>
      <c r="V274" s="689">
        <f>IF($D274="","",IFERROR(出来高!E274/AVERAGE(出来高!E274:I274),""))</f>
      </c>
      <c r="W274" s="690">
        <f>IF($D274="","",IF(AND($D274&gt;$G274,$O274="拡大↑",$L274&lt;=$M274*1.8),"◎スクイーズブレイク買",IF(AND($D274&gt;=$H274,$R274&gt;=BB設定!$B$10),"○順張り継続(walk)",IF(AND($S274="強気div▲",$D274&gt;$I274),"○反発(ダイバ)買",IF($U274="二番底W▲","△二番底買(確)",IF($U274="二番底W形成","△二番底形成",IF($D274&lt;$J274,"▼-2σ割れ危険",IF(AND($D274&gt;$E274,$K274&lt;0.6,$R274&gt;=50),"・押し目注目",IF($N274="スクイーズ★","☆スクイーズ監視","様子見")))))))))</f>
      </c>
      <c r="X274" s="685">
        <f>IF($D274="","",MIN(100,IF($L274&lt;=$M274*1.15,20,IF($L274&lt;=$M274*1.4,10,0))+IF($D274&gt;$G274,20,IF($D274&gt;$H274,12,IF($D274&gt;$E274,5,0)))+IF($O274="拡大↑",10,0)+IF($R274&gt;=80,15,IF($R274&gt;=60,10,IF($R274&gt;=50,5,0)))+IF(AND($Q274&gt;=50,$Q274&lt;=70),10,IF($Q274&gt;70,3,IF($Q274&gt;=40,5,0)))+IF($S274="強気div▲",15,0)+IF($T274="上walk▲",5,0)+IF($V274&gt;=2,5,IF($V274&gt;=1.5,3,0))))</f>
      </c>
      <c r="Y274" s="682">
        <f>IF($D274="","",$D274)</f>
      </c>
      <c r="Z274" s="682">
        <f>IF($D274="","",$H274)</f>
      </c>
      <c r="AA274" s="682">
        <f>IF($D274="","",IF($D274&gt;$E274,$E274,$AD274))</f>
      </c>
      <c r="AB274" s="682">
        <f>IF($D274="","",$G274)</f>
      </c>
      <c r="AC274" s="688">
        <f>IF($D274="","",IF(($Y274-$AA274)&lt;=0,"－",IFERROR(ROUND(MIN(20,($AB274-$Y274)/($Y274-$AA274)),2),"－")))</f>
      </c>
      <c r="AD274" s="682">
        <f>IF($D274="","",MIN(終値!E274:I274))</f>
      </c>
      <c r="AE274" s="684">
        <f>IF($D274="","",$X274+(10000-ROW())/100000)</f>
      </c>
    </row>
    <row r="275">
      <c r="A275" s="681">
        <f>IF(終値!A275="","",HYPERLINK("https://kabutan.jp/stock/?code="&amp;終値!A275,"📈"))</f>
      </c>
      <c r="B275" s="681">
        <f>IF(終値!A275="","",終値!A275)</f>
      </c>
      <c r="C275" s="680">
        <f>IF(終値!A275="","",終値!B275)</f>
      </c>
      <c r="D275" s="682">
        <f>IF(終値!A275="","",終値!E275)</f>
      </c>
      <c r="E275" s="682">
        <f>IF($D275="","",AVERAGE(終値!E275:X275))</f>
      </c>
      <c r="F275" s="683">
        <f>IF($D275="","",STDEVP(終値!E275:X275))</f>
      </c>
      <c r="G275" s="682">
        <f>IF($D275="","",$E275+BB設定!$B$4*$F275)</f>
      </c>
      <c r="H275" s="682">
        <f>IF($D275="","",$E275+BB設定!$B$5*$F275)</f>
      </c>
      <c r="I275" s="682">
        <f>IF($D275="","",$E275-BB設定!$B$5*$F275)</f>
      </c>
      <c r="J275" s="682">
        <f>IF($D275="","",$E275-BB設定!$B$4*$F275)</f>
      </c>
      <c r="K275" s="687">
        <f>IF($D275="","",IFERROR(($D275-$J275)/($G275-$J275),""))</f>
      </c>
      <c r="L275" s="686">
        <f>IF($D275="","",IFERROR(($G275-$J275)/$E275*100,""))</f>
      </c>
      <c r="M275" s="686">
        <f>IF($D275="","",IFERROR(MIN(BB_帯幅!B275:AP275)*100,""))</f>
      </c>
      <c r="N275" s="681">
        <f>IF($L275="","",IF($L275&lt;=$M275*BB設定!$B$7,"スクイーズ★",IF($L275&lt;=$M275*1.3,"収縮","－")))</f>
      </c>
      <c r="O275" s="681">
        <f>IF($D275="","",IF($L275&gt;(4*STDEVP(終値!F275:Y275)/AVERAGE(終値!F275:Y275)*100),"拡大↑","縮小↓"))</f>
      </c>
      <c r="P275" s="681">
        <f>IF($D275="","",IF($D275&gt;$G275,"↑+2σ突破",IF($D275&lt;$J275,"↓-2σ割れ",IF($D275&gt;$H275,"+1σ上",IF($D275&lt;$I275,"-1σ下","バンド内")))))</f>
      </c>
      <c r="Q275" s="684">
        <f>IF($D275="","",IFERROR(100-100/(1+SUMPRODUCT((終値!E275:R275&gt;終値!F275:S275)*(終値!E275:R275-終値!F275:S275))/SUMPRODUCT((終値!E275:R275&lt;終値!F275:S275)*(終値!F275:S275-終値!E275:R275))),100))</f>
      </c>
      <c r="R275" s="684">
        <f>IF($D275="","",IFERROR(100-100/(1+SUMPRODUCT((((高値!E275:R275+安値!E275:R275+終値!E275:R275)/3)&gt;((高値!F275:S275+安値!F275:S275+終値!F275:S275)/3))*((高値!E275:R275+安値!E275:R275+終値!E275:R275)/3)*出来高!E275:R275)/SUMPRODUCT((((高値!E275:R275+安値!E275:R275+終値!E275:R275)/3)&lt;((高値!F275:S275+安値!F275:S275+終値!F275:S275)/3))*((高値!E275:R275+安値!E275:R275+終値!E275:R275)/3)*出来高!E275:R275)),50))</f>
      </c>
      <c r="S275" s="681">
        <f>IF($D275="","",IF(AND(終値!E275&lt;終値!O275,$Q275&gt;(IFERROR(100-100/(1+SUMPRODUCT((終値!O275:AB275&gt;終値!P275:AC275)*(終値!O275:AB275-終値!P275:AC275))/SUMPRODUCT((終値!O275:AB275&lt;終値!P275:AC275)*(終値!P275:AC275-終値!O275:AB275))),100))),"強気div▲",IF(AND(終値!E275&gt;終値!O275,$Q275&lt;(IFERROR(100-100/(1+SUMPRODUCT((終値!O275:AB275&gt;終値!P275:AC275)*(終値!O275:AB275-終値!P275:AC275))/SUMPRODUCT((終値!O275:AB275&lt;終値!P275:AC275)*(終値!P275:AC275-終値!O275:AB275))),100))),"弱気div▼","－")))</f>
      </c>
      <c r="T275" s="681">
        <f>IF($D275="","",IF($D275&gt;=$H275,"上walk▲",IF($D275&lt;=$I275,"下walk▼","－")))</f>
      </c>
      <c r="U275" s="681">
        <f>IF(終値!A275="","",BB_スイング!BT275)</f>
      </c>
      <c r="V275" s="689">
        <f>IF($D275="","",IFERROR(出来高!E275/AVERAGE(出来高!E275:I275),""))</f>
      </c>
      <c r="W275" s="690">
        <f>IF($D275="","",IF(AND($D275&gt;$G275,$O275="拡大↑",$L275&lt;=$M275*1.8),"◎スクイーズブレイク買",IF(AND($D275&gt;=$H275,$R275&gt;=BB設定!$B$10),"○順張り継続(walk)",IF(AND($S275="強気div▲",$D275&gt;$I275),"○反発(ダイバ)買",IF($U275="二番底W▲","△二番底買(確)",IF($U275="二番底W形成","△二番底形成",IF($D275&lt;$J275,"▼-2σ割れ危険",IF(AND($D275&gt;$E275,$K275&lt;0.6,$R275&gt;=50),"・押し目注目",IF($N275="スクイーズ★","☆スクイーズ監視","様子見")))))))))</f>
      </c>
      <c r="X275" s="685">
        <f>IF($D275="","",MIN(100,IF($L275&lt;=$M275*1.15,20,IF($L275&lt;=$M275*1.4,10,0))+IF($D275&gt;$G275,20,IF($D275&gt;$H275,12,IF($D275&gt;$E275,5,0)))+IF($O275="拡大↑",10,0)+IF($R275&gt;=80,15,IF($R275&gt;=60,10,IF($R275&gt;=50,5,0)))+IF(AND($Q275&gt;=50,$Q275&lt;=70),10,IF($Q275&gt;70,3,IF($Q275&gt;=40,5,0)))+IF($S275="強気div▲",15,0)+IF($T275="上walk▲",5,0)+IF($V275&gt;=2,5,IF($V275&gt;=1.5,3,0))))</f>
      </c>
      <c r="Y275" s="682">
        <f>IF($D275="","",$D275)</f>
      </c>
      <c r="Z275" s="682">
        <f>IF($D275="","",$H275)</f>
      </c>
      <c r="AA275" s="682">
        <f>IF($D275="","",IF($D275&gt;$E275,$E275,$AD275))</f>
      </c>
      <c r="AB275" s="682">
        <f>IF($D275="","",$G275)</f>
      </c>
      <c r="AC275" s="688">
        <f>IF($D275="","",IF(($Y275-$AA275)&lt;=0,"－",IFERROR(ROUND(MIN(20,($AB275-$Y275)/($Y275-$AA275)),2),"－")))</f>
      </c>
      <c r="AD275" s="682">
        <f>IF($D275="","",MIN(終値!E275:I275))</f>
      </c>
      <c r="AE275" s="684">
        <f>IF($D275="","",$X275+(10000-ROW())/100000)</f>
      </c>
    </row>
    <row r="276">
      <c r="A276" s="681">
        <f>IF(終値!A276="","",HYPERLINK("https://kabutan.jp/stock/?code="&amp;終値!A276,"📈"))</f>
      </c>
      <c r="B276" s="681">
        <f>IF(終値!A276="","",終値!A276)</f>
      </c>
      <c r="C276" s="680">
        <f>IF(終値!A276="","",終値!B276)</f>
      </c>
      <c r="D276" s="682">
        <f>IF(終値!A276="","",終値!E276)</f>
      </c>
      <c r="E276" s="682">
        <f>IF($D276="","",AVERAGE(終値!E276:X276))</f>
      </c>
      <c r="F276" s="683">
        <f>IF($D276="","",STDEVP(終値!E276:X276))</f>
      </c>
      <c r="G276" s="682">
        <f>IF($D276="","",$E276+BB設定!$B$4*$F276)</f>
      </c>
      <c r="H276" s="682">
        <f>IF($D276="","",$E276+BB設定!$B$5*$F276)</f>
      </c>
      <c r="I276" s="682">
        <f>IF($D276="","",$E276-BB設定!$B$5*$F276)</f>
      </c>
      <c r="J276" s="682">
        <f>IF($D276="","",$E276-BB設定!$B$4*$F276)</f>
      </c>
      <c r="K276" s="687">
        <f>IF($D276="","",IFERROR(($D276-$J276)/($G276-$J276),""))</f>
      </c>
      <c r="L276" s="686">
        <f>IF($D276="","",IFERROR(($G276-$J276)/$E276*100,""))</f>
      </c>
      <c r="M276" s="686">
        <f>IF($D276="","",IFERROR(MIN(BB_帯幅!B276:AP276)*100,""))</f>
      </c>
      <c r="N276" s="681">
        <f>IF($L276="","",IF($L276&lt;=$M276*BB設定!$B$7,"スクイーズ★",IF($L276&lt;=$M276*1.3,"収縮","－")))</f>
      </c>
      <c r="O276" s="681">
        <f>IF($D276="","",IF($L276&gt;(4*STDEVP(終値!F276:Y276)/AVERAGE(終値!F276:Y276)*100),"拡大↑","縮小↓"))</f>
      </c>
      <c r="P276" s="681">
        <f>IF($D276="","",IF($D276&gt;$G276,"↑+2σ突破",IF($D276&lt;$J276,"↓-2σ割れ",IF($D276&gt;$H276,"+1σ上",IF($D276&lt;$I276,"-1σ下","バンド内")))))</f>
      </c>
      <c r="Q276" s="684">
        <f>IF($D276="","",IFERROR(100-100/(1+SUMPRODUCT((終値!E276:R276&gt;終値!F276:S276)*(終値!E276:R276-終値!F276:S276))/SUMPRODUCT((終値!E276:R276&lt;終値!F276:S276)*(終値!F276:S276-終値!E276:R276))),100))</f>
      </c>
      <c r="R276" s="684">
        <f>IF($D276="","",IFERROR(100-100/(1+SUMPRODUCT((((高値!E276:R276+安値!E276:R276+終値!E276:R276)/3)&gt;((高値!F276:S276+安値!F276:S276+終値!F276:S276)/3))*((高値!E276:R276+安値!E276:R276+終値!E276:R276)/3)*出来高!E276:R276)/SUMPRODUCT((((高値!E276:R276+安値!E276:R276+終値!E276:R276)/3)&lt;((高値!F276:S276+安値!F276:S276+終値!F276:S276)/3))*((高値!E276:R276+安値!E276:R276+終値!E276:R276)/3)*出来高!E276:R276)),50))</f>
      </c>
      <c r="S276" s="681">
        <f>IF($D276="","",IF(AND(終値!E276&lt;終値!O276,$Q276&gt;(IFERROR(100-100/(1+SUMPRODUCT((終値!O276:AB276&gt;終値!P276:AC276)*(終値!O276:AB276-終値!P276:AC276))/SUMPRODUCT((終値!O276:AB276&lt;終値!P276:AC276)*(終値!P276:AC276-終値!O276:AB276))),100))),"強気div▲",IF(AND(終値!E276&gt;終値!O276,$Q276&lt;(IFERROR(100-100/(1+SUMPRODUCT((終値!O276:AB276&gt;終値!P276:AC276)*(終値!O276:AB276-終値!P276:AC276))/SUMPRODUCT((終値!O276:AB276&lt;終値!P276:AC276)*(終値!P276:AC276-終値!O276:AB276))),100))),"弱気div▼","－")))</f>
      </c>
      <c r="T276" s="681">
        <f>IF($D276="","",IF($D276&gt;=$H276,"上walk▲",IF($D276&lt;=$I276,"下walk▼","－")))</f>
      </c>
      <c r="U276" s="681">
        <f>IF(終値!A276="","",BB_スイング!BT276)</f>
      </c>
      <c r="V276" s="689">
        <f>IF($D276="","",IFERROR(出来高!E276/AVERAGE(出来高!E276:I276),""))</f>
      </c>
      <c r="W276" s="690">
        <f>IF($D276="","",IF(AND($D276&gt;$G276,$O276="拡大↑",$L276&lt;=$M276*1.8),"◎スクイーズブレイク買",IF(AND($D276&gt;=$H276,$R276&gt;=BB設定!$B$10),"○順張り継続(walk)",IF(AND($S276="強気div▲",$D276&gt;$I276),"○反発(ダイバ)買",IF($U276="二番底W▲","△二番底買(確)",IF($U276="二番底W形成","△二番底形成",IF($D276&lt;$J276,"▼-2σ割れ危険",IF(AND($D276&gt;$E276,$K276&lt;0.6,$R276&gt;=50),"・押し目注目",IF($N276="スクイーズ★","☆スクイーズ監視","様子見")))))))))</f>
      </c>
      <c r="X276" s="685">
        <f>IF($D276="","",MIN(100,IF($L276&lt;=$M276*1.15,20,IF($L276&lt;=$M276*1.4,10,0))+IF($D276&gt;$G276,20,IF($D276&gt;$H276,12,IF($D276&gt;$E276,5,0)))+IF($O276="拡大↑",10,0)+IF($R276&gt;=80,15,IF($R276&gt;=60,10,IF($R276&gt;=50,5,0)))+IF(AND($Q276&gt;=50,$Q276&lt;=70),10,IF($Q276&gt;70,3,IF($Q276&gt;=40,5,0)))+IF($S276="強気div▲",15,0)+IF($T276="上walk▲",5,0)+IF($V276&gt;=2,5,IF($V276&gt;=1.5,3,0))))</f>
      </c>
      <c r="Y276" s="682">
        <f>IF($D276="","",$D276)</f>
      </c>
      <c r="Z276" s="682">
        <f>IF($D276="","",$H276)</f>
      </c>
      <c r="AA276" s="682">
        <f>IF($D276="","",IF($D276&gt;$E276,$E276,$AD276))</f>
      </c>
      <c r="AB276" s="682">
        <f>IF($D276="","",$G276)</f>
      </c>
      <c r="AC276" s="688">
        <f>IF($D276="","",IF(($Y276-$AA276)&lt;=0,"－",IFERROR(ROUND(MIN(20,($AB276-$Y276)/($Y276-$AA276)),2),"－")))</f>
      </c>
      <c r="AD276" s="682">
        <f>IF($D276="","",MIN(終値!E276:I276))</f>
      </c>
      <c r="AE276" s="684">
        <f>IF($D276="","",$X276+(10000-ROW())/100000)</f>
      </c>
    </row>
    <row r="277">
      <c r="A277" s="681">
        <f>IF(終値!A277="","",HYPERLINK("https://kabutan.jp/stock/?code="&amp;終値!A277,"📈"))</f>
      </c>
      <c r="B277" s="681">
        <f>IF(終値!A277="","",終値!A277)</f>
      </c>
      <c r="C277" s="680">
        <f>IF(終値!A277="","",終値!B277)</f>
      </c>
      <c r="D277" s="682">
        <f>IF(終値!A277="","",終値!E277)</f>
      </c>
      <c r="E277" s="682">
        <f>IF($D277="","",AVERAGE(終値!E277:X277))</f>
      </c>
      <c r="F277" s="683">
        <f>IF($D277="","",STDEVP(終値!E277:X277))</f>
      </c>
      <c r="G277" s="682">
        <f>IF($D277="","",$E277+BB設定!$B$4*$F277)</f>
      </c>
      <c r="H277" s="682">
        <f>IF($D277="","",$E277+BB設定!$B$5*$F277)</f>
      </c>
      <c r="I277" s="682">
        <f>IF($D277="","",$E277-BB設定!$B$5*$F277)</f>
      </c>
      <c r="J277" s="682">
        <f>IF($D277="","",$E277-BB設定!$B$4*$F277)</f>
      </c>
      <c r="K277" s="687">
        <f>IF($D277="","",IFERROR(($D277-$J277)/($G277-$J277),""))</f>
      </c>
      <c r="L277" s="686">
        <f>IF($D277="","",IFERROR(($G277-$J277)/$E277*100,""))</f>
      </c>
      <c r="M277" s="686">
        <f>IF($D277="","",IFERROR(MIN(BB_帯幅!B277:AP277)*100,""))</f>
      </c>
      <c r="N277" s="681">
        <f>IF($L277="","",IF($L277&lt;=$M277*BB設定!$B$7,"スクイーズ★",IF($L277&lt;=$M277*1.3,"収縮","－")))</f>
      </c>
      <c r="O277" s="681">
        <f>IF($D277="","",IF($L277&gt;(4*STDEVP(終値!F277:Y277)/AVERAGE(終値!F277:Y277)*100),"拡大↑","縮小↓"))</f>
      </c>
      <c r="P277" s="681">
        <f>IF($D277="","",IF($D277&gt;$G277,"↑+2σ突破",IF($D277&lt;$J277,"↓-2σ割れ",IF($D277&gt;$H277,"+1σ上",IF($D277&lt;$I277,"-1σ下","バンド内")))))</f>
      </c>
      <c r="Q277" s="684">
        <f>IF($D277="","",IFERROR(100-100/(1+SUMPRODUCT((終値!E277:R277&gt;終値!F277:S277)*(終値!E277:R277-終値!F277:S277))/SUMPRODUCT((終値!E277:R277&lt;終値!F277:S277)*(終値!F277:S277-終値!E277:R277))),100))</f>
      </c>
      <c r="R277" s="684">
        <f>IF($D277="","",IFERROR(100-100/(1+SUMPRODUCT((((高値!E277:R277+安値!E277:R277+終値!E277:R277)/3)&gt;((高値!F277:S277+安値!F277:S277+終値!F277:S277)/3))*((高値!E277:R277+安値!E277:R277+終値!E277:R277)/3)*出来高!E277:R277)/SUMPRODUCT((((高値!E277:R277+安値!E277:R277+終値!E277:R277)/3)&lt;((高値!F277:S277+安値!F277:S277+終値!F277:S277)/3))*((高値!E277:R277+安値!E277:R277+終値!E277:R277)/3)*出来高!E277:R277)),50))</f>
      </c>
      <c r="S277" s="681">
        <f>IF($D277="","",IF(AND(終値!E277&lt;終値!O277,$Q277&gt;(IFERROR(100-100/(1+SUMPRODUCT((終値!O277:AB277&gt;終値!P277:AC277)*(終値!O277:AB277-終値!P277:AC277))/SUMPRODUCT((終値!O277:AB277&lt;終値!P277:AC277)*(終値!P277:AC277-終値!O277:AB277))),100))),"強気div▲",IF(AND(終値!E277&gt;終値!O277,$Q277&lt;(IFERROR(100-100/(1+SUMPRODUCT((終値!O277:AB277&gt;終値!P277:AC277)*(終値!O277:AB277-終値!P277:AC277))/SUMPRODUCT((終値!O277:AB277&lt;終値!P277:AC277)*(終値!P277:AC277-終値!O277:AB277))),100))),"弱気div▼","－")))</f>
      </c>
      <c r="T277" s="681">
        <f>IF($D277="","",IF($D277&gt;=$H277,"上walk▲",IF($D277&lt;=$I277,"下walk▼","－")))</f>
      </c>
      <c r="U277" s="681">
        <f>IF(終値!A277="","",BB_スイング!BT277)</f>
      </c>
      <c r="V277" s="689">
        <f>IF($D277="","",IFERROR(出来高!E277/AVERAGE(出来高!E277:I277),""))</f>
      </c>
      <c r="W277" s="690">
        <f>IF($D277="","",IF(AND($D277&gt;$G277,$O277="拡大↑",$L277&lt;=$M277*1.8),"◎スクイーズブレイク買",IF(AND($D277&gt;=$H277,$R277&gt;=BB設定!$B$10),"○順張り継続(walk)",IF(AND($S277="強気div▲",$D277&gt;$I277),"○反発(ダイバ)買",IF($U277="二番底W▲","△二番底買(確)",IF($U277="二番底W形成","△二番底形成",IF($D277&lt;$J277,"▼-2σ割れ危険",IF(AND($D277&gt;$E277,$K277&lt;0.6,$R277&gt;=50),"・押し目注目",IF($N277="スクイーズ★","☆スクイーズ監視","様子見")))))))))</f>
      </c>
      <c r="X277" s="685">
        <f>IF($D277="","",MIN(100,IF($L277&lt;=$M277*1.15,20,IF($L277&lt;=$M277*1.4,10,0))+IF($D277&gt;$G277,20,IF($D277&gt;$H277,12,IF($D277&gt;$E277,5,0)))+IF($O277="拡大↑",10,0)+IF($R277&gt;=80,15,IF($R277&gt;=60,10,IF($R277&gt;=50,5,0)))+IF(AND($Q277&gt;=50,$Q277&lt;=70),10,IF($Q277&gt;70,3,IF($Q277&gt;=40,5,0)))+IF($S277="強気div▲",15,0)+IF($T277="上walk▲",5,0)+IF($V277&gt;=2,5,IF($V277&gt;=1.5,3,0))))</f>
      </c>
      <c r="Y277" s="682">
        <f>IF($D277="","",$D277)</f>
      </c>
      <c r="Z277" s="682">
        <f>IF($D277="","",$H277)</f>
      </c>
      <c r="AA277" s="682">
        <f>IF($D277="","",IF($D277&gt;$E277,$E277,$AD277))</f>
      </c>
      <c r="AB277" s="682">
        <f>IF($D277="","",$G277)</f>
      </c>
      <c r="AC277" s="688">
        <f>IF($D277="","",IF(($Y277-$AA277)&lt;=0,"－",IFERROR(ROUND(MIN(20,($AB277-$Y277)/($Y277-$AA277)),2),"－")))</f>
      </c>
      <c r="AD277" s="682">
        <f>IF($D277="","",MIN(終値!E277:I277))</f>
      </c>
      <c r="AE277" s="684">
        <f>IF($D277="","",$X277+(10000-ROW())/100000)</f>
      </c>
    </row>
    <row r="278">
      <c r="A278" s="681">
        <f>IF(終値!A278="","",HYPERLINK("https://kabutan.jp/stock/?code="&amp;終値!A278,"📈"))</f>
      </c>
      <c r="B278" s="681">
        <f>IF(終値!A278="","",終値!A278)</f>
      </c>
      <c r="C278" s="680">
        <f>IF(終値!A278="","",終値!B278)</f>
      </c>
      <c r="D278" s="682">
        <f>IF(終値!A278="","",終値!E278)</f>
      </c>
      <c r="E278" s="682">
        <f>IF($D278="","",AVERAGE(終値!E278:X278))</f>
      </c>
      <c r="F278" s="683">
        <f>IF($D278="","",STDEVP(終値!E278:X278))</f>
      </c>
      <c r="G278" s="682">
        <f>IF($D278="","",$E278+BB設定!$B$4*$F278)</f>
      </c>
      <c r="H278" s="682">
        <f>IF($D278="","",$E278+BB設定!$B$5*$F278)</f>
      </c>
      <c r="I278" s="682">
        <f>IF($D278="","",$E278-BB設定!$B$5*$F278)</f>
      </c>
      <c r="J278" s="682">
        <f>IF($D278="","",$E278-BB設定!$B$4*$F278)</f>
      </c>
      <c r="K278" s="687">
        <f>IF($D278="","",IFERROR(($D278-$J278)/($G278-$J278),""))</f>
      </c>
      <c r="L278" s="686">
        <f>IF($D278="","",IFERROR(($G278-$J278)/$E278*100,""))</f>
      </c>
      <c r="M278" s="686">
        <f>IF($D278="","",IFERROR(MIN(BB_帯幅!B278:AP278)*100,""))</f>
      </c>
      <c r="N278" s="681">
        <f>IF($L278="","",IF($L278&lt;=$M278*BB設定!$B$7,"スクイーズ★",IF($L278&lt;=$M278*1.3,"収縮","－")))</f>
      </c>
      <c r="O278" s="681">
        <f>IF($D278="","",IF($L278&gt;(4*STDEVP(終値!F278:Y278)/AVERAGE(終値!F278:Y278)*100),"拡大↑","縮小↓"))</f>
      </c>
      <c r="P278" s="681">
        <f>IF($D278="","",IF($D278&gt;$G278,"↑+2σ突破",IF($D278&lt;$J278,"↓-2σ割れ",IF($D278&gt;$H278,"+1σ上",IF($D278&lt;$I278,"-1σ下","バンド内")))))</f>
      </c>
      <c r="Q278" s="684">
        <f>IF($D278="","",IFERROR(100-100/(1+SUMPRODUCT((終値!E278:R278&gt;終値!F278:S278)*(終値!E278:R278-終値!F278:S278))/SUMPRODUCT((終値!E278:R278&lt;終値!F278:S278)*(終値!F278:S278-終値!E278:R278))),100))</f>
      </c>
      <c r="R278" s="684">
        <f>IF($D278="","",IFERROR(100-100/(1+SUMPRODUCT((((高値!E278:R278+安値!E278:R278+終値!E278:R278)/3)&gt;((高値!F278:S278+安値!F278:S278+終値!F278:S278)/3))*((高値!E278:R278+安値!E278:R278+終値!E278:R278)/3)*出来高!E278:R278)/SUMPRODUCT((((高値!E278:R278+安値!E278:R278+終値!E278:R278)/3)&lt;((高値!F278:S278+安値!F278:S278+終値!F278:S278)/3))*((高値!E278:R278+安値!E278:R278+終値!E278:R278)/3)*出来高!E278:R278)),50))</f>
      </c>
      <c r="S278" s="681">
        <f>IF($D278="","",IF(AND(終値!E278&lt;終値!O278,$Q278&gt;(IFERROR(100-100/(1+SUMPRODUCT((終値!O278:AB278&gt;終値!P278:AC278)*(終値!O278:AB278-終値!P278:AC278))/SUMPRODUCT((終値!O278:AB278&lt;終値!P278:AC278)*(終値!P278:AC278-終値!O278:AB278))),100))),"強気div▲",IF(AND(終値!E278&gt;終値!O278,$Q278&lt;(IFERROR(100-100/(1+SUMPRODUCT((終値!O278:AB278&gt;終値!P278:AC278)*(終値!O278:AB278-終値!P278:AC278))/SUMPRODUCT((終値!O278:AB278&lt;終値!P278:AC278)*(終値!P278:AC278-終値!O278:AB278))),100))),"弱気div▼","－")))</f>
      </c>
      <c r="T278" s="681">
        <f>IF($D278="","",IF($D278&gt;=$H278,"上walk▲",IF($D278&lt;=$I278,"下walk▼","－")))</f>
      </c>
      <c r="U278" s="681">
        <f>IF(終値!A278="","",BB_スイング!BT278)</f>
      </c>
      <c r="V278" s="689">
        <f>IF($D278="","",IFERROR(出来高!E278/AVERAGE(出来高!E278:I278),""))</f>
      </c>
      <c r="W278" s="690">
        <f>IF($D278="","",IF(AND($D278&gt;$G278,$O278="拡大↑",$L278&lt;=$M278*1.8),"◎スクイーズブレイク買",IF(AND($D278&gt;=$H278,$R278&gt;=BB設定!$B$10),"○順張り継続(walk)",IF(AND($S278="強気div▲",$D278&gt;$I278),"○反発(ダイバ)買",IF($U278="二番底W▲","△二番底買(確)",IF($U278="二番底W形成","△二番底形成",IF($D278&lt;$J278,"▼-2σ割れ危険",IF(AND($D278&gt;$E278,$K278&lt;0.6,$R278&gt;=50),"・押し目注目",IF($N278="スクイーズ★","☆スクイーズ監視","様子見")))))))))</f>
      </c>
      <c r="X278" s="685">
        <f>IF($D278="","",MIN(100,IF($L278&lt;=$M278*1.15,20,IF($L278&lt;=$M278*1.4,10,0))+IF($D278&gt;$G278,20,IF($D278&gt;$H278,12,IF($D278&gt;$E278,5,0)))+IF($O278="拡大↑",10,0)+IF($R278&gt;=80,15,IF($R278&gt;=60,10,IF($R278&gt;=50,5,0)))+IF(AND($Q278&gt;=50,$Q278&lt;=70),10,IF($Q278&gt;70,3,IF($Q278&gt;=40,5,0)))+IF($S278="強気div▲",15,0)+IF($T278="上walk▲",5,0)+IF($V278&gt;=2,5,IF($V278&gt;=1.5,3,0))))</f>
      </c>
      <c r="Y278" s="682">
        <f>IF($D278="","",$D278)</f>
      </c>
      <c r="Z278" s="682">
        <f>IF($D278="","",$H278)</f>
      </c>
      <c r="AA278" s="682">
        <f>IF($D278="","",IF($D278&gt;$E278,$E278,$AD278))</f>
      </c>
      <c r="AB278" s="682">
        <f>IF($D278="","",$G278)</f>
      </c>
      <c r="AC278" s="688">
        <f>IF($D278="","",IF(($Y278-$AA278)&lt;=0,"－",IFERROR(ROUND(MIN(20,($AB278-$Y278)/($Y278-$AA278)),2),"－")))</f>
      </c>
      <c r="AD278" s="682">
        <f>IF($D278="","",MIN(終値!E278:I278))</f>
      </c>
      <c r="AE278" s="684">
        <f>IF($D278="","",$X278+(10000-ROW())/100000)</f>
      </c>
    </row>
    <row r="279">
      <c r="A279" s="681">
        <f>IF(終値!A279="","",HYPERLINK("https://kabutan.jp/stock/?code="&amp;終値!A279,"📈"))</f>
      </c>
      <c r="B279" s="681">
        <f>IF(終値!A279="","",終値!A279)</f>
      </c>
      <c r="C279" s="680">
        <f>IF(終値!A279="","",終値!B279)</f>
      </c>
      <c r="D279" s="682">
        <f>IF(終値!A279="","",終値!E279)</f>
      </c>
      <c r="E279" s="682">
        <f>IF($D279="","",AVERAGE(終値!E279:X279))</f>
      </c>
      <c r="F279" s="683">
        <f>IF($D279="","",STDEVP(終値!E279:X279))</f>
      </c>
      <c r="G279" s="682">
        <f>IF($D279="","",$E279+BB設定!$B$4*$F279)</f>
      </c>
      <c r="H279" s="682">
        <f>IF($D279="","",$E279+BB設定!$B$5*$F279)</f>
      </c>
      <c r="I279" s="682">
        <f>IF($D279="","",$E279-BB設定!$B$5*$F279)</f>
      </c>
      <c r="J279" s="682">
        <f>IF($D279="","",$E279-BB設定!$B$4*$F279)</f>
      </c>
      <c r="K279" s="687">
        <f>IF($D279="","",IFERROR(($D279-$J279)/($G279-$J279),""))</f>
      </c>
      <c r="L279" s="686">
        <f>IF($D279="","",IFERROR(($G279-$J279)/$E279*100,""))</f>
      </c>
      <c r="M279" s="686">
        <f>IF($D279="","",IFERROR(MIN(BB_帯幅!B279:AP279)*100,""))</f>
      </c>
      <c r="N279" s="681">
        <f>IF($L279="","",IF($L279&lt;=$M279*BB設定!$B$7,"スクイーズ★",IF($L279&lt;=$M279*1.3,"収縮","－")))</f>
      </c>
      <c r="O279" s="681">
        <f>IF($D279="","",IF($L279&gt;(4*STDEVP(終値!F279:Y279)/AVERAGE(終値!F279:Y279)*100),"拡大↑","縮小↓"))</f>
      </c>
      <c r="P279" s="681">
        <f>IF($D279="","",IF($D279&gt;$G279,"↑+2σ突破",IF($D279&lt;$J279,"↓-2σ割れ",IF($D279&gt;$H279,"+1σ上",IF($D279&lt;$I279,"-1σ下","バンド内")))))</f>
      </c>
      <c r="Q279" s="684">
        <f>IF($D279="","",IFERROR(100-100/(1+SUMPRODUCT((終値!E279:R279&gt;終値!F279:S279)*(終値!E279:R279-終値!F279:S279))/SUMPRODUCT((終値!E279:R279&lt;終値!F279:S279)*(終値!F279:S279-終値!E279:R279))),100))</f>
      </c>
      <c r="R279" s="684">
        <f>IF($D279="","",IFERROR(100-100/(1+SUMPRODUCT((((高値!E279:R279+安値!E279:R279+終値!E279:R279)/3)&gt;((高値!F279:S279+安値!F279:S279+終値!F279:S279)/3))*((高値!E279:R279+安値!E279:R279+終値!E279:R279)/3)*出来高!E279:R279)/SUMPRODUCT((((高値!E279:R279+安値!E279:R279+終値!E279:R279)/3)&lt;((高値!F279:S279+安値!F279:S279+終値!F279:S279)/3))*((高値!E279:R279+安値!E279:R279+終値!E279:R279)/3)*出来高!E279:R279)),50))</f>
      </c>
      <c r="S279" s="681">
        <f>IF($D279="","",IF(AND(終値!E279&lt;終値!O279,$Q279&gt;(IFERROR(100-100/(1+SUMPRODUCT((終値!O279:AB279&gt;終値!P279:AC279)*(終値!O279:AB279-終値!P279:AC279))/SUMPRODUCT((終値!O279:AB279&lt;終値!P279:AC279)*(終値!P279:AC279-終値!O279:AB279))),100))),"強気div▲",IF(AND(終値!E279&gt;終値!O279,$Q279&lt;(IFERROR(100-100/(1+SUMPRODUCT((終値!O279:AB279&gt;終値!P279:AC279)*(終値!O279:AB279-終値!P279:AC279))/SUMPRODUCT((終値!O279:AB279&lt;終値!P279:AC279)*(終値!P279:AC279-終値!O279:AB279))),100))),"弱気div▼","－")))</f>
      </c>
      <c r="T279" s="681">
        <f>IF($D279="","",IF($D279&gt;=$H279,"上walk▲",IF($D279&lt;=$I279,"下walk▼","－")))</f>
      </c>
      <c r="U279" s="681">
        <f>IF(終値!A279="","",BB_スイング!BT279)</f>
      </c>
      <c r="V279" s="689">
        <f>IF($D279="","",IFERROR(出来高!E279/AVERAGE(出来高!E279:I279),""))</f>
      </c>
      <c r="W279" s="690">
        <f>IF($D279="","",IF(AND($D279&gt;$G279,$O279="拡大↑",$L279&lt;=$M279*1.8),"◎スクイーズブレイク買",IF(AND($D279&gt;=$H279,$R279&gt;=BB設定!$B$10),"○順張り継続(walk)",IF(AND($S279="強気div▲",$D279&gt;$I279),"○反発(ダイバ)買",IF($U279="二番底W▲","△二番底買(確)",IF($U279="二番底W形成","△二番底形成",IF($D279&lt;$J279,"▼-2σ割れ危険",IF(AND($D279&gt;$E279,$K279&lt;0.6,$R279&gt;=50),"・押し目注目",IF($N279="スクイーズ★","☆スクイーズ監視","様子見")))))))))</f>
      </c>
      <c r="X279" s="685">
        <f>IF($D279="","",MIN(100,IF($L279&lt;=$M279*1.15,20,IF($L279&lt;=$M279*1.4,10,0))+IF($D279&gt;$G279,20,IF($D279&gt;$H279,12,IF($D279&gt;$E279,5,0)))+IF($O279="拡大↑",10,0)+IF($R279&gt;=80,15,IF($R279&gt;=60,10,IF($R279&gt;=50,5,0)))+IF(AND($Q279&gt;=50,$Q279&lt;=70),10,IF($Q279&gt;70,3,IF($Q279&gt;=40,5,0)))+IF($S279="強気div▲",15,0)+IF($T279="上walk▲",5,0)+IF($V279&gt;=2,5,IF($V279&gt;=1.5,3,0))))</f>
      </c>
      <c r="Y279" s="682">
        <f>IF($D279="","",$D279)</f>
      </c>
      <c r="Z279" s="682">
        <f>IF($D279="","",$H279)</f>
      </c>
      <c r="AA279" s="682">
        <f>IF($D279="","",IF($D279&gt;$E279,$E279,$AD279))</f>
      </c>
      <c r="AB279" s="682">
        <f>IF($D279="","",$G279)</f>
      </c>
      <c r="AC279" s="688">
        <f>IF($D279="","",IF(($Y279-$AA279)&lt;=0,"－",IFERROR(ROUND(MIN(20,($AB279-$Y279)/($Y279-$AA279)),2),"－")))</f>
      </c>
      <c r="AD279" s="682">
        <f>IF($D279="","",MIN(終値!E279:I279))</f>
      </c>
      <c r="AE279" s="684">
        <f>IF($D279="","",$X279+(10000-ROW())/100000)</f>
      </c>
    </row>
    <row r="280">
      <c r="A280" s="681">
        <f>IF(終値!A280="","",HYPERLINK("https://kabutan.jp/stock/?code="&amp;終値!A280,"📈"))</f>
      </c>
      <c r="B280" s="681">
        <f>IF(終値!A280="","",終値!A280)</f>
      </c>
      <c r="C280" s="680">
        <f>IF(終値!A280="","",終値!B280)</f>
      </c>
      <c r="D280" s="682">
        <f>IF(終値!A280="","",終値!E280)</f>
      </c>
      <c r="E280" s="682">
        <f>IF($D280="","",AVERAGE(終値!E280:X280))</f>
      </c>
      <c r="F280" s="683">
        <f>IF($D280="","",STDEVP(終値!E280:X280))</f>
      </c>
      <c r="G280" s="682">
        <f>IF($D280="","",$E280+BB設定!$B$4*$F280)</f>
      </c>
      <c r="H280" s="682">
        <f>IF($D280="","",$E280+BB設定!$B$5*$F280)</f>
      </c>
      <c r="I280" s="682">
        <f>IF($D280="","",$E280-BB設定!$B$5*$F280)</f>
      </c>
      <c r="J280" s="682">
        <f>IF($D280="","",$E280-BB設定!$B$4*$F280)</f>
      </c>
      <c r="K280" s="687">
        <f>IF($D280="","",IFERROR(($D280-$J280)/($G280-$J280),""))</f>
      </c>
      <c r="L280" s="686">
        <f>IF($D280="","",IFERROR(($G280-$J280)/$E280*100,""))</f>
      </c>
      <c r="M280" s="686">
        <f>IF($D280="","",IFERROR(MIN(BB_帯幅!B280:AP280)*100,""))</f>
      </c>
      <c r="N280" s="681">
        <f>IF($L280="","",IF($L280&lt;=$M280*BB設定!$B$7,"スクイーズ★",IF($L280&lt;=$M280*1.3,"収縮","－")))</f>
      </c>
      <c r="O280" s="681">
        <f>IF($D280="","",IF($L280&gt;(4*STDEVP(終値!F280:Y280)/AVERAGE(終値!F280:Y280)*100),"拡大↑","縮小↓"))</f>
      </c>
      <c r="P280" s="681">
        <f>IF($D280="","",IF($D280&gt;$G280,"↑+2σ突破",IF($D280&lt;$J280,"↓-2σ割れ",IF($D280&gt;$H280,"+1σ上",IF($D280&lt;$I280,"-1σ下","バンド内")))))</f>
      </c>
      <c r="Q280" s="684">
        <f>IF($D280="","",IFERROR(100-100/(1+SUMPRODUCT((終値!E280:R280&gt;終値!F280:S280)*(終値!E280:R280-終値!F280:S280))/SUMPRODUCT((終値!E280:R280&lt;終値!F280:S280)*(終値!F280:S280-終値!E280:R280))),100))</f>
      </c>
      <c r="R280" s="684">
        <f>IF($D280="","",IFERROR(100-100/(1+SUMPRODUCT((((高値!E280:R280+安値!E280:R280+終値!E280:R280)/3)&gt;((高値!F280:S280+安値!F280:S280+終値!F280:S280)/3))*((高値!E280:R280+安値!E280:R280+終値!E280:R280)/3)*出来高!E280:R280)/SUMPRODUCT((((高値!E280:R280+安値!E280:R280+終値!E280:R280)/3)&lt;((高値!F280:S280+安値!F280:S280+終値!F280:S280)/3))*((高値!E280:R280+安値!E280:R280+終値!E280:R280)/3)*出来高!E280:R280)),50))</f>
      </c>
      <c r="S280" s="681">
        <f>IF($D280="","",IF(AND(終値!E280&lt;終値!O280,$Q280&gt;(IFERROR(100-100/(1+SUMPRODUCT((終値!O280:AB280&gt;終値!P280:AC280)*(終値!O280:AB280-終値!P280:AC280))/SUMPRODUCT((終値!O280:AB280&lt;終値!P280:AC280)*(終値!P280:AC280-終値!O280:AB280))),100))),"強気div▲",IF(AND(終値!E280&gt;終値!O280,$Q280&lt;(IFERROR(100-100/(1+SUMPRODUCT((終値!O280:AB280&gt;終値!P280:AC280)*(終値!O280:AB280-終値!P280:AC280))/SUMPRODUCT((終値!O280:AB280&lt;終値!P280:AC280)*(終値!P280:AC280-終値!O280:AB280))),100))),"弱気div▼","－")))</f>
      </c>
      <c r="T280" s="681">
        <f>IF($D280="","",IF($D280&gt;=$H280,"上walk▲",IF($D280&lt;=$I280,"下walk▼","－")))</f>
      </c>
      <c r="U280" s="681">
        <f>IF(終値!A280="","",BB_スイング!BT280)</f>
      </c>
      <c r="V280" s="689">
        <f>IF($D280="","",IFERROR(出来高!E280/AVERAGE(出来高!E280:I280),""))</f>
      </c>
      <c r="W280" s="690">
        <f>IF($D280="","",IF(AND($D280&gt;$G280,$O280="拡大↑",$L280&lt;=$M280*1.8),"◎スクイーズブレイク買",IF(AND($D280&gt;=$H280,$R280&gt;=BB設定!$B$10),"○順張り継続(walk)",IF(AND($S280="強気div▲",$D280&gt;$I280),"○反発(ダイバ)買",IF($U280="二番底W▲","△二番底買(確)",IF($U280="二番底W形成","△二番底形成",IF($D280&lt;$J280,"▼-2σ割れ危険",IF(AND($D280&gt;$E280,$K280&lt;0.6,$R280&gt;=50),"・押し目注目",IF($N280="スクイーズ★","☆スクイーズ監視","様子見")))))))))</f>
      </c>
      <c r="X280" s="685">
        <f>IF($D280="","",MIN(100,IF($L280&lt;=$M280*1.15,20,IF($L280&lt;=$M280*1.4,10,0))+IF($D280&gt;$G280,20,IF($D280&gt;$H280,12,IF($D280&gt;$E280,5,0)))+IF($O280="拡大↑",10,0)+IF($R280&gt;=80,15,IF($R280&gt;=60,10,IF($R280&gt;=50,5,0)))+IF(AND($Q280&gt;=50,$Q280&lt;=70),10,IF($Q280&gt;70,3,IF($Q280&gt;=40,5,0)))+IF($S280="強気div▲",15,0)+IF($T280="上walk▲",5,0)+IF($V280&gt;=2,5,IF($V280&gt;=1.5,3,0))))</f>
      </c>
      <c r="Y280" s="682">
        <f>IF($D280="","",$D280)</f>
      </c>
      <c r="Z280" s="682">
        <f>IF($D280="","",$H280)</f>
      </c>
      <c r="AA280" s="682">
        <f>IF($D280="","",IF($D280&gt;$E280,$E280,$AD280))</f>
      </c>
      <c r="AB280" s="682">
        <f>IF($D280="","",$G280)</f>
      </c>
      <c r="AC280" s="688">
        <f>IF($D280="","",IF(($Y280-$AA280)&lt;=0,"－",IFERROR(ROUND(MIN(20,($AB280-$Y280)/($Y280-$AA280)),2),"－")))</f>
      </c>
      <c r="AD280" s="682">
        <f>IF($D280="","",MIN(終値!E280:I280))</f>
      </c>
      <c r="AE280" s="684">
        <f>IF($D280="","",$X280+(10000-ROW())/100000)</f>
      </c>
    </row>
    <row r="281">
      <c r="A281" s="681">
        <f>IF(終値!A281="","",HYPERLINK("https://kabutan.jp/stock/?code="&amp;終値!A281,"📈"))</f>
      </c>
      <c r="B281" s="681">
        <f>IF(終値!A281="","",終値!A281)</f>
      </c>
      <c r="C281" s="680">
        <f>IF(終値!A281="","",終値!B281)</f>
      </c>
      <c r="D281" s="682">
        <f>IF(終値!A281="","",終値!E281)</f>
      </c>
      <c r="E281" s="682">
        <f>IF($D281="","",AVERAGE(終値!E281:X281))</f>
      </c>
      <c r="F281" s="683">
        <f>IF($D281="","",STDEVP(終値!E281:X281))</f>
      </c>
      <c r="G281" s="682">
        <f>IF($D281="","",$E281+BB設定!$B$4*$F281)</f>
      </c>
      <c r="H281" s="682">
        <f>IF($D281="","",$E281+BB設定!$B$5*$F281)</f>
      </c>
      <c r="I281" s="682">
        <f>IF($D281="","",$E281-BB設定!$B$5*$F281)</f>
      </c>
      <c r="J281" s="682">
        <f>IF($D281="","",$E281-BB設定!$B$4*$F281)</f>
      </c>
      <c r="K281" s="687">
        <f>IF($D281="","",IFERROR(($D281-$J281)/($G281-$J281),""))</f>
      </c>
      <c r="L281" s="686">
        <f>IF($D281="","",IFERROR(($G281-$J281)/$E281*100,""))</f>
      </c>
      <c r="M281" s="686">
        <f>IF($D281="","",IFERROR(MIN(BB_帯幅!B281:AP281)*100,""))</f>
      </c>
      <c r="N281" s="681">
        <f>IF($L281="","",IF($L281&lt;=$M281*BB設定!$B$7,"スクイーズ★",IF($L281&lt;=$M281*1.3,"収縮","－")))</f>
      </c>
      <c r="O281" s="681">
        <f>IF($D281="","",IF($L281&gt;(4*STDEVP(終値!F281:Y281)/AVERAGE(終値!F281:Y281)*100),"拡大↑","縮小↓"))</f>
      </c>
      <c r="P281" s="681">
        <f>IF($D281="","",IF($D281&gt;$G281,"↑+2σ突破",IF($D281&lt;$J281,"↓-2σ割れ",IF($D281&gt;$H281,"+1σ上",IF($D281&lt;$I281,"-1σ下","バンド内")))))</f>
      </c>
      <c r="Q281" s="684">
        <f>IF($D281="","",IFERROR(100-100/(1+SUMPRODUCT((終値!E281:R281&gt;終値!F281:S281)*(終値!E281:R281-終値!F281:S281))/SUMPRODUCT((終値!E281:R281&lt;終値!F281:S281)*(終値!F281:S281-終値!E281:R281))),100))</f>
      </c>
      <c r="R281" s="684">
        <f>IF($D281="","",IFERROR(100-100/(1+SUMPRODUCT((((高値!E281:R281+安値!E281:R281+終値!E281:R281)/3)&gt;((高値!F281:S281+安値!F281:S281+終値!F281:S281)/3))*((高値!E281:R281+安値!E281:R281+終値!E281:R281)/3)*出来高!E281:R281)/SUMPRODUCT((((高値!E281:R281+安値!E281:R281+終値!E281:R281)/3)&lt;((高値!F281:S281+安値!F281:S281+終値!F281:S281)/3))*((高値!E281:R281+安値!E281:R281+終値!E281:R281)/3)*出来高!E281:R281)),50))</f>
      </c>
      <c r="S281" s="681">
        <f>IF($D281="","",IF(AND(終値!E281&lt;終値!O281,$Q281&gt;(IFERROR(100-100/(1+SUMPRODUCT((終値!O281:AB281&gt;終値!P281:AC281)*(終値!O281:AB281-終値!P281:AC281))/SUMPRODUCT((終値!O281:AB281&lt;終値!P281:AC281)*(終値!P281:AC281-終値!O281:AB281))),100))),"強気div▲",IF(AND(終値!E281&gt;終値!O281,$Q281&lt;(IFERROR(100-100/(1+SUMPRODUCT((終値!O281:AB281&gt;終値!P281:AC281)*(終値!O281:AB281-終値!P281:AC281))/SUMPRODUCT((終値!O281:AB281&lt;終値!P281:AC281)*(終値!P281:AC281-終値!O281:AB281))),100))),"弱気div▼","－")))</f>
      </c>
      <c r="T281" s="681">
        <f>IF($D281="","",IF($D281&gt;=$H281,"上walk▲",IF($D281&lt;=$I281,"下walk▼","－")))</f>
      </c>
      <c r="U281" s="681">
        <f>IF(終値!A281="","",BB_スイング!BT281)</f>
      </c>
      <c r="V281" s="689">
        <f>IF($D281="","",IFERROR(出来高!E281/AVERAGE(出来高!E281:I281),""))</f>
      </c>
      <c r="W281" s="690">
        <f>IF($D281="","",IF(AND($D281&gt;$G281,$O281="拡大↑",$L281&lt;=$M281*1.8),"◎スクイーズブレイク買",IF(AND($D281&gt;=$H281,$R281&gt;=BB設定!$B$10),"○順張り継続(walk)",IF(AND($S281="強気div▲",$D281&gt;$I281),"○反発(ダイバ)買",IF($U281="二番底W▲","△二番底買(確)",IF($U281="二番底W形成","△二番底形成",IF($D281&lt;$J281,"▼-2σ割れ危険",IF(AND($D281&gt;$E281,$K281&lt;0.6,$R281&gt;=50),"・押し目注目",IF($N281="スクイーズ★","☆スクイーズ監視","様子見")))))))))</f>
      </c>
      <c r="X281" s="685">
        <f>IF($D281="","",MIN(100,IF($L281&lt;=$M281*1.15,20,IF($L281&lt;=$M281*1.4,10,0))+IF($D281&gt;$G281,20,IF($D281&gt;$H281,12,IF($D281&gt;$E281,5,0)))+IF($O281="拡大↑",10,0)+IF($R281&gt;=80,15,IF($R281&gt;=60,10,IF($R281&gt;=50,5,0)))+IF(AND($Q281&gt;=50,$Q281&lt;=70),10,IF($Q281&gt;70,3,IF($Q281&gt;=40,5,0)))+IF($S281="強気div▲",15,0)+IF($T281="上walk▲",5,0)+IF($V281&gt;=2,5,IF($V281&gt;=1.5,3,0))))</f>
      </c>
      <c r="Y281" s="682">
        <f>IF($D281="","",$D281)</f>
      </c>
      <c r="Z281" s="682">
        <f>IF($D281="","",$H281)</f>
      </c>
      <c r="AA281" s="682">
        <f>IF($D281="","",IF($D281&gt;$E281,$E281,$AD281))</f>
      </c>
      <c r="AB281" s="682">
        <f>IF($D281="","",$G281)</f>
      </c>
      <c r="AC281" s="688">
        <f>IF($D281="","",IF(($Y281-$AA281)&lt;=0,"－",IFERROR(ROUND(MIN(20,($AB281-$Y281)/($Y281-$AA281)),2),"－")))</f>
      </c>
      <c r="AD281" s="682">
        <f>IF($D281="","",MIN(終値!E281:I281))</f>
      </c>
      <c r="AE281" s="684">
        <f>IF($D281="","",$X281+(10000-ROW())/100000)</f>
      </c>
    </row>
    <row r="282">
      <c r="A282" s="681">
        <f>IF(終値!A282="","",HYPERLINK("https://kabutan.jp/stock/?code="&amp;終値!A282,"📈"))</f>
      </c>
      <c r="B282" s="681">
        <f>IF(終値!A282="","",終値!A282)</f>
      </c>
      <c r="C282" s="680">
        <f>IF(終値!A282="","",終値!B282)</f>
      </c>
      <c r="D282" s="682">
        <f>IF(終値!A282="","",終値!E282)</f>
      </c>
      <c r="E282" s="682">
        <f>IF($D282="","",AVERAGE(終値!E282:X282))</f>
      </c>
      <c r="F282" s="683">
        <f>IF($D282="","",STDEVP(終値!E282:X282))</f>
      </c>
      <c r="G282" s="682">
        <f>IF($D282="","",$E282+BB設定!$B$4*$F282)</f>
      </c>
      <c r="H282" s="682">
        <f>IF($D282="","",$E282+BB設定!$B$5*$F282)</f>
      </c>
      <c r="I282" s="682">
        <f>IF($D282="","",$E282-BB設定!$B$5*$F282)</f>
      </c>
      <c r="J282" s="682">
        <f>IF($D282="","",$E282-BB設定!$B$4*$F282)</f>
      </c>
      <c r="K282" s="687">
        <f>IF($D282="","",IFERROR(($D282-$J282)/($G282-$J282),""))</f>
      </c>
      <c r="L282" s="686">
        <f>IF($D282="","",IFERROR(($G282-$J282)/$E282*100,""))</f>
      </c>
      <c r="M282" s="686">
        <f>IF($D282="","",IFERROR(MIN(BB_帯幅!B282:AP282)*100,""))</f>
      </c>
      <c r="N282" s="681">
        <f>IF($L282="","",IF($L282&lt;=$M282*BB設定!$B$7,"スクイーズ★",IF($L282&lt;=$M282*1.3,"収縮","－")))</f>
      </c>
      <c r="O282" s="681">
        <f>IF($D282="","",IF($L282&gt;(4*STDEVP(終値!F282:Y282)/AVERAGE(終値!F282:Y282)*100),"拡大↑","縮小↓"))</f>
      </c>
      <c r="P282" s="681">
        <f>IF($D282="","",IF($D282&gt;$G282,"↑+2σ突破",IF($D282&lt;$J282,"↓-2σ割れ",IF($D282&gt;$H282,"+1σ上",IF($D282&lt;$I282,"-1σ下","バンド内")))))</f>
      </c>
      <c r="Q282" s="684">
        <f>IF($D282="","",IFERROR(100-100/(1+SUMPRODUCT((終値!E282:R282&gt;終値!F282:S282)*(終値!E282:R282-終値!F282:S282))/SUMPRODUCT((終値!E282:R282&lt;終値!F282:S282)*(終値!F282:S282-終値!E282:R282))),100))</f>
      </c>
      <c r="R282" s="684">
        <f>IF($D282="","",IFERROR(100-100/(1+SUMPRODUCT((((高値!E282:R282+安値!E282:R282+終値!E282:R282)/3)&gt;((高値!F282:S282+安値!F282:S282+終値!F282:S282)/3))*((高値!E282:R282+安値!E282:R282+終値!E282:R282)/3)*出来高!E282:R282)/SUMPRODUCT((((高値!E282:R282+安値!E282:R282+終値!E282:R282)/3)&lt;((高値!F282:S282+安値!F282:S282+終値!F282:S282)/3))*((高値!E282:R282+安値!E282:R282+終値!E282:R282)/3)*出来高!E282:R282)),50))</f>
      </c>
      <c r="S282" s="681">
        <f>IF($D282="","",IF(AND(終値!E282&lt;終値!O282,$Q282&gt;(IFERROR(100-100/(1+SUMPRODUCT((終値!O282:AB282&gt;終値!P282:AC282)*(終値!O282:AB282-終値!P282:AC282))/SUMPRODUCT((終値!O282:AB282&lt;終値!P282:AC282)*(終値!P282:AC282-終値!O282:AB282))),100))),"強気div▲",IF(AND(終値!E282&gt;終値!O282,$Q282&lt;(IFERROR(100-100/(1+SUMPRODUCT((終値!O282:AB282&gt;終値!P282:AC282)*(終値!O282:AB282-終値!P282:AC282))/SUMPRODUCT((終値!O282:AB282&lt;終値!P282:AC282)*(終値!P282:AC282-終値!O282:AB282))),100))),"弱気div▼","－")))</f>
      </c>
      <c r="T282" s="681">
        <f>IF($D282="","",IF($D282&gt;=$H282,"上walk▲",IF($D282&lt;=$I282,"下walk▼","－")))</f>
      </c>
      <c r="U282" s="681">
        <f>IF(終値!A282="","",BB_スイング!BT282)</f>
      </c>
      <c r="V282" s="689">
        <f>IF($D282="","",IFERROR(出来高!E282/AVERAGE(出来高!E282:I282),""))</f>
      </c>
      <c r="W282" s="690">
        <f>IF($D282="","",IF(AND($D282&gt;$G282,$O282="拡大↑",$L282&lt;=$M282*1.8),"◎スクイーズブレイク買",IF(AND($D282&gt;=$H282,$R282&gt;=BB設定!$B$10),"○順張り継続(walk)",IF(AND($S282="強気div▲",$D282&gt;$I282),"○反発(ダイバ)買",IF($U282="二番底W▲","△二番底買(確)",IF($U282="二番底W形成","△二番底形成",IF($D282&lt;$J282,"▼-2σ割れ危険",IF(AND($D282&gt;$E282,$K282&lt;0.6,$R282&gt;=50),"・押し目注目",IF($N282="スクイーズ★","☆スクイーズ監視","様子見")))))))))</f>
      </c>
      <c r="X282" s="685">
        <f>IF($D282="","",MIN(100,IF($L282&lt;=$M282*1.15,20,IF($L282&lt;=$M282*1.4,10,0))+IF($D282&gt;$G282,20,IF($D282&gt;$H282,12,IF($D282&gt;$E282,5,0)))+IF($O282="拡大↑",10,0)+IF($R282&gt;=80,15,IF($R282&gt;=60,10,IF($R282&gt;=50,5,0)))+IF(AND($Q282&gt;=50,$Q282&lt;=70),10,IF($Q282&gt;70,3,IF($Q282&gt;=40,5,0)))+IF($S282="強気div▲",15,0)+IF($T282="上walk▲",5,0)+IF($V282&gt;=2,5,IF($V282&gt;=1.5,3,0))))</f>
      </c>
      <c r="Y282" s="682">
        <f>IF($D282="","",$D282)</f>
      </c>
      <c r="Z282" s="682">
        <f>IF($D282="","",$H282)</f>
      </c>
      <c r="AA282" s="682">
        <f>IF($D282="","",IF($D282&gt;$E282,$E282,$AD282))</f>
      </c>
      <c r="AB282" s="682">
        <f>IF($D282="","",$G282)</f>
      </c>
      <c r="AC282" s="688">
        <f>IF($D282="","",IF(($Y282-$AA282)&lt;=0,"－",IFERROR(ROUND(MIN(20,($AB282-$Y282)/($Y282-$AA282)),2),"－")))</f>
      </c>
      <c r="AD282" s="682">
        <f>IF($D282="","",MIN(終値!E282:I282))</f>
      </c>
      <c r="AE282" s="684">
        <f>IF($D282="","",$X282+(10000-ROW())/100000)</f>
      </c>
    </row>
    <row r="283">
      <c r="A283" s="681">
        <f>IF(終値!A283="","",HYPERLINK("https://kabutan.jp/stock/?code="&amp;終値!A283,"📈"))</f>
      </c>
      <c r="B283" s="681">
        <f>IF(終値!A283="","",終値!A283)</f>
      </c>
      <c r="C283" s="680">
        <f>IF(終値!A283="","",終値!B283)</f>
      </c>
      <c r="D283" s="682">
        <f>IF(終値!A283="","",終値!E283)</f>
      </c>
      <c r="E283" s="682">
        <f>IF($D283="","",AVERAGE(終値!E283:X283))</f>
      </c>
      <c r="F283" s="683">
        <f>IF($D283="","",STDEVP(終値!E283:X283))</f>
      </c>
      <c r="G283" s="682">
        <f>IF($D283="","",$E283+BB設定!$B$4*$F283)</f>
      </c>
      <c r="H283" s="682">
        <f>IF($D283="","",$E283+BB設定!$B$5*$F283)</f>
      </c>
      <c r="I283" s="682">
        <f>IF($D283="","",$E283-BB設定!$B$5*$F283)</f>
      </c>
      <c r="J283" s="682">
        <f>IF($D283="","",$E283-BB設定!$B$4*$F283)</f>
      </c>
      <c r="K283" s="687">
        <f>IF($D283="","",IFERROR(($D283-$J283)/($G283-$J283),""))</f>
      </c>
      <c r="L283" s="686">
        <f>IF($D283="","",IFERROR(($G283-$J283)/$E283*100,""))</f>
      </c>
      <c r="M283" s="686">
        <f>IF($D283="","",IFERROR(MIN(BB_帯幅!B283:AP283)*100,""))</f>
      </c>
      <c r="N283" s="681">
        <f>IF($L283="","",IF($L283&lt;=$M283*BB設定!$B$7,"スクイーズ★",IF($L283&lt;=$M283*1.3,"収縮","－")))</f>
      </c>
      <c r="O283" s="681">
        <f>IF($D283="","",IF($L283&gt;(4*STDEVP(終値!F283:Y283)/AVERAGE(終値!F283:Y283)*100),"拡大↑","縮小↓"))</f>
      </c>
      <c r="P283" s="681">
        <f>IF($D283="","",IF($D283&gt;$G283,"↑+2σ突破",IF($D283&lt;$J283,"↓-2σ割れ",IF($D283&gt;$H283,"+1σ上",IF($D283&lt;$I283,"-1σ下","バンド内")))))</f>
      </c>
      <c r="Q283" s="684">
        <f>IF($D283="","",IFERROR(100-100/(1+SUMPRODUCT((終値!E283:R283&gt;終値!F283:S283)*(終値!E283:R283-終値!F283:S283))/SUMPRODUCT((終値!E283:R283&lt;終値!F283:S283)*(終値!F283:S283-終値!E283:R283))),100))</f>
      </c>
      <c r="R283" s="684">
        <f>IF($D283="","",IFERROR(100-100/(1+SUMPRODUCT((((高値!E283:R283+安値!E283:R283+終値!E283:R283)/3)&gt;((高値!F283:S283+安値!F283:S283+終値!F283:S283)/3))*((高値!E283:R283+安値!E283:R283+終値!E283:R283)/3)*出来高!E283:R283)/SUMPRODUCT((((高値!E283:R283+安値!E283:R283+終値!E283:R283)/3)&lt;((高値!F283:S283+安値!F283:S283+終値!F283:S283)/3))*((高値!E283:R283+安値!E283:R283+終値!E283:R283)/3)*出来高!E283:R283)),50))</f>
      </c>
      <c r="S283" s="681">
        <f>IF($D283="","",IF(AND(終値!E283&lt;終値!O283,$Q283&gt;(IFERROR(100-100/(1+SUMPRODUCT((終値!O283:AB283&gt;終値!P283:AC283)*(終値!O283:AB283-終値!P283:AC283))/SUMPRODUCT((終値!O283:AB283&lt;終値!P283:AC283)*(終値!P283:AC283-終値!O283:AB283))),100))),"強気div▲",IF(AND(終値!E283&gt;終値!O283,$Q283&lt;(IFERROR(100-100/(1+SUMPRODUCT((終値!O283:AB283&gt;終値!P283:AC283)*(終値!O283:AB283-終値!P283:AC283))/SUMPRODUCT((終値!O283:AB283&lt;終値!P283:AC283)*(終値!P283:AC283-終値!O283:AB283))),100))),"弱気div▼","－")))</f>
      </c>
      <c r="T283" s="681">
        <f>IF($D283="","",IF($D283&gt;=$H283,"上walk▲",IF($D283&lt;=$I283,"下walk▼","－")))</f>
      </c>
      <c r="U283" s="681">
        <f>IF(終値!A283="","",BB_スイング!BT283)</f>
      </c>
      <c r="V283" s="689">
        <f>IF($D283="","",IFERROR(出来高!E283/AVERAGE(出来高!E283:I283),""))</f>
      </c>
      <c r="W283" s="690">
        <f>IF($D283="","",IF(AND($D283&gt;$G283,$O283="拡大↑",$L283&lt;=$M283*1.8),"◎スクイーズブレイク買",IF(AND($D283&gt;=$H283,$R283&gt;=BB設定!$B$10),"○順張り継続(walk)",IF(AND($S283="強気div▲",$D283&gt;$I283),"○反発(ダイバ)買",IF($U283="二番底W▲","△二番底買(確)",IF($U283="二番底W形成","△二番底形成",IF($D283&lt;$J283,"▼-2σ割れ危険",IF(AND($D283&gt;$E283,$K283&lt;0.6,$R283&gt;=50),"・押し目注目",IF($N283="スクイーズ★","☆スクイーズ監視","様子見")))))))))</f>
      </c>
      <c r="X283" s="685">
        <f>IF($D283="","",MIN(100,IF($L283&lt;=$M283*1.15,20,IF($L283&lt;=$M283*1.4,10,0))+IF($D283&gt;$G283,20,IF($D283&gt;$H283,12,IF($D283&gt;$E283,5,0)))+IF($O283="拡大↑",10,0)+IF($R283&gt;=80,15,IF($R283&gt;=60,10,IF($R283&gt;=50,5,0)))+IF(AND($Q283&gt;=50,$Q283&lt;=70),10,IF($Q283&gt;70,3,IF($Q283&gt;=40,5,0)))+IF($S283="強気div▲",15,0)+IF($T283="上walk▲",5,0)+IF($V283&gt;=2,5,IF($V283&gt;=1.5,3,0))))</f>
      </c>
      <c r="Y283" s="682">
        <f>IF($D283="","",$D283)</f>
      </c>
      <c r="Z283" s="682">
        <f>IF($D283="","",$H283)</f>
      </c>
      <c r="AA283" s="682">
        <f>IF($D283="","",IF($D283&gt;$E283,$E283,$AD283))</f>
      </c>
      <c r="AB283" s="682">
        <f>IF($D283="","",$G283)</f>
      </c>
      <c r="AC283" s="688">
        <f>IF($D283="","",IF(($Y283-$AA283)&lt;=0,"－",IFERROR(ROUND(MIN(20,($AB283-$Y283)/($Y283-$AA283)),2),"－")))</f>
      </c>
      <c r="AD283" s="682">
        <f>IF($D283="","",MIN(終値!E283:I283))</f>
      </c>
      <c r="AE283" s="684">
        <f>IF($D283="","",$X283+(10000-ROW())/100000)</f>
      </c>
    </row>
    <row r="284">
      <c r="A284" s="681">
        <f>IF(終値!A284="","",HYPERLINK("https://kabutan.jp/stock/?code="&amp;終値!A284,"📈"))</f>
      </c>
      <c r="B284" s="681">
        <f>IF(終値!A284="","",終値!A284)</f>
      </c>
      <c r="C284" s="680">
        <f>IF(終値!A284="","",終値!B284)</f>
      </c>
      <c r="D284" s="682">
        <f>IF(終値!A284="","",終値!E284)</f>
      </c>
      <c r="E284" s="682">
        <f>IF($D284="","",AVERAGE(終値!E284:X284))</f>
      </c>
      <c r="F284" s="683">
        <f>IF($D284="","",STDEVP(終値!E284:X284))</f>
      </c>
      <c r="G284" s="682">
        <f>IF($D284="","",$E284+BB設定!$B$4*$F284)</f>
      </c>
      <c r="H284" s="682">
        <f>IF($D284="","",$E284+BB設定!$B$5*$F284)</f>
      </c>
      <c r="I284" s="682">
        <f>IF($D284="","",$E284-BB設定!$B$5*$F284)</f>
      </c>
      <c r="J284" s="682">
        <f>IF($D284="","",$E284-BB設定!$B$4*$F284)</f>
      </c>
      <c r="K284" s="687">
        <f>IF($D284="","",IFERROR(($D284-$J284)/($G284-$J284),""))</f>
      </c>
      <c r="L284" s="686">
        <f>IF($D284="","",IFERROR(($G284-$J284)/$E284*100,""))</f>
      </c>
      <c r="M284" s="686">
        <f>IF($D284="","",IFERROR(MIN(BB_帯幅!B284:AP284)*100,""))</f>
      </c>
      <c r="N284" s="681">
        <f>IF($L284="","",IF($L284&lt;=$M284*BB設定!$B$7,"スクイーズ★",IF($L284&lt;=$M284*1.3,"収縮","－")))</f>
      </c>
      <c r="O284" s="681">
        <f>IF($D284="","",IF($L284&gt;(4*STDEVP(終値!F284:Y284)/AVERAGE(終値!F284:Y284)*100),"拡大↑","縮小↓"))</f>
      </c>
      <c r="P284" s="681">
        <f>IF($D284="","",IF($D284&gt;$G284,"↑+2σ突破",IF($D284&lt;$J284,"↓-2σ割れ",IF($D284&gt;$H284,"+1σ上",IF($D284&lt;$I284,"-1σ下","バンド内")))))</f>
      </c>
      <c r="Q284" s="684">
        <f>IF($D284="","",IFERROR(100-100/(1+SUMPRODUCT((終値!E284:R284&gt;終値!F284:S284)*(終値!E284:R284-終値!F284:S284))/SUMPRODUCT((終値!E284:R284&lt;終値!F284:S284)*(終値!F284:S284-終値!E284:R284))),100))</f>
      </c>
      <c r="R284" s="684">
        <f>IF($D284="","",IFERROR(100-100/(1+SUMPRODUCT((((高値!E284:R284+安値!E284:R284+終値!E284:R284)/3)&gt;((高値!F284:S284+安値!F284:S284+終値!F284:S284)/3))*((高値!E284:R284+安値!E284:R284+終値!E284:R284)/3)*出来高!E284:R284)/SUMPRODUCT((((高値!E284:R284+安値!E284:R284+終値!E284:R284)/3)&lt;((高値!F284:S284+安値!F284:S284+終値!F284:S284)/3))*((高値!E284:R284+安値!E284:R284+終値!E284:R284)/3)*出来高!E284:R284)),50))</f>
      </c>
      <c r="S284" s="681">
        <f>IF($D284="","",IF(AND(終値!E284&lt;終値!O284,$Q284&gt;(IFERROR(100-100/(1+SUMPRODUCT((終値!O284:AB284&gt;終値!P284:AC284)*(終値!O284:AB284-終値!P284:AC284))/SUMPRODUCT((終値!O284:AB284&lt;終値!P284:AC284)*(終値!P284:AC284-終値!O284:AB284))),100))),"強気div▲",IF(AND(終値!E284&gt;終値!O284,$Q284&lt;(IFERROR(100-100/(1+SUMPRODUCT((終値!O284:AB284&gt;終値!P284:AC284)*(終値!O284:AB284-終値!P284:AC284))/SUMPRODUCT((終値!O284:AB284&lt;終値!P284:AC284)*(終値!P284:AC284-終値!O284:AB284))),100))),"弱気div▼","－")))</f>
      </c>
      <c r="T284" s="681">
        <f>IF($D284="","",IF($D284&gt;=$H284,"上walk▲",IF($D284&lt;=$I284,"下walk▼","－")))</f>
      </c>
      <c r="U284" s="681">
        <f>IF(終値!A284="","",BB_スイング!BT284)</f>
      </c>
      <c r="V284" s="689">
        <f>IF($D284="","",IFERROR(出来高!E284/AVERAGE(出来高!E284:I284),""))</f>
      </c>
      <c r="W284" s="690">
        <f>IF($D284="","",IF(AND($D284&gt;$G284,$O284="拡大↑",$L284&lt;=$M284*1.8),"◎スクイーズブレイク買",IF(AND($D284&gt;=$H284,$R284&gt;=BB設定!$B$10),"○順張り継続(walk)",IF(AND($S284="強気div▲",$D284&gt;$I284),"○反発(ダイバ)買",IF($U284="二番底W▲","△二番底買(確)",IF($U284="二番底W形成","△二番底形成",IF($D284&lt;$J284,"▼-2σ割れ危険",IF(AND($D284&gt;$E284,$K284&lt;0.6,$R284&gt;=50),"・押し目注目",IF($N284="スクイーズ★","☆スクイーズ監視","様子見")))))))))</f>
      </c>
      <c r="X284" s="685">
        <f>IF($D284="","",MIN(100,IF($L284&lt;=$M284*1.15,20,IF($L284&lt;=$M284*1.4,10,0))+IF($D284&gt;$G284,20,IF($D284&gt;$H284,12,IF($D284&gt;$E284,5,0)))+IF($O284="拡大↑",10,0)+IF($R284&gt;=80,15,IF($R284&gt;=60,10,IF($R284&gt;=50,5,0)))+IF(AND($Q284&gt;=50,$Q284&lt;=70),10,IF($Q284&gt;70,3,IF($Q284&gt;=40,5,0)))+IF($S284="強気div▲",15,0)+IF($T284="上walk▲",5,0)+IF($V284&gt;=2,5,IF($V284&gt;=1.5,3,0))))</f>
      </c>
      <c r="Y284" s="682">
        <f>IF($D284="","",$D284)</f>
      </c>
      <c r="Z284" s="682">
        <f>IF($D284="","",$H284)</f>
      </c>
      <c r="AA284" s="682">
        <f>IF($D284="","",IF($D284&gt;$E284,$E284,$AD284))</f>
      </c>
      <c r="AB284" s="682">
        <f>IF($D284="","",$G284)</f>
      </c>
      <c r="AC284" s="688">
        <f>IF($D284="","",IF(($Y284-$AA284)&lt;=0,"－",IFERROR(ROUND(MIN(20,($AB284-$Y284)/($Y284-$AA284)),2),"－")))</f>
      </c>
      <c r="AD284" s="682">
        <f>IF($D284="","",MIN(終値!E284:I284))</f>
      </c>
      <c r="AE284" s="684">
        <f>IF($D284="","",$X284+(10000-ROW())/100000)</f>
      </c>
    </row>
    <row r="285">
      <c r="A285" s="681">
        <f>IF(終値!A285="","",HYPERLINK("https://kabutan.jp/stock/?code="&amp;終値!A285,"📈"))</f>
      </c>
      <c r="B285" s="681">
        <f>IF(終値!A285="","",終値!A285)</f>
      </c>
      <c r="C285" s="680">
        <f>IF(終値!A285="","",終値!B285)</f>
      </c>
      <c r="D285" s="682">
        <f>IF(終値!A285="","",終値!E285)</f>
      </c>
      <c r="E285" s="682">
        <f>IF($D285="","",AVERAGE(終値!E285:X285))</f>
      </c>
      <c r="F285" s="683">
        <f>IF($D285="","",STDEVP(終値!E285:X285))</f>
      </c>
      <c r="G285" s="682">
        <f>IF($D285="","",$E285+BB設定!$B$4*$F285)</f>
      </c>
      <c r="H285" s="682">
        <f>IF($D285="","",$E285+BB設定!$B$5*$F285)</f>
      </c>
      <c r="I285" s="682">
        <f>IF($D285="","",$E285-BB設定!$B$5*$F285)</f>
      </c>
      <c r="J285" s="682">
        <f>IF($D285="","",$E285-BB設定!$B$4*$F285)</f>
      </c>
      <c r="K285" s="687">
        <f>IF($D285="","",IFERROR(($D285-$J285)/($G285-$J285),""))</f>
      </c>
      <c r="L285" s="686">
        <f>IF($D285="","",IFERROR(($G285-$J285)/$E285*100,""))</f>
      </c>
      <c r="M285" s="686">
        <f>IF($D285="","",IFERROR(MIN(BB_帯幅!B285:AP285)*100,""))</f>
      </c>
      <c r="N285" s="681">
        <f>IF($L285="","",IF($L285&lt;=$M285*BB設定!$B$7,"スクイーズ★",IF($L285&lt;=$M285*1.3,"収縮","－")))</f>
      </c>
      <c r="O285" s="681">
        <f>IF($D285="","",IF($L285&gt;(4*STDEVP(終値!F285:Y285)/AVERAGE(終値!F285:Y285)*100),"拡大↑","縮小↓"))</f>
      </c>
      <c r="P285" s="681">
        <f>IF($D285="","",IF($D285&gt;$G285,"↑+2σ突破",IF($D285&lt;$J285,"↓-2σ割れ",IF($D285&gt;$H285,"+1σ上",IF($D285&lt;$I285,"-1σ下","バンド内")))))</f>
      </c>
      <c r="Q285" s="684">
        <f>IF($D285="","",IFERROR(100-100/(1+SUMPRODUCT((終値!E285:R285&gt;終値!F285:S285)*(終値!E285:R285-終値!F285:S285))/SUMPRODUCT((終値!E285:R285&lt;終値!F285:S285)*(終値!F285:S285-終値!E285:R285))),100))</f>
      </c>
      <c r="R285" s="684">
        <f>IF($D285="","",IFERROR(100-100/(1+SUMPRODUCT((((高値!E285:R285+安値!E285:R285+終値!E285:R285)/3)&gt;((高値!F285:S285+安値!F285:S285+終値!F285:S285)/3))*((高値!E285:R285+安値!E285:R285+終値!E285:R285)/3)*出来高!E285:R285)/SUMPRODUCT((((高値!E285:R285+安値!E285:R285+終値!E285:R285)/3)&lt;((高値!F285:S285+安値!F285:S285+終値!F285:S285)/3))*((高値!E285:R285+安値!E285:R285+終値!E285:R285)/3)*出来高!E285:R285)),50))</f>
      </c>
      <c r="S285" s="681">
        <f>IF($D285="","",IF(AND(終値!E285&lt;終値!O285,$Q285&gt;(IFERROR(100-100/(1+SUMPRODUCT((終値!O285:AB285&gt;終値!P285:AC285)*(終値!O285:AB285-終値!P285:AC285))/SUMPRODUCT((終値!O285:AB285&lt;終値!P285:AC285)*(終値!P285:AC285-終値!O285:AB285))),100))),"強気div▲",IF(AND(終値!E285&gt;終値!O285,$Q285&lt;(IFERROR(100-100/(1+SUMPRODUCT((終値!O285:AB285&gt;終値!P285:AC285)*(終値!O285:AB285-終値!P285:AC285))/SUMPRODUCT((終値!O285:AB285&lt;終値!P285:AC285)*(終値!P285:AC285-終値!O285:AB285))),100))),"弱気div▼","－")))</f>
      </c>
      <c r="T285" s="681">
        <f>IF($D285="","",IF($D285&gt;=$H285,"上walk▲",IF($D285&lt;=$I285,"下walk▼","－")))</f>
      </c>
      <c r="U285" s="681">
        <f>IF(終値!A285="","",BB_スイング!BT285)</f>
      </c>
      <c r="V285" s="689">
        <f>IF($D285="","",IFERROR(出来高!E285/AVERAGE(出来高!E285:I285),""))</f>
      </c>
      <c r="W285" s="690">
        <f>IF($D285="","",IF(AND($D285&gt;$G285,$O285="拡大↑",$L285&lt;=$M285*1.8),"◎スクイーズブレイク買",IF(AND($D285&gt;=$H285,$R285&gt;=BB設定!$B$10),"○順張り継続(walk)",IF(AND($S285="強気div▲",$D285&gt;$I285),"○反発(ダイバ)買",IF($U285="二番底W▲","△二番底買(確)",IF($U285="二番底W形成","△二番底形成",IF($D285&lt;$J285,"▼-2σ割れ危険",IF(AND($D285&gt;$E285,$K285&lt;0.6,$R285&gt;=50),"・押し目注目",IF($N285="スクイーズ★","☆スクイーズ監視","様子見")))))))))</f>
      </c>
      <c r="X285" s="685">
        <f>IF($D285="","",MIN(100,IF($L285&lt;=$M285*1.15,20,IF($L285&lt;=$M285*1.4,10,0))+IF($D285&gt;$G285,20,IF($D285&gt;$H285,12,IF($D285&gt;$E285,5,0)))+IF($O285="拡大↑",10,0)+IF($R285&gt;=80,15,IF($R285&gt;=60,10,IF($R285&gt;=50,5,0)))+IF(AND($Q285&gt;=50,$Q285&lt;=70),10,IF($Q285&gt;70,3,IF($Q285&gt;=40,5,0)))+IF($S285="強気div▲",15,0)+IF($T285="上walk▲",5,0)+IF($V285&gt;=2,5,IF($V285&gt;=1.5,3,0))))</f>
      </c>
      <c r="Y285" s="682">
        <f>IF($D285="","",$D285)</f>
      </c>
      <c r="Z285" s="682">
        <f>IF($D285="","",$H285)</f>
      </c>
      <c r="AA285" s="682">
        <f>IF($D285="","",IF($D285&gt;$E285,$E285,$AD285))</f>
      </c>
      <c r="AB285" s="682">
        <f>IF($D285="","",$G285)</f>
      </c>
      <c r="AC285" s="688">
        <f>IF($D285="","",IF(($Y285-$AA285)&lt;=0,"－",IFERROR(ROUND(MIN(20,($AB285-$Y285)/($Y285-$AA285)),2),"－")))</f>
      </c>
      <c r="AD285" s="682">
        <f>IF($D285="","",MIN(終値!E285:I285))</f>
      </c>
      <c r="AE285" s="684">
        <f>IF($D285="","",$X285+(10000-ROW())/100000)</f>
      </c>
    </row>
    <row r="286">
      <c r="A286" s="681">
        <f>IF(終値!A286="","",HYPERLINK("https://kabutan.jp/stock/?code="&amp;終値!A286,"📈"))</f>
      </c>
      <c r="B286" s="681">
        <f>IF(終値!A286="","",終値!A286)</f>
      </c>
      <c r="C286" s="680">
        <f>IF(終値!A286="","",終値!B286)</f>
      </c>
      <c r="D286" s="682">
        <f>IF(終値!A286="","",終値!E286)</f>
      </c>
      <c r="E286" s="682">
        <f>IF($D286="","",AVERAGE(終値!E286:X286))</f>
      </c>
      <c r="F286" s="683">
        <f>IF($D286="","",STDEVP(終値!E286:X286))</f>
      </c>
      <c r="G286" s="682">
        <f>IF($D286="","",$E286+BB設定!$B$4*$F286)</f>
      </c>
      <c r="H286" s="682">
        <f>IF($D286="","",$E286+BB設定!$B$5*$F286)</f>
      </c>
      <c r="I286" s="682">
        <f>IF($D286="","",$E286-BB設定!$B$5*$F286)</f>
      </c>
      <c r="J286" s="682">
        <f>IF($D286="","",$E286-BB設定!$B$4*$F286)</f>
      </c>
      <c r="K286" s="687">
        <f>IF($D286="","",IFERROR(($D286-$J286)/($G286-$J286),""))</f>
      </c>
      <c r="L286" s="686">
        <f>IF($D286="","",IFERROR(($G286-$J286)/$E286*100,""))</f>
      </c>
      <c r="M286" s="686">
        <f>IF($D286="","",IFERROR(MIN(BB_帯幅!B286:AP286)*100,""))</f>
      </c>
      <c r="N286" s="681">
        <f>IF($L286="","",IF($L286&lt;=$M286*BB設定!$B$7,"スクイーズ★",IF($L286&lt;=$M286*1.3,"収縮","－")))</f>
      </c>
      <c r="O286" s="681">
        <f>IF($D286="","",IF($L286&gt;(4*STDEVP(終値!F286:Y286)/AVERAGE(終値!F286:Y286)*100),"拡大↑","縮小↓"))</f>
      </c>
      <c r="P286" s="681">
        <f>IF($D286="","",IF($D286&gt;$G286,"↑+2σ突破",IF($D286&lt;$J286,"↓-2σ割れ",IF($D286&gt;$H286,"+1σ上",IF($D286&lt;$I286,"-1σ下","バンド内")))))</f>
      </c>
      <c r="Q286" s="684">
        <f>IF($D286="","",IFERROR(100-100/(1+SUMPRODUCT((終値!E286:R286&gt;終値!F286:S286)*(終値!E286:R286-終値!F286:S286))/SUMPRODUCT((終値!E286:R286&lt;終値!F286:S286)*(終値!F286:S286-終値!E286:R286))),100))</f>
      </c>
      <c r="R286" s="684">
        <f>IF($D286="","",IFERROR(100-100/(1+SUMPRODUCT((((高値!E286:R286+安値!E286:R286+終値!E286:R286)/3)&gt;((高値!F286:S286+安値!F286:S286+終値!F286:S286)/3))*((高値!E286:R286+安値!E286:R286+終値!E286:R286)/3)*出来高!E286:R286)/SUMPRODUCT((((高値!E286:R286+安値!E286:R286+終値!E286:R286)/3)&lt;((高値!F286:S286+安値!F286:S286+終値!F286:S286)/3))*((高値!E286:R286+安値!E286:R286+終値!E286:R286)/3)*出来高!E286:R286)),50))</f>
      </c>
      <c r="S286" s="681">
        <f>IF($D286="","",IF(AND(終値!E286&lt;終値!O286,$Q286&gt;(IFERROR(100-100/(1+SUMPRODUCT((終値!O286:AB286&gt;終値!P286:AC286)*(終値!O286:AB286-終値!P286:AC286))/SUMPRODUCT((終値!O286:AB286&lt;終値!P286:AC286)*(終値!P286:AC286-終値!O286:AB286))),100))),"強気div▲",IF(AND(終値!E286&gt;終値!O286,$Q286&lt;(IFERROR(100-100/(1+SUMPRODUCT((終値!O286:AB286&gt;終値!P286:AC286)*(終値!O286:AB286-終値!P286:AC286))/SUMPRODUCT((終値!O286:AB286&lt;終値!P286:AC286)*(終値!P286:AC286-終値!O286:AB286))),100))),"弱気div▼","－")))</f>
      </c>
      <c r="T286" s="681">
        <f>IF($D286="","",IF($D286&gt;=$H286,"上walk▲",IF($D286&lt;=$I286,"下walk▼","－")))</f>
      </c>
      <c r="U286" s="681">
        <f>IF(終値!A286="","",BB_スイング!BT286)</f>
      </c>
      <c r="V286" s="689">
        <f>IF($D286="","",IFERROR(出来高!E286/AVERAGE(出来高!E286:I286),""))</f>
      </c>
      <c r="W286" s="690">
        <f>IF($D286="","",IF(AND($D286&gt;$G286,$O286="拡大↑",$L286&lt;=$M286*1.8),"◎スクイーズブレイク買",IF(AND($D286&gt;=$H286,$R286&gt;=BB設定!$B$10),"○順張り継続(walk)",IF(AND($S286="強気div▲",$D286&gt;$I286),"○反発(ダイバ)買",IF($U286="二番底W▲","△二番底買(確)",IF($U286="二番底W形成","△二番底形成",IF($D286&lt;$J286,"▼-2σ割れ危険",IF(AND($D286&gt;$E286,$K286&lt;0.6,$R286&gt;=50),"・押し目注目",IF($N286="スクイーズ★","☆スクイーズ監視","様子見")))))))))</f>
      </c>
      <c r="X286" s="685">
        <f>IF($D286="","",MIN(100,IF($L286&lt;=$M286*1.15,20,IF($L286&lt;=$M286*1.4,10,0))+IF($D286&gt;$G286,20,IF($D286&gt;$H286,12,IF($D286&gt;$E286,5,0)))+IF($O286="拡大↑",10,0)+IF($R286&gt;=80,15,IF($R286&gt;=60,10,IF($R286&gt;=50,5,0)))+IF(AND($Q286&gt;=50,$Q286&lt;=70),10,IF($Q286&gt;70,3,IF($Q286&gt;=40,5,0)))+IF($S286="強気div▲",15,0)+IF($T286="上walk▲",5,0)+IF($V286&gt;=2,5,IF($V286&gt;=1.5,3,0))))</f>
      </c>
      <c r="Y286" s="682">
        <f>IF($D286="","",$D286)</f>
      </c>
      <c r="Z286" s="682">
        <f>IF($D286="","",$H286)</f>
      </c>
      <c r="AA286" s="682">
        <f>IF($D286="","",IF($D286&gt;$E286,$E286,$AD286))</f>
      </c>
      <c r="AB286" s="682">
        <f>IF($D286="","",$G286)</f>
      </c>
      <c r="AC286" s="688">
        <f>IF($D286="","",IF(($Y286-$AA286)&lt;=0,"－",IFERROR(ROUND(MIN(20,($AB286-$Y286)/($Y286-$AA286)),2),"－")))</f>
      </c>
      <c r="AD286" s="682">
        <f>IF($D286="","",MIN(終値!E286:I286))</f>
      </c>
      <c r="AE286" s="684">
        <f>IF($D286="","",$X286+(10000-ROW())/100000)</f>
      </c>
    </row>
    <row r="287">
      <c r="A287" s="681">
        <f>IF(終値!A287="","",HYPERLINK("https://kabutan.jp/stock/?code="&amp;終値!A287,"📈"))</f>
      </c>
      <c r="B287" s="681">
        <f>IF(終値!A287="","",終値!A287)</f>
      </c>
      <c r="C287" s="680">
        <f>IF(終値!A287="","",終値!B287)</f>
      </c>
      <c r="D287" s="682">
        <f>IF(終値!A287="","",終値!E287)</f>
      </c>
      <c r="E287" s="682">
        <f>IF($D287="","",AVERAGE(終値!E287:X287))</f>
      </c>
      <c r="F287" s="683">
        <f>IF($D287="","",STDEVP(終値!E287:X287))</f>
      </c>
      <c r="G287" s="682">
        <f>IF($D287="","",$E287+BB設定!$B$4*$F287)</f>
      </c>
      <c r="H287" s="682">
        <f>IF($D287="","",$E287+BB設定!$B$5*$F287)</f>
      </c>
      <c r="I287" s="682">
        <f>IF($D287="","",$E287-BB設定!$B$5*$F287)</f>
      </c>
      <c r="J287" s="682">
        <f>IF($D287="","",$E287-BB設定!$B$4*$F287)</f>
      </c>
      <c r="K287" s="687">
        <f>IF($D287="","",IFERROR(($D287-$J287)/($G287-$J287),""))</f>
      </c>
      <c r="L287" s="686">
        <f>IF($D287="","",IFERROR(($G287-$J287)/$E287*100,""))</f>
      </c>
      <c r="M287" s="686">
        <f>IF($D287="","",IFERROR(MIN(BB_帯幅!B287:AP287)*100,""))</f>
      </c>
      <c r="N287" s="681">
        <f>IF($L287="","",IF($L287&lt;=$M287*BB設定!$B$7,"スクイーズ★",IF($L287&lt;=$M287*1.3,"収縮","－")))</f>
      </c>
      <c r="O287" s="681">
        <f>IF($D287="","",IF($L287&gt;(4*STDEVP(終値!F287:Y287)/AVERAGE(終値!F287:Y287)*100),"拡大↑","縮小↓"))</f>
      </c>
      <c r="P287" s="681">
        <f>IF($D287="","",IF($D287&gt;$G287,"↑+2σ突破",IF($D287&lt;$J287,"↓-2σ割れ",IF($D287&gt;$H287,"+1σ上",IF($D287&lt;$I287,"-1σ下","バンド内")))))</f>
      </c>
      <c r="Q287" s="684">
        <f>IF($D287="","",IFERROR(100-100/(1+SUMPRODUCT((終値!E287:R287&gt;終値!F287:S287)*(終値!E287:R287-終値!F287:S287))/SUMPRODUCT((終値!E287:R287&lt;終値!F287:S287)*(終値!F287:S287-終値!E287:R287))),100))</f>
      </c>
      <c r="R287" s="684">
        <f>IF($D287="","",IFERROR(100-100/(1+SUMPRODUCT((((高値!E287:R287+安値!E287:R287+終値!E287:R287)/3)&gt;((高値!F287:S287+安値!F287:S287+終値!F287:S287)/3))*((高値!E287:R287+安値!E287:R287+終値!E287:R287)/3)*出来高!E287:R287)/SUMPRODUCT((((高値!E287:R287+安値!E287:R287+終値!E287:R287)/3)&lt;((高値!F287:S287+安値!F287:S287+終値!F287:S287)/3))*((高値!E287:R287+安値!E287:R287+終値!E287:R287)/3)*出来高!E287:R287)),50))</f>
      </c>
      <c r="S287" s="681">
        <f>IF($D287="","",IF(AND(終値!E287&lt;終値!O287,$Q287&gt;(IFERROR(100-100/(1+SUMPRODUCT((終値!O287:AB287&gt;終値!P287:AC287)*(終値!O287:AB287-終値!P287:AC287))/SUMPRODUCT((終値!O287:AB287&lt;終値!P287:AC287)*(終値!P287:AC287-終値!O287:AB287))),100))),"強気div▲",IF(AND(終値!E287&gt;終値!O287,$Q287&lt;(IFERROR(100-100/(1+SUMPRODUCT((終値!O287:AB287&gt;終値!P287:AC287)*(終値!O287:AB287-終値!P287:AC287))/SUMPRODUCT((終値!O287:AB287&lt;終値!P287:AC287)*(終値!P287:AC287-終値!O287:AB287))),100))),"弱気div▼","－")))</f>
      </c>
      <c r="T287" s="681">
        <f>IF($D287="","",IF($D287&gt;=$H287,"上walk▲",IF($D287&lt;=$I287,"下walk▼","－")))</f>
      </c>
      <c r="U287" s="681">
        <f>IF(終値!A287="","",BB_スイング!BT287)</f>
      </c>
      <c r="V287" s="689">
        <f>IF($D287="","",IFERROR(出来高!E287/AVERAGE(出来高!E287:I287),""))</f>
      </c>
      <c r="W287" s="690">
        <f>IF($D287="","",IF(AND($D287&gt;$G287,$O287="拡大↑",$L287&lt;=$M287*1.8),"◎スクイーズブレイク買",IF(AND($D287&gt;=$H287,$R287&gt;=BB設定!$B$10),"○順張り継続(walk)",IF(AND($S287="強気div▲",$D287&gt;$I287),"○反発(ダイバ)買",IF($U287="二番底W▲","△二番底買(確)",IF($U287="二番底W形成","△二番底形成",IF($D287&lt;$J287,"▼-2σ割れ危険",IF(AND($D287&gt;$E287,$K287&lt;0.6,$R287&gt;=50),"・押し目注目",IF($N287="スクイーズ★","☆スクイーズ監視","様子見")))))))))</f>
      </c>
      <c r="X287" s="685">
        <f>IF($D287="","",MIN(100,IF($L287&lt;=$M287*1.15,20,IF($L287&lt;=$M287*1.4,10,0))+IF($D287&gt;$G287,20,IF($D287&gt;$H287,12,IF($D287&gt;$E287,5,0)))+IF($O287="拡大↑",10,0)+IF($R287&gt;=80,15,IF($R287&gt;=60,10,IF($R287&gt;=50,5,0)))+IF(AND($Q287&gt;=50,$Q287&lt;=70),10,IF($Q287&gt;70,3,IF($Q287&gt;=40,5,0)))+IF($S287="強気div▲",15,0)+IF($T287="上walk▲",5,0)+IF($V287&gt;=2,5,IF($V287&gt;=1.5,3,0))))</f>
      </c>
      <c r="Y287" s="682">
        <f>IF($D287="","",$D287)</f>
      </c>
      <c r="Z287" s="682">
        <f>IF($D287="","",$H287)</f>
      </c>
      <c r="AA287" s="682">
        <f>IF($D287="","",IF($D287&gt;$E287,$E287,$AD287))</f>
      </c>
      <c r="AB287" s="682">
        <f>IF($D287="","",$G287)</f>
      </c>
      <c r="AC287" s="688">
        <f>IF($D287="","",IF(($Y287-$AA287)&lt;=0,"－",IFERROR(ROUND(MIN(20,($AB287-$Y287)/($Y287-$AA287)),2),"－")))</f>
      </c>
      <c r="AD287" s="682">
        <f>IF($D287="","",MIN(終値!E287:I287))</f>
      </c>
      <c r="AE287" s="684">
        <f>IF($D287="","",$X287+(10000-ROW())/100000)</f>
      </c>
    </row>
    <row r="288">
      <c r="A288" s="681">
        <f>IF(終値!A288="","",HYPERLINK("https://kabutan.jp/stock/?code="&amp;終値!A288,"📈"))</f>
      </c>
      <c r="B288" s="681">
        <f>IF(終値!A288="","",終値!A288)</f>
      </c>
      <c r="C288" s="680">
        <f>IF(終値!A288="","",終値!B288)</f>
      </c>
      <c r="D288" s="682">
        <f>IF(終値!A288="","",終値!E288)</f>
      </c>
      <c r="E288" s="682">
        <f>IF($D288="","",AVERAGE(終値!E288:X288))</f>
      </c>
      <c r="F288" s="683">
        <f>IF($D288="","",STDEVP(終値!E288:X288))</f>
      </c>
      <c r="G288" s="682">
        <f>IF($D288="","",$E288+BB設定!$B$4*$F288)</f>
      </c>
      <c r="H288" s="682">
        <f>IF($D288="","",$E288+BB設定!$B$5*$F288)</f>
      </c>
      <c r="I288" s="682">
        <f>IF($D288="","",$E288-BB設定!$B$5*$F288)</f>
      </c>
      <c r="J288" s="682">
        <f>IF($D288="","",$E288-BB設定!$B$4*$F288)</f>
      </c>
      <c r="K288" s="687">
        <f>IF($D288="","",IFERROR(($D288-$J288)/($G288-$J288),""))</f>
      </c>
      <c r="L288" s="686">
        <f>IF($D288="","",IFERROR(($G288-$J288)/$E288*100,""))</f>
      </c>
      <c r="M288" s="686">
        <f>IF($D288="","",IFERROR(MIN(BB_帯幅!B288:AP288)*100,""))</f>
      </c>
      <c r="N288" s="681">
        <f>IF($L288="","",IF($L288&lt;=$M288*BB設定!$B$7,"スクイーズ★",IF($L288&lt;=$M288*1.3,"収縮","－")))</f>
      </c>
      <c r="O288" s="681">
        <f>IF($D288="","",IF($L288&gt;(4*STDEVP(終値!F288:Y288)/AVERAGE(終値!F288:Y288)*100),"拡大↑","縮小↓"))</f>
      </c>
      <c r="P288" s="681">
        <f>IF($D288="","",IF($D288&gt;$G288,"↑+2σ突破",IF($D288&lt;$J288,"↓-2σ割れ",IF($D288&gt;$H288,"+1σ上",IF($D288&lt;$I288,"-1σ下","バンド内")))))</f>
      </c>
      <c r="Q288" s="684">
        <f>IF($D288="","",IFERROR(100-100/(1+SUMPRODUCT((終値!E288:R288&gt;終値!F288:S288)*(終値!E288:R288-終値!F288:S288))/SUMPRODUCT((終値!E288:R288&lt;終値!F288:S288)*(終値!F288:S288-終値!E288:R288))),100))</f>
      </c>
      <c r="R288" s="684">
        <f>IF($D288="","",IFERROR(100-100/(1+SUMPRODUCT((((高値!E288:R288+安値!E288:R288+終値!E288:R288)/3)&gt;((高値!F288:S288+安値!F288:S288+終値!F288:S288)/3))*((高値!E288:R288+安値!E288:R288+終値!E288:R288)/3)*出来高!E288:R288)/SUMPRODUCT((((高値!E288:R288+安値!E288:R288+終値!E288:R288)/3)&lt;((高値!F288:S288+安値!F288:S288+終値!F288:S288)/3))*((高値!E288:R288+安値!E288:R288+終値!E288:R288)/3)*出来高!E288:R288)),50))</f>
      </c>
      <c r="S288" s="681">
        <f>IF($D288="","",IF(AND(終値!E288&lt;終値!O288,$Q288&gt;(IFERROR(100-100/(1+SUMPRODUCT((終値!O288:AB288&gt;終値!P288:AC288)*(終値!O288:AB288-終値!P288:AC288))/SUMPRODUCT((終値!O288:AB288&lt;終値!P288:AC288)*(終値!P288:AC288-終値!O288:AB288))),100))),"強気div▲",IF(AND(終値!E288&gt;終値!O288,$Q288&lt;(IFERROR(100-100/(1+SUMPRODUCT((終値!O288:AB288&gt;終値!P288:AC288)*(終値!O288:AB288-終値!P288:AC288))/SUMPRODUCT((終値!O288:AB288&lt;終値!P288:AC288)*(終値!P288:AC288-終値!O288:AB288))),100))),"弱気div▼","－")))</f>
      </c>
      <c r="T288" s="681">
        <f>IF($D288="","",IF($D288&gt;=$H288,"上walk▲",IF($D288&lt;=$I288,"下walk▼","－")))</f>
      </c>
      <c r="U288" s="681">
        <f>IF(終値!A288="","",BB_スイング!BT288)</f>
      </c>
      <c r="V288" s="689">
        <f>IF($D288="","",IFERROR(出来高!E288/AVERAGE(出来高!E288:I288),""))</f>
      </c>
      <c r="W288" s="690">
        <f>IF($D288="","",IF(AND($D288&gt;$G288,$O288="拡大↑",$L288&lt;=$M288*1.8),"◎スクイーズブレイク買",IF(AND($D288&gt;=$H288,$R288&gt;=BB設定!$B$10),"○順張り継続(walk)",IF(AND($S288="強気div▲",$D288&gt;$I288),"○反発(ダイバ)買",IF($U288="二番底W▲","△二番底買(確)",IF($U288="二番底W形成","△二番底形成",IF($D288&lt;$J288,"▼-2σ割れ危険",IF(AND($D288&gt;$E288,$K288&lt;0.6,$R288&gt;=50),"・押し目注目",IF($N288="スクイーズ★","☆スクイーズ監視","様子見")))))))))</f>
      </c>
      <c r="X288" s="685">
        <f>IF($D288="","",MIN(100,IF($L288&lt;=$M288*1.15,20,IF($L288&lt;=$M288*1.4,10,0))+IF($D288&gt;$G288,20,IF($D288&gt;$H288,12,IF($D288&gt;$E288,5,0)))+IF($O288="拡大↑",10,0)+IF($R288&gt;=80,15,IF($R288&gt;=60,10,IF($R288&gt;=50,5,0)))+IF(AND($Q288&gt;=50,$Q288&lt;=70),10,IF($Q288&gt;70,3,IF($Q288&gt;=40,5,0)))+IF($S288="強気div▲",15,0)+IF($T288="上walk▲",5,0)+IF($V288&gt;=2,5,IF($V288&gt;=1.5,3,0))))</f>
      </c>
      <c r="Y288" s="682">
        <f>IF($D288="","",$D288)</f>
      </c>
      <c r="Z288" s="682">
        <f>IF($D288="","",$H288)</f>
      </c>
      <c r="AA288" s="682">
        <f>IF($D288="","",IF($D288&gt;$E288,$E288,$AD288))</f>
      </c>
      <c r="AB288" s="682">
        <f>IF($D288="","",$G288)</f>
      </c>
      <c r="AC288" s="688">
        <f>IF($D288="","",IF(($Y288-$AA288)&lt;=0,"－",IFERROR(ROUND(MIN(20,($AB288-$Y288)/($Y288-$AA288)),2),"－")))</f>
      </c>
      <c r="AD288" s="682">
        <f>IF($D288="","",MIN(終値!E288:I288))</f>
      </c>
      <c r="AE288" s="684">
        <f>IF($D288="","",$X288+(10000-ROW())/100000)</f>
      </c>
    </row>
    <row r="289">
      <c r="A289" s="681">
        <f>IF(終値!A289="","",HYPERLINK("https://kabutan.jp/stock/?code="&amp;終値!A289,"📈"))</f>
      </c>
      <c r="B289" s="681">
        <f>IF(終値!A289="","",終値!A289)</f>
      </c>
      <c r="C289" s="680">
        <f>IF(終値!A289="","",終値!B289)</f>
      </c>
      <c r="D289" s="682">
        <f>IF(終値!A289="","",終値!E289)</f>
      </c>
      <c r="E289" s="682">
        <f>IF($D289="","",AVERAGE(終値!E289:X289))</f>
      </c>
      <c r="F289" s="683">
        <f>IF($D289="","",STDEVP(終値!E289:X289))</f>
      </c>
      <c r="G289" s="682">
        <f>IF($D289="","",$E289+BB設定!$B$4*$F289)</f>
      </c>
      <c r="H289" s="682">
        <f>IF($D289="","",$E289+BB設定!$B$5*$F289)</f>
      </c>
      <c r="I289" s="682">
        <f>IF($D289="","",$E289-BB設定!$B$5*$F289)</f>
      </c>
      <c r="J289" s="682">
        <f>IF($D289="","",$E289-BB設定!$B$4*$F289)</f>
      </c>
      <c r="K289" s="687">
        <f>IF($D289="","",IFERROR(($D289-$J289)/($G289-$J289),""))</f>
      </c>
      <c r="L289" s="686">
        <f>IF($D289="","",IFERROR(($G289-$J289)/$E289*100,""))</f>
      </c>
      <c r="M289" s="686">
        <f>IF($D289="","",IFERROR(MIN(BB_帯幅!B289:AP289)*100,""))</f>
      </c>
      <c r="N289" s="681">
        <f>IF($L289="","",IF($L289&lt;=$M289*BB設定!$B$7,"スクイーズ★",IF($L289&lt;=$M289*1.3,"収縮","－")))</f>
      </c>
      <c r="O289" s="681">
        <f>IF($D289="","",IF($L289&gt;(4*STDEVP(終値!F289:Y289)/AVERAGE(終値!F289:Y289)*100),"拡大↑","縮小↓"))</f>
      </c>
      <c r="P289" s="681">
        <f>IF($D289="","",IF($D289&gt;$G289,"↑+2σ突破",IF($D289&lt;$J289,"↓-2σ割れ",IF($D289&gt;$H289,"+1σ上",IF($D289&lt;$I289,"-1σ下","バンド内")))))</f>
      </c>
      <c r="Q289" s="684">
        <f>IF($D289="","",IFERROR(100-100/(1+SUMPRODUCT((終値!E289:R289&gt;終値!F289:S289)*(終値!E289:R289-終値!F289:S289))/SUMPRODUCT((終値!E289:R289&lt;終値!F289:S289)*(終値!F289:S289-終値!E289:R289))),100))</f>
      </c>
      <c r="R289" s="684">
        <f>IF($D289="","",IFERROR(100-100/(1+SUMPRODUCT((((高値!E289:R289+安値!E289:R289+終値!E289:R289)/3)&gt;((高値!F289:S289+安値!F289:S289+終値!F289:S289)/3))*((高値!E289:R289+安値!E289:R289+終値!E289:R289)/3)*出来高!E289:R289)/SUMPRODUCT((((高値!E289:R289+安値!E289:R289+終値!E289:R289)/3)&lt;((高値!F289:S289+安値!F289:S289+終値!F289:S289)/3))*((高値!E289:R289+安値!E289:R289+終値!E289:R289)/3)*出来高!E289:R289)),50))</f>
      </c>
      <c r="S289" s="681">
        <f>IF($D289="","",IF(AND(終値!E289&lt;終値!O289,$Q289&gt;(IFERROR(100-100/(1+SUMPRODUCT((終値!O289:AB289&gt;終値!P289:AC289)*(終値!O289:AB289-終値!P289:AC289))/SUMPRODUCT((終値!O289:AB289&lt;終値!P289:AC289)*(終値!P289:AC289-終値!O289:AB289))),100))),"強気div▲",IF(AND(終値!E289&gt;終値!O289,$Q289&lt;(IFERROR(100-100/(1+SUMPRODUCT((終値!O289:AB289&gt;終値!P289:AC289)*(終値!O289:AB289-終値!P289:AC289))/SUMPRODUCT((終値!O289:AB289&lt;終値!P289:AC289)*(終値!P289:AC289-終値!O289:AB289))),100))),"弱気div▼","－")))</f>
      </c>
      <c r="T289" s="681">
        <f>IF($D289="","",IF($D289&gt;=$H289,"上walk▲",IF($D289&lt;=$I289,"下walk▼","－")))</f>
      </c>
      <c r="U289" s="681">
        <f>IF(終値!A289="","",BB_スイング!BT289)</f>
      </c>
      <c r="V289" s="689">
        <f>IF($D289="","",IFERROR(出来高!E289/AVERAGE(出来高!E289:I289),""))</f>
      </c>
      <c r="W289" s="690">
        <f>IF($D289="","",IF(AND($D289&gt;$G289,$O289="拡大↑",$L289&lt;=$M289*1.8),"◎スクイーズブレイク買",IF(AND($D289&gt;=$H289,$R289&gt;=BB設定!$B$10),"○順張り継続(walk)",IF(AND($S289="強気div▲",$D289&gt;$I289),"○反発(ダイバ)買",IF($U289="二番底W▲","△二番底買(確)",IF($U289="二番底W形成","△二番底形成",IF($D289&lt;$J289,"▼-2σ割れ危険",IF(AND($D289&gt;$E289,$K289&lt;0.6,$R289&gt;=50),"・押し目注目",IF($N289="スクイーズ★","☆スクイーズ監視","様子見")))))))))</f>
      </c>
      <c r="X289" s="685">
        <f>IF($D289="","",MIN(100,IF($L289&lt;=$M289*1.15,20,IF($L289&lt;=$M289*1.4,10,0))+IF($D289&gt;$G289,20,IF($D289&gt;$H289,12,IF($D289&gt;$E289,5,0)))+IF($O289="拡大↑",10,0)+IF($R289&gt;=80,15,IF($R289&gt;=60,10,IF($R289&gt;=50,5,0)))+IF(AND($Q289&gt;=50,$Q289&lt;=70),10,IF($Q289&gt;70,3,IF($Q289&gt;=40,5,0)))+IF($S289="強気div▲",15,0)+IF($T289="上walk▲",5,0)+IF($V289&gt;=2,5,IF($V289&gt;=1.5,3,0))))</f>
      </c>
      <c r="Y289" s="682">
        <f>IF($D289="","",$D289)</f>
      </c>
      <c r="Z289" s="682">
        <f>IF($D289="","",$H289)</f>
      </c>
      <c r="AA289" s="682">
        <f>IF($D289="","",IF($D289&gt;$E289,$E289,$AD289))</f>
      </c>
      <c r="AB289" s="682">
        <f>IF($D289="","",$G289)</f>
      </c>
      <c r="AC289" s="688">
        <f>IF($D289="","",IF(($Y289-$AA289)&lt;=0,"－",IFERROR(ROUND(MIN(20,($AB289-$Y289)/($Y289-$AA289)),2),"－")))</f>
      </c>
      <c r="AD289" s="682">
        <f>IF($D289="","",MIN(終値!E289:I289))</f>
      </c>
      <c r="AE289" s="684">
        <f>IF($D289="","",$X289+(10000-ROW())/100000)</f>
      </c>
    </row>
    <row r="290">
      <c r="A290" s="681">
        <f>IF(終値!A290="","",HYPERLINK("https://kabutan.jp/stock/?code="&amp;終値!A290,"📈"))</f>
      </c>
      <c r="B290" s="681">
        <f>IF(終値!A290="","",終値!A290)</f>
      </c>
      <c r="C290" s="680">
        <f>IF(終値!A290="","",終値!B290)</f>
      </c>
      <c r="D290" s="682">
        <f>IF(終値!A290="","",終値!E290)</f>
      </c>
      <c r="E290" s="682">
        <f>IF($D290="","",AVERAGE(終値!E290:X290))</f>
      </c>
      <c r="F290" s="683">
        <f>IF($D290="","",STDEVP(終値!E290:X290))</f>
      </c>
      <c r="G290" s="682">
        <f>IF($D290="","",$E290+BB設定!$B$4*$F290)</f>
      </c>
      <c r="H290" s="682">
        <f>IF($D290="","",$E290+BB設定!$B$5*$F290)</f>
      </c>
      <c r="I290" s="682">
        <f>IF($D290="","",$E290-BB設定!$B$5*$F290)</f>
      </c>
      <c r="J290" s="682">
        <f>IF($D290="","",$E290-BB設定!$B$4*$F290)</f>
      </c>
      <c r="K290" s="687">
        <f>IF($D290="","",IFERROR(($D290-$J290)/($G290-$J290),""))</f>
      </c>
      <c r="L290" s="686">
        <f>IF($D290="","",IFERROR(($G290-$J290)/$E290*100,""))</f>
      </c>
      <c r="M290" s="686">
        <f>IF($D290="","",IFERROR(MIN(BB_帯幅!B290:AP290)*100,""))</f>
      </c>
      <c r="N290" s="681">
        <f>IF($L290="","",IF($L290&lt;=$M290*BB設定!$B$7,"スクイーズ★",IF($L290&lt;=$M290*1.3,"収縮","－")))</f>
      </c>
      <c r="O290" s="681">
        <f>IF($D290="","",IF($L290&gt;(4*STDEVP(終値!F290:Y290)/AVERAGE(終値!F290:Y290)*100),"拡大↑","縮小↓"))</f>
      </c>
      <c r="P290" s="681">
        <f>IF($D290="","",IF($D290&gt;$G290,"↑+2σ突破",IF($D290&lt;$J290,"↓-2σ割れ",IF($D290&gt;$H290,"+1σ上",IF($D290&lt;$I290,"-1σ下","バンド内")))))</f>
      </c>
      <c r="Q290" s="684">
        <f>IF($D290="","",IFERROR(100-100/(1+SUMPRODUCT((終値!E290:R290&gt;終値!F290:S290)*(終値!E290:R290-終値!F290:S290))/SUMPRODUCT((終値!E290:R290&lt;終値!F290:S290)*(終値!F290:S290-終値!E290:R290))),100))</f>
      </c>
      <c r="R290" s="684">
        <f>IF($D290="","",IFERROR(100-100/(1+SUMPRODUCT((((高値!E290:R290+安値!E290:R290+終値!E290:R290)/3)&gt;((高値!F290:S290+安値!F290:S290+終値!F290:S290)/3))*((高値!E290:R290+安値!E290:R290+終値!E290:R290)/3)*出来高!E290:R290)/SUMPRODUCT((((高値!E290:R290+安値!E290:R290+終値!E290:R290)/3)&lt;((高値!F290:S290+安値!F290:S290+終値!F290:S290)/3))*((高値!E290:R290+安値!E290:R290+終値!E290:R290)/3)*出来高!E290:R290)),50))</f>
      </c>
      <c r="S290" s="681">
        <f>IF($D290="","",IF(AND(終値!E290&lt;終値!O290,$Q290&gt;(IFERROR(100-100/(1+SUMPRODUCT((終値!O290:AB290&gt;終値!P290:AC290)*(終値!O290:AB290-終値!P290:AC290))/SUMPRODUCT((終値!O290:AB290&lt;終値!P290:AC290)*(終値!P290:AC290-終値!O290:AB290))),100))),"強気div▲",IF(AND(終値!E290&gt;終値!O290,$Q290&lt;(IFERROR(100-100/(1+SUMPRODUCT((終値!O290:AB290&gt;終値!P290:AC290)*(終値!O290:AB290-終値!P290:AC290))/SUMPRODUCT((終値!O290:AB290&lt;終値!P290:AC290)*(終値!P290:AC290-終値!O290:AB290))),100))),"弱気div▼","－")))</f>
      </c>
      <c r="T290" s="681">
        <f>IF($D290="","",IF($D290&gt;=$H290,"上walk▲",IF($D290&lt;=$I290,"下walk▼","－")))</f>
      </c>
      <c r="U290" s="681">
        <f>IF(終値!A290="","",BB_スイング!BT290)</f>
      </c>
      <c r="V290" s="689">
        <f>IF($D290="","",IFERROR(出来高!E290/AVERAGE(出来高!E290:I290),""))</f>
      </c>
      <c r="W290" s="690">
        <f>IF($D290="","",IF(AND($D290&gt;$G290,$O290="拡大↑",$L290&lt;=$M290*1.8),"◎スクイーズブレイク買",IF(AND($D290&gt;=$H290,$R290&gt;=BB設定!$B$10),"○順張り継続(walk)",IF(AND($S290="強気div▲",$D290&gt;$I290),"○反発(ダイバ)買",IF($U290="二番底W▲","△二番底買(確)",IF($U290="二番底W形成","△二番底形成",IF($D290&lt;$J290,"▼-2σ割れ危険",IF(AND($D290&gt;$E290,$K290&lt;0.6,$R290&gt;=50),"・押し目注目",IF($N290="スクイーズ★","☆スクイーズ監視","様子見")))))))))</f>
      </c>
      <c r="X290" s="685">
        <f>IF($D290="","",MIN(100,IF($L290&lt;=$M290*1.15,20,IF($L290&lt;=$M290*1.4,10,0))+IF($D290&gt;$G290,20,IF($D290&gt;$H290,12,IF($D290&gt;$E290,5,0)))+IF($O290="拡大↑",10,0)+IF($R290&gt;=80,15,IF($R290&gt;=60,10,IF($R290&gt;=50,5,0)))+IF(AND($Q290&gt;=50,$Q290&lt;=70),10,IF($Q290&gt;70,3,IF($Q290&gt;=40,5,0)))+IF($S290="強気div▲",15,0)+IF($T290="上walk▲",5,0)+IF($V290&gt;=2,5,IF($V290&gt;=1.5,3,0))))</f>
      </c>
      <c r="Y290" s="682">
        <f>IF($D290="","",$D290)</f>
      </c>
      <c r="Z290" s="682">
        <f>IF($D290="","",$H290)</f>
      </c>
      <c r="AA290" s="682">
        <f>IF($D290="","",IF($D290&gt;$E290,$E290,$AD290))</f>
      </c>
      <c r="AB290" s="682">
        <f>IF($D290="","",$G290)</f>
      </c>
      <c r="AC290" s="688">
        <f>IF($D290="","",IF(($Y290-$AA290)&lt;=0,"－",IFERROR(ROUND(MIN(20,($AB290-$Y290)/($Y290-$AA290)),2),"－")))</f>
      </c>
      <c r="AD290" s="682">
        <f>IF($D290="","",MIN(終値!E290:I290))</f>
      </c>
      <c r="AE290" s="684">
        <f>IF($D290="","",$X290+(10000-ROW())/100000)</f>
      </c>
    </row>
    <row r="291">
      <c r="A291" s="681">
        <f>IF(終値!A291="","",HYPERLINK("https://kabutan.jp/stock/?code="&amp;終値!A291,"📈"))</f>
      </c>
      <c r="B291" s="681">
        <f>IF(終値!A291="","",終値!A291)</f>
      </c>
      <c r="C291" s="680">
        <f>IF(終値!A291="","",終値!B291)</f>
      </c>
      <c r="D291" s="682">
        <f>IF(終値!A291="","",終値!E291)</f>
      </c>
      <c r="E291" s="682">
        <f>IF($D291="","",AVERAGE(終値!E291:X291))</f>
      </c>
      <c r="F291" s="683">
        <f>IF($D291="","",STDEVP(終値!E291:X291))</f>
      </c>
      <c r="G291" s="682">
        <f>IF($D291="","",$E291+BB設定!$B$4*$F291)</f>
      </c>
      <c r="H291" s="682">
        <f>IF($D291="","",$E291+BB設定!$B$5*$F291)</f>
      </c>
      <c r="I291" s="682">
        <f>IF($D291="","",$E291-BB設定!$B$5*$F291)</f>
      </c>
      <c r="J291" s="682">
        <f>IF($D291="","",$E291-BB設定!$B$4*$F291)</f>
      </c>
      <c r="K291" s="687">
        <f>IF($D291="","",IFERROR(($D291-$J291)/($G291-$J291),""))</f>
      </c>
      <c r="L291" s="686">
        <f>IF($D291="","",IFERROR(($G291-$J291)/$E291*100,""))</f>
      </c>
      <c r="M291" s="686">
        <f>IF($D291="","",IFERROR(MIN(BB_帯幅!B291:AP291)*100,""))</f>
      </c>
      <c r="N291" s="681">
        <f>IF($L291="","",IF($L291&lt;=$M291*BB設定!$B$7,"スクイーズ★",IF($L291&lt;=$M291*1.3,"収縮","－")))</f>
      </c>
      <c r="O291" s="681">
        <f>IF($D291="","",IF($L291&gt;(4*STDEVP(終値!F291:Y291)/AVERAGE(終値!F291:Y291)*100),"拡大↑","縮小↓"))</f>
      </c>
      <c r="P291" s="681">
        <f>IF($D291="","",IF($D291&gt;$G291,"↑+2σ突破",IF($D291&lt;$J291,"↓-2σ割れ",IF($D291&gt;$H291,"+1σ上",IF($D291&lt;$I291,"-1σ下","バンド内")))))</f>
      </c>
      <c r="Q291" s="684">
        <f>IF($D291="","",IFERROR(100-100/(1+SUMPRODUCT((終値!E291:R291&gt;終値!F291:S291)*(終値!E291:R291-終値!F291:S291))/SUMPRODUCT((終値!E291:R291&lt;終値!F291:S291)*(終値!F291:S291-終値!E291:R291))),100))</f>
      </c>
      <c r="R291" s="684">
        <f>IF($D291="","",IFERROR(100-100/(1+SUMPRODUCT((((高値!E291:R291+安値!E291:R291+終値!E291:R291)/3)&gt;((高値!F291:S291+安値!F291:S291+終値!F291:S291)/3))*((高値!E291:R291+安値!E291:R291+終値!E291:R291)/3)*出来高!E291:R291)/SUMPRODUCT((((高値!E291:R291+安値!E291:R291+終値!E291:R291)/3)&lt;((高値!F291:S291+安値!F291:S291+終値!F291:S291)/3))*((高値!E291:R291+安値!E291:R291+終値!E291:R291)/3)*出来高!E291:R291)),50))</f>
      </c>
      <c r="S291" s="681">
        <f>IF($D291="","",IF(AND(終値!E291&lt;終値!O291,$Q291&gt;(IFERROR(100-100/(1+SUMPRODUCT((終値!O291:AB291&gt;終値!P291:AC291)*(終値!O291:AB291-終値!P291:AC291))/SUMPRODUCT((終値!O291:AB291&lt;終値!P291:AC291)*(終値!P291:AC291-終値!O291:AB291))),100))),"強気div▲",IF(AND(終値!E291&gt;終値!O291,$Q291&lt;(IFERROR(100-100/(1+SUMPRODUCT((終値!O291:AB291&gt;終値!P291:AC291)*(終値!O291:AB291-終値!P291:AC291))/SUMPRODUCT((終値!O291:AB291&lt;終値!P291:AC291)*(終値!P291:AC291-終値!O291:AB291))),100))),"弱気div▼","－")))</f>
      </c>
      <c r="T291" s="681">
        <f>IF($D291="","",IF($D291&gt;=$H291,"上walk▲",IF($D291&lt;=$I291,"下walk▼","－")))</f>
      </c>
      <c r="U291" s="681">
        <f>IF(終値!A291="","",BB_スイング!BT291)</f>
      </c>
      <c r="V291" s="689">
        <f>IF($D291="","",IFERROR(出来高!E291/AVERAGE(出来高!E291:I291),""))</f>
      </c>
      <c r="W291" s="690">
        <f>IF($D291="","",IF(AND($D291&gt;$G291,$O291="拡大↑",$L291&lt;=$M291*1.8),"◎スクイーズブレイク買",IF(AND($D291&gt;=$H291,$R291&gt;=BB設定!$B$10),"○順張り継続(walk)",IF(AND($S291="強気div▲",$D291&gt;$I291),"○反発(ダイバ)買",IF($U291="二番底W▲","△二番底買(確)",IF($U291="二番底W形成","△二番底形成",IF($D291&lt;$J291,"▼-2σ割れ危険",IF(AND($D291&gt;$E291,$K291&lt;0.6,$R291&gt;=50),"・押し目注目",IF($N291="スクイーズ★","☆スクイーズ監視","様子見")))))))))</f>
      </c>
      <c r="X291" s="685">
        <f>IF($D291="","",MIN(100,IF($L291&lt;=$M291*1.15,20,IF($L291&lt;=$M291*1.4,10,0))+IF($D291&gt;$G291,20,IF($D291&gt;$H291,12,IF($D291&gt;$E291,5,0)))+IF($O291="拡大↑",10,0)+IF($R291&gt;=80,15,IF($R291&gt;=60,10,IF($R291&gt;=50,5,0)))+IF(AND($Q291&gt;=50,$Q291&lt;=70),10,IF($Q291&gt;70,3,IF($Q291&gt;=40,5,0)))+IF($S291="強気div▲",15,0)+IF($T291="上walk▲",5,0)+IF($V291&gt;=2,5,IF($V291&gt;=1.5,3,0))))</f>
      </c>
      <c r="Y291" s="682">
        <f>IF($D291="","",$D291)</f>
      </c>
      <c r="Z291" s="682">
        <f>IF($D291="","",$H291)</f>
      </c>
      <c r="AA291" s="682">
        <f>IF($D291="","",IF($D291&gt;$E291,$E291,$AD291))</f>
      </c>
      <c r="AB291" s="682">
        <f>IF($D291="","",$G291)</f>
      </c>
      <c r="AC291" s="688">
        <f>IF($D291="","",IF(($Y291-$AA291)&lt;=0,"－",IFERROR(ROUND(MIN(20,($AB291-$Y291)/($Y291-$AA291)),2),"－")))</f>
      </c>
      <c r="AD291" s="682">
        <f>IF($D291="","",MIN(終値!E291:I291))</f>
      </c>
      <c r="AE291" s="684">
        <f>IF($D291="","",$X291+(10000-ROW())/100000)</f>
      </c>
    </row>
    <row r="292">
      <c r="A292" s="681">
        <f>IF(終値!A292="","",HYPERLINK("https://kabutan.jp/stock/?code="&amp;終値!A292,"📈"))</f>
      </c>
      <c r="B292" s="681">
        <f>IF(終値!A292="","",終値!A292)</f>
      </c>
      <c r="C292" s="680">
        <f>IF(終値!A292="","",終値!B292)</f>
      </c>
      <c r="D292" s="682">
        <f>IF(終値!A292="","",終値!E292)</f>
      </c>
      <c r="E292" s="682">
        <f>IF($D292="","",AVERAGE(終値!E292:X292))</f>
      </c>
      <c r="F292" s="683">
        <f>IF($D292="","",STDEVP(終値!E292:X292))</f>
      </c>
      <c r="G292" s="682">
        <f>IF($D292="","",$E292+BB設定!$B$4*$F292)</f>
      </c>
      <c r="H292" s="682">
        <f>IF($D292="","",$E292+BB設定!$B$5*$F292)</f>
      </c>
      <c r="I292" s="682">
        <f>IF($D292="","",$E292-BB設定!$B$5*$F292)</f>
      </c>
      <c r="J292" s="682">
        <f>IF($D292="","",$E292-BB設定!$B$4*$F292)</f>
      </c>
      <c r="K292" s="687">
        <f>IF($D292="","",IFERROR(($D292-$J292)/($G292-$J292),""))</f>
      </c>
      <c r="L292" s="686">
        <f>IF($D292="","",IFERROR(($G292-$J292)/$E292*100,""))</f>
      </c>
      <c r="M292" s="686">
        <f>IF($D292="","",IFERROR(MIN(BB_帯幅!B292:AP292)*100,""))</f>
      </c>
      <c r="N292" s="681">
        <f>IF($L292="","",IF($L292&lt;=$M292*BB設定!$B$7,"スクイーズ★",IF($L292&lt;=$M292*1.3,"収縮","－")))</f>
      </c>
      <c r="O292" s="681">
        <f>IF($D292="","",IF($L292&gt;(4*STDEVP(終値!F292:Y292)/AVERAGE(終値!F292:Y292)*100),"拡大↑","縮小↓"))</f>
      </c>
      <c r="P292" s="681">
        <f>IF($D292="","",IF($D292&gt;$G292,"↑+2σ突破",IF($D292&lt;$J292,"↓-2σ割れ",IF($D292&gt;$H292,"+1σ上",IF($D292&lt;$I292,"-1σ下","バンド内")))))</f>
      </c>
      <c r="Q292" s="684">
        <f>IF($D292="","",IFERROR(100-100/(1+SUMPRODUCT((終値!E292:R292&gt;終値!F292:S292)*(終値!E292:R292-終値!F292:S292))/SUMPRODUCT((終値!E292:R292&lt;終値!F292:S292)*(終値!F292:S292-終値!E292:R292))),100))</f>
      </c>
      <c r="R292" s="684">
        <f>IF($D292="","",IFERROR(100-100/(1+SUMPRODUCT((((高値!E292:R292+安値!E292:R292+終値!E292:R292)/3)&gt;((高値!F292:S292+安値!F292:S292+終値!F292:S292)/3))*((高値!E292:R292+安値!E292:R292+終値!E292:R292)/3)*出来高!E292:R292)/SUMPRODUCT((((高値!E292:R292+安値!E292:R292+終値!E292:R292)/3)&lt;((高値!F292:S292+安値!F292:S292+終値!F292:S292)/3))*((高値!E292:R292+安値!E292:R292+終値!E292:R292)/3)*出来高!E292:R292)),50))</f>
      </c>
      <c r="S292" s="681">
        <f>IF($D292="","",IF(AND(終値!E292&lt;終値!O292,$Q292&gt;(IFERROR(100-100/(1+SUMPRODUCT((終値!O292:AB292&gt;終値!P292:AC292)*(終値!O292:AB292-終値!P292:AC292))/SUMPRODUCT((終値!O292:AB292&lt;終値!P292:AC292)*(終値!P292:AC292-終値!O292:AB292))),100))),"強気div▲",IF(AND(終値!E292&gt;終値!O292,$Q292&lt;(IFERROR(100-100/(1+SUMPRODUCT((終値!O292:AB292&gt;終値!P292:AC292)*(終値!O292:AB292-終値!P292:AC292))/SUMPRODUCT((終値!O292:AB292&lt;終値!P292:AC292)*(終値!P292:AC292-終値!O292:AB292))),100))),"弱気div▼","－")))</f>
      </c>
      <c r="T292" s="681">
        <f>IF($D292="","",IF($D292&gt;=$H292,"上walk▲",IF($D292&lt;=$I292,"下walk▼","－")))</f>
      </c>
      <c r="U292" s="681">
        <f>IF(終値!A292="","",BB_スイング!BT292)</f>
      </c>
      <c r="V292" s="689">
        <f>IF($D292="","",IFERROR(出来高!E292/AVERAGE(出来高!E292:I292),""))</f>
      </c>
      <c r="W292" s="690">
        <f>IF($D292="","",IF(AND($D292&gt;$G292,$O292="拡大↑",$L292&lt;=$M292*1.8),"◎スクイーズブレイク買",IF(AND($D292&gt;=$H292,$R292&gt;=BB設定!$B$10),"○順張り継続(walk)",IF(AND($S292="強気div▲",$D292&gt;$I292),"○反発(ダイバ)買",IF($U292="二番底W▲","△二番底買(確)",IF($U292="二番底W形成","△二番底形成",IF($D292&lt;$J292,"▼-2σ割れ危険",IF(AND($D292&gt;$E292,$K292&lt;0.6,$R292&gt;=50),"・押し目注目",IF($N292="スクイーズ★","☆スクイーズ監視","様子見")))))))))</f>
      </c>
      <c r="X292" s="685">
        <f>IF($D292="","",MIN(100,IF($L292&lt;=$M292*1.15,20,IF($L292&lt;=$M292*1.4,10,0))+IF($D292&gt;$G292,20,IF($D292&gt;$H292,12,IF($D292&gt;$E292,5,0)))+IF($O292="拡大↑",10,0)+IF($R292&gt;=80,15,IF($R292&gt;=60,10,IF($R292&gt;=50,5,0)))+IF(AND($Q292&gt;=50,$Q292&lt;=70),10,IF($Q292&gt;70,3,IF($Q292&gt;=40,5,0)))+IF($S292="強気div▲",15,0)+IF($T292="上walk▲",5,0)+IF($V292&gt;=2,5,IF($V292&gt;=1.5,3,0))))</f>
      </c>
      <c r="Y292" s="682">
        <f>IF($D292="","",$D292)</f>
      </c>
      <c r="Z292" s="682">
        <f>IF($D292="","",$H292)</f>
      </c>
      <c r="AA292" s="682">
        <f>IF($D292="","",IF($D292&gt;$E292,$E292,$AD292))</f>
      </c>
      <c r="AB292" s="682">
        <f>IF($D292="","",$G292)</f>
      </c>
      <c r="AC292" s="688">
        <f>IF($D292="","",IF(($Y292-$AA292)&lt;=0,"－",IFERROR(ROUND(MIN(20,($AB292-$Y292)/($Y292-$AA292)),2),"－")))</f>
      </c>
      <c r="AD292" s="682">
        <f>IF($D292="","",MIN(終値!E292:I292))</f>
      </c>
      <c r="AE292" s="684">
        <f>IF($D292="","",$X292+(10000-ROW())/100000)</f>
      </c>
    </row>
    <row r="293">
      <c r="A293" s="681">
        <f>IF(終値!A293="","",HYPERLINK("https://kabutan.jp/stock/?code="&amp;終値!A293,"📈"))</f>
      </c>
      <c r="B293" s="681">
        <f>IF(終値!A293="","",終値!A293)</f>
      </c>
      <c r="C293" s="680">
        <f>IF(終値!A293="","",終値!B293)</f>
      </c>
      <c r="D293" s="682">
        <f>IF(終値!A293="","",終値!E293)</f>
      </c>
      <c r="E293" s="682">
        <f>IF($D293="","",AVERAGE(終値!E293:X293))</f>
      </c>
      <c r="F293" s="683">
        <f>IF($D293="","",STDEVP(終値!E293:X293))</f>
      </c>
      <c r="G293" s="682">
        <f>IF($D293="","",$E293+BB設定!$B$4*$F293)</f>
      </c>
      <c r="H293" s="682">
        <f>IF($D293="","",$E293+BB設定!$B$5*$F293)</f>
      </c>
      <c r="I293" s="682">
        <f>IF($D293="","",$E293-BB設定!$B$5*$F293)</f>
      </c>
      <c r="J293" s="682">
        <f>IF($D293="","",$E293-BB設定!$B$4*$F293)</f>
      </c>
      <c r="K293" s="687">
        <f>IF($D293="","",IFERROR(($D293-$J293)/($G293-$J293),""))</f>
      </c>
      <c r="L293" s="686">
        <f>IF($D293="","",IFERROR(($G293-$J293)/$E293*100,""))</f>
      </c>
      <c r="M293" s="686">
        <f>IF($D293="","",IFERROR(MIN(BB_帯幅!B293:AP293)*100,""))</f>
      </c>
      <c r="N293" s="681">
        <f>IF($L293="","",IF($L293&lt;=$M293*BB設定!$B$7,"スクイーズ★",IF($L293&lt;=$M293*1.3,"収縮","－")))</f>
      </c>
      <c r="O293" s="681">
        <f>IF($D293="","",IF($L293&gt;(4*STDEVP(終値!F293:Y293)/AVERAGE(終値!F293:Y293)*100),"拡大↑","縮小↓"))</f>
      </c>
      <c r="P293" s="681">
        <f>IF($D293="","",IF($D293&gt;$G293,"↑+2σ突破",IF($D293&lt;$J293,"↓-2σ割れ",IF($D293&gt;$H293,"+1σ上",IF($D293&lt;$I293,"-1σ下","バンド内")))))</f>
      </c>
      <c r="Q293" s="684">
        <f>IF($D293="","",IFERROR(100-100/(1+SUMPRODUCT((終値!E293:R293&gt;終値!F293:S293)*(終値!E293:R293-終値!F293:S293))/SUMPRODUCT((終値!E293:R293&lt;終値!F293:S293)*(終値!F293:S293-終値!E293:R293))),100))</f>
      </c>
      <c r="R293" s="684">
        <f>IF($D293="","",IFERROR(100-100/(1+SUMPRODUCT((((高値!E293:R293+安値!E293:R293+終値!E293:R293)/3)&gt;((高値!F293:S293+安値!F293:S293+終値!F293:S293)/3))*((高値!E293:R293+安値!E293:R293+終値!E293:R293)/3)*出来高!E293:R293)/SUMPRODUCT((((高値!E293:R293+安値!E293:R293+終値!E293:R293)/3)&lt;((高値!F293:S293+安値!F293:S293+終値!F293:S293)/3))*((高値!E293:R293+安値!E293:R293+終値!E293:R293)/3)*出来高!E293:R293)),50))</f>
      </c>
      <c r="S293" s="681">
        <f>IF($D293="","",IF(AND(終値!E293&lt;終値!O293,$Q293&gt;(IFERROR(100-100/(1+SUMPRODUCT((終値!O293:AB293&gt;終値!P293:AC293)*(終値!O293:AB293-終値!P293:AC293))/SUMPRODUCT((終値!O293:AB293&lt;終値!P293:AC293)*(終値!P293:AC293-終値!O293:AB293))),100))),"強気div▲",IF(AND(終値!E293&gt;終値!O293,$Q293&lt;(IFERROR(100-100/(1+SUMPRODUCT((終値!O293:AB293&gt;終値!P293:AC293)*(終値!O293:AB293-終値!P293:AC293))/SUMPRODUCT((終値!O293:AB293&lt;終値!P293:AC293)*(終値!P293:AC293-終値!O293:AB293))),100))),"弱気div▼","－")))</f>
      </c>
      <c r="T293" s="681">
        <f>IF($D293="","",IF($D293&gt;=$H293,"上walk▲",IF($D293&lt;=$I293,"下walk▼","－")))</f>
      </c>
      <c r="U293" s="681">
        <f>IF(終値!A293="","",BB_スイング!BT293)</f>
      </c>
      <c r="V293" s="689">
        <f>IF($D293="","",IFERROR(出来高!E293/AVERAGE(出来高!E293:I293),""))</f>
      </c>
      <c r="W293" s="690">
        <f>IF($D293="","",IF(AND($D293&gt;$G293,$O293="拡大↑",$L293&lt;=$M293*1.8),"◎スクイーズブレイク買",IF(AND($D293&gt;=$H293,$R293&gt;=BB設定!$B$10),"○順張り継続(walk)",IF(AND($S293="強気div▲",$D293&gt;$I293),"○反発(ダイバ)買",IF($U293="二番底W▲","△二番底買(確)",IF($U293="二番底W形成","△二番底形成",IF($D293&lt;$J293,"▼-2σ割れ危険",IF(AND($D293&gt;$E293,$K293&lt;0.6,$R293&gt;=50),"・押し目注目",IF($N293="スクイーズ★","☆スクイーズ監視","様子見")))))))))</f>
      </c>
      <c r="X293" s="685">
        <f>IF($D293="","",MIN(100,IF($L293&lt;=$M293*1.15,20,IF($L293&lt;=$M293*1.4,10,0))+IF($D293&gt;$G293,20,IF($D293&gt;$H293,12,IF($D293&gt;$E293,5,0)))+IF($O293="拡大↑",10,0)+IF($R293&gt;=80,15,IF($R293&gt;=60,10,IF($R293&gt;=50,5,0)))+IF(AND($Q293&gt;=50,$Q293&lt;=70),10,IF($Q293&gt;70,3,IF($Q293&gt;=40,5,0)))+IF($S293="強気div▲",15,0)+IF($T293="上walk▲",5,0)+IF($V293&gt;=2,5,IF($V293&gt;=1.5,3,0))))</f>
      </c>
      <c r="Y293" s="682">
        <f>IF($D293="","",$D293)</f>
      </c>
      <c r="Z293" s="682">
        <f>IF($D293="","",$H293)</f>
      </c>
      <c r="AA293" s="682">
        <f>IF($D293="","",IF($D293&gt;$E293,$E293,$AD293))</f>
      </c>
      <c r="AB293" s="682">
        <f>IF($D293="","",$G293)</f>
      </c>
      <c r="AC293" s="688">
        <f>IF($D293="","",IF(($Y293-$AA293)&lt;=0,"－",IFERROR(ROUND(MIN(20,($AB293-$Y293)/($Y293-$AA293)),2),"－")))</f>
      </c>
      <c r="AD293" s="682">
        <f>IF($D293="","",MIN(終値!E293:I293))</f>
      </c>
      <c r="AE293" s="684">
        <f>IF($D293="","",$X293+(10000-ROW())/100000)</f>
      </c>
    </row>
    <row r="294">
      <c r="A294" s="681">
        <f>IF(終値!A294="","",HYPERLINK("https://kabutan.jp/stock/?code="&amp;終値!A294,"📈"))</f>
      </c>
      <c r="B294" s="681">
        <f>IF(終値!A294="","",終値!A294)</f>
      </c>
      <c r="C294" s="680">
        <f>IF(終値!A294="","",終値!B294)</f>
      </c>
      <c r="D294" s="682">
        <f>IF(終値!A294="","",終値!E294)</f>
      </c>
      <c r="E294" s="682">
        <f>IF($D294="","",AVERAGE(終値!E294:X294))</f>
      </c>
      <c r="F294" s="683">
        <f>IF($D294="","",STDEVP(終値!E294:X294))</f>
      </c>
      <c r="G294" s="682">
        <f>IF($D294="","",$E294+BB設定!$B$4*$F294)</f>
      </c>
      <c r="H294" s="682">
        <f>IF($D294="","",$E294+BB設定!$B$5*$F294)</f>
      </c>
      <c r="I294" s="682">
        <f>IF($D294="","",$E294-BB設定!$B$5*$F294)</f>
      </c>
      <c r="J294" s="682">
        <f>IF($D294="","",$E294-BB設定!$B$4*$F294)</f>
      </c>
      <c r="K294" s="687">
        <f>IF($D294="","",IFERROR(($D294-$J294)/($G294-$J294),""))</f>
      </c>
      <c r="L294" s="686">
        <f>IF($D294="","",IFERROR(($G294-$J294)/$E294*100,""))</f>
      </c>
      <c r="M294" s="686">
        <f>IF($D294="","",IFERROR(MIN(BB_帯幅!B294:AP294)*100,""))</f>
      </c>
      <c r="N294" s="681">
        <f>IF($L294="","",IF($L294&lt;=$M294*BB設定!$B$7,"スクイーズ★",IF($L294&lt;=$M294*1.3,"収縮","－")))</f>
      </c>
      <c r="O294" s="681">
        <f>IF($D294="","",IF($L294&gt;(4*STDEVP(終値!F294:Y294)/AVERAGE(終値!F294:Y294)*100),"拡大↑","縮小↓"))</f>
      </c>
      <c r="P294" s="681">
        <f>IF($D294="","",IF($D294&gt;$G294,"↑+2σ突破",IF($D294&lt;$J294,"↓-2σ割れ",IF($D294&gt;$H294,"+1σ上",IF($D294&lt;$I294,"-1σ下","バンド内")))))</f>
      </c>
      <c r="Q294" s="684">
        <f>IF($D294="","",IFERROR(100-100/(1+SUMPRODUCT((終値!E294:R294&gt;終値!F294:S294)*(終値!E294:R294-終値!F294:S294))/SUMPRODUCT((終値!E294:R294&lt;終値!F294:S294)*(終値!F294:S294-終値!E294:R294))),100))</f>
      </c>
      <c r="R294" s="684">
        <f>IF($D294="","",IFERROR(100-100/(1+SUMPRODUCT((((高値!E294:R294+安値!E294:R294+終値!E294:R294)/3)&gt;((高値!F294:S294+安値!F294:S294+終値!F294:S294)/3))*((高値!E294:R294+安値!E294:R294+終値!E294:R294)/3)*出来高!E294:R294)/SUMPRODUCT((((高値!E294:R294+安値!E294:R294+終値!E294:R294)/3)&lt;((高値!F294:S294+安値!F294:S294+終値!F294:S294)/3))*((高値!E294:R294+安値!E294:R294+終値!E294:R294)/3)*出来高!E294:R294)),50))</f>
      </c>
      <c r="S294" s="681">
        <f>IF($D294="","",IF(AND(終値!E294&lt;終値!O294,$Q294&gt;(IFERROR(100-100/(1+SUMPRODUCT((終値!O294:AB294&gt;終値!P294:AC294)*(終値!O294:AB294-終値!P294:AC294))/SUMPRODUCT((終値!O294:AB294&lt;終値!P294:AC294)*(終値!P294:AC294-終値!O294:AB294))),100))),"強気div▲",IF(AND(終値!E294&gt;終値!O294,$Q294&lt;(IFERROR(100-100/(1+SUMPRODUCT((終値!O294:AB294&gt;終値!P294:AC294)*(終値!O294:AB294-終値!P294:AC294))/SUMPRODUCT((終値!O294:AB294&lt;終値!P294:AC294)*(終値!P294:AC294-終値!O294:AB294))),100))),"弱気div▼","－")))</f>
      </c>
      <c r="T294" s="681">
        <f>IF($D294="","",IF($D294&gt;=$H294,"上walk▲",IF($D294&lt;=$I294,"下walk▼","－")))</f>
      </c>
      <c r="U294" s="681">
        <f>IF(終値!A294="","",BB_スイング!BT294)</f>
      </c>
      <c r="V294" s="689">
        <f>IF($D294="","",IFERROR(出来高!E294/AVERAGE(出来高!E294:I294),""))</f>
      </c>
      <c r="W294" s="690">
        <f>IF($D294="","",IF(AND($D294&gt;$G294,$O294="拡大↑",$L294&lt;=$M294*1.8),"◎スクイーズブレイク買",IF(AND($D294&gt;=$H294,$R294&gt;=BB設定!$B$10),"○順張り継続(walk)",IF(AND($S294="強気div▲",$D294&gt;$I294),"○反発(ダイバ)買",IF($U294="二番底W▲","△二番底買(確)",IF($U294="二番底W形成","△二番底形成",IF($D294&lt;$J294,"▼-2σ割れ危険",IF(AND($D294&gt;$E294,$K294&lt;0.6,$R294&gt;=50),"・押し目注目",IF($N294="スクイーズ★","☆スクイーズ監視","様子見")))))))))</f>
      </c>
      <c r="X294" s="685">
        <f>IF($D294="","",MIN(100,IF($L294&lt;=$M294*1.15,20,IF($L294&lt;=$M294*1.4,10,0))+IF($D294&gt;$G294,20,IF($D294&gt;$H294,12,IF($D294&gt;$E294,5,0)))+IF($O294="拡大↑",10,0)+IF($R294&gt;=80,15,IF($R294&gt;=60,10,IF($R294&gt;=50,5,0)))+IF(AND($Q294&gt;=50,$Q294&lt;=70),10,IF($Q294&gt;70,3,IF($Q294&gt;=40,5,0)))+IF($S294="強気div▲",15,0)+IF($T294="上walk▲",5,0)+IF($V294&gt;=2,5,IF($V294&gt;=1.5,3,0))))</f>
      </c>
      <c r="Y294" s="682">
        <f>IF($D294="","",$D294)</f>
      </c>
      <c r="Z294" s="682">
        <f>IF($D294="","",$H294)</f>
      </c>
      <c r="AA294" s="682">
        <f>IF($D294="","",IF($D294&gt;$E294,$E294,$AD294))</f>
      </c>
      <c r="AB294" s="682">
        <f>IF($D294="","",$G294)</f>
      </c>
      <c r="AC294" s="688">
        <f>IF($D294="","",IF(($Y294-$AA294)&lt;=0,"－",IFERROR(ROUND(MIN(20,($AB294-$Y294)/($Y294-$AA294)),2),"－")))</f>
      </c>
      <c r="AD294" s="682">
        <f>IF($D294="","",MIN(終値!E294:I294))</f>
      </c>
      <c r="AE294" s="684">
        <f>IF($D294="","",$X294+(10000-ROW())/100000)</f>
      </c>
    </row>
    <row r="295">
      <c r="A295" s="681">
        <f>IF(終値!A295="","",HYPERLINK("https://kabutan.jp/stock/?code="&amp;終値!A295,"📈"))</f>
      </c>
      <c r="B295" s="681">
        <f>IF(終値!A295="","",終値!A295)</f>
      </c>
      <c r="C295" s="680">
        <f>IF(終値!A295="","",終値!B295)</f>
      </c>
      <c r="D295" s="682">
        <f>IF(終値!A295="","",終値!E295)</f>
      </c>
      <c r="E295" s="682">
        <f>IF($D295="","",AVERAGE(終値!E295:X295))</f>
      </c>
      <c r="F295" s="683">
        <f>IF($D295="","",STDEVP(終値!E295:X295))</f>
      </c>
      <c r="G295" s="682">
        <f>IF($D295="","",$E295+BB設定!$B$4*$F295)</f>
      </c>
      <c r="H295" s="682">
        <f>IF($D295="","",$E295+BB設定!$B$5*$F295)</f>
      </c>
      <c r="I295" s="682">
        <f>IF($D295="","",$E295-BB設定!$B$5*$F295)</f>
      </c>
      <c r="J295" s="682">
        <f>IF($D295="","",$E295-BB設定!$B$4*$F295)</f>
      </c>
      <c r="K295" s="687">
        <f>IF($D295="","",IFERROR(($D295-$J295)/($G295-$J295),""))</f>
      </c>
      <c r="L295" s="686">
        <f>IF($D295="","",IFERROR(($G295-$J295)/$E295*100,""))</f>
      </c>
      <c r="M295" s="686">
        <f>IF($D295="","",IFERROR(MIN(BB_帯幅!B295:AP295)*100,""))</f>
      </c>
      <c r="N295" s="681">
        <f>IF($L295="","",IF($L295&lt;=$M295*BB設定!$B$7,"スクイーズ★",IF($L295&lt;=$M295*1.3,"収縮","－")))</f>
      </c>
      <c r="O295" s="681">
        <f>IF($D295="","",IF($L295&gt;(4*STDEVP(終値!F295:Y295)/AVERAGE(終値!F295:Y295)*100),"拡大↑","縮小↓"))</f>
      </c>
      <c r="P295" s="681">
        <f>IF($D295="","",IF($D295&gt;$G295,"↑+2σ突破",IF($D295&lt;$J295,"↓-2σ割れ",IF($D295&gt;$H295,"+1σ上",IF($D295&lt;$I295,"-1σ下","バンド内")))))</f>
      </c>
      <c r="Q295" s="684">
        <f>IF($D295="","",IFERROR(100-100/(1+SUMPRODUCT((終値!E295:R295&gt;終値!F295:S295)*(終値!E295:R295-終値!F295:S295))/SUMPRODUCT((終値!E295:R295&lt;終値!F295:S295)*(終値!F295:S295-終値!E295:R295))),100))</f>
      </c>
      <c r="R295" s="684">
        <f>IF($D295="","",IFERROR(100-100/(1+SUMPRODUCT((((高値!E295:R295+安値!E295:R295+終値!E295:R295)/3)&gt;((高値!F295:S295+安値!F295:S295+終値!F295:S295)/3))*((高値!E295:R295+安値!E295:R295+終値!E295:R295)/3)*出来高!E295:R295)/SUMPRODUCT((((高値!E295:R295+安値!E295:R295+終値!E295:R295)/3)&lt;((高値!F295:S295+安値!F295:S295+終値!F295:S295)/3))*((高値!E295:R295+安値!E295:R295+終値!E295:R295)/3)*出来高!E295:R295)),50))</f>
      </c>
      <c r="S295" s="681">
        <f>IF($D295="","",IF(AND(終値!E295&lt;終値!O295,$Q295&gt;(IFERROR(100-100/(1+SUMPRODUCT((終値!O295:AB295&gt;終値!P295:AC295)*(終値!O295:AB295-終値!P295:AC295))/SUMPRODUCT((終値!O295:AB295&lt;終値!P295:AC295)*(終値!P295:AC295-終値!O295:AB295))),100))),"強気div▲",IF(AND(終値!E295&gt;終値!O295,$Q295&lt;(IFERROR(100-100/(1+SUMPRODUCT((終値!O295:AB295&gt;終値!P295:AC295)*(終値!O295:AB295-終値!P295:AC295))/SUMPRODUCT((終値!O295:AB295&lt;終値!P295:AC295)*(終値!P295:AC295-終値!O295:AB295))),100))),"弱気div▼","－")))</f>
      </c>
      <c r="T295" s="681">
        <f>IF($D295="","",IF($D295&gt;=$H295,"上walk▲",IF($D295&lt;=$I295,"下walk▼","－")))</f>
      </c>
      <c r="U295" s="681">
        <f>IF(終値!A295="","",BB_スイング!BT295)</f>
      </c>
      <c r="V295" s="689">
        <f>IF($D295="","",IFERROR(出来高!E295/AVERAGE(出来高!E295:I295),""))</f>
      </c>
      <c r="W295" s="690">
        <f>IF($D295="","",IF(AND($D295&gt;$G295,$O295="拡大↑",$L295&lt;=$M295*1.8),"◎スクイーズブレイク買",IF(AND($D295&gt;=$H295,$R295&gt;=BB設定!$B$10),"○順張り継続(walk)",IF(AND($S295="強気div▲",$D295&gt;$I295),"○反発(ダイバ)買",IF($U295="二番底W▲","△二番底買(確)",IF($U295="二番底W形成","△二番底形成",IF($D295&lt;$J295,"▼-2σ割れ危険",IF(AND($D295&gt;$E295,$K295&lt;0.6,$R295&gt;=50),"・押し目注目",IF($N295="スクイーズ★","☆スクイーズ監視","様子見")))))))))</f>
      </c>
      <c r="X295" s="685">
        <f>IF($D295="","",MIN(100,IF($L295&lt;=$M295*1.15,20,IF($L295&lt;=$M295*1.4,10,0))+IF($D295&gt;$G295,20,IF($D295&gt;$H295,12,IF($D295&gt;$E295,5,0)))+IF($O295="拡大↑",10,0)+IF($R295&gt;=80,15,IF($R295&gt;=60,10,IF($R295&gt;=50,5,0)))+IF(AND($Q295&gt;=50,$Q295&lt;=70),10,IF($Q295&gt;70,3,IF($Q295&gt;=40,5,0)))+IF($S295="強気div▲",15,0)+IF($T295="上walk▲",5,0)+IF($V295&gt;=2,5,IF($V295&gt;=1.5,3,0))))</f>
      </c>
      <c r="Y295" s="682">
        <f>IF($D295="","",$D295)</f>
      </c>
      <c r="Z295" s="682">
        <f>IF($D295="","",$H295)</f>
      </c>
      <c r="AA295" s="682">
        <f>IF($D295="","",IF($D295&gt;$E295,$E295,$AD295))</f>
      </c>
      <c r="AB295" s="682">
        <f>IF($D295="","",$G295)</f>
      </c>
      <c r="AC295" s="688">
        <f>IF($D295="","",IF(($Y295-$AA295)&lt;=0,"－",IFERROR(ROUND(MIN(20,($AB295-$Y295)/($Y295-$AA295)),2),"－")))</f>
      </c>
      <c r="AD295" s="682">
        <f>IF($D295="","",MIN(終値!E295:I295))</f>
      </c>
      <c r="AE295" s="684">
        <f>IF($D295="","",$X295+(10000-ROW())/100000)</f>
      </c>
    </row>
    <row r="296">
      <c r="A296" s="681">
        <f>IF(終値!A296="","",HYPERLINK("https://kabutan.jp/stock/?code="&amp;終値!A296,"📈"))</f>
      </c>
      <c r="B296" s="681">
        <f>IF(終値!A296="","",終値!A296)</f>
      </c>
      <c r="C296" s="680">
        <f>IF(終値!A296="","",終値!B296)</f>
      </c>
      <c r="D296" s="682">
        <f>IF(終値!A296="","",終値!E296)</f>
      </c>
      <c r="E296" s="682">
        <f>IF($D296="","",AVERAGE(終値!E296:X296))</f>
      </c>
      <c r="F296" s="683">
        <f>IF($D296="","",STDEVP(終値!E296:X296))</f>
      </c>
      <c r="G296" s="682">
        <f>IF($D296="","",$E296+BB設定!$B$4*$F296)</f>
      </c>
      <c r="H296" s="682">
        <f>IF($D296="","",$E296+BB設定!$B$5*$F296)</f>
      </c>
      <c r="I296" s="682">
        <f>IF($D296="","",$E296-BB設定!$B$5*$F296)</f>
      </c>
      <c r="J296" s="682">
        <f>IF($D296="","",$E296-BB設定!$B$4*$F296)</f>
      </c>
      <c r="K296" s="687">
        <f>IF($D296="","",IFERROR(($D296-$J296)/($G296-$J296),""))</f>
      </c>
      <c r="L296" s="686">
        <f>IF($D296="","",IFERROR(($G296-$J296)/$E296*100,""))</f>
      </c>
      <c r="M296" s="686">
        <f>IF($D296="","",IFERROR(MIN(BB_帯幅!B296:AP296)*100,""))</f>
      </c>
      <c r="N296" s="681">
        <f>IF($L296="","",IF($L296&lt;=$M296*BB設定!$B$7,"スクイーズ★",IF($L296&lt;=$M296*1.3,"収縮","－")))</f>
      </c>
      <c r="O296" s="681">
        <f>IF($D296="","",IF($L296&gt;(4*STDEVP(終値!F296:Y296)/AVERAGE(終値!F296:Y296)*100),"拡大↑","縮小↓"))</f>
      </c>
      <c r="P296" s="681">
        <f>IF($D296="","",IF($D296&gt;$G296,"↑+2σ突破",IF($D296&lt;$J296,"↓-2σ割れ",IF($D296&gt;$H296,"+1σ上",IF($D296&lt;$I296,"-1σ下","バンド内")))))</f>
      </c>
      <c r="Q296" s="684">
        <f>IF($D296="","",IFERROR(100-100/(1+SUMPRODUCT((終値!E296:R296&gt;終値!F296:S296)*(終値!E296:R296-終値!F296:S296))/SUMPRODUCT((終値!E296:R296&lt;終値!F296:S296)*(終値!F296:S296-終値!E296:R296))),100))</f>
      </c>
      <c r="R296" s="684">
        <f>IF($D296="","",IFERROR(100-100/(1+SUMPRODUCT((((高値!E296:R296+安値!E296:R296+終値!E296:R296)/3)&gt;((高値!F296:S296+安値!F296:S296+終値!F296:S296)/3))*((高値!E296:R296+安値!E296:R296+終値!E296:R296)/3)*出来高!E296:R296)/SUMPRODUCT((((高値!E296:R296+安値!E296:R296+終値!E296:R296)/3)&lt;((高値!F296:S296+安値!F296:S296+終値!F296:S296)/3))*((高値!E296:R296+安値!E296:R296+終値!E296:R296)/3)*出来高!E296:R296)),50))</f>
      </c>
      <c r="S296" s="681">
        <f>IF($D296="","",IF(AND(終値!E296&lt;終値!O296,$Q296&gt;(IFERROR(100-100/(1+SUMPRODUCT((終値!O296:AB296&gt;終値!P296:AC296)*(終値!O296:AB296-終値!P296:AC296))/SUMPRODUCT((終値!O296:AB296&lt;終値!P296:AC296)*(終値!P296:AC296-終値!O296:AB296))),100))),"強気div▲",IF(AND(終値!E296&gt;終値!O296,$Q296&lt;(IFERROR(100-100/(1+SUMPRODUCT((終値!O296:AB296&gt;終値!P296:AC296)*(終値!O296:AB296-終値!P296:AC296))/SUMPRODUCT((終値!O296:AB296&lt;終値!P296:AC296)*(終値!P296:AC296-終値!O296:AB296))),100))),"弱気div▼","－")))</f>
      </c>
      <c r="T296" s="681">
        <f>IF($D296="","",IF($D296&gt;=$H296,"上walk▲",IF($D296&lt;=$I296,"下walk▼","－")))</f>
      </c>
      <c r="U296" s="681">
        <f>IF(終値!A296="","",BB_スイング!BT296)</f>
      </c>
      <c r="V296" s="689">
        <f>IF($D296="","",IFERROR(出来高!E296/AVERAGE(出来高!E296:I296),""))</f>
      </c>
      <c r="W296" s="690">
        <f>IF($D296="","",IF(AND($D296&gt;$G296,$O296="拡大↑",$L296&lt;=$M296*1.8),"◎スクイーズブレイク買",IF(AND($D296&gt;=$H296,$R296&gt;=BB設定!$B$10),"○順張り継続(walk)",IF(AND($S296="強気div▲",$D296&gt;$I296),"○反発(ダイバ)買",IF($U296="二番底W▲","△二番底買(確)",IF($U296="二番底W形成","△二番底形成",IF($D296&lt;$J296,"▼-2σ割れ危険",IF(AND($D296&gt;$E296,$K296&lt;0.6,$R296&gt;=50),"・押し目注目",IF($N296="スクイーズ★","☆スクイーズ監視","様子見")))))))))</f>
      </c>
      <c r="X296" s="685">
        <f>IF($D296="","",MIN(100,IF($L296&lt;=$M296*1.15,20,IF($L296&lt;=$M296*1.4,10,0))+IF($D296&gt;$G296,20,IF($D296&gt;$H296,12,IF($D296&gt;$E296,5,0)))+IF($O296="拡大↑",10,0)+IF($R296&gt;=80,15,IF($R296&gt;=60,10,IF($R296&gt;=50,5,0)))+IF(AND($Q296&gt;=50,$Q296&lt;=70),10,IF($Q296&gt;70,3,IF($Q296&gt;=40,5,0)))+IF($S296="強気div▲",15,0)+IF($T296="上walk▲",5,0)+IF($V296&gt;=2,5,IF($V296&gt;=1.5,3,0))))</f>
      </c>
      <c r="Y296" s="682">
        <f>IF($D296="","",$D296)</f>
      </c>
      <c r="Z296" s="682">
        <f>IF($D296="","",$H296)</f>
      </c>
      <c r="AA296" s="682">
        <f>IF($D296="","",IF($D296&gt;$E296,$E296,$AD296))</f>
      </c>
      <c r="AB296" s="682">
        <f>IF($D296="","",$G296)</f>
      </c>
      <c r="AC296" s="688">
        <f>IF($D296="","",IF(($Y296-$AA296)&lt;=0,"－",IFERROR(ROUND(MIN(20,($AB296-$Y296)/($Y296-$AA296)),2),"－")))</f>
      </c>
      <c r="AD296" s="682">
        <f>IF($D296="","",MIN(終値!E296:I296))</f>
      </c>
      <c r="AE296" s="684">
        <f>IF($D296="","",$X296+(10000-ROW())/100000)</f>
      </c>
    </row>
    <row r="297">
      <c r="A297" s="681">
        <f>IF(終値!A297="","",HYPERLINK("https://kabutan.jp/stock/?code="&amp;終値!A297,"📈"))</f>
      </c>
      <c r="B297" s="681">
        <f>IF(終値!A297="","",終値!A297)</f>
      </c>
      <c r="C297" s="680">
        <f>IF(終値!A297="","",終値!B297)</f>
      </c>
      <c r="D297" s="682">
        <f>IF(終値!A297="","",終値!E297)</f>
      </c>
      <c r="E297" s="682">
        <f>IF($D297="","",AVERAGE(終値!E297:X297))</f>
      </c>
      <c r="F297" s="683">
        <f>IF($D297="","",STDEVP(終値!E297:X297))</f>
      </c>
      <c r="G297" s="682">
        <f>IF($D297="","",$E297+BB設定!$B$4*$F297)</f>
      </c>
      <c r="H297" s="682">
        <f>IF($D297="","",$E297+BB設定!$B$5*$F297)</f>
      </c>
      <c r="I297" s="682">
        <f>IF($D297="","",$E297-BB設定!$B$5*$F297)</f>
      </c>
      <c r="J297" s="682">
        <f>IF($D297="","",$E297-BB設定!$B$4*$F297)</f>
      </c>
      <c r="K297" s="687">
        <f>IF($D297="","",IFERROR(($D297-$J297)/($G297-$J297),""))</f>
      </c>
      <c r="L297" s="686">
        <f>IF($D297="","",IFERROR(($G297-$J297)/$E297*100,""))</f>
      </c>
      <c r="M297" s="686">
        <f>IF($D297="","",IFERROR(MIN(BB_帯幅!B297:AP297)*100,""))</f>
      </c>
      <c r="N297" s="681">
        <f>IF($L297="","",IF($L297&lt;=$M297*BB設定!$B$7,"スクイーズ★",IF($L297&lt;=$M297*1.3,"収縮","－")))</f>
      </c>
      <c r="O297" s="681">
        <f>IF($D297="","",IF($L297&gt;(4*STDEVP(終値!F297:Y297)/AVERAGE(終値!F297:Y297)*100),"拡大↑","縮小↓"))</f>
      </c>
      <c r="P297" s="681">
        <f>IF($D297="","",IF($D297&gt;$G297,"↑+2σ突破",IF($D297&lt;$J297,"↓-2σ割れ",IF($D297&gt;$H297,"+1σ上",IF($D297&lt;$I297,"-1σ下","バンド内")))))</f>
      </c>
      <c r="Q297" s="684">
        <f>IF($D297="","",IFERROR(100-100/(1+SUMPRODUCT((終値!E297:R297&gt;終値!F297:S297)*(終値!E297:R297-終値!F297:S297))/SUMPRODUCT((終値!E297:R297&lt;終値!F297:S297)*(終値!F297:S297-終値!E297:R297))),100))</f>
      </c>
      <c r="R297" s="684">
        <f>IF($D297="","",IFERROR(100-100/(1+SUMPRODUCT((((高値!E297:R297+安値!E297:R297+終値!E297:R297)/3)&gt;((高値!F297:S297+安値!F297:S297+終値!F297:S297)/3))*((高値!E297:R297+安値!E297:R297+終値!E297:R297)/3)*出来高!E297:R297)/SUMPRODUCT((((高値!E297:R297+安値!E297:R297+終値!E297:R297)/3)&lt;((高値!F297:S297+安値!F297:S297+終値!F297:S297)/3))*((高値!E297:R297+安値!E297:R297+終値!E297:R297)/3)*出来高!E297:R297)),50))</f>
      </c>
      <c r="S297" s="681">
        <f>IF($D297="","",IF(AND(終値!E297&lt;終値!O297,$Q297&gt;(IFERROR(100-100/(1+SUMPRODUCT((終値!O297:AB297&gt;終値!P297:AC297)*(終値!O297:AB297-終値!P297:AC297))/SUMPRODUCT((終値!O297:AB297&lt;終値!P297:AC297)*(終値!P297:AC297-終値!O297:AB297))),100))),"強気div▲",IF(AND(終値!E297&gt;終値!O297,$Q297&lt;(IFERROR(100-100/(1+SUMPRODUCT((終値!O297:AB297&gt;終値!P297:AC297)*(終値!O297:AB297-終値!P297:AC297))/SUMPRODUCT((終値!O297:AB297&lt;終値!P297:AC297)*(終値!P297:AC297-終値!O297:AB297))),100))),"弱気div▼","－")))</f>
      </c>
      <c r="T297" s="681">
        <f>IF($D297="","",IF($D297&gt;=$H297,"上walk▲",IF($D297&lt;=$I297,"下walk▼","－")))</f>
      </c>
      <c r="U297" s="681">
        <f>IF(終値!A297="","",BB_スイング!BT297)</f>
      </c>
      <c r="V297" s="689">
        <f>IF($D297="","",IFERROR(出来高!E297/AVERAGE(出来高!E297:I297),""))</f>
      </c>
      <c r="W297" s="690">
        <f>IF($D297="","",IF(AND($D297&gt;$G297,$O297="拡大↑",$L297&lt;=$M297*1.8),"◎スクイーズブレイク買",IF(AND($D297&gt;=$H297,$R297&gt;=BB設定!$B$10),"○順張り継続(walk)",IF(AND($S297="強気div▲",$D297&gt;$I297),"○反発(ダイバ)買",IF($U297="二番底W▲","△二番底買(確)",IF($U297="二番底W形成","△二番底形成",IF($D297&lt;$J297,"▼-2σ割れ危険",IF(AND($D297&gt;$E297,$K297&lt;0.6,$R297&gt;=50),"・押し目注目",IF($N297="スクイーズ★","☆スクイーズ監視","様子見")))))))))</f>
      </c>
      <c r="X297" s="685">
        <f>IF($D297="","",MIN(100,IF($L297&lt;=$M297*1.15,20,IF($L297&lt;=$M297*1.4,10,0))+IF($D297&gt;$G297,20,IF($D297&gt;$H297,12,IF($D297&gt;$E297,5,0)))+IF($O297="拡大↑",10,0)+IF($R297&gt;=80,15,IF($R297&gt;=60,10,IF($R297&gt;=50,5,0)))+IF(AND($Q297&gt;=50,$Q297&lt;=70),10,IF($Q297&gt;70,3,IF($Q297&gt;=40,5,0)))+IF($S297="強気div▲",15,0)+IF($T297="上walk▲",5,0)+IF($V297&gt;=2,5,IF($V297&gt;=1.5,3,0))))</f>
      </c>
      <c r="Y297" s="682">
        <f>IF($D297="","",$D297)</f>
      </c>
      <c r="Z297" s="682">
        <f>IF($D297="","",$H297)</f>
      </c>
      <c r="AA297" s="682">
        <f>IF($D297="","",IF($D297&gt;$E297,$E297,$AD297))</f>
      </c>
      <c r="AB297" s="682">
        <f>IF($D297="","",$G297)</f>
      </c>
      <c r="AC297" s="688">
        <f>IF($D297="","",IF(($Y297-$AA297)&lt;=0,"－",IFERROR(ROUND(MIN(20,($AB297-$Y297)/($Y297-$AA297)),2),"－")))</f>
      </c>
      <c r="AD297" s="682">
        <f>IF($D297="","",MIN(終値!E297:I297))</f>
      </c>
      <c r="AE297" s="684">
        <f>IF($D297="","",$X297+(10000-ROW())/100000)</f>
      </c>
    </row>
    <row r="298">
      <c r="A298" s="681">
        <f>IF(終値!A298="","",HYPERLINK("https://kabutan.jp/stock/?code="&amp;終値!A298,"📈"))</f>
      </c>
      <c r="B298" s="681">
        <f>IF(終値!A298="","",終値!A298)</f>
      </c>
      <c r="C298" s="680">
        <f>IF(終値!A298="","",終値!B298)</f>
      </c>
      <c r="D298" s="682">
        <f>IF(終値!A298="","",終値!E298)</f>
      </c>
      <c r="E298" s="682">
        <f>IF($D298="","",AVERAGE(終値!E298:X298))</f>
      </c>
      <c r="F298" s="683">
        <f>IF($D298="","",STDEVP(終値!E298:X298))</f>
      </c>
      <c r="G298" s="682">
        <f>IF($D298="","",$E298+BB設定!$B$4*$F298)</f>
      </c>
      <c r="H298" s="682">
        <f>IF($D298="","",$E298+BB設定!$B$5*$F298)</f>
      </c>
      <c r="I298" s="682">
        <f>IF($D298="","",$E298-BB設定!$B$5*$F298)</f>
      </c>
      <c r="J298" s="682">
        <f>IF($D298="","",$E298-BB設定!$B$4*$F298)</f>
      </c>
      <c r="K298" s="687">
        <f>IF($D298="","",IFERROR(($D298-$J298)/($G298-$J298),""))</f>
      </c>
      <c r="L298" s="686">
        <f>IF($D298="","",IFERROR(($G298-$J298)/$E298*100,""))</f>
      </c>
      <c r="M298" s="686">
        <f>IF($D298="","",IFERROR(MIN(BB_帯幅!B298:AP298)*100,""))</f>
      </c>
      <c r="N298" s="681">
        <f>IF($L298="","",IF($L298&lt;=$M298*BB設定!$B$7,"スクイーズ★",IF($L298&lt;=$M298*1.3,"収縮","－")))</f>
      </c>
      <c r="O298" s="681">
        <f>IF($D298="","",IF($L298&gt;(4*STDEVP(終値!F298:Y298)/AVERAGE(終値!F298:Y298)*100),"拡大↑","縮小↓"))</f>
      </c>
      <c r="P298" s="681">
        <f>IF($D298="","",IF($D298&gt;$G298,"↑+2σ突破",IF($D298&lt;$J298,"↓-2σ割れ",IF($D298&gt;$H298,"+1σ上",IF($D298&lt;$I298,"-1σ下","バンド内")))))</f>
      </c>
      <c r="Q298" s="684">
        <f>IF($D298="","",IFERROR(100-100/(1+SUMPRODUCT((終値!E298:R298&gt;終値!F298:S298)*(終値!E298:R298-終値!F298:S298))/SUMPRODUCT((終値!E298:R298&lt;終値!F298:S298)*(終値!F298:S298-終値!E298:R298))),100))</f>
      </c>
      <c r="R298" s="684">
        <f>IF($D298="","",IFERROR(100-100/(1+SUMPRODUCT((((高値!E298:R298+安値!E298:R298+終値!E298:R298)/3)&gt;((高値!F298:S298+安値!F298:S298+終値!F298:S298)/3))*((高値!E298:R298+安値!E298:R298+終値!E298:R298)/3)*出来高!E298:R298)/SUMPRODUCT((((高値!E298:R298+安値!E298:R298+終値!E298:R298)/3)&lt;((高値!F298:S298+安値!F298:S298+終値!F298:S298)/3))*((高値!E298:R298+安値!E298:R298+終値!E298:R298)/3)*出来高!E298:R298)),50))</f>
      </c>
      <c r="S298" s="681">
        <f>IF($D298="","",IF(AND(終値!E298&lt;終値!O298,$Q298&gt;(IFERROR(100-100/(1+SUMPRODUCT((終値!O298:AB298&gt;終値!P298:AC298)*(終値!O298:AB298-終値!P298:AC298))/SUMPRODUCT((終値!O298:AB298&lt;終値!P298:AC298)*(終値!P298:AC298-終値!O298:AB298))),100))),"強気div▲",IF(AND(終値!E298&gt;終値!O298,$Q298&lt;(IFERROR(100-100/(1+SUMPRODUCT((終値!O298:AB298&gt;終値!P298:AC298)*(終値!O298:AB298-終値!P298:AC298))/SUMPRODUCT((終値!O298:AB298&lt;終値!P298:AC298)*(終値!P298:AC298-終値!O298:AB298))),100))),"弱気div▼","－")))</f>
      </c>
      <c r="T298" s="681">
        <f>IF($D298="","",IF($D298&gt;=$H298,"上walk▲",IF($D298&lt;=$I298,"下walk▼","－")))</f>
      </c>
      <c r="U298" s="681">
        <f>IF(終値!A298="","",BB_スイング!BT298)</f>
      </c>
      <c r="V298" s="689">
        <f>IF($D298="","",IFERROR(出来高!E298/AVERAGE(出来高!E298:I298),""))</f>
      </c>
      <c r="W298" s="690">
        <f>IF($D298="","",IF(AND($D298&gt;$G298,$O298="拡大↑",$L298&lt;=$M298*1.8),"◎スクイーズブレイク買",IF(AND($D298&gt;=$H298,$R298&gt;=BB設定!$B$10),"○順張り継続(walk)",IF(AND($S298="強気div▲",$D298&gt;$I298),"○反発(ダイバ)買",IF($U298="二番底W▲","△二番底買(確)",IF($U298="二番底W形成","△二番底形成",IF($D298&lt;$J298,"▼-2σ割れ危険",IF(AND($D298&gt;$E298,$K298&lt;0.6,$R298&gt;=50),"・押し目注目",IF($N298="スクイーズ★","☆スクイーズ監視","様子見")))))))))</f>
      </c>
      <c r="X298" s="685">
        <f>IF($D298="","",MIN(100,IF($L298&lt;=$M298*1.15,20,IF($L298&lt;=$M298*1.4,10,0))+IF($D298&gt;$G298,20,IF($D298&gt;$H298,12,IF($D298&gt;$E298,5,0)))+IF($O298="拡大↑",10,0)+IF($R298&gt;=80,15,IF($R298&gt;=60,10,IF($R298&gt;=50,5,0)))+IF(AND($Q298&gt;=50,$Q298&lt;=70),10,IF($Q298&gt;70,3,IF($Q298&gt;=40,5,0)))+IF($S298="強気div▲",15,0)+IF($T298="上walk▲",5,0)+IF($V298&gt;=2,5,IF($V298&gt;=1.5,3,0))))</f>
      </c>
      <c r="Y298" s="682">
        <f>IF($D298="","",$D298)</f>
      </c>
      <c r="Z298" s="682">
        <f>IF($D298="","",$H298)</f>
      </c>
      <c r="AA298" s="682">
        <f>IF($D298="","",IF($D298&gt;$E298,$E298,$AD298))</f>
      </c>
      <c r="AB298" s="682">
        <f>IF($D298="","",$G298)</f>
      </c>
      <c r="AC298" s="688">
        <f>IF($D298="","",IF(($Y298-$AA298)&lt;=0,"－",IFERROR(ROUND(MIN(20,($AB298-$Y298)/($Y298-$AA298)),2),"－")))</f>
      </c>
      <c r="AD298" s="682">
        <f>IF($D298="","",MIN(終値!E298:I298))</f>
      </c>
      <c r="AE298" s="684">
        <f>IF($D298="","",$X298+(10000-ROW())/100000)</f>
      </c>
    </row>
    <row r="299">
      <c r="A299" s="681">
        <f>IF(終値!A299="","",HYPERLINK("https://kabutan.jp/stock/?code="&amp;終値!A299,"📈"))</f>
      </c>
      <c r="B299" s="681">
        <f>IF(終値!A299="","",終値!A299)</f>
      </c>
      <c r="C299" s="680">
        <f>IF(終値!A299="","",終値!B299)</f>
      </c>
      <c r="D299" s="682">
        <f>IF(終値!A299="","",終値!E299)</f>
      </c>
      <c r="E299" s="682">
        <f>IF($D299="","",AVERAGE(終値!E299:X299))</f>
      </c>
      <c r="F299" s="683">
        <f>IF($D299="","",STDEVP(終値!E299:X299))</f>
      </c>
      <c r="G299" s="682">
        <f>IF($D299="","",$E299+BB設定!$B$4*$F299)</f>
      </c>
      <c r="H299" s="682">
        <f>IF($D299="","",$E299+BB設定!$B$5*$F299)</f>
      </c>
      <c r="I299" s="682">
        <f>IF($D299="","",$E299-BB設定!$B$5*$F299)</f>
      </c>
      <c r="J299" s="682">
        <f>IF($D299="","",$E299-BB設定!$B$4*$F299)</f>
      </c>
      <c r="K299" s="687">
        <f>IF($D299="","",IFERROR(($D299-$J299)/($G299-$J299),""))</f>
      </c>
      <c r="L299" s="686">
        <f>IF($D299="","",IFERROR(($G299-$J299)/$E299*100,""))</f>
      </c>
      <c r="M299" s="686">
        <f>IF($D299="","",IFERROR(MIN(BB_帯幅!B299:AP299)*100,""))</f>
      </c>
      <c r="N299" s="681">
        <f>IF($L299="","",IF($L299&lt;=$M299*BB設定!$B$7,"スクイーズ★",IF($L299&lt;=$M299*1.3,"収縮","－")))</f>
      </c>
      <c r="O299" s="681">
        <f>IF($D299="","",IF($L299&gt;(4*STDEVP(終値!F299:Y299)/AVERAGE(終値!F299:Y299)*100),"拡大↑","縮小↓"))</f>
      </c>
      <c r="P299" s="681">
        <f>IF($D299="","",IF($D299&gt;$G299,"↑+2σ突破",IF($D299&lt;$J299,"↓-2σ割れ",IF($D299&gt;$H299,"+1σ上",IF($D299&lt;$I299,"-1σ下","バンド内")))))</f>
      </c>
      <c r="Q299" s="684">
        <f>IF($D299="","",IFERROR(100-100/(1+SUMPRODUCT((終値!E299:R299&gt;終値!F299:S299)*(終値!E299:R299-終値!F299:S299))/SUMPRODUCT((終値!E299:R299&lt;終値!F299:S299)*(終値!F299:S299-終値!E299:R299))),100))</f>
      </c>
      <c r="R299" s="684">
        <f>IF($D299="","",IFERROR(100-100/(1+SUMPRODUCT((((高値!E299:R299+安値!E299:R299+終値!E299:R299)/3)&gt;((高値!F299:S299+安値!F299:S299+終値!F299:S299)/3))*((高値!E299:R299+安値!E299:R299+終値!E299:R299)/3)*出来高!E299:R299)/SUMPRODUCT((((高値!E299:R299+安値!E299:R299+終値!E299:R299)/3)&lt;((高値!F299:S299+安値!F299:S299+終値!F299:S299)/3))*((高値!E299:R299+安値!E299:R299+終値!E299:R299)/3)*出来高!E299:R299)),50))</f>
      </c>
      <c r="S299" s="681">
        <f>IF($D299="","",IF(AND(終値!E299&lt;終値!O299,$Q299&gt;(IFERROR(100-100/(1+SUMPRODUCT((終値!O299:AB299&gt;終値!P299:AC299)*(終値!O299:AB299-終値!P299:AC299))/SUMPRODUCT((終値!O299:AB299&lt;終値!P299:AC299)*(終値!P299:AC299-終値!O299:AB299))),100))),"強気div▲",IF(AND(終値!E299&gt;終値!O299,$Q299&lt;(IFERROR(100-100/(1+SUMPRODUCT((終値!O299:AB299&gt;終値!P299:AC299)*(終値!O299:AB299-終値!P299:AC299))/SUMPRODUCT((終値!O299:AB299&lt;終値!P299:AC299)*(終値!P299:AC299-終値!O299:AB299))),100))),"弱気div▼","－")))</f>
      </c>
      <c r="T299" s="681">
        <f>IF($D299="","",IF($D299&gt;=$H299,"上walk▲",IF($D299&lt;=$I299,"下walk▼","－")))</f>
      </c>
      <c r="U299" s="681">
        <f>IF(終値!A299="","",BB_スイング!BT299)</f>
      </c>
      <c r="V299" s="689">
        <f>IF($D299="","",IFERROR(出来高!E299/AVERAGE(出来高!E299:I299),""))</f>
      </c>
      <c r="W299" s="690">
        <f>IF($D299="","",IF(AND($D299&gt;$G299,$O299="拡大↑",$L299&lt;=$M299*1.8),"◎スクイーズブレイク買",IF(AND($D299&gt;=$H299,$R299&gt;=BB設定!$B$10),"○順張り継続(walk)",IF(AND($S299="強気div▲",$D299&gt;$I299),"○反発(ダイバ)買",IF($U299="二番底W▲","△二番底買(確)",IF($U299="二番底W形成","△二番底形成",IF($D299&lt;$J299,"▼-2σ割れ危険",IF(AND($D299&gt;$E299,$K299&lt;0.6,$R299&gt;=50),"・押し目注目",IF($N299="スクイーズ★","☆スクイーズ監視","様子見")))))))))</f>
      </c>
      <c r="X299" s="685">
        <f>IF($D299="","",MIN(100,IF($L299&lt;=$M299*1.15,20,IF($L299&lt;=$M299*1.4,10,0))+IF($D299&gt;$G299,20,IF($D299&gt;$H299,12,IF($D299&gt;$E299,5,0)))+IF($O299="拡大↑",10,0)+IF($R299&gt;=80,15,IF($R299&gt;=60,10,IF($R299&gt;=50,5,0)))+IF(AND($Q299&gt;=50,$Q299&lt;=70),10,IF($Q299&gt;70,3,IF($Q299&gt;=40,5,0)))+IF($S299="強気div▲",15,0)+IF($T299="上walk▲",5,0)+IF($V299&gt;=2,5,IF($V299&gt;=1.5,3,0))))</f>
      </c>
      <c r="Y299" s="682">
        <f>IF($D299="","",$D299)</f>
      </c>
      <c r="Z299" s="682">
        <f>IF($D299="","",$H299)</f>
      </c>
      <c r="AA299" s="682">
        <f>IF($D299="","",IF($D299&gt;$E299,$E299,$AD299))</f>
      </c>
      <c r="AB299" s="682">
        <f>IF($D299="","",$G299)</f>
      </c>
      <c r="AC299" s="688">
        <f>IF($D299="","",IF(($Y299-$AA299)&lt;=0,"－",IFERROR(ROUND(MIN(20,($AB299-$Y299)/($Y299-$AA299)),2),"－")))</f>
      </c>
      <c r="AD299" s="682">
        <f>IF($D299="","",MIN(終値!E299:I299))</f>
      </c>
      <c r="AE299" s="684">
        <f>IF($D299="","",$X299+(10000-ROW())/100000)</f>
      </c>
    </row>
    <row r="300">
      <c r="A300" s="681">
        <f>IF(終値!A300="","",HYPERLINK("https://kabutan.jp/stock/?code="&amp;終値!A300,"📈"))</f>
      </c>
      <c r="B300" s="681">
        <f>IF(終値!A300="","",終値!A300)</f>
      </c>
      <c r="C300" s="680">
        <f>IF(終値!A300="","",終値!B300)</f>
      </c>
      <c r="D300" s="682">
        <f>IF(終値!A300="","",終値!E300)</f>
      </c>
      <c r="E300" s="682">
        <f>IF($D300="","",AVERAGE(終値!E300:X300))</f>
      </c>
      <c r="F300" s="683">
        <f>IF($D300="","",STDEVP(終値!E300:X300))</f>
      </c>
      <c r="G300" s="682">
        <f>IF($D300="","",$E300+BB設定!$B$4*$F300)</f>
      </c>
      <c r="H300" s="682">
        <f>IF($D300="","",$E300+BB設定!$B$5*$F300)</f>
      </c>
      <c r="I300" s="682">
        <f>IF($D300="","",$E300-BB設定!$B$5*$F300)</f>
      </c>
      <c r="J300" s="682">
        <f>IF($D300="","",$E300-BB設定!$B$4*$F300)</f>
      </c>
      <c r="K300" s="687">
        <f>IF($D300="","",IFERROR(($D300-$J300)/($G300-$J300),""))</f>
      </c>
      <c r="L300" s="686">
        <f>IF($D300="","",IFERROR(($G300-$J300)/$E300*100,""))</f>
      </c>
      <c r="M300" s="686">
        <f>IF($D300="","",IFERROR(MIN(BB_帯幅!B300:AP300)*100,""))</f>
      </c>
      <c r="N300" s="681">
        <f>IF($L300="","",IF($L300&lt;=$M300*BB設定!$B$7,"スクイーズ★",IF($L300&lt;=$M300*1.3,"収縮","－")))</f>
      </c>
      <c r="O300" s="681">
        <f>IF($D300="","",IF($L300&gt;(4*STDEVP(終値!F300:Y300)/AVERAGE(終値!F300:Y300)*100),"拡大↑","縮小↓"))</f>
      </c>
      <c r="P300" s="681">
        <f>IF($D300="","",IF($D300&gt;$G300,"↑+2σ突破",IF($D300&lt;$J300,"↓-2σ割れ",IF($D300&gt;$H300,"+1σ上",IF($D300&lt;$I300,"-1σ下","バンド内")))))</f>
      </c>
      <c r="Q300" s="684">
        <f>IF($D300="","",IFERROR(100-100/(1+SUMPRODUCT((終値!E300:R300&gt;終値!F300:S300)*(終値!E300:R300-終値!F300:S300))/SUMPRODUCT((終値!E300:R300&lt;終値!F300:S300)*(終値!F300:S300-終値!E300:R300))),100))</f>
      </c>
      <c r="R300" s="684">
        <f>IF($D300="","",IFERROR(100-100/(1+SUMPRODUCT((((高値!E300:R300+安値!E300:R300+終値!E300:R300)/3)&gt;((高値!F300:S300+安値!F300:S300+終値!F300:S300)/3))*((高値!E300:R300+安値!E300:R300+終値!E300:R300)/3)*出来高!E300:R300)/SUMPRODUCT((((高値!E300:R300+安値!E300:R300+終値!E300:R300)/3)&lt;((高値!F300:S300+安値!F300:S300+終値!F300:S300)/3))*((高値!E300:R300+安値!E300:R300+終値!E300:R300)/3)*出来高!E300:R300)),50))</f>
      </c>
      <c r="S300" s="681">
        <f>IF($D300="","",IF(AND(終値!E300&lt;終値!O300,$Q300&gt;(IFERROR(100-100/(1+SUMPRODUCT((終値!O300:AB300&gt;終値!P300:AC300)*(終値!O300:AB300-終値!P300:AC300))/SUMPRODUCT((終値!O300:AB300&lt;終値!P300:AC300)*(終値!P300:AC300-終値!O300:AB300))),100))),"強気div▲",IF(AND(終値!E300&gt;終値!O300,$Q300&lt;(IFERROR(100-100/(1+SUMPRODUCT((終値!O300:AB300&gt;終値!P300:AC300)*(終値!O300:AB300-終値!P300:AC300))/SUMPRODUCT((終値!O300:AB300&lt;終値!P300:AC300)*(終値!P300:AC300-終値!O300:AB300))),100))),"弱気div▼","－")))</f>
      </c>
      <c r="T300" s="681">
        <f>IF($D300="","",IF($D300&gt;=$H300,"上walk▲",IF($D300&lt;=$I300,"下walk▼","－")))</f>
      </c>
      <c r="U300" s="681">
        <f>IF(終値!A300="","",BB_スイング!BT300)</f>
      </c>
      <c r="V300" s="689">
        <f>IF($D300="","",IFERROR(出来高!E300/AVERAGE(出来高!E300:I300),""))</f>
      </c>
      <c r="W300" s="690">
        <f>IF($D300="","",IF(AND($D300&gt;$G300,$O300="拡大↑",$L300&lt;=$M300*1.8),"◎スクイーズブレイク買",IF(AND($D300&gt;=$H300,$R300&gt;=BB設定!$B$10),"○順張り継続(walk)",IF(AND($S300="強気div▲",$D300&gt;$I300),"○反発(ダイバ)買",IF($U300="二番底W▲","△二番底買(確)",IF($U300="二番底W形成","△二番底形成",IF($D300&lt;$J300,"▼-2σ割れ危険",IF(AND($D300&gt;$E300,$K300&lt;0.6,$R300&gt;=50),"・押し目注目",IF($N300="スクイーズ★","☆スクイーズ監視","様子見")))))))))</f>
      </c>
      <c r="X300" s="685">
        <f>IF($D300="","",MIN(100,IF($L300&lt;=$M300*1.15,20,IF($L300&lt;=$M300*1.4,10,0))+IF($D300&gt;$G300,20,IF($D300&gt;$H300,12,IF($D300&gt;$E300,5,0)))+IF($O300="拡大↑",10,0)+IF($R300&gt;=80,15,IF($R300&gt;=60,10,IF($R300&gt;=50,5,0)))+IF(AND($Q300&gt;=50,$Q300&lt;=70),10,IF($Q300&gt;70,3,IF($Q300&gt;=40,5,0)))+IF($S300="強気div▲",15,0)+IF($T300="上walk▲",5,0)+IF($V300&gt;=2,5,IF($V300&gt;=1.5,3,0))))</f>
      </c>
      <c r="Y300" s="682">
        <f>IF($D300="","",$D300)</f>
      </c>
      <c r="Z300" s="682">
        <f>IF($D300="","",$H300)</f>
      </c>
      <c r="AA300" s="682">
        <f>IF($D300="","",IF($D300&gt;$E300,$E300,$AD300))</f>
      </c>
      <c r="AB300" s="682">
        <f>IF($D300="","",$G300)</f>
      </c>
      <c r="AC300" s="688">
        <f>IF($D300="","",IF(($Y300-$AA300)&lt;=0,"－",IFERROR(ROUND(MIN(20,($AB300-$Y300)/($Y300-$AA300)),2),"－")))</f>
      </c>
      <c r="AD300" s="682">
        <f>IF($D300="","",MIN(終値!E300:I300))</f>
      </c>
      <c r="AE300" s="684">
        <f>IF($D300="","",$X300+(10000-ROW())/100000)</f>
      </c>
    </row>
    <row r="301">
      <c r="A301" s="681">
        <f>IF(終値!A301="","",HYPERLINK("https://kabutan.jp/stock/?code="&amp;終値!A301,"📈"))</f>
      </c>
      <c r="B301" s="681">
        <f>IF(終値!A301="","",終値!A301)</f>
      </c>
      <c r="C301" s="680">
        <f>IF(終値!A301="","",終値!B301)</f>
      </c>
      <c r="D301" s="682">
        <f>IF(終値!A301="","",終値!E301)</f>
      </c>
      <c r="E301" s="682">
        <f>IF($D301="","",AVERAGE(終値!E301:X301))</f>
      </c>
      <c r="F301" s="683">
        <f>IF($D301="","",STDEVP(終値!E301:X301))</f>
      </c>
      <c r="G301" s="682">
        <f>IF($D301="","",$E301+BB設定!$B$4*$F301)</f>
      </c>
      <c r="H301" s="682">
        <f>IF($D301="","",$E301+BB設定!$B$5*$F301)</f>
      </c>
      <c r="I301" s="682">
        <f>IF($D301="","",$E301-BB設定!$B$5*$F301)</f>
      </c>
      <c r="J301" s="682">
        <f>IF($D301="","",$E301-BB設定!$B$4*$F301)</f>
      </c>
      <c r="K301" s="687">
        <f>IF($D301="","",IFERROR(($D301-$J301)/($G301-$J301),""))</f>
      </c>
      <c r="L301" s="686">
        <f>IF($D301="","",IFERROR(($G301-$J301)/$E301*100,""))</f>
      </c>
      <c r="M301" s="686">
        <f>IF($D301="","",IFERROR(MIN(BB_帯幅!B301:AP301)*100,""))</f>
      </c>
      <c r="N301" s="681">
        <f>IF($L301="","",IF($L301&lt;=$M301*BB設定!$B$7,"スクイーズ★",IF($L301&lt;=$M301*1.3,"収縮","－")))</f>
      </c>
      <c r="O301" s="681">
        <f>IF($D301="","",IF($L301&gt;(4*STDEVP(終値!F301:Y301)/AVERAGE(終値!F301:Y301)*100),"拡大↑","縮小↓"))</f>
      </c>
      <c r="P301" s="681">
        <f>IF($D301="","",IF($D301&gt;$G301,"↑+2σ突破",IF($D301&lt;$J301,"↓-2σ割れ",IF($D301&gt;$H301,"+1σ上",IF($D301&lt;$I301,"-1σ下","バンド内")))))</f>
      </c>
      <c r="Q301" s="684">
        <f>IF($D301="","",IFERROR(100-100/(1+SUMPRODUCT((終値!E301:R301&gt;終値!F301:S301)*(終値!E301:R301-終値!F301:S301))/SUMPRODUCT((終値!E301:R301&lt;終値!F301:S301)*(終値!F301:S301-終値!E301:R301))),100))</f>
      </c>
      <c r="R301" s="684">
        <f>IF($D301="","",IFERROR(100-100/(1+SUMPRODUCT((((高値!E301:R301+安値!E301:R301+終値!E301:R301)/3)&gt;((高値!F301:S301+安値!F301:S301+終値!F301:S301)/3))*((高値!E301:R301+安値!E301:R301+終値!E301:R301)/3)*出来高!E301:R301)/SUMPRODUCT((((高値!E301:R301+安値!E301:R301+終値!E301:R301)/3)&lt;((高値!F301:S301+安値!F301:S301+終値!F301:S301)/3))*((高値!E301:R301+安値!E301:R301+終値!E301:R301)/3)*出来高!E301:R301)),50))</f>
      </c>
      <c r="S301" s="681">
        <f>IF($D301="","",IF(AND(終値!E301&lt;終値!O301,$Q301&gt;(IFERROR(100-100/(1+SUMPRODUCT((終値!O301:AB301&gt;終値!P301:AC301)*(終値!O301:AB301-終値!P301:AC301))/SUMPRODUCT((終値!O301:AB301&lt;終値!P301:AC301)*(終値!P301:AC301-終値!O301:AB301))),100))),"強気div▲",IF(AND(終値!E301&gt;終値!O301,$Q301&lt;(IFERROR(100-100/(1+SUMPRODUCT((終値!O301:AB301&gt;終値!P301:AC301)*(終値!O301:AB301-終値!P301:AC301))/SUMPRODUCT((終値!O301:AB301&lt;終値!P301:AC301)*(終値!P301:AC301-終値!O301:AB301))),100))),"弱気div▼","－")))</f>
      </c>
      <c r="T301" s="681">
        <f>IF($D301="","",IF($D301&gt;=$H301,"上walk▲",IF($D301&lt;=$I301,"下walk▼","－")))</f>
      </c>
      <c r="U301" s="681">
        <f>IF(終値!A301="","",BB_スイング!BT301)</f>
      </c>
      <c r="V301" s="689">
        <f>IF($D301="","",IFERROR(出来高!E301/AVERAGE(出来高!E301:I301),""))</f>
      </c>
      <c r="W301" s="690">
        <f>IF($D301="","",IF(AND($D301&gt;$G301,$O301="拡大↑",$L301&lt;=$M301*1.8),"◎スクイーズブレイク買",IF(AND($D301&gt;=$H301,$R301&gt;=BB設定!$B$10),"○順張り継続(walk)",IF(AND($S301="強気div▲",$D301&gt;$I301),"○反発(ダイバ)買",IF($U301="二番底W▲","△二番底買(確)",IF($U301="二番底W形成","△二番底形成",IF($D301&lt;$J301,"▼-2σ割れ危険",IF(AND($D301&gt;$E301,$K301&lt;0.6,$R301&gt;=50),"・押し目注目",IF($N301="スクイーズ★","☆スクイーズ監視","様子見")))))))))</f>
      </c>
      <c r="X301" s="685">
        <f>IF($D301="","",MIN(100,IF($L301&lt;=$M301*1.15,20,IF($L301&lt;=$M301*1.4,10,0))+IF($D301&gt;$G301,20,IF($D301&gt;$H301,12,IF($D301&gt;$E301,5,0)))+IF($O301="拡大↑",10,0)+IF($R301&gt;=80,15,IF($R301&gt;=60,10,IF($R301&gt;=50,5,0)))+IF(AND($Q301&gt;=50,$Q301&lt;=70),10,IF($Q301&gt;70,3,IF($Q301&gt;=40,5,0)))+IF($S301="強気div▲",15,0)+IF($T301="上walk▲",5,0)+IF($V301&gt;=2,5,IF($V301&gt;=1.5,3,0))))</f>
      </c>
      <c r="Y301" s="682">
        <f>IF($D301="","",$D301)</f>
      </c>
      <c r="Z301" s="682">
        <f>IF($D301="","",$H301)</f>
      </c>
      <c r="AA301" s="682">
        <f>IF($D301="","",IF($D301&gt;$E301,$E301,$AD301))</f>
      </c>
      <c r="AB301" s="682">
        <f>IF($D301="","",$G301)</f>
      </c>
      <c r="AC301" s="688">
        <f>IF($D301="","",IF(($Y301-$AA301)&lt;=0,"－",IFERROR(ROUND(MIN(20,($AB301-$Y301)/($Y301-$AA301)),2),"－")))</f>
      </c>
      <c r="AD301" s="682">
        <f>IF($D301="","",MIN(終値!E301:I301))</f>
      </c>
      <c r="AE301" s="684">
        <f>IF($D301="","",$X301+(10000-ROW())/100000)</f>
      </c>
    </row>
    <row r="302">
      <c r="A302" s="681">
        <f>IF(終値!A302="","",HYPERLINK("https://kabutan.jp/stock/?code="&amp;終値!A302,"📈"))</f>
      </c>
      <c r="B302" s="681">
        <f>IF(終値!A302="","",終値!A302)</f>
      </c>
      <c r="C302" s="680">
        <f>IF(終値!A302="","",終値!B302)</f>
      </c>
      <c r="D302" s="682">
        <f>IF(終値!A302="","",終値!E302)</f>
      </c>
      <c r="E302" s="682">
        <f>IF($D302="","",AVERAGE(終値!E302:X302))</f>
      </c>
      <c r="F302" s="683">
        <f>IF($D302="","",STDEVP(終値!E302:X302))</f>
      </c>
      <c r="G302" s="682">
        <f>IF($D302="","",$E302+BB設定!$B$4*$F302)</f>
      </c>
      <c r="H302" s="682">
        <f>IF($D302="","",$E302+BB設定!$B$5*$F302)</f>
      </c>
      <c r="I302" s="682">
        <f>IF($D302="","",$E302-BB設定!$B$5*$F302)</f>
      </c>
      <c r="J302" s="682">
        <f>IF($D302="","",$E302-BB設定!$B$4*$F302)</f>
      </c>
      <c r="K302" s="687">
        <f>IF($D302="","",IFERROR(($D302-$J302)/($G302-$J302),""))</f>
      </c>
      <c r="L302" s="686">
        <f>IF($D302="","",IFERROR(($G302-$J302)/$E302*100,""))</f>
      </c>
      <c r="M302" s="686">
        <f>IF($D302="","",IFERROR(MIN(BB_帯幅!B302:AP302)*100,""))</f>
      </c>
      <c r="N302" s="681">
        <f>IF($L302="","",IF($L302&lt;=$M302*BB設定!$B$7,"スクイーズ★",IF($L302&lt;=$M302*1.3,"収縮","－")))</f>
      </c>
      <c r="O302" s="681">
        <f>IF($D302="","",IF($L302&gt;(4*STDEVP(終値!F302:Y302)/AVERAGE(終値!F302:Y302)*100),"拡大↑","縮小↓"))</f>
      </c>
      <c r="P302" s="681">
        <f>IF($D302="","",IF($D302&gt;$G302,"↑+2σ突破",IF($D302&lt;$J302,"↓-2σ割れ",IF($D302&gt;$H302,"+1σ上",IF($D302&lt;$I302,"-1σ下","バンド内")))))</f>
      </c>
      <c r="Q302" s="684">
        <f>IF($D302="","",IFERROR(100-100/(1+SUMPRODUCT((終値!E302:R302&gt;終値!F302:S302)*(終値!E302:R302-終値!F302:S302))/SUMPRODUCT((終値!E302:R302&lt;終値!F302:S302)*(終値!F302:S302-終値!E302:R302))),100))</f>
      </c>
      <c r="R302" s="684">
        <f>IF($D302="","",IFERROR(100-100/(1+SUMPRODUCT((((高値!E302:R302+安値!E302:R302+終値!E302:R302)/3)&gt;((高値!F302:S302+安値!F302:S302+終値!F302:S302)/3))*((高値!E302:R302+安値!E302:R302+終値!E302:R302)/3)*出来高!E302:R302)/SUMPRODUCT((((高値!E302:R302+安値!E302:R302+終値!E302:R302)/3)&lt;((高値!F302:S302+安値!F302:S302+終値!F302:S302)/3))*((高値!E302:R302+安値!E302:R302+終値!E302:R302)/3)*出来高!E302:R302)),50))</f>
      </c>
      <c r="S302" s="681">
        <f>IF($D302="","",IF(AND(終値!E302&lt;終値!O302,$Q302&gt;(IFERROR(100-100/(1+SUMPRODUCT((終値!O302:AB302&gt;終値!P302:AC302)*(終値!O302:AB302-終値!P302:AC302))/SUMPRODUCT((終値!O302:AB302&lt;終値!P302:AC302)*(終値!P302:AC302-終値!O302:AB302))),100))),"強気div▲",IF(AND(終値!E302&gt;終値!O302,$Q302&lt;(IFERROR(100-100/(1+SUMPRODUCT((終値!O302:AB302&gt;終値!P302:AC302)*(終値!O302:AB302-終値!P302:AC302))/SUMPRODUCT((終値!O302:AB302&lt;終値!P302:AC302)*(終値!P302:AC302-終値!O302:AB302))),100))),"弱気div▼","－")))</f>
      </c>
      <c r="T302" s="681">
        <f>IF($D302="","",IF($D302&gt;=$H302,"上walk▲",IF($D302&lt;=$I302,"下walk▼","－")))</f>
      </c>
      <c r="U302" s="681">
        <f>IF(終値!A302="","",BB_スイング!BT302)</f>
      </c>
      <c r="V302" s="689">
        <f>IF($D302="","",IFERROR(出来高!E302/AVERAGE(出来高!E302:I302),""))</f>
      </c>
      <c r="W302" s="690">
        <f>IF($D302="","",IF(AND($D302&gt;$G302,$O302="拡大↑",$L302&lt;=$M302*1.8),"◎スクイーズブレイク買",IF(AND($D302&gt;=$H302,$R302&gt;=BB設定!$B$10),"○順張り継続(walk)",IF(AND($S302="強気div▲",$D302&gt;$I302),"○反発(ダイバ)買",IF($U302="二番底W▲","△二番底買(確)",IF($U302="二番底W形成","△二番底形成",IF($D302&lt;$J302,"▼-2σ割れ危険",IF(AND($D302&gt;$E302,$K302&lt;0.6,$R302&gt;=50),"・押し目注目",IF($N302="スクイーズ★","☆スクイーズ監視","様子見")))))))))</f>
      </c>
      <c r="X302" s="685">
        <f>IF($D302="","",MIN(100,IF($L302&lt;=$M302*1.15,20,IF($L302&lt;=$M302*1.4,10,0))+IF($D302&gt;$G302,20,IF($D302&gt;$H302,12,IF($D302&gt;$E302,5,0)))+IF($O302="拡大↑",10,0)+IF($R302&gt;=80,15,IF($R302&gt;=60,10,IF($R302&gt;=50,5,0)))+IF(AND($Q302&gt;=50,$Q302&lt;=70),10,IF($Q302&gt;70,3,IF($Q302&gt;=40,5,0)))+IF($S302="強気div▲",15,0)+IF($T302="上walk▲",5,0)+IF($V302&gt;=2,5,IF($V302&gt;=1.5,3,0))))</f>
      </c>
      <c r="Y302" s="682">
        <f>IF($D302="","",$D302)</f>
      </c>
      <c r="Z302" s="682">
        <f>IF($D302="","",$H302)</f>
      </c>
      <c r="AA302" s="682">
        <f>IF($D302="","",IF($D302&gt;$E302,$E302,$AD302))</f>
      </c>
      <c r="AB302" s="682">
        <f>IF($D302="","",$G302)</f>
      </c>
      <c r="AC302" s="688">
        <f>IF($D302="","",IF(($Y302-$AA302)&lt;=0,"－",IFERROR(ROUND(MIN(20,($AB302-$Y302)/($Y302-$AA302)),2),"－")))</f>
      </c>
      <c r="AD302" s="682">
        <f>IF($D302="","",MIN(終値!E302:I302))</f>
      </c>
      <c r="AE302" s="684">
        <f>IF($D302="","",$X302+(10000-ROW())/100000)</f>
      </c>
    </row>
    <row r="303">
      <c r="A303" s="681">
        <f>IF(終値!A303="","",HYPERLINK("https://kabutan.jp/stock/?code="&amp;終値!A303,"📈"))</f>
      </c>
      <c r="B303" s="681">
        <f>IF(終値!A303="","",終値!A303)</f>
      </c>
      <c r="C303" s="680">
        <f>IF(終値!A303="","",終値!B303)</f>
      </c>
      <c r="D303" s="682">
        <f>IF(終値!A303="","",終値!E303)</f>
      </c>
      <c r="E303" s="682">
        <f>IF($D303="","",AVERAGE(終値!E303:X303))</f>
      </c>
      <c r="F303" s="683">
        <f>IF($D303="","",STDEVP(終値!E303:X303))</f>
      </c>
      <c r="G303" s="682">
        <f>IF($D303="","",$E303+BB設定!$B$4*$F303)</f>
      </c>
      <c r="H303" s="682">
        <f>IF($D303="","",$E303+BB設定!$B$5*$F303)</f>
      </c>
      <c r="I303" s="682">
        <f>IF($D303="","",$E303-BB設定!$B$5*$F303)</f>
      </c>
      <c r="J303" s="682">
        <f>IF($D303="","",$E303-BB設定!$B$4*$F303)</f>
      </c>
      <c r="K303" s="687">
        <f>IF($D303="","",IFERROR(($D303-$J303)/($G303-$J303),""))</f>
      </c>
      <c r="L303" s="686">
        <f>IF($D303="","",IFERROR(($G303-$J303)/$E303*100,""))</f>
      </c>
      <c r="M303" s="686">
        <f>IF($D303="","",IFERROR(MIN(BB_帯幅!B303:AP303)*100,""))</f>
      </c>
      <c r="N303" s="681">
        <f>IF($L303="","",IF($L303&lt;=$M303*BB設定!$B$7,"スクイーズ★",IF($L303&lt;=$M303*1.3,"収縮","－")))</f>
      </c>
      <c r="O303" s="681">
        <f>IF($D303="","",IF($L303&gt;(4*STDEVP(終値!F303:Y303)/AVERAGE(終値!F303:Y303)*100),"拡大↑","縮小↓"))</f>
      </c>
      <c r="P303" s="681">
        <f>IF($D303="","",IF($D303&gt;$G303,"↑+2σ突破",IF($D303&lt;$J303,"↓-2σ割れ",IF($D303&gt;$H303,"+1σ上",IF($D303&lt;$I303,"-1σ下","バンド内")))))</f>
      </c>
      <c r="Q303" s="684">
        <f>IF($D303="","",IFERROR(100-100/(1+SUMPRODUCT((終値!E303:R303&gt;終値!F303:S303)*(終値!E303:R303-終値!F303:S303))/SUMPRODUCT((終値!E303:R303&lt;終値!F303:S303)*(終値!F303:S303-終値!E303:R303))),100))</f>
      </c>
      <c r="R303" s="684">
        <f>IF($D303="","",IFERROR(100-100/(1+SUMPRODUCT((((高値!E303:R303+安値!E303:R303+終値!E303:R303)/3)&gt;((高値!F303:S303+安値!F303:S303+終値!F303:S303)/3))*((高値!E303:R303+安値!E303:R303+終値!E303:R303)/3)*出来高!E303:R303)/SUMPRODUCT((((高値!E303:R303+安値!E303:R303+終値!E303:R303)/3)&lt;((高値!F303:S303+安値!F303:S303+終値!F303:S303)/3))*((高値!E303:R303+安値!E303:R303+終値!E303:R303)/3)*出来高!E303:R303)),50))</f>
      </c>
      <c r="S303" s="681">
        <f>IF($D303="","",IF(AND(終値!E303&lt;終値!O303,$Q303&gt;(IFERROR(100-100/(1+SUMPRODUCT((終値!O303:AB303&gt;終値!P303:AC303)*(終値!O303:AB303-終値!P303:AC303))/SUMPRODUCT((終値!O303:AB303&lt;終値!P303:AC303)*(終値!P303:AC303-終値!O303:AB303))),100))),"強気div▲",IF(AND(終値!E303&gt;終値!O303,$Q303&lt;(IFERROR(100-100/(1+SUMPRODUCT((終値!O303:AB303&gt;終値!P303:AC303)*(終値!O303:AB303-終値!P303:AC303))/SUMPRODUCT((終値!O303:AB303&lt;終値!P303:AC303)*(終値!P303:AC303-終値!O303:AB303))),100))),"弱気div▼","－")))</f>
      </c>
      <c r="T303" s="681">
        <f>IF($D303="","",IF($D303&gt;=$H303,"上walk▲",IF($D303&lt;=$I303,"下walk▼","－")))</f>
      </c>
      <c r="U303" s="681">
        <f>IF(終値!A303="","",BB_スイング!BT303)</f>
      </c>
      <c r="V303" s="689">
        <f>IF($D303="","",IFERROR(出来高!E303/AVERAGE(出来高!E303:I303),""))</f>
      </c>
      <c r="W303" s="690">
        <f>IF($D303="","",IF(AND($D303&gt;$G303,$O303="拡大↑",$L303&lt;=$M303*1.8),"◎スクイーズブレイク買",IF(AND($D303&gt;=$H303,$R303&gt;=BB設定!$B$10),"○順張り継続(walk)",IF(AND($S303="強気div▲",$D303&gt;$I303),"○反発(ダイバ)買",IF($U303="二番底W▲","△二番底買(確)",IF($U303="二番底W形成","△二番底形成",IF($D303&lt;$J303,"▼-2σ割れ危険",IF(AND($D303&gt;$E303,$K303&lt;0.6,$R303&gt;=50),"・押し目注目",IF($N303="スクイーズ★","☆スクイーズ監視","様子見")))))))))</f>
      </c>
      <c r="X303" s="685">
        <f>IF($D303="","",MIN(100,IF($L303&lt;=$M303*1.15,20,IF($L303&lt;=$M303*1.4,10,0))+IF($D303&gt;$G303,20,IF($D303&gt;$H303,12,IF($D303&gt;$E303,5,0)))+IF($O303="拡大↑",10,0)+IF($R303&gt;=80,15,IF($R303&gt;=60,10,IF($R303&gt;=50,5,0)))+IF(AND($Q303&gt;=50,$Q303&lt;=70),10,IF($Q303&gt;70,3,IF($Q303&gt;=40,5,0)))+IF($S303="強気div▲",15,0)+IF($T303="上walk▲",5,0)+IF($V303&gt;=2,5,IF($V303&gt;=1.5,3,0))))</f>
      </c>
      <c r="Y303" s="682">
        <f>IF($D303="","",$D303)</f>
      </c>
      <c r="Z303" s="682">
        <f>IF($D303="","",$H303)</f>
      </c>
      <c r="AA303" s="682">
        <f>IF($D303="","",IF($D303&gt;$E303,$E303,$AD303))</f>
      </c>
      <c r="AB303" s="682">
        <f>IF($D303="","",$G303)</f>
      </c>
      <c r="AC303" s="688">
        <f>IF($D303="","",IF(($Y303-$AA303)&lt;=0,"－",IFERROR(ROUND(MIN(20,($AB303-$Y303)/($Y303-$AA303)),2),"－")))</f>
      </c>
      <c r="AD303" s="682">
        <f>IF($D303="","",MIN(終値!E303:I303))</f>
      </c>
      <c r="AE303" s="684">
        <f>IF($D303="","",$X303+(10000-ROW())/100000)</f>
      </c>
    </row>
    <row r="304">
      <c r="A304" s="681">
        <f>IF(終値!A304="","",HYPERLINK("https://kabutan.jp/stock/?code="&amp;終値!A304,"📈"))</f>
      </c>
      <c r="B304" s="681">
        <f>IF(終値!A304="","",終値!A304)</f>
      </c>
      <c r="C304" s="680">
        <f>IF(終値!A304="","",終値!B304)</f>
      </c>
      <c r="D304" s="682">
        <f>IF(終値!A304="","",終値!E304)</f>
      </c>
      <c r="E304" s="682">
        <f>IF($D304="","",AVERAGE(終値!E304:X304))</f>
      </c>
      <c r="F304" s="683">
        <f>IF($D304="","",STDEVP(終値!E304:X304))</f>
      </c>
      <c r="G304" s="682">
        <f>IF($D304="","",$E304+BB設定!$B$4*$F304)</f>
      </c>
      <c r="H304" s="682">
        <f>IF($D304="","",$E304+BB設定!$B$5*$F304)</f>
      </c>
      <c r="I304" s="682">
        <f>IF($D304="","",$E304-BB設定!$B$5*$F304)</f>
      </c>
      <c r="J304" s="682">
        <f>IF($D304="","",$E304-BB設定!$B$4*$F304)</f>
      </c>
      <c r="K304" s="687">
        <f>IF($D304="","",IFERROR(($D304-$J304)/($G304-$J304),""))</f>
      </c>
      <c r="L304" s="686">
        <f>IF($D304="","",IFERROR(($G304-$J304)/$E304*100,""))</f>
      </c>
      <c r="M304" s="686">
        <f>IF($D304="","",IFERROR(MIN(BB_帯幅!B304:AP304)*100,""))</f>
      </c>
      <c r="N304" s="681">
        <f>IF($L304="","",IF($L304&lt;=$M304*BB設定!$B$7,"スクイーズ★",IF($L304&lt;=$M304*1.3,"収縮","－")))</f>
      </c>
      <c r="O304" s="681">
        <f>IF($D304="","",IF($L304&gt;(4*STDEVP(終値!F304:Y304)/AVERAGE(終値!F304:Y304)*100),"拡大↑","縮小↓"))</f>
      </c>
      <c r="P304" s="681">
        <f>IF($D304="","",IF($D304&gt;$G304,"↑+2σ突破",IF($D304&lt;$J304,"↓-2σ割れ",IF($D304&gt;$H304,"+1σ上",IF($D304&lt;$I304,"-1σ下","バンド内")))))</f>
      </c>
      <c r="Q304" s="684">
        <f>IF($D304="","",IFERROR(100-100/(1+SUMPRODUCT((終値!E304:R304&gt;終値!F304:S304)*(終値!E304:R304-終値!F304:S304))/SUMPRODUCT((終値!E304:R304&lt;終値!F304:S304)*(終値!F304:S304-終値!E304:R304))),100))</f>
      </c>
      <c r="R304" s="684">
        <f>IF($D304="","",IFERROR(100-100/(1+SUMPRODUCT((((高値!E304:R304+安値!E304:R304+終値!E304:R304)/3)&gt;((高値!F304:S304+安値!F304:S304+終値!F304:S304)/3))*((高値!E304:R304+安値!E304:R304+終値!E304:R304)/3)*出来高!E304:R304)/SUMPRODUCT((((高値!E304:R304+安値!E304:R304+終値!E304:R304)/3)&lt;((高値!F304:S304+安値!F304:S304+終値!F304:S304)/3))*((高値!E304:R304+安値!E304:R304+終値!E304:R304)/3)*出来高!E304:R304)),50))</f>
      </c>
      <c r="S304" s="681">
        <f>IF($D304="","",IF(AND(終値!E304&lt;終値!O304,$Q304&gt;(IFERROR(100-100/(1+SUMPRODUCT((終値!O304:AB304&gt;終値!P304:AC304)*(終値!O304:AB304-終値!P304:AC304))/SUMPRODUCT((終値!O304:AB304&lt;終値!P304:AC304)*(終値!P304:AC304-終値!O304:AB304))),100))),"強気div▲",IF(AND(終値!E304&gt;終値!O304,$Q304&lt;(IFERROR(100-100/(1+SUMPRODUCT((終値!O304:AB304&gt;終値!P304:AC304)*(終値!O304:AB304-終値!P304:AC304))/SUMPRODUCT((終値!O304:AB304&lt;終値!P304:AC304)*(終値!P304:AC304-終値!O304:AB304))),100))),"弱気div▼","－")))</f>
      </c>
      <c r="T304" s="681">
        <f>IF($D304="","",IF($D304&gt;=$H304,"上walk▲",IF($D304&lt;=$I304,"下walk▼","－")))</f>
      </c>
      <c r="U304" s="681">
        <f>IF(終値!A304="","",BB_スイング!BT304)</f>
      </c>
      <c r="V304" s="689">
        <f>IF($D304="","",IFERROR(出来高!E304/AVERAGE(出来高!E304:I304),""))</f>
      </c>
      <c r="W304" s="690">
        <f>IF($D304="","",IF(AND($D304&gt;$G304,$O304="拡大↑",$L304&lt;=$M304*1.8),"◎スクイーズブレイク買",IF(AND($D304&gt;=$H304,$R304&gt;=BB設定!$B$10),"○順張り継続(walk)",IF(AND($S304="強気div▲",$D304&gt;$I304),"○反発(ダイバ)買",IF($U304="二番底W▲","△二番底買(確)",IF($U304="二番底W形成","△二番底形成",IF($D304&lt;$J304,"▼-2σ割れ危険",IF(AND($D304&gt;$E304,$K304&lt;0.6,$R304&gt;=50),"・押し目注目",IF($N304="スクイーズ★","☆スクイーズ監視","様子見")))))))))</f>
      </c>
      <c r="X304" s="685">
        <f>IF($D304="","",MIN(100,IF($L304&lt;=$M304*1.15,20,IF($L304&lt;=$M304*1.4,10,0))+IF($D304&gt;$G304,20,IF($D304&gt;$H304,12,IF($D304&gt;$E304,5,0)))+IF($O304="拡大↑",10,0)+IF($R304&gt;=80,15,IF($R304&gt;=60,10,IF($R304&gt;=50,5,0)))+IF(AND($Q304&gt;=50,$Q304&lt;=70),10,IF($Q304&gt;70,3,IF($Q304&gt;=40,5,0)))+IF($S304="強気div▲",15,0)+IF($T304="上walk▲",5,0)+IF($V304&gt;=2,5,IF($V304&gt;=1.5,3,0))))</f>
      </c>
      <c r="Y304" s="682">
        <f>IF($D304="","",$D304)</f>
      </c>
      <c r="Z304" s="682">
        <f>IF($D304="","",$H304)</f>
      </c>
      <c r="AA304" s="682">
        <f>IF($D304="","",IF($D304&gt;$E304,$E304,$AD304))</f>
      </c>
      <c r="AB304" s="682">
        <f>IF($D304="","",$G304)</f>
      </c>
      <c r="AC304" s="688">
        <f>IF($D304="","",IF(($Y304-$AA304)&lt;=0,"－",IFERROR(ROUND(MIN(20,($AB304-$Y304)/($Y304-$AA304)),2),"－")))</f>
      </c>
      <c r="AD304" s="682">
        <f>IF($D304="","",MIN(終値!E304:I304))</f>
      </c>
      <c r="AE304" s="684">
        <f>IF($D304="","",$X304+(10000-ROW())/100000)</f>
      </c>
    </row>
    <row r="305">
      <c r="A305" s="681">
        <f>IF(終値!A305="","",HYPERLINK("https://kabutan.jp/stock/?code="&amp;終値!A305,"📈"))</f>
      </c>
      <c r="B305" s="681">
        <f>IF(終値!A305="","",終値!A305)</f>
      </c>
      <c r="C305" s="680">
        <f>IF(終値!A305="","",終値!B305)</f>
      </c>
      <c r="D305" s="682">
        <f>IF(終値!A305="","",終値!E305)</f>
      </c>
      <c r="E305" s="682">
        <f>IF($D305="","",AVERAGE(終値!E305:X305))</f>
      </c>
      <c r="F305" s="683">
        <f>IF($D305="","",STDEVP(終値!E305:X305))</f>
      </c>
      <c r="G305" s="682">
        <f>IF($D305="","",$E305+BB設定!$B$4*$F305)</f>
      </c>
      <c r="H305" s="682">
        <f>IF($D305="","",$E305+BB設定!$B$5*$F305)</f>
      </c>
      <c r="I305" s="682">
        <f>IF($D305="","",$E305-BB設定!$B$5*$F305)</f>
      </c>
      <c r="J305" s="682">
        <f>IF($D305="","",$E305-BB設定!$B$4*$F305)</f>
      </c>
      <c r="K305" s="687">
        <f>IF($D305="","",IFERROR(($D305-$J305)/($G305-$J305),""))</f>
      </c>
      <c r="L305" s="686">
        <f>IF($D305="","",IFERROR(($G305-$J305)/$E305*100,""))</f>
      </c>
      <c r="M305" s="686">
        <f>IF($D305="","",IFERROR(MIN(BB_帯幅!B305:AP305)*100,""))</f>
      </c>
      <c r="N305" s="681">
        <f>IF($L305="","",IF($L305&lt;=$M305*BB設定!$B$7,"スクイーズ★",IF($L305&lt;=$M305*1.3,"収縮","－")))</f>
      </c>
      <c r="O305" s="681">
        <f>IF($D305="","",IF($L305&gt;(4*STDEVP(終値!F305:Y305)/AVERAGE(終値!F305:Y305)*100),"拡大↑","縮小↓"))</f>
      </c>
      <c r="P305" s="681">
        <f>IF($D305="","",IF($D305&gt;$G305,"↑+2σ突破",IF($D305&lt;$J305,"↓-2σ割れ",IF($D305&gt;$H305,"+1σ上",IF($D305&lt;$I305,"-1σ下","バンド内")))))</f>
      </c>
      <c r="Q305" s="684">
        <f>IF($D305="","",IFERROR(100-100/(1+SUMPRODUCT((終値!E305:R305&gt;終値!F305:S305)*(終値!E305:R305-終値!F305:S305))/SUMPRODUCT((終値!E305:R305&lt;終値!F305:S305)*(終値!F305:S305-終値!E305:R305))),100))</f>
      </c>
      <c r="R305" s="684">
        <f>IF($D305="","",IFERROR(100-100/(1+SUMPRODUCT((((高値!E305:R305+安値!E305:R305+終値!E305:R305)/3)&gt;((高値!F305:S305+安値!F305:S305+終値!F305:S305)/3))*((高値!E305:R305+安値!E305:R305+終値!E305:R305)/3)*出来高!E305:R305)/SUMPRODUCT((((高値!E305:R305+安値!E305:R305+終値!E305:R305)/3)&lt;((高値!F305:S305+安値!F305:S305+終値!F305:S305)/3))*((高値!E305:R305+安値!E305:R305+終値!E305:R305)/3)*出来高!E305:R305)),50))</f>
      </c>
      <c r="S305" s="681">
        <f>IF($D305="","",IF(AND(終値!E305&lt;終値!O305,$Q305&gt;(IFERROR(100-100/(1+SUMPRODUCT((終値!O305:AB305&gt;終値!P305:AC305)*(終値!O305:AB305-終値!P305:AC305))/SUMPRODUCT((終値!O305:AB305&lt;終値!P305:AC305)*(終値!P305:AC305-終値!O305:AB305))),100))),"強気div▲",IF(AND(終値!E305&gt;終値!O305,$Q305&lt;(IFERROR(100-100/(1+SUMPRODUCT((終値!O305:AB305&gt;終値!P305:AC305)*(終値!O305:AB305-終値!P305:AC305))/SUMPRODUCT((終値!O305:AB305&lt;終値!P305:AC305)*(終値!P305:AC305-終値!O305:AB305))),100))),"弱気div▼","－")))</f>
      </c>
      <c r="T305" s="681">
        <f>IF($D305="","",IF($D305&gt;=$H305,"上walk▲",IF($D305&lt;=$I305,"下walk▼","－")))</f>
      </c>
      <c r="U305" s="681">
        <f>IF(終値!A305="","",BB_スイング!BT305)</f>
      </c>
      <c r="V305" s="689">
        <f>IF($D305="","",IFERROR(出来高!E305/AVERAGE(出来高!E305:I305),""))</f>
      </c>
      <c r="W305" s="690">
        <f>IF($D305="","",IF(AND($D305&gt;$G305,$O305="拡大↑",$L305&lt;=$M305*1.8),"◎スクイーズブレイク買",IF(AND($D305&gt;=$H305,$R305&gt;=BB設定!$B$10),"○順張り継続(walk)",IF(AND($S305="強気div▲",$D305&gt;$I305),"○反発(ダイバ)買",IF($U305="二番底W▲","△二番底買(確)",IF($U305="二番底W形成","△二番底形成",IF($D305&lt;$J305,"▼-2σ割れ危険",IF(AND($D305&gt;$E305,$K305&lt;0.6,$R305&gt;=50),"・押し目注目",IF($N305="スクイーズ★","☆スクイーズ監視","様子見")))))))))</f>
      </c>
      <c r="X305" s="685">
        <f>IF($D305="","",MIN(100,IF($L305&lt;=$M305*1.15,20,IF($L305&lt;=$M305*1.4,10,0))+IF($D305&gt;$G305,20,IF($D305&gt;$H305,12,IF($D305&gt;$E305,5,0)))+IF($O305="拡大↑",10,0)+IF($R305&gt;=80,15,IF($R305&gt;=60,10,IF($R305&gt;=50,5,0)))+IF(AND($Q305&gt;=50,$Q305&lt;=70),10,IF($Q305&gt;70,3,IF($Q305&gt;=40,5,0)))+IF($S305="強気div▲",15,0)+IF($T305="上walk▲",5,0)+IF($V305&gt;=2,5,IF($V305&gt;=1.5,3,0))))</f>
      </c>
      <c r="Y305" s="682">
        <f>IF($D305="","",$D305)</f>
      </c>
      <c r="Z305" s="682">
        <f>IF($D305="","",$H305)</f>
      </c>
      <c r="AA305" s="682">
        <f>IF($D305="","",IF($D305&gt;$E305,$E305,$AD305))</f>
      </c>
      <c r="AB305" s="682">
        <f>IF($D305="","",$G305)</f>
      </c>
      <c r="AC305" s="688">
        <f>IF($D305="","",IF(($Y305-$AA305)&lt;=0,"－",IFERROR(ROUND(MIN(20,($AB305-$Y305)/($Y305-$AA305)),2),"－")))</f>
      </c>
      <c r="AD305" s="682">
        <f>IF($D305="","",MIN(終値!E305:I305))</f>
      </c>
      <c r="AE305" s="684">
        <f>IF($D305="","",$X305+(10000-ROW())/100000)</f>
      </c>
    </row>
    <row r="306">
      <c r="A306" s="681">
        <f>IF(終値!A306="","",HYPERLINK("https://kabutan.jp/stock/?code="&amp;終値!A306,"📈"))</f>
      </c>
      <c r="B306" s="681">
        <f>IF(終値!A306="","",終値!A306)</f>
      </c>
      <c r="C306" s="680">
        <f>IF(終値!A306="","",終値!B306)</f>
      </c>
      <c r="D306" s="682">
        <f>IF(終値!A306="","",終値!E306)</f>
      </c>
      <c r="E306" s="682">
        <f>IF($D306="","",AVERAGE(終値!E306:X306))</f>
      </c>
      <c r="F306" s="683">
        <f>IF($D306="","",STDEVP(終値!E306:X306))</f>
      </c>
      <c r="G306" s="682">
        <f>IF($D306="","",$E306+BB設定!$B$4*$F306)</f>
      </c>
      <c r="H306" s="682">
        <f>IF($D306="","",$E306+BB設定!$B$5*$F306)</f>
      </c>
      <c r="I306" s="682">
        <f>IF($D306="","",$E306-BB設定!$B$5*$F306)</f>
      </c>
      <c r="J306" s="682">
        <f>IF($D306="","",$E306-BB設定!$B$4*$F306)</f>
      </c>
      <c r="K306" s="687">
        <f>IF($D306="","",IFERROR(($D306-$J306)/($G306-$J306),""))</f>
      </c>
      <c r="L306" s="686">
        <f>IF($D306="","",IFERROR(($G306-$J306)/$E306*100,""))</f>
      </c>
      <c r="M306" s="686">
        <f>IF($D306="","",IFERROR(MIN(BB_帯幅!B306:AP306)*100,""))</f>
      </c>
      <c r="N306" s="681">
        <f>IF($L306="","",IF($L306&lt;=$M306*BB設定!$B$7,"スクイーズ★",IF($L306&lt;=$M306*1.3,"収縮","－")))</f>
      </c>
      <c r="O306" s="681">
        <f>IF($D306="","",IF($L306&gt;(4*STDEVP(終値!F306:Y306)/AVERAGE(終値!F306:Y306)*100),"拡大↑","縮小↓"))</f>
      </c>
      <c r="P306" s="681">
        <f>IF($D306="","",IF($D306&gt;$G306,"↑+2σ突破",IF($D306&lt;$J306,"↓-2σ割れ",IF($D306&gt;$H306,"+1σ上",IF($D306&lt;$I306,"-1σ下","バンド内")))))</f>
      </c>
      <c r="Q306" s="684">
        <f>IF($D306="","",IFERROR(100-100/(1+SUMPRODUCT((終値!E306:R306&gt;終値!F306:S306)*(終値!E306:R306-終値!F306:S306))/SUMPRODUCT((終値!E306:R306&lt;終値!F306:S306)*(終値!F306:S306-終値!E306:R306))),100))</f>
      </c>
      <c r="R306" s="684">
        <f>IF($D306="","",IFERROR(100-100/(1+SUMPRODUCT((((高値!E306:R306+安値!E306:R306+終値!E306:R306)/3)&gt;((高値!F306:S306+安値!F306:S306+終値!F306:S306)/3))*((高値!E306:R306+安値!E306:R306+終値!E306:R306)/3)*出来高!E306:R306)/SUMPRODUCT((((高値!E306:R306+安値!E306:R306+終値!E306:R306)/3)&lt;((高値!F306:S306+安値!F306:S306+終値!F306:S306)/3))*((高値!E306:R306+安値!E306:R306+終値!E306:R306)/3)*出来高!E306:R306)),50))</f>
      </c>
      <c r="S306" s="681">
        <f>IF($D306="","",IF(AND(終値!E306&lt;終値!O306,$Q306&gt;(IFERROR(100-100/(1+SUMPRODUCT((終値!O306:AB306&gt;終値!P306:AC306)*(終値!O306:AB306-終値!P306:AC306))/SUMPRODUCT((終値!O306:AB306&lt;終値!P306:AC306)*(終値!P306:AC306-終値!O306:AB306))),100))),"強気div▲",IF(AND(終値!E306&gt;終値!O306,$Q306&lt;(IFERROR(100-100/(1+SUMPRODUCT((終値!O306:AB306&gt;終値!P306:AC306)*(終値!O306:AB306-終値!P306:AC306))/SUMPRODUCT((終値!O306:AB306&lt;終値!P306:AC306)*(終値!P306:AC306-終値!O306:AB306))),100))),"弱気div▼","－")))</f>
      </c>
      <c r="T306" s="681">
        <f>IF($D306="","",IF($D306&gt;=$H306,"上walk▲",IF($D306&lt;=$I306,"下walk▼","－")))</f>
      </c>
      <c r="U306" s="681">
        <f>IF(終値!A306="","",BB_スイング!BT306)</f>
      </c>
      <c r="V306" s="689">
        <f>IF($D306="","",IFERROR(出来高!E306/AVERAGE(出来高!E306:I306),""))</f>
      </c>
      <c r="W306" s="690">
        <f>IF($D306="","",IF(AND($D306&gt;$G306,$O306="拡大↑",$L306&lt;=$M306*1.8),"◎スクイーズブレイク買",IF(AND($D306&gt;=$H306,$R306&gt;=BB設定!$B$10),"○順張り継続(walk)",IF(AND($S306="強気div▲",$D306&gt;$I306),"○反発(ダイバ)買",IF($U306="二番底W▲","△二番底買(確)",IF($U306="二番底W形成","△二番底形成",IF($D306&lt;$J306,"▼-2σ割れ危険",IF(AND($D306&gt;$E306,$K306&lt;0.6,$R306&gt;=50),"・押し目注目",IF($N306="スクイーズ★","☆スクイーズ監視","様子見")))))))))</f>
      </c>
      <c r="X306" s="685">
        <f>IF($D306="","",MIN(100,IF($L306&lt;=$M306*1.15,20,IF($L306&lt;=$M306*1.4,10,0))+IF($D306&gt;$G306,20,IF($D306&gt;$H306,12,IF($D306&gt;$E306,5,0)))+IF($O306="拡大↑",10,0)+IF($R306&gt;=80,15,IF($R306&gt;=60,10,IF($R306&gt;=50,5,0)))+IF(AND($Q306&gt;=50,$Q306&lt;=70),10,IF($Q306&gt;70,3,IF($Q306&gt;=40,5,0)))+IF($S306="強気div▲",15,0)+IF($T306="上walk▲",5,0)+IF($V306&gt;=2,5,IF($V306&gt;=1.5,3,0))))</f>
      </c>
      <c r="Y306" s="682">
        <f>IF($D306="","",$D306)</f>
      </c>
      <c r="Z306" s="682">
        <f>IF($D306="","",$H306)</f>
      </c>
      <c r="AA306" s="682">
        <f>IF($D306="","",IF($D306&gt;$E306,$E306,$AD306))</f>
      </c>
      <c r="AB306" s="682">
        <f>IF($D306="","",$G306)</f>
      </c>
      <c r="AC306" s="688">
        <f>IF($D306="","",IF(($Y306-$AA306)&lt;=0,"－",IFERROR(ROUND(MIN(20,($AB306-$Y306)/($Y306-$AA306)),2),"－")))</f>
      </c>
      <c r="AD306" s="682">
        <f>IF($D306="","",MIN(終値!E306:I306))</f>
      </c>
      <c r="AE306" s="684">
        <f>IF($D306="","",$X306+(10000-ROW())/100000)</f>
      </c>
    </row>
    <row r="307">
      <c r="A307" s="681">
        <f>IF(終値!A307="","",HYPERLINK("https://kabutan.jp/stock/?code="&amp;終値!A307,"📈"))</f>
      </c>
      <c r="B307" s="681">
        <f>IF(終値!A307="","",終値!A307)</f>
      </c>
      <c r="C307" s="680">
        <f>IF(終値!A307="","",終値!B307)</f>
      </c>
      <c r="D307" s="682">
        <f>IF(終値!A307="","",終値!E307)</f>
      </c>
      <c r="E307" s="682">
        <f>IF($D307="","",AVERAGE(終値!E307:X307))</f>
      </c>
      <c r="F307" s="683">
        <f>IF($D307="","",STDEVP(終値!E307:X307))</f>
      </c>
      <c r="G307" s="682">
        <f>IF($D307="","",$E307+BB設定!$B$4*$F307)</f>
      </c>
      <c r="H307" s="682">
        <f>IF($D307="","",$E307+BB設定!$B$5*$F307)</f>
      </c>
      <c r="I307" s="682">
        <f>IF($D307="","",$E307-BB設定!$B$5*$F307)</f>
      </c>
      <c r="J307" s="682">
        <f>IF($D307="","",$E307-BB設定!$B$4*$F307)</f>
      </c>
      <c r="K307" s="687">
        <f>IF($D307="","",IFERROR(($D307-$J307)/($G307-$J307),""))</f>
      </c>
      <c r="L307" s="686">
        <f>IF($D307="","",IFERROR(($G307-$J307)/$E307*100,""))</f>
      </c>
      <c r="M307" s="686">
        <f>IF($D307="","",IFERROR(MIN(BB_帯幅!B307:AP307)*100,""))</f>
      </c>
      <c r="N307" s="681">
        <f>IF($L307="","",IF($L307&lt;=$M307*BB設定!$B$7,"スクイーズ★",IF($L307&lt;=$M307*1.3,"収縮","－")))</f>
      </c>
      <c r="O307" s="681">
        <f>IF($D307="","",IF($L307&gt;(4*STDEVP(終値!F307:Y307)/AVERAGE(終値!F307:Y307)*100),"拡大↑","縮小↓"))</f>
      </c>
      <c r="P307" s="681">
        <f>IF($D307="","",IF($D307&gt;$G307,"↑+2σ突破",IF($D307&lt;$J307,"↓-2σ割れ",IF($D307&gt;$H307,"+1σ上",IF($D307&lt;$I307,"-1σ下","バンド内")))))</f>
      </c>
      <c r="Q307" s="684">
        <f>IF($D307="","",IFERROR(100-100/(1+SUMPRODUCT((終値!E307:R307&gt;終値!F307:S307)*(終値!E307:R307-終値!F307:S307))/SUMPRODUCT((終値!E307:R307&lt;終値!F307:S307)*(終値!F307:S307-終値!E307:R307))),100))</f>
      </c>
      <c r="R307" s="684">
        <f>IF($D307="","",IFERROR(100-100/(1+SUMPRODUCT((((高値!E307:R307+安値!E307:R307+終値!E307:R307)/3)&gt;((高値!F307:S307+安値!F307:S307+終値!F307:S307)/3))*((高値!E307:R307+安値!E307:R307+終値!E307:R307)/3)*出来高!E307:R307)/SUMPRODUCT((((高値!E307:R307+安値!E307:R307+終値!E307:R307)/3)&lt;((高値!F307:S307+安値!F307:S307+終値!F307:S307)/3))*((高値!E307:R307+安値!E307:R307+終値!E307:R307)/3)*出来高!E307:R307)),50))</f>
      </c>
      <c r="S307" s="681">
        <f>IF($D307="","",IF(AND(終値!E307&lt;終値!O307,$Q307&gt;(IFERROR(100-100/(1+SUMPRODUCT((終値!O307:AB307&gt;終値!P307:AC307)*(終値!O307:AB307-終値!P307:AC307))/SUMPRODUCT((終値!O307:AB307&lt;終値!P307:AC307)*(終値!P307:AC307-終値!O307:AB307))),100))),"強気div▲",IF(AND(終値!E307&gt;終値!O307,$Q307&lt;(IFERROR(100-100/(1+SUMPRODUCT((終値!O307:AB307&gt;終値!P307:AC307)*(終値!O307:AB307-終値!P307:AC307))/SUMPRODUCT((終値!O307:AB307&lt;終値!P307:AC307)*(終値!P307:AC307-終値!O307:AB307))),100))),"弱気div▼","－")))</f>
      </c>
      <c r="T307" s="681">
        <f>IF($D307="","",IF($D307&gt;=$H307,"上walk▲",IF($D307&lt;=$I307,"下walk▼","－")))</f>
      </c>
      <c r="U307" s="681">
        <f>IF(終値!A307="","",BB_スイング!BT307)</f>
      </c>
      <c r="V307" s="689">
        <f>IF($D307="","",IFERROR(出来高!E307/AVERAGE(出来高!E307:I307),""))</f>
      </c>
      <c r="W307" s="690">
        <f>IF($D307="","",IF(AND($D307&gt;$G307,$O307="拡大↑",$L307&lt;=$M307*1.8),"◎スクイーズブレイク買",IF(AND($D307&gt;=$H307,$R307&gt;=BB設定!$B$10),"○順張り継続(walk)",IF(AND($S307="強気div▲",$D307&gt;$I307),"○反発(ダイバ)買",IF($U307="二番底W▲","△二番底買(確)",IF($U307="二番底W形成","△二番底形成",IF($D307&lt;$J307,"▼-2σ割れ危険",IF(AND($D307&gt;$E307,$K307&lt;0.6,$R307&gt;=50),"・押し目注目",IF($N307="スクイーズ★","☆スクイーズ監視","様子見")))))))))</f>
      </c>
      <c r="X307" s="685">
        <f>IF($D307="","",MIN(100,IF($L307&lt;=$M307*1.15,20,IF($L307&lt;=$M307*1.4,10,0))+IF($D307&gt;$G307,20,IF($D307&gt;$H307,12,IF($D307&gt;$E307,5,0)))+IF($O307="拡大↑",10,0)+IF($R307&gt;=80,15,IF($R307&gt;=60,10,IF($R307&gt;=50,5,0)))+IF(AND($Q307&gt;=50,$Q307&lt;=70),10,IF($Q307&gt;70,3,IF($Q307&gt;=40,5,0)))+IF($S307="強気div▲",15,0)+IF($T307="上walk▲",5,0)+IF($V307&gt;=2,5,IF($V307&gt;=1.5,3,0))))</f>
      </c>
      <c r="Y307" s="682">
        <f>IF($D307="","",$D307)</f>
      </c>
      <c r="Z307" s="682">
        <f>IF($D307="","",$H307)</f>
      </c>
      <c r="AA307" s="682">
        <f>IF($D307="","",IF($D307&gt;$E307,$E307,$AD307))</f>
      </c>
      <c r="AB307" s="682">
        <f>IF($D307="","",$G307)</f>
      </c>
      <c r="AC307" s="688">
        <f>IF($D307="","",IF(($Y307-$AA307)&lt;=0,"－",IFERROR(ROUND(MIN(20,($AB307-$Y307)/($Y307-$AA307)),2),"－")))</f>
      </c>
      <c r="AD307" s="682">
        <f>IF($D307="","",MIN(終値!E307:I307))</f>
      </c>
      <c r="AE307" s="684">
        <f>IF($D307="","",$X307+(10000-ROW())/100000)</f>
      </c>
    </row>
    <row r="308">
      <c r="A308" s="681">
        <f>IF(終値!A308="","",HYPERLINK("https://kabutan.jp/stock/?code="&amp;終値!A308,"📈"))</f>
      </c>
      <c r="B308" s="681">
        <f>IF(終値!A308="","",終値!A308)</f>
      </c>
      <c r="C308" s="680">
        <f>IF(終値!A308="","",終値!B308)</f>
      </c>
      <c r="D308" s="682">
        <f>IF(終値!A308="","",終値!E308)</f>
      </c>
      <c r="E308" s="682">
        <f>IF($D308="","",AVERAGE(終値!E308:X308))</f>
      </c>
      <c r="F308" s="683">
        <f>IF($D308="","",STDEVP(終値!E308:X308))</f>
      </c>
      <c r="G308" s="682">
        <f>IF($D308="","",$E308+BB設定!$B$4*$F308)</f>
      </c>
      <c r="H308" s="682">
        <f>IF($D308="","",$E308+BB設定!$B$5*$F308)</f>
      </c>
      <c r="I308" s="682">
        <f>IF($D308="","",$E308-BB設定!$B$5*$F308)</f>
      </c>
      <c r="J308" s="682">
        <f>IF($D308="","",$E308-BB設定!$B$4*$F308)</f>
      </c>
      <c r="K308" s="687">
        <f>IF($D308="","",IFERROR(($D308-$J308)/($G308-$J308),""))</f>
      </c>
      <c r="L308" s="686">
        <f>IF($D308="","",IFERROR(($G308-$J308)/$E308*100,""))</f>
      </c>
      <c r="M308" s="686">
        <f>IF($D308="","",IFERROR(MIN(BB_帯幅!B308:AP308)*100,""))</f>
      </c>
      <c r="N308" s="681">
        <f>IF($L308="","",IF($L308&lt;=$M308*BB設定!$B$7,"スクイーズ★",IF($L308&lt;=$M308*1.3,"収縮","－")))</f>
      </c>
      <c r="O308" s="681">
        <f>IF($D308="","",IF($L308&gt;(4*STDEVP(終値!F308:Y308)/AVERAGE(終値!F308:Y308)*100),"拡大↑","縮小↓"))</f>
      </c>
      <c r="P308" s="681">
        <f>IF($D308="","",IF($D308&gt;$G308,"↑+2σ突破",IF($D308&lt;$J308,"↓-2σ割れ",IF($D308&gt;$H308,"+1σ上",IF($D308&lt;$I308,"-1σ下","バンド内")))))</f>
      </c>
      <c r="Q308" s="684">
        <f>IF($D308="","",IFERROR(100-100/(1+SUMPRODUCT((終値!E308:R308&gt;終値!F308:S308)*(終値!E308:R308-終値!F308:S308))/SUMPRODUCT((終値!E308:R308&lt;終値!F308:S308)*(終値!F308:S308-終値!E308:R308))),100))</f>
      </c>
      <c r="R308" s="684">
        <f>IF($D308="","",IFERROR(100-100/(1+SUMPRODUCT((((高値!E308:R308+安値!E308:R308+終値!E308:R308)/3)&gt;((高値!F308:S308+安値!F308:S308+終値!F308:S308)/3))*((高値!E308:R308+安値!E308:R308+終値!E308:R308)/3)*出来高!E308:R308)/SUMPRODUCT((((高値!E308:R308+安値!E308:R308+終値!E308:R308)/3)&lt;((高値!F308:S308+安値!F308:S308+終値!F308:S308)/3))*((高値!E308:R308+安値!E308:R308+終値!E308:R308)/3)*出来高!E308:R308)),50))</f>
      </c>
      <c r="S308" s="681">
        <f>IF($D308="","",IF(AND(終値!E308&lt;終値!O308,$Q308&gt;(IFERROR(100-100/(1+SUMPRODUCT((終値!O308:AB308&gt;終値!P308:AC308)*(終値!O308:AB308-終値!P308:AC308))/SUMPRODUCT((終値!O308:AB308&lt;終値!P308:AC308)*(終値!P308:AC308-終値!O308:AB308))),100))),"強気div▲",IF(AND(終値!E308&gt;終値!O308,$Q308&lt;(IFERROR(100-100/(1+SUMPRODUCT((終値!O308:AB308&gt;終値!P308:AC308)*(終値!O308:AB308-終値!P308:AC308))/SUMPRODUCT((終値!O308:AB308&lt;終値!P308:AC308)*(終値!P308:AC308-終値!O308:AB308))),100))),"弱気div▼","－")))</f>
      </c>
      <c r="T308" s="681">
        <f>IF($D308="","",IF($D308&gt;=$H308,"上walk▲",IF($D308&lt;=$I308,"下walk▼","－")))</f>
      </c>
      <c r="U308" s="681">
        <f>IF(終値!A308="","",BB_スイング!BT308)</f>
      </c>
      <c r="V308" s="689">
        <f>IF($D308="","",IFERROR(出来高!E308/AVERAGE(出来高!E308:I308),""))</f>
      </c>
      <c r="W308" s="690">
        <f>IF($D308="","",IF(AND($D308&gt;$G308,$O308="拡大↑",$L308&lt;=$M308*1.8),"◎スクイーズブレイク買",IF(AND($D308&gt;=$H308,$R308&gt;=BB設定!$B$10),"○順張り継続(walk)",IF(AND($S308="強気div▲",$D308&gt;$I308),"○反発(ダイバ)買",IF($U308="二番底W▲","△二番底買(確)",IF($U308="二番底W形成","△二番底形成",IF($D308&lt;$J308,"▼-2σ割れ危険",IF(AND($D308&gt;$E308,$K308&lt;0.6,$R308&gt;=50),"・押し目注目",IF($N308="スクイーズ★","☆スクイーズ監視","様子見")))))))))</f>
      </c>
      <c r="X308" s="685">
        <f>IF($D308="","",MIN(100,IF($L308&lt;=$M308*1.15,20,IF($L308&lt;=$M308*1.4,10,0))+IF($D308&gt;$G308,20,IF($D308&gt;$H308,12,IF($D308&gt;$E308,5,0)))+IF($O308="拡大↑",10,0)+IF($R308&gt;=80,15,IF($R308&gt;=60,10,IF($R308&gt;=50,5,0)))+IF(AND($Q308&gt;=50,$Q308&lt;=70),10,IF($Q308&gt;70,3,IF($Q308&gt;=40,5,0)))+IF($S308="強気div▲",15,0)+IF($T308="上walk▲",5,0)+IF($V308&gt;=2,5,IF($V308&gt;=1.5,3,0))))</f>
      </c>
      <c r="Y308" s="682">
        <f>IF($D308="","",$D308)</f>
      </c>
      <c r="Z308" s="682">
        <f>IF($D308="","",$H308)</f>
      </c>
      <c r="AA308" s="682">
        <f>IF($D308="","",IF($D308&gt;$E308,$E308,$AD308))</f>
      </c>
      <c r="AB308" s="682">
        <f>IF($D308="","",$G308)</f>
      </c>
      <c r="AC308" s="688">
        <f>IF($D308="","",IF(($Y308-$AA308)&lt;=0,"－",IFERROR(ROUND(MIN(20,($AB308-$Y308)/($Y308-$AA308)),2),"－")))</f>
      </c>
      <c r="AD308" s="682">
        <f>IF($D308="","",MIN(終値!E308:I308))</f>
      </c>
      <c r="AE308" s="684">
        <f>IF($D308="","",$X308+(10000-ROW())/100000)</f>
      </c>
    </row>
    <row r="309">
      <c r="A309" s="681">
        <f>IF(終値!A309="","",HYPERLINK("https://kabutan.jp/stock/?code="&amp;終値!A309,"📈"))</f>
      </c>
      <c r="B309" s="681">
        <f>IF(終値!A309="","",終値!A309)</f>
      </c>
      <c r="C309" s="680">
        <f>IF(終値!A309="","",終値!B309)</f>
      </c>
      <c r="D309" s="682">
        <f>IF(終値!A309="","",終値!E309)</f>
      </c>
      <c r="E309" s="682">
        <f>IF($D309="","",AVERAGE(終値!E309:X309))</f>
      </c>
      <c r="F309" s="683">
        <f>IF($D309="","",STDEVP(終値!E309:X309))</f>
      </c>
      <c r="G309" s="682">
        <f>IF($D309="","",$E309+BB設定!$B$4*$F309)</f>
      </c>
      <c r="H309" s="682">
        <f>IF($D309="","",$E309+BB設定!$B$5*$F309)</f>
      </c>
      <c r="I309" s="682">
        <f>IF($D309="","",$E309-BB設定!$B$5*$F309)</f>
      </c>
      <c r="J309" s="682">
        <f>IF($D309="","",$E309-BB設定!$B$4*$F309)</f>
      </c>
      <c r="K309" s="687">
        <f>IF($D309="","",IFERROR(($D309-$J309)/($G309-$J309),""))</f>
      </c>
      <c r="L309" s="686">
        <f>IF($D309="","",IFERROR(($G309-$J309)/$E309*100,""))</f>
      </c>
      <c r="M309" s="686">
        <f>IF($D309="","",IFERROR(MIN(BB_帯幅!B309:AP309)*100,""))</f>
      </c>
      <c r="N309" s="681">
        <f>IF($L309="","",IF($L309&lt;=$M309*BB設定!$B$7,"スクイーズ★",IF($L309&lt;=$M309*1.3,"収縮","－")))</f>
      </c>
      <c r="O309" s="681">
        <f>IF($D309="","",IF($L309&gt;(4*STDEVP(終値!F309:Y309)/AVERAGE(終値!F309:Y309)*100),"拡大↑","縮小↓"))</f>
      </c>
      <c r="P309" s="681">
        <f>IF($D309="","",IF($D309&gt;$G309,"↑+2σ突破",IF($D309&lt;$J309,"↓-2σ割れ",IF($D309&gt;$H309,"+1σ上",IF($D309&lt;$I309,"-1σ下","バンド内")))))</f>
      </c>
      <c r="Q309" s="684">
        <f>IF($D309="","",IFERROR(100-100/(1+SUMPRODUCT((終値!E309:R309&gt;終値!F309:S309)*(終値!E309:R309-終値!F309:S309))/SUMPRODUCT((終値!E309:R309&lt;終値!F309:S309)*(終値!F309:S309-終値!E309:R309))),100))</f>
      </c>
      <c r="R309" s="684">
        <f>IF($D309="","",IFERROR(100-100/(1+SUMPRODUCT((((高値!E309:R309+安値!E309:R309+終値!E309:R309)/3)&gt;((高値!F309:S309+安値!F309:S309+終値!F309:S309)/3))*((高値!E309:R309+安値!E309:R309+終値!E309:R309)/3)*出来高!E309:R309)/SUMPRODUCT((((高値!E309:R309+安値!E309:R309+終値!E309:R309)/3)&lt;((高値!F309:S309+安値!F309:S309+終値!F309:S309)/3))*((高値!E309:R309+安値!E309:R309+終値!E309:R309)/3)*出来高!E309:R309)),50))</f>
      </c>
      <c r="S309" s="681">
        <f>IF($D309="","",IF(AND(終値!E309&lt;終値!O309,$Q309&gt;(IFERROR(100-100/(1+SUMPRODUCT((終値!O309:AB309&gt;終値!P309:AC309)*(終値!O309:AB309-終値!P309:AC309))/SUMPRODUCT((終値!O309:AB309&lt;終値!P309:AC309)*(終値!P309:AC309-終値!O309:AB309))),100))),"強気div▲",IF(AND(終値!E309&gt;終値!O309,$Q309&lt;(IFERROR(100-100/(1+SUMPRODUCT((終値!O309:AB309&gt;終値!P309:AC309)*(終値!O309:AB309-終値!P309:AC309))/SUMPRODUCT((終値!O309:AB309&lt;終値!P309:AC309)*(終値!P309:AC309-終値!O309:AB309))),100))),"弱気div▼","－")))</f>
      </c>
      <c r="T309" s="681">
        <f>IF($D309="","",IF($D309&gt;=$H309,"上walk▲",IF($D309&lt;=$I309,"下walk▼","－")))</f>
      </c>
      <c r="U309" s="681">
        <f>IF(終値!A309="","",BB_スイング!BT309)</f>
      </c>
      <c r="V309" s="689">
        <f>IF($D309="","",IFERROR(出来高!E309/AVERAGE(出来高!E309:I309),""))</f>
      </c>
      <c r="W309" s="690">
        <f>IF($D309="","",IF(AND($D309&gt;$G309,$O309="拡大↑",$L309&lt;=$M309*1.8),"◎スクイーズブレイク買",IF(AND($D309&gt;=$H309,$R309&gt;=BB設定!$B$10),"○順張り継続(walk)",IF(AND($S309="強気div▲",$D309&gt;$I309),"○反発(ダイバ)買",IF($U309="二番底W▲","△二番底買(確)",IF($U309="二番底W形成","△二番底形成",IF($D309&lt;$J309,"▼-2σ割れ危険",IF(AND($D309&gt;$E309,$K309&lt;0.6,$R309&gt;=50),"・押し目注目",IF($N309="スクイーズ★","☆スクイーズ監視","様子見")))))))))</f>
      </c>
      <c r="X309" s="685">
        <f>IF($D309="","",MIN(100,IF($L309&lt;=$M309*1.15,20,IF($L309&lt;=$M309*1.4,10,0))+IF($D309&gt;$G309,20,IF($D309&gt;$H309,12,IF($D309&gt;$E309,5,0)))+IF($O309="拡大↑",10,0)+IF($R309&gt;=80,15,IF($R309&gt;=60,10,IF($R309&gt;=50,5,0)))+IF(AND($Q309&gt;=50,$Q309&lt;=70),10,IF($Q309&gt;70,3,IF($Q309&gt;=40,5,0)))+IF($S309="強気div▲",15,0)+IF($T309="上walk▲",5,0)+IF($V309&gt;=2,5,IF($V309&gt;=1.5,3,0))))</f>
      </c>
      <c r="Y309" s="682">
        <f>IF($D309="","",$D309)</f>
      </c>
      <c r="Z309" s="682">
        <f>IF($D309="","",$H309)</f>
      </c>
      <c r="AA309" s="682">
        <f>IF($D309="","",IF($D309&gt;$E309,$E309,$AD309))</f>
      </c>
      <c r="AB309" s="682">
        <f>IF($D309="","",$G309)</f>
      </c>
      <c r="AC309" s="688">
        <f>IF($D309="","",IF(($Y309-$AA309)&lt;=0,"－",IFERROR(ROUND(MIN(20,($AB309-$Y309)/($Y309-$AA309)),2),"－")))</f>
      </c>
      <c r="AD309" s="682">
        <f>IF($D309="","",MIN(終値!E309:I309))</f>
      </c>
      <c r="AE309" s="684">
        <f>IF($D309="","",$X309+(10000-ROW())/100000)</f>
      </c>
    </row>
    <row r="310">
      <c r="A310" s="681">
        <f>IF(終値!A310="","",HYPERLINK("https://kabutan.jp/stock/?code="&amp;終値!A310,"📈"))</f>
      </c>
      <c r="B310" s="681">
        <f>IF(終値!A310="","",終値!A310)</f>
      </c>
      <c r="C310" s="680">
        <f>IF(終値!A310="","",終値!B310)</f>
      </c>
      <c r="D310" s="682">
        <f>IF(終値!A310="","",終値!E310)</f>
      </c>
      <c r="E310" s="682">
        <f>IF($D310="","",AVERAGE(終値!E310:X310))</f>
      </c>
      <c r="F310" s="683">
        <f>IF($D310="","",STDEVP(終値!E310:X310))</f>
      </c>
      <c r="G310" s="682">
        <f>IF($D310="","",$E310+BB設定!$B$4*$F310)</f>
      </c>
      <c r="H310" s="682">
        <f>IF($D310="","",$E310+BB設定!$B$5*$F310)</f>
      </c>
      <c r="I310" s="682">
        <f>IF($D310="","",$E310-BB設定!$B$5*$F310)</f>
      </c>
      <c r="J310" s="682">
        <f>IF($D310="","",$E310-BB設定!$B$4*$F310)</f>
      </c>
      <c r="K310" s="687">
        <f>IF($D310="","",IFERROR(($D310-$J310)/($G310-$J310),""))</f>
      </c>
      <c r="L310" s="686">
        <f>IF($D310="","",IFERROR(($G310-$J310)/$E310*100,""))</f>
      </c>
      <c r="M310" s="686">
        <f>IF($D310="","",IFERROR(MIN(BB_帯幅!B310:AP310)*100,""))</f>
      </c>
      <c r="N310" s="681">
        <f>IF($L310="","",IF($L310&lt;=$M310*BB設定!$B$7,"スクイーズ★",IF($L310&lt;=$M310*1.3,"収縮","－")))</f>
      </c>
      <c r="O310" s="681">
        <f>IF($D310="","",IF($L310&gt;(4*STDEVP(終値!F310:Y310)/AVERAGE(終値!F310:Y310)*100),"拡大↑","縮小↓"))</f>
      </c>
      <c r="P310" s="681">
        <f>IF($D310="","",IF($D310&gt;$G310,"↑+2σ突破",IF($D310&lt;$J310,"↓-2σ割れ",IF($D310&gt;$H310,"+1σ上",IF($D310&lt;$I310,"-1σ下","バンド内")))))</f>
      </c>
      <c r="Q310" s="684">
        <f>IF($D310="","",IFERROR(100-100/(1+SUMPRODUCT((終値!E310:R310&gt;終値!F310:S310)*(終値!E310:R310-終値!F310:S310))/SUMPRODUCT((終値!E310:R310&lt;終値!F310:S310)*(終値!F310:S310-終値!E310:R310))),100))</f>
      </c>
      <c r="R310" s="684">
        <f>IF($D310="","",IFERROR(100-100/(1+SUMPRODUCT((((高値!E310:R310+安値!E310:R310+終値!E310:R310)/3)&gt;((高値!F310:S310+安値!F310:S310+終値!F310:S310)/3))*((高値!E310:R310+安値!E310:R310+終値!E310:R310)/3)*出来高!E310:R310)/SUMPRODUCT((((高値!E310:R310+安値!E310:R310+終値!E310:R310)/3)&lt;((高値!F310:S310+安値!F310:S310+終値!F310:S310)/3))*((高値!E310:R310+安値!E310:R310+終値!E310:R310)/3)*出来高!E310:R310)),50))</f>
      </c>
      <c r="S310" s="681">
        <f>IF($D310="","",IF(AND(終値!E310&lt;終値!O310,$Q310&gt;(IFERROR(100-100/(1+SUMPRODUCT((終値!O310:AB310&gt;終値!P310:AC310)*(終値!O310:AB310-終値!P310:AC310))/SUMPRODUCT((終値!O310:AB310&lt;終値!P310:AC310)*(終値!P310:AC310-終値!O310:AB310))),100))),"強気div▲",IF(AND(終値!E310&gt;終値!O310,$Q310&lt;(IFERROR(100-100/(1+SUMPRODUCT((終値!O310:AB310&gt;終値!P310:AC310)*(終値!O310:AB310-終値!P310:AC310))/SUMPRODUCT((終値!O310:AB310&lt;終値!P310:AC310)*(終値!P310:AC310-終値!O310:AB310))),100))),"弱気div▼","－")))</f>
      </c>
      <c r="T310" s="681">
        <f>IF($D310="","",IF($D310&gt;=$H310,"上walk▲",IF($D310&lt;=$I310,"下walk▼","－")))</f>
      </c>
      <c r="U310" s="681">
        <f>IF(終値!A310="","",BB_スイング!BT310)</f>
      </c>
      <c r="V310" s="689">
        <f>IF($D310="","",IFERROR(出来高!E310/AVERAGE(出来高!E310:I310),""))</f>
      </c>
      <c r="W310" s="690">
        <f>IF($D310="","",IF(AND($D310&gt;$G310,$O310="拡大↑",$L310&lt;=$M310*1.8),"◎スクイーズブレイク買",IF(AND($D310&gt;=$H310,$R310&gt;=BB設定!$B$10),"○順張り継続(walk)",IF(AND($S310="強気div▲",$D310&gt;$I310),"○反発(ダイバ)買",IF($U310="二番底W▲","△二番底買(確)",IF($U310="二番底W形成","△二番底形成",IF($D310&lt;$J310,"▼-2σ割れ危険",IF(AND($D310&gt;$E310,$K310&lt;0.6,$R310&gt;=50),"・押し目注目",IF($N310="スクイーズ★","☆スクイーズ監視","様子見")))))))))</f>
      </c>
      <c r="X310" s="685">
        <f>IF($D310="","",MIN(100,IF($L310&lt;=$M310*1.15,20,IF($L310&lt;=$M310*1.4,10,0))+IF($D310&gt;$G310,20,IF($D310&gt;$H310,12,IF($D310&gt;$E310,5,0)))+IF($O310="拡大↑",10,0)+IF($R310&gt;=80,15,IF($R310&gt;=60,10,IF($R310&gt;=50,5,0)))+IF(AND($Q310&gt;=50,$Q310&lt;=70),10,IF($Q310&gt;70,3,IF($Q310&gt;=40,5,0)))+IF($S310="強気div▲",15,0)+IF($T310="上walk▲",5,0)+IF($V310&gt;=2,5,IF($V310&gt;=1.5,3,0))))</f>
      </c>
      <c r="Y310" s="682">
        <f>IF($D310="","",$D310)</f>
      </c>
      <c r="Z310" s="682">
        <f>IF($D310="","",$H310)</f>
      </c>
      <c r="AA310" s="682">
        <f>IF($D310="","",IF($D310&gt;$E310,$E310,$AD310))</f>
      </c>
      <c r="AB310" s="682">
        <f>IF($D310="","",$G310)</f>
      </c>
      <c r="AC310" s="688">
        <f>IF($D310="","",IF(($Y310-$AA310)&lt;=0,"－",IFERROR(ROUND(MIN(20,($AB310-$Y310)/($Y310-$AA310)),2),"－")))</f>
      </c>
      <c r="AD310" s="682">
        <f>IF($D310="","",MIN(終値!E310:I310))</f>
      </c>
      <c r="AE310" s="684">
        <f>IF($D310="","",$X310+(10000-ROW())/100000)</f>
      </c>
    </row>
    <row r="311">
      <c r="A311" s="681">
        <f>IF(終値!A311="","",HYPERLINK("https://kabutan.jp/stock/?code="&amp;終値!A311,"📈"))</f>
      </c>
      <c r="B311" s="681">
        <f>IF(終値!A311="","",終値!A311)</f>
      </c>
      <c r="C311" s="680">
        <f>IF(終値!A311="","",終値!B311)</f>
      </c>
      <c r="D311" s="682">
        <f>IF(終値!A311="","",終値!E311)</f>
      </c>
      <c r="E311" s="682">
        <f>IF($D311="","",AVERAGE(終値!E311:X311))</f>
      </c>
      <c r="F311" s="683">
        <f>IF($D311="","",STDEVP(終値!E311:X311))</f>
      </c>
      <c r="G311" s="682">
        <f>IF($D311="","",$E311+BB設定!$B$4*$F311)</f>
      </c>
      <c r="H311" s="682">
        <f>IF($D311="","",$E311+BB設定!$B$5*$F311)</f>
      </c>
      <c r="I311" s="682">
        <f>IF($D311="","",$E311-BB設定!$B$5*$F311)</f>
      </c>
      <c r="J311" s="682">
        <f>IF($D311="","",$E311-BB設定!$B$4*$F311)</f>
      </c>
      <c r="K311" s="687">
        <f>IF($D311="","",IFERROR(($D311-$J311)/($G311-$J311),""))</f>
      </c>
      <c r="L311" s="686">
        <f>IF($D311="","",IFERROR(($G311-$J311)/$E311*100,""))</f>
      </c>
      <c r="M311" s="686">
        <f>IF($D311="","",IFERROR(MIN(BB_帯幅!B311:AP311)*100,""))</f>
      </c>
      <c r="N311" s="681">
        <f>IF($L311="","",IF($L311&lt;=$M311*BB設定!$B$7,"スクイーズ★",IF($L311&lt;=$M311*1.3,"収縮","－")))</f>
      </c>
      <c r="O311" s="681">
        <f>IF($D311="","",IF($L311&gt;(4*STDEVP(終値!F311:Y311)/AVERAGE(終値!F311:Y311)*100),"拡大↑","縮小↓"))</f>
      </c>
      <c r="P311" s="681">
        <f>IF($D311="","",IF($D311&gt;$G311,"↑+2σ突破",IF($D311&lt;$J311,"↓-2σ割れ",IF($D311&gt;$H311,"+1σ上",IF($D311&lt;$I311,"-1σ下","バンド内")))))</f>
      </c>
      <c r="Q311" s="684">
        <f>IF($D311="","",IFERROR(100-100/(1+SUMPRODUCT((終値!E311:R311&gt;終値!F311:S311)*(終値!E311:R311-終値!F311:S311))/SUMPRODUCT((終値!E311:R311&lt;終値!F311:S311)*(終値!F311:S311-終値!E311:R311))),100))</f>
      </c>
      <c r="R311" s="684">
        <f>IF($D311="","",IFERROR(100-100/(1+SUMPRODUCT((((高値!E311:R311+安値!E311:R311+終値!E311:R311)/3)&gt;((高値!F311:S311+安値!F311:S311+終値!F311:S311)/3))*((高値!E311:R311+安値!E311:R311+終値!E311:R311)/3)*出来高!E311:R311)/SUMPRODUCT((((高値!E311:R311+安値!E311:R311+終値!E311:R311)/3)&lt;((高値!F311:S311+安値!F311:S311+終値!F311:S311)/3))*((高値!E311:R311+安値!E311:R311+終値!E311:R311)/3)*出来高!E311:R311)),50))</f>
      </c>
      <c r="S311" s="681">
        <f>IF($D311="","",IF(AND(終値!E311&lt;終値!O311,$Q311&gt;(IFERROR(100-100/(1+SUMPRODUCT((終値!O311:AB311&gt;終値!P311:AC311)*(終値!O311:AB311-終値!P311:AC311))/SUMPRODUCT((終値!O311:AB311&lt;終値!P311:AC311)*(終値!P311:AC311-終値!O311:AB311))),100))),"強気div▲",IF(AND(終値!E311&gt;終値!O311,$Q311&lt;(IFERROR(100-100/(1+SUMPRODUCT((終値!O311:AB311&gt;終値!P311:AC311)*(終値!O311:AB311-終値!P311:AC311))/SUMPRODUCT((終値!O311:AB311&lt;終値!P311:AC311)*(終値!P311:AC311-終値!O311:AB311))),100))),"弱気div▼","－")))</f>
      </c>
      <c r="T311" s="681">
        <f>IF($D311="","",IF($D311&gt;=$H311,"上walk▲",IF($D311&lt;=$I311,"下walk▼","－")))</f>
      </c>
      <c r="U311" s="681">
        <f>IF(終値!A311="","",BB_スイング!BT311)</f>
      </c>
      <c r="V311" s="689">
        <f>IF($D311="","",IFERROR(出来高!E311/AVERAGE(出来高!E311:I311),""))</f>
      </c>
      <c r="W311" s="690">
        <f>IF($D311="","",IF(AND($D311&gt;$G311,$O311="拡大↑",$L311&lt;=$M311*1.8),"◎スクイーズブレイク買",IF(AND($D311&gt;=$H311,$R311&gt;=BB設定!$B$10),"○順張り継続(walk)",IF(AND($S311="強気div▲",$D311&gt;$I311),"○反発(ダイバ)買",IF($U311="二番底W▲","△二番底買(確)",IF($U311="二番底W形成","△二番底形成",IF($D311&lt;$J311,"▼-2σ割れ危険",IF(AND($D311&gt;$E311,$K311&lt;0.6,$R311&gt;=50),"・押し目注目",IF($N311="スクイーズ★","☆スクイーズ監視","様子見")))))))))</f>
      </c>
      <c r="X311" s="685">
        <f>IF($D311="","",MIN(100,IF($L311&lt;=$M311*1.15,20,IF($L311&lt;=$M311*1.4,10,0))+IF($D311&gt;$G311,20,IF($D311&gt;$H311,12,IF($D311&gt;$E311,5,0)))+IF($O311="拡大↑",10,0)+IF($R311&gt;=80,15,IF($R311&gt;=60,10,IF($R311&gt;=50,5,0)))+IF(AND($Q311&gt;=50,$Q311&lt;=70),10,IF($Q311&gt;70,3,IF($Q311&gt;=40,5,0)))+IF($S311="強気div▲",15,0)+IF($T311="上walk▲",5,0)+IF($V311&gt;=2,5,IF($V311&gt;=1.5,3,0))))</f>
      </c>
      <c r="Y311" s="682">
        <f>IF($D311="","",$D311)</f>
      </c>
      <c r="Z311" s="682">
        <f>IF($D311="","",$H311)</f>
      </c>
      <c r="AA311" s="682">
        <f>IF($D311="","",IF($D311&gt;$E311,$E311,$AD311))</f>
      </c>
      <c r="AB311" s="682">
        <f>IF($D311="","",$G311)</f>
      </c>
      <c r="AC311" s="688">
        <f>IF($D311="","",IF(($Y311-$AA311)&lt;=0,"－",IFERROR(ROUND(MIN(20,($AB311-$Y311)/($Y311-$AA311)),2),"－")))</f>
      </c>
      <c r="AD311" s="682">
        <f>IF($D311="","",MIN(終値!E311:I311))</f>
      </c>
      <c r="AE311" s="684">
        <f>IF($D311="","",$X311+(10000-ROW())/100000)</f>
      </c>
    </row>
    <row r="312">
      <c r="A312" s="681">
        <f>IF(終値!A312="","",HYPERLINK("https://kabutan.jp/stock/?code="&amp;終値!A312,"📈"))</f>
      </c>
      <c r="B312" s="681">
        <f>IF(終値!A312="","",終値!A312)</f>
      </c>
      <c r="C312" s="680">
        <f>IF(終値!A312="","",終値!B312)</f>
      </c>
      <c r="D312" s="682">
        <f>IF(終値!A312="","",終値!E312)</f>
      </c>
      <c r="E312" s="682">
        <f>IF($D312="","",AVERAGE(終値!E312:X312))</f>
      </c>
      <c r="F312" s="683">
        <f>IF($D312="","",STDEVP(終値!E312:X312))</f>
      </c>
      <c r="G312" s="682">
        <f>IF($D312="","",$E312+BB設定!$B$4*$F312)</f>
      </c>
      <c r="H312" s="682">
        <f>IF($D312="","",$E312+BB設定!$B$5*$F312)</f>
      </c>
      <c r="I312" s="682">
        <f>IF($D312="","",$E312-BB設定!$B$5*$F312)</f>
      </c>
      <c r="J312" s="682">
        <f>IF($D312="","",$E312-BB設定!$B$4*$F312)</f>
      </c>
      <c r="K312" s="687">
        <f>IF($D312="","",IFERROR(($D312-$J312)/($G312-$J312),""))</f>
      </c>
      <c r="L312" s="686">
        <f>IF($D312="","",IFERROR(($G312-$J312)/$E312*100,""))</f>
      </c>
      <c r="M312" s="686">
        <f>IF($D312="","",IFERROR(MIN(BB_帯幅!B312:AP312)*100,""))</f>
      </c>
      <c r="N312" s="681">
        <f>IF($L312="","",IF($L312&lt;=$M312*BB設定!$B$7,"スクイーズ★",IF($L312&lt;=$M312*1.3,"収縮","－")))</f>
      </c>
      <c r="O312" s="681">
        <f>IF($D312="","",IF($L312&gt;(4*STDEVP(終値!F312:Y312)/AVERAGE(終値!F312:Y312)*100),"拡大↑","縮小↓"))</f>
      </c>
      <c r="P312" s="681">
        <f>IF($D312="","",IF($D312&gt;$G312,"↑+2σ突破",IF($D312&lt;$J312,"↓-2σ割れ",IF($D312&gt;$H312,"+1σ上",IF($D312&lt;$I312,"-1σ下","バンド内")))))</f>
      </c>
      <c r="Q312" s="684">
        <f>IF($D312="","",IFERROR(100-100/(1+SUMPRODUCT((終値!E312:R312&gt;終値!F312:S312)*(終値!E312:R312-終値!F312:S312))/SUMPRODUCT((終値!E312:R312&lt;終値!F312:S312)*(終値!F312:S312-終値!E312:R312))),100))</f>
      </c>
      <c r="R312" s="684">
        <f>IF($D312="","",IFERROR(100-100/(1+SUMPRODUCT((((高値!E312:R312+安値!E312:R312+終値!E312:R312)/3)&gt;((高値!F312:S312+安値!F312:S312+終値!F312:S312)/3))*((高値!E312:R312+安値!E312:R312+終値!E312:R312)/3)*出来高!E312:R312)/SUMPRODUCT((((高値!E312:R312+安値!E312:R312+終値!E312:R312)/3)&lt;((高値!F312:S312+安値!F312:S312+終値!F312:S312)/3))*((高値!E312:R312+安値!E312:R312+終値!E312:R312)/3)*出来高!E312:R312)),50))</f>
      </c>
      <c r="S312" s="681">
        <f>IF($D312="","",IF(AND(終値!E312&lt;終値!O312,$Q312&gt;(IFERROR(100-100/(1+SUMPRODUCT((終値!O312:AB312&gt;終値!P312:AC312)*(終値!O312:AB312-終値!P312:AC312))/SUMPRODUCT((終値!O312:AB312&lt;終値!P312:AC312)*(終値!P312:AC312-終値!O312:AB312))),100))),"強気div▲",IF(AND(終値!E312&gt;終値!O312,$Q312&lt;(IFERROR(100-100/(1+SUMPRODUCT((終値!O312:AB312&gt;終値!P312:AC312)*(終値!O312:AB312-終値!P312:AC312))/SUMPRODUCT((終値!O312:AB312&lt;終値!P312:AC312)*(終値!P312:AC312-終値!O312:AB312))),100))),"弱気div▼","－")))</f>
      </c>
      <c r="T312" s="681">
        <f>IF($D312="","",IF($D312&gt;=$H312,"上walk▲",IF($D312&lt;=$I312,"下walk▼","－")))</f>
      </c>
      <c r="U312" s="681">
        <f>IF(終値!A312="","",BB_スイング!BT312)</f>
      </c>
      <c r="V312" s="689">
        <f>IF($D312="","",IFERROR(出来高!E312/AVERAGE(出来高!E312:I312),""))</f>
      </c>
      <c r="W312" s="690">
        <f>IF($D312="","",IF(AND($D312&gt;$G312,$O312="拡大↑",$L312&lt;=$M312*1.8),"◎スクイーズブレイク買",IF(AND($D312&gt;=$H312,$R312&gt;=BB設定!$B$10),"○順張り継続(walk)",IF(AND($S312="強気div▲",$D312&gt;$I312),"○反発(ダイバ)買",IF($U312="二番底W▲","△二番底買(確)",IF($U312="二番底W形成","△二番底形成",IF($D312&lt;$J312,"▼-2σ割れ危険",IF(AND($D312&gt;$E312,$K312&lt;0.6,$R312&gt;=50),"・押し目注目",IF($N312="スクイーズ★","☆スクイーズ監視","様子見")))))))))</f>
      </c>
      <c r="X312" s="685">
        <f>IF($D312="","",MIN(100,IF($L312&lt;=$M312*1.15,20,IF($L312&lt;=$M312*1.4,10,0))+IF($D312&gt;$G312,20,IF($D312&gt;$H312,12,IF($D312&gt;$E312,5,0)))+IF($O312="拡大↑",10,0)+IF($R312&gt;=80,15,IF($R312&gt;=60,10,IF($R312&gt;=50,5,0)))+IF(AND($Q312&gt;=50,$Q312&lt;=70),10,IF($Q312&gt;70,3,IF($Q312&gt;=40,5,0)))+IF($S312="強気div▲",15,0)+IF($T312="上walk▲",5,0)+IF($V312&gt;=2,5,IF($V312&gt;=1.5,3,0))))</f>
      </c>
      <c r="Y312" s="682">
        <f>IF($D312="","",$D312)</f>
      </c>
      <c r="Z312" s="682">
        <f>IF($D312="","",$H312)</f>
      </c>
      <c r="AA312" s="682">
        <f>IF($D312="","",IF($D312&gt;$E312,$E312,$AD312))</f>
      </c>
      <c r="AB312" s="682">
        <f>IF($D312="","",$G312)</f>
      </c>
      <c r="AC312" s="688">
        <f>IF($D312="","",IF(($Y312-$AA312)&lt;=0,"－",IFERROR(ROUND(MIN(20,($AB312-$Y312)/($Y312-$AA312)),2),"－")))</f>
      </c>
      <c r="AD312" s="682">
        <f>IF($D312="","",MIN(終値!E312:I312))</f>
      </c>
      <c r="AE312" s="684">
        <f>IF($D312="","",$X312+(10000-ROW())/100000)</f>
      </c>
    </row>
    <row r="313">
      <c r="A313" s="681">
        <f>IF(終値!A313="","",HYPERLINK("https://kabutan.jp/stock/?code="&amp;終値!A313,"📈"))</f>
      </c>
      <c r="B313" s="681">
        <f>IF(終値!A313="","",終値!A313)</f>
      </c>
      <c r="C313" s="680">
        <f>IF(終値!A313="","",終値!B313)</f>
      </c>
      <c r="D313" s="682">
        <f>IF(終値!A313="","",終値!E313)</f>
      </c>
      <c r="E313" s="682">
        <f>IF($D313="","",AVERAGE(終値!E313:X313))</f>
      </c>
      <c r="F313" s="683">
        <f>IF($D313="","",STDEVP(終値!E313:X313))</f>
      </c>
      <c r="G313" s="682">
        <f>IF($D313="","",$E313+BB設定!$B$4*$F313)</f>
      </c>
      <c r="H313" s="682">
        <f>IF($D313="","",$E313+BB設定!$B$5*$F313)</f>
      </c>
      <c r="I313" s="682">
        <f>IF($D313="","",$E313-BB設定!$B$5*$F313)</f>
      </c>
      <c r="J313" s="682">
        <f>IF($D313="","",$E313-BB設定!$B$4*$F313)</f>
      </c>
      <c r="K313" s="687">
        <f>IF($D313="","",IFERROR(($D313-$J313)/($G313-$J313),""))</f>
      </c>
      <c r="L313" s="686">
        <f>IF($D313="","",IFERROR(($G313-$J313)/$E313*100,""))</f>
      </c>
      <c r="M313" s="686">
        <f>IF($D313="","",IFERROR(MIN(BB_帯幅!B313:AP313)*100,""))</f>
      </c>
      <c r="N313" s="681">
        <f>IF($L313="","",IF($L313&lt;=$M313*BB設定!$B$7,"スクイーズ★",IF($L313&lt;=$M313*1.3,"収縮","－")))</f>
      </c>
      <c r="O313" s="681">
        <f>IF($D313="","",IF($L313&gt;(4*STDEVP(終値!F313:Y313)/AVERAGE(終値!F313:Y313)*100),"拡大↑","縮小↓"))</f>
      </c>
      <c r="P313" s="681">
        <f>IF($D313="","",IF($D313&gt;$G313,"↑+2σ突破",IF($D313&lt;$J313,"↓-2σ割れ",IF($D313&gt;$H313,"+1σ上",IF($D313&lt;$I313,"-1σ下","バンド内")))))</f>
      </c>
      <c r="Q313" s="684">
        <f>IF($D313="","",IFERROR(100-100/(1+SUMPRODUCT((終値!E313:R313&gt;終値!F313:S313)*(終値!E313:R313-終値!F313:S313))/SUMPRODUCT((終値!E313:R313&lt;終値!F313:S313)*(終値!F313:S313-終値!E313:R313))),100))</f>
      </c>
      <c r="R313" s="684">
        <f>IF($D313="","",IFERROR(100-100/(1+SUMPRODUCT((((高値!E313:R313+安値!E313:R313+終値!E313:R313)/3)&gt;((高値!F313:S313+安値!F313:S313+終値!F313:S313)/3))*((高値!E313:R313+安値!E313:R313+終値!E313:R313)/3)*出来高!E313:R313)/SUMPRODUCT((((高値!E313:R313+安値!E313:R313+終値!E313:R313)/3)&lt;((高値!F313:S313+安値!F313:S313+終値!F313:S313)/3))*((高値!E313:R313+安値!E313:R313+終値!E313:R313)/3)*出来高!E313:R313)),50))</f>
      </c>
      <c r="S313" s="681">
        <f>IF($D313="","",IF(AND(終値!E313&lt;終値!O313,$Q313&gt;(IFERROR(100-100/(1+SUMPRODUCT((終値!O313:AB313&gt;終値!P313:AC313)*(終値!O313:AB313-終値!P313:AC313))/SUMPRODUCT((終値!O313:AB313&lt;終値!P313:AC313)*(終値!P313:AC313-終値!O313:AB313))),100))),"強気div▲",IF(AND(終値!E313&gt;終値!O313,$Q313&lt;(IFERROR(100-100/(1+SUMPRODUCT((終値!O313:AB313&gt;終値!P313:AC313)*(終値!O313:AB313-終値!P313:AC313))/SUMPRODUCT((終値!O313:AB313&lt;終値!P313:AC313)*(終値!P313:AC313-終値!O313:AB313))),100))),"弱気div▼","－")))</f>
      </c>
      <c r="T313" s="681">
        <f>IF($D313="","",IF($D313&gt;=$H313,"上walk▲",IF($D313&lt;=$I313,"下walk▼","－")))</f>
      </c>
      <c r="U313" s="681">
        <f>IF(終値!A313="","",BB_スイング!BT313)</f>
      </c>
      <c r="V313" s="689">
        <f>IF($D313="","",IFERROR(出来高!E313/AVERAGE(出来高!E313:I313),""))</f>
      </c>
      <c r="W313" s="690">
        <f>IF($D313="","",IF(AND($D313&gt;$G313,$O313="拡大↑",$L313&lt;=$M313*1.8),"◎スクイーズブレイク買",IF(AND($D313&gt;=$H313,$R313&gt;=BB設定!$B$10),"○順張り継続(walk)",IF(AND($S313="強気div▲",$D313&gt;$I313),"○反発(ダイバ)買",IF($U313="二番底W▲","△二番底買(確)",IF($U313="二番底W形成","△二番底形成",IF($D313&lt;$J313,"▼-2σ割れ危険",IF(AND($D313&gt;$E313,$K313&lt;0.6,$R313&gt;=50),"・押し目注目",IF($N313="スクイーズ★","☆スクイーズ監視","様子見")))))))))</f>
      </c>
      <c r="X313" s="685">
        <f>IF($D313="","",MIN(100,IF($L313&lt;=$M313*1.15,20,IF($L313&lt;=$M313*1.4,10,0))+IF($D313&gt;$G313,20,IF($D313&gt;$H313,12,IF($D313&gt;$E313,5,0)))+IF($O313="拡大↑",10,0)+IF($R313&gt;=80,15,IF($R313&gt;=60,10,IF($R313&gt;=50,5,0)))+IF(AND($Q313&gt;=50,$Q313&lt;=70),10,IF($Q313&gt;70,3,IF($Q313&gt;=40,5,0)))+IF($S313="強気div▲",15,0)+IF($T313="上walk▲",5,0)+IF($V313&gt;=2,5,IF($V313&gt;=1.5,3,0))))</f>
      </c>
      <c r="Y313" s="682">
        <f>IF($D313="","",$D313)</f>
      </c>
      <c r="Z313" s="682">
        <f>IF($D313="","",$H313)</f>
      </c>
      <c r="AA313" s="682">
        <f>IF($D313="","",IF($D313&gt;$E313,$E313,$AD313))</f>
      </c>
      <c r="AB313" s="682">
        <f>IF($D313="","",$G313)</f>
      </c>
      <c r="AC313" s="688">
        <f>IF($D313="","",IF(($Y313-$AA313)&lt;=0,"－",IFERROR(ROUND(MIN(20,($AB313-$Y313)/($Y313-$AA313)),2),"－")))</f>
      </c>
      <c r="AD313" s="682">
        <f>IF($D313="","",MIN(終値!E313:I313))</f>
      </c>
      <c r="AE313" s="684">
        <f>IF($D313="","",$X313+(10000-ROW())/100000)</f>
      </c>
    </row>
    <row r="314">
      <c r="A314" s="681">
        <f>IF(終値!A314="","",HYPERLINK("https://kabutan.jp/stock/?code="&amp;終値!A314,"📈"))</f>
      </c>
      <c r="B314" s="681">
        <f>IF(終値!A314="","",終値!A314)</f>
      </c>
      <c r="C314" s="680">
        <f>IF(終値!A314="","",終値!B314)</f>
      </c>
      <c r="D314" s="682">
        <f>IF(終値!A314="","",終値!E314)</f>
      </c>
      <c r="E314" s="682">
        <f>IF($D314="","",AVERAGE(終値!E314:X314))</f>
      </c>
      <c r="F314" s="683">
        <f>IF($D314="","",STDEVP(終値!E314:X314))</f>
      </c>
      <c r="G314" s="682">
        <f>IF($D314="","",$E314+BB設定!$B$4*$F314)</f>
      </c>
      <c r="H314" s="682">
        <f>IF($D314="","",$E314+BB設定!$B$5*$F314)</f>
      </c>
      <c r="I314" s="682">
        <f>IF($D314="","",$E314-BB設定!$B$5*$F314)</f>
      </c>
      <c r="J314" s="682">
        <f>IF($D314="","",$E314-BB設定!$B$4*$F314)</f>
      </c>
      <c r="K314" s="687">
        <f>IF($D314="","",IFERROR(($D314-$J314)/($G314-$J314),""))</f>
      </c>
      <c r="L314" s="686">
        <f>IF($D314="","",IFERROR(($G314-$J314)/$E314*100,""))</f>
      </c>
      <c r="M314" s="686">
        <f>IF($D314="","",IFERROR(MIN(BB_帯幅!B314:AP314)*100,""))</f>
      </c>
      <c r="N314" s="681">
        <f>IF($L314="","",IF($L314&lt;=$M314*BB設定!$B$7,"スクイーズ★",IF($L314&lt;=$M314*1.3,"収縮","－")))</f>
      </c>
      <c r="O314" s="681">
        <f>IF($D314="","",IF($L314&gt;(4*STDEVP(終値!F314:Y314)/AVERAGE(終値!F314:Y314)*100),"拡大↑","縮小↓"))</f>
      </c>
      <c r="P314" s="681">
        <f>IF($D314="","",IF($D314&gt;$G314,"↑+2σ突破",IF($D314&lt;$J314,"↓-2σ割れ",IF($D314&gt;$H314,"+1σ上",IF($D314&lt;$I314,"-1σ下","バンド内")))))</f>
      </c>
      <c r="Q314" s="684">
        <f>IF($D314="","",IFERROR(100-100/(1+SUMPRODUCT((終値!E314:R314&gt;終値!F314:S314)*(終値!E314:R314-終値!F314:S314))/SUMPRODUCT((終値!E314:R314&lt;終値!F314:S314)*(終値!F314:S314-終値!E314:R314))),100))</f>
      </c>
      <c r="R314" s="684">
        <f>IF($D314="","",IFERROR(100-100/(1+SUMPRODUCT((((高値!E314:R314+安値!E314:R314+終値!E314:R314)/3)&gt;((高値!F314:S314+安値!F314:S314+終値!F314:S314)/3))*((高値!E314:R314+安値!E314:R314+終値!E314:R314)/3)*出来高!E314:R314)/SUMPRODUCT((((高値!E314:R314+安値!E314:R314+終値!E314:R314)/3)&lt;((高値!F314:S314+安値!F314:S314+終値!F314:S314)/3))*((高値!E314:R314+安値!E314:R314+終値!E314:R314)/3)*出来高!E314:R314)),50))</f>
      </c>
      <c r="S314" s="681">
        <f>IF($D314="","",IF(AND(終値!E314&lt;終値!O314,$Q314&gt;(IFERROR(100-100/(1+SUMPRODUCT((終値!O314:AB314&gt;終値!P314:AC314)*(終値!O314:AB314-終値!P314:AC314))/SUMPRODUCT((終値!O314:AB314&lt;終値!P314:AC314)*(終値!P314:AC314-終値!O314:AB314))),100))),"強気div▲",IF(AND(終値!E314&gt;終値!O314,$Q314&lt;(IFERROR(100-100/(1+SUMPRODUCT((終値!O314:AB314&gt;終値!P314:AC314)*(終値!O314:AB314-終値!P314:AC314))/SUMPRODUCT((終値!O314:AB314&lt;終値!P314:AC314)*(終値!P314:AC314-終値!O314:AB314))),100))),"弱気div▼","－")))</f>
      </c>
      <c r="T314" s="681">
        <f>IF($D314="","",IF($D314&gt;=$H314,"上walk▲",IF($D314&lt;=$I314,"下walk▼","－")))</f>
      </c>
      <c r="U314" s="681">
        <f>IF(終値!A314="","",BB_スイング!BT314)</f>
      </c>
      <c r="V314" s="689">
        <f>IF($D314="","",IFERROR(出来高!E314/AVERAGE(出来高!E314:I314),""))</f>
      </c>
      <c r="W314" s="690">
        <f>IF($D314="","",IF(AND($D314&gt;$G314,$O314="拡大↑",$L314&lt;=$M314*1.8),"◎スクイーズブレイク買",IF(AND($D314&gt;=$H314,$R314&gt;=BB設定!$B$10),"○順張り継続(walk)",IF(AND($S314="強気div▲",$D314&gt;$I314),"○反発(ダイバ)買",IF($U314="二番底W▲","△二番底買(確)",IF($U314="二番底W形成","△二番底形成",IF($D314&lt;$J314,"▼-2σ割れ危険",IF(AND($D314&gt;$E314,$K314&lt;0.6,$R314&gt;=50),"・押し目注目",IF($N314="スクイーズ★","☆スクイーズ監視","様子見")))))))))</f>
      </c>
      <c r="X314" s="685">
        <f>IF($D314="","",MIN(100,IF($L314&lt;=$M314*1.15,20,IF($L314&lt;=$M314*1.4,10,0))+IF($D314&gt;$G314,20,IF($D314&gt;$H314,12,IF($D314&gt;$E314,5,0)))+IF($O314="拡大↑",10,0)+IF($R314&gt;=80,15,IF($R314&gt;=60,10,IF($R314&gt;=50,5,0)))+IF(AND($Q314&gt;=50,$Q314&lt;=70),10,IF($Q314&gt;70,3,IF($Q314&gt;=40,5,0)))+IF($S314="強気div▲",15,0)+IF($T314="上walk▲",5,0)+IF($V314&gt;=2,5,IF($V314&gt;=1.5,3,0))))</f>
      </c>
      <c r="Y314" s="682">
        <f>IF($D314="","",$D314)</f>
      </c>
      <c r="Z314" s="682">
        <f>IF($D314="","",$H314)</f>
      </c>
      <c r="AA314" s="682">
        <f>IF($D314="","",IF($D314&gt;$E314,$E314,$AD314))</f>
      </c>
      <c r="AB314" s="682">
        <f>IF($D314="","",$G314)</f>
      </c>
      <c r="AC314" s="688">
        <f>IF($D314="","",IF(($Y314-$AA314)&lt;=0,"－",IFERROR(ROUND(MIN(20,($AB314-$Y314)/($Y314-$AA314)),2),"－")))</f>
      </c>
      <c r="AD314" s="682">
        <f>IF($D314="","",MIN(終値!E314:I314))</f>
      </c>
      <c r="AE314" s="684">
        <f>IF($D314="","",$X314+(10000-ROW())/100000)</f>
      </c>
    </row>
    <row r="315">
      <c r="A315" s="681">
        <f>IF(終値!A315="","",HYPERLINK("https://kabutan.jp/stock/?code="&amp;終値!A315,"📈"))</f>
      </c>
      <c r="B315" s="681">
        <f>IF(終値!A315="","",終値!A315)</f>
      </c>
      <c r="C315" s="680">
        <f>IF(終値!A315="","",終値!B315)</f>
      </c>
      <c r="D315" s="682">
        <f>IF(終値!A315="","",終値!E315)</f>
      </c>
      <c r="E315" s="682">
        <f>IF($D315="","",AVERAGE(終値!E315:X315))</f>
      </c>
      <c r="F315" s="683">
        <f>IF($D315="","",STDEVP(終値!E315:X315))</f>
      </c>
      <c r="G315" s="682">
        <f>IF($D315="","",$E315+BB設定!$B$4*$F315)</f>
      </c>
      <c r="H315" s="682">
        <f>IF($D315="","",$E315+BB設定!$B$5*$F315)</f>
      </c>
      <c r="I315" s="682">
        <f>IF($D315="","",$E315-BB設定!$B$5*$F315)</f>
      </c>
      <c r="J315" s="682">
        <f>IF($D315="","",$E315-BB設定!$B$4*$F315)</f>
      </c>
      <c r="K315" s="687">
        <f>IF($D315="","",IFERROR(($D315-$J315)/($G315-$J315),""))</f>
      </c>
      <c r="L315" s="686">
        <f>IF($D315="","",IFERROR(($G315-$J315)/$E315*100,""))</f>
      </c>
      <c r="M315" s="686">
        <f>IF($D315="","",IFERROR(MIN(BB_帯幅!B315:AP315)*100,""))</f>
      </c>
      <c r="N315" s="681">
        <f>IF($L315="","",IF($L315&lt;=$M315*BB設定!$B$7,"スクイーズ★",IF($L315&lt;=$M315*1.3,"収縮","－")))</f>
      </c>
      <c r="O315" s="681">
        <f>IF($D315="","",IF($L315&gt;(4*STDEVP(終値!F315:Y315)/AVERAGE(終値!F315:Y315)*100),"拡大↑","縮小↓"))</f>
      </c>
      <c r="P315" s="681">
        <f>IF($D315="","",IF($D315&gt;$G315,"↑+2σ突破",IF($D315&lt;$J315,"↓-2σ割れ",IF($D315&gt;$H315,"+1σ上",IF($D315&lt;$I315,"-1σ下","バンド内")))))</f>
      </c>
      <c r="Q315" s="684">
        <f>IF($D315="","",IFERROR(100-100/(1+SUMPRODUCT((終値!E315:R315&gt;終値!F315:S315)*(終値!E315:R315-終値!F315:S315))/SUMPRODUCT((終値!E315:R315&lt;終値!F315:S315)*(終値!F315:S315-終値!E315:R315))),100))</f>
      </c>
      <c r="R315" s="684">
        <f>IF($D315="","",IFERROR(100-100/(1+SUMPRODUCT((((高値!E315:R315+安値!E315:R315+終値!E315:R315)/3)&gt;((高値!F315:S315+安値!F315:S315+終値!F315:S315)/3))*((高値!E315:R315+安値!E315:R315+終値!E315:R315)/3)*出来高!E315:R315)/SUMPRODUCT((((高値!E315:R315+安値!E315:R315+終値!E315:R315)/3)&lt;((高値!F315:S315+安値!F315:S315+終値!F315:S315)/3))*((高値!E315:R315+安値!E315:R315+終値!E315:R315)/3)*出来高!E315:R315)),50))</f>
      </c>
      <c r="S315" s="681">
        <f>IF($D315="","",IF(AND(終値!E315&lt;終値!O315,$Q315&gt;(IFERROR(100-100/(1+SUMPRODUCT((終値!O315:AB315&gt;終値!P315:AC315)*(終値!O315:AB315-終値!P315:AC315))/SUMPRODUCT((終値!O315:AB315&lt;終値!P315:AC315)*(終値!P315:AC315-終値!O315:AB315))),100))),"強気div▲",IF(AND(終値!E315&gt;終値!O315,$Q315&lt;(IFERROR(100-100/(1+SUMPRODUCT((終値!O315:AB315&gt;終値!P315:AC315)*(終値!O315:AB315-終値!P315:AC315))/SUMPRODUCT((終値!O315:AB315&lt;終値!P315:AC315)*(終値!P315:AC315-終値!O315:AB315))),100))),"弱気div▼","－")))</f>
      </c>
      <c r="T315" s="681">
        <f>IF($D315="","",IF($D315&gt;=$H315,"上walk▲",IF($D315&lt;=$I315,"下walk▼","－")))</f>
      </c>
      <c r="U315" s="681">
        <f>IF(終値!A315="","",BB_スイング!BT315)</f>
      </c>
      <c r="V315" s="689">
        <f>IF($D315="","",IFERROR(出来高!E315/AVERAGE(出来高!E315:I315),""))</f>
      </c>
      <c r="W315" s="690">
        <f>IF($D315="","",IF(AND($D315&gt;$G315,$O315="拡大↑",$L315&lt;=$M315*1.8),"◎スクイーズブレイク買",IF(AND($D315&gt;=$H315,$R315&gt;=BB設定!$B$10),"○順張り継続(walk)",IF(AND($S315="強気div▲",$D315&gt;$I315),"○反発(ダイバ)買",IF($U315="二番底W▲","△二番底買(確)",IF($U315="二番底W形成","△二番底形成",IF($D315&lt;$J315,"▼-2σ割れ危険",IF(AND($D315&gt;$E315,$K315&lt;0.6,$R315&gt;=50),"・押し目注目",IF($N315="スクイーズ★","☆スクイーズ監視","様子見")))))))))</f>
      </c>
      <c r="X315" s="685">
        <f>IF($D315="","",MIN(100,IF($L315&lt;=$M315*1.15,20,IF($L315&lt;=$M315*1.4,10,0))+IF($D315&gt;$G315,20,IF($D315&gt;$H315,12,IF($D315&gt;$E315,5,0)))+IF($O315="拡大↑",10,0)+IF($R315&gt;=80,15,IF($R315&gt;=60,10,IF($R315&gt;=50,5,0)))+IF(AND($Q315&gt;=50,$Q315&lt;=70),10,IF($Q315&gt;70,3,IF($Q315&gt;=40,5,0)))+IF($S315="強気div▲",15,0)+IF($T315="上walk▲",5,0)+IF($V315&gt;=2,5,IF($V315&gt;=1.5,3,0))))</f>
      </c>
      <c r="Y315" s="682">
        <f>IF($D315="","",$D315)</f>
      </c>
      <c r="Z315" s="682">
        <f>IF($D315="","",$H315)</f>
      </c>
      <c r="AA315" s="682">
        <f>IF($D315="","",IF($D315&gt;$E315,$E315,$AD315))</f>
      </c>
      <c r="AB315" s="682">
        <f>IF($D315="","",$G315)</f>
      </c>
      <c r="AC315" s="688">
        <f>IF($D315="","",IF(($Y315-$AA315)&lt;=0,"－",IFERROR(ROUND(MIN(20,($AB315-$Y315)/($Y315-$AA315)),2),"－")))</f>
      </c>
      <c r="AD315" s="682">
        <f>IF($D315="","",MIN(終値!E315:I315))</f>
      </c>
      <c r="AE315" s="684">
        <f>IF($D315="","",$X315+(10000-ROW())/100000)</f>
      </c>
    </row>
    <row r="316">
      <c r="A316" s="681">
        <f>IF(終値!A316="","",HYPERLINK("https://kabutan.jp/stock/?code="&amp;終値!A316,"📈"))</f>
      </c>
      <c r="B316" s="681">
        <f>IF(終値!A316="","",終値!A316)</f>
      </c>
      <c r="C316" s="680">
        <f>IF(終値!A316="","",終値!B316)</f>
      </c>
      <c r="D316" s="682">
        <f>IF(終値!A316="","",終値!E316)</f>
      </c>
      <c r="E316" s="682">
        <f>IF($D316="","",AVERAGE(終値!E316:X316))</f>
      </c>
      <c r="F316" s="683">
        <f>IF($D316="","",STDEVP(終値!E316:X316))</f>
      </c>
      <c r="G316" s="682">
        <f>IF($D316="","",$E316+BB設定!$B$4*$F316)</f>
      </c>
      <c r="H316" s="682">
        <f>IF($D316="","",$E316+BB設定!$B$5*$F316)</f>
      </c>
      <c r="I316" s="682">
        <f>IF($D316="","",$E316-BB設定!$B$5*$F316)</f>
      </c>
      <c r="J316" s="682">
        <f>IF($D316="","",$E316-BB設定!$B$4*$F316)</f>
      </c>
      <c r="K316" s="687">
        <f>IF($D316="","",IFERROR(($D316-$J316)/($G316-$J316),""))</f>
      </c>
      <c r="L316" s="686">
        <f>IF($D316="","",IFERROR(($G316-$J316)/$E316*100,""))</f>
      </c>
      <c r="M316" s="686">
        <f>IF($D316="","",IFERROR(MIN(BB_帯幅!B316:AP316)*100,""))</f>
      </c>
      <c r="N316" s="681">
        <f>IF($L316="","",IF($L316&lt;=$M316*BB設定!$B$7,"スクイーズ★",IF($L316&lt;=$M316*1.3,"収縮","－")))</f>
      </c>
      <c r="O316" s="681">
        <f>IF($D316="","",IF($L316&gt;(4*STDEVP(終値!F316:Y316)/AVERAGE(終値!F316:Y316)*100),"拡大↑","縮小↓"))</f>
      </c>
      <c r="P316" s="681">
        <f>IF($D316="","",IF($D316&gt;$G316,"↑+2σ突破",IF($D316&lt;$J316,"↓-2σ割れ",IF($D316&gt;$H316,"+1σ上",IF($D316&lt;$I316,"-1σ下","バンド内")))))</f>
      </c>
      <c r="Q316" s="684">
        <f>IF($D316="","",IFERROR(100-100/(1+SUMPRODUCT((終値!E316:R316&gt;終値!F316:S316)*(終値!E316:R316-終値!F316:S316))/SUMPRODUCT((終値!E316:R316&lt;終値!F316:S316)*(終値!F316:S316-終値!E316:R316))),100))</f>
      </c>
      <c r="R316" s="684">
        <f>IF($D316="","",IFERROR(100-100/(1+SUMPRODUCT((((高値!E316:R316+安値!E316:R316+終値!E316:R316)/3)&gt;((高値!F316:S316+安値!F316:S316+終値!F316:S316)/3))*((高値!E316:R316+安値!E316:R316+終値!E316:R316)/3)*出来高!E316:R316)/SUMPRODUCT((((高値!E316:R316+安値!E316:R316+終値!E316:R316)/3)&lt;((高値!F316:S316+安値!F316:S316+終値!F316:S316)/3))*((高値!E316:R316+安値!E316:R316+終値!E316:R316)/3)*出来高!E316:R316)),50))</f>
      </c>
      <c r="S316" s="681">
        <f>IF($D316="","",IF(AND(終値!E316&lt;終値!O316,$Q316&gt;(IFERROR(100-100/(1+SUMPRODUCT((終値!O316:AB316&gt;終値!P316:AC316)*(終値!O316:AB316-終値!P316:AC316))/SUMPRODUCT((終値!O316:AB316&lt;終値!P316:AC316)*(終値!P316:AC316-終値!O316:AB316))),100))),"強気div▲",IF(AND(終値!E316&gt;終値!O316,$Q316&lt;(IFERROR(100-100/(1+SUMPRODUCT((終値!O316:AB316&gt;終値!P316:AC316)*(終値!O316:AB316-終値!P316:AC316))/SUMPRODUCT((終値!O316:AB316&lt;終値!P316:AC316)*(終値!P316:AC316-終値!O316:AB316))),100))),"弱気div▼","－")))</f>
      </c>
      <c r="T316" s="681">
        <f>IF($D316="","",IF($D316&gt;=$H316,"上walk▲",IF($D316&lt;=$I316,"下walk▼","－")))</f>
      </c>
      <c r="U316" s="681">
        <f>IF(終値!A316="","",BB_スイング!BT316)</f>
      </c>
      <c r="V316" s="689">
        <f>IF($D316="","",IFERROR(出来高!E316/AVERAGE(出来高!E316:I316),""))</f>
      </c>
      <c r="W316" s="690">
        <f>IF($D316="","",IF(AND($D316&gt;$G316,$O316="拡大↑",$L316&lt;=$M316*1.8),"◎スクイーズブレイク買",IF(AND($D316&gt;=$H316,$R316&gt;=BB設定!$B$10),"○順張り継続(walk)",IF(AND($S316="強気div▲",$D316&gt;$I316),"○反発(ダイバ)買",IF($U316="二番底W▲","△二番底買(確)",IF($U316="二番底W形成","△二番底形成",IF($D316&lt;$J316,"▼-2σ割れ危険",IF(AND($D316&gt;$E316,$K316&lt;0.6,$R316&gt;=50),"・押し目注目",IF($N316="スクイーズ★","☆スクイーズ監視","様子見")))))))))</f>
      </c>
      <c r="X316" s="685">
        <f>IF($D316="","",MIN(100,IF($L316&lt;=$M316*1.15,20,IF($L316&lt;=$M316*1.4,10,0))+IF($D316&gt;$G316,20,IF($D316&gt;$H316,12,IF($D316&gt;$E316,5,0)))+IF($O316="拡大↑",10,0)+IF($R316&gt;=80,15,IF($R316&gt;=60,10,IF($R316&gt;=50,5,0)))+IF(AND($Q316&gt;=50,$Q316&lt;=70),10,IF($Q316&gt;70,3,IF($Q316&gt;=40,5,0)))+IF($S316="強気div▲",15,0)+IF($T316="上walk▲",5,0)+IF($V316&gt;=2,5,IF($V316&gt;=1.5,3,0))))</f>
      </c>
      <c r="Y316" s="682">
        <f>IF($D316="","",$D316)</f>
      </c>
      <c r="Z316" s="682">
        <f>IF($D316="","",$H316)</f>
      </c>
      <c r="AA316" s="682">
        <f>IF($D316="","",IF($D316&gt;$E316,$E316,$AD316))</f>
      </c>
      <c r="AB316" s="682">
        <f>IF($D316="","",$G316)</f>
      </c>
      <c r="AC316" s="688">
        <f>IF($D316="","",IF(($Y316-$AA316)&lt;=0,"－",IFERROR(ROUND(MIN(20,($AB316-$Y316)/($Y316-$AA316)),2),"－")))</f>
      </c>
      <c r="AD316" s="682">
        <f>IF($D316="","",MIN(終値!E316:I316))</f>
      </c>
      <c r="AE316" s="684">
        <f>IF($D316="","",$X316+(10000-ROW())/100000)</f>
      </c>
    </row>
    <row r="317">
      <c r="A317" s="681">
        <f>IF(終値!A317="","",HYPERLINK("https://kabutan.jp/stock/?code="&amp;終値!A317,"📈"))</f>
      </c>
      <c r="B317" s="681">
        <f>IF(終値!A317="","",終値!A317)</f>
      </c>
      <c r="C317" s="680">
        <f>IF(終値!A317="","",終値!B317)</f>
      </c>
      <c r="D317" s="682">
        <f>IF(終値!A317="","",終値!E317)</f>
      </c>
      <c r="E317" s="682">
        <f>IF($D317="","",AVERAGE(終値!E317:X317))</f>
      </c>
      <c r="F317" s="683">
        <f>IF($D317="","",STDEVP(終値!E317:X317))</f>
      </c>
      <c r="G317" s="682">
        <f>IF($D317="","",$E317+BB設定!$B$4*$F317)</f>
      </c>
      <c r="H317" s="682">
        <f>IF($D317="","",$E317+BB設定!$B$5*$F317)</f>
      </c>
      <c r="I317" s="682">
        <f>IF($D317="","",$E317-BB設定!$B$5*$F317)</f>
      </c>
      <c r="J317" s="682">
        <f>IF($D317="","",$E317-BB設定!$B$4*$F317)</f>
      </c>
      <c r="K317" s="687">
        <f>IF($D317="","",IFERROR(($D317-$J317)/($G317-$J317),""))</f>
      </c>
      <c r="L317" s="686">
        <f>IF($D317="","",IFERROR(($G317-$J317)/$E317*100,""))</f>
      </c>
      <c r="M317" s="686">
        <f>IF($D317="","",IFERROR(MIN(BB_帯幅!B317:AP317)*100,""))</f>
      </c>
      <c r="N317" s="681">
        <f>IF($L317="","",IF($L317&lt;=$M317*BB設定!$B$7,"スクイーズ★",IF($L317&lt;=$M317*1.3,"収縮","－")))</f>
      </c>
      <c r="O317" s="681">
        <f>IF($D317="","",IF($L317&gt;(4*STDEVP(終値!F317:Y317)/AVERAGE(終値!F317:Y317)*100),"拡大↑","縮小↓"))</f>
      </c>
      <c r="P317" s="681">
        <f>IF($D317="","",IF($D317&gt;$G317,"↑+2σ突破",IF($D317&lt;$J317,"↓-2σ割れ",IF($D317&gt;$H317,"+1σ上",IF($D317&lt;$I317,"-1σ下","バンド内")))))</f>
      </c>
      <c r="Q317" s="684">
        <f>IF($D317="","",IFERROR(100-100/(1+SUMPRODUCT((終値!E317:R317&gt;終値!F317:S317)*(終値!E317:R317-終値!F317:S317))/SUMPRODUCT((終値!E317:R317&lt;終値!F317:S317)*(終値!F317:S317-終値!E317:R317))),100))</f>
      </c>
      <c r="R317" s="684">
        <f>IF($D317="","",IFERROR(100-100/(1+SUMPRODUCT((((高値!E317:R317+安値!E317:R317+終値!E317:R317)/3)&gt;((高値!F317:S317+安値!F317:S317+終値!F317:S317)/3))*((高値!E317:R317+安値!E317:R317+終値!E317:R317)/3)*出来高!E317:R317)/SUMPRODUCT((((高値!E317:R317+安値!E317:R317+終値!E317:R317)/3)&lt;((高値!F317:S317+安値!F317:S317+終値!F317:S317)/3))*((高値!E317:R317+安値!E317:R317+終値!E317:R317)/3)*出来高!E317:R317)),50))</f>
      </c>
      <c r="S317" s="681">
        <f>IF($D317="","",IF(AND(終値!E317&lt;終値!O317,$Q317&gt;(IFERROR(100-100/(1+SUMPRODUCT((終値!O317:AB317&gt;終値!P317:AC317)*(終値!O317:AB317-終値!P317:AC317))/SUMPRODUCT((終値!O317:AB317&lt;終値!P317:AC317)*(終値!P317:AC317-終値!O317:AB317))),100))),"強気div▲",IF(AND(終値!E317&gt;終値!O317,$Q317&lt;(IFERROR(100-100/(1+SUMPRODUCT((終値!O317:AB317&gt;終値!P317:AC317)*(終値!O317:AB317-終値!P317:AC317))/SUMPRODUCT((終値!O317:AB317&lt;終値!P317:AC317)*(終値!P317:AC317-終値!O317:AB317))),100))),"弱気div▼","－")))</f>
      </c>
      <c r="T317" s="681">
        <f>IF($D317="","",IF($D317&gt;=$H317,"上walk▲",IF($D317&lt;=$I317,"下walk▼","－")))</f>
      </c>
      <c r="U317" s="681">
        <f>IF(終値!A317="","",BB_スイング!BT317)</f>
      </c>
      <c r="V317" s="689">
        <f>IF($D317="","",IFERROR(出来高!E317/AVERAGE(出来高!E317:I317),""))</f>
      </c>
      <c r="W317" s="690">
        <f>IF($D317="","",IF(AND($D317&gt;$G317,$O317="拡大↑",$L317&lt;=$M317*1.8),"◎スクイーズブレイク買",IF(AND($D317&gt;=$H317,$R317&gt;=BB設定!$B$10),"○順張り継続(walk)",IF(AND($S317="強気div▲",$D317&gt;$I317),"○反発(ダイバ)買",IF($U317="二番底W▲","△二番底買(確)",IF($U317="二番底W形成","△二番底形成",IF($D317&lt;$J317,"▼-2σ割れ危険",IF(AND($D317&gt;$E317,$K317&lt;0.6,$R317&gt;=50),"・押し目注目",IF($N317="スクイーズ★","☆スクイーズ監視","様子見")))))))))</f>
      </c>
      <c r="X317" s="685">
        <f>IF($D317="","",MIN(100,IF($L317&lt;=$M317*1.15,20,IF($L317&lt;=$M317*1.4,10,0))+IF($D317&gt;$G317,20,IF($D317&gt;$H317,12,IF($D317&gt;$E317,5,0)))+IF($O317="拡大↑",10,0)+IF($R317&gt;=80,15,IF($R317&gt;=60,10,IF($R317&gt;=50,5,0)))+IF(AND($Q317&gt;=50,$Q317&lt;=70),10,IF($Q317&gt;70,3,IF($Q317&gt;=40,5,0)))+IF($S317="強気div▲",15,0)+IF($T317="上walk▲",5,0)+IF($V317&gt;=2,5,IF($V317&gt;=1.5,3,0))))</f>
      </c>
      <c r="Y317" s="682">
        <f>IF($D317="","",$D317)</f>
      </c>
      <c r="Z317" s="682">
        <f>IF($D317="","",$H317)</f>
      </c>
      <c r="AA317" s="682">
        <f>IF($D317="","",IF($D317&gt;$E317,$E317,$AD317))</f>
      </c>
      <c r="AB317" s="682">
        <f>IF($D317="","",$G317)</f>
      </c>
      <c r="AC317" s="688">
        <f>IF($D317="","",IF(($Y317-$AA317)&lt;=0,"－",IFERROR(ROUND(MIN(20,($AB317-$Y317)/($Y317-$AA317)),2),"－")))</f>
      </c>
      <c r="AD317" s="682">
        <f>IF($D317="","",MIN(終値!E317:I317))</f>
      </c>
      <c r="AE317" s="684">
        <f>IF($D317="","",$X317+(10000-ROW())/100000)</f>
      </c>
    </row>
    <row r="318">
      <c r="A318" s="681">
        <f>IF(終値!A318="","",HYPERLINK("https://kabutan.jp/stock/?code="&amp;終値!A318,"📈"))</f>
      </c>
      <c r="B318" s="681">
        <f>IF(終値!A318="","",終値!A318)</f>
      </c>
      <c r="C318" s="680">
        <f>IF(終値!A318="","",終値!B318)</f>
      </c>
      <c r="D318" s="682">
        <f>IF(終値!A318="","",終値!E318)</f>
      </c>
      <c r="E318" s="682">
        <f>IF($D318="","",AVERAGE(終値!E318:X318))</f>
      </c>
      <c r="F318" s="683">
        <f>IF($D318="","",STDEVP(終値!E318:X318))</f>
      </c>
      <c r="G318" s="682">
        <f>IF($D318="","",$E318+BB設定!$B$4*$F318)</f>
      </c>
      <c r="H318" s="682">
        <f>IF($D318="","",$E318+BB設定!$B$5*$F318)</f>
      </c>
      <c r="I318" s="682">
        <f>IF($D318="","",$E318-BB設定!$B$5*$F318)</f>
      </c>
      <c r="J318" s="682">
        <f>IF($D318="","",$E318-BB設定!$B$4*$F318)</f>
      </c>
      <c r="K318" s="687">
        <f>IF($D318="","",IFERROR(($D318-$J318)/($G318-$J318),""))</f>
      </c>
      <c r="L318" s="686">
        <f>IF($D318="","",IFERROR(($G318-$J318)/$E318*100,""))</f>
      </c>
      <c r="M318" s="686">
        <f>IF($D318="","",IFERROR(MIN(BB_帯幅!B318:AP318)*100,""))</f>
      </c>
      <c r="N318" s="681">
        <f>IF($L318="","",IF($L318&lt;=$M318*BB設定!$B$7,"スクイーズ★",IF($L318&lt;=$M318*1.3,"収縮","－")))</f>
      </c>
      <c r="O318" s="681">
        <f>IF($D318="","",IF($L318&gt;(4*STDEVP(終値!F318:Y318)/AVERAGE(終値!F318:Y318)*100),"拡大↑","縮小↓"))</f>
      </c>
      <c r="P318" s="681">
        <f>IF($D318="","",IF($D318&gt;$G318,"↑+2σ突破",IF($D318&lt;$J318,"↓-2σ割れ",IF($D318&gt;$H318,"+1σ上",IF($D318&lt;$I318,"-1σ下","バンド内")))))</f>
      </c>
      <c r="Q318" s="684">
        <f>IF($D318="","",IFERROR(100-100/(1+SUMPRODUCT((終値!E318:R318&gt;終値!F318:S318)*(終値!E318:R318-終値!F318:S318))/SUMPRODUCT((終値!E318:R318&lt;終値!F318:S318)*(終値!F318:S318-終値!E318:R318))),100))</f>
      </c>
      <c r="R318" s="684">
        <f>IF($D318="","",IFERROR(100-100/(1+SUMPRODUCT((((高値!E318:R318+安値!E318:R318+終値!E318:R318)/3)&gt;((高値!F318:S318+安値!F318:S318+終値!F318:S318)/3))*((高値!E318:R318+安値!E318:R318+終値!E318:R318)/3)*出来高!E318:R318)/SUMPRODUCT((((高値!E318:R318+安値!E318:R318+終値!E318:R318)/3)&lt;((高値!F318:S318+安値!F318:S318+終値!F318:S318)/3))*((高値!E318:R318+安値!E318:R318+終値!E318:R318)/3)*出来高!E318:R318)),50))</f>
      </c>
      <c r="S318" s="681">
        <f>IF($D318="","",IF(AND(終値!E318&lt;終値!O318,$Q318&gt;(IFERROR(100-100/(1+SUMPRODUCT((終値!O318:AB318&gt;終値!P318:AC318)*(終値!O318:AB318-終値!P318:AC318))/SUMPRODUCT((終値!O318:AB318&lt;終値!P318:AC318)*(終値!P318:AC318-終値!O318:AB318))),100))),"強気div▲",IF(AND(終値!E318&gt;終値!O318,$Q318&lt;(IFERROR(100-100/(1+SUMPRODUCT((終値!O318:AB318&gt;終値!P318:AC318)*(終値!O318:AB318-終値!P318:AC318))/SUMPRODUCT((終値!O318:AB318&lt;終値!P318:AC318)*(終値!P318:AC318-終値!O318:AB318))),100))),"弱気div▼","－")))</f>
      </c>
      <c r="T318" s="681">
        <f>IF($D318="","",IF($D318&gt;=$H318,"上walk▲",IF($D318&lt;=$I318,"下walk▼","－")))</f>
      </c>
      <c r="U318" s="681">
        <f>IF(終値!A318="","",BB_スイング!BT318)</f>
      </c>
      <c r="V318" s="689">
        <f>IF($D318="","",IFERROR(出来高!E318/AVERAGE(出来高!E318:I318),""))</f>
      </c>
      <c r="W318" s="690">
        <f>IF($D318="","",IF(AND($D318&gt;$G318,$O318="拡大↑",$L318&lt;=$M318*1.8),"◎スクイーズブレイク買",IF(AND($D318&gt;=$H318,$R318&gt;=BB設定!$B$10),"○順張り継続(walk)",IF(AND($S318="強気div▲",$D318&gt;$I318),"○反発(ダイバ)買",IF($U318="二番底W▲","△二番底買(確)",IF($U318="二番底W形成","△二番底形成",IF($D318&lt;$J318,"▼-2σ割れ危険",IF(AND($D318&gt;$E318,$K318&lt;0.6,$R318&gt;=50),"・押し目注目",IF($N318="スクイーズ★","☆スクイーズ監視","様子見")))))))))</f>
      </c>
      <c r="X318" s="685">
        <f>IF($D318="","",MIN(100,IF($L318&lt;=$M318*1.15,20,IF($L318&lt;=$M318*1.4,10,0))+IF($D318&gt;$G318,20,IF($D318&gt;$H318,12,IF($D318&gt;$E318,5,0)))+IF($O318="拡大↑",10,0)+IF($R318&gt;=80,15,IF($R318&gt;=60,10,IF($R318&gt;=50,5,0)))+IF(AND($Q318&gt;=50,$Q318&lt;=70),10,IF($Q318&gt;70,3,IF($Q318&gt;=40,5,0)))+IF($S318="強気div▲",15,0)+IF($T318="上walk▲",5,0)+IF($V318&gt;=2,5,IF($V318&gt;=1.5,3,0))))</f>
      </c>
      <c r="Y318" s="682">
        <f>IF($D318="","",$D318)</f>
      </c>
      <c r="Z318" s="682">
        <f>IF($D318="","",$H318)</f>
      </c>
      <c r="AA318" s="682">
        <f>IF($D318="","",IF($D318&gt;$E318,$E318,$AD318))</f>
      </c>
      <c r="AB318" s="682">
        <f>IF($D318="","",$G318)</f>
      </c>
      <c r="AC318" s="688">
        <f>IF($D318="","",IF(($Y318-$AA318)&lt;=0,"－",IFERROR(ROUND(MIN(20,($AB318-$Y318)/($Y318-$AA318)),2),"－")))</f>
      </c>
      <c r="AD318" s="682">
        <f>IF($D318="","",MIN(終値!E318:I318))</f>
      </c>
      <c r="AE318" s="684">
        <f>IF($D318="","",$X318+(10000-ROW())/100000)</f>
      </c>
    </row>
    <row r="319">
      <c r="A319" s="681">
        <f>IF(終値!A319="","",HYPERLINK("https://kabutan.jp/stock/?code="&amp;終値!A319,"📈"))</f>
      </c>
      <c r="B319" s="681">
        <f>IF(終値!A319="","",終値!A319)</f>
      </c>
      <c r="C319" s="680">
        <f>IF(終値!A319="","",終値!B319)</f>
      </c>
      <c r="D319" s="682">
        <f>IF(終値!A319="","",終値!E319)</f>
      </c>
      <c r="E319" s="682">
        <f>IF($D319="","",AVERAGE(終値!E319:X319))</f>
      </c>
      <c r="F319" s="683">
        <f>IF($D319="","",STDEVP(終値!E319:X319))</f>
      </c>
      <c r="G319" s="682">
        <f>IF($D319="","",$E319+BB設定!$B$4*$F319)</f>
      </c>
      <c r="H319" s="682">
        <f>IF($D319="","",$E319+BB設定!$B$5*$F319)</f>
      </c>
      <c r="I319" s="682">
        <f>IF($D319="","",$E319-BB設定!$B$5*$F319)</f>
      </c>
      <c r="J319" s="682">
        <f>IF($D319="","",$E319-BB設定!$B$4*$F319)</f>
      </c>
      <c r="K319" s="687">
        <f>IF($D319="","",IFERROR(($D319-$J319)/($G319-$J319),""))</f>
      </c>
      <c r="L319" s="686">
        <f>IF($D319="","",IFERROR(($G319-$J319)/$E319*100,""))</f>
      </c>
      <c r="M319" s="686">
        <f>IF($D319="","",IFERROR(MIN(BB_帯幅!B319:AP319)*100,""))</f>
      </c>
      <c r="N319" s="681">
        <f>IF($L319="","",IF($L319&lt;=$M319*BB設定!$B$7,"スクイーズ★",IF($L319&lt;=$M319*1.3,"収縮","－")))</f>
      </c>
      <c r="O319" s="681">
        <f>IF($D319="","",IF($L319&gt;(4*STDEVP(終値!F319:Y319)/AVERAGE(終値!F319:Y319)*100),"拡大↑","縮小↓"))</f>
      </c>
      <c r="P319" s="681">
        <f>IF($D319="","",IF($D319&gt;$G319,"↑+2σ突破",IF($D319&lt;$J319,"↓-2σ割れ",IF($D319&gt;$H319,"+1σ上",IF($D319&lt;$I319,"-1σ下","バンド内")))))</f>
      </c>
      <c r="Q319" s="684">
        <f>IF($D319="","",IFERROR(100-100/(1+SUMPRODUCT((終値!E319:R319&gt;終値!F319:S319)*(終値!E319:R319-終値!F319:S319))/SUMPRODUCT((終値!E319:R319&lt;終値!F319:S319)*(終値!F319:S319-終値!E319:R319))),100))</f>
      </c>
      <c r="R319" s="684">
        <f>IF($D319="","",IFERROR(100-100/(1+SUMPRODUCT((((高値!E319:R319+安値!E319:R319+終値!E319:R319)/3)&gt;((高値!F319:S319+安値!F319:S319+終値!F319:S319)/3))*((高値!E319:R319+安値!E319:R319+終値!E319:R319)/3)*出来高!E319:R319)/SUMPRODUCT((((高値!E319:R319+安値!E319:R319+終値!E319:R319)/3)&lt;((高値!F319:S319+安値!F319:S319+終値!F319:S319)/3))*((高値!E319:R319+安値!E319:R319+終値!E319:R319)/3)*出来高!E319:R319)),50))</f>
      </c>
      <c r="S319" s="681">
        <f>IF($D319="","",IF(AND(終値!E319&lt;終値!O319,$Q319&gt;(IFERROR(100-100/(1+SUMPRODUCT((終値!O319:AB319&gt;終値!P319:AC319)*(終値!O319:AB319-終値!P319:AC319))/SUMPRODUCT((終値!O319:AB319&lt;終値!P319:AC319)*(終値!P319:AC319-終値!O319:AB319))),100))),"強気div▲",IF(AND(終値!E319&gt;終値!O319,$Q319&lt;(IFERROR(100-100/(1+SUMPRODUCT((終値!O319:AB319&gt;終値!P319:AC319)*(終値!O319:AB319-終値!P319:AC319))/SUMPRODUCT((終値!O319:AB319&lt;終値!P319:AC319)*(終値!P319:AC319-終値!O319:AB319))),100))),"弱気div▼","－")))</f>
      </c>
      <c r="T319" s="681">
        <f>IF($D319="","",IF($D319&gt;=$H319,"上walk▲",IF($D319&lt;=$I319,"下walk▼","－")))</f>
      </c>
      <c r="U319" s="681">
        <f>IF(終値!A319="","",BB_スイング!BT319)</f>
      </c>
      <c r="V319" s="689">
        <f>IF($D319="","",IFERROR(出来高!E319/AVERAGE(出来高!E319:I319),""))</f>
      </c>
      <c r="W319" s="690">
        <f>IF($D319="","",IF(AND($D319&gt;$G319,$O319="拡大↑",$L319&lt;=$M319*1.8),"◎スクイーズブレイク買",IF(AND($D319&gt;=$H319,$R319&gt;=BB設定!$B$10),"○順張り継続(walk)",IF(AND($S319="強気div▲",$D319&gt;$I319),"○反発(ダイバ)買",IF($U319="二番底W▲","△二番底買(確)",IF($U319="二番底W形成","△二番底形成",IF($D319&lt;$J319,"▼-2σ割れ危険",IF(AND($D319&gt;$E319,$K319&lt;0.6,$R319&gt;=50),"・押し目注目",IF($N319="スクイーズ★","☆スクイーズ監視","様子見")))))))))</f>
      </c>
      <c r="X319" s="685">
        <f>IF($D319="","",MIN(100,IF($L319&lt;=$M319*1.15,20,IF($L319&lt;=$M319*1.4,10,0))+IF($D319&gt;$G319,20,IF($D319&gt;$H319,12,IF($D319&gt;$E319,5,0)))+IF($O319="拡大↑",10,0)+IF($R319&gt;=80,15,IF($R319&gt;=60,10,IF($R319&gt;=50,5,0)))+IF(AND($Q319&gt;=50,$Q319&lt;=70),10,IF($Q319&gt;70,3,IF($Q319&gt;=40,5,0)))+IF($S319="強気div▲",15,0)+IF($T319="上walk▲",5,0)+IF($V319&gt;=2,5,IF($V319&gt;=1.5,3,0))))</f>
      </c>
      <c r="Y319" s="682">
        <f>IF($D319="","",$D319)</f>
      </c>
      <c r="Z319" s="682">
        <f>IF($D319="","",$H319)</f>
      </c>
      <c r="AA319" s="682">
        <f>IF($D319="","",IF($D319&gt;$E319,$E319,$AD319))</f>
      </c>
      <c r="AB319" s="682">
        <f>IF($D319="","",$G319)</f>
      </c>
      <c r="AC319" s="688">
        <f>IF($D319="","",IF(($Y319-$AA319)&lt;=0,"－",IFERROR(ROUND(MIN(20,($AB319-$Y319)/($Y319-$AA319)),2),"－")))</f>
      </c>
      <c r="AD319" s="682">
        <f>IF($D319="","",MIN(終値!E319:I319))</f>
      </c>
      <c r="AE319" s="684">
        <f>IF($D319="","",$X319+(10000-ROW())/100000)</f>
      </c>
    </row>
    <row r="320">
      <c r="A320" s="681">
        <f>IF(終値!A320="","",HYPERLINK("https://kabutan.jp/stock/?code="&amp;終値!A320,"📈"))</f>
      </c>
      <c r="B320" s="681">
        <f>IF(終値!A320="","",終値!A320)</f>
      </c>
      <c r="C320" s="680">
        <f>IF(終値!A320="","",終値!B320)</f>
      </c>
      <c r="D320" s="682">
        <f>IF(終値!A320="","",終値!E320)</f>
      </c>
      <c r="E320" s="682">
        <f>IF($D320="","",AVERAGE(終値!E320:X320))</f>
      </c>
      <c r="F320" s="683">
        <f>IF($D320="","",STDEVP(終値!E320:X320))</f>
      </c>
      <c r="G320" s="682">
        <f>IF($D320="","",$E320+BB設定!$B$4*$F320)</f>
      </c>
      <c r="H320" s="682">
        <f>IF($D320="","",$E320+BB設定!$B$5*$F320)</f>
      </c>
      <c r="I320" s="682">
        <f>IF($D320="","",$E320-BB設定!$B$5*$F320)</f>
      </c>
      <c r="J320" s="682">
        <f>IF($D320="","",$E320-BB設定!$B$4*$F320)</f>
      </c>
      <c r="K320" s="687">
        <f>IF($D320="","",IFERROR(($D320-$J320)/($G320-$J320),""))</f>
      </c>
      <c r="L320" s="686">
        <f>IF($D320="","",IFERROR(($G320-$J320)/$E320*100,""))</f>
      </c>
      <c r="M320" s="686">
        <f>IF($D320="","",IFERROR(MIN(BB_帯幅!B320:AP320)*100,""))</f>
      </c>
      <c r="N320" s="681">
        <f>IF($L320="","",IF($L320&lt;=$M320*BB設定!$B$7,"スクイーズ★",IF($L320&lt;=$M320*1.3,"収縮","－")))</f>
      </c>
      <c r="O320" s="681">
        <f>IF($D320="","",IF($L320&gt;(4*STDEVP(終値!F320:Y320)/AVERAGE(終値!F320:Y320)*100),"拡大↑","縮小↓"))</f>
      </c>
      <c r="P320" s="681">
        <f>IF($D320="","",IF($D320&gt;$G320,"↑+2σ突破",IF($D320&lt;$J320,"↓-2σ割れ",IF($D320&gt;$H320,"+1σ上",IF($D320&lt;$I320,"-1σ下","バンド内")))))</f>
      </c>
      <c r="Q320" s="684">
        <f>IF($D320="","",IFERROR(100-100/(1+SUMPRODUCT((終値!E320:R320&gt;終値!F320:S320)*(終値!E320:R320-終値!F320:S320))/SUMPRODUCT((終値!E320:R320&lt;終値!F320:S320)*(終値!F320:S320-終値!E320:R320))),100))</f>
      </c>
      <c r="R320" s="684">
        <f>IF($D320="","",IFERROR(100-100/(1+SUMPRODUCT((((高値!E320:R320+安値!E320:R320+終値!E320:R320)/3)&gt;((高値!F320:S320+安値!F320:S320+終値!F320:S320)/3))*((高値!E320:R320+安値!E320:R320+終値!E320:R320)/3)*出来高!E320:R320)/SUMPRODUCT((((高値!E320:R320+安値!E320:R320+終値!E320:R320)/3)&lt;((高値!F320:S320+安値!F320:S320+終値!F320:S320)/3))*((高値!E320:R320+安値!E320:R320+終値!E320:R320)/3)*出来高!E320:R320)),50))</f>
      </c>
      <c r="S320" s="681">
        <f>IF($D320="","",IF(AND(終値!E320&lt;終値!O320,$Q320&gt;(IFERROR(100-100/(1+SUMPRODUCT((終値!O320:AB320&gt;終値!P320:AC320)*(終値!O320:AB320-終値!P320:AC320))/SUMPRODUCT((終値!O320:AB320&lt;終値!P320:AC320)*(終値!P320:AC320-終値!O320:AB320))),100))),"強気div▲",IF(AND(終値!E320&gt;終値!O320,$Q320&lt;(IFERROR(100-100/(1+SUMPRODUCT((終値!O320:AB320&gt;終値!P320:AC320)*(終値!O320:AB320-終値!P320:AC320))/SUMPRODUCT((終値!O320:AB320&lt;終値!P320:AC320)*(終値!P320:AC320-終値!O320:AB320))),100))),"弱気div▼","－")))</f>
      </c>
      <c r="T320" s="681">
        <f>IF($D320="","",IF($D320&gt;=$H320,"上walk▲",IF($D320&lt;=$I320,"下walk▼","－")))</f>
      </c>
      <c r="U320" s="681">
        <f>IF(終値!A320="","",BB_スイング!BT320)</f>
      </c>
      <c r="V320" s="689">
        <f>IF($D320="","",IFERROR(出来高!E320/AVERAGE(出来高!E320:I320),""))</f>
      </c>
      <c r="W320" s="690">
        <f>IF($D320="","",IF(AND($D320&gt;$G320,$O320="拡大↑",$L320&lt;=$M320*1.8),"◎スクイーズブレイク買",IF(AND($D320&gt;=$H320,$R320&gt;=BB設定!$B$10),"○順張り継続(walk)",IF(AND($S320="強気div▲",$D320&gt;$I320),"○反発(ダイバ)買",IF($U320="二番底W▲","△二番底買(確)",IF($U320="二番底W形成","△二番底形成",IF($D320&lt;$J320,"▼-2σ割れ危険",IF(AND($D320&gt;$E320,$K320&lt;0.6,$R320&gt;=50),"・押し目注目",IF($N320="スクイーズ★","☆スクイーズ監視","様子見")))))))))</f>
      </c>
      <c r="X320" s="685">
        <f>IF($D320="","",MIN(100,IF($L320&lt;=$M320*1.15,20,IF($L320&lt;=$M320*1.4,10,0))+IF($D320&gt;$G320,20,IF($D320&gt;$H320,12,IF($D320&gt;$E320,5,0)))+IF($O320="拡大↑",10,0)+IF($R320&gt;=80,15,IF($R320&gt;=60,10,IF($R320&gt;=50,5,0)))+IF(AND($Q320&gt;=50,$Q320&lt;=70),10,IF($Q320&gt;70,3,IF($Q320&gt;=40,5,0)))+IF($S320="強気div▲",15,0)+IF($T320="上walk▲",5,0)+IF($V320&gt;=2,5,IF($V320&gt;=1.5,3,0))))</f>
      </c>
      <c r="Y320" s="682">
        <f>IF($D320="","",$D320)</f>
      </c>
      <c r="Z320" s="682">
        <f>IF($D320="","",$H320)</f>
      </c>
      <c r="AA320" s="682">
        <f>IF($D320="","",IF($D320&gt;$E320,$E320,$AD320))</f>
      </c>
      <c r="AB320" s="682">
        <f>IF($D320="","",$G320)</f>
      </c>
      <c r="AC320" s="688">
        <f>IF($D320="","",IF(($Y320-$AA320)&lt;=0,"－",IFERROR(ROUND(MIN(20,($AB320-$Y320)/($Y320-$AA320)),2),"－")))</f>
      </c>
      <c r="AD320" s="682">
        <f>IF($D320="","",MIN(終値!E320:I320))</f>
      </c>
      <c r="AE320" s="684">
        <f>IF($D320="","",$X320+(10000-ROW())/100000)</f>
      </c>
    </row>
    <row r="321">
      <c r="A321" s="681">
        <f>IF(終値!A321="","",HYPERLINK("https://kabutan.jp/stock/?code="&amp;終値!A321,"📈"))</f>
      </c>
      <c r="B321" s="681">
        <f>IF(終値!A321="","",終値!A321)</f>
      </c>
      <c r="C321" s="680">
        <f>IF(終値!A321="","",終値!B321)</f>
      </c>
      <c r="D321" s="682">
        <f>IF(終値!A321="","",終値!E321)</f>
      </c>
      <c r="E321" s="682">
        <f>IF($D321="","",AVERAGE(終値!E321:X321))</f>
      </c>
      <c r="F321" s="683">
        <f>IF($D321="","",STDEVP(終値!E321:X321))</f>
      </c>
      <c r="G321" s="682">
        <f>IF($D321="","",$E321+BB設定!$B$4*$F321)</f>
      </c>
      <c r="H321" s="682">
        <f>IF($D321="","",$E321+BB設定!$B$5*$F321)</f>
      </c>
      <c r="I321" s="682">
        <f>IF($D321="","",$E321-BB設定!$B$5*$F321)</f>
      </c>
      <c r="J321" s="682">
        <f>IF($D321="","",$E321-BB設定!$B$4*$F321)</f>
      </c>
      <c r="K321" s="687">
        <f>IF($D321="","",IFERROR(($D321-$J321)/($G321-$J321),""))</f>
      </c>
      <c r="L321" s="686">
        <f>IF($D321="","",IFERROR(($G321-$J321)/$E321*100,""))</f>
      </c>
      <c r="M321" s="686">
        <f>IF($D321="","",IFERROR(MIN(BB_帯幅!B321:AP321)*100,""))</f>
      </c>
      <c r="N321" s="681">
        <f>IF($L321="","",IF($L321&lt;=$M321*BB設定!$B$7,"スクイーズ★",IF($L321&lt;=$M321*1.3,"収縮","－")))</f>
      </c>
      <c r="O321" s="681">
        <f>IF($D321="","",IF($L321&gt;(4*STDEVP(終値!F321:Y321)/AVERAGE(終値!F321:Y321)*100),"拡大↑","縮小↓"))</f>
      </c>
      <c r="P321" s="681">
        <f>IF($D321="","",IF($D321&gt;$G321,"↑+2σ突破",IF($D321&lt;$J321,"↓-2σ割れ",IF($D321&gt;$H321,"+1σ上",IF($D321&lt;$I321,"-1σ下","バンド内")))))</f>
      </c>
      <c r="Q321" s="684">
        <f>IF($D321="","",IFERROR(100-100/(1+SUMPRODUCT((終値!E321:R321&gt;終値!F321:S321)*(終値!E321:R321-終値!F321:S321))/SUMPRODUCT((終値!E321:R321&lt;終値!F321:S321)*(終値!F321:S321-終値!E321:R321))),100))</f>
      </c>
      <c r="R321" s="684">
        <f>IF($D321="","",IFERROR(100-100/(1+SUMPRODUCT((((高値!E321:R321+安値!E321:R321+終値!E321:R321)/3)&gt;((高値!F321:S321+安値!F321:S321+終値!F321:S321)/3))*((高値!E321:R321+安値!E321:R321+終値!E321:R321)/3)*出来高!E321:R321)/SUMPRODUCT((((高値!E321:R321+安値!E321:R321+終値!E321:R321)/3)&lt;((高値!F321:S321+安値!F321:S321+終値!F321:S321)/3))*((高値!E321:R321+安値!E321:R321+終値!E321:R321)/3)*出来高!E321:R321)),50))</f>
      </c>
      <c r="S321" s="681">
        <f>IF($D321="","",IF(AND(終値!E321&lt;終値!O321,$Q321&gt;(IFERROR(100-100/(1+SUMPRODUCT((終値!O321:AB321&gt;終値!P321:AC321)*(終値!O321:AB321-終値!P321:AC321))/SUMPRODUCT((終値!O321:AB321&lt;終値!P321:AC321)*(終値!P321:AC321-終値!O321:AB321))),100))),"強気div▲",IF(AND(終値!E321&gt;終値!O321,$Q321&lt;(IFERROR(100-100/(1+SUMPRODUCT((終値!O321:AB321&gt;終値!P321:AC321)*(終値!O321:AB321-終値!P321:AC321))/SUMPRODUCT((終値!O321:AB321&lt;終値!P321:AC321)*(終値!P321:AC321-終値!O321:AB321))),100))),"弱気div▼","－")))</f>
      </c>
      <c r="T321" s="681">
        <f>IF($D321="","",IF($D321&gt;=$H321,"上walk▲",IF($D321&lt;=$I321,"下walk▼","－")))</f>
      </c>
      <c r="U321" s="681">
        <f>IF(終値!A321="","",BB_スイング!BT321)</f>
      </c>
      <c r="V321" s="689">
        <f>IF($D321="","",IFERROR(出来高!E321/AVERAGE(出来高!E321:I321),""))</f>
      </c>
      <c r="W321" s="690">
        <f>IF($D321="","",IF(AND($D321&gt;$G321,$O321="拡大↑",$L321&lt;=$M321*1.8),"◎スクイーズブレイク買",IF(AND($D321&gt;=$H321,$R321&gt;=BB設定!$B$10),"○順張り継続(walk)",IF(AND($S321="強気div▲",$D321&gt;$I321),"○反発(ダイバ)買",IF($U321="二番底W▲","△二番底買(確)",IF($U321="二番底W形成","△二番底形成",IF($D321&lt;$J321,"▼-2σ割れ危険",IF(AND($D321&gt;$E321,$K321&lt;0.6,$R321&gt;=50),"・押し目注目",IF($N321="スクイーズ★","☆スクイーズ監視","様子見")))))))))</f>
      </c>
      <c r="X321" s="685">
        <f>IF($D321="","",MIN(100,IF($L321&lt;=$M321*1.15,20,IF($L321&lt;=$M321*1.4,10,0))+IF($D321&gt;$G321,20,IF($D321&gt;$H321,12,IF($D321&gt;$E321,5,0)))+IF($O321="拡大↑",10,0)+IF($R321&gt;=80,15,IF($R321&gt;=60,10,IF($R321&gt;=50,5,0)))+IF(AND($Q321&gt;=50,$Q321&lt;=70),10,IF($Q321&gt;70,3,IF($Q321&gt;=40,5,0)))+IF($S321="強気div▲",15,0)+IF($T321="上walk▲",5,0)+IF($V321&gt;=2,5,IF($V321&gt;=1.5,3,0))))</f>
      </c>
      <c r="Y321" s="682">
        <f>IF($D321="","",$D321)</f>
      </c>
      <c r="Z321" s="682">
        <f>IF($D321="","",$H321)</f>
      </c>
      <c r="AA321" s="682">
        <f>IF($D321="","",IF($D321&gt;$E321,$E321,$AD321))</f>
      </c>
      <c r="AB321" s="682">
        <f>IF($D321="","",$G321)</f>
      </c>
      <c r="AC321" s="688">
        <f>IF($D321="","",IF(($Y321-$AA321)&lt;=0,"－",IFERROR(ROUND(MIN(20,($AB321-$Y321)/($Y321-$AA321)),2),"－")))</f>
      </c>
      <c r="AD321" s="682">
        <f>IF($D321="","",MIN(終値!E321:I321))</f>
      </c>
      <c r="AE321" s="684">
        <f>IF($D321="","",$X321+(10000-ROW())/100000)</f>
      </c>
    </row>
    <row r="322">
      <c r="A322" s="681">
        <f>IF(終値!A322="","",HYPERLINK("https://kabutan.jp/stock/?code="&amp;終値!A322,"📈"))</f>
      </c>
      <c r="B322" s="681">
        <f>IF(終値!A322="","",終値!A322)</f>
      </c>
      <c r="C322" s="680">
        <f>IF(終値!A322="","",終値!B322)</f>
      </c>
      <c r="D322" s="682">
        <f>IF(終値!A322="","",終値!E322)</f>
      </c>
      <c r="E322" s="682">
        <f>IF($D322="","",AVERAGE(終値!E322:X322))</f>
      </c>
      <c r="F322" s="683">
        <f>IF($D322="","",STDEVP(終値!E322:X322))</f>
      </c>
      <c r="G322" s="682">
        <f>IF($D322="","",$E322+BB設定!$B$4*$F322)</f>
      </c>
      <c r="H322" s="682">
        <f>IF($D322="","",$E322+BB設定!$B$5*$F322)</f>
      </c>
      <c r="I322" s="682">
        <f>IF($D322="","",$E322-BB設定!$B$5*$F322)</f>
      </c>
      <c r="J322" s="682">
        <f>IF($D322="","",$E322-BB設定!$B$4*$F322)</f>
      </c>
      <c r="K322" s="687">
        <f>IF($D322="","",IFERROR(($D322-$J322)/($G322-$J322),""))</f>
      </c>
      <c r="L322" s="686">
        <f>IF($D322="","",IFERROR(($G322-$J322)/$E322*100,""))</f>
      </c>
      <c r="M322" s="686">
        <f>IF($D322="","",IFERROR(MIN(BB_帯幅!B322:AP322)*100,""))</f>
      </c>
      <c r="N322" s="681">
        <f>IF($L322="","",IF($L322&lt;=$M322*BB設定!$B$7,"スクイーズ★",IF($L322&lt;=$M322*1.3,"収縮","－")))</f>
      </c>
      <c r="O322" s="681">
        <f>IF($D322="","",IF($L322&gt;(4*STDEVP(終値!F322:Y322)/AVERAGE(終値!F322:Y322)*100),"拡大↑","縮小↓"))</f>
      </c>
      <c r="P322" s="681">
        <f>IF($D322="","",IF($D322&gt;$G322,"↑+2σ突破",IF($D322&lt;$J322,"↓-2σ割れ",IF($D322&gt;$H322,"+1σ上",IF($D322&lt;$I322,"-1σ下","バンド内")))))</f>
      </c>
      <c r="Q322" s="684">
        <f>IF($D322="","",IFERROR(100-100/(1+SUMPRODUCT((終値!E322:R322&gt;終値!F322:S322)*(終値!E322:R322-終値!F322:S322))/SUMPRODUCT((終値!E322:R322&lt;終値!F322:S322)*(終値!F322:S322-終値!E322:R322))),100))</f>
      </c>
      <c r="R322" s="684">
        <f>IF($D322="","",IFERROR(100-100/(1+SUMPRODUCT((((高値!E322:R322+安値!E322:R322+終値!E322:R322)/3)&gt;((高値!F322:S322+安値!F322:S322+終値!F322:S322)/3))*((高値!E322:R322+安値!E322:R322+終値!E322:R322)/3)*出来高!E322:R322)/SUMPRODUCT((((高値!E322:R322+安値!E322:R322+終値!E322:R322)/3)&lt;((高値!F322:S322+安値!F322:S322+終値!F322:S322)/3))*((高値!E322:R322+安値!E322:R322+終値!E322:R322)/3)*出来高!E322:R322)),50))</f>
      </c>
      <c r="S322" s="681">
        <f>IF($D322="","",IF(AND(終値!E322&lt;終値!O322,$Q322&gt;(IFERROR(100-100/(1+SUMPRODUCT((終値!O322:AB322&gt;終値!P322:AC322)*(終値!O322:AB322-終値!P322:AC322))/SUMPRODUCT((終値!O322:AB322&lt;終値!P322:AC322)*(終値!P322:AC322-終値!O322:AB322))),100))),"強気div▲",IF(AND(終値!E322&gt;終値!O322,$Q322&lt;(IFERROR(100-100/(1+SUMPRODUCT((終値!O322:AB322&gt;終値!P322:AC322)*(終値!O322:AB322-終値!P322:AC322))/SUMPRODUCT((終値!O322:AB322&lt;終値!P322:AC322)*(終値!P322:AC322-終値!O322:AB322))),100))),"弱気div▼","－")))</f>
      </c>
      <c r="T322" s="681">
        <f>IF($D322="","",IF($D322&gt;=$H322,"上walk▲",IF($D322&lt;=$I322,"下walk▼","－")))</f>
      </c>
      <c r="U322" s="681">
        <f>IF(終値!A322="","",BB_スイング!BT322)</f>
      </c>
      <c r="V322" s="689">
        <f>IF($D322="","",IFERROR(出来高!E322/AVERAGE(出来高!E322:I322),""))</f>
      </c>
      <c r="W322" s="690">
        <f>IF($D322="","",IF(AND($D322&gt;$G322,$O322="拡大↑",$L322&lt;=$M322*1.8),"◎スクイーズブレイク買",IF(AND($D322&gt;=$H322,$R322&gt;=BB設定!$B$10),"○順張り継続(walk)",IF(AND($S322="強気div▲",$D322&gt;$I322),"○反発(ダイバ)買",IF($U322="二番底W▲","△二番底買(確)",IF($U322="二番底W形成","△二番底形成",IF($D322&lt;$J322,"▼-2σ割れ危険",IF(AND($D322&gt;$E322,$K322&lt;0.6,$R322&gt;=50),"・押し目注目",IF($N322="スクイーズ★","☆スクイーズ監視","様子見")))))))))</f>
      </c>
      <c r="X322" s="685">
        <f>IF($D322="","",MIN(100,IF($L322&lt;=$M322*1.15,20,IF($L322&lt;=$M322*1.4,10,0))+IF($D322&gt;$G322,20,IF($D322&gt;$H322,12,IF($D322&gt;$E322,5,0)))+IF($O322="拡大↑",10,0)+IF($R322&gt;=80,15,IF($R322&gt;=60,10,IF($R322&gt;=50,5,0)))+IF(AND($Q322&gt;=50,$Q322&lt;=70),10,IF($Q322&gt;70,3,IF($Q322&gt;=40,5,0)))+IF($S322="強気div▲",15,0)+IF($T322="上walk▲",5,0)+IF($V322&gt;=2,5,IF($V322&gt;=1.5,3,0))))</f>
      </c>
      <c r="Y322" s="682">
        <f>IF($D322="","",$D322)</f>
      </c>
      <c r="Z322" s="682">
        <f>IF($D322="","",$H322)</f>
      </c>
      <c r="AA322" s="682">
        <f>IF($D322="","",IF($D322&gt;$E322,$E322,$AD322))</f>
      </c>
      <c r="AB322" s="682">
        <f>IF($D322="","",$G322)</f>
      </c>
      <c r="AC322" s="688">
        <f>IF($D322="","",IF(($Y322-$AA322)&lt;=0,"－",IFERROR(ROUND(MIN(20,($AB322-$Y322)/($Y322-$AA322)),2),"－")))</f>
      </c>
      <c r="AD322" s="682">
        <f>IF($D322="","",MIN(終値!E322:I322))</f>
      </c>
      <c r="AE322" s="684">
        <f>IF($D322="","",$X322+(10000-ROW())/100000)</f>
      </c>
    </row>
    <row r="323">
      <c r="A323" s="681">
        <f>IF(終値!A323="","",HYPERLINK("https://kabutan.jp/stock/?code="&amp;終値!A323,"📈"))</f>
      </c>
      <c r="B323" s="681">
        <f>IF(終値!A323="","",終値!A323)</f>
      </c>
      <c r="C323" s="680">
        <f>IF(終値!A323="","",終値!B323)</f>
      </c>
      <c r="D323" s="682">
        <f>IF(終値!A323="","",終値!E323)</f>
      </c>
      <c r="E323" s="682">
        <f>IF($D323="","",AVERAGE(終値!E323:X323))</f>
      </c>
      <c r="F323" s="683">
        <f>IF($D323="","",STDEVP(終値!E323:X323))</f>
      </c>
      <c r="G323" s="682">
        <f>IF($D323="","",$E323+BB設定!$B$4*$F323)</f>
      </c>
      <c r="H323" s="682">
        <f>IF($D323="","",$E323+BB設定!$B$5*$F323)</f>
      </c>
      <c r="I323" s="682">
        <f>IF($D323="","",$E323-BB設定!$B$5*$F323)</f>
      </c>
      <c r="J323" s="682">
        <f>IF($D323="","",$E323-BB設定!$B$4*$F323)</f>
      </c>
      <c r="K323" s="687">
        <f>IF($D323="","",IFERROR(($D323-$J323)/($G323-$J323),""))</f>
      </c>
      <c r="L323" s="686">
        <f>IF($D323="","",IFERROR(($G323-$J323)/$E323*100,""))</f>
      </c>
      <c r="M323" s="686">
        <f>IF($D323="","",IFERROR(MIN(BB_帯幅!B323:AP323)*100,""))</f>
      </c>
      <c r="N323" s="681">
        <f>IF($L323="","",IF($L323&lt;=$M323*BB設定!$B$7,"スクイーズ★",IF($L323&lt;=$M323*1.3,"収縮","－")))</f>
      </c>
      <c r="O323" s="681">
        <f>IF($D323="","",IF($L323&gt;(4*STDEVP(終値!F323:Y323)/AVERAGE(終値!F323:Y323)*100),"拡大↑","縮小↓"))</f>
      </c>
      <c r="P323" s="681">
        <f>IF($D323="","",IF($D323&gt;$G323,"↑+2σ突破",IF($D323&lt;$J323,"↓-2σ割れ",IF($D323&gt;$H323,"+1σ上",IF($D323&lt;$I323,"-1σ下","バンド内")))))</f>
      </c>
      <c r="Q323" s="684">
        <f>IF($D323="","",IFERROR(100-100/(1+SUMPRODUCT((終値!E323:R323&gt;終値!F323:S323)*(終値!E323:R323-終値!F323:S323))/SUMPRODUCT((終値!E323:R323&lt;終値!F323:S323)*(終値!F323:S323-終値!E323:R323))),100))</f>
      </c>
      <c r="R323" s="684">
        <f>IF($D323="","",IFERROR(100-100/(1+SUMPRODUCT((((高値!E323:R323+安値!E323:R323+終値!E323:R323)/3)&gt;((高値!F323:S323+安値!F323:S323+終値!F323:S323)/3))*((高値!E323:R323+安値!E323:R323+終値!E323:R323)/3)*出来高!E323:R323)/SUMPRODUCT((((高値!E323:R323+安値!E323:R323+終値!E323:R323)/3)&lt;((高値!F323:S323+安値!F323:S323+終値!F323:S323)/3))*((高値!E323:R323+安値!E323:R323+終値!E323:R323)/3)*出来高!E323:R323)),50))</f>
      </c>
      <c r="S323" s="681">
        <f>IF($D323="","",IF(AND(終値!E323&lt;終値!O323,$Q323&gt;(IFERROR(100-100/(1+SUMPRODUCT((終値!O323:AB323&gt;終値!P323:AC323)*(終値!O323:AB323-終値!P323:AC323))/SUMPRODUCT((終値!O323:AB323&lt;終値!P323:AC323)*(終値!P323:AC323-終値!O323:AB323))),100))),"強気div▲",IF(AND(終値!E323&gt;終値!O323,$Q323&lt;(IFERROR(100-100/(1+SUMPRODUCT((終値!O323:AB323&gt;終値!P323:AC323)*(終値!O323:AB323-終値!P323:AC323))/SUMPRODUCT((終値!O323:AB323&lt;終値!P323:AC323)*(終値!P323:AC323-終値!O323:AB323))),100))),"弱気div▼","－")))</f>
      </c>
      <c r="T323" s="681">
        <f>IF($D323="","",IF($D323&gt;=$H323,"上walk▲",IF($D323&lt;=$I323,"下walk▼","－")))</f>
      </c>
      <c r="U323" s="681">
        <f>IF(終値!A323="","",BB_スイング!BT323)</f>
      </c>
      <c r="V323" s="689">
        <f>IF($D323="","",IFERROR(出来高!E323/AVERAGE(出来高!E323:I323),""))</f>
      </c>
      <c r="W323" s="690">
        <f>IF($D323="","",IF(AND($D323&gt;$G323,$O323="拡大↑",$L323&lt;=$M323*1.8),"◎スクイーズブレイク買",IF(AND($D323&gt;=$H323,$R323&gt;=BB設定!$B$10),"○順張り継続(walk)",IF(AND($S323="強気div▲",$D323&gt;$I323),"○反発(ダイバ)買",IF($U323="二番底W▲","△二番底買(確)",IF($U323="二番底W形成","△二番底形成",IF($D323&lt;$J323,"▼-2σ割れ危険",IF(AND($D323&gt;$E323,$K323&lt;0.6,$R323&gt;=50),"・押し目注目",IF($N323="スクイーズ★","☆スクイーズ監視","様子見")))))))))</f>
      </c>
      <c r="X323" s="685">
        <f>IF($D323="","",MIN(100,IF($L323&lt;=$M323*1.15,20,IF($L323&lt;=$M323*1.4,10,0))+IF($D323&gt;$G323,20,IF($D323&gt;$H323,12,IF($D323&gt;$E323,5,0)))+IF($O323="拡大↑",10,0)+IF($R323&gt;=80,15,IF($R323&gt;=60,10,IF($R323&gt;=50,5,0)))+IF(AND($Q323&gt;=50,$Q323&lt;=70),10,IF($Q323&gt;70,3,IF($Q323&gt;=40,5,0)))+IF($S323="強気div▲",15,0)+IF($T323="上walk▲",5,0)+IF($V323&gt;=2,5,IF($V323&gt;=1.5,3,0))))</f>
      </c>
      <c r="Y323" s="682">
        <f>IF($D323="","",$D323)</f>
      </c>
      <c r="Z323" s="682">
        <f>IF($D323="","",$H323)</f>
      </c>
      <c r="AA323" s="682">
        <f>IF($D323="","",IF($D323&gt;$E323,$E323,$AD323))</f>
      </c>
      <c r="AB323" s="682">
        <f>IF($D323="","",$G323)</f>
      </c>
      <c r="AC323" s="688">
        <f>IF($D323="","",IF(($Y323-$AA323)&lt;=0,"－",IFERROR(ROUND(MIN(20,($AB323-$Y323)/($Y323-$AA323)),2),"－")))</f>
      </c>
      <c r="AD323" s="682">
        <f>IF($D323="","",MIN(終値!E323:I323))</f>
      </c>
      <c r="AE323" s="684">
        <f>IF($D323="","",$X323+(10000-ROW())/100000)</f>
      </c>
    </row>
    <row r="324">
      <c r="A324" s="681">
        <f>IF(終値!A324="","",HYPERLINK("https://kabutan.jp/stock/?code="&amp;終値!A324,"📈"))</f>
      </c>
      <c r="B324" s="681">
        <f>IF(終値!A324="","",終値!A324)</f>
      </c>
      <c r="C324" s="680">
        <f>IF(終値!A324="","",終値!B324)</f>
      </c>
      <c r="D324" s="682">
        <f>IF(終値!A324="","",終値!E324)</f>
      </c>
      <c r="E324" s="682">
        <f>IF($D324="","",AVERAGE(終値!E324:X324))</f>
      </c>
      <c r="F324" s="683">
        <f>IF($D324="","",STDEVP(終値!E324:X324))</f>
      </c>
      <c r="G324" s="682">
        <f>IF($D324="","",$E324+BB設定!$B$4*$F324)</f>
      </c>
      <c r="H324" s="682">
        <f>IF($D324="","",$E324+BB設定!$B$5*$F324)</f>
      </c>
      <c r="I324" s="682">
        <f>IF($D324="","",$E324-BB設定!$B$5*$F324)</f>
      </c>
      <c r="J324" s="682">
        <f>IF($D324="","",$E324-BB設定!$B$4*$F324)</f>
      </c>
      <c r="K324" s="687">
        <f>IF($D324="","",IFERROR(($D324-$J324)/($G324-$J324),""))</f>
      </c>
      <c r="L324" s="686">
        <f>IF($D324="","",IFERROR(($G324-$J324)/$E324*100,""))</f>
      </c>
      <c r="M324" s="686">
        <f>IF($D324="","",IFERROR(MIN(BB_帯幅!B324:AP324)*100,""))</f>
      </c>
      <c r="N324" s="681">
        <f>IF($L324="","",IF($L324&lt;=$M324*BB設定!$B$7,"スクイーズ★",IF($L324&lt;=$M324*1.3,"収縮","－")))</f>
      </c>
      <c r="O324" s="681">
        <f>IF($D324="","",IF($L324&gt;(4*STDEVP(終値!F324:Y324)/AVERAGE(終値!F324:Y324)*100),"拡大↑","縮小↓"))</f>
      </c>
      <c r="P324" s="681">
        <f>IF($D324="","",IF($D324&gt;$G324,"↑+2σ突破",IF($D324&lt;$J324,"↓-2σ割れ",IF($D324&gt;$H324,"+1σ上",IF($D324&lt;$I324,"-1σ下","バンド内")))))</f>
      </c>
      <c r="Q324" s="684">
        <f>IF($D324="","",IFERROR(100-100/(1+SUMPRODUCT((終値!E324:R324&gt;終値!F324:S324)*(終値!E324:R324-終値!F324:S324))/SUMPRODUCT((終値!E324:R324&lt;終値!F324:S324)*(終値!F324:S324-終値!E324:R324))),100))</f>
      </c>
      <c r="R324" s="684">
        <f>IF($D324="","",IFERROR(100-100/(1+SUMPRODUCT((((高値!E324:R324+安値!E324:R324+終値!E324:R324)/3)&gt;((高値!F324:S324+安値!F324:S324+終値!F324:S324)/3))*((高値!E324:R324+安値!E324:R324+終値!E324:R324)/3)*出来高!E324:R324)/SUMPRODUCT((((高値!E324:R324+安値!E324:R324+終値!E324:R324)/3)&lt;((高値!F324:S324+安値!F324:S324+終値!F324:S324)/3))*((高値!E324:R324+安値!E324:R324+終値!E324:R324)/3)*出来高!E324:R324)),50))</f>
      </c>
      <c r="S324" s="681">
        <f>IF($D324="","",IF(AND(終値!E324&lt;終値!O324,$Q324&gt;(IFERROR(100-100/(1+SUMPRODUCT((終値!O324:AB324&gt;終値!P324:AC324)*(終値!O324:AB324-終値!P324:AC324))/SUMPRODUCT((終値!O324:AB324&lt;終値!P324:AC324)*(終値!P324:AC324-終値!O324:AB324))),100))),"強気div▲",IF(AND(終値!E324&gt;終値!O324,$Q324&lt;(IFERROR(100-100/(1+SUMPRODUCT((終値!O324:AB324&gt;終値!P324:AC324)*(終値!O324:AB324-終値!P324:AC324))/SUMPRODUCT((終値!O324:AB324&lt;終値!P324:AC324)*(終値!P324:AC324-終値!O324:AB324))),100))),"弱気div▼","－")))</f>
      </c>
      <c r="T324" s="681">
        <f>IF($D324="","",IF($D324&gt;=$H324,"上walk▲",IF($D324&lt;=$I324,"下walk▼","－")))</f>
      </c>
      <c r="U324" s="681">
        <f>IF(終値!A324="","",BB_スイング!BT324)</f>
      </c>
      <c r="V324" s="689">
        <f>IF($D324="","",IFERROR(出来高!E324/AVERAGE(出来高!E324:I324),""))</f>
      </c>
      <c r="W324" s="690">
        <f>IF($D324="","",IF(AND($D324&gt;$G324,$O324="拡大↑",$L324&lt;=$M324*1.8),"◎スクイーズブレイク買",IF(AND($D324&gt;=$H324,$R324&gt;=BB設定!$B$10),"○順張り継続(walk)",IF(AND($S324="強気div▲",$D324&gt;$I324),"○反発(ダイバ)買",IF($U324="二番底W▲","△二番底買(確)",IF($U324="二番底W形成","△二番底形成",IF($D324&lt;$J324,"▼-2σ割れ危険",IF(AND($D324&gt;$E324,$K324&lt;0.6,$R324&gt;=50),"・押し目注目",IF($N324="スクイーズ★","☆スクイーズ監視","様子見")))))))))</f>
      </c>
      <c r="X324" s="685">
        <f>IF($D324="","",MIN(100,IF($L324&lt;=$M324*1.15,20,IF($L324&lt;=$M324*1.4,10,0))+IF($D324&gt;$G324,20,IF($D324&gt;$H324,12,IF($D324&gt;$E324,5,0)))+IF($O324="拡大↑",10,0)+IF($R324&gt;=80,15,IF($R324&gt;=60,10,IF($R324&gt;=50,5,0)))+IF(AND($Q324&gt;=50,$Q324&lt;=70),10,IF($Q324&gt;70,3,IF($Q324&gt;=40,5,0)))+IF($S324="強気div▲",15,0)+IF($T324="上walk▲",5,0)+IF($V324&gt;=2,5,IF($V324&gt;=1.5,3,0))))</f>
      </c>
      <c r="Y324" s="682">
        <f>IF($D324="","",$D324)</f>
      </c>
      <c r="Z324" s="682">
        <f>IF($D324="","",$H324)</f>
      </c>
      <c r="AA324" s="682">
        <f>IF($D324="","",IF($D324&gt;$E324,$E324,$AD324))</f>
      </c>
      <c r="AB324" s="682">
        <f>IF($D324="","",$G324)</f>
      </c>
      <c r="AC324" s="688">
        <f>IF($D324="","",IF(($Y324-$AA324)&lt;=0,"－",IFERROR(ROUND(MIN(20,($AB324-$Y324)/($Y324-$AA324)),2),"－")))</f>
      </c>
      <c r="AD324" s="682">
        <f>IF($D324="","",MIN(終値!E324:I324))</f>
      </c>
      <c r="AE324" s="684">
        <f>IF($D324="","",$X324+(10000-ROW())/100000)</f>
      </c>
    </row>
    <row r="325">
      <c r="A325" s="681">
        <f>IF(終値!A325="","",HYPERLINK("https://kabutan.jp/stock/?code="&amp;終値!A325,"📈"))</f>
      </c>
      <c r="B325" s="681">
        <f>IF(終値!A325="","",終値!A325)</f>
      </c>
      <c r="C325" s="680">
        <f>IF(終値!A325="","",終値!B325)</f>
      </c>
      <c r="D325" s="682">
        <f>IF(終値!A325="","",終値!E325)</f>
      </c>
      <c r="E325" s="682">
        <f>IF($D325="","",AVERAGE(終値!E325:X325))</f>
      </c>
      <c r="F325" s="683">
        <f>IF($D325="","",STDEVP(終値!E325:X325))</f>
      </c>
      <c r="G325" s="682">
        <f>IF($D325="","",$E325+BB設定!$B$4*$F325)</f>
      </c>
      <c r="H325" s="682">
        <f>IF($D325="","",$E325+BB設定!$B$5*$F325)</f>
      </c>
      <c r="I325" s="682">
        <f>IF($D325="","",$E325-BB設定!$B$5*$F325)</f>
      </c>
      <c r="J325" s="682">
        <f>IF($D325="","",$E325-BB設定!$B$4*$F325)</f>
      </c>
      <c r="K325" s="687">
        <f>IF($D325="","",IFERROR(($D325-$J325)/($G325-$J325),""))</f>
      </c>
      <c r="L325" s="686">
        <f>IF($D325="","",IFERROR(($G325-$J325)/$E325*100,""))</f>
      </c>
      <c r="M325" s="686">
        <f>IF($D325="","",IFERROR(MIN(BB_帯幅!B325:AP325)*100,""))</f>
      </c>
      <c r="N325" s="681">
        <f>IF($L325="","",IF($L325&lt;=$M325*BB設定!$B$7,"スクイーズ★",IF($L325&lt;=$M325*1.3,"収縮","－")))</f>
      </c>
      <c r="O325" s="681">
        <f>IF($D325="","",IF($L325&gt;(4*STDEVP(終値!F325:Y325)/AVERAGE(終値!F325:Y325)*100),"拡大↑","縮小↓"))</f>
      </c>
      <c r="P325" s="681">
        <f>IF($D325="","",IF($D325&gt;$G325,"↑+2σ突破",IF($D325&lt;$J325,"↓-2σ割れ",IF($D325&gt;$H325,"+1σ上",IF($D325&lt;$I325,"-1σ下","バンド内")))))</f>
      </c>
      <c r="Q325" s="684">
        <f>IF($D325="","",IFERROR(100-100/(1+SUMPRODUCT((終値!E325:R325&gt;終値!F325:S325)*(終値!E325:R325-終値!F325:S325))/SUMPRODUCT((終値!E325:R325&lt;終値!F325:S325)*(終値!F325:S325-終値!E325:R325))),100))</f>
      </c>
      <c r="R325" s="684">
        <f>IF($D325="","",IFERROR(100-100/(1+SUMPRODUCT((((高値!E325:R325+安値!E325:R325+終値!E325:R325)/3)&gt;((高値!F325:S325+安値!F325:S325+終値!F325:S325)/3))*((高値!E325:R325+安値!E325:R325+終値!E325:R325)/3)*出来高!E325:R325)/SUMPRODUCT((((高値!E325:R325+安値!E325:R325+終値!E325:R325)/3)&lt;((高値!F325:S325+安値!F325:S325+終値!F325:S325)/3))*((高値!E325:R325+安値!E325:R325+終値!E325:R325)/3)*出来高!E325:R325)),50))</f>
      </c>
      <c r="S325" s="681">
        <f>IF($D325="","",IF(AND(終値!E325&lt;終値!O325,$Q325&gt;(IFERROR(100-100/(1+SUMPRODUCT((終値!O325:AB325&gt;終値!P325:AC325)*(終値!O325:AB325-終値!P325:AC325))/SUMPRODUCT((終値!O325:AB325&lt;終値!P325:AC325)*(終値!P325:AC325-終値!O325:AB325))),100))),"強気div▲",IF(AND(終値!E325&gt;終値!O325,$Q325&lt;(IFERROR(100-100/(1+SUMPRODUCT((終値!O325:AB325&gt;終値!P325:AC325)*(終値!O325:AB325-終値!P325:AC325))/SUMPRODUCT((終値!O325:AB325&lt;終値!P325:AC325)*(終値!P325:AC325-終値!O325:AB325))),100))),"弱気div▼","－")))</f>
      </c>
      <c r="T325" s="681">
        <f>IF($D325="","",IF($D325&gt;=$H325,"上walk▲",IF($D325&lt;=$I325,"下walk▼","－")))</f>
      </c>
      <c r="U325" s="681">
        <f>IF(終値!A325="","",BB_スイング!BT325)</f>
      </c>
      <c r="V325" s="689">
        <f>IF($D325="","",IFERROR(出来高!E325/AVERAGE(出来高!E325:I325),""))</f>
      </c>
      <c r="W325" s="690">
        <f>IF($D325="","",IF(AND($D325&gt;$G325,$O325="拡大↑",$L325&lt;=$M325*1.8),"◎スクイーズブレイク買",IF(AND($D325&gt;=$H325,$R325&gt;=BB設定!$B$10),"○順張り継続(walk)",IF(AND($S325="強気div▲",$D325&gt;$I325),"○反発(ダイバ)買",IF($U325="二番底W▲","△二番底買(確)",IF($U325="二番底W形成","△二番底形成",IF($D325&lt;$J325,"▼-2σ割れ危険",IF(AND($D325&gt;$E325,$K325&lt;0.6,$R325&gt;=50),"・押し目注目",IF($N325="スクイーズ★","☆スクイーズ監視","様子見")))))))))</f>
      </c>
      <c r="X325" s="685">
        <f>IF($D325="","",MIN(100,IF($L325&lt;=$M325*1.15,20,IF($L325&lt;=$M325*1.4,10,0))+IF($D325&gt;$G325,20,IF($D325&gt;$H325,12,IF($D325&gt;$E325,5,0)))+IF($O325="拡大↑",10,0)+IF($R325&gt;=80,15,IF($R325&gt;=60,10,IF($R325&gt;=50,5,0)))+IF(AND($Q325&gt;=50,$Q325&lt;=70),10,IF($Q325&gt;70,3,IF($Q325&gt;=40,5,0)))+IF($S325="強気div▲",15,0)+IF($T325="上walk▲",5,0)+IF($V325&gt;=2,5,IF($V325&gt;=1.5,3,0))))</f>
      </c>
      <c r="Y325" s="682">
        <f>IF($D325="","",$D325)</f>
      </c>
      <c r="Z325" s="682">
        <f>IF($D325="","",$H325)</f>
      </c>
      <c r="AA325" s="682">
        <f>IF($D325="","",IF($D325&gt;$E325,$E325,$AD325))</f>
      </c>
      <c r="AB325" s="682">
        <f>IF($D325="","",$G325)</f>
      </c>
      <c r="AC325" s="688">
        <f>IF($D325="","",IF(($Y325-$AA325)&lt;=0,"－",IFERROR(ROUND(MIN(20,($AB325-$Y325)/($Y325-$AA325)),2),"－")))</f>
      </c>
      <c r="AD325" s="682">
        <f>IF($D325="","",MIN(終値!E325:I325))</f>
      </c>
      <c r="AE325" s="684">
        <f>IF($D325="","",$X325+(10000-ROW())/100000)</f>
      </c>
    </row>
    <row r="326">
      <c r="A326" s="681">
        <f>IF(終値!A326="","",HYPERLINK("https://kabutan.jp/stock/?code="&amp;終値!A326,"📈"))</f>
      </c>
      <c r="B326" s="681">
        <f>IF(終値!A326="","",終値!A326)</f>
      </c>
      <c r="C326" s="680">
        <f>IF(終値!A326="","",終値!B326)</f>
      </c>
      <c r="D326" s="682">
        <f>IF(終値!A326="","",終値!E326)</f>
      </c>
      <c r="E326" s="682">
        <f>IF($D326="","",AVERAGE(終値!E326:X326))</f>
      </c>
      <c r="F326" s="683">
        <f>IF($D326="","",STDEVP(終値!E326:X326))</f>
      </c>
      <c r="G326" s="682">
        <f>IF($D326="","",$E326+BB設定!$B$4*$F326)</f>
      </c>
      <c r="H326" s="682">
        <f>IF($D326="","",$E326+BB設定!$B$5*$F326)</f>
      </c>
      <c r="I326" s="682">
        <f>IF($D326="","",$E326-BB設定!$B$5*$F326)</f>
      </c>
      <c r="J326" s="682">
        <f>IF($D326="","",$E326-BB設定!$B$4*$F326)</f>
      </c>
      <c r="K326" s="687">
        <f>IF($D326="","",IFERROR(($D326-$J326)/($G326-$J326),""))</f>
      </c>
      <c r="L326" s="686">
        <f>IF($D326="","",IFERROR(($G326-$J326)/$E326*100,""))</f>
      </c>
      <c r="M326" s="686">
        <f>IF($D326="","",IFERROR(MIN(BB_帯幅!B326:AP326)*100,""))</f>
      </c>
      <c r="N326" s="681">
        <f>IF($L326="","",IF($L326&lt;=$M326*BB設定!$B$7,"スクイーズ★",IF($L326&lt;=$M326*1.3,"収縮","－")))</f>
      </c>
      <c r="O326" s="681">
        <f>IF($D326="","",IF($L326&gt;(4*STDEVP(終値!F326:Y326)/AVERAGE(終値!F326:Y326)*100),"拡大↑","縮小↓"))</f>
      </c>
      <c r="P326" s="681">
        <f>IF($D326="","",IF($D326&gt;$G326,"↑+2σ突破",IF($D326&lt;$J326,"↓-2σ割れ",IF($D326&gt;$H326,"+1σ上",IF($D326&lt;$I326,"-1σ下","バンド内")))))</f>
      </c>
      <c r="Q326" s="684">
        <f>IF($D326="","",IFERROR(100-100/(1+SUMPRODUCT((終値!E326:R326&gt;終値!F326:S326)*(終値!E326:R326-終値!F326:S326))/SUMPRODUCT((終値!E326:R326&lt;終値!F326:S326)*(終値!F326:S326-終値!E326:R326))),100))</f>
      </c>
      <c r="R326" s="684">
        <f>IF($D326="","",IFERROR(100-100/(1+SUMPRODUCT((((高値!E326:R326+安値!E326:R326+終値!E326:R326)/3)&gt;((高値!F326:S326+安値!F326:S326+終値!F326:S326)/3))*((高値!E326:R326+安値!E326:R326+終値!E326:R326)/3)*出来高!E326:R326)/SUMPRODUCT((((高値!E326:R326+安値!E326:R326+終値!E326:R326)/3)&lt;((高値!F326:S326+安値!F326:S326+終値!F326:S326)/3))*((高値!E326:R326+安値!E326:R326+終値!E326:R326)/3)*出来高!E326:R326)),50))</f>
      </c>
      <c r="S326" s="681">
        <f>IF($D326="","",IF(AND(終値!E326&lt;終値!O326,$Q326&gt;(IFERROR(100-100/(1+SUMPRODUCT((終値!O326:AB326&gt;終値!P326:AC326)*(終値!O326:AB326-終値!P326:AC326))/SUMPRODUCT((終値!O326:AB326&lt;終値!P326:AC326)*(終値!P326:AC326-終値!O326:AB326))),100))),"強気div▲",IF(AND(終値!E326&gt;終値!O326,$Q326&lt;(IFERROR(100-100/(1+SUMPRODUCT((終値!O326:AB326&gt;終値!P326:AC326)*(終値!O326:AB326-終値!P326:AC326))/SUMPRODUCT((終値!O326:AB326&lt;終値!P326:AC326)*(終値!P326:AC326-終値!O326:AB326))),100))),"弱気div▼","－")))</f>
      </c>
      <c r="T326" s="681">
        <f>IF($D326="","",IF($D326&gt;=$H326,"上walk▲",IF($D326&lt;=$I326,"下walk▼","－")))</f>
      </c>
      <c r="U326" s="681">
        <f>IF(終値!A326="","",BB_スイング!BT326)</f>
      </c>
      <c r="V326" s="689">
        <f>IF($D326="","",IFERROR(出来高!E326/AVERAGE(出来高!E326:I326),""))</f>
      </c>
      <c r="W326" s="690">
        <f>IF($D326="","",IF(AND($D326&gt;$G326,$O326="拡大↑",$L326&lt;=$M326*1.8),"◎スクイーズブレイク買",IF(AND($D326&gt;=$H326,$R326&gt;=BB設定!$B$10),"○順張り継続(walk)",IF(AND($S326="強気div▲",$D326&gt;$I326),"○反発(ダイバ)買",IF($U326="二番底W▲","△二番底買(確)",IF($U326="二番底W形成","△二番底形成",IF($D326&lt;$J326,"▼-2σ割れ危険",IF(AND($D326&gt;$E326,$K326&lt;0.6,$R326&gt;=50),"・押し目注目",IF($N326="スクイーズ★","☆スクイーズ監視","様子見")))))))))</f>
      </c>
      <c r="X326" s="685">
        <f>IF($D326="","",MIN(100,IF($L326&lt;=$M326*1.15,20,IF($L326&lt;=$M326*1.4,10,0))+IF($D326&gt;$G326,20,IF($D326&gt;$H326,12,IF($D326&gt;$E326,5,0)))+IF($O326="拡大↑",10,0)+IF($R326&gt;=80,15,IF($R326&gt;=60,10,IF($R326&gt;=50,5,0)))+IF(AND($Q326&gt;=50,$Q326&lt;=70),10,IF($Q326&gt;70,3,IF($Q326&gt;=40,5,0)))+IF($S326="強気div▲",15,0)+IF($T326="上walk▲",5,0)+IF($V326&gt;=2,5,IF($V326&gt;=1.5,3,0))))</f>
      </c>
      <c r="Y326" s="682">
        <f>IF($D326="","",$D326)</f>
      </c>
      <c r="Z326" s="682">
        <f>IF($D326="","",$H326)</f>
      </c>
      <c r="AA326" s="682">
        <f>IF($D326="","",IF($D326&gt;$E326,$E326,$AD326))</f>
      </c>
      <c r="AB326" s="682">
        <f>IF($D326="","",$G326)</f>
      </c>
      <c r="AC326" s="688">
        <f>IF($D326="","",IF(($Y326-$AA326)&lt;=0,"－",IFERROR(ROUND(MIN(20,($AB326-$Y326)/($Y326-$AA326)),2),"－")))</f>
      </c>
      <c r="AD326" s="682">
        <f>IF($D326="","",MIN(終値!E326:I326))</f>
      </c>
      <c r="AE326" s="684">
        <f>IF($D326="","",$X326+(10000-ROW())/100000)</f>
      </c>
    </row>
    <row r="327">
      <c r="A327" s="681">
        <f>IF(終値!A327="","",HYPERLINK("https://kabutan.jp/stock/?code="&amp;終値!A327,"📈"))</f>
      </c>
      <c r="B327" s="681">
        <f>IF(終値!A327="","",終値!A327)</f>
      </c>
      <c r="C327" s="680">
        <f>IF(終値!A327="","",終値!B327)</f>
      </c>
      <c r="D327" s="682">
        <f>IF(終値!A327="","",終値!E327)</f>
      </c>
      <c r="E327" s="682">
        <f>IF($D327="","",AVERAGE(終値!E327:X327))</f>
      </c>
      <c r="F327" s="683">
        <f>IF($D327="","",STDEVP(終値!E327:X327))</f>
      </c>
      <c r="G327" s="682">
        <f>IF($D327="","",$E327+BB設定!$B$4*$F327)</f>
      </c>
      <c r="H327" s="682">
        <f>IF($D327="","",$E327+BB設定!$B$5*$F327)</f>
      </c>
      <c r="I327" s="682">
        <f>IF($D327="","",$E327-BB設定!$B$5*$F327)</f>
      </c>
      <c r="J327" s="682">
        <f>IF($D327="","",$E327-BB設定!$B$4*$F327)</f>
      </c>
      <c r="K327" s="687">
        <f>IF($D327="","",IFERROR(($D327-$J327)/($G327-$J327),""))</f>
      </c>
      <c r="L327" s="686">
        <f>IF($D327="","",IFERROR(($G327-$J327)/$E327*100,""))</f>
      </c>
      <c r="M327" s="686">
        <f>IF($D327="","",IFERROR(MIN(BB_帯幅!B327:AP327)*100,""))</f>
      </c>
      <c r="N327" s="681">
        <f>IF($L327="","",IF($L327&lt;=$M327*BB設定!$B$7,"スクイーズ★",IF($L327&lt;=$M327*1.3,"収縮","－")))</f>
      </c>
      <c r="O327" s="681">
        <f>IF($D327="","",IF($L327&gt;(4*STDEVP(終値!F327:Y327)/AVERAGE(終値!F327:Y327)*100),"拡大↑","縮小↓"))</f>
      </c>
      <c r="P327" s="681">
        <f>IF($D327="","",IF($D327&gt;$G327,"↑+2σ突破",IF($D327&lt;$J327,"↓-2σ割れ",IF($D327&gt;$H327,"+1σ上",IF($D327&lt;$I327,"-1σ下","バンド内")))))</f>
      </c>
      <c r="Q327" s="684">
        <f>IF($D327="","",IFERROR(100-100/(1+SUMPRODUCT((終値!E327:R327&gt;終値!F327:S327)*(終値!E327:R327-終値!F327:S327))/SUMPRODUCT((終値!E327:R327&lt;終値!F327:S327)*(終値!F327:S327-終値!E327:R327))),100))</f>
      </c>
      <c r="R327" s="684">
        <f>IF($D327="","",IFERROR(100-100/(1+SUMPRODUCT((((高値!E327:R327+安値!E327:R327+終値!E327:R327)/3)&gt;((高値!F327:S327+安値!F327:S327+終値!F327:S327)/3))*((高値!E327:R327+安値!E327:R327+終値!E327:R327)/3)*出来高!E327:R327)/SUMPRODUCT((((高値!E327:R327+安値!E327:R327+終値!E327:R327)/3)&lt;((高値!F327:S327+安値!F327:S327+終値!F327:S327)/3))*((高値!E327:R327+安値!E327:R327+終値!E327:R327)/3)*出来高!E327:R327)),50))</f>
      </c>
      <c r="S327" s="681">
        <f>IF($D327="","",IF(AND(終値!E327&lt;終値!O327,$Q327&gt;(IFERROR(100-100/(1+SUMPRODUCT((終値!O327:AB327&gt;終値!P327:AC327)*(終値!O327:AB327-終値!P327:AC327))/SUMPRODUCT((終値!O327:AB327&lt;終値!P327:AC327)*(終値!P327:AC327-終値!O327:AB327))),100))),"強気div▲",IF(AND(終値!E327&gt;終値!O327,$Q327&lt;(IFERROR(100-100/(1+SUMPRODUCT((終値!O327:AB327&gt;終値!P327:AC327)*(終値!O327:AB327-終値!P327:AC327))/SUMPRODUCT((終値!O327:AB327&lt;終値!P327:AC327)*(終値!P327:AC327-終値!O327:AB327))),100))),"弱気div▼","－")))</f>
      </c>
      <c r="T327" s="681">
        <f>IF($D327="","",IF($D327&gt;=$H327,"上walk▲",IF($D327&lt;=$I327,"下walk▼","－")))</f>
      </c>
      <c r="U327" s="681">
        <f>IF(終値!A327="","",BB_スイング!BT327)</f>
      </c>
      <c r="V327" s="689">
        <f>IF($D327="","",IFERROR(出来高!E327/AVERAGE(出来高!E327:I327),""))</f>
      </c>
      <c r="W327" s="690">
        <f>IF($D327="","",IF(AND($D327&gt;$G327,$O327="拡大↑",$L327&lt;=$M327*1.8),"◎スクイーズブレイク買",IF(AND($D327&gt;=$H327,$R327&gt;=BB設定!$B$10),"○順張り継続(walk)",IF(AND($S327="強気div▲",$D327&gt;$I327),"○反発(ダイバ)買",IF($U327="二番底W▲","△二番底買(確)",IF($U327="二番底W形成","△二番底形成",IF($D327&lt;$J327,"▼-2σ割れ危険",IF(AND($D327&gt;$E327,$K327&lt;0.6,$R327&gt;=50),"・押し目注目",IF($N327="スクイーズ★","☆スクイーズ監視","様子見")))))))))</f>
      </c>
      <c r="X327" s="685">
        <f>IF($D327="","",MIN(100,IF($L327&lt;=$M327*1.15,20,IF($L327&lt;=$M327*1.4,10,0))+IF($D327&gt;$G327,20,IF($D327&gt;$H327,12,IF($D327&gt;$E327,5,0)))+IF($O327="拡大↑",10,0)+IF($R327&gt;=80,15,IF($R327&gt;=60,10,IF($R327&gt;=50,5,0)))+IF(AND($Q327&gt;=50,$Q327&lt;=70),10,IF($Q327&gt;70,3,IF($Q327&gt;=40,5,0)))+IF($S327="強気div▲",15,0)+IF($T327="上walk▲",5,0)+IF($V327&gt;=2,5,IF($V327&gt;=1.5,3,0))))</f>
      </c>
      <c r="Y327" s="682">
        <f>IF($D327="","",$D327)</f>
      </c>
      <c r="Z327" s="682">
        <f>IF($D327="","",$H327)</f>
      </c>
      <c r="AA327" s="682">
        <f>IF($D327="","",IF($D327&gt;$E327,$E327,$AD327))</f>
      </c>
      <c r="AB327" s="682">
        <f>IF($D327="","",$G327)</f>
      </c>
      <c r="AC327" s="688">
        <f>IF($D327="","",IF(($Y327-$AA327)&lt;=0,"－",IFERROR(ROUND(MIN(20,($AB327-$Y327)/($Y327-$AA327)),2),"－")))</f>
      </c>
      <c r="AD327" s="682">
        <f>IF($D327="","",MIN(終値!E327:I327))</f>
      </c>
      <c r="AE327" s="684">
        <f>IF($D327="","",$X327+(10000-ROW())/100000)</f>
      </c>
    </row>
    <row r="328">
      <c r="A328" s="681">
        <f>IF(終値!A328="","",HYPERLINK("https://kabutan.jp/stock/?code="&amp;終値!A328,"📈"))</f>
      </c>
      <c r="B328" s="681">
        <f>IF(終値!A328="","",終値!A328)</f>
      </c>
      <c r="C328" s="680">
        <f>IF(終値!A328="","",終値!B328)</f>
      </c>
      <c r="D328" s="682">
        <f>IF(終値!A328="","",終値!E328)</f>
      </c>
      <c r="E328" s="682">
        <f>IF($D328="","",AVERAGE(終値!E328:X328))</f>
      </c>
      <c r="F328" s="683">
        <f>IF($D328="","",STDEVP(終値!E328:X328))</f>
      </c>
      <c r="G328" s="682">
        <f>IF($D328="","",$E328+BB設定!$B$4*$F328)</f>
      </c>
      <c r="H328" s="682">
        <f>IF($D328="","",$E328+BB設定!$B$5*$F328)</f>
      </c>
      <c r="I328" s="682">
        <f>IF($D328="","",$E328-BB設定!$B$5*$F328)</f>
      </c>
      <c r="J328" s="682">
        <f>IF($D328="","",$E328-BB設定!$B$4*$F328)</f>
      </c>
      <c r="K328" s="687">
        <f>IF($D328="","",IFERROR(($D328-$J328)/($G328-$J328),""))</f>
      </c>
      <c r="L328" s="686">
        <f>IF($D328="","",IFERROR(($G328-$J328)/$E328*100,""))</f>
      </c>
      <c r="M328" s="686">
        <f>IF($D328="","",IFERROR(MIN(BB_帯幅!B328:AP328)*100,""))</f>
      </c>
      <c r="N328" s="681">
        <f>IF($L328="","",IF($L328&lt;=$M328*BB設定!$B$7,"スクイーズ★",IF($L328&lt;=$M328*1.3,"収縮","－")))</f>
      </c>
      <c r="O328" s="681">
        <f>IF($D328="","",IF($L328&gt;(4*STDEVP(終値!F328:Y328)/AVERAGE(終値!F328:Y328)*100),"拡大↑","縮小↓"))</f>
      </c>
      <c r="P328" s="681">
        <f>IF($D328="","",IF($D328&gt;$G328,"↑+2σ突破",IF($D328&lt;$J328,"↓-2σ割れ",IF($D328&gt;$H328,"+1σ上",IF($D328&lt;$I328,"-1σ下","バンド内")))))</f>
      </c>
      <c r="Q328" s="684">
        <f>IF($D328="","",IFERROR(100-100/(1+SUMPRODUCT((終値!E328:R328&gt;終値!F328:S328)*(終値!E328:R328-終値!F328:S328))/SUMPRODUCT((終値!E328:R328&lt;終値!F328:S328)*(終値!F328:S328-終値!E328:R328))),100))</f>
      </c>
      <c r="R328" s="684">
        <f>IF($D328="","",IFERROR(100-100/(1+SUMPRODUCT((((高値!E328:R328+安値!E328:R328+終値!E328:R328)/3)&gt;((高値!F328:S328+安値!F328:S328+終値!F328:S328)/3))*((高値!E328:R328+安値!E328:R328+終値!E328:R328)/3)*出来高!E328:R328)/SUMPRODUCT((((高値!E328:R328+安値!E328:R328+終値!E328:R328)/3)&lt;((高値!F328:S328+安値!F328:S328+終値!F328:S328)/3))*((高値!E328:R328+安値!E328:R328+終値!E328:R328)/3)*出来高!E328:R328)),50))</f>
      </c>
      <c r="S328" s="681">
        <f>IF($D328="","",IF(AND(終値!E328&lt;終値!O328,$Q328&gt;(IFERROR(100-100/(1+SUMPRODUCT((終値!O328:AB328&gt;終値!P328:AC328)*(終値!O328:AB328-終値!P328:AC328))/SUMPRODUCT((終値!O328:AB328&lt;終値!P328:AC328)*(終値!P328:AC328-終値!O328:AB328))),100))),"強気div▲",IF(AND(終値!E328&gt;終値!O328,$Q328&lt;(IFERROR(100-100/(1+SUMPRODUCT((終値!O328:AB328&gt;終値!P328:AC328)*(終値!O328:AB328-終値!P328:AC328))/SUMPRODUCT((終値!O328:AB328&lt;終値!P328:AC328)*(終値!P328:AC328-終値!O328:AB328))),100))),"弱気div▼","－")))</f>
      </c>
      <c r="T328" s="681">
        <f>IF($D328="","",IF($D328&gt;=$H328,"上walk▲",IF($D328&lt;=$I328,"下walk▼","－")))</f>
      </c>
      <c r="U328" s="681">
        <f>IF(終値!A328="","",BB_スイング!BT328)</f>
      </c>
      <c r="V328" s="689">
        <f>IF($D328="","",IFERROR(出来高!E328/AVERAGE(出来高!E328:I328),""))</f>
      </c>
      <c r="W328" s="690">
        <f>IF($D328="","",IF(AND($D328&gt;$G328,$O328="拡大↑",$L328&lt;=$M328*1.8),"◎スクイーズブレイク買",IF(AND($D328&gt;=$H328,$R328&gt;=BB設定!$B$10),"○順張り継続(walk)",IF(AND($S328="強気div▲",$D328&gt;$I328),"○反発(ダイバ)買",IF($U328="二番底W▲","△二番底買(確)",IF($U328="二番底W形成","△二番底形成",IF($D328&lt;$J328,"▼-2σ割れ危険",IF(AND($D328&gt;$E328,$K328&lt;0.6,$R328&gt;=50),"・押し目注目",IF($N328="スクイーズ★","☆スクイーズ監視","様子見")))))))))</f>
      </c>
      <c r="X328" s="685">
        <f>IF($D328="","",MIN(100,IF($L328&lt;=$M328*1.15,20,IF($L328&lt;=$M328*1.4,10,0))+IF($D328&gt;$G328,20,IF($D328&gt;$H328,12,IF($D328&gt;$E328,5,0)))+IF($O328="拡大↑",10,0)+IF($R328&gt;=80,15,IF($R328&gt;=60,10,IF($R328&gt;=50,5,0)))+IF(AND($Q328&gt;=50,$Q328&lt;=70),10,IF($Q328&gt;70,3,IF($Q328&gt;=40,5,0)))+IF($S328="強気div▲",15,0)+IF($T328="上walk▲",5,0)+IF($V328&gt;=2,5,IF($V328&gt;=1.5,3,0))))</f>
      </c>
      <c r="Y328" s="682">
        <f>IF($D328="","",$D328)</f>
      </c>
      <c r="Z328" s="682">
        <f>IF($D328="","",$H328)</f>
      </c>
      <c r="AA328" s="682">
        <f>IF($D328="","",IF($D328&gt;$E328,$E328,$AD328))</f>
      </c>
      <c r="AB328" s="682">
        <f>IF($D328="","",$G328)</f>
      </c>
      <c r="AC328" s="688">
        <f>IF($D328="","",IF(($Y328-$AA328)&lt;=0,"－",IFERROR(ROUND(MIN(20,($AB328-$Y328)/($Y328-$AA328)),2),"－")))</f>
      </c>
      <c r="AD328" s="682">
        <f>IF($D328="","",MIN(終値!E328:I328))</f>
      </c>
      <c r="AE328" s="684">
        <f>IF($D328="","",$X328+(10000-ROW())/100000)</f>
      </c>
    </row>
    <row r="329">
      <c r="A329" s="681">
        <f>IF(終値!A329="","",HYPERLINK("https://kabutan.jp/stock/?code="&amp;終値!A329,"📈"))</f>
      </c>
      <c r="B329" s="681">
        <f>IF(終値!A329="","",終値!A329)</f>
      </c>
      <c r="C329" s="680">
        <f>IF(終値!A329="","",終値!B329)</f>
      </c>
      <c r="D329" s="682">
        <f>IF(終値!A329="","",終値!E329)</f>
      </c>
      <c r="E329" s="682">
        <f>IF($D329="","",AVERAGE(終値!E329:X329))</f>
      </c>
      <c r="F329" s="683">
        <f>IF($D329="","",STDEVP(終値!E329:X329))</f>
      </c>
      <c r="G329" s="682">
        <f>IF($D329="","",$E329+BB設定!$B$4*$F329)</f>
      </c>
      <c r="H329" s="682">
        <f>IF($D329="","",$E329+BB設定!$B$5*$F329)</f>
      </c>
      <c r="I329" s="682">
        <f>IF($D329="","",$E329-BB設定!$B$5*$F329)</f>
      </c>
      <c r="J329" s="682">
        <f>IF($D329="","",$E329-BB設定!$B$4*$F329)</f>
      </c>
      <c r="K329" s="687">
        <f>IF($D329="","",IFERROR(($D329-$J329)/($G329-$J329),""))</f>
      </c>
      <c r="L329" s="686">
        <f>IF($D329="","",IFERROR(($G329-$J329)/$E329*100,""))</f>
      </c>
      <c r="M329" s="686">
        <f>IF($D329="","",IFERROR(MIN(BB_帯幅!B329:AP329)*100,""))</f>
      </c>
      <c r="N329" s="681">
        <f>IF($L329="","",IF($L329&lt;=$M329*BB設定!$B$7,"スクイーズ★",IF($L329&lt;=$M329*1.3,"収縮","－")))</f>
      </c>
      <c r="O329" s="681">
        <f>IF($D329="","",IF($L329&gt;(4*STDEVP(終値!F329:Y329)/AVERAGE(終値!F329:Y329)*100),"拡大↑","縮小↓"))</f>
      </c>
      <c r="P329" s="681">
        <f>IF($D329="","",IF($D329&gt;$G329,"↑+2σ突破",IF($D329&lt;$J329,"↓-2σ割れ",IF($D329&gt;$H329,"+1σ上",IF($D329&lt;$I329,"-1σ下","バンド内")))))</f>
      </c>
      <c r="Q329" s="684">
        <f>IF($D329="","",IFERROR(100-100/(1+SUMPRODUCT((終値!E329:R329&gt;終値!F329:S329)*(終値!E329:R329-終値!F329:S329))/SUMPRODUCT((終値!E329:R329&lt;終値!F329:S329)*(終値!F329:S329-終値!E329:R329))),100))</f>
      </c>
      <c r="R329" s="684">
        <f>IF($D329="","",IFERROR(100-100/(1+SUMPRODUCT((((高値!E329:R329+安値!E329:R329+終値!E329:R329)/3)&gt;((高値!F329:S329+安値!F329:S329+終値!F329:S329)/3))*((高値!E329:R329+安値!E329:R329+終値!E329:R329)/3)*出来高!E329:R329)/SUMPRODUCT((((高値!E329:R329+安値!E329:R329+終値!E329:R329)/3)&lt;((高値!F329:S329+安値!F329:S329+終値!F329:S329)/3))*((高値!E329:R329+安値!E329:R329+終値!E329:R329)/3)*出来高!E329:R329)),50))</f>
      </c>
      <c r="S329" s="681">
        <f>IF($D329="","",IF(AND(終値!E329&lt;終値!O329,$Q329&gt;(IFERROR(100-100/(1+SUMPRODUCT((終値!O329:AB329&gt;終値!P329:AC329)*(終値!O329:AB329-終値!P329:AC329))/SUMPRODUCT((終値!O329:AB329&lt;終値!P329:AC329)*(終値!P329:AC329-終値!O329:AB329))),100))),"強気div▲",IF(AND(終値!E329&gt;終値!O329,$Q329&lt;(IFERROR(100-100/(1+SUMPRODUCT((終値!O329:AB329&gt;終値!P329:AC329)*(終値!O329:AB329-終値!P329:AC329))/SUMPRODUCT((終値!O329:AB329&lt;終値!P329:AC329)*(終値!P329:AC329-終値!O329:AB329))),100))),"弱気div▼","－")))</f>
      </c>
      <c r="T329" s="681">
        <f>IF($D329="","",IF($D329&gt;=$H329,"上walk▲",IF($D329&lt;=$I329,"下walk▼","－")))</f>
      </c>
      <c r="U329" s="681">
        <f>IF(終値!A329="","",BB_スイング!BT329)</f>
      </c>
      <c r="V329" s="689">
        <f>IF($D329="","",IFERROR(出来高!E329/AVERAGE(出来高!E329:I329),""))</f>
      </c>
      <c r="W329" s="690">
        <f>IF($D329="","",IF(AND($D329&gt;$G329,$O329="拡大↑",$L329&lt;=$M329*1.8),"◎スクイーズブレイク買",IF(AND($D329&gt;=$H329,$R329&gt;=BB設定!$B$10),"○順張り継続(walk)",IF(AND($S329="強気div▲",$D329&gt;$I329),"○反発(ダイバ)買",IF($U329="二番底W▲","△二番底買(確)",IF($U329="二番底W形成","△二番底形成",IF($D329&lt;$J329,"▼-2σ割れ危険",IF(AND($D329&gt;$E329,$K329&lt;0.6,$R329&gt;=50),"・押し目注目",IF($N329="スクイーズ★","☆スクイーズ監視","様子見")))))))))</f>
      </c>
      <c r="X329" s="685">
        <f>IF($D329="","",MIN(100,IF($L329&lt;=$M329*1.15,20,IF($L329&lt;=$M329*1.4,10,0))+IF($D329&gt;$G329,20,IF($D329&gt;$H329,12,IF($D329&gt;$E329,5,0)))+IF($O329="拡大↑",10,0)+IF($R329&gt;=80,15,IF($R329&gt;=60,10,IF($R329&gt;=50,5,0)))+IF(AND($Q329&gt;=50,$Q329&lt;=70),10,IF($Q329&gt;70,3,IF($Q329&gt;=40,5,0)))+IF($S329="強気div▲",15,0)+IF($T329="上walk▲",5,0)+IF($V329&gt;=2,5,IF($V329&gt;=1.5,3,0))))</f>
      </c>
      <c r="Y329" s="682">
        <f>IF($D329="","",$D329)</f>
      </c>
      <c r="Z329" s="682">
        <f>IF($D329="","",$H329)</f>
      </c>
      <c r="AA329" s="682">
        <f>IF($D329="","",IF($D329&gt;$E329,$E329,$AD329))</f>
      </c>
      <c r="AB329" s="682">
        <f>IF($D329="","",$G329)</f>
      </c>
      <c r="AC329" s="688">
        <f>IF($D329="","",IF(($Y329-$AA329)&lt;=0,"－",IFERROR(ROUND(MIN(20,($AB329-$Y329)/($Y329-$AA329)),2),"－")))</f>
      </c>
      <c r="AD329" s="682">
        <f>IF($D329="","",MIN(終値!E329:I329))</f>
      </c>
      <c r="AE329" s="684">
        <f>IF($D329="","",$X329+(10000-ROW())/100000)</f>
      </c>
    </row>
    <row r="330">
      <c r="A330" s="681">
        <f>IF(終値!A330="","",HYPERLINK("https://kabutan.jp/stock/?code="&amp;終値!A330,"📈"))</f>
      </c>
      <c r="B330" s="681">
        <f>IF(終値!A330="","",終値!A330)</f>
      </c>
      <c r="C330" s="680">
        <f>IF(終値!A330="","",終値!B330)</f>
      </c>
      <c r="D330" s="682">
        <f>IF(終値!A330="","",終値!E330)</f>
      </c>
      <c r="E330" s="682">
        <f>IF($D330="","",AVERAGE(終値!E330:X330))</f>
      </c>
      <c r="F330" s="683">
        <f>IF($D330="","",STDEVP(終値!E330:X330))</f>
      </c>
      <c r="G330" s="682">
        <f>IF($D330="","",$E330+BB設定!$B$4*$F330)</f>
      </c>
      <c r="H330" s="682">
        <f>IF($D330="","",$E330+BB設定!$B$5*$F330)</f>
      </c>
      <c r="I330" s="682">
        <f>IF($D330="","",$E330-BB設定!$B$5*$F330)</f>
      </c>
      <c r="J330" s="682">
        <f>IF($D330="","",$E330-BB設定!$B$4*$F330)</f>
      </c>
      <c r="K330" s="687">
        <f>IF($D330="","",IFERROR(($D330-$J330)/($G330-$J330),""))</f>
      </c>
      <c r="L330" s="686">
        <f>IF($D330="","",IFERROR(($G330-$J330)/$E330*100,""))</f>
      </c>
      <c r="M330" s="686">
        <f>IF($D330="","",IFERROR(MIN(BB_帯幅!B330:AP330)*100,""))</f>
      </c>
      <c r="N330" s="681">
        <f>IF($L330="","",IF($L330&lt;=$M330*BB設定!$B$7,"スクイーズ★",IF($L330&lt;=$M330*1.3,"収縮","－")))</f>
      </c>
      <c r="O330" s="681">
        <f>IF($D330="","",IF($L330&gt;(4*STDEVP(終値!F330:Y330)/AVERAGE(終値!F330:Y330)*100),"拡大↑","縮小↓"))</f>
      </c>
      <c r="P330" s="681">
        <f>IF($D330="","",IF($D330&gt;$G330,"↑+2σ突破",IF($D330&lt;$J330,"↓-2σ割れ",IF($D330&gt;$H330,"+1σ上",IF($D330&lt;$I330,"-1σ下","バンド内")))))</f>
      </c>
      <c r="Q330" s="684">
        <f>IF($D330="","",IFERROR(100-100/(1+SUMPRODUCT((終値!E330:R330&gt;終値!F330:S330)*(終値!E330:R330-終値!F330:S330))/SUMPRODUCT((終値!E330:R330&lt;終値!F330:S330)*(終値!F330:S330-終値!E330:R330))),100))</f>
      </c>
      <c r="R330" s="684">
        <f>IF($D330="","",IFERROR(100-100/(1+SUMPRODUCT((((高値!E330:R330+安値!E330:R330+終値!E330:R330)/3)&gt;((高値!F330:S330+安値!F330:S330+終値!F330:S330)/3))*((高値!E330:R330+安値!E330:R330+終値!E330:R330)/3)*出来高!E330:R330)/SUMPRODUCT((((高値!E330:R330+安値!E330:R330+終値!E330:R330)/3)&lt;((高値!F330:S330+安値!F330:S330+終値!F330:S330)/3))*((高値!E330:R330+安値!E330:R330+終値!E330:R330)/3)*出来高!E330:R330)),50))</f>
      </c>
      <c r="S330" s="681">
        <f>IF($D330="","",IF(AND(終値!E330&lt;終値!O330,$Q330&gt;(IFERROR(100-100/(1+SUMPRODUCT((終値!O330:AB330&gt;終値!P330:AC330)*(終値!O330:AB330-終値!P330:AC330))/SUMPRODUCT((終値!O330:AB330&lt;終値!P330:AC330)*(終値!P330:AC330-終値!O330:AB330))),100))),"強気div▲",IF(AND(終値!E330&gt;終値!O330,$Q330&lt;(IFERROR(100-100/(1+SUMPRODUCT((終値!O330:AB330&gt;終値!P330:AC330)*(終値!O330:AB330-終値!P330:AC330))/SUMPRODUCT((終値!O330:AB330&lt;終値!P330:AC330)*(終値!P330:AC330-終値!O330:AB330))),100))),"弱気div▼","－")))</f>
      </c>
      <c r="T330" s="681">
        <f>IF($D330="","",IF($D330&gt;=$H330,"上walk▲",IF($D330&lt;=$I330,"下walk▼","－")))</f>
      </c>
      <c r="U330" s="681">
        <f>IF(終値!A330="","",BB_スイング!BT330)</f>
      </c>
      <c r="V330" s="689">
        <f>IF($D330="","",IFERROR(出来高!E330/AVERAGE(出来高!E330:I330),""))</f>
      </c>
      <c r="W330" s="690">
        <f>IF($D330="","",IF(AND($D330&gt;$G330,$O330="拡大↑",$L330&lt;=$M330*1.8),"◎スクイーズブレイク買",IF(AND($D330&gt;=$H330,$R330&gt;=BB設定!$B$10),"○順張り継続(walk)",IF(AND($S330="強気div▲",$D330&gt;$I330),"○反発(ダイバ)買",IF($U330="二番底W▲","△二番底買(確)",IF($U330="二番底W形成","△二番底形成",IF($D330&lt;$J330,"▼-2σ割れ危険",IF(AND($D330&gt;$E330,$K330&lt;0.6,$R330&gt;=50),"・押し目注目",IF($N330="スクイーズ★","☆スクイーズ監視","様子見")))))))))</f>
      </c>
      <c r="X330" s="685">
        <f>IF($D330="","",MIN(100,IF($L330&lt;=$M330*1.15,20,IF($L330&lt;=$M330*1.4,10,0))+IF($D330&gt;$G330,20,IF($D330&gt;$H330,12,IF($D330&gt;$E330,5,0)))+IF($O330="拡大↑",10,0)+IF($R330&gt;=80,15,IF($R330&gt;=60,10,IF($R330&gt;=50,5,0)))+IF(AND($Q330&gt;=50,$Q330&lt;=70),10,IF($Q330&gt;70,3,IF($Q330&gt;=40,5,0)))+IF($S330="強気div▲",15,0)+IF($T330="上walk▲",5,0)+IF($V330&gt;=2,5,IF($V330&gt;=1.5,3,0))))</f>
      </c>
      <c r="Y330" s="682">
        <f>IF($D330="","",$D330)</f>
      </c>
      <c r="Z330" s="682">
        <f>IF($D330="","",$H330)</f>
      </c>
      <c r="AA330" s="682">
        <f>IF($D330="","",IF($D330&gt;$E330,$E330,$AD330))</f>
      </c>
      <c r="AB330" s="682">
        <f>IF($D330="","",$G330)</f>
      </c>
      <c r="AC330" s="688">
        <f>IF($D330="","",IF(($Y330-$AA330)&lt;=0,"－",IFERROR(ROUND(MIN(20,($AB330-$Y330)/($Y330-$AA330)),2),"－")))</f>
      </c>
      <c r="AD330" s="682">
        <f>IF($D330="","",MIN(終値!E330:I330))</f>
      </c>
      <c r="AE330" s="684">
        <f>IF($D330="","",$X330+(10000-ROW())/100000)</f>
      </c>
    </row>
    <row r="331">
      <c r="A331" s="681">
        <f>IF(終値!A331="","",HYPERLINK("https://kabutan.jp/stock/?code="&amp;終値!A331,"📈"))</f>
      </c>
      <c r="B331" s="681">
        <f>IF(終値!A331="","",終値!A331)</f>
      </c>
      <c r="C331" s="680">
        <f>IF(終値!A331="","",終値!B331)</f>
      </c>
      <c r="D331" s="682">
        <f>IF(終値!A331="","",終値!E331)</f>
      </c>
      <c r="E331" s="682">
        <f>IF($D331="","",AVERAGE(終値!E331:X331))</f>
      </c>
      <c r="F331" s="683">
        <f>IF($D331="","",STDEVP(終値!E331:X331))</f>
      </c>
      <c r="G331" s="682">
        <f>IF($D331="","",$E331+BB設定!$B$4*$F331)</f>
      </c>
      <c r="H331" s="682">
        <f>IF($D331="","",$E331+BB設定!$B$5*$F331)</f>
      </c>
      <c r="I331" s="682">
        <f>IF($D331="","",$E331-BB設定!$B$5*$F331)</f>
      </c>
      <c r="J331" s="682">
        <f>IF($D331="","",$E331-BB設定!$B$4*$F331)</f>
      </c>
      <c r="K331" s="687">
        <f>IF($D331="","",IFERROR(($D331-$J331)/($G331-$J331),""))</f>
      </c>
      <c r="L331" s="686">
        <f>IF($D331="","",IFERROR(($G331-$J331)/$E331*100,""))</f>
      </c>
      <c r="M331" s="686">
        <f>IF($D331="","",IFERROR(MIN(BB_帯幅!B331:AP331)*100,""))</f>
      </c>
      <c r="N331" s="681">
        <f>IF($L331="","",IF($L331&lt;=$M331*BB設定!$B$7,"スクイーズ★",IF($L331&lt;=$M331*1.3,"収縮","－")))</f>
      </c>
      <c r="O331" s="681">
        <f>IF($D331="","",IF($L331&gt;(4*STDEVP(終値!F331:Y331)/AVERAGE(終値!F331:Y331)*100),"拡大↑","縮小↓"))</f>
      </c>
      <c r="P331" s="681">
        <f>IF($D331="","",IF($D331&gt;$G331,"↑+2σ突破",IF($D331&lt;$J331,"↓-2σ割れ",IF($D331&gt;$H331,"+1σ上",IF($D331&lt;$I331,"-1σ下","バンド内")))))</f>
      </c>
      <c r="Q331" s="684">
        <f>IF($D331="","",IFERROR(100-100/(1+SUMPRODUCT((終値!E331:R331&gt;終値!F331:S331)*(終値!E331:R331-終値!F331:S331))/SUMPRODUCT((終値!E331:R331&lt;終値!F331:S331)*(終値!F331:S331-終値!E331:R331))),100))</f>
      </c>
      <c r="R331" s="684">
        <f>IF($D331="","",IFERROR(100-100/(1+SUMPRODUCT((((高値!E331:R331+安値!E331:R331+終値!E331:R331)/3)&gt;((高値!F331:S331+安値!F331:S331+終値!F331:S331)/3))*((高値!E331:R331+安値!E331:R331+終値!E331:R331)/3)*出来高!E331:R331)/SUMPRODUCT((((高値!E331:R331+安値!E331:R331+終値!E331:R331)/3)&lt;((高値!F331:S331+安値!F331:S331+終値!F331:S331)/3))*((高値!E331:R331+安値!E331:R331+終値!E331:R331)/3)*出来高!E331:R331)),50))</f>
      </c>
      <c r="S331" s="681">
        <f>IF($D331="","",IF(AND(終値!E331&lt;終値!O331,$Q331&gt;(IFERROR(100-100/(1+SUMPRODUCT((終値!O331:AB331&gt;終値!P331:AC331)*(終値!O331:AB331-終値!P331:AC331))/SUMPRODUCT((終値!O331:AB331&lt;終値!P331:AC331)*(終値!P331:AC331-終値!O331:AB331))),100))),"強気div▲",IF(AND(終値!E331&gt;終値!O331,$Q331&lt;(IFERROR(100-100/(1+SUMPRODUCT((終値!O331:AB331&gt;終値!P331:AC331)*(終値!O331:AB331-終値!P331:AC331))/SUMPRODUCT((終値!O331:AB331&lt;終値!P331:AC331)*(終値!P331:AC331-終値!O331:AB331))),100))),"弱気div▼","－")))</f>
      </c>
      <c r="T331" s="681">
        <f>IF($D331="","",IF($D331&gt;=$H331,"上walk▲",IF($D331&lt;=$I331,"下walk▼","－")))</f>
      </c>
      <c r="U331" s="681">
        <f>IF(終値!A331="","",BB_スイング!BT331)</f>
      </c>
      <c r="V331" s="689">
        <f>IF($D331="","",IFERROR(出来高!E331/AVERAGE(出来高!E331:I331),""))</f>
      </c>
      <c r="W331" s="690">
        <f>IF($D331="","",IF(AND($D331&gt;$G331,$O331="拡大↑",$L331&lt;=$M331*1.8),"◎スクイーズブレイク買",IF(AND($D331&gt;=$H331,$R331&gt;=BB設定!$B$10),"○順張り継続(walk)",IF(AND($S331="強気div▲",$D331&gt;$I331),"○反発(ダイバ)買",IF($U331="二番底W▲","△二番底買(確)",IF($U331="二番底W形成","△二番底形成",IF($D331&lt;$J331,"▼-2σ割れ危険",IF(AND($D331&gt;$E331,$K331&lt;0.6,$R331&gt;=50),"・押し目注目",IF($N331="スクイーズ★","☆スクイーズ監視","様子見")))))))))</f>
      </c>
      <c r="X331" s="685">
        <f>IF($D331="","",MIN(100,IF($L331&lt;=$M331*1.15,20,IF($L331&lt;=$M331*1.4,10,0))+IF($D331&gt;$G331,20,IF($D331&gt;$H331,12,IF($D331&gt;$E331,5,0)))+IF($O331="拡大↑",10,0)+IF($R331&gt;=80,15,IF($R331&gt;=60,10,IF($R331&gt;=50,5,0)))+IF(AND($Q331&gt;=50,$Q331&lt;=70),10,IF($Q331&gt;70,3,IF($Q331&gt;=40,5,0)))+IF($S331="強気div▲",15,0)+IF($T331="上walk▲",5,0)+IF($V331&gt;=2,5,IF($V331&gt;=1.5,3,0))))</f>
      </c>
      <c r="Y331" s="682">
        <f>IF($D331="","",$D331)</f>
      </c>
      <c r="Z331" s="682">
        <f>IF($D331="","",$H331)</f>
      </c>
      <c r="AA331" s="682">
        <f>IF($D331="","",IF($D331&gt;$E331,$E331,$AD331))</f>
      </c>
      <c r="AB331" s="682">
        <f>IF($D331="","",$G331)</f>
      </c>
      <c r="AC331" s="688">
        <f>IF($D331="","",IF(($Y331-$AA331)&lt;=0,"－",IFERROR(ROUND(MIN(20,($AB331-$Y331)/($Y331-$AA331)),2),"－")))</f>
      </c>
      <c r="AD331" s="682">
        <f>IF($D331="","",MIN(終値!E331:I331))</f>
      </c>
      <c r="AE331" s="684">
        <f>IF($D331="","",$X331+(10000-ROW())/100000)</f>
      </c>
    </row>
    <row r="332">
      <c r="A332" s="681">
        <f>IF(終値!A332="","",HYPERLINK("https://kabutan.jp/stock/?code="&amp;終値!A332,"📈"))</f>
      </c>
      <c r="B332" s="681">
        <f>IF(終値!A332="","",終値!A332)</f>
      </c>
      <c r="C332" s="680">
        <f>IF(終値!A332="","",終値!B332)</f>
      </c>
      <c r="D332" s="682">
        <f>IF(終値!A332="","",終値!E332)</f>
      </c>
      <c r="E332" s="682">
        <f>IF($D332="","",AVERAGE(終値!E332:X332))</f>
      </c>
      <c r="F332" s="683">
        <f>IF($D332="","",STDEVP(終値!E332:X332))</f>
      </c>
      <c r="G332" s="682">
        <f>IF($D332="","",$E332+BB設定!$B$4*$F332)</f>
      </c>
      <c r="H332" s="682">
        <f>IF($D332="","",$E332+BB設定!$B$5*$F332)</f>
      </c>
      <c r="I332" s="682">
        <f>IF($D332="","",$E332-BB設定!$B$5*$F332)</f>
      </c>
      <c r="J332" s="682">
        <f>IF($D332="","",$E332-BB設定!$B$4*$F332)</f>
      </c>
      <c r="K332" s="687">
        <f>IF($D332="","",IFERROR(($D332-$J332)/($G332-$J332),""))</f>
      </c>
      <c r="L332" s="686">
        <f>IF($D332="","",IFERROR(($G332-$J332)/$E332*100,""))</f>
      </c>
      <c r="M332" s="686">
        <f>IF($D332="","",IFERROR(MIN(BB_帯幅!B332:AP332)*100,""))</f>
      </c>
      <c r="N332" s="681">
        <f>IF($L332="","",IF($L332&lt;=$M332*BB設定!$B$7,"スクイーズ★",IF($L332&lt;=$M332*1.3,"収縮","－")))</f>
      </c>
      <c r="O332" s="681">
        <f>IF($D332="","",IF($L332&gt;(4*STDEVP(終値!F332:Y332)/AVERAGE(終値!F332:Y332)*100),"拡大↑","縮小↓"))</f>
      </c>
      <c r="P332" s="681">
        <f>IF($D332="","",IF($D332&gt;$G332,"↑+2σ突破",IF($D332&lt;$J332,"↓-2σ割れ",IF($D332&gt;$H332,"+1σ上",IF($D332&lt;$I332,"-1σ下","バンド内")))))</f>
      </c>
      <c r="Q332" s="684">
        <f>IF($D332="","",IFERROR(100-100/(1+SUMPRODUCT((終値!E332:R332&gt;終値!F332:S332)*(終値!E332:R332-終値!F332:S332))/SUMPRODUCT((終値!E332:R332&lt;終値!F332:S332)*(終値!F332:S332-終値!E332:R332))),100))</f>
      </c>
      <c r="R332" s="684">
        <f>IF($D332="","",IFERROR(100-100/(1+SUMPRODUCT((((高値!E332:R332+安値!E332:R332+終値!E332:R332)/3)&gt;((高値!F332:S332+安値!F332:S332+終値!F332:S332)/3))*((高値!E332:R332+安値!E332:R332+終値!E332:R332)/3)*出来高!E332:R332)/SUMPRODUCT((((高値!E332:R332+安値!E332:R332+終値!E332:R332)/3)&lt;((高値!F332:S332+安値!F332:S332+終値!F332:S332)/3))*((高値!E332:R332+安値!E332:R332+終値!E332:R332)/3)*出来高!E332:R332)),50))</f>
      </c>
      <c r="S332" s="681">
        <f>IF($D332="","",IF(AND(終値!E332&lt;終値!O332,$Q332&gt;(IFERROR(100-100/(1+SUMPRODUCT((終値!O332:AB332&gt;終値!P332:AC332)*(終値!O332:AB332-終値!P332:AC332))/SUMPRODUCT((終値!O332:AB332&lt;終値!P332:AC332)*(終値!P332:AC332-終値!O332:AB332))),100))),"強気div▲",IF(AND(終値!E332&gt;終値!O332,$Q332&lt;(IFERROR(100-100/(1+SUMPRODUCT((終値!O332:AB332&gt;終値!P332:AC332)*(終値!O332:AB332-終値!P332:AC332))/SUMPRODUCT((終値!O332:AB332&lt;終値!P332:AC332)*(終値!P332:AC332-終値!O332:AB332))),100))),"弱気div▼","－")))</f>
      </c>
      <c r="T332" s="681">
        <f>IF($D332="","",IF($D332&gt;=$H332,"上walk▲",IF($D332&lt;=$I332,"下walk▼","－")))</f>
      </c>
      <c r="U332" s="681">
        <f>IF(終値!A332="","",BB_スイング!BT332)</f>
      </c>
      <c r="V332" s="689">
        <f>IF($D332="","",IFERROR(出来高!E332/AVERAGE(出来高!E332:I332),""))</f>
      </c>
      <c r="W332" s="690">
        <f>IF($D332="","",IF(AND($D332&gt;$G332,$O332="拡大↑",$L332&lt;=$M332*1.8),"◎スクイーズブレイク買",IF(AND($D332&gt;=$H332,$R332&gt;=BB設定!$B$10),"○順張り継続(walk)",IF(AND($S332="強気div▲",$D332&gt;$I332),"○反発(ダイバ)買",IF($U332="二番底W▲","△二番底買(確)",IF($U332="二番底W形成","△二番底形成",IF($D332&lt;$J332,"▼-2σ割れ危険",IF(AND($D332&gt;$E332,$K332&lt;0.6,$R332&gt;=50),"・押し目注目",IF($N332="スクイーズ★","☆スクイーズ監視","様子見")))))))))</f>
      </c>
      <c r="X332" s="685">
        <f>IF($D332="","",MIN(100,IF($L332&lt;=$M332*1.15,20,IF($L332&lt;=$M332*1.4,10,0))+IF($D332&gt;$G332,20,IF($D332&gt;$H332,12,IF($D332&gt;$E332,5,0)))+IF($O332="拡大↑",10,0)+IF($R332&gt;=80,15,IF($R332&gt;=60,10,IF($R332&gt;=50,5,0)))+IF(AND($Q332&gt;=50,$Q332&lt;=70),10,IF($Q332&gt;70,3,IF($Q332&gt;=40,5,0)))+IF($S332="強気div▲",15,0)+IF($T332="上walk▲",5,0)+IF($V332&gt;=2,5,IF($V332&gt;=1.5,3,0))))</f>
      </c>
      <c r="Y332" s="682">
        <f>IF($D332="","",$D332)</f>
      </c>
      <c r="Z332" s="682">
        <f>IF($D332="","",$H332)</f>
      </c>
      <c r="AA332" s="682">
        <f>IF($D332="","",IF($D332&gt;$E332,$E332,$AD332))</f>
      </c>
      <c r="AB332" s="682">
        <f>IF($D332="","",$G332)</f>
      </c>
      <c r="AC332" s="688">
        <f>IF($D332="","",IF(($Y332-$AA332)&lt;=0,"－",IFERROR(ROUND(MIN(20,($AB332-$Y332)/($Y332-$AA332)),2),"－")))</f>
      </c>
      <c r="AD332" s="682">
        <f>IF($D332="","",MIN(終値!E332:I332))</f>
      </c>
      <c r="AE332" s="684">
        <f>IF($D332="","",$X332+(10000-ROW())/100000)</f>
      </c>
    </row>
    <row r="333">
      <c r="A333" s="681">
        <f>IF(終値!A333="","",HYPERLINK("https://kabutan.jp/stock/?code="&amp;終値!A333,"📈"))</f>
      </c>
      <c r="B333" s="681">
        <f>IF(終値!A333="","",終値!A333)</f>
      </c>
      <c r="C333" s="680">
        <f>IF(終値!A333="","",終値!B333)</f>
      </c>
      <c r="D333" s="682">
        <f>IF(終値!A333="","",終値!E333)</f>
      </c>
      <c r="E333" s="682">
        <f>IF($D333="","",AVERAGE(終値!E333:X333))</f>
      </c>
      <c r="F333" s="683">
        <f>IF($D333="","",STDEVP(終値!E333:X333))</f>
      </c>
      <c r="G333" s="682">
        <f>IF($D333="","",$E333+BB設定!$B$4*$F333)</f>
      </c>
      <c r="H333" s="682">
        <f>IF($D333="","",$E333+BB設定!$B$5*$F333)</f>
      </c>
      <c r="I333" s="682">
        <f>IF($D333="","",$E333-BB設定!$B$5*$F333)</f>
      </c>
      <c r="J333" s="682">
        <f>IF($D333="","",$E333-BB設定!$B$4*$F333)</f>
      </c>
      <c r="K333" s="687">
        <f>IF($D333="","",IFERROR(($D333-$J333)/($G333-$J333),""))</f>
      </c>
      <c r="L333" s="686">
        <f>IF($D333="","",IFERROR(($G333-$J333)/$E333*100,""))</f>
      </c>
      <c r="M333" s="686">
        <f>IF($D333="","",IFERROR(MIN(BB_帯幅!B333:AP333)*100,""))</f>
      </c>
      <c r="N333" s="681">
        <f>IF($L333="","",IF($L333&lt;=$M333*BB設定!$B$7,"スクイーズ★",IF($L333&lt;=$M333*1.3,"収縮","－")))</f>
      </c>
      <c r="O333" s="681">
        <f>IF($D333="","",IF($L333&gt;(4*STDEVP(終値!F333:Y333)/AVERAGE(終値!F333:Y333)*100),"拡大↑","縮小↓"))</f>
      </c>
      <c r="P333" s="681">
        <f>IF($D333="","",IF($D333&gt;$G333,"↑+2σ突破",IF($D333&lt;$J333,"↓-2σ割れ",IF($D333&gt;$H333,"+1σ上",IF($D333&lt;$I333,"-1σ下","バンド内")))))</f>
      </c>
      <c r="Q333" s="684">
        <f>IF($D333="","",IFERROR(100-100/(1+SUMPRODUCT((終値!E333:R333&gt;終値!F333:S333)*(終値!E333:R333-終値!F333:S333))/SUMPRODUCT((終値!E333:R333&lt;終値!F333:S333)*(終値!F333:S333-終値!E333:R333))),100))</f>
      </c>
      <c r="R333" s="684">
        <f>IF($D333="","",IFERROR(100-100/(1+SUMPRODUCT((((高値!E333:R333+安値!E333:R333+終値!E333:R333)/3)&gt;((高値!F333:S333+安値!F333:S333+終値!F333:S333)/3))*((高値!E333:R333+安値!E333:R333+終値!E333:R333)/3)*出来高!E333:R333)/SUMPRODUCT((((高値!E333:R333+安値!E333:R333+終値!E333:R333)/3)&lt;((高値!F333:S333+安値!F333:S333+終値!F333:S333)/3))*((高値!E333:R333+安値!E333:R333+終値!E333:R333)/3)*出来高!E333:R333)),50))</f>
      </c>
      <c r="S333" s="681">
        <f>IF($D333="","",IF(AND(終値!E333&lt;終値!O333,$Q333&gt;(IFERROR(100-100/(1+SUMPRODUCT((終値!O333:AB333&gt;終値!P333:AC333)*(終値!O333:AB333-終値!P333:AC333))/SUMPRODUCT((終値!O333:AB333&lt;終値!P333:AC333)*(終値!P333:AC333-終値!O333:AB333))),100))),"強気div▲",IF(AND(終値!E333&gt;終値!O333,$Q333&lt;(IFERROR(100-100/(1+SUMPRODUCT((終値!O333:AB333&gt;終値!P333:AC333)*(終値!O333:AB333-終値!P333:AC333))/SUMPRODUCT((終値!O333:AB333&lt;終値!P333:AC333)*(終値!P333:AC333-終値!O333:AB333))),100))),"弱気div▼","－")))</f>
      </c>
      <c r="T333" s="681">
        <f>IF($D333="","",IF($D333&gt;=$H333,"上walk▲",IF($D333&lt;=$I333,"下walk▼","－")))</f>
      </c>
      <c r="U333" s="681">
        <f>IF(終値!A333="","",BB_スイング!BT333)</f>
      </c>
      <c r="V333" s="689">
        <f>IF($D333="","",IFERROR(出来高!E333/AVERAGE(出来高!E333:I333),""))</f>
      </c>
      <c r="W333" s="690">
        <f>IF($D333="","",IF(AND($D333&gt;$G333,$O333="拡大↑",$L333&lt;=$M333*1.8),"◎スクイーズブレイク買",IF(AND($D333&gt;=$H333,$R333&gt;=BB設定!$B$10),"○順張り継続(walk)",IF(AND($S333="強気div▲",$D333&gt;$I333),"○反発(ダイバ)買",IF($U333="二番底W▲","△二番底買(確)",IF($U333="二番底W形成","△二番底形成",IF($D333&lt;$J333,"▼-2σ割れ危険",IF(AND($D333&gt;$E333,$K333&lt;0.6,$R333&gt;=50),"・押し目注目",IF($N333="スクイーズ★","☆スクイーズ監視","様子見")))))))))</f>
      </c>
      <c r="X333" s="685">
        <f>IF($D333="","",MIN(100,IF($L333&lt;=$M333*1.15,20,IF($L333&lt;=$M333*1.4,10,0))+IF($D333&gt;$G333,20,IF($D333&gt;$H333,12,IF($D333&gt;$E333,5,0)))+IF($O333="拡大↑",10,0)+IF($R333&gt;=80,15,IF($R333&gt;=60,10,IF($R333&gt;=50,5,0)))+IF(AND($Q333&gt;=50,$Q333&lt;=70),10,IF($Q333&gt;70,3,IF($Q333&gt;=40,5,0)))+IF($S333="強気div▲",15,0)+IF($T333="上walk▲",5,0)+IF($V333&gt;=2,5,IF($V333&gt;=1.5,3,0))))</f>
      </c>
      <c r="Y333" s="682">
        <f>IF($D333="","",$D333)</f>
      </c>
      <c r="Z333" s="682">
        <f>IF($D333="","",$H333)</f>
      </c>
      <c r="AA333" s="682">
        <f>IF($D333="","",IF($D333&gt;$E333,$E333,$AD333))</f>
      </c>
      <c r="AB333" s="682">
        <f>IF($D333="","",$G333)</f>
      </c>
      <c r="AC333" s="688">
        <f>IF($D333="","",IF(($Y333-$AA333)&lt;=0,"－",IFERROR(ROUND(MIN(20,($AB333-$Y333)/($Y333-$AA333)),2),"－")))</f>
      </c>
      <c r="AD333" s="682">
        <f>IF($D333="","",MIN(終値!E333:I333))</f>
      </c>
      <c r="AE333" s="684">
        <f>IF($D333="","",$X333+(10000-ROW())/100000)</f>
      </c>
    </row>
    <row r="334">
      <c r="A334" s="681">
        <f>IF(終値!A334="","",HYPERLINK("https://kabutan.jp/stock/?code="&amp;終値!A334,"📈"))</f>
      </c>
      <c r="B334" s="681">
        <f>IF(終値!A334="","",終値!A334)</f>
      </c>
      <c r="C334" s="680">
        <f>IF(終値!A334="","",終値!B334)</f>
      </c>
      <c r="D334" s="682">
        <f>IF(終値!A334="","",終値!E334)</f>
      </c>
      <c r="E334" s="682">
        <f>IF($D334="","",AVERAGE(終値!E334:X334))</f>
      </c>
      <c r="F334" s="683">
        <f>IF($D334="","",STDEVP(終値!E334:X334))</f>
      </c>
      <c r="G334" s="682">
        <f>IF($D334="","",$E334+BB設定!$B$4*$F334)</f>
      </c>
      <c r="H334" s="682">
        <f>IF($D334="","",$E334+BB設定!$B$5*$F334)</f>
      </c>
      <c r="I334" s="682">
        <f>IF($D334="","",$E334-BB設定!$B$5*$F334)</f>
      </c>
      <c r="J334" s="682">
        <f>IF($D334="","",$E334-BB設定!$B$4*$F334)</f>
      </c>
      <c r="K334" s="687">
        <f>IF($D334="","",IFERROR(($D334-$J334)/($G334-$J334),""))</f>
      </c>
      <c r="L334" s="686">
        <f>IF($D334="","",IFERROR(($G334-$J334)/$E334*100,""))</f>
      </c>
      <c r="M334" s="686">
        <f>IF($D334="","",IFERROR(MIN(BB_帯幅!B334:AP334)*100,""))</f>
      </c>
      <c r="N334" s="681">
        <f>IF($L334="","",IF($L334&lt;=$M334*BB設定!$B$7,"スクイーズ★",IF($L334&lt;=$M334*1.3,"収縮","－")))</f>
      </c>
      <c r="O334" s="681">
        <f>IF($D334="","",IF($L334&gt;(4*STDEVP(終値!F334:Y334)/AVERAGE(終値!F334:Y334)*100),"拡大↑","縮小↓"))</f>
      </c>
      <c r="P334" s="681">
        <f>IF($D334="","",IF($D334&gt;$G334,"↑+2σ突破",IF($D334&lt;$J334,"↓-2σ割れ",IF($D334&gt;$H334,"+1σ上",IF($D334&lt;$I334,"-1σ下","バンド内")))))</f>
      </c>
      <c r="Q334" s="684">
        <f>IF($D334="","",IFERROR(100-100/(1+SUMPRODUCT((終値!E334:R334&gt;終値!F334:S334)*(終値!E334:R334-終値!F334:S334))/SUMPRODUCT((終値!E334:R334&lt;終値!F334:S334)*(終値!F334:S334-終値!E334:R334))),100))</f>
      </c>
      <c r="R334" s="684">
        <f>IF($D334="","",IFERROR(100-100/(1+SUMPRODUCT((((高値!E334:R334+安値!E334:R334+終値!E334:R334)/3)&gt;((高値!F334:S334+安値!F334:S334+終値!F334:S334)/3))*((高値!E334:R334+安値!E334:R334+終値!E334:R334)/3)*出来高!E334:R334)/SUMPRODUCT((((高値!E334:R334+安値!E334:R334+終値!E334:R334)/3)&lt;((高値!F334:S334+安値!F334:S334+終値!F334:S334)/3))*((高値!E334:R334+安値!E334:R334+終値!E334:R334)/3)*出来高!E334:R334)),50))</f>
      </c>
      <c r="S334" s="681">
        <f>IF($D334="","",IF(AND(終値!E334&lt;終値!O334,$Q334&gt;(IFERROR(100-100/(1+SUMPRODUCT((終値!O334:AB334&gt;終値!P334:AC334)*(終値!O334:AB334-終値!P334:AC334))/SUMPRODUCT((終値!O334:AB334&lt;終値!P334:AC334)*(終値!P334:AC334-終値!O334:AB334))),100))),"強気div▲",IF(AND(終値!E334&gt;終値!O334,$Q334&lt;(IFERROR(100-100/(1+SUMPRODUCT((終値!O334:AB334&gt;終値!P334:AC334)*(終値!O334:AB334-終値!P334:AC334))/SUMPRODUCT((終値!O334:AB334&lt;終値!P334:AC334)*(終値!P334:AC334-終値!O334:AB334))),100))),"弱気div▼","－")))</f>
      </c>
      <c r="T334" s="681">
        <f>IF($D334="","",IF($D334&gt;=$H334,"上walk▲",IF($D334&lt;=$I334,"下walk▼","－")))</f>
      </c>
      <c r="U334" s="681">
        <f>IF(終値!A334="","",BB_スイング!BT334)</f>
      </c>
      <c r="V334" s="689">
        <f>IF($D334="","",IFERROR(出来高!E334/AVERAGE(出来高!E334:I334),""))</f>
      </c>
      <c r="W334" s="690">
        <f>IF($D334="","",IF(AND($D334&gt;$G334,$O334="拡大↑",$L334&lt;=$M334*1.8),"◎スクイーズブレイク買",IF(AND($D334&gt;=$H334,$R334&gt;=BB設定!$B$10),"○順張り継続(walk)",IF(AND($S334="強気div▲",$D334&gt;$I334),"○反発(ダイバ)買",IF($U334="二番底W▲","△二番底買(確)",IF($U334="二番底W形成","△二番底形成",IF($D334&lt;$J334,"▼-2σ割れ危険",IF(AND($D334&gt;$E334,$K334&lt;0.6,$R334&gt;=50),"・押し目注目",IF($N334="スクイーズ★","☆スクイーズ監視","様子見")))))))))</f>
      </c>
      <c r="X334" s="685">
        <f>IF($D334="","",MIN(100,IF($L334&lt;=$M334*1.15,20,IF($L334&lt;=$M334*1.4,10,0))+IF($D334&gt;$G334,20,IF($D334&gt;$H334,12,IF($D334&gt;$E334,5,0)))+IF($O334="拡大↑",10,0)+IF($R334&gt;=80,15,IF($R334&gt;=60,10,IF($R334&gt;=50,5,0)))+IF(AND($Q334&gt;=50,$Q334&lt;=70),10,IF($Q334&gt;70,3,IF($Q334&gt;=40,5,0)))+IF($S334="強気div▲",15,0)+IF($T334="上walk▲",5,0)+IF($V334&gt;=2,5,IF($V334&gt;=1.5,3,0))))</f>
      </c>
      <c r="Y334" s="682">
        <f>IF($D334="","",$D334)</f>
      </c>
      <c r="Z334" s="682">
        <f>IF($D334="","",$H334)</f>
      </c>
      <c r="AA334" s="682">
        <f>IF($D334="","",IF($D334&gt;$E334,$E334,$AD334))</f>
      </c>
      <c r="AB334" s="682">
        <f>IF($D334="","",$G334)</f>
      </c>
      <c r="AC334" s="688">
        <f>IF($D334="","",IF(($Y334-$AA334)&lt;=0,"－",IFERROR(ROUND(MIN(20,($AB334-$Y334)/($Y334-$AA334)),2),"－")))</f>
      </c>
      <c r="AD334" s="682">
        <f>IF($D334="","",MIN(終値!E334:I334))</f>
      </c>
      <c r="AE334" s="684">
        <f>IF($D334="","",$X334+(10000-ROW())/100000)</f>
      </c>
    </row>
    <row r="335">
      <c r="A335" s="681">
        <f>IF(終値!A335="","",HYPERLINK("https://kabutan.jp/stock/?code="&amp;終値!A335,"📈"))</f>
      </c>
      <c r="B335" s="681">
        <f>IF(終値!A335="","",終値!A335)</f>
      </c>
      <c r="C335" s="680">
        <f>IF(終値!A335="","",終値!B335)</f>
      </c>
      <c r="D335" s="682">
        <f>IF(終値!A335="","",終値!E335)</f>
      </c>
      <c r="E335" s="682">
        <f>IF($D335="","",AVERAGE(終値!E335:X335))</f>
      </c>
      <c r="F335" s="683">
        <f>IF($D335="","",STDEVP(終値!E335:X335))</f>
      </c>
      <c r="G335" s="682">
        <f>IF($D335="","",$E335+BB設定!$B$4*$F335)</f>
      </c>
      <c r="H335" s="682">
        <f>IF($D335="","",$E335+BB設定!$B$5*$F335)</f>
      </c>
      <c r="I335" s="682">
        <f>IF($D335="","",$E335-BB設定!$B$5*$F335)</f>
      </c>
      <c r="J335" s="682">
        <f>IF($D335="","",$E335-BB設定!$B$4*$F335)</f>
      </c>
      <c r="K335" s="687">
        <f>IF($D335="","",IFERROR(($D335-$J335)/($G335-$J335),""))</f>
      </c>
      <c r="L335" s="686">
        <f>IF($D335="","",IFERROR(($G335-$J335)/$E335*100,""))</f>
      </c>
      <c r="M335" s="686">
        <f>IF($D335="","",IFERROR(MIN(BB_帯幅!B335:AP335)*100,""))</f>
      </c>
      <c r="N335" s="681">
        <f>IF($L335="","",IF($L335&lt;=$M335*BB設定!$B$7,"スクイーズ★",IF($L335&lt;=$M335*1.3,"収縮","－")))</f>
      </c>
      <c r="O335" s="681">
        <f>IF($D335="","",IF($L335&gt;(4*STDEVP(終値!F335:Y335)/AVERAGE(終値!F335:Y335)*100),"拡大↑","縮小↓"))</f>
      </c>
      <c r="P335" s="681">
        <f>IF($D335="","",IF($D335&gt;$G335,"↑+2σ突破",IF($D335&lt;$J335,"↓-2σ割れ",IF($D335&gt;$H335,"+1σ上",IF($D335&lt;$I335,"-1σ下","バンド内")))))</f>
      </c>
      <c r="Q335" s="684">
        <f>IF($D335="","",IFERROR(100-100/(1+SUMPRODUCT((終値!E335:R335&gt;終値!F335:S335)*(終値!E335:R335-終値!F335:S335))/SUMPRODUCT((終値!E335:R335&lt;終値!F335:S335)*(終値!F335:S335-終値!E335:R335))),100))</f>
      </c>
      <c r="R335" s="684">
        <f>IF($D335="","",IFERROR(100-100/(1+SUMPRODUCT((((高値!E335:R335+安値!E335:R335+終値!E335:R335)/3)&gt;((高値!F335:S335+安値!F335:S335+終値!F335:S335)/3))*((高値!E335:R335+安値!E335:R335+終値!E335:R335)/3)*出来高!E335:R335)/SUMPRODUCT((((高値!E335:R335+安値!E335:R335+終値!E335:R335)/3)&lt;((高値!F335:S335+安値!F335:S335+終値!F335:S335)/3))*((高値!E335:R335+安値!E335:R335+終値!E335:R335)/3)*出来高!E335:R335)),50))</f>
      </c>
      <c r="S335" s="681">
        <f>IF($D335="","",IF(AND(終値!E335&lt;終値!O335,$Q335&gt;(IFERROR(100-100/(1+SUMPRODUCT((終値!O335:AB335&gt;終値!P335:AC335)*(終値!O335:AB335-終値!P335:AC335))/SUMPRODUCT((終値!O335:AB335&lt;終値!P335:AC335)*(終値!P335:AC335-終値!O335:AB335))),100))),"強気div▲",IF(AND(終値!E335&gt;終値!O335,$Q335&lt;(IFERROR(100-100/(1+SUMPRODUCT((終値!O335:AB335&gt;終値!P335:AC335)*(終値!O335:AB335-終値!P335:AC335))/SUMPRODUCT((終値!O335:AB335&lt;終値!P335:AC335)*(終値!P335:AC335-終値!O335:AB335))),100))),"弱気div▼","－")))</f>
      </c>
      <c r="T335" s="681">
        <f>IF($D335="","",IF($D335&gt;=$H335,"上walk▲",IF($D335&lt;=$I335,"下walk▼","－")))</f>
      </c>
      <c r="U335" s="681">
        <f>IF(終値!A335="","",BB_スイング!BT335)</f>
      </c>
      <c r="V335" s="689">
        <f>IF($D335="","",IFERROR(出来高!E335/AVERAGE(出来高!E335:I335),""))</f>
      </c>
      <c r="W335" s="690">
        <f>IF($D335="","",IF(AND($D335&gt;$G335,$O335="拡大↑",$L335&lt;=$M335*1.8),"◎スクイーズブレイク買",IF(AND($D335&gt;=$H335,$R335&gt;=BB設定!$B$10),"○順張り継続(walk)",IF(AND($S335="強気div▲",$D335&gt;$I335),"○反発(ダイバ)買",IF($U335="二番底W▲","△二番底買(確)",IF($U335="二番底W形成","△二番底形成",IF($D335&lt;$J335,"▼-2σ割れ危険",IF(AND($D335&gt;$E335,$K335&lt;0.6,$R335&gt;=50),"・押し目注目",IF($N335="スクイーズ★","☆スクイーズ監視","様子見")))))))))</f>
      </c>
      <c r="X335" s="685">
        <f>IF($D335="","",MIN(100,IF($L335&lt;=$M335*1.15,20,IF($L335&lt;=$M335*1.4,10,0))+IF($D335&gt;$G335,20,IF($D335&gt;$H335,12,IF($D335&gt;$E335,5,0)))+IF($O335="拡大↑",10,0)+IF($R335&gt;=80,15,IF($R335&gt;=60,10,IF($R335&gt;=50,5,0)))+IF(AND($Q335&gt;=50,$Q335&lt;=70),10,IF($Q335&gt;70,3,IF($Q335&gt;=40,5,0)))+IF($S335="強気div▲",15,0)+IF($T335="上walk▲",5,0)+IF($V335&gt;=2,5,IF($V335&gt;=1.5,3,0))))</f>
      </c>
      <c r="Y335" s="682">
        <f>IF($D335="","",$D335)</f>
      </c>
      <c r="Z335" s="682">
        <f>IF($D335="","",$H335)</f>
      </c>
      <c r="AA335" s="682">
        <f>IF($D335="","",IF($D335&gt;$E335,$E335,$AD335))</f>
      </c>
      <c r="AB335" s="682">
        <f>IF($D335="","",$G335)</f>
      </c>
      <c r="AC335" s="688">
        <f>IF($D335="","",IF(($Y335-$AA335)&lt;=0,"－",IFERROR(ROUND(MIN(20,($AB335-$Y335)/($Y335-$AA335)),2),"－")))</f>
      </c>
      <c r="AD335" s="682">
        <f>IF($D335="","",MIN(終値!E335:I335))</f>
      </c>
      <c r="AE335" s="684">
        <f>IF($D335="","",$X335+(10000-ROW())/100000)</f>
      </c>
    </row>
    <row r="336">
      <c r="A336" s="681">
        <f>IF(終値!A336="","",HYPERLINK("https://kabutan.jp/stock/?code="&amp;終値!A336,"📈"))</f>
      </c>
      <c r="B336" s="681">
        <f>IF(終値!A336="","",終値!A336)</f>
      </c>
      <c r="C336" s="680">
        <f>IF(終値!A336="","",終値!B336)</f>
      </c>
      <c r="D336" s="682">
        <f>IF(終値!A336="","",終値!E336)</f>
      </c>
      <c r="E336" s="682">
        <f>IF($D336="","",AVERAGE(終値!E336:X336))</f>
      </c>
      <c r="F336" s="683">
        <f>IF($D336="","",STDEVP(終値!E336:X336))</f>
      </c>
      <c r="G336" s="682">
        <f>IF($D336="","",$E336+BB設定!$B$4*$F336)</f>
      </c>
      <c r="H336" s="682">
        <f>IF($D336="","",$E336+BB設定!$B$5*$F336)</f>
      </c>
      <c r="I336" s="682">
        <f>IF($D336="","",$E336-BB設定!$B$5*$F336)</f>
      </c>
      <c r="J336" s="682">
        <f>IF($D336="","",$E336-BB設定!$B$4*$F336)</f>
      </c>
      <c r="K336" s="687">
        <f>IF($D336="","",IFERROR(($D336-$J336)/($G336-$J336),""))</f>
      </c>
      <c r="L336" s="686">
        <f>IF($D336="","",IFERROR(($G336-$J336)/$E336*100,""))</f>
      </c>
      <c r="M336" s="686">
        <f>IF($D336="","",IFERROR(MIN(BB_帯幅!B336:AP336)*100,""))</f>
      </c>
      <c r="N336" s="681">
        <f>IF($L336="","",IF($L336&lt;=$M336*BB設定!$B$7,"スクイーズ★",IF($L336&lt;=$M336*1.3,"収縮","－")))</f>
      </c>
      <c r="O336" s="681">
        <f>IF($D336="","",IF($L336&gt;(4*STDEVP(終値!F336:Y336)/AVERAGE(終値!F336:Y336)*100),"拡大↑","縮小↓"))</f>
      </c>
      <c r="P336" s="681">
        <f>IF($D336="","",IF($D336&gt;$G336,"↑+2σ突破",IF($D336&lt;$J336,"↓-2σ割れ",IF($D336&gt;$H336,"+1σ上",IF($D336&lt;$I336,"-1σ下","バンド内")))))</f>
      </c>
      <c r="Q336" s="684">
        <f>IF($D336="","",IFERROR(100-100/(1+SUMPRODUCT((終値!E336:R336&gt;終値!F336:S336)*(終値!E336:R336-終値!F336:S336))/SUMPRODUCT((終値!E336:R336&lt;終値!F336:S336)*(終値!F336:S336-終値!E336:R336))),100))</f>
      </c>
      <c r="R336" s="684">
        <f>IF($D336="","",IFERROR(100-100/(1+SUMPRODUCT((((高値!E336:R336+安値!E336:R336+終値!E336:R336)/3)&gt;((高値!F336:S336+安値!F336:S336+終値!F336:S336)/3))*((高値!E336:R336+安値!E336:R336+終値!E336:R336)/3)*出来高!E336:R336)/SUMPRODUCT((((高値!E336:R336+安値!E336:R336+終値!E336:R336)/3)&lt;((高値!F336:S336+安値!F336:S336+終値!F336:S336)/3))*((高値!E336:R336+安値!E336:R336+終値!E336:R336)/3)*出来高!E336:R336)),50))</f>
      </c>
      <c r="S336" s="681">
        <f>IF($D336="","",IF(AND(終値!E336&lt;終値!O336,$Q336&gt;(IFERROR(100-100/(1+SUMPRODUCT((終値!O336:AB336&gt;終値!P336:AC336)*(終値!O336:AB336-終値!P336:AC336))/SUMPRODUCT((終値!O336:AB336&lt;終値!P336:AC336)*(終値!P336:AC336-終値!O336:AB336))),100))),"強気div▲",IF(AND(終値!E336&gt;終値!O336,$Q336&lt;(IFERROR(100-100/(1+SUMPRODUCT((終値!O336:AB336&gt;終値!P336:AC336)*(終値!O336:AB336-終値!P336:AC336))/SUMPRODUCT((終値!O336:AB336&lt;終値!P336:AC336)*(終値!P336:AC336-終値!O336:AB336))),100))),"弱気div▼","－")))</f>
      </c>
      <c r="T336" s="681">
        <f>IF($D336="","",IF($D336&gt;=$H336,"上walk▲",IF($D336&lt;=$I336,"下walk▼","－")))</f>
      </c>
      <c r="U336" s="681">
        <f>IF(終値!A336="","",BB_スイング!BT336)</f>
      </c>
      <c r="V336" s="689">
        <f>IF($D336="","",IFERROR(出来高!E336/AVERAGE(出来高!E336:I336),""))</f>
      </c>
      <c r="W336" s="690">
        <f>IF($D336="","",IF(AND($D336&gt;$G336,$O336="拡大↑",$L336&lt;=$M336*1.8),"◎スクイーズブレイク買",IF(AND($D336&gt;=$H336,$R336&gt;=BB設定!$B$10),"○順張り継続(walk)",IF(AND($S336="強気div▲",$D336&gt;$I336),"○反発(ダイバ)買",IF($U336="二番底W▲","△二番底買(確)",IF($U336="二番底W形成","△二番底形成",IF($D336&lt;$J336,"▼-2σ割れ危険",IF(AND($D336&gt;$E336,$K336&lt;0.6,$R336&gt;=50),"・押し目注目",IF($N336="スクイーズ★","☆スクイーズ監視","様子見")))))))))</f>
      </c>
      <c r="X336" s="685">
        <f>IF($D336="","",MIN(100,IF($L336&lt;=$M336*1.15,20,IF($L336&lt;=$M336*1.4,10,0))+IF($D336&gt;$G336,20,IF($D336&gt;$H336,12,IF($D336&gt;$E336,5,0)))+IF($O336="拡大↑",10,0)+IF($R336&gt;=80,15,IF($R336&gt;=60,10,IF($R336&gt;=50,5,0)))+IF(AND($Q336&gt;=50,$Q336&lt;=70),10,IF($Q336&gt;70,3,IF($Q336&gt;=40,5,0)))+IF($S336="強気div▲",15,0)+IF($T336="上walk▲",5,0)+IF($V336&gt;=2,5,IF($V336&gt;=1.5,3,0))))</f>
      </c>
      <c r="Y336" s="682">
        <f>IF($D336="","",$D336)</f>
      </c>
      <c r="Z336" s="682">
        <f>IF($D336="","",$H336)</f>
      </c>
      <c r="AA336" s="682">
        <f>IF($D336="","",IF($D336&gt;$E336,$E336,$AD336))</f>
      </c>
      <c r="AB336" s="682">
        <f>IF($D336="","",$G336)</f>
      </c>
      <c r="AC336" s="688">
        <f>IF($D336="","",IF(($Y336-$AA336)&lt;=0,"－",IFERROR(ROUND(MIN(20,($AB336-$Y336)/($Y336-$AA336)),2),"－")))</f>
      </c>
      <c r="AD336" s="682">
        <f>IF($D336="","",MIN(終値!E336:I336))</f>
      </c>
      <c r="AE336" s="684">
        <f>IF($D336="","",$X336+(10000-ROW())/100000)</f>
      </c>
    </row>
    <row r="337">
      <c r="A337" s="681">
        <f>IF(終値!A337="","",HYPERLINK("https://kabutan.jp/stock/?code="&amp;終値!A337,"📈"))</f>
      </c>
      <c r="B337" s="681">
        <f>IF(終値!A337="","",終値!A337)</f>
      </c>
      <c r="C337" s="680">
        <f>IF(終値!A337="","",終値!B337)</f>
      </c>
      <c r="D337" s="682">
        <f>IF(終値!A337="","",終値!E337)</f>
      </c>
      <c r="E337" s="682">
        <f>IF($D337="","",AVERAGE(終値!E337:X337))</f>
      </c>
      <c r="F337" s="683">
        <f>IF($D337="","",STDEVP(終値!E337:X337))</f>
      </c>
      <c r="G337" s="682">
        <f>IF($D337="","",$E337+BB設定!$B$4*$F337)</f>
      </c>
      <c r="H337" s="682">
        <f>IF($D337="","",$E337+BB設定!$B$5*$F337)</f>
      </c>
      <c r="I337" s="682">
        <f>IF($D337="","",$E337-BB設定!$B$5*$F337)</f>
      </c>
      <c r="J337" s="682">
        <f>IF($D337="","",$E337-BB設定!$B$4*$F337)</f>
      </c>
      <c r="K337" s="687">
        <f>IF($D337="","",IFERROR(($D337-$J337)/($G337-$J337),""))</f>
      </c>
      <c r="L337" s="686">
        <f>IF($D337="","",IFERROR(($G337-$J337)/$E337*100,""))</f>
      </c>
      <c r="M337" s="686">
        <f>IF($D337="","",IFERROR(MIN(BB_帯幅!B337:AP337)*100,""))</f>
      </c>
      <c r="N337" s="681">
        <f>IF($L337="","",IF($L337&lt;=$M337*BB設定!$B$7,"スクイーズ★",IF($L337&lt;=$M337*1.3,"収縮","－")))</f>
      </c>
      <c r="O337" s="681">
        <f>IF($D337="","",IF($L337&gt;(4*STDEVP(終値!F337:Y337)/AVERAGE(終値!F337:Y337)*100),"拡大↑","縮小↓"))</f>
      </c>
      <c r="P337" s="681">
        <f>IF($D337="","",IF($D337&gt;$G337,"↑+2σ突破",IF($D337&lt;$J337,"↓-2σ割れ",IF($D337&gt;$H337,"+1σ上",IF($D337&lt;$I337,"-1σ下","バンド内")))))</f>
      </c>
      <c r="Q337" s="684">
        <f>IF($D337="","",IFERROR(100-100/(1+SUMPRODUCT((終値!E337:R337&gt;終値!F337:S337)*(終値!E337:R337-終値!F337:S337))/SUMPRODUCT((終値!E337:R337&lt;終値!F337:S337)*(終値!F337:S337-終値!E337:R337))),100))</f>
      </c>
      <c r="R337" s="684">
        <f>IF($D337="","",IFERROR(100-100/(1+SUMPRODUCT((((高値!E337:R337+安値!E337:R337+終値!E337:R337)/3)&gt;((高値!F337:S337+安値!F337:S337+終値!F337:S337)/3))*((高値!E337:R337+安値!E337:R337+終値!E337:R337)/3)*出来高!E337:R337)/SUMPRODUCT((((高値!E337:R337+安値!E337:R337+終値!E337:R337)/3)&lt;((高値!F337:S337+安値!F337:S337+終値!F337:S337)/3))*((高値!E337:R337+安値!E337:R337+終値!E337:R337)/3)*出来高!E337:R337)),50))</f>
      </c>
      <c r="S337" s="681">
        <f>IF($D337="","",IF(AND(終値!E337&lt;終値!O337,$Q337&gt;(IFERROR(100-100/(1+SUMPRODUCT((終値!O337:AB337&gt;終値!P337:AC337)*(終値!O337:AB337-終値!P337:AC337))/SUMPRODUCT((終値!O337:AB337&lt;終値!P337:AC337)*(終値!P337:AC337-終値!O337:AB337))),100))),"強気div▲",IF(AND(終値!E337&gt;終値!O337,$Q337&lt;(IFERROR(100-100/(1+SUMPRODUCT((終値!O337:AB337&gt;終値!P337:AC337)*(終値!O337:AB337-終値!P337:AC337))/SUMPRODUCT((終値!O337:AB337&lt;終値!P337:AC337)*(終値!P337:AC337-終値!O337:AB337))),100))),"弱気div▼","－")))</f>
      </c>
      <c r="T337" s="681">
        <f>IF($D337="","",IF($D337&gt;=$H337,"上walk▲",IF($D337&lt;=$I337,"下walk▼","－")))</f>
      </c>
      <c r="U337" s="681">
        <f>IF(終値!A337="","",BB_スイング!BT337)</f>
      </c>
      <c r="V337" s="689">
        <f>IF($D337="","",IFERROR(出来高!E337/AVERAGE(出来高!E337:I337),""))</f>
      </c>
      <c r="W337" s="690">
        <f>IF($D337="","",IF(AND($D337&gt;$G337,$O337="拡大↑",$L337&lt;=$M337*1.8),"◎スクイーズブレイク買",IF(AND($D337&gt;=$H337,$R337&gt;=BB設定!$B$10),"○順張り継続(walk)",IF(AND($S337="強気div▲",$D337&gt;$I337),"○反発(ダイバ)買",IF($U337="二番底W▲","△二番底買(確)",IF($U337="二番底W形成","△二番底形成",IF($D337&lt;$J337,"▼-2σ割れ危険",IF(AND($D337&gt;$E337,$K337&lt;0.6,$R337&gt;=50),"・押し目注目",IF($N337="スクイーズ★","☆スクイーズ監視","様子見")))))))))</f>
      </c>
      <c r="X337" s="685">
        <f>IF($D337="","",MIN(100,IF($L337&lt;=$M337*1.15,20,IF($L337&lt;=$M337*1.4,10,0))+IF($D337&gt;$G337,20,IF($D337&gt;$H337,12,IF($D337&gt;$E337,5,0)))+IF($O337="拡大↑",10,0)+IF($R337&gt;=80,15,IF($R337&gt;=60,10,IF($R337&gt;=50,5,0)))+IF(AND($Q337&gt;=50,$Q337&lt;=70),10,IF($Q337&gt;70,3,IF($Q337&gt;=40,5,0)))+IF($S337="強気div▲",15,0)+IF($T337="上walk▲",5,0)+IF($V337&gt;=2,5,IF($V337&gt;=1.5,3,0))))</f>
      </c>
      <c r="Y337" s="682">
        <f>IF($D337="","",$D337)</f>
      </c>
      <c r="Z337" s="682">
        <f>IF($D337="","",$H337)</f>
      </c>
      <c r="AA337" s="682">
        <f>IF($D337="","",IF($D337&gt;$E337,$E337,$AD337))</f>
      </c>
      <c r="AB337" s="682">
        <f>IF($D337="","",$G337)</f>
      </c>
      <c r="AC337" s="688">
        <f>IF($D337="","",IF(($Y337-$AA337)&lt;=0,"－",IFERROR(ROUND(MIN(20,($AB337-$Y337)/($Y337-$AA337)),2),"－")))</f>
      </c>
      <c r="AD337" s="682">
        <f>IF($D337="","",MIN(終値!E337:I337))</f>
      </c>
      <c r="AE337" s="684">
        <f>IF($D337="","",$X337+(10000-ROW())/100000)</f>
      </c>
    </row>
    <row r="338">
      <c r="A338" s="681">
        <f>IF(終値!A338="","",HYPERLINK("https://kabutan.jp/stock/?code="&amp;終値!A338,"📈"))</f>
      </c>
      <c r="B338" s="681">
        <f>IF(終値!A338="","",終値!A338)</f>
      </c>
      <c r="C338" s="680">
        <f>IF(終値!A338="","",終値!B338)</f>
      </c>
      <c r="D338" s="682">
        <f>IF(終値!A338="","",終値!E338)</f>
      </c>
      <c r="E338" s="682">
        <f>IF($D338="","",AVERAGE(終値!E338:X338))</f>
      </c>
      <c r="F338" s="683">
        <f>IF($D338="","",STDEVP(終値!E338:X338))</f>
      </c>
      <c r="G338" s="682">
        <f>IF($D338="","",$E338+BB設定!$B$4*$F338)</f>
      </c>
      <c r="H338" s="682">
        <f>IF($D338="","",$E338+BB設定!$B$5*$F338)</f>
      </c>
      <c r="I338" s="682">
        <f>IF($D338="","",$E338-BB設定!$B$5*$F338)</f>
      </c>
      <c r="J338" s="682">
        <f>IF($D338="","",$E338-BB設定!$B$4*$F338)</f>
      </c>
      <c r="K338" s="687">
        <f>IF($D338="","",IFERROR(($D338-$J338)/($G338-$J338),""))</f>
      </c>
      <c r="L338" s="686">
        <f>IF($D338="","",IFERROR(($G338-$J338)/$E338*100,""))</f>
      </c>
      <c r="M338" s="686">
        <f>IF($D338="","",IFERROR(MIN(BB_帯幅!B338:AP338)*100,""))</f>
      </c>
      <c r="N338" s="681">
        <f>IF($L338="","",IF($L338&lt;=$M338*BB設定!$B$7,"スクイーズ★",IF($L338&lt;=$M338*1.3,"収縮","－")))</f>
      </c>
      <c r="O338" s="681">
        <f>IF($D338="","",IF($L338&gt;(4*STDEVP(終値!F338:Y338)/AVERAGE(終値!F338:Y338)*100),"拡大↑","縮小↓"))</f>
      </c>
      <c r="P338" s="681">
        <f>IF($D338="","",IF($D338&gt;$G338,"↑+2σ突破",IF($D338&lt;$J338,"↓-2σ割れ",IF($D338&gt;$H338,"+1σ上",IF($D338&lt;$I338,"-1σ下","バンド内")))))</f>
      </c>
      <c r="Q338" s="684">
        <f>IF($D338="","",IFERROR(100-100/(1+SUMPRODUCT((終値!E338:R338&gt;終値!F338:S338)*(終値!E338:R338-終値!F338:S338))/SUMPRODUCT((終値!E338:R338&lt;終値!F338:S338)*(終値!F338:S338-終値!E338:R338))),100))</f>
      </c>
      <c r="R338" s="684">
        <f>IF($D338="","",IFERROR(100-100/(1+SUMPRODUCT((((高値!E338:R338+安値!E338:R338+終値!E338:R338)/3)&gt;((高値!F338:S338+安値!F338:S338+終値!F338:S338)/3))*((高値!E338:R338+安値!E338:R338+終値!E338:R338)/3)*出来高!E338:R338)/SUMPRODUCT((((高値!E338:R338+安値!E338:R338+終値!E338:R338)/3)&lt;((高値!F338:S338+安値!F338:S338+終値!F338:S338)/3))*((高値!E338:R338+安値!E338:R338+終値!E338:R338)/3)*出来高!E338:R338)),50))</f>
      </c>
      <c r="S338" s="681">
        <f>IF($D338="","",IF(AND(終値!E338&lt;終値!O338,$Q338&gt;(IFERROR(100-100/(1+SUMPRODUCT((終値!O338:AB338&gt;終値!P338:AC338)*(終値!O338:AB338-終値!P338:AC338))/SUMPRODUCT((終値!O338:AB338&lt;終値!P338:AC338)*(終値!P338:AC338-終値!O338:AB338))),100))),"強気div▲",IF(AND(終値!E338&gt;終値!O338,$Q338&lt;(IFERROR(100-100/(1+SUMPRODUCT((終値!O338:AB338&gt;終値!P338:AC338)*(終値!O338:AB338-終値!P338:AC338))/SUMPRODUCT((終値!O338:AB338&lt;終値!P338:AC338)*(終値!P338:AC338-終値!O338:AB338))),100))),"弱気div▼","－")))</f>
      </c>
      <c r="T338" s="681">
        <f>IF($D338="","",IF($D338&gt;=$H338,"上walk▲",IF($D338&lt;=$I338,"下walk▼","－")))</f>
      </c>
      <c r="U338" s="681">
        <f>IF(終値!A338="","",BB_スイング!BT338)</f>
      </c>
      <c r="V338" s="689">
        <f>IF($D338="","",IFERROR(出来高!E338/AVERAGE(出来高!E338:I338),""))</f>
      </c>
      <c r="W338" s="690">
        <f>IF($D338="","",IF(AND($D338&gt;$G338,$O338="拡大↑",$L338&lt;=$M338*1.8),"◎スクイーズブレイク買",IF(AND($D338&gt;=$H338,$R338&gt;=BB設定!$B$10),"○順張り継続(walk)",IF(AND($S338="強気div▲",$D338&gt;$I338),"○反発(ダイバ)買",IF($U338="二番底W▲","△二番底買(確)",IF($U338="二番底W形成","△二番底形成",IF($D338&lt;$J338,"▼-2σ割れ危険",IF(AND($D338&gt;$E338,$K338&lt;0.6,$R338&gt;=50),"・押し目注目",IF($N338="スクイーズ★","☆スクイーズ監視","様子見")))))))))</f>
      </c>
      <c r="X338" s="685">
        <f>IF($D338="","",MIN(100,IF($L338&lt;=$M338*1.15,20,IF($L338&lt;=$M338*1.4,10,0))+IF($D338&gt;$G338,20,IF($D338&gt;$H338,12,IF($D338&gt;$E338,5,0)))+IF($O338="拡大↑",10,0)+IF($R338&gt;=80,15,IF($R338&gt;=60,10,IF($R338&gt;=50,5,0)))+IF(AND($Q338&gt;=50,$Q338&lt;=70),10,IF($Q338&gt;70,3,IF($Q338&gt;=40,5,0)))+IF($S338="強気div▲",15,0)+IF($T338="上walk▲",5,0)+IF($V338&gt;=2,5,IF($V338&gt;=1.5,3,0))))</f>
      </c>
      <c r="Y338" s="682">
        <f>IF($D338="","",$D338)</f>
      </c>
      <c r="Z338" s="682">
        <f>IF($D338="","",$H338)</f>
      </c>
      <c r="AA338" s="682">
        <f>IF($D338="","",IF($D338&gt;$E338,$E338,$AD338))</f>
      </c>
      <c r="AB338" s="682">
        <f>IF($D338="","",$G338)</f>
      </c>
      <c r="AC338" s="688">
        <f>IF($D338="","",IF(($Y338-$AA338)&lt;=0,"－",IFERROR(ROUND(MIN(20,($AB338-$Y338)/($Y338-$AA338)),2),"－")))</f>
      </c>
      <c r="AD338" s="682">
        <f>IF($D338="","",MIN(終値!E338:I338))</f>
      </c>
      <c r="AE338" s="684">
        <f>IF($D338="","",$X338+(10000-ROW())/100000)</f>
      </c>
    </row>
    <row r="339">
      <c r="A339" s="681">
        <f>IF(終値!A339="","",HYPERLINK("https://kabutan.jp/stock/?code="&amp;終値!A339,"📈"))</f>
      </c>
      <c r="B339" s="681">
        <f>IF(終値!A339="","",終値!A339)</f>
      </c>
      <c r="C339" s="680">
        <f>IF(終値!A339="","",終値!B339)</f>
      </c>
      <c r="D339" s="682">
        <f>IF(終値!A339="","",終値!E339)</f>
      </c>
      <c r="E339" s="682">
        <f>IF($D339="","",AVERAGE(終値!E339:X339))</f>
      </c>
      <c r="F339" s="683">
        <f>IF($D339="","",STDEVP(終値!E339:X339))</f>
      </c>
      <c r="G339" s="682">
        <f>IF($D339="","",$E339+BB設定!$B$4*$F339)</f>
      </c>
      <c r="H339" s="682">
        <f>IF($D339="","",$E339+BB設定!$B$5*$F339)</f>
      </c>
      <c r="I339" s="682">
        <f>IF($D339="","",$E339-BB設定!$B$5*$F339)</f>
      </c>
      <c r="J339" s="682">
        <f>IF($D339="","",$E339-BB設定!$B$4*$F339)</f>
      </c>
      <c r="K339" s="687">
        <f>IF($D339="","",IFERROR(($D339-$J339)/($G339-$J339),""))</f>
      </c>
      <c r="L339" s="686">
        <f>IF($D339="","",IFERROR(($G339-$J339)/$E339*100,""))</f>
      </c>
      <c r="M339" s="686">
        <f>IF($D339="","",IFERROR(MIN(BB_帯幅!B339:AP339)*100,""))</f>
      </c>
      <c r="N339" s="681">
        <f>IF($L339="","",IF($L339&lt;=$M339*BB設定!$B$7,"スクイーズ★",IF($L339&lt;=$M339*1.3,"収縮","－")))</f>
      </c>
      <c r="O339" s="681">
        <f>IF($D339="","",IF($L339&gt;(4*STDEVP(終値!F339:Y339)/AVERAGE(終値!F339:Y339)*100),"拡大↑","縮小↓"))</f>
      </c>
      <c r="P339" s="681">
        <f>IF($D339="","",IF($D339&gt;$G339,"↑+2σ突破",IF($D339&lt;$J339,"↓-2σ割れ",IF($D339&gt;$H339,"+1σ上",IF($D339&lt;$I339,"-1σ下","バンド内")))))</f>
      </c>
      <c r="Q339" s="684">
        <f>IF($D339="","",IFERROR(100-100/(1+SUMPRODUCT((終値!E339:R339&gt;終値!F339:S339)*(終値!E339:R339-終値!F339:S339))/SUMPRODUCT((終値!E339:R339&lt;終値!F339:S339)*(終値!F339:S339-終値!E339:R339))),100))</f>
      </c>
      <c r="R339" s="684">
        <f>IF($D339="","",IFERROR(100-100/(1+SUMPRODUCT((((高値!E339:R339+安値!E339:R339+終値!E339:R339)/3)&gt;((高値!F339:S339+安値!F339:S339+終値!F339:S339)/3))*((高値!E339:R339+安値!E339:R339+終値!E339:R339)/3)*出来高!E339:R339)/SUMPRODUCT((((高値!E339:R339+安値!E339:R339+終値!E339:R339)/3)&lt;((高値!F339:S339+安値!F339:S339+終値!F339:S339)/3))*((高値!E339:R339+安値!E339:R339+終値!E339:R339)/3)*出来高!E339:R339)),50))</f>
      </c>
      <c r="S339" s="681">
        <f>IF($D339="","",IF(AND(終値!E339&lt;終値!O339,$Q339&gt;(IFERROR(100-100/(1+SUMPRODUCT((終値!O339:AB339&gt;終値!P339:AC339)*(終値!O339:AB339-終値!P339:AC339))/SUMPRODUCT((終値!O339:AB339&lt;終値!P339:AC339)*(終値!P339:AC339-終値!O339:AB339))),100))),"強気div▲",IF(AND(終値!E339&gt;終値!O339,$Q339&lt;(IFERROR(100-100/(1+SUMPRODUCT((終値!O339:AB339&gt;終値!P339:AC339)*(終値!O339:AB339-終値!P339:AC339))/SUMPRODUCT((終値!O339:AB339&lt;終値!P339:AC339)*(終値!P339:AC339-終値!O339:AB339))),100))),"弱気div▼","－")))</f>
      </c>
      <c r="T339" s="681">
        <f>IF($D339="","",IF($D339&gt;=$H339,"上walk▲",IF($D339&lt;=$I339,"下walk▼","－")))</f>
      </c>
      <c r="U339" s="681">
        <f>IF(終値!A339="","",BB_スイング!BT339)</f>
      </c>
      <c r="V339" s="689">
        <f>IF($D339="","",IFERROR(出来高!E339/AVERAGE(出来高!E339:I339),""))</f>
      </c>
      <c r="W339" s="690">
        <f>IF($D339="","",IF(AND($D339&gt;$G339,$O339="拡大↑",$L339&lt;=$M339*1.8),"◎スクイーズブレイク買",IF(AND($D339&gt;=$H339,$R339&gt;=BB設定!$B$10),"○順張り継続(walk)",IF(AND($S339="強気div▲",$D339&gt;$I339),"○反発(ダイバ)買",IF($U339="二番底W▲","△二番底買(確)",IF($U339="二番底W形成","△二番底形成",IF($D339&lt;$J339,"▼-2σ割れ危険",IF(AND($D339&gt;$E339,$K339&lt;0.6,$R339&gt;=50),"・押し目注目",IF($N339="スクイーズ★","☆スクイーズ監視","様子見")))))))))</f>
      </c>
      <c r="X339" s="685">
        <f>IF($D339="","",MIN(100,IF($L339&lt;=$M339*1.15,20,IF($L339&lt;=$M339*1.4,10,0))+IF($D339&gt;$G339,20,IF($D339&gt;$H339,12,IF($D339&gt;$E339,5,0)))+IF($O339="拡大↑",10,0)+IF($R339&gt;=80,15,IF($R339&gt;=60,10,IF($R339&gt;=50,5,0)))+IF(AND($Q339&gt;=50,$Q339&lt;=70),10,IF($Q339&gt;70,3,IF($Q339&gt;=40,5,0)))+IF($S339="強気div▲",15,0)+IF($T339="上walk▲",5,0)+IF($V339&gt;=2,5,IF($V339&gt;=1.5,3,0))))</f>
      </c>
      <c r="Y339" s="682">
        <f>IF($D339="","",$D339)</f>
      </c>
      <c r="Z339" s="682">
        <f>IF($D339="","",$H339)</f>
      </c>
      <c r="AA339" s="682">
        <f>IF($D339="","",IF($D339&gt;$E339,$E339,$AD339))</f>
      </c>
      <c r="AB339" s="682">
        <f>IF($D339="","",$G339)</f>
      </c>
      <c r="AC339" s="688">
        <f>IF($D339="","",IF(($Y339-$AA339)&lt;=0,"－",IFERROR(ROUND(MIN(20,($AB339-$Y339)/($Y339-$AA339)),2),"－")))</f>
      </c>
      <c r="AD339" s="682">
        <f>IF($D339="","",MIN(終値!E339:I339))</f>
      </c>
      <c r="AE339" s="684">
        <f>IF($D339="","",$X339+(10000-ROW())/100000)</f>
      </c>
    </row>
    <row r="340">
      <c r="A340" s="681">
        <f>IF(終値!A340="","",HYPERLINK("https://kabutan.jp/stock/?code="&amp;終値!A340,"📈"))</f>
      </c>
      <c r="B340" s="681">
        <f>IF(終値!A340="","",終値!A340)</f>
      </c>
      <c r="C340" s="680">
        <f>IF(終値!A340="","",終値!B340)</f>
      </c>
      <c r="D340" s="682">
        <f>IF(終値!A340="","",終値!E340)</f>
      </c>
      <c r="E340" s="682">
        <f>IF($D340="","",AVERAGE(終値!E340:X340))</f>
      </c>
      <c r="F340" s="683">
        <f>IF($D340="","",STDEVP(終値!E340:X340))</f>
      </c>
      <c r="G340" s="682">
        <f>IF($D340="","",$E340+BB設定!$B$4*$F340)</f>
      </c>
      <c r="H340" s="682">
        <f>IF($D340="","",$E340+BB設定!$B$5*$F340)</f>
      </c>
      <c r="I340" s="682">
        <f>IF($D340="","",$E340-BB設定!$B$5*$F340)</f>
      </c>
      <c r="J340" s="682">
        <f>IF($D340="","",$E340-BB設定!$B$4*$F340)</f>
      </c>
      <c r="K340" s="687">
        <f>IF($D340="","",IFERROR(($D340-$J340)/($G340-$J340),""))</f>
      </c>
      <c r="L340" s="686">
        <f>IF($D340="","",IFERROR(($G340-$J340)/$E340*100,""))</f>
      </c>
      <c r="M340" s="686">
        <f>IF($D340="","",IFERROR(MIN(BB_帯幅!B340:AP340)*100,""))</f>
      </c>
      <c r="N340" s="681">
        <f>IF($L340="","",IF($L340&lt;=$M340*BB設定!$B$7,"スクイーズ★",IF($L340&lt;=$M340*1.3,"収縮","－")))</f>
      </c>
      <c r="O340" s="681">
        <f>IF($D340="","",IF($L340&gt;(4*STDEVP(終値!F340:Y340)/AVERAGE(終値!F340:Y340)*100),"拡大↑","縮小↓"))</f>
      </c>
      <c r="P340" s="681">
        <f>IF($D340="","",IF($D340&gt;$G340,"↑+2σ突破",IF($D340&lt;$J340,"↓-2σ割れ",IF($D340&gt;$H340,"+1σ上",IF($D340&lt;$I340,"-1σ下","バンド内")))))</f>
      </c>
      <c r="Q340" s="684">
        <f>IF($D340="","",IFERROR(100-100/(1+SUMPRODUCT((終値!E340:R340&gt;終値!F340:S340)*(終値!E340:R340-終値!F340:S340))/SUMPRODUCT((終値!E340:R340&lt;終値!F340:S340)*(終値!F340:S340-終値!E340:R340))),100))</f>
      </c>
      <c r="R340" s="684">
        <f>IF($D340="","",IFERROR(100-100/(1+SUMPRODUCT((((高値!E340:R340+安値!E340:R340+終値!E340:R340)/3)&gt;((高値!F340:S340+安値!F340:S340+終値!F340:S340)/3))*((高値!E340:R340+安値!E340:R340+終値!E340:R340)/3)*出来高!E340:R340)/SUMPRODUCT((((高値!E340:R340+安値!E340:R340+終値!E340:R340)/3)&lt;((高値!F340:S340+安値!F340:S340+終値!F340:S340)/3))*((高値!E340:R340+安値!E340:R340+終値!E340:R340)/3)*出来高!E340:R340)),50))</f>
      </c>
      <c r="S340" s="681">
        <f>IF($D340="","",IF(AND(終値!E340&lt;終値!O340,$Q340&gt;(IFERROR(100-100/(1+SUMPRODUCT((終値!O340:AB340&gt;終値!P340:AC340)*(終値!O340:AB340-終値!P340:AC340))/SUMPRODUCT((終値!O340:AB340&lt;終値!P340:AC340)*(終値!P340:AC340-終値!O340:AB340))),100))),"強気div▲",IF(AND(終値!E340&gt;終値!O340,$Q340&lt;(IFERROR(100-100/(1+SUMPRODUCT((終値!O340:AB340&gt;終値!P340:AC340)*(終値!O340:AB340-終値!P340:AC340))/SUMPRODUCT((終値!O340:AB340&lt;終値!P340:AC340)*(終値!P340:AC340-終値!O340:AB340))),100))),"弱気div▼","－")))</f>
      </c>
      <c r="T340" s="681">
        <f>IF($D340="","",IF($D340&gt;=$H340,"上walk▲",IF($D340&lt;=$I340,"下walk▼","－")))</f>
      </c>
      <c r="U340" s="681">
        <f>IF(終値!A340="","",BB_スイング!BT340)</f>
      </c>
      <c r="V340" s="689">
        <f>IF($D340="","",IFERROR(出来高!E340/AVERAGE(出来高!E340:I340),""))</f>
      </c>
      <c r="W340" s="690">
        <f>IF($D340="","",IF(AND($D340&gt;$G340,$O340="拡大↑",$L340&lt;=$M340*1.8),"◎スクイーズブレイク買",IF(AND($D340&gt;=$H340,$R340&gt;=BB設定!$B$10),"○順張り継続(walk)",IF(AND($S340="強気div▲",$D340&gt;$I340),"○反発(ダイバ)買",IF($U340="二番底W▲","△二番底買(確)",IF($U340="二番底W形成","△二番底形成",IF($D340&lt;$J340,"▼-2σ割れ危険",IF(AND($D340&gt;$E340,$K340&lt;0.6,$R340&gt;=50),"・押し目注目",IF($N340="スクイーズ★","☆スクイーズ監視","様子見")))))))))</f>
      </c>
      <c r="X340" s="685">
        <f>IF($D340="","",MIN(100,IF($L340&lt;=$M340*1.15,20,IF($L340&lt;=$M340*1.4,10,0))+IF($D340&gt;$G340,20,IF($D340&gt;$H340,12,IF($D340&gt;$E340,5,0)))+IF($O340="拡大↑",10,0)+IF($R340&gt;=80,15,IF($R340&gt;=60,10,IF($R340&gt;=50,5,0)))+IF(AND($Q340&gt;=50,$Q340&lt;=70),10,IF($Q340&gt;70,3,IF($Q340&gt;=40,5,0)))+IF($S340="強気div▲",15,0)+IF($T340="上walk▲",5,0)+IF($V340&gt;=2,5,IF($V340&gt;=1.5,3,0))))</f>
      </c>
      <c r="Y340" s="682">
        <f>IF($D340="","",$D340)</f>
      </c>
      <c r="Z340" s="682">
        <f>IF($D340="","",$H340)</f>
      </c>
      <c r="AA340" s="682">
        <f>IF($D340="","",IF($D340&gt;$E340,$E340,$AD340))</f>
      </c>
      <c r="AB340" s="682">
        <f>IF($D340="","",$G340)</f>
      </c>
      <c r="AC340" s="688">
        <f>IF($D340="","",IF(($Y340-$AA340)&lt;=0,"－",IFERROR(ROUND(MIN(20,($AB340-$Y340)/($Y340-$AA340)),2),"－")))</f>
      </c>
      <c r="AD340" s="682">
        <f>IF($D340="","",MIN(終値!E340:I340))</f>
      </c>
      <c r="AE340" s="684">
        <f>IF($D340="","",$X340+(10000-ROW())/100000)</f>
      </c>
    </row>
    <row r="341">
      <c r="A341" s="681">
        <f>IF(終値!A341="","",HYPERLINK("https://kabutan.jp/stock/?code="&amp;終値!A341,"📈"))</f>
      </c>
      <c r="B341" s="681">
        <f>IF(終値!A341="","",終値!A341)</f>
      </c>
      <c r="C341" s="680">
        <f>IF(終値!A341="","",終値!B341)</f>
      </c>
      <c r="D341" s="682">
        <f>IF(終値!A341="","",終値!E341)</f>
      </c>
      <c r="E341" s="682">
        <f>IF($D341="","",AVERAGE(終値!E341:X341))</f>
      </c>
      <c r="F341" s="683">
        <f>IF($D341="","",STDEVP(終値!E341:X341))</f>
      </c>
      <c r="G341" s="682">
        <f>IF($D341="","",$E341+BB設定!$B$4*$F341)</f>
      </c>
      <c r="H341" s="682">
        <f>IF($D341="","",$E341+BB設定!$B$5*$F341)</f>
      </c>
      <c r="I341" s="682">
        <f>IF($D341="","",$E341-BB設定!$B$5*$F341)</f>
      </c>
      <c r="J341" s="682">
        <f>IF($D341="","",$E341-BB設定!$B$4*$F341)</f>
      </c>
      <c r="K341" s="687">
        <f>IF($D341="","",IFERROR(($D341-$J341)/($G341-$J341),""))</f>
      </c>
      <c r="L341" s="686">
        <f>IF($D341="","",IFERROR(($G341-$J341)/$E341*100,""))</f>
      </c>
      <c r="M341" s="686">
        <f>IF($D341="","",IFERROR(MIN(BB_帯幅!B341:AP341)*100,""))</f>
      </c>
      <c r="N341" s="681">
        <f>IF($L341="","",IF($L341&lt;=$M341*BB設定!$B$7,"スクイーズ★",IF($L341&lt;=$M341*1.3,"収縮","－")))</f>
      </c>
      <c r="O341" s="681">
        <f>IF($D341="","",IF($L341&gt;(4*STDEVP(終値!F341:Y341)/AVERAGE(終値!F341:Y341)*100),"拡大↑","縮小↓"))</f>
      </c>
      <c r="P341" s="681">
        <f>IF($D341="","",IF($D341&gt;$G341,"↑+2σ突破",IF($D341&lt;$J341,"↓-2σ割れ",IF($D341&gt;$H341,"+1σ上",IF($D341&lt;$I341,"-1σ下","バンド内")))))</f>
      </c>
      <c r="Q341" s="684">
        <f>IF($D341="","",IFERROR(100-100/(1+SUMPRODUCT((終値!E341:R341&gt;終値!F341:S341)*(終値!E341:R341-終値!F341:S341))/SUMPRODUCT((終値!E341:R341&lt;終値!F341:S341)*(終値!F341:S341-終値!E341:R341))),100))</f>
      </c>
      <c r="R341" s="684">
        <f>IF($D341="","",IFERROR(100-100/(1+SUMPRODUCT((((高値!E341:R341+安値!E341:R341+終値!E341:R341)/3)&gt;((高値!F341:S341+安値!F341:S341+終値!F341:S341)/3))*((高値!E341:R341+安値!E341:R341+終値!E341:R341)/3)*出来高!E341:R341)/SUMPRODUCT((((高値!E341:R341+安値!E341:R341+終値!E341:R341)/3)&lt;((高値!F341:S341+安値!F341:S341+終値!F341:S341)/3))*((高値!E341:R341+安値!E341:R341+終値!E341:R341)/3)*出来高!E341:R341)),50))</f>
      </c>
      <c r="S341" s="681">
        <f>IF($D341="","",IF(AND(終値!E341&lt;終値!O341,$Q341&gt;(IFERROR(100-100/(1+SUMPRODUCT((終値!O341:AB341&gt;終値!P341:AC341)*(終値!O341:AB341-終値!P341:AC341))/SUMPRODUCT((終値!O341:AB341&lt;終値!P341:AC341)*(終値!P341:AC341-終値!O341:AB341))),100))),"強気div▲",IF(AND(終値!E341&gt;終値!O341,$Q341&lt;(IFERROR(100-100/(1+SUMPRODUCT((終値!O341:AB341&gt;終値!P341:AC341)*(終値!O341:AB341-終値!P341:AC341))/SUMPRODUCT((終値!O341:AB341&lt;終値!P341:AC341)*(終値!P341:AC341-終値!O341:AB341))),100))),"弱気div▼","－")))</f>
      </c>
      <c r="T341" s="681">
        <f>IF($D341="","",IF($D341&gt;=$H341,"上walk▲",IF($D341&lt;=$I341,"下walk▼","－")))</f>
      </c>
      <c r="U341" s="681">
        <f>IF(終値!A341="","",BB_スイング!BT341)</f>
      </c>
      <c r="V341" s="689">
        <f>IF($D341="","",IFERROR(出来高!E341/AVERAGE(出来高!E341:I341),""))</f>
      </c>
      <c r="W341" s="690">
        <f>IF($D341="","",IF(AND($D341&gt;$G341,$O341="拡大↑",$L341&lt;=$M341*1.8),"◎スクイーズブレイク買",IF(AND($D341&gt;=$H341,$R341&gt;=BB設定!$B$10),"○順張り継続(walk)",IF(AND($S341="強気div▲",$D341&gt;$I341),"○反発(ダイバ)買",IF($U341="二番底W▲","△二番底買(確)",IF($U341="二番底W形成","△二番底形成",IF($D341&lt;$J341,"▼-2σ割れ危険",IF(AND($D341&gt;$E341,$K341&lt;0.6,$R341&gt;=50),"・押し目注目",IF($N341="スクイーズ★","☆スクイーズ監視","様子見")))))))))</f>
      </c>
      <c r="X341" s="685">
        <f>IF($D341="","",MIN(100,IF($L341&lt;=$M341*1.15,20,IF($L341&lt;=$M341*1.4,10,0))+IF($D341&gt;$G341,20,IF($D341&gt;$H341,12,IF($D341&gt;$E341,5,0)))+IF($O341="拡大↑",10,0)+IF($R341&gt;=80,15,IF($R341&gt;=60,10,IF($R341&gt;=50,5,0)))+IF(AND($Q341&gt;=50,$Q341&lt;=70),10,IF($Q341&gt;70,3,IF($Q341&gt;=40,5,0)))+IF($S341="強気div▲",15,0)+IF($T341="上walk▲",5,0)+IF($V341&gt;=2,5,IF($V341&gt;=1.5,3,0))))</f>
      </c>
      <c r="Y341" s="682">
        <f>IF($D341="","",$D341)</f>
      </c>
      <c r="Z341" s="682">
        <f>IF($D341="","",$H341)</f>
      </c>
      <c r="AA341" s="682">
        <f>IF($D341="","",IF($D341&gt;$E341,$E341,$AD341))</f>
      </c>
      <c r="AB341" s="682">
        <f>IF($D341="","",$G341)</f>
      </c>
      <c r="AC341" s="688">
        <f>IF($D341="","",IF(($Y341-$AA341)&lt;=0,"－",IFERROR(ROUND(MIN(20,($AB341-$Y341)/($Y341-$AA341)),2),"－")))</f>
      </c>
      <c r="AD341" s="682">
        <f>IF($D341="","",MIN(終値!E341:I341))</f>
      </c>
      <c r="AE341" s="684">
        <f>IF($D341="","",$X341+(10000-ROW())/100000)</f>
      </c>
    </row>
    <row r="342">
      <c r="A342" s="681">
        <f>IF(終値!A342="","",HYPERLINK("https://kabutan.jp/stock/?code="&amp;終値!A342,"📈"))</f>
      </c>
      <c r="B342" s="681">
        <f>IF(終値!A342="","",終値!A342)</f>
      </c>
      <c r="C342" s="680">
        <f>IF(終値!A342="","",終値!B342)</f>
      </c>
      <c r="D342" s="682">
        <f>IF(終値!A342="","",終値!E342)</f>
      </c>
      <c r="E342" s="682">
        <f>IF($D342="","",AVERAGE(終値!E342:X342))</f>
      </c>
      <c r="F342" s="683">
        <f>IF($D342="","",STDEVP(終値!E342:X342))</f>
      </c>
      <c r="G342" s="682">
        <f>IF($D342="","",$E342+BB設定!$B$4*$F342)</f>
      </c>
      <c r="H342" s="682">
        <f>IF($D342="","",$E342+BB設定!$B$5*$F342)</f>
      </c>
      <c r="I342" s="682">
        <f>IF($D342="","",$E342-BB設定!$B$5*$F342)</f>
      </c>
      <c r="J342" s="682">
        <f>IF($D342="","",$E342-BB設定!$B$4*$F342)</f>
      </c>
      <c r="K342" s="687">
        <f>IF($D342="","",IFERROR(($D342-$J342)/($G342-$J342),""))</f>
      </c>
      <c r="L342" s="686">
        <f>IF($D342="","",IFERROR(($G342-$J342)/$E342*100,""))</f>
      </c>
      <c r="M342" s="686">
        <f>IF($D342="","",IFERROR(MIN(BB_帯幅!B342:AP342)*100,""))</f>
      </c>
      <c r="N342" s="681">
        <f>IF($L342="","",IF($L342&lt;=$M342*BB設定!$B$7,"スクイーズ★",IF($L342&lt;=$M342*1.3,"収縮","－")))</f>
      </c>
      <c r="O342" s="681">
        <f>IF($D342="","",IF($L342&gt;(4*STDEVP(終値!F342:Y342)/AVERAGE(終値!F342:Y342)*100),"拡大↑","縮小↓"))</f>
      </c>
      <c r="P342" s="681">
        <f>IF($D342="","",IF($D342&gt;$G342,"↑+2σ突破",IF($D342&lt;$J342,"↓-2σ割れ",IF($D342&gt;$H342,"+1σ上",IF($D342&lt;$I342,"-1σ下","バンド内")))))</f>
      </c>
      <c r="Q342" s="684">
        <f>IF($D342="","",IFERROR(100-100/(1+SUMPRODUCT((終値!E342:R342&gt;終値!F342:S342)*(終値!E342:R342-終値!F342:S342))/SUMPRODUCT((終値!E342:R342&lt;終値!F342:S342)*(終値!F342:S342-終値!E342:R342))),100))</f>
      </c>
      <c r="R342" s="684">
        <f>IF($D342="","",IFERROR(100-100/(1+SUMPRODUCT((((高値!E342:R342+安値!E342:R342+終値!E342:R342)/3)&gt;((高値!F342:S342+安値!F342:S342+終値!F342:S342)/3))*((高値!E342:R342+安値!E342:R342+終値!E342:R342)/3)*出来高!E342:R342)/SUMPRODUCT((((高値!E342:R342+安値!E342:R342+終値!E342:R342)/3)&lt;((高値!F342:S342+安値!F342:S342+終値!F342:S342)/3))*((高値!E342:R342+安値!E342:R342+終値!E342:R342)/3)*出来高!E342:R342)),50))</f>
      </c>
      <c r="S342" s="681">
        <f>IF($D342="","",IF(AND(終値!E342&lt;終値!O342,$Q342&gt;(IFERROR(100-100/(1+SUMPRODUCT((終値!O342:AB342&gt;終値!P342:AC342)*(終値!O342:AB342-終値!P342:AC342))/SUMPRODUCT((終値!O342:AB342&lt;終値!P342:AC342)*(終値!P342:AC342-終値!O342:AB342))),100))),"強気div▲",IF(AND(終値!E342&gt;終値!O342,$Q342&lt;(IFERROR(100-100/(1+SUMPRODUCT((終値!O342:AB342&gt;終値!P342:AC342)*(終値!O342:AB342-終値!P342:AC342))/SUMPRODUCT((終値!O342:AB342&lt;終値!P342:AC342)*(終値!P342:AC342-終値!O342:AB342))),100))),"弱気div▼","－")))</f>
      </c>
      <c r="T342" s="681">
        <f>IF($D342="","",IF($D342&gt;=$H342,"上walk▲",IF($D342&lt;=$I342,"下walk▼","－")))</f>
      </c>
      <c r="U342" s="681">
        <f>IF(終値!A342="","",BB_スイング!BT342)</f>
      </c>
      <c r="V342" s="689">
        <f>IF($D342="","",IFERROR(出来高!E342/AVERAGE(出来高!E342:I342),""))</f>
      </c>
      <c r="W342" s="690">
        <f>IF($D342="","",IF(AND($D342&gt;$G342,$O342="拡大↑",$L342&lt;=$M342*1.8),"◎スクイーズブレイク買",IF(AND($D342&gt;=$H342,$R342&gt;=BB設定!$B$10),"○順張り継続(walk)",IF(AND($S342="強気div▲",$D342&gt;$I342),"○反発(ダイバ)買",IF($U342="二番底W▲","△二番底買(確)",IF($U342="二番底W形成","△二番底形成",IF($D342&lt;$J342,"▼-2σ割れ危険",IF(AND($D342&gt;$E342,$K342&lt;0.6,$R342&gt;=50),"・押し目注目",IF($N342="スクイーズ★","☆スクイーズ監視","様子見")))))))))</f>
      </c>
      <c r="X342" s="685">
        <f>IF($D342="","",MIN(100,IF($L342&lt;=$M342*1.15,20,IF($L342&lt;=$M342*1.4,10,0))+IF($D342&gt;$G342,20,IF($D342&gt;$H342,12,IF($D342&gt;$E342,5,0)))+IF($O342="拡大↑",10,0)+IF($R342&gt;=80,15,IF($R342&gt;=60,10,IF($R342&gt;=50,5,0)))+IF(AND($Q342&gt;=50,$Q342&lt;=70),10,IF($Q342&gt;70,3,IF($Q342&gt;=40,5,0)))+IF($S342="強気div▲",15,0)+IF($T342="上walk▲",5,0)+IF($V342&gt;=2,5,IF($V342&gt;=1.5,3,0))))</f>
      </c>
      <c r="Y342" s="682">
        <f>IF($D342="","",$D342)</f>
      </c>
      <c r="Z342" s="682">
        <f>IF($D342="","",$H342)</f>
      </c>
      <c r="AA342" s="682">
        <f>IF($D342="","",IF($D342&gt;$E342,$E342,$AD342))</f>
      </c>
      <c r="AB342" s="682">
        <f>IF($D342="","",$G342)</f>
      </c>
      <c r="AC342" s="688">
        <f>IF($D342="","",IF(($Y342-$AA342)&lt;=0,"－",IFERROR(ROUND(MIN(20,($AB342-$Y342)/($Y342-$AA342)),2),"－")))</f>
      </c>
      <c r="AD342" s="682">
        <f>IF($D342="","",MIN(終値!E342:I342))</f>
      </c>
      <c r="AE342" s="684">
        <f>IF($D342="","",$X342+(10000-ROW())/100000)</f>
      </c>
    </row>
    <row r="343">
      <c r="A343" s="681">
        <f>IF(終値!A343="","",HYPERLINK("https://kabutan.jp/stock/?code="&amp;終値!A343,"📈"))</f>
      </c>
      <c r="B343" s="681">
        <f>IF(終値!A343="","",終値!A343)</f>
      </c>
      <c r="C343" s="680">
        <f>IF(終値!A343="","",終値!B343)</f>
      </c>
      <c r="D343" s="682">
        <f>IF(終値!A343="","",終値!E343)</f>
      </c>
      <c r="E343" s="682">
        <f>IF($D343="","",AVERAGE(終値!E343:X343))</f>
      </c>
      <c r="F343" s="683">
        <f>IF($D343="","",STDEVP(終値!E343:X343))</f>
      </c>
      <c r="G343" s="682">
        <f>IF($D343="","",$E343+BB設定!$B$4*$F343)</f>
      </c>
      <c r="H343" s="682">
        <f>IF($D343="","",$E343+BB設定!$B$5*$F343)</f>
      </c>
      <c r="I343" s="682">
        <f>IF($D343="","",$E343-BB設定!$B$5*$F343)</f>
      </c>
      <c r="J343" s="682">
        <f>IF($D343="","",$E343-BB設定!$B$4*$F343)</f>
      </c>
      <c r="K343" s="687">
        <f>IF($D343="","",IFERROR(($D343-$J343)/($G343-$J343),""))</f>
      </c>
      <c r="L343" s="686">
        <f>IF($D343="","",IFERROR(($G343-$J343)/$E343*100,""))</f>
      </c>
      <c r="M343" s="686">
        <f>IF($D343="","",IFERROR(MIN(BB_帯幅!B343:AP343)*100,""))</f>
      </c>
      <c r="N343" s="681">
        <f>IF($L343="","",IF($L343&lt;=$M343*BB設定!$B$7,"スクイーズ★",IF($L343&lt;=$M343*1.3,"収縮","－")))</f>
      </c>
      <c r="O343" s="681">
        <f>IF($D343="","",IF($L343&gt;(4*STDEVP(終値!F343:Y343)/AVERAGE(終値!F343:Y343)*100),"拡大↑","縮小↓"))</f>
      </c>
      <c r="P343" s="681">
        <f>IF($D343="","",IF($D343&gt;$G343,"↑+2σ突破",IF($D343&lt;$J343,"↓-2σ割れ",IF($D343&gt;$H343,"+1σ上",IF($D343&lt;$I343,"-1σ下","バンド内")))))</f>
      </c>
      <c r="Q343" s="684">
        <f>IF($D343="","",IFERROR(100-100/(1+SUMPRODUCT((終値!E343:R343&gt;終値!F343:S343)*(終値!E343:R343-終値!F343:S343))/SUMPRODUCT((終値!E343:R343&lt;終値!F343:S343)*(終値!F343:S343-終値!E343:R343))),100))</f>
      </c>
      <c r="R343" s="684">
        <f>IF($D343="","",IFERROR(100-100/(1+SUMPRODUCT((((高値!E343:R343+安値!E343:R343+終値!E343:R343)/3)&gt;((高値!F343:S343+安値!F343:S343+終値!F343:S343)/3))*((高値!E343:R343+安値!E343:R343+終値!E343:R343)/3)*出来高!E343:R343)/SUMPRODUCT((((高値!E343:R343+安値!E343:R343+終値!E343:R343)/3)&lt;((高値!F343:S343+安値!F343:S343+終値!F343:S343)/3))*((高値!E343:R343+安値!E343:R343+終値!E343:R343)/3)*出来高!E343:R343)),50))</f>
      </c>
      <c r="S343" s="681">
        <f>IF($D343="","",IF(AND(終値!E343&lt;終値!O343,$Q343&gt;(IFERROR(100-100/(1+SUMPRODUCT((終値!O343:AB343&gt;終値!P343:AC343)*(終値!O343:AB343-終値!P343:AC343))/SUMPRODUCT((終値!O343:AB343&lt;終値!P343:AC343)*(終値!P343:AC343-終値!O343:AB343))),100))),"強気div▲",IF(AND(終値!E343&gt;終値!O343,$Q343&lt;(IFERROR(100-100/(1+SUMPRODUCT((終値!O343:AB343&gt;終値!P343:AC343)*(終値!O343:AB343-終値!P343:AC343))/SUMPRODUCT((終値!O343:AB343&lt;終値!P343:AC343)*(終値!P343:AC343-終値!O343:AB343))),100))),"弱気div▼","－")))</f>
      </c>
      <c r="T343" s="681">
        <f>IF($D343="","",IF($D343&gt;=$H343,"上walk▲",IF($D343&lt;=$I343,"下walk▼","－")))</f>
      </c>
      <c r="U343" s="681">
        <f>IF(終値!A343="","",BB_スイング!BT343)</f>
      </c>
      <c r="V343" s="689">
        <f>IF($D343="","",IFERROR(出来高!E343/AVERAGE(出来高!E343:I343),""))</f>
      </c>
      <c r="W343" s="690">
        <f>IF($D343="","",IF(AND($D343&gt;$G343,$O343="拡大↑",$L343&lt;=$M343*1.8),"◎スクイーズブレイク買",IF(AND($D343&gt;=$H343,$R343&gt;=BB設定!$B$10),"○順張り継続(walk)",IF(AND($S343="強気div▲",$D343&gt;$I343),"○反発(ダイバ)買",IF($U343="二番底W▲","△二番底買(確)",IF($U343="二番底W形成","△二番底形成",IF($D343&lt;$J343,"▼-2σ割れ危険",IF(AND($D343&gt;$E343,$K343&lt;0.6,$R343&gt;=50),"・押し目注目",IF($N343="スクイーズ★","☆スクイーズ監視","様子見")))))))))</f>
      </c>
      <c r="X343" s="685">
        <f>IF($D343="","",MIN(100,IF($L343&lt;=$M343*1.15,20,IF($L343&lt;=$M343*1.4,10,0))+IF($D343&gt;$G343,20,IF($D343&gt;$H343,12,IF($D343&gt;$E343,5,0)))+IF($O343="拡大↑",10,0)+IF($R343&gt;=80,15,IF($R343&gt;=60,10,IF($R343&gt;=50,5,0)))+IF(AND($Q343&gt;=50,$Q343&lt;=70),10,IF($Q343&gt;70,3,IF($Q343&gt;=40,5,0)))+IF($S343="強気div▲",15,0)+IF($T343="上walk▲",5,0)+IF($V343&gt;=2,5,IF($V343&gt;=1.5,3,0))))</f>
      </c>
      <c r="Y343" s="682">
        <f>IF($D343="","",$D343)</f>
      </c>
      <c r="Z343" s="682">
        <f>IF($D343="","",$H343)</f>
      </c>
      <c r="AA343" s="682">
        <f>IF($D343="","",IF($D343&gt;$E343,$E343,$AD343))</f>
      </c>
      <c r="AB343" s="682">
        <f>IF($D343="","",$G343)</f>
      </c>
      <c r="AC343" s="688">
        <f>IF($D343="","",IF(($Y343-$AA343)&lt;=0,"－",IFERROR(ROUND(MIN(20,($AB343-$Y343)/($Y343-$AA343)),2),"－")))</f>
      </c>
      <c r="AD343" s="682">
        <f>IF($D343="","",MIN(終値!E343:I343))</f>
      </c>
      <c r="AE343" s="684">
        <f>IF($D343="","",$X343+(10000-ROW())/100000)</f>
      </c>
    </row>
    <row r="344">
      <c r="A344" s="681">
        <f>IF(終値!A344="","",HYPERLINK("https://kabutan.jp/stock/?code="&amp;終値!A344,"📈"))</f>
      </c>
      <c r="B344" s="681">
        <f>IF(終値!A344="","",終値!A344)</f>
      </c>
      <c r="C344" s="680">
        <f>IF(終値!A344="","",終値!B344)</f>
      </c>
      <c r="D344" s="682">
        <f>IF(終値!A344="","",終値!E344)</f>
      </c>
      <c r="E344" s="682">
        <f>IF($D344="","",AVERAGE(終値!E344:X344))</f>
      </c>
      <c r="F344" s="683">
        <f>IF($D344="","",STDEVP(終値!E344:X344))</f>
      </c>
      <c r="G344" s="682">
        <f>IF($D344="","",$E344+BB設定!$B$4*$F344)</f>
      </c>
      <c r="H344" s="682">
        <f>IF($D344="","",$E344+BB設定!$B$5*$F344)</f>
      </c>
      <c r="I344" s="682">
        <f>IF($D344="","",$E344-BB設定!$B$5*$F344)</f>
      </c>
      <c r="J344" s="682">
        <f>IF($D344="","",$E344-BB設定!$B$4*$F344)</f>
      </c>
      <c r="K344" s="687">
        <f>IF($D344="","",IFERROR(($D344-$J344)/($G344-$J344),""))</f>
      </c>
      <c r="L344" s="686">
        <f>IF($D344="","",IFERROR(($G344-$J344)/$E344*100,""))</f>
      </c>
      <c r="M344" s="686">
        <f>IF($D344="","",IFERROR(MIN(BB_帯幅!B344:AP344)*100,""))</f>
      </c>
      <c r="N344" s="681">
        <f>IF($L344="","",IF($L344&lt;=$M344*BB設定!$B$7,"スクイーズ★",IF($L344&lt;=$M344*1.3,"収縮","－")))</f>
      </c>
      <c r="O344" s="681">
        <f>IF($D344="","",IF($L344&gt;(4*STDEVP(終値!F344:Y344)/AVERAGE(終値!F344:Y344)*100),"拡大↑","縮小↓"))</f>
      </c>
      <c r="P344" s="681">
        <f>IF($D344="","",IF($D344&gt;$G344,"↑+2σ突破",IF($D344&lt;$J344,"↓-2σ割れ",IF($D344&gt;$H344,"+1σ上",IF($D344&lt;$I344,"-1σ下","バンド内")))))</f>
      </c>
      <c r="Q344" s="684">
        <f>IF($D344="","",IFERROR(100-100/(1+SUMPRODUCT((終値!E344:R344&gt;終値!F344:S344)*(終値!E344:R344-終値!F344:S344))/SUMPRODUCT((終値!E344:R344&lt;終値!F344:S344)*(終値!F344:S344-終値!E344:R344))),100))</f>
      </c>
      <c r="R344" s="684">
        <f>IF($D344="","",IFERROR(100-100/(1+SUMPRODUCT((((高値!E344:R344+安値!E344:R344+終値!E344:R344)/3)&gt;((高値!F344:S344+安値!F344:S344+終値!F344:S344)/3))*((高値!E344:R344+安値!E344:R344+終値!E344:R344)/3)*出来高!E344:R344)/SUMPRODUCT((((高値!E344:R344+安値!E344:R344+終値!E344:R344)/3)&lt;((高値!F344:S344+安値!F344:S344+終値!F344:S344)/3))*((高値!E344:R344+安値!E344:R344+終値!E344:R344)/3)*出来高!E344:R344)),50))</f>
      </c>
      <c r="S344" s="681">
        <f>IF($D344="","",IF(AND(終値!E344&lt;終値!O344,$Q344&gt;(IFERROR(100-100/(1+SUMPRODUCT((終値!O344:AB344&gt;終値!P344:AC344)*(終値!O344:AB344-終値!P344:AC344))/SUMPRODUCT((終値!O344:AB344&lt;終値!P344:AC344)*(終値!P344:AC344-終値!O344:AB344))),100))),"強気div▲",IF(AND(終値!E344&gt;終値!O344,$Q344&lt;(IFERROR(100-100/(1+SUMPRODUCT((終値!O344:AB344&gt;終値!P344:AC344)*(終値!O344:AB344-終値!P344:AC344))/SUMPRODUCT((終値!O344:AB344&lt;終値!P344:AC344)*(終値!P344:AC344-終値!O344:AB344))),100))),"弱気div▼","－")))</f>
      </c>
      <c r="T344" s="681">
        <f>IF($D344="","",IF($D344&gt;=$H344,"上walk▲",IF($D344&lt;=$I344,"下walk▼","－")))</f>
      </c>
      <c r="U344" s="681">
        <f>IF(終値!A344="","",BB_スイング!BT344)</f>
      </c>
      <c r="V344" s="689">
        <f>IF($D344="","",IFERROR(出来高!E344/AVERAGE(出来高!E344:I344),""))</f>
      </c>
      <c r="W344" s="690">
        <f>IF($D344="","",IF(AND($D344&gt;$G344,$O344="拡大↑",$L344&lt;=$M344*1.8),"◎スクイーズブレイク買",IF(AND($D344&gt;=$H344,$R344&gt;=BB設定!$B$10),"○順張り継続(walk)",IF(AND($S344="強気div▲",$D344&gt;$I344),"○反発(ダイバ)買",IF($U344="二番底W▲","△二番底買(確)",IF($U344="二番底W形成","△二番底形成",IF($D344&lt;$J344,"▼-2σ割れ危険",IF(AND($D344&gt;$E344,$K344&lt;0.6,$R344&gt;=50),"・押し目注目",IF($N344="スクイーズ★","☆スクイーズ監視","様子見")))))))))</f>
      </c>
      <c r="X344" s="685">
        <f>IF($D344="","",MIN(100,IF($L344&lt;=$M344*1.15,20,IF($L344&lt;=$M344*1.4,10,0))+IF($D344&gt;$G344,20,IF($D344&gt;$H344,12,IF($D344&gt;$E344,5,0)))+IF($O344="拡大↑",10,0)+IF($R344&gt;=80,15,IF($R344&gt;=60,10,IF($R344&gt;=50,5,0)))+IF(AND($Q344&gt;=50,$Q344&lt;=70),10,IF($Q344&gt;70,3,IF($Q344&gt;=40,5,0)))+IF($S344="強気div▲",15,0)+IF($T344="上walk▲",5,0)+IF($V344&gt;=2,5,IF($V344&gt;=1.5,3,0))))</f>
      </c>
      <c r="Y344" s="682">
        <f>IF($D344="","",$D344)</f>
      </c>
      <c r="Z344" s="682">
        <f>IF($D344="","",$H344)</f>
      </c>
      <c r="AA344" s="682">
        <f>IF($D344="","",IF($D344&gt;$E344,$E344,$AD344))</f>
      </c>
      <c r="AB344" s="682">
        <f>IF($D344="","",$G344)</f>
      </c>
      <c r="AC344" s="688">
        <f>IF($D344="","",IF(($Y344-$AA344)&lt;=0,"－",IFERROR(ROUND(MIN(20,($AB344-$Y344)/($Y344-$AA344)),2),"－")))</f>
      </c>
      <c r="AD344" s="682">
        <f>IF($D344="","",MIN(終値!E344:I344))</f>
      </c>
      <c r="AE344" s="684">
        <f>IF($D344="","",$X344+(10000-ROW())/100000)</f>
      </c>
    </row>
    <row r="345">
      <c r="A345" s="681">
        <f>IF(終値!A345="","",HYPERLINK("https://kabutan.jp/stock/?code="&amp;終値!A345,"📈"))</f>
      </c>
      <c r="B345" s="681">
        <f>IF(終値!A345="","",終値!A345)</f>
      </c>
      <c r="C345" s="680">
        <f>IF(終値!A345="","",終値!B345)</f>
      </c>
      <c r="D345" s="682">
        <f>IF(終値!A345="","",終値!E345)</f>
      </c>
      <c r="E345" s="682">
        <f>IF($D345="","",AVERAGE(終値!E345:X345))</f>
      </c>
      <c r="F345" s="683">
        <f>IF($D345="","",STDEVP(終値!E345:X345))</f>
      </c>
      <c r="G345" s="682">
        <f>IF($D345="","",$E345+BB設定!$B$4*$F345)</f>
      </c>
      <c r="H345" s="682">
        <f>IF($D345="","",$E345+BB設定!$B$5*$F345)</f>
      </c>
      <c r="I345" s="682">
        <f>IF($D345="","",$E345-BB設定!$B$5*$F345)</f>
      </c>
      <c r="J345" s="682">
        <f>IF($D345="","",$E345-BB設定!$B$4*$F345)</f>
      </c>
      <c r="K345" s="687">
        <f>IF($D345="","",IFERROR(($D345-$J345)/($G345-$J345),""))</f>
      </c>
      <c r="L345" s="686">
        <f>IF($D345="","",IFERROR(($G345-$J345)/$E345*100,""))</f>
      </c>
      <c r="M345" s="686">
        <f>IF($D345="","",IFERROR(MIN(BB_帯幅!B345:AP345)*100,""))</f>
      </c>
      <c r="N345" s="681">
        <f>IF($L345="","",IF($L345&lt;=$M345*BB設定!$B$7,"スクイーズ★",IF($L345&lt;=$M345*1.3,"収縮","－")))</f>
      </c>
      <c r="O345" s="681">
        <f>IF($D345="","",IF($L345&gt;(4*STDEVP(終値!F345:Y345)/AVERAGE(終値!F345:Y345)*100),"拡大↑","縮小↓"))</f>
      </c>
      <c r="P345" s="681">
        <f>IF($D345="","",IF($D345&gt;$G345,"↑+2σ突破",IF($D345&lt;$J345,"↓-2σ割れ",IF($D345&gt;$H345,"+1σ上",IF($D345&lt;$I345,"-1σ下","バンド内")))))</f>
      </c>
      <c r="Q345" s="684">
        <f>IF($D345="","",IFERROR(100-100/(1+SUMPRODUCT((終値!E345:R345&gt;終値!F345:S345)*(終値!E345:R345-終値!F345:S345))/SUMPRODUCT((終値!E345:R345&lt;終値!F345:S345)*(終値!F345:S345-終値!E345:R345))),100))</f>
      </c>
      <c r="R345" s="684">
        <f>IF($D345="","",IFERROR(100-100/(1+SUMPRODUCT((((高値!E345:R345+安値!E345:R345+終値!E345:R345)/3)&gt;((高値!F345:S345+安値!F345:S345+終値!F345:S345)/3))*((高値!E345:R345+安値!E345:R345+終値!E345:R345)/3)*出来高!E345:R345)/SUMPRODUCT((((高値!E345:R345+安値!E345:R345+終値!E345:R345)/3)&lt;((高値!F345:S345+安値!F345:S345+終値!F345:S345)/3))*((高値!E345:R345+安値!E345:R345+終値!E345:R345)/3)*出来高!E345:R345)),50))</f>
      </c>
      <c r="S345" s="681">
        <f>IF($D345="","",IF(AND(終値!E345&lt;終値!O345,$Q345&gt;(IFERROR(100-100/(1+SUMPRODUCT((終値!O345:AB345&gt;終値!P345:AC345)*(終値!O345:AB345-終値!P345:AC345))/SUMPRODUCT((終値!O345:AB345&lt;終値!P345:AC345)*(終値!P345:AC345-終値!O345:AB345))),100))),"強気div▲",IF(AND(終値!E345&gt;終値!O345,$Q345&lt;(IFERROR(100-100/(1+SUMPRODUCT((終値!O345:AB345&gt;終値!P345:AC345)*(終値!O345:AB345-終値!P345:AC345))/SUMPRODUCT((終値!O345:AB345&lt;終値!P345:AC345)*(終値!P345:AC345-終値!O345:AB345))),100))),"弱気div▼","－")))</f>
      </c>
      <c r="T345" s="681">
        <f>IF($D345="","",IF($D345&gt;=$H345,"上walk▲",IF($D345&lt;=$I345,"下walk▼","－")))</f>
      </c>
      <c r="U345" s="681">
        <f>IF(終値!A345="","",BB_スイング!BT345)</f>
      </c>
      <c r="V345" s="689">
        <f>IF($D345="","",IFERROR(出来高!E345/AVERAGE(出来高!E345:I345),""))</f>
      </c>
      <c r="W345" s="690">
        <f>IF($D345="","",IF(AND($D345&gt;$G345,$O345="拡大↑",$L345&lt;=$M345*1.8),"◎スクイーズブレイク買",IF(AND($D345&gt;=$H345,$R345&gt;=BB設定!$B$10),"○順張り継続(walk)",IF(AND($S345="強気div▲",$D345&gt;$I345),"○反発(ダイバ)買",IF($U345="二番底W▲","△二番底買(確)",IF($U345="二番底W形成","△二番底形成",IF($D345&lt;$J345,"▼-2σ割れ危険",IF(AND($D345&gt;$E345,$K345&lt;0.6,$R345&gt;=50),"・押し目注目",IF($N345="スクイーズ★","☆スクイーズ監視","様子見")))))))))</f>
      </c>
      <c r="X345" s="685">
        <f>IF($D345="","",MIN(100,IF($L345&lt;=$M345*1.15,20,IF($L345&lt;=$M345*1.4,10,0))+IF($D345&gt;$G345,20,IF($D345&gt;$H345,12,IF($D345&gt;$E345,5,0)))+IF($O345="拡大↑",10,0)+IF($R345&gt;=80,15,IF($R345&gt;=60,10,IF($R345&gt;=50,5,0)))+IF(AND($Q345&gt;=50,$Q345&lt;=70),10,IF($Q345&gt;70,3,IF($Q345&gt;=40,5,0)))+IF($S345="強気div▲",15,0)+IF($T345="上walk▲",5,0)+IF($V345&gt;=2,5,IF($V345&gt;=1.5,3,0))))</f>
      </c>
      <c r="Y345" s="682">
        <f>IF($D345="","",$D345)</f>
      </c>
      <c r="Z345" s="682">
        <f>IF($D345="","",$H345)</f>
      </c>
      <c r="AA345" s="682">
        <f>IF($D345="","",IF($D345&gt;$E345,$E345,$AD345))</f>
      </c>
      <c r="AB345" s="682">
        <f>IF($D345="","",$G345)</f>
      </c>
      <c r="AC345" s="688">
        <f>IF($D345="","",IF(($Y345-$AA345)&lt;=0,"－",IFERROR(ROUND(MIN(20,($AB345-$Y345)/($Y345-$AA345)),2),"－")))</f>
      </c>
      <c r="AD345" s="682">
        <f>IF($D345="","",MIN(終値!E345:I345))</f>
      </c>
      <c r="AE345" s="684">
        <f>IF($D345="","",$X345+(10000-ROW())/100000)</f>
      </c>
    </row>
    <row r="346">
      <c r="A346" s="681">
        <f>IF(終値!A346="","",HYPERLINK("https://kabutan.jp/stock/?code="&amp;終値!A346,"📈"))</f>
      </c>
      <c r="B346" s="681">
        <f>IF(終値!A346="","",終値!A346)</f>
      </c>
      <c r="C346" s="680">
        <f>IF(終値!A346="","",終値!B346)</f>
      </c>
      <c r="D346" s="682">
        <f>IF(終値!A346="","",終値!E346)</f>
      </c>
      <c r="E346" s="682">
        <f>IF($D346="","",AVERAGE(終値!E346:X346))</f>
      </c>
      <c r="F346" s="683">
        <f>IF($D346="","",STDEVP(終値!E346:X346))</f>
      </c>
      <c r="G346" s="682">
        <f>IF($D346="","",$E346+BB設定!$B$4*$F346)</f>
      </c>
      <c r="H346" s="682">
        <f>IF($D346="","",$E346+BB設定!$B$5*$F346)</f>
      </c>
      <c r="I346" s="682">
        <f>IF($D346="","",$E346-BB設定!$B$5*$F346)</f>
      </c>
      <c r="J346" s="682">
        <f>IF($D346="","",$E346-BB設定!$B$4*$F346)</f>
      </c>
      <c r="K346" s="687">
        <f>IF($D346="","",IFERROR(($D346-$J346)/($G346-$J346),""))</f>
      </c>
      <c r="L346" s="686">
        <f>IF($D346="","",IFERROR(($G346-$J346)/$E346*100,""))</f>
      </c>
      <c r="M346" s="686">
        <f>IF($D346="","",IFERROR(MIN(BB_帯幅!B346:AP346)*100,""))</f>
      </c>
      <c r="N346" s="681">
        <f>IF($L346="","",IF($L346&lt;=$M346*BB設定!$B$7,"スクイーズ★",IF($L346&lt;=$M346*1.3,"収縮","－")))</f>
      </c>
      <c r="O346" s="681">
        <f>IF($D346="","",IF($L346&gt;(4*STDEVP(終値!F346:Y346)/AVERAGE(終値!F346:Y346)*100),"拡大↑","縮小↓"))</f>
      </c>
      <c r="P346" s="681">
        <f>IF($D346="","",IF($D346&gt;$G346,"↑+2σ突破",IF($D346&lt;$J346,"↓-2σ割れ",IF($D346&gt;$H346,"+1σ上",IF($D346&lt;$I346,"-1σ下","バンド内")))))</f>
      </c>
      <c r="Q346" s="684">
        <f>IF($D346="","",IFERROR(100-100/(1+SUMPRODUCT((終値!E346:R346&gt;終値!F346:S346)*(終値!E346:R346-終値!F346:S346))/SUMPRODUCT((終値!E346:R346&lt;終値!F346:S346)*(終値!F346:S346-終値!E346:R346))),100))</f>
      </c>
      <c r="R346" s="684">
        <f>IF($D346="","",IFERROR(100-100/(1+SUMPRODUCT((((高値!E346:R346+安値!E346:R346+終値!E346:R346)/3)&gt;((高値!F346:S346+安値!F346:S346+終値!F346:S346)/3))*((高値!E346:R346+安値!E346:R346+終値!E346:R346)/3)*出来高!E346:R346)/SUMPRODUCT((((高値!E346:R346+安値!E346:R346+終値!E346:R346)/3)&lt;((高値!F346:S346+安値!F346:S346+終値!F346:S346)/3))*((高値!E346:R346+安値!E346:R346+終値!E346:R346)/3)*出来高!E346:R346)),50))</f>
      </c>
      <c r="S346" s="681">
        <f>IF($D346="","",IF(AND(終値!E346&lt;終値!O346,$Q346&gt;(IFERROR(100-100/(1+SUMPRODUCT((終値!O346:AB346&gt;終値!P346:AC346)*(終値!O346:AB346-終値!P346:AC346))/SUMPRODUCT((終値!O346:AB346&lt;終値!P346:AC346)*(終値!P346:AC346-終値!O346:AB346))),100))),"強気div▲",IF(AND(終値!E346&gt;終値!O346,$Q346&lt;(IFERROR(100-100/(1+SUMPRODUCT((終値!O346:AB346&gt;終値!P346:AC346)*(終値!O346:AB346-終値!P346:AC346))/SUMPRODUCT((終値!O346:AB346&lt;終値!P346:AC346)*(終値!P346:AC346-終値!O346:AB346))),100))),"弱気div▼","－")))</f>
      </c>
      <c r="T346" s="681">
        <f>IF($D346="","",IF($D346&gt;=$H346,"上walk▲",IF($D346&lt;=$I346,"下walk▼","－")))</f>
      </c>
      <c r="U346" s="681">
        <f>IF(終値!A346="","",BB_スイング!BT346)</f>
      </c>
      <c r="V346" s="689">
        <f>IF($D346="","",IFERROR(出来高!E346/AVERAGE(出来高!E346:I346),""))</f>
      </c>
      <c r="W346" s="690">
        <f>IF($D346="","",IF(AND($D346&gt;$G346,$O346="拡大↑",$L346&lt;=$M346*1.8),"◎スクイーズブレイク買",IF(AND($D346&gt;=$H346,$R346&gt;=BB設定!$B$10),"○順張り継続(walk)",IF(AND($S346="強気div▲",$D346&gt;$I346),"○反発(ダイバ)買",IF($U346="二番底W▲","△二番底買(確)",IF($U346="二番底W形成","△二番底形成",IF($D346&lt;$J346,"▼-2σ割れ危険",IF(AND($D346&gt;$E346,$K346&lt;0.6,$R346&gt;=50),"・押し目注目",IF($N346="スクイーズ★","☆スクイーズ監視","様子見")))))))))</f>
      </c>
      <c r="X346" s="685">
        <f>IF($D346="","",MIN(100,IF($L346&lt;=$M346*1.15,20,IF($L346&lt;=$M346*1.4,10,0))+IF($D346&gt;$G346,20,IF($D346&gt;$H346,12,IF($D346&gt;$E346,5,0)))+IF($O346="拡大↑",10,0)+IF($R346&gt;=80,15,IF($R346&gt;=60,10,IF($R346&gt;=50,5,0)))+IF(AND($Q346&gt;=50,$Q346&lt;=70),10,IF($Q346&gt;70,3,IF($Q346&gt;=40,5,0)))+IF($S346="強気div▲",15,0)+IF($T346="上walk▲",5,0)+IF($V346&gt;=2,5,IF($V346&gt;=1.5,3,0))))</f>
      </c>
      <c r="Y346" s="682">
        <f>IF($D346="","",$D346)</f>
      </c>
      <c r="Z346" s="682">
        <f>IF($D346="","",$H346)</f>
      </c>
      <c r="AA346" s="682">
        <f>IF($D346="","",IF($D346&gt;$E346,$E346,$AD346))</f>
      </c>
      <c r="AB346" s="682">
        <f>IF($D346="","",$G346)</f>
      </c>
      <c r="AC346" s="688">
        <f>IF($D346="","",IF(($Y346-$AA346)&lt;=0,"－",IFERROR(ROUND(MIN(20,($AB346-$Y346)/($Y346-$AA346)),2),"－")))</f>
      </c>
      <c r="AD346" s="682">
        <f>IF($D346="","",MIN(終値!E346:I346))</f>
      </c>
      <c r="AE346" s="684">
        <f>IF($D346="","",$X346+(10000-ROW())/100000)</f>
      </c>
    </row>
    <row r="347">
      <c r="A347" s="681">
        <f>IF(終値!A347="","",HYPERLINK("https://kabutan.jp/stock/?code="&amp;終値!A347,"📈"))</f>
      </c>
      <c r="B347" s="681">
        <f>IF(終値!A347="","",終値!A347)</f>
      </c>
      <c r="C347" s="680">
        <f>IF(終値!A347="","",終値!B347)</f>
      </c>
      <c r="D347" s="682">
        <f>IF(終値!A347="","",終値!E347)</f>
      </c>
      <c r="E347" s="682">
        <f>IF($D347="","",AVERAGE(終値!E347:X347))</f>
      </c>
      <c r="F347" s="683">
        <f>IF($D347="","",STDEVP(終値!E347:X347))</f>
      </c>
      <c r="G347" s="682">
        <f>IF($D347="","",$E347+BB設定!$B$4*$F347)</f>
      </c>
      <c r="H347" s="682">
        <f>IF($D347="","",$E347+BB設定!$B$5*$F347)</f>
      </c>
      <c r="I347" s="682">
        <f>IF($D347="","",$E347-BB設定!$B$5*$F347)</f>
      </c>
      <c r="J347" s="682">
        <f>IF($D347="","",$E347-BB設定!$B$4*$F347)</f>
      </c>
      <c r="K347" s="687">
        <f>IF($D347="","",IFERROR(($D347-$J347)/($G347-$J347),""))</f>
      </c>
      <c r="L347" s="686">
        <f>IF($D347="","",IFERROR(($G347-$J347)/$E347*100,""))</f>
      </c>
      <c r="M347" s="686">
        <f>IF($D347="","",IFERROR(MIN(BB_帯幅!B347:AP347)*100,""))</f>
      </c>
      <c r="N347" s="681">
        <f>IF($L347="","",IF($L347&lt;=$M347*BB設定!$B$7,"スクイーズ★",IF($L347&lt;=$M347*1.3,"収縮","－")))</f>
      </c>
      <c r="O347" s="681">
        <f>IF($D347="","",IF($L347&gt;(4*STDEVP(終値!F347:Y347)/AVERAGE(終値!F347:Y347)*100),"拡大↑","縮小↓"))</f>
      </c>
      <c r="P347" s="681">
        <f>IF($D347="","",IF($D347&gt;$G347,"↑+2σ突破",IF($D347&lt;$J347,"↓-2σ割れ",IF($D347&gt;$H347,"+1σ上",IF($D347&lt;$I347,"-1σ下","バンド内")))))</f>
      </c>
      <c r="Q347" s="684">
        <f>IF($D347="","",IFERROR(100-100/(1+SUMPRODUCT((終値!E347:R347&gt;終値!F347:S347)*(終値!E347:R347-終値!F347:S347))/SUMPRODUCT((終値!E347:R347&lt;終値!F347:S347)*(終値!F347:S347-終値!E347:R347))),100))</f>
      </c>
      <c r="R347" s="684">
        <f>IF($D347="","",IFERROR(100-100/(1+SUMPRODUCT((((高値!E347:R347+安値!E347:R347+終値!E347:R347)/3)&gt;((高値!F347:S347+安値!F347:S347+終値!F347:S347)/3))*((高値!E347:R347+安値!E347:R347+終値!E347:R347)/3)*出来高!E347:R347)/SUMPRODUCT((((高値!E347:R347+安値!E347:R347+終値!E347:R347)/3)&lt;((高値!F347:S347+安値!F347:S347+終値!F347:S347)/3))*((高値!E347:R347+安値!E347:R347+終値!E347:R347)/3)*出来高!E347:R347)),50))</f>
      </c>
      <c r="S347" s="681">
        <f>IF($D347="","",IF(AND(終値!E347&lt;終値!O347,$Q347&gt;(IFERROR(100-100/(1+SUMPRODUCT((終値!O347:AB347&gt;終値!P347:AC347)*(終値!O347:AB347-終値!P347:AC347))/SUMPRODUCT((終値!O347:AB347&lt;終値!P347:AC347)*(終値!P347:AC347-終値!O347:AB347))),100))),"強気div▲",IF(AND(終値!E347&gt;終値!O347,$Q347&lt;(IFERROR(100-100/(1+SUMPRODUCT((終値!O347:AB347&gt;終値!P347:AC347)*(終値!O347:AB347-終値!P347:AC347))/SUMPRODUCT((終値!O347:AB347&lt;終値!P347:AC347)*(終値!P347:AC347-終値!O347:AB347))),100))),"弱気div▼","－")))</f>
      </c>
      <c r="T347" s="681">
        <f>IF($D347="","",IF($D347&gt;=$H347,"上walk▲",IF($D347&lt;=$I347,"下walk▼","－")))</f>
      </c>
      <c r="U347" s="681">
        <f>IF(終値!A347="","",BB_スイング!BT347)</f>
      </c>
      <c r="V347" s="689">
        <f>IF($D347="","",IFERROR(出来高!E347/AVERAGE(出来高!E347:I347),""))</f>
      </c>
      <c r="W347" s="690">
        <f>IF($D347="","",IF(AND($D347&gt;$G347,$O347="拡大↑",$L347&lt;=$M347*1.8),"◎スクイーズブレイク買",IF(AND($D347&gt;=$H347,$R347&gt;=BB設定!$B$10),"○順張り継続(walk)",IF(AND($S347="強気div▲",$D347&gt;$I347),"○反発(ダイバ)買",IF($U347="二番底W▲","△二番底買(確)",IF($U347="二番底W形成","△二番底形成",IF($D347&lt;$J347,"▼-2σ割れ危険",IF(AND($D347&gt;$E347,$K347&lt;0.6,$R347&gt;=50),"・押し目注目",IF($N347="スクイーズ★","☆スクイーズ監視","様子見")))))))))</f>
      </c>
      <c r="X347" s="685">
        <f>IF($D347="","",MIN(100,IF($L347&lt;=$M347*1.15,20,IF($L347&lt;=$M347*1.4,10,0))+IF($D347&gt;$G347,20,IF($D347&gt;$H347,12,IF($D347&gt;$E347,5,0)))+IF($O347="拡大↑",10,0)+IF($R347&gt;=80,15,IF($R347&gt;=60,10,IF($R347&gt;=50,5,0)))+IF(AND($Q347&gt;=50,$Q347&lt;=70),10,IF($Q347&gt;70,3,IF($Q347&gt;=40,5,0)))+IF($S347="強気div▲",15,0)+IF($T347="上walk▲",5,0)+IF($V347&gt;=2,5,IF($V347&gt;=1.5,3,0))))</f>
      </c>
      <c r="Y347" s="682">
        <f>IF($D347="","",$D347)</f>
      </c>
      <c r="Z347" s="682">
        <f>IF($D347="","",$H347)</f>
      </c>
      <c r="AA347" s="682">
        <f>IF($D347="","",IF($D347&gt;$E347,$E347,$AD347))</f>
      </c>
      <c r="AB347" s="682">
        <f>IF($D347="","",$G347)</f>
      </c>
      <c r="AC347" s="688">
        <f>IF($D347="","",IF(($Y347-$AA347)&lt;=0,"－",IFERROR(ROUND(MIN(20,($AB347-$Y347)/($Y347-$AA347)),2),"－")))</f>
      </c>
      <c r="AD347" s="682">
        <f>IF($D347="","",MIN(終値!E347:I347))</f>
      </c>
      <c r="AE347" s="684">
        <f>IF($D347="","",$X347+(10000-ROW())/100000)</f>
      </c>
    </row>
    <row r="348">
      <c r="A348" s="681">
        <f>IF(終値!A348="","",HYPERLINK("https://kabutan.jp/stock/?code="&amp;終値!A348,"📈"))</f>
      </c>
      <c r="B348" s="681">
        <f>IF(終値!A348="","",終値!A348)</f>
      </c>
      <c r="C348" s="680">
        <f>IF(終値!A348="","",終値!B348)</f>
      </c>
      <c r="D348" s="682">
        <f>IF(終値!A348="","",終値!E348)</f>
      </c>
      <c r="E348" s="682">
        <f>IF($D348="","",AVERAGE(終値!E348:X348))</f>
      </c>
      <c r="F348" s="683">
        <f>IF($D348="","",STDEVP(終値!E348:X348))</f>
      </c>
      <c r="G348" s="682">
        <f>IF($D348="","",$E348+BB設定!$B$4*$F348)</f>
      </c>
      <c r="H348" s="682">
        <f>IF($D348="","",$E348+BB設定!$B$5*$F348)</f>
      </c>
      <c r="I348" s="682">
        <f>IF($D348="","",$E348-BB設定!$B$5*$F348)</f>
      </c>
      <c r="J348" s="682">
        <f>IF($D348="","",$E348-BB設定!$B$4*$F348)</f>
      </c>
      <c r="K348" s="687">
        <f>IF($D348="","",IFERROR(($D348-$J348)/($G348-$J348),""))</f>
      </c>
      <c r="L348" s="686">
        <f>IF($D348="","",IFERROR(($G348-$J348)/$E348*100,""))</f>
      </c>
      <c r="M348" s="686">
        <f>IF($D348="","",IFERROR(MIN(BB_帯幅!B348:AP348)*100,""))</f>
      </c>
      <c r="N348" s="681">
        <f>IF($L348="","",IF($L348&lt;=$M348*BB設定!$B$7,"スクイーズ★",IF($L348&lt;=$M348*1.3,"収縮","－")))</f>
      </c>
      <c r="O348" s="681">
        <f>IF($D348="","",IF($L348&gt;(4*STDEVP(終値!F348:Y348)/AVERAGE(終値!F348:Y348)*100),"拡大↑","縮小↓"))</f>
      </c>
      <c r="P348" s="681">
        <f>IF($D348="","",IF($D348&gt;$G348,"↑+2σ突破",IF($D348&lt;$J348,"↓-2σ割れ",IF($D348&gt;$H348,"+1σ上",IF($D348&lt;$I348,"-1σ下","バンド内")))))</f>
      </c>
      <c r="Q348" s="684">
        <f>IF($D348="","",IFERROR(100-100/(1+SUMPRODUCT((終値!E348:R348&gt;終値!F348:S348)*(終値!E348:R348-終値!F348:S348))/SUMPRODUCT((終値!E348:R348&lt;終値!F348:S348)*(終値!F348:S348-終値!E348:R348))),100))</f>
      </c>
      <c r="R348" s="684">
        <f>IF($D348="","",IFERROR(100-100/(1+SUMPRODUCT((((高値!E348:R348+安値!E348:R348+終値!E348:R348)/3)&gt;((高値!F348:S348+安値!F348:S348+終値!F348:S348)/3))*((高値!E348:R348+安値!E348:R348+終値!E348:R348)/3)*出来高!E348:R348)/SUMPRODUCT((((高値!E348:R348+安値!E348:R348+終値!E348:R348)/3)&lt;((高値!F348:S348+安値!F348:S348+終値!F348:S348)/3))*((高値!E348:R348+安値!E348:R348+終値!E348:R348)/3)*出来高!E348:R348)),50))</f>
      </c>
      <c r="S348" s="681">
        <f>IF($D348="","",IF(AND(終値!E348&lt;終値!O348,$Q348&gt;(IFERROR(100-100/(1+SUMPRODUCT((終値!O348:AB348&gt;終値!P348:AC348)*(終値!O348:AB348-終値!P348:AC348))/SUMPRODUCT((終値!O348:AB348&lt;終値!P348:AC348)*(終値!P348:AC348-終値!O348:AB348))),100))),"強気div▲",IF(AND(終値!E348&gt;終値!O348,$Q348&lt;(IFERROR(100-100/(1+SUMPRODUCT((終値!O348:AB348&gt;終値!P348:AC348)*(終値!O348:AB348-終値!P348:AC348))/SUMPRODUCT((終値!O348:AB348&lt;終値!P348:AC348)*(終値!P348:AC348-終値!O348:AB348))),100))),"弱気div▼","－")))</f>
      </c>
      <c r="T348" s="681">
        <f>IF($D348="","",IF($D348&gt;=$H348,"上walk▲",IF($D348&lt;=$I348,"下walk▼","－")))</f>
      </c>
      <c r="U348" s="681">
        <f>IF(終値!A348="","",BB_スイング!BT348)</f>
      </c>
      <c r="V348" s="689">
        <f>IF($D348="","",IFERROR(出来高!E348/AVERAGE(出来高!E348:I348),""))</f>
      </c>
      <c r="W348" s="690">
        <f>IF($D348="","",IF(AND($D348&gt;$G348,$O348="拡大↑",$L348&lt;=$M348*1.8),"◎スクイーズブレイク買",IF(AND($D348&gt;=$H348,$R348&gt;=BB設定!$B$10),"○順張り継続(walk)",IF(AND($S348="強気div▲",$D348&gt;$I348),"○反発(ダイバ)買",IF($U348="二番底W▲","△二番底買(確)",IF($U348="二番底W形成","△二番底形成",IF($D348&lt;$J348,"▼-2σ割れ危険",IF(AND($D348&gt;$E348,$K348&lt;0.6,$R348&gt;=50),"・押し目注目",IF($N348="スクイーズ★","☆スクイーズ監視","様子見")))))))))</f>
      </c>
      <c r="X348" s="685">
        <f>IF($D348="","",MIN(100,IF($L348&lt;=$M348*1.15,20,IF($L348&lt;=$M348*1.4,10,0))+IF($D348&gt;$G348,20,IF($D348&gt;$H348,12,IF($D348&gt;$E348,5,0)))+IF($O348="拡大↑",10,0)+IF($R348&gt;=80,15,IF($R348&gt;=60,10,IF($R348&gt;=50,5,0)))+IF(AND($Q348&gt;=50,$Q348&lt;=70),10,IF($Q348&gt;70,3,IF($Q348&gt;=40,5,0)))+IF($S348="強気div▲",15,0)+IF($T348="上walk▲",5,0)+IF($V348&gt;=2,5,IF($V348&gt;=1.5,3,0))))</f>
      </c>
      <c r="Y348" s="682">
        <f>IF($D348="","",$D348)</f>
      </c>
      <c r="Z348" s="682">
        <f>IF($D348="","",$H348)</f>
      </c>
      <c r="AA348" s="682">
        <f>IF($D348="","",IF($D348&gt;$E348,$E348,$AD348))</f>
      </c>
      <c r="AB348" s="682">
        <f>IF($D348="","",$G348)</f>
      </c>
      <c r="AC348" s="688">
        <f>IF($D348="","",IF(($Y348-$AA348)&lt;=0,"－",IFERROR(ROUND(MIN(20,($AB348-$Y348)/($Y348-$AA348)),2),"－")))</f>
      </c>
      <c r="AD348" s="682">
        <f>IF($D348="","",MIN(終値!E348:I348))</f>
      </c>
      <c r="AE348" s="684">
        <f>IF($D348="","",$X348+(10000-ROW())/100000)</f>
      </c>
    </row>
    <row r="349">
      <c r="A349" s="681">
        <f>IF(終値!A349="","",HYPERLINK("https://kabutan.jp/stock/?code="&amp;終値!A349,"📈"))</f>
      </c>
      <c r="B349" s="681">
        <f>IF(終値!A349="","",終値!A349)</f>
      </c>
      <c r="C349" s="680">
        <f>IF(終値!A349="","",終値!B349)</f>
      </c>
      <c r="D349" s="682">
        <f>IF(終値!A349="","",終値!E349)</f>
      </c>
      <c r="E349" s="682">
        <f>IF($D349="","",AVERAGE(終値!E349:X349))</f>
      </c>
      <c r="F349" s="683">
        <f>IF($D349="","",STDEVP(終値!E349:X349))</f>
      </c>
      <c r="G349" s="682">
        <f>IF($D349="","",$E349+BB設定!$B$4*$F349)</f>
      </c>
      <c r="H349" s="682">
        <f>IF($D349="","",$E349+BB設定!$B$5*$F349)</f>
      </c>
      <c r="I349" s="682">
        <f>IF($D349="","",$E349-BB設定!$B$5*$F349)</f>
      </c>
      <c r="J349" s="682">
        <f>IF($D349="","",$E349-BB設定!$B$4*$F349)</f>
      </c>
      <c r="K349" s="687">
        <f>IF($D349="","",IFERROR(($D349-$J349)/($G349-$J349),""))</f>
      </c>
      <c r="L349" s="686">
        <f>IF($D349="","",IFERROR(($G349-$J349)/$E349*100,""))</f>
      </c>
      <c r="M349" s="686">
        <f>IF($D349="","",IFERROR(MIN(BB_帯幅!B349:AP349)*100,""))</f>
      </c>
      <c r="N349" s="681">
        <f>IF($L349="","",IF($L349&lt;=$M349*BB設定!$B$7,"スクイーズ★",IF($L349&lt;=$M349*1.3,"収縮","－")))</f>
      </c>
      <c r="O349" s="681">
        <f>IF($D349="","",IF($L349&gt;(4*STDEVP(終値!F349:Y349)/AVERAGE(終値!F349:Y349)*100),"拡大↑","縮小↓"))</f>
      </c>
      <c r="P349" s="681">
        <f>IF($D349="","",IF($D349&gt;$G349,"↑+2σ突破",IF($D349&lt;$J349,"↓-2σ割れ",IF($D349&gt;$H349,"+1σ上",IF($D349&lt;$I349,"-1σ下","バンド内")))))</f>
      </c>
      <c r="Q349" s="684">
        <f>IF($D349="","",IFERROR(100-100/(1+SUMPRODUCT((終値!E349:R349&gt;終値!F349:S349)*(終値!E349:R349-終値!F349:S349))/SUMPRODUCT((終値!E349:R349&lt;終値!F349:S349)*(終値!F349:S349-終値!E349:R349))),100))</f>
      </c>
      <c r="R349" s="684">
        <f>IF($D349="","",IFERROR(100-100/(1+SUMPRODUCT((((高値!E349:R349+安値!E349:R349+終値!E349:R349)/3)&gt;((高値!F349:S349+安値!F349:S349+終値!F349:S349)/3))*((高値!E349:R349+安値!E349:R349+終値!E349:R349)/3)*出来高!E349:R349)/SUMPRODUCT((((高値!E349:R349+安値!E349:R349+終値!E349:R349)/3)&lt;((高値!F349:S349+安値!F349:S349+終値!F349:S349)/3))*((高値!E349:R349+安値!E349:R349+終値!E349:R349)/3)*出来高!E349:R349)),50))</f>
      </c>
      <c r="S349" s="681">
        <f>IF($D349="","",IF(AND(終値!E349&lt;終値!O349,$Q349&gt;(IFERROR(100-100/(1+SUMPRODUCT((終値!O349:AB349&gt;終値!P349:AC349)*(終値!O349:AB349-終値!P349:AC349))/SUMPRODUCT((終値!O349:AB349&lt;終値!P349:AC349)*(終値!P349:AC349-終値!O349:AB349))),100))),"強気div▲",IF(AND(終値!E349&gt;終値!O349,$Q349&lt;(IFERROR(100-100/(1+SUMPRODUCT((終値!O349:AB349&gt;終値!P349:AC349)*(終値!O349:AB349-終値!P349:AC349))/SUMPRODUCT((終値!O349:AB349&lt;終値!P349:AC349)*(終値!P349:AC349-終値!O349:AB349))),100))),"弱気div▼","－")))</f>
      </c>
      <c r="T349" s="681">
        <f>IF($D349="","",IF($D349&gt;=$H349,"上walk▲",IF($D349&lt;=$I349,"下walk▼","－")))</f>
      </c>
      <c r="U349" s="681">
        <f>IF(終値!A349="","",BB_スイング!BT349)</f>
      </c>
      <c r="V349" s="689">
        <f>IF($D349="","",IFERROR(出来高!E349/AVERAGE(出来高!E349:I349),""))</f>
      </c>
      <c r="W349" s="690">
        <f>IF($D349="","",IF(AND($D349&gt;$G349,$O349="拡大↑",$L349&lt;=$M349*1.8),"◎スクイーズブレイク買",IF(AND($D349&gt;=$H349,$R349&gt;=BB設定!$B$10),"○順張り継続(walk)",IF(AND($S349="強気div▲",$D349&gt;$I349),"○反発(ダイバ)買",IF($U349="二番底W▲","△二番底買(確)",IF($U349="二番底W形成","△二番底形成",IF($D349&lt;$J349,"▼-2σ割れ危険",IF(AND($D349&gt;$E349,$K349&lt;0.6,$R349&gt;=50),"・押し目注目",IF($N349="スクイーズ★","☆スクイーズ監視","様子見")))))))))</f>
      </c>
      <c r="X349" s="685">
        <f>IF($D349="","",MIN(100,IF($L349&lt;=$M349*1.15,20,IF($L349&lt;=$M349*1.4,10,0))+IF($D349&gt;$G349,20,IF($D349&gt;$H349,12,IF($D349&gt;$E349,5,0)))+IF($O349="拡大↑",10,0)+IF($R349&gt;=80,15,IF($R349&gt;=60,10,IF($R349&gt;=50,5,0)))+IF(AND($Q349&gt;=50,$Q349&lt;=70),10,IF($Q349&gt;70,3,IF($Q349&gt;=40,5,0)))+IF($S349="強気div▲",15,0)+IF($T349="上walk▲",5,0)+IF($V349&gt;=2,5,IF($V349&gt;=1.5,3,0))))</f>
      </c>
      <c r="Y349" s="682">
        <f>IF($D349="","",$D349)</f>
      </c>
      <c r="Z349" s="682">
        <f>IF($D349="","",$H349)</f>
      </c>
      <c r="AA349" s="682">
        <f>IF($D349="","",IF($D349&gt;$E349,$E349,$AD349))</f>
      </c>
      <c r="AB349" s="682">
        <f>IF($D349="","",$G349)</f>
      </c>
      <c r="AC349" s="688">
        <f>IF($D349="","",IF(($Y349-$AA349)&lt;=0,"－",IFERROR(ROUND(MIN(20,($AB349-$Y349)/($Y349-$AA349)),2),"－")))</f>
      </c>
      <c r="AD349" s="682">
        <f>IF($D349="","",MIN(終値!E349:I349))</f>
      </c>
      <c r="AE349" s="684">
        <f>IF($D349="","",$X349+(10000-ROW())/100000)</f>
      </c>
    </row>
    <row r="350">
      <c r="A350" s="681">
        <f>IF(終値!A350="","",HYPERLINK("https://kabutan.jp/stock/?code="&amp;終値!A350,"📈"))</f>
      </c>
      <c r="B350" s="681">
        <f>IF(終値!A350="","",終値!A350)</f>
      </c>
      <c r="C350" s="680">
        <f>IF(終値!A350="","",終値!B350)</f>
      </c>
      <c r="D350" s="682">
        <f>IF(終値!A350="","",終値!E350)</f>
      </c>
      <c r="E350" s="682">
        <f>IF($D350="","",AVERAGE(終値!E350:X350))</f>
      </c>
      <c r="F350" s="683">
        <f>IF($D350="","",STDEVP(終値!E350:X350))</f>
      </c>
      <c r="G350" s="682">
        <f>IF($D350="","",$E350+BB設定!$B$4*$F350)</f>
      </c>
      <c r="H350" s="682">
        <f>IF($D350="","",$E350+BB設定!$B$5*$F350)</f>
      </c>
      <c r="I350" s="682">
        <f>IF($D350="","",$E350-BB設定!$B$5*$F350)</f>
      </c>
      <c r="J350" s="682">
        <f>IF($D350="","",$E350-BB設定!$B$4*$F350)</f>
      </c>
      <c r="K350" s="687">
        <f>IF($D350="","",IFERROR(($D350-$J350)/($G350-$J350),""))</f>
      </c>
      <c r="L350" s="686">
        <f>IF($D350="","",IFERROR(($G350-$J350)/$E350*100,""))</f>
      </c>
      <c r="M350" s="686">
        <f>IF($D350="","",IFERROR(MIN(BB_帯幅!B350:AP350)*100,""))</f>
      </c>
      <c r="N350" s="681">
        <f>IF($L350="","",IF($L350&lt;=$M350*BB設定!$B$7,"スクイーズ★",IF($L350&lt;=$M350*1.3,"収縮","－")))</f>
      </c>
      <c r="O350" s="681">
        <f>IF($D350="","",IF($L350&gt;(4*STDEVP(終値!F350:Y350)/AVERAGE(終値!F350:Y350)*100),"拡大↑","縮小↓"))</f>
      </c>
      <c r="P350" s="681">
        <f>IF($D350="","",IF($D350&gt;$G350,"↑+2σ突破",IF($D350&lt;$J350,"↓-2σ割れ",IF($D350&gt;$H350,"+1σ上",IF($D350&lt;$I350,"-1σ下","バンド内")))))</f>
      </c>
      <c r="Q350" s="684">
        <f>IF($D350="","",IFERROR(100-100/(1+SUMPRODUCT((終値!E350:R350&gt;終値!F350:S350)*(終値!E350:R350-終値!F350:S350))/SUMPRODUCT((終値!E350:R350&lt;終値!F350:S350)*(終値!F350:S350-終値!E350:R350))),100))</f>
      </c>
      <c r="R350" s="684">
        <f>IF($D350="","",IFERROR(100-100/(1+SUMPRODUCT((((高値!E350:R350+安値!E350:R350+終値!E350:R350)/3)&gt;((高値!F350:S350+安値!F350:S350+終値!F350:S350)/3))*((高値!E350:R350+安値!E350:R350+終値!E350:R350)/3)*出来高!E350:R350)/SUMPRODUCT((((高値!E350:R350+安値!E350:R350+終値!E350:R350)/3)&lt;((高値!F350:S350+安値!F350:S350+終値!F350:S350)/3))*((高値!E350:R350+安値!E350:R350+終値!E350:R350)/3)*出来高!E350:R350)),50))</f>
      </c>
      <c r="S350" s="681">
        <f>IF($D350="","",IF(AND(終値!E350&lt;終値!O350,$Q350&gt;(IFERROR(100-100/(1+SUMPRODUCT((終値!O350:AB350&gt;終値!P350:AC350)*(終値!O350:AB350-終値!P350:AC350))/SUMPRODUCT((終値!O350:AB350&lt;終値!P350:AC350)*(終値!P350:AC350-終値!O350:AB350))),100))),"強気div▲",IF(AND(終値!E350&gt;終値!O350,$Q350&lt;(IFERROR(100-100/(1+SUMPRODUCT((終値!O350:AB350&gt;終値!P350:AC350)*(終値!O350:AB350-終値!P350:AC350))/SUMPRODUCT((終値!O350:AB350&lt;終値!P350:AC350)*(終値!P350:AC350-終値!O350:AB350))),100))),"弱気div▼","－")))</f>
      </c>
      <c r="T350" s="681">
        <f>IF($D350="","",IF($D350&gt;=$H350,"上walk▲",IF($D350&lt;=$I350,"下walk▼","－")))</f>
      </c>
      <c r="U350" s="681">
        <f>IF(終値!A350="","",BB_スイング!BT350)</f>
      </c>
      <c r="V350" s="689">
        <f>IF($D350="","",IFERROR(出来高!E350/AVERAGE(出来高!E350:I350),""))</f>
      </c>
      <c r="W350" s="690">
        <f>IF($D350="","",IF(AND($D350&gt;$G350,$O350="拡大↑",$L350&lt;=$M350*1.8),"◎スクイーズブレイク買",IF(AND($D350&gt;=$H350,$R350&gt;=BB設定!$B$10),"○順張り継続(walk)",IF(AND($S350="強気div▲",$D350&gt;$I350),"○反発(ダイバ)買",IF($U350="二番底W▲","△二番底買(確)",IF($U350="二番底W形成","△二番底形成",IF($D350&lt;$J350,"▼-2σ割れ危険",IF(AND($D350&gt;$E350,$K350&lt;0.6,$R350&gt;=50),"・押し目注目",IF($N350="スクイーズ★","☆スクイーズ監視","様子見")))))))))</f>
      </c>
      <c r="X350" s="685">
        <f>IF($D350="","",MIN(100,IF($L350&lt;=$M350*1.15,20,IF($L350&lt;=$M350*1.4,10,0))+IF($D350&gt;$G350,20,IF($D350&gt;$H350,12,IF($D350&gt;$E350,5,0)))+IF($O350="拡大↑",10,0)+IF($R350&gt;=80,15,IF($R350&gt;=60,10,IF($R350&gt;=50,5,0)))+IF(AND($Q350&gt;=50,$Q350&lt;=70),10,IF($Q350&gt;70,3,IF($Q350&gt;=40,5,0)))+IF($S350="強気div▲",15,0)+IF($T350="上walk▲",5,0)+IF($V350&gt;=2,5,IF($V350&gt;=1.5,3,0))))</f>
      </c>
      <c r="Y350" s="682">
        <f>IF($D350="","",$D350)</f>
      </c>
      <c r="Z350" s="682">
        <f>IF($D350="","",$H350)</f>
      </c>
      <c r="AA350" s="682">
        <f>IF($D350="","",IF($D350&gt;$E350,$E350,$AD350))</f>
      </c>
      <c r="AB350" s="682">
        <f>IF($D350="","",$G350)</f>
      </c>
      <c r="AC350" s="688">
        <f>IF($D350="","",IF(($Y350-$AA350)&lt;=0,"－",IFERROR(ROUND(MIN(20,($AB350-$Y350)/($Y350-$AA350)),2),"－")))</f>
      </c>
      <c r="AD350" s="682">
        <f>IF($D350="","",MIN(終値!E350:I350))</f>
      </c>
      <c r="AE350" s="684">
        <f>IF($D350="","",$X350+(10000-ROW())/100000)</f>
      </c>
    </row>
    <row r="351">
      <c r="A351" s="681">
        <f>IF(終値!A351="","",HYPERLINK("https://kabutan.jp/stock/?code="&amp;終値!A351,"📈"))</f>
      </c>
      <c r="B351" s="681">
        <f>IF(終値!A351="","",終値!A351)</f>
      </c>
      <c r="C351" s="680">
        <f>IF(終値!A351="","",終値!B351)</f>
      </c>
      <c r="D351" s="682">
        <f>IF(終値!A351="","",終値!E351)</f>
      </c>
      <c r="E351" s="682">
        <f>IF($D351="","",AVERAGE(終値!E351:X351))</f>
      </c>
      <c r="F351" s="683">
        <f>IF($D351="","",STDEVP(終値!E351:X351))</f>
      </c>
      <c r="G351" s="682">
        <f>IF($D351="","",$E351+BB設定!$B$4*$F351)</f>
      </c>
      <c r="H351" s="682">
        <f>IF($D351="","",$E351+BB設定!$B$5*$F351)</f>
      </c>
      <c r="I351" s="682">
        <f>IF($D351="","",$E351-BB設定!$B$5*$F351)</f>
      </c>
      <c r="J351" s="682">
        <f>IF($D351="","",$E351-BB設定!$B$4*$F351)</f>
      </c>
      <c r="K351" s="687">
        <f>IF($D351="","",IFERROR(($D351-$J351)/($G351-$J351),""))</f>
      </c>
      <c r="L351" s="686">
        <f>IF($D351="","",IFERROR(($G351-$J351)/$E351*100,""))</f>
      </c>
      <c r="M351" s="686">
        <f>IF($D351="","",IFERROR(MIN(BB_帯幅!B351:AP351)*100,""))</f>
      </c>
      <c r="N351" s="681">
        <f>IF($L351="","",IF($L351&lt;=$M351*BB設定!$B$7,"スクイーズ★",IF($L351&lt;=$M351*1.3,"収縮","－")))</f>
      </c>
      <c r="O351" s="681">
        <f>IF($D351="","",IF($L351&gt;(4*STDEVP(終値!F351:Y351)/AVERAGE(終値!F351:Y351)*100),"拡大↑","縮小↓"))</f>
      </c>
      <c r="P351" s="681">
        <f>IF($D351="","",IF($D351&gt;$G351,"↑+2σ突破",IF($D351&lt;$J351,"↓-2σ割れ",IF($D351&gt;$H351,"+1σ上",IF($D351&lt;$I351,"-1σ下","バンド内")))))</f>
      </c>
      <c r="Q351" s="684">
        <f>IF($D351="","",IFERROR(100-100/(1+SUMPRODUCT((終値!E351:R351&gt;終値!F351:S351)*(終値!E351:R351-終値!F351:S351))/SUMPRODUCT((終値!E351:R351&lt;終値!F351:S351)*(終値!F351:S351-終値!E351:R351))),100))</f>
      </c>
      <c r="R351" s="684">
        <f>IF($D351="","",IFERROR(100-100/(1+SUMPRODUCT((((高値!E351:R351+安値!E351:R351+終値!E351:R351)/3)&gt;((高値!F351:S351+安値!F351:S351+終値!F351:S351)/3))*((高値!E351:R351+安値!E351:R351+終値!E351:R351)/3)*出来高!E351:R351)/SUMPRODUCT((((高値!E351:R351+安値!E351:R351+終値!E351:R351)/3)&lt;((高値!F351:S351+安値!F351:S351+終値!F351:S351)/3))*((高値!E351:R351+安値!E351:R351+終値!E351:R351)/3)*出来高!E351:R351)),50))</f>
      </c>
      <c r="S351" s="681">
        <f>IF($D351="","",IF(AND(終値!E351&lt;終値!O351,$Q351&gt;(IFERROR(100-100/(1+SUMPRODUCT((終値!O351:AB351&gt;終値!P351:AC351)*(終値!O351:AB351-終値!P351:AC351))/SUMPRODUCT((終値!O351:AB351&lt;終値!P351:AC351)*(終値!P351:AC351-終値!O351:AB351))),100))),"強気div▲",IF(AND(終値!E351&gt;終値!O351,$Q351&lt;(IFERROR(100-100/(1+SUMPRODUCT((終値!O351:AB351&gt;終値!P351:AC351)*(終値!O351:AB351-終値!P351:AC351))/SUMPRODUCT((終値!O351:AB351&lt;終値!P351:AC351)*(終値!P351:AC351-終値!O351:AB351))),100))),"弱気div▼","－")))</f>
      </c>
      <c r="T351" s="681">
        <f>IF($D351="","",IF($D351&gt;=$H351,"上walk▲",IF($D351&lt;=$I351,"下walk▼","－")))</f>
      </c>
      <c r="U351" s="681">
        <f>IF(終値!A351="","",BB_スイング!BT351)</f>
      </c>
      <c r="V351" s="689">
        <f>IF($D351="","",IFERROR(出来高!E351/AVERAGE(出来高!E351:I351),""))</f>
      </c>
      <c r="W351" s="690">
        <f>IF($D351="","",IF(AND($D351&gt;$G351,$O351="拡大↑",$L351&lt;=$M351*1.8),"◎スクイーズブレイク買",IF(AND($D351&gt;=$H351,$R351&gt;=BB設定!$B$10),"○順張り継続(walk)",IF(AND($S351="強気div▲",$D351&gt;$I351),"○反発(ダイバ)買",IF($U351="二番底W▲","△二番底買(確)",IF($U351="二番底W形成","△二番底形成",IF($D351&lt;$J351,"▼-2σ割れ危険",IF(AND($D351&gt;$E351,$K351&lt;0.6,$R351&gt;=50),"・押し目注目",IF($N351="スクイーズ★","☆スクイーズ監視","様子見")))))))))</f>
      </c>
      <c r="X351" s="685">
        <f>IF($D351="","",MIN(100,IF($L351&lt;=$M351*1.15,20,IF($L351&lt;=$M351*1.4,10,0))+IF($D351&gt;$G351,20,IF($D351&gt;$H351,12,IF($D351&gt;$E351,5,0)))+IF($O351="拡大↑",10,0)+IF($R351&gt;=80,15,IF($R351&gt;=60,10,IF($R351&gt;=50,5,0)))+IF(AND($Q351&gt;=50,$Q351&lt;=70),10,IF($Q351&gt;70,3,IF($Q351&gt;=40,5,0)))+IF($S351="強気div▲",15,0)+IF($T351="上walk▲",5,0)+IF($V351&gt;=2,5,IF($V351&gt;=1.5,3,0))))</f>
      </c>
      <c r="Y351" s="682">
        <f>IF($D351="","",$D351)</f>
      </c>
      <c r="Z351" s="682">
        <f>IF($D351="","",$H351)</f>
      </c>
      <c r="AA351" s="682">
        <f>IF($D351="","",IF($D351&gt;$E351,$E351,$AD351))</f>
      </c>
      <c r="AB351" s="682">
        <f>IF($D351="","",$G351)</f>
      </c>
      <c r="AC351" s="688">
        <f>IF($D351="","",IF(($Y351-$AA351)&lt;=0,"－",IFERROR(ROUND(MIN(20,($AB351-$Y351)/($Y351-$AA351)),2),"－")))</f>
      </c>
      <c r="AD351" s="682">
        <f>IF($D351="","",MIN(終値!E351:I351))</f>
      </c>
      <c r="AE351" s="684">
        <f>IF($D351="","",$X351+(10000-ROW())/100000)</f>
      </c>
    </row>
    <row r="352">
      <c r="A352" s="681">
        <f>IF(終値!A352="","",HYPERLINK("https://kabutan.jp/stock/?code="&amp;終値!A352,"📈"))</f>
      </c>
      <c r="B352" s="681">
        <f>IF(終値!A352="","",終値!A352)</f>
      </c>
      <c r="C352" s="680">
        <f>IF(終値!A352="","",終値!B352)</f>
      </c>
      <c r="D352" s="682">
        <f>IF(終値!A352="","",終値!E352)</f>
      </c>
      <c r="E352" s="682">
        <f>IF($D352="","",AVERAGE(終値!E352:X352))</f>
      </c>
      <c r="F352" s="683">
        <f>IF($D352="","",STDEVP(終値!E352:X352))</f>
      </c>
      <c r="G352" s="682">
        <f>IF($D352="","",$E352+BB設定!$B$4*$F352)</f>
      </c>
      <c r="H352" s="682">
        <f>IF($D352="","",$E352+BB設定!$B$5*$F352)</f>
      </c>
      <c r="I352" s="682">
        <f>IF($D352="","",$E352-BB設定!$B$5*$F352)</f>
      </c>
      <c r="J352" s="682">
        <f>IF($D352="","",$E352-BB設定!$B$4*$F352)</f>
      </c>
      <c r="K352" s="687">
        <f>IF($D352="","",IFERROR(($D352-$J352)/($G352-$J352),""))</f>
      </c>
      <c r="L352" s="686">
        <f>IF($D352="","",IFERROR(($G352-$J352)/$E352*100,""))</f>
      </c>
      <c r="M352" s="686">
        <f>IF($D352="","",IFERROR(MIN(BB_帯幅!B352:AP352)*100,""))</f>
      </c>
      <c r="N352" s="681">
        <f>IF($L352="","",IF($L352&lt;=$M352*BB設定!$B$7,"スクイーズ★",IF($L352&lt;=$M352*1.3,"収縮","－")))</f>
      </c>
      <c r="O352" s="681">
        <f>IF($D352="","",IF($L352&gt;(4*STDEVP(終値!F352:Y352)/AVERAGE(終値!F352:Y352)*100),"拡大↑","縮小↓"))</f>
      </c>
      <c r="P352" s="681">
        <f>IF($D352="","",IF($D352&gt;$G352,"↑+2σ突破",IF($D352&lt;$J352,"↓-2σ割れ",IF($D352&gt;$H352,"+1σ上",IF($D352&lt;$I352,"-1σ下","バンド内")))))</f>
      </c>
      <c r="Q352" s="684">
        <f>IF($D352="","",IFERROR(100-100/(1+SUMPRODUCT((終値!E352:R352&gt;終値!F352:S352)*(終値!E352:R352-終値!F352:S352))/SUMPRODUCT((終値!E352:R352&lt;終値!F352:S352)*(終値!F352:S352-終値!E352:R352))),100))</f>
      </c>
      <c r="R352" s="684">
        <f>IF($D352="","",IFERROR(100-100/(1+SUMPRODUCT((((高値!E352:R352+安値!E352:R352+終値!E352:R352)/3)&gt;((高値!F352:S352+安値!F352:S352+終値!F352:S352)/3))*((高値!E352:R352+安値!E352:R352+終値!E352:R352)/3)*出来高!E352:R352)/SUMPRODUCT((((高値!E352:R352+安値!E352:R352+終値!E352:R352)/3)&lt;((高値!F352:S352+安値!F352:S352+終値!F352:S352)/3))*((高値!E352:R352+安値!E352:R352+終値!E352:R352)/3)*出来高!E352:R352)),50))</f>
      </c>
      <c r="S352" s="681">
        <f>IF($D352="","",IF(AND(終値!E352&lt;終値!O352,$Q352&gt;(IFERROR(100-100/(1+SUMPRODUCT((終値!O352:AB352&gt;終値!P352:AC352)*(終値!O352:AB352-終値!P352:AC352))/SUMPRODUCT((終値!O352:AB352&lt;終値!P352:AC352)*(終値!P352:AC352-終値!O352:AB352))),100))),"強気div▲",IF(AND(終値!E352&gt;終値!O352,$Q352&lt;(IFERROR(100-100/(1+SUMPRODUCT((終値!O352:AB352&gt;終値!P352:AC352)*(終値!O352:AB352-終値!P352:AC352))/SUMPRODUCT((終値!O352:AB352&lt;終値!P352:AC352)*(終値!P352:AC352-終値!O352:AB352))),100))),"弱気div▼","－")))</f>
      </c>
      <c r="T352" s="681">
        <f>IF($D352="","",IF($D352&gt;=$H352,"上walk▲",IF($D352&lt;=$I352,"下walk▼","－")))</f>
      </c>
      <c r="U352" s="681">
        <f>IF(終値!A352="","",BB_スイング!BT352)</f>
      </c>
      <c r="V352" s="689">
        <f>IF($D352="","",IFERROR(出来高!E352/AVERAGE(出来高!E352:I352),""))</f>
      </c>
      <c r="W352" s="690">
        <f>IF($D352="","",IF(AND($D352&gt;$G352,$O352="拡大↑",$L352&lt;=$M352*1.8),"◎スクイーズブレイク買",IF(AND($D352&gt;=$H352,$R352&gt;=BB設定!$B$10),"○順張り継続(walk)",IF(AND($S352="強気div▲",$D352&gt;$I352),"○反発(ダイバ)買",IF($U352="二番底W▲","△二番底買(確)",IF($U352="二番底W形成","△二番底形成",IF($D352&lt;$J352,"▼-2σ割れ危険",IF(AND($D352&gt;$E352,$K352&lt;0.6,$R352&gt;=50),"・押し目注目",IF($N352="スクイーズ★","☆スクイーズ監視","様子見")))))))))</f>
      </c>
      <c r="X352" s="685">
        <f>IF($D352="","",MIN(100,IF($L352&lt;=$M352*1.15,20,IF($L352&lt;=$M352*1.4,10,0))+IF($D352&gt;$G352,20,IF($D352&gt;$H352,12,IF($D352&gt;$E352,5,0)))+IF($O352="拡大↑",10,0)+IF($R352&gt;=80,15,IF($R352&gt;=60,10,IF($R352&gt;=50,5,0)))+IF(AND($Q352&gt;=50,$Q352&lt;=70),10,IF($Q352&gt;70,3,IF($Q352&gt;=40,5,0)))+IF($S352="強気div▲",15,0)+IF($T352="上walk▲",5,0)+IF($V352&gt;=2,5,IF($V352&gt;=1.5,3,0))))</f>
      </c>
      <c r="Y352" s="682">
        <f>IF($D352="","",$D352)</f>
      </c>
      <c r="Z352" s="682">
        <f>IF($D352="","",$H352)</f>
      </c>
      <c r="AA352" s="682">
        <f>IF($D352="","",IF($D352&gt;$E352,$E352,$AD352))</f>
      </c>
      <c r="AB352" s="682">
        <f>IF($D352="","",$G352)</f>
      </c>
      <c r="AC352" s="688">
        <f>IF($D352="","",IF(($Y352-$AA352)&lt;=0,"－",IFERROR(ROUND(MIN(20,($AB352-$Y352)/($Y352-$AA352)),2),"－")))</f>
      </c>
      <c r="AD352" s="682">
        <f>IF($D352="","",MIN(終値!E352:I352))</f>
      </c>
      <c r="AE352" s="684">
        <f>IF($D352="","",$X352+(10000-ROW())/100000)</f>
      </c>
    </row>
    <row r="353">
      <c r="A353" s="681">
        <f>IF(終値!A353="","",HYPERLINK("https://kabutan.jp/stock/?code="&amp;終値!A353,"📈"))</f>
      </c>
      <c r="B353" s="681">
        <f>IF(終値!A353="","",終値!A353)</f>
      </c>
      <c r="C353" s="680">
        <f>IF(終値!A353="","",終値!B353)</f>
      </c>
      <c r="D353" s="682">
        <f>IF(終値!A353="","",終値!E353)</f>
      </c>
      <c r="E353" s="682">
        <f>IF($D353="","",AVERAGE(終値!E353:X353))</f>
      </c>
      <c r="F353" s="683">
        <f>IF($D353="","",STDEVP(終値!E353:X353))</f>
      </c>
      <c r="G353" s="682">
        <f>IF($D353="","",$E353+BB設定!$B$4*$F353)</f>
      </c>
      <c r="H353" s="682">
        <f>IF($D353="","",$E353+BB設定!$B$5*$F353)</f>
      </c>
      <c r="I353" s="682">
        <f>IF($D353="","",$E353-BB設定!$B$5*$F353)</f>
      </c>
      <c r="J353" s="682">
        <f>IF($D353="","",$E353-BB設定!$B$4*$F353)</f>
      </c>
      <c r="K353" s="687">
        <f>IF($D353="","",IFERROR(($D353-$J353)/($G353-$J353),""))</f>
      </c>
      <c r="L353" s="686">
        <f>IF($D353="","",IFERROR(($G353-$J353)/$E353*100,""))</f>
      </c>
      <c r="M353" s="686">
        <f>IF($D353="","",IFERROR(MIN(BB_帯幅!B353:AP353)*100,""))</f>
      </c>
      <c r="N353" s="681">
        <f>IF($L353="","",IF($L353&lt;=$M353*BB設定!$B$7,"スクイーズ★",IF($L353&lt;=$M353*1.3,"収縮","－")))</f>
      </c>
      <c r="O353" s="681">
        <f>IF($D353="","",IF($L353&gt;(4*STDEVP(終値!F353:Y353)/AVERAGE(終値!F353:Y353)*100),"拡大↑","縮小↓"))</f>
      </c>
      <c r="P353" s="681">
        <f>IF($D353="","",IF($D353&gt;$G353,"↑+2σ突破",IF($D353&lt;$J353,"↓-2σ割れ",IF($D353&gt;$H353,"+1σ上",IF($D353&lt;$I353,"-1σ下","バンド内")))))</f>
      </c>
      <c r="Q353" s="684">
        <f>IF($D353="","",IFERROR(100-100/(1+SUMPRODUCT((終値!E353:R353&gt;終値!F353:S353)*(終値!E353:R353-終値!F353:S353))/SUMPRODUCT((終値!E353:R353&lt;終値!F353:S353)*(終値!F353:S353-終値!E353:R353))),100))</f>
      </c>
      <c r="R353" s="684">
        <f>IF($D353="","",IFERROR(100-100/(1+SUMPRODUCT((((高値!E353:R353+安値!E353:R353+終値!E353:R353)/3)&gt;((高値!F353:S353+安値!F353:S353+終値!F353:S353)/3))*((高値!E353:R353+安値!E353:R353+終値!E353:R353)/3)*出来高!E353:R353)/SUMPRODUCT((((高値!E353:R353+安値!E353:R353+終値!E353:R353)/3)&lt;((高値!F353:S353+安値!F353:S353+終値!F353:S353)/3))*((高値!E353:R353+安値!E353:R353+終値!E353:R353)/3)*出来高!E353:R353)),50))</f>
      </c>
      <c r="S353" s="681">
        <f>IF($D353="","",IF(AND(終値!E353&lt;終値!O353,$Q353&gt;(IFERROR(100-100/(1+SUMPRODUCT((終値!O353:AB353&gt;終値!P353:AC353)*(終値!O353:AB353-終値!P353:AC353))/SUMPRODUCT((終値!O353:AB353&lt;終値!P353:AC353)*(終値!P353:AC353-終値!O353:AB353))),100))),"強気div▲",IF(AND(終値!E353&gt;終値!O353,$Q353&lt;(IFERROR(100-100/(1+SUMPRODUCT((終値!O353:AB353&gt;終値!P353:AC353)*(終値!O353:AB353-終値!P353:AC353))/SUMPRODUCT((終値!O353:AB353&lt;終値!P353:AC353)*(終値!P353:AC353-終値!O353:AB353))),100))),"弱気div▼","－")))</f>
      </c>
      <c r="T353" s="681">
        <f>IF($D353="","",IF($D353&gt;=$H353,"上walk▲",IF($D353&lt;=$I353,"下walk▼","－")))</f>
      </c>
      <c r="U353" s="681">
        <f>IF(終値!A353="","",BB_スイング!BT353)</f>
      </c>
      <c r="V353" s="689">
        <f>IF($D353="","",IFERROR(出来高!E353/AVERAGE(出来高!E353:I353),""))</f>
      </c>
      <c r="W353" s="690">
        <f>IF($D353="","",IF(AND($D353&gt;$G353,$O353="拡大↑",$L353&lt;=$M353*1.8),"◎スクイーズブレイク買",IF(AND($D353&gt;=$H353,$R353&gt;=BB設定!$B$10),"○順張り継続(walk)",IF(AND($S353="強気div▲",$D353&gt;$I353),"○反発(ダイバ)買",IF($U353="二番底W▲","△二番底買(確)",IF($U353="二番底W形成","△二番底形成",IF($D353&lt;$J353,"▼-2σ割れ危険",IF(AND($D353&gt;$E353,$K353&lt;0.6,$R353&gt;=50),"・押し目注目",IF($N353="スクイーズ★","☆スクイーズ監視","様子見")))))))))</f>
      </c>
      <c r="X353" s="685">
        <f>IF($D353="","",MIN(100,IF($L353&lt;=$M353*1.15,20,IF($L353&lt;=$M353*1.4,10,0))+IF($D353&gt;$G353,20,IF($D353&gt;$H353,12,IF($D353&gt;$E353,5,0)))+IF($O353="拡大↑",10,0)+IF($R353&gt;=80,15,IF($R353&gt;=60,10,IF($R353&gt;=50,5,0)))+IF(AND($Q353&gt;=50,$Q353&lt;=70),10,IF($Q353&gt;70,3,IF($Q353&gt;=40,5,0)))+IF($S353="強気div▲",15,0)+IF($T353="上walk▲",5,0)+IF($V353&gt;=2,5,IF($V353&gt;=1.5,3,0))))</f>
      </c>
      <c r="Y353" s="682">
        <f>IF($D353="","",$D353)</f>
      </c>
      <c r="Z353" s="682">
        <f>IF($D353="","",$H353)</f>
      </c>
      <c r="AA353" s="682">
        <f>IF($D353="","",IF($D353&gt;$E353,$E353,$AD353))</f>
      </c>
      <c r="AB353" s="682">
        <f>IF($D353="","",$G353)</f>
      </c>
      <c r="AC353" s="688">
        <f>IF($D353="","",IF(($Y353-$AA353)&lt;=0,"－",IFERROR(ROUND(MIN(20,($AB353-$Y353)/($Y353-$AA353)),2),"－")))</f>
      </c>
      <c r="AD353" s="682">
        <f>IF($D353="","",MIN(終値!E353:I353))</f>
      </c>
      <c r="AE353" s="684">
        <f>IF($D353="","",$X353+(10000-ROW())/100000)</f>
      </c>
    </row>
    <row r="354">
      <c r="A354" s="681">
        <f>IF(終値!A354="","",HYPERLINK("https://kabutan.jp/stock/?code="&amp;終値!A354,"📈"))</f>
      </c>
      <c r="B354" s="681">
        <f>IF(終値!A354="","",終値!A354)</f>
      </c>
      <c r="C354" s="680">
        <f>IF(終値!A354="","",終値!B354)</f>
      </c>
      <c r="D354" s="682">
        <f>IF(終値!A354="","",終値!E354)</f>
      </c>
      <c r="E354" s="682">
        <f>IF($D354="","",AVERAGE(終値!E354:X354))</f>
      </c>
      <c r="F354" s="683">
        <f>IF($D354="","",STDEVP(終値!E354:X354))</f>
      </c>
      <c r="G354" s="682">
        <f>IF($D354="","",$E354+BB設定!$B$4*$F354)</f>
      </c>
      <c r="H354" s="682">
        <f>IF($D354="","",$E354+BB設定!$B$5*$F354)</f>
      </c>
      <c r="I354" s="682">
        <f>IF($D354="","",$E354-BB設定!$B$5*$F354)</f>
      </c>
      <c r="J354" s="682">
        <f>IF($D354="","",$E354-BB設定!$B$4*$F354)</f>
      </c>
      <c r="K354" s="687">
        <f>IF($D354="","",IFERROR(($D354-$J354)/($G354-$J354),""))</f>
      </c>
      <c r="L354" s="686">
        <f>IF($D354="","",IFERROR(($G354-$J354)/$E354*100,""))</f>
      </c>
      <c r="M354" s="686">
        <f>IF($D354="","",IFERROR(MIN(BB_帯幅!B354:AP354)*100,""))</f>
      </c>
      <c r="N354" s="681">
        <f>IF($L354="","",IF($L354&lt;=$M354*BB設定!$B$7,"スクイーズ★",IF($L354&lt;=$M354*1.3,"収縮","－")))</f>
      </c>
      <c r="O354" s="681">
        <f>IF($D354="","",IF($L354&gt;(4*STDEVP(終値!F354:Y354)/AVERAGE(終値!F354:Y354)*100),"拡大↑","縮小↓"))</f>
      </c>
      <c r="P354" s="681">
        <f>IF($D354="","",IF($D354&gt;$G354,"↑+2σ突破",IF($D354&lt;$J354,"↓-2σ割れ",IF($D354&gt;$H354,"+1σ上",IF($D354&lt;$I354,"-1σ下","バンド内")))))</f>
      </c>
      <c r="Q354" s="684">
        <f>IF($D354="","",IFERROR(100-100/(1+SUMPRODUCT((終値!E354:R354&gt;終値!F354:S354)*(終値!E354:R354-終値!F354:S354))/SUMPRODUCT((終値!E354:R354&lt;終値!F354:S354)*(終値!F354:S354-終値!E354:R354))),100))</f>
      </c>
      <c r="R354" s="684">
        <f>IF($D354="","",IFERROR(100-100/(1+SUMPRODUCT((((高値!E354:R354+安値!E354:R354+終値!E354:R354)/3)&gt;((高値!F354:S354+安値!F354:S354+終値!F354:S354)/3))*((高値!E354:R354+安値!E354:R354+終値!E354:R354)/3)*出来高!E354:R354)/SUMPRODUCT((((高値!E354:R354+安値!E354:R354+終値!E354:R354)/3)&lt;((高値!F354:S354+安値!F354:S354+終値!F354:S354)/3))*((高値!E354:R354+安値!E354:R354+終値!E354:R354)/3)*出来高!E354:R354)),50))</f>
      </c>
      <c r="S354" s="681">
        <f>IF($D354="","",IF(AND(終値!E354&lt;終値!O354,$Q354&gt;(IFERROR(100-100/(1+SUMPRODUCT((終値!O354:AB354&gt;終値!P354:AC354)*(終値!O354:AB354-終値!P354:AC354))/SUMPRODUCT((終値!O354:AB354&lt;終値!P354:AC354)*(終値!P354:AC354-終値!O354:AB354))),100))),"強気div▲",IF(AND(終値!E354&gt;終値!O354,$Q354&lt;(IFERROR(100-100/(1+SUMPRODUCT((終値!O354:AB354&gt;終値!P354:AC354)*(終値!O354:AB354-終値!P354:AC354))/SUMPRODUCT((終値!O354:AB354&lt;終値!P354:AC354)*(終値!P354:AC354-終値!O354:AB354))),100))),"弱気div▼","－")))</f>
      </c>
      <c r="T354" s="681">
        <f>IF($D354="","",IF($D354&gt;=$H354,"上walk▲",IF($D354&lt;=$I354,"下walk▼","－")))</f>
      </c>
      <c r="U354" s="681">
        <f>IF(終値!A354="","",BB_スイング!BT354)</f>
      </c>
      <c r="V354" s="689">
        <f>IF($D354="","",IFERROR(出来高!E354/AVERAGE(出来高!E354:I354),""))</f>
      </c>
      <c r="W354" s="690">
        <f>IF($D354="","",IF(AND($D354&gt;$G354,$O354="拡大↑",$L354&lt;=$M354*1.8),"◎スクイーズブレイク買",IF(AND($D354&gt;=$H354,$R354&gt;=BB設定!$B$10),"○順張り継続(walk)",IF(AND($S354="強気div▲",$D354&gt;$I354),"○反発(ダイバ)買",IF($U354="二番底W▲","△二番底買(確)",IF($U354="二番底W形成","△二番底形成",IF($D354&lt;$J354,"▼-2σ割れ危険",IF(AND($D354&gt;$E354,$K354&lt;0.6,$R354&gt;=50),"・押し目注目",IF($N354="スクイーズ★","☆スクイーズ監視","様子見")))))))))</f>
      </c>
      <c r="X354" s="685">
        <f>IF($D354="","",MIN(100,IF($L354&lt;=$M354*1.15,20,IF($L354&lt;=$M354*1.4,10,0))+IF($D354&gt;$G354,20,IF($D354&gt;$H354,12,IF($D354&gt;$E354,5,0)))+IF($O354="拡大↑",10,0)+IF($R354&gt;=80,15,IF($R354&gt;=60,10,IF($R354&gt;=50,5,0)))+IF(AND($Q354&gt;=50,$Q354&lt;=70),10,IF($Q354&gt;70,3,IF($Q354&gt;=40,5,0)))+IF($S354="強気div▲",15,0)+IF($T354="上walk▲",5,0)+IF($V354&gt;=2,5,IF($V354&gt;=1.5,3,0))))</f>
      </c>
      <c r="Y354" s="682">
        <f>IF($D354="","",$D354)</f>
      </c>
      <c r="Z354" s="682">
        <f>IF($D354="","",$H354)</f>
      </c>
      <c r="AA354" s="682">
        <f>IF($D354="","",IF($D354&gt;$E354,$E354,$AD354))</f>
      </c>
      <c r="AB354" s="682">
        <f>IF($D354="","",$G354)</f>
      </c>
      <c r="AC354" s="688">
        <f>IF($D354="","",IF(($Y354-$AA354)&lt;=0,"－",IFERROR(ROUND(MIN(20,($AB354-$Y354)/($Y354-$AA354)),2),"－")))</f>
      </c>
      <c r="AD354" s="682">
        <f>IF($D354="","",MIN(終値!E354:I354))</f>
      </c>
      <c r="AE354" s="684">
        <f>IF($D354="","",$X354+(10000-ROW())/100000)</f>
      </c>
    </row>
    <row r="355">
      <c r="A355" s="681">
        <f>IF(終値!A355="","",HYPERLINK("https://kabutan.jp/stock/?code="&amp;終値!A355,"📈"))</f>
      </c>
      <c r="B355" s="681">
        <f>IF(終値!A355="","",終値!A355)</f>
      </c>
      <c r="C355" s="680">
        <f>IF(終値!A355="","",終値!B355)</f>
      </c>
      <c r="D355" s="682">
        <f>IF(終値!A355="","",終値!E355)</f>
      </c>
      <c r="E355" s="682">
        <f>IF($D355="","",AVERAGE(終値!E355:X355))</f>
      </c>
      <c r="F355" s="683">
        <f>IF($D355="","",STDEVP(終値!E355:X355))</f>
      </c>
      <c r="G355" s="682">
        <f>IF($D355="","",$E355+BB設定!$B$4*$F355)</f>
      </c>
      <c r="H355" s="682">
        <f>IF($D355="","",$E355+BB設定!$B$5*$F355)</f>
      </c>
      <c r="I355" s="682">
        <f>IF($D355="","",$E355-BB設定!$B$5*$F355)</f>
      </c>
      <c r="J355" s="682">
        <f>IF($D355="","",$E355-BB設定!$B$4*$F355)</f>
      </c>
      <c r="K355" s="687">
        <f>IF($D355="","",IFERROR(($D355-$J355)/($G355-$J355),""))</f>
      </c>
      <c r="L355" s="686">
        <f>IF($D355="","",IFERROR(($G355-$J355)/$E355*100,""))</f>
      </c>
      <c r="M355" s="686">
        <f>IF($D355="","",IFERROR(MIN(BB_帯幅!B355:AP355)*100,""))</f>
      </c>
      <c r="N355" s="681">
        <f>IF($L355="","",IF($L355&lt;=$M355*BB設定!$B$7,"スクイーズ★",IF($L355&lt;=$M355*1.3,"収縮","－")))</f>
      </c>
      <c r="O355" s="681">
        <f>IF($D355="","",IF($L355&gt;(4*STDEVP(終値!F355:Y355)/AVERAGE(終値!F355:Y355)*100),"拡大↑","縮小↓"))</f>
      </c>
      <c r="P355" s="681">
        <f>IF($D355="","",IF($D355&gt;$G355,"↑+2σ突破",IF($D355&lt;$J355,"↓-2σ割れ",IF($D355&gt;$H355,"+1σ上",IF($D355&lt;$I355,"-1σ下","バンド内")))))</f>
      </c>
      <c r="Q355" s="684">
        <f>IF($D355="","",IFERROR(100-100/(1+SUMPRODUCT((終値!E355:R355&gt;終値!F355:S355)*(終値!E355:R355-終値!F355:S355))/SUMPRODUCT((終値!E355:R355&lt;終値!F355:S355)*(終値!F355:S355-終値!E355:R355))),100))</f>
      </c>
      <c r="R355" s="684">
        <f>IF($D355="","",IFERROR(100-100/(1+SUMPRODUCT((((高値!E355:R355+安値!E355:R355+終値!E355:R355)/3)&gt;((高値!F355:S355+安値!F355:S355+終値!F355:S355)/3))*((高値!E355:R355+安値!E355:R355+終値!E355:R355)/3)*出来高!E355:R355)/SUMPRODUCT((((高値!E355:R355+安値!E355:R355+終値!E355:R355)/3)&lt;((高値!F355:S355+安値!F355:S355+終値!F355:S355)/3))*((高値!E355:R355+安値!E355:R355+終値!E355:R355)/3)*出来高!E355:R355)),50))</f>
      </c>
      <c r="S355" s="681">
        <f>IF($D355="","",IF(AND(終値!E355&lt;終値!O355,$Q355&gt;(IFERROR(100-100/(1+SUMPRODUCT((終値!O355:AB355&gt;終値!P355:AC355)*(終値!O355:AB355-終値!P355:AC355))/SUMPRODUCT((終値!O355:AB355&lt;終値!P355:AC355)*(終値!P355:AC355-終値!O355:AB355))),100))),"強気div▲",IF(AND(終値!E355&gt;終値!O355,$Q355&lt;(IFERROR(100-100/(1+SUMPRODUCT((終値!O355:AB355&gt;終値!P355:AC355)*(終値!O355:AB355-終値!P355:AC355))/SUMPRODUCT((終値!O355:AB355&lt;終値!P355:AC355)*(終値!P355:AC355-終値!O355:AB355))),100))),"弱気div▼","－")))</f>
      </c>
      <c r="T355" s="681">
        <f>IF($D355="","",IF($D355&gt;=$H355,"上walk▲",IF($D355&lt;=$I355,"下walk▼","－")))</f>
      </c>
      <c r="U355" s="681">
        <f>IF(終値!A355="","",BB_スイング!BT355)</f>
      </c>
      <c r="V355" s="689">
        <f>IF($D355="","",IFERROR(出来高!E355/AVERAGE(出来高!E355:I355),""))</f>
      </c>
      <c r="W355" s="690">
        <f>IF($D355="","",IF(AND($D355&gt;$G355,$O355="拡大↑",$L355&lt;=$M355*1.8),"◎スクイーズブレイク買",IF(AND($D355&gt;=$H355,$R355&gt;=BB設定!$B$10),"○順張り継続(walk)",IF(AND($S355="強気div▲",$D355&gt;$I355),"○反発(ダイバ)買",IF($U355="二番底W▲","△二番底買(確)",IF($U355="二番底W形成","△二番底形成",IF($D355&lt;$J355,"▼-2σ割れ危険",IF(AND($D355&gt;$E355,$K355&lt;0.6,$R355&gt;=50),"・押し目注目",IF($N355="スクイーズ★","☆スクイーズ監視","様子見")))))))))</f>
      </c>
      <c r="X355" s="685">
        <f>IF($D355="","",MIN(100,IF($L355&lt;=$M355*1.15,20,IF($L355&lt;=$M355*1.4,10,0))+IF($D355&gt;$G355,20,IF($D355&gt;$H355,12,IF($D355&gt;$E355,5,0)))+IF($O355="拡大↑",10,0)+IF($R355&gt;=80,15,IF($R355&gt;=60,10,IF($R355&gt;=50,5,0)))+IF(AND($Q355&gt;=50,$Q355&lt;=70),10,IF($Q355&gt;70,3,IF($Q355&gt;=40,5,0)))+IF($S355="強気div▲",15,0)+IF($T355="上walk▲",5,0)+IF($V355&gt;=2,5,IF($V355&gt;=1.5,3,0))))</f>
      </c>
      <c r="Y355" s="682">
        <f>IF($D355="","",$D355)</f>
      </c>
      <c r="Z355" s="682">
        <f>IF($D355="","",$H355)</f>
      </c>
      <c r="AA355" s="682">
        <f>IF($D355="","",IF($D355&gt;$E355,$E355,$AD355))</f>
      </c>
      <c r="AB355" s="682">
        <f>IF($D355="","",$G355)</f>
      </c>
      <c r="AC355" s="688">
        <f>IF($D355="","",IF(($Y355-$AA355)&lt;=0,"－",IFERROR(ROUND(MIN(20,($AB355-$Y355)/($Y355-$AA355)),2),"－")))</f>
      </c>
      <c r="AD355" s="682">
        <f>IF($D355="","",MIN(終値!E355:I355))</f>
      </c>
      <c r="AE355" s="684">
        <f>IF($D355="","",$X355+(10000-ROW())/100000)</f>
      </c>
    </row>
    <row r="356">
      <c r="A356" s="681">
        <f>IF(終値!A356="","",HYPERLINK("https://kabutan.jp/stock/?code="&amp;終値!A356,"📈"))</f>
      </c>
      <c r="B356" s="681">
        <f>IF(終値!A356="","",終値!A356)</f>
      </c>
      <c r="C356" s="680">
        <f>IF(終値!A356="","",終値!B356)</f>
      </c>
      <c r="D356" s="682">
        <f>IF(終値!A356="","",終値!E356)</f>
      </c>
      <c r="E356" s="682">
        <f>IF($D356="","",AVERAGE(終値!E356:X356))</f>
      </c>
      <c r="F356" s="683">
        <f>IF($D356="","",STDEVP(終値!E356:X356))</f>
      </c>
      <c r="G356" s="682">
        <f>IF($D356="","",$E356+BB設定!$B$4*$F356)</f>
      </c>
      <c r="H356" s="682">
        <f>IF($D356="","",$E356+BB設定!$B$5*$F356)</f>
      </c>
      <c r="I356" s="682">
        <f>IF($D356="","",$E356-BB設定!$B$5*$F356)</f>
      </c>
      <c r="J356" s="682">
        <f>IF($D356="","",$E356-BB設定!$B$4*$F356)</f>
      </c>
      <c r="K356" s="687">
        <f>IF($D356="","",IFERROR(($D356-$J356)/($G356-$J356),""))</f>
      </c>
      <c r="L356" s="686">
        <f>IF($D356="","",IFERROR(($G356-$J356)/$E356*100,""))</f>
      </c>
      <c r="M356" s="686">
        <f>IF($D356="","",IFERROR(MIN(BB_帯幅!B356:AP356)*100,""))</f>
      </c>
      <c r="N356" s="681">
        <f>IF($L356="","",IF($L356&lt;=$M356*BB設定!$B$7,"スクイーズ★",IF($L356&lt;=$M356*1.3,"収縮","－")))</f>
      </c>
      <c r="O356" s="681">
        <f>IF($D356="","",IF($L356&gt;(4*STDEVP(終値!F356:Y356)/AVERAGE(終値!F356:Y356)*100),"拡大↑","縮小↓"))</f>
      </c>
      <c r="P356" s="681">
        <f>IF($D356="","",IF($D356&gt;$G356,"↑+2σ突破",IF($D356&lt;$J356,"↓-2σ割れ",IF($D356&gt;$H356,"+1σ上",IF($D356&lt;$I356,"-1σ下","バンド内")))))</f>
      </c>
      <c r="Q356" s="684">
        <f>IF($D356="","",IFERROR(100-100/(1+SUMPRODUCT((終値!E356:R356&gt;終値!F356:S356)*(終値!E356:R356-終値!F356:S356))/SUMPRODUCT((終値!E356:R356&lt;終値!F356:S356)*(終値!F356:S356-終値!E356:R356))),100))</f>
      </c>
      <c r="R356" s="684">
        <f>IF($D356="","",IFERROR(100-100/(1+SUMPRODUCT((((高値!E356:R356+安値!E356:R356+終値!E356:R356)/3)&gt;((高値!F356:S356+安値!F356:S356+終値!F356:S356)/3))*((高値!E356:R356+安値!E356:R356+終値!E356:R356)/3)*出来高!E356:R356)/SUMPRODUCT((((高値!E356:R356+安値!E356:R356+終値!E356:R356)/3)&lt;((高値!F356:S356+安値!F356:S356+終値!F356:S356)/3))*((高値!E356:R356+安値!E356:R356+終値!E356:R356)/3)*出来高!E356:R356)),50))</f>
      </c>
      <c r="S356" s="681">
        <f>IF($D356="","",IF(AND(終値!E356&lt;終値!O356,$Q356&gt;(IFERROR(100-100/(1+SUMPRODUCT((終値!O356:AB356&gt;終値!P356:AC356)*(終値!O356:AB356-終値!P356:AC356))/SUMPRODUCT((終値!O356:AB356&lt;終値!P356:AC356)*(終値!P356:AC356-終値!O356:AB356))),100))),"強気div▲",IF(AND(終値!E356&gt;終値!O356,$Q356&lt;(IFERROR(100-100/(1+SUMPRODUCT((終値!O356:AB356&gt;終値!P356:AC356)*(終値!O356:AB356-終値!P356:AC356))/SUMPRODUCT((終値!O356:AB356&lt;終値!P356:AC356)*(終値!P356:AC356-終値!O356:AB356))),100))),"弱気div▼","－")))</f>
      </c>
      <c r="T356" s="681">
        <f>IF($D356="","",IF($D356&gt;=$H356,"上walk▲",IF($D356&lt;=$I356,"下walk▼","－")))</f>
      </c>
      <c r="U356" s="681">
        <f>IF(終値!A356="","",BB_スイング!BT356)</f>
      </c>
      <c r="V356" s="689">
        <f>IF($D356="","",IFERROR(出来高!E356/AVERAGE(出来高!E356:I356),""))</f>
      </c>
      <c r="W356" s="690">
        <f>IF($D356="","",IF(AND($D356&gt;$G356,$O356="拡大↑",$L356&lt;=$M356*1.8),"◎スクイーズブレイク買",IF(AND($D356&gt;=$H356,$R356&gt;=BB設定!$B$10),"○順張り継続(walk)",IF(AND($S356="強気div▲",$D356&gt;$I356),"○反発(ダイバ)買",IF($U356="二番底W▲","△二番底買(確)",IF($U356="二番底W形成","△二番底形成",IF($D356&lt;$J356,"▼-2σ割れ危険",IF(AND($D356&gt;$E356,$K356&lt;0.6,$R356&gt;=50),"・押し目注目",IF($N356="スクイーズ★","☆スクイーズ監視","様子見")))))))))</f>
      </c>
      <c r="X356" s="685">
        <f>IF($D356="","",MIN(100,IF($L356&lt;=$M356*1.15,20,IF($L356&lt;=$M356*1.4,10,0))+IF($D356&gt;$G356,20,IF($D356&gt;$H356,12,IF($D356&gt;$E356,5,0)))+IF($O356="拡大↑",10,0)+IF($R356&gt;=80,15,IF($R356&gt;=60,10,IF($R356&gt;=50,5,0)))+IF(AND($Q356&gt;=50,$Q356&lt;=70),10,IF($Q356&gt;70,3,IF($Q356&gt;=40,5,0)))+IF($S356="強気div▲",15,0)+IF($T356="上walk▲",5,0)+IF($V356&gt;=2,5,IF($V356&gt;=1.5,3,0))))</f>
      </c>
      <c r="Y356" s="682">
        <f>IF($D356="","",$D356)</f>
      </c>
      <c r="Z356" s="682">
        <f>IF($D356="","",$H356)</f>
      </c>
      <c r="AA356" s="682">
        <f>IF($D356="","",IF($D356&gt;$E356,$E356,$AD356))</f>
      </c>
      <c r="AB356" s="682">
        <f>IF($D356="","",$G356)</f>
      </c>
      <c r="AC356" s="688">
        <f>IF($D356="","",IF(($Y356-$AA356)&lt;=0,"－",IFERROR(ROUND(MIN(20,($AB356-$Y356)/($Y356-$AA356)),2),"－")))</f>
      </c>
      <c r="AD356" s="682">
        <f>IF($D356="","",MIN(終値!E356:I356))</f>
      </c>
      <c r="AE356" s="684">
        <f>IF($D356="","",$X356+(10000-ROW())/100000)</f>
      </c>
    </row>
    <row r="357">
      <c r="A357" s="681">
        <f>IF(終値!A357="","",HYPERLINK("https://kabutan.jp/stock/?code="&amp;終値!A357,"📈"))</f>
      </c>
      <c r="B357" s="681">
        <f>IF(終値!A357="","",終値!A357)</f>
      </c>
      <c r="C357" s="680">
        <f>IF(終値!A357="","",終値!B357)</f>
      </c>
      <c r="D357" s="682">
        <f>IF(終値!A357="","",終値!E357)</f>
      </c>
      <c r="E357" s="682">
        <f>IF($D357="","",AVERAGE(終値!E357:X357))</f>
      </c>
      <c r="F357" s="683">
        <f>IF($D357="","",STDEVP(終値!E357:X357))</f>
      </c>
      <c r="G357" s="682">
        <f>IF($D357="","",$E357+BB設定!$B$4*$F357)</f>
      </c>
      <c r="H357" s="682">
        <f>IF($D357="","",$E357+BB設定!$B$5*$F357)</f>
      </c>
      <c r="I357" s="682">
        <f>IF($D357="","",$E357-BB設定!$B$5*$F357)</f>
      </c>
      <c r="J357" s="682">
        <f>IF($D357="","",$E357-BB設定!$B$4*$F357)</f>
      </c>
      <c r="K357" s="687">
        <f>IF($D357="","",IFERROR(($D357-$J357)/($G357-$J357),""))</f>
      </c>
      <c r="L357" s="686">
        <f>IF($D357="","",IFERROR(($G357-$J357)/$E357*100,""))</f>
      </c>
      <c r="M357" s="686">
        <f>IF($D357="","",IFERROR(MIN(BB_帯幅!B357:AP357)*100,""))</f>
      </c>
      <c r="N357" s="681">
        <f>IF($L357="","",IF($L357&lt;=$M357*BB設定!$B$7,"スクイーズ★",IF($L357&lt;=$M357*1.3,"収縮","－")))</f>
      </c>
      <c r="O357" s="681">
        <f>IF($D357="","",IF($L357&gt;(4*STDEVP(終値!F357:Y357)/AVERAGE(終値!F357:Y357)*100),"拡大↑","縮小↓"))</f>
      </c>
      <c r="P357" s="681">
        <f>IF($D357="","",IF($D357&gt;$G357,"↑+2σ突破",IF($D357&lt;$J357,"↓-2σ割れ",IF($D357&gt;$H357,"+1σ上",IF($D357&lt;$I357,"-1σ下","バンド内")))))</f>
      </c>
      <c r="Q357" s="684">
        <f>IF($D357="","",IFERROR(100-100/(1+SUMPRODUCT((終値!E357:R357&gt;終値!F357:S357)*(終値!E357:R357-終値!F357:S357))/SUMPRODUCT((終値!E357:R357&lt;終値!F357:S357)*(終値!F357:S357-終値!E357:R357))),100))</f>
      </c>
      <c r="R357" s="684">
        <f>IF($D357="","",IFERROR(100-100/(1+SUMPRODUCT((((高値!E357:R357+安値!E357:R357+終値!E357:R357)/3)&gt;((高値!F357:S357+安値!F357:S357+終値!F357:S357)/3))*((高値!E357:R357+安値!E357:R357+終値!E357:R357)/3)*出来高!E357:R357)/SUMPRODUCT((((高値!E357:R357+安値!E357:R357+終値!E357:R357)/3)&lt;((高値!F357:S357+安値!F357:S357+終値!F357:S357)/3))*((高値!E357:R357+安値!E357:R357+終値!E357:R357)/3)*出来高!E357:R357)),50))</f>
      </c>
      <c r="S357" s="681">
        <f>IF($D357="","",IF(AND(終値!E357&lt;終値!O357,$Q357&gt;(IFERROR(100-100/(1+SUMPRODUCT((終値!O357:AB357&gt;終値!P357:AC357)*(終値!O357:AB357-終値!P357:AC357))/SUMPRODUCT((終値!O357:AB357&lt;終値!P357:AC357)*(終値!P357:AC357-終値!O357:AB357))),100))),"強気div▲",IF(AND(終値!E357&gt;終値!O357,$Q357&lt;(IFERROR(100-100/(1+SUMPRODUCT((終値!O357:AB357&gt;終値!P357:AC357)*(終値!O357:AB357-終値!P357:AC357))/SUMPRODUCT((終値!O357:AB357&lt;終値!P357:AC357)*(終値!P357:AC357-終値!O357:AB357))),100))),"弱気div▼","－")))</f>
      </c>
      <c r="T357" s="681">
        <f>IF($D357="","",IF($D357&gt;=$H357,"上walk▲",IF($D357&lt;=$I357,"下walk▼","－")))</f>
      </c>
      <c r="U357" s="681">
        <f>IF(終値!A357="","",BB_スイング!BT357)</f>
      </c>
      <c r="V357" s="689">
        <f>IF($D357="","",IFERROR(出来高!E357/AVERAGE(出来高!E357:I357),""))</f>
      </c>
      <c r="W357" s="690">
        <f>IF($D357="","",IF(AND($D357&gt;$G357,$O357="拡大↑",$L357&lt;=$M357*1.8),"◎スクイーズブレイク買",IF(AND($D357&gt;=$H357,$R357&gt;=BB設定!$B$10),"○順張り継続(walk)",IF(AND($S357="強気div▲",$D357&gt;$I357),"○反発(ダイバ)買",IF($U357="二番底W▲","△二番底買(確)",IF($U357="二番底W形成","△二番底形成",IF($D357&lt;$J357,"▼-2σ割れ危険",IF(AND($D357&gt;$E357,$K357&lt;0.6,$R357&gt;=50),"・押し目注目",IF($N357="スクイーズ★","☆スクイーズ監視","様子見")))))))))</f>
      </c>
      <c r="X357" s="685">
        <f>IF($D357="","",MIN(100,IF($L357&lt;=$M357*1.15,20,IF($L357&lt;=$M357*1.4,10,0))+IF($D357&gt;$G357,20,IF($D357&gt;$H357,12,IF($D357&gt;$E357,5,0)))+IF($O357="拡大↑",10,0)+IF($R357&gt;=80,15,IF($R357&gt;=60,10,IF($R357&gt;=50,5,0)))+IF(AND($Q357&gt;=50,$Q357&lt;=70),10,IF($Q357&gt;70,3,IF($Q357&gt;=40,5,0)))+IF($S357="強気div▲",15,0)+IF($T357="上walk▲",5,0)+IF($V357&gt;=2,5,IF($V357&gt;=1.5,3,0))))</f>
      </c>
      <c r="Y357" s="682">
        <f>IF($D357="","",$D357)</f>
      </c>
      <c r="Z357" s="682">
        <f>IF($D357="","",$H357)</f>
      </c>
      <c r="AA357" s="682">
        <f>IF($D357="","",IF($D357&gt;$E357,$E357,$AD357))</f>
      </c>
      <c r="AB357" s="682">
        <f>IF($D357="","",$G357)</f>
      </c>
      <c r="AC357" s="688">
        <f>IF($D357="","",IF(($Y357-$AA357)&lt;=0,"－",IFERROR(ROUND(MIN(20,($AB357-$Y357)/($Y357-$AA357)),2),"－")))</f>
      </c>
      <c r="AD357" s="682">
        <f>IF($D357="","",MIN(終値!E357:I357))</f>
      </c>
      <c r="AE357" s="684">
        <f>IF($D357="","",$X357+(10000-ROW())/100000)</f>
      </c>
    </row>
    <row r="358">
      <c r="A358" s="681">
        <f>IF(終値!A358="","",HYPERLINK("https://kabutan.jp/stock/?code="&amp;終値!A358,"📈"))</f>
      </c>
      <c r="B358" s="681">
        <f>IF(終値!A358="","",終値!A358)</f>
      </c>
      <c r="C358" s="680">
        <f>IF(終値!A358="","",終値!B358)</f>
      </c>
      <c r="D358" s="682">
        <f>IF(終値!A358="","",終値!E358)</f>
      </c>
      <c r="E358" s="682">
        <f>IF($D358="","",AVERAGE(終値!E358:X358))</f>
      </c>
      <c r="F358" s="683">
        <f>IF($D358="","",STDEVP(終値!E358:X358))</f>
      </c>
      <c r="G358" s="682">
        <f>IF($D358="","",$E358+BB設定!$B$4*$F358)</f>
      </c>
      <c r="H358" s="682">
        <f>IF($D358="","",$E358+BB設定!$B$5*$F358)</f>
      </c>
      <c r="I358" s="682">
        <f>IF($D358="","",$E358-BB設定!$B$5*$F358)</f>
      </c>
      <c r="J358" s="682">
        <f>IF($D358="","",$E358-BB設定!$B$4*$F358)</f>
      </c>
      <c r="K358" s="687">
        <f>IF($D358="","",IFERROR(($D358-$J358)/($G358-$J358),""))</f>
      </c>
      <c r="L358" s="686">
        <f>IF($D358="","",IFERROR(($G358-$J358)/$E358*100,""))</f>
      </c>
      <c r="M358" s="686">
        <f>IF($D358="","",IFERROR(MIN(BB_帯幅!B358:AP358)*100,""))</f>
      </c>
      <c r="N358" s="681">
        <f>IF($L358="","",IF($L358&lt;=$M358*BB設定!$B$7,"スクイーズ★",IF($L358&lt;=$M358*1.3,"収縮","－")))</f>
      </c>
      <c r="O358" s="681">
        <f>IF($D358="","",IF($L358&gt;(4*STDEVP(終値!F358:Y358)/AVERAGE(終値!F358:Y358)*100),"拡大↑","縮小↓"))</f>
      </c>
      <c r="P358" s="681">
        <f>IF($D358="","",IF($D358&gt;$G358,"↑+2σ突破",IF($D358&lt;$J358,"↓-2σ割れ",IF($D358&gt;$H358,"+1σ上",IF($D358&lt;$I358,"-1σ下","バンド内")))))</f>
      </c>
      <c r="Q358" s="684">
        <f>IF($D358="","",IFERROR(100-100/(1+SUMPRODUCT((終値!E358:R358&gt;終値!F358:S358)*(終値!E358:R358-終値!F358:S358))/SUMPRODUCT((終値!E358:R358&lt;終値!F358:S358)*(終値!F358:S358-終値!E358:R358))),100))</f>
      </c>
      <c r="R358" s="684">
        <f>IF($D358="","",IFERROR(100-100/(1+SUMPRODUCT((((高値!E358:R358+安値!E358:R358+終値!E358:R358)/3)&gt;((高値!F358:S358+安値!F358:S358+終値!F358:S358)/3))*((高値!E358:R358+安値!E358:R358+終値!E358:R358)/3)*出来高!E358:R358)/SUMPRODUCT((((高値!E358:R358+安値!E358:R358+終値!E358:R358)/3)&lt;((高値!F358:S358+安値!F358:S358+終値!F358:S358)/3))*((高値!E358:R358+安値!E358:R358+終値!E358:R358)/3)*出来高!E358:R358)),50))</f>
      </c>
      <c r="S358" s="681">
        <f>IF($D358="","",IF(AND(終値!E358&lt;終値!O358,$Q358&gt;(IFERROR(100-100/(1+SUMPRODUCT((終値!O358:AB358&gt;終値!P358:AC358)*(終値!O358:AB358-終値!P358:AC358))/SUMPRODUCT((終値!O358:AB358&lt;終値!P358:AC358)*(終値!P358:AC358-終値!O358:AB358))),100))),"強気div▲",IF(AND(終値!E358&gt;終値!O358,$Q358&lt;(IFERROR(100-100/(1+SUMPRODUCT((終値!O358:AB358&gt;終値!P358:AC358)*(終値!O358:AB358-終値!P358:AC358))/SUMPRODUCT((終値!O358:AB358&lt;終値!P358:AC358)*(終値!P358:AC358-終値!O358:AB358))),100))),"弱気div▼","－")))</f>
      </c>
      <c r="T358" s="681">
        <f>IF($D358="","",IF($D358&gt;=$H358,"上walk▲",IF($D358&lt;=$I358,"下walk▼","－")))</f>
      </c>
      <c r="U358" s="681">
        <f>IF(終値!A358="","",BB_スイング!BT358)</f>
      </c>
      <c r="V358" s="689">
        <f>IF($D358="","",IFERROR(出来高!E358/AVERAGE(出来高!E358:I358),""))</f>
      </c>
      <c r="W358" s="690">
        <f>IF($D358="","",IF(AND($D358&gt;$G358,$O358="拡大↑",$L358&lt;=$M358*1.8),"◎スクイーズブレイク買",IF(AND($D358&gt;=$H358,$R358&gt;=BB設定!$B$10),"○順張り継続(walk)",IF(AND($S358="強気div▲",$D358&gt;$I358),"○反発(ダイバ)買",IF($U358="二番底W▲","△二番底買(確)",IF($U358="二番底W形成","△二番底形成",IF($D358&lt;$J358,"▼-2σ割れ危険",IF(AND($D358&gt;$E358,$K358&lt;0.6,$R358&gt;=50),"・押し目注目",IF($N358="スクイーズ★","☆スクイーズ監視","様子見")))))))))</f>
      </c>
      <c r="X358" s="685">
        <f>IF($D358="","",MIN(100,IF($L358&lt;=$M358*1.15,20,IF($L358&lt;=$M358*1.4,10,0))+IF($D358&gt;$G358,20,IF($D358&gt;$H358,12,IF($D358&gt;$E358,5,0)))+IF($O358="拡大↑",10,0)+IF($R358&gt;=80,15,IF($R358&gt;=60,10,IF($R358&gt;=50,5,0)))+IF(AND($Q358&gt;=50,$Q358&lt;=70),10,IF($Q358&gt;70,3,IF($Q358&gt;=40,5,0)))+IF($S358="強気div▲",15,0)+IF($T358="上walk▲",5,0)+IF($V358&gt;=2,5,IF($V358&gt;=1.5,3,0))))</f>
      </c>
      <c r="Y358" s="682">
        <f>IF($D358="","",$D358)</f>
      </c>
      <c r="Z358" s="682">
        <f>IF($D358="","",$H358)</f>
      </c>
      <c r="AA358" s="682">
        <f>IF($D358="","",IF($D358&gt;$E358,$E358,$AD358))</f>
      </c>
      <c r="AB358" s="682">
        <f>IF($D358="","",$G358)</f>
      </c>
      <c r="AC358" s="688">
        <f>IF($D358="","",IF(($Y358-$AA358)&lt;=0,"－",IFERROR(ROUND(MIN(20,($AB358-$Y358)/($Y358-$AA358)),2),"－")))</f>
      </c>
      <c r="AD358" s="682">
        <f>IF($D358="","",MIN(終値!E358:I358))</f>
      </c>
      <c r="AE358" s="684">
        <f>IF($D358="","",$X358+(10000-ROW())/100000)</f>
      </c>
    </row>
    <row r="359">
      <c r="A359" s="681">
        <f>IF(終値!A359="","",HYPERLINK("https://kabutan.jp/stock/?code="&amp;終値!A359,"📈"))</f>
      </c>
      <c r="B359" s="681">
        <f>IF(終値!A359="","",終値!A359)</f>
      </c>
      <c r="C359" s="680">
        <f>IF(終値!A359="","",終値!B359)</f>
      </c>
      <c r="D359" s="682">
        <f>IF(終値!A359="","",終値!E359)</f>
      </c>
      <c r="E359" s="682">
        <f>IF($D359="","",AVERAGE(終値!E359:X359))</f>
      </c>
      <c r="F359" s="683">
        <f>IF($D359="","",STDEVP(終値!E359:X359))</f>
      </c>
      <c r="G359" s="682">
        <f>IF($D359="","",$E359+BB設定!$B$4*$F359)</f>
      </c>
      <c r="H359" s="682">
        <f>IF($D359="","",$E359+BB設定!$B$5*$F359)</f>
      </c>
      <c r="I359" s="682">
        <f>IF($D359="","",$E359-BB設定!$B$5*$F359)</f>
      </c>
      <c r="J359" s="682">
        <f>IF($D359="","",$E359-BB設定!$B$4*$F359)</f>
      </c>
      <c r="K359" s="687">
        <f>IF($D359="","",IFERROR(($D359-$J359)/($G359-$J359),""))</f>
      </c>
      <c r="L359" s="686">
        <f>IF($D359="","",IFERROR(($G359-$J359)/$E359*100,""))</f>
      </c>
      <c r="M359" s="686">
        <f>IF($D359="","",IFERROR(MIN(BB_帯幅!B359:AP359)*100,""))</f>
      </c>
      <c r="N359" s="681">
        <f>IF($L359="","",IF($L359&lt;=$M359*BB設定!$B$7,"スクイーズ★",IF($L359&lt;=$M359*1.3,"収縮","－")))</f>
      </c>
      <c r="O359" s="681">
        <f>IF($D359="","",IF($L359&gt;(4*STDEVP(終値!F359:Y359)/AVERAGE(終値!F359:Y359)*100),"拡大↑","縮小↓"))</f>
      </c>
      <c r="P359" s="681">
        <f>IF($D359="","",IF($D359&gt;$G359,"↑+2σ突破",IF($D359&lt;$J359,"↓-2σ割れ",IF($D359&gt;$H359,"+1σ上",IF($D359&lt;$I359,"-1σ下","バンド内")))))</f>
      </c>
      <c r="Q359" s="684">
        <f>IF($D359="","",IFERROR(100-100/(1+SUMPRODUCT((終値!E359:R359&gt;終値!F359:S359)*(終値!E359:R359-終値!F359:S359))/SUMPRODUCT((終値!E359:R359&lt;終値!F359:S359)*(終値!F359:S359-終値!E359:R359))),100))</f>
      </c>
      <c r="R359" s="684">
        <f>IF($D359="","",IFERROR(100-100/(1+SUMPRODUCT((((高値!E359:R359+安値!E359:R359+終値!E359:R359)/3)&gt;((高値!F359:S359+安値!F359:S359+終値!F359:S359)/3))*((高値!E359:R359+安値!E359:R359+終値!E359:R359)/3)*出来高!E359:R359)/SUMPRODUCT((((高値!E359:R359+安値!E359:R359+終値!E359:R359)/3)&lt;((高値!F359:S359+安値!F359:S359+終値!F359:S359)/3))*((高値!E359:R359+安値!E359:R359+終値!E359:R359)/3)*出来高!E359:R359)),50))</f>
      </c>
      <c r="S359" s="681">
        <f>IF($D359="","",IF(AND(終値!E359&lt;終値!O359,$Q359&gt;(IFERROR(100-100/(1+SUMPRODUCT((終値!O359:AB359&gt;終値!P359:AC359)*(終値!O359:AB359-終値!P359:AC359))/SUMPRODUCT((終値!O359:AB359&lt;終値!P359:AC359)*(終値!P359:AC359-終値!O359:AB359))),100))),"強気div▲",IF(AND(終値!E359&gt;終値!O359,$Q359&lt;(IFERROR(100-100/(1+SUMPRODUCT((終値!O359:AB359&gt;終値!P359:AC359)*(終値!O359:AB359-終値!P359:AC359))/SUMPRODUCT((終値!O359:AB359&lt;終値!P359:AC359)*(終値!P359:AC359-終値!O359:AB359))),100))),"弱気div▼","－")))</f>
      </c>
      <c r="T359" s="681">
        <f>IF($D359="","",IF($D359&gt;=$H359,"上walk▲",IF($D359&lt;=$I359,"下walk▼","－")))</f>
      </c>
      <c r="U359" s="681">
        <f>IF(終値!A359="","",BB_スイング!BT359)</f>
      </c>
      <c r="V359" s="689">
        <f>IF($D359="","",IFERROR(出来高!E359/AVERAGE(出来高!E359:I359),""))</f>
      </c>
      <c r="W359" s="690">
        <f>IF($D359="","",IF(AND($D359&gt;$G359,$O359="拡大↑",$L359&lt;=$M359*1.8),"◎スクイーズブレイク買",IF(AND($D359&gt;=$H359,$R359&gt;=BB設定!$B$10),"○順張り継続(walk)",IF(AND($S359="強気div▲",$D359&gt;$I359),"○反発(ダイバ)買",IF($U359="二番底W▲","△二番底買(確)",IF($U359="二番底W形成","△二番底形成",IF($D359&lt;$J359,"▼-2σ割れ危険",IF(AND($D359&gt;$E359,$K359&lt;0.6,$R359&gt;=50),"・押し目注目",IF($N359="スクイーズ★","☆スクイーズ監視","様子見")))))))))</f>
      </c>
      <c r="X359" s="685">
        <f>IF($D359="","",MIN(100,IF($L359&lt;=$M359*1.15,20,IF($L359&lt;=$M359*1.4,10,0))+IF($D359&gt;$G359,20,IF($D359&gt;$H359,12,IF($D359&gt;$E359,5,0)))+IF($O359="拡大↑",10,0)+IF($R359&gt;=80,15,IF($R359&gt;=60,10,IF($R359&gt;=50,5,0)))+IF(AND($Q359&gt;=50,$Q359&lt;=70),10,IF($Q359&gt;70,3,IF($Q359&gt;=40,5,0)))+IF($S359="強気div▲",15,0)+IF($T359="上walk▲",5,0)+IF($V359&gt;=2,5,IF($V359&gt;=1.5,3,0))))</f>
      </c>
      <c r="Y359" s="682">
        <f>IF($D359="","",$D359)</f>
      </c>
      <c r="Z359" s="682">
        <f>IF($D359="","",$H359)</f>
      </c>
      <c r="AA359" s="682">
        <f>IF($D359="","",IF($D359&gt;$E359,$E359,$AD359))</f>
      </c>
      <c r="AB359" s="682">
        <f>IF($D359="","",$G359)</f>
      </c>
      <c r="AC359" s="688">
        <f>IF($D359="","",IF(($Y359-$AA359)&lt;=0,"－",IFERROR(ROUND(MIN(20,($AB359-$Y359)/($Y359-$AA359)),2),"－")))</f>
      </c>
      <c r="AD359" s="682">
        <f>IF($D359="","",MIN(終値!E359:I359))</f>
      </c>
      <c r="AE359" s="684">
        <f>IF($D359="","",$X359+(10000-ROW())/100000)</f>
      </c>
    </row>
    <row r="360">
      <c r="A360" s="681">
        <f>IF(終値!A360="","",HYPERLINK("https://kabutan.jp/stock/?code="&amp;終値!A360,"📈"))</f>
      </c>
      <c r="B360" s="681">
        <f>IF(終値!A360="","",終値!A360)</f>
      </c>
      <c r="C360" s="680">
        <f>IF(終値!A360="","",終値!B360)</f>
      </c>
      <c r="D360" s="682">
        <f>IF(終値!A360="","",終値!E360)</f>
      </c>
      <c r="E360" s="682">
        <f>IF($D360="","",AVERAGE(終値!E360:X360))</f>
      </c>
      <c r="F360" s="683">
        <f>IF($D360="","",STDEVP(終値!E360:X360))</f>
      </c>
      <c r="G360" s="682">
        <f>IF($D360="","",$E360+BB設定!$B$4*$F360)</f>
      </c>
      <c r="H360" s="682">
        <f>IF($D360="","",$E360+BB設定!$B$5*$F360)</f>
      </c>
      <c r="I360" s="682">
        <f>IF($D360="","",$E360-BB設定!$B$5*$F360)</f>
      </c>
      <c r="J360" s="682">
        <f>IF($D360="","",$E360-BB設定!$B$4*$F360)</f>
      </c>
      <c r="K360" s="687">
        <f>IF($D360="","",IFERROR(($D360-$J360)/($G360-$J360),""))</f>
      </c>
      <c r="L360" s="686">
        <f>IF($D360="","",IFERROR(($G360-$J360)/$E360*100,""))</f>
      </c>
      <c r="M360" s="686">
        <f>IF($D360="","",IFERROR(MIN(BB_帯幅!B360:AP360)*100,""))</f>
      </c>
      <c r="N360" s="681">
        <f>IF($L360="","",IF($L360&lt;=$M360*BB設定!$B$7,"スクイーズ★",IF($L360&lt;=$M360*1.3,"収縮","－")))</f>
      </c>
      <c r="O360" s="681">
        <f>IF($D360="","",IF($L360&gt;(4*STDEVP(終値!F360:Y360)/AVERAGE(終値!F360:Y360)*100),"拡大↑","縮小↓"))</f>
      </c>
      <c r="P360" s="681">
        <f>IF($D360="","",IF($D360&gt;$G360,"↑+2σ突破",IF($D360&lt;$J360,"↓-2σ割れ",IF($D360&gt;$H360,"+1σ上",IF($D360&lt;$I360,"-1σ下","バンド内")))))</f>
      </c>
      <c r="Q360" s="684">
        <f>IF($D360="","",IFERROR(100-100/(1+SUMPRODUCT((終値!E360:R360&gt;終値!F360:S360)*(終値!E360:R360-終値!F360:S360))/SUMPRODUCT((終値!E360:R360&lt;終値!F360:S360)*(終値!F360:S360-終値!E360:R360))),100))</f>
      </c>
      <c r="R360" s="684">
        <f>IF($D360="","",IFERROR(100-100/(1+SUMPRODUCT((((高値!E360:R360+安値!E360:R360+終値!E360:R360)/3)&gt;((高値!F360:S360+安値!F360:S360+終値!F360:S360)/3))*((高値!E360:R360+安値!E360:R360+終値!E360:R360)/3)*出来高!E360:R360)/SUMPRODUCT((((高値!E360:R360+安値!E360:R360+終値!E360:R360)/3)&lt;((高値!F360:S360+安値!F360:S360+終値!F360:S360)/3))*((高値!E360:R360+安値!E360:R360+終値!E360:R360)/3)*出来高!E360:R360)),50))</f>
      </c>
      <c r="S360" s="681">
        <f>IF($D360="","",IF(AND(終値!E360&lt;終値!O360,$Q360&gt;(IFERROR(100-100/(1+SUMPRODUCT((終値!O360:AB360&gt;終値!P360:AC360)*(終値!O360:AB360-終値!P360:AC360))/SUMPRODUCT((終値!O360:AB360&lt;終値!P360:AC360)*(終値!P360:AC360-終値!O360:AB360))),100))),"強気div▲",IF(AND(終値!E360&gt;終値!O360,$Q360&lt;(IFERROR(100-100/(1+SUMPRODUCT((終値!O360:AB360&gt;終値!P360:AC360)*(終値!O360:AB360-終値!P360:AC360))/SUMPRODUCT((終値!O360:AB360&lt;終値!P360:AC360)*(終値!P360:AC360-終値!O360:AB360))),100))),"弱気div▼","－")))</f>
      </c>
      <c r="T360" s="681">
        <f>IF($D360="","",IF($D360&gt;=$H360,"上walk▲",IF($D360&lt;=$I360,"下walk▼","－")))</f>
      </c>
      <c r="U360" s="681">
        <f>IF(終値!A360="","",BB_スイング!BT360)</f>
      </c>
      <c r="V360" s="689">
        <f>IF($D360="","",IFERROR(出来高!E360/AVERAGE(出来高!E360:I360),""))</f>
      </c>
      <c r="W360" s="690">
        <f>IF($D360="","",IF(AND($D360&gt;$G360,$O360="拡大↑",$L360&lt;=$M360*1.8),"◎スクイーズブレイク買",IF(AND($D360&gt;=$H360,$R360&gt;=BB設定!$B$10),"○順張り継続(walk)",IF(AND($S360="強気div▲",$D360&gt;$I360),"○反発(ダイバ)買",IF($U360="二番底W▲","△二番底買(確)",IF($U360="二番底W形成","△二番底形成",IF($D360&lt;$J360,"▼-2σ割れ危険",IF(AND($D360&gt;$E360,$K360&lt;0.6,$R360&gt;=50),"・押し目注目",IF($N360="スクイーズ★","☆スクイーズ監視","様子見")))))))))</f>
      </c>
      <c r="X360" s="685">
        <f>IF($D360="","",MIN(100,IF($L360&lt;=$M360*1.15,20,IF($L360&lt;=$M360*1.4,10,0))+IF($D360&gt;$G360,20,IF($D360&gt;$H360,12,IF($D360&gt;$E360,5,0)))+IF($O360="拡大↑",10,0)+IF($R360&gt;=80,15,IF($R360&gt;=60,10,IF($R360&gt;=50,5,0)))+IF(AND($Q360&gt;=50,$Q360&lt;=70),10,IF($Q360&gt;70,3,IF($Q360&gt;=40,5,0)))+IF($S360="強気div▲",15,0)+IF($T360="上walk▲",5,0)+IF($V360&gt;=2,5,IF($V360&gt;=1.5,3,0))))</f>
      </c>
      <c r="Y360" s="682">
        <f>IF($D360="","",$D360)</f>
      </c>
      <c r="Z360" s="682">
        <f>IF($D360="","",$H360)</f>
      </c>
      <c r="AA360" s="682">
        <f>IF($D360="","",IF($D360&gt;$E360,$E360,$AD360))</f>
      </c>
      <c r="AB360" s="682">
        <f>IF($D360="","",$G360)</f>
      </c>
      <c r="AC360" s="688">
        <f>IF($D360="","",IF(($Y360-$AA360)&lt;=0,"－",IFERROR(ROUND(MIN(20,($AB360-$Y360)/($Y360-$AA360)),2),"－")))</f>
      </c>
      <c r="AD360" s="682">
        <f>IF($D360="","",MIN(終値!E360:I360))</f>
      </c>
      <c r="AE360" s="684">
        <f>IF($D360="","",$X360+(10000-ROW())/100000)</f>
      </c>
    </row>
    <row r="361">
      <c r="A361" s="681">
        <f>IF(終値!A361="","",HYPERLINK("https://kabutan.jp/stock/?code="&amp;終値!A361,"📈"))</f>
      </c>
      <c r="B361" s="681">
        <f>IF(終値!A361="","",終値!A361)</f>
      </c>
      <c r="C361" s="680">
        <f>IF(終値!A361="","",終値!B361)</f>
      </c>
      <c r="D361" s="682">
        <f>IF(終値!A361="","",終値!E361)</f>
      </c>
      <c r="E361" s="682">
        <f>IF($D361="","",AVERAGE(終値!E361:X361))</f>
      </c>
      <c r="F361" s="683">
        <f>IF($D361="","",STDEVP(終値!E361:X361))</f>
      </c>
      <c r="G361" s="682">
        <f>IF($D361="","",$E361+BB設定!$B$4*$F361)</f>
      </c>
      <c r="H361" s="682">
        <f>IF($D361="","",$E361+BB設定!$B$5*$F361)</f>
      </c>
      <c r="I361" s="682">
        <f>IF($D361="","",$E361-BB設定!$B$5*$F361)</f>
      </c>
      <c r="J361" s="682">
        <f>IF($D361="","",$E361-BB設定!$B$4*$F361)</f>
      </c>
      <c r="K361" s="687">
        <f>IF($D361="","",IFERROR(($D361-$J361)/($G361-$J361),""))</f>
      </c>
      <c r="L361" s="686">
        <f>IF($D361="","",IFERROR(($G361-$J361)/$E361*100,""))</f>
      </c>
      <c r="M361" s="686">
        <f>IF($D361="","",IFERROR(MIN(BB_帯幅!B361:AP361)*100,""))</f>
      </c>
      <c r="N361" s="681">
        <f>IF($L361="","",IF($L361&lt;=$M361*BB設定!$B$7,"スクイーズ★",IF($L361&lt;=$M361*1.3,"収縮","－")))</f>
      </c>
      <c r="O361" s="681">
        <f>IF($D361="","",IF($L361&gt;(4*STDEVP(終値!F361:Y361)/AVERAGE(終値!F361:Y361)*100),"拡大↑","縮小↓"))</f>
      </c>
      <c r="P361" s="681">
        <f>IF($D361="","",IF($D361&gt;$G361,"↑+2σ突破",IF($D361&lt;$J361,"↓-2σ割れ",IF($D361&gt;$H361,"+1σ上",IF($D361&lt;$I361,"-1σ下","バンド内")))))</f>
      </c>
      <c r="Q361" s="684">
        <f>IF($D361="","",IFERROR(100-100/(1+SUMPRODUCT((終値!E361:R361&gt;終値!F361:S361)*(終値!E361:R361-終値!F361:S361))/SUMPRODUCT((終値!E361:R361&lt;終値!F361:S361)*(終値!F361:S361-終値!E361:R361))),100))</f>
      </c>
      <c r="R361" s="684">
        <f>IF($D361="","",IFERROR(100-100/(1+SUMPRODUCT((((高値!E361:R361+安値!E361:R361+終値!E361:R361)/3)&gt;((高値!F361:S361+安値!F361:S361+終値!F361:S361)/3))*((高値!E361:R361+安値!E361:R361+終値!E361:R361)/3)*出来高!E361:R361)/SUMPRODUCT((((高値!E361:R361+安値!E361:R361+終値!E361:R361)/3)&lt;((高値!F361:S361+安値!F361:S361+終値!F361:S361)/3))*((高値!E361:R361+安値!E361:R361+終値!E361:R361)/3)*出来高!E361:R361)),50))</f>
      </c>
      <c r="S361" s="681">
        <f>IF($D361="","",IF(AND(終値!E361&lt;終値!O361,$Q361&gt;(IFERROR(100-100/(1+SUMPRODUCT((終値!O361:AB361&gt;終値!P361:AC361)*(終値!O361:AB361-終値!P361:AC361))/SUMPRODUCT((終値!O361:AB361&lt;終値!P361:AC361)*(終値!P361:AC361-終値!O361:AB361))),100))),"強気div▲",IF(AND(終値!E361&gt;終値!O361,$Q361&lt;(IFERROR(100-100/(1+SUMPRODUCT((終値!O361:AB361&gt;終値!P361:AC361)*(終値!O361:AB361-終値!P361:AC361))/SUMPRODUCT((終値!O361:AB361&lt;終値!P361:AC361)*(終値!P361:AC361-終値!O361:AB361))),100))),"弱気div▼","－")))</f>
      </c>
      <c r="T361" s="681">
        <f>IF($D361="","",IF($D361&gt;=$H361,"上walk▲",IF($D361&lt;=$I361,"下walk▼","－")))</f>
      </c>
      <c r="U361" s="681">
        <f>IF(終値!A361="","",BB_スイング!BT361)</f>
      </c>
      <c r="V361" s="689">
        <f>IF($D361="","",IFERROR(出来高!E361/AVERAGE(出来高!E361:I361),""))</f>
      </c>
      <c r="W361" s="690">
        <f>IF($D361="","",IF(AND($D361&gt;$G361,$O361="拡大↑",$L361&lt;=$M361*1.8),"◎スクイーズブレイク買",IF(AND($D361&gt;=$H361,$R361&gt;=BB設定!$B$10),"○順張り継続(walk)",IF(AND($S361="強気div▲",$D361&gt;$I361),"○反発(ダイバ)買",IF($U361="二番底W▲","△二番底買(確)",IF($U361="二番底W形成","△二番底形成",IF($D361&lt;$J361,"▼-2σ割れ危険",IF(AND($D361&gt;$E361,$K361&lt;0.6,$R361&gt;=50),"・押し目注目",IF($N361="スクイーズ★","☆スクイーズ監視","様子見")))))))))</f>
      </c>
      <c r="X361" s="685">
        <f>IF($D361="","",MIN(100,IF($L361&lt;=$M361*1.15,20,IF($L361&lt;=$M361*1.4,10,0))+IF($D361&gt;$G361,20,IF($D361&gt;$H361,12,IF($D361&gt;$E361,5,0)))+IF($O361="拡大↑",10,0)+IF($R361&gt;=80,15,IF($R361&gt;=60,10,IF($R361&gt;=50,5,0)))+IF(AND($Q361&gt;=50,$Q361&lt;=70),10,IF($Q361&gt;70,3,IF($Q361&gt;=40,5,0)))+IF($S361="強気div▲",15,0)+IF($T361="上walk▲",5,0)+IF($V361&gt;=2,5,IF($V361&gt;=1.5,3,0))))</f>
      </c>
      <c r="Y361" s="682">
        <f>IF($D361="","",$D361)</f>
      </c>
      <c r="Z361" s="682">
        <f>IF($D361="","",$H361)</f>
      </c>
      <c r="AA361" s="682">
        <f>IF($D361="","",IF($D361&gt;$E361,$E361,$AD361))</f>
      </c>
      <c r="AB361" s="682">
        <f>IF($D361="","",$G361)</f>
      </c>
      <c r="AC361" s="688">
        <f>IF($D361="","",IF(($Y361-$AA361)&lt;=0,"－",IFERROR(ROUND(MIN(20,($AB361-$Y361)/($Y361-$AA361)),2),"－")))</f>
      </c>
      <c r="AD361" s="682">
        <f>IF($D361="","",MIN(終値!E361:I361))</f>
      </c>
      <c r="AE361" s="684">
        <f>IF($D361="","",$X361+(10000-ROW())/100000)</f>
      </c>
    </row>
    <row r="362">
      <c r="A362" s="681">
        <f>IF(終値!A362="","",HYPERLINK("https://kabutan.jp/stock/?code="&amp;終値!A362,"📈"))</f>
      </c>
      <c r="B362" s="681">
        <f>IF(終値!A362="","",終値!A362)</f>
      </c>
      <c r="C362" s="680">
        <f>IF(終値!A362="","",終値!B362)</f>
      </c>
      <c r="D362" s="682">
        <f>IF(終値!A362="","",終値!E362)</f>
      </c>
      <c r="E362" s="682">
        <f>IF($D362="","",AVERAGE(終値!E362:X362))</f>
      </c>
      <c r="F362" s="683">
        <f>IF($D362="","",STDEVP(終値!E362:X362))</f>
      </c>
      <c r="G362" s="682">
        <f>IF($D362="","",$E362+BB設定!$B$4*$F362)</f>
      </c>
      <c r="H362" s="682">
        <f>IF($D362="","",$E362+BB設定!$B$5*$F362)</f>
      </c>
      <c r="I362" s="682">
        <f>IF($D362="","",$E362-BB設定!$B$5*$F362)</f>
      </c>
      <c r="J362" s="682">
        <f>IF($D362="","",$E362-BB設定!$B$4*$F362)</f>
      </c>
      <c r="K362" s="687">
        <f>IF($D362="","",IFERROR(($D362-$J362)/($G362-$J362),""))</f>
      </c>
      <c r="L362" s="686">
        <f>IF($D362="","",IFERROR(($G362-$J362)/$E362*100,""))</f>
      </c>
      <c r="M362" s="686">
        <f>IF($D362="","",IFERROR(MIN(BB_帯幅!B362:AP362)*100,""))</f>
      </c>
      <c r="N362" s="681">
        <f>IF($L362="","",IF($L362&lt;=$M362*BB設定!$B$7,"スクイーズ★",IF($L362&lt;=$M362*1.3,"収縮","－")))</f>
      </c>
      <c r="O362" s="681">
        <f>IF($D362="","",IF($L362&gt;(4*STDEVP(終値!F362:Y362)/AVERAGE(終値!F362:Y362)*100),"拡大↑","縮小↓"))</f>
      </c>
      <c r="P362" s="681">
        <f>IF($D362="","",IF($D362&gt;$G362,"↑+2σ突破",IF($D362&lt;$J362,"↓-2σ割れ",IF($D362&gt;$H362,"+1σ上",IF($D362&lt;$I362,"-1σ下","バンド内")))))</f>
      </c>
      <c r="Q362" s="684">
        <f>IF($D362="","",IFERROR(100-100/(1+SUMPRODUCT((終値!E362:R362&gt;終値!F362:S362)*(終値!E362:R362-終値!F362:S362))/SUMPRODUCT((終値!E362:R362&lt;終値!F362:S362)*(終値!F362:S362-終値!E362:R362))),100))</f>
      </c>
      <c r="R362" s="684">
        <f>IF($D362="","",IFERROR(100-100/(1+SUMPRODUCT((((高値!E362:R362+安値!E362:R362+終値!E362:R362)/3)&gt;((高値!F362:S362+安値!F362:S362+終値!F362:S362)/3))*((高値!E362:R362+安値!E362:R362+終値!E362:R362)/3)*出来高!E362:R362)/SUMPRODUCT((((高値!E362:R362+安値!E362:R362+終値!E362:R362)/3)&lt;((高値!F362:S362+安値!F362:S362+終値!F362:S362)/3))*((高値!E362:R362+安値!E362:R362+終値!E362:R362)/3)*出来高!E362:R362)),50))</f>
      </c>
      <c r="S362" s="681">
        <f>IF($D362="","",IF(AND(終値!E362&lt;終値!O362,$Q362&gt;(IFERROR(100-100/(1+SUMPRODUCT((終値!O362:AB362&gt;終値!P362:AC362)*(終値!O362:AB362-終値!P362:AC362))/SUMPRODUCT((終値!O362:AB362&lt;終値!P362:AC362)*(終値!P362:AC362-終値!O362:AB362))),100))),"強気div▲",IF(AND(終値!E362&gt;終値!O362,$Q362&lt;(IFERROR(100-100/(1+SUMPRODUCT((終値!O362:AB362&gt;終値!P362:AC362)*(終値!O362:AB362-終値!P362:AC362))/SUMPRODUCT((終値!O362:AB362&lt;終値!P362:AC362)*(終値!P362:AC362-終値!O362:AB362))),100))),"弱気div▼","－")))</f>
      </c>
      <c r="T362" s="681">
        <f>IF($D362="","",IF($D362&gt;=$H362,"上walk▲",IF($D362&lt;=$I362,"下walk▼","－")))</f>
      </c>
      <c r="U362" s="681">
        <f>IF(終値!A362="","",BB_スイング!BT362)</f>
      </c>
      <c r="V362" s="689">
        <f>IF($D362="","",IFERROR(出来高!E362/AVERAGE(出来高!E362:I362),""))</f>
      </c>
      <c r="W362" s="690">
        <f>IF($D362="","",IF(AND($D362&gt;$G362,$O362="拡大↑",$L362&lt;=$M362*1.8),"◎スクイーズブレイク買",IF(AND($D362&gt;=$H362,$R362&gt;=BB設定!$B$10),"○順張り継続(walk)",IF(AND($S362="強気div▲",$D362&gt;$I362),"○反発(ダイバ)買",IF($U362="二番底W▲","△二番底買(確)",IF($U362="二番底W形成","△二番底形成",IF($D362&lt;$J362,"▼-2σ割れ危険",IF(AND($D362&gt;$E362,$K362&lt;0.6,$R362&gt;=50),"・押し目注目",IF($N362="スクイーズ★","☆スクイーズ監視","様子見")))))))))</f>
      </c>
      <c r="X362" s="685">
        <f>IF($D362="","",MIN(100,IF($L362&lt;=$M362*1.15,20,IF($L362&lt;=$M362*1.4,10,0))+IF($D362&gt;$G362,20,IF($D362&gt;$H362,12,IF($D362&gt;$E362,5,0)))+IF($O362="拡大↑",10,0)+IF($R362&gt;=80,15,IF($R362&gt;=60,10,IF($R362&gt;=50,5,0)))+IF(AND($Q362&gt;=50,$Q362&lt;=70),10,IF($Q362&gt;70,3,IF($Q362&gt;=40,5,0)))+IF($S362="強気div▲",15,0)+IF($T362="上walk▲",5,0)+IF($V362&gt;=2,5,IF($V362&gt;=1.5,3,0))))</f>
      </c>
      <c r="Y362" s="682">
        <f>IF($D362="","",$D362)</f>
      </c>
      <c r="Z362" s="682">
        <f>IF($D362="","",$H362)</f>
      </c>
      <c r="AA362" s="682">
        <f>IF($D362="","",IF($D362&gt;$E362,$E362,$AD362))</f>
      </c>
      <c r="AB362" s="682">
        <f>IF($D362="","",$G362)</f>
      </c>
      <c r="AC362" s="688">
        <f>IF($D362="","",IF(($Y362-$AA362)&lt;=0,"－",IFERROR(ROUND(MIN(20,($AB362-$Y362)/($Y362-$AA362)),2),"－")))</f>
      </c>
      <c r="AD362" s="682">
        <f>IF($D362="","",MIN(終値!E362:I362))</f>
      </c>
      <c r="AE362" s="684">
        <f>IF($D362="","",$X362+(10000-ROW())/100000)</f>
      </c>
    </row>
    <row r="363">
      <c r="A363" s="681">
        <f>IF(終値!A363="","",HYPERLINK("https://kabutan.jp/stock/?code="&amp;終値!A363,"📈"))</f>
      </c>
      <c r="B363" s="681">
        <f>IF(終値!A363="","",終値!A363)</f>
      </c>
      <c r="C363" s="680">
        <f>IF(終値!A363="","",終値!B363)</f>
      </c>
      <c r="D363" s="682">
        <f>IF(終値!A363="","",終値!E363)</f>
      </c>
      <c r="E363" s="682">
        <f>IF($D363="","",AVERAGE(終値!E363:X363))</f>
      </c>
      <c r="F363" s="683">
        <f>IF($D363="","",STDEVP(終値!E363:X363))</f>
      </c>
      <c r="G363" s="682">
        <f>IF($D363="","",$E363+BB設定!$B$4*$F363)</f>
      </c>
      <c r="H363" s="682">
        <f>IF($D363="","",$E363+BB設定!$B$5*$F363)</f>
      </c>
      <c r="I363" s="682">
        <f>IF($D363="","",$E363-BB設定!$B$5*$F363)</f>
      </c>
      <c r="J363" s="682">
        <f>IF($D363="","",$E363-BB設定!$B$4*$F363)</f>
      </c>
      <c r="K363" s="687">
        <f>IF($D363="","",IFERROR(($D363-$J363)/($G363-$J363),""))</f>
      </c>
      <c r="L363" s="686">
        <f>IF($D363="","",IFERROR(($G363-$J363)/$E363*100,""))</f>
      </c>
      <c r="M363" s="686">
        <f>IF($D363="","",IFERROR(MIN(BB_帯幅!B363:AP363)*100,""))</f>
      </c>
      <c r="N363" s="681">
        <f>IF($L363="","",IF($L363&lt;=$M363*BB設定!$B$7,"スクイーズ★",IF($L363&lt;=$M363*1.3,"収縮","－")))</f>
      </c>
      <c r="O363" s="681">
        <f>IF($D363="","",IF($L363&gt;(4*STDEVP(終値!F363:Y363)/AVERAGE(終値!F363:Y363)*100),"拡大↑","縮小↓"))</f>
      </c>
      <c r="P363" s="681">
        <f>IF($D363="","",IF($D363&gt;$G363,"↑+2σ突破",IF($D363&lt;$J363,"↓-2σ割れ",IF($D363&gt;$H363,"+1σ上",IF($D363&lt;$I363,"-1σ下","バンド内")))))</f>
      </c>
      <c r="Q363" s="684">
        <f>IF($D363="","",IFERROR(100-100/(1+SUMPRODUCT((終値!E363:R363&gt;終値!F363:S363)*(終値!E363:R363-終値!F363:S363))/SUMPRODUCT((終値!E363:R363&lt;終値!F363:S363)*(終値!F363:S363-終値!E363:R363))),100))</f>
      </c>
      <c r="R363" s="684">
        <f>IF($D363="","",IFERROR(100-100/(1+SUMPRODUCT((((高値!E363:R363+安値!E363:R363+終値!E363:R363)/3)&gt;((高値!F363:S363+安値!F363:S363+終値!F363:S363)/3))*((高値!E363:R363+安値!E363:R363+終値!E363:R363)/3)*出来高!E363:R363)/SUMPRODUCT((((高値!E363:R363+安値!E363:R363+終値!E363:R363)/3)&lt;((高値!F363:S363+安値!F363:S363+終値!F363:S363)/3))*((高値!E363:R363+安値!E363:R363+終値!E363:R363)/3)*出来高!E363:R363)),50))</f>
      </c>
      <c r="S363" s="681">
        <f>IF($D363="","",IF(AND(終値!E363&lt;終値!O363,$Q363&gt;(IFERROR(100-100/(1+SUMPRODUCT((終値!O363:AB363&gt;終値!P363:AC363)*(終値!O363:AB363-終値!P363:AC363))/SUMPRODUCT((終値!O363:AB363&lt;終値!P363:AC363)*(終値!P363:AC363-終値!O363:AB363))),100))),"強気div▲",IF(AND(終値!E363&gt;終値!O363,$Q363&lt;(IFERROR(100-100/(1+SUMPRODUCT((終値!O363:AB363&gt;終値!P363:AC363)*(終値!O363:AB363-終値!P363:AC363))/SUMPRODUCT((終値!O363:AB363&lt;終値!P363:AC363)*(終値!P363:AC363-終値!O363:AB363))),100))),"弱気div▼","－")))</f>
      </c>
      <c r="T363" s="681">
        <f>IF($D363="","",IF($D363&gt;=$H363,"上walk▲",IF($D363&lt;=$I363,"下walk▼","－")))</f>
      </c>
      <c r="U363" s="681">
        <f>IF(終値!A363="","",BB_スイング!BT363)</f>
      </c>
      <c r="V363" s="689">
        <f>IF($D363="","",IFERROR(出来高!E363/AVERAGE(出来高!E363:I363),""))</f>
      </c>
      <c r="W363" s="690">
        <f>IF($D363="","",IF(AND($D363&gt;$G363,$O363="拡大↑",$L363&lt;=$M363*1.8),"◎スクイーズブレイク買",IF(AND($D363&gt;=$H363,$R363&gt;=BB設定!$B$10),"○順張り継続(walk)",IF(AND($S363="強気div▲",$D363&gt;$I363),"○反発(ダイバ)買",IF($U363="二番底W▲","△二番底買(確)",IF($U363="二番底W形成","△二番底形成",IF($D363&lt;$J363,"▼-2σ割れ危険",IF(AND($D363&gt;$E363,$K363&lt;0.6,$R363&gt;=50),"・押し目注目",IF($N363="スクイーズ★","☆スクイーズ監視","様子見")))))))))</f>
      </c>
      <c r="X363" s="685">
        <f>IF($D363="","",MIN(100,IF($L363&lt;=$M363*1.15,20,IF($L363&lt;=$M363*1.4,10,0))+IF($D363&gt;$G363,20,IF($D363&gt;$H363,12,IF($D363&gt;$E363,5,0)))+IF($O363="拡大↑",10,0)+IF($R363&gt;=80,15,IF($R363&gt;=60,10,IF($R363&gt;=50,5,0)))+IF(AND($Q363&gt;=50,$Q363&lt;=70),10,IF($Q363&gt;70,3,IF($Q363&gt;=40,5,0)))+IF($S363="強気div▲",15,0)+IF($T363="上walk▲",5,0)+IF($V363&gt;=2,5,IF($V363&gt;=1.5,3,0))))</f>
      </c>
      <c r="Y363" s="682">
        <f>IF($D363="","",$D363)</f>
      </c>
      <c r="Z363" s="682">
        <f>IF($D363="","",$H363)</f>
      </c>
      <c r="AA363" s="682">
        <f>IF($D363="","",IF($D363&gt;$E363,$E363,$AD363))</f>
      </c>
      <c r="AB363" s="682">
        <f>IF($D363="","",$G363)</f>
      </c>
      <c r="AC363" s="688">
        <f>IF($D363="","",IF(($Y363-$AA363)&lt;=0,"－",IFERROR(ROUND(MIN(20,($AB363-$Y363)/($Y363-$AA363)),2),"－")))</f>
      </c>
      <c r="AD363" s="682">
        <f>IF($D363="","",MIN(終値!E363:I363))</f>
      </c>
      <c r="AE363" s="684">
        <f>IF($D363="","",$X363+(10000-ROW())/100000)</f>
      </c>
    </row>
    <row r="364">
      <c r="A364" s="681">
        <f>IF(終値!A364="","",HYPERLINK("https://kabutan.jp/stock/?code="&amp;終値!A364,"📈"))</f>
      </c>
      <c r="B364" s="681">
        <f>IF(終値!A364="","",終値!A364)</f>
      </c>
      <c r="C364" s="680">
        <f>IF(終値!A364="","",終値!B364)</f>
      </c>
      <c r="D364" s="682">
        <f>IF(終値!A364="","",終値!E364)</f>
      </c>
      <c r="E364" s="682">
        <f>IF($D364="","",AVERAGE(終値!E364:X364))</f>
      </c>
      <c r="F364" s="683">
        <f>IF($D364="","",STDEVP(終値!E364:X364))</f>
      </c>
      <c r="G364" s="682">
        <f>IF($D364="","",$E364+BB設定!$B$4*$F364)</f>
      </c>
      <c r="H364" s="682">
        <f>IF($D364="","",$E364+BB設定!$B$5*$F364)</f>
      </c>
      <c r="I364" s="682">
        <f>IF($D364="","",$E364-BB設定!$B$5*$F364)</f>
      </c>
      <c r="J364" s="682">
        <f>IF($D364="","",$E364-BB設定!$B$4*$F364)</f>
      </c>
      <c r="K364" s="687">
        <f>IF($D364="","",IFERROR(($D364-$J364)/($G364-$J364),""))</f>
      </c>
      <c r="L364" s="686">
        <f>IF($D364="","",IFERROR(($G364-$J364)/$E364*100,""))</f>
      </c>
      <c r="M364" s="686">
        <f>IF($D364="","",IFERROR(MIN(BB_帯幅!B364:AP364)*100,""))</f>
      </c>
      <c r="N364" s="681">
        <f>IF($L364="","",IF($L364&lt;=$M364*BB設定!$B$7,"スクイーズ★",IF($L364&lt;=$M364*1.3,"収縮","－")))</f>
      </c>
      <c r="O364" s="681">
        <f>IF($D364="","",IF($L364&gt;(4*STDEVP(終値!F364:Y364)/AVERAGE(終値!F364:Y364)*100),"拡大↑","縮小↓"))</f>
      </c>
      <c r="P364" s="681">
        <f>IF($D364="","",IF($D364&gt;$G364,"↑+2σ突破",IF($D364&lt;$J364,"↓-2σ割れ",IF($D364&gt;$H364,"+1σ上",IF($D364&lt;$I364,"-1σ下","バンド内")))))</f>
      </c>
      <c r="Q364" s="684">
        <f>IF($D364="","",IFERROR(100-100/(1+SUMPRODUCT((終値!E364:R364&gt;終値!F364:S364)*(終値!E364:R364-終値!F364:S364))/SUMPRODUCT((終値!E364:R364&lt;終値!F364:S364)*(終値!F364:S364-終値!E364:R364))),100))</f>
      </c>
      <c r="R364" s="684">
        <f>IF($D364="","",IFERROR(100-100/(1+SUMPRODUCT((((高値!E364:R364+安値!E364:R364+終値!E364:R364)/3)&gt;((高値!F364:S364+安値!F364:S364+終値!F364:S364)/3))*((高値!E364:R364+安値!E364:R364+終値!E364:R364)/3)*出来高!E364:R364)/SUMPRODUCT((((高値!E364:R364+安値!E364:R364+終値!E364:R364)/3)&lt;((高値!F364:S364+安値!F364:S364+終値!F364:S364)/3))*((高値!E364:R364+安値!E364:R364+終値!E364:R364)/3)*出来高!E364:R364)),50))</f>
      </c>
      <c r="S364" s="681">
        <f>IF($D364="","",IF(AND(終値!E364&lt;終値!O364,$Q364&gt;(IFERROR(100-100/(1+SUMPRODUCT((終値!O364:AB364&gt;終値!P364:AC364)*(終値!O364:AB364-終値!P364:AC364))/SUMPRODUCT((終値!O364:AB364&lt;終値!P364:AC364)*(終値!P364:AC364-終値!O364:AB364))),100))),"強気div▲",IF(AND(終値!E364&gt;終値!O364,$Q364&lt;(IFERROR(100-100/(1+SUMPRODUCT((終値!O364:AB364&gt;終値!P364:AC364)*(終値!O364:AB364-終値!P364:AC364))/SUMPRODUCT((終値!O364:AB364&lt;終値!P364:AC364)*(終値!P364:AC364-終値!O364:AB364))),100))),"弱気div▼","－")))</f>
      </c>
      <c r="T364" s="681">
        <f>IF($D364="","",IF($D364&gt;=$H364,"上walk▲",IF($D364&lt;=$I364,"下walk▼","－")))</f>
      </c>
      <c r="U364" s="681">
        <f>IF(終値!A364="","",BB_スイング!BT364)</f>
      </c>
      <c r="V364" s="689">
        <f>IF($D364="","",IFERROR(出来高!E364/AVERAGE(出来高!E364:I364),""))</f>
      </c>
      <c r="W364" s="690">
        <f>IF($D364="","",IF(AND($D364&gt;$G364,$O364="拡大↑",$L364&lt;=$M364*1.8),"◎スクイーズブレイク買",IF(AND($D364&gt;=$H364,$R364&gt;=BB設定!$B$10),"○順張り継続(walk)",IF(AND($S364="強気div▲",$D364&gt;$I364),"○反発(ダイバ)買",IF($U364="二番底W▲","△二番底買(確)",IF($U364="二番底W形成","△二番底形成",IF($D364&lt;$J364,"▼-2σ割れ危険",IF(AND($D364&gt;$E364,$K364&lt;0.6,$R364&gt;=50),"・押し目注目",IF($N364="スクイーズ★","☆スクイーズ監視","様子見")))))))))</f>
      </c>
      <c r="X364" s="685">
        <f>IF($D364="","",MIN(100,IF($L364&lt;=$M364*1.15,20,IF($L364&lt;=$M364*1.4,10,0))+IF($D364&gt;$G364,20,IF($D364&gt;$H364,12,IF($D364&gt;$E364,5,0)))+IF($O364="拡大↑",10,0)+IF($R364&gt;=80,15,IF($R364&gt;=60,10,IF($R364&gt;=50,5,0)))+IF(AND($Q364&gt;=50,$Q364&lt;=70),10,IF($Q364&gt;70,3,IF($Q364&gt;=40,5,0)))+IF($S364="強気div▲",15,0)+IF($T364="上walk▲",5,0)+IF($V364&gt;=2,5,IF($V364&gt;=1.5,3,0))))</f>
      </c>
      <c r="Y364" s="682">
        <f>IF($D364="","",$D364)</f>
      </c>
      <c r="Z364" s="682">
        <f>IF($D364="","",$H364)</f>
      </c>
      <c r="AA364" s="682">
        <f>IF($D364="","",IF($D364&gt;$E364,$E364,$AD364))</f>
      </c>
      <c r="AB364" s="682">
        <f>IF($D364="","",$G364)</f>
      </c>
      <c r="AC364" s="688">
        <f>IF($D364="","",IF(($Y364-$AA364)&lt;=0,"－",IFERROR(ROUND(MIN(20,($AB364-$Y364)/($Y364-$AA364)),2),"－")))</f>
      </c>
      <c r="AD364" s="682">
        <f>IF($D364="","",MIN(終値!E364:I364))</f>
      </c>
      <c r="AE364" s="684">
        <f>IF($D364="","",$X364+(10000-ROW())/100000)</f>
      </c>
    </row>
    <row r="365">
      <c r="A365" s="681">
        <f>IF(終値!A365="","",HYPERLINK("https://kabutan.jp/stock/?code="&amp;終値!A365,"📈"))</f>
      </c>
      <c r="B365" s="681">
        <f>IF(終値!A365="","",終値!A365)</f>
      </c>
      <c r="C365" s="680">
        <f>IF(終値!A365="","",終値!B365)</f>
      </c>
      <c r="D365" s="682">
        <f>IF(終値!A365="","",終値!E365)</f>
      </c>
      <c r="E365" s="682">
        <f>IF($D365="","",AVERAGE(終値!E365:X365))</f>
      </c>
      <c r="F365" s="683">
        <f>IF($D365="","",STDEVP(終値!E365:X365))</f>
      </c>
      <c r="G365" s="682">
        <f>IF($D365="","",$E365+BB設定!$B$4*$F365)</f>
      </c>
      <c r="H365" s="682">
        <f>IF($D365="","",$E365+BB設定!$B$5*$F365)</f>
      </c>
      <c r="I365" s="682">
        <f>IF($D365="","",$E365-BB設定!$B$5*$F365)</f>
      </c>
      <c r="J365" s="682">
        <f>IF($D365="","",$E365-BB設定!$B$4*$F365)</f>
      </c>
      <c r="K365" s="687">
        <f>IF($D365="","",IFERROR(($D365-$J365)/($G365-$J365),""))</f>
      </c>
      <c r="L365" s="686">
        <f>IF($D365="","",IFERROR(($G365-$J365)/$E365*100,""))</f>
      </c>
      <c r="M365" s="686">
        <f>IF($D365="","",IFERROR(MIN(BB_帯幅!B365:AP365)*100,""))</f>
      </c>
      <c r="N365" s="681">
        <f>IF($L365="","",IF($L365&lt;=$M365*BB設定!$B$7,"スクイーズ★",IF($L365&lt;=$M365*1.3,"収縮","－")))</f>
      </c>
      <c r="O365" s="681">
        <f>IF($D365="","",IF($L365&gt;(4*STDEVP(終値!F365:Y365)/AVERAGE(終値!F365:Y365)*100),"拡大↑","縮小↓"))</f>
      </c>
      <c r="P365" s="681">
        <f>IF($D365="","",IF($D365&gt;$G365,"↑+2σ突破",IF($D365&lt;$J365,"↓-2σ割れ",IF($D365&gt;$H365,"+1σ上",IF($D365&lt;$I365,"-1σ下","バンド内")))))</f>
      </c>
      <c r="Q365" s="684">
        <f>IF($D365="","",IFERROR(100-100/(1+SUMPRODUCT((終値!E365:R365&gt;終値!F365:S365)*(終値!E365:R365-終値!F365:S365))/SUMPRODUCT((終値!E365:R365&lt;終値!F365:S365)*(終値!F365:S365-終値!E365:R365))),100))</f>
      </c>
      <c r="R365" s="684">
        <f>IF($D365="","",IFERROR(100-100/(1+SUMPRODUCT((((高値!E365:R365+安値!E365:R365+終値!E365:R365)/3)&gt;((高値!F365:S365+安値!F365:S365+終値!F365:S365)/3))*((高値!E365:R365+安値!E365:R365+終値!E365:R365)/3)*出来高!E365:R365)/SUMPRODUCT((((高値!E365:R365+安値!E365:R365+終値!E365:R365)/3)&lt;((高値!F365:S365+安値!F365:S365+終値!F365:S365)/3))*((高値!E365:R365+安値!E365:R365+終値!E365:R365)/3)*出来高!E365:R365)),50))</f>
      </c>
      <c r="S365" s="681">
        <f>IF($D365="","",IF(AND(終値!E365&lt;終値!O365,$Q365&gt;(IFERROR(100-100/(1+SUMPRODUCT((終値!O365:AB365&gt;終値!P365:AC365)*(終値!O365:AB365-終値!P365:AC365))/SUMPRODUCT((終値!O365:AB365&lt;終値!P365:AC365)*(終値!P365:AC365-終値!O365:AB365))),100))),"強気div▲",IF(AND(終値!E365&gt;終値!O365,$Q365&lt;(IFERROR(100-100/(1+SUMPRODUCT((終値!O365:AB365&gt;終値!P365:AC365)*(終値!O365:AB365-終値!P365:AC365))/SUMPRODUCT((終値!O365:AB365&lt;終値!P365:AC365)*(終値!P365:AC365-終値!O365:AB365))),100))),"弱気div▼","－")))</f>
      </c>
      <c r="T365" s="681">
        <f>IF($D365="","",IF($D365&gt;=$H365,"上walk▲",IF($D365&lt;=$I365,"下walk▼","－")))</f>
      </c>
      <c r="U365" s="681">
        <f>IF(終値!A365="","",BB_スイング!BT365)</f>
      </c>
      <c r="V365" s="689">
        <f>IF($D365="","",IFERROR(出来高!E365/AVERAGE(出来高!E365:I365),""))</f>
      </c>
      <c r="W365" s="690">
        <f>IF($D365="","",IF(AND($D365&gt;$G365,$O365="拡大↑",$L365&lt;=$M365*1.8),"◎スクイーズブレイク買",IF(AND($D365&gt;=$H365,$R365&gt;=BB設定!$B$10),"○順張り継続(walk)",IF(AND($S365="強気div▲",$D365&gt;$I365),"○反発(ダイバ)買",IF($U365="二番底W▲","△二番底買(確)",IF($U365="二番底W形成","△二番底形成",IF($D365&lt;$J365,"▼-2σ割れ危険",IF(AND($D365&gt;$E365,$K365&lt;0.6,$R365&gt;=50),"・押し目注目",IF($N365="スクイーズ★","☆スクイーズ監視","様子見")))))))))</f>
      </c>
      <c r="X365" s="685">
        <f>IF($D365="","",MIN(100,IF($L365&lt;=$M365*1.15,20,IF($L365&lt;=$M365*1.4,10,0))+IF($D365&gt;$G365,20,IF($D365&gt;$H365,12,IF($D365&gt;$E365,5,0)))+IF($O365="拡大↑",10,0)+IF($R365&gt;=80,15,IF($R365&gt;=60,10,IF($R365&gt;=50,5,0)))+IF(AND($Q365&gt;=50,$Q365&lt;=70),10,IF($Q365&gt;70,3,IF($Q365&gt;=40,5,0)))+IF($S365="強気div▲",15,0)+IF($T365="上walk▲",5,0)+IF($V365&gt;=2,5,IF($V365&gt;=1.5,3,0))))</f>
      </c>
      <c r="Y365" s="682">
        <f>IF($D365="","",$D365)</f>
      </c>
      <c r="Z365" s="682">
        <f>IF($D365="","",$H365)</f>
      </c>
      <c r="AA365" s="682">
        <f>IF($D365="","",IF($D365&gt;$E365,$E365,$AD365))</f>
      </c>
      <c r="AB365" s="682">
        <f>IF($D365="","",$G365)</f>
      </c>
      <c r="AC365" s="688">
        <f>IF($D365="","",IF(($Y365-$AA365)&lt;=0,"－",IFERROR(ROUND(MIN(20,($AB365-$Y365)/($Y365-$AA365)),2),"－")))</f>
      </c>
      <c r="AD365" s="682">
        <f>IF($D365="","",MIN(終値!E365:I365))</f>
      </c>
      <c r="AE365" s="684">
        <f>IF($D365="","",$X365+(10000-ROW())/100000)</f>
      </c>
    </row>
    <row r="366">
      <c r="A366" s="681">
        <f>IF(終値!A366="","",HYPERLINK("https://kabutan.jp/stock/?code="&amp;終値!A366,"📈"))</f>
      </c>
      <c r="B366" s="681">
        <f>IF(終値!A366="","",終値!A366)</f>
      </c>
      <c r="C366" s="680">
        <f>IF(終値!A366="","",終値!B366)</f>
      </c>
      <c r="D366" s="682">
        <f>IF(終値!A366="","",終値!E366)</f>
      </c>
      <c r="E366" s="682">
        <f>IF($D366="","",AVERAGE(終値!E366:X366))</f>
      </c>
      <c r="F366" s="683">
        <f>IF($D366="","",STDEVP(終値!E366:X366))</f>
      </c>
      <c r="G366" s="682">
        <f>IF($D366="","",$E366+BB設定!$B$4*$F366)</f>
      </c>
      <c r="H366" s="682">
        <f>IF($D366="","",$E366+BB設定!$B$5*$F366)</f>
      </c>
      <c r="I366" s="682">
        <f>IF($D366="","",$E366-BB設定!$B$5*$F366)</f>
      </c>
      <c r="J366" s="682">
        <f>IF($D366="","",$E366-BB設定!$B$4*$F366)</f>
      </c>
      <c r="K366" s="687">
        <f>IF($D366="","",IFERROR(($D366-$J366)/($G366-$J366),""))</f>
      </c>
      <c r="L366" s="686">
        <f>IF($D366="","",IFERROR(($G366-$J366)/$E366*100,""))</f>
      </c>
      <c r="M366" s="686">
        <f>IF($D366="","",IFERROR(MIN(BB_帯幅!B366:AP366)*100,""))</f>
      </c>
      <c r="N366" s="681">
        <f>IF($L366="","",IF($L366&lt;=$M366*BB設定!$B$7,"スクイーズ★",IF($L366&lt;=$M366*1.3,"収縮","－")))</f>
      </c>
      <c r="O366" s="681">
        <f>IF($D366="","",IF($L366&gt;(4*STDEVP(終値!F366:Y366)/AVERAGE(終値!F366:Y366)*100),"拡大↑","縮小↓"))</f>
      </c>
      <c r="P366" s="681">
        <f>IF($D366="","",IF($D366&gt;$G366,"↑+2σ突破",IF($D366&lt;$J366,"↓-2σ割れ",IF($D366&gt;$H366,"+1σ上",IF($D366&lt;$I366,"-1σ下","バンド内")))))</f>
      </c>
      <c r="Q366" s="684">
        <f>IF($D366="","",IFERROR(100-100/(1+SUMPRODUCT((終値!E366:R366&gt;終値!F366:S366)*(終値!E366:R366-終値!F366:S366))/SUMPRODUCT((終値!E366:R366&lt;終値!F366:S366)*(終値!F366:S366-終値!E366:R366))),100))</f>
      </c>
      <c r="R366" s="684">
        <f>IF($D366="","",IFERROR(100-100/(1+SUMPRODUCT((((高値!E366:R366+安値!E366:R366+終値!E366:R366)/3)&gt;((高値!F366:S366+安値!F366:S366+終値!F366:S366)/3))*((高値!E366:R366+安値!E366:R366+終値!E366:R366)/3)*出来高!E366:R366)/SUMPRODUCT((((高値!E366:R366+安値!E366:R366+終値!E366:R366)/3)&lt;((高値!F366:S366+安値!F366:S366+終値!F366:S366)/3))*((高値!E366:R366+安値!E366:R366+終値!E366:R366)/3)*出来高!E366:R366)),50))</f>
      </c>
      <c r="S366" s="681">
        <f>IF($D366="","",IF(AND(終値!E366&lt;終値!O366,$Q366&gt;(IFERROR(100-100/(1+SUMPRODUCT((終値!O366:AB366&gt;終値!P366:AC366)*(終値!O366:AB366-終値!P366:AC366))/SUMPRODUCT((終値!O366:AB366&lt;終値!P366:AC366)*(終値!P366:AC366-終値!O366:AB366))),100))),"強気div▲",IF(AND(終値!E366&gt;終値!O366,$Q366&lt;(IFERROR(100-100/(1+SUMPRODUCT((終値!O366:AB366&gt;終値!P366:AC366)*(終値!O366:AB366-終値!P366:AC366))/SUMPRODUCT((終値!O366:AB366&lt;終値!P366:AC366)*(終値!P366:AC366-終値!O366:AB366))),100))),"弱気div▼","－")))</f>
      </c>
      <c r="T366" s="681">
        <f>IF($D366="","",IF($D366&gt;=$H366,"上walk▲",IF($D366&lt;=$I366,"下walk▼","－")))</f>
      </c>
      <c r="U366" s="681">
        <f>IF(終値!A366="","",BB_スイング!BT366)</f>
      </c>
      <c r="V366" s="689">
        <f>IF($D366="","",IFERROR(出来高!E366/AVERAGE(出来高!E366:I366),""))</f>
      </c>
      <c r="W366" s="690">
        <f>IF($D366="","",IF(AND($D366&gt;$G366,$O366="拡大↑",$L366&lt;=$M366*1.8),"◎スクイーズブレイク買",IF(AND($D366&gt;=$H366,$R366&gt;=BB設定!$B$10),"○順張り継続(walk)",IF(AND($S366="強気div▲",$D366&gt;$I366),"○反発(ダイバ)買",IF($U366="二番底W▲","△二番底買(確)",IF($U366="二番底W形成","△二番底形成",IF($D366&lt;$J366,"▼-2σ割れ危険",IF(AND($D366&gt;$E366,$K366&lt;0.6,$R366&gt;=50),"・押し目注目",IF($N366="スクイーズ★","☆スクイーズ監視","様子見")))))))))</f>
      </c>
      <c r="X366" s="685">
        <f>IF($D366="","",MIN(100,IF($L366&lt;=$M366*1.15,20,IF($L366&lt;=$M366*1.4,10,0))+IF($D366&gt;$G366,20,IF($D366&gt;$H366,12,IF($D366&gt;$E366,5,0)))+IF($O366="拡大↑",10,0)+IF($R366&gt;=80,15,IF($R366&gt;=60,10,IF($R366&gt;=50,5,0)))+IF(AND($Q366&gt;=50,$Q366&lt;=70),10,IF($Q366&gt;70,3,IF($Q366&gt;=40,5,0)))+IF($S366="強気div▲",15,0)+IF($T366="上walk▲",5,0)+IF($V366&gt;=2,5,IF($V366&gt;=1.5,3,0))))</f>
      </c>
      <c r="Y366" s="682">
        <f>IF($D366="","",$D366)</f>
      </c>
      <c r="Z366" s="682">
        <f>IF($D366="","",$H366)</f>
      </c>
      <c r="AA366" s="682">
        <f>IF($D366="","",IF($D366&gt;$E366,$E366,$AD366))</f>
      </c>
      <c r="AB366" s="682">
        <f>IF($D366="","",$G366)</f>
      </c>
      <c r="AC366" s="688">
        <f>IF($D366="","",IF(($Y366-$AA366)&lt;=0,"－",IFERROR(ROUND(MIN(20,($AB366-$Y366)/($Y366-$AA366)),2),"－")))</f>
      </c>
      <c r="AD366" s="682">
        <f>IF($D366="","",MIN(終値!E366:I366))</f>
      </c>
      <c r="AE366" s="684">
        <f>IF($D366="","",$X366+(10000-ROW())/100000)</f>
      </c>
    </row>
    <row r="367">
      <c r="A367" s="681">
        <f>IF(終値!A367="","",HYPERLINK("https://kabutan.jp/stock/?code="&amp;終値!A367,"📈"))</f>
      </c>
      <c r="B367" s="681">
        <f>IF(終値!A367="","",終値!A367)</f>
      </c>
      <c r="C367" s="680">
        <f>IF(終値!A367="","",終値!B367)</f>
      </c>
      <c r="D367" s="682">
        <f>IF(終値!A367="","",終値!E367)</f>
      </c>
      <c r="E367" s="682">
        <f>IF($D367="","",AVERAGE(終値!E367:X367))</f>
      </c>
      <c r="F367" s="683">
        <f>IF($D367="","",STDEVP(終値!E367:X367))</f>
      </c>
      <c r="G367" s="682">
        <f>IF($D367="","",$E367+BB設定!$B$4*$F367)</f>
      </c>
      <c r="H367" s="682">
        <f>IF($D367="","",$E367+BB設定!$B$5*$F367)</f>
      </c>
      <c r="I367" s="682">
        <f>IF($D367="","",$E367-BB設定!$B$5*$F367)</f>
      </c>
      <c r="J367" s="682">
        <f>IF($D367="","",$E367-BB設定!$B$4*$F367)</f>
      </c>
      <c r="K367" s="687">
        <f>IF($D367="","",IFERROR(($D367-$J367)/($G367-$J367),""))</f>
      </c>
      <c r="L367" s="686">
        <f>IF($D367="","",IFERROR(($G367-$J367)/$E367*100,""))</f>
      </c>
      <c r="M367" s="686">
        <f>IF($D367="","",IFERROR(MIN(BB_帯幅!B367:AP367)*100,""))</f>
      </c>
      <c r="N367" s="681">
        <f>IF($L367="","",IF($L367&lt;=$M367*BB設定!$B$7,"スクイーズ★",IF($L367&lt;=$M367*1.3,"収縮","－")))</f>
      </c>
      <c r="O367" s="681">
        <f>IF($D367="","",IF($L367&gt;(4*STDEVP(終値!F367:Y367)/AVERAGE(終値!F367:Y367)*100),"拡大↑","縮小↓"))</f>
      </c>
      <c r="P367" s="681">
        <f>IF($D367="","",IF($D367&gt;$G367,"↑+2σ突破",IF($D367&lt;$J367,"↓-2σ割れ",IF($D367&gt;$H367,"+1σ上",IF($D367&lt;$I367,"-1σ下","バンド内")))))</f>
      </c>
      <c r="Q367" s="684">
        <f>IF($D367="","",IFERROR(100-100/(1+SUMPRODUCT((終値!E367:R367&gt;終値!F367:S367)*(終値!E367:R367-終値!F367:S367))/SUMPRODUCT((終値!E367:R367&lt;終値!F367:S367)*(終値!F367:S367-終値!E367:R367))),100))</f>
      </c>
      <c r="R367" s="684">
        <f>IF($D367="","",IFERROR(100-100/(1+SUMPRODUCT((((高値!E367:R367+安値!E367:R367+終値!E367:R367)/3)&gt;((高値!F367:S367+安値!F367:S367+終値!F367:S367)/3))*((高値!E367:R367+安値!E367:R367+終値!E367:R367)/3)*出来高!E367:R367)/SUMPRODUCT((((高値!E367:R367+安値!E367:R367+終値!E367:R367)/3)&lt;((高値!F367:S367+安値!F367:S367+終値!F367:S367)/3))*((高値!E367:R367+安値!E367:R367+終値!E367:R367)/3)*出来高!E367:R367)),50))</f>
      </c>
      <c r="S367" s="681">
        <f>IF($D367="","",IF(AND(終値!E367&lt;終値!O367,$Q367&gt;(IFERROR(100-100/(1+SUMPRODUCT((終値!O367:AB367&gt;終値!P367:AC367)*(終値!O367:AB367-終値!P367:AC367))/SUMPRODUCT((終値!O367:AB367&lt;終値!P367:AC367)*(終値!P367:AC367-終値!O367:AB367))),100))),"強気div▲",IF(AND(終値!E367&gt;終値!O367,$Q367&lt;(IFERROR(100-100/(1+SUMPRODUCT((終値!O367:AB367&gt;終値!P367:AC367)*(終値!O367:AB367-終値!P367:AC367))/SUMPRODUCT((終値!O367:AB367&lt;終値!P367:AC367)*(終値!P367:AC367-終値!O367:AB367))),100))),"弱気div▼","－")))</f>
      </c>
      <c r="T367" s="681">
        <f>IF($D367="","",IF($D367&gt;=$H367,"上walk▲",IF($D367&lt;=$I367,"下walk▼","－")))</f>
      </c>
      <c r="U367" s="681">
        <f>IF(終値!A367="","",BB_スイング!BT367)</f>
      </c>
      <c r="V367" s="689">
        <f>IF($D367="","",IFERROR(出来高!E367/AVERAGE(出来高!E367:I367),""))</f>
      </c>
      <c r="W367" s="690">
        <f>IF($D367="","",IF(AND($D367&gt;$G367,$O367="拡大↑",$L367&lt;=$M367*1.8),"◎スクイーズブレイク買",IF(AND($D367&gt;=$H367,$R367&gt;=BB設定!$B$10),"○順張り継続(walk)",IF(AND($S367="強気div▲",$D367&gt;$I367),"○反発(ダイバ)買",IF($U367="二番底W▲","△二番底買(確)",IF($U367="二番底W形成","△二番底形成",IF($D367&lt;$J367,"▼-2σ割れ危険",IF(AND($D367&gt;$E367,$K367&lt;0.6,$R367&gt;=50),"・押し目注目",IF($N367="スクイーズ★","☆スクイーズ監視","様子見")))))))))</f>
      </c>
      <c r="X367" s="685">
        <f>IF($D367="","",MIN(100,IF($L367&lt;=$M367*1.15,20,IF($L367&lt;=$M367*1.4,10,0))+IF($D367&gt;$G367,20,IF($D367&gt;$H367,12,IF($D367&gt;$E367,5,0)))+IF($O367="拡大↑",10,0)+IF($R367&gt;=80,15,IF($R367&gt;=60,10,IF($R367&gt;=50,5,0)))+IF(AND($Q367&gt;=50,$Q367&lt;=70),10,IF($Q367&gt;70,3,IF($Q367&gt;=40,5,0)))+IF($S367="強気div▲",15,0)+IF($T367="上walk▲",5,0)+IF($V367&gt;=2,5,IF($V367&gt;=1.5,3,0))))</f>
      </c>
      <c r="Y367" s="682">
        <f>IF($D367="","",$D367)</f>
      </c>
      <c r="Z367" s="682">
        <f>IF($D367="","",$H367)</f>
      </c>
      <c r="AA367" s="682">
        <f>IF($D367="","",IF($D367&gt;$E367,$E367,$AD367))</f>
      </c>
      <c r="AB367" s="682">
        <f>IF($D367="","",$G367)</f>
      </c>
      <c r="AC367" s="688">
        <f>IF($D367="","",IF(($Y367-$AA367)&lt;=0,"－",IFERROR(ROUND(MIN(20,($AB367-$Y367)/($Y367-$AA367)),2),"－")))</f>
      </c>
      <c r="AD367" s="682">
        <f>IF($D367="","",MIN(終値!E367:I367))</f>
      </c>
      <c r="AE367" s="684">
        <f>IF($D367="","",$X367+(10000-ROW())/100000)</f>
      </c>
    </row>
    <row r="368">
      <c r="A368" s="681">
        <f>IF(終値!A368="","",HYPERLINK("https://kabutan.jp/stock/?code="&amp;終値!A368,"📈"))</f>
      </c>
      <c r="B368" s="681">
        <f>IF(終値!A368="","",終値!A368)</f>
      </c>
      <c r="C368" s="680">
        <f>IF(終値!A368="","",終値!B368)</f>
      </c>
      <c r="D368" s="682">
        <f>IF(終値!A368="","",終値!E368)</f>
      </c>
      <c r="E368" s="682">
        <f>IF($D368="","",AVERAGE(終値!E368:X368))</f>
      </c>
      <c r="F368" s="683">
        <f>IF($D368="","",STDEVP(終値!E368:X368))</f>
      </c>
      <c r="G368" s="682">
        <f>IF($D368="","",$E368+BB設定!$B$4*$F368)</f>
      </c>
      <c r="H368" s="682">
        <f>IF($D368="","",$E368+BB設定!$B$5*$F368)</f>
      </c>
      <c r="I368" s="682">
        <f>IF($D368="","",$E368-BB設定!$B$5*$F368)</f>
      </c>
      <c r="J368" s="682">
        <f>IF($D368="","",$E368-BB設定!$B$4*$F368)</f>
      </c>
      <c r="K368" s="687">
        <f>IF($D368="","",IFERROR(($D368-$J368)/($G368-$J368),""))</f>
      </c>
      <c r="L368" s="686">
        <f>IF($D368="","",IFERROR(($G368-$J368)/$E368*100,""))</f>
      </c>
      <c r="M368" s="686">
        <f>IF($D368="","",IFERROR(MIN(BB_帯幅!B368:AP368)*100,""))</f>
      </c>
      <c r="N368" s="681">
        <f>IF($L368="","",IF($L368&lt;=$M368*BB設定!$B$7,"スクイーズ★",IF($L368&lt;=$M368*1.3,"収縮","－")))</f>
      </c>
      <c r="O368" s="681">
        <f>IF($D368="","",IF($L368&gt;(4*STDEVP(終値!F368:Y368)/AVERAGE(終値!F368:Y368)*100),"拡大↑","縮小↓"))</f>
      </c>
      <c r="P368" s="681">
        <f>IF($D368="","",IF($D368&gt;$G368,"↑+2σ突破",IF($D368&lt;$J368,"↓-2σ割れ",IF($D368&gt;$H368,"+1σ上",IF($D368&lt;$I368,"-1σ下","バンド内")))))</f>
      </c>
      <c r="Q368" s="684">
        <f>IF($D368="","",IFERROR(100-100/(1+SUMPRODUCT((終値!E368:R368&gt;終値!F368:S368)*(終値!E368:R368-終値!F368:S368))/SUMPRODUCT((終値!E368:R368&lt;終値!F368:S368)*(終値!F368:S368-終値!E368:R368))),100))</f>
      </c>
      <c r="R368" s="684">
        <f>IF($D368="","",IFERROR(100-100/(1+SUMPRODUCT((((高値!E368:R368+安値!E368:R368+終値!E368:R368)/3)&gt;((高値!F368:S368+安値!F368:S368+終値!F368:S368)/3))*((高値!E368:R368+安値!E368:R368+終値!E368:R368)/3)*出来高!E368:R368)/SUMPRODUCT((((高値!E368:R368+安値!E368:R368+終値!E368:R368)/3)&lt;((高値!F368:S368+安値!F368:S368+終値!F368:S368)/3))*((高値!E368:R368+安値!E368:R368+終値!E368:R368)/3)*出来高!E368:R368)),50))</f>
      </c>
      <c r="S368" s="681">
        <f>IF($D368="","",IF(AND(終値!E368&lt;終値!O368,$Q368&gt;(IFERROR(100-100/(1+SUMPRODUCT((終値!O368:AB368&gt;終値!P368:AC368)*(終値!O368:AB368-終値!P368:AC368))/SUMPRODUCT((終値!O368:AB368&lt;終値!P368:AC368)*(終値!P368:AC368-終値!O368:AB368))),100))),"強気div▲",IF(AND(終値!E368&gt;終値!O368,$Q368&lt;(IFERROR(100-100/(1+SUMPRODUCT((終値!O368:AB368&gt;終値!P368:AC368)*(終値!O368:AB368-終値!P368:AC368))/SUMPRODUCT((終値!O368:AB368&lt;終値!P368:AC368)*(終値!P368:AC368-終値!O368:AB368))),100))),"弱気div▼","－")))</f>
      </c>
      <c r="T368" s="681">
        <f>IF($D368="","",IF($D368&gt;=$H368,"上walk▲",IF($D368&lt;=$I368,"下walk▼","－")))</f>
      </c>
      <c r="U368" s="681">
        <f>IF(終値!A368="","",BB_スイング!BT368)</f>
      </c>
      <c r="V368" s="689">
        <f>IF($D368="","",IFERROR(出来高!E368/AVERAGE(出来高!E368:I368),""))</f>
      </c>
      <c r="W368" s="690">
        <f>IF($D368="","",IF(AND($D368&gt;$G368,$O368="拡大↑",$L368&lt;=$M368*1.8),"◎スクイーズブレイク買",IF(AND($D368&gt;=$H368,$R368&gt;=BB設定!$B$10),"○順張り継続(walk)",IF(AND($S368="強気div▲",$D368&gt;$I368),"○反発(ダイバ)買",IF($U368="二番底W▲","△二番底買(確)",IF($U368="二番底W形成","△二番底形成",IF($D368&lt;$J368,"▼-2σ割れ危険",IF(AND($D368&gt;$E368,$K368&lt;0.6,$R368&gt;=50),"・押し目注目",IF($N368="スクイーズ★","☆スクイーズ監視","様子見")))))))))</f>
      </c>
      <c r="X368" s="685">
        <f>IF($D368="","",MIN(100,IF($L368&lt;=$M368*1.15,20,IF($L368&lt;=$M368*1.4,10,0))+IF($D368&gt;$G368,20,IF($D368&gt;$H368,12,IF($D368&gt;$E368,5,0)))+IF($O368="拡大↑",10,0)+IF($R368&gt;=80,15,IF($R368&gt;=60,10,IF($R368&gt;=50,5,0)))+IF(AND($Q368&gt;=50,$Q368&lt;=70),10,IF($Q368&gt;70,3,IF($Q368&gt;=40,5,0)))+IF($S368="強気div▲",15,0)+IF($T368="上walk▲",5,0)+IF($V368&gt;=2,5,IF($V368&gt;=1.5,3,0))))</f>
      </c>
      <c r="Y368" s="682">
        <f>IF($D368="","",$D368)</f>
      </c>
      <c r="Z368" s="682">
        <f>IF($D368="","",$H368)</f>
      </c>
      <c r="AA368" s="682">
        <f>IF($D368="","",IF($D368&gt;$E368,$E368,$AD368))</f>
      </c>
      <c r="AB368" s="682">
        <f>IF($D368="","",$G368)</f>
      </c>
      <c r="AC368" s="688">
        <f>IF($D368="","",IF(($Y368-$AA368)&lt;=0,"－",IFERROR(ROUND(MIN(20,($AB368-$Y368)/($Y368-$AA368)),2),"－")))</f>
      </c>
      <c r="AD368" s="682">
        <f>IF($D368="","",MIN(終値!E368:I368))</f>
      </c>
      <c r="AE368" s="684">
        <f>IF($D368="","",$X368+(10000-ROW())/100000)</f>
      </c>
    </row>
    <row r="369">
      <c r="A369" s="681">
        <f>IF(終値!A369="","",HYPERLINK("https://kabutan.jp/stock/?code="&amp;終値!A369,"📈"))</f>
      </c>
      <c r="B369" s="681">
        <f>IF(終値!A369="","",終値!A369)</f>
      </c>
      <c r="C369" s="680">
        <f>IF(終値!A369="","",終値!B369)</f>
      </c>
      <c r="D369" s="682">
        <f>IF(終値!A369="","",終値!E369)</f>
      </c>
      <c r="E369" s="682">
        <f>IF($D369="","",AVERAGE(終値!E369:X369))</f>
      </c>
      <c r="F369" s="683">
        <f>IF($D369="","",STDEVP(終値!E369:X369))</f>
      </c>
      <c r="G369" s="682">
        <f>IF($D369="","",$E369+BB設定!$B$4*$F369)</f>
      </c>
      <c r="H369" s="682">
        <f>IF($D369="","",$E369+BB設定!$B$5*$F369)</f>
      </c>
      <c r="I369" s="682">
        <f>IF($D369="","",$E369-BB設定!$B$5*$F369)</f>
      </c>
      <c r="J369" s="682">
        <f>IF($D369="","",$E369-BB設定!$B$4*$F369)</f>
      </c>
      <c r="K369" s="687">
        <f>IF($D369="","",IFERROR(($D369-$J369)/($G369-$J369),""))</f>
      </c>
      <c r="L369" s="686">
        <f>IF($D369="","",IFERROR(($G369-$J369)/$E369*100,""))</f>
      </c>
      <c r="M369" s="686">
        <f>IF($D369="","",IFERROR(MIN(BB_帯幅!B369:AP369)*100,""))</f>
      </c>
      <c r="N369" s="681">
        <f>IF($L369="","",IF($L369&lt;=$M369*BB設定!$B$7,"スクイーズ★",IF($L369&lt;=$M369*1.3,"収縮","－")))</f>
      </c>
      <c r="O369" s="681">
        <f>IF($D369="","",IF($L369&gt;(4*STDEVP(終値!F369:Y369)/AVERAGE(終値!F369:Y369)*100),"拡大↑","縮小↓"))</f>
      </c>
      <c r="P369" s="681">
        <f>IF($D369="","",IF($D369&gt;$G369,"↑+2σ突破",IF($D369&lt;$J369,"↓-2σ割れ",IF($D369&gt;$H369,"+1σ上",IF($D369&lt;$I369,"-1σ下","バンド内")))))</f>
      </c>
      <c r="Q369" s="684">
        <f>IF($D369="","",IFERROR(100-100/(1+SUMPRODUCT((終値!E369:R369&gt;終値!F369:S369)*(終値!E369:R369-終値!F369:S369))/SUMPRODUCT((終値!E369:R369&lt;終値!F369:S369)*(終値!F369:S369-終値!E369:R369))),100))</f>
      </c>
      <c r="R369" s="684">
        <f>IF($D369="","",IFERROR(100-100/(1+SUMPRODUCT((((高値!E369:R369+安値!E369:R369+終値!E369:R369)/3)&gt;((高値!F369:S369+安値!F369:S369+終値!F369:S369)/3))*((高値!E369:R369+安値!E369:R369+終値!E369:R369)/3)*出来高!E369:R369)/SUMPRODUCT((((高値!E369:R369+安値!E369:R369+終値!E369:R369)/3)&lt;((高値!F369:S369+安値!F369:S369+終値!F369:S369)/3))*((高値!E369:R369+安値!E369:R369+終値!E369:R369)/3)*出来高!E369:R369)),50))</f>
      </c>
      <c r="S369" s="681">
        <f>IF($D369="","",IF(AND(終値!E369&lt;終値!O369,$Q369&gt;(IFERROR(100-100/(1+SUMPRODUCT((終値!O369:AB369&gt;終値!P369:AC369)*(終値!O369:AB369-終値!P369:AC369))/SUMPRODUCT((終値!O369:AB369&lt;終値!P369:AC369)*(終値!P369:AC369-終値!O369:AB369))),100))),"強気div▲",IF(AND(終値!E369&gt;終値!O369,$Q369&lt;(IFERROR(100-100/(1+SUMPRODUCT((終値!O369:AB369&gt;終値!P369:AC369)*(終値!O369:AB369-終値!P369:AC369))/SUMPRODUCT((終値!O369:AB369&lt;終値!P369:AC369)*(終値!P369:AC369-終値!O369:AB369))),100))),"弱気div▼","－")))</f>
      </c>
      <c r="T369" s="681">
        <f>IF($D369="","",IF($D369&gt;=$H369,"上walk▲",IF($D369&lt;=$I369,"下walk▼","－")))</f>
      </c>
      <c r="U369" s="681">
        <f>IF(終値!A369="","",BB_スイング!BT369)</f>
      </c>
      <c r="V369" s="689">
        <f>IF($D369="","",IFERROR(出来高!E369/AVERAGE(出来高!E369:I369),""))</f>
      </c>
      <c r="W369" s="690">
        <f>IF($D369="","",IF(AND($D369&gt;$G369,$O369="拡大↑",$L369&lt;=$M369*1.8),"◎スクイーズブレイク買",IF(AND($D369&gt;=$H369,$R369&gt;=BB設定!$B$10),"○順張り継続(walk)",IF(AND($S369="強気div▲",$D369&gt;$I369),"○反発(ダイバ)買",IF($U369="二番底W▲","△二番底買(確)",IF($U369="二番底W形成","△二番底形成",IF($D369&lt;$J369,"▼-2σ割れ危険",IF(AND($D369&gt;$E369,$K369&lt;0.6,$R369&gt;=50),"・押し目注目",IF($N369="スクイーズ★","☆スクイーズ監視","様子見")))))))))</f>
      </c>
      <c r="X369" s="685">
        <f>IF($D369="","",MIN(100,IF($L369&lt;=$M369*1.15,20,IF($L369&lt;=$M369*1.4,10,0))+IF($D369&gt;$G369,20,IF($D369&gt;$H369,12,IF($D369&gt;$E369,5,0)))+IF($O369="拡大↑",10,0)+IF($R369&gt;=80,15,IF($R369&gt;=60,10,IF($R369&gt;=50,5,0)))+IF(AND($Q369&gt;=50,$Q369&lt;=70),10,IF($Q369&gt;70,3,IF($Q369&gt;=40,5,0)))+IF($S369="強気div▲",15,0)+IF($T369="上walk▲",5,0)+IF($V369&gt;=2,5,IF($V369&gt;=1.5,3,0))))</f>
      </c>
      <c r="Y369" s="682">
        <f>IF($D369="","",$D369)</f>
      </c>
      <c r="Z369" s="682">
        <f>IF($D369="","",$H369)</f>
      </c>
      <c r="AA369" s="682">
        <f>IF($D369="","",IF($D369&gt;$E369,$E369,$AD369))</f>
      </c>
      <c r="AB369" s="682">
        <f>IF($D369="","",$G369)</f>
      </c>
      <c r="AC369" s="688">
        <f>IF($D369="","",IF(($Y369-$AA369)&lt;=0,"－",IFERROR(ROUND(MIN(20,($AB369-$Y369)/($Y369-$AA369)),2),"－")))</f>
      </c>
      <c r="AD369" s="682">
        <f>IF($D369="","",MIN(終値!E369:I369))</f>
      </c>
      <c r="AE369" s="684">
        <f>IF($D369="","",$X369+(10000-ROW())/100000)</f>
      </c>
    </row>
    <row r="370">
      <c r="A370" s="681">
        <f>IF(終値!A370="","",HYPERLINK("https://kabutan.jp/stock/?code="&amp;終値!A370,"📈"))</f>
      </c>
      <c r="B370" s="681">
        <f>IF(終値!A370="","",終値!A370)</f>
      </c>
      <c r="C370" s="680">
        <f>IF(終値!A370="","",終値!B370)</f>
      </c>
      <c r="D370" s="682">
        <f>IF(終値!A370="","",終値!E370)</f>
      </c>
      <c r="E370" s="682">
        <f>IF($D370="","",AVERAGE(終値!E370:X370))</f>
      </c>
      <c r="F370" s="683">
        <f>IF($D370="","",STDEVP(終値!E370:X370))</f>
      </c>
      <c r="G370" s="682">
        <f>IF($D370="","",$E370+BB設定!$B$4*$F370)</f>
      </c>
      <c r="H370" s="682">
        <f>IF($D370="","",$E370+BB設定!$B$5*$F370)</f>
      </c>
      <c r="I370" s="682">
        <f>IF($D370="","",$E370-BB設定!$B$5*$F370)</f>
      </c>
      <c r="J370" s="682">
        <f>IF($D370="","",$E370-BB設定!$B$4*$F370)</f>
      </c>
      <c r="K370" s="687">
        <f>IF($D370="","",IFERROR(($D370-$J370)/($G370-$J370),""))</f>
      </c>
      <c r="L370" s="686">
        <f>IF($D370="","",IFERROR(($G370-$J370)/$E370*100,""))</f>
      </c>
      <c r="M370" s="686">
        <f>IF($D370="","",IFERROR(MIN(BB_帯幅!B370:AP370)*100,""))</f>
      </c>
      <c r="N370" s="681">
        <f>IF($L370="","",IF($L370&lt;=$M370*BB設定!$B$7,"スクイーズ★",IF($L370&lt;=$M370*1.3,"収縮","－")))</f>
      </c>
      <c r="O370" s="681">
        <f>IF($D370="","",IF($L370&gt;(4*STDEVP(終値!F370:Y370)/AVERAGE(終値!F370:Y370)*100),"拡大↑","縮小↓"))</f>
      </c>
      <c r="P370" s="681">
        <f>IF($D370="","",IF($D370&gt;$G370,"↑+2σ突破",IF($D370&lt;$J370,"↓-2σ割れ",IF($D370&gt;$H370,"+1σ上",IF($D370&lt;$I370,"-1σ下","バンド内")))))</f>
      </c>
      <c r="Q370" s="684">
        <f>IF($D370="","",IFERROR(100-100/(1+SUMPRODUCT((終値!E370:R370&gt;終値!F370:S370)*(終値!E370:R370-終値!F370:S370))/SUMPRODUCT((終値!E370:R370&lt;終値!F370:S370)*(終値!F370:S370-終値!E370:R370))),100))</f>
      </c>
      <c r="R370" s="684">
        <f>IF($D370="","",IFERROR(100-100/(1+SUMPRODUCT((((高値!E370:R370+安値!E370:R370+終値!E370:R370)/3)&gt;((高値!F370:S370+安値!F370:S370+終値!F370:S370)/3))*((高値!E370:R370+安値!E370:R370+終値!E370:R370)/3)*出来高!E370:R370)/SUMPRODUCT((((高値!E370:R370+安値!E370:R370+終値!E370:R370)/3)&lt;((高値!F370:S370+安値!F370:S370+終値!F370:S370)/3))*((高値!E370:R370+安値!E370:R370+終値!E370:R370)/3)*出来高!E370:R370)),50))</f>
      </c>
      <c r="S370" s="681">
        <f>IF($D370="","",IF(AND(終値!E370&lt;終値!O370,$Q370&gt;(IFERROR(100-100/(1+SUMPRODUCT((終値!O370:AB370&gt;終値!P370:AC370)*(終値!O370:AB370-終値!P370:AC370))/SUMPRODUCT((終値!O370:AB370&lt;終値!P370:AC370)*(終値!P370:AC370-終値!O370:AB370))),100))),"強気div▲",IF(AND(終値!E370&gt;終値!O370,$Q370&lt;(IFERROR(100-100/(1+SUMPRODUCT((終値!O370:AB370&gt;終値!P370:AC370)*(終値!O370:AB370-終値!P370:AC370))/SUMPRODUCT((終値!O370:AB370&lt;終値!P370:AC370)*(終値!P370:AC370-終値!O370:AB370))),100))),"弱気div▼","－")))</f>
      </c>
      <c r="T370" s="681">
        <f>IF($D370="","",IF($D370&gt;=$H370,"上walk▲",IF($D370&lt;=$I370,"下walk▼","－")))</f>
      </c>
      <c r="U370" s="681">
        <f>IF(終値!A370="","",BB_スイング!BT370)</f>
      </c>
      <c r="V370" s="689">
        <f>IF($D370="","",IFERROR(出来高!E370/AVERAGE(出来高!E370:I370),""))</f>
      </c>
      <c r="W370" s="690">
        <f>IF($D370="","",IF(AND($D370&gt;$G370,$O370="拡大↑",$L370&lt;=$M370*1.8),"◎スクイーズブレイク買",IF(AND($D370&gt;=$H370,$R370&gt;=BB設定!$B$10),"○順張り継続(walk)",IF(AND($S370="強気div▲",$D370&gt;$I370),"○反発(ダイバ)買",IF($U370="二番底W▲","△二番底買(確)",IF($U370="二番底W形成","△二番底形成",IF($D370&lt;$J370,"▼-2σ割れ危険",IF(AND($D370&gt;$E370,$K370&lt;0.6,$R370&gt;=50),"・押し目注目",IF($N370="スクイーズ★","☆スクイーズ監視","様子見")))))))))</f>
      </c>
      <c r="X370" s="685">
        <f>IF($D370="","",MIN(100,IF($L370&lt;=$M370*1.15,20,IF($L370&lt;=$M370*1.4,10,0))+IF($D370&gt;$G370,20,IF($D370&gt;$H370,12,IF($D370&gt;$E370,5,0)))+IF($O370="拡大↑",10,0)+IF($R370&gt;=80,15,IF($R370&gt;=60,10,IF($R370&gt;=50,5,0)))+IF(AND($Q370&gt;=50,$Q370&lt;=70),10,IF($Q370&gt;70,3,IF($Q370&gt;=40,5,0)))+IF($S370="強気div▲",15,0)+IF($T370="上walk▲",5,0)+IF($V370&gt;=2,5,IF($V370&gt;=1.5,3,0))))</f>
      </c>
      <c r="Y370" s="682">
        <f>IF($D370="","",$D370)</f>
      </c>
      <c r="Z370" s="682">
        <f>IF($D370="","",$H370)</f>
      </c>
      <c r="AA370" s="682">
        <f>IF($D370="","",IF($D370&gt;$E370,$E370,$AD370))</f>
      </c>
      <c r="AB370" s="682">
        <f>IF($D370="","",$G370)</f>
      </c>
      <c r="AC370" s="688">
        <f>IF($D370="","",IF(($Y370-$AA370)&lt;=0,"－",IFERROR(ROUND(MIN(20,($AB370-$Y370)/($Y370-$AA370)),2),"－")))</f>
      </c>
      <c r="AD370" s="682">
        <f>IF($D370="","",MIN(終値!E370:I370))</f>
      </c>
      <c r="AE370" s="684">
        <f>IF($D370="","",$X370+(10000-ROW())/100000)</f>
      </c>
    </row>
    <row r="371">
      <c r="A371" s="681">
        <f>IF(終値!A371="","",HYPERLINK("https://kabutan.jp/stock/?code="&amp;終値!A371,"📈"))</f>
      </c>
      <c r="B371" s="681">
        <f>IF(終値!A371="","",終値!A371)</f>
      </c>
      <c r="C371" s="680">
        <f>IF(終値!A371="","",終値!B371)</f>
      </c>
      <c r="D371" s="682">
        <f>IF(終値!A371="","",終値!E371)</f>
      </c>
      <c r="E371" s="682">
        <f>IF($D371="","",AVERAGE(終値!E371:X371))</f>
      </c>
      <c r="F371" s="683">
        <f>IF($D371="","",STDEVP(終値!E371:X371))</f>
      </c>
      <c r="G371" s="682">
        <f>IF($D371="","",$E371+BB設定!$B$4*$F371)</f>
      </c>
      <c r="H371" s="682">
        <f>IF($D371="","",$E371+BB設定!$B$5*$F371)</f>
      </c>
      <c r="I371" s="682">
        <f>IF($D371="","",$E371-BB設定!$B$5*$F371)</f>
      </c>
      <c r="J371" s="682">
        <f>IF($D371="","",$E371-BB設定!$B$4*$F371)</f>
      </c>
      <c r="K371" s="687">
        <f>IF($D371="","",IFERROR(($D371-$J371)/($G371-$J371),""))</f>
      </c>
      <c r="L371" s="686">
        <f>IF($D371="","",IFERROR(($G371-$J371)/$E371*100,""))</f>
      </c>
      <c r="M371" s="686">
        <f>IF($D371="","",IFERROR(MIN(BB_帯幅!B371:AP371)*100,""))</f>
      </c>
      <c r="N371" s="681">
        <f>IF($L371="","",IF($L371&lt;=$M371*BB設定!$B$7,"スクイーズ★",IF($L371&lt;=$M371*1.3,"収縮","－")))</f>
      </c>
      <c r="O371" s="681">
        <f>IF($D371="","",IF($L371&gt;(4*STDEVP(終値!F371:Y371)/AVERAGE(終値!F371:Y371)*100),"拡大↑","縮小↓"))</f>
      </c>
      <c r="P371" s="681">
        <f>IF($D371="","",IF($D371&gt;$G371,"↑+2σ突破",IF($D371&lt;$J371,"↓-2σ割れ",IF($D371&gt;$H371,"+1σ上",IF($D371&lt;$I371,"-1σ下","バンド内")))))</f>
      </c>
      <c r="Q371" s="684">
        <f>IF($D371="","",IFERROR(100-100/(1+SUMPRODUCT((終値!E371:R371&gt;終値!F371:S371)*(終値!E371:R371-終値!F371:S371))/SUMPRODUCT((終値!E371:R371&lt;終値!F371:S371)*(終値!F371:S371-終値!E371:R371))),100))</f>
      </c>
      <c r="R371" s="684">
        <f>IF($D371="","",IFERROR(100-100/(1+SUMPRODUCT((((高値!E371:R371+安値!E371:R371+終値!E371:R371)/3)&gt;((高値!F371:S371+安値!F371:S371+終値!F371:S371)/3))*((高値!E371:R371+安値!E371:R371+終値!E371:R371)/3)*出来高!E371:R371)/SUMPRODUCT((((高値!E371:R371+安値!E371:R371+終値!E371:R371)/3)&lt;((高値!F371:S371+安値!F371:S371+終値!F371:S371)/3))*((高値!E371:R371+安値!E371:R371+終値!E371:R371)/3)*出来高!E371:R371)),50))</f>
      </c>
      <c r="S371" s="681">
        <f>IF($D371="","",IF(AND(終値!E371&lt;終値!O371,$Q371&gt;(IFERROR(100-100/(1+SUMPRODUCT((終値!O371:AB371&gt;終値!P371:AC371)*(終値!O371:AB371-終値!P371:AC371))/SUMPRODUCT((終値!O371:AB371&lt;終値!P371:AC371)*(終値!P371:AC371-終値!O371:AB371))),100))),"強気div▲",IF(AND(終値!E371&gt;終値!O371,$Q371&lt;(IFERROR(100-100/(1+SUMPRODUCT((終値!O371:AB371&gt;終値!P371:AC371)*(終値!O371:AB371-終値!P371:AC371))/SUMPRODUCT((終値!O371:AB371&lt;終値!P371:AC371)*(終値!P371:AC371-終値!O371:AB371))),100))),"弱気div▼","－")))</f>
      </c>
      <c r="T371" s="681">
        <f>IF($D371="","",IF($D371&gt;=$H371,"上walk▲",IF($D371&lt;=$I371,"下walk▼","－")))</f>
      </c>
      <c r="U371" s="681">
        <f>IF(終値!A371="","",BB_スイング!BT371)</f>
      </c>
      <c r="V371" s="689">
        <f>IF($D371="","",IFERROR(出来高!E371/AVERAGE(出来高!E371:I371),""))</f>
      </c>
      <c r="W371" s="690">
        <f>IF($D371="","",IF(AND($D371&gt;$G371,$O371="拡大↑",$L371&lt;=$M371*1.8),"◎スクイーズブレイク買",IF(AND($D371&gt;=$H371,$R371&gt;=BB設定!$B$10),"○順張り継続(walk)",IF(AND($S371="強気div▲",$D371&gt;$I371),"○反発(ダイバ)買",IF($U371="二番底W▲","△二番底買(確)",IF($U371="二番底W形成","△二番底形成",IF($D371&lt;$J371,"▼-2σ割れ危険",IF(AND($D371&gt;$E371,$K371&lt;0.6,$R371&gt;=50),"・押し目注目",IF($N371="スクイーズ★","☆スクイーズ監視","様子見")))))))))</f>
      </c>
      <c r="X371" s="685">
        <f>IF($D371="","",MIN(100,IF($L371&lt;=$M371*1.15,20,IF($L371&lt;=$M371*1.4,10,0))+IF($D371&gt;$G371,20,IF($D371&gt;$H371,12,IF($D371&gt;$E371,5,0)))+IF($O371="拡大↑",10,0)+IF($R371&gt;=80,15,IF($R371&gt;=60,10,IF($R371&gt;=50,5,0)))+IF(AND($Q371&gt;=50,$Q371&lt;=70),10,IF($Q371&gt;70,3,IF($Q371&gt;=40,5,0)))+IF($S371="強気div▲",15,0)+IF($T371="上walk▲",5,0)+IF($V371&gt;=2,5,IF($V371&gt;=1.5,3,0))))</f>
      </c>
      <c r="Y371" s="682">
        <f>IF($D371="","",$D371)</f>
      </c>
      <c r="Z371" s="682">
        <f>IF($D371="","",$H371)</f>
      </c>
      <c r="AA371" s="682">
        <f>IF($D371="","",IF($D371&gt;$E371,$E371,$AD371))</f>
      </c>
      <c r="AB371" s="682">
        <f>IF($D371="","",$G371)</f>
      </c>
      <c r="AC371" s="688">
        <f>IF($D371="","",IF(($Y371-$AA371)&lt;=0,"－",IFERROR(ROUND(MIN(20,($AB371-$Y371)/($Y371-$AA371)),2),"－")))</f>
      </c>
      <c r="AD371" s="682">
        <f>IF($D371="","",MIN(終値!E371:I371))</f>
      </c>
      <c r="AE371" s="684">
        <f>IF($D371="","",$X371+(10000-ROW())/100000)</f>
      </c>
    </row>
    <row r="372">
      <c r="A372" s="681">
        <f>IF(終値!A372="","",HYPERLINK("https://kabutan.jp/stock/?code="&amp;終値!A372,"📈"))</f>
      </c>
      <c r="B372" s="681">
        <f>IF(終値!A372="","",終値!A372)</f>
      </c>
      <c r="C372" s="680">
        <f>IF(終値!A372="","",終値!B372)</f>
      </c>
      <c r="D372" s="682">
        <f>IF(終値!A372="","",終値!E372)</f>
      </c>
      <c r="E372" s="682">
        <f>IF($D372="","",AVERAGE(終値!E372:X372))</f>
      </c>
      <c r="F372" s="683">
        <f>IF($D372="","",STDEVP(終値!E372:X372))</f>
      </c>
      <c r="G372" s="682">
        <f>IF($D372="","",$E372+BB設定!$B$4*$F372)</f>
      </c>
      <c r="H372" s="682">
        <f>IF($D372="","",$E372+BB設定!$B$5*$F372)</f>
      </c>
      <c r="I372" s="682">
        <f>IF($D372="","",$E372-BB設定!$B$5*$F372)</f>
      </c>
      <c r="J372" s="682">
        <f>IF($D372="","",$E372-BB設定!$B$4*$F372)</f>
      </c>
      <c r="K372" s="687">
        <f>IF($D372="","",IFERROR(($D372-$J372)/($G372-$J372),""))</f>
      </c>
      <c r="L372" s="686">
        <f>IF($D372="","",IFERROR(($G372-$J372)/$E372*100,""))</f>
      </c>
      <c r="M372" s="686">
        <f>IF($D372="","",IFERROR(MIN(BB_帯幅!B372:AP372)*100,""))</f>
      </c>
      <c r="N372" s="681">
        <f>IF($L372="","",IF($L372&lt;=$M372*BB設定!$B$7,"スクイーズ★",IF($L372&lt;=$M372*1.3,"収縮","－")))</f>
      </c>
      <c r="O372" s="681">
        <f>IF($D372="","",IF($L372&gt;(4*STDEVP(終値!F372:Y372)/AVERAGE(終値!F372:Y372)*100),"拡大↑","縮小↓"))</f>
      </c>
      <c r="P372" s="681">
        <f>IF($D372="","",IF($D372&gt;$G372,"↑+2σ突破",IF($D372&lt;$J372,"↓-2σ割れ",IF($D372&gt;$H372,"+1σ上",IF($D372&lt;$I372,"-1σ下","バンド内")))))</f>
      </c>
      <c r="Q372" s="684">
        <f>IF($D372="","",IFERROR(100-100/(1+SUMPRODUCT((終値!E372:R372&gt;終値!F372:S372)*(終値!E372:R372-終値!F372:S372))/SUMPRODUCT((終値!E372:R372&lt;終値!F372:S372)*(終値!F372:S372-終値!E372:R372))),100))</f>
      </c>
      <c r="R372" s="684">
        <f>IF($D372="","",IFERROR(100-100/(1+SUMPRODUCT((((高値!E372:R372+安値!E372:R372+終値!E372:R372)/3)&gt;((高値!F372:S372+安値!F372:S372+終値!F372:S372)/3))*((高値!E372:R372+安値!E372:R372+終値!E372:R372)/3)*出来高!E372:R372)/SUMPRODUCT((((高値!E372:R372+安値!E372:R372+終値!E372:R372)/3)&lt;((高値!F372:S372+安値!F372:S372+終値!F372:S372)/3))*((高値!E372:R372+安値!E372:R372+終値!E372:R372)/3)*出来高!E372:R372)),50))</f>
      </c>
      <c r="S372" s="681">
        <f>IF($D372="","",IF(AND(終値!E372&lt;終値!O372,$Q372&gt;(IFERROR(100-100/(1+SUMPRODUCT((終値!O372:AB372&gt;終値!P372:AC372)*(終値!O372:AB372-終値!P372:AC372))/SUMPRODUCT((終値!O372:AB372&lt;終値!P372:AC372)*(終値!P372:AC372-終値!O372:AB372))),100))),"強気div▲",IF(AND(終値!E372&gt;終値!O372,$Q372&lt;(IFERROR(100-100/(1+SUMPRODUCT((終値!O372:AB372&gt;終値!P372:AC372)*(終値!O372:AB372-終値!P372:AC372))/SUMPRODUCT((終値!O372:AB372&lt;終値!P372:AC372)*(終値!P372:AC372-終値!O372:AB372))),100))),"弱気div▼","－")))</f>
      </c>
      <c r="T372" s="681">
        <f>IF($D372="","",IF($D372&gt;=$H372,"上walk▲",IF($D372&lt;=$I372,"下walk▼","－")))</f>
      </c>
      <c r="U372" s="681">
        <f>IF(終値!A372="","",BB_スイング!BT372)</f>
      </c>
      <c r="V372" s="689">
        <f>IF($D372="","",IFERROR(出来高!E372/AVERAGE(出来高!E372:I372),""))</f>
      </c>
      <c r="W372" s="690">
        <f>IF($D372="","",IF(AND($D372&gt;$G372,$O372="拡大↑",$L372&lt;=$M372*1.8),"◎スクイーズブレイク買",IF(AND($D372&gt;=$H372,$R372&gt;=BB設定!$B$10),"○順張り継続(walk)",IF(AND($S372="強気div▲",$D372&gt;$I372),"○反発(ダイバ)買",IF($U372="二番底W▲","△二番底買(確)",IF($U372="二番底W形成","△二番底形成",IF($D372&lt;$J372,"▼-2σ割れ危険",IF(AND($D372&gt;$E372,$K372&lt;0.6,$R372&gt;=50),"・押し目注目",IF($N372="スクイーズ★","☆スクイーズ監視","様子見")))))))))</f>
      </c>
      <c r="X372" s="685">
        <f>IF($D372="","",MIN(100,IF($L372&lt;=$M372*1.15,20,IF($L372&lt;=$M372*1.4,10,0))+IF($D372&gt;$G372,20,IF($D372&gt;$H372,12,IF($D372&gt;$E372,5,0)))+IF($O372="拡大↑",10,0)+IF($R372&gt;=80,15,IF($R372&gt;=60,10,IF($R372&gt;=50,5,0)))+IF(AND($Q372&gt;=50,$Q372&lt;=70),10,IF($Q372&gt;70,3,IF($Q372&gt;=40,5,0)))+IF($S372="強気div▲",15,0)+IF($T372="上walk▲",5,0)+IF($V372&gt;=2,5,IF($V372&gt;=1.5,3,0))))</f>
      </c>
      <c r="Y372" s="682">
        <f>IF($D372="","",$D372)</f>
      </c>
      <c r="Z372" s="682">
        <f>IF($D372="","",$H372)</f>
      </c>
      <c r="AA372" s="682">
        <f>IF($D372="","",IF($D372&gt;$E372,$E372,$AD372))</f>
      </c>
      <c r="AB372" s="682">
        <f>IF($D372="","",$G372)</f>
      </c>
      <c r="AC372" s="688">
        <f>IF($D372="","",IF(($Y372-$AA372)&lt;=0,"－",IFERROR(ROUND(MIN(20,($AB372-$Y372)/($Y372-$AA372)),2),"－")))</f>
      </c>
      <c r="AD372" s="682">
        <f>IF($D372="","",MIN(終値!E372:I372))</f>
      </c>
      <c r="AE372" s="684">
        <f>IF($D372="","",$X372+(10000-ROW())/100000)</f>
      </c>
    </row>
    <row r="373">
      <c r="A373" s="681">
        <f>IF(終値!A373="","",HYPERLINK("https://kabutan.jp/stock/?code="&amp;終値!A373,"📈"))</f>
      </c>
      <c r="B373" s="681">
        <f>IF(終値!A373="","",終値!A373)</f>
      </c>
      <c r="C373" s="680">
        <f>IF(終値!A373="","",終値!B373)</f>
      </c>
      <c r="D373" s="682">
        <f>IF(終値!A373="","",終値!E373)</f>
      </c>
      <c r="E373" s="682">
        <f>IF($D373="","",AVERAGE(終値!E373:X373))</f>
      </c>
      <c r="F373" s="683">
        <f>IF($D373="","",STDEVP(終値!E373:X373))</f>
      </c>
      <c r="G373" s="682">
        <f>IF($D373="","",$E373+BB設定!$B$4*$F373)</f>
      </c>
      <c r="H373" s="682">
        <f>IF($D373="","",$E373+BB設定!$B$5*$F373)</f>
      </c>
      <c r="I373" s="682">
        <f>IF($D373="","",$E373-BB設定!$B$5*$F373)</f>
      </c>
      <c r="J373" s="682">
        <f>IF($D373="","",$E373-BB設定!$B$4*$F373)</f>
      </c>
      <c r="K373" s="687">
        <f>IF($D373="","",IFERROR(($D373-$J373)/($G373-$J373),""))</f>
      </c>
      <c r="L373" s="686">
        <f>IF($D373="","",IFERROR(($G373-$J373)/$E373*100,""))</f>
      </c>
      <c r="M373" s="686">
        <f>IF($D373="","",IFERROR(MIN(BB_帯幅!B373:AP373)*100,""))</f>
      </c>
      <c r="N373" s="681">
        <f>IF($L373="","",IF($L373&lt;=$M373*BB設定!$B$7,"スクイーズ★",IF($L373&lt;=$M373*1.3,"収縮","－")))</f>
      </c>
      <c r="O373" s="681">
        <f>IF($D373="","",IF($L373&gt;(4*STDEVP(終値!F373:Y373)/AVERAGE(終値!F373:Y373)*100),"拡大↑","縮小↓"))</f>
      </c>
      <c r="P373" s="681">
        <f>IF($D373="","",IF($D373&gt;$G373,"↑+2σ突破",IF($D373&lt;$J373,"↓-2σ割れ",IF($D373&gt;$H373,"+1σ上",IF($D373&lt;$I373,"-1σ下","バンド内")))))</f>
      </c>
      <c r="Q373" s="684">
        <f>IF($D373="","",IFERROR(100-100/(1+SUMPRODUCT((終値!E373:R373&gt;終値!F373:S373)*(終値!E373:R373-終値!F373:S373))/SUMPRODUCT((終値!E373:R373&lt;終値!F373:S373)*(終値!F373:S373-終値!E373:R373))),100))</f>
      </c>
      <c r="R373" s="684">
        <f>IF($D373="","",IFERROR(100-100/(1+SUMPRODUCT((((高値!E373:R373+安値!E373:R373+終値!E373:R373)/3)&gt;((高値!F373:S373+安値!F373:S373+終値!F373:S373)/3))*((高値!E373:R373+安値!E373:R373+終値!E373:R373)/3)*出来高!E373:R373)/SUMPRODUCT((((高値!E373:R373+安値!E373:R373+終値!E373:R373)/3)&lt;((高値!F373:S373+安値!F373:S373+終値!F373:S373)/3))*((高値!E373:R373+安値!E373:R373+終値!E373:R373)/3)*出来高!E373:R373)),50))</f>
      </c>
      <c r="S373" s="681">
        <f>IF($D373="","",IF(AND(終値!E373&lt;終値!O373,$Q373&gt;(IFERROR(100-100/(1+SUMPRODUCT((終値!O373:AB373&gt;終値!P373:AC373)*(終値!O373:AB373-終値!P373:AC373))/SUMPRODUCT((終値!O373:AB373&lt;終値!P373:AC373)*(終値!P373:AC373-終値!O373:AB373))),100))),"強気div▲",IF(AND(終値!E373&gt;終値!O373,$Q373&lt;(IFERROR(100-100/(1+SUMPRODUCT((終値!O373:AB373&gt;終値!P373:AC373)*(終値!O373:AB373-終値!P373:AC373))/SUMPRODUCT((終値!O373:AB373&lt;終値!P373:AC373)*(終値!P373:AC373-終値!O373:AB373))),100))),"弱気div▼","－")))</f>
      </c>
      <c r="T373" s="681">
        <f>IF($D373="","",IF($D373&gt;=$H373,"上walk▲",IF($D373&lt;=$I373,"下walk▼","－")))</f>
      </c>
      <c r="U373" s="681">
        <f>IF(終値!A373="","",BB_スイング!BT373)</f>
      </c>
      <c r="V373" s="689">
        <f>IF($D373="","",IFERROR(出来高!E373/AVERAGE(出来高!E373:I373),""))</f>
      </c>
      <c r="W373" s="690">
        <f>IF($D373="","",IF(AND($D373&gt;$G373,$O373="拡大↑",$L373&lt;=$M373*1.8),"◎スクイーズブレイク買",IF(AND($D373&gt;=$H373,$R373&gt;=BB設定!$B$10),"○順張り継続(walk)",IF(AND($S373="強気div▲",$D373&gt;$I373),"○反発(ダイバ)買",IF($U373="二番底W▲","△二番底買(確)",IF($U373="二番底W形成","△二番底形成",IF($D373&lt;$J373,"▼-2σ割れ危険",IF(AND($D373&gt;$E373,$K373&lt;0.6,$R373&gt;=50),"・押し目注目",IF($N373="スクイーズ★","☆スクイーズ監視","様子見")))))))))</f>
      </c>
      <c r="X373" s="685">
        <f>IF($D373="","",MIN(100,IF($L373&lt;=$M373*1.15,20,IF($L373&lt;=$M373*1.4,10,0))+IF($D373&gt;$G373,20,IF($D373&gt;$H373,12,IF($D373&gt;$E373,5,0)))+IF($O373="拡大↑",10,0)+IF($R373&gt;=80,15,IF($R373&gt;=60,10,IF($R373&gt;=50,5,0)))+IF(AND($Q373&gt;=50,$Q373&lt;=70),10,IF($Q373&gt;70,3,IF($Q373&gt;=40,5,0)))+IF($S373="強気div▲",15,0)+IF($T373="上walk▲",5,0)+IF($V373&gt;=2,5,IF($V373&gt;=1.5,3,0))))</f>
      </c>
      <c r="Y373" s="682">
        <f>IF($D373="","",$D373)</f>
      </c>
      <c r="Z373" s="682">
        <f>IF($D373="","",$H373)</f>
      </c>
      <c r="AA373" s="682">
        <f>IF($D373="","",IF($D373&gt;$E373,$E373,$AD373))</f>
      </c>
      <c r="AB373" s="682">
        <f>IF($D373="","",$G373)</f>
      </c>
      <c r="AC373" s="688">
        <f>IF($D373="","",IF(($Y373-$AA373)&lt;=0,"－",IFERROR(ROUND(MIN(20,($AB373-$Y373)/($Y373-$AA373)),2),"－")))</f>
      </c>
      <c r="AD373" s="682">
        <f>IF($D373="","",MIN(終値!E373:I373))</f>
      </c>
      <c r="AE373" s="684">
        <f>IF($D373="","",$X373+(10000-ROW())/100000)</f>
      </c>
    </row>
    <row r="374">
      <c r="A374" s="681">
        <f>IF(終値!A374="","",HYPERLINK("https://kabutan.jp/stock/?code="&amp;終値!A374,"📈"))</f>
      </c>
      <c r="B374" s="681">
        <f>IF(終値!A374="","",終値!A374)</f>
      </c>
      <c r="C374" s="680">
        <f>IF(終値!A374="","",終値!B374)</f>
      </c>
      <c r="D374" s="682">
        <f>IF(終値!A374="","",終値!E374)</f>
      </c>
      <c r="E374" s="682">
        <f>IF($D374="","",AVERAGE(終値!E374:X374))</f>
      </c>
      <c r="F374" s="683">
        <f>IF($D374="","",STDEVP(終値!E374:X374))</f>
      </c>
      <c r="G374" s="682">
        <f>IF($D374="","",$E374+BB設定!$B$4*$F374)</f>
      </c>
      <c r="H374" s="682">
        <f>IF($D374="","",$E374+BB設定!$B$5*$F374)</f>
      </c>
      <c r="I374" s="682">
        <f>IF($D374="","",$E374-BB設定!$B$5*$F374)</f>
      </c>
      <c r="J374" s="682">
        <f>IF($D374="","",$E374-BB設定!$B$4*$F374)</f>
      </c>
      <c r="K374" s="687">
        <f>IF($D374="","",IFERROR(($D374-$J374)/($G374-$J374),""))</f>
      </c>
      <c r="L374" s="686">
        <f>IF($D374="","",IFERROR(($G374-$J374)/$E374*100,""))</f>
      </c>
      <c r="M374" s="686">
        <f>IF($D374="","",IFERROR(MIN(BB_帯幅!B374:AP374)*100,""))</f>
      </c>
      <c r="N374" s="681">
        <f>IF($L374="","",IF($L374&lt;=$M374*BB設定!$B$7,"スクイーズ★",IF($L374&lt;=$M374*1.3,"収縮","－")))</f>
      </c>
      <c r="O374" s="681">
        <f>IF($D374="","",IF($L374&gt;(4*STDEVP(終値!F374:Y374)/AVERAGE(終値!F374:Y374)*100),"拡大↑","縮小↓"))</f>
      </c>
      <c r="P374" s="681">
        <f>IF($D374="","",IF($D374&gt;$G374,"↑+2σ突破",IF($D374&lt;$J374,"↓-2σ割れ",IF($D374&gt;$H374,"+1σ上",IF($D374&lt;$I374,"-1σ下","バンド内")))))</f>
      </c>
      <c r="Q374" s="684">
        <f>IF($D374="","",IFERROR(100-100/(1+SUMPRODUCT((終値!E374:R374&gt;終値!F374:S374)*(終値!E374:R374-終値!F374:S374))/SUMPRODUCT((終値!E374:R374&lt;終値!F374:S374)*(終値!F374:S374-終値!E374:R374))),100))</f>
      </c>
      <c r="R374" s="684">
        <f>IF($D374="","",IFERROR(100-100/(1+SUMPRODUCT((((高値!E374:R374+安値!E374:R374+終値!E374:R374)/3)&gt;((高値!F374:S374+安値!F374:S374+終値!F374:S374)/3))*((高値!E374:R374+安値!E374:R374+終値!E374:R374)/3)*出来高!E374:R374)/SUMPRODUCT((((高値!E374:R374+安値!E374:R374+終値!E374:R374)/3)&lt;((高値!F374:S374+安値!F374:S374+終値!F374:S374)/3))*((高値!E374:R374+安値!E374:R374+終値!E374:R374)/3)*出来高!E374:R374)),50))</f>
      </c>
      <c r="S374" s="681">
        <f>IF($D374="","",IF(AND(終値!E374&lt;終値!O374,$Q374&gt;(IFERROR(100-100/(1+SUMPRODUCT((終値!O374:AB374&gt;終値!P374:AC374)*(終値!O374:AB374-終値!P374:AC374))/SUMPRODUCT((終値!O374:AB374&lt;終値!P374:AC374)*(終値!P374:AC374-終値!O374:AB374))),100))),"強気div▲",IF(AND(終値!E374&gt;終値!O374,$Q374&lt;(IFERROR(100-100/(1+SUMPRODUCT((終値!O374:AB374&gt;終値!P374:AC374)*(終値!O374:AB374-終値!P374:AC374))/SUMPRODUCT((終値!O374:AB374&lt;終値!P374:AC374)*(終値!P374:AC374-終値!O374:AB374))),100))),"弱気div▼","－")))</f>
      </c>
      <c r="T374" s="681">
        <f>IF($D374="","",IF($D374&gt;=$H374,"上walk▲",IF($D374&lt;=$I374,"下walk▼","－")))</f>
      </c>
      <c r="U374" s="681">
        <f>IF(終値!A374="","",BB_スイング!BT374)</f>
      </c>
      <c r="V374" s="689">
        <f>IF($D374="","",IFERROR(出来高!E374/AVERAGE(出来高!E374:I374),""))</f>
      </c>
      <c r="W374" s="690">
        <f>IF($D374="","",IF(AND($D374&gt;$G374,$O374="拡大↑",$L374&lt;=$M374*1.8),"◎スクイーズブレイク買",IF(AND($D374&gt;=$H374,$R374&gt;=BB設定!$B$10),"○順張り継続(walk)",IF(AND($S374="強気div▲",$D374&gt;$I374),"○反発(ダイバ)買",IF($U374="二番底W▲","△二番底買(確)",IF($U374="二番底W形成","△二番底形成",IF($D374&lt;$J374,"▼-2σ割れ危険",IF(AND($D374&gt;$E374,$K374&lt;0.6,$R374&gt;=50),"・押し目注目",IF($N374="スクイーズ★","☆スクイーズ監視","様子見")))))))))</f>
      </c>
      <c r="X374" s="685">
        <f>IF($D374="","",MIN(100,IF($L374&lt;=$M374*1.15,20,IF($L374&lt;=$M374*1.4,10,0))+IF($D374&gt;$G374,20,IF($D374&gt;$H374,12,IF($D374&gt;$E374,5,0)))+IF($O374="拡大↑",10,0)+IF($R374&gt;=80,15,IF($R374&gt;=60,10,IF($R374&gt;=50,5,0)))+IF(AND($Q374&gt;=50,$Q374&lt;=70),10,IF($Q374&gt;70,3,IF($Q374&gt;=40,5,0)))+IF($S374="強気div▲",15,0)+IF($T374="上walk▲",5,0)+IF($V374&gt;=2,5,IF($V374&gt;=1.5,3,0))))</f>
      </c>
      <c r="Y374" s="682">
        <f>IF($D374="","",$D374)</f>
      </c>
      <c r="Z374" s="682">
        <f>IF($D374="","",$H374)</f>
      </c>
      <c r="AA374" s="682">
        <f>IF($D374="","",IF($D374&gt;$E374,$E374,$AD374))</f>
      </c>
      <c r="AB374" s="682">
        <f>IF($D374="","",$G374)</f>
      </c>
      <c r="AC374" s="688">
        <f>IF($D374="","",IF(($Y374-$AA374)&lt;=0,"－",IFERROR(ROUND(MIN(20,($AB374-$Y374)/($Y374-$AA374)),2),"－")))</f>
      </c>
      <c r="AD374" s="682">
        <f>IF($D374="","",MIN(終値!E374:I374))</f>
      </c>
      <c r="AE374" s="684">
        <f>IF($D374="","",$X374+(10000-ROW())/100000)</f>
      </c>
    </row>
    <row r="375">
      <c r="A375" s="681">
        <f>IF(終値!A375="","",HYPERLINK("https://kabutan.jp/stock/?code="&amp;終値!A375,"📈"))</f>
      </c>
      <c r="B375" s="681">
        <f>IF(終値!A375="","",終値!A375)</f>
      </c>
      <c r="C375" s="680">
        <f>IF(終値!A375="","",終値!B375)</f>
      </c>
      <c r="D375" s="682">
        <f>IF(終値!A375="","",終値!E375)</f>
      </c>
      <c r="E375" s="682">
        <f>IF($D375="","",AVERAGE(終値!E375:X375))</f>
      </c>
      <c r="F375" s="683">
        <f>IF($D375="","",STDEVP(終値!E375:X375))</f>
      </c>
      <c r="G375" s="682">
        <f>IF($D375="","",$E375+BB設定!$B$4*$F375)</f>
      </c>
      <c r="H375" s="682">
        <f>IF($D375="","",$E375+BB設定!$B$5*$F375)</f>
      </c>
      <c r="I375" s="682">
        <f>IF($D375="","",$E375-BB設定!$B$5*$F375)</f>
      </c>
      <c r="J375" s="682">
        <f>IF($D375="","",$E375-BB設定!$B$4*$F375)</f>
      </c>
      <c r="K375" s="687">
        <f>IF($D375="","",IFERROR(($D375-$J375)/($G375-$J375),""))</f>
      </c>
      <c r="L375" s="686">
        <f>IF($D375="","",IFERROR(($G375-$J375)/$E375*100,""))</f>
      </c>
      <c r="M375" s="686">
        <f>IF($D375="","",IFERROR(MIN(BB_帯幅!B375:AP375)*100,""))</f>
      </c>
      <c r="N375" s="681">
        <f>IF($L375="","",IF($L375&lt;=$M375*BB設定!$B$7,"スクイーズ★",IF($L375&lt;=$M375*1.3,"収縮","－")))</f>
      </c>
      <c r="O375" s="681">
        <f>IF($D375="","",IF($L375&gt;(4*STDEVP(終値!F375:Y375)/AVERAGE(終値!F375:Y375)*100),"拡大↑","縮小↓"))</f>
      </c>
      <c r="P375" s="681">
        <f>IF($D375="","",IF($D375&gt;$G375,"↑+2σ突破",IF($D375&lt;$J375,"↓-2σ割れ",IF($D375&gt;$H375,"+1σ上",IF($D375&lt;$I375,"-1σ下","バンド内")))))</f>
      </c>
      <c r="Q375" s="684">
        <f>IF($D375="","",IFERROR(100-100/(1+SUMPRODUCT((終値!E375:R375&gt;終値!F375:S375)*(終値!E375:R375-終値!F375:S375))/SUMPRODUCT((終値!E375:R375&lt;終値!F375:S375)*(終値!F375:S375-終値!E375:R375))),100))</f>
      </c>
      <c r="R375" s="684">
        <f>IF($D375="","",IFERROR(100-100/(1+SUMPRODUCT((((高値!E375:R375+安値!E375:R375+終値!E375:R375)/3)&gt;((高値!F375:S375+安値!F375:S375+終値!F375:S375)/3))*((高値!E375:R375+安値!E375:R375+終値!E375:R375)/3)*出来高!E375:R375)/SUMPRODUCT((((高値!E375:R375+安値!E375:R375+終値!E375:R375)/3)&lt;((高値!F375:S375+安値!F375:S375+終値!F375:S375)/3))*((高値!E375:R375+安値!E375:R375+終値!E375:R375)/3)*出来高!E375:R375)),50))</f>
      </c>
      <c r="S375" s="681">
        <f>IF($D375="","",IF(AND(終値!E375&lt;終値!O375,$Q375&gt;(IFERROR(100-100/(1+SUMPRODUCT((終値!O375:AB375&gt;終値!P375:AC375)*(終値!O375:AB375-終値!P375:AC375))/SUMPRODUCT((終値!O375:AB375&lt;終値!P375:AC375)*(終値!P375:AC375-終値!O375:AB375))),100))),"強気div▲",IF(AND(終値!E375&gt;終値!O375,$Q375&lt;(IFERROR(100-100/(1+SUMPRODUCT((終値!O375:AB375&gt;終値!P375:AC375)*(終値!O375:AB375-終値!P375:AC375))/SUMPRODUCT((終値!O375:AB375&lt;終値!P375:AC375)*(終値!P375:AC375-終値!O375:AB375))),100))),"弱気div▼","－")))</f>
      </c>
      <c r="T375" s="681">
        <f>IF($D375="","",IF($D375&gt;=$H375,"上walk▲",IF($D375&lt;=$I375,"下walk▼","－")))</f>
      </c>
      <c r="U375" s="681">
        <f>IF(終値!A375="","",BB_スイング!BT375)</f>
      </c>
      <c r="V375" s="689">
        <f>IF($D375="","",IFERROR(出来高!E375/AVERAGE(出来高!E375:I375),""))</f>
      </c>
      <c r="W375" s="690">
        <f>IF($D375="","",IF(AND($D375&gt;$G375,$O375="拡大↑",$L375&lt;=$M375*1.8),"◎スクイーズブレイク買",IF(AND($D375&gt;=$H375,$R375&gt;=BB設定!$B$10),"○順張り継続(walk)",IF(AND($S375="強気div▲",$D375&gt;$I375),"○反発(ダイバ)買",IF($U375="二番底W▲","△二番底買(確)",IF($U375="二番底W形成","△二番底形成",IF($D375&lt;$J375,"▼-2σ割れ危険",IF(AND($D375&gt;$E375,$K375&lt;0.6,$R375&gt;=50),"・押し目注目",IF($N375="スクイーズ★","☆スクイーズ監視","様子見")))))))))</f>
      </c>
      <c r="X375" s="685">
        <f>IF($D375="","",MIN(100,IF($L375&lt;=$M375*1.15,20,IF($L375&lt;=$M375*1.4,10,0))+IF($D375&gt;$G375,20,IF($D375&gt;$H375,12,IF($D375&gt;$E375,5,0)))+IF($O375="拡大↑",10,0)+IF($R375&gt;=80,15,IF($R375&gt;=60,10,IF($R375&gt;=50,5,0)))+IF(AND($Q375&gt;=50,$Q375&lt;=70),10,IF($Q375&gt;70,3,IF($Q375&gt;=40,5,0)))+IF($S375="強気div▲",15,0)+IF($T375="上walk▲",5,0)+IF($V375&gt;=2,5,IF($V375&gt;=1.5,3,0))))</f>
      </c>
      <c r="Y375" s="682">
        <f>IF($D375="","",$D375)</f>
      </c>
      <c r="Z375" s="682">
        <f>IF($D375="","",$H375)</f>
      </c>
      <c r="AA375" s="682">
        <f>IF($D375="","",IF($D375&gt;$E375,$E375,$AD375))</f>
      </c>
      <c r="AB375" s="682">
        <f>IF($D375="","",$G375)</f>
      </c>
      <c r="AC375" s="688">
        <f>IF($D375="","",IF(($Y375-$AA375)&lt;=0,"－",IFERROR(ROUND(MIN(20,($AB375-$Y375)/($Y375-$AA375)),2),"－")))</f>
      </c>
      <c r="AD375" s="682">
        <f>IF($D375="","",MIN(終値!E375:I375))</f>
      </c>
      <c r="AE375" s="684">
        <f>IF($D375="","",$X375+(10000-ROW())/100000)</f>
      </c>
    </row>
    <row r="376">
      <c r="A376" s="681">
        <f>IF(終値!A376="","",HYPERLINK("https://kabutan.jp/stock/?code="&amp;終値!A376,"📈"))</f>
      </c>
      <c r="B376" s="681">
        <f>IF(終値!A376="","",終値!A376)</f>
      </c>
      <c r="C376" s="680">
        <f>IF(終値!A376="","",終値!B376)</f>
      </c>
      <c r="D376" s="682">
        <f>IF(終値!A376="","",終値!E376)</f>
      </c>
      <c r="E376" s="682">
        <f>IF($D376="","",AVERAGE(終値!E376:X376))</f>
      </c>
      <c r="F376" s="683">
        <f>IF($D376="","",STDEVP(終値!E376:X376))</f>
      </c>
      <c r="G376" s="682">
        <f>IF($D376="","",$E376+BB設定!$B$4*$F376)</f>
      </c>
      <c r="H376" s="682">
        <f>IF($D376="","",$E376+BB設定!$B$5*$F376)</f>
      </c>
      <c r="I376" s="682">
        <f>IF($D376="","",$E376-BB設定!$B$5*$F376)</f>
      </c>
      <c r="J376" s="682">
        <f>IF($D376="","",$E376-BB設定!$B$4*$F376)</f>
      </c>
      <c r="K376" s="687">
        <f>IF($D376="","",IFERROR(($D376-$J376)/($G376-$J376),""))</f>
      </c>
      <c r="L376" s="686">
        <f>IF($D376="","",IFERROR(($G376-$J376)/$E376*100,""))</f>
      </c>
      <c r="M376" s="686">
        <f>IF($D376="","",IFERROR(MIN(BB_帯幅!B376:AP376)*100,""))</f>
      </c>
      <c r="N376" s="681">
        <f>IF($L376="","",IF($L376&lt;=$M376*BB設定!$B$7,"スクイーズ★",IF($L376&lt;=$M376*1.3,"収縮","－")))</f>
      </c>
      <c r="O376" s="681">
        <f>IF($D376="","",IF($L376&gt;(4*STDEVP(終値!F376:Y376)/AVERAGE(終値!F376:Y376)*100),"拡大↑","縮小↓"))</f>
      </c>
      <c r="P376" s="681">
        <f>IF($D376="","",IF($D376&gt;$G376,"↑+2σ突破",IF($D376&lt;$J376,"↓-2σ割れ",IF($D376&gt;$H376,"+1σ上",IF($D376&lt;$I376,"-1σ下","バンド内")))))</f>
      </c>
      <c r="Q376" s="684">
        <f>IF($D376="","",IFERROR(100-100/(1+SUMPRODUCT((終値!E376:R376&gt;終値!F376:S376)*(終値!E376:R376-終値!F376:S376))/SUMPRODUCT((終値!E376:R376&lt;終値!F376:S376)*(終値!F376:S376-終値!E376:R376))),100))</f>
      </c>
      <c r="R376" s="684">
        <f>IF($D376="","",IFERROR(100-100/(1+SUMPRODUCT((((高値!E376:R376+安値!E376:R376+終値!E376:R376)/3)&gt;((高値!F376:S376+安値!F376:S376+終値!F376:S376)/3))*((高値!E376:R376+安値!E376:R376+終値!E376:R376)/3)*出来高!E376:R376)/SUMPRODUCT((((高値!E376:R376+安値!E376:R376+終値!E376:R376)/3)&lt;((高値!F376:S376+安値!F376:S376+終値!F376:S376)/3))*((高値!E376:R376+安値!E376:R376+終値!E376:R376)/3)*出来高!E376:R376)),50))</f>
      </c>
      <c r="S376" s="681">
        <f>IF($D376="","",IF(AND(終値!E376&lt;終値!O376,$Q376&gt;(IFERROR(100-100/(1+SUMPRODUCT((終値!O376:AB376&gt;終値!P376:AC376)*(終値!O376:AB376-終値!P376:AC376))/SUMPRODUCT((終値!O376:AB376&lt;終値!P376:AC376)*(終値!P376:AC376-終値!O376:AB376))),100))),"強気div▲",IF(AND(終値!E376&gt;終値!O376,$Q376&lt;(IFERROR(100-100/(1+SUMPRODUCT((終値!O376:AB376&gt;終値!P376:AC376)*(終値!O376:AB376-終値!P376:AC376))/SUMPRODUCT((終値!O376:AB376&lt;終値!P376:AC376)*(終値!P376:AC376-終値!O376:AB376))),100))),"弱気div▼","－")))</f>
      </c>
      <c r="T376" s="681">
        <f>IF($D376="","",IF($D376&gt;=$H376,"上walk▲",IF($D376&lt;=$I376,"下walk▼","－")))</f>
      </c>
      <c r="U376" s="681">
        <f>IF(終値!A376="","",BB_スイング!BT376)</f>
      </c>
      <c r="V376" s="689">
        <f>IF($D376="","",IFERROR(出来高!E376/AVERAGE(出来高!E376:I376),""))</f>
      </c>
      <c r="W376" s="690">
        <f>IF($D376="","",IF(AND($D376&gt;$G376,$O376="拡大↑",$L376&lt;=$M376*1.8),"◎スクイーズブレイク買",IF(AND($D376&gt;=$H376,$R376&gt;=BB設定!$B$10),"○順張り継続(walk)",IF(AND($S376="強気div▲",$D376&gt;$I376),"○反発(ダイバ)買",IF($U376="二番底W▲","△二番底買(確)",IF($U376="二番底W形成","△二番底形成",IF($D376&lt;$J376,"▼-2σ割れ危険",IF(AND($D376&gt;$E376,$K376&lt;0.6,$R376&gt;=50),"・押し目注目",IF($N376="スクイーズ★","☆スクイーズ監視","様子見")))))))))</f>
      </c>
      <c r="X376" s="685">
        <f>IF($D376="","",MIN(100,IF($L376&lt;=$M376*1.15,20,IF($L376&lt;=$M376*1.4,10,0))+IF($D376&gt;$G376,20,IF($D376&gt;$H376,12,IF($D376&gt;$E376,5,0)))+IF($O376="拡大↑",10,0)+IF($R376&gt;=80,15,IF($R376&gt;=60,10,IF($R376&gt;=50,5,0)))+IF(AND($Q376&gt;=50,$Q376&lt;=70),10,IF($Q376&gt;70,3,IF($Q376&gt;=40,5,0)))+IF($S376="強気div▲",15,0)+IF($T376="上walk▲",5,0)+IF($V376&gt;=2,5,IF($V376&gt;=1.5,3,0))))</f>
      </c>
      <c r="Y376" s="682">
        <f>IF($D376="","",$D376)</f>
      </c>
      <c r="Z376" s="682">
        <f>IF($D376="","",$H376)</f>
      </c>
      <c r="AA376" s="682">
        <f>IF($D376="","",IF($D376&gt;$E376,$E376,$AD376))</f>
      </c>
      <c r="AB376" s="682">
        <f>IF($D376="","",$G376)</f>
      </c>
      <c r="AC376" s="688">
        <f>IF($D376="","",IF(($Y376-$AA376)&lt;=0,"－",IFERROR(ROUND(MIN(20,($AB376-$Y376)/($Y376-$AA376)),2),"－")))</f>
      </c>
      <c r="AD376" s="682">
        <f>IF($D376="","",MIN(終値!E376:I376))</f>
      </c>
      <c r="AE376" s="684">
        <f>IF($D376="","",$X376+(10000-ROW())/100000)</f>
      </c>
    </row>
    <row r="377">
      <c r="A377" s="681">
        <f>IF(終値!A377="","",HYPERLINK("https://kabutan.jp/stock/?code="&amp;終値!A377,"📈"))</f>
      </c>
      <c r="B377" s="681">
        <f>IF(終値!A377="","",終値!A377)</f>
      </c>
      <c r="C377" s="680">
        <f>IF(終値!A377="","",終値!B377)</f>
      </c>
      <c r="D377" s="682">
        <f>IF(終値!A377="","",終値!E377)</f>
      </c>
      <c r="E377" s="682">
        <f>IF($D377="","",AVERAGE(終値!E377:X377))</f>
      </c>
      <c r="F377" s="683">
        <f>IF($D377="","",STDEVP(終値!E377:X377))</f>
      </c>
      <c r="G377" s="682">
        <f>IF($D377="","",$E377+BB設定!$B$4*$F377)</f>
      </c>
      <c r="H377" s="682">
        <f>IF($D377="","",$E377+BB設定!$B$5*$F377)</f>
      </c>
      <c r="I377" s="682">
        <f>IF($D377="","",$E377-BB設定!$B$5*$F377)</f>
      </c>
      <c r="J377" s="682">
        <f>IF($D377="","",$E377-BB設定!$B$4*$F377)</f>
      </c>
      <c r="K377" s="687">
        <f>IF($D377="","",IFERROR(($D377-$J377)/($G377-$J377),""))</f>
      </c>
      <c r="L377" s="686">
        <f>IF($D377="","",IFERROR(($G377-$J377)/$E377*100,""))</f>
      </c>
      <c r="M377" s="686">
        <f>IF($D377="","",IFERROR(MIN(BB_帯幅!B377:AP377)*100,""))</f>
      </c>
      <c r="N377" s="681">
        <f>IF($L377="","",IF($L377&lt;=$M377*BB設定!$B$7,"スクイーズ★",IF($L377&lt;=$M377*1.3,"収縮","－")))</f>
      </c>
      <c r="O377" s="681">
        <f>IF($D377="","",IF($L377&gt;(4*STDEVP(終値!F377:Y377)/AVERAGE(終値!F377:Y377)*100),"拡大↑","縮小↓"))</f>
      </c>
      <c r="P377" s="681">
        <f>IF($D377="","",IF($D377&gt;$G377,"↑+2σ突破",IF($D377&lt;$J377,"↓-2σ割れ",IF($D377&gt;$H377,"+1σ上",IF($D377&lt;$I377,"-1σ下","バンド内")))))</f>
      </c>
      <c r="Q377" s="684">
        <f>IF($D377="","",IFERROR(100-100/(1+SUMPRODUCT((終値!E377:R377&gt;終値!F377:S377)*(終値!E377:R377-終値!F377:S377))/SUMPRODUCT((終値!E377:R377&lt;終値!F377:S377)*(終値!F377:S377-終値!E377:R377))),100))</f>
      </c>
      <c r="R377" s="684">
        <f>IF($D377="","",IFERROR(100-100/(1+SUMPRODUCT((((高値!E377:R377+安値!E377:R377+終値!E377:R377)/3)&gt;((高値!F377:S377+安値!F377:S377+終値!F377:S377)/3))*((高値!E377:R377+安値!E377:R377+終値!E377:R377)/3)*出来高!E377:R377)/SUMPRODUCT((((高値!E377:R377+安値!E377:R377+終値!E377:R377)/3)&lt;((高値!F377:S377+安値!F377:S377+終値!F377:S377)/3))*((高値!E377:R377+安値!E377:R377+終値!E377:R377)/3)*出来高!E377:R377)),50))</f>
      </c>
      <c r="S377" s="681">
        <f>IF($D377="","",IF(AND(終値!E377&lt;終値!O377,$Q377&gt;(IFERROR(100-100/(1+SUMPRODUCT((終値!O377:AB377&gt;終値!P377:AC377)*(終値!O377:AB377-終値!P377:AC377))/SUMPRODUCT((終値!O377:AB377&lt;終値!P377:AC377)*(終値!P377:AC377-終値!O377:AB377))),100))),"強気div▲",IF(AND(終値!E377&gt;終値!O377,$Q377&lt;(IFERROR(100-100/(1+SUMPRODUCT((終値!O377:AB377&gt;終値!P377:AC377)*(終値!O377:AB377-終値!P377:AC377))/SUMPRODUCT((終値!O377:AB377&lt;終値!P377:AC377)*(終値!P377:AC377-終値!O377:AB377))),100))),"弱気div▼","－")))</f>
      </c>
      <c r="T377" s="681">
        <f>IF($D377="","",IF($D377&gt;=$H377,"上walk▲",IF($D377&lt;=$I377,"下walk▼","－")))</f>
      </c>
      <c r="U377" s="681">
        <f>IF(終値!A377="","",BB_スイング!BT377)</f>
      </c>
      <c r="V377" s="689">
        <f>IF($D377="","",IFERROR(出来高!E377/AVERAGE(出来高!E377:I377),""))</f>
      </c>
      <c r="W377" s="690">
        <f>IF($D377="","",IF(AND($D377&gt;$G377,$O377="拡大↑",$L377&lt;=$M377*1.8),"◎スクイーズブレイク買",IF(AND($D377&gt;=$H377,$R377&gt;=BB設定!$B$10),"○順張り継続(walk)",IF(AND($S377="強気div▲",$D377&gt;$I377),"○反発(ダイバ)買",IF($U377="二番底W▲","△二番底買(確)",IF($U377="二番底W形成","△二番底形成",IF($D377&lt;$J377,"▼-2σ割れ危険",IF(AND($D377&gt;$E377,$K377&lt;0.6,$R377&gt;=50),"・押し目注目",IF($N377="スクイーズ★","☆スクイーズ監視","様子見")))))))))</f>
      </c>
      <c r="X377" s="685">
        <f>IF($D377="","",MIN(100,IF($L377&lt;=$M377*1.15,20,IF($L377&lt;=$M377*1.4,10,0))+IF($D377&gt;$G377,20,IF($D377&gt;$H377,12,IF($D377&gt;$E377,5,0)))+IF($O377="拡大↑",10,0)+IF($R377&gt;=80,15,IF($R377&gt;=60,10,IF($R377&gt;=50,5,0)))+IF(AND($Q377&gt;=50,$Q377&lt;=70),10,IF($Q377&gt;70,3,IF($Q377&gt;=40,5,0)))+IF($S377="強気div▲",15,0)+IF($T377="上walk▲",5,0)+IF($V377&gt;=2,5,IF($V377&gt;=1.5,3,0))))</f>
      </c>
      <c r="Y377" s="682">
        <f>IF($D377="","",$D377)</f>
      </c>
      <c r="Z377" s="682">
        <f>IF($D377="","",$H377)</f>
      </c>
      <c r="AA377" s="682">
        <f>IF($D377="","",IF($D377&gt;$E377,$E377,$AD377))</f>
      </c>
      <c r="AB377" s="682">
        <f>IF($D377="","",$G377)</f>
      </c>
      <c r="AC377" s="688">
        <f>IF($D377="","",IF(($Y377-$AA377)&lt;=0,"－",IFERROR(ROUND(MIN(20,($AB377-$Y377)/($Y377-$AA377)),2),"－")))</f>
      </c>
      <c r="AD377" s="682">
        <f>IF($D377="","",MIN(終値!E377:I377))</f>
      </c>
      <c r="AE377" s="684">
        <f>IF($D377="","",$X377+(10000-ROW())/100000)</f>
      </c>
    </row>
    <row r="378">
      <c r="A378" s="681">
        <f>IF(終値!A378="","",HYPERLINK("https://kabutan.jp/stock/?code="&amp;終値!A378,"📈"))</f>
      </c>
      <c r="B378" s="681">
        <f>IF(終値!A378="","",終値!A378)</f>
      </c>
      <c r="C378" s="680">
        <f>IF(終値!A378="","",終値!B378)</f>
      </c>
      <c r="D378" s="682">
        <f>IF(終値!A378="","",終値!E378)</f>
      </c>
      <c r="E378" s="682">
        <f>IF($D378="","",AVERAGE(終値!E378:X378))</f>
      </c>
      <c r="F378" s="683">
        <f>IF($D378="","",STDEVP(終値!E378:X378))</f>
      </c>
      <c r="G378" s="682">
        <f>IF($D378="","",$E378+BB設定!$B$4*$F378)</f>
      </c>
      <c r="H378" s="682">
        <f>IF($D378="","",$E378+BB設定!$B$5*$F378)</f>
      </c>
      <c r="I378" s="682">
        <f>IF($D378="","",$E378-BB設定!$B$5*$F378)</f>
      </c>
      <c r="J378" s="682">
        <f>IF($D378="","",$E378-BB設定!$B$4*$F378)</f>
      </c>
      <c r="K378" s="687">
        <f>IF($D378="","",IFERROR(($D378-$J378)/($G378-$J378),""))</f>
      </c>
      <c r="L378" s="686">
        <f>IF($D378="","",IFERROR(($G378-$J378)/$E378*100,""))</f>
      </c>
      <c r="M378" s="686">
        <f>IF($D378="","",IFERROR(MIN(BB_帯幅!B378:AP378)*100,""))</f>
      </c>
      <c r="N378" s="681">
        <f>IF($L378="","",IF($L378&lt;=$M378*BB設定!$B$7,"スクイーズ★",IF($L378&lt;=$M378*1.3,"収縮","－")))</f>
      </c>
      <c r="O378" s="681">
        <f>IF($D378="","",IF($L378&gt;(4*STDEVP(終値!F378:Y378)/AVERAGE(終値!F378:Y378)*100),"拡大↑","縮小↓"))</f>
      </c>
      <c r="P378" s="681">
        <f>IF($D378="","",IF($D378&gt;$G378,"↑+2σ突破",IF($D378&lt;$J378,"↓-2σ割れ",IF($D378&gt;$H378,"+1σ上",IF($D378&lt;$I378,"-1σ下","バンド内")))))</f>
      </c>
      <c r="Q378" s="684">
        <f>IF($D378="","",IFERROR(100-100/(1+SUMPRODUCT((終値!E378:R378&gt;終値!F378:S378)*(終値!E378:R378-終値!F378:S378))/SUMPRODUCT((終値!E378:R378&lt;終値!F378:S378)*(終値!F378:S378-終値!E378:R378))),100))</f>
      </c>
      <c r="R378" s="684">
        <f>IF($D378="","",IFERROR(100-100/(1+SUMPRODUCT((((高値!E378:R378+安値!E378:R378+終値!E378:R378)/3)&gt;((高値!F378:S378+安値!F378:S378+終値!F378:S378)/3))*((高値!E378:R378+安値!E378:R378+終値!E378:R378)/3)*出来高!E378:R378)/SUMPRODUCT((((高値!E378:R378+安値!E378:R378+終値!E378:R378)/3)&lt;((高値!F378:S378+安値!F378:S378+終値!F378:S378)/3))*((高値!E378:R378+安値!E378:R378+終値!E378:R378)/3)*出来高!E378:R378)),50))</f>
      </c>
      <c r="S378" s="681">
        <f>IF($D378="","",IF(AND(終値!E378&lt;終値!O378,$Q378&gt;(IFERROR(100-100/(1+SUMPRODUCT((終値!O378:AB378&gt;終値!P378:AC378)*(終値!O378:AB378-終値!P378:AC378))/SUMPRODUCT((終値!O378:AB378&lt;終値!P378:AC378)*(終値!P378:AC378-終値!O378:AB378))),100))),"強気div▲",IF(AND(終値!E378&gt;終値!O378,$Q378&lt;(IFERROR(100-100/(1+SUMPRODUCT((終値!O378:AB378&gt;終値!P378:AC378)*(終値!O378:AB378-終値!P378:AC378))/SUMPRODUCT((終値!O378:AB378&lt;終値!P378:AC378)*(終値!P378:AC378-終値!O378:AB378))),100))),"弱気div▼","－")))</f>
      </c>
      <c r="T378" s="681">
        <f>IF($D378="","",IF($D378&gt;=$H378,"上walk▲",IF($D378&lt;=$I378,"下walk▼","－")))</f>
      </c>
      <c r="U378" s="681">
        <f>IF(終値!A378="","",BB_スイング!BT378)</f>
      </c>
      <c r="V378" s="689">
        <f>IF($D378="","",IFERROR(出来高!E378/AVERAGE(出来高!E378:I378),""))</f>
      </c>
      <c r="W378" s="690">
        <f>IF($D378="","",IF(AND($D378&gt;$G378,$O378="拡大↑",$L378&lt;=$M378*1.8),"◎スクイーズブレイク買",IF(AND($D378&gt;=$H378,$R378&gt;=BB設定!$B$10),"○順張り継続(walk)",IF(AND($S378="強気div▲",$D378&gt;$I378),"○反発(ダイバ)買",IF($U378="二番底W▲","△二番底買(確)",IF($U378="二番底W形成","△二番底形成",IF($D378&lt;$J378,"▼-2σ割れ危険",IF(AND($D378&gt;$E378,$K378&lt;0.6,$R378&gt;=50),"・押し目注目",IF($N378="スクイーズ★","☆スクイーズ監視","様子見")))))))))</f>
      </c>
      <c r="X378" s="685">
        <f>IF($D378="","",MIN(100,IF($L378&lt;=$M378*1.15,20,IF($L378&lt;=$M378*1.4,10,0))+IF($D378&gt;$G378,20,IF($D378&gt;$H378,12,IF($D378&gt;$E378,5,0)))+IF($O378="拡大↑",10,0)+IF($R378&gt;=80,15,IF($R378&gt;=60,10,IF($R378&gt;=50,5,0)))+IF(AND($Q378&gt;=50,$Q378&lt;=70),10,IF($Q378&gt;70,3,IF($Q378&gt;=40,5,0)))+IF($S378="強気div▲",15,0)+IF($T378="上walk▲",5,0)+IF($V378&gt;=2,5,IF($V378&gt;=1.5,3,0))))</f>
      </c>
      <c r="Y378" s="682">
        <f>IF($D378="","",$D378)</f>
      </c>
      <c r="Z378" s="682">
        <f>IF($D378="","",$H378)</f>
      </c>
      <c r="AA378" s="682">
        <f>IF($D378="","",IF($D378&gt;$E378,$E378,$AD378))</f>
      </c>
      <c r="AB378" s="682">
        <f>IF($D378="","",$G378)</f>
      </c>
      <c r="AC378" s="688">
        <f>IF($D378="","",IF(($Y378-$AA378)&lt;=0,"－",IFERROR(ROUND(MIN(20,($AB378-$Y378)/($Y378-$AA378)),2),"－")))</f>
      </c>
      <c r="AD378" s="682">
        <f>IF($D378="","",MIN(終値!E378:I378))</f>
      </c>
      <c r="AE378" s="684">
        <f>IF($D378="","",$X378+(10000-ROW())/100000)</f>
      </c>
    </row>
    <row r="379">
      <c r="A379" s="681">
        <f>IF(終値!A379="","",HYPERLINK("https://kabutan.jp/stock/?code="&amp;終値!A379,"📈"))</f>
      </c>
      <c r="B379" s="681">
        <f>IF(終値!A379="","",終値!A379)</f>
      </c>
      <c r="C379" s="680">
        <f>IF(終値!A379="","",終値!B379)</f>
      </c>
      <c r="D379" s="682">
        <f>IF(終値!A379="","",終値!E379)</f>
      </c>
      <c r="E379" s="682">
        <f>IF($D379="","",AVERAGE(終値!E379:X379))</f>
      </c>
      <c r="F379" s="683">
        <f>IF($D379="","",STDEVP(終値!E379:X379))</f>
      </c>
      <c r="G379" s="682">
        <f>IF($D379="","",$E379+BB設定!$B$4*$F379)</f>
      </c>
      <c r="H379" s="682">
        <f>IF($D379="","",$E379+BB設定!$B$5*$F379)</f>
      </c>
      <c r="I379" s="682">
        <f>IF($D379="","",$E379-BB設定!$B$5*$F379)</f>
      </c>
      <c r="J379" s="682">
        <f>IF($D379="","",$E379-BB設定!$B$4*$F379)</f>
      </c>
      <c r="K379" s="687">
        <f>IF($D379="","",IFERROR(($D379-$J379)/($G379-$J379),""))</f>
      </c>
      <c r="L379" s="686">
        <f>IF($D379="","",IFERROR(($G379-$J379)/$E379*100,""))</f>
      </c>
      <c r="M379" s="686">
        <f>IF($D379="","",IFERROR(MIN(BB_帯幅!B379:AP379)*100,""))</f>
      </c>
      <c r="N379" s="681">
        <f>IF($L379="","",IF($L379&lt;=$M379*BB設定!$B$7,"スクイーズ★",IF($L379&lt;=$M379*1.3,"収縮","－")))</f>
      </c>
      <c r="O379" s="681">
        <f>IF($D379="","",IF($L379&gt;(4*STDEVP(終値!F379:Y379)/AVERAGE(終値!F379:Y379)*100),"拡大↑","縮小↓"))</f>
      </c>
      <c r="P379" s="681">
        <f>IF($D379="","",IF($D379&gt;$G379,"↑+2σ突破",IF($D379&lt;$J379,"↓-2σ割れ",IF($D379&gt;$H379,"+1σ上",IF($D379&lt;$I379,"-1σ下","バンド内")))))</f>
      </c>
      <c r="Q379" s="684">
        <f>IF($D379="","",IFERROR(100-100/(1+SUMPRODUCT((終値!E379:R379&gt;終値!F379:S379)*(終値!E379:R379-終値!F379:S379))/SUMPRODUCT((終値!E379:R379&lt;終値!F379:S379)*(終値!F379:S379-終値!E379:R379))),100))</f>
      </c>
      <c r="R379" s="684">
        <f>IF($D379="","",IFERROR(100-100/(1+SUMPRODUCT((((高値!E379:R379+安値!E379:R379+終値!E379:R379)/3)&gt;((高値!F379:S379+安値!F379:S379+終値!F379:S379)/3))*((高値!E379:R379+安値!E379:R379+終値!E379:R379)/3)*出来高!E379:R379)/SUMPRODUCT((((高値!E379:R379+安値!E379:R379+終値!E379:R379)/3)&lt;((高値!F379:S379+安値!F379:S379+終値!F379:S379)/3))*((高値!E379:R379+安値!E379:R379+終値!E379:R379)/3)*出来高!E379:R379)),50))</f>
      </c>
      <c r="S379" s="681">
        <f>IF($D379="","",IF(AND(終値!E379&lt;終値!O379,$Q379&gt;(IFERROR(100-100/(1+SUMPRODUCT((終値!O379:AB379&gt;終値!P379:AC379)*(終値!O379:AB379-終値!P379:AC379))/SUMPRODUCT((終値!O379:AB379&lt;終値!P379:AC379)*(終値!P379:AC379-終値!O379:AB379))),100))),"強気div▲",IF(AND(終値!E379&gt;終値!O379,$Q379&lt;(IFERROR(100-100/(1+SUMPRODUCT((終値!O379:AB379&gt;終値!P379:AC379)*(終値!O379:AB379-終値!P379:AC379))/SUMPRODUCT((終値!O379:AB379&lt;終値!P379:AC379)*(終値!P379:AC379-終値!O379:AB379))),100))),"弱気div▼","－")))</f>
      </c>
      <c r="T379" s="681">
        <f>IF($D379="","",IF($D379&gt;=$H379,"上walk▲",IF($D379&lt;=$I379,"下walk▼","－")))</f>
      </c>
      <c r="U379" s="681">
        <f>IF(終値!A379="","",BB_スイング!BT379)</f>
      </c>
      <c r="V379" s="689">
        <f>IF($D379="","",IFERROR(出来高!E379/AVERAGE(出来高!E379:I379),""))</f>
      </c>
      <c r="W379" s="690">
        <f>IF($D379="","",IF(AND($D379&gt;$G379,$O379="拡大↑",$L379&lt;=$M379*1.8),"◎スクイーズブレイク買",IF(AND($D379&gt;=$H379,$R379&gt;=BB設定!$B$10),"○順張り継続(walk)",IF(AND($S379="強気div▲",$D379&gt;$I379),"○反発(ダイバ)買",IF($U379="二番底W▲","△二番底買(確)",IF($U379="二番底W形成","△二番底形成",IF($D379&lt;$J379,"▼-2σ割れ危険",IF(AND($D379&gt;$E379,$K379&lt;0.6,$R379&gt;=50),"・押し目注目",IF($N379="スクイーズ★","☆スクイーズ監視","様子見")))))))))</f>
      </c>
      <c r="X379" s="685">
        <f>IF($D379="","",MIN(100,IF($L379&lt;=$M379*1.15,20,IF($L379&lt;=$M379*1.4,10,0))+IF($D379&gt;$G379,20,IF($D379&gt;$H379,12,IF($D379&gt;$E379,5,0)))+IF($O379="拡大↑",10,0)+IF($R379&gt;=80,15,IF($R379&gt;=60,10,IF($R379&gt;=50,5,0)))+IF(AND($Q379&gt;=50,$Q379&lt;=70),10,IF($Q379&gt;70,3,IF($Q379&gt;=40,5,0)))+IF($S379="強気div▲",15,0)+IF($T379="上walk▲",5,0)+IF($V379&gt;=2,5,IF($V379&gt;=1.5,3,0))))</f>
      </c>
      <c r="Y379" s="682">
        <f>IF($D379="","",$D379)</f>
      </c>
      <c r="Z379" s="682">
        <f>IF($D379="","",$H379)</f>
      </c>
      <c r="AA379" s="682">
        <f>IF($D379="","",IF($D379&gt;$E379,$E379,$AD379))</f>
      </c>
      <c r="AB379" s="682">
        <f>IF($D379="","",$G379)</f>
      </c>
      <c r="AC379" s="688">
        <f>IF($D379="","",IF(($Y379-$AA379)&lt;=0,"－",IFERROR(ROUND(MIN(20,($AB379-$Y379)/($Y379-$AA379)),2),"－")))</f>
      </c>
      <c r="AD379" s="682">
        <f>IF($D379="","",MIN(終値!E379:I379))</f>
      </c>
      <c r="AE379" s="684">
        <f>IF($D379="","",$X379+(10000-ROW())/100000)</f>
      </c>
    </row>
    <row r="380">
      <c r="A380" s="681">
        <f>IF(終値!A380="","",HYPERLINK("https://kabutan.jp/stock/?code="&amp;終値!A380,"📈"))</f>
      </c>
      <c r="B380" s="681">
        <f>IF(終値!A380="","",終値!A380)</f>
      </c>
      <c r="C380" s="680">
        <f>IF(終値!A380="","",終値!B380)</f>
      </c>
      <c r="D380" s="682">
        <f>IF(終値!A380="","",終値!E380)</f>
      </c>
      <c r="E380" s="682">
        <f>IF($D380="","",AVERAGE(終値!E380:X380))</f>
      </c>
      <c r="F380" s="683">
        <f>IF($D380="","",STDEVP(終値!E380:X380))</f>
      </c>
      <c r="G380" s="682">
        <f>IF($D380="","",$E380+BB設定!$B$4*$F380)</f>
      </c>
      <c r="H380" s="682">
        <f>IF($D380="","",$E380+BB設定!$B$5*$F380)</f>
      </c>
      <c r="I380" s="682">
        <f>IF($D380="","",$E380-BB設定!$B$5*$F380)</f>
      </c>
      <c r="J380" s="682">
        <f>IF($D380="","",$E380-BB設定!$B$4*$F380)</f>
      </c>
      <c r="K380" s="687">
        <f>IF($D380="","",IFERROR(($D380-$J380)/($G380-$J380),""))</f>
      </c>
      <c r="L380" s="686">
        <f>IF($D380="","",IFERROR(($G380-$J380)/$E380*100,""))</f>
      </c>
      <c r="M380" s="686">
        <f>IF($D380="","",IFERROR(MIN(BB_帯幅!B380:AP380)*100,""))</f>
      </c>
      <c r="N380" s="681">
        <f>IF($L380="","",IF($L380&lt;=$M380*BB設定!$B$7,"スクイーズ★",IF($L380&lt;=$M380*1.3,"収縮","－")))</f>
      </c>
      <c r="O380" s="681">
        <f>IF($D380="","",IF($L380&gt;(4*STDEVP(終値!F380:Y380)/AVERAGE(終値!F380:Y380)*100),"拡大↑","縮小↓"))</f>
      </c>
      <c r="P380" s="681">
        <f>IF($D380="","",IF($D380&gt;$G380,"↑+2σ突破",IF($D380&lt;$J380,"↓-2σ割れ",IF($D380&gt;$H380,"+1σ上",IF($D380&lt;$I380,"-1σ下","バンド内")))))</f>
      </c>
      <c r="Q380" s="684">
        <f>IF($D380="","",IFERROR(100-100/(1+SUMPRODUCT((終値!E380:R380&gt;終値!F380:S380)*(終値!E380:R380-終値!F380:S380))/SUMPRODUCT((終値!E380:R380&lt;終値!F380:S380)*(終値!F380:S380-終値!E380:R380))),100))</f>
      </c>
      <c r="R380" s="684">
        <f>IF($D380="","",IFERROR(100-100/(1+SUMPRODUCT((((高値!E380:R380+安値!E380:R380+終値!E380:R380)/3)&gt;((高値!F380:S380+安値!F380:S380+終値!F380:S380)/3))*((高値!E380:R380+安値!E380:R380+終値!E380:R380)/3)*出来高!E380:R380)/SUMPRODUCT((((高値!E380:R380+安値!E380:R380+終値!E380:R380)/3)&lt;((高値!F380:S380+安値!F380:S380+終値!F380:S380)/3))*((高値!E380:R380+安値!E380:R380+終値!E380:R380)/3)*出来高!E380:R380)),50))</f>
      </c>
      <c r="S380" s="681">
        <f>IF($D380="","",IF(AND(終値!E380&lt;終値!O380,$Q380&gt;(IFERROR(100-100/(1+SUMPRODUCT((終値!O380:AB380&gt;終値!P380:AC380)*(終値!O380:AB380-終値!P380:AC380))/SUMPRODUCT((終値!O380:AB380&lt;終値!P380:AC380)*(終値!P380:AC380-終値!O380:AB380))),100))),"強気div▲",IF(AND(終値!E380&gt;終値!O380,$Q380&lt;(IFERROR(100-100/(1+SUMPRODUCT((終値!O380:AB380&gt;終値!P380:AC380)*(終値!O380:AB380-終値!P380:AC380))/SUMPRODUCT((終値!O380:AB380&lt;終値!P380:AC380)*(終値!P380:AC380-終値!O380:AB380))),100))),"弱気div▼","－")))</f>
      </c>
      <c r="T380" s="681">
        <f>IF($D380="","",IF($D380&gt;=$H380,"上walk▲",IF($D380&lt;=$I380,"下walk▼","－")))</f>
      </c>
      <c r="U380" s="681">
        <f>IF(終値!A380="","",BB_スイング!BT380)</f>
      </c>
      <c r="V380" s="689">
        <f>IF($D380="","",IFERROR(出来高!E380/AVERAGE(出来高!E380:I380),""))</f>
      </c>
      <c r="W380" s="690">
        <f>IF($D380="","",IF(AND($D380&gt;$G380,$O380="拡大↑",$L380&lt;=$M380*1.8),"◎スクイーズブレイク買",IF(AND($D380&gt;=$H380,$R380&gt;=BB設定!$B$10),"○順張り継続(walk)",IF(AND($S380="強気div▲",$D380&gt;$I380),"○反発(ダイバ)買",IF($U380="二番底W▲","△二番底買(確)",IF($U380="二番底W形成","△二番底形成",IF($D380&lt;$J380,"▼-2σ割れ危険",IF(AND($D380&gt;$E380,$K380&lt;0.6,$R380&gt;=50),"・押し目注目",IF($N380="スクイーズ★","☆スクイーズ監視","様子見")))))))))</f>
      </c>
      <c r="X380" s="685">
        <f>IF($D380="","",MIN(100,IF($L380&lt;=$M380*1.15,20,IF($L380&lt;=$M380*1.4,10,0))+IF($D380&gt;$G380,20,IF($D380&gt;$H380,12,IF($D380&gt;$E380,5,0)))+IF($O380="拡大↑",10,0)+IF($R380&gt;=80,15,IF($R380&gt;=60,10,IF($R380&gt;=50,5,0)))+IF(AND($Q380&gt;=50,$Q380&lt;=70),10,IF($Q380&gt;70,3,IF($Q380&gt;=40,5,0)))+IF($S380="強気div▲",15,0)+IF($T380="上walk▲",5,0)+IF($V380&gt;=2,5,IF($V380&gt;=1.5,3,0))))</f>
      </c>
      <c r="Y380" s="682">
        <f>IF($D380="","",$D380)</f>
      </c>
      <c r="Z380" s="682">
        <f>IF($D380="","",$H380)</f>
      </c>
      <c r="AA380" s="682">
        <f>IF($D380="","",IF($D380&gt;$E380,$E380,$AD380))</f>
      </c>
      <c r="AB380" s="682">
        <f>IF($D380="","",$G380)</f>
      </c>
      <c r="AC380" s="688">
        <f>IF($D380="","",IF(($Y380-$AA380)&lt;=0,"－",IFERROR(ROUND(MIN(20,($AB380-$Y380)/($Y380-$AA380)),2),"－")))</f>
      </c>
      <c r="AD380" s="682">
        <f>IF($D380="","",MIN(終値!E380:I380))</f>
      </c>
      <c r="AE380" s="684">
        <f>IF($D380="","",$X380+(10000-ROW())/100000)</f>
      </c>
    </row>
    <row r="381">
      <c r="A381" s="681">
        <f>IF(終値!A381="","",HYPERLINK("https://kabutan.jp/stock/?code="&amp;終値!A381,"📈"))</f>
      </c>
      <c r="B381" s="681">
        <f>IF(終値!A381="","",終値!A381)</f>
      </c>
      <c r="C381" s="680">
        <f>IF(終値!A381="","",終値!B381)</f>
      </c>
      <c r="D381" s="682">
        <f>IF(終値!A381="","",終値!E381)</f>
      </c>
      <c r="E381" s="682">
        <f>IF($D381="","",AVERAGE(終値!E381:X381))</f>
      </c>
      <c r="F381" s="683">
        <f>IF($D381="","",STDEVP(終値!E381:X381))</f>
      </c>
      <c r="G381" s="682">
        <f>IF($D381="","",$E381+BB設定!$B$4*$F381)</f>
      </c>
      <c r="H381" s="682">
        <f>IF($D381="","",$E381+BB設定!$B$5*$F381)</f>
      </c>
      <c r="I381" s="682">
        <f>IF($D381="","",$E381-BB設定!$B$5*$F381)</f>
      </c>
      <c r="J381" s="682">
        <f>IF($D381="","",$E381-BB設定!$B$4*$F381)</f>
      </c>
      <c r="K381" s="687">
        <f>IF($D381="","",IFERROR(($D381-$J381)/($G381-$J381),""))</f>
      </c>
      <c r="L381" s="686">
        <f>IF($D381="","",IFERROR(($G381-$J381)/$E381*100,""))</f>
      </c>
      <c r="M381" s="686">
        <f>IF($D381="","",IFERROR(MIN(BB_帯幅!B381:AP381)*100,""))</f>
      </c>
      <c r="N381" s="681">
        <f>IF($L381="","",IF($L381&lt;=$M381*BB設定!$B$7,"スクイーズ★",IF($L381&lt;=$M381*1.3,"収縮","－")))</f>
      </c>
      <c r="O381" s="681">
        <f>IF($D381="","",IF($L381&gt;(4*STDEVP(終値!F381:Y381)/AVERAGE(終値!F381:Y381)*100),"拡大↑","縮小↓"))</f>
      </c>
      <c r="P381" s="681">
        <f>IF($D381="","",IF($D381&gt;$G381,"↑+2σ突破",IF($D381&lt;$J381,"↓-2σ割れ",IF($D381&gt;$H381,"+1σ上",IF($D381&lt;$I381,"-1σ下","バンド内")))))</f>
      </c>
      <c r="Q381" s="684">
        <f>IF($D381="","",IFERROR(100-100/(1+SUMPRODUCT((終値!E381:R381&gt;終値!F381:S381)*(終値!E381:R381-終値!F381:S381))/SUMPRODUCT((終値!E381:R381&lt;終値!F381:S381)*(終値!F381:S381-終値!E381:R381))),100))</f>
      </c>
      <c r="R381" s="684">
        <f>IF($D381="","",IFERROR(100-100/(1+SUMPRODUCT((((高値!E381:R381+安値!E381:R381+終値!E381:R381)/3)&gt;((高値!F381:S381+安値!F381:S381+終値!F381:S381)/3))*((高値!E381:R381+安値!E381:R381+終値!E381:R381)/3)*出来高!E381:R381)/SUMPRODUCT((((高値!E381:R381+安値!E381:R381+終値!E381:R381)/3)&lt;((高値!F381:S381+安値!F381:S381+終値!F381:S381)/3))*((高値!E381:R381+安値!E381:R381+終値!E381:R381)/3)*出来高!E381:R381)),50))</f>
      </c>
      <c r="S381" s="681">
        <f>IF($D381="","",IF(AND(終値!E381&lt;終値!O381,$Q381&gt;(IFERROR(100-100/(1+SUMPRODUCT((終値!O381:AB381&gt;終値!P381:AC381)*(終値!O381:AB381-終値!P381:AC381))/SUMPRODUCT((終値!O381:AB381&lt;終値!P381:AC381)*(終値!P381:AC381-終値!O381:AB381))),100))),"強気div▲",IF(AND(終値!E381&gt;終値!O381,$Q381&lt;(IFERROR(100-100/(1+SUMPRODUCT((終値!O381:AB381&gt;終値!P381:AC381)*(終値!O381:AB381-終値!P381:AC381))/SUMPRODUCT((終値!O381:AB381&lt;終値!P381:AC381)*(終値!P381:AC381-終値!O381:AB381))),100))),"弱気div▼","－")))</f>
      </c>
      <c r="T381" s="681">
        <f>IF($D381="","",IF($D381&gt;=$H381,"上walk▲",IF($D381&lt;=$I381,"下walk▼","－")))</f>
      </c>
      <c r="U381" s="681">
        <f>IF(終値!A381="","",BB_スイング!BT381)</f>
      </c>
      <c r="V381" s="689">
        <f>IF($D381="","",IFERROR(出来高!E381/AVERAGE(出来高!E381:I381),""))</f>
      </c>
      <c r="W381" s="690">
        <f>IF($D381="","",IF(AND($D381&gt;$G381,$O381="拡大↑",$L381&lt;=$M381*1.8),"◎スクイーズブレイク買",IF(AND($D381&gt;=$H381,$R381&gt;=BB設定!$B$10),"○順張り継続(walk)",IF(AND($S381="強気div▲",$D381&gt;$I381),"○反発(ダイバ)買",IF($U381="二番底W▲","△二番底買(確)",IF($U381="二番底W形成","△二番底形成",IF($D381&lt;$J381,"▼-2σ割れ危険",IF(AND($D381&gt;$E381,$K381&lt;0.6,$R381&gt;=50),"・押し目注目",IF($N381="スクイーズ★","☆スクイーズ監視","様子見")))))))))</f>
      </c>
      <c r="X381" s="685">
        <f>IF($D381="","",MIN(100,IF($L381&lt;=$M381*1.15,20,IF($L381&lt;=$M381*1.4,10,0))+IF($D381&gt;$G381,20,IF($D381&gt;$H381,12,IF($D381&gt;$E381,5,0)))+IF($O381="拡大↑",10,0)+IF($R381&gt;=80,15,IF($R381&gt;=60,10,IF($R381&gt;=50,5,0)))+IF(AND($Q381&gt;=50,$Q381&lt;=70),10,IF($Q381&gt;70,3,IF($Q381&gt;=40,5,0)))+IF($S381="強気div▲",15,0)+IF($T381="上walk▲",5,0)+IF($V381&gt;=2,5,IF($V381&gt;=1.5,3,0))))</f>
      </c>
      <c r="Y381" s="682">
        <f>IF($D381="","",$D381)</f>
      </c>
      <c r="Z381" s="682">
        <f>IF($D381="","",$H381)</f>
      </c>
      <c r="AA381" s="682">
        <f>IF($D381="","",IF($D381&gt;$E381,$E381,$AD381))</f>
      </c>
      <c r="AB381" s="682">
        <f>IF($D381="","",$G381)</f>
      </c>
      <c r="AC381" s="688">
        <f>IF($D381="","",IF(($Y381-$AA381)&lt;=0,"－",IFERROR(ROUND(MIN(20,($AB381-$Y381)/($Y381-$AA381)),2),"－")))</f>
      </c>
      <c r="AD381" s="682">
        <f>IF($D381="","",MIN(終値!E381:I381))</f>
      </c>
      <c r="AE381" s="684">
        <f>IF($D381="","",$X381+(10000-ROW())/100000)</f>
      </c>
    </row>
    <row r="382">
      <c r="A382" s="681">
        <f>IF(終値!A382="","",HYPERLINK("https://kabutan.jp/stock/?code="&amp;終値!A382,"📈"))</f>
      </c>
      <c r="B382" s="681">
        <f>IF(終値!A382="","",終値!A382)</f>
      </c>
      <c r="C382" s="680">
        <f>IF(終値!A382="","",終値!B382)</f>
      </c>
      <c r="D382" s="682">
        <f>IF(終値!A382="","",終値!E382)</f>
      </c>
      <c r="E382" s="682">
        <f>IF($D382="","",AVERAGE(終値!E382:X382))</f>
      </c>
      <c r="F382" s="683">
        <f>IF($D382="","",STDEVP(終値!E382:X382))</f>
      </c>
      <c r="G382" s="682">
        <f>IF($D382="","",$E382+BB設定!$B$4*$F382)</f>
      </c>
      <c r="H382" s="682">
        <f>IF($D382="","",$E382+BB設定!$B$5*$F382)</f>
      </c>
      <c r="I382" s="682">
        <f>IF($D382="","",$E382-BB設定!$B$5*$F382)</f>
      </c>
      <c r="J382" s="682">
        <f>IF($D382="","",$E382-BB設定!$B$4*$F382)</f>
      </c>
      <c r="K382" s="687">
        <f>IF($D382="","",IFERROR(($D382-$J382)/($G382-$J382),""))</f>
      </c>
      <c r="L382" s="686">
        <f>IF($D382="","",IFERROR(($G382-$J382)/$E382*100,""))</f>
      </c>
      <c r="M382" s="686">
        <f>IF($D382="","",IFERROR(MIN(BB_帯幅!B382:AP382)*100,""))</f>
      </c>
      <c r="N382" s="681">
        <f>IF($L382="","",IF($L382&lt;=$M382*BB設定!$B$7,"スクイーズ★",IF($L382&lt;=$M382*1.3,"収縮","－")))</f>
      </c>
      <c r="O382" s="681">
        <f>IF($D382="","",IF($L382&gt;(4*STDEVP(終値!F382:Y382)/AVERAGE(終値!F382:Y382)*100),"拡大↑","縮小↓"))</f>
      </c>
      <c r="P382" s="681">
        <f>IF($D382="","",IF($D382&gt;$G382,"↑+2σ突破",IF($D382&lt;$J382,"↓-2σ割れ",IF($D382&gt;$H382,"+1σ上",IF($D382&lt;$I382,"-1σ下","バンド内")))))</f>
      </c>
      <c r="Q382" s="684">
        <f>IF($D382="","",IFERROR(100-100/(1+SUMPRODUCT((終値!E382:R382&gt;終値!F382:S382)*(終値!E382:R382-終値!F382:S382))/SUMPRODUCT((終値!E382:R382&lt;終値!F382:S382)*(終値!F382:S382-終値!E382:R382))),100))</f>
      </c>
      <c r="R382" s="684">
        <f>IF($D382="","",IFERROR(100-100/(1+SUMPRODUCT((((高値!E382:R382+安値!E382:R382+終値!E382:R382)/3)&gt;((高値!F382:S382+安値!F382:S382+終値!F382:S382)/3))*((高値!E382:R382+安値!E382:R382+終値!E382:R382)/3)*出来高!E382:R382)/SUMPRODUCT((((高値!E382:R382+安値!E382:R382+終値!E382:R382)/3)&lt;((高値!F382:S382+安値!F382:S382+終値!F382:S382)/3))*((高値!E382:R382+安値!E382:R382+終値!E382:R382)/3)*出来高!E382:R382)),50))</f>
      </c>
      <c r="S382" s="681">
        <f>IF($D382="","",IF(AND(終値!E382&lt;終値!O382,$Q382&gt;(IFERROR(100-100/(1+SUMPRODUCT((終値!O382:AB382&gt;終値!P382:AC382)*(終値!O382:AB382-終値!P382:AC382))/SUMPRODUCT((終値!O382:AB382&lt;終値!P382:AC382)*(終値!P382:AC382-終値!O382:AB382))),100))),"強気div▲",IF(AND(終値!E382&gt;終値!O382,$Q382&lt;(IFERROR(100-100/(1+SUMPRODUCT((終値!O382:AB382&gt;終値!P382:AC382)*(終値!O382:AB382-終値!P382:AC382))/SUMPRODUCT((終値!O382:AB382&lt;終値!P382:AC382)*(終値!P382:AC382-終値!O382:AB382))),100))),"弱気div▼","－")))</f>
      </c>
      <c r="T382" s="681">
        <f>IF($D382="","",IF($D382&gt;=$H382,"上walk▲",IF($D382&lt;=$I382,"下walk▼","－")))</f>
      </c>
      <c r="U382" s="681">
        <f>IF(終値!A382="","",BB_スイング!BT382)</f>
      </c>
      <c r="V382" s="689">
        <f>IF($D382="","",IFERROR(出来高!E382/AVERAGE(出来高!E382:I382),""))</f>
      </c>
      <c r="W382" s="690">
        <f>IF($D382="","",IF(AND($D382&gt;$G382,$O382="拡大↑",$L382&lt;=$M382*1.8),"◎スクイーズブレイク買",IF(AND($D382&gt;=$H382,$R382&gt;=BB設定!$B$10),"○順張り継続(walk)",IF(AND($S382="強気div▲",$D382&gt;$I382),"○反発(ダイバ)買",IF($U382="二番底W▲","△二番底買(確)",IF($U382="二番底W形成","△二番底形成",IF($D382&lt;$J382,"▼-2σ割れ危険",IF(AND($D382&gt;$E382,$K382&lt;0.6,$R382&gt;=50),"・押し目注目",IF($N382="スクイーズ★","☆スクイーズ監視","様子見")))))))))</f>
      </c>
      <c r="X382" s="685">
        <f>IF($D382="","",MIN(100,IF($L382&lt;=$M382*1.15,20,IF($L382&lt;=$M382*1.4,10,0))+IF($D382&gt;$G382,20,IF($D382&gt;$H382,12,IF($D382&gt;$E382,5,0)))+IF($O382="拡大↑",10,0)+IF($R382&gt;=80,15,IF($R382&gt;=60,10,IF($R382&gt;=50,5,0)))+IF(AND($Q382&gt;=50,$Q382&lt;=70),10,IF($Q382&gt;70,3,IF($Q382&gt;=40,5,0)))+IF($S382="強気div▲",15,0)+IF($T382="上walk▲",5,0)+IF($V382&gt;=2,5,IF($V382&gt;=1.5,3,0))))</f>
      </c>
      <c r="Y382" s="682">
        <f>IF($D382="","",$D382)</f>
      </c>
      <c r="Z382" s="682">
        <f>IF($D382="","",$H382)</f>
      </c>
      <c r="AA382" s="682">
        <f>IF($D382="","",IF($D382&gt;$E382,$E382,$AD382))</f>
      </c>
      <c r="AB382" s="682">
        <f>IF($D382="","",$G382)</f>
      </c>
      <c r="AC382" s="688">
        <f>IF($D382="","",IF(($Y382-$AA382)&lt;=0,"－",IFERROR(ROUND(MIN(20,($AB382-$Y382)/($Y382-$AA382)),2),"－")))</f>
      </c>
      <c r="AD382" s="682">
        <f>IF($D382="","",MIN(終値!E382:I382))</f>
      </c>
      <c r="AE382" s="684">
        <f>IF($D382="","",$X382+(10000-ROW())/100000)</f>
      </c>
    </row>
    <row r="383">
      <c r="A383" s="681">
        <f>IF(終値!A383="","",HYPERLINK("https://kabutan.jp/stock/?code="&amp;終値!A383,"📈"))</f>
      </c>
      <c r="B383" s="681">
        <f>IF(終値!A383="","",終値!A383)</f>
      </c>
      <c r="C383" s="680">
        <f>IF(終値!A383="","",終値!B383)</f>
      </c>
      <c r="D383" s="682">
        <f>IF(終値!A383="","",終値!E383)</f>
      </c>
      <c r="E383" s="682">
        <f>IF($D383="","",AVERAGE(終値!E383:X383))</f>
      </c>
      <c r="F383" s="683">
        <f>IF($D383="","",STDEVP(終値!E383:X383))</f>
      </c>
      <c r="G383" s="682">
        <f>IF($D383="","",$E383+BB設定!$B$4*$F383)</f>
      </c>
      <c r="H383" s="682">
        <f>IF($D383="","",$E383+BB設定!$B$5*$F383)</f>
      </c>
      <c r="I383" s="682">
        <f>IF($D383="","",$E383-BB設定!$B$5*$F383)</f>
      </c>
      <c r="J383" s="682">
        <f>IF($D383="","",$E383-BB設定!$B$4*$F383)</f>
      </c>
      <c r="K383" s="687">
        <f>IF($D383="","",IFERROR(($D383-$J383)/($G383-$J383),""))</f>
      </c>
      <c r="L383" s="686">
        <f>IF($D383="","",IFERROR(($G383-$J383)/$E383*100,""))</f>
      </c>
      <c r="M383" s="686">
        <f>IF($D383="","",IFERROR(MIN(BB_帯幅!B383:AP383)*100,""))</f>
      </c>
      <c r="N383" s="681">
        <f>IF($L383="","",IF($L383&lt;=$M383*BB設定!$B$7,"スクイーズ★",IF($L383&lt;=$M383*1.3,"収縮","－")))</f>
      </c>
      <c r="O383" s="681">
        <f>IF($D383="","",IF($L383&gt;(4*STDEVP(終値!F383:Y383)/AVERAGE(終値!F383:Y383)*100),"拡大↑","縮小↓"))</f>
      </c>
      <c r="P383" s="681">
        <f>IF($D383="","",IF($D383&gt;$G383,"↑+2σ突破",IF($D383&lt;$J383,"↓-2σ割れ",IF($D383&gt;$H383,"+1σ上",IF($D383&lt;$I383,"-1σ下","バンド内")))))</f>
      </c>
      <c r="Q383" s="684">
        <f>IF($D383="","",IFERROR(100-100/(1+SUMPRODUCT((終値!E383:R383&gt;終値!F383:S383)*(終値!E383:R383-終値!F383:S383))/SUMPRODUCT((終値!E383:R383&lt;終値!F383:S383)*(終値!F383:S383-終値!E383:R383))),100))</f>
      </c>
      <c r="R383" s="684">
        <f>IF($D383="","",IFERROR(100-100/(1+SUMPRODUCT((((高値!E383:R383+安値!E383:R383+終値!E383:R383)/3)&gt;((高値!F383:S383+安値!F383:S383+終値!F383:S383)/3))*((高値!E383:R383+安値!E383:R383+終値!E383:R383)/3)*出来高!E383:R383)/SUMPRODUCT((((高値!E383:R383+安値!E383:R383+終値!E383:R383)/3)&lt;((高値!F383:S383+安値!F383:S383+終値!F383:S383)/3))*((高値!E383:R383+安値!E383:R383+終値!E383:R383)/3)*出来高!E383:R383)),50))</f>
      </c>
      <c r="S383" s="681">
        <f>IF($D383="","",IF(AND(終値!E383&lt;終値!O383,$Q383&gt;(IFERROR(100-100/(1+SUMPRODUCT((終値!O383:AB383&gt;終値!P383:AC383)*(終値!O383:AB383-終値!P383:AC383))/SUMPRODUCT((終値!O383:AB383&lt;終値!P383:AC383)*(終値!P383:AC383-終値!O383:AB383))),100))),"強気div▲",IF(AND(終値!E383&gt;終値!O383,$Q383&lt;(IFERROR(100-100/(1+SUMPRODUCT((終値!O383:AB383&gt;終値!P383:AC383)*(終値!O383:AB383-終値!P383:AC383))/SUMPRODUCT((終値!O383:AB383&lt;終値!P383:AC383)*(終値!P383:AC383-終値!O383:AB383))),100))),"弱気div▼","－")))</f>
      </c>
      <c r="T383" s="681">
        <f>IF($D383="","",IF($D383&gt;=$H383,"上walk▲",IF($D383&lt;=$I383,"下walk▼","－")))</f>
      </c>
      <c r="U383" s="681">
        <f>IF(終値!A383="","",BB_スイング!BT383)</f>
      </c>
      <c r="V383" s="689">
        <f>IF($D383="","",IFERROR(出来高!E383/AVERAGE(出来高!E383:I383),""))</f>
      </c>
      <c r="W383" s="690">
        <f>IF($D383="","",IF(AND($D383&gt;$G383,$O383="拡大↑",$L383&lt;=$M383*1.8),"◎スクイーズブレイク買",IF(AND($D383&gt;=$H383,$R383&gt;=BB設定!$B$10),"○順張り継続(walk)",IF(AND($S383="強気div▲",$D383&gt;$I383),"○反発(ダイバ)買",IF($U383="二番底W▲","△二番底買(確)",IF($U383="二番底W形成","△二番底形成",IF($D383&lt;$J383,"▼-2σ割れ危険",IF(AND($D383&gt;$E383,$K383&lt;0.6,$R383&gt;=50),"・押し目注目",IF($N383="スクイーズ★","☆スクイーズ監視","様子見")))))))))</f>
      </c>
      <c r="X383" s="685">
        <f>IF($D383="","",MIN(100,IF($L383&lt;=$M383*1.15,20,IF($L383&lt;=$M383*1.4,10,0))+IF($D383&gt;$G383,20,IF($D383&gt;$H383,12,IF($D383&gt;$E383,5,0)))+IF($O383="拡大↑",10,0)+IF($R383&gt;=80,15,IF($R383&gt;=60,10,IF($R383&gt;=50,5,0)))+IF(AND($Q383&gt;=50,$Q383&lt;=70),10,IF($Q383&gt;70,3,IF($Q383&gt;=40,5,0)))+IF($S383="強気div▲",15,0)+IF($T383="上walk▲",5,0)+IF($V383&gt;=2,5,IF($V383&gt;=1.5,3,0))))</f>
      </c>
      <c r="Y383" s="682">
        <f>IF($D383="","",$D383)</f>
      </c>
      <c r="Z383" s="682">
        <f>IF($D383="","",$H383)</f>
      </c>
      <c r="AA383" s="682">
        <f>IF($D383="","",IF($D383&gt;$E383,$E383,$AD383))</f>
      </c>
      <c r="AB383" s="682">
        <f>IF($D383="","",$G383)</f>
      </c>
      <c r="AC383" s="688">
        <f>IF($D383="","",IF(($Y383-$AA383)&lt;=0,"－",IFERROR(ROUND(MIN(20,($AB383-$Y383)/($Y383-$AA383)),2),"－")))</f>
      </c>
      <c r="AD383" s="682">
        <f>IF($D383="","",MIN(終値!E383:I383))</f>
      </c>
      <c r="AE383" s="684">
        <f>IF($D383="","",$X383+(10000-ROW())/100000)</f>
      </c>
    </row>
    <row r="384">
      <c r="A384" s="681">
        <f>IF(終値!A384="","",HYPERLINK("https://kabutan.jp/stock/?code="&amp;終値!A384,"📈"))</f>
      </c>
      <c r="B384" s="681">
        <f>IF(終値!A384="","",終値!A384)</f>
      </c>
      <c r="C384" s="680">
        <f>IF(終値!A384="","",終値!B384)</f>
      </c>
      <c r="D384" s="682">
        <f>IF(終値!A384="","",終値!E384)</f>
      </c>
      <c r="E384" s="682">
        <f>IF($D384="","",AVERAGE(終値!E384:X384))</f>
      </c>
      <c r="F384" s="683">
        <f>IF($D384="","",STDEVP(終値!E384:X384))</f>
      </c>
      <c r="G384" s="682">
        <f>IF($D384="","",$E384+BB設定!$B$4*$F384)</f>
      </c>
      <c r="H384" s="682">
        <f>IF($D384="","",$E384+BB設定!$B$5*$F384)</f>
      </c>
      <c r="I384" s="682">
        <f>IF($D384="","",$E384-BB設定!$B$5*$F384)</f>
      </c>
      <c r="J384" s="682">
        <f>IF($D384="","",$E384-BB設定!$B$4*$F384)</f>
      </c>
      <c r="K384" s="687">
        <f>IF($D384="","",IFERROR(($D384-$J384)/($G384-$J384),""))</f>
      </c>
      <c r="L384" s="686">
        <f>IF($D384="","",IFERROR(($G384-$J384)/$E384*100,""))</f>
      </c>
      <c r="M384" s="686">
        <f>IF($D384="","",IFERROR(MIN(BB_帯幅!B384:AP384)*100,""))</f>
      </c>
      <c r="N384" s="681">
        <f>IF($L384="","",IF($L384&lt;=$M384*BB設定!$B$7,"スクイーズ★",IF($L384&lt;=$M384*1.3,"収縮","－")))</f>
      </c>
      <c r="O384" s="681">
        <f>IF($D384="","",IF($L384&gt;(4*STDEVP(終値!F384:Y384)/AVERAGE(終値!F384:Y384)*100),"拡大↑","縮小↓"))</f>
      </c>
      <c r="P384" s="681">
        <f>IF($D384="","",IF($D384&gt;$G384,"↑+2σ突破",IF($D384&lt;$J384,"↓-2σ割れ",IF($D384&gt;$H384,"+1σ上",IF($D384&lt;$I384,"-1σ下","バンド内")))))</f>
      </c>
      <c r="Q384" s="684">
        <f>IF($D384="","",IFERROR(100-100/(1+SUMPRODUCT((終値!E384:R384&gt;終値!F384:S384)*(終値!E384:R384-終値!F384:S384))/SUMPRODUCT((終値!E384:R384&lt;終値!F384:S384)*(終値!F384:S384-終値!E384:R384))),100))</f>
      </c>
      <c r="R384" s="684">
        <f>IF($D384="","",IFERROR(100-100/(1+SUMPRODUCT((((高値!E384:R384+安値!E384:R384+終値!E384:R384)/3)&gt;((高値!F384:S384+安値!F384:S384+終値!F384:S384)/3))*((高値!E384:R384+安値!E384:R384+終値!E384:R384)/3)*出来高!E384:R384)/SUMPRODUCT((((高値!E384:R384+安値!E384:R384+終値!E384:R384)/3)&lt;((高値!F384:S384+安値!F384:S384+終値!F384:S384)/3))*((高値!E384:R384+安値!E384:R384+終値!E384:R384)/3)*出来高!E384:R384)),50))</f>
      </c>
      <c r="S384" s="681">
        <f>IF($D384="","",IF(AND(終値!E384&lt;終値!O384,$Q384&gt;(IFERROR(100-100/(1+SUMPRODUCT((終値!O384:AB384&gt;終値!P384:AC384)*(終値!O384:AB384-終値!P384:AC384))/SUMPRODUCT((終値!O384:AB384&lt;終値!P384:AC384)*(終値!P384:AC384-終値!O384:AB384))),100))),"強気div▲",IF(AND(終値!E384&gt;終値!O384,$Q384&lt;(IFERROR(100-100/(1+SUMPRODUCT((終値!O384:AB384&gt;終値!P384:AC384)*(終値!O384:AB384-終値!P384:AC384))/SUMPRODUCT((終値!O384:AB384&lt;終値!P384:AC384)*(終値!P384:AC384-終値!O384:AB384))),100))),"弱気div▼","－")))</f>
      </c>
      <c r="T384" s="681">
        <f>IF($D384="","",IF($D384&gt;=$H384,"上walk▲",IF($D384&lt;=$I384,"下walk▼","－")))</f>
      </c>
      <c r="U384" s="681">
        <f>IF(終値!A384="","",BB_スイング!BT384)</f>
      </c>
      <c r="V384" s="689">
        <f>IF($D384="","",IFERROR(出来高!E384/AVERAGE(出来高!E384:I384),""))</f>
      </c>
      <c r="W384" s="690">
        <f>IF($D384="","",IF(AND($D384&gt;$G384,$O384="拡大↑",$L384&lt;=$M384*1.8),"◎スクイーズブレイク買",IF(AND($D384&gt;=$H384,$R384&gt;=BB設定!$B$10),"○順張り継続(walk)",IF(AND($S384="強気div▲",$D384&gt;$I384),"○反発(ダイバ)買",IF($U384="二番底W▲","△二番底買(確)",IF($U384="二番底W形成","△二番底形成",IF($D384&lt;$J384,"▼-2σ割れ危険",IF(AND($D384&gt;$E384,$K384&lt;0.6,$R384&gt;=50),"・押し目注目",IF($N384="スクイーズ★","☆スクイーズ監視","様子見")))))))))</f>
      </c>
      <c r="X384" s="685">
        <f>IF($D384="","",MIN(100,IF($L384&lt;=$M384*1.15,20,IF($L384&lt;=$M384*1.4,10,0))+IF($D384&gt;$G384,20,IF($D384&gt;$H384,12,IF($D384&gt;$E384,5,0)))+IF($O384="拡大↑",10,0)+IF($R384&gt;=80,15,IF($R384&gt;=60,10,IF($R384&gt;=50,5,0)))+IF(AND($Q384&gt;=50,$Q384&lt;=70),10,IF($Q384&gt;70,3,IF($Q384&gt;=40,5,0)))+IF($S384="強気div▲",15,0)+IF($T384="上walk▲",5,0)+IF($V384&gt;=2,5,IF($V384&gt;=1.5,3,0))))</f>
      </c>
      <c r="Y384" s="682">
        <f>IF($D384="","",$D384)</f>
      </c>
      <c r="Z384" s="682">
        <f>IF($D384="","",$H384)</f>
      </c>
      <c r="AA384" s="682">
        <f>IF($D384="","",IF($D384&gt;$E384,$E384,$AD384))</f>
      </c>
      <c r="AB384" s="682">
        <f>IF($D384="","",$G384)</f>
      </c>
      <c r="AC384" s="688">
        <f>IF($D384="","",IF(($Y384-$AA384)&lt;=0,"－",IFERROR(ROUND(MIN(20,($AB384-$Y384)/($Y384-$AA384)),2),"－")))</f>
      </c>
      <c r="AD384" s="682">
        <f>IF($D384="","",MIN(終値!E384:I384))</f>
      </c>
      <c r="AE384" s="684">
        <f>IF($D384="","",$X384+(10000-ROW())/100000)</f>
      </c>
    </row>
    <row r="385">
      <c r="A385" s="681">
        <f>IF(終値!A385="","",HYPERLINK("https://kabutan.jp/stock/?code="&amp;終値!A385,"📈"))</f>
      </c>
      <c r="B385" s="681">
        <f>IF(終値!A385="","",終値!A385)</f>
      </c>
      <c r="C385" s="680">
        <f>IF(終値!A385="","",終値!B385)</f>
      </c>
      <c r="D385" s="682">
        <f>IF(終値!A385="","",終値!E385)</f>
      </c>
      <c r="E385" s="682">
        <f>IF($D385="","",AVERAGE(終値!E385:X385))</f>
      </c>
      <c r="F385" s="683">
        <f>IF($D385="","",STDEVP(終値!E385:X385))</f>
      </c>
      <c r="G385" s="682">
        <f>IF($D385="","",$E385+BB設定!$B$4*$F385)</f>
      </c>
      <c r="H385" s="682">
        <f>IF($D385="","",$E385+BB設定!$B$5*$F385)</f>
      </c>
      <c r="I385" s="682">
        <f>IF($D385="","",$E385-BB設定!$B$5*$F385)</f>
      </c>
      <c r="J385" s="682">
        <f>IF($D385="","",$E385-BB設定!$B$4*$F385)</f>
      </c>
      <c r="K385" s="687">
        <f>IF($D385="","",IFERROR(($D385-$J385)/($G385-$J385),""))</f>
      </c>
      <c r="L385" s="686">
        <f>IF($D385="","",IFERROR(($G385-$J385)/$E385*100,""))</f>
      </c>
      <c r="M385" s="686">
        <f>IF($D385="","",IFERROR(MIN(BB_帯幅!B385:AP385)*100,""))</f>
      </c>
      <c r="N385" s="681">
        <f>IF($L385="","",IF($L385&lt;=$M385*BB設定!$B$7,"スクイーズ★",IF($L385&lt;=$M385*1.3,"収縮","－")))</f>
      </c>
      <c r="O385" s="681">
        <f>IF($D385="","",IF($L385&gt;(4*STDEVP(終値!F385:Y385)/AVERAGE(終値!F385:Y385)*100),"拡大↑","縮小↓"))</f>
      </c>
      <c r="P385" s="681">
        <f>IF($D385="","",IF($D385&gt;$G385,"↑+2σ突破",IF($D385&lt;$J385,"↓-2σ割れ",IF($D385&gt;$H385,"+1σ上",IF($D385&lt;$I385,"-1σ下","バンド内")))))</f>
      </c>
      <c r="Q385" s="684">
        <f>IF($D385="","",IFERROR(100-100/(1+SUMPRODUCT((終値!E385:R385&gt;終値!F385:S385)*(終値!E385:R385-終値!F385:S385))/SUMPRODUCT((終値!E385:R385&lt;終値!F385:S385)*(終値!F385:S385-終値!E385:R385))),100))</f>
      </c>
      <c r="R385" s="684">
        <f>IF($D385="","",IFERROR(100-100/(1+SUMPRODUCT((((高値!E385:R385+安値!E385:R385+終値!E385:R385)/3)&gt;((高値!F385:S385+安値!F385:S385+終値!F385:S385)/3))*((高値!E385:R385+安値!E385:R385+終値!E385:R385)/3)*出来高!E385:R385)/SUMPRODUCT((((高値!E385:R385+安値!E385:R385+終値!E385:R385)/3)&lt;((高値!F385:S385+安値!F385:S385+終値!F385:S385)/3))*((高値!E385:R385+安値!E385:R385+終値!E385:R385)/3)*出来高!E385:R385)),50))</f>
      </c>
      <c r="S385" s="681">
        <f>IF($D385="","",IF(AND(終値!E385&lt;終値!O385,$Q385&gt;(IFERROR(100-100/(1+SUMPRODUCT((終値!O385:AB385&gt;終値!P385:AC385)*(終値!O385:AB385-終値!P385:AC385))/SUMPRODUCT((終値!O385:AB385&lt;終値!P385:AC385)*(終値!P385:AC385-終値!O385:AB385))),100))),"強気div▲",IF(AND(終値!E385&gt;終値!O385,$Q385&lt;(IFERROR(100-100/(1+SUMPRODUCT((終値!O385:AB385&gt;終値!P385:AC385)*(終値!O385:AB385-終値!P385:AC385))/SUMPRODUCT((終値!O385:AB385&lt;終値!P385:AC385)*(終値!P385:AC385-終値!O385:AB385))),100))),"弱気div▼","－")))</f>
      </c>
      <c r="T385" s="681">
        <f>IF($D385="","",IF($D385&gt;=$H385,"上walk▲",IF($D385&lt;=$I385,"下walk▼","－")))</f>
      </c>
      <c r="U385" s="681">
        <f>IF(終値!A385="","",BB_スイング!BT385)</f>
      </c>
      <c r="V385" s="689">
        <f>IF($D385="","",IFERROR(出来高!E385/AVERAGE(出来高!E385:I385),""))</f>
      </c>
      <c r="W385" s="690">
        <f>IF($D385="","",IF(AND($D385&gt;$G385,$O385="拡大↑",$L385&lt;=$M385*1.8),"◎スクイーズブレイク買",IF(AND($D385&gt;=$H385,$R385&gt;=BB設定!$B$10),"○順張り継続(walk)",IF(AND($S385="強気div▲",$D385&gt;$I385),"○反発(ダイバ)買",IF($U385="二番底W▲","△二番底買(確)",IF($U385="二番底W形成","△二番底形成",IF($D385&lt;$J385,"▼-2σ割れ危険",IF(AND($D385&gt;$E385,$K385&lt;0.6,$R385&gt;=50),"・押し目注目",IF($N385="スクイーズ★","☆スクイーズ監視","様子見")))))))))</f>
      </c>
      <c r="X385" s="685">
        <f>IF($D385="","",MIN(100,IF($L385&lt;=$M385*1.15,20,IF($L385&lt;=$M385*1.4,10,0))+IF($D385&gt;$G385,20,IF($D385&gt;$H385,12,IF($D385&gt;$E385,5,0)))+IF($O385="拡大↑",10,0)+IF($R385&gt;=80,15,IF($R385&gt;=60,10,IF($R385&gt;=50,5,0)))+IF(AND($Q385&gt;=50,$Q385&lt;=70),10,IF($Q385&gt;70,3,IF($Q385&gt;=40,5,0)))+IF($S385="強気div▲",15,0)+IF($T385="上walk▲",5,0)+IF($V385&gt;=2,5,IF($V385&gt;=1.5,3,0))))</f>
      </c>
      <c r="Y385" s="682">
        <f>IF($D385="","",$D385)</f>
      </c>
      <c r="Z385" s="682">
        <f>IF($D385="","",$H385)</f>
      </c>
      <c r="AA385" s="682">
        <f>IF($D385="","",IF($D385&gt;$E385,$E385,$AD385))</f>
      </c>
      <c r="AB385" s="682">
        <f>IF($D385="","",$G385)</f>
      </c>
      <c r="AC385" s="688">
        <f>IF($D385="","",IF(($Y385-$AA385)&lt;=0,"－",IFERROR(ROUND(MIN(20,($AB385-$Y385)/($Y385-$AA385)),2),"－")))</f>
      </c>
      <c r="AD385" s="682">
        <f>IF($D385="","",MIN(終値!E385:I385))</f>
      </c>
      <c r="AE385" s="684">
        <f>IF($D385="","",$X385+(10000-ROW())/100000)</f>
      </c>
    </row>
    <row r="386">
      <c r="A386" s="681">
        <f>IF(終値!A386="","",HYPERLINK("https://kabutan.jp/stock/?code="&amp;終値!A386,"📈"))</f>
      </c>
      <c r="B386" s="681">
        <f>IF(終値!A386="","",終値!A386)</f>
      </c>
      <c r="C386" s="680">
        <f>IF(終値!A386="","",終値!B386)</f>
      </c>
      <c r="D386" s="682">
        <f>IF(終値!A386="","",終値!E386)</f>
      </c>
      <c r="E386" s="682">
        <f>IF($D386="","",AVERAGE(終値!E386:X386))</f>
      </c>
      <c r="F386" s="683">
        <f>IF($D386="","",STDEVP(終値!E386:X386))</f>
      </c>
      <c r="G386" s="682">
        <f>IF($D386="","",$E386+BB設定!$B$4*$F386)</f>
      </c>
      <c r="H386" s="682">
        <f>IF($D386="","",$E386+BB設定!$B$5*$F386)</f>
      </c>
      <c r="I386" s="682">
        <f>IF($D386="","",$E386-BB設定!$B$5*$F386)</f>
      </c>
      <c r="J386" s="682">
        <f>IF($D386="","",$E386-BB設定!$B$4*$F386)</f>
      </c>
      <c r="K386" s="687">
        <f>IF($D386="","",IFERROR(($D386-$J386)/($G386-$J386),""))</f>
      </c>
      <c r="L386" s="686">
        <f>IF($D386="","",IFERROR(($G386-$J386)/$E386*100,""))</f>
      </c>
      <c r="M386" s="686">
        <f>IF($D386="","",IFERROR(MIN(BB_帯幅!B386:AP386)*100,""))</f>
      </c>
      <c r="N386" s="681">
        <f>IF($L386="","",IF($L386&lt;=$M386*BB設定!$B$7,"スクイーズ★",IF($L386&lt;=$M386*1.3,"収縮","－")))</f>
      </c>
      <c r="O386" s="681">
        <f>IF($D386="","",IF($L386&gt;(4*STDEVP(終値!F386:Y386)/AVERAGE(終値!F386:Y386)*100),"拡大↑","縮小↓"))</f>
      </c>
      <c r="P386" s="681">
        <f>IF($D386="","",IF($D386&gt;$G386,"↑+2σ突破",IF($D386&lt;$J386,"↓-2σ割れ",IF($D386&gt;$H386,"+1σ上",IF($D386&lt;$I386,"-1σ下","バンド内")))))</f>
      </c>
      <c r="Q386" s="684">
        <f>IF($D386="","",IFERROR(100-100/(1+SUMPRODUCT((終値!E386:R386&gt;終値!F386:S386)*(終値!E386:R386-終値!F386:S386))/SUMPRODUCT((終値!E386:R386&lt;終値!F386:S386)*(終値!F386:S386-終値!E386:R386))),100))</f>
      </c>
      <c r="R386" s="684">
        <f>IF($D386="","",IFERROR(100-100/(1+SUMPRODUCT((((高値!E386:R386+安値!E386:R386+終値!E386:R386)/3)&gt;((高値!F386:S386+安値!F386:S386+終値!F386:S386)/3))*((高値!E386:R386+安値!E386:R386+終値!E386:R386)/3)*出来高!E386:R386)/SUMPRODUCT((((高値!E386:R386+安値!E386:R386+終値!E386:R386)/3)&lt;((高値!F386:S386+安値!F386:S386+終値!F386:S386)/3))*((高値!E386:R386+安値!E386:R386+終値!E386:R386)/3)*出来高!E386:R386)),50))</f>
      </c>
      <c r="S386" s="681">
        <f>IF($D386="","",IF(AND(終値!E386&lt;終値!O386,$Q386&gt;(IFERROR(100-100/(1+SUMPRODUCT((終値!O386:AB386&gt;終値!P386:AC386)*(終値!O386:AB386-終値!P386:AC386))/SUMPRODUCT((終値!O386:AB386&lt;終値!P386:AC386)*(終値!P386:AC386-終値!O386:AB386))),100))),"強気div▲",IF(AND(終値!E386&gt;終値!O386,$Q386&lt;(IFERROR(100-100/(1+SUMPRODUCT((終値!O386:AB386&gt;終値!P386:AC386)*(終値!O386:AB386-終値!P386:AC386))/SUMPRODUCT((終値!O386:AB386&lt;終値!P386:AC386)*(終値!P386:AC386-終値!O386:AB386))),100))),"弱気div▼","－")))</f>
      </c>
      <c r="T386" s="681">
        <f>IF($D386="","",IF($D386&gt;=$H386,"上walk▲",IF($D386&lt;=$I386,"下walk▼","－")))</f>
      </c>
      <c r="U386" s="681">
        <f>IF(終値!A386="","",BB_スイング!BT386)</f>
      </c>
      <c r="V386" s="689">
        <f>IF($D386="","",IFERROR(出来高!E386/AVERAGE(出来高!E386:I386),""))</f>
      </c>
      <c r="W386" s="690">
        <f>IF($D386="","",IF(AND($D386&gt;$G386,$O386="拡大↑",$L386&lt;=$M386*1.8),"◎スクイーズブレイク買",IF(AND($D386&gt;=$H386,$R386&gt;=BB設定!$B$10),"○順張り継続(walk)",IF(AND($S386="強気div▲",$D386&gt;$I386),"○反発(ダイバ)買",IF($U386="二番底W▲","△二番底買(確)",IF($U386="二番底W形成","△二番底形成",IF($D386&lt;$J386,"▼-2σ割れ危険",IF(AND($D386&gt;$E386,$K386&lt;0.6,$R386&gt;=50),"・押し目注目",IF($N386="スクイーズ★","☆スクイーズ監視","様子見")))))))))</f>
      </c>
      <c r="X386" s="685">
        <f>IF($D386="","",MIN(100,IF($L386&lt;=$M386*1.15,20,IF($L386&lt;=$M386*1.4,10,0))+IF($D386&gt;$G386,20,IF($D386&gt;$H386,12,IF($D386&gt;$E386,5,0)))+IF($O386="拡大↑",10,0)+IF($R386&gt;=80,15,IF($R386&gt;=60,10,IF($R386&gt;=50,5,0)))+IF(AND($Q386&gt;=50,$Q386&lt;=70),10,IF($Q386&gt;70,3,IF($Q386&gt;=40,5,0)))+IF($S386="強気div▲",15,0)+IF($T386="上walk▲",5,0)+IF($V386&gt;=2,5,IF($V386&gt;=1.5,3,0))))</f>
      </c>
      <c r="Y386" s="682">
        <f>IF($D386="","",$D386)</f>
      </c>
      <c r="Z386" s="682">
        <f>IF($D386="","",$H386)</f>
      </c>
      <c r="AA386" s="682">
        <f>IF($D386="","",IF($D386&gt;$E386,$E386,$AD386))</f>
      </c>
      <c r="AB386" s="682">
        <f>IF($D386="","",$G386)</f>
      </c>
      <c r="AC386" s="688">
        <f>IF($D386="","",IF(($Y386-$AA386)&lt;=0,"－",IFERROR(ROUND(MIN(20,($AB386-$Y386)/($Y386-$AA386)),2),"－")))</f>
      </c>
      <c r="AD386" s="682">
        <f>IF($D386="","",MIN(終値!E386:I386))</f>
      </c>
      <c r="AE386" s="684">
        <f>IF($D386="","",$X386+(10000-ROW())/100000)</f>
      </c>
    </row>
    <row r="387">
      <c r="A387" s="681">
        <f>IF(終値!A387="","",HYPERLINK("https://kabutan.jp/stock/?code="&amp;終値!A387,"📈"))</f>
      </c>
      <c r="B387" s="681">
        <f>IF(終値!A387="","",終値!A387)</f>
      </c>
      <c r="C387" s="680">
        <f>IF(終値!A387="","",終値!B387)</f>
      </c>
      <c r="D387" s="682">
        <f>IF(終値!A387="","",終値!E387)</f>
      </c>
      <c r="E387" s="682">
        <f>IF($D387="","",AVERAGE(終値!E387:X387))</f>
      </c>
      <c r="F387" s="683">
        <f>IF($D387="","",STDEVP(終値!E387:X387))</f>
      </c>
      <c r="G387" s="682">
        <f>IF($D387="","",$E387+BB設定!$B$4*$F387)</f>
      </c>
      <c r="H387" s="682">
        <f>IF($D387="","",$E387+BB設定!$B$5*$F387)</f>
      </c>
      <c r="I387" s="682">
        <f>IF($D387="","",$E387-BB設定!$B$5*$F387)</f>
      </c>
      <c r="J387" s="682">
        <f>IF($D387="","",$E387-BB設定!$B$4*$F387)</f>
      </c>
      <c r="K387" s="687">
        <f>IF($D387="","",IFERROR(($D387-$J387)/($G387-$J387),""))</f>
      </c>
      <c r="L387" s="686">
        <f>IF($D387="","",IFERROR(($G387-$J387)/$E387*100,""))</f>
      </c>
      <c r="M387" s="686">
        <f>IF($D387="","",IFERROR(MIN(BB_帯幅!B387:AP387)*100,""))</f>
      </c>
      <c r="N387" s="681">
        <f>IF($L387="","",IF($L387&lt;=$M387*BB設定!$B$7,"スクイーズ★",IF($L387&lt;=$M387*1.3,"収縮","－")))</f>
      </c>
      <c r="O387" s="681">
        <f>IF($D387="","",IF($L387&gt;(4*STDEVP(終値!F387:Y387)/AVERAGE(終値!F387:Y387)*100),"拡大↑","縮小↓"))</f>
      </c>
      <c r="P387" s="681">
        <f>IF($D387="","",IF($D387&gt;$G387,"↑+2σ突破",IF($D387&lt;$J387,"↓-2σ割れ",IF($D387&gt;$H387,"+1σ上",IF($D387&lt;$I387,"-1σ下","バンド内")))))</f>
      </c>
      <c r="Q387" s="684">
        <f>IF($D387="","",IFERROR(100-100/(1+SUMPRODUCT((終値!E387:R387&gt;終値!F387:S387)*(終値!E387:R387-終値!F387:S387))/SUMPRODUCT((終値!E387:R387&lt;終値!F387:S387)*(終値!F387:S387-終値!E387:R387))),100))</f>
      </c>
      <c r="R387" s="684">
        <f>IF($D387="","",IFERROR(100-100/(1+SUMPRODUCT((((高値!E387:R387+安値!E387:R387+終値!E387:R387)/3)&gt;((高値!F387:S387+安値!F387:S387+終値!F387:S387)/3))*((高値!E387:R387+安値!E387:R387+終値!E387:R387)/3)*出来高!E387:R387)/SUMPRODUCT((((高値!E387:R387+安値!E387:R387+終値!E387:R387)/3)&lt;((高値!F387:S387+安値!F387:S387+終値!F387:S387)/3))*((高値!E387:R387+安値!E387:R387+終値!E387:R387)/3)*出来高!E387:R387)),50))</f>
      </c>
      <c r="S387" s="681">
        <f>IF($D387="","",IF(AND(終値!E387&lt;終値!O387,$Q387&gt;(IFERROR(100-100/(1+SUMPRODUCT((終値!O387:AB387&gt;終値!P387:AC387)*(終値!O387:AB387-終値!P387:AC387))/SUMPRODUCT((終値!O387:AB387&lt;終値!P387:AC387)*(終値!P387:AC387-終値!O387:AB387))),100))),"強気div▲",IF(AND(終値!E387&gt;終値!O387,$Q387&lt;(IFERROR(100-100/(1+SUMPRODUCT((終値!O387:AB387&gt;終値!P387:AC387)*(終値!O387:AB387-終値!P387:AC387))/SUMPRODUCT((終値!O387:AB387&lt;終値!P387:AC387)*(終値!P387:AC387-終値!O387:AB387))),100))),"弱気div▼","－")))</f>
      </c>
      <c r="T387" s="681">
        <f>IF($D387="","",IF($D387&gt;=$H387,"上walk▲",IF($D387&lt;=$I387,"下walk▼","－")))</f>
      </c>
      <c r="U387" s="681">
        <f>IF(終値!A387="","",BB_スイング!BT387)</f>
      </c>
      <c r="V387" s="689">
        <f>IF($D387="","",IFERROR(出来高!E387/AVERAGE(出来高!E387:I387),""))</f>
      </c>
      <c r="W387" s="690">
        <f>IF($D387="","",IF(AND($D387&gt;$G387,$O387="拡大↑",$L387&lt;=$M387*1.8),"◎スクイーズブレイク買",IF(AND($D387&gt;=$H387,$R387&gt;=BB設定!$B$10),"○順張り継続(walk)",IF(AND($S387="強気div▲",$D387&gt;$I387),"○反発(ダイバ)買",IF($U387="二番底W▲","△二番底買(確)",IF($U387="二番底W形成","△二番底形成",IF($D387&lt;$J387,"▼-2σ割れ危険",IF(AND($D387&gt;$E387,$K387&lt;0.6,$R387&gt;=50),"・押し目注目",IF($N387="スクイーズ★","☆スクイーズ監視","様子見")))))))))</f>
      </c>
      <c r="X387" s="685">
        <f>IF($D387="","",MIN(100,IF($L387&lt;=$M387*1.15,20,IF($L387&lt;=$M387*1.4,10,0))+IF($D387&gt;$G387,20,IF($D387&gt;$H387,12,IF($D387&gt;$E387,5,0)))+IF($O387="拡大↑",10,0)+IF($R387&gt;=80,15,IF($R387&gt;=60,10,IF($R387&gt;=50,5,0)))+IF(AND($Q387&gt;=50,$Q387&lt;=70),10,IF($Q387&gt;70,3,IF($Q387&gt;=40,5,0)))+IF($S387="強気div▲",15,0)+IF($T387="上walk▲",5,0)+IF($V387&gt;=2,5,IF($V387&gt;=1.5,3,0))))</f>
      </c>
      <c r="Y387" s="682">
        <f>IF($D387="","",$D387)</f>
      </c>
      <c r="Z387" s="682">
        <f>IF($D387="","",$H387)</f>
      </c>
      <c r="AA387" s="682">
        <f>IF($D387="","",IF($D387&gt;$E387,$E387,$AD387))</f>
      </c>
      <c r="AB387" s="682">
        <f>IF($D387="","",$G387)</f>
      </c>
      <c r="AC387" s="688">
        <f>IF($D387="","",IF(($Y387-$AA387)&lt;=0,"－",IFERROR(ROUND(MIN(20,($AB387-$Y387)/($Y387-$AA387)),2),"－")))</f>
      </c>
      <c r="AD387" s="682">
        <f>IF($D387="","",MIN(終値!E387:I387))</f>
      </c>
      <c r="AE387" s="684">
        <f>IF($D387="","",$X387+(10000-ROW())/100000)</f>
      </c>
    </row>
    <row r="388">
      <c r="A388" s="681">
        <f>IF(終値!A388="","",HYPERLINK("https://kabutan.jp/stock/?code="&amp;終値!A388,"📈"))</f>
      </c>
      <c r="B388" s="681">
        <f>IF(終値!A388="","",終値!A388)</f>
      </c>
      <c r="C388" s="680">
        <f>IF(終値!A388="","",終値!B388)</f>
      </c>
      <c r="D388" s="682">
        <f>IF(終値!A388="","",終値!E388)</f>
      </c>
      <c r="E388" s="682">
        <f>IF($D388="","",AVERAGE(終値!E388:X388))</f>
      </c>
      <c r="F388" s="683">
        <f>IF($D388="","",STDEVP(終値!E388:X388))</f>
      </c>
      <c r="G388" s="682">
        <f>IF($D388="","",$E388+BB設定!$B$4*$F388)</f>
      </c>
      <c r="H388" s="682">
        <f>IF($D388="","",$E388+BB設定!$B$5*$F388)</f>
      </c>
      <c r="I388" s="682">
        <f>IF($D388="","",$E388-BB設定!$B$5*$F388)</f>
      </c>
      <c r="J388" s="682">
        <f>IF($D388="","",$E388-BB設定!$B$4*$F388)</f>
      </c>
      <c r="K388" s="687">
        <f>IF($D388="","",IFERROR(($D388-$J388)/($G388-$J388),""))</f>
      </c>
      <c r="L388" s="686">
        <f>IF($D388="","",IFERROR(($G388-$J388)/$E388*100,""))</f>
      </c>
      <c r="M388" s="686">
        <f>IF($D388="","",IFERROR(MIN(BB_帯幅!B388:AP388)*100,""))</f>
      </c>
      <c r="N388" s="681">
        <f>IF($L388="","",IF($L388&lt;=$M388*BB設定!$B$7,"スクイーズ★",IF($L388&lt;=$M388*1.3,"収縮","－")))</f>
      </c>
      <c r="O388" s="681">
        <f>IF($D388="","",IF($L388&gt;(4*STDEVP(終値!F388:Y388)/AVERAGE(終値!F388:Y388)*100),"拡大↑","縮小↓"))</f>
      </c>
      <c r="P388" s="681">
        <f>IF($D388="","",IF($D388&gt;$G388,"↑+2σ突破",IF($D388&lt;$J388,"↓-2σ割れ",IF($D388&gt;$H388,"+1σ上",IF($D388&lt;$I388,"-1σ下","バンド内")))))</f>
      </c>
      <c r="Q388" s="684">
        <f>IF($D388="","",IFERROR(100-100/(1+SUMPRODUCT((終値!E388:R388&gt;終値!F388:S388)*(終値!E388:R388-終値!F388:S388))/SUMPRODUCT((終値!E388:R388&lt;終値!F388:S388)*(終値!F388:S388-終値!E388:R388))),100))</f>
      </c>
      <c r="R388" s="684">
        <f>IF($D388="","",IFERROR(100-100/(1+SUMPRODUCT((((高値!E388:R388+安値!E388:R388+終値!E388:R388)/3)&gt;((高値!F388:S388+安値!F388:S388+終値!F388:S388)/3))*((高値!E388:R388+安値!E388:R388+終値!E388:R388)/3)*出来高!E388:R388)/SUMPRODUCT((((高値!E388:R388+安値!E388:R388+終値!E388:R388)/3)&lt;((高値!F388:S388+安値!F388:S388+終値!F388:S388)/3))*((高値!E388:R388+安値!E388:R388+終値!E388:R388)/3)*出来高!E388:R388)),50))</f>
      </c>
      <c r="S388" s="681">
        <f>IF($D388="","",IF(AND(終値!E388&lt;終値!O388,$Q388&gt;(IFERROR(100-100/(1+SUMPRODUCT((終値!O388:AB388&gt;終値!P388:AC388)*(終値!O388:AB388-終値!P388:AC388))/SUMPRODUCT((終値!O388:AB388&lt;終値!P388:AC388)*(終値!P388:AC388-終値!O388:AB388))),100))),"強気div▲",IF(AND(終値!E388&gt;終値!O388,$Q388&lt;(IFERROR(100-100/(1+SUMPRODUCT((終値!O388:AB388&gt;終値!P388:AC388)*(終値!O388:AB388-終値!P388:AC388))/SUMPRODUCT((終値!O388:AB388&lt;終値!P388:AC388)*(終値!P388:AC388-終値!O388:AB388))),100))),"弱気div▼","－")))</f>
      </c>
      <c r="T388" s="681">
        <f>IF($D388="","",IF($D388&gt;=$H388,"上walk▲",IF($D388&lt;=$I388,"下walk▼","－")))</f>
      </c>
      <c r="U388" s="681">
        <f>IF(終値!A388="","",BB_スイング!BT388)</f>
      </c>
      <c r="V388" s="689">
        <f>IF($D388="","",IFERROR(出来高!E388/AVERAGE(出来高!E388:I388),""))</f>
      </c>
      <c r="W388" s="690">
        <f>IF($D388="","",IF(AND($D388&gt;$G388,$O388="拡大↑",$L388&lt;=$M388*1.8),"◎スクイーズブレイク買",IF(AND($D388&gt;=$H388,$R388&gt;=BB設定!$B$10),"○順張り継続(walk)",IF(AND($S388="強気div▲",$D388&gt;$I388),"○反発(ダイバ)買",IF($U388="二番底W▲","△二番底買(確)",IF($U388="二番底W形成","△二番底形成",IF($D388&lt;$J388,"▼-2σ割れ危険",IF(AND($D388&gt;$E388,$K388&lt;0.6,$R388&gt;=50),"・押し目注目",IF($N388="スクイーズ★","☆スクイーズ監視","様子見")))))))))</f>
      </c>
      <c r="X388" s="685">
        <f>IF($D388="","",MIN(100,IF($L388&lt;=$M388*1.15,20,IF($L388&lt;=$M388*1.4,10,0))+IF($D388&gt;$G388,20,IF($D388&gt;$H388,12,IF($D388&gt;$E388,5,0)))+IF($O388="拡大↑",10,0)+IF($R388&gt;=80,15,IF($R388&gt;=60,10,IF($R388&gt;=50,5,0)))+IF(AND($Q388&gt;=50,$Q388&lt;=70),10,IF($Q388&gt;70,3,IF($Q388&gt;=40,5,0)))+IF($S388="強気div▲",15,0)+IF($T388="上walk▲",5,0)+IF($V388&gt;=2,5,IF($V388&gt;=1.5,3,0))))</f>
      </c>
      <c r="Y388" s="682">
        <f>IF($D388="","",$D388)</f>
      </c>
      <c r="Z388" s="682">
        <f>IF($D388="","",$H388)</f>
      </c>
      <c r="AA388" s="682">
        <f>IF($D388="","",IF($D388&gt;$E388,$E388,$AD388))</f>
      </c>
      <c r="AB388" s="682">
        <f>IF($D388="","",$G388)</f>
      </c>
      <c r="AC388" s="688">
        <f>IF($D388="","",IF(($Y388-$AA388)&lt;=0,"－",IFERROR(ROUND(MIN(20,($AB388-$Y388)/($Y388-$AA388)),2),"－")))</f>
      </c>
      <c r="AD388" s="682">
        <f>IF($D388="","",MIN(終値!E388:I388))</f>
      </c>
      <c r="AE388" s="684">
        <f>IF($D388="","",$X388+(10000-ROW())/100000)</f>
      </c>
    </row>
    <row r="389">
      <c r="A389" s="681">
        <f>IF(終値!A389="","",HYPERLINK("https://kabutan.jp/stock/?code="&amp;終値!A389,"📈"))</f>
      </c>
      <c r="B389" s="681">
        <f>IF(終値!A389="","",終値!A389)</f>
      </c>
      <c r="C389" s="680">
        <f>IF(終値!A389="","",終値!B389)</f>
      </c>
      <c r="D389" s="682">
        <f>IF(終値!A389="","",終値!E389)</f>
      </c>
      <c r="E389" s="682">
        <f>IF($D389="","",AVERAGE(終値!E389:X389))</f>
      </c>
      <c r="F389" s="683">
        <f>IF($D389="","",STDEVP(終値!E389:X389))</f>
      </c>
      <c r="G389" s="682">
        <f>IF($D389="","",$E389+BB設定!$B$4*$F389)</f>
      </c>
      <c r="H389" s="682">
        <f>IF($D389="","",$E389+BB設定!$B$5*$F389)</f>
      </c>
      <c r="I389" s="682">
        <f>IF($D389="","",$E389-BB設定!$B$5*$F389)</f>
      </c>
      <c r="J389" s="682">
        <f>IF($D389="","",$E389-BB設定!$B$4*$F389)</f>
      </c>
      <c r="K389" s="687">
        <f>IF($D389="","",IFERROR(($D389-$J389)/($G389-$J389),""))</f>
      </c>
      <c r="L389" s="686">
        <f>IF($D389="","",IFERROR(($G389-$J389)/$E389*100,""))</f>
      </c>
      <c r="M389" s="686">
        <f>IF($D389="","",IFERROR(MIN(BB_帯幅!B389:AP389)*100,""))</f>
      </c>
      <c r="N389" s="681">
        <f>IF($L389="","",IF($L389&lt;=$M389*BB設定!$B$7,"スクイーズ★",IF($L389&lt;=$M389*1.3,"収縮","－")))</f>
      </c>
      <c r="O389" s="681">
        <f>IF($D389="","",IF($L389&gt;(4*STDEVP(終値!F389:Y389)/AVERAGE(終値!F389:Y389)*100),"拡大↑","縮小↓"))</f>
      </c>
      <c r="P389" s="681">
        <f>IF($D389="","",IF($D389&gt;$G389,"↑+2σ突破",IF($D389&lt;$J389,"↓-2σ割れ",IF($D389&gt;$H389,"+1σ上",IF($D389&lt;$I389,"-1σ下","バンド内")))))</f>
      </c>
      <c r="Q389" s="684">
        <f>IF($D389="","",IFERROR(100-100/(1+SUMPRODUCT((終値!E389:R389&gt;終値!F389:S389)*(終値!E389:R389-終値!F389:S389))/SUMPRODUCT((終値!E389:R389&lt;終値!F389:S389)*(終値!F389:S389-終値!E389:R389))),100))</f>
      </c>
      <c r="R389" s="684">
        <f>IF($D389="","",IFERROR(100-100/(1+SUMPRODUCT((((高値!E389:R389+安値!E389:R389+終値!E389:R389)/3)&gt;((高値!F389:S389+安値!F389:S389+終値!F389:S389)/3))*((高値!E389:R389+安値!E389:R389+終値!E389:R389)/3)*出来高!E389:R389)/SUMPRODUCT((((高値!E389:R389+安値!E389:R389+終値!E389:R389)/3)&lt;((高値!F389:S389+安値!F389:S389+終値!F389:S389)/3))*((高値!E389:R389+安値!E389:R389+終値!E389:R389)/3)*出来高!E389:R389)),50))</f>
      </c>
      <c r="S389" s="681">
        <f>IF($D389="","",IF(AND(終値!E389&lt;終値!O389,$Q389&gt;(IFERROR(100-100/(1+SUMPRODUCT((終値!O389:AB389&gt;終値!P389:AC389)*(終値!O389:AB389-終値!P389:AC389))/SUMPRODUCT((終値!O389:AB389&lt;終値!P389:AC389)*(終値!P389:AC389-終値!O389:AB389))),100))),"強気div▲",IF(AND(終値!E389&gt;終値!O389,$Q389&lt;(IFERROR(100-100/(1+SUMPRODUCT((終値!O389:AB389&gt;終値!P389:AC389)*(終値!O389:AB389-終値!P389:AC389))/SUMPRODUCT((終値!O389:AB389&lt;終値!P389:AC389)*(終値!P389:AC389-終値!O389:AB389))),100))),"弱気div▼","－")))</f>
      </c>
      <c r="T389" s="681">
        <f>IF($D389="","",IF($D389&gt;=$H389,"上walk▲",IF($D389&lt;=$I389,"下walk▼","－")))</f>
      </c>
      <c r="U389" s="681">
        <f>IF(終値!A389="","",BB_スイング!BT389)</f>
      </c>
      <c r="V389" s="689">
        <f>IF($D389="","",IFERROR(出来高!E389/AVERAGE(出来高!E389:I389),""))</f>
      </c>
      <c r="W389" s="690">
        <f>IF($D389="","",IF(AND($D389&gt;$G389,$O389="拡大↑",$L389&lt;=$M389*1.8),"◎スクイーズブレイク買",IF(AND($D389&gt;=$H389,$R389&gt;=BB設定!$B$10),"○順張り継続(walk)",IF(AND($S389="強気div▲",$D389&gt;$I389),"○反発(ダイバ)買",IF($U389="二番底W▲","△二番底買(確)",IF($U389="二番底W形成","△二番底形成",IF($D389&lt;$J389,"▼-2σ割れ危険",IF(AND($D389&gt;$E389,$K389&lt;0.6,$R389&gt;=50),"・押し目注目",IF($N389="スクイーズ★","☆スクイーズ監視","様子見")))))))))</f>
      </c>
      <c r="X389" s="685">
        <f>IF($D389="","",MIN(100,IF($L389&lt;=$M389*1.15,20,IF($L389&lt;=$M389*1.4,10,0))+IF($D389&gt;$G389,20,IF($D389&gt;$H389,12,IF($D389&gt;$E389,5,0)))+IF($O389="拡大↑",10,0)+IF($R389&gt;=80,15,IF($R389&gt;=60,10,IF($R389&gt;=50,5,0)))+IF(AND($Q389&gt;=50,$Q389&lt;=70),10,IF($Q389&gt;70,3,IF($Q389&gt;=40,5,0)))+IF($S389="強気div▲",15,0)+IF($T389="上walk▲",5,0)+IF($V389&gt;=2,5,IF($V389&gt;=1.5,3,0))))</f>
      </c>
      <c r="Y389" s="682">
        <f>IF($D389="","",$D389)</f>
      </c>
      <c r="Z389" s="682">
        <f>IF($D389="","",$H389)</f>
      </c>
      <c r="AA389" s="682">
        <f>IF($D389="","",IF($D389&gt;$E389,$E389,$AD389))</f>
      </c>
      <c r="AB389" s="682">
        <f>IF($D389="","",$G389)</f>
      </c>
      <c r="AC389" s="688">
        <f>IF($D389="","",IF(($Y389-$AA389)&lt;=0,"－",IFERROR(ROUND(MIN(20,($AB389-$Y389)/($Y389-$AA389)),2),"－")))</f>
      </c>
      <c r="AD389" s="682">
        <f>IF($D389="","",MIN(終値!E389:I389))</f>
      </c>
      <c r="AE389" s="684">
        <f>IF($D389="","",$X389+(10000-ROW())/100000)</f>
      </c>
    </row>
    <row r="390">
      <c r="A390" s="681">
        <f>IF(終値!A390="","",HYPERLINK("https://kabutan.jp/stock/?code="&amp;終値!A390,"📈"))</f>
      </c>
      <c r="B390" s="681">
        <f>IF(終値!A390="","",終値!A390)</f>
      </c>
      <c r="C390" s="680">
        <f>IF(終値!A390="","",終値!B390)</f>
      </c>
      <c r="D390" s="682">
        <f>IF(終値!A390="","",終値!E390)</f>
      </c>
      <c r="E390" s="682">
        <f>IF($D390="","",AVERAGE(終値!E390:X390))</f>
      </c>
      <c r="F390" s="683">
        <f>IF($D390="","",STDEVP(終値!E390:X390))</f>
      </c>
      <c r="G390" s="682">
        <f>IF($D390="","",$E390+BB設定!$B$4*$F390)</f>
      </c>
      <c r="H390" s="682">
        <f>IF($D390="","",$E390+BB設定!$B$5*$F390)</f>
      </c>
      <c r="I390" s="682">
        <f>IF($D390="","",$E390-BB設定!$B$5*$F390)</f>
      </c>
      <c r="J390" s="682">
        <f>IF($D390="","",$E390-BB設定!$B$4*$F390)</f>
      </c>
      <c r="K390" s="687">
        <f>IF($D390="","",IFERROR(($D390-$J390)/($G390-$J390),""))</f>
      </c>
      <c r="L390" s="686">
        <f>IF($D390="","",IFERROR(($G390-$J390)/$E390*100,""))</f>
      </c>
      <c r="M390" s="686">
        <f>IF($D390="","",IFERROR(MIN(BB_帯幅!B390:AP390)*100,""))</f>
      </c>
      <c r="N390" s="681">
        <f>IF($L390="","",IF($L390&lt;=$M390*BB設定!$B$7,"スクイーズ★",IF($L390&lt;=$M390*1.3,"収縮","－")))</f>
      </c>
      <c r="O390" s="681">
        <f>IF($D390="","",IF($L390&gt;(4*STDEVP(終値!F390:Y390)/AVERAGE(終値!F390:Y390)*100),"拡大↑","縮小↓"))</f>
      </c>
      <c r="P390" s="681">
        <f>IF($D390="","",IF($D390&gt;$G390,"↑+2σ突破",IF($D390&lt;$J390,"↓-2σ割れ",IF($D390&gt;$H390,"+1σ上",IF($D390&lt;$I390,"-1σ下","バンド内")))))</f>
      </c>
      <c r="Q390" s="684">
        <f>IF($D390="","",IFERROR(100-100/(1+SUMPRODUCT((終値!E390:R390&gt;終値!F390:S390)*(終値!E390:R390-終値!F390:S390))/SUMPRODUCT((終値!E390:R390&lt;終値!F390:S390)*(終値!F390:S390-終値!E390:R390))),100))</f>
      </c>
      <c r="R390" s="684">
        <f>IF($D390="","",IFERROR(100-100/(1+SUMPRODUCT((((高値!E390:R390+安値!E390:R390+終値!E390:R390)/3)&gt;((高値!F390:S390+安値!F390:S390+終値!F390:S390)/3))*((高値!E390:R390+安値!E390:R390+終値!E390:R390)/3)*出来高!E390:R390)/SUMPRODUCT((((高値!E390:R390+安値!E390:R390+終値!E390:R390)/3)&lt;((高値!F390:S390+安値!F390:S390+終値!F390:S390)/3))*((高値!E390:R390+安値!E390:R390+終値!E390:R390)/3)*出来高!E390:R390)),50))</f>
      </c>
      <c r="S390" s="681">
        <f>IF($D390="","",IF(AND(終値!E390&lt;終値!O390,$Q390&gt;(IFERROR(100-100/(1+SUMPRODUCT((終値!O390:AB390&gt;終値!P390:AC390)*(終値!O390:AB390-終値!P390:AC390))/SUMPRODUCT((終値!O390:AB390&lt;終値!P390:AC390)*(終値!P390:AC390-終値!O390:AB390))),100))),"強気div▲",IF(AND(終値!E390&gt;終値!O390,$Q390&lt;(IFERROR(100-100/(1+SUMPRODUCT((終値!O390:AB390&gt;終値!P390:AC390)*(終値!O390:AB390-終値!P390:AC390))/SUMPRODUCT((終値!O390:AB390&lt;終値!P390:AC390)*(終値!P390:AC390-終値!O390:AB390))),100))),"弱気div▼","－")))</f>
      </c>
      <c r="T390" s="681">
        <f>IF($D390="","",IF($D390&gt;=$H390,"上walk▲",IF($D390&lt;=$I390,"下walk▼","－")))</f>
      </c>
      <c r="U390" s="681">
        <f>IF(終値!A390="","",BB_スイング!BT390)</f>
      </c>
      <c r="V390" s="689">
        <f>IF($D390="","",IFERROR(出来高!E390/AVERAGE(出来高!E390:I390),""))</f>
      </c>
      <c r="W390" s="690">
        <f>IF($D390="","",IF(AND($D390&gt;$G390,$O390="拡大↑",$L390&lt;=$M390*1.8),"◎スクイーズブレイク買",IF(AND($D390&gt;=$H390,$R390&gt;=BB設定!$B$10),"○順張り継続(walk)",IF(AND($S390="強気div▲",$D390&gt;$I390),"○反発(ダイバ)買",IF($U390="二番底W▲","△二番底買(確)",IF($U390="二番底W形成","△二番底形成",IF($D390&lt;$J390,"▼-2σ割れ危険",IF(AND($D390&gt;$E390,$K390&lt;0.6,$R390&gt;=50),"・押し目注目",IF($N390="スクイーズ★","☆スクイーズ監視","様子見")))))))))</f>
      </c>
      <c r="X390" s="685">
        <f>IF($D390="","",MIN(100,IF($L390&lt;=$M390*1.15,20,IF($L390&lt;=$M390*1.4,10,0))+IF($D390&gt;$G390,20,IF($D390&gt;$H390,12,IF($D390&gt;$E390,5,0)))+IF($O390="拡大↑",10,0)+IF($R390&gt;=80,15,IF($R390&gt;=60,10,IF($R390&gt;=50,5,0)))+IF(AND($Q390&gt;=50,$Q390&lt;=70),10,IF($Q390&gt;70,3,IF($Q390&gt;=40,5,0)))+IF($S390="強気div▲",15,0)+IF($T390="上walk▲",5,0)+IF($V390&gt;=2,5,IF($V390&gt;=1.5,3,0))))</f>
      </c>
      <c r="Y390" s="682">
        <f>IF($D390="","",$D390)</f>
      </c>
      <c r="Z390" s="682">
        <f>IF($D390="","",$H390)</f>
      </c>
      <c r="AA390" s="682">
        <f>IF($D390="","",IF($D390&gt;$E390,$E390,$AD390))</f>
      </c>
      <c r="AB390" s="682">
        <f>IF($D390="","",$G390)</f>
      </c>
      <c r="AC390" s="688">
        <f>IF($D390="","",IF(($Y390-$AA390)&lt;=0,"－",IFERROR(ROUND(MIN(20,($AB390-$Y390)/($Y390-$AA390)),2),"－")))</f>
      </c>
      <c r="AD390" s="682">
        <f>IF($D390="","",MIN(終値!E390:I390))</f>
      </c>
      <c r="AE390" s="684">
        <f>IF($D390="","",$X390+(10000-ROW())/100000)</f>
      </c>
    </row>
    <row r="391">
      <c r="A391" s="681">
        <f>IF(終値!A391="","",HYPERLINK("https://kabutan.jp/stock/?code="&amp;終値!A391,"📈"))</f>
      </c>
      <c r="B391" s="681">
        <f>IF(終値!A391="","",終値!A391)</f>
      </c>
      <c r="C391" s="680">
        <f>IF(終値!A391="","",終値!B391)</f>
      </c>
      <c r="D391" s="682">
        <f>IF(終値!A391="","",終値!E391)</f>
      </c>
      <c r="E391" s="682">
        <f>IF($D391="","",AVERAGE(終値!E391:X391))</f>
      </c>
      <c r="F391" s="683">
        <f>IF($D391="","",STDEVP(終値!E391:X391))</f>
      </c>
      <c r="G391" s="682">
        <f>IF($D391="","",$E391+BB設定!$B$4*$F391)</f>
      </c>
      <c r="H391" s="682">
        <f>IF($D391="","",$E391+BB設定!$B$5*$F391)</f>
      </c>
      <c r="I391" s="682">
        <f>IF($D391="","",$E391-BB設定!$B$5*$F391)</f>
      </c>
      <c r="J391" s="682">
        <f>IF($D391="","",$E391-BB設定!$B$4*$F391)</f>
      </c>
      <c r="K391" s="687">
        <f>IF($D391="","",IFERROR(($D391-$J391)/($G391-$J391),""))</f>
      </c>
      <c r="L391" s="686">
        <f>IF($D391="","",IFERROR(($G391-$J391)/$E391*100,""))</f>
      </c>
      <c r="M391" s="686">
        <f>IF($D391="","",IFERROR(MIN(BB_帯幅!B391:AP391)*100,""))</f>
      </c>
      <c r="N391" s="681">
        <f>IF($L391="","",IF($L391&lt;=$M391*BB設定!$B$7,"スクイーズ★",IF($L391&lt;=$M391*1.3,"収縮","－")))</f>
      </c>
      <c r="O391" s="681">
        <f>IF($D391="","",IF($L391&gt;(4*STDEVP(終値!F391:Y391)/AVERAGE(終値!F391:Y391)*100),"拡大↑","縮小↓"))</f>
      </c>
      <c r="P391" s="681">
        <f>IF($D391="","",IF($D391&gt;$G391,"↑+2σ突破",IF($D391&lt;$J391,"↓-2σ割れ",IF($D391&gt;$H391,"+1σ上",IF($D391&lt;$I391,"-1σ下","バンド内")))))</f>
      </c>
      <c r="Q391" s="684">
        <f>IF($D391="","",IFERROR(100-100/(1+SUMPRODUCT((終値!E391:R391&gt;終値!F391:S391)*(終値!E391:R391-終値!F391:S391))/SUMPRODUCT((終値!E391:R391&lt;終値!F391:S391)*(終値!F391:S391-終値!E391:R391))),100))</f>
      </c>
      <c r="R391" s="684">
        <f>IF($D391="","",IFERROR(100-100/(1+SUMPRODUCT((((高値!E391:R391+安値!E391:R391+終値!E391:R391)/3)&gt;((高値!F391:S391+安値!F391:S391+終値!F391:S391)/3))*((高値!E391:R391+安値!E391:R391+終値!E391:R391)/3)*出来高!E391:R391)/SUMPRODUCT((((高値!E391:R391+安値!E391:R391+終値!E391:R391)/3)&lt;((高値!F391:S391+安値!F391:S391+終値!F391:S391)/3))*((高値!E391:R391+安値!E391:R391+終値!E391:R391)/3)*出来高!E391:R391)),50))</f>
      </c>
      <c r="S391" s="681">
        <f>IF($D391="","",IF(AND(終値!E391&lt;終値!O391,$Q391&gt;(IFERROR(100-100/(1+SUMPRODUCT((終値!O391:AB391&gt;終値!P391:AC391)*(終値!O391:AB391-終値!P391:AC391))/SUMPRODUCT((終値!O391:AB391&lt;終値!P391:AC391)*(終値!P391:AC391-終値!O391:AB391))),100))),"強気div▲",IF(AND(終値!E391&gt;終値!O391,$Q391&lt;(IFERROR(100-100/(1+SUMPRODUCT((終値!O391:AB391&gt;終値!P391:AC391)*(終値!O391:AB391-終値!P391:AC391))/SUMPRODUCT((終値!O391:AB391&lt;終値!P391:AC391)*(終値!P391:AC391-終値!O391:AB391))),100))),"弱気div▼","－")))</f>
      </c>
      <c r="T391" s="681">
        <f>IF($D391="","",IF($D391&gt;=$H391,"上walk▲",IF($D391&lt;=$I391,"下walk▼","－")))</f>
      </c>
      <c r="U391" s="681">
        <f>IF(終値!A391="","",BB_スイング!BT391)</f>
      </c>
      <c r="V391" s="689">
        <f>IF($D391="","",IFERROR(出来高!E391/AVERAGE(出来高!E391:I391),""))</f>
      </c>
      <c r="W391" s="690">
        <f>IF($D391="","",IF(AND($D391&gt;$G391,$O391="拡大↑",$L391&lt;=$M391*1.8),"◎スクイーズブレイク買",IF(AND($D391&gt;=$H391,$R391&gt;=BB設定!$B$10),"○順張り継続(walk)",IF(AND($S391="強気div▲",$D391&gt;$I391),"○反発(ダイバ)買",IF($U391="二番底W▲","△二番底買(確)",IF($U391="二番底W形成","△二番底形成",IF($D391&lt;$J391,"▼-2σ割れ危険",IF(AND($D391&gt;$E391,$K391&lt;0.6,$R391&gt;=50),"・押し目注目",IF($N391="スクイーズ★","☆スクイーズ監視","様子見")))))))))</f>
      </c>
      <c r="X391" s="685">
        <f>IF($D391="","",MIN(100,IF($L391&lt;=$M391*1.15,20,IF($L391&lt;=$M391*1.4,10,0))+IF($D391&gt;$G391,20,IF($D391&gt;$H391,12,IF($D391&gt;$E391,5,0)))+IF($O391="拡大↑",10,0)+IF($R391&gt;=80,15,IF($R391&gt;=60,10,IF($R391&gt;=50,5,0)))+IF(AND($Q391&gt;=50,$Q391&lt;=70),10,IF($Q391&gt;70,3,IF($Q391&gt;=40,5,0)))+IF($S391="強気div▲",15,0)+IF($T391="上walk▲",5,0)+IF($V391&gt;=2,5,IF($V391&gt;=1.5,3,0))))</f>
      </c>
      <c r="Y391" s="682">
        <f>IF($D391="","",$D391)</f>
      </c>
      <c r="Z391" s="682">
        <f>IF($D391="","",$H391)</f>
      </c>
      <c r="AA391" s="682">
        <f>IF($D391="","",IF($D391&gt;$E391,$E391,$AD391))</f>
      </c>
      <c r="AB391" s="682">
        <f>IF($D391="","",$G391)</f>
      </c>
      <c r="AC391" s="688">
        <f>IF($D391="","",IF(($Y391-$AA391)&lt;=0,"－",IFERROR(ROUND(MIN(20,($AB391-$Y391)/($Y391-$AA391)),2),"－")))</f>
      </c>
      <c r="AD391" s="682">
        <f>IF($D391="","",MIN(終値!E391:I391))</f>
      </c>
      <c r="AE391" s="684">
        <f>IF($D391="","",$X391+(10000-ROW())/100000)</f>
      </c>
    </row>
    <row r="392">
      <c r="A392" s="681">
        <f>IF(終値!A392="","",HYPERLINK("https://kabutan.jp/stock/?code="&amp;終値!A392,"📈"))</f>
      </c>
      <c r="B392" s="681">
        <f>IF(終値!A392="","",終値!A392)</f>
      </c>
      <c r="C392" s="680">
        <f>IF(終値!A392="","",終値!B392)</f>
      </c>
      <c r="D392" s="682">
        <f>IF(終値!A392="","",終値!E392)</f>
      </c>
      <c r="E392" s="682">
        <f>IF($D392="","",AVERAGE(終値!E392:X392))</f>
      </c>
      <c r="F392" s="683">
        <f>IF($D392="","",STDEVP(終値!E392:X392))</f>
      </c>
      <c r="G392" s="682">
        <f>IF($D392="","",$E392+BB設定!$B$4*$F392)</f>
      </c>
      <c r="H392" s="682">
        <f>IF($D392="","",$E392+BB設定!$B$5*$F392)</f>
      </c>
      <c r="I392" s="682">
        <f>IF($D392="","",$E392-BB設定!$B$5*$F392)</f>
      </c>
      <c r="J392" s="682">
        <f>IF($D392="","",$E392-BB設定!$B$4*$F392)</f>
      </c>
      <c r="K392" s="687">
        <f>IF($D392="","",IFERROR(($D392-$J392)/($G392-$J392),""))</f>
      </c>
      <c r="L392" s="686">
        <f>IF($D392="","",IFERROR(($G392-$J392)/$E392*100,""))</f>
      </c>
      <c r="M392" s="686">
        <f>IF($D392="","",IFERROR(MIN(BB_帯幅!B392:AP392)*100,""))</f>
      </c>
      <c r="N392" s="681">
        <f>IF($L392="","",IF($L392&lt;=$M392*BB設定!$B$7,"スクイーズ★",IF($L392&lt;=$M392*1.3,"収縮","－")))</f>
      </c>
      <c r="O392" s="681">
        <f>IF($D392="","",IF($L392&gt;(4*STDEVP(終値!F392:Y392)/AVERAGE(終値!F392:Y392)*100),"拡大↑","縮小↓"))</f>
      </c>
      <c r="P392" s="681">
        <f>IF($D392="","",IF($D392&gt;$G392,"↑+2σ突破",IF($D392&lt;$J392,"↓-2σ割れ",IF($D392&gt;$H392,"+1σ上",IF($D392&lt;$I392,"-1σ下","バンド内")))))</f>
      </c>
      <c r="Q392" s="684">
        <f>IF($D392="","",IFERROR(100-100/(1+SUMPRODUCT((終値!E392:R392&gt;終値!F392:S392)*(終値!E392:R392-終値!F392:S392))/SUMPRODUCT((終値!E392:R392&lt;終値!F392:S392)*(終値!F392:S392-終値!E392:R392))),100))</f>
      </c>
      <c r="R392" s="684">
        <f>IF($D392="","",IFERROR(100-100/(1+SUMPRODUCT((((高値!E392:R392+安値!E392:R392+終値!E392:R392)/3)&gt;((高値!F392:S392+安値!F392:S392+終値!F392:S392)/3))*((高値!E392:R392+安値!E392:R392+終値!E392:R392)/3)*出来高!E392:R392)/SUMPRODUCT((((高値!E392:R392+安値!E392:R392+終値!E392:R392)/3)&lt;((高値!F392:S392+安値!F392:S392+終値!F392:S392)/3))*((高値!E392:R392+安値!E392:R392+終値!E392:R392)/3)*出来高!E392:R392)),50))</f>
      </c>
      <c r="S392" s="681">
        <f>IF($D392="","",IF(AND(終値!E392&lt;終値!O392,$Q392&gt;(IFERROR(100-100/(1+SUMPRODUCT((終値!O392:AB392&gt;終値!P392:AC392)*(終値!O392:AB392-終値!P392:AC392))/SUMPRODUCT((終値!O392:AB392&lt;終値!P392:AC392)*(終値!P392:AC392-終値!O392:AB392))),100))),"強気div▲",IF(AND(終値!E392&gt;終値!O392,$Q392&lt;(IFERROR(100-100/(1+SUMPRODUCT((終値!O392:AB392&gt;終値!P392:AC392)*(終値!O392:AB392-終値!P392:AC392))/SUMPRODUCT((終値!O392:AB392&lt;終値!P392:AC392)*(終値!P392:AC392-終値!O392:AB392))),100))),"弱気div▼","－")))</f>
      </c>
      <c r="T392" s="681">
        <f>IF($D392="","",IF($D392&gt;=$H392,"上walk▲",IF($D392&lt;=$I392,"下walk▼","－")))</f>
      </c>
      <c r="U392" s="681">
        <f>IF(終値!A392="","",BB_スイング!BT392)</f>
      </c>
      <c r="V392" s="689">
        <f>IF($D392="","",IFERROR(出来高!E392/AVERAGE(出来高!E392:I392),""))</f>
      </c>
      <c r="W392" s="690">
        <f>IF($D392="","",IF(AND($D392&gt;$G392,$O392="拡大↑",$L392&lt;=$M392*1.8),"◎スクイーズブレイク買",IF(AND($D392&gt;=$H392,$R392&gt;=BB設定!$B$10),"○順張り継続(walk)",IF(AND($S392="強気div▲",$D392&gt;$I392),"○反発(ダイバ)買",IF($U392="二番底W▲","△二番底買(確)",IF($U392="二番底W形成","△二番底形成",IF($D392&lt;$J392,"▼-2σ割れ危険",IF(AND($D392&gt;$E392,$K392&lt;0.6,$R392&gt;=50),"・押し目注目",IF($N392="スクイーズ★","☆スクイーズ監視","様子見")))))))))</f>
      </c>
      <c r="X392" s="685">
        <f>IF($D392="","",MIN(100,IF($L392&lt;=$M392*1.15,20,IF($L392&lt;=$M392*1.4,10,0))+IF($D392&gt;$G392,20,IF($D392&gt;$H392,12,IF($D392&gt;$E392,5,0)))+IF($O392="拡大↑",10,0)+IF($R392&gt;=80,15,IF($R392&gt;=60,10,IF($R392&gt;=50,5,0)))+IF(AND($Q392&gt;=50,$Q392&lt;=70),10,IF($Q392&gt;70,3,IF($Q392&gt;=40,5,0)))+IF($S392="強気div▲",15,0)+IF($T392="上walk▲",5,0)+IF($V392&gt;=2,5,IF($V392&gt;=1.5,3,0))))</f>
      </c>
      <c r="Y392" s="682">
        <f>IF($D392="","",$D392)</f>
      </c>
      <c r="Z392" s="682">
        <f>IF($D392="","",$H392)</f>
      </c>
      <c r="AA392" s="682">
        <f>IF($D392="","",IF($D392&gt;$E392,$E392,$AD392))</f>
      </c>
      <c r="AB392" s="682">
        <f>IF($D392="","",$G392)</f>
      </c>
      <c r="AC392" s="688">
        <f>IF($D392="","",IF(($Y392-$AA392)&lt;=0,"－",IFERROR(ROUND(MIN(20,($AB392-$Y392)/($Y392-$AA392)),2),"－")))</f>
      </c>
      <c r="AD392" s="682">
        <f>IF($D392="","",MIN(終値!E392:I392))</f>
      </c>
      <c r="AE392" s="684">
        <f>IF($D392="","",$X392+(10000-ROW())/100000)</f>
      </c>
    </row>
    <row r="393">
      <c r="A393" s="681">
        <f>IF(終値!A393="","",HYPERLINK("https://kabutan.jp/stock/?code="&amp;終値!A393,"📈"))</f>
      </c>
      <c r="B393" s="681">
        <f>IF(終値!A393="","",終値!A393)</f>
      </c>
      <c r="C393" s="680">
        <f>IF(終値!A393="","",終値!B393)</f>
      </c>
      <c r="D393" s="682">
        <f>IF(終値!A393="","",終値!E393)</f>
      </c>
      <c r="E393" s="682">
        <f>IF($D393="","",AVERAGE(終値!E393:X393))</f>
      </c>
      <c r="F393" s="683">
        <f>IF($D393="","",STDEVP(終値!E393:X393))</f>
      </c>
      <c r="G393" s="682">
        <f>IF($D393="","",$E393+BB設定!$B$4*$F393)</f>
      </c>
      <c r="H393" s="682">
        <f>IF($D393="","",$E393+BB設定!$B$5*$F393)</f>
      </c>
      <c r="I393" s="682">
        <f>IF($D393="","",$E393-BB設定!$B$5*$F393)</f>
      </c>
      <c r="J393" s="682">
        <f>IF($D393="","",$E393-BB設定!$B$4*$F393)</f>
      </c>
      <c r="K393" s="687">
        <f>IF($D393="","",IFERROR(($D393-$J393)/($G393-$J393),""))</f>
      </c>
      <c r="L393" s="686">
        <f>IF($D393="","",IFERROR(($G393-$J393)/$E393*100,""))</f>
      </c>
      <c r="M393" s="686">
        <f>IF($D393="","",IFERROR(MIN(BB_帯幅!B393:AP393)*100,""))</f>
      </c>
      <c r="N393" s="681">
        <f>IF($L393="","",IF($L393&lt;=$M393*BB設定!$B$7,"スクイーズ★",IF($L393&lt;=$M393*1.3,"収縮","－")))</f>
      </c>
      <c r="O393" s="681">
        <f>IF($D393="","",IF($L393&gt;(4*STDEVP(終値!F393:Y393)/AVERAGE(終値!F393:Y393)*100),"拡大↑","縮小↓"))</f>
      </c>
      <c r="P393" s="681">
        <f>IF($D393="","",IF($D393&gt;$G393,"↑+2σ突破",IF($D393&lt;$J393,"↓-2σ割れ",IF($D393&gt;$H393,"+1σ上",IF($D393&lt;$I393,"-1σ下","バンド内")))))</f>
      </c>
      <c r="Q393" s="684">
        <f>IF($D393="","",IFERROR(100-100/(1+SUMPRODUCT((終値!E393:R393&gt;終値!F393:S393)*(終値!E393:R393-終値!F393:S393))/SUMPRODUCT((終値!E393:R393&lt;終値!F393:S393)*(終値!F393:S393-終値!E393:R393))),100))</f>
      </c>
      <c r="R393" s="684">
        <f>IF($D393="","",IFERROR(100-100/(1+SUMPRODUCT((((高値!E393:R393+安値!E393:R393+終値!E393:R393)/3)&gt;((高値!F393:S393+安値!F393:S393+終値!F393:S393)/3))*((高値!E393:R393+安値!E393:R393+終値!E393:R393)/3)*出来高!E393:R393)/SUMPRODUCT((((高値!E393:R393+安値!E393:R393+終値!E393:R393)/3)&lt;((高値!F393:S393+安値!F393:S393+終値!F393:S393)/3))*((高値!E393:R393+安値!E393:R393+終値!E393:R393)/3)*出来高!E393:R393)),50))</f>
      </c>
      <c r="S393" s="681">
        <f>IF($D393="","",IF(AND(終値!E393&lt;終値!O393,$Q393&gt;(IFERROR(100-100/(1+SUMPRODUCT((終値!O393:AB393&gt;終値!P393:AC393)*(終値!O393:AB393-終値!P393:AC393))/SUMPRODUCT((終値!O393:AB393&lt;終値!P393:AC393)*(終値!P393:AC393-終値!O393:AB393))),100))),"強気div▲",IF(AND(終値!E393&gt;終値!O393,$Q393&lt;(IFERROR(100-100/(1+SUMPRODUCT((終値!O393:AB393&gt;終値!P393:AC393)*(終値!O393:AB393-終値!P393:AC393))/SUMPRODUCT((終値!O393:AB393&lt;終値!P393:AC393)*(終値!P393:AC393-終値!O393:AB393))),100))),"弱気div▼","－")))</f>
      </c>
      <c r="T393" s="681">
        <f>IF($D393="","",IF($D393&gt;=$H393,"上walk▲",IF($D393&lt;=$I393,"下walk▼","－")))</f>
      </c>
      <c r="U393" s="681">
        <f>IF(終値!A393="","",BB_スイング!BT393)</f>
      </c>
      <c r="V393" s="689">
        <f>IF($D393="","",IFERROR(出来高!E393/AVERAGE(出来高!E393:I393),""))</f>
      </c>
      <c r="W393" s="690">
        <f>IF($D393="","",IF(AND($D393&gt;$G393,$O393="拡大↑",$L393&lt;=$M393*1.8),"◎スクイーズブレイク買",IF(AND($D393&gt;=$H393,$R393&gt;=BB設定!$B$10),"○順張り継続(walk)",IF(AND($S393="強気div▲",$D393&gt;$I393),"○反発(ダイバ)買",IF($U393="二番底W▲","△二番底買(確)",IF($U393="二番底W形成","△二番底形成",IF($D393&lt;$J393,"▼-2σ割れ危険",IF(AND($D393&gt;$E393,$K393&lt;0.6,$R393&gt;=50),"・押し目注目",IF($N393="スクイーズ★","☆スクイーズ監視","様子見")))))))))</f>
      </c>
      <c r="X393" s="685">
        <f>IF($D393="","",MIN(100,IF($L393&lt;=$M393*1.15,20,IF($L393&lt;=$M393*1.4,10,0))+IF($D393&gt;$G393,20,IF($D393&gt;$H393,12,IF($D393&gt;$E393,5,0)))+IF($O393="拡大↑",10,0)+IF($R393&gt;=80,15,IF($R393&gt;=60,10,IF($R393&gt;=50,5,0)))+IF(AND($Q393&gt;=50,$Q393&lt;=70),10,IF($Q393&gt;70,3,IF($Q393&gt;=40,5,0)))+IF($S393="強気div▲",15,0)+IF($T393="上walk▲",5,0)+IF($V393&gt;=2,5,IF($V393&gt;=1.5,3,0))))</f>
      </c>
      <c r="Y393" s="682">
        <f>IF($D393="","",$D393)</f>
      </c>
      <c r="Z393" s="682">
        <f>IF($D393="","",$H393)</f>
      </c>
      <c r="AA393" s="682">
        <f>IF($D393="","",IF($D393&gt;$E393,$E393,$AD393))</f>
      </c>
      <c r="AB393" s="682">
        <f>IF($D393="","",$G393)</f>
      </c>
      <c r="AC393" s="688">
        <f>IF($D393="","",IF(($Y393-$AA393)&lt;=0,"－",IFERROR(ROUND(MIN(20,($AB393-$Y393)/($Y393-$AA393)),2),"－")))</f>
      </c>
      <c r="AD393" s="682">
        <f>IF($D393="","",MIN(終値!E393:I393))</f>
      </c>
      <c r="AE393" s="684">
        <f>IF($D393="","",$X393+(10000-ROW())/100000)</f>
      </c>
    </row>
    <row r="394">
      <c r="A394" s="681">
        <f>IF(終値!A394="","",HYPERLINK("https://kabutan.jp/stock/?code="&amp;終値!A394,"📈"))</f>
      </c>
      <c r="B394" s="681">
        <f>IF(終値!A394="","",終値!A394)</f>
      </c>
      <c r="C394" s="680">
        <f>IF(終値!A394="","",終値!B394)</f>
      </c>
      <c r="D394" s="682">
        <f>IF(終値!A394="","",終値!E394)</f>
      </c>
      <c r="E394" s="682">
        <f>IF($D394="","",AVERAGE(終値!E394:X394))</f>
      </c>
      <c r="F394" s="683">
        <f>IF($D394="","",STDEVP(終値!E394:X394))</f>
      </c>
      <c r="G394" s="682">
        <f>IF($D394="","",$E394+BB設定!$B$4*$F394)</f>
      </c>
      <c r="H394" s="682">
        <f>IF($D394="","",$E394+BB設定!$B$5*$F394)</f>
      </c>
      <c r="I394" s="682">
        <f>IF($D394="","",$E394-BB設定!$B$5*$F394)</f>
      </c>
      <c r="J394" s="682">
        <f>IF($D394="","",$E394-BB設定!$B$4*$F394)</f>
      </c>
      <c r="K394" s="687">
        <f>IF($D394="","",IFERROR(($D394-$J394)/($G394-$J394),""))</f>
      </c>
      <c r="L394" s="686">
        <f>IF($D394="","",IFERROR(($G394-$J394)/$E394*100,""))</f>
      </c>
      <c r="M394" s="686">
        <f>IF($D394="","",IFERROR(MIN(BB_帯幅!B394:AP394)*100,""))</f>
      </c>
      <c r="N394" s="681">
        <f>IF($L394="","",IF($L394&lt;=$M394*BB設定!$B$7,"スクイーズ★",IF($L394&lt;=$M394*1.3,"収縮","－")))</f>
      </c>
      <c r="O394" s="681">
        <f>IF($D394="","",IF($L394&gt;(4*STDEVP(終値!F394:Y394)/AVERAGE(終値!F394:Y394)*100),"拡大↑","縮小↓"))</f>
      </c>
      <c r="P394" s="681">
        <f>IF($D394="","",IF($D394&gt;$G394,"↑+2σ突破",IF($D394&lt;$J394,"↓-2σ割れ",IF($D394&gt;$H394,"+1σ上",IF($D394&lt;$I394,"-1σ下","バンド内")))))</f>
      </c>
      <c r="Q394" s="684">
        <f>IF($D394="","",IFERROR(100-100/(1+SUMPRODUCT((終値!E394:R394&gt;終値!F394:S394)*(終値!E394:R394-終値!F394:S394))/SUMPRODUCT((終値!E394:R394&lt;終値!F394:S394)*(終値!F394:S394-終値!E394:R394))),100))</f>
      </c>
      <c r="R394" s="684">
        <f>IF($D394="","",IFERROR(100-100/(1+SUMPRODUCT((((高値!E394:R394+安値!E394:R394+終値!E394:R394)/3)&gt;((高値!F394:S394+安値!F394:S394+終値!F394:S394)/3))*((高値!E394:R394+安値!E394:R394+終値!E394:R394)/3)*出来高!E394:R394)/SUMPRODUCT((((高値!E394:R394+安値!E394:R394+終値!E394:R394)/3)&lt;((高値!F394:S394+安値!F394:S394+終値!F394:S394)/3))*((高値!E394:R394+安値!E394:R394+終値!E394:R394)/3)*出来高!E394:R394)),50))</f>
      </c>
      <c r="S394" s="681">
        <f>IF($D394="","",IF(AND(終値!E394&lt;終値!O394,$Q394&gt;(IFERROR(100-100/(1+SUMPRODUCT((終値!O394:AB394&gt;終値!P394:AC394)*(終値!O394:AB394-終値!P394:AC394))/SUMPRODUCT((終値!O394:AB394&lt;終値!P394:AC394)*(終値!P394:AC394-終値!O394:AB394))),100))),"強気div▲",IF(AND(終値!E394&gt;終値!O394,$Q394&lt;(IFERROR(100-100/(1+SUMPRODUCT((終値!O394:AB394&gt;終値!P394:AC394)*(終値!O394:AB394-終値!P394:AC394))/SUMPRODUCT((終値!O394:AB394&lt;終値!P394:AC394)*(終値!P394:AC394-終値!O394:AB394))),100))),"弱気div▼","－")))</f>
      </c>
      <c r="T394" s="681">
        <f>IF($D394="","",IF($D394&gt;=$H394,"上walk▲",IF($D394&lt;=$I394,"下walk▼","－")))</f>
      </c>
      <c r="U394" s="681">
        <f>IF(終値!A394="","",BB_スイング!BT394)</f>
      </c>
      <c r="V394" s="689">
        <f>IF($D394="","",IFERROR(出来高!E394/AVERAGE(出来高!E394:I394),""))</f>
      </c>
      <c r="W394" s="690">
        <f>IF($D394="","",IF(AND($D394&gt;$G394,$O394="拡大↑",$L394&lt;=$M394*1.8),"◎スクイーズブレイク買",IF(AND($D394&gt;=$H394,$R394&gt;=BB設定!$B$10),"○順張り継続(walk)",IF(AND($S394="強気div▲",$D394&gt;$I394),"○反発(ダイバ)買",IF($U394="二番底W▲","△二番底買(確)",IF($U394="二番底W形成","△二番底形成",IF($D394&lt;$J394,"▼-2σ割れ危険",IF(AND($D394&gt;$E394,$K394&lt;0.6,$R394&gt;=50),"・押し目注目",IF($N394="スクイーズ★","☆スクイーズ監視","様子見")))))))))</f>
      </c>
      <c r="X394" s="685">
        <f>IF($D394="","",MIN(100,IF($L394&lt;=$M394*1.15,20,IF($L394&lt;=$M394*1.4,10,0))+IF($D394&gt;$G394,20,IF($D394&gt;$H394,12,IF($D394&gt;$E394,5,0)))+IF($O394="拡大↑",10,0)+IF($R394&gt;=80,15,IF($R394&gt;=60,10,IF($R394&gt;=50,5,0)))+IF(AND($Q394&gt;=50,$Q394&lt;=70),10,IF($Q394&gt;70,3,IF($Q394&gt;=40,5,0)))+IF($S394="強気div▲",15,0)+IF($T394="上walk▲",5,0)+IF($V394&gt;=2,5,IF($V394&gt;=1.5,3,0))))</f>
      </c>
      <c r="Y394" s="682">
        <f>IF($D394="","",$D394)</f>
      </c>
      <c r="Z394" s="682">
        <f>IF($D394="","",$H394)</f>
      </c>
      <c r="AA394" s="682">
        <f>IF($D394="","",IF($D394&gt;$E394,$E394,$AD394))</f>
      </c>
      <c r="AB394" s="682">
        <f>IF($D394="","",$G394)</f>
      </c>
      <c r="AC394" s="688">
        <f>IF($D394="","",IF(($Y394-$AA394)&lt;=0,"－",IFERROR(ROUND(MIN(20,($AB394-$Y394)/($Y394-$AA394)),2),"－")))</f>
      </c>
      <c r="AD394" s="682">
        <f>IF($D394="","",MIN(終値!E394:I394))</f>
      </c>
      <c r="AE394" s="684">
        <f>IF($D394="","",$X394+(10000-ROW())/100000)</f>
      </c>
    </row>
    <row r="395">
      <c r="A395" s="681">
        <f>IF(終値!A395="","",HYPERLINK("https://kabutan.jp/stock/?code="&amp;終値!A395,"📈"))</f>
      </c>
      <c r="B395" s="681">
        <f>IF(終値!A395="","",終値!A395)</f>
      </c>
      <c r="C395" s="680">
        <f>IF(終値!A395="","",終値!B395)</f>
      </c>
      <c r="D395" s="682">
        <f>IF(終値!A395="","",終値!E395)</f>
      </c>
      <c r="E395" s="682">
        <f>IF($D395="","",AVERAGE(終値!E395:X395))</f>
      </c>
      <c r="F395" s="683">
        <f>IF($D395="","",STDEVP(終値!E395:X395))</f>
      </c>
      <c r="G395" s="682">
        <f>IF($D395="","",$E395+BB設定!$B$4*$F395)</f>
      </c>
      <c r="H395" s="682">
        <f>IF($D395="","",$E395+BB設定!$B$5*$F395)</f>
      </c>
      <c r="I395" s="682">
        <f>IF($D395="","",$E395-BB設定!$B$5*$F395)</f>
      </c>
      <c r="J395" s="682">
        <f>IF($D395="","",$E395-BB設定!$B$4*$F395)</f>
      </c>
      <c r="K395" s="687">
        <f>IF($D395="","",IFERROR(($D395-$J395)/($G395-$J395),""))</f>
      </c>
      <c r="L395" s="686">
        <f>IF($D395="","",IFERROR(($G395-$J395)/$E395*100,""))</f>
      </c>
      <c r="M395" s="686">
        <f>IF($D395="","",IFERROR(MIN(BB_帯幅!B395:AP395)*100,""))</f>
      </c>
      <c r="N395" s="681">
        <f>IF($L395="","",IF($L395&lt;=$M395*BB設定!$B$7,"スクイーズ★",IF($L395&lt;=$M395*1.3,"収縮","－")))</f>
      </c>
      <c r="O395" s="681">
        <f>IF($D395="","",IF($L395&gt;(4*STDEVP(終値!F395:Y395)/AVERAGE(終値!F395:Y395)*100),"拡大↑","縮小↓"))</f>
      </c>
      <c r="P395" s="681">
        <f>IF($D395="","",IF($D395&gt;$G395,"↑+2σ突破",IF($D395&lt;$J395,"↓-2σ割れ",IF($D395&gt;$H395,"+1σ上",IF($D395&lt;$I395,"-1σ下","バンド内")))))</f>
      </c>
      <c r="Q395" s="684">
        <f>IF($D395="","",IFERROR(100-100/(1+SUMPRODUCT((終値!E395:R395&gt;終値!F395:S395)*(終値!E395:R395-終値!F395:S395))/SUMPRODUCT((終値!E395:R395&lt;終値!F395:S395)*(終値!F395:S395-終値!E395:R395))),100))</f>
      </c>
      <c r="R395" s="684">
        <f>IF($D395="","",IFERROR(100-100/(1+SUMPRODUCT((((高値!E395:R395+安値!E395:R395+終値!E395:R395)/3)&gt;((高値!F395:S395+安値!F395:S395+終値!F395:S395)/3))*((高値!E395:R395+安値!E395:R395+終値!E395:R395)/3)*出来高!E395:R395)/SUMPRODUCT((((高値!E395:R395+安値!E395:R395+終値!E395:R395)/3)&lt;((高値!F395:S395+安値!F395:S395+終値!F395:S395)/3))*((高値!E395:R395+安値!E395:R395+終値!E395:R395)/3)*出来高!E395:R395)),50))</f>
      </c>
      <c r="S395" s="681">
        <f>IF($D395="","",IF(AND(終値!E395&lt;終値!O395,$Q395&gt;(IFERROR(100-100/(1+SUMPRODUCT((終値!O395:AB395&gt;終値!P395:AC395)*(終値!O395:AB395-終値!P395:AC395))/SUMPRODUCT((終値!O395:AB395&lt;終値!P395:AC395)*(終値!P395:AC395-終値!O395:AB395))),100))),"強気div▲",IF(AND(終値!E395&gt;終値!O395,$Q395&lt;(IFERROR(100-100/(1+SUMPRODUCT((終値!O395:AB395&gt;終値!P395:AC395)*(終値!O395:AB395-終値!P395:AC395))/SUMPRODUCT((終値!O395:AB395&lt;終値!P395:AC395)*(終値!P395:AC395-終値!O395:AB395))),100))),"弱気div▼","－")))</f>
      </c>
      <c r="T395" s="681">
        <f>IF($D395="","",IF($D395&gt;=$H395,"上walk▲",IF($D395&lt;=$I395,"下walk▼","－")))</f>
      </c>
      <c r="U395" s="681">
        <f>IF(終値!A395="","",BB_スイング!BT395)</f>
      </c>
      <c r="V395" s="689">
        <f>IF($D395="","",IFERROR(出来高!E395/AVERAGE(出来高!E395:I395),""))</f>
      </c>
      <c r="W395" s="690">
        <f>IF($D395="","",IF(AND($D395&gt;$G395,$O395="拡大↑",$L395&lt;=$M395*1.8),"◎スクイーズブレイク買",IF(AND($D395&gt;=$H395,$R395&gt;=BB設定!$B$10),"○順張り継続(walk)",IF(AND($S395="強気div▲",$D395&gt;$I395),"○反発(ダイバ)買",IF($U395="二番底W▲","△二番底買(確)",IF($U395="二番底W形成","△二番底形成",IF($D395&lt;$J395,"▼-2σ割れ危険",IF(AND($D395&gt;$E395,$K395&lt;0.6,$R395&gt;=50),"・押し目注目",IF($N395="スクイーズ★","☆スクイーズ監視","様子見")))))))))</f>
      </c>
      <c r="X395" s="685">
        <f>IF($D395="","",MIN(100,IF($L395&lt;=$M395*1.15,20,IF($L395&lt;=$M395*1.4,10,0))+IF($D395&gt;$G395,20,IF($D395&gt;$H395,12,IF($D395&gt;$E395,5,0)))+IF($O395="拡大↑",10,0)+IF($R395&gt;=80,15,IF($R395&gt;=60,10,IF($R395&gt;=50,5,0)))+IF(AND($Q395&gt;=50,$Q395&lt;=70),10,IF($Q395&gt;70,3,IF($Q395&gt;=40,5,0)))+IF($S395="強気div▲",15,0)+IF($T395="上walk▲",5,0)+IF($V395&gt;=2,5,IF($V395&gt;=1.5,3,0))))</f>
      </c>
      <c r="Y395" s="682">
        <f>IF($D395="","",$D395)</f>
      </c>
      <c r="Z395" s="682">
        <f>IF($D395="","",$H395)</f>
      </c>
      <c r="AA395" s="682">
        <f>IF($D395="","",IF($D395&gt;$E395,$E395,$AD395))</f>
      </c>
      <c r="AB395" s="682">
        <f>IF($D395="","",$G395)</f>
      </c>
      <c r="AC395" s="688">
        <f>IF($D395="","",IF(($Y395-$AA395)&lt;=0,"－",IFERROR(ROUND(MIN(20,($AB395-$Y395)/($Y395-$AA395)),2),"－")))</f>
      </c>
      <c r="AD395" s="682">
        <f>IF($D395="","",MIN(終値!E395:I395))</f>
      </c>
      <c r="AE395" s="684">
        <f>IF($D395="","",$X395+(10000-ROW())/100000)</f>
      </c>
    </row>
    <row r="396">
      <c r="A396" s="681">
        <f>IF(終値!A396="","",HYPERLINK("https://kabutan.jp/stock/?code="&amp;終値!A396,"📈"))</f>
      </c>
      <c r="B396" s="681">
        <f>IF(終値!A396="","",終値!A396)</f>
      </c>
      <c r="C396" s="680">
        <f>IF(終値!A396="","",終値!B396)</f>
      </c>
      <c r="D396" s="682">
        <f>IF(終値!A396="","",終値!E396)</f>
      </c>
      <c r="E396" s="682">
        <f>IF($D396="","",AVERAGE(終値!E396:X396))</f>
      </c>
      <c r="F396" s="683">
        <f>IF($D396="","",STDEVP(終値!E396:X396))</f>
      </c>
      <c r="G396" s="682">
        <f>IF($D396="","",$E396+BB設定!$B$4*$F396)</f>
      </c>
      <c r="H396" s="682">
        <f>IF($D396="","",$E396+BB設定!$B$5*$F396)</f>
      </c>
      <c r="I396" s="682">
        <f>IF($D396="","",$E396-BB設定!$B$5*$F396)</f>
      </c>
      <c r="J396" s="682">
        <f>IF($D396="","",$E396-BB設定!$B$4*$F396)</f>
      </c>
      <c r="K396" s="687">
        <f>IF($D396="","",IFERROR(($D396-$J396)/($G396-$J396),""))</f>
      </c>
      <c r="L396" s="686">
        <f>IF($D396="","",IFERROR(($G396-$J396)/$E396*100,""))</f>
      </c>
      <c r="M396" s="686">
        <f>IF($D396="","",IFERROR(MIN(BB_帯幅!B396:AP396)*100,""))</f>
      </c>
      <c r="N396" s="681">
        <f>IF($L396="","",IF($L396&lt;=$M396*BB設定!$B$7,"スクイーズ★",IF($L396&lt;=$M396*1.3,"収縮","－")))</f>
      </c>
      <c r="O396" s="681">
        <f>IF($D396="","",IF($L396&gt;(4*STDEVP(終値!F396:Y396)/AVERAGE(終値!F396:Y396)*100),"拡大↑","縮小↓"))</f>
      </c>
      <c r="P396" s="681">
        <f>IF($D396="","",IF($D396&gt;$G396,"↑+2σ突破",IF($D396&lt;$J396,"↓-2σ割れ",IF($D396&gt;$H396,"+1σ上",IF($D396&lt;$I396,"-1σ下","バンド内")))))</f>
      </c>
      <c r="Q396" s="684">
        <f>IF($D396="","",IFERROR(100-100/(1+SUMPRODUCT((終値!E396:R396&gt;終値!F396:S396)*(終値!E396:R396-終値!F396:S396))/SUMPRODUCT((終値!E396:R396&lt;終値!F396:S396)*(終値!F396:S396-終値!E396:R396))),100))</f>
      </c>
      <c r="R396" s="684">
        <f>IF($D396="","",IFERROR(100-100/(1+SUMPRODUCT((((高値!E396:R396+安値!E396:R396+終値!E396:R396)/3)&gt;((高値!F396:S396+安値!F396:S396+終値!F396:S396)/3))*((高値!E396:R396+安値!E396:R396+終値!E396:R396)/3)*出来高!E396:R396)/SUMPRODUCT((((高値!E396:R396+安値!E396:R396+終値!E396:R396)/3)&lt;((高値!F396:S396+安値!F396:S396+終値!F396:S396)/3))*((高値!E396:R396+安値!E396:R396+終値!E396:R396)/3)*出来高!E396:R396)),50))</f>
      </c>
      <c r="S396" s="681">
        <f>IF($D396="","",IF(AND(終値!E396&lt;終値!O396,$Q396&gt;(IFERROR(100-100/(1+SUMPRODUCT((終値!O396:AB396&gt;終値!P396:AC396)*(終値!O396:AB396-終値!P396:AC396))/SUMPRODUCT((終値!O396:AB396&lt;終値!P396:AC396)*(終値!P396:AC396-終値!O396:AB396))),100))),"強気div▲",IF(AND(終値!E396&gt;終値!O396,$Q396&lt;(IFERROR(100-100/(1+SUMPRODUCT((終値!O396:AB396&gt;終値!P396:AC396)*(終値!O396:AB396-終値!P396:AC396))/SUMPRODUCT((終値!O396:AB396&lt;終値!P396:AC396)*(終値!P396:AC396-終値!O396:AB396))),100))),"弱気div▼","－")))</f>
      </c>
      <c r="T396" s="681">
        <f>IF($D396="","",IF($D396&gt;=$H396,"上walk▲",IF($D396&lt;=$I396,"下walk▼","－")))</f>
      </c>
      <c r="U396" s="681">
        <f>IF(終値!A396="","",BB_スイング!BT396)</f>
      </c>
      <c r="V396" s="689">
        <f>IF($D396="","",IFERROR(出来高!E396/AVERAGE(出来高!E396:I396),""))</f>
      </c>
      <c r="W396" s="690">
        <f>IF($D396="","",IF(AND($D396&gt;$G396,$O396="拡大↑",$L396&lt;=$M396*1.8),"◎スクイーズブレイク買",IF(AND($D396&gt;=$H396,$R396&gt;=BB設定!$B$10),"○順張り継続(walk)",IF(AND($S396="強気div▲",$D396&gt;$I396),"○反発(ダイバ)買",IF($U396="二番底W▲","△二番底買(確)",IF($U396="二番底W形成","△二番底形成",IF($D396&lt;$J396,"▼-2σ割れ危険",IF(AND($D396&gt;$E396,$K396&lt;0.6,$R396&gt;=50),"・押し目注目",IF($N396="スクイーズ★","☆スクイーズ監視","様子見")))))))))</f>
      </c>
      <c r="X396" s="685">
        <f>IF($D396="","",MIN(100,IF($L396&lt;=$M396*1.15,20,IF($L396&lt;=$M396*1.4,10,0))+IF($D396&gt;$G396,20,IF($D396&gt;$H396,12,IF($D396&gt;$E396,5,0)))+IF($O396="拡大↑",10,0)+IF($R396&gt;=80,15,IF($R396&gt;=60,10,IF($R396&gt;=50,5,0)))+IF(AND($Q396&gt;=50,$Q396&lt;=70),10,IF($Q396&gt;70,3,IF($Q396&gt;=40,5,0)))+IF($S396="強気div▲",15,0)+IF($T396="上walk▲",5,0)+IF($V396&gt;=2,5,IF($V396&gt;=1.5,3,0))))</f>
      </c>
      <c r="Y396" s="682">
        <f>IF($D396="","",$D396)</f>
      </c>
      <c r="Z396" s="682">
        <f>IF($D396="","",$H396)</f>
      </c>
      <c r="AA396" s="682">
        <f>IF($D396="","",IF($D396&gt;$E396,$E396,$AD396))</f>
      </c>
      <c r="AB396" s="682">
        <f>IF($D396="","",$G396)</f>
      </c>
      <c r="AC396" s="688">
        <f>IF($D396="","",IF(($Y396-$AA396)&lt;=0,"－",IFERROR(ROUND(MIN(20,($AB396-$Y396)/($Y396-$AA396)),2),"－")))</f>
      </c>
      <c r="AD396" s="682">
        <f>IF($D396="","",MIN(終値!E396:I396))</f>
      </c>
      <c r="AE396" s="684">
        <f>IF($D396="","",$X396+(10000-ROW())/100000)</f>
      </c>
    </row>
    <row r="397">
      <c r="A397" s="681">
        <f>IF(終値!A397="","",HYPERLINK("https://kabutan.jp/stock/?code="&amp;終値!A397,"📈"))</f>
      </c>
      <c r="B397" s="681">
        <f>IF(終値!A397="","",終値!A397)</f>
      </c>
      <c r="C397" s="680">
        <f>IF(終値!A397="","",終値!B397)</f>
      </c>
      <c r="D397" s="682">
        <f>IF(終値!A397="","",終値!E397)</f>
      </c>
      <c r="E397" s="682">
        <f>IF($D397="","",AVERAGE(終値!E397:X397))</f>
      </c>
      <c r="F397" s="683">
        <f>IF($D397="","",STDEVP(終値!E397:X397))</f>
      </c>
      <c r="G397" s="682">
        <f>IF($D397="","",$E397+BB設定!$B$4*$F397)</f>
      </c>
      <c r="H397" s="682">
        <f>IF($D397="","",$E397+BB設定!$B$5*$F397)</f>
      </c>
      <c r="I397" s="682">
        <f>IF($D397="","",$E397-BB設定!$B$5*$F397)</f>
      </c>
      <c r="J397" s="682">
        <f>IF($D397="","",$E397-BB設定!$B$4*$F397)</f>
      </c>
      <c r="K397" s="687">
        <f>IF($D397="","",IFERROR(($D397-$J397)/($G397-$J397),""))</f>
      </c>
      <c r="L397" s="686">
        <f>IF($D397="","",IFERROR(($G397-$J397)/$E397*100,""))</f>
      </c>
      <c r="M397" s="686">
        <f>IF($D397="","",IFERROR(MIN(BB_帯幅!B397:AP397)*100,""))</f>
      </c>
      <c r="N397" s="681">
        <f>IF($L397="","",IF($L397&lt;=$M397*BB設定!$B$7,"スクイーズ★",IF($L397&lt;=$M397*1.3,"収縮","－")))</f>
      </c>
      <c r="O397" s="681">
        <f>IF($D397="","",IF($L397&gt;(4*STDEVP(終値!F397:Y397)/AVERAGE(終値!F397:Y397)*100),"拡大↑","縮小↓"))</f>
      </c>
      <c r="P397" s="681">
        <f>IF($D397="","",IF($D397&gt;$G397,"↑+2σ突破",IF($D397&lt;$J397,"↓-2σ割れ",IF($D397&gt;$H397,"+1σ上",IF($D397&lt;$I397,"-1σ下","バンド内")))))</f>
      </c>
      <c r="Q397" s="684">
        <f>IF($D397="","",IFERROR(100-100/(1+SUMPRODUCT((終値!E397:R397&gt;終値!F397:S397)*(終値!E397:R397-終値!F397:S397))/SUMPRODUCT((終値!E397:R397&lt;終値!F397:S397)*(終値!F397:S397-終値!E397:R397))),100))</f>
      </c>
      <c r="R397" s="684">
        <f>IF($D397="","",IFERROR(100-100/(1+SUMPRODUCT((((高値!E397:R397+安値!E397:R397+終値!E397:R397)/3)&gt;((高値!F397:S397+安値!F397:S397+終値!F397:S397)/3))*((高値!E397:R397+安値!E397:R397+終値!E397:R397)/3)*出来高!E397:R397)/SUMPRODUCT((((高値!E397:R397+安値!E397:R397+終値!E397:R397)/3)&lt;((高値!F397:S397+安値!F397:S397+終値!F397:S397)/3))*((高値!E397:R397+安値!E397:R397+終値!E397:R397)/3)*出来高!E397:R397)),50))</f>
      </c>
      <c r="S397" s="681">
        <f>IF($D397="","",IF(AND(終値!E397&lt;終値!O397,$Q397&gt;(IFERROR(100-100/(1+SUMPRODUCT((終値!O397:AB397&gt;終値!P397:AC397)*(終値!O397:AB397-終値!P397:AC397))/SUMPRODUCT((終値!O397:AB397&lt;終値!P397:AC397)*(終値!P397:AC397-終値!O397:AB397))),100))),"強気div▲",IF(AND(終値!E397&gt;終値!O397,$Q397&lt;(IFERROR(100-100/(1+SUMPRODUCT((終値!O397:AB397&gt;終値!P397:AC397)*(終値!O397:AB397-終値!P397:AC397))/SUMPRODUCT((終値!O397:AB397&lt;終値!P397:AC397)*(終値!P397:AC397-終値!O397:AB397))),100))),"弱気div▼","－")))</f>
      </c>
      <c r="T397" s="681">
        <f>IF($D397="","",IF($D397&gt;=$H397,"上walk▲",IF($D397&lt;=$I397,"下walk▼","－")))</f>
      </c>
      <c r="U397" s="681">
        <f>IF(終値!A397="","",BB_スイング!BT397)</f>
      </c>
      <c r="V397" s="689">
        <f>IF($D397="","",IFERROR(出来高!E397/AVERAGE(出来高!E397:I397),""))</f>
      </c>
      <c r="W397" s="690">
        <f>IF($D397="","",IF(AND($D397&gt;$G397,$O397="拡大↑",$L397&lt;=$M397*1.8),"◎スクイーズブレイク買",IF(AND($D397&gt;=$H397,$R397&gt;=BB設定!$B$10),"○順張り継続(walk)",IF(AND($S397="強気div▲",$D397&gt;$I397),"○反発(ダイバ)買",IF($U397="二番底W▲","△二番底買(確)",IF($U397="二番底W形成","△二番底形成",IF($D397&lt;$J397,"▼-2σ割れ危険",IF(AND($D397&gt;$E397,$K397&lt;0.6,$R397&gt;=50),"・押し目注目",IF($N397="スクイーズ★","☆スクイーズ監視","様子見")))))))))</f>
      </c>
      <c r="X397" s="685">
        <f>IF($D397="","",MIN(100,IF($L397&lt;=$M397*1.15,20,IF($L397&lt;=$M397*1.4,10,0))+IF($D397&gt;$G397,20,IF($D397&gt;$H397,12,IF($D397&gt;$E397,5,0)))+IF($O397="拡大↑",10,0)+IF($R397&gt;=80,15,IF($R397&gt;=60,10,IF($R397&gt;=50,5,0)))+IF(AND($Q397&gt;=50,$Q397&lt;=70),10,IF($Q397&gt;70,3,IF($Q397&gt;=40,5,0)))+IF($S397="強気div▲",15,0)+IF($T397="上walk▲",5,0)+IF($V397&gt;=2,5,IF($V397&gt;=1.5,3,0))))</f>
      </c>
      <c r="Y397" s="682">
        <f>IF($D397="","",$D397)</f>
      </c>
      <c r="Z397" s="682">
        <f>IF($D397="","",$H397)</f>
      </c>
      <c r="AA397" s="682">
        <f>IF($D397="","",IF($D397&gt;$E397,$E397,$AD397))</f>
      </c>
      <c r="AB397" s="682">
        <f>IF($D397="","",$G397)</f>
      </c>
      <c r="AC397" s="688">
        <f>IF($D397="","",IF(($Y397-$AA397)&lt;=0,"－",IFERROR(ROUND(MIN(20,($AB397-$Y397)/($Y397-$AA397)),2),"－")))</f>
      </c>
      <c r="AD397" s="682">
        <f>IF($D397="","",MIN(終値!E397:I397))</f>
      </c>
      <c r="AE397" s="684">
        <f>IF($D397="","",$X397+(10000-ROW())/100000)</f>
      </c>
    </row>
    <row r="398">
      <c r="A398" s="681">
        <f>IF(終値!A398="","",HYPERLINK("https://kabutan.jp/stock/?code="&amp;終値!A398,"📈"))</f>
      </c>
      <c r="B398" s="681">
        <f>IF(終値!A398="","",終値!A398)</f>
      </c>
      <c r="C398" s="680">
        <f>IF(終値!A398="","",終値!B398)</f>
      </c>
      <c r="D398" s="682">
        <f>IF(終値!A398="","",終値!E398)</f>
      </c>
      <c r="E398" s="682">
        <f>IF($D398="","",AVERAGE(終値!E398:X398))</f>
      </c>
      <c r="F398" s="683">
        <f>IF($D398="","",STDEVP(終値!E398:X398))</f>
      </c>
      <c r="G398" s="682">
        <f>IF($D398="","",$E398+BB設定!$B$4*$F398)</f>
      </c>
      <c r="H398" s="682">
        <f>IF($D398="","",$E398+BB設定!$B$5*$F398)</f>
      </c>
      <c r="I398" s="682">
        <f>IF($D398="","",$E398-BB設定!$B$5*$F398)</f>
      </c>
      <c r="J398" s="682">
        <f>IF($D398="","",$E398-BB設定!$B$4*$F398)</f>
      </c>
      <c r="K398" s="687">
        <f>IF($D398="","",IFERROR(($D398-$J398)/($G398-$J398),""))</f>
      </c>
      <c r="L398" s="686">
        <f>IF($D398="","",IFERROR(($G398-$J398)/$E398*100,""))</f>
      </c>
      <c r="M398" s="686">
        <f>IF($D398="","",IFERROR(MIN(BB_帯幅!B398:AP398)*100,""))</f>
      </c>
      <c r="N398" s="681">
        <f>IF($L398="","",IF($L398&lt;=$M398*BB設定!$B$7,"スクイーズ★",IF($L398&lt;=$M398*1.3,"収縮","－")))</f>
      </c>
      <c r="O398" s="681">
        <f>IF($D398="","",IF($L398&gt;(4*STDEVP(終値!F398:Y398)/AVERAGE(終値!F398:Y398)*100),"拡大↑","縮小↓"))</f>
      </c>
      <c r="P398" s="681">
        <f>IF($D398="","",IF($D398&gt;$G398,"↑+2σ突破",IF($D398&lt;$J398,"↓-2σ割れ",IF($D398&gt;$H398,"+1σ上",IF($D398&lt;$I398,"-1σ下","バンド内")))))</f>
      </c>
      <c r="Q398" s="684">
        <f>IF($D398="","",IFERROR(100-100/(1+SUMPRODUCT((終値!E398:R398&gt;終値!F398:S398)*(終値!E398:R398-終値!F398:S398))/SUMPRODUCT((終値!E398:R398&lt;終値!F398:S398)*(終値!F398:S398-終値!E398:R398))),100))</f>
      </c>
      <c r="R398" s="684">
        <f>IF($D398="","",IFERROR(100-100/(1+SUMPRODUCT((((高値!E398:R398+安値!E398:R398+終値!E398:R398)/3)&gt;((高値!F398:S398+安値!F398:S398+終値!F398:S398)/3))*((高値!E398:R398+安値!E398:R398+終値!E398:R398)/3)*出来高!E398:R398)/SUMPRODUCT((((高値!E398:R398+安値!E398:R398+終値!E398:R398)/3)&lt;((高値!F398:S398+安値!F398:S398+終値!F398:S398)/3))*((高値!E398:R398+安値!E398:R398+終値!E398:R398)/3)*出来高!E398:R398)),50))</f>
      </c>
      <c r="S398" s="681">
        <f>IF($D398="","",IF(AND(終値!E398&lt;終値!O398,$Q398&gt;(IFERROR(100-100/(1+SUMPRODUCT((終値!O398:AB398&gt;終値!P398:AC398)*(終値!O398:AB398-終値!P398:AC398))/SUMPRODUCT((終値!O398:AB398&lt;終値!P398:AC398)*(終値!P398:AC398-終値!O398:AB398))),100))),"強気div▲",IF(AND(終値!E398&gt;終値!O398,$Q398&lt;(IFERROR(100-100/(1+SUMPRODUCT((終値!O398:AB398&gt;終値!P398:AC398)*(終値!O398:AB398-終値!P398:AC398))/SUMPRODUCT((終値!O398:AB398&lt;終値!P398:AC398)*(終値!P398:AC398-終値!O398:AB398))),100))),"弱気div▼","－")))</f>
      </c>
      <c r="T398" s="681">
        <f>IF($D398="","",IF($D398&gt;=$H398,"上walk▲",IF($D398&lt;=$I398,"下walk▼","－")))</f>
      </c>
      <c r="U398" s="681">
        <f>IF(終値!A398="","",BB_スイング!BT398)</f>
      </c>
      <c r="V398" s="689">
        <f>IF($D398="","",IFERROR(出来高!E398/AVERAGE(出来高!E398:I398),""))</f>
      </c>
      <c r="W398" s="690">
        <f>IF($D398="","",IF(AND($D398&gt;$G398,$O398="拡大↑",$L398&lt;=$M398*1.8),"◎スクイーズブレイク買",IF(AND($D398&gt;=$H398,$R398&gt;=BB設定!$B$10),"○順張り継続(walk)",IF(AND($S398="強気div▲",$D398&gt;$I398),"○反発(ダイバ)買",IF($U398="二番底W▲","△二番底買(確)",IF($U398="二番底W形成","△二番底形成",IF($D398&lt;$J398,"▼-2σ割れ危険",IF(AND($D398&gt;$E398,$K398&lt;0.6,$R398&gt;=50),"・押し目注目",IF($N398="スクイーズ★","☆スクイーズ監視","様子見")))))))))</f>
      </c>
      <c r="X398" s="685">
        <f>IF($D398="","",MIN(100,IF($L398&lt;=$M398*1.15,20,IF($L398&lt;=$M398*1.4,10,0))+IF($D398&gt;$G398,20,IF($D398&gt;$H398,12,IF($D398&gt;$E398,5,0)))+IF($O398="拡大↑",10,0)+IF($R398&gt;=80,15,IF($R398&gt;=60,10,IF($R398&gt;=50,5,0)))+IF(AND($Q398&gt;=50,$Q398&lt;=70),10,IF($Q398&gt;70,3,IF($Q398&gt;=40,5,0)))+IF($S398="強気div▲",15,0)+IF($T398="上walk▲",5,0)+IF($V398&gt;=2,5,IF($V398&gt;=1.5,3,0))))</f>
      </c>
      <c r="Y398" s="682">
        <f>IF($D398="","",$D398)</f>
      </c>
      <c r="Z398" s="682">
        <f>IF($D398="","",$H398)</f>
      </c>
      <c r="AA398" s="682">
        <f>IF($D398="","",IF($D398&gt;$E398,$E398,$AD398))</f>
      </c>
      <c r="AB398" s="682">
        <f>IF($D398="","",$G398)</f>
      </c>
      <c r="AC398" s="688">
        <f>IF($D398="","",IF(($Y398-$AA398)&lt;=0,"－",IFERROR(ROUND(MIN(20,($AB398-$Y398)/($Y398-$AA398)),2),"－")))</f>
      </c>
      <c r="AD398" s="682">
        <f>IF($D398="","",MIN(終値!E398:I398))</f>
      </c>
      <c r="AE398" s="684">
        <f>IF($D398="","",$X398+(10000-ROW())/100000)</f>
      </c>
    </row>
    <row r="399">
      <c r="A399" s="681">
        <f>IF(終値!A399="","",HYPERLINK("https://kabutan.jp/stock/?code="&amp;終値!A399,"📈"))</f>
      </c>
      <c r="B399" s="681">
        <f>IF(終値!A399="","",終値!A399)</f>
      </c>
      <c r="C399" s="680">
        <f>IF(終値!A399="","",終値!B399)</f>
      </c>
      <c r="D399" s="682">
        <f>IF(終値!A399="","",終値!E399)</f>
      </c>
      <c r="E399" s="682">
        <f>IF($D399="","",AVERAGE(終値!E399:X399))</f>
      </c>
      <c r="F399" s="683">
        <f>IF($D399="","",STDEVP(終値!E399:X399))</f>
      </c>
      <c r="G399" s="682">
        <f>IF($D399="","",$E399+BB設定!$B$4*$F399)</f>
      </c>
      <c r="H399" s="682">
        <f>IF($D399="","",$E399+BB設定!$B$5*$F399)</f>
      </c>
      <c r="I399" s="682">
        <f>IF($D399="","",$E399-BB設定!$B$5*$F399)</f>
      </c>
      <c r="J399" s="682">
        <f>IF($D399="","",$E399-BB設定!$B$4*$F399)</f>
      </c>
      <c r="K399" s="687">
        <f>IF($D399="","",IFERROR(($D399-$J399)/($G399-$J399),""))</f>
      </c>
      <c r="L399" s="686">
        <f>IF($D399="","",IFERROR(($G399-$J399)/$E399*100,""))</f>
      </c>
      <c r="M399" s="686">
        <f>IF($D399="","",IFERROR(MIN(BB_帯幅!B399:AP399)*100,""))</f>
      </c>
      <c r="N399" s="681">
        <f>IF($L399="","",IF($L399&lt;=$M399*BB設定!$B$7,"スクイーズ★",IF($L399&lt;=$M399*1.3,"収縮","－")))</f>
      </c>
      <c r="O399" s="681">
        <f>IF($D399="","",IF($L399&gt;(4*STDEVP(終値!F399:Y399)/AVERAGE(終値!F399:Y399)*100),"拡大↑","縮小↓"))</f>
      </c>
      <c r="P399" s="681">
        <f>IF($D399="","",IF($D399&gt;$G399,"↑+2σ突破",IF($D399&lt;$J399,"↓-2σ割れ",IF($D399&gt;$H399,"+1σ上",IF($D399&lt;$I399,"-1σ下","バンド内")))))</f>
      </c>
      <c r="Q399" s="684">
        <f>IF($D399="","",IFERROR(100-100/(1+SUMPRODUCT((終値!E399:R399&gt;終値!F399:S399)*(終値!E399:R399-終値!F399:S399))/SUMPRODUCT((終値!E399:R399&lt;終値!F399:S399)*(終値!F399:S399-終値!E399:R399))),100))</f>
      </c>
      <c r="R399" s="684">
        <f>IF($D399="","",IFERROR(100-100/(1+SUMPRODUCT((((高値!E399:R399+安値!E399:R399+終値!E399:R399)/3)&gt;((高値!F399:S399+安値!F399:S399+終値!F399:S399)/3))*((高値!E399:R399+安値!E399:R399+終値!E399:R399)/3)*出来高!E399:R399)/SUMPRODUCT((((高値!E399:R399+安値!E399:R399+終値!E399:R399)/3)&lt;((高値!F399:S399+安値!F399:S399+終値!F399:S399)/3))*((高値!E399:R399+安値!E399:R399+終値!E399:R399)/3)*出来高!E399:R399)),50))</f>
      </c>
      <c r="S399" s="681">
        <f>IF($D399="","",IF(AND(終値!E399&lt;終値!O399,$Q399&gt;(IFERROR(100-100/(1+SUMPRODUCT((終値!O399:AB399&gt;終値!P399:AC399)*(終値!O399:AB399-終値!P399:AC399))/SUMPRODUCT((終値!O399:AB399&lt;終値!P399:AC399)*(終値!P399:AC399-終値!O399:AB399))),100))),"強気div▲",IF(AND(終値!E399&gt;終値!O399,$Q399&lt;(IFERROR(100-100/(1+SUMPRODUCT((終値!O399:AB399&gt;終値!P399:AC399)*(終値!O399:AB399-終値!P399:AC399))/SUMPRODUCT((終値!O399:AB399&lt;終値!P399:AC399)*(終値!P399:AC399-終値!O399:AB399))),100))),"弱気div▼","－")))</f>
      </c>
      <c r="T399" s="681">
        <f>IF($D399="","",IF($D399&gt;=$H399,"上walk▲",IF($D399&lt;=$I399,"下walk▼","－")))</f>
      </c>
      <c r="U399" s="681">
        <f>IF(終値!A399="","",BB_スイング!BT399)</f>
      </c>
      <c r="V399" s="689">
        <f>IF($D399="","",IFERROR(出来高!E399/AVERAGE(出来高!E399:I399),""))</f>
      </c>
      <c r="W399" s="690">
        <f>IF($D399="","",IF(AND($D399&gt;$G399,$O399="拡大↑",$L399&lt;=$M399*1.8),"◎スクイーズブレイク買",IF(AND($D399&gt;=$H399,$R399&gt;=BB設定!$B$10),"○順張り継続(walk)",IF(AND($S399="強気div▲",$D399&gt;$I399),"○反発(ダイバ)買",IF($U399="二番底W▲","△二番底買(確)",IF($U399="二番底W形成","△二番底形成",IF($D399&lt;$J399,"▼-2σ割れ危険",IF(AND($D399&gt;$E399,$K399&lt;0.6,$R399&gt;=50),"・押し目注目",IF($N399="スクイーズ★","☆スクイーズ監視","様子見")))))))))</f>
      </c>
      <c r="X399" s="685">
        <f>IF($D399="","",MIN(100,IF($L399&lt;=$M399*1.15,20,IF($L399&lt;=$M399*1.4,10,0))+IF($D399&gt;$G399,20,IF($D399&gt;$H399,12,IF($D399&gt;$E399,5,0)))+IF($O399="拡大↑",10,0)+IF($R399&gt;=80,15,IF($R399&gt;=60,10,IF($R399&gt;=50,5,0)))+IF(AND($Q399&gt;=50,$Q399&lt;=70),10,IF($Q399&gt;70,3,IF($Q399&gt;=40,5,0)))+IF($S399="強気div▲",15,0)+IF($T399="上walk▲",5,0)+IF($V399&gt;=2,5,IF($V399&gt;=1.5,3,0))))</f>
      </c>
      <c r="Y399" s="682">
        <f>IF($D399="","",$D399)</f>
      </c>
      <c r="Z399" s="682">
        <f>IF($D399="","",$H399)</f>
      </c>
      <c r="AA399" s="682">
        <f>IF($D399="","",IF($D399&gt;$E399,$E399,$AD399))</f>
      </c>
      <c r="AB399" s="682">
        <f>IF($D399="","",$G399)</f>
      </c>
      <c r="AC399" s="688">
        <f>IF($D399="","",IF(($Y399-$AA399)&lt;=0,"－",IFERROR(ROUND(MIN(20,($AB399-$Y399)/($Y399-$AA399)),2),"－")))</f>
      </c>
      <c r="AD399" s="682">
        <f>IF($D399="","",MIN(終値!E399:I399))</f>
      </c>
      <c r="AE399" s="684">
        <f>IF($D399="","",$X399+(10000-ROW())/100000)</f>
      </c>
    </row>
    <row r="400">
      <c r="A400" s="681">
        <f>IF(終値!A400="","",HYPERLINK("https://kabutan.jp/stock/?code="&amp;終値!A400,"📈"))</f>
      </c>
      <c r="B400" s="681">
        <f>IF(終値!A400="","",終値!A400)</f>
      </c>
      <c r="C400" s="680">
        <f>IF(終値!A400="","",終値!B400)</f>
      </c>
      <c r="D400" s="682">
        <f>IF(終値!A400="","",終値!E400)</f>
      </c>
      <c r="E400" s="682">
        <f>IF($D400="","",AVERAGE(終値!E400:X400))</f>
      </c>
      <c r="F400" s="683">
        <f>IF($D400="","",STDEVP(終値!E400:X400))</f>
      </c>
      <c r="G400" s="682">
        <f>IF($D400="","",$E400+BB設定!$B$4*$F400)</f>
      </c>
      <c r="H400" s="682">
        <f>IF($D400="","",$E400+BB設定!$B$5*$F400)</f>
      </c>
      <c r="I400" s="682">
        <f>IF($D400="","",$E400-BB設定!$B$5*$F400)</f>
      </c>
      <c r="J400" s="682">
        <f>IF($D400="","",$E400-BB設定!$B$4*$F400)</f>
      </c>
      <c r="K400" s="687">
        <f>IF($D400="","",IFERROR(($D400-$J400)/($G400-$J400),""))</f>
      </c>
      <c r="L400" s="686">
        <f>IF($D400="","",IFERROR(($G400-$J400)/$E400*100,""))</f>
      </c>
      <c r="M400" s="686">
        <f>IF($D400="","",IFERROR(MIN(BB_帯幅!B400:AP400)*100,""))</f>
      </c>
      <c r="N400" s="681">
        <f>IF($L400="","",IF($L400&lt;=$M400*BB設定!$B$7,"スクイーズ★",IF($L400&lt;=$M400*1.3,"収縮","－")))</f>
      </c>
      <c r="O400" s="681">
        <f>IF($D400="","",IF($L400&gt;(4*STDEVP(終値!F400:Y400)/AVERAGE(終値!F400:Y400)*100),"拡大↑","縮小↓"))</f>
      </c>
      <c r="P400" s="681">
        <f>IF($D400="","",IF($D400&gt;$G400,"↑+2σ突破",IF($D400&lt;$J400,"↓-2σ割れ",IF($D400&gt;$H400,"+1σ上",IF($D400&lt;$I400,"-1σ下","バンド内")))))</f>
      </c>
      <c r="Q400" s="684">
        <f>IF($D400="","",IFERROR(100-100/(1+SUMPRODUCT((終値!E400:R400&gt;終値!F400:S400)*(終値!E400:R400-終値!F400:S400))/SUMPRODUCT((終値!E400:R400&lt;終値!F400:S400)*(終値!F400:S400-終値!E400:R400))),100))</f>
      </c>
      <c r="R400" s="684">
        <f>IF($D400="","",IFERROR(100-100/(1+SUMPRODUCT((((高値!E400:R400+安値!E400:R400+終値!E400:R400)/3)&gt;((高値!F400:S400+安値!F400:S400+終値!F400:S400)/3))*((高値!E400:R400+安値!E400:R400+終値!E400:R400)/3)*出来高!E400:R400)/SUMPRODUCT((((高値!E400:R400+安値!E400:R400+終値!E400:R400)/3)&lt;((高値!F400:S400+安値!F400:S400+終値!F400:S400)/3))*((高値!E400:R400+安値!E400:R400+終値!E400:R400)/3)*出来高!E400:R400)),50))</f>
      </c>
      <c r="S400" s="681">
        <f>IF($D400="","",IF(AND(終値!E400&lt;終値!O400,$Q400&gt;(IFERROR(100-100/(1+SUMPRODUCT((終値!O400:AB400&gt;終値!P400:AC400)*(終値!O400:AB400-終値!P400:AC400))/SUMPRODUCT((終値!O400:AB400&lt;終値!P400:AC400)*(終値!P400:AC400-終値!O400:AB400))),100))),"強気div▲",IF(AND(終値!E400&gt;終値!O400,$Q400&lt;(IFERROR(100-100/(1+SUMPRODUCT((終値!O400:AB400&gt;終値!P400:AC400)*(終値!O400:AB400-終値!P400:AC400))/SUMPRODUCT((終値!O400:AB400&lt;終値!P400:AC400)*(終値!P400:AC400-終値!O400:AB400))),100))),"弱気div▼","－")))</f>
      </c>
      <c r="T400" s="681">
        <f>IF($D400="","",IF($D400&gt;=$H400,"上walk▲",IF($D400&lt;=$I400,"下walk▼","－")))</f>
      </c>
      <c r="U400" s="681">
        <f>IF(終値!A400="","",BB_スイング!BT400)</f>
      </c>
      <c r="V400" s="689">
        <f>IF($D400="","",IFERROR(出来高!E400/AVERAGE(出来高!E400:I400),""))</f>
      </c>
      <c r="W400" s="690">
        <f>IF($D400="","",IF(AND($D400&gt;$G400,$O400="拡大↑",$L400&lt;=$M400*1.8),"◎スクイーズブレイク買",IF(AND($D400&gt;=$H400,$R400&gt;=BB設定!$B$10),"○順張り継続(walk)",IF(AND($S400="強気div▲",$D400&gt;$I400),"○反発(ダイバ)買",IF($U400="二番底W▲","△二番底買(確)",IF($U400="二番底W形成","△二番底形成",IF($D400&lt;$J400,"▼-2σ割れ危険",IF(AND($D400&gt;$E400,$K400&lt;0.6,$R400&gt;=50),"・押し目注目",IF($N400="スクイーズ★","☆スクイーズ監視","様子見")))))))))</f>
      </c>
      <c r="X400" s="685">
        <f>IF($D400="","",MIN(100,IF($L400&lt;=$M400*1.15,20,IF($L400&lt;=$M400*1.4,10,0))+IF($D400&gt;$G400,20,IF($D400&gt;$H400,12,IF($D400&gt;$E400,5,0)))+IF($O400="拡大↑",10,0)+IF($R400&gt;=80,15,IF($R400&gt;=60,10,IF($R400&gt;=50,5,0)))+IF(AND($Q400&gt;=50,$Q400&lt;=70),10,IF($Q400&gt;70,3,IF($Q400&gt;=40,5,0)))+IF($S400="強気div▲",15,0)+IF($T400="上walk▲",5,0)+IF($V400&gt;=2,5,IF($V400&gt;=1.5,3,0))))</f>
      </c>
      <c r="Y400" s="682">
        <f>IF($D400="","",$D400)</f>
      </c>
      <c r="Z400" s="682">
        <f>IF($D400="","",$H400)</f>
      </c>
      <c r="AA400" s="682">
        <f>IF($D400="","",IF($D400&gt;$E400,$E400,$AD400))</f>
      </c>
      <c r="AB400" s="682">
        <f>IF($D400="","",$G400)</f>
      </c>
      <c r="AC400" s="688">
        <f>IF($D400="","",IF(($Y400-$AA400)&lt;=0,"－",IFERROR(ROUND(MIN(20,($AB400-$Y400)/($Y400-$AA400)),2),"－")))</f>
      </c>
      <c r="AD400" s="682">
        <f>IF($D400="","",MIN(終値!E400:I400))</f>
      </c>
      <c r="AE400" s="684">
        <f>IF($D400="","",$X400+(10000-ROW())/100000)</f>
      </c>
    </row>
    <row r="401">
      <c r="A401" s="681">
        <f>IF(終値!A401="","",HYPERLINK("https://kabutan.jp/stock/?code="&amp;終値!A401,"📈"))</f>
      </c>
      <c r="B401" s="681">
        <f>IF(終値!A401="","",終値!A401)</f>
      </c>
      <c r="C401" s="680">
        <f>IF(終値!A401="","",終値!B401)</f>
      </c>
      <c r="D401" s="682">
        <f>IF(終値!A401="","",終値!E401)</f>
      </c>
      <c r="E401" s="682">
        <f>IF($D401="","",AVERAGE(終値!E401:X401))</f>
      </c>
      <c r="F401" s="683">
        <f>IF($D401="","",STDEVP(終値!E401:X401))</f>
      </c>
      <c r="G401" s="682">
        <f>IF($D401="","",$E401+BB設定!$B$4*$F401)</f>
      </c>
      <c r="H401" s="682">
        <f>IF($D401="","",$E401+BB設定!$B$5*$F401)</f>
      </c>
      <c r="I401" s="682">
        <f>IF($D401="","",$E401-BB設定!$B$5*$F401)</f>
      </c>
      <c r="J401" s="682">
        <f>IF($D401="","",$E401-BB設定!$B$4*$F401)</f>
      </c>
      <c r="K401" s="687">
        <f>IF($D401="","",IFERROR(($D401-$J401)/($G401-$J401),""))</f>
      </c>
      <c r="L401" s="686">
        <f>IF($D401="","",IFERROR(($G401-$J401)/$E401*100,""))</f>
      </c>
      <c r="M401" s="686">
        <f>IF($D401="","",IFERROR(MIN(BB_帯幅!B401:AP401)*100,""))</f>
      </c>
      <c r="N401" s="681">
        <f>IF($L401="","",IF($L401&lt;=$M401*BB設定!$B$7,"スクイーズ★",IF($L401&lt;=$M401*1.3,"収縮","－")))</f>
      </c>
      <c r="O401" s="681">
        <f>IF($D401="","",IF($L401&gt;(4*STDEVP(終値!F401:Y401)/AVERAGE(終値!F401:Y401)*100),"拡大↑","縮小↓"))</f>
      </c>
      <c r="P401" s="681">
        <f>IF($D401="","",IF($D401&gt;$G401,"↑+2σ突破",IF($D401&lt;$J401,"↓-2σ割れ",IF($D401&gt;$H401,"+1σ上",IF($D401&lt;$I401,"-1σ下","バンド内")))))</f>
      </c>
      <c r="Q401" s="684">
        <f>IF($D401="","",IFERROR(100-100/(1+SUMPRODUCT((終値!E401:R401&gt;終値!F401:S401)*(終値!E401:R401-終値!F401:S401))/SUMPRODUCT((終値!E401:R401&lt;終値!F401:S401)*(終値!F401:S401-終値!E401:R401))),100))</f>
      </c>
      <c r="R401" s="684">
        <f>IF($D401="","",IFERROR(100-100/(1+SUMPRODUCT((((高値!E401:R401+安値!E401:R401+終値!E401:R401)/3)&gt;((高値!F401:S401+安値!F401:S401+終値!F401:S401)/3))*((高値!E401:R401+安値!E401:R401+終値!E401:R401)/3)*出来高!E401:R401)/SUMPRODUCT((((高値!E401:R401+安値!E401:R401+終値!E401:R401)/3)&lt;((高値!F401:S401+安値!F401:S401+終値!F401:S401)/3))*((高値!E401:R401+安値!E401:R401+終値!E401:R401)/3)*出来高!E401:R401)),50))</f>
      </c>
      <c r="S401" s="681">
        <f>IF($D401="","",IF(AND(終値!E401&lt;終値!O401,$Q401&gt;(IFERROR(100-100/(1+SUMPRODUCT((終値!O401:AB401&gt;終値!P401:AC401)*(終値!O401:AB401-終値!P401:AC401))/SUMPRODUCT((終値!O401:AB401&lt;終値!P401:AC401)*(終値!P401:AC401-終値!O401:AB401))),100))),"強気div▲",IF(AND(終値!E401&gt;終値!O401,$Q401&lt;(IFERROR(100-100/(1+SUMPRODUCT((終値!O401:AB401&gt;終値!P401:AC401)*(終値!O401:AB401-終値!P401:AC401))/SUMPRODUCT((終値!O401:AB401&lt;終値!P401:AC401)*(終値!P401:AC401-終値!O401:AB401))),100))),"弱気div▼","－")))</f>
      </c>
      <c r="T401" s="681">
        <f>IF($D401="","",IF($D401&gt;=$H401,"上walk▲",IF($D401&lt;=$I401,"下walk▼","－")))</f>
      </c>
      <c r="U401" s="681">
        <f>IF(終値!A401="","",BB_スイング!BT401)</f>
      </c>
      <c r="V401" s="689">
        <f>IF($D401="","",IFERROR(出来高!E401/AVERAGE(出来高!E401:I401),""))</f>
      </c>
      <c r="W401" s="690">
        <f>IF($D401="","",IF(AND($D401&gt;$G401,$O401="拡大↑",$L401&lt;=$M401*1.8),"◎スクイーズブレイク買",IF(AND($D401&gt;=$H401,$R401&gt;=BB設定!$B$10),"○順張り継続(walk)",IF(AND($S401="強気div▲",$D401&gt;$I401),"○反発(ダイバ)買",IF($U401="二番底W▲","△二番底買(確)",IF($U401="二番底W形成","△二番底形成",IF($D401&lt;$J401,"▼-2σ割れ危険",IF(AND($D401&gt;$E401,$K401&lt;0.6,$R401&gt;=50),"・押し目注目",IF($N401="スクイーズ★","☆スクイーズ監視","様子見")))))))))</f>
      </c>
      <c r="X401" s="685">
        <f>IF($D401="","",MIN(100,IF($L401&lt;=$M401*1.15,20,IF($L401&lt;=$M401*1.4,10,0))+IF($D401&gt;$G401,20,IF($D401&gt;$H401,12,IF($D401&gt;$E401,5,0)))+IF($O401="拡大↑",10,0)+IF($R401&gt;=80,15,IF($R401&gt;=60,10,IF($R401&gt;=50,5,0)))+IF(AND($Q401&gt;=50,$Q401&lt;=70),10,IF($Q401&gt;70,3,IF($Q401&gt;=40,5,0)))+IF($S401="強気div▲",15,0)+IF($T401="上walk▲",5,0)+IF($V401&gt;=2,5,IF($V401&gt;=1.5,3,0))))</f>
      </c>
      <c r="Y401" s="682">
        <f>IF($D401="","",$D401)</f>
      </c>
      <c r="Z401" s="682">
        <f>IF($D401="","",$H401)</f>
      </c>
      <c r="AA401" s="682">
        <f>IF($D401="","",IF($D401&gt;$E401,$E401,$AD401))</f>
      </c>
      <c r="AB401" s="682">
        <f>IF($D401="","",$G401)</f>
      </c>
      <c r="AC401" s="688">
        <f>IF($D401="","",IF(($Y401-$AA401)&lt;=0,"－",IFERROR(ROUND(MIN(20,($AB401-$Y401)/($Y401-$AA401)),2),"－")))</f>
      </c>
      <c r="AD401" s="682">
        <f>IF($D401="","",MIN(終値!E401:I401))</f>
      </c>
      <c r="AE401" s="684">
        <f>IF($D401="","",$X401+(10000-ROW())/100000)</f>
      </c>
    </row>
    <row r="402">
      <c r="A402" s="681">
        <f>IF(終値!A402="","",HYPERLINK("https://kabutan.jp/stock/?code="&amp;終値!A402,"📈"))</f>
      </c>
      <c r="B402" s="681">
        <f>IF(終値!A402="","",終値!A402)</f>
      </c>
      <c r="C402" s="680">
        <f>IF(終値!A402="","",終値!B402)</f>
      </c>
      <c r="D402" s="682">
        <f>IF(終値!A402="","",終値!E402)</f>
      </c>
      <c r="E402" s="682">
        <f>IF($D402="","",AVERAGE(終値!E402:X402))</f>
      </c>
      <c r="F402" s="683">
        <f>IF($D402="","",STDEVP(終値!E402:X402))</f>
      </c>
      <c r="G402" s="682">
        <f>IF($D402="","",$E402+BB設定!$B$4*$F402)</f>
      </c>
      <c r="H402" s="682">
        <f>IF($D402="","",$E402+BB設定!$B$5*$F402)</f>
      </c>
      <c r="I402" s="682">
        <f>IF($D402="","",$E402-BB設定!$B$5*$F402)</f>
      </c>
      <c r="J402" s="682">
        <f>IF($D402="","",$E402-BB設定!$B$4*$F402)</f>
      </c>
      <c r="K402" s="687">
        <f>IF($D402="","",IFERROR(($D402-$J402)/($G402-$J402),""))</f>
      </c>
      <c r="L402" s="686">
        <f>IF($D402="","",IFERROR(($G402-$J402)/$E402*100,""))</f>
      </c>
      <c r="M402" s="686">
        <f>IF($D402="","",IFERROR(MIN(BB_帯幅!B402:AP402)*100,""))</f>
      </c>
      <c r="N402" s="681">
        <f>IF($L402="","",IF($L402&lt;=$M402*BB設定!$B$7,"スクイーズ★",IF($L402&lt;=$M402*1.3,"収縮","－")))</f>
      </c>
      <c r="O402" s="681">
        <f>IF($D402="","",IF($L402&gt;(4*STDEVP(終値!F402:Y402)/AVERAGE(終値!F402:Y402)*100),"拡大↑","縮小↓"))</f>
      </c>
      <c r="P402" s="681">
        <f>IF($D402="","",IF($D402&gt;$G402,"↑+2σ突破",IF($D402&lt;$J402,"↓-2σ割れ",IF($D402&gt;$H402,"+1σ上",IF($D402&lt;$I402,"-1σ下","バンド内")))))</f>
      </c>
      <c r="Q402" s="684">
        <f>IF($D402="","",IFERROR(100-100/(1+SUMPRODUCT((終値!E402:R402&gt;終値!F402:S402)*(終値!E402:R402-終値!F402:S402))/SUMPRODUCT((終値!E402:R402&lt;終値!F402:S402)*(終値!F402:S402-終値!E402:R402))),100))</f>
      </c>
      <c r="R402" s="684">
        <f>IF($D402="","",IFERROR(100-100/(1+SUMPRODUCT((((高値!E402:R402+安値!E402:R402+終値!E402:R402)/3)&gt;((高値!F402:S402+安値!F402:S402+終値!F402:S402)/3))*((高値!E402:R402+安値!E402:R402+終値!E402:R402)/3)*出来高!E402:R402)/SUMPRODUCT((((高値!E402:R402+安値!E402:R402+終値!E402:R402)/3)&lt;((高値!F402:S402+安値!F402:S402+終値!F402:S402)/3))*((高値!E402:R402+安値!E402:R402+終値!E402:R402)/3)*出来高!E402:R402)),50))</f>
      </c>
      <c r="S402" s="681">
        <f>IF($D402="","",IF(AND(終値!E402&lt;終値!O402,$Q402&gt;(IFERROR(100-100/(1+SUMPRODUCT((終値!O402:AB402&gt;終値!P402:AC402)*(終値!O402:AB402-終値!P402:AC402))/SUMPRODUCT((終値!O402:AB402&lt;終値!P402:AC402)*(終値!P402:AC402-終値!O402:AB402))),100))),"強気div▲",IF(AND(終値!E402&gt;終値!O402,$Q402&lt;(IFERROR(100-100/(1+SUMPRODUCT((終値!O402:AB402&gt;終値!P402:AC402)*(終値!O402:AB402-終値!P402:AC402))/SUMPRODUCT((終値!O402:AB402&lt;終値!P402:AC402)*(終値!P402:AC402-終値!O402:AB402))),100))),"弱気div▼","－")))</f>
      </c>
      <c r="T402" s="681">
        <f>IF($D402="","",IF($D402&gt;=$H402,"上walk▲",IF($D402&lt;=$I402,"下walk▼","－")))</f>
      </c>
      <c r="U402" s="681">
        <f>IF(終値!A402="","",BB_スイング!BT402)</f>
      </c>
      <c r="V402" s="689">
        <f>IF($D402="","",IFERROR(出来高!E402/AVERAGE(出来高!E402:I402),""))</f>
      </c>
      <c r="W402" s="690">
        <f>IF($D402="","",IF(AND($D402&gt;$G402,$O402="拡大↑",$L402&lt;=$M402*1.8),"◎スクイーズブレイク買",IF(AND($D402&gt;=$H402,$R402&gt;=BB設定!$B$10),"○順張り継続(walk)",IF(AND($S402="強気div▲",$D402&gt;$I402),"○反発(ダイバ)買",IF($U402="二番底W▲","△二番底買(確)",IF($U402="二番底W形成","△二番底形成",IF($D402&lt;$J402,"▼-2σ割れ危険",IF(AND($D402&gt;$E402,$K402&lt;0.6,$R402&gt;=50),"・押し目注目",IF($N402="スクイーズ★","☆スクイーズ監視","様子見")))))))))</f>
      </c>
      <c r="X402" s="685">
        <f>IF($D402="","",MIN(100,IF($L402&lt;=$M402*1.15,20,IF($L402&lt;=$M402*1.4,10,0))+IF($D402&gt;$G402,20,IF($D402&gt;$H402,12,IF($D402&gt;$E402,5,0)))+IF($O402="拡大↑",10,0)+IF($R402&gt;=80,15,IF($R402&gt;=60,10,IF($R402&gt;=50,5,0)))+IF(AND($Q402&gt;=50,$Q402&lt;=70),10,IF($Q402&gt;70,3,IF($Q402&gt;=40,5,0)))+IF($S402="強気div▲",15,0)+IF($T402="上walk▲",5,0)+IF($V402&gt;=2,5,IF($V402&gt;=1.5,3,0))))</f>
      </c>
      <c r="Y402" s="682">
        <f>IF($D402="","",$D402)</f>
      </c>
      <c r="Z402" s="682">
        <f>IF($D402="","",$H402)</f>
      </c>
      <c r="AA402" s="682">
        <f>IF($D402="","",IF($D402&gt;$E402,$E402,$AD402))</f>
      </c>
      <c r="AB402" s="682">
        <f>IF($D402="","",$G402)</f>
      </c>
      <c r="AC402" s="688">
        <f>IF($D402="","",IF(($Y402-$AA402)&lt;=0,"－",IFERROR(ROUND(MIN(20,($AB402-$Y402)/($Y402-$AA402)),2),"－")))</f>
      </c>
      <c r="AD402" s="682">
        <f>IF($D402="","",MIN(終値!E402:I402))</f>
      </c>
      <c r="AE402" s="684">
        <f>IF($D402="","",$X402+(10000-ROW())/100000)</f>
      </c>
    </row>
    <row r="403">
      <c r="A403" s="681">
        <f>IF(終値!A403="","",HYPERLINK("https://kabutan.jp/stock/?code="&amp;終値!A403,"📈"))</f>
      </c>
      <c r="B403" s="681">
        <f>IF(終値!A403="","",終値!A403)</f>
      </c>
      <c r="C403" s="680">
        <f>IF(終値!A403="","",終値!B403)</f>
      </c>
      <c r="D403" s="682">
        <f>IF(終値!A403="","",終値!E403)</f>
      </c>
      <c r="E403" s="682">
        <f>IF($D403="","",AVERAGE(終値!E403:X403))</f>
      </c>
      <c r="F403" s="683">
        <f>IF($D403="","",STDEVP(終値!E403:X403))</f>
      </c>
      <c r="G403" s="682">
        <f>IF($D403="","",$E403+BB設定!$B$4*$F403)</f>
      </c>
      <c r="H403" s="682">
        <f>IF($D403="","",$E403+BB設定!$B$5*$F403)</f>
      </c>
      <c r="I403" s="682">
        <f>IF($D403="","",$E403-BB設定!$B$5*$F403)</f>
      </c>
      <c r="J403" s="682">
        <f>IF($D403="","",$E403-BB設定!$B$4*$F403)</f>
      </c>
      <c r="K403" s="687">
        <f>IF($D403="","",IFERROR(($D403-$J403)/($G403-$J403),""))</f>
      </c>
      <c r="L403" s="686">
        <f>IF($D403="","",IFERROR(($G403-$J403)/$E403*100,""))</f>
      </c>
      <c r="M403" s="686">
        <f>IF($D403="","",IFERROR(MIN(BB_帯幅!B403:AP403)*100,""))</f>
      </c>
      <c r="N403" s="681">
        <f>IF($L403="","",IF($L403&lt;=$M403*BB設定!$B$7,"スクイーズ★",IF($L403&lt;=$M403*1.3,"収縮","－")))</f>
      </c>
      <c r="O403" s="681">
        <f>IF($D403="","",IF($L403&gt;(4*STDEVP(終値!F403:Y403)/AVERAGE(終値!F403:Y403)*100),"拡大↑","縮小↓"))</f>
      </c>
      <c r="P403" s="681">
        <f>IF($D403="","",IF($D403&gt;$G403,"↑+2σ突破",IF($D403&lt;$J403,"↓-2σ割れ",IF($D403&gt;$H403,"+1σ上",IF($D403&lt;$I403,"-1σ下","バンド内")))))</f>
      </c>
      <c r="Q403" s="684">
        <f>IF($D403="","",IFERROR(100-100/(1+SUMPRODUCT((終値!E403:R403&gt;終値!F403:S403)*(終値!E403:R403-終値!F403:S403))/SUMPRODUCT((終値!E403:R403&lt;終値!F403:S403)*(終値!F403:S403-終値!E403:R403))),100))</f>
      </c>
      <c r="R403" s="684">
        <f>IF($D403="","",IFERROR(100-100/(1+SUMPRODUCT((((高値!E403:R403+安値!E403:R403+終値!E403:R403)/3)&gt;((高値!F403:S403+安値!F403:S403+終値!F403:S403)/3))*((高値!E403:R403+安値!E403:R403+終値!E403:R403)/3)*出来高!E403:R403)/SUMPRODUCT((((高値!E403:R403+安値!E403:R403+終値!E403:R403)/3)&lt;((高値!F403:S403+安値!F403:S403+終値!F403:S403)/3))*((高値!E403:R403+安値!E403:R403+終値!E403:R403)/3)*出来高!E403:R403)),50))</f>
      </c>
      <c r="S403" s="681">
        <f>IF($D403="","",IF(AND(終値!E403&lt;終値!O403,$Q403&gt;(IFERROR(100-100/(1+SUMPRODUCT((終値!O403:AB403&gt;終値!P403:AC403)*(終値!O403:AB403-終値!P403:AC403))/SUMPRODUCT((終値!O403:AB403&lt;終値!P403:AC403)*(終値!P403:AC403-終値!O403:AB403))),100))),"強気div▲",IF(AND(終値!E403&gt;終値!O403,$Q403&lt;(IFERROR(100-100/(1+SUMPRODUCT((終値!O403:AB403&gt;終値!P403:AC403)*(終値!O403:AB403-終値!P403:AC403))/SUMPRODUCT((終値!O403:AB403&lt;終値!P403:AC403)*(終値!P403:AC403-終値!O403:AB403))),100))),"弱気div▼","－")))</f>
      </c>
      <c r="T403" s="681">
        <f>IF($D403="","",IF($D403&gt;=$H403,"上walk▲",IF($D403&lt;=$I403,"下walk▼","－")))</f>
      </c>
      <c r="U403" s="681">
        <f>IF(終値!A403="","",BB_スイング!BT403)</f>
      </c>
      <c r="V403" s="689">
        <f>IF($D403="","",IFERROR(出来高!E403/AVERAGE(出来高!E403:I403),""))</f>
      </c>
      <c r="W403" s="690">
        <f>IF($D403="","",IF(AND($D403&gt;$G403,$O403="拡大↑",$L403&lt;=$M403*1.8),"◎スクイーズブレイク買",IF(AND($D403&gt;=$H403,$R403&gt;=BB設定!$B$10),"○順張り継続(walk)",IF(AND($S403="強気div▲",$D403&gt;$I403),"○反発(ダイバ)買",IF($U403="二番底W▲","△二番底買(確)",IF($U403="二番底W形成","△二番底形成",IF($D403&lt;$J403,"▼-2σ割れ危険",IF(AND($D403&gt;$E403,$K403&lt;0.6,$R403&gt;=50),"・押し目注目",IF($N403="スクイーズ★","☆スクイーズ監視","様子見")))))))))</f>
      </c>
      <c r="X403" s="685">
        <f>IF($D403="","",MIN(100,IF($L403&lt;=$M403*1.15,20,IF($L403&lt;=$M403*1.4,10,0))+IF($D403&gt;$G403,20,IF($D403&gt;$H403,12,IF($D403&gt;$E403,5,0)))+IF($O403="拡大↑",10,0)+IF($R403&gt;=80,15,IF($R403&gt;=60,10,IF($R403&gt;=50,5,0)))+IF(AND($Q403&gt;=50,$Q403&lt;=70),10,IF($Q403&gt;70,3,IF($Q403&gt;=40,5,0)))+IF($S403="強気div▲",15,0)+IF($T403="上walk▲",5,0)+IF($V403&gt;=2,5,IF($V403&gt;=1.5,3,0))))</f>
      </c>
      <c r="Y403" s="682">
        <f>IF($D403="","",$D403)</f>
      </c>
      <c r="Z403" s="682">
        <f>IF($D403="","",$H403)</f>
      </c>
      <c r="AA403" s="682">
        <f>IF($D403="","",IF($D403&gt;$E403,$E403,$AD403))</f>
      </c>
      <c r="AB403" s="682">
        <f>IF($D403="","",$G403)</f>
      </c>
      <c r="AC403" s="688">
        <f>IF($D403="","",IF(($Y403-$AA403)&lt;=0,"－",IFERROR(ROUND(MIN(20,($AB403-$Y403)/($Y403-$AA403)),2),"－")))</f>
      </c>
      <c r="AD403" s="682">
        <f>IF($D403="","",MIN(終値!E403:I403))</f>
      </c>
      <c r="AE403" s="684">
        <f>IF($D403="","",$X403+(10000-ROW())/100000)</f>
      </c>
    </row>
    <row r="404">
      <c r="A404" s="681">
        <f>IF(終値!A404="","",HYPERLINK("https://kabutan.jp/stock/?code="&amp;終値!A404,"📈"))</f>
      </c>
      <c r="B404" s="681">
        <f>IF(終値!A404="","",終値!A404)</f>
      </c>
      <c r="C404" s="680">
        <f>IF(終値!A404="","",終値!B404)</f>
      </c>
      <c r="D404" s="682">
        <f>IF(終値!A404="","",終値!E404)</f>
      </c>
      <c r="E404" s="682">
        <f>IF($D404="","",AVERAGE(終値!E404:X404))</f>
      </c>
      <c r="F404" s="683">
        <f>IF($D404="","",STDEVP(終値!E404:X404))</f>
      </c>
      <c r="G404" s="682">
        <f>IF($D404="","",$E404+BB設定!$B$4*$F404)</f>
      </c>
      <c r="H404" s="682">
        <f>IF($D404="","",$E404+BB設定!$B$5*$F404)</f>
      </c>
      <c r="I404" s="682">
        <f>IF($D404="","",$E404-BB設定!$B$5*$F404)</f>
      </c>
      <c r="J404" s="682">
        <f>IF($D404="","",$E404-BB設定!$B$4*$F404)</f>
      </c>
      <c r="K404" s="687">
        <f>IF($D404="","",IFERROR(($D404-$J404)/($G404-$J404),""))</f>
      </c>
      <c r="L404" s="686">
        <f>IF($D404="","",IFERROR(($G404-$J404)/$E404*100,""))</f>
      </c>
      <c r="M404" s="686">
        <f>IF($D404="","",IFERROR(MIN(BB_帯幅!B404:AP404)*100,""))</f>
      </c>
      <c r="N404" s="681">
        <f>IF($L404="","",IF($L404&lt;=$M404*BB設定!$B$7,"スクイーズ★",IF($L404&lt;=$M404*1.3,"収縮","－")))</f>
      </c>
      <c r="O404" s="681">
        <f>IF($D404="","",IF($L404&gt;(4*STDEVP(終値!F404:Y404)/AVERAGE(終値!F404:Y404)*100),"拡大↑","縮小↓"))</f>
      </c>
      <c r="P404" s="681">
        <f>IF($D404="","",IF($D404&gt;$G404,"↑+2σ突破",IF($D404&lt;$J404,"↓-2σ割れ",IF($D404&gt;$H404,"+1σ上",IF($D404&lt;$I404,"-1σ下","バンド内")))))</f>
      </c>
      <c r="Q404" s="684">
        <f>IF($D404="","",IFERROR(100-100/(1+SUMPRODUCT((終値!E404:R404&gt;終値!F404:S404)*(終値!E404:R404-終値!F404:S404))/SUMPRODUCT((終値!E404:R404&lt;終値!F404:S404)*(終値!F404:S404-終値!E404:R404))),100))</f>
      </c>
      <c r="R404" s="684">
        <f>IF($D404="","",IFERROR(100-100/(1+SUMPRODUCT((((高値!E404:R404+安値!E404:R404+終値!E404:R404)/3)&gt;((高値!F404:S404+安値!F404:S404+終値!F404:S404)/3))*((高値!E404:R404+安値!E404:R404+終値!E404:R404)/3)*出来高!E404:R404)/SUMPRODUCT((((高値!E404:R404+安値!E404:R404+終値!E404:R404)/3)&lt;((高値!F404:S404+安値!F404:S404+終値!F404:S404)/3))*((高値!E404:R404+安値!E404:R404+終値!E404:R404)/3)*出来高!E404:R404)),50))</f>
      </c>
      <c r="S404" s="681">
        <f>IF($D404="","",IF(AND(終値!E404&lt;終値!O404,$Q404&gt;(IFERROR(100-100/(1+SUMPRODUCT((終値!O404:AB404&gt;終値!P404:AC404)*(終値!O404:AB404-終値!P404:AC404))/SUMPRODUCT((終値!O404:AB404&lt;終値!P404:AC404)*(終値!P404:AC404-終値!O404:AB404))),100))),"強気div▲",IF(AND(終値!E404&gt;終値!O404,$Q404&lt;(IFERROR(100-100/(1+SUMPRODUCT((終値!O404:AB404&gt;終値!P404:AC404)*(終値!O404:AB404-終値!P404:AC404))/SUMPRODUCT((終値!O404:AB404&lt;終値!P404:AC404)*(終値!P404:AC404-終値!O404:AB404))),100))),"弱気div▼","－")))</f>
      </c>
      <c r="T404" s="681">
        <f>IF($D404="","",IF($D404&gt;=$H404,"上walk▲",IF($D404&lt;=$I404,"下walk▼","－")))</f>
      </c>
      <c r="U404" s="681">
        <f>IF(終値!A404="","",BB_スイング!BT404)</f>
      </c>
      <c r="V404" s="689">
        <f>IF($D404="","",IFERROR(出来高!E404/AVERAGE(出来高!E404:I404),""))</f>
      </c>
      <c r="W404" s="690">
        <f>IF($D404="","",IF(AND($D404&gt;$G404,$O404="拡大↑",$L404&lt;=$M404*1.8),"◎スクイーズブレイク買",IF(AND($D404&gt;=$H404,$R404&gt;=BB設定!$B$10),"○順張り継続(walk)",IF(AND($S404="強気div▲",$D404&gt;$I404),"○反発(ダイバ)買",IF($U404="二番底W▲","△二番底買(確)",IF($U404="二番底W形成","△二番底形成",IF($D404&lt;$J404,"▼-2σ割れ危険",IF(AND($D404&gt;$E404,$K404&lt;0.6,$R404&gt;=50),"・押し目注目",IF($N404="スクイーズ★","☆スクイーズ監視","様子見")))))))))</f>
      </c>
      <c r="X404" s="685">
        <f>IF($D404="","",MIN(100,IF($L404&lt;=$M404*1.15,20,IF($L404&lt;=$M404*1.4,10,0))+IF($D404&gt;$G404,20,IF($D404&gt;$H404,12,IF($D404&gt;$E404,5,0)))+IF($O404="拡大↑",10,0)+IF($R404&gt;=80,15,IF($R404&gt;=60,10,IF($R404&gt;=50,5,0)))+IF(AND($Q404&gt;=50,$Q404&lt;=70),10,IF($Q404&gt;70,3,IF($Q404&gt;=40,5,0)))+IF($S404="強気div▲",15,0)+IF($T404="上walk▲",5,0)+IF($V404&gt;=2,5,IF($V404&gt;=1.5,3,0))))</f>
      </c>
      <c r="Y404" s="682">
        <f>IF($D404="","",$D404)</f>
      </c>
      <c r="Z404" s="682">
        <f>IF($D404="","",$H404)</f>
      </c>
      <c r="AA404" s="682">
        <f>IF($D404="","",IF($D404&gt;$E404,$E404,$AD404))</f>
      </c>
      <c r="AB404" s="682">
        <f>IF($D404="","",$G404)</f>
      </c>
      <c r="AC404" s="688">
        <f>IF($D404="","",IF(($Y404-$AA404)&lt;=0,"－",IFERROR(ROUND(MIN(20,($AB404-$Y404)/($Y404-$AA404)),2),"－")))</f>
      </c>
      <c r="AD404" s="682">
        <f>IF($D404="","",MIN(終値!E404:I404))</f>
      </c>
      <c r="AE404" s="684">
        <f>IF($D404="","",$X404+(10000-ROW())/100000)</f>
      </c>
    </row>
    <row r="405">
      <c r="A405" s="681">
        <f>IF(終値!A405="","",HYPERLINK("https://kabutan.jp/stock/?code="&amp;終値!A405,"📈"))</f>
      </c>
      <c r="B405" s="681">
        <f>IF(終値!A405="","",終値!A405)</f>
      </c>
      <c r="C405" s="680">
        <f>IF(終値!A405="","",終値!B405)</f>
      </c>
      <c r="D405" s="682">
        <f>IF(終値!A405="","",終値!E405)</f>
      </c>
      <c r="E405" s="682">
        <f>IF($D405="","",AVERAGE(終値!E405:X405))</f>
      </c>
      <c r="F405" s="683">
        <f>IF($D405="","",STDEVP(終値!E405:X405))</f>
      </c>
      <c r="G405" s="682">
        <f>IF($D405="","",$E405+BB設定!$B$4*$F405)</f>
      </c>
      <c r="H405" s="682">
        <f>IF($D405="","",$E405+BB設定!$B$5*$F405)</f>
      </c>
      <c r="I405" s="682">
        <f>IF($D405="","",$E405-BB設定!$B$5*$F405)</f>
      </c>
      <c r="J405" s="682">
        <f>IF($D405="","",$E405-BB設定!$B$4*$F405)</f>
      </c>
      <c r="K405" s="687">
        <f>IF($D405="","",IFERROR(($D405-$J405)/($G405-$J405),""))</f>
      </c>
      <c r="L405" s="686">
        <f>IF($D405="","",IFERROR(($G405-$J405)/$E405*100,""))</f>
      </c>
      <c r="M405" s="686">
        <f>IF($D405="","",IFERROR(MIN(BB_帯幅!B405:AP405)*100,""))</f>
      </c>
      <c r="N405" s="681">
        <f>IF($L405="","",IF($L405&lt;=$M405*BB設定!$B$7,"スクイーズ★",IF($L405&lt;=$M405*1.3,"収縮","－")))</f>
      </c>
      <c r="O405" s="681">
        <f>IF($D405="","",IF($L405&gt;(4*STDEVP(終値!F405:Y405)/AVERAGE(終値!F405:Y405)*100),"拡大↑","縮小↓"))</f>
      </c>
      <c r="P405" s="681">
        <f>IF($D405="","",IF($D405&gt;$G405,"↑+2σ突破",IF($D405&lt;$J405,"↓-2σ割れ",IF($D405&gt;$H405,"+1σ上",IF($D405&lt;$I405,"-1σ下","バンド内")))))</f>
      </c>
      <c r="Q405" s="684">
        <f>IF($D405="","",IFERROR(100-100/(1+SUMPRODUCT((終値!E405:R405&gt;終値!F405:S405)*(終値!E405:R405-終値!F405:S405))/SUMPRODUCT((終値!E405:R405&lt;終値!F405:S405)*(終値!F405:S405-終値!E405:R405))),100))</f>
      </c>
      <c r="R405" s="684">
        <f>IF($D405="","",IFERROR(100-100/(1+SUMPRODUCT((((高値!E405:R405+安値!E405:R405+終値!E405:R405)/3)&gt;((高値!F405:S405+安値!F405:S405+終値!F405:S405)/3))*((高値!E405:R405+安値!E405:R405+終値!E405:R405)/3)*出来高!E405:R405)/SUMPRODUCT((((高値!E405:R405+安値!E405:R405+終値!E405:R405)/3)&lt;((高値!F405:S405+安値!F405:S405+終値!F405:S405)/3))*((高値!E405:R405+安値!E405:R405+終値!E405:R405)/3)*出来高!E405:R405)),50))</f>
      </c>
      <c r="S405" s="681">
        <f>IF($D405="","",IF(AND(終値!E405&lt;終値!O405,$Q405&gt;(IFERROR(100-100/(1+SUMPRODUCT((終値!O405:AB405&gt;終値!P405:AC405)*(終値!O405:AB405-終値!P405:AC405))/SUMPRODUCT((終値!O405:AB405&lt;終値!P405:AC405)*(終値!P405:AC405-終値!O405:AB405))),100))),"強気div▲",IF(AND(終値!E405&gt;終値!O405,$Q405&lt;(IFERROR(100-100/(1+SUMPRODUCT((終値!O405:AB405&gt;終値!P405:AC405)*(終値!O405:AB405-終値!P405:AC405))/SUMPRODUCT((終値!O405:AB405&lt;終値!P405:AC405)*(終値!P405:AC405-終値!O405:AB405))),100))),"弱気div▼","－")))</f>
      </c>
      <c r="T405" s="681">
        <f>IF($D405="","",IF($D405&gt;=$H405,"上walk▲",IF($D405&lt;=$I405,"下walk▼","－")))</f>
      </c>
      <c r="U405" s="681">
        <f>IF(終値!A405="","",BB_スイング!BT405)</f>
      </c>
      <c r="V405" s="689">
        <f>IF($D405="","",IFERROR(出来高!E405/AVERAGE(出来高!E405:I405),""))</f>
      </c>
      <c r="W405" s="690">
        <f>IF($D405="","",IF(AND($D405&gt;$G405,$O405="拡大↑",$L405&lt;=$M405*1.8),"◎スクイーズブレイク買",IF(AND($D405&gt;=$H405,$R405&gt;=BB設定!$B$10),"○順張り継続(walk)",IF(AND($S405="強気div▲",$D405&gt;$I405),"○反発(ダイバ)買",IF($U405="二番底W▲","△二番底買(確)",IF($U405="二番底W形成","△二番底形成",IF($D405&lt;$J405,"▼-2σ割れ危険",IF(AND($D405&gt;$E405,$K405&lt;0.6,$R405&gt;=50),"・押し目注目",IF($N405="スクイーズ★","☆スクイーズ監視","様子見")))))))))</f>
      </c>
      <c r="X405" s="685">
        <f>IF($D405="","",MIN(100,IF($L405&lt;=$M405*1.15,20,IF($L405&lt;=$M405*1.4,10,0))+IF($D405&gt;$G405,20,IF($D405&gt;$H405,12,IF($D405&gt;$E405,5,0)))+IF($O405="拡大↑",10,0)+IF($R405&gt;=80,15,IF($R405&gt;=60,10,IF($R405&gt;=50,5,0)))+IF(AND($Q405&gt;=50,$Q405&lt;=70),10,IF($Q405&gt;70,3,IF($Q405&gt;=40,5,0)))+IF($S405="強気div▲",15,0)+IF($T405="上walk▲",5,0)+IF($V405&gt;=2,5,IF($V405&gt;=1.5,3,0))))</f>
      </c>
      <c r="Y405" s="682">
        <f>IF($D405="","",$D405)</f>
      </c>
      <c r="Z405" s="682">
        <f>IF($D405="","",$H405)</f>
      </c>
      <c r="AA405" s="682">
        <f>IF($D405="","",IF($D405&gt;$E405,$E405,$AD405))</f>
      </c>
      <c r="AB405" s="682">
        <f>IF($D405="","",$G405)</f>
      </c>
      <c r="AC405" s="688">
        <f>IF($D405="","",IF(($Y405-$AA405)&lt;=0,"－",IFERROR(ROUND(MIN(20,($AB405-$Y405)/($Y405-$AA405)),2),"－")))</f>
      </c>
      <c r="AD405" s="682">
        <f>IF($D405="","",MIN(終値!E405:I405))</f>
      </c>
      <c r="AE405" s="684">
        <f>IF($D405="","",$X405+(10000-ROW())/100000)</f>
      </c>
    </row>
  </sheetData>
  <mergeCells count="3">
    <mergeCell ref="A1:AD1"/>
    <mergeCell ref="A2:AD2"/>
    <mergeCell ref="A3:AD3"/>
  </mergeCells>
  <pageMargins left="0.4" right="0.4" top="0.4" bottom="0.4" header="0.2" footer="0.2"/>
</worksheet>
</file>

<file path=xl/worksheets/sheet23.xml><?xml version="1.0" encoding="utf-8"?>
<worksheet xmlns="http://schemas.openxmlformats.org/spreadsheetml/2006/main" xmlns:r="http://schemas.openxmlformats.org/officeDocument/2006/relationships">
  <dimension ref="A1:N34"/>
  <sheetViews>
    <sheetView showGridLines="0" workbookViewId="0">
      <pane xSplit="0" ySplit="4" topLeftCell="A5" activePane="bottomRight" state="frozen"/>
      <selection pane="bottomRight" activeCell="A5" sqref="A5"/>
    </sheetView>
  </sheetViews>
  <sheetFormatPr defaultRowHeight="15"/>
  <cols>
    <col min="1" max="1" width="5.0" customWidth="1"/>
    <col min="2" max="2" width="6.0" customWidth="1"/>
    <col min="3" max="3" width="14.0" customWidth="1"/>
    <col min="4" max="4" width="9.0" customWidth="1"/>
    <col min="5" max="5" width="10.0" customWidth="1"/>
    <col min="6" max="6" width="9.0" customWidth="1"/>
    <col min="7" max="8" width="6.0" customWidth="1"/>
    <col min="9" max="9" width="10.0" customWidth="1"/>
    <col min="10" max="10" width="19.0" customWidth="1"/>
    <col min="11" max="11" width="6.0" customWidth="1"/>
    <col min="12" max="13" width="9.0" customWidth="1"/>
    <col min="14" max="14" width="6.0" customWidth="1"/>
  </cols>
  <sheetData>
    <row r="1">
      <c r="A1" s="675" t="inlineStr">
        <is>
          <t xml:space="preserve">🏆 本日の買い候補 TOP30（スコア上位・自動抽出）</t>
        </is>
      </c>
    </row>
    <row r="2">
      <c r="A2" s="679" t="inlineStr">
        <is>
          <t xml:space="preserve">「BBスクリーニング」のスコア上位を自動表示。◎○△のシグナルを優先的にチェック。</t>
        </is>
      </c>
    </row>
    <row r="4">
      <c r="A4" s="676" t="inlineStr">
        <is>
          <t xml:space="preserve">順位</t>
        </is>
      </c>
      <c r="B4" s="676" t="inlineStr">
        <is>
          <t xml:space="preserve">コード</t>
        </is>
      </c>
      <c r="C4" s="676" t="inlineStr">
        <is>
          <t xml:space="preserve">銘柄名</t>
        </is>
      </c>
      <c r="D4" s="676" t="inlineStr">
        <is>
          <t xml:space="preserve">現在値</t>
        </is>
      </c>
      <c r="E4" s="676" t="inlineStr">
        <is>
          <t xml:space="preserve">スクイーズ</t>
        </is>
      </c>
      <c r="F4" s="676" t="inlineStr">
        <is>
          <t xml:space="preserve">ブレイク</t>
        </is>
      </c>
      <c r="G4" s="676" t="inlineStr">
        <is>
          <t xml:space="preserve">RSI</t>
        </is>
      </c>
      <c r="H4" s="676" t="inlineStr">
        <is>
          <t xml:space="preserve">MFI</t>
        </is>
      </c>
      <c r="I4" s="676" t="inlineStr">
        <is>
          <t xml:space="preserve">ダイバ</t>
        </is>
      </c>
      <c r="J4" s="676" t="inlineStr">
        <is>
          <t xml:space="preserve">戦略シグナル</t>
        </is>
      </c>
      <c r="K4" s="676" t="inlineStr">
        <is>
          <t xml:space="preserve">スコア</t>
        </is>
      </c>
      <c r="L4" s="676" t="inlineStr">
        <is>
          <t xml:space="preserve">利確+1σ</t>
        </is>
      </c>
      <c r="M4" s="676" t="inlineStr">
        <is>
          <t xml:space="preserve">損切り</t>
        </is>
      </c>
      <c r="N4" s="676" t="inlineStr">
        <is>
          <t xml:space="preserve">R:R</t>
        </is>
      </c>
    </row>
    <row r="5">
      <c r="A5" s="685">
        <v>1</v>
      </c>
      <c r="B5" s="681">
        <f>IFERROR(INDEX(BBスクリーニング!$B$6:$B$405,MATCH(LARGE(BBスクリーニング!$AE$6:$AE$405,$A5),BBスクリーニング!$AE$6:$AE$405,0)),"")</f>
      </c>
      <c r="C5" s="680">
        <f>IFERROR(INDEX(BBスクリーニング!$C$6:$C$405,MATCH(LARGE(BBスクリーニング!$AE$6:$AE$405,$A5),BBスクリーニング!$AE$6:$AE$405,0)),"")</f>
      </c>
      <c r="D5" s="682">
        <f>IFERROR(INDEX(BBスクリーニング!$D$6:$D$405,MATCH(LARGE(BBスクリーニング!$AE$6:$AE$405,$A5),BBスクリーニング!$AE$6:$AE$405,0)),"")</f>
      </c>
      <c r="E5" s="681">
        <f>IFERROR(INDEX(BBスクリーニング!$N$6:$N$405,MATCH(LARGE(BBスクリーニング!$AE$6:$AE$405,$A5),BBスクリーニング!$AE$6:$AE$405,0)),"")</f>
      </c>
      <c r="F5" s="681">
        <f>IFERROR(INDEX(BBスクリーニング!$P$6:$P$405,MATCH(LARGE(BBスクリーニング!$AE$6:$AE$405,$A5),BBスクリーニング!$AE$6:$AE$405,0)),"")</f>
      </c>
      <c r="G5" s="684">
        <f>IFERROR(INDEX(BBスクリーニング!$Q$6:$Q$405,MATCH(LARGE(BBスクリーニング!$AE$6:$AE$405,$A5),BBスクリーニング!$AE$6:$AE$405,0)),"")</f>
      </c>
      <c r="H5" s="684">
        <f>IFERROR(INDEX(BBスクリーニング!$R$6:$R$405,MATCH(LARGE(BBスクリーニング!$AE$6:$AE$405,$A5),BBスクリーニング!$AE$6:$AE$405,0)),"")</f>
      </c>
      <c r="I5" s="681">
        <f>IFERROR(INDEX(BBスクリーニング!$S$6:$S$405,MATCH(LARGE(BBスクリーニング!$AE$6:$AE$405,$A5),BBスクリーニング!$AE$6:$AE$405,0)),"")</f>
      </c>
      <c r="J5" s="690">
        <f>IFERROR(INDEX(BBスクリーニング!$W$6:$W$405,MATCH(LARGE(BBスクリーニング!$AE$6:$AE$405,$A5),BBスクリーニング!$AE$6:$AE$405,0)),"")</f>
      </c>
      <c r="K5" s="685">
        <f>IFERROR(INDEX(BBスクリーニング!$X$6:$X$405,MATCH(LARGE(BBスクリーニング!$AE$6:$AE$405,$A5),BBスクリーニング!$AE$6:$AE$405,0)),"")</f>
      </c>
      <c r="L5" s="682">
        <f>IFERROR(INDEX(BBスクリーニング!$Z$6:$Z$405,MATCH(LARGE(BBスクリーニング!$AE$6:$AE$405,$A5),BBスクリーニング!$AE$6:$AE$405,0)),"")</f>
      </c>
      <c r="M5" s="682">
        <f>IFERROR(INDEX(BBスクリーニング!$AA$6:$AA$405,MATCH(LARGE(BBスクリーニング!$AE$6:$AE$405,$A5),BBスクリーニング!$AE$6:$AE$405,0)),"")</f>
      </c>
      <c r="N5" s="688">
        <f>IFERROR(INDEX(BBスクリーニング!$AC$6:$AC$405,MATCH(LARGE(BBスクリーニング!$AE$6:$AE$405,$A5),BBスクリーニング!$AE$6:$AE$405,0)),"")</f>
      </c>
    </row>
    <row r="6">
      <c r="A6" s="685">
        <v>2</v>
      </c>
      <c r="B6" s="681">
        <f>IFERROR(INDEX(BBスクリーニング!$B$6:$B$405,MATCH(LARGE(BBスクリーニング!$AE$6:$AE$405,$A6),BBスクリーニング!$AE$6:$AE$405,0)),"")</f>
      </c>
      <c r="C6" s="680">
        <f>IFERROR(INDEX(BBスクリーニング!$C$6:$C$405,MATCH(LARGE(BBスクリーニング!$AE$6:$AE$405,$A6),BBスクリーニング!$AE$6:$AE$405,0)),"")</f>
      </c>
      <c r="D6" s="682">
        <f>IFERROR(INDEX(BBスクリーニング!$D$6:$D$405,MATCH(LARGE(BBスクリーニング!$AE$6:$AE$405,$A6),BBスクリーニング!$AE$6:$AE$405,0)),"")</f>
      </c>
      <c r="E6" s="681">
        <f>IFERROR(INDEX(BBスクリーニング!$N$6:$N$405,MATCH(LARGE(BBスクリーニング!$AE$6:$AE$405,$A6),BBスクリーニング!$AE$6:$AE$405,0)),"")</f>
      </c>
      <c r="F6" s="681">
        <f>IFERROR(INDEX(BBスクリーニング!$P$6:$P$405,MATCH(LARGE(BBスクリーニング!$AE$6:$AE$405,$A6),BBスクリーニング!$AE$6:$AE$405,0)),"")</f>
      </c>
      <c r="G6" s="684">
        <f>IFERROR(INDEX(BBスクリーニング!$Q$6:$Q$405,MATCH(LARGE(BBスクリーニング!$AE$6:$AE$405,$A6),BBスクリーニング!$AE$6:$AE$405,0)),"")</f>
      </c>
      <c r="H6" s="684">
        <f>IFERROR(INDEX(BBスクリーニング!$R$6:$R$405,MATCH(LARGE(BBスクリーニング!$AE$6:$AE$405,$A6),BBスクリーニング!$AE$6:$AE$405,0)),"")</f>
      </c>
      <c r="I6" s="681">
        <f>IFERROR(INDEX(BBスクリーニング!$S$6:$S$405,MATCH(LARGE(BBスクリーニング!$AE$6:$AE$405,$A6),BBスクリーニング!$AE$6:$AE$405,0)),"")</f>
      </c>
      <c r="J6" s="690">
        <f>IFERROR(INDEX(BBスクリーニング!$W$6:$W$405,MATCH(LARGE(BBスクリーニング!$AE$6:$AE$405,$A6),BBスクリーニング!$AE$6:$AE$405,0)),"")</f>
      </c>
      <c r="K6" s="685">
        <f>IFERROR(INDEX(BBスクリーニング!$X$6:$X$405,MATCH(LARGE(BBスクリーニング!$AE$6:$AE$405,$A6),BBスクリーニング!$AE$6:$AE$405,0)),"")</f>
      </c>
      <c r="L6" s="682">
        <f>IFERROR(INDEX(BBスクリーニング!$Z$6:$Z$405,MATCH(LARGE(BBスクリーニング!$AE$6:$AE$405,$A6),BBスクリーニング!$AE$6:$AE$405,0)),"")</f>
      </c>
      <c r="M6" s="682">
        <f>IFERROR(INDEX(BBスクリーニング!$AA$6:$AA$405,MATCH(LARGE(BBスクリーニング!$AE$6:$AE$405,$A6),BBスクリーニング!$AE$6:$AE$405,0)),"")</f>
      </c>
      <c r="N6" s="688">
        <f>IFERROR(INDEX(BBスクリーニング!$AC$6:$AC$405,MATCH(LARGE(BBスクリーニング!$AE$6:$AE$405,$A6),BBスクリーニング!$AE$6:$AE$405,0)),"")</f>
      </c>
    </row>
    <row r="7">
      <c r="A7" s="685">
        <v>3</v>
      </c>
      <c r="B7" s="681">
        <f>IFERROR(INDEX(BBスクリーニング!$B$6:$B$405,MATCH(LARGE(BBスクリーニング!$AE$6:$AE$405,$A7),BBスクリーニング!$AE$6:$AE$405,0)),"")</f>
      </c>
      <c r="C7" s="680">
        <f>IFERROR(INDEX(BBスクリーニング!$C$6:$C$405,MATCH(LARGE(BBスクリーニング!$AE$6:$AE$405,$A7),BBスクリーニング!$AE$6:$AE$405,0)),"")</f>
      </c>
      <c r="D7" s="682">
        <f>IFERROR(INDEX(BBスクリーニング!$D$6:$D$405,MATCH(LARGE(BBスクリーニング!$AE$6:$AE$405,$A7),BBスクリーニング!$AE$6:$AE$405,0)),"")</f>
      </c>
      <c r="E7" s="681">
        <f>IFERROR(INDEX(BBスクリーニング!$N$6:$N$405,MATCH(LARGE(BBスクリーニング!$AE$6:$AE$405,$A7),BBスクリーニング!$AE$6:$AE$405,0)),"")</f>
      </c>
      <c r="F7" s="681">
        <f>IFERROR(INDEX(BBスクリーニング!$P$6:$P$405,MATCH(LARGE(BBスクリーニング!$AE$6:$AE$405,$A7),BBスクリーニング!$AE$6:$AE$405,0)),"")</f>
      </c>
      <c r="G7" s="684">
        <f>IFERROR(INDEX(BBスクリーニング!$Q$6:$Q$405,MATCH(LARGE(BBスクリーニング!$AE$6:$AE$405,$A7),BBスクリーニング!$AE$6:$AE$405,0)),"")</f>
      </c>
      <c r="H7" s="684">
        <f>IFERROR(INDEX(BBスクリーニング!$R$6:$R$405,MATCH(LARGE(BBスクリーニング!$AE$6:$AE$405,$A7),BBスクリーニング!$AE$6:$AE$405,0)),"")</f>
      </c>
      <c r="I7" s="681">
        <f>IFERROR(INDEX(BBスクリーニング!$S$6:$S$405,MATCH(LARGE(BBスクリーニング!$AE$6:$AE$405,$A7),BBスクリーニング!$AE$6:$AE$405,0)),"")</f>
      </c>
      <c r="J7" s="690">
        <f>IFERROR(INDEX(BBスクリーニング!$W$6:$W$405,MATCH(LARGE(BBスクリーニング!$AE$6:$AE$405,$A7),BBスクリーニング!$AE$6:$AE$405,0)),"")</f>
      </c>
      <c r="K7" s="685">
        <f>IFERROR(INDEX(BBスクリーニング!$X$6:$X$405,MATCH(LARGE(BBスクリーニング!$AE$6:$AE$405,$A7),BBスクリーニング!$AE$6:$AE$405,0)),"")</f>
      </c>
      <c r="L7" s="682">
        <f>IFERROR(INDEX(BBスクリーニング!$Z$6:$Z$405,MATCH(LARGE(BBスクリーニング!$AE$6:$AE$405,$A7),BBスクリーニング!$AE$6:$AE$405,0)),"")</f>
      </c>
      <c r="M7" s="682">
        <f>IFERROR(INDEX(BBスクリーニング!$AA$6:$AA$405,MATCH(LARGE(BBスクリーニング!$AE$6:$AE$405,$A7),BBスクリーニング!$AE$6:$AE$405,0)),"")</f>
      </c>
      <c r="N7" s="688">
        <f>IFERROR(INDEX(BBスクリーニング!$AC$6:$AC$405,MATCH(LARGE(BBスクリーニング!$AE$6:$AE$405,$A7),BBスクリーニング!$AE$6:$AE$405,0)),"")</f>
      </c>
    </row>
    <row r="8">
      <c r="A8" s="685">
        <v>4</v>
      </c>
      <c r="B8" s="681">
        <f>IFERROR(INDEX(BBスクリーニング!$B$6:$B$405,MATCH(LARGE(BBスクリーニング!$AE$6:$AE$405,$A8),BBスクリーニング!$AE$6:$AE$405,0)),"")</f>
      </c>
      <c r="C8" s="680">
        <f>IFERROR(INDEX(BBスクリーニング!$C$6:$C$405,MATCH(LARGE(BBスクリーニング!$AE$6:$AE$405,$A8),BBスクリーニング!$AE$6:$AE$405,0)),"")</f>
      </c>
      <c r="D8" s="682">
        <f>IFERROR(INDEX(BBスクリーニング!$D$6:$D$405,MATCH(LARGE(BBスクリーニング!$AE$6:$AE$405,$A8),BBスクリーニング!$AE$6:$AE$405,0)),"")</f>
      </c>
      <c r="E8" s="681">
        <f>IFERROR(INDEX(BBスクリーニング!$N$6:$N$405,MATCH(LARGE(BBスクリーニング!$AE$6:$AE$405,$A8),BBスクリーニング!$AE$6:$AE$405,0)),"")</f>
      </c>
      <c r="F8" s="681">
        <f>IFERROR(INDEX(BBスクリーニング!$P$6:$P$405,MATCH(LARGE(BBスクリーニング!$AE$6:$AE$405,$A8),BBスクリーニング!$AE$6:$AE$405,0)),"")</f>
      </c>
      <c r="G8" s="684">
        <f>IFERROR(INDEX(BBスクリーニング!$Q$6:$Q$405,MATCH(LARGE(BBスクリーニング!$AE$6:$AE$405,$A8),BBスクリーニング!$AE$6:$AE$405,0)),"")</f>
      </c>
      <c r="H8" s="684">
        <f>IFERROR(INDEX(BBスクリーニング!$R$6:$R$405,MATCH(LARGE(BBスクリーニング!$AE$6:$AE$405,$A8),BBスクリーニング!$AE$6:$AE$405,0)),"")</f>
      </c>
      <c r="I8" s="681">
        <f>IFERROR(INDEX(BBスクリーニング!$S$6:$S$405,MATCH(LARGE(BBスクリーニング!$AE$6:$AE$405,$A8),BBスクリーニング!$AE$6:$AE$405,0)),"")</f>
      </c>
      <c r="J8" s="690">
        <f>IFERROR(INDEX(BBスクリーニング!$W$6:$W$405,MATCH(LARGE(BBスクリーニング!$AE$6:$AE$405,$A8),BBスクリーニング!$AE$6:$AE$405,0)),"")</f>
      </c>
      <c r="K8" s="685">
        <f>IFERROR(INDEX(BBスクリーニング!$X$6:$X$405,MATCH(LARGE(BBスクリーニング!$AE$6:$AE$405,$A8),BBスクリーニング!$AE$6:$AE$405,0)),"")</f>
      </c>
      <c r="L8" s="682">
        <f>IFERROR(INDEX(BBスクリーニング!$Z$6:$Z$405,MATCH(LARGE(BBスクリーニング!$AE$6:$AE$405,$A8),BBスクリーニング!$AE$6:$AE$405,0)),"")</f>
      </c>
      <c r="M8" s="682">
        <f>IFERROR(INDEX(BBスクリーニング!$AA$6:$AA$405,MATCH(LARGE(BBスクリーニング!$AE$6:$AE$405,$A8),BBスクリーニング!$AE$6:$AE$405,0)),"")</f>
      </c>
      <c r="N8" s="688">
        <f>IFERROR(INDEX(BBスクリーニング!$AC$6:$AC$405,MATCH(LARGE(BBスクリーニング!$AE$6:$AE$405,$A8),BBスクリーニング!$AE$6:$AE$405,0)),"")</f>
      </c>
    </row>
    <row r="9">
      <c r="A9" s="685">
        <v>5</v>
      </c>
      <c r="B9" s="681">
        <f>IFERROR(INDEX(BBスクリーニング!$B$6:$B$405,MATCH(LARGE(BBスクリーニング!$AE$6:$AE$405,$A9),BBスクリーニング!$AE$6:$AE$405,0)),"")</f>
      </c>
      <c r="C9" s="680">
        <f>IFERROR(INDEX(BBスクリーニング!$C$6:$C$405,MATCH(LARGE(BBスクリーニング!$AE$6:$AE$405,$A9),BBスクリーニング!$AE$6:$AE$405,0)),"")</f>
      </c>
      <c r="D9" s="682">
        <f>IFERROR(INDEX(BBスクリーニング!$D$6:$D$405,MATCH(LARGE(BBスクリーニング!$AE$6:$AE$405,$A9),BBスクリーニング!$AE$6:$AE$405,0)),"")</f>
      </c>
      <c r="E9" s="681">
        <f>IFERROR(INDEX(BBスクリーニング!$N$6:$N$405,MATCH(LARGE(BBスクリーニング!$AE$6:$AE$405,$A9),BBスクリーニング!$AE$6:$AE$405,0)),"")</f>
      </c>
      <c r="F9" s="681">
        <f>IFERROR(INDEX(BBスクリーニング!$P$6:$P$405,MATCH(LARGE(BBスクリーニング!$AE$6:$AE$405,$A9),BBスクリーニング!$AE$6:$AE$405,0)),"")</f>
      </c>
      <c r="G9" s="684">
        <f>IFERROR(INDEX(BBスクリーニング!$Q$6:$Q$405,MATCH(LARGE(BBスクリーニング!$AE$6:$AE$405,$A9),BBスクリーニング!$AE$6:$AE$405,0)),"")</f>
      </c>
      <c r="H9" s="684">
        <f>IFERROR(INDEX(BBスクリーニング!$R$6:$R$405,MATCH(LARGE(BBスクリーニング!$AE$6:$AE$405,$A9),BBスクリーニング!$AE$6:$AE$405,0)),"")</f>
      </c>
      <c r="I9" s="681">
        <f>IFERROR(INDEX(BBスクリーニング!$S$6:$S$405,MATCH(LARGE(BBスクリーニング!$AE$6:$AE$405,$A9),BBスクリーニング!$AE$6:$AE$405,0)),"")</f>
      </c>
      <c r="J9" s="690">
        <f>IFERROR(INDEX(BBスクリーニング!$W$6:$W$405,MATCH(LARGE(BBスクリーニング!$AE$6:$AE$405,$A9),BBスクリーニング!$AE$6:$AE$405,0)),"")</f>
      </c>
      <c r="K9" s="685">
        <f>IFERROR(INDEX(BBスクリーニング!$X$6:$X$405,MATCH(LARGE(BBスクリーニング!$AE$6:$AE$405,$A9),BBスクリーニング!$AE$6:$AE$405,0)),"")</f>
      </c>
      <c r="L9" s="682">
        <f>IFERROR(INDEX(BBスクリーニング!$Z$6:$Z$405,MATCH(LARGE(BBスクリーニング!$AE$6:$AE$405,$A9),BBスクリーニング!$AE$6:$AE$405,0)),"")</f>
      </c>
      <c r="M9" s="682">
        <f>IFERROR(INDEX(BBスクリーニング!$AA$6:$AA$405,MATCH(LARGE(BBスクリーニング!$AE$6:$AE$405,$A9),BBスクリーニング!$AE$6:$AE$405,0)),"")</f>
      </c>
      <c r="N9" s="688">
        <f>IFERROR(INDEX(BBスクリーニング!$AC$6:$AC$405,MATCH(LARGE(BBスクリーニング!$AE$6:$AE$405,$A9),BBスクリーニング!$AE$6:$AE$405,0)),"")</f>
      </c>
    </row>
    <row r="10">
      <c r="A10" s="685">
        <v>6</v>
      </c>
      <c r="B10" s="681">
        <f>IFERROR(INDEX(BBスクリーニング!$B$6:$B$405,MATCH(LARGE(BBスクリーニング!$AE$6:$AE$405,$A10),BBスクリーニング!$AE$6:$AE$405,0)),"")</f>
      </c>
      <c r="C10" s="680">
        <f>IFERROR(INDEX(BBスクリーニング!$C$6:$C$405,MATCH(LARGE(BBスクリーニング!$AE$6:$AE$405,$A10),BBスクリーニング!$AE$6:$AE$405,0)),"")</f>
      </c>
      <c r="D10" s="682">
        <f>IFERROR(INDEX(BBスクリーニング!$D$6:$D$405,MATCH(LARGE(BBスクリーニング!$AE$6:$AE$405,$A10),BBスクリーニング!$AE$6:$AE$405,0)),"")</f>
      </c>
      <c r="E10" s="681">
        <f>IFERROR(INDEX(BBスクリーニング!$N$6:$N$405,MATCH(LARGE(BBスクリーニング!$AE$6:$AE$405,$A10),BBスクリーニング!$AE$6:$AE$405,0)),"")</f>
      </c>
      <c r="F10" s="681">
        <f>IFERROR(INDEX(BBスクリーニング!$P$6:$P$405,MATCH(LARGE(BBスクリーニング!$AE$6:$AE$405,$A10),BBスクリーニング!$AE$6:$AE$405,0)),"")</f>
      </c>
      <c r="G10" s="684">
        <f>IFERROR(INDEX(BBスクリーニング!$Q$6:$Q$405,MATCH(LARGE(BBスクリーニング!$AE$6:$AE$405,$A10),BBスクリーニング!$AE$6:$AE$405,0)),"")</f>
      </c>
      <c r="H10" s="684">
        <f>IFERROR(INDEX(BBスクリーニング!$R$6:$R$405,MATCH(LARGE(BBスクリーニング!$AE$6:$AE$405,$A10),BBスクリーニング!$AE$6:$AE$405,0)),"")</f>
      </c>
      <c r="I10" s="681">
        <f>IFERROR(INDEX(BBスクリーニング!$S$6:$S$405,MATCH(LARGE(BBスクリーニング!$AE$6:$AE$405,$A10),BBスクリーニング!$AE$6:$AE$405,0)),"")</f>
      </c>
      <c r="J10" s="690">
        <f>IFERROR(INDEX(BBスクリーニング!$W$6:$W$405,MATCH(LARGE(BBスクリーニング!$AE$6:$AE$405,$A10),BBスクリーニング!$AE$6:$AE$405,0)),"")</f>
      </c>
      <c r="K10" s="685">
        <f>IFERROR(INDEX(BBスクリーニング!$X$6:$X$405,MATCH(LARGE(BBスクリーニング!$AE$6:$AE$405,$A10),BBスクリーニング!$AE$6:$AE$405,0)),"")</f>
      </c>
      <c r="L10" s="682">
        <f>IFERROR(INDEX(BBスクリーニング!$Z$6:$Z$405,MATCH(LARGE(BBスクリーニング!$AE$6:$AE$405,$A10),BBスクリーニング!$AE$6:$AE$405,0)),"")</f>
      </c>
      <c r="M10" s="682">
        <f>IFERROR(INDEX(BBスクリーニング!$AA$6:$AA$405,MATCH(LARGE(BBスクリーニング!$AE$6:$AE$405,$A10),BBスクリーニング!$AE$6:$AE$405,0)),"")</f>
      </c>
      <c r="N10" s="688">
        <f>IFERROR(INDEX(BBスクリーニング!$AC$6:$AC$405,MATCH(LARGE(BBスクリーニング!$AE$6:$AE$405,$A10),BBスクリーニング!$AE$6:$AE$405,0)),"")</f>
      </c>
    </row>
    <row r="11">
      <c r="A11" s="685">
        <v>7</v>
      </c>
      <c r="B11" s="681">
        <f>IFERROR(INDEX(BBスクリーニング!$B$6:$B$405,MATCH(LARGE(BBスクリーニング!$AE$6:$AE$405,$A11),BBスクリーニング!$AE$6:$AE$405,0)),"")</f>
      </c>
      <c r="C11" s="680">
        <f>IFERROR(INDEX(BBスクリーニング!$C$6:$C$405,MATCH(LARGE(BBスクリーニング!$AE$6:$AE$405,$A11),BBスクリーニング!$AE$6:$AE$405,0)),"")</f>
      </c>
      <c r="D11" s="682">
        <f>IFERROR(INDEX(BBスクリーニング!$D$6:$D$405,MATCH(LARGE(BBスクリーニング!$AE$6:$AE$405,$A11),BBスクリーニング!$AE$6:$AE$405,0)),"")</f>
      </c>
      <c r="E11" s="681">
        <f>IFERROR(INDEX(BBスクリーニング!$N$6:$N$405,MATCH(LARGE(BBスクリーニング!$AE$6:$AE$405,$A11),BBスクリーニング!$AE$6:$AE$405,0)),"")</f>
      </c>
      <c r="F11" s="681">
        <f>IFERROR(INDEX(BBスクリーニング!$P$6:$P$405,MATCH(LARGE(BBスクリーニング!$AE$6:$AE$405,$A11),BBスクリーニング!$AE$6:$AE$405,0)),"")</f>
      </c>
      <c r="G11" s="684">
        <f>IFERROR(INDEX(BBスクリーニング!$Q$6:$Q$405,MATCH(LARGE(BBスクリーニング!$AE$6:$AE$405,$A11),BBスクリーニング!$AE$6:$AE$405,0)),"")</f>
      </c>
      <c r="H11" s="684">
        <f>IFERROR(INDEX(BBスクリーニング!$R$6:$R$405,MATCH(LARGE(BBスクリーニング!$AE$6:$AE$405,$A11),BBスクリーニング!$AE$6:$AE$405,0)),"")</f>
      </c>
      <c r="I11" s="681">
        <f>IFERROR(INDEX(BBスクリーニング!$S$6:$S$405,MATCH(LARGE(BBスクリーニング!$AE$6:$AE$405,$A11),BBスクリーニング!$AE$6:$AE$405,0)),"")</f>
      </c>
      <c r="J11" s="690">
        <f>IFERROR(INDEX(BBスクリーニング!$W$6:$W$405,MATCH(LARGE(BBスクリーニング!$AE$6:$AE$405,$A11),BBスクリーニング!$AE$6:$AE$405,0)),"")</f>
      </c>
      <c r="K11" s="685">
        <f>IFERROR(INDEX(BBスクリーニング!$X$6:$X$405,MATCH(LARGE(BBスクリーニング!$AE$6:$AE$405,$A11),BBスクリーニング!$AE$6:$AE$405,0)),"")</f>
      </c>
      <c r="L11" s="682">
        <f>IFERROR(INDEX(BBスクリーニング!$Z$6:$Z$405,MATCH(LARGE(BBスクリーニング!$AE$6:$AE$405,$A11),BBスクリーニング!$AE$6:$AE$405,0)),"")</f>
      </c>
      <c r="M11" s="682">
        <f>IFERROR(INDEX(BBスクリーニング!$AA$6:$AA$405,MATCH(LARGE(BBスクリーニング!$AE$6:$AE$405,$A11),BBスクリーニング!$AE$6:$AE$405,0)),"")</f>
      </c>
      <c r="N11" s="688">
        <f>IFERROR(INDEX(BBスクリーニング!$AC$6:$AC$405,MATCH(LARGE(BBスクリーニング!$AE$6:$AE$405,$A11),BBスクリーニング!$AE$6:$AE$405,0)),"")</f>
      </c>
    </row>
    <row r="12">
      <c r="A12" s="685">
        <v>8</v>
      </c>
      <c r="B12" s="681">
        <f>IFERROR(INDEX(BBスクリーニング!$B$6:$B$405,MATCH(LARGE(BBスクリーニング!$AE$6:$AE$405,$A12),BBスクリーニング!$AE$6:$AE$405,0)),"")</f>
      </c>
      <c r="C12" s="680">
        <f>IFERROR(INDEX(BBスクリーニング!$C$6:$C$405,MATCH(LARGE(BBスクリーニング!$AE$6:$AE$405,$A12),BBスクリーニング!$AE$6:$AE$405,0)),"")</f>
      </c>
      <c r="D12" s="682">
        <f>IFERROR(INDEX(BBスクリーニング!$D$6:$D$405,MATCH(LARGE(BBスクリーニング!$AE$6:$AE$405,$A12),BBスクリーニング!$AE$6:$AE$405,0)),"")</f>
      </c>
      <c r="E12" s="681">
        <f>IFERROR(INDEX(BBスクリーニング!$N$6:$N$405,MATCH(LARGE(BBスクリーニング!$AE$6:$AE$405,$A12),BBスクリーニング!$AE$6:$AE$405,0)),"")</f>
      </c>
      <c r="F12" s="681">
        <f>IFERROR(INDEX(BBスクリーニング!$P$6:$P$405,MATCH(LARGE(BBスクリーニング!$AE$6:$AE$405,$A12),BBスクリーニング!$AE$6:$AE$405,0)),"")</f>
      </c>
      <c r="G12" s="684">
        <f>IFERROR(INDEX(BBスクリーニング!$Q$6:$Q$405,MATCH(LARGE(BBスクリーニング!$AE$6:$AE$405,$A12),BBスクリーニング!$AE$6:$AE$405,0)),"")</f>
      </c>
      <c r="H12" s="684">
        <f>IFERROR(INDEX(BBスクリーニング!$R$6:$R$405,MATCH(LARGE(BBスクリーニング!$AE$6:$AE$405,$A12),BBスクリーニング!$AE$6:$AE$405,0)),"")</f>
      </c>
      <c r="I12" s="681">
        <f>IFERROR(INDEX(BBスクリーニング!$S$6:$S$405,MATCH(LARGE(BBスクリーニング!$AE$6:$AE$405,$A12),BBスクリーニング!$AE$6:$AE$405,0)),"")</f>
      </c>
      <c r="J12" s="690">
        <f>IFERROR(INDEX(BBスクリーニング!$W$6:$W$405,MATCH(LARGE(BBスクリーニング!$AE$6:$AE$405,$A12),BBスクリーニング!$AE$6:$AE$405,0)),"")</f>
      </c>
      <c r="K12" s="685">
        <f>IFERROR(INDEX(BBスクリーニング!$X$6:$X$405,MATCH(LARGE(BBスクリーニング!$AE$6:$AE$405,$A12),BBスクリーニング!$AE$6:$AE$405,0)),"")</f>
      </c>
      <c r="L12" s="682">
        <f>IFERROR(INDEX(BBスクリーニング!$Z$6:$Z$405,MATCH(LARGE(BBスクリーニング!$AE$6:$AE$405,$A12),BBスクリーニング!$AE$6:$AE$405,0)),"")</f>
      </c>
      <c r="M12" s="682">
        <f>IFERROR(INDEX(BBスクリーニング!$AA$6:$AA$405,MATCH(LARGE(BBスクリーニング!$AE$6:$AE$405,$A12),BBスクリーニング!$AE$6:$AE$405,0)),"")</f>
      </c>
      <c r="N12" s="688">
        <f>IFERROR(INDEX(BBスクリーニング!$AC$6:$AC$405,MATCH(LARGE(BBスクリーニング!$AE$6:$AE$405,$A12),BBスクリーニング!$AE$6:$AE$405,0)),"")</f>
      </c>
    </row>
    <row r="13">
      <c r="A13" s="685">
        <v>9</v>
      </c>
      <c r="B13" s="681">
        <f>IFERROR(INDEX(BBスクリーニング!$B$6:$B$405,MATCH(LARGE(BBスクリーニング!$AE$6:$AE$405,$A13),BBスクリーニング!$AE$6:$AE$405,0)),"")</f>
      </c>
      <c r="C13" s="680">
        <f>IFERROR(INDEX(BBスクリーニング!$C$6:$C$405,MATCH(LARGE(BBスクリーニング!$AE$6:$AE$405,$A13),BBスクリーニング!$AE$6:$AE$405,0)),"")</f>
      </c>
      <c r="D13" s="682">
        <f>IFERROR(INDEX(BBスクリーニング!$D$6:$D$405,MATCH(LARGE(BBスクリーニング!$AE$6:$AE$405,$A13),BBスクリーニング!$AE$6:$AE$405,0)),"")</f>
      </c>
      <c r="E13" s="681">
        <f>IFERROR(INDEX(BBスクリーニング!$N$6:$N$405,MATCH(LARGE(BBスクリーニング!$AE$6:$AE$405,$A13),BBスクリーニング!$AE$6:$AE$405,0)),"")</f>
      </c>
      <c r="F13" s="681">
        <f>IFERROR(INDEX(BBスクリーニング!$P$6:$P$405,MATCH(LARGE(BBスクリーニング!$AE$6:$AE$405,$A13),BBスクリーニング!$AE$6:$AE$405,0)),"")</f>
      </c>
      <c r="G13" s="684">
        <f>IFERROR(INDEX(BBスクリーニング!$Q$6:$Q$405,MATCH(LARGE(BBスクリーニング!$AE$6:$AE$405,$A13),BBスクリーニング!$AE$6:$AE$405,0)),"")</f>
      </c>
      <c r="H13" s="684">
        <f>IFERROR(INDEX(BBスクリーニング!$R$6:$R$405,MATCH(LARGE(BBスクリーニング!$AE$6:$AE$405,$A13),BBスクリーニング!$AE$6:$AE$405,0)),"")</f>
      </c>
      <c r="I13" s="681">
        <f>IFERROR(INDEX(BBスクリーニング!$S$6:$S$405,MATCH(LARGE(BBスクリーニング!$AE$6:$AE$405,$A13),BBスクリーニング!$AE$6:$AE$405,0)),"")</f>
      </c>
      <c r="J13" s="690">
        <f>IFERROR(INDEX(BBスクリーニング!$W$6:$W$405,MATCH(LARGE(BBスクリーニング!$AE$6:$AE$405,$A13),BBスクリーニング!$AE$6:$AE$405,0)),"")</f>
      </c>
      <c r="K13" s="685">
        <f>IFERROR(INDEX(BBスクリーニング!$X$6:$X$405,MATCH(LARGE(BBスクリーニング!$AE$6:$AE$405,$A13),BBスクリーニング!$AE$6:$AE$405,0)),"")</f>
      </c>
      <c r="L13" s="682">
        <f>IFERROR(INDEX(BBスクリーニング!$Z$6:$Z$405,MATCH(LARGE(BBスクリーニング!$AE$6:$AE$405,$A13),BBスクリーニング!$AE$6:$AE$405,0)),"")</f>
      </c>
      <c r="M13" s="682">
        <f>IFERROR(INDEX(BBスクリーニング!$AA$6:$AA$405,MATCH(LARGE(BBスクリーニング!$AE$6:$AE$405,$A13),BBスクリーニング!$AE$6:$AE$405,0)),"")</f>
      </c>
      <c r="N13" s="688">
        <f>IFERROR(INDEX(BBスクリーニング!$AC$6:$AC$405,MATCH(LARGE(BBスクリーニング!$AE$6:$AE$405,$A13),BBスクリーニング!$AE$6:$AE$405,0)),"")</f>
      </c>
    </row>
    <row r="14">
      <c r="A14" s="685">
        <v>10</v>
      </c>
      <c r="B14" s="681">
        <f>IFERROR(INDEX(BBスクリーニング!$B$6:$B$405,MATCH(LARGE(BBスクリーニング!$AE$6:$AE$405,$A14),BBスクリーニング!$AE$6:$AE$405,0)),"")</f>
      </c>
      <c r="C14" s="680">
        <f>IFERROR(INDEX(BBスクリーニング!$C$6:$C$405,MATCH(LARGE(BBスクリーニング!$AE$6:$AE$405,$A14),BBスクリーニング!$AE$6:$AE$405,0)),"")</f>
      </c>
      <c r="D14" s="682">
        <f>IFERROR(INDEX(BBスクリーニング!$D$6:$D$405,MATCH(LARGE(BBスクリーニング!$AE$6:$AE$405,$A14),BBスクリーニング!$AE$6:$AE$405,0)),"")</f>
      </c>
      <c r="E14" s="681">
        <f>IFERROR(INDEX(BBスクリーニング!$N$6:$N$405,MATCH(LARGE(BBスクリーニング!$AE$6:$AE$405,$A14),BBスクリーニング!$AE$6:$AE$405,0)),"")</f>
      </c>
      <c r="F14" s="681">
        <f>IFERROR(INDEX(BBスクリーニング!$P$6:$P$405,MATCH(LARGE(BBスクリーニング!$AE$6:$AE$405,$A14),BBスクリーニング!$AE$6:$AE$405,0)),"")</f>
      </c>
      <c r="G14" s="684">
        <f>IFERROR(INDEX(BBスクリーニング!$Q$6:$Q$405,MATCH(LARGE(BBスクリーニング!$AE$6:$AE$405,$A14),BBスクリーニング!$AE$6:$AE$405,0)),"")</f>
      </c>
      <c r="H14" s="684">
        <f>IFERROR(INDEX(BBスクリーニング!$R$6:$R$405,MATCH(LARGE(BBスクリーニング!$AE$6:$AE$405,$A14),BBスクリーニング!$AE$6:$AE$405,0)),"")</f>
      </c>
      <c r="I14" s="681">
        <f>IFERROR(INDEX(BBスクリーニング!$S$6:$S$405,MATCH(LARGE(BBスクリーニング!$AE$6:$AE$405,$A14),BBスクリーニング!$AE$6:$AE$405,0)),"")</f>
      </c>
      <c r="J14" s="690">
        <f>IFERROR(INDEX(BBスクリーニング!$W$6:$W$405,MATCH(LARGE(BBスクリーニング!$AE$6:$AE$405,$A14),BBスクリーニング!$AE$6:$AE$405,0)),"")</f>
      </c>
      <c r="K14" s="685">
        <f>IFERROR(INDEX(BBスクリーニング!$X$6:$X$405,MATCH(LARGE(BBスクリーニング!$AE$6:$AE$405,$A14),BBスクリーニング!$AE$6:$AE$405,0)),"")</f>
      </c>
      <c r="L14" s="682">
        <f>IFERROR(INDEX(BBスクリーニング!$Z$6:$Z$405,MATCH(LARGE(BBスクリーニング!$AE$6:$AE$405,$A14),BBスクリーニング!$AE$6:$AE$405,0)),"")</f>
      </c>
      <c r="M14" s="682">
        <f>IFERROR(INDEX(BBスクリーニング!$AA$6:$AA$405,MATCH(LARGE(BBスクリーニング!$AE$6:$AE$405,$A14),BBスクリーニング!$AE$6:$AE$405,0)),"")</f>
      </c>
      <c r="N14" s="688">
        <f>IFERROR(INDEX(BBスクリーニング!$AC$6:$AC$405,MATCH(LARGE(BBスクリーニング!$AE$6:$AE$405,$A14),BBスクリーニング!$AE$6:$AE$405,0)),"")</f>
      </c>
    </row>
    <row r="15">
      <c r="A15" s="685">
        <v>11</v>
      </c>
      <c r="B15" s="681">
        <f>IFERROR(INDEX(BBスクリーニング!$B$6:$B$405,MATCH(LARGE(BBスクリーニング!$AE$6:$AE$405,$A15),BBスクリーニング!$AE$6:$AE$405,0)),"")</f>
      </c>
      <c r="C15" s="680">
        <f>IFERROR(INDEX(BBスクリーニング!$C$6:$C$405,MATCH(LARGE(BBスクリーニング!$AE$6:$AE$405,$A15),BBスクリーニング!$AE$6:$AE$405,0)),"")</f>
      </c>
      <c r="D15" s="682">
        <f>IFERROR(INDEX(BBスクリーニング!$D$6:$D$405,MATCH(LARGE(BBスクリーニング!$AE$6:$AE$405,$A15),BBスクリーニング!$AE$6:$AE$405,0)),"")</f>
      </c>
      <c r="E15" s="681">
        <f>IFERROR(INDEX(BBスクリーニング!$N$6:$N$405,MATCH(LARGE(BBスクリーニング!$AE$6:$AE$405,$A15),BBスクリーニング!$AE$6:$AE$405,0)),"")</f>
      </c>
      <c r="F15" s="681">
        <f>IFERROR(INDEX(BBスクリーニング!$P$6:$P$405,MATCH(LARGE(BBスクリーニング!$AE$6:$AE$405,$A15),BBスクリーニング!$AE$6:$AE$405,0)),"")</f>
      </c>
      <c r="G15" s="684">
        <f>IFERROR(INDEX(BBスクリーニング!$Q$6:$Q$405,MATCH(LARGE(BBスクリーニング!$AE$6:$AE$405,$A15),BBスクリーニング!$AE$6:$AE$405,0)),"")</f>
      </c>
      <c r="H15" s="684">
        <f>IFERROR(INDEX(BBスクリーニング!$R$6:$R$405,MATCH(LARGE(BBスクリーニング!$AE$6:$AE$405,$A15),BBスクリーニング!$AE$6:$AE$405,0)),"")</f>
      </c>
      <c r="I15" s="681">
        <f>IFERROR(INDEX(BBスクリーニング!$S$6:$S$405,MATCH(LARGE(BBスクリーニング!$AE$6:$AE$405,$A15),BBスクリーニング!$AE$6:$AE$405,0)),"")</f>
      </c>
      <c r="J15" s="690">
        <f>IFERROR(INDEX(BBスクリーニング!$W$6:$W$405,MATCH(LARGE(BBスクリーニング!$AE$6:$AE$405,$A15),BBスクリーニング!$AE$6:$AE$405,0)),"")</f>
      </c>
      <c r="K15" s="685">
        <f>IFERROR(INDEX(BBスクリーニング!$X$6:$X$405,MATCH(LARGE(BBスクリーニング!$AE$6:$AE$405,$A15),BBスクリーニング!$AE$6:$AE$405,0)),"")</f>
      </c>
      <c r="L15" s="682">
        <f>IFERROR(INDEX(BBスクリーニング!$Z$6:$Z$405,MATCH(LARGE(BBスクリーニング!$AE$6:$AE$405,$A15),BBスクリーニング!$AE$6:$AE$405,0)),"")</f>
      </c>
      <c r="M15" s="682">
        <f>IFERROR(INDEX(BBスクリーニング!$AA$6:$AA$405,MATCH(LARGE(BBスクリーニング!$AE$6:$AE$405,$A15),BBスクリーニング!$AE$6:$AE$405,0)),"")</f>
      </c>
      <c r="N15" s="688">
        <f>IFERROR(INDEX(BBスクリーニング!$AC$6:$AC$405,MATCH(LARGE(BBスクリーニング!$AE$6:$AE$405,$A15),BBスクリーニング!$AE$6:$AE$405,0)),"")</f>
      </c>
    </row>
    <row r="16">
      <c r="A16" s="685">
        <v>12</v>
      </c>
      <c r="B16" s="681">
        <f>IFERROR(INDEX(BBスクリーニング!$B$6:$B$405,MATCH(LARGE(BBスクリーニング!$AE$6:$AE$405,$A16),BBスクリーニング!$AE$6:$AE$405,0)),"")</f>
      </c>
      <c r="C16" s="680">
        <f>IFERROR(INDEX(BBスクリーニング!$C$6:$C$405,MATCH(LARGE(BBスクリーニング!$AE$6:$AE$405,$A16),BBスクリーニング!$AE$6:$AE$405,0)),"")</f>
      </c>
      <c r="D16" s="682">
        <f>IFERROR(INDEX(BBスクリーニング!$D$6:$D$405,MATCH(LARGE(BBスクリーニング!$AE$6:$AE$405,$A16),BBスクリーニング!$AE$6:$AE$405,0)),"")</f>
      </c>
      <c r="E16" s="681">
        <f>IFERROR(INDEX(BBスクリーニング!$N$6:$N$405,MATCH(LARGE(BBスクリーニング!$AE$6:$AE$405,$A16),BBスクリーニング!$AE$6:$AE$405,0)),"")</f>
      </c>
      <c r="F16" s="681">
        <f>IFERROR(INDEX(BBスクリーニング!$P$6:$P$405,MATCH(LARGE(BBスクリーニング!$AE$6:$AE$405,$A16),BBスクリーニング!$AE$6:$AE$405,0)),"")</f>
      </c>
      <c r="G16" s="684">
        <f>IFERROR(INDEX(BBスクリーニング!$Q$6:$Q$405,MATCH(LARGE(BBスクリーニング!$AE$6:$AE$405,$A16),BBスクリーニング!$AE$6:$AE$405,0)),"")</f>
      </c>
      <c r="H16" s="684">
        <f>IFERROR(INDEX(BBスクリーニング!$R$6:$R$405,MATCH(LARGE(BBスクリーニング!$AE$6:$AE$405,$A16),BBスクリーニング!$AE$6:$AE$405,0)),"")</f>
      </c>
      <c r="I16" s="681">
        <f>IFERROR(INDEX(BBスクリーニング!$S$6:$S$405,MATCH(LARGE(BBスクリーニング!$AE$6:$AE$405,$A16),BBスクリーニング!$AE$6:$AE$405,0)),"")</f>
      </c>
      <c r="J16" s="690">
        <f>IFERROR(INDEX(BBスクリーニング!$W$6:$W$405,MATCH(LARGE(BBスクリーニング!$AE$6:$AE$405,$A16),BBスクリーニング!$AE$6:$AE$405,0)),"")</f>
      </c>
      <c r="K16" s="685">
        <f>IFERROR(INDEX(BBスクリーニング!$X$6:$X$405,MATCH(LARGE(BBスクリーニング!$AE$6:$AE$405,$A16),BBスクリーニング!$AE$6:$AE$405,0)),"")</f>
      </c>
      <c r="L16" s="682">
        <f>IFERROR(INDEX(BBスクリーニング!$Z$6:$Z$405,MATCH(LARGE(BBスクリーニング!$AE$6:$AE$405,$A16),BBスクリーニング!$AE$6:$AE$405,0)),"")</f>
      </c>
      <c r="M16" s="682">
        <f>IFERROR(INDEX(BBスクリーニング!$AA$6:$AA$405,MATCH(LARGE(BBスクリーニング!$AE$6:$AE$405,$A16),BBスクリーニング!$AE$6:$AE$405,0)),"")</f>
      </c>
      <c r="N16" s="688">
        <f>IFERROR(INDEX(BBスクリーニング!$AC$6:$AC$405,MATCH(LARGE(BBスクリーニング!$AE$6:$AE$405,$A16),BBスクリーニング!$AE$6:$AE$405,0)),"")</f>
      </c>
    </row>
    <row r="17">
      <c r="A17" s="685">
        <v>13</v>
      </c>
      <c r="B17" s="681">
        <f>IFERROR(INDEX(BBスクリーニング!$B$6:$B$405,MATCH(LARGE(BBスクリーニング!$AE$6:$AE$405,$A17),BBスクリーニング!$AE$6:$AE$405,0)),"")</f>
      </c>
      <c r="C17" s="680">
        <f>IFERROR(INDEX(BBスクリーニング!$C$6:$C$405,MATCH(LARGE(BBスクリーニング!$AE$6:$AE$405,$A17),BBスクリーニング!$AE$6:$AE$405,0)),"")</f>
      </c>
      <c r="D17" s="682">
        <f>IFERROR(INDEX(BBスクリーニング!$D$6:$D$405,MATCH(LARGE(BBスクリーニング!$AE$6:$AE$405,$A17),BBスクリーニング!$AE$6:$AE$405,0)),"")</f>
      </c>
      <c r="E17" s="681">
        <f>IFERROR(INDEX(BBスクリーニング!$N$6:$N$405,MATCH(LARGE(BBスクリーニング!$AE$6:$AE$405,$A17),BBスクリーニング!$AE$6:$AE$405,0)),"")</f>
      </c>
      <c r="F17" s="681">
        <f>IFERROR(INDEX(BBスクリーニング!$P$6:$P$405,MATCH(LARGE(BBスクリーニング!$AE$6:$AE$405,$A17),BBスクリーニング!$AE$6:$AE$405,0)),"")</f>
      </c>
      <c r="G17" s="684">
        <f>IFERROR(INDEX(BBスクリーニング!$Q$6:$Q$405,MATCH(LARGE(BBスクリーニング!$AE$6:$AE$405,$A17),BBスクリーニング!$AE$6:$AE$405,0)),"")</f>
      </c>
      <c r="H17" s="684">
        <f>IFERROR(INDEX(BBスクリーニング!$R$6:$R$405,MATCH(LARGE(BBスクリーニング!$AE$6:$AE$405,$A17),BBスクリーニング!$AE$6:$AE$405,0)),"")</f>
      </c>
      <c r="I17" s="681">
        <f>IFERROR(INDEX(BBスクリーニング!$S$6:$S$405,MATCH(LARGE(BBスクリーニング!$AE$6:$AE$405,$A17),BBスクリーニング!$AE$6:$AE$405,0)),"")</f>
      </c>
      <c r="J17" s="690">
        <f>IFERROR(INDEX(BBスクリーニング!$W$6:$W$405,MATCH(LARGE(BBスクリーニング!$AE$6:$AE$405,$A17),BBスクリーニング!$AE$6:$AE$405,0)),"")</f>
      </c>
      <c r="K17" s="685">
        <f>IFERROR(INDEX(BBスクリーニング!$X$6:$X$405,MATCH(LARGE(BBスクリーニング!$AE$6:$AE$405,$A17),BBスクリーニング!$AE$6:$AE$405,0)),"")</f>
      </c>
      <c r="L17" s="682">
        <f>IFERROR(INDEX(BBスクリーニング!$Z$6:$Z$405,MATCH(LARGE(BBスクリーニング!$AE$6:$AE$405,$A17),BBスクリーニング!$AE$6:$AE$405,0)),"")</f>
      </c>
      <c r="M17" s="682">
        <f>IFERROR(INDEX(BBスクリーニング!$AA$6:$AA$405,MATCH(LARGE(BBスクリーニング!$AE$6:$AE$405,$A17),BBスクリーニング!$AE$6:$AE$405,0)),"")</f>
      </c>
      <c r="N17" s="688">
        <f>IFERROR(INDEX(BBスクリーニング!$AC$6:$AC$405,MATCH(LARGE(BBスクリーニング!$AE$6:$AE$405,$A17),BBスクリーニング!$AE$6:$AE$405,0)),"")</f>
      </c>
    </row>
    <row r="18">
      <c r="A18" s="685">
        <v>14</v>
      </c>
      <c r="B18" s="681">
        <f>IFERROR(INDEX(BBスクリーニング!$B$6:$B$405,MATCH(LARGE(BBスクリーニング!$AE$6:$AE$405,$A18),BBスクリーニング!$AE$6:$AE$405,0)),"")</f>
      </c>
      <c r="C18" s="680">
        <f>IFERROR(INDEX(BBスクリーニング!$C$6:$C$405,MATCH(LARGE(BBスクリーニング!$AE$6:$AE$405,$A18),BBスクリーニング!$AE$6:$AE$405,0)),"")</f>
      </c>
      <c r="D18" s="682">
        <f>IFERROR(INDEX(BBスクリーニング!$D$6:$D$405,MATCH(LARGE(BBスクリーニング!$AE$6:$AE$405,$A18),BBスクリーニング!$AE$6:$AE$405,0)),"")</f>
      </c>
      <c r="E18" s="681">
        <f>IFERROR(INDEX(BBスクリーニング!$N$6:$N$405,MATCH(LARGE(BBスクリーニング!$AE$6:$AE$405,$A18),BBスクリーニング!$AE$6:$AE$405,0)),"")</f>
      </c>
      <c r="F18" s="681">
        <f>IFERROR(INDEX(BBスクリーニング!$P$6:$P$405,MATCH(LARGE(BBスクリーニング!$AE$6:$AE$405,$A18),BBスクリーニング!$AE$6:$AE$405,0)),"")</f>
      </c>
      <c r="G18" s="684">
        <f>IFERROR(INDEX(BBスクリーニング!$Q$6:$Q$405,MATCH(LARGE(BBスクリーニング!$AE$6:$AE$405,$A18),BBスクリーニング!$AE$6:$AE$405,0)),"")</f>
      </c>
      <c r="H18" s="684">
        <f>IFERROR(INDEX(BBスクリーニング!$R$6:$R$405,MATCH(LARGE(BBスクリーニング!$AE$6:$AE$405,$A18),BBスクリーニング!$AE$6:$AE$405,0)),"")</f>
      </c>
      <c r="I18" s="681">
        <f>IFERROR(INDEX(BBスクリーニング!$S$6:$S$405,MATCH(LARGE(BBスクリーニング!$AE$6:$AE$405,$A18),BBスクリーニング!$AE$6:$AE$405,0)),"")</f>
      </c>
      <c r="J18" s="690">
        <f>IFERROR(INDEX(BBスクリーニング!$W$6:$W$405,MATCH(LARGE(BBスクリーニング!$AE$6:$AE$405,$A18),BBスクリーニング!$AE$6:$AE$405,0)),"")</f>
      </c>
      <c r="K18" s="685">
        <f>IFERROR(INDEX(BBスクリーニング!$X$6:$X$405,MATCH(LARGE(BBスクリーニング!$AE$6:$AE$405,$A18),BBスクリーニング!$AE$6:$AE$405,0)),"")</f>
      </c>
      <c r="L18" s="682">
        <f>IFERROR(INDEX(BBスクリーニング!$Z$6:$Z$405,MATCH(LARGE(BBスクリーニング!$AE$6:$AE$405,$A18),BBスクリーニング!$AE$6:$AE$405,0)),"")</f>
      </c>
      <c r="M18" s="682">
        <f>IFERROR(INDEX(BBスクリーニング!$AA$6:$AA$405,MATCH(LARGE(BBスクリーニング!$AE$6:$AE$405,$A18),BBスクリーニング!$AE$6:$AE$405,0)),"")</f>
      </c>
      <c r="N18" s="688">
        <f>IFERROR(INDEX(BBスクリーニング!$AC$6:$AC$405,MATCH(LARGE(BBスクリーニング!$AE$6:$AE$405,$A18),BBスクリーニング!$AE$6:$AE$405,0)),"")</f>
      </c>
    </row>
    <row r="19">
      <c r="A19" s="685">
        <v>15</v>
      </c>
      <c r="B19" s="681">
        <f>IFERROR(INDEX(BBスクリーニング!$B$6:$B$405,MATCH(LARGE(BBスクリーニング!$AE$6:$AE$405,$A19),BBスクリーニング!$AE$6:$AE$405,0)),"")</f>
      </c>
      <c r="C19" s="680">
        <f>IFERROR(INDEX(BBスクリーニング!$C$6:$C$405,MATCH(LARGE(BBスクリーニング!$AE$6:$AE$405,$A19),BBスクリーニング!$AE$6:$AE$405,0)),"")</f>
      </c>
      <c r="D19" s="682">
        <f>IFERROR(INDEX(BBスクリーニング!$D$6:$D$405,MATCH(LARGE(BBスクリーニング!$AE$6:$AE$405,$A19),BBスクリーニング!$AE$6:$AE$405,0)),"")</f>
      </c>
      <c r="E19" s="681">
        <f>IFERROR(INDEX(BBスクリーニング!$N$6:$N$405,MATCH(LARGE(BBスクリーニング!$AE$6:$AE$405,$A19),BBスクリーニング!$AE$6:$AE$405,0)),"")</f>
      </c>
      <c r="F19" s="681">
        <f>IFERROR(INDEX(BBスクリーニング!$P$6:$P$405,MATCH(LARGE(BBスクリーニング!$AE$6:$AE$405,$A19),BBスクリーニング!$AE$6:$AE$405,0)),"")</f>
      </c>
      <c r="G19" s="684">
        <f>IFERROR(INDEX(BBスクリーニング!$Q$6:$Q$405,MATCH(LARGE(BBスクリーニング!$AE$6:$AE$405,$A19),BBスクリーニング!$AE$6:$AE$405,0)),"")</f>
      </c>
      <c r="H19" s="684">
        <f>IFERROR(INDEX(BBスクリーニング!$R$6:$R$405,MATCH(LARGE(BBスクリーニング!$AE$6:$AE$405,$A19),BBスクリーニング!$AE$6:$AE$405,0)),"")</f>
      </c>
      <c r="I19" s="681">
        <f>IFERROR(INDEX(BBスクリーニング!$S$6:$S$405,MATCH(LARGE(BBスクリーニング!$AE$6:$AE$405,$A19),BBスクリーニング!$AE$6:$AE$405,0)),"")</f>
      </c>
      <c r="J19" s="690">
        <f>IFERROR(INDEX(BBスクリーニング!$W$6:$W$405,MATCH(LARGE(BBスクリーニング!$AE$6:$AE$405,$A19),BBスクリーニング!$AE$6:$AE$405,0)),"")</f>
      </c>
      <c r="K19" s="685">
        <f>IFERROR(INDEX(BBスクリーニング!$X$6:$X$405,MATCH(LARGE(BBスクリーニング!$AE$6:$AE$405,$A19),BBスクリーニング!$AE$6:$AE$405,0)),"")</f>
      </c>
      <c r="L19" s="682">
        <f>IFERROR(INDEX(BBスクリーニング!$Z$6:$Z$405,MATCH(LARGE(BBスクリーニング!$AE$6:$AE$405,$A19),BBスクリーニング!$AE$6:$AE$405,0)),"")</f>
      </c>
      <c r="M19" s="682">
        <f>IFERROR(INDEX(BBスクリーニング!$AA$6:$AA$405,MATCH(LARGE(BBスクリーニング!$AE$6:$AE$405,$A19),BBスクリーニング!$AE$6:$AE$405,0)),"")</f>
      </c>
      <c r="N19" s="688">
        <f>IFERROR(INDEX(BBスクリーニング!$AC$6:$AC$405,MATCH(LARGE(BBスクリーニング!$AE$6:$AE$405,$A19),BBスクリーニング!$AE$6:$AE$405,0)),"")</f>
      </c>
    </row>
    <row r="20">
      <c r="A20" s="685">
        <v>16</v>
      </c>
      <c r="B20" s="681">
        <f>IFERROR(INDEX(BBスクリーニング!$B$6:$B$405,MATCH(LARGE(BBスクリーニング!$AE$6:$AE$405,$A20),BBスクリーニング!$AE$6:$AE$405,0)),"")</f>
      </c>
      <c r="C20" s="680">
        <f>IFERROR(INDEX(BBスクリーニング!$C$6:$C$405,MATCH(LARGE(BBスクリーニング!$AE$6:$AE$405,$A20),BBスクリーニング!$AE$6:$AE$405,0)),"")</f>
      </c>
      <c r="D20" s="682">
        <f>IFERROR(INDEX(BBスクリーニング!$D$6:$D$405,MATCH(LARGE(BBスクリーニング!$AE$6:$AE$405,$A20),BBスクリーニング!$AE$6:$AE$405,0)),"")</f>
      </c>
      <c r="E20" s="681">
        <f>IFERROR(INDEX(BBスクリーニング!$N$6:$N$405,MATCH(LARGE(BBスクリーニング!$AE$6:$AE$405,$A20),BBスクリーニング!$AE$6:$AE$405,0)),"")</f>
      </c>
      <c r="F20" s="681">
        <f>IFERROR(INDEX(BBスクリーニング!$P$6:$P$405,MATCH(LARGE(BBスクリーニング!$AE$6:$AE$405,$A20),BBスクリーニング!$AE$6:$AE$405,0)),"")</f>
      </c>
      <c r="G20" s="684">
        <f>IFERROR(INDEX(BBスクリーニング!$Q$6:$Q$405,MATCH(LARGE(BBスクリーニング!$AE$6:$AE$405,$A20),BBスクリーニング!$AE$6:$AE$405,0)),"")</f>
      </c>
      <c r="H20" s="684">
        <f>IFERROR(INDEX(BBスクリーニング!$R$6:$R$405,MATCH(LARGE(BBスクリーニング!$AE$6:$AE$405,$A20),BBスクリーニング!$AE$6:$AE$405,0)),"")</f>
      </c>
      <c r="I20" s="681">
        <f>IFERROR(INDEX(BBスクリーニング!$S$6:$S$405,MATCH(LARGE(BBスクリーニング!$AE$6:$AE$405,$A20),BBスクリーニング!$AE$6:$AE$405,0)),"")</f>
      </c>
      <c r="J20" s="690">
        <f>IFERROR(INDEX(BBスクリーニング!$W$6:$W$405,MATCH(LARGE(BBスクリーニング!$AE$6:$AE$405,$A20),BBスクリーニング!$AE$6:$AE$405,0)),"")</f>
      </c>
      <c r="K20" s="685">
        <f>IFERROR(INDEX(BBスクリーニング!$X$6:$X$405,MATCH(LARGE(BBスクリーニング!$AE$6:$AE$405,$A20),BBスクリーニング!$AE$6:$AE$405,0)),"")</f>
      </c>
      <c r="L20" s="682">
        <f>IFERROR(INDEX(BBスクリーニング!$Z$6:$Z$405,MATCH(LARGE(BBスクリーニング!$AE$6:$AE$405,$A20),BBスクリーニング!$AE$6:$AE$405,0)),"")</f>
      </c>
      <c r="M20" s="682">
        <f>IFERROR(INDEX(BBスクリーニング!$AA$6:$AA$405,MATCH(LARGE(BBスクリーニング!$AE$6:$AE$405,$A20),BBスクリーニング!$AE$6:$AE$405,0)),"")</f>
      </c>
      <c r="N20" s="688">
        <f>IFERROR(INDEX(BBスクリーニング!$AC$6:$AC$405,MATCH(LARGE(BBスクリーニング!$AE$6:$AE$405,$A20),BBスクリーニング!$AE$6:$AE$405,0)),"")</f>
      </c>
    </row>
    <row r="21">
      <c r="A21" s="685">
        <v>17</v>
      </c>
      <c r="B21" s="681">
        <f>IFERROR(INDEX(BBスクリーニング!$B$6:$B$405,MATCH(LARGE(BBスクリーニング!$AE$6:$AE$405,$A21),BBスクリーニング!$AE$6:$AE$405,0)),"")</f>
      </c>
      <c r="C21" s="680">
        <f>IFERROR(INDEX(BBスクリーニング!$C$6:$C$405,MATCH(LARGE(BBスクリーニング!$AE$6:$AE$405,$A21),BBスクリーニング!$AE$6:$AE$405,0)),"")</f>
      </c>
      <c r="D21" s="682">
        <f>IFERROR(INDEX(BBスクリーニング!$D$6:$D$405,MATCH(LARGE(BBスクリーニング!$AE$6:$AE$405,$A21),BBスクリーニング!$AE$6:$AE$405,0)),"")</f>
      </c>
      <c r="E21" s="681">
        <f>IFERROR(INDEX(BBスクリーニング!$N$6:$N$405,MATCH(LARGE(BBスクリーニング!$AE$6:$AE$405,$A21),BBスクリーニング!$AE$6:$AE$405,0)),"")</f>
      </c>
      <c r="F21" s="681">
        <f>IFERROR(INDEX(BBスクリーニング!$P$6:$P$405,MATCH(LARGE(BBスクリーニング!$AE$6:$AE$405,$A21),BBスクリーニング!$AE$6:$AE$405,0)),"")</f>
      </c>
      <c r="G21" s="684">
        <f>IFERROR(INDEX(BBスクリーニング!$Q$6:$Q$405,MATCH(LARGE(BBスクリーニング!$AE$6:$AE$405,$A21),BBスクリーニング!$AE$6:$AE$405,0)),"")</f>
      </c>
      <c r="H21" s="684">
        <f>IFERROR(INDEX(BBスクリーニング!$R$6:$R$405,MATCH(LARGE(BBスクリーニング!$AE$6:$AE$405,$A21),BBスクリーニング!$AE$6:$AE$405,0)),"")</f>
      </c>
      <c r="I21" s="681">
        <f>IFERROR(INDEX(BBスクリーニング!$S$6:$S$405,MATCH(LARGE(BBスクリーニング!$AE$6:$AE$405,$A21),BBスクリーニング!$AE$6:$AE$405,0)),"")</f>
      </c>
      <c r="J21" s="690">
        <f>IFERROR(INDEX(BBスクリーニング!$W$6:$W$405,MATCH(LARGE(BBスクリーニング!$AE$6:$AE$405,$A21),BBスクリーニング!$AE$6:$AE$405,0)),"")</f>
      </c>
      <c r="K21" s="685">
        <f>IFERROR(INDEX(BBスクリーニング!$X$6:$X$405,MATCH(LARGE(BBスクリーニング!$AE$6:$AE$405,$A21),BBスクリーニング!$AE$6:$AE$405,0)),"")</f>
      </c>
      <c r="L21" s="682">
        <f>IFERROR(INDEX(BBスクリーニング!$Z$6:$Z$405,MATCH(LARGE(BBスクリーニング!$AE$6:$AE$405,$A21),BBスクリーニング!$AE$6:$AE$405,0)),"")</f>
      </c>
      <c r="M21" s="682">
        <f>IFERROR(INDEX(BBスクリーニング!$AA$6:$AA$405,MATCH(LARGE(BBスクリーニング!$AE$6:$AE$405,$A21),BBスクリーニング!$AE$6:$AE$405,0)),"")</f>
      </c>
      <c r="N21" s="688">
        <f>IFERROR(INDEX(BBスクリーニング!$AC$6:$AC$405,MATCH(LARGE(BBスクリーニング!$AE$6:$AE$405,$A21),BBスクリーニング!$AE$6:$AE$405,0)),"")</f>
      </c>
    </row>
    <row r="22">
      <c r="A22" s="685">
        <v>18</v>
      </c>
      <c r="B22" s="681">
        <f>IFERROR(INDEX(BBスクリーニング!$B$6:$B$405,MATCH(LARGE(BBスクリーニング!$AE$6:$AE$405,$A22),BBスクリーニング!$AE$6:$AE$405,0)),"")</f>
      </c>
      <c r="C22" s="680">
        <f>IFERROR(INDEX(BBスクリーニング!$C$6:$C$405,MATCH(LARGE(BBスクリーニング!$AE$6:$AE$405,$A22),BBスクリーニング!$AE$6:$AE$405,0)),"")</f>
      </c>
      <c r="D22" s="682">
        <f>IFERROR(INDEX(BBスクリーニング!$D$6:$D$405,MATCH(LARGE(BBスクリーニング!$AE$6:$AE$405,$A22),BBスクリーニング!$AE$6:$AE$405,0)),"")</f>
      </c>
      <c r="E22" s="681">
        <f>IFERROR(INDEX(BBスクリーニング!$N$6:$N$405,MATCH(LARGE(BBスクリーニング!$AE$6:$AE$405,$A22),BBスクリーニング!$AE$6:$AE$405,0)),"")</f>
      </c>
      <c r="F22" s="681">
        <f>IFERROR(INDEX(BBスクリーニング!$P$6:$P$405,MATCH(LARGE(BBスクリーニング!$AE$6:$AE$405,$A22),BBスクリーニング!$AE$6:$AE$405,0)),"")</f>
      </c>
      <c r="G22" s="684">
        <f>IFERROR(INDEX(BBスクリーニング!$Q$6:$Q$405,MATCH(LARGE(BBスクリーニング!$AE$6:$AE$405,$A22),BBスクリーニング!$AE$6:$AE$405,0)),"")</f>
      </c>
      <c r="H22" s="684">
        <f>IFERROR(INDEX(BBスクリーニング!$R$6:$R$405,MATCH(LARGE(BBスクリーニング!$AE$6:$AE$405,$A22),BBスクリーニング!$AE$6:$AE$405,0)),"")</f>
      </c>
      <c r="I22" s="681">
        <f>IFERROR(INDEX(BBスクリーニング!$S$6:$S$405,MATCH(LARGE(BBスクリーニング!$AE$6:$AE$405,$A22),BBスクリーニング!$AE$6:$AE$405,0)),"")</f>
      </c>
      <c r="J22" s="690">
        <f>IFERROR(INDEX(BBスクリーニング!$W$6:$W$405,MATCH(LARGE(BBスクリーニング!$AE$6:$AE$405,$A22),BBスクリーニング!$AE$6:$AE$405,0)),"")</f>
      </c>
      <c r="K22" s="685">
        <f>IFERROR(INDEX(BBスクリーニング!$X$6:$X$405,MATCH(LARGE(BBスクリーニング!$AE$6:$AE$405,$A22),BBスクリーニング!$AE$6:$AE$405,0)),"")</f>
      </c>
      <c r="L22" s="682">
        <f>IFERROR(INDEX(BBスクリーニング!$Z$6:$Z$405,MATCH(LARGE(BBスクリーニング!$AE$6:$AE$405,$A22),BBスクリーニング!$AE$6:$AE$405,0)),"")</f>
      </c>
      <c r="M22" s="682">
        <f>IFERROR(INDEX(BBスクリーニング!$AA$6:$AA$405,MATCH(LARGE(BBスクリーニング!$AE$6:$AE$405,$A22),BBスクリーニング!$AE$6:$AE$405,0)),"")</f>
      </c>
      <c r="N22" s="688">
        <f>IFERROR(INDEX(BBスクリーニング!$AC$6:$AC$405,MATCH(LARGE(BBスクリーニング!$AE$6:$AE$405,$A22),BBスクリーニング!$AE$6:$AE$405,0)),"")</f>
      </c>
    </row>
    <row r="23">
      <c r="A23" s="685">
        <v>19</v>
      </c>
      <c r="B23" s="681">
        <f>IFERROR(INDEX(BBスクリーニング!$B$6:$B$405,MATCH(LARGE(BBスクリーニング!$AE$6:$AE$405,$A23),BBスクリーニング!$AE$6:$AE$405,0)),"")</f>
      </c>
      <c r="C23" s="680">
        <f>IFERROR(INDEX(BBスクリーニング!$C$6:$C$405,MATCH(LARGE(BBスクリーニング!$AE$6:$AE$405,$A23),BBスクリーニング!$AE$6:$AE$405,0)),"")</f>
      </c>
      <c r="D23" s="682">
        <f>IFERROR(INDEX(BBスクリーニング!$D$6:$D$405,MATCH(LARGE(BBスクリーニング!$AE$6:$AE$405,$A23),BBスクリーニング!$AE$6:$AE$405,0)),"")</f>
      </c>
      <c r="E23" s="681">
        <f>IFERROR(INDEX(BBスクリーニング!$N$6:$N$405,MATCH(LARGE(BBスクリーニング!$AE$6:$AE$405,$A23),BBスクリーニング!$AE$6:$AE$405,0)),"")</f>
      </c>
      <c r="F23" s="681">
        <f>IFERROR(INDEX(BBスクリーニング!$P$6:$P$405,MATCH(LARGE(BBスクリーニング!$AE$6:$AE$405,$A23),BBスクリーニング!$AE$6:$AE$405,0)),"")</f>
      </c>
      <c r="G23" s="684">
        <f>IFERROR(INDEX(BBスクリーニング!$Q$6:$Q$405,MATCH(LARGE(BBスクリーニング!$AE$6:$AE$405,$A23),BBスクリーニング!$AE$6:$AE$405,0)),"")</f>
      </c>
      <c r="H23" s="684">
        <f>IFERROR(INDEX(BBスクリーニング!$R$6:$R$405,MATCH(LARGE(BBスクリーニング!$AE$6:$AE$405,$A23),BBスクリーニング!$AE$6:$AE$405,0)),"")</f>
      </c>
      <c r="I23" s="681">
        <f>IFERROR(INDEX(BBスクリーニング!$S$6:$S$405,MATCH(LARGE(BBスクリーニング!$AE$6:$AE$405,$A23),BBスクリーニング!$AE$6:$AE$405,0)),"")</f>
      </c>
      <c r="J23" s="690">
        <f>IFERROR(INDEX(BBスクリーニング!$W$6:$W$405,MATCH(LARGE(BBスクリーニング!$AE$6:$AE$405,$A23),BBスクリーニング!$AE$6:$AE$405,0)),"")</f>
      </c>
      <c r="K23" s="685">
        <f>IFERROR(INDEX(BBスクリーニング!$X$6:$X$405,MATCH(LARGE(BBスクリーニング!$AE$6:$AE$405,$A23),BBスクリーニング!$AE$6:$AE$405,0)),"")</f>
      </c>
      <c r="L23" s="682">
        <f>IFERROR(INDEX(BBスクリーニング!$Z$6:$Z$405,MATCH(LARGE(BBスクリーニング!$AE$6:$AE$405,$A23),BBスクリーニング!$AE$6:$AE$405,0)),"")</f>
      </c>
      <c r="M23" s="682">
        <f>IFERROR(INDEX(BBスクリーニング!$AA$6:$AA$405,MATCH(LARGE(BBスクリーニング!$AE$6:$AE$405,$A23),BBスクリーニング!$AE$6:$AE$405,0)),"")</f>
      </c>
      <c r="N23" s="688">
        <f>IFERROR(INDEX(BBスクリーニング!$AC$6:$AC$405,MATCH(LARGE(BBスクリーニング!$AE$6:$AE$405,$A23),BBスクリーニング!$AE$6:$AE$405,0)),"")</f>
      </c>
    </row>
    <row r="24">
      <c r="A24" s="685">
        <v>20</v>
      </c>
      <c r="B24" s="681">
        <f>IFERROR(INDEX(BBスクリーニング!$B$6:$B$405,MATCH(LARGE(BBスクリーニング!$AE$6:$AE$405,$A24),BBスクリーニング!$AE$6:$AE$405,0)),"")</f>
      </c>
      <c r="C24" s="680">
        <f>IFERROR(INDEX(BBスクリーニング!$C$6:$C$405,MATCH(LARGE(BBスクリーニング!$AE$6:$AE$405,$A24),BBスクリーニング!$AE$6:$AE$405,0)),"")</f>
      </c>
      <c r="D24" s="682">
        <f>IFERROR(INDEX(BBスクリーニング!$D$6:$D$405,MATCH(LARGE(BBスクリーニング!$AE$6:$AE$405,$A24),BBスクリーニング!$AE$6:$AE$405,0)),"")</f>
      </c>
      <c r="E24" s="681">
        <f>IFERROR(INDEX(BBスクリーニング!$N$6:$N$405,MATCH(LARGE(BBスクリーニング!$AE$6:$AE$405,$A24),BBスクリーニング!$AE$6:$AE$405,0)),"")</f>
      </c>
      <c r="F24" s="681">
        <f>IFERROR(INDEX(BBスクリーニング!$P$6:$P$405,MATCH(LARGE(BBスクリーニング!$AE$6:$AE$405,$A24),BBスクリーニング!$AE$6:$AE$405,0)),"")</f>
      </c>
      <c r="G24" s="684">
        <f>IFERROR(INDEX(BBスクリーニング!$Q$6:$Q$405,MATCH(LARGE(BBスクリーニング!$AE$6:$AE$405,$A24),BBスクリーニング!$AE$6:$AE$405,0)),"")</f>
      </c>
      <c r="H24" s="684">
        <f>IFERROR(INDEX(BBスクリーニング!$R$6:$R$405,MATCH(LARGE(BBスクリーニング!$AE$6:$AE$405,$A24),BBスクリーニング!$AE$6:$AE$405,0)),"")</f>
      </c>
      <c r="I24" s="681">
        <f>IFERROR(INDEX(BBスクリーニング!$S$6:$S$405,MATCH(LARGE(BBスクリーニング!$AE$6:$AE$405,$A24),BBスクリーニング!$AE$6:$AE$405,0)),"")</f>
      </c>
      <c r="J24" s="690">
        <f>IFERROR(INDEX(BBスクリーニング!$W$6:$W$405,MATCH(LARGE(BBスクリーニング!$AE$6:$AE$405,$A24),BBスクリーニング!$AE$6:$AE$405,0)),"")</f>
      </c>
      <c r="K24" s="685">
        <f>IFERROR(INDEX(BBスクリーニング!$X$6:$X$405,MATCH(LARGE(BBスクリーニング!$AE$6:$AE$405,$A24),BBスクリーニング!$AE$6:$AE$405,0)),"")</f>
      </c>
      <c r="L24" s="682">
        <f>IFERROR(INDEX(BBスクリーニング!$Z$6:$Z$405,MATCH(LARGE(BBスクリーニング!$AE$6:$AE$405,$A24),BBスクリーニング!$AE$6:$AE$405,0)),"")</f>
      </c>
      <c r="M24" s="682">
        <f>IFERROR(INDEX(BBスクリーニング!$AA$6:$AA$405,MATCH(LARGE(BBスクリーニング!$AE$6:$AE$405,$A24),BBスクリーニング!$AE$6:$AE$405,0)),"")</f>
      </c>
      <c r="N24" s="688">
        <f>IFERROR(INDEX(BBスクリーニング!$AC$6:$AC$405,MATCH(LARGE(BBスクリーニング!$AE$6:$AE$405,$A24),BBスクリーニング!$AE$6:$AE$405,0)),"")</f>
      </c>
    </row>
    <row r="25">
      <c r="A25" s="685">
        <v>21</v>
      </c>
      <c r="B25" s="681">
        <f>IFERROR(INDEX(BBスクリーニング!$B$6:$B$405,MATCH(LARGE(BBスクリーニング!$AE$6:$AE$405,$A25),BBスクリーニング!$AE$6:$AE$405,0)),"")</f>
      </c>
      <c r="C25" s="680">
        <f>IFERROR(INDEX(BBスクリーニング!$C$6:$C$405,MATCH(LARGE(BBスクリーニング!$AE$6:$AE$405,$A25),BBスクリーニング!$AE$6:$AE$405,0)),"")</f>
      </c>
      <c r="D25" s="682">
        <f>IFERROR(INDEX(BBスクリーニング!$D$6:$D$405,MATCH(LARGE(BBスクリーニング!$AE$6:$AE$405,$A25),BBスクリーニング!$AE$6:$AE$405,0)),"")</f>
      </c>
      <c r="E25" s="681">
        <f>IFERROR(INDEX(BBスクリーニング!$N$6:$N$405,MATCH(LARGE(BBスクリーニング!$AE$6:$AE$405,$A25),BBスクリーニング!$AE$6:$AE$405,0)),"")</f>
      </c>
      <c r="F25" s="681">
        <f>IFERROR(INDEX(BBスクリーニング!$P$6:$P$405,MATCH(LARGE(BBスクリーニング!$AE$6:$AE$405,$A25),BBスクリーニング!$AE$6:$AE$405,0)),"")</f>
      </c>
      <c r="G25" s="684">
        <f>IFERROR(INDEX(BBスクリーニング!$Q$6:$Q$405,MATCH(LARGE(BBスクリーニング!$AE$6:$AE$405,$A25),BBスクリーニング!$AE$6:$AE$405,0)),"")</f>
      </c>
      <c r="H25" s="684">
        <f>IFERROR(INDEX(BBスクリーニング!$R$6:$R$405,MATCH(LARGE(BBスクリーニング!$AE$6:$AE$405,$A25),BBスクリーニング!$AE$6:$AE$405,0)),"")</f>
      </c>
      <c r="I25" s="681">
        <f>IFERROR(INDEX(BBスクリーニング!$S$6:$S$405,MATCH(LARGE(BBスクリーニング!$AE$6:$AE$405,$A25),BBスクリーニング!$AE$6:$AE$405,0)),"")</f>
      </c>
      <c r="J25" s="690">
        <f>IFERROR(INDEX(BBスクリーニング!$W$6:$W$405,MATCH(LARGE(BBスクリーニング!$AE$6:$AE$405,$A25),BBスクリーニング!$AE$6:$AE$405,0)),"")</f>
      </c>
      <c r="K25" s="685">
        <f>IFERROR(INDEX(BBスクリーニング!$X$6:$X$405,MATCH(LARGE(BBスクリーニング!$AE$6:$AE$405,$A25),BBスクリーニング!$AE$6:$AE$405,0)),"")</f>
      </c>
      <c r="L25" s="682">
        <f>IFERROR(INDEX(BBスクリーニング!$Z$6:$Z$405,MATCH(LARGE(BBスクリーニング!$AE$6:$AE$405,$A25),BBスクリーニング!$AE$6:$AE$405,0)),"")</f>
      </c>
      <c r="M25" s="682">
        <f>IFERROR(INDEX(BBスクリーニング!$AA$6:$AA$405,MATCH(LARGE(BBスクリーニング!$AE$6:$AE$405,$A25),BBスクリーニング!$AE$6:$AE$405,0)),"")</f>
      </c>
      <c r="N25" s="688">
        <f>IFERROR(INDEX(BBスクリーニング!$AC$6:$AC$405,MATCH(LARGE(BBスクリーニング!$AE$6:$AE$405,$A25),BBスクリーニング!$AE$6:$AE$405,0)),"")</f>
      </c>
    </row>
    <row r="26">
      <c r="A26" s="685">
        <v>22</v>
      </c>
      <c r="B26" s="681">
        <f>IFERROR(INDEX(BBスクリーニング!$B$6:$B$405,MATCH(LARGE(BBスクリーニング!$AE$6:$AE$405,$A26),BBスクリーニング!$AE$6:$AE$405,0)),"")</f>
      </c>
      <c r="C26" s="680">
        <f>IFERROR(INDEX(BBスクリーニング!$C$6:$C$405,MATCH(LARGE(BBスクリーニング!$AE$6:$AE$405,$A26),BBスクリーニング!$AE$6:$AE$405,0)),"")</f>
      </c>
      <c r="D26" s="682">
        <f>IFERROR(INDEX(BBスクリーニング!$D$6:$D$405,MATCH(LARGE(BBスクリーニング!$AE$6:$AE$405,$A26),BBスクリーニング!$AE$6:$AE$405,0)),"")</f>
      </c>
      <c r="E26" s="681">
        <f>IFERROR(INDEX(BBスクリーニング!$N$6:$N$405,MATCH(LARGE(BBスクリーニング!$AE$6:$AE$405,$A26),BBスクリーニング!$AE$6:$AE$405,0)),"")</f>
      </c>
      <c r="F26" s="681">
        <f>IFERROR(INDEX(BBスクリーニング!$P$6:$P$405,MATCH(LARGE(BBスクリーニング!$AE$6:$AE$405,$A26),BBスクリーニング!$AE$6:$AE$405,0)),"")</f>
      </c>
      <c r="G26" s="684">
        <f>IFERROR(INDEX(BBスクリーニング!$Q$6:$Q$405,MATCH(LARGE(BBスクリーニング!$AE$6:$AE$405,$A26),BBスクリーニング!$AE$6:$AE$405,0)),"")</f>
      </c>
      <c r="H26" s="684">
        <f>IFERROR(INDEX(BBスクリーニング!$R$6:$R$405,MATCH(LARGE(BBスクリーニング!$AE$6:$AE$405,$A26),BBスクリーニング!$AE$6:$AE$405,0)),"")</f>
      </c>
      <c r="I26" s="681">
        <f>IFERROR(INDEX(BBスクリーニング!$S$6:$S$405,MATCH(LARGE(BBスクリーニング!$AE$6:$AE$405,$A26),BBスクリーニング!$AE$6:$AE$405,0)),"")</f>
      </c>
      <c r="J26" s="690">
        <f>IFERROR(INDEX(BBスクリーニング!$W$6:$W$405,MATCH(LARGE(BBスクリーニング!$AE$6:$AE$405,$A26),BBスクリーニング!$AE$6:$AE$405,0)),"")</f>
      </c>
      <c r="K26" s="685">
        <f>IFERROR(INDEX(BBスクリーニング!$X$6:$X$405,MATCH(LARGE(BBスクリーニング!$AE$6:$AE$405,$A26),BBスクリーニング!$AE$6:$AE$405,0)),"")</f>
      </c>
      <c r="L26" s="682">
        <f>IFERROR(INDEX(BBスクリーニング!$Z$6:$Z$405,MATCH(LARGE(BBスクリーニング!$AE$6:$AE$405,$A26),BBスクリーニング!$AE$6:$AE$405,0)),"")</f>
      </c>
      <c r="M26" s="682">
        <f>IFERROR(INDEX(BBスクリーニング!$AA$6:$AA$405,MATCH(LARGE(BBスクリーニング!$AE$6:$AE$405,$A26),BBスクリーニング!$AE$6:$AE$405,0)),"")</f>
      </c>
      <c r="N26" s="688">
        <f>IFERROR(INDEX(BBスクリーニング!$AC$6:$AC$405,MATCH(LARGE(BBスクリーニング!$AE$6:$AE$405,$A26),BBスクリーニング!$AE$6:$AE$405,0)),"")</f>
      </c>
    </row>
    <row r="27">
      <c r="A27" s="685">
        <v>23</v>
      </c>
      <c r="B27" s="681">
        <f>IFERROR(INDEX(BBスクリーニング!$B$6:$B$405,MATCH(LARGE(BBスクリーニング!$AE$6:$AE$405,$A27),BBスクリーニング!$AE$6:$AE$405,0)),"")</f>
      </c>
      <c r="C27" s="680">
        <f>IFERROR(INDEX(BBスクリーニング!$C$6:$C$405,MATCH(LARGE(BBスクリーニング!$AE$6:$AE$405,$A27),BBスクリーニング!$AE$6:$AE$405,0)),"")</f>
      </c>
      <c r="D27" s="682">
        <f>IFERROR(INDEX(BBスクリーニング!$D$6:$D$405,MATCH(LARGE(BBスクリーニング!$AE$6:$AE$405,$A27),BBスクリーニング!$AE$6:$AE$405,0)),"")</f>
      </c>
      <c r="E27" s="681">
        <f>IFERROR(INDEX(BBスクリーニング!$N$6:$N$405,MATCH(LARGE(BBスクリーニング!$AE$6:$AE$405,$A27),BBスクリーニング!$AE$6:$AE$405,0)),"")</f>
      </c>
      <c r="F27" s="681">
        <f>IFERROR(INDEX(BBスクリーニング!$P$6:$P$405,MATCH(LARGE(BBスクリーニング!$AE$6:$AE$405,$A27),BBスクリーニング!$AE$6:$AE$405,0)),"")</f>
      </c>
      <c r="G27" s="684">
        <f>IFERROR(INDEX(BBスクリーニング!$Q$6:$Q$405,MATCH(LARGE(BBスクリーニング!$AE$6:$AE$405,$A27),BBスクリーニング!$AE$6:$AE$405,0)),"")</f>
      </c>
      <c r="H27" s="684">
        <f>IFERROR(INDEX(BBスクリーニング!$R$6:$R$405,MATCH(LARGE(BBスクリーニング!$AE$6:$AE$405,$A27),BBスクリーニング!$AE$6:$AE$405,0)),"")</f>
      </c>
      <c r="I27" s="681">
        <f>IFERROR(INDEX(BBスクリーニング!$S$6:$S$405,MATCH(LARGE(BBスクリーニング!$AE$6:$AE$405,$A27),BBスクリーニング!$AE$6:$AE$405,0)),"")</f>
      </c>
      <c r="J27" s="690">
        <f>IFERROR(INDEX(BBスクリーニング!$W$6:$W$405,MATCH(LARGE(BBスクリーニング!$AE$6:$AE$405,$A27),BBスクリーニング!$AE$6:$AE$405,0)),"")</f>
      </c>
      <c r="K27" s="685">
        <f>IFERROR(INDEX(BBスクリーニング!$X$6:$X$405,MATCH(LARGE(BBスクリーニング!$AE$6:$AE$405,$A27),BBスクリーニング!$AE$6:$AE$405,0)),"")</f>
      </c>
      <c r="L27" s="682">
        <f>IFERROR(INDEX(BBスクリーニング!$Z$6:$Z$405,MATCH(LARGE(BBスクリーニング!$AE$6:$AE$405,$A27),BBスクリーニング!$AE$6:$AE$405,0)),"")</f>
      </c>
      <c r="M27" s="682">
        <f>IFERROR(INDEX(BBスクリーニング!$AA$6:$AA$405,MATCH(LARGE(BBスクリーニング!$AE$6:$AE$405,$A27),BBスクリーニング!$AE$6:$AE$405,0)),"")</f>
      </c>
      <c r="N27" s="688">
        <f>IFERROR(INDEX(BBスクリーニング!$AC$6:$AC$405,MATCH(LARGE(BBスクリーニング!$AE$6:$AE$405,$A27),BBスクリーニング!$AE$6:$AE$405,0)),"")</f>
      </c>
    </row>
    <row r="28">
      <c r="A28" s="685">
        <v>24</v>
      </c>
      <c r="B28" s="681">
        <f>IFERROR(INDEX(BBスクリーニング!$B$6:$B$405,MATCH(LARGE(BBスクリーニング!$AE$6:$AE$405,$A28),BBスクリーニング!$AE$6:$AE$405,0)),"")</f>
      </c>
      <c r="C28" s="680">
        <f>IFERROR(INDEX(BBスクリーニング!$C$6:$C$405,MATCH(LARGE(BBスクリーニング!$AE$6:$AE$405,$A28),BBスクリーニング!$AE$6:$AE$405,0)),"")</f>
      </c>
      <c r="D28" s="682">
        <f>IFERROR(INDEX(BBスクリーニング!$D$6:$D$405,MATCH(LARGE(BBスクリーニング!$AE$6:$AE$405,$A28),BBスクリーニング!$AE$6:$AE$405,0)),"")</f>
      </c>
      <c r="E28" s="681">
        <f>IFERROR(INDEX(BBスクリーニング!$N$6:$N$405,MATCH(LARGE(BBスクリーニング!$AE$6:$AE$405,$A28),BBスクリーニング!$AE$6:$AE$405,0)),"")</f>
      </c>
      <c r="F28" s="681">
        <f>IFERROR(INDEX(BBスクリーニング!$P$6:$P$405,MATCH(LARGE(BBスクリーニング!$AE$6:$AE$405,$A28),BBスクリーニング!$AE$6:$AE$405,0)),"")</f>
      </c>
      <c r="G28" s="684">
        <f>IFERROR(INDEX(BBスクリーニング!$Q$6:$Q$405,MATCH(LARGE(BBスクリーニング!$AE$6:$AE$405,$A28),BBスクリーニング!$AE$6:$AE$405,0)),"")</f>
      </c>
      <c r="H28" s="684">
        <f>IFERROR(INDEX(BBスクリーニング!$R$6:$R$405,MATCH(LARGE(BBスクリーニング!$AE$6:$AE$405,$A28),BBスクリーニング!$AE$6:$AE$405,0)),"")</f>
      </c>
      <c r="I28" s="681">
        <f>IFERROR(INDEX(BBスクリーニング!$S$6:$S$405,MATCH(LARGE(BBスクリーニング!$AE$6:$AE$405,$A28),BBスクリーニング!$AE$6:$AE$405,0)),"")</f>
      </c>
      <c r="J28" s="690">
        <f>IFERROR(INDEX(BBスクリーニング!$W$6:$W$405,MATCH(LARGE(BBスクリーニング!$AE$6:$AE$405,$A28),BBスクリーニング!$AE$6:$AE$405,0)),"")</f>
      </c>
      <c r="K28" s="685">
        <f>IFERROR(INDEX(BBスクリーニング!$X$6:$X$405,MATCH(LARGE(BBスクリーニング!$AE$6:$AE$405,$A28),BBスクリーニング!$AE$6:$AE$405,0)),"")</f>
      </c>
      <c r="L28" s="682">
        <f>IFERROR(INDEX(BBスクリーニング!$Z$6:$Z$405,MATCH(LARGE(BBスクリーニング!$AE$6:$AE$405,$A28),BBスクリーニング!$AE$6:$AE$405,0)),"")</f>
      </c>
      <c r="M28" s="682">
        <f>IFERROR(INDEX(BBスクリーニング!$AA$6:$AA$405,MATCH(LARGE(BBスクリーニング!$AE$6:$AE$405,$A28),BBスクリーニング!$AE$6:$AE$405,0)),"")</f>
      </c>
      <c r="N28" s="688">
        <f>IFERROR(INDEX(BBスクリーニング!$AC$6:$AC$405,MATCH(LARGE(BBスクリーニング!$AE$6:$AE$405,$A28),BBスクリーニング!$AE$6:$AE$405,0)),"")</f>
      </c>
    </row>
    <row r="29">
      <c r="A29" s="685">
        <v>25</v>
      </c>
      <c r="B29" s="681">
        <f>IFERROR(INDEX(BBスクリーニング!$B$6:$B$405,MATCH(LARGE(BBスクリーニング!$AE$6:$AE$405,$A29),BBスクリーニング!$AE$6:$AE$405,0)),"")</f>
      </c>
      <c r="C29" s="680">
        <f>IFERROR(INDEX(BBスクリーニング!$C$6:$C$405,MATCH(LARGE(BBスクリーニング!$AE$6:$AE$405,$A29),BBスクリーニング!$AE$6:$AE$405,0)),"")</f>
      </c>
      <c r="D29" s="682">
        <f>IFERROR(INDEX(BBスクリーニング!$D$6:$D$405,MATCH(LARGE(BBスクリーニング!$AE$6:$AE$405,$A29),BBスクリーニング!$AE$6:$AE$405,0)),"")</f>
      </c>
      <c r="E29" s="681">
        <f>IFERROR(INDEX(BBスクリーニング!$N$6:$N$405,MATCH(LARGE(BBスクリーニング!$AE$6:$AE$405,$A29),BBスクリーニング!$AE$6:$AE$405,0)),"")</f>
      </c>
      <c r="F29" s="681">
        <f>IFERROR(INDEX(BBスクリーニング!$P$6:$P$405,MATCH(LARGE(BBスクリーニング!$AE$6:$AE$405,$A29),BBスクリーニング!$AE$6:$AE$405,0)),"")</f>
      </c>
      <c r="G29" s="684">
        <f>IFERROR(INDEX(BBスクリーニング!$Q$6:$Q$405,MATCH(LARGE(BBスクリーニング!$AE$6:$AE$405,$A29),BBスクリーニング!$AE$6:$AE$405,0)),"")</f>
      </c>
      <c r="H29" s="684">
        <f>IFERROR(INDEX(BBスクリーニング!$R$6:$R$405,MATCH(LARGE(BBスクリーニング!$AE$6:$AE$405,$A29),BBスクリーニング!$AE$6:$AE$405,0)),"")</f>
      </c>
      <c r="I29" s="681">
        <f>IFERROR(INDEX(BBスクリーニング!$S$6:$S$405,MATCH(LARGE(BBスクリーニング!$AE$6:$AE$405,$A29),BBスクリーニング!$AE$6:$AE$405,0)),"")</f>
      </c>
      <c r="J29" s="690">
        <f>IFERROR(INDEX(BBスクリーニング!$W$6:$W$405,MATCH(LARGE(BBスクリーニング!$AE$6:$AE$405,$A29),BBスクリーニング!$AE$6:$AE$405,0)),"")</f>
      </c>
      <c r="K29" s="685">
        <f>IFERROR(INDEX(BBスクリーニング!$X$6:$X$405,MATCH(LARGE(BBスクリーニング!$AE$6:$AE$405,$A29),BBスクリーニング!$AE$6:$AE$405,0)),"")</f>
      </c>
      <c r="L29" s="682">
        <f>IFERROR(INDEX(BBスクリーニング!$Z$6:$Z$405,MATCH(LARGE(BBスクリーニング!$AE$6:$AE$405,$A29),BBスクリーニング!$AE$6:$AE$405,0)),"")</f>
      </c>
      <c r="M29" s="682">
        <f>IFERROR(INDEX(BBスクリーニング!$AA$6:$AA$405,MATCH(LARGE(BBスクリーニング!$AE$6:$AE$405,$A29),BBスクリーニング!$AE$6:$AE$405,0)),"")</f>
      </c>
      <c r="N29" s="688">
        <f>IFERROR(INDEX(BBスクリーニング!$AC$6:$AC$405,MATCH(LARGE(BBスクリーニング!$AE$6:$AE$405,$A29),BBスクリーニング!$AE$6:$AE$405,0)),"")</f>
      </c>
    </row>
    <row r="30">
      <c r="A30" s="685">
        <v>26</v>
      </c>
      <c r="B30" s="681">
        <f>IFERROR(INDEX(BBスクリーニング!$B$6:$B$405,MATCH(LARGE(BBスクリーニング!$AE$6:$AE$405,$A30),BBスクリーニング!$AE$6:$AE$405,0)),"")</f>
      </c>
      <c r="C30" s="680">
        <f>IFERROR(INDEX(BBスクリーニング!$C$6:$C$405,MATCH(LARGE(BBスクリーニング!$AE$6:$AE$405,$A30),BBスクリーニング!$AE$6:$AE$405,0)),"")</f>
      </c>
      <c r="D30" s="682">
        <f>IFERROR(INDEX(BBスクリーニング!$D$6:$D$405,MATCH(LARGE(BBスクリーニング!$AE$6:$AE$405,$A30),BBスクリーニング!$AE$6:$AE$405,0)),"")</f>
      </c>
      <c r="E30" s="681">
        <f>IFERROR(INDEX(BBスクリーニング!$N$6:$N$405,MATCH(LARGE(BBスクリーニング!$AE$6:$AE$405,$A30),BBスクリーニング!$AE$6:$AE$405,0)),"")</f>
      </c>
      <c r="F30" s="681">
        <f>IFERROR(INDEX(BBスクリーニング!$P$6:$P$405,MATCH(LARGE(BBスクリーニング!$AE$6:$AE$405,$A30),BBスクリーニング!$AE$6:$AE$405,0)),"")</f>
      </c>
      <c r="G30" s="684">
        <f>IFERROR(INDEX(BBスクリーニング!$Q$6:$Q$405,MATCH(LARGE(BBスクリーニング!$AE$6:$AE$405,$A30),BBスクリーニング!$AE$6:$AE$405,0)),"")</f>
      </c>
      <c r="H30" s="684">
        <f>IFERROR(INDEX(BBスクリーニング!$R$6:$R$405,MATCH(LARGE(BBスクリーニング!$AE$6:$AE$405,$A30),BBスクリーニング!$AE$6:$AE$405,0)),"")</f>
      </c>
      <c r="I30" s="681">
        <f>IFERROR(INDEX(BBスクリーニング!$S$6:$S$405,MATCH(LARGE(BBスクリーニング!$AE$6:$AE$405,$A30),BBスクリーニング!$AE$6:$AE$405,0)),"")</f>
      </c>
      <c r="J30" s="690">
        <f>IFERROR(INDEX(BBスクリーニング!$W$6:$W$405,MATCH(LARGE(BBスクリーニング!$AE$6:$AE$405,$A30),BBスクリーニング!$AE$6:$AE$405,0)),"")</f>
      </c>
      <c r="K30" s="685">
        <f>IFERROR(INDEX(BBスクリーニング!$X$6:$X$405,MATCH(LARGE(BBスクリーニング!$AE$6:$AE$405,$A30),BBスクリーニング!$AE$6:$AE$405,0)),"")</f>
      </c>
      <c r="L30" s="682">
        <f>IFERROR(INDEX(BBスクリーニング!$Z$6:$Z$405,MATCH(LARGE(BBスクリーニング!$AE$6:$AE$405,$A30),BBスクリーニング!$AE$6:$AE$405,0)),"")</f>
      </c>
      <c r="M30" s="682">
        <f>IFERROR(INDEX(BBスクリーニング!$AA$6:$AA$405,MATCH(LARGE(BBスクリーニング!$AE$6:$AE$405,$A30),BBスクリーニング!$AE$6:$AE$405,0)),"")</f>
      </c>
      <c r="N30" s="688">
        <f>IFERROR(INDEX(BBスクリーニング!$AC$6:$AC$405,MATCH(LARGE(BBスクリーニング!$AE$6:$AE$405,$A30),BBスクリーニング!$AE$6:$AE$405,0)),"")</f>
      </c>
    </row>
    <row r="31">
      <c r="A31" s="685">
        <v>27</v>
      </c>
      <c r="B31" s="681">
        <f>IFERROR(INDEX(BBスクリーニング!$B$6:$B$405,MATCH(LARGE(BBスクリーニング!$AE$6:$AE$405,$A31),BBスクリーニング!$AE$6:$AE$405,0)),"")</f>
      </c>
      <c r="C31" s="680">
        <f>IFERROR(INDEX(BBスクリーニング!$C$6:$C$405,MATCH(LARGE(BBスクリーニング!$AE$6:$AE$405,$A31),BBスクリーニング!$AE$6:$AE$405,0)),"")</f>
      </c>
      <c r="D31" s="682">
        <f>IFERROR(INDEX(BBスクリーニング!$D$6:$D$405,MATCH(LARGE(BBスクリーニング!$AE$6:$AE$405,$A31),BBスクリーニング!$AE$6:$AE$405,0)),"")</f>
      </c>
      <c r="E31" s="681">
        <f>IFERROR(INDEX(BBスクリーニング!$N$6:$N$405,MATCH(LARGE(BBスクリーニング!$AE$6:$AE$405,$A31),BBスクリーニング!$AE$6:$AE$405,0)),"")</f>
      </c>
      <c r="F31" s="681">
        <f>IFERROR(INDEX(BBスクリーニング!$P$6:$P$405,MATCH(LARGE(BBスクリーニング!$AE$6:$AE$405,$A31),BBスクリーニング!$AE$6:$AE$405,0)),"")</f>
      </c>
      <c r="G31" s="684">
        <f>IFERROR(INDEX(BBスクリーニング!$Q$6:$Q$405,MATCH(LARGE(BBスクリーニング!$AE$6:$AE$405,$A31),BBスクリーニング!$AE$6:$AE$405,0)),"")</f>
      </c>
      <c r="H31" s="684">
        <f>IFERROR(INDEX(BBスクリーニング!$R$6:$R$405,MATCH(LARGE(BBスクリーニング!$AE$6:$AE$405,$A31),BBスクリーニング!$AE$6:$AE$405,0)),"")</f>
      </c>
      <c r="I31" s="681">
        <f>IFERROR(INDEX(BBスクリーニング!$S$6:$S$405,MATCH(LARGE(BBスクリーニング!$AE$6:$AE$405,$A31),BBスクリーニング!$AE$6:$AE$405,0)),"")</f>
      </c>
      <c r="J31" s="690">
        <f>IFERROR(INDEX(BBスクリーニング!$W$6:$W$405,MATCH(LARGE(BBスクリーニング!$AE$6:$AE$405,$A31),BBスクリーニング!$AE$6:$AE$405,0)),"")</f>
      </c>
      <c r="K31" s="685">
        <f>IFERROR(INDEX(BBスクリーニング!$X$6:$X$405,MATCH(LARGE(BBスクリーニング!$AE$6:$AE$405,$A31),BBスクリーニング!$AE$6:$AE$405,0)),"")</f>
      </c>
      <c r="L31" s="682">
        <f>IFERROR(INDEX(BBスクリーニング!$Z$6:$Z$405,MATCH(LARGE(BBスクリーニング!$AE$6:$AE$405,$A31),BBスクリーニング!$AE$6:$AE$405,0)),"")</f>
      </c>
      <c r="M31" s="682">
        <f>IFERROR(INDEX(BBスクリーニング!$AA$6:$AA$405,MATCH(LARGE(BBスクリーニング!$AE$6:$AE$405,$A31),BBスクリーニング!$AE$6:$AE$405,0)),"")</f>
      </c>
      <c r="N31" s="688">
        <f>IFERROR(INDEX(BBスクリーニング!$AC$6:$AC$405,MATCH(LARGE(BBスクリーニング!$AE$6:$AE$405,$A31),BBスクリーニング!$AE$6:$AE$405,0)),"")</f>
      </c>
    </row>
    <row r="32">
      <c r="A32" s="685">
        <v>28</v>
      </c>
      <c r="B32" s="681">
        <f>IFERROR(INDEX(BBスクリーニング!$B$6:$B$405,MATCH(LARGE(BBスクリーニング!$AE$6:$AE$405,$A32),BBスクリーニング!$AE$6:$AE$405,0)),"")</f>
      </c>
      <c r="C32" s="680">
        <f>IFERROR(INDEX(BBスクリーニング!$C$6:$C$405,MATCH(LARGE(BBスクリーニング!$AE$6:$AE$405,$A32),BBスクリーニング!$AE$6:$AE$405,0)),"")</f>
      </c>
      <c r="D32" s="682">
        <f>IFERROR(INDEX(BBスクリーニング!$D$6:$D$405,MATCH(LARGE(BBスクリーニング!$AE$6:$AE$405,$A32),BBスクリーニング!$AE$6:$AE$405,0)),"")</f>
      </c>
      <c r="E32" s="681">
        <f>IFERROR(INDEX(BBスクリーニング!$N$6:$N$405,MATCH(LARGE(BBスクリーニング!$AE$6:$AE$405,$A32),BBスクリーニング!$AE$6:$AE$405,0)),"")</f>
      </c>
      <c r="F32" s="681">
        <f>IFERROR(INDEX(BBスクリーニング!$P$6:$P$405,MATCH(LARGE(BBスクリーニング!$AE$6:$AE$405,$A32),BBスクリーニング!$AE$6:$AE$405,0)),"")</f>
      </c>
      <c r="G32" s="684">
        <f>IFERROR(INDEX(BBスクリーニング!$Q$6:$Q$405,MATCH(LARGE(BBスクリーニング!$AE$6:$AE$405,$A32),BBスクリーニング!$AE$6:$AE$405,0)),"")</f>
      </c>
      <c r="H32" s="684">
        <f>IFERROR(INDEX(BBスクリーニング!$R$6:$R$405,MATCH(LARGE(BBスクリーニング!$AE$6:$AE$405,$A32),BBスクリーニング!$AE$6:$AE$405,0)),"")</f>
      </c>
      <c r="I32" s="681">
        <f>IFERROR(INDEX(BBスクリーニング!$S$6:$S$405,MATCH(LARGE(BBスクリーニング!$AE$6:$AE$405,$A32),BBスクリーニング!$AE$6:$AE$405,0)),"")</f>
      </c>
      <c r="J32" s="690">
        <f>IFERROR(INDEX(BBスクリーニング!$W$6:$W$405,MATCH(LARGE(BBスクリーニング!$AE$6:$AE$405,$A32),BBスクリーニング!$AE$6:$AE$405,0)),"")</f>
      </c>
      <c r="K32" s="685">
        <f>IFERROR(INDEX(BBスクリーニング!$X$6:$X$405,MATCH(LARGE(BBスクリーニング!$AE$6:$AE$405,$A32),BBスクリーニング!$AE$6:$AE$405,0)),"")</f>
      </c>
      <c r="L32" s="682">
        <f>IFERROR(INDEX(BBスクリーニング!$Z$6:$Z$405,MATCH(LARGE(BBスクリーニング!$AE$6:$AE$405,$A32),BBスクリーニング!$AE$6:$AE$405,0)),"")</f>
      </c>
      <c r="M32" s="682">
        <f>IFERROR(INDEX(BBスクリーニング!$AA$6:$AA$405,MATCH(LARGE(BBスクリーニング!$AE$6:$AE$405,$A32),BBスクリーニング!$AE$6:$AE$405,0)),"")</f>
      </c>
      <c r="N32" s="688">
        <f>IFERROR(INDEX(BBスクリーニング!$AC$6:$AC$405,MATCH(LARGE(BBスクリーニング!$AE$6:$AE$405,$A32),BBスクリーニング!$AE$6:$AE$405,0)),"")</f>
      </c>
    </row>
    <row r="33">
      <c r="A33" s="685">
        <v>29</v>
      </c>
      <c r="B33" s="681">
        <f>IFERROR(INDEX(BBスクリーニング!$B$6:$B$405,MATCH(LARGE(BBスクリーニング!$AE$6:$AE$405,$A33),BBスクリーニング!$AE$6:$AE$405,0)),"")</f>
      </c>
      <c r="C33" s="680">
        <f>IFERROR(INDEX(BBスクリーニング!$C$6:$C$405,MATCH(LARGE(BBスクリーニング!$AE$6:$AE$405,$A33),BBスクリーニング!$AE$6:$AE$405,0)),"")</f>
      </c>
      <c r="D33" s="682">
        <f>IFERROR(INDEX(BBスクリーニング!$D$6:$D$405,MATCH(LARGE(BBスクリーニング!$AE$6:$AE$405,$A33),BBスクリーニング!$AE$6:$AE$405,0)),"")</f>
      </c>
      <c r="E33" s="681">
        <f>IFERROR(INDEX(BBスクリーニング!$N$6:$N$405,MATCH(LARGE(BBスクリーニング!$AE$6:$AE$405,$A33),BBスクリーニング!$AE$6:$AE$405,0)),"")</f>
      </c>
      <c r="F33" s="681">
        <f>IFERROR(INDEX(BBスクリーニング!$P$6:$P$405,MATCH(LARGE(BBスクリーニング!$AE$6:$AE$405,$A33),BBスクリーニング!$AE$6:$AE$405,0)),"")</f>
      </c>
      <c r="G33" s="684">
        <f>IFERROR(INDEX(BBスクリーニング!$Q$6:$Q$405,MATCH(LARGE(BBスクリーニング!$AE$6:$AE$405,$A33),BBスクリーニング!$AE$6:$AE$405,0)),"")</f>
      </c>
      <c r="H33" s="684">
        <f>IFERROR(INDEX(BBスクリーニング!$R$6:$R$405,MATCH(LARGE(BBスクリーニング!$AE$6:$AE$405,$A33),BBスクリーニング!$AE$6:$AE$405,0)),"")</f>
      </c>
      <c r="I33" s="681">
        <f>IFERROR(INDEX(BBスクリーニング!$S$6:$S$405,MATCH(LARGE(BBスクリーニング!$AE$6:$AE$405,$A33),BBスクリーニング!$AE$6:$AE$405,0)),"")</f>
      </c>
      <c r="J33" s="690">
        <f>IFERROR(INDEX(BBスクリーニング!$W$6:$W$405,MATCH(LARGE(BBスクリーニング!$AE$6:$AE$405,$A33),BBスクリーニング!$AE$6:$AE$405,0)),"")</f>
      </c>
      <c r="K33" s="685">
        <f>IFERROR(INDEX(BBスクリーニング!$X$6:$X$405,MATCH(LARGE(BBスクリーニング!$AE$6:$AE$405,$A33),BBスクリーニング!$AE$6:$AE$405,0)),"")</f>
      </c>
      <c r="L33" s="682">
        <f>IFERROR(INDEX(BBスクリーニング!$Z$6:$Z$405,MATCH(LARGE(BBスクリーニング!$AE$6:$AE$405,$A33),BBスクリーニング!$AE$6:$AE$405,0)),"")</f>
      </c>
      <c r="M33" s="682">
        <f>IFERROR(INDEX(BBスクリーニング!$AA$6:$AA$405,MATCH(LARGE(BBスクリーニング!$AE$6:$AE$405,$A33),BBスクリーニング!$AE$6:$AE$405,0)),"")</f>
      </c>
      <c r="N33" s="688">
        <f>IFERROR(INDEX(BBスクリーニング!$AC$6:$AC$405,MATCH(LARGE(BBスクリーニング!$AE$6:$AE$405,$A33),BBスクリーニング!$AE$6:$AE$405,0)),"")</f>
      </c>
    </row>
    <row r="34">
      <c r="A34" s="685">
        <v>30</v>
      </c>
      <c r="B34" s="681">
        <f>IFERROR(INDEX(BBスクリーニング!$B$6:$B$405,MATCH(LARGE(BBスクリーニング!$AE$6:$AE$405,$A34),BBスクリーニング!$AE$6:$AE$405,0)),"")</f>
      </c>
      <c r="C34" s="680">
        <f>IFERROR(INDEX(BBスクリーニング!$C$6:$C$405,MATCH(LARGE(BBスクリーニング!$AE$6:$AE$405,$A34),BBスクリーニング!$AE$6:$AE$405,0)),"")</f>
      </c>
      <c r="D34" s="682">
        <f>IFERROR(INDEX(BBスクリーニング!$D$6:$D$405,MATCH(LARGE(BBスクリーニング!$AE$6:$AE$405,$A34),BBスクリーニング!$AE$6:$AE$405,0)),"")</f>
      </c>
      <c r="E34" s="681">
        <f>IFERROR(INDEX(BBスクリーニング!$N$6:$N$405,MATCH(LARGE(BBスクリーニング!$AE$6:$AE$405,$A34),BBスクリーニング!$AE$6:$AE$405,0)),"")</f>
      </c>
      <c r="F34" s="681">
        <f>IFERROR(INDEX(BBスクリーニング!$P$6:$P$405,MATCH(LARGE(BBスクリーニング!$AE$6:$AE$405,$A34),BBスクリーニング!$AE$6:$AE$405,0)),"")</f>
      </c>
      <c r="G34" s="684">
        <f>IFERROR(INDEX(BBスクリーニング!$Q$6:$Q$405,MATCH(LARGE(BBスクリーニング!$AE$6:$AE$405,$A34),BBスクリーニング!$AE$6:$AE$405,0)),"")</f>
      </c>
      <c r="H34" s="684">
        <f>IFERROR(INDEX(BBスクリーニング!$R$6:$R$405,MATCH(LARGE(BBスクリーニング!$AE$6:$AE$405,$A34),BBスクリーニング!$AE$6:$AE$405,0)),"")</f>
      </c>
      <c r="I34" s="681">
        <f>IFERROR(INDEX(BBスクリーニング!$S$6:$S$405,MATCH(LARGE(BBスクリーニング!$AE$6:$AE$405,$A34),BBスクリーニング!$AE$6:$AE$405,0)),"")</f>
      </c>
      <c r="J34" s="690">
        <f>IFERROR(INDEX(BBスクリーニング!$W$6:$W$405,MATCH(LARGE(BBスクリーニング!$AE$6:$AE$405,$A34),BBスクリーニング!$AE$6:$AE$405,0)),"")</f>
      </c>
      <c r="K34" s="685">
        <f>IFERROR(INDEX(BBスクリーニング!$X$6:$X$405,MATCH(LARGE(BBスクリーニング!$AE$6:$AE$405,$A34),BBスクリーニング!$AE$6:$AE$405,0)),"")</f>
      </c>
      <c r="L34" s="682">
        <f>IFERROR(INDEX(BBスクリーニング!$Z$6:$Z$405,MATCH(LARGE(BBスクリーニング!$AE$6:$AE$405,$A34),BBスクリーニング!$AE$6:$AE$405,0)),"")</f>
      </c>
      <c r="M34" s="682">
        <f>IFERROR(INDEX(BBスクリーニング!$AA$6:$AA$405,MATCH(LARGE(BBスクリーニング!$AE$6:$AE$405,$A34),BBスクリーニング!$AE$6:$AE$405,0)),"")</f>
      </c>
      <c r="N34" s="688">
        <f>IFERROR(INDEX(BBスクリーニング!$AC$6:$AC$405,MATCH(LARGE(BBスクリーニング!$AE$6:$AE$405,$A34),BBスクリーニング!$AE$6:$AE$405,0)),"")</f>
      </c>
    </row>
  </sheetData>
  <mergeCells count="2">
    <mergeCell ref="A1:N1"/>
    <mergeCell ref="A2:N2"/>
  </mergeCells>
  <pageMargins left="0.4" right="0.4" top="0.4" bottom="0.4" header="0.2" footer="0.2"/>
</worksheet>
</file>

<file path=xl/worksheets/sheet24.xml><?xml version="1.0" encoding="utf-8"?>
<worksheet xmlns="http://schemas.openxmlformats.org/spreadsheetml/2006/main" xmlns:r="http://schemas.openxmlformats.org/officeDocument/2006/relationships">
  <dimension ref="A1:R108"/>
  <sheetViews>
    <sheetView showGridLines="0" workbookViewId="0">
      <pane xSplit="1" ySplit="8" topLeftCell="B9" activePane="bottomRight" state="frozen"/>
      <selection pane="bottomRight" activeCell="B9" sqref="B9"/>
    </sheetView>
  </sheetViews>
  <sheetFormatPr defaultRowHeight="15"/>
  <cols>
    <col min="1" max="1" width="7.0" customWidth="1"/>
    <col min="2" max="2" width="9.0" customWidth="1"/>
    <col min="3" max="5" width="9.0" customWidth="1"/>
    <col min="6" max="6" width="9.0" customWidth="1"/>
    <col min="7" max="7" width="8.0" customWidth="1"/>
    <col min="8" max="11" width="9.0" customWidth="1"/>
    <col min="12" max="12" width="6.0" customWidth="1"/>
    <col min="13" max="14" width="6.0" customWidth="1"/>
    <col min="15" max="15" width="6.0" customWidth="1"/>
    <col min="16" max="16" width="9.0" customWidth="1"/>
    <col min="17" max="17" width="9.0" customWidth="1"/>
    <col min="18" max="18" width="10.0" customWidth="1"/>
  </cols>
  <sheetData>
    <row r="1">
      <c r="A1" s="675" t="inlineStr">
        <is>
          <t xml:space="preserve">🧪 ボリンジャーバンド バックテスト（戦略①/②：+2σ突破で買い→+1σ割れで手仕舞い）</t>
        </is>
      </c>
    </row>
    <row r="2">
      <c r="A2" s="692" t="inlineStr">
        <is>
          <t xml:space="preserve">銘柄コード→</t>
        </is>
      </c>
      <c r="B2" s="678">
        <v>7203</v>
      </c>
      <c r="D2" s="692" t="inlineStr">
        <is>
          <t xml:space="preserve">銘柄名</t>
        </is>
      </c>
      <c r="E2" s="680">
        <f>IFERROR(INDEX(終値!$B:$B,$B$4),"該当なし")</f>
      </c>
    </row>
    <row r="3">
      <c r="A3" s="679" t="inlineStr">
        <is>
          <t xml:space="preserve">終値シートに存在する4桁コードを入力。履歴（最大100日・自動増加）で検証。エントリー:終値が+2σを上抜け／手仕舞い:終値が+1σを下回る。</t>
        </is>
      </c>
    </row>
    <row r="4">
      <c r="A4" s="679" t="inlineStr">
        <is>
          <t xml:space="preserve">履歴行</t>
        </is>
      </c>
      <c r="B4" s="681">
        <f>IFERROR(MATCH(TEXT($B$2,"0"),終値!$A:$A,0),"")</f>
      </c>
    </row>
    <row r="5">
      <c r="A5" s="692" t="inlineStr">
        <is>
          <t xml:space="preserve">取引回数</t>
        </is>
      </c>
      <c r="B5" s="685">
        <f>COUNT($Q$9:$Q$108)</f>
      </c>
      <c r="C5" s="692" t="inlineStr">
        <is>
          <t xml:space="preserve">勝率</t>
        </is>
      </c>
      <c r="D5" s="686">
        <f>IFERROR(COUNTIF($Q$9:$Q$108,"&gt;0")/$B$5*100,"")</f>
      </c>
      <c r="E5" s="692" t="inlineStr">
        <is>
          <t xml:space="preserve">平均損益%</t>
        </is>
      </c>
      <c r="F5" s="686">
        <f>IFERROR(AVERAGE($Q$9:$Q$108),"")</f>
      </c>
      <c r="G5" s="692" t="inlineStr">
        <is>
          <t xml:space="preserve">最大益%</t>
        </is>
      </c>
      <c r="H5" s="686">
        <f>IFERROR(MAX($Q$9:$Q$108),"")</f>
      </c>
    </row>
    <row r="6">
      <c r="A6" s="692" t="inlineStr">
        <is>
          <t xml:space="preserve">合計損益%</t>
        </is>
      </c>
      <c r="B6" s="686">
        <f>SUM($Q$9:$Q$108)</f>
      </c>
      <c r="C6" s="692" t="inlineStr">
        <is>
          <t xml:space="preserve">平均利益%</t>
        </is>
      </c>
      <c r="D6" s="686">
        <f>IFERROR(AVERAGEIF($Q$9:$Q$108,"&gt;0"),"")</f>
      </c>
      <c r="E6" s="692" t="inlineStr">
        <is>
          <t xml:space="preserve">平均損失%</t>
        </is>
      </c>
      <c r="F6" s="686">
        <f>IFERROR(AVERAGEIF($Q$9:$Q$108,"&lt;0"),"")</f>
      </c>
      <c r="G6" s="692" t="inlineStr">
        <is>
          <t xml:space="preserve">最大損%</t>
        </is>
      </c>
      <c r="H6" s="686">
        <f>IFERROR(MIN($Q$9:$Q$108),"")</f>
      </c>
    </row>
    <row r="8">
      <c r="A8" s="676" t="inlineStr">
        <is>
          <t xml:space="preserve">日付</t>
        </is>
      </c>
      <c r="B8" s="676" t="inlineStr">
        <is>
          <t xml:space="preserve">終値</t>
        </is>
      </c>
      <c r="C8" s="676" t="inlineStr">
        <is>
          <t xml:space="preserve">高値</t>
        </is>
      </c>
      <c r="D8" s="676" t="inlineStr">
        <is>
          <t xml:space="preserve">安値</t>
        </is>
      </c>
      <c r="E8" s="676" t="inlineStr">
        <is>
          <t xml:space="preserve">出来高</t>
        </is>
      </c>
      <c r="F8" s="676" t="inlineStr">
        <is>
          <t xml:space="preserve">SMA20</t>
        </is>
      </c>
      <c r="G8" s="676" t="inlineStr">
        <is>
          <t xml:space="preserve">σ</t>
        </is>
      </c>
      <c r="H8" s="676" t="inlineStr">
        <is>
          <t xml:space="preserve">+2σ</t>
        </is>
      </c>
      <c r="I8" s="676" t="inlineStr">
        <is>
          <t xml:space="preserve">+1σ</t>
        </is>
      </c>
      <c r="J8" s="676" t="inlineStr">
        <is>
          <t xml:space="preserve">-1σ</t>
        </is>
      </c>
      <c r="K8" s="676" t="inlineStr">
        <is>
          <t xml:space="preserve">-2σ</t>
        </is>
      </c>
      <c r="L8" s="676" t="inlineStr">
        <is>
          <t xml:space="preserve">%B</t>
        </is>
      </c>
      <c r="M8" s="676" t="inlineStr">
        <is>
          <t xml:space="preserve">RSI14</t>
        </is>
      </c>
      <c r="N8" s="676" t="inlineStr">
        <is>
          <t xml:space="preserve">MFI14</t>
        </is>
      </c>
      <c r="O8" s="676" t="inlineStr">
        <is>
          <t xml:space="preserve">ポジ</t>
        </is>
      </c>
      <c r="P8" s="676" t="inlineStr">
        <is>
          <t xml:space="preserve">取得単価</t>
        </is>
      </c>
      <c r="Q8" s="676" t="inlineStr">
        <is>
          <t xml:space="preserve">損益%</t>
        </is>
      </c>
      <c r="R8" s="676" t="inlineStr">
        <is>
          <t xml:space="preserve">状態</t>
        </is>
      </c>
    </row>
    <row r="9">
      <c r="A9" s="681">
        <f>IF($B9="","",IFERROR(TEXT(INDEX(終値!$3:$3,1,105-(ROW()-8)),"m/d"),""))</f>
      </c>
      <c r="B9" s="682">
        <f>IFERROR(IF(INDEX(終値!$A:$CZ,$B$4,105-(ROW()-8))=0,"",INDEX(終値!$A:$CZ,$B$4,105-(ROW()-8))),"")</f>
      </c>
      <c r="C9" s="682">
        <f>IF($B9="","",IFERROR(INDEX(高値!$A:$CZ,$B$4,105-(ROW()-8)),""))</f>
      </c>
      <c r="D9" s="682">
        <f>IF($B9="","",IFERROR(INDEX(安値!$A:$CZ,$B$4,105-(ROW()-8)),""))</f>
      </c>
      <c r="E9" s="682">
        <f>IF($B9="","",IFERROR(INDEX(出来高!$A:$CZ,$B$4,105-(ROW()-8)),""))</f>
      </c>
      <c r="F9" s="682" t="inlineStr">
        <is>
          <t xml:space="preserve"/>
        </is>
      </c>
      <c r="G9" s="683" t="inlineStr">
        <is>
          <t xml:space="preserve"/>
        </is>
      </c>
      <c r="H9" s="682">
        <f>IF($F9="","",$F9+BB設定!$B$4*$G9)</f>
      </c>
      <c r="I9" s="682">
        <f>IF($F9="","",$F9+BB設定!$B$5*$G9)</f>
      </c>
      <c r="J9" s="682">
        <f>IF($F9="","",$F9-BB設定!$B$5*$G9)</f>
      </c>
      <c r="K9" s="682">
        <f>IF($F9="","",$F9-BB設定!$B$4*$G9)</f>
      </c>
      <c r="L9" s="687">
        <f>IF($F9="","",IFERROR(($B9-$K9)/($H9-$K9),""))</f>
      </c>
      <c r="M9" s="684" t="inlineStr">
        <is>
          <t xml:space="preserve"/>
        </is>
      </c>
      <c r="N9" s="684" t="inlineStr">
        <is>
          <t xml:space="preserve"/>
        </is>
      </c>
      <c r="O9" s="685">
        <v>0</v>
      </c>
      <c r="P9" s="682">
        <f>IF($O9=1,IF($O8=0,$B9,$P8),"")</f>
      </c>
      <c r="Q9" s="686">
        <f>IF(AND($O9=0,$O8=1),($B9-$P8)/$P8*100,"")</f>
      </c>
      <c r="R9" s="681">
        <f>IF($O9=1,IF($O8=0,"▲新規買い","保有中"),IF($O8=1,"■手仕舞い",""))</f>
      </c>
    </row>
    <row r="10">
      <c r="A10" s="681">
        <f>IF($B10="","",IFERROR(TEXT(INDEX(終値!$3:$3,1,105-(ROW()-8)),"m/d"),""))</f>
      </c>
      <c r="B10" s="682">
        <f>IFERROR(IF(INDEX(終値!$A:$CZ,$B$4,105-(ROW()-8))=0,"",INDEX(終値!$A:$CZ,$B$4,105-(ROW()-8))),"")</f>
      </c>
      <c r="C10" s="682">
        <f>IF($B10="","",IFERROR(INDEX(高値!$A:$CZ,$B$4,105-(ROW()-8)),""))</f>
      </c>
      <c r="D10" s="682">
        <f>IF($B10="","",IFERROR(INDEX(安値!$A:$CZ,$B$4,105-(ROW()-8)),""))</f>
      </c>
      <c r="E10" s="682">
        <f>IF($B10="","",IFERROR(INDEX(出来高!$A:$CZ,$B$4,105-(ROW()-8)),""))</f>
      </c>
      <c r="F10" s="682" t="inlineStr">
        <is>
          <t xml:space="preserve"/>
        </is>
      </c>
      <c r="G10" s="683" t="inlineStr">
        <is>
          <t xml:space="preserve"/>
        </is>
      </c>
      <c r="H10" s="682">
        <f>IF($F10="","",$F10+BB設定!$B$4*$G10)</f>
      </c>
      <c r="I10" s="682">
        <f>IF($F10="","",$F10+BB設定!$B$5*$G10)</f>
      </c>
      <c r="J10" s="682">
        <f>IF($F10="","",$F10-BB設定!$B$5*$G10)</f>
      </c>
      <c r="K10" s="682">
        <f>IF($F10="","",$F10-BB設定!$B$4*$G10)</f>
      </c>
      <c r="L10" s="687">
        <f>IF($F10="","",IFERROR(($B10-$K10)/($H10-$K10),""))</f>
      </c>
      <c r="M10" s="684" t="inlineStr">
        <is>
          <t xml:space="preserve"/>
        </is>
      </c>
      <c r="N10" s="684" t="inlineStr">
        <is>
          <t xml:space="preserve"/>
        </is>
      </c>
      <c r="O10" s="685">
        <v>0</v>
      </c>
      <c r="P10" s="682">
        <f>IF($O10=1,IF($O9=0,$B10,$P9),"")</f>
      </c>
      <c r="Q10" s="686">
        <f>IF(AND($O10=0,$O9=1),($B10-$P9)/$P9*100,"")</f>
      </c>
      <c r="R10" s="681">
        <f>IF($O10=1,IF($O9=0,"▲新規買い","保有中"),IF($O9=1,"■手仕舞い",""))</f>
      </c>
    </row>
    <row r="11">
      <c r="A11" s="681">
        <f>IF($B11="","",IFERROR(TEXT(INDEX(終値!$3:$3,1,105-(ROW()-8)),"m/d"),""))</f>
      </c>
      <c r="B11" s="682">
        <f>IFERROR(IF(INDEX(終値!$A:$CZ,$B$4,105-(ROW()-8))=0,"",INDEX(終値!$A:$CZ,$B$4,105-(ROW()-8))),"")</f>
      </c>
      <c r="C11" s="682">
        <f>IF($B11="","",IFERROR(INDEX(高値!$A:$CZ,$B$4,105-(ROW()-8)),""))</f>
      </c>
      <c r="D11" s="682">
        <f>IF($B11="","",IFERROR(INDEX(安値!$A:$CZ,$B$4,105-(ROW()-8)),""))</f>
      </c>
      <c r="E11" s="682">
        <f>IF($B11="","",IFERROR(INDEX(出来高!$A:$CZ,$B$4,105-(ROW()-8)),""))</f>
      </c>
      <c r="F11" s="682" t="inlineStr">
        <is>
          <t xml:space="preserve"/>
        </is>
      </c>
      <c r="G11" s="683" t="inlineStr">
        <is>
          <t xml:space="preserve"/>
        </is>
      </c>
      <c r="H11" s="682">
        <f>IF($F11="","",$F11+BB設定!$B$4*$G11)</f>
      </c>
      <c r="I11" s="682">
        <f>IF($F11="","",$F11+BB設定!$B$5*$G11)</f>
      </c>
      <c r="J11" s="682">
        <f>IF($F11="","",$F11-BB設定!$B$5*$G11)</f>
      </c>
      <c r="K11" s="682">
        <f>IF($F11="","",$F11-BB設定!$B$4*$G11)</f>
      </c>
      <c r="L11" s="687">
        <f>IF($F11="","",IFERROR(($B11-$K11)/($H11-$K11),""))</f>
      </c>
      <c r="M11" s="684" t="inlineStr">
        <is>
          <t xml:space="preserve"/>
        </is>
      </c>
      <c r="N11" s="684" t="inlineStr">
        <is>
          <t xml:space="preserve"/>
        </is>
      </c>
      <c r="O11" s="685">
        <v>0</v>
      </c>
      <c r="P11" s="682">
        <f>IF($O11=1,IF($O10=0,$B11,$P10),"")</f>
      </c>
      <c r="Q11" s="686">
        <f>IF(AND($O11=0,$O10=1),($B11-$P10)/$P10*100,"")</f>
      </c>
      <c r="R11" s="681">
        <f>IF($O11=1,IF($O10=0,"▲新規買い","保有中"),IF($O10=1,"■手仕舞い",""))</f>
      </c>
    </row>
    <row r="12">
      <c r="A12" s="681">
        <f>IF($B12="","",IFERROR(TEXT(INDEX(終値!$3:$3,1,105-(ROW()-8)),"m/d"),""))</f>
      </c>
      <c r="B12" s="682">
        <f>IFERROR(IF(INDEX(終値!$A:$CZ,$B$4,105-(ROW()-8))=0,"",INDEX(終値!$A:$CZ,$B$4,105-(ROW()-8))),"")</f>
      </c>
      <c r="C12" s="682">
        <f>IF($B12="","",IFERROR(INDEX(高値!$A:$CZ,$B$4,105-(ROW()-8)),""))</f>
      </c>
      <c r="D12" s="682">
        <f>IF($B12="","",IFERROR(INDEX(安値!$A:$CZ,$B$4,105-(ROW()-8)),""))</f>
      </c>
      <c r="E12" s="682">
        <f>IF($B12="","",IFERROR(INDEX(出来高!$A:$CZ,$B$4,105-(ROW()-8)),""))</f>
      </c>
      <c r="F12" s="682" t="inlineStr">
        <is>
          <t xml:space="preserve"/>
        </is>
      </c>
      <c r="G12" s="683" t="inlineStr">
        <is>
          <t xml:space="preserve"/>
        </is>
      </c>
      <c r="H12" s="682">
        <f>IF($F12="","",$F12+BB設定!$B$4*$G12)</f>
      </c>
      <c r="I12" s="682">
        <f>IF($F12="","",$F12+BB設定!$B$5*$G12)</f>
      </c>
      <c r="J12" s="682">
        <f>IF($F12="","",$F12-BB設定!$B$5*$G12)</f>
      </c>
      <c r="K12" s="682">
        <f>IF($F12="","",$F12-BB設定!$B$4*$G12)</f>
      </c>
      <c r="L12" s="687">
        <f>IF($F12="","",IFERROR(($B12-$K12)/($H12-$K12),""))</f>
      </c>
      <c r="M12" s="684" t="inlineStr">
        <is>
          <t xml:space="preserve"/>
        </is>
      </c>
      <c r="N12" s="684" t="inlineStr">
        <is>
          <t xml:space="preserve"/>
        </is>
      </c>
      <c r="O12" s="685">
        <v>0</v>
      </c>
      <c r="P12" s="682">
        <f>IF($O12=1,IF($O11=0,$B12,$P11),"")</f>
      </c>
      <c r="Q12" s="686">
        <f>IF(AND($O12=0,$O11=1),($B12-$P11)/$P11*100,"")</f>
      </c>
      <c r="R12" s="681">
        <f>IF($O12=1,IF($O11=0,"▲新規買い","保有中"),IF($O11=1,"■手仕舞い",""))</f>
      </c>
    </row>
    <row r="13">
      <c r="A13" s="681">
        <f>IF($B13="","",IFERROR(TEXT(INDEX(終値!$3:$3,1,105-(ROW()-8)),"m/d"),""))</f>
      </c>
      <c r="B13" s="682">
        <f>IFERROR(IF(INDEX(終値!$A:$CZ,$B$4,105-(ROW()-8))=0,"",INDEX(終値!$A:$CZ,$B$4,105-(ROW()-8))),"")</f>
      </c>
      <c r="C13" s="682">
        <f>IF($B13="","",IFERROR(INDEX(高値!$A:$CZ,$B$4,105-(ROW()-8)),""))</f>
      </c>
      <c r="D13" s="682">
        <f>IF($B13="","",IFERROR(INDEX(安値!$A:$CZ,$B$4,105-(ROW()-8)),""))</f>
      </c>
      <c r="E13" s="682">
        <f>IF($B13="","",IFERROR(INDEX(出来高!$A:$CZ,$B$4,105-(ROW()-8)),""))</f>
      </c>
      <c r="F13" s="682" t="inlineStr">
        <is>
          <t xml:space="preserve"/>
        </is>
      </c>
      <c r="G13" s="683" t="inlineStr">
        <is>
          <t xml:space="preserve"/>
        </is>
      </c>
      <c r="H13" s="682">
        <f>IF($F13="","",$F13+BB設定!$B$4*$G13)</f>
      </c>
      <c r="I13" s="682">
        <f>IF($F13="","",$F13+BB設定!$B$5*$G13)</f>
      </c>
      <c r="J13" s="682">
        <f>IF($F13="","",$F13-BB設定!$B$5*$G13)</f>
      </c>
      <c r="K13" s="682">
        <f>IF($F13="","",$F13-BB設定!$B$4*$G13)</f>
      </c>
      <c r="L13" s="687">
        <f>IF($F13="","",IFERROR(($B13-$K13)/($H13-$K13),""))</f>
      </c>
      <c r="M13" s="684" t="inlineStr">
        <is>
          <t xml:space="preserve"/>
        </is>
      </c>
      <c r="N13" s="684" t="inlineStr">
        <is>
          <t xml:space="preserve"/>
        </is>
      </c>
      <c r="O13" s="685">
        <v>0</v>
      </c>
      <c r="P13" s="682">
        <f>IF($O13=1,IF($O12=0,$B13,$P12),"")</f>
      </c>
      <c r="Q13" s="686">
        <f>IF(AND($O13=0,$O12=1),($B13-$P12)/$P12*100,"")</f>
      </c>
      <c r="R13" s="681">
        <f>IF($O13=1,IF($O12=0,"▲新規買い","保有中"),IF($O12=1,"■手仕舞い",""))</f>
      </c>
    </row>
    <row r="14">
      <c r="A14" s="681">
        <f>IF($B14="","",IFERROR(TEXT(INDEX(終値!$3:$3,1,105-(ROW()-8)),"m/d"),""))</f>
      </c>
      <c r="B14" s="682">
        <f>IFERROR(IF(INDEX(終値!$A:$CZ,$B$4,105-(ROW()-8))=0,"",INDEX(終値!$A:$CZ,$B$4,105-(ROW()-8))),"")</f>
      </c>
      <c r="C14" s="682">
        <f>IF($B14="","",IFERROR(INDEX(高値!$A:$CZ,$B$4,105-(ROW()-8)),""))</f>
      </c>
      <c r="D14" s="682">
        <f>IF($B14="","",IFERROR(INDEX(安値!$A:$CZ,$B$4,105-(ROW()-8)),""))</f>
      </c>
      <c r="E14" s="682">
        <f>IF($B14="","",IFERROR(INDEX(出来高!$A:$CZ,$B$4,105-(ROW()-8)),""))</f>
      </c>
      <c r="F14" s="682" t="inlineStr">
        <is>
          <t xml:space="preserve"/>
        </is>
      </c>
      <c r="G14" s="683" t="inlineStr">
        <is>
          <t xml:space="preserve"/>
        </is>
      </c>
      <c r="H14" s="682">
        <f>IF($F14="","",$F14+BB設定!$B$4*$G14)</f>
      </c>
      <c r="I14" s="682">
        <f>IF($F14="","",$F14+BB設定!$B$5*$G14)</f>
      </c>
      <c r="J14" s="682">
        <f>IF($F14="","",$F14-BB設定!$B$5*$G14)</f>
      </c>
      <c r="K14" s="682">
        <f>IF($F14="","",$F14-BB設定!$B$4*$G14)</f>
      </c>
      <c r="L14" s="687">
        <f>IF($F14="","",IFERROR(($B14-$K14)/($H14-$K14),""))</f>
      </c>
      <c r="M14" s="684" t="inlineStr">
        <is>
          <t xml:space="preserve"/>
        </is>
      </c>
      <c r="N14" s="684" t="inlineStr">
        <is>
          <t xml:space="preserve"/>
        </is>
      </c>
      <c r="O14" s="685">
        <v>0</v>
      </c>
      <c r="P14" s="682">
        <f>IF($O14=1,IF($O13=0,$B14,$P13),"")</f>
      </c>
      <c r="Q14" s="686">
        <f>IF(AND($O14=0,$O13=1),($B14-$P13)/$P13*100,"")</f>
      </c>
      <c r="R14" s="681">
        <f>IF($O14=1,IF($O13=0,"▲新規買い","保有中"),IF($O13=1,"■手仕舞い",""))</f>
      </c>
    </row>
    <row r="15">
      <c r="A15" s="681">
        <f>IF($B15="","",IFERROR(TEXT(INDEX(終値!$3:$3,1,105-(ROW()-8)),"m/d"),""))</f>
      </c>
      <c r="B15" s="682">
        <f>IFERROR(IF(INDEX(終値!$A:$CZ,$B$4,105-(ROW()-8))=0,"",INDEX(終値!$A:$CZ,$B$4,105-(ROW()-8))),"")</f>
      </c>
      <c r="C15" s="682">
        <f>IF($B15="","",IFERROR(INDEX(高値!$A:$CZ,$B$4,105-(ROW()-8)),""))</f>
      </c>
      <c r="D15" s="682">
        <f>IF($B15="","",IFERROR(INDEX(安値!$A:$CZ,$B$4,105-(ROW()-8)),""))</f>
      </c>
      <c r="E15" s="682">
        <f>IF($B15="","",IFERROR(INDEX(出来高!$A:$CZ,$B$4,105-(ROW()-8)),""))</f>
      </c>
      <c r="F15" s="682" t="inlineStr">
        <is>
          <t xml:space="preserve"/>
        </is>
      </c>
      <c r="G15" s="683" t="inlineStr">
        <is>
          <t xml:space="preserve"/>
        </is>
      </c>
      <c r="H15" s="682">
        <f>IF($F15="","",$F15+BB設定!$B$4*$G15)</f>
      </c>
      <c r="I15" s="682">
        <f>IF($F15="","",$F15+BB設定!$B$5*$G15)</f>
      </c>
      <c r="J15" s="682">
        <f>IF($F15="","",$F15-BB設定!$B$5*$G15)</f>
      </c>
      <c r="K15" s="682">
        <f>IF($F15="","",$F15-BB設定!$B$4*$G15)</f>
      </c>
      <c r="L15" s="687">
        <f>IF($F15="","",IFERROR(($B15-$K15)/($H15-$K15),""))</f>
      </c>
      <c r="M15" s="684" t="inlineStr">
        <is>
          <t xml:space="preserve"/>
        </is>
      </c>
      <c r="N15" s="684" t="inlineStr">
        <is>
          <t xml:space="preserve"/>
        </is>
      </c>
      <c r="O15" s="685">
        <v>0</v>
      </c>
      <c r="P15" s="682">
        <f>IF($O15=1,IF($O14=0,$B15,$P14),"")</f>
      </c>
      <c r="Q15" s="686">
        <f>IF(AND($O15=0,$O14=1),($B15-$P14)/$P14*100,"")</f>
      </c>
      <c r="R15" s="681">
        <f>IF($O15=1,IF($O14=0,"▲新規買い","保有中"),IF($O14=1,"■手仕舞い",""))</f>
      </c>
    </row>
    <row r="16">
      <c r="A16" s="681">
        <f>IF($B16="","",IFERROR(TEXT(INDEX(終値!$3:$3,1,105-(ROW()-8)),"m/d"),""))</f>
      </c>
      <c r="B16" s="682">
        <f>IFERROR(IF(INDEX(終値!$A:$CZ,$B$4,105-(ROW()-8))=0,"",INDEX(終値!$A:$CZ,$B$4,105-(ROW()-8))),"")</f>
      </c>
      <c r="C16" s="682">
        <f>IF($B16="","",IFERROR(INDEX(高値!$A:$CZ,$B$4,105-(ROW()-8)),""))</f>
      </c>
      <c r="D16" s="682">
        <f>IF($B16="","",IFERROR(INDEX(安値!$A:$CZ,$B$4,105-(ROW()-8)),""))</f>
      </c>
      <c r="E16" s="682">
        <f>IF($B16="","",IFERROR(INDEX(出来高!$A:$CZ,$B$4,105-(ROW()-8)),""))</f>
      </c>
      <c r="F16" s="682" t="inlineStr">
        <is>
          <t xml:space="preserve"/>
        </is>
      </c>
      <c r="G16" s="683" t="inlineStr">
        <is>
          <t xml:space="preserve"/>
        </is>
      </c>
      <c r="H16" s="682">
        <f>IF($F16="","",$F16+BB設定!$B$4*$G16)</f>
      </c>
      <c r="I16" s="682">
        <f>IF($F16="","",$F16+BB設定!$B$5*$G16)</f>
      </c>
      <c r="J16" s="682">
        <f>IF($F16="","",$F16-BB設定!$B$5*$G16)</f>
      </c>
      <c r="K16" s="682">
        <f>IF($F16="","",$F16-BB設定!$B$4*$G16)</f>
      </c>
      <c r="L16" s="687">
        <f>IF($F16="","",IFERROR(($B16-$K16)/($H16-$K16),""))</f>
      </c>
      <c r="M16" s="684" t="inlineStr">
        <is>
          <t xml:space="preserve"/>
        </is>
      </c>
      <c r="N16" s="684" t="inlineStr">
        <is>
          <t xml:space="preserve"/>
        </is>
      </c>
      <c r="O16" s="685">
        <v>0</v>
      </c>
      <c r="P16" s="682">
        <f>IF($O16=1,IF($O15=0,$B16,$P15),"")</f>
      </c>
      <c r="Q16" s="686">
        <f>IF(AND($O16=0,$O15=1),($B16-$P15)/$P15*100,"")</f>
      </c>
      <c r="R16" s="681">
        <f>IF($O16=1,IF($O15=0,"▲新規買い","保有中"),IF($O15=1,"■手仕舞い",""))</f>
      </c>
    </row>
    <row r="17">
      <c r="A17" s="681">
        <f>IF($B17="","",IFERROR(TEXT(INDEX(終値!$3:$3,1,105-(ROW()-8)),"m/d"),""))</f>
      </c>
      <c r="B17" s="682">
        <f>IFERROR(IF(INDEX(終値!$A:$CZ,$B$4,105-(ROW()-8))=0,"",INDEX(終値!$A:$CZ,$B$4,105-(ROW()-8))),"")</f>
      </c>
      <c r="C17" s="682">
        <f>IF($B17="","",IFERROR(INDEX(高値!$A:$CZ,$B$4,105-(ROW()-8)),""))</f>
      </c>
      <c r="D17" s="682">
        <f>IF($B17="","",IFERROR(INDEX(安値!$A:$CZ,$B$4,105-(ROW()-8)),""))</f>
      </c>
      <c r="E17" s="682">
        <f>IF($B17="","",IFERROR(INDEX(出来高!$A:$CZ,$B$4,105-(ROW()-8)),""))</f>
      </c>
      <c r="F17" s="682" t="inlineStr">
        <is>
          <t xml:space="preserve"/>
        </is>
      </c>
      <c r="G17" s="683" t="inlineStr">
        <is>
          <t xml:space="preserve"/>
        </is>
      </c>
      <c r="H17" s="682">
        <f>IF($F17="","",$F17+BB設定!$B$4*$G17)</f>
      </c>
      <c r="I17" s="682">
        <f>IF($F17="","",$F17+BB設定!$B$5*$G17)</f>
      </c>
      <c r="J17" s="682">
        <f>IF($F17="","",$F17-BB設定!$B$5*$G17)</f>
      </c>
      <c r="K17" s="682">
        <f>IF($F17="","",$F17-BB設定!$B$4*$G17)</f>
      </c>
      <c r="L17" s="687">
        <f>IF($F17="","",IFERROR(($B17-$K17)/($H17-$K17),""))</f>
      </c>
      <c r="M17" s="684" t="inlineStr">
        <is>
          <t xml:space="preserve"/>
        </is>
      </c>
      <c r="N17" s="684" t="inlineStr">
        <is>
          <t xml:space="preserve"/>
        </is>
      </c>
      <c r="O17" s="685">
        <v>0</v>
      </c>
      <c r="P17" s="682">
        <f>IF($O17=1,IF($O16=0,$B17,$P16),"")</f>
      </c>
      <c r="Q17" s="686">
        <f>IF(AND($O17=0,$O16=1),($B17-$P16)/$P16*100,"")</f>
      </c>
      <c r="R17" s="681">
        <f>IF($O17=1,IF($O16=0,"▲新規買い","保有中"),IF($O16=1,"■手仕舞い",""))</f>
      </c>
    </row>
    <row r="18">
      <c r="A18" s="681">
        <f>IF($B18="","",IFERROR(TEXT(INDEX(終値!$3:$3,1,105-(ROW()-8)),"m/d"),""))</f>
      </c>
      <c r="B18" s="682">
        <f>IFERROR(IF(INDEX(終値!$A:$CZ,$B$4,105-(ROW()-8))=0,"",INDEX(終値!$A:$CZ,$B$4,105-(ROW()-8))),"")</f>
      </c>
      <c r="C18" s="682">
        <f>IF($B18="","",IFERROR(INDEX(高値!$A:$CZ,$B$4,105-(ROW()-8)),""))</f>
      </c>
      <c r="D18" s="682">
        <f>IF($B18="","",IFERROR(INDEX(安値!$A:$CZ,$B$4,105-(ROW()-8)),""))</f>
      </c>
      <c r="E18" s="682">
        <f>IF($B18="","",IFERROR(INDEX(出来高!$A:$CZ,$B$4,105-(ROW()-8)),""))</f>
      </c>
      <c r="F18" s="682" t="inlineStr">
        <is>
          <t xml:space="preserve"/>
        </is>
      </c>
      <c r="G18" s="683" t="inlineStr">
        <is>
          <t xml:space="preserve"/>
        </is>
      </c>
      <c r="H18" s="682">
        <f>IF($F18="","",$F18+BB設定!$B$4*$G18)</f>
      </c>
      <c r="I18" s="682">
        <f>IF($F18="","",$F18+BB設定!$B$5*$G18)</f>
      </c>
      <c r="J18" s="682">
        <f>IF($F18="","",$F18-BB設定!$B$5*$G18)</f>
      </c>
      <c r="K18" s="682">
        <f>IF($F18="","",$F18-BB設定!$B$4*$G18)</f>
      </c>
      <c r="L18" s="687">
        <f>IF($F18="","",IFERROR(($B18-$K18)/($H18-$K18),""))</f>
      </c>
      <c r="M18" s="684" t="inlineStr">
        <is>
          <t xml:space="preserve"/>
        </is>
      </c>
      <c r="N18" s="684" t="inlineStr">
        <is>
          <t xml:space="preserve"/>
        </is>
      </c>
      <c r="O18" s="685">
        <v>0</v>
      </c>
      <c r="P18" s="682">
        <f>IF($O18=1,IF($O17=0,$B18,$P17),"")</f>
      </c>
      <c r="Q18" s="686">
        <f>IF(AND($O18=0,$O17=1),($B18-$P17)/$P17*100,"")</f>
      </c>
      <c r="R18" s="681">
        <f>IF($O18=1,IF($O17=0,"▲新規買い","保有中"),IF($O17=1,"■手仕舞い",""))</f>
      </c>
    </row>
    <row r="19">
      <c r="A19" s="681">
        <f>IF($B19="","",IFERROR(TEXT(INDEX(終値!$3:$3,1,105-(ROW()-8)),"m/d"),""))</f>
      </c>
      <c r="B19" s="682">
        <f>IFERROR(IF(INDEX(終値!$A:$CZ,$B$4,105-(ROW()-8))=0,"",INDEX(終値!$A:$CZ,$B$4,105-(ROW()-8))),"")</f>
      </c>
      <c r="C19" s="682">
        <f>IF($B19="","",IFERROR(INDEX(高値!$A:$CZ,$B$4,105-(ROW()-8)),""))</f>
      </c>
      <c r="D19" s="682">
        <f>IF($B19="","",IFERROR(INDEX(安値!$A:$CZ,$B$4,105-(ROW()-8)),""))</f>
      </c>
      <c r="E19" s="682">
        <f>IF($B19="","",IFERROR(INDEX(出来高!$A:$CZ,$B$4,105-(ROW()-8)),""))</f>
      </c>
      <c r="F19" s="682" t="inlineStr">
        <is>
          <t xml:space="preserve"/>
        </is>
      </c>
      <c r="G19" s="683" t="inlineStr">
        <is>
          <t xml:space="preserve"/>
        </is>
      </c>
      <c r="H19" s="682">
        <f>IF($F19="","",$F19+BB設定!$B$4*$G19)</f>
      </c>
      <c r="I19" s="682">
        <f>IF($F19="","",$F19+BB設定!$B$5*$G19)</f>
      </c>
      <c r="J19" s="682">
        <f>IF($F19="","",$F19-BB設定!$B$5*$G19)</f>
      </c>
      <c r="K19" s="682">
        <f>IF($F19="","",$F19-BB設定!$B$4*$G19)</f>
      </c>
      <c r="L19" s="687">
        <f>IF($F19="","",IFERROR(($B19-$K19)/($H19-$K19),""))</f>
      </c>
      <c r="M19" s="684" t="inlineStr">
        <is>
          <t xml:space="preserve"/>
        </is>
      </c>
      <c r="N19" s="684" t="inlineStr">
        <is>
          <t xml:space="preserve"/>
        </is>
      </c>
      <c r="O19" s="685">
        <v>0</v>
      </c>
      <c r="P19" s="682">
        <f>IF($O19=1,IF($O18=0,$B19,$P18),"")</f>
      </c>
      <c r="Q19" s="686">
        <f>IF(AND($O19=0,$O18=1),($B19-$P18)/$P18*100,"")</f>
      </c>
      <c r="R19" s="681">
        <f>IF($O19=1,IF($O18=0,"▲新規買い","保有中"),IF($O18=1,"■手仕舞い",""))</f>
      </c>
    </row>
    <row r="20">
      <c r="A20" s="681">
        <f>IF($B20="","",IFERROR(TEXT(INDEX(終値!$3:$3,1,105-(ROW()-8)),"m/d"),""))</f>
      </c>
      <c r="B20" s="682">
        <f>IFERROR(IF(INDEX(終値!$A:$CZ,$B$4,105-(ROW()-8))=0,"",INDEX(終値!$A:$CZ,$B$4,105-(ROW()-8))),"")</f>
      </c>
      <c r="C20" s="682">
        <f>IF($B20="","",IFERROR(INDEX(高値!$A:$CZ,$B$4,105-(ROW()-8)),""))</f>
      </c>
      <c r="D20" s="682">
        <f>IF($B20="","",IFERROR(INDEX(安値!$A:$CZ,$B$4,105-(ROW()-8)),""))</f>
      </c>
      <c r="E20" s="682">
        <f>IF($B20="","",IFERROR(INDEX(出来高!$A:$CZ,$B$4,105-(ROW()-8)),""))</f>
      </c>
      <c r="F20" s="682" t="inlineStr">
        <is>
          <t xml:space="preserve"/>
        </is>
      </c>
      <c r="G20" s="683" t="inlineStr">
        <is>
          <t xml:space="preserve"/>
        </is>
      </c>
      <c r="H20" s="682">
        <f>IF($F20="","",$F20+BB設定!$B$4*$G20)</f>
      </c>
      <c r="I20" s="682">
        <f>IF($F20="","",$F20+BB設定!$B$5*$G20)</f>
      </c>
      <c r="J20" s="682">
        <f>IF($F20="","",$F20-BB設定!$B$5*$G20)</f>
      </c>
      <c r="K20" s="682">
        <f>IF($F20="","",$F20-BB設定!$B$4*$G20)</f>
      </c>
      <c r="L20" s="687">
        <f>IF($F20="","",IFERROR(($B20-$K20)/($H20-$K20),""))</f>
      </c>
      <c r="M20" s="684" t="inlineStr">
        <is>
          <t xml:space="preserve"/>
        </is>
      </c>
      <c r="N20" s="684" t="inlineStr">
        <is>
          <t xml:space="preserve"/>
        </is>
      </c>
      <c r="O20" s="685">
        <v>0</v>
      </c>
      <c r="P20" s="682">
        <f>IF($O20=1,IF($O19=0,$B20,$P19),"")</f>
      </c>
      <c r="Q20" s="686">
        <f>IF(AND($O20=0,$O19=1),($B20-$P19)/$P19*100,"")</f>
      </c>
      <c r="R20" s="681">
        <f>IF($O20=1,IF($O19=0,"▲新規買い","保有中"),IF($O19=1,"■手仕舞い",""))</f>
      </c>
    </row>
    <row r="21">
      <c r="A21" s="681">
        <f>IF($B21="","",IFERROR(TEXT(INDEX(終値!$3:$3,1,105-(ROW()-8)),"m/d"),""))</f>
      </c>
      <c r="B21" s="682">
        <f>IFERROR(IF(INDEX(終値!$A:$CZ,$B$4,105-(ROW()-8))=0,"",INDEX(終値!$A:$CZ,$B$4,105-(ROW()-8))),"")</f>
      </c>
      <c r="C21" s="682">
        <f>IF($B21="","",IFERROR(INDEX(高値!$A:$CZ,$B$4,105-(ROW()-8)),""))</f>
      </c>
      <c r="D21" s="682">
        <f>IF($B21="","",IFERROR(INDEX(安値!$A:$CZ,$B$4,105-(ROW()-8)),""))</f>
      </c>
      <c r="E21" s="682">
        <f>IF($B21="","",IFERROR(INDEX(出来高!$A:$CZ,$B$4,105-(ROW()-8)),""))</f>
      </c>
      <c r="F21" s="682" t="inlineStr">
        <is>
          <t xml:space="preserve"/>
        </is>
      </c>
      <c r="G21" s="683" t="inlineStr">
        <is>
          <t xml:space="preserve"/>
        </is>
      </c>
      <c r="H21" s="682">
        <f>IF($F21="","",$F21+BB設定!$B$4*$G21)</f>
      </c>
      <c r="I21" s="682">
        <f>IF($F21="","",$F21+BB設定!$B$5*$G21)</f>
      </c>
      <c r="J21" s="682">
        <f>IF($F21="","",$F21-BB設定!$B$5*$G21)</f>
      </c>
      <c r="K21" s="682">
        <f>IF($F21="","",$F21-BB設定!$B$4*$G21)</f>
      </c>
      <c r="L21" s="687">
        <f>IF($F21="","",IFERROR(($B21-$K21)/($H21-$K21),""))</f>
      </c>
      <c r="M21" s="684" t="inlineStr">
        <is>
          <t xml:space="preserve"/>
        </is>
      </c>
      <c r="N21" s="684" t="inlineStr">
        <is>
          <t xml:space="preserve"/>
        </is>
      </c>
      <c r="O21" s="685">
        <v>0</v>
      </c>
      <c r="P21" s="682">
        <f>IF($O21=1,IF($O20=0,$B21,$P20),"")</f>
      </c>
      <c r="Q21" s="686">
        <f>IF(AND($O21=0,$O20=1),($B21-$P20)/$P20*100,"")</f>
      </c>
      <c r="R21" s="681">
        <f>IF($O21=1,IF($O20=0,"▲新規買い","保有中"),IF($O20=1,"■手仕舞い",""))</f>
      </c>
    </row>
    <row r="22">
      <c r="A22" s="681">
        <f>IF($B22="","",IFERROR(TEXT(INDEX(終値!$3:$3,1,105-(ROW()-8)),"m/d"),""))</f>
      </c>
      <c r="B22" s="682">
        <f>IFERROR(IF(INDEX(終値!$A:$CZ,$B$4,105-(ROW()-8))=0,"",INDEX(終値!$A:$CZ,$B$4,105-(ROW()-8))),"")</f>
      </c>
      <c r="C22" s="682">
        <f>IF($B22="","",IFERROR(INDEX(高値!$A:$CZ,$B$4,105-(ROW()-8)),""))</f>
      </c>
      <c r="D22" s="682">
        <f>IF($B22="","",IFERROR(INDEX(安値!$A:$CZ,$B$4,105-(ROW()-8)),""))</f>
      </c>
      <c r="E22" s="682">
        <f>IF($B22="","",IFERROR(INDEX(出来高!$A:$CZ,$B$4,105-(ROW()-8)),""))</f>
      </c>
      <c r="F22" s="682" t="inlineStr">
        <is>
          <t xml:space="preserve"/>
        </is>
      </c>
      <c r="G22" s="683" t="inlineStr">
        <is>
          <t xml:space="preserve"/>
        </is>
      </c>
      <c r="H22" s="682">
        <f>IF($F22="","",$F22+BB設定!$B$4*$G22)</f>
      </c>
      <c r="I22" s="682">
        <f>IF($F22="","",$F22+BB設定!$B$5*$G22)</f>
      </c>
      <c r="J22" s="682">
        <f>IF($F22="","",$F22-BB設定!$B$5*$G22)</f>
      </c>
      <c r="K22" s="682">
        <f>IF($F22="","",$F22-BB設定!$B$4*$G22)</f>
      </c>
      <c r="L22" s="687">
        <f>IF($F22="","",IFERROR(($B22-$K22)/($H22-$K22),""))</f>
      </c>
      <c r="M22" s="684" t="inlineStr">
        <is>
          <t xml:space="preserve"/>
        </is>
      </c>
      <c r="N22" s="684" t="inlineStr">
        <is>
          <t xml:space="preserve"/>
        </is>
      </c>
      <c r="O22" s="685">
        <v>0</v>
      </c>
      <c r="P22" s="682">
        <f>IF($O22=1,IF($O21=0,$B22,$P21),"")</f>
      </c>
      <c r="Q22" s="686">
        <f>IF(AND($O22=0,$O21=1),($B22-$P21)/$P21*100,"")</f>
      </c>
      <c r="R22" s="681">
        <f>IF($O22=1,IF($O21=0,"▲新規買い","保有中"),IF($O21=1,"■手仕舞い",""))</f>
      </c>
    </row>
    <row r="23">
      <c r="A23" s="681">
        <f>IF($B23="","",IFERROR(TEXT(INDEX(終値!$3:$3,1,105-(ROW()-8)),"m/d"),""))</f>
      </c>
      <c r="B23" s="682">
        <f>IFERROR(IF(INDEX(終値!$A:$CZ,$B$4,105-(ROW()-8))=0,"",INDEX(終値!$A:$CZ,$B$4,105-(ROW()-8))),"")</f>
      </c>
      <c r="C23" s="682">
        <f>IF($B23="","",IFERROR(INDEX(高値!$A:$CZ,$B$4,105-(ROW()-8)),""))</f>
      </c>
      <c r="D23" s="682">
        <f>IF($B23="","",IFERROR(INDEX(安値!$A:$CZ,$B$4,105-(ROW()-8)),""))</f>
      </c>
      <c r="E23" s="682">
        <f>IF($B23="","",IFERROR(INDEX(出来高!$A:$CZ,$B$4,105-(ROW()-8)),""))</f>
      </c>
      <c r="F23" s="682" t="inlineStr">
        <is>
          <t xml:space="preserve"/>
        </is>
      </c>
      <c r="G23" s="683" t="inlineStr">
        <is>
          <t xml:space="preserve"/>
        </is>
      </c>
      <c r="H23" s="682">
        <f>IF($F23="","",$F23+BB設定!$B$4*$G23)</f>
      </c>
      <c r="I23" s="682">
        <f>IF($F23="","",$F23+BB設定!$B$5*$G23)</f>
      </c>
      <c r="J23" s="682">
        <f>IF($F23="","",$F23-BB設定!$B$5*$G23)</f>
      </c>
      <c r="K23" s="682">
        <f>IF($F23="","",$F23-BB設定!$B$4*$G23)</f>
      </c>
      <c r="L23" s="687">
        <f>IF($F23="","",IFERROR(($B23-$K23)/($H23-$K23),""))</f>
      </c>
      <c r="M23" s="684">
        <f>IF(COUNT(B10:B23)&lt;14,"",IFERROR(100-100/(1+SUMPRODUCT((B10:B23&gt;B9:B22)*(B10:B23-B9:B22))/SUMPRODUCT((B10:B23&lt;B9:B22)*(B9:B22-B10:B23))),100))</f>
      </c>
      <c r="N23" s="684">
        <f>IF(COUNT(B10:B23)&lt;14,"",IFERROR(100-100/(1+SUMPRODUCT((((C10:C23+D10:D23+B10:B23)/3)&gt;((C9:C22+D9:D22+B9:B22)/3))*((C10:C23+D10:D23+B10:B23)/3)*E10:E23)/SUMPRODUCT((((C10:C23+D10:D23+B10:B23)/3)&lt;((C9:C22+D9:D22+B9:B22)/3))*((C10:C23+D10:D23+B10:B23)/3)*E10:E23)),50))</f>
      </c>
      <c r="O23" s="685">
        <v>0</v>
      </c>
      <c r="P23" s="682">
        <f>IF($O23=1,IF($O22=0,$B23,$P22),"")</f>
      </c>
      <c r="Q23" s="686">
        <f>IF(AND($O23=0,$O22=1),($B23-$P22)/$P22*100,"")</f>
      </c>
      <c r="R23" s="681">
        <f>IF($O23=1,IF($O22=0,"▲新規買い","保有中"),IF($O22=1,"■手仕舞い",""))</f>
      </c>
    </row>
    <row r="24">
      <c r="A24" s="681">
        <f>IF($B24="","",IFERROR(TEXT(INDEX(終値!$3:$3,1,105-(ROW()-8)),"m/d"),""))</f>
      </c>
      <c r="B24" s="682">
        <f>IFERROR(IF(INDEX(終値!$A:$CZ,$B$4,105-(ROW()-8))=0,"",INDEX(終値!$A:$CZ,$B$4,105-(ROW()-8))),"")</f>
      </c>
      <c r="C24" s="682">
        <f>IF($B24="","",IFERROR(INDEX(高値!$A:$CZ,$B$4,105-(ROW()-8)),""))</f>
      </c>
      <c r="D24" s="682">
        <f>IF($B24="","",IFERROR(INDEX(安値!$A:$CZ,$B$4,105-(ROW()-8)),""))</f>
      </c>
      <c r="E24" s="682">
        <f>IF($B24="","",IFERROR(INDEX(出来高!$A:$CZ,$B$4,105-(ROW()-8)),""))</f>
      </c>
      <c r="F24" s="682" t="inlineStr">
        <is>
          <t xml:space="preserve"/>
        </is>
      </c>
      <c r="G24" s="683" t="inlineStr">
        <is>
          <t xml:space="preserve"/>
        </is>
      </c>
      <c r="H24" s="682">
        <f>IF($F24="","",$F24+BB設定!$B$4*$G24)</f>
      </c>
      <c r="I24" s="682">
        <f>IF($F24="","",$F24+BB設定!$B$5*$G24)</f>
      </c>
      <c r="J24" s="682">
        <f>IF($F24="","",$F24-BB設定!$B$5*$G24)</f>
      </c>
      <c r="K24" s="682">
        <f>IF($F24="","",$F24-BB設定!$B$4*$G24)</f>
      </c>
      <c r="L24" s="687">
        <f>IF($F24="","",IFERROR(($B24-$K24)/($H24-$K24),""))</f>
      </c>
      <c r="M24" s="684">
        <f>IF(COUNT(B11:B24)&lt;14,"",IFERROR(100-100/(1+SUMPRODUCT((B11:B24&gt;B10:B23)*(B11:B24-B10:B23))/SUMPRODUCT((B11:B24&lt;B10:B23)*(B10:B23-B11:B24))),100))</f>
      </c>
      <c r="N24" s="684">
        <f>IF(COUNT(B11:B24)&lt;14,"",IFERROR(100-100/(1+SUMPRODUCT((((C11:C24+D11:D24+B11:B24)/3)&gt;((C10:C23+D10:D23+B10:B23)/3))*((C11:C24+D11:D24+B11:B24)/3)*E11:E24)/SUMPRODUCT((((C11:C24+D11:D24+B11:B24)/3)&lt;((C10:C23+D10:D23+B10:B23)/3))*((C11:C24+D11:D24+B11:B24)/3)*E11:E24)),50))</f>
      </c>
      <c r="O24" s="685">
        <v>0</v>
      </c>
      <c r="P24" s="682">
        <f>IF($O24=1,IF($O23=0,$B24,$P23),"")</f>
      </c>
      <c r="Q24" s="686">
        <f>IF(AND($O24=0,$O23=1),($B24-$P23)/$P23*100,"")</f>
      </c>
      <c r="R24" s="681">
        <f>IF($O24=1,IF($O23=0,"▲新規買い","保有中"),IF($O23=1,"■手仕舞い",""))</f>
      </c>
    </row>
    <row r="25">
      <c r="A25" s="681">
        <f>IF($B25="","",IFERROR(TEXT(INDEX(終値!$3:$3,1,105-(ROW()-8)),"m/d"),""))</f>
      </c>
      <c r="B25" s="682">
        <f>IFERROR(IF(INDEX(終値!$A:$CZ,$B$4,105-(ROW()-8))=0,"",INDEX(終値!$A:$CZ,$B$4,105-(ROW()-8))),"")</f>
      </c>
      <c r="C25" s="682">
        <f>IF($B25="","",IFERROR(INDEX(高値!$A:$CZ,$B$4,105-(ROW()-8)),""))</f>
      </c>
      <c r="D25" s="682">
        <f>IF($B25="","",IFERROR(INDEX(安値!$A:$CZ,$B$4,105-(ROW()-8)),""))</f>
      </c>
      <c r="E25" s="682">
        <f>IF($B25="","",IFERROR(INDEX(出来高!$A:$CZ,$B$4,105-(ROW()-8)),""))</f>
      </c>
      <c r="F25" s="682" t="inlineStr">
        <is>
          <t xml:space="preserve"/>
        </is>
      </c>
      <c r="G25" s="683" t="inlineStr">
        <is>
          <t xml:space="preserve"/>
        </is>
      </c>
      <c r="H25" s="682">
        <f>IF($F25="","",$F25+BB設定!$B$4*$G25)</f>
      </c>
      <c r="I25" s="682">
        <f>IF($F25="","",$F25+BB設定!$B$5*$G25)</f>
      </c>
      <c r="J25" s="682">
        <f>IF($F25="","",$F25-BB設定!$B$5*$G25)</f>
      </c>
      <c r="K25" s="682">
        <f>IF($F25="","",$F25-BB設定!$B$4*$G25)</f>
      </c>
      <c r="L25" s="687">
        <f>IF($F25="","",IFERROR(($B25-$K25)/($H25-$K25),""))</f>
      </c>
      <c r="M25" s="684">
        <f>IF(COUNT(B12:B25)&lt;14,"",IFERROR(100-100/(1+SUMPRODUCT((B12:B25&gt;B11:B24)*(B12:B25-B11:B24))/SUMPRODUCT((B12:B25&lt;B11:B24)*(B11:B24-B12:B25))),100))</f>
      </c>
      <c r="N25" s="684">
        <f>IF(COUNT(B12:B25)&lt;14,"",IFERROR(100-100/(1+SUMPRODUCT((((C12:C25+D12:D25+B12:B25)/3)&gt;((C11:C24+D11:D24+B11:B24)/3))*((C12:C25+D12:D25+B12:B25)/3)*E12:E25)/SUMPRODUCT((((C12:C25+D12:D25+B12:B25)/3)&lt;((C11:C24+D11:D24+B11:B24)/3))*((C12:C25+D12:D25+B12:B25)/3)*E12:E25)),50))</f>
      </c>
      <c r="O25" s="685">
        <v>0</v>
      </c>
      <c r="P25" s="682">
        <f>IF($O25=1,IF($O24=0,$B25,$P24),"")</f>
      </c>
      <c r="Q25" s="686">
        <f>IF(AND($O25=0,$O24=1),($B25-$P24)/$P24*100,"")</f>
      </c>
      <c r="R25" s="681">
        <f>IF($O25=1,IF($O24=0,"▲新規買い","保有中"),IF($O24=1,"■手仕舞い",""))</f>
      </c>
    </row>
    <row r="26">
      <c r="A26" s="681">
        <f>IF($B26="","",IFERROR(TEXT(INDEX(終値!$3:$3,1,105-(ROW()-8)),"m/d"),""))</f>
      </c>
      <c r="B26" s="682">
        <f>IFERROR(IF(INDEX(終値!$A:$CZ,$B$4,105-(ROW()-8))=0,"",INDEX(終値!$A:$CZ,$B$4,105-(ROW()-8))),"")</f>
      </c>
      <c r="C26" s="682">
        <f>IF($B26="","",IFERROR(INDEX(高値!$A:$CZ,$B$4,105-(ROW()-8)),""))</f>
      </c>
      <c r="D26" s="682">
        <f>IF($B26="","",IFERROR(INDEX(安値!$A:$CZ,$B$4,105-(ROW()-8)),""))</f>
      </c>
      <c r="E26" s="682">
        <f>IF($B26="","",IFERROR(INDEX(出来高!$A:$CZ,$B$4,105-(ROW()-8)),""))</f>
      </c>
      <c r="F26" s="682" t="inlineStr">
        <is>
          <t xml:space="preserve"/>
        </is>
      </c>
      <c r="G26" s="683" t="inlineStr">
        <is>
          <t xml:space="preserve"/>
        </is>
      </c>
      <c r="H26" s="682">
        <f>IF($F26="","",$F26+BB設定!$B$4*$G26)</f>
      </c>
      <c r="I26" s="682">
        <f>IF($F26="","",$F26+BB設定!$B$5*$G26)</f>
      </c>
      <c r="J26" s="682">
        <f>IF($F26="","",$F26-BB設定!$B$5*$G26)</f>
      </c>
      <c r="K26" s="682">
        <f>IF($F26="","",$F26-BB設定!$B$4*$G26)</f>
      </c>
      <c r="L26" s="687">
        <f>IF($F26="","",IFERROR(($B26-$K26)/($H26-$K26),""))</f>
      </c>
      <c r="M26" s="684">
        <f>IF(COUNT(B13:B26)&lt;14,"",IFERROR(100-100/(1+SUMPRODUCT((B13:B26&gt;B12:B25)*(B13:B26-B12:B25))/SUMPRODUCT((B13:B26&lt;B12:B25)*(B12:B25-B13:B26))),100))</f>
      </c>
      <c r="N26" s="684">
        <f>IF(COUNT(B13:B26)&lt;14,"",IFERROR(100-100/(1+SUMPRODUCT((((C13:C26+D13:D26+B13:B26)/3)&gt;((C12:C25+D12:D25+B12:B25)/3))*((C13:C26+D13:D26+B13:B26)/3)*E13:E26)/SUMPRODUCT((((C13:C26+D13:D26+B13:B26)/3)&lt;((C12:C25+D12:D25+B12:B25)/3))*((C13:C26+D13:D26+B13:B26)/3)*E13:E26)),50))</f>
      </c>
      <c r="O26" s="685">
        <v>0</v>
      </c>
      <c r="P26" s="682">
        <f>IF($O26=1,IF($O25=0,$B26,$P25),"")</f>
      </c>
      <c r="Q26" s="686">
        <f>IF(AND($O26=0,$O25=1),($B26-$P25)/$P25*100,"")</f>
      </c>
      <c r="R26" s="681">
        <f>IF($O26=1,IF($O25=0,"▲新規買い","保有中"),IF($O25=1,"■手仕舞い",""))</f>
      </c>
    </row>
    <row r="27">
      <c r="A27" s="681">
        <f>IF($B27="","",IFERROR(TEXT(INDEX(終値!$3:$3,1,105-(ROW()-8)),"m/d"),""))</f>
      </c>
      <c r="B27" s="682">
        <f>IFERROR(IF(INDEX(終値!$A:$CZ,$B$4,105-(ROW()-8))=0,"",INDEX(終値!$A:$CZ,$B$4,105-(ROW()-8))),"")</f>
      </c>
      <c r="C27" s="682">
        <f>IF($B27="","",IFERROR(INDEX(高値!$A:$CZ,$B$4,105-(ROW()-8)),""))</f>
      </c>
      <c r="D27" s="682">
        <f>IF($B27="","",IFERROR(INDEX(安値!$A:$CZ,$B$4,105-(ROW()-8)),""))</f>
      </c>
      <c r="E27" s="682">
        <f>IF($B27="","",IFERROR(INDEX(出来高!$A:$CZ,$B$4,105-(ROW()-8)),""))</f>
      </c>
      <c r="F27" s="682" t="inlineStr">
        <is>
          <t xml:space="preserve"/>
        </is>
      </c>
      <c r="G27" s="683" t="inlineStr">
        <is>
          <t xml:space="preserve"/>
        </is>
      </c>
      <c r="H27" s="682">
        <f>IF($F27="","",$F27+BB設定!$B$4*$G27)</f>
      </c>
      <c r="I27" s="682">
        <f>IF($F27="","",$F27+BB設定!$B$5*$G27)</f>
      </c>
      <c r="J27" s="682">
        <f>IF($F27="","",$F27-BB設定!$B$5*$G27)</f>
      </c>
      <c r="K27" s="682">
        <f>IF($F27="","",$F27-BB設定!$B$4*$G27)</f>
      </c>
      <c r="L27" s="687">
        <f>IF($F27="","",IFERROR(($B27-$K27)/($H27-$K27),""))</f>
      </c>
      <c r="M27" s="684">
        <f>IF(COUNT(B14:B27)&lt;14,"",IFERROR(100-100/(1+SUMPRODUCT((B14:B27&gt;B13:B26)*(B14:B27-B13:B26))/SUMPRODUCT((B14:B27&lt;B13:B26)*(B13:B26-B14:B27))),100))</f>
      </c>
      <c r="N27" s="684">
        <f>IF(COUNT(B14:B27)&lt;14,"",IFERROR(100-100/(1+SUMPRODUCT((((C14:C27+D14:D27+B14:B27)/3)&gt;((C13:C26+D13:D26+B13:B26)/3))*((C14:C27+D14:D27+B14:B27)/3)*E14:E27)/SUMPRODUCT((((C14:C27+D14:D27+B14:B27)/3)&lt;((C13:C26+D13:D26+B13:B26)/3))*((C14:C27+D14:D27+B14:B27)/3)*E14:E27)),50))</f>
      </c>
      <c r="O27" s="685">
        <v>0</v>
      </c>
      <c r="P27" s="682">
        <f>IF($O27=1,IF($O26=0,$B27,$P26),"")</f>
      </c>
      <c r="Q27" s="686">
        <f>IF(AND($O27=0,$O26=1),($B27-$P26)/$P26*100,"")</f>
      </c>
      <c r="R27" s="681">
        <f>IF($O27=1,IF($O26=0,"▲新規買い","保有中"),IF($O26=1,"■手仕舞い",""))</f>
      </c>
    </row>
    <row r="28">
      <c r="A28" s="681">
        <f>IF($B28="","",IFERROR(TEXT(INDEX(終値!$3:$3,1,105-(ROW()-8)),"m/d"),""))</f>
      </c>
      <c r="B28" s="682">
        <f>IFERROR(IF(INDEX(終値!$A:$CZ,$B$4,105-(ROW()-8))=0,"",INDEX(終値!$A:$CZ,$B$4,105-(ROW()-8))),"")</f>
      </c>
      <c r="C28" s="682">
        <f>IF($B28="","",IFERROR(INDEX(高値!$A:$CZ,$B$4,105-(ROW()-8)),""))</f>
      </c>
      <c r="D28" s="682">
        <f>IF($B28="","",IFERROR(INDEX(安値!$A:$CZ,$B$4,105-(ROW()-8)),""))</f>
      </c>
      <c r="E28" s="682">
        <f>IF($B28="","",IFERROR(INDEX(出来高!$A:$CZ,$B$4,105-(ROW()-8)),""))</f>
      </c>
      <c r="F28" s="682">
        <f>IF(COUNT(B9:B28)=20,AVERAGE(B9:B28),"")</f>
      </c>
      <c r="G28" s="683">
        <f>IF(COUNT(B9:B28)=20,STDEVP(B9:B28),"")</f>
      </c>
      <c r="H28" s="682">
        <f>IF($F28="","",$F28+BB設定!$B$4*$G28)</f>
      </c>
      <c r="I28" s="682">
        <f>IF($F28="","",$F28+BB設定!$B$5*$G28)</f>
      </c>
      <c r="J28" s="682">
        <f>IF($F28="","",$F28-BB設定!$B$5*$G28)</f>
      </c>
      <c r="K28" s="682">
        <f>IF($F28="","",$F28-BB設定!$B$4*$G28)</f>
      </c>
      <c r="L28" s="687">
        <f>IF($F28="","",IFERROR(($B28-$K28)/($H28-$K28),""))</f>
      </c>
      <c r="M28" s="684">
        <f>IF(COUNT(B15:B28)&lt;14,"",IFERROR(100-100/(1+SUMPRODUCT((B15:B28&gt;B14:B27)*(B15:B28-B14:B27))/SUMPRODUCT((B15:B28&lt;B14:B27)*(B14:B27-B15:B28))),100))</f>
      </c>
      <c r="N28" s="684">
        <f>IF(COUNT(B15:B28)&lt;14,"",IFERROR(100-100/(1+SUMPRODUCT((((C15:C28+D15:D28+B15:B28)/3)&gt;((C14:C27+D14:D27+B14:B27)/3))*((C15:C28+D15:D28+B15:B28)/3)*E15:E28)/SUMPRODUCT((((C15:C28+D15:D28+B15:B28)/3)&lt;((C14:C27+D14:D27+B14:B27)/3))*((C15:C28+D15:D28+B15:B28)/3)*E15:E28)),50))</f>
      </c>
      <c r="O28" s="685">
        <v>0</v>
      </c>
      <c r="P28" s="682">
        <f>IF($O28=1,IF($O27=0,$B28,$P27),"")</f>
      </c>
      <c r="Q28" s="686">
        <f>IF(AND($O28=0,$O27=1),($B28-$P27)/$P27*100,"")</f>
      </c>
      <c r="R28" s="681">
        <f>IF($O28=1,IF($O27=0,"▲新規買い","保有中"),IF($O27=1,"■手仕舞い",""))</f>
      </c>
    </row>
    <row r="29">
      <c r="A29" s="681">
        <f>IF($B29="","",IFERROR(TEXT(INDEX(終値!$3:$3,1,105-(ROW()-8)),"m/d"),""))</f>
      </c>
      <c r="B29" s="682">
        <f>IFERROR(IF(INDEX(終値!$A:$CZ,$B$4,105-(ROW()-8))=0,"",INDEX(終値!$A:$CZ,$B$4,105-(ROW()-8))),"")</f>
      </c>
      <c r="C29" s="682">
        <f>IF($B29="","",IFERROR(INDEX(高値!$A:$CZ,$B$4,105-(ROW()-8)),""))</f>
      </c>
      <c r="D29" s="682">
        <f>IF($B29="","",IFERROR(INDEX(安値!$A:$CZ,$B$4,105-(ROW()-8)),""))</f>
      </c>
      <c r="E29" s="682">
        <f>IF($B29="","",IFERROR(INDEX(出来高!$A:$CZ,$B$4,105-(ROW()-8)),""))</f>
      </c>
      <c r="F29" s="682">
        <f>IF(COUNT(B10:B29)=20,AVERAGE(B10:B29),"")</f>
      </c>
      <c r="G29" s="683">
        <f>IF(COUNT(B10:B29)=20,STDEVP(B10:B29),"")</f>
      </c>
      <c r="H29" s="682">
        <f>IF($F29="","",$F29+BB設定!$B$4*$G29)</f>
      </c>
      <c r="I29" s="682">
        <f>IF($F29="","",$F29+BB設定!$B$5*$G29)</f>
      </c>
      <c r="J29" s="682">
        <f>IF($F29="","",$F29-BB設定!$B$5*$G29)</f>
      </c>
      <c r="K29" s="682">
        <f>IF($F29="","",$F29-BB設定!$B$4*$G29)</f>
      </c>
      <c r="L29" s="687">
        <f>IF($F29="","",IFERROR(($B29-$K29)/($H29-$K29),""))</f>
      </c>
      <c r="M29" s="684">
        <f>IF(COUNT(B16:B29)&lt;14,"",IFERROR(100-100/(1+SUMPRODUCT((B16:B29&gt;B15:B28)*(B16:B29-B15:B28))/SUMPRODUCT((B16:B29&lt;B15:B28)*(B15:B28-B16:B29))),100))</f>
      </c>
      <c r="N29" s="684">
        <f>IF(COUNT(B16:B29)&lt;14,"",IFERROR(100-100/(1+SUMPRODUCT((((C16:C29+D16:D29+B16:B29)/3)&gt;((C15:C28+D15:D28+B15:B28)/3))*((C16:C29+D16:D29+B16:B29)/3)*E16:E29)/SUMPRODUCT((((C16:C29+D16:D29+B16:B29)/3)&lt;((C15:C28+D15:D28+B15:B28)/3))*((C16:C29+D16:D29+B16:B29)/3)*E16:E29)),50))</f>
      </c>
      <c r="O29" s="685">
        <f>IF($O28=0,IF(AND($H29&lt;&gt;"",$B29&gt;$H29,$B28&lt;=$H28),1,0),IF($B29&lt;$I29,0,1))</f>
      </c>
      <c r="P29" s="682">
        <f>IF($O29=1,IF($O28=0,$B29,$P28),"")</f>
      </c>
      <c r="Q29" s="686">
        <f>IF(AND($O29=0,$O28=1),($B29-$P28)/$P28*100,"")</f>
      </c>
      <c r="R29" s="681">
        <f>IF($O29=1,IF($O28=0,"▲新規買い","保有中"),IF($O28=1,"■手仕舞い",""))</f>
      </c>
    </row>
    <row r="30">
      <c r="A30" s="681">
        <f>IF($B30="","",IFERROR(TEXT(INDEX(終値!$3:$3,1,105-(ROW()-8)),"m/d"),""))</f>
      </c>
      <c r="B30" s="682">
        <f>IFERROR(IF(INDEX(終値!$A:$CZ,$B$4,105-(ROW()-8))=0,"",INDEX(終値!$A:$CZ,$B$4,105-(ROW()-8))),"")</f>
      </c>
      <c r="C30" s="682">
        <f>IF($B30="","",IFERROR(INDEX(高値!$A:$CZ,$B$4,105-(ROW()-8)),""))</f>
      </c>
      <c r="D30" s="682">
        <f>IF($B30="","",IFERROR(INDEX(安値!$A:$CZ,$B$4,105-(ROW()-8)),""))</f>
      </c>
      <c r="E30" s="682">
        <f>IF($B30="","",IFERROR(INDEX(出来高!$A:$CZ,$B$4,105-(ROW()-8)),""))</f>
      </c>
      <c r="F30" s="682">
        <f>IF(COUNT(B11:B30)=20,AVERAGE(B11:B30),"")</f>
      </c>
      <c r="G30" s="683">
        <f>IF(COUNT(B11:B30)=20,STDEVP(B11:B30),"")</f>
      </c>
      <c r="H30" s="682">
        <f>IF($F30="","",$F30+BB設定!$B$4*$G30)</f>
      </c>
      <c r="I30" s="682">
        <f>IF($F30="","",$F30+BB設定!$B$5*$G30)</f>
      </c>
      <c r="J30" s="682">
        <f>IF($F30="","",$F30-BB設定!$B$5*$G30)</f>
      </c>
      <c r="K30" s="682">
        <f>IF($F30="","",$F30-BB設定!$B$4*$G30)</f>
      </c>
      <c r="L30" s="687">
        <f>IF($F30="","",IFERROR(($B30-$K30)/($H30-$K30),""))</f>
      </c>
      <c r="M30" s="684">
        <f>IF(COUNT(B17:B30)&lt;14,"",IFERROR(100-100/(1+SUMPRODUCT((B17:B30&gt;B16:B29)*(B17:B30-B16:B29))/SUMPRODUCT((B17:B30&lt;B16:B29)*(B16:B29-B17:B30))),100))</f>
      </c>
      <c r="N30" s="684">
        <f>IF(COUNT(B17:B30)&lt;14,"",IFERROR(100-100/(1+SUMPRODUCT((((C17:C30+D17:D30+B17:B30)/3)&gt;((C16:C29+D16:D29+B16:B29)/3))*((C17:C30+D17:D30+B17:B30)/3)*E17:E30)/SUMPRODUCT((((C17:C30+D17:D30+B17:B30)/3)&lt;((C16:C29+D16:D29+B16:B29)/3))*((C17:C30+D17:D30+B17:B30)/3)*E17:E30)),50))</f>
      </c>
      <c r="O30" s="685">
        <f>IF($O29=0,IF(AND($H30&lt;&gt;"",$B30&gt;$H30,$B29&lt;=$H29),1,0),IF($B30&lt;$I30,0,1))</f>
      </c>
      <c r="P30" s="682">
        <f>IF($O30=1,IF($O29=0,$B30,$P29),"")</f>
      </c>
      <c r="Q30" s="686">
        <f>IF(AND($O30=0,$O29=1),($B30-$P29)/$P29*100,"")</f>
      </c>
      <c r="R30" s="681">
        <f>IF($O30=1,IF($O29=0,"▲新規買い","保有中"),IF($O29=1,"■手仕舞い",""))</f>
      </c>
    </row>
    <row r="31">
      <c r="A31" s="681">
        <f>IF($B31="","",IFERROR(TEXT(INDEX(終値!$3:$3,1,105-(ROW()-8)),"m/d"),""))</f>
      </c>
      <c r="B31" s="682">
        <f>IFERROR(IF(INDEX(終値!$A:$CZ,$B$4,105-(ROW()-8))=0,"",INDEX(終値!$A:$CZ,$B$4,105-(ROW()-8))),"")</f>
      </c>
      <c r="C31" s="682">
        <f>IF($B31="","",IFERROR(INDEX(高値!$A:$CZ,$B$4,105-(ROW()-8)),""))</f>
      </c>
      <c r="D31" s="682">
        <f>IF($B31="","",IFERROR(INDEX(安値!$A:$CZ,$B$4,105-(ROW()-8)),""))</f>
      </c>
      <c r="E31" s="682">
        <f>IF($B31="","",IFERROR(INDEX(出来高!$A:$CZ,$B$4,105-(ROW()-8)),""))</f>
      </c>
      <c r="F31" s="682">
        <f>IF(COUNT(B12:B31)=20,AVERAGE(B12:B31),"")</f>
      </c>
      <c r="G31" s="683">
        <f>IF(COUNT(B12:B31)=20,STDEVP(B12:B31),"")</f>
      </c>
      <c r="H31" s="682">
        <f>IF($F31="","",$F31+BB設定!$B$4*$G31)</f>
      </c>
      <c r="I31" s="682">
        <f>IF($F31="","",$F31+BB設定!$B$5*$G31)</f>
      </c>
      <c r="J31" s="682">
        <f>IF($F31="","",$F31-BB設定!$B$5*$G31)</f>
      </c>
      <c r="K31" s="682">
        <f>IF($F31="","",$F31-BB設定!$B$4*$G31)</f>
      </c>
      <c r="L31" s="687">
        <f>IF($F31="","",IFERROR(($B31-$K31)/($H31-$K31),""))</f>
      </c>
      <c r="M31" s="684">
        <f>IF(COUNT(B18:B31)&lt;14,"",IFERROR(100-100/(1+SUMPRODUCT((B18:B31&gt;B17:B30)*(B18:B31-B17:B30))/SUMPRODUCT((B18:B31&lt;B17:B30)*(B17:B30-B18:B31))),100))</f>
      </c>
      <c r="N31" s="684">
        <f>IF(COUNT(B18:B31)&lt;14,"",IFERROR(100-100/(1+SUMPRODUCT((((C18:C31+D18:D31+B18:B31)/3)&gt;((C17:C30+D17:D30+B17:B30)/3))*((C18:C31+D18:D31+B18:B31)/3)*E18:E31)/SUMPRODUCT((((C18:C31+D18:D31+B18:B31)/3)&lt;((C17:C30+D17:D30+B17:B30)/3))*((C18:C31+D18:D31+B18:B31)/3)*E18:E31)),50))</f>
      </c>
      <c r="O31" s="685">
        <f>IF($O30=0,IF(AND($H31&lt;&gt;"",$B31&gt;$H31,$B30&lt;=$H30),1,0),IF($B31&lt;$I31,0,1))</f>
      </c>
      <c r="P31" s="682">
        <f>IF($O31=1,IF($O30=0,$B31,$P30),"")</f>
      </c>
      <c r="Q31" s="686">
        <f>IF(AND($O31=0,$O30=1),($B31-$P30)/$P30*100,"")</f>
      </c>
      <c r="R31" s="681">
        <f>IF($O31=1,IF($O30=0,"▲新規買い","保有中"),IF($O30=1,"■手仕舞い",""))</f>
      </c>
    </row>
    <row r="32">
      <c r="A32" s="681">
        <f>IF($B32="","",IFERROR(TEXT(INDEX(終値!$3:$3,1,105-(ROW()-8)),"m/d"),""))</f>
      </c>
      <c r="B32" s="682">
        <f>IFERROR(IF(INDEX(終値!$A:$CZ,$B$4,105-(ROW()-8))=0,"",INDEX(終値!$A:$CZ,$B$4,105-(ROW()-8))),"")</f>
      </c>
      <c r="C32" s="682">
        <f>IF($B32="","",IFERROR(INDEX(高値!$A:$CZ,$B$4,105-(ROW()-8)),""))</f>
      </c>
      <c r="D32" s="682">
        <f>IF($B32="","",IFERROR(INDEX(安値!$A:$CZ,$B$4,105-(ROW()-8)),""))</f>
      </c>
      <c r="E32" s="682">
        <f>IF($B32="","",IFERROR(INDEX(出来高!$A:$CZ,$B$4,105-(ROW()-8)),""))</f>
      </c>
      <c r="F32" s="682">
        <f>IF(COUNT(B13:B32)=20,AVERAGE(B13:B32),"")</f>
      </c>
      <c r="G32" s="683">
        <f>IF(COUNT(B13:B32)=20,STDEVP(B13:B32),"")</f>
      </c>
      <c r="H32" s="682">
        <f>IF($F32="","",$F32+BB設定!$B$4*$G32)</f>
      </c>
      <c r="I32" s="682">
        <f>IF($F32="","",$F32+BB設定!$B$5*$G32)</f>
      </c>
      <c r="J32" s="682">
        <f>IF($F32="","",$F32-BB設定!$B$5*$G32)</f>
      </c>
      <c r="K32" s="682">
        <f>IF($F32="","",$F32-BB設定!$B$4*$G32)</f>
      </c>
      <c r="L32" s="687">
        <f>IF($F32="","",IFERROR(($B32-$K32)/($H32-$K32),""))</f>
      </c>
      <c r="M32" s="684">
        <f>IF(COUNT(B19:B32)&lt;14,"",IFERROR(100-100/(1+SUMPRODUCT((B19:B32&gt;B18:B31)*(B19:B32-B18:B31))/SUMPRODUCT((B19:B32&lt;B18:B31)*(B18:B31-B19:B32))),100))</f>
      </c>
      <c r="N32" s="684">
        <f>IF(COUNT(B19:B32)&lt;14,"",IFERROR(100-100/(1+SUMPRODUCT((((C19:C32+D19:D32+B19:B32)/3)&gt;((C18:C31+D18:D31+B18:B31)/3))*((C19:C32+D19:D32+B19:B32)/3)*E19:E32)/SUMPRODUCT((((C19:C32+D19:D32+B19:B32)/3)&lt;((C18:C31+D18:D31+B18:B31)/3))*((C19:C32+D19:D32+B19:B32)/3)*E19:E32)),50))</f>
      </c>
      <c r="O32" s="685">
        <f>IF($O31=0,IF(AND($H32&lt;&gt;"",$B32&gt;$H32,$B31&lt;=$H31),1,0),IF($B32&lt;$I32,0,1))</f>
      </c>
      <c r="P32" s="682">
        <f>IF($O32=1,IF($O31=0,$B32,$P31),"")</f>
      </c>
      <c r="Q32" s="686">
        <f>IF(AND($O32=0,$O31=1),($B32-$P31)/$P31*100,"")</f>
      </c>
      <c r="R32" s="681">
        <f>IF($O32=1,IF($O31=0,"▲新規買い","保有中"),IF($O31=1,"■手仕舞い",""))</f>
      </c>
    </row>
    <row r="33">
      <c r="A33" s="681">
        <f>IF($B33="","",IFERROR(TEXT(INDEX(終値!$3:$3,1,105-(ROW()-8)),"m/d"),""))</f>
      </c>
      <c r="B33" s="682">
        <f>IFERROR(IF(INDEX(終値!$A:$CZ,$B$4,105-(ROW()-8))=0,"",INDEX(終値!$A:$CZ,$B$4,105-(ROW()-8))),"")</f>
      </c>
      <c r="C33" s="682">
        <f>IF($B33="","",IFERROR(INDEX(高値!$A:$CZ,$B$4,105-(ROW()-8)),""))</f>
      </c>
      <c r="D33" s="682">
        <f>IF($B33="","",IFERROR(INDEX(安値!$A:$CZ,$B$4,105-(ROW()-8)),""))</f>
      </c>
      <c r="E33" s="682">
        <f>IF($B33="","",IFERROR(INDEX(出来高!$A:$CZ,$B$4,105-(ROW()-8)),""))</f>
      </c>
      <c r="F33" s="682">
        <f>IF(COUNT(B14:B33)=20,AVERAGE(B14:B33),"")</f>
      </c>
      <c r="G33" s="683">
        <f>IF(COUNT(B14:B33)=20,STDEVP(B14:B33),"")</f>
      </c>
      <c r="H33" s="682">
        <f>IF($F33="","",$F33+BB設定!$B$4*$G33)</f>
      </c>
      <c r="I33" s="682">
        <f>IF($F33="","",$F33+BB設定!$B$5*$G33)</f>
      </c>
      <c r="J33" s="682">
        <f>IF($F33="","",$F33-BB設定!$B$5*$G33)</f>
      </c>
      <c r="K33" s="682">
        <f>IF($F33="","",$F33-BB設定!$B$4*$G33)</f>
      </c>
      <c r="L33" s="687">
        <f>IF($F33="","",IFERROR(($B33-$K33)/($H33-$K33),""))</f>
      </c>
      <c r="M33" s="684">
        <f>IF(COUNT(B20:B33)&lt;14,"",IFERROR(100-100/(1+SUMPRODUCT((B20:B33&gt;B19:B32)*(B20:B33-B19:B32))/SUMPRODUCT((B20:B33&lt;B19:B32)*(B19:B32-B20:B33))),100))</f>
      </c>
      <c r="N33" s="684">
        <f>IF(COUNT(B20:B33)&lt;14,"",IFERROR(100-100/(1+SUMPRODUCT((((C20:C33+D20:D33+B20:B33)/3)&gt;((C19:C32+D19:D32+B19:B32)/3))*((C20:C33+D20:D33+B20:B33)/3)*E20:E33)/SUMPRODUCT((((C20:C33+D20:D33+B20:B33)/3)&lt;((C19:C32+D19:D32+B19:B32)/3))*((C20:C33+D20:D33+B20:B33)/3)*E20:E33)),50))</f>
      </c>
      <c r="O33" s="685">
        <f>IF($O32=0,IF(AND($H33&lt;&gt;"",$B33&gt;$H33,$B32&lt;=$H32),1,0),IF($B33&lt;$I33,0,1))</f>
      </c>
      <c r="P33" s="682">
        <f>IF($O33=1,IF($O32=0,$B33,$P32),"")</f>
      </c>
      <c r="Q33" s="686">
        <f>IF(AND($O33=0,$O32=1),($B33-$P32)/$P32*100,"")</f>
      </c>
      <c r="R33" s="681">
        <f>IF($O33=1,IF($O32=0,"▲新規買い","保有中"),IF($O32=1,"■手仕舞い",""))</f>
      </c>
    </row>
    <row r="34">
      <c r="A34" s="681">
        <f>IF($B34="","",IFERROR(TEXT(INDEX(終値!$3:$3,1,105-(ROW()-8)),"m/d"),""))</f>
      </c>
      <c r="B34" s="682">
        <f>IFERROR(IF(INDEX(終値!$A:$CZ,$B$4,105-(ROW()-8))=0,"",INDEX(終値!$A:$CZ,$B$4,105-(ROW()-8))),"")</f>
      </c>
      <c r="C34" s="682">
        <f>IF($B34="","",IFERROR(INDEX(高値!$A:$CZ,$B$4,105-(ROW()-8)),""))</f>
      </c>
      <c r="D34" s="682">
        <f>IF($B34="","",IFERROR(INDEX(安値!$A:$CZ,$B$4,105-(ROW()-8)),""))</f>
      </c>
      <c r="E34" s="682">
        <f>IF($B34="","",IFERROR(INDEX(出来高!$A:$CZ,$B$4,105-(ROW()-8)),""))</f>
      </c>
      <c r="F34" s="682">
        <f>IF(COUNT(B15:B34)=20,AVERAGE(B15:B34),"")</f>
      </c>
      <c r="G34" s="683">
        <f>IF(COUNT(B15:B34)=20,STDEVP(B15:B34),"")</f>
      </c>
      <c r="H34" s="682">
        <f>IF($F34="","",$F34+BB設定!$B$4*$G34)</f>
      </c>
      <c r="I34" s="682">
        <f>IF($F34="","",$F34+BB設定!$B$5*$G34)</f>
      </c>
      <c r="J34" s="682">
        <f>IF($F34="","",$F34-BB設定!$B$5*$G34)</f>
      </c>
      <c r="K34" s="682">
        <f>IF($F34="","",$F34-BB設定!$B$4*$G34)</f>
      </c>
      <c r="L34" s="687">
        <f>IF($F34="","",IFERROR(($B34-$K34)/($H34-$K34),""))</f>
      </c>
      <c r="M34" s="684">
        <f>IF(COUNT(B21:B34)&lt;14,"",IFERROR(100-100/(1+SUMPRODUCT((B21:B34&gt;B20:B33)*(B21:B34-B20:B33))/SUMPRODUCT((B21:B34&lt;B20:B33)*(B20:B33-B21:B34))),100))</f>
      </c>
      <c r="N34" s="684">
        <f>IF(COUNT(B21:B34)&lt;14,"",IFERROR(100-100/(1+SUMPRODUCT((((C21:C34+D21:D34+B21:B34)/3)&gt;((C20:C33+D20:D33+B20:B33)/3))*((C21:C34+D21:D34+B21:B34)/3)*E21:E34)/SUMPRODUCT((((C21:C34+D21:D34+B21:B34)/3)&lt;((C20:C33+D20:D33+B20:B33)/3))*((C21:C34+D21:D34+B21:B34)/3)*E21:E34)),50))</f>
      </c>
      <c r="O34" s="685">
        <f>IF($O33=0,IF(AND($H34&lt;&gt;"",$B34&gt;$H34,$B33&lt;=$H33),1,0),IF($B34&lt;$I34,0,1))</f>
      </c>
      <c r="P34" s="682">
        <f>IF($O34=1,IF($O33=0,$B34,$P33),"")</f>
      </c>
      <c r="Q34" s="686">
        <f>IF(AND($O34=0,$O33=1),($B34-$P33)/$P33*100,"")</f>
      </c>
      <c r="R34" s="681">
        <f>IF($O34=1,IF($O33=0,"▲新規買い","保有中"),IF($O33=1,"■手仕舞い",""))</f>
      </c>
    </row>
    <row r="35">
      <c r="A35" s="681">
        <f>IF($B35="","",IFERROR(TEXT(INDEX(終値!$3:$3,1,105-(ROW()-8)),"m/d"),""))</f>
      </c>
      <c r="B35" s="682">
        <f>IFERROR(IF(INDEX(終値!$A:$CZ,$B$4,105-(ROW()-8))=0,"",INDEX(終値!$A:$CZ,$B$4,105-(ROW()-8))),"")</f>
      </c>
      <c r="C35" s="682">
        <f>IF($B35="","",IFERROR(INDEX(高値!$A:$CZ,$B$4,105-(ROW()-8)),""))</f>
      </c>
      <c r="D35" s="682">
        <f>IF($B35="","",IFERROR(INDEX(安値!$A:$CZ,$B$4,105-(ROW()-8)),""))</f>
      </c>
      <c r="E35" s="682">
        <f>IF($B35="","",IFERROR(INDEX(出来高!$A:$CZ,$B$4,105-(ROW()-8)),""))</f>
      </c>
      <c r="F35" s="682">
        <f>IF(COUNT(B16:B35)=20,AVERAGE(B16:B35),"")</f>
      </c>
      <c r="G35" s="683">
        <f>IF(COUNT(B16:B35)=20,STDEVP(B16:B35),"")</f>
      </c>
      <c r="H35" s="682">
        <f>IF($F35="","",$F35+BB設定!$B$4*$G35)</f>
      </c>
      <c r="I35" s="682">
        <f>IF($F35="","",$F35+BB設定!$B$5*$G35)</f>
      </c>
      <c r="J35" s="682">
        <f>IF($F35="","",$F35-BB設定!$B$5*$G35)</f>
      </c>
      <c r="K35" s="682">
        <f>IF($F35="","",$F35-BB設定!$B$4*$G35)</f>
      </c>
      <c r="L35" s="687">
        <f>IF($F35="","",IFERROR(($B35-$K35)/($H35-$K35),""))</f>
      </c>
      <c r="M35" s="684">
        <f>IF(COUNT(B22:B35)&lt;14,"",IFERROR(100-100/(1+SUMPRODUCT((B22:B35&gt;B21:B34)*(B22:B35-B21:B34))/SUMPRODUCT((B22:B35&lt;B21:B34)*(B21:B34-B22:B35))),100))</f>
      </c>
      <c r="N35" s="684">
        <f>IF(COUNT(B22:B35)&lt;14,"",IFERROR(100-100/(1+SUMPRODUCT((((C22:C35+D22:D35+B22:B35)/3)&gt;((C21:C34+D21:D34+B21:B34)/3))*((C22:C35+D22:D35+B22:B35)/3)*E22:E35)/SUMPRODUCT((((C22:C35+D22:D35+B22:B35)/3)&lt;((C21:C34+D21:D34+B21:B34)/3))*((C22:C35+D22:D35+B22:B35)/3)*E22:E35)),50))</f>
      </c>
      <c r="O35" s="685">
        <f>IF($O34=0,IF(AND($H35&lt;&gt;"",$B35&gt;$H35,$B34&lt;=$H34),1,0),IF($B35&lt;$I35,0,1))</f>
      </c>
      <c r="P35" s="682">
        <f>IF($O35=1,IF($O34=0,$B35,$P34),"")</f>
      </c>
      <c r="Q35" s="686">
        <f>IF(AND($O35=0,$O34=1),($B35-$P34)/$P34*100,"")</f>
      </c>
      <c r="R35" s="681">
        <f>IF($O35=1,IF($O34=0,"▲新規買い","保有中"),IF($O34=1,"■手仕舞い",""))</f>
      </c>
    </row>
    <row r="36">
      <c r="A36" s="681">
        <f>IF($B36="","",IFERROR(TEXT(INDEX(終値!$3:$3,1,105-(ROW()-8)),"m/d"),""))</f>
      </c>
      <c r="B36" s="682">
        <f>IFERROR(IF(INDEX(終値!$A:$CZ,$B$4,105-(ROW()-8))=0,"",INDEX(終値!$A:$CZ,$B$4,105-(ROW()-8))),"")</f>
      </c>
      <c r="C36" s="682">
        <f>IF($B36="","",IFERROR(INDEX(高値!$A:$CZ,$B$4,105-(ROW()-8)),""))</f>
      </c>
      <c r="D36" s="682">
        <f>IF($B36="","",IFERROR(INDEX(安値!$A:$CZ,$B$4,105-(ROW()-8)),""))</f>
      </c>
      <c r="E36" s="682">
        <f>IF($B36="","",IFERROR(INDEX(出来高!$A:$CZ,$B$4,105-(ROW()-8)),""))</f>
      </c>
      <c r="F36" s="682">
        <f>IF(COUNT(B17:B36)=20,AVERAGE(B17:B36),"")</f>
      </c>
      <c r="G36" s="683">
        <f>IF(COUNT(B17:B36)=20,STDEVP(B17:B36),"")</f>
      </c>
      <c r="H36" s="682">
        <f>IF($F36="","",$F36+BB設定!$B$4*$G36)</f>
      </c>
      <c r="I36" s="682">
        <f>IF($F36="","",$F36+BB設定!$B$5*$G36)</f>
      </c>
      <c r="J36" s="682">
        <f>IF($F36="","",$F36-BB設定!$B$5*$G36)</f>
      </c>
      <c r="K36" s="682">
        <f>IF($F36="","",$F36-BB設定!$B$4*$G36)</f>
      </c>
      <c r="L36" s="687">
        <f>IF($F36="","",IFERROR(($B36-$K36)/($H36-$K36),""))</f>
      </c>
      <c r="M36" s="684">
        <f>IF(COUNT(B23:B36)&lt;14,"",IFERROR(100-100/(1+SUMPRODUCT((B23:B36&gt;B22:B35)*(B23:B36-B22:B35))/SUMPRODUCT((B23:B36&lt;B22:B35)*(B22:B35-B23:B36))),100))</f>
      </c>
      <c r="N36" s="684">
        <f>IF(COUNT(B23:B36)&lt;14,"",IFERROR(100-100/(1+SUMPRODUCT((((C23:C36+D23:D36+B23:B36)/3)&gt;((C22:C35+D22:D35+B22:B35)/3))*((C23:C36+D23:D36+B23:B36)/3)*E23:E36)/SUMPRODUCT((((C23:C36+D23:D36+B23:B36)/3)&lt;((C22:C35+D22:D35+B22:B35)/3))*((C23:C36+D23:D36+B23:B36)/3)*E23:E36)),50))</f>
      </c>
      <c r="O36" s="685">
        <f>IF($O35=0,IF(AND($H36&lt;&gt;"",$B36&gt;$H36,$B35&lt;=$H35),1,0),IF($B36&lt;$I36,0,1))</f>
      </c>
      <c r="P36" s="682">
        <f>IF($O36=1,IF($O35=0,$B36,$P35),"")</f>
      </c>
      <c r="Q36" s="686">
        <f>IF(AND($O36=0,$O35=1),($B36-$P35)/$P35*100,"")</f>
      </c>
      <c r="R36" s="681">
        <f>IF($O36=1,IF($O35=0,"▲新規買い","保有中"),IF($O35=1,"■手仕舞い",""))</f>
      </c>
    </row>
    <row r="37">
      <c r="A37" s="681">
        <f>IF($B37="","",IFERROR(TEXT(INDEX(終値!$3:$3,1,105-(ROW()-8)),"m/d"),""))</f>
      </c>
      <c r="B37" s="682">
        <f>IFERROR(IF(INDEX(終値!$A:$CZ,$B$4,105-(ROW()-8))=0,"",INDEX(終値!$A:$CZ,$B$4,105-(ROW()-8))),"")</f>
      </c>
      <c r="C37" s="682">
        <f>IF($B37="","",IFERROR(INDEX(高値!$A:$CZ,$B$4,105-(ROW()-8)),""))</f>
      </c>
      <c r="D37" s="682">
        <f>IF($B37="","",IFERROR(INDEX(安値!$A:$CZ,$B$4,105-(ROW()-8)),""))</f>
      </c>
      <c r="E37" s="682">
        <f>IF($B37="","",IFERROR(INDEX(出来高!$A:$CZ,$B$4,105-(ROW()-8)),""))</f>
      </c>
      <c r="F37" s="682">
        <f>IF(COUNT(B18:B37)=20,AVERAGE(B18:B37),"")</f>
      </c>
      <c r="G37" s="683">
        <f>IF(COUNT(B18:B37)=20,STDEVP(B18:B37),"")</f>
      </c>
      <c r="H37" s="682">
        <f>IF($F37="","",$F37+BB設定!$B$4*$G37)</f>
      </c>
      <c r="I37" s="682">
        <f>IF($F37="","",$F37+BB設定!$B$5*$G37)</f>
      </c>
      <c r="J37" s="682">
        <f>IF($F37="","",$F37-BB設定!$B$5*$G37)</f>
      </c>
      <c r="K37" s="682">
        <f>IF($F37="","",$F37-BB設定!$B$4*$G37)</f>
      </c>
      <c r="L37" s="687">
        <f>IF($F37="","",IFERROR(($B37-$K37)/($H37-$K37),""))</f>
      </c>
      <c r="M37" s="684">
        <f>IF(COUNT(B24:B37)&lt;14,"",IFERROR(100-100/(1+SUMPRODUCT((B24:B37&gt;B23:B36)*(B24:B37-B23:B36))/SUMPRODUCT((B24:B37&lt;B23:B36)*(B23:B36-B24:B37))),100))</f>
      </c>
      <c r="N37" s="684">
        <f>IF(COUNT(B24:B37)&lt;14,"",IFERROR(100-100/(1+SUMPRODUCT((((C24:C37+D24:D37+B24:B37)/3)&gt;((C23:C36+D23:D36+B23:B36)/3))*((C24:C37+D24:D37+B24:B37)/3)*E24:E37)/SUMPRODUCT((((C24:C37+D24:D37+B24:B37)/3)&lt;((C23:C36+D23:D36+B23:B36)/3))*((C24:C37+D24:D37+B24:B37)/3)*E24:E37)),50))</f>
      </c>
      <c r="O37" s="685">
        <f>IF($O36=0,IF(AND($H37&lt;&gt;"",$B37&gt;$H37,$B36&lt;=$H36),1,0),IF($B37&lt;$I37,0,1))</f>
      </c>
      <c r="P37" s="682">
        <f>IF($O37=1,IF($O36=0,$B37,$P36),"")</f>
      </c>
      <c r="Q37" s="686">
        <f>IF(AND($O37=0,$O36=1),($B37-$P36)/$P36*100,"")</f>
      </c>
      <c r="R37" s="681">
        <f>IF($O37=1,IF($O36=0,"▲新規買い","保有中"),IF($O36=1,"■手仕舞い",""))</f>
      </c>
    </row>
    <row r="38">
      <c r="A38" s="681">
        <f>IF($B38="","",IFERROR(TEXT(INDEX(終値!$3:$3,1,105-(ROW()-8)),"m/d"),""))</f>
      </c>
      <c r="B38" s="682">
        <f>IFERROR(IF(INDEX(終値!$A:$CZ,$B$4,105-(ROW()-8))=0,"",INDEX(終値!$A:$CZ,$B$4,105-(ROW()-8))),"")</f>
      </c>
      <c r="C38" s="682">
        <f>IF($B38="","",IFERROR(INDEX(高値!$A:$CZ,$B$4,105-(ROW()-8)),""))</f>
      </c>
      <c r="D38" s="682">
        <f>IF($B38="","",IFERROR(INDEX(安値!$A:$CZ,$B$4,105-(ROW()-8)),""))</f>
      </c>
      <c r="E38" s="682">
        <f>IF($B38="","",IFERROR(INDEX(出来高!$A:$CZ,$B$4,105-(ROW()-8)),""))</f>
      </c>
      <c r="F38" s="682">
        <f>IF(COUNT(B19:B38)=20,AVERAGE(B19:B38),"")</f>
      </c>
      <c r="G38" s="683">
        <f>IF(COUNT(B19:B38)=20,STDEVP(B19:B38),"")</f>
      </c>
      <c r="H38" s="682">
        <f>IF($F38="","",$F38+BB設定!$B$4*$G38)</f>
      </c>
      <c r="I38" s="682">
        <f>IF($F38="","",$F38+BB設定!$B$5*$G38)</f>
      </c>
      <c r="J38" s="682">
        <f>IF($F38="","",$F38-BB設定!$B$5*$G38)</f>
      </c>
      <c r="K38" s="682">
        <f>IF($F38="","",$F38-BB設定!$B$4*$G38)</f>
      </c>
      <c r="L38" s="687">
        <f>IF($F38="","",IFERROR(($B38-$K38)/($H38-$K38),""))</f>
      </c>
      <c r="M38" s="684">
        <f>IF(COUNT(B25:B38)&lt;14,"",IFERROR(100-100/(1+SUMPRODUCT((B25:B38&gt;B24:B37)*(B25:B38-B24:B37))/SUMPRODUCT((B25:B38&lt;B24:B37)*(B24:B37-B25:B38))),100))</f>
      </c>
      <c r="N38" s="684">
        <f>IF(COUNT(B25:B38)&lt;14,"",IFERROR(100-100/(1+SUMPRODUCT((((C25:C38+D25:D38+B25:B38)/3)&gt;((C24:C37+D24:D37+B24:B37)/3))*((C25:C38+D25:D38+B25:B38)/3)*E25:E38)/SUMPRODUCT((((C25:C38+D25:D38+B25:B38)/3)&lt;((C24:C37+D24:D37+B24:B37)/3))*((C25:C38+D25:D38+B25:B38)/3)*E25:E38)),50))</f>
      </c>
      <c r="O38" s="685">
        <f>IF($O37=0,IF(AND($H38&lt;&gt;"",$B38&gt;$H38,$B37&lt;=$H37),1,0),IF($B38&lt;$I38,0,1))</f>
      </c>
      <c r="P38" s="682">
        <f>IF($O38=1,IF($O37=0,$B38,$P37),"")</f>
      </c>
      <c r="Q38" s="686">
        <f>IF(AND($O38=0,$O37=1),($B38-$P37)/$P37*100,"")</f>
      </c>
      <c r="R38" s="681">
        <f>IF($O38=1,IF($O37=0,"▲新規買い","保有中"),IF($O37=1,"■手仕舞い",""))</f>
      </c>
    </row>
    <row r="39">
      <c r="A39" s="681">
        <f>IF($B39="","",IFERROR(TEXT(INDEX(終値!$3:$3,1,105-(ROW()-8)),"m/d"),""))</f>
      </c>
      <c r="B39" s="682">
        <f>IFERROR(IF(INDEX(終値!$A:$CZ,$B$4,105-(ROW()-8))=0,"",INDEX(終値!$A:$CZ,$B$4,105-(ROW()-8))),"")</f>
      </c>
      <c r="C39" s="682">
        <f>IF($B39="","",IFERROR(INDEX(高値!$A:$CZ,$B$4,105-(ROW()-8)),""))</f>
      </c>
      <c r="D39" s="682">
        <f>IF($B39="","",IFERROR(INDEX(安値!$A:$CZ,$B$4,105-(ROW()-8)),""))</f>
      </c>
      <c r="E39" s="682">
        <f>IF($B39="","",IFERROR(INDEX(出来高!$A:$CZ,$B$4,105-(ROW()-8)),""))</f>
      </c>
      <c r="F39" s="682">
        <f>IF(COUNT(B20:B39)=20,AVERAGE(B20:B39),"")</f>
      </c>
      <c r="G39" s="683">
        <f>IF(COUNT(B20:B39)=20,STDEVP(B20:B39),"")</f>
      </c>
      <c r="H39" s="682">
        <f>IF($F39="","",$F39+BB設定!$B$4*$G39)</f>
      </c>
      <c r="I39" s="682">
        <f>IF($F39="","",$F39+BB設定!$B$5*$G39)</f>
      </c>
      <c r="J39" s="682">
        <f>IF($F39="","",$F39-BB設定!$B$5*$G39)</f>
      </c>
      <c r="K39" s="682">
        <f>IF($F39="","",$F39-BB設定!$B$4*$G39)</f>
      </c>
      <c r="L39" s="687">
        <f>IF($F39="","",IFERROR(($B39-$K39)/($H39-$K39),""))</f>
      </c>
      <c r="M39" s="684">
        <f>IF(COUNT(B26:B39)&lt;14,"",IFERROR(100-100/(1+SUMPRODUCT((B26:B39&gt;B25:B38)*(B26:B39-B25:B38))/SUMPRODUCT((B26:B39&lt;B25:B38)*(B25:B38-B26:B39))),100))</f>
      </c>
      <c r="N39" s="684">
        <f>IF(COUNT(B26:B39)&lt;14,"",IFERROR(100-100/(1+SUMPRODUCT((((C26:C39+D26:D39+B26:B39)/3)&gt;((C25:C38+D25:D38+B25:B38)/3))*((C26:C39+D26:D39+B26:B39)/3)*E26:E39)/SUMPRODUCT((((C26:C39+D26:D39+B26:B39)/3)&lt;((C25:C38+D25:D38+B25:B38)/3))*((C26:C39+D26:D39+B26:B39)/3)*E26:E39)),50))</f>
      </c>
      <c r="O39" s="685">
        <f>IF($O38=0,IF(AND($H39&lt;&gt;"",$B39&gt;$H39,$B38&lt;=$H38),1,0),IF($B39&lt;$I39,0,1))</f>
      </c>
      <c r="P39" s="682">
        <f>IF($O39=1,IF($O38=0,$B39,$P38),"")</f>
      </c>
      <c r="Q39" s="686">
        <f>IF(AND($O39=0,$O38=1),($B39-$P38)/$P38*100,"")</f>
      </c>
      <c r="R39" s="681">
        <f>IF($O39=1,IF($O38=0,"▲新規買い","保有中"),IF($O38=1,"■手仕舞い",""))</f>
      </c>
    </row>
    <row r="40">
      <c r="A40" s="681">
        <f>IF($B40="","",IFERROR(TEXT(INDEX(終値!$3:$3,1,105-(ROW()-8)),"m/d"),""))</f>
      </c>
      <c r="B40" s="682">
        <f>IFERROR(IF(INDEX(終値!$A:$CZ,$B$4,105-(ROW()-8))=0,"",INDEX(終値!$A:$CZ,$B$4,105-(ROW()-8))),"")</f>
      </c>
      <c r="C40" s="682">
        <f>IF($B40="","",IFERROR(INDEX(高値!$A:$CZ,$B$4,105-(ROW()-8)),""))</f>
      </c>
      <c r="D40" s="682">
        <f>IF($B40="","",IFERROR(INDEX(安値!$A:$CZ,$B$4,105-(ROW()-8)),""))</f>
      </c>
      <c r="E40" s="682">
        <f>IF($B40="","",IFERROR(INDEX(出来高!$A:$CZ,$B$4,105-(ROW()-8)),""))</f>
      </c>
      <c r="F40" s="682">
        <f>IF(COUNT(B21:B40)=20,AVERAGE(B21:B40),"")</f>
      </c>
      <c r="G40" s="683">
        <f>IF(COUNT(B21:B40)=20,STDEVP(B21:B40),"")</f>
      </c>
      <c r="H40" s="682">
        <f>IF($F40="","",$F40+BB設定!$B$4*$G40)</f>
      </c>
      <c r="I40" s="682">
        <f>IF($F40="","",$F40+BB設定!$B$5*$G40)</f>
      </c>
      <c r="J40" s="682">
        <f>IF($F40="","",$F40-BB設定!$B$5*$G40)</f>
      </c>
      <c r="K40" s="682">
        <f>IF($F40="","",$F40-BB設定!$B$4*$G40)</f>
      </c>
      <c r="L40" s="687">
        <f>IF($F40="","",IFERROR(($B40-$K40)/($H40-$K40),""))</f>
      </c>
      <c r="M40" s="684">
        <f>IF(COUNT(B27:B40)&lt;14,"",IFERROR(100-100/(1+SUMPRODUCT((B27:B40&gt;B26:B39)*(B27:B40-B26:B39))/SUMPRODUCT((B27:B40&lt;B26:B39)*(B26:B39-B27:B40))),100))</f>
      </c>
      <c r="N40" s="684">
        <f>IF(COUNT(B27:B40)&lt;14,"",IFERROR(100-100/(1+SUMPRODUCT((((C27:C40+D27:D40+B27:B40)/3)&gt;((C26:C39+D26:D39+B26:B39)/3))*((C27:C40+D27:D40+B27:B40)/3)*E27:E40)/SUMPRODUCT((((C27:C40+D27:D40+B27:B40)/3)&lt;((C26:C39+D26:D39+B26:B39)/3))*((C27:C40+D27:D40+B27:B40)/3)*E27:E40)),50))</f>
      </c>
      <c r="O40" s="685">
        <f>IF($O39=0,IF(AND($H40&lt;&gt;"",$B40&gt;$H40,$B39&lt;=$H39),1,0),IF($B40&lt;$I40,0,1))</f>
      </c>
      <c r="P40" s="682">
        <f>IF($O40=1,IF($O39=0,$B40,$P39),"")</f>
      </c>
      <c r="Q40" s="686">
        <f>IF(AND($O40=0,$O39=1),($B40-$P39)/$P39*100,"")</f>
      </c>
      <c r="R40" s="681">
        <f>IF($O40=1,IF($O39=0,"▲新規買い","保有中"),IF($O39=1,"■手仕舞い",""))</f>
      </c>
    </row>
    <row r="41">
      <c r="A41" s="681">
        <f>IF($B41="","",IFERROR(TEXT(INDEX(終値!$3:$3,1,105-(ROW()-8)),"m/d"),""))</f>
      </c>
      <c r="B41" s="682">
        <f>IFERROR(IF(INDEX(終値!$A:$CZ,$B$4,105-(ROW()-8))=0,"",INDEX(終値!$A:$CZ,$B$4,105-(ROW()-8))),"")</f>
      </c>
      <c r="C41" s="682">
        <f>IF($B41="","",IFERROR(INDEX(高値!$A:$CZ,$B$4,105-(ROW()-8)),""))</f>
      </c>
      <c r="D41" s="682">
        <f>IF($B41="","",IFERROR(INDEX(安値!$A:$CZ,$B$4,105-(ROW()-8)),""))</f>
      </c>
      <c r="E41" s="682">
        <f>IF($B41="","",IFERROR(INDEX(出来高!$A:$CZ,$B$4,105-(ROW()-8)),""))</f>
      </c>
      <c r="F41" s="682">
        <f>IF(COUNT(B22:B41)=20,AVERAGE(B22:B41),"")</f>
      </c>
      <c r="G41" s="683">
        <f>IF(COUNT(B22:B41)=20,STDEVP(B22:B41),"")</f>
      </c>
      <c r="H41" s="682">
        <f>IF($F41="","",$F41+BB設定!$B$4*$G41)</f>
      </c>
      <c r="I41" s="682">
        <f>IF($F41="","",$F41+BB設定!$B$5*$G41)</f>
      </c>
      <c r="J41" s="682">
        <f>IF($F41="","",$F41-BB設定!$B$5*$G41)</f>
      </c>
      <c r="K41" s="682">
        <f>IF($F41="","",$F41-BB設定!$B$4*$G41)</f>
      </c>
      <c r="L41" s="687">
        <f>IF($F41="","",IFERROR(($B41-$K41)/($H41-$K41),""))</f>
      </c>
      <c r="M41" s="684">
        <f>IF(COUNT(B28:B41)&lt;14,"",IFERROR(100-100/(1+SUMPRODUCT((B28:B41&gt;B27:B40)*(B28:B41-B27:B40))/SUMPRODUCT((B28:B41&lt;B27:B40)*(B27:B40-B28:B41))),100))</f>
      </c>
      <c r="N41" s="684">
        <f>IF(COUNT(B28:B41)&lt;14,"",IFERROR(100-100/(1+SUMPRODUCT((((C28:C41+D28:D41+B28:B41)/3)&gt;((C27:C40+D27:D40+B27:B40)/3))*((C28:C41+D28:D41+B28:B41)/3)*E28:E41)/SUMPRODUCT((((C28:C41+D28:D41+B28:B41)/3)&lt;((C27:C40+D27:D40+B27:B40)/3))*((C28:C41+D28:D41+B28:B41)/3)*E28:E41)),50))</f>
      </c>
      <c r="O41" s="685">
        <f>IF($O40=0,IF(AND($H41&lt;&gt;"",$B41&gt;$H41,$B40&lt;=$H40),1,0),IF($B41&lt;$I41,0,1))</f>
      </c>
      <c r="P41" s="682">
        <f>IF($O41=1,IF($O40=0,$B41,$P40),"")</f>
      </c>
      <c r="Q41" s="686">
        <f>IF(AND($O41=0,$O40=1),($B41-$P40)/$P40*100,"")</f>
      </c>
      <c r="R41" s="681">
        <f>IF($O41=1,IF($O40=0,"▲新規買い","保有中"),IF($O40=1,"■手仕舞い",""))</f>
      </c>
    </row>
    <row r="42">
      <c r="A42" s="681">
        <f>IF($B42="","",IFERROR(TEXT(INDEX(終値!$3:$3,1,105-(ROW()-8)),"m/d"),""))</f>
      </c>
      <c r="B42" s="682">
        <f>IFERROR(IF(INDEX(終値!$A:$CZ,$B$4,105-(ROW()-8))=0,"",INDEX(終値!$A:$CZ,$B$4,105-(ROW()-8))),"")</f>
      </c>
      <c r="C42" s="682">
        <f>IF($B42="","",IFERROR(INDEX(高値!$A:$CZ,$B$4,105-(ROW()-8)),""))</f>
      </c>
      <c r="D42" s="682">
        <f>IF($B42="","",IFERROR(INDEX(安値!$A:$CZ,$B$4,105-(ROW()-8)),""))</f>
      </c>
      <c r="E42" s="682">
        <f>IF($B42="","",IFERROR(INDEX(出来高!$A:$CZ,$B$4,105-(ROW()-8)),""))</f>
      </c>
      <c r="F42" s="682">
        <f>IF(COUNT(B23:B42)=20,AVERAGE(B23:B42),"")</f>
      </c>
      <c r="G42" s="683">
        <f>IF(COUNT(B23:B42)=20,STDEVP(B23:B42),"")</f>
      </c>
      <c r="H42" s="682">
        <f>IF($F42="","",$F42+BB設定!$B$4*$G42)</f>
      </c>
      <c r="I42" s="682">
        <f>IF($F42="","",$F42+BB設定!$B$5*$G42)</f>
      </c>
      <c r="J42" s="682">
        <f>IF($F42="","",$F42-BB設定!$B$5*$G42)</f>
      </c>
      <c r="K42" s="682">
        <f>IF($F42="","",$F42-BB設定!$B$4*$G42)</f>
      </c>
      <c r="L42" s="687">
        <f>IF($F42="","",IFERROR(($B42-$K42)/($H42-$K42),""))</f>
      </c>
      <c r="M42" s="684">
        <f>IF(COUNT(B29:B42)&lt;14,"",IFERROR(100-100/(1+SUMPRODUCT((B29:B42&gt;B28:B41)*(B29:B42-B28:B41))/SUMPRODUCT((B29:B42&lt;B28:B41)*(B28:B41-B29:B42))),100))</f>
      </c>
      <c r="N42" s="684">
        <f>IF(COUNT(B29:B42)&lt;14,"",IFERROR(100-100/(1+SUMPRODUCT((((C29:C42+D29:D42+B29:B42)/3)&gt;((C28:C41+D28:D41+B28:B41)/3))*((C29:C42+D29:D42+B29:B42)/3)*E29:E42)/SUMPRODUCT((((C29:C42+D29:D42+B29:B42)/3)&lt;((C28:C41+D28:D41+B28:B41)/3))*((C29:C42+D29:D42+B29:B42)/3)*E29:E42)),50))</f>
      </c>
      <c r="O42" s="685">
        <f>IF($O41=0,IF(AND($H42&lt;&gt;"",$B42&gt;$H42,$B41&lt;=$H41),1,0),IF($B42&lt;$I42,0,1))</f>
      </c>
      <c r="P42" s="682">
        <f>IF($O42=1,IF($O41=0,$B42,$P41),"")</f>
      </c>
      <c r="Q42" s="686">
        <f>IF(AND($O42=0,$O41=1),($B42-$P41)/$P41*100,"")</f>
      </c>
      <c r="R42" s="681">
        <f>IF($O42=1,IF($O41=0,"▲新規買い","保有中"),IF($O41=1,"■手仕舞い",""))</f>
      </c>
    </row>
    <row r="43">
      <c r="A43" s="681">
        <f>IF($B43="","",IFERROR(TEXT(INDEX(終値!$3:$3,1,105-(ROW()-8)),"m/d"),""))</f>
      </c>
      <c r="B43" s="682">
        <f>IFERROR(IF(INDEX(終値!$A:$CZ,$B$4,105-(ROW()-8))=0,"",INDEX(終値!$A:$CZ,$B$4,105-(ROW()-8))),"")</f>
      </c>
      <c r="C43" s="682">
        <f>IF($B43="","",IFERROR(INDEX(高値!$A:$CZ,$B$4,105-(ROW()-8)),""))</f>
      </c>
      <c r="D43" s="682">
        <f>IF($B43="","",IFERROR(INDEX(安値!$A:$CZ,$B$4,105-(ROW()-8)),""))</f>
      </c>
      <c r="E43" s="682">
        <f>IF($B43="","",IFERROR(INDEX(出来高!$A:$CZ,$B$4,105-(ROW()-8)),""))</f>
      </c>
      <c r="F43" s="682">
        <f>IF(COUNT(B24:B43)=20,AVERAGE(B24:B43),"")</f>
      </c>
      <c r="G43" s="683">
        <f>IF(COUNT(B24:B43)=20,STDEVP(B24:B43),"")</f>
      </c>
      <c r="H43" s="682">
        <f>IF($F43="","",$F43+BB設定!$B$4*$G43)</f>
      </c>
      <c r="I43" s="682">
        <f>IF($F43="","",$F43+BB設定!$B$5*$G43)</f>
      </c>
      <c r="J43" s="682">
        <f>IF($F43="","",$F43-BB設定!$B$5*$G43)</f>
      </c>
      <c r="K43" s="682">
        <f>IF($F43="","",$F43-BB設定!$B$4*$G43)</f>
      </c>
      <c r="L43" s="687">
        <f>IF($F43="","",IFERROR(($B43-$K43)/($H43-$K43),""))</f>
      </c>
      <c r="M43" s="684">
        <f>IF(COUNT(B30:B43)&lt;14,"",IFERROR(100-100/(1+SUMPRODUCT((B30:B43&gt;B29:B42)*(B30:B43-B29:B42))/SUMPRODUCT((B30:B43&lt;B29:B42)*(B29:B42-B30:B43))),100))</f>
      </c>
      <c r="N43" s="684">
        <f>IF(COUNT(B30:B43)&lt;14,"",IFERROR(100-100/(1+SUMPRODUCT((((C30:C43+D30:D43+B30:B43)/3)&gt;((C29:C42+D29:D42+B29:B42)/3))*((C30:C43+D30:D43+B30:B43)/3)*E30:E43)/SUMPRODUCT((((C30:C43+D30:D43+B30:B43)/3)&lt;((C29:C42+D29:D42+B29:B42)/3))*((C30:C43+D30:D43+B30:B43)/3)*E30:E43)),50))</f>
      </c>
      <c r="O43" s="685">
        <f>IF($O42=0,IF(AND($H43&lt;&gt;"",$B43&gt;$H43,$B42&lt;=$H42),1,0),IF($B43&lt;$I43,0,1))</f>
      </c>
      <c r="P43" s="682">
        <f>IF($O43=1,IF($O42=0,$B43,$P42),"")</f>
      </c>
      <c r="Q43" s="686">
        <f>IF(AND($O43=0,$O42=1),($B43-$P42)/$P42*100,"")</f>
      </c>
      <c r="R43" s="681">
        <f>IF($O43=1,IF($O42=0,"▲新規買い","保有中"),IF($O42=1,"■手仕舞い",""))</f>
      </c>
    </row>
    <row r="44">
      <c r="A44" s="681">
        <f>IF($B44="","",IFERROR(TEXT(INDEX(終値!$3:$3,1,105-(ROW()-8)),"m/d"),""))</f>
      </c>
      <c r="B44" s="682">
        <f>IFERROR(IF(INDEX(終値!$A:$CZ,$B$4,105-(ROW()-8))=0,"",INDEX(終値!$A:$CZ,$B$4,105-(ROW()-8))),"")</f>
      </c>
      <c r="C44" s="682">
        <f>IF($B44="","",IFERROR(INDEX(高値!$A:$CZ,$B$4,105-(ROW()-8)),""))</f>
      </c>
      <c r="D44" s="682">
        <f>IF($B44="","",IFERROR(INDEX(安値!$A:$CZ,$B$4,105-(ROW()-8)),""))</f>
      </c>
      <c r="E44" s="682">
        <f>IF($B44="","",IFERROR(INDEX(出来高!$A:$CZ,$B$4,105-(ROW()-8)),""))</f>
      </c>
      <c r="F44" s="682">
        <f>IF(COUNT(B25:B44)=20,AVERAGE(B25:B44),"")</f>
      </c>
      <c r="G44" s="683">
        <f>IF(COUNT(B25:B44)=20,STDEVP(B25:B44),"")</f>
      </c>
      <c r="H44" s="682">
        <f>IF($F44="","",$F44+BB設定!$B$4*$G44)</f>
      </c>
      <c r="I44" s="682">
        <f>IF($F44="","",$F44+BB設定!$B$5*$G44)</f>
      </c>
      <c r="J44" s="682">
        <f>IF($F44="","",$F44-BB設定!$B$5*$G44)</f>
      </c>
      <c r="K44" s="682">
        <f>IF($F44="","",$F44-BB設定!$B$4*$G44)</f>
      </c>
      <c r="L44" s="687">
        <f>IF($F44="","",IFERROR(($B44-$K44)/($H44-$K44),""))</f>
      </c>
      <c r="M44" s="684">
        <f>IF(COUNT(B31:B44)&lt;14,"",IFERROR(100-100/(1+SUMPRODUCT((B31:B44&gt;B30:B43)*(B31:B44-B30:B43))/SUMPRODUCT((B31:B44&lt;B30:B43)*(B30:B43-B31:B44))),100))</f>
      </c>
      <c r="N44" s="684">
        <f>IF(COUNT(B31:B44)&lt;14,"",IFERROR(100-100/(1+SUMPRODUCT((((C31:C44+D31:D44+B31:B44)/3)&gt;((C30:C43+D30:D43+B30:B43)/3))*((C31:C44+D31:D44+B31:B44)/3)*E31:E44)/SUMPRODUCT((((C31:C44+D31:D44+B31:B44)/3)&lt;((C30:C43+D30:D43+B30:B43)/3))*((C31:C44+D31:D44+B31:B44)/3)*E31:E44)),50))</f>
      </c>
      <c r="O44" s="685">
        <f>IF($O43=0,IF(AND($H44&lt;&gt;"",$B44&gt;$H44,$B43&lt;=$H43),1,0),IF($B44&lt;$I44,0,1))</f>
      </c>
      <c r="P44" s="682">
        <f>IF($O44=1,IF($O43=0,$B44,$P43),"")</f>
      </c>
      <c r="Q44" s="686">
        <f>IF(AND($O44=0,$O43=1),($B44-$P43)/$P43*100,"")</f>
      </c>
      <c r="R44" s="681">
        <f>IF($O44=1,IF($O43=0,"▲新規買い","保有中"),IF($O43=1,"■手仕舞い",""))</f>
      </c>
    </row>
    <row r="45">
      <c r="A45" s="681">
        <f>IF($B45="","",IFERROR(TEXT(INDEX(終値!$3:$3,1,105-(ROW()-8)),"m/d"),""))</f>
      </c>
      <c r="B45" s="682">
        <f>IFERROR(IF(INDEX(終値!$A:$CZ,$B$4,105-(ROW()-8))=0,"",INDEX(終値!$A:$CZ,$B$4,105-(ROW()-8))),"")</f>
      </c>
      <c r="C45" s="682">
        <f>IF($B45="","",IFERROR(INDEX(高値!$A:$CZ,$B$4,105-(ROW()-8)),""))</f>
      </c>
      <c r="D45" s="682">
        <f>IF($B45="","",IFERROR(INDEX(安値!$A:$CZ,$B$4,105-(ROW()-8)),""))</f>
      </c>
      <c r="E45" s="682">
        <f>IF($B45="","",IFERROR(INDEX(出来高!$A:$CZ,$B$4,105-(ROW()-8)),""))</f>
      </c>
      <c r="F45" s="682">
        <f>IF(COUNT(B26:B45)=20,AVERAGE(B26:B45),"")</f>
      </c>
      <c r="G45" s="683">
        <f>IF(COUNT(B26:B45)=20,STDEVP(B26:B45),"")</f>
      </c>
      <c r="H45" s="682">
        <f>IF($F45="","",$F45+BB設定!$B$4*$G45)</f>
      </c>
      <c r="I45" s="682">
        <f>IF($F45="","",$F45+BB設定!$B$5*$G45)</f>
      </c>
      <c r="J45" s="682">
        <f>IF($F45="","",$F45-BB設定!$B$5*$G45)</f>
      </c>
      <c r="K45" s="682">
        <f>IF($F45="","",$F45-BB設定!$B$4*$G45)</f>
      </c>
      <c r="L45" s="687">
        <f>IF($F45="","",IFERROR(($B45-$K45)/($H45-$K45),""))</f>
      </c>
      <c r="M45" s="684">
        <f>IF(COUNT(B32:B45)&lt;14,"",IFERROR(100-100/(1+SUMPRODUCT((B32:B45&gt;B31:B44)*(B32:B45-B31:B44))/SUMPRODUCT((B32:B45&lt;B31:B44)*(B31:B44-B32:B45))),100))</f>
      </c>
      <c r="N45" s="684">
        <f>IF(COUNT(B32:B45)&lt;14,"",IFERROR(100-100/(1+SUMPRODUCT((((C32:C45+D32:D45+B32:B45)/3)&gt;((C31:C44+D31:D44+B31:B44)/3))*((C32:C45+D32:D45+B32:B45)/3)*E32:E45)/SUMPRODUCT((((C32:C45+D32:D45+B32:B45)/3)&lt;((C31:C44+D31:D44+B31:B44)/3))*((C32:C45+D32:D45+B32:B45)/3)*E32:E45)),50))</f>
      </c>
      <c r="O45" s="685">
        <f>IF($O44=0,IF(AND($H45&lt;&gt;"",$B45&gt;$H45,$B44&lt;=$H44),1,0),IF($B45&lt;$I45,0,1))</f>
      </c>
      <c r="P45" s="682">
        <f>IF($O45=1,IF($O44=0,$B45,$P44),"")</f>
      </c>
      <c r="Q45" s="686">
        <f>IF(AND($O45=0,$O44=1),($B45-$P44)/$P44*100,"")</f>
      </c>
      <c r="R45" s="681">
        <f>IF($O45=1,IF($O44=0,"▲新規買い","保有中"),IF($O44=1,"■手仕舞い",""))</f>
      </c>
    </row>
    <row r="46">
      <c r="A46" s="681">
        <f>IF($B46="","",IFERROR(TEXT(INDEX(終値!$3:$3,1,105-(ROW()-8)),"m/d"),""))</f>
      </c>
      <c r="B46" s="682">
        <f>IFERROR(IF(INDEX(終値!$A:$CZ,$B$4,105-(ROW()-8))=0,"",INDEX(終値!$A:$CZ,$B$4,105-(ROW()-8))),"")</f>
      </c>
      <c r="C46" s="682">
        <f>IF($B46="","",IFERROR(INDEX(高値!$A:$CZ,$B$4,105-(ROW()-8)),""))</f>
      </c>
      <c r="D46" s="682">
        <f>IF($B46="","",IFERROR(INDEX(安値!$A:$CZ,$B$4,105-(ROW()-8)),""))</f>
      </c>
      <c r="E46" s="682">
        <f>IF($B46="","",IFERROR(INDEX(出来高!$A:$CZ,$B$4,105-(ROW()-8)),""))</f>
      </c>
      <c r="F46" s="682">
        <f>IF(COUNT(B27:B46)=20,AVERAGE(B27:B46),"")</f>
      </c>
      <c r="G46" s="683">
        <f>IF(COUNT(B27:B46)=20,STDEVP(B27:B46),"")</f>
      </c>
      <c r="H46" s="682">
        <f>IF($F46="","",$F46+BB設定!$B$4*$G46)</f>
      </c>
      <c r="I46" s="682">
        <f>IF($F46="","",$F46+BB設定!$B$5*$G46)</f>
      </c>
      <c r="J46" s="682">
        <f>IF($F46="","",$F46-BB設定!$B$5*$G46)</f>
      </c>
      <c r="K46" s="682">
        <f>IF($F46="","",$F46-BB設定!$B$4*$G46)</f>
      </c>
      <c r="L46" s="687">
        <f>IF($F46="","",IFERROR(($B46-$K46)/($H46-$K46),""))</f>
      </c>
      <c r="M46" s="684">
        <f>IF(COUNT(B33:B46)&lt;14,"",IFERROR(100-100/(1+SUMPRODUCT((B33:B46&gt;B32:B45)*(B33:B46-B32:B45))/SUMPRODUCT((B33:B46&lt;B32:B45)*(B32:B45-B33:B46))),100))</f>
      </c>
      <c r="N46" s="684">
        <f>IF(COUNT(B33:B46)&lt;14,"",IFERROR(100-100/(1+SUMPRODUCT((((C33:C46+D33:D46+B33:B46)/3)&gt;((C32:C45+D32:D45+B32:B45)/3))*((C33:C46+D33:D46+B33:B46)/3)*E33:E46)/SUMPRODUCT((((C33:C46+D33:D46+B33:B46)/3)&lt;((C32:C45+D32:D45+B32:B45)/3))*((C33:C46+D33:D46+B33:B46)/3)*E33:E46)),50))</f>
      </c>
      <c r="O46" s="685">
        <f>IF($O45=0,IF(AND($H46&lt;&gt;"",$B46&gt;$H46,$B45&lt;=$H45),1,0),IF($B46&lt;$I46,0,1))</f>
      </c>
      <c r="P46" s="682">
        <f>IF($O46=1,IF($O45=0,$B46,$P45),"")</f>
      </c>
      <c r="Q46" s="686">
        <f>IF(AND($O46=0,$O45=1),($B46-$P45)/$P45*100,"")</f>
      </c>
      <c r="R46" s="681">
        <f>IF($O46=1,IF($O45=0,"▲新規買い","保有中"),IF($O45=1,"■手仕舞い",""))</f>
      </c>
    </row>
    <row r="47">
      <c r="A47" s="681">
        <f>IF($B47="","",IFERROR(TEXT(INDEX(終値!$3:$3,1,105-(ROW()-8)),"m/d"),""))</f>
      </c>
      <c r="B47" s="682">
        <f>IFERROR(IF(INDEX(終値!$A:$CZ,$B$4,105-(ROW()-8))=0,"",INDEX(終値!$A:$CZ,$B$4,105-(ROW()-8))),"")</f>
      </c>
      <c r="C47" s="682">
        <f>IF($B47="","",IFERROR(INDEX(高値!$A:$CZ,$B$4,105-(ROW()-8)),""))</f>
      </c>
      <c r="D47" s="682">
        <f>IF($B47="","",IFERROR(INDEX(安値!$A:$CZ,$B$4,105-(ROW()-8)),""))</f>
      </c>
      <c r="E47" s="682">
        <f>IF($B47="","",IFERROR(INDEX(出来高!$A:$CZ,$B$4,105-(ROW()-8)),""))</f>
      </c>
      <c r="F47" s="682">
        <f>IF(COUNT(B28:B47)=20,AVERAGE(B28:B47),"")</f>
      </c>
      <c r="G47" s="683">
        <f>IF(COUNT(B28:B47)=20,STDEVP(B28:B47),"")</f>
      </c>
      <c r="H47" s="682">
        <f>IF($F47="","",$F47+BB設定!$B$4*$G47)</f>
      </c>
      <c r="I47" s="682">
        <f>IF($F47="","",$F47+BB設定!$B$5*$G47)</f>
      </c>
      <c r="J47" s="682">
        <f>IF($F47="","",$F47-BB設定!$B$5*$G47)</f>
      </c>
      <c r="K47" s="682">
        <f>IF($F47="","",$F47-BB設定!$B$4*$G47)</f>
      </c>
      <c r="L47" s="687">
        <f>IF($F47="","",IFERROR(($B47-$K47)/($H47-$K47),""))</f>
      </c>
      <c r="M47" s="684">
        <f>IF(COUNT(B34:B47)&lt;14,"",IFERROR(100-100/(1+SUMPRODUCT((B34:B47&gt;B33:B46)*(B34:B47-B33:B46))/SUMPRODUCT((B34:B47&lt;B33:B46)*(B33:B46-B34:B47))),100))</f>
      </c>
      <c r="N47" s="684">
        <f>IF(COUNT(B34:B47)&lt;14,"",IFERROR(100-100/(1+SUMPRODUCT((((C34:C47+D34:D47+B34:B47)/3)&gt;((C33:C46+D33:D46+B33:B46)/3))*((C34:C47+D34:D47+B34:B47)/3)*E34:E47)/SUMPRODUCT((((C34:C47+D34:D47+B34:B47)/3)&lt;((C33:C46+D33:D46+B33:B46)/3))*((C34:C47+D34:D47+B34:B47)/3)*E34:E47)),50))</f>
      </c>
      <c r="O47" s="685">
        <f>IF($O46=0,IF(AND($H47&lt;&gt;"",$B47&gt;$H47,$B46&lt;=$H46),1,0),IF($B47&lt;$I47,0,1))</f>
      </c>
      <c r="P47" s="682">
        <f>IF($O47=1,IF($O46=0,$B47,$P46),"")</f>
      </c>
      <c r="Q47" s="686">
        <f>IF(AND($O47=0,$O46=1),($B47-$P46)/$P46*100,"")</f>
      </c>
      <c r="R47" s="681">
        <f>IF($O47=1,IF($O46=0,"▲新規買い","保有中"),IF($O46=1,"■手仕舞い",""))</f>
      </c>
    </row>
    <row r="48">
      <c r="A48" s="681">
        <f>IF($B48="","",IFERROR(TEXT(INDEX(終値!$3:$3,1,105-(ROW()-8)),"m/d"),""))</f>
      </c>
      <c r="B48" s="682">
        <f>IFERROR(IF(INDEX(終値!$A:$CZ,$B$4,105-(ROW()-8))=0,"",INDEX(終値!$A:$CZ,$B$4,105-(ROW()-8))),"")</f>
      </c>
      <c r="C48" s="682">
        <f>IF($B48="","",IFERROR(INDEX(高値!$A:$CZ,$B$4,105-(ROW()-8)),""))</f>
      </c>
      <c r="D48" s="682">
        <f>IF($B48="","",IFERROR(INDEX(安値!$A:$CZ,$B$4,105-(ROW()-8)),""))</f>
      </c>
      <c r="E48" s="682">
        <f>IF($B48="","",IFERROR(INDEX(出来高!$A:$CZ,$B$4,105-(ROW()-8)),""))</f>
      </c>
      <c r="F48" s="682">
        <f>IF(COUNT(B29:B48)=20,AVERAGE(B29:B48),"")</f>
      </c>
      <c r="G48" s="683">
        <f>IF(COUNT(B29:B48)=20,STDEVP(B29:B48),"")</f>
      </c>
      <c r="H48" s="682">
        <f>IF($F48="","",$F48+BB設定!$B$4*$G48)</f>
      </c>
      <c r="I48" s="682">
        <f>IF($F48="","",$F48+BB設定!$B$5*$G48)</f>
      </c>
      <c r="J48" s="682">
        <f>IF($F48="","",$F48-BB設定!$B$5*$G48)</f>
      </c>
      <c r="K48" s="682">
        <f>IF($F48="","",$F48-BB設定!$B$4*$G48)</f>
      </c>
      <c r="L48" s="687">
        <f>IF($F48="","",IFERROR(($B48-$K48)/($H48-$K48),""))</f>
      </c>
      <c r="M48" s="684">
        <f>IF(COUNT(B35:B48)&lt;14,"",IFERROR(100-100/(1+SUMPRODUCT((B35:B48&gt;B34:B47)*(B35:B48-B34:B47))/SUMPRODUCT((B35:B48&lt;B34:B47)*(B34:B47-B35:B48))),100))</f>
      </c>
      <c r="N48" s="684">
        <f>IF(COUNT(B35:B48)&lt;14,"",IFERROR(100-100/(1+SUMPRODUCT((((C35:C48+D35:D48+B35:B48)/3)&gt;((C34:C47+D34:D47+B34:B47)/3))*((C35:C48+D35:D48+B35:B48)/3)*E35:E48)/SUMPRODUCT((((C35:C48+D35:D48+B35:B48)/3)&lt;((C34:C47+D34:D47+B34:B47)/3))*((C35:C48+D35:D48+B35:B48)/3)*E35:E48)),50))</f>
      </c>
      <c r="O48" s="685">
        <f>IF($O47=0,IF(AND($H48&lt;&gt;"",$B48&gt;$H48,$B47&lt;=$H47),1,0),IF($B48&lt;$I48,0,1))</f>
      </c>
      <c r="P48" s="682">
        <f>IF($O48=1,IF($O47=0,$B48,$P47),"")</f>
      </c>
      <c r="Q48" s="686">
        <f>IF(AND($O48=0,$O47=1),($B48-$P47)/$P47*100,"")</f>
      </c>
      <c r="R48" s="681">
        <f>IF($O48=1,IF($O47=0,"▲新規買い","保有中"),IF($O47=1,"■手仕舞い",""))</f>
      </c>
    </row>
    <row r="49">
      <c r="A49" s="681">
        <f>IF($B49="","",IFERROR(TEXT(INDEX(終値!$3:$3,1,105-(ROW()-8)),"m/d"),""))</f>
      </c>
      <c r="B49" s="682">
        <f>IFERROR(IF(INDEX(終値!$A:$CZ,$B$4,105-(ROW()-8))=0,"",INDEX(終値!$A:$CZ,$B$4,105-(ROW()-8))),"")</f>
      </c>
      <c r="C49" s="682">
        <f>IF($B49="","",IFERROR(INDEX(高値!$A:$CZ,$B$4,105-(ROW()-8)),""))</f>
      </c>
      <c r="D49" s="682">
        <f>IF($B49="","",IFERROR(INDEX(安値!$A:$CZ,$B$4,105-(ROW()-8)),""))</f>
      </c>
      <c r="E49" s="682">
        <f>IF($B49="","",IFERROR(INDEX(出来高!$A:$CZ,$B$4,105-(ROW()-8)),""))</f>
      </c>
      <c r="F49" s="682">
        <f>IF(COUNT(B30:B49)=20,AVERAGE(B30:B49),"")</f>
      </c>
      <c r="G49" s="683">
        <f>IF(COUNT(B30:B49)=20,STDEVP(B30:B49),"")</f>
      </c>
      <c r="H49" s="682">
        <f>IF($F49="","",$F49+BB設定!$B$4*$G49)</f>
      </c>
      <c r="I49" s="682">
        <f>IF($F49="","",$F49+BB設定!$B$5*$G49)</f>
      </c>
      <c r="J49" s="682">
        <f>IF($F49="","",$F49-BB設定!$B$5*$G49)</f>
      </c>
      <c r="K49" s="682">
        <f>IF($F49="","",$F49-BB設定!$B$4*$G49)</f>
      </c>
      <c r="L49" s="687">
        <f>IF($F49="","",IFERROR(($B49-$K49)/($H49-$K49),""))</f>
      </c>
      <c r="M49" s="684">
        <f>IF(COUNT(B36:B49)&lt;14,"",IFERROR(100-100/(1+SUMPRODUCT((B36:B49&gt;B35:B48)*(B36:B49-B35:B48))/SUMPRODUCT((B36:B49&lt;B35:B48)*(B35:B48-B36:B49))),100))</f>
      </c>
      <c r="N49" s="684">
        <f>IF(COUNT(B36:B49)&lt;14,"",IFERROR(100-100/(1+SUMPRODUCT((((C36:C49+D36:D49+B36:B49)/3)&gt;((C35:C48+D35:D48+B35:B48)/3))*((C36:C49+D36:D49+B36:B49)/3)*E36:E49)/SUMPRODUCT((((C36:C49+D36:D49+B36:B49)/3)&lt;((C35:C48+D35:D48+B35:B48)/3))*((C36:C49+D36:D49+B36:B49)/3)*E36:E49)),50))</f>
      </c>
      <c r="O49" s="685">
        <f>IF($O48=0,IF(AND($H49&lt;&gt;"",$B49&gt;$H49,$B48&lt;=$H48),1,0),IF($B49&lt;$I49,0,1))</f>
      </c>
      <c r="P49" s="682">
        <f>IF($O49=1,IF($O48=0,$B49,$P48),"")</f>
      </c>
      <c r="Q49" s="686">
        <f>IF(AND($O49=0,$O48=1),($B49-$P48)/$P48*100,"")</f>
      </c>
      <c r="R49" s="681">
        <f>IF($O49=1,IF($O48=0,"▲新規買い","保有中"),IF($O48=1,"■手仕舞い",""))</f>
      </c>
    </row>
    <row r="50">
      <c r="A50" s="681">
        <f>IF($B50="","",IFERROR(TEXT(INDEX(終値!$3:$3,1,105-(ROW()-8)),"m/d"),""))</f>
      </c>
      <c r="B50" s="682">
        <f>IFERROR(IF(INDEX(終値!$A:$CZ,$B$4,105-(ROW()-8))=0,"",INDEX(終値!$A:$CZ,$B$4,105-(ROW()-8))),"")</f>
      </c>
      <c r="C50" s="682">
        <f>IF($B50="","",IFERROR(INDEX(高値!$A:$CZ,$B$4,105-(ROW()-8)),""))</f>
      </c>
      <c r="D50" s="682">
        <f>IF($B50="","",IFERROR(INDEX(安値!$A:$CZ,$B$4,105-(ROW()-8)),""))</f>
      </c>
      <c r="E50" s="682">
        <f>IF($B50="","",IFERROR(INDEX(出来高!$A:$CZ,$B$4,105-(ROW()-8)),""))</f>
      </c>
      <c r="F50" s="682">
        <f>IF(COUNT(B31:B50)=20,AVERAGE(B31:B50),"")</f>
      </c>
      <c r="G50" s="683">
        <f>IF(COUNT(B31:B50)=20,STDEVP(B31:B50),"")</f>
      </c>
      <c r="H50" s="682">
        <f>IF($F50="","",$F50+BB設定!$B$4*$G50)</f>
      </c>
      <c r="I50" s="682">
        <f>IF($F50="","",$F50+BB設定!$B$5*$G50)</f>
      </c>
      <c r="J50" s="682">
        <f>IF($F50="","",$F50-BB設定!$B$5*$G50)</f>
      </c>
      <c r="K50" s="682">
        <f>IF($F50="","",$F50-BB設定!$B$4*$G50)</f>
      </c>
      <c r="L50" s="687">
        <f>IF($F50="","",IFERROR(($B50-$K50)/($H50-$K50),""))</f>
      </c>
      <c r="M50" s="684">
        <f>IF(COUNT(B37:B50)&lt;14,"",IFERROR(100-100/(1+SUMPRODUCT((B37:B50&gt;B36:B49)*(B37:B50-B36:B49))/SUMPRODUCT((B37:B50&lt;B36:B49)*(B36:B49-B37:B50))),100))</f>
      </c>
      <c r="N50" s="684">
        <f>IF(COUNT(B37:B50)&lt;14,"",IFERROR(100-100/(1+SUMPRODUCT((((C37:C50+D37:D50+B37:B50)/3)&gt;((C36:C49+D36:D49+B36:B49)/3))*((C37:C50+D37:D50+B37:B50)/3)*E37:E50)/SUMPRODUCT((((C37:C50+D37:D50+B37:B50)/3)&lt;((C36:C49+D36:D49+B36:B49)/3))*((C37:C50+D37:D50+B37:B50)/3)*E37:E50)),50))</f>
      </c>
      <c r="O50" s="685">
        <f>IF($O49=0,IF(AND($H50&lt;&gt;"",$B50&gt;$H50,$B49&lt;=$H49),1,0),IF($B50&lt;$I50,0,1))</f>
      </c>
      <c r="P50" s="682">
        <f>IF($O50=1,IF($O49=0,$B50,$P49),"")</f>
      </c>
      <c r="Q50" s="686">
        <f>IF(AND($O50=0,$O49=1),($B50-$P49)/$P49*100,"")</f>
      </c>
      <c r="R50" s="681">
        <f>IF($O50=1,IF($O49=0,"▲新規買い","保有中"),IF($O49=1,"■手仕舞い",""))</f>
      </c>
    </row>
    <row r="51">
      <c r="A51" s="681">
        <f>IF($B51="","",IFERROR(TEXT(INDEX(終値!$3:$3,1,105-(ROW()-8)),"m/d"),""))</f>
      </c>
      <c r="B51" s="682">
        <f>IFERROR(IF(INDEX(終値!$A:$CZ,$B$4,105-(ROW()-8))=0,"",INDEX(終値!$A:$CZ,$B$4,105-(ROW()-8))),"")</f>
      </c>
      <c r="C51" s="682">
        <f>IF($B51="","",IFERROR(INDEX(高値!$A:$CZ,$B$4,105-(ROW()-8)),""))</f>
      </c>
      <c r="D51" s="682">
        <f>IF($B51="","",IFERROR(INDEX(安値!$A:$CZ,$B$4,105-(ROW()-8)),""))</f>
      </c>
      <c r="E51" s="682">
        <f>IF($B51="","",IFERROR(INDEX(出来高!$A:$CZ,$B$4,105-(ROW()-8)),""))</f>
      </c>
      <c r="F51" s="682">
        <f>IF(COUNT(B32:B51)=20,AVERAGE(B32:B51),"")</f>
      </c>
      <c r="G51" s="683">
        <f>IF(COUNT(B32:B51)=20,STDEVP(B32:B51),"")</f>
      </c>
      <c r="H51" s="682">
        <f>IF($F51="","",$F51+BB設定!$B$4*$G51)</f>
      </c>
      <c r="I51" s="682">
        <f>IF($F51="","",$F51+BB設定!$B$5*$G51)</f>
      </c>
      <c r="J51" s="682">
        <f>IF($F51="","",$F51-BB設定!$B$5*$G51)</f>
      </c>
      <c r="K51" s="682">
        <f>IF($F51="","",$F51-BB設定!$B$4*$G51)</f>
      </c>
      <c r="L51" s="687">
        <f>IF($F51="","",IFERROR(($B51-$K51)/($H51-$K51),""))</f>
      </c>
      <c r="M51" s="684">
        <f>IF(COUNT(B38:B51)&lt;14,"",IFERROR(100-100/(1+SUMPRODUCT((B38:B51&gt;B37:B50)*(B38:B51-B37:B50))/SUMPRODUCT((B38:B51&lt;B37:B50)*(B37:B50-B38:B51))),100))</f>
      </c>
      <c r="N51" s="684">
        <f>IF(COUNT(B38:B51)&lt;14,"",IFERROR(100-100/(1+SUMPRODUCT((((C38:C51+D38:D51+B38:B51)/3)&gt;((C37:C50+D37:D50+B37:B50)/3))*((C38:C51+D38:D51+B38:B51)/3)*E38:E51)/SUMPRODUCT((((C38:C51+D38:D51+B38:B51)/3)&lt;((C37:C50+D37:D50+B37:B50)/3))*((C38:C51+D38:D51+B38:B51)/3)*E38:E51)),50))</f>
      </c>
      <c r="O51" s="685">
        <f>IF($O50=0,IF(AND($H51&lt;&gt;"",$B51&gt;$H51,$B50&lt;=$H50),1,0),IF($B51&lt;$I51,0,1))</f>
      </c>
      <c r="P51" s="682">
        <f>IF($O51=1,IF($O50=0,$B51,$P50),"")</f>
      </c>
      <c r="Q51" s="686">
        <f>IF(AND($O51=0,$O50=1),($B51-$P50)/$P50*100,"")</f>
      </c>
      <c r="R51" s="681">
        <f>IF($O51=1,IF($O50=0,"▲新規買い","保有中"),IF($O50=1,"■手仕舞い",""))</f>
      </c>
    </row>
    <row r="52">
      <c r="A52" s="681">
        <f>IF($B52="","",IFERROR(TEXT(INDEX(終値!$3:$3,1,105-(ROW()-8)),"m/d"),""))</f>
      </c>
      <c r="B52" s="682">
        <f>IFERROR(IF(INDEX(終値!$A:$CZ,$B$4,105-(ROW()-8))=0,"",INDEX(終値!$A:$CZ,$B$4,105-(ROW()-8))),"")</f>
      </c>
      <c r="C52" s="682">
        <f>IF($B52="","",IFERROR(INDEX(高値!$A:$CZ,$B$4,105-(ROW()-8)),""))</f>
      </c>
      <c r="D52" s="682">
        <f>IF($B52="","",IFERROR(INDEX(安値!$A:$CZ,$B$4,105-(ROW()-8)),""))</f>
      </c>
      <c r="E52" s="682">
        <f>IF($B52="","",IFERROR(INDEX(出来高!$A:$CZ,$B$4,105-(ROW()-8)),""))</f>
      </c>
      <c r="F52" s="682">
        <f>IF(COUNT(B33:B52)=20,AVERAGE(B33:B52),"")</f>
      </c>
      <c r="G52" s="683">
        <f>IF(COUNT(B33:B52)=20,STDEVP(B33:B52),"")</f>
      </c>
      <c r="H52" s="682">
        <f>IF($F52="","",$F52+BB設定!$B$4*$G52)</f>
      </c>
      <c r="I52" s="682">
        <f>IF($F52="","",$F52+BB設定!$B$5*$G52)</f>
      </c>
      <c r="J52" s="682">
        <f>IF($F52="","",$F52-BB設定!$B$5*$G52)</f>
      </c>
      <c r="K52" s="682">
        <f>IF($F52="","",$F52-BB設定!$B$4*$G52)</f>
      </c>
      <c r="L52" s="687">
        <f>IF($F52="","",IFERROR(($B52-$K52)/($H52-$K52),""))</f>
      </c>
      <c r="M52" s="684">
        <f>IF(COUNT(B39:B52)&lt;14,"",IFERROR(100-100/(1+SUMPRODUCT((B39:B52&gt;B38:B51)*(B39:B52-B38:B51))/SUMPRODUCT((B39:B52&lt;B38:B51)*(B38:B51-B39:B52))),100))</f>
      </c>
      <c r="N52" s="684">
        <f>IF(COUNT(B39:B52)&lt;14,"",IFERROR(100-100/(1+SUMPRODUCT((((C39:C52+D39:D52+B39:B52)/3)&gt;((C38:C51+D38:D51+B38:B51)/3))*((C39:C52+D39:D52+B39:B52)/3)*E39:E52)/SUMPRODUCT((((C39:C52+D39:D52+B39:B52)/3)&lt;((C38:C51+D38:D51+B38:B51)/3))*((C39:C52+D39:D52+B39:B52)/3)*E39:E52)),50))</f>
      </c>
      <c r="O52" s="685">
        <f>IF($O51=0,IF(AND($H52&lt;&gt;"",$B52&gt;$H52,$B51&lt;=$H51),1,0),IF($B52&lt;$I52,0,1))</f>
      </c>
      <c r="P52" s="682">
        <f>IF($O52=1,IF($O51=0,$B52,$P51),"")</f>
      </c>
      <c r="Q52" s="686">
        <f>IF(AND($O52=0,$O51=1),($B52-$P51)/$P51*100,"")</f>
      </c>
      <c r="R52" s="681">
        <f>IF($O52=1,IF($O51=0,"▲新規買い","保有中"),IF($O51=1,"■手仕舞い",""))</f>
      </c>
    </row>
    <row r="53">
      <c r="A53" s="681">
        <f>IF($B53="","",IFERROR(TEXT(INDEX(終値!$3:$3,1,105-(ROW()-8)),"m/d"),""))</f>
      </c>
      <c r="B53" s="682">
        <f>IFERROR(IF(INDEX(終値!$A:$CZ,$B$4,105-(ROW()-8))=0,"",INDEX(終値!$A:$CZ,$B$4,105-(ROW()-8))),"")</f>
      </c>
      <c r="C53" s="682">
        <f>IF($B53="","",IFERROR(INDEX(高値!$A:$CZ,$B$4,105-(ROW()-8)),""))</f>
      </c>
      <c r="D53" s="682">
        <f>IF($B53="","",IFERROR(INDEX(安値!$A:$CZ,$B$4,105-(ROW()-8)),""))</f>
      </c>
      <c r="E53" s="682">
        <f>IF($B53="","",IFERROR(INDEX(出来高!$A:$CZ,$B$4,105-(ROW()-8)),""))</f>
      </c>
      <c r="F53" s="682">
        <f>IF(COUNT(B34:B53)=20,AVERAGE(B34:B53),"")</f>
      </c>
      <c r="G53" s="683">
        <f>IF(COUNT(B34:B53)=20,STDEVP(B34:B53),"")</f>
      </c>
      <c r="H53" s="682">
        <f>IF($F53="","",$F53+BB設定!$B$4*$G53)</f>
      </c>
      <c r="I53" s="682">
        <f>IF($F53="","",$F53+BB設定!$B$5*$G53)</f>
      </c>
      <c r="J53" s="682">
        <f>IF($F53="","",$F53-BB設定!$B$5*$G53)</f>
      </c>
      <c r="K53" s="682">
        <f>IF($F53="","",$F53-BB設定!$B$4*$G53)</f>
      </c>
      <c r="L53" s="687">
        <f>IF($F53="","",IFERROR(($B53-$K53)/($H53-$K53),""))</f>
      </c>
      <c r="M53" s="684">
        <f>IF(COUNT(B40:B53)&lt;14,"",IFERROR(100-100/(1+SUMPRODUCT((B40:B53&gt;B39:B52)*(B40:B53-B39:B52))/SUMPRODUCT((B40:B53&lt;B39:B52)*(B39:B52-B40:B53))),100))</f>
      </c>
      <c r="N53" s="684">
        <f>IF(COUNT(B40:B53)&lt;14,"",IFERROR(100-100/(1+SUMPRODUCT((((C40:C53+D40:D53+B40:B53)/3)&gt;((C39:C52+D39:D52+B39:B52)/3))*((C40:C53+D40:D53+B40:B53)/3)*E40:E53)/SUMPRODUCT((((C40:C53+D40:D53+B40:B53)/3)&lt;((C39:C52+D39:D52+B39:B52)/3))*((C40:C53+D40:D53+B40:B53)/3)*E40:E53)),50))</f>
      </c>
      <c r="O53" s="685">
        <f>IF($O52=0,IF(AND($H53&lt;&gt;"",$B53&gt;$H53,$B52&lt;=$H52),1,0),IF($B53&lt;$I53,0,1))</f>
      </c>
      <c r="P53" s="682">
        <f>IF($O53=1,IF($O52=0,$B53,$P52),"")</f>
      </c>
      <c r="Q53" s="686">
        <f>IF(AND($O53=0,$O52=1),($B53-$P52)/$P52*100,"")</f>
      </c>
      <c r="R53" s="681">
        <f>IF($O53=1,IF($O52=0,"▲新規買い","保有中"),IF($O52=1,"■手仕舞い",""))</f>
      </c>
    </row>
    <row r="54">
      <c r="A54" s="681">
        <f>IF($B54="","",IFERROR(TEXT(INDEX(終値!$3:$3,1,105-(ROW()-8)),"m/d"),""))</f>
      </c>
      <c r="B54" s="682">
        <f>IFERROR(IF(INDEX(終値!$A:$CZ,$B$4,105-(ROW()-8))=0,"",INDEX(終値!$A:$CZ,$B$4,105-(ROW()-8))),"")</f>
      </c>
      <c r="C54" s="682">
        <f>IF($B54="","",IFERROR(INDEX(高値!$A:$CZ,$B$4,105-(ROW()-8)),""))</f>
      </c>
      <c r="D54" s="682">
        <f>IF($B54="","",IFERROR(INDEX(安値!$A:$CZ,$B$4,105-(ROW()-8)),""))</f>
      </c>
      <c r="E54" s="682">
        <f>IF($B54="","",IFERROR(INDEX(出来高!$A:$CZ,$B$4,105-(ROW()-8)),""))</f>
      </c>
      <c r="F54" s="682">
        <f>IF(COUNT(B35:B54)=20,AVERAGE(B35:B54),"")</f>
      </c>
      <c r="G54" s="683">
        <f>IF(COUNT(B35:B54)=20,STDEVP(B35:B54),"")</f>
      </c>
      <c r="H54" s="682">
        <f>IF($F54="","",$F54+BB設定!$B$4*$G54)</f>
      </c>
      <c r="I54" s="682">
        <f>IF($F54="","",$F54+BB設定!$B$5*$G54)</f>
      </c>
      <c r="J54" s="682">
        <f>IF($F54="","",$F54-BB設定!$B$5*$G54)</f>
      </c>
      <c r="K54" s="682">
        <f>IF($F54="","",$F54-BB設定!$B$4*$G54)</f>
      </c>
      <c r="L54" s="687">
        <f>IF($F54="","",IFERROR(($B54-$K54)/($H54-$K54),""))</f>
      </c>
      <c r="M54" s="684">
        <f>IF(COUNT(B41:B54)&lt;14,"",IFERROR(100-100/(1+SUMPRODUCT((B41:B54&gt;B40:B53)*(B41:B54-B40:B53))/SUMPRODUCT((B41:B54&lt;B40:B53)*(B40:B53-B41:B54))),100))</f>
      </c>
      <c r="N54" s="684">
        <f>IF(COUNT(B41:B54)&lt;14,"",IFERROR(100-100/(1+SUMPRODUCT((((C41:C54+D41:D54+B41:B54)/3)&gt;((C40:C53+D40:D53+B40:B53)/3))*((C41:C54+D41:D54+B41:B54)/3)*E41:E54)/SUMPRODUCT((((C41:C54+D41:D54+B41:B54)/3)&lt;((C40:C53+D40:D53+B40:B53)/3))*((C41:C54+D41:D54+B41:B54)/3)*E41:E54)),50))</f>
      </c>
      <c r="O54" s="685">
        <f>IF($O53=0,IF(AND($H54&lt;&gt;"",$B54&gt;$H54,$B53&lt;=$H53),1,0),IF($B54&lt;$I54,0,1))</f>
      </c>
      <c r="P54" s="682">
        <f>IF($O54=1,IF($O53=0,$B54,$P53),"")</f>
      </c>
      <c r="Q54" s="686">
        <f>IF(AND($O54=0,$O53=1),($B54-$P53)/$P53*100,"")</f>
      </c>
      <c r="R54" s="681">
        <f>IF($O54=1,IF($O53=0,"▲新規買い","保有中"),IF($O53=1,"■手仕舞い",""))</f>
      </c>
    </row>
    <row r="55">
      <c r="A55" s="681">
        <f>IF($B55="","",IFERROR(TEXT(INDEX(終値!$3:$3,1,105-(ROW()-8)),"m/d"),""))</f>
      </c>
      <c r="B55" s="682">
        <f>IFERROR(IF(INDEX(終値!$A:$CZ,$B$4,105-(ROW()-8))=0,"",INDEX(終値!$A:$CZ,$B$4,105-(ROW()-8))),"")</f>
      </c>
      <c r="C55" s="682">
        <f>IF($B55="","",IFERROR(INDEX(高値!$A:$CZ,$B$4,105-(ROW()-8)),""))</f>
      </c>
      <c r="D55" s="682">
        <f>IF($B55="","",IFERROR(INDEX(安値!$A:$CZ,$B$4,105-(ROW()-8)),""))</f>
      </c>
      <c r="E55" s="682">
        <f>IF($B55="","",IFERROR(INDEX(出来高!$A:$CZ,$B$4,105-(ROW()-8)),""))</f>
      </c>
      <c r="F55" s="682">
        <f>IF(COUNT(B36:B55)=20,AVERAGE(B36:B55),"")</f>
      </c>
      <c r="G55" s="683">
        <f>IF(COUNT(B36:B55)=20,STDEVP(B36:B55),"")</f>
      </c>
      <c r="H55" s="682">
        <f>IF($F55="","",$F55+BB設定!$B$4*$G55)</f>
      </c>
      <c r="I55" s="682">
        <f>IF($F55="","",$F55+BB設定!$B$5*$G55)</f>
      </c>
      <c r="J55" s="682">
        <f>IF($F55="","",$F55-BB設定!$B$5*$G55)</f>
      </c>
      <c r="K55" s="682">
        <f>IF($F55="","",$F55-BB設定!$B$4*$G55)</f>
      </c>
      <c r="L55" s="687">
        <f>IF($F55="","",IFERROR(($B55-$K55)/($H55-$K55),""))</f>
      </c>
      <c r="M55" s="684">
        <f>IF(COUNT(B42:B55)&lt;14,"",IFERROR(100-100/(1+SUMPRODUCT((B42:B55&gt;B41:B54)*(B42:B55-B41:B54))/SUMPRODUCT((B42:B55&lt;B41:B54)*(B41:B54-B42:B55))),100))</f>
      </c>
      <c r="N55" s="684">
        <f>IF(COUNT(B42:B55)&lt;14,"",IFERROR(100-100/(1+SUMPRODUCT((((C42:C55+D42:D55+B42:B55)/3)&gt;((C41:C54+D41:D54+B41:B54)/3))*((C42:C55+D42:D55+B42:B55)/3)*E42:E55)/SUMPRODUCT((((C42:C55+D42:D55+B42:B55)/3)&lt;((C41:C54+D41:D54+B41:B54)/3))*((C42:C55+D42:D55+B42:B55)/3)*E42:E55)),50))</f>
      </c>
      <c r="O55" s="685">
        <f>IF($O54=0,IF(AND($H55&lt;&gt;"",$B55&gt;$H55,$B54&lt;=$H54),1,0),IF($B55&lt;$I55,0,1))</f>
      </c>
      <c r="P55" s="682">
        <f>IF($O55=1,IF($O54=0,$B55,$P54),"")</f>
      </c>
      <c r="Q55" s="686">
        <f>IF(AND($O55=0,$O54=1),($B55-$P54)/$P54*100,"")</f>
      </c>
      <c r="R55" s="681">
        <f>IF($O55=1,IF($O54=0,"▲新規買い","保有中"),IF($O54=1,"■手仕舞い",""))</f>
      </c>
    </row>
    <row r="56">
      <c r="A56" s="681">
        <f>IF($B56="","",IFERROR(TEXT(INDEX(終値!$3:$3,1,105-(ROW()-8)),"m/d"),""))</f>
      </c>
      <c r="B56" s="682">
        <f>IFERROR(IF(INDEX(終値!$A:$CZ,$B$4,105-(ROW()-8))=0,"",INDEX(終値!$A:$CZ,$B$4,105-(ROW()-8))),"")</f>
      </c>
      <c r="C56" s="682">
        <f>IF($B56="","",IFERROR(INDEX(高値!$A:$CZ,$B$4,105-(ROW()-8)),""))</f>
      </c>
      <c r="D56" s="682">
        <f>IF($B56="","",IFERROR(INDEX(安値!$A:$CZ,$B$4,105-(ROW()-8)),""))</f>
      </c>
      <c r="E56" s="682">
        <f>IF($B56="","",IFERROR(INDEX(出来高!$A:$CZ,$B$4,105-(ROW()-8)),""))</f>
      </c>
      <c r="F56" s="682">
        <f>IF(COUNT(B37:B56)=20,AVERAGE(B37:B56),"")</f>
      </c>
      <c r="G56" s="683">
        <f>IF(COUNT(B37:B56)=20,STDEVP(B37:B56),"")</f>
      </c>
      <c r="H56" s="682">
        <f>IF($F56="","",$F56+BB設定!$B$4*$G56)</f>
      </c>
      <c r="I56" s="682">
        <f>IF($F56="","",$F56+BB設定!$B$5*$G56)</f>
      </c>
      <c r="J56" s="682">
        <f>IF($F56="","",$F56-BB設定!$B$5*$G56)</f>
      </c>
      <c r="K56" s="682">
        <f>IF($F56="","",$F56-BB設定!$B$4*$G56)</f>
      </c>
      <c r="L56" s="687">
        <f>IF($F56="","",IFERROR(($B56-$K56)/($H56-$K56),""))</f>
      </c>
      <c r="M56" s="684">
        <f>IF(COUNT(B43:B56)&lt;14,"",IFERROR(100-100/(1+SUMPRODUCT((B43:B56&gt;B42:B55)*(B43:B56-B42:B55))/SUMPRODUCT((B43:B56&lt;B42:B55)*(B42:B55-B43:B56))),100))</f>
      </c>
      <c r="N56" s="684">
        <f>IF(COUNT(B43:B56)&lt;14,"",IFERROR(100-100/(1+SUMPRODUCT((((C43:C56+D43:D56+B43:B56)/3)&gt;((C42:C55+D42:D55+B42:B55)/3))*((C43:C56+D43:D56+B43:B56)/3)*E43:E56)/SUMPRODUCT((((C43:C56+D43:D56+B43:B56)/3)&lt;((C42:C55+D42:D55+B42:B55)/3))*((C43:C56+D43:D56+B43:B56)/3)*E43:E56)),50))</f>
      </c>
      <c r="O56" s="685">
        <f>IF($O55=0,IF(AND($H56&lt;&gt;"",$B56&gt;$H56,$B55&lt;=$H55),1,0),IF($B56&lt;$I56,0,1))</f>
      </c>
      <c r="P56" s="682">
        <f>IF($O56=1,IF($O55=0,$B56,$P55),"")</f>
      </c>
      <c r="Q56" s="686">
        <f>IF(AND($O56=0,$O55=1),($B56-$P55)/$P55*100,"")</f>
      </c>
      <c r="R56" s="681">
        <f>IF($O56=1,IF($O55=0,"▲新規買い","保有中"),IF($O55=1,"■手仕舞い",""))</f>
      </c>
    </row>
    <row r="57">
      <c r="A57" s="681">
        <f>IF($B57="","",IFERROR(TEXT(INDEX(終値!$3:$3,1,105-(ROW()-8)),"m/d"),""))</f>
      </c>
      <c r="B57" s="682">
        <f>IFERROR(IF(INDEX(終値!$A:$CZ,$B$4,105-(ROW()-8))=0,"",INDEX(終値!$A:$CZ,$B$4,105-(ROW()-8))),"")</f>
      </c>
      <c r="C57" s="682">
        <f>IF($B57="","",IFERROR(INDEX(高値!$A:$CZ,$B$4,105-(ROW()-8)),""))</f>
      </c>
      <c r="D57" s="682">
        <f>IF($B57="","",IFERROR(INDEX(安値!$A:$CZ,$B$4,105-(ROW()-8)),""))</f>
      </c>
      <c r="E57" s="682">
        <f>IF($B57="","",IFERROR(INDEX(出来高!$A:$CZ,$B$4,105-(ROW()-8)),""))</f>
      </c>
      <c r="F57" s="682">
        <f>IF(COUNT(B38:B57)=20,AVERAGE(B38:B57),"")</f>
      </c>
      <c r="G57" s="683">
        <f>IF(COUNT(B38:B57)=20,STDEVP(B38:B57),"")</f>
      </c>
      <c r="H57" s="682">
        <f>IF($F57="","",$F57+BB設定!$B$4*$G57)</f>
      </c>
      <c r="I57" s="682">
        <f>IF($F57="","",$F57+BB設定!$B$5*$G57)</f>
      </c>
      <c r="J57" s="682">
        <f>IF($F57="","",$F57-BB設定!$B$5*$G57)</f>
      </c>
      <c r="K57" s="682">
        <f>IF($F57="","",$F57-BB設定!$B$4*$G57)</f>
      </c>
      <c r="L57" s="687">
        <f>IF($F57="","",IFERROR(($B57-$K57)/($H57-$K57),""))</f>
      </c>
      <c r="M57" s="684">
        <f>IF(COUNT(B44:B57)&lt;14,"",IFERROR(100-100/(1+SUMPRODUCT((B44:B57&gt;B43:B56)*(B44:B57-B43:B56))/SUMPRODUCT((B44:B57&lt;B43:B56)*(B43:B56-B44:B57))),100))</f>
      </c>
      <c r="N57" s="684">
        <f>IF(COUNT(B44:B57)&lt;14,"",IFERROR(100-100/(1+SUMPRODUCT((((C44:C57+D44:D57+B44:B57)/3)&gt;((C43:C56+D43:D56+B43:B56)/3))*((C44:C57+D44:D57+B44:B57)/3)*E44:E57)/SUMPRODUCT((((C44:C57+D44:D57+B44:B57)/3)&lt;((C43:C56+D43:D56+B43:B56)/3))*((C44:C57+D44:D57+B44:B57)/3)*E44:E57)),50))</f>
      </c>
      <c r="O57" s="685">
        <f>IF($O56=0,IF(AND($H57&lt;&gt;"",$B57&gt;$H57,$B56&lt;=$H56),1,0),IF($B57&lt;$I57,0,1))</f>
      </c>
      <c r="P57" s="682">
        <f>IF($O57=1,IF($O56=0,$B57,$P56),"")</f>
      </c>
      <c r="Q57" s="686">
        <f>IF(AND($O57=0,$O56=1),($B57-$P56)/$P56*100,"")</f>
      </c>
      <c r="R57" s="681">
        <f>IF($O57=1,IF($O56=0,"▲新規買い","保有中"),IF($O56=1,"■手仕舞い",""))</f>
      </c>
    </row>
    <row r="58">
      <c r="A58" s="681">
        <f>IF($B58="","",IFERROR(TEXT(INDEX(終値!$3:$3,1,105-(ROW()-8)),"m/d"),""))</f>
      </c>
      <c r="B58" s="682">
        <f>IFERROR(IF(INDEX(終値!$A:$CZ,$B$4,105-(ROW()-8))=0,"",INDEX(終値!$A:$CZ,$B$4,105-(ROW()-8))),"")</f>
      </c>
      <c r="C58" s="682">
        <f>IF($B58="","",IFERROR(INDEX(高値!$A:$CZ,$B$4,105-(ROW()-8)),""))</f>
      </c>
      <c r="D58" s="682">
        <f>IF($B58="","",IFERROR(INDEX(安値!$A:$CZ,$B$4,105-(ROW()-8)),""))</f>
      </c>
      <c r="E58" s="682">
        <f>IF($B58="","",IFERROR(INDEX(出来高!$A:$CZ,$B$4,105-(ROW()-8)),""))</f>
      </c>
      <c r="F58" s="682">
        <f>IF(COUNT(B39:B58)=20,AVERAGE(B39:B58),"")</f>
      </c>
      <c r="G58" s="683">
        <f>IF(COUNT(B39:B58)=20,STDEVP(B39:B58),"")</f>
      </c>
      <c r="H58" s="682">
        <f>IF($F58="","",$F58+BB設定!$B$4*$G58)</f>
      </c>
      <c r="I58" s="682">
        <f>IF($F58="","",$F58+BB設定!$B$5*$G58)</f>
      </c>
      <c r="J58" s="682">
        <f>IF($F58="","",$F58-BB設定!$B$5*$G58)</f>
      </c>
      <c r="K58" s="682">
        <f>IF($F58="","",$F58-BB設定!$B$4*$G58)</f>
      </c>
      <c r="L58" s="687">
        <f>IF($F58="","",IFERROR(($B58-$K58)/($H58-$K58),""))</f>
      </c>
      <c r="M58" s="684">
        <f>IF(COUNT(B45:B58)&lt;14,"",IFERROR(100-100/(1+SUMPRODUCT((B45:B58&gt;B44:B57)*(B45:B58-B44:B57))/SUMPRODUCT((B45:B58&lt;B44:B57)*(B44:B57-B45:B58))),100))</f>
      </c>
      <c r="N58" s="684">
        <f>IF(COUNT(B45:B58)&lt;14,"",IFERROR(100-100/(1+SUMPRODUCT((((C45:C58+D45:D58+B45:B58)/3)&gt;((C44:C57+D44:D57+B44:B57)/3))*((C45:C58+D45:D58+B45:B58)/3)*E45:E58)/SUMPRODUCT((((C45:C58+D45:D58+B45:B58)/3)&lt;((C44:C57+D44:D57+B44:B57)/3))*((C45:C58+D45:D58+B45:B58)/3)*E45:E58)),50))</f>
      </c>
      <c r="O58" s="685">
        <f>IF($O57=0,IF(AND($H58&lt;&gt;"",$B58&gt;$H58,$B57&lt;=$H57),1,0),IF($B58&lt;$I58,0,1))</f>
      </c>
      <c r="P58" s="682">
        <f>IF($O58=1,IF($O57=0,$B58,$P57),"")</f>
      </c>
      <c r="Q58" s="686">
        <f>IF(AND($O58=0,$O57=1),($B58-$P57)/$P57*100,"")</f>
      </c>
      <c r="R58" s="681">
        <f>IF($O58=1,IF($O57=0,"▲新規買い","保有中"),IF($O57=1,"■手仕舞い",""))</f>
      </c>
    </row>
    <row r="59">
      <c r="A59" s="681">
        <f>IF($B59="","",IFERROR(TEXT(INDEX(終値!$3:$3,1,105-(ROW()-8)),"m/d"),""))</f>
      </c>
      <c r="B59" s="682">
        <f>IFERROR(IF(INDEX(終値!$A:$CZ,$B$4,105-(ROW()-8))=0,"",INDEX(終値!$A:$CZ,$B$4,105-(ROW()-8))),"")</f>
      </c>
      <c r="C59" s="682">
        <f>IF($B59="","",IFERROR(INDEX(高値!$A:$CZ,$B$4,105-(ROW()-8)),""))</f>
      </c>
      <c r="D59" s="682">
        <f>IF($B59="","",IFERROR(INDEX(安値!$A:$CZ,$B$4,105-(ROW()-8)),""))</f>
      </c>
      <c r="E59" s="682">
        <f>IF($B59="","",IFERROR(INDEX(出来高!$A:$CZ,$B$4,105-(ROW()-8)),""))</f>
      </c>
      <c r="F59" s="682">
        <f>IF(COUNT(B40:B59)=20,AVERAGE(B40:B59),"")</f>
      </c>
      <c r="G59" s="683">
        <f>IF(COUNT(B40:B59)=20,STDEVP(B40:B59),"")</f>
      </c>
      <c r="H59" s="682">
        <f>IF($F59="","",$F59+BB設定!$B$4*$G59)</f>
      </c>
      <c r="I59" s="682">
        <f>IF($F59="","",$F59+BB設定!$B$5*$G59)</f>
      </c>
      <c r="J59" s="682">
        <f>IF($F59="","",$F59-BB設定!$B$5*$G59)</f>
      </c>
      <c r="K59" s="682">
        <f>IF($F59="","",$F59-BB設定!$B$4*$G59)</f>
      </c>
      <c r="L59" s="687">
        <f>IF($F59="","",IFERROR(($B59-$K59)/($H59-$K59),""))</f>
      </c>
      <c r="M59" s="684">
        <f>IF(COUNT(B46:B59)&lt;14,"",IFERROR(100-100/(1+SUMPRODUCT((B46:B59&gt;B45:B58)*(B46:B59-B45:B58))/SUMPRODUCT((B46:B59&lt;B45:B58)*(B45:B58-B46:B59))),100))</f>
      </c>
      <c r="N59" s="684">
        <f>IF(COUNT(B46:B59)&lt;14,"",IFERROR(100-100/(1+SUMPRODUCT((((C46:C59+D46:D59+B46:B59)/3)&gt;((C45:C58+D45:D58+B45:B58)/3))*((C46:C59+D46:D59+B46:B59)/3)*E46:E59)/SUMPRODUCT((((C46:C59+D46:D59+B46:B59)/3)&lt;((C45:C58+D45:D58+B45:B58)/3))*((C46:C59+D46:D59+B46:B59)/3)*E46:E59)),50))</f>
      </c>
      <c r="O59" s="685">
        <f>IF($O58=0,IF(AND($H59&lt;&gt;"",$B59&gt;$H59,$B58&lt;=$H58),1,0),IF($B59&lt;$I59,0,1))</f>
      </c>
      <c r="P59" s="682">
        <f>IF($O59=1,IF($O58=0,$B59,$P58),"")</f>
      </c>
      <c r="Q59" s="686">
        <f>IF(AND($O59=0,$O58=1),($B59-$P58)/$P58*100,"")</f>
      </c>
      <c r="R59" s="681">
        <f>IF($O59=1,IF($O58=0,"▲新規買い","保有中"),IF($O58=1,"■手仕舞い",""))</f>
      </c>
    </row>
    <row r="60">
      <c r="A60" s="681">
        <f>IF($B60="","",IFERROR(TEXT(INDEX(終値!$3:$3,1,105-(ROW()-8)),"m/d"),""))</f>
      </c>
      <c r="B60" s="682">
        <f>IFERROR(IF(INDEX(終値!$A:$CZ,$B$4,105-(ROW()-8))=0,"",INDEX(終値!$A:$CZ,$B$4,105-(ROW()-8))),"")</f>
      </c>
      <c r="C60" s="682">
        <f>IF($B60="","",IFERROR(INDEX(高値!$A:$CZ,$B$4,105-(ROW()-8)),""))</f>
      </c>
      <c r="D60" s="682">
        <f>IF($B60="","",IFERROR(INDEX(安値!$A:$CZ,$B$4,105-(ROW()-8)),""))</f>
      </c>
      <c r="E60" s="682">
        <f>IF($B60="","",IFERROR(INDEX(出来高!$A:$CZ,$B$4,105-(ROW()-8)),""))</f>
      </c>
      <c r="F60" s="682">
        <f>IF(COUNT(B41:B60)=20,AVERAGE(B41:B60),"")</f>
      </c>
      <c r="G60" s="683">
        <f>IF(COUNT(B41:B60)=20,STDEVP(B41:B60),"")</f>
      </c>
      <c r="H60" s="682">
        <f>IF($F60="","",$F60+BB設定!$B$4*$G60)</f>
      </c>
      <c r="I60" s="682">
        <f>IF($F60="","",$F60+BB設定!$B$5*$G60)</f>
      </c>
      <c r="J60" s="682">
        <f>IF($F60="","",$F60-BB設定!$B$5*$G60)</f>
      </c>
      <c r="K60" s="682">
        <f>IF($F60="","",$F60-BB設定!$B$4*$G60)</f>
      </c>
      <c r="L60" s="687">
        <f>IF($F60="","",IFERROR(($B60-$K60)/($H60-$K60),""))</f>
      </c>
      <c r="M60" s="684">
        <f>IF(COUNT(B47:B60)&lt;14,"",IFERROR(100-100/(1+SUMPRODUCT((B47:B60&gt;B46:B59)*(B47:B60-B46:B59))/SUMPRODUCT((B47:B60&lt;B46:B59)*(B46:B59-B47:B60))),100))</f>
      </c>
      <c r="N60" s="684">
        <f>IF(COUNT(B47:B60)&lt;14,"",IFERROR(100-100/(1+SUMPRODUCT((((C47:C60+D47:D60+B47:B60)/3)&gt;((C46:C59+D46:D59+B46:B59)/3))*((C47:C60+D47:D60+B47:B60)/3)*E47:E60)/SUMPRODUCT((((C47:C60+D47:D60+B47:B60)/3)&lt;((C46:C59+D46:D59+B46:B59)/3))*((C47:C60+D47:D60+B47:B60)/3)*E47:E60)),50))</f>
      </c>
      <c r="O60" s="685">
        <f>IF($O59=0,IF(AND($H60&lt;&gt;"",$B60&gt;$H60,$B59&lt;=$H59),1,0),IF($B60&lt;$I60,0,1))</f>
      </c>
      <c r="P60" s="682">
        <f>IF($O60=1,IF($O59=0,$B60,$P59),"")</f>
      </c>
      <c r="Q60" s="686">
        <f>IF(AND($O60=0,$O59=1),($B60-$P59)/$P59*100,"")</f>
      </c>
      <c r="R60" s="681">
        <f>IF($O60=1,IF($O59=0,"▲新規買い","保有中"),IF($O59=1,"■手仕舞い",""))</f>
      </c>
    </row>
    <row r="61">
      <c r="A61" s="681">
        <f>IF($B61="","",IFERROR(TEXT(INDEX(終値!$3:$3,1,105-(ROW()-8)),"m/d"),""))</f>
      </c>
      <c r="B61" s="682">
        <f>IFERROR(IF(INDEX(終値!$A:$CZ,$B$4,105-(ROW()-8))=0,"",INDEX(終値!$A:$CZ,$B$4,105-(ROW()-8))),"")</f>
      </c>
      <c r="C61" s="682">
        <f>IF($B61="","",IFERROR(INDEX(高値!$A:$CZ,$B$4,105-(ROW()-8)),""))</f>
      </c>
      <c r="D61" s="682">
        <f>IF($B61="","",IFERROR(INDEX(安値!$A:$CZ,$B$4,105-(ROW()-8)),""))</f>
      </c>
      <c r="E61" s="682">
        <f>IF($B61="","",IFERROR(INDEX(出来高!$A:$CZ,$B$4,105-(ROW()-8)),""))</f>
      </c>
      <c r="F61" s="682">
        <f>IF(COUNT(B42:B61)=20,AVERAGE(B42:B61),"")</f>
      </c>
      <c r="G61" s="683">
        <f>IF(COUNT(B42:B61)=20,STDEVP(B42:B61),"")</f>
      </c>
      <c r="H61" s="682">
        <f>IF($F61="","",$F61+BB設定!$B$4*$G61)</f>
      </c>
      <c r="I61" s="682">
        <f>IF($F61="","",$F61+BB設定!$B$5*$G61)</f>
      </c>
      <c r="J61" s="682">
        <f>IF($F61="","",$F61-BB設定!$B$5*$G61)</f>
      </c>
      <c r="K61" s="682">
        <f>IF($F61="","",$F61-BB設定!$B$4*$G61)</f>
      </c>
      <c r="L61" s="687">
        <f>IF($F61="","",IFERROR(($B61-$K61)/($H61-$K61),""))</f>
      </c>
      <c r="M61" s="684">
        <f>IF(COUNT(B48:B61)&lt;14,"",IFERROR(100-100/(1+SUMPRODUCT((B48:B61&gt;B47:B60)*(B48:B61-B47:B60))/SUMPRODUCT((B48:B61&lt;B47:B60)*(B47:B60-B48:B61))),100))</f>
      </c>
      <c r="N61" s="684">
        <f>IF(COUNT(B48:B61)&lt;14,"",IFERROR(100-100/(1+SUMPRODUCT((((C48:C61+D48:D61+B48:B61)/3)&gt;((C47:C60+D47:D60+B47:B60)/3))*((C48:C61+D48:D61+B48:B61)/3)*E48:E61)/SUMPRODUCT((((C48:C61+D48:D61+B48:B61)/3)&lt;((C47:C60+D47:D60+B47:B60)/3))*((C48:C61+D48:D61+B48:B61)/3)*E48:E61)),50))</f>
      </c>
      <c r="O61" s="685">
        <f>IF($O60=0,IF(AND($H61&lt;&gt;"",$B61&gt;$H61,$B60&lt;=$H60),1,0),IF($B61&lt;$I61,0,1))</f>
      </c>
      <c r="P61" s="682">
        <f>IF($O61=1,IF($O60=0,$B61,$P60),"")</f>
      </c>
      <c r="Q61" s="686">
        <f>IF(AND($O61=0,$O60=1),($B61-$P60)/$P60*100,"")</f>
      </c>
      <c r="R61" s="681">
        <f>IF($O61=1,IF($O60=0,"▲新規買い","保有中"),IF($O60=1,"■手仕舞い",""))</f>
      </c>
    </row>
    <row r="62">
      <c r="A62" s="681">
        <f>IF($B62="","",IFERROR(TEXT(INDEX(終値!$3:$3,1,105-(ROW()-8)),"m/d"),""))</f>
      </c>
      <c r="B62" s="682">
        <f>IFERROR(IF(INDEX(終値!$A:$CZ,$B$4,105-(ROW()-8))=0,"",INDEX(終値!$A:$CZ,$B$4,105-(ROW()-8))),"")</f>
      </c>
      <c r="C62" s="682">
        <f>IF($B62="","",IFERROR(INDEX(高値!$A:$CZ,$B$4,105-(ROW()-8)),""))</f>
      </c>
      <c r="D62" s="682">
        <f>IF($B62="","",IFERROR(INDEX(安値!$A:$CZ,$B$4,105-(ROW()-8)),""))</f>
      </c>
      <c r="E62" s="682">
        <f>IF($B62="","",IFERROR(INDEX(出来高!$A:$CZ,$B$4,105-(ROW()-8)),""))</f>
      </c>
      <c r="F62" s="682">
        <f>IF(COUNT(B43:B62)=20,AVERAGE(B43:B62),"")</f>
      </c>
      <c r="G62" s="683">
        <f>IF(COUNT(B43:B62)=20,STDEVP(B43:B62),"")</f>
      </c>
      <c r="H62" s="682">
        <f>IF($F62="","",$F62+BB設定!$B$4*$G62)</f>
      </c>
      <c r="I62" s="682">
        <f>IF($F62="","",$F62+BB設定!$B$5*$G62)</f>
      </c>
      <c r="J62" s="682">
        <f>IF($F62="","",$F62-BB設定!$B$5*$G62)</f>
      </c>
      <c r="K62" s="682">
        <f>IF($F62="","",$F62-BB設定!$B$4*$G62)</f>
      </c>
      <c r="L62" s="687">
        <f>IF($F62="","",IFERROR(($B62-$K62)/($H62-$K62),""))</f>
      </c>
      <c r="M62" s="684">
        <f>IF(COUNT(B49:B62)&lt;14,"",IFERROR(100-100/(1+SUMPRODUCT((B49:B62&gt;B48:B61)*(B49:B62-B48:B61))/SUMPRODUCT((B49:B62&lt;B48:B61)*(B48:B61-B49:B62))),100))</f>
      </c>
      <c r="N62" s="684">
        <f>IF(COUNT(B49:B62)&lt;14,"",IFERROR(100-100/(1+SUMPRODUCT((((C49:C62+D49:D62+B49:B62)/3)&gt;((C48:C61+D48:D61+B48:B61)/3))*((C49:C62+D49:D62+B49:B62)/3)*E49:E62)/SUMPRODUCT((((C49:C62+D49:D62+B49:B62)/3)&lt;((C48:C61+D48:D61+B48:B61)/3))*((C49:C62+D49:D62+B49:B62)/3)*E49:E62)),50))</f>
      </c>
      <c r="O62" s="685">
        <f>IF($O61=0,IF(AND($H62&lt;&gt;"",$B62&gt;$H62,$B61&lt;=$H61),1,0),IF($B62&lt;$I62,0,1))</f>
      </c>
      <c r="P62" s="682">
        <f>IF($O62=1,IF($O61=0,$B62,$P61),"")</f>
      </c>
      <c r="Q62" s="686">
        <f>IF(AND($O62=0,$O61=1),($B62-$P61)/$P61*100,"")</f>
      </c>
      <c r="R62" s="681">
        <f>IF($O62=1,IF($O61=0,"▲新規買い","保有中"),IF($O61=1,"■手仕舞い",""))</f>
      </c>
    </row>
    <row r="63">
      <c r="A63" s="681">
        <f>IF($B63="","",IFERROR(TEXT(INDEX(終値!$3:$3,1,105-(ROW()-8)),"m/d"),""))</f>
      </c>
      <c r="B63" s="682">
        <f>IFERROR(IF(INDEX(終値!$A:$CZ,$B$4,105-(ROW()-8))=0,"",INDEX(終値!$A:$CZ,$B$4,105-(ROW()-8))),"")</f>
      </c>
      <c r="C63" s="682">
        <f>IF($B63="","",IFERROR(INDEX(高値!$A:$CZ,$B$4,105-(ROW()-8)),""))</f>
      </c>
      <c r="D63" s="682">
        <f>IF($B63="","",IFERROR(INDEX(安値!$A:$CZ,$B$4,105-(ROW()-8)),""))</f>
      </c>
      <c r="E63" s="682">
        <f>IF($B63="","",IFERROR(INDEX(出来高!$A:$CZ,$B$4,105-(ROW()-8)),""))</f>
      </c>
      <c r="F63" s="682">
        <f>IF(COUNT(B44:B63)=20,AVERAGE(B44:B63),"")</f>
      </c>
      <c r="G63" s="683">
        <f>IF(COUNT(B44:B63)=20,STDEVP(B44:B63),"")</f>
      </c>
      <c r="H63" s="682">
        <f>IF($F63="","",$F63+BB設定!$B$4*$G63)</f>
      </c>
      <c r="I63" s="682">
        <f>IF($F63="","",$F63+BB設定!$B$5*$G63)</f>
      </c>
      <c r="J63" s="682">
        <f>IF($F63="","",$F63-BB設定!$B$5*$G63)</f>
      </c>
      <c r="K63" s="682">
        <f>IF($F63="","",$F63-BB設定!$B$4*$G63)</f>
      </c>
      <c r="L63" s="687">
        <f>IF($F63="","",IFERROR(($B63-$K63)/($H63-$K63),""))</f>
      </c>
      <c r="M63" s="684">
        <f>IF(COUNT(B50:B63)&lt;14,"",IFERROR(100-100/(1+SUMPRODUCT((B50:B63&gt;B49:B62)*(B50:B63-B49:B62))/SUMPRODUCT((B50:B63&lt;B49:B62)*(B49:B62-B50:B63))),100))</f>
      </c>
      <c r="N63" s="684">
        <f>IF(COUNT(B50:B63)&lt;14,"",IFERROR(100-100/(1+SUMPRODUCT((((C50:C63+D50:D63+B50:B63)/3)&gt;((C49:C62+D49:D62+B49:B62)/3))*((C50:C63+D50:D63+B50:B63)/3)*E50:E63)/SUMPRODUCT((((C50:C63+D50:D63+B50:B63)/3)&lt;((C49:C62+D49:D62+B49:B62)/3))*((C50:C63+D50:D63+B50:B63)/3)*E50:E63)),50))</f>
      </c>
      <c r="O63" s="685">
        <f>IF($O62=0,IF(AND($H63&lt;&gt;"",$B63&gt;$H63,$B62&lt;=$H62),1,0),IF($B63&lt;$I63,0,1))</f>
      </c>
      <c r="P63" s="682">
        <f>IF($O63=1,IF($O62=0,$B63,$P62),"")</f>
      </c>
      <c r="Q63" s="686">
        <f>IF(AND($O63=0,$O62=1),($B63-$P62)/$P62*100,"")</f>
      </c>
      <c r="R63" s="681">
        <f>IF($O63=1,IF($O62=0,"▲新規買い","保有中"),IF($O62=1,"■手仕舞い",""))</f>
      </c>
    </row>
    <row r="64">
      <c r="A64" s="681">
        <f>IF($B64="","",IFERROR(TEXT(INDEX(終値!$3:$3,1,105-(ROW()-8)),"m/d"),""))</f>
      </c>
      <c r="B64" s="682">
        <f>IFERROR(IF(INDEX(終値!$A:$CZ,$B$4,105-(ROW()-8))=0,"",INDEX(終値!$A:$CZ,$B$4,105-(ROW()-8))),"")</f>
      </c>
      <c r="C64" s="682">
        <f>IF($B64="","",IFERROR(INDEX(高値!$A:$CZ,$B$4,105-(ROW()-8)),""))</f>
      </c>
      <c r="D64" s="682">
        <f>IF($B64="","",IFERROR(INDEX(安値!$A:$CZ,$B$4,105-(ROW()-8)),""))</f>
      </c>
      <c r="E64" s="682">
        <f>IF($B64="","",IFERROR(INDEX(出来高!$A:$CZ,$B$4,105-(ROW()-8)),""))</f>
      </c>
      <c r="F64" s="682">
        <f>IF(COUNT(B45:B64)=20,AVERAGE(B45:B64),"")</f>
      </c>
      <c r="G64" s="683">
        <f>IF(COUNT(B45:B64)=20,STDEVP(B45:B64),"")</f>
      </c>
      <c r="H64" s="682">
        <f>IF($F64="","",$F64+BB設定!$B$4*$G64)</f>
      </c>
      <c r="I64" s="682">
        <f>IF($F64="","",$F64+BB設定!$B$5*$G64)</f>
      </c>
      <c r="J64" s="682">
        <f>IF($F64="","",$F64-BB設定!$B$5*$G64)</f>
      </c>
      <c r="K64" s="682">
        <f>IF($F64="","",$F64-BB設定!$B$4*$G64)</f>
      </c>
      <c r="L64" s="687">
        <f>IF($F64="","",IFERROR(($B64-$K64)/($H64-$K64),""))</f>
      </c>
      <c r="M64" s="684">
        <f>IF(COUNT(B51:B64)&lt;14,"",IFERROR(100-100/(1+SUMPRODUCT((B51:B64&gt;B50:B63)*(B51:B64-B50:B63))/SUMPRODUCT((B51:B64&lt;B50:B63)*(B50:B63-B51:B64))),100))</f>
      </c>
      <c r="N64" s="684">
        <f>IF(COUNT(B51:B64)&lt;14,"",IFERROR(100-100/(1+SUMPRODUCT((((C51:C64+D51:D64+B51:B64)/3)&gt;((C50:C63+D50:D63+B50:B63)/3))*((C51:C64+D51:D64+B51:B64)/3)*E51:E64)/SUMPRODUCT((((C51:C64+D51:D64+B51:B64)/3)&lt;((C50:C63+D50:D63+B50:B63)/3))*((C51:C64+D51:D64+B51:B64)/3)*E51:E64)),50))</f>
      </c>
      <c r="O64" s="685">
        <f>IF($O63=0,IF(AND($H64&lt;&gt;"",$B64&gt;$H64,$B63&lt;=$H63),1,0),IF($B64&lt;$I64,0,1))</f>
      </c>
      <c r="P64" s="682">
        <f>IF($O64=1,IF($O63=0,$B64,$P63),"")</f>
      </c>
      <c r="Q64" s="686">
        <f>IF(AND($O64=0,$O63=1),($B64-$P63)/$P63*100,"")</f>
      </c>
      <c r="R64" s="681">
        <f>IF($O64=1,IF($O63=0,"▲新規買い","保有中"),IF($O63=1,"■手仕舞い",""))</f>
      </c>
    </row>
    <row r="65">
      <c r="A65" s="681">
        <f>IF($B65="","",IFERROR(TEXT(INDEX(終値!$3:$3,1,105-(ROW()-8)),"m/d"),""))</f>
      </c>
      <c r="B65" s="682">
        <f>IFERROR(IF(INDEX(終値!$A:$CZ,$B$4,105-(ROW()-8))=0,"",INDEX(終値!$A:$CZ,$B$4,105-(ROW()-8))),"")</f>
      </c>
      <c r="C65" s="682">
        <f>IF($B65="","",IFERROR(INDEX(高値!$A:$CZ,$B$4,105-(ROW()-8)),""))</f>
      </c>
      <c r="D65" s="682">
        <f>IF($B65="","",IFERROR(INDEX(安値!$A:$CZ,$B$4,105-(ROW()-8)),""))</f>
      </c>
      <c r="E65" s="682">
        <f>IF($B65="","",IFERROR(INDEX(出来高!$A:$CZ,$B$4,105-(ROW()-8)),""))</f>
      </c>
      <c r="F65" s="682">
        <f>IF(COUNT(B46:B65)=20,AVERAGE(B46:B65),"")</f>
      </c>
      <c r="G65" s="683">
        <f>IF(COUNT(B46:B65)=20,STDEVP(B46:B65),"")</f>
      </c>
      <c r="H65" s="682">
        <f>IF($F65="","",$F65+BB設定!$B$4*$G65)</f>
      </c>
      <c r="I65" s="682">
        <f>IF($F65="","",$F65+BB設定!$B$5*$G65)</f>
      </c>
      <c r="J65" s="682">
        <f>IF($F65="","",$F65-BB設定!$B$5*$G65)</f>
      </c>
      <c r="K65" s="682">
        <f>IF($F65="","",$F65-BB設定!$B$4*$G65)</f>
      </c>
      <c r="L65" s="687">
        <f>IF($F65="","",IFERROR(($B65-$K65)/($H65-$K65),""))</f>
      </c>
      <c r="M65" s="684">
        <f>IF(COUNT(B52:B65)&lt;14,"",IFERROR(100-100/(1+SUMPRODUCT((B52:B65&gt;B51:B64)*(B52:B65-B51:B64))/SUMPRODUCT((B52:B65&lt;B51:B64)*(B51:B64-B52:B65))),100))</f>
      </c>
      <c r="N65" s="684">
        <f>IF(COUNT(B52:B65)&lt;14,"",IFERROR(100-100/(1+SUMPRODUCT((((C52:C65+D52:D65+B52:B65)/3)&gt;((C51:C64+D51:D64+B51:B64)/3))*((C52:C65+D52:D65+B52:B65)/3)*E52:E65)/SUMPRODUCT((((C52:C65+D52:D65+B52:B65)/3)&lt;((C51:C64+D51:D64+B51:B64)/3))*((C52:C65+D52:D65+B52:B65)/3)*E52:E65)),50))</f>
      </c>
      <c r="O65" s="685">
        <f>IF($O64=0,IF(AND($H65&lt;&gt;"",$B65&gt;$H65,$B64&lt;=$H64),1,0),IF($B65&lt;$I65,0,1))</f>
      </c>
      <c r="P65" s="682">
        <f>IF($O65=1,IF($O64=0,$B65,$P64),"")</f>
      </c>
      <c r="Q65" s="686">
        <f>IF(AND($O65=0,$O64=1),($B65-$P64)/$P64*100,"")</f>
      </c>
      <c r="R65" s="681">
        <f>IF($O65=1,IF($O64=0,"▲新規買い","保有中"),IF($O64=1,"■手仕舞い",""))</f>
      </c>
    </row>
    <row r="66">
      <c r="A66" s="681">
        <f>IF($B66="","",IFERROR(TEXT(INDEX(終値!$3:$3,1,105-(ROW()-8)),"m/d"),""))</f>
      </c>
      <c r="B66" s="682">
        <f>IFERROR(IF(INDEX(終値!$A:$CZ,$B$4,105-(ROW()-8))=0,"",INDEX(終値!$A:$CZ,$B$4,105-(ROW()-8))),"")</f>
      </c>
      <c r="C66" s="682">
        <f>IF($B66="","",IFERROR(INDEX(高値!$A:$CZ,$B$4,105-(ROW()-8)),""))</f>
      </c>
      <c r="D66" s="682">
        <f>IF($B66="","",IFERROR(INDEX(安値!$A:$CZ,$B$4,105-(ROW()-8)),""))</f>
      </c>
      <c r="E66" s="682">
        <f>IF($B66="","",IFERROR(INDEX(出来高!$A:$CZ,$B$4,105-(ROW()-8)),""))</f>
      </c>
      <c r="F66" s="682">
        <f>IF(COUNT(B47:B66)=20,AVERAGE(B47:B66),"")</f>
      </c>
      <c r="G66" s="683">
        <f>IF(COUNT(B47:B66)=20,STDEVP(B47:B66),"")</f>
      </c>
      <c r="H66" s="682">
        <f>IF($F66="","",$F66+BB設定!$B$4*$G66)</f>
      </c>
      <c r="I66" s="682">
        <f>IF($F66="","",$F66+BB設定!$B$5*$G66)</f>
      </c>
      <c r="J66" s="682">
        <f>IF($F66="","",$F66-BB設定!$B$5*$G66)</f>
      </c>
      <c r="K66" s="682">
        <f>IF($F66="","",$F66-BB設定!$B$4*$G66)</f>
      </c>
      <c r="L66" s="687">
        <f>IF($F66="","",IFERROR(($B66-$K66)/($H66-$K66),""))</f>
      </c>
      <c r="M66" s="684">
        <f>IF(COUNT(B53:B66)&lt;14,"",IFERROR(100-100/(1+SUMPRODUCT((B53:B66&gt;B52:B65)*(B53:B66-B52:B65))/SUMPRODUCT((B53:B66&lt;B52:B65)*(B52:B65-B53:B66))),100))</f>
      </c>
      <c r="N66" s="684">
        <f>IF(COUNT(B53:B66)&lt;14,"",IFERROR(100-100/(1+SUMPRODUCT((((C53:C66+D53:D66+B53:B66)/3)&gt;((C52:C65+D52:D65+B52:B65)/3))*((C53:C66+D53:D66+B53:B66)/3)*E53:E66)/SUMPRODUCT((((C53:C66+D53:D66+B53:B66)/3)&lt;((C52:C65+D52:D65+B52:B65)/3))*((C53:C66+D53:D66+B53:B66)/3)*E53:E66)),50))</f>
      </c>
      <c r="O66" s="685">
        <f>IF($O65=0,IF(AND($H66&lt;&gt;"",$B66&gt;$H66,$B65&lt;=$H65),1,0),IF($B66&lt;$I66,0,1))</f>
      </c>
      <c r="P66" s="682">
        <f>IF($O66=1,IF($O65=0,$B66,$P65),"")</f>
      </c>
      <c r="Q66" s="686">
        <f>IF(AND($O66=0,$O65=1),($B66-$P65)/$P65*100,"")</f>
      </c>
      <c r="R66" s="681">
        <f>IF($O66=1,IF($O65=0,"▲新規買い","保有中"),IF($O65=1,"■手仕舞い",""))</f>
      </c>
    </row>
    <row r="67">
      <c r="A67" s="681">
        <f>IF($B67="","",IFERROR(TEXT(INDEX(終値!$3:$3,1,105-(ROW()-8)),"m/d"),""))</f>
      </c>
      <c r="B67" s="682">
        <f>IFERROR(IF(INDEX(終値!$A:$CZ,$B$4,105-(ROW()-8))=0,"",INDEX(終値!$A:$CZ,$B$4,105-(ROW()-8))),"")</f>
      </c>
      <c r="C67" s="682">
        <f>IF($B67="","",IFERROR(INDEX(高値!$A:$CZ,$B$4,105-(ROW()-8)),""))</f>
      </c>
      <c r="D67" s="682">
        <f>IF($B67="","",IFERROR(INDEX(安値!$A:$CZ,$B$4,105-(ROW()-8)),""))</f>
      </c>
      <c r="E67" s="682">
        <f>IF($B67="","",IFERROR(INDEX(出来高!$A:$CZ,$B$4,105-(ROW()-8)),""))</f>
      </c>
      <c r="F67" s="682">
        <f>IF(COUNT(B48:B67)=20,AVERAGE(B48:B67),"")</f>
      </c>
      <c r="G67" s="683">
        <f>IF(COUNT(B48:B67)=20,STDEVP(B48:B67),"")</f>
      </c>
      <c r="H67" s="682">
        <f>IF($F67="","",$F67+BB設定!$B$4*$G67)</f>
      </c>
      <c r="I67" s="682">
        <f>IF($F67="","",$F67+BB設定!$B$5*$G67)</f>
      </c>
      <c r="J67" s="682">
        <f>IF($F67="","",$F67-BB設定!$B$5*$G67)</f>
      </c>
      <c r="K67" s="682">
        <f>IF($F67="","",$F67-BB設定!$B$4*$G67)</f>
      </c>
      <c r="L67" s="687">
        <f>IF($F67="","",IFERROR(($B67-$K67)/($H67-$K67),""))</f>
      </c>
      <c r="M67" s="684">
        <f>IF(COUNT(B54:B67)&lt;14,"",IFERROR(100-100/(1+SUMPRODUCT((B54:B67&gt;B53:B66)*(B54:B67-B53:B66))/SUMPRODUCT((B54:B67&lt;B53:B66)*(B53:B66-B54:B67))),100))</f>
      </c>
      <c r="N67" s="684">
        <f>IF(COUNT(B54:B67)&lt;14,"",IFERROR(100-100/(1+SUMPRODUCT((((C54:C67+D54:D67+B54:B67)/3)&gt;((C53:C66+D53:D66+B53:B66)/3))*((C54:C67+D54:D67+B54:B67)/3)*E54:E67)/SUMPRODUCT((((C54:C67+D54:D67+B54:B67)/3)&lt;((C53:C66+D53:D66+B53:B66)/3))*((C54:C67+D54:D67+B54:B67)/3)*E54:E67)),50))</f>
      </c>
      <c r="O67" s="685">
        <f>IF($O66=0,IF(AND($H67&lt;&gt;"",$B67&gt;$H67,$B66&lt;=$H66),1,0),IF($B67&lt;$I67,0,1))</f>
      </c>
      <c r="P67" s="682">
        <f>IF($O67=1,IF($O66=0,$B67,$P66),"")</f>
      </c>
      <c r="Q67" s="686">
        <f>IF(AND($O67=0,$O66=1),($B67-$P66)/$P66*100,"")</f>
      </c>
      <c r="R67" s="681">
        <f>IF($O67=1,IF($O66=0,"▲新規買い","保有中"),IF($O66=1,"■手仕舞い",""))</f>
      </c>
    </row>
    <row r="68">
      <c r="A68" s="681">
        <f>IF($B68="","",IFERROR(TEXT(INDEX(終値!$3:$3,1,105-(ROW()-8)),"m/d"),""))</f>
      </c>
      <c r="B68" s="682">
        <f>IFERROR(IF(INDEX(終値!$A:$CZ,$B$4,105-(ROW()-8))=0,"",INDEX(終値!$A:$CZ,$B$4,105-(ROW()-8))),"")</f>
      </c>
      <c r="C68" s="682">
        <f>IF($B68="","",IFERROR(INDEX(高値!$A:$CZ,$B$4,105-(ROW()-8)),""))</f>
      </c>
      <c r="D68" s="682">
        <f>IF($B68="","",IFERROR(INDEX(安値!$A:$CZ,$B$4,105-(ROW()-8)),""))</f>
      </c>
      <c r="E68" s="682">
        <f>IF($B68="","",IFERROR(INDEX(出来高!$A:$CZ,$B$4,105-(ROW()-8)),""))</f>
      </c>
      <c r="F68" s="682">
        <f>IF(COUNT(B49:B68)=20,AVERAGE(B49:B68),"")</f>
      </c>
      <c r="G68" s="683">
        <f>IF(COUNT(B49:B68)=20,STDEVP(B49:B68),"")</f>
      </c>
      <c r="H68" s="682">
        <f>IF($F68="","",$F68+BB設定!$B$4*$G68)</f>
      </c>
      <c r="I68" s="682">
        <f>IF($F68="","",$F68+BB設定!$B$5*$G68)</f>
      </c>
      <c r="J68" s="682">
        <f>IF($F68="","",$F68-BB設定!$B$5*$G68)</f>
      </c>
      <c r="K68" s="682">
        <f>IF($F68="","",$F68-BB設定!$B$4*$G68)</f>
      </c>
      <c r="L68" s="687">
        <f>IF($F68="","",IFERROR(($B68-$K68)/($H68-$K68),""))</f>
      </c>
      <c r="M68" s="684">
        <f>IF(COUNT(B55:B68)&lt;14,"",IFERROR(100-100/(1+SUMPRODUCT((B55:B68&gt;B54:B67)*(B55:B68-B54:B67))/SUMPRODUCT((B55:B68&lt;B54:B67)*(B54:B67-B55:B68))),100))</f>
      </c>
      <c r="N68" s="684">
        <f>IF(COUNT(B55:B68)&lt;14,"",IFERROR(100-100/(1+SUMPRODUCT((((C55:C68+D55:D68+B55:B68)/3)&gt;((C54:C67+D54:D67+B54:B67)/3))*((C55:C68+D55:D68+B55:B68)/3)*E55:E68)/SUMPRODUCT((((C55:C68+D55:D68+B55:B68)/3)&lt;((C54:C67+D54:D67+B54:B67)/3))*((C55:C68+D55:D68+B55:B68)/3)*E55:E68)),50))</f>
      </c>
      <c r="O68" s="685">
        <f>IF($O67=0,IF(AND($H68&lt;&gt;"",$B68&gt;$H68,$B67&lt;=$H67),1,0),IF($B68&lt;$I68,0,1))</f>
      </c>
      <c r="P68" s="682">
        <f>IF($O68=1,IF($O67=0,$B68,$P67),"")</f>
      </c>
      <c r="Q68" s="686">
        <f>IF(AND($O68=0,$O67=1),($B68-$P67)/$P67*100,"")</f>
      </c>
      <c r="R68" s="681">
        <f>IF($O68=1,IF($O67=0,"▲新規買い","保有中"),IF($O67=1,"■手仕舞い",""))</f>
      </c>
    </row>
    <row r="69">
      <c r="A69" s="681">
        <f>IF($B69="","",IFERROR(TEXT(INDEX(終値!$3:$3,1,105-(ROW()-8)),"m/d"),""))</f>
      </c>
      <c r="B69" s="682">
        <f>IFERROR(IF(INDEX(終値!$A:$CZ,$B$4,105-(ROW()-8))=0,"",INDEX(終値!$A:$CZ,$B$4,105-(ROW()-8))),"")</f>
      </c>
      <c r="C69" s="682">
        <f>IF($B69="","",IFERROR(INDEX(高値!$A:$CZ,$B$4,105-(ROW()-8)),""))</f>
      </c>
      <c r="D69" s="682">
        <f>IF($B69="","",IFERROR(INDEX(安値!$A:$CZ,$B$4,105-(ROW()-8)),""))</f>
      </c>
      <c r="E69" s="682">
        <f>IF($B69="","",IFERROR(INDEX(出来高!$A:$CZ,$B$4,105-(ROW()-8)),""))</f>
      </c>
      <c r="F69" s="682">
        <f>IF(COUNT(B50:B69)=20,AVERAGE(B50:B69),"")</f>
      </c>
      <c r="G69" s="683">
        <f>IF(COUNT(B50:B69)=20,STDEVP(B50:B69),"")</f>
      </c>
      <c r="H69" s="682">
        <f>IF($F69="","",$F69+BB設定!$B$4*$G69)</f>
      </c>
      <c r="I69" s="682">
        <f>IF($F69="","",$F69+BB設定!$B$5*$G69)</f>
      </c>
      <c r="J69" s="682">
        <f>IF($F69="","",$F69-BB設定!$B$5*$G69)</f>
      </c>
      <c r="K69" s="682">
        <f>IF($F69="","",$F69-BB設定!$B$4*$G69)</f>
      </c>
      <c r="L69" s="687">
        <f>IF($F69="","",IFERROR(($B69-$K69)/($H69-$K69),""))</f>
      </c>
      <c r="M69" s="684">
        <f>IF(COUNT(B56:B69)&lt;14,"",IFERROR(100-100/(1+SUMPRODUCT((B56:B69&gt;B55:B68)*(B56:B69-B55:B68))/SUMPRODUCT((B56:B69&lt;B55:B68)*(B55:B68-B56:B69))),100))</f>
      </c>
      <c r="N69" s="684">
        <f>IF(COUNT(B56:B69)&lt;14,"",IFERROR(100-100/(1+SUMPRODUCT((((C56:C69+D56:D69+B56:B69)/3)&gt;((C55:C68+D55:D68+B55:B68)/3))*((C56:C69+D56:D69+B56:B69)/3)*E56:E69)/SUMPRODUCT((((C56:C69+D56:D69+B56:B69)/3)&lt;((C55:C68+D55:D68+B55:B68)/3))*((C56:C69+D56:D69+B56:B69)/3)*E56:E69)),50))</f>
      </c>
      <c r="O69" s="685">
        <f>IF($O68=0,IF(AND($H69&lt;&gt;"",$B69&gt;$H69,$B68&lt;=$H68),1,0),IF($B69&lt;$I69,0,1))</f>
      </c>
      <c r="P69" s="682">
        <f>IF($O69=1,IF($O68=0,$B69,$P68),"")</f>
      </c>
      <c r="Q69" s="686">
        <f>IF(AND($O69=0,$O68=1),($B69-$P68)/$P68*100,"")</f>
      </c>
      <c r="R69" s="681">
        <f>IF($O69=1,IF($O68=0,"▲新規買い","保有中"),IF($O68=1,"■手仕舞い",""))</f>
      </c>
    </row>
    <row r="70">
      <c r="A70" s="681">
        <f>IF($B70="","",IFERROR(TEXT(INDEX(終値!$3:$3,1,105-(ROW()-8)),"m/d"),""))</f>
      </c>
      <c r="B70" s="682">
        <f>IFERROR(IF(INDEX(終値!$A:$CZ,$B$4,105-(ROW()-8))=0,"",INDEX(終値!$A:$CZ,$B$4,105-(ROW()-8))),"")</f>
      </c>
      <c r="C70" s="682">
        <f>IF($B70="","",IFERROR(INDEX(高値!$A:$CZ,$B$4,105-(ROW()-8)),""))</f>
      </c>
      <c r="D70" s="682">
        <f>IF($B70="","",IFERROR(INDEX(安値!$A:$CZ,$B$4,105-(ROW()-8)),""))</f>
      </c>
      <c r="E70" s="682">
        <f>IF($B70="","",IFERROR(INDEX(出来高!$A:$CZ,$B$4,105-(ROW()-8)),""))</f>
      </c>
      <c r="F70" s="682">
        <f>IF(COUNT(B51:B70)=20,AVERAGE(B51:B70),"")</f>
      </c>
      <c r="G70" s="683">
        <f>IF(COUNT(B51:B70)=20,STDEVP(B51:B70),"")</f>
      </c>
      <c r="H70" s="682">
        <f>IF($F70="","",$F70+BB設定!$B$4*$G70)</f>
      </c>
      <c r="I70" s="682">
        <f>IF($F70="","",$F70+BB設定!$B$5*$G70)</f>
      </c>
      <c r="J70" s="682">
        <f>IF($F70="","",$F70-BB設定!$B$5*$G70)</f>
      </c>
      <c r="K70" s="682">
        <f>IF($F70="","",$F70-BB設定!$B$4*$G70)</f>
      </c>
      <c r="L70" s="687">
        <f>IF($F70="","",IFERROR(($B70-$K70)/($H70-$K70),""))</f>
      </c>
      <c r="M70" s="684">
        <f>IF(COUNT(B57:B70)&lt;14,"",IFERROR(100-100/(1+SUMPRODUCT((B57:B70&gt;B56:B69)*(B57:B70-B56:B69))/SUMPRODUCT((B57:B70&lt;B56:B69)*(B56:B69-B57:B70))),100))</f>
      </c>
      <c r="N70" s="684">
        <f>IF(COUNT(B57:B70)&lt;14,"",IFERROR(100-100/(1+SUMPRODUCT((((C57:C70+D57:D70+B57:B70)/3)&gt;((C56:C69+D56:D69+B56:B69)/3))*((C57:C70+D57:D70+B57:B70)/3)*E57:E70)/SUMPRODUCT((((C57:C70+D57:D70+B57:B70)/3)&lt;((C56:C69+D56:D69+B56:B69)/3))*((C57:C70+D57:D70+B57:B70)/3)*E57:E70)),50))</f>
      </c>
      <c r="O70" s="685">
        <f>IF($O69=0,IF(AND($H70&lt;&gt;"",$B70&gt;$H70,$B69&lt;=$H69),1,0),IF($B70&lt;$I70,0,1))</f>
      </c>
      <c r="P70" s="682">
        <f>IF($O70=1,IF($O69=0,$B70,$P69),"")</f>
      </c>
      <c r="Q70" s="686">
        <f>IF(AND($O70=0,$O69=1),($B70-$P69)/$P69*100,"")</f>
      </c>
      <c r="R70" s="681">
        <f>IF($O70=1,IF($O69=0,"▲新規買い","保有中"),IF($O69=1,"■手仕舞い",""))</f>
      </c>
    </row>
    <row r="71">
      <c r="A71" s="681">
        <f>IF($B71="","",IFERROR(TEXT(INDEX(終値!$3:$3,1,105-(ROW()-8)),"m/d"),""))</f>
      </c>
      <c r="B71" s="682">
        <f>IFERROR(IF(INDEX(終値!$A:$CZ,$B$4,105-(ROW()-8))=0,"",INDEX(終値!$A:$CZ,$B$4,105-(ROW()-8))),"")</f>
      </c>
      <c r="C71" s="682">
        <f>IF($B71="","",IFERROR(INDEX(高値!$A:$CZ,$B$4,105-(ROW()-8)),""))</f>
      </c>
      <c r="D71" s="682">
        <f>IF($B71="","",IFERROR(INDEX(安値!$A:$CZ,$B$4,105-(ROW()-8)),""))</f>
      </c>
      <c r="E71" s="682">
        <f>IF($B71="","",IFERROR(INDEX(出来高!$A:$CZ,$B$4,105-(ROW()-8)),""))</f>
      </c>
      <c r="F71" s="682">
        <f>IF(COUNT(B52:B71)=20,AVERAGE(B52:B71),"")</f>
      </c>
      <c r="G71" s="683">
        <f>IF(COUNT(B52:B71)=20,STDEVP(B52:B71),"")</f>
      </c>
      <c r="H71" s="682">
        <f>IF($F71="","",$F71+BB設定!$B$4*$G71)</f>
      </c>
      <c r="I71" s="682">
        <f>IF($F71="","",$F71+BB設定!$B$5*$G71)</f>
      </c>
      <c r="J71" s="682">
        <f>IF($F71="","",$F71-BB設定!$B$5*$G71)</f>
      </c>
      <c r="K71" s="682">
        <f>IF($F71="","",$F71-BB設定!$B$4*$G71)</f>
      </c>
      <c r="L71" s="687">
        <f>IF($F71="","",IFERROR(($B71-$K71)/($H71-$K71),""))</f>
      </c>
      <c r="M71" s="684">
        <f>IF(COUNT(B58:B71)&lt;14,"",IFERROR(100-100/(1+SUMPRODUCT((B58:B71&gt;B57:B70)*(B58:B71-B57:B70))/SUMPRODUCT((B58:B71&lt;B57:B70)*(B57:B70-B58:B71))),100))</f>
      </c>
      <c r="N71" s="684">
        <f>IF(COUNT(B58:B71)&lt;14,"",IFERROR(100-100/(1+SUMPRODUCT((((C58:C71+D58:D71+B58:B71)/3)&gt;((C57:C70+D57:D70+B57:B70)/3))*((C58:C71+D58:D71+B58:B71)/3)*E58:E71)/SUMPRODUCT((((C58:C71+D58:D71+B58:B71)/3)&lt;((C57:C70+D57:D70+B57:B70)/3))*((C58:C71+D58:D71+B58:B71)/3)*E58:E71)),50))</f>
      </c>
      <c r="O71" s="685">
        <f>IF($O70=0,IF(AND($H71&lt;&gt;"",$B71&gt;$H71,$B70&lt;=$H70),1,0),IF($B71&lt;$I71,0,1))</f>
      </c>
      <c r="P71" s="682">
        <f>IF($O71=1,IF($O70=0,$B71,$P70),"")</f>
      </c>
      <c r="Q71" s="686">
        <f>IF(AND($O71=0,$O70=1),($B71-$P70)/$P70*100,"")</f>
      </c>
      <c r="R71" s="681">
        <f>IF($O71=1,IF($O70=0,"▲新規買い","保有中"),IF($O70=1,"■手仕舞い",""))</f>
      </c>
    </row>
    <row r="72">
      <c r="A72" s="681">
        <f>IF($B72="","",IFERROR(TEXT(INDEX(終値!$3:$3,1,105-(ROW()-8)),"m/d"),""))</f>
      </c>
      <c r="B72" s="682">
        <f>IFERROR(IF(INDEX(終値!$A:$CZ,$B$4,105-(ROW()-8))=0,"",INDEX(終値!$A:$CZ,$B$4,105-(ROW()-8))),"")</f>
      </c>
      <c r="C72" s="682">
        <f>IF($B72="","",IFERROR(INDEX(高値!$A:$CZ,$B$4,105-(ROW()-8)),""))</f>
      </c>
      <c r="D72" s="682">
        <f>IF($B72="","",IFERROR(INDEX(安値!$A:$CZ,$B$4,105-(ROW()-8)),""))</f>
      </c>
      <c r="E72" s="682">
        <f>IF($B72="","",IFERROR(INDEX(出来高!$A:$CZ,$B$4,105-(ROW()-8)),""))</f>
      </c>
      <c r="F72" s="682">
        <f>IF(COUNT(B53:B72)=20,AVERAGE(B53:B72),"")</f>
      </c>
      <c r="G72" s="683">
        <f>IF(COUNT(B53:B72)=20,STDEVP(B53:B72),"")</f>
      </c>
      <c r="H72" s="682">
        <f>IF($F72="","",$F72+BB設定!$B$4*$G72)</f>
      </c>
      <c r="I72" s="682">
        <f>IF($F72="","",$F72+BB設定!$B$5*$G72)</f>
      </c>
      <c r="J72" s="682">
        <f>IF($F72="","",$F72-BB設定!$B$5*$G72)</f>
      </c>
      <c r="K72" s="682">
        <f>IF($F72="","",$F72-BB設定!$B$4*$G72)</f>
      </c>
      <c r="L72" s="687">
        <f>IF($F72="","",IFERROR(($B72-$K72)/($H72-$K72),""))</f>
      </c>
      <c r="M72" s="684">
        <f>IF(COUNT(B59:B72)&lt;14,"",IFERROR(100-100/(1+SUMPRODUCT((B59:B72&gt;B58:B71)*(B59:B72-B58:B71))/SUMPRODUCT((B59:B72&lt;B58:B71)*(B58:B71-B59:B72))),100))</f>
      </c>
      <c r="N72" s="684">
        <f>IF(COUNT(B59:B72)&lt;14,"",IFERROR(100-100/(1+SUMPRODUCT((((C59:C72+D59:D72+B59:B72)/3)&gt;((C58:C71+D58:D71+B58:B71)/3))*((C59:C72+D59:D72+B59:B72)/3)*E59:E72)/SUMPRODUCT((((C59:C72+D59:D72+B59:B72)/3)&lt;((C58:C71+D58:D71+B58:B71)/3))*((C59:C72+D59:D72+B59:B72)/3)*E59:E72)),50))</f>
      </c>
      <c r="O72" s="685">
        <f>IF($O71=0,IF(AND($H72&lt;&gt;"",$B72&gt;$H72,$B71&lt;=$H71),1,0),IF($B72&lt;$I72,0,1))</f>
      </c>
      <c r="P72" s="682">
        <f>IF($O72=1,IF($O71=0,$B72,$P71),"")</f>
      </c>
      <c r="Q72" s="686">
        <f>IF(AND($O72=0,$O71=1),($B72-$P71)/$P71*100,"")</f>
      </c>
      <c r="R72" s="681">
        <f>IF($O72=1,IF($O71=0,"▲新規買い","保有中"),IF($O71=1,"■手仕舞い",""))</f>
      </c>
    </row>
    <row r="73">
      <c r="A73" s="681">
        <f>IF($B73="","",IFERROR(TEXT(INDEX(終値!$3:$3,1,105-(ROW()-8)),"m/d"),""))</f>
      </c>
      <c r="B73" s="682">
        <f>IFERROR(IF(INDEX(終値!$A:$CZ,$B$4,105-(ROW()-8))=0,"",INDEX(終値!$A:$CZ,$B$4,105-(ROW()-8))),"")</f>
      </c>
      <c r="C73" s="682">
        <f>IF($B73="","",IFERROR(INDEX(高値!$A:$CZ,$B$4,105-(ROW()-8)),""))</f>
      </c>
      <c r="D73" s="682">
        <f>IF($B73="","",IFERROR(INDEX(安値!$A:$CZ,$B$4,105-(ROW()-8)),""))</f>
      </c>
      <c r="E73" s="682">
        <f>IF($B73="","",IFERROR(INDEX(出来高!$A:$CZ,$B$4,105-(ROW()-8)),""))</f>
      </c>
      <c r="F73" s="682">
        <f>IF(COUNT(B54:B73)=20,AVERAGE(B54:B73),"")</f>
      </c>
      <c r="G73" s="683">
        <f>IF(COUNT(B54:B73)=20,STDEVP(B54:B73),"")</f>
      </c>
      <c r="H73" s="682">
        <f>IF($F73="","",$F73+BB設定!$B$4*$G73)</f>
      </c>
      <c r="I73" s="682">
        <f>IF($F73="","",$F73+BB設定!$B$5*$G73)</f>
      </c>
      <c r="J73" s="682">
        <f>IF($F73="","",$F73-BB設定!$B$5*$G73)</f>
      </c>
      <c r="K73" s="682">
        <f>IF($F73="","",$F73-BB設定!$B$4*$G73)</f>
      </c>
      <c r="L73" s="687">
        <f>IF($F73="","",IFERROR(($B73-$K73)/($H73-$K73),""))</f>
      </c>
      <c r="M73" s="684">
        <f>IF(COUNT(B60:B73)&lt;14,"",IFERROR(100-100/(1+SUMPRODUCT((B60:B73&gt;B59:B72)*(B60:B73-B59:B72))/SUMPRODUCT((B60:B73&lt;B59:B72)*(B59:B72-B60:B73))),100))</f>
      </c>
      <c r="N73" s="684">
        <f>IF(COUNT(B60:B73)&lt;14,"",IFERROR(100-100/(1+SUMPRODUCT((((C60:C73+D60:D73+B60:B73)/3)&gt;((C59:C72+D59:D72+B59:B72)/3))*((C60:C73+D60:D73+B60:B73)/3)*E60:E73)/SUMPRODUCT((((C60:C73+D60:D73+B60:B73)/3)&lt;((C59:C72+D59:D72+B59:B72)/3))*((C60:C73+D60:D73+B60:B73)/3)*E60:E73)),50))</f>
      </c>
      <c r="O73" s="685">
        <f>IF($O72=0,IF(AND($H73&lt;&gt;"",$B73&gt;$H73,$B72&lt;=$H72),1,0),IF($B73&lt;$I73,0,1))</f>
      </c>
      <c r="P73" s="682">
        <f>IF($O73=1,IF($O72=0,$B73,$P72),"")</f>
      </c>
      <c r="Q73" s="686">
        <f>IF(AND($O73=0,$O72=1),($B73-$P72)/$P72*100,"")</f>
      </c>
      <c r="R73" s="681">
        <f>IF($O73=1,IF($O72=0,"▲新規買い","保有中"),IF($O72=1,"■手仕舞い",""))</f>
      </c>
    </row>
    <row r="74">
      <c r="A74" s="681">
        <f>IF($B74="","",IFERROR(TEXT(INDEX(終値!$3:$3,1,105-(ROW()-8)),"m/d"),""))</f>
      </c>
      <c r="B74" s="682">
        <f>IFERROR(IF(INDEX(終値!$A:$CZ,$B$4,105-(ROW()-8))=0,"",INDEX(終値!$A:$CZ,$B$4,105-(ROW()-8))),"")</f>
      </c>
      <c r="C74" s="682">
        <f>IF($B74="","",IFERROR(INDEX(高値!$A:$CZ,$B$4,105-(ROW()-8)),""))</f>
      </c>
      <c r="D74" s="682">
        <f>IF($B74="","",IFERROR(INDEX(安値!$A:$CZ,$B$4,105-(ROW()-8)),""))</f>
      </c>
      <c r="E74" s="682">
        <f>IF($B74="","",IFERROR(INDEX(出来高!$A:$CZ,$B$4,105-(ROW()-8)),""))</f>
      </c>
      <c r="F74" s="682">
        <f>IF(COUNT(B55:B74)=20,AVERAGE(B55:B74),"")</f>
      </c>
      <c r="G74" s="683">
        <f>IF(COUNT(B55:B74)=20,STDEVP(B55:B74),"")</f>
      </c>
      <c r="H74" s="682">
        <f>IF($F74="","",$F74+BB設定!$B$4*$G74)</f>
      </c>
      <c r="I74" s="682">
        <f>IF($F74="","",$F74+BB設定!$B$5*$G74)</f>
      </c>
      <c r="J74" s="682">
        <f>IF($F74="","",$F74-BB設定!$B$5*$G74)</f>
      </c>
      <c r="K74" s="682">
        <f>IF($F74="","",$F74-BB設定!$B$4*$G74)</f>
      </c>
      <c r="L74" s="687">
        <f>IF($F74="","",IFERROR(($B74-$K74)/($H74-$K74),""))</f>
      </c>
      <c r="M74" s="684">
        <f>IF(COUNT(B61:B74)&lt;14,"",IFERROR(100-100/(1+SUMPRODUCT((B61:B74&gt;B60:B73)*(B61:B74-B60:B73))/SUMPRODUCT((B61:B74&lt;B60:B73)*(B60:B73-B61:B74))),100))</f>
      </c>
      <c r="N74" s="684">
        <f>IF(COUNT(B61:B74)&lt;14,"",IFERROR(100-100/(1+SUMPRODUCT((((C61:C74+D61:D74+B61:B74)/3)&gt;((C60:C73+D60:D73+B60:B73)/3))*((C61:C74+D61:D74+B61:B74)/3)*E61:E74)/SUMPRODUCT((((C61:C74+D61:D74+B61:B74)/3)&lt;((C60:C73+D60:D73+B60:B73)/3))*((C61:C74+D61:D74+B61:B74)/3)*E61:E74)),50))</f>
      </c>
      <c r="O74" s="685">
        <f>IF($O73=0,IF(AND($H74&lt;&gt;"",$B74&gt;$H74,$B73&lt;=$H73),1,0),IF($B74&lt;$I74,0,1))</f>
      </c>
      <c r="P74" s="682">
        <f>IF($O74=1,IF($O73=0,$B74,$P73),"")</f>
      </c>
      <c r="Q74" s="686">
        <f>IF(AND($O74=0,$O73=1),($B74-$P73)/$P73*100,"")</f>
      </c>
      <c r="R74" s="681">
        <f>IF($O74=1,IF($O73=0,"▲新規買い","保有中"),IF($O73=1,"■手仕舞い",""))</f>
      </c>
    </row>
    <row r="75">
      <c r="A75" s="681">
        <f>IF($B75="","",IFERROR(TEXT(INDEX(終値!$3:$3,1,105-(ROW()-8)),"m/d"),""))</f>
      </c>
      <c r="B75" s="682">
        <f>IFERROR(IF(INDEX(終値!$A:$CZ,$B$4,105-(ROW()-8))=0,"",INDEX(終値!$A:$CZ,$B$4,105-(ROW()-8))),"")</f>
      </c>
      <c r="C75" s="682">
        <f>IF($B75="","",IFERROR(INDEX(高値!$A:$CZ,$B$4,105-(ROW()-8)),""))</f>
      </c>
      <c r="D75" s="682">
        <f>IF($B75="","",IFERROR(INDEX(安値!$A:$CZ,$B$4,105-(ROW()-8)),""))</f>
      </c>
      <c r="E75" s="682">
        <f>IF($B75="","",IFERROR(INDEX(出来高!$A:$CZ,$B$4,105-(ROW()-8)),""))</f>
      </c>
      <c r="F75" s="682">
        <f>IF(COUNT(B56:B75)=20,AVERAGE(B56:B75),"")</f>
      </c>
      <c r="G75" s="683">
        <f>IF(COUNT(B56:B75)=20,STDEVP(B56:B75),"")</f>
      </c>
      <c r="H75" s="682">
        <f>IF($F75="","",$F75+BB設定!$B$4*$G75)</f>
      </c>
      <c r="I75" s="682">
        <f>IF($F75="","",$F75+BB設定!$B$5*$G75)</f>
      </c>
      <c r="J75" s="682">
        <f>IF($F75="","",$F75-BB設定!$B$5*$G75)</f>
      </c>
      <c r="K75" s="682">
        <f>IF($F75="","",$F75-BB設定!$B$4*$G75)</f>
      </c>
      <c r="L75" s="687">
        <f>IF($F75="","",IFERROR(($B75-$K75)/($H75-$K75),""))</f>
      </c>
      <c r="M75" s="684">
        <f>IF(COUNT(B62:B75)&lt;14,"",IFERROR(100-100/(1+SUMPRODUCT((B62:B75&gt;B61:B74)*(B62:B75-B61:B74))/SUMPRODUCT((B62:B75&lt;B61:B74)*(B61:B74-B62:B75))),100))</f>
      </c>
      <c r="N75" s="684">
        <f>IF(COUNT(B62:B75)&lt;14,"",IFERROR(100-100/(1+SUMPRODUCT((((C62:C75+D62:D75+B62:B75)/3)&gt;((C61:C74+D61:D74+B61:B74)/3))*((C62:C75+D62:D75+B62:B75)/3)*E62:E75)/SUMPRODUCT((((C62:C75+D62:D75+B62:B75)/3)&lt;((C61:C74+D61:D74+B61:B74)/3))*((C62:C75+D62:D75+B62:B75)/3)*E62:E75)),50))</f>
      </c>
      <c r="O75" s="685">
        <f>IF($O74=0,IF(AND($H75&lt;&gt;"",$B75&gt;$H75,$B74&lt;=$H74),1,0),IF($B75&lt;$I75,0,1))</f>
      </c>
      <c r="P75" s="682">
        <f>IF($O75=1,IF($O74=0,$B75,$P74),"")</f>
      </c>
      <c r="Q75" s="686">
        <f>IF(AND($O75=0,$O74=1),($B75-$P74)/$P74*100,"")</f>
      </c>
      <c r="R75" s="681">
        <f>IF($O75=1,IF($O74=0,"▲新規買い","保有中"),IF($O74=1,"■手仕舞い",""))</f>
      </c>
    </row>
    <row r="76">
      <c r="A76" s="681">
        <f>IF($B76="","",IFERROR(TEXT(INDEX(終値!$3:$3,1,105-(ROW()-8)),"m/d"),""))</f>
      </c>
      <c r="B76" s="682">
        <f>IFERROR(IF(INDEX(終値!$A:$CZ,$B$4,105-(ROW()-8))=0,"",INDEX(終値!$A:$CZ,$B$4,105-(ROW()-8))),"")</f>
      </c>
      <c r="C76" s="682">
        <f>IF($B76="","",IFERROR(INDEX(高値!$A:$CZ,$B$4,105-(ROW()-8)),""))</f>
      </c>
      <c r="D76" s="682">
        <f>IF($B76="","",IFERROR(INDEX(安値!$A:$CZ,$B$4,105-(ROW()-8)),""))</f>
      </c>
      <c r="E76" s="682">
        <f>IF($B76="","",IFERROR(INDEX(出来高!$A:$CZ,$B$4,105-(ROW()-8)),""))</f>
      </c>
      <c r="F76" s="682">
        <f>IF(COUNT(B57:B76)=20,AVERAGE(B57:B76),"")</f>
      </c>
      <c r="G76" s="683">
        <f>IF(COUNT(B57:B76)=20,STDEVP(B57:B76),"")</f>
      </c>
      <c r="H76" s="682">
        <f>IF($F76="","",$F76+BB設定!$B$4*$G76)</f>
      </c>
      <c r="I76" s="682">
        <f>IF($F76="","",$F76+BB設定!$B$5*$G76)</f>
      </c>
      <c r="J76" s="682">
        <f>IF($F76="","",$F76-BB設定!$B$5*$G76)</f>
      </c>
      <c r="K76" s="682">
        <f>IF($F76="","",$F76-BB設定!$B$4*$G76)</f>
      </c>
      <c r="L76" s="687">
        <f>IF($F76="","",IFERROR(($B76-$K76)/($H76-$K76),""))</f>
      </c>
      <c r="M76" s="684">
        <f>IF(COUNT(B63:B76)&lt;14,"",IFERROR(100-100/(1+SUMPRODUCT((B63:B76&gt;B62:B75)*(B63:B76-B62:B75))/SUMPRODUCT((B63:B76&lt;B62:B75)*(B62:B75-B63:B76))),100))</f>
      </c>
      <c r="N76" s="684">
        <f>IF(COUNT(B63:B76)&lt;14,"",IFERROR(100-100/(1+SUMPRODUCT((((C63:C76+D63:D76+B63:B76)/3)&gt;((C62:C75+D62:D75+B62:B75)/3))*((C63:C76+D63:D76+B63:B76)/3)*E63:E76)/SUMPRODUCT((((C63:C76+D63:D76+B63:B76)/3)&lt;((C62:C75+D62:D75+B62:B75)/3))*((C63:C76+D63:D76+B63:B76)/3)*E63:E76)),50))</f>
      </c>
      <c r="O76" s="685">
        <f>IF($O75=0,IF(AND($H76&lt;&gt;"",$B76&gt;$H76,$B75&lt;=$H75),1,0),IF($B76&lt;$I76,0,1))</f>
      </c>
      <c r="P76" s="682">
        <f>IF($O76=1,IF($O75=0,$B76,$P75),"")</f>
      </c>
      <c r="Q76" s="686">
        <f>IF(AND($O76=0,$O75=1),($B76-$P75)/$P75*100,"")</f>
      </c>
      <c r="R76" s="681">
        <f>IF($O76=1,IF($O75=0,"▲新規買い","保有中"),IF($O75=1,"■手仕舞い",""))</f>
      </c>
    </row>
    <row r="77">
      <c r="A77" s="681">
        <f>IF($B77="","",IFERROR(TEXT(INDEX(終値!$3:$3,1,105-(ROW()-8)),"m/d"),""))</f>
      </c>
      <c r="B77" s="682">
        <f>IFERROR(IF(INDEX(終値!$A:$CZ,$B$4,105-(ROW()-8))=0,"",INDEX(終値!$A:$CZ,$B$4,105-(ROW()-8))),"")</f>
      </c>
      <c r="C77" s="682">
        <f>IF($B77="","",IFERROR(INDEX(高値!$A:$CZ,$B$4,105-(ROW()-8)),""))</f>
      </c>
      <c r="D77" s="682">
        <f>IF($B77="","",IFERROR(INDEX(安値!$A:$CZ,$B$4,105-(ROW()-8)),""))</f>
      </c>
      <c r="E77" s="682">
        <f>IF($B77="","",IFERROR(INDEX(出来高!$A:$CZ,$B$4,105-(ROW()-8)),""))</f>
      </c>
      <c r="F77" s="682">
        <f>IF(COUNT(B58:B77)=20,AVERAGE(B58:B77),"")</f>
      </c>
      <c r="G77" s="683">
        <f>IF(COUNT(B58:B77)=20,STDEVP(B58:B77),"")</f>
      </c>
      <c r="H77" s="682">
        <f>IF($F77="","",$F77+BB設定!$B$4*$G77)</f>
      </c>
      <c r="I77" s="682">
        <f>IF($F77="","",$F77+BB設定!$B$5*$G77)</f>
      </c>
      <c r="J77" s="682">
        <f>IF($F77="","",$F77-BB設定!$B$5*$G77)</f>
      </c>
      <c r="K77" s="682">
        <f>IF($F77="","",$F77-BB設定!$B$4*$G77)</f>
      </c>
      <c r="L77" s="687">
        <f>IF($F77="","",IFERROR(($B77-$K77)/($H77-$K77),""))</f>
      </c>
      <c r="M77" s="684">
        <f>IF(COUNT(B64:B77)&lt;14,"",IFERROR(100-100/(1+SUMPRODUCT((B64:B77&gt;B63:B76)*(B64:B77-B63:B76))/SUMPRODUCT((B64:B77&lt;B63:B76)*(B63:B76-B64:B77))),100))</f>
      </c>
      <c r="N77" s="684">
        <f>IF(COUNT(B64:B77)&lt;14,"",IFERROR(100-100/(1+SUMPRODUCT((((C64:C77+D64:D77+B64:B77)/3)&gt;((C63:C76+D63:D76+B63:B76)/3))*((C64:C77+D64:D77+B64:B77)/3)*E64:E77)/SUMPRODUCT((((C64:C77+D64:D77+B64:B77)/3)&lt;((C63:C76+D63:D76+B63:B76)/3))*((C64:C77+D64:D77+B64:B77)/3)*E64:E77)),50))</f>
      </c>
      <c r="O77" s="685">
        <f>IF($O76=0,IF(AND($H77&lt;&gt;"",$B77&gt;$H77,$B76&lt;=$H76),1,0),IF($B77&lt;$I77,0,1))</f>
      </c>
      <c r="P77" s="682">
        <f>IF($O77=1,IF($O76=0,$B77,$P76),"")</f>
      </c>
      <c r="Q77" s="686">
        <f>IF(AND($O77=0,$O76=1),($B77-$P76)/$P76*100,"")</f>
      </c>
      <c r="R77" s="681">
        <f>IF($O77=1,IF($O76=0,"▲新規買い","保有中"),IF($O76=1,"■手仕舞い",""))</f>
      </c>
    </row>
    <row r="78">
      <c r="A78" s="681">
        <f>IF($B78="","",IFERROR(TEXT(INDEX(終値!$3:$3,1,105-(ROW()-8)),"m/d"),""))</f>
      </c>
      <c r="B78" s="682">
        <f>IFERROR(IF(INDEX(終値!$A:$CZ,$B$4,105-(ROW()-8))=0,"",INDEX(終値!$A:$CZ,$B$4,105-(ROW()-8))),"")</f>
      </c>
      <c r="C78" s="682">
        <f>IF($B78="","",IFERROR(INDEX(高値!$A:$CZ,$B$4,105-(ROW()-8)),""))</f>
      </c>
      <c r="D78" s="682">
        <f>IF($B78="","",IFERROR(INDEX(安値!$A:$CZ,$B$4,105-(ROW()-8)),""))</f>
      </c>
      <c r="E78" s="682">
        <f>IF($B78="","",IFERROR(INDEX(出来高!$A:$CZ,$B$4,105-(ROW()-8)),""))</f>
      </c>
      <c r="F78" s="682">
        <f>IF(COUNT(B59:B78)=20,AVERAGE(B59:B78),"")</f>
      </c>
      <c r="G78" s="683">
        <f>IF(COUNT(B59:B78)=20,STDEVP(B59:B78),"")</f>
      </c>
      <c r="H78" s="682">
        <f>IF($F78="","",$F78+BB設定!$B$4*$G78)</f>
      </c>
      <c r="I78" s="682">
        <f>IF($F78="","",$F78+BB設定!$B$5*$G78)</f>
      </c>
      <c r="J78" s="682">
        <f>IF($F78="","",$F78-BB設定!$B$5*$G78)</f>
      </c>
      <c r="K78" s="682">
        <f>IF($F78="","",$F78-BB設定!$B$4*$G78)</f>
      </c>
      <c r="L78" s="687">
        <f>IF($F78="","",IFERROR(($B78-$K78)/($H78-$K78),""))</f>
      </c>
      <c r="M78" s="684">
        <f>IF(COUNT(B65:B78)&lt;14,"",IFERROR(100-100/(1+SUMPRODUCT((B65:B78&gt;B64:B77)*(B65:B78-B64:B77))/SUMPRODUCT((B65:B78&lt;B64:B77)*(B64:B77-B65:B78))),100))</f>
      </c>
      <c r="N78" s="684">
        <f>IF(COUNT(B65:B78)&lt;14,"",IFERROR(100-100/(1+SUMPRODUCT((((C65:C78+D65:D78+B65:B78)/3)&gt;((C64:C77+D64:D77+B64:B77)/3))*((C65:C78+D65:D78+B65:B78)/3)*E65:E78)/SUMPRODUCT((((C65:C78+D65:D78+B65:B78)/3)&lt;((C64:C77+D64:D77+B64:B77)/3))*((C65:C78+D65:D78+B65:B78)/3)*E65:E78)),50))</f>
      </c>
      <c r="O78" s="685">
        <f>IF($O77=0,IF(AND($H78&lt;&gt;"",$B78&gt;$H78,$B77&lt;=$H77),1,0),IF($B78&lt;$I78,0,1))</f>
      </c>
      <c r="P78" s="682">
        <f>IF($O78=1,IF($O77=0,$B78,$P77),"")</f>
      </c>
      <c r="Q78" s="686">
        <f>IF(AND($O78=0,$O77=1),($B78-$P77)/$P77*100,"")</f>
      </c>
      <c r="R78" s="681">
        <f>IF($O78=1,IF($O77=0,"▲新規買い","保有中"),IF($O77=1,"■手仕舞い",""))</f>
      </c>
    </row>
    <row r="79">
      <c r="A79" s="681">
        <f>IF($B79="","",IFERROR(TEXT(INDEX(終値!$3:$3,1,105-(ROW()-8)),"m/d"),""))</f>
      </c>
      <c r="B79" s="682">
        <f>IFERROR(IF(INDEX(終値!$A:$CZ,$B$4,105-(ROW()-8))=0,"",INDEX(終値!$A:$CZ,$B$4,105-(ROW()-8))),"")</f>
      </c>
      <c r="C79" s="682">
        <f>IF($B79="","",IFERROR(INDEX(高値!$A:$CZ,$B$4,105-(ROW()-8)),""))</f>
      </c>
      <c r="D79" s="682">
        <f>IF($B79="","",IFERROR(INDEX(安値!$A:$CZ,$B$4,105-(ROW()-8)),""))</f>
      </c>
      <c r="E79" s="682">
        <f>IF($B79="","",IFERROR(INDEX(出来高!$A:$CZ,$B$4,105-(ROW()-8)),""))</f>
      </c>
      <c r="F79" s="682">
        <f>IF(COUNT(B60:B79)=20,AVERAGE(B60:B79),"")</f>
      </c>
      <c r="G79" s="683">
        <f>IF(COUNT(B60:B79)=20,STDEVP(B60:B79),"")</f>
      </c>
      <c r="H79" s="682">
        <f>IF($F79="","",$F79+BB設定!$B$4*$G79)</f>
      </c>
      <c r="I79" s="682">
        <f>IF($F79="","",$F79+BB設定!$B$5*$G79)</f>
      </c>
      <c r="J79" s="682">
        <f>IF($F79="","",$F79-BB設定!$B$5*$G79)</f>
      </c>
      <c r="K79" s="682">
        <f>IF($F79="","",$F79-BB設定!$B$4*$G79)</f>
      </c>
      <c r="L79" s="687">
        <f>IF($F79="","",IFERROR(($B79-$K79)/($H79-$K79),""))</f>
      </c>
      <c r="M79" s="684">
        <f>IF(COUNT(B66:B79)&lt;14,"",IFERROR(100-100/(1+SUMPRODUCT((B66:B79&gt;B65:B78)*(B66:B79-B65:B78))/SUMPRODUCT((B66:B79&lt;B65:B78)*(B65:B78-B66:B79))),100))</f>
      </c>
      <c r="N79" s="684">
        <f>IF(COUNT(B66:B79)&lt;14,"",IFERROR(100-100/(1+SUMPRODUCT((((C66:C79+D66:D79+B66:B79)/3)&gt;((C65:C78+D65:D78+B65:B78)/3))*((C66:C79+D66:D79+B66:B79)/3)*E66:E79)/SUMPRODUCT((((C66:C79+D66:D79+B66:B79)/3)&lt;((C65:C78+D65:D78+B65:B78)/3))*((C66:C79+D66:D79+B66:B79)/3)*E66:E79)),50))</f>
      </c>
      <c r="O79" s="685">
        <f>IF($O78=0,IF(AND($H79&lt;&gt;"",$B79&gt;$H79,$B78&lt;=$H78),1,0),IF($B79&lt;$I79,0,1))</f>
      </c>
      <c r="P79" s="682">
        <f>IF($O79=1,IF($O78=0,$B79,$P78),"")</f>
      </c>
      <c r="Q79" s="686">
        <f>IF(AND($O79=0,$O78=1),($B79-$P78)/$P78*100,"")</f>
      </c>
      <c r="R79" s="681">
        <f>IF($O79=1,IF($O78=0,"▲新規買い","保有中"),IF($O78=1,"■手仕舞い",""))</f>
      </c>
    </row>
    <row r="80">
      <c r="A80" s="681">
        <f>IF($B80="","",IFERROR(TEXT(INDEX(終値!$3:$3,1,105-(ROW()-8)),"m/d"),""))</f>
      </c>
      <c r="B80" s="682">
        <f>IFERROR(IF(INDEX(終値!$A:$CZ,$B$4,105-(ROW()-8))=0,"",INDEX(終値!$A:$CZ,$B$4,105-(ROW()-8))),"")</f>
      </c>
      <c r="C80" s="682">
        <f>IF($B80="","",IFERROR(INDEX(高値!$A:$CZ,$B$4,105-(ROW()-8)),""))</f>
      </c>
      <c r="D80" s="682">
        <f>IF($B80="","",IFERROR(INDEX(安値!$A:$CZ,$B$4,105-(ROW()-8)),""))</f>
      </c>
      <c r="E80" s="682">
        <f>IF($B80="","",IFERROR(INDEX(出来高!$A:$CZ,$B$4,105-(ROW()-8)),""))</f>
      </c>
      <c r="F80" s="682">
        <f>IF(COUNT(B61:B80)=20,AVERAGE(B61:B80),"")</f>
      </c>
      <c r="G80" s="683">
        <f>IF(COUNT(B61:B80)=20,STDEVP(B61:B80),"")</f>
      </c>
      <c r="H80" s="682">
        <f>IF($F80="","",$F80+BB設定!$B$4*$G80)</f>
      </c>
      <c r="I80" s="682">
        <f>IF($F80="","",$F80+BB設定!$B$5*$G80)</f>
      </c>
      <c r="J80" s="682">
        <f>IF($F80="","",$F80-BB設定!$B$5*$G80)</f>
      </c>
      <c r="K80" s="682">
        <f>IF($F80="","",$F80-BB設定!$B$4*$G80)</f>
      </c>
      <c r="L80" s="687">
        <f>IF($F80="","",IFERROR(($B80-$K80)/($H80-$K80),""))</f>
      </c>
      <c r="M80" s="684">
        <f>IF(COUNT(B67:B80)&lt;14,"",IFERROR(100-100/(1+SUMPRODUCT((B67:B80&gt;B66:B79)*(B67:B80-B66:B79))/SUMPRODUCT((B67:B80&lt;B66:B79)*(B66:B79-B67:B80))),100))</f>
      </c>
      <c r="N80" s="684">
        <f>IF(COUNT(B67:B80)&lt;14,"",IFERROR(100-100/(1+SUMPRODUCT((((C67:C80+D67:D80+B67:B80)/3)&gt;((C66:C79+D66:D79+B66:B79)/3))*((C67:C80+D67:D80+B67:B80)/3)*E67:E80)/SUMPRODUCT((((C67:C80+D67:D80+B67:B80)/3)&lt;((C66:C79+D66:D79+B66:B79)/3))*((C67:C80+D67:D80+B67:B80)/3)*E67:E80)),50))</f>
      </c>
      <c r="O80" s="685">
        <f>IF($O79=0,IF(AND($H80&lt;&gt;"",$B80&gt;$H80,$B79&lt;=$H79),1,0),IF($B80&lt;$I80,0,1))</f>
      </c>
      <c r="P80" s="682">
        <f>IF($O80=1,IF($O79=0,$B80,$P79),"")</f>
      </c>
      <c r="Q80" s="686">
        <f>IF(AND($O80=0,$O79=1),($B80-$P79)/$P79*100,"")</f>
      </c>
      <c r="R80" s="681">
        <f>IF($O80=1,IF($O79=0,"▲新規買い","保有中"),IF($O79=1,"■手仕舞い",""))</f>
      </c>
    </row>
    <row r="81">
      <c r="A81" s="681">
        <f>IF($B81="","",IFERROR(TEXT(INDEX(終値!$3:$3,1,105-(ROW()-8)),"m/d"),""))</f>
      </c>
      <c r="B81" s="682">
        <f>IFERROR(IF(INDEX(終値!$A:$CZ,$B$4,105-(ROW()-8))=0,"",INDEX(終値!$A:$CZ,$B$4,105-(ROW()-8))),"")</f>
      </c>
      <c r="C81" s="682">
        <f>IF($B81="","",IFERROR(INDEX(高値!$A:$CZ,$B$4,105-(ROW()-8)),""))</f>
      </c>
      <c r="D81" s="682">
        <f>IF($B81="","",IFERROR(INDEX(安値!$A:$CZ,$B$4,105-(ROW()-8)),""))</f>
      </c>
      <c r="E81" s="682">
        <f>IF($B81="","",IFERROR(INDEX(出来高!$A:$CZ,$B$4,105-(ROW()-8)),""))</f>
      </c>
      <c r="F81" s="682">
        <f>IF(COUNT(B62:B81)=20,AVERAGE(B62:B81),"")</f>
      </c>
      <c r="G81" s="683">
        <f>IF(COUNT(B62:B81)=20,STDEVP(B62:B81),"")</f>
      </c>
      <c r="H81" s="682">
        <f>IF($F81="","",$F81+BB設定!$B$4*$G81)</f>
      </c>
      <c r="I81" s="682">
        <f>IF($F81="","",$F81+BB設定!$B$5*$G81)</f>
      </c>
      <c r="J81" s="682">
        <f>IF($F81="","",$F81-BB設定!$B$5*$G81)</f>
      </c>
      <c r="K81" s="682">
        <f>IF($F81="","",$F81-BB設定!$B$4*$G81)</f>
      </c>
      <c r="L81" s="687">
        <f>IF($F81="","",IFERROR(($B81-$K81)/($H81-$K81),""))</f>
      </c>
      <c r="M81" s="684">
        <f>IF(COUNT(B68:B81)&lt;14,"",IFERROR(100-100/(1+SUMPRODUCT((B68:B81&gt;B67:B80)*(B68:B81-B67:B80))/SUMPRODUCT((B68:B81&lt;B67:B80)*(B67:B80-B68:B81))),100))</f>
      </c>
      <c r="N81" s="684">
        <f>IF(COUNT(B68:B81)&lt;14,"",IFERROR(100-100/(1+SUMPRODUCT((((C68:C81+D68:D81+B68:B81)/3)&gt;((C67:C80+D67:D80+B67:B80)/3))*((C68:C81+D68:D81+B68:B81)/3)*E68:E81)/SUMPRODUCT((((C68:C81+D68:D81+B68:B81)/3)&lt;((C67:C80+D67:D80+B67:B80)/3))*((C68:C81+D68:D81+B68:B81)/3)*E68:E81)),50))</f>
      </c>
      <c r="O81" s="685">
        <f>IF($O80=0,IF(AND($H81&lt;&gt;"",$B81&gt;$H81,$B80&lt;=$H80),1,0),IF($B81&lt;$I81,0,1))</f>
      </c>
      <c r="P81" s="682">
        <f>IF($O81=1,IF($O80=0,$B81,$P80),"")</f>
      </c>
      <c r="Q81" s="686">
        <f>IF(AND($O81=0,$O80=1),($B81-$P80)/$P80*100,"")</f>
      </c>
      <c r="R81" s="681">
        <f>IF($O81=1,IF($O80=0,"▲新規買い","保有中"),IF($O80=1,"■手仕舞い",""))</f>
      </c>
    </row>
    <row r="82">
      <c r="A82" s="681">
        <f>IF($B82="","",IFERROR(TEXT(INDEX(終値!$3:$3,1,105-(ROW()-8)),"m/d"),""))</f>
      </c>
      <c r="B82" s="682">
        <f>IFERROR(IF(INDEX(終値!$A:$CZ,$B$4,105-(ROW()-8))=0,"",INDEX(終値!$A:$CZ,$B$4,105-(ROW()-8))),"")</f>
      </c>
      <c r="C82" s="682">
        <f>IF($B82="","",IFERROR(INDEX(高値!$A:$CZ,$B$4,105-(ROW()-8)),""))</f>
      </c>
      <c r="D82" s="682">
        <f>IF($B82="","",IFERROR(INDEX(安値!$A:$CZ,$B$4,105-(ROW()-8)),""))</f>
      </c>
      <c r="E82" s="682">
        <f>IF($B82="","",IFERROR(INDEX(出来高!$A:$CZ,$B$4,105-(ROW()-8)),""))</f>
      </c>
      <c r="F82" s="682">
        <f>IF(COUNT(B63:B82)=20,AVERAGE(B63:B82),"")</f>
      </c>
      <c r="G82" s="683">
        <f>IF(COUNT(B63:B82)=20,STDEVP(B63:B82),"")</f>
      </c>
      <c r="H82" s="682">
        <f>IF($F82="","",$F82+BB設定!$B$4*$G82)</f>
      </c>
      <c r="I82" s="682">
        <f>IF($F82="","",$F82+BB設定!$B$5*$G82)</f>
      </c>
      <c r="J82" s="682">
        <f>IF($F82="","",$F82-BB設定!$B$5*$G82)</f>
      </c>
      <c r="K82" s="682">
        <f>IF($F82="","",$F82-BB設定!$B$4*$G82)</f>
      </c>
      <c r="L82" s="687">
        <f>IF($F82="","",IFERROR(($B82-$K82)/($H82-$K82),""))</f>
      </c>
      <c r="M82" s="684">
        <f>IF(COUNT(B69:B82)&lt;14,"",IFERROR(100-100/(1+SUMPRODUCT((B69:B82&gt;B68:B81)*(B69:B82-B68:B81))/SUMPRODUCT((B69:B82&lt;B68:B81)*(B68:B81-B69:B82))),100))</f>
      </c>
      <c r="N82" s="684">
        <f>IF(COUNT(B69:B82)&lt;14,"",IFERROR(100-100/(1+SUMPRODUCT((((C69:C82+D69:D82+B69:B82)/3)&gt;((C68:C81+D68:D81+B68:B81)/3))*((C69:C82+D69:D82+B69:B82)/3)*E69:E82)/SUMPRODUCT((((C69:C82+D69:D82+B69:B82)/3)&lt;((C68:C81+D68:D81+B68:B81)/3))*((C69:C82+D69:D82+B69:B82)/3)*E69:E82)),50))</f>
      </c>
      <c r="O82" s="685">
        <f>IF($O81=0,IF(AND($H82&lt;&gt;"",$B82&gt;$H82,$B81&lt;=$H81),1,0),IF($B82&lt;$I82,0,1))</f>
      </c>
      <c r="P82" s="682">
        <f>IF($O82=1,IF($O81=0,$B82,$P81),"")</f>
      </c>
      <c r="Q82" s="686">
        <f>IF(AND($O82=0,$O81=1),($B82-$P81)/$P81*100,"")</f>
      </c>
      <c r="R82" s="681">
        <f>IF($O82=1,IF($O81=0,"▲新規買い","保有中"),IF($O81=1,"■手仕舞い",""))</f>
      </c>
    </row>
    <row r="83">
      <c r="A83" s="681">
        <f>IF($B83="","",IFERROR(TEXT(INDEX(終値!$3:$3,1,105-(ROW()-8)),"m/d"),""))</f>
      </c>
      <c r="B83" s="682">
        <f>IFERROR(IF(INDEX(終値!$A:$CZ,$B$4,105-(ROW()-8))=0,"",INDEX(終値!$A:$CZ,$B$4,105-(ROW()-8))),"")</f>
      </c>
      <c r="C83" s="682">
        <f>IF($B83="","",IFERROR(INDEX(高値!$A:$CZ,$B$4,105-(ROW()-8)),""))</f>
      </c>
      <c r="D83" s="682">
        <f>IF($B83="","",IFERROR(INDEX(安値!$A:$CZ,$B$4,105-(ROW()-8)),""))</f>
      </c>
      <c r="E83" s="682">
        <f>IF($B83="","",IFERROR(INDEX(出来高!$A:$CZ,$B$4,105-(ROW()-8)),""))</f>
      </c>
      <c r="F83" s="682">
        <f>IF(COUNT(B64:B83)=20,AVERAGE(B64:B83),"")</f>
      </c>
      <c r="G83" s="683">
        <f>IF(COUNT(B64:B83)=20,STDEVP(B64:B83),"")</f>
      </c>
      <c r="H83" s="682">
        <f>IF($F83="","",$F83+BB設定!$B$4*$G83)</f>
      </c>
      <c r="I83" s="682">
        <f>IF($F83="","",$F83+BB設定!$B$5*$G83)</f>
      </c>
      <c r="J83" s="682">
        <f>IF($F83="","",$F83-BB設定!$B$5*$G83)</f>
      </c>
      <c r="K83" s="682">
        <f>IF($F83="","",$F83-BB設定!$B$4*$G83)</f>
      </c>
      <c r="L83" s="687">
        <f>IF($F83="","",IFERROR(($B83-$K83)/($H83-$K83),""))</f>
      </c>
      <c r="M83" s="684">
        <f>IF(COUNT(B70:B83)&lt;14,"",IFERROR(100-100/(1+SUMPRODUCT((B70:B83&gt;B69:B82)*(B70:B83-B69:B82))/SUMPRODUCT((B70:B83&lt;B69:B82)*(B69:B82-B70:B83))),100))</f>
      </c>
      <c r="N83" s="684">
        <f>IF(COUNT(B70:B83)&lt;14,"",IFERROR(100-100/(1+SUMPRODUCT((((C70:C83+D70:D83+B70:B83)/3)&gt;((C69:C82+D69:D82+B69:B82)/3))*((C70:C83+D70:D83+B70:B83)/3)*E70:E83)/SUMPRODUCT((((C70:C83+D70:D83+B70:B83)/3)&lt;((C69:C82+D69:D82+B69:B82)/3))*((C70:C83+D70:D83+B70:B83)/3)*E70:E83)),50))</f>
      </c>
      <c r="O83" s="685">
        <f>IF($O82=0,IF(AND($H83&lt;&gt;"",$B83&gt;$H83,$B82&lt;=$H82),1,0),IF($B83&lt;$I83,0,1))</f>
      </c>
      <c r="P83" s="682">
        <f>IF($O83=1,IF($O82=0,$B83,$P82),"")</f>
      </c>
      <c r="Q83" s="686">
        <f>IF(AND($O83=0,$O82=1),($B83-$P82)/$P82*100,"")</f>
      </c>
      <c r="R83" s="681">
        <f>IF($O83=1,IF($O82=0,"▲新規買い","保有中"),IF($O82=1,"■手仕舞い",""))</f>
      </c>
    </row>
    <row r="84">
      <c r="A84" s="681">
        <f>IF($B84="","",IFERROR(TEXT(INDEX(終値!$3:$3,1,105-(ROW()-8)),"m/d"),""))</f>
      </c>
      <c r="B84" s="682">
        <f>IFERROR(IF(INDEX(終値!$A:$CZ,$B$4,105-(ROW()-8))=0,"",INDEX(終値!$A:$CZ,$B$4,105-(ROW()-8))),"")</f>
      </c>
      <c r="C84" s="682">
        <f>IF($B84="","",IFERROR(INDEX(高値!$A:$CZ,$B$4,105-(ROW()-8)),""))</f>
      </c>
      <c r="D84" s="682">
        <f>IF($B84="","",IFERROR(INDEX(安値!$A:$CZ,$B$4,105-(ROW()-8)),""))</f>
      </c>
      <c r="E84" s="682">
        <f>IF($B84="","",IFERROR(INDEX(出来高!$A:$CZ,$B$4,105-(ROW()-8)),""))</f>
      </c>
      <c r="F84" s="682">
        <f>IF(COUNT(B65:B84)=20,AVERAGE(B65:B84),"")</f>
      </c>
      <c r="G84" s="683">
        <f>IF(COUNT(B65:B84)=20,STDEVP(B65:B84),"")</f>
      </c>
      <c r="H84" s="682">
        <f>IF($F84="","",$F84+BB設定!$B$4*$G84)</f>
      </c>
      <c r="I84" s="682">
        <f>IF($F84="","",$F84+BB設定!$B$5*$G84)</f>
      </c>
      <c r="J84" s="682">
        <f>IF($F84="","",$F84-BB設定!$B$5*$G84)</f>
      </c>
      <c r="K84" s="682">
        <f>IF($F84="","",$F84-BB設定!$B$4*$G84)</f>
      </c>
      <c r="L84" s="687">
        <f>IF($F84="","",IFERROR(($B84-$K84)/($H84-$K84),""))</f>
      </c>
      <c r="M84" s="684">
        <f>IF(COUNT(B71:B84)&lt;14,"",IFERROR(100-100/(1+SUMPRODUCT((B71:B84&gt;B70:B83)*(B71:B84-B70:B83))/SUMPRODUCT((B71:B84&lt;B70:B83)*(B70:B83-B71:B84))),100))</f>
      </c>
      <c r="N84" s="684">
        <f>IF(COUNT(B71:B84)&lt;14,"",IFERROR(100-100/(1+SUMPRODUCT((((C71:C84+D71:D84+B71:B84)/3)&gt;((C70:C83+D70:D83+B70:B83)/3))*((C71:C84+D71:D84+B71:B84)/3)*E71:E84)/SUMPRODUCT((((C71:C84+D71:D84+B71:B84)/3)&lt;((C70:C83+D70:D83+B70:B83)/3))*((C71:C84+D71:D84+B71:B84)/3)*E71:E84)),50))</f>
      </c>
      <c r="O84" s="685">
        <f>IF($O83=0,IF(AND($H84&lt;&gt;"",$B84&gt;$H84,$B83&lt;=$H83),1,0),IF($B84&lt;$I84,0,1))</f>
      </c>
      <c r="P84" s="682">
        <f>IF($O84=1,IF($O83=0,$B84,$P83),"")</f>
      </c>
      <c r="Q84" s="686">
        <f>IF(AND($O84=0,$O83=1),($B84-$P83)/$P83*100,"")</f>
      </c>
      <c r="R84" s="681">
        <f>IF($O84=1,IF($O83=0,"▲新規買い","保有中"),IF($O83=1,"■手仕舞い",""))</f>
      </c>
    </row>
    <row r="85">
      <c r="A85" s="681">
        <f>IF($B85="","",IFERROR(TEXT(INDEX(終値!$3:$3,1,105-(ROW()-8)),"m/d"),""))</f>
      </c>
      <c r="B85" s="682">
        <f>IFERROR(IF(INDEX(終値!$A:$CZ,$B$4,105-(ROW()-8))=0,"",INDEX(終値!$A:$CZ,$B$4,105-(ROW()-8))),"")</f>
      </c>
      <c r="C85" s="682">
        <f>IF($B85="","",IFERROR(INDEX(高値!$A:$CZ,$B$4,105-(ROW()-8)),""))</f>
      </c>
      <c r="D85" s="682">
        <f>IF($B85="","",IFERROR(INDEX(安値!$A:$CZ,$B$4,105-(ROW()-8)),""))</f>
      </c>
      <c r="E85" s="682">
        <f>IF($B85="","",IFERROR(INDEX(出来高!$A:$CZ,$B$4,105-(ROW()-8)),""))</f>
      </c>
      <c r="F85" s="682">
        <f>IF(COUNT(B66:B85)=20,AVERAGE(B66:B85),"")</f>
      </c>
      <c r="G85" s="683">
        <f>IF(COUNT(B66:B85)=20,STDEVP(B66:B85),"")</f>
      </c>
      <c r="H85" s="682">
        <f>IF($F85="","",$F85+BB設定!$B$4*$G85)</f>
      </c>
      <c r="I85" s="682">
        <f>IF($F85="","",$F85+BB設定!$B$5*$G85)</f>
      </c>
      <c r="J85" s="682">
        <f>IF($F85="","",$F85-BB設定!$B$5*$G85)</f>
      </c>
      <c r="K85" s="682">
        <f>IF($F85="","",$F85-BB設定!$B$4*$G85)</f>
      </c>
      <c r="L85" s="687">
        <f>IF($F85="","",IFERROR(($B85-$K85)/($H85-$K85),""))</f>
      </c>
      <c r="M85" s="684">
        <f>IF(COUNT(B72:B85)&lt;14,"",IFERROR(100-100/(1+SUMPRODUCT((B72:B85&gt;B71:B84)*(B72:B85-B71:B84))/SUMPRODUCT((B72:B85&lt;B71:B84)*(B71:B84-B72:B85))),100))</f>
      </c>
      <c r="N85" s="684">
        <f>IF(COUNT(B72:B85)&lt;14,"",IFERROR(100-100/(1+SUMPRODUCT((((C72:C85+D72:D85+B72:B85)/3)&gt;((C71:C84+D71:D84+B71:B84)/3))*((C72:C85+D72:D85+B72:B85)/3)*E72:E85)/SUMPRODUCT((((C72:C85+D72:D85+B72:B85)/3)&lt;((C71:C84+D71:D84+B71:B84)/3))*((C72:C85+D72:D85+B72:B85)/3)*E72:E85)),50))</f>
      </c>
      <c r="O85" s="685">
        <f>IF($O84=0,IF(AND($H85&lt;&gt;"",$B85&gt;$H85,$B84&lt;=$H84),1,0),IF($B85&lt;$I85,0,1))</f>
      </c>
      <c r="P85" s="682">
        <f>IF($O85=1,IF($O84=0,$B85,$P84),"")</f>
      </c>
      <c r="Q85" s="686">
        <f>IF(AND($O85=0,$O84=1),($B85-$P84)/$P84*100,"")</f>
      </c>
      <c r="R85" s="681">
        <f>IF($O85=1,IF($O84=0,"▲新規買い","保有中"),IF($O84=1,"■手仕舞い",""))</f>
      </c>
    </row>
    <row r="86">
      <c r="A86" s="681">
        <f>IF($B86="","",IFERROR(TEXT(INDEX(終値!$3:$3,1,105-(ROW()-8)),"m/d"),""))</f>
      </c>
      <c r="B86" s="682">
        <f>IFERROR(IF(INDEX(終値!$A:$CZ,$B$4,105-(ROW()-8))=0,"",INDEX(終値!$A:$CZ,$B$4,105-(ROW()-8))),"")</f>
      </c>
      <c r="C86" s="682">
        <f>IF($B86="","",IFERROR(INDEX(高値!$A:$CZ,$B$4,105-(ROW()-8)),""))</f>
      </c>
      <c r="D86" s="682">
        <f>IF($B86="","",IFERROR(INDEX(安値!$A:$CZ,$B$4,105-(ROW()-8)),""))</f>
      </c>
      <c r="E86" s="682">
        <f>IF($B86="","",IFERROR(INDEX(出来高!$A:$CZ,$B$4,105-(ROW()-8)),""))</f>
      </c>
      <c r="F86" s="682">
        <f>IF(COUNT(B67:B86)=20,AVERAGE(B67:B86),"")</f>
      </c>
      <c r="G86" s="683">
        <f>IF(COUNT(B67:B86)=20,STDEVP(B67:B86),"")</f>
      </c>
      <c r="H86" s="682">
        <f>IF($F86="","",$F86+BB設定!$B$4*$G86)</f>
      </c>
      <c r="I86" s="682">
        <f>IF($F86="","",$F86+BB設定!$B$5*$G86)</f>
      </c>
      <c r="J86" s="682">
        <f>IF($F86="","",$F86-BB設定!$B$5*$G86)</f>
      </c>
      <c r="K86" s="682">
        <f>IF($F86="","",$F86-BB設定!$B$4*$G86)</f>
      </c>
      <c r="L86" s="687">
        <f>IF($F86="","",IFERROR(($B86-$K86)/($H86-$K86),""))</f>
      </c>
      <c r="M86" s="684">
        <f>IF(COUNT(B73:B86)&lt;14,"",IFERROR(100-100/(1+SUMPRODUCT((B73:B86&gt;B72:B85)*(B73:B86-B72:B85))/SUMPRODUCT((B73:B86&lt;B72:B85)*(B72:B85-B73:B86))),100))</f>
      </c>
      <c r="N86" s="684">
        <f>IF(COUNT(B73:B86)&lt;14,"",IFERROR(100-100/(1+SUMPRODUCT((((C73:C86+D73:D86+B73:B86)/3)&gt;((C72:C85+D72:D85+B72:B85)/3))*((C73:C86+D73:D86+B73:B86)/3)*E73:E86)/SUMPRODUCT((((C73:C86+D73:D86+B73:B86)/3)&lt;((C72:C85+D72:D85+B72:B85)/3))*((C73:C86+D73:D86+B73:B86)/3)*E73:E86)),50))</f>
      </c>
      <c r="O86" s="685">
        <f>IF($O85=0,IF(AND($H86&lt;&gt;"",$B86&gt;$H86,$B85&lt;=$H85),1,0),IF($B86&lt;$I86,0,1))</f>
      </c>
      <c r="P86" s="682">
        <f>IF($O86=1,IF($O85=0,$B86,$P85),"")</f>
      </c>
      <c r="Q86" s="686">
        <f>IF(AND($O86=0,$O85=1),($B86-$P85)/$P85*100,"")</f>
      </c>
      <c r="R86" s="681">
        <f>IF($O86=1,IF($O85=0,"▲新規買い","保有中"),IF($O85=1,"■手仕舞い",""))</f>
      </c>
    </row>
    <row r="87">
      <c r="A87" s="681">
        <f>IF($B87="","",IFERROR(TEXT(INDEX(終値!$3:$3,1,105-(ROW()-8)),"m/d"),""))</f>
      </c>
      <c r="B87" s="682">
        <f>IFERROR(IF(INDEX(終値!$A:$CZ,$B$4,105-(ROW()-8))=0,"",INDEX(終値!$A:$CZ,$B$4,105-(ROW()-8))),"")</f>
      </c>
      <c r="C87" s="682">
        <f>IF($B87="","",IFERROR(INDEX(高値!$A:$CZ,$B$4,105-(ROW()-8)),""))</f>
      </c>
      <c r="D87" s="682">
        <f>IF($B87="","",IFERROR(INDEX(安値!$A:$CZ,$B$4,105-(ROW()-8)),""))</f>
      </c>
      <c r="E87" s="682">
        <f>IF($B87="","",IFERROR(INDEX(出来高!$A:$CZ,$B$4,105-(ROW()-8)),""))</f>
      </c>
      <c r="F87" s="682">
        <f>IF(COUNT(B68:B87)=20,AVERAGE(B68:B87),"")</f>
      </c>
      <c r="G87" s="683">
        <f>IF(COUNT(B68:B87)=20,STDEVP(B68:B87),"")</f>
      </c>
      <c r="H87" s="682">
        <f>IF($F87="","",$F87+BB設定!$B$4*$G87)</f>
      </c>
      <c r="I87" s="682">
        <f>IF($F87="","",$F87+BB設定!$B$5*$G87)</f>
      </c>
      <c r="J87" s="682">
        <f>IF($F87="","",$F87-BB設定!$B$5*$G87)</f>
      </c>
      <c r="K87" s="682">
        <f>IF($F87="","",$F87-BB設定!$B$4*$G87)</f>
      </c>
      <c r="L87" s="687">
        <f>IF($F87="","",IFERROR(($B87-$K87)/($H87-$K87),""))</f>
      </c>
      <c r="M87" s="684">
        <f>IF(COUNT(B74:B87)&lt;14,"",IFERROR(100-100/(1+SUMPRODUCT((B74:B87&gt;B73:B86)*(B74:B87-B73:B86))/SUMPRODUCT((B74:B87&lt;B73:B86)*(B73:B86-B74:B87))),100))</f>
      </c>
      <c r="N87" s="684">
        <f>IF(COUNT(B74:B87)&lt;14,"",IFERROR(100-100/(1+SUMPRODUCT((((C74:C87+D74:D87+B74:B87)/3)&gt;((C73:C86+D73:D86+B73:B86)/3))*((C74:C87+D74:D87+B74:B87)/3)*E74:E87)/SUMPRODUCT((((C74:C87+D74:D87+B74:B87)/3)&lt;((C73:C86+D73:D86+B73:B86)/3))*((C74:C87+D74:D87+B74:B87)/3)*E74:E87)),50))</f>
      </c>
      <c r="O87" s="685">
        <f>IF($O86=0,IF(AND($H87&lt;&gt;"",$B87&gt;$H87,$B86&lt;=$H86),1,0),IF($B87&lt;$I87,0,1))</f>
      </c>
      <c r="P87" s="682">
        <f>IF($O87=1,IF($O86=0,$B87,$P86),"")</f>
      </c>
      <c r="Q87" s="686">
        <f>IF(AND($O87=0,$O86=1),($B87-$P86)/$P86*100,"")</f>
      </c>
      <c r="R87" s="681">
        <f>IF($O87=1,IF($O86=0,"▲新規買い","保有中"),IF($O86=1,"■手仕舞い",""))</f>
      </c>
    </row>
    <row r="88">
      <c r="A88" s="681">
        <f>IF($B88="","",IFERROR(TEXT(INDEX(終値!$3:$3,1,105-(ROW()-8)),"m/d"),""))</f>
      </c>
      <c r="B88" s="682">
        <f>IFERROR(IF(INDEX(終値!$A:$CZ,$B$4,105-(ROW()-8))=0,"",INDEX(終値!$A:$CZ,$B$4,105-(ROW()-8))),"")</f>
      </c>
      <c r="C88" s="682">
        <f>IF($B88="","",IFERROR(INDEX(高値!$A:$CZ,$B$4,105-(ROW()-8)),""))</f>
      </c>
      <c r="D88" s="682">
        <f>IF($B88="","",IFERROR(INDEX(安値!$A:$CZ,$B$4,105-(ROW()-8)),""))</f>
      </c>
      <c r="E88" s="682">
        <f>IF($B88="","",IFERROR(INDEX(出来高!$A:$CZ,$B$4,105-(ROW()-8)),""))</f>
      </c>
      <c r="F88" s="682">
        <f>IF(COUNT(B69:B88)=20,AVERAGE(B69:B88),"")</f>
      </c>
      <c r="G88" s="683">
        <f>IF(COUNT(B69:B88)=20,STDEVP(B69:B88),"")</f>
      </c>
      <c r="H88" s="682">
        <f>IF($F88="","",$F88+BB設定!$B$4*$G88)</f>
      </c>
      <c r="I88" s="682">
        <f>IF($F88="","",$F88+BB設定!$B$5*$G88)</f>
      </c>
      <c r="J88" s="682">
        <f>IF($F88="","",$F88-BB設定!$B$5*$G88)</f>
      </c>
      <c r="K88" s="682">
        <f>IF($F88="","",$F88-BB設定!$B$4*$G88)</f>
      </c>
      <c r="L88" s="687">
        <f>IF($F88="","",IFERROR(($B88-$K88)/($H88-$K88),""))</f>
      </c>
      <c r="M88" s="684">
        <f>IF(COUNT(B75:B88)&lt;14,"",IFERROR(100-100/(1+SUMPRODUCT((B75:B88&gt;B74:B87)*(B75:B88-B74:B87))/SUMPRODUCT((B75:B88&lt;B74:B87)*(B74:B87-B75:B88))),100))</f>
      </c>
      <c r="N88" s="684">
        <f>IF(COUNT(B75:B88)&lt;14,"",IFERROR(100-100/(1+SUMPRODUCT((((C75:C88+D75:D88+B75:B88)/3)&gt;((C74:C87+D74:D87+B74:B87)/3))*((C75:C88+D75:D88+B75:B88)/3)*E75:E88)/SUMPRODUCT((((C75:C88+D75:D88+B75:B88)/3)&lt;((C74:C87+D74:D87+B74:B87)/3))*((C75:C88+D75:D88+B75:B88)/3)*E75:E88)),50))</f>
      </c>
      <c r="O88" s="685">
        <f>IF($O87=0,IF(AND($H88&lt;&gt;"",$B88&gt;$H88,$B87&lt;=$H87),1,0),IF($B88&lt;$I88,0,1))</f>
      </c>
      <c r="P88" s="682">
        <f>IF($O88=1,IF($O87=0,$B88,$P87),"")</f>
      </c>
      <c r="Q88" s="686">
        <f>IF(AND($O88=0,$O87=1),($B88-$P87)/$P87*100,"")</f>
      </c>
      <c r="R88" s="681">
        <f>IF($O88=1,IF($O87=0,"▲新規買い","保有中"),IF($O87=1,"■手仕舞い",""))</f>
      </c>
    </row>
    <row r="89">
      <c r="A89" s="681">
        <f>IF($B89="","",IFERROR(TEXT(INDEX(終値!$3:$3,1,105-(ROW()-8)),"m/d"),""))</f>
      </c>
      <c r="B89" s="682">
        <f>IFERROR(IF(INDEX(終値!$A:$CZ,$B$4,105-(ROW()-8))=0,"",INDEX(終値!$A:$CZ,$B$4,105-(ROW()-8))),"")</f>
      </c>
      <c r="C89" s="682">
        <f>IF($B89="","",IFERROR(INDEX(高値!$A:$CZ,$B$4,105-(ROW()-8)),""))</f>
      </c>
      <c r="D89" s="682">
        <f>IF($B89="","",IFERROR(INDEX(安値!$A:$CZ,$B$4,105-(ROW()-8)),""))</f>
      </c>
      <c r="E89" s="682">
        <f>IF($B89="","",IFERROR(INDEX(出来高!$A:$CZ,$B$4,105-(ROW()-8)),""))</f>
      </c>
      <c r="F89" s="682">
        <f>IF(COUNT(B70:B89)=20,AVERAGE(B70:B89),"")</f>
      </c>
      <c r="G89" s="683">
        <f>IF(COUNT(B70:B89)=20,STDEVP(B70:B89),"")</f>
      </c>
      <c r="H89" s="682">
        <f>IF($F89="","",$F89+BB設定!$B$4*$G89)</f>
      </c>
      <c r="I89" s="682">
        <f>IF($F89="","",$F89+BB設定!$B$5*$G89)</f>
      </c>
      <c r="J89" s="682">
        <f>IF($F89="","",$F89-BB設定!$B$5*$G89)</f>
      </c>
      <c r="K89" s="682">
        <f>IF($F89="","",$F89-BB設定!$B$4*$G89)</f>
      </c>
      <c r="L89" s="687">
        <f>IF($F89="","",IFERROR(($B89-$K89)/($H89-$K89),""))</f>
      </c>
      <c r="M89" s="684">
        <f>IF(COUNT(B76:B89)&lt;14,"",IFERROR(100-100/(1+SUMPRODUCT((B76:B89&gt;B75:B88)*(B76:B89-B75:B88))/SUMPRODUCT((B76:B89&lt;B75:B88)*(B75:B88-B76:B89))),100))</f>
      </c>
      <c r="N89" s="684">
        <f>IF(COUNT(B76:B89)&lt;14,"",IFERROR(100-100/(1+SUMPRODUCT((((C76:C89+D76:D89+B76:B89)/3)&gt;((C75:C88+D75:D88+B75:B88)/3))*((C76:C89+D76:D89+B76:B89)/3)*E76:E89)/SUMPRODUCT((((C76:C89+D76:D89+B76:B89)/3)&lt;((C75:C88+D75:D88+B75:B88)/3))*((C76:C89+D76:D89+B76:B89)/3)*E76:E89)),50))</f>
      </c>
      <c r="O89" s="685">
        <f>IF($O88=0,IF(AND($H89&lt;&gt;"",$B89&gt;$H89,$B88&lt;=$H88),1,0),IF($B89&lt;$I89,0,1))</f>
      </c>
      <c r="P89" s="682">
        <f>IF($O89=1,IF($O88=0,$B89,$P88),"")</f>
      </c>
      <c r="Q89" s="686">
        <f>IF(AND($O89=0,$O88=1),($B89-$P88)/$P88*100,"")</f>
      </c>
      <c r="R89" s="681">
        <f>IF($O89=1,IF($O88=0,"▲新規買い","保有中"),IF($O88=1,"■手仕舞い",""))</f>
      </c>
    </row>
    <row r="90">
      <c r="A90" s="681">
        <f>IF($B90="","",IFERROR(TEXT(INDEX(終値!$3:$3,1,105-(ROW()-8)),"m/d"),""))</f>
      </c>
      <c r="B90" s="682">
        <f>IFERROR(IF(INDEX(終値!$A:$CZ,$B$4,105-(ROW()-8))=0,"",INDEX(終値!$A:$CZ,$B$4,105-(ROW()-8))),"")</f>
      </c>
      <c r="C90" s="682">
        <f>IF($B90="","",IFERROR(INDEX(高値!$A:$CZ,$B$4,105-(ROW()-8)),""))</f>
      </c>
      <c r="D90" s="682">
        <f>IF($B90="","",IFERROR(INDEX(安値!$A:$CZ,$B$4,105-(ROW()-8)),""))</f>
      </c>
      <c r="E90" s="682">
        <f>IF($B90="","",IFERROR(INDEX(出来高!$A:$CZ,$B$4,105-(ROW()-8)),""))</f>
      </c>
      <c r="F90" s="682">
        <f>IF(COUNT(B71:B90)=20,AVERAGE(B71:B90),"")</f>
      </c>
      <c r="G90" s="683">
        <f>IF(COUNT(B71:B90)=20,STDEVP(B71:B90),"")</f>
      </c>
      <c r="H90" s="682">
        <f>IF($F90="","",$F90+BB設定!$B$4*$G90)</f>
      </c>
      <c r="I90" s="682">
        <f>IF($F90="","",$F90+BB設定!$B$5*$G90)</f>
      </c>
      <c r="J90" s="682">
        <f>IF($F90="","",$F90-BB設定!$B$5*$G90)</f>
      </c>
      <c r="K90" s="682">
        <f>IF($F90="","",$F90-BB設定!$B$4*$G90)</f>
      </c>
      <c r="L90" s="687">
        <f>IF($F90="","",IFERROR(($B90-$K90)/($H90-$K90),""))</f>
      </c>
      <c r="M90" s="684">
        <f>IF(COUNT(B77:B90)&lt;14,"",IFERROR(100-100/(1+SUMPRODUCT((B77:B90&gt;B76:B89)*(B77:B90-B76:B89))/SUMPRODUCT((B77:B90&lt;B76:B89)*(B76:B89-B77:B90))),100))</f>
      </c>
      <c r="N90" s="684">
        <f>IF(COUNT(B77:B90)&lt;14,"",IFERROR(100-100/(1+SUMPRODUCT((((C77:C90+D77:D90+B77:B90)/3)&gt;((C76:C89+D76:D89+B76:B89)/3))*((C77:C90+D77:D90+B77:B90)/3)*E77:E90)/SUMPRODUCT((((C77:C90+D77:D90+B77:B90)/3)&lt;((C76:C89+D76:D89+B76:B89)/3))*((C77:C90+D77:D90+B77:B90)/3)*E77:E90)),50))</f>
      </c>
      <c r="O90" s="685">
        <f>IF($O89=0,IF(AND($H90&lt;&gt;"",$B90&gt;$H90,$B89&lt;=$H89),1,0),IF($B90&lt;$I90,0,1))</f>
      </c>
      <c r="P90" s="682">
        <f>IF($O90=1,IF($O89=0,$B90,$P89),"")</f>
      </c>
      <c r="Q90" s="686">
        <f>IF(AND($O90=0,$O89=1),($B90-$P89)/$P89*100,"")</f>
      </c>
      <c r="R90" s="681">
        <f>IF($O90=1,IF($O89=0,"▲新規買い","保有中"),IF($O89=1,"■手仕舞い",""))</f>
      </c>
    </row>
    <row r="91">
      <c r="A91" s="681">
        <f>IF($B91="","",IFERROR(TEXT(INDEX(終値!$3:$3,1,105-(ROW()-8)),"m/d"),""))</f>
      </c>
      <c r="B91" s="682">
        <f>IFERROR(IF(INDEX(終値!$A:$CZ,$B$4,105-(ROW()-8))=0,"",INDEX(終値!$A:$CZ,$B$4,105-(ROW()-8))),"")</f>
      </c>
      <c r="C91" s="682">
        <f>IF($B91="","",IFERROR(INDEX(高値!$A:$CZ,$B$4,105-(ROW()-8)),""))</f>
      </c>
      <c r="D91" s="682">
        <f>IF($B91="","",IFERROR(INDEX(安値!$A:$CZ,$B$4,105-(ROW()-8)),""))</f>
      </c>
      <c r="E91" s="682">
        <f>IF($B91="","",IFERROR(INDEX(出来高!$A:$CZ,$B$4,105-(ROW()-8)),""))</f>
      </c>
      <c r="F91" s="682">
        <f>IF(COUNT(B72:B91)=20,AVERAGE(B72:B91),"")</f>
      </c>
      <c r="G91" s="683">
        <f>IF(COUNT(B72:B91)=20,STDEVP(B72:B91),"")</f>
      </c>
      <c r="H91" s="682">
        <f>IF($F91="","",$F91+BB設定!$B$4*$G91)</f>
      </c>
      <c r="I91" s="682">
        <f>IF($F91="","",$F91+BB設定!$B$5*$G91)</f>
      </c>
      <c r="J91" s="682">
        <f>IF($F91="","",$F91-BB設定!$B$5*$G91)</f>
      </c>
      <c r="K91" s="682">
        <f>IF($F91="","",$F91-BB設定!$B$4*$G91)</f>
      </c>
      <c r="L91" s="687">
        <f>IF($F91="","",IFERROR(($B91-$K91)/($H91-$K91),""))</f>
      </c>
      <c r="M91" s="684">
        <f>IF(COUNT(B78:B91)&lt;14,"",IFERROR(100-100/(1+SUMPRODUCT((B78:B91&gt;B77:B90)*(B78:B91-B77:B90))/SUMPRODUCT((B78:B91&lt;B77:B90)*(B77:B90-B78:B91))),100))</f>
      </c>
      <c r="N91" s="684">
        <f>IF(COUNT(B78:B91)&lt;14,"",IFERROR(100-100/(1+SUMPRODUCT((((C78:C91+D78:D91+B78:B91)/3)&gt;((C77:C90+D77:D90+B77:B90)/3))*((C78:C91+D78:D91+B78:B91)/3)*E78:E91)/SUMPRODUCT((((C78:C91+D78:D91+B78:B91)/3)&lt;((C77:C90+D77:D90+B77:B90)/3))*((C78:C91+D78:D91+B78:B91)/3)*E78:E91)),50))</f>
      </c>
      <c r="O91" s="685">
        <f>IF($O90=0,IF(AND($H91&lt;&gt;"",$B91&gt;$H91,$B90&lt;=$H90),1,0),IF($B91&lt;$I91,0,1))</f>
      </c>
      <c r="P91" s="682">
        <f>IF($O91=1,IF($O90=0,$B91,$P90),"")</f>
      </c>
      <c r="Q91" s="686">
        <f>IF(AND($O91=0,$O90=1),($B91-$P90)/$P90*100,"")</f>
      </c>
      <c r="R91" s="681">
        <f>IF($O91=1,IF($O90=0,"▲新規買い","保有中"),IF($O90=1,"■手仕舞い",""))</f>
      </c>
    </row>
    <row r="92">
      <c r="A92" s="681">
        <f>IF($B92="","",IFERROR(TEXT(INDEX(終値!$3:$3,1,105-(ROW()-8)),"m/d"),""))</f>
      </c>
      <c r="B92" s="682">
        <f>IFERROR(IF(INDEX(終値!$A:$CZ,$B$4,105-(ROW()-8))=0,"",INDEX(終値!$A:$CZ,$B$4,105-(ROW()-8))),"")</f>
      </c>
      <c r="C92" s="682">
        <f>IF($B92="","",IFERROR(INDEX(高値!$A:$CZ,$B$4,105-(ROW()-8)),""))</f>
      </c>
      <c r="D92" s="682">
        <f>IF($B92="","",IFERROR(INDEX(安値!$A:$CZ,$B$4,105-(ROW()-8)),""))</f>
      </c>
      <c r="E92" s="682">
        <f>IF($B92="","",IFERROR(INDEX(出来高!$A:$CZ,$B$4,105-(ROW()-8)),""))</f>
      </c>
      <c r="F92" s="682">
        <f>IF(COUNT(B73:B92)=20,AVERAGE(B73:B92),"")</f>
      </c>
      <c r="G92" s="683">
        <f>IF(COUNT(B73:B92)=20,STDEVP(B73:B92),"")</f>
      </c>
      <c r="H92" s="682">
        <f>IF($F92="","",$F92+BB設定!$B$4*$G92)</f>
      </c>
      <c r="I92" s="682">
        <f>IF($F92="","",$F92+BB設定!$B$5*$G92)</f>
      </c>
      <c r="J92" s="682">
        <f>IF($F92="","",$F92-BB設定!$B$5*$G92)</f>
      </c>
      <c r="K92" s="682">
        <f>IF($F92="","",$F92-BB設定!$B$4*$G92)</f>
      </c>
      <c r="L92" s="687">
        <f>IF($F92="","",IFERROR(($B92-$K92)/($H92-$K92),""))</f>
      </c>
      <c r="M92" s="684">
        <f>IF(COUNT(B79:B92)&lt;14,"",IFERROR(100-100/(1+SUMPRODUCT((B79:B92&gt;B78:B91)*(B79:B92-B78:B91))/SUMPRODUCT((B79:B92&lt;B78:B91)*(B78:B91-B79:B92))),100))</f>
      </c>
      <c r="N92" s="684">
        <f>IF(COUNT(B79:B92)&lt;14,"",IFERROR(100-100/(1+SUMPRODUCT((((C79:C92+D79:D92+B79:B92)/3)&gt;((C78:C91+D78:D91+B78:B91)/3))*((C79:C92+D79:D92+B79:B92)/3)*E79:E92)/SUMPRODUCT((((C79:C92+D79:D92+B79:B92)/3)&lt;((C78:C91+D78:D91+B78:B91)/3))*((C79:C92+D79:D92+B79:B92)/3)*E79:E92)),50))</f>
      </c>
      <c r="O92" s="685">
        <f>IF($O91=0,IF(AND($H92&lt;&gt;"",$B92&gt;$H92,$B91&lt;=$H91),1,0),IF($B92&lt;$I92,0,1))</f>
      </c>
      <c r="P92" s="682">
        <f>IF($O92=1,IF($O91=0,$B92,$P91),"")</f>
      </c>
      <c r="Q92" s="686">
        <f>IF(AND($O92=0,$O91=1),($B92-$P91)/$P91*100,"")</f>
      </c>
      <c r="R92" s="681">
        <f>IF($O92=1,IF($O91=0,"▲新規買い","保有中"),IF($O91=1,"■手仕舞い",""))</f>
      </c>
    </row>
    <row r="93">
      <c r="A93" s="681">
        <f>IF($B93="","",IFERROR(TEXT(INDEX(終値!$3:$3,1,105-(ROW()-8)),"m/d"),""))</f>
      </c>
      <c r="B93" s="682">
        <f>IFERROR(IF(INDEX(終値!$A:$CZ,$B$4,105-(ROW()-8))=0,"",INDEX(終値!$A:$CZ,$B$4,105-(ROW()-8))),"")</f>
      </c>
      <c r="C93" s="682">
        <f>IF($B93="","",IFERROR(INDEX(高値!$A:$CZ,$B$4,105-(ROW()-8)),""))</f>
      </c>
      <c r="D93" s="682">
        <f>IF($B93="","",IFERROR(INDEX(安値!$A:$CZ,$B$4,105-(ROW()-8)),""))</f>
      </c>
      <c r="E93" s="682">
        <f>IF($B93="","",IFERROR(INDEX(出来高!$A:$CZ,$B$4,105-(ROW()-8)),""))</f>
      </c>
      <c r="F93" s="682">
        <f>IF(COUNT(B74:B93)=20,AVERAGE(B74:B93),"")</f>
      </c>
      <c r="G93" s="683">
        <f>IF(COUNT(B74:B93)=20,STDEVP(B74:B93),"")</f>
      </c>
      <c r="H93" s="682">
        <f>IF($F93="","",$F93+BB設定!$B$4*$G93)</f>
      </c>
      <c r="I93" s="682">
        <f>IF($F93="","",$F93+BB設定!$B$5*$G93)</f>
      </c>
      <c r="J93" s="682">
        <f>IF($F93="","",$F93-BB設定!$B$5*$G93)</f>
      </c>
      <c r="K93" s="682">
        <f>IF($F93="","",$F93-BB設定!$B$4*$G93)</f>
      </c>
      <c r="L93" s="687">
        <f>IF($F93="","",IFERROR(($B93-$K93)/($H93-$K93),""))</f>
      </c>
      <c r="M93" s="684">
        <f>IF(COUNT(B80:B93)&lt;14,"",IFERROR(100-100/(1+SUMPRODUCT((B80:B93&gt;B79:B92)*(B80:B93-B79:B92))/SUMPRODUCT((B80:B93&lt;B79:B92)*(B79:B92-B80:B93))),100))</f>
      </c>
      <c r="N93" s="684">
        <f>IF(COUNT(B80:B93)&lt;14,"",IFERROR(100-100/(1+SUMPRODUCT((((C80:C93+D80:D93+B80:B93)/3)&gt;((C79:C92+D79:D92+B79:B92)/3))*((C80:C93+D80:D93+B80:B93)/3)*E80:E93)/SUMPRODUCT((((C80:C93+D80:D93+B80:B93)/3)&lt;((C79:C92+D79:D92+B79:B92)/3))*((C80:C93+D80:D93+B80:B93)/3)*E80:E93)),50))</f>
      </c>
      <c r="O93" s="685">
        <f>IF($O92=0,IF(AND($H93&lt;&gt;"",$B93&gt;$H93,$B92&lt;=$H92),1,0),IF($B93&lt;$I93,0,1))</f>
      </c>
      <c r="P93" s="682">
        <f>IF($O93=1,IF($O92=0,$B93,$P92),"")</f>
      </c>
      <c r="Q93" s="686">
        <f>IF(AND($O93=0,$O92=1),($B93-$P92)/$P92*100,"")</f>
      </c>
      <c r="R93" s="681">
        <f>IF($O93=1,IF($O92=0,"▲新規買い","保有中"),IF($O92=1,"■手仕舞い",""))</f>
      </c>
    </row>
    <row r="94">
      <c r="A94" s="681">
        <f>IF($B94="","",IFERROR(TEXT(INDEX(終値!$3:$3,1,105-(ROW()-8)),"m/d"),""))</f>
      </c>
      <c r="B94" s="682">
        <f>IFERROR(IF(INDEX(終値!$A:$CZ,$B$4,105-(ROW()-8))=0,"",INDEX(終値!$A:$CZ,$B$4,105-(ROW()-8))),"")</f>
      </c>
      <c r="C94" s="682">
        <f>IF($B94="","",IFERROR(INDEX(高値!$A:$CZ,$B$4,105-(ROW()-8)),""))</f>
      </c>
      <c r="D94" s="682">
        <f>IF($B94="","",IFERROR(INDEX(安値!$A:$CZ,$B$4,105-(ROW()-8)),""))</f>
      </c>
      <c r="E94" s="682">
        <f>IF($B94="","",IFERROR(INDEX(出来高!$A:$CZ,$B$4,105-(ROW()-8)),""))</f>
      </c>
      <c r="F94" s="682">
        <f>IF(COUNT(B75:B94)=20,AVERAGE(B75:B94),"")</f>
      </c>
      <c r="G94" s="683">
        <f>IF(COUNT(B75:B94)=20,STDEVP(B75:B94),"")</f>
      </c>
      <c r="H94" s="682">
        <f>IF($F94="","",$F94+BB設定!$B$4*$G94)</f>
      </c>
      <c r="I94" s="682">
        <f>IF($F94="","",$F94+BB設定!$B$5*$G94)</f>
      </c>
      <c r="J94" s="682">
        <f>IF($F94="","",$F94-BB設定!$B$5*$G94)</f>
      </c>
      <c r="K94" s="682">
        <f>IF($F94="","",$F94-BB設定!$B$4*$G94)</f>
      </c>
      <c r="L94" s="687">
        <f>IF($F94="","",IFERROR(($B94-$K94)/($H94-$K94),""))</f>
      </c>
      <c r="M94" s="684">
        <f>IF(COUNT(B81:B94)&lt;14,"",IFERROR(100-100/(1+SUMPRODUCT((B81:B94&gt;B80:B93)*(B81:B94-B80:B93))/SUMPRODUCT((B81:B94&lt;B80:B93)*(B80:B93-B81:B94))),100))</f>
      </c>
      <c r="N94" s="684">
        <f>IF(COUNT(B81:B94)&lt;14,"",IFERROR(100-100/(1+SUMPRODUCT((((C81:C94+D81:D94+B81:B94)/3)&gt;((C80:C93+D80:D93+B80:B93)/3))*((C81:C94+D81:D94+B81:B94)/3)*E81:E94)/SUMPRODUCT((((C81:C94+D81:D94+B81:B94)/3)&lt;((C80:C93+D80:D93+B80:B93)/3))*((C81:C94+D81:D94+B81:B94)/3)*E81:E94)),50))</f>
      </c>
      <c r="O94" s="685">
        <f>IF($O93=0,IF(AND($H94&lt;&gt;"",$B94&gt;$H94,$B93&lt;=$H93),1,0),IF($B94&lt;$I94,0,1))</f>
      </c>
      <c r="P94" s="682">
        <f>IF($O94=1,IF($O93=0,$B94,$P93),"")</f>
      </c>
      <c r="Q94" s="686">
        <f>IF(AND($O94=0,$O93=1),($B94-$P93)/$P93*100,"")</f>
      </c>
      <c r="R94" s="681">
        <f>IF($O94=1,IF($O93=0,"▲新規買い","保有中"),IF($O93=1,"■手仕舞い",""))</f>
      </c>
    </row>
    <row r="95">
      <c r="A95" s="681">
        <f>IF($B95="","",IFERROR(TEXT(INDEX(終値!$3:$3,1,105-(ROW()-8)),"m/d"),""))</f>
      </c>
      <c r="B95" s="682">
        <f>IFERROR(IF(INDEX(終値!$A:$CZ,$B$4,105-(ROW()-8))=0,"",INDEX(終値!$A:$CZ,$B$4,105-(ROW()-8))),"")</f>
      </c>
      <c r="C95" s="682">
        <f>IF($B95="","",IFERROR(INDEX(高値!$A:$CZ,$B$4,105-(ROW()-8)),""))</f>
      </c>
      <c r="D95" s="682">
        <f>IF($B95="","",IFERROR(INDEX(安値!$A:$CZ,$B$4,105-(ROW()-8)),""))</f>
      </c>
      <c r="E95" s="682">
        <f>IF($B95="","",IFERROR(INDEX(出来高!$A:$CZ,$B$4,105-(ROW()-8)),""))</f>
      </c>
      <c r="F95" s="682">
        <f>IF(COUNT(B76:B95)=20,AVERAGE(B76:B95),"")</f>
      </c>
      <c r="G95" s="683">
        <f>IF(COUNT(B76:B95)=20,STDEVP(B76:B95),"")</f>
      </c>
      <c r="H95" s="682">
        <f>IF($F95="","",$F95+BB設定!$B$4*$G95)</f>
      </c>
      <c r="I95" s="682">
        <f>IF($F95="","",$F95+BB設定!$B$5*$G95)</f>
      </c>
      <c r="J95" s="682">
        <f>IF($F95="","",$F95-BB設定!$B$5*$G95)</f>
      </c>
      <c r="K95" s="682">
        <f>IF($F95="","",$F95-BB設定!$B$4*$G95)</f>
      </c>
      <c r="L95" s="687">
        <f>IF($F95="","",IFERROR(($B95-$K95)/($H95-$K95),""))</f>
      </c>
      <c r="M95" s="684">
        <f>IF(COUNT(B82:B95)&lt;14,"",IFERROR(100-100/(1+SUMPRODUCT((B82:B95&gt;B81:B94)*(B82:B95-B81:B94))/SUMPRODUCT((B82:B95&lt;B81:B94)*(B81:B94-B82:B95))),100))</f>
      </c>
      <c r="N95" s="684">
        <f>IF(COUNT(B82:B95)&lt;14,"",IFERROR(100-100/(1+SUMPRODUCT((((C82:C95+D82:D95+B82:B95)/3)&gt;((C81:C94+D81:D94+B81:B94)/3))*((C82:C95+D82:D95+B82:B95)/3)*E82:E95)/SUMPRODUCT((((C82:C95+D82:D95+B82:B95)/3)&lt;((C81:C94+D81:D94+B81:B94)/3))*((C82:C95+D82:D95+B82:B95)/3)*E82:E95)),50))</f>
      </c>
      <c r="O95" s="685">
        <f>IF($O94=0,IF(AND($H95&lt;&gt;"",$B95&gt;$H95,$B94&lt;=$H94),1,0),IF($B95&lt;$I95,0,1))</f>
      </c>
      <c r="P95" s="682">
        <f>IF($O95=1,IF($O94=0,$B95,$P94),"")</f>
      </c>
      <c r="Q95" s="686">
        <f>IF(AND($O95=0,$O94=1),($B95-$P94)/$P94*100,"")</f>
      </c>
      <c r="R95" s="681">
        <f>IF($O95=1,IF($O94=0,"▲新規買い","保有中"),IF($O94=1,"■手仕舞い",""))</f>
      </c>
    </row>
    <row r="96">
      <c r="A96" s="681">
        <f>IF($B96="","",IFERROR(TEXT(INDEX(終値!$3:$3,1,105-(ROW()-8)),"m/d"),""))</f>
      </c>
      <c r="B96" s="682">
        <f>IFERROR(IF(INDEX(終値!$A:$CZ,$B$4,105-(ROW()-8))=0,"",INDEX(終値!$A:$CZ,$B$4,105-(ROW()-8))),"")</f>
      </c>
      <c r="C96" s="682">
        <f>IF($B96="","",IFERROR(INDEX(高値!$A:$CZ,$B$4,105-(ROW()-8)),""))</f>
      </c>
      <c r="D96" s="682">
        <f>IF($B96="","",IFERROR(INDEX(安値!$A:$CZ,$B$4,105-(ROW()-8)),""))</f>
      </c>
      <c r="E96" s="682">
        <f>IF($B96="","",IFERROR(INDEX(出来高!$A:$CZ,$B$4,105-(ROW()-8)),""))</f>
      </c>
      <c r="F96" s="682">
        <f>IF(COUNT(B77:B96)=20,AVERAGE(B77:B96),"")</f>
      </c>
      <c r="G96" s="683">
        <f>IF(COUNT(B77:B96)=20,STDEVP(B77:B96),"")</f>
      </c>
      <c r="H96" s="682">
        <f>IF($F96="","",$F96+BB設定!$B$4*$G96)</f>
      </c>
      <c r="I96" s="682">
        <f>IF($F96="","",$F96+BB設定!$B$5*$G96)</f>
      </c>
      <c r="J96" s="682">
        <f>IF($F96="","",$F96-BB設定!$B$5*$G96)</f>
      </c>
      <c r="K96" s="682">
        <f>IF($F96="","",$F96-BB設定!$B$4*$G96)</f>
      </c>
      <c r="L96" s="687">
        <f>IF($F96="","",IFERROR(($B96-$K96)/($H96-$K96),""))</f>
      </c>
      <c r="M96" s="684">
        <f>IF(COUNT(B83:B96)&lt;14,"",IFERROR(100-100/(1+SUMPRODUCT((B83:B96&gt;B82:B95)*(B83:B96-B82:B95))/SUMPRODUCT((B83:B96&lt;B82:B95)*(B82:B95-B83:B96))),100))</f>
      </c>
      <c r="N96" s="684">
        <f>IF(COUNT(B83:B96)&lt;14,"",IFERROR(100-100/(1+SUMPRODUCT((((C83:C96+D83:D96+B83:B96)/3)&gt;((C82:C95+D82:D95+B82:B95)/3))*((C83:C96+D83:D96+B83:B96)/3)*E83:E96)/SUMPRODUCT((((C83:C96+D83:D96+B83:B96)/3)&lt;((C82:C95+D82:D95+B82:B95)/3))*((C83:C96+D83:D96+B83:B96)/3)*E83:E96)),50))</f>
      </c>
      <c r="O96" s="685">
        <f>IF($O95=0,IF(AND($H96&lt;&gt;"",$B96&gt;$H96,$B95&lt;=$H95),1,0),IF($B96&lt;$I96,0,1))</f>
      </c>
      <c r="P96" s="682">
        <f>IF($O96=1,IF($O95=0,$B96,$P95),"")</f>
      </c>
      <c r="Q96" s="686">
        <f>IF(AND($O96=0,$O95=1),($B96-$P95)/$P95*100,"")</f>
      </c>
      <c r="R96" s="681">
        <f>IF($O96=1,IF($O95=0,"▲新規買い","保有中"),IF($O95=1,"■手仕舞い",""))</f>
      </c>
    </row>
    <row r="97">
      <c r="A97" s="681">
        <f>IF($B97="","",IFERROR(TEXT(INDEX(終値!$3:$3,1,105-(ROW()-8)),"m/d"),""))</f>
      </c>
      <c r="B97" s="682">
        <f>IFERROR(IF(INDEX(終値!$A:$CZ,$B$4,105-(ROW()-8))=0,"",INDEX(終値!$A:$CZ,$B$4,105-(ROW()-8))),"")</f>
      </c>
      <c r="C97" s="682">
        <f>IF($B97="","",IFERROR(INDEX(高値!$A:$CZ,$B$4,105-(ROW()-8)),""))</f>
      </c>
      <c r="D97" s="682">
        <f>IF($B97="","",IFERROR(INDEX(安値!$A:$CZ,$B$4,105-(ROW()-8)),""))</f>
      </c>
      <c r="E97" s="682">
        <f>IF($B97="","",IFERROR(INDEX(出来高!$A:$CZ,$B$4,105-(ROW()-8)),""))</f>
      </c>
      <c r="F97" s="682">
        <f>IF(COUNT(B78:B97)=20,AVERAGE(B78:B97),"")</f>
      </c>
      <c r="G97" s="683">
        <f>IF(COUNT(B78:B97)=20,STDEVP(B78:B97),"")</f>
      </c>
      <c r="H97" s="682">
        <f>IF($F97="","",$F97+BB設定!$B$4*$G97)</f>
      </c>
      <c r="I97" s="682">
        <f>IF($F97="","",$F97+BB設定!$B$5*$G97)</f>
      </c>
      <c r="J97" s="682">
        <f>IF($F97="","",$F97-BB設定!$B$5*$G97)</f>
      </c>
      <c r="K97" s="682">
        <f>IF($F97="","",$F97-BB設定!$B$4*$G97)</f>
      </c>
      <c r="L97" s="687">
        <f>IF($F97="","",IFERROR(($B97-$K97)/($H97-$K97),""))</f>
      </c>
      <c r="M97" s="684">
        <f>IF(COUNT(B84:B97)&lt;14,"",IFERROR(100-100/(1+SUMPRODUCT((B84:B97&gt;B83:B96)*(B84:B97-B83:B96))/SUMPRODUCT((B84:B97&lt;B83:B96)*(B83:B96-B84:B97))),100))</f>
      </c>
      <c r="N97" s="684">
        <f>IF(COUNT(B84:B97)&lt;14,"",IFERROR(100-100/(1+SUMPRODUCT((((C84:C97+D84:D97+B84:B97)/3)&gt;((C83:C96+D83:D96+B83:B96)/3))*((C84:C97+D84:D97+B84:B97)/3)*E84:E97)/SUMPRODUCT((((C84:C97+D84:D97+B84:B97)/3)&lt;((C83:C96+D83:D96+B83:B96)/3))*((C84:C97+D84:D97+B84:B97)/3)*E84:E97)),50))</f>
      </c>
      <c r="O97" s="685">
        <f>IF($O96=0,IF(AND($H97&lt;&gt;"",$B97&gt;$H97,$B96&lt;=$H96),1,0),IF($B97&lt;$I97,0,1))</f>
      </c>
      <c r="P97" s="682">
        <f>IF($O97=1,IF($O96=0,$B97,$P96),"")</f>
      </c>
      <c r="Q97" s="686">
        <f>IF(AND($O97=0,$O96=1),($B97-$P96)/$P96*100,"")</f>
      </c>
      <c r="R97" s="681">
        <f>IF($O97=1,IF($O96=0,"▲新規買い","保有中"),IF($O96=1,"■手仕舞い",""))</f>
      </c>
    </row>
    <row r="98">
      <c r="A98" s="681">
        <f>IF($B98="","",IFERROR(TEXT(INDEX(終値!$3:$3,1,105-(ROW()-8)),"m/d"),""))</f>
      </c>
      <c r="B98" s="682">
        <f>IFERROR(IF(INDEX(終値!$A:$CZ,$B$4,105-(ROW()-8))=0,"",INDEX(終値!$A:$CZ,$B$4,105-(ROW()-8))),"")</f>
      </c>
      <c r="C98" s="682">
        <f>IF($B98="","",IFERROR(INDEX(高値!$A:$CZ,$B$4,105-(ROW()-8)),""))</f>
      </c>
      <c r="D98" s="682">
        <f>IF($B98="","",IFERROR(INDEX(安値!$A:$CZ,$B$4,105-(ROW()-8)),""))</f>
      </c>
      <c r="E98" s="682">
        <f>IF($B98="","",IFERROR(INDEX(出来高!$A:$CZ,$B$4,105-(ROW()-8)),""))</f>
      </c>
      <c r="F98" s="682">
        <f>IF(COUNT(B79:B98)=20,AVERAGE(B79:B98),"")</f>
      </c>
      <c r="G98" s="683">
        <f>IF(COUNT(B79:B98)=20,STDEVP(B79:B98),"")</f>
      </c>
      <c r="H98" s="682">
        <f>IF($F98="","",$F98+BB設定!$B$4*$G98)</f>
      </c>
      <c r="I98" s="682">
        <f>IF($F98="","",$F98+BB設定!$B$5*$G98)</f>
      </c>
      <c r="J98" s="682">
        <f>IF($F98="","",$F98-BB設定!$B$5*$G98)</f>
      </c>
      <c r="K98" s="682">
        <f>IF($F98="","",$F98-BB設定!$B$4*$G98)</f>
      </c>
      <c r="L98" s="687">
        <f>IF($F98="","",IFERROR(($B98-$K98)/($H98-$K98),""))</f>
      </c>
      <c r="M98" s="684">
        <f>IF(COUNT(B85:B98)&lt;14,"",IFERROR(100-100/(1+SUMPRODUCT((B85:B98&gt;B84:B97)*(B85:B98-B84:B97))/SUMPRODUCT((B85:B98&lt;B84:B97)*(B84:B97-B85:B98))),100))</f>
      </c>
      <c r="N98" s="684">
        <f>IF(COUNT(B85:B98)&lt;14,"",IFERROR(100-100/(1+SUMPRODUCT((((C85:C98+D85:D98+B85:B98)/3)&gt;((C84:C97+D84:D97+B84:B97)/3))*((C85:C98+D85:D98+B85:B98)/3)*E85:E98)/SUMPRODUCT((((C85:C98+D85:D98+B85:B98)/3)&lt;((C84:C97+D84:D97+B84:B97)/3))*((C85:C98+D85:D98+B85:B98)/3)*E85:E98)),50))</f>
      </c>
      <c r="O98" s="685">
        <f>IF($O97=0,IF(AND($H98&lt;&gt;"",$B98&gt;$H98,$B97&lt;=$H97),1,0),IF($B98&lt;$I98,0,1))</f>
      </c>
      <c r="P98" s="682">
        <f>IF($O98=1,IF($O97=0,$B98,$P97),"")</f>
      </c>
      <c r="Q98" s="686">
        <f>IF(AND($O98=0,$O97=1),($B98-$P97)/$P97*100,"")</f>
      </c>
      <c r="R98" s="681">
        <f>IF($O98=1,IF($O97=0,"▲新規買い","保有中"),IF($O97=1,"■手仕舞い",""))</f>
      </c>
    </row>
    <row r="99">
      <c r="A99" s="681">
        <f>IF($B99="","",IFERROR(TEXT(INDEX(終値!$3:$3,1,105-(ROW()-8)),"m/d"),""))</f>
      </c>
      <c r="B99" s="682">
        <f>IFERROR(IF(INDEX(終値!$A:$CZ,$B$4,105-(ROW()-8))=0,"",INDEX(終値!$A:$CZ,$B$4,105-(ROW()-8))),"")</f>
      </c>
      <c r="C99" s="682">
        <f>IF($B99="","",IFERROR(INDEX(高値!$A:$CZ,$B$4,105-(ROW()-8)),""))</f>
      </c>
      <c r="D99" s="682">
        <f>IF($B99="","",IFERROR(INDEX(安値!$A:$CZ,$B$4,105-(ROW()-8)),""))</f>
      </c>
      <c r="E99" s="682">
        <f>IF($B99="","",IFERROR(INDEX(出来高!$A:$CZ,$B$4,105-(ROW()-8)),""))</f>
      </c>
      <c r="F99" s="682">
        <f>IF(COUNT(B80:B99)=20,AVERAGE(B80:B99),"")</f>
      </c>
      <c r="G99" s="683">
        <f>IF(COUNT(B80:B99)=20,STDEVP(B80:B99),"")</f>
      </c>
      <c r="H99" s="682">
        <f>IF($F99="","",$F99+BB設定!$B$4*$G99)</f>
      </c>
      <c r="I99" s="682">
        <f>IF($F99="","",$F99+BB設定!$B$5*$G99)</f>
      </c>
      <c r="J99" s="682">
        <f>IF($F99="","",$F99-BB設定!$B$5*$G99)</f>
      </c>
      <c r="K99" s="682">
        <f>IF($F99="","",$F99-BB設定!$B$4*$G99)</f>
      </c>
      <c r="L99" s="687">
        <f>IF($F99="","",IFERROR(($B99-$K99)/($H99-$K99),""))</f>
      </c>
      <c r="M99" s="684">
        <f>IF(COUNT(B86:B99)&lt;14,"",IFERROR(100-100/(1+SUMPRODUCT((B86:B99&gt;B85:B98)*(B86:B99-B85:B98))/SUMPRODUCT((B86:B99&lt;B85:B98)*(B85:B98-B86:B99))),100))</f>
      </c>
      <c r="N99" s="684">
        <f>IF(COUNT(B86:B99)&lt;14,"",IFERROR(100-100/(1+SUMPRODUCT((((C86:C99+D86:D99+B86:B99)/3)&gt;((C85:C98+D85:D98+B85:B98)/3))*((C86:C99+D86:D99+B86:B99)/3)*E86:E99)/SUMPRODUCT((((C86:C99+D86:D99+B86:B99)/3)&lt;((C85:C98+D85:D98+B85:B98)/3))*((C86:C99+D86:D99+B86:B99)/3)*E86:E99)),50))</f>
      </c>
      <c r="O99" s="685">
        <f>IF($O98=0,IF(AND($H99&lt;&gt;"",$B99&gt;$H99,$B98&lt;=$H98),1,0),IF($B99&lt;$I99,0,1))</f>
      </c>
      <c r="P99" s="682">
        <f>IF($O99=1,IF($O98=0,$B99,$P98),"")</f>
      </c>
      <c r="Q99" s="686">
        <f>IF(AND($O99=0,$O98=1),($B99-$P98)/$P98*100,"")</f>
      </c>
      <c r="R99" s="681">
        <f>IF($O99=1,IF($O98=0,"▲新規買い","保有中"),IF($O98=1,"■手仕舞い",""))</f>
      </c>
    </row>
    <row r="100">
      <c r="A100" s="681">
        <f>IF($B100="","",IFERROR(TEXT(INDEX(終値!$3:$3,1,105-(ROW()-8)),"m/d"),""))</f>
      </c>
      <c r="B100" s="682">
        <f>IFERROR(IF(INDEX(終値!$A:$CZ,$B$4,105-(ROW()-8))=0,"",INDEX(終値!$A:$CZ,$B$4,105-(ROW()-8))),"")</f>
      </c>
      <c r="C100" s="682">
        <f>IF($B100="","",IFERROR(INDEX(高値!$A:$CZ,$B$4,105-(ROW()-8)),""))</f>
      </c>
      <c r="D100" s="682">
        <f>IF($B100="","",IFERROR(INDEX(安値!$A:$CZ,$B$4,105-(ROW()-8)),""))</f>
      </c>
      <c r="E100" s="682">
        <f>IF($B100="","",IFERROR(INDEX(出来高!$A:$CZ,$B$4,105-(ROW()-8)),""))</f>
      </c>
      <c r="F100" s="682">
        <f>IF(COUNT(B81:B100)=20,AVERAGE(B81:B100),"")</f>
      </c>
      <c r="G100" s="683">
        <f>IF(COUNT(B81:B100)=20,STDEVP(B81:B100),"")</f>
      </c>
      <c r="H100" s="682">
        <f>IF($F100="","",$F100+BB設定!$B$4*$G100)</f>
      </c>
      <c r="I100" s="682">
        <f>IF($F100="","",$F100+BB設定!$B$5*$G100)</f>
      </c>
      <c r="J100" s="682">
        <f>IF($F100="","",$F100-BB設定!$B$5*$G100)</f>
      </c>
      <c r="K100" s="682">
        <f>IF($F100="","",$F100-BB設定!$B$4*$G100)</f>
      </c>
      <c r="L100" s="687">
        <f>IF($F100="","",IFERROR(($B100-$K100)/($H100-$K100),""))</f>
      </c>
      <c r="M100" s="684">
        <f>IF(COUNT(B87:B100)&lt;14,"",IFERROR(100-100/(1+SUMPRODUCT((B87:B100&gt;B86:B99)*(B87:B100-B86:B99))/SUMPRODUCT((B87:B100&lt;B86:B99)*(B86:B99-B87:B100))),100))</f>
      </c>
      <c r="N100" s="684">
        <f>IF(COUNT(B87:B100)&lt;14,"",IFERROR(100-100/(1+SUMPRODUCT((((C87:C100+D87:D100+B87:B100)/3)&gt;((C86:C99+D86:D99+B86:B99)/3))*((C87:C100+D87:D100+B87:B100)/3)*E87:E100)/SUMPRODUCT((((C87:C100+D87:D100+B87:B100)/3)&lt;((C86:C99+D86:D99+B86:B99)/3))*((C87:C100+D87:D100+B87:B100)/3)*E87:E100)),50))</f>
      </c>
      <c r="O100" s="685">
        <f>IF($O99=0,IF(AND($H100&lt;&gt;"",$B100&gt;$H100,$B99&lt;=$H99),1,0),IF($B100&lt;$I100,0,1))</f>
      </c>
      <c r="P100" s="682">
        <f>IF($O100=1,IF($O99=0,$B100,$P99),"")</f>
      </c>
      <c r="Q100" s="686">
        <f>IF(AND($O100=0,$O99=1),($B100-$P99)/$P99*100,"")</f>
      </c>
      <c r="R100" s="681">
        <f>IF($O100=1,IF($O99=0,"▲新規買い","保有中"),IF($O99=1,"■手仕舞い",""))</f>
      </c>
    </row>
    <row r="101">
      <c r="A101" s="681">
        <f>IF($B101="","",IFERROR(TEXT(INDEX(終値!$3:$3,1,105-(ROW()-8)),"m/d"),""))</f>
      </c>
      <c r="B101" s="682">
        <f>IFERROR(IF(INDEX(終値!$A:$CZ,$B$4,105-(ROW()-8))=0,"",INDEX(終値!$A:$CZ,$B$4,105-(ROW()-8))),"")</f>
      </c>
      <c r="C101" s="682">
        <f>IF($B101="","",IFERROR(INDEX(高値!$A:$CZ,$B$4,105-(ROW()-8)),""))</f>
      </c>
      <c r="D101" s="682">
        <f>IF($B101="","",IFERROR(INDEX(安値!$A:$CZ,$B$4,105-(ROW()-8)),""))</f>
      </c>
      <c r="E101" s="682">
        <f>IF($B101="","",IFERROR(INDEX(出来高!$A:$CZ,$B$4,105-(ROW()-8)),""))</f>
      </c>
      <c r="F101" s="682">
        <f>IF(COUNT(B82:B101)=20,AVERAGE(B82:B101),"")</f>
      </c>
      <c r="G101" s="683">
        <f>IF(COUNT(B82:B101)=20,STDEVP(B82:B101),"")</f>
      </c>
      <c r="H101" s="682">
        <f>IF($F101="","",$F101+BB設定!$B$4*$G101)</f>
      </c>
      <c r="I101" s="682">
        <f>IF($F101="","",$F101+BB設定!$B$5*$G101)</f>
      </c>
      <c r="J101" s="682">
        <f>IF($F101="","",$F101-BB設定!$B$5*$G101)</f>
      </c>
      <c r="K101" s="682">
        <f>IF($F101="","",$F101-BB設定!$B$4*$G101)</f>
      </c>
      <c r="L101" s="687">
        <f>IF($F101="","",IFERROR(($B101-$K101)/($H101-$K101),""))</f>
      </c>
      <c r="M101" s="684">
        <f>IF(COUNT(B88:B101)&lt;14,"",IFERROR(100-100/(1+SUMPRODUCT((B88:B101&gt;B87:B100)*(B88:B101-B87:B100))/SUMPRODUCT((B88:B101&lt;B87:B100)*(B87:B100-B88:B101))),100))</f>
      </c>
      <c r="N101" s="684">
        <f>IF(COUNT(B88:B101)&lt;14,"",IFERROR(100-100/(1+SUMPRODUCT((((C88:C101+D88:D101+B88:B101)/3)&gt;((C87:C100+D87:D100+B87:B100)/3))*((C88:C101+D88:D101+B88:B101)/3)*E88:E101)/SUMPRODUCT((((C88:C101+D88:D101+B88:B101)/3)&lt;((C87:C100+D87:D100+B87:B100)/3))*((C88:C101+D88:D101+B88:B101)/3)*E88:E101)),50))</f>
      </c>
      <c r="O101" s="685">
        <f>IF($O100=0,IF(AND($H101&lt;&gt;"",$B101&gt;$H101,$B100&lt;=$H100),1,0),IF($B101&lt;$I101,0,1))</f>
      </c>
      <c r="P101" s="682">
        <f>IF($O101=1,IF($O100=0,$B101,$P100),"")</f>
      </c>
      <c r="Q101" s="686">
        <f>IF(AND($O101=0,$O100=1),($B101-$P100)/$P100*100,"")</f>
      </c>
      <c r="R101" s="681">
        <f>IF($O101=1,IF($O100=0,"▲新規買い","保有中"),IF($O100=1,"■手仕舞い",""))</f>
      </c>
    </row>
    <row r="102">
      <c r="A102" s="681">
        <f>IF($B102="","",IFERROR(TEXT(INDEX(終値!$3:$3,1,105-(ROW()-8)),"m/d"),""))</f>
      </c>
      <c r="B102" s="682">
        <f>IFERROR(IF(INDEX(終値!$A:$CZ,$B$4,105-(ROW()-8))=0,"",INDEX(終値!$A:$CZ,$B$4,105-(ROW()-8))),"")</f>
      </c>
      <c r="C102" s="682">
        <f>IF($B102="","",IFERROR(INDEX(高値!$A:$CZ,$B$4,105-(ROW()-8)),""))</f>
      </c>
      <c r="D102" s="682">
        <f>IF($B102="","",IFERROR(INDEX(安値!$A:$CZ,$B$4,105-(ROW()-8)),""))</f>
      </c>
      <c r="E102" s="682">
        <f>IF($B102="","",IFERROR(INDEX(出来高!$A:$CZ,$B$4,105-(ROW()-8)),""))</f>
      </c>
      <c r="F102" s="682">
        <f>IF(COUNT(B83:B102)=20,AVERAGE(B83:B102),"")</f>
      </c>
      <c r="G102" s="683">
        <f>IF(COUNT(B83:B102)=20,STDEVP(B83:B102),"")</f>
      </c>
      <c r="H102" s="682">
        <f>IF($F102="","",$F102+BB設定!$B$4*$G102)</f>
      </c>
      <c r="I102" s="682">
        <f>IF($F102="","",$F102+BB設定!$B$5*$G102)</f>
      </c>
      <c r="J102" s="682">
        <f>IF($F102="","",$F102-BB設定!$B$5*$G102)</f>
      </c>
      <c r="K102" s="682">
        <f>IF($F102="","",$F102-BB設定!$B$4*$G102)</f>
      </c>
      <c r="L102" s="687">
        <f>IF($F102="","",IFERROR(($B102-$K102)/($H102-$K102),""))</f>
      </c>
      <c r="M102" s="684">
        <f>IF(COUNT(B89:B102)&lt;14,"",IFERROR(100-100/(1+SUMPRODUCT((B89:B102&gt;B88:B101)*(B89:B102-B88:B101))/SUMPRODUCT((B89:B102&lt;B88:B101)*(B88:B101-B89:B102))),100))</f>
      </c>
      <c r="N102" s="684">
        <f>IF(COUNT(B89:B102)&lt;14,"",IFERROR(100-100/(1+SUMPRODUCT((((C89:C102+D89:D102+B89:B102)/3)&gt;((C88:C101+D88:D101+B88:B101)/3))*((C89:C102+D89:D102+B89:B102)/3)*E89:E102)/SUMPRODUCT((((C89:C102+D89:D102+B89:B102)/3)&lt;((C88:C101+D88:D101+B88:B101)/3))*((C89:C102+D89:D102+B89:B102)/3)*E89:E102)),50))</f>
      </c>
      <c r="O102" s="685">
        <f>IF($O101=0,IF(AND($H102&lt;&gt;"",$B102&gt;$H102,$B101&lt;=$H101),1,0),IF($B102&lt;$I102,0,1))</f>
      </c>
      <c r="P102" s="682">
        <f>IF($O102=1,IF($O101=0,$B102,$P101),"")</f>
      </c>
      <c r="Q102" s="686">
        <f>IF(AND($O102=0,$O101=1),($B102-$P101)/$P101*100,"")</f>
      </c>
      <c r="R102" s="681">
        <f>IF($O102=1,IF($O101=0,"▲新規買い","保有中"),IF($O101=1,"■手仕舞い",""))</f>
      </c>
    </row>
    <row r="103">
      <c r="A103" s="681">
        <f>IF($B103="","",IFERROR(TEXT(INDEX(終値!$3:$3,1,105-(ROW()-8)),"m/d"),""))</f>
      </c>
      <c r="B103" s="682">
        <f>IFERROR(IF(INDEX(終値!$A:$CZ,$B$4,105-(ROW()-8))=0,"",INDEX(終値!$A:$CZ,$B$4,105-(ROW()-8))),"")</f>
      </c>
      <c r="C103" s="682">
        <f>IF($B103="","",IFERROR(INDEX(高値!$A:$CZ,$B$4,105-(ROW()-8)),""))</f>
      </c>
      <c r="D103" s="682">
        <f>IF($B103="","",IFERROR(INDEX(安値!$A:$CZ,$B$4,105-(ROW()-8)),""))</f>
      </c>
      <c r="E103" s="682">
        <f>IF($B103="","",IFERROR(INDEX(出来高!$A:$CZ,$B$4,105-(ROW()-8)),""))</f>
      </c>
      <c r="F103" s="682">
        <f>IF(COUNT(B84:B103)=20,AVERAGE(B84:B103),"")</f>
      </c>
      <c r="G103" s="683">
        <f>IF(COUNT(B84:B103)=20,STDEVP(B84:B103),"")</f>
      </c>
      <c r="H103" s="682">
        <f>IF($F103="","",$F103+BB設定!$B$4*$G103)</f>
      </c>
      <c r="I103" s="682">
        <f>IF($F103="","",$F103+BB設定!$B$5*$G103)</f>
      </c>
      <c r="J103" s="682">
        <f>IF($F103="","",$F103-BB設定!$B$5*$G103)</f>
      </c>
      <c r="K103" s="682">
        <f>IF($F103="","",$F103-BB設定!$B$4*$G103)</f>
      </c>
      <c r="L103" s="687">
        <f>IF($F103="","",IFERROR(($B103-$K103)/($H103-$K103),""))</f>
      </c>
      <c r="M103" s="684">
        <f>IF(COUNT(B90:B103)&lt;14,"",IFERROR(100-100/(1+SUMPRODUCT((B90:B103&gt;B89:B102)*(B90:B103-B89:B102))/SUMPRODUCT((B90:B103&lt;B89:B102)*(B89:B102-B90:B103))),100))</f>
      </c>
      <c r="N103" s="684">
        <f>IF(COUNT(B90:B103)&lt;14,"",IFERROR(100-100/(1+SUMPRODUCT((((C90:C103+D90:D103+B90:B103)/3)&gt;((C89:C102+D89:D102+B89:B102)/3))*((C90:C103+D90:D103+B90:B103)/3)*E90:E103)/SUMPRODUCT((((C90:C103+D90:D103+B90:B103)/3)&lt;((C89:C102+D89:D102+B89:B102)/3))*((C90:C103+D90:D103+B90:B103)/3)*E90:E103)),50))</f>
      </c>
      <c r="O103" s="685">
        <f>IF($O102=0,IF(AND($H103&lt;&gt;"",$B103&gt;$H103,$B102&lt;=$H102),1,0),IF($B103&lt;$I103,0,1))</f>
      </c>
      <c r="P103" s="682">
        <f>IF($O103=1,IF($O102=0,$B103,$P102),"")</f>
      </c>
      <c r="Q103" s="686">
        <f>IF(AND($O103=0,$O102=1),($B103-$P102)/$P102*100,"")</f>
      </c>
      <c r="R103" s="681">
        <f>IF($O103=1,IF($O102=0,"▲新規買い","保有中"),IF($O102=1,"■手仕舞い",""))</f>
      </c>
    </row>
    <row r="104">
      <c r="A104" s="681">
        <f>IF($B104="","",IFERROR(TEXT(INDEX(終値!$3:$3,1,105-(ROW()-8)),"m/d"),""))</f>
      </c>
      <c r="B104" s="682">
        <f>IFERROR(IF(INDEX(終値!$A:$CZ,$B$4,105-(ROW()-8))=0,"",INDEX(終値!$A:$CZ,$B$4,105-(ROW()-8))),"")</f>
      </c>
      <c r="C104" s="682">
        <f>IF($B104="","",IFERROR(INDEX(高値!$A:$CZ,$B$4,105-(ROW()-8)),""))</f>
      </c>
      <c r="D104" s="682">
        <f>IF($B104="","",IFERROR(INDEX(安値!$A:$CZ,$B$4,105-(ROW()-8)),""))</f>
      </c>
      <c r="E104" s="682">
        <f>IF($B104="","",IFERROR(INDEX(出来高!$A:$CZ,$B$4,105-(ROW()-8)),""))</f>
      </c>
      <c r="F104" s="682">
        <f>IF(COUNT(B85:B104)=20,AVERAGE(B85:B104),"")</f>
      </c>
      <c r="G104" s="683">
        <f>IF(COUNT(B85:B104)=20,STDEVP(B85:B104),"")</f>
      </c>
      <c r="H104" s="682">
        <f>IF($F104="","",$F104+BB設定!$B$4*$G104)</f>
      </c>
      <c r="I104" s="682">
        <f>IF($F104="","",$F104+BB設定!$B$5*$G104)</f>
      </c>
      <c r="J104" s="682">
        <f>IF($F104="","",$F104-BB設定!$B$5*$G104)</f>
      </c>
      <c r="K104" s="682">
        <f>IF($F104="","",$F104-BB設定!$B$4*$G104)</f>
      </c>
      <c r="L104" s="687">
        <f>IF($F104="","",IFERROR(($B104-$K104)/($H104-$K104),""))</f>
      </c>
      <c r="M104" s="684">
        <f>IF(COUNT(B91:B104)&lt;14,"",IFERROR(100-100/(1+SUMPRODUCT((B91:B104&gt;B90:B103)*(B91:B104-B90:B103))/SUMPRODUCT((B91:B104&lt;B90:B103)*(B90:B103-B91:B104))),100))</f>
      </c>
      <c r="N104" s="684">
        <f>IF(COUNT(B91:B104)&lt;14,"",IFERROR(100-100/(1+SUMPRODUCT((((C91:C104+D91:D104+B91:B104)/3)&gt;((C90:C103+D90:D103+B90:B103)/3))*((C91:C104+D91:D104+B91:B104)/3)*E91:E104)/SUMPRODUCT((((C91:C104+D91:D104+B91:B104)/3)&lt;((C90:C103+D90:D103+B90:B103)/3))*((C91:C104+D91:D104+B91:B104)/3)*E91:E104)),50))</f>
      </c>
      <c r="O104" s="685">
        <f>IF($O103=0,IF(AND($H104&lt;&gt;"",$B104&gt;$H104,$B103&lt;=$H103),1,0),IF($B104&lt;$I104,0,1))</f>
      </c>
      <c r="P104" s="682">
        <f>IF($O104=1,IF($O103=0,$B104,$P103),"")</f>
      </c>
      <c r="Q104" s="686">
        <f>IF(AND($O104=0,$O103=1),($B104-$P103)/$P103*100,"")</f>
      </c>
      <c r="R104" s="681">
        <f>IF($O104=1,IF($O103=0,"▲新規買い","保有中"),IF($O103=1,"■手仕舞い",""))</f>
      </c>
    </row>
    <row r="105">
      <c r="A105" s="681">
        <f>IF($B105="","",IFERROR(TEXT(INDEX(終値!$3:$3,1,105-(ROW()-8)),"m/d"),""))</f>
      </c>
      <c r="B105" s="682">
        <f>IFERROR(IF(INDEX(終値!$A:$CZ,$B$4,105-(ROW()-8))=0,"",INDEX(終値!$A:$CZ,$B$4,105-(ROW()-8))),"")</f>
      </c>
      <c r="C105" s="682">
        <f>IF($B105="","",IFERROR(INDEX(高値!$A:$CZ,$B$4,105-(ROW()-8)),""))</f>
      </c>
      <c r="D105" s="682">
        <f>IF($B105="","",IFERROR(INDEX(安値!$A:$CZ,$B$4,105-(ROW()-8)),""))</f>
      </c>
      <c r="E105" s="682">
        <f>IF($B105="","",IFERROR(INDEX(出来高!$A:$CZ,$B$4,105-(ROW()-8)),""))</f>
      </c>
      <c r="F105" s="682">
        <f>IF(COUNT(B86:B105)=20,AVERAGE(B86:B105),"")</f>
      </c>
      <c r="G105" s="683">
        <f>IF(COUNT(B86:B105)=20,STDEVP(B86:B105),"")</f>
      </c>
      <c r="H105" s="682">
        <f>IF($F105="","",$F105+BB設定!$B$4*$G105)</f>
      </c>
      <c r="I105" s="682">
        <f>IF($F105="","",$F105+BB設定!$B$5*$G105)</f>
      </c>
      <c r="J105" s="682">
        <f>IF($F105="","",$F105-BB設定!$B$5*$G105)</f>
      </c>
      <c r="K105" s="682">
        <f>IF($F105="","",$F105-BB設定!$B$4*$G105)</f>
      </c>
      <c r="L105" s="687">
        <f>IF($F105="","",IFERROR(($B105-$K105)/($H105-$K105),""))</f>
      </c>
      <c r="M105" s="684">
        <f>IF(COUNT(B92:B105)&lt;14,"",IFERROR(100-100/(1+SUMPRODUCT((B92:B105&gt;B91:B104)*(B92:B105-B91:B104))/SUMPRODUCT((B92:B105&lt;B91:B104)*(B91:B104-B92:B105))),100))</f>
      </c>
      <c r="N105" s="684">
        <f>IF(COUNT(B92:B105)&lt;14,"",IFERROR(100-100/(1+SUMPRODUCT((((C92:C105+D92:D105+B92:B105)/3)&gt;((C91:C104+D91:D104+B91:B104)/3))*((C92:C105+D92:D105+B92:B105)/3)*E92:E105)/SUMPRODUCT((((C92:C105+D92:D105+B92:B105)/3)&lt;((C91:C104+D91:D104+B91:B104)/3))*((C92:C105+D92:D105+B92:B105)/3)*E92:E105)),50))</f>
      </c>
      <c r="O105" s="685">
        <f>IF($O104=0,IF(AND($H105&lt;&gt;"",$B105&gt;$H105,$B104&lt;=$H104),1,0),IF($B105&lt;$I105,0,1))</f>
      </c>
      <c r="P105" s="682">
        <f>IF($O105=1,IF($O104=0,$B105,$P104),"")</f>
      </c>
      <c r="Q105" s="686">
        <f>IF(AND($O105=0,$O104=1),($B105-$P104)/$P104*100,"")</f>
      </c>
      <c r="R105" s="681">
        <f>IF($O105=1,IF($O104=0,"▲新規買い","保有中"),IF($O104=1,"■手仕舞い",""))</f>
      </c>
    </row>
    <row r="106">
      <c r="A106" s="681">
        <f>IF($B106="","",IFERROR(TEXT(INDEX(終値!$3:$3,1,105-(ROW()-8)),"m/d"),""))</f>
      </c>
      <c r="B106" s="682">
        <f>IFERROR(IF(INDEX(終値!$A:$CZ,$B$4,105-(ROW()-8))=0,"",INDEX(終値!$A:$CZ,$B$4,105-(ROW()-8))),"")</f>
      </c>
      <c r="C106" s="682">
        <f>IF($B106="","",IFERROR(INDEX(高値!$A:$CZ,$B$4,105-(ROW()-8)),""))</f>
      </c>
      <c r="D106" s="682">
        <f>IF($B106="","",IFERROR(INDEX(安値!$A:$CZ,$B$4,105-(ROW()-8)),""))</f>
      </c>
      <c r="E106" s="682">
        <f>IF($B106="","",IFERROR(INDEX(出来高!$A:$CZ,$B$4,105-(ROW()-8)),""))</f>
      </c>
      <c r="F106" s="682">
        <f>IF(COUNT(B87:B106)=20,AVERAGE(B87:B106),"")</f>
      </c>
      <c r="G106" s="683">
        <f>IF(COUNT(B87:B106)=20,STDEVP(B87:B106),"")</f>
      </c>
      <c r="H106" s="682">
        <f>IF($F106="","",$F106+BB設定!$B$4*$G106)</f>
      </c>
      <c r="I106" s="682">
        <f>IF($F106="","",$F106+BB設定!$B$5*$G106)</f>
      </c>
      <c r="J106" s="682">
        <f>IF($F106="","",$F106-BB設定!$B$5*$G106)</f>
      </c>
      <c r="K106" s="682">
        <f>IF($F106="","",$F106-BB設定!$B$4*$G106)</f>
      </c>
      <c r="L106" s="687">
        <f>IF($F106="","",IFERROR(($B106-$K106)/($H106-$K106),""))</f>
      </c>
      <c r="M106" s="684">
        <f>IF(COUNT(B93:B106)&lt;14,"",IFERROR(100-100/(1+SUMPRODUCT((B93:B106&gt;B92:B105)*(B93:B106-B92:B105))/SUMPRODUCT((B93:B106&lt;B92:B105)*(B92:B105-B93:B106))),100))</f>
      </c>
      <c r="N106" s="684">
        <f>IF(COUNT(B93:B106)&lt;14,"",IFERROR(100-100/(1+SUMPRODUCT((((C93:C106+D93:D106+B93:B106)/3)&gt;((C92:C105+D92:D105+B92:B105)/3))*((C93:C106+D93:D106+B93:B106)/3)*E93:E106)/SUMPRODUCT((((C93:C106+D93:D106+B93:B106)/3)&lt;((C92:C105+D92:D105+B92:B105)/3))*((C93:C106+D93:D106+B93:B106)/3)*E93:E106)),50))</f>
      </c>
      <c r="O106" s="685">
        <f>IF($O105=0,IF(AND($H106&lt;&gt;"",$B106&gt;$H106,$B105&lt;=$H105),1,0),IF($B106&lt;$I106,0,1))</f>
      </c>
      <c r="P106" s="682">
        <f>IF($O106=1,IF($O105=0,$B106,$P105),"")</f>
      </c>
      <c r="Q106" s="686">
        <f>IF(AND($O106=0,$O105=1),($B106-$P105)/$P105*100,"")</f>
      </c>
      <c r="R106" s="681">
        <f>IF($O106=1,IF($O105=0,"▲新規買い","保有中"),IF($O105=1,"■手仕舞い",""))</f>
      </c>
    </row>
    <row r="107">
      <c r="A107" s="681">
        <f>IF($B107="","",IFERROR(TEXT(INDEX(終値!$3:$3,1,105-(ROW()-8)),"m/d"),""))</f>
      </c>
      <c r="B107" s="682">
        <f>IFERROR(IF(INDEX(終値!$A:$CZ,$B$4,105-(ROW()-8))=0,"",INDEX(終値!$A:$CZ,$B$4,105-(ROW()-8))),"")</f>
      </c>
      <c r="C107" s="682">
        <f>IF($B107="","",IFERROR(INDEX(高値!$A:$CZ,$B$4,105-(ROW()-8)),""))</f>
      </c>
      <c r="D107" s="682">
        <f>IF($B107="","",IFERROR(INDEX(安値!$A:$CZ,$B$4,105-(ROW()-8)),""))</f>
      </c>
      <c r="E107" s="682">
        <f>IF($B107="","",IFERROR(INDEX(出来高!$A:$CZ,$B$4,105-(ROW()-8)),""))</f>
      </c>
      <c r="F107" s="682">
        <f>IF(COUNT(B88:B107)=20,AVERAGE(B88:B107),"")</f>
      </c>
      <c r="G107" s="683">
        <f>IF(COUNT(B88:B107)=20,STDEVP(B88:B107),"")</f>
      </c>
      <c r="H107" s="682">
        <f>IF($F107="","",$F107+BB設定!$B$4*$G107)</f>
      </c>
      <c r="I107" s="682">
        <f>IF($F107="","",$F107+BB設定!$B$5*$G107)</f>
      </c>
      <c r="J107" s="682">
        <f>IF($F107="","",$F107-BB設定!$B$5*$G107)</f>
      </c>
      <c r="K107" s="682">
        <f>IF($F107="","",$F107-BB設定!$B$4*$G107)</f>
      </c>
      <c r="L107" s="687">
        <f>IF($F107="","",IFERROR(($B107-$K107)/($H107-$K107),""))</f>
      </c>
      <c r="M107" s="684">
        <f>IF(COUNT(B94:B107)&lt;14,"",IFERROR(100-100/(1+SUMPRODUCT((B94:B107&gt;B93:B106)*(B94:B107-B93:B106))/SUMPRODUCT((B94:B107&lt;B93:B106)*(B93:B106-B94:B107))),100))</f>
      </c>
      <c r="N107" s="684">
        <f>IF(COUNT(B94:B107)&lt;14,"",IFERROR(100-100/(1+SUMPRODUCT((((C94:C107+D94:D107+B94:B107)/3)&gt;((C93:C106+D93:D106+B93:B106)/3))*((C94:C107+D94:D107+B94:B107)/3)*E94:E107)/SUMPRODUCT((((C94:C107+D94:D107+B94:B107)/3)&lt;((C93:C106+D93:D106+B93:B106)/3))*((C94:C107+D94:D107+B94:B107)/3)*E94:E107)),50))</f>
      </c>
      <c r="O107" s="685">
        <f>IF($O106=0,IF(AND($H107&lt;&gt;"",$B107&gt;$H107,$B106&lt;=$H106),1,0),IF($B107&lt;$I107,0,1))</f>
      </c>
      <c r="P107" s="682">
        <f>IF($O107=1,IF($O106=0,$B107,$P106),"")</f>
      </c>
      <c r="Q107" s="686">
        <f>IF(AND($O107=0,$O106=1),($B107-$P106)/$P106*100,"")</f>
      </c>
      <c r="R107" s="681">
        <f>IF($O107=1,IF($O106=0,"▲新規買い","保有中"),IF($O106=1,"■手仕舞い",""))</f>
      </c>
    </row>
    <row r="108">
      <c r="A108" s="681">
        <f>IF($B108="","",IFERROR(TEXT(INDEX(終値!$3:$3,1,105-(ROW()-8)),"m/d"),""))</f>
      </c>
      <c r="B108" s="682">
        <f>IFERROR(IF(INDEX(終値!$A:$CZ,$B$4,105-(ROW()-8))=0,"",INDEX(終値!$A:$CZ,$B$4,105-(ROW()-8))),"")</f>
      </c>
      <c r="C108" s="682">
        <f>IF($B108="","",IFERROR(INDEX(高値!$A:$CZ,$B$4,105-(ROW()-8)),""))</f>
      </c>
      <c r="D108" s="682">
        <f>IF($B108="","",IFERROR(INDEX(安値!$A:$CZ,$B$4,105-(ROW()-8)),""))</f>
      </c>
      <c r="E108" s="682">
        <f>IF($B108="","",IFERROR(INDEX(出来高!$A:$CZ,$B$4,105-(ROW()-8)),""))</f>
      </c>
      <c r="F108" s="682">
        <f>IF(COUNT(B89:B108)=20,AVERAGE(B89:B108),"")</f>
      </c>
      <c r="G108" s="683">
        <f>IF(COUNT(B89:B108)=20,STDEVP(B89:B108),"")</f>
      </c>
      <c r="H108" s="682">
        <f>IF($F108="","",$F108+BB設定!$B$4*$G108)</f>
      </c>
      <c r="I108" s="682">
        <f>IF($F108="","",$F108+BB設定!$B$5*$G108)</f>
      </c>
      <c r="J108" s="682">
        <f>IF($F108="","",$F108-BB設定!$B$5*$G108)</f>
      </c>
      <c r="K108" s="682">
        <f>IF($F108="","",$F108-BB設定!$B$4*$G108)</f>
      </c>
      <c r="L108" s="687">
        <f>IF($F108="","",IFERROR(($B108-$K108)/($H108-$K108),""))</f>
      </c>
      <c r="M108" s="684">
        <f>IF(COUNT(B95:B108)&lt;14,"",IFERROR(100-100/(1+SUMPRODUCT((B95:B108&gt;B94:B107)*(B95:B108-B94:B107))/SUMPRODUCT((B95:B108&lt;B94:B107)*(B94:B107-B95:B108))),100))</f>
      </c>
      <c r="N108" s="684">
        <f>IF(COUNT(B95:B108)&lt;14,"",IFERROR(100-100/(1+SUMPRODUCT((((C95:C108+D95:D108+B95:B108)/3)&gt;((C94:C107+D94:D107+B94:B107)/3))*((C95:C108+D95:D108+B95:B108)/3)*E95:E108)/SUMPRODUCT((((C95:C108+D95:D108+B95:B108)/3)&lt;((C94:C107+D94:D107+B94:B107)/3))*((C95:C108+D95:D108+B95:B108)/3)*E95:E108)),50))</f>
      </c>
      <c r="O108" s="685">
        <f>IF($O107=0,IF(AND($H108&lt;&gt;"",$B108&gt;$H108,$B107&lt;=$H107),1,0),IF($B108&lt;$I108,0,1))</f>
      </c>
      <c r="P108" s="682">
        <f>IF($O108=1,IF($O107=0,$B108,$P107),"")</f>
      </c>
      <c r="Q108" s="686">
        <f>IF(AND($O108=0,$O107=1),($B108-$P107)/$P107*100,"")</f>
      </c>
      <c r="R108" s="681">
        <f>IF($O108=1,IF($O107=0,"▲新規買い","保有中"),IF($O107=1,"■手仕舞い",""))</f>
      </c>
    </row>
  </sheetData>
  <mergeCells count="3">
    <mergeCell ref="A1:R1"/>
    <mergeCell ref="E2:F2"/>
    <mergeCell ref="A3:R3"/>
  </mergeCells>
  <pageMargins left="0.4" right="0.4" top="0.4" bottom="0.4" header="0.2" footer="0.2"/>
</worksheet>
</file>

<file path=xl/worksheets/sheet25.xml><?xml version="1.0" encoding="utf-8"?>
<worksheet xmlns="http://schemas.openxmlformats.org/spreadsheetml/2006/main" xmlns:r="http://schemas.openxmlformats.org/officeDocument/2006/relationships">
  <dimension ref="A1:AP405"/>
  <sheetViews>
    <sheetView showGridLines="0" workbookViewId="0"/>
  </sheetViews>
  <sheetFormatPr defaultRowHeight="15"/>
  <cols>
    <col min="1" max="1" width="7.0" customWidth="1"/>
    <col min="2" max="42" width="6.0" customWidth="1"/>
  </cols>
  <sheetData>
    <row r="1">
      <c r="A1" s="679" t="inlineStr">
        <is>
          <t xml:space="preserve">帯幅ヘルパー（自動計算・触らない）</t>
        </is>
      </c>
    </row>
    <row r="5">
      <c r="A5" s="679" t="inlineStr">
        <is>
          <t xml:space="preserve">offset→</t>
        </is>
      </c>
      <c r="B5" s="681">
        <v>0</v>
      </c>
      <c r="C5" s="681">
        <v>1</v>
      </c>
      <c r="D5" s="681">
        <v>2</v>
      </c>
      <c r="E5" s="681">
        <v>3</v>
      </c>
      <c r="F5" s="681">
        <v>4</v>
      </c>
      <c r="G5" s="681">
        <v>5</v>
      </c>
      <c r="H5" s="681">
        <v>6</v>
      </c>
      <c r="I5" s="681">
        <v>7</v>
      </c>
      <c r="J5" s="681">
        <v>8</v>
      </c>
      <c r="K5" s="681">
        <v>9</v>
      </c>
      <c r="L5" s="681">
        <v>10</v>
      </c>
      <c r="M5" s="681">
        <v>11</v>
      </c>
      <c r="N5" s="681">
        <v>12</v>
      </c>
      <c r="O5" s="681">
        <v>13</v>
      </c>
      <c r="P5" s="681">
        <v>14</v>
      </c>
      <c r="Q5" s="681">
        <v>15</v>
      </c>
      <c r="R5" s="681">
        <v>16</v>
      </c>
      <c r="S5" s="681">
        <v>17</v>
      </c>
      <c r="T5" s="681">
        <v>18</v>
      </c>
      <c r="U5" s="681">
        <v>19</v>
      </c>
      <c r="V5" s="681">
        <v>20</v>
      </c>
      <c r="W5" s="681">
        <v>21</v>
      </c>
      <c r="X5" s="681">
        <v>22</v>
      </c>
      <c r="Y5" s="681">
        <v>23</v>
      </c>
      <c r="Z5" s="681">
        <v>24</v>
      </c>
      <c r="AA5" s="681">
        <v>25</v>
      </c>
      <c r="AB5" s="681">
        <v>26</v>
      </c>
      <c r="AC5" s="681">
        <v>27</v>
      </c>
      <c r="AD5" s="681">
        <v>28</v>
      </c>
      <c r="AE5" s="681">
        <v>29</v>
      </c>
      <c r="AF5" s="681">
        <v>30</v>
      </c>
      <c r="AG5" s="681">
        <v>31</v>
      </c>
      <c r="AH5" s="681">
        <v>32</v>
      </c>
      <c r="AI5" s="681">
        <v>33</v>
      </c>
      <c r="AJ5" s="681">
        <v>34</v>
      </c>
      <c r="AK5" s="681">
        <v>35</v>
      </c>
      <c r="AL5" s="681">
        <v>36</v>
      </c>
      <c r="AM5" s="681">
        <v>37</v>
      </c>
      <c r="AN5" s="681">
        <v>38</v>
      </c>
      <c r="AO5" s="681">
        <v>39</v>
      </c>
      <c r="AP5" s="681">
        <v>40</v>
      </c>
    </row>
    <row r="6">
      <c r="A6" s="681">
        <f>IF(終値!A6="","",終値!A6)</f>
      </c>
      <c r="B6" s="684">
        <f>IF(終値!A6="","",IFERROR(4*STDEVP(終値!E6:X6)/AVERAGE(終値!E6:X6),""))</f>
      </c>
      <c r="C6" s="684">
        <f>IF(終値!A6="","",IFERROR(4*STDEVP(終値!F6:Y6)/AVERAGE(終値!F6:Y6),""))</f>
      </c>
      <c r="D6" s="684">
        <f>IF(終値!A6="","",IFERROR(4*STDEVP(終値!G6:Z6)/AVERAGE(終値!G6:Z6),""))</f>
      </c>
      <c r="E6" s="684">
        <f>IF(終値!A6="","",IFERROR(4*STDEVP(終値!H6:AA6)/AVERAGE(終値!H6:AA6),""))</f>
      </c>
      <c r="F6" s="684">
        <f>IF(終値!A6="","",IFERROR(4*STDEVP(終値!I6:AB6)/AVERAGE(終値!I6:AB6),""))</f>
      </c>
      <c r="G6" s="684">
        <f>IF(終値!A6="","",IFERROR(4*STDEVP(終値!J6:AC6)/AVERAGE(終値!J6:AC6),""))</f>
      </c>
      <c r="H6" s="684">
        <f>IF(終値!A6="","",IFERROR(4*STDEVP(終値!K6:AD6)/AVERAGE(終値!K6:AD6),""))</f>
      </c>
      <c r="I6" s="684">
        <f>IF(終値!A6="","",IFERROR(4*STDEVP(終値!L6:AE6)/AVERAGE(終値!L6:AE6),""))</f>
      </c>
      <c r="J6" s="684">
        <f>IF(終値!A6="","",IFERROR(4*STDEVP(終値!M6:AF6)/AVERAGE(終値!M6:AF6),""))</f>
      </c>
      <c r="K6" s="684">
        <f>IF(終値!A6="","",IFERROR(4*STDEVP(終値!N6:AG6)/AVERAGE(終値!N6:AG6),""))</f>
      </c>
      <c r="L6" s="684">
        <f>IF(終値!A6="","",IFERROR(4*STDEVP(終値!O6:AH6)/AVERAGE(終値!O6:AH6),""))</f>
      </c>
      <c r="M6" s="684">
        <f>IF(終値!A6="","",IFERROR(4*STDEVP(終値!P6:AI6)/AVERAGE(終値!P6:AI6),""))</f>
      </c>
      <c r="N6" s="684">
        <f>IF(終値!A6="","",IFERROR(4*STDEVP(終値!Q6:AJ6)/AVERAGE(終値!Q6:AJ6),""))</f>
      </c>
      <c r="O6" s="684">
        <f>IF(終値!A6="","",IFERROR(4*STDEVP(終値!R6:AK6)/AVERAGE(終値!R6:AK6),""))</f>
      </c>
      <c r="P6" s="684">
        <f>IF(終値!A6="","",IFERROR(4*STDEVP(終値!S6:AL6)/AVERAGE(終値!S6:AL6),""))</f>
      </c>
      <c r="Q6" s="684">
        <f>IF(終値!A6="","",IFERROR(4*STDEVP(終値!T6:AM6)/AVERAGE(終値!T6:AM6),""))</f>
      </c>
      <c r="R6" s="684">
        <f>IF(終値!A6="","",IFERROR(4*STDEVP(終値!U6:AN6)/AVERAGE(終値!U6:AN6),""))</f>
      </c>
      <c r="S6" s="684">
        <f>IF(終値!A6="","",IFERROR(4*STDEVP(終値!V6:AO6)/AVERAGE(終値!V6:AO6),""))</f>
      </c>
      <c r="T6" s="684">
        <f>IF(終値!A6="","",IFERROR(4*STDEVP(終値!W6:AP6)/AVERAGE(終値!W6:AP6),""))</f>
      </c>
      <c r="U6" s="684">
        <f>IF(終値!A6="","",IFERROR(4*STDEVP(終値!X6:AQ6)/AVERAGE(終値!X6:AQ6),""))</f>
      </c>
      <c r="V6" s="684">
        <f>IF(終値!A6="","",IFERROR(4*STDEVP(終値!Y6:AR6)/AVERAGE(終値!Y6:AR6),""))</f>
      </c>
      <c r="W6" s="684">
        <f>IF(終値!A6="","",IFERROR(4*STDEVP(終値!Z6:AS6)/AVERAGE(終値!Z6:AS6),""))</f>
      </c>
      <c r="X6" s="684">
        <f>IF(終値!A6="","",IFERROR(4*STDEVP(終値!AA6:AT6)/AVERAGE(終値!AA6:AT6),""))</f>
      </c>
      <c r="Y6" s="684">
        <f>IF(終値!A6="","",IFERROR(4*STDEVP(終値!AB6:AU6)/AVERAGE(終値!AB6:AU6),""))</f>
      </c>
      <c r="Z6" s="684">
        <f>IF(終値!A6="","",IFERROR(4*STDEVP(終値!AC6:AV6)/AVERAGE(終値!AC6:AV6),""))</f>
      </c>
      <c r="AA6" s="684">
        <f>IF(終値!A6="","",IFERROR(4*STDEVP(終値!AD6:AW6)/AVERAGE(終値!AD6:AW6),""))</f>
      </c>
      <c r="AB6" s="684">
        <f>IF(終値!A6="","",IFERROR(4*STDEVP(終値!AE6:AX6)/AVERAGE(終値!AE6:AX6),""))</f>
      </c>
      <c r="AC6" s="684">
        <f>IF(終値!A6="","",IFERROR(4*STDEVP(終値!AF6:AY6)/AVERAGE(終値!AF6:AY6),""))</f>
      </c>
      <c r="AD6" s="684">
        <f>IF(終値!A6="","",IFERROR(4*STDEVP(終値!AG6:AZ6)/AVERAGE(終値!AG6:AZ6),""))</f>
      </c>
      <c r="AE6" s="684">
        <f>IF(終値!A6="","",IFERROR(4*STDEVP(終値!AH6:BA6)/AVERAGE(終値!AH6:BA6),""))</f>
      </c>
      <c r="AF6" s="684">
        <f>IF(終値!A6="","",IFERROR(4*STDEVP(終値!AI6:BB6)/AVERAGE(終値!AI6:BB6),""))</f>
      </c>
      <c r="AG6" s="684">
        <f>IF(終値!A6="","",IFERROR(4*STDEVP(終値!AJ6:BC6)/AVERAGE(終値!AJ6:BC6),""))</f>
      </c>
      <c r="AH6" s="684">
        <f>IF(終値!A6="","",IFERROR(4*STDEVP(終値!AK6:BD6)/AVERAGE(終値!AK6:BD6),""))</f>
      </c>
      <c r="AI6" s="684">
        <f>IF(終値!A6="","",IFERROR(4*STDEVP(終値!AL6:BE6)/AVERAGE(終値!AL6:BE6),""))</f>
      </c>
      <c r="AJ6" s="684">
        <f>IF(終値!A6="","",IFERROR(4*STDEVP(終値!AM6:BF6)/AVERAGE(終値!AM6:BF6),""))</f>
      </c>
      <c r="AK6" s="684">
        <f>IF(終値!A6="","",IFERROR(4*STDEVP(終値!AN6:BG6)/AVERAGE(終値!AN6:BG6),""))</f>
      </c>
      <c r="AL6" s="684">
        <f>IF(終値!A6="","",IFERROR(4*STDEVP(終値!AO6:BH6)/AVERAGE(終値!AO6:BH6),""))</f>
      </c>
      <c r="AM6" s="684">
        <f>IF(終値!A6="","",IFERROR(4*STDEVP(終値!AP6:BI6)/AVERAGE(終値!AP6:BI6),""))</f>
      </c>
      <c r="AN6" s="684">
        <f>IF(終値!A6="","",IFERROR(4*STDEVP(終値!AQ6:BJ6)/AVERAGE(終値!AQ6:BJ6),""))</f>
      </c>
      <c r="AO6" s="684">
        <f>IF(終値!A6="","",IFERROR(4*STDEVP(終値!AR6:BK6)/AVERAGE(終値!AR6:BK6),""))</f>
      </c>
      <c r="AP6" s="684">
        <f>IF(終値!A6="","",IFERROR(4*STDEVP(終値!AS6:BL6)/AVERAGE(終値!AS6:BL6),""))</f>
      </c>
    </row>
    <row r="7">
      <c r="A7" s="681">
        <f>IF(終値!A7="","",終値!A7)</f>
      </c>
      <c r="B7" s="684">
        <f>IF(終値!A7="","",IFERROR(4*STDEVP(終値!E7:X7)/AVERAGE(終値!E7:X7),""))</f>
      </c>
      <c r="C7" s="684">
        <f>IF(終値!A7="","",IFERROR(4*STDEVP(終値!F7:Y7)/AVERAGE(終値!F7:Y7),""))</f>
      </c>
      <c r="D7" s="684">
        <f>IF(終値!A7="","",IFERROR(4*STDEVP(終値!G7:Z7)/AVERAGE(終値!G7:Z7),""))</f>
      </c>
      <c r="E7" s="684">
        <f>IF(終値!A7="","",IFERROR(4*STDEVP(終値!H7:AA7)/AVERAGE(終値!H7:AA7),""))</f>
      </c>
      <c r="F7" s="684">
        <f>IF(終値!A7="","",IFERROR(4*STDEVP(終値!I7:AB7)/AVERAGE(終値!I7:AB7),""))</f>
      </c>
      <c r="G7" s="684">
        <f>IF(終値!A7="","",IFERROR(4*STDEVP(終値!J7:AC7)/AVERAGE(終値!J7:AC7),""))</f>
      </c>
      <c r="H7" s="684">
        <f>IF(終値!A7="","",IFERROR(4*STDEVP(終値!K7:AD7)/AVERAGE(終値!K7:AD7),""))</f>
      </c>
      <c r="I7" s="684">
        <f>IF(終値!A7="","",IFERROR(4*STDEVP(終値!L7:AE7)/AVERAGE(終値!L7:AE7),""))</f>
      </c>
      <c r="J7" s="684">
        <f>IF(終値!A7="","",IFERROR(4*STDEVP(終値!M7:AF7)/AVERAGE(終値!M7:AF7),""))</f>
      </c>
      <c r="K7" s="684">
        <f>IF(終値!A7="","",IFERROR(4*STDEVP(終値!N7:AG7)/AVERAGE(終値!N7:AG7),""))</f>
      </c>
      <c r="L7" s="684">
        <f>IF(終値!A7="","",IFERROR(4*STDEVP(終値!O7:AH7)/AVERAGE(終値!O7:AH7),""))</f>
      </c>
      <c r="M7" s="684">
        <f>IF(終値!A7="","",IFERROR(4*STDEVP(終値!P7:AI7)/AVERAGE(終値!P7:AI7),""))</f>
      </c>
      <c r="N7" s="684">
        <f>IF(終値!A7="","",IFERROR(4*STDEVP(終値!Q7:AJ7)/AVERAGE(終値!Q7:AJ7),""))</f>
      </c>
      <c r="O7" s="684">
        <f>IF(終値!A7="","",IFERROR(4*STDEVP(終値!R7:AK7)/AVERAGE(終値!R7:AK7),""))</f>
      </c>
      <c r="P7" s="684">
        <f>IF(終値!A7="","",IFERROR(4*STDEVP(終値!S7:AL7)/AVERAGE(終値!S7:AL7),""))</f>
      </c>
      <c r="Q7" s="684">
        <f>IF(終値!A7="","",IFERROR(4*STDEVP(終値!T7:AM7)/AVERAGE(終値!T7:AM7),""))</f>
      </c>
      <c r="R7" s="684">
        <f>IF(終値!A7="","",IFERROR(4*STDEVP(終値!U7:AN7)/AVERAGE(終値!U7:AN7),""))</f>
      </c>
      <c r="S7" s="684">
        <f>IF(終値!A7="","",IFERROR(4*STDEVP(終値!V7:AO7)/AVERAGE(終値!V7:AO7),""))</f>
      </c>
      <c r="T7" s="684">
        <f>IF(終値!A7="","",IFERROR(4*STDEVP(終値!W7:AP7)/AVERAGE(終値!W7:AP7),""))</f>
      </c>
      <c r="U7" s="684">
        <f>IF(終値!A7="","",IFERROR(4*STDEVP(終値!X7:AQ7)/AVERAGE(終値!X7:AQ7),""))</f>
      </c>
      <c r="V7" s="684">
        <f>IF(終値!A7="","",IFERROR(4*STDEVP(終値!Y7:AR7)/AVERAGE(終値!Y7:AR7),""))</f>
      </c>
      <c r="W7" s="684">
        <f>IF(終値!A7="","",IFERROR(4*STDEVP(終値!Z7:AS7)/AVERAGE(終値!Z7:AS7),""))</f>
      </c>
      <c r="X7" s="684">
        <f>IF(終値!A7="","",IFERROR(4*STDEVP(終値!AA7:AT7)/AVERAGE(終値!AA7:AT7),""))</f>
      </c>
      <c r="Y7" s="684">
        <f>IF(終値!A7="","",IFERROR(4*STDEVP(終値!AB7:AU7)/AVERAGE(終値!AB7:AU7),""))</f>
      </c>
      <c r="Z7" s="684">
        <f>IF(終値!A7="","",IFERROR(4*STDEVP(終値!AC7:AV7)/AVERAGE(終値!AC7:AV7),""))</f>
      </c>
      <c r="AA7" s="684">
        <f>IF(終値!A7="","",IFERROR(4*STDEVP(終値!AD7:AW7)/AVERAGE(終値!AD7:AW7),""))</f>
      </c>
      <c r="AB7" s="684">
        <f>IF(終値!A7="","",IFERROR(4*STDEVP(終値!AE7:AX7)/AVERAGE(終値!AE7:AX7),""))</f>
      </c>
      <c r="AC7" s="684">
        <f>IF(終値!A7="","",IFERROR(4*STDEVP(終値!AF7:AY7)/AVERAGE(終値!AF7:AY7),""))</f>
      </c>
      <c r="AD7" s="684">
        <f>IF(終値!A7="","",IFERROR(4*STDEVP(終値!AG7:AZ7)/AVERAGE(終値!AG7:AZ7),""))</f>
      </c>
      <c r="AE7" s="684">
        <f>IF(終値!A7="","",IFERROR(4*STDEVP(終値!AH7:BA7)/AVERAGE(終値!AH7:BA7),""))</f>
      </c>
      <c r="AF7" s="684">
        <f>IF(終値!A7="","",IFERROR(4*STDEVP(終値!AI7:BB7)/AVERAGE(終値!AI7:BB7),""))</f>
      </c>
      <c r="AG7" s="684">
        <f>IF(終値!A7="","",IFERROR(4*STDEVP(終値!AJ7:BC7)/AVERAGE(終値!AJ7:BC7),""))</f>
      </c>
      <c r="AH7" s="684">
        <f>IF(終値!A7="","",IFERROR(4*STDEVP(終値!AK7:BD7)/AVERAGE(終値!AK7:BD7),""))</f>
      </c>
      <c r="AI7" s="684">
        <f>IF(終値!A7="","",IFERROR(4*STDEVP(終値!AL7:BE7)/AVERAGE(終値!AL7:BE7),""))</f>
      </c>
      <c r="AJ7" s="684">
        <f>IF(終値!A7="","",IFERROR(4*STDEVP(終値!AM7:BF7)/AVERAGE(終値!AM7:BF7),""))</f>
      </c>
      <c r="AK7" s="684">
        <f>IF(終値!A7="","",IFERROR(4*STDEVP(終値!AN7:BG7)/AVERAGE(終値!AN7:BG7),""))</f>
      </c>
      <c r="AL7" s="684">
        <f>IF(終値!A7="","",IFERROR(4*STDEVP(終値!AO7:BH7)/AVERAGE(終値!AO7:BH7),""))</f>
      </c>
      <c r="AM7" s="684">
        <f>IF(終値!A7="","",IFERROR(4*STDEVP(終値!AP7:BI7)/AVERAGE(終値!AP7:BI7),""))</f>
      </c>
      <c r="AN7" s="684">
        <f>IF(終値!A7="","",IFERROR(4*STDEVP(終値!AQ7:BJ7)/AVERAGE(終値!AQ7:BJ7),""))</f>
      </c>
      <c r="AO7" s="684">
        <f>IF(終値!A7="","",IFERROR(4*STDEVP(終値!AR7:BK7)/AVERAGE(終値!AR7:BK7),""))</f>
      </c>
      <c r="AP7" s="684">
        <f>IF(終値!A7="","",IFERROR(4*STDEVP(終値!AS7:BL7)/AVERAGE(終値!AS7:BL7),""))</f>
      </c>
    </row>
    <row r="8">
      <c r="A8" s="681">
        <f>IF(終値!A8="","",終値!A8)</f>
      </c>
      <c r="B8" s="684">
        <f>IF(終値!A8="","",IFERROR(4*STDEVP(終値!E8:X8)/AVERAGE(終値!E8:X8),""))</f>
      </c>
      <c r="C8" s="684">
        <f>IF(終値!A8="","",IFERROR(4*STDEVP(終値!F8:Y8)/AVERAGE(終値!F8:Y8),""))</f>
      </c>
      <c r="D8" s="684">
        <f>IF(終値!A8="","",IFERROR(4*STDEVP(終値!G8:Z8)/AVERAGE(終値!G8:Z8),""))</f>
      </c>
      <c r="E8" s="684">
        <f>IF(終値!A8="","",IFERROR(4*STDEVP(終値!H8:AA8)/AVERAGE(終値!H8:AA8),""))</f>
      </c>
      <c r="F8" s="684">
        <f>IF(終値!A8="","",IFERROR(4*STDEVP(終値!I8:AB8)/AVERAGE(終値!I8:AB8),""))</f>
      </c>
      <c r="G8" s="684">
        <f>IF(終値!A8="","",IFERROR(4*STDEVP(終値!J8:AC8)/AVERAGE(終値!J8:AC8),""))</f>
      </c>
      <c r="H8" s="684">
        <f>IF(終値!A8="","",IFERROR(4*STDEVP(終値!K8:AD8)/AVERAGE(終値!K8:AD8),""))</f>
      </c>
      <c r="I8" s="684">
        <f>IF(終値!A8="","",IFERROR(4*STDEVP(終値!L8:AE8)/AVERAGE(終値!L8:AE8),""))</f>
      </c>
      <c r="J8" s="684">
        <f>IF(終値!A8="","",IFERROR(4*STDEVP(終値!M8:AF8)/AVERAGE(終値!M8:AF8),""))</f>
      </c>
      <c r="K8" s="684">
        <f>IF(終値!A8="","",IFERROR(4*STDEVP(終値!N8:AG8)/AVERAGE(終値!N8:AG8),""))</f>
      </c>
      <c r="L8" s="684">
        <f>IF(終値!A8="","",IFERROR(4*STDEVP(終値!O8:AH8)/AVERAGE(終値!O8:AH8),""))</f>
      </c>
      <c r="M8" s="684">
        <f>IF(終値!A8="","",IFERROR(4*STDEVP(終値!P8:AI8)/AVERAGE(終値!P8:AI8),""))</f>
      </c>
      <c r="N8" s="684">
        <f>IF(終値!A8="","",IFERROR(4*STDEVP(終値!Q8:AJ8)/AVERAGE(終値!Q8:AJ8),""))</f>
      </c>
      <c r="O8" s="684">
        <f>IF(終値!A8="","",IFERROR(4*STDEVP(終値!R8:AK8)/AVERAGE(終値!R8:AK8),""))</f>
      </c>
      <c r="P8" s="684">
        <f>IF(終値!A8="","",IFERROR(4*STDEVP(終値!S8:AL8)/AVERAGE(終値!S8:AL8),""))</f>
      </c>
      <c r="Q8" s="684">
        <f>IF(終値!A8="","",IFERROR(4*STDEVP(終値!T8:AM8)/AVERAGE(終値!T8:AM8),""))</f>
      </c>
      <c r="R8" s="684">
        <f>IF(終値!A8="","",IFERROR(4*STDEVP(終値!U8:AN8)/AVERAGE(終値!U8:AN8),""))</f>
      </c>
      <c r="S8" s="684">
        <f>IF(終値!A8="","",IFERROR(4*STDEVP(終値!V8:AO8)/AVERAGE(終値!V8:AO8),""))</f>
      </c>
      <c r="T8" s="684">
        <f>IF(終値!A8="","",IFERROR(4*STDEVP(終値!W8:AP8)/AVERAGE(終値!W8:AP8),""))</f>
      </c>
      <c r="U8" s="684">
        <f>IF(終値!A8="","",IFERROR(4*STDEVP(終値!X8:AQ8)/AVERAGE(終値!X8:AQ8),""))</f>
      </c>
      <c r="V8" s="684">
        <f>IF(終値!A8="","",IFERROR(4*STDEVP(終値!Y8:AR8)/AVERAGE(終値!Y8:AR8),""))</f>
      </c>
      <c r="W8" s="684">
        <f>IF(終値!A8="","",IFERROR(4*STDEVP(終値!Z8:AS8)/AVERAGE(終値!Z8:AS8),""))</f>
      </c>
      <c r="X8" s="684">
        <f>IF(終値!A8="","",IFERROR(4*STDEVP(終値!AA8:AT8)/AVERAGE(終値!AA8:AT8),""))</f>
      </c>
      <c r="Y8" s="684">
        <f>IF(終値!A8="","",IFERROR(4*STDEVP(終値!AB8:AU8)/AVERAGE(終値!AB8:AU8),""))</f>
      </c>
      <c r="Z8" s="684">
        <f>IF(終値!A8="","",IFERROR(4*STDEVP(終値!AC8:AV8)/AVERAGE(終値!AC8:AV8),""))</f>
      </c>
      <c r="AA8" s="684">
        <f>IF(終値!A8="","",IFERROR(4*STDEVP(終値!AD8:AW8)/AVERAGE(終値!AD8:AW8),""))</f>
      </c>
      <c r="AB8" s="684">
        <f>IF(終値!A8="","",IFERROR(4*STDEVP(終値!AE8:AX8)/AVERAGE(終値!AE8:AX8),""))</f>
      </c>
      <c r="AC8" s="684">
        <f>IF(終値!A8="","",IFERROR(4*STDEVP(終値!AF8:AY8)/AVERAGE(終値!AF8:AY8),""))</f>
      </c>
      <c r="AD8" s="684">
        <f>IF(終値!A8="","",IFERROR(4*STDEVP(終値!AG8:AZ8)/AVERAGE(終値!AG8:AZ8),""))</f>
      </c>
      <c r="AE8" s="684">
        <f>IF(終値!A8="","",IFERROR(4*STDEVP(終値!AH8:BA8)/AVERAGE(終値!AH8:BA8),""))</f>
      </c>
      <c r="AF8" s="684">
        <f>IF(終値!A8="","",IFERROR(4*STDEVP(終値!AI8:BB8)/AVERAGE(終値!AI8:BB8),""))</f>
      </c>
      <c r="AG8" s="684">
        <f>IF(終値!A8="","",IFERROR(4*STDEVP(終値!AJ8:BC8)/AVERAGE(終値!AJ8:BC8),""))</f>
      </c>
      <c r="AH8" s="684">
        <f>IF(終値!A8="","",IFERROR(4*STDEVP(終値!AK8:BD8)/AVERAGE(終値!AK8:BD8),""))</f>
      </c>
      <c r="AI8" s="684">
        <f>IF(終値!A8="","",IFERROR(4*STDEVP(終値!AL8:BE8)/AVERAGE(終値!AL8:BE8),""))</f>
      </c>
      <c r="AJ8" s="684">
        <f>IF(終値!A8="","",IFERROR(4*STDEVP(終値!AM8:BF8)/AVERAGE(終値!AM8:BF8),""))</f>
      </c>
      <c r="AK8" s="684">
        <f>IF(終値!A8="","",IFERROR(4*STDEVP(終値!AN8:BG8)/AVERAGE(終値!AN8:BG8),""))</f>
      </c>
      <c r="AL8" s="684">
        <f>IF(終値!A8="","",IFERROR(4*STDEVP(終値!AO8:BH8)/AVERAGE(終値!AO8:BH8),""))</f>
      </c>
      <c r="AM8" s="684">
        <f>IF(終値!A8="","",IFERROR(4*STDEVP(終値!AP8:BI8)/AVERAGE(終値!AP8:BI8),""))</f>
      </c>
      <c r="AN8" s="684">
        <f>IF(終値!A8="","",IFERROR(4*STDEVP(終値!AQ8:BJ8)/AVERAGE(終値!AQ8:BJ8),""))</f>
      </c>
      <c r="AO8" s="684">
        <f>IF(終値!A8="","",IFERROR(4*STDEVP(終値!AR8:BK8)/AVERAGE(終値!AR8:BK8),""))</f>
      </c>
      <c r="AP8" s="684">
        <f>IF(終値!A8="","",IFERROR(4*STDEVP(終値!AS8:BL8)/AVERAGE(終値!AS8:BL8),""))</f>
      </c>
    </row>
    <row r="9">
      <c r="A9" s="681">
        <f>IF(終値!A9="","",終値!A9)</f>
      </c>
      <c r="B9" s="684">
        <f>IF(終値!A9="","",IFERROR(4*STDEVP(終値!E9:X9)/AVERAGE(終値!E9:X9),""))</f>
      </c>
      <c r="C9" s="684">
        <f>IF(終値!A9="","",IFERROR(4*STDEVP(終値!F9:Y9)/AVERAGE(終値!F9:Y9),""))</f>
      </c>
      <c r="D9" s="684">
        <f>IF(終値!A9="","",IFERROR(4*STDEVP(終値!G9:Z9)/AVERAGE(終値!G9:Z9),""))</f>
      </c>
      <c r="E9" s="684">
        <f>IF(終値!A9="","",IFERROR(4*STDEVP(終値!H9:AA9)/AVERAGE(終値!H9:AA9),""))</f>
      </c>
      <c r="F9" s="684">
        <f>IF(終値!A9="","",IFERROR(4*STDEVP(終値!I9:AB9)/AVERAGE(終値!I9:AB9),""))</f>
      </c>
      <c r="G9" s="684">
        <f>IF(終値!A9="","",IFERROR(4*STDEVP(終値!J9:AC9)/AVERAGE(終値!J9:AC9),""))</f>
      </c>
      <c r="H9" s="684">
        <f>IF(終値!A9="","",IFERROR(4*STDEVP(終値!K9:AD9)/AVERAGE(終値!K9:AD9),""))</f>
      </c>
      <c r="I9" s="684">
        <f>IF(終値!A9="","",IFERROR(4*STDEVP(終値!L9:AE9)/AVERAGE(終値!L9:AE9),""))</f>
      </c>
      <c r="J9" s="684">
        <f>IF(終値!A9="","",IFERROR(4*STDEVP(終値!M9:AF9)/AVERAGE(終値!M9:AF9),""))</f>
      </c>
      <c r="K9" s="684">
        <f>IF(終値!A9="","",IFERROR(4*STDEVP(終値!N9:AG9)/AVERAGE(終値!N9:AG9),""))</f>
      </c>
      <c r="L9" s="684">
        <f>IF(終値!A9="","",IFERROR(4*STDEVP(終値!O9:AH9)/AVERAGE(終値!O9:AH9),""))</f>
      </c>
      <c r="M9" s="684">
        <f>IF(終値!A9="","",IFERROR(4*STDEVP(終値!P9:AI9)/AVERAGE(終値!P9:AI9),""))</f>
      </c>
      <c r="N9" s="684">
        <f>IF(終値!A9="","",IFERROR(4*STDEVP(終値!Q9:AJ9)/AVERAGE(終値!Q9:AJ9),""))</f>
      </c>
      <c r="O9" s="684">
        <f>IF(終値!A9="","",IFERROR(4*STDEVP(終値!R9:AK9)/AVERAGE(終値!R9:AK9),""))</f>
      </c>
      <c r="P9" s="684">
        <f>IF(終値!A9="","",IFERROR(4*STDEVP(終値!S9:AL9)/AVERAGE(終値!S9:AL9),""))</f>
      </c>
      <c r="Q9" s="684">
        <f>IF(終値!A9="","",IFERROR(4*STDEVP(終値!T9:AM9)/AVERAGE(終値!T9:AM9),""))</f>
      </c>
      <c r="R9" s="684">
        <f>IF(終値!A9="","",IFERROR(4*STDEVP(終値!U9:AN9)/AVERAGE(終値!U9:AN9),""))</f>
      </c>
      <c r="S9" s="684">
        <f>IF(終値!A9="","",IFERROR(4*STDEVP(終値!V9:AO9)/AVERAGE(終値!V9:AO9),""))</f>
      </c>
      <c r="T9" s="684">
        <f>IF(終値!A9="","",IFERROR(4*STDEVP(終値!W9:AP9)/AVERAGE(終値!W9:AP9),""))</f>
      </c>
      <c r="U9" s="684">
        <f>IF(終値!A9="","",IFERROR(4*STDEVP(終値!X9:AQ9)/AVERAGE(終値!X9:AQ9),""))</f>
      </c>
      <c r="V9" s="684">
        <f>IF(終値!A9="","",IFERROR(4*STDEVP(終値!Y9:AR9)/AVERAGE(終値!Y9:AR9),""))</f>
      </c>
      <c r="W9" s="684">
        <f>IF(終値!A9="","",IFERROR(4*STDEVP(終値!Z9:AS9)/AVERAGE(終値!Z9:AS9),""))</f>
      </c>
      <c r="X9" s="684">
        <f>IF(終値!A9="","",IFERROR(4*STDEVP(終値!AA9:AT9)/AVERAGE(終値!AA9:AT9),""))</f>
      </c>
      <c r="Y9" s="684">
        <f>IF(終値!A9="","",IFERROR(4*STDEVP(終値!AB9:AU9)/AVERAGE(終値!AB9:AU9),""))</f>
      </c>
      <c r="Z9" s="684">
        <f>IF(終値!A9="","",IFERROR(4*STDEVP(終値!AC9:AV9)/AVERAGE(終値!AC9:AV9),""))</f>
      </c>
      <c r="AA9" s="684">
        <f>IF(終値!A9="","",IFERROR(4*STDEVP(終値!AD9:AW9)/AVERAGE(終値!AD9:AW9),""))</f>
      </c>
      <c r="AB9" s="684">
        <f>IF(終値!A9="","",IFERROR(4*STDEVP(終値!AE9:AX9)/AVERAGE(終値!AE9:AX9),""))</f>
      </c>
      <c r="AC9" s="684">
        <f>IF(終値!A9="","",IFERROR(4*STDEVP(終値!AF9:AY9)/AVERAGE(終値!AF9:AY9),""))</f>
      </c>
      <c r="AD9" s="684">
        <f>IF(終値!A9="","",IFERROR(4*STDEVP(終値!AG9:AZ9)/AVERAGE(終値!AG9:AZ9),""))</f>
      </c>
      <c r="AE9" s="684">
        <f>IF(終値!A9="","",IFERROR(4*STDEVP(終値!AH9:BA9)/AVERAGE(終値!AH9:BA9),""))</f>
      </c>
      <c r="AF9" s="684">
        <f>IF(終値!A9="","",IFERROR(4*STDEVP(終値!AI9:BB9)/AVERAGE(終値!AI9:BB9),""))</f>
      </c>
      <c r="AG9" s="684">
        <f>IF(終値!A9="","",IFERROR(4*STDEVP(終値!AJ9:BC9)/AVERAGE(終値!AJ9:BC9),""))</f>
      </c>
      <c r="AH9" s="684">
        <f>IF(終値!A9="","",IFERROR(4*STDEVP(終値!AK9:BD9)/AVERAGE(終値!AK9:BD9),""))</f>
      </c>
      <c r="AI9" s="684">
        <f>IF(終値!A9="","",IFERROR(4*STDEVP(終値!AL9:BE9)/AVERAGE(終値!AL9:BE9),""))</f>
      </c>
      <c r="AJ9" s="684">
        <f>IF(終値!A9="","",IFERROR(4*STDEVP(終値!AM9:BF9)/AVERAGE(終値!AM9:BF9),""))</f>
      </c>
      <c r="AK9" s="684">
        <f>IF(終値!A9="","",IFERROR(4*STDEVP(終値!AN9:BG9)/AVERAGE(終値!AN9:BG9),""))</f>
      </c>
      <c r="AL9" s="684">
        <f>IF(終値!A9="","",IFERROR(4*STDEVP(終値!AO9:BH9)/AVERAGE(終値!AO9:BH9),""))</f>
      </c>
      <c r="AM9" s="684">
        <f>IF(終値!A9="","",IFERROR(4*STDEVP(終値!AP9:BI9)/AVERAGE(終値!AP9:BI9),""))</f>
      </c>
      <c r="AN9" s="684">
        <f>IF(終値!A9="","",IFERROR(4*STDEVP(終値!AQ9:BJ9)/AVERAGE(終値!AQ9:BJ9),""))</f>
      </c>
      <c r="AO9" s="684">
        <f>IF(終値!A9="","",IFERROR(4*STDEVP(終値!AR9:BK9)/AVERAGE(終値!AR9:BK9),""))</f>
      </c>
      <c r="AP9" s="684">
        <f>IF(終値!A9="","",IFERROR(4*STDEVP(終値!AS9:BL9)/AVERAGE(終値!AS9:BL9),""))</f>
      </c>
    </row>
    <row r="10">
      <c r="A10" s="681">
        <f>IF(終値!A10="","",終値!A10)</f>
      </c>
      <c r="B10" s="684">
        <f>IF(終値!A10="","",IFERROR(4*STDEVP(終値!E10:X10)/AVERAGE(終値!E10:X10),""))</f>
      </c>
      <c r="C10" s="684">
        <f>IF(終値!A10="","",IFERROR(4*STDEVP(終値!F10:Y10)/AVERAGE(終値!F10:Y10),""))</f>
      </c>
      <c r="D10" s="684">
        <f>IF(終値!A10="","",IFERROR(4*STDEVP(終値!G10:Z10)/AVERAGE(終値!G10:Z10),""))</f>
      </c>
      <c r="E10" s="684">
        <f>IF(終値!A10="","",IFERROR(4*STDEVP(終値!H10:AA10)/AVERAGE(終値!H10:AA10),""))</f>
      </c>
      <c r="F10" s="684">
        <f>IF(終値!A10="","",IFERROR(4*STDEVP(終値!I10:AB10)/AVERAGE(終値!I10:AB10),""))</f>
      </c>
      <c r="G10" s="684">
        <f>IF(終値!A10="","",IFERROR(4*STDEVP(終値!J10:AC10)/AVERAGE(終値!J10:AC10),""))</f>
      </c>
      <c r="H10" s="684">
        <f>IF(終値!A10="","",IFERROR(4*STDEVP(終値!K10:AD10)/AVERAGE(終値!K10:AD10),""))</f>
      </c>
      <c r="I10" s="684">
        <f>IF(終値!A10="","",IFERROR(4*STDEVP(終値!L10:AE10)/AVERAGE(終値!L10:AE10),""))</f>
      </c>
      <c r="J10" s="684">
        <f>IF(終値!A10="","",IFERROR(4*STDEVP(終値!M10:AF10)/AVERAGE(終値!M10:AF10),""))</f>
      </c>
      <c r="K10" s="684">
        <f>IF(終値!A10="","",IFERROR(4*STDEVP(終値!N10:AG10)/AVERAGE(終値!N10:AG10),""))</f>
      </c>
      <c r="L10" s="684">
        <f>IF(終値!A10="","",IFERROR(4*STDEVP(終値!O10:AH10)/AVERAGE(終値!O10:AH10),""))</f>
      </c>
      <c r="M10" s="684">
        <f>IF(終値!A10="","",IFERROR(4*STDEVP(終値!P10:AI10)/AVERAGE(終値!P10:AI10),""))</f>
      </c>
      <c r="N10" s="684">
        <f>IF(終値!A10="","",IFERROR(4*STDEVP(終値!Q10:AJ10)/AVERAGE(終値!Q10:AJ10),""))</f>
      </c>
      <c r="O10" s="684">
        <f>IF(終値!A10="","",IFERROR(4*STDEVP(終値!R10:AK10)/AVERAGE(終値!R10:AK10),""))</f>
      </c>
      <c r="P10" s="684">
        <f>IF(終値!A10="","",IFERROR(4*STDEVP(終値!S10:AL10)/AVERAGE(終値!S10:AL10),""))</f>
      </c>
      <c r="Q10" s="684">
        <f>IF(終値!A10="","",IFERROR(4*STDEVP(終値!T10:AM10)/AVERAGE(終値!T10:AM10),""))</f>
      </c>
      <c r="R10" s="684">
        <f>IF(終値!A10="","",IFERROR(4*STDEVP(終値!U10:AN10)/AVERAGE(終値!U10:AN10),""))</f>
      </c>
      <c r="S10" s="684">
        <f>IF(終値!A10="","",IFERROR(4*STDEVP(終値!V10:AO10)/AVERAGE(終値!V10:AO10),""))</f>
      </c>
      <c r="T10" s="684">
        <f>IF(終値!A10="","",IFERROR(4*STDEVP(終値!W10:AP10)/AVERAGE(終値!W10:AP10),""))</f>
      </c>
      <c r="U10" s="684">
        <f>IF(終値!A10="","",IFERROR(4*STDEVP(終値!X10:AQ10)/AVERAGE(終値!X10:AQ10),""))</f>
      </c>
      <c r="V10" s="684">
        <f>IF(終値!A10="","",IFERROR(4*STDEVP(終値!Y10:AR10)/AVERAGE(終値!Y10:AR10),""))</f>
      </c>
      <c r="W10" s="684">
        <f>IF(終値!A10="","",IFERROR(4*STDEVP(終値!Z10:AS10)/AVERAGE(終値!Z10:AS10),""))</f>
      </c>
      <c r="X10" s="684">
        <f>IF(終値!A10="","",IFERROR(4*STDEVP(終値!AA10:AT10)/AVERAGE(終値!AA10:AT10),""))</f>
      </c>
      <c r="Y10" s="684">
        <f>IF(終値!A10="","",IFERROR(4*STDEVP(終値!AB10:AU10)/AVERAGE(終値!AB10:AU10),""))</f>
      </c>
      <c r="Z10" s="684">
        <f>IF(終値!A10="","",IFERROR(4*STDEVP(終値!AC10:AV10)/AVERAGE(終値!AC10:AV10),""))</f>
      </c>
      <c r="AA10" s="684">
        <f>IF(終値!A10="","",IFERROR(4*STDEVP(終値!AD10:AW10)/AVERAGE(終値!AD10:AW10),""))</f>
      </c>
      <c r="AB10" s="684">
        <f>IF(終値!A10="","",IFERROR(4*STDEVP(終値!AE10:AX10)/AVERAGE(終値!AE10:AX10),""))</f>
      </c>
      <c r="AC10" s="684">
        <f>IF(終値!A10="","",IFERROR(4*STDEVP(終値!AF10:AY10)/AVERAGE(終値!AF10:AY10),""))</f>
      </c>
      <c r="AD10" s="684">
        <f>IF(終値!A10="","",IFERROR(4*STDEVP(終値!AG10:AZ10)/AVERAGE(終値!AG10:AZ10),""))</f>
      </c>
      <c r="AE10" s="684">
        <f>IF(終値!A10="","",IFERROR(4*STDEVP(終値!AH10:BA10)/AVERAGE(終値!AH10:BA10),""))</f>
      </c>
      <c r="AF10" s="684">
        <f>IF(終値!A10="","",IFERROR(4*STDEVP(終値!AI10:BB10)/AVERAGE(終値!AI10:BB10),""))</f>
      </c>
      <c r="AG10" s="684">
        <f>IF(終値!A10="","",IFERROR(4*STDEVP(終値!AJ10:BC10)/AVERAGE(終値!AJ10:BC10),""))</f>
      </c>
      <c r="AH10" s="684">
        <f>IF(終値!A10="","",IFERROR(4*STDEVP(終値!AK10:BD10)/AVERAGE(終値!AK10:BD10),""))</f>
      </c>
      <c r="AI10" s="684">
        <f>IF(終値!A10="","",IFERROR(4*STDEVP(終値!AL10:BE10)/AVERAGE(終値!AL10:BE10),""))</f>
      </c>
      <c r="AJ10" s="684">
        <f>IF(終値!A10="","",IFERROR(4*STDEVP(終値!AM10:BF10)/AVERAGE(終値!AM10:BF10),""))</f>
      </c>
      <c r="AK10" s="684">
        <f>IF(終値!A10="","",IFERROR(4*STDEVP(終値!AN10:BG10)/AVERAGE(終値!AN10:BG10),""))</f>
      </c>
      <c r="AL10" s="684">
        <f>IF(終値!A10="","",IFERROR(4*STDEVP(終値!AO10:BH10)/AVERAGE(終値!AO10:BH10),""))</f>
      </c>
      <c r="AM10" s="684">
        <f>IF(終値!A10="","",IFERROR(4*STDEVP(終値!AP10:BI10)/AVERAGE(終値!AP10:BI10),""))</f>
      </c>
      <c r="AN10" s="684">
        <f>IF(終値!A10="","",IFERROR(4*STDEVP(終値!AQ10:BJ10)/AVERAGE(終値!AQ10:BJ10),""))</f>
      </c>
      <c r="AO10" s="684">
        <f>IF(終値!A10="","",IFERROR(4*STDEVP(終値!AR10:BK10)/AVERAGE(終値!AR10:BK10),""))</f>
      </c>
      <c r="AP10" s="684">
        <f>IF(終値!A10="","",IFERROR(4*STDEVP(終値!AS10:BL10)/AVERAGE(終値!AS10:BL10),""))</f>
      </c>
    </row>
    <row r="11">
      <c r="A11" s="681">
        <f>IF(終値!A11="","",終値!A11)</f>
      </c>
      <c r="B11" s="684">
        <f>IF(終値!A11="","",IFERROR(4*STDEVP(終値!E11:X11)/AVERAGE(終値!E11:X11),""))</f>
      </c>
      <c r="C11" s="684">
        <f>IF(終値!A11="","",IFERROR(4*STDEVP(終値!F11:Y11)/AVERAGE(終値!F11:Y11),""))</f>
      </c>
      <c r="D11" s="684">
        <f>IF(終値!A11="","",IFERROR(4*STDEVP(終値!G11:Z11)/AVERAGE(終値!G11:Z11),""))</f>
      </c>
      <c r="E11" s="684">
        <f>IF(終値!A11="","",IFERROR(4*STDEVP(終値!H11:AA11)/AVERAGE(終値!H11:AA11),""))</f>
      </c>
      <c r="F11" s="684">
        <f>IF(終値!A11="","",IFERROR(4*STDEVP(終値!I11:AB11)/AVERAGE(終値!I11:AB11),""))</f>
      </c>
      <c r="G11" s="684">
        <f>IF(終値!A11="","",IFERROR(4*STDEVP(終値!J11:AC11)/AVERAGE(終値!J11:AC11),""))</f>
      </c>
      <c r="H11" s="684">
        <f>IF(終値!A11="","",IFERROR(4*STDEVP(終値!K11:AD11)/AVERAGE(終値!K11:AD11),""))</f>
      </c>
      <c r="I11" s="684">
        <f>IF(終値!A11="","",IFERROR(4*STDEVP(終値!L11:AE11)/AVERAGE(終値!L11:AE11),""))</f>
      </c>
      <c r="J11" s="684">
        <f>IF(終値!A11="","",IFERROR(4*STDEVP(終値!M11:AF11)/AVERAGE(終値!M11:AF11),""))</f>
      </c>
      <c r="K11" s="684">
        <f>IF(終値!A11="","",IFERROR(4*STDEVP(終値!N11:AG11)/AVERAGE(終値!N11:AG11),""))</f>
      </c>
      <c r="L11" s="684">
        <f>IF(終値!A11="","",IFERROR(4*STDEVP(終値!O11:AH11)/AVERAGE(終値!O11:AH11),""))</f>
      </c>
      <c r="M11" s="684">
        <f>IF(終値!A11="","",IFERROR(4*STDEVP(終値!P11:AI11)/AVERAGE(終値!P11:AI11),""))</f>
      </c>
      <c r="N11" s="684">
        <f>IF(終値!A11="","",IFERROR(4*STDEVP(終値!Q11:AJ11)/AVERAGE(終値!Q11:AJ11),""))</f>
      </c>
      <c r="O11" s="684">
        <f>IF(終値!A11="","",IFERROR(4*STDEVP(終値!R11:AK11)/AVERAGE(終値!R11:AK11),""))</f>
      </c>
      <c r="P11" s="684">
        <f>IF(終値!A11="","",IFERROR(4*STDEVP(終値!S11:AL11)/AVERAGE(終値!S11:AL11),""))</f>
      </c>
      <c r="Q11" s="684">
        <f>IF(終値!A11="","",IFERROR(4*STDEVP(終値!T11:AM11)/AVERAGE(終値!T11:AM11),""))</f>
      </c>
      <c r="R11" s="684">
        <f>IF(終値!A11="","",IFERROR(4*STDEVP(終値!U11:AN11)/AVERAGE(終値!U11:AN11),""))</f>
      </c>
      <c r="S11" s="684">
        <f>IF(終値!A11="","",IFERROR(4*STDEVP(終値!V11:AO11)/AVERAGE(終値!V11:AO11),""))</f>
      </c>
      <c r="T11" s="684">
        <f>IF(終値!A11="","",IFERROR(4*STDEVP(終値!W11:AP11)/AVERAGE(終値!W11:AP11),""))</f>
      </c>
      <c r="U11" s="684">
        <f>IF(終値!A11="","",IFERROR(4*STDEVP(終値!X11:AQ11)/AVERAGE(終値!X11:AQ11),""))</f>
      </c>
      <c r="V11" s="684">
        <f>IF(終値!A11="","",IFERROR(4*STDEVP(終値!Y11:AR11)/AVERAGE(終値!Y11:AR11),""))</f>
      </c>
      <c r="W11" s="684">
        <f>IF(終値!A11="","",IFERROR(4*STDEVP(終値!Z11:AS11)/AVERAGE(終値!Z11:AS11),""))</f>
      </c>
      <c r="X11" s="684">
        <f>IF(終値!A11="","",IFERROR(4*STDEVP(終値!AA11:AT11)/AVERAGE(終値!AA11:AT11),""))</f>
      </c>
      <c r="Y11" s="684">
        <f>IF(終値!A11="","",IFERROR(4*STDEVP(終値!AB11:AU11)/AVERAGE(終値!AB11:AU11),""))</f>
      </c>
      <c r="Z11" s="684">
        <f>IF(終値!A11="","",IFERROR(4*STDEVP(終値!AC11:AV11)/AVERAGE(終値!AC11:AV11),""))</f>
      </c>
      <c r="AA11" s="684">
        <f>IF(終値!A11="","",IFERROR(4*STDEVP(終値!AD11:AW11)/AVERAGE(終値!AD11:AW11),""))</f>
      </c>
      <c r="AB11" s="684">
        <f>IF(終値!A11="","",IFERROR(4*STDEVP(終値!AE11:AX11)/AVERAGE(終値!AE11:AX11),""))</f>
      </c>
      <c r="AC11" s="684">
        <f>IF(終値!A11="","",IFERROR(4*STDEVP(終値!AF11:AY11)/AVERAGE(終値!AF11:AY11),""))</f>
      </c>
      <c r="AD11" s="684">
        <f>IF(終値!A11="","",IFERROR(4*STDEVP(終値!AG11:AZ11)/AVERAGE(終値!AG11:AZ11),""))</f>
      </c>
      <c r="AE11" s="684">
        <f>IF(終値!A11="","",IFERROR(4*STDEVP(終値!AH11:BA11)/AVERAGE(終値!AH11:BA11),""))</f>
      </c>
      <c r="AF11" s="684">
        <f>IF(終値!A11="","",IFERROR(4*STDEVP(終値!AI11:BB11)/AVERAGE(終値!AI11:BB11),""))</f>
      </c>
      <c r="AG11" s="684">
        <f>IF(終値!A11="","",IFERROR(4*STDEVP(終値!AJ11:BC11)/AVERAGE(終値!AJ11:BC11),""))</f>
      </c>
      <c r="AH11" s="684">
        <f>IF(終値!A11="","",IFERROR(4*STDEVP(終値!AK11:BD11)/AVERAGE(終値!AK11:BD11),""))</f>
      </c>
      <c r="AI11" s="684">
        <f>IF(終値!A11="","",IFERROR(4*STDEVP(終値!AL11:BE11)/AVERAGE(終値!AL11:BE11),""))</f>
      </c>
      <c r="AJ11" s="684">
        <f>IF(終値!A11="","",IFERROR(4*STDEVP(終値!AM11:BF11)/AVERAGE(終値!AM11:BF11),""))</f>
      </c>
      <c r="AK11" s="684">
        <f>IF(終値!A11="","",IFERROR(4*STDEVP(終値!AN11:BG11)/AVERAGE(終値!AN11:BG11),""))</f>
      </c>
      <c r="AL11" s="684">
        <f>IF(終値!A11="","",IFERROR(4*STDEVP(終値!AO11:BH11)/AVERAGE(終値!AO11:BH11),""))</f>
      </c>
      <c r="AM11" s="684">
        <f>IF(終値!A11="","",IFERROR(4*STDEVP(終値!AP11:BI11)/AVERAGE(終値!AP11:BI11),""))</f>
      </c>
      <c r="AN11" s="684">
        <f>IF(終値!A11="","",IFERROR(4*STDEVP(終値!AQ11:BJ11)/AVERAGE(終値!AQ11:BJ11),""))</f>
      </c>
      <c r="AO11" s="684">
        <f>IF(終値!A11="","",IFERROR(4*STDEVP(終値!AR11:BK11)/AVERAGE(終値!AR11:BK11),""))</f>
      </c>
      <c r="AP11" s="684">
        <f>IF(終値!A11="","",IFERROR(4*STDEVP(終値!AS11:BL11)/AVERAGE(終値!AS11:BL11),""))</f>
      </c>
    </row>
    <row r="12">
      <c r="A12" s="681">
        <f>IF(終値!A12="","",終値!A12)</f>
      </c>
      <c r="B12" s="684">
        <f>IF(終値!A12="","",IFERROR(4*STDEVP(終値!E12:X12)/AVERAGE(終値!E12:X12),""))</f>
      </c>
      <c r="C12" s="684">
        <f>IF(終値!A12="","",IFERROR(4*STDEVP(終値!F12:Y12)/AVERAGE(終値!F12:Y12),""))</f>
      </c>
      <c r="D12" s="684">
        <f>IF(終値!A12="","",IFERROR(4*STDEVP(終値!G12:Z12)/AVERAGE(終値!G12:Z12),""))</f>
      </c>
      <c r="E12" s="684">
        <f>IF(終値!A12="","",IFERROR(4*STDEVP(終値!H12:AA12)/AVERAGE(終値!H12:AA12),""))</f>
      </c>
      <c r="F12" s="684">
        <f>IF(終値!A12="","",IFERROR(4*STDEVP(終値!I12:AB12)/AVERAGE(終値!I12:AB12),""))</f>
      </c>
      <c r="G12" s="684">
        <f>IF(終値!A12="","",IFERROR(4*STDEVP(終値!J12:AC12)/AVERAGE(終値!J12:AC12),""))</f>
      </c>
      <c r="H12" s="684">
        <f>IF(終値!A12="","",IFERROR(4*STDEVP(終値!K12:AD12)/AVERAGE(終値!K12:AD12),""))</f>
      </c>
      <c r="I12" s="684">
        <f>IF(終値!A12="","",IFERROR(4*STDEVP(終値!L12:AE12)/AVERAGE(終値!L12:AE12),""))</f>
      </c>
      <c r="J12" s="684">
        <f>IF(終値!A12="","",IFERROR(4*STDEVP(終値!M12:AF12)/AVERAGE(終値!M12:AF12),""))</f>
      </c>
      <c r="K12" s="684">
        <f>IF(終値!A12="","",IFERROR(4*STDEVP(終値!N12:AG12)/AVERAGE(終値!N12:AG12),""))</f>
      </c>
      <c r="L12" s="684">
        <f>IF(終値!A12="","",IFERROR(4*STDEVP(終値!O12:AH12)/AVERAGE(終値!O12:AH12),""))</f>
      </c>
      <c r="M12" s="684">
        <f>IF(終値!A12="","",IFERROR(4*STDEVP(終値!P12:AI12)/AVERAGE(終値!P12:AI12),""))</f>
      </c>
      <c r="N12" s="684">
        <f>IF(終値!A12="","",IFERROR(4*STDEVP(終値!Q12:AJ12)/AVERAGE(終値!Q12:AJ12),""))</f>
      </c>
      <c r="O12" s="684">
        <f>IF(終値!A12="","",IFERROR(4*STDEVP(終値!R12:AK12)/AVERAGE(終値!R12:AK12),""))</f>
      </c>
      <c r="P12" s="684">
        <f>IF(終値!A12="","",IFERROR(4*STDEVP(終値!S12:AL12)/AVERAGE(終値!S12:AL12),""))</f>
      </c>
      <c r="Q12" s="684">
        <f>IF(終値!A12="","",IFERROR(4*STDEVP(終値!T12:AM12)/AVERAGE(終値!T12:AM12),""))</f>
      </c>
      <c r="R12" s="684">
        <f>IF(終値!A12="","",IFERROR(4*STDEVP(終値!U12:AN12)/AVERAGE(終値!U12:AN12),""))</f>
      </c>
      <c r="S12" s="684">
        <f>IF(終値!A12="","",IFERROR(4*STDEVP(終値!V12:AO12)/AVERAGE(終値!V12:AO12),""))</f>
      </c>
      <c r="T12" s="684">
        <f>IF(終値!A12="","",IFERROR(4*STDEVP(終値!W12:AP12)/AVERAGE(終値!W12:AP12),""))</f>
      </c>
      <c r="U12" s="684">
        <f>IF(終値!A12="","",IFERROR(4*STDEVP(終値!X12:AQ12)/AVERAGE(終値!X12:AQ12),""))</f>
      </c>
      <c r="V12" s="684">
        <f>IF(終値!A12="","",IFERROR(4*STDEVP(終値!Y12:AR12)/AVERAGE(終値!Y12:AR12),""))</f>
      </c>
      <c r="W12" s="684">
        <f>IF(終値!A12="","",IFERROR(4*STDEVP(終値!Z12:AS12)/AVERAGE(終値!Z12:AS12),""))</f>
      </c>
      <c r="X12" s="684">
        <f>IF(終値!A12="","",IFERROR(4*STDEVP(終値!AA12:AT12)/AVERAGE(終値!AA12:AT12),""))</f>
      </c>
      <c r="Y12" s="684">
        <f>IF(終値!A12="","",IFERROR(4*STDEVP(終値!AB12:AU12)/AVERAGE(終値!AB12:AU12),""))</f>
      </c>
      <c r="Z12" s="684">
        <f>IF(終値!A12="","",IFERROR(4*STDEVP(終値!AC12:AV12)/AVERAGE(終値!AC12:AV12),""))</f>
      </c>
      <c r="AA12" s="684">
        <f>IF(終値!A12="","",IFERROR(4*STDEVP(終値!AD12:AW12)/AVERAGE(終値!AD12:AW12),""))</f>
      </c>
      <c r="AB12" s="684">
        <f>IF(終値!A12="","",IFERROR(4*STDEVP(終値!AE12:AX12)/AVERAGE(終値!AE12:AX12),""))</f>
      </c>
      <c r="AC12" s="684">
        <f>IF(終値!A12="","",IFERROR(4*STDEVP(終値!AF12:AY12)/AVERAGE(終値!AF12:AY12),""))</f>
      </c>
      <c r="AD12" s="684">
        <f>IF(終値!A12="","",IFERROR(4*STDEVP(終値!AG12:AZ12)/AVERAGE(終値!AG12:AZ12),""))</f>
      </c>
      <c r="AE12" s="684">
        <f>IF(終値!A12="","",IFERROR(4*STDEVP(終値!AH12:BA12)/AVERAGE(終値!AH12:BA12),""))</f>
      </c>
      <c r="AF12" s="684">
        <f>IF(終値!A12="","",IFERROR(4*STDEVP(終値!AI12:BB12)/AVERAGE(終値!AI12:BB12),""))</f>
      </c>
      <c r="AG12" s="684">
        <f>IF(終値!A12="","",IFERROR(4*STDEVP(終値!AJ12:BC12)/AVERAGE(終値!AJ12:BC12),""))</f>
      </c>
      <c r="AH12" s="684">
        <f>IF(終値!A12="","",IFERROR(4*STDEVP(終値!AK12:BD12)/AVERAGE(終値!AK12:BD12),""))</f>
      </c>
      <c r="AI12" s="684">
        <f>IF(終値!A12="","",IFERROR(4*STDEVP(終値!AL12:BE12)/AVERAGE(終値!AL12:BE12),""))</f>
      </c>
      <c r="AJ12" s="684">
        <f>IF(終値!A12="","",IFERROR(4*STDEVP(終値!AM12:BF12)/AVERAGE(終値!AM12:BF12),""))</f>
      </c>
      <c r="AK12" s="684">
        <f>IF(終値!A12="","",IFERROR(4*STDEVP(終値!AN12:BG12)/AVERAGE(終値!AN12:BG12),""))</f>
      </c>
      <c r="AL12" s="684">
        <f>IF(終値!A12="","",IFERROR(4*STDEVP(終値!AO12:BH12)/AVERAGE(終値!AO12:BH12),""))</f>
      </c>
      <c r="AM12" s="684">
        <f>IF(終値!A12="","",IFERROR(4*STDEVP(終値!AP12:BI12)/AVERAGE(終値!AP12:BI12),""))</f>
      </c>
      <c r="AN12" s="684">
        <f>IF(終値!A12="","",IFERROR(4*STDEVP(終値!AQ12:BJ12)/AVERAGE(終値!AQ12:BJ12),""))</f>
      </c>
      <c r="AO12" s="684">
        <f>IF(終値!A12="","",IFERROR(4*STDEVP(終値!AR12:BK12)/AVERAGE(終値!AR12:BK12),""))</f>
      </c>
      <c r="AP12" s="684">
        <f>IF(終値!A12="","",IFERROR(4*STDEVP(終値!AS12:BL12)/AVERAGE(終値!AS12:BL12),""))</f>
      </c>
    </row>
    <row r="13">
      <c r="A13" s="681">
        <f>IF(終値!A13="","",終値!A13)</f>
      </c>
      <c r="B13" s="684">
        <f>IF(終値!A13="","",IFERROR(4*STDEVP(終値!E13:X13)/AVERAGE(終値!E13:X13),""))</f>
      </c>
      <c r="C13" s="684">
        <f>IF(終値!A13="","",IFERROR(4*STDEVP(終値!F13:Y13)/AVERAGE(終値!F13:Y13),""))</f>
      </c>
      <c r="D13" s="684">
        <f>IF(終値!A13="","",IFERROR(4*STDEVP(終値!G13:Z13)/AVERAGE(終値!G13:Z13),""))</f>
      </c>
      <c r="E13" s="684">
        <f>IF(終値!A13="","",IFERROR(4*STDEVP(終値!H13:AA13)/AVERAGE(終値!H13:AA13),""))</f>
      </c>
      <c r="F13" s="684">
        <f>IF(終値!A13="","",IFERROR(4*STDEVP(終値!I13:AB13)/AVERAGE(終値!I13:AB13),""))</f>
      </c>
      <c r="G13" s="684">
        <f>IF(終値!A13="","",IFERROR(4*STDEVP(終値!J13:AC13)/AVERAGE(終値!J13:AC13),""))</f>
      </c>
      <c r="H13" s="684">
        <f>IF(終値!A13="","",IFERROR(4*STDEVP(終値!K13:AD13)/AVERAGE(終値!K13:AD13),""))</f>
      </c>
      <c r="I13" s="684">
        <f>IF(終値!A13="","",IFERROR(4*STDEVP(終値!L13:AE13)/AVERAGE(終値!L13:AE13),""))</f>
      </c>
      <c r="J13" s="684">
        <f>IF(終値!A13="","",IFERROR(4*STDEVP(終値!M13:AF13)/AVERAGE(終値!M13:AF13),""))</f>
      </c>
      <c r="K13" s="684">
        <f>IF(終値!A13="","",IFERROR(4*STDEVP(終値!N13:AG13)/AVERAGE(終値!N13:AG13),""))</f>
      </c>
      <c r="L13" s="684">
        <f>IF(終値!A13="","",IFERROR(4*STDEVP(終値!O13:AH13)/AVERAGE(終値!O13:AH13),""))</f>
      </c>
      <c r="M13" s="684">
        <f>IF(終値!A13="","",IFERROR(4*STDEVP(終値!P13:AI13)/AVERAGE(終値!P13:AI13),""))</f>
      </c>
      <c r="N13" s="684">
        <f>IF(終値!A13="","",IFERROR(4*STDEVP(終値!Q13:AJ13)/AVERAGE(終値!Q13:AJ13),""))</f>
      </c>
      <c r="O13" s="684">
        <f>IF(終値!A13="","",IFERROR(4*STDEVP(終値!R13:AK13)/AVERAGE(終値!R13:AK13),""))</f>
      </c>
      <c r="P13" s="684">
        <f>IF(終値!A13="","",IFERROR(4*STDEVP(終値!S13:AL13)/AVERAGE(終値!S13:AL13),""))</f>
      </c>
      <c r="Q13" s="684">
        <f>IF(終値!A13="","",IFERROR(4*STDEVP(終値!T13:AM13)/AVERAGE(終値!T13:AM13),""))</f>
      </c>
      <c r="R13" s="684">
        <f>IF(終値!A13="","",IFERROR(4*STDEVP(終値!U13:AN13)/AVERAGE(終値!U13:AN13),""))</f>
      </c>
      <c r="S13" s="684">
        <f>IF(終値!A13="","",IFERROR(4*STDEVP(終値!V13:AO13)/AVERAGE(終値!V13:AO13),""))</f>
      </c>
      <c r="T13" s="684">
        <f>IF(終値!A13="","",IFERROR(4*STDEVP(終値!W13:AP13)/AVERAGE(終値!W13:AP13),""))</f>
      </c>
      <c r="U13" s="684">
        <f>IF(終値!A13="","",IFERROR(4*STDEVP(終値!X13:AQ13)/AVERAGE(終値!X13:AQ13),""))</f>
      </c>
      <c r="V13" s="684">
        <f>IF(終値!A13="","",IFERROR(4*STDEVP(終値!Y13:AR13)/AVERAGE(終値!Y13:AR13),""))</f>
      </c>
      <c r="W13" s="684">
        <f>IF(終値!A13="","",IFERROR(4*STDEVP(終値!Z13:AS13)/AVERAGE(終値!Z13:AS13),""))</f>
      </c>
      <c r="X13" s="684">
        <f>IF(終値!A13="","",IFERROR(4*STDEVP(終値!AA13:AT13)/AVERAGE(終値!AA13:AT13),""))</f>
      </c>
      <c r="Y13" s="684">
        <f>IF(終値!A13="","",IFERROR(4*STDEVP(終値!AB13:AU13)/AVERAGE(終値!AB13:AU13),""))</f>
      </c>
      <c r="Z13" s="684">
        <f>IF(終値!A13="","",IFERROR(4*STDEVP(終値!AC13:AV13)/AVERAGE(終値!AC13:AV13),""))</f>
      </c>
      <c r="AA13" s="684">
        <f>IF(終値!A13="","",IFERROR(4*STDEVP(終値!AD13:AW13)/AVERAGE(終値!AD13:AW13),""))</f>
      </c>
      <c r="AB13" s="684">
        <f>IF(終値!A13="","",IFERROR(4*STDEVP(終値!AE13:AX13)/AVERAGE(終値!AE13:AX13),""))</f>
      </c>
      <c r="AC13" s="684">
        <f>IF(終値!A13="","",IFERROR(4*STDEVP(終値!AF13:AY13)/AVERAGE(終値!AF13:AY13),""))</f>
      </c>
      <c r="AD13" s="684">
        <f>IF(終値!A13="","",IFERROR(4*STDEVP(終値!AG13:AZ13)/AVERAGE(終値!AG13:AZ13),""))</f>
      </c>
      <c r="AE13" s="684">
        <f>IF(終値!A13="","",IFERROR(4*STDEVP(終値!AH13:BA13)/AVERAGE(終値!AH13:BA13),""))</f>
      </c>
      <c r="AF13" s="684">
        <f>IF(終値!A13="","",IFERROR(4*STDEVP(終値!AI13:BB13)/AVERAGE(終値!AI13:BB13),""))</f>
      </c>
      <c r="AG13" s="684">
        <f>IF(終値!A13="","",IFERROR(4*STDEVP(終値!AJ13:BC13)/AVERAGE(終値!AJ13:BC13),""))</f>
      </c>
      <c r="AH13" s="684">
        <f>IF(終値!A13="","",IFERROR(4*STDEVP(終値!AK13:BD13)/AVERAGE(終値!AK13:BD13),""))</f>
      </c>
      <c r="AI13" s="684">
        <f>IF(終値!A13="","",IFERROR(4*STDEVP(終値!AL13:BE13)/AVERAGE(終値!AL13:BE13),""))</f>
      </c>
      <c r="AJ13" s="684">
        <f>IF(終値!A13="","",IFERROR(4*STDEVP(終値!AM13:BF13)/AVERAGE(終値!AM13:BF13),""))</f>
      </c>
      <c r="AK13" s="684">
        <f>IF(終値!A13="","",IFERROR(4*STDEVP(終値!AN13:BG13)/AVERAGE(終値!AN13:BG13),""))</f>
      </c>
      <c r="AL13" s="684">
        <f>IF(終値!A13="","",IFERROR(4*STDEVP(終値!AO13:BH13)/AVERAGE(終値!AO13:BH13),""))</f>
      </c>
      <c r="AM13" s="684">
        <f>IF(終値!A13="","",IFERROR(4*STDEVP(終値!AP13:BI13)/AVERAGE(終値!AP13:BI13),""))</f>
      </c>
      <c r="AN13" s="684">
        <f>IF(終値!A13="","",IFERROR(4*STDEVP(終値!AQ13:BJ13)/AVERAGE(終値!AQ13:BJ13),""))</f>
      </c>
      <c r="AO13" s="684">
        <f>IF(終値!A13="","",IFERROR(4*STDEVP(終値!AR13:BK13)/AVERAGE(終値!AR13:BK13),""))</f>
      </c>
      <c r="AP13" s="684">
        <f>IF(終値!A13="","",IFERROR(4*STDEVP(終値!AS13:BL13)/AVERAGE(終値!AS13:BL13),""))</f>
      </c>
    </row>
    <row r="14">
      <c r="A14" s="681">
        <f>IF(終値!A14="","",終値!A14)</f>
      </c>
      <c r="B14" s="684">
        <f>IF(終値!A14="","",IFERROR(4*STDEVP(終値!E14:X14)/AVERAGE(終値!E14:X14),""))</f>
      </c>
      <c r="C14" s="684">
        <f>IF(終値!A14="","",IFERROR(4*STDEVP(終値!F14:Y14)/AVERAGE(終値!F14:Y14),""))</f>
      </c>
      <c r="D14" s="684">
        <f>IF(終値!A14="","",IFERROR(4*STDEVP(終値!G14:Z14)/AVERAGE(終値!G14:Z14),""))</f>
      </c>
      <c r="E14" s="684">
        <f>IF(終値!A14="","",IFERROR(4*STDEVP(終値!H14:AA14)/AVERAGE(終値!H14:AA14),""))</f>
      </c>
      <c r="F14" s="684">
        <f>IF(終値!A14="","",IFERROR(4*STDEVP(終値!I14:AB14)/AVERAGE(終値!I14:AB14),""))</f>
      </c>
      <c r="G14" s="684">
        <f>IF(終値!A14="","",IFERROR(4*STDEVP(終値!J14:AC14)/AVERAGE(終値!J14:AC14),""))</f>
      </c>
      <c r="H14" s="684">
        <f>IF(終値!A14="","",IFERROR(4*STDEVP(終値!K14:AD14)/AVERAGE(終値!K14:AD14),""))</f>
      </c>
      <c r="I14" s="684">
        <f>IF(終値!A14="","",IFERROR(4*STDEVP(終値!L14:AE14)/AVERAGE(終値!L14:AE14),""))</f>
      </c>
      <c r="J14" s="684">
        <f>IF(終値!A14="","",IFERROR(4*STDEVP(終値!M14:AF14)/AVERAGE(終値!M14:AF14),""))</f>
      </c>
      <c r="K14" s="684">
        <f>IF(終値!A14="","",IFERROR(4*STDEVP(終値!N14:AG14)/AVERAGE(終値!N14:AG14),""))</f>
      </c>
      <c r="L14" s="684">
        <f>IF(終値!A14="","",IFERROR(4*STDEVP(終値!O14:AH14)/AVERAGE(終値!O14:AH14),""))</f>
      </c>
      <c r="M14" s="684">
        <f>IF(終値!A14="","",IFERROR(4*STDEVP(終値!P14:AI14)/AVERAGE(終値!P14:AI14),""))</f>
      </c>
      <c r="N14" s="684">
        <f>IF(終値!A14="","",IFERROR(4*STDEVP(終値!Q14:AJ14)/AVERAGE(終値!Q14:AJ14),""))</f>
      </c>
      <c r="O14" s="684">
        <f>IF(終値!A14="","",IFERROR(4*STDEVP(終値!R14:AK14)/AVERAGE(終値!R14:AK14),""))</f>
      </c>
      <c r="P14" s="684">
        <f>IF(終値!A14="","",IFERROR(4*STDEVP(終値!S14:AL14)/AVERAGE(終値!S14:AL14),""))</f>
      </c>
      <c r="Q14" s="684">
        <f>IF(終値!A14="","",IFERROR(4*STDEVP(終値!T14:AM14)/AVERAGE(終値!T14:AM14),""))</f>
      </c>
      <c r="R14" s="684">
        <f>IF(終値!A14="","",IFERROR(4*STDEVP(終値!U14:AN14)/AVERAGE(終値!U14:AN14),""))</f>
      </c>
      <c r="S14" s="684">
        <f>IF(終値!A14="","",IFERROR(4*STDEVP(終値!V14:AO14)/AVERAGE(終値!V14:AO14),""))</f>
      </c>
      <c r="T14" s="684">
        <f>IF(終値!A14="","",IFERROR(4*STDEVP(終値!W14:AP14)/AVERAGE(終値!W14:AP14),""))</f>
      </c>
      <c r="U14" s="684">
        <f>IF(終値!A14="","",IFERROR(4*STDEVP(終値!X14:AQ14)/AVERAGE(終値!X14:AQ14),""))</f>
      </c>
      <c r="V14" s="684">
        <f>IF(終値!A14="","",IFERROR(4*STDEVP(終値!Y14:AR14)/AVERAGE(終値!Y14:AR14),""))</f>
      </c>
      <c r="W14" s="684">
        <f>IF(終値!A14="","",IFERROR(4*STDEVP(終値!Z14:AS14)/AVERAGE(終値!Z14:AS14),""))</f>
      </c>
      <c r="X14" s="684">
        <f>IF(終値!A14="","",IFERROR(4*STDEVP(終値!AA14:AT14)/AVERAGE(終値!AA14:AT14),""))</f>
      </c>
      <c r="Y14" s="684">
        <f>IF(終値!A14="","",IFERROR(4*STDEVP(終値!AB14:AU14)/AVERAGE(終値!AB14:AU14),""))</f>
      </c>
      <c r="Z14" s="684">
        <f>IF(終値!A14="","",IFERROR(4*STDEVP(終値!AC14:AV14)/AVERAGE(終値!AC14:AV14),""))</f>
      </c>
      <c r="AA14" s="684">
        <f>IF(終値!A14="","",IFERROR(4*STDEVP(終値!AD14:AW14)/AVERAGE(終値!AD14:AW14),""))</f>
      </c>
      <c r="AB14" s="684">
        <f>IF(終値!A14="","",IFERROR(4*STDEVP(終値!AE14:AX14)/AVERAGE(終値!AE14:AX14),""))</f>
      </c>
      <c r="AC14" s="684">
        <f>IF(終値!A14="","",IFERROR(4*STDEVP(終値!AF14:AY14)/AVERAGE(終値!AF14:AY14),""))</f>
      </c>
      <c r="AD14" s="684">
        <f>IF(終値!A14="","",IFERROR(4*STDEVP(終値!AG14:AZ14)/AVERAGE(終値!AG14:AZ14),""))</f>
      </c>
      <c r="AE14" s="684">
        <f>IF(終値!A14="","",IFERROR(4*STDEVP(終値!AH14:BA14)/AVERAGE(終値!AH14:BA14),""))</f>
      </c>
      <c r="AF14" s="684">
        <f>IF(終値!A14="","",IFERROR(4*STDEVP(終値!AI14:BB14)/AVERAGE(終値!AI14:BB14),""))</f>
      </c>
      <c r="AG14" s="684">
        <f>IF(終値!A14="","",IFERROR(4*STDEVP(終値!AJ14:BC14)/AVERAGE(終値!AJ14:BC14),""))</f>
      </c>
      <c r="AH14" s="684">
        <f>IF(終値!A14="","",IFERROR(4*STDEVP(終値!AK14:BD14)/AVERAGE(終値!AK14:BD14),""))</f>
      </c>
      <c r="AI14" s="684">
        <f>IF(終値!A14="","",IFERROR(4*STDEVP(終値!AL14:BE14)/AVERAGE(終値!AL14:BE14),""))</f>
      </c>
      <c r="AJ14" s="684">
        <f>IF(終値!A14="","",IFERROR(4*STDEVP(終値!AM14:BF14)/AVERAGE(終値!AM14:BF14),""))</f>
      </c>
      <c r="AK14" s="684">
        <f>IF(終値!A14="","",IFERROR(4*STDEVP(終値!AN14:BG14)/AVERAGE(終値!AN14:BG14),""))</f>
      </c>
      <c r="AL14" s="684">
        <f>IF(終値!A14="","",IFERROR(4*STDEVP(終値!AO14:BH14)/AVERAGE(終値!AO14:BH14),""))</f>
      </c>
      <c r="AM14" s="684">
        <f>IF(終値!A14="","",IFERROR(4*STDEVP(終値!AP14:BI14)/AVERAGE(終値!AP14:BI14),""))</f>
      </c>
      <c r="AN14" s="684">
        <f>IF(終値!A14="","",IFERROR(4*STDEVP(終値!AQ14:BJ14)/AVERAGE(終値!AQ14:BJ14),""))</f>
      </c>
      <c r="AO14" s="684">
        <f>IF(終値!A14="","",IFERROR(4*STDEVP(終値!AR14:BK14)/AVERAGE(終値!AR14:BK14),""))</f>
      </c>
      <c r="AP14" s="684">
        <f>IF(終値!A14="","",IFERROR(4*STDEVP(終値!AS14:BL14)/AVERAGE(終値!AS14:BL14),""))</f>
      </c>
    </row>
    <row r="15">
      <c r="A15" s="681">
        <f>IF(終値!A15="","",終値!A15)</f>
      </c>
      <c r="B15" s="684">
        <f>IF(終値!A15="","",IFERROR(4*STDEVP(終値!E15:X15)/AVERAGE(終値!E15:X15),""))</f>
      </c>
      <c r="C15" s="684">
        <f>IF(終値!A15="","",IFERROR(4*STDEVP(終値!F15:Y15)/AVERAGE(終値!F15:Y15),""))</f>
      </c>
      <c r="D15" s="684">
        <f>IF(終値!A15="","",IFERROR(4*STDEVP(終値!G15:Z15)/AVERAGE(終値!G15:Z15),""))</f>
      </c>
      <c r="E15" s="684">
        <f>IF(終値!A15="","",IFERROR(4*STDEVP(終値!H15:AA15)/AVERAGE(終値!H15:AA15),""))</f>
      </c>
      <c r="F15" s="684">
        <f>IF(終値!A15="","",IFERROR(4*STDEVP(終値!I15:AB15)/AVERAGE(終値!I15:AB15),""))</f>
      </c>
      <c r="G15" s="684">
        <f>IF(終値!A15="","",IFERROR(4*STDEVP(終値!J15:AC15)/AVERAGE(終値!J15:AC15),""))</f>
      </c>
      <c r="H15" s="684">
        <f>IF(終値!A15="","",IFERROR(4*STDEVP(終値!K15:AD15)/AVERAGE(終値!K15:AD15),""))</f>
      </c>
      <c r="I15" s="684">
        <f>IF(終値!A15="","",IFERROR(4*STDEVP(終値!L15:AE15)/AVERAGE(終値!L15:AE15),""))</f>
      </c>
      <c r="J15" s="684">
        <f>IF(終値!A15="","",IFERROR(4*STDEVP(終値!M15:AF15)/AVERAGE(終値!M15:AF15),""))</f>
      </c>
      <c r="K15" s="684">
        <f>IF(終値!A15="","",IFERROR(4*STDEVP(終値!N15:AG15)/AVERAGE(終値!N15:AG15),""))</f>
      </c>
      <c r="L15" s="684">
        <f>IF(終値!A15="","",IFERROR(4*STDEVP(終値!O15:AH15)/AVERAGE(終値!O15:AH15),""))</f>
      </c>
      <c r="M15" s="684">
        <f>IF(終値!A15="","",IFERROR(4*STDEVP(終値!P15:AI15)/AVERAGE(終値!P15:AI15),""))</f>
      </c>
      <c r="N15" s="684">
        <f>IF(終値!A15="","",IFERROR(4*STDEVP(終値!Q15:AJ15)/AVERAGE(終値!Q15:AJ15),""))</f>
      </c>
      <c r="O15" s="684">
        <f>IF(終値!A15="","",IFERROR(4*STDEVP(終値!R15:AK15)/AVERAGE(終値!R15:AK15),""))</f>
      </c>
      <c r="P15" s="684">
        <f>IF(終値!A15="","",IFERROR(4*STDEVP(終値!S15:AL15)/AVERAGE(終値!S15:AL15),""))</f>
      </c>
      <c r="Q15" s="684">
        <f>IF(終値!A15="","",IFERROR(4*STDEVP(終値!T15:AM15)/AVERAGE(終値!T15:AM15),""))</f>
      </c>
      <c r="R15" s="684">
        <f>IF(終値!A15="","",IFERROR(4*STDEVP(終値!U15:AN15)/AVERAGE(終値!U15:AN15),""))</f>
      </c>
      <c r="S15" s="684">
        <f>IF(終値!A15="","",IFERROR(4*STDEVP(終値!V15:AO15)/AVERAGE(終値!V15:AO15),""))</f>
      </c>
      <c r="T15" s="684">
        <f>IF(終値!A15="","",IFERROR(4*STDEVP(終値!W15:AP15)/AVERAGE(終値!W15:AP15),""))</f>
      </c>
      <c r="U15" s="684">
        <f>IF(終値!A15="","",IFERROR(4*STDEVP(終値!X15:AQ15)/AVERAGE(終値!X15:AQ15),""))</f>
      </c>
      <c r="V15" s="684">
        <f>IF(終値!A15="","",IFERROR(4*STDEVP(終値!Y15:AR15)/AVERAGE(終値!Y15:AR15),""))</f>
      </c>
      <c r="W15" s="684">
        <f>IF(終値!A15="","",IFERROR(4*STDEVP(終値!Z15:AS15)/AVERAGE(終値!Z15:AS15),""))</f>
      </c>
      <c r="X15" s="684">
        <f>IF(終値!A15="","",IFERROR(4*STDEVP(終値!AA15:AT15)/AVERAGE(終値!AA15:AT15),""))</f>
      </c>
      <c r="Y15" s="684">
        <f>IF(終値!A15="","",IFERROR(4*STDEVP(終値!AB15:AU15)/AVERAGE(終値!AB15:AU15),""))</f>
      </c>
      <c r="Z15" s="684">
        <f>IF(終値!A15="","",IFERROR(4*STDEVP(終値!AC15:AV15)/AVERAGE(終値!AC15:AV15),""))</f>
      </c>
      <c r="AA15" s="684">
        <f>IF(終値!A15="","",IFERROR(4*STDEVP(終値!AD15:AW15)/AVERAGE(終値!AD15:AW15),""))</f>
      </c>
      <c r="AB15" s="684">
        <f>IF(終値!A15="","",IFERROR(4*STDEVP(終値!AE15:AX15)/AVERAGE(終値!AE15:AX15),""))</f>
      </c>
      <c r="AC15" s="684">
        <f>IF(終値!A15="","",IFERROR(4*STDEVP(終値!AF15:AY15)/AVERAGE(終値!AF15:AY15),""))</f>
      </c>
      <c r="AD15" s="684">
        <f>IF(終値!A15="","",IFERROR(4*STDEVP(終値!AG15:AZ15)/AVERAGE(終値!AG15:AZ15),""))</f>
      </c>
      <c r="AE15" s="684">
        <f>IF(終値!A15="","",IFERROR(4*STDEVP(終値!AH15:BA15)/AVERAGE(終値!AH15:BA15),""))</f>
      </c>
      <c r="AF15" s="684">
        <f>IF(終値!A15="","",IFERROR(4*STDEVP(終値!AI15:BB15)/AVERAGE(終値!AI15:BB15),""))</f>
      </c>
      <c r="AG15" s="684">
        <f>IF(終値!A15="","",IFERROR(4*STDEVP(終値!AJ15:BC15)/AVERAGE(終値!AJ15:BC15),""))</f>
      </c>
      <c r="AH15" s="684">
        <f>IF(終値!A15="","",IFERROR(4*STDEVP(終値!AK15:BD15)/AVERAGE(終値!AK15:BD15),""))</f>
      </c>
      <c r="AI15" s="684">
        <f>IF(終値!A15="","",IFERROR(4*STDEVP(終値!AL15:BE15)/AVERAGE(終値!AL15:BE15),""))</f>
      </c>
      <c r="AJ15" s="684">
        <f>IF(終値!A15="","",IFERROR(4*STDEVP(終値!AM15:BF15)/AVERAGE(終値!AM15:BF15),""))</f>
      </c>
      <c r="AK15" s="684">
        <f>IF(終値!A15="","",IFERROR(4*STDEVP(終値!AN15:BG15)/AVERAGE(終値!AN15:BG15),""))</f>
      </c>
      <c r="AL15" s="684">
        <f>IF(終値!A15="","",IFERROR(4*STDEVP(終値!AO15:BH15)/AVERAGE(終値!AO15:BH15),""))</f>
      </c>
      <c r="AM15" s="684">
        <f>IF(終値!A15="","",IFERROR(4*STDEVP(終値!AP15:BI15)/AVERAGE(終値!AP15:BI15),""))</f>
      </c>
      <c r="AN15" s="684">
        <f>IF(終値!A15="","",IFERROR(4*STDEVP(終値!AQ15:BJ15)/AVERAGE(終値!AQ15:BJ15),""))</f>
      </c>
      <c r="AO15" s="684">
        <f>IF(終値!A15="","",IFERROR(4*STDEVP(終値!AR15:BK15)/AVERAGE(終値!AR15:BK15),""))</f>
      </c>
      <c r="AP15" s="684">
        <f>IF(終値!A15="","",IFERROR(4*STDEVP(終値!AS15:BL15)/AVERAGE(終値!AS15:BL15),""))</f>
      </c>
    </row>
    <row r="16">
      <c r="A16" s="681">
        <f>IF(終値!A16="","",終値!A16)</f>
      </c>
      <c r="B16" s="684">
        <f>IF(終値!A16="","",IFERROR(4*STDEVP(終値!E16:X16)/AVERAGE(終値!E16:X16),""))</f>
      </c>
      <c r="C16" s="684">
        <f>IF(終値!A16="","",IFERROR(4*STDEVP(終値!F16:Y16)/AVERAGE(終値!F16:Y16),""))</f>
      </c>
      <c r="D16" s="684">
        <f>IF(終値!A16="","",IFERROR(4*STDEVP(終値!G16:Z16)/AVERAGE(終値!G16:Z16),""))</f>
      </c>
      <c r="E16" s="684">
        <f>IF(終値!A16="","",IFERROR(4*STDEVP(終値!H16:AA16)/AVERAGE(終値!H16:AA16),""))</f>
      </c>
      <c r="F16" s="684">
        <f>IF(終値!A16="","",IFERROR(4*STDEVP(終値!I16:AB16)/AVERAGE(終値!I16:AB16),""))</f>
      </c>
      <c r="G16" s="684">
        <f>IF(終値!A16="","",IFERROR(4*STDEVP(終値!J16:AC16)/AVERAGE(終値!J16:AC16),""))</f>
      </c>
      <c r="H16" s="684">
        <f>IF(終値!A16="","",IFERROR(4*STDEVP(終値!K16:AD16)/AVERAGE(終値!K16:AD16),""))</f>
      </c>
      <c r="I16" s="684">
        <f>IF(終値!A16="","",IFERROR(4*STDEVP(終値!L16:AE16)/AVERAGE(終値!L16:AE16),""))</f>
      </c>
      <c r="J16" s="684">
        <f>IF(終値!A16="","",IFERROR(4*STDEVP(終値!M16:AF16)/AVERAGE(終値!M16:AF16),""))</f>
      </c>
      <c r="K16" s="684">
        <f>IF(終値!A16="","",IFERROR(4*STDEVP(終値!N16:AG16)/AVERAGE(終値!N16:AG16),""))</f>
      </c>
      <c r="L16" s="684">
        <f>IF(終値!A16="","",IFERROR(4*STDEVP(終値!O16:AH16)/AVERAGE(終値!O16:AH16),""))</f>
      </c>
      <c r="M16" s="684">
        <f>IF(終値!A16="","",IFERROR(4*STDEVP(終値!P16:AI16)/AVERAGE(終値!P16:AI16),""))</f>
      </c>
      <c r="N16" s="684">
        <f>IF(終値!A16="","",IFERROR(4*STDEVP(終値!Q16:AJ16)/AVERAGE(終値!Q16:AJ16),""))</f>
      </c>
      <c r="O16" s="684">
        <f>IF(終値!A16="","",IFERROR(4*STDEVP(終値!R16:AK16)/AVERAGE(終値!R16:AK16),""))</f>
      </c>
      <c r="P16" s="684">
        <f>IF(終値!A16="","",IFERROR(4*STDEVP(終値!S16:AL16)/AVERAGE(終値!S16:AL16),""))</f>
      </c>
      <c r="Q16" s="684">
        <f>IF(終値!A16="","",IFERROR(4*STDEVP(終値!T16:AM16)/AVERAGE(終値!T16:AM16),""))</f>
      </c>
      <c r="R16" s="684">
        <f>IF(終値!A16="","",IFERROR(4*STDEVP(終値!U16:AN16)/AVERAGE(終値!U16:AN16),""))</f>
      </c>
      <c r="S16" s="684">
        <f>IF(終値!A16="","",IFERROR(4*STDEVP(終値!V16:AO16)/AVERAGE(終値!V16:AO16),""))</f>
      </c>
      <c r="T16" s="684">
        <f>IF(終値!A16="","",IFERROR(4*STDEVP(終値!W16:AP16)/AVERAGE(終値!W16:AP16),""))</f>
      </c>
      <c r="U16" s="684">
        <f>IF(終値!A16="","",IFERROR(4*STDEVP(終値!X16:AQ16)/AVERAGE(終値!X16:AQ16),""))</f>
      </c>
      <c r="V16" s="684">
        <f>IF(終値!A16="","",IFERROR(4*STDEVP(終値!Y16:AR16)/AVERAGE(終値!Y16:AR16),""))</f>
      </c>
      <c r="W16" s="684">
        <f>IF(終値!A16="","",IFERROR(4*STDEVP(終値!Z16:AS16)/AVERAGE(終値!Z16:AS16),""))</f>
      </c>
      <c r="X16" s="684">
        <f>IF(終値!A16="","",IFERROR(4*STDEVP(終値!AA16:AT16)/AVERAGE(終値!AA16:AT16),""))</f>
      </c>
      <c r="Y16" s="684">
        <f>IF(終値!A16="","",IFERROR(4*STDEVP(終値!AB16:AU16)/AVERAGE(終値!AB16:AU16),""))</f>
      </c>
      <c r="Z16" s="684">
        <f>IF(終値!A16="","",IFERROR(4*STDEVP(終値!AC16:AV16)/AVERAGE(終値!AC16:AV16),""))</f>
      </c>
      <c r="AA16" s="684">
        <f>IF(終値!A16="","",IFERROR(4*STDEVP(終値!AD16:AW16)/AVERAGE(終値!AD16:AW16),""))</f>
      </c>
      <c r="AB16" s="684">
        <f>IF(終値!A16="","",IFERROR(4*STDEVP(終値!AE16:AX16)/AVERAGE(終値!AE16:AX16),""))</f>
      </c>
      <c r="AC16" s="684">
        <f>IF(終値!A16="","",IFERROR(4*STDEVP(終値!AF16:AY16)/AVERAGE(終値!AF16:AY16),""))</f>
      </c>
      <c r="AD16" s="684">
        <f>IF(終値!A16="","",IFERROR(4*STDEVP(終値!AG16:AZ16)/AVERAGE(終値!AG16:AZ16),""))</f>
      </c>
      <c r="AE16" s="684">
        <f>IF(終値!A16="","",IFERROR(4*STDEVP(終値!AH16:BA16)/AVERAGE(終値!AH16:BA16),""))</f>
      </c>
      <c r="AF16" s="684">
        <f>IF(終値!A16="","",IFERROR(4*STDEVP(終値!AI16:BB16)/AVERAGE(終値!AI16:BB16),""))</f>
      </c>
      <c r="AG16" s="684">
        <f>IF(終値!A16="","",IFERROR(4*STDEVP(終値!AJ16:BC16)/AVERAGE(終値!AJ16:BC16),""))</f>
      </c>
      <c r="AH16" s="684">
        <f>IF(終値!A16="","",IFERROR(4*STDEVP(終値!AK16:BD16)/AVERAGE(終値!AK16:BD16),""))</f>
      </c>
      <c r="AI16" s="684">
        <f>IF(終値!A16="","",IFERROR(4*STDEVP(終値!AL16:BE16)/AVERAGE(終値!AL16:BE16),""))</f>
      </c>
      <c r="AJ16" s="684">
        <f>IF(終値!A16="","",IFERROR(4*STDEVP(終値!AM16:BF16)/AVERAGE(終値!AM16:BF16),""))</f>
      </c>
      <c r="AK16" s="684">
        <f>IF(終値!A16="","",IFERROR(4*STDEVP(終値!AN16:BG16)/AVERAGE(終値!AN16:BG16),""))</f>
      </c>
      <c r="AL16" s="684">
        <f>IF(終値!A16="","",IFERROR(4*STDEVP(終値!AO16:BH16)/AVERAGE(終値!AO16:BH16),""))</f>
      </c>
      <c r="AM16" s="684">
        <f>IF(終値!A16="","",IFERROR(4*STDEVP(終値!AP16:BI16)/AVERAGE(終値!AP16:BI16),""))</f>
      </c>
      <c r="AN16" s="684">
        <f>IF(終値!A16="","",IFERROR(4*STDEVP(終値!AQ16:BJ16)/AVERAGE(終値!AQ16:BJ16),""))</f>
      </c>
      <c r="AO16" s="684">
        <f>IF(終値!A16="","",IFERROR(4*STDEVP(終値!AR16:BK16)/AVERAGE(終値!AR16:BK16),""))</f>
      </c>
      <c r="AP16" s="684">
        <f>IF(終値!A16="","",IFERROR(4*STDEVP(終値!AS16:BL16)/AVERAGE(終値!AS16:BL16),""))</f>
      </c>
    </row>
    <row r="17">
      <c r="A17" s="681">
        <f>IF(終値!A17="","",終値!A17)</f>
      </c>
      <c r="B17" s="684">
        <f>IF(終値!A17="","",IFERROR(4*STDEVP(終値!E17:X17)/AVERAGE(終値!E17:X17),""))</f>
      </c>
      <c r="C17" s="684">
        <f>IF(終値!A17="","",IFERROR(4*STDEVP(終値!F17:Y17)/AVERAGE(終値!F17:Y17),""))</f>
      </c>
      <c r="D17" s="684">
        <f>IF(終値!A17="","",IFERROR(4*STDEVP(終値!G17:Z17)/AVERAGE(終値!G17:Z17),""))</f>
      </c>
      <c r="E17" s="684">
        <f>IF(終値!A17="","",IFERROR(4*STDEVP(終値!H17:AA17)/AVERAGE(終値!H17:AA17),""))</f>
      </c>
      <c r="F17" s="684">
        <f>IF(終値!A17="","",IFERROR(4*STDEVP(終値!I17:AB17)/AVERAGE(終値!I17:AB17),""))</f>
      </c>
      <c r="G17" s="684">
        <f>IF(終値!A17="","",IFERROR(4*STDEVP(終値!J17:AC17)/AVERAGE(終値!J17:AC17),""))</f>
      </c>
      <c r="H17" s="684">
        <f>IF(終値!A17="","",IFERROR(4*STDEVP(終値!K17:AD17)/AVERAGE(終値!K17:AD17),""))</f>
      </c>
      <c r="I17" s="684">
        <f>IF(終値!A17="","",IFERROR(4*STDEVP(終値!L17:AE17)/AVERAGE(終値!L17:AE17),""))</f>
      </c>
      <c r="J17" s="684">
        <f>IF(終値!A17="","",IFERROR(4*STDEVP(終値!M17:AF17)/AVERAGE(終値!M17:AF17),""))</f>
      </c>
      <c r="K17" s="684">
        <f>IF(終値!A17="","",IFERROR(4*STDEVP(終値!N17:AG17)/AVERAGE(終値!N17:AG17),""))</f>
      </c>
      <c r="L17" s="684">
        <f>IF(終値!A17="","",IFERROR(4*STDEVP(終値!O17:AH17)/AVERAGE(終値!O17:AH17),""))</f>
      </c>
      <c r="M17" s="684">
        <f>IF(終値!A17="","",IFERROR(4*STDEVP(終値!P17:AI17)/AVERAGE(終値!P17:AI17),""))</f>
      </c>
      <c r="N17" s="684">
        <f>IF(終値!A17="","",IFERROR(4*STDEVP(終値!Q17:AJ17)/AVERAGE(終値!Q17:AJ17),""))</f>
      </c>
      <c r="O17" s="684">
        <f>IF(終値!A17="","",IFERROR(4*STDEVP(終値!R17:AK17)/AVERAGE(終値!R17:AK17),""))</f>
      </c>
      <c r="P17" s="684">
        <f>IF(終値!A17="","",IFERROR(4*STDEVP(終値!S17:AL17)/AVERAGE(終値!S17:AL17),""))</f>
      </c>
      <c r="Q17" s="684">
        <f>IF(終値!A17="","",IFERROR(4*STDEVP(終値!T17:AM17)/AVERAGE(終値!T17:AM17),""))</f>
      </c>
      <c r="R17" s="684">
        <f>IF(終値!A17="","",IFERROR(4*STDEVP(終値!U17:AN17)/AVERAGE(終値!U17:AN17),""))</f>
      </c>
      <c r="S17" s="684">
        <f>IF(終値!A17="","",IFERROR(4*STDEVP(終値!V17:AO17)/AVERAGE(終値!V17:AO17),""))</f>
      </c>
      <c r="T17" s="684">
        <f>IF(終値!A17="","",IFERROR(4*STDEVP(終値!W17:AP17)/AVERAGE(終値!W17:AP17),""))</f>
      </c>
      <c r="U17" s="684">
        <f>IF(終値!A17="","",IFERROR(4*STDEVP(終値!X17:AQ17)/AVERAGE(終値!X17:AQ17),""))</f>
      </c>
      <c r="V17" s="684">
        <f>IF(終値!A17="","",IFERROR(4*STDEVP(終値!Y17:AR17)/AVERAGE(終値!Y17:AR17),""))</f>
      </c>
      <c r="W17" s="684">
        <f>IF(終値!A17="","",IFERROR(4*STDEVP(終値!Z17:AS17)/AVERAGE(終値!Z17:AS17),""))</f>
      </c>
      <c r="X17" s="684">
        <f>IF(終値!A17="","",IFERROR(4*STDEVP(終値!AA17:AT17)/AVERAGE(終値!AA17:AT17),""))</f>
      </c>
      <c r="Y17" s="684">
        <f>IF(終値!A17="","",IFERROR(4*STDEVP(終値!AB17:AU17)/AVERAGE(終値!AB17:AU17),""))</f>
      </c>
      <c r="Z17" s="684">
        <f>IF(終値!A17="","",IFERROR(4*STDEVP(終値!AC17:AV17)/AVERAGE(終値!AC17:AV17),""))</f>
      </c>
      <c r="AA17" s="684">
        <f>IF(終値!A17="","",IFERROR(4*STDEVP(終値!AD17:AW17)/AVERAGE(終値!AD17:AW17),""))</f>
      </c>
      <c r="AB17" s="684">
        <f>IF(終値!A17="","",IFERROR(4*STDEVP(終値!AE17:AX17)/AVERAGE(終値!AE17:AX17),""))</f>
      </c>
      <c r="AC17" s="684">
        <f>IF(終値!A17="","",IFERROR(4*STDEVP(終値!AF17:AY17)/AVERAGE(終値!AF17:AY17),""))</f>
      </c>
      <c r="AD17" s="684">
        <f>IF(終値!A17="","",IFERROR(4*STDEVP(終値!AG17:AZ17)/AVERAGE(終値!AG17:AZ17),""))</f>
      </c>
      <c r="AE17" s="684">
        <f>IF(終値!A17="","",IFERROR(4*STDEVP(終値!AH17:BA17)/AVERAGE(終値!AH17:BA17),""))</f>
      </c>
      <c r="AF17" s="684">
        <f>IF(終値!A17="","",IFERROR(4*STDEVP(終値!AI17:BB17)/AVERAGE(終値!AI17:BB17),""))</f>
      </c>
      <c r="AG17" s="684">
        <f>IF(終値!A17="","",IFERROR(4*STDEVP(終値!AJ17:BC17)/AVERAGE(終値!AJ17:BC17),""))</f>
      </c>
      <c r="AH17" s="684">
        <f>IF(終値!A17="","",IFERROR(4*STDEVP(終値!AK17:BD17)/AVERAGE(終値!AK17:BD17),""))</f>
      </c>
      <c r="AI17" s="684">
        <f>IF(終値!A17="","",IFERROR(4*STDEVP(終値!AL17:BE17)/AVERAGE(終値!AL17:BE17),""))</f>
      </c>
      <c r="AJ17" s="684">
        <f>IF(終値!A17="","",IFERROR(4*STDEVP(終値!AM17:BF17)/AVERAGE(終値!AM17:BF17),""))</f>
      </c>
      <c r="AK17" s="684">
        <f>IF(終値!A17="","",IFERROR(4*STDEVP(終値!AN17:BG17)/AVERAGE(終値!AN17:BG17),""))</f>
      </c>
      <c r="AL17" s="684">
        <f>IF(終値!A17="","",IFERROR(4*STDEVP(終値!AO17:BH17)/AVERAGE(終値!AO17:BH17),""))</f>
      </c>
      <c r="AM17" s="684">
        <f>IF(終値!A17="","",IFERROR(4*STDEVP(終値!AP17:BI17)/AVERAGE(終値!AP17:BI17),""))</f>
      </c>
      <c r="AN17" s="684">
        <f>IF(終値!A17="","",IFERROR(4*STDEVP(終値!AQ17:BJ17)/AVERAGE(終値!AQ17:BJ17),""))</f>
      </c>
      <c r="AO17" s="684">
        <f>IF(終値!A17="","",IFERROR(4*STDEVP(終値!AR17:BK17)/AVERAGE(終値!AR17:BK17),""))</f>
      </c>
      <c r="AP17" s="684">
        <f>IF(終値!A17="","",IFERROR(4*STDEVP(終値!AS17:BL17)/AVERAGE(終値!AS17:BL17),""))</f>
      </c>
    </row>
    <row r="18">
      <c r="A18" s="681">
        <f>IF(終値!A18="","",終値!A18)</f>
      </c>
      <c r="B18" s="684">
        <f>IF(終値!A18="","",IFERROR(4*STDEVP(終値!E18:X18)/AVERAGE(終値!E18:X18),""))</f>
      </c>
      <c r="C18" s="684">
        <f>IF(終値!A18="","",IFERROR(4*STDEVP(終値!F18:Y18)/AVERAGE(終値!F18:Y18),""))</f>
      </c>
      <c r="D18" s="684">
        <f>IF(終値!A18="","",IFERROR(4*STDEVP(終値!G18:Z18)/AVERAGE(終値!G18:Z18),""))</f>
      </c>
      <c r="E18" s="684">
        <f>IF(終値!A18="","",IFERROR(4*STDEVP(終値!H18:AA18)/AVERAGE(終値!H18:AA18),""))</f>
      </c>
      <c r="F18" s="684">
        <f>IF(終値!A18="","",IFERROR(4*STDEVP(終値!I18:AB18)/AVERAGE(終値!I18:AB18),""))</f>
      </c>
      <c r="G18" s="684">
        <f>IF(終値!A18="","",IFERROR(4*STDEVP(終値!J18:AC18)/AVERAGE(終値!J18:AC18),""))</f>
      </c>
      <c r="H18" s="684">
        <f>IF(終値!A18="","",IFERROR(4*STDEVP(終値!K18:AD18)/AVERAGE(終値!K18:AD18),""))</f>
      </c>
      <c r="I18" s="684">
        <f>IF(終値!A18="","",IFERROR(4*STDEVP(終値!L18:AE18)/AVERAGE(終値!L18:AE18),""))</f>
      </c>
      <c r="J18" s="684">
        <f>IF(終値!A18="","",IFERROR(4*STDEVP(終値!M18:AF18)/AVERAGE(終値!M18:AF18),""))</f>
      </c>
      <c r="K18" s="684">
        <f>IF(終値!A18="","",IFERROR(4*STDEVP(終値!N18:AG18)/AVERAGE(終値!N18:AG18),""))</f>
      </c>
      <c r="L18" s="684">
        <f>IF(終値!A18="","",IFERROR(4*STDEVP(終値!O18:AH18)/AVERAGE(終値!O18:AH18),""))</f>
      </c>
      <c r="M18" s="684">
        <f>IF(終値!A18="","",IFERROR(4*STDEVP(終値!P18:AI18)/AVERAGE(終値!P18:AI18),""))</f>
      </c>
      <c r="N18" s="684">
        <f>IF(終値!A18="","",IFERROR(4*STDEVP(終値!Q18:AJ18)/AVERAGE(終値!Q18:AJ18),""))</f>
      </c>
      <c r="O18" s="684">
        <f>IF(終値!A18="","",IFERROR(4*STDEVP(終値!R18:AK18)/AVERAGE(終値!R18:AK18),""))</f>
      </c>
      <c r="P18" s="684">
        <f>IF(終値!A18="","",IFERROR(4*STDEVP(終値!S18:AL18)/AVERAGE(終値!S18:AL18),""))</f>
      </c>
      <c r="Q18" s="684">
        <f>IF(終値!A18="","",IFERROR(4*STDEVP(終値!T18:AM18)/AVERAGE(終値!T18:AM18),""))</f>
      </c>
      <c r="R18" s="684">
        <f>IF(終値!A18="","",IFERROR(4*STDEVP(終値!U18:AN18)/AVERAGE(終値!U18:AN18),""))</f>
      </c>
      <c r="S18" s="684">
        <f>IF(終値!A18="","",IFERROR(4*STDEVP(終値!V18:AO18)/AVERAGE(終値!V18:AO18),""))</f>
      </c>
      <c r="T18" s="684">
        <f>IF(終値!A18="","",IFERROR(4*STDEVP(終値!W18:AP18)/AVERAGE(終値!W18:AP18),""))</f>
      </c>
      <c r="U18" s="684">
        <f>IF(終値!A18="","",IFERROR(4*STDEVP(終値!X18:AQ18)/AVERAGE(終値!X18:AQ18),""))</f>
      </c>
      <c r="V18" s="684">
        <f>IF(終値!A18="","",IFERROR(4*STDEVP(終値!Y18:AR18)/AVERAGE(終値!Y18:AR18),""))</f>
      </c>
      <c r="W18" s="684">
        <f>IF(終値!A18="","",IFERROR(4*STDEVP(終値!Z18:AS18)/AVERAGE(終値!Z18:AS18),""))</f>
      </c>
      <c r="X18" s="684">
        <f>IF(終値!A18="","",IFERROR(4*STDEVP(終値!AA18:AT18)/AVERAGE(終値!AA18:AT18),""))</f>
      </c>
      <c r="Y18" s="684">
        <f>IF(終値!A18="","",IFERROR(4*STDEVP(終値!AB18:AU18)/AVERAGE(終値!AB18:AU18),""))</f>
      </c>
      <c r="Z18" s="684">
        <f>IF(終値!A18="","",IFERROR(4*STDEVP(終値!AC18:AV18)/AVERAGE(終値!AC18:AV18),""))</f>
      </c>
      <c r="AA18" s="684">
        <f>IF(終値!A18="","",IFERROR(4*STDEVP(終値!AD18:AW18)/AVERAGE(終値!AD18:AW18),""))</f>
      </c>
      <c r="AB18" s="684">
        <f>IF(終値!A18="","",IFERROR(4*STDEVP(終値!AE18:AX18)/AVERAGE(終値!AE18:AX18),""))</f>
      </c>
      <c r="AC18" s="684">
        <f>IF(終値!A18="","",IFERROR(4*STDEVP(終値!AF18:AY18)/AVERAGE(終値!AF18:AY18),""))</f>
      </c>
      <c r="AD18" s="684">
        <f>IF(終値!A18="","",IFERROR(4*STDEVP(終値!AG18:AZ18)/AVERAGE(終値!AG18:AZ18),""))</f>
      </c>
      <c r="AE18" s="684">
        <f>IF(終値!A18="","",IFERROR(4*STDEVP(終値!AH18:BA18)/AVERAGE(終値!AH18:BA18),""))</f>
      </c>
      <c r="AF18" s="684">
        <f>IF(終値!A18="","",IFERROR(4*STDEVP(終値!AI18:BB18)/AVERAGE(終値!AI18:BB18),""))</f>
      </c>
      <c r="AG18" s="684">
        <f>IF(終値!A18="","",IFERROR(4*STDEVP(終値!AJ18:BC18)/AVERAGE(終値!AJ18:BC18),""))</f>
      </c>
      <c r="AH18" s="684">
        <f>IF(終値!A18="","",IFERROR(4*STDEVP(終値!AK18:BD18)/AVERAGE(終値!AK18:BD18),""))</f>
      </c>
      <c r="AI18" s="684">
        <f>IF(終値!A18="","",IFERROR(4*STDEVP(終値!AL18:BE18)/AVERAGE(終値!AL18:BE18),""))</f>
      </c>
      <c r="AJ18" s="684">
        <f>IF(終値!A18="","",IFERROR(4*STDEVP(終値!AM18:BF18)/AVERAGE(終値!AM18:BF18),""))</f>
      </c>
      <c r="AK18" s="684">
        <f>IF(終値!A18="","",IFERROR(4*STDEVP(終値!AN18:BG18)/AVERAGE(終値!AN18:BG18),""))</f>
      </c>
      <c r="AL18" s="684">
        <f>IF(終値!A18="","",IFERROR(4*STDEVP(終値!AO18:BH18)/AVERAGE(終値!AO18:BH18),""))</f>
      </c>
      <c r="AM18" s="684">
        <f>IF(終値!A18="","",IFERROR(4*STDEVP(終値!AP18:BI18)/AVERAGE(終値!AP18:BI18),""))</f>
      </c>
      <c r="AN18" s="684">
        <f>IF(終値!A18="","",IFERROR(4*STDEVP(終値!AQ18:BJ18)/AVERAGE(終値!AQ18:BJ18),""))</f>
      </c>
      <c r="AO18" s="684">
        <f>IF(終値!A18="","",IFERROR(4*STDEVP(終値!AR18:BK18)/AVERAGE(終値!AR18:BK18),""))</f>
      </c>
      <c r="AP18" s="684">
        <f>IF(終値!A18="","",IFERROR(4*STDEVP(終値!AS18:BL18)/AVERAGE(終値!AS18:BL18),""))</f>
      </c>
    </row>
    <row r="19">
      <c r="A19" s="681">
        <f>IF(終値!A19="","",終値!A19)</f>
      </c>
      <c r="B19" s="684">
        <f>IF(終値!A19="","",IFERROR(4*STDEVP(終値!E19:X19)/AVERAGE(終値!E19:X19),""))</f>
      </c>
      <c r="C19" s="684">
        <f>IF(終値!A19="","",IFERROR(4*STDEVP(終値!F19:Y19)/AVERAGE(終値!F19:Y19),""))</f>
      </c>
      <c r="D19" s="684">
        <f>IF(終値!A19="","",IFERROR(4*STDEVP(終値!G19:Z19)/AVERAGE(終値!G19:Z19),""))</f>
      </c>
      <c r="E19" s="684">
        <f>IF(終値!A19="","",IFERROR(4*STDEVP(終値!H19:AA19)/AVERAGE(終値!H19:AA19),""))</f>
      </c>
      <c r="F19" s="684">
        <f>IF(終値!A19="","",IFERROR(4*STDEVP(終値!I19:AB19)/AVERAGE(終値!I19:AB19),""))</f>
      </c>
      <c r="G19" s="684">
        <f>IF(終値!A19="","",IFERROR(4*STDEVP(終値!J19:AC19)/AVERAGE(終値!J19:AC19),""))</f>
      </c>
      <c r="H19" s="684">
        <f>IF(終値!A19="","",IFERROR(4*STDEVP(終値!K19:AD19)/AVERAGE(終値!K19:AD19),""))</f>
      </c>
      <c r="I19" s="684">
        <f>IF(終値!A19="","",IFERROR(4*STDEVP(終値!L19:AE19)/AVERAGE(終値!L19:AE19),""))</f>
      </c>
      <c r="J19" s="684">
        <f>IF(終値!A19="","",IFERROR(4*STDEVP(終値!M19:AF19)/AVERAGE(終値!M19:AF19),""))</f>
      </c>
      <c r="K19" s="684">
        <f>IF(終値!A19="","",IFERROR(4*STDEVP(終値!N19:AG19)/AVERAGE(終値!N19:AG19),""))</f>
      </c>
      <c r="L19" s="684">
        <f>IF(終値!A19="","",IFERROR(4*STDEVP(終値!O19:AH19)/AVERAGE(終値!O19:AH19),""))</f>
      </c>
      <c r="M19" s="684">
        <f>IF(終値!A19="","",IFERROR(4*STDEVP(終値!P19:AI19)/AVERAGE(終値!P19:AI19),""))</f>
      </c>
      <c r="N19" s="684">
        <f>IF(終値!A19="","",IFERROR(4*STDEVP(終値!Q19:AJ19)/AVERAGE(終値!Q19:AJ19),""))</f>
      </c>
      <c r="O19" s="684">
        <f>IF(終値!A19="","",IFERROR(4*STDEVP(終値!R19:AK19)/AVERAGE(終値!R19:AK19),""))</f>
      </c>
      <c r="P19" s="684">
        <f>IF(終値!A19="","",IFERROR(4*STDEVP(終値!S19:AL19)/AVERAGE(終値!S19:AL19),""))</f>
      </c>
      <c r="Q19" s="684">
        <f>IF(終値!A19="","",IFERROR(4*STDEVP(終値!T19:AM19)/AVERAGE(終値!T19:AM19),""))</f>
      </c>
      <c r="R19" s="684">
        <f>IF(終値!A19="","",IFERROR(4*STDEVP(終値!U19:AN19)/AVERAGE(終値!U19:AN19),""))</f>
      </c>
      <c r="S19" s="684">
        <f>IF(終値!A19="","",IFERROR(4*STDEVP(終値!V19:AO19)/AVERAGE(終値!V19:AO19),""))</f>
      </c>
      <c r="T19" s="684">
        <f>IF(終値!A19="","",IFERROR(4*STDEVP(終値!W19:AP19)/AVERAGE(終値!W19:AP19),""))</f>
      </c>
      <c r="U19" s="684">
        <f>IF(終値!A19="","",IFERROR(4*STDEVP(終値!X19:AQ19)/AVERAGE(終値!X19:AQ19),""))</f>
      </c>
      <c r="V19" s="684">
        <f>IF(終値!A19="","",IFERROR(4*STDEVP(終値!Y19:AR19)/AVERAGE(終値!Y19:AR19),""))</f>
      </c>
      <c r="W19" s="684">
        <f>IF(終値!A19="","",IFERROR(4*STDEVP(終値!Z19:AS19)/AVERAGE(終値!Z19:AS19),""))</f>
      </c>
      <c r="X19" s="684">
        <f>IF(終値!A19="","",IFERROR(4*STDEVP(終値!AA19:AT19)/AVERAGE(終値!AA19:AT19),""))</f>
      </c>
      <c r="Y19" s="684">
        <f>IF(終値!A19="","",IFERROR(4*STDEVP(終値!AB19:AU19)/AVERAGE(終値!AB19:AU19),""))</f>
      </c>
      <c r="Z19" s="684">
        <f>IF(終値!A19="","",IFERROR(4*STDEVP(終値!AC19:AV19)/AVERAGE(終値!AC19:AV19),""))</f>
      </c>
      <c r="AA19" s="684">
        <f>IF(終値!A19="","",IFERROR(4*STDEVP(終値!AD19:AW19)/AVERAGE(終値!AD19:AW19),""))</f>
      </c>
      <c r="AB19" s="684">
        <f>IF(終値!A19="","",IFERROR(4*STDEVP(終値!AE19:AX19)/AVERAGE(終値!AE19:AX19),""))</f>
      </c>
      <c r="AC19" s="684">
        <f>IF(終値!A19="","",IFERROR(4*STDEVP(終値!AF19:AY19)/AVERAGE(終値!AF19:AY19),""))</f>
      </c>
      <c r="AD19" s="684">
        <f>IF(終値!A19="","",IFERROR(4*STDEVP(終値!AG19:AZ19)/AVERAGE(終値!AG19:AZ19),""))</f>
      </c>
      <c r="AE19" s="684">
        <f>IF(終値!A19="","",IFERROR(4*STDEVP(終値!AH19:BA19)/AVERAGE(終値!AH19:BA19),""))</f>
      </c>
      <c r="AF19" s="684">
        <f>IF(終値!A19="","",IFERROR(4*STDEVP(終値!AI19:BB19)/AVERAGE(終値!AI19:BB19),""))</f>
      </c>
      <c r="AG19" s="684">
        <f>IF(終値!A19="","",IFERROR(4*STDEVP(終値!AJ19:BC19)/AVERAGE(終値!AJ19:BC19),""))</f>
      </c>
      <c r="AH19" s="684">
        <f>IF(終値!A19="","",IFERROR(4*STDEVP(終値!AK19:BD19)/AVERAGE(終値!AK19:BD19),""))</f>
      </c>
      <c r="AI19" s="684">
        <f>IF(終値!A19="","",IFERROR(4*STDEVP(終値!AL19:BE19)/AVERAGE(終値!AL19:BE19),""))</f>
      </c>
      <c r="AJ19" s="684">
        <f>IF(終値!A19="","",IFERROR(4*STDEVP(終値!AM19:BF19)/AVERAGE(終値!AM19:BF19),""))</f>
      </c>
      <c r="AK19" s="684">
        <f>IF(終値!A19="","",IFERROR(4*STDEVP(終値!AN19:BG19)/AVERAGE(終値!AN19:BG19),""))</f>
      </c>
      <c r="AL19" s="684">
        <f>IF(終値!A19="","",IFERROR(4*STDEVP(終値!AO19:BH19)/AVERAGE(終値!AO19:BH19),""))</f>
      </c>
      <c r="AM19" s="684">
        <f>IF(終値!A19="","",IFERROR(4*STDEVP(終値!AP19:BI19)/AVERAGE(終値!AP19:BI19),""))</f>
      </c>
      <c r="AN19" s="684">
        <f>IF(終値!A19="","",IFERROR(4*STDEVP(終値!AQ19:BJ19)/AVERAGE(終値!AQ19:BJ19),""))</f>
      </c>
      <c r="AO19" s="684">
        <f>IF(終値!A19="","",IFERROR(4*STDEVP(終値!AR19:BK19)/AVERAGE(終値!AR19:BK19),""))</f>
      </c>
      <c r="AP19" s="684">
        <f>IF(終値!A19="","",IFERROR(4*STDEVP(終値!AS19:BL19)/AVERAGE(終値!AS19:BL19),""))</f>
      </c>
    </row>
    <row r="20">
      <c r="A20" s="681">
        <f>IF(終値!A20="","",終値!A20)</f>
      </c>
      <c r="B20" s="684">
        <f>IF(終値!A20="","",IFERROR(4*STDEVP(終値!E20:X20)/AVERAGE(終値!E20:X20),""))</f>
      </c>
      <c r="C20" s="684">
        <f>IF(終値!A20="","",IFERROR(4*STDEVP(終値!F20:Y20)/AVERAGE(終値!F20:Y20),""))</f>
      </c>
      <c r="D20" s="684">
        <f>IF(終値!A20="","",IFERROR(4*STDEVP(終値!G20:Z20)/AVERAGE(終値!G20:Z20),""))</f>
      </c>
      <c r="E20" s="684">
        <f>IF(終値!A20="","",IFERROR(4*STDEVP(終値!H20:AA20)/AVERAGE(終値!H20:AA20),""))</f>
      </c>
      <c r="F20" s="684">
        <f>IF(終値!A20="","",IFERROR(4*STDEVP(終値!I20:AB20)/AVERAGE(終値!I20:AB20),""))</f>
      </c>
      <c r="G20" s="684">
        <f>IF(終値!A20="","",IFERROR(4*STDEVP(終値!J20:AC20)/AVERAGE(終値!J20:AC20),""))</f>
      </c>
      <c r="H20" s="684">
        <f>IF(終値!A20="","",IFERROR(4*STDEVP(終値!K20:AD20)/AVERAGE(終値!K20:AD20),""))</f>
      </c>
      <c r="I20" s="684">
        <f>IF(終値!A20="","",IFERROR(4*STDEVP(終値!L20:AE20)/AVERAGE(終値!L20:AE20),""))</f>
      </c>
      <c r="J20" s="684">
        <f>IF(終値!A20="","",IFERROR(4*STDEVP(終値!M20:AF20)/AVERAGE(終値!M20:AF20),""))</f>
      </c>
      <c r="K20" s="684">
        <f>IF(終値!A20="","",IFERROR(4*STDEVP(終値!N20:AG20)/AVERAGE(終値!N20:AG20),""))</f>
      </c>
      <c r="L20" s="684">
        <f>IF(終値!A20="","",IFERROR(4*STDEVP(終値!O20:AH20)/AVERAGE(終値!O20:AH20),""))</f>
      </c>
      <c r="M20" s="684">
        <f>IF(終値!A20="","",IFERROR(4*STDEVP(終値!P20:AI20)/AVERAGE(終値!P20:AI20),""))</f>
      </c>
      <c r="N20" s="684">
        <f>IF(終値!A20="","",IFERROR(4*STDEVP(終値!Q20:AJ20)/AVERAGE(終値!Q20:AJ20),""))</f>
      </c>
      <c r="O20" s="684">
        <f>IF(終値!A20="","",IFERROR(4*STDEVP(終値!R20:AK20)/AVERAGE(終値!R20:AK20),""))</f>
      </c>
      <c r="P20" s="684">
        <f>IF(終値!A20="","",IFERROR(4*STDEVP(終値!S20:AL20)/AVERAGE(終値!S20:AL20),""))</f>
      </c>
      <c r="Q20" s="684">
        <f>IF(終値!A20="","",IFERROR(4*STDEVP(終値!T20:AM20)/AVERAGE(終値!T20:AM20),""))</f>
      </c>
      <c r="R20" s="684">
        <f>IF(終値!A20="","",IFERROR(4*STDEVP(終値!U20:AN20)/AVERAGE(終値!U20:AN20),""))</f>
      </c>
      <c r="S20" s="684">
        <f>IF(終値!A20="","",IFERROR(4*STDEVP(終値!V20:AO20)/AVERAGE(終値!V20:AO20),""))</f>
      </c>
      <c r="T20" s="684">
        <f>IF(終値!A20="","",IFERROR(4*STDEVP(終値!W20:AP20)/AVERAGE(終値!W20:AP20),""))</f>
      </c>
      <c r="U20" s="684">
        <f>IF(終値!A20="","",IFERROR(4*STDEVP(終値!X20:AQ20)/AVERAGE(終値!X20:AQ20),""))</f>
      </c>
      <c r="V20" s="684">
        <f>IF(終値!A20="","",IFERROR(4*STDEVP(終値!Y20:AR20)/AVERAGE(終値!Y20:AR20),""))</f>
      </c>
      <c r="W20" s="684">
        <f>IF(終値!A20="","",IFERROR(4*STDEVP(終値!Z20:AS20)/AVERAGE(終値!Z20:AS20),""))</f>
      </c>
      <c r="X20" s="684">
        <f>IF(終値!A20="","",IFERROR(4*STDEVP(終値!AA20:AT20)/AVERAGE(終値!AA20:AT20),""))</f>
      </c>
      <c r="Y20" s="684">
        <f>IF(終値!A20="","",IFERROR(4*STDEVP(終値!AB20:AU20)/AVERAGE(終値!AB20:AU20),""))</f>
      </c>
      <c r="Z20" s="684">
        <f>IF(終値!A20="","",IFERROR(4*STDEVP(終値!AC20:AV20)/AVERAGE(終値!AC20:AV20),""))</f>
      </c>
      <c r="AA20" s="684">
        <f>IF(終値!A20="","",IFERROR(4*STDEVP(終値!AD20:AW20)/AVERAGE(終値!AD20:AW20),""))</f>
      </c>
      <c r="AB20" s="684">
        <f>IF(終値!A20="","",IFERROR(4*STDEVP(終値!AE20:AX20)/AVERAGE(終値!AE20:AX20),""))</f>
      </c>
      <c r="AC20" s="684">
        <f>IF(終値!A20="","",IFERROR(4*STDEVP(終値!AF20:AY20)/AVERAGE(終値!AF20:AY20),""))</f>
      </c>
      <c r="AD20" s="684">
        <f>IF(終値!A20="","",IFERROR(4*STDEVP(終値!AG20:AZ20)/AVERAGE(終値!AG20:AZ20),""))</f>
      </c>
      <c r="AE20" s="684">
        <f>IF(終値!A20="","",IFERROR(4*STDEVP(終値!AH20:BA20)/AVERAGE(終値!AH20:BA20),""))</f>
      </c>
      <c r="AF20" s="684">
        <f>IF(終値!A20="","",IFERROR(4*STDEVP(終値!AI20:BB20)/AVERAGE(終値!AI20:BB20),""))</f>
      </c>
      <c r="AG20" s="684">
        <f>IF(終値!A20="","",IFERROR(4*STDEVP(終値!AJ20:BC20)/AVERAGE(終値!AJ20:BC20),""))</f>
      </c>
      <c r="AH20" s="684">
        <f>IF(終値!A20="","",IFERROR(4*STDEVP(終値!AK20:BD20)/AVERAGE(終値!AK20:BD20),""))</f>
      </c>
      <c r="AI20" s="684">
        <f>IF(終値!A20="","",IFERROR(4*STDEVP(終値!AL20:BE20)/AVERAGE(終値!AL20:BE20),""))</f>
      </c>
      <c r="AJ20" s="684">
        <f>IF(終値!A20="","",IFERROR(4*STDEVP(終値!AM20:BF20)/AVERAGE(終値!AM20:BF20),""))</f>
      </c>
      <c r="AK20" s="684">
        <f>IF(終値!A20="","",IFERROR(4*STDEVP(終値!AN20:BG20)/AVERAGE(終値!AN20:BG20),""))</f>
      </c>
      <c r="AL20" s="684">
        <f>IF(終値!A20="","",IFERROR(4*STDEVP(終値!AO20:BH20)/AVERAGE(終値!AO20:BH20),""))</f>
      </c>
      <c r="AM20" s="684">
        <f>IF(終値!A20="","",IFERROR(4*STDEVP(終値!AP20:BI20)/AVERAGE(終値!AP20:BI20),""))</f>
      </c>
      <c r="AN20" s="684">
        <f>IF(終値!A20="","",IFERROR(4*STDEVP(終値!AQ20:BJ20)/AVERAGE(終値!AQ20:BJ20),""))</f>
      </c>
      <c r="AO20" s="684">
        <f>IF(終値!A20="","",IFERROR(4*STDEVP(終値!AR20:BK20)/AVERAGE(終値!AR20:BK20),""))</f>
      </c>
      <c r="AP20" s="684">
        <f>IF(終値!A20="","",IFERROR(4*STDEVP(終値!AS20:BL20)/AVERAGE(終値!AS20:BL20),""))</f>
      </c>
    </row>
    <row r="21">
      <c r="A21" s="681">
        <f>IF(終値!A21="","",終値!A21)</f>
      </c>
      <c r="B21" s="684">
        <f>IF(終値!A21="","",IFERROR(4*STDEVP(終値!E21:X21)/AVERAGE(終値!E21:X21),""))</f>
      </c>
      <c r="C21" s="684">
        <f>IF(終値!A21="","",IFERROR(4*STDEVP(終値!F21:Y21)/AVERAGE(終値!F21:Y21),""))</f>
      </c>
      <c r="D21" s="684">
        <f>IF(終値!A21="","",IFERROR(4*STDEVP(終値!G21:Z21)/AVERAGE(終値!G21:Z21),""))</f>
      </c>
      <c r="E21" s="684">
        <f>IF(終値!A21="","",IFERROR(4*STDEVP(終値!H21:AA21)/AVERAGE(終値!H21:AA21),""))</f>
      </c>
      <c r="F21" s="684">
        <f>IF(終値!A21="","",IFERROR(4*STDEVP(終値!I21:AB21)/AVERAGE(終値!I21:AB21),""))</f>
      </c>
      <c r="G21" s="684">
        <f>IF(終値!A21="","",IFERROR(4*STDEVP(終値!J21:AC21)/AVERAGE(終値!J21:AC21),""))</f>
      </c>
      <c r="H21" s="684">
        <f>IF(終値!A21="","",IFERROR(4*STDEVP(終値!K21:AD21)/AVERAGE(終値!K21:AD21),""))</f>
      </c>
      <c r="I21" s="684">
        <f>IF(終値!A21="","",IFERROR(4*STDEVP(終値!L21:AE21)/AVERAGE(終値!L21:AE21),""))</f>
      </c>
      <c r="J21" s="684">
        <f>IF(終値!A21="","",IFERROR(4*STDEVP(終値!M21:AF21)/AVERAGE(終値!M21:AF21),""))</f>
      </c>
      <c r="K21" s="684">
        <f>IF(終値!A21="","",IFERROR(4*STDEVP(終値!N21:AG21)/AVERAGE(終値!N21:AG21),""))</f>
      </c>
      <c r="L21" s="684">
        <f>IF(終値!A21="","",IFERROR(4*STDEVP(終値!O21:AH21)/AVERAGE(終値!O21:AH21),""))</f>
      </c>
      <c r="M21" s="684">
        <f>IF(終値!A21="","",IFERROR(4*STDEVP(終値!P21:AI21)/AVERAGE(終値!P21:AI21),""))</f>
      </c>
      <c r="N21" s="684">
        <f>IF(終値!A21="","",IFERROR(4*STDEVP(終値!Q21:AJ21)/AVERAGE(終値!Q21:AJ21),""))</f>
      </c>
      <c r="O21" s="684">
        <f>IF(終値!A21="","",IFERROR(4*STDEVP(終値!R21:AK21)/AVERAGE(終値!R21:AK21),""))</f>
      </c>
      <c r="P21" s="684">
        <f>IF(終値!A21="","",IFERROR(4*STDEVP(終値!S21:AL21)/AVERAGE(終値!S21:AL21),""))</f>
      </c>
      <c r="Q21" s="684">
        <f>IF(終値!A21="","",IFERROR(4*STDEVP(終値!T21:AM21)/AVERAGE(終値!T21:AM21),""))</f>
      </c>
      <c r="R21" s="684">
        <f>IF(終値!A21="","",IFERROR(4*STDEVP(終値!U21:AN21)/AVERAGE(終値!U21:AN21),""))</f>
      </c>
      <c r="S21" s="684">
        <f>IF(終値!A21="","",IFERROR(4*STDEVP(終値!V21:AO21)/AVERAGE(終値!V21:AO21),""))</f>
      </c>
      <c r="T21" s="684">
        <f>IF(終値!A21="","",IFERROR(4*STDEVP(終値!W21:AP21)/AVERAGE(終値!W21:AP21),""))</f>
      </c>
      <c r="U21" s="684">
        <f>IF(終値!A21="","",IFERROR(4*STDEVP(終値!X21:AQ21)/AVERAGE(終値!X21:AQ21),""))</f>
      </c>
      <c r="V21" s="684">
        <f>IF(終値!A21="","",IFERROR(4*STDEVP(終値!Y21:AR21)/AVERAGE(終値!Y21:AR21),""))</f>
      </c>
      <c r="W21" s="684">
        <f>IF(終値!A21="","",IFERROR(4*STDEVP(終値!Z21:AS21)/AVERAGE(終値!Z21:AS21),""))</f>
      </c>
      <c r="X21" s="684">
        <f>IF(終値!A21="","",IFERROR(4*STDEVP(終値!AA21:AT21)/AVERAGE(終値!AA21:AT21),""))</f>
      </c>
      <c r="Y21" s="684">
        <f>IF(終値!A21="","",IFERROR(4*STDEVP(終値!AB21:AU21)/AVERAGE(終値!AB21:AU21),""))</f>
      </c>
      <c r="Z21" s="684">
        <f>IF(終値!A21="","",IFERROR(4*STDEVP(終値!AC21:AV21)/AVERAGE(終値!AC21:AV21),""))</f>
      </c>
      <c r="AA21" s="684">
        <f>IF(終値!A21="","",IFERROR(4*STDEVP(終値!AD21:AW21)/AVERAGE(終値!AD21:AW21),""))</f>
      </c>
      <c r="AB21" s="684">
        <f>IF(終値!A21="","",IFERROR(4*STDEVP(終値!AE21:AX21)/AVERAGE(終値!AE21:AX21),""))</f>
      </c>
      <c r="AC21" s="684">
        <f>IF(終値!A21="","",IFERROR(4*STDEVP(終値!AF21:AY21)/AVERAGE(終値!AF21:AY21),""))</f>
      </c>
      <c r="AD21" s="684">
        <f>IF(終値!A21="","",IFERROR(4*STDEVP(終値!AG21:AZ21)/AVERAGE(終値!AG21:AZ21),""))</f>
      </c>
      <c r="AE21" s="684">
        <f>IF(終値!A21="","",IFERROR(4*STDEVP(終値!AH21:BA21)/AVERAGE(終値!AH21:BA21),""))</f>
      </c>
      <c r="AF21" s="684">
        <f>IF(終値!A21="","",IFERROR(4*STDEVP(終値!AI21:BB21)/AVERAGE(終値!AI21:BB21),""))</f>
      </c>
      <c r="AG21" s="684">
        <f>IF(終値!A21="","",IFERROR(4*STDEVP(終値!AJ21:BC21)/AVERAGE(終値!AJ21:BC21),""))</f>
      </c>
      <c r="AH21" s="684">
        <f>IF(終値!A21="","",IFERROR(4*STDEVP(終値!AK21:BD21)/AVERAGE(終値!AK21:BD21),""))</f>
      </c>
      <c r="AI21" s="684">
        <f>IF(終値!A21="","",IFERROR(4*STDEVP(終値!AL21:BE21)/AVERAGE(終値!AL21:BE21),""))</f>
      </c>
      <c r="AJ21" s="684">
        <f>IF(終値!A21="","",IFERROR(4*STDEVP(終値!AM21:BF21)/AVERAGE(終値!AM21:BF21),""))</f>
      </c>
      <c r="AK21" s="684">
        <f>IF(終値!A21="","",IFERROR(4*STDEVP(終値!AN21:BG21)/AVERAGE(終値!AN21:BG21),""))</f>
      </c>
      <c r="AL21" s="684">
        <f>IF(終値!A21="","",IFERROR(4*STDEVP(終値!AO21:BH21)/AVERAGE(終値!AO21:BH21),""))</f>
      </c>
      <c r="AM21" s="684">
        <f>IF(終値!A21="","",IFERROR(4*STDEVP(終値!AP21:BI21)/AVERAGE(終値!AP21:BI21),""))</f>
      </c>
      <c r="AN21" s="684">
        <f>IF(終値!A21="","",IFERROR(4*STDEVP(終値!AQ21:BJ21)/AVERAGE(終値!AQ21:BJ21),""))</f>
      </c>
      <c r="AO21" s="684">
        <f>IF(終値!A21="","",IFERROR(4*STDEVP(終値!AR21:BK21)/AVERAGE(終値!AR21:BK21),""))</f>
      </c>
      <c r="AP21" s="684">
        <f>IF(終値!A21="","",IFERROR(4*STDEVP(終値!AS21:BL21)/AVERAGE(終値!AS21:BL21),""))</f>
      </c>
    </row>
    <row r="22">
      <c r="A22" s="681">
        <f>IF(終値!A22="","",終値!A22)</f>
      </c>
      <c r="B22" s="684">
        <f>IF(終値!A22="","",IFERROR(4*STDEVP(終値!E22:X22)/AVERAGE(終値!E22:X22),""))</f>
      </c>
      <c r="C22" s="684">
        <f>IF(終値!A22="","",IFERROR(4*STDEVP(終値!F22:Y22)/AVERAGE(終値!F22:Y22),""))</f>
      </c>
      <c r="D22" s="684">
        <f>IF(終値!A22="","",IFERROR(4*STDEVP(終値!G22:Z22)/AVERAGE(終値!G22:Z22),""))</f>
      </c>
      <c r="E22" s="684">
        <f>IF(終値!A22="","",IFERROR(4*STDEVP(終値!H22:AA22)/AVERAGE(終値!H22:AA22),""))</f>
      </c>
      <c r="F22" s="684">
        <f>IF(終値!A22="","",IFERROR(4*STDEVP(終値!I22:AB22)/AVERAGE(終値!I22:AB22),""))</f>
      </c>
      <c r="G22" s="684">
        <f>IF(終値!A22="","",IFERROR(4*STDEVP(終値!J22:AC22)/AVERAGE(終値!J22:AC22),""))</f>
      </c>
      <c r="H22" s="684">
        <f>IF(終値!A22="","",IFERROR(4*STDEVP(終値!K22:AD22)/AVERAGE(終値!K22:AD22),""))</f>
      </c>
      <c r="I22" s="684">
        <f>IF(終値!A22="","",IFERROR(4*STDEVP(終値!L22:AE22)/AVERAGE(終値!L22:AE22),""))</f>
      </c>
      <c r="J22" s="684">
        <f>IF(終値!A22="","",IFERROR(4*STDEVP(終値!M22:AF22)/AVERAGE(終値!M22:AF22),""))</f>
      </c>
      <c r="K22" s="684">
        <f>IF(終値!A22="","",IFERROR(4*STDEVP(終値!N22:AG22)/AVERAGE(終値!N22:AG22),""))</f>
      </c>
      <c r="L22" s="684">
        <f>IF(終値!A22="","",IFERROR(4*STDEVP(終値!O22:AH22)/AVERAGE(終値!O22:AH22),""))</f>
      </c>
      <c r="M22" s="684">
        <f>IF(終値!A22="","",IFERROR(4*STDEVP(終値!P22:AI22)/AVERAGE(終値!P22:AI22),""))</f>
      </c>
      <c r="N22" s="684">
        <f>IF(終値!A22="","",IFERROR(4*STDEVP(終値!Q22:AJ22)/AVERAGE(終値!Q22:AJ22),""))</f>
      </c>
      <c r="O22" s="684">
        <f>IF(終値!A22="","",IFERROR(4*STDEVP(終値!R22:AK22)/AVERAGE(終値!R22:AK22),""))</f>
      </c>
      <c r="P22" s="684">
        <f>IF(終値!A22="","",IFERROR(4*STDEVP(終値!S22:AL22)/AVERAGE(終値!S22:AL22),""))</f>
      </c>
      <c r="Q22" s="684">
        <f>IF(終値!A22="","",IFERROR(4*STDEVP(終値!T22:AM22)/AVERAGE(終値!T22:AM22),""))</f>
      </c>
      <c r="R22" s="684">
        <f>IF(終値!A22="","",IFERROR(4*STDEVP(終値!U22:AN22)/AVERAGE(終値!U22:AN22),""))</f>
      </c>
      <c r="S22" s="684">
        <f>IF(終値!A22="","",IFERROR(4*STDEVP(終値!V22:AO22)/AVERAGE(終値!V22:AO22),""))</f>
      </c>
      <c r="T22" s="684">
        <f>IF(終値!A22="","",IFERROR(4*STDEVP(終値!W22:AP22)/AVERAGE(終値!W22:AP22),""))</f>
      </c>
      <c r="U22" s="684">
        <f>IF(終値!A22="","",IFERROR(4*STDEVP(終値!X22:AQ22)/AVERAGE(終値!X22:AQ22),""))</f>
      </c>
      <c r="V22" s="684">
        <f>IF(終値!A22="","",IFERROR(4*STDEVP(終値!Y22:AR22)/AVERAGE(終値!Y22:AR22),""))</f>
      </c>
      <c r="W22" s="684">
        <f>IF(終値!A22="","",IFERROR(4*STDEVP(終値!Z22:AS22)/AVERAGE(終値!Z22:AS22),""))</f>
      </c>
      <c r="X22" s="684">
        <f>IF(終値!A22="","",IFERROR(4*STDEVP(終値!AA22:AT22)/AVERAGE(終値!AA22:AT22),""))</f>
      </c>
      <c r="Y22" s="684">
        <f>IF(終値!A22="","",IFERROR(4*STDEVP(終値!AB22:AU22)/AVERAGE(終値!AB22:AU22),""))</f>
      </c>
      <c r="Z22" s="684">
        <f>IF(終値!A22="","",IFERROR(4*STDEVP(終値!AC22:AV22)/AVERAGE(終値!AC22:AV22),""))</f>
      </c>
      <c r="AA22" s="684">
        <f>IF(終値!A22="","",IFERROR(4*STDEVP(終値!AD22:AW22)/AVERAGE(終値!AD22:AW22),""))</f>
      </c>
      <c r="AB22" s="684">
        <f>IF(終値!A22="","",IFERROR(4*STDEVP(終値!AE22:AX22)/AVERAGE(終値!AE22:AX22),""))</f>
      </c>
      <c r="AC22" s="684">
        <f>IF(終値!A22="","",IFERROR(4*STDEVP(終値!AF22:AY22)/AVERAGE(終値!AF22:AY22),""))</f>
      </c>
      <c r="AD22" s="684">
        <f>IF(終値!A22="","",IFERROR(4*STDEVP(終値!AG22:AZ22)/AVERAGE(終値!AG22:AZ22),""))</f>
      </c>
      <c r="AE22" s="684">
        <f>IF(終値!A22="","",IFERROR(4*STDEVP(終値!AH22:BA22)/AVERAGE(終値!AH22:BA22),""))</f>
      </c>
      <c r="AF22" s="684">
        <f>IF(終値!A22="","",IFERROR(4*STDEVP(終値!AI22:BB22)/AVERAGE(終値!AI22:BB22),""))</f>
      </c>
      <c r="AG22" s="684">
        <f>IF(終値!A22="","",IFERROR(4*STDEVP(終値!AJ22:BC22)/AVERAGE(終値!AJ22:BC22),""))</f>
      </c>
      <c r="AH22" s="684">
        <f>IF(終値!A22="","",IFERROR(4*STDEVP(終値!AK22:BD22)/AVERAGE(終値!AK22:BD22),""))</f>
      </c>
      <c r="AI22" s="684">
        <f>IF(終値!A22="","",IFERROR(4*STDEVP(終値!AL22:BE22)/AVERAGE(終値!AL22:BE22),""))</f>
      </c>
      <c r="AJ22" s="684">
        <f>IF(終値!A22="","",IFERROR(4*STDEVP(終値!AM22:BF22)/AVERAGE(終値!AM22:BF22),""))</f>
      </c>
      <c r="AK22" s="684">
        <f>IF(終値!A22="","",IFERROR(4*STDEVP(終値!AN22:BG22)/AVERAGE(終値!AN22:BG22),""))</f>
      </c>
      <c r="AL22" s="684">
        <f>IF(終値!A22="","",IFERROR(4*STDEVP(終値!AO22:BH22)/AVERAGE(終値!AO22:BH22),""))</f>
      </c>
      <c r="AM22" s="684">
        <f>IF(終値!A22="","",IFERROR(4*STDEVP(終値!AP22:BI22)/AVERAGE(終値!AP22:BI22),""))</f>
      </c>
      <c r="AN22" s="684">
        <f>IF(終値!A22="","",IFERROR(4*STDEVP(終値!AQ22:BJ22)/AVERAGE(終値!AQ22:BJ22),""))</f>
      </c>
      <c r="AO22" s="684">
        <f>IF(終値!A22="","",IFERROR(4*STDEVP(終値!AR22:BK22)/AVERAGE(終値!AR22:BK22),""))</f>
      </c>
      <c r="AP22" s="684">
        <f>IF(終値!A22="","",IFERROR(4*STDEVP(終値!AS22:BL22)/AVERAGE(終値!AS22:BL22),""))</f>
      </c>
    </row>
    <row r="23">
      <c r="A23" s="681">
        <f>IF(終値!A23="","",終値!A23)</f>
      </c>
      <c r="B23" s="684">
        <f>IF(終値!A23="","",IFERROR(4*STDEVP(終値!E23:X23)/AVERAGE(終値!E23:X23),""))</f>
      </c>
      <c r="C23" s="684">
        <f>IF(終値!A23="","",IFERROR(4*STDEVP(終値!F23:Y23)/AVERAGE(終値!F23:Y23),""))</f>
      </c>
      <c r="D23" s="684">
        <f>IF(終値!A23="","",IFERROR(4*STDEVP(終値!G23:Z23)/AVERAGE(終値!G23:Z23),""))</f>
      </c>
      <c r="E23" s="684">
        <f>IF(終値!A23="","",IFERROR(4*STDEVP(終値!H23:AA23)/AVERAGE(終値!H23:AA23),""))</f>
      </c>
      <c r="F23" s="684">
        <f>IF(終値!A23="","",IFERROR(4*STDEVP(終値!I23:AB23)/AVERAGE(終値!I23:AB23),""))</f>
      </c>
      <c r="G23" s="684">
        <f>IF(終値!A23="","",IFERROR(4*STDEVP(終値!J23:AC23)/AVERAGE(終値!J23:AC23),""))</f>
      </c>
      <c r="H23" s="684">
        <f>IF(終値!A23="","",IFERROR(4*STDEVP(終値!K23:AD23)/AVERAGE(終値!K23:AD23),""))</f>
      </c>
      <c r="I23" s="684">
        <f>IF(終値!A23="","",IFERROR(4*STDEVP(終値!L23:AE23)/AVERAGE(終値!L23:AE23),""))</f>
      </c>
      <c r="J23" s="684">
        <f>IF(終値!A23="","",IFERROR(4*STDEVP(終値!M23:AF23)/AVERAGE(終値!M23:AF23),""))</f>
      </c>
      <c r="K23" s="684">
        <f>IF(終値!A23="","",IFERROR(4*STDEVP(終値!N23:AG23)/AVERAGE(終値!N23:AG23),""))</f>
      </c>
      <c r="L23" s="684">
        <f>IF(終値!A23="","",IFERROR(4*STDEVP(終値!O23:AH23)/AVERAGE(終値!O23:AH23),""))</f>
      </c>
      <c r="M23" s="684">
        <f>IF(終値!A23="","",IFERROR(4*STDEVP(終値!P23:AI23)/AVERAGE(終値!P23:AI23),""))</f>
      </c>
      <c r="N23" s="684">
        <f>IF(終値!A23="","",IFERROR(4*STDEVP(終値!Q23:AJ23)/AVERAGE(終値!Q23:AJ23),""))</f>
      </c>
      <c r="O23" s="684">
        <f>IF(終値!A23="","",IFERROR(4*STDEVP(終値!R23:AK23)/AVERAGE(終値!R23:AK23),""))</f>
      </c>
      <c r="P23" s="684">
        <f>IF(終値!A23="","",IFERROR(4*STDEVP(終値!S23:AL23)/AVERAGE(終値!S23:AL23),""))</f>
      </c>
      <c r="Q23" s="684">
        <f>IF(終値!A23="","",IFERROR(4*STDEVP(終値!T23:AM23)/AVERAGE(終値!T23:AM23),""))</f>
      </c>
      <c r="R23" s="684">
        <f>IF(終値!A23="","",IFERROR(4*STDEVP(終値!U23:AN23)/AVERAGE(終値!U23:AN23),""))</f>
      </c>
      <c r="S23" s="684">
        <f>IF(終値!A23="","",IFERROR(4*STDEVP(終値!V23:AO23)/AVERAGE(終値!V23:AO23),""))</f>
      </c>
      <c r="T23" s="684">
        <f>IF(終値!A23="","",IFERROR(4*STDEVP(終値!W23:AP23)/AVERAGE(終値!W23:AP23),""))</f>
      </c>
      <c r="U23" s="684">
        <f>IF(終値!A23="","",IFERROR(4*STDEVP(終値!X23:AQ23)/AVERAGE(終値!X23:AQ23),""))</f>
      </c>
      <c r="V23" s="684">
        <f>IF(終値!A23="","",IFERROR(4*STDEVP(終値!Y23:AR23)/AVERAGE(終値!Y23:AR23),""))</f>
      </c>
      <c r="W23" s="684">
        <f>IF(終値!A23="","",IFERROR(4*STDEVP(終値!Z23:AS23)/AVERAGE(終値!Z23:AS23),""))</f>
      </c>
      <c r="X23" s="684">
        <f>IF(終値!A23="","",IFERROR(4*STDEVP(終値!AA23:AT23)/AVERAGE(終値!AA23:AT23),""))</f>
      </c>
      <c r="Y23" s="684">
        <f>IF(終値!A23="","",IFERROR(4*STDEVP(終値!AB23:AU23)/AVERAGE(終値!AB23:AU23),""))</f>
      </c>
      <c r="Z23" s="684">
        <f>IF(終値!A23="","",IFERROR(4*STDEVP(終値!AC23:AV23)/AVERAGE(終値!AC23:AV23),""))</f>
      </c>
      <c r="AA23" s="684">
        <f>IF(終値!A23="","",IFERROR(4*STDEVP(終値!AD23:AW23)/AVERAGE(終値!AD23:AW23),""))</f>
      </c>
      <c r="AB23" s="684">
        <f>IF(終値!A23="","",IFERROR(4*STDEVP(終値!AE23:AX23)/AVERAGE(終値!AE23:AX23),""))</f>
      </c>
      <c r="AC23" s="684">
        <f>IF(終値!A23="","",IFERROR(4*STDEVP(終値!AF23:AY23)/AVERAGE(終値!AF23:AY23),""))</f>
      </c>
      <c r="AD23" s="684">
        <f>IF(終値!A23="","",IFERROR(4*STDEVP(終値!AG23:AZ23)/AVERAGE(終値!AG23:AZ23),""))</f>
      </c>
      <c r="AE23" s="684">
        <f>IF(終値!A23="","",IFERROR(4*STDEVP(終値!AH23:BA23)/AVERAGE(終値!AH23:BA23),""))</f>
      </c>
      <c r="AF23" s="684">
        <f>IF(終値!A23="","",IFERROR(4*STDEVP(終値!AI23:BB23)/AVERAGE(終値!AI23:BB23),""))</f>
      </c>
      <c r="AG23" s="684">
        <f>IF(終値!A23="","",IFERROR(4*STDEVP(終値!AJ23:BC23)/AVERAGE(終値!AJ23:BC23),""))</f>
      </c>
      <c r="AH23" s="684">
        <f>IF(終値!A23="","",IFERROR(4*STDEVP(終値!AK23:BD23)/AVERAGE(終値!AK23:BD23),""))</f>
      </c>
      <c r="AI23" s="684">
        <f>IF(終値!A23="","",IFERROR(4*STDEVP(終値!AL23:BE23)/AVERAGE(終値!AL23:BE23),""))</f>
      </c>
      <c r="AJ23" s="684">
        <f>IF(終値!A23="","",IFERROR(4*STDEVP(終値!AM23:BF23)/AVERAGE(終値!AM23:BF23),""))</f>
      </c>
      <c r="AK23" s="684">
        <f>IF(終値!A23="","",IFERROR(4*STDEVP(終値!AN23:BG23)/AVERAGE(終値!AN23:BG23),""))</f>
      </c>
      <c r="AL23" s="684">
        <f>IF(終値!A23="","",IFERROR(4*STDEVP(終値!AO23:BH23)/AVERAGE(終値!AO23:BH23),""))</f>
      </c>
      <c r="AM23" s="684">
        <f>IF(終値!A23="","",IFERROR(4*STDEVP(終値!AP23:BI23)/AVERAGE(終値!AP23:BI23),""))</f>
      </c>
      <c r="AN23" s="684">
        <f>IF(終値!A23="","",IFERROR(4*STDEVP(終値!AQ23:BJ23)/AVERAGE(終値!AQ23:BJ23),""))</f>
      </c>
      <c r="AO23" s="684">
        <f>IF(終値!A23="","",IFERROR(4*STDEVP(終値!AR23:BK23)/AVERAGE(終値!AR23:BK23),""))</f>
      </c>
      <c r="AP23" s="684">
        <f>IF(終値!A23="","",IFERROR(4*STDEVP(終値!AS23:BL23)/AVERAGE(終値!AS23:BL23),""))</f>
      </c>
    </row>
    <row r="24">
      <c r="A24" s="681">
        <f>IF(終値!A24="","",終値!A24)</f>
      </c>
      <c r="B24" s="684">
        <f>IF(終値!A24="","",IFERROR(4*STDEVP(終値!E24:X24)/AVERAGE(終値!E24:X24),""))</f>
      </c>
      <c r="C24" s="684">
        <f>IF(終値!A24="","",IFERROR(4*STDEVP(終値!F24:Y24)/AVERAGE(終値!F24:Y24),""))</f>
      </c>
      <c r="D24" s="684">
        <f>IF(終値!A24="","",IFERROR(4*STDEVP(終値!G24:Z24)/AVERAGE(終値!G24:Z24),""))</f>
      </c>
      <c r="E24" s="684">
        <f>IF(終値!A24="","",IFERROR(4*STDEVP(終値!H24:AA24)/AVERAGE(終値!H24:AA24),""))</f>
      </c>
      <c r="F24" s="684">
        <f>IF(終値!A24="","",IFERROR(4*STDEVP(終値!I24:AB24)/AVERAGE(終値!I24:AB24),""))</f>
      </c>
      <c r="G24" s="684">
        <f>IF(終値!A24="","",IFERROR(4*STDEVP(終値!J24:AC24)/AVERAGE(終値!J24:AC24),""))</f>
      </c>
      <c r="H24" s="684">
        <f>IF(終値!A24="","",IFERROR(4*STDEVP(終値!K24:AD24)/AVERAGE(終値!K24:AD24),""))</f>
      </c>
      <c r="I24" s="684">
        <f>IF(終値!A24="","",IFERROR(4*STDEVP(終値!L24:AE24)/AVERAGE(終値!L24:AE24),""))</f>
      </c>
      <c r="J24" s="684">
        <f>IF(終値!A24="","",IFERROR(4*STDEVP(終値!M24:AF24)/AVERAGE(終値!M24:AF24),""))</f>
      </c>
      <c r="K24" s="684">
        <f>IF(終値!A24="","",IFERROR(4*STDEVP(終値!N24:AG24)/AVERAGE(終値!N24:AG24),""))</f>
      </c>
      <c r="L24" s="684">
        <f>IF(終値!A24="","",IFERROR(4*STDEVP(終値!O24:AH24)/AVERAGE(終値!O24:AH24),""))</f>
      </c>
      <c r="M24" s="684">
        <f>IF(終値!A24="","",IFERROR(4*STDEVP(終値!P24:AI24)/AVERAGE(終値!P24:AI24),""))</f>
      </c>
      <c r="N24" s="684">
        <f>IF(終値!A24="","",IFERROR(4*STDEVP(終値!Q24:AJ24)/AVERAGE(終値!Q24:AJ24),""))</f>
      </c>
      <c r="O24" s="684">
        <f>IF(終値!A24="","",IFERROR(4*STDEVP(終値!R24:AK24)/AVERAGE(終値!R24:AK24),""))</f>
      </c>
      <c r="P24" s="684">
        <f>IF(終値!A24="","",IFERROR(4*STDEVP(終値!S24:AL24)/AVERAGE(終値!S24:AL24),""))</f>
      </c>
      <c r="Q24" s="684">
        <f>IF(終値!A24="","",IFERROR(4*STDEVP(終値!T24:AM24)/AVERAGE(終値!T24:AM24),""))</f>
      </c>
      <c r="R24" s="684">
        <f>IF(終値!A24="","",IFERROR(4*STDEVP(終値!U24:AN24)/AVERAGE(終値!U24:AN24),""))</f>
      </c>
      <c r="S24" s="684">
        <f>IF(終値!A24="","",IFERROR(4*STDEVP(終値!V24:AO24)/AVERAGE(終値!V24:AO24),""))</f>
      </c>
      <c r="T24" s="684">
        <f>IF(終値!A24="","",IFERROR(4*STDEVP(終値!W24:AP24)/AVERAGE(終値!W24:AP24),""))</f>
      </c>
      <c r="U24" s="684">
        <f>IF(終値!A24="","",IFERROR(4*STDEVP(終値!X24:AQ24)/AVERAGE(終値!X24:AQ24),""))</f>
      </c>
      <c r="V24" s="684">
        <f>IF(終値!A24="","",IFERROR(4*STDEVP(終値!Y24:AR24)/AVERAGE(終値!Y24:AR24),""))</f>
      </c>
      <c r="W24" s="684">
        <f>IF(終値!A24="","",IFERROR(4*STDEVP(終値!Z24:AS24)/AVERAGE(終値!Z24:AS24),""))</f>
      </c>
      <c r="X24" s="684">
        <f>IF(終値!A24="","",IFERROR(4*STDEVP(終値!AA24:AT24)/AVERAGE(終値!AA24:AT24),""))</f>
      </c>
      <c r="Y24" s="684">
        <f>IF(終値!A24="","",IFERROR(4*STDEVP(終値!AB24:AU24)/AVERAGE(終値!AB24:AU24),""))</f>
      </c>
      <c r="Z24" s="684">
        <f>IF(終値!A24="","",IFERROR(4*STDEVP(終値!AC24:AV24)/AVERAGE(終値!AC24:AV24),""))</f>
      </c>
      <c r="AA24" s="684">
        <f>IF(終値!A24="","",IFERROR(4*STDEVP(終値!AD24:AW24)/AVERAGE(終値!AD24:AW24),""))</f>
      </c>
      <c r="AB24" s="684">
        <f>IF(終値!A24="","",IFERROR(4*STDEVP(終値!AE24:AX24)/AVERAGE(終値!AE24:AX24),""))</f>
      </c>
      <c r="AC24" s="684">
        <f>IF(終値!A24="","",IFERROR(4*STDEVP(終値!AF24:AY24)/AVERAGE(終値!AF24:AY24),""))</f>
      </c>
      <c r="AD24" s="684">
        <f>IF(終値!A24="","",IFERROR(4*STDEVP(終値!AG24:AZ24)/AVERAGE(終値!AG24:AZ24),""))</f>
      </c>
      <c r="AE24" s="684">
        <f>IF(終値!A24="","",IFERROR(4*STDEVP(終値!AH24:BA24)/AVERAGE(終値!AH24:BA24),""))</f>
      </c>
      <c r="AF24" s="684">
        <f>IF(終値!A24="","",IFERROR(4*STDEVP(終値!AI24:BB24)/AVERAGE(終値!AI24:BB24),""))</f>
      </c>
      <c r="AG24" s="684">
        <f>IF(終値!A24="","",IFERROR(4*STDEVP(終値!AJ24:BC24)/AVERAGE(終値!AJ24:BC24),""))</f>
      </c>
      <c r="AH24" s="684">
        <f>IF(終値!A24="","",IFERROR(4*STDEVP(終値!AK24:BD24)/AVERAGE(終値!AK24:BD24),""))</f>
      </c>
      <c r="AI24" s="684">
        <f>IF(終値!A24="","",IFERROR(4*STDEVP(終値!AL24:BE24)/AVERAGE(終値!AL24:BE24),""))</f>
      </c>
      <c r="AJ24" s="684">
        <f>IF(終値!A24="","",IFERROR(4*STDEVP(終値!AM24:BF24)/AVERAGE(終値!AM24:BF24),""))</f>
      </c>
      <c r="AK24" s="684">
        <f>IF(終値!A24="","",IFERROR(4*STDEVP(終値!AN24:BG24)/AVERAGE(終値!AN24:BG24),""))</f>
      </c>
      <c r="AL24" s="684">
        <f>IF(終値!A24="","",IFERROR(4*STDEVP(終値!AO24:BH24)/AVERAGE(終値!AO24:BH24),""))</f>
      </c>
      <c r="AM24" s="684">
        <f>IF(終値!A24="","",IFERROR(4*STDEVP(終値!AP24:BI24)/AVERAGE(終値!AP24:BI24),""))</f>
      </c>
      <c r="AN24" s="684">
        <f>IF(終値!A24="","",IFERROR(4*STDEVP(終値!AQ24:BJ24)/AVERAGE(終値!AQ24:BJ24),""))</f>
      </c>
      <c r="AO24" s="684">
        <f>IF(終値!A24="","",IFERROR(4*STDEVP(終値!AR24:BK24)/AVERAGE(終値!AR24:BK24),""))</f>
      </c>
      <c r="AP24" s="684">
        <f>IF(終値!A24="","",IFERROR(4*STDEVP(終値!AS24:BL24)/AVERAGE(終値!AS24:BL24),""))</f>
      </c>
    </row>
    <row r="25">
      <c r="A25" s="681">
        <f>IF(終値!A25="","",終値!A25)</f>
      </c>
      <c r="B25" s="684">
        <f>IF(終値!A25="","",IFERROR(4*STDEVP(終値!E25:X25)/AVERAGE(終値!E25:X25),""))</f>
      </c>
      <c r="C25" s="684">
        <f>IF(終値!A25="","",IFERROR(4*STDEVP(終値!F25:Y25)/AVERAGE(終値!F25:Y25),""))</f>
      </c>
      <c r="D25" s="684">
        <f>IF(終値!A25="","",IFERROR(4*STDEVP(終値!G25:Z25)/AVERAGE(終値!G25:Z25),""))</f>
      </c>
      <c r="E25" s="684">
        <f>IF(終値!A25="","",IFERROR(4*STDEVP(終値!H25:AA25)/AVERAGE(終値!H25:AA25),""))</f>
      </c>
      <c r="F25" s="684">
        <f>IF(終値!A25="","",IFERROR(4*STDEVP(終値!I25:AB25)/AVERAGE(終値!I25:AB25),""))</f>
      </c>
      <c r="G25" s="684">
        <f>IF(終値!A25="","",IFERROR(4*STDEVP(終値!J25:AC25)/AVERAGE(終値!J25:AC25),""))</f>
      </c>
      <c r="H25" s="684">
        <f>IF(終値!A25="","",IFERROR(4*STDEVP(終値!K25:AD25)/AVERAGE(終値!K25:AD25),""))</f>
      </c>
      <c r="I25" s="684">
        <f>IF(終値!A25="","",IFERROR(4*STDEVP(終値!L25:AE25)/AVERAGE(終値!L25:AE25),""))</f>
      </c>
      <c r="J25" s="684">
        <f>IF(終値!A25="","",IFERROR(4*STDEVP(終値!M25:AF25)/AVERAGE(終値!M25:AF25),""))</f>
      </c>
      <c r="K25" s="684">
        <f>IF(終値!A25="","",IFERROR(4*STDEVP(終値!N25:AG25)/AVERAGE(終値!N25:AG25),""))</f>
      </c>
      <c r="L25" s="684">
        <f>IF(終値!A25="","",IFERROR(4*STDEVP(終値!O25:AH25)/AVERAGE(終値!O25:AH25),""))</f>
      </c>
      <c r="M25" s="684">
        <f>IF(終値!A25="","",IFERROR(4*STDEVP(終値!P25:AI25)/AVERAGE(終値!P25:AI25),""))</f>
      </c>
      <c r="N25" s="684">
        <f>IF(終値!A25="","",IFERROR(4*STDEVP(終値!Q25:AJ25)/AVERAGE(終値!Q25:AJ25),""))</f>
      </c>
      <c r="O25" s="684">
        <f>IF(終値!A25="","",IFERROR(4*STDEVP(終値!R25:AK25)/AVERAGE(終値!R25:AK25),""))</f>
      </c>
      <c r="P25" s="684">
        <f>IF(終値!A25="","",IFERROR(4*STDEVP(終値!S25:AL25)/AVERAGE(終値!S25:AL25),""))</f>
      </c>
      <c r="Q25" s="684">
        <f>IF(終値!A25="","",IFERROR(4*STDEVP(終値!T25:AM25)/AVERAGE(終値!T25:AM25),""))</f>
      </c>
      <c r="R25" s="684">
        <f>IF(終値!A25="","",IFERROR(4*STDEVP(終値!U25:AN25)/AVERAGE(終値!U25:AN25),""))</f>
      </c>
      <c r="S25" s="684">
        <f>IF(終値!A25="","",IFERROR(4*STDEVP(終値!V25:AO25)/AVERAGE(終値!V25:AO25),""))</f>
      </c>
      <c r="T25" s="684">
        <f>IF(終値!A25="","",IFERROR(4*STDEVP(終値!W25:AP25)/AVERAGE(終値!W25:AP25),""))</f>
      </c>
      <c r="U25" s="684">
        <f>IF(終値!A25="","",IFERROR(4*STDEVP(終値!X25:AQ25)/AVERAGE(終値!X25:AQ25),""))</f>
      </c>
      <c r="V25" s="684">
        <f>IF(終値!A25="","",IFERROR(4*STDEVP(終値!Y25:AR25)/AVERAGE(終値!Y25:AR25),""))</f>
      </c>
      <c r="W25" s="684">
        <f>IF(終値!A25="","",IFERROR(4*STDEVP(終値!Z25:AS25)/AVERAGE(終値!Z25:AS25),""))</f>
      </c>
      <c r="X25" s="684">
        <f>IF(終値!A25="","",IFERROR(4*STDEVP(終値!AA25:AT25)/AVERAGE(終値!AA25:AT25),""))</f>
      </c>
      <c r="Y25" s="684">
        <f>IF(終値!A25="","",IFERROR(4*STDEVP(終値!AB25:AU25)/AVERAGE(終値!AB25:AU25),""))</f>
      </c>
      <c r="Z25" s="684">
        <f>IF(終値!A25="","",IFERROR(4*STDEVP(終値!AC25:AV25)/AVERAGE(終値!AC25:AV25),""))</f>
      </c>
      <c r="AA25" s="684">
        <f>IF(終値!A25="","",IFERROR(4*STDEVP(終値!AD25:AW25)/AVERAGE(終値!AD25:AW25),""))</f>
      </c>
      <c r="AB25" s="684">
        <f>IF(終値!A25="","",IFERROR(4*STDEVP(終値!AE25:AX25)/AVERAGE(終値!AE25:AX25),""))</f>
      </c>
      <c r="AC25" s="684">
        <f>IF(終値!A25="","",IFERROR(4*STDEVP(終値!AF25:AY25)/AVERAGE(終値!AF25:AY25),""))</f>
      </c>
      <c r="AD25" s="684">
        <f>IF(終値!A25="","",IFERROR(4*STDEVP(終値!AG25:AZ25)/AVERAGE(終値!AG25:AZ25),""))</f>
      </c>
      <c r="AE25" s="684">
        <f>IF(終値!A25="","",IFERROR(4*STDEVP(終値!AH25:BA25)/AVERAGE(終値!AH25:BA25),""))</f>
      </c>
      <c r="AF25" s="684">
        <f>IF(終値!A25="","",IFERROR(4*STDEVP(終値!AI25:BB25)/AVERAGE(終値!AI25:BB25),""))</f>
      </c>
      <c r="AG25" s="684">
        <f>IF(終値!A25="","",IFERROR(4*STDEVP(終値!AJ25:BC25)/AVERAGE(終値!AJ25:BC25),""))</f>
      </c>
      <c r="AH25" s="684">
        <f>IF(終値!A25="","",IFERROR(4*STDEVP(終値!AK25:BD25)/AVERAGE(終値!AK25:BD25),""))</f>
      </c>
      <c r="AI25" s="684">
        <f>IF(終値!A25="","",IFERROR(4*STDEVP(終値!AL25:BE25)/AVERAGE(終値!AL25:BE25),""))</f>
      </c>
      <c r="AJ25" s="684">
        <f>IF(終値!A25="","",IFERROR(4*STDEVP(終値!AM25:BF25)/AVERAGE(終値!AM25:BF25),""))</f>
      </c>
      <c r="AK25" s="684">
        <f>IF(終値!A25="","",IFERROR(4*STDEVP(終値!AN25:BG25)/AVERAGE(終値!AN25:BG25),""))</f>
      </c>
      <c r="AL25" s="684">
        <f>IF(終値!A25="","",IFERROR(4*STDEVP(終値!AO25:BH25)/AVERAGE(終値!AO25:BH25),""))</f>
      </c>
      <c r="AM25" s="684">
        <f>IF(終値!A25="","",IFERROR(4*STDEVP(終値!AP25:BI25)/AVERAGE(終値!AP25:BI25),""))</f>
      </c>
      <c r="AN25" s="684">
        <f>IF(終値!A25="","",IFERROR(4*STDEVP(終値!AQ25:BJ25)/AVERAGE(終値!AQ25:BJ25),""))</f>
      </c>
      <c r="AO25" s="684">
        <f>IF(終値!A25="","",IFERROR(4*STDEVP(終値!AR25:BK25)/AVERAGE(終値!AR25:BK25),""))</f>
      </c>
      <c r="AP25" s="684">
        <f>IF(終値!A25="","",IFERROR(4*STDEVP(終値!AS25:BL25)/AVERAGE(終値!AS25:BL25),""))</f>
      </c>
    </row>
    <row r="26">
      <c r="A26" s="681">
        <f>IF(終値!A26="","",終値!A26)</f>
      </c>
      <c r="B26" s="684">
        <f>IF(終値!A26="","",IFERROR(4*STDEVP(終値!E26:X26)/AVERAGE(終値!E26:X26),""))</f>
      </c>
      <c r="C26" s="684">
        <f>IF(終値!A26="","",IFERROR(4*STDEVP(終値!F26:Y26)/AVERAGE(終値!F26:Y26),""))</f>
      </c>
      <c r="D26" s="684">
        <f>IF(終値!A26="","",IFERROR(4*STDEVP(終値!G26:Z26)/AVERAGE(終値!G26:Z26),""))</f>
      </c>
      <c r="E26" s="684">
        <f>IF(終値!A26="","",IFERROR(4*STDEVP(終値!H26:AA26)/AVERAGE(終値!H26:AA26),""))</f>
      </c>
      <c r="F26" s="684">
        <f>IF(終値!A26="","",IFERROR(4*STDEVP(終値!I26:AB26)/AVERAGE(終値!I26:AB26),""))</f>
      </c>
      <c r="G26" s="684">
        <f>IF(終値!A26="","",IFERROR(4*STDEVP(終値!J26:AC26)/AVERAGE(終値!J26:AC26),""))</f>
      </c>
      <c r="H26" s="684">
        <f>IF(終値!A26="","",IFERROR(4*STDEVP(終値!K26:AD26)/AVERAGE(終値!K26:AD26),""))</f>
      </c>
      <c r="I26" s="684">
        <f>IF(終値!A26="","",IFERROR(4*STDEVP(終値!L26:AE26)/AVERAGE(終値!L26:AE26),""))</f>
      </c>
      <c r="J26" s="684">
        <f>IF(終値!A26="","",IFERROR(4*STDEVP(終値!M26:AF26)/AVERAGE(終値!M26:AF26),""))</f>
      </c>
      <c r="K26" s="684">
        <f>IF(終値!A26="","",IFERROR(4*STDEVP(終値!N26:AG26)/AVERAGE(終値!N26:AG26),""))</f>
      </c>
      <c r="L26" s="684">
        <f>IF(終値!A26="","",IFERROR(4*STDEVP(終値!O26:AH26)/AVERAGE(終値!O26:AH26),""))</f>
      </c>
      <c r="M26" s="684">
        <f>IF(終値!A26="","",IFERROR(4*STDEVP(終値!P26:AI26)/AVERAGE(終値!P26:AI26),""))</f>
      </c>
      <c r="N26" s="684">
        <f>IF(終値!A26="","",IFERROR(4*STDEVP(終値!Q26:AJ26)/AVERAGE(終値!Q26:AJ26),""))</f>
      </c>
      <c r="O26" s="684">
        <f>IF(終値!A26="","",IFERROR(4*STDEVP(終値!R26:AK26)/AVERAGE(終値!R26:AK26),""))</f>
      </c>
      <c r="P26" s="684">
        <f>IF(終値!A26="","",IFERROR(4*STDEVP(終値!S26:AL26)/AVERAGE(終値!S26:AL26),""))</f>
      </c>
      <c r="Q26" s="684">
        <f>IF(終値!A26="","",IFERROR(4*STDEVP(終値!T26:AM26)/AVERAGE(終値!T26:AM26),""))</f>
      </c>
      <c r="R26" s="684">
        <f>IF(終値!A26="","",IFERROR(4*STDEVP(終値!U26:AN26)/AVERAGE(終値!U26:AN26),""))</f>
      </c>
      <c r="S26" s="684">
        <f>IF(終値!A26="","",IFERROR(4*STDEVP(終値!V26:AO26)/AVERAGE(終値!V26:AO26),""))</f>
      </c>
      <c r="T26" s="684">
        <f>IF(終値!A26="","",IFERROR(4*STDEVP(終値!W26:AP26)/AVERAGE(終値!W26:AP26),""))</f>
      </c>
      <c r="U26" s="684">
        <f>IF(終値!A26="","",IFERROR(4*STDEVP(終値!X26:AQ26)/AVERAGE(終値!X26:AQ26),""))</f>
      </c>
      <c r="V26" s="684">
        <f>IF(終値!A26="","",IFERROR(4*STDEVP(終値!Y26:AR26)/AVERAGE(終値!Y26:AR26),""))</f>
      </c>
      <c r="W26" s="684">
        <f>IF(終値!A26="","",IFERROR(4*STDEVP(終値!Z26:AS26)/AVERAGE(終値!Z26:AS26),""))</f>
      </c>
      <c r="X26" s="684">
        <f>IF(終値!A26="","",IFERROR(4*STDEVP(終値!AA26:AT26)/AVERAGE(終値!AA26:AT26),""))</f>
      </c>
      <c r="Y26" s="684">
        <f>IF(終値!A26="","",IFERROR(4*STDEVP(終値!AB26:AU26)/AVERAGE(終値!AB26:AU26),""))</f>
      </c>
      <c r="Z26" s="684">
        <f>IF(終値!A26="","",IFERROR(4*STDEVP(終値!AC26:AV26)/AVERAGE(終値!AC26:AV26),""))</f>
      </c>
      <c r="AA26" s="684">
        <f>IF(終値!A26="","",IFERROR(4*STDEVP(終値!AD26:AW26)/AVERAGE(終値!AD26:AW26),""))</f>
      </c>
      <c r="AB26" s="684">
        <f>IF(終値!A26="","",IFERROR(4*STDEVP(終値!AE26:AX26)/AVERAGE(終値!AE26:AX26),""))</f>
      </c>
      <c r="AC26" s="684">
        <f>IF(終値!A26="","",IFERROR(4*STDEVP(終値!AF26:AY26)/AVERAGE(終値!AF26:AY26),""))</f>
      </c>
      <c r="AD26" s="684">
        <f>IF(終値!A26="","",IFERROR(4*STDEVP(終値!AG26:AZ26)/AVERAGE(終値!AG26:AZ26),""))</f>
      </c>
      <c r="AE26" s="684">
        <f>IF(終値!A26="","",IFERROR(4*STDEVP(終値!AH26:BA26)/AVERAGE(終値!AH26:BA26),""))</f>
      </c>
      <c r="AF26" s="684">
        <f>IF(終値!A26="","",IFERROR(4*STDEVP(終値!AI26:BB26)/AVERAGE(終値!AI26:BB26),""))</f>
      </c>
      <c r="AG26" s="684">
        <f>IF(終値!A26="","",IFERROR(4*STDEVP(終値!AJ26:BC26)/AVERAGE(終値!AJ26:BC26),""))</f>
      </c>
      <c r="AH26" s="684">
        <f>IF(終値!A26="","",IFERROR(4*STDEVP(終値!AK26:BD26)/AVERAGE(終値!AK26:BD26),""))</f>
      </c>
      <c r="AI26" s="684">
        <f>IF(終値!A26="","",IFERROR(4*STDEVP(終値!AL26:BE26)/AVERAGE(終値!AL26:BE26),""))</f>
      </c>
      <c r="AJ26" s="684">
        <f>IF(終値!A26="","",IFERROR(4*STDEVP(終値!AM26:BF26)/AVERAGE(終値!AM26:BF26),""))</f>
      </c>
      <c r="AK26" s="684">
        <f>IF(終値!A26="","",IFERROR(4*STDEVP(終値!AN26:BG26)/AVERAGE(終値!AN26:BG26),""))</f>
      </c>
      <c r="AL26" s="684">
        <f>IF(終値!A26="","",IFERROR(4*STDEVP(終値!AO26:BH26)/AVERAGE(終値!AO26:BH26),""))</f>
      </c>
      <c r="AM26" s="684">
        <f>IF(終値!A26="","",IFERROR(4*STDEVP(終値!AP26:BI26)/AVERAGE(終値!AP26:BI26),""))</f>
      </c>
      <c r="AN26" s="684">
        <f>IF(終値!A26="","",IFERROR(4*STDEVP(終値!AQ26:BJ26)/AVERAGE(終値!AQ26:BJ26),""))</f>
      </c>
      <c r="AO26" s="684">
        <f>IF(終値!A26="","",IFERROR(4*STDEVP(終値!AR26:BK26)/AVERAGE(終値!AR26:BK26),""))</f>
      </c>
      <c r="AP26" s="684">
        <f>IF(終値!A26="","",IFERROR(4*STDEVP(終値!AS26:BL26)/AVERAGE(終値!AS26:BL26),""))</f>
      </c>
    </row>
    <row r="27">
      <c r="A27" s="681">
        <f>IF(終値!A27="","",終値!A27)</f>
      </c>
      <c r="B27" s="684">
        <f>IF(終値!A27="","",IFERROR(4*STDEVP(終値!E27:X27)/AVERAGE(終値!E27:X27),""))</f>
      </c>
      <c r="C27" s="684">
        <f>IF(終値!A27="","",IFERROR(4*STDEVP(終値!F27:Y27)/AVERAGE(終値!F27:Y27),""))</f>
      </c>
      <c r="D27" s="684">
        <f>IF(終値!A27="","",IFERROR(4*STDEVP(終値!G27:Z27)/AVERAGE(終値!G27:Z27),""))</f>
      </c>
      <c r="E27" s="684">
        <f>IF(終値!A27="","",IFERROR(4*STDEVP(終値!H27:AA27)/AVERAGE(終値!H27:AA27),""))</f>
      </c>
      <c r="F27" s="684">
        <f>IF(終値!A27="","",IFERROR(4*STDEVP(終値!I27:AB27)/AVERAGE(終値!I27:AB27),""))</f>
      </c>
      <c r="G27" s="684">
        <f>IF(終値!A27="","",IFERROR(4*STDEVP(終値!J27:AC27)/AVERAGE(終値!J27:AC27),""))</f>
      </c>
      <c r="H27" s="684">
        <f>IF(終値!A27="","",IFERROR(4*STDEVP(終値!K27:AD27)/AVERAGE(終値!K27:AD27),""))</f>
      </c>
      <c r="I27" s="684">
        <f>IF(終値!A27="","",IFERROR(4*STDEVP(終値!L27:AE27)/AVERAGE(終値!L27:AE27),""))</f>
      </c>
      <c r="J27" s="684">
        <f>IF(終値!A27="","",IFERROR(4*STDEVP(終値!M27:AF27)/AVERAGE(終値!M27:AF27),""))</f>
      </c>
      <c r="K27" s="684">
        <f>IF(終値!A27="","",IFERROR(4*STDEVP(終値!N27:AG27)/AVERAGE(終値!N27:AG27),""))</f>
      </c>
      <c r="L27" s="684">
        <f>IF(終値!A27="","",IFERROR(4*STDEVP(終値!O27:AH27)/AVERAGE(終値!O27:AH27),""))</f>
      </c>
      <c r="M27" s="684">
        <f>IF(終値!A27="","",IFERROR(4*STDEVP(終値!P27:AI27)/AVERAGE(終値!P27:AI27),""))</f>
      </c>
      <c r="N27" s="684">
        <f>IF(終値!A27="","",IFERROR(4*STDEVP(終値!Q27:AJ27)/AVERAGE(終値!Q27:AJ27),""))</f>
      </c>
      <c r="O27" s="684">
        <f>IF(終値!A27="","",IFERROR(4*STDEVP(終値!R27:AK27)/AVERAGE(終値!R27:AK27),""))</f>
      </c>
      <c r="P27" s="684">
        <f>IF(終値!A27="","",IFERROR(4*STDEVP(終値!S27:AL27)/AVERAGE(終値!S27:AL27),""))</f>
      </c>
      <c r="Q27" s="684">
        <f>IF(終値!A27="","",IFERROR(4*STDEVP(終値!T27:AM27)/AVERAGE(終値!T27:AM27),""))</f>
      </c>
      <c r="R27" s="684">
        <f>IF(終値!A27="","",IFERROR(4*STDEVP(終値!U27:AN27)/AVERAGE(終値!U27:AN27),""))</f>
      </c>
      <c r="S27" s="684">
        <f>IF(終値!A27="","",IFERROR(4*STDEVP(終値!V27:AO27)/AVERAGE(終値!V27:AO27),""))</f>
      </c>
      <c r="T27" s="684">
        <f>IF(終値!A27="","",IFERROR(4*STDEVP(終値!W27:AP27)/AVERAGE(終値!W27:AP27),""))</f>
      </c>
      <c r="U27" s="684">
        <f>IF(終値!A27="","",IFERROR(4*STDEVP(終値!X27:AQ27)/AVERAGE(終値!X27:AQ27),""))</f>
      </c>
      <c r="V27" s="684">
        <f>IF(終値!A27="","",IFERROR(4*STDEVP(終値!Y27:AR27)/AVERAGE(終値!Y27:AR27),""))</f>
      </c>
      <c r="W27" s="684">
        <f>IF(終値!A27="","",IFERROR(4*STDEVP(終値!Z27:AS27)/AVERAGE(終値!Z27:AS27),""))</f>
      </c>
      <c r="X27" s="684">
        <f>IF(終値!A27="","",IFERROR(4*STDEVP(終値!AA27:AT27)/AVERAGE(終値!AA27:AT27),""))</f>
      </c>
      <c r="Y27" s="684">
        <f>IF(終値!A27="","",IFERROR(4*STDEVP(終値!AB27:AU27)/AVERAGE(終値!AB27:AU27),""))</f>
      </c>
      <c r="Z27" s="684">
        <f>IF(終値!A27="","",IFERROR(4*STDEVP(終値!AC27:AV27)/AVERAGE(終値!AC27:AV27),""))</f>
      </c>
      <c r="AA27" s="684">
        <f>IF(終値!A27="","",IFERROR(4*STDEVP(終値!AD27:AW27)/AVERAGE(終値!AD27:AW27),""))</f>
      </c>
      <c r="AB27" s="684">
        <f>IF(終値!A27="","",IFERROR(4*STDEVP(終値!AE27:AX27)/AVERAGE(終値!AE27:AX27),""))</f>
      </c>
      <c r="AC27" s="684">
        <f>IF(終値!A27="","",IFERROR(4*STDEVP(終値!AF27:AY27)/AVERAGE(終値!AF27:AY27),""))</f>
      </c>
      <c r="AD27" s="684">
        <f>IF(終値!A27="","",IFERROR(4*STDEVP(終値!AG27:AZ27)/AVERAGE(終値!AG27:AZ27),""))</f>
      </c>
      <c r="AE27" s="684">
        <f>IF(終値!A27="","",IFERROR(4*STDEVP(終値!AH27:BA27)/AVERAGE(終値!AH27:BA27),""))</f>
      </c>
      <c r="AF27" s="684">
        <f>IF(終値!A27="","",IFERROR(4*STDEVP(終値!AI27:BB27)/AVERAGE(終値!AI27:BB27),""))</f>
      </c>
      <c r="AG27" s="684">
        <f>IF(終値!A27="","",IFERROR(4*STDEVP(終値!AJ27:BC27)/AVERAGE(終値!AJ27:BC27),""))</f>
      </c>
      <c r="AH27" s="684">
        <f>IF(終値!A27="","",IFERROR(4*STDEVP(終値!AK27:BD27)/AVERAGE(終値!AK27:BD27),""))</f>
      </c>
      <c r="AI27" s="684">
        <f>IF(終値!A27="","",IFERROR(4*STDEVP(終値!AL27:BE27)/AVERAGE(終値!AL27:BE27),""))</f>
      </c>
      <c r="AJ27" s="684">
        <f>IF(終値!A27="","",IFERROR(4*STDEVP(終値!AM27:BF27)/AVERAGE(終値!AM27:BF27),""))</f>
      </c>
      <c r="AK27" s="684">
        <f>IF(終値!A27="","",IFERROR(4*STDEVP(終値!AN27:BG27)/AVERAGE(終値!AN27:BG27),""))</f>
      </c>
      <c r="AL27" s="684">
        <f>IF(終値!A27="","",IFERROR(4*STDEVP(終値!AO27:BH27)/AVERAGE(終値!AO27:BH27),""))</f>
      </c>
      <c r="AM27" s="684">
        <f>IF(終値!A27="","",IFERROR(4*STDEVP(終値!AP27:BI27)/AVERAGE(終値!AP27:BI27),""))</f>
      </c>
      <c r="AN27" s="684">
        <f>IF(終値!A27="","",IFERROR(4*STDEVP(終値!AQ27:BJ27)/AVERAGE(終値!AQ27:BJ27),""))</f>
      </c>
      <c r="AO27" s="684">
        <f>IF(終値!A27="","",IFERROR(4*STDEVP(終値!AR27:BK27)/AVERAGE(終値!AR27:BK27),""))</f>
      </c>
      <c r="AP27" s="684">
        <f>IF(終値!A27="","",IFERROR(4*STDEVP(終値!AS27:BL27)/AVERAGE(終値!AS27:BL27),""))</f>
      </c>
    </row>
    <row r="28">
      <c r="A28" s="681">
        <f>IF(終値!A28="","",終値!A28)</f>
      </c>
      <c r="B28" s="684">
        <f>IF(終値!A28="","",IFERROR(4*STDEVP(終値!E28:X28)/AVERAGE(終値!E28:X28),""))</f>
      </c>
      <c r="C28" s="684">
        <f>IF(終値!A28="","",IFERROR(4*STDEVP(終値!F28:Y28)/AVERAGE(終値!F28:Y28),""))</f>
      </c>
      <c r="D28" s="684">
        <f>IF(終値!A28="","",IFERROR(4*STDEVP(終値!G28:Z28)/AVERAGE(終値!G28:Z28),""))</f>
      </c>
      <c r="E28" s="684">
        <f>IF(終値!A28="","",IFERROR(4*STDEVP(終値!H28:AA28)/AVERAGE(終値!H28:AA28),""))</f>
      </c>
      <c r="F28" s="684">
        <f>IF(終値!A28="","",IFERROR(4*STDEVP(終値!I28:AB28)/AVERAGE(終値!I28:AB28),""))</f>
      </c>
      <c r="G28" s="684">
        <f>IF(終値!A28="","",IFERROR(4*STDEVP(終値!J28:AC28)/AVERAGE(終値!J28:AC28),""))</f>
      </c>
      <c r="H28" s="684">
        <f>IF(終値!A28="","",IFERROR(4*STDEVP(終値!K28:AD28)/AVERAGE(終値!K28:AD28),""))</f>
      </c>
      <c r="I28" s="684">
        <f>IF(終値!A28="","",IFERROR(4*STDEVP(終値!L28:AE28)/AVERAGE(終値!L28:AE28),""))</f>
      </c>
      <c r="J28" s="684">
        <f>IF(終値!A28="","",IFERROR(4*STDEVP(終値!M28:AF28)/AVERAGE(終値!M28:AF28),""))</f>
      </c>
      <c r="K28" s="684">
        <f>IF(終値!A28="","",IFERROR(4*STDEVP(終値!N28:AG28)/AVERAGE(終値!N28:AG28),""))</f>
      </c>
      <c r="L28" s="684">
        <f>IF(終値!A28="","",IFERROR(4*STDEVP(終値!O28:AH28)/AVERAGE(終値!O28:AH28),""))</f>
      </c>
      <c r="M28" s="684">
        <f>IF(終値!A28="","",IFERROR(4*STDEVP(終値!P28:AI28)/AVERAGE(終値!P28:AI28),""))</f>
      </c>
      <c r="N28" s="684">
        <f>IF(終値!A28="","",IFERROR(4*STDEVP(終値!Q28:AJ28)/AVERAGE(終値!Q28:AJ28),""))</f>
      </c>
      <c r="O28" s="684">
        <f>IF(終値!A28="","",IFERROR(4*STDEVP(終値!R28:AK28)/AVERAGE(終値!R28:AK28),""))</f>
      </c>
      <c r="P28" s="684">
        <f>IF(終値!A28="","",IFERROR(4*STDEVP(終値!S28:AL28)/AVERAGE(終値!S28:AL28),""))</f>
      </c>
      <c r="Q28" s="684">
        <f>IF(終値!A28="","",IFERROR(4*STDEVP(終値!T28:AM28)/AVERAGE(終値!T28:AM28),""))</f>
      </c>
      <c r="R28" s="684">
        <f>IF(終値!A28="","",IFERROR(4*STDEVP(終値!U28:AN28)/AVERAGE(終値!U28:AN28),""))</f>
      </c>
      <c r="S28" s="684">
        <f>IF(終値!A28="","",IFERROR(4*STDEVP(終値!V28:AO28)/AVERAGE(終値!V28:AO28),""))</f>
      </c>
      <c r="T28" s="684">
        <f>IF(終値!A28="","",IFERROR(4*STDEVP(終値!W28:AP28)/AVERAGE(終値!W28:AP28),""))</f>
      </c>
      <c r="U28" s="684">
        <f>IF(終値!A28="","",IFERROR(4*STDEVP(終値!X28:AQ28)/AVERAGE(終値!X28:AQ28),""))</f>
      </c>
      <c r="V28" s="684">
        <f>IF(終値!A28="","",IFERROR(4*STDEVP(終値!Y28:AR28)/AVERAGE(終値!Y28:AR28),""))</f>
      </c>
      <c r="W28" s="684">
        <f>IF(終値!A28="","",IFERROR(4*STDEVP(終値!Z28:AS28)/AVERAGE(終値!Z28:AS28),""))</f>
      </c>
      <c r="X28" s="684">
        <f>IF(終値!A28="","",IFERROR(4*STDEVP(終値!AA28:AT28)/AVERAGE(終値!AA28:AT28),""))</f>
      </c>
      <c r="Y28" s="684">
        <f>IF(終値!A28="","",IFERROR(4*STDEVP(終値!AB28:AU28)/AVERAGE(終値!AB28:AU28),""))</f>
      </c>
      <c r="Z28" s="684">
        <f>IF(終値!A28="","",IFERROR(4*STDEVP(終値!AC28:AV28)/AVERAGE(終値!AC28:AV28),""))</f>
      </c>
      <c r="AA28" s="684">
        <f>IF(終値!A28="","",IFERROR(4*STDEVP(終値!AD28:AW28)/AVERAGE(終値!AD28:AW28),""))</f>
      </c>
      <c r="AB28" s="684">
        <f>IF(終値!A28="","",IFERROR(4*STDEVP(終値!AE28:AX28)/AVERAGE(終値!AE28:AX28),""))</f>
      </c>
      <c r="AC28" s="684">
        <f>IF(終値!A28="","",IFERROR(4*STDEVP(終値!AF28:AY28)/AVERAGE(終値!AF28:AY28),""))</f>
      </c>
      <c r="AD28" s="684">
        <f>IF(終値!A28="","",IFERROR(4*STDEVP(終値!AG28:AZ28)/AVERAGE(終値!AG28:AZ28),""))</f>
      </c>
      <c r="AE28" s="684">
        <f>IF(終値!A28="","",IFERROR(4*STDEVP(終値!AH28:BA28)/AVERAGE(終値!AH28:BA28),""))</f>
      </c>
      <c r="AF28" s="684">
        <f>IF(終値!A28="","",IFERROR(4*STDEVP(終値!AI28:BB28)/AVERAGE(終値!AI28:BB28),""))</f>
      </c>
      <c r="AG28" s="684">
        <f>IF(終値!A28="","",IFERROR(4*STDEVP(終値!AJ28:BC28)/AVERAGE(終値!AJ28:BC28),""))</f>
      </c>
      <c r="AH28" s="684">
        <f>IF(終値!A28="","",IFERROR(4*STDEVP(終値!AK28:BD28)/AVERAGE(終値!AK28:BD28),""))</f>
      </c>
      <c r="AI28" s="684">
        <f>IF(終値!A28="","",IFERROR(4*STDEVP(終値!AL28:BE28)/AVERAGE(終値!AL28:BE28),""))</f>
      </c>
      <c r="AJ28" s="684">
        <f>IF(終値!A28="","",IFERROR(4*STDEVP(終値!AM28:BF28)/AVERAGE(終値!AM28:BF28),""))</f>
      </c>
      <c r="AK28" s="684">
        <f>IF(終値!A28="","",IFERROR(4*STDEVP(終値!AN28:BG28)/AVERAGE(終値!AN28:BG28),""))</f>
      </c>
      <c r="AL28" s="684">
        <f>IF(終値!A28="","",IFERROR(4*STDEVP(終値!AO28:BH28)/AVERAGE(終値!AO28:BH28),""))</f>
      </c>
      <c r="AM28" s="684">
        <f>IF(終値!A28="","",IFERROR(4*STDEVP(終値!AP28:BI28)/AVERAGE(終値!AP28:BI28),""))</f>
      </c>
      <c r="AN28" s="684">
        <f>IF(終値!A28="","",IFERROR(4*STDEVP(終値!AQ28:BJ28)/AVERAGE(終値!AQ28:BJ28),""))</f>
      </c>
      <c r="AO28" s="684">
        <f>IF(終値!A28="","",IFERROR(4*STDEVP(終値!AR28:BK28)/AVERAGE(終値!AR28:BK28),""))</f>
      </c>
      <c r="AP28" s="684">
        <f>IF(終値!A28="","",IFERROR(4*STDEVP(終値!AS28:BL28)/AVERAGE(終値!AS28:BL28),""))</f>
      </c>
    </row>
    <row r="29">
      <c r="A29" s="681">
        <f>IF(終値!A29="","",終値!A29)</f>
      </c>
      <c r="B29" s="684">
        <f>IF(終値!A29="","",IFERROR(4*STDEVP(終値!E29:X29)/AVERAGE(終値!E29:X29),""))</f>
      </c>
      <c r="C29" s="684">
        <f>IF(終値!A29="","",IFERROR(4*STDEVP(終値!F29:Y29)/AVERAGE(終値!F29:Y29),""))</f>
      </c>
      <c r="D29" s="684">
        <f>IF(終値!A29="","",IFERROR(4*STDEVP(終値!G29:Z29)/AVERAGE(終値!G29:Z29),""))</f>
      </c>
      <c r="E29" s="684">
        <f>IF(終値!A29="","",IFERROR(4*STDEVP(終値!H29:AA29)/AVERAGE(終値!H29:AA29),""))</f>
      </c>
      <c r="F29" s="684">
        <f>IF(終値!A29="","",IFERROR(4*STDEVP(終値!I29:AB29)/AVERAGE(終値!I29:AB29),""))</f>
      </c>
      <c r="G29" s="684">
        <f>IF(終値!A29="","",IFERROR(4*STDEVP(終値!J29:AC29)/AVERAGE(終値!J29:AC29),""))</f>
      </c>
      <c r="H29" s="684">
        <f>IF(終値!A29="","",IFERROR(4*STDEVP(終値!K29:AD29)/AVERAGE(終値!K29:AD29),""))</f>
      </c>
      <c r="I29" s="684">
        <f>IF(終値!A29="","",IFERROR(4*STDEVP(終値!L29:AE29)/AVERAGE(終値!L29:AE29),""))</f>
      </c>
      <c r="J29" s="684">
        <f>IF(終値!A29="","",IFERROR(4*STDEVP(終値!M29:AF29)/AVERAGE(終値!M29:AF29),""))</f>
      </c>
      <c r="K29" s="684">
        <f>IF(終値!A29="","",IFERROR(4*STDEVP(終値!N29:AG29)/AVERAGE(終値!N29:AG29),""))</f>
      </c>
      <c r="L29" s="684">
        <f>IF(終値!A29="","",IFERROR(4*STDEVP(終値!O29:AH29)/AVERAGE(終値!O29:AH29),""))</f>
      </c>
      <c r="M29" s="684">
        <f>IF(終値!A29="","",IFERROR(4*STDEVP(終値!P29:AI29)/AVERAGE(終値!P29:AI29),""))</f>
      </c>
      <c r="N29" s="684">
        <f>IF(終値!A29="","",IFERROR(4*STDEVP(終値!Q29:AJ29)/AVERAGE(終値!Q29:AJ29),""))</f>
      </c>
      <c r="O29" s="684">
        <f>IF(終値!A29="","",IFERROR(4*STDEVP(終値!R29:AK29)/AVERAGE(終値!R29:AK29),""))</f>
      </c>
      <c r="P29" s="684">
        <f>IF(終値!A29="","",IFERROR(4*STDEVP(終値!S29:AL29)/AVERAGE(終値!S29:AL29),""))</f>
      </c>
      <c r="Q29" s="684">
        <f>IF(終値!A29="","",IFERROR(4*STDEVP(終値!T29:AM29)/AVERAGE(終値!T29:AM29),""))</f>
      </c>
      <c r="R29" s="684">
        <f>IF(終値!A29="","",IFERROR(4*STDEVP(終値!U29:AN29)/AVERAGE(終値!U29:AN29),""))</f>
      </c>
      <c r="S29" s="684">
        <f>IF(終値!A29="","",IFERROR(4*STDEVP(終値!V29:AO29)/AVERAGE(終値!V29:AO29),""))</f>
      </c>
      <c r="T29" s="684">
        <f>IF(終値!A29="","",IFERROR(4*STDEVP(終値!W29:AP29)/AVERAGE(終値!W29:AP29),""))</f>
      </c>
      <c r="U29" s="684">
        <f>IF(終値!A29="","",IFERROR(4*STDEVP(終値!X29:AQ29)/AVERAGE(終値!X29:AQ29),""))</f>
      </c>
      <c r="V29" s="684">
        <f>IF(終値!A29="","",IFERROR(4*STDEVP(終値!Y29:AR29)/AVERAGE(終値!Y29:AR29),""))</f>
      </c>
      <c r="W29" s="684">
        <f>IF(終値!A29="","",IFERROR(4*STDEVP(終値!Z29:AS29)/AVERAGE(終値!Z29:AS29),""))</f>
      </c>
      <c r="X29" s="684">
        <f>IF(終値!A29="","",IFERROR(4*STDEVP(終値!AA29:AT29)/AVERAGE(終値!AA29:AT29),""))</f>
      </c>
      <c r="Y29" s="684">
        <f>IF(終値!A29="","",IFERROR(4*STDEVP(終値!AB29:AU29)/AVERAGE(終値!AB29:AU29),""))</f>
      </c>
      <c r="Z29" s="684">
        <f>IF(終値!A29="","",IFERROR(4*STDEVP(終値!AC29:AV29)/AVERAGE(終値!AC29:AV29),""))</f>
      </c>
      <c r="AA29" s="684">
        <f>IF(終値!A29="","",IFERROR(4*STDEVP(終値!AD29:AW29)/AVERAGE(終値!AD29:AW29),""))</f>
      </c>
      <c r="AB29" s="684">
        <f>IF(終値!A29="","",IFERROR(4*STDEVP(終値!AE29:AX29)/AVERAGE(終値!AE29:AX29),""))</f>
      </c>
      <c r="AC29" s="684">
        <f>IF(終値!A29="","",IFERROR(4*STDEVP(終値!AF29:AY29)/AVERAGE(終値!AF29:AY29),""))</f>
      </c>
      <c r="AD29" s="684">
        <f>IF(終値!A29="","",IFERROR(4*STDEVP(終値!AG29:AZ29)/AVERAGE(終値!AG29:AZ29),""))</f>
      </c>
      <c r="AE29" s="684">
        <f>IF(終値!A29="","",IFERROR(4*STDEVP(終値!AH29:BA29)/AVERAGE(終値!AH29:BA29),""))</f>
      </c>
      <c r="AF29" s="684">
        <f>IF(終値!A29="","",IFERROR(4*STDEVP(終値!AI29:BB29)/AVERAGE(終値!AI29:BB29),""))</f>
      </c>
      <c r="AG29" s="684">
        <f>IF(終値!A29="","",IFERROR(4*STDEVP(終値!AJ29:BC29)/AVERAGE(終値!AJ29:BC29),""))</f>
      </c>
      <c r="AH29" s="684">
        <f>IF(終値!A29="","",IFERROR(4*STDEVP(終値!AK29:BD29)/AVERAGE(終値!AK29:BD29),""))</f>
      </c>
      <c r="AI29" s="684">
        <f>IF(終値!A29="","",IFERROR(4*STDEVP(終値!AL29:BE29)/AVERAGE(終値!AL29:BE29),""))</f>
      </c>
      <c r="AJ29" s="684">
        <f>IF(終値!A29="","",IFERROR(4*STDEVP(終値!AM29:BF29)/AVERAGE(終値!AM29:BF29),""))</f>
      </c>
      <c r="AK29" s="684">
        <f>IF(終値!A29="","",IFERROR(4*STDEVP(終値!AN29:BG29)/AVERAGE(終値!AN29:BG29),""))</f>
      </c>
      <c r="AL29" s="684">
        <f>IF(終値!A29="","",IFERROR(4*STDEVP(終値!AO29:BH29)/AVERAGE(終値!AO29:BH29),""))</f>
      </c>
      <c r="AM29" s="684">
        <f>IF(終値!A29="","",IFERROR(4*STDEVP(終値!AP29:BI29)/AVERAGE(終値!AP29:BI29),""))</f>
      </c>
      <c r="AN29" s="684">
        <f>IF(終値!A29="","",IFERROR(4*STDEVP(終値!AQ29:BJ29)/AVERAGE(終値!AQ29:BJ29),""))</f>
      </c>
      <c r="AO29" s="684">
        <f>IF(終値!A29="","",IFERROR(4*STDEVP(終値!AR29:BK29)/AVERAGE(終値!AR29:BK29),""))</f>
      </c>
      <c r="AP29" s="684">
        <f>IF(終値!A29="","",IFERROR(4*STDEVP(終値!AS29:BL29)/AVERAGE(終値!AS29:BL29),""))</f>
      </c>
    </row>
    <row r="30">
      <c r="A30" s="681">
        <f>IF(終値!A30="","",終値!A30)</f>
      </c>
      <c r="B30" s="684">
        <f>IF(終値!A30="","",IFERROR(4*STDEVP(終値!E30:X30)/AVERAGE(終値!E30:X30),""))</f>
      </c>
      <c r="C30" s="684">
        <f>IF(終値!A30="","",IFERROR(4*STDEVP(終値!F30:Y30)/AVERAGE(終値!F30:Y30),""))</f>
      </c>
      <c r="D30" s="684">
        <f>IF(終値!A30="","",IFERROR(4*STDEVP(終値!G30:Z30)/AVERAGE(終値!G30:Z30),""))</f>
      </c>
      <c r="E30" s="684">
        <f>IF(終値!A30="","",IFERROR(4*STDEVP(終値!H30:AA30)/AVERAGE(終値!H30:AA30),""))</f>
      </c>
      <c r="F30" s="684">
        <f>IF(終値!A30="","",IFERROR(4*STDEVP(終値!I30:AB30)/AVERAGE(終値!I30:AB30),""))</f>
      </c>
      <c r="G30" s="684">
        <f>IF(終値!A30="","",IFERROR(4*STDEVP(終値!J30:AC30)/AVERAGE(終値!J30:AC30),""))</f>
      </c>
      <c r="H30" s="684">
        <f>IF(終値!A30="","",IFERROR(4*STDEVP(終値!K30:AD30)/AVERAGE(終値!K30:AD30),""))</f>
      </c>
      <c r="I30" s="684">
        <f>IF(終値!A30="","",IFERROR(4*STDEVP(終値!L30:AE30)/AVERAGE(終値!L30:AE30),""))</f>
      </c>
      <c r="J30" s="684">
        <f>IF(終値!A30="","",IFERROR(4*STDEVP(終値!M30:AF30)/AVERAGE(終値!M30:AF30),""))</f>
      </c>
      <c r="K30" s="684">
        <f>IF(終値!A30="","",IFERROR(4*STDEVP(終値!N30:AG30)/AVERAGE(終値!N30:AG30),""))</f>
      </c>
      <c r="L30" s="684">
        <f>IF(終値!A30="","",IFERROR(4*STDEVP(終値!O30:AH30)/AVERAGE(終値!O30:AH30),""))</f>
      </c>
      <c r="M30" s="684">
        <f>IF(終値!A30="","",IFERROR(4*STDEVP(終値!P30:AI30)/AVERAGE(終値!P30:AI30),""))</f>
      </c>
      <c r="N30" s="684">
        <f>IF(終値!A30="","",IFERROR(4*STDEVP(終値!Q30:AJ30)/AVERAGE(終値!Q30:AJ30),""))</f>
      </c>
      <c r="O30" s="684">
        <f>IF(終値!A30="","",IFERROR(4*STDEVP(終値!R30:AK30)/AVERAGE(終値!R30:AK30),""))</f>
      </c>
      <c r="P30" s="684">
        <f>IF(終値!A30="","",IFERROR(4*STDEVP(終値!S30:AL30)/AVERAGE(終値!S30:AL30),""))</f>
      </c>
      <c r="Q30" s="684">
        <f>IF(終値!A30="","",IFERROR(4*STDEVP(終値!T30:AM30)/AVERAGE(終値!T30:AM30),""))</f>
      </c>
      <c r="R30" s="684">
        <f>IF(終値!A30="","",IFERROR(4*STDEVP(終値!U30:AN30)/AVERAGE(終値!U30:AN30),""))</f>
      </c>
      <c r="S30" s="684">
        <f>IF(終値!A30="","",IFERROR(4*STDEVP(終値!V30:AO30)/AVERAGE(終値!V30:AO30),""))</f>
      </c>
      <c r="T30" s="684">
        <f>IF(終値!A30="","",IFERROR(4*STDEVP(終値!W30:AP30)/AVERAGE(終値!W30:AP30),""))</f>
      </c>
      <c r="U30" s="684">
        <f>IF(終値!A30="","",IFERROR(4*STDEVP(終値!X30:AQ30)/AVERAGE(終値!X30:AQ30),""))</f>
      </c>
      <c r="V30" s="684">
        <f>IF(終値!A30="","",IFERROR(4*STDEVP(終値!Y30:AR30)/AVERAGE(終値!Y30:AR30),""))</f>
      </c>
      <c r="W30" s="684">
        <f>IF(終値!A30="","",IFERROR(4*STDEVP(終値!Z30:AS30)/AVERAGE(終値!Z30:AS30),""))</f>
      </c>
      <c r="X30" s="684">
        <f>IF(終値!A30="","",IFERROR(4*STDEVP(終値!AA30:AT30)/AVERAGE(終値!AA30:AT30),""))</f>
      </c>
      <c r="Y30" s="684">
        <f>IF(終値!A30="","",IFERROR(4*STDEVP(終値!AB30:AU30)/AVERAGE(終値!AB30:AU30),""))</f>
      </c>
      <c r="Z30" s="684">
        <f>IF(終値!A30="","",IFERROR(4*STDEVP(終値!AC30:AV30)/AVERAGE(終値!AC30:AV30),""))</f>
      </c>
      <c r="AA30" s="684">
        <f>IF(終値!A30="","",IFERROR(4*STDEVP(終値!AD30:AW30)/AVERAGE(終値!AD30:AW30),""))</f>
      </c>
      <c r="AB30" s="684">
        <f>IF(終値!A30="","",IFERROR(4*STDEVP(終値!AE30:AX30)/AVERAGE(終値!AE30:AX30),""))</f>
      </c>
      <c r="AC30" s="684">
        <f>IF(終値!A30="","",IFERROR(4*STDEVP(終値!AF30:AY30)/AVERAGE(終値!AF30:AY30),""))</f>
      </c>
      <c r="AD30" s="684">
        <f>IF(終値!A30="","",IFERROR(4*STDEVP(終値!AG30:AZ30)/AVERAGE(終値!AG30:AZ30),""))</f>
      </c>
      <c r="AE30" s="684">
        <f>IF(終値!A30="","",IFERROR(4*STDEVP(終値!AH30:BA30)/AVERAGE(終値!AH30:BA30),""))</f>
      </c>
      <c r="AF30" s="684">
        <f>IF(終値!A30="","",IFERROR(4*STDEVP(終値!AI30:BB30)/AVERAGE(終値!AI30:BB30),""))</f>
      </c>
      <c r="AG30" s="684">
        <f>IF(終値!A30="","",IFERROR(4*STDEVP(終値!AJ30:BC30)/AVERAGE(終値!AJ30:BC30),""))</f>
      </c>
      <c r="AH30" s="684">
        <f>IF(終値!A30="","",IFERROR(4*STDEVP(終値!AK30:BD30)/AVERAGE(終値!AK30:BD30),""))</f>
      </c>
      <c r="AI30" s="684">
        <f>IF(終値!A30="","",IFERROR(4*STDEVP(終値!AL30:BE30)/AVERAGE(終値!AL30:BE30),""))</f>
      </c>
      <c r="AJ30" s="684">
        <f>IF(終値!A30="","",IFERROR(4*STDEVP(終値!AM30:BF30)/AVERAGE(終値!AM30:BF30),""))</f>
      </c>
      <c r="AK30" s="684">
        <f>IF(終値!A30="","",IFERROR(4*STDEVP(終値!AN30:BG30)/AVERAGE(終値!AN30:BG30),""))</f>
      </c>
      <c r="AL30" s="684">
        <f>IF(終値!A30="","",IFERROR(4*STDEVP(終値!AO30:BH30)/AVERAGE(終値!AO30:BH30),""))</f>
      </c>
      <c r="AM30" s="684">
        <f>IF(終値!A30="","",IFERROR(4*STDEVP(終値!AP30:BI30)/AVERAGE(終値!AP30:BI30),""))</f>
      </c>
      <c r="AN30" s="684">
        <f>IF(終値!A30="","",IFERROR(4*STDEVP(終値!AQ30:BJ30)/AVERAGE(終値!AQ30:BJ30),""))</f>
      </c>
      <c r="AO30" s="684">
        <f>IF(終値!A30="","",IFERROR(4*STDEVP(終値!AR30:BK30)/AVERAGE(終値!AR30:BK30),""))</f>
      </c>
      <c r="AP30" s="684">
        <f>IF(終値!A30="","",IFERROR(4*STDEVP(終値!AS30:BL30)/AVERAGE(終値!AS30:BL30),""))</f>
      </c>
    </row>
    <row r="31">
      <c r="A31" s="681">
        <f>IF(終値!A31="","",終値!A31)</f>
      </c>
      <c r="B31" s="684">
        <f>IF(終値!A31="","",IFERROR(4*STDEVP(終値!E31:X31)/AVERAGE(終値!E31:X31),""))</f>
      </c>
      <c r="C31" s="684">
        <f>IF(終値!A31="","",IFERROR(4*STDEVP(終値!F31:Y31)/AVERAGE(終値!F31:Y31),""))</f>
      </c>
      <c r="D31" s="684">
        <f>IF(終値!A31="","",IFERROR(4*STDEVP(終値!G31:Z31)/AVERAGE(終値!G31:Z31),""))</f>
      </c>
      <c r="E31" s="684">
        <f>IF(終値!A31="","",IFERROR(4*STDEVP(終値!H31:AA31)/AVERAGE(終値!H31:AA31),""))</f>
      </c>
      <c r="F31" s="684">
        <f>IF(終値!A31="","",IFERROR(4*STDEVP(終値!I31:AB31)/AVERAGE(終値!I31:AB31),""))</f>
      </c>
      <c r="G31" s="684">
        <f>IF(終値!A31="","",IFERROR(4*STDEVP(終値!J31:AC31)/AVERAGE(終値!J31:AC31),""))</f>
      </c>
      <c r="H31" s="684">
        <f>IF(終値!A31="","",IFERROR(4*STDEVP(終値!K31:AD31)/AVERAGE(終値!K31:AD31),""))</f>
      </c>
      <c r="I31" s="684">
        <f>IF(終値!A31="","",IFERROR(4*STDEVP(終値!L31:AE31)/AVERAGE(終値!L31:AE31),""))</f>
      </c>
      <c r="J31" s="684">
        <f>IF(終値!A31="","",IFERROR(4*STDEVP(終値!M31:AF31)/AVERAGE(終値!M31:AF31),""))</f>
      </c>
      <c r="K31" s="684">
        <f>IF(終値!A31="","",IFERROR(4*STDEVP(終値!N31:AG31)/AVERAGE(終値!N31:AG31),""))</f>
      </c>
      <c r="L31" s="684">
        <f>IF(終値!A31="","",IFERROR(4*STDEVP(終値!O31:AH31)/AVERAGE(終値!O31:AH31),""))</f>
      </c>
      <c r="M31" s="684">
        <f>IF(終値!A31="","",IFERROR(4*STDEVP(終値!P31:AI31)/AVERAGE(終値!P31:AI31),""))</f>
      </c>
      <c r="N31" s="684">
        <f>IF(終値!A31="","",IFERROR(4*STDEVP(終値!Q31:AJ31)/AVERAGE(終値!Q31:AJ31),""))</f>
      </c>
      <c r="O31" s="684">
        <f>IF(終値!A31="","",IFERROR(4*STDEVP(終値!R31:AK31)/AVERAGE(終値!R31:AK31),""))</f>
      </c>
      <c r="P31" s="684">
        <f>IF(終値!A31="","",IFERROR(4*STDEVP(終値!S31:AL31)/AVERAGE(終値!S31:AL31),""))</f>
      </c>
      <c r="Q31" s="684">
        <f>IF(終値!A31="","",IFERROR(4*STDEVP(終値!T31:AM31)/AVERAGE(終値!T31:AM31),""))</f>
      </c>
      <c r="R31" s="684">
        <f>IF(終値!A31="","",IFERROR(4*STDEVP(終値!U31:AN31)/AVERAGE(終値!U31:AN31),""))</f>
      </c>
      <c r="S31" s="684">
        <f>IF(終値!A31="","",IFERROR(4*STDEVP(終値!V31:AO31)/AVERAGE(終値!V31:AO31),""))</f>
      </c>
      <c r="T31" s="684">
        <f>IF(終値!A31="","",IFERROR(4*STDEVP(終値!W31:AP31)/AVERAGE(終値!W31:AP31),""))</f>
      </c>
      <c r="U31" s="684">
        <f>IF(終値!A31="","",IFERROR(4*STDEVP(終値!X31:AQ31)/AVERAGE(終値!X31:AQ31),""))</f>
      </c>
      <c r="V31" s="684">
        <f>IF(終値!A31="","",IFERROR(4*STDEVP(終値!Y31:AR31)/AVERAGE(終値!Y31:AR31),""))</f>
      </c>
      <c r="W31" s="684">
        <f>IF(終値!A31="","",IFERROR(4*STDEVP(終値!Z31:AS31)/AVERAGE(終値!Z31:AS31),""))</f>
      </c>
      <c r="X31" s="684">
        <f>IF(終値!A31="","",IFERROR(4*STDEVP(終値!AA31:AT31)/AVERAGE(終値!AA31:AT31),""))</f>
      </c>
      <c r="Y31" s="684">
        <f>IF(終値!A31="","",IFERROR(4*STDEVP(終値!AB31:AU31)/AVERAGE(終値!AB31:AU31),""))</f>
      </c>
      <c r="Z31" s="684">
        <f>IF(終値!A31="","",IFERROR(4*STDEVP(終値!AC31:AV31)/AVERAGE(終値!AC31:AV31),""))</f>
      </c>
      <c r="AA31" s="684">
        <f>IF(終値!A31="","",IFERROR(4*STDEVP(終値!AD31:AW31)/AVERAGE(終値!AD31:AW31),""))</f>
      </c>
      <c r="AB31" s="684">
        <f>IF(終値!A31="","",IFERROR(4*STDEVP(終値!AE31:AX31)/AVERAGE(終値!AE31:AX31),""))</f>
      </c>
      <c r="AC31" s="684">
        <f>IF(終値!A31="","",IFERROR(4*STDEVP(終値!AF31:AY31)/AVERAGE(終値!AF31:AY31),""))</f>
      </c>
      <c r="AD31" s="684">
        <f>IF(終値!A31="","",IFERROR(4*STDEVP(終値!AG31:AZ31)/AVERAGE(終値!AG31:AZ31),""))</f>
      </c>
      <c r="AE31" s="684">
        <f>IF(終値!A31="","",IFERROR(4*STDEVP(終値!AH31:BA31)/AVERAGE(終値!AH31:BA31),""))</f>
      </c>
      <c r="AF31" s="684">
        <f>IF(終値!A31="","",IFERROR(4*STDEVP(終値!AI31:BB31)/AVERAGE(終値!AI31:BB31),""))</f>
      </c>
      <c r="AG31" s="684">
        <f>IF(終値!A31="","",IFERROR(4*STDEVP(終値!AJ31:BC31)/AVERAGE(終値!AJ31:BC31),""))</f>
      </c>
      <c r="AH31" s="684">
        <f>IF(終値!A31="","",IFERROR(4*STDEVP(終値!AK31:BD31)/AVERAGE(終値!AK31:BD31),""))</f>
      </c>
      <c r="AI31" s="684">
        <f>IF(終値!A31="","",IFERROR(4*STDEVP(終値!AL31:BE31)/AVERAGE(終値!AL31:BE31),""))</f>
      </c>
      <c r="AJ31" s="684">
        <f>IF(終値!A31="","",IFERROR(4*STDEVP(終値!AM31:BF31)/AVERAGE(終値!AM31:BF31),""))</f>
      </c>
      <c r="AK31" s="684">
        <f>IF(終値!A31="","",IFERROR(4*STDEVP(終値!AN31:BG31)/AVERAGE(終値!AN31:BG31),""))</f>
      </c>
      <c r="AL31" s="684">
        <f>IF(終値!A31="","",IFERROR(4*STDEVP(終値!AO31:BH31)/AVERAGE(終値!AO31:BH31),""))</f>
      </c>
      <c r="AM31" s="684">
        <f>IF(終値!A31="","",IFERROR(4*STDEVP(終値!AP31:BI31)/AVERAGE(終値!AP31:BI31),""))</f>
      </c>
      <c r="AN31" s="684">
        <f>IF(終値!A31="","",IFERROR(4*STDEVP(終値!AQ31:BJ31)/AVERAGE(終値!AQ31:BJ31),""))</f>
      </c>
      <c r="AO31" s="684">
        <f>IF(終値!A31="","",IFERROR(4*STDEVP(終値!AR31:BK31)/AVERAGE(終値!AR31:BK31),""))</f>
      </c>
      <c r="AP31" s="684">
        <f>IF(終値!A31="","",IFERROR(4*STDEVP(終値!AS31:BL31)/AVERAGE(終値!AS31:BL31),""))</f>
      </c>
    </row>
    <row r="32">
      <c r="A32" s="681">
        <f>IF(終値!A32="","",終値!A32)</f>
      </c>
      <c r="B32" s="684">
        <f>IF(終値!A32="","",IFERROR(4*STDEVP(終値!E32:X32)/AVERAGE(終値!E32:X32),""))</f>
      </c>
      <c r="C32" s="684">
        <f>IF(終値!A32="","",IFERROR(4*STDEVP(終値!F32:Y32)/AVERAGE(終値!F32:Y32),""))</f>
      </c>
      <c r="D32" s="684">
        <f>IF(終値!A32="","",IFERROR(4*STDEVP(終値!G32:Z32)/AVERAGE(終値!G32:Z32),""))</f>
      </c>
      <c r="E32" s="684">
        <f>IF(終値!A32="","",IFERROR(4*STDEVP(終値!H32:AA32)/AVERAGE(終値!H32:AA32),""))</f>
      </c>
      <c r="F32" s="684">
        <f>IF(終値!A32="","",IFERROR(4*STDEVP(終値!I32:AB32)/AVERAGE(終値!I32:AB32),""))</f>
      </c>
      <c r="G32" s="684">
        <f>IF(終値!A32="","",IFERROR(4*STDEVP(終値!J32:AC32)/AVERAGE(終値!J32:AC32),""))</f>
      </c>
      <c r="H32" s="684">
        <f>IF(終値!A32="","",IFERROR(4*STDEVP(終値!K32:AD32)/AVERAGE(終値!K32:AD32),""))</f>
      </c>
      <c r="I32" s="684">
        <f>IF(終値!A32="","",IFERROR(4*STDEVP(終値!L32:AE32)/AVERAGE(終値!L32:AE32),""))</f>
      </c>
      <c r="J32" s="684">
        <f>IF(終値!A32="","",IFERROR(4*STDEVP(終値!M32:AF32)/AVERAGE(終値!M32:AF32),""))</f>
      </c>
      <c r="K32" s="684">
        <f>IF(終値!A32="","",IFERROR(4*STDEVP(終値!N32:AG32)/AVERAGE(終値!N32:AG32),""))</f>
      </c>
      <c r="L32" s="684">
        <f>IF(終値!A32="","",IFERROR(4*STDEVP(終値!O32:AH32)/AVERAGE(終値!O32:AH32),""))</f>
      </c>
      <c r="M32" s="684">
        <f>IF(終値!A32="","",IFERROR(4*STDEVP(終値!P32:AI32)/AVERAGE(終値!P32:AI32),""))</f>
      </c>
      <c r="N32" s="684">
        <f>IF(終値!A32="","",IFERROR(4*STDEVP(終値!Q32:AJ32)/AVERAGE(終値!Q32:AJ32),""))</f>
      </c>
      <c r="O32" s="684">
        <f>IF(終値!A32="","",IFERROR(4*STDEVP(終値!R32:AK32)/AVERAGE(終値!R32:AK32),""))</f>
      </c>
      <c r="P32" s="684">
        <f>IF(終値!A32="","",IFERROR(4*STDEVP(終値!S32:AL32)/AVERAGE(終値!S32:AL32),""))</f>
      </c>
      <c r="Q32" s="684">
        <f>IF(終値!A32="","",IFERROR(4*STDEVP(終値!T32:AM32)/AVERAGE(終値!T32:AM32),""))</f>
      </c>
      <c r="R32" s="684">
        <f>IF(終値!A32="","",IFERROR(4*STDEVP(終値!U32:AN32)/AVERAGE(終値!U32:AN32),""))</f>
      </c>
      <c r="S32" s="684">
        <f>IF(終値!A32="","",IFERROR(4*STDEVP(終値!V32:AO32)/AVERAGE(終値!V32:AO32),""))</f>
      </c>
      <c r="T32" s="684">
        <f>IF(終値!A32="","",IFERROR(4*STDEVP(終値!W32:AP32)/AVERAGE(終値!W32:AP32),""))</f>
      </c>
      <c r="U32" s="684">
        <f>IF(終値!A32="","",IFERROR(4*STDEVP(終値!X32:AQ32)/AVERAGE(終値!X32:AQ32),""))</f>
      </c>
      <c r="V32" s="684">
        <f>IF(終値!A32="","",IFERROR(4*STDEVP(終値!Y32:AR32)/AVERAGE(終値!Y32:AR32),""))</f>
      </c>
      <c r="W32" s="684">
        <f>IF(終値!A32="","",IFERROR(4*STDEVP(終値!Z32:AS32)/AVERAGE(終値!Z32:AS32),""))</f>
      </c>
      <c r="X32" s="684">
        <f>IF(終値!A32="","",IFERROR(4*STDEVP(終値!AA32:AT32)/AVERAGE(終値!AA32:AT32),""))</f>
      </c>
      <c r="Y32" s="684">
        <f>IF(終値!A32="","",IFERROR(4*STDEVP(終値!AB32:AU32)/AVERAGE(終値!AB32:AU32),""))</f>
      </c>
      <c r="Z32" s="684">
        <f>IF(終値!A32="","",IFERROR(4*STDEVP(終値!AC32:AV32)/AVERAGE(終値!AC32:AV32),""))</f>
      </c>
      <c r="AA32" s="684">
        <f>IF(終値!A32="","",IFERROR(4*STDEVP(終値!AD32:AW32)/AVERAGE(終値!AD32:AW32),""))</f>
      </c>
      <c r="AB32" s="684">
        <f>IF(終値!A32="","",IFERROR(4*STDEVP(終値!AE32:AX32)/AVERAGE(終値!AE32:AX32),""))</f>
      </c>
      <c r="AC32" s="684">
        <f>IF(終値!A32="","",IFERROR(4*STDEVP(終値!AF32:AY32)/AVERAGE(終値!AF32:AY32),""))</f>
      </c>
      <c r="AD32" s="684">
        <f>IF(終値!A32="","",IFERROR(4*STDEVP(終値!AG32:AZ32)/AVERAGE(終値!AG32:AZ32),""))</f>
      </c>
      <c r="AE32" s="684">
        <f>IF(終値!A32="","",IFERROR(4*STDEVP(終値!AH32:BA32)/AVERAGE(終値!AH32:BA32),""))</f>
      </c>
      <c r="AF32" s="684">
        <f>IF(終値!A32="","",IFERROR(4*STDEVP(終値!AI32:BB32)/AVERAGE(終値!AI32:BB32),""))</f>
      </c>
      <c r="AG32" s="684">
        <f>IF(終値!A32="","",IFERROR(4*STDEVP(終値!AJ32:BC32)/AVERAGE(終値!AJ32:BC32),""))</f>
      </c>
      <c r="AH32" s="684">
        <f>IF(終値!A32="","",IFERROR(4*STDEVP(終値!AK32:BD32)/AVERAGE(終値!AK32:BD32),""))</f>
      </c>
      <c r="AI32" s="684">
        <f>IF(終値!A32="","",IFERROR(4*STDEVP(終値!AL32:BE32)/AVERAGE(終値!AL32:BE32),""))</f>
      </c>
      <c r="AJ32" s="684">
        <f>IF(終値!A32="","",IFERROR(4*STDEVP(終値!AM32:BF32)/AVERAGE(終値!AM32:BF32),""))</f>
      </c>
      <c r="AK32" s="684">
        <f>IF(終値!A32="","",IFERROR(4*STDEVP(終値!AN32:BG32)/AVERAGE(終値!AN32:BG32),""))</f>
      </c>
      <c r="AL32" s="684">
        <f>IF(終値!A32="","",IFERROR(4*STDEVP(終値!AO32:BH32)/AVERAGE(終値!AO32:BH32),""))</f>
      </c>
      <c r="AM32" s="684">
        <f>IF(終値!A32="","",IFERROR(4*STDEVP(終値!AP32:BI32)/AVERAGE(終値!AP32:BI32),""))</f>
      </c>
      <c r="AN32" s="684">
        <f>IF(終値!A32="","",IFERROR(4*STDEVP(終値!AQ32:BJ32)/AVERAGE(終値!AQ32:BJ32),""))</f>
      </c>
      <c r="AO32" s="684">
        <f>IF(終値!A32="","",IFERROR(4*STDEVP(終値!AR32:BK32)/AVERAGE(終値!AR32:BK32),""))</f>
      </c>
      <c r="AP32" s="684">
        <f>IF(終値!A32="","",IFERROR(4*STDEVP(終値!AS32:BL32)/AVERAGE(終値!AS32:BL32),""))</f>
      </c>
    </row>
    <row r="33">
      <c r="A33" s="681">
        <f>IF(終値!A33="","",終値!A33)</f>
      </c>
      <c r="B33" s="684">
        <f>IF(終値!A33="","",IFERROR(4*STDEVP(終値!E33:X33)/AVERAGE(終値!E33:X33),""))</f>
      </c>
      <c r="C33" s="684">
        <f>IF(終値!A33="","",IFERROR(4*STDEVP(終値!F33:Y33)/AVERAGE(終値!F33:Y33),""))</f>
      </c>
      <c r="D33" s="684">
        <f>IF(終値!A33="","",IFERROR(4*STDEVP(終値!G33:Z33)/AVERAGE(終値!G33:Z33),""))</f>
      </c>
      <c r="E33" s="684">
        <f>IF(終値!A33="","",IFERROR(4*STDEVP(終値!H33:AA33)/AVERAGE(終値!H33:AA33),""))</f>
      </c>
      <c r="F33" s="684">
        <f>IF(終値!A33="","",IFERROR(4*STDEVP(終値!I33:AB33)/AVERAGE(終値!I33:AB33),""))</f>
      </c>
      <c r="G33" s="684">
        <f>IF(終値!A33="","",IFERROR(4*STDEVP(終値!J33:AC33)/AVERAGE(終値!J33:AC33),""))</f>
      </c>
      <c r="H33" s="684">
        <f>IF(終値!A33="","",IFERROR(4*STDEVP(終値!K33:AD33)/AVERAGE(終値!K33:AD33),""))</f>
      </c>
      <c r="I33" s="684">
        <f>IF(終値!A33="","",IFERROR(4*STDEVP(終値!L33:AE33)/AVERAGE(終値!L33:AE33),""))</f>
      </c>
      <c r="J33" s="684">
        <f>IF(終値!A33="","",IFERROR(4*STDEVP(終値!M33:AF33)/AVERAGE(終値!M33:AF33),""))</f>
      </c>
      <c r="K33" s="684">
        <f>IF(終値!A33="","",IFERROR(4*STDEVP(終値!N33:AG33)/AVERAGE(終値!N33:AG33),""))</f>
      </c>
      <c r="L33" s="684">
        <f>IF(終値!A33="","",IFERROR(4*STDEVP(終値!O33:AH33)/AVERAGE(終値!O33:AH33),""))</f>
      </c>
      <c r="M33" s="684">
        <f>IF(終値!A33="","",IFERROR(4*STDEVP(終値!P33:AI33)/AVERAGE(終値!P33:AI33),""))</f>
      </c>
      <c r="N33" s="684">
        <f>IF(終値!A33="","",IFERROR(4*STDEVP(終値!Q33:AJ33)/AVERAGE(終値!Q33:AJ33),""))</f>
      </c>
      <c r="O33" s="684">
        <f>IF(終値!A33="","",IFERROR(4*STDEVP(終値!R33:AK33)/AVERAGE(終値!R33:AK33),""))</f>
      </c>
      <c r="P33" s="684">
        <f>IF(終値!A33="","",IFERROR(4*STDEVP(終値!S33:AL33)/AVERAGE(終値!S33:AL33),""))</f>
      </c>
      <c r="Q33" s="684">
        <f>IF(終値!A33="","",IFERROR(4*STDEVP(終値!T33:AM33)/AVERAGE(終値!T33:AM33),""))</f>
      </c>
      <c r="R33" s="684">
        <f>IF(終値!A33="","",IFERROR(4*STDEVP(終値!U33:AN33)/AVERAGE(終値!U33:AN33),""))</f>
      </c>
      <c r="S33" s="684">
        <f>IF(終値!A33="","",IFERROR(4*STDEVP(終値!V33:AO33)/AVERAGE(終値!V33:AO33),""))</f>
      </c>
      <c r="T33" s="684">
        <f>IF(終値!A33="","",IFERROR(4*STDEVP(終値!W33:AP33)/AVERAGE(終値!W33:AP33),""))</f>
      </c>
      <c r="U33" s="684">
        <f>IF(終値!A33="","",IFERROR(4*STDEVP(終値!X33:AQ33)/AVERAGE(終値!X33:AQ33),""))</f>
      </c>
      <c r="V33" s="684">
        <f>IF(終値!A33="","",IFERROR(4*STDEVP(終値!Y33:AR33)/AVERAGE(終値!Y33:AR33),""))</f>
      </c>
      <c r="W33" s="684">
        <f>IF(終値!A33="","",IFERROR(4*STDEVP(終値!Z33:AS33)/AVERAGE(終値!Z33:AS33),""))</f>
      </c>
      <c r="X33" s="684">
        <f>IF(終値!A33="","",IFERROR(4*STDEVP(終値!AA33:AT33)/AVERAGE(終値!AA33:AT33),""))</f>
      </c>
      <c r="Y33" s="684">
        <f>IF(終値!A33="","",IFERROR(4*STDEVP(終値!AB33:AU33)/AVERAGE(終値!AB33:AU33),""))</f>
      </c>
      <c r="Z33" s="684">
        <f>IF(終値!A33="","",IFERROR(4*STDEVP(終値!AC33:AV33)/AVERAGE(終値!AC33:AV33),""))</f>
      </c>
      <c r="AA33" s="684">
        <f>IF(終値!A33="","",IFERROR(4*STDEVP(終値!AD33:AW33)/AVERAGE(終値!AD33:AW33),""))</f>
      </c>
      <c r="AB33" s="684">
        <f>IF(終値!A33="","",IFERROR(4*STDEVP(終値!AE33:AX33)/AVERAGE(終値!AE33:AX33),""))</f>
      </c>
      <c r="AC33" s="684">
        <f>IF(終値!A33="","",IFERROR(4*STDEVP(終値!AF33:AY33)/AVERAGE(終値!AF33:AY33),""))</f>
      </c>
      <c r="AD33" s="684">
        <f>IF(終値!A33="","",IFERROR(4*STDEVP(終値!AG33:AZ33)/AVERAGE(終値!AG33:AZ33),""))</f>
      </c>
      <c r="AE33" s="684">
        <f>IF(終値!A33="","",IFERROR(4*STDEVP(終値!AH33:BA33)/AVERAGE(終値!AH33:BA33),""))</f>
      </c>
      <c r="AF33" s="684">
        <f>IF(終値!A33="","",IFERROR(4*STDEVP(終値!AI33:BB33)/AVERAGE(終値!AI33:BB33),""))</f>
      </c>
      <c r="AG33" s="684">
        <f>IF(終値!A33="","",IFERROR(4*STDEVP(終値!AJ33:BC33)/AVERAGE(終値!AJ33:BC33),""))</f>
      </c>
      <c r="AH33" s="684">
        <f>IF(終値!A33="","",IFERROR(4*STDEVP(終値!AK33:BD33)/AVERAGE(終値!AK33:BD33),""))</f>
      </c>
      <c r="AI33" s="684">
        <f>IF(終値!A33="","",IFERROR(4*STDEVP(終値!AL33:BE33)/AVERAGE(終値!AL33:BE33),""))</f>
      </c>
      <c r="AJ33" s="684">
        <f>IF(終値!A33="","",IFERROR(4*STDEVP(終値!AM33:BF33)/AVERAGE(終値!AM33:BF33),""))</f>
      </c>
      <c r="AK33" s="684">
        <f>IF(終値!A33="","",IFERROR(4*STDEVP(終値!AN33:BG33)/AVERAGE(終値!AN33:BG33),""))</f>
      </c>
      <c r="AL33" s="684">
        <f>IF(終値!A33="","",IFERROR(4*STDEVP(終値!AO33:BH33)/AVERAGE(終値!AO33:BH33),""))</f>
      </c>
      <c r="AM33" s="684">
        <f>IF(終値!A33="","",IFERROR(4*STDEVP(終値!AP33:BI33)/AVERAGE(終値!AP33:BI33),""))</f>
      </c>
      <c r="AN33" s="684">
        <f>IF(終値!A33="","",IFERROR(4*STDEVP(終値!AQ33:BJ33)/AVERAGE(終値!AQ33:BJ33),""))</f>
      </c>
      <c r="AO33" s="684">
        <f>IF(終値!A33="","",IFERROR(4*STDEVP(終値!AR33:BK33)/AVERAGE(終値!AR33:BK33),""))</f>
      </c>
      <c r="AP33" s="684">
        <f>IF(終値!A33="","",IFERROR(4*STDEVP(終値!AS33:BL33)/AVERAGE(終値!AS33:BL33),""))</f>
      </c>
    </row>
    <row r="34">
      <c r="A34" s="681">
        <f>IF(終値!A34="","",終値!A34)</f>
      </c>
      <c r="B34" s="684">
        <f>IF(終値!A34="","",IFERROR(4*STDEVP(終値!E34:X34)/AVERAGE(終値!E34:X34),""))</f>
      </c>
      <c r="C34" s="684">
        <f>IF(終値!A34="","",IFERROR(4*STDEVP(終値!F34:Y34)/AVERAGE(終値!F34:Y34),""))</f>
      </c>
      <c r="D34" s="684">
        <f>IF(終値!A34="","",IFERROR(4*STDEVP(終値!G34:Z34)/AVERAGE(終値!G34:Z34),""))</f>
      </c>
      <c r="E34" s="684">
        <f>IF(終値!A34="","",IFERROR(4*STDEVP(終値!H34:AA34)/AVERAGE(終値!H34:AA34),""))</f>
      </c>
      <c r="F34" s="684">
        <f>IF(終値!A34="","",IFERROR(4*STDEVP(終値!I34:AB34)/AVERAGE(終値!I34:AB34),""))</f>
      </c>
      <c r="G34" s="684">
        <f>IF(終値!A34="","",IFERROR(4*STDEVP(終値!J34:AC34)/AVERAGE(終値!J34:AC34),""))</f>
      </c>
      <c r="H34" s="684">
        <f>IF(終値!A34="","",IFERROR(4*STDEVP(終値!K34:AD34)/AVERAGE(終値!K34:AD34),""))</f>
      </c>
      <c r="I34" s="684">
        <f>IF(終値!A34="","",IFERROR(4*STDEVP(終値!L34:AE34)/AVERAGE(終値!L34:AE34),""))</f>
      </c>
      <c r="J34" s="684">
        <f>IF(終値!A34="","",IFERROR(4*STDEVP(終値!M34:AF34)/AVERAGE(終値!M34:AF34),""))</f>
      </c>
      <c r="K34" s="684">
        <f>IF(終値!A34="","",IFERROR(4*STDEVP(終値!N34:AG34)/AVERAGE(終値!N34:AG34),""))</f>
      </c>
      <c r="L34" s="684">
        <f>IF(終値!A34="","",IFERROR(4*STDEVP(終値!O34:AH34)/AVERAGE(終値!O34:AH34),""))</f>
      </c>
      <c r="M34" s="684">
        <f>IF(終値!A34="","",IFERROR(4*STDEVP(終値!P34:AI34)/AVERAGE(終値!P34:AI34),""))</f>
      </c>
      <c r="N34" s="684">
        <f>IF(終値!A34="","",IFERROR(4*STDEVP(終値!Q34:AJ34)/AVERAGE(終値!Q34:AJ34),""))</f>
      </c>
      <c r="O34" s="684">
        <f>IF(終値!A34="","",IFERROR(4*STDEVP(終値!R34:AK34)/AVERAGE(終値!R34:AK34),""))</f>
      </c>
      <c r="P34" s="684">
        <f>IF(終値!A34="","",IFERROR(4*STDEVP(終値!S34:AL34)/AVERAGE(終値!S34:AL34),""))</f>
      </c>
      <c r="Q34" s="684">
        <f>IF(終値!A34="","",IFERROR(4*STDEVP(終値!T34:AM34)/AVERAGE(終値!T34:AM34),""))</f>
      </c>
      <c r="R34" s="684">
        <f>IF(終値!A34="","",IFERROR(4*STDEVP(終値!U34:AN34)/AVERAGE(終値!U34:AN34),""))</f>
      </c>
      <c r="S34" s="684">
        <f>IF(終値!A34="","",IFERROR(4*STDEVP(終値!V34:AO34)/AVERAGE(終値!V34:AO34),""))</f>
      </c>
      <c r="T34" s="684">
        <f>IF(終値!A34="","",IFERROR(4*STDEVP(終値!W34:AP34)/AVERAGE(終値!W34:AP34),""))</f>
      </c>
      <c r="U34" s="684">
        <f>IF(終値!A34="","",IFERROR(4*STDEVP(終値!X34:AQ34)/AVERAGE(終値!X34:AQ34),""))</f>
      </c>
      <c r="V34" s="684">
        <f>IF(終値!A34="","",IFERROR(4*STDEVP(終値!Y34:AR34)/AVERAGE(終値!Y34:AR34),""))</f>
      </c>
      <c r="W34" s="684">
        <f>IF(終値!A34="","",IFERROR(4*STDEVP(終値!Z34:AS34)/AVERAGE(終値!Z34:AS34),""))</f>
      </c>
      <c r="X34" s="684">
        <f>IF(終値!A34="","",IFERROR(4*STDEVP(終値!AA34:AT34)/AVERAGE(終値!AA34:AT34),""))</f>
      </c>
      <c r="Y34" s="684">
        <f>IF(終値!A34="","",IFERROR(4*STDEVP(終値!AB34:AU34)/AVERAGE(終値!AB34:AU34),""))</f>
      </c>
      <c r="Z34" s="684">
        <f>IF(終値!A34="","",IFERROR(4*STDEVP(終値!AC34:AV34)/AVERAGE(終値!AC34:AV34),""))</f>
      </c>
      <c r="AA34" s="684">
        <f>IF(終値!A34="","",IFERROR(4*STDEVP(終値!AD34:AW34)/AVERAGE(終値!AD34:AW34),""))</f>
      </c>
      <c r="AB34" s="684">
        <f>IF(終値!A34="","",IFERROR(4*STDEVP(終値!AE34:AX34)/AVERAGE(終値!AE34:AX34),""))</f>
      </c>
      <c r="AC34" s="684">
        <f>IF(終値!A34="","",IFERROR(4*STDEVP(終値!AF34:AY34)/AVERAGE(終値!AF34:AY34),""))</f>
      </c>
      <c r="AD34" s="684">
        <f>IF(終値!A34="","",IFERROR(4*STDEVP(終値!AG34:AZ34)/AVERAGE(終値!AG34:AZ34),""))</f>
      </c>
      <c r="AE34" s="684">
        <f>IF(終値!A34="","",IFERROR(4*STDEVP(終値!AH34:BA34)/AVERAGE(終値!AH34:BA34),""))</f>
      </c>
      <c r="AF34" s="684">
        <f>IF(終値!A34="","",IFERROR(4*STDEVP(終値!AI34:BB34)/AVERAGE(終値!AI34:BB34),""))</f>
      </c>
      <c r="AG34" s="684">
        <f>IF(終値!A34="","",IFERROR(4*STDEVP(終値!AJ34:BC34)/AVERAGE(終値!AJ34:BC34),""))</f>
      </c>
      <c r="AH34" s="684">
        <f>IF(終値!A34="","",IFERROR(4*STDEVP(終値!AK34:BD34)/AVERAGE(終値!AK34:BD34),""))</f>
      </c>
      <c r="AI34" s="684">
        <f>IF(終値!A34="","",IFERROR(4*STDEVP(終値!AL34:BE34)/AVERAGE(終値!AL34:BE34),""))</f>
      </c>
      <c r="AJ34" s="684">
        <f>IF(終値!A34="","",IFERROR(4*STDEVP(終値!AM34:BF34)/AVERAGE(終値!AM34:BF34),""))</f>
      </c>
      <c r="AK34" s="684">
        <f>IF(終値!A34="","",IFERROR(4*STDEVP(終値!AN34:BG34)/AVERAGE(終値!AN34:BG34),""))</f>
      </c>
      <c r="AL34" s="684">
        <f>IF(終値!A34="","",IFERROR(4*STDEVP(終値!AO34:BH34)/AVERAGE(終値!AO34:BH34),""))</f>
      </c>
      <c r="AM34" s="684">
        <f>IF(終値!A34="","",IFERROR(4*STDEVP(終値!AP34:BI34)/AVERAGE(終値!AP34:BI34),""))</f>
      </c>
      <c r="AN34" s="684">
        <f>IF(終値!A34="","",IFERROR(4*STDEVP(終値!AQ34:BJ34)/AVERAGE(終値!AQ34:BJ34),""))</f>
      </c>
      <c r="AO34" s="684">
        <f>IF(終値!A34="","",IFERROR(4*STDEVP(終値!AR34:BK34)/AVERAGE(終値!AR34:BK34),""))</f>
      </c>
      <c r="AP34" s="684">
        <f>IF(終値!A34="","",IFERROR(4*STDEVP(終値!AS34:BL34)/AVERAGE(終値!AS34:BL34),""))</f>
      </c>
    </row>
    <row r="35">
      <c r="A35" s="681">
        <f>IF(終値!A35="","",終値!A35)</f>
      </c>
      <c r="B35" s="684">
        <f>IF(終値!A35="","",IFERROR(4*STDEVP(終値!E35:X35)/AVERAGE(終値!E35:X35),""))</f>
      </c>
      <c r="C35" s="684">
        <f>IF(終値!A35="","",IFERROR(4*STDEVP(終値!F35:Y35)/AVERAGE(終値!F35:Y35),""))</f>
      </c>
      <c r="D35" s="684">
        <f>IF(終値!A35="","",IFERROR(4*STDEVP(終値!G35:Z35)/AVERAGE(終値!G35:Z35),""))</f>
      </c>
      <c r="E35" s="684">
        <f>IF(終値!A35="","",IFERROR(4*STDEVP(終値!H35:AA35)/AVERAGE(終値!H35:AA35),""))</f>
      </c>
      <c r="F35" s="684">
        <f>IF(終値!A35="","",IFERROR(4*STDEVP(終値!I35:AB35)/AVERAGE(終値!I35:AB35),""))</f>
      </c>
      <c r="G35" s="684">
        <f>IF(終値!A35="","",IFERROR(4*STDEVP(終値!J35:AC35)/AVERAGE(終値!J35:AC35),""))</f>
      </c>
      <c r="H35" s="684">
        <f>IF(終値!A35="","",IFERROR(4*STDEVP(終値!K35:AD35)/AVERAGE(終値!K35:AD35),""))</f>
      </c>
      <c r="I35" s="684">
        <f>IF(終値!A35="","",IFERROR(4*STDEVP(終値!L35:AE35)/AVERAGE(終値!L35:AE35),""))</f>
      </c>
      <c r="J35" s="684">
        <f>IF(終値!A35="","",IFERROR(4*STDEVP(終値!M35:AF35)/AVERAGE(終値!M35:AF35),""))</f>
      </c>
      <c r="K35" s="684">
        <f>IF(終値!A35="","",IFERROR(4*STDEVP(終値!N35:AG35)/AVERAGE(終値!N35:AG35),""))</f>
      </c>
      <c r="L35" s="684">
        <f>IF(終値!A35="","",IFERROR(4*STDEVP(終値!O35:AH35)/AVERAGE(終値!O35:AH35),""))</f>
      </c>
      <c r="M35" s="684">
        <f>IF(終値!A35="","",IFERROR(4*STDEVP(終値!P35:AI35)/AVERAGE(終値!P35:AI35),""))</f>
      </c>
      <c r="N35" s="684">
        <f>IF(終値!A35="","",IFERROR(4*STDEVP(終値!Q35:AJ35)/AVERAGE(終値!Q35:AJ35),""))</f>
      </c>
      <c r="O35" s="684">
        <f>IF(終値!A35="","",IFERROR(4*STDEVP(終値!R35:AK35)/AVERAGE(終値!R35:AK35),""))</f>
      </c>
      <c r="P35" s="684">
        <f>IF(終値!A35="","",IFERROR(4*STDEVP(終値!S35:AL35)/AVERAGE(終値!S35:AL35),""))</f>
      </c>
      <c r="Q35" s="684">
        <f>IF(終値!A35="","",IFERROR(4*STDEVP(終値!T35:AM35)/AVERAGE(終値!T35:AM35),""))</f>
      </c>
      <c r="R35" s="684">
        <f>IF(終値!A35="","",IFERROR(4*STDEVP(終値!U35:AN35)/AVERAGE(終値!U35:AN35),""))</f>
      </c>
      <c r="S35" s="684">
        <f>IF(終値!A35="","",IFERROR(4*STDEVP(終値!V35:AO35)/AVERAGE(終値!V35:AO35),""))</f>
      </c>
      <c r="T35" s="684">
        <f>IF(終値!A35="","",IFERROR(4*STDEVP(終値!W35:AP35)/AVERAGE(終値!W35:AP35),""))</f>
      </c>
      <c r="U35" s="684">
        <f>IF(終値!A35="","",IFERROR(4*STDEVP(終値!X35:AQ35)/AVERAGE(終値!X35:AQ35),""))</f>
      </c>
      <c r="V35" s="684">
        <f>IF(終値!A35="","",IFERROR(4*STDEVP(終値!Y35:AR35)/AVERAGE(終値!Y35:AR35),""))</f>
      </c>
      <c r="W35" s="684">
        <f>IF(終値!A35="","",IFERROR(4*STDEVP(終値!Z35:AS35)/AVERAGE(終値!Z35:AS35),""))</f>
      </c>
      <c r="X35" s="684">
        <f>IF(終値!A35="","",IFERROR(4*STDEVP(終値!AA35:AT35)/AVERAGE(終値!AA35:AT35),""))</f>
      </c>
      <c r="Y35" s="684">
        <f>IF(終値!A35="","",IFERROR(4*STDEVP(終値!AB35:AU35)/AVERAGE(終値!AB35:AU35),""))</f>
      </c>
      <c r="Z35" s="684">
        <f>IF(終値!A35="","",IFERROR(4*STDEVP(終値!AC35:AV35)/AVERAGE(終値!AC35:AV35),""))</f>
      </c>
      <c r="AA35" s="684">
        <f>IF(終値!A35="","",IFERROR(4*STDEVP(終値!AD35:AW35)/AVERAGE(終値!AD35:AW35),""))</f>
      </c>
      <c r="AB35" s="684">
        <f>IF(終値!A35="","",IFERROR(4*STDEVP(終値!AE35:AX35)/AVERAGE(終値!AE35:AX35),""))</f>
      </c>
      <c r="AC35" s="684">
        <f>IF(終値!A35="","",IFERROR(4*STDEVP(終値!AF35:AY35)/AVERAGE(終値!AF35:AY35),""))</f>
      </c>
      <c r="AD35" s="684">
        <f>IF(終値!A35="","",IFERROR(4*STDEVP(終値!AG35:AZ35)/AVERAGE(終値!AG35:AZ35),""))</f>
      </c>
      <c r="AE35" s="684">
        <f>IF(終値!A35="","",IFERROR(4*STDEVP(終値!AH35:BA35)/AVERAGE(終値!AH35:BA35),""))</f>
      </c>
      <c r="AF35" s="684">
        <f>IF(終値!A35="","",IFERROR(4*STDEVP(終値!AI35:BB35)/AVERAGE(終値!AI35:BB35),""))</f>
      </c>
      <c r="AG35" s="684">
        <f>IF(終値!A35="","",IFERROR(4*STDEVP(終値!AJ35:BC35)/AVERAGE(終値!AJ35:BC35),""))</f>
      </c>
      <c r="AH35" s="684">
        <f>IF(終値!A35="","",IFERROR(4*STDEVP(終値!AK35:BD35)/AVERAGE(終値!AK35:BD35),""))</f>
      </c>
      <c r="AI35" s="684">
        <f>IF(終値!A35="","",IFERROR(4*STDEVP(終値!AL35:BE35)/AVERAGE(終値!AL35:BE35),""))</f>
      </c>
      <c r="AJ35" s="684">
        <f>IF(終値!A35="","",IFERROR(4*STDEVP(終値!AM35:BF35)/AVERAGE(終値!AM35:BF35),""))</f>
      </c>
      <c r="AK35" s="684">
        <f>IF(終値!A35="","",IFERROR(4*STDEVP(終値!AN35:BG35)/AVERAGE(終値!AN35:BG35),""))</f>
      </c>
      <c r="AL35" s="684">
        <f>IF(終値!A35="","",IFERROR(4*STDEVP(終値!AO35:BH35)/AVERAGE(終値!AO35:BH35),""))</f>
      </c>
      <c r="AM35" s="684">
        <f>IF(終値!A35="","",IFERROR(4*STDEVP(終値!AP35:BI35)/AVERAGE(終値!AP35:BI35),""))</f>
      </c>
      <c r="AN35" s="684">
        <f>IF(終値!A35="","",IFERROR(4*STDEVP(終値!AQ35:BJ35)/AVERAGE(終値!AQ35:BJ35),""))</f>
      </c>
      <c r="AO35" s="684">
        <f>IF(終値!A35="","",IFERROR(4*STDEVP(終値!AR35:BK35)/AVERAGE(終値!AR35:BK35),""))</f>
      </c>
      <c r="AP35" s="684">
        <f>IF(終値!A35="","",IFERROR(4*STDEVP(終値!AS35:BL35)/AVERAGE(終値!AS35:BL35),""))</f>
      </c>
    </row>
    <row r="36">
      <c r="A36" s="681">
        <f>IF(終値!A36="","",終値!A36)</f>
      </c>
      <c r="B36" s="684">
        <f>IF(終値!A36="","",IFERROR(4*STDEVP(終値!E36:X36)/AVERAGE(終値!E36:X36),""))</f>
      </c>
      <c r="C36" s="684">
        <f>IF(終値!A36="","",IFERROR(4*STDEVP(終値!F36:Y36)/AVERAGE(終値!F36:Y36),""))</f>
      </c>
      <c r="D36" s="684">
        <f>IF(終値!A36="","",IFERROR(4*STDEVP(終値!G36:Z36)/AVERAGE(終値!G36:Z36),""))</f>
      </c>
      <c r="E36" s="684">
        <f>IF(終値!A36="","",IFERROR(4*STDEVP(終値!H36:AA36)/AVERAGE(終値!H36:AA36),""))</f>
      </c>
      <c r="F36" s="684">
        <f>IF(終値!A36="","",IFERROR(4*STDEVP(終値!I36:AB36)/AVERAGE(終値!I36:AB36),""))</f>
      </c>
      <c r="G36" s="684">
        <f>IF(終値!A36="","",IFERROR(4*STDEVP(終値!J36:AC36)/AVERAGE(終値!J36:AC36),""))</f>
      </c>
      <c r="H36" s="684">
        <f>IF(終値!A36="","",IFERROR(4*STDEVP(終値!K36:AD36)/AVERAGE(終値!K36:AD36),""))</f>
      </c>
      <c r="I36" s="684">
        <f>IF(終値!A36="","",IFERROR(4*STDEVP(終値!L36:AE36)/AVERAGE(終値!L36:AE36),""))</f>
      </c>
      <c r="J36" s="684">
        <f>IF(終値!A36="","",IFERROR(4*STDEVP(終値!M36:AF36)/AVERAGE(終値!M36:AF36),""))</f>
      </c>
      <c r="K36" s="684">
        <f>IF(終値!A36="","",IFERROR(4*STDEVP(終値!N36:AG36)/AVERAGE(終値!N36:AG36),""))</f>
      </c>
      <c r="L36" s="684">
        <f>IF(終値!A36="","",IFERROR(4*STDEVP(終値!O36:AH36)/AVERAGE(終値!O36:AH36),""))</f>
      </c>
      <c r="M36" s="684">
        <f>IF(終値!A36="","",IFERROR(4*STDEVP(終値!P36:AI36)/AVERAGE(終値!P36:AI36),""))</f>
      </c>
      <c r="N36" s="684">
        <f>IF(終値!A36="","",IFERROR(4*STDEVP(終値!Q36:AJ36)/AVERAGE(終値!Q36:AJ36),""))</f>
      </c>
      <c r="O36" s="684">
        <f>IF(終値!A36="","",IFERROR(4*STDEVP(終値!R36:AK36)/AVERAGE(終値!R36:AK36),""))</f>
      </c>
      <c r="P36" s="684">
        <f>IF(終値!A36="","",IFERROR(4*STDEVP(終値!S36:AL36)/AVERAGE(終値!S36:AL36),""))</f>
      </c>
      <c r="Q36" s="684">
        <f>IF(終値!A36="","",IFERROR(4*STDEVP(終値!T36:AM36)/AVERAGE(終値!T36:AM36),""))</f>
      </c>
      <c r="R36" s="684">
        <f>IF(終値!A36="","",IFERROR(4*STDEVP(終値!U36:AN36)/AVERAGE(終値!U36:AN36),""))</f>
      </c>
      <c r="S36" s="684">
        <f>IF(終値!A36="","",IFERROR(4*STDEVP(終値!V36:AO36)/AVERAGE(終値!V36:AO36),""))</f>
      </c>
      <c r="T36" s="684">
        <f>IF(終値!A36="","",IFERROR(4*STDEVP(終値!W36:AP36)/AVERAGE(終値!W36:AP36),""))</f>
      </c>
      <c r="U36" s="684">
        <f>IF(終値!A36="","",IFERROR(4*STDEVP(終値!X36:AQ36)/AVERAGE(終値!X36:AQ36),""))</f>
      </c>
      <c r="V36" s="684">
        <f>IF(終値!A36="","",IFERROR(4*STDEVP(終値!Y36:AR36)/AVERAGE(終値!Y36:AR36),""))</f>
      </c>
      <c r="W36" s="684">
        <f>IF(終値!A36="","",IFERROR(4*STDEVP(終値!Z36:AS36)/AVERAGE(終値!Z36:AS36),""))</f>
      </c>
      <c r="X36" s="684">
        <f>IF(終値!A36="","",IFERROR(4*STDEVP(終値!AA36:AT36)/AVERAGE(終値!AA36:AT36),""))</f>
      </c>
      <c r="Y36" s="684">
        <f>IF(終値!A36="","",IFERROR(4*STDEVP(終値!AB36:AU36)/AVERAGE(終値!AB36:AU36),""))</f>
      </c>
      <c r="Z36" s="684">
        <f>IF(終値!A36="","",IFERROR(4*STDEVP(終値!AC36:AV36)/AVERAGE(終値!AC36:AV36),""))</f>
      </c>
      <c r="AA36" s="684">
        <f>IF(終値!A36="","",IFERROR(4*STDEVP(終値!AD36:AW36)/AVERAGE(終値!AD36:AW36),""))</f>
      </c>
      <c r="AB36" s="684">
        <f>IF(終値!A36="","",IFERROR(4*STDEVP(終値!AE36:AX36)/AVERAGE(終値!AE36:AX36),""))</f>
      </c>
      <c r="AC36" s="684">
        <f>IF(終値!A36="","",IFERROR(4*STDEVP(終値!AF36:AY36)/AVERAGE(終値!AF36:AY36),""))</f>
      </c>
      <c r="AD36" s="684">
        <f>IF(終値!A36="","",IFERROR(4*STDEVP(終値!AG36:AZ36)/AVERAGE(終値!AG36:AZ36),""))</f>
      </c>
      <c r="AE36" s="684">
        <f>IF(終値!A36="","",IFERROR(4*STDEVP(終値!AH36:BA36)/AVERAGE(終値!AH36:BA36),""))</f>
      </c>
      <c r="AF36" s="684">
        <f>IF(終値!A36="","",IFERROR(4*STDEVP(終値!AI36:BB36)/AVERAGE(終値!AI36:BB36),""))</f>
      </c>
      <c r="AG36" s="684">
        <f>IF(終値!A36="","",IFERROR(4*STDEVP(終値!AJ36:BC36)/AVERAGE(終値!AJ36:BC36),""))</f>
      </c>
      <c r="AH36" s="684">
        <f>IF(終値!A36="","",IFERROR(4*STDEVP(終値!AK36:BD36)/AVERAGE(終値!AK36:BD36),""))</f>
      </c>
      <c r="AI36" s="684">
        <f>IF(終値!A36="","",IFERROR(4*STDEVP(終値!AL36:BE36)/AVERAGE(終値!AL36:BE36),""))</f>
      </c>
      <c r="AJ36" s="684">
        <f>IF(終値!A36="","",IFERROR(4*STDEVP(終値!AM36:BF36)/AVERAGE(終値!AM36:BF36),""))</f>
      </c>
      <c r="AK36" s="684">
        <f>IF(終値!A36="","",IFERROR(4*STDEVP(終値!AN36:BG36)/AVERAGE(終値!AN36:BG36),""))</f>
      </c>
      <c r="AL36" s="684">
        <f>IF(終値!A36="","",IFERROR(4*STDEVP(終値!AO36:BH36)/AVERAGE(終値!AO36:BH36),""))</f>
      </c>
      <c r="AM36" s="684">
        <f>IF(終値!A36="","",IFERROR(4*STDEVP(終値!AP36:BI36)/AVERAGE(終値!AP36:BI36),""))</f>
      </c>
      <c r="AN36" s="684">
        <f>IF(終値!A36="","",IFERROR(4*STDEVP(終値!AQ36:BJ36)/AVERAGE(終値!AQ36:BJ36),""))</f>
      </c>
      <c r="AO36" s="684">
        <f>IF(終値!A36="","",IFERROR(4*STDEVP(終値!AR36:BK36)/AVERAGE(終値!AR36:BK36),""))</f>
      </c>
      <c r="AP36" s="684">
        <f>IF(終値!A36="","",IFERROR(4*STDEVP(終値!AS36:BL36)/AVERAGE(終値!AS36:BL36),""))</f>
      </c>
    </row>
    <row r="37">
      <c r="A37" s="681">
        <f>IF(終値!A37="","",終値!A37)</f>
      </c>
      <c r="B37" s="684">
        <f>IF(終値!A37="","",IFERROR(4*STDEVP(終値!E37:X37)/AVERAGE(終値!E37:X37),""))</f>
      </c>
      <c r="C37" s="684">
        <f>IF(終値!A37="","",IFERROR(4*STDEVP(終値!F37:Y37)/AVERAGE(終値!F37:Y37),""))</f>
      </c>
      <c r="D37" s="684">
        <f>IF(終値!A37="","",IFERROR(4*STDEVP(終値!G37:Z37)/AVERAGE(終値!G37:Z37),""))</f>
      </c>
      <c r="E37" s="684">
        <f>IF(終値!A37="","",IFERROR(4*STDEVP(終値!H37:AA37)/AVERAGE(終値!H37:AA37),""))</f>
      </c>
      <c r="F37" s="684">
        <f>IF(終値!A37="","",IFERROR(4*STDEVP(終値!I37:AB37)/AVERAGE(終値!I37:AB37),""))</f>
      </c>
      <c r="G37" s="684">
        <f>IF(終値!A37="","",IFERROR(4*STDEVP(終値!J37:AC37)/AVERAGE(終値!J37:AC37),""))</f>
      </c>
      <c r="H37" s="684">
        <f>IF(終値!A37="","",IFERROR(4*STDEVP(終値!K37:AD37)/AVERAGE(終値!K37:AD37),""))</f>
      </c>
      <c r="I37" s="684">
        <f>IF(終値!A37="","",IFERROR(4*STDEVP(終値!L37:AE37)/AVERAGE(終値!L37:AE37),""))</f>
      </c>
      <c r="J37" s="684">
        <f>IF(終値!A37="","",IFERROR(4*STDEVP(終値!M37:AF37)/AVERAGE(終値!M37:AF37),""))</f>
      </c>
      <c r="K37" s="684">
        <f>IF(終値!A37="","",IFERROR(4*STDEVP(終値!N37:AG37)/AVERAGE(終値!N37:AG37),""))</f>
      </c>
      <c r="L37" s="684">
        <f>IF(終値!A37="","",IFERROR(4*STDEVP(終値!O37:AH37)/AVERAGE(終値!O37:AH37),""))</f>
      </c>
      <c r="M37" s="684">
        <f>IF(終値!A37="","",IFERROR(4*STDEVP(終値!P37:AI37)/AVERAGE(終値!P37:AI37),""))</f>
      </c>
      <c r="N37" s="684">
        <f>IF(終値!A37="","",IFERROR(4*STDEVP(終値!Q37:AJ37)/AVERAGE(終値!Q37:AJ37),""))</f>
      </c>
      <c r="O37" s="684">
        <f>IF(終値!A37="","",IFERROR(4*STDEVP(終値!R37:AK37)/AVERAGE(終値!R37:AK37),""))</f>
      </c>
      <c r="P37" s="684">
        <f>IF(終値!A37="","",IFERROR(4*STDEVP(終値!S37:AL37)/AVERAGE(終値!S37:AL37),""))</f>
      </c>
      <c r="Q37" s="684">
        <f>IF(終値!A37="","",IFERROR(4*STDEVP(終値!T37:AM37)/AVERAGE(終値!T37:AM37),""))</f>
      </c>
      <c r="R37" s="684">
        <f>IF(終値!A37="","",IFERROR(4*STDEVP(終値!U37:AN37)/AVERAGE(終値!U37:AN37),""))</f>
      </c>
      <c r="S37" s="684">
        <f>IF(終値!A37="","",IFERROR(4*STDEVP(終値!V37:AO37)/AVERAGE(終値!V37:AO37),""))</f>
      </c>
      <c r="T37" s="684">
        <f>IF(終値!A37="","",IFERROR(4*STDEVP(終値!W37:AP37)/AVERAGE(終値!W37:AP37),""))</f>
      </c>
      <c r="U37" s="684">
        <f>IF(終値!A37="","",IFERROR(4*STDEVP(終値!X37:AQ37)/AVERAGE(終値!X37:AQ37),""))</f>
      </c>
      <c r="V37" s="684">
        <f>IF(終値!A37="","",IFERROR(4*STDEVP(終値!Y37:AR37)/AVERAGE(終値!Y37:AR37),""))</f>
      </c>
      <c r="W37" s="684">
        <f>IF(終値!A37="","",IFERROR(4*STDEVP(終値!Z37:AS37)/AVERAGE(終値!Z37:AS37),""))</f>
      </c>
      <c r="X37" s="684">
        <f>IF(終値!A37="","",IFERROR(4*STDEVP(終値!AA37:AT37)/AVERAGE(終値!AA37:AT37),""))</f>
      </c>
      <c r="Y37" s="684">
        <f>IF(終値!A37="","",IFERROR(4*STDEVP(終値!AB37:AU37)/AVERAGE(終値!AB37:AU37),""))</f>
      </c>
      <c r="Z37" s="684">
        <f>IF(終値!A37="","",IFERROR(4*STDEVP(終値!AC37:AV37)/AVERAGE(終値!AC37:AV37),""))</f>
      </c>
      <c r="AA37" s="684">
        <f>IF(終値!A37="","",IFERROR(4*STDEVP(終値!AD37:AW37)/AVERAGE(終値!AD37:AW37),""))</f>
      </c>
      <c r="AB37" s="684">
        <f>IF(終値!A37="","",IFERROR(4*STDEVP(終値!AE37:AX37)/AVERAGE(終値!AE37:AX37),""))</f>
      </c>
      <c r="AC37" s="684">
        <f>IF(終値!A37="","",IFERROR(4*STDEVP(終値!AF37:AY37)/AVERAGE(終値!AF37:AY37),""))</f>
      </c>
      <c r="AD37" s="684">
        <f>IF(終値!A37="","",IFERROR(4*STDEVP(終値!AG37:AZ37)/AVERAGE(終値!AG37:AZ37),""))</f>
      </c>
      <c r="AE37" s="684">
        <f>IF(終値!A37="","",IFERROR(4*STDEVP(終値!AH37:BA37)/AVERAGE(終値!AH37:BA37),""))</f>
      </c>
      <c r="AF37" s="684">
        <f>IF(終値!A37="","",IFERROR(4*STDEVP(終値!AI37:BB37)/AVERAGE(終値!AI37:BB37),""))</f>
      </c>
      <c r="AG37" s="684">
        <f>IF(終値!A37="","",IFERROR(4*STDEVP(終値!AJ37:BC37)/AVERAGE(終値!AJ37:BC37),""))</f>
      </c>
      <c r="AH37" s="684">
        <f>IF(終値!A37="","",IFERROR(4*STDEVP(終値!AK37:BD37)/AVERAGE(終値!AK37:BD37),""))</f>
      </c>
      <c r="AI37" s="684">
        <f>IF(終値!A37="","",IFERROR(4*STDEVP(終値!AL37:BE37)/AVERAGE(終値!AL37:BE37),""))</f>
      </c>
      <c r="AJ37" s="684">
        <f>IF(終値!A37="","",IFERROR(4*STDEVP(終値!AM37:BF37)/AVERAGE(終値!AM37:BF37),""))</f>
      </c>
      <c r="AK37" s="684">
        <f>IF(終値!A37="","",IFERROR(4*STDEVP(終値!AN37:BG37)/AVERAGE(終値!AN37:BG37),""))</f>
      </c>
      <c r="AL37" s="684">
        <f>IF(終値!A37="","",IFERROR(4*STDEVP(終値!AO37:BH37)/AVERAGE(終値!AO37:BH37),""))</f>
      </c>
      <c r="AM37" s="684">
        <f>IF(終値!A37="","",IFERROR(4*STDEVP(終値!AP37:BI37)/AVERAGE(終値!AP37:BI37),""))</f>
      </c>
      <c r="AN37" s="684">
        <f>IF(終値!A37="","",IFERROR(4*STDEVP(終値!AQ37:BJ37)/AVERAGE(終値!AQ37:BJ37),""))</f>
      </c>
      <c r="AO37" s="684">
        <f>IF(終値!A37="","",IFERROR(4*STDEVP(終値!AR37:BK37)/AVERAGE(終値!AR37:BK37),""))</f>
      </c>
      <c r="AP37" s="684">
        <f>IF(終値!A37="","",IFERROR(4*STDEVP(終値!AS37:BL37)/AVERAGE(終値!AS37:BL37),""))</f>
      </c>
    </row>
    <row r="38">
      <c r="A38" s="681">
        <f>IF(終値!A38="","",終値!A38)</f>
      </c>
      <c r="B38" s="684">
        <f>IF(終値!A38="","",IFERROR(4*STDEVP(終値!E38:X38)/AVERAGE(終値!E38:X38),""))</f>
      </c>
      <c r="C38" s="684">
        <f>IF(終値!A38="","",IFERROR(4*STDEVP(終値!F38:Y38)/AVERAGE(終値!F38:Y38),""))</f>
      </c>
      <c r="D38" s="684">
        <f>IF(終値!A38="","",IFERROR(4*STDEVP(終値!G38:Z38)/AVERAGE(終値!G38:Z38),""))</f>
      </c>
      <c r="E38" s="684">
        <f>IF(終値!A38="","",IFERROR(4*STDEVP(終値!H38:AA38)/AVERAGE(終値!H38:AA38),""))</f>
      </c>
      <c r="F38" s="684">
        <f>IF(終値!A38="","",IFERROR(4*STDEVP(終値!I38:AB38)/AVERAGE(終値!I38:AB38),""))</f>
      </c>
      <c r="G38" s="684">
        <f>IF(終値!A38="","",IFERROR(4*STDEVP(終値!J38:AC38)/AVERAGE(終値!J38:AC38),""))</f>
      </c>
      <c r="H38" s="684">
        <f>IF(終値!A38="","",IFERROR(4*STDEVP(終値!K38:AD38)/AVERAGE(終値!K38:AD38),""))</f>
      </c>
      <c r="I38" s="684">
        <f>IF(終値!A38="","",IFERROR(4*STDEVP(終値!L38:AE38)/AVERAGE(終値!L38:AE38),""))</f>
      </c>
      <c r="J38" s="684">
        <f>IF(終値!A38="","",IFERROR(4*STDEVP(終値!M38:AF38)/AVERAGE(終値!M38:AF38),""))</f>
      </c>
      <c r="K38" s="684">
        <f>IF(終値!A38="","",IFERROR(4*STDEVP(終値!N38:AG38)/AVERAGE(終値!N38:AG38),""))</f>
      </c>
      <c r="L38" s="684">
        <f>IF(終値!A38="","",IFERROR(4*STDEVP(終値!O38:AH38)/AVERAGE(終値!O38:AH38),""))</f>
      </c>
      <c r="M38" s="684">
        <f>IF(終値!A38="","",IFERROR(4*STDEVP(終値!P38:AI38)/AVERAGE(終値!P38:AI38),""))</f>
      </c>
      <c r="N38" s="684">
        <f>IF(終値!A38="","",IFERROR(4*STDEVP(終値!Q38:AJ38)/AVERAGE(終値!Q38:AJ38),""))</f>
      </c>
      <c r="O38" s="684">
        <f>IF(終値!A38="","",IFERROR(4*STDEVP(終値!R38:AK38)/AVERAGE(終値!R38:AK38),""))</f>
      </c>
      <c r="P38" s="684">
        <f>IF(終値!A38="","",IFERROR(4*STDEVP(終値!S38:AL38)/AVERAGE(終値!S38:AL38),""))</f>
      </c>
      <c r="Q38" s="684">
        <f>IF(終値!A38="","",IFERROR(4*STDEVP(終値!T38:AM38)/AVERAGE(終値!T38:AM38),""))</f>
      </c>
      <c r="R38" s="684">
        <f>IF(終値!A38="","",IFERROR(4*STDEVP(終値!U38:AN38)/AVERAGE(終値!U38:AN38),""))</f>
      </c>
      <c r="S38" s="684">
        <f>IF(終値!A38="","",IFERROR(4*STDEVP(終値!V38:AO38)/AVERAGE(終値!V38:AO38),""))</f>
      </c>
      <c r="T38" s="684">
        <f>IF(終値!A38="","",IFERROR(4*STDEVP(終値!W38:AP38)/AVERAGE(終値!W38:AP38),""))</f>
      </c>
      <c r="U38" s="684">
        <f>IF(終値!A38="","",IFERROR(4*STDEVP(終値!X38:AQ38)/AVERAGE(終値!X38:AQ38),""))</f>
      </c>
      <c r="V38" s="684">
        <f>IF(終値!A38="","",IFERROR(4*STDEVP(終値!Y38:AR38)/AVERAGE(終値!Y38:AR38),""))</f>
      </c>
      <c r="W38" s="684">
        <f>IF(終値!A38="","",IFERROR(4*STDEVP(終値!Z38:AS38)/AVERAGE(終値!Z38:AS38),""))</f>
      </c>
      <c r="X38" s="684">
        <f>IF(終値!A38="","",IFERROR(4*STDEVP(終値!AA38:AT38)/AVERAGE(終値!AA38:AT38),""))</f>
      </c>
      <c r="Y38" s="684">
        <f>IF(終値!A38="","",IFERROR(4*STDEVP(終値!AB38:AU38)/AVERAGE(終値!AB38:AU38),""))</f>
      </c>
      <c r="Z38" s="684">
        <f>IF(終値!A38="","",IFERROR(4*STDEVP(終値!AC38:AV38)/AVERAGE(終値!AC38:AV38),""))</f>
      </c>
      <c r="AA38" s="684">
        <f>IF(終値!A38="","",IFERROR(4*STDEVP(終値!AD38:AW38)/AVERAGE(終値!AD38:AW38),""))</f>
      </c>
      <c r="AB38" s="684">
        <f>IF(終値!A38="","",IFERROR(4*STDEVP(終値!AE38:AX38)/AVERAGE(終値!AE38:AX38),""))</f>
      </c>
      <c r="AC38" s="684">
        <f>IF(終値!A38="","",IFERROR(4*STDEVP(終値!AF38:AY38)/AVERAGE(終値!AF38:AY38),""))</f>
      </c>
      <c r="AD38" s="684">
        <f>IF(終値!A38="","",IFERROR(4*STDEVP(終値!AG38:AZ38)/AVERAGE(終値!AG38:AZ38),""))</f>
      </c>
      <c r="AE38" s="684">
        <f>IF(終値!A38="","",IFERROR(4*STDEVP(終値!AH38:BA38)/AVERAGE(終値!AH38:BA38),""))</f>
      </c>
      <c r="AF38" s="684">
        <f>IF(終値!A38="","",IFERROR(4*STDEVP(終値!AI38:BB38)/AVERAGE(終値!AI38:BB38),""))</f>
      </c>
      <c r="AG38" s="684">
        <f>IF(終値!A38="","",IFERROR(4*STDEVP(終値!AJ38:BC38)/AVERAGE(終値!AJ38:BC38),""))</f>
      </c>
      <c r="AH38" s="684">
        <f>IF(終値!A38="","",IFERROR(4*STDEVP(終値!AK38:BD38)/AVERAGE(終値!AK38:BD38),""))</f>
      </c>
      <c r="AI38" s="684">
        <f>IF(終値!A38="","",IFERROR(4*STDEVP(終値!AL38:BE38)/AVERAGE(終値!AL38:BE38),""))</f>
      </c>
      <c r="AJ38" s="684">
        <f>IF(終値!A38="","",IFERROR(4*STDEVP(終値!AM38:BF38)/AVERAGE(終値!AM38:BF38),""))</f>
      </c>
      <c r="AK38" s="684">
        <f>IF(終値!A38="","",IFERROR(4*STDEVP(終値!AN38:BG38)/AVERAGE(終値!AN38:BG38),""))</f>
      </c>
      <c r="AL38" s="684">
        <f>IF(終値!A38="","",IFERROR(4*STDEVP(終値!AO38:BH38)/AVERAGE(終値!AO38:BH38),""))</f>
      </c>
      <c r="AM38" s="684">
        <f>IF(終値!A38="","",IFERROR(4*STDEVP(終値!AP38:BI38)/AVERAGE(終値!AP38:BI38),""))</f>
      </c>
      <c r="AN38" s="684">
        <f>IF(終値!A38="","",IFERROR(4*STDEVP(終値!AQ38:BJ38)/AVERAGE(終値!AQ38:BJ38),""))</f>
      </c>
      <c r="AO38" s="684">
        <f>IF(終値!A38="","",IFERROR(4*STDEVP(終値!AR38:BK38)/AVERAGE(終値!AR38:BK38),""))</f>
      </c>
      <c r="AP38" s="684">
        <f>IF(終値!A38="","",IFERROR(4*STDEVP(終値!AS38:BL38)/AVERAGE(終値!AS38:BL38),""))</f>
      </c>
    </row>
    <row r="39">
      <c r="A39" s="681">
        <f>IF(終値!A39="","",終値!A39)</f>
      </c>
      <c r="B39" s="684">
        <f>IF(終値!A39="","",IFERROR(4*STDEVP(終値!E39:X39)/AVERAGE(終値!E39:X39),""))</f>
      </c>
      <c r="C39" s="684">
        <f>IF(終値!A39="","",IFERROR(4*STDEVP(終値!F39:Y39)/AVERAGE(終値!F39:Y39),""))</f>
      </c>
      <c r="D39" s="684">
        <f>IF(終値!A39="","",IFERROR(4*STDEVP(終値!G39:Z39)/AVERAGE(終値!G39:Z39),""))</f>
      </c>
      <c r="E39" s="684">
        <f>IF(終値!A39="","",IFERROR(4*STDEVP(終値!H39:AA39)/AVERAGE(終値!H39:AA39),""))</f>
      </c>
      <c r="F39" s="684">
        <f>IF(終値!A39="","",IFERROR(4*STDEVP(終値!I39:AB39)/AVERAGE(終値!I39:AB39),""))</f>
      </c>
      <c r="G39" s="684">
        <f>IF(終値!A39="","",IFERROR(4*STDEVP(終値!J39:AC39)/AVERAGE(終値!J39:AC39),""))</f>
      </c>
      <c r="H39" s="684">
        <f>IF(終値!A39="","",IFERROR(4*STDEVP(終値!K39:AD39)/AVERAGE(終値!K39:AD39),""))</f>
      </c>
      <c r="I39" s="684">
        <f>IF(終値!A39="","",IFERROR(4*STDEVP(終値!L39:AE39)/AVERAGE(終値!L39:AE39),""))</f>
      </c>
      <c r="J39" s="684">
        <f>IF(終値!A39="","",IFERROR(4*STDEVP(終値!M39:AF39)/AVERAGE(終値!M39:AF39),""))</f>
      </c>
      <c r="K39" s="684">
        <f>IF(終値!A39="","",IFERROR(4*STDEVP(終値!N39:AG39)/AVERAGE(終値!N39:AG39),""))</f>
      </c>
      <c r="L39" s="684">
        <f>IF(終値!A39="","",IFERROR(4*STDEVP(終値!O39:AH39)/AVERAGE(終値!O39:AH39),""))</f>
      </c>
      <c r="M39" s="684">
        <f>IF(終値!A39="","",IFERROR(4*STDEVP(終値!P39:AI39)/AVERAGE(終値!P39:AI39),""))</f>
      </c>
      <c r="N39" s="684">
        <f>IF(終値!A39="","",IFERROR(4*STDEVP(終値!Q39:AJ39)/AVERAGE(終値!Q39:AJ39),""))</f>
      </c>
      <c r="O39" s="684">
        <f>IF(終値!A39="","",IFERROR(4*STDEVP(終値!R39:AK39)/AVERAGE(終値!R39:AK39),""))</f>
      </c>
      <c r="P39" s="684">
        <f>IF(終値!A39="","",IFERROR(4*STDEVP(終値!S39:AL39)/AVERAGE(終値!S39:AL39),""))</f>
      </c>
      <c r="Q39" s="684">
        <f>IF(終値!A39="","",IFERROR(4*STDEVP(終値!T39:AM39)/AVERAGE(終値!T39:AM39),""))</f>
      </c>
      <c r="R39" s="684">
        <f>IF(終値!A39="","",IFERROR(4*STDEVP(終値!U39:AN39)/AVERAGE(終値!U39:AN39),""))</f>
      </c>
      <c r="S39" s="684">
        <f>IF(終値!A39="","",IFERROR(4*STDEVP(終値!V39:AO39)/AVERAGE(終値!V39:AO39),""))</f>
      </c>
      <c r="T39" s="684">
        <f>IF(終値!A39="","",IFERROR(4*STDEVP(終値!W39:AP39)/AVERAGE(終値!W39:AP39),""))</f>
      </c>
      <c r="U39" s="684">
        <f>IF(終値!A39="","",IFERROR(4*STDEVP(終値!X39:AQ39)/AVERAGE(終値!X39:AQ39),""))</f>
      </c>
      <c r="V39" s="684">
        <f>IF(終値!A39="","",IFERROR(4*STDEVP(終値!Y39:AR39)/AVERAGE(終値!Y39:AR39),""))</f>
      </c>
      <c r="W39" s="684">
        <f>IF(終値!A39="","",IFERROR(4*STDEVP(終値!Z39:AS39)/AVERAGE(終値!Z39:AS39),""))</f>
      </c>
      <c r="X39" s="684">
        <f>IF(終値!A39="","",IFERROR(4*STDEVP(終値!AA39:AT39)/AVERAGE(終値!AA39:AT39),""))</f>
      </c>
      <c r="Y39" s="684">
        <f>IF(終値!A39="","",IFERROR(4*STDEVP(終値!AB39:AU39)/AVERAGE(終値!AB39:AU39),""))</f>
      </c>
      <c r="Z39" s="684">
        <f>IF(終値!A39="","",IFERROR(4*STDEVP(終値!AC39:AV39)/AVERAGE(終値!AC39:AV39),""))</f>
      </c>
      <c r="AA39" s="684">
        <f>IF(終値!A39="","",IFERROR(4*STDEVP(終値!AD39:AW39)/AVERAGE(終値!AD39:AW39),""))</f>
      </c>
      <c r="AB39" s="684">
        <f>IF(終値!A39="","",IFERROR(4*STDEVP(終値!AE39:AX39)/AVERAGE(終値!AE39:AX39),""))</f>
      </c>
      <c r="AC39" s="684">
        <f>IF(終値!A39="","",IFERROR(4*STDEVP(終値!AF39:AY39)/AVERAGE(終値!AF39:AY39),""))</f>
      </c>
      <c r="AD39" s="684">
        <f>IF(終値!A39="","",IFERROR(4*STDEVP(終値!AG39:AZ39)/AVERAGE(終値!AG39:AZ39),""))</f>
      </c>
      <c r="AE39" s="684">
        <f>IF(終値!A39="","",IFERROR(4*STDEVP(終値!AH39:BA39)/AVERAGE(終値!AH39:BA39),""))</f>
      </c>
      <c r="AF39" s="684">
        <f>IF(終値!A39="","",IFERROR(4*STDEVP(終値!AI39:BB39)/AVERAGE(終値!AI39:BB39),""))</f>
      </c>
      <c r="AG39" s="684">
        <f>IF(終値!A39="","",IFERROR(4*STDEVP(終値!AJ39:BC39)/AVERAGE(終値!AJ39:BC39),""))</f>
      </c>
      <c r="AH39" s="684">
        <f>IF(終値!A39="","",IFERROR(4*STDEVP(終値!AK39:BD39)/AVERAGE(終値!AK39:BD39),""))</f>
      </c>
      <c r="AI39" s="684">
        <f>IF(終値!A39="","",IFERROR(4*STDEVP(終値!AL39:BE39)/AVERAGE(終値!AL39:BE39),""))</f>
      </c>
      <c r="AJ39" s="684">
        <f>IF(終値!A39="","",IFERROR(4*STDEVP(終値!AM39:BF39)/AVERAGE(終値!AM39:BF39),""))</f>
      </c>
      <c r="AK39" s="684">
        <f>IF(終値!A39="","",IFERROR(4*STDEVP(終値!AN39:BG39)/AVERAGE(終値!AN39:BG39),""))</f>
      </c>
      <c r="AL39" s="684">
        <f>IF(終値!A39="","",IFERROR(4*STDEVP(終値!AO39:BH39)/AVERAGE(終値!AO39:BH39),""))</f>
      </c>
      <c r="AM39" s="684">
        <f>IF(終値!A39="","",IFERROR(4*STDEVP(終値!AP39:BI39)/AVERAGE(終値!AP39:BI39),""))</f>
      </c>
      <c r="AN39" s="684">
        <f>IF(終値!A39="","",IFERROR(4*STDEVP(終値!AQ39:BJ39)/AVERAGE(終値!AQ39:BJ39),""))</f>
      </c>
      <c r="AO39" s="684">
        <f>IF(終値!A39="","",IFERROR(4*STDEVP(終値!AR39:BK39)/AVERAGE(終値!AR39:BK39),""))</f>
      </c>
      <c r="AP39" s="684">
        <f>IF(終値!A39="","",IFERROR(4*STDEVP(終値!AS39:BL39)/AVERAGE(終値!AS39:BL39),""))</f>
      </c>
    </row>
    <row r="40">
      <c r="A40" s="681">
        <f>IF(終値!A40="","",終値!A40)</f>
      </c>
      <c r="B40" s="684">
        <f>IF(終値!A40="","",IFERROR(4*STDEVP(終値!E40:X40)/AVERAGE(終値!E40:X40),""))</f>
      </c>
      <c r="C40" s="684">
        <f>IF(終値!A40="","",IFERROR(4*STDEVP(終値!F40:Y40)/AVERAGE(終値!F40:Y40),""))</f>
      </c>
      <c r="D40" s="684">
        <f>IF(終値!A40="","",IFERROR(4*STDEVP(終値!G40:Z40)/AVERAGE(終値!G40:Z40),""))</f>
      </c>
      <c r="E40" s="684">
        <f>IF(終値!A40="","",IFERROR(4*STDEVP(終値!H40:AA40)/AVERAGE(終値!H40:AA40),""))</f>
      </c>
      <c r="F40" s="684">
        <f>IF(終値!A40="","",IFERROR(4*STDEVP(終値!I40:AB40)/AVERAGE(終値!I40:AB40),""))</f>
      </c>
      <c r="G40" s="684">
        <f>IF(終値!A40="","",IFERROR(4*STDEVP(終値!J40:AC40)/AVERAGE(終値!J40:AC40),""))</f>
      </c>
      <c r="H40" s="684">
        <f>IF(終値!A40="","",IFERROR(4*STDEVP(終値!K40:AD40)/AVERAGE(終値!K40:AD40),""))</f>
      </c>
      <c r="I40" s="684">
        <f>IF(終値!A40="","",IFERROR(4*STDEVP(終値!L40:AE40)/AVERAGE(終値!L40:AE40),""))</f>
      </c>
      <c r="J40" s="684">
        <f>IF(終値!A40="","",IFERROR(4*STDEVP(終値!M40:AF40)/AVERAGE(終値!M40:AF40),""))</f>
      </c>
      <c r="K40" s="684">
        <f>IF(終値!A40="","",IFERROR(4*STDEVP(終値!N40:AG40)/AVERAGE(終値!N40:AG40),""))</f>
      </c>
      <c r="L40" s="684">
        <f>IF(終値!A40="","",IFERROR(4*STDEVP(終値!O40:AH40)/AVERAGE(終値!O40:AH40),""))</f>
      </c>
      <c r="M40" s="684">
        <f>IF(終値!A40="","",IFERROR(4*STDEVP(終値!P40:AI40)/AVERAGE(終値!P40:AI40),""))</f>
      </c>
      <c r="N40" s="684">
        <f>IF(終値!A40="","",IFERROR(4*STDEVP(終値!Q40:AJ40)/AVERAGE(終値!Q40:AJ40),""))</f>
      </c>
      <c r="O40" s="684">
        <f>IF(終値!A40="","",IFERROR(4*STDEVP(終値!R40:AK40)/AVERAGE(終値!R40:AK40),""))</f>
      </c>
      <c r="P40" s="684">
        <f>IF(終値!A40="","",IFERROR(4*STDEVP(終値!S40:AL40)/AVERAGE(終値!S40:AL40),""))</f>
      </c>
      <c r="Q40" s="684">
        <f>IF(終値!A40="","",IFERROR(4*STDEVP(終値!T40:AM40)/AVERAGE(終値!T40:AM40),""))</f>
      </c>
      <c r="R40" s="684">
        <f>IF(終値!A40="","",IFERROR(4*STDEVP(終値!U40:AN40)/AVERAGE(終値!U40:AN40),""))</f>
      </c>
      <c r="S40" s="684">
        <f>IF(終値!A40="","",IFERROR(4*STDEVP(終値!V40:AO40)/AVERAGE(終値!V40:AO40),""))</f>
      </c>
      <c r="T40" s="684">
        <f>IF(終値!A40="","",IFERROR(4*STDEVP(終値!W40:AP40)/AVERAGE(終値!W40:AP40),""))</f>
      </c>
      <c r="U40" s="684">
        <f>IF(終値!A40="","",IFERROR(4*STDEVP(終値!X40:AQ40)/AVERAGE(終値!X40:AQ40),""))</f>
      </c>
      <c r="V40" s="684">
        <f>IF(終値!A40="","",IFERROR(4*STDEVP(終値!Y40:AR40)/AVERAGE(終値!Y40:AR40),""))</f>
      </c>
      <c r="W40" s="684">
        <f>IF(終値!A40="","",IFERROR(4*STDEVP(終値!Z40:AS40)/AVERAGE(終値!Z40:AS40),""))</f>
      </c>
      <c r="X40" s="684">
        <f>IF(終値!A40="","",IFERROR(4*STDEVP(終値!AA40:AT40)/AVERAGE(終値!AA40:AT40),""))</f>
      </c>
      <c r="Y40" s="684">
        <f>IF(終値!A40="","",IFERROR(4*STDEVP(終値!AB40:AU40)/AVERAGE(終値!AB40:AU40),""))</f>
      </c>
      <c r="Z40" s="684">
        <f>IF(終値!A40="","",IFERROR(4*STDEVP(終値!AC40:AV40)/AVERAGE(終値!AC40:AV40),""))</f>
      </c>
      <c r="AA40" s="684">
        <f>IF(終値!A40="","",IFERROR(4*STDEVP(終値!AD40:AW40)/AVERAGE(終値!AD40:AW40),""))</f>
      </c>
      <c r="AB40" s="684">
        <f>IF(終値!A40="","",IFERROR(4*STDEVP(終値!AE40:AX40)/AVERAGE(終値!AE40:AX40),""))</f>
      </c>
      <c r="AC40" s="684">
        <f>IF(終値!A40="","",IFERROR(4*STDEVP(終値!AF40:AY40)/AVERAGE(終値!AF40:AY40),""))</f>
      </c>
      <c r="AD40" s="684">
        <f>IF(終値!A40="","",IFERROR(4*STDEVP(終値!AG40:AZ40)/AVERAGE(終値!AG40:AZ40),""))</f>
      </c>
      <c r="AE40" s="684">
        <f>IF(終値!A40="","",IFERROR(4*STDEVP(終値!AH40:BA40)/AVERAGE(終値!AH40:BA40),""))</f>
      </c>
      <c r="AF40" s="684">
        <f>IF(終値!A40="","",IFERROR(4*STDEVP(終値!AI40:BB40)/AVERAGE(終値!AI40:BB40),""))</f>
      </c>
      <c r="AG40" s="684">
        <f>IF(終値!A40="","",IFERROR(4*STDEVP(終値!AJ40:BC40)/AVERAGE(終値!AJ40:BC40),""))</f>
      </c>
      <c r="AH40" s="684">
        <f>IF(終値!A40="","",IFERROR(4*STDEVP(終値!AK40:BD40)/AVERAGE(終値!AK40:BD40),""))</f>
      </c>
      <c r="AI40" s="684">
        <f>IF(終値!A40="","",IFERROR(4*STDEVP(終値!AL40:BE40)/AVERAGE(終値!AL40:BE40),""))</f>
      </c>
      <c r="AJ40" s="684">
        <f>IF(終値!A40="","",IFERROR(4*STDEVP(終値!AM40:BF40)/AVERAGE(終値!AM40:BF40),""))</f>
      </c>
      <c r="AK40" s="684">
        <f>IF(終値!A40="","",IFERROR(4*STDEVP(終値!AN40:BG40)/AVERAGE(終値!AN40:BG40),""))</f>
      </c>
      <c r="AL40" s="684">
        <f>IF(終値!A40="","",IFERROR(4*STDEVP(終値!AO40:BH40)/AVERAGE(終値!AO40:BH40),""))</f>
      </c>
      <c r="AM40" s="684">
        <f>IF(終値!A40="","",IFERROR(4*STDEVP(終値!AP40:BI40)/AVERAGE(終値!AP40:BI40),""))</f>
      </c>
      <c r="AN40" s="684">
        <f>IF(終値!A40="","",IFERROR(4*STDEVP(終値!AQ40:BJ40)/AVERAGE(終値!AQ40:BJ40),""))</f>
      </c>
      <c r="AO40" s="684">
        <f>IF(終値!A40="","",IFERROR(4*STDEVP(終値!AR40:BK40)/AVERAGE(終値!AR40:BK40),""))</f>
      </c>
      <c r="AP40" s="684">
        <f>IF(終値!A40="","",IFERROR(4*STDEVP(終値!AS40:BL40)/AVERAGE(終値!AS40:BL40),""))</f>
      </c>
    </row>
    <row r="41">
      <c r="A41" s="681">
        <f>IF(終値!A41="","",終値!A41)</f>
      </c>
      <c r="B41" s="684">
        <f>IF(終値!A41="","",IFERROR(4*STDEVP(終値!E41:X41)/AVERAGE(終値!E41:X41),""))</f>
      </c>
      <c r="C41" s="684">
        <f>IF(終値!A41="","",IFERROR(4*STDEVP(終値!F41:Y41)/AVERAGE(終値!F41:Y41),""))</f>
      </c>
      <c r="D41" s="684">
        <f>IF(終値!A41="","",IFERROR(4*STDEVP(終値!G41:Z41)/AVERAGE(終値!G41:Z41),""))</f>
      </c>
      <c r="E41" s="684">
        <f>IF(終値!A41="","",IFERROR(4*STDEVP(終値!H41:AA41)/AVERAGE(終値!H41:AA41),""))</f>
      </c>
      <c r="F41" s="684">
        <f>IF(終値!A41="","",IFERROR(4*STDEVP(終値!I41:AB41)/AVERAGE(終値!I41:AB41),""))</f>
      </c>
      <c r="G41" s="684">
        <f>IF(終値!A41="","",IFERROR(4*STDEVP(終値!J41:AC41)/AVERAGE(終値!J41:AC41),""))</f>
      </c>
      <c r="H41" s="684">
        <f>IF(終値!A41="","",IFERROR(4*STDEVP(終値!K41:AD41)/AVERAGE(終値!K41:AD41),""))</f>
      </c>
      <c r="I41" s="684">
        <f>IF(終値!A41="","",IFERROR(4*STDEVP(終値!L41:AE41)/AVERAGE(終値!L41:AE41),""))</f>
      </c>
      <c r="J41" s="684">
        <f>IF(終値!A41="","",IFERROR(4*STDEVP(終値!M41:AF41)/AVERAGE(終値!M41:AF41),""))</f>
      </c>
      <c r="K41" s="684">
        <f>IF(終値!A41="","",IFERROR(4*STDEVP(終値!N41:AG41)/AVERAGE(終値!N41:AG41),""))</f>
      </c>
      <c r="L41" s="684">
        <f>IF(終値!A41="","",IFERROR(4*STDEVP(終値!O41:AH41)/AVERAGE(終値!O41:AH41),""))</f>
      </c>
      <c r="M41" s="684">
        <f>IF(終値!A41="","",IFERROR(4*STDEVP(終値!P41:AI41)/AVERAGE(終値!P41:AI41),""))</f>
      </c>
      <c r="N41" s="684">
        <f>IF(終値!A41="","",IFERROR(4*STDEVP(終値!Q41:AJ41)/AVERAGE(終値!Q41:AJ41),""))</f>
      </c>
      <c r="O41" s="684">
        <f>IF(終値!A41="","",IFERROR(4*STDEVP(終値!R41:AK41)/AVERAGE(終値!R41:AK41),""))</f>
      </c>
      <c r="P41" s="684">
        <f>IF(終値!A41="","",IFERROR(4*STDEVP(終値!S41:AL41)/AVERAGE(終値!S41:AL41),""))</f>
      </c>
      <c r="Q41" s="684">
        <f>IF(終値!A41="","",IFERROR(4*STDEVP(終値!T41:AM41)/AVERAGE(終値!T41:AM41),""))</f>
      </c>
      <c r="R41" s="684">
        <f>IF(終値!A41="","",IFERROR(4*STDEVP(終値!U41:AN41)/AVERAGE(終値!U41:AN41),""))</f>
      </c>
      <c r="S41" s="684">
        <f>IF(終値!A41="","",IFERROR(4*STDEVP(終値!V41:AO41)/AVERAGE(終値!V41:AO41),""))</f>
      </c>
      <c r="T41" s="684">
        <f>IF(終値!A41="","",IFERROR(4*STDEVP(終値!W41:AP41)/AVERAGE(終値!W41:AP41),""))</f>
      </c>
      <c r="U41" s="684">
        <f>IF(終値!A41="","",IFERROR(4*STDEVP(終値!X41:AQ41)/AVERAGE(終値!X41:AQ41),""))</f>
      </c>
      <c r="V41" s="684">
        <f>IF(終値!A41="","",IFERROR(4*STDEVP(終値!Y41:AR41)/AVERAGE(終値!Y41:AR41),""))</f>
      </c>
      <c r="W41" s="684">
        <f>IF(終値!A41="","",IFERROR(4*STDEVP(終値!Z41:AS41)/AVERAGE(終値!Z41:AS41),""))</f>
      </c>
      <c r="X41" s="684">
        <f>IF(終値!A41="","",IFERROR(4*STDEVP(終値!AA41:AT41)/AVERAGE(終値!AA41:AT41),""))</f>
      </c>
      <c r="Y41" s="684">
        <f>IF(終値!A41="","",IFERROR(4*STDEVP(終値!AB41:AU41)/AVERAGE(終値!AB41:AU41),""))</f>
      </c>
      <c r="Z41" s="684">
        <f>IF(終値!A41="","",IFERROR(4*STDEVP(終値!AC41:AV41)/AVERAGE(終値!AC41:AV41),""))</f>
      </c>
      <c r="AA41" s="684">
        <f>IF(終値!A41="","",IFERROR(4*STDEVP(終値!AD41:AW41)/AVERAGE(終値!AD41:AW41),""))</f>
      </c>
      <c r="AB41" s="684">
        <f>IF(終値!A41="","",IFERROR(4*STDEVP(終値!AE41:AX41)/AVERAGE(終値!AE41:AX41),""))</f>
      </c>
      <c r="AC41" s="684">
        <f>IF(終値!A41="","",IFERROR(4*STDEVP(終値!AF41:AY41)/AVERAGE(終値!AF41:AY41),""))</f>
      </c>
      <c r="AD41" s="684">
        <f>IF(終値!A41="","",IFERROR(4*STDEVP(終値!AG41:AZ41)/AVERAGE(終値!AG41:AZ41),""))</f>
      </c>
      <c r="AE41" s="684">
        <f>IF(終値!A41="","",IFERROR(4*STDEVP(終値!AH41:BA41)/AVERAGE(終値!AH41:BA41),""))</f>
      </c>
      <c r="AF41" s="684">
        <f>IF(終値!A41="","",IFERROR(4*STDEVP(終値!AI41:BB41)/AVERAGE(終値!AI41:BB41),""))</f>
      </c>
      <c r="AG41" s="684">
        <f>IF(終値!A41="","",IFERROR(4*STDEVP(終値!AJ41:BC41)/AVERAGE(終値!AJ41:BC41),""))</f>
      </c>
      <c r="AH41" s="684">
        <f>IF(終値!A41="","",IFERROR(4*STDEVP(終値!AK41:BD41)/AVERAGE(終値!AK41:BD41),""))</f>
      </c>
      <c r="AI41" s="684">
        <f>IF(終値!A41="","",IFERROR(4*STDEVP(終値!AL41:BE41)/AVERAGE(終値!AL41:BE41),""))</f>
      </c>
      <c r="AJ41" s="684">
        <f>IF(終値!A41="","",IFERROR(4*STDEVP(終値!AM41:BF41)/AVERAGE(終値!AM41:BF41),""))</f>
      </c>
      <c r="AK41" s="684">
        <f>IF(終値!A41="","",IFERROR(4*STDEVP(終値!AN41:BG41)/AVERAGE(終値!AN41:BG41),""))</f>
      </c>
      <c r="AL41" s="684">
        <f>IF(終値!A41="","",IFERROR(4*STDEVP(終値!AO41:BH41)/AVERAGE(終値!AO41:BH41),""))</f>
      </c>
      <c r="AM41" s="684">
        <f>IF(終値!A41="","",IFERROR(4*STDEVP(終値!AP41:BI41)/AVERAGE(終値!AP41:BI41),""))</f>
      </c>
      <c r="AN41" s="684">
        <f>IF(終値!A41="","",IFERROR(4*STDEVP(終値!AQ41:BJ41)/AVERAGE(終値!AQ41:BJ41),""))</f>
      </c>
      <c r="AO41" s="684">
        <f>IF(終値!A41="","",IFERROR(4*STDEVP(終値!AR41:BK41)/AVERAGE(終値!AR41:BK41),""))</f>
      </c>
      <c r="AP41" s="684">
        <f>IF(終値!A41="","",IFERROR(4*STDEVP(終値!AS41:BL41)/AVERAGE(終値!AS41:BL41),""))</f>
      </c>
    </row>
    <row r="42">
      <c r="A42" s="681">
        <f>IF(終値!A42="","",終値!A42)</f>
      </c>
      <c r="B42" s="684">
        <f>IF(終値!A42="","",IFERROR(4*STDEVP(終値!E42:X42)/AVERAGE(終値!E42:X42),""))</f>
      </c>
      <c r="C42" s="684">
        <f>IF(終値!A42="","",IFERROR(4*STDEVP(終値!F42:Y42)/AVERAGE(終値!F42:Y42),""))</f>
      </c>
      <c r="D42" s="684">
        <f>IF(終値!A42="","",IFERROR(4*STDEVP(終値!G42:Z42)/AVERAGE(終値!G42:Z42),""))</f>
      </c>
      <c r="E42" s="684">
        <f>IF(終値!A42="","",IFERROR(4*STDEVP(終値!H42:AA42)/AVERAGE(終値!H42:AA42),""))</f>
      </c>
      <c r="F42" s="684">
        <f>IF(終値!A42="","",IFERROR(4*STDEVP(終値!I42:AB42)/AVERAGE(終値!I42:AB42),""))</f>
      </c>
      <c r="G42" s="684">
        <f>IF(終値!A42="","",IFERROR(4*STDEVP(終値!J42:AC42)/AVERAGE(終値!J42:AC42),""))</f>
      </c>
      <c r="H42" s="684">
        <f>IF(終値!A42="","",IFERROR(4*STDEVP(終値!K42:AD42)/AVERAGE(終値!K42:AD42),""))</f>
      </c>
      <c r="I42" s="684">
        <f>IF(終値!A42="","",IFERROR(4*STDEVP(終値!L42:AE42)/AVERAGE(終値!L42:AE42),""))</f>
      </c>
      <c r="J42" s="684">
        <f>IF(終値!A42="","",IFERROR(4*STDEVP(終値!M42:AF42)/AVERAGE(終値!M42:AF42),""))</f>
      </c>
      <c r="K42" s="684">
        <f>IF(終値!A42="","",IFERROR(4*STDEVP(終値!N42:AG42)/AVERAGE(終値!N42:AG42),""))</f>
      </c>
      <c r="L42" s="684">
        <f>IF(終値!A42="","",IFERROR(4*STDEVP(終値!O42:AH42)/AVERAGE(終値!O42:AH42),""))</f>
      </c>
      <c r="M42" s="684">
        <f>IF(終値!A42="","",IFERROR(4*STDEVP(終値!P42:AI42)/AVERAGE(終値!P42:AI42),""))</f>
      </c>
      <c r="N42" s="684">
        <f>IF(終値!A42="","",IFERROR(4*STDEVP(終値!Q42:AJ42)/AVERAGE(終値!Q42:AJ42),""))</f>
      </c>
      <c r="O42" s="684">
        <f>IF(終値!A42="","",IFERROR(4*STDEVP(終値!R42:AK42)/AVERAGE(終値!R42:AK42),""))</f>
      </c>
      <c r="P42" s="684">
        <f>IF(終値!A42="","",IFERROR(4*STDEVP(終値!S42:AL42)/AVERAGE(終値!S42:AL42),""))</f>
      </c>
      <c r="Q42" s="684">
        <f>IF(終値!A42="","",IFERROR(4*STDEVP(終値!T42:AM42)/AVERAGE(終値!T42:AM42),""))</f>
      </c>
      <c r="R42" s="684">
        <f>IF(終値!A42="","",IFERROR(4*STDEVP(終値!U42:AN42)/AVERAGE(終値!U42:AN42),""))</f>
      </c>
      <c r="S42" s="684">
        <f>IF(終値!A42="","",IFERROR(4*STDEVP(終値!V42:AO42)/AVERAGE(終値!V42:AO42),""))</f>
      </c>
      <c r="T42" s="684">
        <f>IF(終値!A42="","",IFERROR(4*STDEVP(終値!W42:AP42)/AVERAGE(終値!W42:AP42),""))</f>
      </c>
      <c r="U42" s="684">
        <f>IF(終値!A42="","",IFERROR(4*STDEVP(終値!X42:AQ42)/AVERAGE(終値!X42:AQ42),""))</f>
      </c>
      <c r="V42" s="684">
        <f>IF(終値!A42="","",IFERROR(4*STDEVP(終値!Y42:AR42)/AVERAGE(終値!Y42:AR42),""))</f>
      </c>
      <c r="W42" s="684">
        <f>IF(終値!A42="","",IFERROR(4*STDEVP(終値!Z42:AS42)/AVERAGE(終値!Z42:AS42),""))</f>
      </c>
      <c r="X42" s="684">
        <f>IF(終値!A42="","",IFERROR(4*STDEVP(終値!AA42:AT42)/AVERAGE(終値!AA42:AT42),""))</f>
      </c>
      <c r="Y42" s="684">
        <f>IF(終値!A42="","",IFERROR(4*STDEVP(終値!AB42:AU42)/AVERAGE(終値!AB42:AU42),""))</f>
      </c>
      <c r="Z42" s="684">
        <f>IF(終値!A42="","",IFERROR(4*STDEVP(終値!AC42:AV42)/AVERAGE(終値!AC42:AV42),""))</f>
      </c>
      <c r="AA42" s="684">
        <f>IF(終値!A42="","",IFERROR(4*STDEVP(終値!AD42:AW42)/AVERAGE(終値!AD42:AW42),""))</f>
      </c>
      <c r="AB42" s="684">
        <f>IF(終値!A42="","",IFERROR(4*STDEVP(終値!AE42:AX42)/AVERAGE(終値!AE42:AX42),""))</f>
      </c>
      <c r="AC42" s="684">
        <f>IF(終値!A42="","",IFERROR(4*STDEVP(終値!AF42:AY42)/AVERAGE(終値!AF42:AY42),""))</f>
      </c>
      <c r="AD42" s="684">
        <f>IF(終値!A42="","",IFERROR(4*STDEVP(終値!AG42:AZ42)/AVERAGE(終値!AG42:AZ42),""))</f>
      </c>
      <c r="AE42" s="684">
        <f>IF(終値!A42="","",IFERROR(4*STDEVP(終値!AH42:BA42)/AVERAGE(終値!AH42:BA42),""))</f>
      </c>
      <c r="AF42" s="684">
        <f>IF(終値!A42="","",IFERROR(4*STDEVP(終値!AI42:BB42)/AVERAGE(終値!AI42:BB42),""))</f>
      </c>
      <c r="AG42" s="684">
        <f>IF(終値!A42="","",IFERROR(4*STDEVP(終値!AJ42:BC42)/AVERAGE(終値!AJ42:BC42),""))</f>
      </c>
      <c r="AH42" s="684">
        <f>IF(終値!A42="","",IFERROR(4*STDEVP(終値!AK42:BD42)/AVERAGE(終値!AK42:BD42),""))</f>
      </c>
      <c r="AI42" s="684">
        <f>IF(終値!A42="","",IFERROR(4*STDEVP(終値!AL42:BE42)/AVERAGE(終値!AL42:BE42),""))</f>
      </c>
      <c r="AJ42" s="684">
        <f>IF(終値!A42="","",IFERROR(4*STDEVP(終値!AM42:BF42)/AVERAGE(終値!AM42:BF42),""))</f>
      </c>
      <c r="AK42" s="684">
        <f>IF(終値!A42="","",IFERROR(4*STDEVP(終値!AN42:BG42)/AVERAGE(終値!AN42:BG42),""))</f>
      </c>
      <c r="AL42" s="684">
        <f>IF(終値!A42="","",IFERROR(4*STDEVP(終値!AO42:BH42)/AVERAGE(終値!AO42:BH42),""))</f>
      </c>
      <c r="AM42" s="684">
        <f>IF(終値!A42="","",IFERROR(4*STDEVP(終値!AP42:BI42)/AVERAGE(終値!AP42:BI42),""))</f>
      </c>
      <c r="AN42" s="684">
        <f>IF(終値!A42="","",IFERROR(4*STDEVP(終値!AQ42:BJ42)/AVERAGE(終値!AQ42:BJ42),""))</f>
      </c>
      <c r="AO42" s="684">
        <f>IF(終値!A42="","",IFERROR(4*STDEVP(終値!AR42:BK42)/AVERAGE(終値!AR42:BK42),""))</f>
      </c>
      <c r="AP42" s="684">
        <f>IF(終値!A42="","",IFERROR(4*STDEVP(終値!AS42:BL42)/AVERAGE(終値!AS42:BL42),""))</f>
      </c>
    </row>
    <row r="43">
      <c r="A43" s="681">
        <f>IF(終値!A43="","",終値!A43)</f>
      </c>
      <c r="B43" s="684">
        <f>IF(終値!A43="","",IFERROR(4*STDEVP(終値!E43:X43)/AVERAGE(終値!E43:X43),""))</f>
      </c>
      <c r="C43" s="684">
        <f>IF(終値!A43="","",IFERROR(4*STDEVP(終値!F43:Y43)/AVERAGE(終値!F43:Y43),""))</f>
      </c>
      <c r="D43" s="684">
        <f>IF(終値!A43="","",IFERROR(4*STDEVP(終値!G43:Z43)/AVERAGE(終値!G43:Z43),""))</f>
      </c>
      <c r="E43" s="684">
        <f>IF(終値!A43="","",IFERROR(4*STDEVP(終値!H43:AA43)/AVERAGE(終値!H43:AA43),""))</f>
      </c>
      <c r="F43" s="684">
        <f>IF(終値!A43="","",IFERROR(4*STDEVP(終値!I43:AB43)/AVERAGE(終値!I43:AB43),""))</f>
      </c>
      <c r="G43" s="684">
        <f>IF(終値!A43="","",IFERROR(4*STDEVP(終値!J43:AC43)/AVERAGE(終値!J43:AC43),""))</f>
      </c>
      <c r="H43" s="684">
        <f>IF(終値!A43="","",IFERROR(4*STDEVP(終値!K43:AD43)/AVERAGE(終値!K43:AD43),""))</f>
      </c>
      <c r="I43" s="684">
        <f>IF(終値!A43="","",IFERROR(4*STDEVP(終値!L43:AE43)/AVERAGE(終値!L43:AE43),""))</f>
      </c>
      <c r="J43" s="684">
        <f>IF(終値!A43="","",IFERROR(4*STDEVP(終値!M43:AF43)/AVERAGE(終値!M43:AF43),""))</f>
      </c>
      <c r="K43" s="684">
        <f>IF(終値!A43="","",IFERROR(4*STDEVP(終値!N43:AG43)/AVERAGE(終値!N43:AG43),""))</f>
      </c>
      <c r="L43" s="684">
        <f>IF(終値!A43="","",IFERROR(4*STDEVP(終値!O43:AH43)/AVERAGE(終値!O43:AH43),""))</f>
      </c>
      <c r="M43" s="684">
        <f>IF(終値!A43="","",IFERROR(4*STDEVP(終値!P43:AI43)/AVERAGE(終値!P43:AI43),""))</f>
      </c>
      <c r="N43" s="684">
        <f>IF(終値!A43="","",IFERROR(4*STDEVP(終値!Q43:AJ43)/AVERAGE(終値!Q43:AJ43),""))</f>
      </c>
      <c r="O43" s="684">
        <f>IF(終値!A43="","",IFERROR(4*STDEVP(終値!R43:AK43)/AVERAGE(終値!R43:AK43),""))</f>
      </c>
      <c r="P43" s="684">
        <f>IF(終値!A43="","",IFERROR(4*STDEVP(終値!S43:AL43)/AVERAGE(終値!S43:AL43),""))</f>
      </c>
      <c r="Q43" s="684">
        <f>IF(終値!A43="","",IFERROR(4*STDEVP(終値!T43:AM43)/AVERAGE(終値!T43:AM43),""))</f>
      </c>
      <c r="R43" s="684">
        <f>IF(終値!A43="","",IFERROR(4*STDEVP(終値!U43:AN43)/AVERAGE(終値!U43:AN43),""))</f>
      </c>
      <c r="S43" s="684">
        <f>IF(終値!A43="","",IFERROR(4*STDEVP(終値!V43:AO43)/AVERAGE(終値!V43:AO43),""))</f>
      </c>
      <c r="T43" s="684">
        <f>IF(終値!A43="","",IFERROR(4*STDEVP(終値!W43:AP43)/AVERAGE(終値!W43:AP43),""))</f>
      </c>
      <c r="U43" s="684">
        <f>IF(終値!A43="","",IFERROR(4*STDEVP(終値!X43:AQ43)/AVERAGE(終値!X43:AQ43),""))</f>
      </c>
      <c r="V43" s="684">
        <f>IF(終値!A43="","",IFERROR(4*STDEVP(終値!Y43:AR43)/AVERAGE(終値!Y43:AR43),""))</f>
      </c>
      <c r="W43" s="684">
        <f>IF(終値!A43="","",IFERROR(4*STDEVP(終値!Z43:AS43)/AVERAGE(終値!Z43:AS43),""))</f>
      </c>
      <c r="X43" s="684">
        <f>IF(終値!A43="","",IFERROR(4*STDEVP(終値!AA43:AT43)/AVERAGE(終値!AA43:AT43),""))</f>
      </c>
      <c r="Y43" s="684">
        <f>IF(終値!A43="","",IFERROR(4*STDEVP(終値!AB43:AU43)/AVERAGE(終値!AB43:AU43),""))</f>
      </c>
      <c r="Z43" s="684">
        <f>IF(終値!A43="","",IFERROR(4*STDEVP(終値!AC43:AV43)/AVERAGE(終値!AC43:AV43),""))</f>
      </c>
      <c r="AA43" s="684">
        <f>IF(終値!A43="","",IFERROR(4*STDEVP(終値!AD43:AW43)/AVERAGE(終値!AD43:AW43),""))</f>
      </c>
      <c r="AB43" s="684">
        <f>IF(終値!A43="","",IFERROR(4*STDEVP(終値!AE43:AX43)/AVERAGE(終値!AE43:AX43),""))</f>
      </c>
      <c r="AC43" s="684">
        <f>IF(終値!A43="","",IFERROR(4*STDEVP(終値!AF43:AY43)/AVERAGE(終値!AF43:AY43),""))</f>
      </c>
      <c r="AD43" s="684">
        <f>IF(終値!A43="","",IFERROR(4*STDEVP(終値!AG43:AZ43)/AVERAGE(終値!AG43:AZ43),""))</f>
      </c>
      <c r="AE43" s="684">
        <f>IF(終値!A43="","",IFERROR(4*STDEVP(終値!AH43:BA43)/AVERAGE(終値!AH43:BA43),""))</f>
      </c>
      <c r="AF43" s="684">
        <f>IF(終値!A43="","",IFERROR(4*STDEVP(終値!AI43:BB43)/AVERAGE(終値!AI43:BB43),""))</f>
      </c>
      <c r="AG43" s="684">
        <f>IF(終値!A43="","",IFERROR(4*STDEVP(終値!AJ43:BC43)/AVERAGE(終値!AJ43:BC43),""))</f>
      </c>
      <c r="AH43" s="684">
        <f>IF(終値!A43="","",IFERROR(4*STDEVP(終値!AK43:BD43)/AVERAGE(終値!AK43:BD43),""))</f>
      </c>
      <c r="AI43" s="684">
        <f>IF(終値!A43="","",IFERROR(4*STDEVP(終値!AL43:BE43)/AVERAGE(終値!AL43:BE43),""))</f>
      </c>
      <c r="AJ43" s="684">
        <f>IF(終値!A43="","",IFERROR(4*STDEVP(終値!AM43:BF43)/AVERAGE(終値!AM43:BF43),""))</f>
      </c>
      <c r="AK43" s="684">
        <f>IF(終値!A43="","",IFERROR(4*STDEVP(終値!AN43:BG43)/AVERAGE(終値!AN43:BG43),""))</f>
      </c>
      <c r="AL43" s="684">
        <f>IF(終値!A43="","",IFERROR(4*STDEVP(終値!AO43:BH43)/AVERAGE(終値!AO43:BH43),""))</f>
      </c>
      <c r="AM43" s="684">
        <f>IF(終値!A43="","",IFERROR(4*STDEVP(終値!AP43:BI43)/AVERAGE(終値!AP43:BI43),""))</f>
      </c>
      <c r="AN43" s="684">
        <f>IF(終値!A43="","",IFERROR(4*STDEVP(終値!AQ43:BJ43)/AVERAGE(終値!AQ43:BJ43),""))</f>
      </c>
      <c r="AO43" s="684">
        <f>IF(終値!A43="","",IFERROR(4*STDEVP(終値!AR43:BK43)/AVERAGE(終値!AR43:BK43),""))</f>
      </c>
      <c r="AP43" s="684">
        <f>IF(終値!A43="","",IFERROR(4*STDEVP(終値!AS43:BL43)/AVERAGE(終値!AS43:BL43),""))</f>
      </c>
    </row>
    <row r="44">
      <c r="A44" s="681">
        <f>IF(終値!A44="","",終値!A44)</f>
      </c>
      <c r="B44" s="684">
        <f>IF(終値!A44="","",IFERROR(4*STDEVP(終値!E44:X44)/AVERAGE(終値!E44:X44),""))</f>
      </c>
      <c r="C44" s="684">
        <f>IF(終値!A44="","",IFERROR(4*STDEVP(終値!F44:Y44)/AVERAGE(終値!F44:Y44),""))</f>
      </c>
      <c r="D44" s="684">
        <f>IF(終値!A44="","",IFERROR(4*STDEVP(終値!G44:Z44)/AVERAGE(終値!G44:Z44),""))</f>
      </c>
      <c r="E44" s="684">
        <f>IF(終値!A44="","",IFERROR(4*STDEVP(終値!H44:AA44)/AVERAGE(終値!H44:AA44),""))</f>
      </c>
      <c r="F44" s="684">
        <f>IF(終値!A44="","",IFERROR(4*STDEVP(終値!I44:AB44)/AVERAGE(終値!I44:AB44),""))</f>
      </c>
      <c r="G44" s="684">
        <f>IF(終値!A44="","",IFERROR(4*STDEVP(終値!J44:AC44)/AVERAGE(終値!J44:AC44),""))</f>
      </c>
      <c r="H44" s="684">
        <f>IF(終値!A44="","",IFERROR(4*STDEVP(終値!K44:AD44)/AVERAGE(終値!K44:AD44),""))</f>
      </c>
      <c r="I44" s="684">
        <f>IF(終値!A44="","",IFERROR(4*STDEVP(終値!L44:AE44)/AVERAGE(終値!L44:AE44),""))</f>
      </c>
      <c r="J44" s="684">
        <f>IF(終値!A44="","",IFERROR(4*STDEVP(終値!M44:AF44)/AVERAGE(終値!M44:AF44),""))</f>
      </c>
      <c r="K44" s="684">
        <f>IF(終値!A44="","",IFERROR(4*STDEVP(終値!N44:AG44)/AVERAGE(終値!N44:AG44),""))</f>
      </c>
      <c r="L44" s="684">
        <f>IF(終値!A44="","",IFERROR(4*STDEVP(終値!O44:AH44)/AVERAGE(終値!O44:AH44),""))</f>
      </c>
      <c r="M44" s="684">
        <f>IF(終値!A44="","",IFERROR(4*STDEVP(終値!P44:AI44)/AVERAGE(終値!P44:AI44),""))</f>
      </c>
      <c r="N44" s="684">
        <f>IF(終値!A44="","",IFERROR(4*STDEVP(終値!Q44:AJ44)/AVERAGE(終値!Q44:AJ44),""))</f>
      </c>
      <c r="O44" s="684">
        <f>IF(終値!A44="","",IFERROR(4*STDEVP(終値!R44:AK44)/AVERAGE(終値!R44:AK44),""))</f>
      </c>
      <c r="P44" s="684">
        <f>IF(終値!A44="","",IFERROR(4*STDEVP(終値!S44:AL44)/AVERAGE(終値!S44:AL44),""))</f>
      </c>
      <c r="Q44" s="684">
        <f>IF(終値!A44="","",IFERROR(4*STDEVP(終値!T44:AM44)/AVERAGE(終値!T44:AM44),""))</f>
      </c>
      <c r="R44" s="684">
        <f>IF(終値!A44="","",IFERROR(4*STDEVP(終値!U44:AN44)/AVERAGE(終値!U44:AN44),""))</f>
      </c>
      <c r="S44" s="684">
        <f>IF(終値!A44="","",IFERROR(4*STDEVP(終値!V44:AO44)/AVERAGE(終値!V44:AO44),""))</f>
      </c>
      <c r="T44" s="684">
        <f>IF(終値!A44="","",IFERROR(4*STDEVP(終値!W44:AP44)/AVERAGE(終値!W44:AP44),""))</f>
      </c>
      <c r="U44" s="684">
        <f>IF(終値!A44="","",IFERROR(4*STDEVP(終値!X44:AQ44)/AVERAGE(終値!X44:AQ44),""))</f>
      </c>
      <c r="V44" s="684">
        <f>IF(終値!A44="","",IFERROR(4*STDEVP(終値!Y44:AR44)/AVERAGE(終値!Y44:AR44),""))</f>
      </c>
      <c r="W44" s="684">
        <f>IF(終値!A44="","",IFERROR(4*STDEVP(終値!Z44:AS44)/AVERAGE(終値!Z44:AS44),""))</f>
      </c>
      <c r="X44" s="684">
        <f>IF(終値!A44="","",IFERROR(4*STDEVP(終値!AA44:AT44)/AVERAGE(終値!AA44:AT44),""))</f>
      </c>
      <c r="Y44" s="684">
        <f>IF(終値!A44="","",IFERROR(4*STDEVP(終値!AB44:AU44)/AVERAGE(終値!AB44:AU44),""))</f>
      </c>
      <c r="Z44" s="684">
        <f>IF(終値!A44="","",IFERROR(4*STDEVP(終値!AC44:AV44)/AVERAGE(終値!AC44:AV44),""))</f>
      </c>
      <c r="AA44" s="684">
        <f>IF(終値!A44="","",IFERROR(4*STDEVP(終値!AD44:AW44)/AVERAGE(終値!AD44:AW44),""))</f>
      </c>
      <c r="AB44" s="684">
        <f>IF(終値!A44="","",IFERROR(4*STDEVP(終値!AE44:AX44)/AVERAGE(終値!AE44:AX44),""))</f>
      </c>
      <c r="AC44" s="684">
        <f>IF(終値!A44="","",IFERROR(4*STDEVP(終値!AF44:AY44)/AVERAGE(終値!AF44:AY44),""))</f>
      </c>
      <c r="AD44" s="684">
        <f>IF(終値!A44="","",IFERROR(4*STDEVP(終値!AG44:AZ44)/AVERAGE(終値!AG44:AZ44),""))</f>
      </c>
      <c r="AE44" s="684">
        <f>IF(終値!A44="","",IFERROR(4*STDEVP(終値!AH44:BA44)/AVERAGE(終値!AH44:BA44),""))</f>
      </c>
      <c r="AF44" s="684">
        <f>IF(終値!A44="","",IFERROR(4*STDEVP(終値!AI44:BB44)/AVERAGE(終値!AI44:BB44),""))</f>
      </c>
      <c r="AG44" s="684">
        <f>IF(終値!A44="","",IFERROR(4*STDEVP(終値!AJ44:BC44)/AVERAGE(終値!AJ44:BC44),""))</f>
      </c>
      <c r="AH44" s="684">
        <f>IF(終値!A44="","",IFERROR(4*STDEVP(終値!AK44:BD44)/AVERAGE(終値!AK44:BD44),""))</f>
      </c>
      <c r="AI44" s="684">
        <f>IF(終値!A44="","",IFERROR(4*STDEVP(終値!AL44:BE44)/AVERAGE(終値!AL44:BE44),""))</f>
      </c>
      <c r="AJ44" s="684">
        <f>IF(終値!A44="","",IFERROR(4*STDEVP(終値!AM44:BF44)/AVERAGE(終値!AM44:BF44),""))</f>
      </c>
      <c r="AK44" s="684">
        <f>IF(終値!A44="","",IFERROR(4*STDEVP(終値!AN44:BG44)/AVERAGE(終値!AN44:BG44),""))</f>
      </c>
      <c r="AL44" s="684">
        <f>IF(終値!A44="","",IFERROR(4*STDEVP(終値!AO44:BH44)/AVERAGE(終値!AO44:BH44),""))</f>
      </c>
      <c r="AM44" s="684">
        <f>IF(終値!A44="","",IFERROR(4*STDEVP(終値!AP44:BI44)/AVERAGE(終値!AP44:BI44),""))</f>
      </c>
      <c r="AN44" s="684">
        <f>IF(終値!A44="","",IFERROR(4*STDEVP(終値!AQ44:BJ44)/AVERAGE(終値!AQ44:BJ44),""))</f>
      </c>
      <c r="AO44" s="684">
        <f>IF(終値!A44="","",IFERROR(4*STDEVP(終値!AR44:BK44)/AVERAGE(終値!AR44:BK44),""))</f>
      </c>
      <c r="AP44" s="684">
        <f>IF(終値!A44="","",IFERROR(4*STDEVP(終値!AS44:BL44)/AVERAGE(終値!AS44:BL44),""))</f>
      </c>
    </row>
    <row r="45">
      <c r="A45" s="681">
        <f>IF(終値!A45="","",終値!A45)</f>
      </c>
      <c r="B45" s="684">
        <f>IF(終値!A45="","",IFERROR(4*STDEVP(終値!E45:X45)/AVERAGE(終値!E45:X45),""))</f>
      </c>
      <c r="C45" s="684">
        <f>IF(終値!A45="","",IFERROR(4*STDEVP(終値!F45:Y45)/AVERAGE(終値!F45:Y45),""))</f>
      </c>
      <c r="D45" s="684">
        <f>IF(終値!A45="","",IFERROR(4*STDEVP(終値!G45:Z45)/AVERAGE(終値!G45:Z45),""))</f>
      </c>
      <c r="E45" s="684">
        <f>IF(終値!A45="","",IFERROR(4*STDEVP(終値!H45:AA45)/AVERAGE(終値!H45:AA45),""))</f>
      </c>
      <c r="F45" s="684">
        <f>IF(終値!A45="","",IFERROR(4*STDEVP(終値!I45:AB45)/AVERAGE(終値!I45:AB45),""))</f>
      </c>
      <c r="G45" s="684">
        <f>IF(終値!A45="","",IFERROR(4*STDEVP(終値!J45:AC45)/AVERAGE(終値!J45:AC45),""))</f>
      </c>
      <c r="H45" s="684">
        <f>IF(終値!A45="","",IFERROR(4*STDEVP(終値!K45:AD45)/AVERAGE(終値!K45:AD45),""))</f>
      </c>
      <c r="I45" s="684">
        <f>IF(終値!A45="","",IFERROR(4*STDEVP(終値!L45:AE45)/AVERAGE(終値!L45:AE45),""))</f>
      </c>
      <c r="J45" s="684">
        <f>IF(終値!A45="","",IFERROR(4*STDEVP(終値!M45:AF45)/AVERAGE(終値!M45:AF45),""))</f>
      </c>
      <c r="K45" s="684">
        <f>IF(終値!A45="","",IFERROR(4*STDEVP(終値!N45:AG45)/AVERAGE(終値!N45:AG45),""))</f>
      </c>
      <c r="L45" s="684">
        <f>IF(終値!A45="","",IFERROR(4*STDEVP(終値!O45:AH45)/AVERAGE(終値!O45:AH45),""))</f>
      </c>
      <c r="M45" s="684">
        <f>IF(終値!A45="","",IFERROR(4*STDEVP(終値!P45:AI45)/AVERAGE(終値!P45:AI45),""))</f>
      </c>
      <c r="N45" s="684">
        <f>IF(終値!A45="","",IFERROR(4*STDEVP(終値!Q45:AJ45)/AVERAGE(終値!Q45:AJ45),""))</f>
      </c>
      <c r="O45" s="684">
        <f>IF(終値!A45="","",IFERROR(4*STDEVP(終値!R45:AK45)/AVERAGE(終値!R45:AK45),""))</f>
      </c>
      <c r="P45" s="684">
        <f>IF(終値!A45="","",IFERROR(4*STDEVP(終値!S45:AL45)/AVERAGE(終値!S45:AL45),""))</f>
      </c>
      <c r="Q45" s="684">
        <f>IF(終値!A45="","",IFERROR(4*STDEVP(終値!T45:AM45)/AVERAGE(終値!T45:AM45),""))</f>
      </c>
      <c r="R45" s="684">
        <f>IF(終値!A45="","",IFERROR(4*STDEVP(終値!U45:AN45)/AVERAGE(終値!U45:AN45),""))</f>
      </c>
      <c r="S45" s="684">
        <f>IF(終値!A45="","",IFERROR(4*STDEVP(終値!V45:AO45)/AVERAGE(終値!V45:AO45),""))</f>
      </c>
      <c r="T45" s="684">
        <f>IF(終値!A45="","",IFERROR(4*STDEVP(終値!W45:AP45)/AVERAGE(終値!W45:AP45),""))</f>
      </c>
      <c r="U45" s="684">
        <f>IF(終値!A45="","",IFERROR(4*STDEVP(終値!X45:AQ45)/AVERAGE(終値!X45:AQ45),""))</f>
      </c>
      <c r="V45" s="684">
        <f>IF(終値!A45="","",IFERROR(4*STDEVP(終値!Y45:AR45)/AVERAGE(終値!Y45:AR45),""))</f>
      </c>
      <c r="W45" s="684">
        <f>IF(終値!A45="","",IFERROR(4*STDEVP(終値!Z45:AS45)/AVERAGE(終値!Z45:AS45),""))</f>
      </c>
      <c r="X45" s="684">
        <f>IF(終値!A45="","",IFERROR(4*STDEVP(終値!AA45:AT45)/AVERAGE(終値!AA45:AT45),""))</f>
      </c>
      <c r="Y45" s="684">
        <f>IF(終値!A45="","",IFERROR(4*STDEVP(終値!AB45:AU45)/AVERAGE(終値!AB45:AU45),""))</f>
      </c>
      <c r="Z45" s="684">
        <f>IF(終値!A45="","",IFERROR(4*STDEVP(終値!AC45:AV45)/AVERAGE(終値!AC45:AV45),""))</f>
      </c>
      <c r="AA45" s="684">
        <f>IF(終値!A45="","",IFERROR(4*STDEVP(終値!AD45:AW45)/AVERAGE(終値!AD45:AW45),""))</f>
      </c>
      <c r="AB45" s="684">
        <f>IF(終値!A45="","",IFERROR(4*STDEVP(終値!AE45:AX45)/AVERAGE(終値!AE45:AX45),""))</f>
      </c>
      <c r="AC45" s="684">
        <f>IF(終値!A45="","",IFERROR(4*STDEVP(終値!AF45:AY45)/AVERAGE(終値!AF45:AY45),""))</f>
      </c>
      <c r="AD45" s="684">
        <f>IF(終値!A45="","",IFERROR(4*STDEVP(終値!AG45:AZ45)/AVERAGE(終値!AG45:AZ45),""))</f>
      </c>
      <c r="AE45" s="684">
        <f>IF(終値!A45="","",IFERROR(4*STDEVP(終値!AH45:BA45)/AVERAGE(終値!AH45:BA45),""))</f>
      </c>
      <c r="AF45" s="684">
        <f>IF(終値!A45="","",IFERROR(4*STDEVP(終値!AI45:BB45)/AVERAGE(終値!AI45:BB45),""))</f>
      </c>
      <c r="AG45" s="684">
        <f>IF(終値!A45="","",IFERROR(4*STDEVP(終値!AJ45:BC45)/AVERAGE(終値!AJ45:BC45),""))</f>
      </c>
      <c r="AH45" s="684">
        <f>IF(終値!A45="","",IFERROR(4*STDEVP(終値!AK45:BD45)/AVERAGE(終値!AK45:BD45),""))</f>
      </c>
      <c r="AI45" s="684">
        <f>IF(終値!A45="","",IFERROR(4*STDEVP(終値!AL45:BE45)/AVERAGE(終値!AL45:BE45),""))</f>
      </c>
      <c r="AJ45" s="684">
        <f>IF(終値!A45="","",IFERROR(4*STDEVP(終値!AM45:BF45)/AVERAGE(終値!AM45:BF45),""))</f>
      </c>
      <c r="AK45" s="684">
        <f>IF(終値!A45="","",IFERROR(4*STDEVP(終値!AN45:BG45)/AVERAGE(終値!AN45:BG45),""))</f>
      </c>
      <c r="AL45" s="684">
        <f>IF(終値!A45="","",IFERROR(4*STDEVP(終値!AO45:BH45)/AVERAGE(終値!AO45:BH45),""))</f>
      </c>
      <c r="AM45" s="684">
        <f>IF(終値!A45="","",IFERROR(4*STDEVP(終値!AP45:BI45)/AVERAGE(終値!AP45:BI45),""))</f>
      </c>
      <c r="AN45" s="684">
        <f>IF(終値!A45="","",IFERROR(4*STDEVP(終値!AQ45:BJ45)/AVERAGE(終値!AQ45:BJ45),""))</f>
      </c>
      <c r="AO45" s="684">
        <f>IF(終値!A45="","",IFERROR(4*STDEVP(終値!AR45:BK45)/AVERAGE(終値!AR45:BK45),""))</f>
      </c>
      <c r="AP45" s="684">
        <f>IF(終値!A45="","",IFERROR(4*STDEVP(終値!AS45:BL45)/AVERAGE(終値!AS45:BL45),""))</f>
      </c>
    </row>
    <row r="46">
      <c r="A46" s="681">
        <f>IF(終値!A46="","",終値!A46)</f>
      </c>
      <c r="B46" s="684">
        <f>IF(終値!A46="","",IFERROR(4*STDEVP(終値!E46:X46)/AVERAGE(終値!E46:X46),""))</f>
      </c>
      <c r="C46" s="684">
        <f>IF(終値!A46="","",IFERROR(4*STDEVP(終値!F46:Y46)/AVERAGE(終値!F46:Y46),""))</f>
      </c>
      <c r="D46" s="684">
        <f>IF(終値!A46="","",IFERROR(4*STDEVP(終値!G46:Z46)/AVERAGE(終値!G46:Z46),""))</f>
      </c>
      <c r="E46" s="684">
        <f>IF(終値!A46="","",IFERROR(4*STDEVP(終値!H46:AA46)/AVERAGE(終値!H46:AA46),""))</f>
      </c>
      <c r="F46" s="684">
        <f>IF(終値!A46="","",IFERROR(4*STDEVP(終値!I46:AB46)/AVERAGE(終値!I46:AB46),""))</f>
      </c>
      <c r="G46" s="684">
        <f>IF(終値!A46="","",IFERROR(4*STDEVP(終値!J46:AC46)/AVERAGE(終値!J46:AC46),""))</f>
      </c>
      <c r="H46" s="684">
        <f>IF(終値!A46="","",IFERROR(4*STDEVP(終値!K46:AD46)/AVERAGE(終値!K46:AD46),""))</f>
      </c>
      <c r="I46" s="684">
        <f>IF(終値!A46="","",IFERROR(4*STDEVP(終値!L46:AE46)/AVERAGE(終値!L46:AE46),""))</f>
      </c>
      <c r="J46" s="684">
        <f>IF(終値!A46="","",IFERROR(4*STDEVP(終値!M46:AF46)/AVERAGE(終値!M46:AF46),""))</f>
      </c>
      <c r="K46" s="684">
        <f>IF(終値!A46="","",IFERROR(4*STDEVP(終値!N46:AG46)/AVERAGE(終値!N46:AG46),""))</f>
      </c>
      <c r="L46" s="684">
        <f>IF(終値!A46="","",IFERROR(4*STDEVP(終値!O46:AH46)/AVERAGE(終値!O46:AH46),""))</f>
      </c>
      <c r="M46" s="684">
        <f>IF(終値!A46="","",IFERROR(4*STDEVP(終値!P46:AI46)/AVERAGE(終値!P46:AI46),""))</f>
      </c>
      <c r="N46" s="684">
        <f>IF(終値!A46="","",IFERROR(4*STDEVP(終値!Q46:AJ46)/AVERAGE(終値!Q46:AJ46),""))</f>
      </c>
      <c r="O46" s="684">
        <f>IF(終値!A46="","",IFERROR(4*STDEVP(終値!R46:AK46)/AVERAGE(終値!R46:AK46),""))</f>
      </c>
      <c r="P46" s="684">
        <f>IF(終値!A46="","",IFERROR(4*STDEVP(終値!S46:AL46)/AVERAGE(終値!S46:AL46),""))</f>
      </c>
      <c r="Q46" s="684">
        <f>IF(終値!A46="","",IFERROR(4*STDEVP(終値!T46:AM46)/AVERAGE(終値!T46:AM46),""))</f>
      </c>
      <c r="R46" s="684">
        <f>IF(終値!A46="","",IFERROR(4*STDEVP(終値!U46:AN46)/AVERAGE(終値!U46:AN46),""))</f>
      </c>
      <c r="S46" s="684">
        <f>IF(終値!A46="","",IFERROR(4*STDEVP(終値!V46:AO46)/AVERAGE(終値!V46:AO46),""))</f>
      </c>
      <c r="T46" s="684">
        <f>IF(終値!A46="","",IFERROR(4*STDEVP(終値!W46:AP46)/AVERAGE(終値!W46:AP46),""))</f>
      </c>
      <c r="U46" s="684">
        <f>IF(終値!A46="","",IFERROR(4*STDEVP(終値!X46:AQ46)/AVERAGE(終値!X46:AQ46),""))</f>
      </c>
      <c r="V46" s="684">
        <f>IF(終値!A46="","",IFERROR(4*STDEVP(終値!Y46:AR46)/AVERAGE(終値!Y46:AR46),""))</f>
      </c>
      <c r="W46" s="684">
        <f>IF(終値!A46="","",IFERROR(4*STDEVP(終値!Z46:AS46)/AVERAGE(終値!Z46:AS46),""))</f>
      </c>
      <c r="X46" s="684">
        <f>IF(終値!A46="","",IFERROR(4*STDEVP(終値!AA46:AT46)/AVERAGE(終値!AA46:AT46),""))</f>
      </c>
      <c r="Y46" s="684">
        <f>IF(終値!A46="","",IFERROR(4*STDEVP(終値!AB46:AU46)/AVERAGE(終値!AB46:AU46),""))</f>
      </c>
      <c r="Z46" s="684">
        <f>IF(終値!A46="","",IFERROR(4*STDEVP(終値!AC46:AV46)/AVERAGE(終値!AC46:AV46),""))</f>
      </c>
      <c r="AA46" s="684">
        <f>IF(終値!A46="","",IFERROR(4*STDEVP(終値!AD46:AW46)/AVERAGE(終値!AD46:AW46),""))</f>
      </c>
      <c r="AB46" s="684">
        <f>IF(終値!A46="","",IFERROR(4*STDEVP(終値!AE46:AX46)/AVERAGE(終値!AE46:AX46),""))</f>
      </c>
      <c r="AC46" s="684">
        <f>IF(終値!A46="","",IFERROR(4*STDEVP(終値!AF46:AY46)/AVERAGE(終値!AF46:AY46),""))</f>
      </c>
      <c r="AD46" s="684">
        <f>IF(終値!A46="","",IFERROR(4*STDEVP(終値!AG46:AZ46)/AVERAGE(終値!AG46:AZ46),""))</f>
      </c>
      <c r="AE46" s="684">
        <f>IF(終値!A46="","",IFERROR(4*STDEVP(終値!AH46:BA46)/AVERAGE(終値!AH46:BA46),""))</f>
      </c>
      <c r="AF46" s="684">
        <f>IF(終値!A46="","",IFERROR(4*STDEVP(終値!AI46:BB46)/AVERAGE(終値!AI46:BB46),""))</f>
      </c>
      <c r="AG46" s="684">
        <f>IF(終値!A46="","",IFERROR(4*STDEVP(終値!AJ46:BC46)/AVERAGE(終値!AJ46:BC46),""))</f>
      </c>
      <c r="AH46" s="684">
        <f>IF(終値!A46="","",IFERROR(4*STDEVP(終値!AK46:BD46)/AVERAGE(終値!AK46:BD46),""))</f>
      </c>
      <c r="AI46" s="684">
        <f>IF(終値!A46="","",IFERROR(4*STDEVP(終値!AL46:BE46)/AVERAGE(終値!AL46:BE46),""))</f>
      </c>
      <c r="AJ46" s="684">
        <f>IF(終値!A46="","",IFERROR(4*STDEVP(終値!AM46:BF46)/AVERAGE(終値!AM46:BF46),""))</f>
      </c>
      <c r="AK46" s="684">
        <f>IF(終値!A46="","",IFERROR(4*STDEVP(終値!AN46:BG46)/AVERAGE(終値!AN46:BG46),""))</f>
      </c>
      <c r="AL46" s="684">
        <f>IF(終値!A46="","",IFERROR(4*STDEVP(終値!AO46:BH46)/AVERAGE(終値!AO46:BH46),""))</f>
      </c>
      <c r="AM46" s="684">
        <f>IF(終値!A46="","",IFERROR(4*STDEVP(終値!AP46:BI46)/AVERAGE(終値!AP46:BI46),""))</f>
      </c>
      <c r="AN46" s="684">
        <f>IF(終値!A46="","",IFERROR(4*STDEVP(終値!AQ46:BJ46)/AVERAGE(終値!AQ46:BJ46),""))</f>
      </c>
      <c r="AO46" s="684">
        <f>IF(終値!A46="","",IFERROR(4*STDEVP(終値!AR46:BK46)/AVERAGE(終値!AR46:BK46),""))</f>
      </c>
      <c r="AP46" s="684">
        <f>IF(終値!A46="","",IFERROR(4*STDEVP(終値!AS46:BL46)/AVERAGE(終値!AS46:BL46),""))</f>
      </c>
    </row>
    <row r="47">
      <c r="A47" s="681">
        <f>IF(終値!A47="","",終値!A47)</f>
      </c>
      <c r="B47" s="684">
        <f>IF(終値!A47="","",IFERROR(4*STDEVP(終値!E47:X47)/AVERAGE(終値!E47:X47),""))</f>
      </c>
      <c r="C47" s="684">
        <f>IF(終値!A47="","",IFERROR(4*STDEVP(終値!F47:Y47)/AVERAGE(終値!F47:Y47),""))</f>
      </c>
      <c r="D47" s="684">
        <f>IF(終値!A47="","",IFERROR(4*STDEVP(終値!G47:Z47)/AVERAGE(終値!G47:Z47),""))</f>
      </c>
      <c r="E47" s="684">
        <f>IF(終値!A47="","",IFERROR(4*STDEVP(終値!H47:AA47)/AVERAGE(終値!H47:AA47),""))</f>
      </c>
      <c r="F47" s="684">
        <f>IF(終値!A47="","",IFERROR(4*STDEVP(終値!I47:AB47)/AVERAGE(終値!I47:AB47),""))</f>
      </c>
      <c r="G47" s="684">
        <f>IF(終値!A47="","",IFERROR(4*STDEVP(終値!J47:AC47)/AVERAGE(終値!J47:AC47),""))</f>
      </c>
      <c r="H47" s="684">
        <f>IF(終値!A47="","",IFERROR(4*STDEVP(終値!K47:AD47)/AVERAGE(終値!K47:AD47),""))</f>
      </c>
      <c r="I47" s="684">
        <f>IF(終値!A47="","",IFERROR(4*STDEVP(終値!L47:AE47)/AVERAGE(終値!L47:AE47),""))</f>
      </c>
      <c r="J47" s="684">
        <f>IF(終値!A47="","",IFERROR(4*STDEVP(終値!M47:AF47)/AVERAGE(終値!M47:AF47),""))</f>
      </c>
      <c r="K47" s="684">
        <f>IF(終値!A47="","",IFERROR(4*STDEVP(終値!N47:AG47)/AVERAGE(終値!N47:AG47),""))</f>
      </c>
      <c r="L47" s="684">
        <f>IF(終値!A47="","",IFERROR(4*STDEVP(終値!O47:AH47)/AVERAGE(終値!O47:AH47),""))</f>
      </c>
      <c r="M47" s="684">
        <f>IF(終値!A47="","",IFERROR(4*STDEVP(終値!P47:AI47)/AVERAGE(終値!P47:AI47),""))</f>
      </c>
      <c r="N47" s="684">
        <f>IF(終値!A47="","",IFERROR(4*STDEVP(終値!Q47:AJ47)/AVERAGE(終値!Q47:AJ47),""))</f>
      </c>
      <c r="O47" s="684">
        <f>IF(終値!A47="","",IFERROR(4*STDEVP(終値!R47:AK47)/AVERAGE(終値!R47:AK47),""))</f>
      </c>
      <c r="P47" s="684">
        <f>IF(終値!A47="","",IFERROR(4*STDEVP(終値!S47:AL47)/AVERAGE(終値!S47:AL47),""))</f>
      </c>
      <c r="Q47" s="684">
        <f>IF(終値!A47="","",IFERROR(4*STDEVP(終値!T47:AM47)/AVERAGE(終値!T47:AM47),""))</f>
      </c>
      <c r="R47" s="684">
        <f>IF(終値!A47="","",IFERROR(4*STDEVP(終値!U47:AN47)/AVERAGE(終値!U47:AN47),""))</f>
      </c>
      <c r="S47" s="684">
        <f>IF(終値!A47="","",IFERROR(4*STDEVP(終値!V47:AO47)/AVERAGE(終値!V47:AO47),""))</f>
      </c>
      <c r="T47" s="684">
        <f>IF(終値!A47="","",IFERROR(4*STDEVP(終値!W47:AP47)/AVERAGE(終値!W47:AP47),""))</f>
      </c>
      <c r="U47" s="684">
        <f>IF(終値!A47="","",IFERROR(4*STDEVP(終値!X47:AQ47)/AVERAGE(終値!X47:AQ47),""))</f>
      </c>
      <c r="V47" s="684">
        <f>IF(終値!A47="","",IFERROR(4*STDEVP(終値!Y47:AR47)/AVERAGE(終値!Y47:AR47),""))</f>
      </c>
      <c r="W47" s="684">
        <f>IF(終値!A47="","",IFERROR(4*STDEVP(終値!Z47:AS47)/AVERAGE(終値!Z47:AS47),""))</f>
      </c>
      <c r="X47" s="684">
        <f>IF(終値!A47="","",IFERROR(4*STDEVP(終値!AA47:AT47)/AVERAGE(終値!AA47:AT47),""))</f>
      </c>
      <c r="Y47" s="684">
        <f>IF(終値!A47="","",IFERROR(4*STDEVP(終値!AB47:AU47)/AVERAGE(終値!AB47:AU47),""))</f>
      </c>
      <c r="Z47" s="684">
        <f>IF(終値!A47="","",IFERROR(4*STDEVP(終値!AC47:AV47)/AVERAGE(終値!AC47:AV47),""))</f>
      </c>
      <c r="AA47" s="684">
        <f>IF(終値!A47="","",IFERROR(4*STDEVP(終値!AD47:AW47)/AVERAGE(終値!AD47:AW47),""))</f>
      </c>
      <c r="AB47" s="684">
        <f>IF(終値!A47="","",IFERROR(4*STDEVP(終値!AE47:AX47)/AVERAGE(終値!AE47:AX47),""))</f>
      </c>
      <c r="AC47" s="684">
        <f>IF(終値!A47="","",IFERROR(4*STDEVP(終値!AF47:AY47)/AVERAGE(終値!AF47:AY47),""))</f>
      </c>
      <c r="AD47" s="684">
        <f>IF(終値!A47="","",IFERROR(4*STDEVP(終値!AG47:AZ47)/AVERAGE(終値!AG47:AZ47),""))</f>
      </c>
      <c r="AE47" s="684">
        <f>IF(終値!A47="","",IFERROR(4*STDEVP(終値!AH47:BA47)/AVERAGE(終値!AH47:BA47),""))</f>
      </c>
      <c r="AF47" s="684">
        <f>IF(終値!A47="","",IFERROR(4*STDEVP(終値!AI47:BB47)/AVERAGE(終値!AI47:BB47),""))</f>
      </c>
      <c r="AG47" s="684">
        <f>IF(終値!A47="","",IFERROR(4*STDEVP(終値!AJ47:BC47)/AVERAGE(終値!AJ47:BC47),""))</f>
      </c>
      <c r="AH47" s="684">
        <f>IF(終値!A47="","",IFERROR(4*STDEVP(終値!AK47:BD47)/AVERAGE(終値!AK47:BD47),""))</f>
      </c>
      <c r="AI47" s="684">
        <f>IF(終値!A47="","",IFERROR(4*STDEVP(終値!AL47:BE47)/AVERAGE(終値!AL47:BE47),""))</f>
      </c>
      <c r="AJ47" s="684">
        <f>IF(終値!A47="","",IFERROR(4*STDEVP(終値!AM47:BF47)/AVERAGE(終値!AM47:BF47),""))</f>
      </c>
      <c r="AK47" s="684">
        <f>IF(終値!A47="","",IFERROR(4*STDEVP(終値!AN47:BG47)/AVERAGE(終値!AN47:BG47),""))</f>
      </c>
      <c r="AL47" s="684">
        <f>IF(終値!A47="","",IFERROR(4*STDEVP(終値!AO47:BH47)/AVERAGE(終値!AO47:BH47),""))</f>
      </c>
      <c r="AM47" s="684">
        <f>IF(終値!A47="","",IFERROR(4*STDEVP(終値!AP47:BI47)/AVERAGE(終値!AP47:BI47),""))</f>
      </c>
      <c r="AN47" s="684">
        <f>IF(終値!A47="","",IFERROR(4*STDEVP(終値!AQ47:BJ47)/AVERAGE(終値!AQ47:BJ47),""))</f>
      </c>
      <c r="AO47" s="684">
        <f>IF(終値!A47="","",IFERROR(4*STDEVP(終値!AR47:BK47)/AVERAGE(終値!AR47:BK47),""))</f>
      </c>
      <c r="AP47" s="684">
        <f>IF(終値!A47="","",IFERROR(4*STDEVP(終値!AS47:BL47)/AVERAGE(終値!AS47:BL47),""))</f>
      </c>
    </row>
    <row r="48">
      <c r="A48" s="681">
        <f>IF(終値!A48="","",終値!A48)</f>
      </c>
      <c r="B48" s="684">
        <f>IF(終値!A48="","",IFERROR(4*STDEVP(終値!E48:X48)/AVERAGE(終値!E48:X48),""))</f>
      </c>
      <c r="C48" s="684">
        <f>IF(終値!A48="","",IFERROR(4*STDEVP(終値!F48:Y48)/AVERAGE(終値!F48:Y48),""))</f>
      </c>
      <c r="D48" s="684">
        <f>IF(終値!A48="","",IFERROR(4*STDEVP(終値!G48:Z48)/AVERAGE(終値!G48:Z48),""))</f>
      </c>
      <c r="E48" s="684">
        <f>IF(終値!A48="","",IFERROR(4*STDEVP(終値!H48:AA48)/AVERAGE(終値!H48:AA48),""))</f>
      </c>
      <c r="F48" s="684">
        <f>IF(終値!A48="","",IFERROR(4*STDEVP(終値!I48:AB48)/AVERAGE(終値!I48:AB48),""))</f>
      </c>
      <c r="G48" s="684">
        <f>IF(終値!A48="","",IFERROR(4*STDEVP(終値!J48:AC48)/AVERAGE(終値!J48:AC48),""))</f>
      </c>
      <c r="H48" s="684">
        <f>IF(終値!A48="","",IFERROR(4*STDEVP(終値!K48:AD48)/AVERAGE(終値!K48:AD48),""))</f>
      </c>
      <c r="I48" s="684">
        <f>IF(終値!A48="","",IFERROR(4*STDEVP(終値!L48:AE48)/AVERAGE(終値!L48:AE48),""))</f>
      </c>
      <c r="J48" s="684">
        <f>IF(終値!A48="","",IFERROR(4*STDEVP(終値!M48:AF48)/AVERAGE(終値!M48:AF48),""))</f>
      </c>
      <c r="K48" s="684">
        <f>IF(終値!A48="","",IFERROR(4*STDEVP(終値!N48:AG48)/AVERAGE(終値!N48:AG48),""))</f>
      </c>
      <c r="L48" s="684">
        <f>IF(終値!A48="","",IFERROR(4*STDEVP(終値!O48:AH48)/AVERAGE(終値!O48:AH48),""))</f>
      </c>
      <c r="M48" s="684">
        <f>IF(終値!A48="","",IFERROR(4*STDEVP(終値!P48:AI48)/AVERAGE(終値!P48:AI48),""))</f>
      </c>
      <c r="N48" s="684">
        <f>IF(終値!A48="","",IFERROR(4*STDEVP(終値!Q48:AJ48)/AVERAGE(終値!Q48:AJ48),""))</f>
      </c>
      <c r="O48" s="684">
        <f>IF(終値!A48="","",IFERROR(4*STDEVP(終値!R48:AK48)/AVERAGE(終値!R48:AK48),""))</f>
      </c>
      <c r="P48" s="684">
        <f>IF(終値!A48="","",IFERROR(4*STDEVP(終値!S48:AL48)/AVERAGE(終値!S48:AL48),""))</f>
      </c>
      <c r="Q48" s="684">
        <f>IF(終値!A48="","",IFERROR(4*STDEVP(終値!T48:AM48)/AVERAGE(終値!T48:AM48),""))</f>
      </c>
      <c r="R48" s="684">
        <f>IF(終値!A48="","",IFERROR(4*STDEVP(終値!U48:AN48)/AVERAGE(終値!U48:AN48),""))</f>
      </c>
      <c r="S48" s="684">
        <f>IF(終値!A48="","",IFERROR(4*STDEVP(終値!V48:AO48)/AVERAGE(終値!V48:AO48),""))</f>
      </c>
      <c r="T48" s="684">
        <f>IF(終値!A48="","",IFERROR(4*STDEVP(終値!W48:AP48)/AVERAGE(終値!W48:AP48),""))</f>
      </c>
      <c r="U48" s="684">
        <f>IF(終値!A48="","",IFERROR(4*STDEVP(終値!X48:AQ48)/AVERAGE(終値!X48:AQ48),""))</f>
      </c>
      <c r="V48" s="684">
        <f>IF(終値!A48="","",IFERROR(4*STDEVP(終値!Y48:AR48)/AVERAGE(終値!Y48:AR48),""))</f>
      </c>
      <c r="W48" s="684">
        <f>IF(終値!A48="","",IFERROR(4*STDEVP(終値!Z48:AS48)/AVERAGE(終値!Z48:AS48),""))</f>
      </c>
      <c r="X48" s="684">
        <f>IF(終値!A48="","",IFERROR(4*STDEVP(終値!AA48:AT48)/AVERAGE(終値!AA48:AT48),""))</f>
      </c>
      <c r="Y48" s="684">
        <f>IF(終値!A48="","",IFERROR(4*STDEVP(終値!AB48:AU48)/AVERAGE(終値!AB48:AU48),""))</f>
      </c>
      <c r="Z48" s="684">
        <f>IF(終値!A48="","",IFERROR(4*STDEVP(終値!AC48:AV48)/AVERAGE(終値!AC48:AV48),""))</f>
      </c>
      <c r="AA48" s="684">
        <f>IF(終値!A48="","",IFERROR(4*STDEVP(終値!AD48:AW48)/AVERAGE(終値!AD48:AW48),""))</f>
      </c>
      <c r="AB48" s="684">
        <f>IF(終値!A48="","",IFERROR(4*STDEVP(終値!AE48:AX48)/AVERAGE(終値!AE48:AX48),""))</f>
      </c>
      <c r="AC48" s="684">
        <f>IF(終値!A48="","",IFERROR(4*STDEVP(終値!AF48:AY48)/AVERAGE(終値!AF48:AY48),""))</f>
      </c>
      <c r="AD48" s="684">
        <f>IF(終値!A48="","",IFERROR(4*STDEVP(終値!AG48:AZ48)/AVERAGE(終値!AG48:AZ48),""))</f>
      </c>
      <c r="AE48" s="684">
        <f>IF(終値!A48="","",IFERROR(4*STDEVP(終値!AH48:BA48)/AVERAGE(終値!AH48:BA48),""))</f>
      </c>
      <c r="AF48" s="684">
        <f>IF(終値!A48="","",IFERROR(4*STDEVP(終値!AI48:BB48)/AVERAGE(終値!AI48:BB48),""))</f>
      </c>
      <c r="AG48" s="684">
        <f>IF(終値!A48="","",IFERROR(4*STDEVP(終値!AJ48:BC48)/AVERAGE(終値!AJ48:BC48),""))</f>
      </c>
      <c r="AH48" s="684">
        <f>IF(終値!A48="","",IFERROR(4*STDEVP(終値!AK48:BD48)/AVERAGE(終値!AK48:BD48),""))</f>
      </c>
      <c r="AI48" s="684">
        <f>IF(終値!A48="","",IFERROR(4*STDEVP(終値!AL48:BE48)/AVERAGE(終値!AL48:BE48),""))</f>
      </c>
      <c r="AJ48" s="684">
        <f>IF(終値!A48="","",IFERROR(4*STDEVP(終値!AM48:BF48)/AVERAGE(終値!AM48:BF48),""))</f>
      </c>
      <c r="AK48" s="684">
        <f>IF(終値!A48="","",IFERROR(4*STDEVP(終値!AN48:BG48)/AVERAGE(終値!AN48:BG48),""))</f>
      </c>
      <c r="AL48" s="684">
        <f>IF(終値!A48="","",IFERROR(4*STDEVP(終値!AO48:BH48)/AVERAGE(終値!AO48:BH48),""))</f>
      </c>
      <c r="AM48" s="684">
        <f>IF(終値!A48="","",IFERROR(4*STDEVP(終値!AP48:BI48)/AVERAGE(終値!AP48:BI48),""))</f>
      </c>
      <c r="AN48" s="684">
        <f>IF(終値!A48="","",IFERROR(4*STDEVP(終値!AQ48:BJ48)/AVERAGE(終値!AQ48:BJ48),""))</f>
      </c>
      <c r="AO48" s="684">
        <f>IF(終値!A48="","",IFERROR(4*STDEVP(終値!AR48:BK48)/AVERAGE(終値!AR48:BK48),""))</f>
      </c>
      <c r="AP48" s="684">
        <f>IF(終値!A48="","",IFERROR(4*STDEVP(終値!AS48:BL48)/AVERAGE(終値!AS48:BL48),""))</f>
      </c>
    </row>
    <row r="49">
      <c r="A49" s="681">
        <f>IF(終値!A49="","",終値!A49)</f>
      </c>
      <c r="B49" s="684">
        <f>IF(終値!A49="","",IFERROR(4*STDEVP(終値!E49:X49)/AVERAGE(終値!E49:X49),""))</f>
      </c>
      <c r="C49" s="684">
        <f>IF(終値!A49="","",IFERROR(4*STDEVP(終値!F49:Y49)/AVERAGE(終値!F49:Y49),""))</f>
      </c>
      <c r="D49" s="684">
        <f>IF(終値!A49="","",IFERROR(4*STDEVP(終値!G49:Z49)/AVERAGE(終値!G49:Z49),""))</f>
      </c>
      <c r="E49" s="684">
        <f>IF(終値!A49="","",IFERROR(4*STDEVP(終値!H49:AA49)/AVERAGE(終値!H49:AA49),""))</f>
      </c>
      <c r="F49" s="684">
        <f>IF(終値!A49="","",IFERROR(4*STDEVP(終値!I49:AB49)/AVERAGE(終値!I49:AB49),""))</f>
      </c>
      <c r="G49" s="684">
        <f>IF(終値!A49="","",IFERROR(4*STDEVP(終値!J49:AC49)/AVERAGE(終値!J49:AC49),""))</f>
      </c>
      <c r="H49" s="684">
        <f>IF(終値!A49="","",IFERROR(4*STDEVP(終値!K49:AD49)/AVERAGE(終値!K49:AD49),""))</f>
      </c>
      <c r="I49" s="684">
        <f>IF(終値!A49="","",IFERROR(4*STDEVP(終値!L49:AE49)/AVERAGE(終値!L49:AE49),""))</f>
      </c>
      <c r="J49" s="684">
        <f>IF(終値!A49="","",IFERROR(4*STDEVP(終値!M49:AF49)/AVERAGE(終値!M49:AF49),""))</f>
      </c>
      <c r="K49" s="684">
        <f>IF(終値!A49="","",IFERROR(4*STDEVP(終値!N49:AG49)/AVERAGE(終値!N49:AG49),""))</f>
      </c>
      <c r="L49" s="684">
        <f>IF(終値!A49="","",IFERROR(4*STDEVP(終値!O49:AH49)/AVERAGE(終値!O49:AH49),""))</f>
      </c>
      <c r="M49" s="684">
        <f>IF(終値!A49="","",IFERROR(4*STDEVP(終値!P49:AI49)/AVERAGE(終値!P49:AI49),""))</f>
      </c>
      <c r="N49" s="684">
        <f>IF(終値!A49="","",IFERROR(4*STDEVP(終値!Q49:AJ49)/AVERAGE(終値!Q49:AJ49),""))</f>
      </c>
      <c r="O49" s="684">
        <f>IF(終値!A49="","",IFERROR(4*STDEVP(終値!R49:AK49)/AVERAGE(終値!R49:AK49),""))</f>
      </c>
      <c r="P49" s="684">
        <f>IF(終値!A49="","",IFERROR(4*STDEVP(終値!S49:AL49)/AVERAGE(終値!S49:AL49),""))</f>
      </c>
      <c r="Q49" s="684">
        <f>IF(終値!A49="","",IFERROR(4*STDEVP(終値!T49:AM49)/AVERAGE(終値!T49:AM49),""))</f>
      </c>
      <c r="R49" s="684">
        <f>IF(終値!A49="","",IFERROR(4*STDEVP(終値!U49:AN49)/AVERAGE(終値!U49:AN49),""))</f>
      </c>
      <c r="S49" s="684">
        <f>IF(終値!A49="","",IFERROR(4*STDEVP(終値!V49:AO49)/AVERAGE(終値!V49:AO49),""))</f>
      </c>
      <c r="T49" s="684">
        <f>IF(終値!A49="","",IFERROR(4*STDEVP(終値!W49:AP49)/AVERAGE(終値!W49:AP49),""))</f>
      </c>
      <c r="U49" s="684">
        <f>IF(終値!A49="","",IFERROR(4*STDEVP(終値!X49:AQ49)/AVERAGE(終値!X49:AQ49),""))</f>
      </c>
      <c r="V49" s="684">
        <f>IF(終値!A49="","",IFERROR(4*STDEVP(終値!Y49:AR49)/AVERAGE(終値!Y49:AR49),""))</f>
      </c>
      <c r="W49" s="684">
        <f>IF(終値!A49="","",IFERROR(4*STDEVP(終値!Z49:AS49)/AVERAGE(終値!Z49:AS49),""))</f>
      </c>
      <c r="X49" s="684">
        <f>IF(終値!A49="","",IFERROR(4*STDEVP(終値!AA49:AT49)/AVERAGE(終値!AA49:AT49),""))</f>
      </c>
      <c r="Y49" s="684">
        <f>IF(終値!A49="","",IFERROR(4*STDEVP(終値!AB49:AU49)/AVERAGE(終値!AB49:AU49),""))</f>
      </c>
      <c r="Z49" s="684">
        <f>IF(終値!A49="","",IFERROR(4*STDEVP(終値!AC49:AV49)/AVERAGE(終値!AC49:AV49),""))</f>
      </c>
      <c r="AA49" s="684">
        <f>IF(終値!A49="","",IFERROR(4*STDEVP(終値!AD49:AW49)/AVERAGE(終値!AD49:AW49),""))</f>
      </c>
      <c r="AB49" s="684">
        <f>IF(終値!A49="","",IFERROR(4*STDEVP(終値!AE49:AX49)/AVERAGE(終値!AE49:AX49),""))</f>
      </c>
      <c r="AC49" s="684">
        <f>IF(終値!A49="","",IFERROR(4*STDEVP(終値!AF49:AY49)/AVERAGE(終値!AF49:AY49),""))</f>
      </c>
      <c r="AD49" s="684">
        <f>IF(終値!A49="","",IFERROR(4*STDEVP(終値!AG49:AZ49)/AVERAGE(終値!AG49:AZ49),""))</f>
      </c>
      <c r="AE49" s="684">
        <f>IF(終値!A49="","",IFERROR(4*STDEVP(終値!AH49:BA49)/AVERAGE(終値!AH49:BA49),""))</f>
      </c>
      <c r="AF49" s="684">
        <f>IF(終値!A49="","",IFERROR(4*STDEVP(終値!AI49:BB49)/AVERAGE(終値!AI49:BB49),""))</f>
      </c>
      <c r="AG49" s="684">
        <f>IF(終値!A49="","",IFERROR(4*STDEVP(終値!AJ49:BC49)/AVERAGE(終値!AJ49:BC49),""))</f>
      </c>
      <c r="AH49" s="684">
        <f>IF(終値!A49="","",IFERROR(4*STDEVP(終値!AK49:BD49)/AVERAGE(終値!AK49:BD49),""))</f>
      </c>
      <c r="AI49" s="684">
        <f>IF(終値!A49="","",IFERROR(4*STDEVP(終値!AL49:BE49)/AVERAGE(終値!AL49:BE49),""))</f>
      </c>
      <c r="AJ49" s="684">
        <f>IF(終値!A49="","",IFERROR(4*STDEVP(終値!AM49:BF49)/AVERAGE(終値!AM49:BF49),""))</f>
      </c>
      <c r="AK49" s="684">
        <f>IF(終値!A49="","",IFERROR(4*STDEVP(終値!AN49:BG49)/AVERAGE(終値!AN49:BG49),""))</f>
      </c>
      <c r="AL49" s="684">
        <f>IF(終値!A49="","",IFERROR(4*STDEVP(終値!AO49:BH49)/AVERAGE(終値!AO49:BH49),""))</f>
      </c>
      <c r="AM49" s="684">
        <f>IF(終値!A49="","",IFERROR(4*STDEVP(終値!AP49:BI49)/AVERAGE(終値!AP49:BI49),""))</f>
      </c>
      <c r="AN49" s="684">
        <f>IF(終値!A49="","",IFERROR(4*STDEVP(終値!AQ49:BJ49)/AVERAGE(終値!AQ49:BJ49),""))</f>
      </c>
      <c r="AO49" s="684">
        <f>IF(終値!A49="","",IFERROR(4*STDEVP(終値!AR49:BK49)/AVERAGE(終値!AR49:BK49),""))</f>
      </c>
      <c r="AP49" s="684">
        <f>IF(終値!A49="","",IFERROR(4*STDEVP(終値!AS49:BL49)/AVERAGE(終値!AS49:BL49),""))</f>
      </c>
    </row>
    <row r="50">
      <c r="A50" s="681">
        <f>IF(終値!A50="","",終値!A50)</f>
      </c>
      <c r="B50" s="684">
        <f>IF(終値!A50="","",IFERROR(4*STDEVP(終値!E50:X50)/AVERAGE(終値!E50:X50),""))</f>
      </c>
      <c r="C50" s="684">
        <f>IF(終値!A50="","",IFERROR(4*STDEVP(終値!F50:Y50)/AVERAGE(終値!F50:Y50),""))</f>
      </c>
      <c r="D50" s="684">
        <f>IF(終値!A50="","",IFERROR(4*STDEVP(終値!G50:Z50)/AVERAGE(終値!G50:Z50),""))</f>
      </c>
      <c r="E50" s="684">
        <f>IF(終値!A50="","",IFERROR(4*STDEVP(終値!H50:AA50)/AVERAGE(終値!H50:AA50),""))</f>
      </c>
      <c r="F50" s="684">
        <f>IF(終値!A50="","",IFERROR(4*STDEVP(終値!I50:AB50)/AVERAGE(終値!I50:AB50),""))</f>
      </c>
      <c r="G50" s="684">
        <f>IF(終値!A50="","",IFERROR(4*STDEVP(終値!J50:AC50)/AVERAGE(終値!J50:AC50),""))</f>
      </c>
      <c r="H50" s="684">
        <f>IF(終値!A50="","",IFERROR(4*STDEVP(終値!K50:AD50)/AVERAGE(終値!K50:AD50),""))</f>
      </c>
      <c r="I50" s="684">
        <f>IF(終値!A50="","",IFERROR(4*STDEVP(終値!L50:AE50)/AVERAGE(終値!L50:AE50),""))</f>
      </c>
      <c r="J50" s="684">
        <f>IF(終値!A50="","",IFERROR(4*STDEVP(終値!M50:AF50)/AVERAGE(終値!M50:AF50),""))</f>
      </c>
      <c r="K50" s="684">
        <f>IF(終値!A50="","",IFERROR(4*STDEVP(終値!N50:AG50)/AVERAGE(終値!N50:AG50),""))</f>
      </c>
      <c r="L50" s="684">
        <f>IF(終値!A50="","",IFERROR(4*STDEVP(終値!O50:AH50)/AVERAGE(終値!O50:AH50),""))</f>
      </c>
      <c r="M50" s="684">
        <f>IF(終値!A50="","",IFERROR(4*STDEVP(終値!P50:AI50)/AVERAGE(終値!P50:AI50),""))</f>
      </c>
      <c r="N50" s="684">
        <f>IF(終値!A50="","",IFERROR(4*STDEVP(終値!Q50:AJ50)/AVERAGE(終値!Q50:AJ50),""))</f>
      </c>
      <c r="O50" s="684">
        <f>IF(終値!A50="","",IFERROR(4*STDEVP(終値!R50:AK50)/AVERAGE(終値!R50:AK50),""))</f>
      </c>
      <c r="P50" s="684">
        <f>IF(終値!A50="","",IFERROR(4*STDEVP(終値!S50:AL50)/AVERAGE(終値!S50:AL50),""))</f>
      </c>
      <c r="Q50" s="684">
        <f>IF(終値!A50="","",IFERROR(4*STDEVP(終値!T50:AM50)/AVERAGE(終値!T50:AM50),""))</f>
      </c>
      <c r="R50" s="684">
        <f>IF(終値!A50="","",IFERROR(4*STDEVP(終値!U50:AN50)/AVERAGE(終値!U50:AN50),""))</f>
      </c>
      <c r="S50" s="684">
        <f>IF(終値!A50="","",IFERROR(4*STDEVP(終値!V50:AO50)/AVERAGE(終値!V50:AO50),""))</f>
      </c>
      <c r="T50" s="684">
        <f>IF(終値!A50="","",IFERROR(4*STDEVP(終値!W50:AP50)/AVERAGE(終値!W50:AP50),""))</f>
      </c>
      <c r="U50" s="684">
        <f>IF(終値!A50="","",IFERROR(4*STDEVP(終値!X50:AQ50)/AVERAGE(終値!X50:AQ50),""))</f>
      </c>
      <c r="V50" s="684">
        <f>IF(終値!A50="","",IFERROR(4*STDEVP(終値!Y50:AR50)/AVERAGE(終値!Y50:AR50),""))</f>
      </c>
      <c r="W50" s="684">
        <f>IF(終値!A50="","",IFERROR(4*STDEVP(終値!Z50:AS50)/AVERAGE(終値!Z50:AS50),""))</f>
      </c>
      <c r="X50" s="684">
        <f>IF(終値!A50="","",IFERROR(4*STDEVP(終値!AA50:AT50)/AVERAGE(終値!AA50:AT50),""))</f>
      </c>
      <c r="Y50" s="684">
        <f>IF(終値!A50="","",IFERROR(4*STDEVP(終値!AB50:AU50)/AVERAGE(終値!AB50:AU50),""))</f>
      </c>
      <c r="Z50" s="684">
        <f>IF(終値!A50="","",IFERROR(4*STDEVP(終値!AC50:AV50)/AVERAGE(終値!AC50:AV50),""))</f>
      </c>
      <c r="AA50" s="684">
        <f>IF(終値!A50="","",IFERROR(4*STDEVP(終値!AD50:AW50)/AVERAGE(終値!AD50:AW50),""))</f>
      </c>
      <c r="AB50" s="684">
        <f>IF(終値!A50="","",IFERROR(4*STDEVP(終値!AE50:AX50)/AVERAGE(終値!AE50:AX50),""))</f>
      </c>
      <c r="AC50" s="684">
        <f>IF(終値!A50="","",IFERROR(4*STDEVP(終値!AF50:AY50)/AVERAGE(終値!AF50:AY50),""))</f>
      </c>
      <c r="AD50" s="684">
        <f>IF(終値!A50="","",IFERROR(4*STDEVP(終値!AG50:AZ50)/AVERAGE(終値!AG50:AZ50),""))</f>
      </c>
      <c r="AE50" s="684">
        <f>IF(終値!A50="","",IFERROR(4*STDEVP(終値!AH50:BA50)/AVERAGE(終値!AH50:BA50),""))</f>
      </c>
      <c r="AF50" s="684">
        <f>IF(終値!A50="","",IFERROR(4*STDEVP(終値!AI50:BB50)/AVERAGE(終値!AI50:BB50),""))</f>
      </c>
      <c r="AG50" s="684">
        <f>IF(終値!A50="","",IFERROR(4*STDEVP(終値!AJ50:BC50)/AVERAGE(終値!AJ50:BC50),""))</f>
      </c>
      <c r="AH50" s="684">
        <f>IF(終値!A50="","",IFERROR(4*STDEVP(終値!AK50:BD50)/AVERAGE(終値!AK50:BD50),""))</f>
      </c>
      <c r="AI50" s="684">
        <f>IF(終値!A50="","",IFERROR(4*STDEVP(終値!AL50:BE50)/AVERAGE(終値!AL50:BE50),""))</f>
      </c>
      <c r="AJ50" s="684">
        <f>IF(終値!A50="","",IFERROR(4*STDEVP(終値!AM50:BF50)/AVERAGE(終値!AM50:BF50),""))</f>
      </c>
      <c r="AK50" s="684">
        <f>IF(終値!A50="","",IFERROR(4*STDEVP(終値!AN50:BG50)/AVERAGE(終値!AN50:BG50),""))</f>
      </c>
      <c r="AL50" s="684">
        <f>IF(終値!A50="","",IFERROR(4*STDEVP(終値!AO50:BH50)/AVERAGE(終値!AO50:BH50),""))</f>
      </c>
      <c r="AM50" s="684">
        <f>IF(終値!A50="","",IFERROR(4*STDEVP(終値!AP50:BI50)/AVERAGE(終値!AP50:BI50),""))</f>
      </c>
      <c r="AN50" s="684">
        <f>IF(終値!A50="","",IFERROR(4*STDEVP(終値!AQ50:BJ50)/AVERAGE(終値!AQ50:BJ50),""))</f>
      </c>
      <c r="AO50" s="684">
        <f>IF(終値!A50="","",IFERROR(4*STDEVP(終値!AR50:BK50)/AVERAGE(終値!AR50:BK50),""))</f>
      </c>
      <c r="AP50" s="684">
        <f>IF(終値!A50="","",IFERROR(4*STDEVP(終値!AS50:BL50)/AVERAGE(終値!AS50:BL50),""))</f>
      </c>
    </row>
    <row r="51">
      <c r="A51" s="681">
        <f>IF(終値!A51="","",終値!A51)</f>
      </c>
      <c r="B51" s="684">
        <f>IF(終値!A51="","",IFERROR(4*STDEVP(終値!E51:X51)/AVERAGE(終値!E51:X51),""))</f>
      </c>
      <c r="C51" s="684">
        <f>IF(終値!A51="","",IFERROR(4*STDEVP(終値!F51:Y51)/AVERAGE(終値!F51:Y51),""))</f>
      </c>
      <c r="D51" s="684">
        <f>IF(終値!A51="","",IFERROR(4*STDEVP(終値!G51:Z51)/AVERAGE(終値!G51:Z51),""))</f>
      </c>
      <c r="E51" s="684">
        <f>IF(終値!A51="","",IFERROR(4*STDEVP(終値!H51:AA51)/AVERAGE(終値!H51:AA51),""))</f>
      </c>
      <c r="F51" s="684">
        <f>IF(終値!A51="","",IFERROR(4*STDEVP(終値!I51:AB51)/AVERAGE(終値!I51:AB51),""))</f>
      </c>
      <c r="G51" s="684">
        <f>IF(終値!A51="","",IFERROR(4*STDEVP(終値!J51:AC51)/AVERAGE(終値!J51:AC51),""))</f>
      </c>
      <c r="H51" s="684">
        <f>IF(終値!A51="","",IFERROR(4*STDEVP(終値!K51:AD51)/AVERAGE(終値!K51:AD51),""))</f>
      </c>
      <c r="I51" s="684">
        <f>IF(終値!A51="","",IFERROR(4*STDEVP(終値!L51:AE51)/AVERAGE(終値!L51:AE51),""))</f>
      </c>
      <c r="J51" s="684">
        <f>IF(終値!A51="","",IFERROR(4*STDEVP(終値!M51:AF51)/AVERAGE(終値!M51:AF51),""))</f>
      </c>
      <c r="K51" s="684">
        <f>IF(終値!A51="","",IFERROR(4*STDEVP(終値!N51:AG51)/AVERAGE(終値!N51:AG51),""))</f>
      </c>
      <c r="L51" s="684">
        <f>IF(終値!A51="","",IFERROR(4*STDEVP(終値!O51:AH51)/AVERAGE(終値!O51:AH51),""))</f>
      </c>
      <c r="M51" s="684">
        <f>IF(終値!A51="","",IFERROR(4*STDEVP(終値!P51:AI51)/AVERAGE(終値!P51:AI51),""))</f>
      </c>
      <c r="N51" s="684">
        <f>IF(終値!A51="","",IFERROR(4*STDEVP(終値!Q51:AJ51)/AVERAGE(終値!Q51:AJ51),""))</f>
      </c>
      <c r="O51" s="684">
        <f>IF(終値!A51="","",IFERROR(4*STDEVP(終値!R51:AK51)/AVERAGE(終値!R51:AK51),""))</f>
      </c>
      <c r="P51" s="684">
        <f>IF(終値!A51="","",IFERROR(4*STDEVP(終値!S51:AL51)/AVERAGE(終値!S51:AL51),""))</f>
      </c>
      <c r="Q51" s="684">
        <f>IF(終値!A51="","",IFERROR(4*STDEVP(終値!T51:AM51)/AVERAGE(終値!T51:AM51),""))</f>
      </c>
      <c r="R51" s="684">
        <f>IF(終値!A51="","",IFERROR(4*STDEVP(終値!U51:AN51)/AVERAGE(終値!U51:AN51),""))</f>
      </c>
      <c r="S51" s="684">
        <f>IF(終値!A51="","",IFERROR(4*STDEVP(終値!V51:AO51)/AVERAGE(終値!V51:AO51),""))</f>
      </c>
      <c r="T51" s="684">
        <f>IF(終値!A51="","",IFERROR(4*STDEVP(終値!W51:AP51)/AVERAGE(終値!W51:AP51),""))</f>
      </c>
      <c r="U51" s="684">
        <f>IF(終値!A51="","",IFERROR(4*STDEVP(終値!X51:AQ51)/AVERAGE(終値!X51:AQ51),""))</f>
      </c>
      <c r="V51" s="684">
        <f>IF(終値!A51="","",IFERROR(4*STDEVP(終値!Y51:AR51)/AVERAGE(終値!Y51:AR51),""))</f>
      </c>
      <c r="W51" s="684">
        <f>IF(終値!A51="","",IFERROR(4*STDEVP(終値!Z51:AS51)/AVERAGE(終値!Z51:AS51),""))</f>
      </c>
      <c r="X51" s="684">
        <f>IF(終値!A51="","",IFERROR(4*STDEVP(終値!AA51:AT51)/AVERAGE(終値!AA51:AT51),""))</f>
      </c>
      <c r="Y51" s="684">
        <f>IF(終値!A51="","",IFERROR(4*STDEVP(終値!AB51:AU51)/AVERAGE(終値!AB51:AU51),""))</f>
      </c>
      <c r="Z51" s="684">
        <f>IF(終値!A51="","",IFERROR(4*STDEVP(終値!AC51:AV51)/AVERAGE(終値!AC51:AV51),""))</f>
      </c>
      <c r="AA51" s="684">
        <f>IF(終値!A51="","",IFERROR(4*STDEVP(終値!AD51:AW51)/AVERAGE(終値!AD51:AW51),""))</f>
      </c>
      <c r="AB51" s="684">
        <f>IF(終値!A51="","",IFERROR(4*STDEVP(終値!AE51:AX51)/AVERAGE(終値!AE51:AX51),""))</f>
      </c>
      <c r="AC51" s="684">
        <f>IF(終値!A51="","",IFERROR(4*STDEVP(終値!AF51:AY51)/AVERAGE(終値!AF51:AY51),""))</f>
      </c>
      <c r="AD51" s="684">
        <f>IF(終値!A51="","",IFERROR(4*STDEVP(終値!AG51:AZ51)/AVERAGE(終値!AG51:AZ51),""))</f>
      </c>
      <c r="AE51" s="684">
        <f>IF(終値!A51="","",IFERROR(4*STDEVP(終値!AH51:BA51)/AVERAGE(終値!AH51:BA51),""))</f>
      </c>
      <c r="AF51" s="684">
        <f>IF(終値!A51="","",IFERROR(4*STDEVP(終値!AI51:BB51)/AVERAGE(終値!AI51:BB51),""))</f>
      </c>
      <c r="AG51" s="684">
        <f>IF(終値!A51="","",IFERROR(4*STDEVP(終値!AJ51:BC51)/AVERAGE(終値!AJ51:BC51),""))</f>
      </c>
      <c r="AH51" s="684">
        <f>IF(終値!A51="","",IFERROR(4*STDEVP(終値!AK51:BD51)/AVERAGE(終値!AK51:BD51),""))</f>
      </c>
      <c r="AI51" s="684">
        <f>IF(終値!A51="","",IFERROR(4*STDEVP(終値!AL51:BE51)/AVERAGE(終値!AL51:BE51),""))</f>
      </c>
      <c r="AJ51" s="684">
        <f>IF(終値!A51="","",IFERROR(4*STDEVP(終値!AM51:BF51)/AVERAGE(終値!AM51:BF51),""))</f>
      </c>
      <c r="AK51" s="684">
        <f>IF(終値!A51="","",IFERROR(4*STDEVP(終値!AN51:BG51)/AVERAGE(終値!AN51:BG51),""))</f>
      </c>
      <c r="AL51" s="684">
        <f>IF(終値!A51="","",IFERROR(4*STDEVP(終値!AO51:BH51)/AVERAGE(終値!AO51:BH51),""))</f>
      </c>
      <c r="AM51" s="684">
        <f>IF(終値!A51="","",IFERROR(4*STDEVP(終値!AP51:BI51)/AVERAGE(終値!AP51:BI51),""))</f>
      </c>
      <c r="AN51" s="684">
        <f>IF(終値!A51="","",IFERROR(4*STDEVP(終値!AQ51:BJ51)/AVERAGE(終値!AQ51:BJ51),""))</f>
      </c>
      <c r="AO51" s="684">
        <f>IF(終値!A51="","",IFERROR(4*STDEVP(終値!AR51:BK51)/AVERAGE(終値!AR51:BK51),""))</f>
      </c>
      <c r="AP51" s="684">
        <f>IF(終値!A51="","",IFERROR(4*STDEVP(終値!AS51:BL51)/AVERAGE(終値!AS51:BL51),""))</f>
      </c>
    </row>
    <row r="52">
      <c r="A52" s="681">
        <f>IF(終値!A52="","",終値!A52)</f>
      </c>
      <c r="B52" s="684">
        <f>IF(終値!A52="","",IFERROR(4*STDEVP(終値!E52:X52)/AVERAGE(終値!E52:X52),""))</f>
      </c>
      <c r="C52" s="684">
        <f>IF(終値!A52="","",IFERROR(4*STDEVP(終値!F52:Y52)/AVERAGE(終値!F52:Y52),""))</f>
      </c>
      <c r="D52" s="684">
        <f>IF(終値!A52="","",IFERROR(4*STDEVP(終値!G52:Z52)/AVERAGE(終値!G52:Z52),""))</f>
      </c>
      <c r="E52" s="684">
        <f>IF(終値!A52="","",IFERROR(4*STDEVP(終値!H52:AA52)/AVERAGE(終値!H52:AA52),""))</f>
      </c>
      <c r="F52" s="684">
        <f>IF(終値!A52="","",IFERROR(4*STDEVP(終値!I52:AB52)/AVERAGE(終値!I52:AB52),""))</f>
      </c>
      <c r="G52" s="684">
        <f>IF(終値!A52="","",IFERROR(4*STDEVP(終値!J52:AC52)/AVERAGE(終値!J52:AC52),""))</f>
      </c>
      <c r="H52" s="684">
        <f>IF(終値!A52="","",IFERROR(4*STDEVP(終値!K52:AD52)/AVERAGE(終値!K52:AD52),""))</f>
      </c>
      <c r="I52" s="684">
        <f>IF(終値!A52="","",IFERROR(4*STDEVP(終値!L52:AE52)/AVERAGE(終値!L52:AE52),""))</f>
      </c>
      <c r="J52" s="684">
        <f>IF(終値!A52="","",IFERROR(4*STDEVP(終値!M52:AF52)/AVERAGE(終値!M52:AF52),""))</f>
      </c>
      <c r="K52" s="684">
        <f>IF(終値!A52="","",IFERROR(4*STDEVP(終値!N52:AG52)/AVERAGE(終値!N52:AG52),""))</f>
      </c>
      <c r="L52" s="684">
        <f>IF(終値!A52="","",IFERROR(4*STDEVP(終値!O52:AH52)/AVERAGE(終値!O52:AH52),""))</f>
      </c>
      <c r="M52" s="684">
        <f>IF(終値!A52="","",IFERROR(4*STDEVP(終値!P52:AI52)/AVERAGE(終値!P52:AI52),""))</f>
      </c>
      <c r="N52" s="684">
        <f>IF(終値!A52="","",IFERROR(4*STDEVP(終値!Q52:AJ52)/AVERAGE(終値!Q52:AJ52),""))</f>
      </c>
      <c r="O52" s="684">
        <f>IF(終値!A52="","",IFERROR(4*STDEVP(終値!R52:AK52)/AVERAGE(終値!R52:AK52),""))</f>
      </c>
      <c r="P52" s="684">
        <f>IF(終値!A52="","",IFERROR(4*STDEVP(終値!S52:AL52)/AVERAGE(終値!S52:AL52),""))</f>
      </c>
      <c r="Q52" s="684">
        <f>IF(終値!A52="","",IFERROR(4*STDEVP(終値!T52:AM52)/AVERAGE(終値!T52:AM52),""))</f>
      </c>
      <c r="R52" s="684">
        <f>IF(終値!A52="","",IFERROR(4*STDEVP(終値!U52:AN52)/AVERAGE(終値!U52:AN52),""))</f>
      </c>
      <c r="S52" s="684">
        <f>IF(終値!A52="","",IFERROR(4*STDEVP(終値!V52:AO52)/AVERAGE(終値!V52:AO52),""))</f>
      </c>
      <c r="T52" s="684">
        <f>IF(終値!A52="","",IFERROR(4*STDEVP(終値!W52:AP52)/AVERAGE(終値!W52:AP52),""))</f>
      </c>
      <c r="U52" s="684">
        <f>IF(終値!A52="","",IFERROR(4*STDEVP(終値!X52:AQ52)/AVERAGE(終値!X52:AQ52),""))</f>
      </c>
      <c r="V52" s="684">
        <f>IF(終値!A52="","",IFERROR(4*STDEVP(終値!Y52:AR52)/AVERAGE(終値!Y52:AR52),""))</f>
      </c>
      <c r="W52" s="684">
        <f>IF(終値!A52="","",IFERROR(4*STDEVP(終値!Z52:AS52)/AVERAGE(終値!Z52:AS52),""))</f>
      </c>
      <c r="X52" s="684">
        <f>IF(終値!A52="","",IFERROR(4*STDEVP(終値!AA52:AT52)/AVERAGE(終値!AA52:AT52),""))</f>
      </c>
      <c r="Y52" s="684">
        <f>IF(終値!A52="","",IFERROR(4*STDEVP(終値!AB52:AU52)/AVERAGE(終値!AB52:AU52),""))</f>
      </c>
      <c r="Z52" s="684">
        <f>IF(終値!A52="","",IFERROR(4*STDEVP(終値!AC52:AV52)/AVERAGE(終値!AC52:AV52),""))</f>
      </c>
      <c r="AA52" s="684">
        <f>IF(終値!A52="","",IFERROR(4*STDEVP(終値!AD52:AW52)/AVERAGE(終値!AD52:AW52),""))</f>
      </c>
      <c r="AB52" s="684">
        <f>IF(終値!A52="","",IFERROR(4*STDEVP(終値!AE52:AX52)/AVERAGE(終値!AE52:AX52),""))</f>
      </c>
      <c r="AC52" s="684">
        <f>IF(終値!A52="","",IFERROR(4*STDEVP(終値!AF52:AY52)/AVERAGE(終値!AF52:AY52),""))</f>
      </c>
      <c r="AD52" s="684">
        <f>IF(終値!A52="","",IFERROR(4*STDEVP(終値!AG52:AZ52)/AVERAGE(終値!AG52:AZ52),""))</f>
      </c>
      <c r="AE52" s="684">
        <f>IF(終値!A52="","",IFERROR(4*STDEVP(終値!AH52:BA52)/AVERAGE(終値!AH52:BA52),""))</f>
      </c>
      <c r="AF52" s="684">
        <f>IF(終値!A52="","",IFERROR(4*STDEVP(終値!AI52:BB52)/AVERAGE(終値!AI52:BB52),""))</f>
      </c>
      <c r="AG52" s="684">
        <f>IF(終値!A52="","",IFERROR(4*STDEVP(終値!AJ52:BC52)/AVERAGE(終値!AJ52:BC52),""))</f>
      </c>
      <c r="AH52" s="684">
        <f>IF(終値!A52="","",IFERROR(4*STDEVP(終値!AK52:BD52)/AVERAGE(終値!AK52:BD52),""))</f>
      </c>
      <c r="AI52" s="684">
        <f>IF(終値!A52="","",IFERROR(4*STDEVP(終値!AL52:BE52)/AVERAGE(終値!AL52:BE52),""))</f>
      </c>
      <c r="AJ52" s="684">
        <f>IF(終値!A52="","",IFERROR(4*STDEVP(終値!AM52:BF52)/AVERAGE(終値!AM52:BF52),""))</f>
      </c>
      <c r="AK52" s="684">
        <f>IF(終値!A52="","",IFERROR(4*STDEVP(終値!AN52:BG52)/AVERAGE(終値!AN52:BG52),""))</f>
      </c>
      <c r="AL52" s="684">
        <f>IF(終値!A52="","",IFERROR(4*STDEVP(終値!AO52:BH52)/AVERAGE(終値!AO52:BH52),""))</f>
      </c>
      <c r="AM52" s="684">
        <f>IF(終値!A52="","",IFERROR(4*STDEVP(終値!AP52:BI52)/AVERAGE(終値!AP52:BI52),""))</f>
      </c>
      <c r="AN52" s="684">
        <f>IF(終値!A52="","",IFERROR(4*STDEVP(終値!AQ52:BJ52)/AVERAGE(終値!AQ52:BJ52),""))</f>
      </c>
      <c r="AO52" s="684">
        <f>IF(終値!A52="","",IFERROR(4*STDEVP(終値!AR52:BK52)/AVERAGE(終値!AR52:BK52),""))</f>
      </c>
      <c r="AP52" s="684">
        <f>IF(終値!A52="","",IFERROR(4*STDEVP(終値!AS52:BL52)/AVERAGE(終値!AS52:BL52),""))</f>
      </c>
    </row>
    <row r="53">
      <c r="A53" s="681">
        <f>IF(終値!A53="","",終値!A53)</f>
      </c>
      <c r="B53" s="684">
        <f>IF(終値!A53="","",IFERROR(4*STDEVP(終値!E53:X53)/AVERAGE(終値!E53:X53),""))</f>
      </c>
      <c r="C53" s="684">
        <f>IF(終値!A53="","",IFERROR(4*STDEVP(終値!F53:Y53)/AVERAGE(終値!F53:Y53),""))</f>
      </c>
      <c r="D53" s="684">
        <f>IF(終値!A53="","",IFERROR(4*STDEVP(終値!G53:Z53)/AVERAGE(終値!G53:Z53),""))</f>
      </c>
      <c r="E53" s="684">
        <f>IF(終値!A53="","",IFERROR(4*STDEVP(終値!H53:AA53)/AVERAGE(終値!H53:AA53),""))</f>
      </c>
      <c r="F53" s="684">
        <f>IF(終値!A53="","",IFERROR(4*STDEVP(終値!I53:AB53)/AVERAGE(終値!I53:AB53),""))</f>
      </c>
      <c r="G53" s="684">
        <f>IF(終値!A53="","",IFERROR(4*STDEVP(終値!J53:AC53)/AVERAGE(終値!J53:AC53),""))</f>
      </c>
      <c r="H53" s="684">
        <f>IF(終値!A53="","",IFERROR(4*STDEVP(終値!K53:AD53)/AVERAGE(終値!K53:AD53),""))</f>
      </c>
      <c r="I53" s="684">
        <f>IF(終値!A53="","",IFERROR(4*STDEVP(終値!L53:AE53)/AVERAGE(終値!L53:AE53),""))</f>
      </c>
      <c r="J53" s="684">
        <f>IF(終値!A53="","",IFERROR(4*STDEVP(終値!M53:AF53)/AVERAGE(終値!M53:AF53),""))</f>
      </c>
      <c r="K53" s="684">
        <f>IF(終値!A53="","",IFERROR(4*STDEVP(終値!N53:AG53)/AVERAGE(終値!N53:AG53),""))</f>
      </c>
      <c r="L53" s="684">
        <f>IF(終値!A53="","",IFERROR(4*STDEVP(終値!O53:AH53)/AVERAGE(終値!O53:AH53),""))</f>
      </c>
      <c r="M53" s="684">
        <f>IF(終値!A53="","",IFERROR(4*STDEVP(終値!P53:AI53)/AVERAGE(終値!P53:AI53),""))</f>
      </c>
      <c r="N53" s="684">
        <f>IF(終値!A53="","",IFERROR(4*STDEVP(終値!Q53:AJ53)/AVERAGE(終値!Q53:AJ53),""))</f>
      </c>
      <c r="O53" s="684">
        <f>IF(終値!A53="","",IFERROR(4*STDEVP(終値!R53:AK53)/AVERAGE(終値!R53:AK53),""))</f>
      </c>
      <c r="P53" s="684">
        <f>IF(終値!A53="","",IFERROR(4*STDEVP(終値!S53:AL53)/AVERAGE(終値!S53:AL53),""))</f>
      </c>
      <c r="Q53" s="684">
        <f>IF(終値!A53="","",IFERROR(4*STDEVP(終値!T53:AM53)/AVERAGE(終値!T53:AM53),""))</f>
      </c>
      <c r="R53" s="684">
        <f>IF(終値!A53="","",IFERROR(4*STDEVP(終値!U53:AN53)/AVERAGE(終値!U53:AN53),""))</f>
      </c>
      <c r="S53" s="684">
        <f>IF(終値!A53="","",IFERROR(4*STDEVP(終値!V53:AO53)/AVERAGE(終値!V53:AO53),""))</f>
      </c>
      <c r="T53" s="684">
        <f>IF(終値!A53="","",IFERROR(4*STDEVP(終値!W53:AP53)/AVERAGE(終値!W53:AP53),""))</f>
      </c>
      <c r="U53" s="684">
        <f>IF(終値!A53="","",IFERROR(4*STDEVP(終値!X53:AQ53)/AVERAGE(終値!X53:AQ53),""))</f>
      </c>
      <c r="V53" s="684">
        <f>IF(終値!A53="","",IFERROR(4*STDEVP(終値!Y53:AR53)/AVERAGE(終値!Y53:AR53),""))</f>
      </c>
      <c r="W53" s="684">
        <f>IF(終値!A53="","",IFERROR(4*STDEVP(終値!Z53:AS53)/AVERAGE(終値!Z53:AS53),""))</f>
      </c>
      <c r="X53" s="684">
        <f>IF(終値!A53="","",IFERROR(4*STDEVP(終値!AA53:AT53)/AVERAGE(終値!AA53:AT53),""))</f>
      </c>
      <c r="Y53" s="684">
        <f>IF(終値!A53="","",IFERROR(4*STDEVP(終値!AB53:AU53)/AVERAGE(終値!AB53:AU53),""))</f>
      </c>
      <c r="Z53" s="684">
        <f>IF(終値!A53="","",IFERROR(4*STDEVP(終値!AC53:AV53)/AVERAGE(終値!AC53:AV53),""))</f>
      </c>
      <c r="AA53" s="684">
        <f>IF(終値!A53="","",IFERROR(4*STDEVP(終値!AD53:AW53)/AVERAGE(終値!AD53:AW53),""))</f>
      </c>
      <c r="AB53" s="684">
        <f>IF(終値!A53="","",IFERROR(4*STDEVP(終値!AE53:AX53)/AVERAGE(終値!AE53:AX53),""))</f>
      </c>
      <c r="AC53" s="684">
        <f>IF(終値!A53="","",IFERROR(4*STDEVP(終値!AF53:AY53)/AVERAGE(終値!AF53:AY53),""))</f>
      </c>
      <c r="AD53" s="684">
        <f>IF(終値!A53="","",IFERROR(4*STDEVP(終値!AG53:AZ53)/AVERAGE(終値!AG53:AZ53),""))</f>
      </c>
      <c r="AE53" s="684">
        <f>IF(終値!A53="","",IFERROR(4*STDEVP(終値!AH53:BA53)/AVERAGE(終値!AH53:BA53),""))</f>
      </c>
      <c r="AF53" s="684">
        <f>IF(終値!A53="","",IFERROR(4*STDEVP(終値!AI53:BB53)/AVERAGE(終値!AI53:BB53),""))</f>
      </c>
      <c r="AG53" s="684">
        <f>IF(終値!A53="","",IFERROR(4*STDEVP(終値!AJ53:BC53)/AVERAGE(終値!AJ53:BC53),""))</f>
      </c>
      <c r="AH53" s="684">
        <f>IF(終値!A53="","",IFERROR(4*STDEVP(終値!AK53:BD53)/AVERAGE(終値!AK53:BD53),""))</f>
      </c>
      <c r="AI53" s="684">
        <f>IF(終値!A53="","",IFERROR(4*STDEVP(終値!AL53:BE53)/AVERAGE(終値!AL53:BE53),""))</f>
      </c>
      <c r="AJ53" s="684">
        <f>IF(終値!A53="","",IFERROR(4*STDEVP(終値!AM53:BF53)/AVERAGE(終値!AM53:BF53),""))</f>
      </c>
      <c r="AK53" s="684">
        <f>IF(終値!A53="","",IFERROR(4*STDEVP(終値!AN53:BG53)/AVERAGE(終値!AN53:BG53),""))</f>
      </c>
      <c r="AL53" s="684">
        <f>IF(終値!A53="","",IFERROR(4*STDEVP(終値!AO53:BH53)/AVERAGE(終値!AO53:BH53),""))</f>
      </c>
      <c r="AM53" s="684">
        <f>IF(終値!A53="","",IFERROR(4*STDEVP(終値!AP53:BI53)/AVERAGE(終値!AP53:BI53),""))</f>
      </c>
      <c r="AN53" s="684">
        <f>IF(終値!A53="","",IFERROR(4*STDEVP(終値!AQ53:BJ53)/AVERAGE(終値!AQ53:BJ53),""))</f>
      </c>
      <c r="AO53" s="684">
        <f>IF(終値!A53="","",IFERROR(4*STDEVP(終値!AR53:BK53)/AVERAGE(終値!AR53:BK53),""))</f>
      </c>
      <c r="AP53" s="684">
        <f>IF(終値!A53="","",IFERROR(4*STDEVP(終値!AS53:BL53)/AVERAGE(終値!AS53:BL53),""))</f>
      </c>
    </row>
    <row r="54">
      <c r="A54" s="681">
        <f>IF(終値!A54="","",終値!A54)</f>
      </c>
      <c r="B54" s="684">
        <f>IF(終値!A54="","",IFERROR(4*STDEVP(終値!E54:X54)/AVERAGE(終値!E54:X54),""))</f>
      </c>
      <c r="C54" s="684">
        <f>IF(終値!A54="","",IFERROR(4*STDEVP(終値!F54:Y54)/AVERAGE(終値!F54:Y54),""))</f>
      </c>
      <c r="D54" s="684">
        <f>IF(終値!A54="","",IFERROR(4*STDEVP(終値!G54:Z54)/AVERAGE(終値!G54:Z54),""))</f>
      </c>
      <c r="E54" s="684">
        <f>IF(終値!A54="","",IFERROR(4*STDEVP(終値!H54:AA54)/AVERAGE(終値!H54:AA54),""))</f>
      </c>
      <c r="F54" s="684">
        <f>IF(終値!A54="","",IFERROR(4*STDEVP(終値!I54:AB54)/AVERAGE(終値!I54:AB54),""))</f>
      </c>
      <c r="G54" s="684">
        <f>IF(終値!A54="","",IFERROR(4*STDEVP(終値!J54:AC54)/AVERAGE(終値!J54:AC54),""))</f>
      </c>
      <c r="H54" s="684">
        <f>IF(終値!A54="","",IFERROR(4*STDEVP(終値!K54:AD54)/AVERAGE(終値!K54:AD54),""))</f>
      </c>
      <c r="I54" s="684">
        <f>IF(終値!A54="","",IFERROR(4*STDEVP(終値!L54:AE54)/AVERAGE(終値!L54:AE54),""))</f>
      </c>
      <c r="J54" s="684">
        <f>IF(終値!A54="","",IFERROR(4*STDEVP(終値!M54:AF54)/AVERAGE(終値!M54:AF54),""))</f>
      </c>
      <c r="K54" s="684">
        <f>IF(終値!A54="","",IFERROR(4*STDEVP(終値!N54:AG54)/AVERAGE(終値!N54:AG54),""))</f>
      </c>
      <c r="L54" s="684">
        <f>IF(終値!A54="","",IFERROR(4*STDEVP(終値!O54:AH54)/AVERAGE(終値!O54:AH54),""))</f>
      </c>
      <c r="M54" s="684">
        <f>IF(終値!A54="","",IFERROR(4*STDEVP(終値!P54:AI54)/AVERAGE(終値!P54:AI54),""))</f>
      </c>
      <c r="N54" s="684">
        <f>IF(終値!A54="","",IFERROR(4*STDEVP(終値!Q54:AJ54)/AVERAGE(終値!Q54:AJ54),""))</f>
      </c>
      <c r="O54" s="684">
        <f>IF(終値!A54="","",IFERROR(4*STDEVP(終値!R54:AK54)/AVERAGE(終値!R54:AK54),""))</f>
      </c>
      <c r="P54" s="684">
        <f>IF(終値!A54="","",IFERROR(4*STDEVP(終値!S54:AL54)/AVERAGE(終値!S54:AL54),""))</f>
      </c>
      <c r="Q54" s="684">
        <f>IF(終値!A54="","",IFERROR(4*STDEVP(終値!T54:AM54)/AVERAGE(終値!T54:AM54),""))</f>
      </c>
      <c r="R54" s="684">
        <f>IF(終値!A54="","",IFERROR(4*STDEVP(終値!U54:AN54)/AVERAGE(終値!U54:AN54),""))</f>
      </c>
      <c r="S54" s="684">
        <f>IF(終値!A54="","",IFERROR(4*STDEVP(終値!V54:AO54)/AVERAGE(終値!V54:AO54),""))</f>
      </c>
      <c r="T54" s="684">
        <f>IF(終値!A54="","",IFERROR(4*STDEVP(終値!W54:AP54)/AVERAGE(終値!W54:AP54),""))</f>
      </c>
      <c r="U54" s="684">
        <f>IF(終値!A54="","",IFERROR(4*STDEVP(終値!X54:AQ54)/AVERAGE(終値!X54:AQ54),""))</f>
      </c>
      <c r="V54" s="684">
        <f>IF(終値!A54="","",IFERROR(4*STDEVP(終値!Y54:AR54)/AVERAGE(終値!Y54:AR54),""))</f>
      </c>
      <c r="W54" s="684">
        <f>IF(終値!A54="","",IFERROR(4*STDEVP(終値!Z54:AS54)/AVERAGE(終値!Z54:AS54),""))</f>
      </c>
      <c r="X54" s="684">
        <f>IF(終値!A54="","",IFERROR(4*STDEVP(終値!AA54:AT54)/AVERAGE(終値!AA54:AT54),""))</f>
      </c>
      <c r="Y54" s="684">
        <f>IF(終値!A54="","",IFERROR(4*STDEVP(終値!AB54:AU54)/AVERAGE(終値!AB54:AU54),""))</f>
      </c>
      <c r="Z54" s="684">
        <f>IF(終値!A54="","",IFERROR(4*STDEVP(終値!AC54:AV54)/AVERAGE(終値!AC54:AV54),""))</f>
      </c>
      <c r="AA54" s="684">
        <f>IF(終値!A54="","",IFERROR(4*STDEVP(終値!AD54:AW54)/AVERAGE(終値!AD54:AW54),""))</f>
      </c>
      <c r="AB54" s="684">
        <f>IF(終値!A54="","",IFERROR(4*STDEVP(終値!AE54:AX54)/AVERAGE(終値!AE54:AX54),""))</f>
      </c>
      <c r="AC54" s="684">
        <f>IF(終値!A54="","",IFERROR(4*STDEVP(終値!AF54:AY54)/AVERAGE(終値!AF54:AY54),""))</f>
      </c>
      <c r="AD54" s="684">
        <f>IF(終値!A54="","",IFERROR(4*STDEVP(終値!AG54:AZ54)/AVERAGE(終値!AG54:AZ54),""))</f>
      </c>
      <c r="AE54" s="684">
        <f>IF(終値!A54="","",IFERROR(4*STDEVP(終値!AH54:BA54)/AVERAGE(終値!AH54:BA54),""))</f>
      </c>
      <c r="AF54" s="684">
        <f>IF(終値!A54="","",IFERROR(4*STDEVP(終値!AI54:BB54)/AVERAGE(終値!AI54:BB54),""))</f>
      </c>
      <c r="AG54" s="684">
        <f>IF(終値!A54="","",IFERROR(4*STDEVP(終値!AJ54:BC54)/AVERAGE(終値!AJ54:BC54),""))</f>
      </c>
      <c r="AH54" s="684">
        <f>IF(終値!A54="","",IFERROR(4*STDEVP(終値!AK54:BD54)/AVERAGE(終値!AK54:BD54),""))</f>
      </c>
      <c r="AI54" s="684">
        <f>IF(終値!A54="","",IFERROR(4*STDEVP(終値!AL54:BE54)/AVERAGE(終値!AL54:BE54),""))</f>
      </c>
      <c r="AJ54" s="684">
        <f>IF(終値!A54="","",IFERROR(4*STDEVP(終値!AM54:BF54)/AVERAGE(終値!AM54:BF54),""))</f>
      </c>
      <c r="AK54" s="684">
        <f>IF(終値!A54="","",IFERROR(4*STDEVP(終値!AN54:BG54)/AVERAGE(終値!AN54:BG54),""))</f>
      </c>
      <c r="AL54" s="684">
        <f>IF(終値!A54="","",IFERROR(4*STDEVP(終値!AO54:BH54)/AVERAGE(終値!AO54:BH54),""))</f>
      </c>
      <c r="AM54" s="684">
        <f>IF(終値!A54="","",IFERROR(4*STDEVP(終値!AP54:BI54)/AVERAGE(終値!AP54:BI54),""))</f>
      </c>
      <c r="AN54" s="684">
        <f>IF(終値!A54="","",IFERROR(4*STDEVP(終値!AQ54:BJ54)/AVERAGE(終値!AQ54:BJ54),""))</f>
      </c>
      <c r="AO54" s="684">
        <f>IF(終値!A54="","",IFERROR(4*STDEVP(終値!AR54:BK54)/AVERAGE(終値!AR54:BK54),""))</f>
      </c>
      <c r="AP54" s="684">
        <f>IF(終値!A54="","",IFERROR(4*STDEVP(終値!AS54:BL54)/AVERAGE(終値!AS54:BL54),""))</f>
      </c>
    </row>
    <row r="55">
      <c r="A55" s="681">
        <f>IF(終値!A55="","",終値!A55)</f>
      </c>
      <c r="B55" s="684">
        <f>IF(終値!A55="","",IFERROR(4*STDEVP(終値!E55:X55)/AVERAGE(終値!E55:X55),""))</f>
      </c>
      <c r="C55" s="684">
        <f>IF(終値!A55="","",IFERROR(4*STDEVP(終値!F55:Y55)/AVERAGE(終値!F55:Y55),""))</f>
      </c>
      <c r="D55" s="684">
        <f>IF(終値!A55="","",IFERROR(4*STDEVP(終値!G55:Z55)/AVERAGE(終値!G55:Z55),""))</f>
      </c>
      <c r="E55" s="684">
        <f>IF(終値!A55="","",IFERROR(4*STDEVP(終値!H55:AA55)/AVERAGE(終値!H55:AA55),""))</f>
      </c>
      <c r="F55" s="684">
        <f>IF(終値!A55="","",IFERROR(4*STDEVP(終値!I55:AB55)/AVERAGE(終値!I55:AB55),""))</f>
      </c>
      <c r="G55" s="684">
        <f>IF(終値!A55="","",IFERROR(4*STDEVP(終値!J55:AC55)/AVERAGE(終値!J55:AC55),""))</f>
      </c>
      <c r="H55" s="684">
        <f>IF(終値!A55="","",IFERROR(4*STDEVP(終値!K55:AD55)/AVERAGE(終値!K55:AD55),""))</f>
      </c>
      <c r="I55" s="684">
        <f>IF(終値!A55="","",IFERROR(4*STDEVP(終値!L55:AE55)/AVERAGE(終値!L55:AE55),""))</f>
      </c>
      <c r="J55" s="684">
        <f>IF(終値!A55="","",IFERROR(4*STDEVP(終値!M55:AF55)/AVERAGE(終値!M55:AF55),""))</f>
      </c>
      <c r="K55" s="684">
        <f>IF(終値!A55="","",IFERROR(4*STDEVP(終値!N55:AG55)/AVERAGE(終値!N55:AG55),""))</f>
      </c>
      <c r="L55" s="684">
        <f>IF(終値!A55="","",IFERROR(4*STDEVP(終値!O55:AH55)/AVERAGE(終値!O55:AH55),""))</f>
      </c>
      <c r="M55" s="684">
        <f>IF(終値!A55="","",IFERROR(4*STDEVP(終値!P55:AI55)/AVERAGE(終値!P55:AI55),""))</f>
      </c>
      <c r="N55" s="684">
        <f>IF(終値!A55="","",IFERROR(4*STDEVP(終値!Q55:AJ55)/AVERAGE(終値!Q55:AJ55),""))</f>
      </c>
      <c r="O55" s="684">
        <f>IF(終値!A55="","",IFERROR(4*STDEVP(終値!R55:AK55)/AVERAGE(終値!R55:AK55),""))</f>
      </c>
      <c r="P55" s="684">
        <f>IF(終値!A55="","",IFERROR(4*STDEVP(終値!S55:AL55)/AVERAGE(終値!S55:AL55),""))</f>
      </c>
      <c r="Q55" s="684">
        <f>IF(終値!A55="","",IFERROR(4*STDEVP(終値!T55:AM55)/AVERAGE(終値!T55:AM55),""))</f>
      </c>
      <c r="R55" s="684">
        <f>IF(終値!A55="","",IFERROR(4*STDEVP(終値!U55:AN55)/AVERAGE(終値!U55:AN55),""))</f>
      </c>
      <c r="S55" s="684">
        <f>IF(終値!A55="","",IFERROR(4*STDEVP(終値!V55:AO55)/AVERAGE(終値!V55:AO55),""))</f>
      </c>
      <c r="T55" s="684">
        <f>IF(終値!A55="","",IFERROR(4*STDEVP(終値!W55:AP55)/AVERAGE(終値!W55:AP55),""))</f>
      </c>
      <c r="U55" s="684">
        <f>IF(終値!A55="","",IFERROR(4*STDEVP(終値!X55:AQ55)/AVERAGE(終値!X55:AQ55),""))</f>
      </c>
      <c r="V55" s="684">
        <f>IF(終値!A55="","",IFERROR(4*STDEVP(終値!Y55:AR55)/AVERAGE(終値!Y55:AR55),""))</f>
      </c>
      <c r="W55" s="684">
        <f>IF(終値!A55="","",IFERROR(4*STDEVP(終値!Z55:AS55)/AVERAGE(終値!Z55:AS55),""))</f>
      </c>
      <c r="X55" s="684">
        <f>IF(終値!A55="","",IFERROR(4*STDEVP(終値!AA55:AT55)/AVERAGE(終値!AA55:AT55),""))</f>
      </c>
      <c r="Y55" s="684">
        <f>IF(終値!A55="","",IFERROR(4*STDEVP(終値!AB55:AU55)/AVERAGE(終値!AB55:AU55),""))</f>
      </c>
      <c r="Z55" s="684">
        <f>IF(終値!A55="","",IFERROR(4*STDEVP(終値!AC55:AV55)/AVERAGE(終値!AC55:AV55),""))</f>
      </c>
      <c r="AA55" s="684">
        <f>IF(終値!A55="","",IFERROR(4*STDEVP(終値!AD55:AW55)/AVERAGE(終値!AD55:AW55),""))</f>
      </c>
      <c r="AB55" s="684">
        <f>IF(終値!A55="","",IFERROR(4*STDEVP(終値!AE55:AX55)/AVERAGE(終値!AE55:AX55),""))</f>
      </c>
      <c r="AC55" s="684">
        <f>IF(終値!A55="","",IFERROR(4*STDEVP(終値!AF55:AY55)/AVERAGE(終値!AF55:AY55),""))</f>
      </c>
      <c r="AD55" s="684">
        <f>IF(終値!A55="","",IFERROR(4*STDEVP(終値!AG55:AZ55)/AVERAGE(終値!AG55:AZ55),""))</f>
      </c>
      <c r="AE55" s="684">
        <f>IF(終値!A55="","",IFERROR(4*STDEVP(終値!AH55:BA55)/AVERAGE(終値!AH55:BA55),""))</f>
      </c>
      <c r="AF55" s="684">
        <f>IF(終値!A55="","",IFERROR(4*STDEVP(終値!AI55:BB55)/AVERAGE(終値!AI55:BB55),""))</f>
      </c>
      <c r="AG55" s="684">
        <f>IF(終値!A55="","",IFERROR(4*STDEVP(終値!AJ55:BC55)/AVERAGE(終値!AJ55:BC55),""))</f>
      </c>
      <c r="AH55" s="684">
        <f>IF(終値!A55="","",IFERROR(4*STDEVP(終値!AK55:BD55)/AVERAGE(終値!AK55:BD55),""))</f>
      </c>
      <c r="AI55" s="684">
        <f>IF(終値!A55="","",IFERROR(4*STDEVP(終値!AL55:BE55)/AVERAGE(終値!AL55:BE55),""))</f>
      </c>
      <c r="AJ55" s="684">
        <f>IF(終値!A55="","",IFERROR(4*STDEVP(終値!AM55:BF55)/AVERAGE(終値!AM55:BF55),""))</f>
      </c>
      <c r="AK55" s="684">
        <f>IF(終値!A55="","",IFERROR(4*STDEVP(終値!AN55:BG55)/AVERAGE(終値!AN55:BG55),""))</f>
      </c>
      <c r="AL55" s="684">
        <f>IF(終値!A55="","",IFERROR(4*STDEVP(終値!AO55:BH55)/AVERAGE(終値!AO55:BH55),""))</f>
      </c>
      <c r="AM55" s="684">
        <f>IF(終値!A55="","",IFERROR(4*STDEVP(終値!AP55:BI55)/AVERAGE(終値!AP55:BI55),""))</f>
      </c>
      <c r="AN55" s="684">
        <f>IF(終値!A55="","",IFERROR(4*STDEVP(終値!AQ55:BJ55)/AVERAGE(終値!AQ55:BJ55),""))</f>
      </c>
      <c r="AO55" s="684">
        <f>IF(終値!A55="","",IFERROR(4*STDEVP(終値!AR55:BK55)/AVERAGE(終値!AR55:BK55),""))</f>
      </c>
      <c r="AP55" s="684">
        <f>IF(終値!A55="","",IFERROR(4*STDEVP(終値!AS55:BL55)/AVERAGE(終値!AS55:BL55),""))</f>
      </c>
    </row>
    <row r="56">
      <c r="A56" s="681">
        <f>IF(終値!A56="","",終値!A56)</f>
      </c>
      <c r="B56" s="684">
        <f>IF(終値!A56="","",IFERROR(4*STDEVP(終値!E56:X56)/AVERAGE(終値!E56:X56),""))</f>
      </c>
      <c r="C56" s="684">
        <f>IF(終値!A56="","",IFERROR(4*STDEVP(終値!F56:Y56)/AVERAGE(終値!F56:Y56),""))</f>
      </c>
      <c r="D56" s="684">
        <f>IF(終値!A56="","",IFERROR(4*STDEVP(終値!G56:Z56)/AVERAGE(終値!G56:Z56),""))</f>
      </c>
      <c r="E56" s="684">
        <f>IF(終値!A56="","",IFERROR(4*STDEVP(終値!H56:AA56)/AVERAGE(終値!H56:AA56),""))</f>
      </c>
      <c r="F56" s="684">
        <f>IF(終値!A56="","",IFERROR(4*STDEVP(終値!I56:AB56)/AVERAGE(終値!I56:AB56),""))</f>
      </c>
      <c r="G56" s="684">
        <f>IF(終値!A56="","",IFERROR(4*STDEVP(終値!J56:AC56)/AVERAGE(終値!J56:AC56),""))</f>
      </c>
      <c r="H56" s="684">
        <f>IF(終値!A56="","",IFERROR(4*STDEVP(終値!K56:AD56)/AVERAGE(終値!K56:AD56),""))</f>
      </c>
      <c r="I56" s="684">
        <f>IF(終値!A56="","",IFERROR(4*STDEVP(終値!L56:AE56)/AVERAGE(終値!L56:AE56),""))</f>
      </c>
      <c r="J56" s="684">
        <f>IF(終値!A56="","",IFERROR(4*STDEVP(終値!M56:AF56)/AVERAGE(終値!M56:AF56),""))</f>
      </c>
      <c r="K56" s="684">
        <f>IF(終値!A56="","",IFERROR(4*STDEVP(終値!N56:AG56)/AVERAGE(終値!N56:AG56),""))</f>
      </c>
      <c r="L56" s="684">
        <f>IF(終値!A56="","",IFERROR(4*STDEVP(終値!O56:AH56)/AVERAGE(終値!O56:AH56),""))</f>
      </c>
      <c r="M56" s="684">
        <f>IF(終値!A56="","",IFERROR(4*STDEVP(終値!P56:AI56)/AVERAGE(終値!P56:AI56),""))</f>
      </c>
      <c r="N56" s="684">
        <f>IF(終値!A56="","",IFERROR(4*STDEVP(終値!Q56:AJ56)/AVERAGE(終値!Q56:AJ56),""))</f>
      </c>
      <c r="O56" s="684">
        <f>IF(終値!A56="","",IFERROR(4*STDEVP(終値!R56:AK56)/AVERAGE(終値!R56:AK56),""))</f>
      </c>
      <c r="P56" s="684">
        <f>IF(終値!A56="","",IFERROR(4*STDEVP(終値!S56:AL56)/AVERAGE(終値!S56:AL56),""))</f>
      </c>
      <c r="Q56" s="684">
        <f>IF(終値!A56="","",IFERROR(4*STDEVP(終値!T56:AM56)/AVERAGE(終値!T56:AM56),""))</f>
      </c>
      <c r="R56" s="684">
        <f>IF(終値!A56="","",IFERROR(4*STDEVP(終値!U56:AN56)/AVERAGE(終値!U56:AN56),""))</f>
      </c>
      <c r="S56" s="684">
        <f>IF(終値!A56="","",IFERROR(4*STDEVP(終値!V56:AO56)/AVERAGE(終値!V56:AO56),""))</f>
      </c>
      <c r="T56" s="684">
        <f>IF(終値!A56="","",IFERROR(4*STDEVP(終値!W56:AP56)/AVERAGE(終値!W56:AP56),""))</f>
      </c>
      <c r="U56" s="684">
        <f>IF(終値!A56="","",IFERROR(4*STDEVP(終値!X56:AQ56)/AVERAGE(終値!X56:AQ56),""))</f>
      </c>
      <c r="V56" s="684">
        <f>IF(終値!A56="","",IFERROR(4*STDEVP(終値!Y56:AR56)/AVERAGE(終値!Y56:AR56),""))</f>
      </c>
      <c r="W56" s="684">
        <f>IF(終値!A56="","",IFERROR(4*STDEVP(終値!Z56:AS56)/AVERAGE(終値!Z56:AS56),""))</f>
      </c>
      <c r="X56" s="684">
        <f>IF(終値!A56="","",IFERROR(4*STDEVP(終値!AA56:AT56)/AVERAGE(終値!AA56:AT56),""))</f>
      </c>
      <c r="Y56" s="684">
        <f>IF(終値!A56="","",IFERROR(4*STDEVP(終値!AB56:AU56)/AVERAGE(終値!AB56:AU56),""))</f>
      </c>
      <c r="Z56" s="684">
        <f>IF(終値!A56="","",IFERROR(4*STDEVP(終値!AC56:AV56)/AVERAGE(終値!AC56:AV56),""))</f>
      </c>
      <c r="AA56" s="684">
        <f>IF(終値!A56="","",IFERROR(4*STDEVP(終値!AD56:AW56)/AVERAGE(終値!AD56:AW56),""))</f>
      </c>
      <c r="AB56" s="684">
        <f>IF(終値!A56="","",IFERROR(4*STDEVP(終値!AE56:AX56)/AVERAGE(終値!AE56:AX56),""))</f>
      </c>
      <c r="AC56" s="684">
        <f>IF(終値!A56="","",IFERROR(4*STDEVP(終値!AF56:AY56)/AVERAGE(終値!AF56:AY56),""))</f>
      </c>
      <c r="AD56" s="684">
        <f>IF(終値!A56="","",IFERROR(4*STDEVP(終値!AG56:AZ56)/AVERAGE(終値!AG56:AZ56),""))</f>
      </c>
      <c r="AE56" s="684">
        <f>IF(終値!A56="","",IFERROR(4*STDEVP(終値!AH56:BA56)/AVERAGE(終値!AH56:BA56),""))</f>
      </c>
      <c r="AF56" s="684">
        <f>IF(終値!A56="","",IFERROR(4*STDEVP(終値!AI56:BB56)/AVERAGE(終値!AI56:BB56),""))</f>
      </c>
      <c r="AG56" s="684">
        <f>IF(終値!A56="","",IFERROR(4*STDEVP(終値!AJ56:BC56)/AVERAGE(終値!AJ56:BC56),""))</f>
      </c>
      <c r="AH56" s="684">
        <f>IF(終値!A56="","",IFERROR(4*STDEVP(終値!AK56:BD56)/AVERAGE(終値!AK56:BD56),""))</f>
      </c>
      <c r="AI56" s="684">
        <f>IF(終値!A56="","",IFERROR(4*STDEVP(終値!AL56:BE56)/AVERAGE(終値!AL56:BE56),""))</f>
      </c>
      <c r="AJ56" s="684">
        <f>IF(終値!A56="","",IFERROR(4*STDEVP(終値!AM56:BF56)/AVERAGE(終値!AM56:BF56),""))</f>
      </c>
      <c r="AK56" s="684">
        <f>IF(終値!A56="","",IFERROR(4*STDEVP(終値!AN56:BG56)/AVERAGE(終値!AN56:BG56),""))</f>
      </c>
      <c r="AL56" s="684">
        <f>IF(終値!A56="","",IFERROR(4*STDEVP(終値!AO56:BH56)/AVERAGE(終値!AO56:BH56),""))</f>
      </c>
      <c r="AM56" s="684">
        <f>IF(終値!A56="","",IFERROR(4*STDEVP(終値!AP56:BI56)/AVERAGE(終値!AP56:BI56),""))</f>
      </c>
      <c r="AN56" s="684">
        <f>IF(終値!A56="","",IFERROR(4*STDEVP(終値!AQ56:BJ56)/AVERAGE(終値!AQ56:BJ56),""))</f>
      </c>
      <c r="AO56" s="684">
        <f>IF(終値!A56="","",IFERROR(4*STDEVP(終値!AR56:BK56)/AVERAGE(終値!AR56:BK56),""))</f>
      </c>
      <c r="AP56" s="684">
        <f>IF(終値!A56="","",IFERROR(4*STDEVP(終値!AS56:BL56)/AVERAGE(終値!AS56:BL56),""))</f>
      </c>
    </row>
    <row r="57">
      <c r="A57" s="681">
        <f>IF(終値!A57="","",終値!A57)</f>
      </c>
      <c r="B57" s="684">
        <f>IF(終値!A57="","",IFERROR(4*STDEVP(終値!E57:X57)/AVERAGE(終値!E57:X57),""))</f>
      </c>
      <c r="C57" s="684">
        <f>IF(終値!A57="","",IFERROR(4*STDEVP(終値!F57:Y57)/AVERAGE(終値!F57:Y57),""))</f>
      </c>
      <c r="D57" s="684">
        <f>IF(終値!A57="","",IFERROR(4*STDEVP(終値!G57:Z57)/AVERAGE(終値!G57:Z57),""))</f>
      </c>
      <c r="E57" s="684">
        <f>IF(終値!A57="","",IFERROR(4*STDEVP(終値!H57:AA57)/AVERAGE(終値!H57:AA57),""))</f>
      </c>
      <c r="F57" s="684">
        <f>IF(終値!A57="","",IFERROR(4*STDEVP(終値!I57:AB57)/AVERAGE(終値!I57:AB57),""))</f>
      </c>
      <c r="G57" s="684">
        <f>IF(終値!A57="","",IFERROR(4*STDEVP(終値!J57:AC57)/AVERAGE(終値!J57:AC57),""))</f>
      </c>
      <c r="H57" s="684">
        <f>IF(終値!A57="","",IFERROR(4*STDEVP(終値!K57:AD57)/AVERAGE(終値!K57:AD57),""))</f>
      </c>
      <c r="I57" s="684">
        <f>IF(終値!A57="","",IFERROR(4*STDEVP(終値!L57:AE57)/AVERAGE(終値!L57:AE57),""))</f>
      </c>
      <c r="J57" s="684">
        <f>IF(終値!A57="","",IFERROR(4*STDEVP(終値!M57:AF57)/AVERAGE(終値!M57:AF57),""))</f>
      </c>
      <c r="K57" s="684">
        <f>IF(終値!A57="","",IFERROR(4*STDEVP(終値!N57:AG57)/AVERAGE(終値!N57:AG57),""))</f>
      </c>
      <c r="L57" s="684">
        <f>IF(終値!A57="","",IFERROR(4*STDEVP(終値!O57:AH57)/AVERAGE(終値!O57:AH57),""))</f>
      </c>
      <c r="M57" s="684">
        <f>IF(終値!A57="","",IFERROR(4*STDEVP(終値!P57:AI57)/AVERAGE(終値!P57:AI57),""))</f>
      </c>
      <c r="N57" s="684">
        <f>IF(終値!A57="","",IFERROR(4*STDEVP(終値!Q57:AJ57)/AVERAGE(終値!Q57:AJ57),""))</f>
      </c>
      <c r="O57" s="684">
        <f>IF(終値!A57="","",IFERROR(4*STDEVP(終値!R57:AK57)/AVERAGE(終値!R57:AK57),""))</f>
      </c>
      <c r="P57" s="684">
        <f>IF(終値!A57="","",IFERROR(4*STDEVP(終値!S57:AL57)/AVERAGE(終値!S57:AL57),""))</f>
      </c>
      <c r="Q57" s="684">
        <f>IF(終値!A57="","",IFERROR(4*STDEVP(終値!T57:AM57)/AVERAGE(終値!T57:AM57),""))</f>
      </c>
      <c r="R57" s="684">
        <f>IF(終値!A57="","",IFERROR(4*STDEVP(終値!U57:AN57)/AVERAGE(終値!U57:AN57),""))</f>
      </c>
      <c r="S57" s="684">
        <f>IF(終値!A57="","",IFERROR(4*STDEVP(終値!V57:AO57)/AVERAGE(終値!V57:AO57),""))</f>
      </c>
      <c r="T57" s="684">
        <f>IF(終値!A57="","",IFERROR(4*STDEVP(終値!W57:AP57)/AVERAGE(終値!W57:AP57),""))</f>
      </c>
      <c r="U57" s="684">
        <f>IF(終値!A57="","",IFERROR(4*STDEVP(終値!X57:AQ57)/AVERAGE(終値!X57:AQ57),""))</f>
      </c>
      <c r="V57" s="684">
        <f>IF(終値!A57="","",IFERROR(4*STDEVP(終値!Y57:AR57)/AVERAGE(終値!Y57:AR57),""))</f>
      </c>
      <c r="W57" s="684">
        <f>IF(終値!A57="","",IFERROR(4*STDEVP(終値!Z57:AS57)/AVERAGE(終値!Z57:AS57),""))</f>
      </c>
      <c r="X57" s="684">
        <f>IF(終値!A57="","",IFERROR(4*STDEVP(終値!AA57:AT57)/AVERAGE(終値!AA57:AT57),""))</f>
      </c>
      <c r="Y57" s="684">
        <f>IF(終値!A57="","",IFERROR(4*STDEVP(終値!AB57:AU57)/AVERAGE(終値!AB57:AU57),""))</f>
      </c>
      <c r="Z57" s="684">
        <f>IF(終値!A57="","",IFERROR(4*STDEVP(終値!AC57:AV57)/AVERAGE(終値!AC57:AV57),""))</f>
      </c>
      <c r="AA57" s="684">
        <f>IF(終値!A57="","",IFERROR(4*STDEVP(終値!AD57:AW57)/AVERAGE(終値!AD57:AW57),""))</f>
      </c>
      <c r="AB57" s="684">
        <f>IF(終値!A57="","",IFERROR(4*STDEVP(終値!AE57:AX57)/AVERAGE(終値!AE57:AX57),""))</f>
      </c>
      <c r="AC57" s="684">
        <f>IF(終値!A57="","",IFERROR(4*STDEVP(終値!AF57:AY57)/AVERAGE(終値!AF57:AY57),""))</f>
      </c>
      <c r="AD57" s="684">
        <f>IF(終値!A57="","",IFERROR(4*STDEVP(終値!AG57:AZ57)/AVERAGE(終値!AG57:AZ57),""))</f>
      </c>
      <c r="AE57" s="684">
        <f>IF(終値!A57="","",IFERROR(4*STDEVP(終値!AH57:BA57)/AVERAGE(終値!AH57:BA57),""))</f>
      </c>
      <c r="AF57" s="684">
        <f>IF(終値!A57="","",IFERROR(4*STDEVP(終値!AI57:BB57)/AVERAGE(終値!AI57:BB57),""))</f>
      </c>
      <c r="AG57" s="684">
        <f>IF(終値!A57="","",IFERROR(4*STDEVP(終値!AJ57:BC57)/AVERAGE(終値!AJ57:BC57),""))</f>
      </c>
      <c r="AH57" s="684">
        <f>IF(終値!A57="","",IFERROR(4*STDEVP(終値!AK57:BD57)/AVERAGE(終値!AK57:BD57),""))</f>
      </c>
      <c r="AI57" s="684">
        <f>IF(終値!A57="","",IFERROR(4*STDEVP(終値!AL57:BE57)/AVERAGE(終値!AL57:BE57),""))</f>
      </c>
      <c r="AJ57" s="684">
        <f>IF(終値!A57="","",IFERROR(4*STDEVP(終値!AM57:BF57)/AVERAGE(終値!AM57:BF57),""))</f>
      </c>
      <c r="AK57" s="684">
        <f>IF(終値!A57="","",IFERROR(4*STDEVP(終値!AN57:BG57)/AVERAGE(終値!AN57:BG57),""))</f>
      </c>
      <c r="AL57" s="684">
        <f>IF(終値!A57="","",IFERROR(4*STDEVP(終値!AO57:BH57)/AVERAGE(終値!AO57:BH57),""))</f>
      </c>
      <c r="AM57" s="684">
        <f>IF(終値!A57="","",IFERROR(4*STDEVP(終値!AP57:BI57)/AVERAGE(終値!AP57:BI57),""))</f>
      </c>
      <c r="AN57" s="684">
        <f>IF(終値!A57="","",IFERROR(4*STDEVP(終値!AQ57:BJ57)/AVERAGE(終値!AQ57:BJ57),""))</f>
      </c>
      <c r="AO57" s="684">
        <f>IF(終値!A57="","",IFERROR(4*STDEVP(終値!AR57:BK57)/AVERAGE(終値!AR57:BK57),""))</f>
      </c>
      <c r="AP57" s="684">
        <f>IF(終値!A57="","",IFERROR(4*STDEVP(終値!AS57:BL57)/AVERAGE(終値!AS57:BL57),""))</f>
      </c>
    </row>
    <row r="58">
      <c r="A58" s="681">
        <f>IF(終値!A58="","",終値!A58)</f>
      </c>
      <c r="B58" s="684">
        <f>IF(終値!A58="","",IFERROR(4*STDEVP(終値!E58:X58)/AVERAGE(終値!E58:X58),""))</f>
      </c>
      <c r="C58" s="684">
        <f>IF(終値!A58="","",IFERROR(4*STDEVP(終値!F58:Y58)/AVERAGE(終値!F58:Y58),""))</f>
      </c>
      <c r="D58" s="684">
        <f>IF(終値!A58="","",IFERROR(4*STDEVP(終値!G58:Z58)/AVERAGE(終値!G58:Z58),""))</f>
      </c>
      <c r="E58" s="684">
        <f>IF(終値!A58="","",IFERROR(4*STDEVP(終値!H58:AA58)/AVERAGE(終値!H58:AA58),""))</f>
      </c>
      <c r="F58" s="684">
        <f>IF(終値!A58="","",IFERROR(4*STDEVP(終値!I58:AB58)/AVERAGE(終値!I58:AB58),""))</f>
      </c>
      <c r="G58" s="684">
        <f>IF(終値!A58="","",IFERROR(4*STDEVP(終値!J58:AC58)/AVERAGE(終値!J58:AC58),""))</f>
      </c>
      <c r="H58" s="684">
        <f>IF(終値!A58="","",IFERROR(4*STDEVP(終値!K58:AD58)/AVERAGE(終値!K58:AD58),""))</f>
      </c>
      <c r="I58" s="684">
        <f>IF(終値!A58="","",IFERROR(4*STDEVP(終値!L58:AE58)/AVERAGE(終値!L58:AE58),""))</f>
      </c>
      <c r="J58" s="684">
        <f>IF(終値!A58="","",IFERROR(4*STDEVP(終値!M58:AF58)/AVERAGE(終値!M58:AF58),""))</f>
      </c>
      <c r="K58" s="684">
        <f>IF(終値!A58="","",IFERROR(4*STDEVP(終値!N58:AG58)/AVERAGE(終値!N58:AG58),""))</f>
      </c>
      <c r="L58" s="684">
        <f>IF(終値!A58="","",IFERROR(4*STDEVP(終値!O58:AH58)/AVERAGE(終値!O58:AH58),""))</f>
      </c>
      <c r="M58" s="684">
        <f>IF(終値!A58="","",IFERROR(4*STDEVP(終値!P58:AI58)/AVERAGE(終値!P58:AI58),""))</f>
      </c>
      <c r="N58" s="684">
        <f>IF(終値!A58="","",IFERROR(4*STDEVP(終値!Q58:AJ58)/AVERAGE(終値!Q58:AJ58),""))</f>
      </c>
      <c r="O58" s="684">
        <f>IF(終値!A58="","",IFERROR(4*STDEVP(終値!R58:AK58)/AVERAGE(終値!R58:AK58),""))</f>
      </c>
      <c r="P58" s="684">
        <f>IF(終値!A58="","",IFERROR(4*STDEVP(終値!S58:AL58)/AVERAGE(終値!S58:AL58),""))</f>
      </c>
      <c r="Q58" s="684">
        <f>IF(終値!A58="","",IFERROR(4*STDEVP(終値!T58:AM58)/AVERAGE(終値!T58:AM58),""))</f>
      </c>
      <c r="R58" s="684">
        <f>IF(終値!A58="","",IFERROR(4*STDEVP(終値!U58:AN58)/AVERAGE(終値!U58:AN58),""))</f>
      </c>
      <c r="S58" s="684">
        <f>IF(終値!A58="","",IFERROR(4*STDEVP(終値!V58:AO58)/AVERAGE(終値!V58:AO58),""))</f>
      </c>
      <c r="T58" s="684">
        <f>IF(終値!A58="","",IFERROR(4*STDEVP(終値!W58:AP58)/AVERAGE(終値!W58:AP58),""))</f>
      </c>
      <c r="U58" s="684">
        <f>IF(終値!A58="","",IFERROR(4*STDEVP(終値!X58:AQ58)/AVERAGE(終値!X58:AQ58),""))</f>
      </c>
      <c r="V58" s="684">
        <f>IF(終値!A58="","",IFERROR(4*STDEVP(終値!Y58:AR58)/AVERAGE(終値!Y58:AR58),""))</f>
      </c>
      <c r="W58" s="684">
        <f>IF(終値!A58="","",IFERROR(4*STDEVP(終値!Z58:AS58)/AVERAGE(終値!Z58:AS58),""))</f>
      </c>
      <c r="X58" s="684">
        <f>IF(終値!A58="","",IFERROR(4*STDEVP(終値!AA58:AT58)/AVERAGE(終値!AA58:AT58),""))</f>
      </c>
      <c r="Y58" s="684">
        <f>IF(終値!A58="","",IFERROR(4*STDEVP(終値!AB58:AU58)/AVERAGE(終値!AB58:AU58),""))</f>
      </c>
      <c r="Z58" s="684">
        <f>IF(終値!A58="","",IFERROR(4*STDEVP(終値!AC58:AV58)/AVERAGE(終値!AC58:AV58),""))</f>
      </c>
      <c r="AA58" s="684">
        <f>IF(終値!A58="","",IFERROR(4*STDEVP(終値!AD58:AW58)/AVERAGE(終値!AD58:AW58),""))</f>
      </c>
      <c r="AB58" s="684">
        <f>IF(終値!A58="","",IFERROR(4*STDEVP(終値!AE58:AX58)/AVERAGE(終値!AE58:AX58),""))</f>
      </c>
      <c r="AC58" s="684">
        <f>IF(終値!A58="","",IFERROR(4*STDEVP(終値!AF58:AY58)/AVERAGE(終値!AF58:AY58),""))</f>
      </c>
      <c r="AD58" s="684">
        <f>IF(終値!A58="","",IFERROR(4*STDEVP(終値!AG58:AZ58)/AVERAGE(終値!AG58:AZ58),""))</f>
      </c>
      <c r="AE58" s="684">
        <f>IF(終値!A58="","",IFERROR(4*STDEVP(終値!AH58:BA58)/AVERAGE(終値!AH58:BA58),""))</f>
      </c>
      <c r="AF58" s="684">
        <f>IF(終値!A58="","",IFERROR(4*STDEVP(終値!AI58:BB58)/AVERAGE(終値!AI58:BB58),""))</f>
      </c>
      <c r="AG58" s="684">
        <f>IF(終値!A58="","",IFERROR(4*STDEVP(終値!AJ58:BC58)/AVERAGE(終値!AJ58:BC58),""))</f>
      </c>
      <c r="AH58" s="684">
        <f>IF(終値!A58="","",IFERROR(4*STDEVP(終値!AK58:BD58)/AVERAGE(終値!AK58:BD58),""))</f>
      </c>
      <c r="AI58" s="684">
        <f>IF(終値!A58="","",IFERROR(4*STDEVP(終値!AL58:BE58)/AVERAGE(終値!AL58:BE58),""))</f>
      </c>
      <c r="AJ58" s="684">
        <f>IF(終値!A58="","",IFERROR(4*STDEVP(終値!AM58:BF58)/AVERAGE(終値!AM58:BF58),""))</f>
      </c>
      <c r="AK58" s="684">
        <f>IF(終値!A58="","",IFERROR(4*STDEVP(終値!AN58:BG58)/AVERAGE(終値!AN58:BG58),""))</f>
      </c>
      <c r="AL58" s="684">
        <f>IF(終値!A58="","",IFERROR(4*STDEVP(終値!AO58:BH58)/AVERAGE(終値!AO58:BH58),""))</f>
      </c>
      <c r="AM58" s="684">
        <f>IF(終値!A58="","",IFERROR(4*STDEVP(終値!AP58:BI58)/AVERAGE(終値!AP58:BI58),""))</f>
      </c>
      <c r="AN58" s="684">
        <f>IF(終値!A58="","",IFERROR(4*STDEVP(終値!AQ58:BJ58)/AVERAGE(終値!AQ58:BJ58),""))</f>
      </c>
      <c r="AO58" s="684">
        <f>IF(終値!A58="","",IFERROR(4*STDEVP(終値!AR58:BK58)/AVERAGE(終値!AR58:BK58),""))</f>
      </c>
      <c r="AP58" s="684">
        <f>IF(終値!A58="","",IFERROR(4*STDEVP(終値!AS58:BL58)/AVERAGE(終値!AS58:BL58),""))</f>
      </c>
    </row>
    <row r="59">
      <c r="A59" s="681">
        <f>IF(終値!A59="","",終値!A59)</f>
      </c>
      <c r="B59" s="684">
        <f>IF(終値!A59="","",IFERROR(4*STDEVP(終値!E59:X59)/AVERAGE(終値!E59:X59),""))</f>
      </c>
      <c r="C59" s="684">
        <f>IF(終値!A59="","",IFERROR(4*STDEVP(終値!F59:Y59)/AVERAGE(終値!F59:Y59),""))</f>
      </c>
      <c r="D59" s="684">
        <f>IF(終値!A59="","",IFERROR(4*STDEVP(終値!G59:Z59)/AVERAGE(終値!G59:Z59),""))</f>
      </c>
      <c r="E59" s="684">
        <f>IF(終値!A59="","",IFERROR(4*STDEVP(終値!H59:AA59)/AVERAGE(終値!H59:AA59),""))</f>
      </c>
      <c r="F59" s="684">
        <f>IF(終値!A59="","",IFERROR(4*STDEVP(終値!I59:AB59)/AVERAGE(終値!I59:AB59),""))</f>
      </c>
      <c r="G59" s="684">
        <f>IF(終値!A59="","",IFERROR(4*STDEVP(終値!J59:AC59)/AVERAGE(終値!J59:AC59),""))</f>
      </c>
      <c r="H59" s="684">
        <f>IF(終値!A59="","",IFERROR(4*STDEVP(終値!K59:AD59)/AVERAGE(終値!K59:AD59),""))</f>
      </c>
      <c r="I59" s="684">
        <f>IF(終値!A59="","",IFERROR(4*STDEVP(終値!L59:AE59)/AVERAGE(終値!L59:AE59),""))</f>
      </c>
      <c r="J59" s="684">
        <f>IF(終値!A59="","",IFERROR(4*STDEVP(終値!M59:AF59)/AVERAGE(終値!M59:AF59),""))</f>
      </c>
      <c r="K59" s="684">
        <f>IF(終値!A59="","",IFERROR(4*STDEVP(終値!N59:AG59)/AVERAGE(終値!N59:AG59),""))</f>
      </c>
      <c r="L59" s="684">
        <f>IF(終値!A59="","",IFERROR(4*STDEVP(終値!O59:AH59)/AVERAGE(終値!O59:AH59),""))</f>
      </c>
      <c r="M59" s="684">
        <f>IF(終値!A59="","",IFERROR(4*STDEVP(終値!P59:AI59)/AVERAGE(終値!P59:AI59),""))</f>
      </c>
      <c r="N59" s="684">
        <f>IF(終値!A59="","",IFERROR(4*STDEVP(終値!Q59:AJ59)/AVERAGE(終値!Q59:AJ59),""))</f>
      </c>
      <c r="O59" s="684">
        <f>IF(終値!A59="","",IFERROR(4*STDEVP(終値!R59:AK59)/AVERAGE(終値!R59:AK59),""))</f>
      </c>
      <c r="P59" s="684">
        <f>IF(終値!A59="","",IFERROR(4*STDEVP(終値!S59:AL59)/AVERAGE(終値!S59:AL59),""))</f>
      </c>
      <c r="Q59" s="684">
        <f>IF(終値!A59="","",IFERROR(4*STDEVP(終値!T59:AM59)/AVERAGE(終値!T59:AM59),""))</f>
      </c>
      <c r="R59" s="684">
        <f>IF(終値!A59="","",IFERROR(4*STDEVP(終値!U59:AN59)/AVERAGE(終値!U59:AN59),""))</f>
      </c>
      <c r="S59" s="684">
        <f>IF(終値!A59="","",IFERROR(4*STDEVP(終値!V59:AO59)/AVERAGE(終値!V59:AO59),""))</f>
      </c>
      <c r="T59" s="684">
        <f>IF(終値!A59="","",IFERROR(4*STDEVP(終値!W59:AP59)/AVERAGE(終値!W59:AP59),""))</f>
      </c>
      <c r="U59" s="684">
        <f>IF(終値!A59="","",IFERROR(4*STDEVP(終値!X59:AQ59)/AVERAGE(終値!X59:AQ59),""))</f>
      </c>
      <c r="V59" s="684">
        <f>IF(終値!A59="","",IFERROR(4*STDEVP(終値!Y59:AR59)/AVERAGE(終値!Y59:AR59),""))</f>
      </c>
      <c r="W59" s="684">
        <f>IF(終値!A59="","",IFERROR(4*STDEVP(終値!Z59:AS59)/AVERAGE(終値!Z59:AS59),""))</f>
      </c>
      <c r="X59" s="684">
        <f>IF(終値!A59="","",IFERROR(4*STDEVP(終値!AA59:AT59)/AVERAGE(終値!AA59:AT59),""))</f>
      </c>
      <c r="Y59" s="684">
        <f>IF(終値!A59="","",IFERROR(4*STDEVP(終値!AB59:AU59)/AVERAGE(終値!AB59:AU59),""))</f>
      </c>
      <c r="Z59" s="684">
        <f>IF(終値!A59="","",IFERROR(4*STDEVP(終値!AC59:AV59)/AVERAGE(終値!AC59:AV59),""))</f>
      </c>
      <c r="AA59" s="684">
        <f>IF(終値!A59="","",IFERROR(4*STDEVP(終値!AD59:AW59)/AVERAGE(終値!AD59:AW59),""))</f>
      </c>
      <c r="AB59" s="684">
        <f>IF(終値!A59="","",IFERROR(4*STDEVP(終値!AE59:AX59)/AVERAGE(終値!AE59:AX59),""))</f>
      </c>
      <c r="AC59" s="684">
        <f>IF(終値!A59="","",IFERROR(4*STDEVP(終値!AF59:AY59)/AVERAGE(終値!AF59:AY59),""))</f>
      </c>
      <c r="AD59" s="684">
        <f>IF(終値!A59="","",IFERROR(4*STDEVP(終値!AG59:AZ59)/AVERAGE(終値!AG59:AZ59),""))</f>
      </c>
      <c r="AE59" s="684">
        <f>IF(終値!A59="","",IFERROR(4*STDEVP(終値!AH59:BA59)/AVERAGE(終値!AH59:BA59),""))</f>
      </c>
      <c r="AF59" s="684">
        <f>IF(終値!A59="","",IFERROR(4*STDEVP(終値!AI59:BB59)/AVERAGE(終値!AI59:BB59),""))</f>
      </c>
      <c r="AG59" s="684">
        <f>IF(終値!A59="","",IFERROR(4*STDEVP(終値!AJ59:BC59)/AVERAGE(終値!AJ59:BC59),""))</f>
      </c>
      <c r="AH59" s="684">
        <f>IF(終値!A59="","",IFERROR(4*STDEVP(終値!AK59:BD59)/AVERAGE(終値!AK59:BD59),""))</f>
      </c>
      <c r="AI59" s="684">
        <f>IF(終値!A59="","",IFERROR(4*STDEVP(終値!AL59:BE59)/AVERAGE(終値!AL59:BE59),""))</f>
      </c>
      <c r="AJ59" s="684">
        <f>IF(終値!A59="","",IFERROR(4*STDEVP(終値!AM59:BF59)/AVERAGE(終値!AM59:BF59),""))</f>
      </c>
      <c r="AK59" s="684">
        <f>IF(終値!A59="","",IFERROR(4*STDEVP(終値!AN59:BG59)/AVERAGE(終値!AN59:BG59),""))</f>
      </c>
      <c r="AL59" s="684">
        <f>IF(終値!A59="","",IFERROR(4*STDEVP(終値!AO59:BH59)/AVERAGE(終値!AO59:BH59),""))</f>
      </c>
      <c r="AM59" s="684">
        <f>IF(終値!A59="","",IFERROR(4*STDEVP(終値!AP59:BI59)/AVERAGE(終値!AP59:BI59),""))</f>
      </c>
      <c r="AN59" s="684">
        <f>IF(終値!A59="","",IFERROR(4*STDEVP(終値!AQ59:BJ59)/AVERAGE(終値!AQ59:BJ59),""))</f>
      </c>
      <c r="AO59" s="684">
        <f>IF(終値!A59="","",IFERROR(4*STDEVP(終値!AR59:BK59)/AVERAGE(終値!AR59:BK59),""))</f>
      </c>
      <c r="AP59" s="684">
        <f>IF(終値!A59="","",IFERROR(4*STDEVP(終値!AS59:BL59)/AVERAGE(終値!AS59:BL59),""))</f>
      </c>
    </row>
    <row r="60">
      <c r="A60" s="681">
        <f>IF(終値!A60="","",終値!A60)</f>
      </c>
      <c r="B60" s="684">
        <f>IF(終値!A60="","",IFERROR(4*STDEVP(終値!E60:X60)/AVERAGE(終値!E60:X60),""))</f>
      </c>
      <c r="C60" s="684">
        <f>IF(終値!A60="","",IFERROR(4*STDEVP(終値!F60:Y60)/AVERAGE(終値!F60:Y60),""))</f>
      </c>
      <c r="D60" s="684">
        <f>IF(終値!A60="","",IFERROR(4*STDEVP(終値!G60:Z60)/AVERAGE(終値!G60:Z60),""))</f>
      </c>
      <c r="E60" s="684">
        <f>IF(終値!A60="","",IFERROR(4*STDEVP(終値!H60:AA60)/AVERAGE(終値!H60:AA60),""))</f>
      </c>
      <c r="F60" s="684">
        <f>IF(終値!A60="","",IFERROR(4*STDEVP(終値!I60:AB60)/AVERAGE(終値!I60:AB60),""))</f>
      </c>
      <c r="G60" s="684">
        <f>IF(終値!A60="","",IFERROR(4*STDEVP(終値!J60:AC60)/AVERAGE(終値!J60:AC60),""))</f>
      </c>
      <c r="H60" s="684">
        <f>IF(終値!A60="","",IFERROR(4*STDEVP(終値!K60:AD60)/AVERAGE(終値!K60:AD60),""))</f>
      </c>
      <c r="I60" s="684">
        <f>IF(終値!A60="","",IFERROR(4*STDEVP(終値!L60:AE60)/AVERAGE(終値!L60:AE60),""))</f>
      </c>
      <c r="J60" s="684">
        <f>IF(終値!A60="","",IFERROR(4*STDEVP(終値!M60:AF60)/AVERAGE(終値!M60:AF60),""))</f>
      </c>
      <c r="K60" s="684">
        <f>IF(終値!A60="","",IFERROR(4*STDEVP(終値!N60:AG60)/AVERAGE(終値!N60:AG60),""))</f>
      </c>
      <c r="L60" s="684">
        <f>IF(終値!A60="","",IFERROR(4*STDEVP(終値!O60:AH60)/AVERAGE(終値!O60:AH60),""))</f>
      </c>
      <c r="M60" s="684">
        <f>IF(終値!A60="","",IFERROR(4*STDEVP(終値!P60:AI60)/AVERAGE(終値!P60:AI60),""))</f>
      </c>
      <c r="N60" s="684">
        <f>IF(終値!A60="","",IFERROR(4*STDEVP(終値!Q60:AJ60)/AVERAGE(終値!Q60:AJ60),""))</f>
      </c>
      <c r="O60" s="684">
        <f>IF(終値!A60="","",IFERROR(4*STDEVP(終値!R60:AK60)/AVERAGE(終値!R60:AK60),""))</f>
      </c>
      <c r="P60" s="684">
        <f>IF(終値!A60="","",IFERROR(4*STDEVP(終値!S60:AL60)/AVERAGE(終値!S60:AL60),""))</f>
      </c>
      <c r="Q60" s="684">
        <f>IF(終値!A60="","",IFERROR(4*STDEVP(終値!T60:AM60)/AVERAGE(終値!T60:AM60),""))</f>
      </c>
      <c r="R60" s="684">
        <f>IF(終値!A60="","",IFERROR(4*STDEVP(終値!U60:AN60)/AVERAGE(終値!U60:AN60),""))</f>
      </c>
      <c r="S60" s="684">
        <f>IF(終値!A60="","",IFERROR(4*STDEVP(終値!V60:AO60)/AVERAGE(終値!V60:AO60),""))</f>
      </c>
      <c r="T60" s="684">
        <f>IF(終値!A60="","",IFERROR(4*STDEVP(終値!W60:AP60)/AVERAGE(終値!W60:AP60),""))</f>
      </c>
      <c r="U60" s="684">
        <f>IF(終値!A60="","",IFERROR(4*STDEVP(終値!X60:AQ60)/AVERAGE(終値!X60:AQ60),""))</f>
      </c>
      <c r="V60" s="684">
        <f>IF(終値!A60="","",IFERROR(4*STDEVP(終値!Y60:AR60)/AVERAGE(終値!Y60:AR60),""))</f>
      </c>
      <c r="W60" s="684">
        <f>IF(終値!A60="","",IFERROR(4*STDEVP(終値!Z60:AS60)/AVERAGE(終値!Z60:AS60),""))</f>
      </c>
      <c r="X60" s="684">
        <f>IF(終値!A60="","",IFERROR(4*STDEVP(終値!AA60:AT60)/AVERAGE(終値!AA60:AT60),""))</f>
      </c>
      <c r="Y60" s="684">
        <f>IF(終値!A60="","",IFERROR(4*STDEVP(終値!AB60:AU60)/AVERAGE(終値!AB60:AU60),""))</f>
      </c>
      <c r="Z60" s="684">
        <f>IF(終値!A60="","",IFERROR(4*STDEVP(終値!AC60:AV60)/AVERAGE(終値!AC60:AV60),""))</f>
      </c>
      <c r="AA60" s="684">
        <f>IF(終値!A60="","",IFERROR(4*STDEVP(終値!AD60:AW60)/AVERAGE(終値!AD60:AW60),""))</f>
      </c>
      <c r="AB60" s="684">
        <f>IF(終値!A60="","",IFERROR(4*STDEVP(終値!AE60:AX60)/AVERAGE(終値!AE60:AX60),""))</f>
      </c>
      <c r="AC60" s="684">
        <f>IF(終値!A60="","",IFERROR(4*STDEVP(終値!AF60:AY60)/AVERAGE(終値!AF60:AY60),""))</f>
      </c>
      <c r="AD60" s="684">
        <f>IF(終値!A60="","",IFERROR(4*STDEVP(終値!AG60:AZ60)/AVERAGE(終値!AG60:AZ60),""))</f>
      </c>
      <c r="AE60" s="684">
        <f>IF(終値!A60="","",IFERROR(4*STDEVP(終値!AH60:BA60)/AVERAGE(終値!AH60:BA60),""))</f>
      </c>
      <c r="AF60" s="684">
        <f>IF(終値!A60="","",IFERROR(4*STDEVP(終値!AI60:BB60)/AVERAGE(終値!AI60:BB60),""))</f>
      </c>
      <c r="AG60" s="684">
        <f>IF(終値!A60="","",IFERROR(4*STDEVP(終値!AJ60:BC60)/AVERAGE(終値!AJ60:BC60),""))</f>
      </c>
      <c r="AH60" s="684">
        <f>IF(終値!A60="","",IFERROR(4*STDEVP(終値!AK60:BD60)/AVERAGE(終値!AK60:BD60),""))</f>
      </c>
      <c r="AI60" s="684">
        <f>IF(終値!A60="","",IFERROR(4*STDEVP(終値!AL60:BE60)/AVERAGE(終値!AL60:BE60),""))</f>
      </c>
      <c r="AJ60" s="684">
        <f>IF(終値!A60="","",IFERROR(4*STDEVP(終値!AM60:BF60)/AVERAGE(終値!AM60:BF60),""))</f>
      </c>
      <c r="AK60" s="684">
        <f>IF(終値!A60="","",IFERROR(4*STDEVP(終値!AN60:BG60)/AVERAGE(終値!AN60:BG60),""))</f>
      </c>
      <c r="AL60" s="684">
        <f>IF(終値!A60="","",IFERROR(4*STDEVP(終値!AO60:BH60)/AVERAGE(終値!AO60:BH60),""))</f>
      </c>
      <c r="AM60" s="684">
        <f>IF(終値!A60="","",IFERROR(4*STDEVP(終値!AP60:BI60)/AVERAGE(終値!AP60:BI60),""))</f>
      </c>
      <c r="AN60" s="684">
        <f>IF(終値!A60="","",IFERROR(4*STDEVP(終値!AQ60:BJ60)/AVERAGE(終値!AQ60:BJ60),""))</f>
      </c>
      <c r="AO60" s="684">
        <f>IF(終値!A60="","",IFERROR(4*STDEVP(終値!AR60:BK60)/AVERAGE(終値!AR60:BK60),""))</f>
      </c>
      <c r="AP60" s="684">
        <f>IF(終値!A60="","",IFERROR(4*STDEVP(終値!AS60:BL60)/AVERAGE(終値!AS60:BL60),""))</f>
      </c>
    </row>
    <row r="61">
      <c r="A61" s="681">
        <f>IF(終値!A61="","",終値!A61)</f>
      </c>
      <c r="B61" s="684">
        <f>IF(終値!A61="","",IFERROR(4*STDEVP(終値!E61:X61)/AVERAGE(終値!E61:X61),""))</f>
      </c>
      <c r="C61" s="684">
        <f>IF(終値!A61="","",IFERROR(4*STDEVP(終値!F61:Y61)/AVERAGE(終値!F61:Y61),""))</f>
      </c>
      <c r="D61" s="684">
        <f>IF(終値!A61="","",IFERROR(4*STDEVP(終値!G61:Z61)/AVERAGE(終値!G61:Z61),""))</f>
      </c>
      <c r="E61" s="684">
        <f>IF(終値!A61="","",IFERROR(4*STDEVP(終値!H61:AA61)/AVERAGE(終値!H61:AA61),""))</f>
      </c>
      <c r="F61" s="684">
        <f>IF(終値!A61="","",IFERROR(4*STDEVP(終値!I61:AB61)/AVERAGE(終値!I61:AB61),""))</f>
      </c>
      <c r="G61" s="684">
        <f>IF(終値!A61="","",IFERROR(4*STDEVP(終値!J61:AC61)/AVERAGE(終値!J61:AC61),""))</f>
      </c>
      <c r="H61" s="684">
        <f>IF(終値!A61="","",IFERROR(4*STDEVP(終値!K61:AD61)/AVERAGE(終値!K61:AD61),""))</f>
      </c>
      <c r="I61" s="684">
        <f>IF(終値!A61="","",IFERROR(4*STDEVP(終値!L61:AE61)/AVERAGE(終値!L61:AE61),""))</f>
      </c>
      <c r="J61" s="684">
        <f>IF(終値!A61="","",IFERROR(4*STDEVP(終値!M61:AF61)/AVERAGE(終値!M61:AF61),""))</f>
      </c>
      <c r="K61" s="684">
        <f>IF(終値!A61="","",IFERROR(4*STDEVP(終値!N61:AG61)/AVERAGE(終値!N61:AG61),""))</f>
      </c>
      <c r="L61" s="684">
        <f>IF(終値!A61="","",IFERROR(4*STDEVP(終値!O61:AH61)/AVERAGE(終値!O61:AH61),""))</f>
      </c>
      <c r="M61" s="684">
        <f>IF(終値!A61="","",IFERROR(4*STDEVP(終値!P61:AI61)/AVERAGE(終値!P61:AI61),""))</f>
      </c>
      <c r="N61" s="684">
        <f>IF(終値!A61="","",IFERROR(4*STDEVP(終値!Q61:AJ61)/AVERAGE(終値!Q61:AJ61),""))</f>
      </c>
      <c r="O61" s="684">
        <f>IF(終値!A61="","",IFERROR(4*STDEVP(終値!R61:AK61)/AVERAGE(終値!R61:AK61),""))</f>
      </c>
      <c r="P61" s="684">
        <f>IF(終値!A61="","",IFERROR(4*STDEVP(終値!S61:AL61)/AVERAGE(終値!S61:AL61),""))</f>
      </c>
      <c r="Q61" s="684">
        <f>IF(終値!A61="","",IFERROR(4*STDEVP(終値!T61:AM61)/AVERAGE(終値!T61:AM61),""))</f>
      </c>
      <c r="R61" s="684">
        <f>IF(終値!A61="","",IFERROR(4*STDEVP(終値!U61:AN61)/AVERAGE(終値!U61:AN61),""))</f>
      </c>
      <c r="S61" s="684">
        <f>IF(終値!A61="","",IFERROR(4*STDEVP(終値!V61:AO61)/AVERAGE(終値!V61:AO61),""))</f>
      </c>
      <c r="T61" s="684">
        <f>IF(終値!A61="","",IFERROR(4*STDEVP(終値!W61:AP61)/AVERAGE(終値!W61:AP61),""))</f>
      </c>
      <c r="U61" s="684">
        <f>IF(終値!A61="","",IFERROR(4*STDEVP(終値!X61:AQ61)/AVERAGE(終値!X61:AQ61),""))</f>
      </c>
      <c r="V61" s="684">
        <f>IF(終値!A61="","",IFERROR(4*STDEVP(終値!Y61:AR61)/AVERAGE(終値!Y61:AR61),""))</f>
      </c>
      <c r="W61" s="684">
        <f>IF(終値!A61="","",IFERROR(4*STDEVP(終値!Z61:AS61)/AVERAGE(終値!Z61:AS61),""))</f>
      </c>
      <c r="X61" s="684">
        <f>IF(終値!A61="","",IFERROR(4*STDEVP(終値!AA61:AT61)/AVERAGE(終値!AA61:AT61),""))</f>
      </c>
      <c r="Y61" s="684">
        <f>IF(終値!A61="","",IFERROR(4*STDEVP(終値!AB61:AU61)/AVERAGE(終値!AB61:AU61),""))</f>
      </c>
      <c r="Z61" s="684">
        <f>IF(終値!A61="","",IFERROR(4*STDEVP(終値!AC61:AV61)/AVERAGE(終値!AC61:AV61),""))</f>
      </c>
      <c r="AA61" s="684">
        <f>IF(終値!A61="","",IFERROR(4*STDEVP(終値!AD61:AW61)/AVERAGE(終値!AD61:AW61),""))</f>
      </c>
      <c r="AB61" s="684">
        <f>IF(終値!A61="","",IFERROR(4*STDEVP(終値!AE61:AX61)/AVERAGE(終値!AE61:AX61),""))</f>
      </c>
      <c r="AC61" s="684">
        <f>IF(終値!A61="","",IFERROR(4*STDEVP(終値!AF61:AY61)/AVERAGE(終値!AF61:AY61),""))</f>
      </c>
      <c r="AD61" s="684">
        <f>IF(終値!A61="","",IFERROR(4*STDEVP(終値!AG61:AZ61)/AVERAGE(終値!AG61:AZ61),""))</f>
      </c>
      <c r="AE61" s="684">
        <f>IF(終値!A61="","",IFERROR(4*STDEVP(終値!AH61:BA61)/AVERAGE(終値!AH61:BA61),""))</f>
      </c>
      <c r="AF61" s="684">
        <f>IF(終値!A61="","",IFERROR(4*STDEVP(終値!AI61:BB61)/AVERAGE(終値!AI61:BB61),""))</f>
      </c>
      <c r="AG61" s="684">
        <f>IF(終値!A61="","",IFERROR(4*STDEVP(終値!AJ61:BC61)/AVERAGE(終値!AJ61:BC61),""))</f>
      </c>
      <c r="AH61" s="684">
        <f>IF(終値!A61="","",IFERROR(4*STDEVP(終値!AK61:BD61)/AVERAGE(終値!AK61:BD61),""))</f>
      </c>
      <c r="AI61" s="684">
        <f>IF(終値!A61="","",IFERROR(4*STDEVP(終値!AL61:BE61)/AVERAGE(終値!AL61:BE61),""))</f>
      </c>
      <c r="AJ61" s="684">
        <f>IF(終値!A61="","",IFERROR(4*STDEVP(終値!AM61:BF61)/AVERAGE(終値!AM61:BF61),""))</f>
      </c>
      <c r="AK61" s="684">
        <f>IF(終値!A61="","",IFERROR(4*STDEVP(終値!AN61:BG61)/AVERAGE(終値!AN61:BG61),""))</f>
      </c>
      <c r="AL61" s="684">
        <f>IF(終値!A61="","",IFERROR(4*STDEVP(終値!AO61:BH61)/AVERAGE(終値!AO61:BH61),""))</f>
      </c>
      <c r="AM61" s="684">
        <f>IF(終値!A61="","",IFERROR(4*STDEVP(終値!AP61:BI61)/AVERAGE(終値!AP61:BI61),""))</f>
      </c>
      <c r="AN61" s="684">
        <f>IF(終値!A61="","",IFERROR(4*STDEVP(終値!AQ61:BJ61)/AVERAGE(終値!AQ61:BJ61),""))</f>
      </c>
      <c r="AO61" s="684">
        <f>IF(終値!A61="","",IFERROR(4*STDEVP(終値!AR61:BK61)/AVERAGE(終値!AR61:BK61),""))</f>
      </c>
      <c r="AP61" s="684">
        <f>IF(終値!A61="","",IFERROR(4*STDEVP(終値!AS61:BL61)/AVERAGE(終値!AS61:BL61),""))</f>
      </c>
    </row>
    <row r="62">
      <c r="A62" s="681">
        <f>IF(終値!A62="","",終値!A62)</f>
      </c>
      <c r="B62" s="684">
        <f>IF(終値!A62="","",IFERROR(4*STDEVP(終値!E62:X62)/AVERAGE(終値!E62:X62),""))</f>
      </c>
      <c r="C62" s="684">
        <f>IF(終値!A62="","",IFERROR(4*STDEVP(終値!F62:Y62)/AVERAGE(終値!F62:Y62),""))</f>
      </c>
      <c r="D62" s="684">
        <f>IF(終値!A62="","",IFERROR(4*STDEVP(終値!G62:Z62)/AVERAGE(終値!G62:Z62),""))</f>
      </c>
      <c r="E62" s="684">
        <f>IF(終値!A62="","",IFERROR(4*STDEVP(終値!H62:AA62)/AVERAGE(終値!H62:AA62),""))</f>
      </c>
      <c r="F62" s="684">
        <f>IF(終値!A62="","",IFERROR(4*STDEVP(終値!I62:AB62)/AVERAGE(終値!I62:AB62),""))</f>
      </c>
      <c r="G62" s="684">
        <f>IF(終値!A62="","",IFERROR(4*STDEVP(終値!J62:AC62)/AVERAGE(終値!J62:AC62),""))</f>
      </c>
      <c r="H62" s="684">
        <f>IF(終値!A62="","",IFERROR(4*STDEVP(終値!K62:AD62)/AVERAGE(終値!K62:AD62),""))</f>
      </c>
      <c r="I62" s="684">
        <f>IF(終値!A62="","",IFERROR(4*STDEVP(終値!L62:AE62)/AVERAGE(終値!L62:AE62),""))</f>
      </c>
      <c r="J62" s="684">
        <f>IF(終値!A62="","",IFERROR(4*STDEVP(終値!M62:AF62)/AVERAGE(終値!M62:AF62),""))</f>
      </c>
      <c r="K62" s="684">
        <f>IF(終値!A62="","",IFERROR(4*STDEVP(終値!N62:AG62)/AVERAGE(終値!N62:AG62),""))</f>
      </c>
      <c r="L62" s="684">
        <f>IF(終値!A62="","",IFERROR(4*STDEVP(終値!O62:AH62)/AVERAGE(終値!O62:AH62),""))</f>
      </c>
      <c r="M62" s="684">
        <f>IF(終値!A62="","",IFERROR(4*STDEVP(終値!P62:AI62)/AVERAGE(終値!P62:AI62),""))</f>
      </c>
      <c r="N62" s="684">
        <f>IF(終値!A62="","",IFERROR(4*STDEVP(終値!Q62:AJ62)/AVERAGE(終値!Q62:AJ62),""))</f>
      </c>
      <c r="O62" s="684">
        <f>IF(終値!A62="","",IFERROR(4*STDEVP(終値!R62:AK62)/AVERAGE(終値!R62:AK62),""))</f>
      </c>
      <c r="P62" s="684">
        <f>IF(終値!A62="","",IFERROR(4*STDEVP(終値!S62:AL62)/AVERAGE(終値!S62:AL62),""))</f>
      </c>
      <c r="Q62" s="684">
        <f>IF(終値!A62="","",IFERROR(4*STDEVP(終値!T62:AM62)/AVERAGE(終値!T62:AM62),""))</f>
      </c>
      <c r="R62" s="684">
        <f>IF(終値!A62="","",IFERROR(4*STDEVP(終値!U62:AN62)/AVERAGE(終値!U62:AN62),""))</f>
      </c>
      <c r="S62" s="684">
        <f>IF(終値!A62="","",IFERROR(4*STDEVP(終値!V62:AO62)/AVERAGE(終値!V62:AO62),""))</f>
      </c>
      <c r="T62" s="684">
        <f>IF(終値!A62="","",IFERROR(4*STDEVP(終値!W62:AP62)/AVERAGE(終値!W62:AP62),""))</f>
      </c>
      <c r="U62" s="684">
        <f>IF(終値!A62="","",IFERROR(4*STDEVP(終値!X62:AQ62)/AVERAGE(終値!X62:AQ62),""))</f>
      </c>
      <c r="V62" s="684">
        <f>IF(終値!A62="","",IFERROR(4*STDEVP(終値!Y62:AR62)/AVERAGE(終値!Y62:AR62),""))</f>
      </c>
      <c r="W62" s="684">
        <f>IF(終値!A62="","",IFERROR(4*STDEVP(終値!Z62:AS62)/AVERAGE(終値!Z62:AS62),""))</f>
      </c>
      <c r="X62" s="684">
        <f>IF(終値!A62="","",IFERROR(4*STDEVP(終値!AA62:AT62)/AVERAGE(終値!AA62:AT62),""))</f>
      </c>
      <c r="Y62" s="684">
        <f>IF(終値!A62="","",IFERROR(4*STDEVP(終値!AB62:AU62)/AVERAGE(終値!AB62:AU62),""))</f>
      </c>
      <c r="Z62" s="684">
        <f>IF(終値!A62="","",IFERROR(4*STDEVP(終値!AC62:AV62)/AVERAGE(終値!AC62:AV62),""))</f>
      </c>
      <c r="AA62" s="684">
        <f>IF(終値!A62="","",IFERROR(4*STDEVP(終値!AD62:AW62)/AVERAGE(終値!AD62:AW62),""))</f>
      </c>
      <c r="AB62" s="684">
        <f>IF(終値!A62="","",IFERROR(4*STDEVP(終値!AE62:AX62)/AVERAGE(終値!AE62:AX62),""))</f>
      </c>
      <c r="AC62" s="684">
        <f>IF(終値!A62="","",IFERROR(4*STDEVP(終値!AF62:AY62)/AVERAGE(終値!AF62:AY62),""))</f>
      </c>
      <c r="AD62" s="684">
        <f>IF(終値!A62="","",IFERROR(4*STDEVP(終値!AG62:AZ62)/AVERAGE(終値!AG62:AZ62),""))</f>
      </c>
      <c r="AE62" s="684">
        <f>IF(終値!A62="","",IFERROR(4*STDEVP(終値!AH62:BA62)/AVERAGE(終値!AH62:BA62),""))</f>
      </c>
      <c r="AF62" s="684">
        <f>IF(終値!A62="","",IFERROR(4*STDEVP(終値!AI62:BB62)/AVERAGE(終値!AI62:BB62),""))</f>
      </c>
      <c r="AG62" s="684">
        <f>IF(終値!A62="","",IFERROR(4*STDEVP(終値!AJ62:BC62)/AVERAGE(終値!AJ62:BC62),""))</f>
      </c>
      <c r="AH62" s="684">
        <f>IF(終値!A62="","",IFERROR(4*STDEVP(終値!AK62:BD62)/AVERAGE(終値!AK62:BD62),""))</f>
      </c>
      <c r="AI62" s="684">
        <f>IF(終値!A62="","",IFERROR(4*STDEVP(終値!AL62:BE62)/AVERAGE(終値!AL62:BE62),""))</f>
      </c>
      <c r="AJ62" s="684">
        <f>IF(終値!A62="","",IFERROR(4*STDEVP(終値!AM62:BF62)/AVERAGE(終値!AM62:BF62),""))</f>
      </c>
      <c r="AK62" s="684">
        <f>IF(終値!A62="","",IFERROR(4*STDEVP(終値!AN62:BG62)/AVERAGE(終値!AN62:BG62),""))</f>
      </c>
      <c r="AL62" s="684">
        <f>IF(終値!A62="","",IFERROR(4*STDEVP(終値!AO62:BH62)/AVERAGE(終値!AO62:BH62),""))</f>
      </c>
      <c r="AM62" s="684">
        <f>IF(終値!A62="","",IFERROR(4*STDEVP(終値!AP62:BI62)/AVERAGE(終値!AP62:BI62),""))</f>
      </c>
      <c r="AN62" s="684">
        <f>IF(終値!A62="","",IFERROR(4*STDEVP(終値!AQ62:BJ62)/AVERAGE(終値!AQ62:BJ62),""))</f>
      </c>
      <c r="AO62" s="684">
        <f>IF(終値!A62="","",IFERROR(4*STDEVP(終値!AR62:BK62)/AVERAGE(終値!AR62:BK62),""))</f>
      </c>
      <c r="AP62" s="684">
        <f>IF(終値!A62="","",IFERROR(4*STDEVP(終値!AS62:BL62)/AVERAGE(終値!AS62:BL62),""))</f>
      </c>
    </row>
    <row r="63">
      <c r="A63" s="681">
        <f>IF(終値!A63="","",終値!A63)</f>
      </c>
      <c r="B63" s="684">
        <f>IF(終値!A63="","",IFERROR(4*STDEVP(終値!E63:X63)/AVERAGE(終値!E63:X63),""))</f>
      </c>
      <c r="C63" s="684">
        <f>IF(終値!A63="","",IFERROR(4*STDEVP(終値!F63:Y63)/AVERAGE(終値!F63:Y63),""))</f>
      </c>
      <c r="D63" s="684">
        <f>IF(終値!A63="","",IFERROR(4*STDEVP(終値!G63:Z63)/AVERAGE(終値!G63:Z63),""))</f>
      </c>
      <c r="E63" s="684">
        <f>IF(終値!A63="","",IFERROR(4*STDEVP(終値!H63:AA63)/AVERAGE(終値!H63:AA63),""))</f>
      </c>
      <c r="F63" s="684">
        <f>IF(終値!A63="","",IFERROR(4*STDEVP(終値!I63:AB63)/AVERAGE(終値!I63:AB63),""))</f>
      </c>
      <c r="G63" s="684">
        <f>IF(終値!A63="","",IFERROR(4*STDEVP(終値!J63:AC63)/AVERAGE(終値!J63:AC63),""))</f>
      </c>
      <c r="H63" s="684">
        <f>IF(終値!A63="","",IFERROR(4*STDEVP(終値!K63:AD63)/AVERAGE(終値!K63:AD63),""))</f>
      </c>
      <c r="I63" s="684">
        <f>IF(終値!A63="","",IFERROR(4*STDEVP(終値!L63:AE63)/AVERAGE(終値!L63:AE63),""))</f>
      </c>
      <c r="J63" s="684">
        <f>IF(終値!A63="","",IFERROR(4*STDEVP(終値!M63:AF63)/AVERAGE(終値!M63:AF63),""))</f>
      </c>
      <c r="K63" s="684">
        <f>IF(終値!A63="","",IFERROR(4*STDEVP(終値!N63:AG63)/AVERAGE(終値!N63:AG63),""))</f>
      </c>
      <c r="L63" s="684">
        <f>IF(終値!A63="","",IFERROR(4*STDEVP(終値!O63:AH63)/AVERAGE(終値!O63:AH63),""))</f>
      </c>
      <c r="M63" s="684">
        <f>IF(終値!A63="","",IFERROR(4*STDEVP(終値!P63:AI63)/AVERAGE(終値!P63:AI63),""))</f>
      </c>
      <c r="N63" s="684">
        <f>IF(終値!A63="","",IFERROR(4*STDEVP(終値!Q63:AJ63)/AVERAGE(終値!Q63:AJ63),""))</f>
      </c>
      <c r="O63" s="684">
        <f>IF(終値!A63="","",IFERROR(4*STDEVP(終値!R63:AK63)/AVERAGE(終値!R63:AK63),""))</f>
      </c>
      <c r="P63" s="684">
        <f>IF(終値!A63="","",IFERROR(4*STDEVP(終値!S63:AL63)/AVERAGE(終値!S63:AL63),""))</f>
      </c>
      <c r="Q63" s="684">
        <f>IF(終値!A63="","",IFERROR(4*STDEVP(終値!T63:AM63)/AVERAGE(終値!T63:AM63),""))</f>
      </c>
      <c r="R63" s="684">
        <f>IF(終値!A63="","",IFERROR(4*STDEVP(終値!U63:AN63)/AVERAGE(終値!U63:AN63),""))</f>
      </c>
      <c r="S63" s="684">
        <f>IF(終値!A63="","",IFERROR(4*STDEVP(終値!V63:AO63)/AVERAGE(終値!V63:AO63),""))</f>
      </c>
      <c r="T63" s="684">
        <f>IF(終値!A63="","",IFERROR(4*STDEVP(終値!W63:AP63)/AVERAGE(終値!W63:AP63),""))</f>
      </c>
      <c r="U63" s="684">
        <f>IF(終値!A63="","",IFERROR(4*STDEVP(終値!X63:AQ63)/AVERAGE(終値!X63:AQ63),""))</f>
      </c>
      <c r="V63" s="684">
        <f>IF(終値!A63="","",IFERROR(4*STDEVP(終値!Y63:AR63)/AVERAGE(終値!Y63:AR63),""))</f>
      </c>
      <c r="W63" s="684">
        <f>IF(終値!A63="","",IFERROR(4*STDEVP(終値!Z63:AS63)/AVERAGE(終値!Z63:AS63),""))</f>
      </c>
      <c r="X63" s="684">
        <f>IF(終値!A63="","",IFERROR(4*STDEVP(終値!AA63:AT63)/AVERAGE(終値!AA63:AT63),""))</f>
      </c>
      <c r="Y63" s="684">
        <f>IF(終値!A63="","",IFERROR(4*STDEVP(終値!AB63:AU63)/AVERAGE(終値!AB63:AU63),""))</f>
      </c>
      <c r="Z63" s="684">
        <f>IF(終値!A63="","",IFERROR(4*STDEVP(終値!AC63:AV63)/AVERAGE(終値!AC63:AV63),""))</f>
      </c>
      <c r="AA63" s="684">
        <f>IF(終値!A63="","",IFERROR(4*STDEVP(終値!AD63:AW63)/AVERAGE(終値!AD63:AW63),""))</f>
      </c>
      <c r="AB63" s="684">
        <f>IF(終値!A63="","",IFERROR(4*STDEVP(終値!AE63:AX63)/AVERAGE(終値!AE63:AX63),""))</f>
      </c>
      <c r="AC63" s="684">
        <f>IF(終値!A63="","",IFERROR(4*STDEVP(終値!AF63:AY63)/AVERAGE(終値!AF63:AY63),""))</f>
      </c>
      <c r="AD63" s="684">
        <f>IF(終値!A63="","",IFERROR(4*STDEVP(終値!AG63:AZ63)/AVERAGE(終値!AG63:AZ63),""))</f>
      </c>
      <c r="AE63" s="684">
        <f>IF(終値!A63="","",IFERROR(4*STDEVP(終値!AH63:BA63)/AVERAGE(終値!AH63:BA63),""))</f>
      </c>
      <c r="AF63" s="684">
        <f>IF(終値!A63="","",IFERROR(4*STDEVP(終値!AI63:BB63)/AVERAGE(終値!AI63:BB63),""))</f>
      </c>
      <c r="AG63" s="684">
        <f>IF(終値!A63="","",IFERROR(4*STDEVP(終値!AJ63:BC63)/AVERAGE(終値!AJ63:BC63),""))</f>
      </c>
      <c r="AH63" s="684">
        <f>IF(終値!A63="","",IFERROR(4*STDEVP(終値!AK63:BD63)/AVERAGE(終値!AK63:BD63),""))</f>
      </c>
      <c r="AI63" s="684">
        <f>IF(終値!A63="","",IFERROR(4*STDEVP(終値!AL63:BE63)/AVERAGE(終値!AL63:BE63),""))</f>
      </c>
      <c r="AJ63" s="684">
        <f>IF(終値!A63="","",IFERROR(4*STDEVP(終値!AM63:BF63)/AVERAGE(終値!AM63:BF63),""))</f>
      </c>
      <c r="AK63" s="684">
        <f>IF(終値!A63="","",IFERROR(4*STDEVP(終値!AN63:BG63)/AVERAGE(終値!AN63:BG63),""))</f>
      </c>
      <c r="AL63" s="684">
        <f>IF(終値!A63="","",IFERROR(4*STDEVP(終値!AO63:BH63)/AVERAGE(終値!AO63:BH63),""))</f>
      </c>
      <c r="AM63" s="684">
        <f>IF(終値!A63="","",IFERROR(4*STDEVP(終値!AP63:BI63)/AVERAGE(終値!AP63:BI63),""))</f>
      </c>
      <c r="AN63" s="684">
        <f>IF(終値!A63="","",IFERROR(4*STDEVP(終値!AQ63:BJ63)/AVERAGE(終値!AQ63:BJ63),""))</f>
      </c>
      <c r="AO63" s="684">
        <f>IF(終値!A63="","",IFERROR(4*STDEVP(終値!AR63:BK63)/AVERAGE(終値!AR63:BK63),""))</f>
      </c>
      <c r="AP63" s="684">
        <f>IF(終値!A63="","",IFERROR(4*STDEVP(終値!AS63:BL63)/AVERAGE(終値!AS63:BL63),""))</f>
      </c>
    </row>
    <row r="64">
      <c r="A64" s="681">
        <f>IF(終値!A64="","",終値!A64)</f>
      </c>
      <c r="B64" s="684">
        <f>IF(終値!A64="","",IFERROR(4*STDEVP(終値!E64:X64)/AVERAGE(終値!E64:X64),""))</f>
      </c>
      <c r="C64" s="684">
        <f>IF(終値!A64="","",IFERROR(4*STDEVP(終値!F64:Y64)/AVERAGE(終値!F64:Y64),""))</f>
      </c>
      <c r="D64" s="684">
        <f>IF(終値!A64="","",IFERROR(4*STDEVP(終値!G64:Z64)/AVERAGE(終値!G64:Z64),""))</f>
      </c>
      <c r="E64" s="684">
        <f>IF(終値!A64="","",IFERROR(4*STDEVP(終値!H64:AA64)/AVERAGE(終値!H64:AA64),""))</f>
      </c>
      <c r="F64" s="684">
        <f>IF(終値!A64="","",IFERROR(4*STDEVP(終値!I64:AB64)/AVERAGE(終値!I64:AB64),""))</f>
      </c>
      <c r="G64" s="684">
        <f>IF(終値!A64="","",IFERROR(4*STDEVP(終値!J64:AC64)/AVERAGE(終値!J64:AC64),""))</f>
      </c>
      <c r="H64" s="684">
        <f>IF(終値!A64="","",IFERROR(4*STDEVP(終値!K64:AD64)/AVERAGE(終値!K64:AD64),""))</f>
      </c>
      <c r="I64" s="684">
        <f>IF(終値!A64="","",IFERROR(4*STDEVP(終値!L64:AE64)/AVERAGE(終値!L64:AE64),""))</f>
      </c>
      <c r="J64" s="684">
        <f>IF(終値!A64="","",IFERROR(4*STDEVP(終値!M64:AF64)/AVERAGE(終値!M64:AF64),""))</f>
      </c>
      <c r="K64" s="684">
        <f>IF(終値!A64="","",IFERROR(4*STDEVP(終値!N64:AG64)/AVERAGE(終値!N64:AG64),""))</f>
      </c>
      <c r="L64" s="684">
        <f>IF(終値!A64="","",IFERROR(4*STDEVP(終値!O64:AH64)/AVERAGE(終値!O64:AH64),""))</f>
      </c>
      <c r="M64" s="684">
        <f>IF(終値!A64="","",IFERROR(4*STDEVP(終値!P64:AI64)/AVERAGE(終値!P64:AI64),""))</f>
      </c>
      <c r="N64" s="684">
        <f>IF(終値!A64="","",IFERROR(4*STDEVP(終値!Q64:AJ64)/AVERAGE(終値!Q64:AJ64),""))</f>
      </c>
      <c r="O64" s="684">
        <f>IF(終値!A64="","",IFERROR(4*STDEVP(終値!R64:AK64)/AVERAGE(終値!R64:AK64),""))</f>
      </c>
      <c r="P64" s="684">
        <f>IF(終値!A64="","",IFERROR(4*STDEVP(終値!S64:AL64)/AVERAGE(終値!S64:AL64),""))</f>
      </c>
      <c r="Q64" s="684">
        <f>IF(終値!A64="","",IFERROR(4*STDEVP(終値!T64:AM64)/AVERAGE(終値!T64:AM64),""))</f>
      </c>
      <c r="R64" s="684">
        <f>IF(終値!A64="","",IFERROR(4*STDEVP(終値!U64:AN64)/AVERAGE(終値!U64:AN64),""))</f>
      </c>
      <c r="S64" s="684">
        <f>IF(終値!A64="","",IFERROR(4*STDEVP(終値!V64:AO64)/AVERAGE(終値!V64:AO64),""))</f>
      </c>
      <c r="T64" s="684">
        <f>IF(終値!A64="","",IFERROR(4*STDEVP(終値!W64:AP64)/AVERAGE(終値!W64:AP64),""))</f>
      </c>
      <c r="U64" s="684">
        <f>IF(終値!A64="","",IFERROR(4*STDEVP(終値!X64:AQ64)/AVERAGE(終値!X64:AQ64),""))</f>
      </c>
      <c r="V64" s="684">
        <f>IF(終値!A64="","",IFERROR(4*STDEVP(終値!Y64:AR64)/AVERAGE(終値!Y64:AR64),""))</f>
      </c>
      <c r="W64" s="684">
        <f>IF(終値!A64="","",IFERROR(4*STDEVP(終値!Z64:AS64)/AVERAGE(終値!Z64:AS64),""))</f>
      </c>
      <c r="X64" s="684">
        <f>IF(終値!A64="","",IFERROR(4*STDEVP(終値!AA64:AT64)/AVERAGE(終値!AA64:AT64),""))</f>
      </c>
      <c r="Y64" s="684">
        <f>IF(終値!A64="","",IFERROR(4*STDEVP(終値!AB64:AU64)/AVERAGE(終値!AB64:AU64),""))</f>
      </c>
      <c r="Z64" s="684">
        <f>IF(終値!A64="","",IFERROR(4*STDEVP(終値!AC64:AV64)/AVERAGE(終値!AC64:AV64),""))</f>
      </c>
      <c r="AA64" s="684">
        <f>IF(終値!A64="","",IFERROR(4*STDEVP(終値!AD64:AW64)/AVERAGE(終値!AD64:AW64),""))</f>
      </c>
      <c r="AB64" s="684">
        <f>IF(終値!A64="","",IFERROR(4*STDEVP(終値!AE64:AX64)/AVERAGE(終値!AE64:AX64),""))</f>
      </c>
      <c r="AC64" s="684">
        <f>IF(終値!A64="","",IFERROR(4*STDEVP(終値!AF64:AY64)/AVERAGE(終値!AF64:AY64),""))</f>
      </c>
      <c r="AD64" s="684">
        <f>IF(終値!A64="","",IFERROR(4*STDEVP(終値!AG64:AZ64)/AVERAGE(終値!AG64:AZ64),""))</f>
      </c>
      <c r="AE64" s="684">
        <f>IF(終値!A64="","",IFERROR(4*STDEVP(終値!AH64:BA64)/AVERAGE(終値!AH64:BA64),""))</f>
      </c>
      <c r="AF64" s="684">
        <f>IF(終値!A64="","",IFERROR(4*STDEVP(終値!AI64:BB64)/AVERAGE(終値!AI64:BB64),""))</f>
      </c>
      <c r="AG64" s="684">
        <f>IF(終値!A64="","",IFERROR(4*STDEVP(終値!AJ64:BC64)/AVERAGE(終値!AJ64:BC64),""))</f>
      </c>
      <c r="AH64" s="684">
        <f>IF(終値!A64="","",IFERROR(4*STDEVP(終値!AK64:BD64)/AVERAGE(終値!AK64:BD64),""))</f>
      </c>
      <c r="AI64" s="684">
        <f>IF(終値!A64="","",IFERROR(4*STDEVP(終値!AL64:BE64)/AVERAGE(終値!AL64:BE64),""))</f>
      </c>
      <c r="AJ64" s="684">
        <f>IF(終値!A64="","",IFERROR(4*STDEVP(終値!AM64:BF64)/AVERAGE(終値!AM64:BF64),""))</f>
      </c>
      <c r="AK64" s="684">
        <f>IF(終値!A64="","",IFERROR(4*STDEVP(終値!AN64:BG64)/AVERAGE(終値!AN64:BG64),""))</f>
      </c>
      <c r="AL64" s="684">
        <f>IF(終値!A64="","",IFERROR(4*STDEVP(終値!AO64:BH64)/AVERAGE(終値!AO64:BH64),""))</f>
      </c>
      <c r="AM64" s="684">
        <f>IF(終値!A64="","",IFERROR(4*STDEVP(終値!AP64:BI64)/AVERAGE(終値!AP64:BI64),""))</f>
      </c>
      <c r="AN64" s="684">
        <f>IF(終値!A64="","",IFERROR(4*STDEVP(終値!AQ64:BJ64)/AVERAGE(終値!AQ64:BJ64),""))</f>
      </c>
      <c r="AO64" s="684">
        <f>IF(終値!A64="","",IFERROR(4*STDEVP(終値!AR64:BK64)/AVERAGE(終値!AR64:BK64),""))</f>
      </c>
      <c r="AP64" s="684">
        <f>IF(終値!A64="","",IFERROR(4*STDEVP(終値!AS64:BL64)/AVERAGE(終値!AS64:BL64),""))</f>
      </c>
    </row>
    <row r="65">
      <c r="A65" s="681">
        <f>IF(終値!A65="","",終値!A65)</f>
      </c>
      <c r="B65" s="684">
        <f>IF(終値!A65="","",IFERROR(4*STDEVP(終値!E65:X65)/AVERAGE(終値!E65:X65),""))</f>
      </c>
      <c r="C65" s="684">
        <f>IF(終値!A65="","",IFERROR(4*STDEVP(終値!F65:Y65)/AVERAGE(終値!F65:Y65),""))</f>
      </c>
      <c r="D65" s="684">
        <f>IF(終値!A65="","",IFERROR(4*STDEVP(終値!G65:Z65)/AVERAGE(終値!G65:Z65),""))</f>
      </c>
      <c r="E65" s="684">
        <f>IF(終値!A65="","",IFERROR(4*STDEVP(終値!H65:AA65)/AVERAGE(終値!H65:AA65),""))</f>
      </c>
      <c r="F65" s="684">
        <f>IF(終値!A65="","",IFERROR(4*STDEVP(終値!I65:AB65)/AVERAGE(終値!I65:AB65),""))</f>
      </c>
      <c r="G65" s="684">
        <f>IF(終値!A65="","",IFERROR(4*STDEVP(終値!J65:AC65)/AVERAGE(終値!J65:AC65),""))</f>
      </c>
      <c r="H65" s="684">
        <f>IF(終値!A65="","",IFERROR(4*STDEVP(終値!K65:AD65)/AVERAGE(終値!K65:AD65),""))</f>
      </c>
      <c r="I65" s="684">
        <f>IF(終値!A65="","",IFERROR(4*STDEVP(終値!L65:AE65)/AVERAGE(終値!L65:AE65),""))</f>
      </c>
      <c r="J65" s="684">
        <f>IF(終値!A65="","",IFERROR(4*STDEVP(終値!M65:AF65)/AVERAGE(終値!M65:AF65),""))</f>
      </c>
      <c r="K65" s="684">
        <f>IF(終値!A65="","",IFERROR(4*STDEVP(終値!N65:AG65)/AVERAGE(終値!N65:AG65),""))</f>
      </c>
      <c r="L65" s="684">
        <f>IF(終値!A65="","",IFERROR(4*STDEVP(終値!O65:AH65)/AVERAGE(終値!O65:AH65),""))</f>
      </c>
      <c r="M65" s="684">
        <f>IF(終値!A65="","",IFERROR(4*STDEVP(終値!P65:AI65)/AVERAGE(終値!P65:AI65),""))</f>
      </c>
      <c r="N65" s="684">
        <f>IF(終値!A65="","",IFERROR(4*STDEVP(終値!Q65:AJ65)/AVERAGE(終値!Q65:AJ65),""))</f>
      </c>
      <c r="O65" s="684">
        <f>IF(終値!A65="","",IFERROR(4*STDEVP(終値!R65:AK65)/AVERAGE(終値!R65:AK65),""))</f>
      </c>
      <c r="P65" s="684">
        <f>IF(終値!A65="","",IFERROR(4*STDEVP(終値!S65:AL65)/AVERAGE(終値!S65:AL65),""))</f>
      </c>
      <c r="Q65" s="684">
        <f>IF(終値!A65="","",IFERROR(4*STDEVP(終値!T65:AM65)/AVERAGE(終値!T65:AM65),""))</f>
      </c>
      <c r="R65" s="684">
        <f>IF(終値!A65="","",IFERROR(4*STDEVP(終値!U65:AN65)/AVERAGE(終値!U65:AN65),""))</f>
      </c>
      <c r="S65" s="684">
        <f>IF(終値!A65="","",IFERROR(4*STDEVP(終値!V65:AO65)/AVERAGE(終値!V65:AO65),""))</f>
      </c>
      <c r="T65" s="684">
        <f>IF(終値!A65="","",IFERROR(4*STDEVP(終値!W65:AP65)/AVERAGE(終値!W65:AP65),""))</f>
      </c>
      <c r="U65" s="684">
        <f>IF(終値!A65="","",IFERROR(4*STDEVP(終値!X65:AQ65)/AVERAGE(終値!X65:AQ65),""))</f>
      </c>
      <c r="V65" s="684">
        <f>IF(終値!A65="","",IFERROR(4*STDEVP(終値!Y65:AR65)/AVERAGE(終値!Y65:AR65),""))</f>
      </c>
      <c r="W65" s="684">
        <f>IF(終値!A65="","",IFERROR(4*STDEVP(終値!Z65:AS65)/AVERAGE(終値!Z65:AS65),""))</f>
      </c>
      <c r="X65" s="684">
        <f>IF(終値!A65="","",IFERROR(4*STDEVP(終値!AA65:AT65)/AVERAGE(終値!AA65:AT65),""))</f>
      </c>
      <c r="Y65" s="684">
        <f>IF(終値!A65="","",IFERROR(4*STDEVP(終値!AB65:AU65)/AVERAGE(終値!AB65:AU65),""))</f>
      </c>
      <c r="Z65" s="684">
        <f>IF(終値!A65="","",IFERROR(4*STDEVP(終値!AC65:AV65)/AVERAGE(終値!AC65:AV65),""))</f>
      </c>
      <c r="AA65" s="684">
        <f>IF(終値!A65="","",IFERROR(4*STDEVP(終値!AD65:AW65)/AVERAGE(終値!AD65:AW65),""))</f>
      </c>
      <c r="AB65" s="684">
        <f>IF(終値!A65="","",IFERROR(4*STDEVP(終値!AE65:AX65)/AVERAGE(終値!AE65:AX65),""))</f>
      </c>
      <c r="AC65" s="684">
        <f>IF(終値!A65="","",IFERROR(4*STDEVP(終値!AF65:AY65)/AVERAGE(終値!AF65:AY65),""))</f>
      </c>
      <c r="AD65" s="684">
        <f>IF(終値!A65="","",IFERROR(4*STDEVP(終値!AG65:AZ65)/AVERAGE(終値!AG65:AZ65),""))</f>
      </c>
      <c r="AE65" s="684">
        <f>IF(終値!A65="","",IFERROR(4*STDEVP(終値!AH65:BA65)/AVERAGE(終値!AH65:BA65),""))</f>
      </c>
      <c r="AF65" s="684">
        <f>IF(終値!A65="","",IFERROR(4*STDEVP(終値!AI65:BB65)/AVERAGE(終値!AI65:BB65),""))</f>
      </c>
      <c r="AG65" s="684">
        <f>IF(終値!A65="","",IFERROR(4*STDEVP(終値!AJ65:BC65)/AVERAGE(終値!AJ65:BC65),""))</f>
      </c>
      <c r="AH65" s="684">
        <f>IF(終値!A65="","",IFERROR(4*STDEVP(終値!AK65:BD65)/AVERAGE(終値!AK65:BD65),""))</f>
      </c>
      <c r="AI65" s="684">
        <f>IF(終値!A65="","",IFERROR(4*STDEVP(終値!AL65:BE65)/AVERAGE(終値!AL65:BE65),""))</f>
      </c>
      <c r="AJ65" s="684">
        <f>IF(終値!A65="","",IFERROR(4*STDEVP(終値!AM65:BF65)/AVERAGE(終値!AM65:BF65),""))</f>
      </c>
      <c r="AK65" s="684">
        <f>IF(終値!A65="","",IFERROR(4*STDEVP(終値!AN65:BG65)/AVERAGE(終値!AN65:BG65),""))</f>
      </c>
      <c r="AL65" s="684">
        <f>IF(終値!A65="","",IFERROR(4*STDEVP(終値!AO65:BH65)/AVERAGE(終値!AO65:BH65),""))</f>
      </c>
      <c r="AM65" s="684">
        <f>IF(終値!A65="","",IFERROR(4*STDEVP(終値!AP65:BI65)/AVERAGE(終値!AP65:BI65),""))</f>
      </c>
      <c r="AN65" s="684">
        <f>IF(終値!A65="","",IFERROR(4*STDEVP(終値!AQ65:BJ65)/AVERAGE(終値!AQ65:BJ65),""))</f>
      </c>
      <c r="AO65" s="684">
        <f>IF(終値!A65="","",IFERROR(4*STDEVP(終値!AR65:BK65)/AVERAGE(終値!AR65:BK65),""))</f>
      </c>
      <c r="AP65" s="684">
        <f>IF(終値!A65="","",IFERROR(4*STDEVP(終値!AS65:BL65)/AVERAGE(終値!AS65:BL65),""))</f>
      </c>
    </row>
    <row r="66">
      <c r="A66" s="681">
        <f>IF(終値!A66="","",終値!A66)</f>
      </c>
      <c r="B66" s="684">
        <f>IF(終値!A66="","",IFERROR(4*STDEVP(終値!E66:X66)/AVERAGE(終値!E66:X66),""))</f>
      </c>
      <c r="C66" s="684">
        <f>IF(終値!A66="","",IFERROR(4*STDEVP(終値!F66:Y66)/AVERAGE(終値!F66:Y66),""))</f>
      </c>
      <c r="D66" s="684">
        <f>IF(終値!A66="","",IFERROR(4*STDEVP(終値!G66:Z66)/AVERAGE(終値!G66:Z66),""))</f>
      </c>
      <c r="E66" s="684">
        <f>IF(終値!A66="","",IFERROR(4*STDEVP(終値!H66:AA66)/AVERAGE(終値!H66:AA66),""))</f>
      </c>
      <c r="F66" s="684">
        <f>IF(終値!A66="","",IFERROR(4*STDEVP(終値!I66:AB66)/AVERAGE(終値!I66:AB66),""))</f>
      </c>
      <c r="G66" s="684">
        <f>IF(終値!A66="","",IFERROR(4*STDEVP(終値!J66:AC66)/AVERAGE(終値!J66:AC66),""))</f>
      </c>
      <c r="H66" s="684">
        <f>IF(終値!A66="","",IFERROR(4*STDEVP(終値!K66:AD66)/AVERAGE(終値!K66:AD66),""))</f>
      </c>
      <c r="I66" s="684">
        <f>IF(終値!A66="","",IFERROR(4*STDEVP(終値!L66:AE66)/AVERAGE(終値!L66:AE66),""))</f>
      </c>
      <c r="J66" s="684">
        <f>IF(終値!A66="","",IFERROR(4*STDEVP(終値!M66:AF66)/AVERAGE(終値!M66:AF66),""))</f>
      </c>
      <c r="K66" s="684">
        <f>IF(終値!A66="","",IFERROR(4*STDEVP(終値!N66:AG66)/AVERAGE(終値!N66:AG66),""))</f>
      </c>
      <c r="L66" s="684">
        <f>IF(終値!A66="","",IFERROR(4*STDEVP(終値!O66:AH66)/AVERAGE(終値!O66:AH66),""))</f>
      </c>
      <c r="M66" s="684">
        <f>IF(終値!A66="","",IFERROR(4*STDEVP(終値!P66:AI66)/AVERAGE(終値!P66:AI66),""))</f>
      </c>
      <c r="N66" s="684">
        <f>IF(終値!A66="","",IFERROR(4*STDEVP(終値!Q66:AJ66)/AVERAGE(終値!Q66:AJ66),""))</f>
      </c>
      <c r="O66" s="684">
        <f>IF(終値!A66="","",IFERROR(4*STDEVP(終値!R66:AK66)/AVERAGE(終値!R66:AK66),""))</f>
      </c>
      <c r="P66" s="684">
        <f>IF(終値!A66="","",IFERROR(4*STDEVP(終値!S66:AL66)/AVERAGE(終値!S66:AL66),""))</f>
      </c>
      <c r="Q66" s="684">
        <f>IF(終値!A66="","",IFERROR(4*STDEVP(終値!T66:AM66)/AVERAGE(終値!T66:AM66),""))</f>
      </c>
      <c r="R66" s="684">
        <f>IF(終値!A66="","",IFERROR(4*STDEVP(終値!U66:AN66)/AVERAGE(終値!U66:AN66),""))</f>
      </c>
      <c r="S66" s="684">
        <f>IF(終値!A66="","",IFERROR(4*STDEVP(終値!V66:AO66)/AVERAGE(終値!V66:AO66),""))</f>
      </c>
      <c r="T66" s="684">
        <f>IF(終値!A66="","",IFERROR(4*STDEVP(終値!W66:AP66)/AVERAGE(終値!W66:AP66),""))</f>
      </c>
      <c r="U66" s="684">
        <f>IF(終値!A66="","",IFERROR(4*STDEVP(終値!X66:AQ66)/AVERAGE(終値!X66:AQ66),""))</f>
      </c>
      <c r="V66" s="684">
        <f>IF(終値!A66="","",IFERROR(4*STDEVP(終値!Y66:AR66)/AVERAGE(終値!Y66:AR66),""))</f>
      </c>
      <c r="W66" s="684">
        <f>IF(終値!A66="","",IFERROR(4*STDEVP(終値!Z66:AS66)/AVERAGE(終値!Z66:AS66),""))</f>
      </c>
      <c r="X66" s="684">
        <f>IF(終値!A66="","",IFERROR(4*STDEVP(終値!AA66:AT66)/AVERAGE(終値!AA66:AT66),""))</f>
      </c>
      <c r="Y66" s="684">
        <f>IF(終値!A66="","",IFERROR(4*STDEVP(終値!AB66:AU66)/AVERAGE(終値!AB66:AU66),""))</f>
      </c>
      <c r="Z66" s="684">
        <f>IF(終値!A66="","",IFERROR(4*STDEVP(終値!AC66:AV66)/AVERAGE(終値!AC66:AV66),""))</f>
      </c>
      <c r="AA66" s="684">
        <f>IF(終値!A66="","",IFERROR(4*STDEVP(終値!AD66:AW66)/AVERAGE(終値!AD66:AW66),""))</f>
      </c>
      <c r="AB66" s="684">
        <f>IF(終値!A66="","",IFERROR(4*STDEVP(終値!AE66:AX66)/AVERAGE(終値!AE66:AX66),""))</f>
      </c>
      <c r="AC66" s="684">
        <f>IF(終値!A66="","",IFERROR(4*STDEVP(終値!AF66:AY66)/AVERAGE(終値!AF66:AY66),""))</f>
      </c>
      <c r="AD66" s="684">
        <f>IF(終値!A66="","",IFERROR(4*STDEVP(終値!AG66:AZ66)/AVERAGE(終値!AG66:AZ66),""))</f>
      </c>
      <c r="AE66" s="684">
        <f>IF(終値!A66="","",IFERROR(4*STDEVP(終値!AH66:BA66)/AVERAGE(終値!AH66:BA66),""))</f>
      </c>
      <c r="AF66" s="684">
        <f>IF(終値!A66="","",IFERROR(4*STDEVP(終値!AI66:BB66)/AVERAGE(終値!AI66:BB66),""))</f>
      </c>
      <c r="AG66" s="684">
        <f>IF(終値!A66="","",IFERROR(4*STDEVP(終値!AJ66:BC66)/AVERAGE(終値!AJ66:BC66),""))</f>
      </c>
      <c r="AH66" s="684">
        <f>IF(終値!A66="","",IFERROR(4*STDEVP(終値!AK66:BD66)/AVERAGE(終値!AK66:BD66),""))</f>
      </c>
      <c r="AI66" s="684">
        <f>IF(終値!A66="","",IFERROR(4*STDEVP(終値!AL66:BE66)/AVERAGE(終値!AL66:BE66),""))</f>
      </c>
      <c r="AJ66" s="684">
        <f>IF(終値!A66="","",IFERROR(4*STDEVP(終値!AM66:BF66)/AVERAGE(終値!AM66:BF66),""))</f>
      </c>
      <c r="AK66" s="684">
        <f>IF(終値!A66="","",IFERROR(4*STDEVP(終値!AN66:BG66)/AVERAGE(終値!AN66:BG66),""))</f>
      </c>
      <c r="AL66" s="684">
        <f>IF(終値!A66="","",IFERROR(4*STDEVP(終値!AO66:BH66)/AVERAGE(終値!AO66:BH66),""))</f>
      </c>
      <c r="AM66" s="684">
        <f>IF(終値!A66="","",IFERROR(4*STDEVP(終値!AP66:BI66)/AVERAGE(終値!AP66:BI66),""))</f>
      </c>
      <c r="AN66" s="684">
        <f>IF(終値!A66="","",IFERROR(4*STDEVP(終値!AQ66:BJ66)/AVERAGE(終値!AQ66:BJ66),""))</f>
      </c>
      <c r="AO66" s="684">
        <f>IF(終値!A66="","",IFERROR(4*STDEVP(終値!AR66:BK66)/AVERAGE(終値!AR66:BK66),""))</f>
      </c>
      <c r="AP66" s="684">
        <f>IF(終値!A66="","",IFERROR(4*STDEVP(終値!AS66:BL66)/AVERAGE(終値!AS66:BL66),""))</f>
      </c>
    </row>
    <row r="67">
      <c r="A67" s="681">
        <f>IF(終値!A67="","",終値!A67)</f>
      </c>
      <c r="B67" s="684">
        <f>IF(終値!A67="","",IFERROR(4*STDEVP(終値!E67:X67)/AVERAGE(終値!E67:X67),""))</f>
      </c>
      <c r="C67" s="684">
        <f>IF(終値!A67="","",IFERROR(4*STDEVP(終値!F67:Y67)/AVERAGE(終値!F67:Y67),""))</f>
      </c>
      <c r="D67" s="684">
        <f>IF(終値!A67="","",IFERROR(4*STDEVP(終値!G67:Z67)/AVERAGE(終値!G67:Z67),""))</f>
      </c>
      <c r="E67" s="684">
        <f>IF(終値!A67="","",IFERROR(4*STDEVP(終値!H67:AA67)/AVERAGE(終値!H67:AA67),""))</f>
      </c>
      <c r="F67" s="684">
        <f>IF(終値!A67="","",IFERROR(4*STDEVP(終値!I67:AB67)/AVERAGE(終値!I67:AB67),""))</f>
      </c>
      <c r="G67" s="684">
        <f>IF(終値!A67="","",IFERROR(4*STDEVP(終値!J67:AC67)/AVERAGE(終値!J67:AC67),""))</f>
      </c>
      <c r="H67" s="684">
        <f>IF(終値!A67="","",IFERROR(4*STDEVP(終値!K67:AD67)/AVERAGE(終値!K67:AD67),""))</f>
      </c>
      <c r="I67" s="684">
        <f>IF(終値!A67="","",IFERROR(4*STDEVP(終値!L67:AE67)/AVERAGE(終値!L67:AE67),""))</f>
      </c>
      <c r="J67" s="684">
        <f>IF(終値!A67="","",IFERROR(4*STDEVP(終値!M67:AF67)/AVERAGE(終値!M67:AF67),""))</f>
      </c>
      <c r="K67" s="684">
        <f>IF(終値!A67="","",IFERROR(4*STDEVP(終値!N67:AG67)/AVERAGE(終値!N67:AG67),""))</f>
      </c>
      <c r="L67" s="684">
        <f>IF(終値!A67="","",IFERROR(4*STDEVP(終値!O67:AH67)/AVERAGE(終値!O67:AH67),""))</f>
      </c>
      <c r="M67" s="684">
        <f>IF(終値!A67="","",IFERROR(4*STDEVP(終値!P67:AI67)/AVERAGE(終値!P67:AI67),""))</f>
      </c>
      <c r="N67" s="684">
        <f>IF(終値!A67="","",IFERROR(4*STDEVP(終値!Q67:AJ67)/AVERAGE(終値!Q67:AJ67),""))</f>
      </c>
      <c r="O67" s="684">
        <f>IF(終値!A67="","",IFERROR(4*STDEVP(終値!R67:AK67)/AVERAGE(終値!R67:AK67),""))</f>
      </c>
      <c r="P67" s="684">
        <f>IF(終値!A67="","",IFERROR(4*STDEVP(終値!S67:AL67)/AVERAGE(終値!S67:AL67),""))</f>
      </c>
      <c r="Q67" s="684">
        <f>IF(終値!A67="","",IFERROR(4*STDEVP(終値!T67:AM67)/AVERAGE(終値!T67:AM67),""))</f>
      </c>
      <c r="R67" s="684">
        <f>IF(終値!A67="","",IFERROR(4*STDEVP(終値!U67:AN67)/AVERAGE(終値!U67:AN67),""))</f>
      </c>
      <c r="S67" s="684">
        <f>IF(終値!A67="","",IFERROR(4*STDEVP(終値!V67:AO67)/AVERAGE(終値!V67:AO67),""))</f>
      </c>
      <c r="T67" s="684">
        <f>IF(終値!A67="","",IFERROR(4*STDEVP(終値!W67:AP67)/AVERAGE(終値!W67:AP67),""))</f>
      </c>
      <c r="U67" s="684">
        <f>IF(終値!A67="","",IFERROR(4*STDEVP(終値!X67:AQ67)/AVERAGE(終値!X67:AQ67),""))</f>
      </c>
      <c r="V67" s="684">
        <f>IF(終値!A67="","",IFERROR(4*STDEVP(終値!Y67:AR67)/AVERAGE(終値!Y67:AR67),""))</f>
      </c>
      <c r="W67" s="684">
        <f>IF(終値!A67="","",IFERROR(4*STDEVP(終値!Z67:AS67)/AVERAGE(終値!Z67:AS67),""))</f>
      </c>
      <c r="X67" s="684">
        <f>IF(終値!A67="","",IFERROR(4*STDEVP(終値!AA67:AT67)/AVERAGE(終値!AA67:AT67),""))</f>
      </c>
      <c r="Y67" s="684">
        <f>IF(終値!A67="","",IFERROR(4*STDEVP(終値!AB67:AU67)/AVERAGE(終値!AB67:AU67),""))</f>
      </c>
      <c r="Z67" s="684">
        <f>IF(終値!A67="","",IFERROR(4*STDEVP(終値!AC67:AV67)/AVERAGE(終値!AC67:AV67),""))</f>
      </c>
      <c r="AA67" s="684">
        <f>IF(終値!A67="","",IFERROR(4*STDEVP(終値!AD67:AW67)/AVERAGE(終値!AD67:AW67),""))</f>
      </c>
      <c r="AB67" s="684">
        <f>IF(終値!A67="","",IFERROR(4*STDEVP(終値!AE67:AX67)/AVERAGE(終値!AE67:AX67),""))</f>
      </c>
      <c r="AC67" s="684">
        <f>IF(終値!A67="","",IFERROR(4*STDEVP(終値!AF67:AY67)/AVERAGE(終値!AF67:AY67),""))</f>
      </c>
      <c r="AD67" s="684">
        <f>IF(終値!A67="","",IFERROR(4*STDEVP(終値!AG67:AZ67)/AVERAGE(終値!AG67:AZ67),""))</f>
      </c>
      <c r="AE67" s="684">
        <f>IF(終値!A67="","",IFERROR(4*STDEVP(終値!AH67:BA67)/AVERAGE(終値!AH67:BA67),""))</f>
      </c>
      <c r="AF67" s="684">
        <f>IF(終値!A67="","",IFERROR(4*STDEVP(終値!AI67:BB67)/AVERAGE(終値!AI67:BB67),""))</f>
      </c>
      <c r="AG67" s="684">
        <f>IF(終値!A67="","",IFERROR(4*STDEVP(終値!AJ67:BC67)/AVERAGE(終値!AJ67:BC67),""))</f>
      </c>
      <c r="AH67" s="684">
        <f>IF(終値!A67="","",IFERROR(4*STDEVP(終値!AK67:BD67)/AVERAGE(終値!AK67:BD67),""))</f>
      </c>
      <c r="AI67" s="684">
        <f>IF(終値!A67="","",IFERROR(4*STDEVP(終値!AL67:BE67)/AVERAGE(終値!AL67:BE67),""))</f>
      </c>
      <c r="AJ67" s="684">
        <f>IF(終値!A67="","",IFERROR(4*STDEVP(終値!AM67:BF67)/AVERAGE(終値!AM67:BF67),""))</f>
      </c>
      <c r="AK67" s="684">
        <f>IF(終値!A67="","",IFERROR(4*STDEVP(終値!AN67:BG67)/AVERAGE(終値!AN67:BG67),""))</f>
      </c>
      <c r="AL67" s="684">
        <f>IF(終値!A67="","",IFERROR(4*STDEVP(終値!AO67:BH67)/AVERAGE(終値!AO67:BH67),""))</f>
      </c>
      <c r="AM67" s="684">
        <f>IF(終値!A67="","",IFERROR(4*STDEVP(終値!AP67:BI67)/AVERAGE(終値!AP67:BI67),""))</f>
      </c>
      <c r="AN67" s="684">
        <f>IF(終値!A67="","",IFERROR(4*STDEVP(終値!AQ67:BJ67)/AVERAGE(終値!AQ67:BJ67),""))</f>
      </c>
      <c r="AO67" s="684">
        <f>IF(終値!A67="","",IFERROR(4*STDEVP(終値!AR67:BK67)/AVERAGE(終値!AR67:BK67),""))</f>
      </c>
      <c r="AP67" s="684">
        <f>IF(終値!A67="","",IFERROR(4*STDEVP(終値!AS67:BL67)/AVERAGE(終値!AS67:BL67),""))</f>
      </c>
    </row>
    <row r="68">
      <c r="A68" s="681">
        <f>IF(終値!A68="","",終値!A68)</f>
      </c>
      <c r="B68" s="684">
        <f>IF(終値!A68="","",IFERROR(4*STDEVP(終値!E68:X68)/AVERAGE(終値!E68:X68),""))</f>
      </c>
      <c r="C68" s="684">
        <f>IF(終値!A68="","",IFERROR(4*STDEVP(終値!F68:Y68)/AVERAGE(終値!F68:Y68),""))</f>
      </c>
      <c r="D68" s="684">
        <f>IF(終値!A68="","",IFERROR(4*STDEVP(終値!G68:Z68)/AVERAGE(終値!G68:Z68),""))</f>
      </c>
      <c r="E68" s="684">
        <f>IF(終値!A68="","",IFERROR(4*STDEVP(終値!H68:AA68)/AVERAGE(終値!H68:AA68),""))</f>
      </c>
      <c r="F68" s="684">
        <f>IF(終値!A68="","",IFERROR(4*STDEVP(終値!I68:AB68)/AVERAGE(終値!I68:AB68),""))</f>
      </c>
      <c r="G68" s="684">
        <f>IF(終値!A68="","",IFERROR(4*STDEVP(終値!J68:AC68)/AVERAGE(終値!J68:AC68),""))</f>
      </c>
      <c r="H68" s="684">
        <f>IF(終値!A68="","",IFERROR(4*STDEVP(終値!K68:AD68)/AVERAGE(終値!K68:AD68),""))</f>
      </c>
      <c r="I68" s="684">
        <f>IF(終値!A68="","",IFERROR(4*STDEVP(終値!L68:AE68)/AVERAGE(終値!L68:AE68),""))</f>
      </c>
      <c r="J68" s="684">
        <f>IF(終値!A68="","",IFERROR(4*STDEVP(終値!M68:AF68)/AVERAGE(終値!M68:AF68),""))</f>
      </c>
      <c r="K68" s="684">
        <f>IF(終値!A68="","",IFERROR(4*STDEVP(終値!N68:AG68)/AVERAGE(終値!N68:AG68),""))</f>
      </c>
      <c r="L68" s="684">
        <f>IF(終値!A68="","",IFERROR(4*STDEVP(終値!O68:AH68)/AVERAGE(終値!O68:AH68),""))</f>
      </c>
      <c r="M68" s="684">
        <f>IF(終値!A68="","",IFERROR(4*STDEVP(終値!P68:AI68)/AVERAGE(終値!P68:AI68),""))</f>
      </c>
      <c r="N68" s="684">
        <f>IF(終値!A68="","",IFERROR(4*STDEVP(終値!Q68:AJ68)/AVERAGE(終値!Q68:AJ68),""))</f>
      </c>
      <c r="O68" s="684">
        <f>IF(終値!A68="","",IFERROR(4*STDEVP(終値!R68:AK68)/AVERAGE(終値!R68:AK68),""))</f>
      </c>
      <c r="P68" s="684">
        <f>IF(終値!A68="","",IFERROR(4*STDEVP(終値!S68:AL68)/AVERAGE(終値!S68:AL68),""))</f>
      </c>
      <c r="Q68" s="684">
        <f>IF(終値!A68="","",IFERROR(4*STDEVP(終値!T68:AM68)/AVERAGE(終値!T68:AM68),""))</f>
      </c>
      <c r="R68" s="684">
        <f>IF(終値!A68="","",IFERROR(4*STDEVP(終値!U68:AN68)/AVERAGE(終値!U68:AN68),""))</f>
      </c>
      <c r="S68" s="684">
        <f>IF(終値!A68="","",IFERROR(4*STDEVP(終値!V68:AO68)/AVERAGE(終値!V68:AO68),""))</f>
      </c>
      <c r="T68" s="684">
        <f>IF(終値!A68="","",IFERROR(4*STDEVP(終値!W68:AP68)/AVERAGE(終値!W68:AP68),""))</f>
      </c>
      <c r="U68" s="684">
        <f>IF(終値!A68="","",IFERROR(4*STDEVP(終値!X68:AQ68)/AVERAGE(終値!X68:AQ68),""))</f>
      </c>
      <c r="V68" s="684">
        <f>IF(終値!A68="","",IFERROR(4*STDEVP(終値!Y68:AR68)/AVERAGE(終値!Y68:AR68),""))</f>
      </c>
      <c r="W68" s="684">
        <f>IF(終値!A68="","",IFERROR(4*STDEVP(終値!Z68:AS68)/AVERAGE(終値!Z68:AS68),""))</f>
      </c>
      <c r="X68" s="684">
        <f>IF(終値!A68="","",IFERROR(4*STDEVP(終値!AA68:AT68)/AVERAGE(終値!AA68:AT68),""))</f>
      </c>
      <c r="Y68" s="684">
        <f>IF(終値!A68="","",IFERROR(4*STDEVP(終値!AB68:AU68)/AVERAGE(終値!AB68:AU68),""))</f>
      </c>
      <c r="Z68" s="684">
        <f>IF(終値!A68="","",IFERROR(4*STDEVP(終値!AC68:AV68)/AVERAGE(終値!AC68:AV68),""))</f>
      </c>
      <c r="AA68" s="684">
        <f>IF(終値!A68="","",IFERROR(4*STDEVP(終値!AD68:AW68)/AVERAGE(終値!AD68:AW68),""))</f>
      </c>
      <c r="AB68" s="684">
        <f>IF(終値!A68="","",IFERROR(4*STDEVP(終値!AE68:AX68)/AVERAGE(終値!AE68:AX68),""))</f>
      </c>
      <c r="AC68" s="684">
        <f>IF(終値!A68="","",IFERROR(4*STDEVP(終値!AF68:AY68)/AVERAGE(終値!AF68:AY68),""))</f>
      </c>
      <c r="AD68" s="684">
        <f>IF(終値!A68="","",IFERROR(4*STDEVP(終値!AG68:AZ68)/AVERAGE(終値!AG68:AZ68),""))</f>
      </c>
      <c r="AE68" s="684">
        <f>IF(終値!A68="","",IFERROR(4*STDEVP(終値!AH68:BA68)/AVERAGE(終値!AH68:BA68),""))</f>
      </c>
      <c r="AF68" s="684">
        <f>IF(終値!A68="","",IFERROR(4*STDEVP(終値!AI68:BB68)/AVERAGE(終値!AI68:BB68),""))</f>
      </c>
      <c r="AG68" s="684">
        <f>IF(終値!A68="","",IFERROR(4*STDEVP(終値!AJ68:BC68)/AVERAGE(終値!AJ68:BC68),""))</f>
      </c>
      <c r="AH68" s="684">
        <f>IF(終値!A68="","",IFERROR(4*STDEVP(終値!AK68:BD68)/AVERAGE(終値!AK68:BD68),""))</f>
      </c>
      <c r="AI68" s="684">
        <f>IF(終値!A68="","",IFERROR(4*STDEVP(終値!AL68:BE68)/AVERAGE(終値!AL68:BE68),""))</f>
      </c>
      <c r="AJ68" s="684">
        <f>IF(終値!A68="","",IFERROR(4*STDEVP(終値!AM68:BF68)/AVERAGE(終値!AM68:BF68),""))</f>
      </c>
      <c r="AK68" s="684">
        <f>IF(終値!A68="","",IFERROR(4*STDEVP(終値!AN68:BG68)/AVERAGE(終値!AN68:BG68),""))</f>
      </c>
      <c r="AL68" s="684">
        <f>IF(終値!A68="","",IFERROR(4*STDEVP(終値!AO68:BH68)/AVERAGE(終値!AO68:BH68),""))</f>
      </c>
      <c r="AM68" s="684">
        <f>IF(終値!A68="","",IFERROR(4*STDEVP(終値!AP68:BI68)/AVERAGE(終値!AP68:BI68),""))</f>
      </c>
      <c r="AN68" s="684">
        <f>IF(終値!A68="","",IFERROR(4*STDEVP(終値!AQ68:BJ68)/AVERAGE(終値!AQ68:BJ68),""))</f>
      </c>
      <c r="AO68" s="684">
        <f>IF(終値!A68="","",IFERROR(4*STDEVP(終値!AR68:BK68)/AVERAGE(終値!AR68:BK68),""))</f>
      </c>
      <c r="AP68" s="684">
        <f>IF(終値!A68="","",IFERROR(4*STDEVP(終値!AS68:BL68)/AVERAGE(終値!AS68:BL68),""))</f>
      </c>
    </row>
    <row r="69">
      <c r="A69" s="681">
        <f>IF(終値!A69="","",終値!A69)</f>
      </c>
      <c r="B69" s="684">
        <f>IF(終値!A69="","",IFERROR(4*STDEVP(終値!E69:X69)/AVERAGE(終値!E69:X69),""))</f>
      </c>
      <c r="C69" s="684">
        <f>IF(終値!A69="","",IFERROR(4*STDEVP(終値!F69:Y69)/AVERAGE(終値!F69:Y69),""))</f>
      </c>
      <c r="D69" s="684">
        <f>IF(終値!A69="","",IFERROR(4*STDEVP(終値!G69:Z69)/AVERAGE(終値!G69:Z69),""))</f>
      </c>
      <c r="E69" s="684">
        <f>IF(終値!A69="","",IFERROR(4*STDEVP(終値!H69:AA69)/AVERAGE(終値!H69:AA69),""))</f>
      </c>
      <c r="F69" s="684">
        <f>IF(終値!A69="","",IFERROR(4*STDEVP(終値!I69:AB69)/AVERAGE(終値!I69:AB69),""))</f>
      </c>
      <c r="G69" s="684">
        <f>IF(終値!A69="","",IFERROR(4*STDEVP(終値!J69:AC69)/AVERAGE(終値!J69:AC69),""))</f>
      </c>
      <c r="H69" s="684">
        <f>IF(終値!A69="","",IFERROR(4*STDEVP(終値!K69:AD69)/AVERAGE(終値!K69:AD69),""))</f>
      </c>
      <c r="I69" s="684">
        <f>IF(終値!A69="","",IFERROR(4*STDEVP(終値!L69:AE69)/AVERAGE(終値!L69:AE69),""))</f>
      </c>
      <c r="J69" s="684">
        <f>IF(終値!A69="","",IFERROR(4*STDEVP(終値!M69:AF69)/AVERAGE(終値!M69:AF69),""))</f>
      </c>
      <c r="K69" s="684">
        <f>IF(終値!A69="","",IFERROR(4*STDEVP(終値!N69:AG69)/AVERAGE(終値!N69:AG69),""))</f>
      </c>
      <c r="L69" s="684">
        <f>IF(終値!A69="","",IFERROR(4*STDEVP(終値!O69:AH69)/AVERAGE(終値!O69:AH69),""))</f>
      </c>
      <c r="M69" s="684">
        <f>IF(終値!A69="","",IFERROR(4*STDEVP(終値!P69:AI69)/AVERAGE(終値!P69:AI69),""))</f>
      </c>
      <c r="N69" s="684">
        <f>IF(終値!A69="","",IFERROR(4*STDEVP(終値!Q69:AJ69)/AVERAGE(終値!Q69:AJ69),""))</f>
      </c>
      <c r="O69" s="684">
        <f>IF(終値!A69="","",IFERROR(4*STDEVP(終値!R69:AK69)/AVERAGE(終値!R69:AK69),""))</f>
      </c>
      <c r="P69" s="684">
        <f>IF(終値!A69="","",IFERROR(4*STDEVP(終値!S69:AL69)/AVERAGE(終値!S69:AL69),""))</f>
      </c>
      <c r="Q69" s="684">
        <f>IF(終値!A69="","",IFERROR(4*STDEVP(終値!T69:AM69)/AVERAGE(終値!T69:AM69),""))</f>
      </c>
      <c r="R69" s="684">
        <f>IF(終値!A69="","",IFERROR(4*STDEVP(終値!U69:AN69)/AVERAGE(終値!U69:AN69),""))</f>
      </c>
      <c r="S69" s="684">
        <f>IF(終値!A69="","",IFERROR(4*STDEVP(終値!V69:AO69)/AVERAGE(終値!V69:AO69),""))</f>
      </c>
      <c r="T69" s="684">
        <f>IF(終値!A69="","",IFERROR(4*STDEVP(終値!W69:AP69)/AVERAGE(終値!W69:AP69),""))</f>
      </c>
      <c r="U69" s="684">
        <f>IF(終値!A69="","",IFERROR(4*STDEVP(終値!X69:AQ69)/AVERAGE(終値!X69:AQ69),""))</f>
      </c>
      <c r="V69" s="684">
        <f>IF(終値!A69="","",IFERROR(4*STDEVP(終値!Y69:AR69)/AVERAGE(終値!Y69:AR69),""))</f>
      </c>
      <c r="W69" s="684">
        <f>IF(終値!A69="","",IFERROR(4*STDEVP(終値!Z69:AS69)/AVERAGE(終値!Z69:AS69),""))</f>
      </c>
      <c r="X69" s="684">
        <f>IF(終値!A69="","",IFERROR(4*STDEVP(終値!AA69:AT69)/AVERAGE(終値!AA69:AT69),""))</f>
      </c>
      <c r="Y69" s="684">
        <f>IF(終値!A69="","",IFERROR(4*STDEVP(終値!AB69:AU69)/AVERAGE(終値!AB69:AU69),""))</f>
      </c>
      <c r="Z69" s="684">
        <f>IF(終値!A69="","",IFERROR(4*STDEVP(終値!AC69:AV69)/AVERAGE(終値!AC69:AV69),""))</f>
      </c>
      <c r="AA69" s="684">
        <f>IF(終値!A69="","",IFERROR(4*STDEVP(終値!AD69:AW69)/AVERAGE(終値!AD69:AW69),""))</f>
      </c>
      <c r="AB69" s="684">
        <f>IF(終値!A69="","",IFERROR(4*STDEVP(終値!AE69:AX69)/AVERAGE(終値!AE69:AX69),""))</f>
      </c>
      <c r="AC69" s="684">
        <f>IF(終値!A69="","",IFERROR(4*STDEVP(終値!AF69:AY69)/AVERAGE(終値!AF69:AY69),""))</f>
      </c>
      <c r="AD69" s="684">
        <f>IF(終値!A69="","",IFERROR(4*STDEVP(終値!AG69:AZ69)/AVERAGE(終値!AG69:AZ69),""))</f>
      </c>
      <c r="AE69" s="684">
        <f>IF(終値!A69="","",IFERROR(4*STDEVP(終値!AH69:BA69)/AVERAGE(終値!AH69:BA69),""))</f>
      </c>
      <c r="AF69" s="684">
        <f>IF(終値!A69="","",IFERROR(4*STDEVP(終値!AI69:BB69)/AVERAGE(終値!AI69:BB69),""))</f>
      </c>
      <c r="AG69" s="684">
        <f>IF(終値!A69="","",IFERROR(4*STDEVP(終値!AJ69:BC69)/AVERAGE(終値!AJ69:BC69),""))</f>
      </c>
      <c r="AH69" s="684">
        <f>IF(終値!A69="","",IFERROR(4*STDEVP(終値!AK69:BD69)/AVERAGE(終値!AK69:BD69),""))</f>
      </c>
      <c r="AI69" s="684">
        <f>IF(終値!A69="","",IFERROR(4*STDEVP(終値!AL69:BE69)/AVERAGE(終値!AL69:BE69),""))</f>
      </c>
      <c r="AJ69" s="684">
        <f>IF(終値!A69="","",IFERROR(4*STDEVP(終値!AM69:BF69)/AVERAGE(終値!AM69:BF69),""))</f>
      </c>
      <c r="AK69" s="684">
        <f>IF(終値!A69="","",IFERROR(4*STDEVP(終値!AN69:BG69)/AVERAGE(終値!AN69:BG69),""))</f>
      </c>
      <c r="AL69" s="684">
        <f>IF(終値!A69="","",IFERROR(4*STDEVP(終値!AO69:BH69)/AVERAGE(終値!AO69:BH69),""))</f>
      </c>
      <c r="AM69" s="684">
        <f>IF(終値!A69="","",IFERROR(4*STDEVP(終値!AP69:BI69)/AVERAGE(終値!AP69:BI69),""))</f>
      </c>
      <c r="AN69" s="684">
        <f>IF(終値!A69="","",IFERROR(4*STDEVP(終値!AQ69:BJ69)/AVERAGE(終値!AQ69:BJ69),""))</f>
      </c>
      <c r="AO69" s="684">
        <f>IF(終値!A69="","",IFERROR(4*STDEVP(終値!AR69:BK69)/AVERAGE(終値!AR69:BK69),""))</f>
      </c>
      <c r="AP69" s="684">
        <f>IF(終値!A69="","",IFERROR(4*STDEVP(終値!AS69:BL69)/AVERAGE(終値!AS69:BL69),""))</f>
      </c>
    </row>
    <row r="70">
      <c r="A70" s="681">
        <f>IF(終値!A70="","",終値!A70)</f>
      </c>
      <c r="B70" s="684">
        <f>IF(終値!A70="","",IFERROR(4*STDEVP(終値!E70:X70)/AVERAGE(終値!E70:X70),""))</f>
      </c>
      <c r="C70" s="684">
        <f>IF(終値!A70="","",IFERROR(4*STDEVP(終値!F70:Y70)/AVERAGE(終値!F70:Y70),""))</f>
      </c>
      <c r="D70" s="684">
        <f>IF(終値!A70="","",IFERROR(4*STDEVP(終値!G70:Z70)/AVERAGE(終値!G70:Z70),""))</f>
      </c>
      <c r="E70" s="684">
        <f>IF(終値!A70="","",IFERROR(4*STDEVP(終値!H70:AA70)/AVERAGE(終値!H70:AA70),""))</f>
      </c>
      <c r="F70" s="684">
        <f>IF(終値!A70="","",IFERROR(4*STDEVP(終値!I70:AB70)/AVERAGE(終値!I70:AB70),""))</f>
      </c>
      <c r="G70" s="684">
        <f>IF(終値!A70="","",IFERROR(4*STDEVP(終値!J70:AC70)/AVERAGE(終値!J70:AC70),""))</f>
      </c>
      <c r="H70" s="684">
        <f>IF(終値!A70="","",IFERROR(4*STDEVP(終値!K70:AD70)/AVERAGE(終値!K70:AD70),""))</f>
      </c>
      <c r="I70" s="684">
        <f>IF(終値!A70="","",IFERROR(4*STDEVP(終値!L70:AE70)/AVERAGE(終値!L70:AE70),""))</f>
      </c>
      <c r="J70" s="684">
        <f>IF(終値!A70="","",IFERROR(4*STDEVP(終値!M70:AF70)/AVERAGE(終値!M70:AF70),""))</f>
      </c>
      <c r="K70" s="684">
        <f>IF(終値!A70="","",IFERROR(4*STDEVP(終値!N70:AG70)/AVERAGE(終値!N70:AG70),""))</f>
      </c>
      <c r="L70" s="684">
        <f>IF(終値!A70="","",IFERROR(4*STDEVP(終値!O70:AH70)/AVERAGE(終値!O70:AH70),""))</f>
      </c>
      <c r="M70" s="684">
        <f>IF(終値!A70="","",IFERROR(4*STDEVP(終値!P70:AI70)/AVERAGE(終値!P70:AI70),""))</f>
      </c>
      <c r="N70" s="684">
        <f>IF(終値!A70="","",IFERROR(4*STDEVP(終値!Q70:AJ70)/AVERAGE(終値!Q70:AJ70),""))</f>
      </c>
      <c r="O70" s="684">
        <f>IF(終値!A70="","",IFERROR(4*STDEVP(終値!R70:AK70)/AVERAGE(終値!R70:AK70),""))</f>
      </c>
      <c r="P70" s="684">
        <f>IF(終値!A70="","",IFERROR(4*STDEVP(終値!S70:AL70)/AVERAGE(終値!S70:AL70),""))</f>
      </c>
      <c r="Q70" s="684">
        <f>IF(終値!A70="","",IFERROR(4*STDEVP(終値!T70:AM70)/AVERAGE(終値!T70:AM70),""))</f>
      </c>
      <c r="R70" s="684">
        <f>IF(終値!A70="","",IFERROR(4*STDEVP(終値!U70:AN70)/AVERAGE(終値!U70:AN70),""))</f>
      </c>
      <c r="S70" s="684">
        <f>IF(終値!A70="","",IFERROR(4*STDEVP(終値!V70:AO70)/AVERAGE(終値!V70:AO70),""))</f>
      </c>
      <c r="T70" s="684">
        <f>IF(終値!A70="","",IFERROR(4*STDEVP(終値!W70:AP70)/AVERAGE(終値!W70:AP70),""))</f>
      </c>
      <c r="U70" s="684">
        <f>IF(終値!A70="","",IFERROR(4*STDEVP(終値!X70:AQ70)/AVERAGE(終値!X70:AQ70),""))</f>
      </c>
      <c r="V70" s="684">
        <f>IF(終値!A70="","",IFERROR(4*STDEVP(終値!Y70:AR70)/AVERAGE(終値!Y70:AR70),""))</f>
      </c>
      <c r="W70" s="684">
        <f>IF(終値!A70="","",IFERROR(4*STDEVP(終値!Z70:AS70)/AVERAGE(終値!Z70:AS70),""))</f>
      </c>
      <c r="X70" s="684">
        <f>IF(終値!A70="","",IFERROR(4*STDEVP(終値!AA70:AT70)/AVERAGE(終値!AA70:AT70),""))</f>
      </c>
      <c r="Y70" s="684">
        <f>IF(終値!A70="","",IFERROR(4*STDEVP(終値!AB70:AU70)/AVERAGE(終値!AB70:AU70),""))</f>
      </c>
      <c r="Z70" s="684">
        <f>IF(終値!A70="","",IFERROR(4*STDEVP(終値!AC70:AV70)/AVERAGE(終値!AC70:AV70),""))</f>
      </c>
      <c r="AA70" s="684">
        <f>IF(終値!A70="","",IFERROR(4*STDEVP(終値!AD70:AW70)/AVERAGE(終値!AD70:AW70),""))</f>
      </c>
      <c r="AB70" s="684">
        <f>IF(終値!A70="","",IFERROR(4*STDEVP(終値!AE70:AX70)/AVERAGE(終値!AE70:AX70),""))</f>
      </c>
      <c r="AC70" s="684">
        <f>IF(終値!A70="","",IFERROR(4*STDEVP(終値!AF70:AY70)/AVERAGE(終値!AF70:AY70),""))</f>
      </c>
      <c r="AD70" s="684">
        <f>IF(終値!A70="","",IFERROR(4*STDEVP(終値!AG70:AZ70)/AVERAGE(終値!AG70:AZ70),""))</f>
      </c>
      <c r="AE70" s="684">
        <f>IF(終値!A70="","",IFERROR(4*STDEVP(終値!AH70:BA70)/AVERAGE(終値!AH70:BA70),""))</f>
      </c>
      <c r="AF70" s="684">
        <f>IF(終値!A70="","",IFERROR(4*STDEVP(終値!AI70:BB70)/AVERAGE(終値!AI70:BB70),""))</f>
      </c>
      <c r="AG70" s="684">
        <f>IF(終値!A70="","",IFERROR(4*STDEVP(終値!AJ70:BC70)/AVERAGE(終値!AJ70:BC70),""))</f>
      </c>
      <c r="AH70" s="684">
        <f>IF(終値!A70="","",IFERROR(4*STDEVP(終値!AK70:BD70)/AVERAGE(終値!AK70:BD70),""))</f>
      </c>
      <c r="AI70" s="684">
        <f>IF(終値!A70="","",IFERROR(4*STDEVP(終値!AL70:BE70)/AVERAGE(終値!AL70:BE70),""))</f>
      </c>
      <c r="AJ70" s="684">
        <f>IF(終値!A70="","",IFERROR(4*STDEVP(終値!AM70:BF70)/AVERAGE(終値!AM70:BF70),""))</f>
      </c>
      <c r="AK70" s="684">
        <f>IF(終値!A70="","",IFERROR(4*STDEVP(終値!AN70:BG70)/AVERAGE(終値!AN70:BG70),""))</f>
      </c>
      <c r="AL70" s="684">
        <f>IF(終値!A70="","",IFERROR(4*STDEVP(終値!AO70:BH70)/AVERAGE(終値!AO70:BH70),""))</f>
      </c>
      <c r="AM70" s="684">
        <f>IF(終値!A70="","",IFERROR(4*STDEVP(終値!AP70:BI70)/AVERAGE(終値!AP70:BI70),""))</f>
      </c>
      <c r="AN70" s="684">
        <f>IF(終値!A70="","",IFERROR(4*STDEVP(終値!AQ70:BJ70)/AVERAGE(終値!AQ70:BJ70),""))</f>
      </c>
      <c r="AO70" s="684">
        <f>IF(終値!A70="","",IFERROR(4*STDEVP(終値!AR70:BK70)/AVERAGE(終値!AR70:BK70),""))</f>
      </c>
      <c r="AP70" s="684">
        <f>IF(終値!A70="","",IFERROR(4*STDEVP(終値!AS70:BL70)/AVERAGE(終値!AS70:BL70),""))</f>
      </c>
    </row>
    <row r="71">
      <c r="A71" s="681">
        <f>IF(終値!A71="","",終値!A71)</f>
      </c>
      <c r="B71" s="684">
        <f>IF(終値!A71="","",IFERROR(4*STDEVP(終値!E71:X71)/AVERAGE(終値!E71:X71),""))</f>
      </c>
      <c r="C71" s="684">
        <f>IF(終値!A71="","",IFERROR(4*STDEVP(終値!F71:Y71)/AVERAGE(終値!F71:Y71),""))</f>
      </c>
      <c r="D71" s="684">
        <f>IF(終値!A71="","",IFERROR(4*STDEVP(終値!G71:Z71)/AVERAGE(終値!G71:Z71),""))</f>
      </c>
      <c r="E71" s="684">
        <f>IF(終値!A71="","",IFERROR(4*STDEVP(終値!H71:AA71)/AVERAGE(終値!H71:AA71),""))</f>
      </c>
      <c r="F71" s="684">
        <f>IF(終値!A71="","",IFERROR(4*STDEVP(終値!I71:AB71)/AVERAGE(終値!I71:AB71),""))</f>
      </c>
      <c r="G71" s="684">
        <f>IF(終値!A71="","",IFERROR(4*STDEVP(終値!J71:AC71)/AVERAGE(終値!J71:AC71),""))</f>
      </c>
      <c r="H71" s="684">
        <f>IF(終値!A71="","",IFERROR(4*STDEVP(終値!K71:AD71)/AVERAGE(終値!K71:AD71),""))</f>
      </c>
      <c r="I71" s="684">
        <f>IF(終値!A71="","",IFERROR(4*STDEVP(終値!L71:AE71)/AVERAGE(終値!L71:AE71),""))</f>
      </c>
      <c r="J71" s="684">
        <f>IF(終値!A71="","",IFERROR(4*STDEVP(終値!M71:AF71)/AVERAGE(終値!M71:AF71),""))</f>
      </c>
      <c r="K71" s="684">
        <f>IF(終値!A71="","",IFERROR(4*STDEVP(終値!N71:AG71)/AVERAGE(終値!N71:AG71),""))</f>
      </c>
      <c r="L71" s="684">
        <f>IF(終値!A71="","",IFERROR(4*STDEVP(終値!O71:AH71)/AVERAGE(終値!O71:AH71),""))</f>
      </c>
      <c r="M71" s="684">
        <f>IF(終値!A71="","",IFERROR(4*STDEVP(終値!P71:AI71)/AVERAGE(終値!P71:AI71),""))</f>
      </c>
      <c r="N71" s="684">
        <f>IF(終値!A71="","",IFERROR(4*STDEVP(終値!Q71:AJ71)/AVERAGE(終値!Q71:AJ71),""))</f>
      </c>
      <c r="O71" s="684">
        <f>IF(終値!A71="","",IFERROR(4*STDEVP(終値!R71:AK71)/AVERAGE(終値!R71:AK71),""))</f>
      </c>
      <c r="P71" s="684">
        <f>IF(終値!A71="","",IFERROR(4*STDEVP(終値!S71:AL71)/AVERAGE(終値!S71:AL71),""))</f>
      </c>
      <c r="Q71" s="684">
        <f>IF(終値!A71="","",IFERROR(4*STDEVP(終値!T71:AM71)/AVERAGE(終値!T71:AM71),""))</f>
      </c>
      <c r="R71" s="684">
        <f>IF(終値!A71="","",IFERROR(4*STDEVP(終値!U71:AN71)/AVERAGE(終値!U71:AN71),""))</f>
      </c>
      <c r="S71" s="684">
        <f>IF(終値!A71="","",IFERROR(4*STDEVP(終値!V71:AO71)/AVERAGE(終値!V71:AO71),""))</f>
      </c>
      <c r="T71" s="684">
        <f>IF(終値!A71="","",IFERROR(4*STDEVP(終値!W71:AP71)/AVERAGE(終値!W71:AP71),""))</f>
      </c>
      <c r="U71" s="684">
        <f>IF(終値!A71="","",IFERROR(4*STDEVP(終値!X71:AQ71)/AVERAGE(終値!X71:AQ71),""))</f>
      </c>
      <c r="V71" s="684">
        <f>IF(終値!A71="","",IFERROR(4*STDEVP(終値!Y71:AR71)/AVERAGE(終値!Y71:AR71),""))</f>
      </c>
      <c r="W71" s="684">
        <f>IF(終値!A71="","",IFERROR(4*STDEVP(終値!Z71:AS71)/AVERAGE(終値!Z71:AS71),""))</f>
      </c>
      <c r="X71" s="684">
        <f>IF(終値!A71="","",IFERROR(4*STDEVP(終値!AA71:AT71)/AVERAGE(終値!AA71:AT71),""))</f>
      </c>
      <c r="Y71" s="684">
        <f>IF(終値!A71="","",IFERROR(4*STDEVP(終値!AB71:AU71)/AVERAGE(終値!AB71:AU71),""))</f>
      </c>
      <c r="Z71" s="684">
        <f>IF(終値!A71="","",IFERROR(4*STDEVP(終値!AC71:AV71)/AVERAGE(終値!AC71:AV71),""))</f>
      </c>
      <c r="AA71" s="684">
        <f>IF(終値!A71="","",IFERROR(4*STDEVP(終値!AD71:AW71)/AVERAGE(終値!AD71:AW71),""))</f>
      </c>
      <c r="AB71" s="684">
        <f>IF(終値!A71="","",IFERROR(4*STDEVP(終値!AE71:AX71)/AVERAGE(終値!AE71:AX71),""))</f>
      </c>
      <c r="AC71" s="684">
        <f>IF(終値!A71="","",IFERROR(4*STDEVP(終値!AF71:AY71)/AVERAGE(終値!AF71:AY71),""))</f>
      </c>
      <c r="AD71" s="684">
        <f>IF(終値!A71="","",IFERROR(4*STDEVP(終値!AG71:AZ71)/AVERAGE(終値!AG71:AZ71),""))</f>
      </c>
      <c r="AE71" s="684">
        <f>IF(終値!A71="","",IFERROR(4*STDEVP(終値!AH71:BA71)/AVERAGE(終値!AH71:BA71),""))</f>
      </c>
      <c r="AF71" s="684">
        <f>IF(終値!A71="","",IFERROR(4*STDEVP(終値!AI71:BB71)/AVERAGE(終値!AI71:BB71),""))</f>
      </c>
      <c r="AG71" s="684">
        <f>IF(終値!A71="","",IFERROR(4*STDEVP(終値!AJ71:BC71)/AVERAGE(終値!AJ71:BC71),""))</f>
      </c>
      <c r="AH71" s="684">
        <f>IF(終値!A71="","",IFERROR(4*STDEVP(終値!AK71:BD71)/AVERAGE(終値!AK71:BD71),""))</f>
      </c>
      <c r="AI71" s="684">
        <f>IF(終値!A71="","",IFERROR(4*STDEVP(終値!AL71:BE71)/AVERAGE(終値!AL71:BE71),""))</f>
      </c>
      <c r="AJ71" s="684">
        <f>IF(終値!A71="","",IFERROR(4*STDEVP(終値!AM71:BF71)/AVERAGE(終値!AM71:BF71),""))</f>
      </c>
      <c r="AK71" s="684">
        <f>IF(終値!A71="","",IFERROR(4*STDEVP(終値!AN71:BG71)/AVERAGE(終値!AN71:BG71),""))</f>
      </c>
      <c r="AL71" s="684">
        <f>IF(終値!A71="","",IFERROR(4*STDEVP(終値!AO71:BH71)/AVERAGE(終値!AO71:BH71),""))</f>
      </c>
      <c r="AM71" s="684">
        <f>IF(終値!A71="","",IFERROR(4*STDEVP(終値!AP71:BI71)/AVERAGE(終値!AP71:BI71),""))</f>
      </c>
      <c r="AN71" s="684">
        <f>IF(終値!A71="","",IFERROR(4*STDEVP(終値!AQ71:BJ71)/AVERAGE(終値!AQ71:BJ71),""))</f>
      </c>
      <c r="AO71" s="684">
        <f>IF(終値!A71="","",IFERROR(4*STDEVP(終値!AR71:BK71)/AVERAGE(終値!AR71:BK71),""))</f>
      </c>
      <c r="AP71" s="684">
        <f>IF(終値!A71="","",IFERROR(4*STDEVP(終値!AS71:BL71)/AVERAGE(終値!AS71:BL71),""))</f>
      </c>
    </row>
    <row r="72">
      <c r="A72" s="681">
        <f>IF(終値!A72="","",終値!A72)</f>
      </c>
      <c r="B72" s="684">
        <f>IF(終値!A72="","",IFERROR(4*STDEVP(終値!E72:X72)/AVERAGE(終値!E72:X72),""))</f>
      </c>
      <c r="C72" s="684">
        <f>IF(終値!A72="","",IFERROR(4*STDEVP(終値!F72:Y72)/AVERAGE(終値!F72:Y72),""))</f>
      </c>
      <c r="D72" s="684">
        <f>IF(終値!A72="","",IFERROR(4*STDEVP(終値!G72:Z72)/AVERAGE(終値!G72:Z72),""))</f>
      </c>
      <c r="E72" s="684">
        <f>IF(終値!A72="","",IFERROR(4*STDEVP(終値!H72:AA72)/AVERAGE(終値!H72:AA72),""))</f>
      </c>
      <c r="F72" s="684">
        <f>IF(終値!A72="","",IFERROR(4*STDEVP(終値!I72:AB72)/AVERAGE(終値!I72:AB72),""))</f>
      </c>
      <c r="G72" s="684">
        <f>IF(終値!A72="","",IFERROR(4*STDEVP(終値!J72:AC72)/AVERAGE(終値!J72:AC72),""))</f>
      </c>
      <c r="H72" s="684">
        <f>IF(終値!A72="","",IFERROR(4*STDEVP(終値!K72:AD72)/AVERAGE(終値!K72:AD72),""))</f>
      </c>
      <c r="I72" s="684">
        <f>IF(終値!A72="","",IFERROR(4*STDEVP(終値!L72:AE72)/AVERAGE(終値!L72:AE72),""))</f>
      </c>
      <c r="J72" s="684">
        <f>IF(終値!A72="","",IFERROR(4*STDEVP(終値!M72:AF72)/AVERAGE(終値!M72:AF72),""))</f>
      </c>
      <c r="K72" s="684">
        <f>IF(終値!A72="","",IFERROR(4*STDEVP(終値!N72:AG72)/AVERAGE(終値!N72:AG72),""))</f>
      </c>
      <c r="L72" s="684">
        <f>IF(終値!A72="","",IFERROR(4*STDEVP(終値!O72:AH72)/AVERAGE(終値!O72:AH72),""))</f>
      </c>
      <c r="M72" s="684">
        <f>IF(終値!A72="","",IFERROR(4*STDEVP(終値!P72:AI72)/AVERAGE(終値!P72:AI72),""))</f>
      </c>
      <c r="N72" s="684">
        <f>IF(終値!A72="","",IFERROR(4*STDEVP(終値!Q72:AJ72)/AVERAGE(終値!Q72:AJ72),""))</f>
      </c>
      <c r="O72" s="684">
        <f>IF(終値!A72="","",IFERROR(4*STDEVP(終値!R72:AK72)/AVERAGE(終値!R72:AK72),""))</f>
      </c>
      <c r="P72" s="684">
        <f>IF(終値!A72="","",IFERROR(4*STDEVP(終値!S72:AL72)/AVERAGE(終値!S72:AL72),""))</f>
      </c>
      <c r="Q72" s="684">
        <f>IF(終値!A72="","",IFERROR(4*STDEVP(終値!T72:AM72)/AVERAGE(終値!T72:AM72),""))</f>
      </c>
      <c r="R72" s="684">
        <f>IF(終値!A72="","",IFERROR(4*STDEVP(終値!U72:AN72)/AVERAGE(終値!U72:AN72),""))</f>
      </c>
      <c r="S72" s="684">
        <f>IF(終値!A72="","",IFERROR(4*STDEVP(終値!V72:AO72)/AVERAGE(終値!V72:AO72),""))</f>
      </c>
      <c r="T72" s="684">
        <f>IF(終値!A72="","",IFERROR(4*STDEVP(終値!W72:AP72)/AVERAGE(終値!W72:AP72),""))</f>
      </c>
      <c r="U72" s="684">
        <f>IF(終値!A72="","",IFERROR(4*STDEVP(終値!X72:AQ72)/AVERAGE(終値!X72:AQ72),""))</f>
      </c>
      <c r="V72" s="684">
        <f>IF(終値!A72="","",IFERROR(4*STDEVP(終値!Y72:AR72)/AVERAGE(終値!Y72:AR72),""))</f>
      </c>
      <c r="W72" s="684">
        <f>IF(終値!A72="","",IFERROR(4*STDEVP(終値!Z72:AS72)/AVERAGE(終値!Z72:AS72),""))</f>
      </c>
      <c r="X72" s="684">
        <f>IF(終値!A72="","",IFERROR(4*STDEVP(終値!AA72:AT72)/AVERAGE(終値!AA72:AT72),""))</f>
      </c>
      <c r="Y72" s="684">
        <f>IF(終値!A72="","",IFERROR(4*STDEVP(終値!AB72:AU72)/AVERAGE(終値!AB72:AU72),""))</f>
      </c>
      <c r="Z72" s="684">
        <f>IF(終値!A72="","",IFERROR(4*STDEVP(終値!AC72:AV72)/AVERAGE(終値!AC72:AV72),""))</f>
      </c>
      <c r="AA72" s="684">
        <f>IF(終値!A72="","",IFERROR(4*STDEVP(終値!AD72:AW72)/AVERAGE(終値!AD72:AW72),""))</f>
      </c>
      <c r="AB72" s="684">
        <f>IF(終値!A72="","",IFERROR(4*STDEVP(終値!AE72:AX72)/AVERAGE(終値!AE72:AX72),""))</f>
      </c>
      <c r="AC72" s="684">
        <f>IF(終値!A72="","",IFERROR(4*STDEVP(終値!AF72:AY72)/AVERAGE(終値!AF72:AY72),""))</f>
      </c>
      <c r="AD72" s="684">
        <f>IF(終値!A72="","",IFERROR(4*STDEVP(終値!AG72:AZ72)/AVERAGE(終値!AG72:AZ72),""))</f>
      </c>
      <c r="AE72" s="684">
        <f>IF(終値!A72="","",IFERROR(4*STDEVP(終値!AH72:BA72)/AVERAGE(終値!AH72:BA72),""))</f>
      </c>
      <c r="AF72" s="684">
        <f>IF(終値!A72="","",IFERROR(4*STDEVP(終値!AI72:BB72)/AVERAGE(終値!AI72:BB72),""))</f>
      </c>
      <c r="AG72" s="684">
        <f>IF(終値!A72="","",IFERROR(4*STDEVP(終値!AJ72:BC72)/AVERAGE(終値!AJ72:BC72),""))</f>
      </c>
      <c r="AH72" s="684">
        <f>IF(終値!A72="","",IFERROR(4*STDEVP(終値!AK72:BD72)/AVERAGE(終値!AK72:BD72),""))</f>
      </c>
      <c r="AI72" s="684">
        <f>IF(終値!A72="","",IFERROR(4*STDEVP(終値!AL72:BE72)/AVERAGE(終値!AL72:BE72),""))</f>
      </c>
      <c r="AJ72" s="684">
        <f>IF(終値!A72="","",IFERROR(4*STDEVP(終値!AM72:BF72)/AVERAGE(終値!AM72:BF72),""))</f>
      </c>
      <c r="AK72" s="684">
        <f>IF(終値!A72="","",IFERROR(4*STDEVP(終値!AN72:BG72)/AVERAGE(終値!AN72:BG72),""))</f>
      </c>
      <c r="AL72" s="684">
        <f>IF(終値!A72="","",IFERROR(4*STDEVP(終値!AO72:BH72)/AVERAGE(終値!AO72:BH72),""))</f>
      </c>
      <c r="AM72" s="684">
        <f>IF(終値!A72="","",IFERROR(4*STDEVP(終値!AP72:BI72)/AVERAGE(終値!AP72:BI72),""))</f>
      </c>
      <c r="AN72" s="684">
        <f>IF(終値!A72="","",IFERROR(4*STDEVP(終値!AQ72:BJ72)/AVERAGE(終値!AQ72:BJ72),""))</f>
      </c>
      <c r="AO72" s="684">
        <f>IF(終値!A72="","",IFERROR(4*STDEVP(終値!AR72:BK72)/AVERAGE(終値!AR72:BK72),""))</f>
      </c>
      <c r="AP72" s="684">
        <f>IF(終値!A72="","",IFERROR(4*STDEVP(終値!AS72:BL72)/AVERAGE(終値!AS72:BL72),""))</f>
      </c>
    </row>
    <row r="73">
      <c r="A73" s="681">
        <f>IF(終値!A73="","",終値!A73)</f>
      </c>
      <c r="B73" s="684">
        <f>IF(終値!A73="","",IFERROR(4*STDEVP(終値!E73:X73)/AVERAGE(終値!E73:X73),""))</f>
      </c>
      <c r="C73" s="684">
        <f>IF(終値!A73="","",IFERROR(4*STDEVP(終値!F73:Y73)/AVERAGE(終値!F73:Y73),""))</f>
      </c>
      <c r="D73" s="684">
        <f>IF(終値!A73="","",IFERROR(4*STDEVP(終値!G73:Z73)/AVERAGE(終値!G73:Z73),""))</f>
      </c>
      <c r="E73" s="684">
        <f>IF(終値!A73="","",IFERROR(4*STDEVP(終値!H73:AA73)/AVERAGE(終値!H73:AA73),""))</f>
      </c>
      <c r="F73" s="684">
        <f>IF(終値!A73="","",IFERROR(4*STDEVP(終値!I73:AB73)/AVERAGE(終値!I73:AB73),""))</f>
      </c>
      <c r="G73" s="684">
        <f>IF(終値!A73="","",IFERROR(4*STDEVP(終値!J73:AC73)/AVERAGE(終値!J73:AC73),""))</f>
      </c>
      <c r="H73" s="684">
        <f>IF(終値!A73="","",IFERROR(4*STDEVP(終値!K73:AD73)/AVERAGE(終値!K73:AD73),""))</f>
      </c>
      <c r="I73" s="684">
        <f>IF(終値!A73="","",IFERROR(4*STDEVP(終値!L73:AE73)/AVERAGE(終値!L73:AE73),""))</f>
      </c>
      <c r="J73" s="684">
        <f>IF(終値!A73="","",IFERROR(4*STDEVP(終値!M73:AF73)/AVERAGE(終値!M73:AF73),""))</f>
      </c>
      <c r="K73" s="684">
        <f>IF(終値!A73="","",IFERROR(4*STDEVP(終値!N73:AG73)/AVERAGE(終値!N73:AG73),""))</f>
      </c>
      <c r="L73" s="684">
        <f>IF(終値!A73="","",IFERROR(4*STDEVP(終値!O73:AH73)/AVERAGE(終値!O73:AH73),""))</f>
      </c>
      <c r="M73" s="684">
        <f>IF(終値!A73="","",IFERROR(4*STDEVP(終値!P73:AI73)/AVERAGE(終値!P73:AI73),""))</f>
      </c>
      <c r="N73" s="684">
        <f>IF(終値!A73="","",IFERROR(4*STDEVP(終値!Q73:AJ73)/AVERAGE(終値!Q73:AJ73),""))</f>
      </c>
      <c r="O73" s="684">
        <f>IF(終値!A73="","",IFERROR(4*STDEVP(終値!R73:AK73)/AVERAGE(終値!R73:AK73),""))</f>
      </c>
      <c r="P73" s="684">
        <f>IF(終値!A73="","",IFERROR(4*STDEVP(終値!S73:AL73)/AVERAGE(終値!S73:AL73),""))</f>
      </c>
      <c r="Q73" s="684">
        <f>IF(終値!A73="","",IFERROR(4*STDEVP(終値!T73:AM73)/AVERAGE(終値!T73:AM73),""))</f>
      </c>
      <c r="R73" s="684">
        <f>IF(終値!A73="","",IFERROR(4*STDEVP(終値!U73:AN73)/AVERAGE(終値!U73:AN73),""))</f>
      </c>
      <c r="S73" s="684">
        <f>IF(終値!A73="","",IFERROR(4*STDEVP(終値!V73:AO73)/AVERAGE(終値!V73:AO73),""))</f>
      </c>
      <c r="T73" s="684">
        <f>IF(終値!A73="","",IFERROR(4*STDEVP(終値!W73:AP73)/AVERAGE(終値!W73:AP73),""))</f>
      </c>
      <c r="U73" s="684">
        <f>IF(終値!A73="","",IFERROR(4*STDEVP(終値!X73:AQ73)/AVERAGE(終値!X73:AQ73),""))</f>
      </c>
      <c r="V73" s="684">
        <f>IF(終値!A73="","",IFERROR(4*STDEVP(終値!Y73:AR73)/AVERAGE(終値!Y73:AR73),""))</f>
      </c>
      <c r="W73" s="684">
        <f>IF(終値!A73="","",IFERROR(4*STDEVP(終値!Z73:AS73)/AVERAGE(終値!Z73:AS73),""))</f>
      </c>
      <c r="X73" s="684">
        <f>IF(終値!A73="","",IFERROR(4*STDEVP(終値!AA73:AT73)/AVERAGE(終値!AA73:AT73),""))</f>
      </c>
      <c r="Y73" s="684">
        <f>IF(終値!A73="","",IFERROR(4*STDEVP(終値!AB73:AU73)/AVERAGE(終値!AB73:AU73),""))</f>
      </c>
      <c r="Z73" s="684">
        <f>IF(終値!A73="","",IFERROR(4*STDEVP(終値!AC73:AV73)/AVERAGE(終値!AC73:AV73),""))</f>
      </c>
      <c r="AA73" s="684">
        <f>IF(終値!A73="","",IFERROR(4*STDEVP(終値!AD73:AW73)/AVERAGE(終値!AD73:AW73),""))</f>
      </c>
      <c r="AB73" s="684">
        <f>IF(終値!A73="","",IFERROR(4*STDEVP(終値!AE73:AX73)/AVERAGE(終値!AE73:AX73),""))</f>
      </c>
      <c r="AC73" s="684">
        <f>IF(終値!A73="","",IFERROR(4*STDEVP(終値!AF73:AY73)/AVERAGE(終値!AF73:AY73),""))</f>
      </c>
      <c r="AD73" s="684">
        <f>IF(終値!A73="","",IFERROR(4*STDEVP(終値!AG73:AZ73)/AVERAGE(終値!AG73:AZ73),""))</f>
      </c>
      <c r="AE73" s="684">
        <f>IF(終値!A73="","",IFERROR(4*STDEVP(終値!AH73:BA73)/AVERAGE(終値!AH73:BA73),""))</f>
      </c>
      <c r="AF73" s="684">
        <f>IF(終値!A73="","",IFERROR(4*STDEVP(終値!AI73:BB73)/AVERAGE(終値!AI73:BB73),""))</f>
      </c>
      <c r="AG73" s="684">
        <f>IF(終値!A73="","",IFERROR(4*STDEVP(終値!AJ73:BC73)/AVERAGE(終値!AJ73:BC73),""))</f>
      </c>
      <c r="AH73" s="684">
        <f>IF(終値!A73="","",IFERROR(4*STDEVP(終値!AK73:BD73)/AVERAGE(終値!AK73:BD73),""))</f>
      </c>
      <c r="AI73" s="684">
        <f>IF(終値!A73="","",IFERROR(4*STDEVP(終値!AL73:BE73)/AVERAGE(終値!AL73:BE73),""))</f>
      </c>
      <c r="AJ73" s="684">
        <f>IF(終値!A73="","",IFERROR(4*STDEVP(終値!AM73:BF73)/AVERAGE(終値!AM73:BF73),""))</f>
      </c>
      <c r="AK73" s="684">
        <f>IF(終値!A73="","",IFERROR(4*STDEVP(終値!AN73:BG73)/AVERAGE(終値!AN73:BG73),""))</f>
      </c>
      <c r="AL73" s="684">
        <f>IF(終値!A73="","",IFERROR(4*STDEVP(終値!AO73:BH73)/AVERAGE(終値!AO73:BH73),""))</f>
      </c>
      <c r="AM73" s="684">
        <f>IF(終値!A73="","",IFERROR(4*STDEVP(終値!AP73:BI73)/AVERAGE(終値!AP73:BI73),""))</f>
      </c>
      <c r="AN73" s="684">
        <f>IF(終値!A73="","",IFERROR(4*STDEVP(終値!AQ73:BJ73)/AVERAGE(終値!AQ73:BJ73),""))</f>
      </c>
      <c r="AO73" s="684">
        <f>IF(終値!A73="","",IFERROR(4*STDEVP(終値!AR73:BK73)/AVERAGE(終値!AR73:BK73),""))</f>
      </c>
      <c r="AP73" s="684">
        <f>IF(終値!A73="","",IFERROR(4*STDEVP(終値!AS73:BL73)/AVERAGE(終値!AS73:BL73),""))</f>
      </c>
    </row>
    <row r="74">
      <c r="A74" s="681">
        <f>IF(終値!A74="","",終値!A74)</f>
      </c>
      <c r="B74" s="684">
        <f>IF(終値!A74="","",IFERROR(4*STDEVP(終値!E74:X74)/AVERAGE(終値!E74:X74),""))</f>
      </c>
      <c r="C74" s="684">
        <f>IF(終値!A74="","",IFERROR(4*STDEVP(終値!F74:Y74)/AVERAGE(終値!F74:Y74),""))</f>
      </c>
      <c r="D74" s="684">
        <f>IF(終値!A74="","",IFERROR(4*STDEVP(終値!G74:Z74)/AVERAGE(終値!G74:Z74),""))</f>
      </c>
      <c r="E74" s="684">
        <f>IF(終値!A74="","",IFERROR(4*STDEVP(終値!H74:AA74)/AVERAGE(終値!H74:AA74),""))</f>
      </c>
      <c r="F74" s="684">
        <f>IF(終値!A74="","",IFERROR(4*STDEVP(終値!I74:AB74)/AVERAGE(終値!I74:AB74),""))</f>
      </c>
      <c r="G74" s="684">
        <f>IF(終値!A74="","",IFERROR(4*STDEVP(終値!J74:AC74)/AVERAGE(終値!J74:AC74),""))</f>
      </c>
      <c r="H74" s="684">
        <f>IF(終値!A74="","",IFERROR(4*STDEVP(終値!K74:AD74)/AVERAGE(終値!K74:AD74),""))</f>
      </c>
      <c r="I74" s="684">
        <f>IF(終値!A74="","",IFERROR(4*STDEVP(終値!L74:AE74)/AVERAGE(終値!L74:AE74),""))</f>
      </c>
      <c r="J74" s="684">
        <f>IF(終値!A74="","",IFERROR(4*STDEVP(終値!M74:AF74)/AVERAGE(終値!M74:AF74),""))</f>
      </c>
      <c r="K74" s="684">
        <f>IF(終値!A74="","",IFERROR(4*STDEVP(終値!N74:AG74)/AVERAGE(終値!N74:AG74),""))</f>
      </c>
      <c r="L74" s="684">
        <f>IF(終値!A74="","",IFERROR(4*STDEVP(終値!O74:AH74)/AVERAGE(終値!O74:AH74),""))</f>
      </c>
      <c r="M74" s="684">
        <f>IF(終値!A74="","",IFERROR(4*STDEVP(終値!P74:AI74)/AVERAGE(終値!P74:AI74),""))</f>
      </c>
      <c r="N74" s="684">
        <f>IF(終値!A74="","",IFERROR(4*STDEVP(終値!Q74:AJ74)/AVERAGE(終値!Q74:AJ74),""))</f>
      </c>
      <c r="O74" s="684">
        <f>IF(終値!A74="","",IFERROR(4*STDEVP(終値!R74:AK74)/AVERAGE(終値!R74:AK74),""))</f>
      </c>
      <c r="P74" s="684">
        <f>IF(終値!A74="","",IFERROR(4*STDEVP(終値!S74:AL74)/AVERAGE(終値!S74:AL74),""))</f>
      </c>
      <c r="Q74" s="684">
        <f>IF(終値!A74="","",IFERROR(4*STDEVP(終値!T74:AM74)/AVERAGE(終値!T74:AM74),""))</f>
      </c>
      <c r="R74" s="684">
        <f>IF(終値!A74="","",IFERROR(4*STDEVP(終値!U74:AN74)/AVERAGE(終値!U74:AN74),""))</f>
      </c>
      <c r="S74" s="684">
        <f>IF(終値!A74="","",IFERROR(4*STDEVP(終値!V74:AO74)/AVERAGE(終値!V74:AO74),""))</f>
      </c>
      <c r="T74" s="684">
        <f>IF(終値!A74="","",IFERROR(4*STDEVP(終値!W74:AP74)/AVERAGE(終値!W74:AP74),""))</f>
      </c>
      <c r="U74" s="684">
        <f>IF(終値!A74="","",IFERROR(4*STDEVP(終値!X74:AQ74)/AVERAGE(終値!X74:AQ74),""))</f>
      </c>
      <c r="V74" s="684">
        <f>IF(終値!A74="","",IFERROR(4*STDEVP(終値!Y74:AR74)/AVERAGE(終値!Y74:AR74),""))</f>
      </c>
      <c r="W74" s="684">
        <f>IF(終値!A74="","",IFERROR(4*STDEVP(終値!Z74:AS74)/AVERAGE(終値!Z74:AS74),""))</f>
      </c>
      <c r="X74" s="684">
        <f>IF(終値!A74="","",IFERROR(4*STDEVP(終値!AA74:AT74)/AVERAGE(終値!AA74:AT74),""))</f>
      </c>
      <c r="Y74" s="684">
        <f>IF(終値!A74="","",IFERROR(4*STDEVP(終値!AB74:AU74)/AVERAGE(終値!AB74:AU74),""))</f>
      </c>
      <c r="Z74" s="684">
        <f>IF(終値!A74="","",IFERROR(4*STDEVP(終値!AC74:AV74)/AVERAGE(終値!AC74:AV74),""))</f>
      </c>
      <c r="AA74" s="684">
        <f>IF(終値!A74="","",IFERROR(4*STDEVP(終値!AD74:AW74)/AVERAGE(終値!AD74:AW74),""))</f>
      </c>
      <c r="AB74" s="684">
        <f>IF(終値!A74="","",IFERROR(4*STDEVP(終値!AE74:AX74)/AVERAGE(終値!AE74:AX74),""))</f>
      </c>
      <c r="AC74" s="684">
        <f>IF(終値!A74="","",IFERROR(4*STDEVP(終値!AF74:AY74)/AVERAGE(終値!AF74:AY74),""))</f>
      </c>
      <c r="AD74" s="684">
        <f>IF(終値!A74="","",IFERROR(4*STDEVP(終値!AG74:AZ74)/AVERAGE(終値!AG74:AZ74),""))</f>
      </c>
      <c r="AE74" s="684">
        <f>IF(終値!A74="","",IFERROR(4*STDEVP(終値!AH74:BA74)/AVERAGE(終値!AH74:BA74),""))</f>
      </c>
      <c r="AF74" s="684">
        <f>IF(終値!A74="","",IFERROR(4*STDEVP(終値!AI74:BB74)/AVERAGE(終値!AI74:BB74),""))</f>
      </c>
      <c r="AG74" s="684">
        <f>IF(終値!A74="","",IFERROR(4*STDEVP(終値!AJ74:BC74)/AVERAGE(終値!AJ74:BC74),""))</f>
      </c>
      <c r="AH74" s="684">
        <f>IF(終値!A74="","",IFERROR(4*STDEVP(終値!AK74:BD74)/AVERAGE(終値!AK74:BD74),""))</f>
      </c>
      <c r="AI74" s="684">
        <f>IF(終値!A74="","",IFERROR(4*STDEVP(終値!AL74:BE74)/AVERAGE(終値!AL74:BE74),""))</f>
      </c>
      <c r="AJ74" s="684">
        <f>IF(終値!A74="","",IFERROR(4*STDEVP(終値!AM74:BF74)/AVERAGE(終値!AM74:BF74),""))</f>
      </c>
      <c r="AK74" s="684">
        <f>IF(終値!A74="","",IFERROR(4*STDEVP(終値!AN74:BG74)/AVERAGE(終値!AN74:BG74),""))</f>
      </c>
      <c r="AL74" s="684">
        <f>IF(終値!A74="","",IFERROR(4*STDEVP(終値!AO74:BH74)/AVERAGE(終値!AO74:BH74),""))</f>
      </c>
      <c r="AM74" s="684">
        <f>IF(終値!A74="","",IFERROR(4*STDEVP(終値!AP74:BI74)/AVERAGE(終値!AP74:BI74),""))</f>
      </c>
      <c r="AN74" s="684">
        <f>IF(終値!A74="","",IFERROR(4*STDEVP(終値!AQ74:BJ74)/AVERAGE(終値!AQ74:BJ74),""))</f>
      </c>
      <c r="AO74" s="684">
        <f>IF(終値!A74="","",IFERROR(4*STDEVP(終値!AR74:BK74)/AVERAGE(終値!AR74:BK74),""))</f>
      </c>
      <c r="AP74" s="684">
        <f>IF(終値!A74="","",IFERROR(4*STDEVP(終値!AS74:BL74)/AVERAGE(終値!AS74:BL74),""))</f>
      </c>
    </row>
    <row r="75">
      <c r="A75" s="681">
        <f>IF(終値!A75="","",終値!A75)</f>
      </c>
      <c r="B75" s="684">
        <f>IF(終値!A75="","",IFERROR(4*STDEVP(終値!E75:X75)/AVERAGE(終値!E75:X75),""))</f>
      </c>
      <c r="C75" s="684">
        <f>IF(終値!A75="","",IFERROR(4*STDEVP(終値!F75:Y75)/AVERAGE(終値!F75:Y75),""))</f>
      </c>
      <c r="D75" s="684">
        <f>IF(終値!A75="","",IFERROR(4*STDEVP(終値!G75:Z75)/AVERAGE(終値!G75:Z75),""))</f>
      </c>
      <c r="E75" s="684">
        <f>IF(終値!A75="","",IFERROR(4*STDEVP(終値!H75:AA75)/AVERAGE(終値!H75:AA75),""))</f>
      </c>
      <c r="F75" s="684">
        <f>IF(終値!A75="","",IFERROR(4*STDEVP(終値!I75:AB75)/AVERAGE(終値!I75:AB75),""))</f>
      </c>
      <c r="G75" s="684">
        <f>IF(終値!A75="","",IFERROR(4*STDEVP(終値!J75:AC75)/AVERAGE(終値!J75:AC75),""))</f>
      </c>
      <c r="H75" s="684">
        <f>IF(終値!A75="","",IFERROR(4*STDEVP(終値!K75:AD75)/AVERAGE(終値!K75:AD75),""))</f>
      </c>
      <c r="I75" s="684">
        <f>IF(終値!A75="","",IFERROR(4*STDEVP(終値!L75:AE75)/AVERAGE(終値!L75:AE75),""))</f>
      </c>
      <c r="J75" s="684">
        <f>IF(終値!A75="","",IFERROR(4*STDEVP(終値!M75:AF75)/AVERAGE(終値!M75:AF75),""))</f>
      </c>
      <c r="K75" s="684">
        <f>IF(終値!A75="","",IFERROR(4*STDEVP(終値!N75:AG75)/AVERAGE(終値!N75:AG75),""))</f>
      </c>
      <c r="L75" s="684">
        <f>IF(終値!A75="","",IFERROR(4*STDEVP(終値!O75:AH75)/AVERAGE(終値!O75:AH75),""))</f>
      </c>
      <c r="M75" s="684">
        <f>IF(終値!A75="","",IFERROR(4*STDEVP(終値!P75:AI75)/AVERAGE(終値!P75:AI75),""))</f>
      </c>
      <c r="N75" s="684">
        <f>IF(終値!A75="","",IFERROR(4*STDEVP(終値!Q75:AJ75)/AVERAGE(終値!Q75:AJ75),""))</f>
      </c>
      <c r="O75" s="684">
        <f>IF(終値!A75="","",IFERROR(4*STDEVP(終値!R75:AK75)/AVERAGE(終値!R75:AK75),""))</f>
      </c>
      <c r="P75" s="684">
        <f>IF(終値!A75="","",IFERROR(4*STDEVP(終値!S75:AL75)/AVERAGE(終値!S75:AL75),""))</f>
      </c>
      <c r="Q75" s="684">
        <f>IF(終値!A75="","",IFERROR(4*STDEVP(終値!T75:AM75)/AVERAGE(終値!T75:AM75),""))</f>
      </c>
      <c r="R75" s="684">
        <f>IF(終値!A75="","",IFERROR(4*STDEVP(終値!U75:AN75)/AVERAGE(終値!U75:AN75),""))</f>
      </c>
      <c r="S75" s="684">
        <f>IF(終値!A75="","",IFERROR(4*STDEVP(終値!V75:AO75)/AVERAGE(終値!V75:AO75),""))</f>
      </c>
      <c r="T75" s="684">
        <f>IF(終値!A75="","",IFERROR(4*STDEVP(終値!W75:AP75)/AVERAGE(終値!W75:AP75),""))</f>
      </c>
      <c r="U75" s="684">
        <f>IF(終値!A75="","",IFERROR(4*STDEVP(終値!X75:AQ75)/AVERAGE(終値!X75:AQ75),""))</f>
      </c>
      <c r="V75" s="684">
        <f>IF(終値!A75="","",IFERROR(4*STDEVP(終値!Y75:AR75)/AVERAGE(終値!Y75:AR75),""))</f>
      </c>
      <c r="W75" s="684">
        <f>IF(終値!A75="","",IFERROR(4*STDEVP(終値!Z75:AS75)/AVERAGE(終値!Z75:AS75),""))</f>
      </c>
      <c r="X75" s="684">
        <f>IF(終値!A75="","",IFERROR(4*STDEVP(終値!AA75:AT75)/AVERAGE(終値!AA75:AT75),""))</f>
      </c>
      <c r="Y75" s="684">
        <f>IF(終値!A75="","",IFERROR(4*STDEVP(終値!AB75:AU75)/AVERAGE(終値!AB75:AU75),""))</f>
      </c>
      <c r="Z75" s="684">
        <f>IF(終値!A75="","",IFERROR(4*STDEVP(終値!AC75:AV75)/AVERAGE(終値!AC75:AV75),""))</f>
      </c>
      <c r="AA75" s="684">
        <f>IF(終値!A75="","",IFERROR(4*STDEVP(終値!AD75:AW75)/AVERAGE(終値!AD75:AW75),""))</f>
      </c>
      <c r="AB75" s="684">
        <f>IF(終値!A75="","",IFERROR(4*STDEVP(終値!AE75:AX75)/AVERAGE(終値!AE75:AX75),""))</f>
      </c>
      <c r="AC75" s="684">
        <f>IF(終値!A75="","",IFERROR(4*STDEVP(終値!AF75:AY75)/AVERAGE(終値!AF75:AY75),""))</f>
      </c>
      <c r="AD75" s="684">
        <f>IF(終値!A75="","",IFERROR(4*STDEVP(終値!AG75:AZ75)/AVERAGE(終値!AG75:AZ75),""))</f>
      </c>
      <c r="AE75" s="684">
        <f>IF(終値!A75="","",IFERROR(4*STDEVP(終値!AH75:BA75)/AVERAGE(終値!AH75:BA75),""))</f>
      </c>
      <c r="AF75" s="684">
        <f>IF(終値!A75="","",IFERROR(4*STDEVP(終値!AI75:BB75)/AVERAGE(終値!AI75:BB75),""))</f>
      </c>
      <c r="AG75" s="684">
        <f>IF(終値!A75="","",IFERROR(4*STDEVP(終値!AJ75:BC75)/AVERAGE(終値!AJ75:BC75),""))</f>
      </c>
      <c r="AH75" s="684">
        <f>IF(終値!A75="","",IFERROR(4*STDEVP(終値!AK75:BD75)/AVERAGE(終値!AK75:BD75),""))</f>
      </c>
      <c r="AI75" s="684">
        <f>IF(終値!A75="","",IFERROR(4*STDEVP(終値!AL75:BE75)/AVERAGE(終値!AL75:BE75),""))</f>
      </c>
      <c r="AJ75" s="684">
        <f>IF(終値!A75="","",IFERROR(4*STDEVP(終値!AM75:BF75)/AVERAGE(終値!AM75:BF75),""))</f>
      </c>
      <c r="AK75" s="684">
        <f>IF(終値!A75="","",IFERROR(4*STDEVP(終値!AN75:BG75)/AVERAGE(終値!AN75:BG75),""))</f>
      </c>
      <c r="AL75" s="684">
        <f>IF(終値!A75="","",IFERROR(4*STDEVP(終値!AO75:BH75)/AVERAGE(終値!AO75:BH75),""))</f>
      </c>
      <c r="AM75" s="684">
        <f>IF(終値!A75="","",IFERROR(4*STDEVP(終値!AP75:BI75)/AVERAGE(終値!AP75:BI75),""))</f>
      </c>
      <c r="AN75" s="684">
        <f>IF(終値!A75="","",IFERROR(4*STDEVP(終値!AQ75:BJ75)/AVERAGE(終値!AQ75:BJ75),""))</f>
      </c>
      <c r="AO75" s="684">
        <f>IF(終値!A75="","",IFERROR(4*STDEVP(終値!AR75:BK75)/AVERAGE(終値!AR75:BK75),""))</f>
      </c>
      <c r="AP75" s="684">
        <f>IF(終値!A75="","",IFERROR(4*STDEVP(終値!AS75:BL75)/AVERAGE(終値!AS75:BL75),""))</f>
      </c>
    </row>
    <row r="76">
      <c r="A76" s="681">
        <f>IF(終値!A76="","",終値!A76)</f>
      </c>
      <c r="B76" s="684">
        <f>IF(終値!A76="","",IFERROR(4*STDEVP(終値!E76:X76)/AVERAGE(終値!E76:X76),""))</f>
      </c>
      <c r="C76" s="684">
        <f>IF(終値!A76="","",IFERROR(4*STDEVP(終値!F76:Y76)/AVERAGE(終値!F76:Y76),""))</f>
      </c>
      <c r="D76" s="684">
        <f>IF(終値!A76="","",IFERROR(4*STDEVP(終値!G76:Z76)/AVERAGE(終値!G76:Z76),""))</f>
      </c>
      <c r="E76" s="684">
        <f>IF(終値!A76="","",IFERROR(4*STDEVP(終値!H76:AA76)/AVERAGE(終値!H76:AA76),""))</f>
      </c>
      <c r="F76" s="684">
        <f>IF(終値!A76="","",IFERROR(4*STDEVP(終値!I76:AB76)/AVERAGE(終値!I76:AB76),""))</f>
      </c>
      <c r="G76" s="684">
        <f>IF(終値!A76="","",IFERROR(4*STDEVP(終値!J76:AC76)/AVERAGE(終値!J76:AC76),""))</f>
      </c>
      <c r="H76" s="684">
        <f>IF(終値!A76="","",IFERROR(4*STDEVP(終値!K76:AD76)/AVERAGE(終値!K76:AD76),""))</f>
      </c>
      <c r="I76" s="684">
        <f>IF(終値!A76="","",IFERROR(4*STDEVP(終値!L76:AE76)/AVERAGE(終値!L76:AE76),""))</f>
      </c>
      <c r="J76" s="684">
        <f>IF(終値!A76="","",IFERROR(4*STDEVP(終値!M76:AF76)/AVERAGE(終値!M76:AF76),""))</f>
      </c>
      <c r="K76" s="684">
        <f>IF(終値!A76="","",IFERROR(4*STDEVP(終値!N76:AG76)/AVERAGE(終値!N76:AG76),""))</f>
      </c>
      <c r="L76" s="684">
        <f>IF(終値!A76="","",IFERROR(4*STDEVP(終値!O76:AH76)/AVERAGE(終値!O76:AH76),""))</f>
      </c>
      <c r="M76" s="684">
        <f>IF(終値!A76="","",IFERROR(4*STDEVP(終値!P76:AI76)/AVERAGE(終値!P76:AI76),""))</f>
      </c>
      <c r="N76" s="684">
        <f>IF(終値!A76="","",IFERROR(4*STDEVP(終値!Q76:AJ76)/AVERAGE(終値!Q76:AJ76),""))</f>
      </c>
      <c r="O76" s="684">
        <f>IF(終値!A76="","",IFERROR(4*STDEVP(終値!R76:AK76)/AVERAGE(終値!R76:AK76),""))</f>
      </c>
      <c r="P76" s="684">
        <f>IF(終値!A76="","",IFERROR(4*STDEVP(終値!S76:AL76)/AVERAGE(終値!S76:AL76),""))</f>
      </c>
      <c r="Q76" s="684">
        <f>IF(終値!A76="","",IFERROR(4*STDEVP(終値!T76:AM76)/AVERAGE(終値!T76:AM76),""))</f>
      </c>
      <c r="R76" s="684">
        <f>IF(終値!A76="","",IFERROR(4*STDEVP(終値!U76:AN76)/AVERAGE(終値!U76:AN76),""))</f>
      </c>
      <c r="S76" s="684">
        <f>IF(終値!A76="","",IFERROR(4*STDEVP(終値!V76:AO76)/AVERAGE(終値!V76:AO76),""))</f>
      </c>
      <c r="T76" s="684">
        <f>IF(終値!A76="","",IFERROR(4*STDEVP(終値!W76:AP76)/AVERAGE(終値!W76:AP76),""))</f>
      </c>
      <c r="U76" s="684">
        <f>IF(終値!A76="","",IFERROR(4*STDEVP(終値!X76:AQ76)/AVERAGE(終値!X76:AQ76),""))</f>
      </c>
      <c r="V76" s="684">
        <f>IF(終値!A76="","",IFERROR(4*STDEVP(終値!Y76:AR76)/AVERAGE(終値!Y76:AR76),""))</f>
      </c>
      <c r="W76" s="684">
        <f>IF(終値!A76="","",IFERROR(4*STDEVP(終値!Z76:AS76)/AVERAGE(終値!Z76:AS76),""))</f>
      </c>
      <c r="X76" s="684">
        <f>IF(終値!A76="","",IFERROR(4*STDEVP(終値!AA76:AT76)/AVERAGE(終値!AA76:AT76),""))</f>
      </c>
      <c r="Y76" s="684">
        <f>IF(終値!A76="","",IFERROR(4*STDEVP(終値!AB76:AU76)/AVERAGE(終値!AB76:AU76),""))</f>
      </c>
      <c r="Z76" s="684">
        <f>IF(終値!A76="","",IFERROR(4*STDEVP(終値!AC76:AV76)/AVERAGE(終値!AC76:AV76),""))</f>
      </c>
      <c r="AA76" s="684">
        <f>IF(終値!A76="","",IFERROR(4*STDEVP(終値!AD76:AW76)/AVERAGE(終値!AD76:AW76),""))</f>
      </c>
      <c r="AB76" s="684">
        <f>IF(終値!A76="","",IFERROR(4*STDEVP(終値!AE76:AX76)/AVERAGE(終値!AE76:AX76),""))</f>
      </c>
      <c r="AC76" s="684">
        <f>IF(終値!A76="","",IFERROR(4*STDEVP(終値!AF76:AY76)/AVERAGE(終値!AF76:AY76),""))</f>
      </c>
      <c r="AD76" s="684">
        <f>IF(終値!A76="","",IFERROR(4*STDEVP(終値!AG76:AZ76)/AVERAGE(終値!AG76:AZ76),""))</f>
      </c>
      <c r="AE76" s="684">
        <f>IF(終値!A76="","",IFERROR(4*STDEVP(終値!AH76:BA76)/AVERAGE(終値!AH76:BA76),""))</f>
      </c>
      <c r="AF76" s="684">
        <f>IF(終値!A76="","",IFERROR(4*STDEVP(終値!AI76:BB76)/AVERAGE(終値!AI76:BB76),""))</f>
      </c>
      <c r="AG76" s="684">
        <f>IF(終値!A76="","",IFERROR(4*STDEVP(終値!AJ76:BC76)/AVERAGE(終値!AJ76:BC76),""))</f>
      </c>
      <c r="AH76" s="684">
        <f>IF(終値!A76="","",IFERROR(4*STDEVP(終値!AK76:BD76)/AVERAGE(終値!AK76:BD76),""))</f>
      </c>
      <c r="AI76" s="684">
        <f>IF(終値!A76="","",IFERROR(4*STDEVP(終値!AL76:BE76)/AVERAGE(終値!AL76:BE76),""))</f>
      </c>
      <c r="AJ76" s="684">
        <f>IF(終値!A76="","",IFERROR(4*STDEVP(終値!AM76:BF76)/AVERAGE(終値!AM76:BF76),""))</f>
      </c>
      <c r="AK76" s="684">
        <f>IF(終値!A76="","",IFERROR(4*STDEVP(終値!AN76:BG76)/AVERAGE(終値!AN76:BG76),""))</f>
      </c>
      <c r="AL76" s="684">
        <f>IF(終値!A76="","",IFERROR(4*STDEVP(終値!AO76:BH76)/AVERAGE(終値!AO76:BH76),""))</f>
      </c>
      <c r="AM76" s="684">
        <f>IF(終値!A76="","",IFERROR(4*STDEVP(終値!AP76:BI76)/AVERAGE(終値!AP76:BI76),""))</f>
      </c>
      <c r="AN76" s="684">
        <f>IF(終値!A76="","",IFERROR(4*STDEVP(終値!AQ76:BJ76)/AVERAGE(終値!AQ76:BJ76),""))</f>
      </c>
      <c r="AO76" s="684">
        <f>IF(終値!A76="","",IFERROR(4*STDEVP(終値!AR76:BK76)/AVERAGE(終値!AR76:BK76),""))</f>
      </c>
      <c r="AP76" s="684">
        <f>IF(終値!A76="","",IFERROR(4*STDEVP(終値!AS76:BL76)/AVERAGE(終値!AS76:BL76),""))</f>
      </c>
    </row>
    <row r="77">
      <c r="A77" s="681">
        <f>IF(終値!A77="","",終値!A77)</f>
      </c>
      <c r="B77" s="684">
        <f>IF(終値!A77="","",IFERROR(4*STDEVP(終値!E77:X77)/AVERAGE(終値!E77:X77),""))</f>
      </c>
      <c r="C77" s="684">
        <f>IF(終値!A77="","",IFERROR(4*STDEVP(終値!F77:Y77)/AVERAGE(終値!F77:Y77),""))</f>
      </c>
      <c r="D77" s="684">
        <f>IF(終値!A77="","",IFERROR(4*STDEVP(終値!G77:Z77)/AVERAGE(終値!G77:Z77),""))</f>
      </c>
      <c r="E77" s="684">
        <f>IF(終値!A77="","",IFERROR(4*STDEVP(終値!H77:AA77)/AVERAGE(終値!H77:AA77),""))</f>
      </c>
      <c r="F77" s="684">
        <f>IF(終値!A77="","",IFERROR(4*STDEVP(終値!I77:AB77)/AVERAGE(終値!I77:AB77),""))</f>
      </c>
      <c r="G77" s="684">
        <f>IF(終値!A77="","",IFERROR(4*STDEVP(終値!J77:AC77)/AVERAGE(終値!J77:AC77),""))</f>
      </c>
      <c r="H77" s="684">
        <f>IF(終値!A77="","",IFERROR(4*STDEVP(終値!K77:AD77)/AVERAGE(終値!K77:AD77),""))</f>
      </c>
      <c r="I77" s="684">
        <f>IF(終値!A77="","",IFERROR(4*STDEVP(終値!L77:AE77)/AVERAGE(終値!L77:AE77),""))</f>
      </c>
      <c r="J77" s="684">
        <f>IF(終値!A77="","",IFERROR(4*STDEVP(終値!M77:AF77)/AVERAGE(終値!M77:AF77),""))</f>
      </c>
      <c r="K77" s="684">
        <f>IF(終値!A77="","",IFERROR(4*STDEVP(終値!N77:AG77)/AVERAGE(終値!N77:AG77),""))</f>
      </c>
      <c r="L77" s="684">
        <f>IF(終値!A77="","",IFERROR(4*STDEVP(終値!O77:AH77)/AVERAGE(終値!O77:AH77),""))</f>
      </c>
      <c r="M77" s="684">
        <f>IF(終値!A77="","",IFERROR(4*STDEVP(終値!P77:AI77)/AVERAGE(終値!P77:AI77),""))</f>
      </c>
      <c r="N77" s="684">
        <f>IF(終値!A77="","",IFERROR(4*STDEVP(終値!Q77:AJ77)/AVERAGE(終値!Q77:AJ77),""))</f>
      </c>
      <c r="O77" s="684">
        <f>IF(終値!A77="","",IFERROR(4*STDEVP(終値!R77:AK77)/AVERAGE(終値!R77:AK77),""))</f>
      </c>
      <c r="P77" s="684">
        <f>IF(終値!A77="","",IFERROR(4*STDEVP(終値!S77:AL77)/AVERAGE(終値!S77:AL77),""))</f>
      </c>
      <c r="Q77" s="684">
        <f>IF(終値!A77="","",IFERROR(4*STDEVP(終値!T77:AM77)/AVERAGE(終値!T77:AM77),""))</f>
      </c>
      <c r="R77" s="684">
        <f>IF(終値!A77="","",IFERROR(4*STDEVP(終値!U77:AN77)/AVERAGE(終値!U77:AN77),""))</f>
      </c>
      <c r="S77" s="684">
        <f>IF(終値!A77="","",IFERROR(4*STDEVP(終値!V77:AO77)/AVERAGE(終値!V77:AO77),""))</f>
      </c>
      <c r="T77" s="684">
        <f>IF(終値!A77="","",IFERROR(4*STDEVP(終値!W77:AP77)/AVERAGE(終値!W77:AP77),""))</f>
      </c>
      <c r="U77" s="684">
        <f>IF(終値!A77="","",IFERROR(4*STDEVP(終値!X77:AQ77)/AVERAGE(終値!X77:AQ77),""))</f>
      </c>
      <c r="V77" s="684">
        <f>IF(終値!A77="","",IFERROR(4*STDEVP(終値!Y77:AR77)/AVERAGE(終値!Y77:AR77),""))</f>
      </c>
      <c r="W77" s="684">
        <f>IF(終値!A77="","",IFERROR(4*STDEVP(終値!Z77:AS77)/AVERAGE(終値!Z77:AS77),""))</f>
      </c>
      <c r="X77" s="684">
        <f>IF(終値!A77="","",IFERROR(4*STDEVP(終値!AA77:AT77)/AVERAGE(終値!AA77:AT77),""))</f>
      </c>
      <c r="Y77" s="684">
        <f>IF(終値!A77="","",IFERROR(4*STDEVP(終値!AB77:AU77)/AVERAGE(終値!AB77:AU77),""))</f>
      </c>
      <c r="Z77" s="684">
        <f>IF(終値!A77="","",IFERROR(4*STDEVP(終値!AC77:AV77)/AVERAGE(終値!AC77:AV77),""))</f>
      </c>
      <c r="AA77" s="684">
        <f>IF(終値!A77="","",IFERROR(4*STDEVP(終値!AD77:AW77)/AVERAGE(終値!AD77:AW77),""))</f>
      </c>
      <c r="AB77" s="684">
        <f>IF(終値!A77="","",IFERROR(4*STDEVP(終値!AE77:AX77)/AVERAGE(終値!AE77:AX77),""))</f>
      </c>
      <c r="AC77" s="684">
        <f>IF(終値!A77="","",IFERROR(4*STDEVP(終値!AF77:AY77)/AVERAGE(終値!AF77:AY77),""))</f>
      </c>
      <c r="AD77" s="684">
        <f>IF(終値!A77="","",IFERROR(4*STDEVP(終値!AG77:AZ77)/AVERAGE(終値!AG77:AZ77),""))</f>
      </c>
      <c r="AE77" s="684">
        <f>IF(終値!A77="","",IFERROR(4*STDEVP(終値!AH77:BA77)/AVERAGE(終値!AH77:BA77),""))</f>
      </c>
      <c r="AF77" s="684">
        <f>IF(終値!A77="","",IFERROR(4*STDEVP(終値!AI77:BB77)/AVERAGE(終値!AI77:BB77),""))</f>
      </c>
      <c r="AG77" s="684">
        <f>IF(終値!A77="","",IFERROR(4*STDEVP(終値!AJ77:BC77)/AVERAGE(終値!AJ77:BC77),""))</f>
      </c>
      <c r="AH77" s="684">
        <f>IF(終値!A77="","",IFERROR(4*STDEVP(終値!AK77:BD77)/AVERAGE(終値!AK77:BD77),""))</f>
      </c>
      <c r="AI77" s="684">
        <f>IF(終値!A77="","",IFERROR(4*STDEVP(終値!AL77:BE77)/AVERAGE(終値!AL77:BE77),""))</f>
      </c>
      <c r="AJ77" s="684">
        <f>IF(終値!A77="","",IFERROR(4*STDEVP(終値!AM77:BF77)/AVERAGE(終値!AM77:BF77),""))</f>
      </c>
      <c r="AK77" s="684">
        <f>IF(終値!A77="","",IFERROR(4*STDEVP(終値!AN77:BG77)/AVERAGE(終値!AN77:BG77),""))</f>
      </c>
      <c r="AL77" s="684">
        <f>IF(終値!A77="","",IFERROR(4*STDEVP(終値!AO77:BH77)/AVERAGE(終値!AO77:BH77),""))</f>
      </c>
      <c r="AM77" s="684">
        <f>IF(終値!A77="","",IFERROR(4*STDEVP(終値!AP77:BI77)/AVERAGE(終値!AP77:BI77),""))</f>
      </c>
      <c r="AN77" s="684">
        <f>IF(終値!A77="","",IFERROR(4*STDEVP(終値!AQ77:BJ77)/AVERAGE(終値!AQ77:BJ77),""))</f>
      </c>
      <c r="AO77" s="684">
        <f>IF(終値!A77="","",IFERROR(4*STDEVP(終値!AR77:BK77)/AVERAGE(終値!AR77:BK77),""))</f>
      </c>
      <c r="AP77" s="684">
        <f>IF(終値!A77="","",IFERROR(4*STDEVP(終値!AS77:BL77)/AVERAGE(終値!AS77:BL77),""))</f>
      </c>
    </row>
    <row r="78">
      <c r="A78" s="681">
        <f>IF(終値!A78="","",終値!A78)</f>
      </c>
      <c r="B78" s="684">
        <f>IF(終値!A78="","",IFERROR(4*STDEVP(終値!E78:X78)/AVERAGE(終値!E78:X78),""))</f>
      </c>
      <c r="C78" s="684">
        <f>IF(終値!A78="","",IFERROR(4*STDEVP(終値!F78:Y78)/AVERAGE(終値!F78:Y78),""))</f>
      </c>
      <c r="D78" s="684">
        <f>IF(終値!A78="","",IFERROR(4*STDEVP(終値!G78:Z78)/AVERAGE(終値!G78:Z78),""))</f>
      </c>
      <c r="E78" s="684">
        <f>IF(終値!A78="","",IFERROR(4*STDEVP(終値!H78:AA78)/AVERAGE(終値!H78:AA78),""))</f>
      </c>
      <c r="F78" s="684">
        <f>IF(終値!A78="","",IFERROR(4*STDEVP(終値!I78:AB78)/AVERAGE(終値!I78:AB78),""))</f>
      </c>
      <c r="G78" s="684">
        <f>IF(終値!A78="","",IFERROR(4*STDEVP(終値!J78:AC78)/AVERAGE(終値!J78:AC78),""))</f>
      </c>
      <c r="H78" s="684">
        <f>IF(終値!A78="","",IFERROR(4*STDEVP(終値!K78:AD78)/AVERAGE(終値!K78:AD78),""))</f>
      </c>
      <c r="I78" s="684">
        <f>IF(終値!A78="","",IFERROR(4*STDEVP(終値!L78:AE78)/AVERAGE(終値!L78:AE78),""))</f>
      </c>
      <c r="J78" s="684">
        <f>IF(終値!A78="","",IFERROR(4*STDEVP(終値!M78:AF78)/AVERAGE(終値!M78:AF78),""))</f>
      </c>
      <c r="K78" s="684">
        <f>IF(終値!A78="","",IFERROR(4*STDEVP(終値!N78:AG78)/AVERAGE(終値!N78:AG78),""))</f>
      </c>
      <c r="L78" s="684">
        <f>IF(終値!A78="","",IFERROR(4*STDEVP(終値!O78:AH78)/AVERAGE(終値!O78:AH78),""))</f>
      </c>
      <c r="M78" s="684">
        <f>IF(終値!A78="","",IFERROR(4*STDEVP(終値!P78:AI78)/AVERAGE(終値!P78:AI78),""))</f>
      </c>
      <c r="N78" s="684">
        <f>IF(終値!A78="","",IFERROR(4*STDEVP(終値!Q78:AJ78)/AVERAGE(終値!Q78:AJ78),""))</f>
      </c>
      <c r="O78" s="684">
        <f>IF(終値!A78="","",IFERROR(4*STDEVP(終値!R78:AK78)/AVERAGE(終値!R78:AK78),""))</f>
      </c>
      <c r="P78" s="684">
        <f>IF(終値!A78="","",IFERROR(4*STDEVP(終値!S78:AL78)/AVERAGE(終値!S78:AL78),""))</f>
      </c>
      <c r="Q78" s="684">
        <f>IF(終値!A78="","",IFERROR(4*STDEVP(終値!T78:AM78)/AVERAGE(終値!T78:AM78),""))</f>
      </c>
      <c r="R78" s="684">
        <f>IF(終値!A78="","",IFERROR(4*STDEVP(終値!U78:AN78)/AVERAGE(終値!U78:AN78),""))</f>
      </c>
      <c r="S78" s="684">
        <f>IF(終値!A78="","",IFERROR(4*STDEVP(終値!V78:AO78)/AVERAGE(終値!V78:AO78),""))</f>
      </c>
      <c r="T78" s="684">
        <f>IF(終値!A78="","",IFERROR(4*STDEVP(終値!W78:AP78)/AVERAGE(終値!W78:AP78),""))</f>
      </c>
      <c r="U78" s="684">
        <f>IF(終値!A78="","",IFERROR(4*STDEVP(終値!X78:AQ78)/AVERAGE(終値!X78:AQ78),""))</f>
      </c>
      <c r="V78" s="684">
        <f>IF(終値!A78="","",IFERROR(4*STDEVP(終値!Y78:AR78)/AVERAGE(終値!Y78:AR78),""))</f>
      </c>
      <c r="W78" s="684">
        <f>IF(終値!A78="","",IFERROR(4*STDEVP(終値!Z78:AS78)/AVERAGE(終値!Z78:AS78),""))</f>
      </c>
      <c r="X78" s="684">
        <f>IF(終値!A78="","",IFERROR(4*STDEVP(終値!AA78:AT78)/AVERAGE(終値!AA78:AT78),""))</f>
      </c>
      <c r="Y78" s="684">
        <f>IF(終値!A78="","",IFERROR(4*STDEVP(終値!AB78:AU78)/AVERAGE(終値!AB78:AU78),""))</f>
      </c>
      <c r="Z78" s="684">
        <f>IF(終値!A78="","",IFERROR(4*STDEVP(終値!AC78:AV78)/AVERAGE(終値!AC78:AV78),""))</f>
      </c>
      <c r="AA78" s="684">
        <f>IF(終値!A78="","",IFERROR(4*STDEVP(終値!AD78:AW78)/AVERAGE(終値!AD78:AW78),""))</f>
      </c>
      <c r="AB78" s="684">
        <f>IF(終値!A78="","",IFERROR(4*STDEVP(終値!AE78:AX78)/AVERAGE(終値!AE78:AX78),""))</f>
      </c>
      <c r="AC78" s="684">
        <f>IF(終値!A78="","",IFERROR(4*STDEVP(終値!AF78:AY78)/AVERAGE(終値!AF78:AY78),""))</f>
      </c>
      <c r="AD78" s="684">
        <f>IF(終値!A78="","",IFERROR(4*STDEVP(終値!AG78:AZ78)/AVERAGE(終値!AG78:AZ78),""))</f>
      </c>
      <c r="AE78" s="684">
        <f>IF(終値!A78="","",IFERROR(4*STDEVP(終値!AH78:BA78)/AVERAGE(終値!AH78:BA78),""))</f>
      </c>
      <c r="AF78" s="684">
        <f>IF(終値!A78="","",IFERROR(4*STDEVP(終値!AI78:BB78)/AVERAGE(終値!AI78:BB78),""))</f>
      </c>
      <c r="AG78" s="684">
        <f>IF(終値!A78="","",IFERROR(4*STDEVP(終値!AJ78:BC78)/AVERAGE(終値!AJ78:BC78),""))</f>
      </c>
      <c r="AH78" s="684">
        <f>IF(終値!A78="","",IFERROR(4*STDEVP(終値!AK78:BD78)/AVERAGE(終値!AK78:BD78),""))</f>
      </c>
      <c r="AI78" s="684">
        <f>IF(終値!A78="","",IFERROR(4*STDEVP(終値!AL78:BE78)/AVERAGE(終値!AL78:BE78),""))</f>
      </c>
      <c r="AJ78" s="684">
        <f>IF(終値!A78="","",IFERROR(4*STDEVP(終値!AM78:BF78)/AVERAGE(終値!AM78:BF78),""))</f>
      </c>
      <c r="AK78" s="684">
        <f>IF(終値!A78="","",IFERROR(4*STDEVP(終値!AN78:BG78)/AVERAGE(終値!AN78:BG78),""))</f>
      </c>
      <c r="AL78" s="684">
        <f>IF(終値!A78="","",IFERROR(4*STDEVP(終値!AO78:BH78)/AVERAGE(終値!AO78:BH78),""))</f>
      </c>
      <c r="AM78" s="684">
        <f>IF(終値!A78="","",IFERROR(4*STDEVP(終値!AP78:BI78)/AVERAGE(終値!AP78:BI78),""))</f>
      </c>
      <c r="AN78" s="684">
        <f>IF(終値!A78="","",IFERROR(4*STDEVP(終値!AQ78:BJ78)/AVERAGE(終値!AQ78:BJ78),""))</f>
      </c>
      <c r="AO78" s="684">
        <f>IF(終値!A78="","",IFERROR(4*STDEVP(終値!AR78:BK78)/AVERAGE(終値!AR78:BK78),""))</f>
      </c>
      <c r="AP78" s="684">
        <f>IF(終値!A78="","",IFERROR(4*STDEVP(終値!AS78:BL78)/AVERAGE(終値!AS78:BL78),""))</f>
      </c>
    </row>
    <row r="79">
      <c r="A79" s="681">
        <f>IF(終値!A79="","",終値!A79)</f>
      </c>
      <c r="B79" s="684">
        <f>IF(終値!A79="","",IFERROR(4*STDEVP(終値!E79:X79)/AVERAGE(終値!E79:X79),""))</f>
      </c>
      <c r="C79" s="684">
        <f>IF(終値!A79="","",IFERROR(4*STDEVP(終値!F79:Y79)/AVERAGE(終値!F79:Y79),""))</f>
      </c>
      <c r="D79" s="684">
        <f>IF(終値!A79="","",IFERROR(4*STDEVP(終値!G79:Z79)/AVERAGE(終値!G79:Z79),""))</f>
      </c>
      <c r="E79" s="684">
        <f>IF(終値!A79="","",IFERROR(4*STDEVP(終値!H79:AA79)/AVERAGE(終値!H79:AA79),""))</f>
      </c>
      <c r="F79" s="684">
        <f>IF(終値!A79="","",IFERROR(4*STDEVP(終値!I79:AB79)/AVERAGE(終値!I79:AB79),""))</f>
      </c>
      <c r="G79" s="684">
        <f>IF(終値!A79="","",IFERROR(4*STDEVP(終値!J79:AC79)/AVERAGE(終値!J79:AC79),""))</f>
      </c>
      <c r="H79" s="684">
        <f>IF(終値!A79="","",IFERROR(4*STDEVP(終値!K79:AD79)/AVERAGE(終値!K79:AD79),""))</f>
      </c>
      <c r="I79" s="684">
        <f>IF(終値!A79="","",IFERROR(4*STDEVP(終値!L79:AE79)/AVERAGE(終値!L79:AE79),""))</f>
      </c>
      <c r="J79" s="684">
        <f>IF(終値!A79="","",IFERROR(4*STDEVP(終値!M79:AF79)/AVERAGE(終値!M79:AF79),""))</f>
      </c>
      <c r="K79" s="684">
        <f>IF(終値!A79="","",IFERROR(4*STDEVP(終値!N79:AG79)/AVERAGE(終値!N79:AG79),""))</f>
      </c>
      <c r="L79" s="684">
        <f>IF(終値!A79="","",IFERROR(4*STDEVP(終値!O79:AH79)/AVERAGE(終値!O79:AH79),""))</f>
      </c>
      <c r="M79" s="684">
        <f>IF(終値!A79="","",IFERROR(4*STDEVP(終値!P79:AI79)/AVERAGE(終値!P79:AI79),""))</f>
      </c>
      <c r="N79" s="684">
        <f>IF(終値!A79="","",IFERROR(4*STDEVP(終値!Q79:AJ79)/AVERAGE(終値!Q79:AJ79),""))</f>
      </c>
      <c r="O79" s="684">
        <f>IF(終値!A79="","",IFERROR(4*STDEVP(終値!R79:AK79)/AVERAGE(終値!R79:AK79),""))</f>
      </c>
      <c r="P79" s="684">
        <f>IF(終値!A79="","",IFERROR(4*STDEVP(終値!S79:AL79)/AVERAGE(終値!S79:AL79),""))</f>
      </c>
      <c r="Q79" s="684">
        <f>IF(終値!A79="","",IFERROR(4*STDEVP(終値!T79:AM79)/AVERAGE(終値!T79:AM79),""))</f>
      </c>
      <c r="R79" s="684">
        <f>IF(終値!A79="","",IFERROR(4*STDEVP(終値!U79:AN79)/AVERAGE(終値!U79:AN79),""))</f>
      </c>
      <c r="S79" s="684">
        <f>IF(終値!A79="","",IFERROR(4*STDEVP(終値!V79:AO79)/AVERAGE(終値!V79:AO79),""))</f>
      </c>
      <c r="T79" s="684">
        <f>IF(終値!A79="","",IFERROR(4*STDEVP(終値!W79:AP79)/AVERAGE(終値!W79:AP79),""))</f>
      </c>
      <c r="U79" s="684">
        <f>IF(終値!A79="","",IFERROR(4*STDEVP(終値!X79:AQ79)/AVERAGE(終値!X79:AQ79),""))</f>
      </c>
      <c r="V79" s="684">
        <f>IF(終値!A79="","",IFERROR(4*STDEVP(終値!Y79:AR79)/AVERAGE(終値!Y79:AR79),""))</f>
      </c>
      <c r="W79" s="684">
        <f>IF(終値!A79="","",IFERROR(4*STDEVP(終値!Z79:AS79)/AVERAGE(終値!Z79:AS79),""))</f>
      </c>
      <c r="X79" s="684">
        <f>IF(終値!A79="","",IFERROR(4*STDEVP(終値!AA79:AT79)/AVERAGE(終値!AA79:AT79),""))</f>
      </c>
      <c r="Y79" s="684">
        <f>IF(終値!A79="","",IFERROR(4*STDEVP(終値!AB79:AU79)/AVERAGE(終値!AB79:AU79),""))</f>
      </c>
      <c r="Z79" s="684">
        <f>IF(終値!A79="","",IFERROR(4*STDEVP(終値!AC79:AV79)/AVERAGE(終値!AC79:AV79),""))</f>
      </c>
      <c r="AA79" s="684">
        <f>IF(終値!A79="","",IFERROR(4*STDEVP(終値!AD79:AW79)/AVERAGE(終値!AD79:AW79),""))</f>
      </c>
      <c r="AB79" s="684">
        <f>IF(終値!A79="","",IFERROR(4*STDEVP(終値!AE79:AX79)/AVERAGE(終値!AE79:AX79),""))</f>
      </c>
      <c r="AC79" s="684">
        <f>IF(終値!A79="","",IFERROR(4*STDEVP(終値!AF79:AY79)/AVERAGE(終値!AF79:AY79),""))</f>
      </c>
      <c r="AD79" s="684">
        <f>IF(終値!A79="","",IFERROR(4*STDEVP(終値!AG79:AZ79)/AVERAGE(終値!AG79:AZ79),""))</f>
      </c>
      <c r="AE79" s="684">
        <f>IF(終値!A79="","",IFERROR(4*STDEVP(終値!AH79:BA79)/AVERAGE(終値!AH79:BA79),""))</f>
      </c>
      <c r="AF79" s="684">
        <f>IF(終値!A79="","",IFERROR(4*STDEVP(終値!AI79:BB79)/AVERAGE(終値!AI79:BB79),""))</f>
      </c>
      <c r="AG79" s="684">
        <f>IF(終値!A79="","",IFERROR(4*STDEVP(終値!AJ79:BC79)/AVERAGE(終値!AJ79:BC79),""))</f>
      </c>
      <c r="AH79" s="684">
        <f>IF(終値!A79="","",IFERROR(4*STDEVP(終値!AK79:BD79)/AVERAGE(終値!AK79:BD79),""))</f>
      </c>
      <c r="AI79" s="684">
        <f>IF(終値!A79="","",IFERROR(4*STDEVP(終値!AL79:BE79)/AVERAGE(終値!AL79:BE79),""))</f>
      </c>
      <c r="AJ79" s="684">
        <f>IF(終値!A79="","",IFERROR(4*STDEVP(終値!AM79:BF79)/AVERAGE(終値!AM79:BF79),""))</f>
      </c>
      <c r="AK79" s="684">
        <f>IF(終値!A79="","",IFERROR(4*STDEVP(終値!AN79:BG79)/AVERAGE(終値!AN79:BG79),""))</f>
      </c>
      <c r="AL79" s="684">
        <f>IF(終値!A79="","",IFERROR(4*STDEVP(終値!AO79:BH79)/AVERAGE(終値!AO79:BH79),""))</f>
      </c>
      <c r="AM79" s="684">
        <f>IF(終値!A79="","",IFERROR(4*STDEVP(終値!AP79:BI79)/AVERAGE(終値!AP79:BI79),""))</f>
      </c>
      <c r="AN79" s="684">
        <f>IF(終値!A79="","",IFERROR(4*STDEVP(終値!AQ79:BJ79)/AVERAGE(終値!AQ79:BJ79),""))</f>
      </c>
      <c r="AO79" s="684">
        <f>IF(終値!A79="","",IFERROR(4*STDEVP(終値!AR79:BK79)/AVERAGE(終値!AR79:BK79),""))</f>
      </c>
      <c r="AP79" s="684">
        <f>IF(終値!A79="","",IFERROR(4*STDEVP(終値!AS79:BL79)/AVERAGE(終値!AS79:BL79),""))</f>
      </c>
    </row>
    <row r="80">
      <c r="A80" s="681">
        <f>IF(終値!A80="","",終値!A80)</f>
      </c>
      <c r="B80" s="684">
        <f>IF(終値!A80="","",IFERROR(4*STDEVP(終値!E80:X80)/AVERAGE(終値!E80:X80),""))</f>
      </c>
      <c r="C80" s="684">
        <f>IF(終値!A80="","",IFERROR(4*STDEVP(終値!F80:Y80)/AVERAGE(終値!F80:Y80),""))</f>
      </c>
      <c r="D80" s="684">
        <f>IF(終値!A80="","",IFERROR(4*STDEVP(終値!G80:Z80)/AVERAGE(終値!G80:Z80),""))</f>
      </c>
      <c r="E80" s="684">
        <f>IF(終値!A80="","",IFERROR(4*STDEVP(終値!H80:AA80)/AVERAGE(終値!H80:AA80),""))</f>
      </c>
      <c r="F80" s="684">
        <f>IF(終値!A80="","",IFERROR(4*STDEVP(終値!I80:AB80)/AVERAGE(終値!I80:AB80),""))</f>
      </c>
      <c r="G80" s="684">
        <f>IF(終値!A80="","",IFERROR(4*STDEVP(終値!J80:AC80)/AVERAGE(終値!J80:AC80),""))</f>
      </c>
      <c r="H80" s="684">
        <f>IF(終値!A80="","",IFERROR(4*STDEVP(終値!K80:AD80)/AVERAGE(終値!K80:AD80),""))</f>
      </c>
      <c r="I80" s="684">
        <f>IF(終値!A80="","",IFERROR(4*STDEVP(終値!L80:AE80)/AVERAGE(終値!L80:AE80),""))</f>
      </c>
      <c r="J80" s="684">
        <f>IF(終値!A80="","",IFERROR(4*STDEVP(終値!M80:AF80)/AVERAGE(終値!M80:AF80),""))</f>
      </c>
      <c r="K80" s="684">
        <f>IF(終値!A80="","",IFERROR(4*STDEVP(終値!N80:AG80)/AVERAGE(終値!N80:AG80),""))</f>
      </c>
      <c r="L80" s="684">
        <f>IF(終値!A80="","",IFERROR(4*STDEVP(終値!O80:AH80)/AVERAGE(終値!O80:AH80),""))</f>
      </c>
      <c r="M80" s="684">
        <f>IF(終値!A80="","",IFERROR(4*STDEVP(終値!P80:AI80)/AVERAGE(終値!P80:AI80),""))</f>
      </c>
      <c r="N80" s="684">
        <f>IF(終値!A80="","",IFERROR(4*STDEVP(終値!Q80:AJ80)/AVERAGE(終値!Q80:AJ80),""))</f>
      </c>
      <c r="O80" s="684">
        <f>IF(終値!A80="","",IFERROR(4*STDEVP(終値!R80:AK80)/AVERAGE(終値!R80:AK80),""))</f>
      </c>
      <c r="P80" s="684">
        <f>IF(終値!A80="","",IFERROR(4*STDEVP(終値!S80:AL80)/AVERAGE(終値!S80:AL80),""))</f>
      </c>
      <c r="Q80" s="684">
        <f>IF(終値!A80="","",IFERROR(4*STDEVP(終値!T80:AM80)/AVERAGE(終値!T80:AM80),""))</f>
      </c>
      <c r="R80" s="684">
        <f>IF(終値!A80="","",IFERROR(4*STDEVP(終値!U80:AN80)/AVERAGE(終値!U80:AN80),""))</f>
      </c>
      <c r="S80" s="684">
        <f>IF(終値!A80="","",IFERROR(4*STDEVP(終値!V80:AO80)/AVERAGE(終値!V80:AO80),""))</f>
      </c>
      <c r="T80" s="684">
        <f>IF(終値!A80="","",IFERROR(4*STDEVP(終値!W80:AP80)/AVERAGE(終値!W80:AP80),""))</f>
      </c>
      <c r="U80" s="684">
        <f>IF(終値!A80="","",IFERROR(4*STDEVP(終値!X80:AQ80)/AVERAGE(終値!X80:AQ80),""))</f>
      </c>
      <c r="V80" s="684">
        <f>IF(終値!A80="","",IFERROR(4*STDEVP(終値!Y80:AR80)/AVERAGE(終値!Y80:AR80),""))</f>
      </c>
      <c r="W80" s="684">
        <f>IF(終値!A80="","",IFERROR(4*STDEVP(終値!Z80:AS80)/AVERAGE(終値!Z80:AS80),""))</f>
      </c>
      <c r="X80" s="684">
        <f>IF(終値!A80="","",IFERROR(4*STDEVP(終値!AA80:AT80)/AVERAGE(終値!AA80:AT80),""))</f>
      </c>
      <c r="Y80" s="684">
        <f>IF(終値!A80="","",IFERROR(4*STDEVP(終値!AB80:AU80)/AVERAGE(終値!AB80:AU80),""))</f>
      </c>
      <c r="Z80" s="684">
        <f>IF(終値!A80="","",IFERROR(4*STDEVP(終値!AC80:AV80)/AVERAGE(終値!AC80:AV80),""))</f>
      </c>
      <c r="AA80" s="684">
        <f>IF(終値!A80="","",IFERROR(4*STDEVP(終値!AD80:AW80)/AVERAGE(終値!AD80:AW80),""))</f>
      </c>
      <c r="AB80" s="684">
        <f>IF(終値!A80="","",IFERROR(4*STDEVP(終値!AE80:AX80)/AVERAGE(終値!AE80:AX80),""))</f>
      </c>
      <c r="AC80" s="684">
        <f>IF(終値!A80="","",IFERROR(4*STDEVP(終値!AF80:AY80)/AVERAGE(終値!AF80:AY80),""))</f>
      </c>
      <c r="AD80" s="684">
        <f>IF(終値!A80="","",IFERROR(4*STDEVP(終値!AG80:AZ80)/AVERAGE(終値!AG80:AZ80),""))</f>
      </c>
      <c r="AE80" s="684">
        <f>IF(終値!A80="","",IFERROR(4*STDEVP(終値!AH80:BA80)/AVERAGE(終値!AH80:BA80),""))</f>
      </c>
      <c r="AF80" s="684">
        <f>IF(終値!A80="","",IFERROR(4*STDEVP(終値!AI80:BB80)/AVERAGE(終値!AI80:BB80),""))</f>
      </c>
      <c r="AG80" s="684">
        <f>IF(終値!A80="","",IFERROR(4*STDEVP(終値!AJ80:BC80)/AVERAGE(終値!AJ80:BC80),""))</f>
      </c>
      <c r="AH80" s="684">
        <f>IF(終値!A80="","",IFERROR(4*STDEVP(終値!AK80:BD80)/AVERAGE(終値!AK80:BD80),""))</f>
      </c>
      <c r="AI80" s="684">
        <f>IF(終値!A80="","",IFERROR(4*STDEVP(終値!AL80:BE80)/AVERAGE(終値!AL80:BE80),""))</f>
      </c>
      <c r="AJ80" s="684">
        <f>IF(終値!A80="","",IFERROR(4*STDEVP(終値!AM80:BF80)/AVERAGE(終値!AM80:BF80),""))</f>
      </c>
      <c r="AK80" s="684">
        <f>IF(終値!A80="","",IFERROR(4*STDEVP(終値!AN80:BG80)/AVERAGE(終値!AN80:BG80),""))</f>
      </c>
      <c r="AL80" s="684">
        <f>IF(終値!A80="","",IFERROR(4*STDEVP(終値!AO80:BH80)/AVERAGE(終値!AO80:BH80),""))</f>
      </c>
      <c r="AM80" s="684">
        <f>IF(終値!A80="","",IFERROR(4*STDEVP(終値!AP80:BI80)/AVERAGE(終値!AP80:BI80),""))</f>
      </c>
      <c r="AN80" s="684">
        <f>IF(終値!A80="","",IFERROR(4*STDEVP(終値!AQ80:BJ80)/AVERAGE(終値!AQ80:BJ80),""))</f>
      </c>
      <c r="AO80" s="684">
        <f>IF(終値!A80="","",IFERROR(4*STDEVP(終値!AR80:BK80)/AVERAGE(終値!AR80:BK80),""))</f>
      </c>
      <c r="AP80" s="684">
        <f>IF(終値!A80="","",IFERROR(4*STDEVP(終値!AS80:BL80)/AVERAGE(終値!AS80:BL80),""))</f>
      </c>
    </row>
    <row r="81">
      <c r="A81" s="681">
        <f>IF(終値!A81="","",終値!A81)</f>
      </c>
      <c r="B81" s="684">
        <f>IF(終値!A81="","",IFERROR(4*STDEVP(終値!E81:X81)/AVERAGE(終値!E81:X81),""))</f>
      </c>
      <c r="C81" s="684">
        <f>IF(終値!A81="","",IFERROR(4*STDEVP(終値!F81:Y81)/AVERAGE(終値!F81:Y81),""))</f>
      </c>
      <c r="D81" s="684">
        <f>IF(終値!A81="","",IFERROR(4*STDEVP(終値!G81:Z81)/AVERAGE(終値!G81:Z81),""))</f>
      </c>
      <c r="E81" s="684">
        <f>IF(終値!A81="","",IFERROR(4*STDEVP(終値!H81:AA81)/AVERAGE(終値!H81:AA81),""))</f>
      </c>
      <c r="F81" s="684">
        <f>IF(終値!A81="","",IFERROR(4*STDEVP(終値!I81:AB81)/AVERAGE(終値!I81:AB81),""))</f>
      </c>
      <c r="G81" s="684">
        <f>IF(終値!A81="","",IFERROR(4*STDEVP(終値!J81:AC81)/AVERAGE(終値!J81:AC81),""))</f>
      </c>
      <c r="H81" s="684">
        <f>IF(終値!A81="","",IFERROR(4*STDEVP(終値!K81:AD81)/AVERAGE(終値!K81:AD81),""))</f>
      </c>
      <c r="I81" s="684">
        <f>IF(終値!A81="","",IFERROR(4*STDEVP(終値!L81:AE81)/AVERAGE(終値!L81:AE81),""))</f>
      </c>
      <c r="J81" s="684">
        <f>IF(終値!A81="","",IFERROR(4*STDEVP(終値!M81:AF81)/AVERAGE(終値!M81:AF81),""))</f>
      </c>
      <c r="K81" s="684">
        <f>IF(終値!A81="","",IFERROR(4*STDEVP(終値!N81:AG81)/AVERAGE(終値!N81:AG81),""))</f>
      </c>
      <c r="L81" s="684">
        <f>IF(終値!A81="","",IFERROR(4*STDEVP(終値!O81:AH81)/AVERAGE(終値!O81:AH81),""))</f>
      </c>
      <c r="M81" s="684">
        <f>IF(終値!A81="","",IFERROR(4*STDEVP(終値!P81:AI81)/AVERAGE(終値!P81:AI81),""))</f>
      </c>
      <c r="N81" s="684">
        <f>IF(終値!A81="","",IFERROR(4*STDEVP(終値!Q81:AJ81)/AVERAGE(終値!Q81:AJ81),""))</f>
      </c>
      <c r="O81" s="684">
        <f>IF(終値!A81="","",IFERROR(4*STDEVP(終値!R81:AK81)/AVERAGE(終値!R81:AK81),""))</f>
      </c>
      <c r="P81" s="684">
        <f>IF(終値!A81="","",IFERROR(4*STDEVP(終値!S81:AL81)/AVERAGE(終値!S81:AL81),""))</f>
      </c>
      <c r="Q81" s="684">
        <f>IF(終値!A81="","",IFERROR(4*STDEVP(終値!T81:AM81)/AVERAGE(終値!T81:AM81),""))</f>
      </c>
      <c r="R81" s="684">
        <f>IF(終値!A81="","",IFERROR(4*STDEVP(終値!U81:AN81)/AVERAGE(終値!U81:AN81),""))</f>
      </c>
      <c r="S81" s="684">
        <f>IF(終値!A81="","",IFERROR(4*STDEVP(終値!V81:AO81)/AVERAGE(終値!V81:AO81),""))</f>
      </c>
      <c r="T81" s="684">
        <f>IF(終値!A81="","",IFERROR(4*STDEVP(終値!W81:AP81)/AVERAGE(終値!W81:AP81),""))</f>
      </c>
      <c r="U81" s="684">
        <f>IF(終値!A81="","",IFERROR(4*STDEVP(終値!X81:AQ81)/AVERAGE(終値!X81:AQ81),""))</f>
      </c>
      <c r="V81" s="684">
        <f>IF(終値!A81="","",IFERROR(4*STDEVP(終値!Y81:AR81)/AVERAGE(終値!Y81:AR81),""))</f>
      </c>
      <c r="W81" s="684">
        <f>IF(終値!A81="","",IFERROR(4*STDEVP(終値!Z81:AS81)/AVERAGE(終値!Z81:AS81),""))</f>
      </c>
      <c r="X81" s="684">
        <f>IF(終値!A81="","",IFERROR(4*STDEVP(終値!AA81:AT81)/AVERAGE(終値!AA81:AT81),""))</f>
      </c>
      <c r="Y81" s="684">
        <f>IF(終値!A81="","",IFERROR(4*STDEVP(終値!AB81:AU81)/AVERAGE(終値!AB81:AU81),""))</f>
      </c>
      <c r="Z81" s="684">
        <f>IF(終値!A81="","",IFERROR(4*STDEVP(終値!AC81:AV81)/AVERAGE(終値!AC81:AV81),""))</f>
      </c>
      <c r="AA81" s="684">
        <f>IF(終値!A81="","",IFERROR(4*STDEVP(終値!AD81:AW81)/AVERAGE(終値!AD81:AW81),""))</f>
      </c>
      <c r="AB81" s="684">
        <f>IF(終値!A81="","",IFERROR(4*STDEVP(終値!AE81:AX81)/AVERAGE(終値!AE81:AX81),""))</f>
      </c>
      <c r="AC81" s="684">
        <f>IF(終値!A81="","",IFERROR(4*STDEVP(終値!AF81:AY81)/AVERAGE(終値!AF81:AY81),""))</f>
      </c>
      <c r="AD81" s="684">
        <f>IF(終値!A81="","",IFERROR(4*STDEVP(終値!AG81:AZ81)/AVERAGE(終値!AG81:AZ81),""))</f>
      </c>
      <c r="AE81" s="684">
        <f>IF(終値!A81="","",IFERROR(4*STDEVP(終値!AH81:BA81)/AVERAGE(終値!AH81:BA81),""))</f>
      </c>
      <c r="AF81" s="684">
        <f>IF(終値!A81="","",IFERROR(4*STDEVP(終値!AI81:BB81)/AVERAGE(終値!AI81:BB81),""))</f>
      </c>
      <c r="AG81" s="684">
        <f>IF(終値!A81="","",IFERROR(4*STDEVP(終値!AJ81:BC81)/AVERAGE(終値!AJ81:BC81),""))</f>
      </c>
      <c r="AH81" s="684">
        <f>IF(終値!A81="","",IFERROR(4*STDEVP(終値!AK81:BD81)/AVERAGE(終値!AK81:BD81),""))</f>
      </c>
      <c r="AI81" s="684">
        <f>IF(終値!A81="","",IFERROR(4*STDEVP(終値!AL81:BE81)/AVERAGE(終値!AL81:BE81),""))</f>
      </c>
      <c r="AJ81" s="684">
        <f>IF(終値!A81="","",IFERROR(4*STDEVP(終値!AM81:BF81)/AVERAGE(終値!AM81:BF81),""))</f>
      </c>
      <c r="AK81" s="684">
        <f>IF(終値!A81="","",IFERROR(4*STDEVP(終値!AN81:BG81)/AVERAGE(終値!AN81:BG81),""))</f>
      </c>
      <c r="AL81" s="684">
        <f>IF(終値!A81="","",IFERROR(4*STDEVP(終値!AO81:BH81)/AVERAGE(終値!AO81:BH81),""))</f>
      </c>
      <c r="AM81" s="684">
        <f>IF(終値!A81="","",IFERROR(4*STDEVP(終値!AP81:BI81)/AVERAGE(終値!AP81:BI81),""))</f>
      </c>
      <c r="AN81" s="684">
        <f>IF(終値!A81="","",IFERROR(4*STDEVP(終値!AQ81:BJ81)/AVERAGE(終値!AQ81:BJ81),""))</f>
      </c>
      <c r="AO81" s="684">
        <f>IF(終値!A81="","",IFERROR(4*STDEVP(終値!AR81:BK81)/AVERAGE(終値!AR81:BK81),""))</f>
      </c>
      <c r="AP81" s="684">
        <f>IF(終値!A81="","",IFERROR(4*STDEVP(終値!AS81:BL81)/AVERAGE(終値!AS81:BL81),""))</f>
      </c>
    </row>
    <row r="82">
      <c r="A82" s="681">
        <f>IF(終値!A82="","",終値!A82)</f>
      </c>
      <c r="B82" s="684">
        <f>IF(終値!A82="","",IFERROR(4*STDEVP(終値!E82:X82)/AVERAGE(終値!E82:X82),""))</f>
      </c>
      <c r="C82" s="684">
        <f>IF(終値!A82="","",IFERROR(4*STDEVP(終値!F82:Y82)/AVERAGE(終値!F82:Y82),""))</f>
      </c>
      <c r="D82" s="684">
        <f>IF(終値!A82="","",IFERROR(4*STDEVP(終値!G82:Z82)/AVERAGE(終値!G82:Z82),""))</f>
      </c>
      <c r="E82" s="684">
        <f>IF(終値!A82="","",IFERROR(4*STDEVP(終値!H82:AA82)/AVERAGE(終値!H82:AA82),""))</f>
      </c>
      <c r="F82" s="684">
        <f>IF(終値!A82="","",IFERROR(4*STDEVP(終値!I82:AB82)/AVERAGE(終値!I82:AB82),""))</f>
      </c>
      <c r="G82" s="684">
        <f>IF(終値!A82="","",IFERROR(4*STDEVP(終値!J82:AC82)/AVERAGE(終値!J82:AC82),""))</f>
      </c>
      <c r="H82" s="684">
        <f>IF(終値!A82="","",IFERROR(4*STDEVP(終値!K82:AD82)/AVERAGE(終値!K82:AD82),""))</f>
      </c>
      <c r="I82" s="684">
        <f>IF(終値!A82="","",IFERROR(4*STDEVP(終値!L82:AE82)/AVERAGE(終値!L82:AE82),""))</f>
      </c>
      <c r="J82" s="684">
        <f>IF(終値!A82="","",IFERROR(4*STDEVP(終値!M82:AF82)/AVERAGE(終値!M82:AF82),""))</f>
      </c>
      <c r="K82" s="684">
        <f>IF(終値!A82="","",IFERROR(4*STDEVP(終値!N82:AG82)/AVERAGE(終値!N82:AG82),""))</f>
      </c>
      <c r="L82" s="684">
        <f>IF(終値!A82="","",IFERROR(4*STDEVP(終値!O82:AH82)/AVERAGE(終値!O82:AH82),""))</f>
      </c>
      <c r="M82" s="684">
        <f>IF(終値!A82="","",IFERROR(4*STDEVP(終値!P82:AI82)/AVERAGE(終値!P82:AI82),""))</f>
      </c>
      <c r="N82" s="684">
        <f>IF(終値!A82="","",IFERROR(4*STDEVP(終値!Q82:AJ82)/AVERAGE(終値!Q82:AJ82),""))</f>
      </c>
      <c r="O82" s="684">
        <f>IF(終値!A82="","",IFERROR(4*STDEVP(終値!R82:AK82)/AVERAGE(終値!R82:AK82),""))</f>
      </c>
      <c r="P82" s="684">
        <f>IF(終値!A82="","",IFERROR(4*STDEVP(終値!S82:AL82)/AVERAGE(終値!S82:AL82),""))</f>
      </c>
      <c r="Q82" s="684">
        <f>IF(終値!A82="","",IFERROR(4*STDEVP(終値!T82:AM82)/AVERAGE(終値!T82:AM82),""))</f>
      </c>
      <c r="R82" s="684">
        <f>IF(終値!A82="","",IFERROR(4*STDEVP(終値!U82:AN82)/AVERAGE(終値!U82:AN82),""))</f>
      </c>
      <c r="S82" s="684">
        <f>IF(終値!A82="","",IFERROR(4*STDEVP(終値!V82:AO82)/AVERAGE(終値!V82:AO82),""))</f>
      </c>
      <c r="T82" s="684">
        <f>IF(終値!A82="","",IFERROR(4*STDEVP(終値!W82:AP82)/AVERAGE(終値!W82:AP82),""))</f>
      </c>
      <c r="U82" s="684">
        <f>IF(終値!A82="","",IFERROR(4*STDEVP(終値!X82:AQ82)/AVERAGE(終値!X82:AQ82),""))</f>
      </c>
      <c r="V82" s="684">
        <f>IF(終値!A82="","",IFERROR(4*STDEVP(終値!Y82:AR82)/AVERAGE(終値!Y82:AR82),""))</f>
      </c>
      <c r="W82" s="684">
        <f>IF(終値!A82="","",IFERROR(4*STDEVP(終値!Z82:AS82)/AVERAGE(終値!Z82:AS82),""))</f>
      </c>
      <c r="X82" s="684">
        <f>IF(終値!A82="","",IFERROR(4*STDEVP(終値!AA82:AT82)/AVERAGE(終値!AA82:AT82),""))</f>
      </c>
      <c r="Y82" s="684">
        <f>IF(終値!A82="","",IFERROR(4*STDEVP(終値!AB82:AU82)/AVERAGE(終値!AB82:AU82),""))</f>
      </c>
      <c r="Z82" s="684">
        <f>IF(終値!A82="","",IFERROR(4*STDEVP(終値!AC82:AV82)/AVERAGE(終値!AC82:AV82),""))</f>
      </c>
      <c r="AA82" s="684">
        <f>IF(終値!A82="","",IFERROR(4*STDEVP(終値!AD82:AW82)/AVERAGE(終値!AD82:AW82),""))</f>
      </c>
      <c r="AB82" s="684">
        <f>IF(終値!A82="","",IFERROR(4*STDEVP(終値!AE82:AX82)/AVERAGE(終値!AE82:AX82),""))</f>
      </c>
      <c r="AC82" s="684">
        <f>IF(終値!A82="","",IFERROR(4*STDEVP(終値!AF82:AY82)/AVERAGE(終値!AF82:AY82),""))</f>
      </c>
      <c r="AD82" s="684">
        <f>IF(終値!A82="","",IFERROR(4*STDEVP(終値!AG82:AZ82)/AVERAGE(終値!AG82:AZ82),""))</f>
      </c>
      <c r="AE82" s="684">
        <f>IF(終値!A82="","",IFERROR(4*STDEVP(終値!AH82:BA82)/AVERAGE(終値!AH82:BA82),""))</f>
      </c>
      <c r="AF82" s="684">
        <f>IF(終値!A82="","",IFERROR(4*STDEVP(終値!AI82:BB82)/AVERAGE(終値!AI82:BB82),""))</f>
      </c>
      <c r="AG82" s="684">
        <f>IF(終値!A82="","",IFERROR(4*STDEVP(終値!AJ82:BC82)/AVERAGE(終値!AJ82:BC82),""))</f>
      </c>
      <c r="AH82" s="684">
        <f>IF(終値!A82="","",IFERROR(4*STDEVP(終値!AK82:BD82)/AVERAGE(終値!AK82:BD82),""))</f>
      </c>
      <c r="AI82" s="684">
        <f>IF(終値!A82="","",IFERROR(4*STDEVP(終値!AL82:BE82)/AVERAGE(終値!AL82:BE82),""))</f>
      </c>
      <c r="AJ82" s="684">
        <f>IF(終値!A82="","",IFERROR(4*STDEVP(終値!AM82:BF82)/AVERAGE(終値!AM82:BF82),""))</f>
      </c>
      <c r="AK82" s="684">
        <f>IF(終値!A82="","",IFERROR(4*STDEVP(終値!AN82:BG82)/AVERAGE(終値!AN82:BG82),""))</f>
      </c>
      <c r="AL82" s="684">
        <f>IF(終値!A82="","",IFERROR(4*STDEVP(終値!AO82:BH82)/AVERAGE(終値!AO82:BH82),""))</f>
      </c>
      <c r="AM82" s="684">
        <f>IF(終値!A82="","",IFERROR(4*STDEVP(終値!AP82:BI82)/AVERAGE(終値!AP82:BI82),""))</f>
      </c>
      <c r="AN82" s="684">
        <f>IF(終値!A82="","",IFERROR(4*STDEVP(終値!AQ82:BJ82)/AVERAGE(終値!AQ82:BJ82),""))</f>
      </c>
      <c r="AO82" s="684">
        <f>IF(終値!A82="","",IFERROR(4*STDEVP(終値!AR82:BK82)/AVERAGE(終値!AR82:BK82),""))</f>
      </c>
      <c r="AP82" s="684">
        <f>IF(終値!A82="","",IFERROR(4*STDEVP(終値!AS82:BL82)/AVERAGE(終値!AS82:BL82),""))</f>
      </c>
    </row>
    <row r="83">
      <c r="A83" s="681">
        <f>IF(終値!A83="","",終値!A83)</f>
      </c>
      <c r="B83" s="684">
        <f>IF(終値!A83="","",IFERROR(4*STDEVP(終値!E83:X83)/AVERAGE(終値!E83:X83),""))</f>
      </c>
      <c r="C83" s="684">
        <f>IF(終値!A83="","",IFERROR(4*STDEVP(終値!F83:Y83)/AVERAGE(終値!F83:Y83),""))</f>
      </c>
      <c r="D83" s="684">
        <f>IF(終値!A83="","",IFERROR(4*STDEVP(終値!G83:Z83)/AVERAGE(終値!G83:Z83),""))</f>
      </c>
      <c r="E83" s="684">
        <f>IF(終値!A83="","",IFERROR(4*STDEVP(終値!H83:AA83)/AVERAGE(終値!H83:AA83),""))</f>
      </c>
      <c r="F83" s="684">
        <f>IF(終値!A83="","",IFERROR(4*STDEVP(終値!I83:AB83)/AVERAGE(終値!I83:AB83),""))</f>
      </c>
      <c r="G83" s="684">
        <f>IF(終値!A83="","",IFERROR(4*STDEVP(終値!J83:AC83)/AVERAGE(終値!J83:AC83),""))</f>
      </c>
      <c r="H83" s="684">
        <f>IF(終値!A83="","",IFERROR(4*STDEVP(終値!K83:AD83)/AVERAGE(終値!K83:AD83),""))</f>
      </c>
      <c r="I83" s="684">
        <f>IF(終値!A83="","",IFERROR(4*STDEVP(終値!L83:AE83)/AVERAGE(終値!L83:AE83),""))</f>
      </c>
      <c r="J83" s="684">
        <f>IF(終値!A83="","",IFERROR(4*STDEVP(終値!M83:AF83)/AVERAGE(終値!M83:AF83),""))</f>
      </c>
      <c r="K83" s="684">
        <f>IF(終値!A83="","",IFERROR(4*STDEVP(終値!N83:AG83)/AVERAGE(終値!N83:AG83),""))</f>
      </c>
      <c r="L83" s="684">
        <f>IF(終値!A83="","",IFERROR(4*STDEVP(終値!O83:AH83)/AVERAGE(終値!O83:AH83),""))</f>
      </c>
      <c r="M83" s="684">
        <f>IF(終値!A83="","",IFERROR(4*STDEVP(終値!P83:AI83)/AVERAGE(終値!P83:AI83),""))</f>
      </c>
      <c r="N83" s="684">
        <f>IF(終値!A83="","",IFERROR(4*STDEVP(終値!Q83:AJ83)/AVERAGE(終値!Q83:AJ83),""))</f>
      </c>
      <c r="O83" s="684">
        <f>IF(終値!A83="","",IFERROR(4*STDEVP(終値!R83:AK83)/AVERAGE(終値!R83:AK83),""))</f>
      </c>
      <c r="P83" s="684">
        <f>IF(終値!A83="","",IFERROR(4*STDEVP(終値!S83:AL83)/AVERAGE(終値!S83:AL83),""))</f>
      </c>
      <c r="Q83" s="684">
        <f>IF(終値!A83="","",IFERROR(4*STDEVP(終値!T83:AM83)/AVERAGE(終値!T83:AM83),""))</f>
      </c>
      <c r="R83" s="684">
        <f>IF(終値!A83="","",IFERROR(4*STDEVP(終値!U83:AN83)/AVERAGE(終値!U83:AN83),""))</f>
      </c>
      <c r="S83" s="684">
        <f>IF(終値!A83="","",IFERROR(4*STDEVP(終値!V83:AO83)/AVERAGE(終値!V83:AO83),""))</f>
      </c>
      <c r="T83" s="684">
        <f>IF(終値!A83="","",IFERROR(4*STDEVP(終値!W83:AP83)/AVERAGE(終値!W83:AP83),""))</f>
      </c>
      <c r="U83" s="684">
        <f>IF(終値!A83="","",IFERROR(4*STDEVP(終値!X83:AQ83)/AVERAGE(終値!X83:AQ83),""))</f>
      </c>
      <c r="V83" s="684">
        <f>IF(終値!A83="","",IFERROR(4*STDEVP(終値!Y83:AR83)/AVERAGE(終値!Y83:AR83),""))</f>
      </c>
      <c r="W83" s="684">
        <f>IF(終値!A83="","",IFERROR(4*STDEVP(終値!Z83:AS83)/AVERAGE(終値!Z83:AS83),""))</f>
      </c>
      <c r="X83" s="684">
        <f>IF(終値!A83="","",IFERROR(4*STDEVP(終値!AA83:AT83)/AVERAGE(終値!AA83:AT83),""))</f>
      </c>
      <c r="Y83" s="684">
        <f>IF(終値!A83="","",IFERROR(4*STDEVP(終値!AB83:AU83)/AVERAGE(終値!AB83:AU83),""))</f>
      </c>
      <c r="Z83" s="684">
        <f>IF(終値!A83="","",IFERROR(4*STDEVP(終値!AC83:AV83)/AVERAGE(終値!AC83:AV83),""))</f>
      </c>
      <c r="AA83" s="684">
        <f>IF(終値!A83="","",IFERROR(4*STDEVP(終値!AD83:AW83)/AVERAGE(終値!AD83:AW83),""))</f>
      </c>
      <c r="AB83" s="684">
        <f>IF(終値!A83="","",IFERROR(4*STDEVP(終値!AE83:AX83)/AVERAGE(終値!AE83:AX83),""))</f>
      </c>
      <c r="AC83" s="684">
        <f>IF(終値!A83="","",IFERROR(4*STDEVP(終値!AF83:AY83)/AVERAGE(終値!AF83:AY83),""))</f>
      </c>
      <c r="AD83" s="684">
        <f>IF(終値!A83="","",IFERROR(4*STDEVP(終値!AG83:AZ83)/AVERAGE(終値!AG83:AZ83),""))</f>
      </c>
      <c r="AE83" s="684">
        <f>IF(終値!A83="","",IFERROR(4*STDEVP(終値!AH83:BA83)/AVERAGE(終値!AH83:BA83),""))</f>
      </c>
      <c r="AF83" s="684">
        <f>IF(終値!A83="","",IFERROR(4*STDEVP(終値!AI83:BB83)/AVERAGE(終値!AI83:BB83),""))</f>
      </c>
      <c r="AG83" s="684">
        <f>IF(終値!A83="","",IFERROR(4*STDEVP(終値!AJ83:BC83)/AVERAGE(終値!AJ83:BC83),""))</f>
      </c>
      <c r="AH83" s="684">
        <f>IF(終値!A83="","",IFERROR(4*STDEVP(終値!AK83:BD83)/AVERAGE(終値!AK83:BD83),""))</f>
      </c>
      <c r="AI83" s="684">
        <f>IF(終値!A83="","",IFERROR(4*STDEVP(終値!AL83:BE83)/AVERAGE(終値!AL83:BE83),""))</f>
      </c>
      <c r="AJ83" s="684">
        <f>IF(終値!A83="","",IFERROR(4*STDEVP(終値!AM83:BF83)/AVERAGE(終値!AM83:BF83),""))</f>
      </c>
      <c r="AK83" s="684">
        <f>IF(終値!A83="","",IFERROR(4*STDEVP(終値!AN83:BG83)/AVERAGE(終値!AN83:BG83),""))</f>
      </c>
      <c r="AL83" s="684">
        <f>IF(終値!A83="","",IFERROR(4*STDEVP(終値!AO83:BH83)/AVERAGE(終値!AO83:BH83),""))</f>
      </c>
      <c r="AM83" s="684">
        <f>IF(終値!A83="","",IFERROR(4*STDEVP(終値!AP83:BI83)/AVERAGE(終値!AP83:BI83),""))</f>
      </c>
      <c r="AN83" s="684">
        <f>IF(終値!A83="","",IFERROR(4*STDEVP(終値!AQ83:BJ83)/AVERAGE(終値!AQ83:BJ83),""))</f>
      </c>
      <c r="AO83" s="684">
        <f>IF(終値!A83="","",IFERROR(4*STDEVP(終値!AR83:BK83)/AVERAGE(終値!AR83:BK83),""))</f>
      </c>
      <c r="AP83" s="684">
        <f>IF(終値!A83="","",IFERROR(4*STDEVP(終値!AS83:BL83)/AVERAGE(終値!AS83:BL83),""))</f>
      </c>
    </row>
    <row r="84">
      <c r="A84" s="681">
        <f>IF(終値!A84="","",終値!A84)</f>
      </c>
      <c r="B84" s="684">
        <f>IF(終値!A84="","",IFERROR(4*STDEVP(終値!E84:X84)/AVERAGE(終値!E84:X84),""))</f>
      </c>
      <c r="C84" s="684">
        <f>IF(終値!A84="","",IFERROR(4*STDEVP(終値!F84:Y84)/AVERAGE(終値!F84:Y84),""))</f>
      </c>
      <c r="D84" s="684">
        <f>IF(終値!A84="","",IFERROR(4*STDEVP(終値!G84:Z84)/AVERAGE(終値!G84:Z84),""))</f>
      </c>
      <c r="E84" s="684">
        <f>IF(終値!A84="","",IFERROR(4*STDEVP(終値!H84:AA84)/AVERAGE(終値!H84:AA84),""))</f>
      </c>
      <c r="F84" s="684">
        <f>IF(終値!A84="","",IFERROR(4*STDEVP(終値!I84:AB84)/AVERAGE(終値!I84:AB84),""))</f>
      </c>
      <c r="G84" s="684">
        <f>IF(終値!A84="","",IFERROR(4*STDEVP(終値!J84:AC84)/AVERAGE(終値!J84:AC84),""))</f>
      </c>
      <c r="H84" s="684">
        <f>IF(終値!A84="","",IFERROR(4*STDEVP(終値!K84:AD84)/AVERAGE(終値!K84:AD84),""))</f>
      </c>
      <c r="I84" s="684">
        <f>IF(終値!A84="","",IFERROR(4*STDEVP(終値!L84:AE84)/AVERAGE(終値!L84:AE84),""))</f>
      </c>
      <c r="J84" s="684">
        <f>IF(終値!A84="","",IFERROR(4*STDEVP(終値!M84:AF84)/AVERAGE(終値!M84:AF84),""))</f>
      </c>
      <c r="K84" s="684">
        <f>IF(終値!A84="","",IFERROR(4*STDEVP(終値!N84:AG84)/AVERAGE(終値!N84:AG84),""))</f>
      </c>
      <c r="L84" s="684">
        <f>IF(終値!A84="","",IFERROR(4*STDEVP(終値!O84:AH84)/AVERAGE(終値!O84:AH84),""))</f>
      </c>
      <c r="M84" s="684">
        <f>IF(終値!A84="","",IFERROR(4*STDEVP(終値!P84:AI84)/AVERAGE(終値!P84:AI84),""))</f>
      </c>
      <c r="N84" s="684">
        <f>IF(終値!A84="","",IFERROR(4*STDEVP(終値!Q84:AJ84)/AVERAGE(終値!Q84:AJ84),""))</f>
      </c>
      <c r="O84" s="684">
        <f>IF(終値!A84="","",IFERROR(4*STDEVP(終値!R84:AK84)/AVERAGE(終値!R84:AK84),""))</f>
      </c>
      <c r="P84" s="684">
        <f>IF(終値!A84="","",IFERROR(4*STDEVP(終値!S84:AL84)/AVERAGE(終値!S84:AL84),""))</f>
      </c>
      <c r="Q84" s="684">
        <f>IF(終値!A84="","",IFERROR(4*STDEVP(終値!T84:AM84)/AVERAGE(終値!T84:AM84),""))</f>
      </c>
      <c r="R84" s="684">
        <f>IF(終値!A84="","",IFERROR(4*STDEVP(終値!U84:AN84)/AVERAGE(終値!U84:AN84),""))</f>
      </c>
      <c r="S84" s="684">
        <f>IF(終値!A84="","",IFERROR(4*STDEVP(終値!V84:AO84)/AVERAGE(終値!V84:AO84),""))</f>
      </c>
      <c r="T84" s="684">
        <f>IF(終値!A84="","",IFERROR(4*STDEVP(終値!W84:AP84)/AVERAGE(終値!W84:AP84),""))</f>
      </c>
      <c r="U84" s="684">
        <f>IF(終値!A84="","",IFERROR(4*STDEVP(終値!X84:AQ84)/AVERAGE(終値!X84:AQ84),""))</f>
      </c>
      <c r="V84" s="684">
        <f>IF(終値!A84="","",IFERROR(4*STDEVP(終値!Y84:AR84)/AVERAGE(終値!Y84:AR84),""))</f>
      </c>
      <c r="W84" s="684">
        <f>IF(終値!A84="","",IFERROR(4*STDEVP(終値!Z84:AS84)/AVERAGE(終値!Z84:AS84),""))</f>
      </c>
      <c r="X84" s="684">
        <f>IF(終値!A84="","",IFERROR(4*STDEVP(終値!AA84:AT84)/AVERAGE(終値!AA84:AT84),""))</f>
      </c>
      <c r="Y84" s="684">
        <f>IF(終値!A84="","",IFERROR(4*STDEVP(終値!AB84:AU84)/AVERAGE(終値!AB84:AU84),""))</f>
      </c>
      <c r="Z84" s="684">
        <f>IF(終値!A84="","",IFERROR(4*STDEVP(終値!AC84:AV84)/AVERAGE(終値!AC84:AV84),""))</f>
      </c>
      <c r="AA84" s="684">
        <f>IF(終値!A84="","",IFERROR(4*STDEVP(終値!AD84:AW84)/AVERAGE(終値!AD84:AW84),""))</f>
      </c>
      <c r="AB84" s="684">
        <f>IF(終値!A84="","",IFERROR(4*STDEVP(終値!AE84:AX84)/AVERAGE(終値!AE84:AX84),""))</f>
      </c>
      <c r="AC84" s="684">
        <f>IF(終値!A84="","",IFERROR(4*STDEVP(終値!AF84:AY84)/AVERAGE(終値!AF84:AY84),""))</f>
      </c>
      <c r="AD84" s="684">
        <f>IF(終値!A84="","",IFERROR(4*STDEVP(終値!AG84:AZ84)/AVERAGE(終値!AG84:AZ84),""))</f>
      </c>
      <c r="AE84" s="684">
        <f>IF(終値!A84="","",IFERROR(4*STDEVP(終値!AH84:BA84)/AVERAGE(終値!AH84:BA84),""))</f>
      </c>
      <c r="AF84" s="684">
        <f>IF(終値!A84="","",IFERROR(4*STDEVP(終値!AI84:BB84)/AVERAGE(終値!AI84:BB84),""))</f>
      </c>
      <c r="AG84" s="684">
        <f>IF(終値!A84="","",IFERROR(4*STDEVP(終値!AJ84:BC84)/AVERAGE(終値!AJ84:BC84),""))</f>
      </c>
      <c r="AH84" s="684">
        <f>IF(終値!A84="","",IFERROR(4*STDEVP(終値!AK84:BD84)/AVERAGE(終値!AK84:BD84),""))</f>
      </c>
      <c r="AI84" s="684">
        <f>IF(終値!A84="","",IFERROR(4*STDEVP(終値!AL84:BE84)/AVERAGE(終値!AL84:BE84),""))</f>
      </c>
      <c r="AJ84" s="684">
        <f>IF(終値!A84="","",IFERROR(4*STDEVP(終値!AM84:BF84)/AVERAGE(終値!AM84:BF84),""))</f>
      </c>
      <c r="AK84" s="684">
        <f>IF(終値!A84="","",IFERROR(4*STDEVP(終値!AN84:BG84)/AVERAGE(終値!AN84:BG84),""))</f>
      </c>
      <c r="AL84" s="684">
        <f>IF(終値!A84="","",IFERROR(4*STDEVP(終値!AO84:BH84)/AVERAGE(終値!AO84:BH84),""))</f>
      </c>
      <c r="AM84" s="684">
        <f>IF(終値!A84="","",IFERROR(4*STDEVP(終値!AP84:BI84)/AVERAGE(終値!AP84:BI84),""))</f>
      </c>
      <c r="AN84" s="684">
        <f>IF(終値!A84="","",IFERROR(4*STDEVP(終値!AQ84:BJ84)/AVERAGE(終値!AQ84:BJ84),""))</f>
      </c>
      <c r="AO84" s="684">
        <f>IF(終値!A84="","",IFERROR(4*STDEVP(終値!AR84:BK84)/AVERAGE(終値!AR84:BK84),""))</f>
      </c>
      <c r="AP84" s="684">
        <f>IF(終値!A84="","",IFERROR(4*STDEVP(終値!AS84:BL84)/AVERAGE(終値!AS84:BL84),""))</f>
      </c>
    </row>
    <row r="85">
      <c r="A85" s="681">
        <f>IF(終値!A85="","",終値!A85)</f>
      </c>
      <c r="B85" s="684">
        <f>IF(終値!A85="","",IFERROR(4*STDEVP(終値!E85:X85)/AVERAGE(終値!E85:X85),""))</f>
      </c>
      <c r="C85" s="684">
        <f>IF(終値!A85="","",IFERROR(4*STDEVP(終値!F85:Y85)/AVERAGE(終値!F85:Y85),""))</f>
      </c>
      <c r="D85" s="684">
        <f>IF(終値!A85="","",IFERROR(4*STDEVP(終値!G85:Z85)/AVERAGE(終値!G85:Z85),""))</f>
      </c>
      <c r="E85" s="684">
        <f>IF(終値!A85="","",IFERROR(4*STDEVP(終値!H85:AA85)/AVERAGE(終値!H85:AA85),""))</f>
      </c>
      <c r="F85" s="684">
        <f>IF(終値!A85="","",IFERROR(4*STDEVP(終値!I85:AB85)/AVERAGE(終値!I85:AB85),""))</f>
      </c>
      <c r="G85" s="684">
        <f>IF(終値!A85="","",IFERROR(4*STDEVP(終値!J85:AC85)/AVERAGE(終値!J85:AC85),""))</f>
      </c>
      <c r="H85" s="684">
        <f>IF(終値!A85="","",IFERROR(4*STDEVP(終値!K85:AD85)/AVERAGE(終値!K85:AD85),""))</f>
      </c>
      <c r="I85" s="684">
        <f>IF(終値!A85="","",IFERROR(4*STDEVP(終値!L85:AE85)/AVERAGE(終値!L85:AE85),""))</f>
      </c>
      <c r="J85" s="684">
        <f>IF(終値!A85="","",IFERROR(4*STDEVP(終値!M85:AF85)/AVERAGE(終値!M85:AF85),""))</f>
      </c>
      <c r="K85" s="684">
        <f>IF(終値!A85="","",IFERROR(4*STDEVP(終値!N85:AG85)/AVERAGE(終値!N85:AG85),""))</f>
      </c>
      <c r="L85" s="684">
        <f>IF(終値!A85="","",IFERROR(4*STDEVP(終値!O85:AH85)/AVERAGE(終値!O85:AH85),""))</f>
      </c>
      <c r="M85" s="684">
        <f>IF(終値!A85="","",IFERROR(4*STDEVP(終値!P85:AI85)/AVERAGE(終値!P85:AI85),""))</f>
      </c>
      <c r="N85" s="684">
        <f>IF(終値!A85="","",IFERROR(4*STDEVP(終値!Q85:AJ85)/AVERAGE(終値!Q85:AJ85),""))</f>
      </c>
      <c r="O85" s="684">
        <f>IF(終値!A85="","",IFERROR(4*STDEVP(終値!R85:AK85)/AVERAGE(終値!R85:AK85),""))</f>
      </c>
      <c r="P85" s="684">
        <f>IF(終値!A85="","",IFERROR(4*STDEVP(終値!S85:AL85)/AVERAGE(終値!S85:AL85),""))</f>
      </c>
      <c r="Q85" s="684">
        <f>IF(終値!A85="","",IFERROR(4*STDEVP(終値!T85:AM85)/AVERAGE(終値!T85:AM85),""))</f>
      </c>
      <c r="R85" s="684">
        <f>IF(終値!A85="","",IFERROR(4*STDEVP(終値!U85:AN85)/AVERAGE(終値!U85:AN85),""))</f>
      </c>
      <c r="S85" s="684">
        <f>IF(終値!A85="","",IFERROR(4*STDEVP(終値!V85:AO85)/AVERAGE(終値!V85:AO85),""))</f>
      </c>
      <c r="T85" s="684">
        <f>IF(終値!A85="","",IFERROR(4*STDEVP(終値!W85:AP85)/AVERAGE(終値!W85:AP85),""))</f>
      </c>
      <c r="U85" s="684">
        <f>IF(終値!A85="","",IFERROR(4*STDEVP(終値!X85:AQ85)/AVERAGE(終値!X85:AQ85),""))</f>
      </c>
      <c r="V85" s="684">
        <f>IF(終値!A85="","",IFERROR(4*STDEVP(終値!Y85:AR85)/AVERAGE(終値!Y85:AR85),""))</f>
      </c>
      <c r="W85" s="684">
        <f>IF(終値!A85="","",IFERROR(4*STDEVP(終値!Z85:AS85)/AVERAGE(終値!Z85:AS85),""))</f>
      </c>
      <c r="X85" s="684">
        <f>IF(終値!A85="","",IFERROR(4*STDEVP(終値!AA85:AT85)/AVERAGE(終値!AA85:AT85),""))</f>
      </c>
      <c r="Y85" s="684">
        <f>IF(終値!A85="","",IFERROR(4*STDEVP(終値!AB85:AU85)/AVERAGE(終値!AB85:AU85),""))</f>
      </c>
      <c r="Z85" s="684">
        <f>IF(終値!A85="","",IFERROR(4*STDEVP(終値!AC85:AV85)/AVERAGE(終値!AC85:AV85),""))</f>
      </c>
      <c r="AA85" s="684">
        <f>IF(終値!A85="","",IFERROR(4*STDEVP(終値!AD85:AW85)/AVERAGE(終値!AD85:AW85),""))</f>
      </c>
      <c r="AB85" s="684">
        <f>IF(終値!A85="","",IFERROR(4*STDEVP(終値!AE85:AX85)/AVERAGE(終値!AE85:AX85),""))</f>
      </c>
      <c r="AC85" s="684">
        <f>IF(終値!A85="","",IFERROR(4*STDEVP(終値!AF85:AY85)/AVERAGE(終値!AF85:AY85),""))</f>
      </c>
      <c r="AD85" s="684">
        <f>IF(終値!A85="","",IFERROR(4*STDEVP(終値!AG85:AZ85)/AVERAGE(終値!AG85:AZ85),""))</f>
      </c>
      <c r="AE85" s="684">
        <f>IF(終値!A85="","",IFERROR(4*STDEVP(終値!AH85:BA85)/AVERAGE(終値!AH85:BA85),""))</f>
      </c>
      <c r="AF85" s="684">
        <f>IF(終値!A85="","",IFERROR(4*STDEVP(終値!AI85:BB85)/AVERAGE(終値!AI85:BB85),""))</f>
      </c>
      <c r="AG85" s="684">
        <f>IF(終値!A85="","",IFERROR(4*STDEVP(終値!AJ85:BC85)/AVERAGE(終値!AJ85:BC85),""))</f>
      </c>
      <c r="AH85" s="684">
        <f>IF(終値!A85="","",IFERROR(4*STDEVP(終値!AK85:BD85)/AVERAGE(終値!AK85:BD85),""))</f>
      </c>
      <c r="AI85" s="684">
        <f>IF(終値!A85="","",IFERROR(4*STDEVP(終値!AL85:BE85)/AVERAGE(終値!AL85:BE85),""))</f>
      </c>
      <c r="AJ85" s="684">
        <f>IF(終値!A85="","",IFERROR(4*STDEVP(終値!AM85:BF85)/AVERAGE(終値!AM85:BF85),""))</f>
      </c>
      <c r="AK85" s="684">
        <f>IF(終値!A85="","",IFERROR(4*STDEVP(終値!AN85:BG85)/AVERAGE(終値!AN85:BG85),""))</f>
      </c>
      <c r="AL85" s="684">
        <f>IF(終値!A85="","",IFERROR(4*STDEVP(終値!AO85:BH85)/AVERAGE(終値!AO85:BH85),""))</f>
      </c>
      <c r="AM85" s="684">
        <f>IF(終値!A85="","",IFERROR(4*STDEVP(終値!AP85:BI85)/AVERAGE(終値!AP85:BI85),""))</f>
      </c>
      <c r="AN85" s="684">
        <f>IF(終値!A85="","",IFERROR(4*STDEVP(終値!AQ85:BJ85)/AVERAGE(終値!AQ85:BJ85),""))</f>
      </c>
      <c r="AO85" s="684">
        <f>IF(終値!A85="","",IFERROR(4*STDEVP(終値!AR85:BK85)/AVERAGE(終値!AR85:BK85),""))</f>
      </c>
      <c r="AP85" s="684">
        <f>IF(終値!A85="","",IFERROR(4*STDEVP(終値!AS85:BL85)/AVERAGE(終値!AS85:BL85),""))</f>
      </c>
    </row>
    <row r="86">
      <c r="A86" s="681">
        <f>IF(終値!A86="","",終値!A86)</f>
      </c>
      <c r="B86" s="684">
        <f>IF(終値!A86="","",IFERROR(4*STDEVP(終値!E86:X86)/AVERAGE(終値!E86:X86),""))</f>
      </c>
      <c r="C86" s="684">
        <f>IF(終値!A86="","",IFERROR(4*STDEVP(終値!F86:Y86)/AVERAGE(終値!F86:Y86),""))</f>
      </c>
      <c r="D86" s="684">
        <f>IF(終値!A86="","",IFERROR(4*STDEVP(終値!G86:Z86)/AVERAGE(終値!G86:Z86),""))</f>
      </c>
      <c r="E86" s="684">
        <f>IF(終値!A86="","",IFERROR(4*STDEVP(終値!H86:AA86)/AVERAGE(終値!H86:AA86),""))</f>
      </c>
      <c r="F86" s="684">
        <f>IF(終値!A86="","",IFERROR(4*STDEVP(終値!I86:AB86)/AVERAGE(終値!I86:AB86),""))</f>
      </c>
      <c r="G86" s="684">
        <f>IF(終値!A86="","",IFERROR(4*STDEVP(終値!J86:AC86)/AVERAGE(終値!J86:AC86),""))</f>
      </c>
      <c r="H86" s="684">
        <f>IF(終値!A86="","",IFERROR(4*STDEVP(終値!K86:AD86)/AVERAGE(終値!K86:AD86),""))</f>
      </c>
      <c r="I86" s="684">
        <f>IF(終値!A86="","",IFERROR(4*STDEVP(終値!L86:AE86)/AVERAGE(終値!L86:AE86),""))</f>
      </c>
      <c r="J86" s="684">
        <f>IF(終値!A86="","",IFERROR(4*STDEVP(終値!M86:AF86)/AVERAGE(終値!M86:AF86),""))</f>
      </c>
      <c r="K86" s="684">
        <f>IF(終値!A86="","",IFERROR(4*STDEVP(終値!N86:AG86)/AVERAGE(終値!N86:AG86),""))</f>
      </c>
      <c r="L86" s="684">
        <f>IF(終値!A86="","",IFERROR(4*STDEVP(終値!O86:AH86)/AVERAGE(終値!O86:AH86),""))</f>
      </c>
      <c r="M86" s="684">
        <f>IF(終値!A86="","",IFERROR(4*STDEVP(終値!P86:AI86)/AVERAGE(終値!P86:AI86),""))</f>
      </c>
      <c r="N86" s="684">
        <f>IF(終値!A86="","",IFERROR(4*STDEVP(終値!Q86:AJ86)/AVERAGE(終値!Q86:AJ86),""))</f>
      </c>
      <c r="O86" s="684">
        <f>IF(終値!A86="","",IFERROR(4*STDEVP(終値!R86:AK86)/AVERAGE(終値!R86:AK86),""))</f>
      </c>
      <c r="P86" s="684">
        <f>IF(終値!A86="","",IFERROR(4*STDEVP(終値!S86:AL86)/AVERAGE(終値!S86:AL86),""))</f>
      </c>
      <c r="Q86" s="684">
        <f>IF(終値!A86="","",IFERROR(4*STDEVP(終値!T86:AM86)/AVERAGE(終値!T86:AM86),""))</f>
      </c>
      <c r="R86" s="684">
        <f>IF(終値!A86="","",IFERROR(4*STDEVP(終値!U86:AN86)/AVERAGE(終値!U86:AN86),""))</f>
      </c>
      <c r="S86" s="684">
        <f>IF(終値!A86="","",IFERROR(4*STDEVP(終値!V86:AO86)/AVERAGE(終値!V86:AO86),""))</f>
      </c>
      <c r="T86" s="684">
        <f>IF(終値!A86="","",IFERROR(4*STDEVP(終値!W86:AP86)/AVERAGE(終値!W86:AP86),""))</f>
      </c>
      <c r="U86" s="684">
        <f>IF(終値!A86="","",IFERROR(4*STDEVP(終値!X86:AQ86)/AVERAGE(終値!X86:AQ86),""))</f>
      </c>
      <c r="V86" s="684">
        <f>IF(終値!A86="","",IFERROR(4*STDEVP(終値!Y86:AR86)/AVERAGE(終値!Y86:AR86),""))</f>
      </c>
      <c r="W86" s="684">
        <f>IF(終値!A86="","",IFERROR(4*STDEVP(終値!Z86:AS86)/AVERAGE(終値!Z86:AS86),""))</f>
      </c>
      <c r="X86" s="684">
        <f>IF(終値!A86="","",IFERROR(4*STDEVP(終値!AA86:AT86)/AVERAGE(終値!AA86:AT86),""))</f>
      </c>
      <c r="Y86" s="684">
        <f>IF(終値!A86="","",IFERROR(4*STDEVP(終値!AB86:AU86)/AVERAGE(終値!AB86:AU86),""))</f>
      </c>
      <c r="Z86" s="684">
        <f>IF(終値!A86="","",IFERROR(4*STDEVP(終値!AC86:AV86)/AVERAGE(終値!AC86:AV86),""))</f>
      </c>
      <c r="AA86" s="684">
        <f>IF(終値!A86="","",IFERROR(4*STDEVP(終値!AD86:AW86)/AVERAGE(終値!AD86:AW86),""))</f>
      </c>
      <c r="AB86" s="684">
        <f>IF(終値!A86="","",IFERROR(4*STDEVP(終値!AE86:AX86)/AVERAGE(終値!AE86:AX86),""))</f>
      </c>
      <c r="AC86" s="684">
        <f>IF(終値!A86="","",IFERROR(4*STDEVP(終値!AF86:AY86)/AVERAGE(終値!AF86:AY86),""))</f>
      </c>
      <c r="AD86" s="684">
        <f>IF(終値!A86="","",IFERROR(4*STDEVP(終値!AG86:AZ86)/AVERAGE(終値!AG86:AZ86),""))</f>
      </c>
      <c r="AE86" s="684">
        <f>IF(終値!A86="","",IFERROR(4*STDEVP(終値!AH86:BA86)/AVERAGE(終値!AH86:BA86),""))</f>
      </c>
      <c r="AF86" s="684">
        <f>IF(終値!A86="","",IFERROR(4*STDEVP(終値!AI86:BB86)/AVERAGE(終値!AI86:BB86),""))</f>
      </c>
      <c r="AG86" s="684">
        <f>IF(終値!A86="","",IFERROR(4*STDEVP(終値!AJ86:BC86)/AVERAGE(終値!AJ86:BC86),""))</f>
      </c>
      <c r="AH86" s="684">
        <f>IF(終値!A86="","",IFERROR(4*STDEVP(終値!AK86:BD86)/AVERAGE(終値!AK86:BD86),""))</f>
      </c>
      <c r="AI86" s="684">
        <f>IF(終値!A86="","",IFERROR(4*STDEVP(終値!AL86:BE86)/AVERAGE(終値!AL86:BE86),""))</f>
      </c>
      <c r="AJ86" s="684">
        <f>IF(終値!A86="","",IFERROR(4*STDEVP(終値!AM86:BF86)/AVERAGE(終値!AM86:BF86),""))</f>
      </c>
      <c r="AK86" s="684">
        <f>IF(終値!A86="","",IFERROR(4*STDEVP(終値!AN86:BG86)/AVERAGE(終値!AN86:BG86),""))</f>
      </c>
      <c r="AL86" s="684">
        <f>IF(終値!A86="","",IFERROR(4*STDEVP(終値!AO86:BH86)/AVERAGE(終値!AO86:BH86),""))</f>
      </c>
      <c r="AM86" s="684">
        <f>IF(終値!A86="","",IFERROR(4*STDEVP(終値!AP86:BI86)/AVERAGE(終値!AP86:BI86),""))</f>
      </c>
      <c r="AN86" s="684">
        <f>IF(終値!A86="","",IFERROR(4*STDEVP(終値!AQ86:BJ86)/AVERAGE(終値!AQ86:BJ86),""))</f>
      </c>
      <c r="AO86" s="684">
        <f>IF(終値!A86="","",IFERROR(4*STDEVP(終値!AR86:BK86)/AVERAGE(終値!AR86:BK86),""))</f>
      </c>
      <c r="AP86" s="684">
        <f>IF(終値!A86="","",IFERROR(4*STDEVP(終値!AS86:BL86)/AVERAGE(終値!AS86:BL86),""))</f>
      </c>
    </row>
    <row r="87">
      <c r="A87" s="681">
        <f>IF(終値!A87="","",終値!A87)</f>
      </c>
      <c r="B87" s="684">
        <f>IF(終値!A87="","",IFERROR(4*STDEVP(終値!E87:X87)/AVERAGE(終値!E87:X87),""))</f>
      </c>
      <c r="C87" s="684">
        <f>IF(終値!A87="","",IFERROR(4*STDEVP(終値!F87:Y87)/AVERAGE(終値!F87:Y87),""))</f>
      </c>
      <c r="D87" s="684">
        <f>IF(終値!A87="","",IFERROR(4*STDEVP(終値!G87:Z87)/AVERAGE(終値!G87:Z87),""))</f>
      </c>
      <c r="E87" s="684">
        <f>IF(終値!A87="","",IFERROR(4*STDEVP(終値!H87:AA87)/AVERAGE(終値!H87:AA87),""))</f>
      </c>
      <c r="F87" s="684">
        <f>IF(終値!A87="","",IFERROR(4*STDEVP(終値!I87:AB87)/AVERAGE(終値!I87:AB87),""))</f>
      </c>
      <c r="G87" s="684">
        <f>IF(終値!A87="","",IFERROR(4*STDEVP(終値!J87:AC87)/AVERAGE(終値!J87:AC87),""))</f>
      </c>
      <c r="H87" s="684">
        <f>IF(終値!A87="","",IFERROR(4*STDEVP(終値!K87:AD87)/AVERAGE(終値!K87:AD87),""))</f>
      </c>
      <c r="I87" s="684">
        <f>IF(終値!A87="","",IFERROR(4*STDEVP(終値!L87:AE87)/AVERAGE(終値!L87:AE87),""))</f>
      </c>
      <c r="J87" s="684">
        <f>IF(終値!A87="","",IFERROR(4*STDEVP(終値!M87:AF87)/AVERAGE(終値!M87:AF87),""))</f>
      </c>
      <c r="K87" s="684">
        <f>IF(終値!A87="","",IFERROR(4*STDEVP(終値!N87:AG87)/AVERAGE(終値!N87:AG87),""))</f>
      </c>
      <c r="L87" s="684">
        <f>IF(終値!A87="","",IFERROR(4*STDEVP(終値!O87:AH87)/AVERAGE(終値!O87:AH87),""))</f>
      </c>
      <c r="M87" s="684">
        <f>IF(終値!A87="","",IFERROR(4*STDEVP(終値!P87:AI87)/AVERAGE(終値!P87:AI87),""))</f>
      </c>
      <c r="N87" s="684">
        <f>IF(終値!A87="","",IFERROR(4*STDEVP(終値!Q87:AJ87)/AVERAGE(終値!Q87:AJ87),""))</f>
      </c>
      <c r="O87" s="684">
        <f>IF(終値!A87="","",IFERROR(4*STDEVP(終値!R87:AK87)/AVERAGE(終値!R87:AK87),""))</f>
      </c>
      <c r="P87" s="684">
        <f>IF(終値!A87="","",IFERROR(4*STDEVP(終値!S87:AL87)/AVERAGE(終値!S87:AL87),""))</f>
      </c>
      <c r="Q87" s="684">
        <f>IF(終値!A87="","",IFERROR(4*STDEVP(終値!T87:AM87)/AVERAGE(終値!T87:AM87),""))</f>
      </c>
      <c r="R87" s="684">
        <f>IF(終値!A87="","",IFERROR(4*STDEVP(終値!U87:AN87)/AVERAGE(終値!U87:AN87),""))</f>
      </c>
      <c r="S87" s="684">
        <f>IF(終値!A87="","",IFERROR(4*STDEVP(終値!V87:AO87)/AVERAGE(終値!V87:AO87),""))</f>
      </c>
      <c r="T87" s="684">
        <f>IF(終値!A87="","",IFERROR(4*STDEVP(終値!W87:AP87)/AVERAGE(終値!W87:AP87),""))</f>
      </c>
      <c r="U87" s="684">
        <f>IF(終値!A87="","",IFERROR(4*STDEVP(終値!X87:AQ87)/AVERAGE(終値!X87:AQ87),""))</f>
      </c>
      <c r="V87" s="684">
        <f>IF(終値!A87="","",IFERROR(4*STDEVP(終値!Y87:AR87)/AVERAGE(終値!Y87:AR87),""))</f>
      </c>
      <c r="W87" s="684">
        <f>IF(終値!A87="","",IFERROR(4*STDEVP(終値!Z87:AS87)/AVERAGE(終値!Z87:AS87),""))</f>
      </c>
      <c r="X87" s="684">
        <f>IF(終値!A87="","",IFERROR(4*STDEVP(終値!AA87:AT87)/AVERAGE(終値!AA87:AT87),""))</f>
      </c>
      <c r="Y87" s="684">
        <f>IF(終値!A87="","",IFERROR(4*STDEVP(終値!AB87:AU87)/AVERAGE(終値!AB87:AU87),""))</f>
      </c>
      <c r="Z87" s="684">
        <f>IF(終値!A87="","",IFERROR(4*STDEVP(終値!AC87:AV87)/AVERAGE(終値!AC87:AV87),""))</f>
      </c>
      <c r="AA87" s="684">
        <f>IF(終値!A87="","",IFERROR(4*STDEVP(終値!AD87:AW87)/AVERAGE(終値!AD87:AW87),""))</f>
      </c>
      <c r="AB87" s="684">
        <f>IF(終値!A87="","",IFERROR(4*STDEVP(終値!AE87:AX87)/AVERAGE(終値!AE87:AX87),""))</f>
      </c>
      <c r="AC87" s="684">
        <f>IF(終値!A87="","",IFERROR(4*STDEVP(終値!AF87:AY87)/AVERAGE(終値!AF87:AY87),""))</f>
      </c>
      <c r="AD87" s="684">
        <f>IF(終値!A87="","",IFERROR(4*STDEVP(終値!AG87:AZ87)/AVERAGE(終値!AG87:AZ87),""))</f>
      </c>
      <c r="AE87" s="684">
        <f>IF(終値!A87="","",IFERROR(4*STDEVP(終値!AH87:BA87)/AVERAGE(終値!AH87:BA87),""))</f>
      </c>
      <c r="AF87" s="684">
        <f>IF(終値!A87="","",IFERROR(4*STDEVP(終値!AI87:BB87)/AVERAGE(終値!AI87:BB87),""))</f>
      </c>
      <c r="AG87" s="684">
        <f>IF(終値!A87="","",IFERROR(4*STDEVP(終値!AJ87:BC87)/AVERAGE(終値!AJ87:BC87),""))</f>
      </c>
      <c r="AH87" s="684">
        <f>IF(終値!A87="","",IFERROR(4*STDEVP(終値!AK87:BD87)/AVERAGE(終値!AK87:BD87),""))</f>
      </c>
      <c r="AI87" s="684">
        <f>IF(終値!A87="","",IFERROR(4*STDEVP(終値!AL87:BE87)/AVERAGE(終値!AL87:BE87),""))</f>
      </c>
      <c r="AJ87" s="684">
        <f>IF(終値!A87="","",IFERROR(4*STDEVP(終値!AM87:BF87)/AVERAGE(終値!AM87:BF87),""))</f>
      </c>
      <c r="AK87" s="684">
        <f>IF(終値!A87="","",IFERROR(4*STDEVP(終値!AN87:BG87)/AVERAGE(終値!AN87:BG87),""))</f>
      </c>
      <c r="AL87" s="684">
        <f>IF(終値!A87="","",IFERROR(4*STDEVP(終値!AO87:BH87)/AVERAGE(終値!AO87:BH87),""))</f>
      </c>
      <c r="AM87" s="684">
        <f>IF(終値!A87="","",IFERROR(4*STDEVP(終値!AP87:BI87)/AVERAGE(終値!AP87:BI87),""))</f>
      </c>
      <c r="AN87" s="684">
        <f>IF(終値!A87="","",IFERROR(4*STDEVP(終値!AQ87:BJ87)/AVERAGE(終値!AQ87:BJ87),""))</f>
      </c>
      <c r="AO87" s="684">
        <f>IF(終値!A87="","",IFERROR(4*STDEVP(終値!AR87:BK87)/AVERAGE(終値!AR87:BK87),""))</f>
      </c>
      <c r="AP87" s="684">
        <f>IF(終値!A87="","",IFERROR(4*STDEVP(終値!AS87:BL87)/AVERAGE(終値!AS87:BL87),""))</f>
      </c>
    </row>
    <row r="88">
      <c r="A88" s="681">
        <f>IF(終値!A88="","",終値!A88)</f>
      </c>
      <c r="B88" s="684">
        <f>IF(終値!A88="","",IFERROR(4*STDEVP(終値!E88:X88)/AVERAGE(終値!E88:X88),""))</f>
      </c>
      <c r="C88" s="684">
        <f>IF(終値!A88="","",IFERROR(4*STDEVP(終値!F88:Y88)/AVERAGE(終値!F88:Y88),""))</f>
      </c>
      <c r="D88" s="684">
        <f>IF(終値!A88="","",IFERROR(4*STDEVP(終値!G88:Z88)/AVERAGE(終値!G88:Z88),""))</f>
      </c>
      <c r="E88" s="684">
        <f>IF(終値!A88="","",IFERROR(4*STDEVP(終値!H88:AA88)/AVERAGE(終値!H88:AA88),""))</f>
      </c>
      <c r="F88" s="684">
        <f>IF(終値!A88="","",IFERROR(4*STDEVP(終値!I88:AB88)/AVERAGE(終値!I88:AB88),""))</f>
      </c>
      <c r="G88" s="684">
        <f>IF(終値!A88="","",IFERROR(4*STDEVP(終値!J88:AC88)/AVERAGE(終値!J88:AC88),""))</f>
      </c>
      <c r="H88" s="684">
        <f>IF(終値!A88="","",IFERROR(4*STDEVP(終値!K88:AD88)/AVERAGE(終値!K88:AD88),""))</f>
      </c>
      <c r="I88" s="684">
        <f>IF(終値!A88="","",IFERROR(4*STDEVP(終値!L88:AE88)/AVERAGE(終値!L88:AE88),""))</f>
      </c>
      <c r="J88" s="684">
        <f>IF(終値!A88="","",IFERROR(4*STDEVP(終値!M88:AF88)/AVERAGE(終値!M88:AF88),""))</f>
      </c>
      <c r="K88" s="684">
        <f>IF(終値!A88="","",IFERROR(4*STDEVP(終値!N88:AG88)/AVERAGE(終値!N88:AG88),""))</f>
      </c>
      <c r="L88" s="684">
        <f>IF(終値!A88="","",IFERROR(4*STDEVP(終値!O88:AH88)/AVERAGE(終値!O88:AH88),""))</f>
      </c>
      <c r="M88" s="684">
        <f>IF(終値!A88="","",IFERROR(4*STDEVP(終値!P88:AI88)/AVERAGE(終値!P88:AI88),""))</f>
      </c>
      <c r="N88" s="684">
        <f>IF(終値!A88="","",IFERROR(4*STDEVP(終値!Q88:AJ88)/AVERAGE(終値!Q88:AJ88),""))</f>
      </c>
      <c r="O88" s="684">
        <f>IF(終値!A88="","",IFERROR(4*STDEVP(終値!R88:AK88)/AVERAGE(終値!R88:AK88),""))</f>
      </c>
      <c r="P88" s="684">
        <f>IF(終値!A88="","",IFERROR(4*STDEVP(終値!S88:AL88)/AVERAGE(終値!S88:AL88),""))</f>
      </c>
      <c r="Q88" s="684">
        <f>IF(終値!A88="","",IFERROR(4*STDEVP(終値!T88:AM88)/AVERAGE(終値!T88:AM88),""))</f>
      </c>
      <c r="R88" s="684">
        <f>IF(終値!A88="","",IFERROR(4*STDEVP(終値!U88:AN88)/AVERAGE(終値!U88:AN88),""))</f>
      </c>
      <c r="S88" s="684">
        <f>IF(終値!A88="","",IFERROR(4*STDEVP(終値!V88:AO88)/AVERAGE(終値!V88:AO88),""))</f>
      </c>
      <c r="T88" s="684">
        <f>IF(終値!A88="","",IFERROR(4*STDEVP(終値!W88:AP88)/AVERAGE(終値!W88:AP88),""))</f>
      </c>
      <c r="U88" s="684">
        <f>IF(終値!A88="","",IFERROR(4*STDEVP(終値!X88:AQ88)/AVERAGE(終値!X88:AQ88),""))</f>
      </c>
      <c r="V88" s="684">
        <f>IF(終値!A88="","",IFERROR(4*STDEVP(終値!Y88:AR88)/AVERAGE(終値!Y88:AR88),""))</f>
      </c>
      <c r="W88" s="684">
        <f>IF(終値!A88="","",IFERROR(4*STDEVP(終値!Z88:AS88)/AVERAGE(終値!Z88:AS88),""))</f>
      </c>
      <c r="X88" s="684">
        <f>IF(終値!A88="","",IFERROR(4*STDEVP(終値!AA88:AT88)/AVERAGE(終値!AA88:AT88),""))</f>
      </c>
      <c r="Y88" s="684">
        <f>IF(終値!A88="","",IFERROR(4*STDEVP(終値!AB88:AU88)/AVERAGE(終値!AB88:AU88),""))</f>
      </c>
      <c r="Z88" s="684">
        <f>IF(終値!A88="","",IFERROR(4*STDEVP(終値!AC88:AV88)/AVERAGE(終値!AC88:AV88),""))</f>
      </c>
      <c r="AA88" s="684">
        <f>IF(終値!A88="","",IFERROR(4*STDEVP(終値!AD88:AW88)/AVERAGE(終値!AD88:AW88),""))</f>
      </c>
      <c r="AB88" s="684">
        <f>IF(終値!A88="","",IFERROR(4*STDEVP(終値!AE88:AX88)/AVERAGE(終値!AE88:AX88),""))</f>
      </c>
      <c r="AC88" s="684">
        <f>IF(終値!A88="","",IFERROR(4*STDEVP(終値!AF88:AY88)/AVERAGE(終値!AF88:AY88),""))</f>
      </c>
      <c r="AD88" s="684">
        <f>IF(終値!A88="","",IFERROR(4*STDEVP(終値!AG88:AZ88)/AVERAGE(終値!AG88:AZ88),""))</f>
      </c>
      <c r="AE88" s="684">
        <f>IF(終値!A88="","",IFERROR(4*STDEVP(終値!AH88:BA88)/AVERAGE(終値!AH88:BA88),""))</f>
      </c>
      <c r="AF88" s="684">
        <f>IF(終値!A88="","",IFERROR(4*STDEVP(終値!AI88:BB88)/AVERAGE(終値!AI88:BB88),""))</f>
      </c>
      <c r="AG88" s="684">
        <f>IF(終値!A88="","",IFERROR(4*STDEVP(終値!AJ88:BC88)/AVERAGE(終値!AJ88:BC88),""))</f>
      </c>
      <c r="AH88" s="684">
        <f>IF(終値!A88="","",IFERROR(4*STDEVP(終値!AK88:BD88)/AVERAGE(終値!AK88:BD88),""))</f>
      </c>
      <c r="AI88" s="684">
        <f>IF(終値!A88="","",IFERROR(4*STDEVP(終値!AL88:BE88)/AVERAGE(終値!AL88:BE88),""))</f>
      </c>
      <c r="AJ88" s="684">
        <f>IF(終値!A88="","",IFERROR(4*STDEVP(終値!AM88:BF88)/AVERAGE(終値!AM88:BF88),""))</f>
      </c>
      <c r="AK88" s="684">
        <f>IF(終値!A88="","",IFERROR(4*STDEVP(終値!AN88:BG88)/AVERAGE(終値!AN88:BG88),""))</f>
      </c>
      <c r="AL88" s="684">
        <f>IF(終値!A88="","",IFERROR(4*STDEVP(終値!AO88:BH88)/AVERAGE(終値!AO88:BH88),""))</f>
      </c>
      <c r="AM88" s="684">
        <f>IF(終値!A88="","",IFERROR(4*STDEVP(終値!AP88:BI88)/AVERAGE(終値!AP88:BI88),""))</f>
      </c>
      <c r="AN88" s="684">
        <f>IF(終値!A88="","",IFERROR(4*STDEVP(終値!AQ88:BJ88)/AVERAGE(終値!AQ88:BJ88),""))</f>
      </c>
      <c r="AO88" s="684">
        <f>IF(終値!A88="","",IFERROR(4*STDEVP(終値!AR88:BK88)/AVERAGE(終値!AR88:BK88),""))</f>
      </c>
      <c r="AP88" s="684">
        <f>IF(終値!A88="","",IFERROR(4*STDEVP(終値!AS88:BL88)/AVERAGE(終値!AS88:BL88),""))</f>
      </c>
    </row>
    <row r="89">
      <c r="A89" s="681">
        <f>IF(終値!A89="","",終値!A89)</f>
      </c>
      <c r="B89" s="684">
        <f>IF(終値!A89="","",IFERROR(4*STDEVP(終値!E89:X89)/AVERAGE(終値!E89:X89),""))</f>
      </c>
      <c r="C89" s="684">
        <f>IF(終値!A89="","",IFERROR(4*STDEVP(終値!F89:Y89)/AVERAGE(終値!F89:Y89),""))</f>
      </c>
      <c r="D89" s="684">
        <f>IF(終値!A89="","",IFERROR(4*STDEVP(終値!G89:Z89)/AVERAGE(終値!G89:Z89),""))</f>
      </c>
      <c r="E89" s="684">
        <f>IF(終値!A89="","",IFERROR(4*STDEVP(終値!H89:AA89)/AVERAGE(終値!H89:AA89),""))</f>
      </c>
      <c r="F89" s="684">
        <f>IF(終値!A89="","",IFERROR(4*STDEVP(終値!I89:AB89)/AVERAGE(終値!I89:AB89),""))</f>
      </c>
      <c r="G89" s="684">
        <f>IF(終値!A89="","",IFERROR(4*STDEVP(終値!J89:AC89)/AVERAGE(終値!J89:AC89),""))</f>
      </c>
      <c r="H89" s="684">
        <f>IF(終値!A89="","",IFERROR(4*STDEVP(終値!K89:AD89)/AVERAGE(終値!K89:AD89),""))</f>
      </c>
      <c r="I89" s="684">
        <f>IF(終値!A89="","",IFERROR(4*STDEVP(終値!L89:AE89)/AVERAGE(終値!L89:AE89),""))</f>
      </c>
      <c r="J89" s="684">
        <f>IF(終値!A89="","",IFERROR(4*STDEVP(終値!M89:AF89)/AVERAGE(終値!M89:AF89),""))</f>
      </c>
      <c r="K89" s="684">
        <f>IF(終値!A89="","",IFERROR(4*STDEVP(終値!N89:AG89)/AVERAGE(終値!N89:AG89),""))</f>
      </c>
      <c r="L89" s="684">
        <f>IF(終値!A89="","",IFERROR(4*STDEVP(終値!O89:AH89)/AVERAGE(終値!O89:AH89),""))</f>
      </c>
      <c r="M89" s="684">
        <f>IF(終値!A89="","",IFERROR(4*STDEVP(終値!P89:AI89)/AVERAGE(終値!P89:AI89),""))</f>
      </c>
      <c r="N89" s="684">
        <f>IF(終値!A89="","",IFERROR(4*STDEVP(終値!Q89:AJ89)/AVERAGE(終値!Q89:AJ89),""))</f>
      </c>
      <c r="O89" s="684">
        <f>IF(終値!A89="","",IFERROR(4*STDEVP(終値!R89:AK89)/AVERAGE(終値!R89:AK89),""))</f>
      </c>
      <c r="P89" s="684">
        <f>IF(終値!A89="","",IFERROR(4*STDEVP(終値!S89:AL89)/AVERAGE(終値!S89:AL89),""))</f>
      </c>
      <c r="Q89" s="684">
        <f>IF(終値!A89="","",IFERROR(4*STDEVP(終値!T89:AM89)/AVERAGE(終値!T89:AM89),""))</f>
      </c>
      <c r="R89" s="684">
        <f>IF(終値!A89="","",IFERROR(4*STDEVP(終値!U89:AN89)/AVERAGE(終値!U89:AN89),""))</f>
      </c>
      <c r="S89" s="684">
        <f>IF(終値!A89="","",IFERROR(4*STDEVP(終値!V89:AO89)/AVERAGE(終値!V89:AO89),""))</f>
      </c>
      <c r="T89" s="684">
        <f>IF(終値!A89="","",IFERROR(4*STDEVP(終値!W89:AP89)/AVERAGE(終値!W89:AP89),""))</f>
      </c>
      <c r="U89" s="684">
        <f>IF(終値!A89="","",IFERROR(4*STDEVP(終値!X89:AQ89)/AVERAGE(終値!X89:AQ89),""))</f>
      </c>
      <c r="V89" s="684">
        <f>IF(終値!A89="","",IFERROR(4*STDEVP(終値!Y89:AR89)/AVERAGE(終値!Y89:AR89),""))</f>
      </c>
      <c r="W89" s="684">
        <f>IF(終値!A89="","",IFERROR(4*STDEVP(終値!Z89:AS89)/AVERAGE(終値!Z89:AS89),""))</f>
      </c>
      <c r="X89" s="684">
        <f>IF(終値!A89="","",IFERROR(4*STDEVP(終値!AA89:AT89)/AVERAGE(終値!AA89:AT89),""))</f>
      </c>
      <c r="Y89" s="684">
        <f>IF(終値!A89="","",IFERROR(4*STDEVP(終値!AB89:AU89)/AVERAGE(終値!AB89:AU89),""))</f>
      </c>
      <c r="Z89" s="684">
        <f>IF(終値!A89="","",IFERROR(4*STDEVP(終値!AC89:AV89)/AVERAGE(終値!AC89:AV89),""))</f>
      </c>
      <c r="AA89" s="684">
        <f>IF(終値!A89="","",IFERROR(4*STDEVP(終値!AD89:AW89)/AVERAGE(終値!AD89:AW89),""))</f>
      </c>
      <c r="AB89" s="684">
        <f>IF(終値!A89="","",IFERROR(4*STDEVP(終値!AE89:AX89)/AVERAGE(終値!AE89:AX89),""))</f>
      </c>
      <c r="AC89" s="684">
        <f>IF(終値!A89="","",IFERROR(4*STDEVP(終値!AF89:AY89)/AVERAGE(終値!AF89:AY89),""))</f>
      </c>
      <c r="AD89" s="684">
        <f>IF(終値!A89="","",IFERROR(4*STDEVP(終値!AG89:AZ89)/AVERAGE(終値!AG89:AZ89),""))</f>
      </c>
      <c r="AE89" s="684">
        <f>IF(終値!A89="","",IFERROR(4*STDEVP(終値!AH89:BA89)/AVERAGE(終値!AH89:BA89),""))</f>
      </c>
      <c r="AF89" s="684">
        <f>IF(終値!A89="","",IFERROR(4*STDEVP(終値!AI89:BB89)/AVERAGE(終値!AI89:BB89),""))</f>
      </c>
      <c r="AG89" s="684">
        <f>IF(終値!A89="","",IFERROR(4*STDEVP(終値!AJ89:BC89)/AVERAGE(終値!AJ89:BC89),""))</f>
      </c>
      <c r="AH89" s="684">
        <f>IF(終値!A89="","",IFERROR(4*STDEVP(終値!AK89:BD89)/AVERAGE(終値!AK89:BD89),""))</f>
      </c>
      <c r="AI89" s="684">
        <f>IF(終値!A89="","",IFERROR(4*STDEVP(終値!AL89:BE89)/AVERAGE(終値!AL89:BE89),""))</f>
      </c>
      <c r="AJ89" s="684">
        <f>IF(終値!A89="","",IFERROR(4*STDEVP(終値!AM89:BF89)/AVERAGE(終値!AM89:BF89),""))</f>
      </c>
      <c r="AK89" s="684">
        <f>IF(終値!A89="","",IFERROR(4*STDEVP(終値!AN89:BG89)/AVERAGE(終値!AN89:BG89),""))</f>
      </c>
      <c r="AL89" s="684">
        <f>IF(終値!A89="","",IFERROR(4*STDEVP(終値!AO89:BH89)/AVERAGE(終値!AO89:BH89),""))</f>
      </c>
      <c r="AM89" s="684">
        <f>IF(終値!A89="","",IFERROR(4*STDEVP(終値!AP89:BI89)/AVERAGE(終値!AP89:BI89),""))</f>
      </c>
      <c r="AN89" s="684">
        <f>IF(終値!A89="","",IFERROR(4*STDEVP(終値!AQ89:BJ89)/AVERAGE(終値!AQ89:BJ89),""))</f>
      </c>
      <c r="AO89" s="684">
        <f>IF(終値!A89="","",IFERROR(4*STDEVP(終値!AR89:BK89)/AVERAGE(終値!AR89:BK89),""))</f>
      </c>
      <c r="AP89" s="684">
        <f>IF(終値!A89="","",IFERROR(4*STDEVP(終値!AS89:BL89)/AVERAGE(終値!AS89:BL89),""))</f>
      </c>
    </row>
    <row r="90">
      <c r="A90" s="681">
        <f>IF(終値!A90="","",終値!A90)</f>
      </c>
      <c r="B90" s="684">
        <f>IF(終値!A90="","",IFERROR(4*STDEVP(終値!E90:X90)/AVERAGE(終値!E90:X90),""))</f>
      </c>
      <c r="C90" s="684">
        <f>IF(終値!A90="","",IFERROR(4*STDEVP(終値!F90:Y90)/AVERAGE(終値!F90:Y90),""))</f>
      </c>
      <c r="D90" s="684">
        <f>IF(終値!A90="","",IFERROR(4*STDEVP(終値!G90:Z90)/AVERAGE(終値!G90:Z90),""))</f>
      </c>
      <c r="E90" s="684">
        <f>IF(終値!A90="","",IFERROR(4*STDEVP(終値!H90:AA90)/AVERAGE(終値!H90:AA90),""))</f>
      </c>
      <c r="F90" s="684">
        <f>IF(終値!A90="","",IFERROR(4*STDEVP(終値!I90:AB90)/AVERAGE(終値!I90:AB90),""))</f>
      </c>
      <c r="G90" s="684">
        <f>IF(終値!A90="","",IFERROR(4*STDEVP(終値!J90:AC90)/AVERAGE(終値!J90:AC90),""))</f>
      </c>
      <c r="H90" s="684">
        <f>IF(終値!A90="","",IFERROR(4*STDEVP(終値!K90:AD90)/AVERAGE(終値!K90:AD90),""))</f>
      </c>
      <c r="I90" s="684">
        <f>IF(終値!A90="","",IFERROR(4*STDEVP(終値!L90:AE90)/AVERAGE(終値!L90:AE90),""))</f>
      </c>
      <c r="J90" s="684">
        <f>IF(終値!A90="","",IFERROR(4*STDEVP(終値!M90:AF90)/AVERAGE(終値!M90:AF90),""))</f>
      </c>
      <c r="K90" s="684">
        <f>IF(終値!A90="","",IFERROR(4*STDEVP(終値!N90:AG90)/AVERAGE(終値!N90:AG90),""))</f>
      </c>
      <c r="L90" s="684">
        <f>IF(終値!A90="","",IFERROR(4*STDEVP(終値!O90:AH90)/AVERAGE(終値!O90:AH90),""))</f>
      </c>
      <c r="M90" s="684">
        <f>IF(終値!A90="","",IFERROR(4*STDEVP(終値!P90:AI90)/AVERAGE(終値!P90:AI90),""))</f>
      </c>
      <c r="N90" s="684">
        <f>IF(終値!A90="","",IFERROR(4*STDEVP(終値!Q90:AJ90)/AVERAGE(終値!Q90:AJ90),""))</f>
      </c>
      <c r="O90" s="684">
        <f>IF(終値!A90="","",IFERROR(4*STDEVP(終値!R90:AK90)/AVERAGE(終値!R90:AK90),""))</f>
      </c>
      <c r="P90" s="684">
        <f>IF(終値!A90="","",IFERROR(4*STDEVP(終値!S90:AL90)/AVERAGE(終値!S90:AL90),""))</f>
      </c>
      <c r="Q90" s="684">
        <f>IF(終値!A90="","",IFERROR(4*STDEVP(終値!T90:AM90)/AVERAGE(終値!T90:AM90),""))</f>
      </c>
      <c r="R90" s="684">
        <f>IF(終値!A90="","",IFERROR(4*STDEVP(終値!U90:AN90)/AVERAGE(終値!U90:AN90),""))</f>
      </c>
      <c r="S90" s="684">
        <f>IF(終値!A90="","",IFERROR(4*STDEVP(終値!V90:AO90)/AVERAGE(終値!V90:AO90),""))</f>
      </c>
      <c r="T90" s="684">
        <f>IF(終値!A90="","",IFERROR(4*STDEVP(終値!W90:AP90)/AVERAGE(終値!W90:AP90),""))</f>
      </c>
      <c r="U90" s="684">
        <f>IF(終値!A90="","",IFERROR(4*STDEVP(終値!X90:AQ90)/AVERAGE(終値!X90:AQ90),""))</f>
      </c>
      <c r="V90" s="684">
        <f>IF(終値!A90="","",IFERROR(4*STDEVP(終値!Y90:AR90)/AVERAGE(終値!Y90:AR90),""))</f>
      </c>
      <c r="W90" s="684">
        <f>IF(終値!A90="","",IFERROR(4*STDEVP(終値!Z90:AS90)/AVERAGE(終値!Z90:AS90),""))</f>
      </c>
      <c r="X90" s="684">
        <f>IF(終値!A90="","",IFERROR(4*STDEVP(終値!AA90:AT90)/AVERAGE(終値!AA90:AT90),""))</f>
      </c>
      <c r="Y90" s="684">
        <f>IF(終値!A90="","",IFERROR(4*STDEVP(終値!AB90:AU90)/AVERAGE(終値!AB90:AU90),""))</f>
      </c>
      <c r="Z90" s="684">
        <f>IF(終値!A90="","",IFERROR(4*STDEVP(終値!AC90:AV90)/AVERAGE(終値!AC90:AV90),""))</f>
      </c>
      <c r="AA90" s="684">
        <f>IF(終値!A90="","",IFERROR(4*STDEVP(終値!AD90:AW90)/AVERAGE(終値!AD90:AW90),""))</f>
      </c>
      <c r="AB90" s="684">
        <f>IF(終値!A90="","",IFERROR(4*STDEVP(終値!AE90:AX90)/AVERAGE(終値!AE90:AX90),""))</f>
      </c>
      <c r="AC90" s="684">
        <f>IF(終値!A90="","",IFERROR(4*STDEVP(終値!AF90:AY90)/AVERAGE(終値!AF90:AY90),""))</f>
      </c>
      <c r="AD90" s="684">
        <f>IF(終値!A90="","",IFERROR(4*STDEVP(終値!AG90:AZ90)/AVERAGE(終値!AG90:AZ90),""))</f>
      </c>
      <c r="AE90" s="684">
        <f>IF(終値!A90="","",IFERROR(4*STDEVP(終値!AH90:BA90)/AVERAGE(終値!AH90:BA90),""))</f>
      </c>
      <c r="AF90" s="684">
        <f>IF(終値!A90="","",IFERROR(4*STDEVP(終値!AI90:BB90)/AVERAGE(終値!AI90:BB90),""))</f>
      </c>
      <c r="AG90" s="684">
        <f>IF(終値!A90="","",IFERROR(4*STDEVP(終値!AJ90:BC90)/AVERAGE(終値!AJ90:BC90),""))</f>
      </c>
      <c r="AH90" s="684">
        <f>IF(終値!A90="","",IFERROR(4*STDEVP(終値!AK90:BD90)/AVERAGE(終値!AK90:BD90),""))</f>
      </c>
      <c r="AI90" s="684">
        <f>IF(終値!A90="","",IFERROR(4*STDEVP(終値!AL90:BE90)/AVERAGE(終値!AL90:BE90),""))</f>
      </c>
      <c r="AJ90" s="684">
        <f>IF(終値!A90="","",IFERROR(4*STDEVP(終値!AM90:BF90)/AVERAGE(終値!AM90:BF90),""))</f>
      </c>
      <c r="AK90" s="684">
        <f>IF(終値!A90="","",IFERROR(4*STDEVP(終値!AN90:BG90)/AVERAGE(終値!AN90:BG90),""))</f>
      </c>
      <c r="AL90" s="684">
        <f>IF(終値!A90="","",IFERROR(4*STDEVP(終値!AO90:BH90)/AVERAGE(終値!AO90:BH90),""))</f>
      </c>
      <c r="AM90" s="684">
        <f>IF(終値!A90="","",IFERROR(4*STDEVP(終値!AP90:BI90)/AVERAGE(終値!AP90:BI90),""))</f>
      </c>
      <c r="AN90" s="684">
        <f>IF(終値!A90="","",IFERROR(4*STDEVP(終値!AQ90:BJ90)/AVERAGE(終値!AQ90:BJ90),""))</f>
      </c>
      <c r="AO90" s="684">
        <f>IF(終値!A90="","",IFERROR(4*STDEVP(終値!AR90:BK90)/AVERAGE(終値!AR90:BK90),""))</f>
      </c>
      <c r="AP90" s="684">
        <f>IF(終値!A90="","",IFERROR(4*STDEVP(終値!AS90:BL90)/AVERAGE(終値!AS90:BL90),""))</f>
      </c>
    </row>
    <row r="91">
      <c r="A91" s="681">
        <f>IF(終値!A91="","",終値!A91)</f>
      </c>
      <c r="B91" s="684">
        <f>IF(終値!A91="","",IFERROR(4*STDEVP(終値!E91:X91)/AVERAGE(終値!E91:X91),""))</f>
      </c>
      <c r="C91" s="684">
        <f>IF(終値!A91="","",IFERROR(4*STDEVP(終値!F91:Y91)/AVERAGE(終値!F91:Y91),""))</f>
      </c>
      <c r="D91" s="684">
        <f>IF(終値!A91="","",IFERROR(4*STDEVP(終値!G91:Z91)/AVERAGE(終値!G91:Z91),""))</f>
      </c>
      <c r="E91" s="684">
        <f>IF(終値!A91="","",IFERROR(4*STDEVP(終値!H91:AA91)/AVERAGE(終値!H91:AA91),""))</f>
      </c>
      <c r="F91" s="684">
        <f>IF(終値!A91="","",IFERROR(4*STDEVP(終値!I91:AB91)/AVERAGE(終値!I91:AB91),""))</f>
      </c>
      <c r="G91" s="684">
        <f>IF(終値!A91="","",IFERROR(4*STDEVP(終値!J91:AC91)/AVERAGE(終値!J91:AC91),""))</f>
      </c>
      <c r="H91" s="684">
        <f>IF(終値!A91="","",IFERROR(4*STDEVP(終値!K91:AD91)/AVERAGE(終値!K91:AD91),""))</f>
      </c>
      <c r="I91" s="684">
        <f>IF(終値!A91="","",IFERROR(4*STDEVP(終値!L91:AE91)/AVERAGE(終値!L91:AE91),""))</f>
      </c>
      <c r="J91" s="684">
        <f>IF(終値!A91="","",IFERROR(4*STDEVP(終値!M91:AF91)/AVERAGE(終値!M91:AF91),""))</f>
      </c>
      <c r="K91" s="684">
        <f>IF(終値!A91="","",IFERROR(4*STDEVP(終値!N91:AG91)/AVERAGE(終値!N91:AG91),""))</f>
      </c>
      <c r="L91" s="684">
        <f>IF(終値!A91="","",IFERROR(4*STDEVP(終値!O91:AH91)/AVERAGE(終値!O91:AH91),""))</f>
      </c>
      <c r="M91" s="684">
        <f>IF(終値!A91="","",IFERROR(4*STDEVP(終値!P91:AI91)/AVERAGE(終値!P91:AI91),""))</f>
      </c>
      <c r="N91" s="684">
        <f>IF(終値!A91="","",IFERROR(4*STDEVP(終値!Q91:AJ91)/AVERAGE(終値!Q91:AJ91),""))</f>
      </c>
      <c r="O91" s="684">
        <f>IF(終値!A91="","",IFERROR(4*STDEVP(終値!R91:AK91)/AVERAGE(終値!R91:AK91),""))</f>
      </c>
      <c r="P91" s="684">
        <f>IF(終値!A91="","",IFERROR(4*STDEVP(終値!S91:AL91)/AVERAGE(終値!S91:AL91),""))</f>
      </c>
      <c r="Q91" s="684">
        <f>IF(終値!A91="","",IFERROR(4*STDEVP(終値!T91:AM91)/AVERAGE(終値!T91:AM91),""))</f>
      </c>
      <c r="R91" s="684">
        <f>IF(終値!A91="","",IFERROR(4*STDEVP(終値!U91:AN91)/AVERAGE(終値!U91:AN91),""))</f>
      </c>
      <c r="S91" s="684">
        <f>IF(終値!A91="","",IFERROR(4*STDEVP(終値!V91:AO91)/AVERAGE(終値!V91:AO91),""))</f>
      </c>
      <c r="T91" s="684">
        <f>IF(終値!A91="","",IFERROR(4*STDEVP(終値!W91:AP91)/AVERAGE(終値!W91:AP91),""))</f>
      </c>
      <c r="U91" s="684">
        <f>IF(終値!A91="","",IFERROR(4*STDEVP(終値!X91:AQ91)/AVERAGE(終値!X91:AQ91),""))</f>
      </c>
      <c r="V91" s="684">
        <f>IF(終値!A91="","",IFERROR(4*STDEVP(終値!Y91:AR91)/AVERAGE(終値!Y91:AR91),""))</f>
      </c>
      <c r="W91" s="684">
        <f>IF(終値!A91="","",IFERROR(4*STDEVP(終値!Z91:AS91)/AVERAGE(終値!Z91:AS91),""))</f>
      </c>
      <c r="X91" s="684">
        <f>IF(終値!A91="","",IFERROR(4*STDEVP(終値!AA91:AT91)/AVERAGE(終値!AA91:AT91),""))</f>
      </c>
      <c r="Y91" s="684">
        <f>IF(終値!A91="","",IFERROR(4*STDEVP(終値!AB91:AU91)/AVERAGE(終値!AB91:AU91),""))</f>
      </c>
      <c r="Z91" s="684">
        <f>IF(終値!A91="","",IFERROR(4*STDEVP(終値!AC91:AV91)/AVERAGE(終値!AC91:AV91),""))</f>
      </c>
      <c r="AA91" s="684">
        <f>IF(終値!A91="","",IFERROR(4*STDEVP(終値!AD91:AW91)/AVERAGE(終値!AD91:AW91),""))</f>
      </c>
      <c r="AB91" s="684">
        <f>IF(終値!A91="","",IFERROR(4*STDEVP(終値!AE91:AX91)/AVERAGE(終値!AE91:AX91),""))</f>
      </c>
      <c r="AC91" s="684">
        <f>IF(終値!A91="","",IFERROR(4*STDEVP(終値!AF91:AY91)/AVERAGE(終値!AF91:AY91),""))</f>
      </c>
      <c r="AD91" s="684">
        <f>IF(終値!A91="","",IFERROR(4*STDEVP(終値!AG91:AZ91)/AVERAGE(終値!AG91:AZ91),""))</f>
      </c>
      <c r="AE91" s="684">
        <f>IF(終値!A91="","",IFERROR(4*STDEVP(終値!AH91:BA91)/AVERAGE(終値!AH91:BA91),""))</f>
      </c>
      <c r="AF91" s="684">
        <f>IF(終値!A91="","",IFERROR(4*STDEVP(終値!AI91:BB91)/AVERAGE(終値!AI91:BB91),""))</f>
      </c>
      <c r="AG91" s="684">
        <f>IF(終値!A91="","",IFERROR(4*STDEVP(終値!AJ91:BC91)/AVERAGE(終値!AJ91:BC91),""))</f>
      </c>
      <c r="AH91" s="684">
        <f>IF(終値!A91="","",IFERROR(4*STDEVP(終値!AK91:BD91)/AVERAGE(終値!AK91:BD91),""))</f>
      </c>
      <c r="AI91" s="684">
        <f>IF(終値!A91="","",IFERROR(4*STDEVP(終値!AL91:BE91)/AVERAGE(終値!AL91:BE91),""))</f>
      </c>
      <c r="AJ91" s="684">
        <f>IF(終値!A91="","",IFERROR(4*STDEVP(終値!AM91:BF91)/AVERAGE(終値!AM91:BF91),""))</f>
      </c>
      <c r="AK91" s="684">
        <f>IF(終値!A91="","",IFERROR(4*STDEVP(終値!AN91:BG91)/AVERAGE(終値!AN91:BG91),""))</f>
      </c>
      <c r="AL91" s="684">
        <f>IF(終値!A91="","",IFERROR(4*STDEVP(終値!AO91:BH91)/AVERAGE(終値!AO91:BH91),""))</f>
      </c>
      <c r="AM91" s="684">
        <f>IF(終値!A91="","",IFERROR(4*STDEVP(終値!AP91:BI91)/AVERAGE(終値!AP91:BI91),""))</f>
      </c>
      <c r="AN91" s="684">
        <f>IF(終値!A91="","",IFERROR(4*STDEVP(終値!AQ91:BJ91)/AVERAGE(終値!AQ91:BJ91),""))</f>
      </c>
      <c r="AO91" s="684">
        <f>IF(終値!A91="","",IFERROR(4*STDEVP(終値!AR91:BK91)/AVERAGE(終値!AR91:BK91),""))</f>
      </c>
      <c r="AP91" s="684">
        <f>IF(終値!A91="","",IFERROR(4*STDEVP(終値!AS91:BL91)/AVERAGE(終値!AS91:BL91),""))</f>
      </c>
    </row>
    <row r="92">
      <c r="A92" s="681">
        <f>IF(終値!A92="","",終値!A92)</f>
      </c>
      <c r="B92" s="684">
        <f>IF(終値!A92="","",IFERROR(4*STDEVP(終値!E92:X92)/AVERAGE(終値!E92:X92),""))</f>
      </c>
      <c r="C92" s="684">
        <f>IF(終値!A92="","",IFERROR(4*STDEVP(終値!F92:Y92)/AVERAGE(終値!F92:Y92),""))</f>
      </c>
      <c r="D92" s="684">
        <f>IF(終値!A92="","",IFERROR(4*STDEVP(終値!G92:Z92)/AVERAGE(終値!G92:Z92),""))</f>
      </c>
      <c r="E92" s="684">
        <f>IF(終値!A92="","",IFERROR(4*STDEVP(終値!H92:AA92)/AVERAGE(終値!H92:AA92),""))</f>
      </c>
      <c r="F92" s="684">
        <f>IF(終値!A92="","",IFERROR(4*STDEVP(終値!I92:AB92)/AVERAGE(終値!I92:AB92),""))</f>
      </c>
      <c r="G92" s="684">
        <f>IF(終値!A92="","",IFERROR(4*STDEVP(終値!J92:AC92)/AVERAGE(終値!J92:AC92),""))</f>
      </c>
      <c r="H92" s="684">
        <f>IF(終値!A92="","",IFERROR(4*STDEVP(終値!K92:AD92)/AVERAGE(終値!K92:AD92),""))</f>
      </c>
      <c r="I92" s="684">
        <f>IF(終値!A92="","",IFERROR(4*STDEVP(終値!L92:AE92)/AVERAGE(終値!L92:AE92),""))</f>
      </c>
      <c r="J92" s="684">
        <f>IF(終値!A92="","",IFERROR(4*STDEVP(終値!M92:AF92)/AVERAGE(終値!M92:AF92),""))</f>
      </c>
      <c r="K92" s="684">
        <f>IF(終値!A92="","",IFERROR(4*STDEVP(終値!N92:AG92)/AVERAGE(終値!N92:AG92),""))</f>
      </c>
      <c r="L92" s="684">
        <f>IF(終値!A92="","",IFERROR(4*STDEVP(終値!O92:AH92)/AVERAGE(終値!O92:AH92),""))</f>
      </c>
      <c r="M92" s="684">
        <f>IF(終値!A92="","",IFERROR(4*STDEVP(終値!P92:AI92)/AVERAGE(終値!P92:AI92),""))</f>
      </c>
      <c r="N92" s="684">
        <f>IF(終値!A92="","",IFERROR(4*STDEVP(終値!Q92:AJ92)/AVERAGE(終値!Q92:AJ92),""))</f>
      </c>
      <c r="O92" s="684">
        <f>IF(終値!A92="","",IFERROR(4*STDEVP(終値!R92:AK92)/AVERAGE(終値!R92:AK92),""))</f>
      </c>
      <c r="P92" s="684">
        <f>IF(終値!A92="","",IFERROR(4*STDEVP(終値!S92:AL92)/AVERAGE(終値!S92:AL92),""))</f>
      </c>
      <c r="Q92" s="684">
        <f>IF(終値!A92="","",IFERROR(4*STDEVP(終値!T92:AM92)/AVERAGE(終値!T92:AM92),""))</f>
      </c>
      <c r="R92" s="684">
        <f>IF(終値!A92="","",IFERROR(4*STDEVP(終値!U92:AN92)/AVERAGE(終値!U92:AN92),""))</f>
      </c>
      <c r="S92" s="684">
        <f>IF(終値!A92="","",IFERROR(4*STDEVP(終値!V92:AO92)/AVERAGE(終値!V92:AO92),""))</f>
      </c>
      <c r="T92" s="684">
        <f>IF(終値!A92="","",IFERROR(4*STDEVP(終値!W92:AP92)/AVERAGE(終値!W92:AP92),""))</f>
      </c>
      <c r="U92" s="684">
        <f>IF(終値!A92="","",IFERROR(4*STDEVP(終値!X92:AQ92)/AVERAGE(終値!X92:AQ92),""))</f>
      </c>
      <c r="V92" s="684">
        <f>IF(終値!A92="","",IFERROR(4*STDEVP(終値!Y92:AR92)/AVERAGE(終値!Y92:AR92),""))</f>
      </c>
      <c r="W92" s="684">
        <f>IF(終値!A92="","",IFERROR(4*STDEVP(終値!Z92:AS92)/AVERAGE(終値!Z92:AS92),""))</f>
      </c>
      <c r="X92" s="684">
        <f>IF(終値!A92="","",IFERROR(4*STDEVP(終値!AA92:AT92)/AVERAGE(終値!AA92:AT92),""))</f>
      </c>
      <c r="Y92" s="684">
        <f>IF(終値!A92="","",IFERROR(4*STDEVP(終値!AB92:AU92)/AVERAGE(終値!AB92:AU92),""))</f>
      </c>
      <c r="Z92" s="684">
        <f>IF(終値!A92="","",IFERROR(4*STDEVP(終値!AC92:AV92)/AVERAGE(終値!AC92:AV92),""))</f>
      </c>
      <c r="AA92" s="684">
        <f>IF(終値!A92="","",IFERROR(4*STDEVP(終値!AD92:AW92)/AVERAGE(終値!AD92:AW92),""))</f>
      </c>
      <c r="AB92" s="684">
        <f>IF(終値!A92="","",IFERROR(4*STDEVP(終値!AE92:AX92)/AVERAGE(終値!AE92:AX92),""))</f>
      </c>
      <c r="AC92" s="684">
        <f>IF(終値!A92="","",IFERROR(4*STDEVP(終値!AF92:AY92)/AVERAGE(終値!AF92:AY92),""))</f>
      </c>
      <c r="AD92" s="684">
        <f>IF(終値!A92="","",IFERROR(4*STDEVP(終値!AG92:AZ92)/AVERAGE(終値!AG92:AZ92),""))</f>
      </c>
      <c r="AE92" s="684">
        <f>IF(終値!A92="","",IFERROR(4*STDEVP(終値!AH92:BA92)/AVERAGE(終値!AH92:BA92),""))</f>
      </c>
      <c r="AF92" s="684">
        <f>IF(終値!A92="","",IFERROR(4*STDEVP(終値!AI92:BB92)/AVERAGE(終値!AI92:BB92),""))</f>
      </c>
      <c r="AG92" s="684">
        <f>IF(終値!A92="","",IFERROR(4*STDEVP(終値!AJ92:BC92)/AVERAGE(終値!AJ92:BC92),""))</f>
      </c>
      <c r="AH92" s="684">
        <f>IF(終値!A92="","",IFERROR(4*STDEVP(終値!AK92:BD92)/AVERAGE(終値!AK92:BD92),""))</f>
      </c>
      <c r="AI92" s="684">
        <f>IF(終値!A92="","",IFERROR(4*STDEVP(終値!AL92:BE92)/AVERAGE(終値!AL92:BE92),""))</f>
      </c>
      <c r="AJ92" s="684">
        <f>IF(終値!A92="","",IFERROR(4*STDEVP(終値!AM92:BF92)/AVERAGE(終値!AM92:BF92),""))</f>
      </c>
      <c r="AK92" s="684">
        <f>IF(終値!A92="","",IFERROR(4*STDEVP(終値!AN92:BG92)/AVERAGE(終値!AN92:BG92),""))</f>
      </c>
      <c r="AL92" s="684">
        <f>IF(終値!A92="","",IFERROR(4*STDEVP(終値!AO92:BH92)/AVERAGE(終値!AO92:BH92),""))</f>
      </c>
      <c r="AM92" s="684">
        <f>IF(終値!A92="","",IFERROR(4*STDEVP(終値!AP92:BI92)/AVERAGE(終値!AP92:BI92),""))</f>
      </c>
      <c r="AN92" s="684">
        <f>IF(終値!A92="","",IFERROR(4*STDEVP(終値!AQ92:BJ92)/AVERAGE(終値!AQ92:BJ92),""))</f>
      </c>
      <c r="AO92" s="684">
        <f>IF(終値!A92="","",IFERROR(4*STDEVP(終値!AR92:BK92)/AVERAGE(終値!AR92:BK92),""))</f>
      </c>
      <c r="AP92" s="684">
        <f>IF(終値!A92="","",IFERROR(4*STDEVP(終値!AS92:BL92)/AVERAGE(終値!AS92:BL92),""))</f>
      </c>
    </row>
    <row r="93">
      <c r="A93" s="681">
        <f>IF(終値!A93="","",終値!A93)</f>
      </c>
      <c r="B93" s="684">
        <f>IF(終値!A93="","",IFERROR(4*STDEVP(終値!E93:X93)/AVERAGE(終値!E93:X93),""))</f>
      </c>
      <c r="C93" s="684">
        <f>IF(終値!A93="","",IFERROR(4*STDEVP(終値!F93:Y93)/AVERAGE(終値!F93:Y93),""))</f>
      </c>
      <c r="D93" s="684">
        <f>IF(終値!A93="","",IFERROR(4*STDEVP(終値!G93:Z93)/AVERAGE(終値!G93:Z93),""))</f>
      </c>
      <c r="E93" s="684">
        <f>IF(終値!A93="","",IFERROR(4*STDEVP(終値!H93:AA93)/AVERAGE(終値!H93:AA93),""))</f>
      </c>
      <c r="F93" s="684">
        <f>IF(終値!A93="","",IFERROR(4*STDEVP(終値!I93:AB93)/AVERAGE(終値!I93:AB93),""))</f>
      </c>
      <c r="G93" s="684">
        <f>IF(終値!A93="","",IFERROR(4*STDEVP(終値!J93:AC93)/AVERAGE(終値!J93:AC93),""))</f>
      </c>
      <c r="H93" s="684">
        <f>IF(終値!A93="","",IFERROR(4*STDEVP(終値!K93:AD93)/AVERAGE(終値!K93:AD93),""))</f>
      </c>
      <c r="I93" s="684">
        <f>IF(終値!A93="","",IFERROR(4*STDEVP(終値!L93:AE93)/AVERAGE(終値!L93:AE93),""))</f>
      </c>
      <c r="J93" s="684">
        <f>IF(終値!A93="","",IFERROR(4*STDEVP(終値!M93:AF93)/AVERAGE(終値!M93:AF93),""))</f>
      </c>
      <c r="K93" s="684">
        <f>IF(終値!A93="","",IFERROR(4*STDEVP(終値!N93:AG93)/AVERAGE(終値!N93:AG93),""))</f>
      </c>
      <c r="L93" s="684">
        <f>IF(終値!A93="","",IFERROR(4*STDEVP(終値!O93:AH93)/AVERAGE(終値!O93:AH93),""))</f>
      </c>
      <c r="M93" s="684">
        <f>IF(終値!A93="","",IFERROR(4*STDEVP(終値!P93:AI93)/AVERAGE(終値!P93:AI93),""))</f>
      </c>
      <c r="N93" s="684">
        <f>IF(終値!A93="","",IFERROR(4*STDEVP(終値!Q93:AJ93)/AVERAGE(終値!Q93:AJ93),""))</f>
      </c>
      <c r="O93" s="684">
        <f>IF(終値!A93="","",IFERROR(4*STDEVP(終値!R93:AK93)/AVERAGE(終値!R93:AK93),""))</f>
      </c>
      <c r="P93" s="684">
        <f>IF(終値!A93="","",IFERROR(4*STDEVP(終値!S93:AL93)/AVERAGE(終値!S93:AL93),""))</f>
      </c>
      <c r="Q93" s="684">
        <f>IF(終値!A93="","",IFERROR(4*STDEVP(終値!T93:AM93)/AVERAGE(終値!T93:AM93),""))</f>
      </c>
      <c r="R93" s="684">
        <f>IF(終値!A93="","",IFERROR(4*STDEVP(終値!U93:AN93)/AVERAGE(終値!U93:AN93),""))</f>
      </c>
      <c r="S93" s="684">
        <f>IF(終値!A93="","",IFERROR(4*STDEVP(終値!V93:AO93)/AVERAGE(終値!V93:AO93),""))</f>
      </c>
      <c r="T93" s="684">
        <f>IF(終値!A93="","",IFERROR(4*STDEVP(終値!W93:AP93)/AVERAGE(終値!W93:AP93),""))</f>
      </c>
      <c r="U93" s="684">
        <f>IF(終値!A93="","",IFERROR(4*STDEVP(終値!X93:AQ93)/AVERAGE(終値!X93:AQ93),""))</f>
      </c>
      <c r="V93" s="684">
        <f>IF(終値!A93="","",IFERROR(4*STDEVP(終値!Y93:AR93)/AVERAGE(終値!Y93:AR93),""))</f>
      </c>
      <c r="W93" s="684">
        <f>IF(終値!A93="","",IFERROR(4*STDEVP(終値!Z93:AS93)/AVERAGE(終値!Z93:AS93),""))</f>
      </c>
      <c r="X93" s="684">
        <f>IF(終値!A93="","",IFERROR(4*STDEVP(終値!AA93:AT93)/AVERAGE(終値!AA93:AT93),""))</f>
      </c>
      <c r="Y93" s="684">
        <f>IF(終値!A93="","",IFERROR(4*STDEVP(終値!AB93:AU93)/AVERAGE(終値!AB93:AU93),""))</f>
      </c>
      <c r="Z93" s="684">
        <f>IF(終値!A93="","",IFERROR(4*STDEVP(終値!AC93:AV93)/AVERAGE(終値!AC93:AV93),""))</f>
      </c>
      <c r="AA93" s="684">
        <f>IF(終値!A93="","",IFERROR(4*STDEVP(終値!AD93:AW93)/AVERAGE(終値!AD93:AW93),""))</f>
      </c>
      <c r="AB93" s="684">
        <f>IF(終値!A93="","",IFERROR(4*STDEVP(終値!AE93:AX93)/AVERAGE(終値!AE93:AX93),""))</f>
      </c>
      <c r="AC93" s="684">
        <f>IF(終値!A93="","",IFERROR(4*STDEVP(終値!AF93:AY93)/AVERAGE(終値!AF93:AY93),""))</f>
      </c>
      <c r="AD93" s="684">
        <f>IF(終値!A93="","",IFERROR(4*STDEVP(終値!AG93:AZ93)/AVERAGE(終値!AG93:AZ93),""))</f>
      </c>
      <c r="AE93" s="684">
        <f>IF(終値!A93="","",IFERROR(4*STDEVP(終値!AH93:BA93)/AVERAGE(終値!AH93:BA93),""))</f>
      </c>
      <c r="AF93" s="684">
        <f>IF(終値!A93="","",IFERROR(4*STDEVP(終値!AI93:BB93)/AVERAGE(終値!AI93:BB93),""))</f>
      </c>
      <c r="AG93" s="684">
        <f>IF(終値!A93="","",IFERROR(4*STDEVP(終値!AJ93:BC93)/AVERAGE(終値!AJ93:BC93),""))</f>
      </c>
      <c r="AH93" s="684">
        <f>IF(終値!A93="","",IFERROR(4*STDEVP(終値!AK93:BD93)/AVERAGE(終値!AK93:BD93),""))</f>
      </c>
      <c r="AI93" s="684">
        <f>IF(終値!A93="","",IFERROR(4*STDEVP(終値!AL93:BE93)/AVERAGE(終値!AL93:BE93),""))</f>
      </c>
      <c r="AJ93" s="684">
        <f>IF(終値!A93="","",IFERROR(4*STDEVP(終値!AM93:BF93)/AVERAGE(終値!AM93:BF93),""))</f>
      </c>
      <c r="AK93" s="684">
        <f>IF(終値!A93="","",IFERROR(4*STDEVP(終値!AN93:BG93)/AVERAGE(終値!AN93:BG93),""))</f>
      </c>
      <c r="AL93" s="684">
        <f>IF(終値!A93="","",IFERROR(4*STDEVP(終値!AO93:BH93)/AVERAGE(終値!AO93:BH93),""))</f>
      </c>
      <c r="AM93" s="684">
        <f>IF(終値!A93="","",IFERROR(4*STDEVP(終値!AP93:BI93)/AVERAGE(終値!AP93:BI93),""))</f>
      </c>
      <c r="AN93" s="684">
        <f>IF(終値!A93="","",IFERROR(4*STDEVP(終値!AQ93:BJ93)/AVERAGE(終値!AQ93:BJ93),""))</f>
      </c>
      <c r="AO93" s="684">
        <f>IF(終値!A93="","",IFERROR(4*STDEVP(終値!AR93:BK93)/AVERAGE(終値!AR93:BK93),""))</f>
      </c>
      <c r="AP93" s="684">
        <f>IF(終値!A93="","",IFERROR(4*STDEVP(終値!AS93:BL93)/AVERAGE(終値!AS93:BL93),""))</f>
      </c>
    </row>
    <row r="94">
      <c r="A94" s="681">
        <f>IF(終値!A94="","",終値!A94)</f>
      </c>
      <c r="B94" s="684">
        <f>IF(終値!A94="","",IFERROR(4*STDEVP(終値!E94:X94)/AVERAGE(終値!E94:X94),""))</f>
      </c>
      <c r="C94" s="684">
        <f>IF(終値!A94="","",IFERROR(4*STDEVP(終値!F94:Y94)/AVERAGE(終値!F94:Y94),""))</f>
      </c>
      <c r="D94" s="684">
        <f>IF(終値!A94="","",IFERROR(4*STDEVP(終値!G94:Z94)/AVERAGE(終値!G94:Z94),""))</f>
      </c>
      <c r="E94" s="684">
        <f>IF(終値!A94="","",IFERROR(4*STDEVP(終値!H94:AA94)/AVERAGE(終値!H94:AA94),""))</f>
      </c>
      <c r="F94" s="684">
        <f>IF(終値!A94="","",IFERROR(4*STDEVP(終値!I94:AB94)/AVERAGE(終値!I94:AB94),""))</f>
      </c>
      <c r="G94" s="684">
        <f>IF(終値!A94="","",IFERROR(4*STDEVP(終値!J94:AC94)/AVERAGE(終値!J94:AC94),""))</f>
      </c>
      <c r="H94" s="684">
        <f>IF(終値!A94="","",IFERROR(4*STDEVP(終値!K94:AD94)/AVERAGE(終値!K94:AD94),""))</f>
      </c>
      <c r="I94" s="684">
        <f>IF(終値!A94="","",IFERROR(4*STDEVP(終値!L94:AE94)/AVERAGE(終値!L94:AE94),""))</f>
      </c>
      <c r="J94" s="684">
        <f>IF(終値!A94="","",IFERROR(4*STDEVP(終値!M94:AF94)/AVERAGE(終値!M94:AF94),""))</f>
      </c>
      <c r="K94" s="684">
        <f>IF(終値!A94="","",IFERROR(4*STDEVP(終値!N94:AG94)/AVERAGE(終値!N94:AG94),""))</f>
      </c>
      <c r="L94" s="684">
        <f>IF(終値!A94="","",IFERROR(4*STDEVP(終値!O94:AH94)/AVERAGE(終値!O94:AH94),""))</f>
      </c>
      <c r="M94" s="684">
        <f>IF(終値!A94="","",IFERROR(4*STDEVP(終値!P94:AI94)/AVERAGE(終値!P94:AI94),""))</f>
      </c>
      <c r="N94" s="684">
        <f>IF(終値!A94="","",IFERROR(4*STDEVP(終値!Q94:AJ94)/AVERAGE(終値!Q94:AJ94),""))</f>
      </c>
      <c r="O94" s="684">
        <f>IF(終値!A94="","",IFERROR(4*STDEVP(終値!R94:AK94)/AVERAGE(終値!R94:AK94),""))</f>
      </c>
      <c r="P94" s="684">
        <f>IF(終値!A94="","",IFERROR(4*STDEVP(終値!S94:AL94)/AVERAGE(終値!S94:AL94),""))</f>
      </c>
      <c r="Q94" s="684">
        <f>IF(終値!A94="","",IFERROR(4*STDEVP(終値!T94:AM94)/AVERAGE(終値!T94:AM94),""))</f>
      </c>
      <c r="R94" s="684">
        <f>IF(終値!A94="","",IFERROR(4*STDEVP(終値!U94:AN94)/AVERAGE(終値!U94:AN94),""))</f>
      </c>
      <c r="S94" s="684">
        <f>IF(終値!A94="","",IFERROR(4*STDEVP(終値!V94:AO94)/AVERAGE(終値!V94:AO94),""))</f>
      </c>
      <c r="T94" s="684">
        <f>IF(終値!A94="","",IFERROR(4*STDEVP(終値!W94:AP94)/AVERAGE(終値!W94:AP94),""))</f>
      </c>
      <c r="U94" s="684">
        <f>IF(終値!A94="","",IFERROR(4*STDEVP(終値!X94:AQ94)/AVERAGE(終値!X94:AQ94),""))</f>
      </c>
      <c r="V94" s="684">
        <f>IF(終値!A94="","",IFERROR(4*STDEVP(終値!Y94:AR94)/AVERAGE(終値!Y94:AR94),""))</f>
      </c>
      <c r="W94" s="684">
        <f>IF(終値!A94="","",IFERROR(4*STDEVP(終値!Z94:AS94)/AVERAGE(終値!Z94:AS94),""))</f>
      </c>
      <c r="X94" s="684">
        <f>IF(終値!A94="","",IFERROR(4*STDEVP(終値!AA94:AT94)/AVERAGE(終値!AA94:AT94),""))</f>
      </c>
      <c r="Y94" s="684">
        <f>IF(終値!A94="","",IFERROR(4*STDEVP(終値!AB94:AU94)/AVERAGE(終値!AB94:AU94),""))</f>
      </c>
      <c r="Z94" s="684">
        <f>IF(終値!A94="","",IFERROR(4*STDEVP(終値!AC94:AV94)/AVERAGE(終値!AC94:AV94),""))</f>
      </c>
      <c r="AA94" s="684">
        <f>IF(終値!A94="","",IFERROR(4*STDEVP(終値!AD94:AW94)/AVERAGE(終値!AD94:AW94),""))</f>
      </c>
      <c r="AB94" s="684">
        <f>IF(終値!A94="","",IFERROR(4*STDEVP(終値!AE94:AX94)/AVERAGE(終値!AE94:AX94),""))</f>
      </c>
      <c r="AC94" s="684">
        <f>IF(終値!A94="","",IFERROR(4*STDEVP(終値!AF94:AY94)/AVERAGE(終値!AF94:AY94),""))</f>
      </c>
      <c r="AD94" s="684">
        <f>IF(終値!A94="","",IFERROR(4*STDEVP(終値!AG94:AZ94)/AVERAGE(終値!AG94:AZ94),""))</f>
      </c>
      <c r="AE94" s="684">
        <f>IF(終値!A94="","",IFERROR(4*STDEVP(終値!AH94:BA94)/AVERAGE(終値!AH94:BA94),""))</f>
      </c>
      <c r="AF94" s="684">
        <f>IF(終値!A94="","",IFERROR(4*STDEVP(終値!AI94:BB94)/AVERAGE(終値!AI94:BB94),""))</f>
      </c>
      <c r="AG94" s="684">
        <f>IF(終値!A94="","",IFERROR(4*STDEVP(終値!AJ94:BC94)/AVERAGE(終値!AJ94:BC94),""))</f>
      </c>
      <c r="AH94" s="684">
        <f>IF(終値!A94="","",IFERROR(4*STDEVP(終値!AK94:BD94)/AVERAGE(終値!AK94:BD94),""))</f>
      </c>
      <c r="AI94" s="684">
        <f>IF(終値!A94="","",IFERROR(4*STDEVP(終値!AL94:BE94)/AVERAGE(終値!AL94:BE94),""))</f>
      </c>
      <c r="AJ94" s="684">
        <f>IF(終値!A94="","",IFERROR(4*STDEVP(終値!AM94:BF94)/AVERAGE(終値!AM94:BF94),""))</f>
      </c>
      <c r="AK94" s="684">
        <f>IF(終値!A94="","",IFERROR(4*STDEVP(終値!AN94:BG94)/AVERAGE(終値!AN94:BG94),""))</f>
      </c>
      <c r="AL94" s="684">
        <f>IF(終値!A94="","",IFERROR(4*STDEVP(終値!AO94:BH94)/AVERAGE(終値!AO94:BH94),""))</f>
      </c>
      <c r="AM94" s="684">
        <f>IF(終値!A94="","",IFERROR(4*STDEVP(終値!AP94:BI94)/AVERAGE(終値!AP94:BI94),""))</f>
      </c>
      <c r="AN94" s="684">
        <f>IF(終値!A94="","",IFERROR(4*STDEVP(終値!AQ94:BJ94)/AVERAGE(終値!AQ94:BJ94),""))</f>
      </c>
      <c r="AO94" s="684">
        <f>IF(終値!A94="","",IFERROR(4*STDEVP(終値!AR94:BK94)/AVERAGE(終値!AR94:BK94),""))</f>
      </c>
      <c r="AP94" s="684">
        <f>IF(終値!A94="","",IFERROR(4*STDEVP(終値!AS94:BL94)/AVERAGE(終値!AS94:BL94),""))</f>
      </c>
    </row>
    <row r="95">
      <c r="A95" s="681">
        <f>IF(終値!A95="","",終値!A95)</f>
      </c>
      <c r="B95" s="684">
        <f>IF(終値!A95="","",IFERROR(4*STDEVP(終値!E95:X95)/AVERAGE(終値!E95:X95),""))</f>
      </c>
      <c r="C95" s="684">
        <f>IF(終値!A95="","",IFERROR(4*STDEVP(終値!F95:Y95)/AVERAGE(終値!F95:Y95),""))</f>
      </c>
      <c r="D95" s="684">
        <f>IF(終値!A95="","",IFERROR(4*STDEVP(終値!G95:Z95)/AVERAGE(終値!G95:Z95),""))</f>
      </c>
      <c r="E95" s="684">
        <f>IF(終値!A95="","",IFERROR(4*STDEVP(終値!H95:AA95)/AVERAGE(終値!H95:AA95),""))</f>
      </c>
      <c r="F95" s="684">
        <f>IF(終値!A95="","",IFERROR(4*STDEVP(終値!I95:AB95)/AVERAGE(終値!I95:AB95),""))</f>
      </c>
      <c r="G95" s="684">
        <f>IF(終値!A95="","",IFERROR(4*STDEVP(終値!J95:AC95)/AVERAGE(終値!J95:AC95),""))</f>
      </c>
      <c r="H95" s="684">
        <f>IF(終値!A95="","",IFERROR(4*STDEVP(終値!K95:AD95)/AVERAGE(終値!K95:AD95),""))</f>
      </c>
      <c r="I95" s="684">
        <f>IF(終値!A95="","",IFERROR(4*STDEVP(終値!L95:AE95)/AVERAGE(終値!L95:AE95),""))</f>
      </c>
      <c r="J95" s="684">
        <f>IF(終値!A95="","",IFERROR(4*STDEVP(終値!M95:AF95)/AVERAGE(終値!M95:AF95),""))</f>
      </c>
      <c r="K95" s="684">
        <f>IF(終値!A95="","",IFERROR(4*STDEVP(終値!N95:AG95)/AVERAGE(終値!N95:AG95),""))</f>
      </c>
      <c r="L95" s="684">
        <f>IF(終値!A95="","",IFERROR(4*STDEVP(終値!O95:AH95)/AVERAGE(終値!O95:AH95),""))</f>
      </c>
      <c r="M95" s="684">
        <f>IF(終値!A95="","",IFERROR(4*STDEVP(終値!P95:AI95)/AVERAGE(終値!P95:AI95),""))</f>
      </c>
      <c r="N95" s="684">
        <f>IF(終値!A95="","",IFERROR(4*STDEVP(終値!Q95:AJ95)/AVERAGE(終値!Q95:AJ95),""))</f>
      </c>
      <c r="O95" s="684">
        <f>IF(終値!A95="","",IFERROR(4*STDEVP(終値!R95:AK95)/AVERAGE(終値!R95:AK95),""))</f>
      </c>
      <c r="P95" s="684">
        <f>IF(終値!A95="","",IFERROR(4*STDEVP(終値!S95:AL95)/AVERAGE(終値!S95:AL95),""))</f>
      </c>
      <c r="Q95" s="684">
        <f>IF(終値!A95="","",IFERROR(4*STDEVP(終値!T95:AM95)/AVERAGE(終値!T95:AM95),""))</f>
      </c>
      <c r="R95" s="684">
        <f>IF(終値!A95="","",IFERROR(4*STDEVP(終値!U95:AN95)/AVERAGE(終値!U95:AN95),""))</f>
      </c>
      <c r="S95" s="684">
        <f>IF(終値!A95="","",IFERROR(4*STDEVP(終値!V95:AO95)/AVERAGE(終値!V95:AO95),""))</f>
      </c>
      <c r="T95" s="684">
        <f>IF(終値!A95="","",IFERROR(4*STDEVP(終値!W95:AP95)/AVERAGE(終値!W95:AP95),""))</f>
      </c>
      <c r="U95" s="684">
        <f>IF(終値!A95="","",IFERROR(4*STDEVP(終値!X95:AQ95)/AVERAGE(終値!X95:AQ95),""))</f>
      </c>
      <c r="V95" s="684">
        <f>IF(終値!A95="","",IFERROR(4*STDEVP(終値!Y95:AR95)/AVERAGE(終値!Y95:AR95),""))</f>
      </c>
      <c r="W95" s="684">
        <f>IF(終値!A95="","",IFERROR(4*STDEVP(終値!Z95:AS95)/AVERAGE(終値!Z95:AS95),""))</f>
      </c>
      <c r="X95" s="684">
        <f>IF(終値!A95="","",IFERROR(4*STDEVP(終値!AA95:AT95)/AVERAGE(終値!AA95:AT95),""))</f>
      </c>
      <c r="Y95" s="684">
        <f>IF(終値!A95="","",IFERROR(4*STDEVP(終値!AB95:AU95)/AVERAGE(終値!AB95:AU95),""))</f>
      </c>
      <c r="Z95" s="684">
        <f>IF(終値!A95="","",IFERROR(4*STDEVP(終値!AC95:AV95)/AVERAGE(終値!AC95:AV95),""))</f>
      </c>
      <c r="AA95" s="684">
        <f>IF(終値!A95="","",IFERROR(4*STDEVP(終値!AD95:AW95)/AVERAGE(終値!AD95:AW95),""))</f>
      </c>
      <c r="AB95" s="684">
        <f>IF(終値!A95="","",IFERROR(4*STDEVP(終値!AE95:AX95)/AVERAGE(終値!AE95:AX95),""))</f>
      </c>
      <c r="AC95" s="684">
        <f>IF(終値!A95="","",IFERROR(4*STDEVP(終値!AF95:AY95)/AVERAGE(終値!AF95:AY95),""))</f>
      </c>
      <c r="AD95" s="684">
        <f>IF(終値!A95="","",IFERROR(4*STDEVP(終値!AG95:AZ95)/AVERAGE(終値!AG95:AZ95),""))</f>
      </c>
      <c r="AE95" s="684">
        <f>IF(終値!A95="","",IFERROR(4*STDEVP(終値!AH95:BA95)/AVERAGE(終値!AH95:BA95),""))</f>
      </c>
      <c r="AF95" s="684">
        <f>IF(終値!A95="","",IFERROR(4*STDEVP(終値!AI95:BB95)/AVERAGE(終値!AI95:BB95),""))</f>
      </c>
      <c r="AG95" s="684">
        <f>IF(終値!A95="","",IFERROR(4*STDEVP(終値!AJ95:BC95)/AVERAGE(終値!AJ95:BC95),""))</f>
      </c>
      <c r="AH95" s="684">
        <f>IF(終値!A95="","",IFERROR(4*STDEVP(終値!AK95:BD95)/AVERAGE(終値!AK95:BD95),""))</f>
      </c>
      <c r="AI95" s="684">
        <f>IF(終値!A95="","",IFERROR(4*STDEVP(終値!AL95:BE95)/AVERAGE(終値!AL95:BE95),""))</f>
      </c>
      <c r="AJ95" s="684">
        <f>IF(終値!A95="","",IFERROR(4*STDEVP(終値!AM95:BF95)/AVERAGE(終値!AM95:BF95),""))</f>
      </c>
      <c r="AK95" s="684">
        <f>IF(終値!A95="","",IFERROR(4*STDEVP(終値!AN95:BG95)/AVERAGE(終値!AN95:BG95),""))</f>
      </c>
      <c r="AL95" s="684">
        <f>IF(終値!A95="","",IFERROR(4*STDEVP(終値!AO95:BH95)/AVERAGE(終値!AO95:BH95),""))</f>
      </c>
      <c r="AM95" s="684">
        <f>IF(終値!A95="","",IFERROR(4*STDEVP(終値!AP95:BI95)/AVERAGE(終値!AP95:BI95),""))</f>
      </c>
      <c r="AN95" s="684">
        <f>IF(終値!A95="","",IFERROR(4*STDEVP(終値!AQ95:BJ95)/AVERAGE(終値!AQ95:BJ95),""))</f>
      </c>
      <c r="AO95" s="684">
        <f>IF(終値!A95="","",IFERROR(4*STDEVP(終値!AR95:BK95)/AVERAGE(終値!AR95:BK95),""))</f>
      </c>
      <c r="AP95" s="684">
        <f>IF(終値!A95="","",IFERROR(4*STDEVP(終値!AS95:BL95)/AVERAGE(終値!AS95:BL95),""))</f>
      </c>
    </row>
    <row r="96">
      <c r="A96" s="681">
        <f>IF(終値!A96="","",終値!A96)</f>
      </c>
      <c r="B96" s="684">
        <f>IF(終値!A96="","",IFERROR(4*STDEVP(終値!E96:X96)/AVERAGE(終値!E96:X96),""))</f>
      </c>
      <c r="C96" s="684">
        <f>IF(終値!A96="","",IFERROR(4*STDEVP(終値!F96:Y96)/AVERAGE(終値!F96:Y96),""))</f>
      </c>
      <c r="D96" s="684">
        <f>IF(終値!A96="","",IFERROR(4*STDEVP(終値!G96:Z96)/AVERAGE(終値!G96:Z96),""))</f>
      </c>
      <c r="E96" s="684">
        <f>IF(終値!A96="","",IFERROR(4*STDEVP(終値!H96:AA96)/AVERAGE(終値!H96:AA96),""))</f>
      </c>
      <c r="F96" s="684">
        <f>IF(終値!A96="","",IFERROR(4*STDEVP(終値!I96:AB96)/AVERAGE(終値!I96:AB96),""))</f>
      </c>
      <c r="G96" s="684">
        <f>IF(終値!A96="","",IFERROR(4*STDEVP(終値!J96:AC96)/AVERAGE(終値!J96:AC96),""))</f>
      </c>
      <c r="H96" s="684">
        <f>IF(終値!A96="","",IFERROR(4*STDEVP(終値!K96:AD96)/AVERAGE(終値!K96:AD96),""))</f>
      </c>
      <c r="I96" s="684">
        <f>IF(終値!A96="","",IFERROR(4*STDEVP(終値!L96:AE96)/AVERAGE(終値!L96:AE96),""))</f>
      </c>
      <c r="J96" s="684">
        <f>IF(終値!A96="","",IFERROR(4*STDEVP(終値!M96:AF96)/AVERAGE(終値!M96:AF96),""))</f>
      </c>
      <c r="K96" s="684">
        <f>IF(終値!A96="","",IFERROR(4*STDEVP(終値!N96:AG96)/AVERAGE(終値!N96:AG96),""))</f>
      </c>
      <c r="L96" s="684">
        <f>IF(終値!A96="","",IFERROR(4*STDEVP(終値!O96:AH96)/AVERAGE(終値!O96:AH96),""))</f>
      </c>
      <c r="M96" s="684">
        <f>IF(終値!A96="","",IFERROR(4*STDEVP(終値!P96:AI96)/AVERAGE(終値!P96:AI96),""))</f>
      </c>
      <c r="N96" s="684">
        <f>IF(終値!A96="","",IFERROR(4*STDEVP(終値!Q96:AJ96)/AVERAGE(終値!Q96:AJ96),""))</f>
      </c>
      <c r="O96" s="684">
        <f>IF(終値!A96="","",IFERROR(4*STDEVP(終値!R96:AK96)/AVERAGE(終値!R96:AK96),""))</f>
      </c>
      <c r="P96" s="684">
        <f>IF(終値!A96="","",IFERROR(4*STDEVP(終値!S96:AL96)/AVERAGE(終値!S96:AL96),""))</f>
      </c>
      <c r="Q96" s="684">
        <f>IF(終値!A96="","",IFERROR(4*STDEVP(終値!T96:AM96)/AVERAGE(終値!T96:AM96),""))</f>
      </c>
      <c r="R96" s="684">
        <f>IF(終値!A96="","",IFERROR(4*STDEVP(終値!U96:AN96)/AVERAGE(終値!U96:AN96),""))</f>
      </c>
      <c r="S96" s="684">
        <f>IF(終値!A96="","",IFERROR(4*STDEVP(終値!V96:AO96)/AVERAGE(終値!V96:AO96),""))</f>
      </c>
      <c r="T96" s="684">
        <f>IF(終値!A96="","",IFERROR(4*STDEVP(終値!W96:AP96)/AVERAGE(終値!W96:AP96),""))</f>
      </c>
      <c r="U96" s="684">
        <f>IF(終値!A96="","",IFERROR(4*STDEVP(終値!X96:AQ96)/AVERAGE(終値!X96:AQ96),""))</f>
      </c>
      <c r="V96" s="684">
        <f>IF(終値!A96="","",IFERROR(4*STDEVP(終値!Y96:AR96)/AVERAGE(終値!Y96:AR96),""))</f>
      </c>
      <c r="W96" s="684">
        <f>IF(終値!A96="","",IFERROR(4*STDEVP(終値!Z96:AS96)/AVERAGE(終値!Z96:AS96),""))</f>
      </c>
      <c r="X96" s="684">
        <f>IF(終値!A96="","",IFERROR(4*STDEVP(終値!AA96:AT96)/AVERAGE(終値!AA96:AT96),""))</f>
      </c>
      <c r="Y96" s="684">
        <f>IF(終値!A96="","",IFERROR(4*STDEVP(終値!AB96:AU96)/AVERAGE(終値!AB96:AU96),""))</f>
      </c>
      <c r="Z96" s="684">
        <f>IF(終値!A96="","",IFERROR(4*STDEVP(終値!AC96:AV96)/AVERAGE(終値!AC96:AV96),""))</f>
      </c>
      <c r="AA96" s="684">
        <f>IF(終値!A96="","",IFERROR(4*STDEVP(終値!AD96:AW96)/AVERAGE(終値!AD96:AW96),""))</f>
      </c>
      <c r="AB96" s="684">
        <f>IF(終値!A96="","",IFERROR(4*STDEVP(終値!AE96:AX96)/AVERAGE(終値!AE96:AX96),""))</f>
      </c>
      <c r="AC96" s="684">
        <f>IF(終値!A96="","",IFERROR(4*STDEVP(終値!AF96:AY96)/AVERAGE(終値!AF96:AY96),""))</f>
      </c>
      <c r="AD96" s="684">
        <f>IF(終値!A96="","",IFERROR(4*STDEVP(終値!AG96:AZ96)/AVERAGE(終値!AG96:AZ96),""))</f>
      </c>
      <c r="AE96" s="684">
        <f>IF(終値!A96="","",IFERROR(4*STDEVP(終値!AH96:BA96)/AVERAGE(終値!AH96:BA96),""))</f>
      </c>
      <c r="AF96" s="684">
        <f>IF(終値!A96="","",IFERROR(4*STDEVP(終値!AI96:BB96)/AVERAGE(終値!AI96:BB96),""))</f>
      </c>
      <c r="AG96" s="684">
        <f>IF(終値!A96="","",IFERROR(4*STDEVP(終値!AJ96:BC96)/AVERAGE(終値!AJ96:BC96),""))</f>
      </c>
      <c r="AH96" s="684">
        <f>IF(終値!A96="","",IFERROR(4*STDEVP(終値!AK96:BD96)/AVERAGE(終値!AK96:BD96),""))</f>
      </c>
      <c r="AI96" s="684">
        <f>IF(終値!A96="","",IFERROR(4*STDEVP(終値!AL96:BE96)/AVERAGE(終値!AL96:BE96),""))</f>
      </c>
      <c r="AJ96" s="684">
        <f>IF(終値!A96="","",IFERROR(4*STDEVP(終値!AM96:BF96)/AVERAGE(終値!AM96:BF96),""))</f>
      </c>
      <c r="AK96" s="684">
        <f>IF(終値!A96="","",IFERROR(4*STDEVP(終値!AN96:BG96)/AVERAGE(終値!AN96:BG96),""))</f>
      </c>
      <c r="AL96" s="684">
        <f>IF(終値!A96="","",IFERROR(4*STDEVP(終値!AO96:BH96)/AVERAGE(終値!AO96:BH96),""))</f>
      </c>
      <c r="AM96" s="684">
        <f>IF(終値!A96="","",IFERROR(4*STDEVP(終値!AP96:BI96)/AVERAGE(終値!AP96:BI96),""))</f>
      </c>
      <c r="AN96" s="684">
        <f>IF(終値!A96="","",IFERROR(4*STDEVP(終値!AQ96:BJ96)/AVERAGE(終値!AQ96:BJ96),""))</f>
      </c>
      <c r="AO96" s="684">
        <f>IF(終値!A96="","",IFERROR(4*STDEVP(終値!AR96:BK96)/AVERAGE(終値!AR96:BK96),""))</f>
      </c>
      <c r="AP96" s="684">
        <f>IF(終値!A96="","",IFERROR(4*STDEVP(終値!AS96:BL96)/AVERAGE(終値!AS96:BL96),""))</f>
      </c>
    </row>
    <row r="97">
      <c r="A97" s="681">
        <f>IF(終値!A97="","",終値!A97)</f>
      </c>
      <c r="B97" s="684">
        <f>IF(終値!A97="","",IFERROR(4*STDEVP(終値!E97:X97)/AVERAGE(終値!E97:X97),""))</f>
      </c>
      <c r="C97" s="684">
        <f>IF(終値!A97="","",IFERROR(4*STDEVP(終値!F97:Y97)/AVERAGE(終値!F97:Y97),""))</f>
      </c>
      <c r="D97" s="684">
        <f>IF(終値!A97="","",IFERROR(4*STDEVP(終値!G97:Z97)/AVERAGE(終値!G97:Z97),""))</f>
      </c>
      <c r="E97" s="684">
        <f>IF(終値!A97="","",IFERROR(4*STDEVP(終値!H97:AA97)/AVERAGE(終値!H97:AA97),""))</f>
      </c>
      <c r="F97" s="684">
        <f>IF(終値!A97="","",IFERROR(4*STDEVP(終値!I97:AB97)/AVERAGE(終値!I97:AB97),""))</f>
      </c>
      <c r="G97" s="684">
        <f>IF(終値!A97="","",IFERROR(4*STDEVP(終値!J97:AC97)/AVERAGE(終値!J97:AC97),""))</f>
      </c>
      <c r="H97" s="684">
        <f>IF(終値!A97="","",IFERROR(4*STDEVP(終値!K97:AD97)/AVERAGE(終値!K97:AD97),""))</f>
      </c>
      <c r="I97" s="684">
        <f>IF(終値!A97="","",IFERROR(4*STDEVP(終値!L97:AE97)/AVERAGE(終値!L97:AE97),""))</f>
      </c>
      <c r="J97" s="684">
        <f>IF(終値!A97="","",IFERROR(4*STDEVP(終値!M97:AF97)/AVERAGE(終値!M97:AF97),""))</f>
      </c>
      <c r="K97" s="684">
        <f>IF(終値!A97="","",IFERROR(4*STDEVP(終値!N97:AG97)/AVERAGE(終値!N97:AG97),""))</f>
      </c>
      <c r="L97" s="684">
        <f>IF(終値!A97="","",IFERROR(4*STDEVP(終値!O97:AH97)/AVERAGE(終値!O97:AH97),""))</f>
      </c>
      <c r="M97" s="684">
        <f>IF(終値!A97="","",IFERROR(4*STDEVP(終値!P97:AI97)/AVERAGE(終値!P97:AI97),""))</f>
      </c>
      <c r="N97" s="684">
        <f>IF(終値!A97="","",IFERROR(4*STDEVP(終値!Q97:AJ97)/AVERAGE(終値!Q97:AJ97),""))</f>
      </c>
      <c r="O97" s="684">
        <f>IF(終値!A97="","",IFERROR(4*STDEVP(終値!R97:AK97)/AVERAGE(終値!R97:AK97),""))</f>
      </c>
      <c r="P97" s="684">
        <f>IF(終値!A97="","",IFERROR(4*STDEVP(終値!S97:AL97)/AVERAGE(終値!S97:AL97),""))</f>
      </c>
      <c r="Q97" s="684">
        <f>IF(終値!A97="","",IFERROR(4*STDEVP(終値!T97:AM97)/AVERAGE(終値!T97:AM97),""))</f>
      </c>
      <c r="R97" s="684">
        <f>IF(終値!A97="","",IFERROR(4*STDEVP(終値!U97:AN97)/AVERAGE(終値!U97:AN97),""))</f>
      </c>
      <c r="S97" s="684">
        <f>IF(終値!A97="","",IFERROR(4*STDEVP(終値!V97:AO97)/AVERAGE(終値!V97:AO97),""))</f>
      </c>
      <c r="T97" s="684">
        <f>IF(終値!A97="","",IFERROR(4*STDEVP(終値!W97:AP97)/AVERAGE(終値!W97:AP97),""))</f>
      </c>
      <c r="U97" s="684">
        <f>IF(終値!A97="","",IFERROR(4*STDEVP(終値!X97:AQ97)/AVERAGE(終値!X97:AQ97),""))</f>
      </c>
      <c r="V97" s="684">
        <f>IF(終値!A97="","",IFERROR(4*STDEVP(終値!Y97:AR97)/AVERAGE(終値!Y97:AR97),""))</f>
      </c>
      <c r="W97" s="684">
        <f>IF(終値!A97="","",IFERROR(4*STDEVP(終値!Z97:AS97)/AVERAGE(終値!Z97:AS97),""))</f>
      </c>
      <c r="X97" s="684">
        <f>IF(終値!A97="","",IFERROR(4*STDEVP(終値!AA97:AT97)/AVERAGE(終値!AA97:AT97),""))</f>
      </c>
      <c r="Y97" s="684">
        <f>IF(終値!A97="","",IFERROR(4*STDEVP(終値!AB97:AU97)/AVERAGE(終値!AB97:AU97),""))</f>
      </c>
      <c r="Z97" s="684">
        <f>IF(終値!A97="","",IFERROR(4*STDEVP(終値!AC97:AV97)/AVERAGE(終値!AC97:AV97),""))</f>
      </c>
      <c r="AA97" s="684">
        <f>IF(終値!A97="","",IFERROR(4*STDEVP(終値!AD97:AW97)/AVERAGE(終値!AD97:AW97),""))</f>
      </c>
      <c r="AB97" s="684">
        <f>IF(終値!A97="","",IFERROR(4*STDEVP(終値!AE97:AX97)/AVERAGE(終値!AE97:AX97),""))</f>
      </c>
      <c r="AC97" s="684">
        <f>IF(終値!A97="","",IFERROR(4*STDEVP(終値!AF97:AY97)/AVERAGE(終値!AF97:AY97),""))</f>
      </c>
      <c r="AD97" s="684">
        <f>IF(終値!A97="","",IFERROR(4*STDEVP(終値!AG97:AZ97)/AVERAGE(終値!AG97:AZ97),""))</f>
      </c>
      <c r="AE97" s="684">
        <f>IF(終値!A97="","",IFERROR(4*STDEVP(終値!AH97:BA97)/AVERAGE(終値!AH97:BA97),""))</f>
      </c>
      <c r="AF97" s="684">
        <f>IF(終値!A97="","",IFERROR(4*STDEVP(終値!AI97:BB97)/AVERAGE(終値!AI97:BB97),""))</f>
      </c>
      <c r="AG97" s="684">
        <f>IF(終値!A97="","",IFERROR(4*STDEVP(終値!AJ97:BC97)/AVERAGE(終値!AJ97:BC97),""))</f>
      </c>
      <c r="AH97" s="684">
        <f>IF(終値!A97="","",IFERROR(4*STDEVP(終値!AK97:BD97)/AVERAGE(終値!AK97:BD97),""))</f>
      </c>
      <c r="AI97" s="684">
        <f>IF(終値!A97="","",IFERROR(4*STDEVP(終値!AL97:BE97)/AVERAGE(終値!AL97:BE97),""))</f>
      </c>
      <c r="AJ97" s="684">
        <f>IF(終値!A97="","",IFERROR(4*STDEVP(終値!AM97:BF97)/AVERAGE(終値!AM97:BF97),""))</f>
      </c>
      <c r="AK97" s="684">
        <f>IF(終値!A97="","",IFERROR(4*STDEVP(終値!AN97:BG97)/AVERAGE(終値!AN97:BG97),""))</f>
      </c>
      <c r="AL97" s="684">
        <f>IF(終値!A97="","",IFERROR(4*STDEVP(終値!AO97:BH97)/AVERAGE(終値!AO97:BH97),""))</f>
      </c>
      <c r="AM97" s="684">
        <f>IF(終値!A97="","",IFERROR(4*STDEVP(終値!AP97:BI97)/AVERAGE(終値!AP97:BI97),""))</f>
      </c>
      <c r="AN97" s="684">
        <f>IF(終値!A97="","",IFERROR(4*STDEVP(終値!AQ97:BJ97)/AVERAGE(終値!AQ97:BJ97),""))</f>
      </c>
      <c r="AO97" s="684">
        <f>IF(終値!A97="","",IFERROR(4*STDEVP(終値!AR97:BK97)/AVERAGE(終値!AR97:BK97),""))</f>
      </c>
      <c r="AP97" s="684">
        <f>IF(終値!A97="","",IFERROR(4*STDEVP(終値!AS97:BL97)/AVERAGE(終値!AS97:BL97),""))</f>
      </c>
    </row>
    <row r="98">
      <c r="A98" s="681">
        <f>IF(終値!A98="","",終値!A98)</f>
      </c>
      <c r="B98" s="684">
        <f>IF(終値!A98="","",IFERROR(4*STDEVP(終値!E98:X98)/AVERAGE(終値!E98:X98),""))</f>
      </c>
      <c r="C98" s="684">
        <f>IF(終値!A98="","",IFERROR(4*STDEVP(終値!F98:Y98)/AVERAGE(終値!F98:Y98),""))</f>
      </c>
      <c r="D98" s="684">
        <f>IF(終値!A98="","",IFERROR(4*STDEVP(終値!G98:Z98)/AVERAGE(終値!G98:Z98),""))</f>
      </c>
      <c r="E98" s="684">
        <f>IF(終値!A98="","",IFERROR(4*STDEVP(終値!H98:AA98)/AVERAGE(終値!H98:AA98),""))</f>
      </c>
      <c r="F98" s="684">
        <f>IF(終値!A98="","",IFERROR(4*STDEVP(終値!I98:AB98)/AVERAGE(終値!I98:AB98),""))</f>
      </c>
      <c r="G98" s="684">
        <f>IF(終値!A98="","",IFERROR(4*STDEVP(終値!J98:AC98)/AVERAGE(終値!J98:AC98),""))</f>
      </c>
      <c r="H98" s="684">
        <f>IF(終値!A98="","",IFERROR(4*STDEVP(終値!K98:AD98)/AVERAGE(終値!K98:AD98),""))</f>
      </c>
      <c r="I98" s="684">
        <f>IF(終値!A98="","",IFERROR(4*STDEVP(終値!L98:AE98)/AVERAGE(終値!L98:AE98),""))</f>
      </c>
      <c r="J98" s="684">
        <f>IF(終値!A98="","",IFERROR(4*STDEVP(終値!M98:AF98)/AVERAGE(終値!M98:AF98),""))</f>
      </c>
      <c r="K98" s="684">
        <f>IF(終値!A98="","",IFERROR(4*STDEVP(終値!N98:AG98)/AVERAGE(終値!N98:AG98),""))</f>
      </c>
      <c r="L98" s="684">
        <f>IF(終値!A98="","",IFERROR(4*STDEVP(終値!O98:AH98)/AVERAGE(終値!O98:AH98),""))</f>
      </c>
      <c r="M98" s="684">
        <f>IF(終値!A98="","",IFERROR(4*STDEVP(終値!P98:AI98)/AVERAGE(終値!P98:AI98),""))</f>
      </c>
      <c r="N98" s="684">
        <f>IF(終値!A98="","",IFERROR(4*STDEVP(終値!Q98:AJ98)/AVERAGE(終値!Q98:AJ98),""))</f>
      </c>
      <c r="O98" s="684">
        <f>IF(終値!A98="","",IFERROR(4*STDEVP(終値!R98:AK98)/AVERAGE(終値!R98:AK98),""))</f>
      </c>
      <c r="P98" s="684">
        <f>IF(終値!A98="","",IFERROR(4*STDEVP(終値!S98:AL98)/AVERAGE(終値!S98:AL98),""))</f>
      </c>
      <c r="Q98" s="684">
        <f>IF(終値!A98="","",IFERROR(4*STDEVP(終値!T98:AM98)/AVERAGE(終値!T98:AM98),""))</f>
      </c>
      <c r="R98" s="684">
        <f>IF(終値!A98="","",IFERROR(4*STDEVP(終値!U98:AN98)/AVERAGE(終値!U98:AN98),""))</f>
      </c>
      <c r="S98" s="684">
        <f>IF(終値!A98="","",IFERROR(4*STDEVP(終値!V98:AO98)/AVERAGE(終値!V98:AO98),""))</f>
      </c>
      <c r="T98" s="684">
        <f>IF(終値!A98="","",IFERROR(4*STDEVP(終値!W98:AP98)/AVERAGE(終値!W98:AP98),""))</f>
      </c>
      <c r="U98" s="684">
        <f>IF(終値!A98="","",IFERROR(4*STDEVP(終値!X98:AQ98)/AVERAGE(終値!X98:AQ98),""))</f>
      </c>
      <c r="V98" s="684">
        <f>IF(終値!A98="","",IFERROR(4*STDEVP(終値!Y98:AR98)/AVERAGE(終値!Y98:AR98),""))</f>
      </c>
      <c r="W98" s="684">
        <f>IF(終値!A98="","",IFERROR(4*STDEVP(終値!Z98:AS98)/AVERAGE(終値!Z98:AS98),""))</f>
      </c>
      <c r="X98" s="684">
        <f>IF(終値!A98="","",IFERROR(4*STDEVP(終値!AA98:AT98)/AVERAGE(終値!AA98:AT98),""))</f>
      </c>
      <c r="Y98" s="684">
        <f>IF(終値!A98="","",IFERROR(4*STDEVP(終値!AB98:AU98)/AVERAGE(終値!AB98:AU98),""))</f>
      </c>
      <c r="Z98" s="684">
        <f>IF(終値!A98="","",IFERROR(4*STDEVP(終値!AC98:AV98)/AVERAGE(終値!AC98:AV98),""))</f>
      </c>
      <c r="AA98" s="684">
        <f>IF(終値!A98="","",IFERROR(4*STDEVP(終値!AD98:AW98)/AVERAGE(終値!AD98:AW98),""))</f>
      </c>
      <c r="AB98" s="684">
        <f>IF(終値!A98="","",IFERROR(4*STDEVP(終値!AE98:AX98)/AVERAGE(終値!AE98:AX98),""))</f>
      </c>
      <c r="AC98" s="684">
        <f>IF(終値!A98="","",IFERROR(4*STDEVP(終値!AF98:AY98)/AVERAGE(終値!AF98:AY98),""))</f>
      </c>
      <c r="AD98" s="684">
        <f>IF(終値!A98="","",IFERROR(4*STDEVP(終値!AG98:AZ98)/AVERAGE(終値!AG98:AZ98),""))</f>
      </c>
      <c r="AE98" s="684">
        <f>IF(終値!A98="","",IFERROR(4*STDEVP(終値!AH98:BA98)/AVERAGE(終値!AH98:BA98),""))</f>
      </c>
      <c r="AF98" s="684">
        <f>IF(終値!A98="","",IFERROR(4*STDEVP(終値!AI98:BB98)/AVERAGE(終値!AI98:BB98),""))</f>
      </c>
      <c r="AG98" s="684">
        <f>IF(終値!A98="","",IFERROR(4*STDEVP(終値!AJ98:BC98)/AVERAGE(終値!AJ98:BC98),""))</f>
      </c>
      <c r="AH98" s="684">
        <f>IF(終値!A98="","",IFERROR(4*STDEVP(終値!AK98:BD98)/AVERAGE(終値!AK98:BD98),""))</f>
      </c>
      <c r="AI98" s="684">
        <f>IF(終値!A98="","",IFERROR(4*STDEVP(終値!AL98:BE98)/AVERAGE(終値!AL98:BE98),""))</f>
      </c>
      <c r="AJ98" s="684">
        <f>IF(終値!A98="","",IFERROR(4*STDEVP(終値!AM98:BF98)/AVERAGE(終値!AM98:BF98),""))</f>
      </c>
      <c r="AK98" s="684">
        <f>IF(終値!A98="","",IFERROR(4*STDEVP(終値!AN98:BG98)/AVERAGE(終値!AN98:BG98),""))</f>
      </c>
      <c r="AL98" s="684">
        <f>IF(終値!A98="","",IFERROR(4*STDEVP(終値!AO98:BH98)/AVERAGE(終値!AO98:BH98),""))</f>
      </c>
      <c r="AM98" s="684">
        <f>IF(終値!A98="","",IFERROR(4*STDEVP(終値!AP98:BI98)/AVERAGE(終値!AP98:BI98),""))</f>
      </c>
      <c r="AN98" s="684">
        <f>IF(終値!A98="","",IFERROR(4*STDEVP(終値!AQ98:BJ98)/AVERAGE(終値!AQ98:BJ98),""))</f>
      </c>
      <c r="AO98" s="684">
        <f>IF(終値!A98="","",IFERROR(4*STDEVP(終値!AR98:BK98)/AVERAGE(終値!AR98:BK98),""))</f>
      </c>
      <c r="AP98" s="684">
        <f>IF(終値!A98="","",IFERROR(4*STDEVP(終値!AS98:BL98)/AVERAGE(終値!AS98:BL98),""))</f>
      </c>
    </row>
    <row r="99">
      <c r="A99" s="681">
        <f>IF(終値!A99="","",終値!A99)</f>
      </c>
      <c r="B99" s="684">
        <f>IF(終値!A99="","",IFERROR(4*STDEVP(終値!E99:X99)/AVERAGE(終値!E99:X99),""))</f>
      </c>
      <c r="C99" s="684">
        <f>IF(終値!A99="","",IFERROR(4*STDEVP(終値!F99:Y99)/AVERAGE(終値!F99:Y99),""))</f>
      </c>
      <c r="D99" s="684">
        <f>IF(終値!A99="","",IFERROR(4*STDEVP(終値!G99:Z99)/AVERAGE(終値!G99:Z99),""))</f>
      </c>
      <c r="E99" s="684">
        <f>IF(終値!A99="","",IFERROR(4*STDEVP(終値!H99:AA99)/AVERAGE(終値!H99:AA99),""))</f>
      </c>
      <c r="F99" s="684">
        <f>IF(終値!A99="","",IFERROR(4*STDEVP(終値!I99:AB99)/AVERAGE(終値!I99:AB99),""))</f>
      </c>
      <c r="G99" s="684">
        <f>IF(終値!A99="","",IFERROR(4*STDEVP(終値!J99:AC99)/AVERAGE(終値!J99:AC99),""))</f>
      </c>
      <c r="H99" s="684">
        <f>IF(終値!A99="","",IFERROR(4*STDEVP(終値!K99:AD99)/AVERAGE(終値!K99:AD99),""))</f>
      </c>
      <c r="I99" s="684">
        <f>IF(終値!A99="","",IFERROR(4*STDEVP(終値!L99:AE99)/AVERAGE(終値!L99:AE99),""))</f>
      </c>
      <c r="J99" s="684">
        <f>IF(終値!A99="","",IFERROR(4*STDEVP(終値!M99:AF99)/AVERAGE(終値!M99:AF99),""))</f>
      </c>
      <c r="K99" s="684">
        <f>IF(終値!A99="","",IFERROR(4*STDEVP(終値!N99:AG99)/AVERAGE(終値!N99:AG99),""))</f>
      </c>
      <c r="L99" s="684">
        <f>IF(終値!A99="","",IFERROR(4*STDEVP(終値!O99:AH99)/AVERAGE(終値!O99:AH99),""))</f>
      </c>
      <c r="M99" s="684">
        <f>IF(終値!A99="","",IFERROR(4*STDEVP(終値!P99:AI99)/AVERAGE(終値!P99:AI99),""))</f>
      </c>
      <c r="N99" s="684">
        <f>IF(終値!A99="","",IFERROR(4*STDEVP(終値!Q99:AJ99)/AVERAGE(終値!Q99:AJ99),""))</f>
      </c>
      <c r="O99" s="684">
        <f>IF(終値!A99="","",IFERROR(4*STDEVP(終値!R99:AK99)/AVERAGE(終値!R99:AK99),""))</f>
      </c>
      <c r="P99" s="684">
        <f>IF(終値!A99="","",IFERROR(4*STDEVP(終値!S99:AL99)/AVERAGE(終値!S99:AL99),""))</f>
      </c>
      <c r="Q99" s="684">
        <f>IF(終値!A99="","",IFERROR(4*STDEVP(終値!T99:AM99)/AVERAGE(終値!T99:AM99),""))</f>
      </c>
      <c r="R99" s="684">
        <f>IF(終値!A99="","",IFERROR(4*STDEVP(終値!U99:AN99)/AVERAGE(終値!U99:AN99),""))</f>
      </c>
      <c r="S99" s="684">
        <f>IF(終値!A99="","",IFERROR(4*STDEVP(終値!V99:AO99)/AVERAGE(終値!V99:AO99),""))</f>
      </c>
      <c r="T99" s="684">
        <f>IF(終値!A99="","",IFERROR(4*STDEVP(終値!W99:AP99)/AVERAGE(終値!W99:AP99),""))</f>
      </c>
      <c r="U99" s="684">
        <f>IF(終値!A99="","",IFERROR(4*STDEVP(終値!X99:AQ99)/AVERAGE(終値!X99:AQ99),""))</f>
      </c>
      <c r="V99" s="684">
        <f>IF(終値!A99="","",IFERROR(4*STDEVP(終値!Y99:AR99)/AVERAGE(終値!Y99:AR99),""))</f>
      </c>
      <c r="W99" s="684">
        <f>IF(終値!A99="","",IFERROR(4*STDEVP(終値!Z99:AS99)/AVERAGE(終値!Z99:AS99),""))</f>
      </c>
      <c r="X99" s="684">
        <f>IF(終値!A99="","",IFERROR(4*STDEVP(終値!AA99:AT99)/AVERAGE(終値!AA99:AT99),""))</f>
      </c>
      <c r="Y99" s="684">
        <f>IF(終値!A99="","",IFERROR(4*STDEVP(終値!AB99:AU99)/AVERAGE(終値!AB99:AU99),""))</f>
      </c>
      <c r="Z99" s="684">
        <f>IF(終値!A99="","",IFERROR(4*STDEVP(終値!AC99:AV99)/AVERAGE(終値!AC99:AV99),""))</f>
      </c>
      <c r="AA99" s="684">
        <f>IF(終値!A99="","",IFERROR(4*STDEVP(終値!AD99:AW99)/AVERAGE(終値!AD99:AW99),""))</f>
      </c>
      <c r="AB99" s="684">
        <f>IF(終値!A99="","",IFERROR(4*STDEVP(終値!AE99:AX99)/AVERAGE(終値!AE99:AX99),""))</f>
      </c>
      <c r="AC99" s="684">
        <f>IF(終値!A99="","",IFERROR(4*STDEVP(終値!AF99:AY99)/AVERAGE(終値!AF99:AY99),""))</f>
      </c>
      <c r="AD99" s="684">
        <f>IF(終値!A99="","",IFERROR(4*STDEVP(終値!AG99:AZ99)/AVERAGE(終値!AG99:AZ99),""))</f>
      </c>
      <c r="AE99" s="684">
        <f>IF(終値!A99="","",IFERROR(4*STDEVP(終値!AH99:BA99)/AVERAGE(終値!AH99:BA99),""))</f>
      </c>
      <c r="AF99" s="684">
        <f>IF(終値!A99="","",IFERROR(4*STDEVP(終値!AI99:BB99)/AVERAGE(終値!AI99:BB99),""))</f>
      </c>
      <c r="AG99" s="684">
        <f>IF(終値!A99="","",IFERROR(4*STDEVP(終値!AJ99:BC99)/AVERAGE(終値!AJ99:BC99),""))</f>
      </c>
      <c r="AH99" s="684">
        <f>IF(終値!A99="","",IFERROR(4*STDEVP(終値!AK99:BD99)/AVERAGE(終値!AK99:BD99),""))</f>
      </c>
      <c r="AI99" s="684">
        <f>IF(終値!A99="","",IFERROR(4*STDEVP(終値!AL99:BE99)/AVERAGE(終値!AL99:BE99),""))</f>
      </c>
      <c r="AJ99" s="684">
        <f>IF(終値!A99="","",IFERROR(4*STDEVP(終値!AM99:BF99)/AVERAGE(終値!AM99:BF99),""))</f>
      </c>
      <c r="AK99" s="684">
        <f>IF(終値!A99="","",IFERROR(4*STDEVP(終値!AN99:BG99)/AVERAGE(終値!AN99:BG99),""))</f>
      </c>
      <c r="AL99" s="684">
        <f>IF(終値!A99="","",IFERROR(4*STDEVP(終値!AO99:BH99)/AVERAGE(終値!AO99:BH99),""))</f>
      </c>
      <c r="AM99" s="684">
        <f>IF(終値!A99="","",IFERROR(4*STDEVP(終値!AP99:BI99)/AVERAGE(終値!AP99:BI99),""))</f>
      </c>
      <c r="AN99" s="684">
        <f>IF(終値!A99="","",IFERROR(4*STDEVP(終値!AQ99:BJ99)/AVERAGE(終値!AQ99:BJ99),""))</f>
      </c>
      <c r="AO99" s="684">
        <f>IF(終値!A99="","",IFERROR(4*STDEVP(終値!AR99:BK99)/AVERAGE(終値!AR99:BK99),""))</f>
      </c>
      <c r="AP99" s="684">
        <f>IF(終値!A99="","",IFERROR(4*STDEVP(終値!AS99:BL99)/AVERAGE(終値!AS99:BL99),""))</f>
      </c>
    </row>
    <row r="100">
      <c r="A100" s="681">
        <f>IF(終値!A100="","",終値!A100)</f>
      </c>
      <c r="B100" s="684">
        <f>IF(終値!A100="","",IFERROR(4*STDEVP(終値!E100:X100)/AVERAGE(終値!E100:X100),""))</f>
      </c>
      <c r="C100" s="684">
        <f>IF(終値!A100="","",IFERROR(4*STDEVP(終値!F100:Y100)/AVERAGE(終値!F100:Y100),""))</f>
      </c>
      <c r="D100" s="684">
        <f>IF(終値!A100="","",IFERROR(4*STDEVP(終値!G100:Z100)/AVERAGE(終値!G100:Z100),""))</f>
      </c>
      <c r="E100" s="684">
        <f>IF(終値!A100="","",IFERROR(4*STDEVP(終値!H100:AA100)/AVERAGE(終値!H100:AA100),""))</f>
      </c>
      <c r="F100" s="684">
        <f>IF(終値!A100="","",IFERROR(4*STDEVP(終値!I100:AB100)/AVERAGE(終値!I100:AB100),""))</f>
      </c>
      <c r="G100" s="684">
        <f>IF(終値!A100="","",IFERROR(4*STDEVP(終値!J100:AC100)/AVERAGE(終値!J100:AC100),""))</f>
      </c>
      <c r="H100" s="684">
        <f>IF(終値!A100="","",IFERROR(4*STDEVP(終値!K100:AD100)/AVERAGE(終値!K100:AD100),""))</f>
      </c>
      <c r="I100" s="684">
        <f>IF(終値!A100="","",IFERROR(4*STDEVP(終値!L100:AE100)/AVERAGE(終値!L100:AE100),""))</f>
      </c>
      <c r="J100" s="684">
        <f>IF(終値!A100="","",IFERROR(4*STDEVP(終値!M100:AF100)/AVERAGE(終値!M100:AF100),""))</f>
      </c>
      <c r="K100" s="684">
        <f>IF(終値!A100="","",IFERROR(4*STDEVP(終値!N100:AG100)/AVERAGE(終値!N100:AG100),""))</f>
      </c>
      <c r="L100" s="684">
        <f>IF(終値!A100="","",IFERROR(4*STDEVP(終値!O100:AH100)/AVERAGE(終値!O100:AH100),""))</f>
      </c>
      <c r="M100" s="684">
        <f>IF(終値!A100="","",IFERROR(4*STDEVP(終値!P100:AI100)/AVERAGE(終値!P100:AI100),""))</f>
      </c>
      <c r="N100" s="684">
        <f>IF(終値!A100="","",IFERROR(4*STDEVP(終値!Q100:AJ100)/AVERAGE(終値!Q100:AJ100),""))</f>
      </c>
      <c r="O100" s="684">
        <f>IF(終値!A100="","",IFERROR(4*STDEVP(終値!R100:AK100)/AVERAGE(終値!R100:AK100),""))</f>
      </c>
      <c r="P100" s="684">
        <f>IF(終値!A100="","",IFERROR(4*STDEVP(終値!S100:AL100)/AVERAGE(終値!S100:AL100),""))</f>
      </c>
      <c r="Q100" s="684">
        <f>IF(終値!A100="","",IFERROR(4*STDEVP(終値!T100:AM100)/AVERAGE(終値!T100:AM100),""))</f>
      </c>
      <c r="R100" s="684">
        <f>IF(終値!A100="","",IFERROR(4*STDEVP(終値!U100:AN100)/AVERAGE(終値!U100:AN100),""))</f>
      </c>
      <c r="S100" s="684">
        <f>IF(終値!A100="","",IFERROR(4*STDEVP(終値!V100:AO100)/AVERAGE(終値!V100:AO100),""))</f>
      </c>
      <c r="T100" s="684">
        <f>IF(終値!A100="","",IFERROR(4*STDEVP(終値!W100:AP100)/AVERAGE(終値!W100:AP100),""))</f>
      </c>
      <c r="U100" s="684">
        <f>IF(終値!A100="","",IFERROR(4*STDEVP(終値!X100:AQ100)/AVERAGE(終値!X100:AQ100),""))</f>
      </c>
      <c r="V100" s="684">
        <f>IF(終値!A100="","",IFERROR(4*STDEVP(終値!Y100:AR100)/AVERAGE(終値!Y100:AR100),""))</f>
      </c>
      <c r="W100" s="684">
        <f>IF(終値!A100="","",IFERROR(4*STDEVP(終値!Z100:AS100)/AVERAGE(終値!Z100:AS100),""))</f>
      </c>
      <c r="X100" s="684">
        <f>IF(終値!A100="","",IFERROR(4*STDEVP(終値!AA100:AT100)/AVERAGE(終値!AA100:AT100),""))</f>
      </c>
      <c r="Y100" s="684">
        <f>IF(終値!A100="","",IFERROR(4*STDEVP(終値!AB100:AU100)/AVERAGE(終値!AB100:AU100),""))</f>
      </c>
      <c r="Z100" s="684">
        <f>IF(終値!A100="","",IFERROR(4*STDEVP(終値!AC100:AV100)/AVERAGE(終値!AC100:AV100),""))</f>
      </c>
      <c r="AA100" s="684">
        <f>IF(終値!A100="","",IFERROR(4*STDEVP(終値!AD100:AW100)/AVERAGE(終値!AD100:AW100),""))</f>
      </c>
      <c r="AB100" s="684">
        <f>IF(終値!A100="","",IFERROR(4*STDEVP(終値!AE100:AX100)/AVERAGE(終値!AE100:AX100),""))</f>
      </c>
      <c r="AC100" s="684">
        <f>IF(終値!A100="","",IFERROR(4*STDEVP(終値!AF100:AY100)/AVERAGE(終値!AF100:AY100),""))</f>
      </c>
      <c r="AD100" s="684">
        <f>IF(終値!A100="","",IFERROR(4*STDEVP(終値!AG100:AZ100)/AVERAGE(終値!AG100:AZ100),""))</f>
      </c>
      <c r="AE100" s="684">
        <f>IF(終値!A100="","",IFERROR(4*STDEVP(終値!AH100:BA100)/AVERAGE(終値!AH100:BA100),""))</f>
      </c>
      <c r="AF100" s="684">
        <f>IF(終値!A100="","",IFERROR(4*STDEVP(終値!AI100:BB100)/AVERAGE(終値!AI100:BB100),""))</f>
      </c>
      <c r="AG100" s="684">
        <f>IF(終値!A100="","",IFERROR(4*STDEVP(終値!AJ100:BC100)/AVERAGE(終値!AJ100:BC100),""))</f>
      </c>
      <c r="AH100" s="684">
        <f>IF(終値!A100="","",IFERROR(4*STDEVP(終値!AK100:BD100)/AVERAGE(終値!AK100:BD100),""))</f>
      </c>
      <c r="AI100" s="684">
        <f>IF(終値!A100="","",IFERROR(4*STDEVP(終値!AL100:BE100)/AVERAGE(終値!AL100:BE100),""))</f>
      </c>
      <c r="AJ100" s="684">
        <f>IF(終値!A100="","",IFERROR(4*STDEVP(終値!AM100:BF100)/AVERAGE(終値!AM100:BF100),""))</f>
      </c>
      <c r="AK100" s="684">
        <f>IF(終値!A100="","",IFERROR(4*STDEVP(終値!AN100:BG100)/AVERAGE(終値!AN100:BG100),""))</f>
      </c>
      <c r="AL100" s="684">
        <f>IF(終値!A100="","",IFERROR(4*STDEVP(終値!AO100:BH100)/AVERAGE(終値!AO100:BH100),""))</f>
      </c>
      <c r="AM100" s="684">
        <f>IF(終値!A100="","",IFERROR(4*STDEVP(終値!AP100:BI100)/AVERAGE(終値!AP100:BI100),""))</f>
      </c>
      <c r="AN100" s="684">
        <f>IF(終値!A100="","",IFERROR(4*STDEVP(終値!AQ100:BJ100)/AVERAGE(終値!AQ100:BJ100),""))</f>
      </c>
      <c r="AO100" s="684">
        <f>IF(終値!A100="","",IFERROR(4*STDEVP(終値!AR100:BK100)/AVERAGE(終値!AR100:BK100),""))</f>
      </c>
      <c r="AP100" s="684">
        <f>IF(終値!A100="","",IFERROR(4*STDEVP(終値!AS100:BL100)/AVERAGE(終値!AS100:BL100),""))</f>
      </c>
    </row>
    <row r="101">
      <c r="A101" s="681">
        <f>IF(終値!A101="","",終値!A101)</f>
      </c>
      <c r="B101" s="684">
        <f>IF(終値!A101="","",IFERROR(4*STDEVP(終値!E101:X101)/AVERAGE(終値!E101:X101),""))</f>
      </c>
      <c r="C101" s="684">
        <f>IF(終値!A101="","",IFERROR(4*STDEVP(終値!F101:Y101)/AVERAGE(終値!F101:Y101),""))</f>
      </c>
      <c r="D101" s="684">
        <f>IF(終値!A101="","",IFERROR(4*STDEVP(終値!G101:Z101)/AVERAGE(終値!G101:Z101),""))</f>
      </c>
      <c r="E101" s="684">
        <f>IF(終値!A101="","",IFERROR(4*STDEVP(終値!H101:AA101)/AVERAGE(終値!H101:AA101),""))</f>
      </c>
      <c r="F101" s="684">
        <f>IF(終値!A101="","",IFERROR(4*STDEVP(終値!I101:AB101)/AVERAGE(終値!I101:AB101),""))</f>
      </c>
      <c r="G101" s="684">
        <f>IF(終値!A101="","",IFERROR(4*STDEVP(終値!J101:AC101)/AVERAGE(終値!J101:AC101),""))</f>
      </c>
      <c r="H101" s="684">
        <f>IF(終値!A101="","",IFERROR(4*STDEVP(終値!K101:AD101)/AVERAGE(終値!K101:AD101),""))</f>
      </c>
      <c r="I101" s="684">
        <f>IF(終値!A101="","",IFERROR(4*STDEVP(終値!L101:AE101)/AVERAGE(終値!L101:AE101),""))</f>
      </c>
      <c r="J101" s="684">
        <f>IF(終値!A101="","",IFERROR(4*STDEVP(終値!M101:AF101)/AVERAGE(終値!M101:AF101),""))</f>
      </c>
      <c r="K101" s="684">
        <f>IF(終値!A101="","",IFERROR(4*STDEVP(終値!N101:AG101)/AVERAGE(終値!N101:AG101),""))</f>
      </c>
      <c r="L101" s="684">
        <f>IF(終値!A101="","",IFERROR(4*STDEVP(終値!O101:AH101)/AVERAGE(終値!O101:AH101),""))</f>
      </c>
      <c r="M101" s="684">
        <f>IF(終値!A101="","",IFERROR(4*STDEVP(終値!P101:AI101)/AVERAGE(終値!P101:AI101),""))</f>
      </c>
      <c r="N101" s="684">
        <f>IF(終値!A101="","",IFERROR(4*STDEVP(終値!Q101:AJ101)/AVERAGE(終値!Q101:AJ101),""))</f>
      </c>
      <c r="O101" s="684">
        <f>IF(終値!A101="","",IFERROR(4*STDEVP(終値!R101:AK101)/AVERAGE(終値!R101:AK101),""))</f>
      </c>
      <c r="P101" s="684">
        <f>IF(終値!A101="","",IFERROR(4*STDEVP(終値!S101:AL101)/AVERAGE(終値!S101:AL101),""))</f>
      </c>
      <c r="Q101" s="684">
        <f>IF(終値!A101="","",IFERROR(4*STDEVP(終値!T101:AM101)/AVERAGE(終値!T101:AM101),""))</f>
      </c>
      <c r="R101" s="684">
        <f>IF(終値!A101="","",IFERROR(4*STDEVP(終値!U101:AN101)/AVERAGE(終値!U101:AN101),""))</f>
      </c>
      <c r="S101" s="684">
        <f>IF(終値!A101="","",IFERROR(4*STDEVP(終値!V101:AO101)/AVERAGE(終値!V101:AO101),""))</f>
      </c>
      <c r="T101" s="684">
        <f>IF(終値!A101="","",IFERROR(4*STDEVP(終値!W101:AP101)/AVERAGE(終値!W101:AP101),""))</f>
      </c>
      <c r="U101" s="684">
        <f>IF(終値!A101="","",IFERROR(4*STDEVP(終値!X101:AQ101)/AVERAGE(終値!X101:AQ101),""))</f>
      </c>
      <c r="V101" s="684">
        <f>IF(終値!A101="","",IFERROR(4*STDEVP(終値!Y101:AR101)/AVERAGE(終値!Y101:AR101),""))</f>
      </c>
      <c r="W101" s="684">
        <f>IF(終値!A101="","",IFERROR(4*STDEVP(終値!Z101:AS101)/AVERAGE(終値!Z101:AS101),""))</f>
      </c>
      <c r="X101" s="684">
        <f>IF(終値!A101="","",IFERROR(4*STDEVP(終値!AA101:AT101)/AVERAGE(終値!AA101:AT101),""))</f>
      </c>
      <c r="Y101" s="684">
        <f>IF(終値!A101="","",IFERROR(4*STDEVP(終値!AB101:AU101)/AVERAGE(終値!AB101:AU101),""))</f>
      </c>
      <c r="Z101" s="684">
        <f>IF(終値!A101="","",IFERROR(4*STDEVP(終値!AC101:AV101)/AVERAGE(終値!AC101:AV101),""))</f>
      </c>
      <c r="AA101" s="684">
        <f>IF(終値!A101="","",IFERROR(4*STDEVP(終値!AD101:AW101)/AVERAGE(終値!AD101:AW101),""))</f>
      </c>
      <c r="AB101" s="684">
        <f>IF(終値!A101="","",IFERROR(4*STDEVP(終値!AE101:AX101)/AVERAGE(終値!AE101:AX101),""))</f>
      </c>
      <c r="AC101" s="684">
        <f>IF(終値!A101="","",IFERROR(4*STDEVP(終値!AF101:AY101)/AVERAGE(終値!AF101:AY101),""))</f>
      </c>
      <c r="AD101" s="684">
        <f>IF(終値!A101="","",IFERROR(4*STDEVP(終値!AG101:AZ101)/AVERAGE(終値!AG101:AZ101),""))</f>
      </c>
      <c r="AE101" s="684">
        <f>IF(終値!A101="","",IFERROR(4*STDEVP(終値!AH101:BA101)/AVERAGE(終値!AH101:BA101),""))</f>
      </c>
      <c r="AF101" s="684">
        <f>IF(終値!A101="","",IFERROR(4*STDEVP(終値!AI101:BB101)/AVERAGE(終値!AI101:BB101),""))</f>
      </c>
      <c r="AG101" s="684">
        <f>IF(終値!A101="","",IFERROR(4*STDEVP(終値!AJ101:BC101)/AVERAGE(終値!AJ101:BC101),""))</f>
      </c>
      <c r="AH101" s="684">
        <f>IF(終値!A101="","",IFERROR(4*STDEVP(終値!AK101:BD101)/AVERAGE(終値!AK101:BD101),""))</f>
      </c>
      <c r="AI101" s="684">
        <f>IF(終値!A101="","",IFERROR(4*STDEVP(終値!AL101:BE101)/AVERAGE(終値!AL101:BE101),""))</f>
      </c>
      <c r="AJ101" s="684">
        <f>IF(終値!A101="","",IFERROR(4*STDEVP(終値!AM101:BF101)/AVERAGE(終値!AM101:BF101),""))</f>
      </c>
      <c r="AK101" s="684">
        <f>IF(終値!A101="","",IFERROR(4*STDEVP(終値!AN101:BG101)/AVERAGE(終値!AN101:BG101),""))</f>
      </c>
      <c r="AL101" s="684">
        <f>IF(終値!A101="","",IFERROR(4*STDEVP(終値!AO101:BH101)/AVERAGE(終値!AO101:BH101),""))</f>
      </c>
      <c r="AM101" s="684">
        <f>IF(終値!A101="","",IFERROR(4*STDEVP(終値!AP101:BI101)/AVERAGE(終値!AP101:BI101),""))</f>
      </c>
      <c r="AN101" s="684">
        <f>IF(終値!A101="","",IFERROR(4*STDEVP(終値!AQ101:BJ101)/AVERAGE(終値!AQ101:BJ101),""))</f>
      </c>
      <c r="AO101" s="684">
        <f>IF(終値!A101="","",IFERROR(4*STDEVP(終値!AR101:BK101)/AVERAGE(終値!AR101:BK101),""))</f>
      </c>
      <c r="AP101" s="684">
        <f>IF(終値!A101="","",IFERROR(4*STDEVP(終値!AS101:BL101)/AVERAGE(終値!AS101:BL101),""))</f>
      </c>
    </row>
    <row r="102">
      <c r="A102" s="681">
        <f>IF(終値!A102="","",終値!A102)</f>
      </c>
      <c r="B102" s="684">
        <f>IF(終値!A102="","",IFERROR(4*STDEVP(終値!E102:X102)/AVERAGE(終値!E102:X102),""))</f>
      </c>
      <c r="C102" s="684">
        <f>IF(終値!A102="","",IFERROR(4*STDEVP(終値!F102:Y102)/AVERAGE(終値!F102:Y102),""))</f>
      </c>
      <c r="D102" s="684">
        <f>IF(終値!A102="","",IFERROR(4*STDEVP(終値!G102:Z102)/AVERAGE(終値!G102:Z102),""))</f>
      </c>
      <c r="E102" s="684">
        <f>IF(終値!A102="","",IFERROR(4*STDEVP(終値!H102:AA102)/AVERAGE(終値!H102:AA102),""))</f>
      </c>
      <c r="F102" s="684">
        <f>IF(終値!A102="","",IFERROR(4*STDEVP(終値!I102:AB102)/AVERAGE(終値!I102:AB102),""))</f>
      </c>
      <c r="G102" s="684">
        <f>IF(終値!A102="","",IFERROR(4*STDEVP(終値!J102:AC102)/AVERAGE(終値!J102:AC102),""))</f>
      </c>
      <c r="H102" s="684">
        <f>IF(終値!A102="","",IFERROR(4*STDEVP(終値!K102:AD102)/AVERAGE(終値!K102:AD102),""))</f>
      </c>
      <c r="I102" s="684">
        <f>IF(終値!A102="","",IFERROR(4*STDEVP(終値!L102:AE102)/AVERAGE(終値!L102:AE102),""))</f>
      </c>
      <c r="J102" s="684">
        <f>IF(終値!A102="","",IFERROR(4*STDEVP(終値!M102:AF102)/AVERAGE(終値!M102:AF102),""))</f>
      </c>
      <c r="K102" s="684">
        <f>IF(終値!A102="","",IFERROR(4*STDEVP(終値!N102:AG102)/AVERAGE(終値!N102:AG102),""))</f>
      </c>
      <c r="L102" s="684">
        <f>IF(終値!A102="","",IFERROR(4*STDEVP(終値!O102:AH102)/AVERAGE(終値!O102:AH102),""))</f>
      </c>
      <c r="M102" s="684">
        <f>IF(終値!A102="","",IFERROR(4*STDEVP(終値!P102:AI102)/AVERAGE(終値!P102:AI102),""))</f>
      </c>
      <c r="N102" s="684">
        <f>IF(終値!A102="","",IFERROR(4*STDEVP(終値!Q102:AJ102)/AVERAGE(終値!Q102:AJ102),""))</f>
      </c>
      <c r="O102" s="684">
        <f>IF(終値!A102="","",IFERROR(4*STDEVP(終値!R102:AK102)/AVERAGE(終値!R102:AK102),""))</f>
      </c>
      <c r="P102" s="684">
        <f>IF(終値!A102="","",IFERROR(4*STDEVP(終値!S102:AL102)/AVERAGE(終値!S102:AL102),""))</f>
      </c>
      <c r="Q102" s="684">
        <f>IF(終値!A102="","",IFERROR(4*STDEVP(終値!T102:AM102)/AVERAGE(終値!T102:AM102),""))</f>
      </c>
      <c r="R102" s="684">
        <f>IF(終値!A102="","",IFERROR(4*STDEVP(終値!U102:AN102)/AVERAGE(終値!U102:AN102),""))</f>
      </c>
      <c r="S102" s="684">
        <f>IF(終値!A102="","",IFERROR(4*STDEVP(終値!V102:AO102)/AVERAGE(終値!V102:AO102),""))</f>
      </c>
      <c r="T102" s="684">
        <f>IF(終値!A102="","",IFERROR(4*STDEVP(終値!W102:AP102)/AVERAGE(終値!W102:AP102),""))</f>
      </c>
      <c r="U102" s="684">
        <f>IF(終値!A102="","",IFERROR(4*STDEVP(終値!X102:AQ102)/AVERAGE(終値!X102:AQ102),""))</f>
      </c>
      <c r="V102" s="684">
        <f>IF(終値!A102="","",IFERROR(4*STDEVP(終値!Y102:AR102)/AVERAGE(終値!Y102:AR102),""))</f>
      </c>
      <c r="W102" s="684">
        <f>IF(終値!A102="","",IFERROR(4*STDEVP(終値!Z102:AS102)/AVERAGE(終値!Z102:AS102),""))</f>
      </c>
      <c r="X102" s="684">
        <f>IF(終値!A102="","",IFERROR(4*STDEVP(終値!AA102:AT102)/AVERAGE(終値!AA102:AT102),""))</f>
      </c>
      <c r="Y102" s="684">
        <f>IF(終値!A102="","",IFERROR(4*STDEVP(終値!AB102:AU102)/AVERAGE(終値!AB102:AU102),""))</f>
      </c>
      <c r="Z102" s="684">
        <f>IF(終値!A102="","",IFERROR(4*STDEVP(終値!AC102:AV102)/AVERAGE(終値!AC102:AV102),""))</f>
      </c>
      <c r="AA102" s="684">
        <f>IF(終値!A102="","",IFERROR(4*STDEVP(終値!AD102:AW102)/AVERAGE(終値!AD102:AW102),""))</f>
      </c>
      <c r="AB102" s="684">
        <f>IF(終値!A102="","",IFERROR(4*STDEVP(終値!AE102:AX102)/AVERAGE(終値!AE102:AX102),""))</f>
      </c>
      <c r="AC102" s="684">
        <f>IF(終値!A102="","",IFERROR(4*STDEVP(終値!AF102:AY102)/AVERAGE(終値!AF102:AY102),""))</f>
      </c>
      <c r="AD102" s="684">
        <f>IF(終値!A102="","",IFERROR(4*STDEVP(終値!AG102:AZ102)/AVERAGE(終値!AG102:AZ102),""))</f>
      </c>
      <c r="AE102" s="684">
        <f>IF(終値!A102="","",IFERROR(4*STDEVP(終値!AH102:BA102)/AVERAGE(終値!AH102:BA102),""))</f>
      </c>
      <c r="AF102" s="684">
        <f>IF(終値!A102="","",IFERROR(4*STDEVP(終値!AI102:BB102)/AVERAGE(終値!AI102:BB102),""))</f>
      </c>
      <c r="AG102" s="684">
        <f>IF(終値!A102="","",IFERROR(4*STDEVP(終値!AJ102:BC102)/AVERAGE(終値!AJ102:BC102),""))</f>
      </c>
      <c r="AH102" s="684">
        <f>IF(終値!A102="","",IFERROR(4*STDEVP(終値!AK102:BD102)/AVERAGE(終値!AK102:BD102),""))</f>
      </c>
      <c r="AI102" s="684">
        <f>IF(終値!A102="","",IFERROR(4*STDEVP(終値!AL102:BE102)/AVERAGE(終値!AL102:BE102),""))</f>
      </c>
      <c r="AJ102" s="684">
        <f>IF(終値!A102="","",IFERROR(4*STDEVP(終値!AM102:BF102)/AVERAGE(終値!AM102:BF102),""))</f>
      </c>
      <c r="AK102" s="684">
        <f>IF(終値!A102="","",IFERROR(4*STDEVP(終値!AN102:BG102)/AVERAGE(終値!AN102:BG102),""))</f>
      </c>
      <c r="AL102" s="684">
        <f>IF(終値!A102="","",IFERROR(4*STDEVP(終値!AO102:BH102)/AVERAGE(終値!AO102:BH102),""))</f>
      </c>
      <c r="AM102" s="684">
        <f>IF(終値!A102="","",IFERROR(4*STDEVP(終値!AP102:BI102)/AVERAGE(終値!AP102:BI102),""))</f>
      </c>
      <c r="AN102" s="684">
        <f>IF(終値!A102="","",IFERROR(4*STDEVP(終値!AQ102:BJ102)/AVERAGE(終値!AQ102:BJ102),""))</f>
      </c>
      <c r="AO102" s="684">
        <f>IF(終値!A102="","",IFERROR(4*STDEVP(終値!AR102:BK102)/AVERAGE(終値!AR102:BK102),""))</f>
      </c>
      <c r="AP102" s="684">
        <f>IF(終値!A102="","",IFERROR(4*STDEVP(終値!AS102:BL102)/AVERAGE(終値!AS102:BL102),""))</f>
      </c>
    </row>
    <row r="103">
      <c r="A103" s="681">
        <f>IF(終値!A103="","",終値!A103)</f>
      </c>
      <c r="B103" s="684">
        <f>IF(終値!A103="","",IFERROR(4*STDEVP(終値!E103:X103)/AVERAGE(終値!E103:X103),""))</f>
      </c>
      <c r="C103" s="684">
        <f>IF(終値!A103="","",IFERROR(4*STDEVP(終値!F103:Y103)/AVERAGE(終値!F103:Y103),""))</f>
      </c>
      <c r="D103" s="684">
        <f>IF(終値!A103="","",IFERROR(4*STDEVP(終値!G103:Z103)/AVERAGE(終値!G103:Z103),""))</f>
      </c>
      <c r="E103" s="684">
        <f>IF(終値!A103="","",IFERROR(4*STDEVP(終値!H103:AA103)/AVERAGE(終値!H103:AA103),""))</f>
      </c>
      <c r="F103" s="684">
        <f>IF(終値!A103="","",IFERROR(4*STDEVP(終値!I103:AB103)/AVERAGE(終値!I103:AB103),""))</f>
      </c>
      <c r="G103" s="684">
        <f>IF(終値!A103="","",IFERROR(4*STDEVP(終値!J103:AC103)/AVERAGE(終値!J103:AC103),""))</f>
      </c>
      <c r="H103" s="684">
        <f>IF(終値!A103="","",IFERROR(4*STDEVP(終値!K103:AD103)/AVERAGE(終値!K103:AD103),""))</f>
      </c>
      <c r="I103" s="684">
        <f>IF(終値!A103="","",IFERROR(4*STDEVP(終値!L103:AE103)/AVERAGE(終値!L103:AE103),""))</f>
      </c>
      <c r="J103" s="684">
        <f>IF(終値!A103="","",IFERROR(4*STDEVP(終値!M103:AF103)/AVERAGE(終値!M103:AF103),""))</f>
      </c>
      <c r="K103" s="684">
        <f>IF(終値!A103="","",IFERROR(4*STDEVP(終値!N103:AG103)/AVERAGE(終値!N103:AG103),""))</f>
      </c>
      <c r="L103" s="684">
        <f>IF(終値!A103="","",IFERROR(4*STDEVP(終値!O103:AH103)/AVERAGE(終値!O103:AH103),""))</f>
      </c>
      <c r="M103" s="684">
        <f>IF(終値!A103="","",IFERROR(4*STDEVP(終値!P103:AI103)/AVERAGE(終値!P103:AI103),""))</f>
      </c>
      <c r="N103" s="684">
        <f>IF(終値!A103="","",IFERROR(4*STDEVP(終値!Q103:AJ103)/AVERAGE(終値!Q103:AJ103),""))</f>
      </c>
      <c r="O103" s="684">
        <f>IF(終値!A103="","",IFERROR(4*STDEVP(終値!R103:AK103)/AVERAGE(終値!R103:AK103),""))</f>
      </c>
      <c r="P103" s="684">
        <f>IF(終値!A103="","",IFERROR(4*STDEVP(終値!S103:AL103)/AVERAGE(終値!S103:AL103),""))</f>
      </c>
      <c r="Q103" s="684">
        <f>IF(終値!A103="","",IFERROR(4*STDEVP(終値!T103:AM103)/AVERAGE(終値!T103:AM103),""))</f>
      </c>
      <c r="R103" s="684">
        <f>IF(終値!A103="","",IFERROR(4*STDEVP(終値!U103:AN103)/AVERAGE(終値!U103:AN103),""))</f>
      </c>
      <c r="S103" s="684">
        <f>IF(終値!A103="","",IFERROR(4*STDEVP(終値!V103:AO103)/AVERAGE(終値!V103:AO103),""))</f>
      </c>
      <c r="T103" s="684">
        <f>IF(終値!A103="","",IFERROR(4*STDEVP(終値!W103:AP103)/AVERAGE(終値!W103:AP103),""))</f>
      </c>
      <c r="U103" s="684">
        <f>IF(終値!A103="","",IFERROR(4*STDEVP(終値!X103:AQ103)/AVERAGE(終値!X103:AQ103),""))</f>
      </c>
      <c r="V103" s="684">
        <f>IF(終値!A103="","",IFERROR(4*STDEVP(終値!Y103:AR103)/AVERAGE(終値!Y103:AR103),""))</f>
      </c>
      <c r="W103" s="684">
        <f>IF(終値!A103="","",IFERROR(4*STDEVP(終値!Z103:AS103)/AVERAGE(終値!Z103:AS103),""))</f>
      </c>
      <c r="X103" s="684">
        <f>IF(終値!A103="","",IFERROR(4*STDEVP(終値!AA103:AT103)/AVERAGE(終値!AA103:AT103),""))</f>
      </c>
      <c r="Y103" s="684">
        <f>IF(終値!A103="","",IFERROR(4*STDEVP(終値!AB103:AU103)/AVERAGE(終値!AB103:AU103),""))</f>
      </c>
      <c r="Z103" s="684">
        <f>IF(終値!A103="","",IFERROR(4*STDEVP(終値!AC103:AV103)/AVERAGE(終値!AC103:AV103),""))</f>
      </c>
      <c r="AA103" s="684">
        <f>IF(終値!A103="","",IFERROR(4*STDEVP(終値!AD103:AW103)/AVERAGE(終値!AD103:AW103),""))</f>
      </c>
      <c r="AB103" s="684">
        <f>IF(終値!A103="","",IFERROR(4*STDEVP(終値!AE103:AX103)/AVERAGE(終値!AE103:AX103),""))</f>
      </c>
      <c r="AC103" s="684">
        <f>IF(終値!A103="","",IFERROR(4*STDEVP(終値!AF103:AY103)/AVERAGE(終値!AF103:AY103),""))</f>
      </c>
      <c r="AD103" s="684">
        <f>IF(終値!A103="","",IFERROR(4*STDEVP(終値!AG103:AZ103)/AVERAGE(終値!AG103:AZ103),""))</f>
      </c>
      <c r="AE103" s="684">
        <f>IF(終値!A103="","",IFERROR(4*STDEVP(終値!AH103:BA103)/AVERAGE(終値!AH103:BA103),""))</f>
      </c>
      <c r="AF103" s="684">
        <f>IF(終値!A103="","",IFERROR(4*STDEVP(終値!AI103:BB103)/AVERAGE(終値!AI103:BB103),""))</f>
      </c>
      <c r="AG103" s="684">
        <f>IF(終値!A103="","",IFERROR(4*STDEVP(終値!AJ103:BC103)/AVERAGE(終値!AJ103:BC103),""))</f>
      </c>
      <c r="AH103" s="684">
        <f>IF(終値!A103="","",IFERROR(4*STDEVP(終値!AK103:BD103)/AVERAGE(終値!AK103:BD103),""))</f>
      </c>
      <c r="AI103" s="684">
        <f>IF(終値!A103="","",IFERROR(4*STDEVP(終値!AL103:BE103)/AVERAGE(終値!AL103:BE103),""))</f>
      </c>
      <c r="AJ103" s="684">
        <f>IF(終値!A103="","",IFERROR(4*STDEVP(終値!AM103:BF103)/AVERAGE(終値!AM103:BF103),""))</f>
      </c>
      <c r="AK103" s="684">
        <f>IF(終値!A103="","",IFERROR(4*STDEVP(終値!AN103:BG103)/AVERAGE(終値!AN103:BG103),""))</f>
      </c>
      <c r="AL103" s="684">
        <f>IF(終値!A103="","",IFERROR(4*STDEVP(終値!AO103:BH103)/AVERAGE(終値!AO103:BH103),""))</f>
      </c>
      <c r="AM103" s="684">
        <f>IF(終値!A103="","",IFERROR(4*STDEVP(終値!AP103:BI103)/AVERAGE(終値!AP103:BI103),""))</f>
      </c>
      <c r="AN103" s="684">
        <f>IF(終値!A103="","",IFERROR(4*STDEVP(終値!AQ103:BJ103)/AVERAGE(終値!AQ103:BJ103),""))</f>
      </c>
      <c r="AO103" s="684">
        <f>IF(終値!A103="","",IFERROR(4*STDEVP(終値!AR103:BK103)/AVERAGE(終値!AR103:BK103),""))</f>
      </c>
      <c r="AP103" s="684">
        <f>IF(終値!A103="","",IFERROR(4*STDEVP(終値!AS103:BL103)/AVERAGE(終値!AS103:BL103),""))</f>
      </c>
    </row>
    <row r="104">
      <c r="A104" s="681">
        <f>IF(終値!A104="","",終値!A104)</f>
      </c>
      <c r="B104" s="684">
        <f>IF(終値!A104="","",IFERROR(4*STDEVP(終値!E104:X104)/AVERAGE(終値!E104:X104),""))</f>
      </c>
      <c r="C104" s="684">
        <f>IF(終値!A104="","",IFERROR(4*STDEVP(終値!F104:Y104)/AVERAGE(終値!F104:Y104),""))</f>
      </c>
      <c r="D104" s="684">
        <f>IF(終値!A104="","",IFERROR(4*STDEVP(終値!G104:Z104)/AVERAGE(終値!G104:Z104),""))</f>
      </c>
      <c r="E104" s="684">
        <f>IF(終値!A104="","",IFERROR(4*STDEVP(終値!H104:AA104)/AVERAGE(終値!H104:AA104),""))</f>
      </c>
      <c r="F104" s="684">
        <f>IF(終値!A104="","",IFERROR(4*STDEVP(終値!I104:AB104)/AVERAGE(終値!I104:AB104),""))</f>
      </c>
      <c r="G104" s="684">
        <f>IF(終値!A104="","",IFERROR(4*STDEVP(終値!J104:AC104)/AVERAGE(終値!J104:AC104),""))</f>
      </c>
      <c r="H104" s="684">
        <f>IF(終値!A104="","",IFERROR(4*STDEVP(終値!K104:AD104)/AVERAGE(終値!K104:AD104),""))</f>
      </c>
      <c r="I104" s="684">
        <f>IF(終値!A104="","",IFERROR(4*STDEVP(終値!L104:AE104)/AVERAGE(終値!L104:AE104),""))</f>
      </c>
      <c r="J104" s="684">
        <f>IF(終値!A104="","",IFERROR(4*STDEVP(終値!M104:AF104)/AVERAGE(終値!M104:AF104),""))</f>
      </c>
      <c r="K104" s="684">
        <f>IF(終値!A104="","",IFERROR(4*STDEVP(終値!N104:AG104)/AVERAGE(終値!N104:AG104),""))</f>
      </c>
      <c r="L104" s="684">
        <f>IF(終値!A104="","",IFERROR(4*STDEVP(終値!O104:AH104)/AVERAGE(終値!O104:AH104),""))</f>
      </c>
      <c r="M104" s="684">
        <f>IF(終値!A104="","",IFERROR(4*STDEVP(終値!P104:AI104)/AVERAGE(終値!P104:AI104),""))</f>
      </c>
      <c r="N104" s="684">
        <f>IF(終値!A104="","",IFERROR(4*STDEVP(終値!Q104:AJ104)/AVERAGE(終値!Q104:AJ104),""))</f>
      </c>
      <c r="O104" s="684">
        <f>IF(終値!A104="","",IFERROR(4*STDEVP(終値!R104:AK104)/AVERAGE(終値!R104:AK104),""))</f>
      </c>
      <c r="P104" s="684">
        <f>IF(終値!A104="","",IFERROR(4*STDEVP(終値!S104:AL104)/AVERAGE(終値!S104:AL104),""))</f>
      </c>
      <c r="Q104" s="684">
        <f>IF(終値!A104="","",IFERROR(4*STDEVP(終値!T104:AM104)/AVERAGE(終値!T104:AM104),""))</f>
      </c>
      <c r="R104" s="684">
        <f>IF(終値!A104="","",IFERROR(4*STDEVP(終値!U104:AN104)/AVERAGE(終値!U104:AN104),""))</f>
      </c>
      <c r="S104" s="684">
        <f>IF(終値!A104="","",IFERROR(4*STDEVP(終値!V104:AO104)/AVERAGE(終値!V104:AO104),""))</f>
      </c>
      <c r="T104" s="684">
        <f>IF(終値!A104="","",IFERROR(4*STDEVP(終値!W104:AP104)/AVERAGE(終値!W104:AP104),""))</f>
      </c>
      <c r="U104" s="684">
        <f>IF(終値!A104="","",IFERROR(4*STDEVP(終値!X104:AQ104)/AVERAGE(終値!X104:AQ104),""))</f>
      </c>
      <c r="V104" s="684">
        <f>IF(終値!A104="","",IFERROR(4*STDEVP(終値!Y104:AR104)/AVERAGE(終値!Y104:AR104),""))</f>
      </c>
      <c r="W104" s="684">
        <f>IF(終値!A104="","",IFERROR(4*STDEVP(終値!Z104:AS104)/AVERAGE(終値!Z104:AS104),""))</f>
      </c>
      <c r="X104" s="684">
        <f>IF(終値!A104="","",IFERROR(4*STDEVP(終値!AA104:AT104)/AVERAGE(終値!AA104:AT104),""))</f>
      </c>
      <c r="Y104" s="684">
        <f>IF(終値!A104="","",IFERROR(4*STDEVP(終値!AB104:AU104)/AVERAGE(終値!AB104:AU104),""))</f>
      </c>
      <c r="Z104" s="684">
        <f>IF(終値!A104="","",IFERROR(4*STDEVP(終値!AC104:AV104)/AVERAGE(終値!AC104:AV104),""))</f>
      </c>
      <c r="AA104" s="684">
        <f>IF(終値!A104="","",IFERROR(4*STDEVP(終値!AD104:AW104)/AVERAGE(終値!AD104:AW104),""))</f>
      </c>
      <c r="AB104" s="684">
        <f>IF(終値!A104="","",IFERROR(4*STDEVP(終値!AE104:AX104)/AVERAGE(終値!AE104:AX104),""))</f>
      </c>
      <c r="AC104" s="684">
        <f>IF(終値!A104="","",IFERROR(4*STDEVP(終値!AF104:AY104)/AVERAGE(終値!AF104:AY104),""))</f>
      </c>
      <c r="AD104" s="684">
        <f>IF(終値!A104="","",IFERROR(4*STDEVP(終値!AG104:AZ104)/AVERAGE(終値!AG104:AZ104),""))</f>
      </c>
      <c r="AE104" s="684">
        <f>IF(終値!A104="","",IFERROR(4*STDEVP(終値!AH104:BA104)/AVERAGE(終値!AH104:BA104),""))</f>
      </c>
      <c r="AF104" s="684">
        <f>IF(終値!A104="","",IFERROR(4*STDEVP(終値!AI104:BB104)/AVERAGE(終値!AI104:BB104),""))</f>
      </c>
      <c r="AG104" s="684">
        <f>IF(終値!A104="","",IFERROR(4*STDEVP(終値!AJ104:BC104)/AVERAGE(終値!AJ104:BC104),""))</f>
      </c>
      <c r="AH104" s="684">
        <f>IF(終値!A104="","",IFERROR(4*STDEVP(終値!AK104:BD104)/AVERAGE(終値!AK104:BD104),""))</f>
      </c>
      <c r="AI104" s="684">
        <f>IF(終値!A104="","",IFERROR(4*STDEVP(終値!AL104:BE104)/AVERAGE(終値!AL104:BE104),""))</f>
      </c>
      <c r="AJ104" s="684">
        <f>IF(終値!A104="","",IFERROR(4*STDEVP(終値!AM104:BF104)/AVERAGE(終値!AM104:BF104),""))</f>
      </c>
      <c r="AK104" s="684">
        <f>IF(終値!A104="","",IFERROR(4*STDEVP(終値!AN104:BG104)/AVERAGE(終値!AN104:BG104),""))</f>
      </c>
      <c r="AL104" s="684">
        <f>IF(終値!A104="","",IFERROR(4*STDEVP(終値!AO104:BH104)/AVERAGE(終値!AO104:BH104),""))</f>
      </c>
      <c r="AM104" s="684">
        <f>IF(終値!A104="","",IFERROR(4*STDEVP(終値!AP104:BI104)/AVERAGE(終値!AP104:BI104),""))</f>
      </c>
      <c r="AN104" s="684">
        <f>IF(終値!A104="","",IFERROR(4*STDEVP(終値!AQ104:BJ104)/AVERAGE(終値!AQ104:BJ104),""))</f>
      </c>
      <c r="AO104" s="684">
        <f>IF(終値!A104="","",IFERROR(4*STDEVP(終値!AR104:BK104)/AVERAGE(終値!AR104:BK104),""))</f>
      </c>
      <c r="AP104" s="684">
        <f>IF(終値!A104="","",IFERROR(4*STDEVP(終値!AS104:BL104)/AVERAGE(終値!AS104:BL104),""))</f>
      </c>
    </row>
    <row r="105">
      <c r="A105" s="681">
        <f>IF(終値!A105="","",終値!A105)</f>
      </c>
      <c r="B105" s="684">
        <f>IF(終値!A105="","",IFERROR(4*STDEVP(終値!E105:X105)/AVERAGE(終値!E105:X105),""))</f>
      </c>
      <c r="C105" s="684">
        <f>IF(終値!A105="","",IFERROR(4*STDEVP(終値!F105:Y105)/AVERAGE(終値!F105:Y105),""))</f>
      </c>
      <c r="D105" s="684">
        <f>IF(終値!A105="","",IFERROR(4*STDEVP(終値!G105:Z105)/AVERAGE(終値!G105:Z105),""))</f>
      </c>
      <c r="E105" s="684">
        <f>IF(終値!A105="","",IFERROR(4*STDEVP(終値!H105:AA105)/AVERAGE(終値!H105:AA105),""))</f>
      </c>
      <c r="F105" s="684">
        <f>IF(終値!A105="","",IFERROR(4*STDEVP(終値!I105:AB105)/AVERAGE(終値!I105:AB105),""))</f>
      </c>
      <c r="G105" s="684">
        <f>IF(終値!A105="","",IFERROR(4*STDEVP(終値!J105:AC105)/AVERAGE(終値!J105:AC105),""))</f>
      </c>
      <c r="H105" s="684">
        <f>IF(終値!A105="","",IFERROR(4*STDEVP(終値!K105:AD105)/AVERAGE(終値!K105:AD105),""))</f>
      </c>
      <c r="I105" s="684">
        <f>IF(終値!A105="","",IFERROR(4*STDEVP(終値!L105:AE105)/AVERAGE(終値!L105:AE105),""))</f>
      </c>
      <c r="J105" s="684">
        <f>IF(終値!A105="","",IFERROR(4*STDEVP(終値!M105:AF105)/AVERAGE(終値!M105:AF105),""))</f>
      </c>
      <c r="K105" s="684">
        <f>IF(終値!A105="","",IFERROR(4*STDEVP(終値!N105:AG105)/AVERAGE(終値!N105:AG105),""))</f>
      </c>
      <c r="L105" s="684">
        <f>IF(終値!A105="","",IFERROR(4*STDEVP(終値!O105:AH105)/AVERAGE(終値!O105:AH105),""))</f>
      </c>
      <c r="M105" s="684">
        <f>IF(終値!A105="","",IFERROR(4*STDEVP(終値!P105:AI105)/AVERAGE(終値!P105:AI105),""))</f>
      </c>
      <c r="N105" s="684">
        <f>IF(終値!A105="","",IFERROR(4*STDEVP(終値!Q105:AJ105)/AVERAGE(終値!Q105:AJ105),""))</f>
      </c>
      <c r="O105" s="684">
        <f>IF(終値!A105="","",IFERROR(4*STDEVP(終値!R105:AK105)/AVERAGE(終値!R105:AK105),""))</f>
      </c>
      <c r="P105" s="684">
        <f>IF(終値!A105="","",IFERROR(4*STDEVP(終値!S105:AL105)/AVERAGE(終値!S105:AL105),""))</f>
      </c>
      <c r="Q105" s="684">
        <f>IF(終値!A105="","",IFERROR(4*STDEVP(終値!T105:AM105)/AVERAGE(終値!T105:AM105),""))</f>
      </c>
      <c r="R105" s="684">
        <f>IF(終値!A105="","",IFERROR(4*STDEVP(終値!U105:AN105)/AVERAGE(終値!U105:AN105),""))</f>
      </c>
      <c r="S105" s="684">
        <f>IF(終値!A105="","",IFERROR(4*STDEVP(終値!V105:AO105)/AVERAGE(終値!V105:AO105),""))</f>
      </c>
      <c r="T105" s="684">
        <f>IF(終値!A105="","",IFERROR(4*STDEVP(終値!W105:AP105)/AVERAGE(終値!W105:AP105),""))</f>
      </c>
      <c r="U105" s="684">
        <f>IF(終値!A105="","",IFERROR(4*STDEVP(終値!X105:AQ105)/AVERAGE(終値!X105:AQ105),""))</f>
      </c>
      <c r="V105" s="684">
        <f>IF(終値!A105="","",IFERROR(4*STDEVP(終値!Y105:AR105)/AVERAGE(終値!Y105:AR105),""))</f>
      </c>
      <c r="W105" s="684">
        <f>IF(終値!A105="","",IFERROR(4*STDEVP(終値!Z105:AS105)/AVERAGE(終値!Z105:AS105),""))</f>
      </c>
      <c r="X105" s="684">
        <f>IF(終値!A105="","",IFERROR(4*STDEVP(終値!AA105:AT105)/AVERAGE(終値!AA105:AT105),""))</f>
      </c>
      <c r="Y105" s="684">
        <f>IF(終値!A105="","",IFERROR(4*STDEVP(終値!AB105:AU105)/AVERAGE(終値!AB105:AU105),""))</f>
      </c>
      <c r="Z105" s="684">
        <f>IF(終値!A105="","",IFERROR(4*STDEVP(終値!AC105:AV105)/AVERAGE(終値!AC105:AV105),""))</f>
      </c>
      <c r="AA105" s="684">
        <f>IF(終値!A105="","",IFERROR(4*STDEVP(終値!AD105:AW105)/AVERAGE(終値!AD105:AW105),""))</f>
      </c>
      <c r="AB105" s="684">
        <f>IF(終値!A105="","",IFERROR(4*STDEVP(終値!AE105:AX105)/AVERAGE(終値!AE105:AX105),""))</f>
      </c>
      <c r="AC105" s="684">
        <f>IF(終値!A105="","",IFERROR(4*STDEVP(終値!AF105:AY105)/AVERAGE(終値!AF105:AY105),""))</f>
      </c>
      <c r="AD105" s="684">
        <f>IF(終値!A105="","",IFERROR(4*STDEVP(終値!AG105:AZ105)/AVERAGE(終値!AG105:AZ105),""))</f>
      </c>
      <c r="AE105" s="684">
        <f>IF(終値!A105="","",IFERROR(4*STDEVP(終値!AH105:BA105)/AVERAGE(終値!AH105:BA105),""))</f>
      </c>
      <c r="AF105" s="684">
        <f>IF(終値!A105="","",IFERROR(4*STDEVP(終値!AI105:BB105)/AVERAGE(終値!AI105:BB105),""))</f>
      </c>
      <c r="AG105" s="684">
        <f>IF(終値!A105="","",IFERROR(4*STDEVP(終値!AJ105:BC105)/AVERAGE(終値!AJ105:BC105),""))</f>
      </c>
      <c r="AH105" s="684">
        <f>IF(終値!A105="","",IFERROR(4*STDEVP(終値!AK105:BD105)/AVERAGE(終値!AK105:BD105),""))</f>
      </c>
      <c r="AI105" s="684">
        <f>IF(終値!A105="","",IFERROR(4*STDEVP(終値!AL105:BE105)/AVERAGE(終値!AL105:BE105),""))</f>
      </c>
      <c r="AJ105" s="684">
        <f>IF(終値!A105="","",IFERROR(4*STDEVP(終値!AM105:BF105)/AVERAGE(終値!AM105:BF105),""))</f>
      </c>
      <c r="AK105" s="684">
        <f>IF(終値!A105="","",IFERROR(4*STDEVP(終値!AN105:BG105)/AVERAGE(終値!AN105:BG105),""))</f>
      </c>
      <c r="AL105" s="684">
        <f>IF(終値!A105="","",IFERROR(4*STDEVP(終値!AO105:BH105)/AVERAGE(終値!AO105:BH105),""))</f>
      </c>
      <c r="AM105" s="684">
        <f>IF(終値!A105="","",IFERROR(4*STDEVP(終値!AP105:BI105)/AVERAGE(終値!AP105:BI105),""))</f>
      </c>
      <c r="AN105" s="684">
        <f>IF(終値!A105="","",IFERROR(4*STDEVP(終値!AQ105:BJ105)/AVERAGE(終値!AQ105:BJ105),""))</f>
      </c>
      <c r="AO105" s="684">
        <f>IF(終値!A105="","",IFERROR(4*STDEVP(終値!AR105:BK105)/AVERAGE(終値!AR105:BK105),""))</f>
      </c>
      <c r="AP105" s="684">
        <f>IF(終値!A105="","",IFERROR(4*STDEVP(終値!AS105:BL105)/AVERAGE(終値!AS105:BL105),""))</f>
      </c>
    </row>
    <row r="106">
      <c r="A106" s="681">
        <f>IF(終値!A106="","",終値!A106)</f>
      </c>
      <c r="B106" s="684">
        <f>IF(終値!A106="","",IFERROR(4*STDEVP(終値!E106:X106)/AVERAGE(終値!E106:X106),""))</f>
      </c>
      <c r="C106" s="684">
        <f>IF(終値!A106="","",IFERROR(4*STDEVP(終値!F106:Y106)/AVERAGE(終値!F106:Y106),""))</f>
      </c>
      <c r="D106" s="684">
        <f>IF(終値!A106="","",IFERROR(4*STDEVP(終値!G106:Z106)/AVERAGE(終値!G106:Z106),""))</f>
      </c>
      <c r="E106" s="684">
        <f>IF(終値!A106="","",IFERROR(4*STDEVP(終値!H106:AA106)/AVERAGE(終値!H106:AA106),""))</f>
      </c>
      <c r="F106" s="684">
        <f>IF(終値!A106="","",IFERROR(4*STDEVP(終値!I106:AB106)/AVERAGE(終値!I106:AB106),""))</f>
      </c>
      <c r="G106" s="684">
        <f>IF(終値!A106="","",IFERROR(4*STDEVP(終値!J106:AC106)/AVERAGE(終値!J106:AC106),""))</f>
      </c>
      <c r="H106" s="684">
        <f>IF(終値!A106="","",IFERROR(4*STDEVP(終値!K106:AD106)/AVERAGE(終値!K106:AD106),""))</f>
      </c>
      <c r="I106" s="684">
        <f>IF(終値!A106="","",IFERROR(4*STDEVP(終値!L106:AE106)/AVERAGE(終値!L106:AE106),""))</f>
      </c>
      <c r="J106" s="684">
        <f>IF(終値!A106="","",IFERROR(4*STDEVP(終値!M106:AF106)/AVERAGE(終値!M106:AF106),""))</f>
      </c>
      <c r="K106" s="684">
        <f>IF(終値!A106="","",IFERROR(4*STDEVP(終値!N106:AG106)/AVERAGE(終値!N106:AG106),""))</f>
      </c>
      <c r="L106" s="684">
        <f>IF(終値!A106="","",IFERROR(4*STDEVP(終値!O106:AH106)/AVERAGE(終値!O106:AH106),""))</f>
      </c>
      <c r="M106" s="684">
        <f>IF(終値!A106="","",IFERROR(4*STDEVP(終値!P106:AI106)/AVERAGE(終値!P106:AI106),""))</f>
      </c>
      <c r="N106" s="684">
        <f>IF(終値!A106="","",IFERROR(4*STDEVP(終値!Q106:AJ106)/AVERAGE(終値!Q106:AJ106),""))</f>
      </c>
      <c r="O106" s="684">
        <f>IF(終値!A106="","",IFERROR(4*STDEVP(終値!R106:AK106)/AVERAGE(終値!R106:AK106),""))</f>
      </c>
      <c r="P106" s="684">
        <f>IF(終値!A106="","",IFERROR(4*STDEVP(終値!S106:AL106)/AVERAGE(終値!S106:AL106),""))</f>
      </c>
      <c r="Q106" s="684">
        <f>IF(終値!A106="","",IFERROR(4*STDEVP(終値!T106:AM106)/AVERAGE(終値!T106:AM106),""))</f>
      </c>
      <c r="R106" s="684">
        <f>IF(終値!A106="","",IFERROR(4*STDEVP(終値!U106:AN106)/AVERAGE(終値!U106:AN106),""))</f>
      </c>
      <c r="S106" s="684">
        <f>IF(終値!A106="","",IFERROR(4*STDEVP(終値!V106:AO106)/AVERAGE(終値!V106:AO106),""))</f>
      </c>
      <c r="T106" s="684">
        <f>IF(終値!A106="","",IFERROR(4*STDEVP(終値!W106:AP106)/AVERAGE(終値!W106:AP106),""))</f>
      </c>
      <c r="U106" s="684">
        <f>IF(終値!A106="","",IFERROR(4*STDEVP(終値!X106:AQ106)/AVERAGE(終値!X106:AQ106),""))</f>
      </c>
      <c r="V106" s="684">
        <f>IF(終値!A106="","",IFERROR(4*STDEVP(終値!Y106:AR106)/AVERAGE(終値!Y106:AR106),""))</f>
      </c>
      <c r="W106" s="684">
        <f>IF(終値!A106="","",IFERROR(4*STDEVP(終値!Z106:AS106)/AVERAGE(終値!Z106:AS106),""))</f>
      </c>
      <c r="X106" s="684">
        <f>IF(終値!A106="","",IFERROR(4*STDEVP(終値!AA106:AT106)/AVERAGE(終値!AA106:AT106),""))</f>
      </c>
      <c r="Y106" s="684">
        <f>IF(終値!A106="","",IFERROR(4*STDEVP(終値!AB106:AU106)/AVERAGE(終値!AB106:AU106),""))</f>
      </c>
      <c r="Z106" s="684">
        <f>IF(終値!A106="","",IFERROR(4*STDEVP(終値!AC106:AV106)/AVERAGE(終値!AC106:AV106),""))</f>
      </c>
      <c r="AA106" s="684">
        <f>IF(終値!A106="","",IFERROR(4*STDEVP(終値!AD106:AW106)/AVERAGE(終値!AD106:AW106),""))</f>
      </c>
      <c r="AB106" s="684">
        <f>IF(終値!A106="","",IFERROR(4*STDEVP(終値!AE106:AX106)/AVERAGE(終値!AE106:AX106),""))</f>
      </c>
      <c r="AC106" s="684">
        <f>IF(終値!A106="","",IFERROR(4*STDEVP(終値!AF106:AY106)/AVERAGE(終値!AF106:AY106),""))</f>
      </c>
      <c r="AD106" s="684">
        <f>IF(終値!A106="","",IFERROR(4*STDEVP(終値!AG106:AZ106)/AVERAGE(終値!AG106:AZ106),""))</f>
      </c>
      <c r="AE106" s="684">
        <f>IF(終値!A106="","",IFERROR(4*STDEVP(終値!AH106:BA106)/AVERAGE(終値!AH106:BA106),""))</f>
      </c>
      <c r="AF106" s="684">
        <f>IF(終値!A106="","",IFERROR(4*STDEVP(終値!AI106:BB106)/AVERAGE(終値!AI106:BB106),""))</f>
      </c>
      <c r="AG106" s="684">
        <f>IF(終値!A106="","",IFERROR(4*STDEVP(終値!AJ106:BC106)/AVERAGE(終値!AJ106:BC106),""))</f>
      </c>
      <c r="AH106" s="684">
        <f>IF(終値!A106="","",IFERROR(4*STDEVP(終値!AK106:BD106)/AVERAGE(終値!AK106:BD106),""))</f>
      </c>
      <c r="AI106" s="684">
        <f>IF(終値!A106="","",IFERROR(4*STDEVP(終値!AL106:BE106)/AVERAGE(終値!AL106:BE106),""))</f>
      </c>
      <c r="AJ106" s="684">
        <f>IF(終値!A106="","",IFERROR(4*STDEVP(終値!AM106:BF106)/AVERAGE(終値!AM106:BF106),""))</f>
      </c>
      <c r="AK106" s="684">
        <f>IF(終値!A106="","",IFERROR(4*STDEVP(終値!AN106:BG106)/AVERAGE(終値!AN106:BG106),""))</f>
      </c>
      <c r="AL106" s="684">
        <f>IF(終値!A106="","",IFERROR(4*STDEVP(終値!AO106:BH106)/AVERAGE(終値!AO106:BH106),""))</f>
      </c>
      <c r="AM106" s="684">
        <f>IF(終値!A106="","",IFERROR(4*STDEVP(終値!AP106:BI106)/AVERAGE(終値!AP106:BI106),""))</f>
      </c>
      <c r="AN106" s="684">
        <f>IF(終値!A106="","",IFERROR(4*STDEVP(終値!AQ106:BJ106)/AVERAGE(終値!AQ106:BJ106),""))</f>
      </c>
      <c r="AO106" s="684">
        <f>IF(終値!A106="","",IFERROR(4*STDEVP(終値!AR106:BK106)/AVERAGE(終値!AR106:BK106),""))</f>
      </c>
      <c r="AP106" s="684">
        <f>IF(終値!A106="","",IFERROR(4*STDEVP(終値!AS106:BL106)/AVERAGE(終値!AS106:BL106),""))</f>
      </c>
    </row>
    <row r="107">
      <c r="A107" s="681">
        <f>IF(終値!A107="","",終値!A107)</f>
      </c>
      <c r="B107" s="684">
        <f>IF(終値!A107="","",IFERROR(4*STDEVP(終値!E107:X107)/AVERAGE(終値!E107:X107),""))</f>
      </c>
      <c r="C107" s="684">
        <f>IF(終値!A107="","",IFERROR(4*STDEVP(終値!F107:Y107)/AVERAGE(終値!F107:Y107),""))</f>
      </c>
      <c r="D107" s="684">
        <f>IF(終値!A107="","",IFERROR(4*STDEVP(終値!G107:Z107)/AVERAGE(終値!G107:Z107),""))</f>
      </c>
      <c r="E107" s="684">
        <f>IF(終値!A107="","",IFERROR(4*STDEVP(終値!H107:AA107)/AVERAGE(終値!H107:AA107),""))</f>
      </c>
      <c r="F107" s="684">
        <f>IF(終値!A107="","",IFERROR(4*STDEVP(終値!I107:AB107)/AVERAGE(終値!I107:AB107),""))</f>
      </c>
      <c r="G107" s="684">
        <f>IF(終値!A107="","",IFERROR(4*STDEVP(終値!J107:AC107)/AVERAGE(終値!J107:AC107),""))</f>
      </c>
      <c r="H107" s="684">
        <f>IF(終値!A107="","",IFERROR(4*STDEVP(終値!K107:AD107)/AVERAGE(終値!K107:AD107),""))</f>
      </c>
      <c r="I107" s="684">
        <f>IF(終値!A107="","",IFERROR(4*STDEVP(終値!L107:AE107)/AVERAGE(終値!L107:AE107),""))</f>
      </c>
      <c r="J107" s="684">
        <f>IF(終値!A107="","",IFERROR(4*STDEVP(終値!M107:AF107)/AVERAGE(終値!M107:AF107),""))</f>
      </c>
      <c r="K107" s="684">
        <f>IF(終値!A107="","",IFERROR(4*STDEVP(終値!N107:AG107)/AVERAGE(終値!N107:AG107),""))</f>
      </c>
      <c r="L107" s="684">
        <f>IF(終値!A107="","",IFERROR(4*STDEVP(終値!O107:AH107)/AVERAGE(終値!O107:AH107),""))</f>
      </c>
      <c r="M107" s="684">
        <f>IF(終値!A107="","",IFERROR(4*STDEVP(終値!P107:AI107)/AVERAGE(終値!P107:AI107),""))</f>
      </c>
      <c r="N107" s="684">
        <f>IF(終値!A107="","",IFERROR(4*STDEVP(終値!Q107:AJ107)/AVERAGE(終値!Q107:AJ107),""))</f>
      </c>
      <c r="O107" s="684">
        <f>IF(終値!A107="","",IFERROR(4*STDEVP(終値!R107:AK107)/AVERAGE(終値!R107:AK107),""))</f>
      </c>
      <c r="P107" s="684">
        <f>IF(終値!A107="","",IFERROR(4*STDEVP(終値!S107:AL107)/AVERAGE(終値!S107:AL107),""))</f>
      </c>
      <c r="Q107" s="684">
        <f>IF(終値!A107="","",IFERROR(4*STDEVP(終値!T107:AM107)/AVERAGE(終値!T107:AM107),""))</f>
      </c>
      <c r="R107" s="684">
        <f>IF(終値!A107="","",IFERROR(4*STDEVP(終値!U107:AN107)/AVERAGE(終値!U107:AN107),""))</f>
      </c>
      <c r="S107" s="684">
        <f>IF(終値!A107="","",IFERROR(4*STDEVP(終値!V107:AO107)/AVERAGE(終値!V107:AO107),""))</f>
      </c>
      <c r="T107" s="684">
        <f>IF(終値!A107="","",IFERROR(4*STDEVP(終値!W107:AP107)/AVERAGE(終値!W107:AP107),""))</f>
      </c>
      <c r="U107" s="684">
        <f>IF(終値!A107="","",IFERROR(4*STDEVP(終値!X107:AQ107)/AVERAGE(終値!X107:AQ107),""))</f>
      </c>
      <c r="V107" s="684">
        <f>IF(終値!A107="","",IFERROR(4*STDEVP(終値!Y107:AR107)/AVERAGE(終値!Y107:AR107),""))</f>
      </c>
      <c r="W107" s="684">
        <f>IF(終値!A107="","",IFERROR(4*STDEVP(終値!Z107:AS107)/AVERAGE(終値!Z107:AS107),""))</f>
      </c>
      <c r="X107" s="684">
        <f>IF(終値!A107="","",IFERROR(4*STDEVP(終値!AA107:AT107)/AVERAGE(終値!AA107:AT107),""))</f>
      </c>
      <c r="Y107" s="684">
        <f>IF(終値!A107="","",IFERROR(4*STDEVP(終値!AB107:AU107)/AVERAGE(終値!AB107:AU107),""))</f>
      </c>
      <c r="Z107" s="684">
        <f>IF(終値!A107="","",IFERROR(4*STDEVP(終値!AC107:AV107)/AVERAGE(終値!AC107:AV107),""))</f>
      </c>
      <c r="AA107" s="684">
        <f>IF(終値!A107="","",IFERROR(4*STDEVP(終値!AD107:AW107)/AVERAGE(終値!AD107:AW107),""))</f>
      </c>
      <c r="AB107" s="684">
        <f>IF(終値!A107="","",IFERROR(4*STDEVP(終値!AE107:AX107)/AVERAGE(終値!AE107:AX107),""))</f>
      </c>
      <c r="AC107" s="684">
        <f>IF(終値!A107="","",IFERROR(4*STDEVP(終値!AF107:AY107)/AVERAGE(終値!AF107:AY107),""))</f>
      </c>
      <c r="AD107" s="684">
        <f>IF(終値!A107="","",IFERROR(4*STDEVP(終値!AG107:AZ107)/AVERAGE(終値!AG107:AZ107),""))</f>
      </c>
      <c r="AE107" s="684">
        <f>IF(終値!A107="","",IFERROR(4*STDEVP(終値!AH107:BA107)/AVERAGE(終値!AH107:BA107),""))</f>
      </c>
      <c r="AF107" s="684">
        <f>IF(終値!A107="","",IFERROR(4*STDEVP(終値!AI107:BB107)/AVERAGE(終値!AI107:BB107),""))</f>
      </c>
      <c r="AG107" s="684">
        <f>IF(終値!A107="","",IFERROR(4*STDEVP(終値!AJ107:BC107)/AVERAGE(終値!AJ107:BC107),""))</f>
      </c>
      <c r="AH107" s="684">
        <f>IF(終値!A107="","",IFERROR(4*STDEVP(終値!AK107:BD107)/AVERAGE(終値!AK107:BD107),""))</f>
      </c>
      <c r="AI107" s="684">
        <f>IF(終値!A107="","",IFERROR(4*STDEVP(終値!AL107:BE107)/AVERAGE(終値!AL107:BE107),""))</f>
      </c>
      <c r="AJ107" s="684">
        <f>IF(終値!A107="","",IFERROR(4*STDEVP(終値!AM107:BF107)/AVERAGE(終値!AM107:BF107),""))</f>
      </c>
      <c r="AK107" s="684">
        <f>IF(終値!A107="","",IFERROR(4*STDEVP(終値!AN107:BG107)/AVERAGE(終値!AN107:BG107),""))</f>
      </c>
      <c r="AL107" s="684">
        <f>IF(終値!A107="","",IFERROR(4*STDEVP(終値!AO107:BH107)/AVERAGE(終値!AO107:BH107),""))</f>
      </c>
      <c r="AM107" s="684">
        <f>IF(終値!A107="","",IFERROR(4*STDEVP(終値!AP107:BI107)/AVERAGE(終値!AP107:BI107),""))</f>
      </c>
      <c r="AN107" s="684">
        <f>IF(終値!A107="","",IFERROR(4*STDEVP(終値!AQ107:BJ107)/AVERAGE(終値!AQ107:BJ107),""))</f>
      </c>
      <c r="AO107" s="684">
        <f>IF(終値!A107="","",IFERROR(4*STDEVP(終値!AR107:BK107)/AVERAGE(終値!AR107:BK107),""))</f>
      </c>
      <c r="AP107" s="684">
        <f>IF(終値!A107="","",IFERROR(4*STDEVP(終値!AS107:BL107)/AVERAGE(終値!AS107:BL107),""))</f>
      </c>
    </row>
    <row r="108">
      <c r="A108" s="681">
        <f>IF(終値!A108="","",終値!A108)</f>
      </c>
      <c r="B108" s="684">
        <f>IF(終値!A108="","",IFERROR(4*STDEVP(終値!E108:X108)/AVERAGE(終値!E108:X108),""))</f>
      </c>
      <c r="C108" s="684">
        <f>IF(終値!A108="","",IFERROR(4*STDEVP(終値!F108:Y108)/AVERAGE(終値!F108:Y108),""))</f>
      </c>
      <c r="D108" s="684">
        <f>IF(終値!A108="","",IFERROR(4*STDEVP(終値!G108:Z108)/AVERAGE(終値!G108:Z108),""))</f>
      </c>
      <c r="E108" s="684">
        <f>IF(終値!A108="","",IFERROR(4*STDEVP(終値!H108:AA108)/AVERAGE(終値!H108:AA108),""))</f>
      </c>
      <c r="F108" s="684">
        <f>IF(終値!A108="","",IFERROR(4*STDEVP(終値!I108:AB108)/AVERAGE(終値!I108:AB108),""))</f>
      </c>
      <c r="G108" s="684">
        <f>IF(終値!A108="","",IFERROR(4*STDEVP(終値!J108:AC108)/AVERAGE(終値!J108:AC108),""))</f>
      </c>
      <c r="H108" s="684">
        <f>IF(終値!A108="","",IFERROR(4*STDEVP(終値!K108:AD108)/AVERAGE(終値!K108:AD108),""))</f>
      </c>
      <c r="I108" s="684">
        <f>IF(終値!A108="","",IFERROR(4*STDEVP(終値!L108:AE108)/AVERAGE(終値!L108:AE108),""))</f>
      </c>
      <c r="J108" s="684">
        <f>IF(終値!A108="","",IFERROR(4*STDEVP(終値!M108:AF108)/AVERAGE(終値!M108:AF108),""))</f>
      </c>
      <c r="K108" s="684">
        <f>IF(終値!A108="","",IFERROR(4*STDEVP(終値!N108:AG108)/AVERAGE(終値!N108:AG108),""))</f>
      </c>
      <c r="L108" s="684">
        <f>IF(終値!A108="","",IFERROR(4*STDEVP(終値!O108:AH108)/AVERAGE(終値!O108:AH108),""))</f>
      </c>
      <c r="M108" s="684">
        <f>IF(終値!A108="","",IFERROR(4*STDEVP(終値!P108:AI108)/AVERAGE(終値!P108:AI108),""))</f>
      </c>
      <c r="N108" s="684">
        <f>IF(終値!A108="","",IFERROR(4*STDEVP(終値!Q108:AJ108)/AVERAGE(終値!Q108:AJ108),""))</f>
      </c>
      <c r="O108" s="684">
        <f>IF(終値!A108="","",IFERROR(4*STDEVP(終値!R108:AK108)/AVERAGE(終値!R108:AK108),""))</f>
      </c>
      <c r="P108" s="684">
        <f>IF(終値!A108="","",IFERROR(4*STDEVP(終値!S108:AL108)/AVERAGE(終値!S108:AL108),""))</f>
      </c>
      <c r="Q108" s="684">
        <f>IF(終値!A108="","",IFERROR(4*STDEVP(終値!T108:AM108)/AVERAGE(終値!T108:AM108),""))</f>
      </c>
      <c r="R108" s="684">
        <f>IF(終値!A108="","",IFERROR(4*STDEVP(終値!U108:AN108)/AVERAGE(終値!U108:AN108),""))</f>
      </c>
      <c r="S108" s="684">
        <f>IF(終値!A108="","",IFERROR(4*STDEVP(終値!V108:AO108)/AVERAGE(終値!V108:AO108),""))</f>
      </c>
      <c r="T108" s="684">
        <f>IF(終値!A108="","",IFERROR(4*STDEVP(終値!W108:AP108)/AVERAGE(終値!W108:AP108),""))</f>
      </c>
      <c r="U108" s="684">
        <f>IF(終値!A108="","",IFERROR(4*STDEVP(終値!X108:AQ108)/AVERAGE(終値!X108:AQ108),""))</f>
      </c>
      <c r="V108" s="684">
        <f>IF(終値!A108="","",IFERROR(4*STDEVP(終値!Y108:AR108)/AVERAGE(終値!Y108:AR108),""))</f>
      </c>
      <c r="W108" s="684">
        <f>IF(終値!A108="","",IFERROR(4*STDEVP(終値!Z108:AS108)/AVERAGE(終値!Z108:AS108),""))</f>
      </c>
      <c r="X108" s="684">
        <f>IF(終値!A108="","",IFERROR(4*STDEVP(終値!AA108:AT108)/AVERAGE(終値!AA108:AT108),""))</f>
      </c>
      <c r="Y108" s="684">
        <f>IF(終値!A108="","",IFERROR(4*STDEVP(終値!AB108:AU108)/AVERAGE(終値!AB108:AU108),""))</f>
      </c>
      <c r="Z108" s="684">
        <f>IF(終値!A108="","",IFERROR(4*STDEVP(終値!AC108:AV108)/AVERAGE(終値!AC108:AV108),""))</f>
      </c>
      <c r="AA108" s="684">
        <f>IF(終値!A108="","",IFERROR(4*STDEVP(終値!AD108:AW108)/AVERAGE(終値!AD108:AW108),""))</f>
      </c>
      <c r="AB108" s="684">
        <f>IF(終値!A108="","",IFERROR(4*STDEVP(終値!AE108:AX108)/AVERAGE(終値!AE108:AX108),""))</f>
      </c>
      <c r="AC108" s="684">
        <f>IF(終値!A108="","",IFERROR(4*STDEVP(終値!AF108:AY108)/AVERAGE(終値!AF108:AY108),""))</f>
      </c>
      <c r="AD108" s="684">
        <f>IF(終値!A108="","",IFERROR(4*STDEVP(終値!AG108:AZ108)/AVERAGE(終値!AG108:AZ108),""))</f>
      </c>
      <c r="AE108" s="684">
        <f>IF(終値!A108="","",IFERROR(4*STDEVP(終値!AH108:BA108)/AVERAGE(終値!AH108:BA108),""))</f>
      </c>
      <c r="AF108" s="684">
        <f>IF(終値!A108="","",IFERROR(4*STDEVP(終値!AI108:BB108)/AVERAGE(終値!AI108:BB108),""))</f>
      </c>
      <c r="AG108" s="684">
        <f>IF(終値!A108="","",IFERROR(4*STDEVP(終値!AJ108:BC108)/AVERAGE(終値!AJ108:BC108),""))</f>
      </c>
      <c r="AH108" s="684">
        <f>IF(終値!A108="","",IFERROR(4*STDEVP(終値!AK108:BD108)/AVERAGE(終値!AK108:BD108),""))</f>
      </c>
      <c r="AI108" s="684">
        <f>IF(終値!A108="","",IFERROR(4*STDEVP(終値!AL108:BE108)/AVERAGE(終値!AL108:BE108),""))</f>
      </c>
      <c r="AJ108" s="684">
        <f>IF(終値!A108="","",IFERROR(4*STDEVP(終値!AM108:BF108)/AVERAGE(終値!AM108:BF108),""))</f>
      </c>
      <c r="AK108" s="684">
        <f>IF(終値!A108="","",IFERROR(4*STDEVP(終値!AN108:BG108)/AVERAGE(終値!AN108:BG108),""))</f>
      </c>
      <c r="AL108" s="684">
        <f>IF(終値!A108="","",IFERROR(4*STDEVP(終値!AO108:BH108)/AVERAGE(終値!AO108:BH108),""))</f>
      </c>
      <c r="AM108" s="684">
        <f>IF(終値!A108="","",IFERROR(4*STDEVP(終値!AP108:BI108)/AVERAGE(終値!AP108:BI108),""))</f>
      </c>
      <c r="AN108" s="684">
        <f>IF(終値!A108="","",IFERROR(4*STDEVP(終値!AQ108:BJ108)/AVERAGE(終値!AQ108:BJ108),""))</f>
      </c>
      <c r="AO108" s="684">
        <f>IF(終値!A108="","",IFERROR(4*STDEVP(終値!AR108:BK108)/AVERAGE(終値!AR108:BK108),""))</f>
      </c>
      <c r="AP108" s="684">
        <f>IF(終値!A108="","",IFERROR(4*STDEVP(終値!AS108:BL108)/AVERAGE(終値!AS108:BL108),""))</f>
      </c>
    </row>
    <row r="109">
      <c r="A109" s="681">
        <f>IF(終値!A109="","",終値!A109)</f>
      </c>
      <c r="B109" s="684">
        <f>IF(終値!A109="","",IFERROR(4*STDEVP(終値!E109:X109)/AVERAGE(終値!E109:X109),""))</f>
      </c>
      <c r="C109" s="684">
        <f>IF(終値!A109="","",IFERROR(4*STDEVP(終値!F109:Y109)/AVERAGE(終値!F109:Y109),""))</f>
      </c>
      <c r="D109" s="684">
        <f>IF(終値!A109="","",IFERROR(4*STDEVP(終値!G109:Z109)/AVERAGE(終値!G109:Z109),""))</f>
      </c>
      <c r="E109" s="684">
        <f>IF(終値!A109="","",IFERROR(4*STDEVP(終値!H109:AA109)/AVERAGE(終値!H109:AA109),""))</f>
      </c>
      <c r="F109" s="684">
        <f>IF(終値!A109="","",IFERROR(4*STDEVP(終値!I109:AB109)/AVERAGE(終値!I109:AB109),""))</f>
      </c>
      <c r="G109" s="684">
        <f>IF(終値!A109="","",IFERROR(4*STDEVP(終値!J109:AC109)/AVERAGE(終値!J109:AC109),""))</f>
      </c>
      <c r="H109" s="684">
        <f>IF(終値!A109="","",IFERROR(4*STDEVP(終値!K109:AD109)/AVERAGE(終値!K109:AD109),""))</f>
      </c>
      <c r="I109" s="684">
        <f>IF(終値!A109="","",IFERROR(4*STDEVP(終値!L109:AE109)/AVERAGE(終値!L109:AE109),""))</f>
      </c>
      <c r="J109" s="684">
        <f>IF(終値!A109="","",IFERROR(4*STDEVP(終値!M109:AF109)/AVERAGE(終値!M109:AF109),""))</f>
      </c>
      <c r="K109" s="684">
        <f>IF(終値!A109="","",IFERROR(4*STDEVP(終値!N109:AG109)/AVERAGE(終値!N109:AG109),""))</f>
      </c>
      <c r="L109" s="684">
        <f>IF(終値!A109="","",IFERROR(4*STDEVP(終値!O109:AH109)/AVERAGE(終値!O109:AH109),""))</f>
      </c>
      <c r="M109" s="684">
        <f>IF(終値!A109="","",IFERROR(4*STDEVP(終値!P109:AI109)/AVERAGE(終値!P109:AI109),""))</f>
      </c>
      <c r="N109" s="684">
        <f>IF(終値!A109="","",IFERROR(4*STDEVP(終値!Q109:AJ109)/AVERAGE(終値!Q109:AJ109),""))</f>
      </c>
      <c r="O109" s="684">
        <f>IF(終値!A109="","",IFERROR(4*STDEVP(終値!R109:AK109)/AVERAGE(終値!R109:AK109),""))</f>
      </c>
      <c r="P109" s="684">
        <f>IF(終値!A109="","",IFERROR(4*STDEVP(終値!S109:AL109)/AVERAGE(終値!S109:AL109),""))</f>
      </c>
      <c r="Q109" s="684">
        <f>IF(終値!A109="","",IFERROR(4*STDEVP(終値!T109:AM109)/AVERAGE(終値!T109:AM109),""))</f>
      </c>
      <c r="R109" s="684">
        <f>IF(終値!A109="","",IFERROR(4*STDEVP(終値!U109:AN109)/AVERAGE(終値!U109:AN109),""))</f>
      </c>
      <c r="S109" s="684">
        <f>IF(終値!A109="","",IFERROR(4*STDEVP(終値!V109:AO109)/AVERAGE(終値!V109:AO109),""))</f>
      </c>
      <c r="T109" s="684">
        <f>IF(終値!A109="","",IFERROR(4*STDEVP(終値!W109:AP109)/AVERAGE(終値!W109:AP109),""))</f>
      </c>
      <c r="U109" s="684">
        <f>IF(終値!A109="","",IFERROR(4*STDEVP(終値!X109:AQ109)/AVERAGE(終値!X109:AQ109),""))</f>
      </c>
      <c r="V109" s="684">
        <f>IF(終値!A109="","",IFERROR(4*STDEVP(終値!Y109:AR109)/AVERAGE(終値!Y109:AR109),""))</f>
      </c>
      <c r="W109" s="684">
        <f>IF(終値!A109="","",IFERROR(4*STDEVP(終値!Z109:AS109)/AVERAGE(終値!Z109:AS109),""))</f>
      </c>
      <c r="X109" s="684">
        <f>IF(終値!A109="","",IFERROR(4*STDEVP(終値!AA109:AT109)/AVERAGE(終値!AA109:AT109),""))</f>
      </c>
      <c r="Y109" s="684">
        <f>IF(終値!A109="","",IFERROR(4*STDEVP(終値!AB109:AU109)/AVERAGE(終値!AB109:AU109),""))</f>
      </c>
      <c r="Z109" s="684">
        <f>IF(終値!A109="","",IFERROR(4*STDEVP(終値!AC109:AV109)/AVERAGE(終値!AC109:AV109),""))</f>
      </c>
      <c r="AA109" s="684">
        <f>IF(終値!A109="","",IFERROR(4*STDEVP(終値!AD109:AW109)/AVERAGE(終値!AD109:AW109),""))</f>
      </c>
      <c r="AB109" s="684">
        <f>IF(終値!A109="","",IFERROR(4*STDEVP(終値!AE109:AX109)/AVERAGE(終値!AE109:AX109),""))</f>
      </c>
      <c r="AC109" s="684">
        <f>IF(終値!A109="","",IFERROR(4*STDEVP(終値!AF109:AY109)/AVERAGE(終値!AF109:AY109),""))</f>
      </c>
      <c r="AD109" s="684">
        <f>IF(終値!A109="","",IFERROR(4*STDEVP(終値!AG109:AZ109)/AVERAGE(終値!AG109:AZ109),""))</f>
      </c>
      <c r="AE109" s="684">
        <f>IF(終値!A109="","",IFERROR(4*STDEVP(終値!AH109:BA109)/AVERAGE(終値!AH109:BA109),""))</f>
      </c>
      <c r="AF109" s="684">
        <f>IF(終値!A109="","",IFERROR(4*STDEVP(終値!AI109:BB109)/AVERAGE(終値!AI109:BB109),""))</f>
      </c>
      <c r="AG109" s="684">
        <f>IF(終値!A109="","",IFERROR(4*STDEVP(終値!AJ109:BC109)/AVERAGE(終値!AJ109:BC109),""))</f>
      </c>
      <c r="AH109" s="684">
        <f>IF(終値!A109="","",IFERROR(4*STDEVP(終値!AK109:BD109)/AVERAGE(終値!AK109:BD109),""))</f>
      </c>
      <c r="AI109" s="684">
        <f>IF(終値!A109="","",IFERROR(4*STDEVP(終値!AL109:BE109)/AVERAGE(終値!AL109:BE109),""))</f>
      </c>
      <c r="AJ109" s="684">
        <f>IF(終値!A109="","",IFERROR(4*STDEVP(終値!AM109:BF109)/AVERAGE(終値!AM109:BF109),""))</f>
      </c>
      <c r="AK109" s="684">
        <f>IF(終値!A109="","",IFERROR(4*STDEVP(終値!AN109:BG109)/AVERAGE(終値!AN109:BG109),""))</f>
      </c>
      <c r="AL109" s="684">
        <f>IF(終値!A109="","",IFERROR(4*STDEVP(終値!AO109:BH109)/AVERAGE(終値!AO109:BH109),""))</f>
      </c>
      <c r="AM109" s="684">
        <f>IF(終値!A109="","",IFERROR(4*STDEVP(終値!AP109:BI109)/AVERAGE(終値!AP109:BI109),""))</f>
      </c>
      <c r="AN109" s="684">
        <f>IF(終値!A109="","",IFERROR(4*STDEVP(終値!AQ109:BJ109)/AVERAGE(終値!AQ109:BJ109),""))</f>
      </c>
      <c r="AO109" s="684">
        <f>IF(終値!A109="","",IFERROR(4*STDEVP(終値!AR109:BK109)/AVERAGE(終値!AR109:BK109),""))</f>
      </c>
      <c r="AP109" s="684">
        <f>IF(終値!A109="","",IFERROR(4*STDEVP(終値!AS109:BL109)/AVERAGE(終値!AS109:BL109),""))</f>
      </c>
    </row>
    <row r="110">
      <c r="A110" s="681">
        <f>IF(終値!A110="","",終値!A110)</f>
      </c>
      <c r="B110" s="684">
        <f>IF(終値!A110="","",IFERROR(4*STDEVP(終値!E110:X110)/AVERAGE(終値!E110:X110),""))</f>
      </c>
      <c r="C110" s="684">
        <f>IF(終値!A110="","",IFERROR(4*STDEVP(終値!F110:Y110)/AVERAGE(終値!F110:Y110),""))</f>
      </c>
      <c r="D110" s="684">
        <f>IF(終値!A110="","",IFERROR(4*STDEVP(終値!G110:Z110)/AVERAGE(終値!G110:Z110),""))</f>
      </c>
      <c r="E110" s="684">
        <f>IF(終値!A110="","",IFERROR(4*STDEVP(終値!H110:AA110)/AVERAGE(終値!H110:AA110),""))</f>
      </c>
      <c r="F110" s="684">
        <f>IF(終値!A110="","",IFERROR(4*STDEVP(終値!I110:AB110)/AVERAGE(終値!I110:AB110),""))</f>
      </c>
      <c r="G110" s="684">
        <f>IF(終値!A110="","",IFERROR(4*STDEVP(終値!J110:AC110)/AVERAGE(終値!J110:AC110),""))</f>
      </c>
      <c r="H110" s="684">
        <f>IF(終値!A110="","",IFERROR(4*STDEVP(終値!K110:AD110)/AVERAGE(終値!K110:AD110),""))</f>
      </c>
      <c r="I110" s="684">
        <f>IF(終値!A110="","",IFERROR(4*STDEVP(終値!L110:AE110)/AVERAGE(終値!L110:AE110),""))</f>
      </c>
      <c r="J110" s="684">
        <f>IF(終値!A110="","",IFERROR(4*STDEVP(終値!M110:AF110)/AVERAGE(終値!M110:AF110),""))</f>
      </c>
      <c r="K110" s="684">
        <f>IF(終値!A110="","",IFERROR(4*STDEVP(終値!N110:AG110)/AVERAGE(終値!N110:AG110),""))</f>
      </c>
      <c r="L110" s="684">
        <f>IF(終値!A110="","",IFERROR(4*STDEVP(終値!O110:AH110)/AVERAGE(終値!O110:AH110),""))</f>
      </c>
      <c r="M110" s="684">
        <f>IF(終値!A110="","",IFERROR(4*STDEVP(終値!P110:AI110)/AVERAGE(終値!P110:AI110),""))</f>
      </c>
      <c r="N110" s="684">
        <f>IF(終値!A110="","",IFERROR(4*STDEVP(終値!Q110:AJ110)/AVERAGE(終値!Q110:AJ110),""))</f>
      </c>
      <c r="O110" s="684">
        <f>IF(終値!A110="","",IFERROR(4*STDEVP(終値!R110:AK110)/AVERAGE(終値!R110:AK110),""))</f>
      </c>
      <c r="P110" s="684">
        <f>IF(終値!A110="","",IFERROR(4*STDEVP(終値!S110:AL110)/AVERAGE(終値!S110:AL110),""))</f>
      </c>
      <c r="Q110" s="684">
        <f>IF(終値!A110="","",IFERROR(4*STDEVP(終値!T110:AM110)/AVERAGE(終値!T110:AM110),""))</f>
      </c>
      <c r="R110" s="684">
        <f>IF(終値!A110="","",IFERROR(4*STDEVP(終値!U110:AN110)/AVERAGE(終値!U110:AN110),""))</f>
      </c>
      <c r="S110" s="684">
        <f>IF(終値!A110="","",IFERROR(4*STDEVP(終値!V110:AO110)/AVERAGE(終値!V110:AO110),""))</f>
      </c>
      <c r="T110" s="684">
        <f>IF(終値!A110="","",IFERROR(4*STDEVP(終値!W110:AP110)/AVERAGE(終値!W110:AP110),""))</f>
      </c>
      <c r="U110" s="684">
        <f>IF(終値!A110="","",IFERROR(4*STDEVP(終値!X110:AQ110)/AVERAGE(終値!X110:AQ110),""))</f>
      </c>
      <c r="V110" s="684">
        <f>IF(終値!A110="","",IFERROR(4*STDEVP(終値!Y110:AR110)/AVERAGE(終値!Y110:AR110),""))</f>
      </c>
      <c r="W110" s="684">
        <f>IF(終値!A110="","",IFERROR(4*STDEVP(終値!Z110:AS110)/AVERAGE(終値!Z110:AS110),""))</f>
      </c>
      <c r="X110" s="684">
        <f>IF(終値!A110="","",IFERROR(4*STDEVP(終値!AA110:AT110)/AVERAGE(終値!AA110:AT110),""))</f>
      </c>
      <c r="Y110" s="684">
        <f>IF(終値!A110="","",IFERROR(4*STDEVP(終値!AB110:AU110)/AVERAGE(終値!AB110:AU110),""))</f>
      </c>
      <c r="Z110" s="684">
        <f>IF(終値!A110="","",IFERROR(4*STDEVP(終値!AC110:AV110)/AVERAGE(終値!AC110:AV110),""))</f>
      </c>
      <c r="AA110" s="684">
        <f>IF(終値!A110="","",IFERROR(4*STDEVP(終値!AD110:AW110)/AVERAGE(終値!AD110:AW110),""))</f>
      </c>
      <c r="AB110" s="684">
        <f>IF(終値!A110="","",IFERROR(4*STDEVP(終値!AE110:AX110)/AVERAGE(終値!AE110:AX110),""))</f>
      </c>
      <c r="AC110" s="684">
        <f>IF(終値!A110="","",IFERROR(4*STDEVP(終値!AF110:AY110)/AVERAGE(終値!AF110:AY110),""))</f>
      </c>
      <c r="AD110" s="684">
        <f>IF(終値!A110="","",IFERROR(4*STDEVP(終値!AG110:AZ110)/AVERAGE(終値!AG110:AZ110),""))</f>
      </c>
      <c r="AE110" s="684">
        <f>IF(終値!A110="","",IFERROR(4*STDEVP(終値!AH110:BA110)/AVERAGE(終値!AH110:BA110),""))</f>
      </c>
      <c r="AF110" s="684">
        <f>IF(終値!A110="","",IFERROR(4*STDEVP(終値!AI110:BB110)/AVERAGE(終値!AI110:BB110),""))</f>
      </c>
      <c r="AG110" s="684">
        <f>IF(終値!A110="","",IFERROR(4*STDEVP(終値!AJ110:BC110)/AVERAGE(終値!AJ110:BC110),""))</f>
      </c>
      <c r="AH110" s="684">
        <f>IF(終値!A110="","",IFERROR(4*STDEVP(終値!AK110:BD110)/AVERAGE(終値!AK110:BD110),""))</f>
      </c>
      <c r="AI110" s="684">
        <f>IF(終値!A110="","",IFERROR(4*STDEVP(終値!AL110:BE110)/AVERAGE(終値!AL110:BE110),""))</f>
      </c>
      <c r="AJ110" s="684">
        <f>IF(終値!A110="","",IFERROR(4*STDEVP(終値!AM110:BF110)/AVERAGE(終値!AM110:BF110),""))</f>
      </c>
      <c r="AK110" s="684">
        <f>IF(終値!A110="","",IFERROR(4*STDEVP(終値!AN110:BG110)/AVERAGE(終値!AN110:BG110),""))</f>
      </c>
      <c r="AL110" s="684">
        <f>IF(終値!A110="","",IFERROR(4*STDEVP(終値!AO110:BH110)/AVERAGE(終値!AO110:BH110),""))</f>
      </c>
      <c r="AM110" s="684">
        <f>IF(終値!A110="","",IFERROR(4*STDEVP(終値!AP110:BI110)/AVERAGE(終値!AP110:BI110),""))</f>
      </c>
      <c r="AN110" s="684">
        <f>IF(終値!A110="","",IFERROR(4*STDEVP(終値!AQ110:BJ110)/AVERAGE(終値!AQ110:BJ110),""))</f>
      </c>
      <c r="AO110" s="684">
        <f>IF(終値!A110="","",IFERROR(4*STDEVP(終値!AR110:BK110)/AVERAGE(終値!AR110:BK110),""))</f>
      </c>
      <c r="AP110" s="684">
        <f>IF(終値!A110="","",IFERROR(4*STDEVP(終値!AS110:BL110)/AVERAGE(終値!AS110:BL110),""))</f>
      </c>
    </row>
    <row r="111">
      <c r="A111" s="681">
        <f>IF(終値!A111="","",終値!A111)</f>
      </c>
      <c r="B111" s="684">
        <f>IF(終値!A111="","",IFERROR(4*STDEVP(終値!E111:X111)/AVERAGE(終値!E111:X111),""))</f>
      </c>
      <c r="C111" s="684">
        <f>IF(終値!A111="","",IFERROR(4*STDEVP(終値!F111:Y111)/AVERAGE(終値!F111:Y111),""))</f>
      </c>
      <c r="D111" s="684">
        <f>IF(終値!A111="","",IFERROR(4*STDEVP(終値!G111:Z111)/AVERAGE(終値!G111:Z111),""))</f>
      </c>
      <c r="E111" s="684">
        <f>IF(終値!A111="","",IFERROR(4*STDEVP(終値!H111:AA111)/AVERAGE(終値!H111:AA111),""))</f>
      </c>
      <c r="F111" s="684">
        <f>IF(終値!A111="","",IFERROR(4*STDEVP(終値!I111:AB111)/AVERAGE(終値!I111:AB111),""))</f>
      </c>
      <c r="G111" s="684">
        <f>IF(終値!A111="","",IFERROR(4*STDEVP(終値!J111:AC111)/AVERAGE(終値!J111:AC111),""))</f>
      </c>
      <c r="H111" s="684">
        <f>IF(終値!A111="","",IFERROR(4*STDEVP(終値!K111:AD111)/AVERAGE(終値!K111:AD111),""))</f>
      </c>
      <c r="I111" s="684">
        <f>IF(終値!A111="","",IFERROR(4*STDEVP(終値!L111:AE111)/AVERAGE(終値!L111:AE111),""))</f>
      </c>
      <c r="J111" s="684">
        <f>IF(終値!A111="","",IFERROR(4*STDEVP(終値!M111:AF111)/AVERAGE(終値!M111:AF111),""))</f>
      </c>
      <c r="K111" s="684">
        <f>IF(終値!A111="","",IFERROR(4*STDEVP(終値!N111:AG111)/AVERAGE(終値!N111:AG111),""))</f>
      </c>
      <c r="L111" s="684">
        <f>IF(終値!A111="","",IFERROR(4*STDEVP(終値!O111:AH111)/AVERAGE(終値!O111:AH111),""))</f>
      </c>
      <c r="M111" s="684">
        <f>IF(終値!A111="","",IFERROR(4*STDEVP(終値!P111:AI111)/AVERAGE(終値!P111:AI111),""))</f>
      </c>
      <c r="N111" s="684">
        <f>IF(終値!A111="","",IFERROR(4*STDEVP(終値!Q111:AJ111)/AVERAGE(終値!Q111:AJ111),""))</f>
      </c>
      <c r="O111" s="684">
        <f>IF(終値!A111="","",IFERROR(4*STDEVP(終値!R111:AK111)/AVERAGE(終値!R111:AK111),""))</f>
      </c>
      <c r="P111" s="684">
        <f>IF(終値!A111="","",IFERROR(4*STDEVP(終値!S111:AL111)/AVERAGE(終値!S111:AL111),""))</f>
      </c>
      <c r="Q111" s="684">
        <f>IF(終値!A111="","",IFERROR(4*STDEVP(終値!T111:AM111)/AVERAGE(終値!T111:AM111),""))</f>
      </c>
      <c r="R111" s="684">
        <f>IF(終値!A111="","",IFERROR(4*STDEVP(終値!U111:AN111)/AVERAGE(終値!U111:AN111),""))</f>
      </c>
      <c r="S111" s="684">
        <f>IF(終値!A111="","",IFERROR(4*STDEVP(終値!V111:AO111)/AVERAGE(終値!V111:AO111),""))</f>
      </c>
      <c r="T111" s="684">
        <f>IF(終値!A111="","",IFERROR(4*STDEVP(終値!W111:AP111)/AVERAGE(終値!W111:AP111),""))</f>
      </c>
      <c r="U111" s="684">
        <f>IF(終値!A111="","",IFERROR(4*STDEVP(終値!X111:AQ111)/AVERAGE(終値!X111:AQ111),""))</f>
      </c>
      <c r="V111" s="684">
        <f>IF(終値!A111="","",IFERROR(4*STDEVP(終値!Y111:AR111)/AVERAGE(終値!Y111:AR111),""))</f>
      </c>
      <c r="W111" s="684">
        <f>IF(終値!A111="","",IFERROR(4*STDEVP(終値!Z111:AS111)/AVERAGE(終値!Z111:AS111),""))</f>
      </c>
      <c r="X111" s="684">
        <f>IF(終値!A111="","",IFERROR(4*STDEVP(終値!AA111:AT111)/AVERAGE(終値!AA111:AT111),""))</f>
      </c>
      <c r="Y111" s="684">
        <f>IF(終値!A111="","",IFERROR(4*STDEVP(終値!AB111:AU111)/AVERAGE(終値!AB111:AU111),""))</f>
      </c>
      <c r="Z111" s="684">
        <f>IF(終値!A111="","",IFERROR(4*STDEVP(終値!AC111:AV111)/AVERAGE(終値!AC111:AV111),""))</f>
      </c>
      <c r="AA111" s="684">
        <f>IF(終値!A111="","",IFERROR(4*STDEVP(終値!AD111:AW111)/AVERAGE(終値!AD111:AW111),""))</f>
      </c>
      <c r="AB111" s="684">
        <f>IF(終値!A111="","",IFERROR(4*STDEVP(終値!AE111:AX111)/AVERAGE(終値!AE111:AX111),""))</f>
      </c>
      <c r="AC111" s="684">
        <f>IF(終値!A111="","",IFERROR(4*STDEVP(終値!AF111:AY111)/AVERAGE(終値!AF111:AY111),""))</f>
      </c>
      <c r="AD111" s="684">
        <f>IF(終値!A111="","",IFERROR(4*STDEVP(終値!AG111:AZ111)/AVERAGE(終値!AG111:AZ111),""))</f>
      </c>
      <c r="AE111" s="684">
        <f>IF(終値!A111="","",IFERROR(4*STDEVP(終値!AH111:BA111)/AVERAGE(終値!AH111:BA111),""))</f>
      </c>
      <c r="AF111" s="684">
        <f>IF(終値!A111="","",IFERROR(4*STDEVP(終値!AI111:BB111)/AVERAGE(終値!AI111:BB111),""))</f>
      </c>
      <c r="AG111" s="684">
        <f>IF(終値!A111="","",IFERROR(4*STDEVP(終値!AJ111:BC111)/AVERAGE(終値!AJ111:BC111),""))</f>
      </c>
      <c r="AH111" s="684">
        <f>IF(終値!A111="","",IFERROR(4*STDEVP(終値!AK111:BD111)/AVERAGE(終値!AK111:BD111),""))</f>
      </c>
      <c r="AI111" s="684">
        <f>IF(終値!A111="","",IFERROR(4*STDEVP(終値!AL111:BE111)/AVERAGE(終値!AL111:BE111),""))</f>
      </c>
      <c r="AJ111" s="684">
        <f>IF(終値!A111="","",IFERROR(4*STDEVP(終値!AM111:BF111)/AVERAGE(終値!AM111:BF111),""))</f>
      </c>
      <c r="AK111" s="684">
        <f>IF(終値!A111="","",IFERROR(4*STDEVP(終値!AN111:BG111)/AVERAGE(終値!AN111:BG111),""))</f>
      </c>
      <c r="AL111" s="684">
        <f>IF(終値!A111="","",IFERROR(4*STDEVP(終値!AO111:BH111)/AVERAGE(終値!AO111:BH111),""))</f>
      </c>
      <c r="AM111" s="684">
        <f>IF(終値!A111="","",IFERROR(4*STDEVP(終値!AP111:BI111)/AVERAGE(終値!AP111:BI111),""))</f>
      </c>
      <c r="AN111" s="684">
        <f>IF(終値!A111="","",IFERROR(4*STDEVP(終値!AQ111:BJ111)/AVERAGE(終値!AQ111:BJ111),""))</f>
      </c>
      <c r="AO111" s="684">
        <f>IF(終値!A111="","",IFERROR(4*STDEVP(終値!AR111:BK111)/AVERAGE(終値!AR111:BK111),""))</f>
      </c>
      <c r="AP111" s="684">
        <f>IF(終値!A111="","",IFERROR(4*STDEVP(終値!AS111:BL111)/AVERAGE(終値!AS111:BL111),""))</f>
      </c>
    </row>
    <row r="112">
      <c r="A112" s="681">
        <f>IF(終値!A112="","",終値!A112)</f>
      </c>
      <c r="B112" s="684">
        <f>IF(終値!A112="","",IFERROR(4*STDEVP(終値!E112:X112)/AVERAGE(終値!E112:X112),""))</f>
      </c>
      <c r="C112" s="684">
        <f>IF(終値!A112="","",IFERROR(4*STDEVP(終値!F112:Y112)/AVERAGE(終値!F112:Y112),""))</f>
      </c>
      <c r="D112" s="684">
        <f>IF(終値!A112="","",IFERROR(4*STDEVP(終値!G112:Z112)/AVERAGE(終値!G112:Z112),""))</f>
      </c>
      <c r="E112" s="684">
        <f>IF(終値!A112="","",IFERROR(4*STDEVP(終値!H112:AA112)/AVERAGE(終値!H112:AA112),""))</f>
      </c>
      <c r="F112" s="684">
        <f>IF(終値!A112="","",IFERROR(4*STDEVP(終値!I112:AB112)/AVERAGE(終値!I112:AB112),""))</f>
      </c>
      <c r="G112" s="684">
        <f>IF(終値!A112="","",IFERROR(4*STDEVP(終値!J112:AC112)/AVERAGE(終値!J112:AC112),""))</f>
      </c>
      <c r="H112" s="684">
        <f>IF(終値!A112="","",IFERROR(4*STDEVP(終値!K112:AD112)/AVERAGE(終値!K112:AD112),""))</f>
      </c>
      <c r="I112" s="684">
        <f>IF(終値!A112="","",IFERROR(4*STDEVP(終値!L112:AE112)/AVERAGE(終値!L112:AE112),""))</f>
      </c>
      <c r="J112" s="684">
        <f>IF(終値!A112="","",IFERROR(4*STDEVP(終値!M112:AF112)/AVERAGE(終値!M112:AF112),""))</f>
      </c>
      <c r="K112" s="684">
        <f>IF(終値!A112="","",IFERROR(4*STDEVP(終値!N112:AG112)/AVERAGE(終値!N112:AG112),""))</f>
      </c>
      <c r="L112" s="684">
        <f>IF(終値!A112="","",IFERROR(4*STDEVP(終値!O112:AH112)/AVERAGE(終値!O112:AH112),""))</f>
      </c>
      <c r="M112" s="684">
        <f>IF(終値!A112="","",IFERROR(4*STDEVP(終値!P112:AI112)/AVERAGE(終値!P112:AI112),""))</f>
      </c>
      <c r="N112" s="684">
        <f>IF(終値!A112="","",IFERROR(4*STDEVP(終値!Q112:AJ112)/AVERAGE(終値!Q112:AJ112),""))</f>
      </c>
      <c r="O112" s="684">
        <f>IF(終値!A112="","",IFERROR(4*STDEVP(終値!R112:AK112)/AVERAGE(終値!R112:AK112),""))</f>
      </c>
      <c r="P112" s="684">
        <f>IF(終値!A112="","",IFERROR(4*STDEVP(終値!S112:AL112)/AVERAGE(終値!S112:AL112),""))</f>
      </c>
      <c r="Q112" s="684">
        <f>IF(終値!A112="","",IFERROR(4*STDEVP(終値!T112:AM112)/AVERAGE(終値!T112:AM112),""))</f>
      </c>
      <c r="R112" s="684">
        <f>IF(終値!A112="","",IFERROR(4*STDEVP(終値!U112:AN112)/AVERAGE(終値!U112:AN112),""))</f>
      </c>
      <c r="S112" s="684">
        <f>IF(終値!A112="","",IFERROR(4*STDEVP(終値!V112:AO112)/AVERAGE(終値!V112:AO112),""))</f>
      </c>
      <c r="T112" s="684">
        <f>IF(終値!A112="","",IFERROR(4*STDEVP(終値!W112:AP112)/AVERAGE(終値!W112:AP112),""))</f>
      </c>
      <c r="U112" s="684">
        <f>IF(終値!A112="","",IFERROR(4*STDEVP(終値!X112:AQ112)/AVERAGE(終値!X112:AQ112),""))</f>
      </c>
      <c r="V112" s="684">
        <f>IF(終値!A112="","",IFERROR(4*STDEVP(終値!Y112:AR112)/AVERAGE(終値!Y112:AR112),""))</f>
      </c>
      <c r="W112" s="684">
        <f>IF(終値!A112="","",IFERROR(4*STDEVP(終値!Z112:AS112)/AVERAGE(終値!Z112:AS112),""))</f>
      </c>
      <c r="X112" s="684">
        <f>IF(終値!A112="","",IFERROR(4*STDEVP(終値!AA112:AT112)/AVERAGE(終値!AA112:AT112),""))</f>
      </c>
      <c r="Y112" s="684">
        <f>IF(終値!A112="","",IFERROR(4*STDEVP(終値!AB112:AU112)/AVERAGE(終値!AB112:AU112),""))</f>
      </c>
      <c r="Z112" s="684">
        <f>IF(終値!A112="","",IFERROR(4*STDEVP(終値!AC112:AV112)/AVERAGE(終値!AC112:AV112),""))</f>
      </c>
      <c r="AA112" s="684">
        <f>IF(終値!A112="","",IFERROR(4*STDEVP(終値!AD112:AW112)/AVERAGE(終値!AD112:AW112),""))</f>
      </c>
      <c r="AB112" s="684">
        <f>IF(終値!A112="","",IFERROR(4*STDEVP(終値!AE112:AX112)/AVERAGE(終値!AE112:AX112),""))</f>
      </c>
      <c r="AC112" s="684">
        <f>IF(終値!A112="","",IFERROR(4*STDEVP(終値!AF112:AY112)/AVERAGE(終値!AF112:AY112),""))</f>
      </c>
      <c r="AD112" s="684">
        <f>IF(終値!A112="","",IFERROR(4*STDEVP(終値!AG112:AZ112)/AVERAGE(終値!AG112:AZ112),""))</f>
      </c>
      <c r="AE112" s="684">
        <f>IF(終値!A112="","",IFERROR(4*STDEVP(終値!AH112:BA112)/AVERAGE(終値!AH112:BA112),""))</f>
      </c>
      <c r="AF112" s="684">
        <f>IF(終値!A112="","",IFERROR(4*STDEVP(終値!AI112:BB112)/AVERAGE(終値!AI112:BB112),""))</f>
      </c>
      <c r="AG112" s="684">
        <f>IF(終値!A112="","",IFERROR(4*STDEVP(終値!AJ112:BC112)/AVERAGE(終値!AJ112:BC112),""))</f>
      </c>
      <c r="AH112" s="684">
        <f>IF(終値!A112="","",IFERROR(4*STDEVP(終値!AK112:BD112)/AVERAGE(終値!AK112:BD112),""))</f>
      </c>
      <c r="AI112" s="684">
        <f>IF(終値!A112="","",IFERROR(4*STDEVP(終値!AL112:BE112)/AVERAGE(終値!AL112:BE112),""))</f>
      </c>
      <c r="AJ112" s="684">
        <f>IF(終値!A112="","",IFERROR(4*STDEVP(終値!AM112:BF112)/AVERAGE(終値!AM112:BF112),""))</f>
      </c>
      <c r="AK112" s="684">
        <f>IF(終値!A112="","",IFERROR(4*STDEVP(終値!AN112:BG112)/AVERAGE(終値!AN112:BG112),""))</f>
      </c>
      <c r="AL112" s="684">
        <f>IF(終値!A112="","",IFERROR(4*STDEVP(終値!AO112:BH112)/AVERAGE(終値!AO112:BH112),""))</f>
      </c>
      <c r="AM112" s="684">
        <f>IF(終値!A112="","",IFERROR(4*STDEVP(終値!AP112:BI112)/AVERAGE(終値!AP112:BI112),""))</f>
      </c>
      <c r="AN112" s="684">
        <f>IF(終値!A112="","",IFERROR(4*STDEVP(終値!AQ112:BJ112)/AVERAGE(終値!AQ112:BJ112),""))</f>
      </c>
      <c r="AO112" s="684">
        <f>IF(終値!A112="","",IFERROR(4*STDEVP(終値!AR112:BK112)/AVERAGE(終値!AR112:BK112),""))</f>
      </c>
      <c r="AP112" s="684">
        <f>IF(終値!A112="","",IFERROR(4*STDEVP(終値!AS112:BL112)/AVERAGE(終値!AS112:BL112),""))</f>
      </c>
    </row>
    <row r="113">
      <c r="A113" s="681">
        <f>IF(終値!A113="","",終値!A113)</f>
      </c>
      <c r="B113" s="684">
        <f>IF(終値!A113="","",IFERROR(4*STDEVP(終値!E113:X113)/AVERAGE(終値!E113:X113),""))</f>
      </c>
      <c r="C113" s="684">
        <f>IF(終値!A113="","",IFERROR(4*STDEVP(終値!F113:Y113)/AVERAGE(終値!F113:Y113),""))</f>
      </c>
      <c r="D113" s="684">
        <f>IF(終値!A113="","",IFERROR(4*STDEVP(終値!G113:Z113)/AVERAGE(終値!G113:Z113),""))</f>
      </c>
      <c r="E113" s="684">
        <f>IF(終値!A113="","",IFERROR(4*STDEVP(終値!H113:AA113)/AVERAGE(終値!H113:AA113),""))</f>
      </c>
      <c r="F113" s="684">
        <f>IF(終値!A113="","",IFERROR(4*STDEVP(終値!I113:AB113)/AVERAGE(終値!I113:AB113),""))</f>
      </c>
      <c r="G113" s="684">
        <f>IF(終値!A113="","",IFERROR(4*STDEVP(終値!J113:AC113)/AVERAGE(終値!J113:AC113),""))</f>
      </c>
      <c r="H113" s="684">
        <f>IF(終値!A113="","",IFERROR(4*STDEVP(終値!K113:AD113)/AVERAGE(終値!K113:AD113),""))</f>
      </c>
      <c r="I113" s="684">
        <f>IF(終値!A113="","",IFERROR(4*STDEVP(終値!L113:AE113)/AVERAGE(終値!L113:AE113),""))</f>
      </c>
      <c r="J113" s="684">
        <f>IF(終値!A113="","",IFERROR(4*STDEVP(終値!M113:AF113)/AVERAGE(終値!M113:AF113),""))</f>
      </c>
      <c r="K113" s="684">
        <f>IF(終値!A113="","",IFERROR(4*STDEVP(終値!N113:AG113)/AVERAGE(終値!N113:AG113),""))</f>
      </c>
      <c r="L113" s="684">
        <f>IF(終値!A113="","",IFERROR(4*STDEVP(終値!O113:AH113)/AVERAGE(終値!O113:AH113),""))</f>
      </c>
      <c r="M113" s="684">
        <f>IF(終値!A113="","",IFERROR(4*STDEVP(終値!P113:AI113)/AVERAGE(終値!P113:AI113),""))</f>
      </c>
      <c r="N113" s="684">
        <f>IF(終値!A113="","",IFERROR(4*STDEVP(終値!Q113:AJ113)/AVERAGE(終値!Q113:AJ113),""))</f>
      </c>
      <c r="O113" s="684">
        <f>IF(終値!A113="","",IFERROR(4*STDEVP(終値!R113:AK113)/AVERAGE(終値!R113:AK113),""))</f>
      </c>
      <c r="P113" s="684">
        <f>IF(終値!A113="","",IFERROR(4*STDEVP(終値!S113:AL113)/AVERAGE(終値!S113:AL113),""))</f>
      </c>
      <c r="Q113" s="684">
        <f>IF(終値!A113="","",IFERROR(4*STDEVP(終値!T113:AM113)/AVERAGE(終値!T113:AM113),""))</f>
      </c>
      <c r="R113" s="684">
        <f>IF(終値!A113="","",IFERROR(4*STDEVP(終値!U113:AN113)/AVERAGE(終値!U113:AN113),""))</f>
      </c>
      <c r="S113" s="684">
        <f>IF(終値!A113="","",IFERROR(4*STDEVP(終値!V113:AO113)/AVERAGE(終値!V113:AO113),""))</f>
      </c>
      <c r="T113" s="684">
        <f>IF(終値!A113="","",IFERROR(4*STDEVP(終値!W113:AP113)/AVERAGE(終値!W113:AP113),""))</f>
      </c>
      <c r="U113" s="684">
        <f>IF(終値!A113="","",IFERROR(4*STDEVP(終値!X113:AQ113)/AVERAGE(終値!X113:AQ113),""))</f>
      </c>
      <c r="V113" s="684">
        <f>IF(終値!A113="","",IFERROR(4*STDEVP(終値!Y113:AR113)/AVERAGE(終値!Y113:AR113),""))</f>
      </c>
      <c r="W113" s="684">
        <f>IF(終値!A113="","",IFERROR(4*STDEVP(終値!Z113:AS113)/AVERAGE(終値!Z113:AS113),""))</f>
      </c>
      <c r="X113" s="684">
        <f>IF(終値!A113="","",IFERROR(4*STDEVP(終値!AA113:AT113)/AVERAGE(終値!AA113:AT113),""))</f>
      </c>
      <c r="Y113" s="684">
        <f>IF(終値!A113="","",IFERROR(4*STDEVP(終値!AB113:AU113)/AVERAGE(終値!AB113:AU113),""))</f>
      </c>
      <c r="Z113" s="684">
        <f>IF(終値!A113="","",IFERROR(4*STDEVP(終値!AC113:AV113)/AVERAGE(終値!AC113:AV113),""))</f>
      </c>
      <c r="AA113" s="684">
        <f>IF(終値!A113="","",IFERROR(4*STDEVP(終値!AD113:AW113)/AVERAGE(終値!AD113:AW113),""))</f>
      </c>
      <c r="AB113" s="684">
        <f>IF(終値!A113="","",IFERROR(4*STDEVP(終値!AE113:AX113)/AVERAGE(終値!AE113:AX113),""))</f>
      </c>
      <c r="AC113" s="684">
        <f>IF(終値!A113="","",IFERROR(4*STDEVP(終値!AF113:AY113)/AVERAGE(終値!AF113:AY113),""))</f>
      </c>
      <c r="AD113" s="684">
        <f>IF(終値!A113="","",IFERROR(4*STDEVP(終値!AG113:AZ113)/AVERAGE(終値!AG113:AZ113),""))</f>
      </c>
      <c r="AE113" s="684">
        <f>IF(終値!A113="","",IFERROR(4*STDEVP(終値!AH113:BA113)/AVERAGE(終値!AH113:BA113),""))</f>
      </c>
      <c r="AF113" s="684">
        <f>IF(終値!A113="","",IFERROR(4*STDEVP(終値!AI113:BB113)/AVERAGE(終値!AI113:BB113),""))</f>
      </c>
      <c r="AG113" s="684">
        <f>IF(終値!A113="","",IFERROR(4*STDEVP(終値!AJ113:BC113)/AVERAGE(終値!AJ113:BC113),""))</f>
      </c>
      <c r="AH113" s="684">
        <f>IF(終値!A113="","",IFERROR(4*STDEVP(終値!AK113:BD113)/AVERAGE(終値!AK113:BD113),""))</f>
      </c>
      <c r="AI113" s="684">
        <f>IF(終値!A113="","",IFERROR(4*STDEVP(終値!AL113:BE113)/AVERAGE(終値!AL113:BE113),""))</f>
      </c>
      <c r="AJ113" s="684">
        <f>IF(終値!A113="","",IFERROR(4*STDEVP(終値!AM113:BF113)/AVERAGE(終値!AM113:BF113),""))</f>
      </c>
      <c r="AK113" s="684">
        <f>IF(終値!A113="","",IFERROR(4*STDEVP(終値!AN113:BG113)/AVERAGE(終値!AN113:BG113),""))</f>
      </c>
      <c r="AL113" s="684">
        <f>IF(終値!A113="","",IFERROR(4*STDEVP(終値!AO113:BH113)/AVERAGE(終値!AO113:BH113),""))</f>
      </c>
      <c r="AM113" s="684">
        <f>IF(終値!A113="","",IFERROR(4*STDEVP(終値!AP113:BI113)/AVERAGE(終値!AP113:BI113),""))</f>
      </c>
      <c r="AN113" s="684">
        <f>IF(終値!A113="","",IFERROR(4*STDEVP(終値!AQ113:BJ113)/AVERAGE(終値!AQ113:BJ113),""))</f>
      </c>
      <c r="AO113" s="684">
        <f>IF(終値!A113="","",IFERROR(4*STDEVP(終値!AR113:BK113)/AVERAGE(終値!AR113:BK113),""))</f>
      </c>
      <c r="AP113" s="684">
        <f>IF(終値!A113="","",IFERROR(4*STDEVP(終値!AS113:BL113)/AVERAGE(終値!AS113:BL113),""))</f>
      </c>
    </row>
    <row r="114">
      <c r="A114" s="681">
        <f>IF(終値!A114="","",終値!A114)</f>
      </c>
      <c r="B114" s="684">
        <f>IF(終値!A114="","",IFERROR(4*STDEVP(終値!E114:X114)/AVERAGE(終値!E114:X114),""))</f>
      </c>
      <c r="C114" s="684">
        <f>IF(終値!A114="","",IFERROR(4*STDEVP(終値!F114:Y114)/AVERAGE(終値!F114:Y114),""))</f>
      </c>
      <c r="D114" s="684">
        <f>IF(終値!A114="","",IFERROR(4*STDEVP(終値!G114:Z114)/AVERAGE(終値!G114:Z114),""))</f>
      </c>
      <c r="E114" s="684">
        <f>IF(終値!A114="","",IFERROR(4*STDEVP(終値!H114:AA114)/AVERAGE(終値!H114:AA114),""))</f>
      </c>
      <c r="F114" s="684">
        <f>IF(終値!A114="","",IFERROR(4*STDEVP(終値!I114:AB114)/AVERAGE(終値!I114:AB114),""))</f>
      </c>
      <c r="G114" s="684">
        <f>IF(終値!A114="","",IFERROR(4*STDEVP(終値!J114:AC114)/AVERAGE(終値!J114:AC114),""))</f>
      </c>
      <c r="H114" s="684">
        <f>IF(終値!A114="","",IFERROR(4*STDEVP(終値!K114:AD114)/AVERAGE(終値!K114:AD114),""))</f>
      </c>
      <c r="I114" s="684">
        <f>IF(終値!A114="","",IFERROR(4*STDEVP(終値!L114:AE114)/AVERAGE(終値!L114:AE114),""))</f>
      </c>
      <c r="J114" s="684">
        <f>IF(終値!A114="","",IFERROR(4*STDEVP(終値!M114:AF114)/AVERAGE(終値!M114:AF114),""))</f>
      </c>
      <c r="K114" s="684">
        <f>IF(終値!A114="","",IFERROR(4*STDEVP(終値!N114:AG114)/AVERAGE(終値!N114:AG114),""))</f>
      </c>
      <c r="L114" s="684">
        <f>IF(終値!A114="","",IFERROR(4*STDEVP(終値!O114:AH114)/AVERAGE(終値!O114:AH114),""))</f>
      </c>
      <c r="M114" s="684">
        <f>IF(終値!A114="","",IFERROR(4*STDEVP(終値!P114:AI114)/AVERAGE(終値!P114:AI114),""))</f>
      </c>
      <c r="N114" s="684">
        <f>IF(終値!A114="","",IFERROR(4*STDEVP(終値!Q114:AJ114)/AVERAGE(終値!Q114:AJ114),""))</f>
      </c>
      <c r="O114" s="684">
        <f>IF(終値!A114="","",IFERROR(4*STDEVP(終値!R114:AK114)/AVERAGE(終値!R114:AK114),""))</f>
      </c>
      <c r="P114" s="684">
        <f>IF(終値!A114="","",IFERROR(4*STDEVP(終値!S114:AL114)/AVERAGE(終値!S114:AL114),""))</f>
      </c>
      <c r="Q114" s="684">
        <f>IF(終値!A114="","",IFERROR(4*STDEVP(終値!T114:AM114)/AVERAGE(終値!T114:AM114),""))</f>
      </c>
      <c r="R114" s="684">
        <f>IF(終値!A114="","",IFERROR(4*STDEVP(終値!U114:AN114)/AVERAGE(終値!U114:AN114),""))</f>
      </c>
      <c r="S114" s="684">
        <f>IF(終値!A114="","",IFERROR(4*STDEVP(終値!V114:AO114)/AVERAGE(終値!V114:AO114),""))</f>
      </c>
      <c r="T114" s="684">
        <f>IF(終値!A114="","",IFERROR(4*STDEVP(終値!W114:AP114)/AVERAGE(終値!W114:AP114),""))</f>
      </c>
      <c r="U114" s="684">
        <f>IF(終値!A114="","",IFERROR(4*STDEVP(終値!X114:AQ114)/AVERAGE(終値!X114:AQ114),""))</f>
      </c>
      <c r="V114" s="684">
        <f>IF(終値!A114="","",IFERROR(4*STDEVP(終値!Y114:AR114)/AVERAGE(終値!Y114:AR114),""))</f>
      </c>
      <c r="W114" s="684">
        <f>IF(終値!A114="","",IFERROR(4*STDEVP(終値!Z114:AS114)/AVERAGE(終値!Z114:AS114),""))</f>
      </c>
      <c r="X114" s="684">
        <f>IF(終値!A114="","",IFERROR(4*STDEVP(終値!AA114:AT114)/AVERAGE(終値!AA114:AT114),""))</f>
      </c>
      <c r="Y114" s="684">
        <f>IF(終値!A114="","",IFERROR(4*STDEVP(終値!AB114:AU114)/AVERAGE(終値!AB114:AU114),""))</f>
      </c>
      <c r="Z114" s="684">
        <f>IF(終値!A114="","",IFERROR(4*STDEVP(終値!AC114:AV114)/AVERAGE(終値!AC114:AV114),""))</f>
      </c>
      <c r="AA114" s="684">
        <f>IF(終値!A114="","",IFERROR(4*STDEVP(終値!AD114:AW114)/AVERAGE(終値!AD114:AW114),""))</f>
      </c>
      <c r="AB114" s="684">
        <f>IF(終値!A114="","",IFERROR(4*STDEVP(終値!AE114:AX114)/AVERAGE(終値!AE114:AX114),""))</f>
      </c>
      <c r="AC114" s="684">
        <f>IF(終値!A114="","",IFERROR(4*STDEVP(終値!AF114:AY114)/AVERAGE(終値!AF114:AY114),""))</f>
      </c>
      <c r="AD114" s="684">
        <f>IF(終値!A114="","",IFERROR(4*STDEVP(終値!AG114:AZ114)/AVERAGE(終値!AG114:AZ114),""))</f>
      </c>
      <c r="AE114" s="684">
        <f>IF(終値!A114="","",IFERROR(4*STDEVP(終値!AH114:BA114)/AVERAGE(終値!AH114:BA114),""))</f>
      </c>
      <c r="AF114" s="684">
        <f>IF(終値!A114="","",IFERROR(4*STDEVP(終値!AI114:BB114)/AVERAGE(終値!AI114:BB114),""))</f>
      </c>
      <c r="AG114" s="684">
        <f>IF(終値!A114="","",IFERROR(4*STDEVP(終値!AJ114:BC114)/AVERAGE(終値!AJ114:BC114),""))</f>
      </c>
      <c r="AH114" s="684">
        <f>IF(終値!A114="","",IFERROR(4*STDEVP(終値!AK114:BD114)/AVERAGE(終値!AK114:BD114),""))</f>
      </c>
      <c r="AI114" s="684">
        <f>IF(終値!A114="","",IFERROR(4*STDEVP(終値!AL114:BE114)/AVERAGE(終値!AL114:BE114),""))</f>
      </c>
      <c r="AJ114" s="684">
        <f>IF(終値!A114="","",IFERROR(4*STDEVP(終値!AM114:BF114)/AVERAGE(終値!AM114:BF114),""))</f>
      </c>
      <c r="AK114" s="684">
        <f>IF(終値!A114="","",IFERROR(4*STDEVP(終値!AN114:BG114)/AVERAGE(終値!AN114:BG114),""))</f>
      </c>
      <c r="AL114" s="684">
        <f>IF(終値!A114="","",IFERROR(4*STDEVP(終値!AO114:BH114)/AVERAGE(終値!AO114:BH114),""))</f>
      </c>
      <c r="AM114" s="684">
        <f>IF(終値!A114="","",IFERROR(4*STDEVP(終値!AP114:BI114)/AVERAGE(終値!AP114:BI114),""))</f>
      </c>
      <c r="AN114" s="684">
        <f>IF(終値!A114="","",IFERROR(4*STDEVP(終値!AQ114:BJ114)/AVERAGE(終値!AQ114:BJ114),""))</f>
      </c>
      <c r="AO114" s="684">
        <f>IF(終値!A114="","",IFERROR(4*STDEVP(終値!AR114:BK114)/AVERAGE(終値!AR114:BK114),""))</f>
      </c>
      <c r="AP114" s="684">
        <f>IF(終値!A114="","",IFERROR(4*STDEVP(終値!AS114:BL114)/AVERAGE(終値!AS114:BL114),""))</f>
      </c>
    </row>
    <row r="115">
      <c r="A115" s="681">
        <f>IF(終値!A115="","",終値!A115)</f>
      </c>
      <c r="B115" s="684">
        <f>IF(終値!A115="","",IFERROR(4*STDEVP(終値!E115:X115)/AVERAGE(終値!E115:X115),""))</f>
      </c>
      <c r="C115" s="684">
        <f>IF(終値!A115="","",IFERROR(4*STDEVP(終値!F115:Y115)/AVERAGE(終値!F115:Y115),""))</f>
      </c>
      <c r="D115" s="684">
        <f>IF(終値!A115="","",IFERROR(4*STDEVP(終値!G115:Z115)/AVERAGE(終値!G115:Z115),""))</f>
      </c>
      <c r="E115" s="684">
        <f>IF(終値!A115="","",IFERROR(4*STDEVP(終値!H115:AA115)/AVERAGE(終値!H115:AA115),""))</f>
      </c>
      <c r="F115" s="684">
        <f>IF(終値!A115="","",IFERROR(4*STDEVP(終値!I115:AB115)/AVERAGE(終値!I115:AB115),""))</f>
      </c>
      <c r="G115" s="684">
        <f>IF(終値!A115="","",IFERROR(4*STDEVP(終値!J115:AC115)/AVERAGE(終値!J115:AC115),""))</f>
      </c>
      <c r="H115" s="684">
        <f>IF(終値!A115="","",IFERROR(4*STDEVP(終値!K115:AD115)/AVERAGE(終値!K115:AD115),""))</f>
      </c>
      <c r="I115" s="684">
        <f>IF(終値!A115="","",IFERROR(4*STDEVP(終値!L115:AE115)/AVERAGE(終値!L115:AE115),""))</f>
      </c>
      <c r="J115" s="684">
        <f>IF(終値!A115="","",IFERROR(4*STDEVP(終値!M115:AF115)/AVERAGE(終値!M115:AF115),""))</f>
      </c>
      <c r="K115" s="684">
        <f>IF(終値!A115="","",IFERROR(4*STDEVP(終値!N115:AG115)/AVERAGE(終値!N115:AG115),""))</f>
      </c>
      <c r="L115" s="684">
        <f>IF(終値!A115="","",IFERROR(4*STDEVP(終値!O115:AH115)/AVERAGE(終値!O115:AH115),""))</f>
      </c>
      <c r="M115" s="684">
        <f>IF(終値!A115="","",IFERROR(4*STDEVP(終値!P115:AI115)/AVERAGE(終値!P115:AI115),""))</f>
      </c>
      <c r="N115" s="684">
        <f>IF(終値!A115="","",IFERROR(4*STDEVP(終値!Q115:AJ115)/AVERAGE(終値!Q115:AJ115),""))</f>
      </c>
      <c r="O115" s="684">
        <f>IF(終値!A115="","",IFERROR(4*STDEVP(終値!R115:AK115)/AVERAGE(終値!R115:AK115),""))</f>
      </c>
      <c r="P115" s="684">
        <f>IF(終値!A115="","",IFERROR(4*STDEVP(終値!S115:AL115)/AVERAGE(終値!S115:AL115),""))</f>
      </c>
      <c r="Q115" s="684">
        <f>IF(終値!A115="","",IFERROR(4*STDEVP(終値!T115:AM115)/AVERAGE(終値!T115:AM115),""))</f>
      </c>
      <c r="R115" s="684">
        <f>IF(終値!A115="","",IFERROR(4*STDEVP(終値!U115:AN115)/AVERAGE(終値!U115:AN115),""))</f>
      </c>
      <c r="S115" s="684">
        <f>IF(終値!A115="","",IFERROR(4*STDEVP(終値!V115:AO115)/AVERAGE(終値!V115:AO115),""))</f>
      </c>
      <c r="T115" s="684">
        <f>IF(終値!A115="","",IFERROR(4*STDEVP(終値!W115:AP115)/AVERAGE(終値!W115:AP115),""))</f>
      </c>
      <c r="U115" s="684">
        <f>IF(終値!A115="","",IFERROR(4*STDEVP(終値!X115:AQ115)/AVERAGE(終値!X115:AQ115),""))</f>
      </c>
      <c r="V115" s="684">
        <f>IF(終値!A115="","",IFERROR(4*STDEVP(終値!Y115:AR115)/AVERAGE(終値!Y115:AR115),""))</f>
      </c>
      <c r="W115" s="684">
        <f>IF(終値!A115="","",IFERROR(4*STDEVP(終値!Z115:AS115)/AVERAGE(終値!Z115:AS115),""))</f>
      </c>
      <c r="X115" s="684">
        <f>IF(終値!A115="","",IFERROR(4*STDEVP(終値!AA115:AT115)/AVERAGE(終値!AA115:AT115),""))</f>
      </c>
      <c r="Y115" s="684">
        <f>IF(終値!A115="","",IFERROR(4*STDEVP(終値!AB115:AU115)/AVERAGE(終値!AB115:AU115),""))</f>
      </c>
      <c r="Z115" s="684">
        <f>IF(終値!A115="","",IFERROR(4*STDEVP(終値!AC115:AV115)/AVERAGE(終値!AC115:AV115),""))</f>
      </c>
      <c r="AA115" s="684">
        <f>IF(終値!A115="","",IFERROR(4*STDEVP(終値!AD115:AW115)/AVERAGE(終値!AD115:AW115),""))</f>
      </c>
      <c r="AB115" s="684">
        <f>IF(終値!A115="","",IFERROR(4*STDEVP(終値!AE115:AX115)/AVERAGE(終値!AE115:AX115),""))</f>
      </c>
      <c r="AC115" s="684">
        <f>IF(終値!A115="","",IFERROR(4*STDEVP(終値!AF115:AY115)/AVERAGE(終値!AF115:AY115),""))</f>
      </c>
      <c r="AD115" s="684">
        <f>IF(終値!A115="","",IFERROR(4*STDEVP(終値!AG115:AZ115)/AVERAGE(終値!AG115:AZ115),""))</f>
      </c>
      <c r="AE115" s="684">
        <f>IF(終値!A115="","",IFERROR(4*STDEVP(終値!AH115:BA115)/AVERAGE(終値!AH115:BA115),""))</f>
      </c>
      <c r="AF115" s="684">
        <f>IF(終値!A115="","",IFERROR(4*STDEVP(終値!AI115:BB115)/AVERAGE(終値!AI115:BB115),""))</f>
      </c>
      <c r="AG115" s="684">
        <f>IF(終値!A115="","",IFERROR(4*STDEVP(終値!AJ115:BC115)/AVERAGE(終値!AJ115:BC115),""))</f>
      </c>
      <c r="AH115" s="684">
        <f>IF(終値!A115="","",IFERROR(4*STDEVP(終値!AK115:BD115)/AVERAGE(終値!AK115:BD115),""))</f>
      </c>
      <c r="AI115" s="684">
        <f>IF(終値!A115="","",IFERROR(4*STDEVP(終値!AL115:BE115)/AVERAGE(終値!AL115:BE115),""))</f>
      </c>
      <c r="AJ115" s="684">
        <f>IF(終値!A115="","",IFERROR(4*STDEVP(終値!AM115:BF115)/AVERAGE(終値!AM115:BF115),""))</f>
      </c>
      <c r="AK115" s="684">
        <f>IF(終値!A115="","",IFERROR(4*STDEVP(終値!AN115:BG115)/AVERAGE(終値!AN115:BG115),""))</f>
      </c>
      <c r="AL115" s="684">
        <f>IF(終値!A115="","",IFERROR(4*STDEVP(終値!AO115:BH115)/AVERAGE(終値!AO115:BH115),""))</f>
      </c>
      <c r="AM115" s="684">
        <f>IF(終値!A115="","",IFERROR(4*STDEVP(終値!AP115:BI115)/AVERAGE(終値!AP115:BI115),""))</f>
      </c>
      <c r="AN115" s="684">
        <f>IF(終値!A115="","",IFERROR(4*STDEVP(終値!AQ115:BJ115)/AVERAGE(終値!AQ115:BJ115),""))</f>
      </c>
      <c r="AO115" s="684">
        <f>IF(終値!A115="","",IFERROR(4*STDEVP(終値!AR115:BK115)/AVERAGE(終値!AR115:BK115),""))</f>
      </c>
      <c r="AP115" s="684">
        <f>IF(終値!A115="","",IFERROR(4*STDEVP(終値!AS115:BL115)/AVERAGE(終値!AS115:BL115),""))</f>
      </c>
    </row>
    <row r="116">
      <c r="A116" s="681">
        <f>IF(終値!A116="","",終値!A116)</f>
      </c>
      <c r="B116" s="684">
        <f>IF(終値!A116="","",IFERROR(4*STDEVP(終値!E116:X116)/AVERAGE(終値!E116:X116),""))</f>
      </c>
      <c r="C116" s="684">
        <f>IF(終値!A116="","",IFERROR(4*STDEVP(終値!F116:Y116)/AVERAGE(終値!F116:Y116),""))</f>
      </c>
      <c r="D116" s="684">
        <f>IF(終値!A116="","",IFERROR(4*STDEVP(終値!G116:Z116)/AVERAGE(終値!G116:Z116),""))</f>
      </c>
      <c r="E116" s="684">
        <f>IF(終値!A116="","",IFERROR(4*STDEVP(終値!H116:AA116)/AVERAGE(終値!H116:AA116),""))</f>
      </c>
      <c r="F116" s="684">
        <f>IF(終値!A116="","",IFERROR(4*STDEVP(終値!I116:AB116)/AVERAGE(終値!I116:AB116),""))</f>
      </c>
      <c r="G116" s="684">
        <f>IF(終値!A116="","",IFERROR(4*STDEVP(終値!J116:AC116)/AVERAGE(終値!J116:AC116),""))</f>
      </c>
      <c r="H116" s="684">
        <f>IF(終値!A116="","",IFERROR(4*STDEVP(終値!K116:AD116)/AVERAGE(終値!K116:AD116),""))</f>
      </c>
      <c r="I116" s="684">
        <f>IF(終値!A116="","",IFERROR(4*STDEVP(終値!L116:AE116)/AVERAGE(終値!L116:AE116),""))</f>
      </c>
      <c r="J116" s="684">
        <f>IF(終値!A116="","",IFERROR(4*STDEVP(終値!M116:AF116)/AVERAGE(終値!M116:AF116),""))</f>
      </c>
      <c r="K116" s="684">
        <f>IF(終値!A116="","",IFERROR(4*STDEVP(終値!N116:AG116)/AVERAGE(終値!N116:AG116),""))</f>
      </c>
      <c r="L116" s="684">
        <f>IF(終値!A116="","",IFERROR(4*STDEVP(終値!O116:AH116)/AVERAGE(終値!O116:AH116),""))</f>
      </c>
      <c r="M116" s="684">
        <f>IF(終値!A116="","",IFERROR(4*STDEVP(終値!P116:AI116)/AVERAGE(終値!P116:AI116),""))</f>
      </c>
      <c r="N116" s="684">
        <f>IF(終値!A116="","",IFERROR(4*STDEVP(終値!Q116:AJ116)/AVERAGE(終値!Q116:AJ116),""))</f>
      </c>
      <c r="O116" s="684">
        <f>IF(終値!A116="","",IFERROR(4*STDEVP(終値!R116:AK116)/AVERAGE(終値!R116:AK116),""))</f>
      </c>
      <c r="P116" s="684">
        <f>IF(終値!A116="","",IFERROR(4*STDEVP(終値!S116:AL116)/AVERAGE(終値!S116:AL116),""))</f>
      </c>
      <c r="Q116" s="684">
        <f>IF(終値!A116="","",IFERROR(4*STDEVP(終値!T116:AM116)/AVERAGE(終値!T116:AM116),""))</f>
      </c>
      <c r="R116" s="684">
        <f>IF(終値!A116="","",IFERROR(4*STDEVP(終値!U116:AN116)/AVERAGE(終値!U116:AN116),""))</f>
      </c>
      <c r="S116" s="684">
        <f>IF(終値!A116="","",IFERROR(4*STDEVP(終値!V116:AO116)/AVERAGE(終値!V116:AO116),""))</f>
      </c>
      <c r="T116" s="684">
        <f>IF(終値!A116="","",IFERROR(4*STDEVP(終値!W116:AP116)/AVERAGE(終値!W116:AP116),""))</f>
      </c>
      <c r="U116" s="684">
        <f>IF(終値!A116="","",IFERROR(4*STDEVP(終値!X116:AQ116)/AVERAGE(終値!X116:AQ116),""))</f>
      </c>
      <c r="V116" s="684">
        <f>IF(終値!A116="","",IFERROR(4*STDEVP(終値!Y116:AR116)/AVERAGE(終値!Y116:AR116),""))</f>
      </c>
      <c r="W116" s="684">
        <f>IF(終値!A116="","",IFERROR(4*STDEVP(終値!Z116:AS116)/AVERAGE(終値!Z116:AS116),""))</f>
      </c>
      <c r="X116" s="684">
        <f>IF(終値!A116="","",IFERROR(4*STDEVP(終値!AA116:AT116)/AVERAGE(終値!AA116:AT116),""))</f>
      </c>
      <c r="Y116" s="684">
        <f>IF(終値!A116="","",IFERROR(4*STDEVP(終値!AB116:AU116)/AVERAGE(終値!AB116:AU116),""))</f>
      </c>
      <c r="Z116" s="684">
        <f>IF(終値!A116="","",IFERROR(4*STDEVP(終値!AC116:AV116)/AVERAGE(終値!AC116:AV116),""))</f>
      </c>
      <c r="AA116" s="684">
        <f>IF(終値!A116="","",IFERROR(4*STDEVP(終値!AD116:AW116)/AVERAGE(終値!AD116:AW116),""))</f>
      </c>
      <c r="AB116" s="684">
        <f>IF(終値!A116="","",IFERROR(4*STDEVP(終値!AE116:AX116)/AVERAGE(終値!AE116:AX116),""))</f>
      </c>
      <c r="AC116" s="684">
        <f>IF(終値!A116="","",IFERROR(4*STDEVP(終値!AF116:AY116)/AVERAGE(終値!AF116:AY116),""))</f>
      </c>
      <c r="AD116" s="684">
        <f>IF(終値!A116="","",IFERROR(4*STDEVP(終値!AG116:AZ116)/AVERAGE(終値!AG116:AZ116),""))</f>
      </c>
      <c r="AE116" s="684">
        <f>IF(終値!A116="","",IFERROR(4*STDEVP(終値!AH116:BA116)/AVERAGE(終値!AH116:BA116),""))</f>
      </c>
      <c r="AF116" s="684">
        <f>IF(終値!A116="","",IFERROR(4*STDEVP(終値!AI116:BB116)/AVERAGE(終値!AI116:BB116),""))</f>
      </c>
      <c r="AG116" s="684">
        <f>IF(終値!A116="","",IFERROR(4*STDEVP(終値!AJ116:BC116)/AVERAGE(終値!AJ116:BC116),""))</f>
      </c>
      <c r="AH116" s="684">
        <f>IF(終値!A116="","",IFERROR(4*STDEVP(終値!AK116:BD116)/AVERAGE(終値!AK116:BD116),""))</f>
      </c>
      <c r="AI116" s="684">
        <f>IF(終値!A116="","",IFERROR(4*STDEVP(終値!AL116:BE116)/AVERAGE(終値!AL116:BE116),""))</f>
      </c>
      <c r="AJ116" s="684">
        <f>IF(終値!A116="","",IFERROR(4*STDEVP(終値!AM116:BF116)/AVERAGE(終値!AM116:BF116),""))</f>
      </c>
      <c r="AK116" s="684">
        <f>IF(終値!A116="","",IFERROR(4*STDEVP(終値!AN116:BG116)/AVERAGE(終値!AN116:BG116),""))</f>
      </c>
      <c r="AL116" s="684">
        <f>IF(終値!A116="","",IFERROR(4*STDEVP(終値!AO116:BH116)/AVERAGE(終値!AO116:BH116),""))</f>
      </c>
      <c r="AM116" s="684">
        <f>IF(終値!A116="","",IFERROR(4*STDEVP(終値!AP116:BI116)/AVERAGE(終値!AP116:BI116),""))</f>
      </c>
      <c r="AN116" s="684">
        <f>IF(終値!A116="","",IFERROR(4*STDEVP(終値!AQ116:BJ116)/AVERAGE(終値!AQ116:BJ116),""))</f>
      </c>
      <c r="AO116" s="684">
        <f>IF(終値!A116="","",IFERROR(4*STDEVP(終値!AR116:BK116)/AVERAGE(終値!AR116:BK116),""))</f>
      </c>
      <c r="AP116" s="684">
        <f>IF(終値!A116="","",IFERROR(4*STDEVP(終値!AS116:BL116)/AVERAGE(終値!AS116:BL116),""))</f>
      </c>
    </row>
    <row r="117">
      <c r="A117" s="681">
        <f>IF(終値!A117="","",終値!A117)</f>
      </c>
      <c r="B117" s="684">
        <f>IF(終値!A117="","",IFERROR(4*STDEVP(終値!E117:X117)/AVERAGE(終値!E117:X117),""))</f>
      </c>
      <c r="C117" s="684">
        <f>IF(終値!A117="","",IFERROR(4*STDEVP(終値!F117:Y117)/AVERAGE(終値!F117:Y117),""))</f>
      </c>
      <c r="D117" s="684">
        <f>IF(終値!A117="","",IFERROR(4*STDEVP(終値!G117:Z117)/AVERAGE(終値!G117:Z117),""))</f>
      </c>
      <c r="E117" s="684">
        <f>IF(終値!A117="","",IFERROR(4*STDEVP(終値!H117:AA117)/AVERAGE(終値!H117:AA117),""))</f>
      </c>
      <c r="F117" s="684">
        <f>IF(終値!A117="","",IFERROR(4*STDEVP(終値!I117:AB117)/AVERAGE(終値!I117:AB117),""))</f>
      </c>
      <c r="G117" s="684">
        <f>IF(終値!A117="","",IFERROR(4*STDEVP(終値!J117:AC117)/AVERAGE(終値!J117:AC117),""))</f>
      </c>
      <c r="H117" s="684">
        <f>IF(終値!A117="","",IFERROR(4*STDEVP(終値!K117:AD117)/AVERAGE(終値!K117:AD117),""))</f>
      </c>
      <c r="I117" s="684">
        <f>IF(終値!A117="","",IFERROR(4*STDEVP(終値!L117:AE117)/AVERAGE(終値!L117:AE117),""))</f>
      </c>
      <c r="J117" s="684">
        <f>IF(終値!A117="","",IFERROR(4*STDEVP(終値!M117:AF117)/AVERAGE(終値!M117:AF117),""))</f>
      </c>
      <c r="K117" s="684">
        <f>IF(終値!A117="","",IFERROR(4*STDEVP(終値!N117:AG117)/AVERAGE(終値!N117:AG117),""))</f>
      </c>
      <c r="L117" s="684">
        <f>IF(終値!A117="","",IFERROR(4*STDEVP(終値!O117:AH117)/AVERAGE(終値!O117:AH117),""))</f>
      </c>
      <c r="M117" s="684">
        <f>IF(終値!A117="","",IFERROR(4*STDEVP(終値!P117:AI117)/AVERAGE(終値!P117:AI117),""))</f>
      </c>
      <c r="N117" s="684">
        <f>IF(終値!A117="","",IFERROR(4*STDEVP(終値!Q117:AJ117)/AVERAGE(終値!Q117:AJ117),""))</f>
      </c>
      <c r="O117" s="684">
        <f>IF(終値!A117="","",IFERROR(4*STDEVP(終値!R117:AK117)/AVERAGE(終値!R117:AK117),""))</f>
      </c>
      <c r="P117" s="684">
        <f>IF(終値!A117="","",IFERROR(4*STDEVP(終値!S117:AL117)/AVERAGE(終値!S117:AL117),""))</f>
      </c>
      <c r="Q117" s="684">
        <f>IF(終値!A117="","",IFERROR(4*STDEVP(終値!T117:AM117)/AVERAGE(終値!T117:AM117),""))</f>
      </c>
      <c r="R117" s="684">
        <f>IF(終値!A117="","",IFERROR(4*STDEVP(終値!U117:AN117)/AVERAGE(終値!U117:AN117),""))</f>
      </c>
      <c r="S117" s="684">
        <f>IF(終値!A117="","",IFERROR(4*STDEVP(終値!V117:AO117)/AVERAGE(終値!V117:AO117),""))</f>
      </c>
      <c r="T117" s="684">
        <f>IF(終値!A117="","",IFERROR(4*STDEVP(終値!W117:AP117)/AVERAGE(終値!W117:AP117),""))</f>
      </c>
      <c r="U117" s="684">
        <f>IF(終値!A117="","",IFERROR(4*STDEVP(終値!X117:AQ117)/AVERAGE(終値!X117:AQ117),""))</f>
      </c>
      <c r="V117" s="684">
        <f>IF(終値!A117="","",IFERROR(4*STDEVP(終値!Y117:AR117)/AVERAGE(終値!Y117:AR117),""))</f>
      </c>
      <c r="W117" s="684">
        <f>IF(終値!A117="","",IFERROR(4*STDEVP(終値!Z117:AS117)/AVERAGE(終値!Z117:AS117),""))</f>
      </c>
      <c r="X117" s="684">
        <f>IF(終値!A117="","",IFERROR(4*STDEVP(終値!AA117:AT117)/AVERAGE(終値!AA117:AT117),""))</f>
      </c>
      <c r="Y117" s="684">
        <f>IF(終値!A117="","",IFERROR(4*STDEVP(終値!AB117:AU117)/AVERAGE(終値!AB117:AU117),""))</f>
      </c>
      <c r="Z117" s="684">
        <f>IF(終値!A117="","",IFERROR(4*STDEVP(終値!AC117:AV117)/AVERAGE(終値!AC117:AV117),""))</f>
      </c>
      <c r="AA117" s="684">
        <f>IF(終値!A117="","",IFERROR(4*STDEVP(終値!AD117:AW117)/AVERAGE(終値!AD117:AW117),""))</f>
      </c>
      <c r="AB117" s="684">
        <f>IF(終値!A117="","",IFERROR(4*STDEVP(終値!AE117:AX117)/AVERAGE(終値!AE117:AX117),""))</f>
      </c>
      <c r="AC117" s="684">
        <f>IF(終値!A117="","",IFERROR(4*STDEVP(終値!AF117:AY117)/AVERAGE(終値!AF117:AY117),""))</f>
      </c>
      <c r="AD117" s="684">
        <f>IF(終値!A117="","",IFERROR(4*STDEVP(終値!AG117:AZ117)/AVERAGE(終値!AG117:AZ117),""))</f>
      </c>
      <c r="AE117" s="684">
        <f>IF(終値!A117="","",IFERROR(4*STDEVP(終値!AH117:BA117)/AVERAGE(終値!AH117:BA117),""))</f>
      </c>
      <c r="AF117" s="684">
        <f>IF(終値!A117="","",IFERROR(4*STDEVP(終値!AI117:BB117)/AVERAGE(終値!AI117:BB117),""))</f>
      </c>
      <c r="AG117" s="684">
        <f>IF(終値!A117="","",IFERROR(4*STDEVP(終値!AJ117:BC117)/AVERAGE(終値!AJ117:BC117),""))</f>
      </c>
      <c r="AH117" s="684">
        <f>IF(終値!A117="","",IFERROR(4*STDEVP(終値!AK117:BD117)/AVERAGE(終値!AK117:BD117),""))</f>
      </c>
      <c r="AI117" s="684">
        <f>IF(終値!A117="","",IFERROR(4*STDEVP(終値!AL117:BE117)/AVERAGE(終値!AL117:BE117),""))</f>
      </c>
      <c r="AJ117" s="684">
        <f>IF(終値!A117="","",IFERROR(4*STDEVP(終値!AM117:BF117)/AVERAGE(終値!AM117:BF117),""))</f>
      </c>
      <c r="AK117" s="684">
        <f>IF(終値!A117="","",IFERROR(4*STDEVP(終値!AN117:BG117)/AVERAGE(終値!AN117:BG117),""))</f>
      </c>
      <c r="AL117" s="684">
        <f>IF(終値!A117="","",IFERROR(4*STDEVP(終値!AO117:BH117)/AVERAGE(終値!AO117:BH117),""))</f>
      </c>
      <c r="AM117" s="684">
        <f>IF(終値!A117="","",IFERROR(4*STDEVP(終値!AP117:BI117)/AVERAGE(終値!AP117:BI117),""))</f>
      </c>
      <c r="AN117" s="684">
        <f>IF(終値!A117="","",IFERROR(4*STDEVP(終値!AQ117:BJ117)/AVERAGE(終値!AQ117:BJ117),""))</f>
      </c>
      <c r="AO117" s="684">
        <f>IF(終値!A117="","",IFERROR(4*STDEVP(終値!AR117:BK117)/AVERAGE(終値!AR117:BK117),""))</f>
      </c>
      <c r="AP117" s="684">
        <f>IF(終値!A117="","",IFERROR(4*STDEVP(終値!AS117:BL117)/AVERAGE(終値!AS117:BL117),""))</f>
      </c>
    </row>
    <row r="118">
      <c r="A118" s="681">
        <f>IF(終値!A118="","",終値!A118)</f>
      </c>
      <c r="B118" s="684">
        <f>IF(終値!A118="","",IFERROR(4*STDEVP(終値!E118:X118)/AVERAGE(終値!E118:X118),""))</f>
      </c>
      <c r="C118" s="684">
        <f>IF(終値!A118="","",IFERROR(4*STDEVP(終値!F118:Y118)/AVERAGE(終値!F118:Y118),""))</f>
      </c>
      <c r="D118" s="684">
        <f>IF(終値!A118="","",IFERROR(4*STDEVP(終値!G118:Z118)/AVERAGE(終値!G118:Z118),""))</f>
      </c>
      <c r="E118" s="684">
        <f>IF(終値!A118="","",IFERROR(4*STDEVP(終値!H118:AA118)/AVERAGE(終値!H118:AA118),""))</f>
      </c>
      <c r="F118" s="684">
        <f>IF(終値!A118="","",IFERROR(4*STDEVP(終値!I118:AB118)/AVERAGE(終値!I118:AB118),""))</f>
      </c>
      <c r="G118" s="684">
        <f>IF(終値!A118="","",IFERROR(4*STDEVP(終値!J118:AC118)/AVERAGE(終値!J118:AC118),""))</f>
      </c>
      <c r="H118" s="684">
        <f>IF(終値!A118="","",IFERROR(4*STDEVP(終値!K118:AD118)/AVERAGE(終値!K118:AD118),""))</f>
      </c>
      <c r="I118" s="684">
        <f>IF(終値!A118="","",IFERROR(4*STDEVP(終値!L118:AE118)/AVERAGE(終値!L118:AE118),""))</f>
      </c>
      <c r="J118" s="684">
        <f>IF(終値!A118="","",IFERROR(4*STDEVP(終値!M118:AF118)/AVERAGE(終値!M118:AF118),""))</f>
      </c>
      <c r="K118" s="684">
        <f>IF(終値!A118="","",IFERROR(4*STDEVP(終値!N118:AG118)/AVERAGE(終値!N118:AG118),""))</f>
      </c>
      <c r="L118" s="684">
        <f>IF(終値!A118="","",IFERROR(4*STDEVP(終値!O118:AH118)/AVERAGE(終値!O118:AH118),""))</f>
      </c>
      <c r="M118" s="684">
        <f>IF(終値!A118="","",IFERROR(4*STDEVP(終値!P118:AI118)/AVERAGE(終値!P118:AI118),""))</f>
      </c>
      <c r="N118" s="684">
        <f>IF(終値!A118="","",IFERROR(4*STDEVP(終値!Q118:AJ118)/AVERAGE(終値!Q118:AJ118),""))</f>
      </c>
      <c r="O118" s="684">
        <f>IF(終値!A118="","",IFERROR(4*STDEVP(終値!R118:AK118)/AVERAGE(終値!R118:AK118),""))</f>
      </c>
      <c r="P118" s="684">
        <f>IF(終値!A118="","",IFERROR(4*STDEVP(終値!S118:AL118)/AVERAGE(終値!S118:AL118),""))</f>
      </c>
      <c r="Q118" s="684">
        <f>IF(終値!A118="","",IFERROR(4*STDEVP(終値!T118:AM118)/AVERAGE(終値!T118:AM118),""))</f>
      </c>
      <c r="R118" s="684">
        <f>IF(終値!A118="","",IFERROR(4*STDEVP(終値!U118:AN118)/AVERAGE(終値!U118:AN118),""))</f>
      </c>
      <c r="S118" s="684">
        <f>IF(終値!A118="","",IFERROR(4*STDEVP(終値!V118:AO118)/AVERAGE(終値!V118:AO118),""))</f>
      </c>
      <c r="T118" s="684">
        <f>IF(終値!A118="","",IFERROR(4*STDEVP(終値!W118:AP118)/AVERAGE(終値!W118:AP118),""))</f>
      </c>
      <c r="U118" s="684">
        <f>IF(終値!A118="","",IFERROR(4*STDEVP(終値!X118:AQ118)/AVERAGE(終値!X118:AQ118),""))</f>
      </c>
      <c r="V118" s="684">
        <f>IF(終値!A118="","",IFERROR(4*STDEVP(終値!Y118:AR118)/AVERAGE(終値!Y118:AR118),""))</f>
      </c>
      <c r="W118" s="684">
        <f>IF(終値!A118="","",IFERROR(4*STDEVP(終値!Z118:AS118)/AVERAGE(終値!Z118:AS118),""))</f>
      </c>
      <c r="X118" s="684">
        <f>IF(終値!A118="","",IFERROR(4*STDEVP(終値!AA118:AT118)/AVERAGE(終値!AA118:AT118),""))</f>
      </c>
      <c r="Y118" s="684">
        <f>IF(終値!A118="","",IFERROR(4*STDEVP(終値!AB118:AU118)/AVERAGE(終値!AB118:AU118),""))</f>
      </c>
      <c r="Z118" s="684">
        <f>IF(終値!A118="","",IFERROR(4*STDEVP(終値!AC118:AV118)/AVERAGE(終値!AC118:AV118),""))</f>
      </c>
      <c r="AA118" s="684">
        <f>IF(終値!A118="","",IFERROR(4*STDEVP(終値!AD118:AW118)/AVERAGE(終値!AD118:AW118),""))</f>
      </c>
      <c r="AB118" s="684">
        <f>IF(終値!A118="","",IFERROR(4*STDEVP(終値!AE118:AX118)/AVERAGE(終値!AE118:AX118),""))</f>
      </c>
      <c r="AC118" s="684">
        <f>IF(終値!A118="","",IFERROR(4*STDEVP(終値!AF118:AY118)/AVERAGE(終値!AF118:AY118),""))</f>
      </c>
      <c r="AD118" s="684">
        <f>IF(終値!A118="","",IFERROR(4*STDEVP(終値!AG118:AZ118)/AVERAGE(終値!AG118:AZ118),""))</f>
      </c>
      <c r="AE118" s="684">
        <f>IF(終値!A118="","",IFERROR(4*STDEVP(終値!AH118:BA118)/AVERAGE(終値!AH118:BA118),""))</f>
      </c>
      <c r="AF118" s="684">
        <f>IF(終値!A118="","",IFERROR(4*STDEVP(終値!AI118:BB118)/AVERAGE(終値!AI118:BB118),""))</f>
      </c>
      <c r="AG118" s="684">
        <f>IF(終値!A118="","",IFERROR(4*STDEVP(終値!AJ118:BC118)/AVERAGE(終値!AJ118:BC118),""))</f>
      </c>
      <c r="AH118" s="684">
        <f>IF(終値!A118="","",IFERROR(4*STDEVP(終値!AK118:BD118)/AVERAGE(終値!AK118:BD118),""))</f>
      </c>
      <c r="AI118" s="684">
        <f>IF(終値!A118="","",IFERROR(4*STDEVP(終値!AL118:BE118)/AVERAGE(終値!AL118:BE118),""))</f>
      </c>
      <c r="AJ118" s="684">
        <f>IF(終値!A118="","",IFERROR(4*STDEVP(終値!AM118:BF118)/AVERAGE(終値!AM118:BF118),""))</f>
      </c>
      <c r="AK118" s="684">
        <f>IF(終値!A118="","",IFERROR(4*STDEVP(終値!AN118:BG118)/AVERAGE(終値!AN118:BG118),""))</f>
      </c>
      <c r="AL118" s="684">
        <f>IF(終値!A118="","",IFERROR(4*STDEVP(終値!AO118:BH118)/AVERAGE(終値!AO118:BH118),""))</f>
      </c>
      <c r="AM118" s="684">
        <f>IF(終値!A118="","",IFERROR(4*STDEVP(終値!AP118:BI118)/AVERAGE(終値!AP118:BI118),""))</f>
      </c>
      <c r="AN118" s="684">
        <f>IF(終値!A118="","",IFERROR(4*STDEVP(終値!AQ118:BJ118)/AVERAGE(終値!AQ118:BJ118),""))</f>
      </c>
      <c r="AO118" s="684">
        <f>IF(終値!A118="","",IFERROR(4*STDEVP(終値!AR118:BK118)/AVERAGE(終値!AR118:BK118),""))</f>
      </c>
      <c r="AP118" s="684">
        <f>IF(終値!A118="","",IFERROR(4*STDEVP(終値!AS118:BL118)/AVERAGE(終値!AS118:BL118),""))</f>
      </c>
    </row>
    <row r="119">
      <c r="A119" s="681">
        <f>IF(終値!A119="","",終値!A119)</f>
      </c>
      <c r="B119" s="684">
        <f>IF(終値!A119="","",IFERROR(4*STDEVP(終値!E119:X119)/AVERAGE(終値!E119:X119),""))</f>
      </c>
      <c r="C119" s="684">
        <f>IF(終値!A119="","",IFERROR(4*STDEVP(終値!F119:Y119)/AVERAGE(終値!F119:Y119),""))</f>
      </c>
      <c r="D119" s="684">
        <f>IF(終値!A119="","",IFERROR(4*STDEVP(終値!G119:Z119)/AVERAGE(終値!G119:Z119),""))</f>
      </c>
      <c r="E119" s="684">
        <f>IF(終値!A119="","",IFERROR(4*STDEVP(終値!H119:AA119)/AVERAGE(終値!H119:AA119),""))</f>
      </c>
      <c r="F119" s="684">
        <f>IF(終値!A119="","",IFERROR(4*STDEVP(終値!I119:AB119)/AVERAGE(終値!I119:AB119),""))</f>
      </c>
      <c r="G119" s="684">
        <f>IF(終値!A119="","",IFERROR(4*STDEVP(終値!J119:AC119)/AVERAGE(終値!J119:AC119),""))</f>
      </c>
      <c r="H119" s="684">
        <f>IF(終値!A119="","",IFERROR(4*STDEVP(終値!K119:AD119)/AVERAGE(終値!K119:AD119),""))</f>
      </c>
      <c r="I119" s="684">
        <f>IF(終値!A119="","",IFERROR(4*STDEVP(終値!L119:AE119)/AVERAGE(終値!L119:AE119),""))</f>
      </c>
      <c r="J119" s="684">
        <f>IF(終値!A119="","",IFERROR(4*STDEVP(終値!M119:AF119)/AVERAGE(終値!M119:AF119),""))</f>
      </c>
      <c r="K119" s="684">
        <f>IF(終値!A119="","",IFERROR(4*STDEVP(終値!N119:AG119)/AVERAGE(終値!N119:AG119),""))</f>
      </c>
      <c r="L119" s="684">
        <f>IF(終値!A119="","",IFERROR(4*STDEVP(終値!O119:AH119)/AVERAGE(終値!O119:AH119),""))</f>
      </c>
      <c r="M119" s="684">
        <f>IF(終値!A119="","",IFERROR(4*STDEVP(終値!P119:AI119)/AVERAGE(終値!P119:AI119),""))</f>
      </c>
      <c r="N119" s="684">
        <f>IF(終値!A119="","",IFERROR(4*STDEVP(終値!Q119:AJ119)/AVERAGE(終値!Q119:AJ119),""))</f>
      </c>
      <c r="O119" s="684">
        <f>IF(終値!A119="","",IFERROR(4*STDEVP(終値!R119:AK119)/AVERAGE(終値!R119:AK119),""))</f>
      </c>
      <c r="P119" s="684">
        <f>IF(終値!A119="","",IFERROR(4*STDEVP(終値!S119:AL119)/AVERAGE(終値!S119:AL119),""))</f>
      </c>
      <c r="Q119" s="684">
        <f>IF(終値!A119="","",IFERROR(4*STDEVP(終値!T119:AM119)/AVERAGE(終値!T119:AM119),""))</f>
      </c>
      <c r="R119" s="684">
        <f>IF(終値!A119="","",IFERROR(4*STDEVP(終値!U119:AN119)/AVERAGE(終値!U119:AN119),""))</f>
      </c>
      <c r="S119" s="684">
        <f>IF(終値!A119="","",IFERROR(4*STDEVP(終値!V119:AO119)/AVERAGE(終値!V119:AO119),""))</f>
      </c>
      <c r="T119" s="684">
        <f>IF(終値!A119="","",IFERROR(4*STDEVP(終値!W119:AP119)/AVERAGE(終値!W119:AP119),""))</f>
      </c>
      <c r="U119" s="684">
        <f>IF(終値!A119="","",IFERROR(4*STDEVP(終値!X119:AQ119)/AVERAGE(終値!X119:AQ119),""))</f>
      </c>
      <c r="V119" s="684">
        <f>IF(終値!A119="","",IFERROR(4*STDEVP(終値!Y119:AR119)/AVERAGE(終値!Y119:AR119),""))</f>
      </c>
      <c r="W119" s="684">
        <f>IF(終値!A119="","",IFERROR(4*STDEVP(終値!Z119:AS119)/AVERAGE(終値!Z119:AS119),""))</f>
      </c>
      <c r="X119" s="684">
        <f>IF(終値!A119="","",IFERROR(4*STDEVP(終値!AA119:AT119)/AVERAGE(終値!AA119:AT119),""))</f>
      </c>
      <c r="Y119" s="684">
        <f>IF(終値!A119="","",IFERROR(4*STDEVP(終値!AB119:AU119)/AVERAGE(終値!AB119:AU119),""))</f>
      </c>
      <c r="Z119" s="684">
        <f>IF(終値!A119="","",IFERROR(4*STDEVP(終値!AC119:AV119)/AVERAGE(終値!AC119:AV119),""))</f>
      </c>
      <c r="AA119" s="684">
        <f>IF(終値!A119="","",IFERROR(4*STDEVP(終値!AD119:AW119)/AVERAGE(終値!AD119:AW119),""))</f>
      </c>
      <c r="AB119" s="684">
        <f>IF(終値!A119="","",IFERROR(4*STDEVP(終値!AE119:AX119)/AVERAGE(終値!AE119:AX119),""))</f>
      </c>
      <c r="AC119" s="684">
        <f>IF(終値!A119="","",IFERROR(4*STDEVP(終値!AF119:AY119)/AVERAGE(終値!AF119:AY119),""))</f>
      </c>
      <c r="AD119" s="684">
        <f>IF(終値!A119="","",IFERROR(4*STDEVP(終値!AG119:AZ119)/AVERAGE(終値!AG119:AZ119),""))</f>
      </c>
      <c r="AE119" s="684">
        <f>IF(終値!A119="","",IFERROR(4*STDEVP(終値!AH119:BA119)/AVERAGE(終値!AH119:BA119),""))</f>
      </c>
      <c r="AF119" s="684">
        <f>IF(終値!A119="","",IFERROR(4*STDEVP(終値!AI119:BB119)/AVERAGE(終値!AI119:BB119),""))</f>
      </c>
      <c r="AG119" s="684">
        <f>IF(終値!A119="","",IFERROR(4*STDEVP(終値!AJ119:BC119)/AVERAGE(終値!AJ119:BC119),""))</f>
      </c>
      <c r="AH119" s="684">
        <f>IF(終値!A119="","",IFERROR(4*STDEVP(終値!AK119:BD119)/AVERAGE(終値!AK119:BD119),""))</f>
      </c>
      <c r="AI119" s="684">
        <f>IF(終値!A119="","",IFERROR(4*STDEVP(終値!AL119:BE119)/AVERAGE(終値!AL119:BE119),""))</f>
      </c>
      <c r="AJ119" s="684">
        <f>IF(終値!A119="","",IFERROR(4*STDEVP(終値!AM119:BF119)/AVERAGE(終値!AM119:BF119),""))</f>
      </c>
      <c r="AK119" s="684">
        <f>IF(終値!A119="","",IFERROR(4*STDEVP(終値!AN119:BG119)/AVERAGE(終値!AN119:BG119),""))</f>
      </c>
      <c r="AL119" s="684">
        <f>IF(終値!A119="","",IFERROR(4*STDEVP(終値!AO119:BH119)/AVERAGE(終値!AO119:BH119),""))</f>
      </c>
      <c r="AM119" s="684">
        <f>IF(終値!A119="","",IFERROR(4*STDEVP(終値!AP119:BI119)/AVERAGE(終値!AP119:BI119),""))</f>
      </c>
      <c r="AN119" s="684">
        <f>IF(終値!A119="","",IFERROR(4*STDEVP(終値!AQ119:BJ119)/AVERAGE(終値!AQ119:BJ119),""))</f>
      </c>
      <c r="AO119" s="684">
        <f>IF(終値!A119="","",IFERROR(4*STDEVP(終値!AR119:BK119)/AVERAGE(終値!AR119:BK119),""))</f>
      </c>
      <c r="AP119" s="684">
        <f>IF(終値!A119="","",IFERROR(4*STDEVP(終値!AS119:BL119)/AVERAGE(終値!AS119:BL119),""))</f>
      </c>
    </row>
    <row r="120">
      <c r="A120" s="681">
        <f>IF(終値!A120="","",終値!A120)</f>
      </c>
      <c r="B120" s="684">
        <f>IF(終値!A120="","",IFERROR(4*STDEVP(終値!E120:X120)/AVERAGE(終値!E120:X120),""))</f>
      </c>
      <c r="C120" s="684">
        <f>IF(終値!A120="","",IFERROR(4*STDEVP(終値!F120:Y120)/AVERAGE(終値!F120:Y120),""))</f>
      </c>
      <c r="D120" s="684">
        <f>IF(終値!A120="","",IFERROR(4*STDEVP(終値!G120:Z120)/AVERAGE(終値!G120:Z120),""))</f>
      </c>
      <c r="E120" s="684">
        <f>IF(終値!A120="","",IFERROR(4*STDEVP(終値!H120:AA120)/AVERAGE(終値!H120:AA120),""))</f>
      </c>
      <c r="F120" s="684">
        <f>IF(終値!A120="","",IFERROR(4*STDEVP(終値!I120:AB120)/AVERAGE(終値!I120:AB120),""))</f>
      </c>
      <c r="G120" s="684">
        <f>IF(終値!A120="","",IFERROR(4*STDEVP(終値!J120:AC120)/AVERAGE(終値!J120:AC120),""))</f>
      </c>
      <c r="H120" s="684">
        <f>IF(終値!A120="","",IFERROR(4*STDEVP(終値!K120:AD120)/AVERAGE(終値!K120:AD120),""))</f>
      </c>
      <c r="I120" s="684">
        <f>IF(終値!A120="","",IFERROR(4*STDEVP(終値!L120:AE120)/AVERAGE(終値!L120:AE120),""))</f>
      </c>
      <c r="J120" s="684">
        <f>IF(終値!A120="","",IFERROR(4*STDEVP(終値!M120:AF120)/AVERAGE(終値!M120:AF120),""))</f>
      </c>
      <c r="K120" s="684">
        <f>IF(終値!A120="","",IFERROR(4*STDEVP(終値!N120:AG120)/AVERAGE(終値!N120:AG120),""))</f>
      </c>
      <c r="L120" s="684">
        <f>IF(終値!A120="","",IFERROR(4*STDEVP(終値!O120:AH120)/AVERAGE(終値!O120:AH120),""))</f>
      </c>
      <c r="M120" s="684">
        <f>IF(終値!A120="","",IFERROR(4*STDEVP(終値!P120:AI120)/AVERAGE(終値!P120:AI120),""))</f>
      </c>
      <c r="N120" s="684">
        <f>IF(終値!A120="","",IFERROR(4*STDEVP(終値!Q120:AJ120)/AVERAGE(終値!Q120:AJ120),""))</f>
      </c>
      <c r="O120" s="684">
        <f>IF(終値!A120="","",IFERROR(4*STDEVP(終値!R120:AK120)/AVERAGE(終値!R120:AK120),""))</f>
      </c>
      <c r="P120" s="684">
        <f>IF(終値!A120="","",IFERROR(4*STDEVP(終値!S120:AL120)/AVERAGE(終値!S120:AL120),""))</f>
      </c>
      <c r="Q120" s="684">
        <f>IF(終値!A120="","",IFERROR(4*STDEVP(終値!T120:AM120)/AVERAGE(終値!T120:AM120),""))</f>
      </c>
      <c r="R120" s="684">
        <f>IF(終値!A120="","",IFERROR(4*STDEVP(終値!U120:AN120)/AVERAGE(終値!U120:AN120),""))</f>
      </c>
      <c r="S120" s="684">
        <f>IF(終値!A120="","",IFERROR(4*STDEVP(終値!V120:AO120)/AVERAGE(終値!V120:AO120),""))</f>
      </c>
      <c r="T120" s="684">
        <f>IF(終値!A120="","",IFERROR(4*STDEVP(終値!W120:AP120)/AVERAGE(終値!W120:AP120),""))</f>
      </c>
      <c r="U120" s="684">
        <f>IF(終値!A120="","",IFERROR(4*STDEVP(終値!X120:AQ120)/AVERAGE(終値!X120:AQ120),""))</f>
      </c>
      <c r="V120" s="684">
        <f>IF(終値!A120="","",IFERROR(4*STDEVP(終値!Y120:AR120)/AVERAGE(終値!Y120:AR120),""))</f>
      </c>
      <c r="W120" s="684">
        <f>IF(終値!A120="","",IFERROR(4*STDEVP(終値!Z120:AS120)/AVERAGE(終値!Z120:AS120),""))</f>
      </c>
      <c r="X120" s="684">
        <f>IF(終値!A120="","",IFERROR(4*STDEVP(終値!AA120:AT120)/AVERAGE(終値!AA120:AT120),""))</f>
      </c>
      <c r="Y120" s="684">
        <f>IF(終値!A120="","",IFERROR(4*STDEVP(終値!AB120:AU120)/AVERAGE(終値!AB120:AU120),""))</f>
      </c>
      <c r="Z120" s="684">
        <f>IF(終値!A120="","",IFERROR(4*STDEVP(終値!AC120:AV120)/AVERAGE(終値!AC120:AV120),""))</f>
      </c>
      <c r="AA120" s="684">
        <f>IF(終値!A120="","",IFERROR(4*STDEVP(終値!AD120:AW120)/AVERAGE(終値!AD120:AW120),""))</f>
      </c>
      <c r="AB120" s="684">
        <f>IF(終値!A120="","",IFERROR(4*STDEVP(終値!AE120:AX120)/AVERAGE(終値!AE120:AX120),""))</f>
      </c>
      <c r="AC120" s="684">
        <f>IF(終値!A120="","",IFERROR(4*STDEVP(終値!AF120:AY120)/AVERAGE(終値!AF120:AY120),""))</f>
      </c>
      <c r="AD120" s="684">
        <f>IF(終値!A120="","",IFERROR(4*STDEVP(終値!AG120:AZ120)/AVERAGE(終値!AG120:AZ120),""))</f>
      </c>
      <c r="AE120" s="684">
        <f>IF(終値!A120="","",IFERROR(4*STDEVP(終値!AH120:BA120)/AVERAGE(終値!AH120:BA120),""))</f>
      </c>
      <c r="AF120" s="684">
        <f>IF(終値!A120="","",IFERROR(4*STDEVP(終値!AI120:BB120)/AVERAGE(終値!AI120:BB120),""))</f>
      </c>
      <c r="AG120" s="684">
        <f>IF(終値!A120="","",IFERROR(4*STDEVP(終値!AJ120:BC120)/AVERAGE(終値!AJ120:BC120),""))</f>
      </c>
      <c r="AH120" s="684">
        <f>IF(終値!A120="","",IFERROR(4*STDEVP(終値!AK120:BD120)/AVERAGE(終値!AK120:BD120),""))</f>
      </c>
      <c r="AI120" s="684">
        <f>IF(終値!A120="","",IFERROR(4*STDEVP(終値!AL120:BE120)/AVERAGE(終値!AL120:BE120),""))</f>
      </c>
      <c r="AJ120" s="684">
        <f>IF(終値!A120="","",IFERROR(4*STDEVP(終値!AM120:BF120)/AVERAGE(終値!AM120:BF120),""))</f>
      </c>
      <c r="AK120" s="684">
        <f>IF(終値!A120="","",IFERROR(4*STDEVP(終値!AN120:BG120)/AVERAGE(終値!AN120:BG120),""))</f>
      </c>
      <c r="AL120" s="684">
        <f>IF(終値!A120="","",IFERROR(4*STDEVP(終値!AO120:BH120)/AVERAGE(終値!AO120:BH120),""))</f>
      </c>
      <c r="AM120" s="684">
        <f>IF(終値!A120="","",IFERROR(4*STDEVP(終値!AP120:BI120)/AVERAGE(終値!AP120:BI120),""))</f>
      </c>
      <c r="AN120" s="684">
        <f>IF(終値!A120="","",IFERROR(4*STDEVP(終値!AQ120:BJ120)/AVERAGE(終値!AQ120:BJ120),""))</f>
      </c>
      <c r="AO120" s="684">
        <f>IF(終値!A120="","",IFERROR(4*STDEVP(終値!AR120:BK120)/AVERAGE(終値!AR120:BK120),""))</f>
      </c>
      <c r="AP120" s="684">
        <f>IF(終値!A120="","",IFERROR(4*STDEVP(終値!AS120:BL120)/AVERAGE(終値!AS120:BL120),""))</f>
      </c>
    </row>
    <row r="121">
      <c r="A121" s="681">
        <f>IF(終値!A121="","",終値!A121)</f>
      </c>
      <c r="B121" s="684">
        <f>IF(終値!A121="","",IFERROR(4*STDEVP(終値!E121:X121)/AVERAGE(終値!E121:X121),""))</f>
      </c>
      <c r="C121" s="684">
        <f>IF(終値!A121="","",IFERROR(4*STDEVP(終値!F121:Y121)/AVERAGE(終値!F121:Y121),""))</f>
      </c>
      <c r="D121" s="684">
        <f>IF(終値!A121="","",IFERROR(4*STDEVP(終値!G121:Z121)/AVERAGE(終値!G121:Z121),""))</f>
      </c>
      <c r="E121" s="684">
        <f>IF(終値!A121="","",IFERROR(4*STDEVP(終値!H121:AA121)/AVERAGE(終値!H121:AA121),""))</f>
      </c>
      <c r="F121" s="684">
        <f>IF(終値!A121="","",IFERROR(4*STDEVP(終値!I121:AB121)/AVERAGE(終値!I121:AB121),""))</f>
      </c>
      <c r="G121" s="684">
        <f>IF(終値!A121="","",IFERROR(4*STDEVP(終値!J121:AC121)/AVERAGE(終値!J121:AC121),""))</f>
      </c>
      <c r="H121" s="684">
        <f>IF(終値!A121="","",IFERROR(4*STDEVP(終値!K121:AD121)/AVERAGE(終値!K121:AD121),""))</f>
      </c>
      <c r="I121" s="684">
        <f>IF(終値!A121="","",IFERROR(4*STDEVP(終値!L121:AE121)/AVERAGE(終値!L121:AE121),""))</f>
      </c>
      <c r="J121" s="684">
        <f>IF(終値!A121="","",IFERROR(4*STDEVP(終値!M121:AF121)/AVERAGE(終値!M121:AF121),""))</f>
      </c>
      <c r="K121" s="684">
        <f>IF(終値!A121="","",IFERROR(4*STDEVP(終値!N121:AG121)/AVERAGE(終値!N121:AG121),""))</f>
      </c>
      <c r="L121" s="684">
        <f>IF(終値!A121="","",IFERROR(4*STDEVP(終値!O121:AH121)/AVERAGE(終値!O121:AH121),""))</f>
      </c>
      <c r="M121" s="684">
        <f>IF(終値!A121="","",IFERROR(4*STDEVP(終値!P121:AI121)/AVERAGE(終値!P121:AI121),""))</f>
      </c>
      <c r="N121" s="684">
        <f>IF(終値!A121="","",IFERROR(4*STDEVP(終値!Q121:AJ121)/AVERAGE(終値!Q121:AJ121),""))</f>
      </c>
      <c r="O121" s="684">
        <f>IF(終値!A121="","",IFERROR(4*STDEVP(終値!R121:AK121)/AVERAGE(終値!R121:AK121),""))</f>
      </c>
      <c r="P121" s="684">
        <f>IF(終値!A121="","",IFERROR(4*STDEVP(終値!S121:AL121)/AVERAGE(終値!S121:AL121),""))</f>
      </c>
      <c r="Q121" s="684">
        <f>IF(終値!A121="","",IFERROR(4*STDEVP(終値!T121:AM121)/AVERAGE(終値!T121:AM121),""))</f>
      </c>
      <c r="R121" s="684">
        <f>IF(終値!A121="","",IFERROR(4*STDEVP(終値!U121:AN121)/AVERAGE(終値!U121:AN121),""))</f>
      </c>
      <c r="S121" s="684">
        <f>IF(終値!A121="","",IFERROR(4*STDEVP(終値!V121:AO121)/AVERAGE(終値!V121:AO121),""))</f>
      </c>
      <c r="T121" s="684">
        <f>IF(終値!A121="","",IFERROR(4*STDEVP(終値!W121:AP121)/AVERAGE(終値!W121:AP121),""))</f>
      </c>
      <c r="U121" s="684">
        <f>IF(終値!A121="","",IFERROR(4*STDEVP(終値!X121:AQ121)/AVERAGE(終値!X121:AQ121),""))</f>
      </c>
      <c r="V121" s="684">
        <f>IF(終値!A121="","",IFERROR(4*STDEVP(終値!Y121:AR121)/AVERAGE(終値!Y121:AR121),""))</f>
      </c>
      <c r="W121" s="684">
        <f>IF(終値!A121="","",IFERROR(4*STDEVP(終値!Z121:AS121)/AVERAGE(終値!Z121:AS121),""))</f>
      </c>
      <c r="X121" s="684">
        <f>IF(終値!A121="","",IFERROR(4*STDEVP(終値!AA121:AT121)/AVERAGE(終値!AA121:AT121),""))</f>
      </c>
      <c r="Y121" s="684">
        <f>IF(終値!A121="","",IFERROR(4*STDEVP(終値!AB121:AU121)/AVERAGE(終値!AB121:AU121),""))</f>
      </c>
      <c r="Z121" s="684">
        <f>IF(終値!A121="","",IFERROR(4*STDEVP(終値!AC121:AV121)/AVERAGE(終値!AC121:AV121),""))</f>
      </c>
      <c r="AA121" s="684">
        <f>IF(終値!A121="","",IFERROR(4*STDEVP(終値!AD121:AW121)/AVERAGE(終値!AD121:AW121),""))</f>
      </c>
      <c r="AB121" s="684">
        <f>IF(終値!A121="","",IFERROR(4*STDEVP(終値!AE121:AX121)/AVERAGE(終値!AE121:AX121),""))</f>
      </c>
      <c r="AC121" s="684">
        <f>IF(終値!A121="","",IFERROR(4*STDEVP(終値!AF121:AY121)/AVERAGE(終値!AF121:AY121),""))</f>
      </c>
      <c r="AD121" s="684">
        <f>IF(終値!A121="","",IFERROR(4*STDEVP(終値!AG121:AZ121)/AVERAGE(終値!AG121:AZ121),""))</f>
      </c>
      <c r="AE121" s="684">
        <f>IF(終値!A121="","",IFERROR(4*STDEVP(終値!AH121:BA121)/AVERAGE(終値!AH121:BA121),""))</f>
      </c>
      <c r="AF121" s="684">
        <f>IF(終値!A121="","",IFERROR(4*STDEVP(終値!AI121:BB121)/AVERAGE(終値!AI121:BB121),""))</f>
      </c>
      <c r="AG121" s="684">
        <f>IF(終値!A121="","",IFERROR(4*STDEVP(終値!AJ121:BC121)/AVERAGE(終値!AJ121:BC121),""))</f>
      </c>
      <c r="AH121" s="684">
        <f>IF(終値!A121="","",IFERROR(4*STDEVP(終値!AK121:BD121)/AVERAGE(終値!AK121:BD121),""))</f>
      </c>
      <c r="AI121" s="684">
        <f>IF(終値!A121="","",IFERROR(4*STDEVP(終値!AL121:BE121)/AVERAGE(終値!AL121:BE121),""))</f>
      </c>
      <c r="AJ121" s="684">
        <f>IF(終値!A121="","",IFERROR(4*STDEVP(終値!AM121:BF121)/AVERAGE(終値!AM121:BF121),""))</f>
      </c>
      <c r="AK121" s="684">
        <f>IF(終値!A121="","",IFERROR(4*STDEVP(終値!AN121:BG121)/AVERAGE(終値!AN121:BG121),""))</f>
      </c>
      <c r="AL121" s="684">
        <f>IF(終値!A121="","",IFERROR(4*STDEVP(終値!AO121:BH121)/AVERAGE(終値!AO121:BH121),""))</f>
      </c>
      <c r="AM121" s="684">
        <f>IF(終値!A121="","",IFERROR(4*STDEVP(終値!AP121:BI121)/AVERAGE(終値!AP121:BI121),""))</f>
      </c>
      <c r="AN121" s="684">
        <f>IF(終値!A121="","",IFERROR(4*STDEVP(終値!AQ121:BJ121)/AVERAGE(終値!AQ121:BJ121),""))</f>
      </c>
      <c r="AO121" s="684">
        <f>IF(終値!A121="","",IFERROR(4*STDEVP(終値!AR121:BK121)/AVERAGE(終値!AR121:BK121),""))</f>
      </c>
      <c r="AP121" s="684">
        <f>IF(終値!A121="","",IFERROR(4*STDEVP(終値!AS121:BL121)/AVERAGE(終値!AS121:BL121),""))</f>
      </c>
    </row>
    <row r="122">
      <c r="A122" s="681">
        <f>IF(終値!A122="","",終値!A122)</f>
      </c>
      <c r="B122" s="684">
        <f>IF(終値!A122="","",IFERROR(4*STDEVP(終値!E122:X122)/AVERAGE(終値!E122:X122),""))</f>
      </c>
      <c r="C122" s="684">
        <f>IF(終値!A122="","",IFERROR(4*STDEVP(終値!F122:Y122)/AVERAGE(終値!F122:Y122),""))</f>
      </c>
      <c r="D122" s="684">
        <f>IF(終値!A122="","",IFERROR(4*STDEVP(終値!G122:Z122)/AVERAGE(終値!G122:Z122),""))</f>
      </c>
      <c r="E122" s="684">
        <f>IF(終値!A122="","",IFERROR(4*STDEVP(終値!H122:AA122)/AVERAGE(終値!H122:AA122),""))</f>
      </c>
      <c r="F122" s="684">
        <f>IF(終値!A122="","",IFERROR(4*STDEVP(終値!I122:AB122)/AVERAGE(終値!I122:AB122),""))</f>
      </c>
      <c r="G122" s="684">
        <f>IF(終値!A122="","",IFERROR(4*STDEVP(終値!J122:AC122)/AVERAGE(終値!J122:AC122),""))</f>
      </c>
      <c r="H122" s="684">
        <f>IF(終値!A122="","",IFERROR(4*STDEVP(終値!K122:AD122)/AVERAGE(終値!K122:AD122),""))</f>
      </c>
      <c r="I122" s="684">
        <f>IF(終値!A122="","",IFERROR(4*STDEVP(終値!L122:AE122)/AVERAGE(終値!L122:AE122),""))</f>
      </c>
      <c r="J122" s="684">
        <f>IF(終値!A122="","",IFERROR(4*STDEVP(終値!M122:AF122)/AVERAGE(終値!M122:AF122),""))</f>
      </c>
      <c r="K122" s="684">
        <f>IF(終値!A122="","",IFERROR(4*STDEVP(終値!N122:AG122)/AVERAGE(終値!N122:AG122),""))</f>
      </c>
      <c r="L122" s="684">
        <f>IF(終値!A122="","",IFERROR(4*STDEVP(終値!O122:AH122)/AVERAGE(終値!O122:AH122),""))</f>
      </c>
      <c r="M122" s="684">
        <f>IF(終値!A122="","",IFERROR(4*STDEVP(終値!P122:AI122)/AVERAGE(終値!P122:AI122),""))</f>
      </c>
      <c r="N122" s="684">
        <f>IF(終値!A122="","",IFERROR(4*STDEVP(終値!Q122:AJ122)/AVERAGE(終値!Q122:AJ122),""))</f>
      </c>
      <c r="O122" s="684">
        <f>IF(終値!A122="","",IFERROR(4*STDEVP(終値!R122:AK122)/AVERAGE(終値!R122:AK122),""))</f>
      </c>
      <c r="P122" s="684">
        <f>IF(終値!A122="","",IFERROR(4*STDEVP(終値!S122:AL122)/AVERAGE(終値!S122:AL122),""))</f>
      </c>
      <c r="Q122" s="684">
        <f>IF(終値!A122="","",IFERROR(4*STDEVP(終値!T122:AM122)/AVERAGE(終値!T122:AM122),""))</f>
      </c>
      <c r="R122" s="684">
        <f>IF(終値!A122="","",IFERROR(4*STDEVP(終値!U122:AN122)/AVERAGE(終値!U122:AN122),""))</f>
      </c>
      <c r="S122" s="684">
        <f>IF(終値!A122="","",IFERROR(4*STDEVP(終値!V122:AO122)/AVERAGE(終値!V122:AO122),""))</f>
      </c>
      <c r="T122" s="684">
        <f>IF(終値!A122="","",IFERROR(4*STDEVP(終値!W122:AP122)/AVERAGE(終値!W122:AP122),""))</f>
      </c>
      <c r="U122" s="684">
        <f>IF(終値!A122="","",IFERROR(4*STDEVP(終値!X122:AQ122)/AVERAGE(終値!X122:AQ122),""))</f>
      </c>
      <c r="V122" s="684">
        <f>IF(終値!A122="","",IFERROR(4*STDEVP(終値!Y122:AR122)/AVERAGE(終値!Y122:AR122),""))</f>
      </c>
      <c r="W122" s="684">
        <f>IF(終値!A122="","",IFERROR(4*STDEVP(終値!Z122:AS122)/AVERAGE(終値!Z122:AS122),""))</f>
      </c>
      <c r="X122" s="684">
        <f>IF(終値!A122="","",IFERROR(4*STDEVP(終値!AA122:AT122)/AVERAGE(終値!AA122:AT122),""))</f>
      </c>
      <c r="Y122" s="684">
        <f>IF(終値!A122="","",IFERROR(4*STDEVP(終値!AB122:AU122)/AVERAGE(終値!AB122:AU122),""))</f>
      </c>
      <c r="Z122" s="684">
        <f>IF(終値!A122="","",IFERROR(4*STDEVP(終値!AC122:AV122)/AVERAGE(終値!AC122:AV122),""))</f>
      </c>
      <c r="AA122" s="684">
        <f>IF(終値!A122="","",IFERROR(4*STDEVP(終値!AD122:AW122)/AVERAGE(終値!AD122:AW122),""))</f>
      </c>
      <c r="AB122" s="684">
        <f>IF(終値!A122="","",IFERROR(4*STDEVP(終値!AE122:AX122)/AVERAGE(終値!AE122:AX122),""))</f>
      </c>
      <c r="AC122" s="684">
        <f>IF(終値!A122="","",IFERROR(4*STDEVP(終値!AF122:AY122)/AVERAGE(終値!AF122:AY122),""))</f>
      </c>
      <c r="AD122" s="684">
        <f>IF(終値!A122="","",IFERROR(4*STDEVP(終値!AG122:AZ122)/AVERAGE(終値!AG122:AZ122),""))</f>
      </c>
      <c r="AE122" s="684">
        <f>IF(終値!A122="","",IFERROR(4*STDEVP(終値!AH122:BA122)/AVERAGE(終値!AH122:BA122),""))</f>
      </c>
      <c r="AF122" s="684">
        <f>IF(終値!A122="","",IFERROR(4*STDEVP(終値!AI122:BB122)/AVERAGE(終値!AI122:BB122),""))</f>
      </c>
      <c r="AG122" s="684">
        <f>IF(終値!A122="","",IFERROR(4*STDEVP(終値!AJ122:BC122)/AVERAGE(終値!AJ122:BC122),""))</f>
      </c>
      <c r="AH122" s="684">
        <f>IF(終値!A122="","",IFERROR(4*STDEVP(終値!AK122:BD122)/AVERAGE(終値!AK122:BD122),""))</f>
      </c>
      <c r="AI122" s="684">
        <f>IF(終値!A122="","",IFERROR(4*STDEVP(終値!AL122:BE122)/AVERAGE(終値!AL122:BE122),""))</f>
      </c>
      <c r="AJ122" s="684">
        <f>IF(終値!A122="","",IFERROR(4*STDEVP(終値!AM122:BF122)/AVERAGE(終値!AM122:BF122),""))</f>
      </c>
      <c r="AK122" s="684">
        <f>IF(終値!A122="","",IFERROR(4*STDEVP(終値!AN122:BG122)/AVERAGE(終値!AN122:BG122),""))</f>
      </c>
      <c r="AL122" s="684">
        <f>IF(終値!A122="","",IFERROR(4*STDEVP(終値!AO122:BH122)/AVERAGE(終値!AO122:BH122),""))</f>
      </c>
      <c r="AM122" s="684">
        <f>IF(終値!A122="","",IFERROR(4*STDEVP(終値!AP122:BI122)/AVERAGE(終値!AP122:BI122),""))</f>
      </c>
      <c r="AN122" s="684">
        <f>IF(終値!A122="","",IFERROR(4*STDEVP(終値!AQ122:BJ122)/AVERAGE(終値!AQ122:BJ122),""))</f>
      </c>
      <c r="AO122" s="684">
        <f>IF(終値!A122="","",IFERROR(4*STDEVP(終値!AR122:BK122)/AVERAGE(終値!AR122:BK122),""))</f>
      </c>
      <c r="AP122" s="684">
        <f>IF(終値!A122="","",IFERROR(4*STDEVP(終値!AS122:BL122)/AVERAGE(終値!AS122:BL122),""))</f>
      </c>
    </row>
    <row r="123">
      <c r="A123" s="681">
        <f>IF(終値!A123="","",終値!A123)</f>
      </c>
      <c r="B123" s="684">
        <f>IF(終値!A123="","",IFERROR(4*STDEVP(終値!E123:X123)/AVERAGE(終値!E123:X123),""))</f>
      </c>
      <c r="C123" s="684">
        <f>IF(終値!A123="","",IFERROR(4*STDEVP(終値!F123:Y123)/AVERAGE(終値!F123:Y123),""))</f>
      </c>
      <c r="D123" s="684">
        <f>IF(終値!A123="","",IFERROR(4*STDEVP(終値!G123:Z123)/AVERAGE(終値!G123:Z123),""))</f>
      </c>
      <c r="E123" s="684">
        <f>IF(終値!A123="","",IFERROR(4*STDEVP(終値!H123:AA123)/AVERAGE(終値!H123:AA123),""))</f>
      </c>
      <c r="F123" s="684">
        <f>IF(終値!A123="","",IFERROR(4*STDEVP(終値!I123:AB123)/AVERAGE(終値!I123:AB123),""))</f>
      </c>
      <c r="G123" s="684">
        <f>IF(終値!A123="","",IFERROR(4*STDEVP(終値!J123:AC123)/AVERAGE(終値!J123:AC123),""))</f>
      </c>
      <c r="H123" s="684">
        <f>IF(終値!A123="","",IFERROR(4*STDEVP(終値!K123:AD123)/AVERAGE(終値!K123:AD123),""))</f>
      </c>
      <c r="I123" s="684">
        <f>IF(終値!A123="","",IFERROR(4*STDEVP(終値!L123:AE123)/AVERAGE(終値!L123:AE123),""))</f>
      </c>
      <c r="J123" s="684">
        <f>IF(終値!A123="","",IFERROR(4*STDEVP(終値!M123:AF123)/AVERAGE(終値!M123:AF123),""))</f>
      </c>
      <c r="K123" s="684">
        <f>IF(終値!A123="","",IFERROR(4*STDEVP(終値!N123:AG123)/AVERAGE(終値!N123:AG123),""))</f>
      </c>
      <c r="L123" s="684">
        <f>IF(終値!A123="","",IFERROR(4*STDEVP(終値!O123:AH123)/AVERAGE(終値!O123:AH123),""))</f>
      </c>
      <c r="M123" s="684">
        <f>IF(終値!A123="","",IFERROR(4*STDEVP(終値!P123:AI123)/AVERAGE(終値!P123:AI123),""))</f>
      </c>
      <c r="N123" s="684">
        <f>IF(終値!A123="","",IFERROR(4*STDEVP(終値!Q123:AJ123)/AVERAGE(終値!Q123:AJ123),""))</f>
      </c>
      <c r="O123" s="684">
        <f>IF(終値!A123="","",IFERROR(4*STDEVP(終値!R123:AK123)/AVERAGE(終値!R123:AK123),""))</f>
      </c>
      <c r="P123" s="684">
        <f>IF(終値!A123="","",IFERROR(4*STDEVP(終値!S123:AL123)/AVERAGE(終値!S123:AL123),""))</f>
      </c>
      <c r="Q123" s="684">
        <f>IF(終値!A123="","",IFERROR(4*STDEVP(終値!T123:AM123)/AVERAGE(終値!T123:AM123),""))</f>
      </c>
      <c r="R123" s="684">
        <f>IF(終値!A123="","",IFERROR(4*STDEVP(終値!U123:AN123)/AVERAGE(終値!U123:AN123),""))</f>
      </c>
      <c r="S123" s="684">
        <f>IF(終値!A123="","",IFERROR(4*STDEVP(終値!V123:AO123)/AVERAGE(終値!V123:AO123),""))</f>
      </c>
      <c r="T123" s="684">
        <f>IF(終値!A123="","",IFERROR(4*STDEVP(終値!W123:AP123)/AVERAGE(終値!W123:AP123),""))</f>
      </c>
      <c r="U123" s="684">
        <f>IF(終値!A123="","",IFERROR(4*STDEVP(終値!X123:AQ123)/AVERAGE(終値!X123:AQ123),""))</f>
      </c>
      <c r="V123" s="684">
        <f>IF(終値!A123="","",IFERROR(4*STDEVP(終値!Y123:AR123)/AVERAGE(終値!Y123:AR123),""))</f>
      </c>
      <c r="W123" s="684">
        <f>IF(終値!A123="","",IFERROR(4*STDEVP(終値!Z123:AS123)/AVERAGE(終値!Z123:AS123),""))</f>
      </c>
      <c r="X123" s="684">
        <f>IF(終値!A123="","",IFERROR(4*STDEVP(終値!AA123:AT123)/AVERAGE(終値!AA123:AT123),""))</f>
      </c>
      <c r="Y123" s="684">
        <f>IF(終値!A123="","",IFERROR(4*STDEVP(終値!AB123:AU123)/AVERAGE(終値!AB123:AU123),""))</f>
      </c>
      <c r="Z123" s="684">
        <f>IF(終値!A123="","",IFERROR(4*STDEVP(終値!AC123:AV123)/AVERAGE(終値!AC123:AV123),""))</f>
      </c>
      <c r="AA123" s="684">
        <f>IF(終値!A123="","",IFERROR(4*STDEVP(終値!AD123:AW123)/AVERAGE(終値!AD123:AW123),""))</f>
      </c>
      <c r="AB123" s="684">
        <f>IF(終値!A123="","",IFERROR(4*STDEVP(終値!AE123:AX123)/AVERAGE(終値!AE123:AX123),""))</f>
      </c>
      <c r="AC123" s="684">
        <f>IF(終値!A123="","",IFERROR(4*STDEVP(終値!AF123:AY123)/AVERAGE(終値!AF123:AY123),""))</f>
      </c>
      <c r="AD123" s="684">
        <f>IF(終値!A123="","",IFERROR(4*STDEVP(終値!AG123:AZ123)/AVERAGE(終値!AG123:AZ123),""))</f>
      </c>
      <c r="AE123" s="684">
        <f>IF(終値!A123="","",IFERROR(4*STDEVP(終値!AH123:BA123)/AVERAGE(終値!AH123:BA123),""))</f>
      </c>
      <c r="AF123" s="684">
        <f>IF(終値!A123="","",IFERROR(4*STDEVP(終値!AI123:BB123)/AVERAGE(終値!AI123:BB123),""))</f>
      </c>
      <c r="AG123" s="684">
        <f>IF(終値!A123="","",IFERROR(4*STDEVP(終値!AJ123:BC123)/AVERAGE(終値!AJ123:BC123),""))</f>
      </c>
      <c r="AH123" s="684">
        <f>IF(終値!A123="","",IFERROR(4*STDEVP(終値!AK123:BD123)/AVERAGE(終値!AK123:BD123),""))</f>
      </c>
      <c r="AI123" s="684">
        <f>IF(終値!A123="","",IFERROR(4*STDEVP(終値!AL123:BE123)/AVERAGE(終値!AL123:BE123),""))</f>
      </c>
      <c r="AJ123" s="684">
        <f>IF(終値!A123="","",IFERROR(4*STDEVP(終値!AM123:BF123)/AVERAGE(終値!AM123:BF123),""))</f>
      </c>
      <c r="AK123" s="684">
        <f>IF(終値!A123="","",IFERROR(4*STDEVP(終値!AN123:BG123)/AVERAGE(終値!AN123:BG123),""))</f>
      </c>
      <c r="AL123" s="684">
        <f>IF(終値!A123="","",IFERROR(4*STDEVP(終値!AO123:BH123)/AVERAGE(終値!AO123:BH123),""))</f>
      </c>
      <c r="AM123" s="684">
        <f>IF(終値!A123="","",IFERROR(4*STDEVP(終値!AP123:BI123)/AVERAGE(終値!AP123:BI123),""))</f>
      </c>
      <c r="AN123" s="684">
        <f>IF(終値!A123="","",IFERROR(4*STDEVP(終値!AQ123:BJ123)/AVERAGE(終値!AQ123:BJ123),""))</f>
      </c>
      <c r="AO123" s="684">
        <f>IF(終値!A123="","",IFERROR(4*STDEVP(終値!AR123:BK123)/AVERAGE(終値!AR123:BK123),""))</f>
      </c>
      <c r="AP123" s="684">
        <f>IF(終値!A123="","",IFERROR(4*STDEVP(終値!AS123:BL123)/AVERAGE(終値!AS123:BL123),""))</f>
      </c>
    </row>
    <row r="124">
      <c r="A124" s="681">
        <f>IF(終値!A124="","",終値!A124)</f>
      </c>
      <c r="B124" s="684">
        <f>IF(終値!A124="","",IFERROR(4*STDEVP(終値!E124:X124)/AVERAGE(終値!E124:X124),""))</f>
      </c>
      <c r="C124" s="684">
        <f>IF(終値!A124="","",IFERROR(4*STDEVP(終値!F124:Y124)/AVERAGE(終値!F124:Y124),""))</f>
      </c>
      <c r="D124" s="684">
        <f>IF(終値!A124="","",IFERROR(4*STDEVP(終値!G124:Z124)/AVERAGE(終値!G124:Z124),""))</f>
      </c>
      <c r="E124" s="684">
        <f>IF(終値!A124="","",IFERROR(4*STDEVP(終値!H124:AA124)/AVERAGE(終値!H124:AA124),""))</f>
      </c>
      <c r="F124" s="684">
        <f>IF(終値!A124="","",IFERROR(4*STDEVP(終値!I124:AB124)/AVERAGE(終値!I124:AB124),""))</f>
      </c>
      <c r="G124" s="684">
        <f>IF(終値!A124="","",IFERROR(4*STDEVP(終値!J124:AC124)/AVERAGE(終値!J124:AC124),""))</f>
      </c>
      <c r="H124" s="684">
        <f>IF(終値!A124="","",IFERROR(4*STDEVP(終値!K124:AD124)/AVERAGE(終値!K124:AD124),""))</f>
      </c>
      <c r="I124" s="684">
        <f>IF(終値!A124="","",IFERROR(4*STDEVP(終値!L124:AE124)/AVERAGE(終値!L124:AE124),""))</f>
      </c>
      <c r="J124" s="684">
        <f>IF(終値!A124="","",IFERROR(4*STDEVP(終値!M124:AF124)/AVERAGE(終値!M124:AF124),""))</f>
      </c>
      <c r="K124" s="684">
        <f>IF(終値!A124="","",IFERROR(4*STDEVP(終値!N124:AG124)/AVERAGE(終値!N124:AG124),""))</f>
      </c>
      <c r="L124" s="684">
        <f>IF(終値!A124="","",IFERROR(4*STDEVP(終値!O124:AH124)/AVERAGE(終値!O124:AH124),""))</f>
      </c>
      <c r="M124" s="684">
        <f>IF(終値!A124="","",IFERROR(4*STDEVP(終値!P124:AI124)/AVERAGE(終値!P124:AI124),""))</f>
      </c>
      <c r="N124" s="684">
        <f>IF(終値!A124="","",IFERROR(4*STDEVP(終値!Q124:AJ124)/AVERAGE(終値!Q124:AJ124),""))</f>
      </c>
      <c r="O124" s="684">
        <f>IF(終値!A124="","",IFERROR(4*STDEVP(終値!R124:AK124)/AVERAGE(終値!R124:AK124),""))</f>
      </c>
      <c r="P124" s="684">
        <f>IF(終値!A124="","",IFERROR(4*STDEVP(終値!S124:AL124)/AVERAGE(終値!S124:AL124),""))</f>
      </c>
      <c r="Q124" s="684">
        <f>IF(終値!A124="","",IFERROR(4*STDEVP(終値!T124:AM124)/AVERAGE(終値!T124:AM124),""))</f>
      </c>
      <c r="R124" s="684">
        <f>IF(終値!A124="","",IFERROR(4*STDEVP(終値!U124:AN124)/AVERAGE(終値!U124:AN124),""))</f>
      </c>
      <c r="S124" s="684">
        <f>IF(終値!A124="","",IFERROR(4*STDEVP(終値!V124:AO124)/AVERAGE(終値!V124:AO124),""))</f>
      </c>
      <c r="T124" s="684">
        <f>IF(終値!A124="","",IFERROR(4*STDEVP(終値!W124:AP124)/AVERAGE(終値!W124:AP124),""))</f>
      </c>
      <c r="U124" s="684">
        <f>IF(終値!A124="","",IFERROR(4*STDEVP(終値!X124:AQ124)/AVERAGE(終値!X124:AQ124),""))</f>
      </c>
      <c r="V124" s="684">
        <f>IF(終値!A124="","",IFERROR(4*STDEVP(終値!Y124:AR124)/AVERAGE(終値!Y124:AR124),""))</f>
      </c>
      <c r="W124" s="684">
        <f>IF(終値!A124="","",IFERROR(4*STDEVP(終値!Z124:AS124)/AVERAGE(終値!Z124:AS124),""))</f>
      </c>
      <c r="X124" s="684">
        <f>IF(終値!A124="","",IFERROR(4*STDEVP(終値!AA124:AT124)/AVERAGE(終値!AA124:AT124),""))</f>
      </c>
      <c r="Y124" s="684">
        <f>IF(終値!A124="","",IFERROR(4*STDEVP(終値!AB124:AU124)/AVERAGE(終値!AB124:AU124),""))</f>
      </c>
      <c r="Z124" s="684">
        <f>IF(終値!A124="","",IFERROR(4*STDEVP(終値!AC124:AV124)/AVERAGE(終値!AC124:AV124),""))</f>
      </c>
      <c r="AA124" s="684">
        <f>IF(終値!A124="","",IFERROR(4*STDEVP(終値!AD124:AW124)/AVERAGE(終値!AD124:AW124),""))</f>
      </c>
      <c r="AB124" s="684">
        <f>IF(終値!A124="","",IFERROR(4*STDEVP(終値!AE124:AX124)/AVERAGE(終値!AE124:AX124),""))</f>
      </c>
      <c r="AC124" s="684">
        <f>IF(終値!A124="","",IFERROR(4*STDEVP(終値!AF124:AY124)/AVERAGE(終値!AF124:AY124),""))</f>
      </c>
      <c r="AD124" s="684">
        <f>IF(終値!A124="","",IFERROR(4*STDEVP(終値!AG124:AZ124)/AVERAGE(終値!AG124:AZ124),""))</f>
      </c>
      <c r="AE124" s="684">
        <f>IF(終値!A124="","",IFERROR(4*STDEVP(終値!AH124:BA124)/AVERAGE(終値!AH124:BA124),""))</f>
      </c>
      <c r="AF124" s="684">
        <f>IF(終値!A124="","",IFERROR(4*STDEVP(終値!AI124:BB124)/AVERAGE(終値!AI124:BB124),""))</f>
      </c>
      <c r="AG124" s="684">
        <f>IF(終値!A124="","",IFERROR(4*STDEVP(終値!AJ124:BC124)/AVERAGE(終値!AJ124:BC124),""))</f>
      </c>
      <c r="AH124" s="684">
        <f>IF(終値!A124="","",IFERROR(4*STDEVP(終値!AK124:BD124)/AVERAGE(終値!AK124:BD124),""))</f>
      </c>
      <c r="AI124" s="684">
        <f>IF(終値!A124="","",IFERROR(4*STDEVP(終値!AL124:BE124)/AVERAGE(終値!AL124:BE124),""))</f>
      </c>
      <c r="AJ124" s="684">
        <f>IF(終値!A124="","",IFERROR(4*STDEVP(終値!AM124:BF124)/AVERAGE(終値!AM124:BF124),""))</f>
      </c>
      <c r="AK124" s="684">
        <f>IF(終値!A124="","",IFERROR(4*STDEVP(終値!AN124:BG124)/AVERAGE(終値!AN124:BG124),""))</f>
      </c>
      <c r="AL124" s="684">
        <f>IF(終値!A124="","",IFERROR(4*STDEVP(終値!AO124:BH124)/AVERAGE(終値!AO124:BH124),""))</f>
      </c>
      <c r="AM124" s="684">
        <f>IF(終値!A124="","",IFERROR(4*STDEVP(終値!AP124:BI124)/AVERAGE(終値!AP124:BI124),""))</f>
      </c>
      <c r="AN124" s="684">
        <f>IF(終値!A124="","",IFERROR(4*STDEVP(終値!AQ124:BJ124)/AVERAGE(終値!AQ124:BJ124),""))</f>
      </c>
      <c r="AO124" s="684">
        <f>IF(終値!A124="","",IFERROR(4*STDEVP(終値!AR124:BK124)/AVERAGE(終値!AR124:BK124),""))</f>
      </c>
      <c r="AP124" s="684">
        <f>IF(終値!A124="","",IFERROR(4*STDEVP(終値!AS124:BL124)/AVERAGE(終値!AS124:BL124),""))</f>
      </c>
    </row>
    <row r="125">
      <c r="A125" s="681">
        <f>IF(終値!A125="","",終値!A125)</f>
      </c>
      <c r="B125" s="684">
        <f>IF(終値!A125="","",IFERROR(4*STDEVP(終値!E125:X125)/AVERAGE(終値!E125:X125),""))</f>
      </c>
      <c r="C125" s="684">
        <f>IF(終値!A125="","",IFERROR(4*STDEVP(終値!F125:Y125)/AVERAGE(終値!F125:Y125),""))</f>
      </c>
      <c r="D125" s="684">
        <f>IF(終値!A125="","",IFERROR(4*STDEVP(終値!G125:Z125)/AVERAGE(終値!G125:Z125),""))</f>
      </c>
      <c r="E125" s="684">
        <f>IF(終値!A125="","",IFERROR(4*STDEVP(終値!H125:AA125)/AVERAGE(終値!H125:AA125),""))</f>
      </c>
      <c r="F125" s="684">
        <f>IF(終値!A125="","",IFERROR(4*STDEVP(終値!I125:AB125)/AVERAGE(終値!I125:AB125),""))</f>
      </c>
      <c r="G125" s="684">
        <f>IF(終値!A125="","",IFERROR(4*STDEVP(終値!J125:AC125)/AVERAGE(終値!J125:AC125),""))</f>
      </c>
      <c r="H125" s="684">
        <f>IF(終値!A125="","",IFERROR(4*STDEVP(終値!K125:AD125)/AVERAGE(終値!K125:AD125),""))</f>
      </c>
      <c r="I125" s="684">
        <f>IF(終値!A125="","",IFERROR(4*STDEVP(終値!L125:AE125)/AVERAGE(終値!L125:AE125),""))</f>
      </c>
      <c r="J125" s="684">
        <f>IF(終値!A125="","",IFERROR(4*STDEVP(終値!M125:AF125)/AVERAGE(終値!M125:AF125),""))</f>
      </c>
      <c r="K125" s="684">
        <f>IF(終値!A125="","",IFERROR(4*STDEVP(終値!N125:AG125)/AVERAGE(終値!N125:AG125),""))</f>
      </c>
      <c r="L125" s="684">
        <f>IF(終値!A125="","",IFERROR(4*STDEVP(終値!O125:AH125)/AVERAGE(終値!O125:AH125),""))</f>
      </c>
      <c r="M125" s="684">
        <f>IF(終値!A125="","",IFERROR(4*STDEVP(終値!P125:AI125)/AVERAGE(終値!P125:AI125),""))</f>
      </c>
      <c r="N125" s="684">
        <f>IF(終値!A125="","",IFERROR(4*STDEVP(終値!Q125:AJ125)/AVERAGE(終値!Q125:AJ125),""))</f>
      </c>
      <c r="O125" s="684">
        <f>IF(終値!A125="","",IFERROR(4*STDEVP(終値!R125:AK125)/AVERAGE(終値!R125:AK125),""))</f>
      </c>
      <c r="P125" s="684">
        <f>IF(終値!A125="","",IFERROR(4*STDEVP(終値!S125:AL125)/AVERAGE(終値!S125:AL125),""))</f>
      </c>
      <c r="Q125" s="684">
        <f>IF(終値!A125="","",IFERROR(4*STDEVP(終値!T125:AM125)/AVERAGE(終値!T125:AM125),""))</f>
      </c>
      <c r="R125" s="684">
        <f>IF(終値!A125="","",IFERROR(4*STDEVP(終値!U125:AN125)/AVERAGE(終値!U125:AN125),""))</f>
      </c>
      <c r="S125" s="684">
        <f>IF(終値!A125="","",IFERROR(4*STDEVP(終値!V125:AO125)/AVERAGE(終値!V125:AO125),""))</f>
      </c>
      <c r="T125" s="684">
        <f>IF(終値!A125="","",IFERROR(4*STDEVP(終値!W125:AP125)/AVERAGE(終値!W125:AP125),""))</f>
      </c>
      <c r="U125" s="684">
        <f>IF(終値!A125="","",IFERROR(4*STDEVP(終値!X125:AQ125)/AVERAGE(終値!X125:AQ125),""))</f>
      </c>
      <c r="V125" s="684">
        <f>IF(終値!A125="","",IFERROR(4*STDEVP(終値!Y125:AR125)/AVERAGE(終値!Y125:AR125),""))</f>
      </c>
      <c r="W125" s="684">
        <f>IF(終値!A125="","",IFERROR(4*STDEVP(終値!Z125:AS125)/AVERAGE(終値!Z125:AS125),""))</f>
      </c>
      <c r="X125" s="684">
        <f>IF(終値!A125="","",IFERROR(4*STDEVP(終値!AA125:AT125)/AVERAGE(終値!AA125:AT125),""))</f>
      </c>
      <c r="Y125" s="684">
        <f>IF(終値!A125="","",IFERROR(4*STDEVP(終値!AB125:AU125)/AVERAGE(終値!AB125:AU125),""))</f>
      </c>
      <c r="Z125" s="684">
        <f>IF(終値!A125="","",IFERROR(4*STDEVP(終値!AC125:AV125)/AVERAGE(終値!AC125:AV125),""))</f>
      </c>
      <c r="AA125" s="684">
        <f>IF(終値!A125="","",IFERROR(4*STDEVP(終値!AD125:AW125)/AVERAGE(終値!AD125:AW125),""))</f>
      </c>
      <c r="AB125" s="684">
        <f>IF(終値!A125="","",IFERROR(4*STDEVP(終値!AE125:AX125)/AVERAGE(終値!AE125:AX125),""))</f>
      </c>
      <c r="AC125" s="684">
        <f>IF(終値!A125="","",IFERROR(4*STDEVP(終値!AF125:AY125)/AVERAGE(終値!AF125:AY125),""))</f>
      </c>
      <c r="AD125" s="684">
        <f>IF(終値!A125="","",IFERROR(4*STDEVP(終値!AG125:AZ125)/AVERAGE(終値!AG125:AZ125),""))</f>
      </c>
      <c r="AE125" s="684">
        <f>IF(終値!A125="","",IFERROR(4*STDEVP(終値!AH125:BA125)/AVERAGE(終値!AH125:BA125),""))</f>
      </c>
      <c r="AF125" s="684">
        <f>IF(終値!A125="","",IFERROR(4*STDEVP(終値!AI125:BB125)/AVERAGE(終値!AI125:BB125),""))</f>
      </c>
      <c r="AG125" s="684">
        <f>IF(終値!A125="","",IFERROR(4*STDEVP(終値!AJ125:BC125)/AVERAGE(終値!AJ125:BC125),""))</f>
      </c>
      <c r="AH125" s="684">
        <f>IF(終値!A125="","",IFERROR(4*STDEVP(終値!AK125:BD125)/AVERAGE(終値!AK125:BD125),""))</f>
      </c>
      <c r="AI125" s="684">
        <f>IF(終値!A125="","",IFERROR(4*STDEVP(終値!AL125:BE125)/AVERAGE(終値!AL125:BE125),""))</f>
      </c>
      <c r="AJ125" s="684">
        <f>IF(終値!A125="","",IFERROR(4*STDEVP(終値!AM125:BF125)/AVERAGE(終値!AM125:BF125),""))</f>
      </c>
      <c r="AK125" s="684">
        <f>IF(終値!A125="","",IFERROR(4*STDEVP(終値!AN125:BG125)/AVERAGE(終値!AN125:BG125),""))</f>
      </c>
      <c r="AL125" s="684">
        <f>IF(終値!A125="","",IFERROR(4*STDEVP(終値!AO125:BH125)/AVERAGE(終値!AO125:BH125),""))</f>
      </c>
      <c r="AM125" s="684">
        <f>IF(終値!A125="","",IFERROR(4*STDEVP(終値!AP125:BI125)/AVERAGE(終値!AP125:BI125),""))</f>
      </c>
      <c r="AN125" s="684">
        <f>IF(終値!A125="","",IFERROR(4*STDEVP(終値!AQ125:BJ125)/AVERAGE(終値!AQ125:BJ125),""))</f>
      </c>
      <c r="AO125" s="684">
        <f>IF(終値!A125="","",IFERROR(4*STDEVP(終値!AR125:BK125)/AVERAGE(終値!AR125:BK125),""))</f>
      </c>
      <c r="AP125" s="684">
        <f>IF(終値!A125="","",IFERROR(4*STDEVP(終値!AS125:BL125)/AVERAGE(終値!AS125:BL125),""))</f>
      </c>
    </row>
    <row r="126">
      <c r="A126" s="681">
        <f>IF(終値!A126="","",終値!A126)</f>
      </c>
      <c r="B126" s="684">
        <f>IF(終値!A126="","",IFERROR(4*STDEVP(終値!E126:X126)/AVERAGE(終値!E126:X126),""))</f>
      </c>
      <c r="C126" s="684">
        <f>IF(終値!A126="","",IFERROR(4*STDEVP(終値!F126:Y126)/AVERAGE(終値!F126:Y126),""))</f>
      </c>
      <c r="D126" s="684">
        <f>IF(終値!A126="","",IFERROR(4*STDEVP(終値!G126:Z126)/AVERAGE(終値!G126:Z126),""))</f>
      </c>
      <c r="E126" s="684">
        <f>IF(終値!A126="","",IFERROR(4*STDEVP(終値!H126:AA126)/AVERAGE(終値!H126:AA126),""))</f>
      </c>
      <c r="F126" s="684">
        <f>IF(終値!A126="","",IFERROR(4*STDEVP(終値!I126:AB126)/AVERAGE(終値!I126:AB126),""))</f>
      </c>
      <c r="G126" s="684">
        <f>IF(終値!A126="","",IFERROR(4*STDEVP(終値!J126:AC126)/AVERAGE(終値!J126:AC126),""))</f>
      </c>
      <c r="H126" s="684">
        <f>IF(終値!A126="","",IFERROR(4*STDEVP(終値!K126:AD126)/AVERAGE(終値!K126:AD126),""))</f>
      </c>
      <c r="I126" s="684">
        <f>IF(終値!A126="","",IFERROR(4*STDEVP(終値!L126:AE126)/AVERAGE(終値!L126:AE126),""))</f>
      </c>
      <c r="J126" s="684">
        <f>IF(終値!A126="","",IFERROR(4*STDEVP(終値!M126:AF126)/AVERAGE(終値!M126:AF126),""))</f>
      </c>
      <c r="K126" s="684">
        <f>IF(終値!A126="","",IFERROR(4*STDEVP(終値!N126:AG126)/AVERAGE(終値!N126:AG126),""))</f>
      </c>
      <c r="L126" s="684">
        <f>IF(終値!A126="","",IFERROR(4*STDEVP(終値!O126:AH126)/AVERAGE(終値!O126:AH126),""))</f>
      </c>
      <c r="M126" s="684">
        <f>IF(終値!A126="","",IFERROR(4*STDEVP(終値!P126:AI126)/AVERAGE(終値!P126:AI126),""))</f>
      </c>
      <c r="N126" s="684">
        <f>IF(終値!A126="","",IFERROR(4*STDEVP(終値!Q126:AJ126)/AVERAGE(終値!Q126:AJ126),""))</f>
      </c>
      <c r="O126" s="684">
        <f>IF(終値!A126="","",IFERROR(4*STDEVP(終値!R126:AK126)/AVERAGE(終値!R126:AK126),""))</f>
      </c>
      <c r="P126" s="684">
        <f>IF(終値!A126="","",IFERROR(4*STDEVP(終値!S126:AL126)/AVERAGE(終値!S126:AL126),""))</f>
      </c>
      <c r="Q126" s="684">
        <f>IF(終値!A126="","",IFERROR(4*STDEVP(終値!T126:AM126)/AVERAGE(終値!T126:AM126),""))</f>
      </c>
      <c r="R126" s="684">
        <f>IF(終値!A126="","",IFERROR(4*STDEVP(終値!U126:AN126)/AVERAGE(終値!U126:AN126),""))</f>
      </c>
      <c r="S126" s="684">
        <f>IF(終値!A126="","",IFERROR(4*STDEVP(終値!V126:AO126)/AVERAGE(終値!V126:AO126),""))</f>
      </c>
      <c r="T126" s="684">
        <f>IF(終値!A126="","",IFERROR(4*STDEVP(終値!W126:AP126)/AVERAGE(終値!W126:AP126),""))</f>
      </c>
      <c r="U126" s="684">
        <f>IF(終値!A126="","",IFERROR(4*STDEVP(終値!X126:AQ126)/AVERAGE(終値!X126:AQ126),""))</f>
      </c>
      <c r="V126" s="684">
        <f>IF(終値!A126="","",IFERROR(4*STDEVP(終値!Y126:AR126)/AVERAGE(終値!Y126:AR126),""))</f>
      </c>
      <c r="W126" s="684">
        <f>IF(終値!A126="","",IFERROR(4*STDEVP(終値!Z126:AS126)/AVERAGE(終値!Z126:AS126),""))</f>
      </c>
      <c r="X126" s="684">
        <f>IF(終値!A126="","",IFERROR(4*STDEVP(終値!AA126:AT126)/AVERAGE(終値!AA126:AT126),""))</f>
      </c>
      <c r="Y126" s="684">
        <f>IF(終値!A126="","",IFERROR(4*STDEVP(終値!AB126:AU126)/AVERAGE(終値!AB126:AU126),""))</f>
      </c>
      <c r="Z126" s="684">
        <f>IF(終値!A126="","",IFERROR(4*STDEVP(終値!AC126:AV126)/AVERAGE(終値!AC126:AV126),""))</f>
      </c>
      <c r="AA126" s="684">
        <f>IF(終値!A126="","",IFERROR(4*STDEVP(終値!AD126:AW126)/AVERAGE(終値!AD126:AW126),""))</f>
      </c>
      <c r="AB126" s="684">
        <f>IF(終値!A126="","",IFERROR(4*STDEVP(終値!AE126:AX126)/AVERAGE(終値!AE126:AX126),""))</f>
      </c>
      <c r="AC126" s="684">
        <f>IF(終値!A126="","",IFERROR(4*STDEVP(終値!AF126:AY126)/AVERAGE(終値!AF126:AY126),""))</f>
      </c>
      <c r="AD126" s="684">
        <f>IF(終値!A126="","",IFERROR(4*STDEVP(終値!AG126:AZ126)/AVERAGE(終値!AG126:AZ126),""))</f>
      </c>
      <c r="AE126" s="684">
        <f>IF(終値!A126="","",IFERROR(4*STDEVP(終値!AH126:BA126)/AVERAGE(終値!AH126:BA126),""))</f>
      </c>
      <c r="AF126" s="684">
        <f>IF(終値!A126="","",IFERROR(4*STDEVP(終値!AI126:BB126)/AVERAGE(終値!AI126:BB126),""))</f>
      </c>
      <c r="AG126" s="684">
        <f>IF(終値!A126="","",IFERROR(4*STDEVP(終値!AJ126:BC126)/AVERAGE(終値!AJ126:BC126),""))</f>
      </c>
      <c r="AH126" s="684">
        <f>IF(終値!A126="","",IFERROR(4*STDEVP(終値!AK126:BD126)/AVERAGE(終値!AK126:BD126),""))</f>
      </c>
      <c r="AI126" s="684">
        <f>IF(終値!A126="","",IFERROR(4*STDEVP(終値!AL126:BE126)/AVERAGE(終値!AL126:BE126),""))</f>
      </c>
      <c r="AJ126" s="684">
        <f>IF(終値!A126="","",IFERROR(4*STDEVP(終値!AM126:BF126)/AVERAGE(終値!AM126:BF126),""))</f>
      </c>
      <c r="AK126" s="684">
        <f>IF(終値!A126="","",IFERROR(4*STDEVP(終値!AN126:BG126)/AVERAGE(終値!AN126:BG126),""))</f>
      </c>
      <c r="AL126" s="684">
        <f>IF(終値!A126="","",IFERROR(4*STDEVP(終値!AO126:BH126)/AVERAGE(終値!AO126:BH126),""))</f>
      </c>
      <c r="AM126" s="684">
        <f>IF(終値!A126="","",IFERROR(4*STDEVP(終値!AP126:BI126)/AVERAGE(終値!AP126:BI126),""))</f>
      </c>
      <c r="AN126" s="684">
        <f>IF(終値!A126="","",IFERROR(4*STDEVP(終値!AQ126:BJ126)/AVERAGE(終値!AQ126:BJ126),""))</f>
      </c>
      <c r="AO126" s="684">
        <f>IF(終値!A126="","",IFERROR(4*STDEVP(終値!AR126:BK126)/AVERAGE(終値!AR126:BK126),""))</f>
      </c>
      <c r="AP126" s="684">
        <f>IF(終値!A126="","",IFERROR(4*STDEVP(終値!AS126:BL126)/AVERAGE(終値!AS126:BL126),""))</f>
      </c>
    </row>
    <row r="127">
      <c r="A127" s="681">
        <f>IF(終値!A127="","",終値!A127)</f>
      </c>
      <c r="B127" s="684">
        <f>IF(終値!A127="","",IFERROR(4*STDEVP(終値!E127:X127)/AVERAGE(終値!E127:X127),""))</f>
      </c>
      <c r="C127" s="684">
        <f>IF(終値!A127="","",IFERROR(4*STDEVP(終値!F127:Y127)/AVERAGE(終値!F127:Y127),""))</f>
      </c>
      <c r="D127" s="684">
        <f>IF(終値!A127="","",IFERROR(4*STDEVP(終値!G127:Z127)/AVERAGE(終値!G127:Z127),""))</f>
      </c>
      <c r="E127" s="684">
        <f>IF(終値!A127="","",IFERROR(4*STDEVP(終値!H127:AA127)/AVERAGE(終値!H127:AA127),""))</f>
      </c>
      <c r="F127" s="684">
        <f>IF(終値!A127="","",IFERROR(4*STDEVP(終値!I127:AB127)/AVERAGE(終値!I127:AB127),""))</f>
      </c>
      <c r="G127" s="684">
        <f>IF(終値!A127="","",IFERROR(4*STDEVP(終値!J127:AC127)/AVERAGE(終値!J127:AC127),""))</f>
      </c>
      <c r="H127" s="684">
        <f>IF(終値!A127="","",IFERROR(4*STDEVP(終値!K127:AD127)/AVERAGE(終値!K127:AD127),""))</f>
      </c>
      <c r="I127" s="684">
        <f>IF(終値!A127="","",IFERROR(4*STDEVP(終値!L127:AE127)/AVERAGE(終値!L127:AE127),""))</f>
      </c>
      <c r="J127" s="684">
        <f>IF(終値!A127="","",IFERROR(4*STDEVP(終値!M127:AF127)/AVERAGE(終値!M127:AF127),""))</f>
      </c>
      <c r="K127" s="684">
        <f>IF(終値!A127="","",IFERROR(4*STDEVP(終値!N127:AG127)/AVERAGE(終値!N127:AG127),""))</f>
      </c>
      <c r="L127" s="684">
        <f>IF(終値!A127="","",IFERROR(4*STDEVP(終値!O127:AH127)/AVERAGE(終値!O127:AH127),""))</f>
      </c>
      <c r="M127" s="684">
        <f>IF(終値!A127="","",IFERROR(4*STDEVP(終値!P127:AI127)/AVERAGE(終値!P127:AI127),""))</f>
      </c>
      <c r="N127" s="684">
        <f>IF(終値!A127="","",IFERROR(4*STDEVP(終値!Q127:AJ127)/AVERAGE(終値!Q127:AJ127),""))</f>
      </c>
      <c r="O127" s="684">
        <f>IF(終値!A127="","",IFERROR(4*STDEVP(終値!R127:AK127)/AVERAGE(終値!R127:AK127),""))</f>
      </c>
      <c r="P127" s="684">
        <f>IF(終値!A127="","",IFERROR(4*STDEVP(終値!S127:AL127)/AVERAGE(終値!S127:AL127),""))</f>
      </c>
      <c r="Q127" s="684">
        <f>IF(終値!A127="","",IFERROR(4*STDEVP(終値!T127:AM127)/AVERAGE(終値!T127:AM127),""))</f>
      </c>
      <c r="R127" s="684">
        <f>IF(終値!A127="","",IFERROR(4*STDEVP(終値!U127:AN127)/AVERAGE(終値!U127:AN127),""))</f>
      </c>
      <c r="S127" s="684">
        <f>IF(終値!A127="","",IFERROR(4*STDEVP(終値!V127:AO127)/AVERAGE(終値!V127:AO127),""))</f>
      </c>
      <c r="T127" s="684">
        <f>IF(終値!A127="","",IFERROR(4*STDEVP(終値!W127:AP127)/AVERAGE(終値!W127:AP127),""))</f>
      </c>
      <c r="U127" s="684">
        <f>IF(終値!A127="","",IFERROR(4*STDEVP(終値!X127:AQ127)/AVERAGE(終値!X127:AQ127),""))</f>
      </c>
      <c r="V127" s="684">
        <f>IF(終値!A127="","",IFERROR(4*STDEVP(終値!Y127:AR127)/AVERAGE(終値!Y127:AR127),""))</f>
      </c>
      <c r="W127" s="684">
        <f>IF(終値!A127="","",IFERROR(4*STDEVP(終値!Z127:AS127)/AVERAGE(終値!Z127:AS127),""))</f>
      </c>
      <c r="X127" s="684">
        <f>IF(終値!A127="","",IFERROR(4*STDEVP(終値!AA127:AT127)/AVERAGE(終値!AA127:AT127),""))</f>
      </c>
      <c r="Y127" s="684">
        <f>IF(終値!A127="","",IFERROR(4*STDEVP(終値!AB127:AU127)/AVERAGE(終値!AB127:AU127),""))</f>
      </c>
      <c r="Z127" s="684">
        <f>IF(終値!A127="","",IFERROR(4*STDEVP(終値!AC127:AV127)/AVERAGE(終値!AC127:AV127),""))</f>
      </c>
      <c r="AA127" s="684">
        <f>IF(終値!A127="","",IFERROR(4*STDEVP(終値!AD127:AW127)/AVERAGE(終値!AD127:AW127),""))</f>
      </c>
      <c r="AB127" s="684">
        <f>IF(終値!A127="","",IFERROR(4*STDEVP(終値!AE127:AX127)/AVERAGE(終値!AE127:AX127),""))</f>
      </c>
      <c r="AC127" s="684">
        <f>IF(終値!A127="","",IFERROR(4*STDEVP(終値!AF127:AY127)/AVERAGE(終値!AF127:AY127),""))</f>
      </c>
      <c r="AD127" s="684">
        <f>IF(終値!A127="","",IFERROR(4*STDEVP(終値!AG127:AZ127)/AVERAGE(終値!AG127:AZ127),""))</f>
      </c>
      <c r="AE127" s="684">
        <f>IF(終値!A127="","",IFERROR(4*STDEVP(終値!AH127:BA127)/AVERAGE(終値!AH127:BA127),""))</f>
      </c>
      <c r="AF127" s="684">
        <f>IF(終値!A127="","",IFERROR(4*STDEVP(終値!AI127:BB127)/AVERAGE(終値!AI127:BB127),""))</f>
      </c>
      <c r="AG127" s="684">
        <f>IF(終値!A127="","",IFERROR(4*STDEVP(終値!AJ127:BC127)/AVERAGE(終値!AJ127:BC127),""))</f>
      </c>
      <c r="AH127" s="684">
        <f>IF(終値!A127="","",IFERROR(4*STDEVP(終値!AK127:BD127)/AVERAGE(終値!AK127:BD127),""))</f>
      </c>
      <c r="AI127" s="684">
        <f>IF(終値!A127="","",IFERROR(4*STDEVP(終値!AL127:BE127)/AVERAGE(終値!AL127:BE127),""))</f>
      </c>
      <c r="AJ127" s="684">
        <f>IF(終値!A127="","",IFERROR(4*STDEVP(終値!AM127:BF127)/AVERAGE(終値!AM127:BF127),""))</f>
      </c>
      <c r="AK127" s="684">
        <f>IF(終値!A127="","",IFERROR(4*STDEVP(終値!AN127:BG127)/AVERAGE(終値!AN127:BG127),""))</f>
      </c>
      <c r="AL127" s="684">
        <f>IF(終値!A127="","",IFERROR(4*STDEVP(終値!AO127:BH127)/AVERAGE(終値!AO127:BH127),""))</f>
      </c>
      <c r="AM127" s="684">
        <f>IF(終値!A127="","",IFERROR(4*STDEVP(終値!AP127:BI127)/AVERAGE(終値!AP127:BI127),""))</f>
      </c>
      <c r="AN127" s="684">
        <f>IF(終値!A127="","",IFERROR(4*STDEVP(終値!AQ127:BJ127)/AVERAGE(終値!AQ127:BJ127),""))</f>
      </c>
      <c r="AO127" s="684">
        <f>IF(終値!A127="","",IFERROR(4*STDEVP(終値!AR127:BK127)/AVERAGE(終値!AR127:BK127),""))</f>
      </c>
      <c r="AP127" s="684">
        <f>IF(終値!A127="","",IFERROR(4*STDEVP(終値!AS127:BL127)/AVERAGE(終値!AS127:BL127),""))</f>
      </c>
    </row>
    <row r="128">
      <c r="A128" s="681">
        <f>IF(終値!A128="","",終値!A128)</f>
      </c>
      <c r="B128" s="684">
        <f>IF(終値!A128="","",IFERROR(4*STDEVP(終値!E128:X128)/AVERAGE(終値!E128:X128),""))</f>
      </c>
      <c r="C128" s="684">
        <f>IF(終値!A128="","",IFERROR(4*STDEVP(終値!F128:Y128)/AVERAGE(終値!F128:Y128),""))</f>
      </c>
      <c r="D128" s="684">
        <f>IF(終値!A128="","",IFERROR(4*STDEVP(終値!G128:Z128)/AVERAGE(終値!G128:Z128),""))</f>
      </c>
      <c r="E128" s="684">
        <f>IF(終値!A128="","",IFERROR(4*STDEVP(終値!H128:AA128)/AVERAGE(終値!H128:AA128),""))</f>
      </c>
      <c r="F128" s="684">
        <f>IF(終値!A128="","",IFERROR(4*STDEVP(終値!I128:AB128)/AVERAGE(終値!I128:AB128),""))</f>
      </c>
      <c r="G128" s="684">
        <f>IF(終値!A128="","",IFERROR(4*STDEVP(終値!J128:AC128)/AVERAGE(終値!J128:AC128),""))</f>
      </c>
      <c r="H128" s="684">
        <f>IF(終値!A128="","",IFERROR(4*STDEVP(終値!K128:AD128)/AVERAGE(終値!K128:AD128),""))</f>
      </c>
      <c r="I128" s="684">
        <f>IF(終値!A128="","",IFERROR(4*STDEVP(終値!L128:AE128)/AVERAGE(終値!L128:AE128),""))</f>
      </c>
      <c r="J128" s="684">
        <f>IF(終値!A128="","",IFERROR(4*STDEVP(終値!M128:AF128)/AVERAGE(終値!M128:AF128),""))</f>
      </c>
      <c r="K128" s="684">
        <f>IF(終値!A128="","",IFERROR(4*STDEVP(終値!N128:AG128)/AVERAGE(終値!N128:AG128),""))</f>
      </c>
      <c r="L128" s="684">
        <f>IF(終値!A128="","",IFERROR(4*STDEVP(終値!O128:AH128)/AVERAGE(終値!O128:AH128),""))</f>
      </c>
      <c r="M128" s="684">
        <f>IF(終値!A128="","",IFERROR(4*STDEVP(終値!P128:AI128)/AVERAGE(終値!P128:AI128),""))</f>
      </c>
      <c r="N128" s="684">
        <f>IF(終値!A128="","",IFERROR(4*STDEVP(終値!Q128:AJ128)/AVERAGE(終値!Q128:AJ128),""))</f>
      </c>
      <c r="O128" s="684">
        <f>IF(終値!A128="","",IFERROR(4*STDEVP(終値!R128:AK128)/AVERAGE(終値!R128:AK128),""))</f>
      </c>
      <c r="P128" s="684">
        <f>IF(終値!A128="","",IFERROR(4*STDEVP(終値!S128:AL128)/AVERAGE(終値!S128:AL128),""))</f>
      </c>
      <c r="Q128" s="684">
        <f>IF(終値!A128="","",IFERROR(4*STDEVP(終値!T128:AM128)/AVERAGE(終値!T128:AM128),""))</f>
      </c>
      <c r="R128" s="684">
        <f>IF(終値!A128="","",IFERROR(4*STDEVP(終値!U128:AN128)/AVERAGE(終値!U128:AN128),""))</f>
      </c>
      <c r="S128" s="684">
        <f>IF(終値!A128="","",IFERROR(4*STDEVP(終値!V128:AO128)/AVERAGE(終値!V128:AO128),""))</f>
      </c>
      <c r="T128" s="684">
        <f>IF(終値!A128="","",IFERROR(4*STDEVP(終値!W128:AP128)/AVERAGE(終値!W128:AP128),""))</f>
      </c>
      <c r="U128" s="684">
        <f>IF(終値!A128="","",IFERROR(4*STDEVP(終値!X128:AQ128)/AVERAGE(終値!X128:AQ128),""))</f>
      </c>
      <c r="V128" s="684">
        <f>IF(終値!A128="","",IFERROR(4*STDEVP(終値!Y128:AR128)/AVERAGE(終値!Y128:AR128),""))</f>
      </c>
      <c r="W128" s="684">
        <f>IF(終値!A128="","",IFERROR(4*STDEVP(終値!Z128:AS128)/AVERAGE(終値!Z128:AS128),""))</f>
      </c>
      <c r="X128" s="684">
        <f>IF(終値!A128="","",IFERROR(4*STDEVP(終値!AA128:AT128)/AVERAGE(終値!AA128:AT128),""))</f>
      </c>
      <c r="Y128" s="684">
        <f>IF(終値!A128="","",IFERROR(4*STDEVP(終値!AB128:AU128)/AVERAGE(終値!AB128:AU128),""))</f>
      </c>
      <c r="Z128" s="684">
        <f>IF(終値!A128="","",IFERROR(4*STDEVP(終値!AC128:AV128)/AVERAGE(終値!AC128:AV128),""))</f>
      </c>
      <c r="AA128" s="684">
        <f>IF(終値!A128="","",IFERROR(4*STDEVP(終値!AD128:AW128)/AVERAGE(終値!AD128:AW128),""))</f>
      </c>
      <c r="AB128" s="684">
        <f>IF(終値!A128="","",IFERROR(4*STDEVP(終値!AE128:AX128)/AVERAGE(終値!AE128:AX128),""))</f>
      </c>
      <c r="AC128" s="684">
        <f>IF(終値!A128="","",IFERROR(4*STDEVP(終値!AF128:AY128)/AVERAGE(終値!AF128:AY128),""))</f>
      </c>
      <c r="AD128" s="684">
        <f>IF(終値!A128="","",IFERROR(4*STDEVP(終値!AG128:AZ128)/AVERAGE(終値!AG128:AZ128),""))</f>
      </c>
      <c r="AE128" s="684">
        <f>IF(終値!A128="","",IFERROR(4*STDEVP(終値!AH128:BA128)/AVERAGE(終値!AH128:BA128),""))</f>
      </c>
      <c r="AF128" s="684">
        <f>IF(終値!A128="","",IFERROR(4*STDEVP(終値!AI128:BB128)/AVERAGE(終値!AI128:BB128),""))</f>
      </c>
      <c r="AG128" s="684">
        <f>IF(終値!A128="","",IFERROR(4*STDEVP(終値!AJ128:BC128)/AVERAGE(終値!AJ128:BC128),""))</f>
      </c>
      <c r="AH128" s="684">
        <f>IF(終値!A128="","",IFERROR(4*STDEVP(終値!AK128:BD128)/AVERAGE(終値!AK128:BD128),""))</f>
      </c>
      <c r="AI128" s="684">
        <f>IF(終値!A128="","",IFERROR(4*STDEVP(終値!AL128:BE128)/AVERAGE(終値!AL128:BE128),""))</f>
      </c>
      <c r="AJ128" s="684">
        <f>IF(終値!A128="","",IFERROR(4*STDEVP(終値!AM128:BF128)/AVERAGE(終値!AM128:BF128),""))</f>
      </c>
      <c r="AK128" s="684">
        <f>IF(終値!A128="","",IFERROR(4*STDEVP(終値!AN128:BG128)/AVERAGE(終値!AN128:BG128),""))</f>
      </c>
      <c r="AL128" s="684">
        <f>IF(終値!A128="","",IFERROR(4*STDEVP(終値!AO128:BH128)/AVERAGE(終値!AO128:BH128),""))</f>
      </c>
      <c r="AM128" s="684">
        <f>IF(終値!A128="","",IFERROR(4*STDEVP(終値!AP128:BI128)/AVERAGE(終値!AP128:BI128),""))</f>
      </c>
      <c r="AN128" s="684">
        <f>IF(終値!A128="","",IFERROR(4*STDEVP(終値!AQ128:BJ128)/AVERAGE(終値!AQ128:BJ128),""))</f>
      </c>
      <c r="AO128" s="684">
        <f>IF(終値!A128="","",IFERROR(4*STDEVP(終値!AR128:BK128)/AVERAGE(終値!AR128:BK128),""))</f>
      </c>
      <c r="AP128" s="684">
        <f>IF(終値!A128="","",IFERROR(4*STDEVP(終値!AS128:BL128)/AVERAGE(終値!AS128:BL128),""))</f>
      </c>
    </row>
    <row r="129">
      <c r="A129" s="681">
        <f>IF(終値!A129="","",終値!A129)</f>
      </c>
      <c r="B129" s="684">
        <f>IF(終値!A129="","",IFERROR(4*STDEVP(終値!E129:X129)/AVERAGE(終値!E129:X129),""))</f>
      </c>
      <c r="C129" s="684">
        <f>IF(終値!A129="","",IFERROR(4*STDEVP(終値!F129:Y129)/AVERAGE(終値!F129:Y129),""))</f>
      </c>
      <c r="D129" s="684">
        <f>IF(終値!A129="","",IFERROR(4*STDEVP(終値!G129:Z129)/AVERAGE(終値!G129:Z129),""))</f>
      </c>
      <c r="E129" s="684">
        <f>IF(終値!A129="","",IFERROR(4*STDEVP(終値!H129:AA129)/AVERAGE(終値!H129:AA129),""))</f>
      </c>
      <c r="F129" s="684">
        <f>IF(終値!A129="","",IFERROR(4*STDEVP(終値!I129:AB129)/AVERAGE(終値!I129:AB129),""))</f>
      </c>
      <c r="G129" s="684">
        <f>IF(終値!A129="","",IFERROR(4*STDEVP(終値!J129:AC129)/AVERAGE(終値!J129:AC129),""))</f>
      </c>
      <c r="H129" s="684">
        <f>IF(終値!A129="","",IFERROR(4*STDEVP(終値!K129:AD129)/AVERAGE(終値!K129:AD129),""))</f>
      </c>
      <c r="I129" s="684">
        <f>IF(終値!A129="","",IFERROR(4*STDEVP(終値!L129:AE129)/AVERAGE(終値!L129:AE129),""))</f>
      </c>
      <c r="J129" s="684">
        <f>IF(終値!A129="","",IFERROR(4*STDEVP(終値!M129:AF129)/AVERAGE(終値!M129:AF129),""))</f>
      </c>
      <c r="K129" s="684">
        <f>IF(終値!A129="","",IFERROR(4*STDEVP(終値!N129:AG129)/AVERAGE(終値!N129:AG129),""))</f>
      </c>
      <c r="L129" s="684">
        <f>IF(終値!A129="","",IFERROR(4*STDEVP(終値!O129:AH129)/AVERAGE(終値!O129:AH129),""))</f>
      </c>
      <c r="M129" s="684">
        <f>IF(終値!A129="","",IFERROR(4*STDEVP(終値!P129:AI129)/AVERAGE(終値!P129:AI129),""))</f>
      </c>
      <c r="N129" s="684">
        <f>IF(終値!A129="","",IFERROR(4*STDEVP(終値!Q129:AJ129)/AVERAGE(終値!Q129:AJ129),""))</f>
      </c>
      <c r="O129" s="684">
        <f>IF(終値!A129="","",IFERROR(4*STDEVP(終値!R129:AK129)/AVERAGE(終値!R129:AK129),""))</f>
      </c>
      <c r="P129" s="684">
        <f>IF(終値!A129="","",IFERROR(4*STDEVP(終値!S129:AL129)/AVERAGE(終値!S129:AL129),""))</f>
      </c>
      <c r="Q129" s="684">
        <f>IF(終値!A129="","",IFERROR(4*STDEVP(終値!T129:AM129)/AVERAGE(終値!T129:AM129),""))</f>
      </c>
      <c r="R129" s="684">
        <f>IF(終値!A129="","",IFERROR(4*STDEVP(終値!U129:AN129)/AVERAGE(終値!U129:AN129),""))</f>
      </c>
      <c r="S129" s="684">
        <f>IF(終値!A129="","",IFERROR(4*STDEVP(終値!V129:AO129)/AVERAGE(終値!V129:AO129),""))</f>
      </c>
      <c r="T129" s="684">
        <f>IF(終値!A129="","",IFERROR(4*STDEVP(終値!W129:AP129)/AVERAGE(終値!W129:AP129),""))</f>
      </c>
      <c r="U129" s="684">
        <f>IF(終値!A129="","",IFERROR(4*STDEVP(終値!X129:AQ129)/AVERAGE(終値!X129:AQ129),""))</f>
      </c>
      <c r="V129" s="684">
        <f>IF(終値!A129="","",IFERROR(4*STDEVP(終値!Y129:AR129)/AVERAGE(終値!Y129:AR129),""))</f>
      </c>
      <c r="W129" s="684">
        <f>IF(終値!A129="","",IFERROR(4*STDEVP(終値!Z129:AS129)/AVERAGE(終値!Z129:AS129),""))</f>
      </c>
      <c r="X129" s="684">
        <f>IF(終値!A129="","",IFERROR(4*STDEVP(終値!AA129:AT129)/AVERAGE(終値!AA129:AT129),""))</f>
      </c>
      <c r="Y129" s="684">
        <f>IF(終値!A129="","",IFERROR(4*STDEVP(終値!AB129:AU129)/AVERAGE(終値!AB129:AU129),""))</f>
      </c>
      <c r="Z129" s="684">
        <f>IF(終値!A129="","",IFERROR(4*STDEVP(終値!AC129:AV129)/AVERAGE(終値!AC129:AV129),""))</f>
      </c>
      <c r="AA129" s="684">
        <f>IF(終値!A129="","",IFERROR(4*STDEVP(終値!AD129:AW129)/AVERAGE(終値!AD129:AW129),""))</f>
      </c>
      <c r="AB129" s="684">
        <f>IF(終値!A129="","",IFERROR(4*STDEVP(終値!AE129:AX129)/AVERAGE(終値!AE129:AX129),""))</f>
      </c>
      <c r="AC129" s="684">
        <f>IF(終値!A129="","",IFERROR(4*STDEVP(終値!AF129:AY129)/AVERAGE(終値!AF129:AY129),""))</f>
      </c>
      <c r="AD129" s="684">
        <f>IF(終値!A129="","",IFERROR(4*STDEVP(終値!AG129:AZ129)/AVERAGE(終値!AG129:AZ129),""))</f>
      </c>
      <c r="AE129" s="684">
        <f>IF(終値!A129="","",IFERROR(4*STDEVP(終値!AH129:BA129)/AVERAGE(終値!AH129:BA129),""))</f>
      </c>
      <c r="AF129" s="684">
        <f>IF(終値!A129="","",IFERROR(4*STDEVP(終値!AI129:BB129)/AVERAGE(終値!AI129:BB129),""))</f>
      </c>
      <c r="AG129" s="684">
        <f>IF(終値!A129="","",IFERROR(4*STDEVP(終値!AJ129:BC129)/AVERAGE(終値!AJ129:BC129),""))</f>
      </c>
      <c r="AH129" s="684">
        <f>IF(終値!A129="","",IFERROR(4*STDEVP(終値!AK129:BD129)/AVERAGE(終値!AK129:BD129),""))</f>
      </c>
      <c r="AI129" s="684">
        <f>IF(終値!A129="","",IFERROR(4*STDEVP(終値!AL129:BE129)/AVERAGE(終値!AL129:BE129),""))</f>
      </c>
      <c r="AJ129" s="684">
        <f>IF(終値!A129="","",IFERROR(4*STDEVP(終値!AM129:BF129)/AVERAGE(終値!AM129:BF129),""))</f>
      </c>
      <c r="AK129" s="684">
        <f>IF(終値!A129="","",IFERROR(4*STDEVP(終値!AN129:BG129)/AVERAGE(終値!AN129:BG129),""))</f>
      </c>
      <c r="AL129" s="684">
        <f>IF(終値!A129="","",IFERROR(4*STDEVP(終値!AO129:BH129)/AVERAGE(終値!AO129:BH129),""))</f>
      </c>
      <c r="AM129" s="684">
        <f>IF(終値!A129="","",IFERROR(4*STDEVP(終値!AP129:BI129)/AVERAGE(終値!AP129:BI129),""))</f>
      </c>
      <c r="AN129" s="684">
        <f>IF(終値!A129="","",IFERROR(4*STDEVP(終値!AQ129:BJ129)/AVERAGE(終値!AQ129:BJ129),""))</f>
      </c>
      <c r="AO129" s="684">
        <f>IF(終値!A129="","",IFERROR(4*STDEVP(終値!AR129:BK129)/AVERAGE(終値!AR129:BK129),""))</f>
      </c>
      <c r="AP129" s="684">
        <f>IF(終値!A129="","",IFERROR(4*STDEVP(終値!AS129:BL129)/AVERAGE(終値!AS129:BL129),""))</f>
      </c>
    </row>
    <row r="130">
      <c r="A130" s="681">
        <f>IF(終値!A130="","",終値!A130)</f>
      </c>
      <c r="B130" s="684">
        <f>IF(終値!A130="","",IFERROR(4*STDEVP(終値!E130:X130)/AVERAGE(終値!E130:X130),""))</f>
      </c>
      <c r="C130" s="684">
        <f>IF(終値!A130="","",IFERROR(4*STDEVP(終値!F130:Y130)/AVERAGE(終値!F130:Y130),""))</f>
      </c>
      <c r="D130" s="684">
        <f>IF(終値!A130="","",IFERROR(4*STDEVP(終値!G130:Z130)/AVERAGE(終値!G130:Z130),""))</f>
      </c>
      <c r="E130" s="684">
        <f>IF(終値!A130="","",IFERROR(4*STDEVP(終値!H130:AA130)/AVERAGE(終値!H130:AA130),""))</f>
      </c>
      <c r="F130" s="684">
        <f>IF(終値!A130="","",IFERROR(4*STDEVP(終値!I130:AB130)/AVERAGE(終値!I130:AB130),""))</f>
      </c>
      <c r="G130" s="684">
        <f>IF(終値!A130="","",IFERROR(4*STDEVP(終値!J130:AC130)/AVERAGE(終値!J130:AC130),""))</f>
      </c>
      <c r="H130" s="684">
        <f>IF(終値!A130="","",IFERROR(4*STDEVP(終値!K130:AD130)/AVERAGE(終値!K130:AD130),""))</f>
      </c>
      <c r="I130" s="684">
        <f>IF(終値!A130="","",IFERROR(4*STDEVP(終値!L130:AE130)/AVERAGE(終値!L130:AE130),""))</f>
      </c>
      <c r="J130" s="684">
        <f>IF(終値!A130="","",IFERROR(4*STDEVP(終値!M130:AF130)/AVERAGE(終値!M130:AF130),""))</f>
      </c>
      <c r="K130" s="684">
        <f>IF(終値!A130="","",IFERROR(4*STDEVP(終値!N130:AG130)/AVERAGE(終値!N130:AG130),""))</f>
      </c>
      <c r="L130" s="684">
        <f>IF(終値!A130="","",IFERROR(4*STDEVP(終値!O130:AH130)/AVERAGE(終値!O130:AH130),""))</f>
      </c>
      <c r="M130" s="684">
        <f>IF(終値!A130="","",IFERROR(4*STDEVP(終値!P130:AI130)/AVERAGE(終値!P130:AI130),""))</f>
      </c>
      <c r="N130" s="684">
        <f>IF(終値!A130="","",IFERROR(4*STDEVP(終値!Q130:AJ130)/AVERAGE(終値!Q130:AJ130),""))</f>
      </c>
      <c r="O130" s="684">
        <f>IF(終値!A130="","",IFERROR(4*STDEVP(終値!R130:AK130)/AVERAGE(終値!R130:AK130),""))</f>
      </c>
      <c r="P130" s="684">
        <f>IF(終値!A130="","",IFERROR(4*STDEVP(終値!S130:AL130)/AVERAGE(終値!S130:AL130),""))</f>
      </c>
      <c r="Q130" s="684">
        <f>IF(終値!A130="","",IFERROR(4*STDEVP(終値!T130:AM130)/AVERAGE(終値!T130:AM130),""))</f>
      </c>
      <c r="R130" s="684">
        <f>IF(終値!A130="","",IFERROR(4*STDEVP(終値!U130:AN130)/AVERAGE(終値!U130:AN130),""))</f>
      </c>
      <c r="S130" s="684">
        <f>IF(終値!A130="","",IFERROR(4*STDEVP(終値!V130:AO130)/AVERAGE(終値!V130:AO130),""))</f>
      </c>
      <c r="T130" s="684">
        <f>IF(終値!A130="","",IFERROR(4*STDEVP(終値!W130:AP130)/AVERAGE(終値!W130:AP130),""))</f>
      </c>
      <c r="U130" s="684">
        <f>IF(終値!A130="","",IFERROR(4*STDEVP(終値!X130:AQ130)/AVERAGE(終値!X130:AQ130),""))</f>
      </c>
      <c r="V130" s="684">
        <f>IF(終値!A130="","",IFERROR(4*STDEVP(終値!Y130:AR130)/AVERAGE(終値!Y130:AR130),""))</f>
      </c>
      <c r="W130" s="684">
        <f>IF(終値!A130="","",IFERROR(4*STDEVP(終値!Z130:AS130)/AVERAGE(終値!Z130:AS130),""))</f>
      </c>
      <c r="X130" s="684">
        <f>IF(終値!A130="","",IFERROR(4*STDEVP(終値!AA130:AT130)/AVERAGE(終値!AA130:AT130),""))</f>
      </c>
      <c r="Y130" s="684">
        <f>IF(終値!A130="","",IFERROR(4*STDEVP(終値!AB130:AU130)/AVERAGE(終値!AB130:AU130),""))</f>
      </c>
      <c r="Z130" s="684">
        <f>IF(終値!A130="","",IFERROR(4*STDEVP(終値!AC130:AV130)/AVERAGE(終値!AC130:AV130),""))</f>
      </c>
      <c r="AA130" s="684">
        <f>IF(終値!A130="","",IFERROR(4*STDEVP(終値!AD130:AW130)/AVERAGE(終値!AD130:AW130),""))</f>
      </c>
      <c r="AB130" s="684">
        <f>IF(終値!A130="","",IFERROR(4*STDEVP(終値!AE130:AX130)/AVERAGE(終値!AE130:AX130),""))</f>
      </c>
      <c r="AC130" s="684">
        <f>IF(終値!A130="","",IFERROR(4*STDEVP(終値!AF130:AY130)/AVERAGE(終値!AF130:AY130),""))</f>
      </c>
      <c r="AD130" s="684">
        <f>IF(終値!A130="","",IFERROR(4*STDEVP(終値!AG130:AZ130)/AVERAGE(終値!AG130:AZ130),""))</f>
      </c>
      <c r="AE130" s="684">
        <f>IF(終値!A130="","",IFERROR(4*STDEVP(終値!AH130:BA130)/AVERAGE(終値!AH130:BA130),""))</f>
      </c>
      <c r="AF130" s="684">
        <f>IF(終値!A130="","",IFERROR(4*STDEVP(終値!AI130:BB130)/AVERAGE(終値!AI130:BB130),""))</f>
      </c>
      <c r="AG130" s="684">
        <f>IF(終値!A130="","",IFERROR(4*STDEVP(終値!AJ130:BC130)/AVERAGE(終値!AJ130:BC130),""))</f>
      </c>
      <c r="AH130" s="684">
        <f>IF(終値!A130="","",IFERROR(4*STDEVP(終値!AK130:BD130)/AVERAGE(終値!AK130:BD130),""))</f>
      </c>
      <c r="AI130" s="684">
        <f>IF(終値!A130="","",IFERROR(4*STDEVP(終値!AL130:BE130)/AVERAGE(終値!AL130:BE130),""))</f>
      </c>
      <c r="AJ130" s="684">
        <f>IF(終値!A130="","",IFERROR(4*STDEVP(終値!AM130:BF130)/AVERAGE(終値!AM130:BF130),""))</f>
      </c>
      <c r="AK130" s="684">
        <f>IF(終値!A130="","",IFERROR(4*STDEVP(終値!AN130:BG130)/AVERAGE(終値!AN130:BG130),""))</f>
      </c>
      <c r="AL130" s="684">
        <f>IF(終値!A130="","",IFERROR(4*STDEVP(終値!AO130:BH130)/AVERAGE(終値!AO130:BH130),""))</f>
      </c>
      <c r="AM130" s="684">
        <f>IF(終値!A130="","",IFERROR(4*STDEVP(終値!AP130:BI130)/AVERAGE(終値!AP130:BI130),""))</f>
      </c>
      <c r="AN130" s="684">
        <f>IF(終値!A130="","",IFERROR(4*STDEVP(終値!AQ130:BJ130)/AVERAGE(終値!AQ130:BJ130),""))</f>
      </c>
      <c r="AO130" s="684">
        <f>IF(終値!A130="","",IFERROR(4*STDEVP(終値!AR130:BK130)/AVERAGE(終値!AR130:BK130),""))</f>
      </c>
      <c r="AP130" s="684">
        <f>IF(終値!A130="","",IFERROR(4*STDEVP(終値!AS130:BL130)/AVERAGE(終値!AS130:BL130),""))</f>
      </c>
    </row>
    <row r="131">
      <c r="A131" s="681">
        <f>IF(終値!A131="","",終値!A131)</f>
      </c>
      <c r="B131" s="684">
        <f>IF(終値!A131="","",IFERROR(4*STDEVP(終値!E131:X131)/AVERAGE(終値!E131:X131),""))</f>
      </c>
      <c r="C131" s="684">
        <f>IF(終値!A131="","",IFERROR(4*STDEVP(終値!F131:Y131)/AVERAGE(終値!F131:Y131),""))</f>
      </c>
      <c r="D131" s="684">
        <f>IF(終値!A131="","",IFERROR(4*STDEVP(終値!G131:Z131)/AVERAGE(終値!G131:Z131),""))</f>
      </c>
      <c r="E131" s="684">
        <f>IF(終値!A131="","",IFERROR(4*STDEVP(終値!H131:AA131)/AVERAGE(終値!H131:AA131),""))</f>
      </c>
      <c r="F131" s="684">
        <f>IF(終値!A131="","",IFERROR(4*STDEVP(終値!I131:AB131)/AVERAGE(終値!I131:AB131),""))</f>
      </c>
      <c r="G131" s="684">
        <f>IF(終値!A131="","",IFERROR(4*STDEVP(終値!J131:AC131)/AVERAGE(終値!J131:AC131),""))</f>
      </c>
      <c r="H131" s="684">
        <f>IF(終値!A131="","",IFERROR(4*STDEVP(終値!K131:AD131)/AVERAGE(終値!K131:AD131),""))</f>
      </c>
      <c r="I131" s="684">
        <f>IF(終値!A131="","",IFERROR(4*STDEVP(終値!L131:AE131)/AVERAGE(終値!L131:AE131),""))</f>
      </c>
      <c r="J131" s="684">
        <f>IF(終値!A131="","",IFERROR(4*STDEVP(終値!M131:AF131)/AVERAGE(終値!M131:AF131),""))</f>
      </c>
      <c r="K131" s="684">
        <f>IF(終値!A131="","",IFERROR(4*STDEVP(終値!N131:AG131)/AVERAGE(終値!N131:AG131),""))</f>
      </c>
      <c r="L131" s="684">
        <f>IF(終値!A131="","",IFERROR(4*STDEVP(終値!O131:AH131)/AVERAGE(終値!O131:AH131),""))</f>
      </c>
      <c r="M131" s="684">
        <f>IF(終値!A131="","",IFERROR(4*STDEVP(終値!P131:AI131)/AVERAGE(終値!P131:AI131),""))</f>
      </c>
      <c r="N131" s="684">
        <f>IF(終値!A131="","",IFERROR(4*STDEVP(終値!Q131:AJ131)/AVERAGE(終値!Q131:AJ131),""))</f>
      </c>
      <c r="O131" s="684">
        <f>IF(終値!A131="","",IFERROR(4*STDEVP(終値!R131:AK131)/AVERAGE(終値!R131:AK131),""))</f>
      </c>
      <c r="P131" s="684">
        <f>IF(終値!A131="","",IFERROR(4*STDEVP(終値!S131:AL131)/AVERAGE(終値!S131:AL131),""))</f>
      </c>
      <c r="Q131" s="684">
        <f>IF(終値!A131="","",IFERROR(4*STDEVP(終値!T131:AM131)/AVERAGE(終値!T131:AM131),""))</f>
      </c>
      <c r="R131" s="684">
        <f>IF(終値!A131="","",IFERROR(4*STDEVP(終値!U131:AN131)/AVERAGE(終値!U131:AN131),""))</f>
      </c>
      <c r="S131" s="684">
        <f>IF(終値!A131="","",IFERROR(4*STDEVP(終値!V131:AO131)/AVERAGE(終値!V131:AO131),""))</f>
      </c>
      <c r="T131" s="684">
        <f>IF(終値!A131="","",IFERROR(4*STDEVP(終値!W131:AP131)/AVERAGE(終値!W131:AP131),""))</f>
      </c>
      <c r="U131" s="684">
        <f>IF(終値!A131="","",IFERROR(4*STDEVP(終値!X131:AQ131)/AVERAGE(終値!X131:AQ131),""))</f>
      </c>
      <c r="V131" s="684">
        <f>IF(終値!A131="","",IFERROR(4*STDEVP(終値!Y131:AR131)/AVERAGE(終値!Y131:AR131),""))</f>
      </c>
      <c r="W131" s="684">
        <f>IF(終値!A131="","",IFERROR(4*STDEVP(終値!Z131:AS131)/AVERAGE(終値!Z131:AS131),""))</f>
      </c>
      <c r="X131" s="684">
        <f>IF(終値!A131="","",IFERROR(4*STDEVP(終値!AA131:AT131)/AVERAGE(終値!AA131:AT131),""))</f>
      </c>
      <c r="Y131" s="684">
        <f>IF(終値!A131="","",IFERROR(4*STDEVP(終値!AB131:AU131)/AVERAGE(終値!AB131:AU131),""))</f>
      </c>
      <c r="Z131" s="684">
        <f>IF(終値!A131="","",IFERROR(4*STDEVP(終値!AC131:AV131)/AVERAGE(終値!AC131:AV131),""))</f>
      </c>
      <c r="AA131" s="684">
        <f>IF(終値!A131="","",IFERROR(4*STDEVP(終値!AD131:AW131)/AVERAGE(終値!AD131:AW131),""))</f>
      </c>
      <c r="AB131" s="684">
        <f>IF(終値!A131="","",IFERROR(4*STDEVP(終値!AE131:AX131)/AVERAGE(終値!AE131:AX131),""))</f>
      </c>
      <c r="AC131" s="684">
        <f>IF(終値!A131="","",IFERROR(4*STDEVP(終値!AF131:AY131)/AVERAGE(終値!AF131:AY131),""))</f>
      </c>
      <c r="AD131" s="684">
        <f>IF(終値!A131="","",IFERROR(4*STDEVP(終値!AG131:AZ131)/AVERAGE(終値!AG131:AZ131),""))</f>
      </c>
      <c r="AE131" s="684">
        <f>IF(終値!A131="","",IFERROR(4*STDEVP(終値!AH131:BA131)/AVERAGE(終値!AH131:BA131),""))</f>
      </c>
      <c r="AF131" s="684">
        <f>IF(終値!A131="","",IFERROR(4*STDEVP(終値!AI131:BB131)/AVERAGE(終値!AI131:BB131),""))</f>
      </c>
      <c r="AG131" s="684">
        <f>IF(終値!A131="","",IFERROR(4*STDEVP(終値!AJ131:BC131)/AVERAGE(終値!AJ131:BC131),""))</f>
      </c>
      <c r="AH131" s="684">
        <f>IF(終値!A131="","",IFERROR(4*STDEVP(終値!AK131:BD131)/AVERAGE(終値!AK131:BD131),""))</f>
      </c>
      <c r="AI131" s="684">
        <f>IF(終値!A131="","",IFERROR(4*STDEVP(終値!AL131:BE131)/AVERAGE(終値!AL131:BE131),""))</f>
      </c>
      <c r="AJ131" s="684">
        <f>IF(終値!A131="","",IFERROR(4*STDEVP(終値!AM131:BF131)/AVERAGE(終値!AM131:BF131),""))</f>
      </c>
      <c r="AK131" s="684">
        <f>IF(終値!A131="","",IFERROR(4*STDEVP(終値!AN131:BG131)/AVERAGE(終値!AN131:BG131),""))</f>
      </c>
      <c r="AL131" s="684">
        <f>IF(終値!A131="","",IFERROR(4*STDEVP(終値!AO131:BH131)/AVERAGE(終値!AO131:BH131),""))</f>
      </c>
      <c r="AM131" s="684">
        <f>IF(終値!A131="","",IFERROR(4*STDEVP(終値!AP131:BI131)/AVERAGE(終値!AP131:BI131),""))</f>
      </c>
      <c r="AN131" s="684">
        <f>IF(終値!A131="","",IFERROR(4*STDEVP(終値!AQ131:BJ131)/AVERAGE(終値!AQ131:BJ131),""))</f>
      </c>
      <c r="AO131" s="684">
        <f>IF(終値!A131="","",IFERROR(4*STDEVP(終値!AR131:BK131)/AVERAGE(終値!AR131:BK131),""))</f>
      </c>
      <c r="AP131" s="684">
        <f>IF(終値!A131="","",IFERROR(4*STDEVP(終値!AS131:BL131)/AVERAGE(終値!AS131:BL131),""))</f>
      </c>
    </row>
    <row r="132">
      <c r="A132" s="681">
        <f>IF(終値!A132="","",終値!A132)</f>
      </c>
      <c r="B132" s="684">
        <f>IF(終値!A132="","",IFERROR(4*STDEVP(終値!E132:X132)/AVERAGE(終値!E132:X132),""))</f>
      </c>
      <c r="C132" s="684">
        <f>IF(終値!A132="","",IFERROR(4*STDEVP(終値!F132:Y132)/AVERAGE(終値!F132:Y132),""))</f>
      </c>
      <c r="D132" s="684">
        <f>IF(終値!A132="","",IFERROR(4*STDEVP(終値!G132:Z132)/AVERAGE(終値!G132:Z132),""))</f>
      </c>
      <c r="E132" s="684">
        <f>IF(終値!A132="","",IFERROR(4*STDEVP(終値!H132:AA132)/AVERAGE(終値!H132:AA132),""))</f>
      </c>
      <c r="F132" s="684">
        <f>IF(終値!A132="","",IFERROR(4*STDEVP(終値!I132:AB132)/AVERAGE(終値!I132:AB132),""))</f>
      </c>
      <c r="G132" s="684">
        <f>IF(終値!A132="","",IFERROR(4*STDEVP(終値!J132:AC132)/AVERAGE(終値!J132:AC132),""))</f>
      </c>
      <c r="H132" s="684">
        <f>IF(終値!A132="","",IFERROR(4*STDEVP(終値!K132:AD132)/AVERAGE(終値!K132:AD132),""))</f>
      </c>
      <c r="I132" s="684">
        <f>IF(終値!A132="","",IFERROR(4*STDEVP(終値!L132:AE132)/AVERAGE(終値!L132:AE132),""))</f>
      </c>
      <c r="J132" s="684">
        <f>IF(終値!A132="","",IFERROR(4*STDEVP(終値!M132:AF132)/AVERAGE(終値!M132:AF132),""))</f>
      </c>
      <c r="K132" s="684">
        <f>IF(終値!A132="","",IFERROR(4*STDEVP(終値!N132:AG132)/AVERAGE(終値!N132:AG132),""))</f>
      </c>
      <c r="L132" s="684">
        <f>IF(終値!A132="","",IFERROR(4*STDEVP(終値!O132:AH132)/AVERAGE(終値!O132:AH132),""))</f>
      </c>
      <c r="M132" s="684">
        <f>IF(終値!A132="","",IFERROR(4*STDEVP(終値!P132:AI132)/AVERAGE(終値!P132:AI132),""))</f>
      </c>
      <c r="N132" s="684">
        <f>IF(終値!A132="","",IFERROR(4*STDEVP(終値!Q132:AJ132)/AVERAGE(終値!Q132:AJ132),""))</f>
      </c>
      <c r="O132" s="684">
        <f>IF(終値!A132="","",IFERROR(4*STDEVP(終値!R132:AK132)/AVERAGE(終値!R132:AK132),""))</f>
      </c>
      <c r="P132" s="684">
        <f>IF(終値!A132="","",IFERROR(4*STDEVP(終値!S132:AL132)/AVERAGE(終値!S132:AL132),""))</f>
      </c>
      <c r="Q132" s="684">
        <f>IF(終値!A132="","",IFERROR(4*STDEVP(終値!T132:AM132)/AVERAGE(終値!T132:AM132),""))</f>
      </c>
      <c r="R132" s="684">
        <f>IF(終値!A132="","",IFERROR(4*STDEVP(終値!U132:AN132)/AVERAGE(終値!U132:AN132),""))</f>
      </c>
      <c r="S132" s="684">
        <f>IF(終値!A132="","",IFERROR(4*STDEVP(終値!V132:AO132)/AVERAGE(終値!V132:AO132),""))</f>
      </c>
      <c r="T132" s="684">
        <f>IF(終値!A132="","",IFERROR(4*STDEVP(終値!W132:AP132)/AVERAGE(終値!W132:AP132),""))</f>
      </c>
      <c r="U132" s="684">
        <f>IF(終値!A132="","",IFERROR(4*STDEVP(終値!X132:AQ132)/AVERAGE(終値!X132:AQ132),""))</f>
      </c>
      <c r="V132" s="684">
        <f>IF(終値!A132="","",IFERROR(4*STDEVP(終値!Y132:AR132)/AVERAGE(終値!Y132:AR132),""))</f>
      </c>
      <c r="W132" s="684">
        <f>IF(終値!A132="","",IFERROR(4*STDEVP(終値!Z132:AS132)/AVERAGE(終値!Z132:AS132),""))</f>
      </c>
      <c r="X132" s="684">
        <f>IF(終値!A132="","",IFERROR(4*STDEVP(終値!AA132:AT132)/AVERAGE(終値!AA132:AT132),""))</f>
      </c>
      <c r="Y132" s="684">
        <f>IF(終値!A132="","",IFERROR(4*STDEVP(終値!AB132:AU132)/AVERAGE(終値!AB132:AU132),""))</f>
      </c>
      <c r="Z132" s="684">
        <f>IF(終値!A132="","",IFERROR(4*STDEVP(終値!AC132:AV132)/AVERAGE(終値!AC132:AV132),""))</f>
      </c>
      <c r="AA132" s="684">
        <f>IF(終値!A132="","",IFERROR(4*STDEVP(終値!AD132:AW132)/AVERAGE(終値!AD132:AW132),""))</f>
      </c>
      <c r="AB132" s="684">
        <f>IF(終値!A132="","",IFERROR(4*STDEVP(終値!AE132:AX132)/AVERAGE(終値!AE132:AX132),""))</f>
      </c>
      <c r="AC132" s="684">
        <f>IF(終値!A132="","",IFERROR(4*STDEVP(終値!AF132:AY132)/AVERAGE(終値!AF132:AY132),""))</f>
      </c>
      <c r="AD132" s="684">
        <f>IF(終値!A132="","",IFERROR(4*STDEVP(終値!AG132:AZ132)/AVERAGE(終値!AG132:AZ132),""))</f>
      </c>
      <c r="AE132" s="684">
        <f>IF(終値!A132="","",IFERROR(4*STDEVP(終値!AH132:BA132)/AVERAGE(終値!AH132:BA132),""))</f>
      </c>
      <c r="AF132" s="684">
        <f>IF(終値!A132="","",IFERROR(4*STDEVP(終値!AI132:BB132)/AVERAGE(終値!AI132:BB132),""))</f>
      </c>
      <c r="AG132" s="684">
        <f>IF(終値!A132="","",IFERROR(4*STDEVP(終値!AJ132:BC132)/AVERAGE(終値!AJ132:BC132),""))</f>
      </c>
      <c r="AH132" s="684">
        <f>IF(終値!A132="","",IFERROR(4*STDEVP(終値!AK132:BD132)/AVERAGE(終値!AK132:BD132),""))</f>
      </c>
      <c r="AI132" s="684">
        <f>IF(終値!A132="","",IFERROR(4*STDEVP(終値!AL132:BE132)/AVERAGE(終値!AL132:BE132),""))</f>
      </c>
      <c r="AJ132" s="684">
        <f>IF(終値!A132="","",IFERROR(4*STDEVP(終値!AM132:BF132)/AVERAGE(終値!AM132:BF132),""))</f>
      </c>
      <c r="AK132" s="684">
        <f>IF(終値!A132="","",IFERROR(4*STDEVP(終値!AN132:BG132)/AVERAGE(終値!AN132:BG132),""))</f>
      </c>
      <c r="AL132" s="684">
        <f>IF(終値!A132="","",IFERROR(4*STDEVP(終値!AO132:BH132)/AVERAGE(終値!AO132:BH132),""))</f>
      </c>
      <c r="AM132" s="684">
        <f>IF(終値!A132="","",IFERROR(4*STDEVP(終値!AP132:BI132)/AVERAGE(終値!AP132:BI132),""))</f>
      </c>
      <c r="AN132" s="684">
        <f>IF(終値!A132="","",IFERROR(4*STDEVP(終値!AQ132:BJ132)/AVERAGE(終値!AQ132:BJ132),""))</f>
      </c>
      <c r="AO132" s="684">
        <f>IF(終値!A132="","",IFERROR(4*STDEVP(終値!AR132:BK132)/AVERAGE(終値!AR132:BK132),""))</f>
      </c>
      <c r="AP132" s="684">
        <f>IF(終値!A132="","",IFERROR(4*STDEVP(終値!AS132:BL132)/AVERAGE(終値!AS132:BL132),""))</f>
      </c>
    </row>
    <row r="133">
      <c r="A133" s="681">
        <f>IF(終値!A133="","",終値!A133)</f>
      </c>
      <c r="B133" s="684">
        <f>IF(終値!A133="","",IFERROR(4*STDEVP(終値!E133:X133)/AVERAGE(終値!E133:X133),""))</f>
      </c>
      <c r="C133" s="684">
        <f>IF(終値!A133="","",IFERROR(4*STDEVP(終値!F133:Y133)/AVERAGE(終値!F133:Y133),""))</f>
      </c>
      <c r="D133" s="684">
        <f>IF(終値!A133="","",IFERROR(4*STDEVP(終値!G133:Z133)/AVERAGE(終値!G133:Z133),""))</f>
      </c>
      <c r="E133" s="684">
        <f>IF(終値!A133="","",IFERROR(4*STDEVP(終値!H133:AA133)/AVERAGE(終値!H133:AA133),""))</f>
      </c>
      <c r="F133" s="684">
        <f>IF(終値!A133="","",IFERROR(4*STDEVP(終値!I133:AB133)/AVERAGE(終値!I133:AB133),""))</f>
      </c>
      <c r="G133" s="684">
        <f>IF(終値!A133="","",IFERROR(4*STDEVP(終値!J133:AC133)/AVERAGE(終値!J133:AC133),""))</f>
      </c>
      <c r="H133" s="684">
        <f>IF(終値!A133="","",IFERROR(4*STDEVP(終値!K133:AD133)/AVERAGE(終値!K133:AD133),""))</f>
      </c>
      <c r="I133" s="684">
        <f>IF(終値!A133="","",IFERROR(4*STDEVP(終値!L133:AE133)/AVERAGE(終値!L133:AE133),""))</f>
      </c>
      <c r="J133" s="684">
        <f>IF(終値!A133="","",IFERROR(4*STDEVP(終値!M133:AF133)/AVERAGE(終値!M133:AF133),""))</f>
      </c>
      <c r="K133" s="684">
        <f>IF(終値!A133="","",IFERROR(4*STDEVP(終値!N133:AG133)/AVERAGE(終値!N133:AG133),""))</f>
      </c>
      <c r="L133" s="684">
        <f>IF(終値!A133="","",IFERROR(4*STDEVP(終値!O133:AH133)/AVERAGE(終値!O133:AH133),""))</f>
      </c>
      <c r="M133" s="684">
        <f>IF(終値!A133="","",IFERROR(4*STDEVP(終値!P133:AI133)/AVERAGE(終値!P133:AI133),""))</f>
      </c>
      <c r="N133" s="684">
        <f>IF(終値!A133="","",IFERROR(4*STDEVP(終値!Q133:AJ133)/AVERAGE(終値!Q133:AJ133),""))</f>
      </c>
      <c r="O133" s="684">
        <f>IF(終値!A133="","",IFERROR(4*STDEVP(終値!R133:AK133)/AVERAGE(終値!R133:AK133),""))</f>
      </c>
      <c r="P133" s="684">
        <f>IF(終値!A133="","",IFERROR(4*STDEVP(終値!S133:AL133)/AVERAGE(終値!S133:AL133),""))</f>
      </c>
      <c r="Q133" s="684">
        <f>IF(終値!A133="","",IFERROR(4*STDEVP(終値!T133:AM133)/AVERAGE(終値!T133:AM133),""))</f>
      </c>
      <c r="R133" s="684">
        <f>IF(終値!A133="","",IFERROR(4*STDEVP(終値!U133:AN133)/AVERAGE(終値!U133:AN133),""))</f>
      </c>
      <c r="S133" s="684">
        <f>IF(終値!A133="","",IFERROR(4*STDEVP(終値!V133:AO133)/AVERAGE(終値!V133:AO133),""))</f>
      </c>
      <c r="T133" s="684">
        <f>IF(終値!A133="","",IFERROR(4*STDEVP(終値!W133:AP133)/AVERAGE(終値!W133:AP133),""))</f>
      </c>
      <c r="U133" s="684">
        <f>IF(終値!A133="","",IFERROR(4*STDEVP(終値!X133:AQ133)/AVERAGE(終値!X133:AQ133),""))</f>
      </c>
      <c r="V133" s="684">
        <f>IF(終値!A133="","",IFERROR(4*STDEVP(終値!Y133:AR133)/AVERAGE(終値!Y133:AR133),""))</f>
      </c>
      <c r="W133" s="684">
        <f>IF(終値!A133="","",IFERROR(4*STDEVP(終値!Z133:AS133)/AVERAGE(終値!Z133:AS133),""))</f>
      </c>
      <c r="X133" s="684">
        <f>IF(終値!A133="","",IFERROR(4*STDEVP(終値!AA133:AT133)/AVERAGE(終値!AA133:AT133),""))</f>
      </c>
      <c r="Y133" s="684">
        <f>IF(終値!A133="","",IFERROR(4*STDEVP(終値!AB133:AU133)/AVERAGE(終値!AB133:AU133),""))</f>
      </c>
      <c r="Z133" s="684">
        <f>IF(終値!A133="","",IFERROR(4*STDEVP(終値!AC133:AV133)/AVERAGE(終値!AC133:AV133),""))</f>
      </c>
      <c r="AA133" s="684">
        <f>IF(終値!A133="","",IFERROR(4*STDEVP(終値!AD133:AW133)/AVERAGE(終値!AD133:AW133),""))</f>
      </c>
      <c r="AB133" s="684">
        <f>IF(終値!A133="","",IFERROR(4*STDEVP(終値!AE133:AX133)/AVERAGE(終値!AE133:AX133),""))</f>
      </c>
      <c r="AC133" s="684">
        <f>IF(終値!A133="","",IFERROR(4*STDEVP(終値!AF133:AY133)/AVERAGE(終値!AF133:AY133),""))</f>
      </c>
      <c r="AD133" s="684">
        <f>IF(終値!A133="","",IFERROR(4*STDEVP(終値!AG133:AZ133)/AVERAGE(終値!AG133:AZ133),""))</f>
      </c>
      <c r="AE133" s="684">
        <f>IF(終値!A133="","",IFERROR(4*STDEVP(終値!AH133:BA133)/AVERAGE(終値!AH133:BA133),""))</f>
      </c>
      <c r="AF133" s="684">
        <f>IF(終値!A133="","",IFERROR(4*STDEVP(終値!AI133:BB133)/AVERAGE(終値!AI133:BB133),""))</f>
      </c>
      <c r="AG133" s="684">
        <f>IF(終値!A133="","",IFERROR(4*STDEVP(終値!AJ133:BC133)/AVERAGE(終値!AJ133:BC133),""))</f>
      </c>
      <c r="AH133" s="684">
        <f>IF(終値!A133="","",IFERROR(4*STDEVP(終値!AK133:BD133)/AVERAGE(終値!AK133:BD133),""))</f>
      </c>
      <c r="AI133" s="684">
        <f>IF(終値!A133="","",IFERROR(4*STDEVP(終値!AL133:BE133)/AVERAGE(終値!AL133:BE133),""))</f>
      </c>
      <c r="AJ133" s="684">
        <f>IF(終値!A133="","",IFERROR(4*STDEVP(終値!AM133:BF133)/AVERAGE(終値!AM133:BF133),""))</f>
      </c>
      <c r="AK133" s="684">
        <f>IF(終値!A133="","",IFERROR(4*STDEVP(終値!AN133:BG133)/AVERAGE(終値!AN133:BG133),""))</f>
      </c>
      <c r="AL133" s="684">
        <f>IF(終値!A133="","",IFERROR(4*STDEVP(終値!AO133:BH133)/AVERAGE(終値!AO133:BH133),""))</f>
      </c>
      <c r="AM133" s="684">
        <f>IF(終値!A133="","",IFERROR(4*STDEVP(終値!AP133:BI133)/AVERAGE(終値!AP133:BI133),""))</f>
      </c>
      <c r="AN133" s="684">
        <f>IF(終値!A133="","",IFERROR(4*STDEVP(終値!AQ133:BJ133)/AVERAGE(終値!AQ133:BJ133),""))</f>
      </c>
      <c r="AO133" s="684">
        <f>IF(終値!A133="","",IFERROR(4*STDEVP(終値!AR133:BK133)/AVERAGE(終値!AR133:BK133),""))</f>
      </c>
      <c r="AP133" s="684">
        <f>IF(終値!A133="","",IFERROR(4*STDEVP(終値!AS133:BL133)/AVERAGE(終値!AS133:BL133),""))</f>
      </c>
    </row>
    <row r="134">
      <c r="A134" s="681">
        <f>IF(終値!A134="","",終値!A134)</f>
      </c>
      <c r="B134" s="684">
        <f>IF(終値!A134="","",IFERROR(4*STDEVP(終値!E134:X134)/AVERAGE(終値!E134:X134),""))</f>
      </c>
      <c r="C134" s="684">
        <f>IF(終値!A134="","",IFERROR(4*STDEVP(終値!F134:Y134)/AVERAGE(終値!F134:Y134),""))</f>
      </c>
      <c r="D134" s="684">
        <f>IF(終値!A134="","",IFERROR(4*STDEVP(終値!G134:Z134)/AVERAGE(終値!G134:Z134),""))</f>
      </c>
      <c r="E134" s="684">
        <f>IF(終値!A134="","",IFERROR(4*STDEVP(終値!H134:AA134)/AVERAGE(終値!H134:AA134),""))</f>
      </c>
      <c r="F134" s="684">
        <f>IF(終値!A134="","",IFERROR(4*STDEVP(終値!I134:AB134)/AVERAGE(終値!I134:AB134),""))</f>
      </c>
      <c r="G134" s="684">
        <f>IF(終値!A134="","",IFERROR(4*STDEVP(終値!J134:AC134)/AVERAGE(終値!J134:AC134),""))</f>
      </c>
      <c r="H134" s="684">
        <f>IF(終値!A134="","",IFERROR(4*STDEVP(終値!K134:AD134)/AVERAGE(終値!K134:AD134),""))</f>
      </c>
      <c r="I134" s="684">
        <f>IF(終値!A134="","",IFERROR(4*STDEVP(終値!L134:AE134)/AVERAGE(終値!L134:AE134),""))</f>
      </c>
      <c r="J134" s="684">
        <f>IF(終値!A134="","",IFERROR(4*STDEVP(終値!M134:AF134)/AVERAGE(終値!M134:AF134),""))</f>
      </c>
      <c r="K134" s="684">
        <f>IF(終値!A134="","",IFERROR(4*STDEVP(終値!N134:AG134)/AVERAGE(終値!N134:AG134),""))</f>
      </c>
      <c r="L134" s="684">
        <f>IF(終値!A134="","",IFERROR(4*STDEVP(終値!O134:AH134)/AVERAGE(終値!O134:AH134),""))</f>
      </c>
      <c r="M134" s="684">
        <f>IF(終値!A134="","",IFERROR(4*STDEVP(終値!P134:AI134)/AVERAGE(終値!P134:AI134),""))</f>
      </c>
      <c r="N134" s="684">
        <f>IF(終値!A134="","",IFERROR(4*STDEVP(終値!Q134:AJ134)/AVERAGE(終値!Q134:AJ134),""))</f>
      </c>
      <c r="O134" s="684">
        <f>IF(終値!A134="","",IFERROR(4*STDEVP(終値!R134:AK134)/AVERAGE(終値!R134:AK134),""))</f>
      </c>
      <c r="P134" s="684">
        <f>IF(終値!A134="","",IFERROR(4*STDEVP(終値!S134:AL134)/AVERAGE(終値!S134:AL134),""))</f>
      </c>
      <c r="Q134" s="684">
        <f>IF(終値!A134="","",IFERROR(4*STDEVP(終値!T134:AM134)/AVERAGE(終値!T134:AM134),""))</f>
      </c>
      <c r="R134" s="684">
        <f>IF(終値!A134="","",IFERROR(4*STDEVP(終値!U134:AN134)/AVERAGE(終値!U134:AN134),""))</f>
      </c>
      <c r="S134" s="684">
        <f>IF(終値!A134="","",IFERROR(4*STDEVP(終値!V134:AO134)/AVERAGE(終値!V134:AO134),""))</f>
      </c>
      <c r="T134" s="684">
        <f>IF(終値!A134="","",IFERROR(4*STDEVP(終値!W134:AP134)/AVERAGE(終値!W134:AP134),""))</f>
      </c>
      <c r="U134" s="684">
        <f>IF(終値!A134="","",IFERROR(4*STDEVP(終値!X134:AQ134)/AVERAGE(終値!X134:AQ134),""))</f>
      </c>
      <c r="V134" s="684">
        <f>IF(終値!A134="","",IFERROR(4*STDEVP(終値!Y134:AR134)/AVERAGE(終値!Y134:AR134),""))</f>
      </c>
      <c r="W134" s="684">
        <f>IF(終値!A134="","",IFERROR(4*STDEVP(終値!Z134:AS134)/AVERAGE(終値!Z134:AS134),""))</f>
      </c>
      <c r="X134" s="684">
        <f>IF(終値!A134="","",IFERROR(4*STDEVP(終値!AA134:AT134)/AVERAGE(終値!AA134:AT134),""))</f>
      </c>
      <c r="Y134" s="684">
        <f>IF(終値!A134="","",IFERROR(4*STDEVP(終値!AB134:AU134)/AVERAGE(終値!AB134:AU134),""))</f>
      </c>
      <c r="Z134" s="684">
        <f>IF(終値!A134="","",IFERROR(4*STDEVP(終値!AC134:AV134)/AVERAGE(終値!AC134:AV134),""))</f>
      </c>
      <c r="AA134" s="684">
        <f>IF(終値!A134="","",IFERROR(4*STDEVP(終値!AD134:AW134)/AVERAGE(終値!AD134:AW134),""))</f>
      </c>
      <c r="AB134" s="684">
        <f>IF(終値!A134="","",IFERROR(4*STDEVP(終値!AE134:AX134)/AVERAGE(終値!AE134:AX134),""))</f>
      </c>
      <c r="AC134" s="684">
        <f>IF(終値!A134="","",IFERROR(4*STDEVP(終値!AF134:AY134)/AVERAGE(終値!AF134:AY134),""))</f>
      </c>
      <c r="AD134" s="684">
        <f>IF(終値!A134="","",IFERROR(4*STDEVP(終値!AG134:AZ134)/AVERAGE(終値!AG134:AZ134),""))</f>
      </c>
      <c r="AE134" s="684">
        <f>IF(終値!A134="","",IFERROR(4*STDEVP(終値!AH134:BA134)/AVERAGE(終値!AH134:BA134),""))</f>
      </c>
      <c r="AF134" s="684">
        <f>IF(終値!A134="","",IFERROR(4*STDEVP(終値!AI134:BB134)/AVERAGE(終値!AI134:BB134),""))</f>
      </c>
      <c r="AG134" s="684">
        <f>IF(終値!A134="","",IFERROR(4*STDEVP(終値!AJ134:BC134)/AVERAGE(終値!AJ134:BC134),""))</f>
      </c>
      <c r="AH134" s="684">
        <f>IF(終値!A134="","",IFERROR(4*STDEVP(終値!AK134:BD134)/AVERAGE(終値!AK134:BD134),""))</f>
      </c>
      <c r="AI134" s="684">
        <f>IF(終値!A134="","",IFERROR(4*STDEVP(終値!AL134:BE134)/AVERAGE(終値!AL134:BE134),""))</f>
      </c>
      <c r="AJ134" s="684">
        <f>IF(終値!A134="","",IFERROR(4*STDEVP(終値!AM134:BF134)/AVERAGE(終値!AM134:BF134),""))</f>
      </c>
      <c r="AK134" s="684">
        <f>IF(終値!A134="","",IFERROR(4*STDEVP(終値!AN134:BG134)/AVERAGE(終値!AN134:BG134),""))</f>
      </c>
      <c r="AL134" s="684">
        <f>IF(終値!A134="","",IFERROR(4*STDEVP(終値!AO134:BH134)/AVERAGE(終値!AO134:BH134),""))</f>
      </c>
      <c r="AM134" s="684">
        <f>IF(終値!A134="","",IFERROR(4*STDEVP(終値!AP134:BI134)/AVERAGE(終値!AP134:BI134),""))</f>
      </c>
      <c r="AN134" s="684">
        <f>IF(終値!A134="","",IFERROR(4*STDEVP(終値!AQ134:BJ134)/AVERAGE(終値!AQ134:BJ134),""))</f>
      </c>
      <c r="AO134" s="684">
        <f>IF(終値!A134="","",IFERROR(4*STDEVP(終値!AR134:BK134)/AVERAGE(終値!AR134:BK134),""))</f>
      </c>
      <c r="AP134" s="684">
        <f>IF(終値!A134="","",IFERROR(4*STDEVP(終値!AS134:BL134)/AVERAGE(終値!AS134:BL134),""))</f>
      </c>
    </row>
    <row r="135">
      <c r="A135" s="681">
        <f>IF(終値!A135="","",終値!A135)</f>
      </c>
      <c r="B135" s="684">
        <f>IF(終値!A135="","",IFERROR(4*STDEVP(終値!E135:X135)/AVERAGE(終値!E135:X135),""))</f>
      </c>
      <c r="C135" s="684">
        <f>IF(終値!A135="","",IFERROR(4*STDEVP(終値!F135:Y135)/AVERAGE(終値!F135:Y135),""))</f>
      </c>
      <c r="D135" s="684">
        <f>IF(終値!A135="","",IFERROR(4*STDEVP(終値!G135:Z135)/AVERAGE(終値!G135:Z135),""))</f>
      </c>
      <c r="E135" s="684">
        <f>IF(終値!A135="","",IFERROR(4*STDEVP(終値!H135:AA135)/AVERAGE(終値!H135:AA135),""))</f>
      </c>
      <c r="F135" s="684">
        <f>IF(終値!A135="","",IFERROR(4*STDEVP(終値!I135:AB135)/AVERAGE(終値!I135:AB135),""))</f>
      </c>
      <c r="G135" s="684">
        <f>IF(終値!A135="","",IFERROR(4*STDEVP(終値!J135:AC135)/AVERAGE(終値!J135:AC135),""))</f>
      </c>
      <c r="H135" s="684">
        <f>IF(終値!A135="","",IFERROR(4*STDEVP(終値!K135:AD135)/AVERAGE(終値!K135:AD135),""))</f>
      </c>
      <c r="I135" s="684">
        <f>IF(終値!A135="","",IFERROR(4*STDEVP(終値!L135:AE135)/AVERAGE(終値!L135:AE135),""))</f>
      </c>
      <c r="J135" s="684">
        <f>IF(終値!A135="","",IFERROR(4*STDEVP(終値!M135:AF135)/AVERAGE(終値!M135:AF135),""))</f>
      </c>
      <c r="K135" s="684">
        <f>IF(終値!A135="","",IFERROR(4*STDEVP(終値!N135:AG135)/AVERAGE(終値!N135:AG135),""))</f>
      </c>
      <c r="L135" s="684">
        <f>IF(終値!A135="","",IFERROR(4*STDEVP(終値!O135:AH135)/AVERAGE(終値!O135:AH135),""))</f>
      </c>
      <c r="M135" s="684">
        <f>IF(終値!A135="","",IFERROR(4*STDEVP(終値!P135:AI135)/AVERAGE(終値!P135:AI135),""))</f>
      </c>
      <c r="N135" s="684">
        <f>IF(終値!A135="","",IFERROR(4*STDEVP(終値!Q135:AJ135)/AVERAGE(終値!Q135:AJ135),""))</f>
      </c>
      <c r="O135" s="684">
        <f>IF(終値!A135="","",IFERROR(4*STDEVP(終値!R135:AK135)/AVERAGE(終値!R135:AK135),""))</f>
      </c>
      <c r="P135" s="684">
        <f>IF(終値!A135="","",IFERROR(4*STDEVP(終値!S135:AL135)/AVERAGE(終値!S135:AL135),""))</f>
      </c>
      <c r="Q135" s="684">
        <f>IF(終値!A135="","",IFERROR(4*STDEVP(終値!T135:AM135)/AVERAGE(終値!T135:AM135),""))</f>
      </c>
      <c r="R135" s="684">
        <f>IF(終値!A135="","",IFERROR(4*STDEVP(終値!U135:AN135)/AVERAGE(終値!U135:AN135),""))</f>
      </c>
      <c r="S135" s="684">
        <f>IF(終値!A135="","",IFERROR(4*STDEVP(終値!V135:AO135)/AVERAGE(終値!V135:AO135),""))</f>
      </c>
      <c r="T135" s="684">
        <f>IF(終値!A135="","",IFERROR(4*STDEVP(終値!W135:AP135)/AVERAGE(終値!W135:AP135),""))</f>
      </c>
      <c r="U135" s="684">
        <f>IF(終値!A135="","",IFERROR(4*STDEVP(終値!X135:AQ135)/AVERAGE(終値!X135:AQ135),""))</f>
      </c>
      <c r="V135" s="684">
        <f>IF(終値!A135="","",IFERROR(4*STDEVP(終値!Y135:AR135)/AVERAGE(終値!Y135:AR135),""))</f>
      </c>
      <c r="W135" s="684">
        <f>IF(終値!A135="","",IFERROR(4*STDEVP(終値!Z135:AS135)/AVERAGE(終値!Z135:AS135),""))</f>
      </c>
      <c r="X135" s="684">
        <f>IF(終値!A135="","",IFERROR(4*STDEVP(終値!AA135:AT135)/AVERAGE(終値!AA135:AT135),""))</f>
      </c>
      <c r="Y135" s="684">
        <f>IF(終値!A135="","",IFERROR(4*STDEVP(終値!AB135:AU135)/AVERAGE(終値!AB135:AU135),""))</f>
      </c>
      <c r="Z135" s="684">
        <f>IF(終値!A135="","",IFERROR(4*STDEVP(終値!AC135:AV135)/AVERAGE(終値!AC135:AV135),""))</f>
      </c>
      <c r="AA135" s="684">
        <f>IF(終値!A135="","",IFERROR(4*STDEVP(終値!AD135:AW135)/AVERAGE(終値!AD135:AW135),""))</f>
      </c>
      <c r="AB135" s="684">
        <f>IF(終値!A135="","",IFERROR(4*STDEVP(終値!AE135:AX135)/AVERAGE(終値!AE135:AX135),""))</f>
      </c>
      <c r="AC135" s="684">
        <f>IF(終値!A135="","",IFERROR(4*STDEVP(終値!AF135:AY135)/AVERAGE(終値!AF135:AY135),""))</f>
      </c>
      <c r="AD135" s="684">
        <f>IF(終値!A135="","",IFERROR(4*STDEVP(終値!AG135:AZ135)/AVERAGE(終値!AG135:AZ135),""))</f>
      </c>
      <c r="AE135" s="684">
        <f>IF(終値!A135="","",IFERROR(4*STDEVP(終値!AH135:BA135)/AVERAGE(終値!AH135:BA135),""))</f>
      </c>
      <c r="AF135" s="684">
        <f>IF(終値!A135="","",IFERROR(4*STDEVP(終値!AI135:BB135)/AVERAGE(終値!AI135:BB135),""))</f>
      </c>
      <c r="AG135" s="684">
        <f>IF(終値!A135="","",IFERROR(4*STDEVP(終値!AJ135:BC135)/AVERAGE(終値!AJ135:BC135),""))</f>
      </c>
      <c r="AH135" s="684">
        <f>IF(終値!A135="","",IFERROR(4*STDEVP(終値!AK135:BD135)/AVERAGE(終値!AK135:BD135),""))</f>
      </c>
      <c r="AI135" s="684">
        <f>IF(終値!A135="","",IFERROR(4*STDEVP(終値!AL135:BE135)/AVERAGE(終値!AL135:BE135),""))</f>
      </c>
      <c r="AJ135" s="684">
        <f>IF(終値!A135="","",IFERROR(4*STDEVP(終値!AM135:BF135)/AVERAGE(終値!AM135:BF135),""))</f>
      </c>
      <c r="AK135" s="684">
        <f>IF(終値!A135="","",IFERROR(4*STDEVP(終値!AN135:BG135)/AVERAGE(終値!AN135:BG135),""))</f>
      </c>
      <c r="AL135" s="684">
        <f>IF(終値!A135="","",IFERROR(4*STDEVP(終値!AO135:BH135)/AVERAGE(終値!AO135:BH135),""))</f>
      </c>
      <c r="AM135" s="684">
        <f>IF(終値!A135="","",IFERROR(4*STDEVP(終値!AP135:BI135)/AVERAGE(終値!AP135:BI135),""))</f>
      </c>
      <c r="AN135" s="684">
        <f>IF(終値!A135="","",IFERROR(4*STDEVP(終値!AQ135:BJ135)/AVERAGE(終値!AQ135:BJ135),""))</f>
      </c>
      <c r="AO135" s="684">
        <f>IF(終値!A135="","",IFERROR(4*STDEVP(終値!AR135:BK135)/AVERAGE(終値!AR135:BK135),""))</f>
      </c>
      <c r="AP135" s="684">
        <f>IF(終値!A135="","",IFERROR(4*STDEVP(終値!AS135:BL135)/AVERAGE(終値!AS135:BL135),""))</f>
      </c>
    </row>
    <row r="136">
      <c r="A136" s="681">
        <f>IF(終値!A136="","",終値!A136)</f>
      </c>
      <c r="B136" s="684">
        <f>IF(終値!A136="","",IFERROR(4*STDEVP(終値!E136:X136)/AVERAGE(終値!E136:X136),""))</f>
      </c>
      <c r="C136" s="684">
        <f>IF(終値!A136="","",IFERROR(4*STDEVP(終値!F136:Y136)/AVERAGE(終値!F136:Y136),""))</f>
      </c>
      <c r="D136" s="684">
        <f>IF(終値!A136="","",IFERROR(4*STDEVP(終値!G136:Z136)/AVERAGE(終値!G136:Z136),""))</f>
      </c>
      <c r="E136" s="684">
        <f>IF(終値!A136="","",IFERROR(4*STDEVP(終値!H136:AA136)/AVERAGE(終値!H136:AA136),""))</f>
      </c>
      <c r="F136" s="684">
        <f>IF(終値!A136="","",IFERROR(4*STDEVP(終値!I136:AB136)/AVERAGE(終値!I136:AB136),""))</f>
      </c>
      <c r="G136" s="684">
        <f>IF(終値!A136="","",IFERROR(4*STDEVP(終値!J136:AC136)/AVERAGE(終値!J136:AC136),""))</f>
      </c>
      <c r="H136" s="684">
        <f>IF(終値!A136="","",IFERROR(4*STDEVP(終値!K136:AD136)/AVERAGE(終値!K136:AD136),""))</f>
      </c>
      <c r="I136" s="684">
        <f>IF(終値!A136="","",IFERROR(4*STDEVP(終値!L136:AE136)/AVERAGE(終値!L136:AE136),""))</f>
      </c>
      <c r="J136" s="684">
        <f>IF(終値!A136="","",IFERROR(4*STDEVP(終値!M136:AF136)/AVERAGE(終値!M136:AF136),""))</f>
      </c>
      <c r="K136" s="684">
        <f>IF(終値!A136="","",IFERROR(4*STDEVP(終値!N136:AG136)/AVERAGE(終値!N136:AG136),""))</f>
      </c>
      <c r="L136" s="684">
        <f>IF(終値!A136="","",IFERROR(4*STDEVP(終値!O136:AH136)/AVERAGE(終値!O136:AH136),""))</f>
      </c>
      <c r="M136" s="684">
        <f>IF(終値!A136="","",IFERROR(4*STDEVP(終値!P136:AI136)/AVERAGE(終値!P136:AI136),""))</f>
      </c>
      <c r="N136" s="684">
        <f>IF(終値!A136="","",IFERROR(4*STDEVP(終値!Q136:AJ136)/AVERAGE(終値!Q136:AJ136),""))</f>
      </c>
      <c r="O136" s="684">
        <f>IF(終値!A136="","",IFERROR(4*STDEVP(終値!R136:AK136)/AVERAGE(終値!R136:AK136),""))</f>
      </c>
      <c r="P136" s="684">
        <f>IF(終値!A136="","",IFERROR(4*STDEVP(終値!S136:AL136)/AVERAGE(終値!S136:AL136),""))</f>
      </c>
      <c r="Q136" s="684">
        <f>IF(終値!A136="","",IFERROR(4*STDEVP(終値!T136:AM136)/AVERAGE(終値!T136:AM136),""))</f>
      </c>
      <c r="R136" s="684">
        <f>IF(終値!A136="","",IFERROR(4*STDEVP(終値!U136:AN136)/AVERAGE(終値!U136:AN136),""))</f>
      </c>
      <c r="S136" s="684">
        <f>IF(終値!A136="","",IFERROR(4*STDEVP(終値!V136:AO136)/AVERAGE(終値!V136:AO136),""))</f>
      </c>
      <c r="T136" s="684">
        <f>IF(終値!A136="","",IFERROR(4*STDEVP(終値!W136:AP136)/AVERAGE(終値!W136:AP136),""))</f>
      </c>
      <c r="U136" s="684">
        <f>IF(終値!A136="","",IFERROR(4*STDEVP(終値!X136:AQ136)/AVERAGE(終値!X136:AQ136),""))</f>
      </c>
      <c r="V136" s="684">
        <f>IF(終値!A136="","",IFERROR(4*STDEVP(終値!Y136:AR136)/AVERAGE(終値!Y136:AR136),""))</f>
      </c>
      <c r="W136" s="684">
        <f>IF(終値!A136="","",IFERROR(4*STDEVP(終値!Z136:AS136)/AVERAGE(終値!Z136:AS136),""))</f>
      </c>
      <c r="X136" s="684">
        <f>IF(終値!A136="","",IFERROR(4*STDEVP(終値!AA136:AT136)/AVERAGE(終値!AA136:AT136),""))</f>
      </c>
      <c r="Y136" s="684">
        <f>IF(終値!A136="","",IFERROR(4*STDEVP(終値!AB136:AU136)/AVERAGE(終値!AB136:AU136),""))</f>
      </c>
      <c r="Z136" s="684">
        <f>IF(終値!A136="","",IFERROR(4*STDEVP(終値!AC136:AV136)/AVERAGE(終値!AC136:AV136),""))</f>
      </c>
      <c r="AA136" s="684">
        <f>IF(終値!A136="","",IFERROR(4*STDEVP(終値!AD136:AW136)/AVERAGE(終値!AD136:AW136),""))</f>
      </c>
      <c r="AB136" s="684">
        <f>IF(終値!A136="","",IFERROR(4*STDEVP(終値!AE136:AX136)/AVERAGE(終値!AE136:AX136),""))</f>
      </c>
      <c r="AC136" s="684">
        <f>IF(終値!A136="","",IFERROR(4*STDEVP(終値!AF136:AY136)/AVERAGE(終値!AF136:AY136),""))</f>
      </c>
      <c r="AD136" s="684">
        <f>IF(終値!A136="","",IFERROR(4*STDEVP(終値!AG136:AZ136)/AVERAGE(終値!AG136:AZ136),""))</f>
      </c>
      <c r="AE136" s="684">
        <f>IF(終値!A136="","",IFERROR(4*STDEVP(終値!AH136:BA136)/AVERAGE(終値!AH136:BA136),""))</f>
      </c>
      <c r="AF136" s="684">
        <f>IF(終値!A136="","",IFERROR(4*STDEVP(終値!AI136:BB136)/AVERAGE(終値!AI136:BB136),""))</f>
      </c>
      <c r="AG136" s="684">
        <f>IF(終値!A136="","",IFERROR(4*STDEVP(終値!AJ136:BC136)/AVERAGE(終値!AJ136:BC136),""))</f>
      </c>
      <c r="AH136" s="684">
        <f>IF(終値!A136="","",IFERROR(4*STDEVP(終値!AK136:BD136)/AVERAGE(終値!AK136:BD136),""))</f>
      </c>
      <c r="AI136" s="684">
        <f>IF(終値!A136="","",IFERROR(4*STDEVP(終値!AL136:BE136)/AVERAGE(終値!AL136:BE136),""))</f>
      </c>
      <c r="AJ136" s="684">
        <f>IF(終値!A136="","",IFERROR(4*STDEVP(終値!AM136:BF136)/AVERAGE(終値!AM136:BF136),""))</f>
      </c>
      <c r="AK136" s="684">
        <f>IF(終値!A136="","",IFERROR(4*STDEVP(終値!AN136:BG136)/AVERAGE(終値!AN136:BG136),""))</f>
      </c>
      <c r="AL136" s="684">
        <f>IF(終値!A136="","",IFERROR(4*STDEVP(終値!AO136:BH136)/AVERAGE(終値!AO136:BH136),""))</f>
      </c>
      <c r="AM136" s="684">
        <f>IF(終値!A136="","",IFERROR(4*STDEVP(終値!AP136:BI136)/AVERAGE(終値!AP136:BI136),""))</f>
      </c>
      <c r="AN136" s="684">
        <f>IF(終値!A136="","",IFERROR(4*STDEVP(終値!AQ136:BJ136)/AVERAGE(終値!AQ136:BJ136),""))</f>
      </c>
      <c r="AO136" s="684">
        <f>IF(終値!A136="","",IFERROR(4*STDEVP(終値!AR136:BK136)/AVERAGE(終値!AR136:BK136),""))</f>
      </c>
      <c r="AP136" s="684">
        <f>IF(終値!A136="","",IFERROR(4*STDEVP(終値!AS136:BL136)/AVERAGE(終値!AS136:BL136),""))</f>
      </c>
    </row>
    <row r="137">
      <c r="A137" s="681">
        <f>IF(終値!A137="","",終値!A137)</f>
      </c>
      <c r="B137" s="684">
        <f>IF(終値!A137="","",IFERROR(4*STDEVP(終値!E137:X137)/AVERAGE(終値!E137:X137),""))</f>
      </c>
      <c r="C137" s="684">
        <f>IF(終値!A137="","",IFERROR(4*STDEVP(終値!F137:Y137)/AVERAGE(終値!F137:Y137),""))</f>
      </c>
      <c r="D137" s="684">
        <f>IF(終値!A137="","",IFERROR(4*STDEVP(終値!G137:Z137)/AVERAGE(終値!G137:Z137),""))</f>
      </c>
      <c r="E137" s="684">
        <f>IF(終値!A137="","",IFERROR(4*STDEVP(終値!H137:AA137)/AVERAGE(終値!H137:AA137),""))</f>
      </c>
      <c r="F137" s="684">
        <f>IF(終値!A137="","",IFERROR(4*STDEVP(終値!I137:AB137)/AVERAGE(終値!I137:AB137),""))</f>
      </c>
      <c r="G137" s="684">
        <f>IF(終値!A137="","",IFERROR(4*STDEVP(終値!J137:AC137)/AVERAGE(終値!J137:AC137),""))</f>
      </c>
      <c r="H137" s="684">
        <f>IF(終値!A137="","",IFERROR(4*STDEVP(終値!K137:AD137)/AVERAGE(終値!K137:AD137),""))</f>
      </c>
      <c r="I137" s="684">
        <f>IF(終値!A137="","",IFERROR(4*STDEVP(終値!L137:AE137)/AVERAGE(終値!L137:AE137),""))</f>
      </c>
      <c r="J137" s="684">
        <f>IF(終値!A137="","",IFERROR(4*STDEVP(終値!M137:AF137)/AVERAGE(終値!M137:AF137),""))</f>
      </c>
      <c r="K137" s="684">
        <f>IF(終値!A137="","",IFERROR(4*STDEVP(終値!N137:AG137)/AVERAGE(終値!N137:AG137),""))</f>
      </c>
      <c r="L137" s="684">
        <f>IF(終値!A137="","",IFERROR(4*STDEVP(終値!O137:AH137)/AVERAGE(終値!O137:AH137),""))</f>
      </c>
      <c r="M137" s="684">
        <f>IF(終値!A137="","",IFERROR(4*STDEVP(終値!P137:AI137)/AVERAGE(終値!P137:AI137),""))</f>
      </c>
      <c r="N137" s="684">
        <f>IF(終値!A137="","",IFERROR(4*STDEVP(終値!Q137:AJ137)/AVERAGE(終値!Q137:AJ137),""))</f>
      </c>
      <c r="O137" s="684">
        <f>IF(終値!A137="","",IFERROR(4*STDEVP(終値!R137:AK137)/AVERAGE(終値!R137:AK137),""))</f>
      </c>
      <c r="P137" s="684">
        <f>IF(終値!A137="","",IFERROR(4*STDEVP(終値!S137:AL137)/AVERAGE(終値!S137:AL137),""))</f>
      </c>
      <c r="Q137" s="684">
        <f>IF(終値!A137="","",IFERROR(4*STDEVP(終値!T137:AM137)/AVERAGE(終値!T137:AM137),""))</f>
      </c>
      <c r="R137" s="684">
        <f>IF(終値!A137="","",IFERROR(4*STDEVP(終値!U137:AN137)/AVERAGE(終値!U137:AN137),""))</f>
      </c>
      <c r="S137" s="684">
        <f>IF(終値!A137="","",IFERROR(4*STDEVP(終値!V137:AO137)/AVERAGE(終値!V137:AO137),""))</f>
      </c>
      <c r="T137" s="684">
        <f>IF(終値!A137="","",IFERROR(4*STDEVP(終値!W137:AP137)/AVERAGE(終値!W137:AP137),""))</f>
      </c>
      <c r="U137" s="684">
        <f>IF(終値!A137="","",IFERROR(4*STDEVP(終値!X137:AQ137)/AVERAGE(終値!X137:AQ137),""))</f>
      </c>
      <c r="V137" s="684">
        <f>IF(終値!A137="","",IFERROR(4*STDEVP(終値!Y137:AR137)/AVERAGE(終値!Y137:AR137),""))</f>
      </c>
      <c r="W137" s="684">
        <f>IF(終値!A137="","",IFERROR(4*STDEVP(終値!Z137:AS137)/AVERAGE(終値!Z137:AS137),""))</f>
      </c>
      <c r="X137" s="684">
        <f>IF(終値!A137="","",IFERROR(4*STDEVP(終値!AA137:AT137)/AVERAGE(終値!AA137:AT137),""))</f>
      </c>
      <c r="Y137" s="684">
        <f>IF(終値!A137="","",IFERROR(4*STDEVP(終値!AB137:AU137)/AVERAGE(終値!AB137:AU137),""))</f>
      </c>
      <c r="Z137" s="684">
        <f>IF(終値!A137="","",IFERROR(4*STDEVP(終値!AC137:AV137)/AVERAGE(終値!AC137:AV137),""))</f>
      </c>
      <c r="AA137" s="684">
        <f>IF(終値!A137="","",IFERROR(4*STDEVP(終値!AD137:AW137)/AVERAGE(終値!AD137:AW137),""))</f>
      </c>
      <c r="AB137" s="684">
        <f>IF(終値!A137="","",IFERROR(4*STDEVP(終値!AE137:AX137)/AVERAGE(終値!AE137:AX137),""))</f>
      </c>
      <c r="AC137" s="684">
        <f>IF(終値!A137="","",IFERROR(4*STDEVP(終値!AF137:AY137)/AVERAGE(終値!AF137:AY137),""))</f>
      </c>
      <c r="AD137" s="684">
        <f>IF(終値!A137="","",IFERROR(4*STDEVP(終値!AG137:AZ137)/AVERAGE(終値!AG137:AZ137),""))</f>
      </c>
      <c r="AE137" s="684">
        <f>IF(終値!A137="","",IFERROR(4*STDEVP(終値!AH137:BA137)/AVERAGE(終値!AH137:BA137),""))</f>
      </c>
      <c r="AF137" s="684">
        <f>IF(終値!A137="","",IFERROR(4*STDEVP(終値!AI137:BB137)/AVERAGE(終値!AI137:BB137),""))</f>
      </c>
      <c r="AG137" s="684">
        <f>IF(終値!A137="","",IFERROR(4*STDEVP(終値!AJ137:BC137)/AVERAGE(終値!AJ137:BC137),""))</f>
      </c>
      <c r="AH137" s="684">
        <f>IF(終値!A137="","",IFERROR(4*STDEVP(終値!AK137:BD137)/AVERAGE(終値!AK137:BD137),""))</f>
      </c>
      <c r="AI137" s="684">
        <f>IF(終値!A137="","",IFERROR(4*STDEVP(終値!AL137:BE137)/AVERAGE(終値!AL137:BE137),""))</f>
      </c>
      <c r="AJ137" s="684">
        <f>IF(終値!A137="","",IFERROR(4*STDEVP(終値!AM137:BF137)/AVERAGE(終値!AM137:BF137),""))</f>
      </c>
      <c r="AK137" s="684">
        <f>IF(終値!A137="","",IFERROR(4*STDEVP(終値!AN137:BG137)/AVERAGE(終値!AN137:BG137),""))</f>
      </c>
      <c r="AL137" s="684">
        <f>IF(終値!A137="","",IFERROR(4*STDEVP(終値!AO137:BH137)/AVERAGE(終値!AO137:BH137),""))</f>
      </c>
      <c r="AM137" s="684">
        <f>IF(終値!A137="","",IFERROR(4*STDEVP(終値!AP137:BI137)/AVERAGE(終値!AP137:BI137),""))</f>
      </c>
      <c r="AN137" s="684">
        <f>IF(終値!A137="","",IFERROR(4*STDEVP(終値!AQ137:BJ137)/AVERAGE(終値!AQ137:BJ137),""))</f>
      </c>
      <c r="AO137" s="684">
        <f>IF(終値!A137="","",IFERROR(4*STDEVP(終値!AR137:BK137)/AVERAGE(終値!AR137:BK137),""))</f>
      </c>
      <c r="AP137" s="684">
        <f>IF(終値!A137="","",IFERROR(4*STDEVP(終値!AS137:BL137)/AVERAGE(終値!AS137:BL137),""))</f>
      </c>
    </row>
    <row r="138">
      <c r="A138" s="681">
        <f>IF(終値!A138="","",終値!A138)</f>
      </c>
      <c r="B138" s="684">
        <f>IF(終値!A138="","",IFERROR(4*STDEVP(終値!E138:X138)/AVERAGE(終値!E138:X138),""))</f>
      </c>
      <c r="C138" s="684">
        <f>IF(終値!A138="","",IFERROR(4*STDEVP(終値!F138:Y138)/AVERAGE(終値!F138:Y138),""))</f>
      </c>
      <c r="D138" s="684">
        <f>IF(終値!A138="","",IFERROR(4*STDEVP(終値!G138:Z138)/AVERAGE(終値!G138:Z138),""))</f>
      </c>
      <c r="E138" s="684">
        <f>IF(終値!A138="","",IFERROR(4*STDEVP(終値!H138:AA138)/AVERAGE(終値!H138:AA138),""))</f>
      </c>
      <c r="F138" s="684">
        <f>IF(終値!A138="","",IFERROR(4*STDEVP(終値!I138:AB138)/AVERAGE(終値!I138:AB138),""))</f>
      </c>
      <c r="G138" s="684">
        <f>IF(終値!A138="","",IFERROR(4*STDEVP(終値!J138:AC138)/AVERAGE(終値!J138:AC138),""))</f>
      </c>
      <c r="H138" s="684">
        <f>IF(終値!A138="","",IFERROR(4*STDEVP(終値!K138:AD138)/AVERAGE(終値!K138:AD138),""))</f>
      </c>
      <c r="I138" s="684">
        <f>IF(終値!A138="","",IFERROR(4*STDEVP(終値!L138:AE138)/AVERAGE(終値!L138:AE138),""))</f>
      </c>
      <c r="J138" s="684">
        <f>IF(終値!A138="","",IFERROR(4*STDEVP(終値!M138:AF138)/AVERAGE(終値!M138:AF138),""))</f>
      </c>
      <c r="K138" s="684">
        <f>IF(終値!A138="","",IFERROR(4*STDEVP(終値!N138:AG138)/AVERAGE(終値!N138:AG138),""))</f>
      </c>
      <c r="L138" s="684">
        <f>IF(終値!A138="","",IFERROR(4*STDEVP(終値!O138:AH138)/AVERAGE(終値!O138:AH138),""))</f>
      </c>
      <c r="M138" s="684">
        <f>IF(終値!A138="","",IFERROR(4*STDEVP(終値!P138:AI138)/AVERAGE(終値!P138:AI138),""))</f>
      </c>
      <c r="N138" s="684">
        <f>IF(終値!A138="","",IFERROR(4*STDEVP(終値!Q138:AJ138)/AVERAGE(終値!Q138:AJ138),""))</f>
      </c>
      <c r="O138" s="684">
        <f>IF(終値!A138="","",IFERROR(4*STDEVP(終値!R138:AK138)/AVERAGE(終値!R138:AK138),""))</f>
      </c>
      <c r="P138" s="684">
        <f>IF(終値!A138="","",IFERROR(4*STDEVP(終値!S138:AL138)/AVERAGE(終値!S138:AL138),""))</f>
      </c>
      <c r="Q138" s="684">
        <f>IF(終値!A138="","",IFERROR(4*STDEVP(終値!T138:AM138)/AVERAGE(終値!T138:AM138),""))</f>
      </c>
      <c r="R138" s="684">
        <f>IF(終値!A138="","",IFERROR(4*STDEVP(終値!U138:AN138)/AVERAGE(終値!U138:AN138),""))</f>
      </c>
      <c r="S138" s="684">
        <f>IF(終値!A138="","",IFERROR(4*STDEVP(終値!V138:AO138)/AVERAGE(終値!V138:AO138),""))</f>
      </c>
      <c r="T138" s="684">
        <f>IF(終値!A138="","",IFERROR(4*STDEVP(終値!W138:AP138)/AVERAGE(終値!W138:AP138),""))</f>
      </c>
      <c r="U138" s="684">
        <f>IF(終値!A138="","",IFERROR(4*STDEVP(終値!X138:AQ138)/AVERAGE(終値!X138:AQ138),""))</f>
      </c>
      <c r="V138" s="684">
        <f>IF(終値!A138="","",IFERROR(4*STDEVP(終値!Y138:AR138)/AVERAGE(終値!Y138:AR138),""))</f>
      </c>
      <c r="W138" s="684">
        <f>IF(終値!A138="","",IFERROR(4*STDEVP(終値!Z138:AS138)/AVERAGE(終値!Z138:AS138),""))</f>
      </c>
      <c r="X138" s="684">
        <f>IF(終値!A138="","",IFERROR(4*STDEVP(終値!AA138:AT138)/AVERAGE(終値!AA138:AT138),""))</f>
      </c>
      <c r="Y138" s="684">
        <f>IF(終値!A138="","",IFERROR(4*STDEVP(終値!AB138:AU138)/AVERAGE(終値!AB138:AU138),""))</f>
      </c>
      <c r="Z138" s="684">
        <f>IF(終値!A138="","",IFERROR(4*STDEVP(終値!AC138:AV138)/AVERAGE(終値!AC138:AV138),""))</f>
      </c>
      <c r="AA138" s="684">
        <f>IF(終値!A138="","",IFERROR(4*STDEVP(終値!AD138:AW138)/AVERAGE(終値!AD138:AW138),""))</f>
      </c>
      <c r="AB138" s="684">
        <f>IF(終値!A138="","",IFERROR(4*STDEVP(終値!AE138:AX138)/AVERAGE(終値!AE138:AX138),""))</f>
      </c>
      <c r="AC138" s="684">
        <f>IF(終値!A138="","",IFERROR(4*STDEVP(終値!AF138:AY138)/AVERAGE(終値!AF138:AY138),""))</f>
      </c>
      <c r="AD138" s="684">
        <f>IF(終値!A138="","",IFERROR(4*STDEVP(終値!AG138:AZ138)/AVERAGE(終値!AG138:AZ138),""))</f>
      </c>
      <c r="AE138" s="684">
        <f>IF(終値!A138="","",IFERROR(4*STDEVP(終値!AH138:BA138)/AVERAGE(終値!AH138:BA138),""))</f>
      </c>
      <c r="AF138" s="684">
        <f>IF(終値!A138="","",IFERROR(4*STDEVP(終値!AI138:BB138)/AVERAGE(終値!AI138:BB138),""))</f>
      </c>
      <c r="AG138" s="684">
        <f>IF(終値!A138="","",IFERROR(4*STDEVP(終値!AJ138:BC138)/AVERAGE(終値!AJ138:BC138),""))</f>
      </c>
      <c r="AH138" s="684">
        <f>IF(終値!A138="","",IFERROR(4*STDEVP(終値!AK138:BD138)/AVERAGE(終値!AK138:BD138),""))</f>
      </c>
      <c r="AI138" s="684">
        <f>IF(終値!A138="","",IFERROR(4*STDEVP(終値!AL138:BE138)/AVERAGE(終値!AL138:BE138),""))</f>
      </c>
      <c r="AJ138" s="684">
        <f>IF(終値!A138="","",IFERROR(4*STDEVP(終値!AM138:BF138)/AVERAGE(終値!AM138:BF138),""))</f>
      </c>
      <c r="AK138" s="684">
        <f>IF(終値!A138="","",IFERROR(4*STDEVP(終値!AN138:BG138)/AVERAGE(終値!AN138:BG138),""))</f>
      </c>
      <c r="AL138" s="684">
        <f>IF(終値!A138="","",IFERROR(4*STDEVP(終値!AO138:BH138)/AVERAGE(終値!AO138:BH138),""))</f>
      </c>
      <c r="AM138" s="684">
        <f>IF(終値!A138="","",IFERROR(4*STDEVP(終値!AP138:BI138)/AVERAGE(終値!AP138:BI138),""))</f>
      </c>
      <c r="AN138" s="684">
        <f>IF(終値!A138="","",IFERROR(4*STDEVP(終値!AQ138:BJ138)/AVERAGE(終値!AQ138:BJ138),""))</f>
      </c>
      <c r="AO138" s="684">
        <f>IF(終値!A138="","",IFERROR(4*STDEVP(終値!AR138:BK138)/AVERAGE(終値!AR138:BK138),""))</f>
      </c>
      <c r="AP138" s="684">
        <f>IF(終値!A138="","",IFERROR(4*STDEVP(終値!AS138:BL138)/AVERAGE(終値!AS138:BL138),""))</f>
      </c>
    </row>
    <row r="139">
      <c r="A139" s="681">
        <f>IF(終値!A139="","",終値!A139)</f>
      </c>
      <c r="B139" s="684">
        <f>IF(終値!A139="","",IFERROR(4*STDEVP(終値!E139:X139)/AVERAGE(終値!E139:X139),""))</f>
      </c>
      <c r="C139" s="684">
        <f>IF(終値!A139="","",IFERROR(4*STDEVP(終値!F139:Y139)/AVERAGE(終値!F139:Y139),""))</f>
      </c>
      <c r="D139" s="684">
        <f>IF(終値!A139="","",IFERROR(4*STDEVP(終値!G139:Z139)/AVERAGE(終値!G139:Z139),""))</f>
      </c>
      <c r="E139" s="684">
        <f>IF(終値!A139="","",IFERROR(4*STDEVP(終値!H139:AA139)/AVERAGE(終値!H139:AA139),""))</f>
      </c>
      <c r="F139" s="684">
        <f>IF(終値!A139="","",IFERROR(4*STDEVP(終値!I139:AB139)/AVERAGE(終値!I139:AB139),""))</f>
      </c>
      <c r="G139" s="684">
        <f>IF(終値!A139="","",IFERROR(4*STDEVP(終値!J139:AC139)/AVERAGE(終値!J139:AC139),""))</f>
      </c>
      <c r="H139" s="684">
        <f>IF(終値!A139="","",IFERROR(4*STDEVP(終値!K139:AD139)/AVERAGE(終値!K139:AD139),""))</f>
      </c>
      <c r="I139" s="684">
        <f>IF(終値!A139="","",IFERROR(4*STDEVP(終値!L139:AE139)/AVERAGE(終値!L139:AE139),""))</f>
      </c>
      <c r="J139" s="684">
        <f>IF(終値!A139="","",IFERROR(4*STDEVP(終値!M139:AF139)/AVERAGE(終値!M139:AF139),""))</f>
      </c>
      <c r="K139" s="684">
        <f>IF(終値!A139="","",IFERROR(4*STDEVP(終値!N139:AG139)/AVERAGE(終値!N139:AG139),""))</f>
      </c>
      <c r="L139" s="684">
        <f>IF(終値!A139="","",IFERROR(4*STDEVP(終値!O139:AH139)/AVERAGE(終値!O139:AH139),""))</f>
      </c>
      <c r="M139" s="684">
        <f>IF(終値!A139="","",IFERROR(4*STDEVP(終値!P139:AI139)/AVERAGE(終値!P139:AI139),""))</f>
      </c>
      <c r="N139" s="684">
        <f>IF(終値!A139="","",IFERROR(4*STDEVP(終値!Q139:AJ139)/AVERAGE(終値!Q139:AJ139),""))</f>
      </c>
      <c r="O139" s="684">
        <f>IF(終値!A139="","",IFERROR(4*STDEVP(終値!R139:AK139)/AVERAGE(終値!R139:AK139),""))</f>
      </c>
      <c r="P139" s="684">
        <f>IF(終値!A139="","",IFERROR(4*STDEVP(終値!S139:AL139)/AVERAGE(終値!S139:AL139),""))</f>
      </c>
      <c r="Q139" s="684">
        <f>IF(終値!A139="","",IFERROR(4*STDEVP(終値!T139:AM139)/AVERAGE(終値!T139:AM139),""))</f>
      </c>
      <c r="R139" s="684">
        <f>IF(終値!A139="","",IFERROR(4*STDEVP(終値!U139:AN139)/AVERAGE(終値!U139:AN139),""))</f>
      </c>
      <c r="S139" s="684">
        <f>IF(終値!A139="","",IFERROR(4*STDEVP(終値!V139:AO139)/AVERAGE(終値!V139:AO139),""))</f>
      </c>
      <c r="T139" s="684">
        <f>IF(終値!A139="","",IFERROR(4*STDEVP(終値!W139:AP139)/AVERAGE(終値!W139:AP139),""))</f>
      </c>
      <c r="U139" s="684">
        <f>IF(終値!A139="","",IFERROR(4*STDEVP(終値!X139:AQ139)/AVERAGE(終値!X139:AQ139),""))</f>
      </c>
      <c r="V139" s="684">
        <f>IF(終値!A139="","",IFERROR(4*STDEVP(終値!Y139:AR139)/AVERAGE(終値!Y139:AR139),""))</f>
      </c>
      <c r="W139" s="684">
        <f>IF(終値!A139="","",IFERROR(4*STDEVP(終値!Z139:AS139)/AVERAGE(終値!Z139:AS139),""))</f>
      </c>
      <c r="X139" s="684">
        <f>IF(終値!A139="","",IFERROR(4*STDEVP(終値!AA139:AT139)/AVERAGE(終値!AA139:AT139),""))</f>
      </c>
      <c r="Y139" s="684">
        <f>IF(終値!A139="","",IFERROR(4*STDEVP(終値!AB139:AU139)/AVERAGE(終値!AB139:AU139),""))</f>
      </c>
      <c r="Z139" s="684">
        <f>IF(終値!A139="","",IFERROR(4*STDEVP(終値!AC139:AV139)/AVERAGE(終値!AC139:AV139),""))</f>
      </c>
      <c r="AA139" s="684">
        <f>IF(終値!A139="","",IFERROR(4*STDEVP(終値!AD139:AW139)/AVERAGE(終値!AD139:AW139),""))</f>
      </c>
      <c r="AB139" s="684">
        <f>IF(終値!A139="","",IFERROR(4*STDEVP(終値!AE139:AX139)/AVERAGE(終値!AE139:AX139),""))</f>
      </c>
      <c r="AC139" s="684">
        <f>IF(終値!A139="","",IFERROR(4*STDEVP(終値!AF139:AY139)/AVERAGE(終値!AF139:AY139),""))</f>
      </c>
      <c r="AD139" s="684">
        <f>IF(終値!A139="","",IFERROR(4*STDEVP(終値!AG139:AZ139)/AVERAGE(終値!AG139:AZ139),""))</f>
      </c>
      <c r="AE139" s="684">
        <f>IF(終値!A139="","",IFERROR(4*STDEVP(終値!AH139:BA139)/AVERAGE(終値!AH139:BA139),""))</f>
      </c>
      <c r="AF139" s="684">
        <f>IF(終値!A139="","",IFERROR(4*STDEVP(終値!AI139:BB139)/AVERAGE(終値!AI139:BB139),""))</f>
      </c>
      <c r="AG139" s="684">
        <f>IF(終値!A139="","",IFERROR(4*STDEVP(終値!AJ139:BC139)/AVERAGE(終値!AJ139:BC139),""))</f>
      </c>
      <c r="AH139" s="684">
        <f>IF(終値!A139="","",IFERROR(4*STDEVP(終値!AK139:BD139)/AVERAGE(終値!AK139:BD139),""))</f>
      </c>
      <c r="AI139" s="684">
        <f>IF(終値!A139="","",IFERROR(4*STDEVP(終値!AL139:BE139)/AVERAGE(終値!AL139:BE139),""))</f>
      </c>
      <c r="AJ139" s="684">
        <f>IF(終値!A139="","",IFERROR(4*STDEVP(終値!AM139:BF139)/AVERAGE(終値!AM139:BF139),""))</f>
      </c>
      <c r="AK139" s="684">
        <f>IF(終値!A139="","",IFERROR(4*STDEVP(終値!AN139:BG139)/AVERAGE(終値!AN139:BG139),""))</f>
      </c>
      <c r="AL139" s="684">
        <f>IF(終値!A139="","",IFERROR(4*STDEVP(終値!AO139:BH139)/AVERAGE(終値!AO139:BH139),""))</f>
      </c>
      <c r="AM139" s="684">
        <f>IF(終値!A139="","",IFERROR(4*STDEVP(終値!AP139:BI139)/AVERAGE(終値!AP139:BI139),""))</f>
      </c>
      <c r="AN139" s="684">
        <f>IF(終値!A139="","",IFERROR(4*STDEVP(終値!AQ139:BJ139)/AVERAGE(終値!AQ139:BJ139),""))</f>
      </c>
      <c r="AO139" s="684">
        <f>IF(終値!A139="","",IFERROR(4*STDEVP(終値!AR139:BK139)/AVERAGE(終値!AR139:BK139),""))</f>
      </c>
      <c r="AP139" s="684">
        <f>IF(終値!A139="","",IFERROR(4*STDEVP(終値!AS139:BL139)/AVERAGE(終値!AS139:BL139),""))</f>
      </c>
    </row>
    <row r="140">
      <c r="A140" s="681">
        <f>IF(終値!A140="","",終値!A140)</f>
      </c>
      <c r="B140" s="684">
        <f>IF(終値!A140="","",IFERROR(4*STDEVP(終値!E140:X140)/AVERAGE(終値!E140:X140),""))</f>
      </c>
      <c r="C140" s="684">
        <f>IF(終値!A140="","",IFERROR(4*STDEVP(終値!F140:Y140)/AVERAGE(終値!F140:Y140),""))</f>
      </c>
      <c r="D140" s="684">
        <f>IF(終値!A140="","",IFERROR(4*STDEVP(終値!G140:Z140)/AVERAGE(終値!G140:Z140),""))</f>
      </c>
      <c r="E140" s="684">
        <f>IF(終値!A140="","",IFERROR(4*STDEVP(終値!H140:AA140)/AVERAGE(終値!H140:AA140),""))</f>
      </c>
      <c r="F140" s="684">
        <f>IF(終値!A140="","",IFERROR(4*STDEVP(終値!I140:AB140)/AVERAGE(終値!I140:AB140),""))</f>
      </c>
      <c r="G140" s="684">
        <f>IF(終値!A140="","",IFERROR(4*STDEVP(終値!J140:AC140)/AVERAGE(終値!J140:AC140),""))</f>
      </c>
      <c r="H140" s="684">
        <f>IF(終値!A140="","",IFERROR(4*STDEVP(終値!K140:AD140)/AVERAGE(終値!K140:AD140),""))</f>
      </c>
      <c r="I140" s="684">
        <f>IF(終値!A140="","",IFERROR(4*STDEVP(終値!L140:AE140)/AVERAGE(終値!L140:AE140),""))</f>
      </c>
      <c r="J140" s="684">
        <f>IF(終値!A140="","",IFERROR(4*STDEVP(終値!M140:AF140)/AVERAGE(終値!M140:AF140),""))</f>
      </c>
      <c r="K140" s="684">
        <f>IF(終値!A140="","",IFERROR(4*STDEVP(終値!N140:AG140)/AVERAGE(終値!N140:AG140),""))</f>
      </c>
      <c r="L140" s="684">
        <f>IF(終値!A140="","",IFERROR(4*STDEVP(終値!O140:AH140)/AVERAGE(終値!O140:AH140),""))</f>
      </c>
      <c r="M140" s="684">
        <f>IF(終値!A140="","",IFERROR(4*STDEVP(終値!P140:AI140)/AVERAGE(終値!P140:AI140),""))</f>
      </c>
      <c r="N140" s="684">
        <f>IF(終値!A140="","",IFERROR(4*STDEVP(終値!Q140:AJ140)/AVERAGE(終値!Q140:AJ140),""))</f>
      </c>
      <c r="O140" s="684">
        <f>IF(終値!A140="","",IFERROR(4*STDEVP(終値!R140:AK140)/AVERAGE(終値!R140:AK140),""))</f>
      </c>
      <c r="P140" s="684">
        <f>IF(終値!A140="","",IFERROR(4*STDEVP(終値!S140:AL140)/AVERAGE(終値!S140:AL140),""))</f>
      </c>
      <c r="Q140" s="684">
        <f>IF(終値!A140="","",IFERROR(4*STDEVP(終値!T140:AM140)/AVERAGE(終値!T140:AM140),""))</f>
      </c>
      <c r="R140" s="684">
        <f>IF(終値!A140="","",IFERROR(4*STDEVP(終値!U140:AN140)/AVERAGE(終値!U140:AN140),""))</f>
      </c>
      <c r="S140" s="684">
        <f>IF(終値!A140="","",IFERROR(4*STDEVP(終値!V140:AO140)/AVERAGE(終値!V140:AO140),""))</f>
      </c>
      <c r="T140" s="684">
        <f>IF(終値!A140="","",IFERROR(4*STDEVP(終値!W140:AP140)/AVERAGE(終値!W140:AP140),""))</f>
      </c>
      <c r="U140" s="684">
        <f>IF(終値!A140="","",IFERROR(4*STDEVP(終値!X140:AQ140)/AVERAGE(終値!X140:AQ140),""))</f>
      </c>
      <c r="V140" s="684">
        <f>IF(終値!A140="","",IFERROR(4*STDEVP(終値!Y140:AR140)/AVERAGE(終値!Y140:AR140),""))</f>
      </c>
      <c r="W140" s="684">
        <f>IF(終値!A140="","",IFERROR(4*STDEVP(終値!Z140:AS140)/AVERAGE(終値!Z140:AS140),""))</f>
      </c>
      <c r="X140" s="684">
        <f>IF(終値!A140="","",IFERROR(4*STDEVP(終値!AA140:AT140)/AVERAGE(終値!AA140:AT140),""))</f>
      </c>
      <c r="Y140" s="684">
        <f>IF(終値!A140="","",IFERROR(4*STDEVP(終値!AB140:AU140)/AVERAGE(終値!AB140:AU140),""))</f>
      </c>
      <c r="Z140" s="684">
        <f>IF(終値!A140="","",IFERROR(4*STDEVP(終値!AC140:AV140)/AVERAGE(終値!AC140:AV140),""))</f>
      </c>
      <c r="AA140" s="684">
        <f>IF(終値!A140="","",IFERROR(4*STDEVP(終値!AD140:AW140)/AVERAGE(終値!AD140:AW140),""))</f>
      </c>
      <c r="AB140" s="684">
        <f>IF(終値!A140="","",IFERROR(4*STDEVP(終値!AE140:AX140)/AVERAGE(終値!AE140:AX140),""))</f>
      </c>
      <c r="AC140" s="684">
        <f>IF(終値!A140="","",IFERROR(4*STDEVP(終値!AF140:AY140)/AVERAGE(終値!AF140:AY140),""))</f>
      </c>
      <c r="AD140" s="684">
        <f>IF(終値!A140="","",IFERROR(4*STDEVP(終値!AG140:AZ140)/AVERAGE(終値!AG140:AZ140),""))</f>
      </c>
      <c r="AE140" s="684">
        <f>IF(終値!A140="","",IFERROR(4*STDEVP(終値!AH140:BA140)/AVERAGE(終値!AH140:BA140),""))</f>
      </c>
      <c r="AF140" s="684">
        <f>IF(終値!A140="","",IFERROR(4*STDEVP(終値!AI140:BB140)/AVERAGE(終値!AI140:BB140),""))</f>
      </c>
      <c r="AG140" s="684">
        <f>IF(終値!A140="","",IFERROR(4*STDEVP(終値!AJ140:BC140)/AVERAGE(終値!AJ140:BC140),""))</f>
      </c>
      <c r="AH140" s="684">
        <f>IF(終値!A140="","",IFERROR(4*STDEVP(終値!AK140:BD140)/AVERAGE(終値!AK140:BD140),""))</f>
      </c>
      <c r="AI140" s="684">
        <f>IF(終値!A140="","",IFERROR(4*STDEVP(終値!AL140:BE140)/AVERAGE(終値!AL140:BE140),""))</f>
      </c>
      <c r="AJ140" s="684">
        <f>IF(終値!A140="","",IFERROR(4*STDEVP(終値!AM140:BF140)/AVERAGE(終値!AM140:BF140),""))</f>
      </c>
      <c r="AK140" s="684">
        <f>IF(終値!A140="","",IFERROR(4*STDEVP(終値!AN140:BG140)/AVERAGE(終値!AN140:BG140),""))</f>
      </c>
      <c r="AL140" s="684">
        <f>IF(終値!A140="","",IFERROR(4*STDEVP(終値!AO140:BH140)/AVERAGE(終値!AO140:BH140),""))</f>
      </c>
      <c r="AM140" s="684">
        <f>IF(終値!A140="","",IFERROR(4*STDEVP(終値!AP140:BI140)/AVERAGE(終値!AP140:BI140),""))</f>
      </c>
      <c r="AN140" s="684">
        <f>IF(終値!A140="","",IFERROR(4*STDEVP(終値!AQ140:BJ140)/AVERAGE(終値!AQ140:BJ140),""))</f>
      </c>
      <c r="AO140" s="684">
        <f>IF(終値!A140="","",IFERROR(4*STDEVP(終値!AR140:BK140)/AVERAGE(終値!AR140:BK140),""))</f>
      </c>
      <c r="AP140" s="684">
        <f>IF(終値!A140="","",IFERROR(4*STDEVP(終値!AS140:BL140)/AVERAGE(終値!AS140:BL140),""))</f>
      </c>
    </row>
    <row r="141">
      <c r="A141" s="681">
        <f>IF(終値!A141="","",終値!A141)</f>
      </c>
      <c r="B141" s="684">
        <f>IF(終値!A141="","",IFERROR(4*STDEVP(終値!E141:X141)/AVERAGE(終値!E141:X141),""))</f>
      </c>
      <c r="C141" s="684">
        <f>IF(終値!A141="","",IFERROR(4*STDEVP(終値!F141:Y141)/AVERAGE(終値!F141:Y141),""))</f>
      </c>
      <c r="D141" s="684">
        <f>IF(終値!A141="","",IFERROR(4*STDEVP(終値!G141:Z141)/AVERAGE(終値!G141:Z141),""))</f>
      </c>
      <c r="E141" s="684">
        <f>IF(終値!A141="","",IFERROR(4*STDEVP(終値!H141:AA141)/AVERAGE(終値!H141:AA141),""))</f>
      </c>
      <c r="F141" s="684">
        <f>IF(終値!A141="","",IFERROR(4*STDEVP(終値!I141:AB141)/AVERAGE(終値!I141:AB141),""))</f>
      </c>
      <c r="G141" s="684">
        <f>IF(終値!A141="","",IFERROR(4*STDEVP(終値!J141:AC141)/AVERAGE(終値!J141:AC141),""))</f>
      </c>
      <c r="H141" s="684">
        <f>IF(終値!A141="","",IFERROR(4*STDEVP(終値!K141:AD141)/AVERAGE(終値!K141:AD141),""))</f>
      </c>
      <c r="I141" s="684">
        <f>IF(終値!A141="","",IFERROR(4*STDEVP(終値!L141:AE141)/AVERAGE(終値!L141:AE141),""))</f>
      </c>
      <c r="J141" s="684">
        <f>IF(終値!A141="","",IFERROR(4*STDEVP(終値!M141:AF141)/AVERAGE(終値!M141:AF141),""))</f>
      </c>
      <c r="K141" s="684">
        <f>IF(終値!A141="","",IFERROR(4*STDEVP(終値!N141:AG141)/AVERAGE(終値!N141:AG141),""))</f>
      </c>
      <c r="L141" s="684">
        <f>IF(終値!A141="","",IFERROR(4*STDEVP(終値!O141:AH141)/AVERAGE(終値!O141:AH141),""))</f>
      </c>
      <c r="M141" s="684">
        <f>IF(終値!A141="","",IFERROR(4*STDEVP(終値!P141:AI141)/AVERAGE(終値!P141:AI141),""))</f>
      </c>
      <c r="N141" s="684">
        <f>IF(終値!A141="","",IFERROR(4*STDEVP(終値!Q141:AJ141)/AVERAGE(終値!Q141:AJ141),""))</f>
      </c>
      <c r="O141" s="684">
        <f>IF(終値!A141="","",IFERROR(4*STDEVP(終値!R141:AK141)/AVERAGE(終値!R141:AK141),""))</f>
      </c>
      <c r="P141" s="684">
        <f>IF(終値!A141="","",IFERROR(4*STDEVP(終値!S141:AL141)/AVERAGE(終値!S141:AL141),""))</f>
      </c>
      <c r="Q141" s="684">
        <f>IF(終値!A141="","",IFERROR(4*STDEVP(終値!T141:AM141)/AVERAGE(終値!T141:AM141),""))</f>
      </c>
      <c r="R141" s="684">
        <f>IF(終値!A141="","",IFERROR(4*STDEVP(終値!U141:AN141)/AVERAGE(終値!U141:AN141),""))</f>
      </c>
      <c r="S141" s="684">
        <f>IF(終値!A141="","",IFERROR(4*STDEVP(終値!V141:AO141)/AVERAGE(終値!V141:AO141),""))</f>
      </c>
      <c r="T141" s="684">
        <f>IF(終値!A141="","",IFERROR(4*STDEVP(終値!W141:AP141)/AVERAGE(終値!W141:AP141),""))</f>
      </c>
      <c r="U141" s="684">
        <f>IF(終値!A141="","",IFERROR(4*STDEVP(終値!X141:AQ141)/AVERAGE(終値!X141:AQ141),""))</f>
      </c>
      <c r="V141" s="684">
        <f>IF(終値!A141="","",IFERROR(4*STDEVP(終値!Y141:AR141)/AVERAGE(終値!Y141:AR141),""))</f>
      </c>
      <c r="W141" s="684">
        <f>IF(終値!A141="","",IFERROR(4*STDEVP(終値!Z141:AS141)/AVERAGE(終値!Z141:AS141),""))</f>
      </c>
      <c r="X141" s="684">
        <f>IF(終値!A141="","",IFERROR(4*STDEVP(終値!AA141:AT141)/AVERAGE(終値!AA141:AT141),""))</f>
      </c>
      <c r="Y141" s="684">
        <f>IF(終値!A141="","",IFERROR(4*STDEVP(終値!AB141:AU141)/AVERAGE(終値!AB141:AU141),""))</f>
      </c>
      <c r="Z141" s="684">
        <f>IF(終値!A141="","",IFERROR(4*STDEVP(終値!AC141:AV141)/AVERAGE(終値!AC141:AV141),""))</f>
      </c>
      <c r="AA141" s="684">
        <f>IF(終値!A141="","",IFERROR(4*STDEVP(終値!AD141:AW141)/AVERAGE(終値!AD141:AW141),""))</f>
      </c>
      <c r="AB141" s="684">
        <f>IF(終値!A141="","",IFERROR(4*STDEVP(終値!AE141:AX141)/AVERAGE(終値!AE141:AX141),""))</f>
      </c>
      <c r="AC141" s="684">
        <f>IF(終値!A141="","",IFERROR(4*STDEVP(終値!AF141:AY141)/AVERAGE(終値!AF141:AY141),""))</f>
      </c>
      <c r="AD141" s="684">
        <f>IF(終値!A141="","",IFERROR(4*STDEVP(終値!AG141:AZ141)/AVERAGE(終値!AG141:AZ141),""))</f>
      </c>
      <c r="AE141" s="684">
        <f>IF(終値!A141="","",IFERROR(4*STDEVP(終値!AH141:BA141)/AVERAGE(終値!AH141:BA141),""))</f>
      </c>
      <c r="AF141" s="684">
        <f>IF(終値!A141="","",IFERROR(4*STDEVP(終値!AI141:BB141)/AVERAGE(終値!AI141:BB141),""))</f>
      </c>
      <c r="AG141" s="684">
        <f>IF(終値!A141="","",IFERROR(4*STDEVP(終値!AJ141:BC141)/AVERAGE(終値!AJ141:BC141),""))</f>
      </c>
      <c r="AH141" s="684">
        <f>IF(終値!A141="","",IFERROR(4*STDEVP(終値!AK141:BD141)/AVERAGE(終値!AK141:BD141),""))</f>
      </c>
      <c r="AI141" s="684">
        <f>IF(終値!A141="","",IFERROR(4*STDEVP(終値!AL141:BE141)/AVERAGE(終値!AL141:BE141),""))</f>
      </c>
      <c r="AJ141" s="684">
        <f>IF(終値!A141="","",IFERROR(4*STDEVP(終値!AM141:BF141)/AVERAGE(終値!AM141:BF141),""))</f>
      </c>
      <c r="AK141" s="684">
        <f>IF(終値!A141="","",IFERROR(4*STDEVP(終値!AN141:BG141)/AVERAGE(終値!AN141:BG141),""))</f>
      </c>
      <c r="AL141" s="684">
        <f>IF(終値!A141="","",IFERROR(4*STDEVP(終値!AO141:BH141)/AVERAGE(終値!AO141:BH141),""))</f>
      </c>
      <c r="AM141" s="684">
        <f>IF(終値!A141="","",IFERROR(4*STDEVP(終値!AP141:BI141)/AVERAGE(終値!AP141:BI141),""))</f>
      </c>
      <c r="AN141" s="684">
        <f>IF(終値!A141="","",IFERROR(4*STDEVP(終値!AQ141:BJ141)/AVERAGE(終値!AQ141:BJ141),""))</f>
      </c>
      <c r="AO141" s="684">
        <f>IF(終値!A141="","",IFERROR(4*STDEVP(終値!AR141:BK141)/AVERAGE(終値!AR141:BK141),""))</f>
      </c>
      <c r="AP141" s="684">
        <f>IF(終値!A141="","",IFERROR(4*STDEVP(終値!AS141:BL141)/AVERAGE(終値!AS141:BL141),""))</f>
      </c>
    </row>
    <row r="142">
      <c r="A142" s="681">
        <f>IF(終値!A142="","",終値!A142)</f>
      </c>
      <c r="B142" s="684">
        <f>IF(終値!A142="","",IFERROR(4*STDEVP(終値!E142:X142)/AVERAGE(終値!E142:X142),""))</f>
      </c>
      <c r="C142" s="684">
        <f>IF(終値!A142="","",IFERROR(4*STDEVP(終値!F142:Y142)/AVERAGE(終値!F142:Y142),""))</f>
      </c>
      <c r="D142" s="684">
        <f>IF(終値!A142="","",IFERROR(4*STDEVP(終値!G142:Z142)/AVERAGE(終値!G142:Z142),""))</f>
      </c>
      <c r="E142" s="684">
        <f>IF(終値!A142="","",IFERROR(4*STDEVP(終値!H142:AA142)/AVERAGE(終値!H142:AA142),""))</f>
      </c>
      <c r="F142" s="684">
        <f>IF(終値!A142="","",IFERROR(4*STDEVP(終値!I142:AB142)/AVERAGE(終値!I142:AB142),""))</f>
      </c>
      <c r="G142" s="684">
        <f>IF(終値!A142="","",IFERROR(4*STDEVP(終値!J142:AC142)/AVERAGE(終値!J142:AC142),""))</f>
      </c>
      <c r="H142" s="684">
        <f>IF(終値!A142="","",IFERROR(4*STDEVP(終値!K142:AD142)/AVERAGE(終値!K142:AD142),""))</f>
      </c>
      <c r="I142" s="684">
        <f>IF(終値!A142="","",IFERROR(4*STDEVP(終値!L142:AE142)/AVERAGE(終値!L142:AE142),""))</f>
      </c>
      <c r="J142" s="684">
        <f>IF(終値!A142="","",IFERROR(4*STDEVP(終値!M142:AF142)/AVERAGE(終値!M142:AF142),""))</f>
      </c>
      <c r="K142" s="684">
        <f>IF(終値!A142="","",IFERROR(4*STDEVP(終値!N142:AG142)/AVERAGE(終値!N142:AG142),""))</f>
      </c>
      <c r="L142" s="684">
        <f>IF(終値!A142="","",IFERROR(4*STDEVP(終値!O142:AH142)/AVERAGE(終値!O142:AH142),""))</f>
      </c>
      <c r="M142" s="684">
        <f>IF(終値!A142="","",IFERROR(4*STDEVP(終値!P142:AI142)/AVERAGE(終値!P142:AI142),""))</f>
      </c>
      <c r="N142" s="684">
        <f>IF(終値!A142="","",IFERROR(4*STDEVP(終値!Q142:AJ142)/AVERAGE(終値!Q142:AJ142),""))</f>
      </c>
      <c r="O142" s="684">
        <f>IF(終値!A142="","",IFERROR(4*STDEVP(終値!R142:AK142)/AVERAGE(終値!R142:AK142),""))</f>
      </c>
      <c r="P142" s="684">
        <f>IF(終値!A142="","",IFERROR(4*STDEVP(終値!S142:AL142)/AVERAGE(終値!S142:AL142),""))</f>
      </c>
      <c r="Q142" s="684">
        <f>IF(終値!A142="","",IFERROR(4*STDEVP(終値!T142:AM142)/AVERAGE(終値!T142:AM142),""))</f>
      </c>
      <c r="R142" s="684">
        <f>IF(終値!A142="","",IFERROR(4*STDEVP(終値!U142:AN142)/AVERAGE(終値!U142:AN142),""))</f>
      </c>
      <c r="S142" s="684">
        <f>IF(終値!A142="","",IFERROR(4*STDEVP(終値!V142:AO142)/AVERAGE(終値!V142:AO142),""))</f>
      </c>
      <c r="T142" s="684">
        <f>IF(終値!A142="","",IFERROR(4*STDEVP(終値!W142:AP142)/AVERAGE(終値!W142:AP142),""))</f>
      </c>
      <c r="U142" s="684">
        <f>IF(終値!A142="","",IFERROR(4*STDEVP(終値!X142:AQ142)/AVERAGE(終値!X142:AQ142),""))</f>
      </c>
      <c r="V142" s="684">
        <f>IF(終値!A142="","",IFERROR(4*STDEVP(終値!Y142:AR142)/AVERAGE(終値!Y142:AR142),""))</f>
      </c>
      <c r="W142" s="684">
        <f>IF(終値!A142="","",IFERROR(4*STDEVP(終値!Z142:AS142)/AVERAGE(終値!Z142:AS142),""))</f>
      </c>
      <c r="X142" s="684">
        <f>IF(終値!A142="","",IFERROR(4*STDEVP(終値!AA142:AT142)/AVERAGE(終値!AA142:AT142),""))</f>
      </c>
      <c r="Y142" s="684">
        <f>IF(終値!A142="","",IFERROR(4*STDEVP(終値!AB142:AU142)/AVERAGE(終値!AB142:AU142),""))</f>
      </c>
      <c r="Z142" s="684">
        <f>IF(終値!A142="","",IFERROR(4*STDEVP(終値!AC142:AV142)/AVERAGE(終値!AC142:AV142),""))</f>
      </c>
      <c r="AA142" s="684">
        <f>IF(終値!A142="","",IFERROR(4*STDEVP(終値!AD142:AW142)/AVERAGE(終値!AD142:AW142),""))</f>
      </c>
      <c r="AB142" s="684">
        <f>IF(終値!A142="","",IFERROR(4*STDEVP(終値!AE142:AX142)/AVERAGE(終値!AE142:AX142),""))</f>
      </c>
      <c r="AC142" s="684">
        <f>IF(終値!A142="","",IFERROR(4*STDEVP(終値!AF142:AY142)/AVERAGE(終値!AF142:AY142),""))</f>
      </c>
      <c r="AD142" s="684">
        <f>IF(終値!A142="","",IFERROR(4*STDEVP(終値!AG142:AZ142)/AVERAGE(終値!AG142:AZ142),""))</f>
      </c>
      <c r="AE142" s="684">
        <f>IF(終値!A142="","",IFERROR(4*STDEVP(終値!AH142:BA142)/AVERAGE(終値!AH142:BA142),""))</f>
      </c>
      <c r="AF142" s="684">
        <f>IF(終値!A142="","",IFERROR(4*STDEVP(終値!AI142:BB142)/AVERAGE(終値!AI142:BB142),""))</f>
      </c>
      <c r="AG142" s="684">
        <f>IF(終値!A142="","",IFERROR(4*STDEVP(終値!AJ142:BC142)/AVERAGE(終値!AJ142:BC142),""))</f>
      </c>
      <c r="AH142" s="684">
        <f>IF(終値!A142="","",IFERROR(4*STDEVP(終値!AK142:BD142)/AVERAGE(終値!AK142:BD142),""))</f>
      </c>
      <c r="AI142" s="684">
        <f>IF(終値!A142="","",IFERROR(4*STDEVP(終値!AL142:BE142)/AVERAGE(終値!AL142:BE142),""))</f>
      </c>
      <c r="AJ142" s="684">
        <f>IF(終値!A142="","",IFERROR(4*STDEVP(終値!AM142:BF142)/AVERAGE(終値!AM142:BF142),""))</f>
      </c>
      <c r="AK142" s="684">
        <f>IF(終値!A142="","",IFERROR(4*STDEVP(終値!AN142:BG142)/AVERAGE(終値!AN142:BG142),""))</f>
      </c>
      <c r="AL142" s="684">
        <f>IF(終値!A142="","",IFERROR(4*STDEVP(終値!AO142:BH142)/AVERAGE(終値!AO142:BH142),""))</f>
      </c>
      <c r="AM142" s="684">
        <f>IF(終値!A142="","",IFERROR(4*STDEVP(終値!AP142:BI142)/AVERAGE(終値!AP142:BI142),""))</f>
      </c>
      <c r="AN142" s="684">
        <f>IF(終値!A142="","",IFERROR(4*STDEVP(終値!AQ142:BJ142)/AVERAGE(終値!AQ142:BJ142),""))</f>
      </c>
      <c r="AO142" s="684">
        <f>IF(終値!A142="","",IFERROR(4*STDEVP(終値!AR142:BK142)/AVERAGE(終値!AR142:BK142),""))</f>
      </c>
      <c r="AP142" s="684">
        <f>IF(終値!A142="","",IFERROR(4*STDEVP(終値!AS142:BL142)/AVERAGE(終値!AS142:BL142),""))</f>
      </c>
    </row>
    <row r="143">
      <c r="A143" s="681">
        <f>IF(終値!A143="","",終値!A143)</f>
      </c>
      <c r="B143" s="684">
        <f>IF(終値!A143="","",IFERROR(4*STDEVP(終値!E143:X143)/AVERAGE(終値!E143:X143),""))</f>
      </c>
      <c r="C143" s="684">
        <f>IF(終値!A143="","",IFERROR(4*STDEVP(終値!F143:Y143)/AVERAGE(終値!F143:Y143),""))</f>
      </c>
      <c r="D143" s="684">
        <f>IF(終値!A143="","",IFERROR(4*STDEVP(終値!G143:Z143)/AVERAGE(終値!G143:Z143),""))</f>
      </c>
      <c r="E143" s="684">
        <f>IF(終値!A143="","",IFERROR(4*STDEVP(終値!H143:AA143)/AVERAGE(終値!H143:AA143),""))</f>
      </c>
      <c r="F143" s="684">
        <f>IF(終値!A143="","",IFERROR(4*STDEVP(終値!I143:AB143)/AVERAGE(終値!I143:AB143),""))</f>
      </c>
      <c r="G143" s="684">
        <f>IF(終値!A143="","",IFERROR(4*STDEVP(終値!J143:AC143)/AVERAGE(終値!J143:AC143),""))</f>
      </c>
      <c r="H143" s="684">
        <f>IF(終値!A143="","",IFERROR(4*STDEVP(終値!K143:AD143)/AVERAGE(終値!K143:AD143),""))</f>
      </c>
      <c r="I143" s="684">
        <f>IF(終値!A143="","",IFERROR(4*STDEVP(終値!L143:AE143)/AVERAGE(終値!L143:AE143),""))</f>
      </c>
      <c r="J143" s="684">
        <f>IF(終値!A143="","",IFERROR(4*STDEVP(終値!M143:AF143)/AVERAGE(終値!M143:AF143),""))</f>
      </c>
      <c r="K143" s="684">
        <f>IF(終値!A143="","",IFERROR(4*STDEVP(終値!N143:AG143)/AVERAGE(終値!N143:AG143),""))</f>
      </c>
      <c r="L143" s="684">
        <f>IF(終値!A143="","",IFERROR(4*STDEVP(終値!O143:AH143)/AVERAGE(終値!O143:AH143),""))</f>
      </c>
      <c r="M143" s="684">
        <f>IF(終値!A143="","",IFERROR(4*STDEVP(終値!P143:AI143)/AVERAGE(終値!P143:AI143),""))</f>
      </c>
      <c r="N143" s="684">
        <f>IF(終値!A143="","",IFERROR(4*STDEVP(終値!Q143:AJ143)/AVERAGE(終値!Q143:AJ143),""))</f>
      </c>
      <c r="O143" s="684">
        <f>IF(終値!A143="","",IFERROR(4*STDEVP(終値!R143:AK143)/AVERAGE(終値!R143:AK143),""))</f>
      </c>
      <c r="P143" s="684">
        <f>IF(終値!A143="","",IFERROR(4*STDEVP(終値!S143:AL143)/AVERAGE(終値!S143:AL143),""))</f>
      </c>
      <c r="Q143" s="684">
        <f>IF(終値!A143="","",IFERROR(4*STDEVP(終値!T143:AM143)/AVERAGE(終値!T143:AM143),""))</f>
      </c>
      <c r="R143" s="684">
        <f>IF(終値!A143="","",IFERROR(4*STDEVP(終値!U143:AN143)/AVERAGE(終値!U143:AN143),""))</f>
      </c>
      <c r="S143" s="684">
        <f>IF(終値!A143="","",IFERROR(4*STDEVP(終値!V143:AO143)/AVERAGE(終値!V143:AO143),""))</f>
      </c>
      <c r="T143" s="684">
        <f>IF(終値!A143="","",IFERROR(4*STDEVP(終値!W143:AP143)/AVERAGE(終値!W143:AP143),""))</f>
      </c>
      <c r="U143" s="684">
        <f>IF(終値!A143="","",IFERROR(4*STDEVP(終値!X143:AQ143)/AVERAGE(終値!X143:AQ143),""))</f>
      </c>
      <c r="V143" s="684">
        <f>IF(終値!A143="","",IFERROR(4*STDEVP(終値!Y143:AR143)/AVERAGE(終値!Y143:AR143),""))</f>
      </c>
      <c r="W143" s="684">
        <f>IF(終値!A143="","",IFERROR(4*STDEVP(終値!Z143:AS143)/AVERAGE(終値!Z143:AS143),""))</f>
      </c>
      <c r="X143" s="684">
        <f>IF(終値!A143="","",IFERROR(4*STDEVP(終値!AA143:AT143)/AVERAGE(終値!AA143:AT143),""))</f>
      </c>
      <c r="Y143" s="684">
        <f>IF(終値!A143="","",IFERROR(4*STDEVP(終値!AB143:AU143)/AVERAGE(終値!AB143:AU143),""))</f>
      </c>
      <c r="Z143" s="684">
        <f>IF(終値!A143="","",IFERROR(4*STDEVP(終値!AC143:AV143)/AVERAGE(終値!AC143:AV143),""))</f>
      </c>
      <c r="AA143" s="684">
        <f>IF(終値!A143="","",IFERROR(4*STDEVP(終値!AD143:AW143)/AVERAGE(終値!AD143:AW143),""))</f>
      </c>
      <c r="AB143" s="684">
        <f>IF(終値!A143="","",IFERROR(4*STDEVP(終値!AE143:AX143)/AVERAGE(終値!AE143:AX143),""))</f>
      </c>
      <c r="AC143" s="684">
        <f>IF(終値!A143="","",IFERROR(4*STDEVP(終値!AF143:AY143)/AVERAGE(終値!AF143:AY143),""))</f>
      </c>
      <c r="AD143" s="684">
        <f>IF(終値!A143="","",IFERROR(4*STDEVP(終値!AG143:AZ143)/AVERAGE(終値!AG143:AZ143),""))</f>
      </c>
      <c r="AE143" s="684">
        <f>IF(終値!A143="","",IFERROR(4*STDEVP(終値!AH143:BA143)/AVERAGE(終値!AH143:BA143),""))</f>
      </c>
      <c r="AF143" s="684">
        <f>IF(終値!A143="","",IFERROR(4*STDEVP(終値!AI143:BB143)/AVERAGE(終値!AI143:BB143),""))</f>
      </c>
      <c r="AG143" s="684">
        <f>IF(終値!A143="","",IFERROR(4*STDEVP(終値!AJ143:BC143)/AVERAGE(終値!AJ143:BC143),""))</f>
      </c>
      <c r="AH143" s="684">
        <f>IF(終値!A143="","",IFERROR(4*STDEVP(終値!AK143:BD143)/AVERAGE(終値!AK143:BD143),""))</f>
      </c>
      <c r="AI143" s="684">
        <f>IF(終値!A143="","",IFERROR(4*STDEVP(終値!AL143:BE143)/AVERAGE(終値!AL143:BE143),""))</f>
      </c>
      <c r="AJ143" s="684">
        <f>IF(終値!A143="","",IFERROR(4*STDEVP(終値!AM143:BF143)/AVERAGE(終値!AM143:BF143),""))</f>
      </c>
      <c r="AK143" s="684">
        <f>IF(終値!A143="","",IFERROR(4*STDEVP(終値!AN143:BG143)/AVERAGE(終値!AN143:BG143),""))</f>
      </c>
      <c r="AL143" s="684">
        <f>IF(終値!A143="","",IFERROR(4*STDEVP(終値!AO143:BH143)/AVERAGE(終値!AO143:BH143),""))</f>
      </c>
      <c r="AM143" s="684">
        <f>IF(終値!A143="","",IFERROR(4*STDEVP(終値!AP143:BI143)/AVERAGE(終値!AP143:BI143),""))</f>
      </c>
      <c r="AN143" s="684">
        <f>IF(終値!A143="","",IFERROR(4*STDEVP(終値!AQ143:BJ143)/AVERAGE(終値!AQ143:BJ143),""))</f>
      </c>
      <c r="AO143" s="684">
        <f>IF(終値!A143="","",IFERROR(4*STDEVP(終値!AR143:BK143)/AVERAGE(終値!AR143:BK143),""))</f>
      </c>
      <c r="AP143" s="684">
        <f>IF(終値!A143="","",IFERROR(4*STDEVP(終値!AS143:BL143)/AVERAGE(終値!AS143:BL143),""))</f>
      </c>
    </row>
    <row r="144">
      <c r="A144" s="681">
        <f>IF(終値!A144="","",終値!A144)</f>
      </c>
      <c r="B144" s="684">
        <f>IF(終値!A144="","",IFERROR(4*STDEVP(終値!E144:X144)/AVERAGE(終値!E144:X144),""))</f>
      </c>
      <c r="C144" s="684">
        <f>IF(終値!A144="","",IFERROR(4*STDEVP(終値!F144:Y144)/AVERAGE(終値!F144:Y144),""))</f>
      </c>
      <c r="D144" s="684">
        <f>IF(終値!A144="","",IFERROR(4*STDEVP(終値!G144:Z144)/AVERAGE(終値!G144:Z144),""))</f>
      </c>
      <c r="E144" s="684">
        <f>IF(終値!A144="","",IFERROR(4*STDEVP(終値!H144:AA144)/AVERAGE(終値!H144:AA144),""))</f>
      </c>
      <c r="F144" s="684">
        <f>IF(終値!A144="","",IFERROR(4*STDEVP(終値!I144:AB144)/AVERAGE(終値!I144:AB144),""))</f>
      </c>
      <c r="G144" s="684">
        <f>IF(終値!A144="","",IFERROR(4*STDEVP(終値!J144:AC144)/AVERAGE(終値!J144:AC144),""))</f>
      </c>
      <c r="H144" s="684">
        <f>IF(終値!A144="","",IFERROR(4*STDEVP(終値!K144:AD144)/AVERAGE(終値!K144:AD144),""))</f>
      </c>
      <c r="I144" s="684">
        <f>IF(終値!A144="","",IFERROR(4*STDEVP(終値!L144:AE144)/AVERAGE(終値!L144:AE144),""))</f>
      </c>
      <c r="J144" s="684">
        <f>IF(終値!A144="","",IFERROR(4*STDEVP(終値!M144:AF144)/AVERAGE(終値!M144:AF144),""))</f>
      </c>
      <c r="K144" s="684">
        <f>IF(終値!A144="","",IFERROR(4*STDEVP(終値!N144:AG144)/AVERAGE(終値!N144:AG144),""))</f>
      </c>
      <c r="L144" s="684">
        <f>IF(終値!A144="","",IFERROR(4*STDEVP(終値!O144:AH144)/AVERAGE(終値!O144:AH144),""))</f>
      </c>
      <c r="M144" s="684">
        <f>IF(終値!A144="","",IFERROR(4*STDEVP(終値!P144:AI144)/AVERAGE(終値!P144:AI144),""))</f>
      </c>
      <c r="N144" s="684">
        <f>IF(終値!A144="","",IFERROR(4*STDEVP(終値!Q144:AJ144)/AVERAGE(終値!Q144:AJ144),""))</f>
      </c>
      <c r="O144" s="684">
        <f>IF(終値!A144="","",IFERROR(4*STDEVP(終値!R144:AK144)/AVERAGE(終値!R144:AK144),""))</f>
      </c>
      <c r="P144" s="684">
        <f>IF(終値!A144="","",IFERROR(4*STDEVP(終値!S144:AL144)/AVERAGE(終値!S144:AL144),""))</f>
      </c>
      <c r="Q144" s="684">
        <f>IF(終値!A144="","",IFERROR(4*STDEVP(終値!T144:AM144)/AVERAGE(終値!T144:AM144),""))</f>
      </c>
      <c r="R144" s="684">
        <f>IF(終値!A144="","",IFERROR(4*STDEVP(終値!U144:AN144)/AVERAGE(終値!U144:AN144),""))</f>
      </c>
      <c r="S144" s="684">
        <f>IF(終値!A144="","",IFERROR(4*STDEVP(終値!V144:AO144)/AVERAGE(終値!V144:AO144),""))</f>
      </c>
      <c r="T144" s="684">
        <f>IF(終値!A144="","",IFERROR(4*STDEVP(終値!W144:AP144)/AVERAGE(終値!W144:AP144),""))</f>
      </c>
      <c r="U144" s="684">
        <f>IF(終値!A144="","",IFERROR(4*STDEVP(終値!X144:AQ144)/AVERAGE(終値!X144:AQ144),""))</f>
      </c>
      <c r="V144" s="684">
        <f>IF(終値!A144="","",IFERROR(4*STDEVP(終値!Y144:AR144)/AVERAGE(終値!Y144:AR144),""))</f>
      </c>
      <c r="W144" s="684">
        <f>IF(終値!A144="","",IFERROR(4*STDEVP(終値!Z144:AS144)/AVERAGE(終値!Z144:AS144),""))</f>
      </c>
      <c r="X144" s="684">
        <f>IF(終値!A144="","",IFERROR(4*STDEVP(終値!AA144:AT144)/AVERAGE(終値!AA144:AT144),""))</f>
      </c>
      <c r="Y144" s="684">
        <f>IF(終値!A144="","",IFERROR(4*STDEVP(終値!AB144:AU144)/AVERAGE(終値!AB144:AU144),""))</f>
      </c>
      <c r="Z144" s="684">
        <f>IF(終値!A144="","",IFERROR(4*STDEVP(終値!AC144:AV144)/AVERAGE(終値!AC144:AV144),""))</f>
      </c>
      <c r="AA144" s="684">
        <f>IF(終値!A144="","",IFERROR(4*STDEVP(終値!AD144:AW144)/AVERAGE(終値!AD144:AW144),""))</f>
      </c>
      <c r="AB144" s="684">
        <f>IF(終値!A144="","",IFERROR(4*STDEVP(終値!AE144:AX144)/AVERAGE(終値!AE144:AX144),""))</f>
      </c>
      <c r="AC144" s="684">
        <f>IF(終値!A144="","",IFERROR(4*STDEVP(終値!AF144:AY144)/AVERAGE(終値!AF144:AY144),""))</f>
      </c>
      <c r="AD144" s="684">
        <f>IF(終値!A144="","",IFERROR(4*STDEVP(終値!AG144:AZ144)/AVERAGE(終値!AG144:AZ144),""))</f>
      </c>
      <c r="AE144" s="684">
        <f>IF(終値!A144="","",IFERROR(4*STDEVP(終値!AH144:BA144)/AVERAGE(終値!AH144:BA144),""))</f>
      </c>
      <c r="AF144" s="684">
        <f>IF(終値!A144="","",IFERROR(4*STDEVP(終値!AI144:BB144)/AVERAGE(終値!AI144:BB144),""))</f>
      </c>
      <c r="AG144" s="684">
        <f>IF(終値!A144="","",IFERROR(4*STDEVP(終値!AJ144:BC144)/AVERAGE(終値!AJ144:BC144),""))</f>
      </c>
      <c r="AH144" s="684">
        <f>IF(終値!A144="","",IFERROR(4*STDEVP(終値!AK144:BD144)/AVERAGE(終値!AK144:BD144),""))</f>
      </c>
      <c r="AI144" s="684">
        <f>IF(終値!A144="","",IFERROR(4*STDEVP(終値!AL144:BE144)/AVERAGE(終値!AL144:BE144),""))</f>
      </c>
      <c r="AJ144" s="684">
        <f>IF(終値!A144="","",IFERROR(4*STDEVP(終値!AM144:BF144)/AVERAGE(終値!AM144:BF144),""))</f>
      </c>
      <c r="AK144" s="684">
        <f>IF(終値!A144="","",IFERROR(4*STDEVP(終値!AN144:BG144)/AVERAGE(終値!AN144:BG144),""))</f>
      </c>
      <c r="AL144" s="684">
        <f>IF(終値!A144="","",IFERROR(4*STDEVP(終値!AO144:BH144)/AVERAGE(終値!AO144:BH144),""))</f>
      </c>
      <c r="AM144" s="684">
        <f>IF(終値!A144="","",IFERROR(4*STDEVP(終値!AP144:BI144)/AVERAGE(終値!AP144:BI144),""))</f>
      </c>
      <c r="AN144" s="684">
        <f>IF(終値!A144="","",IFERROR(4*STDEVP(終値!AQ144:BJ144)/AVERAGE(終値!AQ144:BJ144),""))</f>
      </c>
      <c r="AO144" s="684">
        <f>IF(終値!A144="","",IFERROR(4*STDEVP(終値!AR144:BK144)/AVERAGE(終値!AR144:BK144),""))</f>
      </c>
      <c r="AP144" s="684">
        <f>IF(終値!A144="","",IFERROR(4*STDEVP(終値!AS144:BL144)/AVERAGE(終値!AS144:BL144),""))</f>
      </c>
    </row>
    <row r="145">
      <c r="A145" s="681">
        <f>IF(終値!A145="","",終値!A145)</f>
      </c>
      <c r="B145" s="684">
        <f>IF(終値!A145="","",IFERROR(4*STDEVP(終値!E145:X145)/AVERAGE(終値!E145:X145),""))</f>
      </c>
      <c r="C145" s="684">
        <f>IF(終値!A145="","",IFERROR(4*STDEVP(終値!F145:Y145)/AVERAGE(終値!F145:Y145),""))</f>
      </c>
      <c r="D145" s="684">
        <f>IF(終値!A145="","",IFERROR(4*STDEVP(終値!G145:Z145)/AVERAGE(終値!G145:Z145),""))</f>
      </c>
      <c r="E145" s="684">
        <f>IF(終値!A145="","",IFERROR(4*STDEVP(終値!H145:AA145)/AVERAGE(終値!H145:AA145),""))</f>
      </c>
      <c r="F145" s="684">
        <f>IF(終値!A145="","",IFERROR(4*STDEVP(終値!I145:AB145)/AVERAGE(終値!I145:AB145),""))</f>
      </c>
      <c r="G145" s="684">
        <f>IF(終値!A145="","",IFERROR(4*STDEVP(終値!J145:AC145)/AVERAGE(終値!J145:AC145),""))</f>
      </c>
      <c r="H145" s="684">
        <f>IF(終値!A145="","",IFERROR(4*STDEVP(終値!K145:AD145)/AVERAGE(終値!K145:AD145),""))</f>
      </c>
      <c r="I145" s="684">
        <f>IF(終値!A145="","",IFERROR(4*STDEVP(終値!L145:AE145)/AVERAGE(終値!L145:AE145),""))</f>
      </c>
      <c r="J145" s="684">
        <f>IF(終値!A145="","",IFERROR(4*STDEVP(終値!M145:AF145)/AVERAGE(終値!M145:AF145),""))</f>
      </c>
      <c r="K145" s="684">
        <f>IF(終値!A145="","",IFERROR(4*STDEVP(終値!N145:AG145)/AVERAGE(終値!N145:AG145),""))</f>
      </c>
      <c r="L145" s="684">
        <f>IF(終値!A145="","",IFERROR(4*STDEVP(終値!O145:AH145)/AVERAGE(終値!O145:AH145),""))</f>
      </c>
      <c r="M145" s="684">
        <f>IF(終値!A145="","",IFERROR(4*STDEVP(終値!P145:AI145)/AVERAGE(終値!P145:AI145),""))</f>
      </c>
      <c r="N145" s="684">
        <f>IF(終値!A145="","",IFERROR(4*STDEVP(終値!Q145:AJ145)/AVERAGE(終値!Q145:AJ145),""))</f>
      </c>
      <c r="O145" s="684">
        <f>IF(終値!A145="","",IFERROR(4*STDEVP(終値!R145:AK145)/AVERAGE(終値!R145:AK145),""))</f>
      </c>
      <c r="P145" s="684">
        <f>IF(終値!A145="","",IFERROR(4*STDEVP(終値!S145:AL145)/AVERAGE(終値!S145:AL145),""))</f>
      </c>
      <c r="Q145" s="684">
        <f>IF(終値!A145="","",IFERROR(4*STDEVP(終値!T145:AM145)/AVERAGE(終値!T145:AM145),""))</f>
      </c>
      <c r="R145" s="684">
        <f>IF(終値!A145="","",IFERROR(4*STDEVP(終値!U145:AN145)/AVERAGE(終値!U145:AN145),""))</f>
      </c>
      <c r="S145" s="684">
        <f>IF(終値!A145="","",IFERROR(4*STDEVP(終値!V145:AO145)/AVERAGE(終値!V145:AO145),""))</f>
      </c>
      <c r="T145" s="684">
        <f>IF(終値!A145="","",IFERROR(4*STDEVP(終値!W145:AP145)/AVERAGE(終値!W145:AP145),""))</f>
      </c>
      <c r="U145" s="684">
        <f>IF(終値!A145="","",IFERROR(4*STDEVP(終値!X145:AQ145)/AVERAGE(終値!X145:AQ145),""))</f>
      </c>
      <c r="V145" s="684">
        <f>IF(終値!A145="","",IFERROR(4*STDEVP(終値!Y145:AR145)/AVERAGE(終値!Y145:AR145),""))</f>
      </c>
      <c r="W145" s="684">
        <f>IF(終値!A145="","",IFERROR(4*STDEVP(終値!Z145:AS145)/AVERAGE(終値!Z145:AS145),""))</f>
      </c>
      <c r="X145" s="684">
        <f>IF(終値!A145="","",IFERROR(4*STDEVP(終値!AA145:AT145)/AVERAGE(終値!AA145:AT145),""))</f>
      </c>
      <c r="Y145" s="684">
        <f>IF(終値!A145="","",IFERROR(4*STDEVP(終値!AB145:AU145)/AVERAGE(終値!AB145:AU145),""))</f>
      </c>
      <c r="Z145" s="684">
        <f>IF(終値!A145="","",IFERROR(4*STDEVP(終値!AC145:AV145)/AVERAGE(終値!AC145:AV145),""))</f>
      </c>
      <c r="AA145" s="684">
        <f>IF(終値!A145="","",IFERROR(4*STDEVP(終値!AD145:AW145)/AVERAGE(終値!AD145:AW145),""))</f>
      </c>
      <c r="AB145" s="684">
        <f>IF(終値!A145="","",IFERROR(4*STDEVP(終値!AE145:AX145)/AVERAGE(終値!AE145:AX145),""))</f>
      </c>
      <c r="AC145" s="684">
        <f>IF(終値!A145="","",IFERROR(4*STDEVP(終値!AF145:AY145)/AVERAGE(終値!AF145:AY145),""))</f>
      </c>
      <c r="AD145" s="684">
        <f>IF(終値!A145="","",IFERROR(4*STDEVP(終値!AG145:AZ145)/AVERAGE(終値!AG145:AZ145),""))</f>
      </c>
      <c r="AE145" s="684">
        <f>IF(終値!A145="","",IFERROR(4*STDEVP(終値!AH145:BA145)/AVERAGE(終値!AH145:BA145),""))</f>
      </c>
      <c r="AF145" s="684">
        <f>IF(終値!A145="","",IFERROR(4*STDEVP(終値!AI145:BB145)/AVERAGE(終値!AI145:BB145),""))</f>
      </c>
      <c r="AG145" s="684">
        <f>IF(終値!A145="","",IFERROR(4*STDEVP(終値!AJ145:BC145)/AVERAGE(終値!AJ145:BC145),""))</f>
      </c>
      <c r="AH145" s="684">
        <f>IF(終値!A145="","",IFERROR(4*STDEVP(終値!AK145:BD145)/AVERAGE(終値!AK145:BD145),""))</f>
      </c>
      <c r="AI145" s="684">
        <f>IF(終値!A145="","",IFERROR(4*STDEVP(終値!AL145:BE145)/AVERAGE(終値!AL145:BE145),""))</f>
      </c>
      <c r="AJ145" s="684">
        <f>IF(終値!A145="","",IFERROR(4*STDEVP(終値!AM145:BF145)/AVERAGE(終値!AM145:BF145),""))</f>
      </c>
      <c r="AK145" s="684">
        <f>IF(終値!A145="","",IFERROR(4*STDEVP(終値!AN145:BG145)/AVERAGE(終値!AN145:BG145),""))</f>
      </c>
      <c r="AL145" s="684">
        <f>IF(終値!A145="","",IFERROR(4*STDEVP(終値!AO145:BH145)/AVERAGE(終値!AO145:BH145),""))</f>
      </c>
      <c r="AM145" s="684">
        <f>IF(終値!A145="","",IFERROR(4*STDEVP(終値!AP145:BI145)/AVERAGE(終値!AP145:BI145),""))</f>
      </c>
      <c r="AN145" s="684">
        <f>IF(終値!A145="","",IFERROR(4*STDEVP(終値!AQ145:BJ145)/AVERAGE(終値!AQ145:BJ145),""))</f>
      </c>
      <c r="AO145" s="684">
        <f>IF(終値!A145="","",IFERROR(4*STDEVP(終値!AR145:BK145)/AVERAGE(終値!AR145:BK145),""))</f>
      </c>
      <c r="AP145" s="684">
        <f>IF(終値!A145="","",IFERROR(4*STDEVP(終値!AS145:BL145)/AVERAGE(終値!AS145:BL145),""))</f>
      </c>
    </row>
    <row r="146">
      <c r="A146" s="681">
        <f>IF(終値!A146="","",終値!A146)</f>
      </c>
      <c r="B146" s="684">
        <f>IF(終値!A146="","",IFERROR(4*STDEVP(終値!E146:X146)/AVERAGE(終値!E146:X146),""))</f>
      </c>
      <c r="C146" s="684">
        <f>IF(終値!A146="","",IFERROR(4*STDEVP(終値!F146:Y146)/AVERAGE(終値!F146:Y146),""))</f>
      </c>
      <c r="D146" s="684">
        <f>IF(終値!A146="","",IFERROR(4*STDEVP(終値!G146:Z146)/AVERAGE(終値!G146:Z146),""))</f>
      </c>
      <c r="E146" s="684">
        <f>IF(終値!A146="","",IFERROR(4*STDEVP(終値!H146:AA146)/AVERAGE(終値!H146:AA146),""))</f>
      </c>
      <c r="F146" s="684">
        <f>IF(終値!A146="","",IFERROR(4*STDEVP(終値!I146:AB146)/AVERAGE(終値!I146:AB146),""))</f>
      </c>
      <c r="G146" s="684">
        <f>IF(終値!A146="","",IFERROR(4*STDEVP(終値!J146:AC146)/AVERAGE(終値!J146:AC146),""))</f>
      </c>
      <c r="H146" s="684">
        <f>IF(終値!A146="","",IFERROR(4*STDEVP(終値!K146:AD146)/AVERAGE(終値!K146:AD146),""))</f>
      </c>
      <c r="I146" s="684">
        <f>IF(終値!A146="","",IFERROR(4*STDEVP(終値!L146:AE146)/AVERAGE(終値!L146:AE146),""))</f>
      </c>
      <c r="J146" s="684">
        <f>IF(終値!A146="","",IFERROR(4*STDEVP(終値!M146:AF146)/AVERAGE(終値!M146:AF146),""))</f>
      </c>
      <c r="K146" s="684">
        <f>IF(終値!A146="","",IFERROR(4*STDEVP(終値!N146:AG146)/AVERAGE(終値!N146:AG146),""))</f>
      </c>
      <c r="L146" s="684">
        <f>IF(終値!A146="","",IFERROR(4*STDEVP(終値!O146:AH146)/AVERAGE(終値!O146:AH146),""))</f>
      </c>
      <c r="M146" s="684">
        <f>IF(終値!A146="","",IFERROR(4*STDEVP(終値!P146:AI146)/AVERAGE(終値!P146:AI146),""))</f>
      </c>
      <c r="N146" s="684">
        <f>IF(終値!A146="","",IFERROR(4*STDEVP(終値!Q146:AJ146)/AVERAGE(終値!Q146:AJ146),""))</f>
      </c>
      <c r="O146" s="684">
        <f>IF(終値!A146="","",IFERROR(4*STDEVP(終値!R146:AK146)/AVERAGE(終値!R146:AK146),""))</f>
      </c>
      <c r="P146" s="684">
        <f>IF(終値!A146="","",IFERROR(4*STDEVP(終値!S146:AL146)/AVERAGE(終値!S146:AL146),""))</f>
      </c>
      <c r="Q146" s="684">
        <f>IF(終値!A146="","",IFERROR(4*STDEVP(終値!T146:AM146)/AVERAGE(終値!T146:AM146),""))</f>
      </c>
      <c r="R146" s="684">
        <f>IF(終値!A146="","",IFERROR(4*STDEVP(終値!U146:AN146)/AVERAGE(終値!U146:AN146),""))</f>
      </c>
      <c r="S146" s="684">
        <f>IF(終値!A146="","",IFERROR(4*STDEVP(終値!V146:AO146)/AVERAGE(終値!V146:AO146),""))</f>
      </c>
      <c r="T146" s="684">
        <f>IF(終値!A146="","",IFERROR(4*STDEVP(終値!W146:AP146)/AVERAGE(終値!W146:AP146),""))</f>
      </c>
      <c r="U146" s="684">
        <f>IF(終値!A146="","",IFERROR(4*STDEVP(終値!X146:AQ146)/AVERAGE(終値!X146:AQ146),""))</f>
      </c>
      <c r="V146" s="684">
        <f>IF(終値!A146="","",IFERROR(4*STDEVP(終値!Y146:AR146)/AVERAGE(終値!Y146:AR146),""))</f>
      </c>
      <c r="W146" s="684">
        <f>IF(終値!A146="","",IFERROR(4*STDEVP(終値!Z146:AS146)/AVERAGE(終値!Z146:AS146),""))</f>
      </c>
      <c r="X146" s="684">
        <f>IF(終値!A146="","",IFERROR(4*STDEVP(終値!AA146:AT146)/AVERAGE(終値!AA146:AT146),""))</f>
      </c>
      <c r="Y146" s="684">
        <f>IF(終値!A146="","",IFERROR(4*STDEVP(終値!AB146:AU146)/AVERAGE(終値!AB146:AU146),""))</f>
      </c>
      <c r="Z146" s="684">
        <f>IF(終値!A146="","",IFERROR(4*STDEVP(終値!AC146:AV146)/AVERAGE(終値!AC146:AV146),""))</f>
      </c>
      <c r="AA146" s="684">
        <f>IF(終値!A146="","",IFERROR(4*STDEVP(終値!AD146:AW146)/AVERAGE(終値!AD146:AW146),""))</f>
      </c>
      <c r="AB146" s="684">
        <f>IF(終値!A146="","",IFERROR(4*STDEVP(終値!AE146:AX146)/AVERAGE(終値!AE146:AX146),""))</f>
      </c>
      <c r="AC146" s="684">
        <f>IF(終値!A146="","",IFERROR(4*STDEVP(終値!AF146:AY146)/AVERAGE(終値!AF146:AY146),""))</f>
      </c>
      <c r="AD146" s="684">
        <f>IF(終値!A146="","",IFERROR(4*STDEVP(終値!AG146:AZ146)/AVERAGE(終値!AG146:AZ146),""))</f>
      </c>
      <c r="AE146" s="684">
        <f>IF(終値!A146="","",IFERROR(4*STDEVP(終値!AH146:BA146)/AVERAGE(終値!AH146:BA146),""))</f>
      </c>
      <c r="AF146" s="684">
        <f>IF(終値!A146="","",IFERROR(4*STDEVP(終値!AI146:BB146)/AVERAGE(終値!AI146:BB146),""))</f>
      </c>
      <c r="AG146" s="684">
        <f>IF(終値!A146="","",IFERROR(4*STDEVP(終値!AJ146:BC146)/AVERAGE(終値!AJ146:BC146),""))</f>
      </c>
      <c r="AH146" s="684">
        <f>IF(終値!A146="","",IFERROR(4*STDEVP(終値!AK146:BD146)/AVERAGE(終値!AK146:BD146),""))</f>
      </c>
      <c r="AI146" s="684">
        <f>IF(終値!A146="","",IFERROR(4*STDEVP(終値!AL146:BE146)/AVERAGE(終値!AL146:BE146),""))</f>
      </c>
      <c r="AJ146" s="684">
        <f>IF(終値!A146="","",IFERROR(4*STDEVP(終値!AM146:BF146)/AVERAGE(終値!AM146:BF146),""))</f>
      </c>
      <c r="AK146" s="684">
        <f>IF(終値!A146="","",IFERROR(4*STDEVP(終値!AN146:BG146)/AVERAGE(終値!AN146:BG146),""))</f>
      </c>
      <c r="AL146" s="684">
        <f>IF(終値!A146="","",IFERROR(4*STDEVP(終値!AO146:BH146)/AVERAGE(終値!AO146:BH146),""))</f>
      </c>
      <c r="AM146" s="684">
        <f>IF(終値!A146="","",IFERROR(4*STDEVP(終値!AP146:BI146)/AVERAGE(終値!AP146:BI146),""))</f>
      </c>
      <c r="AN146" s="684">
        <f>IF(終値!A146="","",IFERROR(4*STDEVP(終値!AQ146:BJ146)/AVERAGE(終値!AQ146:BJ146),""))</f>
      </c>
      <c r="AO146" s="684">
        <f>IF(終値!A146="","",IFERROR(4*STDEVP(終値!AR146:BK146)/AVERAGE(終値!AR146:BK146),""))</f>
      </c>
      <c r="AP146" s="684">
        <f>IF(終値!A146="","",IFERROR(4*STDEVP(終値!AS146:BL146)/AVERAGE(終値!AS146:BL146),""))</f>
      </c>
    </row>
    <row r="147">
      <c r="A147" s="681">
        <f>IF(終値!A147="","",終値!A147)</f>
      </c>
      <c r="B147" s="684">
        <f>IF(終値!A147="","",IFERROR(4*STDEVP(終値!E147:X147)/AVERAGE(終値!E147:X147),""))</f>
      </c>
      <c r="C147" s="684">
        <f>IF(終値!A147="","",IFERROR(4*STDEVP(終値!F147:Y147)/AVERAGE(終値!F147:Y147),""))</f>
      </c>
      <c r="D147" s="684">
        <f>IF(終値!A147="","",IFERROR(4*STDEVP(終値!G147:Z147)/AVERAGE(終値!G147:Z147),""))</f>
      </c>
      <c r="E147" s="684">
        <f>IF(終値!A147="","",IFERROR(4*STDEVP(終値!H147:AA147)/AVERAGE(終値!H147:AA147),""))</f>
      </c>
      <c r="F147" s="684">
        <f>IF(終値!A147="","",IFERROR(4*STDEVP(終値!I147:AB147)/AVERAGE(終値!I147:AB147),""))</f>
      </c>
      <c r="G147" s="684">
        <f>IF(終値!A147="","",IFERROR(4*STDEVP(終値!J147:AC147)/AVERAGE(終値!J147:AC147),""))</f>
      </c>
      <c r="H147" s="684">
        <f>IF(終値!A147="","",IFERROR(4*STDEVP(終値!K147:AD147)/AVERAGE(終値!K147:AD147),""))</f>
      </c>
      <c r="I147" s="684">
        <f>IF(終値!A147="","",IFERROR(4*STDEVP(終値!L147:AE147)/AVERAGE(終値!L147:AE147),""))</f>
      </c>
      <c r="J147" s="684">
        <f>IF(終値!A147="","",IFERROR(4*STDEVP(終値!M147:AF147)/AVERAGE(終値!M147:AF147),""))</f>
      </c>
      <c r="K147" s="684">
        <f>IF(終値!A147="","",IFERROR(4*STDEVP(終値!N147:AG147)/AVERAGE(終値!N147:AG147),""))</f>
      </c>
      <c r="L147" s="684">
        <f>IF(終値!A147="","",IFERROR(4*STDEVP(終値!O147:AH147)/AVERAGE(終値!O147:AH147),""))</f>
      </c>
      <c r="M147" s="684">
        <f>IF(終値!A147="","",IFERROR(4*STDEVP(終値!P147:AI147)/AVERAGE(終値!P147:AI147),""))</f>
      </c>
      <c r="N147" s="684">
        <f>IF(終値!A147="","",IFERROR(4*STDEVP(終値!Q147:AJ147)/AVERAGE(終値!Q147:AJ147),""))</f>
      </c>
      <c r="O147" s="684">
        <f>IF(終値!A147="","",IFERROR(4*STDEVP(終値!R147:AK147)/AVERAGE(終値!R147:AK147),""))</f>
      </c>
      <c r="P147" s="684">
        <f>IF(終値!A147="","",IFERROR(4*STDEVP(終値!S147:AL147)/AVERAGE(終値!S147:AL147),""))</f>
      </c>
      <c r="Q147" s="684">
        <f>IF(終値!A147="","",IFERROR(4*STDEVP(終値!T147:AM147)/AVERAGE(終値!T147:AM147),""))</f>
      </c>
      <c r="R147" s="684">
        <f>IF(終値!A147="","",IFERROR(4*STDEVP(終値!U147:AN147)/AVERAGE(終値!U147:AN147),""))</f>
      </c>
      <c r="S147" s="684">
        <f>IF(終値!A147="","",IFERROR(4*STDEVP(終値!V147:AO147)/AVERAGE(終値!V147:AO147),""))</f>
      </c>
      <c r="T147" s="684">
        <f>IF(終値!A147="","",IFERROR(4*STDEVP(終値!W147:AP147)/AVERAGE(終値!W147:AP147),""))</f>
      </c>
      <c r="U147" s="684">
        <f>IF(終値!A147="","",IFERROR(4*STDEVP(終値!X147:AQ147)/AVERAGE(終値!X147:AQ147),""))</f>
      </c>
      <c r="V147" s="684">
        <f>IF(終値!A147="","",IFERROR(4*STDEVP(終値!Y147:AR147)/AVERAGE(終値!Y147:AR147),""))</f>
      </c>
      <c r="W147" s="684">
        <f>IF(終値!A147="","",IFERROR(4*STDEVP(終値!Z147:AS147)/AVERAGE(終値!Z147:AS147),""))</f>
      </c>
      <c r="X147" s="684">
        <f>IF(終値!A147="","",IFERROR(4*STDEVP(終値!AA147:AT147)/AVERAGE(終値!AA147:AT147),""))</f>
      </c>
      <c r="Y147" s="684">
        <f>IF(終値!A147="","",IFERROR(4*STDEVP(終値!AB147:AU147)/AVERAGE(終値!AB147:AU147),""))</f>
      </c>
      <c r="Z147" s="684">
        <f>IF(終値!A147="","",IFERROR(4*STDEVP(終値!AC147:AV147)/AVERAGE(終値!AC147:AV147),""))</f>
      </c>
      <c r="AA147" s="684">
        <f>IF(終値!A147="","",IFERROR(4*STDEVP(終値!AD147:AW147)/AVERAGE(終値!AD147:AW147),""))</f>
      </c>
      <c r="AB147" s="684">
        <f>IF(終値!A147="","",IFERROR(4*STDEVP(終値!AE147:AX147)/AVERAGE(終値!AE147:AX147),""))</f>
      </c>
      <c r="AC147" s="684">
        <f>IF(終値!A147="","",IFERROR(4*STDEVP(終値!AF147:AY147)/AVERAGE(終値!AF147:AY147),""))</f>
      </c>
      <c r="AD147" s="684">
        <f>IF(終値!A147="","",IFERROR(4*STDEVP(終値!AG147:AZ147)/AVERAGE(終値!AG147:AZ147),""))</f>
      </c>
      <c r="AE147" s="684">
        <f>IF(終値!A147="","",IFERROR(4*STDEVP(終値!AH147:BA147)/AVERAGE(終値!AH147:BA147),""))</f>
      </c>
      <c r="AF147" s="684">
        <f>IF(終値!A147="","",IFERROR(4*STDEVP(終値!AI147:BB147)/AVERAGE(終値!AI147:BB147),""))</f>
      </c>
      <c r="AG147" s="684">
        <f>IF(終値!A147="","",IFERROR(4*STDEVP(終値!AJ147:BC147)/AVERAGE(終値!AJ147:BC147),""))</f>
      </c>
      <c r="AH147" s="684">
        <f>IF(終値!A147="","",IFERROR(4*STDEVP(終値!AK147:BD147)/AVERAGE(終値!AK147:BD147),""))</f>
      </c>
      <c r="AI147" s="684">
        <f>IF(終値!A147="","",IFERROR(4*STDEVP(終値!AL147:BE147)/AVERAGE(終値!AL147:BE147),""))</f>
      </c>
      <c r="AJ147" s="684">
        <f>IF(終値!A147="","",IFERROR(4*STDEVP(終値!AM147:BF147)/AVERAGE(終値!AM147:BF147),""))</f>
      </c>
      <c r="AK147" s="684">
        <f>IF(終値!A147="","",IFERROR(4*STDEVP(終値!AN147:BG147)/AVERAGE(終値!AN147:BG147),""))</f>
      </c>
      <c r="AL147" s="684">
        <f>IF(終値!A147="","",IFERROR(4*STDEVP(終値!AO147:BH147)/AVERAGE(終値!AO147:BH147),""))</f>
      </c>
      <c r="AM147" s="684">
        <f>IF(終値!A147="","",IFERROR(4*STDEVP(終値!AP147:BI147)/AVERAGE(終値!AP147:BI147),""))</f>
      </c>
      <c r="AN147" s="684">
        <f>IF(終値!A147="","",IFERROR(4*STDEVP(終値!AQ147:BJ147)/AVERAGE(終値!AQ147:BJ147),""))</f>
      </c>
      <c r="AO147" s="684">
        <f>IF(終値!A147="","",IFERROR(4*STDEVP(終値!AR147:BK147)/AVERAGE(終値!AR147:BK147),""))</f>
      </c>
      <c r="AP147" s="684">
        <f>IF(終値!A147="","",IFERROR(4*STDEVP(終値!AS147:BL147)/AVERAGE(終値!AS147:BL147),""))</f>
      </c>
    </row>
    <row r="148">
      <c r="A148" s="681">
        <f>IF(終値!A148="","",終値!A148)</f>
      </c>
      <c r="B148" s="684">
        <f>IF(終値!A148="","",IFERROR(4*STDEVP(終値!E148:X148)/AVERAGE(終値!E148:X148),""))</f>
      </c>
      <c r="C148" s="684">
        <f>IF(終値!A148="","",IFERROR(4*STDEVP(終値!F148:Y148)/AVERAGE(終値!F148:Y148),""))</f>
      </c>
      <c r="D148" s="684">
        <f>IF(終値!A148="","",IFERROR(4*STDEVP(終値!G148:Z148)/AVERAGE(終値!G148:Z148),""))</f>
      </c>
      <c r="E148" s="684">
        <f>IF(終値!A148="","",IFERROR(4*STDEVP(終値!H148:AA148)/AVERAGE(終値!H148:AA148),""))</f>
      </c>
      <c r="F148" s="684">
        <f>IF(終値!A148="","",IFERROR(4*STDEVP(終値!I148:AB148)/AVERAGE(終値!I148:AB148),""))</f>
      </c>
      <c r="G148" s="684">
        <f>IF(終値!A148="","",IFERROR(4*STDEVP(終値!J148:AC148)/AVERAGE(終値!J148:AC148),""))</f>
      </c>
      <c r="H148" s="684">
        <f>IF(終値!A148="","",IFERROR(4*STDEVP(終値!K148:AD148)/AVERAGE(終値!K148:AD148),""))</f>
      </c>
      <c r="I148" s="684">
        <f>IF(終値!A148="","",IFERROR(4*STDEVP(終値!L148:AE148)/AVERAGE(終値!L148:AE148),""))</f>
      </c>
      <c r="J148" s="684">
        <f>IF(終値!A148="","",IFERROR(4*STDEVP(終値!M148:AF148)/AVERAGE(終値!M148:AF148),""))</f>
      </c>
      <c r="K148" s="684">
        <f>IF(終値!A148="","",IFERROR(4*STDEVP(終値!N148:AG148)/AVERAGE(終値!N148:AG148),""))</f>
      </c>
      <c r="L148" s="684">
        <f>IF(終値!A148="","",IFERROR(4*STDEVP(終値!O148:AH148)/AVERAGE(終値!O148:AH148),""))</f>
      </c>
      <c r="M148" s="684">
        <f>IF(終値!A148="","",IFERROR(4*STDEVP(終値!P148:AI148)/AVERAGE(終値!P148:AI148),""))</f>
      </c>
      <c r="N148" s="684">
        <f>IF(終値!A148="","",IFERROR(4*STDEVP(終値!Q148:AJ148)/AVERAGE(終値!Q148:AJ148),""))</f>
      </c>
      <c r="O148" s="684">
        <f>IF(終値!A148="","",IFERROR(4*STDEVP(終値!R148:AK148)/AVERAGE(終値!R148:AK148),""))</f>
      </c>
      <c r="P148" s="684">
        <f>IF(終値!A148="","",IFERROR(4*STDEVP(終値!S148:AL148)/AVERAGE(終値!S148:AL148),""))</f>
      </c>
      <c r="Q148" s="684">
        <f>IF(終値!A148="","",IFERROR(4*STDEVP(終値!T148:AM148)/AVERAGE(終値!T148:AM148),""))</f>
      </c>
      <c r="R148" s="684">
        <f>IF(終値!A148="","",IFERROR(4*STDEVP(終値!U148:AN148)/AVERAGE(終値!U148:AN148),""))</f>
      </c>
      <c r="S148" s="684">
        <f>IF(終値!A148="","",IFERROR(4*STDEVP(終値!V148:AO148)/AVERAGE(終値!V148:AO148),""))</f>
      </c>
      <c r="T148" s="684">
        <f>IF(終値!A148="","",IFERROR(4*STDEVP(終値!W148:AP148)/AVERAGE(終値!W148:AP148),""))</f>
      </c>
      <c r="U148" s="684">
        <f>IF(終値!A148="","",IFERROR(4*STDEVP(終値!X148:AQ148)/AVERAGE(終値!X148:AQ148),""))</f>
      </c>
      <c r="V148" s="684">
        <f>IF(終値!A148="","",IFERROR(4*STDEVP(終値!Y148:AR148)/AVERAGE(終値!Y148:AR148),""))</f>
      </c>
      <c r="W148" s="684">
        <f>IF(終値!A148="","",IFERROR(4*STDEVP(終値!Z148:AS148)/AVERAGE(終値!Z148:AS148),""))</f>
      </c>
      <c r="X148" s="684">
        <f>IF(終値!A148="","",IFERROR(4*STDEVP(終値!AA148:AT148)/AVERAGE(終値!AA148:AT148),""))</f>
      </c>
      <c r="Y148" s="684">
        <f>IF(終値!A148="","",IFERROR(4*STDEVP(終値!AB148:AU148)/AVERAGE(終値!AB148:AU148),""))</f>
      </c>
      <c r="Z148" s="684">
        <f>IF(終値!A148="","",IFERROR(4*STDEVP(終値!AC148:AV148)/AVERAGE(終値!AC148:AV148),""))</f>
      </c>
      <c r="AA148" s="684">
        <f>IF(終値!A148="","",IFERROR(4*STDEVP(終値!AD148:AW148)/AVERAGE(終値!AD148:AW148),""))</f>
      </c>
      <c r="AB148" s="684">
        <f>IF(終値!A148="","",IFERROR(4*STDEVP(終値!AE148:AX148)/AVERAGE(終値!AE148:AX148),""))</f>
      </c>
      <c r="AC148" s="684">
        <f>IF(終値!A148="","",IFERROR(4*STDEVP(終値!AF148:AY148)/AVERAGE(終値!AF148:AY148),""))</f>
      </c>
      <c r="AD148" s="684">
        <f>IF(終値!A148="","",IFERROR(4*STDEVP(終値!AG148:AZ148)/AVERAGE(終値!AG148:AZ148),""))</f>
      </c>
      <c r="AE148" s="684">
        <f>IF(終値!A148="","",IFERROR(4*STDEVP(終値!AH148:BA148)/AVERAGE(終値!AH148:BA148),""))</f>
      </c>
      <c r="AF148" s="684">
        <f>IF(終値!A148="","",IFERROR(4*STDEVP(終値!AI148:BB148)/AVERAGE(終値!AI148:BB148),""))</f>
      </c>
      <c r="AG148" s="684">
        <f>IF(終値!A148="","",IFERROR(4*STDEVP(終値!AJ148:BC148)/AVERAGE(終値!AJ148:BC148),""))</f>
      </c>
      <c r="AH148" s="684">
        <f>IF(終値!A148="","",IFERROR(4*STDEVP(終値!AK148:BD148)/AVERAGE(終値!AK148:BD148),""))</f>
      </c>
      <c r="AI148" s="684">
        <f>IF(終値!A148="","",IFERROR(4*STDEVP(終値!AL148:BE148)/AVERAGE(終値!AL148:BE148),""))</f>
      </c>
      <c r="AJ148" s="684">
        <f>IF(終値!A148="","",IFERROR(4*STDEVP(終値!AM148:BF148)/AVERAGE(終値!AM148:BF148),""))</f>
      </c>
      <c r="AK148" s="684">
        <f>IF(終値!A148="","",IFERROR(4*STDEVP(終値!AN148:BG148)/AVERAGE(終値!AN148:BG148),""))</f>
      </c>
      <c r="AL148" s="684">
        <f>IF(終値!A148="","",IFERROR(4*STDEVP(終値!AO148:BH148)/AVERAGE(終値!AO148:BH148),""))</f>
      </c>
      <c r="AM148" s="684">
        <f>IF(終値!A148="","",IFERROR(4*STDEVP(終値!AP148:BI148)/AVERAGE(終値!AP148:BI148),""))</f>
      </c>
      <c r="AN148" s="684">
        <f>IF(終値!A148="","",IFERROR(4*STDEVP(終値!AQ148:BJ148)/AVERAGE(終値!AQ148:BJ148),""))</f>
      </c>
      <c r="AO148" s="684">
        <f>IF(終値!A148="","",IFERROR(4*STDEVP(終値!AR148:BK148)/AVERAGE(終値!AR148:BK148),""))</f>
      </c>
      <c r="AP148" s="684">
        <f>IF(終値!A148="","",IFERROR(4*STDEVP(終値!AS148:BL148)/AVERAGE(終値!AS148:BL148),""))</f>
      </c>
    </row>
    <row r="149">
      <c r="A149" s="681">
        <f>IF(終値!A149="","",終値!A149)</f>
      </c>
      <c r="B149" s="684">
        <f>IF(終値!A149="","",IFERROR(4*STDEVP(終値!E149:X149)/AVERAGE(終値!E149:X149),""))</f>
      </c>
      <c r="C149" s="684">
        <f>IF(終値!A149="","",IFERROR(4*STDEVP(終値!F149:Y149)/AVERAGE(終値!F149:Y149),""))</f>
      </c>
      <c r="D149" s="684">
        <f>IF(終値!A149="","",IFERROR(4*STDEVP(終値!G149:Z149)/AVERAGE(終値!G149:Z149),""))</f>
      </c>
      <c r="E149" s="684">
        <f>IF(終値!A149="","",IFERROR(4*STDEVP(終値!H149:AA149)/AVERAGE(終値!H149:AA149),""))</f>
      </c>
      <c r="F149" s="684">
        <f>IF(終値!A149="","",IFERROR(4*STDEVP(終値!I149:AB149)/AVERAGE(終値!I149:AB149),""))</f>
      </c>
      <c r="G149" s="684">
        <f>IF(終値!A149="","",IFERROR(4*STDEVP(終値!J149:AC149)/AVERAGE(終値!J149:AC149),""))</f>
      </c>
      <c r="H149" s="684">
        <f>IF(終値!A149="","",IFERROR(4*STDEVP(終値!K149:AD149)/AVERAGE(終値!K149:AD149),""))</f>
      </c>
      <c r="I149" s="684">
        <f>IF(終値!A149="","",IFERROR(4*STDEVP(終値!L149:AE149)/AVERAGE(終値!L149:AE149),""))</f>
      </c>
      <c r="J149" s="684">
        <f>IF(終値!A149="","",IFERROR(4*STDEVP(終値!M149:AF149)/AVERAGE(終値!M149:AF149),""))</f>
      </c>
      <c r="K149" s="684">
        <f>IF(終値!A149="","",IFERROR(4*STDEVP(終値!N149:AG149)/AVERAGE(終値!N149:AG149),""))</f>
      </c>
      <c r="L149" s="684">
        <f>IF(終値!A149="","",IFERROR(4*STDEVP(終値!O149:AH149)/AVERAGE(終値!O149:AH149),""))</f>
      </c>
      <c r="M149" s="684">
        <f>IF(終値!A149="","",IFERROR(4*STDEVP(終値!P149:AI149)/AVERAGE(終値!P149:AI149),""))</f>
      </c>
      <c r="N149" s="684">
        <f>IF(終値!A149="","",IFERROR(4*STDEVP(終値!Q149:AJ149)/AVERAGE(終値!Q149:AJ149),""))</f>
      </c>
      <c r="O149" s="684">
        <f>IF(終値!A149="","",IFERROR(4*STDEVP(終値!R149:AK149)/AVERAGE(終値!R149:AK149),""))</f>
      </c>
      <c r="P149" s="684">
        <f>IF(終値!A149="","",IFERROR(4*STDEVP(終値!S149:AL149)/AVERAGE(終値!S149:AL149),""))</f>
      </c>
      <c r="Q149" s="684">
        <f>IF(終値!A149="","",IFERROR(4*STDEVP(終値!T149:AM149)/AVERAGE(終値!T149:AM149),""))</f>
      </c>
      <c r="R149" s="684">
        <f>IF(終値!A149="","",IFERROR(4*STDEVP(終値!U149:AN149)/AVERAGE(終値!U149:AN149),""))</f>
      </c>
      <c r="S149" s="684">
        <f>IF(終値!A149="","",IFERROR(4*STDEVP(終値!V149:AO149)/AVERAGE(終値!V149:AO149),""))</f>
      </c>
      <c r="T149" s="684">
        <f>IF(終値!A149="","",IFERROR(4*STDEVP(終値!W149:AP149)/AVERAGE(終値!W149:AP149),""))</f>
      </c>
      <c r="U149" s="684">
        <f>IF(終値!A149="","",IFERROR(4*STDEVP(終値!X149:AQ149)/AVERAGE(終値!X149:AQ149),""))</f>
      </c>
      <c r="V149" s="684">
        <f>IF(終値!A149="","",IFERROR(4*STDEVP(終値!Y149:AR149)/AVERAGE(終値!Y149:AR149),""))</f>
      </c>
      <c r="W149" s="684">
        <f>IF(終値!A149="","",IFERROR(4*STDEVP(終値!Z149:AS149)/AVERAGE(終値!Z149:AS149),""))</f>
      </c>
      <c r="X149" s="684">
        <f>IF(終値!A149="","",IFERROR(4*STDEVP(終値!AA149:AT149)/AVERAGE(終値!AA149:AT149),""))</f>
      </c>
      <c r="Y149" s="684">
        <f>IF(終値!A149="","",IFERROR(4*STDEVP(終値!AB149:AU149)/AVERAGE(終値!AB149:AU149),""))</f>
      </c>
      <c r="Z149" s="684">
        <f>IF(終値!A149="","",IFERROR(4*STDEVP(終値!AC149:AV149)/AVERAGE(終値!AC149:AV149),""))</f>
      </c>
      <c r="AA149" s="684">
        <f>IF(終値!A149="","",IFERROR(4*STDEVP(終値!AD149:AW149)/AVERAGE(終値!AD149:AW149),""))</f>
      </c>
      <c r="AB149" s="684">
        <f>IF(終値!A149="","",IFERROR(4*STDEVP(終値!AE149:AX149)/AVERAGE(終値!AE149:AX149),""))</f>
      </c>
      <c r="AC149" s="684">
        <f>IF(終値!A149="","",IFERROR(4*STDEVP(終値!AF149:AY149)/AVERAGE(終値!AF149:AY149),""))</f>
      </c>
      <c r="AD149" s="684">
        <f>IF(終値!A149="","",IFERROR(4*STDEVP(終値!AG149:AZ149)/AVERAGE(終値!AG149:AZ149),""))</f>
      </c>
      <c r="AE149" s="684">
        <f>IF(終値!A149="","",IFERROR(4*STDEVP(終値!AH149:BA149)/AVERAGE(終値!AH149:BA149),""))</f>
      </c>
      <c r="AF149" s="684">
        <f>IF(終値!A149="","",IFERROR(4*STDEVP(終値!AI149:BB149)/AVERAGE(終値!AI149:BB149),""))</f>
      </c>
      <c r="AG149" s="684">
        <f>IF(終値!A149="","",IFERROR(4*STDEVP(終値!AJ149:BC149)/AVERAGE(終値!AJ149:BC149),""))</f>
      </c>
      <c r="AH149" s="684">
        <f>IF(終値!A149="","",IFERROR(4*STDEVP(終値!AK149:BD149)/AVERAGE(終値!AK149:BD149),""))</f>
      </c>
      <c r="AI149" s="684">
        <f>IF(終値!A149="","",IFERROR(4*STDEVP(終値!AL149:BE149)/AVERAGE(終値!AL149:BE149),""))</f>
      </c>
      <c r="AJ149" s="684">
        <f>IF(終値!A149="","",IFERROR(4*STDEVP(終値!AM149:BF149)/AVERAGE(終値!AM149:BF149),""))</f>
      </c>
      <c r="AK149" s="684">
        <f>IF(終値!A149="","",IFERROR(4*STDEVP(終値!AN149:BG149)/AVERAGE(終値!AN149:BG149),""))</f>
      </c>
      <c r="AL149" s="684">
        <f>IF(終値!A149="","",IFERROR(4*STDEVP(終値!AO149:BH149)/AVERAGE(終値!AO149:BH149),""))</f>
      </c>
      <c r="AM149" s="684">
        <f>IF(終値!A149="","",IFERROR(4*STDEVP(終値!AP149:BI149)/AVERAGE(終値!AP149:BI149),""))</f>
      </c>
      <c r="AN149" s="684">
        <f>IF(終値!A149="","",IFERROR(4*STDEVP(終値!AQ149:BJ149)/AVERAGE(終値!AQ149:BJ149),""))</f>
      </c>
      <c r="AO149" s="684">
        <f>IF(終値!A149="","",IFERROR(4*STDEVP(終値!AR149:BK149)/AVERAGE(終値!AR149:BK149),""))</f>
      </c>
      <c r="AP149" s="684">
        <f>IF(終値!A149="","",IFERROR(4*STDEVP(終値!AS149:BL149)/AVERAGE(終値!AS149:BL149),""))</f>
      </c>
    </row>
    <row r="150">
      <c r="A150" s="681">
        <f>IF(終値!A150="","",終値!A150)</f>
      </c>
      <c r="B150" s="684">
        <f>IF(終値!A150="","",IFERROR(4*STDEVP(終値!E150:X150)/AVERAGE(終値!E150:X150),""))</f>
      </c>
      <c r="C150" s="684">
        <f>IF(終値!A150="","",IFERROR(4*STDEVP(終値!F150:Y150)/AVERAGE(終値!F150:Y150),""))</f>
      </c>
      <c r="D150" s="684">
        <f>IF(終値!A150="","",IFERROR(4*STDEVP(終値!G150:Z150)/AVERAGE(終値!G150:Z150),""))</f>
      </c>
      <c r="E150" s="684">
        <f>IF(終値!A150="","",IFERROR(4*STDEVP(終値!H150:AA150)/AVERAGE(終値!H150:AA150),""))</f>
      </c>
      <c r="F150" s="684">
        <f>IF(終値!A150="","",IFERROR(4*STDEVP(終値!I150:AB150)/AVERAGE(終値!I150:AB150),""))</f>
      </c>
      <c r="G150" s="684">
        <f>IF(終値!A150="","",IFERROR(4*STDEVP(終値!J150:AC150)/AVERAGE(終値!J150:AC150),""))</f>
      </c>
      <c r="H150" s="684">
        <f>IF(終値!A150="","",IFERROR(4*STDEVP(終値!K150:AD150)/AVERAGE(終値!K150:AD150),""))</f>
      </c>
      <c r="I150" s="684">
        <f>IF(終値!A150="","",IFERROR(4*STDEVP(終値!L150:AE150)/AVERAGE(終値!L150:AE150),""))</f>
      </c>
      <c r="J150" s="684">
        <f>IF(終値!A150="","",IFERROR(4*STDEVP(終値!M150:AF150)/AVERAGE(終値!M150:AF150),""))</f>
      </c>
      <c r="K150" s="684">
        <f>IF(終値!A150="","",IFERROR(4*STDEVP(終値!N150:AG150)/AVERAGE(終値!N150:AG150),""))</f>
      </c>
      <c r="L150" s="684">
        <f>IF(終値!A150="","",IFERROR(4*STDEVP(終値!O150:AH150)/AVERAGE(終値!O150:AH150),""))</f>
      </c>
      <c r="M150" s="684">
        <f>IF(終値!A150="","",IFERROR(4*STDEVP(終値!P150:AI150)/AVERAGE(終値!P150:AI150),""))</f>
      </c>
      <c r="N150" s="684">
        <f>IF(終値!A150="","",IFERROR(4*STDEVP(終値!Q150:AJ150)/AVERAGE(終値!Q150:AJ150),""))</f>
      </c>
      <c r="O150" s="684">
        <f>IF(終値!A150="","",IFERROR(4*STDEVP(終値!R150:AK150)/AVERAGE(終値!R150:AK150),""))</f>
      </c>
      <c r="P150" s="684">
        <f>IF(終値!A150="","",IFERROR(4*STDEVP(終値!S150:AL150)/AVERAGE(終値!S150:AL150),""))</f>
      </c>
      <c r="Q150" s="684">
        <f>IF(終値!A150="","",IFERROR(4*STDEVP(終値!T150:AM150)/AVERAGE(終値!T150:AM150),""))</f>
      </c>
      <c r="R150" s="684">
        <f>IF(終値!A150="","",IFERROR(4*STDEVP(終値!U150:AN150)/AVERAGE(終値!U150:AN150),""))</f>
      </c>
      <c r="S150" s="684">
        <f>IF(終値!A150="","",IFERROR(4*STDEVP(終値!V150:AO150)/AVERAGE(終値!V150:AO150),""))</f>
      </c>
      <c r="T150" s="684">
        <f>IF(終値!A150="","",IFERROR(4*STDEVP(終値!W150:AP150)/AVERAGE(終値!W150:AP150),""))</f>
      </c>
      <c r="U150" s="684">
        <f>IF(終値!A150="","",IFERROR(4*STDEVP(終値!X150:AQ150)/AVERAGE(終値!X150:AQ150),""))</f>
      </c>
      <c r="V150" s="684">
        <f>IF(終値!A150="","",IFERROR(4*STDEVP(終値!Y150:AR150)/AVERAGE(終値!Y150:AR150),""))</f>
      </c>
      <c r="W150" s="684">
        <f>IF(終値!A150="","",IFERROR(4*STDEVP(終値!Z150:AS150)/AVERAGE(終値!Z150:AS150),""))</f>
      </c>
      <c r="X150" s="684">
        <f>IF(終値!A150="","",IFERROR(4*STDEVP(終値!AA150:AT150)/AVERAGE(終値!AA150:AT150),""))</f>
      </c>
      <c r="Y150" s="684">
        <f>IF(終値!A150="","",IFERROR(4*STDEVP(終値!AB150:AU150)/AVERAGE(終値!AB150:AU150),""))</f>
      </c>
      <c r="Z150" s="684">
        <f>IF(終値!A150="","",IFERROR(4*STDEVP(終値!AC150:AV150)/AVERAGE(終値!AC150:AV150),""))</f>
      </c>
      <c r="AA150" s="684">
        <f>IF(終値!A150="","",IFERROR(4*STDEVP(終値!AD150:AW150)/AVERAGE(終値!AD150:AW150),""))</f>
      </c>
      <c r="AB150" s="684">
        <f>IF(終値!A150="","",IFERROR(4*STDEVP(終値!AE150:AX150)/AVERAGE(終値!AE150:AX150),""))</f>
      </c>
      <c r="AC150" s="684">
        <f>IF(終値!A150="","",IFERROR(4*STDEVP(終値!AF150:AY150)/AVERAGE(終値!AF150:AY150),""))</f>
      </c>
      <c r="AD150" s="684">
        <f>IF(終値!A150="","",IFERROR(4*STDEVP(終値!AG150:AZ150)/AVERAGE(終値!AG150:AZ150),""))</f>
      </c>
      <c r="AE150" s="684">
        <f>IF(終値!A150="","",IFERROR(4*STDEVP(終値!AH150:BA150)/AVERAGE(終値!AH150:BA150),""))</f>
      </c>
      <c r="AF150" s="684">
        <f>IF(終値!A150="","",IFERROR(4*STDEVP(終値!AI150:BB150)/AVERAGE(終値!AI150:BB150),""))</f>
      </c>
      <c r="AG150" s="684">
        <f>IF(終値!A150="","",IFERROR(4*STDEVP(終値!AJ150:BC150)/AVERAGE(終値!AJ150:BC150),""))</f>
      </c>
      <c r="AH150" s="684">
        <f>IF(終値!A150="","",IFERROR(4*STDEVP(終値!AK150:BD150)/AVERAGE(終値!AK150:BD150),""))</f>
      </c>
      <c r="AI150" s="684">
        <f>IF(終値!A150="","",IFERROR(4*STDEVP(終値!AL150:BE150)/AVERAGE(終値!AL150:BE150),""))</f>
      </c>
      <c r="AJ150" s="684">
        <f>IF(終値!A150="","",IFERROR(4*STDEVP(終値!AM150:BF150)/AVERAGE(終値!AM150:BF150),""))</f>
      </c>
      <c r="AK150" s="684">
        <f>IF(終値!A150="","",IFERROR(4*STDEVP(終値!AN150:BG150)/AVERAGE(終値!AN150:BG150),""))</f>
      </c>
      <c r="AL150" s="684">
        <f>IF(終値!A150="","",IFERROR(4*STDEVP(終値!AO150:BH150)/AVERAGE(終値!AO150:BH150),""))</f>
      </c>
      <c r="AM150" s="684">
        <f>IF(終値!A150="","",IFERROR(4*STDEVP(終値!AP150:BI150)/AVERAGE(終値!AP150:BI150),""))</f>
      </c>
      <c r="AN150" s="684">
        <f>IF(終値!A150="","",IFERROR(4*STDEVP(終値!AQ150:BJ150)/AVERAGE(終値!AQ150:BJ150),""))</f>
      </c>
      <c r="AO150" s="684">
        <f>IF(終値!A150="","",IFERROR(4*STDEVP(終値!AR150:BK150)/AVERAGE(終値!AR150:BK150),""))</f>
      </c>
      <c r="AP150" s="684">
        <f>IF(終値!A150="","",IFERROR(4*STDEVP(終値!AS150:BL150)/AVERAGE(終値!AS150:BL150),""))</f>
      </c>
    </row>
    <row r="151">
      <c r="A151" s="681">
        <f>IF(終値!A151="","",終値!A151)</f>
      </c>
      <c r="B151" s="684">
        <f>IF(終値!A151="","",IFERROR(4*STDEVP(終値!E151:X151)/AVERAGE(終値!E151:X151),""))</f>
      </c>
      <c r="C151" s="684">
        <f>IF(終値!A151="","",IFERROR(4*STDEVP(終値!F151:Y151)/AVERAGE(終値!F151:Y151),""))</f>
      </c>
      <c r="D151" s="684">
        <f>IF(終値!A151="","",IFERROR(4*STDEVP(終値!G151:Z151)/AVERAGE(終値!G151:Z151),""))</f>
      </c>
      <c r="E151" s="684">
        <f>IF(終値!A151="","",IFERROR(4*STDEVP(終値!H151:AA151)/AVERAGE(終値!H151:AA151),""))</f>
      </c>
      <c r="F151" s="684">
        <f>IF(終値!A151="","",IFERROR(4*STDEVP(終値!I151:AB151)/AVERAGE(終値!I151:AB151),""))</f>
      </c>
      <c r="G151" s="684">
        <f>IF(終値!A151="","",IFERROR(4*STDEVP(終値!J151:AC151)/AVERAGE(終値!J151:AC151),""))</f>
      </c>
      <c r="H151" s="684">
        <f>IF(終値!A151="","",IFERROR(4*STDEVP(終値!K151:AD151)/AVERAGE(終値!K151:AD151),""))</f>
      </c>
      <c r="I151" s="684">
        <f>IF(終値!A151="","",IFERROR(4*STDEVP(終値!L151:AE151)/AVERAGE(終値!L151:AE151),""))</f>
      </c>
      <c r="J151" s="684">
        <f>IF(終値!A151="","",IFERROR(4*STDEVP(終値!M151:AF151)/AVERAGE(終値!M151:AF151),""))</f>
      </c>
      <c r="K151" s="684">
        <f>IF(終値!A151="","",IFERROR(4*STDEVP(終値!N151:AG151)/AVERAGE(終値!N151:AG151),""))</f>
      </c>
      <c r="L151" s="684">
        <f>IF(終値!A151="","",IFERROR(4*STDEVP(終値!O151:AH151)/AVERAGE(終値!O151:AH151),""))</f>
      </c>
      <c r="M151" s="684">
        <f>IF(終値!A151="","",IFERROR(4*STDEVP(終値!P151:AI151)/AVERAGE(終値!P151:AI151),""))</f>
      </c>
      <c r="N151" s="684">
        <f>IF(終値!A151="","",IFERROR(4*STDEVP(終値!Q151:AJ151)/AVERAGE(終値!Q151:AJ151),""))</f>
      </c>
      <c r="O151" s="684">
        <f>IF(終値!A151="","",IFERROR(4*STDEVP(終値!R151:AK151)/AVERAGE(終値!R151:AK151),""))</f>
      </c>
      <c r="P151" s="684">
        <f>IF(終値!A151="","",IFERROR(4*STDEVP(終値!S151:AL151)/AVERAGE(終値!S151:AL151),""))</f>
      </c>
      <c r="Q151" s="684">
        <f>IF(終値!A151="","",IFERROR(4*STDEVP(終値!T151:AM151)/AVERAGE(終値!T151:AM151),""))</f>
      </c>
      <c r="R151" s="684">
        <f>IF(終値!A151="","",IFERROR(4*STDEVP(終値!U151:AN151)/AVERAGE(終値!U151:AN151),""))</f>
      </c>
      <c r="S151" s="684">
        <f>IF(終値!A151="","",IFERROR(4*STDEVP(終値!V151:AO151)/AVERAGE(終値!V151:AO151),""))</f>
      </c>
      <c r="T151" s="684">
        <f>IF(終値!A151="","",IFERROR(4*STDEVP(終値!W151:AP151)/AVERAGE(終値!W151:AP151),""))</f>
      </c>
      <c r="U151" s="684">
        <f>IF(終値!A151="","",IFERROR(4*STDEVP(終値!X151:AQ151)/AVERAGE(終値!X151:AQ151),""))</f>
      </c>
      <c r="V151" s="684">
        <f>IF(終値!A151="","",IFERROR(4*STDEVP(終値!Y151:AR151)/AVERAGE(終値!Y151:AR151),""))</f>
      </c>
      <c r="W151" s="684">
        <f>IF(終値!A151="","",IFERROR(4*STDEVP(終値!Z151:AS151)/AVERAGE(終値!Z151:AS151),""))</f>
      </c>
      <c r="X151" s="684">
        <f>IF(終値!A151="","",IFERROR(4*STDEVP(終値!AA151:AT151)/AVERAGE(終値!AA151:AT151),""))</f>
      </c>
      <c r="Y151" s="684">
        <f>IF(終値!A151="","",IFERROR(4*STDEVP(終値!AB151:AU151)/AVERAGE(終値!AB151:AU151),""))</f>
      </c>
      <c r="Z151" s="684">
        <f>IF(終値!A151="","",IFERROR(4*STDEVP(終値!AC151:AV151)/AVERAGE(終値!AC151:AV151),""))</f>
      </c>
      <c r="AA151" s="684">
        <f>IF(終値!A151="","",IFERROR(4*STDEVP(終値!AD151:AW151)/AVERAGE(終値!AD151:AW151),""))</f>
      </c>
      <c r="AB151" s="684">
        <f>IF(終値!A151="","",IFERROR(4*STDEVP(終値!AE151:AX151)/AVERAGE(終値!AE151:AX151),""))</f>
      </c>
      <c r="AC151" s="684">
        <f>IF(終値!A151="","",IFERROR(4*STDEVP(終値!AF151:AY151)/AVERAGE(終値!AF151:AY151),""))</f>
      </c>
      <c r="AD151" s="684">
        <f>IF(終値!A151="","",IFERROR(4*STDEVP(終値!AG151:AZ151)/AVERAGE(終値!AG151:AZ151),""))</f>
      </c>
      <c r="AE151" s="684">
        <f>IF(終値!A151="","",IFERROR(4*STDEVP(終値!AH151:BA151)/AVERAGE(終値!AH151:BA151),""))</f>
      </c>
      <c r="AF151" s="684">
        <f>IF(終値!A151="","",IFERROR(4*STDEVP(終値!AI151:BB151)/AVERAGE(終値!AI151:BB151),""))</f>
      </c>
      <c r="AG151" s="684">
        <f>IF(終値!A151="","",IFERROR(4*STDEVP(終値!AJ151:BC151)/AVERAGE(終値!AJ151:BC151),""))</f>
      </c>
      <c r="AH151" s="684">
        <f>IF(終値!A151="","",IFERROR(4*STDEVP(終値!AK151:BD151)/AVERAGE(終値!AK151:BD151),""))</f>
      </c>
      <c r="AI151" s="684">
        <f>IF(終値!A151="","",IFERROR(4*STDEVP(終値!AL151:BE151)/AVERAGE(終値!AL151:BE151),""))</f>
      </c>
      <c r="AJ151" s="684">
        <f>IF(終値!A151="","",IFERROR(4*STDEVP(終値!AM151:BF151)/AVERAGE(終値!AM151:BF151),""))</f>
      </c>
      <c r="AK151" s="684">
        <f>IF(終値!A151="","",IFERROR(4*STDEVP(終値!AN151:BG151)/AVERAGE(終値!AN151:BG151),""))</f>
      </c>
      <c r="AL151" s="684">
        <f>IF(終値!A151="","",IFERROR(4*STDEVP(終値!AO151:BH151)/AVERAGE(終値!AO151:BH151),""))</f>
      </c>
      <c r="AM151" s="684">
        <f>IF(終値!A151="","",IFERROR(4*STDEVP(終値!AP151:BI151)/AVERAGE(終値!AP151:BI151),""))</f>
      </c>
      <c r="AN151" s="684">
        <f>IF(終値!A151="","",IFERROR(4*STDEVP(終値!AQ151:BJ151)/AVERAGE(終値!AQ151:BJ151),""))</f>
      </c>
      <c r="AO151" s="684">
        <f>IF(終値!A151="","",IFERROR(4*STDEVP(終値!AR151:BK151)/AVERAGE(終値!AR151:BK151),""))</f>
      </c>
      <c r="AP151" s="684">
        <f>IF(終値!A151="","",IFERROR(4*STDEVP(終値!AS151:BL151)/AVERAGE(終値!AS151:BL151),""))</f>
      </c>
    </row>
    <row r="152">
      <c r="A152" s="681">
        <f>IF(終値!A152="","",終値!A152)</f>
      </c>
      <c r="B152" s="684">
        <f>IF(終値!A152="","",IFERROR(4*STDEVP(終値!E152:X152)/AVERAGE(終値!E152:X152),""))</f>
      </c>
      <c r="C152" s="684">
        <f>IF(終値!A152="","",IFERROR(4*STDEVP(終値!F152:Y152)/AVERAGE(終値!F152:Y152),""))</f>
      </c>
      <c r="D152" s="684">
        <f>IF(終値!A152="","",IFERROR(4*STDEVP(終値!G152:Z152)/AVERAGE(終値!G152:Z152),""))</f>
      </c>
      <c r="E152" s="684">
        <f>IF(終値!A152="","",IFERROR(4*STDEVP(終値!H152:AA152)/AVERAGE(終値!H152:AA152),""))</f>
      </c>
      <c r="F152" s="684">
        <f>IF(終値!A152="","",IFERROR(4*STDEVP(終値!I152:AB152)/AVERAGE(終値!I152:AB152),""))</f>
      </c>
      <c r="G152" s="684">
        <f>IF(終値!A152="","",IFERROR(4*STDEVP(終値!J152:AC152)/AVERAGE(終値!J152:AC152),""))</f>
      </c>
      <c r="H152" s="684">
        <f>IF(終値!A152="","",IFERROR(4*STDEVP(終値!K152:AD152)/AVERAGE(終値!K152:AD152),""))</f>
      </c>
      <c r="I152" s="684">
        <f>IF(終値!A152="","",IFERROR(4*STDEVP(終値!L152:AE152)/AVERAGE(終値!L152:AE152),""))</f>
      </c>
      <c r="J152" s="684">
        <f>IF(終値!A152="","",IFERROR(4*STDEVP(終値!M152:AF152)/AVERAGE(終値!M152:AF152),""))</f>
      </c>
      <c r="K152" s="684">
        <f>IF(終値!A152="","",IFERROR(4*STDEVP(終値!N152:AG152)/AVERAGE(終値!N152:AG152),""))</f>
      </c>
      <c r="L152" s="684">
        <f>IF(終値!A152="","",IFERROR(4*STDEVP(終値!O152:AH152)/AVERAGE(終値!O152:AH152),""))</f>
      </c>
      <c r="M152" s="684">
        <f>IF(終値!A152="","",IFERROR(4*STDEVP(終値!P152:AI152)/AVERAGE(終値!P152:AI152),""))</f>
      </c>
      <c r="N152" s="684">
        <f>IF(終値!A152="","",IFERROR(4*STDEVP(終値!Q152:AJ152)/AVERAGE(終値!Q152:AJ152),""))</f>
      </c>
      <c r="O152" s="684">
        <f>IF(終値!A152="","",IFERROR(4*STDEVP(終値!R152:AK152)/AVERAGE(終値!R152:AK152),""))</f>
      </c>
      <c r="P152" s="684">
        <f>IF(終値!A152="","",IFERROR(4*STDEVP(終値!S152:AL152)/AVERAGE(終値!S152:AL152),""))</f>
      </c>
      <c r="Q152" s="684">
        <f>IF(終値!A152="","",IFERROR(4*STDEVP(終値!T152:AM152)/AVERAGE(終値!T152:AM152),""))</f>
      </c>
      <c r="R152" s="684">
        <f>IF(終値!A152="","",IFERROR(4*STDEVP(終値!U152:AN152)/AVERAGE(終値!U152:AN152),""))</f>
      </c>
      <c r="S152" s="684">
        <f>IF(終値!A152="","",IFERROR(4*STDEVP(終値!V152:AO152)/AVERAGE(終値!V152:AO152),""))</f>
      </c>
      <c r="T152" s="684">
        <f>IF(終値!A152="","",IFERROR(4*STDEVP(終値!W152:AP152)/AVERAGE(終値!W152:AP152),""))</f>
      </c>
      <c r="U152" s="684">
        <f>IF(終値!A152="","",IFERROR(4*STDEVP(終値!X152:AQ152)/AVERAGE(終値!X152:AQ152),""))</f>
      </c>
      <c r="V152" s="684">
        <f>IF(終値!A152="","",IFERROR(4*STDEVP(終値!Y152:AR152)/AVERAGE(終値!Y152:AR152),""))</f>
      </c>
      <c r="W152" s="684">
        <f>IF(終値!A152="","",IFERROR(4*STDEVP(終値!Z152:AS152)/AVERAGE(終値!Z152:AS152),""))</f>
      </c>
      <c r="X152" s="684">
        <f>IF(終値!A152="","",IFERROR(4*STDEVP(終値!AA152:AT152)/AVERAGE(終値!AA152:AT152),""))</f>
      </c>
      <c r="Y152" s="684">
        <f>IF(終値!A152="","",IFERROR(4*STDEVP(終値!AB152:AU152)/AVERAGE(終値!AB152:AU152),""))</f>
      </c>
      <c r="Z152" s="684">
        <f>IF(終値!A152="","",IFERROR(4*STDEVP(終値!AC152:AV152)/AVERAGE(終値!AC152:AV152),""))</f>
      </c>
      <c r="AA152" s="684">
        <f>IF(終値!A152="","",IFERROR(4*STDEVP(終値!AD152:AW152)/AVERAGE(終値!AD152:AW152),""))</f>
      </c>
      <c r="AB152" s="684">
        <f>IF(終値!A152="","",IFERROR(4*STDEVP(終値!AE152:AX152)/AVERAGE(終値!AE152:AX152),""))</f>
      </c>
      <c r="AC152" s="684">
        <f>IF(終値!A152="","",IFERROR(4*STDEVP(終値!AF152:AY152)/AVERAGE(終値!AF152:AY152),""))</f>
      </c>
      <c r="AD152" s="684">
        <f>IF(終値!A152="","",IFERROR(4*STDEVP(終値!AG152:AZ152)/AVERAGE(終値!AG152:AZ152),""))</f>
      </c>
      <c r="AE152" s="684">
        <f>IF(終値!A152="","",IFERROR(4*STDEVP(終値!AH152:BA152)/AVERAGE(終値!AH152:BA152),""))</f>
      </c>
      <c r="AF152" s="684">
        <f>IF(終値!A152="","",IFERROR(4*STDEVP(終値!AI152:BB152)/AVERAGE(終値!AI152:BB152),""))</f>
      </c>
      <c r="AG152" s="684">
        <f>IF(終値!A152="","",IFERROR(4*STDEVP(終値!AJ152:BC152)/AVERAGE(終値!AJ152:BC152),""))</f>
      </c>
      <c r="AH152" s="684">
        <f>IF(終値!A152="","",IFERROR(4*STDEVP(終値!AK152:BD152)/AVERAGE(終値!AK152:BD152),""))</f>
      </c>
      <c r="AI152" s="684">
        <f>IF(終値!A152="","",IFERROR(4*STDEVP(終値!AL152:BE152)/AVERAGE(終値!AL152:BE152),""))</f>
      </c>
      <c r="AJ152" s="684">
        <f>IF(終値!A152="","",IFERROR(4*STDEVP(終値!AM152:BF152)/AVERAGE(終値!AM152:BF152),""))</f>
      </c>
      <c r="AK152" s="684">
        <f>IF(終値!A152="","",IFERROR(4*STDEVP(終値!AN152:BG152)/AVERAGE(終値!AN152:BG152),""))</f>
      </c>
      <c r="AL152" s="684">
        <f>IF(終値!A152="","",IFERROR(4*STDEVP(終値!AO152:BH152)/AVERAGE(終値!AO152:BH152),""))</f>
      </c>
      <c r="AM152" s="684">
        <f>IF(終値!A152="","",IFERROR(4*STDEVP(終値!AP152:BI152)/AVERAGE(終値!AP152:BI152),""))</f>
      </c>
      <c r="AN152" s="684">
        <f>IF(終値!A152="","",IFERROR(4*STDEVP(終値!AQ152:BJ152)/AVERAGE(終値!AQ152:BJ152),""))</f>
      </c>
      <c r="AO152" s="684">
        <f>IF(終値!A152="","",IFERROR(4*STDEVP(終値!AR152:BK152)/AVERAGE(終値!AR152:BK152),""))</f>
      </c>
      <c r="AP152" s="684">
        <f>IF(終値!A152="","",IFERROR(4*STDEVP(終値!AS152:BL152)/AVERAGE(終値!AS152:BL152),""))</f>
      </c>
    </row>
    <row r="153">
      <c r="A153" s="681">
        <f>IF(終値!A153="","",終値!A153)</f>
      </c>
      <c r="B153" s="684">
        <f>IF(終値!A153="","",IFERROR(4*STDEVP(終値!E153:X153)/AVERAGE(終値!E153:X153),""))</f>
      </c>
      <c r="C153" s="684">
        <f>IF(終値!A153="","",IFERROR(4*STDEVP(終値!F153:Y153)/AVERAGE(終値!F153:Y153),""))</f>
      </c>
      <c r="D153" s="684">
        <f>IF(終値!A153="","",IFERROR(4*STDEVP(終値!G153:Z153)/AVERAGE(終値!G153:Z153),""))</f>
      </c>
      <c r="E153" s="684">
        <f>IF(終値!A153="","",IFERROR(4*STDEVP(終値!H153:AA153)/AVERAGE(終値!H153:AA153),""))</f>
      </c>
      <c r="F153" s="684">
        <f>IF(終値!A153="","",IFERROR(4*STDEVP(終値!I153:AB153)/AVERAGE(終値!I153:AB153),""))</f>
      </c>
      <c r="G153" s="684">
        <f>IF(終値!A153="","",IFERROR(4*STDEVP(終値!J153:AC153)/AVERAGE(終値!J153:AC153),""))</f>
      </c>
      <c r="H153" s="684">
        <f>IF(終値!A153="","",IFERROR(4*STDEVP(終値!K153:AD153)/AVERAGE(終値!K153:AD153),""))</f>
      </c>
      <c r="I153" s="684">
        <f>IF(終値!A153="","",IFERROR(4*STDEVP(終値!L153:AE153)/AVERAGE(終値!L153:AE153),""))</f>
      </c>
      <c r="J153" s="684">
        <f>IF(終値!A153="","",IFERROR(4*STDEVP(終値!M153:AF153)/AVERAGE(終値!M153:AF153),""))</f>
      </c>
      <c r="K153" s="684">
        <f>IF(終値!A153="","",IFERROR(4*STDEVP(終値!N153:AG153)/AVERAGE(終値!N153:AG153),""))</f>
      </c>
      <c r="L153" s="684">
        <f>IF(終値!A153="","",IFERROR(4*STDEVP(終値!O153:AH153)/AVERAGE(終値!O153:AH153),""))</f>
      </c>
      <c r="M153" s="684">
        <f>IF(終値!A153="","",IFERROR(4*STDEVP(終値!P153:AI153)/AVERAGE(終値!P153:AI153),""))</f>
      </c>
      <c r="N153" s="684">
        <f>IF(終値!A153="","",IFERROR(4*STDEVP(終値!Q153:AJ153)/AVERAGE(終値!Q153:AJ153),""))</f>
      </c>
      <c r="O153" s="684">
        <f>IF(終値!A153="","",IFERROR(4*STDEVP(終値!R153:AK153)/AVERAGE(終値!R153:AK153),""))</f>
      </c>
      <c r="P153" s="684">
        <f>IF(終値!A153="","",IFERROR(4*STDEVP(終値!S153:AL153)/AVERAGE(終値!S153:AL153),""))</f>
      </c>
      <c r="Q153" s="684">
        <f>IF(終値!A153="","",IFERROR(4*STDEVP(終値!T153:AM153)/AVERAGE(終値!T153:AM153),""))</f>
      </c>
      <c r="R153" s="684">
        <f>IF(終値!A153="","",IFERROR(4*STDEVP(終値!U153:AN153)/AVERAGE(終値!U153:AN153),""))</f>
      </c>
      <c r="S153" s="684">
        <f>IF(終値!A153="","",IFERROR(4*STDEVP(終値!V153:AO153)/AVERAGE(終値!V153:AO153),""))</f>
      </c>
      <c r="T153" s="684">
        <f>IF(終値!A153="","",IFERROR(4*STDEVP(終値!W153:AP153)/AVERAGE(終値!W153:AP153),""))</f>
      </c>
      <c r="U153" s="684">
        <f>IF(終値!A153="","",IFERROR(4*STDEVP(終値!X153:AQ153)/AVERAGE(終値!X153:AQ153),""))</f>
      </c>
      <c r="V153" s="684">
        <f>IF(終値!A153="","",IFERROR(4*STDEVP(終値!Y153:AR153)/AVERAGE(終値!Y153:AR153),""))</f>
      </c>
      <c r="W153" s="684">
        <f>IF(終値!A153="","",IFERROR(4*STDEVP(終値!Z153:AS153)/AVERAGE(終値!Z153:AS153),""))</f>
      </c>
      <c r="X153" s="684">
        <f>IF(終値!A153="","",IFERROR(4*STDEVP(終値!AA153:AT153)/AVERAGE(終値!AA153:AT153),""))</f>
      </c>
      <c r="Y153" s="684">
        <f>IF(終値!A153="","",IFERROR(4*STDEVP(終値!AB153:AU153)/AVERAGE(終値!AB153:AU153),""))</f>
      </c>
      <c r="Z153" s="684">
        <f>IF(終値!A153="","",IFERROR(4*STDEVP(終値!AC153:AV153)/AVERAGE(終値!AC153:AV153),""))</f>
      </c>
      <c r="AA153" s="684">
        <f>IF(終値!A153="","",IFERROR(4*STDEVP(終値!AD153:AW153)/AVERAGE(終値!AD153:AW153),""))</f>
      </c>
      <c r="AB153" s="684">
        <f>IF(終値!A153="","",IFERROR(4*STDEVP(終値!AE153:AX153)/AVERAGE(終値!AE153:AX153),""))</f>
      </c>
      <c r="AC153" s="684">
        <f>IF(終値!A153="","",IFERROR(4*STDEVP(終値!AF153:AY153)/AVERAGE(終値!AF153:AY153),""))</f>
      </c>
      <c r="AD153" s="684">
        <f>IF(終値!A153="","",IFERROR(4*STDEVP(終値!AG153:AZ153)/AVERAGE(終値!AG153:AZ153),""))</f>
      </c>
      <c r="AE153" s="684">
        <f>IF(終値!A153="","",IFERROR(4*STDEVP(終値!AH153:BA153)/AVERAGE(終値!AH153:BA153),""))</f>
      </c>
      <c r="AF153" s="684">
        <f>IF(終値!A153="","",IFERROR(4*STDEVP(終値!AI153:BB153)/AVERAGE(終値!AI153:BB153),""))</f>
      </c>
      <c r="AG153" s="684">
        <f>IF(終値!A153="","",IFERROR(4*STDEVP(終値!AJ153:BC153)/AVERAGE(終値!AJ153:BC153),""))</f>
      </c>
      <c r="AH153" s="684">
        <f>IF(終値!A153="","",IFERROR(4*STDEVP(終値!AK153:BD153)/AVERAGE(終値!AK153:BD153),""))</f>
      </c>
      <c r="AI153" s="684">
        <f>IF(終値!A153="","",IFERROR(4*STDEVP(終値!AL153:BE153)/AVERAGE(終値!AL153:BE153),""))</f>
      </c>
      <c r="AJ153" s="684">
        <f>IF(終値!A153="","",IFERROR(4*STDEVP(終値!AM153:BF153)/AVERAGE(終値!AM153:BF153),""))</f>
      </c>
      <c r="AK153" s="684">
        <f>IF(終値!A153="","",IFERROR(4*STDEVP(終値!AN153:BG153)/AVERAGE(終値!AN153:BG153),""))</f>
      </c>
      <c r="AL153" s="684">
        <f>IF(終値!A153="","",IFERROR(4*STDEVP(終値!AO153:BH153)/AVERAGE(終値!AO153:BH153),""))</f>
      </c>
      <c r="AM153" s="684">
        <f>IF(終値!A153="","",IFERROR(4*STDEVP(終値!AP153:BI153)/AVERAGE(終値!AP153:BI153),""))</f>
      </c>
      <c r="AN153" s="684">
        <f>IF(終値!A153="","",IFERROR(4*STDEVP(終値!AQ153:BJ153)/AVERAGE(終値!AQ153:BJ153),""))</f>
      </c>
      <c r="AO153" s="684">
        <f>IF(終値!A153="","",IFERROR(4*STDEVP(終値!AR153:BK153)/AVERAGE(終値!AR153:BK153),""))</f>
      </c>
      <c r="AP153" s="684">
        <f>IF(終値!A153="","",IFERROR(4*STDEVP(終値!AS153:BL153)/AVERAGE(終値!AS153:BL153),""))</f>
      </c>
    </row>
    <row r="154">
      <c r="A154" s="681">
        <f>IF(終値!A154="","",終値!A154)</f>
      </c>
      <c r="B154" s="684">
        <f>IF(終値!A154="","",IFERROR(4*STDEVP(終値!E154:X154)/AVERAGE(終値!E154:X154),""))</f>
      </c>
      <c r="C154" s="684">
        <f>IF(終値!A154="","",IFERROR(4*STDEVP(終値!F154:Y154)/AVERAGE(終値!F154:Y154),""))</f>
      </c>
      <c r="D154" s="684">
        <f>IF(終値!A154="","",IFERROR(4*STDEVP(終値!G154:Z154)/AVERAGE(終値!G154:Z154),""))</f>
      </c>
      <c r="E154" s="684">
        <f>IF(終値!A154="","",IFERROR(4*STDEVP(終値!H154:AA154)/AVERAGE(終値!H154:AA154),""))</f>
      </c>
      <c r="F154" s="684">
        <f>IF(終値!A154="","",IFERROR(4*STDEVP(終値!I154:AB154)/AVERAGE(終値!I154:AB154),""))</f>
      </c>
      <c r="G154" s="684">
        <f>IF(終値!A154="","",IFERROR(4*STDEVP(終値!J154:AC154)/AVERAGE(終値!J154:AC154),""))</f>
      </c>
      <c r="H154" s="684">
        <f>IF(終値!A154="","",IFERROR(4*STDEVP(終値!K154:AD154)/AVERAGE(終値!K154:AD154),""))</f>
      </c>
      <c r="I154" s="684">
        <f>IF(終値!A154="","",IFERROR(4*STDEVP(終値!L154:AE154)/AVERAGE(終値!L154:AE154),""))</f>
      </c>
      <c r="J154" s="684">
        <f>IF(終値!A154="","",IFERROR(4*STDEVP(終値!M154:AF154)/AVERAGE(終値!M154:AF154),""))</f>
      </c>
      <c r="K154" s="684">
        <f>IF(終値!A154="","",IFERROR(4*STDEVP(終値!N154:AG154)/AVERAGE(終値!N154:AG154),""))</f>
      </c>
      <c r="L154" s="684">
        <f>IF(終値!A154="","",IFERROR(4*STDEVP(終値!O154:AH154)/AVERAGE(終値!O154:AH154),""))</f>
      </c>
      <c r="M154" s="684">
        <f>IF(終値!A154="","",IFERROR(4*STDEVP(終値!P154:AI154)/AVERAGE(終値!P154:AI154),""))</f>
      </c>
      <c r="N154" s="684">
        <f>IF(終値!A154="","",IFERROR(4*STDEVP(終値!Q154:AJ154)/AVERAGE(終値!Q154:AJ154),""))</f>
      </c>
      <c r="O154" s="684">
        <f>IF(終値!A154="","",IFERROR(4*STDEVP(終値!R154:AK154)/AVERAGE(終値!R154:AK154),""))</f>
      </c>
      <c r="P154" s="684">
        <f>IF(終値!A154="","",IFERROR(4*STDEVP(終値!S154:AL154)/AVERAGE(終値!S154:AL154),""))</f>
      </c>
      <c r="Q154" s="684">
        <f>IF(終値!A154="","",IFERROR(4*STDEVP(終値!T154:AM154)/AVERAGE(終値!T154:AM154),""))</f>
      </c>
      <c r="R154" s="684">
        <f>IF(終値!A154="","",IFERROR(4*STDEVP(終値!U154:AN154)/AVERAGE(終値!U154:AN154),""))</f>
      </c>
      <c r="S154" s="684">
        <f>IF(終値!A154="","",IFERROR(4*STDEVP(終値!V154:AO154)/AVERAGE(終値!V154:AO154),""))</f>
      </c>
      <c r="T154" s="684">
        <f>IF(終値!A154="","",IFERROR(4*STDEVP(終値!W154:AP154)/AVERAGE(終値!W154:AP154),""))</f>
      </c>
      <c r="U154" s="684">
        <f>IF(終値!A154="","",IFERROR(4*STDEVP(終値!X154:AQ154)/AVERAGE(終値!X154:AQ154),""))</f>
      </c>
      <c r="V154" s="684">
        <f>IF(終値!A154="","",IFERROR(4*STDEVP(終値!Y154:AR154)/AVERAGE(終値!Y154:AR154),""))</f>
      </c>
      <c r="W154" s="684">
        <f>IF(終値!A154="","",IFERROR(4*STDEVP(終値!Z154:AS154)/AVERAGE(終値!Z154:AS154),""))</f>
      </c>
      <c r="X154" s="684">
        <f>IF(終値!A154="","",IFERROR(4*STDEVP(終値!AA154:AT154)/AVERAGE(終値!AA154:AT154),""))</f>
      </c>
      <c r="Y154" s="684">
        <f>IF(終値!A154="","",IFERROR(4*STDEVP(終値!AB154:AU154)/AVERAGE(終値!AB154:AU154),""))</f>
      </c>
      <c r="Z154" s="684">
        <f>IF(終値!A154="","",IFERROR(4*STDEVP(終値!AC154:AV154)/AVERAGE(終値!AC154:AV154),""))</f>
      </c>
      <c r="AA154" s="684">
        <f>IF(終値!A154="","",IFERROR(4*STDEVP(終値!AD154:AW154)/AVERAGE(終値!AD154:AW154),""))</f>
      </c>
      <c r="AB154" s="684">
        <f>IF(終値!A154="","",IFERROR(4*STDEVP(終値!AE154:AX154)/AVERAGE(終値!AE154:AX154),""))</f>
      </c>
      <c r="AC154" s="684">
        <f>IF(終値!A154="","",IFERROR(4*STDEVP(終値!AF154:AY154)/AVERAGE(終値!AF154:AY154),""))</f>
      </c>
      <c r="AD154" s="684">
        <f>IF(終値!A154="","",IFERROR(4*STDEVP(終値!AG154:AZ154)/AVERAGE(終値!AG154:AZ154),""))</f>
      </c>
      <c r="AE154" s="684">
        <f>IF(終値!A154="","",IFERROR(4*STDEVP(終値!AH154:BA154)/AVERAGE(終値!AH154:BA154),""))</f>
      </c>
      <c r="AF154" s="684">
        <f>IF(終値!A154="","",IFERROR(4*STDEVP(終値!AI154:BB154)/AVERAGE(終値!AI154:BB154),""))</f>
      </c>
      <c r="AG154" s="684">
        <f>IF(終値!A154="","",IFERROR(4*STDEVP(終値!AJ154:BC154)/AVERAGE(終値!AJ154:BC154),""))</f>
      </c>
      <c r="AH154" s="684">
        <f>IF(終値!A154="","",IFERROR(4*STDEVP(終値!AK154:BD154)/AVERAGE(終値!AK154:BD154),""))</f>
      </c>
      <c r="AI154" s="684">
        <f>IF(終値!A154="","",IFERROR(4*STDEVP(終値!AL154:BE154)/AVERAGE(終値!AL154:BE154),""))</f>
      </c>
      <c r="AJ154" s="684">
        <f>IF(終値!A154="","",IFERROR(4*STDEVP(終値!AM154:BF154)/AVERAGE(終値!AM154:BF154),""))</f>
      </c>
      <c r="AK154" s="684">
        <f>IF(終値!A154="","",IFERROR(4*STDEVP(終値!AN154:BG154)/AVERAGE(終値!AN154:BG154),""))</f>
      </c>
      <c r="AL154" s="684">
        <f>IF(終値!A154="","",IFERROR(4*STDEVP(終値!AO154:BH154)/AVERAGE(終値!AO154:BH154),""))</f>
      </c>
      <c r="AM154" s="684">
        <f>IF(終値!A154="","",IFERROR(4*STDEVP(終値!AP154:BI154)/AVERAGE(終値!AP154:BI154),""))</f>
      </c>
      <c r="AN154" s="684">
        <f>IF(終値!A154="","",IFERROR(4*STDEVP(終値!AQ154:BJ154)/AVERAGE(終値!AQ154:BJ154),""))</f>
      </c>
      <c r="AO154" s="684">
        <f>IF(終値!A154="","",IFERROR(4*STDEVP(終値!AR154:BK154)/AVERAGE(終値!AR154:BK154),""))</f>
      </c>
      <c r="AP154" s="684">
        <f>IF(終値!A154="","",IFERROR(4*STDEVP(終値!AS154:BL154)/AVERAGE(終値!AS154:BL154),""))</f>
      </c>
    </row>
    <row r="155">
      <c r="A155" s="681">
        <f>IF(終値!A155="","",終値!A155)</f>
      </c>
      <c r="B155" s="684">
        <f>IF(終値!A155="","",IFERROR(4*STDEVP(終値!E155:X155)/AVERAGE(終値!E155:X155),""))</f>
      </c>
      <c r="C155" s="684">
        <f>IF(終値!A155="","",IFERROR(4*STDEVP(終値!F155:Y155)/AVERAGE(終値!F155:Y155),""))</f>
      </c>
      <c r="D155" s="684">
        <f>IF(終値!A155="","",IFERROR(4*STDEVP(終値!G155:Z155)/AVERAGE(終値!G155:Z155),""))</f>
      </c>
      <c r="E155" s="684">
        <f>IF(終値!A155="","",IFERROR(4*STDEVP(終値!H155:AA155)/AVERAGE(終値!H155:AA155),""))</f>
      </c>
      <c r="F155" s="684">
        <f>IF(終値!A155="","",IFERROR(4*STDEVP(終値!I155:AB155)/AVERAGE(終値!I155:AB155),""))</f>
      </c>
      <c r="G155" s="684">
        <f>IF(終値!A155="","",IFERROR(4*STDEVP(終値!J155:AC155)/AVERAGE(終値!J155:AC155),""))</f>
      </c>
      <c r="H155" s="684">
        <f>IF(終値!A155="","",IFERROR(4*STDEVP(終値!K155:AD155)/AVERAGE(終値!K155:AD155),""))</f>
      </c>
      <c r="I155" s="684">
        <f>IF(終値!A155="","",IFERROR(4*STDEVP(終値!L155:AE155)/AVERAGE(終値!L155:AE155),""))</f>
      </c>
      <c r="J155" s="684">
        <f>IF(終値!A155="","",IFERROR(4*STDEVP(終値!M155:AF155)/AVERAGE(終値!M155:AF155),""))</f>
      </c>
      <c r="K155" s="684">
        <f>IF(終値!A155="","",IFERROR(4*STDEVP(終値!N155:AG155)/AVERAGE(終値!N155:AG155),""))</f>
      </c>
      <c r="L155" s="684">
        <f>IF(終値!A155="","",IFERROR(4*STDEVP(終値!O155:AH155)/AVERAGE(終値!O155:AH155),""))</f>
      </c>
      <c r="M155" s="684">
        <f>IF(終値!A155="","",IFERROR(4*STDEVP(終値!P155:AI155)/AVERAGE(終値!P155:AI155),""))</f>
      </c>
      <c r="N155" s="684">
        <f>IF(終値!A155="","",IFERROR(4*STDEVP(終値!Q155:AJ155)/AVERAGE(終値!Q155:AJ155),""))</f>
      </c>
      <c r="O155" s="684">
        <f>IF(終値!A155="","",IFERROR(4*STDEVP(終値!R155:AK155)/AVERAGE(終値!R155:AK155),""))</f>
      </c>
      <c r="P155" s="684">
        <f>IF(終値!A155="","",IFERROR(4*STDEVP(終値!S155:AL155)/AVERAGE(終値!S155:AL155),""))</f>
      </c>
      <c r="Q155" s="684">
        <f>IF(終値!A155="","",IFERROR(4*STDEVP(終値!T155:AM155)/AVERAGE(終値!T155:AM155),""))</f>
      </c>
      <c r="R155" s="684">
        <f>IF(終値!A155="","",IFERROR(4*STDEVP(終値!U155:AN155)/AVERAGE(終値!U155:AN155),""))</f>
      </c>
      <c r="S155" s="684">
        <f>IF(終値!A155="","",IFERROR(4*STDEVP(終値!V155:AO155)/AVERAGE(終値!V155:AO155),""))</f>
      </c>
      <c r="T155" s="684">
        <f>IF(終値!A155="","",IFERROR(4*STDEVP(終値!W155:AP155)/AVERAGE(終値!W155:AP155),""))</f>
      </c>
      <c r="U155" s="684">
        <f>IF(終値!A155="","",IFERROR(4*STDEVP(終値!X155:AQ155)/AVERAGE(終値!X155:AQ155),""))</f>
      </c>
      <c r="V155" s="684">
        <f>IF(終値!A155="","",IFERROR(4*STDEVP(終値!Y155:AR155)/AVERAGE(終値!Y155:AR155),""))</f>
      </c>
      <c r="W155" s="684">
        <f>IF(終値!A155="","",IFERROR(4*STDEVP(終値!Z155:AS155)/AVERAGE(終値!Z155:AS155),""))</f>
      </c>
      <c r="X155" s="684">
        <f>IF(終値!A155="","",IFERROR(4*STDEVP(終値!AA155:AT155)/AVERAGE(終値!AA155:AT155),""))</f>
      </c>
      <c r="Y155" s="684">
        <f>IF(終値!A155="","",IFERROR(4*STDEVP(終値!AB155:AU155)/AVERAGE(終値!AB155:AU155),""))</f>
      </c>
      <c r="Z155" s="684">
        <f>IF(終値!A155="","",IFERROR(4*STDEVP(終値!AC155:AV155)/AVERAGE(終値!AC155:AV155),""))</f>
      </c>
      <c r="AA155" s="684">
        <f>IF(終値!A155="","",IFERROR(4*STDEVP(終値!AD155:AW155)/AVERAGE(終値!AD155:AW155),""))</f>
      </c>
      <c r="AB155" s="684">
        <f>IF(終値!A155="","",IFERROR(4*STDEVP(終値!AE155:AX155)/AVERAGE(終値!AE155:AX155),""))</f>
      </c>
      <c r="AC155" s="684">
        <f>IF(終値!A155="","",IFERROR(4*STDEVP(終値!AF155:AY155)/AVERAGE(終値!AF155:AY155),""))</f>
      </c>
      <c r="AD155" s="684">
        <f>IF(終値!A155="","",IFERROR(4*STDEVP(終値!AG155:AZ155)/AVERAGE(終値!AG155:AZ155),""))</f>
      </c>
      <c r="AE155" s="684">
        <f>IF(終値!A155="","",IFERROR(4*STDEVP(終値!AH155:BA155)/AVERAGE(終値!AH155:BA155),""))</f>
      </c>
      <c r="AF155" s="684">
        <f>IF(終値!A155="","",IFERROR(4*STDEVP(終値!AI155:BB155)/AVERAGE(終値!AI155:BB155),""))</f>
      </c>
      <c r="AG155" s="684">
        <f>IF(終値!A155="","",IFERROR(4*STDEVP(終値!AJ155:BC155)/AVERAGE(終値!AJ155:BC155),""))</f>
      </c>
      <c r="AH155" s="684">
        <f>IF(終値!A155="","",IFERROR(4*STDEVP(終値!AK155:BD155)/AVERAGE(終値!AK155:BD155),""))</f>
      </c>
      <c r="AI155" s="684">
        <f>IF(終値!A155="","",IFERROR(4*STDEVP(終値!AL155:BE155)/AVERAGE(終値!AL155:BE155),""))</f>
      </c>
      <c r="AJ155" s="684">
        <f>IF(終値!A155="","",IFERROR(4*STDEVP(終値!AM155:BF155)/AVERAGE(終値!AM155:BF155),""))</f>
      </c>
      <c r="AK155" s="684">
        <f>IF(終値!A155="","",IFERROR(4*STDEVP(終値!AN155:BG155)/AVERAGE(終値!AN155:BG155),""))</f>
      </c>
      <c r="AL155" s="684">
        <f>IF(終値!A155="","",IFERROR(4*STDEVP(終値!AO155:BH155)/AVERAGE(終値!AO155:BH155),""))</f>
      </c>
      <c r="AM155" s="684">
        <f>IF(終値!A155="","",IFERROR(4*STDEVP(終値!AP155:BI155)/AVERAGE(終値!AP155:BI155),""))</f>
      </c>
      <c r="AN155" s="684">
        <f>IF(終値!A155="","",IFERROR(4*STDEVP(終値!AQ155:BJ155)/AVERAGE(終値!AQ155:BJ155),""))</f>
      </c>
      <c r="AO155" s="684">
        <f>IF(終値!A155="","",IFERROR(4*STDEVP(終値!AR155:BK155)/AVERAGE(終値!AR155:BK155),""))</f>
      </c>
      <c r="AP155" s="684">
        <f>IF(終値!A155="","",IFERROR(4*STDEVP(終値!AS155:BL155)/AVERAGE(終値!AS155:BL155),""))</f>
      </c>
    </row>
    <row r="156">
      <c r="A156" s="681">
        <f>IF(終値!A156="","",終値!A156)</f>
      </c>
      <c r="B156" s="684">
        <f>IF(終値!A156="","",IFERROR(4*STDEVP(終値!E156:X156)/AVERAGE(終値!E156:X156),""))</f>
      </c>
      <c r="C156" s="684">
        <f>IF(終値!A156="","",IFERROR(4*STDEVP(終値!F156:Y156)/AVERAGE(終値!F156:Y156),""))</f>
      </c>
      <c r="D156" s="684">
        <f>IF(終値!A156="","",IFERROR(4*STDEVP(終値!G156:Z156)/AVERAGE(終値!G156:Z156),""))</f>
      </c>
      <c r="E156" s="684">
        <f>IF(終値!A156="","",IFERROR(4*STDEVP(終値!H156:AA156)/AVERAGE(終値!H156:AA156),""))</f>
      </c>
      <c r="F156" s="684">
        <f>IF(終値!A156="","",IFERROR(4*STDEVP(終値!I156:AB156)/AVERAGE(終値!I156:AB156),""))</f>
      </c>
      <c r="G156" s="684">
        <f>IF(終値!A156="","",IFERROR(4*STDEVP(終値!J156:AC156)/AVERAGE(終値!J156:AC156),""))</f>
      </c>
      <c r="H156" s="684">
        <f>IF(終値!A156="","",IFERROR(4*STDEVP(終値!K156:AD156)/AVERAGE(終値!K156:AD156),""))</f>
      </c>
      <c r="I156" s="684">
        <f>IF(終値!A156="","",IFERROR(4*STDEVP(終値!L156:AE156)/AVERAGE(終値!L156:AE156),""))</f>
      </c>
      <c r="J156" s="684">
        <f>IF(終値!A156="","",IFERROR(4*STDEVP(終値!M156:AF156)/AVERAGE(終値!M156:AF156),""))</f>
      </c>
      <c r="K156" s="684">
        <f>IF(終値!A156="","",IFERROR(4*STDEVP(終値!N156:AG156)/AVERAGE(終値!N156:AG156),""))</f>
      </c>
      <c r="L156" s="684">
        <f>IF(終値!A156="","",IFERROR(4*STDEVP(終値!O156:AH156)/AVERAGE(終値!O156:AH156),""))</f>
      </c>
      <c r="M156" s="684">
        <f>IF(終値!A156="","",IFERROR(4*STDEVP(終値!P156:AI156)/AVERAGE(終値!P156:AI156),""))</f>
      </c>
      <c r="N156" s="684">
        <f>IF(終値!A156="","",IFERROR(4*STDEVP(終値!Q156:AJ156)/AVERAGE(終値!Q156:AJ156),""))</f>
      </c>
      <c r="O156" s="684">
        <f>IF(終値!A156="","",IFERROR(4*STDEVP(終値!R156:AK156)/AVERAGE(終値!R156:AK156),""))</f>
      </c>
      <c r="P156" s="684">
        <f>IF(終値!A156="","",IFERROR(4*STDEVP(終値!S156:AL156)/AVERAGE(終値!S156:AL156),""))</f>
      </c>
      <c r="Q156" s="684">
        <f>IF(終値!A156="","",IFERROR(4*STDEVP(終値!T156:AM156)/AVERAGE(終値!T156:AM156),""))</f>
      </c>
      <c r="R156" s="684">
        <f>IF(終値!A156="","",IFERROR(4*STDEVP(終値!U156:AN156)/AVERAGE(終値!U156:AN156),""))</f>
      </c>
      <c r="S156" s="684">
        <f>IF(終値!A156="","",IFERROR(4*STDEVP(終値!V156:AO156)/AVERAGE(終値!V156:AO156),""))</f>
      </c>
      <c r="T156" s="684">
        <f>IF(終値!A156="","",IFERROR(4*STDEVP(終値!W156:AP156)/AVERAGE(終値!W156:AP156),""))</f>
      </c>
      <c r="U156" s="684">
        <f>IF(終値!A156="","",IFERROR(4*STDEVP(終値!X156:AQ156)/AVERAGE(終値!X156:AQ156),""))</f>
      </c>
      <c r="V156" s="684">
        <f>IF(終値!A156="","",IFERROR(4*STDEVP(終値!Y156:AR156)/AVERAGE(終値!Y156:AR156),""))</f>
      </c>
      <c r="W156" s="684">
        <f>IF(終値!A156="","",IFERROR(4*STDEVP(終値!Z156:AS156)/AVERAGE(終値!Z156:AS156),""))</f>
      </c>
      <c r="X156" s="684">
        <f>IF(終値!A156="","",IFERROR(4*STDEVP(終値!AA156:AT156)/AVERAGE(終値!AA156:AT156),""))</f>
      </c>
      <c r="Y156" s="684">
        <f>IF(終値!A156="","",IFERROR(4*STDEVP(終値!AB156:AU156)/AVERAGE(終値!AB156:AU156),""))</f>
      </c>
      <c r="Z156" s="684">
        <f>IF(終値!A156="","",IFERROR(4*STDEVP(終値!AC156:AV156)/AVERAGE(終値!AC156:AV156),""))</f>
      </c>
      <c r="AA156" s="684">
        <f>IF(終値!A156="","",IFERROR(4*STDEVP(終値!AD156:AW156)/AVERAGE(終値!AD156:AW156),""))</f>
      </c>
      <c r="AB156" s="684">
        <f>IF(終値!A156="","",IFERROR(4*STDEVP(終値!AE156:AX156)/AVERAGE(終値!AE156:AX156),""))</f>
      </c>
      <c r="AC156" s="684">
        <f>IF(終値!A156="","",IFERROR(4*STDEVP(終値!AF156:AY156)/AVERAGE(終値!AF156:AY156),""))</f>
      </c>
      <c r="AD156" s="684">
        <f>IF(終値!A156="","",IFERROR(4*STDEVP(終値!AG156:AZ156)/AVERAGE(終値!AG156:AZ156),""))</f>
      </c>
      <c r="AE156" s="684">
        <f>IF(終値!A156="","",IFERROR(4*STDEVP(終値!AH156:BA156)/AVERAGE(終値!AH156:BA156),""))</f>
      </c>
      <c r="AF156" s="684">
        <f>IF(終値!A156="","",IFERROR(4*STDEVP(終値!AI156:BB156)/AVERAGE(終値!AI156:BB156),""))</f>
      </c>
      <c r="AG156" s="684">
        <f>IF(終値!A156="","",IFERROR(4*STDEVP(終値!AJ156:BC156)/AVERAGE(終値!AJ156:BC156),""))</f>
      </c>
      <c r="AH156" s="684">
        <f>IF(終値!A156="","",IFERROR(4*STDEVP(終値!AK156:BD156)/AVERAGE(終値!AK156:BD156),""))</f>
      </c>
      <c r="AI156" s="684">
        <f>IF(終値!A156="","",IFERROR(4*STDEVP(終値!AL156:BE156)/AVERAGE(終値!AL156:BE156),""))</f>
      </c>
      <c r="AJ156" s="684">
        <f>IF(終値!A156="","",IFERROR(4*STDEVP(終値!AM156:BF156)/AVERAGE(終値!AM156:BF156),""))</f>
      </c>
      <c r="AK156" s="684">
        <f>IF(終値!A156="","",IFERROR(4*STDEVP(終値!AN156:BG156)/AVERAGE(終値!AN156:BG156),""))</f>
      </c>
      <c r="AL156" s="684">
        <f>IF(終値!A156="","",IFERROR(4*STDEVP(終値!AO156:BH156)/AVERAGE(終値!AO156:BH156),""))</f>
      </c>
      <c r="AM156" s="684">
        <f>IF(終値!A156="","",IFERROR(4*STDEVP(終値!AP156:BI156)/AVERAGE(終値!AP156:BI156),""))</f>
      </c>
      <c r="AN156" s="684">
        <f>IF(終値!A156="","",IFERROR(4*STDEVP(終値!AQ156:BJ156)/AVERAGE(終値!AQ156:BJ156),""))</f>
      </c>
      <c r="AO156" s="684">
        <f>IF(終値!A156="","",IFERROR(4*STDEVP(終値!AR156:BK156)/AVERAGE(終値!AR156:BK156),""))</f>
      </c>
      <c r="AP156" s="684">
        <f>IF(終値!A156="","",IFERROR(4*STDEVP(終値!AS156:BL156)/AVERAGE(終値!AS156:BL156),""))</f>
      </c>
    </row>
    <row r="157">
      <c r="A157" s="681">
        <f>IF(終値!A157="","",終値!A157)</f>
      </c>
      <c r="B157" s="684">
        <f>IF(終値!A157="","",IFERROR(4*STDEVP(終値!E157:X157)/AVERAGE(終値!E157:X157),""))</f>
      </c>
      <c r="C157" s="684">
        <f>IF(終値!A157="","",IFERROR(4*STDEVP(終値!F157:Y157)/AVERAGE(終値!F157:Y157),""))</f>
      </c>
      <c r="D157" s="684">
        <f>IF(終値!A157="","",IFERROR(4*STDEVP(終値!G157:Z157)/AVERAGE(終値!G157:Z157),""))</f>
      </c>
      <c r="E157" s="684">
        <f>IF(終値!A157="","",IFERROR(4*STDEVP(終値!H157:AA157)/AVERAGE(終値!H157:AA157),""))</f>
      </c>
      <c r="F157" s="684">
        <f>IF(終値!A157="","",IFERROR(4*STDEVP(終値!I157:AB157)/AVERAGE(終値!I157:AB157),""))</f>
      </c>
      <c r="G157" s="684">
        <f>IF(終値!A157="","",IFERROR(4*STDEVP(終値!J157:AC157)/AVERAGE(終値!J157:AC157),""))</f>
      </c>
      <c r="H157" s="684">
        <f>IF(終値!A157="","",IFERROR(4*STDEVP(終値!K157:AD157)/AVERAGE(終値!K157:AD157),""))</f>
      </c>
      <c r="I157" s="684">
        <f>IF(終値!A157="","",IFERROR(4*STDEVP(終値!L157:AE157)/AVERAGE(終値!L157:AE157),""))</f>
      </c>
      <c r="J157" s="684">
        <f>IF(終値!A157="","",IFERROR(4*STDEVP(終値!M157:AF157)/AVERAGE(終値!M157:AF157),""))</f>
      </c>
      <c r="K157" s="684">
        <f>IF(終値!A157="","",IFERROR(4*STDEVP(終値!N157:AG157)/AVERAGE(終値!N157:AG157),""))</f>
      </c>
      <c r="L157" s="684">
        <f>IF(終値!A157="","",IFERROR(4*STDEVP(終値!O157:AH157)/AVERAGE(終値!O157:AH157),""))</f>
      </c>
      <c r="M157" s="684">
        <f>IF(終値!A157="","",IFERROR(4*STDEVP(終値!P157:AI157)/AVERAGE(終値!P157:AI157),""))</f>
      </c>
      <c r="N157" s="684">
        <f>IF(終値!A157="","",IFERROR(4*STDEVP(終値!Q157:AJ157)/AVERAGE(終値!Q157:AJ157),""))</f>
      </c>
      <c r="O157" s="684">
        <f>IF(終値!A157="","",IFERROR(4*STDEVP(終値!R157:AK157)/AVERAGE(終値!R157:AK157),""))</f>
      </c>
      <c r="P157" s="684">
        <f>IF(終値!A157="","",IFERROR(4*STDEVP(終値!S157:AL157)/AVERAGE(終値!S157:AL157),""))</f>
      </c>
      <c r="Q157" s="684">
        <f>IF(終値!A157="","",IFERROR(4*STDEVP(終値!T157:AM157)/AVERAGE(終値!T157:AM157),""))</f>
      </c>
      <c r="R157" s="684">
        <f>IF(終値!A157="","",IFERROR(4*STDEVP(終値!U157:AN157)/AVERAGE(終値!U157:AN157),""))</f>
      </c>
      <c r="S157" s="684">
        <f>IF(終値!A157="","",IFERROR(4*STDEVP(終値!V157:AO157)/AVERAGE(終値!V157:AO157),""))</f>
      </c>
      <c r="T157" s="684">
        <f>IF(終値!A157="","",IFERROR(4*STDEVP(終値!W157:AP157)/AVERAGE(終値!W157:AP157),""))</f>
      </c>
      <c r="U157" s="684">
        <f>IF(終値!A157="","",IFERROR(4*STDEVP(終値!X157:AQ157)/AVERAGE(終値!X157:AQ157),""))</f>
      </c>
      <c r="V157" s="684">
        <f>IF(終値!A157="","",IFERROR(4*STDEVP(終値!Y157:AR157)/AVERAGE(終値!Y157:AR157),""))</f>
      </c>
      <c r="W157" s="684">
        <f>IF(終値!A157="","",IFERROR(4*STDEVP(終値!Z157:AS157)/AVERAGE(終値!Z157:AS157),""))</f>
      </c>
      <c r="X157" s="684">
        <f>IF(終値!A157="","",IFERROR(4*STDEVP(終値!AA157:AT157)/AVERAGE(終値!AA157:AT157),""))</f>
      </c>
      <c r="Y157" s="684">
        <f>IF(終値!A157="","",IFERROR(4*STDEVP(終値!AB157:AU157)/AVERAGE(終値!AB157:AU157),""))</f>
      </c>
      <c r="Z157" s="684">
        <f>IF(終値!A157="","",IFERROR(4*STDEVP(終値!AC157:AV157)/AVERAGE(終値!AC157:AV157),""))</f>
      </c>
      <c r="AA157" s="684">
        <f>IF(終値!A157="","",IFERROR(4*STDEVP(終値!AD157:AW157)/AVERAGE(終値!AD157:AW157),""))</f>
      </c>
      <c r="AB157" s="684">
        <f>IF(終値!A157="","",IFERROR(4*STDEVP(終値!AE157:AX157)/AVERAGE(終値!AE157:AX157),""))</f>
      </c>
      <c r="AC157" s="684">
        <f>IF(終値!A157="","",IFERROR(4*STDEVP(終値!AF157:AY157)/AVERAGE(終値!AF157:AY157),""))</f>
      </c>
      <c r="AD157" s="684">
        <f>IF(終値!A157="","",IFERROR(4*STDEVP(終値!AG157:AZ157)/AVERAGE(終値!AG157:AZ157),""))</f>
      </c>
      <c r="AE157" s="684">
        <f>IF(終値!A157="","",IFERROR(4*STDEVP(終値!AH157:BA157)/AVERAGE(終値!AH157:BA157),""))</f>
      </c>
      <c r="AF157" s="684">
        <f>IF(終値!A157="","",IFERROR(4*STDEVP(終値!AI157:BB157)/AVERAGE(終値!AI157:BB157),""))</f>
      </c>
      <c r="AG157" s="684">
        <f>IF(終値!A157="","",IFERROR(4*STDEVP(終値!AJ157:BC157)/AVERAGE(終値!AJ157:BC157),""))</f>
      </c>
      <c r="AH157" s="684">
        <f>IF(終値!A157="","",IFERROR(4*STDEVP(終値!AK157:BD157)/AVERAGE(終値!AK157:BD157),""))</f>
      </c>
      <c r="AI157" s="684">
        <f>IF(終値!A157="","",IFERROR(4*STDEVP(終値!AL157:BE157)/AVERAGE(終値!AL157:BE157),""))</f>
      </c>
      <c r="AJ157" s="684">
        <f>IF(終値!A157="","",IFERROR(4*STDEVP(終値!AM157:BF157)/AVERAGE(終値!AM157:BF157),""))</f>
      </c>
      <c r="AK157" s="684">
        <f>IF(終値!A157="","",IFERROR(4*STDEVP(終値!AN157:BG157)/AVERAGE(終値!AN157:BG157),""))</f>
      </c>
      <c r="AL157" s="684">
        <f>IF(終値!A157="","",IFERROR(4*STDEVP(終値!AO157:BH157)/AVERAGE(終値!AO157:BH157),""))</f>
      </c>
      <c r="AM157" s="684">
        <f>IF(終値!A157="","",IFERROR(4*STDEVP(終値!AP157:BI157)/AVERAGE(終値!AP157:BI157),""))</f>
      </c>
      <c r="AN157" s="684">
        <f>IF(終値!A157="","",IFERROR(4*STDEVP(終値!AQ157:BJ157)/AVERAGE(終値!AQ157:BJ157),""))</f>
      </c>
      <c r="AO157" s="684">
        <f>IF(終値!A157="","",IFERROR(4*STDEVP(終値!AR157:BK157)/AVERAGE(終値!AR157:BK157),""))</f>
      </c>
      <c r="AP157" s="684">
        <f>IF(終値!A157="","",IFERROR(4*STDEVP(終値!AS157:BL157)/AVERAGE(終値!AS157:BL157),""))</f>
      </c>
    </row>
    <row r="158">
      <c r="A158" s="681">
        <f>IF(終値!A158="","",終値!A158)</f>
      </c>
      <c r="B158" s="684">
        <f>IF(終値!A158="","",IFERROR(4*STDEVP(終値!E158:X158)/AVERAGE(終値!E158:X158),""))</f>
      </c>
      <c r="C158" s="684">
        <f>IF(終値!A158="","",IFERROR(4*STDEVP(終値!F158:Y158)/AVERAGE(終値!F158:Y158),""))</f>
      </c>
      <c r="D158" s="684">
        <f>IF(終値!A158="","",IFERROR(4*STDEVP(終値!G158:Z158)/AVERAGE(終値!G158:Z158),""))</f>
      </c>
      <c r="E158" s="684">
        <f>IF(終値!A158="","",IFERROR(4*STDEVP(終値!H158:AA158)/AVERAGE(終値!H158:AA158),""))</f>
      </c>
      <c r="F158" s="684">
        <f>IF(終値!A158="","",IFERROR(4*STDEVP(終値!I158:AB158)/AVERAGE(終値!I158:AB158),""))</f>
      </c>
      <c r="G158" s="684">
        <f>IF(終値!A158="","",IFERROR(4*STDEVP(終値!J158:AC158)/AVERAGE(終値!J158:AC158),""))</f>
      </c>
      <c r="H158" s="684">
        <f>IF(終値!A158="","",IFERROR(4*STDEVP(終値!K158:AD158)/AVERAGE(終値!K158:AD158),""))</f>
      </c>
      <c r="I158" s="684">
        <f>IF(終値!A158="","",IFERROR(4*STDEVP(終値!L158:AE158)/AVERAGE(終値!L158:AE158),""))</f>
      </c>
      <c r="J158" s="684">
        <f>IF(終値!A158="","",IFERROR(4*STDEVP(終値!M158:AF158)/AVERAGE(終値!M158:AF158),""))</f>
      </c>
      <c r="K158" s="684">
        <f>IF(終値!A158="","",IFERROR(4*STDEVP(終値!N158:AG158)/AVERAGE(終値!N158:AG158),""))</f>
      </c>
      <c r="L158" s="684">
        <f>IF(終値!A158="","",IFERROR(4*STDEVP(終値!O158:AH158)/AVERAGE(終値!O158:AH158),""))</f>
      </c>
      <c r="M158" s="684">
        <f>IF(終値!A158="","",IFERROR(4*STDEVP(終値!P158:AI158)/AVERAGE(終値!P158:AI158),""))</f>
      </c>
      <c r="N158" s="684">
        <f>IF(終値!A158="","",IFERROR(4*STDEVP(終値!Q158:AJ158)/AVERAGE(終値!Q158:AJ158),""))</f>
      </c>
      <c r="O158" s="684">
        <f>IF(終値!A158="","",IFERROR(4*STDEVP(終値!R158:AK158)/AVERAGE(終値!R158:AK158),""))</f>
      </c>
      <c r="P158" s="684">
        <f>IF(終値!A158="","",IFERROR(4*STDEVP(終値!S158:AL158)/AVERAGE(終値!S158:AL158),""))</f>
      </c>
      <c r="Q158" s="684">
        <f>IF(終値!A158="","",IFERROR(4*STDEVP(終値!T158:AM158)/AVERAGE(終値!T158:AM158),""))</f>
      </c>
      <c r="R158" s="684">
        <f>IF(終値!A158="","",IFERROR(4*STDEVP(終値!U158:AN158)/AVERAGE(終値!U158:AN158),""))</f>
      </c>
      <c r="S158" s="684">
        <f>IF(終値!A158="","",IFERROR(4*STDEVP(終値!V158:AO158)/AVERAGE(終値!V158:AO158),""))</f>
      </c>
      <c r="T158" s="684">
        <f>IF(終値!A158="","",IFERROR(4*STDEVP(終値!W158:AP158)/AVERAGE(終値!W158:AP158),""))</f>
      </c>
      <c r="U158" s="684">
        <f>IF(終値!A158="","",IFERROR(4*STDEVP(終値!X158:AQ158)/AVERAGE(終値!X158:AQ158),""))</f>
      </c>
      <c r="V158" s="684">
        <f>IF(終値!A158="","",IFERROR(4*STDEVP(終値!Y158:AR158)/AVERAGE(終値!Y158:AR158),""))</f>
      </c>
      <c r="W158" s="684">
        <f>IF(終値!A158="","",IFERROR(4*STDEVP(終値!Z158:AS158)/AVERAGE(終値!Z158:AS158),""))</f>
      </c>
      <c r="X158" s="684">
        <f>IF(終値!A158="","",IFERROR(4*STDEVP(終値!AA158:AT158)/AVERAGE(終値!AA158:AT158),""))</f>
      </c>
      <c r="Y158" s="684">
        <f>IF(終値!A158="","",IFERROR(4*STDEVP(終値!AB158:AU158)/AVERAGE(終値!AB158:AU158),""))</f>
      </c>
      <c r="Z158" s="684">
        <f>IF(終値!A158="","",IFERROR(4*STDEVP(終値!AC158:AV158)/AVERAGE(終値!AC158:AV158),""))</f>
      </c>
      <c r="AA158" s="684">
        <f>IF(終値!A158="","",IFERROR(4*STDEVP(終値!AD158:AW158)/AVERAGE(終値!AD158:AW158),""))</f>
      </c>
      <c r="AB158" s="684">
        <f>IF(終値!A158="","",IFERROR(4*STDEVP(終値!AE158:AX158)/AVERAGE(終値!AE158:AX158),""))</f>
      </c>
      <c r="AC158" s="684">
        <f>IF(終値!A158="","",IFERROR(4*STDEVP(終値!AF158:AY158)/AVERAGE(終値!AF158:AY158),""))</f>
      </c>
      <c r="AD158" s="684">
        <f>IF(終値!A158="","",IFERROR(4*STDEVP(終値!AG158:AZ158)/AVERAGE(終値!AG158:AZ158),""))</f>
      </c>
      <c r="AE158" s="684">
        <f>IF(終値!A158="","",IFERROR(4*STDEVP(終値!AH158:BA158)/AVERAGE(終値!AH158:BA158),""))</f>
      </c>
      <c r="AF158" s="684">
        <f>IF(終値!A158="","",IFERROR(4*STDEVP(終値!AI158:BB158)/AVERAGE(終値!AI158:BB158),""))</f>
      </c>
      <c r="AG158" s="684">
        <f>IF(終値!A158="","",IFERROR(4*STDEVP(終値!AJ158:BC158)/AVERAGE(終値!AJ158:BC158),""))</f>
      </c>
      <c r="AH158" s="684">
        <f>IF(終値!A158="","",IFERROR(4*STDEVP(終値!AK158:BD158)/AVERAGE(終値!AK158:BD158),""))</f>
      </c>
      <c r="AI158" s="684">
        <f>IF(終値!A158="","",IFERROR(4*STDEVP(終値!AL158:BE158)/AVERAGE(終値!AL158:BE158),""))</f>
      </c>
      <c r="AJ158" s="684">
        <f>IF(終値!A158="","",IFERROR(4*STDEVP(終値!AM158:BF158)/AVERAGE(終値!AM158:BF158),""))</f>
      </c>
      <c r="AK158" s="684">
        <f>IF(終値!A158="","",IFERROR(4*STDEVP(終値!AN158:BG158)/AVERAGE(終値!AN158:BG158),""))</f>
      </c>
      <c r="AL158" s="684">
        <f>IF(終値!A158="","",IFERROR(4*STDEVP(終値!AO158:BH158)/AVERAGE(終値!AO158:BH158),""))</f>
      </c>
      <c r="AM158" s="684">
        <f>IF(終値!A158="","",IFERROR(4*STDEVP(終値!AP158:BI158)/AVERAGE(終値!AP158:BI158),""))</f>
      </c>
      <c r="AN158" s="684">
        <f>IF(終値!A158="","",IFERROR(4*STDEVP(終値!AQ158:BJ158)/AVERAGE(終値!AQ158:BJ158),""))</f>
      </c>
      <c r="AO158" s="684">
        <f>IF(終値!A158="","",IFERROR(4*STDEVP(終値!AR158:BK158)/AVERAGE(終値!AR158:BK158),""))</f>
      </c>
      <c r="AP158" s="684">
        <f>IF(終値!A158="","",IFERROR(4*STDEVP(終値!AS158:BL158)/AVERAGE(終値!AS158:BL158),""))</f>
      </c>
    </row>
    <row r="159">
      <c r="A159" s="681">
        <f>IF(終値!A159="","",終値!A159)</f>
      </c>
      <c r="B159" s="684">
        <f>IF(終値!A159="","",IFERROR(4*STDEVP(終値!E159:X159)/AVERAGE(終値!E159:X159),""))</f>
      </c>
      <c r="C159" s="684">
        <f>IF(終値!A159="","",IFERROR(4*STDEVP(終値!F159:Y159)/AVERAGE(終値!F159:Y159),""))</f>
      </c>
      <c r="D159" s="684">
        <f>IF(終値!A159="","",IFERROR(4*STDEVP(終値!G159:Z159)/AVERAGE(終値!G159:Z159),""))</f>
      </c>
      <c r="E159" s="684">
        <f>IF(終値!A159="","",IFERROR(4*STDEVP(終値!H159:AA159)/AVERAGE(終値!H159:AA159),""))</f>
      </c>
      <c r="F159" s="684">
        <f>IF(終値!A159="","",IFERROR(4*STDEVP(終値!I159:AB159)/AVERAGE(終値!I159:AB159),""))</f>
      </c>
      <c r="G159" s="684">
        <f>IF(終値!A159="","",IFERROR(4*STDEVP(終値!J159:AC159)/AVERAGE(終値!J159:AC159),""))</f>
      </c>
      <c r="H159" s="684">
        <f>IF(終値!A159="","",IFERROR(4*STDEVP(終値!K159:AD159)/AVERAGE(終値!K159:AD159),""))</f>
      </c>
      <c r="I159" s="684">
        <f>IF(終値!A159="","",IFERROR(4*STDEVP(終値!L159:AE159)/AVERAGE(終値!L159:AE159),""))</f>
      </c>
      <c r="J159" s="684">
        <f>IF(終値!A159="","",IFERROR(4*STDEVP(終値!M159:AF159)/AVERAGE(終値!M159:AF159),""))</f>
      </c>
      <c r="K159" s="684">
        <f>IF(終値!A159="","",IFERROR(4*STDEVP(終値!N159:AG159)/AVERAGE(終値!N159:AG159),""))</f>
      </c>
      <c r="L159" s="684">
        <f>IF(終値!A159="","",IFERROR(4*STDEVP(終値!O159:AH159)/AVERAGE(終値!O159:AH159),""))</f>
      </c>
      <c r="M159" s="684">
        <f>IF(終値!A159="","",IFERROR(4*STDEVP(終値!P159:AI159)/AVERAGE(終値!P159:AI159),""))</f>
      </c>
      <c r="N159" s="684">
        <f>IF(終値!A159="","",IFERROR(4*STDEVP(終値!Q159:AJ159)/AVERAGE(終値!Q159:AJ159),""))</f>
      </c>
      <c r="O159" s="684">
        <f>IF(終値!A159="","",IFERROR(4*STDEVP(終値!R159:AK159)/AVERAGE(終値!R159:AK159),""))</f>
      </c>
      <c r="P159" s="684">
        <f>IF(終値!A159="","",IFERROR(4*STDEVP(終値!S159:AL159)/AVERAGE(終値!S159:AL159),""))</f>
      </c>
      <c r="Q159" s="684">
        <f>IF(終値!A159="","",IFERROR(4*STDEVP(終値!T159:AM159)/AVERAGE(終値!T159:AM159),""))</f>
      </c>
      <c r="R159" s="684">
        <f>IF(終値!A159="","",IFERROR(4*STDEVP(終値!U159:AN159)/AVERAGE(終値!U159:AN159),""))</f>
      </c>
      <c r="S159" s="684">
        <f>IF(終値!A159="","",IFERROR(4*STDEVP(終値!V159:AO159)/AVERAGE(終値!V159:AO159),""))</f>
      </c>
      <c r="T159" s="684">
        <f>IF(終値!A159="","",IFERROR(4*STDEVP(終値!W159:AP159)/AVERAGE(終値!W159:AP159),""))</f>
      </c>
      <c r="U159" s="684">
        <f>IF(終値!A159="","",IFERROR(4*STDEVP(終値!X159:AQ159)/AVERAGE(終値!X159:AQ159),""))</f>
      </c>
      <c r="V159" s="684">
        <f>IF(終値!A159="","",IFERROR(4*STDEVP(終値!Y159:AR159)/AVERAGE(終値!Y159:AR159),""))</f>
      </c>
      <c r="W159" s="684">
        <f>IF(終値!A159="","",IFERROR(4*STDEVP(終値!Z159:AS159)/AVERAGE(終値!Z159:AS159),""))</f>
      </c>
      <c r="X159" s="684">
        <f>IF(終値!A159="","",IFERROR(4*STDEVP(終値!AA159:AT159)/AVERAGE(終値!AA159:AT159),""))</f>
      </c>
      <c r="Y159" s="684">
        <f>IF(終値!A159="","",IFERROR(4*STDEVP(終値!AB159:AU159)/AVERAGE(終値!AB159:AU159),""))</f>
      </c>
      <c r="Z159" s="684">
        <f>IF(終値!A159="","",IFERROR(4*STDEVP(終値!AC159:AV159)/AVERAGE(終値!AC159:AV159),""))</f>
      </c>
      <c r="AA159" s="684">
        <f>IF(終値!A159="","",IFERROR(4*STDEVP(終値!AD159:AW159)/AVERAGE(終値!AD159:AW159),""))</f>
      </c>
      <c r="AB159" s="684">
        <f>IF(終値!A159="","",IFERROR(4*STDEVP(終値!AE159:AX159)/AVERAGE(終値!AE159:AX159),""))</f>
      </c>
      <c r="AC159" s="684">
        <f>IF(終値!A159="","",IFERROR(4*STDEVP(終値!AF159:AY159)/AVERAGE(終値!AF159:AY159),""))</f>
      </c>
      <c r="AD159" s="684">
        <f>IF(終値!A159="","",IFERROR(4*STDEVP(終値!AG159:AZ159)/AVERAGE(終値!AG159:AZ159),""))</f>
      </c>
      <c r="AE159" s="684">
        <f>IF(終値!A159="","",IFERROR(4*STDEVP(終値!AH159:BA159)/AVERAGE(終値!AH159:BA159),""))</f>
      </c>
      <c r="AF159" s="684">
        <f>IF(終値!A159="","",IFERROR(4*STDEVP(終値!AI159:BB159)/AVERAGE(終値!AI159:BB159),""))</f>
      </c>
      <c r="AG159" s="684">
        <f>IF(終値!A159="","",IFERROR(4*STDEVP(終値!AJ159:BC159)/AVERAGE(終値!AJ159:BC159),""))</f>
      </c>
      <c r="AH159" s="684">
        <f>IF(終値!A159="","",IFERROR(4*STDEVP(終値!AK159:BD159)/AVERAGE(終値!AK159:BD159),""))</f>
      </c>
      <c r="AI159" s="684">
        <f>IF(終値!A159="","",IFERROR(4*STDEVP(終値!AL159:BE159)/AVERAGE(終値!AL159:BE159),""))</f>
      </c>
      <c r="AJ159" s="684">
        <f>IF(終値!A159="","",IFERROR(4*STDEVP(終値!AM159:BF159)/AVERAGE(終値!AM159:BF159),""))</f>
      </c>
      <c r="AK159" s="684">
        <f>IF(終値!A159="","",IFERROR(4*STDEVP(終値!AN159:BG159)/AVERAGE(終値!AN159:BG159),""))</f>
      </c>
      <c r="AL159" s="684">
        <f>IF(終値!A159="","",IFERROR(4*STDEVP(終値!AO159:BH159)/AVERAGE(終値!AO159:BH159),""))</f>
      </c>
      <c r="AM159" s="684">
        <f>IF(終値!A159="","",IFERROR(4*STDEVP(終値!AP159:BI159)/AVERAGE(終値!AP159:BI159),""))</f>
      </c>
      <c r="AN159" s="684">
        <f>IF(終値!A159="","",IFERROR(4*STDEVP(終値!AQ159:BJ159)/AVERAGE(終値!AQ159:BJ159),""))</f>
      </c>
      <c r="AO159" s="684">
        <f>IF(終値!A159="","",IFERROR(4*STDEVP(終値!AR159:BK159)/AVERAGE(終値!AR159:BK159),""))</f>
      </c>
      <c r="AP159" s="684">
        <f>IF(終値!A159="","",IFERROR(4*STDEVP(終値!AS159:BL159)/AVERAGE(終値!AS159:BL159),""))</f>
      </c>
    </row>
    <row r="160">
      <c r="A160" s="681">
        <f>IF(終値!A160="","",終値!A160)</f>
      </c>
      <c r="B160" s="684">
        <f>IF(終値!A160="","",IFERROR(4*STDEVP(終値!E160:X160)/AVERAGE(終値!E160:X160),""))</f>
      </c>
      <c r="C160" s="684">
        <f>IF(終値!A160="","",IFERROR(4*STDEVP(終値!F160:Y160)/AVERAGE(終値!F160:Y160),""))</f>
      </c>
      <c r="D160" s="684">
        <f>IF(終値!A160="","",IFERROR(4*STDEVP(終値!G160:Z160)/AVERAGE(終値!G160:Z160),""))</f>
      </c>
      <c r="E160" s="684">
        <f>IF(終値!A160="","",IFERROR(4*STDEVP(終値!H160:AA160)/AVERAGE(終値!H160:AA160),""))</f>
      </c>
      <c r="F160" s="684">
        <f>IF(終値!A160="","",IFERROR(4*STDEVP(終値!I160:AB160)/AVERAGE(終値!I160:AB160),""))</f>
      </c>
      <c r="G160" s="684">
        <f>IF(終値!A160="","",IFERROR(4*STDEVP(終値!J160:AC160)/AVERAGE(終値!J160:AC160),""))</f>
      </c>
      <c r="H160" s="684">
        <f>IF(終値!A160="","",IFERROR(4*STDEVP(終値!K160:AD160)/AVERAGE(終値!K160:AD160),""))</f>
      </c>
      <c r="I160" s="684">
        <f>IF(終値!A160="","",IFERROR(4*STDEVP(終値!L160:AE160)/AVERAGE(終値!L160:AE160),""))</f>
      </c>
      <c r="J160" s="684">
        <f>IF(終値!A160="","",IFERROR(4*STDEVP(終値!M160:AF160)/AVERAGE(終値!M160:AF160),""))</f>
      </c>
      <c r="K160" s="684">
        <f>IF(終値!A160="","",IFERROR(4*STDEVP(終値!N160:AG160)/AVERAGE(終値!N160:AG160),""))</f>
      </c>
      <c r="L160" s="684">
        <f>IF(終値!A160="","",IFERROR(4*STDEVP(終値!O160:AH160)/AVERAGE(終値!O160:AH160),""))</f>
      </c>
      <c r="M160" s="684">
        <f>IF(終値!A160="","",IFERROR(4*STDEVP(終値!P160:AI160)/AVERAGE(終値!P160:AI160),""))</f>
      </c>
      <c r="N160" s="684">
        <f>IF(終値!A160="","",IFERROR(4*STDEVP(終値!Q160:AJ160)/AVERAGE(終値!Q160:AJ160),""))</f>
      </c>
      <c r="O160" s="684">
        <f>IF(終値!A160="","",IFERROR(4*STDEVP(終値!R160:AK160)/AVERAGE(終値!R160:AK160),""))</f>
      </c>
      <c r="P160" s="684">
        <f>IF(終値!A160="","",IFERROR(4*STDEVP(終値!S160:AL160)/AVERAGE(終値!S160:AL160),""))</f>
      </c>
      <c r="Q160" s="684">
        <f>IF(終値!A160="","",IFERROR(4*STDEVP(終値!T160:AM160)/AVERAGE(終値!T160:AM160),""))</f>
      </c>
      <c r="R160" s="684">
        <f>IF(終値!A160="","",IFERROR(4*STDEVP(終値!U160:AN160)/AVERAGE(終値!U160:AN160),""))</f>
      </c>
      <c r="S160" s="684">
        <f>IF(終値!A160="","",IFERROR(4*STDEVP(終値!V160:AO160)/AVERAGE(終値!V160:AO160),""))</f>
      </c>
      <c r="T160" s="684">
        <f>IF(終値!A160="","",IFERROR(4*STDEVP(終値!W160:AP160)/AVERAGE(終値!W160:AP160),""))</f>
      </c>
      <c r="U160" s="684">
        <f>IF(終値!A160="","",IFERROR(4*STDEVP(終値!X160:AQ160)/AVERAGE(終値!X160:AQ160),""))</f>
      </c>
      <c r="V160" s="684">
        <f>IF(終値!A160="","",IFERROR(4*STDEVP(終値!Y160:AR160)/AVERAGE(終値!Y160:AR160),""))</f>
      </c>
      <c r="W160" s="684">
        <f>IF(終値!A160="","",IFERROR(4*STDEVP(終値!Z160:AS160)/AVERAGE(終値!Z160:AS160),""))</f>
      </c>
      <c r="X160" s="684">
        <f>IF(終値!A160="","",IFERROR(4*STDEVP(終値!AA160:AT160)/AVERAGE(終値!AA160:AT160),""))</f>
      </c>
      <c r="Y160" s="684">
        <f>IF(終値!A160="","",IFERROR(4*STDEVP(終値!AB160:AU160)/AVERAGE(終値!AB160:AU160),""))</f>
      </c>
      <c r="Z160" s="684">
        <f>IF(終値!A160="","",IFERROR(4*STDEVP(終値!AC160:AV160)/AVERAGE(終値!AC160:AV160),""))</f>
      </c>
      <c r="AA160" s="684">
        <f>IF(終値!A160="","",IFERROR(4*STDEVP(終値!AD160:AW160)/AVERAGE(終値!AD160:AW160),""))</f>
      </c>
      <c r="AB160" s="684">
        <f>IF(終値!A160="","",IFERROR(4*STDEVP(終値!AE160:AX160)/AVERAGE(終値!AE160:AX160),""))</f>
      </c>
      <c r="AC160" s="684">
        <f>IF(終値!A160="","",IFERROR(4*STDEVP(終値!AF160:AY160)/AVERAGE(終値!AF160:AY160),""))</f>
      </c>
      <c r="AD160" s="684">
        <f>IF(終値!A160="","",IFERROR(4*STDEVP(終値!AG160:AZ160)/AVERAGE(終値!AG160:AZ160),""))</f>
      </c>
      <c r="AE160" s="684">
        <f>IF(終値!A160="","",IFERROR(4*STDEVP(終値!AH160:BA160)/AVERAGE(終値!AH160:BA160),""))</f>
      </c>
      <c r="AF160" s="684">
        <f>IF(終値!A160="","",IFERROR(4*STDEVP(終値!AI160:BB160)/AVERAGE(終値!AI160:BB160),""))</f>
      </c>
      <c r="AG160" s="684">
        <f>IF(終値!A160="","",IFERROR(4*STDEVP(終値!AJ160:BC160)/AVERAGE(終値!AJ160:BC160),""))</f>
      </c>
      <c r="AH160" s="684">
        <f>IF(終値!A160="","",IFERROR(4*STDEVP(終値!AK160:BD160)/AVERAGE(終値!AK160:BD160),""))</f>
      </c>
      <c r="AI160" s="684">
        <f>IF(終値!A160="","",IFERROR(4*STDEVP(終値!AL160:BE160)/AVERAGE(終値!AL160:BE160),""))</f>
      </c>
      <c r="AJ160" s="684">
        <f>IF(終値!A160="","",IFERROR(4*STDEVP(終値!AM160:BF160)/AVERAGE(終値!AM160:BF160),""))</f>
      </c>
      <c r="AK160" s="684">
        <f>IF(終値!A160="","",IFERROR(4*STDEVP(終値!AN160:BG160)/AVERAGE(終値!AN160:BG160),""))</f>
      </c>
      <c r="AL160" s="684">
        <f>IF(終値!A160="","",IFERROR(4*STDEVP(終値!AO160:BH160)/AVERAGE(終値!AO160:BH160),""))</f>
      </c>
      <c r="AM160" s="684">
        <f>IF(終値!A160="","",IFERROR(4*STDEVP(終値!AP160:BI160)/AVERAGE(終値!AP160:BI160),""))</f>
      </c>
      <c r="AN160" s="684">
        <f>IF(終値!A160="","",IFERROR(4*STDEVP(終値!AQ160:BJ160)/AVERAGE(終値!AQ160:BJ160),""))</f>
      </c>
      <c r="AO160" s="684">
        <f>IF(終値!A160="","",IFERROR(4*STDEVP(終値!AR160:BK160)/AVERAGE(終値!AR160:BK160),""))</f>
      </c>
      <c r="AP160" s="684">
        <f>IF(終値!A160="","",IFERROR(4*STDEVP(終値!AS160:BL160)/AVERAGE(終値!AS160:BL160),""))</f>
      </c>
    </row>
    <row r="161">
      <c r="A161" s="681">
        <f>IF(終値!A161="","",終値!A161)</f>
      </c>
      <c r="B161" s="684">
        <f>IF(終値!A161="","",IFERROR(4*STDEVP(終値!E161:X161)/AVERAGE(終値!E161:X161),""))</f>
      </c>
      <c r="C161" s="684">
        <f>IF(終値!A161="","",IFERROR(4*STDEVP(終値!F161:Y161)/AVERAGE(終値!F161:Y161),""))</f>
      </c>
      <c r="D161" s="684">
        <f>IF(終値!A161="","",IFERROR(4*STDEVP(終値!G161:Z161)/AVERAGE(終値!G161:Z161),""))</f>
      </c>
      <c r="E161" s="684">
        <f>IF(終値!A161="","",IFERROR(4*STDEVP(終値!H161:AA161)/AVERAGE(終値!H161:AA161),""))</f>
      </c>
      <c r="F161" s="684">
        <f>IF(終値!A161="","",IFERROR(4*STDEVP(終値!I161:AB161)/AVERAGE(終値!I161:AB161),""))</f>
      </c>
      <c r="G161" s="684">
        <f>IF(終値!A161="","",IFERROR(4*STDEVP(終値!J161:AC161)/AVERAGE(終値!J161:AC161),""))</f>
      </c>
      <c r="H161" s="684">
        <f>IF(終値!A161="","",IFERROR(4*STDEVP(終値!K161:AD161)/AVERAGE(終値!K161:AD161),""))</f>
      </c>
      <c r="I161" s="684">
        <f>IF(終値!A161="","",IFERROR(4*STDEVP(終値!L161:AE161)/AVERAGE(終値!L161:AE161),""))</f>
      </c>
      <c r="J161" s="684">
        <f>IF(終値!A161="","",IFERROR(4*STDEVP(終値!M161:AF161)/AVERAGE(終値!M161:AF161),""))</f>
      </c>
      <c r="K161" s="684">
        <f>IF(終値!A161="","",IFERROR(4*STDEVP(終値!N161:AG161)/AVERAGE(終値!N161:AG161),""))</f>
      </c>
      <c r="L161" s="684">
        <f>IF(終値!A161="","",IFERROR(4*STDEVP(終値!O161:AH161)/AVERAGE(終値!O161:AH161),""))</f>
      </c>
      <c r="M161" s="684">
        <f>IF(終値!A161="","",IFERROR(4*STDEVP(終値!P161:AI161)/AVERAGE(終値!P161:AI161),""))</f>
      </c>
      <c r="N161" s="684">
        <f>IF(終値!A161="","",IFERROR(4*STDEVP(終値!Q161:AJ161)/AVERAGE(終値!Q161:AJ161),""))</f>
      </c>
      <c r="O161" s="684">
        <f>IF(終値!A161="","",IFERROR(4*STDEVP(終値!R161:AK161)/AVERAGE(終値!R161:AK161),""))</f>
      </c>
      <c r="P161" s="684">
        <f>IF(終値!A161="","",IFERROR(4*STDEVP(終値!S161:AL161)/AVERAGE(終値!S161:AL161),""))</f>
      </c>
      <c r="Q161" s="684">
        <f>IF(終値!A161="","",IFERROR(4*STDEVP(終値!T161:AM161)/AVERAGE(終値!T161:AM161),""))</f>
      </c>
      <c r="R161" s="684">
        <f>IF(終値!A161="","",IFERROR(4*STDEVP(終値!U161:AN161)/AVERAGE(終値!U161:AN161),""))</f>
      </c>
      <c r="S161" s="684">
        <f>IF(終値!A161="","",IFERROR(4*STDEVP(終値!V161:AO161)/AVERAGE(終値!V161:AO161),""))</f>
      </c>
      <c r="T161" s="684">
        <f>IF(終値!A161="","",IFERROR(4*STDEVP(終値!W161:AP161)/AVERAGE(終値!W161:AP161),""))</f>
      </c>
      <c r="U161" s="684">
        <f>IF(終値!A161="","",IFERROR(4*STDEVP(終値!X161:AQ161)/AVERAGE(終値!X161:AQ161),""))</f>
      </c>
      <c r="V161" s="684">
        <f>IF(終値!A161="","",IFERROR(4*STDEVP(終値!Y161:AR161)/AVERAGE(終値!Y161:AR161),""))</f>
      </c>
      <c r="W161" s="684">
        <f>IF(終値!A161="","",IFERROR(4*STDEVP(終値!Z161:AS161)/AVERAGE(終値!Z161:AS161),""))</f>
      </c>
      <c r="X161" s="684">
        <f>IF(終値!A161="","",IFERROR(4*STDEVP(終値!AA161:AT161)/AVERAGE(終値!AA161:AT161),""))</f>
      </c>
      <c r="Y161" s="684">
        <f>IF(終値!A161="","",IFERROR(4*STDEVP(終値!AB161:AU161)/AVERAGE(終値!AB161:AU161),""))</f>
      </c>
      <c r="Z161" s="684">
        <f>IF(終値!A161="","",IFERROR(4*STDEVP(終値!AC161:AV161)/AVERAGE(終値!AC161:AV161),""))</f>
      </c>
      <c r="AA161" s="684">
        <f>IF(終値!A161="","",IFERROR(4*STDEVP(終値!AD161:AW161)/AVERAGE(終値!AD161:AW161),""))</f>
      </c>
      <c r="AB161" s="684">
        <f>IF(終値!A161="","",IFERROR(4*STDEVP(終値!AE161:AX161)/AVERAGE(終値!AE161:AX161),""))</f>
      </c>
      <c r="AC161" s="684">
        <f>IF(終値!A161="","",IFERROR(4*STDEVP(終値!AF161:AY161)/AVERAGE(終値!AF161:AY161),""))</f>
      </c>
      <c r="AD161" s="684">
        <f>IF(終値!A161="","",IFERROR(4*STDEVP(終値!AG161:AZ161)/AVERAGE(終値!AG161:AZ161),""))</f>
      </c>
      <c r="AE161" s="684">
        <f>IF(終値!A161="","",IFERROR(4*STDEVP(終値!AH161:BA161)/AVERAGE(終値!AH161:BA161),""))</f>
      </c>
      <c r="AF161" s="684">
        <f>IF(終値!A161="","",IFERROR(4*STDEVP(終値!AI161:BB161)/AVERAGE(終値!AI161:BB161),""))</f>
      </c>
      <c r="AG161" s="684">
        <f>IF(終値!A161="","",IFERROR(4*STDEVP(終値!AJ161:BC161)/AVERAGE(終値!AJ161:BC161),""))</f>
      </c>
      <c r="AH161" s="684">
        <f>IF(終値!A161="","",IFERROR(4*STDEVP(終値!AK161:BD161)/AVERAGE(終値!AK161:BD161),""))</f>
      </c>
      <c r="AI161" s="684">
        <f>IF(終値!A161="","",IFERROR(4*STDEVP(終値!AL161:BE161)/AVERAGE(終値!AL161:BE161),""))</f>
      </c>
      <c r="AJ161" s="684">
        <f>IF(終値!A161="","",IFERROR(4*STDEVP(終値!AM161:BF161)/AVERAGE(終値!AM161:BF161),""))</f>
      </c>
      <c r="AK161" s="684">
        <f>IF(終値!A161="","",IFERROR(4*STDEVP(終値!AN161:BG161)/AVERAGE(終値!AN161:BG161),""))</f>
      </c>
      <c r="AL161" s="684">
        <f>IF(終値!A161="","",IFERROR(4*STDEVP(終値!AO161:BH161)/AVERAGE(終値!AO161:BH161),""))</f>
      </c>
      <c r="AM161" s="684">
        <f>IF(終値!A161="","",IFERROR(4*STDEVP(終値!AP161:BI161)/AVERAGE(終値!AP161:BI161),""))</f>
      </c>
      <c r="AN161" s="684">
        <f>IF(終値!A161="","",IFERROR(4*STDEVP(終値!AQ161:BJ161)/AVERAGE(終値!AQ161:BJ161),""))</f>
      </c>
      <c r="AO161" s="684">
        <f>IF(終値!A161="","",IFERROR(4*STDEVP(終値!AR161:BK161)/AVERAGE(終値!AR161:BK161),""))</f>
      </c>
      <c r="AP161" s="684">
        <f>IF(終値!A161="","",IFERROR(4*STDEVP(終値!AS161:BL161)/AVERAGE(終値!AS161:BL161),""))</f>
      </c>
    </row>
    <row r="162">
      <c r="A162" s="681">
        <f>IF(終値!A162="","",終値!A162)</f>
      </c>
      <c r="B162" s="684">
        <f>IF(終値!A162="","",IFERROR(4*STDEVP(終値!E162:X162)/AVERAGE(終値!E162:X162),""))</f>
      </c>
      <c r="C162" s="684">
        <f>IF(終値!A162="","",IFERROR(4*STDEVP(終値!F162:Y162)/AVERAGE(終値!F162:Y162),""))</f>
      </c>
      <c r="D162" s="684">
        <f>IF(終値!A162="","",IFERROR(4*STDEVP(終値!G162:Z162)/AVERAGE(終値!G162:Z162),""))</f>
      </c>
      <c r="E162" s="684">
        <f>IF(終値!A162="","",IFERROR(4*STDEVP(終値!H162:AA162)/AVERAGE(終値!H162:AA162),""))</f>
      </c>
      <c r="F162" s="684">
        <f>IF(終値!A162="","",IFERROR(4*STDEVP(終値!I162:AB162)/AVERAGE(終値!I162:AB162),""))</f>
      </c>
      <c r="G162" s="684">
        <f>IF(終値!A162="","",IFERROR(4*STDEVP(終値!J162:AC162)/AVERAGE(終値!J162:AC162),""))</f>
      </c>
      <c r="H162" s="684">
        <f>IF(終値!A162="","",IFERROR(4*STDEVP(終値!K162:AD162)/AVERAGE(終値!K162:AD162),""))</f>
      </c>
      <c r="I162" s="684">
        <f>IF(終値!A162="","",IFERROR(4*STDEVP(終値!L162:AE162)/AVERAGE(終値!L162:AE162),""))</f>
      </c>
      <c r="J162" s="684">
        <f>IF(終値!A162="","",IFERROR(4*STDEVP(終値!M162:AF162)/AVERAGE(終値!M162:AF162),""))</f>
      </c>
      <c r="K162" s="684">
        <f>IF(終値!A162="","",IFERROR(4*STDEVP(終値!N162:AG162)/AVERAGE(終値!N162:AG162),""))</f>
      </c>
      <c r="L162" s="684">
        <f>IF(終値!A162="","",IFERROR(4*STDEVP(終値!O162:AH162)/AVERAGE(終値!O162:AH162),""))</f>
      </c>
      <c r="M162" s="684">
        <f>IF(終値!A162="","",IFERROR(4*STDEVP(終値!P162:AI162)/AVERAGE(終値!P162:AI162),""))</f>
      </c>
      <c r="N162" s="684">
        <f>IF(終値!A162="","",IFERROR(4*STDEVP(終値!Q162:AJ162)/AVERAGE(終値!Q162:AJ162),""))</f>
      </c>
      <c r="O162" s="684">
        <f>IF(終値!A162="","",IFERROR(4*STDEVP(終値!R162:AK162)/AVERAGE(終値!R162:AK162),""))</f>
      </c>
      <c r="P162" s="684">
        <f>IF(終値!A162="","",IFERROR(4*STDEVP(終値!S162:AL162)/AVERAGE(終値!S162:AL162),""))</f>
      </c>
      <c r="Q162" s="684">
        <f>IF(終値!A162="","",IFERROR(4*STDEVP(終値!T162:AM162)/AVERAGE(終値!T162:AM162),""))</f>
      </c>
      <c r="R162" s="684">
        <f>IF(終値!A162="","",IFERROR(4*STDEVP(終値!U162:AN162)/AVERAGE(終値!U162:AN162),""))</f>
      </c>
      <c r="S162" s="684">
        <f>IF(終値!A162="","",IFERROR(4*STDEVP(終値!V162:AO162)/AVERAGE(終値!V162:AO162),""))</f>
      </c>
      <c r="T162" s="684">
        <f>IF(終値!A162="","",IFERROR(4*STDEVP(終値!W162:AP162)/AVERAGE(終値!W162:AP162),""))</f>
      </c>
      <c r="U162" s="684">
        <f>IF(終値!A162="","",IFERROR(4*STDEVP(終値!X162:AQ162)/AVERAGE(終値!X162:AQ162),""))</f>
      </c>
      <c r="V162" s="684">
        <f>IF(終値!A162="","",IFERROR(4*STDEVP(終値!Y162:AR162)/AVERAGE(終値!Y162:AR162),""))</f>
      </c>
      <c r="W162" s="684">
        <f>IF(終値!A162="","",IFERROR(4*STDEVP(終値!Z162:AS162)/AVERAGE(終値!Z162:AS162),""))</f>
      </c>
      <c r="X162" s="684">
        <f>IF(終値!A162="","",IFERROR(4*STDEVP(終値!AA162:AT162)/AVERAGE(終値!AA162:AT162),""))</f>
      </c>
      <c r="Y162" s="684">
        <f>IF(終値!A162="","",IFERROR(4*STDEVP(終値!AB162:AU162)/AVERAGE(終値!AB162:AU162),""))</f>
      </c>
      <c r="Z162" s="684">
        <f>IF(終値!A162="","",IFERROR(4*STDEVP(終値!AC162:AV162)/AVERAGE(終値!AC162:AV162),""))</f>
      </c>
      <c r="AA162" s="684">
        <f>IF(終値!A162="","",IFERROR(4*STDEVP(終値!AD162:AW162)/AVERAGE(終値!AD162:AW162),""))</f>
      </c>
      <c r="AB162" s="684">
        <f>IF(終値!A162="","",IFERROR(4*STDEVP(終値!AE162:AX162)/AVERAGE(終値!AE162:AX162),""))</f>
      </c>
      <c r="AC162" s="684">
        <f>IF(終値!A162="","",IFERROR(4*STDEVP(終値!AF162:AY162)/AVERAGE(終値!AF162:AY162),""))</f>
      </c>
      <c r="AD162" s="684">
        <f>IF(終値!A162="","",IFERROR(4*STDEVP(終値!AG162:AZ162)/AVERAGE(終値!AG162:AZ162),""))</f>
      </c>
      <c r="AE162" s="684">
        <f>IF(終値!A162="","",IFERROR(4*STDEVP(終値!AH162:BA162)/AVERAGE(終値!AH162:BA162),""))</f>
      </c>
      <c r="AF162" s="684">
        <f>IF(終値!A162="","",IFERROR(4*STDEVP(終値!AI162:BB162)/AVERAGE(終値!AI162:BB162),""))</f>
      </c>
      <c r="AG162" s="684">
        <f>IF(終値!A162="","",IFERROR(4*STDEVP(終値!AJ162:BC162)/AVERAGE(終値!AJ162:BC162),""))</f>
      </c>
      <c r="AH162" s="684">
        <f>IF(終値!A162="","",IFERROR(4*STDEVP(終値!AK162:BD162)/AVERAGE(終値!AK162:BD162),""))</f>
      </c>
      <c r="AI162" s="684">
        <f>IF(終値!A162="","",IFERROR(4*STDEVP(終値!AL162:BE162)/AVERAGE(終値!AL162:BE162),""))</f>
      </c>
      <c r="AJ162" s="684">
        <f>IF(終値!A162="","",IFERROR(4*STDEVP(終値!AM162:BF162)/AVERAGE(終値!AM162:BF162),""))</f>
      </c>
      <c r="AK162" s="684">
        <f>IF(終値!A162="","",IFERROR(4*STDEVP(終値!AN162:BG162)/AVERAGE(終値!AN162:BG162),""))</f>
      </c>
      <c r="AL162" s="684">
        <f>IF(終値!A162="","",IFERROR(4*STDEVP(終値!AO162:BH162)/AVERAGE(終値!AO162:BH162),""))</f>
      </c>
      <c r="AM162" s="684">
        <f>IF(終値!A162="","",IFERROR(4*STDEVP(終値!AP162:BI162)/AVERAGE(終値!AP162:BI162),""))</f>
      </c>
      <c r="AN162" s="684">
        <f>IF(終値!A162="","",IFERROR(4*STDEVP(終値!AQ162:BJ162)/AVERAGE(終値!AQ162:BJ162),""))</f>
      </c>
      <c r="AO162" s="684">
        <f>IF(終値!A162="","",IFERROR(4*STDEVP(終値!AR162:BK162)/AVERAGE(終値!AR162:BK162),""))</f>
      </c>
      <c r="AP162" s="684">
        <f>IF(終値!A162="","",IFERROR(4*STDEVP(終値!AS162:BL162)/AVERAGE(終値!AS162:BL162),""))</f>
      </c>
    </row>
    <row r="163">
      <c r="A163" s="681">
        <f>IF(終値!A163="","",終値!A163)</f>
      </c>
      <c r="B163" s="684">
        <f>IF(終値!A163="","",IFERROR(4*STDEVP(終値!E163:X163)/AVERAGE(終値!E163:X163),""))</f>
      </c>
      <c r="C163" s="684">
        <f>IF(終値!A163="","",IFERROR(4*STDEVP(終値!F163:Y163)/AVERAGE(終値!F163:Y163),""))</f>
      </c>
      <c r="D163" s="684">
        <f>IF(終値!A163="","",IFERROR(4*STDEVP(終値!G163:Z163)/AVERAGE(終値!G163:Z163),""))</f>
      </c>
      <c r="E163" s="684">
        <f>IF(終値!A163="","",IFERROR(4*STDEVP(終値!H163:AA163)/AVERAGE(終値!H163:AA163),""))</f>
      </c>
      <c r="F163" s="684">
        <f>IF(終値!A163="","",IFERROR(4*STDEVP(終値!I163:AB163)/AVERAGE(終値!I163:AB163),""))</f>
      </c>
      <c r="G163" s="684">
        <f>IF(終値!A163="","",IFERROR(4*STDEVP(終値!J163:AC163)/AVERAGE(終値!J163:AC163),""))</f>
      </c>
      <c r="H163" s="684">
        <f>IF(終値!A163="","",IFERROR(4*STDEVP(終値!K163:AD163)/AVERAGE(終値!K163:AD163),""))</f>
      </c>
      <c r="I163" s="684">
        <f>IF(終値!A163="","",IFERROR(4*STDEVP(終値!L163:AE163)/AVERAGE(終値!L163:AE163),""))</f>
      </c>
      <c r="J163" s="684">
        <f>IF(終値!A163="","",IFERROR(4*STDEVP(終値!M163:AF163)/AVERAGE(終値!M163:AF163),""))</f>
      </c>
      <c r="K163" s="684">
        <f>IF(終値!A163="","",IFERROR(4*STDEVP(終値!N163:AG163)/AVERAGE(終値!N163:AG163),""))</f>
      </c>
      <c r="L163" s="684">
        <f>IF(終値!A163="","",IFERROR(4*STDEVP(終値!O163:AH163)/AVERAGE(終値!O163:AH163),""))</f>
      </c>
      <c r="M163" s="684">
        <f>IF(終値!A163="","",IFERROR(4*STDEVP(終値!P163:AI163)/AVERAGE(終値!P163:AI163),""))</f>
      </c>
      <c r="N163" s="684">
        <f>IF(終値!A163="","",IFERROR(4*STDEVP(終値!Q163:AJ163)/AVERAGE(終値!Q163:AJ163),""))</f>
      </c>
      <c r="O163" s="684">
        <f>IF(終値!A163="","",IFERROR(4*STDEVP(終値!R163:AK163)/AVERAGE(終値!R163:AK163),""))</f>
      </c>
      <c r="P163" s="684">
        <f>IF(終値!A163="","",IFERROR(4*STDEVP(終値!S163:AL163)/AVERAGE(終値!S163:AL163),""))</f>
      </c>
      <c r="Q163" s="684">
        <f>IF(終値!A163="","",IFERROR(4*STDEVP(終値!T163:AM163)/AVERAGE(終値!T163:AM163),""))</f>
      </c>
      <c r="R163" s="684">
        <f>IF(終値!A163="","",IFERROR(4*STDEVP(終値!U163:AN163)/AVERAGE(終値!U163:AN163),""))</f>
      </c>
      <c r="S163" s="684">
        <f>IF(終値!A163="","",IFERROR(4*STDEVP(終値!V163:AO163)/AVERAGE(終値!V163:AO163),""))</f>
      </c>
      <c r="T163" s="684">
        <f>IF(終値!A163="","",IFERROR(4*STDEVP(終値!W163:AP163)/AVERAGE(終値!W163:AP163),""))</f>
      </c>
      <c r="U163" s="684">
        <f>IF(終値!A163="","",IFERROR(4*STDEVP(終値!X163:AQ163)/AVERAGE(終値!X163:AQ163),""))</f>
      </c>
      <c r="V163" s="684">
        <f>IF(終値!A163="","",IFERROR(4*STDEVP(終値!Y163:AR163)/AVERAGE(終値!Y163:AR163),""))</f>
      </c>
      <c r="W163" s="684">
        <f>IF(終値!A163="","",IFERROR(4*STDEVP(終値!Z163:AS163)/AVERAGE(終値!Z163:AS163),""))</f>
      </c>
      <c r="X163" s="684">
        <f>IF(終値!A163="","",IFERROR(4*STDEVP(終値!AA163:AT163)/AVERAGE(終値!AA163:AT163),""))</f>
      </c>
      <c r="Y163" s="684">
        <f>IF(終値!A163="","",IFERROR(4*STDEVP(終値!AB163:AU163)/AVERAGE(終値!AB163:AU163),""))</f>
      </c>
      <c r="Z163" s="684">
        <f>IF(終値!A163="","",IFERROR(4*STDEVP(終値!AC163:AV163)/AVERAGE(終値!AC163:AV163),""))</f>
      </c>
      <c r="AA163" s="684">
        <f>IF(終値!A163="","",IFERROR(4*STDEVP(終値!AD163:AW163)/AVERAGE(終値!AD163:AW163),""))</f>
      </c>
      <c r="AB163" s="684">
        <f>IF(終値!A163="","",IFERROR(4*STDEVP(終値!AE163:AX163)/AVERAGE(終値!AE163:AX163),""))</f>
      </c>
      <c r="AC163" s="684">
        <f>IF(終値!A163="","",IFERROR(4*STDEVP(終値!AF163:AY163)/AVERAGE(終値!AF163:AY163),""))</f>
      </c>
      <c r="AD163" s="684">
        <f>IF(終値!A163="","",IFERROR(4*STDEVP(終値!AG163:AZ163)/AVERAGE(終値!AG163:AZ163),""))</f>
      </c>
      <c r="AE163" s="684">
        <f>IF(終値!A163="","",IFERROR(4*STDEVP(終値!AH163:BA163)/AVERAGE(終値!AH163:BA163),""))</f>
      </c>
      <c r="AF163" s="684">
        <f>IF(終値!A163="","",IFERROR(4*STDEVP(終値!AI163:BB163)/AVERAGE(終値!AI163:BB163),""))</f>
      </c>
      <c r="AG163" s="684">
        <f>IF(終値!A163="","",IFERROR(4*STDEVP(終値!AJ163:BC163)/AVERAGE(終値!AJ163:BC163),""))</f>
      </c>
      <c r="AH163" s="684">
        <f>IF(終値!A163="","",IFERROR(4*STDEVP(終値!AK163:BD163)/AVERAGE(終値!AK163:BD163),""))</f>
      </c>
      <c r="AI163" s="684">
        <f>IF(終値!A163="","",IFERROR(4*STDEVP(終値!AL163:BE163)/AVERAGE(終値!AL163:BE163),""))</f>
      </c>
      <c r="AJ163" s="684">
        <f>IF(終値!A163="","",IFERROR(4*STDEVP(終値!AM163:BF163)/AVERAGE(終値!AM163:BF163),""))</f>
      </c>
      <c r="AK163" s="684">
        <f>IF(終値!A163="","",IFERROR(4*STDEVP(終値!AN163:BG163)/AVERAGE(終値!AN163:BG163),""))</f>
      </c>
      <c r="AL163" s="684">
        <f>IF(終値!A163="","",IFERROR(4*STDEVP(終値!AO163:BH163)/AVERAGE(終値!AO163:BH163),""))</f>
      </c>
      <c r="AM163" s="684">
        <f>IF(終値!A163="","",IFERROR(4*STDEVP(終値!AP163:BI163)/AVERAGE(終値!AP163:BI163),""))</f>
      </c>
      <c r="AN163" s="684">
        <f>IF(終値!A163="","",IFERROR(4*STDEVP(終値!AQ163:BJ163)/AVERAGE(終値!AQ163:BJ163),""))</f>
      </c>
      <c r="AO163" s="684">
        <f>IF(終値!A163="","",IFERROR(4*STDEVP(終値!AR163:BK163)/AVERAGE(終値!AR163:BK163),""))</f>
      </c>
      <c r="AP163" s="684">
        <f>IF(終値!A163="","",IFERROR(4*STDEVP(終値!AS163:BL163)/AVERAGE(終値!AS163:BL163),""))</f>
      </c>
    </row>
    <row r="164">
      <c r="A164" s="681">
        <f>IF(終値!A164="","",終値!A164)</f>
      </c>
      <c r="B164" s="684">
        <f>IF(終値!A164="","",IFERROR(4*STDEVP(終値!E164:X164)/AVERAGE(終値!E164:X164),""))</f>
      </c>
      <c r="C164" s="684">
        <f>IF(終値!A164="","",IFERROR(4*STDEVP(終値!F164:Y164)/AVERAGE(終値!F164:Y164),""))</f>
      </c>
      <c r="D164" s="684">
        <f>IF(終値!A164="","",IFERROR(4*STDEVP(終値!G164:Z164)/AVERAGE(終値!G164:Z164),""))</f>
      </c>
      <c r="E164" s="684">
        <f>IF(終値!A164="","",IFERROR(4*STDEVP(終値!H164:AA164)/AVERAGE(終値!H164:AA164),""))</f>
      </c>
      <c r="F164" s="684">
        <f>IF(終値!A164="","",IFERROR(4*STDEVP(終値!I164:AB164)/AVERAGE(終値!I164:AB164),""))</f>
      </c>
      <c r="G164" s="684">
        <f>IF(終値!A164="","",IFERROR(4*STDEVP(終値!J164:AC164)/AVERAGE(終値!J164:AC164),""))</f>
      </c>
      <c r="H164" s="684">
        <f>IF(終値!A164="","",IFERROR(4*STDEVP(終値!K164:AD164)/AVERAGE(終値!K164:AD164),""))</f>
      </c>
      <c r="I164" s="684">
        <f>IF(終値!A164="","",IFERROR(4*STDEVP(終値!L164:AE164)/AVERAGE(終値!L164:AE164),""))</f>
      </c>
      <c r="J164" s="684">
        <f>IF(終値!A164="","",IFERROR(4*STDEVP(終値!M164:AF164)/AVERAGE(終値!M164:AF164),""))</f>
      </c>
      <c r="K164" s="684">
        <f>IF(終値!A164="","",IFERROR(4*STDEVP(終値!N164:AG164)/AVERAGE(終値!N164:AG164),""))</f>
      </c>
      <c r="L164" s="684">
        <f>IF(終値!A164="","",IFERROR(4*STDEVP(終値!O164:AH164)/AVERAGE(終値!O164:AH164),""))</f>
      </c>
      <c r="M164" s="684">
        <f>IF(終値!A164="","",IFERROR(4*STDEVP(終値!P164:AI164)/AVERAGE(終値!P164:AI164),""))</f>
      </c>
      <c r="N164" s="684">
        <f>IF(終値!A164="","",IFERROR(4*STDEVP(終値!Q164:AJ164)/AVERAGE(終値!Q164:AJ164),""))</f>
      </c>
      <c r="O164" s="684">
        <f>IF(終値!A164="","",IFERROR(4*STDEVP(終値!R164:AK164)/AVERAGE(終値!R164:AK164),""))</f>
      </c>
      <c r="P164" s="684">
        <f>IF(終値!A164="","",IFERROR(4*STDEVP(終値!S164:AL164)/AVERAGE(終値!S164:AL164),""))</f>
      </c>
      <c r="Q164" s="684">
        <f>IF(終値!A164="","",IFERROR(4*STDEVP(終値!T164:AM164)/AVERAGE(終値!T164:AM164),""))</f>
      </c>
      <c r="R164" s="684">
        <f>IF(終値!A164="","",IFERROR(4*STDEVP(終値!U164:AN164)/AVERAGE(終値!U164:AN164),""))</f>
      </c>
      <c r="S164" s="684">
        <f>IF(終値!A164="","",IFERROR(4*STDEVP(終値!V164:AO164)/AVERAGE(終値!V164:AO164),""))</f>
      </c>
      <c r="T164" s="684">
        <f>IF(終値!A164="","",IFERROR(4*STDEVP(終値!W164:AP164)/AVERAGE(終値!W164:AP164),""))</f>
      </c>
      <c r="U164" s="684">
        <f>IF(終値!A164="","",IFERROR(4*STDEVP(終値!X164:AQ164)/AVERAGE(終値!X164:AQ164),""))</f>
      </c>
      <c r="V164" s="684">
        <f>IF(終値!A164="","",IFERROR(4*STDEVP(終値!Y164:AR164)/AVERAGE(終値!Y164:AR164),""))</f>
      </c>
      <c r="W164" s="684">
        <f>IF(終値!A164="","",IFERROR(4*STDEVP(終値!Z164:AS164)/AVERAGE(終値!Z164:AS164),""))</f>
      </c>
      <c r="X164" s="684">
        <f>IF(終値!A164="","",IFERROR(4*STDEVP(終値!AA164:AT164)/AVERAGE(終値!AA164:AT164),""))</f>
      </c>
      <c r="Y164" s="684">
        <f>IF(終値!A164="","",IFERROR(4*STDEVP(終値!AB164:AU164)/AVERAGE(終値!AB164:AU164),""))</f>
      </c>
      <c r="Z164" s="684">
        <f>IF(終値!A164="","",IFERROR(4*STDEVP(終値!AC164:AV164)/AVERAGE(終値!AC164:AV164),""))</f>
      </c>
      <c r="AA164" s="684">
        <f>IF(終値!A164="","",IFERROR(4*STDEVP(終値!AD164:AW164)/AVERAGE(終値!AD164:AW164),""))</f>
      </c>
      <c r="AB164" s="684">
        <f>IF(終値!A164="","",IFERROR(4*STDEVP(終値!AE164:AX164)/AVERAGE(終値!AE164:AX164),""))</f>
      </c>
      <c r="AC164" s="684">
        <f>IF(終値!A164="","",IFERROR(4*STDEVP(終値!AF164:AY164)/AVERAGE(終値!AF164:AY164),""))</f>
      </c>
      <c r="AD164" s="684">
        <f>IF(終値!A164="","",IFERROR(4*STDEVP(終値!AG164:AZ164)/AVERAGE(終値!AG164:AZ164),""))</f>
      </c>
      <c r="AE164" s="684">
        <f>IF(終値!A164="","",IFERROR(4*STDEVP(終値!AH164:BA164)/AVERAGE(終値!AH164:BA164),""))</f>
      </c>
      <c r="AF164" s="684">
        <f>IF(終値!A164="","",IFERROR(4*STDEVP(終値!AI164:BB164)/AVERAGE(終値!AI164:BB164),""))</f>
      </c>
      <c r="AG164" s="684">
        <f>IF(終値!A164="","",IFERROR(4*STDEVP(終値!AJ164:BC164)/AVERAGE(終値!AJ164:BC164),""))</f>
      </c>
      <c r="AH164" s="684">
        <f>IF(終値!A164="","",IFERROR(4*STDEVP(終値!AK164:BD164)/AVERAGE(終値!AK164:BD164),""))</f>
      </c>
      <c r="AI164" s="684">
        <f>IF(終値!A164="","",IFERROR(4*STDEVP(終値!AL164:BE164)/AVERAGE(終値!AL164:BE164),""))</f>
      </c>
      <c r="AJ164" s="684">
        <f>IF(終値!A164="","",IFERROR(4*STDEVP(終値!AM164:BF164)/AVERAGE(終値!AM164:BF164),""))</f>
      </c>
      <c r="AK164" s="684">
        <f>IF(終値!A164="","",IFERROR(4*STDEVP(終値!AN164:BG164)/AVERAGE(終値!AN164:BG164),""))</f>
      </c>
      <c r="AL164" s="684">
        <f>IF(終値!A164="","",IFERROR(4*STDEVP(終値!AO164:BH164)/AVERAGE(終値!AO164:BH164),""))</f>
      </c>
      <c r="AM164" s="684">
        <f>IF(終値!A164="","",IFERROR(4*STDEVP(終値!AP164:BI164)/AVERAGE(終値!AP164:BI164),""))</f>
      </c>
      <c r="AN164" s="684">
        <f>IF(終値!A164="","",IFERROR(4*STDEVP(終値!AQ164:BJ164)/AVERAGE(終値!AQ164:BJ164),""))</f>
      </c>
      <c r="AO164" s="684">
        <f>IF(終値!A164="","",IFERROR(4*STDEVP(終値!AR164:BK164)/AVERAGE(終値!AR164:BK164),""))</f>
      </c>
      <c r="AP164" s="684">
        <f>IF(終値!A164="","",IFERROR(4*STDEVP(終値!AS164:BL164)/AVERAGE(終値!AS164:BL164),""))</f>
      </c>
    </row>
    <row r="165">
      <c r="A165" s="681">
        <f>IF(終値!A165="","",終値!A165)</f>
      </c>
      <c r="B165" s="684">
        <f>IF(終値!A165="","",IFERROR(4*STDEVP(終値!E165:X165)/AVERAGE(終値!E165:X165),""))</f>
      </c>
      <c r="C165" s="684">
        <f>IF(終値!A165="","",IFERROR(4*STDEVP(終値!F165:Y165)/AVERAGE(終値!F165:Y165),""))</f>
      </c>
      <c r="D165" s="684">
        <f>IF(終値!A165="","",IFERROR(4*STDEVP(終値!G165:Z165)/AVERAGE(終値!G165:Z165),""))</f>
      </c>
      <c r="E165" s="684">
        <f>IF(終値!A165="","",IFERROR(4*STDEVP(終値!H165:AA165)/AVERAGE(終値!H165:AA165),""))</f>
      </c>
      <c r="F165" s="684">
        <f>IF(終値!A165="","",IFERROR(4*STDEVP(終値!I165:AB165)/AVERAGE(終値!I165:AB165),""))</f>
      </c>
      <c r="G165" s="684">
        <f>IF(終値!A165="","",IFERROR(4*STDEVP(終値!J165:AC165)/AVERAGE(終値!J165:AC165),""))</f>
      </c>
      <c r="H165" s="684">
        <f>IF(終値!A165="","",IFERROR(4*STDEVP(終値!K165:AD165)/AVERAGE(終値!K165:AD165),""))</f>
      </c>
      <c r="I165" s="684">
        <f>IF(終値!A165="","",IFERROR(4*STDEVP(終値!L165:AE165)/AVERAGE(終値!L165:AE165),""))</f>
      </c>
      <c r="J165" s="684">
        <f>IF(終値!A165="","",IFERROR(4*STDEVP(終値!M165:AF165)/AVERAGE(終値!M165:AF165),""))</f>
      </c>
      <c r="K165" s="684">
        <f>IF(終値!A165="","",IFERROR(4*STDEVP(終値!N165:AG165)/AVERAGE(終値!N165:AG165),""))</f>
      </c>
      <c r="L165" s="684">
        <f>IF(終値!A165="","",IFERROR(4*STDEVP(終値!O165:AH165)/AVERAGE(終値!O165:AH165),""))</f>
      </c>
      <c r="M165" s="684">
        <f>IF(終値!A165="","",IFERROR(4*STDEVP(終値!P165:AI165)/AVERAGE(終値!P165:AI165),""))</f>
      </c>
      <c r="N165" s="684">
        <f>IF(終値!A165="","",IFERROR(4*STDEVP(終値!Q165:AJ165)/AVERAGE(終値!Q165:AJ165),""))</f>
      </c>
      <c r="O165" s="684">
        <f>IF(終値!A165="","",IFERROR(4*STDEVP(終値!R165:AK165)/AVERAGE(終値!R165:AK165),""))</f>
      </c>
      <c r="P165" s="684">
        <f>IF(終値!A165="","",IFERROR(4*STDEVP(終値!S165:AL165)/AVERAGE(終値!S165:AL165),""))</f>
      </c>
      <c r="Q165" s="684">
        <f>IF(終値!A165="","",IFERROR(4*STDEVP(終値!T165:AM165)/AVERAGE(終値!T165:AM165),""))</f>
      </c>
      <c r="R165" s="684">
        <f>IF(終値!A165="","",IFERROR(4*STDEVP(終値!U165:AN165)/AVERAGE(終値!U165:AN165),""))</f>
      </c>
      <c r="S165" s="684">
        <f>IF(終値!A165="","",IFERROR(4*STDEVP(終値!V165:AO165)/AVERAGE(終値!V165:AO165),""))</f>
      </c>
      <c r="T165" s="684">
        <f>IF(終値!A165="","",IFERROR(4*STDEVP(終値!W165:AP165)/AVERAGE(終値!W165:AP165),""))</f>
      </c>
      <c r="U165" s="684">
        <f>IF(終値!A165="","",IFERROR(4*STDEVP(終値!X165:AQ165)/AVERAGE(終値!X165:AQ165),""))</f>
      </c>
      <c r="V165" s="684">
        <f>IF(終値!A165="","",IFERROR(4*STDEVP(終値!Y165:AR165)/AVERAGE(終値!Y165:AR165),""))</f>
      </c>
      <c r="W165" s="684">
        <f>IF(終値!A165="","",IFERROR(4*STDEVP(終値!Z165:AS165)/AVERAGE(終値!Z165:AS165),""))</f>
      </c>
      <c r="X165" s="684">
        <f>IF(終値!A165="","",IFERROR(4*STDEVP(終値!AA165:AT165)/AVERAGE(終値!AA165:AT165),""))</f>
      </c>
      <c r="Y165" s="684">
        <f>IF(終値!A165="","",IFERROR(4*STDEVP(終値!AB165:AU165)/AVERAGE(終値!AB165:AU165),""))</f>
      </c>
      <c r="Z165" s="684">
        <f>IF(終値!A165="","",IFERROR(4*STDEVP(終値!AC165:AV165)/AVERAGE(終値!AC165:AV165),""))</f>
      </c>
      <c r="AA165" s="684">
        <f>IF(終値!A165="","",IFERROR(4*STDEVP(終値!AD165:AW165)/AVERAGE(終値!AD165:AW165),""))</f>
      </c>
      <c r="AB165" s="684">
        <f>IF(終値!A165="","",IFERROR(4*STDEVP(終値!AE165:AX165)/AVERAGE(終値!AE165:AX165),""))</f>
      </c>
      <c r="AC165" s="684">
        <f>IF(終値!A165="","",IFERROR(4*STDEVP(終値!AF165:AY165)/AVERAGE(終値!AF165:AY165),""))</f>
      </c>
      <c r="AD165" s="684">
        <f>IF(終値!A165="","",IFERROR(4*STDEVP(終値!AG165:AZ165)/AVERAGE(終値!AG165:AZ165),""))</f>
      </c>
      <c r="AE165" s="684">
        <f>IF(終値!A165="","",IFERROR(4*STDEVP(終値!AH165:BA165)/AVERAGE(終値!AH165:BA165),""))</f>
      </c>
      <c r="AF165" s="684">
        <f>IF(終値!A165="","",IFERROR(4*STDEVP(終値!AI165:BB165)/AVERAGE(終値!AI165:BB165),""))</f>
      </c>
      <c r="AG165" s="684">
        <f>IF(終値!A165="","",IFERROR(4*STDEVP(終値!AJ165:BC165)/AVERAGE(終値!AJ165:BC165),""))</f>
      </c>
      <c r="AH165" s="684">
        <f>IF(終値!A165="","",IFERROR(4*STDEVP(終値!AK165:BD165)/AVERAGE(終値!AK165:BD165),""))</f>
      </c>
      <c r="AI165" s="684">
        <f>IF(終値!A165="","",IFERROR(4*STDEVP(終値!AL165:BE165)/AVERAGE(終値!AL165:BE165),""))</f>
      </c>
      <c r="AJ165" s="684">
        <f>IF(終値!A165="","",IFERROR(4*STDEVP(終値!AM165:BF165)/AVERAGE(終値!AM165:BF165),""))</f>
      </c>
      <c r="AK165" s="684">
        <f>IF(終値!A165="","",IFERROR(4*STDEVP(終値!AN165:BG165)/AVERAGE(終値!AN165:BG165),""))</f>
      </c>
      <c r="AL165" s="684">
        <f>IF(終値!A165="","",IFERROR(4*STDEVP(終値!AO165:BH165)/AVERAGE(終値!AO165:BH165),""))</f>
      </c>
      <c r="AM165" s="684">
        <f>IF(終値!A165="","",IFERROR(4*STDEVP(終値!AP165:BI165)/AVERAGE(終値!AP165:BI165),""))</f>
      </c>
      <c r="AN165" s="684">
        <f>IF(終値!A165="","",IFERROR(4*STDEVP(終値!AQ165:BJ165)/AVERAGE(終値!AQ165:BJ165),""))</f>
      </c>
      <c r="AO165" s="684">
        <f>IF(終値!A165="","",IFERROR(4*STDEVP(終値!AR165:BK165)/AVERAGE(終値!AR165:BK165),""))</f>
      </c>
      <c r="AP165" s="684">
        <f>IF(終値!A165="","",IFERROR(4*STDEVP(終値!AS165:BL165)/AVERAGE(終値!AS165:BL165),""))</f>
      </c>
    </row>
    <row r="166">
      <c r="A166" s="681">
        <f>IF(終値!A166="","",終値!A166)</f>
      </c>
      <c r="B166" s="684">
        <f>IF(終値!A166="","",IFERROR(4*STDEVP(終値!E166:X166)/AVERAGE(終値!E166:X166),""))</f>
      </c>
      <c r="C166" s="684">
        <f>IF(終値!A166="","",IFERROR(4*STDEVP(終値!F166:Y166)/AVERAGE(終値!F166:Y166),""))</f>
      </c>
      <c r="D166" s="684">
        <f>IF(終値!A166="","",IFERROR(4*STDEVP(終値!G166:Z166)/AVERAGE(終値!G166:Z166),""))</f>
      </c>
      <c r="E166" s="684">
        <f>IF(終値!A166="","",IFERROR(4*STDEVP(終値!H166:AA166)/AVERAGE(終値!H166:AA166),""))</f>
      </c>
      <c r="F166" s="684">
        <f>IF(終値!A166="","",IFERROR(4*STDEVP(終値!I166:AB166)/AVERAGE(終値!I166:AB166),""))</f>
      </c>
      <c r="G166" s="684">
        <f>IF(終値!A166="","",IFERROR(4*STDEVP(終値!J166:AC166)/AVERAGE(終値!J166:AC166),""))</f>
      </c>
      <c r="H166" s="684">
        <f>IF(終値!A166="","",IFERROR(4*STDEVP(終値!K166:AD166)/AVERAGE(終値!K166:AD166),""))</f>
      </c>
      <c r="I166" s="684">
        <f>IF(終値!A166="","",IFERROR(4*STDEVP(終値!L166:AE166)/AVERAGE(終値!L166:AE166),""))</f>
      </c>
      <c r="J166" s="684">
        <f>IF(終値!A166="","",IFERROR(4*STDEVP(終値!M166:AF166)/AVERAGE(終値!M166:AF166),""))</f>
      </c>
      <c r="K166" s="684">
        <f>IF(終値!A166="","",IFERROR(4*STDEVP(終値!N166:AG166)/AVERAGE(終値!N166:AG166),""))</f>
      </c>
      <c r="L166" s="684">
        <f>IF(終値!A166="","",IFERROR(4*STDEVP(終値!O166:AH166)/AVERAGE(終値!O166:AH166),""))</f>
      </c>
      <c r="M166" s="684">
        <f>IF(終値!A166="","",IFERROR(4*STDEVP(終値!P166:AI166)/AVERAGE(終値!P166:AI166),""))</f>
      </c>
      <c r="N166" s="684">
        <f>IF(終値!A166="","",IFERROR(4*STDEVP(終値!Q166:AJ166)/AVERAGE(終値!Q166:AJ166),""))</f>
      </c>
      <c r="O166" s="684">
        <f>IF(終値!A166="","",IFERROR(4*STDEVP(終値!R166:AK166)/AVERAGE(終値!R166:AK166),""))</f>
      </c>
      <c r="P166" s="684">
        <f>IF(終値!A166="","",IFERROR(4*STDEVP(終値!S166:AL166)/AVERAGE(終値!S166:AL166),""))</f>
      </c>
      <c r="Q166" s="684">
        <f>IF(終値!A166="","",IFERROR(4*STDEVP(終値!T166:AM166)/AVERAGE(終値!T166:AM166),""))</f>
      </c>
      <c r="R166" s="684">
        <f>IF(終値!A166="","",IFERROR(4*STDEVP(終値!U166:AN166)/AVERAGE(終値!U166:AN166),""))</f>
      </c>
      <c r="S166" s="684">
        <f>IF(終値!A166="","",IFERROR(4*STDEVP(終値!V166:AO166)/AVERAGE(終値!V166:AO166),""))</f>
      </c>
      <c r="T166" s="684">
        <f>IF(終値!A166="","",IFERROR(4*STDEVP(終値!W166:AP166)/AVERAGE(終値!W166:AP166),""))</f>
      </c>
      <c r="U166" s="684">
        <f>IF(終値!A166="","",IFERROR(4*STDEVP(終値!X166:AQ166)/AVERAGE(終値!X166:AQ166),""))</f>
      </c>
      <c r="V166" s="684">
        <f>IF(終値!A166="","",IFERROR(4*STDEVP(終値!Y166:AR166)/AVERAGE(終値!Y166:AR166),""))</f>
      </c>
      <c r="W166" s="684">
        <f>IF(終値!A166="","",IFERROR(4*STDEVP(終値!Z166:AS166)/AVERAGE(終値!Z166:AS166),""))</f>
      </c>
      <c r="X166" s="684">
        <f>IF(終値!A166="","",IFERROR(4*STDEVP(終値!AA166:AT166)/AVERAGE(終値!AA166:AT166),""))</f>
      </c>
      <c r="Y166" s="684">
        <f>IF(終値!A166="","",IFERROR(4*STDEVP(終値!AB166:AU166)/AVERAGE(終値!AB166:AU166),""))</f>
      </c>
      <c r="Z166" s="684">
        <f>IF(終値!A166="","",IFERROR(4*STDEVP(終値!AC166:AV166)/AVERAGE(終値!AC166:AV166),""))</f>
      </c>
      <c r="AA166" s="684">
        <f>IF(終値!A166="","",IFERROR(4*STDEVP(終値!AD166:AW166)/AVERAGE(終値!AD166:AW166),""))</f>
      </c>
      <c r="AB166" s="684">
        <f>IF(終値!A166="","",IFERROR(4*STDEVP(終値!AE166:AX166)/AVERAGE(終値!AE166:AX166),""))</f>
      </c>
      <c r="AC166" s="684">
        <f>IF(終値!A166="","",IFERROR(4*STDEVP(終値!AF166:AY166)/AVERAGE(終値!AF166:AY166),""))</f>
      </c>
      <c r="AD166" s="684">
        <f>IF(終値!A166="","",IFERROR(4*STDEVP(終値!AG166:AZ166)/AVERAGE(終値!AG166:AZ166),""))</f>
      </c>
      <c r="AE166" s="684">
        <f>IF(終値!A166="","",IFERROR(4*STDEVP(終値!AH166:BA166)/AVERAGE(終値!AH166:BA166),""))</f>
      </c>
      <c r="AF166" s="684">
        <f>IF(終値!A166="","",IFERROR(4*STDEVP(終値!AI166:BB166)/AVERAGE(終値!AI166:BB166),""))</f>
      </c>
      <c r="AG166" s="684">
        <f>IF(終値!A166="","",IFERROR(4*STDEVP(終値!AJ166:BC166)/AVERAGE(終値!AJ166:BC166),""))</f>
      </c>
      <c r="AH166" s="684">
        <f>IF(終値!A166="","",IFERROR(4*STDEVP(終値!AK166:BD166)/AVERAGE(終値!AK166:BD166),""))</f>
      </c>
      <c r="AI166" s="684">
        <f>IF(終値!A166="","",IFERROR(4*STDEVP(終値!AL166:BE166)/AVERAGE(終値!AL166:BE166),""))</f>
      </c>
      <c r="AJ166" s="684">
        <f>IF(終値!A166="","",IFERROR(4*STDEVP(終値!AM166:BF166)/AVERAGE(終値!AM166:BF166),""))</f>
      </c>
      <c r="AK166" s="684">
        <f>IF(終値!A166="","",IFERROR(4*STDEVP(終値!AN166:BG166)/AVERAGE(終値!AN166:BG166),""))</f>
      </c>
      <c r="AL166" s="684">
        <f>IF(終値!A166="","",IFERROR(4*STDEVP(終値!AO166:BH166)/AVERAGE(終値!AO166:BH166),""))</f>
      </c>
      <c r="AM166" s="684">
        <f>IF(終値!A166="","",IFERROR(4*STDEVP(終値!AP166:BI166)/AVERAGE(終値!AP166:BI166),""))</f>
      </c>
      <c r="AN166" s="684">
        <f>IF(終値!A166="","",IFERROR(4*STDEVP(終値!AQ166:BJ166)/AVERAGE(終値!AQ166:BJ166),""))</f>
      </c>
      <c r="AO166" s="684">
        <f>IF(終値!A166="","",IFERROR(4*STDEVP(終値!AR166:BK166)/AVERAGE(終値!AR166:BK166),""))</f>
      </c>
      <c r="AP166" s="684">
        <f>IF(終値!A166="","",IFERROR(4*STDEVP(終値!AS166:BL166)/AVERAGE(終値!AS166:BL166),""))</f>
      </c>
    </row>
    <row r="167">
      <c r="A167" s="681">
        <f>IF(終値!A167="","",終値!A167)</f>
      </c>
      <c r="B167" s="684">
        <f>IF(終値!A167="","",IFERROR(4*STDEVP(終値!E167:X167)/AVERAGE(終値!E167:X167),""))</f>
      </c>
      <c r="C167" s="684">
        <f>IF(終値!A167="","",IFERROR(4*STDEVP(終値!F167:Y167)/AVERAGE(終値!F167:Y167),""))</f>
      </c>
      <c r="D167" s="684">
        <f>IF(終値!A167="","",IFERROR(4*STDEVP(終値!G167:Z167)/AVERAGE(終値!G167:Z167),""))</f>
      </c>
      <c r="E167" s="684">
        <f>IF(終値!A167="","",IFERROR(4*STDEVP(終値!H167:AA167)/AVERAGE(終値!H167:AA167),""))</f>
      </c>
      <c r="F167" s="684">
        <f>IF(終値!A167="","",IFERROR(4*STDEVP(終値!I167:AB167)/AVERAGE(終値!I167:AB167),""))</f>
      </c>
      <c r="G167" s="684">
        <f>IF(終値!A167="","",IFERROR(4*STDEVP(終値!J167:AC167)/AVERAGE(終値!J167:AC167),""))</f>
      </c>
      <c r="H167" s="684">
        <f>IF(終値!A167="","",IFERROR(4*STDEVP(終値!K167:AD167)/AVERAGE(終値!K167:AD167),""))</f>
      </c>
      <c r="I167" s="684">
        <f>IF(終値!A167="","",IFERROR(4*STDEVP(終値!L167:AE167)/AVERAGE(終値!L167:AE167),""))</f>
      </c>
      <c r="J167" s="684">
        <f>IF(終値!A167="","",IFERROR(4*STDEVP(終値!M167:AF167)/AVERAGE(終値!M167:AF167),""))</f>
      </c>
      <c r="K167" s="684">
        <f>IF(終値!A167="","",IFERROR(4*STDEVP(終値!N167:AG167)/AVERAGE(終値!N167:AG167),""))</f>
      </c>
      <c r="L167" s="684">
        <f>IF(終値!A167="","",IFERROR(4*STDEVP(終値!O167:AH167)/AVERAGE(終値!O167:AH167),""))</f>
      </c>
      <c r="M167" s="684">
        <f>IF(終値!A167="","",IFERROR(4*STDEVP(終値!P167:AI167)/AVERAGE(終値!P167:AI167),""))</f>
      </c>
      <c r="N167" s="684">
        <f>IF(終値!A167="","",IFERROR(4*STDEVP(終値!Q167:AJ167)/AVERAGE(終値!Q167:AJ167),""))</f>
      </c>
      <c r="O167" s="684">
        <f>IF(終値!A167="","",IFERROR(4*STDEVP(終値!R167:AK167)/AVERAGE(終値!R167:AK167),""))</f>
      </c>
      <c r="P167" s="684">
        <f>IF(終値!A167="","",IFERROR(4*STDEVP(終値!S167:AL167)/AVERAGE(終値!S167:AL167),""))</f>
      </c>
      <c r="Q167" s="684">
        <f>IF(終値!A167="","",IFERROR(4*STDEVP(終値!T167:AM167)/AVERAGE(終値!T167:AM167),""))</f>
      </c>
      <c r="R167" s="684">
        <f>IF(終値!A167="","",IFERROR(4*STDEVP(終値!U167:AN167)/AVERAGE(終値!U167:AN167),""))</f>
      </c>
      <c r="S167" s="684">
        <f>IF(終値!A167="","",IFERROR(4*STDEVP(終値!V167:AO167)/AVERAGE(終値!V167:AO167),""))</f>
      </c>
      <c r="T167" s="684">
        <f>IF(終値!A167="","",IFERROR(4*STDEVP(終値!W167:AP167)/AVERAGE(終値!W167:AP167),""))</f>
      </c>
      <c r="U167" s="684">
        <f>IF(終値!A167="","",IFERROR(4*STDEVP(終値!X167:AQ167)/AVERAGE(終値!X167:AQ167),""))</f>
      </c>
      <c r="V167" s="684">
        <f>IF(終値!A167="","",IFERROR(4*STDEVP(終値!Y167:AR167)/AVERAGE(終値!Y167:AR167),""))</f>
      </c>
      <c r="W167" s="684">
        <f>IF(終値!A167="","",IFERROR(4*STDEVP(終値!Z167:AS167)/AVERAGE(終値!Z167:AS167),""))</f>
      </c>
      <c r="X167" s="684">
        <f>IF(終値!A167="","",IFERROR(4*STDEVP(終値!AA167:AT167)/AVERAGE(終値!AA167:AT167),""))</f>
      </c>
      <c r="Y167" s="684">
        <f>IF(終値!A167="","",IFERROR(4*STDEVP(終値!AB167:AU167)/AVERAGE(終値!AB167:AU167),""))</f>
      </c>
      <c r="Z167" s="684">
        <f>IF(終値!A167="","",IFERROR(4*STDEVP(終値!AC167:AV167)/AVERAGE(終値!AC167:AV167),""))</f>
      </c>
      <c r="AA167" s="684">
        <f>IF(終値!A167="","",IFERROR(4*STDEVP(終値!AD167:AW167)/AVERAGE(終値!AD167:AW167),""))</f>
      </c>
      <c r="AB167" s="684">
        <f>IF(終値!A167="","",IFERROR(4*STDEVP(終値!AE167:AX167)/AVERAGE(終値!AE167:AX167),""))</f>
      </c>
      <c r="AC167" s="684">
        <f>IF(終値!A167="","",IFERROR(4*STDEVP(終値!AF167:AY167)/AVERAGE(終値!AF167:AY167),""))</f>
      </c>
      <c r="AD167" s="684">
        <f>IF(終値!A167="","",IFERROR(4*STDEVP(終値!AG167:AZ167)/AVERAGE(終値!AG167:AZ167),""))</f>
      </c>
      <c r="AE167" s="684">
        <f>IF(終値!A167="","",IFERROR(4*STDEVP(終値!AH167:BA167)/AVERAGE(終値!AH167:BA167),""))</f>
      </c>
      <c r="AF167" s="684">
        <f>IF(終値!A167="","",IFERROR(4*STDEVP(終値!AI167:BB167)/AVERAGE(終値!AI167:BB167),""))</f>
      </c>
      <c r="AG167" s="684">
        <f>IF(終値!A167="","",IFERROR(4*STDEVP(終値!AJ167:BC167)/AVERAGE(終値!AJ167:BC167),""))</f>
      </c>
      <c r="AH167" s="684">
        <f>IF(終値!A167="","",IFERROR(4*STDEVP(終値!AK167:BD167)/AVERAGE(終値!AK167:BD167),""))</f>
      </c>
      <c r="AI167" s="684">
        <f>IF(終値!A167="","",IFERROR(4*STDEVP(終値!AL167:BE167)/AVERAGE(終値!AL167:BE167),""))</f>
      </c>
      <c r="AJ167" s="684">
        <f>IF(終値!A167="","",IFERROR(4*STDEVP(終値!AM167:BF167)/AVERAGE(終値!AM167:BF167),""))</f>
      </c>
      <c r="AK167" s="684">
        <f>IF(終値!A167="","",IFERROR(4*STDEVP(終値!AN167:BG167)/AVERAGE(終値!AN167:BG167),""))</f>
      </c>
      <c r="AL167" s="684">
        <f>IF(終値!A167="","",IFERROR(4*STDEVP(終値!AO167:BH167)/AVERAGE(終値!AO167:BH167),""))</f>
      </c>
      <c r="AM167" s="684">
        <f>IF(終値!A167="","",IFERROR(4*STDEVP(終値!AP167:BI167)/AVERAGE(終値!AP167:BI167),""))</f>
      </c>
      <c r="AN167" s="684">
        <f>IF(終値!A167="","",IFERROR(4*STDEVP(終値!AQ167:BJ167)/AVERAGE(終値!AQ167:BJ167),""))</f>
      </c>
      <c r="AO167" s="684">
        <f>IF(終値!A167="","",IFERROR(4*STDEVP(終値!AR167:BK167)/AVERAGE(終値!AR167:BK167),""))</f>
      </c>
      <c r="AP167" s="684">
        <f>IF(終値!A167="","",IFERROR(4*STDEVP(終値!AS167:BL167)/AVERAGE(終値!AS167:BL167),""))</f>
      </c>
    </row>
    <row r="168">
      <c r="A168" s="681">
        <f>IF(終値!A168="","",終値!A168)</f>
      </c>
      <c r="B168" s="684">
        <f>IF(終値!A168="","",IFERROR(4*STDEVP(終値!E168:X168)/AVERAGE(終値!E168:X168),""))</f>
      </c>
      <c r="C168" s="684">
        <f>IF(終値!A168="","",IFERROR(4*STDEVP(終値!F168:Y168)/AVERAGE(終値!F168:Y168),""))</f>
      </c>
      <c r="D168" s="684">
        <f>IF(終値!A168="","",IFERROR(4*STDEVP(終値!G168:Z168)/AVERAGE(終値!G168:Z168),""))</f>
      </c>
      <c r="E168" s="684">
        <f>IF(終値!A168="","",IFERROR(4*STDEVP(終値!H168:AA168)/AVERAGE(終値!H168:AA168),""))</f>
      </c>
      <c r="F168" s="684">
        <f>IF(終値!A168="","",IFERROR(4*STDEVP(終値!I168:AB168)/AVERAGE(終値!I168:AB168),""))</f>
      </c>
      <c r="G168" s="684">
        <f>IF(終値!A168="","",IFERROR(4*STDEVP(終値!J168:AC168)/AVERAGE(終値!J168:AC168),""))</f>
      </c>
      <c r="H168" s="684">
        <f>IF(終値!A168="","",IFERROR(4*STDEVP(終値!K168:AD168)/AVERAGE(終値!K168:AD168),""))</f>
      </c>
      <c r="I168" s="684">
        <f>IF(終値!A168="","",IFERROR(4*STDEVP(終値!L168:AE168)/AVERAGE(終値!L168:AE168),""))</f>
      </c>
      <c r="J168" s="684">
        <f>IF(終値!A168="","",IFERROR(4*STDEVP(終値!M168:AF168)/AVERAGE(終値!M168:AF168),""))</f>
      </c>
      <c r="K168" s="684">
        <f>IF(終値!A168="","",IFERROR(4*STDEVP(終値!N168:AG168)/AVERAGE(終値!N168:AG168),""))</f>
      </c>
      <c r="L168" s="684">
        <f>IF(終値!A168="","",IFERROR(4*STDEVP(終値!O168:AH168)/AVERAGE(終値!O168:AH168),""))</f>
      </c>
      <c r="M168" s="684">
        <f>IF(終値!A168="","",IFERROR(4*STDEVP(終値!P168:AI168)/AVERAGE(終値!P168:AI168),""))</f>
      </c>
      <c r="N168" s="684">
        <f>IF(終値!A168="","",IFERROR(4*STDEVP(終値!Q168:AJ168)/AVERAGE(終値!Q168:AJ168),""))</f>
      </c>
      <c r="O168" s="684">
        <f>IF(終値!A168="","",IFERROR(4*STDEVP(終値!R168:AK168)/AVERAGE(終値!R168:AK168),""))</f>
      </c>
      <c r="P168" s="684">
        <f>IF(終値!A168="","",IFERROR(4*STDEVP(終値!S168:AL168)/AVERAGE(終値!S168:AL168),""))</f>
      </c>
      <c r="Q168" s="684">
        <f>IF(終値!A168="","",IFERROR(4*STDEVP(終値!T168:AM168)/AVERAGE(終値!T168:AM168),""))</f>
      </c>
      <c r="R168" s="684">
        <f>IF(終値!A168="","",IFERROR(4*STDEVP(終値!U168:AN168)/AVERAGE(終値!U168:AN168),""))</f>
      </c>
      <c r="S168" s="684">
        <f>IF(終値!A168="","",IFERROR(4*STDEVP(終値!V168:AO168)/AVERAGE(終値!V168:AO168),""))</f>
      </c>
      <c r="T168" s="684">
        <f>IF(終値!A168="","",IFERROR(4*STDEVP(終値!W168:AP168)/AVERAGE(終値!W168:AP168),""))</f>
      </c>
      <c r="U168" s="684">
        <f>IF(終値!A168="","",IFERROR(4*STDEVP(終値!X168:AQ168)/AVERAGE(終値!X168:AQ168),""))</f>
      </c>
      <c r="V168" s="684">
        <f>IF(終値!A168="","",IFERROR(4*STDEVP(終値!Y168:AR168)/AVERAGE(終値!Y168:AR168),""))</f>
      </c>
      <c r="W168" s="684">
        <f>IF(終値!A168="","",IFERROR(4*STDEVP(終値!Z168:AS168)/AVERAGE(終値!Z168:AS168),""))</f>
      </c>
      <c r="X168" s="684">
        <f>IF(終値!A168="","",IFERROR(4*STDEVP(終値!AA168:AT168)/AVERAGE(終値!AA168:AT168),""))</f>
      </c>
      <c r="Y168" s="684">
        <f>IF(終値!A168="","",IFERROR(4*STDEVP(終値!AB168:AU168)/AVERAGE(終値!AB168:AU168),""))</f>
      </c>
      <c r="Z168" s="684">
        <f>IF(終値!A168="","",IFERROR(4*STDEVP(終値!AC168:AV168)/AVERAGE(終値!AC168:AV168),""))</f>
      </c>
      <c r="AA168" s="684">
        <f>IF(終値!A168="","",IFERROR(4*STDEVP(終値!AD168:AW168)/AVERAGE(終値!AD168:AW168),""))</f>
      </c>
      <c r="AB168" s="684">
        <f>IF(終値!A168="","",IFERROR(4*STDEVP(終値!AE168:AX168)/AVERAGE(終値!AE168:AX168),""))</f>
      </c>
      <c r="AC168" s="684">
        <f>IF(終値!A168="","",IFERROR(4*STDEVP(終値!AF168:AY168)/AVERAGE(終値!AF168:AY168),""))</f>
      </c>
      <c r="AD168" s="684">
        <f>IF(終値!A168="","",IFERROR(4*STDEVP(終値!AG168:AZ168)/AVERAGE(終値!AG168:AZ168),""))</f>
      </c>
      <c r="AE168" s="684">
        <f>IF(終値!A168="","",IFERROR(4*STDEVP(終値!AH168:BA168)/AVERAGE(終値!AH168:BA168),""))</f>
      </c>
      <c r="AF168" s="684">
        <f>IF(終値!A168="","",IFERROR(4*STDEVP(終値!AI168:BB168)/AVERAGE(終値!AI168:BB168),""))</f>
      </c>
      <c r="AG168" s="684">
        <f>IF(終値!A168="","",IFERROR(4*STDEVP(終値!AJ168:BC168)/AVERAGE(終値!AJ168:BC168),""))</f>
      </c>
      <c r="AH168" s="684">
        <f>IF(終値!A168="","",IFERROR(4*STDEVP(終値!AK168:BD168)/AVERAGE(終値!AK168:BD168),""))</f>
      </c>
      <c r="AI168" s="684">
        <f>IF(終値!A168="","",IFERROR(4*STDEVP(終値!AL168:BE168)/AVERAGE(終値!AL168:BE168),""))</f>
      </c>
      <c r="AJ168" s="684">
        <f>IF(終値!A168="","",IFERROR(4*STDEVP(終値!AM168:BF168)/AVERAGE(終値!AM168:BF168),""))</f>
      </c>
      <c r="AK168" s="684">
        <f>IF(終値!A168="","",IFERROR(4*STDEVP(終値!AN168:BG168)/AVERAGE(終値!AN168:BG168),""))</f>
      </c>
      <c r="AL168" s="684">
        <f>IF(終値!A168="","",IFERROR(4*STDEVP(終値!AO168:BH168)/AVERAGE(終値!AO168:BH168),""))</f>
      </c>
      <c r="AM168" s="684">
        <f>IF(終値!A168="","",IFERROR(4*STDEVP(終値!AP168:BI168)/AVERAGE(終値!AP168:BI168),""))</f>
      </c>
      <c r="AN168" s="684">
        <f>IF(終値!A168="","",IFERROR(4*STDEVP(終値!AQ168:BJ168)/AVERAGE(終値!AQ168:BJ168),""))</f>
      </c>
      <c r="AO168" s="684">
        <f>IF(終値!A168="","",IFERROR(4*STDEVP(終値!AR168:BK168)/AVERAGE(終値!AR168:BK168),""))</f>
      </c>
      <c r="AP168" s="684">
        <f>IF(終値!A168="","",IFERROR(4*STDEVP(終値!AS168:BL168)/AVERAGE(終値!AS168:BL168),""))</f>
      </c>
    </row>
    <row r="169">
      <c r="A169" s="681">
        <f>IF(終値!A169="","",終値!A169)</f>
      </c>
      <c r="B169" s="684">
        <f>IF(終値!A169="","",IFERROR(4*STDEVP(終値!E169:X169)/AVERAGE(終値!E169:X169),""))</f>
      </c>
      <c r="C169" s="684">
        <f>IF(終値!A169="","",IFERROR(4*STDEVP(終値!F169:Y169)/AVERAGE(終値!F169:Y169),""))</f>
      </c>
      <c r="D169" s="684">
        <f>IF(終値!A169="","",IFERROR(4*STDEVP(終値!G169:Z169)/AVERAGE(終値!G169:Z169),""))</f>
      </c>
      <c r="E169" s="684">
        <f>IF(終値!A169="","",IFERROR(4*STDEVP(終値!H169:AA169)/AVERAGE(終値!H169:AA169),""))</f>
      </c>
      <c r="F169" s="684">
        <f>IF(終値!A169="","",IFERROR(4*STDEVP(終値!I169:AB169)/AVERAGE(終値!I169:AB169),""))</f>
      </c>
      <c r="G169" s="684">
        <f>IF(終値!A169="","",IFERROR(4*STDEVP(終値!J169:AC169)/AVERAGE(終値!J169:AC169),""))</f>
      </c>
      <c r="H169" s="684">
        <f>IF(終値!A169="","",IFERROR(4*STDEVP(終値!K169:AD169)/AVERAGE(終値!K169:AD169),""))</f>
      </c>
      <c r="I169" s="684">
        <f>IF(終値!A169="","",IFERROR(4*STDEVP(終値!L169:AE169)/AVERAGE(終値!L169:AE169),""))</f>
      </c>
      <c r="J169" s="684">
        <f>IF(終値!A169="","",IFERROR(4*STDEVP(終値!M169:AF169)/AVERAGE(終値!M169:AF169),""))</f>
      </c>
      <c r="K169" s="684">
        <f>IF(終値!A169="","",IFERROR(4*STDEVP(終値!N169:AG169)/AVERAGE(終値!N169:AG169),""))</f>
      </c>
      <c r="L169" s="684">
        <f>IF(終値!A169="","",IFERROR(4*STDEVP(終値!O169:AH169)/AVERAGE(終値!O169:AH169),""))</f>
      </c>
      <c r="M169" s="684">
        <f>IF(終値!A169="","",IFERROR(4*STDEVP(終値!P169:AI169)/AVERAGE(終値!P169:AI169),""))</f>
      </c>
      <c r="N169" s="684">
        <f>IF(終値!A169="","",IFERROR(4*STDEVP(終値!Q169:AJ169)/AVERAGE(終値!Q169:AJ169),""))</f>
      </c>
      <c r="O169" s="684">
        <f>IF(終値!A169="","",IFERROR(4*STDEVP(終値!R169:AK169)/AVERAGE(終値!R169:AK169),""))</f>
      </c>
      <c r="P169" s="684">
        <f>IF(終値!A169="","",IFERROR(4*STDEVP(終値!S169:AL169)/AVERAGE(終値!S169:AL169),""))</f>
      </c>
      <c r="Q169" s="684">
        <f>IF(終値!A169="","",IFERROR(4*STDEVP(終値!T169:AM169)/AVERAGE(終値!T169:AM169),""))</f>
      </c>
      <c r="R169" s="684">
        <f>IF(終値!A169="","",IFERROR(4*STDEVP(終値!U169:AN169)/AVERAGE(終値!U169:AN169),""))</f>
      </c>
      <c r="S169" s="684">
        <f>IF(終値!A169="","",IFERROR(4*STDEVP(終値!V169:AO169)/AVERAGE(終値!V169:AO169),""))</f>
      </c>
      <c r="T169" s="684">
        <f>IF(終値!A169="","",IFERROR(4*STDEVP(終値!W169:AP169)/AVERAGE(終値!W169:AP169),""))</f>
      </c>
      <c r="U169" s="684">
        <f>IF(終値!A169="","",IFERROR(4*STDEVP(終値!X169:AQ169)/AVERAGE(終値!X169:AQ169),""))</f>
      </c>
      <c r="V169" s="684">
        <f>IF(終値!A169="","",IFERROR(4*STDEVP(終値!Y169:AR169)/AVERAGE(終値!Y169:AR169),""))</f>
      </c>
      <c r="W169" s="684">
        <f>IF(終値!A169="","",IFERROR(4*STDEVP(終値!Z169:AS169)/AVERAGE(終値!Z169:AS169),""))</f>
      </c>
      <c r="X169" s="684">
        <f>IF(終値!A169="","",IFERROR(4*STDEVP(終値!AA169:AT169)/AVERAGE(終値!AA169:AT169),""))</f>
      </c>
      <c r="Y169" s="684">
        <f>IF(終値!A169="","",IFERROR(4*STDEVP(終値!AB169:AU169)/AVERAGE(終値!AB169:AU169),""))</f>
      </c>
      <c r="Z169" s="684">
        <f>IF(終値!A169="","",IFERROR(4*STDEVP(終値!AC169:AV169)/AVERAGE(終値!AC169:AV169),""))</f>
      </c>
      <c r="AA169" s="684">
        <f>IF(終値!A169="","",IFERROR(4*STDEVP(終値!AD169:AW169)/AVERAGE(終値!AD169:AW169),""))</f>
      </c>
      <c r="AB169" s="684">
        <f>IF(終値!A169="","",IFERROR(4*STDEVP(終値!AE169:AX169)/AVERAGE(終値!AE169:AX169),""))</f>
      </c>
      <c r="AC169" s="684">
        <f>IF(終値!A169="","",IFERROR(4*STDEVP(終値!AF169:AY169)/AVERAGE(終値!AF169:AY169),""))</f>
      </c>
      <c r="AD169" s="684">
        <f>IF(終値!A169="","",IFERROR(4*STDEVP(終値!AG169:AZ169)/AVERAGE(終値!AG169:AZ169),""))</f>
      </c>
      <c r="AE169" s="684">
        <f>IF(終値!A169="","",IFERROR(4*STDEVP(終値!AH169:BA169)/AVERAGE(終値!AH169:BA169),""))</f>
      </c>
      <c r="AF169" s="684">
        <f>IF(終値!A169="","",IFERROR(4*STDEVP(終値!AI169:BB169)/AVERAGE(終値!AI169:BB169),""))</f>
      </c>
      <c r="AG169" s="684">
        <f>IF(終値!A169="","",IFERROR(4*STDEVP(終値!AJ169:BC169)/AVERAGE(終値!AJ169:BC169),""))</f>
      </c>
      <c r="AH169" s="684">
        <f>IF(終値!A169="","",IFERROR(4*STDEVP(終値!AK169:BD169)/AVERAGE(終値!AK169:BD169),""))</f>
      </c>
      <c r="AI169" s="684">
        <f>IF(終値!A169="","",IFERROR(4*STDEVP(終値!AL169:BE169)/AVERAGE(終値!AL169:BE169),""))</f>
      </c>
      <c r="AJ169" s="684">
        <f>IF(終値!A169="","",IFERROR(4*STDEVP(終値!AM169:BF169)/AVERAGE(終値!AM169:BF169),""))</f>
      </c>
      <c r="AK169" s="684">
        <f>IF(終値!A169="","",IFERROR(4*STDEVP(終値!AN169:BG169)/AVERAGE(終値!AN169:BG169),""))</f>
      </c>
      <c r="AL169" s="684">
        <f>IF(終値!A169="","",IFERROR(4*STDEVP(終値!AO169:BH169)/AVERAGE(終値!AO169:BH169),""))</f>
      </c>
      <c r="AM169" s="684">
        <f>IF(終値!A169="","",IFERROR(4*STDEVP(終値!AP169:BI169)/AVERAGE(終値!AP169:BI169),""))</f>
      </c>
      <c r="AN169" s="684">
        <f>IF(終値!A169="","",IFERROR(4*STDEVP(終値!AQ169:BJ169)/AVERAGE(終値!AQ169:BJ169),""))</f>
      </c>
      <c r="AO169" s="684">
        <f>IF(終値!A169="","",IFERROR(4*STDEVP(終値!AR169:BK169)/AVERAGE(終値!AR169:BK169),""))</f>
      </c>
      <c r="AP169" s="684">
        <f>IF(終値!A169="","",IFERROR(4*STDEVP(終値!AS169:BL169)/AVERAGE(終値!AS169:BL169),""))</f>
      </c>
    </row>
    <row r="170">
      <c r="A170" s="681">
        <f>IF(終値!A170="","",終値!A170)</f>
      </c>
      <c r="B170" s="684">
        <f>IF(終値!A170="","",IFERROR(4*STDEVP(終値!E170:X170)/AVERAGE(終値!E170:X170),""))</f>
      </c>
      <c r="C170" s="684">
        <f>IF(終値!A170="","",IFERROR(4*STDEVP(終値!F170:Y170)/AVERAGE(終値!F170:Y170),""))</f>
      </c>
      <c r="D170" s="684">
        <f>IF(終値!A170="","",IFERROR(4*STDEVP(終値!G170:Z170)/AVERAGE(終値!G170:Z170),""))</f>
      </c>
      <c r="E170" s="684">
        <f>IF(終値!A170="","",IFERROR(4*STDEVP(終値!H170:AA170)/AVERAGE(終値!H170:AA170),""))</f>
      </c>
      <c r="F170" s="684">
        <f>IF(終値!A170="","",IFERROR(4*STDEVP(終値!I170:AB170)/AVERAGE(終値!I170:AB170),""))</f>
      </c>
      <c r="G170" s="684">
        <f>IF(終値!A170="","",IFERROR(4*STDEVP(終値!J170:AC170)/AVERAGE(終値!J170:AC170),""))</f>
      </c>
      <c r="H170" s="684">
        <f>IF(終値!A170="","",IFERROR(4*STDEVP(終値!K170:AD170)/AVERAGE(終値!K170:AD170),""))</f>
      </c>
      <c r="I170" s="684">
        <f>IF(終値!A170="","",IFERROR(4*STDEVP(終値!L170:AE170)/AVERAGE(終値!L170:AE170),""))</f>
      </c>
      <c r="J170" s="684">
        <f>IF(終値!A170="","",IFERROR(4*STDEVP(終値!M170:AF170)/AVERAGE(終値!M170:AF170),""))</f>
      </c>
      <c r="K170" s="684">
        <f>IF(終値!A170="","",IFERROR(4*STDEVP(終値!N170:AG170)/AVERAGE(終値!N170:AG170),""))</f>
      </c>
      <c r="L170" s="684">
        <f>IF(終値!A170="","",IFERROR(4*STDEVP(終値!O170:AH170)/AVERAGE(終値!O170:AH170),""))</f>
      </c>
      <c r="M170" s="684">
        <f>IF(終値!A170="","",IFERROR(4*STDEVP(終値!P170:AI170)/AVERAGE(終値!P170:AI170),""))</f>
      </c>
      <c r="N170" s="684">
        <f>IF(終値!A170="","",IFERROR(4*STDEVP(終値!Q170:AJ170)/AVERAGE(終値!Q170:AJ170),""))</f>
      </c>
      <c r="O170" s="684">
        <f>IF(終値!A170="","",IFERROR(4*STDEVP(終値!R170:AK170)/AVERAGE(終値!R170:AK170),""))</f>
      </c>
      <c r="P170" s="684">
        <f>IF(終値!A170="","",IFERROR(4*STDEVP(終値!S170:AL170)/AVERAGE(終値!S170:AL170),""))</f>
      </c>
      <c r="Q170" s="684">
        <f>IF(終値!A170="","",IFERROR(4*STDEVP(終値!T170:AM170)/AVERAGE(終値!T170:AM170),""))</f>
      </c>
      <c r="R170" s="684">
        <f>IF(終値!A170="","",IFERROR(4*STDEVP(終値!U170:AN170)/AVERAGE(終値!U170:AN170),""))</f>
      </c>
      <c r="S170" s="684">
        <f>IF(終値!A170="","",IFERROR(4*STDEVP(終値!V170:AO170)/AVERAGE(終値!V170:AO170),""))</f>
      </c>
      <c r="T170" s="684">
        <f>IF(終値!A170="","",IFERROR(4*STDEVP(終値!W170:AP170)/AVERAGE(終値!W170:AP170),""))</f>
      </c>
      <c r="U170" s="684">
        <f>IF(終値!A170="","",IFERROR(4*STDEVP(終値!X170:AQ170)/AVERAGE(終値!X170:AQ170),""))</f>
      </c>
      <c r="V170" s="684">
        <f>IF(終値!A170="","",IFERROR(4*STDEVP(終値!Y170:AR170)/AVERAGE(終値!Y170:AR170),""))</f>
      </c>
      <c r="W170" s="684">
        <f>IF(終値!A170="","",IFERROR(4*STDEVP(終値!Z170:AS170)/AVERAGE(終値!Z170:AS170),""))</f>
      </c>
      <c r="X170" s="684">
        <f>IF(終値!A170="","",IFERROR(4*STDEVP(終値!AA170:AT170)/AVERAGE(終値!AA170:AT170),""))</f>
      </c>
      <c r="Y170" s="684">
        <f>IF(終値!A170="","",IFERROR(4*STDEVP(終値!AB170:AU170)/AVERAGE(終値!AB170:AU170),""))</f>
      </c>
      <c r="Z170" s="684">
        <f>IF(終値!A170="","",IFERROR(4*STDEVP(終値!AC170:AV170)/AVERAGE(終値!AC170:AV170),""))</f>
      </c>
      <c r="AA170" s="684">
        <f>IF(終値!A170="","",IFERROR(4*STDEVP(終値!AD170:AW170)/AVERAGE(終値!AD170:AW170),""))</f>
      </c>
      <c r="AB170" s="684">
        <f>IF(終値!A170="","",IFERROR(4*STDEVP(終値!AE170:AX170)/AVERAGE(終値!AE170:AX170),""))</f>
      </c>
      <c r="AC170" s="684">
        <f>IF(終値!A170="","",IFERROR(4*STDEVP(終値!AF170:AY170)/AVERAGE(終値!AF170:AY170),""))</f>
      </c>
      <c r="AD170" s="684">
        <f>IF(終値!A170="","",IFERROR(4*STDEVP(終値!AG170:AZ170)/AVERAGE(終値!AG170:AZ170),""))</f>
      </c>
      <c r="AE170" s="684">
        <f>IF(終値!A170="","",IFERROR(4*STDEVP(終値!AH170:BA170)/AVERAGE(終値!AH170:BA170),""))</f>
      </c>
      <c r="AF170" s="684">
        <f>IF(終値!A170="","",IFERROR(4*STDEVP(終値!AI170:BB170)/AVERAGE(終値!AI170:BB170),""))</f>
      </c>
      <c r="AG170" s="684">
        <f>IF(終値!A170="","",IFERROR(4*STDEVP(終値!AJ170:BC170)/AVERAGE(終値!AJ170:BC170),""))</f>
      </c>
      <c r="AH170" s="684">
        <f>IF(終値!A170="","",IFERROR(4*STDEVP(終値!AK170:BD170)/AVERAGE(終値!AK170:BD170),""))</f>
      </c>
      <c r="AI170" s="684">
        <f>IF(終値!A170="","",IFERROR(4*STDEVP(終値!AL170:BE170)/AVERAGE(終値!AL170:BE170),""))</f>
      </c>
      <c r="AJ170" s="684">
        <f>IF(終値!A170="","",IFERROR(4*STDEVP(終値!AM170:BF170)/AVERAGE(終値!AM170:BF170),""))</f>
      </c>
      <c r="AK170" s="684">
        <f>IF(終値!A170="","",IFERROR(4*STDEVP(終値!AN170:BG170)/AVERAGE(終値!AN170:BG170),""))</f>
      </c>
      <c r="AL170" s="684">
        <f>IF(終値!A170="","",IFERROR(4*STDEVP(終値!AO170:BH170)/AVERAGE(終値!AO170:BH170),""))</f>
      </c>
      <c r="AM170" s="684">
        <f>IF(終値!A170="","",IFERROR(4*STDEVP(終値!AP170:BI170)/AVERAGE(終値!AP170:BI170),""))</f>
      </c>
      <c r="AN170" s="684">
        <f>IF(終値!A170="","",IFERROR(4*STDEVP(終値!AQ170:BJ170)/AVERAGE(終値!AQ170:BJ170),""))</f>
      </c>
      <c r="AO170" s="684">
        <f>IF(終値!A170="","",IFERROR(4*STDEVP(終値!AR170:BK170)/AVERAGE(終値!AR170:BK170),""))</f>
      </c>
      <c r="AP170" s="684">
        <f>IF(終値!A170="","",IFERROR(4*STDEVP(終値!AS170:BL170)/AVERAGE(終値!AS170:BL170),""))</f>
      </c>
    </row>
    <row r="171">
      <c r="A171" s="681">
        <f>IF(終値!A171="","",終値!A171)</f>
      </c>
      <c r="B171" s="684">
        <f>IF(終値!A171="","",IFERROR(4*STDEVP(終値!E171:X171)/AVERAGE(終値!E171:X171),""))</f>
      </c>
      <c r="C171" s="684">
        <f>IF(終値!A171="","",IFERROR(4*STDEVP(終値!F171:Y171)/AVERAGE(終値!F171:Y171),""))</f>
      </c>
      <c r="D171" s="684">
        <f>IF(終値!A171="","",IFERROR(4*STDEVP(終値!G171:Z171)/AVERAGE(終値!G171:Z171),""))</f>
      </c>
      <c r="E171" s="684">
        <f>IF(終値!A171="","",IFERROR(4*STDEVP(終値!H171:AA171)/AVERAGE(終値!H171:AA171),""))</f>
      </c>
      <c r="F171" s="684">
        <f>IF(終値!A171="","",IFERROR(4*STDEVP(終値!I171:AB171)/AVERAGE(終値!I171:AB171),""))</f>
      </c>
      <c r="G171" s="684">
        <f>IF(終値!A171="","",IFERROR(4*STDEVP(終値!J171:AC171)/AVERAGE(終値!J171:AC171),""))</f>
      </c>
      <c r="H171" s="684">
        <f>IF(終値!A171="","",IFERROR(4*STDEVP(終値!K171:AD171)/AVERAGE(終値!K171:AD171),""))</f>
      </c>
      <c r="I171" s="684">
        <f>IF(終値!A171="","",IFERROR(4*STDEVP(終値!L171:AE171)/AVERAGE(終値!L171:AE171),""))</f>
      </c>
      <c r="J171" s="684">
        <f>IF(終値!A171="","",IFERROR(4*STDEVP(終値!M171:AF171)/AVERAGE(終値!M171:AF171),""))</f>
      </c>
      <c r="K171" s="684">
        <f>IF(終値!A171="","",IFERROR(4*STDEVP(終値!N171:AG171)/AVERAGE(終値!N171:AG171),""))</f>
      </c>
      <c r="L171" s="684">
        <f>IF(終値!A171="","",IFERROR(4*STDEVP(終値!O171:AH171)/AVERAGE(終値!O171:AH171),""))</f>
      </c>
      <c r="M171" s="684">
        <f>IF(終値!A171="","",IFERROR(4*STDEVP(終値!P171:AI171)/AVERAGE(終値!P171:AI171),""))</f>
      </c>
      <c r="N171" s="684">
        <f>IF(終値!A171="","",IFERROR(4*STDEVP(終値!Q171:AJ171)/AVERAGE(終値!Q171:AJ171),""))</f>
      </c>
      <c r="O171" s="684">
        <f>IF(終値!A171="","",IFERROR(4*STDEVP(終値!R171:AK171)/AVERAGE(終値!R171:AK171),""))</f>
      </c>
      <c r="P171" s="684">
        <f>IF(終値!A171="","",IFERROR(4*STDEVP(終値!S171:AL171)/AVERAGE(終値!S171:AL171),""))</f>
      </c>
      <c r="Q171" s="684">
        <f>IF(終値!A171="","",IFERROR(4*STDEVP(終値!T171:AM171)/AVERAGE(終値!T171:AM171),""))</f>
      </c>
      <c r="R171" s="684">
        <f>IF(終値!A171="","",IFERROR(4*STDEVP(終値!U171:AN171)/AVERAGE(終値!U171:AN171),""))</f>
      </c>
      <c r="S171" s="684">
        <f>IF(終値!A171="","",IFERROR(4*STDEVP(終値!V171:AO171)/AVERAGE(終値!V171:AO171),""))</f>
      </c>
      <c r="T171" s="684">
        <f>IF(終値!A171="","",IFERROR(4*STDEVP(終値!W171:AP171)/AVERAGE(終値!W171:AP171),""))</f>
      </c>
      <c r="U171" s="684">
        <f>IF(終値!A171="","",IFERROR(4*STDEVP(終値!X171:AQ171)/AVERAGE(終値!X171:AQ171),""))</f>
      </c>
      <c r="V171" s="684">
        <f>IF(終値!A171="","",IFERROR(4*STDEVP(終値!Y171:AR171)/AVERAGE(終値!Y171:AR171),""))</f>
      </c>
      <c r="W171" s="684">
        <f>IF(終値!A171="","",IFERROR(4*STDEVP(終値!Z171:AS171)/AVERAGE(終値!Z171:AS171),""))</f>
      </c>
      <c r="X171" s="684">
        <f>IF(終値!A171="","",IFERROR(4*STDEVP(終値!AA171:AT171)/AVERAGE(終値!AA171:AT171),""))</f>
      </c>
      <c r="Y171" s="684">
        <f>IF(終値!A171="","",IFERROR(4*STDEVP(終値!AB171:AU171)/AVERAGE(終値!AB171:AU171),""))</f>
      </c>
      <c r="Z171" s="684">
        <f>IF(終値!A171="","",IFERROR(4*STDEVP(終値!AC171:AV171)/AVERAGE(終値!AC171:AV171),""))</f>
      </c>
      <c r="AA171" s="684">
        <f>IF(終値!A171="","",IFERROR(4*STDEVP(終値!AD171:AW171)/AVERAGE(終値!AD171:AW171),""))</f>
      </c>
      <c r="AB171" s="684">
        <f>IF(終値!A171="","",IFERROR(4*STDEVP(終値!AE171:AX171)/AVERAGE(終値!AE171:AX171),""))</f>
      </c>
      <c r="AC171" s="684">
        <f>IF(終値!A171="","",IFERROR(4*STDEVP(終値!AF171:AY171)/AVERAGE(終値!AF171:AY171),""))</f>
      </c>
      <c r="AD171" s="684">
        <f>IF(終値!A171="","",IFERROR(4*STDEVP(終値!AG171:AZ171)/AVERAGE(終値!AG171:AZ171),""))</f>
      </c>
      <c r="AE171" s="684">
        <f>IF(終値!A171="","",IFERROR(4*STDEVP(終値!AH171:BA171)/AVERAGE(終値!AH171:BA171),""))</f>
      </c>
      <c r="AF171" s="684">
        <f>IF(終値!A171="","",IFERROR(4*STDEVP(終値!AI171:BB171)/AVERAGE(終値!AI171:BB171),""))</f>
      </c>
      <c r="AG171" s="684">
        <f>IF(終値!A171="","",IFERROR(4*STDEVP(終値!AJ171:BC171)/AVERAGE(終値!AJ171:BC171),""))</f>
      </c>
      <c r="AH171" s="684">
        <f>IF(終値!A171="","",IFERROR(4*STDEVP(終値!AK171:BD171)/AVERAGE(終値!AK171:BD171),""))</f>
      </c>
      <c r="AI171" s="684">
        <f>IF(終値!A171="","",IFERROR(4*STDEVP(終値!AL171:BE171)/AVERAGE(終値!AL171:BE171),""))</f>
      </c>
      <c r="AJ171" s="684">
        <f>IF(終値!A171="","",IFERROR(4*STDEVP(終値!AM171:BF171)/AVERAGE(終値!AM171:BF171),""))</f>
      </c>
      <c r="AK171" s="684">
        <f>IF(終値!A171="","",IFERROR(4*STDEVP(終値!AN171:BG171)/AVERAGE(終値!AN171:BG171),""))</f>
      </c>
      <c r="AL171" s="684">
        <f>IF(終値!A171="","",IFERROR(4*STDEVP(終値!AO171:BH171)/AVERAGE(終値!AO171:BH171),""))</f>
      </c>
      <c r="AM171" s="684">
        <f>IF(終値!A171="","",IFERROR(4*STDEVP(終値!AP171:BI171)/AVERAGE(終値!AP171:BI171),""))</f>
      </c>
      <c r="AN171" s="684">
        <f>IF(終値!A171="","",IFERROR(4*STDEVP(終値!AQ171:BJ171)/AVERAGE(終値!AQ171:BJ171),""))</f>
      </c>
      <c r="AO171" s="684">
        <f>IF(終値!A171="","",IFERROR(4*STDEVP(終値!AR171:BK171)/AVERAGE(終値!AR171:BK171),""))</f>
      </c>
      <c r="AP171" s="684">
        <f>IF(終値!A171="","",IFERROR(4*STDEVP(終値!AS171:BL171)/AVERAGE(終値!AS171:BL171),""))</f>
      </c>
    </row>
    <row r="172">
      <c r="A172" s="681">
        <f>IF(終値!A172="","",終値!A172)</f>
      </c>
      <c r="B172" s="684">
        <f>IF(終値!A172="","",IFERROR(4*STDEVP(終値!E172:X172)/AVERAGE(終値!E172:X172),""))</f>
      </c>
      <c r="C172" s="684">
        <f>IF(終値!A172="","",IFERROR(4*STDEVP(終値!F172:Y172)/AVERAGE(終値!F172:Y172),""))</f>
      </c>
      <c r="D172" s="684">
        <f>IF(終値!A172="","",IFERROR(4*STDEVP(終値!G172:Z172)/AVERAGE(終値!G172:Z172),""))</f>
      </c>
      <c r="E172" s="684">
        <f>IF(終値!A172="","",IFERROR(4*STDEVP(終値!H172:AA172)/AVERAGE(終値!H172:AA172),""))</f>
      </c>
      <c r="F172" s="684">
        <f>IF(終値!A172="","",IFERROR(4*STDEVP(終値!I172:AB172)/AVERAGE(終値!I172:AB172),""))</f>
      </c>
      <c r="G172" s="684">
        <f>IF(終値!A172="","",IFERROR(4*STDEVP(終値!J172:AC172)/AVERAGE(終値!J172:AC172),""))</f>
      </c>
      <c r="H172" s="684">
        <f>IF(終値!A172="","",IFERROR(4*STDEVP(終値!K172:AD172)/AVERAGE(終値!K172:AD172),""))</f>
      </c>
      <c r="I172" s="684">
        <f>IF(終値!A172="","",IFERROR(4*STDEVP(終値!L172:AE172)/AVERAGE(終値!L172:AE172),""))</f>
      </c>
      <c r="J172" s="684">
        <f>IF(終値!A172="","",IFERROR(4*STDEVP(終値!M172:AF172)/AVERAGE(終値!M172:AF172),""))</f>
      </c>
      <c r="K172" s="684">
        <f>IF(終値!A172="","",IFERROR(4*STDEVP(終値!N172:AG172)/AVERAGE(終値!N172:AG172),""))</f>
      </c>
      <c r="L172" s="684">
        <f>IF(終値!A172="","",IFERROR(4*STDEVP(終値!O172:AH172)/AVERAGE(終値!O172:AH172),""))</f>
      </c>
      <c r="M172" s="684">
        <f>IF(終値!A172="","",IFERROR(4*STDEVP(終値!P172:AI172)/AVERAGE(終値!P172:AI172),""))</f>
      </c>
      <c r="N172" s="684">
        <f>IF(終値!A172="","",IFERROR(4*STDEVP(終値!Q172:AJ172)/AVERAGE(終値!Q172:AJ172),""))</f>
      </c>
      <c r="O172" s="684">
        <f>IF(終値!A172="","",IFERROR(4*STDEVP(終値!R172:AK172)/AVERAGE(終値!R172:AK172),""))</f>
      </c>
      <c r="P172" s="684">
        <f>IF(終値!A172="","",IFERROR(4*STDEVP(終値!S172:AL172)/AVERAGE(終値!S172:AL172),""))</f>
      </c>
      <c r="Q172" s="684">
        <f>IF(終値!A172="","",IFERROR(4*STDEVP(終値!T172:AM172)/AVERAGE(終値!T172:AM172),""))</f>
      </c>
      <c r="R172" s="684">
        <f>IF(終値!A172="","",IFERROR(4*STDEVP(終値!U172:AN172)/AVERAGE(終値!U172:AN172),""))</f>
      </c>
      <c r="S172" s="684">
        <f>IF(終値!A172="","",IFERROR(4*STDEVP(終値!V172:AO172)/AVERAGE(終値!V172:AO172),""))</f>
      </c>
      <c r="T172" s="684">
        <f>IF(終値!A172="","",IFERROR(4*STDEVP(終値!W172:AP172)/AVERAGE(終値!W172:AP172),""))</f>
      </c>
      <c r="U172" s="684">
        <f>IF(終値!A172="","",IFERROR(4*STDEVP(終値!X172:AQ172)/AVERAGE(終値!X172:AQ172),""))</f>
      </c>
      <c r="V172" s="684">
        <f>IF(終値!A172="","",IFERROR(4*STDEVP(終値!Y172:AR172)/AVERAGE(終値!Y172:AR172),""))</f>
      </c>
      <c r="W172" s="684">
        <f>IF(終値!A172="","",IFERROR(4*STDEVP(終値!Z172:AS172)/AVERAGE(終値!Z172:AS172),""))</f>
      </c>
      <c r="X172" s="684">
        <f>IF(終値!A172="","",IFERROR(4*STDEVP(終値!AA172:AT172)/AVERAGE(終値!AA172:AT172),""))</f>
      </c>
      <c r="Y172" s="684">
        <f>IF(終値!A172="","",IFERROR(4*STDEVP(終値!AB172:AU172)/AVERAGE(終値!AB172:AU172),""))</f>
      </c>
      <c r="Z172" s="684">
        <f>IF(終値!A172="","",IFERROR(4*STDEVP(終値!AC172:AV172)/AVERAGE(終値!AC172:AV172),""))</f>
      </c>
      <c r="AA172" s="684">
        <f>IF(終値!A172="","",IFERROR(4*STDEVP(終値!AD172:AW172)/AVERAGE(終値!AD172:AW172),""))</f>
      </c>
      <c r="AB172" s="684">
        <f>IF(終値!A172="","",IFERROR(4*STDEVP(終値!AE172:AX172)/AVERAGE(終値!AE172:AX172),""))</f>
      </c>
      <c r="AC172" s="684">
        <f>IF(終値!A172="","",IFERROR(4*STDEVP(終値!AF172:AY172)/AVERAGE(終値!AF172:AY172),""))</f>
      </c>
      <c r="AD172" s="684">
        <f>IF(終値!A172="","",IFERROR(4*STDEVP(終値!AG172:AZ172)/AVERAGE(終値!AG172:AZ172),""))</f>
      </c>
      <c r="AE172" s="684">
        <f>IF(終値!A172="","",IFERROR(4*STDEVP(終値!AH172:BA172)/AVERAGE(終値!AH172:BA172),""))</f>
      </c>
      <c r="AF172" s="684">
        <f>IF(終値!A172="","",IFERROR(4*STDEVP(終値!AI172:BB172)/AVERAGE(終値!AI172:BB172),""))</f>
      </c>
      <c r="AG172" s="684">
        <f>IF(終値!A172="","",IFERROR(4*STDEVP(終値!AJ172:BC172)/AVERAGE(終値!AJ172:BC172),""))</f>
      </c>
      <c r="AH172" s="684">
        <f>IF(終値!A172="","",IFERROR(4*STDEVP(終値!AK172:BD172)/AVERAGE(終値!AK172:BD172),""))</f>
      </c>
      <c r="AI172" s="684">
        <f>IF(終値!A172="","",IFERROR(4*STDEVP(終値!AL172:BE172)/AVERAGE(終値!AL172:BE172),""))</f>
      </c>
      <c r="AJ172" s="684">
        <f>IF(終値!A172="","",IFERROR(4*STDEVP(終値!AM172:BF172)/AVERAGE(終値!AM172:BF172),""))</f>
      </c>
      <c r="AK172" s="684">
        <f>IF(終値!A172="","",IFERROR(4*STDEVP(終値!AN172:BG172)/AVERAGE(終値!AN172:BG172),""))</f>
      </c>
      <c r="AL172" s="684">
        <f>IF(終値!A172="","",IFERROR(4*STDEVP(終値!AO172:BH172)/AVERAGE(終値!AO172:BH172),""))</f>
      </c>
      <c r="AM172" s="684">
        <f>IF(終値!A172="","",IFERROR(4*STDEVP(終値!AP172:BI172)/AVERAGE(終値!AP172:BI172),""))</f>
      </c>
      <c r="AN172" s="684">
        <f>IF(終値!A172="","",IFERROR(4*STDEVP(終値!AQ172:BJ172)/AVERAGE(終値!AQ172:BJ172),""))</f>
      </c>
      <c r="AO172" s="684">
        <f>IF(終値!A172="","",IFERROR(4*STDEVP(終値!AR172:BK172)/AVERAGE(終値!AR172:BK172),""))</f>
      </c>
      <c r="AP172" s="684">
        <f>IF(終値!A172="","",IFERROR(4*STDEVP(終値!AS172:BL172)/AVERAGE(終値!AS172:BL172),""))</f>
      </c>
    </row>
    <row r="173">
      <c r="A173" s="681">
        <f>IF(終値!A173="","",終値!A173)</f>
      </c>
      <c r="B173" s="684">
        <f>IF(終値!A173="","",IFERROR(4*STDEVP(終値!E173:X173)/AVERAGE(終値!E173:X173),""))</f>
      </c>
      <c r="C173" s="684">
        <f>IF(終値!A173="","",IFERROR(4*STDEVP(終値!F173:Y173)/AVERAGE(終値!F173:Y173),""))</f>
      </c>
      <c r="D173" s="684">
        <f>IF(終値!A173="","",IFERROR(4*STDEVP(終値!G173:Z173)/AVERAGE(終値!G173:Z173),""))</f>
      </c>
      <c r="E173" s="684">
        <f>IF(終値!A173="","",IFERROR(4*STDEVP(終値!H173:AA173)/AVERAGE(終値!H173:AA173),""))</f>
      </c>
      <c r="F173" s="684">
        <f>IF(終値!A173="","",IFERROR(4*STDEVP(終値!I173:AB173)/AVERAGE(終値!I173:AB173),""))</f>
      </c>
      <c r="G173" s="684">
        <f>IF(終値!A173="","",IFERROR(4*STDEVP(終値!J173:AC173)/AVERAGE(終値!J173:AC173),""))</f>
      </c>
      <c r="H173" s="684">
        <f>IF(終値!A173="","",IFERROR(4*STDEVP(終値!K173:AD173)/AVERAGE(終値!K173:AD173),""))</f>
      </c>
      <c r="I173" s="684">
        <f>IF(終値!A173="","",IFERROR(4*STDEVP(終値!L173:AE173)/AVERAGE(終値!L173:AE173),""))</f>
      </c>
      <c r="J173" s="684">
        <f>IF(終値!A173="","",IFERROR(4*STDEVP(終値!M173:AF173)/AVERAGE(終値!M173:AF173),""))</f>
      </c>
      <c r="K173" s="684">
        <f>IF(終値!A173="","",IFERROR(4*STDEVP(終値!N173:AG173)/AVERAGE(終値!N173:AG173),""))</f>
      </c>
      <c r="L173" s="684">
        <f>IF(終値!A173="","",IFERROR(4*STDEVP(終値!O173:AH173)/AVERAGE(終値!O173:AH173),""))</f>
      </c>
      <c r="M173" s="684">
        <f>IF(終値!A173="","",IFERROR(4*STDEVP(終値!P173:AI173)/AVERAGE(終値!P173:AI173),""))</f>
      </c>
      <c r="N173" s="684">
        <f>IF(終値!A173="","",IFERROR(4*STDEVP(終値!Q173:AJ173)/AVERAGE(終値!Q173:AJ173),""))</f>
      </c>
      <c r="O173" s="684">
        <f>IF(終値!A173="","",IFERROR(4*STDEVP(終値!R173:AK173)/AVERAGE(終値!R173:AK173),""))</f>
      </c>
      <c r="P173" s="684">
        <f>IF(終値!A173="","",IFERROR(4*STDEVP(終値!S173:AL173)/AVERAGE(終値!S173:AL173),""))</f>
      </c>
      <c r="Q173" s="684">
        <f>IF(終値!A173="","",IFERROR(4*STDEVP(終値!T173:AM173)/AVERAGE(終値!T173:AM173),""))</f>
      </c>
      <c r="R173" s="684">
        <f>IF(終値!A173="","",IFERROR(4*STDEVP(終値!U173:AN173)/AVERAGE(終値!U173:AN173),""))</f>
      </c>
      <c r="S173" s="684">
        <f>IF(終値!A173="","",IFERROR(4*STDEVP(終値!V173:AO173)/AVERAGE(終値!V173:AO173),""))</f>
      </c>
      <c r="T173" s="684">
        <f>IF(終値!A173="","",IFERROR(4*STDEVP(終値!W173:AP173)/AVERAGE(終値!W173:AP173),""))</f>
      </c>
      <c r="U173" s="684">
        <f>IF(終値!A173="","",IFERROR(4*STDEVP(終値!X173:AQ173)/AVERAGE(終値!X173:AQ173),""))</f>
      </c>
      <c r="V173" s="684">
        <f>IF(終値!A173="","",IFERROR(4*STDEVP(終値!Y173:AR173)/AVERAGE(終値!Y173:AR173),""))</f>
      </c>
      <c r="W173" s="684">
        <f>IF(終値!A173="","",IFERROR(4*STDEVP(終値!Z173:AS173)/AVERAGE(終値!Z173:AS173),""))</f>
      </c>
      <c r="X173" s="684">
        <f>IF(終値!A173="","",IFERROR(4*STDEVP(終値!AA173:AT173)/AVERAGE(終値!AA173:AT173),""))</f>
      </c>
      <c r="Y173" s="684">
        <f>IF(終値!A173="","",IFERROR(4*STDEVP(終値!AB173:AU173)/AVERAGE(終値!AB173:AU173),""))</f>
      </c>
      <c r="Z173" s="684">
        <f>IF(終値!A173="","",IFERROR(4*STDEVP(終値!AC173:AV173)/AVERAGE(終値!AC173:AV173),""))</f>
      </c>
      <c r="AA173" s="684">
        <f>IF(終値!A173="","",IFERROR(4*STDEVP(終値!AD173:AW173)/AVERAGE(終値!AD173:AW173),""))</f>
      </c>
      <c r="AB173" s="684">
        <f>IF(終値!A173="","",IFERROR(4*STDEVP(終値!AE173:AX173)/AVERAGE(終値!AE173:AX173),""))</f>
      </c>
      <c r="AC173" s="684">
        <f>IF(終値!A173="","",IFERROR(4*STDEVP(終値!AF173:AY173)/AVERAGE(終値!AF173:AY173),""))</f>
      </c>
      <c r="AD173" s="684">
        <f>IF(終値!A173="","",IFERROR(4*STDEVP(終値!AG173:AZ173)/AVERAGE(終値!AG173:AZ173),""))</f>
      </c>
      <c r="AE173" s="684">
        <f>IF(終値!A173="","",IFERROR(4*STDEVP(終値!AH173:BA173)/AVERAGE(終値!AH173:BA173),""))</f>
      </c>
      <c r="AF173" s="684">
        <f>IF(終値!A173="","",IFERROR(4*STDEVP(終値!AI173:BB173)/AVERAGE(終値!AI173:BB173),""))</f>
      </c>
      <c r="AG173" s="684">
        <f>IF(終値!A173="","",IFERROR(4*STDEVP(終値!AJ173:BC173)/AVERAGE(終値!AJ173:BC173),""))</f>
      </c>
      <c r="AH173" s="684">
        <f>IF(終値!A173="","",IFERROR(4*STDEVP(終値!AK173:BD173)/AVERAGE(終値!AK173:BD173),""))</f>
      </c>
      <c r="AI173" s="684">
        <f>IF(終値!A173="","",IFERROR(4*STDEVP(終値!AL173:BE173)/AVERAGE(終値!AL173:BE173),""))</f>
      </c>
      <c r="AJ173" s="684">
        <f>IF(終値!A173="","",IFERROR(4*STDEVP(終値!AM173:BF173)/AVERAGE(終値!AM173:BF173),""))</f>
      </c>
      <c r="AK173" s="684">
        <f>IF(終値!A173="","",IFERROR(4*STDEVP(終値!AN173:BG173)/AVERAGE(終値!AN173:BG173),""))</f>
      </c>
      <c r="AL173" s="684">
        <f>IF(終値!A173="","",IFERROR(4*STDEVP(終値!AO173:BH173)/AVERAGE(終値!AO173:BH173),""))</f>
      </c>
      <c r="AM173" s="684">
        <f>IF(終値!A173="","",IFERROR(4*STDEVP(終値!AP173:BI173)/AVERAGE(終値!AP173:BI173),""))</f>
      </c>
      <c r="AN173" s="684">
        <f>IF(終値!A173="","",IFERROR(4*STDEVP(終値!AQ173:BJ173)/AVERAGE(終値!AQ173:BJ173),""))</f>
      </c>
      <c r="AO173" s="684">
        <f>IF(終値!A173="","",IFERROR(4*STDEVP(終値!AR173:BK173)/AVERAGE(終値!AR173:BK173),""))</f>
      </c>
      <c r="AP173" s="684">
        <f>IF(終値!A173="","",IFERROR(4*STDEVP(終値!AS173:BL173)/AVERAGE(終値!AS173:BL173),""))</f>
      </c>
    </row>
    <row r="174">
      <c r="A174" s="681">
        <f>IF(終値!A174="","",終値!A174)</f>
      </c>
      <c r="B174" s="684">
        <f>IF(終値!A174="","",IFERROR(4*STDEVP(終値!E174:X174)/AVERAGE(終値!E174:X174),""))</f>
      </c>
      <c r="C174" s="684">
        <f>IF(終値!A174="","",IFERROR(4*STDEVP(終値!F174:Y174)/AVERAGE(終値!F174:Y174),""))</f>
      </c>
      <c r="D174" s="684">
        <f>IF(終値!A174="","",IFERROR(4*STDEVP(終値!G174:Z174)/AVERAGE(終値!G174:Z174),""))</f>
      </c>
      <c r="E174" s="684">
        <f>IF(終値!A174="","",IFERROR(4*STDEVP(終値!H174:AA174)/AVERAGE(終値!H174:AA174),""))</f>
      </c>
      <c r="F174" s="684">
        <f>IF(終値!A174="","",IFERROR(4*STDEVP(終値!I174:AB174)/AVERAGE(終値!I174:AB174),""))</f>
      </c>
      <c r="G174" s="684">
        <f>IF(終値!A174="","",IFERROR(4*STDEVP(終値!J174:AC174)/AVERAGE(終値!J174:AC174),""))</f>
      </c>
      <c r="H174" s="684">
        <f>IF(終値!A174="","",IFERROR(4*STDEVP(終値!K174:AD174)/AVERAGE(終値!K174:AD174),""))</f>
      </c>
      <c r="I174" s="684">
        <f>IF(終値!A174="","",IFERROR(4*STDEVP(終値!L174:AE174)/AVERAGE(終値!L174:AE174),""))</f>
      </c>
      <c r="J174" s="684">
        <f>IF(終値!A174="","",IFERROR(4*STDEVP(終値!M174:AF174)/AVERAGE(終値!M174:AF174),""))</f>
      </c>
      <c r="K174" s="684">
        <f>IF(終値!A174="","",IFERROR(4*STDEVP(終値!N174:AG174)/AVERAGE(終値!N174:AG174),""))</f>
      </c>
      <c r="L174" s="684">
        <f>IF(終値!A174="","",IFERROR(4*STDEVP(終値!O174:AH174)/AVERAGE(終値!O174:AH174),""))</f>
      </c>
      <c r="M174" s="684">
        <f>IF(終値!A174="","",IFERROR(4*STDEVP(終値!P174:AI174)/AVERAGE(終値!P174:AI174),""))</f>
      </c>
      <c r="N174" s="684">
        <f>IF(終値!A174="","",IFERROR(4*STDEVP(終値!Q174:AJ174)/AVERAGE(終値!Q174:AJ174),""))</f>
      </c>
      <c r="O174" s="684">
        <f>IF(終値!A174="","",IFERROR(4*STDEVP(終値!R174:AK174)/AVERAGE(終値!R174:AK174),""))</f>
      </c>
      <c r="P174" s="684">
        <f>IF(終値!A174="","",IFERROR(4*STDEVP(終値!S174:AL174)/AVERAGE(終値!S174:AL174),""))</f>
      </c>
      <c r="Q174" s="684">
        <f>IF(終値!A174="","",IFERROR(4*STDEVP(終値!T174:AM174)/AVERAGE(終値!T174:AM174),""))</f>
      </c>
      <c r="R174" s="684">
        <f>IF(終値!A174="","",IFERROR(4*STDEVP(終値!U174:AN174)/AVERAGE(終値!U174:AN174),""))</f>
      </c>
      <c r="S174" s="684">
        <f>IF(終値!A174="","",IFERROR(4*STDEVP(終値!V174:AO174)/AVERAGE(終値!V174:AO174),""))</f>
      </c>
      <c r="T174" s="684">
        <f>IF(終値!A174="","",IFERROR(4*STDEVP(終値!W174:AP174)/AVERAGE(終値!W174:AP174),""))</f>
      </c>
      <c r="U174" s="684">
        <f>IF(終値!A174="","",IFERROR(4*STDEVP(終値!X174:AQ174)/AVERAGE(終値!X174:AQ174),""))</f>
      </c>
      <c r="V174" s="684">
        <f>IF(終値!A174="","",IFERROR(4*STDEVP(終値!Y174:AR174)/AVERAGE(終値!Y174:AR174),""))</f>
      </c>
      <c r="W174" s="684">
        <f>IF(終値!A174="","",IFERROR(4*STDEVP(終値!Z174:AS174)/AVERAGE(終値!Z174:AS174),""))</f>
      </c>
      <c r="X174" s="684">
        <f>IF(終値!A174="","",IFERROR(4*STDEVP(終値!AA174:AT174)/AVERAGE(終値!AA174:AT174),""))</f>
      </c>
      <c r="Y174" s="684">
        <f>IF(終値!A174="","",IFERROR(4*STDEVP(終値!AB174:AU174)/AVERAGE(終値!AB174:AU174),""))</f>
      </c>
      <c r="Z174" s="684">
        <f>IF(終値!A174="","",IFERROR(4*STDEVP(終値!AC174:AV174)/AVERAGE(終値!AC174:AV174),""))</f>
      </c>
      <c r="AA174" s="684">
        <f>IF(終値!A174="","",IFERROR(4*STDEVP(終値!AD174:AW174)/AVERAGE(終値!AD174:AW174),""))</f>
      </c>
      <c r="AB174" s="684">
        <f>IF(終値!A174="","",IFERROR(4*STDEVP(終値!AE174:AX174)/AVERAGE(終値!AE174:AX174),""))</f>
      </c>
      <c r="AC174" s="684">
        <f>IF(終値!A174="","",IFERROR(4*STDEVP(終値!AF174:AY174)/AVERAGE(終値!AF174:AY174),""))</f>
      </c>
      <c r="AD174" s="684">
        <f>IF(終値!A174="","",IFERROR(4*STDEVP(終値!AG174:AZ174)/AVERAGE(終値!AG174:AZ174),""))</f>
      </c>
      <c r="AE174" s="684">
        <f>IF(終値!A174="","",IFERROR(4*STDEVP(終値!AH174:BA174)/AVERAGE(終値!AH174:BA174),""))</f>
      </c>
      <c r="AF174" s="684">
        <f>IF(終値!A174="","",IFERROR(4*STDEVP(終値!AI174:BB174)/AVERAGE(終値!AI174:BB174),""))</f>
      </c>
      <c r="AG174" s="684">
        <f>IF(終値!A174="","",IFERROR(4*STDEVP(終値!AJ174:BC174)/AVERAGE(終値!AJ174:BC174),""))</f>
      </c>
      <c r="AH174" s="684">
        <f>IF(終値!A174="","",IFERROR(4*STDEVP(終値!AK174:BD174)/AVERAGE(終値!AK174:BD174),""))</f>
      </c>
      <c r="AI174" s="684">
        <f>IF(終値!A174="","",IFERROR(4*STDEVP(終値!AL174:BE174)/AVERAGE(終値!AL174:BE174),""))</f>
      </c>
      <c r="AJ174" s="684">
        <f>IF(終値!A174="","",IFERROR(4*STDEVP(終値!AM174:BF174)/AVERAGE(終値!AM174:BF174),""))</f>
      </c>
      <c r="AK174" s="684">
        <f>IF(終値!A174="","",IFERROR(4*STDEVP(終値!AN174:BG174)/AVERAGE(終値!AN174:BG174),""))</f>
      </c>
      <c r="AL174" s="684">
        <f>IF(終値!A174="","",IFERROR(4*STDEVP(終値!AO174:BH174)/AVERAGE(終値!AO174:BH174),""))</f>
      </c>
      <c r="AM174" s="684">
        <f>IF(終値!A174="","",IFERROR(4*STDEVP(終値!AP174:BI174)/AVERAGE(終値!AP174:BI174),""))</f>
      </c>
      <c r="AN174" s="684">
        <f>IF(終値!A174="","",IFERROR(4*STDEVP(終値!AQ174:BJ174)/AVERAGE(終値!AQ174:BJ174),""))</f>
      </c>
      <c r="AO174" s="684">
        <f>IF(終値!A174="","",IFERROR(4*STDEVP(終値!AR174:BK174)/AVERAGE(終値!AR174:BK174),""))</f>
      </c>
      <c r="AP174" s="684">
        <f>IF(終値!A174="","",IFERROR(4*STDEVP(終値!AS174:BL174)/AVERAGE(終値!AS174:BL174),""))</f>
      </c>
    </row>
    <row r="175">
      <c r="A175" s="681">
        <f>IF(終値!A175="","",終値!A175)</f>
      </c>
      <c r="B175" s="684">
        <f>IF(終値!A175="","",IFERROR(4*STDEVP(終値!E175:X175)/AVERAGE(終値!E175:X175),""))</f>
      </c>
      <c r="C175" s="684">
        <f>IF(終値!A175="","",IFERROR(4*STDEVP(終値!F175:Y175)/AVERAGE(終値!F175:Y175),""))</f>
      </c>
      <c r="D175" s="684">
        <f>IF(終値!A175="","",IFERROR(4*STDEVP(終値!G175:Z175)/AVERAGE(終値!G175:Z175),""))</f>
      </c>
      <c r="E175" s="684">
        <f>IF(終値!A175="","",IFERROR(4*STDEVP(終値!H175:AA175)/AVERAGE(終値!H175:AA175),""))</f>
      </c>
      <c r="F175" s="684">
        <f>IF(終値!A175="","",IFERROR(4*STDEVP(終値!I175:AB175)/AVERAGE(終値!I175:AB175),""))</f>
      </c>
      <c r="G175" s="684">
        <f>IF(終値!A175="","",IFERROR(4*STDEVP(終値!J175:AC175)/AVERAGE(終値!J175:AC175),""))</f>
      </c>
      <c r="H175" s="684">
        <f>IF(終値!A175="","",IFERROR(4*STDEVP(終値!K175:AD175)/AVERAGE(終値!K175:AD175),""))</f>
      </c>
      <c r="I175" s="684">
        <f>IF(終値!A175="","",IFERROR(4*STDEVP(終値!L175:AE175)/AVERAGE(終値!L175:AE175),""))</f>
      </c>
      <c r="J175" s="684">
        <f>IF(終値!A175="","",IFERROR(4*STDEVP(終値!M175:AF175)/AVERAGE(終値!M175:AF175),""))</f>
      </c>
      <c r="K175" s="684">
        <f>IF(終値!A175="","",IFERROR(4*STDEVP(終値!N175:AG175)/AVERAGE(終値!N175:AG175),""))</f>
      </c>
      <c r="L175" s="684">
        <f>IF(終値!A175="","",IFERROR(4*STDEVP(終値!O175:AH175)/AVERAGE(終値!O175:AH175),""))</f>
      </c>
      <c r="M175" s="684">
        <f>IF(終値!A175="","",IFERROR(4*STDEVP(終値!P175:AI175)/AVERAGE(終値!P175:AI175),""))</f>
      </c>
      <c r="N175" s="684">
        <f>IF(終値!A175="","",IFERROR(4*STDEVP(終値!Q175:AJ175)/AVERAGE(終値!Q175:AJ175),""))</f>
      </c>
      <c r="O175" s="684">
        <f>IF(終値!A175="","",IFERROR(4*STDEVP(終値!R175:AK175)/AVERAGE(終値!R175:AK175),""))</f>
      </c>
      <c r="P175" s="684">
        <f>IF(終値!A175="","",IFERROR(4*STDEVP(終値!S175:AL175)/AVERAGE(終値!S175:AL175),""))</f>
      </c>
      <c r="Q175" s="684">
        <f>IF(終値!A175="","",IFERROR(4*STDEVP(終値!T175:AM175)/AVERAGE(終値!T175:AM175),""))</f>
      </c>
      <c r="R175" s="684">
        <f>IF(終値!A175="","",IFERROR(4*STDEVP(終値!U175:AN175)/AVERAGE(終値!U175:AN175),""))</f>
      </c>
      <c r="S175" s="684">
        <f>IF(終値!A175="","",IFERROR(4*STDEVP(終値!V175:AO175)/AVERAGE(終値!V175:AO175),""))</f>
      </c>
      <c r="T175" s="684">
        <f>IF(終値!A175="","",IFERROR(4*STDEVP(終値!W175:AP175)/AVERAGE(終値!W175:AP175),""))</f>
      </c>
      <c r="U175" s="684">
        <f>IF(終値!A175="","",IFERROR(4*STDEVP(終値!X175:AQ175)/AVERAGE(終値!X175:AQ175),""))</f>
      </c>
      <c r="V175" s="684">
        <f>IF(終値!A175="","",IFERROR(4*STDEVP(終値!Y175:AR175)/AVERAGE(終値!Y175:AR175),""))</f>
      </c>
      <c r="W175" s="684">
        <f>IF(終値!A175="","",IFERROR(4*STDEVP(終値!Z175:AS175)/AVERAGE(終値!Z175:AS175),""))</f>
      </c>
      <c r="X175" s="684">
        <f>IF(終値!A175="","",IFERROR(4*STDEVP(終値!AA175:AT175)/AVERAGE(終値!AA175:AT175),""))</f>
      </c>
      <c r="Y175" s="684">
        <f>IF(終値!A175="","",IFERROR(4*STDEVP(終値!AB175:AU175)/AVERAGE(終値!AB175:AU175),""))</f>
      </c>
      <c r="Z175" s="684">
        <f>IF(終値!A175="","",IFERROR(4*STDEVP(終値!AC175:AV175)/AVERAGE(終値!AC175:AV175),""))</f>
      </c>
      <c r="AA175" s="684">
        <f>IF(終値!A175="","",IFERROR(4*STDEVP(終値!AD175:AW175)/AVERAGE(終値!AD175:AW175),""))</f>
      </c>
      <c r="AB175" s="684">
        <f>IF(終値!A175="","",IFERROR(4*STDEVP(終値!AE175:AX175)/AVERAGE(終値!AE175:AX175),""))</f>
      </c>
      <c r="AC175" s="684">
        <f>IF(終値!A175="","",IFERROR(4*STDEVP(終値!AF175:AY175)/AVERAGE(終値!AF175:AY175),""))</f>
      </c>
      <c r="AD175" s="684">
        <f>IF(終値!A175="","",IFERROR(4*STDEVP(終値!AG175:AZ175)/AVERAGE(終値!AG175:AZ175),""))</f>
      </c>
      <c r="AE175" s="684">
        <f>IF(終値!A175="","",IFERROR(4*STDEVP(終値!AH175:BA175)/AVERAGE(終値!AH175:BA175),""))</f>
      </c>
      <c r="AF175" s="684">
        <f>IF(終値!A175="","",IFERROR(4*STDEVP(終値!AI175:BB175)/AVERAGE(終値!AI175:BB175),""))</f>
      </c>
      <c r="AG175" s="684">
        <f>IF(終値!A175="","",IFERROR(4*STDEVP(終値!AJ175:BC175)/AVERAGE(終値!AJ175:BC175),""))</f>
      </c>
      <c r="AH175" s="684">
        <f>IF(終値!A175="","",IFERROR(4*STDEVP(終値!AK175:BD175)/AVERAGE(終値!AK175:BD175),""))</f>
      </c>
      <c r="AI175" s="684">
        <f>IF(終値!A175="","",IFERROR(4*STDEVP(終値!AL175:BE175)/AVERAGE(終値!AL175:BE175),""))</f>
      </c>
      <c r="AJ175" s="684">
        <f>IF(終値!A175="","",IFERROR(4*STDEVP(終値!AM175:BF175)/AVERAGE(終値!AM175:BF175),""))</f>
      </c>
      <c r="AK175" s="684">
        <f>IF(終値!A175="","",IFERROR(4*STDEVP(終値!AN175:BG175)/AVERAGE(終値!AN175:BG175),""))</f>
      </c>
      <c r="AL175" s="684">
        <f>IF(終値!A175="","",IFERROR(4*STDEVP(終値!AO175:BH175)/AVERAGE(終値!AO175:BH175),""))</f>
      </c>
      <c r="AM175" s="684">
        <f>IF(終値!A175="","",IFERROR(4*STDEVP(終値!AP175:BI175)/AVERAGE(終値!AP175:BI175),""))</f>
      </c>
      <c r="AN175" s="684">
        <f>IF(終値!A175="","",IFERROR(4*STDEVP(終値!AQ175:BJ175)/AVERAGE(終値!AQ175:BJ175),""))</f>
      </c>
      <c r="AO175" s="684">
        <f>IF(終値!A175="","",IFERROR(4*STDEVP(終値!AR175:BK175)/AVERAGE(終値!AR175:BK175),""))</f>
      </c>
      <c r="AP175" s="684">
        <f>IF(終値!A175="","",IFERROR(4*STDEVP(終値!AS175:BL175)/AVERAGE(終値!AS175:BL175),""))</f>
      </c>
    </row>
    <row r="176">
      <c r="A176" s="681">
        <f>IF(終値!A176="","",終値!A176)</f>
      </c>
      <c r="B176" s="684">
        <f>IF(終値!A176="","",IFERROR(4*STDEVP(終値!E176:X176)/AVERAGE(終値!E176:X176),""))</f>
      </c>
      <c r="C176" s="684">
        <f>IF(終値!A176="","",IFERROR(4*STDEVP(終値!F176:Y176)/AVERAGE(終値!F176:Y176),""))</f>
      </c>
      <c r="D176" s="684">
        <f>IF(終値!A176="","",IFERROR(4*STDEVP(終値!G176:Z176)/AVERAGE(終値!G176:Z176),""))</f>
      </c>
      <c r="E176" s="684">
        <f>IF(終値!A176="","",IFERROR(4*STDEVP(終値!H176:AA176)/AVERAGE(終値!H176:AA176),""))</f>
      </c>
      <c r="F176" s="684">
        <f>IF(終値!A176="","",IFERROR(4*STDEVP(終値!I176:AB176)/AVERAGE(終値!I176:AB176),""))</f>
      </c>
      <c r="G176" s="684">
        <f>IF(終値!A176="","",IFERROR(4*STDEVP(終値!J176:AC176)/AVERAGE(終値!J176:AC176),""))</f>
      </c>
      <c r="H176" s="684">
        <f>IF(終値!A176="","",IFERROR(4*STDEVP(終値!K176:AD176)/AVERAGE(終値!K176:AD176),""))</f>
      </c>
      <c r="I176" s="684">
        <f>IF(終値!A176="","",IFERROR(4*STDEVP(終値!L176:AE176)/AVERAGE(終値!L176:AE176),""))</f>
      </c>
      <c r="J176" s="684">
        <f>IF(終値!A176="","",IFERROR(4*STDEVP(終値!M176:AF176)/AVERAGE(終値!M176:AF176),""))</f>
      </c>
      <c r="K176" s="684">
        <f>IF(終値!A176="","",IFERROR(4*STDEVP(終値!N176:AG176)/AVERAGE(終値!N176:AG176),""))</f>
      </c>
      <c r="L176" s="684">
        <f>IF(終値!A176="","",IFERROR(4*STDEVP(終値!O176:AH176)/AVERAGE(終値!O176:AH176),""))</f>
      </c>
      <c r="M176" s="684">
        <f>IF(終値!A176="","",IFERROR(4*STDEVP(終値!P176:AI176)/AVERAGE(終値!P176:AI176),""))</f>
      </c>
      <c r="N176" s="684">
        <f>IF(終値!A176="","",IFERROR(4*STDEVP(終値!Q176:AJ176)/AVERAGE(終値!Q176:AJ176),""))</f>
      </c>
      <c r="O176" s="684">
        <f>IF(終値!A176="","",IFERROR(4*STDEVP(終値!R176:AK176)/AVERAGE(終値!R176:AK176),""))</f>
      </c>
      <c r="P176" s="684">
        <f>IF(終値!A176="","",IFERROR(4*STDEVP(終値!S176:AL176)/AVERAGE(終値!S176:AL176),""))</f>
      </c>
      <c r="Q176" s="684">
        <f>IF(終値!A176="","",IFERROR(4*STDEVP(終値!T176:AM176)/AVERAGE(終値!T176:AM176),""))</f>
      </c>
      <c r="R176" s="684">
        <f>IF(終値!A176="","",IFERROR(4*STDEVP(終値!U176:AN176)/AVERAGE(終値!U176:AN176),""))</f>
      </c>
      <c r="S176" s="684">
        <f>IF(終値!A176="","",IFERROR(4*STDEVP(終値!V176:AO176)/AVERAGE(終値!V176:AO176),""))</f>
      </c>
      <c r="T176" s="684">
        <f>IF(終値!A176="","",IFERROR(4*STDEVP(終値!W176:AP176)/AVERAGE(終値!W176:AP176),""))</f>
      </c>
      <c r="U176" s="684">
        <f>IF(終値!A176="","",IFERROR(4*STDEVP(終値!X176:AQ176)/AVERAGE(終値!X176:AQ176),""))</f>
      </c>
      <c r="V176" s="684">
        <f>IF(終値!A176="","",IFERROR(4*STDEVP(終値!Y176:AR176)/AVERAGE(終値!Y176:AR176),""))</f>
      </c>
      <c r="W176" s="684">
        <f>IF(終値!A176="","",IFERROR(4*STDEVP(終値!Z176:AS176)/AVERAGE(終値!Z176:AS176),""))</f>
      </c>
      <c r="X176" s="684">
        <f>IF(終値!A176="","",IFERROR(4*STDEVP(終値!AA176:AT176)/AVERAGE(終値!AA176:AT176),""))</f>
      </c>
      <c r="Y176" s="684">
        <f>IF(終値!A176="","",IFERROR(4*STDEVP(終値!AB176:AU176)/AVERAGE(終値!AB176:AU176),""))</f>
      </c>
      <c r="Z176" s="684">
        <f>IF(終値!A176="","",IFERROR(4*STDEVP(終値!AC176:AV176)/AVERAGE(終値!AC176:AV176),""))</f>
      </c>
      <c r="AA176" s="684">
        <f>IF(終値!A176="","",IFERROR(4*STDEVP(終値!AD176:AW176)/AVERAGE(終値!AD176:AW176),""))</f>
      </c>
      <c r="AB176" s="684">
        <f>IF(終値!A176="","",IFERROR(4*STDEVP(終値!AE176:AX176)/AVERAGE(終値!AE176:AX176),""))</f>
      </c>
      <c r="AC176" s="684">
        <f>IF(終値!A176="","",IFERROR(4*STDEVP(終値!AF176:AY176)/AVERAGE(終値!AF176:AY176),""))</f>
      </c>
      <c r="AD176" s="684">
        <f>IF(終値!A176="","",IFERROR(4*STDEVP(終値!AG176:AZ176)/AVERAGE(終値!AG176:AZ176),""))</f>
      </c>
      <c r="AE176" s="684">
        <f>IF(終値!A176="","",IFERROR(4*STDEVP(終値!AH176:BA176)/AVERAGE(終値!AH176:BA176),""))</f>
      </c>
      <c r="AF176" s="684">
        <f>IF(終値!A176="","",IFERROR(4*STDEVP(終値!AI176:BB176)/AVERAGE(終値!AI176:BB176),""))</f>
      </c>
      <c r="AG176" s="684">
        <f>IF(終値!A176="","",IFERROR(4*STDEVP(終値!AJ176:BC176)/AVERAGE(終値!AJ176:BC176),""))</f>
      </c>
      <c r="AH176" s="684">
        <f>IF(終値!A176="","",IFERROR(4*STDEVP(終値!AK176:BD176)/AVERAGE(終値!AK176:BD176),""))</f>
      </c>
      <c r="AI176" s="684">
        <f>IF(終値!A176="","",IFERROR(4*STDEVP(終値!AL176:BE176)/AVERAGE(終値!AL176:BE176),""))</f>
      </c>
      <c r="AJ176" s="684">
        <f>IF(終値!A176="","",IFERROR(4*STDEVP(終値!AM176:BF176)/AVERAGE(終値!AM176:BF176),""))</f>
      </c>
      <c r="AK176" s="684">
        <f>IF(終値!A176="","",IFERROR(4*STDEVP(終値!AN176:BG176)/AVERAGE(終値!AN176:BG176),""))</f>
      </c>
      <c r="AL176" s="684">
        <f>IF(終値!A176="","",IFERROR(4*STDEVP(終値!AO176:BH176)/AVERAGE(終値!AO176:BH176),""))</f>
      </c>
      <c r="AM176" s="684">
        <f>IF(終値!A176="","",IFERROR(4*STDEVP(終値!AP176:BI176)/AVERAGE(終値!AP176:BI176),""))</f>
      </c>
      <c r="AN176" s="684">
        <f>IF(終値!A176="","",IFERROR(4*STDEVP(終値!AQ176:BJ176)/AVERAGE(終値!AQ176:BJ176),""))</f>
      </c>
      <c r="AO176" s="684">
        <f>IF(終値!A176="","",IFERROR(4*STDEVP(終値!AR176:BK176)/AVERAGE(終値!AR176:BK176),""))</f>
      </c>
      <c r="AP176" s="684">
        <f>IF(終値!A176="","",IFERROR(4*STDEVP(終値!AS176:BL176)/AVERAGE(終値!AS176:BL176),""))</f>
      </c>
    </row>
    <row r="177">
      <c r="A177" s="681">
        <f>IF(終値!A177="","",終値!A177)</f>
      </c>
      <c r="B177" s="684">
        <f>IF(終値!A177="","",IFERROR(4*STDEVP(終値!E177:X177)/AVERAGE(終値!E177:X177),""))</f>
      </c>
      <c r="C177" s="684">
        <f>IF(終値!A177="","",IFERROR(4*STDEVP(終値!F177:Y177)/AVERAGE(終値!F177:Y177),""))</f>
      </c>
      <c r="D177" s="684">
        <f>IF(終値!A177="","",IFERROR(4*STDEVP(終値!G177:Z177)/AVERAGE(終値!G177:Z177),""))</f>
      </c>
      <c r="E177" s="684">
        <f>IF(終値!A177="","",IFERROR(4*STDEVP(終値!H177:AA177)/AVERAGE(終値!H177:AA177),""))</f>
      </c>
      <c r="F177" s="684">
        <f>IF(終値!A177="","",IFERROR(4*STDEVP(終値!I177:AB177)/AVERAGE(終値!I177:AB177),""))</f>
      </c>
      <c r="G177" s="684">
        <f>IF(終値!A177="","",IFERROR(4*STDEVP(終値!J177:AC177)/AVERAGE(終値!J177:AC177),""))</f>
      </c>
      <c r="H177" s="684">
        <f>IF(終値!A177="","",IFERROR(4*STDEVP(終値!K177:AD177)/AVERAGE(終値!K177:AD177),""))</f>
      </c>
      <c r="I177" s="684">
        <f>IF(終値!A177="","",IFERROR(4*STDEVP(終値!L177:AE177)/AVERAGE(終値!L177:AE177),""))</f>
      </c>
      <c r="J177" s="684">
        <f>IF(終値!A177="","",IFERROR(4*STDEVP(終値!M177:AF177)/AVERAGE(終値!M177:AF177),""))</f>
      </c>
      <c r="K177" s="684">
        <f>IF(終値!A177="","",IFERROR(4*STDEVP(終値!N177:AG177)/AVERAGE(終値!N177:AG177),""))</f>
      </c>
      <c r="L177" s="684">
        <f>IF(終値!A177="","",IFERROR(4*STDEVP(終値!O177:AH177)/AVERAGE(終値!O177:AH177),""))</f>
      </c>
      <c r="M177" s="684">
        <f>IF(終値!A177="","",IFERROR(4*STDEVP(終値!P177:AI177)/AVERAGE(終値!P177:AI177),""))</f>
      </c>
      <c r="N177" s="684">
        <f>IF(終値!A177="","",IFERROR(4*STDEVP(終値!Q177:AJ177)/AVERAGE(終値!Q177:AJ177),""))</f>
      </c>
      <c r="O177" s="684">
        <f>IF(終値!A177="","",IFERROR(4*STDEVP(終値!R177:AK177)/AVERAGE(終値!R177:AK177),""))</f>
      </c>
      <c r="P177" s="684">
        <f>IF(終値!A177="","",IFERROR(4*STDEVP(終値!S177:AL177)/AVERAGE(終値!S177:AL177),""))</f>
      </c>
      <c r="Q177" s="684">
        <f>IF(終値!A177="","",IFERROR(4*STDEVP(終値!T177:AM177)/AVERAGE(終値!T177:AM177),""))</f>
      </c>
      <c r="R177" s="684">
        <f>IF(終値!A177="","",IFERROR(4*STDEVP(終値!U177:AN177)/AVERAGE(終値!U177:AN177),""))</f>
      </c>
      <c r="S177" s="684">
        <f>IF(終値!A177="","",IFERROR(4*STDEVP(終値!V177:AO177)/AVERAGE(終値!V177:AO177),""))</f>
      </c>
      <c r="T177" s="684">
        <f>IF(終値!A177="","",IFERROR(4*STDEVP(終値!W177:AP177)/AVERAGE(終値!W177:AP177),""))</f>
      </c>
      <c r="U177" s="684">
        <f>IF(終値!A177="","",IFERROR(4*STDEVP(終値!X177:AQ177)/AVERAGE(終値!X177:AQ177),""))</f>
      </c>
      <c r="V177" s="684">
        <f>IF(終値!A177="","",IFERROR(4*STDEVP(終値!Y177:AR177)/AVERAGE(終値!Y177:AR177),""))</f>
      </c>
      <c r="W177" s="684">
        <f>IF(終値!A177="","",IFERROR(4*STDEVP(終値!Z177:AS177)/AVERAGE(終値!Z177:AS177),""))</f>
      </c>
      <c r="X177" s="684">
        <f>IF(終値!A177="","",IFERROR(4*STDEVP(終値!AA177:AT177)/AVERAGE(終値!AA177:AT177),""))</f>
      </c>
      <c r="Y177" s="684">
        <f>IF(終値!A177="","",IFERROR(4*STDEVP(終値!AB177:AU177)/AVERAGE(終値!AB177:AU177),""))</f>
      </c>
      <c r="Z177" s="684">
        <f>IF(終値!A177="","",IFERROR(4*STDEVP(終値!AC177:AV177)/AVERAGE(終値!AC177:AV177),""))</f>
      </c>
      <c r="AA177" s="684">
        <f>IF(終値!A177="","",IFERROR(4*STDEVP(終値!AD177:AW177)/AVERAGE(終値!AD177:AW177),""))</f>
      </c>
      <c r="AB177" s="684">
        <f>IF(終値!A177="","",IFERROR(4*STDEVP(終値!AE177:AX177)/AVERAGE(終値!AE177:AX177),""))</f>
      </c>
      <c r="AC177" s="684">
        <f>IF(終値!A177="","",IFERROR(4*STDEVP(終値!AF177:AY177)/AVERAGE(終値!AF177:AY177),""))</f>
      </c>
      <c r="AD177" s="684">
        <f>IF(終値!A177="","",IFERROR(4*STDEVP(終値!AG177:AZ177)/AVERAGE(終値!AG177:AZ177),""))</f>
      </c>
      <c r="AE177" s="684">
        <f>IF(終値!A177="","",IFERROR(4*STDEVP(終値!AH177:BA177)/AVERAGE(終値!AH177:BA177),""))</f>
      </c>
      <c r="AF177" s="684">
        <f>IF(終値!A177="","",IFERROR(4*STDEVP(終値!AI177:BB177)/AVERAGE(終値!AI177:BB177),""))</f>
      </c>
      <c r="AG177" s="684">
        <f>IF(終値!A177="","",IFERROR(4*STDEVP(終値!AJ177:BC177)/AVERAGE(終値!AJ177:BC177),""))</f>
      </c>
      <c r="AH177" s="684">
        <f>IF(終値!A177="","",IFERROR(4*STDEVP(終値!AK177:BD177)/AVERAGE(終値!AK177:BD177),""))</f>
      </c>
      <c r="AI177" s="684">
        <f>IF(終値!A177="","",IFERROR(4*STDEVP(終値!AL177:BE177)/AVERAGE(終値!AL177:BE177),""))</f>
      </c>
      <c r="AJ177" s="684">
        <f>IF(終値!A177="","",IFERROR(4*STDEVP(終値!AM177:BF177)/AVERAGE(終値!AM177:BF177),""))</f>
      </c>
      <c r="AK177" s="684">
        <f>IF(終値!A177="","",IFERROR(4*STDEVP(終値!AN177:BG177)/AVERAGE(終値!AN177:BG177),""))</f>
      </c>
      <c r="AL177" s="684">
        <f>IF(終値!A177="","",IFERROR(4*STDEVP(終値!AO177:BH177)/AVERAGE(終値!AO177:BH177),""))</f>
      </c>
      <c r="AM177" s="684">
        <f>IF(終値!A177="","",IFERROR(4*STDEVP(終値!AP177:BI177)/AVERAGE(終値!AP177:BI177),""))</f>
      </c>
      <c r="AN177" s="684">
        <f>IF(終値!A177="","",IFERROR(4*STDEVP(終値!AQ177:BJ177)/AVERAGE(終値!AQ177:BJ177),""))</f>
      </c>
      <c r="AO177" s="684">
        <f>IF(終値!A177="","",IFERROR(4*STDEVP(終値!AR177:BK177)/AVERAGE(終値!AR177:BK177),""))</f>
      </c>
      <c r="AP177" s="684">
        <f>IF(終値!A177="","",IFERROR(4*STDEVP(終値!AS177:BL177)/AVERAGE(終値!AS177:BL177),""))</f>
      </c>
    </row>
    <row r="178">
      <c r="A178" s="681">
        <f>IF(終値!A178="","",終値!A178)</f>
      </c>
      <c r="B178" s="684">
        <f>IF(終値!A178="","",IFERROR(4*STDEVP(終値!E178:X178)/AVERAGE(終値!E178:X178),""))</f>
      </c>
      <c r="C178" s="684">
        <f>IF(終値!A178="","",IFERROR(4*STDEVP(終値!F178:Y178)/AVERAGE(終値!F178:Y178),""))</f>
      </c>
      <c r="D178" s="684">
        <f>IF(終値!A178="","",IFERROR(4*STDEVP(終値!G178:Z178)/AVERAGE(終値!G178:Z178),""))</f>
      </c>
      <c r="E178" s="684">
        <f>IF(終値!A178="","",IFERROR(4*STDEVP(終値!H178:AA178)/AVERAGE(終値!H178:AA178),""))</f>
      </c>
      <c r="F178" s="684">
        <f>IF(終値!A178="","",IFERROR(4*STDEVP(終値!I178:AB178)/AVERAGE(終値!I178:AB178),""))</f>
      </c>
      <c r="G178" s="684">
        <f>IF(終値!A178="","",IFERROR(4*STDEVP(終値!J178:AC178)/AVERAGE(終値!J178:AC178),""))</f>
      </c>
      <c r="H178" s="684">
        <f>IF(終値!A178="","",IFERROR(4*STDEVP(終値!K178:AD178)/AVERAGE(終値!K178:AD178),""))</f>
      </c>
      <c r="I178" s="684">
        <f>IF(終値!A178="","",IFERROR(4*STDEVP(終値!L178:AE178)/AVERAGE(終値!L178:AE178),""))</f>
      </c>
      <c r="J178" s="684">
        <f>IF(終値!A178="","",IFERROR(4*STDEVP(終値!M178:AF178)/AVERAGE(終値!M178:AF178),""))</f>
      </c>
      <c r="K178" s="684">
        <f>IF(終値!A178="","",IFERROR(4*STDEVP(終値!N178:AG178)/AVERAGE(終値!N178:AG178),""))</f>
      </c>
      <c r="L178" s="684">
        <f>IF(終値!A178="","",IFERROR(4*STDEVP(終値!O178:AH178)/AVERAGE(終値!O178:AH178),""))</f>
      </c>
      <c r="M178" s="684">
        <f>IF(終値!A178="","",IFERROR(4*STDEVP(終値!P178:AI178)/AVERAGE(終値!P178:AI178),""))</f>
      </c>
      <c r="N178" s="684">
        <f>IF(終値!A178="","",IFERROR(4*STDEVP(終値!Q178:AJ178)/AVERAGE(終値!Q178:AJ178),""))</f>
      </c>
      <c r="O178" s="684">
        <f>IF(終値!A178="","",IFERROR(4*STDEVP(終値!R178:AK178)/AVERAGE(終値!R178:AK178),""))</f>
      </c>
      <c r="P178" s="684">
        <f>IF(終値!A178="","",IFERROR(4*STDEVP(終値!S178:AL178)/AVERAGE(終値!S178:AL178),""))</f>
      </c>
      <c r="Q178" s="684">
        <f>IF(終値!A178="","",IFERROR(4*STDEVP(終値!T178:AM178)/AVERAGE(終値!T178:AM178),""))</f>
      </c>
      <c r="R178" s="684">
        <f>IF(終値!A178="","",IFERROR(4*STDEVP(終値!U178:AN178)/AVERAGE(終値!U178:AN178),""))</f>
      </c>
      <c r="S178" s="684">
        <f>IF(終値!A178="","",IFERROR(4*STDEVP(終値!V178:AO178)/AVERAGE(終値!V178:AO178),""))</f>
      </c>
      <c r="T178" s="684">
        <f>IF(終値!A178="","",IFERROR(4*STDEVP(終値!W178:AP178)/AVERAGE(終値!W178:AP178),""))</f>
      </c>
      <c r="U178" s="684">
        <f>IF(終値!A178="","",IFERROR(4*STDEVP(終値!X178:AQ178)/AVERAGE(終値!X178:AQ178),""))</f>
      </c>
      <c r="V178" s="684">
        <f>IF(終値!A178="","",IFERROR(4*STDEVP(終値!Y178:AR178)/AVERAGE(終値!Y178:AR178),""))</f>
      </c>
      <c r="W178" s="684">
        <f>IF(終値!A178="","",IFERROR(4*STDEVP(終値!Z178:AS178)/AVERAGE(終値!Z178:AS178),""))</f>
      </c>
      <c r="X178" s="684">
        <f>IF(終値!A178="","",IFERROR(4*STDEVP(終値!AA178:AT178)/AVERAGE(終値!AA178:AT178),""))</f>
      </c>
      <c r="Y178" s="684">
        <f>IF(終値!A178="","",IFERROR(4*STDEVP(終値!AB178:AU178)/AVERAGE(終値!AB178:AU178),""))</f>
      </c>
      <c r="Z178" s="684">
        <f>IF(終値!A178="","",IFERROR(4*STDEVP(終値!AC178:AV178)/AVERAGE(終値!AC178:AV178),""))</f>
      </c>
      <c r="AA178" s="684">
        <f>IF(終値!A178="","",IFERROR(4*STDEVP(終値!AD178:AW178)/AVERAGE(終値!AD178:AW178),""))</f>
      </c>
      <c r="AB178" s="684">
        <f>IF(終値!A178="","",IFERROR(4*STDEVP(終値!AE178:AX178)/AVERAGE(終値!AE178:AX178),""))</f>
      </c>
      <c r="AC178" s="684">
        <f>IF(終値!A178="","",IFERROR(4*STDEVP(終値!AF178:AY178)/AVERAGE(終値!AF178:AY178),""))</f>
      </c>
      <c r="AD178" s="684">
        <f>IF(終値!A178="","",IFERROR(4*STDEVP(終値!AG178:AZ178)/AVERAGE(終値!AG178:AZ178),""))</f>
      </c>
      <c r="AE178" s="684">
        <f>IF(終値!A178="","",IFERROR(4*STDEVP(終値!AH178:BA178)/AVERAGE(終値!AH178:BA178),""))</f>
      </c>
      <c r="AF178" s="684">
        <f>IF(終値!A178="","",IFERROR(4*STDEVP(終値!AI178:BB178)/AVERAGE(終値!AI178:BB178),""))</f>
      </c>
      <c r="AG178" s="684">
        <f>IF(終値!A178="","",IFERROR(4*STDEVP(終値!AJ178:BC178)/AVERAGE(終値!AJ178:BC178),""))</f>
      </c>
      <c r="AH178" s="684">
        <f>IF(終値!A178="","",IFERROR(4*STDEVP(終値!AK178:BD178)/AVERAGE(終値!AK178:BD178),""))</f>
      </c>
      <c r="AI178" s="684">
        <f>IF(終値!A178="","",IFERROR(4*STDEVP(終値!AL178:BE178)/AVERAGE(終値!AL178:BE178),""))</f>
      </c>
      <c r="AJ178" s="684">
        <f>IF(終値!A178="","",IFERROR(4*STDEVP(終値!AM178:BF178)/AVERAGE(終値!AM178:BF178),""))</f>
      </c>
      <c r="AK178" s="684">
        <f>IF(終値!A178="","",IFERROR(4*STDEVP(終値!AN178:BG178)/AVERAGE(終値!AN178:BG178),""))</f>
      </c>
      <c r="AL178" s="684">
        <f>IF(終値!A178="","",IFERROR(4*STDEVP(終値!AO178:BH178)/AVERAGE(終値!AO178:BH178),""))</f>
      </c>
      <c r="AM178" s="684">
        <f>IF(終値!A178="","",IFERROR(4*STDEVP(終値!AP178:BI178)/AVERAGE(終値!AP178:BI178),""))</f>
      </c>
      <c r="AN178" s="684">
        <f>IF(終値!A178="","",IFERROR(4*STDEVP(終値!AQ178:BJ178)/AVERAGE(終値!AQ178:BJ178),""))</f>
      </c>
      <c r="AO178" s="684">
        <f>IF(終値!A178="","",IFERROR(4*STDEVP(終値!AR178:BK178)/AVERAGE(終値!AR178:BK178),""))</f>
      </c>
      <c r="AP178" s="684">
        <f>IF(終値!A178="","",IFERROR(4*STDEVP(終値!AS178:BL178)/AVERAGE(終値!AS178:BL178),""))</f>
      </c>
    </row>
    <row r="179">
      <c r="A179" s="681">
        <f>IF(終値!A179="","",終値!A179)</f>
      </c>
      <c r="B179" s="684">
        <f>IF(終値!A179="","",IFERROR(4*STDEVP(終値!E179:X179)/AVERAGE(終値!E179:X179),""))</f>
      </c>
      <c r="C179" s="684">
        <f>IF(終値!A179="","",IFERROR(4*STDEVP(終値!F179:Y179)/AVERAGE(終値!F179:Y179),""))</f>
      </c>
      <c r="D179" s="684">
        <f>IF(終値!A179="","",IFERROR(4*STDEVP(終値!G179:Z179)/AVERAGE(終値!G179:Z179),""))</f>
      </c>
      <c r="E179" s="684">
        <f>IF(終値!A179="","",IFERROR(4*STDEVP(終値!H179:AA179)/AVERAGE(終値!H179:AA179),""))</f>
      </c>
      <c r="F179" s="684">
        <f>IF(終値!A179="","",IFERROR(4*STDEVP(終値!I179:AB179)/AVERAGE(終値!I179:AB179),""))</f>
      </c>
      <c r="G179" s="684">
        <f>IF(終値!A179="","",IFERROR(4*STDEVP(終値!J179:AC179)/AVERAGE(終値!J179:AC179),""))</f>
      </c>
      <c r="H179" s="684">
        <f>IF(終値!A179="","",IFERROR(4*STDEVP(終値!K179:AD179)/AVERAGE(終値!K179:AD179),""))</f>
      </c>
      <c r="I179" s="684">
        <f>IF(終値!A179="","",IFERROR(4*STDEVP(終値!L179:AE179)/AVERAGE(終値!L179:AE179),""))</f>
      </c>
      <c r="J179" s="684">
        <f>IF(終値!A179="","",IFERROR(4*STDEVP(終値!M179:AF179)/AVERAGE(終値!M179:AF179),""))</f>
      </c>
      <c r="K179" s="684">
        <f>IF(終値!A179="","",IFERROR(4*STDEVP(終値!N179:AG179)/AVERAGE(終値!N179:AG179),""))</f>
      </c>
      <c r="L179" s="684">
        <f>IF(終値!A179="","",IFERROR(4*STDEVP(終値!O179:AH179)/AVERAGE(終値!O179:AH179),""))</f>
      </c>
      <c r="M179" s="684">
        <f>IF(終値!A179="","",IFERROR(4*STDEVP(終値!P179:AI179)/AVERAGE(終値!P179:AI179),""))</f>
      </c>
      <c r="N179" s="684">
        <f>IF(終値!A179="","",IFERROR(4*STDEVP(終値!Q179:AJ179)/AVERAGE(終値!Q179:AJ179),""))</f>
      </c>
      <c r="O179" s="684">
        <f>IF(終値!A179="","",IFERROR(4*STDEVP(終値!R179:AK179)/AVERAGE(終値!R179:AK179),""))</f>
      </c>
      <c r="P179" s="684">
        <f>IF(終値!A179="","",IFERROR(4*STDEVP(終値!S179:AL179)/AVERAGE(終値!S179:AL179),""))</f>
      </c>
      <c r="Q179" s="684">
        <f>IF(終値!A179="","",IFERROR(4*STDEVP(終値!T179:AM179)/AVERAGE(終値!T179:AM179),""))</f>
      </c>
      <c r="R179" s="684">
        <f>IF(終値!A179="","",IFERROR(4*STDEVP(終値!U179:AN179)/AVERAGE(終値!U179:AN179),""))</f>
      </c>
      <c r="S179" s="684">
        <f>IF(終値!A179="","",IFERROR(4*STDEVP(終値!V179:AO179)/AVERAGE(終値!V179:AO179),""))</f>
      </c>
      <c r="T179" s="684">
        <f>IF(終値!A179="","",IFERROR(4*STDEVP(終値!W179:AP179)/AVERAGE(終値!W179:AP179),""))</f>
      </c>
      <c r="U179" s="684">
        <f>IF(終値!A179="","",IFERROR(4*STDEVP(終値!X179:AQ179)/AVERAGE(終値!X179:AQ179),""))</f>
      </c>
      <c r="V179" s="684">
        <f>IF(終値!A179="","",IFERROR(4*STDEVP(終値!Y179:AR179)/AVERAGE(終値!Y179:AR179),""))</f>
      </c>
      <c r="W179" s="684">
        <f>IF(終値!A179="","",IFERROR(4*STDEVP(終値!Z179:AS179)/AVERAGE(終値!Z179:AS179),""))</f>
      </c>
      <c r="X179" s="684">
        <f>IF(終値!A179="","",IFERROR(4*STDEVP(終値!AA179:AT179)/AVERAGE(終値!AA179:AT179),""))</f>
      </c>
      <c r="Y179" s="684">
        <f>IF(終値!A179="","",IFERROR(4*STDEVP(終値!AB179:AU179)/AVERAGE(終値!AB179:AU179),""))</f>
      </c>
      <c r="Z179" s="684">
        <f>IF(終値!A179="","",IFERROR(4*STDEVP(終値!AC179:AV179)/AVERAGE(終値!AC179:AV179),""))</f>
      </c>
      <c r="AA179" s="684">
        <f>IF(終値!A179="","",IFERROR(4*STDEVP(終値!AD179:AW179)/AVERAGE(終値!AD179:AW179),""))</f>
      </c>
      <c r="AB179" s="684">
        <f>IF(終値!A179="","",IFERROR(4*STDEVP(終値!AE179:AX179)/AVERAGE(終値!AE179:AX179),""))</f>
      </c>
      <c r="AC179" s="684">
        <f>IF(終値!A179="","",IFERROR(4*STDEVP(終値!AF179:AY179)/AVERAGE(終値!AF179:AY179),""))</f>
      </c>
      <c r="AD179" s="684">
        <f>IF(終値!A179="","",IFERROR(4*STDEVP(終値!AG179:AZ179)/AVERAGE(終値!AG179:AZ179),""))</f>
      </c>
      <c r="AE179" s="684">
        <f>IF(終値!A179="","",IFERROR(4*STDEVP(終値!AH179:BA179)/AVERAGE(終値!AH179:BA179),""))</f>
      </c>
      <c r="AF179" s="684">
        <f>IF(終値!A179="","",IFERROR(4*STDEVP(終値!AI179:BB179)/AVERAGE(終値!AI179:BB179),""))</f>
      </c>
      <c r="AG179" s="684">
        <f>IF(終値!A179="","",IFERROR(4*STDEVP(終値!AJ179:BC179)/AVERAGE(終値!AJ179:BC179),""))</f>
      </c>
      <c r="AH179" s="684">
        <f>IF(終値!A179="","",IFERROR(4*STDEVP(終値!AK179:BD179)/AVERAGE(終値!AK179:BD179),""))</f>
      </c>
      <c r="AI179" s="684">
        <f>IF(終値!A179="","",IFERROR(4*STDEVP(終値!AL179:BE179)/AVERAGE(終値!AL179:BE179),""))</f>
      </c>
      <c r="AJ179" s="684">
        <f>IF(終値!A179="","",IFERROR(4*STDEVP(終値!AM179:BF179)/AVERAGE(終値!AM179:BF179),""))</f>
      </c>
      <c r="AK179" s="684">
        <f>IF(終値!A179="","",IFERROR(4*STDEVP(終値!AN179:BG179)/AVERAGE(終値!AN179:BG179),""))</f>
      </c>
      <c r="AL179" s="684">
        <f>IF(終値!A179="","",IFERROR(4*STDEVP(終値!AO179:BH179)/AVERAGE(終値!AO179:BH179),""))</f>
      </c>
      <c r="AM179" s="684">
        <f>IF(終値!A179="","",IFERROR(4*STDEVP(終値!AP179:BI179)/AVERAGE(終値!AP179:BI179),""))</f>
      </c>
      <c r="AN179" s="684">
        <f>IF(終値!A179="","",IFERROR(4*STDEVP(終値!AQ179:BJ179)/AVERAGE(終値!AQ179:BJ179),""))</f>
      </c>
      <c r="AO179" s="684">
        <f>IF(終値!A179="","",IFERROR(4*STDEVP(終値!AR179:BK179)/AVERAGE(終値!AR179:BK179),""))</f>
      </c>
      <c r="AP179" s="684">
        <f>IF(終値!A179="","",IFERROR(4*STDEVP(終値!AS179:BL179)/AVERAGE(終値!AS179:BL179),""))</f>
      </c>
    </row>
    <row r="180">
      <c r="A180" s="681">
        <f>IF(終値!A180="","",終値!A180)</f>
      </c>
      <c r="B180" s="684">
        <f>IF(終値!A180="","",IFERROR(4*STDEVP(終値!E180:X180)/AVERAGE(終値!E180:X180),""))</f>
      </c>
      <c r="C180" s="684">
        <f>IF(終値!A180="","",IFERROR(4*STDEVP(終値!F180:Y180)/AVERAGE(終値!F180:Y180),""))</f>
      </c>
      <c r="D180" s="684">
        <f>IF(終値!A180="","",IFERROR(4*STDEVP(終値!G180:Z180)/AVERAGE(終値!G180:Z180),""))</f>
      </c>
      <c r="E180" s="684">
        <f>IF(終値!A180="","",IFERROR(4*STDEVP(終値!H180:AA180)/AVERAGE(終値!H180:AA180),""))</f>
      </c>
      <c r="F180" s="684">
        <f>IF(終値!A180="","",IFERROR(4*STDEVP(終値!I180:AB180)/AVERAGE(終値!I180:AB180),""))</f>
      </c>
      <c r="G180" s="684">
        <f>IF(終値!A180="","",IFERROR(4*STDEVP(終値!J180:AC180)/AVERAGE(終値!J180:AC180),""))</f>
      </c>
      <c r="H180" s="684">
        <f>IF(終値!A180="","",IFERROR(4*STDEVP(終値!K180:AD180)/AVERAGE(終値!K180:AD180),""))</f>
      </c>
      <c r="I180" s="684">
        <f>IF(終値!A180="","",IFERROR(4*STDEVP(終値!L180:AE180)/AVERAGE(終値!L180:AE180),""))</f>
      </c>
      <c r="J180" s="684">
        <f>IF(終値!A180="","",IFERROR(4*STDEVP(終値!M180:AF180)/AVERAGE(終値!M180:AF180),""))</f>
      </c>
      <c r="K180" s="684">
        <f>IF(終値!A180="","",IFERROR(4*STDEVP(終値!N180:AG180)/AVERAGE(終値!N180:AG180),""))</f>
      </c>
      <c r="L180" s="684">
        <f>IF(終値!A180="","",IFERROR(4*STDEVP(終値!O180:AH180)/AVERAGE(終値!O180:AH180),""))</f>
      </c>
      <c r="M180" s="684">
        <f>IF(終値!A180="","",IFERROR(4*STDEVP(終値!P180:AI180)/AVERAGE(終値!P180:AI180),""))</f>
      </c>
      <c r="N180" s="684">
        <f>IF(終値!A180="","",IFERROR(4*STDEVP(終値!Q180:AJ180)/AVERAGE(終値!Q180:AJ180),""))</f>
      </c>
      <c r="O180" s="684">
        <f>IF(終値!A180="","",IFERROR(4*STDEVP(終値!R180:AK180)/AVERAGE(終値!R180:AK180),""))</f>
      </c>
      <c r="P180" s="684">
        <f>IF(終値!A180="","",IFERROR(4*STDEVP(終値!S180:AL180)/AVERAGE(終値!S180:AL180),""))</f>
      </c>
      <c r="Q180" s="684">
        <f>IF(終値!A180="","",IFERROR(4*STDEVP(終値!T180:AM180)/AVERAGE(終値!T180:AM180),""))</f>
      </c>
      <c r="R180" s="684">
        <f>IF(終値!A180="","",IFERROR(4*STDEVP(終値!U180:AN180)/AVERAGE(終値!U180:AN180),""))</f>
      </c>
      <c r="S180" s="684">
        <f>IF(終値!A180="","",IFERROR(4*STDEVP(終値!V180:AO180)/AVERAGE(終値!V180:AO180),""))</f>
      </c>
      <c r="T180" s="684">
        <f>IF(終値!A180="","",IFERROR(4*STDEVP(終値!W180:AP180)/AVERAGE(終値!W180:AP180),""))</f>
      </c>
      <c r="U180" s="684">
        <f>IF(終値!A180="","",IFERROR(4*STDEVP(終値!X180:AQ180)/AVERAGE(終値!X180:AQ180),""))</f>
      </c>
      <c r="V180" s="684">
        <f>IF(終値!A180="","",IFERROR(4*STDEVP(終値!Y180:AR180)/AVERAGE(終値!Y180:AR180),""))</f>
      </c>
      <c r="W180" s="684">
        <f>IF(終値!A180="","",IFERROR(4*STDEVP(終値!Z180:AS180)/AVERAGE(終値!Z180:AS180),""))</f>
      </c>
      <c r="X180" s="684">
        <f>IF(終値!A180="","",IFERROR(4*STDEVP(終値!AA180:AT180)/AVERAGE(終値!AA180:AT180),""))</f>
      </c>
      <c r="Y180" s="684">
        <f>IF(終値!A180="","",IFERROR(4*STDEVP(終値!AB180:AU180)/AVERAGE(終値!AB180:AU180),""))</f>
      </c>
      <c r="Z180" s="684">
        <f>IF(終値!A180="","",IFERROR(4*STDEVP(終値!AC180:AV180)/AVERAGE(終値!AC180:AV180),""))</f>
      </c>
      <c r="AA180" s="684">
        <f>IF(終値!A180="","",IFERROR(4*STDEVP(終値!AD180:AW180)/AVERAGE(終値!AD180:AW180),""))</f>
      </c>
      <c r="AB180" s="684">
        <f>IF(終値!A180="","",IFERROR(4*STDEVP(終値!AE180:AX180)/AVERAGE(終値!AE180:AX180),""))</f>
      </c>
      <c r="AC180" s="684">
        <f>IF(終値!A180="","",IFERROR(4*STDEVP(終値!AF180:AY180)/AVERAGE(終値!AF180:AY180),""))</f>
      </c>
      <c r="AD180" s="684">
        <f>IF(終値!A180="","",IFERROR(4*STDEVP(終値!AG180:AZ180)/AVERAGE(終値!AG180:AZ180),""))</f>
      </c>
      <c r="AE180" s="684">
        <f>IF(終値!A180="","",IFERROR(4*STDEVP(終値!AH180:BA180)/AVERAGE(終値!AH180:BA180),""))</f>
      </c>
      <c r="AF180" s="684">
        <f>IF(終値!A180="","",IFERROR(4*STDEVP(終値!AI180:BB180)/AVERAGE(終値!AI180:BB180),""))</f>
      </c>
      <c r="AG180" s="684">
        <f>IF(終値!A180="","",IFERROR(4*STDEVP(終値!AJ180:BC180)/AVERAGE(終値!AJ180:BC180),""))</f>
      </c>
      <c r="AH180" s="684">
        <f>IF(終値!A180="","",IFERROR(4*STDEVP(終値!AK180:BD180)/AVERAGE(終値!AK180:BD180),""))</f>
      </c>
      <c r="AI180" s="684">
        <f>IF(終値!A180="","",IFERROR(4*STDEVP(終値!AL180:BE180)/AVERAGE(終値!AL180:BE180),""))</f>
      </c>
      <c r="AJ180" s="684">
        <f>IF(終値!A180="","",IFERROR(4*STDEVP(終値!AM180:BF180)/AVERAGE(終値!AM180:BF180),""))</f>
      </c>
      <c r="AK180" s="684">
        <f>IF(終値!A180="","",IFERROR(4*STDEVP(終値!AN180:BG180)/AVERAGE(終値!AN180:BG180),""))</f>
      </c>
      <c r="AL180" s="684">
        <f>IF(終値!A180="","",IFERROR(4*STDEVP(終値!AO180:BH180)/AVERAGE(終値!AO180:BH180),""))</f>
      </c>
      <c r="AM180" s="684">
        <f>IF(終値!A180="","",IFERROR(4*STDEVP(終値!AP180:BI180)/AVERAGE(終値!AP180:BI180),""))</f>
      </c>
      <c r="AN180" s="684">
        <f>IF(終値!A180="","",IFERROR(4*STDEVP(終値!AQ180:BJ180)/AVERAGE(終値!AQ180:BJ180),""))</f>
      </c>
      <c r="AO180" s="684">
        <f>IF(終値!A180="","",IFERROR(4*STDEVP(終値!AR180:BK180)/AVERAGE(終値!AR180:BK180),""))</f>
      </c>
      <c r="AP180" s="684">
        <f>IF(終値!A180="","",IFERROR(4*STDEVP(終値!AS180:BL180)/AVERAGE(終値!AS180:BL180),""))</f>
      </c>
    </row>
    <row r="181">
      <c r="A181" s="681">
        <f>IF(終値!A181="","",終値!A181)</f>
      </c>
      <c r="B181" s="684">
        <f>IF(終値!A181="","",IFERROR(4*STDEVP(終値!E181:X181)/AVERAGE(終値!E181:X181),""))</f>
      </c>
      <c r="C181" s="684">
        <f>IF(終値!A181="","",IFERROR(4*STDEVP(終値!F181:Y181)/AVERAGE(終値!F181:Y181),""))</f>
      </c>
      <c r="D181" s="684">
        <f>IF(終値!A181="","",IFERROR(4*STDEVP(終値!G181:Z181)/AVERAGE(終値!G181:Z181),""))</f>
      </c>
      <c r="E181" s="684">
        <f>IF(終値!A181="","",IFERROR(4*STDEVP(終値!H181:AA181)/AVERAGE(終値!H181:AA181),""))</f>
      </c>
      <c r="F181" s="684">
        <f>IF(終値!A181="","",IFERROR(4*STDEVP(終値!I181:AB181)/AVERAGE(終値!I181:AB181),""))</f>
      </c>
      <c r="G181" s="684">
        <f>IF(終値!A181="","",IFERROR(4*STDEVP(終値!J181:AC181)/AVERAGE(終値!J181:AC181),""))</f>
      </c>
      <c r="H181" s="684">
        <f>IF(終値!A181="","",IFERROR(4*STDEVP(終値!K181:AD181)/AVERAGE(終値!K181:AD181),""))</f>
      </c>
      <c r="I181" s="684">
        <f>IF(終値!A181="","",IFERROR(4*STDEVP(終値!L181:AE181)/AVERAGE(終値!L181:AE181),""))</f>
      </c>
      <c r="J181" s="684">
        <f>IF(終値!A181="","",IFERROR(4*STDEVP(終値!M181:AF181)/AVERAGE(終値!M181:AF181),""))</f>
      </c>
      <c r="K181" s="684">
        <f>IF(終値!A181="","",IFERROR(4*STDEVP(終値!N181:AG181)/AVERAGE(終値!N181:AG181),""))</f>
      </c>
      <c r="L181" s="684">
        <f>IF(終値!A181="","",IFERROR(4*STDEVP(終値!O181:AH181)/AVERAGE(終値!O181:AH181),""))</f>
      </c>
      <c r="M181" s="684">
        <f>IF(終値!A181="","",IFERROR(4*STDEVP(終値!P181:AI181)/AVERAGE(終値!P181:AI181),""))</f>
      </c>
      <c r="N181" s="684">
        <f>IF(終値!A181="","",IFERROR(4*STDEVP(終値!Q181:AJ181)/AVERAGE(終値!Q181:AJ181),""))</f>
      </c>
      <c r="O181" s="684">
        <f>IF(終値!A181="","",IFERROR(4*STDEVP(終値!R181:AK181)/AVERAGE(終値!R181:AK181),""))</f>
      </c>
      <c r="P181" s="684">
        <f>IF(終値!A181="","",IFERROR(4*STDEVP(終値!S181:AL181)/AVERAGE(終値!S181:AL181),""))</f>
      </c>
      <c r="Q181" s="684">
        <f>IF(終値!A181="","",IFERROR(4*STDEVP(終値!T181:AM181)/AVERAGE(終値!T181:AM181),""))</f>
      </c>
      <c r="R181" s="684">
        <f>IF(終値!A181="","",IFERROR(4*STDEVP(終値!U181:AN181)/AVERAGE(終値!U181:AN181),""))</f>
      </c>
      <c r="S181" s="684">
        <f>IF(終値!A181="","",IFERROR(4*STDEVP(終値!V181:AO181)/AVERAGE(終値!V181:AO181),""))</f>
      </c>
      <c r="T181" s="684">
        <f>IF(終値!A181="","",IFERROR(4*STDEVP(終値!W181:AP181)/AVERAGE(終値!W181:AP181),""))</f>
      </c>
      <c r="U181" s="684">
        <f>IF(終値!A181="","",IFERROR(4*STDEVP(終値!X181:AQ181)/AVERAGE(終値!X181:AQ181),""))</f>
      </c>
      <c r="V181" s="684">
        <f>IF(終値!A181="","",IFERROR(4*STDEVP(終値!Y181:AR181)/AVERAGE(終値!Y181:AR181),""))</f>
      </c>
      <c r="W181" s="684">
        <f>IF(終値!A181="","",IFERROR(4*STDEVP(終値!Z181:AS181)/AVERAGE(終値!Z181:AS181),""))</f>
      </c>
      <c r="X181" s="684">
        <f>IF(終値!A181="","",IFERROR(4*STDEVP(終値!AA181:AT181)/AVERAGE(終値!AA181:AT181),""))</f>
      </c>
      <c r="Y181" s="684">
        <f>IF(終値!A181="","",IFERROR(4*STDEVP(終値!AB181:AU181)/AVERAGE(終値!AB181:AU181),""))</f>
      </c>
      <c r="Z181" s="684">
        <f>IF(終値!A181="","",IFERROR(4*STDEVP(終値!AC181:AV181)/AVERAGE(終値!AC181:AV181),""))</f>
      </c>
      <c r="AA181" s="684">
        <f>IF(終値!A181="","",IFERROR(4*STDEVP(終値!AD181:AW181)/AVERAGE(終値!AD181:AW181),""))</f>
      </c>
      <c r="AB181" s="684">
        <f>IF(終値!A181="","",IFERROR(4*STDEVP(終値!AE181:AX181)/AVERAGE(終値!AE181:AX181),""))</f>
      </c>
      <c r="AC181" s="684">
        <f>IF(終値!A181="","",IFERROR(4*STDEVP(終値!AF181:AY181)/AVERAGE(終値!AF181:AY181),""))</f>
      </c>
      <c r="AD181" s="684">
        <f>IF(終値!A181="","",IFERROR(4*STDEVP(終値!AG181:AZ181)/AVERAGE(終値!AG181:AZ181),""))</f>
      </c>
      <c r="AE181" s="684">
        <f>IF(終値!A181="","",IFERROR(4*STDEVP(終値!AH181:BA181)/AVERAGE(終値!AH181:BA181),""))</f>
      </c>
      <c r="AF181" s="684">
        <f>IF(終値!A181="","",IFERROR(4*STDEVP(終値!AI181:BB181)/AVERAGE(終値!AI181:BB181),""))</f>
      </c>
      <c r="AG181" s="684">
        <f>IF(終値!A181="","",IFERROR(4*STDEVP(終値!AJ181:BC181)/AVERAGE(終値!AJ181:BC181),""))</f>
      </c>
      <c r="AH181" s="684">
        <f>IF(終値!A181="","",IFERROR(4*STDEVP(終値!AK181:BD181)/AVERAGE(終値!AK181:BD181),""))</f>
      </c>
      <c r="AI181" s="684">
        <f>IF(終値!A181="","",IFERROR(4*STDEVP(終値!AL181:BE181)/AVERAGE(終値!AL181:BE181),""))</f>
      </c>
      <c r="AJ181" s="684">
        <f>IF(終値!A181="","",IFERROR(4*STDEVP(終値!AM181:BF181)/AVERAGE(終値!AM181:BF181),""))</f>
      </c>
      <c r="AK181" s="684">
        <f>IF(終値!A181="","",IFERROR(4*STDEVP(終値!AN181:BG181)/AVERAGE(終値!AN181:BG181),""))</f>
      </c>
      <c r="AL181" s="684">
        <f>IF(終値!A181="","",IFERROR(4*STDEVP(終値!AO181:BH181)/AVERAGE(終値!AO181:BH181),""))</f>
      </c>
      <c r="AM181" s="684">
        <f>IF(終値!A181="","",IFERROR(4*STDEVP(終値!AP181:BI181)/AVERAGE(終値!AP181:BI181),""))</f>
      </c>
      <c r="AN181" s="684">
        <f>IF(終値!A181="","",IFERROR(4*STDEVP(終値!AQ181:BJ181)/AVERAGE(終値!AQ181:BJ181),""))</f>
      </c>
      <c r="AO181" s="684">
        <f>IF(終値!A181="","",IFERROR(4*STDEVP(終値!AR181:BK181)/AVERAGE(終値!AR181:BK181),""))</f>
      </c>
      <c r="AP181" s="684">
        <f>IF(終値!A181="","",IFERROR(4*STDEVP(終値!AS181:BL181)/AVERAGE(終値!AS181:BL181),""))</f>
      </c>
    </row>
    <row r="182">
      <c r="A182" s="681">
        <f>IF(終値!A182="","",終値!A182)</f>
      </c>
      <c r="B182" s="684">
        <f>IF(終値!A182="","",IFERROR(4*STDEVP(終値!E182:X182)/AVERAGE(終値!E182:X182),""))</f>
      </c>
      <c r="C182" s="684">
        <f>IF(終値!A182="","",IFERROR(4*STDEVP(終値!F182:Y182)/AVERAGE(終値!F182:Y182),""))</f>
      </c>
      <c r="D182" s="684">
        <f>IF(終値!A182="","",IFERROR(4*STDEVP(終値!G182:Z182)/AVERAGE(終値!G182:Z182),""))</f>
      </c>
      <c r="E182" s="684">
        <f>IF(終値!A182="","",IFERROR(4*STDEVP(終値!H182:AA182)/AVERAGE(終値!H182:AA182),""))</f>
      </c>
      <c r="F182" s="684">
        <f>IF(終値!A182="","",IFERROR(4*STDEVP(終値!I182:AB182)/AVERAGE(終値!I182:AB182),""))</f>
      </c>
      <c r="G182" s="684">
        <f>IF(終値!A182="","",IFERROR(4*STDEVP(終値!J182:AC182)/AVERAGE(終値!J182:AC182),""))</f>
      </c>
      <c r="H182" s="684">
        <f>IF(終値!A182="","",IFERROR(4*STDEVP(終値!K182:AD182)/AVERAGE(終値!K182:AD182),""))</f>
      </c>
      <c r="I182" s="684">
        <f>IF(終値!A182="","",IFERROR(4*STDEVP(終値!L182:AE182)/AVERAGE(終値!L182:AE182),""))</f>
      </c>
      <c r="J182" s="684">
        <f>IF(終値!A182="","",IFERROR(4*STDEVP(終値!M182:AF182)/AVERAGE(終値!M182:AF182),""))</f>
      </c>
      <c r="K182" s="684">
        <f>IF(終値!A182="","",IFERROR(4*STDEVP(終値!N182:AG182)/AVERAGE(終値!N182:AG182),""))</f>
      </c>
      <c r="L182" s="684">
        <f>IF(終値!A182="","",IFERROR(4*STDEVP(終値!O182:AH182)/AVERAGE(終値!O182:AH182),""))</f>
      </c>
      <c r="M182" s="684">
        <f>IF(終値!A182="","",IFERROR(4*STDEVP(終値!P182:AI182)/AVERAGE(終値!P182:AI182),""))</f>
      </c>
      <c r="N182" s="684">
        <f>IF(終値!A182="","",IFERROR(4*STDEVP(終値!Q182:AJ182)/AVERAGE(終値!Q182:AJ182),""))</f>
      </c>
      <c r="O182" s="684">
        <f>IF(終値!A182="","",IFERROR(4*STDEVP(終値!R182:AK182)/AVERAGE(終値!R182:AK182),""))</f>
      </c>
      <c r="P182" s="684">
        <f>IF(終値!A182="","",IFERROR(4*STDEVP(終値!S182:AL182)/AVERAGE(終値!S182:AL182),""))</f>
      </c>
      <c r="Q182" s="684">
        <f>IF(終値!A182="","",IFERROR(4*STDEVP(終値!T182:AM182)/AVERAGE(終値!T182:AM182),""))</f>
      </c>
      <c r="R182" s="684">
        <f>IF(終値!A182="","",IFERROR(4*STDEVP(終値!U182:AN182)/AVERAGE(終値!U182:AN182),""))</f>
      </c>
      <c r="S182" s="684">
        <f>IF(終値!A182="","",IFERROR(4*STDEVP(終値!V182:AO182)/AVERAGE(終値!V182:AO182),""))</f>
      </c>
      <c r="T182" s="684">
        <f>IF(終値!A182="","",IFERROR(4*STDEVP(終値!W182:AP182)/AVERAGE(終値!W182:AP182),""))</f>
      </c>
      <c r="U182" s="684">
        <f>IF(終値!A182="","",IFERROR(4*STDEVP(終値!X182:AQ182)/AVERAGE(終値!X182:AQ182),""))</f>
      </c>
      <c r="V182" s="684">
        <f>IF(終値!A182="","",IFERROR(4*STDEVP(終値!Y182:AR182)/AVERAGE(終値!Y182:AR182),""))</f>
      </c>
      <c r="W182" s="684">
        <f>IF(終値!A182="","",IFERROR(4*STDEVP(終値!Z182:AS182)/AVERAGE(終値!Z182:AS182),""))</f>
      </c>
      <c r="X182" s="684">
        <f>IF(終値!A182="","",IFERROR(4*STDEVP(終値!AA182:AT182)/AVERAGE(終値!AA182:AT182),""))</f>
      </c>
      <c r="Y182" s="684">
        <f>IF(終値!A182="","",IFERROR(4*STDEVP(終値!AB182:AU182)/AVERAGE(終値!AB182:AU182),""))</f>
      </c>
      <c r="Z182" s="684">
        <f>IF(終値!A182="","",IFERROR(4*STDEVP(終値!AC182:AV182)/AVERAGE(終値!AC182:AV182),""))</f>
      </c>
      <c r="AA182" s="684">
        <f>IF(終値!A182="","",IFERROR(4*STDEVP(終値!AD182:AW182)/AVERAGE(終値!AD182:AW182),""))</f>
      </c>
      <c r="AB182" s="684">
        <f>IF(終値!A182="","",IFERROR(4*STDEVP(終値!AE182:AX182)/AVERAGE(終値!AE182:AX182),""))</f>
      </c>
      <c r="AC182" s="684">
        <f>IF(終値!A182="","",IFERROR(4*STDEVP(終値!AF182:AY182)/AVERAGE(終値!AF182:AY182),""))</f>
      </c>
      <c r="AD182" s="684">
        <f>IF(終値!A182="","",IFERROR(4*STDEVP(終値!AG182:AZ182)/AVERAGE(終値!AG182:AZ182),""))</f>
      </c>
      <c r="AE182" s="684">
        <f>IF(終値!A182="","",IFERROR(4*STDEVP(終値!AH182:BA182)/AVERAGE(終値!AH182:BA182),""))</f>
      </c>
      <c r="AF182" s="684">
        <f>IF(終値!A182="","",IFERROR(4*STDEVP(終値!AI182:BB182)/AVERAGE(終値!AI182:BB182),""))</f>
      </c>
      <c r="AG182" s="684">
        <f>IF(終値!A182="","",IFERROR(4*STDEVP(終値!AJ182:BC182)/AVERAGE(終値!AJ182:BC182),""))</f>
      </c>
      <c r="AH182" s="684">
        <f>IF(終値!A182="","",IFERROR(4*STDEVP(終値!AK182:BD182)/AVERAGE(終値!AK182:BD182),""))</f>
      </c>
      <c r="AI182" s="684">
        <f>IF(終値!A182="","",IFERROR(4*STDEVP(終値!AL182:BE182)/AVERAGE(終値!AL182:BE182),""))</f>
      </c>
      <c r="AJ182" s="684">
        <f>IF(終値!A182="","",IFERROR(4*STDEVP(終値!AM182:BF182)/AVERAGE(終値!AM182:BF182),""))</f>
      </c>
      <c r="AK182" s="684">
        <f>IF(終値!A182="","",IFERROR(4*STDEVP(終値!AN182:BG182)/AVERAGE(終値!AN182:BG182),""))</f>
      </c>
      <c r="AL182" s="684">
        <f>IF(終値!A182="","",IFERROR(4*STDEVP(終値!AO182:BH182)/AVERAGE(終値!AO182:BH182),""))</f>
      </c>
      <c r="AM182" s="684">
        <f>IF(終値!A182="","",IFERROR(4*STDEVP(終値!AP182:BI182)/AVERAGE(終値!AP182:BI182),""))</f>
      </c>
      <c r="AN182" s="684">
        <f>IF(終値!A182="","",IFERROR(4*STDEVP(終値!AQ182:BJ182)/AVERAGE(終値!AQ182:BJ182),""))</f>
      </c>
      <c r="AO182" s="684">
        <f>IF(終値!A182="","",IFERROR(4*STDEVP(終値!AR182:BK182)/AVERAGE(終値!AR182:BK182),""))</f>
      </c>
      <c r="AP182" s="684">
        <f>IF(終値!A182="","",IFERROR(4*STDEVP(終値!AS182:BL182)/AVERAGE(終値!AS182:BL182),""))</f>
      </c>
    </row>
    <row r="183">
      <c r="A183" s="681">
        <f>IF(終値!A183="","",終値!A183)</f>
      </c>
      <c r="B183" s="684">
        <f>IF(終値!A183="","",IFERROR(4*STDEVP(終値!E183:X183)/AVERAGE(終値!E183:X183),""))</f>
      </c>
      <c r="C183" s="684">
        <f>IF(終値!A183="","",IFERROR(4*STDEVP(終値!F183:Y183)/AVERAGE(終値!F183:Y183),""))</f>
      </c>
      <c r="D183" s="684">
        <f>IF(終値!A183="","",IFERROR(4*STDEVP(終値!G183:Z183)/AVERAGE(終値!G183:Z183),""))</f>
      </c>
      <c r="E183" s="684">
        <f>IF(終値!A183="","",IFERROR(4*STDEVP(終値!H183:AA183)/AVERAGE(終値!H183:AA183),""))</f>
      </c>
      <c r="F183" s="684">
        <f>IF(終値!A183="","",IFERROR(4*STDEVP(終値!I183:AB183)/AVERAGE(終値!I183:AB183),""))</f>
      </c>
      <c r="G183" s="684">
        <f>IF(終値!A183="","",IFERROR(4*STDEVP(終値!J183:AC183)/AVERAGE(終値!J183:AC183),""))</f>
      </c>
      <c r="H183" s="684">
        <f>IF(終値!A183="","",IFERROR(4*STDEVP(終値!K183:AD183)/AVERAGE(終値!K183:AD183),""))</f>
      </c>
      <c r="I183" s="684">
        <f>IF(終値!A183="","",IFERROR(4*STDEVP(終値!L183:AE183)/AVERAGE(終値!L183:AE183),""))</f>
      </c>
      <c r="J183" s="684">
        <f>IF(終値!A183="","",IFERROR(4*STDEVP(終値!M183:AF183)/AVERAGE(終値!M183:AF183),""))</f>
      </c>
      <c r="K183" s="684">
        <f>IF(終値!A183="","",IFERROR(4*STDEVP(終値!N183:AG183)/AVERAGE(終値!N183:AG183),""))</f>
      </c>
      <c r="L183" s="684">
        <f>IF(終値!A183="","",IFERROR(4*STDEVP(終値!O183:AH183)/AVERAGE(終値!O183:AH183),""))</f>
      </c>
      <c r="M183" s="684">
        <f>IF(終値!A183="","",IFERROR(4*STDEVP(終値!P183:AI183)/AVERAGE(終値!P183:AI183),""))</f>
      </c>
      <c r="N183" s="684">
        <f>IF(終値!A183="","",IFERROR(4*STDEVP(終値!Q183:AJ183)/AVERAGE(終値!Q183:AJ183),""))</f>
      </c>
      <c r="O183" s="684">
        <f>IF(終値!A183="","",IFERROR(4*STDEVP(終値!R183:AK183)/AVERAGE(終値!R183:AK183),""))</f>
      </c>
      <c r="P183" s="684">
        <f>IF(終値!A183="","",IFERROR(4*STDEVP(終値!S183:AL183)/AVERAGE(終値!S183:AL183),""))</f>
      </c>
      <c r="Q183" s="684">
        <f>IF(終値!A183="","",IFERROR(4*STDEVP(終値!T183:AM183)/AVERAGE(終値!T183:AM183),""))</f>
      </c>
      <c r="R183" s="684">
        <f>IF(終値!A183="","",IFERROR(4*STDEVP(終値!U183:AN183)/AVERAGE(終値!U183:AN183),""))</f>
      </c>
      <c r="S183" s="684">
        <f>IF(終値!A183="","",IFERROR(4*STDEVP(終値!V183:AO183)/AVERAGE(終値!V183:AO183),""))</f>
      </c>
      <c r="T183" s="684">
        <f>IF(終値!A183="","",IFERROR(4*STDEVP(終値!W183:AP183)/AVERAGE(終値!W183:AP183),""))</f>
      </c>
      <c r="U183" s="684">
        <f>IF(終値!A183="","",IFERROR(4*STDEVP(終値!X183:AQ183)/AVERAGE(終値!X183:AQ183),""))</f>
      </c>
      <c r="V183" s="684">
        <f>IF(終値!A183="","",IFERROR(4*STDEVP(終値!Y183:AR183)/AVERAGE(終値!Y183:AR183),""))</f>
      </c>
      <c r="W183" s="684">
        <f>IF(終値!A183="","",IFERROR(4*STDEVP(終値!Z183:AS183)/AVERAGE(終値!Z183:AS183),""))</f>
      </c>
      <c r="X183" s="684">
        <f>IF(終値!A183="","",IFERROR(4*STDEVP(終値!AA183:AT183)/AVERAGE(終値!AA183:AT183),""))</f>
      </c>
      <c r="Y183" s="684">
        <f>IF(終値!A183="","",IFERROR(4*STDEVP(終値!AB183:AU183)/AVERAGE(終値!AB183:AU183),""))</f>
      </c>
      <c r="Z183" s="684">
        <f>IF(終値!A183="","",IFERROR(4*STDEVP(終値!AC183:AV183)/AVERAGE(終値!AC183:AV183),""))</f>
      </c>
      <c r="AA183" s="684">
        <f>IF(終値!A183="","",IFERROR(4*STDEVP(終値!AD183:AW183)/AVERAGE(終値!AD183:AW183),""))</f>
      </c>
      <c r="AB183" s="684">
        <f>IF(終値!A183="","",IFERROR(4*STDEVP(終値!AE183:AX183)/AVERAGE(終値!AE183:AX183),""))</f>
      </c>
      <c r="AC183" s="684">
        <f>IF(終値!A183="","",IFERROR(4*STDEVP(終値!AF183:AY183)/AVERAGE(終値!AF183:AY183),""))</f>
      </c>
      <c r="AD183" s="684">
        <f>IF(終値!A183="","",IFERROR(4*STDEVP(終値!AG183:AZ183)/AVERAGE(終値!AG183:AZ183),""))</f>
      </c>
      <c r="AE183" s="684">
        <f>IF(終値!A183="","",IFERROR(4*STDEVP(終値!AH183:BA183)/AVERAGE(終値!AH183:BA183),""))</f>
      </c>
      <c r="AF183" s="684">
        <f>IF(終値!A183="","",IFERROR(4*STDEVP(終値!AI183:BB183)/AVERAGE(終値!AI183:BB183),""))</f>
      </c>
      <c r="AG183" s="684">
        <f>IF(終値!A183="","",IFERROR(4*STDEVP(終値!AJ183:BC183)/AVERAGE(終値!AJ183:BC183),""))</f>
      </c>
      <c r="AH183" s="684">
        <f>IF(終値!A183="","",IFERROR(4*STDEVP(終値!AK183:BD183)/AVERAGE(終値!AK183:BD183),""))</f>
      </c>
      <c r="AI183" s="684">
        <f>IF(終値!A183="","",IFERROR(4*STDEVP(終値!AL183:BE183)/AVERAGE(終値!AL183:BE183),""))</f>
      </c>
      <c r="AJ183" s="684">
        <f>IF(終値!A183="","",IFERROR(4*STDEVP(終値!AM183:BF183)/AVERAGE(終値!AM183:BF183),""))</f>
      </c>
      <c r="AK183" s="684">
        <f>IF(終値!A183="","",IFERROR(4*STDEVP(終値!AN183:BG183)/AVERAGE(終値!AN183:BG183),""))</f>
      </c>
      <c r="AL183" s="684">
        <f>IF(終値!A183="","",IFERROR(4*STDEVP(終値!AO183:BH183)/AVERAGE(終値!AO183:BH183),""))</f>
      </c>
      <c r="AM183" s="684">
        <f>IF(終値!A183="","",IFERROR(4*STDEVP(終値!AP183:BI183)/AVERAGE(終値!AP183:BI183),""))</f>
      </c>
      <c r="AN183" s="684">
        <f>IF(終値!A183="","",IFERROR(4*STDEVP(終値!AQ183:BJ183)/AVERAGE(終値!AQ183:BJ183),""))</f>
      </c>
      <c r="AO183" s="684">
        <f>IF(終値!A183="","",IFERROR(4*STDEVP(終値!AR183:BK183)/AVERAGE(終値!AR183:BK183),""))</f>
      </c>
      <c r="AP183" s="684">
        <f>IF(終値!A183="","",IFERROR(4*STDEVP(終値!AS183:BL183)/AVERAGE(終値!AS183:BL183),""))</f>
      </c>
    </row>
    <row r="184">
      <c r="A184" s="681">
        <f>IF(終値!A184="","",終値!A184)</f>
      </c>
      <c r="B184" s="684">
        <f>IF(終値!A184="","",IFERROR(4*STDEVP(終値!E184:X184)/AVERAGE(終値!E184:X184),""))</f>
      </c>
      <c r="C184" s="684">
        <f>IF(終値!A184="","",IFERROR(4*STDEVP(終値!F184:Y184)/AVERAGE(終値!F184:Y184),""))</f>
      </c>
      <c r="D184" s="684">
        <f>IF(終値!A184="","",IFERROR(4*STDEVP(終値!G184:Z184)/AVERAGE(終値!G184:Z184),""))</f>
      </c>
      <c r="E184" s="684">
        <f>IF(終値!A184="","",IFERROR(4*STDEVP(終値!H184:AA184)/AVERAGE(終値!H184:AA184),""))</f>
      </c>
      <c r="F184" s="684">
        <f>IF(終値!A184="","",IFERROR(4*STDEVP(終値!I184:AB184)/AVERAGE(終値!I184:AB184),""))</f>
      </c>
      <c r="G184" s="684">
        <f>IF(終値!A184="","",IFERROR(4*STDEVP(終値!J184:AC184)/AVERAGE(終値!J184:AC184),""))</f>
      </c>
      <c r="H184" s="684">
        <f>IF(終値!A184="","",IFERROR(4*STDEVP(終値!K184:AD184)/AVERAGE(終値!K184:AD184),""))</f>
      </c>
      <c r="I184" s="684">
        <f>IF(終値!A184="","",IFERROR(4*STDEVP(終値!L184:AE184)/AVERAGE(終値!L184:AE184),""))</f>
      </c>
      <c r="J184" s="684">
        <f>IF(終値!A184="","",IFERROR(4*STDEVP(終値!M184:AF184)/AVERAGE(終値!M184:AF184),""))</f>
      </c>
      <c r="K184" s="684">
        <f>IF(終値!A184="","",IFERROR(4*STDEVP(終値!N184:AG184)/AVERAGE(終値!N184:AG184),""))</f>
      </c>
      <c r="L184" s="684">
        <f>IF(終値!A184="","",IFERROR(4*STDEVP(終値!O184:AH184)/AVERAGE(終値!O184:AH184),""))</f>
      </c>
      <c r="M184" s="684">
        <f>IF(終値!A184="","",IFERROR(4*STDEVP(終値!P184:AI184)/AVERAGE(終値!P184:AI184),""))</f>
      </c>
      <c r="N184" s="684">
        <f>IF(終値!A184="","",IFERROR(4*STDEVP(終値!Q184:AJ184)/AVERAGE(終値!Q184:AJ184),""))</f>
      </c>
      <c r="O184" s="684">
        <f>IF(終値!A184="","",IFERROR(4*STDEVP(終値!R184:AK184)/AVERAGE(終値!R184:AK184),""))</f>
      </c>
      <c r="P184" s="684">
        <f>IF(終値!A184="","",IFERROR(4*STDEVP(終値!S184:AL184)/AVERAGE(終値!S184:AL184),""))</f>
      </c>
      <c r="Q184" s="684">
        <f>IF(終値!A184="","",IFERROR(4*STDEVP(終値!T184:AM184)/AVERAGE(終値!T184:AM184),""))</f>
      </c>
      <c r="R184" s="684">
        <f>IF(終値!A184="","",IFERROR(4*STDEVP(終値!U184:AN184)/AVERAGE(終値!U184:AN184),""))</f>
      </c>
      <c r="S184" s="684">
        <f>IF(終値!A184="","",IFERROR(4*STDEVP(終値!V184:AO184)/AVERAGE(終値!V184:AO184),""))</f>
      </c>
      <c r="T184" s="684">
        <f>IF(終値!A184="","",IFERROR(4*STDEVP(終値!W184:AP184)/AVERAGE(終値!W184:AP184),""))</f>
      </c>
      <c r="U184" s="684">
        <f>IF(終値!A184="","",IFERROR(4*STDEVP(終値!X184:AQ184)/AVERAGE(終値!X184:AQ184),""))</f>
      </c>
      <c r="V184" s="684">
        <f>IF(終値!A184="","",IFERROR(4*STDEVP(終値!Y184:AR184)/AVERAGE(終値!Y184:AR184),""))</f>
      </c>
      <c r="W184" s="684">
        <f>IF(終値!A184="","",IFERROR(4*STDEVP(終値!Z184:AS184)/AVERAGE(終値!Z184:AS184),""))</f>
      </c>
      <c r="X184" s="684">
        <f>IF(終値!A184="","",IFERROR(4*STDEVP(終値!AA184:AT184)/AVERAGE(終値!AA184:AT184),""))</f>
      </c>
      <c r="Y184" s="684">
        <f>IF(終値!A184="","",IFERROR(4*STDEVP(終値!AB184:AU184)/AVERAGE(終値!AB184:AU184),""))</f>
      </c>
      <c r="Z184" s="684">
        <f>IF(終値!A184="","",IFERROR(4*STDEVP(終値!AC184:AV184)/AVERAGE(終値!AC184:AV184),""))</f>
      </c>
      <c r="AA184" s="684">
        <f>IF(終値!A184="","",IFERROR(4*STDEVP(終値!AD184:AW184)/AVERAGE(終値!AD184:AW184),""))</f>
      </c>
      <c r="AB184" s="684">
        <f>IF(終値!A184="","",IFERROR(4*STDEVP(終値!AE184:AX184)/AVERAGE(終値!AE184:AX184),""))</f>
      </c>
      <c r="AC184" s="684">
        <f>IF(終値!A184="","",IFERROR(4*STDEVP(終値!AF184:AY184)/AVERAGE(終値!AF184:AY184),""))</f>
      </c>
      <c r="AD184" s="684">
        <f>IF(終値!A184="","",IFERROR(4*STDEVP(終値!AG184:AZ184)/AVERAGE(終値!AG184:AZ184),""))</f>
      </c>
      <c r="AE184" s="684">
        <f>IF(終値!A184="","",IFERROR(4*STDEVP(終値!AH184:BA184)/AVERAGE(終値!AH184:BA184),""))</f>
      </c>
      <c r="AF184" s="684">
        <f>IF(終値!A184="","",IFERROR(4*STDEVP(終値!AI184:BB184)/AVERAGE(終値!AI184:BB184),""))</f>
      </c>
      <c r="AG184" s="684">
        <f>IF(終値!A184="","",IFERROR(4*STDEVP(終値!AJ184:BC184)/AVERAGE(終値!AJ184:BC184),""))</f>
      </c>
      <c r="AH184" s="684">
        <f>IF(終値!A184="","",IFERROR(4*STDEVP(終値!AK184:BD184)/AVERAGE(終値!AK184:BD184),""))</f>
      </c>
      <c r="AI184" s="684">
        <f>IF(終値!A184="","",IFERROR(4*STDEVP(終値!AL184:BE184)/AVERAGE(終値!AL184:BE184),""))</f>
      </c>
      <c r="AJ184" s="684">
        <f>IF(終値!A184="","",IFERROR(4*STDEVP(終値!AM184:BF184)/AVERAGE(終値!AM184:BF184),""))</f>
      </c>
      <c r="AK184" s="684">
        <f>IF(終値!A184="","",IFERROR(4*STDEVP(終値!AN184:BG184)/AVERAGE(終値!AN184:BG184),""))</f>
      </c>
      <c r="AL184" s="684">
        <f>IF(終値!A184="","",IFERROR(4*STDEVP(終値!AO184:BH184)/AVERAGE(終値!AO184:BH184),""))</f>
      </c>
      <c r="AM184" s="684">
        <f>IF(終値!A184="","",IFERROR(4*STDEVP(終値!AP184:BI184)/AVERAGE(終値!AP184:BI184),""))</f>
      </c>
      <c r="AN184" s="684">
        <f>IF(終値!A184="","",IFERROR(4*STDEVP(終値!AQ184:BJ184)/AVERAGE(終値!AQ184:BJ184),""))</f>
      </c>
      <c r="AO184" s="684">
        <f>IF(終値!A184="","",IFERROR(4*STDEVP(終値!AR184:BK184)/AVERAGE(終値!AR184:BK184),""))</f>
      </c>
      <c r="AP184" s="684">
        <f>IF(終値!A184="","",IFERROR(4*STDEVP(終値!AS184:BL184)/AVERAGE(終値!AS184:BL184),""))</f>
      </c>
    </row>
    <row r="185">
      <c r="A185" s="681">
        <f>IF(終値!A185="","",終値!A185)</f>
      </c>
      <c r="B185" s="684">
        <f>IF(終値!A185="","",IFERROR(4*STDEVP(終値!E185:X185)/AVERAGE(終値!E185:X185),""))</f>
      </c>
      <c r="C185" s="684">
        <f>IF(終値!A185="","",IFERROR(4*STDEVP(終値!F185:Y185)/AVERAGE(終値!F185:Y185),""))</f>
      </c>
      <c r="D185" s="684">
        <f>IF(終値!A185="","",IFERROR(4*STDEVP(終値!G185:Z185)/AVERAGE(終値!G185:Z185),""))</f>
      </c>
      <c r="E185" s="684">
        <f>IF(終値!A185="","",IFERROR(4*STDEVP(終値!H185:AA185)/AVERAGE(終値!H185:AA185),""))</f>
      </c>
      <c r="F185" s="684">
        <f>IF(終値!A185="","",IFERROR(4*STDEVP(終値!I185:AB185)/AVERAGE(終値!I185:AB185),""))</f>
      </c>
      <c r="G185" s="684">
        <f>IF(終値!A185="","",IFERROR(4*STDEVP(終値!J185:AC185)/AVERAGE(終値!J185:AC185),""))</f>
      </c>
      <c r="H185" s="684">
        <f>IF(終値!A185="","",IFERROR(4*STDEVP(終値!K185:AD185)/AVERAGE(終値!K185:AD185),""))</f>
      </c>
      <c r="I185" s="684">
        <f>IF(終値!A185="","",IFERROR(4*STDEVP(終値!L185:AE185)/AVERAGE(終値!L185:AE185),""))</f>
      </c>
      <c r="J185" s="684">
        <f>IF(終値!A185="","",IFERROR(4*STDEVP(終値!M185:AF185)/AVERAGE(終値!M185:AF185),""))</f>
      </c>
      <c r="K185" s="684">
        <f>IF(終値!A185="","",IFERROR(4*STDEVP(終値!N185:AG185)/AVERAGE(終値!N185:AG185),""))</f>
      </c>
      <c r="L185" s="684">
        <f>IF(終値!A185="","",IFERROR(4*STDEVP(終値!O185:AH185)/AVERAGE(終値!O185:AH185),""))</f>
      </c>
      <c r="M185" s="684">
        <f>IF(終値!A185="","",IFERROR(4*STDEVP(終値!P185:AI185)/AVERAGE(終値!P185:AI185),""))</f>
      </c>
      <c r="N185" s="684">
        <f>IF(終値!A185="","",IFERROR(4*STDEVP(終値!Q185:AJ185)/AVERAGE(終値!Q185:AJ185),""))</f>
      </c>
      <c r="O185" s="684">
        <f>IF(終値!A185="","",IFERROR(4*STDEVP(終値!R185:AK185)/AVERAGE(終値!R185:AK185),""))</f>
      </c>
      <c r="P185" s="684">
        <f>IF(終値!A185="","",IFERROR(4*STDEVP(終値!S185:AL185)/AVERAGE(終値!S185:AL185),""))</f>
      </c>
      <c r="Q185" s="684">
        <f>IF(終値!A185="","",IFERROR(4*STDEVP(終値!T185:AM185)/AVERAGE(終値!T185:AM185),""))</f>
      </c>
      <c r="R185" s="684">
        <f>IF(終値!A185="","",IFERROR(4*STDEVP(終値!U185:AN185)/AVERAGE(終値!U185:AN185),""))</f>
      </c>
      <c r="S185" s="684">
        <f>IF(終値!A185="","",IFERROR(4*STDEVP(終値!V185:AO185)/AVERAGE(終値!V185:AO185),""))</f>
      </c>
      <c r="T185" s="684">
        <f>IF(終値!A185="","",IFERROR(4*STDEVP(終値!W185:AP185)/AVERAGE(終値!W185:AP185),""))</f>
      </c>
      <c r="U185" s="684">
        <f>IF(終値!A185="","",IFERROR(4*STDEVP(終値!X185:AQ185)/AVERAGE(終値!X185:AQ185),""))</f>
      </c>
      <c r="V185" s="684">
        <f>IF(終値!A185="","",IFERROR(4*STDEVP(終値!Y185:AR185)/AVERAGE(終値!Y185:AR185),""))</f>
      </c>
      <c r="W185" s="684">
        <f>IF(終値!A185="","",IFERROR(4*STDEVP(終値!Z185:AS185)/AVERAGE(終値!Z185:AS185),""))</f>
      </c>
      <c r="X185" s="684">
        <f>IF(終値!A185="","",IFERROR(4*STDEVP(終値!AA185:AT185)/AVERAGE(終値!AA185:AT185),""))</f>
      </c>
      <c r="Y185" s="684">
        <f>IF(終値!A185="","",IFERROR(4*STDEVP(終値!AB185:AU185)/AVERAGE(終値!AB185:AU185),""))</f>
      </c>
      <c r="Z185" s="684">
        <f>IF(終値!A185="","",IFERROR(4*STDEVP(終値!AC185:AV185)/AVERAGE(終値!AC185:AV185),""))</f>
      </c>
      <c r="AA185" s="684">
        <f>IF(終値!A185="","",IFERROR(4*STDEVP(終値!AD185:AW185)/AVERAGE(終値!AD185:AW185),""))</f>
      </c>
      <c r="AB185" s="684">
        <f>IF(終値!A185="","",IFERROR(4*STDEVP(終値!AE185:AX185)/AVERAGE(終値!AE185:AX185),""))</f>
      </c>
      <c r="AC185" s="684">
        <f>IF(終値!A185="","",IFERROR(4*STDEVP(終値!AF185:AY185)/AVERAGE(終値!AF185:AY185),""))</f>
      </c>
      <c r="AD185" s="684">
        <f>IF(終値!A185="","",IFERROR(4*STDEVP(終値!AG185:AZ185)/AVERAGE(終値!AG185:AZ185),""))</f>
      </c>
      <c r="AE185" s="684">
        <f>IF(終値!A185="","",IFERROR(4*STDEVP(終値!AH185:BA185)/AVERAGE(終値!AH185:BA185),""))</f>
      </c>
      <c r="AF185" s="684">
        <f>IF(終値!A185="","",IFERROR(4*STDEVP(終値!AI185:BB185)/AVERAGE(終値!AI185:BB185),""))</f>
      </c>
      <c r="AG185" s="684">
        <f>IF(終値!A185="","",IFERROR(4*STDEVP(終値!AJ185:BC185)/AVERAGE(終値!AJ185:BC185),""))</f>
      </c>
      <c r="AH185" s="684">
        <f>IF(終値!A185="","",IFERROR(4*STDEVP(終値!AK185:BD185)/AVERAGE(終値!AK185:BD185),""))</f>
      </c>
      <c r="AI185" s="684">
        <f>IF(終値!A185="","",IFERROR(4*STDEVP(終値!AL185:BE185)/AVERAGE(終値!AL185:BE185),""))</f>
      </c>
      <c r="AJ185" s="684">
        <f>IF(終値!A185="","",IFERROR(4*STDEVP(終値!AM185:BF185)/AVERAGE(終値!AM185:BF185),""))</f>
      </c>
      <c r="AK185" s="684">
        <f>IF(終値!A185="","",IFERROR(4*STDEVP(終値!AN185:BG185)/AVERAGE(終値!AN185:BG185),""))</f>
      </c>
      <c r="AL185" s="684">
        <f>IF(終値!A185="","",IFERROR(4*STDEVP(終値!AO185:BH185)/AVERAGE(終値!AO185:BH185),""))</f>
      </c>
      <c r="AM185" s="684">
        <f>IF(終値!A185="","",IFERROR(4*STDEVP(終値!AP185:BI185)/AVERAGE(終値!AP185:BI185),""))</f>
      </c>
      <c r="AN185" s="684">
        <f>IF(終値!A185="","",IFERROR(4*STDEVP(終値!AQ185:BJ185)/AVERAGE(終値!AQ185:BJ185),""))</f>
      </c>
      <c r="AO185" s="684">
        <f>IF(終値!A185="","",IFERROR(4*STDEVP(終値!AR185:BK185)/AVERAGE(終値!AR185:BK185),""))</f>
      </c>
      <c r="AP185" s="684">
        <f>IF(終値!A185="","",IFERROR(4*STDEVP(終値!AS185:BL185)/AVERAGE(終値!AS185:BL185),""))</f>
      </c>
    </row>
    <row r="186">
      <c r="A186" s="681">
        <f>IF(終値!A186="","",終値!A186)</f>
      </c>
      <c r="B186" s="684">
        <f>IF(終値!A186="","",IFERROR(4*STDEVP(終値!E186:X186)/AVERAGE(終値!E186:X186),""))</f>
      </c>
      <c r="C186" s="684">
        <f>IF(終値!A186="","",IFERROR(4*STDEVP(終値!F186:Y186)/AVERAGE(終値!F186:Y186),""))</f>
      </c>
      <c r="D186" s="684">
        <f>IF(終値!A186="","",IFERROR(4*STDEVP(終値!G186:Z186)/AVERAGE(終値!G186:Z186),""))</f>
      </c>
      <c r="E186" s="684">
        <f>IF(終値!A186="","",IFERROR(4*STDEVP(終値!H186:AA186)/AVERAGE(終値!H186:AA186),""))</f>
      </c>
      <c r="F186" s="684">
        <f>IF(終値!A186="","",IFERROR(4*STDEVP(終値!I186:AB186)/AVERAGE(終値!I186:AB186),""))</f>
      </c>
      <c r="G186" s="684">
        <f>IF(終値!A186="","",IFERROR(4*STDEVP(終値!J186:AC186)/AVERAGE(終値!J186:AC186),""))</f>
      </c>
      <c r="H186" s="684">
        <f>IF(終値!A186="","",IFERROR(4*STDEVP(終値!K186:AD186)/AVERAGE(終値!K186:AD186),""))</f>
      </c>
      <c r="I186" s="684">
        <f>IF(終値!A186="","",IFERROR(4*STDEVP(終値!L186:AE186)/AVERAGE(終値!L186:AE186),""))</f>
      </c>
      <c r="J186" s="684">
        <f>IF(終値!A186="","",IFERROR(4*STDEVP(終値!M186:AF186)/AVERAGE(終値!M186:AF186),""))</f>
      </c>
      <c r="K186" s="684">
        <f>IF(終値!A186="","",IFERROR(4*STDEVP(終値!N186:AG186)/AVERAGE(終値!N186:AG186),""))</f>
      </c>
      <c r="L186" s="684">
        <f>IF(終値!A186="","",IFERROR(4*STDEVP(終値!O186:AH186)/AVERAGE(終値!O186:AH186),""))</f>
      </c>
      <c r="M186" s="684">
        <f>IF(終値!A186="","",IFERROR(4*STDEVP(終値!P186:AI186)/AVERAGE(終値!P186:AI186),""))</f>
      </c>
      <c r="N186" s="684">
        <f>IF(終値!A186="","",IFERROR(4*STDEVP(終値!Q186:AJ186)/AVERAGE(終値!Q186:AJ186),""))</f>
      </c>
      <c r="O186" s="684">
        <f>IF(終値!A186="","",IFERROR(4*STDEVP(終値!R186:AK186)/AVERAGE(終値!R186:AK186),""))</f>
      </c>
      <c r="P186" s="684">
        <f>IF(終値!A186="","",IFERROR(4*STDEVP(終値!S186:AL186)/AVERAGE(終値!S186:AL186),""))</f>
      </c>
      <c r="Q186" s="684">
        <f>IF(終値!A186="","",IFERROR(4*STDEVP(終値!T186:AM186)/AVERAGE(終値!T186:AM186),""))</f>
      </c>
      <c r="R186" s="684">
        <f>IF(終値!A186="","",IFERROR(4*STDEVP(終値!U186:AN186)/AVERAGE(終値!U186:AN186),""))</f>
      </c>
      <c r="S186" s="684">
        <f>IF(終値!A186="","",IFERROR(4*STDEVP(終値!V186:AO186)/AVERAGE(終値!V186:AO186),""))</f>
      </c>
      <c r="T186" s="684">
        <f>IF(終値!A186="","",IFERROR(4*STDEVP(終値!W186:AP186)/AVERAGE(終値!W186:AP186),""))</f>
      </c>
      <c r="U186" s="684">
        <f>IF(終値!A186="","",IFERROR(4*STDEVP(終値!X186:AQ186)/AVERAGE(終値!X186:AQ186),""))</f>
      </c>
      <c r="V186" s="684">
        <f>IF(終値!A186="","",IFERROR(4*STDEVP(終値!Y186:AR186)/AVERAGE(終値!Y186:AR186),""))</f>
      </c>
      <c r="W186" s="684">
        <f>IF(終値!A186="","",IFERROR(4*STDEVP(終値!Z186:AS186)/AVERAGE(終値!Z186:AS186),""))</f>
      </c>
      <c r="X186" s="684">
        <f>IF(終値!A186="","",IFERROR(4*STDEVP(終値!AA186:AT186)/AVERAGE(終値!AA186:AT186),""))</f>
      </c>
      <c r="Y186" s="684">
        <f>IF(終値!A186="","",IFERROR(4*STDEVP(終値!AB186:AU186)/AVERAGE(終値!AB186:AU186),""))</f>
      </c>
      <c r="Z186" s="684">
        <f>IF(終値!A186="","",IFERROR(4*STDEVP(終値!AC186:AV186)/AVERAGE(終値!AC186:AV186),""))</f>
      </c>
      <c r="AA186" s="684">
        <f>IF(終値!A186="","",IFERROR(4*STDEVP(終値!AD186:AW186)/AVERAGE(終値!AD186:AW186),""))</f>
      </c>
      <c r="AB186" s="684">
        <f>IF(終値!A186="","",IFERROR(4*STDEVP(終値!AE186:AX186)/AVERAGE(終値!AE186:AX186),""))</f>
      </c>
      <c r="AC186" s="684">
        <f>IF(終値!A186="","",IFERROR(4*STDEVP(終値!AF186:AY186)/AVERAGE(終値!AF186:AY186),""))</f>
      </c>
      <c r="AD186" s="684">
        <f>IF(終値!A186="","",IFERROR(4*STDEVP(終値!AG186:AZ186)/AVERAGE(終値!AG186:AZ186),""))</f>
      </c>
      <c r="AE186" s="684">
        <f>IF(終値!A186="","",IFERROR(4*STDEVP(終値!AH186:BA186)/AVERAGE(終値!AH186:BA186),""))</f>
      </c>
      <c r="AF186" s="684">
        <f>IF(終値!A186="","",IFERROR(4*STDEVP(終値!AI186:BB186)/AVERAGE(終値!AI186:BB186),""))</f>
      </c>
      <c r="AG186" s="684">
        <f>IF(終値!A186="","",IFERROR(4*STDEVP(終値!AJ186:BC186)/AVERAGE(終値!AJ186:BC186),""))</f>
      </c>
      <c r="AH186" s="684">
        <f>IF(終値!A186="","",IFERROR(4*STDEVP(終値!AK186:BD186)/AVERAGE(終値!AK186:BD186),""))</f>
      </c>
      <c r="AI186" s="684">
        <f>IF(終値!A186="","",IFERROR(4*STDEVP(終値!AL186:BE186)/AVERAGE(終値!AL186:BE186),""))</f>
      </c>
      <c r="AJ186" s="684">
        <f>IF(終値!A186="","",IFERROR(4*STDEVP(終値!AM186:BF186)/AVERAGE(終値!AM186:BF186),""))</f>
      </c>
      <c r="AK186" s="684">
        <f>IF(終値!A186="","",IFERROR(4*STDEVP(終値!AN186:BG186)/AVERAGE(終値!AN186:BG186),""))</f>
      </c>
      <c r="AL186" s="684">
        <f>IF(終値!A186="","",IFERROR(4*STDEVP(終値!AO186:BH186)/AVERAGE(終値!AO186:BH186),""))</f>
      </c>
      <c r="AM186" s="684">
        <f>IF(終値!A186="","",IFERROR(4*STDEVP(終値!AP186:BI186)/AVERAGE(終値!AP186:BI186),""))</f>
      </c>
      <c r="AN186" s="684">
        <f>IF(終値!A186="","",IFERROR(4*STDEVP(終値!AQ186:BJ186)/AVERAGE(終値!AQ186:BJ186),""))</f>
      </c>
      <c r="AO186" s="684">
        <f>IF(終値!A186="","",IFERROR(4*STDEVP(終値!AR186:BK186)/AVERAGE(終値!AR186:BK186),""))</f>
      </c>
      <c r="AP186" s="684">
        <f>IF(終値!A186="","",IFERROR(4*STDEVP(終値!AS186:BL186)/AVERAGE(終値!AS186:BL186),""))</f>
      </c>
    </row>
    <row r="187">
      <c r="A187" s="681">
        <f>IF(終値!A187="","",終値!A187)</f>
      </c>
      <c r="B187" s="684">
        <f>IF(終値!A187="","",IFERROR(4*STDEVP(終値!E187:X187)/AVERAGE(終値!E187:X187),""))</f>
      </c>
      <c r="C187" s="684">
        <f>IF(終値!A187="","",IFERROR(4*STDEVP(終値!F187:Y187)/AVERAGE(終値!F187:Y187),""))</f>
      </c>
      <c r="D187" s="684">
        <f>IF(終値!A187="","",IFERROR(4*STDEVP(終値!G187:Z187)/AVERAGE(終値!G187:Z187),""))</f>
      </c>
      <c r="E187" s="684">
        <f>IF(終値!A187="","",IFERROR(4*STDEVP(終値!H187:AA187)/AVERAGE(終値!H187:AA187),""))</f>
      </c>
      <c r="F187" s="684">
        <f>IF(終値!A187="","",IFERROR(4*STDEVP(終値!I187:AB187)/AVERAGE(終値!I187:AB187),""))</f>
      </c>
      <c r="G187" s="684">
        <f>IF(終値!A187="","",IFERROR(4*STDEVP(終値!J187:AC187)/AVERAGE(終値!J187:AC187),""))</f>
      </c>
      <c r="H187" s="684">
        <f>IF(終値!A187="","",IFERROR(4*STDEVP(終値!K187:AD187)/AVERAGE(終値!K187:AD187),""))</f>
      </c>
      <c r="I187" s="684">
        <f>IF(終値!A187="","",IFERROR(4*STDEVP(終値!L187:AE187)/AVERAGE(終値!L187:AE187),""))</f>
      </c>
      <c r="J187" s="684">
        <f>IF(終値!A187="","",IFERROR(4*STDEVP(終値!M187:AF187)/AVERAGE(終値!M187:AF187),""))</f>
      </c>
      <c r="K187" s="684">
        <f>IF(終値!A187="","",IFERROR(4*STDEVP(終値!N187:AG187)/AVERAGE(終値!N187:AG187),""))</f>
      </c>
      <c r="L187" s="684">
        <f>IF(終値!A187="","",IFERROR(4*STDEVP(終値!O187:AH187)/AVERAGE(終値!O187:AH187),""))</f>
      </c>
      <c r="M187" s="684">
        <f>IF(終値!A187="","",IFERROR(4*STDEVP(終値!P187:AI187)/AVERAGE(終値!P187:AI187),""))</f>
      </c>
      <c r="N187" s="684">
        <f>IF(終値!A187="","",IFERROR(4*STDEVP(終値!Q187:AJ187)/AVERAGE(終値!Q187:AJ187),""))</f>
      </c>
      <c r="O187" s="684">
        <f>IF(終値!A187="","",IFERROR(4*STDEVP(終値!R187:AK187)/AVERAGE(終値!R187:AK187),""))</f>
      </c>
      <c r="P187" s="684">
        <f>IF(終値!A187="","",IFERROR(4*STDEVP(終値!S187:AL187)/AVERAGE(終値!S187:AL187),""))</f>
      </c>
      <c r="Q187" s="684">
        <f>IF(終値!A187="","",IFERROR(4*STDEVP(終値!T187:AM187)/AVERAGE(終値!T187:AM187),""))</f>
      </c>
      <c r="R187" s="684">
        <f>IF(終値!A187="","",IFERROR(4*STDEVP(終値!U187:AN187)/AVERAGE(終値!U187:AN187),""))</f>
      </c>
      <c r="S187" s="684">
        <f>IF(終値!A187="","",IFERROR(4*STDEVP(終値!V187:AO187)/AVERAGE(終値!V187:AO187),""))</f>
      </c>
      <c r="T187" s="684">
        <f>IF(終値!A187="","",IFERROR(4*STDEVP(終値!W187:AP187)/AVERAGE(終値!W187:AP187),""))</f>
      </c>
      <c r="U187" s="684">
        <f>IF(終値!A187="","",IFERROR(4*STDEVP(終値!X187:AQ187)/AVERAGE(終値!X187:AQ187),""))</f>
      </c>
      <c r="V187" s="684">
        <f>IF(終値!A187="","",IFERROR(4*STDEVP(終値!Y187:AR187)/AVERAGE(終値!Y187:AR187),""))</f>
      </c>
      <c r="W187" s="684">
        <f>IF(終値!A187="","",IFERROR(4*STDEVP(終値!Z187:AS187)/AVERAGE(終値!Z187:AS187),""))</f>
      </c>
      <c r="X187" s="684">
        <f>IF(終値!A187="","",IFERROR(4*STDEVP(終値!AA187:AT187)/AVERAGE(終値!AA187:AT187),""))</f>
      </c>
      <c r="Y187" s="684">
        <f>IF(終値!A187="","",IFERROR(4*STDEVP(終値!AB187:AU187)/AVERAGE(終値!AB187:AU187),""))</f>
      </c>
      <c r="Z187" s="684">
        <f>IF(終値!A187="","",IFERROR(4*STDEVP(終値!AC187:AV187)/AVERAGE(終値!AC187:AV187),""))</f>
      </c>
      <c r="AA187" s="684">
        <f>IF(終値!A187="","",IFERROR(4*STDEVP(終値!AD187:AW187)/AVERAGE(終値!AD187:AW187),""))</f>
      </c>
      <c r="AB187" s="684">
        <f>IF(終値!A187="","",IFERROR(4*STDEVP(終値!AE187:AX187)/AVERAGE(終値!AE187:AX187),""))</f>
      </c>
      <c r="AC187" s="684">
        <f>IF(終値!A187="","",IFERROR(4*STDEVP(終値!AF187:AY187)/AVERAGE(終値!AF187:AY187),""))</f>
      </c>
      <c r="AD187" s="684">
        <f>IF(終値!A187="","",IFERROR(4*STDEVP(終値!AG187:AZ187)/AVERAGE(終値!AG187:AZ187),""))</f>
      </c>
      <c r="AE187" s="684">
        <f>IF(終値!A187="","",IFERROR(4*STDEVP(終値!AH187:BA187)/AVERAGE(終値!AH187:BA187),""))</f>
      </c>
      <c r="AF187" s="684">
        <f>IF(終値!A187="","",IFERROR(4*STDEVP(終値!AI187:BB187)/AVERAGE(終値!AI187:BB187),""))</f>
      </c>
      <c r="AG187" s="684">
        <f>IF(終値!A187="","",IFERROR(4*STDEVP(終値!AJ187:BC187)/AVERAGE(終値!AJ187:BC187),""))</f>
      </c>
      <c r="AH187" s="684">
        <f>IF(終値!A187="","",IFERROR(4*STDEVP(終値!AK187:BD187)/AVERAGE(終値!AK187:BD187),""))</f>
      </c>
      <c r="AI187" s="684">
        <f>IF(終値!A187="","",IFERROR(4*STDEVP(終値!AL187:BE187)/AVERAGE(終値!AL187:BE187),""))</f>
      </c>
      <c r="AJ187" s="684">
        <f>IF(終値!A187="","",IFERROR(4*STDEVP(終値!AM187:BF187)/AVERAGE(終値!AM187:BF187),""))</f>
      </c>
      <c r="AK187" s="684">
        <f>IF(終値!A187="","",IFERROR(4*STDEVP(終値!AN187:BG187)/AVERAGE(終値!AN187:BG187),""))</f>
      </c>
      <c r="AL187" s="684">
        <f>IF(終値!A187="","",IFERROR(4*STDEVP(終値!AO187:BH187)/AVERAGE(終値!AO187:BH187),""))</f>
      </c>
      <c r="AM187" s="684">
        <f>IF(終値!A187="","",IFERROR(4*STDEVP(終値!AP187:BI187)/AVERAGE(終値!AP187:BI187),""))</f>
      </c>
      <c r="AN187" s="684">
        <f>IF(終値!A187="","",IFERROR(4*STDEVP(終値!AQ187:BJ187)/AVERAGE(終値!AQ187:BJ187),""))</f>
      </c>
      <c r="AO187" s="684">
        <f>IF(終値!A187="","",IFERROR(4*STDEVP(終値!AR187:BK187)/AVERAGE(終値!AR187:BK187),""))</f>
      </c>
      <c r="AP187" s="684">
        <f>IF(終値!A187="","",IFERROR(4*STDEVP(終値!AS187:BL187)/AVERAGE(終値!AS187:BL187),""))</f>
      </c>
    </row>
    <row r="188">
      <c r="A188" s="681">
        <f>IF(終値!A188="","",終値!A188)</f>
      </c>
      <c r="B188" s="684">
        <f>IF(終値!A188="","",IFERROR(4*STDEVP(終値!E188:X188)/AVERAGE(終値!E188:X188),""))</f>
      </c>
      <c r="C188" s="684">
        <f>IF(終値!A188="","",IFERROR(4*STDEVP(終値!F188:Y188)/AVERAGE(終値!F188:Y188),""))</f>
      </c>
      <c r="D188" s="684">
        <f>IF(終値!A188="","",IFERROR(4*STDEVP(終値!G188:Z188)/AVERAGE(終値!G188:Z188),""))</f>
      </c>
      <c r="E188" s="684">
        <f>IF(終値!A188="","",IFERROR(4*STDEVP(終値!H188:AA188)/AVERAGE(終値!H188:AA188),""))</f>
      </c>
      <c r="F188" s="684">
        <f>IF(終値!A188="","",IFERROR(4*STDEVP(終値!I188:AB188)/AVERAGE(終値!I188:AB188),""))</f>
      </c>
      <c r="G188" s="684">
        <f>IF(終値!A188="","",IFERROR(4*STDEVP(終値!J188:AC188)/AVERAGE(終値!J188:AC188),""))</f>
      </c>
      <c r="H188" s="684">
        <f>IF(終値!A188="","",IFERROR(4*STDEVP(終値!K188:AD188)/AVERAGE(終値!K188:AD188),""))</f>
      </c>
      <c r="I188" s="684">
        <f>IF(終値!A188="","",IFERROR(4*STDEVP(終値!L188:AE188)/AVERAGE(終値!L188:AE188),""))</f>
      </c>
      <c r="J188" s="684">
        <f>IF(終値!A188="","",IFERROR(4*STDEVP(終値!M188:AF188)/AVERAGE(終値!M188:AF188),""))</f>
      </c>
      <c r="K188" s="684">
        <f>IF(終値!A188="","",IFERROR(4*STDEVP(終値!N188:AG188)/AVERAGE(終値!N188:AG188),""))</f>
      </c>
      <c r="L188" s="684">
        <f>IF(終値!A188="","",IFERROR(4*STDEVP(終値!O188:AH188)/AVERAGE(終値!O188:AH188),""))</f>
      </c>
      <c r="M188" s="684">
        <f>IF(終値!A188="","",IFERROR(4*STDEVP(終値!P188:AI188)/AVERAGE(終値!P188:AI188),""))</f>
      </c>
      <c r="N188" s="684">
        <f>IF(終値!A188="","",IFERROR(4*STDEVP(終値!Q188:AJ188)/AVERAGE(終値!Q188:AJ188),""))</f>
      </c>
      <c r="O188" s="684">
        <f>IF(終値!A188="","",IFERROR(4*STDEVP(終値!R188:AK188)/AVERAGE(終値!R188:AK188),""))</f>
      </c>
      <c r="P188" s="684">
        <f>IF(終値!A188="","",IFERROR(4*STDEVP(終値!S188:AL188)/AVERAGE(終値!S188:AL188),""))</f>
      </c>
      <c r="Q188" s="684">
        <f>IF(終値!A188="","",IFERROR(4*STDEVP(終値!T188:AM188)/AVERAGE(終値!T188:AM188),""))</f>
      </c>
      <c r="R188" s="684">
        <f>IF(終値!A188="","",IFERROR(4*STDEVP(終値!U188:AN188)/AVERAGE(終値!U188:AN188),""))</f>
      </c>
      <c r="S188" s="684">
        <f>IF(終値!A188="","",IFERROR(4*STDEVP(終値!V188:AO188)/AVERAGE(終値!V188:AO188),""))</f>
      </c>
      <c r="T188" s="684">
        <f>IF(終値!A188="","",IFERROR(4*STDEVP(終値!W188:AP188)/AVERAGE(終値!W188:AP188),""))</f>
      </c>
      <c r="U188" s="684">
        <f>IF(終値!A188="","",IFERROR(4*STDEVP(終値!X188:AQ188)/AVERAGE(終値!X188:AQ188),""))</f>
      </c>
      <c r="V188" s="684">
        <f>IF(終値!A188="","",IFERROR(4*STDEVP(終値!Y188:AR188)/AVERAGE(終値!Y188:AR188),""))</f>
      </c>
      <c r="W188" s="684">
        <f>IF(終値!A188="","",IFERROR(4*STDEVP(終値!Z188:AS188)/AVERAGE(終値!Z188:AS188),""))</f>
      </c>
      <c r="X188" s="684">
        <f>IF(終値!A188="","",IFERROR(4*STDEVP(終値!AA188:AT188)/AVERAGE(終値!AA188:AT188),""))</f>
      </c>
      <c r="Y188" s="684">
        <f>IF(終値!A188="","",IFERROR(4*STDEVP(終値!AB188:AU188)/AVERAGE(終値!AB188:AU188),""))</f>
      </c>
      <c r="Z188" s="684">
        <f>IF(終値!A188="","",IFERROR(4*STDEVP(終値!AC188:AV188)/AVERAGE(終値!AC188:AV188),""))</f>
      </c>
      <c r="AA188" s="684">
        <f>IF(終値!A188="","",IFERROR(4*STDEVP(終値!AD188:AW188)/AVERAGE(終値!AD188:AW188),""))</f>
      </c>
      <c r="AB188" s="684">
        <f>IF(終値!A188="","",IFERROR(4*STDEVP(終値!AE188:AX188)/AVERAGE(終値!AE188:AX188),""))</f>
      </c>
      <c r="AC188" s="684">
        <f>IF(終値!A188="","",IFERROR(4*STDEVP(終値!AF188:AY188)/AVERAGE(終値!AF188:AY188),""))</f>
      </c>
      <c r="AD188" s="684">
        <f>IF(終値!A188="","",IFERROR(4*STDEVP(終値!AG188:AZ188)/AVERAGE(終値!AG188:AZ188),""))</f>
      </c>
      <c r="AE188" s="684">
        <f>IF(終値!A188="","",IFERROR(4*STDEVP(終値!AH188:BA188)/AVERAGE(終値!AH188:BA188),""))</f>
      </c>
      <c r="AF188" s="684">
        <f>IF(終値!A188="","",IFERROR(4*STDEVP(終値!AI188:BB188)/AVERAGE(終値!AI188:BB188),""))</f>
      </c>
      <c r="AG188" s="684">
        <f>IF(終値!A188="","",IFERROR(4*STDEVP(終値!AJ188:BC188)/AVERAGE(終値!AJ188:BC188),""))</f>
      </c>
      <c r="AH188" s="684">
        <f>IF(終値!A188="","",IFERROR(4*STDEVP(終値!AK188:BD188)/AVERAGE(終値!AK188:BD188),""))</f>
      </c>
      <c r="AI188" s="684">
        <f>IF(終値!A188="","",IFERROR(4*STDEVP(終値!AL188:BE188)/AVERAGE(終値!AL188:BE188),""))</f>
      </c>
      <c r="AJ188" s="684">
        <f>IF(終値!A188="","",IFERROR(4*STDEVP(終値!AM188:BF188)/AVERAGE(終値!AM188:BF188),""))</f>
      </c>
      <c r="AK188" s="684">
        <f>IF(終値!A188="","",IFERROR(4*STDEVP(終値!AN188:BG188)/AVERAGE(終値!AN188:BG188),""))</f>
      </c>
      <c r="AL188" s="684">
        <f>IF(終値!A188="","",IFERROR(4*STDEVP(終値!AO188:BH188)/AVERAGE(終値!AO188:BH188),""))</f>
      </c>
      <c r="AM188" s="684">
        <f>IF(終値!A188="","",IFERROR(4*STDEVP(終値!AP188:BI188)/AVERAGE(終値!AP188:BI188),""))</f>
      </c>
      <c r="AN188" s="684">
        <f>IF(終値!A188="","",IFERROR(4*STDEVP(終値!AQ188:BJ188)/AVERAGE(終値!AQ188:BJ188),""))</f>
      </c>
      <c r="AO188" s="684">
        <f>IF(終値!A188="","",IFERROR(4*STDEVP(終値!AR188:BK188)/AVERAGE(終値!AR188:BK188),""))</f>
      </c>
      <c r="AP188" s="684">
        <f>IF(終値!A188="","",IFERROR(4*STDEVP(終値!AS188:BL188)/AVERAGE(終値!AS188:BL188),""))</f>
      </c>
    </row>
    <row r="189">
      <c r="A189" s="681">
        <f>IF(終値!A189="","",終値!A189)</f>
      </c>
      <c r="B189" s="684">
        <f>IF(終値!A189="","",IFERROR(4*STDEVP(終値!E189:X189)/AVERAGE(終値!E189:X189),""))</f>
      </c>
      <c r="C189" s="684">
        <f>IF(終値!A189="","",IFERROR(4*STDEVP(終値!F189:Y189)/AVERAGE(終値!F189:Y189),""))</f>
      </c>
      <c r="D189" s="684">
        <f>IF(終値!A189="","",IFERROR(4*STDEVP(終値!G189:Z189)/AVERAGE(終値!G189:Z189),""))</f>
      </c>
      <c r="E189" s="684">
        <f>IF(終値!A189="","",IFERROR(4*STDEVP(終値!H189:AA189)/AVERAGE(終値!H189:AA189),""))</f>
      </c>
      <c r="F189" s="684">
        <f>IF(終値!A189="","",IFERROR(4*STDEVP(終値!I189:AB189)/AVERAGE(終値!I189:AB189),""))</f>
      </c>
      <c r="G189" s="684">
        <f>IF(終値!A189="","",IFERROR(4*STDEVP(終値!J189:AC189)/AVERAGE(終値!J189:AC189),""))</f>
      </c>
      <c r="H189" s="684">
        <f>IF(終値!A189="","",IFERROR(4*STDEVP(終値!K189:AD189)/AVERAGE(終値!K189:AD189),""))</f>
      </c>
      <c r="I189" s="684">
        <f>IF(終値!A189="","",IFERROR(4*STDEVP(終値!L189:AE189)/AVERAGE(終値!L189:AE189),""))</f>
      </c>
      <c r="J189" s="684">
        <f>IF(終値!A189="","",IFERROR(4*STDEVP(終値!M189:AF189)/AVERAGE(終値!M189:AF189),""))</f>
      </c>
      <c r="K189" s="684">
        <f>IF(終値!A189="","",IFERROR(4*STDEVP(終値!N189:AG189)/AVERAGE(終値!N189:AG189),""))</f>
      </c>
      <c r="L189" s="684">
        <f>IF(終値!A189="","",IFERROR(4*STDEVP(終値!O189:AH189)/AVERAGE(終値!O189:AH189),""))</f>
      </c>
      <c r="M189" s="684">
        <f>IF(終値!A189="","",IFERROR(4*STDEVP(終値!P189:AI189)/AVERAGE(終値!P189:AI189),""))</f>
      </c>
      <c r="N189" s="684">
        <f>IF(終値!A189="","",IFERROR(4*STDEVP(終値!Q189:AJ189)/AVERAGE(終値!Q189:AJ189),""))</f>
      </c>
      <c r="O189" s="684">
        <f>IF(終値!A189="","",IFERROR(4*STDEVP(終値!R189:AK189)/AVERAGE(終値!R189:AK189),""))</f>
      </c>
      <c r="P189" s="684">
        <f>IF(終値!A189="","",IFERROR(4*STDEVP(終値!S189:AL189)/AVERAGE(終値!S189:AL189),""))</f>
      </c>
      <c r="Q189" s="684">
        <f>IF(終値!A189="","",IFERROR(4*STDEVP(終値!T189:AM189)/AVERAGE(終値!T189:AM189),""))</f>
      </c>
      <c r="R189" s="684">
        <f>IF(終値!A189="","",IFERROR(4*STDEVP(終値!U189:AN189)/AVERAGE(終値!U189:AN189),""))</f>
      </c>
      <c r="S189" s="684">
        <f>IF(終値!A189="","",IFERROR(4*STDEVP(終値!V189:AO189)/AVERAGE(終値!V189:AO189),""))</f>
      </c>
      <c r="T189" s="684">
        <f>IF(終値!A189="","",IFERROR(4*STDEVP(終値!W189:AP189)/AVERAGE(終値!W189:AP189),""))</f>
      </c>
      <c r="U189" s="684">
        <f>IF(終値!A189="","",IFERROR(4*STDEVP(終値!X189:AQ189)/AVERAGE(終値!X189:AQ189),""))</f>
      </c>
      <c r="V189" s="684">
        <f>IF(終値!A189="","",IFERROR(4*STDEVP(終値!Y189:AR189)/AVERAGE(終値!Y189:AR189),""))</f>
      </c>
      <c r="W189" s="684">
        <f>IF(終値!A189="","",IFERROR(4*STDEVP(終値!Z189:AS189)/AVERAGE(終値!Z189:AS189),""))</f>
      </c>
      <c r="X189" s="684">
        <f>IF(終値!A189="","",IFERROR(4*STDEVP(終値!AA189:AT189)/AVERAGE(終値!AA189:AT189),""))</f>
      </c>
      <c r="Y189" s="684">
        <f>IF(終値!A189="","",IFERROR(4*STDEVP(終値!AB189:AU189)/AVERAGE(終値!AB189:AU189),""))</f>
      </c>
      <c r="Z189" s="684">
        <f>IF(終値!A189="","",IFERROR(4*STDEVP(終値!AC189:AV189)/AVERAGE(終値!AC189:AV189),""))</f>
      </c>
      <c r="AA189" s="684">
        <f>IF(終値!A189="","",IFERROR(4*STDEVP(終値!AD189:AW189)/AVERAGE(終値!AD189:AW189),""))</f>
      </c>
      <c r="AB189" s="684">
        <f>IF(終値!A189="","",IFERROR(4*STDEVP(終値!AE189:AX189)/AVERAGE(終値!AE189:AX189),""))</f>
      </c>
      <c r="AC189" s="684">
        <f>IF(終値!A189="","",IFERROR(4*STDEVP(終値!AF189:AY189)/AVERAGE(終値!AF189:AY189),""))</f>
      </c>
      <c r="AD189" s="684">
        <f>IF(終値!A189="","",IFERROR(4*STDEVP(終値!AG189:AZ189)/AVERAGE(終値!AG189:AZ189),""))</f>
      </c>
      <c r="AE189" s="684">
        <f>IF(終値!A189="","",IFERROR(4*STDEVP(終値!AH189:BA189)/AVERAGE(終値!AH189:BA189),""))</f>
      </c>
      <c r="AF189" s="684">
        <f>IF(終値!A189="","",IFERROR(4*STDEVP(終値!AI189:BB189)/AVERAGE(終値!AI189:BB189),""))</f>
      </c>
      <c r="AG189" s="684">
        <f>IF(終値!A189="","",IFERROR(4*STDEVP(終値!AJ189:BC189)/AVERAGE(終値!AJ189:BC189),""))</f>
      </c>
      <c r="AH189" s="684">
        <f>IF(終値!A189="","",IFERROR(4*STDEVP(終値!AK189:BD189)/AVERAGE(終値!AK189:BD189),""))</f>
      </c>
      <c r="AI189" s="684">
        <f>IF(終値!A189="","",IFERROR(4*STDEVP(終値!AL189:BE189)/AVERAGE(終値!AL189:BE189),""))</f>
      </c>
      <c r="AJ189" s="684">
        <f>IF(終値!A189="","",IFERROR(4*STDEVP(終値!AM189:BF189)/AVERAGE(終値!AM189:BF189),""))</f>
      </c>
      <c r="AK189" s="684">
        <f>IF(終値!A189="","",IFERROR(4*STDEVP(終値!AN189:BG189)/AVERAGE(終値!AN189:BG189),""))</f>
      </c>
      <c r="AL189" s="684">
        <f>IF(終値!A189="","",IFERROR(4*STDEVP(終値!AO189:BH189)/AVERAGE(終値!AO189:BH189),""))</f>
      </c>
      <c r="AM189" s="684">
        <f>IF(終値!A189="","",IFERROR(4*STDEVP(終値!AP189:BI189)/AVERAGE(終値!AP189:BI189),""))</f>
      </c>
      <c r="AN189" s="684">
        <f>IF(終値!A189="","",IFERROR(4*STDEVP(終値!AQ189:BJ189)/AVERAGE(終値!AQ189:BJ189),""))</f>
      </c>
      <c r="AO189" s="684">
        <f>IF(終値!A189="","",IFERROR(4*STDEVP(終値!AR189:BK189)/AVERAGE(終値!AR189:BK189),""))</f>
      </c>
      <c r="AP189" s="684">
        <f>IF(終値!A189="","",IFERROR(4*STDEVP(終値!AS189:BL189)/AVERAGE(終値!AS189:BL189),""))</f>
      </c>
    </row>
    <row r="190">
      <c r="A190" s="681">
        <f>IF(終値!A190="","",終値!A190)</f>
      </c>
      <c r="B190" s="684">
        <f>IF(終値!A190="","",IFERROR(4*STDEVP(終値!E190:X190)/AVERAGE(終値!E190:X190),""))</f>
      </c>
      <c r="C190" s="684">
        <f>IF(終値!A190="","",IFERROR(4*STDEVP(終値!F190:Y190)/AVERAGE(終値!F190:Y190),""))</f>
      </c>
      <c r="D190" s="684">
        <f>IF(終値!A190="","",IFERROR(4*STDEVP(終値!G190:Z190)/AVERAGE(終値!G190:Z190),""))</f>
      </c>
      <c r="E190" s="684">
        <f>IF(終値!A190="","",IFERROR(4*STDEVP(終値!H190:AA190)/AVERAGE(終値!H190:AA190),""))</f>
      </c>
      <c r="F190" s="684">
        <f>IF(終値!A190="","",IFERROR(4*STDEVP(終値!I190:AB190)/AVERAGE(終値!I190:AB190),""))</f>
      </c>
      <c r="G190" s="684">
        <f>IF(終値!A190="","",IFERROR(4*STDEVP(終値!J190:AC190)/AVERAGE(終値!J190:AC190),""))</f>
      </c>
      <c r="H190" s="684">
        <f>IF(終値!A190="","",IFERROR(4*STDEVP(終値!K190:AD190)/AVERAGE(終値!K190:AD190),""))</f>
      </c>
      <c r="I190" s="684">
        <f>IF(終値!A190="","",IFERROR(4*STDEVP(終値!L190:AE190)/AVERAGE(終値!L190:AE190),""))</f>
      </c>
      <c r="J190" s="684">
        <f>IF(終値!A190="","",IFERROR(4*STDEVP(終値!M190:AF190)/AVERAGE(終値!M190:AF190),""))</f>
      </c>
      <c r="K190" s="684">
        <f>IF(終値!A190="","",IFERROR(4*STDEVP(終値!N190:AG190)/AVERAGE(終値!N190:AG190),""))</f>
      </c>
      <c r="L190" s="684">
        <f>IF(終値!A190="","",IFERROR(4*STDEVP(終値!O190:AH190)/AVERAGE(終値!O190:AH190),""))</f>
      </c>
      <c r="M190" s="684">
        <f>IF(終値!A190="","",IFERROR(4*STDEVP(終値!P190:AI190)/AVERAGE(終値!P190:AI190),""))</f>
      </c>
      <c r="N190" s="684">
        <f>IF(終値!A190="","",IFERROR(4*STDEVP(終値!Q190:AJ190)/AVERAGE(終値!Q190:AJ190),""))</f>
      </c>
      <c r="O190" s="684">
        <f>IF(終値!A190="","",IFERROR(4*STDEVP(終値!R190:AK190)/AVERAGE(終値!R190:AK190),""))</f>
      </c>
      <c r="P190" s="684">
        <f>IF(終値!A190="","",IFERROR(4*STDEVP(終値!S190:AL190)/AVERAGE(終値!S190:AL190),""))</f>
      </c>
      <c r="Q190" s="684">
        <f>IF(終値!A190="","",IFERROR(4*STDEVP(終値!T190:AM190)/AVERAGE(終値!T190:AM190),""))</f>
      </c>
      <c r="R190" s="684">
        <f>IF(終値!A190="","",IFERROR(4*STDEVP(終値!U190:AN190)/AVERAGE(終値!U190:AN190),""))</f>
      </c>
      <c r="S190" s="684">
        <f>IF(終値!A190="","",IFERROR(4*STDEVP(終値!V190:AO190)/AVERAGE(終値!V190:AO190),""))</f>
      </c>
      <c r="T190" s="684">
        <f>IF(終値!A190="","",IFERROR(4*STDEVP(終値!W190:AP190)/AVERAGE(終値!W190:AP190),""))</f>
      </c>
      <c r="U190" s="684">
        <f>IF(終値!A190="","",IFERROR(4*STDEVP(終値!X190:AQ190)/AVERAGE(終値!X190:AQ190),""))</f>
      </c>
      <c r="V190" s="684">
        <f>IF(終値!A190="","",IFERROR(4*STDEVP(終値!Y190:AR190)/AVERAGE(終値!Y190:AR190),""))</f>
      </c>
      <c r="W190" s="684">
        <f>IF(終値!A190="","",IFERROR(4*STDEVP(終値!Z190:AS190)/AVERAGE(終値!Z190:AS190),""))</f>
      </c>
      <c r="X190" s="684">
        <f>IF(終値!A190="","",IFERROR(4*STDEVP(終値!AA190:AT190)/AVERAGE(終値!AA190:AT190),""))</f>
      </c>
      <c r="Y190" s="684">
        <f>IF(終値!A190="","",IFERROR(4*STDEVP(終値!AB190:AU190)/AVERAGE(終値!AB190:AU190),""))</f>
      </c>
      <c r="Z190" s="684">
        <f>IF(終値!A190="","",IFERROR(4*STDEVP(終値!AC190:AV190)/AVERAGE(終値!AC190:AV190),""))</f>
      </c>
      <c r="AA190" s="684">
        <f>IF(終値!A190="","",IFERROR(4*STDEVP(終値!AD190:AW190)/AVERAGE(終値!AD190:AW190),""))</f>
      </c>
      <c r="AB190" s="684">
        <f>IF(終値!A190="","",IFERROR(4*STDEVP(終値!AE190:AX190)/AVERAGE(終値!AE190:AX190),""))</f>
      </c>
      <c r="AC190" s="684">
        <f>IF(終値!A190="","",IFERROR(4*STDEVP(終値!AF190:AY190)/AVERAGE(終値!AF190:AY190),""))</f>
      </c>
      <c r="AD190" s="684">
        <f>IF(終値!A190="","",IFERROR(4*STDEVP(終値!AG190:AZ190)/AVERAGE(終値!AG190:AZ190),""))</f>
      </c>
      <c r="AE190" s="684">
        <f>IF(終値!A190="","",IFERROR(4*STDEVP(終値!AH190:BA190)/AVERAGE(終値!AH190:BA190),""))</f>
      </c>
      <c r="AF190" s="684">
        <f>IF(終値!A190="","",IFERROR(4*STDEVP(終値!AI190:BB190)/AVERAGE(終値!AI190:BB190),""))</f>
      </c>
      <c r="AG190" s="684">
        <f>IF(終値!A190="","",IFERROR(4*STDEVP(終値!AJ190:BC190)/AVERAGE(終値!AJ190:BC190),""))</f>
      </c>
      <c r="AH190" s="684">
        <f>IF(終値!A190="","",IFERROR(4*STDEVP(終値!AK190:BD190)/AVERAGE(終値!AK190:BD190),""))</f>
      </c>
      <c r="AI190" s="684">
        <f>IF(終値!A190="","",IFERROR(4*STDEVP(終値!AL190:BE190)/AVERAGE(終値!AL190:BE190),""))</f>
      </c>
      <c r="AJ190" s="684">
        <f>IF(終値!A190="","",IFERROR(4*STDEVP(終値!AM190:BF190)/AVERAGE(終値!AM190:BF190),""))</f>
      </c>
      <c r="AK190" s="684">
        <f>IF(終値!A190="","",IFERROR(4*STDEVP(終値!AN190:BG190)/AVERAGE(終値!AN190:BG190),""))</f>
      </c>
      <c r="AL190" s="684">
        <f>IF(終値!A190="","",IFERROR(4*STDEVP(終値!AO190:BH190)/AVERAGE(終値!AO190:BH190),""))</f>
      </c>
      <c r="AM190" s="684">
        <f>IF(終値!A190="","",IFERROR(4*STDEVP(終値!AP190:BI190)/AVERAGE(終値!AP190:BI190),""))</f>
      </c>
      <c r="AN190" s="684">
        <f>IF(終値!A190="","",IFERROR(4*STDEVP(終値!AQ190:BJ190)/AVERAGE(終値!AQ190:BJ190),""))</f>
      </c>
      <c r="AO190" s="684">
        <f>IF(終値!A190="","",IFERROR(4*STDEVP(終値!AR190:BK190)/AVERAGE(終値!AR190:BK190),""))</f>
      </c>
      <c r="AP190" s="684">
        <f>IF(終値!A190="","",IFERROR(4*STDEVP(終値!AS190:BL190)/AVERAGE(終値!AS190:BL190),""))</f>
      </c>
    </row>
    <row r="191">
      <c r="A191" s="681">
        <f>IF(終値!A191="","",終値!A191)</f>
      </c>
      <c r="B191" s="684">
        <f>IF(終値!A191="","",IFERROR(4*STDEVP(終値!E191:X191)/AVERAGE(終値!E191:X191),""))</f>
      </c>
      <c r="C191" s="684">
        <f>IF(終値!A191="","",IFERROR(4*STDEVP(終値!F191:Y191)/AVERAGE(終値!F191:Y191),""))</f>
      </c>
      <c r="D191" s="684">
        <f>IF(終値!A191="","",IFERROR(4*STDEVP(終値!G191:Z191)/AVERAGE(終値!G191:Z191),""))</f>
      </c>
      <c r="E191" s="684">
        <f>IF(終値!A191="","",IFERROR(4*STDEVP(終値!H191:AA191)/AVERAGE(終値!H191:AA191),""))</f>
      </c>
      <c r="F191" s="684">
        <f>IF(終値!A191="","",IFERROR(4*STDEVP(終値!I191:AB191)/AVERAGE(終値!I191:AB191),""))</f>
      </c>
      <c r="G191" s="684">
        <f>IF(終値!A191="","",IFERROR(4*STDEVP(終値!J191:AC191)/AVERAGE(終値!J191:AC191),""))</f>
      </c>
      <c r="H191" s="684">
        <f>IF(終値!A191="","",IFERROR(4*STDEVP(終値!K191:AD191)/AVERAGE(終値!K191:AD191),""))</f>
      </c>
      <c r="I191" s="684">
        <f>IF(終値!A191="","",IFERROR(4*STDEVP(終値!L191:AE191)/AVERAGE(終値!L191:AE191),""))</f>
      </c>
      <c r="J191" s="684">
        <f>IF(終値!A191="","",IFERROR(4*STDEVP(終値!M191:AF191)/AVERAGE(終値!M191:AF191),""))</f>
      </c>
      <c r="K191" s="684">
        <f>IF(終値!A191="","",IFERROR(4*STDEVP(終値!N191:AG191)/AVERAGE(終値!N191:AG191),""))</f>
      </c>
      <c r="L191" s="684">
        <f>IF(終値!A191="","",IFERROR(4*STDEVP(終値!O191:AH191)/AVERAGE(終値!O191:AH191),""))</f>
      </c>
      <c r="M191" s="684">
        <f>IF(終値!A191="","",IFERROR(4*STDEVP(終値!P191:AI191)/AVERAGE(終値!P191:AI191),""))</f>
      </c>
      <c r="N191" s="684">
        <f>IF(終値!A191="","",IFERROR(4*STDEVP(終値!Q191:AJ191)/AVERAGE(終値!Q191:AJ191),""))</f>
      </c>
      <c r="O191" s="684">
        <f>IF(終値!A191="","",IFERROR(4*STDEVP(終値!R191:AK191)/AVERAGE(終値!R191:AK191),""))</f>
      </c>
      <c r="P191" s="684">
        <f>IF(終値!A191="","",IFERROR(4*STDEVP(終値!S191:AL191)/AVERAGE(終値!S191:AL191),""))</f>
      </c>
      <c r="Q191" s="684">
        <f>IF(終値!A191="","",IFERROR(4*STDEVP(終値!T191:AM191)/AVERAGE(終値!T191:AM191),""))</f>
      </c>
      <c r="R191" s="684">
        <f>IF(終値!A191="","",IFERROR(4*STDEVP(終値!U191:AN191)/AVERAGE(終値!U191:AN191),""))</f>
      </c>
      <c r="S191" s="684">
        <f>IF(終値!A191="","",IFERROR(4*STDEVP(終値!V191:AO191)/AVERAGE(終値!V191:AO191),""))</f>
      </c>
      <c r="T191" s="684">
        <f>IF(終値!A191="","",IFERROR(4*STDEVP(終値!W191:AP191)/AVERAGE(終値!W191:AP191),""))</f>
      </c>
      <c r="U191" s="684">
        <f>IF(終値!A191="","",IFERROR(4*STDEVP(終値!X191:AQ191)/AVERAGE(終値!X191:AQ191),""))</f>
      </c>
      <c r="V191" s="684">
        <f>IF(終値!A191="","",IFERROR(4*STDEVP(終値!Y191:AR191)/AVERAGE(終値!Y191:AR191),""))</f>
      </c>
      <c r="W191" s="684">
        <f>IF(終値!A191="","",IFERROR(4*STDEVP(終値!Z191:AS191)/AVERAGE(終値!Z191:AS191),""))</f>
      </c>
      <c r="X191" s="684">
        <f>IF(終値!A191="","",IFERROR(4*STDEVP(終値!AA191:AT191)/AVERAGE(終値!AA191:AT191),""))</f>
      </c>
      <c r="Y191" s="684">
        <f>IF(終値!A191="","",IFERROR(4*STDEVP(終値!AB191:AU191)/AVERAGE(終値!AB191:AU191),""))</f>
      </c>
      <c r="Z191" s="684">
        <f>IF(終値!A191="","",IFERROR(4*STDEVP(終値!AC191:AV191)/AVERAGE(終値!AC191:AV191),""))</f>
      </c>
      <c r="AA191" s="684">
        <f>IF(終値!A191="","",IFERROR(4*STDEVP(終値!AD191:AW191)/AVERAGE(終値!AD191:AW191),""))</f>
      </c>
      <c r="AB191" s="684">
        <f>IF(終値!A191="","",IFERROR(4*STDEVP(終値!AE191:AX191)/AVERAGE(終値!AE191:AX191),""))</f>
      </c>
      <c r="AC191" s="684">
        <f>IF(終値!A191="","",IFERROR(4*STDEVP(終値!AF191:AY191)/AVERAGE(終値!AF191:AY191),""))</f>
      </c>
      <c r="AD191" s="684">
        <f>IF(終値!A191="","",IFERROR(4*STDEVP(終値!AG191:AZ191)/AVERAGE(終値!AG191:AZ191),""))</f>
      </c>
      <c r="AE191" s="684">
        <f>IF(終値!A191="","",IFERROR(4*STDEVP(終値!AH191:BA191)/AVERAGE(終値!AH191:BA191),""))</f>
      </c>
      <c r="AF191" s="684">
        <f>IF(終値!A191="","",IFERROR(4*STDEVP(終値!AI191:BB191)/AVERAGE(終値!AI191:BB191),""))</f>
      </c>
      <c r="AG191" s="684">
        <f>IF(終値!A191="","",IFERROR(4*STDEVP(終値!AJ191:BC191)/AVERAGE(終値!AJ191:BC191),""))</f>
      </c>
      <c r="AH191" s="684">
        <f>IF(終値!A191="","",IFERROR(4*STDEVP(終値!AK191:BD191)/AVERAGE(終値!AK191:BD191),""))</f>
      </c>
      <c r="AI191" s="684">
        <f>IF(終値!A191="","",IFERROR(4*STDEVP(終値!AL191:BE191)/AVERAGE(終値!AL191:BE191),""))</f>
      </c>
      <c r="AJ191" s="684">
        <f>IF(終値!A191="","",IFERROR(4*STDEVP(終値!AM191:BF191)/AVERAGE(終値!AM191:BF191),""))</f>
      </c>
      <c r="AK191" s="684">
        <f>IF(終値!A191="","",IFERROR(4*STDEVP(終値!AN191:BG191)/AVERAGE(終値!AN191:BG191),""))</f>
      </c>
      <c r="AL191" s="684">
        <f>IF(終値!A191="","",IFERROR(4*STDEVP(終値!AO191:BH191)/AVERAGE(終値!AO191:BH191),""))</f>
      </c>
      <c r="AM191" s="684">
        <f>IF(終値!A191="","",IFERROR(4*STDEVP(終値!AP191:BI191)/AVERAGE(終値!AP191:BI191),""))</f>
      </c>
      <c r="AN191" s="684">
        <f>IF(終値!A191="","",IFERROR(4*STDEVP(終値!AQ191:BJ191)/AVERAGE(終値!AQ191:BJ191),""))</f>
      </c>
      <c r="AO191" s="684">
        <f>IF(終値!A191="","",IFERROR(4*STDEVP(終値!AR191:BK191)/AVERAGE(終値!AR191:BK191),""))</f>
      </c>
      <c r="AP191" s="684">
        <f>IF(終値!A191="","",IFERROR(4*STDEVP(終値!AS191:BL191)/AVERAGE(終値!AS191:BL191),""))</f>
      </c>
    </row>
    <row r="192">
      <c r="A192" s="681">
        <f>IF(終値!A192="","",終値!A192)</f>
      </c>
      <c r="B192" s="684">
        <f>IF(終値!A192="","",IFERROR(4*STDEVP(終値!E192:X192)/AVERAGE(終値!E192:X192),""))</f>
      </c>
      <c r="C192" s="684">
        <f>IF(終値!A192="","",IFERROR(4*STDEVP(終値!F192:Y192)/AVERAGE(終値!F192:Y192),""))</f>
      </c>
      <c r="D192" s="684">
        <f>IF(終値!A192="","",IFERROR(4*STDEVP(終値!G192:Z192)/AVERAGE(終値!G192:Z192),""))</f>
      </c>
      <c r="E192" s="684">
        <f>IF(終値!A192="","",IFERROR(4*STDEVP(終値!H192:AA192)/AVERAGE(終値!H192:AA192),""))</f>
      </c>
      <c r="F192" s="684">
        <f>IF(終値!A192="","",IFERROR(4*STDEVP(終値!I192:AB192)/AVERAGE(終値!I192:AB192),""))</f>
      </c>
      <c r="G192" s="684">
        <f>IF(終値!A192="","",IFERROR(4*STDEVP(終値!J192:AC192)/AVERAGE(終値!J192:AC192),""))</f>
      </c>
      <c r="H192" s="684">
        <f>IF(終値!A192="","",IFERROR(4*STDEVP(終値!K192:AD192)/AVERAGE(終値!K192:AD192),""))</f>
      </c>
      <c r="I192" s="684">
        <f>IF(終値!A192="","",IFERROR(4*STDEVP(終値!L192:AE192)/AVERAGE(終値!L192:AE192),""))</f>
      </c>
      <c r="J192" s="684">
        <f>IF(終値!A192="","",IFERROR(4*STDEVP(終値!M192:AF192)/AVERAGE(終値!M192:AF192),""))</f>
      </c>
      <c r="K192" s="684">
        <f>IF(終値!A192="","",IFERROR(4*STDEVP(終値!N192:AG192)/AVERAGE(終値!N192:AG192),""))</f>
      </c>
      <c r="L192" s="684">
        <f>IF(終値!A192="","",IFERROR(4*STDEVP(終値!O192:AH192)/AVERAGE(終値!O192:AH192),""))</f>
      </c>
      <c r="M192" s="684">
        <f>IF(終値!A192="","",IFERROR(4*STDEVP(終値!P192:AI192)/AVERAGE(終値!P192:AI192),""))</f>
      </c>
      <c r="N192" s="684">
        <f>IF(終値!A192="","",IFERROR(4*STDEVP(終値!Q192:AJ192)/AVERAGE(終値!Q192:AJ192),""))</f>
      </c>
      <c r="O192" s="684">
        <f>IF(終値!A192="","",IFERROR(4*STDEVP(終値!R192:AK192)/AVERAGE(終値!R192:AK192),""))</f>
      </c>
      <c r="P192" s="684">
        <f>IF(終値!A192="","",IFERROR(4*STDEVP(終値!S192:AL192)/AVERAGE(終値!S192:AL192),""))</f>
      </c>
      <c r="Q192" s="684">
        <f>IF(終値!A192="","",IFERROR(4*STDEVP(終値!T192:AM192)/AVERAGE(終値!T192:AM192),""))</f>
      </c>
      <c r="R192" s="684">
        <f>IF(終値!A192="","",IFERROR(4*STDEVP(終値!U192:AN192)/AVERAGE(終値!U192:AN192),""))</f>
      </c>
      <c r="S192" s="684">
        <f>IF(終値!A192="","",IFERROR(4*STDEVP(終値!V192:AO192)/AVERAGE(終値!V192:AO192),""))</f>
      </c>
      <c r="T192" s="684">
        <f>IF(終値!A192="","",IFERROR(4*STDEVP(終値!W192:AP192)/AVERAGE(終値!W192:AP192),""))</f>
      </c>
      <c r="U192" s="684">
        <f>IF(終値!A192="","",IFERROR(4*STDEVP(終値!X192:AQ192)/AVERAGE(終値!X192:AQ192),""))</f>
      </c>
      <c r="V192" s="684">
        <f>IF(終値!A192="","",IFERROR(4*STDEVP(終値!Y192:AR192)/AVERAGE(終値!Y192:AR192),""))</f>
      </c>
      <c r="W192" s="684">
        <f>IF(終値!A192="","",IFERROR(4*STDEVP(終値!Z192:AS192)/AVERAGE(終値!Z192:AS192),""))</f>
      </c>
      <c r="X192" s="684">
        <f>IF(終値!A192="","",IFERROR(4*STDEVP(終値!AA192:AT192)/AVERAGE(終値!AA192:AT192),""))</f>
      </c>
      <c r="Y192" s="684">
        <f>IF(終値!A192="","",IFERROR(4*STDEVP(終値!AB192:AU192)/AVERAGE(終値!AB192:AU192),""))</f>
      </c>
      <c r="Z192" s="684">
        <f>IF(終値!A192="","",IFERROR(4*STDEVP(終値!AC192:AV192)/AVERAGE(終値!AC192:AV192),""))</f>
      </c>
      <c r="AA192" s="684">
        <f>IF(終値!A192="","",IFERROR(4*STDEVP(終値!AD192:AW192)/AVERAGE(終値!AD192:AW192),""))</f>
      </c>
      <c r="AB192" s="684">
        <f>IF(終値!A192="","",IFERROR(4*STDEVP(終値!AE192:AX192)/AVERAGE(終値!AE192:AX192),""))</f>
      </c>
      <c r="AC192" s="684">
        <f>IF(終値!A192="","",IFERROR(4*STDEVP(終値!AF192:AY192)/AVERAGE(終値!AF192:AY192),""))</f>
      </c>
      <c r="AD192" s="684">
        <f>IF(終値!A192="","",IFERROR(4*STDEVP(終値!AG192:AZ192)/AVERAGE(終値!AG192:AZ192),""))</f>
      </c>
      <c r="AE192" s="684">
        <f>IF(終値!A192="","",IFERROR(4*STDEVP(終値!AH192:BA192)/AVERAGE(終値!AH192:BA192),""))</f>
      </c>
      <c r="AF192" s="684">
        <f>IF(終値!A192="","",IFERROR(4*STDEVP(終値!AI192:BB192)/AVERAGE(終値!AI192:BB192),""))</f>
      </c>
      <c r="AG192" s="684">
        <f>IF(終値!A192="","",IFERROR(4*STDEVP(終値!AJ192:BC192)/AVERAGE(終値!AJ192:BC192),""))</f>
      </c>
      <c r="AH192" s="684">
        <f>IF(終値!A192="","",IFERROR(4*STDEVP(終値!AK192:BD192)/AVERAGE(終値!AK192:BD192),""))</f>
      </c>
      <c r="AI192" s="684">
        <f>IF(終値!A192="","",IFERROR(4*STDEVP(終値!AL192:BE192)/AVERAGE(終値!AL192:BE192),""))</f>
      </c>
      <c r="AJ192" s="684">
        <f>IF(終値!A192="","",IFERROR(4*STDEVP(終値!AM192:BF192)/AVERAGE(終値!AM192:BF192),""))</f>
      </c>
      <c r="AK192" s="684">
        <f>IF(終値!A192="","",IFERROR(4*STDEVP(終値!AN192:BG192)/AVERAGE(終値!AN192:BG192),""))</f>
      </c>
      <c r="AL192" s="684">
        <f>IF(終値!A192="","",IFERROR(4*STDEVP(終値!AO192:BH192)/AVERAGE(終値!AO192:BH192),""))</f>
      </c>
      <c r="AM192" s="684">
        <f>IF(終値!A192="","",IFERROR(4*STDEVP(終値!AP192:BI192)/AVERAGE(終値!AP192:BI192),""))</f>
      </c>
      <c r="AN192" s="684">
        <f>IF(終値!A192="","",IFERROR(4*STDEVP(終値!AQ192:BJ192)/AVERAGE(終値!AQ192:BJ192),""))</f>
      </c>
      <c r="AO192" s="684">
        <f>IF(終値!A192="","",IFERROR(4*STDEVP(終値!AR192:BK192)/AVERAGE(終値!AR192:BK192),""))</f>
      </c>
      <c r="AP192" s="684">
        <f>IF(終値!A192="","",IFERROR(4*STDEVP(終値!AS192:BL192)/AVERAGE(終値!AS192:BL192),""))</f>
      </c>
    </row>
    <row r="193">
      <c r="A193" s="681">
        <f>IF(終値!A193="","",終値!A193)</f>
      </c>
      <c r="B193" s="684">
        <f>IF(終値!A193="","",IFERROR(4*STDEVP(終値!E193:X193)/AVERAGE(終値!E193:X193),""))</f>
      </c>
      <c r="C193" s="684">
        <f>IF(終値!A193="","",IFERROR(4*STDEVP(終値!F193:Y193)/AVERAGE(終値!F193:Y193),""))</f>
      </c>
      <c r="D193" s="684">
        <f>IF(終値!A193="","",IFERROR(4*STDEVP(終値!G193:Z193)/AVERAGE(終値!G193:Z193),""))</f>
      </c>
      <c r="E193" s="684">
        <f>IF(終値!A193="","",IFERROR(4*STDEVP(終値!H193:AA193)/AVERAGE(終値!H193:AA193),""))</f>
      </c>
      <c r="F193" s="684">
        <f>IF(終値!A193="","",IFERROR(4*STDEVP(終値!I193:AB193)/AVERAGE(終値!I193:AB193),""))</f>
      </c>
      <c r="G193" s="684">
        <f>IF(終値!A193="","",IFERROR(4*STDEVP(終値!J193:AC193)/AVERAGE(終値!J193:AC193),""))</f>
      </c>
      <c r="H193" s="684">
        <f>IF(終値!A193="","",IFERROR(4*STDEVP(終値!K193:AD193)/AVERAGE(終値!K193:AD193),""))</f>
      </c>
      <c r="I193" s="684">
        <f>IF(終値!A193="","",IFERROR(4*STDEVP(終値!L193:AE193)/AVERAGE(終値!L193:AE193),""))</f>
      </c>
      <c r="J193" s="684">
        <f>IF(終値!A193="","",IFERROR(4*STDEVP(終値!M193:AF193)/AVERAGE(終値!M193:AF193),""))</f>
      </c>
      <c r="K193" s="684">
        <f>IF(終値!A193="","",IFERROR(4*STDEVP(終値!N193:AG193)/AVERAGE(終値!N193:AG193),""))</f>
      </c>
      <c r="L193" s="684">
        <f>IF(終値!A193="","",IFERROR(4*STDEVP(終値!O193:AH193)/AVERAGE(終値!O193:AH193),""))</f>
      </c>
      <c r="M193" s="684">
        <f>IF(終値!A193="","",IFERROR(4*STDEVP(終値!P193:AI193)/AVERAGE(終値!P193:AI193),""))</f>
      </c>
      <c r="N193" s="684">
        <f>IF(終値!A193="","",IFERROR(4*STDEVP(終値!Q193:AJ193)/AVERAGE(終値!Q193:AJ193),""))</f>
      </c>
      <c r="O193" s="684">
        <f>IF(終値!A193="","",IFERROR(4*STDEVP(終値!R193:AK193)/AVERAGE(終値!R193:AK193),""))</f>
      </c>
      <c r="P193" s="684">
        <f>IF(終値!A193="","",IFERROR(4*STDEVP(終値!S193:AL193)/AVERAGE(終値!S193:AL193),""))</f>
      </c>
      <c r="Q193" s="684">
        <f>IF(終値!A193="","",IFERROR(4*STDEVP(終値!T193:AM193)/AVERAGE(終値!T193:AM193),""))</f>
      </c>
      <c r="R193" s="684">
        <f>IF(終値!A193="","",IFERROR(4*STDEVP(終値!U193:AN193)/AVERAGE(終値!U193:AN193),""))</f>
      </c>
      <c r="S193" s="684">
        <f>IF(終値!A193="","",IFERROR(4*STDEVP(終値!V193:AO193)/AVERAGE(終値!V193:AO193),""))</f>
      </c>
      <c r="T193" s="684">
        <f>IF(終値!A193="","",IFERROR(4*STDEVP(終値!W193:AP193)/AVERAGE(終値!W193:AP193),""))</f>
      </c>
      <c r="U193" s="684">
        <f>IF(終値!A193="","",IFERROR(4*STDEVP(終値!X193:AQ193)/AVERAGE(終値!X193:AQ193),""))</f>
      </c>
      <c r="V193" s="684">
        <f>IF(終値!A193="","",IFERROR(4*STDEVP(終値!Y193:AR193)/AVERAGE(終値!Y193:AR193),""))</f>
      </c>
      <c r="W193" s="684">
        <f>IF(終値!A193="","",IFERROR(4*STDEVP(終値!Z193:AS193)/AVERAGE(終値!Z193:AS193),""))</f>
      </c>
      <c r="X193" s="684">
        <f>IF(終値!A193="","",IFERROR(4*STDEVP(終値!AA193:AT193)/AVERAGE(終値!AA193:AT193),""))</f>
      </c>
      <c r="Y193" s="684">
        <f>IF(終値!A193="","",IFERROR(4*STDEVP(終値!AB193:AU193)/AVERAGE(終値!AB193:AU193),""))</f>
      </c>
      <c r="Z193" s="684">
        <f>IF(終値!A193="","",IFERROR(4*STDEVP(終値!AC193:AV193)/AVERAGE(終値!AC193:AV193),""))</f>
      </c>
      <c r="AA193" s="684">
        <f>IF(終値!A193="","",IFERROR(4*STDEVP(終値!AD193:AW193)/AVERAGE(終値!AD193:AW193),""))</f>
      </c>
      <c r="AB193" s="684">
        <f>IF(終値!A193="","",IFERROR(4*STDEVP(終値!AE193:AX193)/AVERAGE(終値!AE193:AX193),""))</f>
      </c>
      <c r="AC193" s="684">
        <f>IF(終値!A193="","",IFERROR(4*STDEVP(終値!AF193:AY193)/AVERAGE(終値!AF193:AY193),""))</f>
      </c>
      <c r="AD193" s="684">
        <f>IF(終値!A193="","",IFERROR(4*STDEVP(終値!AG193:AZ193)/AVERAGE(終値!AG193:AZ193),""))</f>
      </c>
      <c r="AE193" s="684">
        <f>IF(終値!A193="","",IFERROR(4*STDEVP(終値!AH193:BA193)/AVERAGE(終値!AH193:BA193),""))</f>
      </c>
      <c r="AF193" s="684">
        <f>IF(終値!A193="","",IFERROR(4*STDEVP(終値!AI193:BB193)/AVERAGE(終値!AI193:BB193),""))</f>
      </c>
      <c r="AG193" s="684">
        <f>IF(終値!A193="","",IFERROR(4*STDEVP(終値!AJ193:BC193)/AVERAGE(終値!AJ193:BC193),""))</f>
      </c>
      <c r="AH193" s="684">
        <f>IF(終値!A193="","",IFERROR(4*STDEVP(終値!AK193:BD193)/AVERAGE(終値!AK193:BD193),""))</f>
      </c>
      <c r="AI193" s="684">
        <f>IF(終値!A193="","",IFERROR(4*STDEVP(終値!AL193:BE193)/AVERAGE(終値!AL193:BE193),""))</f>
      </c>
      <c r="AJ193" s="684">
        <f>IF(終値!A193="","",IFERROR(4*STDEVP(終値!AM193:BF193)/AVERAGE(終値!AM193:BF193),""))</f>
      </c>
      <c r="AK193" s="684">
        <f>IF(終値!A193="","",IFERROR(4*STDEVP(終値!AN193:BG193)/AVERAGE(終値!AN193:BG193),""))</f>
      </c>
      <c r="AL193" s="684">
        <f>IF(終値!A193="","",IFERROR(4*STDEVP(終値!AO193:BH193)/AVERAGE(終値!AO193:BH193),""))</f>
      </c>
      <c r="AM193" s="684">
        <f>IF(終値!A193="","",IFERROR(4*STDEVP(終値!AP193:BI193)/AVERAGE(終値!AP193:BI193),""))</f>
      </c>
      <c r="AN193" s="684">
        <f>IF(終値!A193="","",IFERROR(4*STDEVP(終値!AQ193:BJ193)/AVERAGE(終値!AQ193:BJ193),""))</f>
      </c>
      <c r="AO193" s="684">
        <f>IF(終値!A193="","",IFERROR(4*STDEVP(終値!AR193:BK193)/AVERAGE(終値!AR193:BK193),""))</f>
      </c>
      <c r="AP193" s="684">
        <f>IF(終値!A193="","",IFERROR(4*STDEVP(終値!AS193:BL193)/AVERAGE(終値!AS193:BL193),""))</f>
      </c>
    </row>
    <row r="194">
      <c r="A194" s="681">
        <f>IF(終値!A194="","",終値!A194)</f>
      </c>
      <c r="B194" s="684">
        <f>IF(終値!A194="","",IFERROR(4*STDEVP(終値!E194:X194)/AVERAGE(終値!E194:X194),""))</f>
      </c>
      <c r="C194" s="684">
        <f>IF(終値!A194="","",IFERROR(4*STDEVP(終値!F194:Y194)/AVERAGE(終値!F194:Y194),""))</f>
      </c>
      <c r="D194" s="684">
        <f>IF(終値!A194="","",IFERROR(4*STDEVP(終値!G194:Z194)/AVERAGE(終値!G194:Z194),""))</f>
      </c>
      <c r="E194" s="684">
        <f>IF(終値!A194="","",IFERROR(4*STDEVP(終値!H194:AA194)/AVERAGE(終値!H194:AA194),""))</f>
      </c>
      <c r="F194" s="684">
        <f>IF(終値!A194="","",IFERROR(4*STDEVP(終値!I194:AB194)/AVERAGE(終値!I194:AB194),""))</f>
      </c>
      <c r="G194" s="684">
        <f>IF(終値!A194="","",IFERROR(4*STDEVP(終値!J194:AC194)/AVERAGE(終値!J194:AC194),""))</f>
      </c>
      <c r="H194" s="684">
        <f>IF(終値!A194="","",IFERROR(4*STDEVP(終値!K194:AD194)/AVERAGE(終値!K194:AD194),""))</f>
      </c>
      <c r="I194" s="684">
        <f>IF(終値!A194="","",IFERROR(4*STDEVP(終値!L194:AE194)/AVERAGE(終値!L194:AE194),""))</f>
      </c>
      <c r="J194" s="684">
        <f>IF(終値!A194="","",IFERROR(4*STDEVP(終値!M194:AF194)/AVERAGE(終値!M194:AF194),""))</f>
      </c>
      <c r="K194" s="684">
        <f>IF(終値!A194="","",IFERROR(4*STDEVP(終値!N194:AG194)/AVERAGE(終値!N194:AG194),""))</f>
      </c>
      <c r="L194" s="684">
        <f>IF(終値!A194="","",IFERROR(4*STDEVP(終値!O194:AH194)/AVERAGE(終値!O194:AH194),""))</f>
      </c>
      <c r="M194" s="684">
        <f>IF(終値!A194="","",IFERROR(4*STDEVP(終値!P194:AI194)/AVERAGE(終値!P194:AI194),""))</f>
      </c>
      <c r="N194" s="684">
        <f>IF(終値!A194="","",IFERROR(4*STDEVP(終値!Q194:AJ194)/AVERAGE(終値!Q194:AJ194),""))</f>
      </c>
      <c r="O194" s="684">
        <f>IF(終値!A194="","",IFERROR(4*STDEVP(終値!R194:AK194)/AVERAGE(終値!R194:AK194),""))</f>
      </c>
      <c r="P194" s="684">
        <f>IF(終値!A194="","",IFERROR(4*STDEVP(終値!S194:AL194)/AVERAGE(終値!S194:AL194),""))</f>
      </c>
      <c r="Q194" s="684">
        <f>IF(終値!A194="","",IFERROR(4*STDEVP(終値!T194:AM194)/AVERAGE(終値!T194:AM194),""))</f>
      </c>
      <c r="R194" s="684">
        <f>IF(終値!A194="","",IFERROR(4*STDEVP(終値!U194:AN194)/AVERAGE(終値!U194:AN194),""))</f>
      </c>
      <c r="S194" s="684">
        <f>IF(終値!A194="","",IFERROR(4*STDEVP(終値!V194:AO194)/AVERAGE(終値!V194:AO194),""))</f>
      </c>
      <c r="T194" s="684">
        <f>IF(終値!A194="","",IFERROR(4*STDEVP(終値!W194:AP194)/AVERAGE(終値!W194:AP194),""))</f>
      </c>
      <c r="U194" s="684">
        <f>IF(終値!A194="","",IFERROR(4*STDEVP(終値!X194:AQ194)/AVERAGE(終値!X194:AQ194),""))</f>
      </c>
      <c r="V194" s="684">
        <f>IF(終値!A194="","",IFERROR(4*STDEVP(終値!Y194:AR194)/AVERAGE(終値!Y194:AR194),""))</f>
      </c>
      <c r="W194" s="684">
        <f>IF(終値!A194="","",IFERROR(4*STDEVP(終値!Z194:AS194)/AVERAGE(終値!Z194:AS194),""))</f>
      </c>
      <c r="X194" s="684">
        <f>IF(終値!A194="","",IFERROR(4*STDEVP(終値!AA194:AT194)/AVERAGE(終値!AA194:AT194),""))</f>
      </c>
      <c r="Y194" s="684">
        <f>IF(終値!A194="","",IFERROR(4*STDEVP(終値!AB194:AU194)/AVERAGE(終値!AB194:AU194),""))</f>
      </c>
      <c r="Z194" s="684">
        <f>IF(終値!A194="","",IFERROR(4*STDEVP(終値!AC194:AV194)/AVERAGE(終値!AC194:AV194),""))</f>
      </c>
      <c r="AA194" s="684">
        <f>IF(終値!A194="","",IFERROR(4*STDEVP(終値!AD194:AW194)/AVERAGE(終値!AD194:AW194),""))</f>
      </c>
      <c r="AB194" s="684">
        <f>IF(終値!A194="","",IFERROR(4*STDEVP(終値!AE194:AX194)/AVERAGE(終値!AE194:AX194),""))</f>
      </c>
      <c r="AC194" s="684">
        <f>IF(終値!A194="","",IFERROR(4*STDEVP(終値!AF194:AY194)/AVERAGE(終値!AF194:AY194),""))</f>
      </c>
      <c r="AD194" s="684">
        <f>IF(終値!A194="","",IFERROR(4*STDEVP(終値!AG194:AZ194)/AVERAGE(終値!AG194:AZ194),""))</f>
      </c>
      <c r="AE194" s="684">
        <f>IF(終値!A194="","",IFERROR(4*STDEVP(終値!AH194:BA194)/AVERAGE(終値!AH194:BA194),""))</f>
      </c>
      <c r="AF194" s="684">
        <f>IF(終値!A194="","",IFERROR(4*STDEVP(終値!AI194:BB194)/AVERAGE(終値!AI194:BB194),""))</f>
      </c>
      <c r="AG194" s="684">
        <f>IF(終値!A194="","",IFERROR(4*STDEVP(終値!AJ194:BC194)/AVERAGE(終値!AJ194:BC194),""))</f>
      </c>
      <c r="AH194" s="684">
        <f>IF(終値!A194="","",IFERROR(4*STDEVP(終値!AK194:BD194)/AVERAGE(終値!AK194:BD194),""))</f>
      </c>
      <c r="AI194" s="684">
        <f>IF(終値!A194="","",IFERROR(4*STDEVP(終値!AL194:BE194)/AVERAGE(終値!AL194:BE194),""))</f>
      </c>
      <c r="AJ194" s="684">
        <f>IF(終値!A194="","",IFERROR(4*STDEVP(終値!AM194:BF194)/AVERAGE(終値!AM194:BF194),""))</f>
      </c>
      <c r="AK194" s="684">
        <f>IF(終値!A194="","",IFERROR(4*STDEVP(終値!AN194:BG194)/AVERAGE(終値!AN194:BG194),""))</f>
      </c>
      <c r="AL194" s="684">
        <f>IF(終値!A194="","",IFERROR(4*STDEVP(終値!AO194:BH194)/AVERAGE(終値!AO194:BH194),""))</f>
      </c>
      <c r="AM194" s="684">
        <f>IF(終値!A194="","",IFERROR(4*STDEVP(終値!AP194:BI194)/AVERAGE(終値!AP194:BI194),""))</f>
      </c>
      <c r="AN194" s="684">
        <f>IF(終値!A194="","",IFERROR(4*STDEVP(終値!AQ194:BJ194)/AVERAGE(終値!AQ194:BJ194),""))</f>
      </c>
      <c r="AO194" s="684">
        <f>IF(終値!A194="","",IFERROR(4*STDEVP(終値!AR194:BK194)/AVERAGE(終値!AR194:BK194),""))</f>
      </c>
      <c r="AP194" s="684">
        <f>IF(終値!A194="","",IFERROR(4*STDEVP(終値!AS194:BL194)/AVERAGE(終値!AS194:BL194),""))</f>
      </c>
    </row>
    <row r="195">
      <c r="A195" s="681">
        <f>IF(終値!A195="","",終値!A195)</f>
      </c>
      <c r="B195" s="684">
        <f>IF(終値!A195="","",IFERROR(4*STDEVP(終値!E195:X195)/AVERAGE(終値!E195:X195),""))</f>
      </c>
      <c r="C195" s="684">
        <f>IF(終値!A195="","",IFERROR(4*STDEVP(終値!F195:Y195)/AVERAGE(終値!F195:Y195),""))</f>
      </c>
      <c r="D195" s="684">
        <f>IF(終値!A195="","",IFERROR(4*STDEVP(終値!G195:Z195)/AVERAGE(終値!G195:Z195),""))</f>
      </c>
      <c r="E195" s="684">
        <f>IF(終値!A195="","",IFERROR(4*STDEVP(終値!H195:AA195)/AVERAGE(終値!H195:AA195),""))</f>
      </c>
      <c r="F195" s="684">
        <f>IF(終値!A195="","",IFERROR(4*STDEVP(終値!I195:AB195)/AVERAGE(終値!I195:AB195),""))</f>
      </c>
      <c r="G195" s="684">
        <f>IF(終値!A195="","",IFERROR(4*STDEVP(終値!J195:AC195)/AVERAGE(終値!J195:AC195),""))</f>
      </c>
      <c r="H195" s="684">
        <f>IF(終値!A195="","",IFERROR(4*STDEVP(終値!K195:AD195)/AVERAGE(終値!K195:AD195),""))</f>
      </c>
      <c r="I195" s="684">
        <f>IF(終値!A195="","",IFERROR(4*STDEVP(終値!L195:AE195)/AVERAGE(終値!L195:AE195),""))</f>
      </c>
      <c r="J195" s="684">
        <f>IF(終値!A195="","",IFERROR(4*STDEVP(終値!M195:AF195)/AVERAGE(終値!M195:AF195),""))</f>
      </c>
      <c r="K195" s="684">
        <f>IF(終値!A195="","",IFERROR(4*STDEVP(終値!N195:AG195)/AVERAGE(終値!N195:AG195),""))</f>
      </c>
      <c r="L195" s="684">
        <f>IF(終値!A195="","",IFERROR(4*STDEVP(終値!O195:AH195)/AVERAGE(終値!O195:AH195),""))</f>
      </c>
      <c r="M195" s="684">
        <f>IF(終値!A195="","",IFERROR(4*STDEVP(終値!P195:AI195)/AVERAGE(終値!P195:AI195),""))</f>
      </c>
      <c r="N195" s="684">
        <f>IF(終値!A195="","",IFERROR(4*STDEVP(終値!Q195:AJ195)/AVERAGE(終値!Q195:AJ195),""))</f>
      </c>
      <c r="O195" s="684">
        <f>IF(終値!A195="","",IFERROR(4*STDEVP(終値!R195:AK195)/AVERAGE(終値!R195:AK195),""))</f>
      </c>
      <c r="P195" s="684">
        <f>IF(終値!A195="","",IFERROR(4*STDEVP(終値!S195:AL195)/AVERAGE(終値!S195:AL195),""))</f>
      </c>
      <c r="Q195" s="684">
        <f>IF(終値!A195="","",IFERROR(4*STDEVP(終値!T195:AM195)/AVERAGE(終値!T195:AM195),""))</f>
      </c>
      <c r="R195" s="684">
        <f>IF(終値!A195="","",IFERROR(4*STDEVP(終値!U195:AN195)/AVERAGE(終値!U195:AN195),""))</f>
      </c>
      <c r="S195" s="684">
        <f>IF(終値!A195="","",IFERROR(4*STDEVP(終値!V195:AO195)/AVERAGE(終値!V195:AO195),""))</f>
      </c>
      <c r="T195" s="684">
        <f>IF(終値!A195="","",IFERROR(4*STDEVP(終値!W195:AP195)/AVERAGE(終値!W195:AP195),""))</f>
      </c>
      <c r="U195" s="684">
        <f>IF(終値!A195="","",IFERROR(4*STDEVP(終値!X195:AQ195)/AVERAGE(終値!X195:AQ195),""))</f>
      </c>
      <c r="V195" s="684">
        <f>IF(終値!A195="","",IFERROR(4*STDEVP(終値!Y195:AR195)/AVERAGE(終値!Y195:AR195),""))</f>
      </c>
      <c r="W195" s="684">
        <f>IF(終値!A195="","",IFERROR(4*STDEVP(終値!Z195:AS195)/AVERAGE(終値!Z195:AS195),""))</f>
      </c>
      <c r="X195" s="684">
        <f>IF(終値!A195="","",IFERROR(4*STDEVP(終値!AA195:AT195)/AVERAGE(終値!AA195:AT195),""))</f>
      </c>
      <c r="Y195" s="684">
        <f>IF(終値!A195="","",IFERROR(4*STDEVP(終値!AB195:AU195)/AVERAGE(終値!AB195:AU195),""))</f>
      </c>
      <c r="Z195" s="684">
        <f>IF(終値!A195="","",IFERROR(4*STDEVP(終値!AC195:AV195)/AVERAGE(終値!AC195:AV195),""))</f>
      </c>
      <c r="AA195" s="684">
        <f>IF(終値!A195="","",IFERROR(4*STDEVP(終値!AD195:AW195)/AVERAGE(終値!AD195:AW195),""))</f>
      </c>
      <c r="AB195" s="684">
        <f>IF(終値!A195="","",IFERROR(4*STDEVP(終値!AE195:AX195)/AVERAGE(終値!AE195:AX195),""))</f>
      </c>
      <c r="AC195" s="684">
        <f>IF(終値!A195="","",IFERROR(4*STDEVP(終値!AF195:AY195)/AVERAGE(終値!AF195:AY195),""))</f>
      </c>
      <c r="AD195" s="684">
        <f>IF(終値!A195="","",IFERROR(4*STDEVP(終値!AG195:AZ195)/AVERAGE(終値!AG195:AZ195),""))</f>
      </c>
      <c r="AE195" s="684">
        <f>IF(終値!A195="","",IFERROR(4*STDEVP(終値!AH195:BA195)/AVERAGE(終値!AH195:BA195),""))</f>
      </c>
      <c r="AF195" s="684">
        <f>IF(終値!A195="","",IFERROR(4*STDEVP(終値!AI195:BB195)/AVERAGE(終値!AI195:BB195),""))</f>
      </c>
      <c r="AG195" s="684">
        <f>IF(終値!A195="","",IFERROR(4*STDEVP(終値!AJ195:BC195)/AVERAGE(終値!AJ195:BC195),""))</f>
      </c>
      <c r="AH195" s="684">
        <f>IF(終値!A195="","",IFERROR(4*STDEVP(終値!AK195:BD195)/AVERAGE(終値!AK195:BD195),""))</f>
      </c>
      <c r="AI195" s="684">
        <f>IF(終値!A195="","",IFERROR(4*STDEVP(終値!AL195:BE195)/AVERAGE(終値!AL195:BE195),""))</f>
      </c>
      <c r="AJ195" s="684">
        <f>IF(終値!A195="","",IFERROR(4*STDEVP(終値!AM195:BF195)/AVERAGE(終値!AM195:BF195),""))</f>
      </c>
      <c r="AK195" s="684">
        <f>IF(終値!A195="","",IFERROR(4*STDEVP(終値!AN195:BG195)/AVERAGE(終値!AN195:BG195),""))</f>
      </c>
      <c r="AL195" s="684">
        <f>IF(終値!A195="","",IFERROR(4*STDEVP(終値!AO195:BH195)/AVERAGE(終値!AO195:BH195),""))</f>
      </c>
      <c r="AM195" s="684">
        <f>IF(終値!A195="","",IFERROR(4*STDEVP(終値!AP195:BI195)/AVERAGE(終値!AP195:BI195),""))</f>
      </c>
      <c r="AN195" s="684">
        <f>IF(終値!A195="","",IFERROR(4*STDEVP(終値!AQ195:BJ195)/AVERAGE(終値!AQ195:BJ195),""))</f>
      </c>
      <c r="AO195" s="684">
        <f>IF(終値!A195="","",IFERROR(4*STDEVP(終値!AR195:BK195)/AVERAGE(終値!AR195:BK195),""))</f>
      </c>
      <c r="AP195" s="684">
        <f>IF(終値!A195="","",IFERROR(4*STDEVP(終値!AS195:BL195)/AVERAGE(終値!AS195:BL195),""))</f>
      </c>
    </row>
    <row r="196">
      <c r="A196" s="681">
        <f>IF(終値!A196="","",終値!A196)</f>
      </c>
      <c r="B196" s="684">
        <f>IF(終値!A196="","",IFERROR(4*STDEVP(終値!E196:X196)/AVERAGE(終値!E196:X196),""))</f>
      </c>
      <c r="C196" s="684">
        <f>IF(終値!A196="","",IFERROR(4*STDEVP(終値!F196:Y196)/AVERAGE(終値!F196:Y196),""))</f>
      </c>
      <c r="D196" s="684">
        <f>IF(終値!A196="","",IFERROR(4*STDEVP(終値!G196:Z196)/AVERAGE(終値!G196:Z196),""))</f>
      </c>
      <c r="E196" s="684">
        <f>IF(終値!A196="","",IFERROR(4*STDEVP(終値!H196:AA196)/AVERAGE(終値!H196:AA196),""))</f>
      </c>
      <c r="F196" s="684">
        <f>IF(終値!A196="","",IFERROR(4*STDEVP(終値!I196:AB196)/AVERAGE(終値!I196:AB196),""))</f>
      </c>
      <c r="G196" s="684">
        <f>IF(終値!A196="","",IFERROR(4*STDEVP(終値!J196:AC196)/AVERAGE(終値!J196:AC196),""))</f>
      </c>
      <c r="H196" s="684">
        <f>IF(終値!A196="","",IFERROR(4*STDEVP(終値!K196:AD196)/AVERAGE(終値!K196:AD196),""))</f>
      </c>
      <c r="I196" s="684">
        <f>IF(終値!A196="","",IFERROR(4*STDEVP(終値!L196:AE196)/AVERAGE(終値!L196:AE196),""))</f>
      </c>
      <c r="J196" s="684">
        <f>IF(終値!A196="","",IFERROR(4*STDEVP(終値!M196:AF196)/AVERAGE(終値!M196:AF196),""))</f>
      </c>
      <c r="K196" s="684">
        <f>IF(終値!A196="","",IFERROR(4*STDEVP(終値!N196:AG196)/AVERAGE(終値!N196:AG196),""))</f>
      </c>
      <c r="L196" s="684">
        <f>IF(終値!A196="","",IFERROR(4*STDEVP(終値!O196:AH196)/AVERAGE(終値!O196:AH196),""))</f>
      </c>
      <c r="M196" s="684">
        <f>IF(終値!A196="","",IFERROR(4*STDEVP(終値!P196:AI196)/AVERAGE(終値!P196:AI196),""))</f>
      </c>
      <c r="N196" s="684">
        <f>IF(終値!A196="","",IFERROR(4*STDEVP(終値!Q196:AJ196)/AVERAGE(終値!Q196:AJ196),""))</f>
      </c>
      <c r="O196" s="684">
        <f>IF(終値!A196="","",IFERROR(4*STDEVP(終値!R196:AK196)/AVERAGE(終値!R196:AK196),""))</f>
      </c>
      <c r="P196" s="684">
        <f>IF(終値!A196="","",IFERROR(4*STDEVP(終値!S196:AL196)/AVERAGE(終値!S196:AL196),""))</f>
      </c>
      <c r="Q196" s="684">
        <f>IF(終値!A196="","",IFERROR(4*STDEVP(終値!T196:AM196)/AVERAGE(終値!T196:AM196),""))</f>
      </c>
      <c r="R196" s="684">
        <f>IF(終値!A196="","",IFERROR(4*STDEVP(終値!U196:AN196)/AVERAGE(終値!U196:AN196),""))</f>
      </c>
      <c r="S196" s="684">
        <f>IF(終値!A196="","",IFERROR(4*STDEVP(終値!V196:AO196)/AVERAGE(終値!V196:AO196),""))</f>
      </c>
      <c r="T196" s="684">
        <f>IF(終値!A196="","",IFERROR(4*STDEVP(終値!W196:AP196)/AVERAGE(終値!W196:AP196),""))</f>
      </c>
      <c r="U196" s="684">
        <f>IF(終値!A196="","",IFERROR(4*STDEVP(終値!X196:AQ196)/AVERAGE(終値!X196:AQ196),""))</f>
      </c>
      <c r="V196" s="684">
        <f>IF(終値!A196="","",IFERROR(4*STDEVP(終値!Y196:AR196)/AVERAGE(終値!Y196:AR196),""))</f>
      </c>
      <c r="W196" s="684">
        <f>IF(終値!A196="","",IFERROR(4*STDEVP(終値!Z196:AS196)/AVERAGE(終値!Z196:AS196),""))</f>
      </c>
      <c r="X196" s="684">
        <f>IF(終値!A196="","",IFERROR(4*STDEVP(終値!AA196:AT196)/AVERAGE(終値!AA196:AT196),""))</f>
      </c>
      <c r="Y196" s="684">
        <f>IF(終値!A196="","",IFERROR(4*STDEVP(終値!AB196:AU196)/AVERAGE(終値!AB196:AU196),""))</f>
      </c>
      <c r="Z196" s="684">
        <f>IF(終値!A196="","",IFERROR(4*STDEVP(終値!AC196:AV196)/AVERAGE(終値!AC196:AV196),""))</f>
      </c>
      <c r="AA196" s="684">
        <f>IF(終値!A196="","",IFERROR(4*STDEVP(終値!AD196:AW196)/AVERAGE(終値!AD196:AW196),""))</f>
      </c>
      <c r="AB196" s="684">
        <f>IF(終値!A196="","",IFERROR(4*STDEVP(終値!AE196:AX196)/AVERAGE(終値!AE196:AX196),""))</f>
      </c>
      <c r="AC196" s="684">
        <f>IF(終値!A196="","",IFERROR(4*STDEVP(終値!AF196:AY196)/AVERAGE(終値!AF196:AY196),""))</f>
      </c>
      <c r="AD196" s="684">
        <f>IF(終値!A196="","",IFERROR(4*STDEVP(終値!AG196:AZ196)/AVERAGE(終値!AG196:AZ196),""))</f>
      </c>
      <c r="AE196" s="684">
        <f>IF(終値!A196="","",IFERROR(4*STDEVP(終値!AH196:BA196)/AVERAGE(終値!AH196:BA196),""))</f>
      </c>
      <c r="AF196" s="684">
        <f>IF(終値!A196="","",IFERROR(4*STDEVP(終値!AI196:BB196)/AVERAGE(終値!AI196:BB196),""))</f>
      </c>
      <c r="AG196" s="684">
        <f>IF(終値!A196="","",IFERROR(4*STDEVP(終値!AJ196:BC196)/AVERAGE(終値!AJ196:BC196),""))</f>
      </c>
      <c r="AH196" s="684">
        <f>IF(終値!A196="","",IFERROR(4*STDEVP(終値!AK196:BD196)/AVERAGE(終値!AK196:BD196),""))</f>
      </c>
      <c r="AI196" s="684">
        <f>IF(終値!A196="","",IFERROR(4*STDEVP(終値!AL196:BE196)/AVERAGE(終値!AL196:BE196),""))</f>
      </c>
      <c r="AJ196" s="684">
        <f>IF(終値!A196="","",IFERROR(4*STDEVP(終値!AM196:BF196)/AVERAGE(終値!AM196:BF196),""))</f>
      </c>
      <c r="AK196" s="684">
        <f>IF(終値!A196="","",IFERROR(4*STDEVP(終値!AN196:BG196)/AVERAGE(終値!AN196:BG196),""))</f>
      </c>
      <c r="AL196" s="684">
        <f>IF(終値!A196="","",IFERROR(4*STDEVP(終値!AO196:BH196)/AVERAGE(終値!AO196:BH196),""))</f>
      </c>
      <c r="AM196" s="684">
        <f>IF(終値!A196="","",IFERROR(4*STDEVP(終値!AP196:BI196)/AVERAGE(終値!AP196:BI196),""))</f>
      </c>
      <c r="AN196" s="684">
        <f>IF(終値!A196="","",IFERROR(4*STDEVP(終値!AQ196:BJ196)/AVERAGE(終値!AQ196:BJ196),""))</f>
      </c>
      <c r="AO196" s="684">
        <f>IF(終値!A196="","",IFERROR(4*STDEVP(終値!AR196:BK196)/AVERAGE(終値!AR196:BK196),""))</f>
      </c>
      <c r="AP196" s="684">
        <f>IF(終値!A196="","",IFERROR(4*STDEVP(終値!AS196:BL196)/AVERAGE(終値!AS196:BL196),""))</f>
      </c>
    </row>
    <row r="197">
      <c r="A197" s="681">
        <f>IF(終値!A197="","",終値!A197)</f>
      </c>
      <c r="B197" s="684">
        <f>IF(終値!A197="","",IFERROR(4*STDEVP(終値!E197:X197)/AVERAGE(終値!E197:X197),""))</f>
      </c>
      <c r="C197" s="684">
        <f>IF(終値!A197="","",IFERROR(4*STDEVP(終値!F197:Y197)/AVERAGE(終値!F197:Y197),""))</f>
      </c>
      <c r="D197" s="684">
        <f>IF(終値!A197="","",IFERROR(4*STDEVP(終値!G197:Z197)/AVERAGE(終値!G197:Z197),""))</f>
      </c>
      <c r="E197" s="684">
        <f>IF(終値!A197="","",IFERROR(4*STDEVP(終値!H197:AA197)/AVERAGE(終値!H197:AA197),""))</f>
      </c>
      <c r="F197" s="684">
        <f>IF(終値!A197="","",IFERROR(4*STDEVP(終値!I197:AB197)/AVERAGE(終値!I197:AB197),""))</f>
      </c>
      <c r="G197" s="684">
        <f>IF(終値!A197="","",IFERROR(4*STDEVP(終値!J197:AC197)/AVERAGE(終値!J197:AC197),""))</f>
      </c>
      <c r="H197" s="684">
        <f>IF(終値!A197="","",IFERROR(4*STDEVP(終値!K197:AD197)/AVERAGE(終値!K197:AD197),""))</f>
      </c>
      <c r="I197" s="684">
        <f>IF(終値!A197="","",IFERROR(4*STDEVP(終値!L197:AE197)/AVERAGE(終値!L197:AE197),""))</f>
      </c>
      <c r="J197" s="684">
        <f>IF(終値!A197="","",IFERROR(4*STDEVP(終値!M197:AF197)/AVERAGE(終値!M197:AF197),""))</f>
      </c>
      <c r="K197" s="684">
        <f>IF(終値!A197="","",IFERROR(4*STDEVP(終値!N197:AG197)/AVERAGE(終値!N197:AG197),""))</f>
      </c>
      <c r="L197" s="684">
        <f>IF(終値!A197="","",IFERROR(4*STDEVP(終値!O197:AH197)/AVERAGE(終値!O197:AH197),""))</f>
      </c>
      <c r="M197" s="684">
        <f>IF(終値!A197="","",IFERROR(4*STDEVP(終値!P197:AI197)/AVERAGE(終値!P197:AI197),""))</f>
      </c>
      <c r="N197" s="684">
        <f>IF(終値!A197="","",IFERROR(4*STDEVP(終値!Q197:AJ197)/AVERAGE(終値!Q197:AJ197),""))</f>
      </c>
      <c r="O197" s="684">
        <f>IF(終値!A197="","",IFERROR(4*STDEVP(終値!R197:AK197)/AVERAGE(終値!R197:AK197),""))</f>
      </c>
      <c r="P197" s="684">
        <f>IF(終値!A197="","",IFERROR(4*STDEVP(終値!S197:AL197)/AVERAGE(終値!S197:AL197),""))</f>
      </c>
      <c r="Q197" s="684">
        <f>IF(終値!A197="","",IFERROR(4*STDEVP(終値!T197:AM197)/AVERAGE(終値!T197:AM197),""))</f>
      </c>
      <c r="R197" s="684">
        <f>IF(終値!A197="","",IFERROR(4*STDEVP(終値!U197:AN197)/AVERAGE(終値!U197:AN197),""))</f>
      </c>
      <c r="S197" s="684">
        <f>IF(終値!A197="","",IFERROR(4*STDEVP(終値!V197:AO197)/AVERAGE(終値!V197:AO197),""))</f>
      </c>
      <c r="T197" s="684">
        <f>IF(終値!A197="","",IFERROR(4*STDEVP(終値!W197:AP197)/AVERAGE(終値!W197:AP197),""))</f>
      </c>
      <c r="U197" s="684">
        <f>IF(終値!A197="","",IFERROR(4*STDEVP(終値!X197:AQ197)/AVERAGE(終値!X197:AQ197),""))</f>
      </c>
      <c r="V197" s="684">
        <f>IF(終値!A197="","",IFERROR(4*STDEVP(終値!Y197:AR197)/AVERAGE(終値!Y197:AR197),""))</f>
      </c>
      <c r="W197" s="684">
        <f>IF(終値!A197="","",IFERROR(4*STDEVP(終値!Z197:AS197)/AVERAGE(終値!Z197:AS197),""))</f>
      </c>
      <c r="X197" s="684">
        <f>IF(終値!A197="","",IFERROR(4*STDEVP(終値!AA197:AT197)/AVERAGE(終値!AA197:AT197),""))</f>
      </c>
      <c r="Y197" s="684">
        <f>IF(終値!A197="","",IFERROR(4*STDEVP(終値!AB197:AU197)/AVERAGE(終値!AB197:AU197),""))</f>
      </c>
      <c r="Z197" s="684">
        <f>IF(終値!A197="","",IFERROR(4*STDEVP(終値!AC197:AV197)/AVERAGE(終値!AC197:AV197),""))</f>
      </c>
      <c r="AA197" s="684">
        <f>IF(終値!A197="","",IFERROR(4*STDEVP(終値!AD197:AW197)/AVERAGE(終値!AD197:AW197),""))</f>
      </c>
      <c r="AB197" s="684">
        <f>IF(終値!A197="","",IFERROR(4*STDEVP(終値!AE197:AX197)/AVERAGE(終値!AE197:AX197),""))</f>
      </c>
      <c r="AC197" s="684">
        <f>IF(終値!A197="","",IFERROR(4*STDEVP(終値!AF197:AY197)/AVERAGE(終値!AF197:AY197),""))</f>
      </c>
      <c r="AD197" s="684">
        <f>IF(終値!A197="","",IFERROR(4*STDEVP(終値!AG197:AZ197)/AVERAGE(終値!AG197:AZ197),""))</f>
      </c>
      <c r="AE197" s="684">
        <f>IF(終値!A197="","",IFERROR(4*STDEVP(終値!AH197:BA197)/AVERAGE(終値!AH197:BA197),""))</f>
      </c>
      <c r="AF197" s="684">
        <f>IF(終値!A197="","",IFERROR(4*STDEVP(終値!AI197:BB197)/AVERAGE(終値!AI197:BB197),""))</f>
      </c>
      <c r="AG197" s="684">
        <f>IF(終値!A197="","",IFERROR(4*STDEVP(終値!AJ197:BC197)/AVERAGE(終値!AJ197:BC197),""))</f>
      </c>
      <c r="AH197" s="684">
        <f>IF(終値!A197="","",IFERROR(4*STDEVP(終値!AK197:BD197)/AVERAGE(終値!AK197:BD197),""))</f>
      </c>
      <c r="AI197" s="684">
        <f>IF(終値!A197="","",IFERROR(4*STDEVP(終値!AL197:BE197)/AVERAGE(終値!AL197:BE197),""))</f>
      </c>
      <c r="AJ197" s="684">
        <f>IF(終値!A197="","",IFERROR(4*STDEVP(終値!AM197:BF197)/AVERAGE(終値!AM197:BF197),""))</f>
      </c>
      <c r="AK197" s="684">
        <f>IF(終値!A197="","",IFERROR(4*STDEVP(終値!AN197:BG197)/AVERAGE(終値!AN197:BG197),""))</f>
      </c>
      <c r="AL197" s="684">
        <f>IF(終値!A197="","",IFERROR(4*STDEVP(終値!AO197:BH197)/AVERAGE(終値!AO197:BH197),""))</f>
      </c>
      <c r="AM197" s="684">
        <f>IF(終値!A197="","",IFERROR(4*STDEVP(終値!AP197:BI197)/AVERAGE(終値!AP197:BI197),""))</f>
      </c>
      <c r="AN197" s="684">
        <f>IF(終値!A197="","",IFERROR(4*STDEVP(終値!AQ197:BJ197)/AVERAGE(終値!AQ197:BJ197),""))</f>
      </c>
      <c r="AO197" s="684">
        <f>IF(終値!A197="","",IFERROR(4*STDEVP(終値!AR197:BK197)/AVERAGE(終値!AR197:BK197),""))</f>
      </c>
      <c r="AP197" s="684">
        <f>IF(終値!A197="","",IFERROR(4*STDEVP(終値!AS197:BL197)/AVERAGE(終値!AS197:BL197),""))</f>
      </c>
    </row>
    <row r="198">
      <c r="A198" s="681">
        <f>IF(終値!A198="","",終値!A198)</f>
      </c>
      <c r="B198" s="684">
        <f>IF(終値!A198="","",IFERROR(4*STDEVP(終値!E198:X198)/AVERAGE(終値!E198:X198),""))</f>
      </c>
      <c r="C198" s="684">
        <f>IF(終値!A198="","",IFERROR(4*STDEVP(終値!F198:Y198)/AVERAGE(終値!F198:Y198),""))</f>
      </c>
      <c r="D198" s="684">
        <f>IF(終値!A198="","",IFERROR(4*STDEVP(終値!G198:Z198)/AVERAGE(終値!G198:Z198),""))</f>
      </c>
      <c r="E198" s="684">
        <f>IF(終値!A198="","",IFERROR(4*STDEVP(終値!H198:AA198)/AVERAGE(終値!H198:AA198),""))</f>
      </c>
      <c r="F198" s="684">
        <f>IF(終値!A198="","",IFERROR(4*STDEVP(終値!I198:AB198)/AVERAGE(終値!I198:AB198),""))</f>
      </c>
      <c r="G198" s="684">
        <f>IF(終値!A198="","",IFERROR(4*STDEVP(終値!J198:AC198)/AVERAGE(終値!J198:AC198),""))</f>
      </c>
      <c r="H198" s="684">
        <f>IF(終値!A198="","",IFERROR(4*STDEVP(終値!K198:AD198)/AVERAGE(終値!K198:AD198),""))</f>
      </c>
      <c r="I198" s="684">
        <f>IF(終値!A198="","",IFERROR(4*STDEVP(終値!L198:AE198)/AVERAGE(終値!L198:AE198),""))</f>
      </c>
      <c r="J198" s="684">
        <f>IF(終値!A198="","",IFERROR(4*STDEVP(終値!M198:AF198)/AVERAGE(終値!M198:AF198),""))</f>
      </c>
      <c r="K198" s="684">
        <f>IF(終値!A198="","",IFERROR(4*STDEVP(終値!N198:AG198)/AVERAGE(終値!N198:AG198),""))</f>
      </c>
      <c r="L198" s="684">
        <f>IF(終値!A198="","",IFERROR(4*STDEVP(終値!O198:AH198)/AVERAGE(終値!O198:AH198),""))</f>
      </c>
      <c r="M198" s="684">
        <f>IF(終値!A198="","",IFERROR(4*STDEVP(終値!P198:AI198)/AVERAGE(終値!P198:AI198),""))</f>
      </c>
      <c r="N198" s="684">
        <f>IF(終値!A198="","",IFERROR(4*STDEVP(終値!Q198:AJ198)/AVERAGE(終値!Q198:AJ198),""))</f>
      </c>
      <c r="O198" s="684">
        <f>IF(終値!A198="","",IFERROR(4*STDEVP(終値!R198:AK198)/AVERAGE(終値!R198:AK198),""))</f>
      </c>
      <c r="P198" s="684">
        <f>IF(終値!A198="","",IFERROR(4*STDEVP(終値!S198:AL198)/AVERAGE(終値!S198:AL198),""))</f>
      </c>
      <c r="Q198" s="684">
        <f>IF(終値!A198="","",IFERROR(4*STDEVP(終値!T198:AM198)/AVERAGE(終値!T198:AM198),""))</f>
      </c>
      <c r="R198" s="684">
        <f>IF(終値!A198="","",IFERROR(4*STDEVP(終値!U198:AN198)/AVERAGE(終値!U198:AN198),""))</f>
      </c>
      <c r="S198" s="684">
        <f>IF(終値!A198="","",IFERROR(4*STDEVP(終値!V198:AO198)/AVERAGE(終値!V198:AO198),""))</f>
      </c>
      <c r="T198" s="684">
        <f>IF(終値!A198="","",IFERROR(4*STDEVP(終値!W198:AP198)/AVERAGE(終値!W198:AP198),""))</f>
      </c>
      <c r="U198" s="684">
        <f>IF(終値!A198="","",IFERROR(4*STDEVP(終値!X198:AQ198)/AVERAGE(終値!X198:AQ198),""))</f>
      </c>
      <c r="V198" s="684">
        <f>IF(終値!A198="","",IFERROR(4*STDEVP(終値!Y198:AR198)/AVERAGE(終値!Y198:AR198),""))</f>
      </c>
      <c r="W198" s="684">
        <f>IF(終値!A198="","",IFERROR(4*STDEVP(終値!Z198:AS198)/AVERAGE(終値!Z198:AS198),""))</f>
      </c>
      <c r="X198" s="684">
        <f>IF(終値!A198="","",IFERROR(4*STDEVP(終値!AA198:AT198)/AVERAGE(終値!AA198:AT198),""))</f>
      </c>
      <c r="Y198" s="684">
        <f>IF(終値!A198="","",IFERROR(4*STDEVP(終値!AB198:AU198)/AVERAGE(終値!AB198:AU198),""))</f>
      </c>
      <c r="Z198" s="684">
        <f>IF(終値!A198="","",IFERROR(4*STDEVP(終値!AC198:AV198)/AVERAGE(終値!AC198:AV198),""))</f>
      </c>
      <c r="AA198" s="684">
        <f>IF(終値!A198="","",IFERROR(4*STDEVP(終値!AD198:AW198)/AVERAGE(終値!AD198:AW198),""))</f>
      </c>
      <c r="AB198" s="684">
        <f>IF(終値!A198="","",IFERROR(4*STDEVP(終値!AE198:AX198)/AVERAGE(終値!AE198:AX198),""))</f>
      </c>
      <c r="AC198" s="684">
        <f>IF(終値!A198="","",IFERROR(4*STDEVP(終値!AF198:AY198)/AVERAGE(終値!AF198:AY198),""))</f>
      </c>
      <c r="AD198" s="684">
        <f>IF(終値!A198="","",IFERROR(4*STDEVP(終値!AG198:AZ198)/AVERAGE(終値!AG198:AZ198),""))</f>
      </c>
      <c r="AE198" s="684">
        <f>IF(終値!A198="","",IFERROR(4*STDEVP(終値!AH198:BA198)/AVERAGE(終値!AH198:BA198),""))</f>
      </c>
      <c r="AF198" s="684">
        <f>IF(終値!A198="","",IFERROR(4*STDEVP(終値!AI198:BB198)/AVERAGE(終値!AI198:BB198),""))</f>
      </c>
      <c r="AG198" s="684">
        <f>IF(終値!A198="","",IFERROR(4*STDEVP(終値!AJ198:BC198)/AVERAGE(終値!AJ198:BC198),""))</f>
      </c>
      <c r="AH198" s="684">
        <f>IF(終値!A198="","",IFERROR(4*STDEVP(終値!AK198:BD198)/AVERAGE(終値!AK198:BD198),""))</f>
      </c>
      <c r="AI198" s="684">
        <f>IF(終値!A198="","",IFERROR(4*STDEVP(終値!AL198:BE198)/AVERAGE(終値!AL198:BE198),""))</f>
      </c>
      <c r="AJ198" s="684">
        <f>IF(終値!A198="","",IFERROR(4*STDEVP(終値!AM198:BF198)/AVERAGE(終値!AM198:BF198),""))</f>
      </c>
      <c r="AK198" s="684">
        <f>IF(終値!A198="","",IFERROR(4*STDEVP(終値!AN198:BG198)/AVERAGE(終値!AN198:BG198),""))</f>
      </c>
      <c r="AL198" s="684">
        <f>IF(終値!A198="","",IFERROR(4*STDEVP(終値!AO198:BH198)/AVERAGE(終値!AO198:BH198),""))</f>
      </c>
      <c r="AM198" s="684">
        <f>IF(終値!A198="","",IFERROR(4*STDEVP(終値!AP198:BI198)/AVERAGE(終値!AP198:BI198),""))</f>
      </c>
      <c r="AN198" s="684">
        <f>IF(終値!A198="","",IFERROR(4*STDEVP(終値!AQ198:BJ198)/AVERAGE(終値!AQ198:BJ198),""))</f>
      </c>
      <c r="AO198" s="684">
        <f>IF(終値!A198="","",IFERROR(4*STDEVP(終値!AR198:BK198)/AVERAGE(終値!AR198:BK198),""))</f>
      </c>
      <c r="AP198" s="684">
        <f>IF(終値!A198="","",IFERROR(4*STDEVP(終値!AS198:BL198)/AVERAGE(終値!AS198:BL198),""))</f>
      </c>
    </row>
    <row r="199">
      <c r="A199" s="681">
        <f>IF(終値!A199="","",終値!A199)</f>
      </c>
      <c r="B199" s="684">
        <f>IF(終値!A199="","",IFERROR(4*STDEVP(終値!E199:X199)/AVERAGE(終値!E199:X199),""))</f>
      </c>
      <c r="C199" s="684">
        <f>IF(終値!A199="","",IFERROR(4*STDEVP(終値!F199:Y199)/AVERAGE(終値!F199:Y199),""))</f>
      </c>
      <c r="D199" s="684">
        <f>IF(終値!A199="","",IFERROR(4*STDEVP(終値!G199:Z199)/AVERAGE(終値!G199:Z199),""))</f>
      </c>
      <c r="E199" s="684">
        <f>IF(終値!A199="","",IFERROR(4*STDEVP(終値!H199:AA199)/AVERAGE(終値!H199:AA199),""))</f>
      </c>
      <c r="F199" s="684">
        <f>IF(終値!A199="","",IFERROR(4*STDEVP(終値!I199:AB199)/AVERAGE(終値!I199:AB199),""))</f>
      </c>
      <c r="G199" s="684">
        <f>IF(終値!A199="","",IFERROR(4*STDEVP(終値!J199:AC199)/AVERAGE(終値!J199:AC199),""))</f>
      </c>
      <c r="H199" s="684">
        <f>IF(終値!A199="","",IFERROR(4*STDEVP(終値!K199:AD199)/AVERAGE(終値!K199:AD199),""))</f>
      </c>
      <c r="I199" s="684">
        <f>IF(終値!A199="","",IFERROR(4*STDEVP(終値!L199:AE199)/AVERAGE(終値!L199:AE199),""))</f>
      </c>
      <c r="J199" s="684">
        <f>IF(終値!A199="","",IFERROR(4*STDEVP(終値!M199:AF199)/AVERAGE(終値!M199:AF199),""))</f>
      </c>
      <c r="K199" s="684">
        <f>IF(終値!A199="","",IFERROR(4*STDEVP(終値!N199:AG199)/AVERAGE(終値!N199:AG199),""))</f>
      </c>
      <c r="L199" s="684">
        <f>IF(終値!A199="","",IFERROR(4*STDEVP(終値!O199:AH199)/AVERAGE(終値!O199:AH199),""))</f>
      </c>
      <c r="M199" s="684">
        <f>IF(終値!A199="","",IFERROR(4*STDEVP(終値!P199:AI199)/AVERAGE(終値!P199:AI199),""))</f>
      </c>
      <c r="N199" s="684">
        <f>IF(終値!A199="","",IFERROR(4*STDEVP(終値!Q199:AJ199)/AVERAGE(終値!Q199:AJ199),""))</f>
      </c>
      <c r="O199" s="684">
        <f>IF(終値!A199="","",IFERROR(4*STDEVP(終値!R199:AK199)/AVERAGE(終値!R199:AK199),""))</f>
      </c>
      <c r="P199" s="684">
        <f>IF(終値!A199="","",IFERROR(4*STDEVP(終値!S199:AL199)/AVERAGE(終値!S199:AL199),""))</f>
      </c>
      <c r="Q199" s="684">
        <f>IF(終値!A199="","",IFERROR(4*STDEVP(終値!T199:AM199)/AVERAGE(終値!T199:AM199),""))</f>
      </c>
      <c r="R199" s="684">
        <f>IF(終値!A199="","",IFERROR(4*STDEVP(終値!U199:AN199)/AVERAGE(終値!U199:AN199),""))</f>
      </c>
      <c r="S199" s="684">
        <f>IF(終値!A199="","",IFERROR(4*STDEVP(終値!V199:AO199)/AVERAGE(終値!V199:AO199),""))</f>
      </c>
      <c r="T199" s="684">
        <f>IF(終値!A199="","",IFERROR(4*STDEVP(終値!W199:AP199)/AVERAGE(終値!W199:AP199),""))</f>
      </c>
      <c r="U199" s="684">
        <f>IF(終値!A199="","",IFERROR(4*STDEVP(終値!X199:AQ199)/AVERAGE(終値!X199:AQ199),""))</f>
      </c>
      <c r="V199" s="684">
        <f>IF(終値!A199="","",IFERROR(4*STDEVP(終値!Y199:AR199)/AVERAGE(終値!Y199:AR199),""))</f>
      </c>
      <c r="W199" s="684">
        <f>IF(終値!A199="","",IFERROR(4*STDEVP(終値!Z199:AS199)/AVERAGE(終値!Z199:AS199),""))</f>
      </c>
      <c r="X199" s="684">
        <f>IF(終値!A199="","",IFERROR(4*STDEVP(終値!AA199:AT199)/AVERAGE(終値!AA199:AT199),""))</f>
      </c>
      <c r="Y199" s="684">
        <f>IF(終値!A199="","",IFERROR(4*STDEVP(終値!AB199:AU199)/AVERAGE(終値!AB199:AU199),""))</f>
      </c>
      <c r="Z199" s="684">
        <f>IF(終値!A199="","",IFERROR(4*STDEVP(終値!AC199:AV199)/AVERAGE(終値!AC199:AV199),""))</f>
      </c>
      <c r="AA199" s="684">
        <f>IF(終値!A199="","",IFERROR(4*STDEVP(終値!AD199:AW199)/AVERAGE(終値!AD199:AW199),""))</f>
      </c>
      <c r="AB199" s="684">
        <f>IF(終値!A199="","",IFERROR(4*STDEVP(終値!AE199:AX199)/AVERAGE(終値!AE199:AX199),""))</f>
      </c>
      <c r="AC199" s="684">
        <f>IF(終値!A199="","",IFERROR(4*STDEVP(終値!AF199:AY199)/AVERAGE(終値!AF199:AY199),""))</f>
      </c>
      <c r="AD199" s="684">
        <f>IF(終値!A199="","",IFERROR(4*STDEVP(終値!AG199:AZ199)/AVERAGE(終値!AG199:AZ199),""))</f>
      </c>
      <c r="AE199" s="684">
        <f>IF(終値!A199="","",IFERROR(4*STDEVP(終値!AH199:BA199)/AVERAGE(終値!AH199:BA199),""))</f>
      </c>
      <c r="AF199" s="684">
        <f>IF(終値!A199="","",IFERROR(4*STDEVP(終値!AI199:BB199)/AVERAGE(終値!AI199:BB199),""))</f>
      </c>
      <c r="AG199" s="684">
        <f>IF(終値!A199="","",IFERROR(4*STDEVP(終値!AJ199:BC199)/AVERAGE(終値!AJ199:BC199),""))</f>
      </c>
      <c r="AH199" s="684">
        <f>IF(終値!A199="","",IFERROR(4*STDEVP(終値!AK199:BD199)/AVERAGE(終値!AK199:BD199),""))</f>
      </c>
      <c r="AI199" s="684">
        <f>IF(終値!A199="","",IFERROR(4*STDEVP(終値!AL199:BE199)/AVERAGE(終値!AL199:BE199),""))</f>
      </c>
      <c r="AJ199" s="684">
        <f>IF(終値!A199="","",IFERROR(4*STDEVP(終値!AM199:BF199)/AVERAGE(終値!AM199:BF199),""))</f>
      </c>
      <c r="AK199" s="684">
        <f>IF(終値!A199="","",IFERROR(4*STDEVP(終値!AN199:BG199)/AVERAGE(終値!AN199:BG199),""))</f>
      </c>
      <c r="AL199" s="684">
        <f>IF(終値!A199="","",IFERROR(4*STDEVP(終値!AO199:BH199)/AVERAGE(終値!AO199:BH199),""))</f>
      </c>
      <c r="AM199" s="684">
        <f>IF(終値!A199="","",IFERROR(4*STDEVP(終値!AP199:BI199)/AVERAGE(終値!AP199:BI199),""))</f>
      </c>
      <c r="AN199" s="684">
        <f>IF(終値!A199="","",IFERROR(4*STDEVP(終値!AQ199:BJ199)/AVERAGE(終値!AQ199:BJ199),""))</f>
      </c>
      <c r="AO199" s="684">
        <f>IF(終値!A199="","",IFERROR(4*STDEVP(終値!AR199:BK199)/AVERAGE(終値!AR199:BK199),""))</f>
      </c>
      <c r="AP199" s="684">
        <f>IF(終値!A199="","",IFERROR(4*STDEVP(終値!AS199:BL199)/AVERAGE(終値!AS199:BL199),""))</f>
      </c>
    </row>
    <row r="200">
      <c r="A200" s="681">
        <f>IF(終値!A200="","",終値!A200)</f>
      </c>
      <c r="B200" s="684">
        <f>IF(終値!A200="","",IFERROR(4*STDEVP(終値!E200:X200)/AVERAGE(終値!E200:X200),""))</f>
      </c>
      <c r="C200" s="684">
        <f>IF(終値!A200="","",IFERROR(4*STDEVP(終値!F200:Y200)/AVERAGE(終値!F200:Y200),""))</f>
      </c>
      <c r="D200" s="684">
        <f>IF(終値!A200="","",IFERROR(4*STDEVP(終値!G200:Z200)/AVERAGE(終値!G200:Z200),""))</f>
      </c>
      <c r="E200" s="684">
        <f>IF(終値!A200="","",IFERROR(4*STDEVP(終値!H200:AA200)/AVERAGE(終値!H200:AA200),""))</f>
      </c>
      <c r="F200" s="684">
        <f>IF(終値!A200="","",IFERROR(4*STDEVP(終値!I200:AB200)/AVERAGE(終値!I200:AB200),""))</f>
      </c>
      <c r="G200" s="684">
        <f>IF(終値!A200="","",IFERROR(4*STDEVP(終値!J200:AC200)/AVERAGE(終値!J200:AC200),""))</f>
      </c>
      <c r="H200" s="684">
        <f>IF(終値!A200="","",IFERROR(4*STDEVP(終値!K200:AD200)/AVERAGE(終値!K200:AD200),""))</f>
      </c>
      <c r="I200" s="684">
        <f>IF(終値!A200="","",IFERROR(4*STDEVP(終値!L200:AE200)/AVERAGE(終値!L200:AE200),""))</f>
      </c>
      <c r="J200" s="684">
        <f>IF(終値!A200="","",IFERROR(4*STDEVP(終値!M200:AF200)/AVERAGE(終値!M200:AF200),""))</f>
      </c>
      <c r="K200" s="684">
        <f>IF(終値!A200="","",IFERROR(4*STDEVP(終値!N200:AG200)/AVERAGE(終値!N200:AG200),""))</f>
      </c>
      <c r="L200" s="684">
        <f>IF(終値!A200="","",IFERROR(4*STDEVP(終値!O200:AH200)/AVERAGE(終値!O200:AH200),""))</f>
      </c>
      <c r="M200" s="684">
        <f>IF(終値!A200="","",IFERROR(4*STDEVP(終値!P200:AI200)/AVERAGE(終値!P200:AI200),""))</f>
      </c>
      <c r="N200" s="684">
        <f>IF(終値!A200="","",IFERROR(4*STDEVP(終値!Q200:AJ200)/AVERAGE(終値!Q200:AJ200),""))</f>
      </c>
      <c r="O200" s="684">
        <f>IF(終値!A200="","",IFERROR(4*STDEVP(終値!R200:AK200)/AVERAGE(終値!R200:AK200),""))</f>
      </c>
      <c r="P200" s="684">
        <f>IF(終値!A200="","",IFERROR(4*STDEVP(終値!S200:AL200)/AVERAGE(終値!S200:AL200),""))</f>
      </c>
      <c r="Q200" s="684">
        <f>IF(終値!A200="","",IFERROR(4*STDEVP(終値!T200:AM200)/AVERAGE(終値!T200:AM200),""))</f>
      </c>
      <c r="R200" s="684">
        <f>IF(終値!A200="","",IFERROR(4*STDEVP(終値!U200:AN200)/AVERAGE(終値!U200:AN200),""))</f>
      </c>
      <c r="S200" s="684">
        <f>IF(終値!A200="","",IFERROR(4*STDEVP(終値!V200:AO200)/AVERAGE(終値!V200:AO200),""))</f>
      </c>
      <c r="T200" s="684">
        <f>IF(終値!A200="","",IFERROR(4*STDEVP(終値!W200:AP200)/AVERAGE(終値!W200:AP200),""))</f>
      </c>
      <c r="U200" s="684">
        <f>IF(終値!A200="","",IFERROR(4*STDEVP(終値!X200:AQ200)/AVERAGE(終値!X200:AQ200),""))</f>
      </c>
      <c r="V200" s="684">
        <f>IF(終値!A200="","",IFERROR(4*STDEVP(終値!Y200:AR200)/AVERAGE(終値!Y200:AR200),""))</f>
      </c>
      <c r="W200" s="684">
        <f>IF(終値!A200="","",IFERROR(4*STDEVP(終値!Z200:AS200)/AVERAGE(終値!Z200:AS200),""))</f>
      </c>
      <c r="X200" s="684">
        <f>IF(終値!A200="","",IFERROR(4*STDEVP(終値!AA200:AT200)/AVERAGE(終値!AA200:AT200),""))</f>
      </c>
      <c r="Y200" s="684">
        <f>IF(終値!A200="","",IFERROR(4*STDEVP(終値!AB200:AU200)/AVERAGE(終値!AB200:AU200),""))</f>
      </c>
      <c r="Z200" s="684">
        <f>IF(終値!A200="","",IFERROR(4*STDEVP(終値!AC200:AV200)/AVERAGE(終値!AC200:AV200),""))</f>
      </c>
      <c r="AA200" s="684">
        <f>IF(終値!A200="","",IFERROR(4*STDEVP(終値!AD200:AW200)/AVERAGE(終値!AD200:AW200),""))</f>
      </c>
      <c r="AB200" s="684">
        <f>IF(終値!A200="","",IFERROR(4*STDEVP(終値!AE200:AX200)/AVERAGE(終値!AE200:AX200),""))</f>
      </c>
      <c r="AC200" s="684">
        <f>IF(終値!A200="","",IFERROR(4*STDEVP(終値!AF200:AY200)/AVERAGE(終値!AF200:AY200),""))</f>
      </c>
      <c r="AD200" s="684">
        <f>IF(終値!A200="","",IFERROR(4*STDEVP(終値!AG200:AZ200)/AVERAGE(終値!AG200:AZ200),""))</f>
      </c>
      <c r="AE200" s="684">
        <f>IF(終値!A200="","",IFERROR(4*STDEVP(終値!AH200:BA200)/AVERAGE(終値!AH200:BA200),""))</f>
      </c>
      <c r="AF200" s="684">
        <f>IF(終値!A200="","",IFERROR(4*STDEVP(終値!AI200:BB200)/AVERAGE(終値!AI200:BB200),""))</f>
      </c>
      <c r="AG200" s="684">
        <f>IF(終値!A200="","",IFERROR(4*STDEVP(終値!AJ200:BC200)/AVERAGE(終値!AJ200:BC200),""))</f>
      </c>
      <c r="AH200" s="684">
        <f>IF(終値!A200="","",IFERROR(4*STDEVP(終値!AK200:BD200)/AVERAGE(終値!AK200:BD200),""))</f>
      </c>
      <c r="AI200" s="684">
        <f>IF(終値!A200="","",IFERROR(4*STDEVP(終値!AL200:BE200)/AVERAGE(終値!AL200:BE200),""))</f>
      </c>
      <c r="AJ200" s="684">
        <f>IF(終値!A200="","",IFERROR(4*STDEVP(終値!AM200:BF200)/AVERAGE(終値!AM200:BF200),""))</f>
      </c>
      <c r="AK200" s="684">
        <f>IF(終値!A200="","",IFERROR(4*STDEVP(終値!AN200:BG200)/AVERAGE(終値!AN200:BG200),""))</f>
      </c>
      <c r="AL200" s="684">
        <f>IF(終値!A200="","",IFERROR(4*STDEVP(終値!AO200:BH200)/AVERAGE(終値!AO200:BH200),""))</f>
      </c>
      <c r="AM200" s="684">
        <f>IF(終値!A200="","",IFERROR(4*STDEVP(終値!AP200:BI200)/AVERAGE(終値!AP200:BI200),""))</f>
      </c>
      <c r="AN200" s="684">
        <f>IF(終値!A200="","",IFERROR(4*STDEVP(終値!AQ200:BJ200)/AVERAGE(終値!AQ200:BJ200),""))</f>
      </c>
      <c r="AO200" s="684">
        <f>IF(終値!A200="","",IFERROR(4*STDEVP(終値!AR200:BK200)/AVERAGE(終値!AR200:BK200),""))</f>
      </c>
      <c r="AP200" s="684">
        <f>IF(終値!A200="","",IFERROR(4*STDEVP(終値!AS200:BL200)/AVERAGE(終値!AS200:BL200),""))</f>
      </c>
    </row>
    <row r="201">
      <c r="A201" s="681">
        <f>IF(終値!A201="","",終値!A201)</f>
      </c>
      <c r="B201" s="684">
        <f>IF(終値!A201="","",IFERROR(4*STDEVP(終値!E201:X201)/AVERAGE(終値!E201:X201),""))</f>
      </c>
      <c r="C201" s="684">
        <f>IF(終値!A201="","",IFERROR(4*STDEVP(終値!F201:Y201)/AVERAGE(終値!F201:Y201),""))</f>
      </c>
      <c r="D201" s="684">
        <f>IF(終値!A201="","",IFERROR(4*STDEVP(終値!G201:Z201)/AVERAGE(終値!G201:Z201),""))</f>
      </c>
      <c r="E201" s="684">
        <f>IF(終値!A201="","",IFERROR(4*STDEVP(終値!H201:AA201)/AVERAGE(終値!H201:AA201),""))</f>
      </c>
      <c r="F201" s="684">
        <f>IF(終値!A201="","",IFERROR(4*STDEVP(終値!I201:AB201)/AVERAGE(終値!I201:AB201),""))</f>
      </c>
      <c r="G201" s="684">
        <f>IF(終値!A201="","",IFERROR(4*STDEVP(終値!J201:AC201)/AVERAGE(終値!J201:AC201),""))</f>
      </c>
      <c r="H201" s="684">
        <f>IF(終値!A201="","",IFERROR(4*STDEVP(終値!K201:AD201)/AVERAGE(終値!K201:AD201),""))</f>
      </c>
      <c r="I201" s="684">
        <f>IF(終値!A201="","",IFERROR(4*STDEVP(終値!L201:AE201)/AVERAGE(終値!L201:AE201),""))</f>
      </c>
      <c r="J201" s="684">
        <f>IF(終値!A201="","",IFERROR(4*STDEVP(終値!M201:AF201)/AVERAGE(終値!M201:AF201),""))</f>
      </c>
      <c r="K201" s="684">
        <f>IF(終値!A201="","",IFERROR(4*STDEVP(終値!N201:AG201)/AVERAGE(終値!N201:AG201),""))</f>
      </c>
      <c r="L201" s="684">
        <f>IF(終値!A201="","",IFERROR(4*STDEVP(終値!O201:AH201)/AVERAGE(終値!O201:AH201),""))</f>
      </c>
      <c r="M201" s="684">
        <f>IF(終値!A201="","",IFERROR(4*STDEVP(終値!P201:AI201)/AVERAGE(終値!P201:AI201),""))</f>
      </c>
      <c r="N201" s="684">
        <f>IF(終値!A201="","",IFERROR(4*STDEVP(終値!Q201:AJ201)/AVERAGE(終値!Q201:AJ201),""))</f>
      </c>
      <c r="O201" s="684">
        <f>IF(終値!A201="","",IFERROR(4*STDEVP(終値!R201:AK201)/AVERAGE(終値!R201:AK201),""))</f>
      </c>
      <c r="P201" s="684">
        <f>IF(終値!A201="","",IFERROR(4*STDEVP(終値!S201:AL201)/AVERAGE(終値!S201:AL201),""))</f>
      </c>
      <c r="Q201" s="684">
        <f>IF(終値!A201="","",IFERROR(4*STDEVP(終値!T201:AM201)/AVERAGE(終値!T201:AM201),""))</f>
      </c>
      <c r="R201" s="684">
        <f>IF(終値!A201="","",IFERROR(4*STDEVP(終値!U201:AN201)/AVERAGE(終値!U201:AN201),""))</f>
      </c>
      <c r="S201" s="684">
        <f>IF(終値!A201="","",IFERROR(4*STDEVP(終値!V201:AO201)/AVERAGE(終値!V201:AO201),""))</f>
      </c>
      <c r="T201" s="684">
        <f>IF(終値!A201="","",IFERROR(4*STDEVP(終値!W201:AP201)/AVERAGE(終値!W201:AP201),""))</f>
      </c>
      <c r="U201" s="684">
        <f>IF(終値!A201="","",IFERROR(4*STDEVP(終値!X201:AQ201)/AVERAGE(終値!X201:AQ201),""))</f>
      </c>
      <c r="V201" s="684">
        <f>IF(終値!A201="","",IFERROR(4*STDEVP(終値!Y201:AR201)/AVERAGE(終値!Y201:AR201),""))</f>
      </c>
      <c r="W201" s="684">
        <f>IF(終値!A201="","",IFERROR(4*STDEVP(終値!Z201:AS201)/AVERAGE(終値!Z201:AS201),""))</f>
      </c>
      <c r="X201" s="684">
        <f>IF(終値!A201="","",IFERROR(4*STDEVP(終値!AA201:AT201)/AVERAGE(終値!AA201:AT201),""))</f>
      </c>
      <c r="Y201" s="684">
        <f>IF(終値!A201="","",IFERROR(4*STDEVP(終値!AB201:AU201)/AVERAGE(終値!AB201:AU201),""))</f>
      </c>
      <c r="Z201" s="684">
        <f>IF(終値!A201="","",IFERROR(4*STDEVP(終値!AC201:AV201)/AVERAGE(終値!AC201:AV201),""))</f>
      </c>
      <c r="AA201" s="684">
        <f>IF(終値!A201="","",IFERROR(4*STDEVP(終値!AD201:AW201)/AVERAGE(終値!AD201:AW201),""))</f>
      </c>
      <c r="AB201" s="684">
        <f>IF(終値!A201="","",IFERROR(4*STDEVP(終値!AE201:AX201)/AVERAGE(終値!AE201:AX201),""))</f>
      </c>
      <c r="AC201" s="684">
        <f>IF(終値!A201="","",IFERROR(4*STDEVP(終値!AF201:AY201)/AVERAGE(終値!AF201:AY201),""))</f>
      </c>
      <c r="AD201" s="684">
        <f>IF(終値!A201="","",IFERROR(4*STDEVP(終値!AG201:AZ201)/AVERAGE(終値!AG201:AZ201),""))</f>
      </c>
      <c r="AE201" s="684">
        <f>IF(終値!A201="","",IFERROR(4*STDEVP(終値!AH201:BA201)/AVERAGE(終値!AH201:BA201),""))</f>
      </c>
      <c r="AF201" s="684">
        <f>IF(終値!A201="","",IFERROR(4*STDEVP(終値!AI201:BB201)/AVERAGE(終値!AI201:BB201),""))</f>
      </c>
      <c r="AG201" s="684">
        <f>IF(終値!A201="","",IFERROR(4*STDEVP(終値!AJ201:BC201)/AVERAGE(終値!AJ201:BC201),""))</f>
      </c>
      <c r="AH201" s="684">
        <f>IF(終値!A201="","",IFERROR(4*STDEVP(終値!AK201:BD201)/AVERAGE(終値!AK201:BD201),""))</f>
      </c>
      <c r="AI201" s="684">
        <f>IF(終値!A201="","",IFERROR(4*STDEVP(終値!AL201:BE201)/AVERAGE(終値!AL201:BE201),""))</f>
      </c>
      <c r="AJ201" s="684">
        <f>IF(終値!A201="","",IFERROR(4*STDEVP(終値!AM201:BF201)/AVERAGE(終値!AM201:BF201),""))</f>
      </c>
      <c r="AK201" s="684">
        <f>IF(終値!A201="","",IFERROR(4*STDEVP(終値!AN201:BG201)/AVERAGE(終値!AN201:BG201),""))</f>
      </c>
      <c r="AL201" s="684">
        <f>IF(終値!A201="","",IFERROR(4*STDEVP(終値!AO201:BH201)/AVERAGE(終値!AO201:BH201),""))</f>
      </c>
      <c r="AM201" s="684">
        <f>IF(終値!A201="","",IFERROR(4*STDEVP(終値!AP201:BI201)/AVERAGE(終値!AP201:BI201),""))</f>
      </c>
      <c r="AN201" s="684">
        <f>IF(終値!A201="","",IFERROR(4*STDEVP(終値!AQ201:BJ201)/AVERAGE(終値!AQ201:BJ201),""))</f>
      </c>
      <c r="AO201" s="684">
        <f>IF(終値!A201="","",IFERROR(4*STDEVP(終値!AR201:BK201)/AVERAGE(終値!AR201:BK201),""))</f>
      </c>
      <c r="AP201" s="684">
        <f>IF(終値!A201="","",IFERROR(4*STDEVP(終値!AS201:BL201)/AVERAGE(終値!AS201:BL201),""))</f>
      </c>
    </row>
    <row r="202">
      <c r="A202" s="681">
        <f>IF(終値!A202="","",終値!A202)</f>
      </c>
      <c r="B202" s="684">
        <f>IF(終値!A202="","",IFERROR(4*STDEVP(終値!E202:X202)/AVERAGE(終値!E202:X202),""))</f>
      </c>
      <c r="C202" s="684">
        <f>IF(終値!A202="","",IFERROR(4*STDEVP(終値!F202:Y202)/AVERAGE(終値!F202:Y202),""))</f>
      </c>
      <c r="D202" s="684">
        <f>IF(終値!A202="","",IFERROR(4*STDEVP(終値!G202:Z202)/AVERAGE(終値!G202:Z202),""))</f>
      </c>
      <c r="E202" s="684">
        <f>IF(終値!A202="","",IFERROR(4*STDEVP(終値!H202:AA202)/AVERAGE(終値!H202:AA202),""))</f>
      </c>
      <c r="F202" s="684">
        <f>IF(終値!A202="","",IFERROR(4*STDEVP(終値!I202:AB202)/AVERAGE(終値!I202:AB202),""))</f>
      </c>
      <c r="G202" s="684">
        <f>IF(終値!A202="","",IFERROR(4*STDEVP(終値!J202:AC202)/AVERAGE(終値!J202:AC202),""))</f>
      </c>
      <c r="H202" s="684">
        <f>IF(終値!A202="","",IFERROR(4*STDEVP(終値!K202:AD202)/AVERAGE(終値!K202:AD202),""))</f>
      </c>
      <c r="I202" s="684">
        <f>IF(終値!A202="","",IFERROR(4*STDEVP(終値!L202:AE202)/AVERAGE(終値!L202:AE202),""))</f>
      </c>
      <c r="J202" s="684">
        <f>IF(終値!A202="","",IFERROR(4*STDEVP(終値!M202:AF202)/AVERAGE(終値!M202:AF202),""))</f>
      </c>
      <c r="K202" s="684">
        <f>IF(終値!A202="","",IFERROR(4*STDEVP(終値!N202:AG202)/AVERAGE(終値!N202:AG202),""))</f>
      </c>
      <c r="L202" s="684">
        <f>IF(終値!A202="","",IFERROR(4*STDEVP(終値!O202:AH202)/AVERAGE(終値!O202:AH202),""))</f>
      </c>
      <c r="M202" s="684">
        <f>IF(終値!A202="","",IFERROR(4*STDEVP(終値!P202:AI202)/AVERAGE(終値!P202:AI202),""))</f>
      </c>
      <c r="N202" s="684">
        <f>IF(終値!A202="","",IFERROR(4*STDEVP(終値!Q202:AJ202)/AVERAGE(終値!Q202:AJ202),""))</f>
      </c>
      <c r="O202" s="684">
        <f>IF(終値!A202="","",IFERROR(4*STDEVP(終値!R202:AK202)/AVERAGE(終値!R202:AK202),""))</f>
      </c>
      <c r="P202" s="684">
        <f>IF(終値!A202="","",IFERROR(4*STDEVP(終値!S202:AL202)/AVERAGE(終値!S202:AL202),""))</f>
      </c>
      <c r="Q202" s="684">
        <f>IF(終値!A202="","",IFERROR(4*STDEVP(終値!T202:AM202)/AVERAGE(終値!T202:AM202),""))</f>
      </c>
      <c r="R202" s="684">
        <f>IF(終値!A202="","",IFERROR(4*STDEVP(終値!U202:AN202)/AVERAGE(終値!U202:AN202),""))</f>
      </c>
      <c r="S202" s="684">
        <f>IF(終値!A202="","",IFERROR(4*STDEVP(終値!V202:AO202)/AVERAGE(終値!V202:AO202),""))</f>
      </c>
      <c r="T202" s="684">
        <f>IF(終値!A202="","",IFERROR(4*STDEVP(終値!W202:AP202)/AVERAGE(終値!W202:AP202),""))</f>
      </c>
      <c r="U202" s="684">
        <f>IF(終値!A202="","",IFERROR(4*STDEVP(終値!X202:AQ202)/AVERAGE(終値!X202:AQ202),""))</f>
      </c>
      <c r="V202" s="684">
        <f>IF(終値!A202="","",IFERROR(4*STDEVP(終値!Y202:AR202)/AVERAGE(終値!Y202:AR202),""))</f>
      </c>
      <c r="W202" s="684">
        <f>IF(終値!A202="","",IFERROR(4*STDEVP(終値!Z202:AS202)/AVERAGE(終値!Z202:AS202),""))</f>
      </c>
      <c r="X202" s="684">
        <f>IF(終値!A202="","",IFERROR(4*STDEVP(終値!AA202:AT202)/AVERAGE(終値!AA202:AT202),""))</f>
      </c>
      <c r="Y202" s="684">
        <f>IF(終値!A202="","",IFERROR(4*STDEVP(終値!AB202:AU202)/AVERAGE(終値!AB202:AU202),""))</f>
      </c>
      <c r="Z202" s="684">
        <f>IF(終値!A202="","",IFERROR(4*STDEVP(終値!AC202:AV202)/AVERAGE(終値!AC202:AV202),""))</f>
      </c>
      <c r="AA202" s="684">
        <f>IF(終値!A202="","",IFERROR(4*STDEVP(終値!AD202:AW202)/AVERAGE(終値!AD202:AW202),""))</f>
      </c>
      <c r="AB202" s="684">
        <f>IF(終値!A202="","",IFERROR(4*STDEVP(終値!AE202:AX202)/AVERAGE(終値!AE202:AX202),""))</f>
      </c>
      <c r="AC202" s="684">
        <f>IF(終値!A202="","",IFERROR(4*STDEVP(終値!AF202:AY202)/AVERAGE(終値!AF202:AY202),""))</f>
      </c>
      <c r="AD202" s="684">
        <f>IF(終値!A202="","",IFERROR(4*STDEVP(終値!AG202:AZ202)/AVERAGE(終値!AG202:AZ202),""))</f>
      </c>
      <c r="AE202" s="684">
        <f>IF(終値!A202="","",IFERROR(4*STDEVP(終値!AH202:BA202)/AVERAGE(終値!AH202:BA202),""))</f>
      </c>
      <c r="AF202" s="684">
        <f>IF(終値!A202="","",IFERROR(4*STDEVP(終値!AI202:BB202)/AVERAGE(終値!AI202:BB202),""))</f>
      </c>
      <c r="AG202" s="684">
        <f>IF(終値!A202="","",IFERROR(4*STDEVP(終値!AJ202:BC202)/AVERAGE(終値!AJ202:BC202),""))</f>
      </c>
      <c r="AH202" s="684">
        <f>IF(終値!A202="","",IFERROR(4*STDEVP(終値!AK202:BD202)/AVERAGE(終値!AK202:BD202),""))</f>
      </c>
      <c r="AI202" s="684">
        <f>IF(終値!A202="","",IFERROR(4*STDEVP(終値!AL202:BE202)/AVERAGE(終値!AL202:BE202),""))</f>
      </c>
      <c r="AJ202" s="684">
        <f>IF(終値!A202="","",IFERROR(4*STDEVP(終値!AM202:BF202)/AVERAGE(終値!AM202:BF202),""))</f>
      </c>
      <c r="AK202" s="684">
        <f>IF(終値!A202="","",IFERROR(4*STDEVP(終値!AN202:BG202)/AVERAGE(終値!AN202:BG202),""))</f>
      </c>
      <c r="AL202" s="684">
        <f>IF(終値!A202="","",IFERROR(4*STDEVP(終値!AO202:BH202)/AVERAGE(終値!AO202:BH202),""))</f>
      </c>
      <c r="AM202" s="684">
        <f>IF(終値!A202="","",IFERROR(4*STDEVP(終値!AP202:BI202)/AVERAGE(終値!AP202:BI202),""))</f>
      </c>
      <c r="AN202" s="684">
        <f>IF(終値!A202="","",IFERROR(4*STDEVP(終値!AQ202:BJ202)/AVERAGE(終値!AQ202:BJ202),""))</f>
      </c>
      <c r="AO202" s="684">
        <f>IF(終値!A202="","",IFERROR(4*STDEVP(終値!AR202:BK202)/AVERAGE(終値!AR202:BK202),""))</f>
      </c>
      <c r="AP202" s="684">
        <f>IF(終値!A202="","",IFERROR(4*STDEVP(終値!AS202:BL202)/AVERAGE(終値!AS202:BL202),""))</f>
      </c>
    </row>
    <row r="203">
      <c r="A203" s="681">
        <f>IF(終値!A203="","",終値!A203)</f>
      </c>
      <c r="B203" s="684">
        <f>IF(終値!A203="","",IFERROR(4*STDEVP(終値!E203:X203)/AVERAGE(終値!E203:X203),""))</f>
      </c>
      <c r="C203" s="684">
        <f>IF(終値!A203="","",IFERROR(4*STDEVP(終値!F203:Y203)/AVERAGE(終値!F203:Y203),""))</f>
      </c>
      <c r="D203" s="684">
        <f>IF(終値!A203="","",IFERROR(4*STDEVP(終値!G203:Z203)/AVERAGE(終値!G203:Z203),""))</f>
      </c>
      <c r="E203" s="684">
        <f>IF(終値!A203="","",IFERROR(4*STDEVP(終値!H203:AA203)/AVERAGE(終値!H203:AA203),""))</f>
      </c>
      <c r="F203" s="684">
        <f>IF(終値!A203="","",IFERROR(4*STDEVP(終値!I203:AB203)/AVERAGE(終値!I203:AB203),""))</f>
      </c>
      <c r="G203" s="684">
        <f>IF(終値!A203="","",IFERROR(4*STDEVP(終値!J203:AC203)/AVERAGE(終値!J203:AC203),""))</f>
      </c>
      <c r="H203" s="684">
        <f>IF(終値!A203="","",IFERROR(4*STDEVP(終値!K203:AD203)/AVERAGE(終値!K203:AD203),""))</f>
      </c>
      <c r="I203" s="684">
        <f>IF(終値!A203="","",IFERROR(4*STDEVP(終値!L203:AE203)/AVERAGE(終値!L203:AE203),""))</f>
      </c>
      <c r="J203" s="684">
        <f>IF(終値!A203="","",IFERROR(4*STDEVP(終値!M203:AF203)/AVERAGE(終値!M203:AF203),""))</f>
      </c>
      <c r="K203" s="684">
        <f>IF(終値!A203="","",IFERROR(4*STDEVP(終値!N203:AG203)/AVERAGE(終値!N203:AG203),""))</f>
      </c>
      <c r="L203" s="684">
        <f>IF(終値!A203="","",IFERROR(4*STDEVP(終値!O203:AH203)/AVERAGE(終値!O203:AH203),""))</f>
      </c>
      <c r="M203" s="684">
        <f>IF(終値!A203="","",IFERROR(4*STDEVP(終値!P203:AI203)/AVERAGE(終値!P203:AI203),""))</f>
      </c>
      <c r="N203" s="684">
        <f>IF(終値!A203="","",IFERROR(4*STDEVP(終値!Q203:AJ203)/AVERAGE(終値!Q203:AJ203),""))</f>
      </c>
      <c r="O203" s="684">
        <f>IF(終値!A203="","",IFERROR(4*STDEVP(終値!R203:AK203)/AVERAGE(終値!R203:AK203),""))</f>
      </c>
      <c r="P203" s="684">
        <f>IF(終値!A203="","",IFERROR(4*STDEVP(終値!S203:AL203)/AVERAGE(終値!S203:AL203),""))</f>
      </c>
      <c r="Q203" s="684">
        <f>IF(終値!A203="","",IFERROR(4*STDEVP(終値!T203:AM203)/AVERAGE(終値!T203:AM203),""))</f>
      </c>
      <c r="R203" s="684">
        <f>IF(終値!A203="","",IFERROR(4*STDEVP(終値!U203:AN203)/AVERAGE(終値!U203:AN203),""))</f>
      </c>
      <c r="S203" s="684">
        <f>IF(終値!A203="","",IFERROR(4*STDEVP(終値!V203:AO203)/AVERAGE(終値!V203:AO203),""))</f>
      </c>
      <c r="T203" s="684">
        <f>IF(終値!A203="","",IFERROR(4*STDEVP(終値!W203:AP203)/AVERAGE(終値!W203:AP203),""))</f>
      </c>
      <c r="U203" s="684">
        <f>IF(終値!A203="","",IFERROR(4*STDEVP(終値!X203:AQ203)/AVERAGE(終値!X203:AQ203),""))</f>
      </c>
      <c r="V203" s="684">
        <f>IF(終値!A203="","",IFERROR(4*STDEVP(終値!Y203:AR203)/AVERAGE(終値!Y203:AR203),""))</f>
      </c>
      <c r="W203" s="684">
        <f>IF(終値!A203="","",IFERROR(4*STDEVP(終値!Z203:AS203)/AVERAGE(終値!Z203:AS203),""))</f>
      </c>
      <c r="X203" s="684">
        <f>IF(終値!A203="","",IFERROR(4*STDEVP(終値!AA203:AT203)/AVERAGE(終値!AA203:AT203),""))</f>
      </c>
      <c r="Y203" s="684">
        <f>IF(終値!A203="","",IFERROR(4*STDEVP(終値!AB203:AU203)/AVERAGE(終値!AB203:AU203),""))</f>
      </c>
      <c r="Z203" s="684">
        <f>IF(終値!A203="","",IFERROR(4*STDEVP(終値!AC203:AV203)/AVERAGE(終値!AC203:AV203),""))</f>
      </c>
      <c r="AA203" s="684">
        <f>IF(終値!A203="","",IFERROR(4*STDEVP(終値!AD203:AW203)/AVERAGE(終値!AD203:AW203),""))</f>
      </c>
      <c r="AB203" s="684">
        <f>IF(終値!A203="","",IFERROR(4*STDEVP(終値!AE203:AX203)/AVERAGE(終値!AE203:AX203),""))</f>
      </c>
      <c r="AC203" s="684">
        <f>IF(終値!A203="","",IFERROR(4*STDEVP(終値!AF203:AY203)/AVERAGE(終値!AF203:AY203),""))</f>
      </c>
      <c r="AD203" s="684">
        <f>IF(終値!A203="","",IFERROR(4*STDEVP(終値!AG203:AZ203)/AVERAGE(終値!AG203:AZ203),""))</f>
      </c>
      <c r="AE203" s="684">
        <f>IF(終値!A203="","",IFERROR(4*STDEVP(終値!AH203:BA203)/AVERAGE(終値!AH203:BA203),""))</f>
      </c>
      <c r="AF203" s="684">
        <f>IF(終値!A203="","",IFERROR(4*STDEVP(終値!AI203:BB203)/AVERAGE(終値!AI203:BB203),""))</f>
      </c>
      <c r="AG203" s="684">
        <f>IF(終値!A203="","",IFERROR(4*STDEVP(終値!AJ203:BC203)/AVERAGE(終値!AJ203:BC203),""))</f>
      </c>
      <c r="AH203" s="684">
        <f>IF(終値!A203="","",IFERROR(4*STDEVP(終値!AK203:BD203)/AVERAGE(終値!AK203:BD203),""))</f>
      </c>
      <c r="AI203" s="684">
        <f>IF(終値!A203="","",IFERROR(4*STDEVP(終値!AL203:BE203)/AVERAGE(終値!AL203:BE203),""))</f>
      </c>
      <c r="AJ203" s="684">
        <f>IF(終値!A203="","",IFERROR(4*STDEVP(終値!AM203:BF203)/AVERAGE(終値!AM203:BF203),""))</f>
      </c>
      <c r="AK203" s="684">
        <f>IF(終値!A203="","",IFERROR(4*STDEVP(終値!AN203:BG203)/AVERAGE(終値!AN203:BG203),""))</f>
      </c>
      <c r="AL203" s="684">
        <f>IF(終値!A203="","",IFERROR(4*STDEVP(終値!AO203:BH203)/AVERAGE(終値!AO203:BH203),""))</f>
      </c>
      <c r="AM203" s="684">
        <f>IF(終値!A203="","",IFERROR(4*STDEVP(終値!AP203:BI203)/AVERAGE(終値!AP203:BI203),""))</f>
      </c>
      <c r="AN203" s="684">
        <f>IF(終値!A203="","",IFERROR(4*STDEVP(終値!AQ203:BJ203)/AVERAGE(終値!AQ203:BJ203),""))</f>
      </c>
      <c r="AO203" s="684">
        <f>IF(終値!A203="","",IFERROR(4*STDEVP(終値!AR203:BK203)/AVERAGE(終値!AR203:BK203),""))</f>
      </c>
      <c r="AP203" s="684">
        <f>IF(終値!A203="","",IFERROR(4*STDEVP(終値!AS203:BL203)/AVERAGE(終値!AS203:BL203),""))</f>
      </c>
    </row>
    <row r="204">
      <c r="A204" s="681">
        <f>IF(終値!A204="","",終値!A204)</f>
      </c>
      <c r="B204" s="684">
        <f>IF(終値!A204="","",IFERROR(4*STDEVP(終値!E204:X204)/AVERAGE(終値!E204:X204),""))</f>
      </c>
      <c r="C204" s="684">
        <f>IF(終値!A204="","",IFERROR(4*STDEVP(終値!F204:Y204)/AVERAGE(終値!F204:Y204),""))</f>
      </c>
      <c r="D204" s="684">
        <f>IF(終値!A204="","",IFERROR(4*STDEVP(終値!G204:Z204)/AVERAGE(終値!G204:Z204),""))</f>
      </c>
      <c r="E204" s="684">
        <f>IF(終値!A204="","",IFERROR(4*STDEVP(終値!H204:AA204)/AVERAGE(終値!H204:AA204),""))</f>
      </c>
      <c r="F204" s="684">
        <f>IF(終値!A204="","",IFERROR(4*STDEVP(終値!I204:AB204)/AVERAGE(終値!I204:AB204),""))</f>
      </c>
      <c r="G204" s="684">
        <f>IF(終値!A204="","",IFERROR(4*STDEVP(終値!J204:AC204)/AVERAGE(終値!J204:AC204),""))</f>
      </c>
      <c r="H204" s="684">
        <f>IF(終値!A204="","",IFERROR(4*STDEVP(終値!K204:AD204)/AVERAGE(終値!K204:AD204),""))</f>
      </c>
      <c r="I204" s="684">
        <f>IF(終値!A204="","",IFERROR(4*STDEVP(終値!L204:AE204)/AVERAGE(終値!L204:AE204),""))</f>
      </c>
      <c r="J204" s="684">
        <f>IF(終値!A204="","",IFERROR(4*STDEVP(終値!M204:AF204)/AVERAGE(終値!M204:AF204),""))</f>
      </c>
      <c r="K204" s="684">
        <f>IF(終値!A204="","",IFERROR(4*STDEVP(終値!N204:AG204)/AVERAGE(終値!N204:AG204),""))</f>
      </c>
      <c r="L204" s="684">
        <f>IF(終値!A204="","",IFERROR(4*STDEVP(終値!O204:AH204)/AVERAGE(終値!O204:AH204),""))</f>
      </c>
      <c r="M204" s="684">
        <f>IF(終値!A204="","",IFERROR(4*STDEVP(終値!P204:AI204)/AVERAGE(終値!P204:AI204),""))</f>
      </c>
      <c r="N204" s="684">
        <f>IF(終値!A204="","",IFERROR(4*STDEVP(終値!Q204:AJ204)/AVERAGE(終値!Q204:AJ204),""))</f>
      </c>
      <c r="O204" s="684">
        <f>IF(終値!A204="","",IFERROR(4*STDEVP(終値!R204:AK204)/AVERAGE(終値!R204:AK204),""))</f>
      </c>
      <c r="P204" s="684">
        <f>IF(終値!A204="","",IFERROR(4*STDEVP(終値!S204:AL204)/AVERAGE(終値!S204:AL204),""))</f>
      </c>
      <c r="Q204" s="684">
        <f>IF(終値!A204="","",IFERROR(4*STDEVP(終値!T204:AM204)/AVERAGE(終値!T204:AM204),""))</f>
      </c>
      <c r="R204" s="684">
        <f>IF(終値!A204="","",IFERROR(4*STDEVP(終値!U204:AN204)/AVERAGE(終値!U204:AN204),""))</f>
      </c>
      <c r="S204" s="684">
        <f>IF(終値!A204="","",IFERROR(4*STDEVP(終値!V204:AO204)/AVERAGE(終値!V204:AO204),""))</f>
      </c>
      <c r="T204" s="684">
        <f>IF(終値!A204="","",IFERROR(4*STDEVP(終値!W204:AP204)/AVERAGE(終値!W204:AP204),""))</f>
      </c>
      <c r="U204" s="684">
        <f>IF(終値!A204="","",IFERROR(4*STDEVP(終値!X204:AQ204)/AVERAGE(終値!X204:AQ204),""))</f>
      </c>
      <c r="V204" s="684">
        <f>IF(終値!A204="","",IFERROR(4*STDEVP(終値!Y204:AR204)/AVERAGE(終値!Y204:AR204),""))</f>
      </c>
      <c r="W204" s="684">
        <f>IF(終値!A204="","",IFERROR(4*STDEVP(終値!Z204:AS204)/AVERAGE(終値!Z204:AS204),""))</f>
      </c>
      <c r="X204" s="684">
        <f>IF(終値!A204="","",IFERROR(4*STDEVP(終値!AA204:AT204)/AVERAGE(終値!AA204:AT204),""))</f>
      </c>
      <c r="Y204" s="684">
        <f>IF(終値!A204="","",IFERROR(4*STDEVP(終値!AB204:AU204)/AVERAGE(終値!AB204:AU204),""))</f>
      </c>
      <c r="Z204" s="684">
        <f>IF(終値!A204="","",IFERROR(4*STDEVP(終値!AC204:AV204)/AVERAGE(終値!AC204:AV204),""))</f>
      </c>
      <c r="AA204" s="684">
        <f>IF(終値!A204="","",IFERROR(4*STDEVP(終値!AD204:AW204)/AVERAGE(終値!AD204:AW204),""))</f>
      </c>
      <c r="AB204" s="684">
        <f>IF(終値!A204="","",IFERROR(4*STDEVP(終値!AE204:AX204)/AVERAGE(終値!AE204:AX204),""))</f>
      </c>
      <c r="AC204" s="684">
        <f>IF(終値!A204="","",IFERROR(4*STDEVP(終値!AF204:AY204)/AVERAGE(終値!AF204:AY204),""))</f>
      </c>
      <c r="AD204" s="684">
        <f>IF(終値!A204="","",IFERROR(4*STDEVP(終値!AG204:AZ204)/AVERAGE(終値!AG204:AZ204),""))</f>
      </c>
      <c r="AE204" s="684">
        <f>IF(終値!A204="","",IFERROR(4*STDEVP(終値!AH204:BA204)/AVERAGE(終値!AH204:BA204),""))</f>
      </c>
      <c r="AF204" s="684">
        <f>IF(終値!A204="","",IFERROR(4*STDEVP(終値!AI204:BB204)/AVERAGE(終値!AI204:BB204),""))</f>
      </c>
      <c r="AG204" s="684">
        <f>IF(終値!A204="","",IFERROR(4*STDEVP(終値!AJ204:BC204)/AVERAGE(終値!AJ204:BC204),""))</f>
      </c>
      <c r="AH204" s="684">
        <f>IF(終値!A204="","",IFERROR(4*STDEVP(終値!AK204:BD204)/AVERAGE(終値!AK204:BD204),""))</f>
      </c>
      <c r="AI204" s="684">
        <f>IF(終値!A204="","",IFERROR(4*STDEVP(終値!AL204:BE204)/AVERAGE(終値!AL204:BE204),""))</f>
      </c>
      <c r="AJ204" s="684">
        <f>IF(終値!A204="","",IFERROR(4*STDEVP(終値!AM204:BF204)/AVERAGE(終値!AM204:BF204),""))</f>
      </c>
      <c r="AK204" s="684">
        <f>IF(終値!A204="","",IFERROR(4*STDEVP(終値!AN204:BG204)/AVERAGE(終値!AN204:BG204),""))</f>
      </c>
      <c r="AL204" s="684">
        <f>IF(終値!A204="","",IFERROR(4*STDEVP(終値!AO204:BH204)/AVERAGE(終値!AO204:BH204),""))</f>
      </c>
      <c r="AM204" s="684">
        <f>IF(終値!A204="","",IFERROR(4*STDEVP(終値!AP204:BI204)/AVERAGE(終値!AP204:BI204),""))</f>
      </c>
      <c r="AN204" s="684">
        <f>IF(終値!A204="","",IFERROR(4*STDEVP(終値!AQ204:BJ204)/AVERAGE(終値!AQ204:BJ204),""))</f>
      </c>
      <c r="AO204" s="684">
        <f>IF(終値!A204="","",IFERROR(4*STDEVP(終値!AR204:BK204)/AVERAGE(終値!AR204:BK204),""))</f>
      </c>
      <c r="AP204" s="684">
        <f>IF(終値!A204="","",IFERROR(4*STDEVP(終値!AS204:BL204)/AVERAGE(終値!AS204:BL204),""))</f>
      </c>
    </row>
    <row r="205">
      <c r="A205" s="681">
        <f>IF(終値!A205="","",終値!A205)</f>
      </c>
      <c r="B205" s="684">
        <f>IF(終値!A205="","",IFERROR(4*STDEVP(終値!E205:X205)/AVERAGE(終値!E205:X205),""))</f>
      </c>
      <c r="C205" s="684">
        <f>IF(終値!A205="","",IFERROR(4*STDEVP(終値!F205:Y205)/AVERAGE(終値!F205:Y205),""))</f>
      </c>
      <c r="D205" s="684">
        <f>IF(終値!A205="","",IFERROR(4*STDEVP(終値!G205:Z205)/AVERAGE(終値!G205:Z205),""))</f>
      </c>
      <c r="E205" s="684">
        <f>IF(終値!A205="","",IFERROR(4*STDEVP(終値!H205:AA205)/AVERAGE(終値!H205:AA205),""))</f>
      </c>
      <c r="F205" s="684">
        <f>IF(終値!A205="","",IFERROR(4*STDEVP(終値!I205:AB205)/AVERAGE(終値!I205:AB205),""))</f>
      </c>
      <c r="G205" s="684">
        <f>IF(終値!A205="","",IFERROR(4*STDEVP(終値!J205:AC205)/AVERAGE(終値!J205:AC205),""))</f>
      </c>
      <c r="H205" s="684">
        <f>IF(終値!A205="","",IFERROR(4*STDEVP(終値!K205:AD205)/AVERAGE(終値!K205:AD205),""))</f>
      </c>
      <c r="I205" s="684">
        <f>IF(終値!A205="","",IFERROR(4*STDEVP(終値!L205:AE205)/AVERAGE(終値!L205:AE205),""))</f>
      </c>
      <c r="J205" s="684">
        <f>IF(終値!A205="","",IFERROR(4*STDEVP(終値!M205:AF205)/AVERAGE(終値!M205:AF205),""))</f>
      </c>
      <c r="K205" s="684">
        <f>IF(終値!A205="","",IFERROR(4*STDEVP(終値!N205:AG205)/AVERAGE(終値!N205:AG205),""))</f>
      </c>
      <c r="L205" s="684">
        <f>IF(終値!A205="","",IFERROR(4*STDEVP(終値!O205:AH205)/AVERAGE(終値!O205:AH205),""))</f>
      </c>
      <c r="M205" s="684">
        <f>IF(終値!A205="","",IFERROR(4*STDEVP(終値!P205:AI205)/AVERAGE(終値!P205:AI205),""))</f>
      </c>
      <c r="N205" s="684">
        <f>IF(終値!A205="","",IFERROR(4*STDEVP(終値!Q205:AJ205)/AVERAGE(終値!Q205:AJ205),""))</f>
      </c>
      <c r="O205" s="684">
        <f>IF(終値!A205="","",IFERROR(4*STDEVP(終値!R205:AK205)/AVERAGE(終値!R205:AK205),""))</f>
      </c>
      <c r="P205" s="684">
        <f>IF(終値!A205="","",IFERROR(4*STDEVP(終値!S205:AL205)/AVERAGE(終値!S205:AL205),""))</f>
      </c>
      <c r="Q205" s="684">
        <f>IF(終値!A205="","",IFERROR(4*STDEVP(終値!T205:AM205)/AVERAGE(終値!T205:AM205),""))</f>
      </c>
      <c r="R205" s="684">
        <f>IF(終値!A205="","",IFERROR(4*STDEVP(終値!U205:AN205)/AVERAGE(終値!U205:AN205),""))</f>
      </c>
      <c r="S205" s="684">
        <f>IF(終値!A205="","",IFERROR(4*STDEVP(終値!V205:AO205)/AVERAGE(終値!V205:AO205),""))</f>
      </c>
      <c r="T205" s="684">
        <f>IF(終値!A205="","",IFERROR(4*STDEVP(終値!W205:AP205)/AVERAGE(終値!W205:AP205),""))</f>
      </c>
      <c r="U205" s="684">
        <f>IF(終値!A205="","",IFERROR(4*STDEVP(終値!X205:AQ205)/AVERAGE(終値!X205:AQ205),""))</f>
      </c>
      <c r="V205" s="684">
        <f>IF(終値!A205="","",IFERROR(4*STDEVP(終値!Y205:AR205)/AVERAGE(終値!Y205:AR205),""))</f>
      </c>
      <c r="W205" s="684">
        <f>IF(終値!A205="","",IFERROR(4*STDEVP(終値!Z205:AS205)/AVERAGE(終値!Z205:AS205),""))</f>
      </c>
      <c r="X205" s="684">
        <f>IF(終値!A205="","",IFERROR(4*STDEVP(終値!AA205:AT205)/AVERAGE(終値!AA205:AT205),""))</f>
      </c>
      <c r="Y205" s="684">
        <f>IF(終値!A205="","",IFERROR(4*STDEVP(終値!AB205:AU205)/AVERAGE(終値!AB205:AU205),""))</f>
      </c>
      <c r="Z205" s="684">
        <f>IF(終値!A205="","",IFERROR(4*STDEVP(終値!AC205:AV205)/AVERAGE(終値!AC205:AV205),""))</f>
      </c>
      <c r="AA205" s="684">
        <f>IF(終値!A205="","",IFERROR(4*STDEVP(終値!AD205:AW205)/AVERAGE(終値!AD205:AW205),""))</f>
      </c>
      <c r="AB205" s="684">
        <f>IF(終値!A205="","",IFERROR(4*STDEVP(終値!AE205:AX205)/AVERAGE(終値!AE205:AX205),""))</f>
      </c>
      <c r="AC205" s="684">
        <f>IF(終値!A205="","",IFERROR(4*STDEVP(終値!AF205:AY205)/AVERAGE(終値!AF205:AY205),""))</f>
      </c>
      <c r="AD205" s="684">
        <f>IF(終値!A205="","",IFERROR(4*STDEVP(終値!AG205:AZ205)/AVERAGE(終値!AG205:AZ205),""))</f>
      </c>
      <c r="AE205" s="684">
        <f>IF(終値!A205="","",IFERROR(4*STDEVP(終値!AH205:BA205)/AVERAGE(終値!AH205:BA205),""))</f>
      </c>
      <c r="AF205" s="684">
        <f>IF(終値!A205="","",IFERROR(4*STDEVP(終値!AI205:BB205)/AVERAGE(終値!AI205:BB205),""))</f>
      </c>
      <c r="AG205" s="684">
        <f>IF(終値!A205="","",IFERROR(4*STDEVP(終値!AJ205:BC205)/AVERAGE(終値!AJ205:BC205),""))</f>
      </c>
      <c r="AH205" s="684">
        <f>IF(終値!A205="","",IFERROR(4*STDEVP(終値!AK205:BD205)/AVERAGE(終値!AK205:BD205),""))</f>
      </c>
      <c r="AI205" s="684">
        <f>IF(終値!A205="","",IFERROR(4*STDEVP(終値!AL205:BE205)/AVERAGE(終値!AL205:BE205),""))</f>
      </c>
      <c r="AJ205" s="684">
        <f>IF(終値!A205="","",IFERROR(4*STDEVP(終値!AM205:BF205)/AVERAGE(終値!AM205:BF205),""))</f>
      </c>
      <c r="AK205" s="684">
        <f>IF(終値!A205="","",IFERROR(4*STDEVP(終値!AN205:BG205)/AVERAGE(終値!AN205:BG205),""))</f>
      </c>
      <c r="AL205" s="684">
        <f>IF(終値!A205="","",IFERROR(4*STDEVP(終値!AO205:BH205)/AVERAGE(終値!AO205:BH205),""))</f>
      </c>
      <c r="AM205" s="684">
        <f>IF(終値!A205="","",IFERROR(4*STDEVP(終値!AP205:BI205)/AVERAGE(終値!AP205:BI205),""))</f>
      </c>
      <c r="AN205" s="684">
        <f>IF(終値!A205="","",IFERROR(4*STDEVP(終値!AQ205:BJ205)/AVERAGE(終値!AQ205:BJ205),""))</f>
      </c>
      <c r="AO205" s="684">
        <f>IF(終値!A205="","",IFERROR(4*STDEVP(終値!AR205:BK205)/AVERAGE(終値!AR205:BK205),""))</f>
      </c>
      <c r="AP205" s="684">
        <f>IF(終値!A205="","",IFERROR(4*STDEVP(終値!AS205:BL205)/AVERAGE(終値!AS205:BL205),""))</f>
      </c>
    </row>
    <row r="206">
      <c r="A206" s="681">
        <f>IF(終値!A206="","",終値!A206)</f>
      </c>
      <c r="B206" s="684">
        <f>IF(終値!A206="","",IFERROR(4*STDEVP(終値!E206:X206)/AVERAGE(終値!E206:X206),""))</f>
      </c>
      <c r="C206" s="684">
        <f>IF(終値!A206="","",IFERROR(4*STDEVP(終値!F206:Y206)/AVERAGE(終値!F206:Y206),""))</f>
      </c>
      <c r="D206" s="684">
        <f>IF(終値!A206="","",IFERROR(4*STDEVP(終値!G206:Z206)/AVERAGE(終値!G206:Z206),""))</f>
      </c>
      <c r="E206" s="684">
        <f>IF(終値!A206="","",IFERROR(4*STDEVP(終値!H206:AA206)/AVERAGE(終値!H206:AA206),""))</f>
      </c>
      <c r="F206" s="684">
        <f>IF(終値!A206="","",IFERROR(4*STDEVP(終値!I206:AB206)/AVERAGE(終値!I206:AB206),""))</f>
      </c>
      <c r="G206" s="684">
        <f>IF(終値!A206="","",IFERROR(4*STDEVP(終値!J206:AC206)/AVERAGE(終値!J206:AC206),""))</f>
      </c>
      <c r="H206" s="684">
        <f>IF(終値!A206="","",IFERROR(4*STDEVP(終値!K206:AD206)/AVERAGE(終値!K206:AD206),""))</f>
      </c>
      <c r="I206" s="684">
        <f>IF(終値!A206="","",IFERROR(4*STDEVP(終値!L206:AE206)/AVERAGE(終値!L206:AE206),""))</f>
      </c>
      <c r="J206" s="684">
        <f>IF(終値!A206="","",IFERROR(4*STDEVP(終値!M206:AF206)/AVERAGE(終値!M206:AF206),""))</f>
      </c>
      <c r="K206" s="684">
        <f>IF(終値!A206="","",IFERROR(4*STDEVP(終値!N206:AG206)/AVERAGE(終値!N206:AG206),""))</f>
      </c>
      <c r="L206" s="684">
        <f>IF(終値!A206="","",IFERROR(4*STDEVP(終値!O206:AH206)/AVERAGE(終値!O206:AH206),""))</f>
      </c>
      <c r="M206" s="684">
        <f>IF(終値!A206="","",IFERROR(4*STDEVP(終値!P206:AI206)/AVERAGE(終値!P206:AI206),""))</f>
      </c>
      <c r="N206" s="684">
        <f>IF(終値!A206="","",IFERROR(4*STDEVP(終値!Q206:AJ206)/AVERAGE(終値!Q206:AJ206),""))</f>
      </c>
      <c r="O206" s="684">
        <f>IF(終値!A206="","",IFERROR(4*STDEVP(終値!R206:AK206)/AVERAGE(終値!R206:AK206),""))</f>
      </c>
      <c r="P206" s="684">
        <f>IF(終値!A206="","",IFERROR(4*STDEVP(終値!S206:AL206)/AVERAGE(終値!S206:AL206),""))</f>
      </c>
      <c r="Q206" s="684">
        <f>IF(終値!A206="","",IFERROR(4*STDEVP(終値!T206:AM206)/AVERAGE(終値!T206:AM206),""))</f>
      </c>
      <c r="R206" s="684">
        <f>IF(終値!A206="","",IFERROR(4*STDEVP(終値!U206:AN206)/AVERAGE(終値!U206:AN206),""))</f>
      </c>
      <c r="S206" s="684">
        <f>IF(終値!A206="","",IFERROR(4*STDEVP(終値!V206:AO206)/AVERAGE(終値!V206:AO206),""))</f>
      </c>
      <c r="T206" s="684">
        <f>IF(終値!A206="","",IFERROR(4*STDEVP(終値!W206:AP206)/AVERAGE(終値!W206:AP206),""))</f>
      </c>
      <c r="U206" s="684">
        <f>IF(終値!A206="","",IFERROR(4*STDEVP(終値!X206:AQ206)/AVERAGE(終値!X206:AQ206),""))</f>
      </c>
      <c r="V206" s="684">
        <f>IF(終値!A206="","",IFERROR(4*STDEVP(終値!Y206:AR206)/AVERAGE(終値!Y206:AR206),""))</f>
      </c>
      <c r="W206" s="684">
        <f>IF(終値!A206="","",IFERROR(4*STDEVP(終値!Z206:AS206)/AVERAGE(終値!Z206:AS206),""))</f>
      </c>
      <c r="X206" s="684">
        <f>IF(終値!A206="","",IFERROR(4*STDEVP(終値!AA206:AT206)/AVERAGE(終値!AA206:AT206),""))</f>
      </c>
      <c r="Y206" s="684">
        <f>IF(終値!A206="","",IFERROR(4*STDEVP(終値!AB206:AU206)/AVERAGE(終値!AB206:AU206),""))</f>
      </c>
      <c r="Z206" s="684">
        <f>IF(終値!A206="","",IFERROR(4*STDEVP(終値!AC206:AV206)/AVERAGE(終値!AC206:AV206),""))</f>
      </c>
      <c r="AA206" s="684">
        <f>IF(終値!A206="","",IFERROR(4*STDEVP(終値!AD206:AW206)/AVERAGE(終値!AD206:AW206),""))</f>
      </c>
      <c r="AB206" s="684">
        <f>IF(終値!A206="","",IFERROR(4*STDEVP(終値!AE206:AX206)/AVERAGE(終値!AE206:AX206),""))</f>
      </c>
      <c r="AC206" s="684">
        <f>IF(終値!A206="","",IFERROR(4*STDEVP(終値!AF206:AY206)/AVERAGE(終値!AF206:AY206),""))</f>
      </c>
      <c r="AD206" s="684">
        <f>IF(終値!A206="","",IFERROR(4*STDEVP(終値!AG206:AZ206)/AVERAGE(終値!AG206:AZ206),""))</f>
      </c>
      <c r="AE206" s="684">
        <f>IF(終値!A206="","",IFERROR(4*STDEVP(終値!AH206:BA206)/AVERAGE(終値!AH206:BA206),""))</f>
      </c>
      <c r="AF206" s="684">
        <f>IF(終値!A206="","",IFERROR(4*STDEVP(終値!AI206:BB206)/AVERAGE(終値!AI206:BB206),""))</f>
      </c>
      <c r="AG206" s="684">
        <f>IF(終値!A206="","",IFERROR(4*STDEVP(終値!AJ206:BC206)/AVERAGE(終値!AJ206:BC206),""))</f>
      </c>
      <c r="AH206" s="684">
        <f>IF(終値!A206="","",IFERROR(4*STDEVP(終値!AK206:BD206)/AVERAGE(終値!AK206:BD206),""))</f>
      </c>
      <c r="AI206" s="684">
        <f>IF(終値!A206="","",IFERROR(4*STDEVP(終値!AL206:BE206)/AVERAGE(終値!AL206:BE206),""))</f>
      </c>
      <c r="AJ206" s="684">
        <f>IF(終値!A206="","",IFERROR(4*STDEVP(終値!AM206:BF206)/AVERAGE(終値!AM206:BF206),""))</f>
      </c>
      <c r="AK206" s="684">
        <f>IF(終値!A206="","",IFERROR(4*STDEVP(終値!AN206:BG206)/AVERAGE(終値!AN206:BG206),""))</f>
      </c>
      <c r="AL206" s="684">
        <f>IF(終値!A206="","",IFERROR(4*STDEVP(終値!AO206:BH206)/AVERAGE(終値!AO206:BH206),""))</f>
      </c>
      <c r="AM206" s="684">
        <f>IF(終値!A206="","",IFERROR(4*STDEVP(終値!AP206:BI206)/AVERAGE(終値!AP206:BI206),""))</f>
      </c>
      <c r="AN206" s="684">
        <f>IF(終値!A206="","",IFERROR(4*STDEVP(終値!AQ206:BJ206)/AVERAGE(終値!AQ206:BJ206),""))</f>
      </c>
      <c r="AO206" s="684">
        <f>IF(終値!A206="","",IFERROR(4*STDEVP(終値!AR206:BK206)/AVERAGE(終値!AR206:BK206),""))</f>
      </c>
      <c r="AP206" s="684">
        <f>IF(終値!A206="","",IFERROR(4*STDEVP(終値!AS206:BL206)/AVERAGE(終値!AS206:BL206),""))</f>
      </c>
    </row>
    <row r="207">
      <c r="A207" s="681">
        <f>IF(終値!A207="","",終値!A207)</f>
      </c>
      <c r="B207" s="684">
        <f>IF(終値!A207="","",IFERROR(4*STDEVP(終値!E207:X207)/AVERAGE(終値!E207:X207),""))</f>
      </c>
      <c r="C207" s="684">
        <f>IF(終値!A207="","",IFERROR(4*STDEVP(終値!F207:Y207)/AVERAGE(終値!F207:Y207),""))</f>
      </c>
      <c r="D207" s="684">
        <f>IF(終値!A207="","",IFERROR(4*STDEVP(終値!G207:Z207)/AVERAGE(終値!G207:Z207),""))</f>
      </c>
      <c r="E207" s="684">
        <f>IF(終値!A207="","",IFERROR(4*STDEVP(終値!H207:AA207)/AVERAGE(終値!H207:AA207),""))</f>
      </c>
      <c r="F207" s="684">
        <f>IF(終値!A207="","",IFERROR(4*STDEVP(終値!I207:AB207)/AVERAGE(終値!I207:AB207),""))</f>
      </c>
      <c r="G207" s="684">
        <f>IF(終値!A207="","",IFERROR(4*STDEVP(終値!J207:AC207)/AVERAGE(終値!J207:AC207),""))</f>
      </c>
      <c r="H207" s="684">
        <f>IF(終値!A207="","",IFERROR(4*STDEVP(終値!K207:AD207)/AVERAGE(終値!K207:AD207),""))</f>
      </c>
      <c r="I207" s="684">
        <f>IF(終値!A207="","",IFERROR(4*STDEVP(終値!L207:AE207)/AVERAGE(終値!L207:AE207),""))</f>
      </c>
      <c r="J207" s="684">
        <f>IF(終値!A207="","",IFERROR(4*STDEVP(終値!M207:AF207)/AVERAGE(終値!M207:AF207),""))</f>
      </c>
      <c r="K207" s="684">
        <f>IF(終値!A207="","",IFERROR(4*STDEVP(終値!N207:AG207)/AVERAGE(終値!N207:AG207),""))</f>
      </c>
      <c r="L207" s="684">
        <f>IF(終値!A207="","",IFERROR(4*STDEVP(終値!O207:AH207)/AVERAGE(終値!O207:AH207),""))</f>
      </c>
      <c r="M207" s="684">
        <f>IF(終値!A207="","",IFERROR(4*STDEVP(終値!P207:AI207)/AVERAGE(終値!P207:AI207),""))</f>
      </c>
      <c r="N207" s="684">
        <f>IF(終値!A207="","",IFERROR(4*STDEVP(終値!Q207:AJ207)/AVERAGE(終値!Q207:AJ207),""))</f>
      </c>
      <c r="O207" s="684">
        <f>IF(終値!A207="","",IFERROR(4*STDEVP(終値!R207:AK207)/AVERAGE(終値!R207:AK207),""))</f>
      </c>
      <c r="P207" s="684">
        <f>IF(終値!A207="","",IFERROR(4*STDEVP(終値!S207:AL207)/AVERAGE(終値!S207:AL207),""))</f>
      </c>
      <c r="Q207" s="684">
        <f>IF(終値!A207="","",IFERROR(4*STDEVP(終値!T207:AM207)/AVERAGE(終値!T207:AM207),""))</f>
      </c>
      <c r="R207" s="684">
        <f>IF(終値!A207="","",IFERROR(4*STDEVP(終値!U207:AN207)/AVERAGE(終値!U207:AN207),""))</f>
      </c>
      <c r="S207" s="684">
        <f>IF(終値!A207="","",IFERROR(4*STDEVP(終値!V207:AO207)/AVERAGE(終値!V207:AO207),""))</f>
      </c>
      <c r="T207" s="684">
        <f>IF(終値!A207="","",IFERROR(4*STDEVP(終値!W207:AP207)/AVERAGE(終値!W207:AP207),""))</f>
      </c>
      <c r="U207" s="684">
        <f>IF(終値!A207="","",IFERROR(4*STDEVP(終値!X207:AQ207)/AVERAGE(終値!X207:AQ207),""))</f>
      </c>
      <c r="V207" s="684">
        <f>IF(終値!A207="","",IFERROR(4*STDEVP(終値!Y207:AR207)/AVERAGE(終値!Y207:AR207),""))</f>
      </c>
      <c r="W207" s="684">
        <f>IF(終値!A207="","",IFERROR(4*STDEVP(終値!Z207:AS207)/AVERAGE(終値!Z207:AS207),""))</f>
      </c>
      <c r="X207" s="684">
        <f>IF(終値!A207="","",IFERROR(4*STDEVP(終値!AA207:AT207)/AVERAGE(終値!AA207:AT207),""))</f>
      </c>
      <c r="Y207" s="684">
        <f>IF(終値!A207="","",IFERROR(4*STDEVP(終値!AB207:AU207)/AVERAGE(終値!AB207:AU207),""))</f>
      </c>
      <c r="Z207" s="684">
        <f>IF(終値!A207="","",IFERROR(4*STDEVP(終値!AC207:AV207)/AVERAGE(終値!AC207:AV207),""))</f>
      </c>
      <c r="AA207" s="684">
        <f>IF(終値!A207="","",IFERROR(4*STDEVP(終値!AD207:AW207)/AVERAGE(終値!AD207:AW207),""))</f>
      </c>
      <c r="AB207" s="684">
        <f>IF(終値!A207="","",IFERROR(4*STDEVP(終値!AE207:AX207)/AVERAGE(終値!AE207:AX207),""))</f>
      </c>
      <c r="AC207" s="684">
        <f>IF(終値!A207="","",IFERROR(4*STDEVP(終値!AF207:AY207)/AVERAGE(終値!AF207:AY207),""))</f>
      </c>
      <c r="AD207" s="684">
        <f>IF(終値!A207="","",IFERROR(4*STDEVP(終値!AG207:AZ207)/AVERAGE(終値!AG207:AZ207),""))</f>
      </c>
      <c r="AE207" s="684">
        <f>IF(終値!A207="","",IFERROR(4*STDEVP(終値!AH207:BA207)/AVERAGE(終値!AH207:BA207),""))</f>
      </c>
      <c r="AF207" s="684">
        <f>IF(終値!A207="","",IFERROR(4*STDEVP(終値!AI207:BB207)/AVERAGE(終値!AI207:BB207),""))</f>
      </c>
      <c r="AG207" s="684">
        <f>IF(終値!A207="","",IFERROR(4*STDEVP(終値!AJ207:BC207)/AVERAGE(終値!AJ207:BC207),""))</f>
      </c>
      <c r="AH207" s="684">
        <f>IF(終値!A207="","",IFERROR(4*STDEVP(終値!AK207:BD207)/AVERAGE(終値!AK207:BD207),""))</f>
      </c>
      <c r="AI207" s="684">
        <f>IF(終値!A207="","",IFERROR(4*STDEVP(終値!AL207:BE207)/AVERAGE(終値!AL207:BE207),""))</f>
      </c>
      <c r="AJ207" s="684">
        <f>IF(終値!A207="","",IFERROR(4*STDEVP(終値!AM207:BF207)/AVERAGE(終値!AM207:BF207),""))</f>
      </c>
      <c r="AK207" s="684">
        <f>IF(終値!A207="","",IFERROR(4*STDEVP(終値!AN207:BG207)/AVERAGE(終値!AN207:BG207),""))</f>
      </c>
      <c r="AL207" s="684">
        <f>IF(終値!A207="","",IFERROR(4*STDEVP(終値!AO207:BH207)/AVERAGE(終値!AO207:BH207),""))</f>
      </c>
      <c r="AM207" s="684">
        <f>IF(終値!A207="","",IFERROR(4*STDEVP(終値!AP207:BI207)/AVERAGE(終値!AP207:BI207),""))</f>
      </c>
      <c r="AN207" s="684">
        <f>IF(終値!A207="","",IFERROR(4*STDEVP(終値!AQ207:BJ207)/AVERAGE(終値!AQ207:BJ207),""))</f>
      </c>
      <c r="AO207" s="684">
        <f>IF(終値!A207="","",IFERROR(4*STDEVP(終値!AR207:BK207)/AVERAGE(終値!AR207:BK207),""))</f>
      </c>
      <c r="AP207" s="684">
        <f>IF(終値!A207="","",IFERROR(4*STDEVP(終値!AS207:BL207)/AVERAGE(終値!AS207:BL207),""))</f>
      </c>
    </row>
    <row r="208">
      <c r="A208" s="681">
        <f>IF(終値!A208="","",終値!A208)</f>
      </c>
      <c r="B208" s="684">
        <f>IF(終値!A208="","",IFERROR(4*STDEVP(終値!E208:X208)/AVERAGE(終値!E208:X208),""))</f>
      </c>
      <c r="C208" s="684">
        <f>IF(終値!A208="","",IFERROR(4*STDEVP(終値!F208:Y208)/AVERAGE(終値!F208:Y208),""))</f>
      </c>
      <c r="D208" s="684">
        <f>IF(終値!A208="","",IFERROR(4*STDEVP(終値!G208:Z208)/AVERAGE(終値!G208:Z208),""))</f>
      </c>
      <c r="E208" s="684">
        <f>IF(終値!A208="","",IFERROR(4*STDEVP(終値!H208:AA208)/AVERAGE(終値!H208:AA208),""))</f>
      </c>
      <c r="F208" s="684">
        <f>IF(終値!A208="","",IFERROR(4*STDEVP(終値!I208:AB208)/AVERAGE(終値!I208:AB208),""))</f>
      </c>
      <c r="G208" s="684">
        <f>IF(終値!A208="","",IFERROR(4*STDEVP(終値!J208:AC208)/AVERAGE(終値!J208:AC208),""))</f>
      </c>
      <c r="H208" s="684">
        <f>IF(終値!A208="","",IFERROR(4*STDEVP(終値!K208:AD208)/AVERAGE(終値!K208:AD208),""))</f>
      </c>
      <c r="I208" s="684">
        <f>IF(終値!A208="","",IFERROR(4*STDEVP(終値!L208:AE208)/AVERAGE(終値!L208:AE208),""))</f>
      </c>
      <c r="J208" s="684">
        <f>IF(終値!A208="","",IFERROR(4*STDEVP(終値!M208:AF208)/AVERAGE(終値!M208:AF208),""))</f>
      </c>
      <c r="K208" s="684">
        <f>IF(終値!A208="","",IFERROR(4*STDEVP(終値!N208:AG208)/AVERAGE(終値!N208:AG208),""))</f>
      </c>
      <c r="L208" s="684">
        <f>IF(終値!A208="","",IFERROR(4*STDEVP(終値!O208:AH208)/AVERAGE(終値!O208:AH208),""))</f>
      </c>
      <c r="M208" s="684">
        <f>IF(終値!A208="","",IFERROR(4*STDEVP(終値!P208:AI208)/AVERAGE(終値!P208:AI208),""))</f>
      </c>
      <c r="N208" s="684">
        <f>IF(終値!A208="","",IFERROR(4*STDEVP(終値!Q208:AJ208)/AVERAGE(終値!Q208:AJ208),""))</f>
      </c>
      <c r="O208" s="684">
        <f>IF(終値!A208="","",IFERROR(4*STDEVP(終値!R208:AK208)/AVERAGE(終値!R208:AK208),""))</f>
      </c>
      <c r="P208" s="684">
        <f>IF(終値!A208="","",IFERROR(4*STDEVP(終値!S208:AL208)/AVERAGE(終値!S208:AL208),""))</f>
      </c>
      <c r="Q208" s="684">
        <f>IF(終値!A208="","",IFERROR(4*STDEVP(終値!T208:AM208)/AVERAGE(終値!T208:AM208),""))</f>
      </c>
      <c r="R208" s="684">
        <f>IF(終値!A208="","",IFERROR(4*STDEVP(終値!U208:AN208)/AVERAGE(終値!U208:AN208),""))</f>
      </c>
      <c r="S208" s="684">
        <f>IF(終値!A208="","",IFERROR(4*STDEVP(終値!V208:AO208)/AVERAGE(終値!V208:AO208),""))</f>
      </c>
      <c r="T208" s="684">
        <f>IF(終値!A208="","",IFERROR(4*STDEVP(終値!W208:AP208)/AVERAGE(終値!W208:AP208),""))</f>
      </c>
      <c r="U208" s="684">
        <f>IF(終値!A208="","",IFERROR(4*STDEVP(終値!X208:AQ208)/AVERAGE(終値!X208:AQ208),""))</f>
      </c>
      <c r="V208" s="684">
        <f>IF(終値!A208="","",IFERROR(4*STDEVP(終値!Y208:AR208)/AVERAGE(終値!Y208:AR208),""))</f>
      </c>
      <c r="W208" s="684">
        <f>IF(終値!A208="","",IFERROR(4*STDEVP(終値!Z208:AS208)/AVERAGE(終値!Z208:AS208),""))</f>
      </c>
      <c r="X208" s="684">
        <f>IF(終値!A208="","",IFERROR(4*STDEVP(終値!AA208:AT208)/AVERAGE(終値!AA208:AT208),""))</f>
      </c>
      <c r="Y208" s="684">
        <f>IF(終値!A208="","",IFERROR(4*STDEVP(終値!AB208:AU208)/AVERAGE(終値!AB208:AU208),""))</f>
      </c>
      <c r="Z208" s="684">
        <f>IF(終値!A208="","",IFERROR(4*STDEVP(終値!AC208:AV208)/AVERAGE(終値!AC208:AV208),""))</f>
      </c>
      <c r="AA208" s="684">
        <f>IF(終値!A208="","",IFERROR(4*STDEVP(終値!AD208:AW208)/AVERAGE(終値!AD208:AW208),""))</f>
      </c>
      <c r="AB208" s="684">
        <f>IF(終値!A208="","",IFERROR(4*STDEVP(終値!AE208:AX208)/AVERAGE(終値!AE208:AX208),""))</f>
      </c>
      <c r="AC208" s="684">
        <f>IF(終値!A208="","",IFERROR(4*STDEVP(終値!AF208:AY208)/AVERAGE(終値!AF208:AY208),""))</f>
      </c>
      <c r="AD208" s="684">
        <f>IF(終値!A208="","",IFERROR(4*STDEVP(終値!AG208:AZ208)/AVERAGE(終値!AG208:AZ208),""))</f>
      </c>
      <c r="AE208" s="684">
        <f>IF(終値!A208="","",IFERROR(4*STDEVP(終値!AH208:BA208)/AVERAGE(終値!AH208:BA208),""))</f>
      </c>
      <c r="AF208" s="684">
        <f>IF(終値!A208="","",IFERROR(4*STDEVP(終値!AI208:BB208)/AVERAGE(終値!AI208:BB208),""))</f>
      </c>
      <c r="AG208" s="684">
        <f>IF(終値!A208="","",IFERROR(4*STDEVP(終値!AJ208:BC208)/AVERAGE(終値!AJ208:BC208),""))</f>
      </c>
      <c r="AH208" s="684">
        <f>IF(終値!A208="","",IFERROR(4*STDEVP(終値!AK208:BD208)/AVERAGE(終値!AK208:BD208),""))</f>
      </c>
      <c r="AI208" s="684">
        <f>IF(終値!A208="","",IFERROR(4*STDEVP(終値!AL208:BE208)/AVERAGE(終値!AL208:BE208),""))</f>
      </c>
      <c r="AJ208" s="684">
        <f>IF(終値!A208="","",IFERROR(4*STDEVP(終値!AM208:BF208)/AVERAGE(終値!AM208:BF208),""))</f>
      </c>
      <c r="AK208" s="684">
        <f>IF(終値!A208="","",IFERROR(4*STDEVP(終値!AN208:BG208)/AVERAGE(終値!AN208:BG208),""))</f>
      </c>
      <c r="AL208" s="684">
        <f>IF(終値!A208="","",IFERROR(4*STDEVP(終値!AO208:BH208)/AVERAGE(終値!AO208:BH208),""))</f>
      </c>
      <c r="AM208" s="684">
        <f>IF(終値!A208="","",IFERROR(4*STDEVP(終値!AP208:BI208)/AVERAGE(終値!AP208:BI208),""))</f>
      </c>
      <c r="AN208" s="684">
        <f>IF(終値!A208="","",IFERROR(4*STDEVP(終値!AQ208:BJ208)/AVERAGE(終値!AQ208:BJ208),""))</f>
      </c>
      <c r="AO208" s="684">
        <f>IF(終値!A208="","",IFERROR(4*STDEVP(終値!AR208:BK208)/AVERAGE(終値!AR208:BK208),""))</f>
      </c>
      <c r="AP208" s="684">
        <f>IF(終値!A208="","",IFERROR(4*STDEVP(終値!AS208:BL208)/AVERAGE(終値!AS208:BL208),""))</f>
      </c>
    </row>
    <row r="209">
      <c r="A209" s="681">
        <f>IF(終値!A209="","",終値!A209)</f>
      </c>
      <c r="B209" s="684">
        <f>IF(終値!A209="","",IFERROR(4*STDEVP(終値!E209:X209)/AVERAGE(終値!E209:X209),""))</f>
      </c>
      <c r="C209" s="684">
        <f>IF(終値!A209="","",IFERROR(4*STDEVP(終値!F209:Y209)/AVERAGE(終値!F209:Y209),""))</f>
      </c>
      <c r="D209" s="684">
        <f>IF(終値!A209="","",IFERROR(4*STDEVP(終値!G209:Z209)/AVERAGE(終値!G209:Z209),""))</f>
      </c>
      <c r="E209" s="684">
        <f>IF(終値!A209="","",IFERROR(4*STDEVP(終値!H209:AA209)/AVERAGE(終値!H209:AA209),""))</f>
      </c>
      <c r="F209" s="684">
        <f>IF(終値!A209="","",IFERROR(4*STDEVP(終値!I209:AB209)/AVERAGE(終値!I209:AB209),""))</f>
      </c>
      <c r="G209" s="684">
        <f>IF(終値!A209="","",IFERROR(4*STDEVP(終値!J209:AC209)/AVERAGE(終値!J209:AC209),""))</f>
      </c>
      <c r="H209" s="684">
        <f>IF(終値!A209="","",IFERROR(4*STDEVP(終値!K209:AD209)/AVERAGE(終値!K209:AD209),""))</f>
      </c>
      <c r="I209" s="684">
        <f>IF(終値!A209="","",IFERROR(4*STDEVP(終値!L209:AE209)/AVERAGE(終値!L209:AE209),""))</f>
      </c>
      <c r="J209" s="684">
        <f>IF(終値!A209="","",IFERROR(4*STDEVP(終値!M209:AF209)/AVERAGE(終値!M209:AF209),""))</f>
      </c>
      <c r="K209" s="684">
        <f>IF(終値!A209="","",IFERROR(4*STDEVP(終値!N209:AG209)/AVERAGE(終値!N209:AG209),""))</f>
      </c>
      <c r="L209" s="684">
        <f>IF(終値!A209="","",IFERROR(4*STDEVP(終値!O209:AH209)/AVERAGE(終値!O209:AH209),""))</f>
      </c>
      <c r="M209" s="684">
        <f>IF(終値!A209="","",IFERROR(4*STDEVP(終値!P209:AI209)/AVERAGE(終値!P209:AI209),""))</f>
      </c>
      <c r="N209" s="684">
        <f>IF(終値!A209="","",IFERROR(4*STDEVP(終値!Q209:AJ209)/AVERAGE(終値!Q209:AJ209),""))</f>
      </c>
      <c r="O209" s="684">
        <f>IF(終値!A209="","",IFERROR(4*STDEVP(終値!R209:AK209)/AVERAGE(終値!R209:AK209),""))</f>
      </c>
      <c r="P209" s="684">
        <f>IF(終値!A209="","",IFERROR(4*STDEVP(終値!S209:AL209)/AVERAGE(終値!S209:AL209),""))</f>
      </c>
      <c r="Q209" s="684">
        <f>IF(終値!A209="","",IFERROR(4*STDEVP(終値!T209:AM209)/AVERAGE(終値!T209:AM209),""))</f>
      </c>
      <c r="R209" s="684">
        <f>IF(終値!A209="","",IFERROR(4*STDEVP(終値!U209:AN209)/AVERAGE(終値!U209:AN209),""))</f>
      </c>
      <c r="S209" s="684">
        <f>IF(終値!A209="","",IFERROR(4*STDEVP(終値!V209:AO209)/AVERAGE(終値!V209:AO209),""))</f>
      </c>
      <c r="T209" s="684">
        <f>IF(終値!A209="","",IFERROR(4*STDEVP(終値!W209:AP209)/AVERAGE(終値!W209:AP209),""))</f>
      </c>
      <c r="U209" s="684">
        <f>IF(終値!A209="","",IFERROR(4*STDEVP(終値!X209:AQ209)/AVERAGE(終値!X209:AQ209),""))</f>
      </c>
      <c r="V209" s="684">
        <f>IF(終値!A209="","",IFERROR(4*STDEVP(終値!Y209:AR209)/AVERAGE(終値!Y209:AR209),""))</f>
      </c>
      <c r="W209" s="684">
        <f>IF(終値!A209="","",IFERROR(4*STDEVP(終値!Z209:AS209)/AVERAGE(終値!Z209:AS209),""))</f>
      </c>
      <c r="X209" s="684">
        <f>IF(終値!A209="","",IFERROR(4*STDEVP(終値!AA209:AT209)/AVERAGE(終値!AA209:AT209),""))</f>
      </c>
      <c r="Y209" s="684">
        <f>IF(終値!A209="","",IFERROR(4*STDEVP(終値!AB209:AU209)/AVERAGE(終値!AB209:AU209),""))</f>
      </c>
      <c r="Z209" s="684">
        <f>IF(終値!A209="","",IFERROR(4*STDEVP(終値!AC209:AV209)/AVERAGE(終値!AC209:AV209),""))</f>
      </c>
      <c r="AA209" s="684">
        <f>IF(終値!A209="","",IFERROR(4*STDEVP(終値!AD209:AW209)/AVERAGE(終値!AD209:AW209),""))</f>
      </c>
      <c r="AB209" s="684">
        <f>IF(終値!A209="","",IFERROR(4*STDEVP(終値!AE209:AX209)/AVERAGE(終値!AE209:AX209),""))</f>
      </c>
      <c r="AC209" s="684">
        <f>IF(終値!A209="","",IFERROR(4*STDEVP(終値!AF209:AY209)/AVERAGE(終値!AF209:AY209),""))</f>
      </c>
      <c r="AD209" s="684">
        <f>IF(終値!A209="","",IFERROR(4*STDEVP(終値!AG209:AZ209)/AVERAGE(終値!AG209:AZ209),""))</f>
      </c>
      <c r="AE209" s="684">
        <f>IF(終値!A209="","",IFERROR(4*STDEVP(終値!AH209:BA209)/AVERAGE(終値!AH209:BA209),""))</f>
      </c>
      <c r="AF209" s="684">
        <f>IF(終値!A209="","",IFERROR(4*STDEVP(終値!AI209:BB209)/AVERAGE(終値!AI209:BB209),""))</f>
      </c>
      <c r="AG209" s="684">
        <f>IF(終値!A209="","",IFERROR(4*STDEVP(終値!AJ209:BC209)/AVERAGE(終値!AJ209:BC209),""))</f>
      </c>
      <c r="AH209" s="684">
        <f>IF(終値!A209="","",IFERROR(4*STDEVP(終値!AK209:BD209)/AVERAGE(終値!AK209:BD209),""))</f>
      </c>
      <c r="AI209" s="684">
        <f>IF(終値!A209="","",IFERROR(4*STDEVP(終値!AL209:BE209)/AVERAGE(終値!AL209:BE209),""))</f>
      </c>
      <c r="AJ209" s="684">
        <f>IF(終値!A209="","",IFERROR(4*STDEVP(終値!AM209:BF209)/AVERAGE(終値!AM209:BF209),""))</f>
      </c>
      <c r="AK209" s="684">
        <f>IF(終値!A209="","",IFERROR(4*STDEVP(終値!AN209:BG209)/AVERAGE(終値!AN209:BG209),""))</f>
      </c>
      <c r="AL209" s="684">
        <f>IF(終値!A209="","",IFERROR(4*STDEVP(終値!AO209:BH209)/AVERAGE(終値!AO209:BH209),""))</f>
      </c>
      <c r="AM209" s="684">
        <f>IF(終値!A209="","",IFERROR(4*STDEVP(終値!AP209:BI209)/AVERAGE(終値!AP209:BI209),""))</f>
      </c>
      <c r="AN209" s="684">
        <f>IF(終値!A209="","",IFERROR(4*STDEVP(終値!AQ209:BJ209)/AVERAGE(終値!AQ209:BJ209),""))</f>
      </c>
      <c r="AO209" s="684">
        <f>IF(終値!A209="","",IFERROR(4*STDEVP(終値!AR209:BK209)/AVERAGE(終値!AR209:BK209),""))</f>
      </c>
      <c r="AP209" s="684">
        <f>IF(終値!A209="","",IFERROR(4*STDEVP(終値!AS209:BL209)/AVERAGE(終値!AS209:BL209),""))</f>
      </c>
    </row>
    <row r="210">
      <c r="A210" s="681">
        <f>IF(終値!A210="","",終値!A210)</f>
      </c>
      <c r="B210" s="684">
        <f>IF(終値!A210="","",IFERROR(4*STDEVP(終値!E210:X210)/AVERAGE(終値!E210:X210),""))</f>
      </c>
      <c r="C210" s="684">
        <f>IF(終値!A210="","",IFERROR(4*STDEVP(終値!F210:Y210)/AVERAGE(終値!F210:Y210),""))</f>
      </c>
      <c r="D210" s="684">
        <f>IF(終値!A210="","",IFERROR(4*STDEVP(終値!G210:Z210)/AVERAGE(終値!G210:Z210),""))</f>
      </c>
      <c r="E210" s="684">
        <f>IF(終値!A210="","",IFERROR(4*STDEVP(終値!H210:AA210)/AVERAGE(終値!H210:AA210),""))</f>
      </c>
      <c r="F210" s="684">
        <f>IF(終値!A210="","",IFERROR(4*STDEVP(終値!I210:AB210)/AVERAGE(終値!I210:AB210),""))</f>
      </c>
      <c r="G210" s="684">
        <f>IF(終値!A210="","",IFERROR(4*STDEVP(終値!J210:AC210)/AVERAGE(終値!J210:AC210),""))</f>
      </c>
      <c r="H210" s="684">
        <f>IF(終値!A210="","",IFERROR(4*STDEVP(終値!K210:AD210)/AVERAGE(終値!K210:AD210),""))</f>
      </c>
      <c r="I210" s="684">
        <f>IF(終値!A210="","",IFERROR(4*STDEVP(終値!L210:AE210)/AVERAGE(終値!L210:AE210),""))</f>
      </c>
      <c r="J210" s="684">
        <f>IF(終値!A210="","",IFERROR(4*STDEVP(終値!M210:AF210)/AVERAGE(終値!M210:AF210),""))</f>
      </c>
      <c r="K210" s="684">
        <f>IF(終値!A210="","",IFERROR(4*STDEVP(終値!N210:AG210)/AVERAGE(終値!N210:AG210),""))</f>
      </c>
      <c r="L210" s="684">
        <f>IF(終値!A210="","",IFERROR(4*STDEVP(終値!O210:AH210)/AVERAGE(終値!O210:AH210),""))</f>
      </c>
      <c r="M210" s="684">
        <f>IF(終値!A210="","",IFERROR(4*STDEVP(終値!P210:AI210)/AVERAGE(終値!P210:AI210),""))</f>
      </c>
      <c r="N210" s="684">
        <f>IF(終値!A210="","",IFERROR(4*STDEVP(終値!Q210:AJ210)/AVERAGE(終値!Q210:AJ210),""))</f>
      </c>
      <c r="O210" s="684">
        <f>IF(終値!A210="","",IFERROR(4*STDEVP(終値!R210:AK210)/AVERAGE(終値!R210:AK210),""))</f>
      </c>
      <c r="P210" s="684">
        <f>IF(終値!A210="","",IFERROR(4*STDEVP(終値!S210:AL210)/AVERAGE(終値!S210:AL210),""))</f>
      </c>
      <c r="Q210" s="684">
        <f>IF(終値!A210="","",IFERROR(4*STDEVP(終値!T210:AM210)/AVERAGE(終値!T210:AM210),""))</f>
      </c>
      <c r="R210" s="684">
        <f>IF(終値!A210="","",IFERROR(4*STDEVP(終値!U210:AN210)/AVERAGE(終値!U210:AN210),""))</f>
      </c>
      <c r="S210" s="684">
        <f>IF(終値!A210="","",IFERROR(4*STDEVP(終値!V210:AO210)/AVERAGE(終値!V210:AO210),""))</f>
      </c>
      <c r="T210" s="684">
        <f>IF(終値!A210="","",IFERROR(4*STDEVP(終値!W210:AP210)/AVERAGE(終値!W210:AP210),""))</f>
      </c>
      <c r="U210" s="684">
        <f>IF(終値!A210="","",IFERROR(4*STDEVP(終値!X210:AQ210)/AVERAGE(終値!X210:AQ210),""))</f>
      </c>
      <c r="V210" s="684">
        <f>IF(終値!A210="","",IFERROR(4*STDEVP(終値!Y210:AR210)/AVERAGE(終値!Y210:AR210),""))</f>
      </c>
      <c r="W210" s="684">
        <f>IF(終値!A210="","",IFERROR(4*STDEVP(終値!Z210:AS210)/AVERAGE(終値!Z210:AS210),""))</f>
      </c>
      <c r="X210" s="684">
        <f>IF(終値!A210="","",IFERROR(4*STDEVP(終値!AA210:AT210)/AVERAGE(終値!AA210:AT210),""))</f>
      </c>
      <c r="Y210" s="684">
        <f>IF(終値!A210="","",IFERROR(4*STDEVP(終値!AB210:AU210)/AVERAGE(終値!AB210:AU210),""))</f>
      </c>
      <c r="Z210" s="684">
        <f>IF(終値!A210="","",IFERROR(4*STDEVP(終値!AC210:AV210)/AVERAGE(終値!AC210:AV210),""))</f>
      </c>
      <c r="AA210" s="684">
        <f>IF(終値!A210="","",IFERROR(4*STDEVP(終値!AD210:AW210)/AVERAGE(終値!AD210:AW210),""))</f>
      </c>
      <c r="AB210" s="684">
        <f>IF(終値!A210="","",IFERROR(4*STDEVP(終値!AE210:AX210)/AVERAGE(終値!AE210:AX210),""))</f>
      </c>
      <c r="AC210" s="684">
        <f>IF(終値!A210="","",IFERROR(4*STDEVP(終値!AF210:AY210)/AVERAGE(終値!AF210:AY210),""))</f>
      </c>
      <c r="AD210" s="684">
        <f>IF(終値!A210="","",IFERROR(4*STDEVP(終値!AG210:AZ210)/AVERAGE(終値!AG210:AZ210),""))</f>
      </c>
      <c r="AE210" s="684">
        <f>IF(終値!A210="","",IFERROR(4*STDEVP(終値!AH210:BA210)/AVERAGE(終値!AH210:BA210),""))</f>
      </c>
      <c r="AF210" s="684">
        <f>IF(終値!A210="","",IFERROR(4*STDEVP(終値!AI210:BB210)/AVERAGE(終値!AI210:BB210),""))</f>
      </c>
      <c r="AG210" s="684">
        <f>IF(終値!A210="","",IFERROR(4*STDEVP(終値!AJ210:BC210)/AVERAGE(終値!AJ210:BC210),""))</f>
      </c>
      <c r="AH210" s="684">
        <f>IF(終値!A210="","",IFERROR(4*STDEVP(終値!AK210:BD210)/AVERAGE(終値!AK210:BD210),""))</f>
      </c>
      <c r="AI210" s="684">
        <f>IF(終値!A210="","",IFERROR(4*STDEVP(終値!AL210:BE210)/AVERAGE(終値!AL210:BE210),""))</f>
      </c>
      <c r="AJ210" s="684">
        <f>IF(終値!A210="","",IFERROR(4*STDEVP(終値!AM210:BF210)/AVERAGE(終値!AM210:BF210),""))</f>
      </c>
      <c r="AK210" s="684">
        <f>IF(終値!A210="","",IFERROR(4*STDEVP(終値!AN210:BG210)/AVERAGE(終値!AN210:BG210),""))</f>
      </c>
      <c r="AL210" s="684">
        <f>IF(終値!A210="","",IFERROR(4*STDEVP(終値!AO210:BH210)/AVERAGE(終値!AO210:BH210),""))</f>
      </c>
      <c r="AM210" s="684">
        <f>IF(終値!A210="","",IFERROR(4*STDEVP(終値!AP210:BI210)/AVERAGE(終値!AP210:BI210),""))</f>
      </c>
      <c r="AN210" s="684">
        <f>IF(終値!A210="","",IFERROR(4*STDEVP(終値!AQ210:BJ210)/AVERAGE(終値!AQ210:BJ210),""))</f>
      </c>
      <c r="AO210" s="684">
        <f>IF(終値!A210="","",IFERROR(4*STDEVP(終値!AR210:BK210)/AVERAGE(終値!AR210:BK210),""))</f>
      </c>
      <c r="AP210" s="684">
        <f>IF(終値!A210="","",IFERROR(4*STDEVP(終値!AS210:BL210)/AVERAGE(終値!AS210:BL210),""))</f>
      </c>
    </row>
    <row r="211">
      <c r="A211" s="681">
        <f>IF(終値!A211="","",終値!A211)</f>
      </c>
      <c r="B211" s="684">
        <f>IF(終値!A211="","",IFERROR(4*STDEVP(終値!E211:X211)/AVERAGE(終値!E211:X211),""))</f>
      </c>
      <c r="C211" s="684">
        <f>IF(終値!A211="","",IFERROR(4*STDEVP(終値!F211:Y211)/AVERAGE(終値!F211:Y211),""))</f>
      </c>
      <c r="D211" s="684">
        <f>IF(終値!A211="","",IFERROR(4*STDEVP(終値!G211:Z211)/AVERAGE(終値!G211:Z211),""))</f>
      </c>
      <c r="E211" s="684">
        <f>IF(終値!A211="","",IFERROR(4*STDEVP(終値!H211:AA211)/AVERAGE(終値!H211:AA211),""))</f>
      </c>
      <c r="F211" s="684">
        <f>IF(終値!A211="","",IFERROR(4*STDEVP(終値!I211:AB211)/AVERAGE(終値!I211:AB211),""))</f>
      </c>
      <c r="G211" s="684">
        <f>IF(終値!A211="","",IFERROR(4*STDEVP(終値!J211:AC211)/AVERAGE(終値!J211:AC211),""))</f>
      </c>
      <c r="H211" s="684">
        <f>IF(終値!A211="","",IFERROR(4*STDEVP(終値!K211:AD211)/AVERAGE(終値!K211:AD211),""))</f>
      </c>
      <c r="I211" s="684">
        <f>IF(終値!A211="","",IFERROR(4*STDEVP(終値!L211:AE211)/AVERAGE(終値!L211:AE211),""))</f>
      </c>
      <c r="J211" s="684">
        <f>IF(終値!A211="","",IFERROR(4*STDEVP(終値!M211:AF211)/AVERAGE(終値!M211:AF211),""))</f>
      </c>
      <c r="K211" s="684">
        <f>IF(終値!A211="","",IFERROR(4*STDEVP(終値!N211:AG211)/AVERAGE(終値!N211:AG211),""))</f>
      </c>
      <c r="L211" s="684">
        <f>IF(終値!A211="","",IFERROR(4*STDEVP(終値!O211:AH211)/AVERAGE(終値!O211:AH211),""))</f>
      </c>
      <c r="M211" s="684">
        <f>IF(終値!A211="","",IFERROR(4*STDEVP(終値!P211:AI211)/AVERAGE(終値!P211:AI211),""))</f>
      </c>
      <c r="N211" s="684">
        <f>IF(終値!A211="","",IFERROR(4*STDEVP(終値!Q211:AJ211)/AVERAGE(終値!Q211:AJ211),""))</f>
      </c>
      <c r="O211" s="684">
        <f>IF(終値!A211="","",IFERROR(4*STDEVP(終値!R211:AK211)/AVERAGE(終値!R211:AK211),""))</f>
      </c>
      <c r="P211" s="684">
        <f>IF(終値!A211="","",IFERROR(4*STDEVP(終値!S211:AL211)/AVERAGE(終値!S211:AL211),""))</f>
      </c>
      <c r="Q211" s="684">
        <f>IF(終値!A211="","",IFERROR(4*STDEVP(終値!T211:AM211)/AVERAGE(終値!T211:AM211),""))</f>
      </c>
      <c r="R211" s="684">
        <f>IF(終値!A211="","",IFERROR(4*STDEVP(終値!U211:AN211)/AVERAGE(終値!U211:AN211),""))</f>
      </c>
      <c r="S211" s="684">
        <f>IF(終値!A211="","",IFERROR(4*STDEVP(終値!V211:AO211)/AVERAGE(終値!V211:AO211),""))</f>
      </c>
      <c r="T211" s="684">
        <f>IF(終値!A211="","",IFERROR(4*STDEVP(終値!W211:AP211)/AVERAGE(終値!W211:AP211),""))</f>
      </c>
      <c r="U211" s="684">
        <f>IF(終値!A211="","",IFERROR(4*STDEVP(終値!X211:AQ211)/AVERAGE(終値!X211:AQ211),""))</f>
      </c>
      <c r="V211" s="684">
        <f>IF(終値!A211="","",IFERROR(4*STDEVP(終値!Y211:AR211)/AVERAGE(終値!Y211:AR211),""))</f>
      </c>
      <c r="W211" s="684">
        <f>IF(終値!A211="","",IFERROR(4*STDEVP(終値!Z211:AS211)/AVERAGE(終値!Z211:AS211),""))</f>
      </c>
      <c r="X211" s="684">
        <f>IF(終値!A211="","",IFERROR(4*STDEVP(終値!AA211:AT211)/AVERAGE(終値!AA211:AT211),""))</f>
      </c>
      <c r="Y211" s="684">
        <f>IF(終値!A211="","",IFERROR(4*STDEVP(終値!AB211:AU211)/AVERAGE(終値!AB211:AU211),""))</f>
      </c>
      <c r="Z211" s="684">
        <f>IF(終値!A211="","",IFERROR(4*STDEVP(終値!AC211:AV211)/AVERAGE(終値!AC211:AV211),""))</f>
      </c>
      <c r="AA211" s="684">
        <f>IF(終値!A211="","",IFERROR(4*STDEVP(終値!AD211:AW211)/AVERAGE(終値!AD211:AW211),""))</f>
      </c>
      <c r="AB211" s="684">
        <f>IF(終値!A211="","",IFERROR(4*STDEVP(終値!AE211:AX211)/AVERAGE(終値!AE211:AX211),""))</f>
      </c>
      <c r="AC211" s="684">
        <f>IF(終値!A211="","",IFERROR(4*STDEVP(終値!AF211:AY211)/AVERAGE(終値!AF211:AY211),""))</f>
      </c>
      <c r="AD211" s="684">
        <f>IF(終値!A211="","",IFERROR(4*STDEVP(終値!AG211:AZ211)/AVERAGE(終値!AG211:AZ211),""))</f>
      </c>
      <c r="AE211" s="684">
        <f>IF(終値!A211="","",IFERROR(4*STDEVP(終値!AH211:BA211)/AVERAGE(終値!AH211:BA211),""))</f>
      </c>
      <c r="AF211" s="684">
        <f>IF(終値!A211="","",IFERROR(4*STDEVP(終値!AI211:BB211)/AVERAGE(終値!AI211:BB211),""))</f>
      </c>
      <c r="AG211" s="684">
        <f>IF(終値!A211="","",IFERROR(4*STDEVP(終値!AJ211:BC211)/AVERAGE(終値!AJ211:BC211),""))</f>
      </c>
      <c r="AH211" s="684">
        <f>IF(終値!A211="","",IFERROR(4*STDEVP(終値!AK211:BD211)/AVERAGE(終値!AK211:BD211),""))</f>
      </c>
      <c r="AI211" s="684">
        <f>IF(終値!A211="","",IFERROR(4*STDEVP(終値!AL211:BE211)/AVERAGE(終値!AL211:BE211),""))</f>
      </c>
      <c r="AJ211" s="684">
        <f>IF(終値!A211="","",IFERROR(4*STDEVP(終値!AM211:BF211)/AVERAGE(終値!AM211:BF211),""))</f>
      </c>
      <c r="AK211" s="684">
        <f>IF(終値!A211="","",IFERROR(4*STDEVP(終値!AN211:BG211)/AVERAGE(終値!AN211:BG211),""))</f>
      </c>
      <c r="AL211" s="684">
        <f>IF(終値!A211="","",IFERROR(4*STDEVP(終値!AO211:BH211)/AVERAGE(終値!AO211:BH211),""))</f>
      </c>
      <c r="AM211" s="684">
        <f>IF(終値!A211="","",IFERROR(4*STDEVP(終値!AP211:BI211)/AVERAGE(終値!AP211:BI211),""))</f>
      </c>
      <c r="AN211" s="684">
        <f>IF(終値!A211="","",IFERROR(4*STDEVP(終値!AQ211:BJ211)/AVERAGE(終値!AQ211:BJ211),""))</f>
      </c>
      <c r="AO211" s="684">
        <f>IF(終値!A211="","",IFERROR(4*STDEVP(終値!AR211:BK211)/AVERAGE(終値!AR211:BK211),""))</f>
      </c>
      <c r="AP211" s="684">
        <f>IF(終値!A211="","",IFERROR(4*STDEVP(終値!AS211:BL211)/AVERAGE(終値!AS211:BL211),""))</f>
      </c>
    </row>
    <row r="212">
      <c r="A212" s="681">
        <f>IF(終値!A212="","",終値!A212)</f>
      </c>
      <c r="B212" s="684">
        <f>IF(終値!A212="","",IFERROR(4*STDEVP(終値!E212:X212)/AVERAGE(終値!E212:X212),""))</f>
      </c>
      <c r="C212" s="684">
        <f>IF(終値!A212="","",IFERROR(4*STDEVP(終値!F212:Y212)/AVERAGE(終値!F212:Y212),""))</f>
      </c>
      <c r="D212" s="684">
        <f>IF(終値!A212="","",IFERROR(4*STDEVP(終値!G212:Z212)/AVERAGE(終値!G212:Z212),""))</f>
      </c>
      <c r="E212" s="684">
        <f>IF(終値!A212="","",IFERROR(4*STDEVP(終値!H212:AA212)/AVERAGE(終値!H212:AA212),""))</f>
      </c>
      <c r="F212" s="684">
        <f>IF(終値!A212="","",IFERROR(4*STDEVP(終値!I212:AB212)/AVERAGE(終値!I212:AB212),""))</f>
      </c>
      <c r="G212" s="684">
        <f>IF(終値!A212="","",IFERROR(4*STDEVP(終値!J212:AC212)/AVERAGE(終値!J212:AC212),""))</f>
      </c>
      <c r="H212" s="684">
        <f>IF(終値!A212="","",IFERROR(4*STDEVP(終値!K212:AD212)/AVERAGE(終値!K212:AD212),""))</f>
      </c>
      <c r="I212" s="684">
        <f>IF(終値!A212="","",IFERROR(4*STDEVP(終値!L212:AE212)/AVERAGE(終値!L212:AE212),""))</f>
      </c>
      <c r="J212" s="684">
        <f>IF(終値!A212="","",IFERROR(4*STDEVP(終値!M212:AF212)/AVERAGE(終値!M212:AF212),""))</f>
      </c>
      <c r="K212" s="684">
        <f>IF(終値!A212="","",IFERROR(4*STDEVP(終値!N212:AG212)/AVERAGE(終値!N212:AG212),""))</f>
      </c>
      <c r="L212" s="684">
        <f>IF(終値!A212="","",IFERROR(4*STDEVP(終値!O212:AH212)/AVERAGE(終値!O212:AH212),""))</f>
      </c>
      <c r="M212" s="684">
        <f>IF(終値!A212="","",IFERROR(4*STDEVP(終値!P212:AI212)/AVERAGE(終値!P212:AI212),""))</f>
      </c>
      <c r="N212" s="684">
        <f>IF(終値!A212="","",IFERROR(4*STDEVP(終値!Q212:AJ212)/AVERAGE(終値!Q212:AJ212),""))</f>
      </c>
      <c r="O212" s="684">
        <f>IF(終値!A212="","",IFERROR(4*STDEVP(終値!R212:AK212)/AVERAGE(終値!R212:AK212),""))</f>
      </c>
      <c r="P212" s="684">
        <f>IF(終値!A212="","",IFERROR(4*STDEVP(終値!S212:AL212)/AVERAGE(終値!S212:AL212),""))</f>
      </c>
      <c r="Q212" s="684">
        <f>IF(終値!A212="","",IFERROR(4*STDEVP(終値!T212:AM212)/AVERAGE(終値!T212:AM212),""))</f>
      </c>
      <c r="R212" s="684">
        <f>IF(終値!A212="","",IFERROR(4*STDEVP(終値!U212:AN212)/AVERAGE(終値!U212:AN212),""))</f>
      </c>
      <c r="S212" s="684">
        <f>IF(終値!A212="","",IFERROR(4*STDEVP(終値!V212:AO212)/AVERAGE(終値!V212:AO212),""))</f>
      </c>
      <c r="T212" s="684">
        <f>IF(終値!A212="","",IFERROR(4*STDEVP(終値!W212:AP212)/AVERAGE(終値!W212:AP212),""))</f>
      </c>
      <c r="U212" s="684">
        <f>IF(終値!A212="","",IFERROR(4*STDEVP(終値!X212:AQ212)/AVERAGE(終値!X212:AQ212),""))</f>
      </c>
      <c r="V212" s="684">
        <f>IF(終値!A212="","",IFERROR(4*STDEVP(終値!Y212:AR212)/AVERAGE(終値!Y212:AR212),""))</f>
      </c>
      <c r="W212" s="684">
        <f>IF(終値!A212="","",IFERROR(4*STDEVP(終値!Z212:AS212)/AVERAGE(終値!Z212:AS212),""))</f>
      </c>
      <c r="X212" s="684">
        <f>IF(終値!A212="","",IFERROR(4*STDEVP(終値!AA212:AT212)/AVERAGE(終値!AA212:AT212),""))</f>
      </c>
      <c r="Y212" s="684">
        <f>IF(終値!A212="","",IFERROR(4*STDEVP(終値!AB212:AU212)/AVERAGE(終値!AB212:AU212),""))</f>
      </c>
      <c r="Z212" s="684">
        <f>IF(終値!A212="","",IFERROR(4*STDEVP(終値!AC212:AV212)/AVERAGE(終値!AC212:AV212),""))</f>
      </c>
      <c r="AA212" s="684">
        <f>IF(終値!A212="","",IFERROR(4*STDEVP(終値!AD212:AW212)/AVERAGE(終値!AD212:AW212),""))</f>
      </c>
      <c r="AB212" s="684">
        <f>IF(終値!A212="","",IFERROR(4*STDEVP(終値!AE212:AX212)/AVERAGE(終値!AE212:AX212),""))</f>
      </c>
      <c r="AC212" s="684">
        <f>IF(終値!A212="","",IFERROR(4*STDEVP(終値!AF212:AY212)/AVERAGE(終値!AF212:AY212),""))</f>
      </c>
      <c r="AD212" s="684">
        <f>IF(終値!A212="","",IFERROR(4*STDEVP(終値!AG212:AZ212)/AVERAGE(終値!AG212:AZ212),""))</f>
      </c>
      <c r="AE212" s="684">
        <f>IF(終値!A212="","",IFERROR(4*STDEVP(終値!AH212:BA212)/AVERAGE(終値!AH212:BA212),""))</f>
      </c>
      <c r="AF212" s="684">
        <f>IF(終値!A212="","",IFERROR(4*STDEVP(終値!AI212:BB212)/AVERAGE(終値!AI212:BB212),""))</f>
      </c>
      <c r="AG212" s="684">
        <f>IF(終値!A212="","",IFERROR(4*STDEVP(終値!AJ212:BC212)/AVERAGE(終値!AJ212:BC212),""))</f>
      </c>
      <c r="AH212" s="684">
        <f>IF(終値!A212="","",IFERROR(4*STDEVP(終値!AK212:BD212)/AVERAGE(終値!AK212:BD212),""))</f>
      </c>
      <c r="AI212" s="684">
        <f>IF(終値!A212="","",IFERROR(4*STDEVP(終値!AL212:BE212)/AVERAGE(終値!AL212:BE212),""))</f>
      </c>
      <c r="AJ212" s="684">
        <f>IF(終値!A212="","",IFERROR(4*STDEVP(終値!AM212:BF212)/AVERAGE(終値!AM212:BF212),""))</f>
      </c>
      <c r="AK212" s="684">
        <f>IF(終値!A212="","",IFERROR(4*STDEVP(終値!AN212:BG212)/AVERAGE(終値!AN212:BG212),""))</f>
      </c>
      <c r="AL212" s="684">
        <f>IF(終値!A212="","",IFERROR(4*STDEVP(終値!AO212:BH212)/AVERAGE(終値!AO212:BH212),""))</f>
      </c>
      <c r="AM212" s="684">
        <f>IF(終値!A212="","",IFERROR(4*STDEVP(終値!AP212:BI212)/AVERAGE(終値!AP212:BI212),""))</f>
      </c>
      <c r="AN212" s="684">
        <f>IF(終値!A212="","",IFERROR(4*STDEVP(終値!AQ212:BJ212)/AVERAGE(終値!AQ212:BJ212),""))</f>
      </c>
      <c r="AO212" s="684">
        <f>IF(終値!A212="","",IFERROR(4*STDEVP(終値!AR212:BK212)/AVERAGE(終値!AR212:BK212),""))</f>
      </c>
      <c r="AP212" s="684">
        <f>IF(終値!A212="","",IFERROR(4*STDEVP(終値!AS212:BL212)/AVERAGE(終値!AS212:BL212),""))</f>
      </c>
    </row>
    <row r="213">
      <c r="A213" s="681">
        <f>IF(終値!A213="","",終値!A213)</f>
      </c>
      <c r="B213" s="684">
        <f>IF(終値!A213="","",IFERROR(4*STDEVP(終値!E213:X213)/AVERAGE(終値!E213:X213),""))</f>
      </c>
      <c r="C213" s="684">
        <f>IF(終値!A213="","",IFERROR(4*STDEVP(終値!F213:Y213)/AVERAGE(終値!F213:Y213),""))</f>
      </c>
      <c r="D213" s="684">
        <f>IF(終値!A213="","",IFERROR(4*STDEVP(終値!G213:Z213)/AVERAGE(終値!G213:Z213),""))</f>
      </c>
      <c r="E213" s="684">
        <f>IF(終値!A213="","",IFERROR(4*STDEVP(終値!H213:AA213)/AVERAGE(終値!H213:AA213),""))</f>
      </c>
      <c r="F213" s="684">
        <f>IF(終値!A213="","",IFERROR(4*STDEVP(終値!I213:AB213)/AVERAGE(終値!I213:AB213),""))</f>
      </c>
      <c r="G213" s="684">
        <f>IF(終値!A213="","",IFERROR(4*STDEVP(終値!J213:AC213)/AVERAGE(終値!J213:AC213),""))</f>
      </c>
      <c r="H213" s="684">
        <f>IF(終値!A213="","",IFERROR(4*STDEVP(終値!K213:AD213)/AVERAGE(終値!K213:AD213),""))</f>
      </c>
      <c r="I213" s="684">
        <f>IF(終値!A213="","",IFERROR(4*STDEVP(終値!L213:AE213)/AVERAGE(終値!L213:AE213),""))</f>
      </c>
      <c r="J213" s="684">
        <f>IF(終値!A213="","",IFERROR(4*STDEVP(終値!M213:AF213)/AVERAGE(終値!M213:AF213),""))</f>
      </c>
      <c r="K213" s="684">
        <f>IF(終値!A213="","",IFERROR(4*STDEVP(終値!N213:AG213)/AVERAGE(終値!N213:AG213),""))</f>
      </c>
      <c r="L213" s="684">
        <f>IF(終値!A213="","",IFERROR(4*STDEVP(終値!O213:AH213)/AVERAGE(終値!O213:AH213),""))</f>
      </c>
      <c r="M213" s="684">
        <f>IF(終値!A213="","",IFERROR(4*STDEVP(終値!P213:AI213)/AVERAGE(終値!P213:AI213),""))</f>
      </c>
      <c r="N213" s="684">
        <f>IF(終値!A213="","",IFERROR(4*STDEVP(終値!Q213:AJ213)/AVERAGE(終値!Q213:AJ213),""))</f>
      </c>
      <c r="O213" s="684">
        <f>IF(終値!A213="","",IFERROR(4*STDEVP(終値!R213:AK213)/AVERAGE(終値!R213:AK213),""))</f>
      </c>
      <c r="P213" s="684">
        <f>IF(終値!A213="","",IFERROR(4*STDEVP(終値!S213:AL213)/AVERAGE(終値!S213:AL213),""))</f>
      </c>
      <c r="Q213" s="684">
        <f>IF(終値!A213="","",IFERROR(4*STDEVP(終値!T213:AM213)/AVERAGE(終値!T213:AM213),""))</f>
      </c>
      <c r="R213" s="684">
        <f>IF(終値!A213="","",IFERROR(4*STDEVP(終値!U213:AN213)/AVERAGE(終値!U213:AN213),""))</f>
      </c>
      <c r="S213" s="684">
        <f>IF(終値!A213="","",IFERROR(4*STDEVP(終値!V213:AO213)/AVERAGE(終値!V213:AO213),""))</f>
      </c>
      <c r="T213" s="684">
        <f>IF(終値!A213="","",IFERROR(4*STDEVP(終値!W213:AP213)/AVERAGE(終値!W213:AP213),""))</f>
      </c>
      <c r="U213" s="684">
        <f>IF(終値!A213="","",IFERROR(4*STDEVP(終値!X213:AQ213)/AVERAGE(終値!X213:AQ213),""))</f>
      </c>
      <c r="V213" s="684">
        <f>IF(終値!A213="","",IFERROR(4*STDEVP(終値!Y213:AR213)/AVERAGE(終値!Y213:AR213),""))</f>
      </c>
      <c r="W213" s="684">
        <f>IF(終値!A213="","",IFERROR(4*STDEVP(終値!Z213:AS213)/AVERAGE(終値!Z213:AS213),""))</f>
      </c>
      <c r="X213" s="684">
        <f>IF(終値!A213="","",IFERROR(4*STDEVP(終値!AA213:AT213)/AVERAGE(終値!AA213:AT213),""))</f>
      </c>
      <c r="Y213" s="684">
        <f>IF(終値!A213="","",IFERROR(4*STDEVP(終値!AB213:AU213)/AVERAGE(終値!AB213:AU213),""))</f>
      </c>
      <c r="Z213" s="684">
        <f>IF(終値!A213="","",IFERROR(4*STDEVP(終値!AC213:AV213)/AVERAGE(終値!AC213:AV213),""))</f>
      </c>
      <c r="AA213" s="684">
        <f>IF(終値!A213="","",IFERROR(4*STDEVP(終値!AD213:AW213)/AVERAGE(終値!AD213:AW213),""))</f>
      </c>
      <c r="AB213" s="684">
        <f>IF(終値!A213="","",IFERROR(4*STDEVP(終値!AE213:AX213)/AVERAGE(終値!AE213:AX213),""))</f>
      </c>
      <c r="AC213" s="684">
        <f>IF(終値!A213="","",IFERROR(4*STDEVP(終値!AF213:AY213)/AVERAGE(終値!AF213:AY213),""))</f>
      </c>
      <c r="AD213" s="684">
        <f>IF(終値!A213="","",IFERROR(4*STDEVP(終値!AG213:AZ213)/AVERAGE(終値!AG213:AZ213),""))</f>
      </c>
      <c r="AE213" s="684">
        <f>IF(終値!A213="","",IFERROR(4*STDEVP(終値!AH213:BA213)/AVERAGE(終値!AH213:BA213),""))</f>
      </c>
      <c r="AF213" s="684">
        <f>IF(終値!A213="","",IFERROR(4*STDEVP(終値!AI213:BB213)/AVERAGE(終値!AI213:BB213),""))</f>
      </c>
      <c r="AG213" s="684">
        <f>IF(終値!A213="","",IFERROR(4*STDEVP(終値!AJ213:BC213)/AVERAGE(終値!AJ213:BC213),""))</f>
      </c>
      <c r="AH213" s="684">
        <f>IF(終値!A213="","",IFERROR(4*STDEVP(終値!AK213:BD213)/AVERAGE(終値!AK213:BD213),""))</f>
      </c>
      <c r="AI213" s="684">
        <f>IF(終値!A213="","",IFERROR(4*STDEVP(終値!AL213:BE213)/AVERAGE(終値!AL213:BE213),""))</f>
      </c>
      <c r="AJ213" s="684">
        <f>IF(終値!A213="","",IFERROR(4*STDEVP(終値!AM213:BF213)/AVERAGE(終値!AM213:BF213),""))</f>
      </c>
      <c r="AK213" s="684">
        <f>IF(終値!A213="","",IFERROR(4*STDEVP(終値!AN213:BG213)/AVERAGE(終値!AN213:BG213),""))</f>
      </c>
      <c r="AL213" s="684">
        <f>IF(終値!A213="","",IFERROR(4*STDEVP(終値!AO213:BH213)/AVERAGE(終値!AO213:BH213),""))</f>
      </c>
      <c r="AM213" s="684">
        <f>IF(終値!A213="","",IFERROR(4*STDEVP(終値!AP213:BI213)/AVERAGE(終値!AP213:BI213),""))</f>
      </c>
      <c r="AN213" s="684">
        <f>IF(終値!A213="","",IFERROR(4*STDEVP(終値!AQ213:BJ213)/AVERAGE(終値!AQ213:BJ213),""))</f>
      </c>
      <c r="AO213" s="684">
        <f>IF(終値!A213="","",IFERROR(4*STDEVP(終値!AR213:BK213)/AVERAGE(終値!AR213:BK213),""))</f>
      </c>
      <c r="AP213" s="684">
        <f>IF(終値!A213="","",IFERROR(4*STDEVP(終値!AS213:BL213)/AVERAGE(終値!AS213:BL213),""))</f>
      </c>
    </row>
    <row r="214">
      <c r="A214" s="681">
        <f>IF(終値!A214="","",終値!A214)</f>
      </c>
      <c r="B214" s="684">
        <f>IF(終値!A214="","",IFERROR(4*STDEVP(終値!E214:X214)/AVERAGE(終値!E214:X214),""))</f>
      </c>
      <c r="C214" s="684">
        <f>IF(終値!A214="","",IFERROR(4*STDEVP(終値!F214:Y214)/AVERAGE(終値!F214:Y214),""))</f>
      </c>
      <c r="D214" s="684">
        <f>IF(終値!A214="","",IFERROR(4*STDEVP(終値!G214:Z214)/AVERAGE(終値!G214:Z214),""))</f>
      </c>
      <c r="E214" s="684">
        <f>IF(終値!A214="","",IFERROR(4*STDEVP(終値!H214:AA214)/AVERAGE(終値!H214:AA214),""))</f>
      </c>
      <c r="F214" s="684">
        <f>IF(終値!A214="","",IFERROR(4*STDEVP(終値!I214:AB214)/AVERAGE(終値!I214:AB214),""))</f>
      </c>
      <c r="G214" s="684">
        <f>IF(終値!A214="","",IFERROR(4*STDEVP(終値!J214:AC214)/AVERAGE(終値!J214:AC214),""))</f>
      </c>
      <c r="H214" s="684">
        <f>IF(終値!A214="","",IFERROR(4*STDEVP(終値!K214:AD214)/AVERAGE(終値!K214:AD214),""))</f>
      </c>
      <c r="I214" s="684">
        <f>IF(終値!A214="","",IFERROR(4*STDEVP(終値!L214:AE214)/AVERAGE(終値!L214:AE214),""))</f>
      </c>
      <c r="J214" s="684">
        <f>IF(終値!A214="","",IFERROR(4*STDEVP(終値!M214:AF214)/AVERAGE(終値!M214:AF214),""))</f>
      </c>
      <c r="K214" s="684">
        <f>IF(終値!A214="","",IFERROR(4*STDEVP(終値!N214:AG214)/AVERAGE(終値!N214:AG214),""))</f>
      </c>
      <c r="L214" s="684">
        <f>IF(終値!A214="","",IFERROR(4*STDEVP(終値!O214:AH214)/AVERAGE(終値!O214:AH214),""))</f>
      </c>
      <c r="M214" s="684">
        <f>IF(終値!A214="","",IFERROR(4*STDEVP(終値!P214:AI214)/AVERAGE(終値!P214:AI214),""))</f>
      </c>
      <c r="N214" s="684">
        <f>IF(終値!A214="","",IFERROR(4*STDEVP(終値!Q214:AJ214)/AVERAGE(終値!Q214:AJ214),""))</f>
      </c>
      <c r="O214" s="684">
        <f>IF(終値!A214="","",IFERROR(4*STDEVP(終値!R214:AK214)/AVERAGE(終値!R214:AK214),""))</f>
      </c>
      <c r="P214" s="684">
        <f>IF(終値!A214="","",IFERROR(4*STDEVP(終値!S214:AL214)/AVERAGE(終値!S214:AL214),""))</f>
      </c>
      <c r="Q214" s="684">
        <f>IF(終値!A214="","",IFERROR(4*STDEVP(終値!T214:AM214)/AVERAGE(終値!T214:AM214),""))</f>
      </c>
      <c r="R214" s="684">
        <f>IF(終値!A214="","",IFERROR(4*STDEVP(終値!U214:AN214)/AVERAGE(終値!U214:AN214),""))</f>
      </c>
      <c r="S214" s="684">
        <f>IF(終値!A214="","",IFERROR(4*STDEVP(終値!V214:AO214)/AVERAGE(終値!V214:AO214),""))</f>
      </c>
      <c r="T214" s="684">
        <f>IF(終値!A214="","",IFERROR(4*STDEVP(終値!W214:AP214)/AVERAGE(終値!W214:AP214),""))</f>
      </c>
      <c r="U214" s="684">
        <f>IF(終値!A214="","",IFERROR(4*STDEVP(終値!X214:AQ214)/AVERAGE(終値!X214:AQ214),""))</f>
      </c>
      <c r="V214" s="684">
        <f>IF(終値!A214="","",IFERROR(4*STDEVP(終値!Y214:AR214)/AVERAGE(終値!Y214:AR214),""))</f>
      </c>
      <c r="W214" s="684">
        <f>IF(終値!A214="","",IFERROR(4*STDEVP(終値!Z214:AS214)/AVERAGE(終値!Z214:AS214),""))</f>
      </c>
      <c r="X214" s="684">
        <f>IF(終値!A214="","",IFERROR(4*STDEVP(終値!AA214:AT214)/AVERAGE(終値!AA214:AT214),""))</f>
      </c>
      <c r="Y214" s="684">
        <f>IF(終値!A214="","",IFERROR(4*STDEVP(終値!AB214:AU214)/AVERAGE(終値!AB214:AU214),""))</f>
      </c>
      <c r="Z214" s="684">
        <f>IF(終値!A214="","",IFERROR(4*STDEVP(終値!AC214:AV214)/AVERAGE(終値!AC214:AV214),""))</f>
      </c>
      <c r="AA214" s="684">
        <f>IF(終値!A214="","",IFERROR(4*STDEVP(終値!AD214:AW214)/AVERAGE(終値!AD214:AW214),""))</f>
      </c>
      <c r="AB214" s="684">
        <f>IF(終値!A214="","",IFERROR(4*STDEVP(終値!AE214:AX214)/AVERAGE(終値!AE214:AX214),""))</f>
      </c>
      <c r="AC214" s="684">
        <f>IF(終値!A214="","",IFERROR(4*STDEVP(終値!AF214:AY214)/AVERAGE(終値!AF214:AY214),""))</f>
      </c>
      <c r="AD214" s="684">
        <f>IF(終値!A214="","",IFERROR(4*STDEVP(終値!AG214:AZ214)/AVERAGE(終値!AG214:AZ214),""))</f>
      </c>
      <c r="AE214" s="684">
        <f>IF(終値!A214="","",IFERROR(4*STDEVP(終値!AH214:BA214)/AVERAGE(終値!AH214:BA214),""))</f>
      </c>
      <c r="AF214" s="684">
        <f>IF(終値!A214="","",IFERROR(4*STDEVP(終値!AI214:BB214)/AVERAGE(終値!AI214:BB214),""))</f>
      </c>
      <c r="AG214" s="684">
        <f>IF(終値!A214="","",IFERROR(4*STDEVP(終値!AJ214:BC214)/AVERAGE(終値!AJ214:BC214),""))</f>
      </c>
      <c r="AH214" s="684">
        <f>IF(終値!A214="","",IFERROR(4*STDEVP(終値!AK214:BD214)/AVERAGE(終値!AK214:BD214),""))</f>
      </c>
      <c r="AI214" s="684">
        <f>IF(終値!A214="","",IFERROR(4*STDEVP(終値!AL214:BE214)/AVERAGE(終値!AL214:BE214),""))</f>
      </c>
      <c r="AJ214" s="684">
        <f>IF(終値!A214="","",IFERROR(4*STDEVP(終値!AM214:BF214)/AVERAGE(終値!AM214:BF214),""))</f>
      </c>
      <c r="AK214" s="684">
        <f>IF(終値!A214="","",IFERROR(4*STDEVP(終値!AN214:BG214)/AVERAGE(終値!AN214:BG214),""))</f>
      </c>
      <c r="AL214" s="684">
        <f>IF(終値!A214="","",IFERROR(4*STDEVP(終値!AO214:BH214)/AVERAGE(終値!AO214:BH214),""))</f>
      </c>
      <c r="AM214" s="684">
        <f>IF(終値!A214="","",IFERROR(4*STDEVP(終値!AP214:BI214)/AVERAGE(終値!AP214:BI214),""))</f>
      </c>
      <c r="AN214" s="684">
        <f>IF(終値!A214="","",IFERROR(4*STDEVP(終値!AQ214:BJ214)/AVERAGE(終値!AQ214:BJ214),""))</f>
      </c>
      <c r="AO214" s="684">
        <f>IF(終値!A214="","",IFERROR(4*STDEVP(終値!AR214:BK214)/AVERAGE(終値!AR214:BK214),""))</f>
      </c>
      <c r="AP214" s="684">
        <f>IF(終値!A214="","",IFERROR(4*STDEVP(終値!AS214:BL214)/AVERAGE(終値!AS214:BL214),""))</f>
      </c>
    </row>
    <row r="215">
      <c r="A215" s="681">
        <f>IF(終値!A215="","",終値!A215)</f>
      </c>
      <c r="B215" s="684">
        <f>IF(終値!A215="","",IFERROR(4*STDEVP(終値!E215:X215)/AVERAGE(終値!E215:X215),""))</f>
      </c>
      <c r="C215" s="684">
        <f>IF(終値!A215="","",IFERROR(4*STDEVP(終値!F215:Y215)/AVERAGE(終値!F215:Y215),""))</f>
      </c>
      <c r="D215" s="684">
        <f>IF(終値!A215="","",IFERROR(4*STDEVP(終値!G215:Z215)/AVERAGE(終値!G215:Z215),""))</f>
      </c>
      <c r="E215" s="684">
        <f>IF(終値!A215="","",IFERROR(4*STDEVP(終値!H215:AA215)/AVERAGE(終値!H215:AA215),""))</f>
      </c>
      <c r="F215" s="684">
        <f>IF(終値!A215="","",IFERROR(4*STDEVP(終値!I215:AB215)/AVERAGE(終値!I215:AB215),""))</f>
      </c>
      <c r="G215" s="684">
        <f>IF(終値!A215="","",IFERROR(4*STDEVP(終値!J215:AC215)/AVERAGE(終値!J215:AC215),""))</f>
      </c>
      <c r="H215" s="684">
        <f>IF(終値!A215="","",IFERROR(4*STDEVP(終値!K215:AD215)/AVERAGE(終値!K215:AD215),""))</f>
      </c>
      <c r="I215" s="684">
        <f>IF(終値!A215="","",IFERROR(4*STDEVP(終値!L215:AE215)/AVERAGE(終値!L215:AE215),""))</f>
      </c>
      <c r="J215" s="684">
        <f>IF(終値!A215="","",IFERROR(4*STDEVP(終値!M215:AF215)/AVERAGE(終値!M215:AF215),""))</f>
      </c>
      <c r="K215" s="684">
        <f>IF(終値!A215="","",IFERROR(4*STDEVP(終値!N215:AG215)/AVERAGE(終値!N215:AG215),""))</f>
      </c>
      <c r="L215" s="684">
        <f>IF(終値!A215="","",IFERROR(4*STDEVP(終値!O215:AH215)/AVERAGE(終値!O215:AH215),""))</f>
      </c>
      <c r="M215" s="684">
        <f>IF(終値!A215="","",IFERROR(4*STDEVP(終値!P215:AI215)/AVERAGE(終値!P215:AI215),""))</f>
      </c>
      <c r="N215" s="684">
        <f>IF(終値!A215="","",IFERROR(4*STDEVP(終値!Q215:AJ215)/AVERAGE(終値!Q215:AJ215),""))</f>
      </c>
      <c r="O215" s="684">
        <f>IF(終値!A215="","",IFERROR(4*STDEVP(終値!R215:AK215)/AVERAGE(終値!R215:AK215),""))</f>
      </c>
      <c r="P215" s="684">
        <f>IF(終値!A215="","",IFERROR(4*STDEVP(終値!S215:AL215)/AVERAGE(終値!S215:AL215),""))</f>
      </c>
      <c r="Q215" s="684">
        <f>IF(終値!A215="","",IFERROR(4*STDEVP(終値!T215:AM215)/AVERAGE(終値!T215:AM215),""))</f>
      </c>
      <c r="R215" s="684">
        <f>IF(終値!A215="","",IFERROR(4*STDEVP(終値!U215:AN215)/AVERAGE(終値!U215:AN215),""))</f>
      </c>
      <c r="S215" s="684">
        <f>IF(終値!A215="","",IFERROR(4*STDEVP(終値!V215:AO215)/AVERAGE(終値!V215:AO215),""))</f>
      </c>
      <c r="T215" s="684">
        <f>IF(終値!A215="","",IFERROR(4*STDEVP(終値!W215:AP215)/AVERAGE(終値!W215:AP215),""))</f>
      </c>
      <c r="U215" s="684">
        <f>IF(終値!A215="","",IFERROR(4*STDEVP(終値!X215:AQ215)/AVERAGE(終値!X215:AQ215),""))</f>
      </c>
      <c r="V215" s="684">
        <f>IF(終値!A215="","",IFERROR(4*STDEVP(終値!Y215:AR215)/AVERAGE(終値!Y215:AR215),""))</f>
      </c>
      <c r="W215" s="684">
        <f>IF(終値!A215="","",IFERROR(4*STDEVP(終値!Z215:AS215)/AVERAGE(終値!Z215:AS215),""))</f>
      </c>
      <c r="X215" s="684">
        <f>IF(終値!A215="","",IFERROR(4*STDEVP(終値!AA215:AT215)/AVERAGE(終値!AA215:AT215),""))</f>
      </c>
      <c r="Y215" s="684">
        <f>IF(終値!A215="","",IFERROR(4*STDEVP(終値!AB215:AU215)/AVERAGE(終値!AB215:AU215),""))</f>
      </c>
      <c r="Z215" s="684">
        <f>IF(終値!A215="","",IFERROR(4*STDEVP(終値!AC215:AV215)/AVERAGE(終値!AC215:AV215),""))</f>
      </c>
      <c r="AA215" s="684">
        <f>IF(終値!A215="","",IFERROR(4*STDEVP(終値!AD215:AW215)/AVERAGE(終値!AD215:AW215),""))</f>
      </c>
      <c r="AB215" s="684">
        <f>IF(終値!A215="","",IFERROR(4*STDEVP(終値!AE215:AX215)/AVERAGE(終値!AE215:AX215),""))</f>
      </c>
      <c r="AC215" s="684">
        <f>IF(終値!A215="","",IFERROR(4*STDEVP(終値!AF215:AY215)/AVERAGE(終値!AF215:AY215),""))</f>
      </c>
      <c r="AD215" s="684">
        <f>IF(終値!A215="","",IFERROR(4*STDEVP(終値!AG215:AZ215)/AVERAGE(終値!AG215:AZ215),""))</f>
      </c>
      <c r="AE215" s="684">
        <f>IF(終値!A215="","",IFERROR(4*STDEVP(終値!AH215:BA215)/AVERAGE(終値!AH215:BA215),""))</f>
      </c>
      <c r="AF215" s="684">
        <f>IF(終値!A215="","",IFERROR(4*STDEVP(終値!AI215:BB215)/AVERAGE(終値!AI215:BB215),""))</f>
      </c>
      <c r="AG215" s="684">
        <f>IF(終値!A215="","",IFERROR(4*STDEVP(終値!AJ215:BC215)/AVERAGE(終値!AJ215:BC215),""))</f>
      </c>
      <c r="AH215" s="684">
        <f>IF(終値!A215="","",IFERROR(4*STDEVP(終値!AK215:BD215)/AVERAGE(終値!AK215:BD215),""))</f>
      </c>
      <c r="AI215" s="684">
        <f>IF(終値!A215="","",IFERROR(4*STDEVP(終値!AL215:BE215)/AVERAGE(終値!AL215:BE215),""))</f>
      </c>
      <c r="AJ215" s="684">
        <f>IF(終値!A215="","",IFERROR(4*STDEVP(終値!AM215:BF215)/AVERAGE(終値!AM215:BF215),""))</f>
      </c>
      <c r="AK215" s="684">
        <f>IF(終値!A215="","",IFERROR(4*STDEVP(終値!AN215:BG215)/AVERAGE(終値!AN215:BG215),""))</f>
      </c>
      <c r="AL215" s="684">
        <f>IF(終値!A215="","",IFERROR(4*STDEVP(終値!AO215:BH215)/AVERAGE(終値!AO215:BH215),""))</f>
      </c>
      <c r="AM215" s="684">
        <f>IF(終値!A215="","",IFERROR(4*STDEVP(終値!AP215:BI215)/AVERAGE(終値!AP215:BI215),""))</f>
      </c>
      <c r="AN215" s="684">
        <f>IF(終値!A215="","",IFERROR(4*STDEVP(終値!AQ215:BJ215)/AVERAGE(終値!AQ215:BJ215),""))</f>
      </c>
      <c r="AO215" s="684">
        <f>IF(終値!A215="","",IFERROR(4*STDEVP(終値!AR215:BK215)/AVERAGE(終値!AR215:BK215),""))</f>
      </c>
      <c r="AP215" s="684">
        <f>IF(終値!A215="","",IFERROR(4*STDEVP(終値!AS215:BL215)/AVERAGE(終値!AS215:BL215),""))</f>
      </c>
    </row>
    <row r="216">
      <c r="A216" s="681">
        <f>IF(終値!A216="","",終値!A216)</f>
      </c>
      <c r="B216" s="684">
        <f>IF(終値!A216="","",IFERROR(4*STDEVP(終値!E216:X216)/AVERAGE(終値!E216:X216),""))</f>
      </c>
      <c r="C216" s="684">
        <f>IF(終値!A216="","",IFERROR(4*STDEVP(終値!F216:Y216)/AVERAGE(終値!F216:Y216),""))</f>
      </c>
      <c r="D216" s="684">
        <f>IF(終値!A216="","",IFERROR(4*STDEVP(終値!G216:Z216)/AVERAGE(終値!G216:Z216),""))</f>
      </c>
      <c r="E216" s="684">
        <f>IF(終値!A216="","",IFERROR(4*STDEVP(終値!H216:AA216)/AVERAGE(終値!H216:AA216),""))</f>
      </c>
      <c r="F216" s="684">
        <f>IF(終値!A216="","",IFERROR(4*STDEVP(終値!I216:AB216)/AVERAGE(終値!I216:AB216),""))</f>
      </c>
      <c r="G216" s="684">
        <f>IF(終値!A216="","",IFERROR(4*STDEVP(終値!J216:AC216)/AVERAGE(終値!J216:AC216),""))</f>
      </c>
      <c r="H216" s="684">
        <f>IF(終値!A216="","",IFERROR(4*STDEVP(終値!K216:AD216)/AVERAGE(終値!K216:AD216),""))</f>
      </c>
      <c r="I216" s="684">
        <f>IF(終値!A216="","",IFERROR(4*STDEVP(終値!L216:AE216)/AVERAGE(終値!L216:AE216),""))</f>
      </c>
      <c r="J216" s="684">
        <f>IF(終値!A216="","",IFERROR(4*STDEVP(終値!M216:AF216)/AVERAGE(終値!M216:AF216),""))</f>
      </c>
      <c r="K216" s="684">
        <f>IF(終値!A216="","",IFERROR(4*STDEVP(終値!N216:AG216)/AVERAGE(終値!N216:AG216),""))</f>
      </c>
      <c r="L216" s="684">
        <f>IF(終値!A216="","",IFERROR(4*STDEVP(終値!O216:AH216)/AVERAGE(終値!O216:AH216),""))</f>
      </c>
      <c r="M216" s="684">
        <f>IF(終値!A216="","",IFERROR(4*STDEVP(終値!P216:AI216)/AVERAGE(終値!P216:AI216),""))</f>
      </c>
      <c r="N216" s="684">
        <f>IF(終値!A216="","",IFERROR(4*STDEVP(終値!Q216:AJ216)/AVERAGE(終値!Q216:AJ216),""))</f>
      </c>
      <c r="O216" s="684">
        <f>IF(終値!A216="","",IFERROR(4*STDEVP(終値!R216:AK216)/AVERAGE(終値!R216:AK216),""))</f>
      </c>
      <c r="P216" s="684">
        <f>IF(終値!A216="","",IFERROR(4*STDEVP(終値!S216:AL216)/AVERAGE(終値!S216:AL216),""))</f>
      </c>
      <c r="Q216" s="684">
        <f>IF(終値!A216="","",IFERROR(4*STDEVP(終値!T216:AM216)/AVERAGE(終値!T216:AM216),""))</f>
      </c>
      <c r="R216" s="684">
        <f>IF(終値!A216="","",IFERROR(4*STDEVP(終値!U216:AN216)/AVERAGE(終値!U216:AN216),""))</f>
      </c>
      <c r="S216" s="684">
        <f>IF(終値!A216="","",IFERROR(4*STDEVP(終値!V216:AO216)/AVERAGE(終値!V216:AO216),""))</f>
      </c>
      <c r="T216" s="684">
        <f>IF(終値!A216="","",IFERROR(4*STDEVP(終値!W216:AP216)/AVERAGE(終値!W216:AP216),""))</f>
      </c>
      <c r="U216" s="684">
        <f>IF(終値!A216="","",IFERROR(4*STDEVP(終値!X216:AQ216)/AVERAGE(終値!X216:AQ216),""))</f>
      </c>
      <c r="V216" s="684">
        <f>IF(終値!A216="","",IFERROR(4*STDEVP(終値!Y216:AR216)/AVERAGE(終値!Y216:AR216),""))</f>
      </c>
      <c r="W216" s="684">
        <f>IF(終値!A216="","",IFERROR(4*STDEVP(終値!Z216:AS216)/AVERAGE(終値!Z216:AS216),""))</f>
      </c>
      <c r="X216" s="684">
        <f>IF(終値!A216="","",IFERROR(4*STDEVP(終値!AA216:AT216)/AVERAGE(終値!AA216:AT216),""))</f>
      </c>
      <c r="Y216" s="684">
        <f>IF(終値!A216="","",IFERROR(4*STDEVP(終値!AB216:AU216)/AVERAGE(終値!AB216:AU216),""))</f>
      </c>
      <c r="Z216" s="684">
        <f>IF(終値!A216="","",IFERROR(4*STDEVP(終値!AC216:AV216)/AVERAGE(終値!AC216:AV216),""))</f>
      </c>
      <c r="AA216" s="684">
        <f>IF(終値!A216="","",IFERROR(4*STDEVP(終値!AD216:AW216)/AVERAGE(終値!AD216:AW216),""))</f>
      </c>
      <c r="AB216" s="684">
        <f>IF(終値!A216="","",IFERROR(4*STDEVP(終値!AE216:AX216)/AVERAGE(終値!AE216:AX216),""))</f>
      </c>
      <c r="AC216" s="684">
        <f>IF(終値!A216="","",IFERROR(4*STDEVP(終値!AF216:AY216)/AVERAGE(終値!AF216:AY216),""))</f>
      </c>
      <c r="AD216" s="684">
        <f>IF(終値!A216="","",IFERROR(4*STDEVP(終値!AG216:AZ216)/AVERAGE(終値!AG216:AZ216),""))</f>
      </c>
      <c r="AE216" s="684">
        <f>IF(終値!A216="","",IFERROR(4*STDEVP(終値!AH216:BA216)/AVERAGE(終値!AH216:BA216),""))</f>
      </c>
      <c r="AF216" s="684">
        <f>IF(終値!A216="","",IFERROR(4*STDEVP(終値!AI216:BB216)/AVERAGE(終値!AI216:BB216),""))</f>
      </c>
      <c r="AG216" s="684">
        <f>IF(終値!A216="","",IFERROR(4*STDEVP(終値!AJ216:BC216)/AVERAGE(終値!AJ216:BC216),""))</f>
      </c>
      <c r="AH216" s="684">
        <f>IF(終値!A216="","",IFERROR(4*STDEVP(終値!AK216:BD216)/AVERAGE(終値!AK216:BD216),""))</f>
      </c>
      <c r="AI216" s="684">
        <f>IF(終値!A216="","",IFERROR(4*STDEVP(終値!AL216:BE216)/AVERAGE(終値!AL216:BE216),""))</f>
      </c>
      <c r="AJ216" s="684">
        <f>IF(終値!A216="","",IFERROR(4*STDEVP(終値!AM216:BF216)/AVERAGE(終値!AM216:BF216),""))</f>
      </c>
      <c r="AK216" s="684">
        <f>IF(終値!A216="","",IFERROR(4*STDEVP(終値!AN216:BG216)/AVERAGE(終値!AN216:BG216),""))</f>
      </c>
      <c r="AL216" s="684">
        <f>IF(終値!A216="","",IFERROR(4*STDEVP(終値!AO216:BH216)/AVERAGE(終値!AO216:BH216),""))</f>
      </c>
      <c r="AM216" s="684">
        <f>IF(終値!A216="","",IFERROR(4*STDEVP(終値!AP216:BI216)/AVERAGE(終値!AP216:BI216),""))</f>
      </c>
      <c r="AN216" s="684">
        <f>IF(終値!A216="","",IFERROR(4*STDEVP(終値!AQ216:BJ216)/AVERAGE(終値!AQ216:BJ216),""))</f>
      </c>
      <c r="AO216" s="684">
        <f>IF(終値!A216="","",IFERROR(4*STDEVP(終値!AR216:BK216)/AVERAGE(終値!AR216:BK216),""))</f>
      </c>
      <c r="AP216" s="684">
        <f>IF(終値!A216="","",IFERROR(4*STDEVP(終値!AS216:BL216)/AVERAGE(終値!AS216:BL216),""))</f>
      </c>
    </row>
    <row r="217">
      <c r="A217" s="681">
        <f>IF(終値!A217="","",終値!A217)</f>
      </c>
      <c r="B217" s="684">
        <f>IF(終値!A217="","",IFERROR(4*STDEVP(終値!E217:X217)/AVERAGE(終値!E217:X217),""))</f>
      </c>
      <c r="C217" s="684">
        <f>IF(終値!A217="","",IFERROR(4*STDEVP(終値!F217:Y217)/AVERAGE(終値!F217:Y217),""))</f>
      </c>
      <c r="D217" s="684">
        <f>IF(終値!A217="","",IFERROR(4*STDEVP(終値!G217:Z217)/AVERAGE(終値!G217:Z217),""))</f>
      </c>
      <c r="E217" s="684">
        <f>IF(終値!A217="","",IFERROR(4*STDEVP(終値!H217:AA217)/AVERAGE(終値!H217:AA217),""))</f>
      </c>
      <c r="F217" s="684">
        <f>IF(終値!A217="","",IFERROR(4*STDEVP(終値!I217:AB217)/AVERAGE(終値!I217:AB217),""))</f>
      </c>
      <c r="G217" s="684">
        <f>IF(終値!A217="","",IFERROR(4*STDEVP(終値!J217:AC217)/AVERAGE(終値!J217:AC217),""))</f>
      </c>
      <c r="H217" s="684">
        <f>IF(終値!A217="","",IFERROR(4*STDEVP(終値!K217:AD217)/AVERAGE(終値!K217:AD217),""))</f>
      </c>
      <c r="I217" s="684">
        <f>IF(終値!A217="","",IFERROR(4*STDEVP(終値!L217:AE217)/AVERAGE(終値!L217:AE217),""))</f>
      </c>
      <c r="J217" s="684">
        <f>IF(終値!A217="","",IFERROR(4*STDEVP(終値!M217:AF217)/AVERAGE(終値!M217:AF217),""))</f>
      </c>
      <c r="K217" s="684">
        <f>IF(終値!A217="","",IFERROR(4*STDEVP(終値!N217:AG217)/AVERAGE(終値!N217:AG217),""))</f>
      </c>
      <c r="L217" s="684">
        <f>IF(終値!A217="","",IFERROR(4*STDEVP(終値!O217:AH217)/AVERAGE(終値!O217:AH217),""))</f>
      </c>
      <c r="M217" s="684">
        <f>IF(終値!A217="","",IFERROR(4*STDEVP(終値!P217:AI217)/AVERAGE(終値!P217:AI217),""))</f>
      </c>
      <c r="N217" s="684">
        <f>IF(終値!A217="","",IFERROR(4*STDEVP(終値!Q217:AJ217)/AVERAGE(終値!Q217:AJ217),""))</f>
      </c>
      <c r="O217" s="684">
        <f>IF(終値!A217="","",IFERROR(4*STDEVP(終値!R217:AK217)/AVERAGE(終値!R217:AK217),""))</f>
      </c>
      <c r="P217" s="684">
        <f>IF(終値!A217="","",IFERROR(4*STDEVP(終値!S217:AL217)/AVERAGE(終値!S217:AL217),""))</f>
      </c>
      <c r="Q217" s="684">
        <f>IF(終値!A217="","",IFERROR(4*STDEVP(終値!T217:AM217)/AVERAGE(終値!T217:AM217),""))</f>
      </c>
      <c r="R217" s="684">
        <f>IF(終値!A217="","",IFERROR(4*STDEVP(終値!U217:AN217)/AVERAGE(終値!U217:AN217),""))</f>
      </c>
      <c r="S217" s="684">
        <f>IF(終値!A217="","",IFERROR(4*STDEVP(終値!V217:AO217)/AVERAGE(終値!V217:AO217),""))</f>
      </c>
      <c r="T217" s="684">
        <f>IF(終値!A217="","",IFERROR(4*STDEVP(終値!W217:AP217)/AVERAGE(終値!W217:AP217),""))</f>
      </c>
      <c r="U217" s="684">
        <f>IF(終値!A217="","",IFERROR(4*STDEVP(終値!X217:AQ217)/AVERAGE(終値!X217:AQ217),""))</f>
      </c>
      <c r="V217" s="684">
        <f>IF(終値!A217="","",IFERROR(4*STDEVP(終値!Y217:AR217)/AVERAGE(終値!Y217:AR217),""))</f>
      </c>
      <c r="W217" s="684">
        <f>IF(終値!A217="","",IFERROR(4*STDEVP(終値!Z217:AS217)/AVERAGE(終値!Z217:AS217),""))</f>
      </c>
      <c r="X217" s="684">
        <f>IF(終値!A217="","",IFERROR(4*STDEVP(終値!AA217:AT217)/AVERAGE(終値!AA217:AT217),""))</f>
      </c>
      <c r="Y217" s="684">
        <f>IF(終値!A217="","",IFERROR(4*STDEVP(終値!AB217:AU217)/AVERAGE(終値!AB217:AU217),""))</f>
      </c>
      <c r="Z217" s="684">
        <f>IF(終値!A217="","",IFERROR(4*STDEVP(終値!AC217:AV217)/AVERAGE(終値!AC217:AV217),""))</f>
      </c>
      <c r="AA217" s="684">
        <f>IF(終値!A217="","",IFERROR(4*STDEVP(終値!AD217:AW217)/AVERAGE(終値!AD217:AW217),""))</f>
      </c>
      <c r="AB217" s="684">
        <f>IF(終値!A217="","",IFERROR(4*STDEVP(終値!AE217:AX217)/AVERAGE(終値!AE217:AX217),""))</f>
      </c>
      <c r="AC217" s="684">
        <f>IF(終値!A217="","",IFERROR(4*STDEVP(終値!AF217:AY217)/AVERAGE(終値!AF217:AY217),""))</f>
      </c>
      <c r="AD217" s="684">
        <f>IF(終値!A217="","",IFERROR(4*STDEVP(終値!AG217:AZ217)/AVERAGE(終値!AG217:AZ217),""))</f>
      </c>
      <c r="AE217" s="684">
        <f>IF(終値!A217="","",IFERROR(4*STDEVP(終値!AH217:BA217)/AVERAGE(終値!AH217:BA217),""))</f>
      </c>
      <c r="AF217" s="684">
        <f>IF(終値!A217="","",IFERROR(4*STDEVP(終値!AI217:BB217)/AVERAGE(終値!AI217:BB217),""))</f>
      </c>
      <c r="AG217" s="684">
        <f>IF(終値!A217="","",IFERROR(4*STDEVP(終値!AJ217:BC217)/AVERAGE(終値!AJ217:BC217),""))</f>
      </c>
      <c r="AH217" s="684">
        <f>IF(終値!A217="","",IFERROR(4*STDEVP(終値!AK217:BD217)/AVERAGE(終値!AK217:BD217),""))</f>
      </c>
      <c r="AI217" s="684">
        <f>IF(終値!A217="","",IFERROR(4*STDEVP(終値!AL217:BE217)/AVERAGE(終値!AL217:BE217),""))</f>
      </c>
      <c r="AJ217" s="684">
        <f>IF(終値!A217="","",IFERROR(4*STDEVP(終値!AM217:BF217)/AVERAGE(終値!AM217:BF217),""))</f>
      </c>
      <c r="AK217" s="684">
        <f>IF(終値!A217="","",IFERROR(4*STDEVP(終値!AN217:BG217)/AVERAGE(終値!AN217:BG217),""))</f>
      </c>
      <c r="AL217" s="684">
        <f>IF(終値!A217="","",IFERROR(4*STDEVP(終値!AO217:BH217)/AVERAGE(終値!AO217:BH217),""))</f>
      </c>
      <c r="AM217" s="684">
        <f>IF(終値!A217="","",IFERROR(4*STDEVP(終値!AP217:BI217)/AVERAGE(終値!AP217:BI217),""))</f>
      </c>
      <c r="AN217" s="684">
        <f>IF(終値!A217="","",IFERROR(4*STDEVP(終値!AQ217:BJ217)/AVERAGE(終値!AQ217:BJ217),""))</f>
      </c>
      <c r="AO217" s="684">
        <f>IF(終値!A217="","",IFERROR(4*STDEVP(終値!AR217:BK217)/AVERAGE(終値!AR217:BK217),""))</f>
      </c>
      <c r="AP217" s="684">
        <f>IF(終値!A217="","",IFERROR(4*STDEVP(終値!AS217:BL217)/AVERAGE(終値!AS217:BL217),""))</f>
      </c>
    </row>
    <row r="218">
      <c r="A218" s="681">
        <f>IF(終値!A218="","",終値!A218)</f>
      </c>
      <c r="B218" s="684">
        <f>IF(終値!A218="","",IFERROR(4*STDEVP(終値!E218:X218)/AVERAGE(終値!E218:X218),""))</f>
      </c>
      <c r="C218" s="684">
        <f>IF(終値!A218="","",IFERROR(4*STDEVP(終値!F218:Y218)/AVERAGE(終値!F218:Y218),""))</f>
      </c>
      <c r="D218" s="684">
        <f>IF(終値!A218="","",IFERROR(4*STDEVP(終値!G218:Z218)/AVERAGE(終値!G218:Z218),""))</f>
      </c>
      <c r="E218" s="684">
        <f>IF(終値!A218="","",IFERROR(4*STDEVP(終値!H218:AA218)/AVERAGE(終値!H218:AA218),""))</f>
      </c>
      <c r="F218" s="684">
        <f>IF(終値!A218="","",IFERROR(4*STDEVP(終値!I218:AB218)/AVERAGE(終値!I218:AB218),""))</f>
      </c>
      <c r="G218" s="684">
        <f>IF(終値!A218="","",IFERROR(4*STDEVP(終値!J218:AC218)/AVERAGE(終値!J218:AC218),""))</f>
      </c>
      <c r="H218" s="684">
        <f>IF(終値!A218="","",IFERROR(4*STDEVP(終値!K218:AD218)/AVERAGE(終値!K218:AD218),""))</f>
      </c>
      <c r="I218" s="684">
        <f>IF(終値!A218="","",IFERROR(4*STDEVP(終値!L218:AE218)/AVERAGE(終値!L218:AE218),""))</f>
      </c>
      <c r="J218" s="684">
        <f>IF(終値!A218="","",IFERROR(4*STDEVP(終値!M218:AF218)/AVERAGE(終値!M218:AF218),""))</f>
      </c>
      <c r="K218" s="684">
        <f>IF(終値!A218="","",IFERROR(4*STDEVP(終値!N218:AG218)/AVERAGE(終値!N218:AG218),""))</f>
      </c>
      <c r="L218" s="684">
        <f>IF(終値!A218="","",IFERROR(4*STDEVP(終値!O218:AH218)/AVERAGE(終値!O218:AH218),""))</f>
      </c>
      <c r="M218" s="684">
        <f>IF(終値!A218="","",IFERROR(4*STDEVP(終値!P218:AI218)/AVERAGE(終値!P218:AI218),""))</f>
      </c>
      <c r="N218" s="684">
        <f>IF(終値!A218="","",IFERROR(4*STDEVP(終値!Q218:AJ218)/AVERAGE(終値!Q218:AJ218),""))</f>
      </c>
      <c r="O218" s="684">
        <f>IF(終値!A218="","",IFERROR(4*STDEVP(終値!R218:AK218)/AVERAGE(終値!R218:AK218),""))</f>
      </c>
      <c r="P218" s="684">
        <f>IF(終値!A218="","",IFERROR(4*STDEVP(終値!S218:AL218)/AVERAGE(終値!S218:AL218),""))</f>
      </c>
      <c r="Q218" s="684">
        <f>IF(終値!A218="","",IFERROR(4*STDEVP(終値!T218:AM218)/AVERAGE(終値!T218:AM218),""))</f>
      </c>
      <c r="R218" s="684">
        <f>IF(終値!A218="","",IFERROR(4*STDEVP(終値!U218:AN218)/AVERAGE(終値!U218:AN218),""))</f>
      </c>
      <c r="S218" s="684">
        <f>IF(終値!A218="","",IFERROR(4*STDEVP(終値!V218:AO218)/AVERAGE(終値!V218:AO218),""))</f>
      </c>
      <c r="T218" s="684">
        <f>IF(終値!A218="","",IFERROR(4*STDEVP(終値!W218:AP218)/AVERAGE(終値!W218:AP218),""))</f>
      </c>
      <c r="U218" s="684">
        <f>IF(終値!A218="","",IFERROR(4*STDEVP(終値!X218:AQ218)/AVERAGE(終値!X218:AQ218),""))</f>
      </c>
      <c r="V218" s="684">
        <f>IF(終値!A218="","",IFERROR(4*STDEVP(終値!Y218:AR218)/AVERAGE(終値!Y218:AR218),""))</f>
      </c>
      <c r="W218" s="684">
        <f>IF(終値!A218="","",IFERROR(4*STDEVP(終値!Z218:AS218)/AVERAGE(終値!Z218:AS218),""))</f>
      </c>
      <c r="X218" s="684">
        <f>IF(終値!A218="","",IFERROR(4*STDEVP(終値!AA218:AT218)/AVERAGE(終値!AA218:AT218),""))</f>
      </c>
      <c r="Y218" s="684">
        <f>IF(終値!A218="","",IFERROR(4*STDEVP(終値!AB218:AU218)/AVERAGE(終値!AB218:AU218),""))</f>
      </c>
      <c r="Z218" s="684">
        <f>IF(終値!A218="","",IFERROR(4*STDEVP(終値!AC218:AV218)/AVERAGE(終値!AC218:AV218),""))</f>
      </c>
      <c r="AA218" s="684">
        <f>IF(終値!A218="","",IFERROR(4*STDEVP(終値!AD218:AW218)/AVERAGE(終値!AD218:AW218),""))</f>
      </c>
      <c r="AB218" s="684">
        <f>IF(終値!A218="","",IFERROR(4*STDEVP(終値!AE218:AX218)/AVERAGE(終値!AE218:AX218),""))</f>
      </c>
      <c r="AC218" s="684">
        <f>IF(終値!A218="","",IFERROR(4*STDEVP(終値!AF218:AY218)/AVERAGE(終値!AF218:AY218),""))</f>
      </c>
      <c r="AD218" s="684">
        <f>IF(終値!A218="","",IFERROR(4*STDEVP(終値!AG218:AZ218)/AVERAGE(終値!AG218:AZ218),""))</f>
      </c>
      <c r="AE218" s="684">
        <f>IF(終値!A218="","",IFERROR(4*STDEVP(終値!AH218:BA218)/AVERAGE(終値!AH218:BA218),""))</f>
      </c>
      <c r="AF218" s="684">
        <f>IF(終値!A218="","",IFERROR(4*STDEVP(終値!AI218:BB218)/AVERAGE(終値!AI218:BB218),""))</f>
      </c>
      <c r="AG218" s="684">
        <f>IF(終値!A218="","",IFERROR(4*STDEVP(終値!AJ218:BC218)/AVERAGE(終値!AJ218:BC218),""))</f>
      </c>
      <c r="AH218" s="684">
        <f>IF(終値!A218="","",IFERROR(4*STDEVP(終値!AK218:BD218)/AVERAGE(終値!AK218:BD218),""))</f>
      </c>
      <c r="AI218" s="684">
        <f>IF(終値!A218="","",IFERROR(4*STDEVP(終値!AL218:BE218)/AVERAGE(終値!AL218:BE218),""))</f>
      </c>
      <c r="AJ218" s="684">
        <f>IF(終値!A218="","",IFERROR(4*STDEVP(終値!AM218:BF218)/AVERAGE(終値!AM218:BF218),""))</f>
      </c>
      <c r="AK218" s="684">
        <f>IF(終値!A218="","",IFERROR(4*STDEVP(終値!AN218:BG218)/AVERAGE(終値!AN218:BG218),""))</f>
      </c>
      <c r="AL218" s="684">
        <f>IF(終値!A218="","",IFERROR(4*STDEVP(終値!AO218:BH218)/AVERAGE(終値!AO218:BH218),""))</f>
      </c>
      <c r="AM218" s="684">
        <f>IF(終値!A218="","",IFERROR(4*STDEVP(終値!AP218:BI218)/AVERAGE(終値!AP218:BI218),""))</f>
      </c>
      <c r="AN218" s="684">
        <f>IF(終値!A218="","",IFERROR(4*STDEVP(終値!AQ218:BJ218)/AVERAGE(終値!AQ218:BJ218),""))</f>
      </c>
      <c r="AO218" s="684">
        <f>IF(終値!A218="","",IFERROR(4*STDEVP(終値!AR218:BK218)/AVERAGE(終値!AR218:BK218),""))</f>
      </c>
      <c r="AP218" s="684">
        <f>IF(終値!A218="","",IFERROR(4*STDEVP(終値!AS218:BL218)/AVERAGE(終値!AS218:BL218),""))</f>
      </c>
    </row>
    <row r="219">
      <c r="A219" s="681">
        <f>IF(終値!A219="","",終値!A219)</f>
      </c>
      <c r="B219" s="684">
        <f>IF(終値!A219="","",IFERROR(4*STDEVP(終値!E219:X219)/AVERAGE(終値!E219:X219),""))</f>
      </c>
      <c r="C219" s="684">
        <f>IF(終値!A219="","",IFERROR(4*STDEVP(終値!F219:Y219)/AVERAGE(終値!F219:Y219),""))</f>
      </c>
      <c r="D219" s="684">
        <f>IF(終値!A219="","",IFERROR(4*STDEVP(終値!G219:Z219)/AVERAGE(終値!G219:Z219),""))</f>
      </c>
      <c r="E219" s="684">
        <f>IF(終値!A219="","",IFERROR(4*STDEVP(終値!H219:AA219)/AVERAGE(終値!H219:AA219),""))</f>
      </c>
      <c r="F219" s="684">
        <f>IF(終値!A219="","",IFERROR(4*STDEVP(終値!I219:AB219)/AVERAGE(終値!I219:AB219),""))</f>
      </c>
      <c r="G219" s="684">
        <f>IF(終値!A219="","",IFERROR(4*STDEVP(終値!J219:AC219)/AVERAGE(終値!J219:AC219),""))</f>
      </c>
      <c r="H219" s="684">
        <f>IF(終値!A219="","",IFERROR(4*STDEVP(終値!K219:AD219)/AVERAGE(終値!K219:AD219),""))</f>
      </c>
      <c r="I219" s="684">
        <f>IF(終値!A219="","",IFERROR(4*STDEVP(終値!L219:AE219)/AVERAGE(終値!L219:AE219),""))</f>
      </c>
      <c r="J219" s="684">
        <f>IF(終値!A219="","",IFERROR(4*STDEVP(終値!M219:AF219)/AVERAGE(終値!M219:AF219),""))</f>
      </c>
      <c r="K219" s="684">
        <f>IF(終値!A219="","",IFERROR(4*STDEVP(終値!N219:AG219)/AVERAGE(終値!N219:AG219),""))</f>
      </c>
      <c r="L219" s="684">
        <f>IF(終値!A219="","",IFERROR(4*STDEVP(終値!O219:AH219)/AVERAGE(終値!O219:AH219),""))</f>
      </c>
      <c r="M219" s="684">
        <f>IF(終値!A219="","",IFERROR(4*STDEVP(終値!P219:AI219)/AVERAGE(終値!P219:AI219),""))</f>
      </c>
      <c r="N219" s="684">
        <f>IF(終値!A219="","",IFERROR(4*STDEVP(終値!Q219:AJ219)/AVERAGE(終値!Q219:AJ219),""))</f>
      </c>
      <c r="O219" s="684">
        <f>IF(終値!A219="","",IFERROR(4*STDEVP(終値!R219:AK219)/AVERAGE(終値!R219:AK219),""))</f>
      </c>
      <c r="P219" s="684">
        <f>IF(終値!A219="","",IFERROR(4*STDEVP(終値!S219:AL219)/AVERAGE(終値!S219:AL219),""))</f>
      </c>
      <c r="Q219" s="684">
        <f>IF(終値!A219="","",IFERROR(4*STDEVP(終値!T219:AM219)/AVERAGE(終値!T219:AM219),""))</f>
      </c>
      <c r="R219" s="684">
        <f>IF(終値!A219="","",IFERROR(4*STDEVP(終値!U219:AN219)/AVERAGE(終値!U219:AN219),""))</f>
      </c>
      <c r="S219" s="684">
        <f>IF(終値!A219="","",IFERROR(4*STDEVP(終値!V219:AO219)/AVERAGE(終値!V219:AO219),""))</f>
      </c>
      <c r="T219" s="684">
        <f>IF(終値!A219="","",IFERROR(4*STDEVP(終値!W219:AP219)/AVERAGE(終値!W219:AP219),""))</f>
      </c>
      <c r="U219" s="684">
        <f>IF(終値!A219="","",IFERROR(4*STDEVP(終値!X219:AQ219)/AVERAGE(終値!X219:AQ219),""))</f>
      </c>
      <c r="V219" s="684">
        <f>IF(終値!A219="","",IFERROR(4*STDEVP(終値!Y219:AR219)/AVERAGE(終値!Y219:AR219),""))</f>
      </c>
      <c r="W219" s="684">
        <f>IF(終値!A219="","",IFERROR(4*STDEVP(終値!Z219:AS219)/AVERAGE(終値!Z219:AS219),""))</f>
      </c>
      <c r="X219" s="684">
        <f>IF(終値!A219="","",IFERROR(4*STDEVP(終値!AA219:AT219)/AVERAGE(終値!AA219:AT219),""))</f>
      </c>
      <c r="Y219" s="684">
        <f>IF(終値!A219="","",IFERROR(4*STDEVP(終値!AB219:AU219)/AVERAGE(終値!AB219:AU219),""))</f>
      </c>
      <c r="Z219" s="684">
        <f>IF(終値!A219="","",IFERROR(4*STDEVP(終値!AC219:AV219)/AVERAGE(終値!AC219:AV219),""))</f>
      </c>
      <c r="AA219" s="684">
        <f>IF(終値!A219="","",IFERROR(4*STDEVP(終値!AD219:AW219)/AVERAGE(終値!AD219:AW219),""))</f>
      </c>
      <c r="AB219" s="684">
        <f>IF(終値!A219="","",IFERROR(4*STDEVP(終値!AE219:AX219)/AVERAGE(終値!AE219:AX219),""))</f>
      </c>
      <c r="AC219" s="684">
        <f>IF(終値!A219="","",IFERROR(4*STDEVP(終値!AF219:AY219)/AVERAGE(終値!AF219:AY219),""))</f>
      </c>
      <c r="AD219" s="684">
        <f>IF(終値!A219="","",IFERROR(4*STDEVP(終値!AG219:AZ219)/AVERAGE(終値!AG219:AZ219),""))</f>
      </c>
      <c r="AE219" s="684">
        <f>IF(終値!A219="","",IFERROR(4*STDEVP(終値!AH219:BA219)/AVERAGE(終値!AH219:BA219),""))</f>
      </c>
      <c r="AF219" s="684">
        <f>IF(終値!A219="","",IFERROR(4*STDEVP(終値!AI219:BB219)/AVERAGE(終値!AI219:BB219),""))</f>
      </c>
      <c r="AG219" s="684">
        <f>IF(終値!A219="","",IFERROR(4*STDEVP(終値!AJ219:BC219)/AVERAGE(終値!AJ219:BC219),""))</f>
      </c>
      <c r="AH219" s="684">
        <f>IF(終値!A219="","",IFERROR(4*STDEVP(終値!AK219:BD219)/AVERAGE(終値!AK219:BD219),""))</f>
      </c>
      <c r="AI219" s="684">
        <f>IF(終値!A219="","",IFERROR(4*STDEVP(終値!AL219:BE219)/AVERAGE(終値!AL219:BE219),""))</f>
      </c>
      <c r="AJ219" s="684">
        <f>IF(終値!A219="","",IFERROR(4*STDEVP(終値!AM219:BF219)/AVERAGE(終値!AM219:BF219),""))</f>
      </c>
      <c r="AK219" s="684">
        <f>IF(終値!A219="","",IFERROR(4*STDEVP(終値!AN219:BG219)/AVERAGE(終値!AN219:BG219),""))</f>
      </c>
      <c r="AL219" s="684">
        <f>IF(終値!A219="","",IFERROR(4*STDEVP(終値!AO219:BH219)/AVERAGE(終値!AO219:BH219),""))</f>
      </c>
      <c r="AM219" s="684">
        <f>IF(終値!A219="","",IFERROR(4*STDEVP(終値!AP219:BI219)/AVERAGE(終値!AP219:BI219),""))</f>
      </c>
      <c r="AN219" s="684">
        <f>IF(終値!A219="","",IFERROR(4*STDEVP(終値!AQ219:BJ219)/AVERAGE(終値!AQ219:BJ219),""))</f>
      </c>
      <c r="AO219" s="684">
        <f>IF(終値!A219="","",IFERROR(4*STDEVP(終値!AR219:BK219)/AVERAGE(終値!AR219:BK219),""))</f>
      </c>
      <c r="AP219" s="684">
        <f>IF(終値!A219="","",IFERROR(4*STDEVP(終値!AS219:BL219)/AVERAGE(終値!AS219:BL219),""))</f>
      </c>
    </row>
    <row r="220">
      <c r="A220" s="681">
        <f>IF(終値!A220="","",終値!A220)</f>
      </c>
      <c r="B220" s="684">
        <f>IF(終値!A220="","",IFERROR(4*STDEVP(終値!E220:X220)/AVERAGE(終値!E220:X220),""))</f>
      </c>
      <c r="C220" s="684">
        <f>IF(終値!A220="","",IFERROR(4*STDEVP(終値!F220:Y220)/AVERAGE(終値!F220:Y220),""))</f>
      </c>
      <c r="D220" s="684">
        <f>IF(終値!A220="","",IFERROR(4*STDEVP(終値!G220:Z220)/AVERAGE(終値!G220:Z220),""))</f>
      </c>
      <c r="E220" s="684">
        <f>IF(終値!A220="","",IFERROR(4*STDEVP(終値!H220:AA220)/AVERAGE(終値!H220:AA220),""))</f>
      </c>
      <c r="F220" s="684">
        <f>IF(終値!A220="","",IFERROR(4*STDEVP(終値!I220:AB220)/AVERAGE(終値!I220:AB220),""))</f>
      </c>
      <c r="G220" s="684">
        <f>IF(終値!A220="","",IFERROR(4*STDEVP(終値!J220:AC220)/AVERAGE(終値!J220:AC220),""))</f>
      </c>
      <c r="H220" s="684">
        <f>IF(終値!A220="","",IFERROR(4*STDEVP(終値!K220:AD220)/AVERAGE(終値!K220:AD220),""))</f>
      </c>
      <c r="I220" s="684">
        <f>IF(終値!A220="","",IFERROR(4*STDEVP(終値!L220:AE220)/AVERAGE(終値!L220:AE220),""))</f>
      </c>
      <c r="J220" s="684">
        <f>IF(終値!A220="","",IFERROR(4*STDEVP(終値!M220:AF220)/AVERAGE(終値!M220:AF220),""))</f>
      </c>
      <c r="K220" s="684">
        <f>IF(終値!A220="","",IFERROR(4*STDEVP(終値!N220:AG220)/AVERAGE(終値!N220:AG220),""))</f>
      </c>
      <c r="L220" s="684">
        <f>IF(終値!A220="","",IFERROR(4*STDEVP(終値!O220:AH220)/AVERAGE(終値!O220:AH220),""))</f>
      </c>
      <c r="M220" s="684">
        <f>IF(終値!A220="","",IFERROR(4*STDEVP(終値!P220:AI220)/AVERAGE(終値!P220:AI220),""))</f>
      </c>
      <c r="N220" s="684">
        <f>IF(終値!A220="","",IFERROR(4*STDEVP(終値!Q220:AJ220)/AVERAGE(終値!Q220:AJ220),""))</f>
      </c>
      <c r="O220" s="684">
        <f>IF(終値!A220="","",IFERROR(4*STDEVP(終値!R220:AK220)/AVERAGE(終値!R220:AK220),""))</f>
      </c>
      <c r="P220" s="684">
        <f>IF(終値!A220="","",IFERROR(4*STDEVP(終値!S220:AL220)/AVERAGE(終値!S220:AL220),""))</f>
      </c>
      <c r="Q220" s="684">
        <f>IF(終値!A220="","",IFERROR(4*STDEVP(終値!T220:AM220)/AVERAGE(終値!T220:AM220),""))</f>
      </c>
      <c r="R220" s="684">
        <f>IF(終値!A220="","",IFERROR(4*STDEVP(終値!U220:AN220)/AVERAGE(終値!U220:AN220),""))</f>
      </c>
      <c r="S220" s="684">
        <f>IF(終値!A220="","",IFERROR(4*STDEVP(終値!V220:AO220)/AVERAGE(終値!V220:AO220),""))</f>
      </c>
      <c r="T220" s="684">
        <f>IF(終値!A220="","",IFERROR(4*STDEVP(終値!W220:AP220)/AVERAGE(終値!W220:AP220),""))</f>
      </c>
      <c r="U220" s="684">
        <f>IF(終値!A220="","",IFERROR(4*STDEVP(終値!X220:AQ220)/AVERAGE(終値!X220:AQ220),""))</f>
      </c>
      <c r="V220" s="684">
        <f>IF(終値!A220="","",IFERROR(4*STDEVP(終値!Y220:AR220)/AVERAGE(終値!Y220:AR220),""))</f>
      </c>
      <c r="W220" s="684">
        <f>IF(終値!A220="","",IFERROR(4*STDEVP(終値!Z220:AS220)/AVERAGE(終値!Z220:AS220),""))</f>
      </c>
      <c r="X220" s="684">
        <f>IF(終値!A220="","",IFERROR(4*STDEVP(終値!AA220:AT220)/AVERAGE(終値!AA220:AT220),""))</f>
      </c>
      <c r="Y220" s="684">
        <f>IF(終値!A220="","",IFERROR(4*STDEVP(終値!AB220:AU220)/AVERAGE(終値!AB220:AU220),""))</f>
      </c>
      <c r="Z220" s="684">
        <f>IF(終値!A220="","",IFERROR(4*STDEVP(終値!AC220:AV220)/AVERAGE(終値!AC220:AV220),""))</f>
      </c>
      <c r="AA220" s="684">
        <f>IF(終値!A220="","",IFERROR(4*STDEVP(終値!AD220:AW220)/AVERAGE(終値!AD220:AW220),""))</f>
      </c>
      <c r="AB220" s="684">
        <f>IF(終値!A220="","",IFERROR(4*STDEVP(終値!AE220:AX220)/AVERAGE(終値!AE220:AX220),""))</f>
      </c>
      <c r="AC220" s="684">
        <f>IF(終値!A220="","",IFERROR(4*STDEVP(終値!AF220:AY220)/AVERAGE(終値!AF220:AY220),""))</f>
      </c>
      <c r="AD220" s="684">
        <f>IF(終値!A220="","",IFERROR(4*STDEVP(終値!AG220:AZ220)/AVERAGE(終値!AG220:AZ220),""))</f>
      </c>
      <c r="AE220" s="684">
        <f>IF(終値!A220="","",IFERROR(4*STDEVP(終値!AH220:BA220)/AVERAGE(終値!AH220:BA220),""))</f>
      </c>
      <c r="AF220" s="684">
        <f>IF(終値!A220="","",IFERROR(4*STDEVP(終値!AI220:BB220)/AVERAGE(終値!AI220:BB220),""))</f>
      </c>
      <c r="AG220" s="684">
        <f>IF(終値!A220="","",IFERROR(4*STDEVP(終値!AJ220:BC220)/AVERAGE(終値!AJ220:BC220),""))</f>
      </c>
      <c r="AH220" s="684">
        <f>IF(終値!A220="","",IFERROR(4*STDEVP(終値!AK220:BD220)/AVERAGE(終値!AK220:BD220),""))</f>
      </c>
      <c r="AI220" s="684">
        <f>IF(終値!A220="","",IFERROR(4*STDEVP(終値!AL220:BE220)/AVERAGE(終値!AL220:BE220),""))</f>
      </c>
      <c r="AJ220" s="684">
        <f>IF(終値!A220="","",IFERROR(4*STDEVP(終値!AM220:BF220)/AVERAGE(終値!AM220:BF220),""))</f>
      </c>
      <c r="AK220" s="684">
        <f>IF(終値!A220="","",IFERROR(4*STDEVP(終値!AN220:BG220)/AVERAGE(終値!AN220:BG220),""))</f>
      </c>
      <c r="AL220" s="684">
        <f>IF(終値!A220="","",IFERROR(4*STDEVP(終値!AO220:BH220)/AVERAGE(終値!AO220:BH220),""))</f>
      </c>
      <c r="AM220" s="684">
        <f>IF(終値!A220="","",IFERROR(4*STDEVP(終値!AP220:BI220)/AVERAGE(終値!AP220:BI220),""))</f>
      </c>
      <c r="AN220" s="684">
        <f>IF(終値!A220="","",IFERROR(4*STDEVP(終値!AQ220:BJ220)/AVERAGE(終値!AQ220:BJ220),""))</f>
      </c>
      <c r="AO220" s="684">
        <f>IF(終値!A220="","",IFERROR(4*STDEVP(終値!AR220:BK220)/AVERAGE(終値!AR220:BK220),""))</f>
      </c>
      <c r="AP220" s="684">
        <f>IF(終値!A220="","",IFERROR(4*STDEVP(終値!AS220:BL220)/AVERAGE(終値!AS220:BL220),""))</f>
      </c>
    </row>
    <row r="221">
      <c r="A221" s="681">
        <f>IF(終値!A221="","",終値!A221)</f>
      </c>
      <c r="B221" s="684">
        <f>IF(終値!A221="","",IFERROR(4*STDEVP(終値!E221:X221)/AVERAGE(終値!E221:X221),""))</f>
      </c>
      <c r="C221" s="684">
        <f>IF(終値!A221="","",IFERROR(4*STDEVP(終値!F221:Y221)/AVERAGE(終値!F221:Y221),""))</f>
      </c>
      <c r="D221" s="684">
        <f>IF(終値!A221="","",IFERROR(4*STDEVP(終値!G221:Z221)/AVERAGE(終値!G221:Z221),""))</f>
      </c>
      <c r="E221" s="684">
        <f>IF(終値!A221="","",IFERROR(4*STDEVP(終値!H221:AA221)/AVERAGE(終値!H221:AA221),""))</f>
      </c>
      <c r="F221" s="684">
        <f>IF(終値!A221="","",IFERROR(4*STDEVP(終値!I221:AB221)/AVERAGE(終値!I221:AB221),""))</f>
      </c>
      <c r="G221" s="684">
        <f>IF(終値!A221="","",IFERROR(4*STDEVP(終値!J221:AC221)/AVERAGE(終値!J221:AC221),""))</f>
      </c>
      <c r="H221" s="684">
        <f>IF(終値!A221="","",IFERROR(4*STDEVP(終値!K221:AD221)/AVERAGE(終値!K221:AD221),""))</f>
      </c>
      <c r="I221" s="684">
        <f>IF(終値!A221="","",IFERROR(4*STDEVP(終値!L221:AE221)/AVERAGE(終値!L221:AE221),""))</f>
      </c>
      <c r="J221" s="684">
        <f>IF(終値!A221="","",IFERROR(4*STDEVP(終値!M221:AF221)/AVERAGE(終値!M221:AF221),""))</f>
      </c>
      <c r="K221" s="684">
        <f>IF(終値!A221="","",IFERROR(4*STDEVP(終値!N221:AG221)/AVERAGE(終値!N221:AG221),""))</f>
      </c>
      <c r="L221" s="684">
        <f>IF(終値!A221="","",IFERROR(4*STDEVP(終値!O221:AH221)/AVERAGE(終値!O221:AH221),""))</f>
      </c>
      <c r="M221" s="684">
        <f>IF(終値!A221="","",IFERROR(4*STDEVP(終値!P221:AI221)/AVERAGE(終値!P221:AI221),""))</f>
      </c>
      <c r="N221" s="684">
        <f>IF(終値!A221="","",IFERROR(4*STDEVP(終値!Q221:AJ221)/AVERAGE(終値!Q221:AJ221),""))</f>
      </c>
      <c r="O221" s="684">
        <f>IF(終値!A221="","",IFERROR(4*STDEVP(終値!R221:AK221)/AVERAGE(終値!R221:AK221),""))</f>
      </c>
      <c r="P221" s="684">
        <f>IF(終値!A221="","",IFERROR(4*STDEVP(終値!S221:AL221)/AVERAGE(終値!S221:AL221),""))</f>
      </c>
      <c r="Q221" s="684">
        <f>IF(終値!A221="","",IFERROR(4*STDEVP(終値!T221:AM221)/AVERAGE(終値!T221:AM221),""))</f>
      </c>
      <c r="R221" s="684">
        <f>IF(終値!A221="","",IFERROR(4*STDEVP(終値!U221:AN221)/AVERAGE(終値!U221:AN221),""))</f>
      </c>
      <c r="S221" s="684">
        <f>IF(終値!A221="","",IFERROR(4*STDEVP(終値!V221:AO221)/AVERAGE(終値!V221:AO221),""))</f>
      </c>
      <c r="T221" s="684">
        <f>IF(終値!A221="","",IFERROR(4*STDEVP(終値!W221:AP221)/AVERAGE(終値!W221:AP221),""))</f>
      </c>
      <c r="U221" s="684">
        <f>IF(終値!A221="","",IFERROR(4*STDEVP(終値!X221:AQ221)/AVERAGE(終値!X221:AQ221),""))</f>
      </c>
      <c r="V221" s="684">
        <f>IF(終値!A221="","",IFERROR(4*STDEVP(終値!Y221:AR221)/AVERAGE(終値!Y221:AR221),""))</f>
      </c>
      <c r="W221" s="684">
        <f>IF(終値!A221="","",IFERROR(4*STDEVP(終値!Z221:AS221)/AVERAGE(終値!Z221:AS221),""))</f>
      </c>
      <c r="X221" s="684">
        <f>IF(終値!A221="","",IFERROR(4*STDEVP(終値!AA221:AT221)/AVERAGE(終値!AA221:AT221),""))</f>
      </c>
      <c r="Y221" s="684">
        <f>IF(終値!A221="","",IFERROR(4*STDEVP(終値!AB221:AU221)/AVERAGE(終値!AB221:AU221),""))</f>
      </c>
      <c r="Z221" s="684">
        <f>IF(終値!A221="","",IFERROR(4*STDEVP(終値!AC221:AV221)/AVERAGE(終値!AC221:AV221),""))</f>
      </c>
      <c r="AA221" s="684">
        <f>IF(終値!A221="","",IFERROR(4*STDEVP(終値!AD221:AW221)/AVERAGE(終値!AD221:AW221),""))</f>
      </c>
      <c r="AB221" s="684">
        <f>IF(終値!A221="","",IFERROR(4*STDEVP(終値!AE221:AX221)/AVERAGE(終値!AE221:AX221),""))</f>
      </c>
      <c r="AC221" s="684">
        <f>IF(終値!A221="","",IFERROR(4*STDEVP(終値!AF221:AY221)/AVERAGE(終値!AF221:AY221),""))</f>
      </c>
      <c r="AD221" s="684">
        <f>IF(終値!A221="","",IFERROR(4*STDEVP(終値!AG221:AZ221)/AVERAGE(終値!AG221:AZ221),""))</f>
      </c>
      <c r="AE221" s="684">
        <f>IF(終値!A221="","",IFERROR(4*STDEVP(終値!AH221:BA221)/AVERAGE(終値!AH221:BA221),""))</f>
      </c>
      <c r="AF221" s="684">
        <f>IF(終値!A221="","",IFERROR(4*STDEVP(終値!AI221:BB221)/AVERAGE(終値!AI221:BB221),""))</f>
      </c>
      <c r="AG221" s="684">
        <f>IF(終値!A221="","",IFERROR(4*STDEVP(終値!AJ221:BC221)/AVERAGE(終値!AJ221:BC221),""))</f>
      </c>
      <c r="AH221" s="684">
        <f>IF(終値!A221="","",IFERROR(4*STDEVP(終値!AK221:BD221)/AVERAGE(終値!AK221:BD221),""))</f>
      </c>
      <c r="AI221" s="684">
        <f>IF(終値!A221="","",IFERROR(4*STDEVP(終値!AL221:BE221)/AVERAGE(終値!AL221:BE221),""))</f>
      </c>
      <c r="AJ221" s="684">
        <f>IF(終値!A221="","",IFERROR(4*STDEVP(終値!AM221:BF221)/AVERAGE(終値!AM221:BF221),""))</f>
      </c>
      <c r="AK221" s="684">
        <f>IF(終値!A221="","",IFERROR(4*STDEVP(終値!AN221:BG221)/AVERAGE(終値!AN221:BG221),""))</f>
      </c>
      <c r="AL221" s="684">
        <f>IF(終値!A221="","",IFERROR(4*STDEVP(終値!AO221:BH221)/AVERAGE(終値!AO221:BH221),""))</f>
      </c>
      <c r="AM221" s="684">
        <f>IF(終値!A221="","",IFERROR(4*STDEVP(終値!AP221:BI221)/AVERAGE(終値!AP221:BI221),""))</f>
      </c>
      <c r="AN221" s="684">
        <f>IF(終値!A221="","",IFERROR(4*STDEVP(終値!AQ221:BJ221)/AVERAGE(終値!AQ221:BJ221),""))</f>
      </c>
      <c r="AO221" s="684">
        <f>IF(終値!A221="","",IFERROR(4*STDEVP(終値!AR221:BK221)/AVERAGE(終値!AR221:BK221),""))</f>
      </c>
      <c r="AP221" s="684">
        <f>IF(終値!A221="","",IFERROR(4*STDEVP(終値!AS221:BL221)/AVERAGE(終値!AS221:BL221),""))</f>
      </c>
    </row>
    <row r="222">
      <c r="A222" s="681">
        <f>IF(終値!A222="","",終値!A222)</f>
      </c>
      <c r="B222" s="684">
        <f>IF(終値!A222="","",IFERROR(4*STDEVP(終値!E222:X222)/AVERAGE(終値!E222:X222),""))</f>
      </c>
      <c r="C222" s="684">
        <f>IF(終値!A222="","",IFERROR(4*STDEVP(終値!F222:Y222)/AVERAGE(終値!F222:Y222),""))</f>
      </c>
      <c r="D222" s="684">
        <f>IF(終値!A222="","",IFERROR(4*STDEVP(終値!G222:Z222)/AVERAGE(終値!G222:Z222),""))</f>
      </c>
      <c r="E222" s="684">
        <f>IF(終値!A222="","",IFERROR(4*STDEVP(終値!H222:AA222)/AVERAGE(終値!H222:AA222),""))</f>
      </c>
      <c r="F222" s="684">
        <f>IF(終値!A222="","",IFERROR(4*STDEVP(終値!I222:AB222)/AVERAGE(終値!I222:AB222),""))</f>
      </c>
      <c r="G222" s="684">
        <f>IF(終値!A222="","",IFERROR(4*STDEVP(終値!J222:AC222)/AVERAGE(終値!J222:AC222),""))</f>
      </c>
      <c r="H222" s="684">
        <f>IF(終値!A222="","",IFERROR(4*STDEVP(終値!K222:AD222)/AVERAGE(終値!K222:AD222),""))</f>
      </c>
      <c r="I222" s="684">
        <f>IF(終値!A222="","",IFERROR(4*STDEVP(終値!L222:AE222)/AVERAGE(終値!L222:AE222),""))</f>
      </c>
      <c r="J222" s="684">
        <f>IF(終値!A222="","",IFERROR(4*STDEVP(終値!M222:AF222)/AVERAGE(終値!M222:AF222),""))</f>
      </c>
      <c r="K222" s="684">
        <f>IF(終値!A222="","",IFERROR(4*STDEVP(終値!N222:AG222)/AVERAGE(終値!N222:AG222),""))</f>
      </c>
      <c r="L222" s="684">
        <f>IF(終値!A222="","",IFERROR(4*STDEVP(終値!O222:AH222)/AVERAGE(終値!O222:AH222),""))</f>
      </c>
      <c r="M222" s="684">
        <f>IF(終値!A222="","",IFERROR(4*STDEVP(終値!P222:AI222)/AVERAGE(終値!P222:AI222),""))</f>
      </c>
      <c r="N222" s="684">
        <f>IF(終値!A222="","",IFERROR(4*STDEVP(終値!Q222:AJ222)/AVERAGE(終値!Q222:AJ222),""))</f>
      </c>
      <c r="O222" s="684">
        <f>IF(終値!A222="","",IFERROR(4*STDEVP(終値!R222:AK222)/AVERAGE(終値!R222:AK222),""))</f>
      </c>
      <c r="P222" s="684">
        <f>IF(終値!A222="","",IFERROR(4*STDEVP(終値!S222:AL222)/AVERAGE(終値!S222:AL222),""))</f>
      </c>
      <c r="Q222" s="684">
        <f>IF(終値!A222="","",IFERROR(4*STDEVP(終値!T222:AM222)/AVERAGE(終値!T222:AM222),""))</f>
      </c>
      <c r="R222" s="684">
        <f>IF(終値!A222="","",IFERROR(4*STDEVP(終値!U222:AN222)/AVERAGE(終値!U222:AN222),""))</f>
      </c>
      <c r="S222" s="684">
        <f>IF(終値!A222="","",IFERROR(4*STDEVP(終値!V222:AO222)/AVERAGE(終値!V222:AO222),""))</f>
      </c>
      <c r="T222" s="684">
        <f>IF(終値!A222="","",IFERROR(4*STDEVP(終値!W222:AP222)/AVERAGE(終値!W222:AP222),""))</f>
      </c>
      <c r="U222" s="684">
        <f>IF(終値!A222="","",IFERROR(4*STDEVP(終値!X222:AQ222)/AVERAGE(終値!X222:AQ222),""))</f>
      </c>
      <c r="V222" s="684">
        <f>IF(終値!A222="","",IFERROR(4*STDEVP(終値!Y222:AR222)/AVERAGE(終値!Y222:AR222),""))</f>
      </c>
      <c r="W222" s="684">
        <f>IF(終値!A222="","",IFERROR(4*STDEVP(終値!Z222:AS222)/AVERAGE(終値!Z222:AS222),""))</f>
      </c>
      <c r="X222" s="684">
        <f>IF(終値!A222="","",IFERROR(4*STDEVP(終値!AA222:AT222)/AVERAGE(終値!AA222:AT222),""))</f>
      </c>
      <c r="Y222" s="684">
        <f>IF(終値!A222="","",IFERROR(4*STDEVP(終値!AB222:AU222)/AVERAGE(終値!AB222:AU222),""))</f>
      </c>
      <c r="Z222" s="684">
        <f>IF(終値!A222="","",IFERROR(4*STDEVP(終値!AC222:AV222)/AVERAGE(終値!AC222:AV222),""))</f>
      </c>
      <c r="AA222" s="684">
        <f>IF(終値!A222="","",IFERROR(4*STDEVP(終値!AD222:AW222)/AVERAGE(終値!AD222:AW222),""))</f>
      </c>
      <c r="AB222" s="684">
        <f>IF(終値!A222="","",IFERROR(4*STDEVP(終値!AE222:AX222)/AVERAGE(終値!AE222:AX222),""))</f>
      </c>
      <c r="AC222" s="684">
        <f>IF(終値!A222="","",IFERROR(4*STDEVP(終値!AF222:AY222)/AVERAGE(終値!AF222:AY222),""))</f>
      </c>
      <c r="AD222" s="684">
        <f>IF(終値!A222="","",IFERROR(4*STDEVP(終値!AG222:AZ222)/AVERAGE(終値!AG222:AZ222),""))</f>
      </c>
      <c r="AE222" s="684">
        <f>IF(終値!A222="","",IFERROR(4*STDEVP(終値!AH222:BA222)/AVERAGE(終値!AH222:BA222),""))</f>
      </c>
      <c r="AF222" s="684">
        <f>IF(終値!A222="","",IFERROR(4*STDEVP(終値!AI222:BB222)/AVERAGE(終値!AI222:BB222),""))</f>
      </c>
      <c r="AG222" s="684">
        <f>IF(終値!A222="","",IFERROR(4*STDEVP(終値!AJ222:BC222)/AVERAGE(終値!AJ222:BC222),""))</f>
      </c>
      <c r="AH222" s="684">
        <f>IF(終値!A222="","",IFERROR(4*STDEVP(終値!AK222:BD222)/AVERAGE(終値!AK222:BD222),""))</f>
      </c>
      <c r="AI222" s="684">
        <f>IF(終値!A222="","",IFERROR(4*STDEVP(終値!AL222:BE222)/AVERAGE(終値!AL222:BE222),""))</f>
      </c>
      <c r="AJ222" s="684">
        <f>IF(終値!A222="","",IFERROR(4*STDEVP(終値!AM222:BF222)/AVERAGE(終値!AM222:BF222),""))</f>
      </c>
      <c r="AK222" s="684">
        <f>IF(終値!A222="","",IFERROR(4*STDEVP(終値!AN222:BG222)/AVERAGE(終値!AN222:BG222),""))</f>
      </c>
      <c r="AL222" s="684">
        <f>IF(終値!A222="","",IFERROR(4*STDEVP(終値!AO222:BH222)/AVERAGE(終値!AO222:BH222),""))</f>
      </c>
      <c r="AM222" s="684">
        <f>IF(終値!A222="","",IFERROR(4*STDEVP(終値!AP222:BI222)/AVERAGE(終値!AP222:BI222),""))</f>
      </c>
      <c r="AN222" s="684">
        <f>IF(終値!A222="","",IFERROR(4*STDEVP(終値!AQ222:BJ222)/AVERAGE(終値!AQ222:BJ222),""))</f>
      </c>
      <c r="AO222" s="684">
        <f>IF(終値!A222="","",IFERROR(4*STDEVP(終値!AR222:BK222)/AVERAGE(終値!AR222:BK222),""))</f>
      </c>
      <c r="AP222" s="684">
        <f>IF(終値!A222="","",IFERROR(4*STDEVP(終値!AS222:BL222)/AVERAGE(終値!AS222:BL222),""))</f>
      </c>
    </row>
    <row r="223">
      <c r="A223" s="681">
        <f>IF(終値!A223="","",終値!A223)</f>
      </c>
      <c r="B223" s="684">
        <f>IF(終値!A223="","",IFERROR(4*STDEVP(終値!E223:X223)/AVERAGE(終値!E223:X223),""))</f>
      </c>
      <c r="C223" s="684">
        <f>IF(終値!A223="","",IFERROR(4*STDEVP(終値!F223:Y223)/AVERAGE(終値!F223:Y223),""))</f>
      </c>
      <c r="D223" s="684">
        <f>IF(終値!A223="","",IFERROR(4*STDEVP(終値!G223:Z223)/AVERAGE(終値!G223:Z223),""))</f>
      </c>
      <c r="E223" s="684">
        <f>IF(終値!A223="","",IFERROR(4*STDEVP(終値!H223:AA223)/AVERAGE(終値!H223:AA223),""))</f>
      </c>
      <c r="F223" s="684">
        <f>IF(終値!A223="","",IFERROR(4*STDEVP(終値!I223:AB223)/AVERAGE(終値!I223:AB223),""))</f>
      </c>
      <c r="G223" s="684">
        <f>IF(終値!A223="","",IFERROR(4*STDEVP(終値!J223:AC223)/AVERAGE(終値!J223:AC223),""))</f>
      </c>
      <c r="H223" s="684">
        <f>IF(終値!A223="","",IFERROR(4*STDEVP(終値!K223:AD223)/AVERAGE(終値!K223:AD223),""))</f>
      </c>
      <c r="I223" s="684">
        <f>IF(終値!A223="","",IFERROR(4*STDEVP(終値!L223:AE223)/AVERAGE(終値!L223:AE223),""))</f>
      </c>
      <c r="J223" s="684">
        <f>IF(終値!A223="","",IFERROR(4*STDEVP(終値!M223:AF223)/AVERAGE(終値!M223:AF223),""))</f>
      </c>
      <c r="K223" s="684">
        <f>IF(終値!A223="","",IFERROR(4*STDEVP(終値!N223:AG223)/AVERAGE(終値!N223:AG223),""))</f>
      </c>
      <c r="L223" s="684">
        <f>IF(終値!A223="","",IFERROR(4*STDEVP(終値!O223:AH223)/AVERAGE(終値!O223:AH223),""))</f>
      </c>
      <c r="M223" s="684">
        <f>IF(終値!A223="","",IFERROR(4*STDEVP(終値!P223:AI223)/AVERAGE(終値!P223:AI223),""))</f>
      </c>
      <c r="N223" s="684">
        <f>IF(終値!A223="","",IFERROR(4*STDEVP(終値!Q223:AJ223)/AVERAGE(終値!Q223:AJ223),""))</f>
      </c>
      <c r="O223" s="684">
        <f>IF(終値!A223="","",IFERROR(4*STDEVP(終値!R223:AK223)/AVERAGE(終値!R223:AK223),""))</f>
      </c>
      <c r="P223" s="684">
        <f>IF(終値!A223="","",IFERROR(4*STDEVP(終値!S223:AL223)/AVERAGE(終値!S223:AL223),""))</f>
      </c>
      <c r="Q223" s="684">
        <f>IF(終値!A223="","",IFERROR(4*STDEVP(終値!T223:AM223)/AVERAGE(終値!T223:AM223),""))</f>
      </c>
      <c r="R223" s="684">
        <f>IF(終値!A223="","",IFERROR(4*STDEVP(終値!U223:AN223)/AVERAGE(終値!U223:AN223),""))</f>
      </c>
      <c r="S223" s="684">
        <f>IF(終値!A223="","",IFERROR(4*STDEVP(終値!V223:AO223)/AVERAGE(終値!V223:AO223),""))</f>
      </c>
      <c r="T223" s="684">
        <f>IF(終値!A223="","",IFERROR(4*STDEVP(終値!W223:AP223)/AVERAGE(終値!W223:AP223),""))</f>
      </c>
      <c r="U223" s="684">
        <f>IF(終値!A223="","",IFERROR(4*STDEVP(終値!X223:AQ223)/AVERAGE(終値!X223:AQ223),""))</f>
      </c>
      <c r="V223" s="684">
        <f>IF(終値!A223="","",IFERROR(4*STDEVP(終値!Y223:AR223)/AVERAGE(終値!Y223:AR223),""))</f>
      </c>
      <c r="W223" s="684">
        <f>IF(終値!A223="","",IFERROR(4*STDEVP(終値!Z223:AS223)/AVERAGE(終値!Z223:AS223),""))</f>
      </c>
      <c r="X223" s="684">
        <f>IF(終値!A223="","",IFERROR(4*STDEVP(終値!AA223:AT223)/AVERAGE(終値!AA223:AT223),""))</f>
      </c>
      <c r="Y223" s="684">
        <f>IF(終値!A223="","",IFERROR(4*STDEVP(終値!AB223:AU223)/AVERAGE(終値!AB223:AU223),""))</f>
      </c>
      <c r="Z223" s="684">
        <f>IF(終値!A223="","",IFERROR(4*STDEVP(終値!AC223:AV223)/AVERAGE(終値!AC223:AV223),""))</f>
      </c>
      <c r="AA223" s="684">
        <f>IF(終値!A223="","",IFERROR(4*STDEVP(終値!AD223:AW223)/AVERAGE(終値!AD223:AW223),""))</f>
      </c>
      <c r="AB223" s="684">
        <f>IF(終値!A223="","",IFERROR(4*STDEVP(終値!AE223:AX223)/AVERAGE(終値!AE223:AX223),""))</f>
      </c>
      <c r="AC223" s="684">
        <f>IF(終値!A223="","",IFERROR(4*STDEVP(終値!AF223:AY223)/AVERAGE(終値!AF223:AY223),""))</f>
      </c>
      <c r="AD223" s="684">
        <f>IF(終値!A223="","",IFERROR(4*STDEVP(終値!AG223:AZ223)/AVERAGE(終値!AG223:AZ223),""))</f>
      </c>
      <c r="AE223" s="684">
        <f>IF(終値!A223="","",IFERROR(4*STDEVP(終値!AH223:BA223)/AVERAGE(終値!AH223:BA223),""))</f>
      </c>
      <c r="AF223" s="684">
        <f>IF(終値!A223="","",IFERROR(4*STDEVP(終値!AI223:BB223)/AVERAGE(終値!AI223:BB223),""))</f>
      </c>
      <c r="AG223" s="684">
        <f>IF(終値!A223="","",IFERROR(4*STDEVP(終値!AJ223:BC223)/AVERAGE(終値!AJ223:BC223),""))</f>
      </c>
      <c r="AH223" s="684">
        <f>IF(終値!A223="","",IFERROR(4*STDEVP(終値!AK223:BD223)/AVERAGE(終値!AK223:BD223),""))</f>
      </c>
      <c r="AI223" s="684">
        <f>IF(終値!A223="","",IFERROR(4*STDEVP(終値!AL223:BE223)/AVERAGE(終値!AL223:BE223),""))</f>
      </c>
      <c r="AJ223" s="684">
        <f>IF(終値!A223="","",IFERROR(4*STDEVP(終値!AM223:BF223)/AVERAGE(終値!AM223:BF223),""))</f>
      </c>
      <c r="AK223" s="684">
        <f>IF(終値!A223="","",IFERROR(4*STDEVP(終値!AN223:BG223)/AVERAGE(終値!AN223:BG223),""))</f>
      </c>
      <c r="AL223" s="684">
        <f>IF(終値!A223="","",IFERROR(4*STDEVP(終値!AO223:BH223)/AVERAGE(終値!AO223:BH223),""))</f>
      </c>
      <c r="AM223" s="684">
        <f>IF(終値!A223="","",IFERROR(4*STDEVP(終値!AP223:BI223)/AVERAGE(終値!AP223:BI223),""))</f>
      </c>
      <c r="AN223" s="684">
        <f>IF(終値!A223="","",IFERROR(4*STDEVP(終値!AQ223:BJ223)/AVERAGE(終値!AQ223:BJ223),""))</f>
      </c>
      <c r="AO223" s="684">
        <f>IF(終値!A223="","",IFERROR(4*STDEVP(終値!AR223:BK223)/AVERAGE(終値!AR223:BK223),""))</f>
      </c>
      <c r="AP223" s="684">
        <f>IF(終値!A223="","",IFERROR(4*STDEVP(終値!AS223:BL223)/AVERAGE(終値!AS223:BL223),""))</f>
      </c>
    </row>
    <row r="224">
      <c r="A224" s="681">
        <f>IF(終値!A224="","",終値!A224)</f>
      </c>
      <c r="B224" s="684">
        <f>IF(終値!A224="","",IFERROR(4*STDEVP(終値!E224:X224)/AVERAGE(終値!E224:X224),""))</f>
      </c>
      <c r="C224" s="684">
        <f>IF(終値!A224="","",IFERROR(4*STDEVP(終値!F224:Y224)/AVERAGE(終値!F224:Y224),""))</f>
      </c>
      <c r="D224" s="684">
        <f>IF(終値!A224="","",IFERROR(4*STDEVP(終値!G224:Z224)/AVERAGE(終値!G224:Z224),""))</f>
      </c>
      <c r="E224" s="684">
        <f>IF(終値!A224="","",IFERROR(4*STDEVP(終値!H224:AA224)/AVERAGE(終値!H224:AA224),""))</f>
      </c>
      <c r="F224" s="684">
        <f>IF(終値!A224="","",IFERROR(4*STDEVP(終値!I224:AB224)/AVERAGE(終値!I224:AB224),""))</f>
      </c>
      <c r="G224" s="684">
        <f>IF(終値!A224="","",IFERROR(4*STDEVP(終値!J224:AC224)/AVERAGE(終値!J224:AC224),""))</f>
      </c>
      <c r="H224" s="684">
        <f>IF(終値!A224="","",IFERROR(4*STDEVP(終値!K224:AD224)/AVERAGE(終値!K224:AD224),""))</f>
      </c>
      <c r="I224" s="684">
        <f>IF(終値!A224="","",IFERROR(4*STDEVP(終値!L224:AE224)/AVERAGE(終値!L224:AE224),""))</f>
      </c>
      <c r="J224" s="684">
        <f>IF(終値!A224="","",IFERROR(4*STDEVP(終値!M224:AF224)/AVERAGE(終値!M224:AF224),""))</f>
      </c>
      <c r="K224" s="684">
        <f>IF(終値!A224="","",IFERROR(4*STDEVP(終値!N224:AG224)/AVERAGE(終値!N224:AG224),""))</f>
      </c>
      <c r="L224" s="684">
        <f>IF(終値!A224="","",IFERROR(4*STDEVP(終値!O224:AH224)/AVERAGE(終値!O224:AH224),""))</f>
      </c>
      <c r="M224" s="684">
        <f>IF(終値!A224="","",IFERROR(4*STDEVP(終値!P224:AI224)/AVERAGE(終値!P224:AI224),""))</f>
      </c>
      <c r="N224" s="684">
        <f>IF(終値!A224="","",IFERROR(4*STDEVP(終値!Q224:AJ224)/AVERAGE(終値!Q224:AJ224),""))</f>
      </c>
      <c r="O224" s="684">
        <f>IF(終値!A224="","",IFERROR(4*STDEVP(終値!R224:AK224)/AVERAGE(終値!R224:AK224),""))</f>
      </c>
      <c r="P224" s="684">
        <f>IF(終値!A224="","",IFERROR(4*STDEVP(終値!S224:AL224)/AVERAGE(終値!S224:AL224),""))</f>
      </c>
      <c r="Q224" s="684">
        <f>IF(終値!A224="","",IFERROR(4*STDEVP(終値!T224:AM224)/AVERAGE(終値!T224:AM224),""))</f>
      </c>
      <c r="R224" s="684">
        <f>IF(終値!A224="","",IFERROR(4*STDEVP(終値!U224:AN224)/AVERAGE(終値!U224:AN224),""))</f>
      </c>
      <c r="S224" s="684">
        <f>IF(終値!A224="","",IFERROR(4*STDEVP(終値!V224:AO224)/AVERAGE(終値!V224:AO224),""))</f>
      </c>
      <c r="T224" s="684">
        <f>IF(終値!A224="","",IFERROR(4*STDEVP(終値!W224:AP224)/AVERAGE(終値!W224:AP224),""))</f>
      </c>
      <c r="U224" s="684">
        <f>IF(終値!A224="","",IFERROR(4*STDEVP(終値!X224:AQ224)/AVERAGE(終値!X224:AQ224),""))</f>
      </c>
      <c r="V224" s="684">
        <f>IF(終値!A224="","",IFERROR(4*STDEVP(終値!Y224:AR224)/AVERAGE(終値!Y224:AR224),""))</f>
      </c>
      <c r="W224" s="684">
        <f>IF(終値!A224="","",IFERROR(4*STDEVP(終値!Z224:AS224)/AVERAGE(終値!Z224:AS224),""))</f>
      </c>
      <c r="X224" s="684">
        <f>IF(終値!A224="","",IFERROR(4*STDEVP(終値!AA224:AT224)/AVERAGE(終値!AA224:AT224),""))</f>
      </c>
      <c r="Y224" s="684">
        <f>IF(終値!A224="","",IFERROR(4*STDEVP(終値!AB224:AU224)/AVERAGE(終値!AB224:AU224),""))</f>
      </c>
      <c r="Z224" s="684">
        <f>IF(終値!A224="","",IFERROR(4*STDEVP(終値!AC224:AV224)/AVERAGE(終値!AC224:AV224),""))</f>
      </c>
      <c r="AA224" s="684">
        <f>IF(終値!A224="","",IFERROR(4*STDEVP(終値!AD224:AW224)/AVERAGE(終値!AD224:AW224),""))</f>
      </c>
      <c r="AB224" s="684">
        <f>IF(終値!A224="","",IFERROR(4*STDEVP(終値!AE224:AX224)/AVERAGE(終値!AE224:AX224),""))</f>
      </c>
      <c r="AC224" s="684">
        <f>IF(終値!A224="","",IFERROR(4*STDEVP(終値!AF224:AY224)/AVERAGE(終値!AF224:AY224),""))</f>
      </c>
      <c r="AD224" s="684">
        <f>IF(終値!A224="","",IFERROR(4*STDEVP(終値!AG224:AZ224)/AVERAGE(終値!AG224:AZ224),""))</f>
      </c>
      <c r="AE224" s="684">
        <f>IF(終値!A224="","",IFERROR(4*STDEVP(終値!AH224:BA224)/AVERAGE(終値!AH224:BA224),""))</f>
      </c>
      <c r="AF224" s="684">
        <f>IF(終値!A224="","",IFERROR(4*STDEVP(終値!AI224:BB224)/AVERAGE(終値!AI224:BB224),""))</f>
      </c>
      <c r="AG224" s="684">
        <f>IF(終値!A224="","",IFERROR(4*STDEVP(終値!AJ224:BC224)/AVERAGE(終値!AJ224:BC224),""))</f>
      </c>
      <c r="AH224" s="684">
        <f>IF(終値!A224="","",IFERROR(4*STDEVP(終値!AK224:BD224)/AVERAGE(終値!AK224:BD224),""))</f>
      </c>
      <c r="AI224" s="684">
        <f>IF(終値!A224="","",IFERROR(4*STDEVP(終値!AL224:BE224)/AVERAGE(終値!AL224:BE224),""))</f>
      </c>
      <c r="AJ224" s="684">
        <f>IF(終値!A224="","",IFERROR(4*STDEVP(終値!AM224:BF224)/AVERAGE(終値!AM224:BF224),""))</f>
      </c>
      <c r="AK224" s="684">
        <f>IF(終値!A224="","",IFERROR(4*STDEVP(終値!AN224:BG224)/AVERAGE(終値!AN224:BG224),""))</f>
      </c>
      <c r="AL224" s="684">
        <f>IF(終値!A224="","",IFERROR(4*STDEVP(終値!AO224:BH224)/AVERAGE(終値!AO224:BH224),""))</f>
      </c>
      <c r="AM224" s="684">
        <f>IF(終値!A224="","",IFERROR(4*STDEVP(終値!AP224:BI224)/AVERAGE(終値!AP224:BI224),""))</f>
      </c>
      <c r="AN224" s="684">
        <f>IF(終値!A224="","",IFERROR(4*STDEVP(終値!AQ224:BJ224)/AVERAGE(終値!AQ224:BJ224),""))</f>
      </c>
      <c r="AO224" s="684">
        <f>IF(終値!A224="","",IFERROR(4*STDEVP(終値!AR224:BK224)/AVERAGE(終値!AR224:BK224),""))</f>
      </c>
      <c r="AP224" s="684">
        <f>IF(終値!A224="","",IFERROR(4*STDEVP(終値!AS224:BL224)/AVERAGE(終値!AS224:BL224),""))</f>
      </c>
    </row>
    <row r="225">
      <c r="A225" s="681">
        <f>IF(終値!A225="","",終値!A225)</f>
      </c>
      <c r="B225" s="684">
        <f>IF(終値!A225="","",IFERROR(4*STDEVP(終値!E225:X225)/AVERAGE(終値!E225:X225),""))</f>
      </c>
      <c r="C225" s="684">
        <f>IF(終値!A225="","",IFERROR(4*STDEVP(終値!F225:Y225)/AVERAGE(終値!F225:Y225),""))</f>
      </c>
      <c r="D225" s="684">
        <f>IF(終値!A225="","",IFERROR(4*STDEVP(終値!G225:Z225)/AVERAGE(終値!G225:Z225),""))</f>
      </c>
      <c r="E225" s="684">
        <f>IF(終値!A225="","",IFERROR(4*STDEVP(終値!H225:AA225)/AVERAGE(終値!H225:AA225),""))</f>
      </c>
      <c r="F225" s="684">
        <f>IF(終値!A225="","",IFERROR(4*STDEVP(終値!I225:AB225)/AVERAGE(終値!I225:AB225),""))</f>
      </c>
      <c r="G225" s="684">
        <f>IF(終値!A225="","",IFERROR(4*STDEVP(終値!J225:AC225)/AVERAGE(終値!J225:AC225),""))</f>
      </c>
      <c r="H225" s="684">
        <f>IF(終値!A225="","",IFERROR(4*STDEVP(終値!K225:AD225)/AVERAGE(終値!K225:AD225),""))</f>
      </c>
      <c r="I225" s="684">
        <f>IF(終値!A225="","",IFERROR(4*STDEVP(終値!L225:AE225)/AVERAGE(終値!L225:AE225),""))</f>
      </c>
      <c r="J225" s="684">
        <f>IF(終値!A225="","",IFERROR(4*STDEVP(終値!M225:AF225)/AVERAGE(終値!M225:AF225),""))</f>
      </c>
      <c r="K225" s="684">
        <f>IF(終値!A225="","",IFERROR(4*STDEVP(終値!N225:AG225)/AVERAGE(終値!N225:AG225),""))</f>
      </c>
      <c r="L225" s="684">
        <f>IF(終値!A225="","",IFERROR(4*STDEVP(終値!O225:AH225)/AVERAGE(終値!O225:AH225),""))</f>
      </c>
      <c r="M225" s="684">
        <f>IF(終値!A225="","",IFERROR(4*STDEVP(終値!P225:AI225)/AVERAGE(終値!P225:AI225),""))</f>
      </c>
      <c r="N225" s="684">
        <f>IF(終値!A225="","",IFERROR(4*STDEVP(終値!Q225:AJ225)/AVERAGE(終値!Q225:AJ225),""))</f>
      </c>
      <c r="O225" s="684">
        <f>IF(終値!A225="","",IFERROR(4*STDEVP(終値!R225:AK225)/AVERAGE(終値!R225:AK225),""))</f>
      </c>
      <c r="P225" s="684">
        <f>IF(終値!A225="","",IFERROR(4*STDEVP(終値!S225:AL225)/AVERAGE(終値!S225:AL225),""))</f>
      </c>
      <c r="Q225" s="684">
        <f>IF(終値!A225="","",IFERROR(4*STDEVP(終値!T225:AM225)/AVERAGE(終値!T225:AM225),""))</f>
      </c>
      <c r="R225" s="684">
        <f>IF(終値!A225="","",IFERROR(4*STDEVP(終値!U225:AN225)/AVERAGE(終値!U225:AN225),""))</f>
      </c>
      <c r="S225" s="684">
        <f>IF(終値!A225="","",IFERROR(4*STDEVP(終値!V225:AO225)/AVERAGE(終値!V225:AO225),""))</f>
      </c>
      <c r="T225" s="684">
        <f>IF(終値!A225="","",IFERROR(4*STDEVP(終値!W225:AP225)/AVERAGE(終値!W225:AP225),""))</f>
      </c>
      <c r="U225" s="684">
        <f>IF(終値!A225="","",IFERROR(4*STDEVP(終値!X225:AQ225)/AVERAGE(終値!X225:AQ225),""))</f>
      </c>
      <c r="V225" s="684">
        <f>IF(終値!A225="","",IFERROR(4*STDEVP(終値!Y225:AR225)/AVERAGE(終値!Y225:AR225),""))</f>
      </c>
      <c r="W225" s="684">
        <f>IF(終値!A225="","",IFERROR(4*STDEVP(終値!Z225:AS225)/AVERAGE(終値!Z225:AS225),""))</f>
      </c>
      <c r="X225" s="684">
        <f>IF(終値!A225="","",IFERROR(4*STDEVP(終値!AA225:AT225)/AVERAGE(終値!AA225:AT225),""))</f>
      </c>
      <c r="Y225" s="684">
        <f>IF(終値!A225="","",IFERROR(4*STDEVP(終値!AB225:AU225)/AVERAGE(終値!AB225:AU225),""))</f>
      </c>
      <c r="Z225" s="684">
        <f>IF(終値!A225="","",IFERROR(4*STDEVP(終値!AC225:AV225)/AVERAGE(終値!AC225:AV225),""))</f>
      </c>
      <c r="AA225" s="684">
        <f>IF(終値!A225="","",IFERROR(4*STDEVP(終値!AD225:AW225)/AVERAGE(終値!AD225:AW225),""))</f>
      </c>
      <c r="AB225" s="684">
        <f>IF(終値!A225="","",IFERROR(4*STDEVP(終値!AE225:AX225)/AVERAGE(終値!AE225:AX225),""))</f>
      </c>
      <c r="AC225" s="684">
        <f>IF(終値!A225="","",IFERROR(4*STDEVP(終値!AF225:AY225)/AVERAGE(終値!AF225:AY225),""))</f>
      </c>
      <c r="AD225" s="684">
        <f>IF(終値!A225="","",IFERROR(4*STDEVP(終値!AG225:AZ225)/AVERAGE(終値!AG225:AZ225),""))</f>
      </c>
      <c r="AE225" s="684">
        <f>IF(終値!A225="","",IFERROR(4*STDEVP(終値!AH225:BA225)/AVERAGE(終値!AH225:BA225),""))</f>
      </c>
      <c r="AF225" s="684">
        <f>IF(終値!A225="","",IFERROR(4*STDEVP(終値!AI225:BB225)/AVERAGE(終値!AI225:BB225),""))</f>
      </c>
      <c r="AG225" s="684">
        <f>IF(終値!A225="","",IFERROR(4*STDEVP(終値!AJ225:BC225)/AVERAGE(終値!AJ225:BC225),""))</f>
      </c>
      <c r="AH225" s="684">
        <f>IF(終値!A225="","",IFERROR(4*STDEVP(終値!AK225:BD225)/AVERAGE(終値!AK225:BD225),""))</f>
      </c>
      <c r="AI225" s="684">
        <f>IF(終値!A225="","",IFERROR(4*STDEVP(終値!AL225:BE225)/AVERAGE(終値!AL225:BE225),""))</f>
      </c>
      <c r="AJ225" s="684">
        <f>IF(終値!A225="","",IFERROR(4*STDEVP(終値!AM225:BF225)/AVERAGE(終値!AM225:BF225),""))</f>
      </c>
      <c r="AK225" s="684">
        <f>IF(終値!A225="","",IFERROR(4*STDEVP(終値!AN225:BG225)/AVERAGE(終値!AN225:BG225),""))</f>
      </c>
      <c r="AL225" s="684">
        <f>IF(終値!A225="","",IFERROR(4*STDEVP(終値!AO225:BH225)/AVERAGE(終値!AO225:BH225),""))</f>
      </c>
      <c r="AM225" s="684">
        <f>IF(終値!A225="","",IFERROR(4*STDEVP(終値!AP225:BI225)/AVERAGE(終値!AP225:BI225),""))</f>
      </c>
      <c r="AN225" s="684">
        <f>IF(終値!A225="","",IFERROR(4*STDEVP(終値!AQ225:BJ225)/AVERAGE(終値!AQ225:BJ225),""))</f>
      </c>
      <c r="AO225" s="684">
        <f>IF(終値!A225="","",IFERROR(4*STDEVP(終値!AR225:BK225)/AVERAGE(終値!AR225:BK225),""))</f>
      </c>
      <c r="AP225" s="684">
        <f>IF(終値!A225="","",IFERROR(4*STDEVP(終値!AS225:BL225)/AVERAGE(終値!AS225:BL225),""))</f>
      </c>
    </row>
    <row r="226">
      <c r="A226" s="681">
        <f>IF(終値!A226="","",終値!A226)</f>
      </c>
      <c r="B226" s="684">
        <f>IF(終値!A226="","",IFERROR(4*STDEVP(終値!E226:X226)/AVERAGE(終値!E226:X226),""))</f>
      </c>
      <c r="C226" s="684">
        <f>IF(終値!A226="","",IFERROR(4*STDEVP(終値!F226:Y226)/AVERAGE(終値!F226:Y226),""))</f>
      </c>
      <c r="D226" s="684">
        <f>IF(終値!A226="","",IFERROR(4*STDEVP(終値!G226:Z226)/AVERAGE(終値!G226:Z226),""))</f>
      </c>
      <c r="E226" s="684">
        <f>IF(終値!A226="","",IFERROR(4*STDEVP(終値!H226:AA226)/AVERAGE(終値!H226:AA226),""))</f>
      </c>
      <c r="F226" s="684">
        <f>IF(終値!A226="","",IFERROR(4*STDEVP(終値!I226:AB226)/AVERAGE(終値!I226:AB226),""))</f>
      </c>
      <c r="G226" s="684">
        <f>IF(終値!A226="","",IFERROR(4*STDEVP(終値!J226:AC226)/AVERAGE(終値!J226:AC226),""))</f>
      </c>
      <c r="H226" s="684">
        <f>IF(終値!A226="","",IFERROR(4*STDEVP(終値!K226:AD226)/AVERAGE(終値!K226:AD226),""))</f>
      </c>
      <c r="I226" s="684">
        <f>IF(終値!A226="","",IFERROR(4*STDEVP(終値!L226:AE226)/AVERAGE(終値!L226:AE226),""))</f>
      </c>
      <c r="J226" s="684">
        <f>IF(終値!A226="","",IFERROR(4*STDEVP(終値!M226:AF226)/AVERAGE(終値!M226:AF226),""))</f>
      </c>
      <c r="K226" s="684">
        <f>IF(終値!A226="","",IFERROR(4*STDEVP(終値!N226:AG226)/AVERAGE(終値!N226:AG226),""))</f>
      </c>
      <c r="L226" s="684">
        <f>IF(終値!A226="","",IFERROR(4*STDEVP(終値!O226:AH226)/AVERAGE(終値!O226:AH226),""))</f>
      </c>
      <c r="M226" s="684">
        <f>IF(終値!A226="","",IFERROR(4*STDEVP(終値!P226:AI226)/AVERAGE(終値!P226:AI226),""))</f>
      </c>
      <c r="N226" s="684">
        <f>IF(終値!A226="","",IFERROR(4*STDEVP(終値!Q226:AJ226)/AVERAGE(終値!Q226:AJ226),""))</f>
      </c>
      <c r="O226" s="684">
        <f>IF(終値!A226="","",IFERROR(4*STDEVP(終値!R226:AK226)/AVERAGE(終値!R226:AK226),""))</f>
      </c>
      <c r="P226" s="684">
        <f>IF(終値!A226="","",IFERROR(4*STDEVP(終値!S226:AL226)/AVERAGE(終値!S226:AL226),""))</f>
      </c>
      <c r="Q226" s="684">
        <f>IF(終値!A226="","",IFERROR(4*STDEVP(終値!T226:AM226)/AVERAGE(終値!T226:AM226),""))</f>
      </c>
      <c r="R226" s="684">
        <f>IF(終値!A226="","",IFERROR(4*STDEVP(終値!U226:AN226)/AVERAGE(終値!U226:AN226),""))</f>
      </c>
      <c r="S226" s="684">
        <f>IF(終値!A226="","",IFERROR(4*STDEVP(終値!V226:AO226)/AVERAGE(終値!V226:AO226),""))</f>
      </c>
      <c r="T226" s="684">
        <f>IF(終値!A226="","",IFERROR(4*STDEVP(終値!W226:AP226)/AVERAGE(終値!W226:AP226),""))</f>
      </c>
      <c r="U226" s="684">
        <f>IF(終値!A226="","",IFERROR(4*STDEVP(終値!X226:AQ226)/AVERAGE(終値!X226:AQ226),""))</f>
      </c>
      <c r="V226" s="684">
        <f>IF(終値!A226="","",IFERROR(4*STDEVP(終値!Y226:AR226)/AVERAGE(終値!Y226:AR226),""))</f>
      </c>
      <c r="W226" s="684">
        <f>IF(終値!A226="","",IFERROR(4*STDEVP(終値!Z226:AS226)/AVERAGE(終値!Z226:AS226),""))</f>
      </c>
      <c r="X226" s="684">
        <f>IF(終値!A226="","",IFERROR(4*STDEVP(終値!AA226:AT226)/AVERAGE(終値!AA226:AT226),""))</f>
      </c>
      <c r="Y226" s="684">
        <f>IF(終値!A226="","",IFERROR(4*STDEVP(終値!AB226:AU226)/AVERAGE(終値!AB226:AU226),""))</f>
      </c>
      <c r="Z226" s="684">
        <f>IF(終値!A226="","",IFERROR(4*STDEVP(終値!AC226:AV226)/AVERAGE(終値!AC226:AV226),""))</f>
      </c>
      <c r="AA226" s="684">
        <f>IF(終値!A226="","",IFERROR(4*STDEVP(終値!AD226:AW226)/AVERAGE(終値!AD226:AW226),""))</f>
      </c>
      <c r="AB226" s="684">
        <f>IF(終値!A226="","",IFERROR(4*STDEVP(終値!AE226:AX226)/AVERAGE(終値!AE226:AX226),""))</f>
      </c>
      <c r="AC226" s="684">
        <f>IF(終値!A226="","",IFERROR(4*STDEVP(終値!AF226:AY226)/AVERAGE(終値!AF226:AY226),""))</f>
      </c>
      <c r="AD226" s="684">
        <f>IF(終値!A226="","",IFERROR(4*STDEVP(終値!AG226:AZ226)/AVERAGE(終値!AG226:AZ226),""))</f>
      </c>
      <c r="AE226" s="684">
        <f>IF(終値!A226="","",IFERROR(4*STDEVP(終値!AH226:BA226)/AVERAGE(終値!AH226:BA226),""))</f>
      </c>
      <c r="AF226" s="684">
        <f>IF(終値!A226="","",IFERROR(4*STDEVP(終値!AI226:BB226)/AVERAGE(終値!AI226:BB226),""))</f>
      </c>
      <c r="AG226" s="684">
        <f>IF(終値!A226="","",IFERROR(4*STDEVP(終値!AJ226:BC226)/AVERAGE(終値!AJ226:BC226),""))</f>
      </c>
      <c r="AH226" s="684">
        <f>IF(終値!A226="","",IFERROR(4*STDEVP(終値!AK226:BD226)/AVERAGE(終値!AK226:BD226),""))</f>
      </c>
      <c r="AI226" s="684">
        <f>IF(終値!A226="","",IFERROR(4*STDEVP(終値!AL226:BE226)/AVERAGE(終値!AL226:BE226),""))</f>
      </c>
      <c r="AJ226" s="684">
        <f>IF(終値!A226="","",IFERROR(4*STDEVP(終値!AM226:BF226)/AVERAGE(終値!AM226:BF226),""))</f>
      </c>
      <c r="AK226" s="684">
        <f>IF(終値!A226="","",IFERROR(4*STDEVP(終値!AN226:BG226)/AVERAGE(終値!AN226:BG226),""))</f>
      </c>
      <c r="AL226" s="684">
        <f>IF(終値!A226="","",IFERROR(4*STDEVP(終値!AO226:BH226)/AVERAGE(終値!AO226:BH226),""))</f>
      </c>
      <c r="AM226" s="684">
        <f>IF(終値!A226="","",IFERROR(4*STDEVP(終値!AP226:BI226)/AVERAGE(終値!AP226:BI226),""))</f>
      </c>
      <c r="AN226" s="684">
        <f>IF(終値!A226="","",IFERROR(4*STDEVP(終値!AQ226:BJ226)/AVERAGE(終値!AQ226:BJ226),""))</f>
      </c>
      <c r="AO226" s="684">
        <f>IF(終値!A226="","",IFERROR(4*STDEVP(終値!AR226:BK226)/AVERAGE(終値!AR226:BK226),""))</f>
      </c>
      <c r="AP226" s="684">
        <f>IF(終値!A226="","",IFERROR(4*STDEVP(終値!AS226:BL226)/AVERAGE(終値!AS226:BL226),""))</f>
      </c>
    </row>
    <row r="227">
      <c r="A227" s="681">
        <f>IF(終値!A227="","",終値!A227)</f>
      </c>
      <c r="B227" s="684">
        <f>IF(終値!A227="","",IFERROR(4*STDEVP(終値!E227:X227)/AVERAGE(終値!E227:X227),""))</f>
      </c>
      <c r="C227" s="684">
        <f>IF(終値!A227="","",IFERROR(4*STDEVP(終値!F227:Y227)/AVERAGE(終値!F227:Y227),""))</f>
      </c>
      <c r="D227" s="684">
        <f>IF(終値!A227="","",IFERROR(4*STDEVP(終値!G227:Z227)/AVERAGE(終値!G227:Z227),""))</f>
      </c>
      <c r="E227" s="684">
        <f>IF(終値!A227="","",IFERROR(4*STDEVP(終値!H227:AA227)/AVERAGE(終値!H227:AA227),""))</f>
      </c>
      <c r="F227" s="684">
        <f>IF(終値!A227="","",IFERROR(4*STDEVP(終値!I227:AB227)/AVERAGE(終値!I227:AB227),""))</f>
      </c>
      <c r="G227" s="684">
        <f>IF(終値!A227="","",IFERROR(4*STDEVP(終値!J227:AC227)/AVERAGE(終値!J227:AC227),""))</f>
      </c>
      <c r="H227" s="684">
        <f>IF(終値!A227="","",IFERROR(4*STDEVP(終値!K227:AD227)/AVERAGE(終値!K227:AD227),""))</f>
      </c>
      <c r="I227" s="684">
        <f>IF(終値!A227="","",IFERROR(4*STDEVP(終値!L227:AE227)/AVERAGE(終値!L227:AE227),""))</f>
      </c>
      <c r="J227" s="684">
        <f>IF(終値!A227="","",IFERROR(4*STDEVP(終値!M227:AF227)/AVERAGE(終値!M227:AF227),""))</f>
      </c>
      <c r="K227" s="684">
        <f>IF(終値!A227="","",IFERROR(4*STDEVP(終値!N227:AG227)/AVERAGE(終値!N227:AG227),""))</f>
      </c>
      <c r="L227" s="684">
        <f>IF(終値!A227="","",IFERROR(4*STDEVP(終値!O227:AH227)/AVERAGE(終値!O227:AH227),""))</f>
      </c>
      <c r="M227" s="684">
        <f>IF(終値!A227="","",IFERROR(4*STDEVP(終値!P227:AI227)/AVERAGE(終値!P227:AI227),""))</f>
      </c>
      <c r="N227" s="684">
        <f>IF(終値!A227="","",IFERROR(4*STDEVP(終値!Q227:AJ227)/AVERAGE(終値!Q227:AJ227),""))</f>
      </c>
      <c r="O227" s="684">
        <f>IF(終値!A227="","",IFERROR(4*STDEVP(終値!R227:AK227)/AVERAGE(終値!R227:AK227),""))</f>
      </c>
      <c r="P227" s="684">
        <f>IF(終値!A227="","",IFERROR(4*STDEVP(終値!S227:AL227)/AVERAGE(終値!S227:AL227),""))</f>
      </c>
      <c r="Q227" s="684">
        <f>IF(終値!A227="","",IFERROR(4*STDEVP(終値!T227:AM227)/AVERAGE(終値!T227:AM227),""))</f>
      </c>
      <c r="R227" s="684">
        <f>IF(終値!A227="","",IFERROR(4*STDEVP(終値!U227:AN227)/AVERAGE(終値!U227:AN227),""))</f>
      </c>
      <c r="S227" s="684">
        <f>IF(終値!A227="","",IFERROR(4*STDEVP(終値!V227:AO227)/AVERAGE(終値!V227:AO227),""))</f>
      </c>
      <c r="T227" s="684">
        <f>IF(終値!A227="","",IFERROR(4*STDEVP(終値!W227:AP227)/AVERAGE(終値!W227:AP227),""))</f>
      </c>
      <c r="U227" s="684">
        <f>IF(終値!A227="","",IFERROR(4*STDEVP(終値!X227:AQ227)/AVERAGE(終値!X227:AQ227),""))</f>
      </c>
      <c r="V227" s="684">
        <f>IF(終値!A227="","",IFERROR(4*STDEVP(終値!Y227:AR227)/AVERAGE(終値!Y227:AR227),""))</f>
      </c>
      <c r="W227" s="684">
        <f>IF(終値!A227="","",IFERROR(4*STDEVP(終値!Z227:AS227)/AVERAGE(終値!Z227:AS227),""))</f>
      </c>
      <c r="X227" s="684">
        <f>IF(終値!A227="","",IFERROR(4*STDEVP(終値!AA227:AT227)/AVERAGE(終値!AA227:AT227),""))</f>
      </c>
      <c r="Y227" s="684">
        <f>IF(終値!A227="","",IFERROR(4*STDEVP(終値!AB227:AU227)/AVERAGE(終値!AB227:AU227),""))</f>
      </c>
      <c r="Z227" s="684">
        <f>IF(終値!A227="","",IFERROR(4*STDEVP(終値!AC227:AV227)/AVERAGE(終値!AC227:AV227),""))</f>
      </c>
      <c r="AA227" s="684">
        <f>IF(終値!A227="","",IFERROR(4*STDEVP(終値!AD227:AW227)/AVERAGE(終値!AD227:AW227),""))</f>
      </c>
      <c r="AB227" s="684">
        <f>IF(終値!A227="","",IFERROR(4*STDEVP(終値!AE227:AX227)/AVERAGE(終値!AE227:AX227),""))</f>
      </c>
      <c r="AC227" s="684">
        <f>IF(終値!A227="","",IFERROR(4*STDEVP(終値!AF227:AY227)/AVERAGE(終値!AF227:AY227),""))</f>
      </c>
      <c r="AD227" s="684">
        <f>IF(終値!A227="","",IFERROR(4*STDEVP(終値!AG227:AZ227)/AVERAGE(終値!AG227:AZ227),""))</f>
      </c>
      <c r="AE227" s="684">
        <f>IF(終値!A227="","",IFERROR(4*STDEVP(終値!AH227:BA227)/AVERAGE(終値!AH227:BA227),""))</f>
      </c>
      <c r="AF227" s="684">
        <f>IF(終値!A227="","",IFERROR(4*STDEVP(終値!AI227:BB227)/AVERAGE(終値!AI227:BB227),""))</f>
      </c>
      <c r="AG227" s="684">
        <f>IF(終値!A227="","",IFERROR(4*STDEVP(終値!AJ227:BC227)/AVERAGE(終値!AJ227:BC227),""))</f>
      </c>
      <c r="AH227" s="684">
        <f>IF(終値!A227="","",IFERROR(4*STDEVP(終値!AK227:BD227)/AVERAGE(終値!AK227:BD227),""))</f>
      </c>
      <c r="AI227" s="684">
        <f>IF(終値!A227="","",IFERROR(4*STDEVP(終値!AL227:BE227)/AVERAGE(終値!AL227:BE227),""))</f>
      </c>
      <c r="AJ227" s="684">
        <f>IF(終値!A227="","",IFERROR(4*STDEVP(終値!AM227:BF227)/AVERAGE(終値!AM227:BF227),""))</f>
      </c>
      <c r="AK227" s="684">
        <f>IF(終値!A227="","",IFERROR(4*STDEVP(終値!AN227:BG227)/AVERAGE(終値!AN227:BG227),""))</f>
      </c>
      <c r="AL227" s="684">
        <f>IF(終値!A227="","",IFERROR(4*STDEVP(終値!AO227:BH227)/AVERAGE(終値!AO227:BH227),""))</f>
      </c>
      <c r="AM227" s="684">
        <f>IF(終値!A227="","",IFERROR(4*STDEVP(終値!AP227:BI227)/AVERAGE(終値!AP227:BI227),""))</f>
      </c>
      <c r="AN227" s="684">
        <f>IF(終値!A227="","",IFERROR(4*STDEVP(終値!AQ227:BJ227)/AVERAGE(終値!AQ227:BJ227),""))</f>
      </c>
      <c r="AO227" s="684">
        <f>IF(終値!A227="","",IFERROR(4*STDEVP(終値!AR227:BK227)/AVERAGE(終値!AR227:BK227),""))</f>
      </c>
      <c r="AP227" s="684">
        <f>IF(終値!A227="","",IFERROR(4*STDEVP(終値!AS227:BL227)/AVERAGE(終値!AS227:BL227),""))</f>
      </c>
    </row>
    <row r="228">
      <c r="A228" s="681">
        <f>IF(終値!A228="","",終値!A228)</f>
      </c>
      <c r="B228" s="684">
        <f>IF(終値!A228="","",IFERROR(4*STDEVP(終値!E228:X228)/AVERAGE(終値!E228:X228),""))</f>
      </c>
      <c r="C228" s="684">
        <f>IF(終値!A228="","",IFERROR(4*STDEVP(終値!F228:Y228)/AVERAGE(終値!F228:Y228),""))</f>
      </c>
      <c r="D228" s="684">
        <f>IF(終値!A228="","",IFERROR(4*STDEVP(終値!G228:Z228)/AVERAGE(終値!G228:Z228),""))</f>
      </c>
      <c r="E228" s="684">
        <f>IF(終値!A228="","",IFERROR(4*STDEVP(終値!H228:AA228)/AVERAGE(終値!H228:AA228),""))</f>
      </c>
      <c r="F228" s="684">
        <f>IF(終値!A228="","",IFERROR(4*STDEVP(終値!I228:AB228)/AVERAGE(終値!I228:AB228),""))</f>
      </c>
      <c r="G228" s="684">
        <f>IF(終値!A228="","",IFERROR(4*STDEVP(終値!J228:AC228)/AVERAGE(終値!J228:AC228),""))</f>
      </c>
      <c r="H228" s="684">
        <f>IF(終値!A228="","",IFERROR(4*STDEVP(終値!K228:AD228)/AVERAGE(終値!K228:AD228),""))</f>
      </c>
      <c r="I228" s="684">
        <f>IF(終値!A228="","",IFERROR(4*STDEVP(終値!L228:AE228)/AVERAGE(終値!L228:AE228),""))</f>
      </c>
      <c r="J228" s="684">
        <f>IF(終値!A228="","",IFERROR(4*STDEVP(終値!M228:AF228)/AVERAGE(終値!M228:AF228),""))</f>
      </c>
      <c r="K228" s="684">
        <f>IF(終値!A228="","",IFERROR(4*STDEVP(終値!N228:AG228)/AVERAGE(終値!N228:AG228),""))</f>
      </c>
      <c r="L228" s="684">
        <f>IF(終値!A228="","",IFERROR(4*STDEVP(終値!O228:AH228)/AVERAGE(終値!O228:AH228),""))</f>
      </c>
      <c r="M228" s="684">
        <f>IF(終値!A228="","",IFERROR(4*STDEVP(終値!P228:AI228)/AVERAGE(終値!P228:AI228),""))</f>
      </c>
      <c r="N228" s="684">
        <f>IF(終値!A228="","",IFERROR(4*STDEVP(終値!Q228:AJ228)/AVERAGE(終値!Q228:AJ228),""))</f>
      </c>
      <c r="O228" s="684">
        <f>IF(終値!A228="","",IFERROR(4*STDEVP(終値!R228:AK228)/AVERAGE(終値!R228:AK228),""))</f>
      </c>
      <c r="P228" s="684">
        <f>IF(終値!A228="","",IFERROR(4*STDEVP(終値!S228:AL228)/AVERAGE(終値!S228:AL228),""))</f>
      </c>
      <c r="Q228" s="684">
        <f>IF(終値!A228="","",IFERROR(4*STDEVP(終値!T228:AM228)/AVERAGE(終値!T228:AM228),""))</f>
      </c>
      <c r="R228" s="684">
        <f>IF(終値!A228="","",IFERROR(4*STDEVP(終値!U228:AN228)/AVERAGE(終値!U228:AN228),""))</f>
      </c>
      <c r="S228" s="684">
        <f>IF(終値!A228="","",IFERROR(4*STDEVP(終値!V228:AO228)/AVERAGE(終値!V228:AO228),""))</f>
      </c>
      <c r="T228" s="684">
        <f>IF(終値!A228="","",IFERROR(4*STDEVP(終値!W228:AP228)/AVERAGE(終値!W228:AP228),""))</f>
      </c>
      <c r="U228" s="684">
        <f>IF(終値!A228="","",IFERROR(4*STDEVP(終値!X228:AQ228)/AVERAGE(終値!X228:AQ228),""))</f>
      </c>
      <c r="V228" s="684">
        <f>IF(終値!A228="","",IFERROR(4*STDEVP(終値!Y228:AR228)/AVERAGE(終値!Y228:AR228),""))</f>
      </c>
      <c r="W228" s="684">
        <f>IF(終値!A228="","",IFERROR(4*STDEVP(終値!Z228:AS228)/AVERAGE(終値!Z228:AS228),""))</f>
      </c>
      <c r="X228" s="684">
        <f>IF(終値!A228="","",IFERROR(4*STDEVP(終値!AA228:AT228)/AVERAGE(終値!AA228:AT228),""))</f>
      </c>
      <c r="Y228" s="684">
        <f>IF(終値!A228="","",IFERROR(4*STDEVP(終値!AB228:AU228)/AVERAGE(終値!AB228:AU228),""))</f>
      </c>
      <c r="Z228" s="684">
        <f>IF(終値!A228="","",IFERROR(4*STDEVP(終値!AC228:AV228)/AVERAGE(終値!AC228:AV228),""))</f>
      </c>
      <c r="AA228" s="684">
        <f>IF(終値!A228="","",IFERROR(4*STDEVP(終値!AD228:AW228)/AVERAGE(終値!AD228:AW228),""))</f>
      </c>
      <c r="AB228" s="684">
        <f>IF(終値!A228="","",IFERROR(4*STDEVP(終値!AE228:AX228)/AVERAGE(終値!AE228:AX228),""))</f>
      </c>
      <c r="AC228" s="684">
        <f>IF(終値!A228="","",IFERROR(4*STDEVP(終値!AF228:AY228)/AVERAGE(終値!AF228:AY228),""))</f>
      </c>
      <c r="AD228" s="684">
        <f>IF(終値!A228="","",IFERROR(4*STDEVP(終値!AG228:AZ228)/AVERAGE(終値!AG228:AZ228),""))</f>
      </c>
      <c r="AE228" s="684">
        <f>IF(終値!A228="","",IFERROR(4*STDEVP(終値!AH228:BA228)/AVERAGE(終値!AH228:BA228),""))</f>
      </c>
      <c r="AF228" s="684">
        <f>IF(終値!A228="","",IFERROR(4*STDEVP(終値!AI228:BB228)/AVERAGE(終値!AI228:BB228),""))</f>
      </c>
      <c r="AG228" s="684">
        <f>IF(終値!A228="","",IFERROR(4*STDEVP(終値!AJ228:BC228)/AVERAGE(終値!AJ228:BC228),""))</f>
      </c>
      <c r="AH228" s="684">
        <f>IF(終値!A228="","",IFERROR(4*STDEVP(終値!AK228:BD228)/AVERAGE(終値!AK228:BD228),""))</f>
      </c>
      <c r="AI228" s="684">
        <f>IF(終値!A228="","",IFERROR(4*STDEVP(終値!AL228:BE228)/AVERAGE(終値!AL228:BE228),""))</f>
      </c>
      <c r="AJ228" s="684">
        <f>IF(終値!A228="","",IFERROR(4*STDEVP(終値!AM228:BF228)/AVERAGE(終値!AM228:BF228),""))</f>
      </c>
      <c r="AK228" s="684">
        <f>IF(終値!A228="","",IFERROR(4*STDEVP(終値!AN228:BG228)/AVERAGE(終値!AN228:BG228),""))</f>
      </c>
      <c r="AL228" s="684">
        <f>IF(終値!A228="","",IFERROR(4*STDEVP(終値!AO228:BH228)/AVERAGE(終値!AO228:BH228),""))</f>
      </c>
      <c r="AM228" s="684">
        <f>IF(終値!A228="","",IFERROR(4*STDEVP(終値!AP228:BI228)/AVERAGE(終値!AP228:BI228),""))</f>
      </c>
      <c r="AN228" s="684">
        <f>IF(終値!A228="","",IFERROR(4*STDEVP(終値!AQ228:BJ228)/AVERAGE(終値!AQ228:BJ228),""))</f>
      </c>
      <c r="AO228" s="684">
        <f>IF(終値!A228="","",IFERROR(4*STDEVP(終値!AR228:BK228)/AVERAGE(終値!AR228:BK228),""))</f>
      </c>
      <c r="AP228" s="684">
        <f>IF(終値!A228="","",IFERROR(4*STDEVP(終値!AS228:BL228)/AVERAGE(終値!AS228:BL228),""))</f>
      </c>
    </row>
    <row r="229">
      <c r="A229" s="681">
        <f>IF(終値!A229="","",終値!A229)</f>
      </c>
      <c r="B229" s="684">
        <f>IF(終値!A229="","",IFERROR(4*STDEVP(終値!E229:X229)/AVERAGE(終値!E229:X229),""))</f>
      </c>
      <c r="C229" s="684">
        <f>IF(終値!A229="","",IFERROR(4*STDEVP(終値!F229:Y229)/AVERAGE(終値!F229:Y229),""))</f>
      </c>
      <c r="D229" s="684">
        <f>IF(終値!A229="","",IFERROR(4*STDEVP(終値!G229:Z229)/AVERAGE(終値!G229:Z229),""))</f>
      </c>
      <c r="E229" s="684">
        <f>IF(終値!A229="","",IFERROR(4*STDEVP(終値!H229:AA229)/AVERAGE(終値!H229:AA229),""))</f>
      </c>
      <c r="F229" s="684">
        <f>IF(終値!A229="","",IFERROR(4*STDEVP(終値!I229:AB229)/AVERAGE(終値!I229:AB229),""))</f>
      </c>
      <c r="G229" s="684">
        <f>IF(終値!A229="","",IFERROR(4*STDEVP(終値!J229:AC229)/AVERAGE(終値!J229:AC229),""))</f>
      </c>
      <c r="H229" s="684">
        <f>IF(終値!A229="","",IFERROR(4*STDEVP(終値!K229:AD229)/AVERAGE(終値!K229:AD229),""))</f>
      </c>
      <c r="I229" s="684">
        <f>IF(終値!A229="","",IFERROR(4*STDEVP(終値!L229:AE229)/AVERAGE(終値!L229:AE229),""))</f>
      </c>
      <c r="J229" s="684">
        <f>IF(終値!A229="","",IFERROR(4*STDEVP(終値!M229:AF229)/AVERAGE(終値!M229:AF229),""))</f>
      </c>
      <c r="K229" s="684">
        <f>IF(終値!A229="","",IFERROR(4*STDEVP(終値!N229:AG229)/AVERAGE(終値!N229:AG229),""))</f>
      </c>
      <c r="L229" s="684">
        <f>IF(終値!A229="","",IFERROR(4*STDEVP(終値!O229:AH229)/AVERAGE(終値!O229:AH229),""))</f>
      </c>
      <c r="M229" s="684">
        <f>IF(終値!A229="","",IFERROR(4*STDEVP(終値!P229:AI229)/AVERAGE(終値!P229:AI229),""))</f>
      </c>
      <c r="N229" s="684">
        <f>IF(終値!A229="","",IFERROR(4*STDEVP(終値!Q229:AJ229)/AVERAGE(終値!Q229:AJ229),""))</f>
      </c>
      <c r="O229" s="684">
        <f>IF(終値!A229="","",IFERROR(4*STDEVP(終値!R229:AK229)/AVERAGE(終値!R229:AK229),""))</f>
      </c>
      <c r="P229" s="684">
        <f>IF(終値!A229="","",IFERROR(4*STDEVP(終値!S229:AL229)/AVERAGE(終値!S229:AL229),""))</f>
      </c>
      <c r="Q229" s="684">
        <f>IF(終値!A229="","",IFERROR(4*STDEVP(終値!T229:AM229)/AVERAGE(終値!T229:AM229),""))</f>
      </c>
      <c r="R229" s="684">
        <f>IF(終値!A229="","",IFERROR(4*STDEVP(終値!U229:AN229)/AVERAGE(終値!U229:AN229),""))</f>
      </c>
      <c r="S229" s="684">
        <f>IF(終値!A229="","",IFERROR(4*STDEVP(終値!V229:AO229)/AVERAGE(終値!V229:AO229),""))</f>
      </c>
      <c r="T229" s="684">
        <f>IF(終値!A229="","",IFERROR(4*STDEVP(終値!W229:AP229)/AVERAGE(終値!W229:AP229),""))</f>
      </c>
      <c r="U229" s="684">
        <f>IF(終値!A229="","",IFERROR(4*STDEVP(終値!X229:AQ229)/AVERAGE(終値!X229:AQ229),""))</f>
      </c>
      <c r="V229" s="684">
        <f>IF(終値!A229="","",IFERROR(4*STDEVP(終値!Y229:AR229)/AVERAGE(終値!Y229:AR229),""))</f>
      </c>
      <c r="W229" s="684">
        <f>IF(終値!A229="","",IFERROR(4*STDEVP(終値!Z229:AS229)/AVERAGE(終値!Z229:AS229),""))</f>
      </c>
      <c r="X229" s="684">
        <f>IF(終値!A229="","",IFERROR(4*STDEVP(終値!AA229:AT229)/AVERAGE(終値!AA229:AT229),""))</f>
      </c>
      <c r="Y229" s="684">
        <f>IF(終値!A229="","",IFERROR(4*STDEVP(終値!AB229:AU229)/AVERAGE(終値!AB229:AU229),""))</f>
      </c>
      <c r="Z229" s="684">
        <f>IF(終値!A229="","",IFERROR(4*STDEVP(終値!AC229:AV229)/AVERAGE(終値!AC229:AV229),""))</f>
      </c>
      <c r="AA229" s="684">
        <f>IF(終値!A229="","",IFERROR(4*STDEVP(終値!AD229:AW229)/AVERAGE(終値!AD229:AW229),""))</f>
      </c>
      <c r="AB229" s="684">
        <f>IF(終値!A229="","",IFERROR(4*STDEVP(終値!AE229:AX229)/AVERAGE(終値!AE229:AX229),""))</f>
      </c>
      <c r="AC229" s="684">
        <f>IF(終値!A229="","",IFERROR(4*STDEVP(終値!AF229:AY229)/AVERAGE(終値!AF229:AY229),""))</f>
      </c>
      <c r="AD229" s="684">
        <f>IF(終値!A229="","",IFERROR(4*STDEVP(終値!AG229:AZ229)/AVERAGE(終値!AG229:AZ229),""))</f>
      </c>
      <c r="AE229" s="684">
        <f>IF(終値!A229="","",IFERROR(4*STDEVP(終値!AH229:BA229)/AVERAGE(終値!AH229:BA229),""))</f>
      </c>
      <c r="AF229" s="684">
        <f>IF(終値!A229="","",IFERROR(4*STDEVP(終値!AI229:BB229)/AVERAGE(終値!AI229:BB229),""))</f>
      </c>
      <c r="AG229" s="684">
        <f>IF(終値!A229="","",IFERROR(4*STDEVP(終値!AJ229:BC229)/AVERAGE(終値!AJ229:BC229),""))</f>
      </c>
      <c r="AH229" s="684">
        <f>IF(終値!A229="","",IFERROR(4*STDEVP(終値!AK229:BD229)/AVERAGE(終値!AK229:BD229),""))</f>
      </c>
      <c r="AI229" s="684">
        <f>IF(終値!A229="","",IFERROR(4*STDEVP(終値!AL229:BE229)/AVERAGE(終値!AL229:BE229),""))</f>
      </c>
      <c r="AJ229" s="684">
        <f>IF(終値!A229="","",IFERROR(4*STDEVP(終値!AM229:BF229)/AVERAGE(終値!AM229:BF229),""))</f>
      </c>
      <c r="AK229" s="684">
        <f>IF(終値!A229="","",IFERROR(4*STDEVP(終値!AN229:BG229)/AVERAGE(終値!AN229:BG229),""))</f>
      </c>
      <c r="AL229" s="684">
        <f>IF(終値!A229="","",IFERROR(4*STDEVP(終値!AO229:BH229)/AVERAGE(終値!AO229:BH229),""))</f>
      </c>
      <c r="AM229" s="684">
        <f>IF(終値!A229="","",IFERROR(4*STDEVP(終値!AP229:BI229)/AVERAGE(終値!AP229:BI229),""))</f>
      </c>
      <c r="AN229" s="684">
        <f>IF(終値!A229="","",IFERROR(4*STDEVP(終値!AQ229:BJ229)/AVERAGE(終値!AQ229:BJ229),""))</f>
      </c>
      <c r="AO229" s="684">
        <f>IF(終値!A229="","",IFERROR(4*STDEVP(終値!AR229:BK229)/AVERAGE(終値!AR229:BK229),""))</f>
      </c>
      <c r="AP229" s="684">
        <f>IF(終値!A229="","",IFERROR(4*STDEVP(終値!AS229:BL229)/AVERAGE(終値!AS229:BL229),""))</f>
      </c>
    </row>
    <row r="230">
      <c r="A230" s="681">
        <f>IF(終値!A230="","",終値!A230)</f>
      </c>
      <c r="B230" s="684">
        <f>IF(終値!A230="","",IFERROR(4*STDEVP(終値!E230:X230)/AVERAGE(終値!E230:X230),""))</f>
      </c>
      <c r="C230" s="684">
        <f>IF(終値!A230="","",IFERROR(4*STDEVP(終値!F230:Y230)/AVERAGE(終値!F230:Y230),""))</f>
      </c>
      <c r="D230" s="684">
        <f>IF(終値!A230="","",IFERROR(4*STDEVP(終値!G230:Z230)/AVERAGE(終値!G230:Z230),""))</f>
      </c>
      <c r="E230" s="684">
        <f>IF(終値!A230="","",IFERROR(4*STDEVP(終値!H230:AA230)/AVERAGE(終値!H230:AA230),""))</f>
      </c>
      <c r="F230" s="684">
        <f>IF(終値!A230="","",IFERROR(4*STDEVP(終値!I230:AB230)/AVERAGE(終値!I230:AB230),""))</f>
      </c>
      <c r="G230" s="684">
        <f>IF(終値!A230="","",IFERROR(4*STDEVP(終値!J230:AC230)/AVERAGE(終値!J230:AC230),""))</f>
      </c>
      <c r="H230" s="684">
        <f>IF(終値!A230="","",IFERROR(4*STDEVP(終値!K230:AD230)/AVERAGE(終値!K230:AD230),""))</f>
      </c>
      <c r="I230" s="684">
        <f>IF(終値!A230="","",IFERROR(4*STDEVP(終値!L230:AE230)/AVERAGE(終値!L230:AE230),""))</f>
      </c>
      <c r="J230" s="684">
        <f>IF(終値!A230="","",IFERROR(4*STDEVP(終値!M230:AF230)/AVERAGE(終値!M230:AF230),""))</f>
      </c>
      <c r="K230" s="684">
        <f>IF(終値!A230="","",IFERROR(4*STDEVP(終値!N230:AG230)/AVERAGE(終値!N230:AG230),""))</f>
      </c>
      <c r="L230" s="684">
        <f>IF(終値!A230="","",IFERROR(4*STDEVP(終値!O230:AH230)/AVERAGE(終値!O230:AH230),""))</f>
      </c>
      <c r="M230" s="684">
        <f>IF(終値!A230="","",IFERROR(4*STDEVP(終値!P230:AI230)/AVERAGE(終値!P230:AI230),""))</f>
      </c>
      <c r="N230" s="684">
        <f>IF(終値!A230="","",IFERROR(4*STDEVP(終値!Q230:AJ230)/AVERAGE(終値!Q230:AJ230),""))</f>
      </c>
      <c r="O230" s="684">
        <f>IF(終値!A230="","",IFERROR(4*STDEVP(終値!R230:AK230)/AVERAGE(終値!R230:AK230),""))</f>
      </c>
      <c r="P230" s="684">
        <f>IF(終値!A230="","",IFERROR(4*STDEVP(終値!S230:AL230)/AVERAGE(終値!S230:AL230),""))</f>
      </c>
      <c r="Q230" s="684">
        <f>IF(終値!A230="","",IFERROR(4*STDEVP(終値!T230:AM230)/AVERAGE(終値!T230:AM230),""))</f>
      </c>
      <c r="R230" s="684">
        <f>IF(終値!A230="","",IFERROR(4*STDEVP(終値!U230:AN230)/AVERAGE(終値!U230:AN230),""))</f>
      </c>
      <c r="S230" s="684">
        <f>IF(終値!A230="","",IFERROR(4*STDEVP(終値!V230:AO230)/AVERAGE(終値!V230:AO230),""))</f>
      </c>
      <c r="T230" s="684">
        <f>IF(終値!A230="","",IFERROR(4*STDEVP(終値!W230:AP230)/AVERAGE(終値!W230:AP230),""))</f>
      </c>
      <c r="U230" s="684">
        <f>IF(終値!A230="","",IFERROR(4*STDEVP(終値!X230:AQ230)/AVERAGE(終値!X230:AQ230),""))</f>
      </c>
      <c r="V230" s="684">
        <f>IF(終値!A230="","",IFERROR(4*STDEVP(終値!Y230:AR230)/AVERAGE(終値!Y230:AR230),""))</f>
      </c>
      <c r="W230" s="684">
        <f>IF(終値!A230="","",IFERROR(4*STDEVP(終値!Z230:AS230)/AVERAGE(終値!Z230:AS230),""))</f>
      </c>
      <c r="X230" s="684">
        <f>IF(終値!A230="","",IFERROR(4*STDEVP(終値!AA230:AT230)/AVERAGE(終値!AA230:AT230),""))</f>
      </c>
      <c r="Y230" s="684">
        <f>IF(終値!A230="","",IFERROR(4*STDEVP(終値!AB230:AU230)/AVERAGE(終値!AB230:AU230),""))</f>
      </c>
      <c r="Z230" s="684">
        <f>IF(終値!A230="","",IFERROR(4*STDEVP(終値!AC230:AV230)/AVERAGE(終値!AC230:AV230),""))</f>
      </c>
      <c r="AA230" s="684">
        <f>IF(終値!A230="","",IFERROR(4*STDEVP(終値!AD230:AW230)/AVERAGE(終値!AD230:AW230),""))</f>
      </c>
      <c r="AB230" s="684">
        <f>IF(終値!A230="","",IFERROR(4*STDEVP(終値!AE230:AX230)/AVERAGE(終値!AE230:AX230),""))</f>
      </c>
      <c r="AC230" s="684">
        <f>IF(終値!A230="","",IFERROR(4*STDEVP(終値!AF230:AY230)/AVERAGE(終値!AF230:AY230),""))</f>
      </c>
      <c r="AD230" s="684">
        <f>IF(終値!A230="","",IFERROR(4*STDEVP(終値!AG230:AZ230)/AVERAGE(終値!AG230:AZ230),""))</f>
      </c>
      <c r="AE230" s="684">
        <f>IF(終値!A230="","",IFERROR(4*STDEVP(終値!AH230:BA230)/AVERAGE(終値!AH230:BA230),""))</f>
      </c>
      <c r="AF230" s="684">
        <f>IF(終値!A230="","",IFERROR(4*STDEVP(終値!AI230:BB230)/AVERAGE(終値!AI230:BB230),""))</f>
      </c>
      <c r="AG230" s="684">
        <f>IF(終値!A230="","",IFERROR(4*STDEVP(終値!AJ230:BC230)/AVERAGE(終値!AJ230:BC230),""))</f>
      </c>
      <c r="AH230" s="684">
        <f>IF(終値!A230="","",IFERROR(4*STDEVP(終値!AK230:BD230)/AVERAGE(終値!AK230:BD230),""))</f>
      </c>
      <c r="AI230" s="684">
        <f>IF(終値!A230="","",IFERROR(4*STDEVP(終値!AL230:BE230)/AVERAGE(終値!AL230:BE230),""))</f>
      </c>
      <c r="AJ230" s="684">
        <f>IF(終値!A230="","",IFERROR(4*STDEVP(終値!AM230:BF230)/AVERAGE(終値!AM230:BF230),""))</f>
      </c>
      <c r="AK230" s="684">
        <f>IF(終値!A230="","",IFERROR(4*STDEVP(終値!AN230:BG230)/AVERAGE(終値!AN230:BG230),""))</f>
      </c>
      <c r="AL230" s="684">
        <f>IF(終値!A230="","",IFERROR(4*STDEVP(終値!AO230:BH230)/AVERAGE(終値!AO230:BH230),""))</f>
      </c>
      <c r="AM230" s="684">
        <f>IF(終値!A230="","",IFERROR(4*STDEVP(終値!AP230:BI230)/AVERAGE(終値!AP230:BI230),""))</f>
      </c>
      <c r="AN230" s="684">
        <f>IF(終値!A230="","",IFERROR(4*STDEVP(終値!AQ230:BJ230)/AVERAGE(終値!AQ230:BJ230),""))</f>
      </c>
      <c r="AO230" s="684">
        <f>IF(終値!A230="","",IFERROR(4*STDEVP(終値!AR230:BK230)/AVERAGE(終値!AR230:BK230),""))</f>
      </c>
      <c r="AP230" s="684">
        <f>IF(終値!A230="","",IFERROR(4*STDEVP(終値!AS230:BL230)/AVERAGE(終値!AS230:BL230),""))</f>
      </c>
    </row>
    <row r="231">
      <c r="A231" s="681">
        <f>IF(終値!A231="","",終値!A231)</f>
      </c>
      <c r="B231" s="684">
        <f>IF(終値!A231="","",IFERROR(4*STDEVP(終値!E231:X231)/AVERAGE(終値!E231:X231),""))</f>
      </c>
      <c r="C231" s="684">
        <f>IF(終値!A231="","",IFERROR(4*STDEVP(終値!F231:Y231)/AVERAGE(終値!F231:Y231),""))</f>
      </c>
      <c r="D231" s="684">
        <f>IF(終値!A231="","",IFERROR(4*STDEVP(終値!G231:Z231)/AVERAGE(終値!G231:Z231),""))</f>
      </c>
      <c r="E231" s="684">
        <f>IF(終値!A231="","",IFERROR(4*STDEVP(終値!H231:AA231)/AVERAGE(終値!H231:AA231),""))</f>
      </c>
      <c r="F231" s="684">
        <f>IF(終値!A231="","",IFERROR(4*STDEVP(終値!I231:AB231)/AVERAGE(終値!I231:AB231),""))</f>
      </c>
      <c r="G231" s="684">
        <f>IF(終値!A231="","",IFERROR(4*STDEVP(終値!J231:AC231)/AVERAGE(終値!J231:AC231),""))</f>
      </c>
      <c r="H231" s="684">
        <f>IF(終値!A231="","",IFERROR(4*STDEVP(終値!K231:AD231)/AVERAGE(終値!K231:AD231),""))</f>
      </c>
      <c r="I231" s="684">
        <f>IF(終値!A231="","",IFERROR(4*STDEVP(終値!L231:AE231)/AVERAGE(終値!L231:AE231),""))</f>
      </c>
      <c r="J231" s="684">
        <f>IF(終値!A231="","",IFERROR(4*STDEVP(終値!M231:AF231)/AVERAGE(終値!M231:AF231),""))</f>
      </c>
      <c r="K231" s="684">
        <f>IF(終値!A231="","",IFERROR(4*STDEVP(終値!N231:AG231)/AVERAGE(終値!N231:AG231),""))</f>
      </c>
      <c r="L231" s="684">
        <f>IF(終値!A231="","",IFERROR(4*STDEVP(終値!O231:AH231)/AVERAGE(終値!O231:AH231),""))</f>
      </c>
      <c r="M231" s="684">
        <f>IF(終値!A231="","",IFERROR(4*STDEVP(終値!P231:AI231)/AVERAGE(終値!P231:AI231),""))</f>
      </c>
      <c r="N231" s="684">
        <f>IF(終値!A231="","",IFERROR(4*STDEVP(終値!Q231:AJ231)/AVERAGE(終値!Q231:AJ231),""))</f>
      </c>
      <c r="O231" s="684">
        <f>IF(終値!A231="","",IFERROR(4*STDEVP(終値!R231:AK231)/AVERAGE(終値!R231:AK231),""))</f>
      </c>
      <c r="P231" s="684">
        <f>IF(終値!A231="","",IFERROR(4*STDEVP(終値!S231:AL231)/AVERAGE(終値!S231:AL231),""))</f>
      </c>
      <c r="Q231" s="684">
        <f>IF(終値!A231="","",IFERROR(4*STDEVP(終値!T231:AM231)/AVERAGE(終値!T231:AM231),""))</f>
      </c>
      <c r="R231" s="684">
        <f>IF(終値!A231="","",IFERROR(4*STDEVP(終値!U231:AN231)/AVERAGE(終値!U231:AN231),""))</f>
      </c>
      <c r="S231" s="684">
        <f>IF(終値!A231="","",IFERROR(4*STDEVP(終値!V231:AO231)/AVERAGE(終値!V231:AO231),""))</f>
      </c>
      <c r="T231" s="684">
        <f>IF(終値!A231="","",IFERROR(4*STDEVP(終値!W231:AP231)/AVERAGE(終値!W231:AP231),""))</f>
      </c>
      <c r="U231" s="684">
        <f>IF(終値!A231="","",IFERROR(4*STDEVP(終値!X231:AQ231)/AVERAGE(終値!X231:AQ231),""))</f>
      </c>
      <c r="V231" s="684">
        <f>IF(終値!A231="","",IFERROR(4*STDEVP(終値!Y231:AR231)/AVERAGE(終値!Y231:AR231),""))</f>
      </c>
      <c r="W231" s="684">
        <f>IF(終値!A231="","",IFERROR(4*STDEVP(終値!Z231:AS231)/AVERAGE(終値!Z231:AS231),""))</f>
      </c>
      <c r="X231" s="684">
        <f>IF(終値!A231="","",IFERROR(4*STDEVP(終値!AA231:AT231)/AVERAGE(終値!AA231:AT231),""))</f>
      </c>
      <c r="Y231" s="684">
        <f>IF(終値!A231="","",IFERROR(4*STDEVP(終値!AB231:AU231)/AVERAGE(終値!AB231:AU231),""))</f>
      </c>
      <c r="Z231" s="684">
        <f>IF(終値!A231="","",IFERROR(4*STDEVP(終値!AC231:AV231)/AVERAGE(終値!AC231:AV231),""))</f>
      </c>
      <c r="AA231" s="684">
        <f>IF(終値!A231="","",IFERROR(4*STDEVP(終値!AD231:AW231)/AVERAGE(終値!AD231:AW231),""))</f>
      </c>
      <c r="AB231" s="684">
        <f>IF(終値!A231="","",IFERROR(4*STDEVP(終値!AE231:AX231)/AVERAGE(終値!AE231:AX231),""))</f>
      </c>
      <c r="AC231" s="684">
        <f>IF(終値!A231="","",IFERROR(4*STDEVP(終値!AF231:AY231)/AVERAGE(終値!AF231:AY231),""))</f>
      </c>
      <c r="AD231" s="684">
        <f>IF(終値!A231="","",IFERROR(4*STDEVP(終値!AG231:AZ231)/AVERAGE(終値!AG231:AZ231),""))</f>
      </c>
      <c r="AE231" s="684">
        <f>IF(終値!A231="","",IFERROR(4*STDEVP(終値!AH231:BA231)/AVERAGE(終値!AH231:BA231),""))</f>
      </c>
      <c r="AF231" s="684">
        <f>IF(終値!A231="","",IFERROR(4*STDEVP(終値!AI231:BB231)/AVERAGE(終値!AI231:BB231),""))</f>
      </c>
      <c r="AG231" s="684">
        <f>IF(終値!A231="","",IFERROR(4*STDEVP(終値!AJ231:BC231)/AVERAGE(終値!AJ231:BC231),""))</f>
      </c>
      <c r="AH231" s="684">
        <f>IF(終値!A231="","",IFERROR(4*STDEVP(終値!AK231:BD231)/AVERAGE(終値!AK231:BD231),""))</f>
      </c>
      <c r="AI231" s="684">
        <f>IF(終値!A231="","",IFERROR(4*STDEVP(終値!AL231:BE231)/AVERAGE(終値!AL231:BE231),""))</f>
      </c>
      <c r="AJ231" s="684">
        <f>IF(終値!A231="","",IFERROR(4*STDEVP(終値!AM231:BF231)/AVERAGE(終値!AM231:BF231),""))</f>
      </c>
      <c r="AK231" s="684">
        <f>IF(終値!A231="","",IFERROR(4*STDEVP(終値!AN231:BG231)/AVERAGE(終値!AN231:BG231),""))</f>
      </c>
      <c r="AL231" s="684">
        <f>IF(終値!A231="","",IFERROR(4*STDEVP(終値!AO231:BH231)/AVERAGE(終値!AO231:BH231),""))</f>
      </c>
      <c r="AM231" s="684">
        <f>IF(終値!A231="","",IFERROR(4*STDEVP(終値!AP231:BI231)/AVERAGE(終値!AP231:BI231),""))</f>
      </c>
      <c r="AN231" s="684">
        <f>IF(終値!A231="","",IFERROR(4*STDEVP(終値!AQ231:BJ231)/AVERAGE(終値!AQ231:BJ231),""))</f>
      </c>
      <c r="AO231" s="684">
        <f>IF(終値!A231="","",IFERROR(4*STDEVP(終値!AR231:BK231)/AVERAGE(終値!AR231:BK231),""))</f>
      </c>
      <c r="AP231" s="684">
        <f>IF(終値!A231="","",IFERROR(4*STDEVP(終値!AS231:BL231)/AVERAGE(終値!AS231:BL231),""))</f>
      </c>
    </row>
    <row r="232">
      <c r="A232" s="681">
        <f>IF(終値!A232="","",終値!A232)</f>
      </c>
      <c r="B232" s="684">
        <f>IF(終値!A232="","",IFERROR(4*STDEVP(終値!E232:X232)/AVERAGE(終値!E232:X232),""))</f>
      </c>
      <c r="C232" s="684">
        <f>IF(終値!A232="","",IFERROR(4*STDEVP(終値!F232:Y232)/AVERAGE(終値!F232:Y232),""))</f>
      </c>
      <c r="D232" s="684">
        <f>IF(終値!A232="","",IFERROR(4*STDEVP(終値!G232:Z232)/AVERAGE(終値!G232:Z232),""))</f>
      </c>
      <c r="E232" s="684">
        <f>IF(終値!A232="","",IFERROR(4*STDEVP(終値!H232:AA232)/AVERAGE(終値!H232:AA232),""))</f>
      </c>
      <c r="F232" s="684">
        <f>IF(終値!A232="","",IFERROR(4*STDEVP(終値!I232:AB232)/AVERAGE(終値!I232:AB232),""))</f>
      </c>
      <c r="G232" s="684">
        <f>IF(終値!A232="","",IFERROR(4*STDEVP(終値!J232:AC232)/AVERAGE(終値!J232:AC232),""))</f>
      </c>
      <c r="H232" s="684">
        <f>IF(終値!A232="","",IFERROR(4*STDEVP(終値!K232:AD232)/AVERAGE(終値!K232:AD232),""))</f>
      </c>
      <c r="I232" s="684">
        <f>IF(終値!A232="","",IFERROR(4*STDEVP(終値!L232:AE232)/AVERAGE(終値!L232:AE232),""))</f>
      </c>
      <c r="J232" s="684">
        <f>IF(終値!A232="","",IFERROR(4*STDEVP(終値!M232:AF232)/AVERAGE(終値!M232:AF232),""))</f>
      </c>
      <c r="K232" s="684">
        <f>IF(終値!A232="","",IFERROR(4*STDEVP(終値!N232:AG232)/AVERAGE(終値!N232:AG232),""))</f>
      </c>
      <c r="L232" s="684">
        <f>IF(終値!A232="","",IFERROR(4*STDEVP(終値!O232:AH232)/AVERAGE(終値!O232:AH232),""))</f>
      </c>
      <c r="M232" s="684">
        <f>IF(終値!A232="","",IFERROR(4*STDEVP(終値!P232:AI232)/AVERAGE(終値!P232:AI232),""))</f>
      </c>
      <c r="N232" s="684">
        <f>IF(終値!A232="","",IFERROR(4*STDEVP(終値!Q232:AJ232)/AVERAGE(終値!Q232:AJ232),""))</f>
      </c>
      <c r="O232" s="684">
        <f>IF(終値!A232="","",IFERROR(4*STDEVP(終値!R232:AK232)/AVERAGE(終値!R232:AK232),""))</f>
      </c>
      <c r="P232" s="684">
        <f>IF(終値!A232="","",IFERROR(4*STDEVP(終値!S232:AL232)/AVERAGE(終値!S232:AL232),""))</f>
      </c>
      <c r="Q232" s="684">
        <f>IF(終値!A232="","",IFERROR(4*STDEVP(終値!T232:AM232)/AVERAGE(終値!T232:AM232),""))</f>
      </c>
      <c r="R232" s="684">
        <f>IF(終値!A232="","",IFERROR(4*STDEVP(終値!U232:AN232)/AVERAGE(終値!U232:AN232),""))</f>
      </c>
      <c r="S232" s="684">
        <f>IF(終値!A232="","",IFERROR(4*STDEVP(終値!V232:AO232)/AVERAGE(終値!V232:AO232),""))</f>
      </c>
      <c r="T232" s="684">
        <f>IF(終値!A232="","",IFERROR(4*STDEVP(終値!W232:AP232)/AVERAGE(終値!W232:AP232),""))</f>
      </c>
      <c r="U232" s="684">
        <f>IF(終値!A232="","",IFERROR(4*STDEVP(終値!X232:AQ232)/AVERAGE(終値!X232:AQ232),""))</f>
      </c>
      <c r="V232" s="684">
        <f>IF(終値!A232="","",IFERROR(4*STDEVP(終値!Y232:AR232)/AVERAGE(終値!Y232:AR232),""))</f>
      </c>
      <c r="W232" s="684">
        <f>IF(終値!A232="","",IFERROR(4*STDEVP(終値!Z232:AS232)/AVERAGE(終値!Z232:AS232),""))</f>
      </c>
      <c r="X232" s="684">
        <f>IF(終値!A232="","",IFERROR(4*STDEVP(終値!AA232:AT232)/AVERAGE(終値!AA232:AT232),""))</f>
      </c>
      <c r="Y232" s="684">
        <f>IF(終値!A232="","",IFERROR(4*STDEVP(終値!AB232:AU232)/AVERAGE(終値!AB232:AU232),""))</f>
      </c>
      <c r="Z232" s="684">
        <f>IF(終値!A232="","",IFERROR(4*STDEVP(終値!AC232:AV232)/AVERAGE(終値!AC232:AV232),""))</f>
      </c>
      <c r="AA232" s="684">
        <f>IF(終値!A232="","",IFERROR(4*STDEVP(終値!AD232:AW232)/AVERAGE(終値!AD232:AW232),""))</f>
      </c>
      <c r="AB232" s="684">
        <f>IF(終値!A232="","",IFERROR(4*STDEVP(終値!AE232:AX232)/AVERAGE(終値!AE232:AX232),""))</f>
      </c>
      <c r="AC232" s="684">
        <f>IF(終値!A232="","",IFERROR(4*STDEVP(終値!AF232:AY232)/AVERAGE(終値!AF232:AY232),""))</f>
      </c>
      <c r="AD232" s="684">
        <f>IF(終値!A232="","",IFERROR(4*STDEVP(終値!AG232:AZ232)/AVERAGE(終値!AG232:AZ232),""))</f>
      </c>
      <c r="AE232" s="684">
        <f>IF(終値!A232="","",IFERROR(4*STDEVP(終値!AH232:BA232)/AVERAGE(終値!AH232:BA232),""))</f>
      </c>
      <c r="AF232" s="684">
        <f>IF(終値!A232="","",IFERROR(4*STDEVP(終値!AI232:BB232)/AVERAGE(終値!AI232:BB232),""))</f>
      </c>
      <c r="AG232" s="684">
        <f>IF(終値!A232="","",IFERROR(4*STDEVP(終値!AJ232:BC232)/AVERAGE(終値!AJ232:BC232),""))</f>
      </c>
      <c r="AH232" s="684">
        <f>IF(終値!A232="","",IFERROR(4*STDEVP(終値!AK232:BD232)/AVERAGE(終値!AK232:BD232),""))</f>
      </c>
      <c r="AI232" s="684">
        <f>IF(終値!A232="","",IFERROR(4*STDEVP(終値!AL232:BE232)/AVERAGE(終値!AL232:BE232),""))</f>
      </c>
      <c r="AJ232" s="684">
        <f>IF(終値!A232="","",IFERROR(4*STDEVP(終値!AM232:BF232)/AVERAGE(終値!AM232:BF232),""))</f>
      </c>
      <c r="AK232" s="684">
        <f>IF(終値!A232="","",IFERROR(4*STDEVP(終値!AN232:BG232)/AVERAGE(終値!AN232:BG232),""))</f>
      </c>
      <c r="AL232" s="684">
        <f>IF(終値!A232="","",IFERROR(4*STDEVP(終値!AO232:BH232)/AVERAGE(終値!AO232:BH232),""))</f>
      </c>
      <c r="AM232" s="684">
        <f>IF(終値!A232="","",IFERROR(4*STDEVP(終値!AP232:BI232)/AVERAGE(終値!AP232:BI232),""))</f>
      </c>
      <c r="AN232" s="684">
        <f>IF(終値!A232="","",IFERROR(4*STDEVP(終値!AQ232:BJ232)/AVERAGE(終値!AQ232:BJ232),""))</f>
      </c>
      <c r="AO232" s="684">
        <f>IF(終値!A232="","",IFERROR(4*STDEVP(終値!AR232:BK232)/AVERAGE(終値!AR232:BK232),""))</f>
      </c>
      <c r="AP232" s="684">
        <f>IF(終値!A232="","",IFERROR(4*STDEVP(終値!AS232:BL232)/AVERAGE(終値!AS232:BL232),""))</f>
      </c>
    </row>
    <row r="233">
      <c r="A233" s="681">
        <f>IF(終値!A233="","",終値!A233)</f>
      </c>
      <c r="B233" s="684">
        <f>IF(終値!A233="","",IFERROR(4*STDEVP(終値!E233:X233)/AVERAGE(終値!E233:X233),""))</f>
      </c>
      <c r="C233" s="684">
        <f>IF(終値!A233="","",IFERROR(4*STDEVP(終値!F233:Y233)/AVERAGE(終値!F233:Y233),""))</f>
      </c>
      <c r="D233" s="684">
        <f>IF(終値!A233="","",IFERROR(4*STDEVP(終値!G233:Z233)/AVERAGE(終値!G233:Z233),""))</f>
      </c>
      <c r="E233" s="684">
        <f>IF(終値!A233="","",IFERROR(4*STDEVP(終値!H233:AA233)/AVERAGE(終値!H233:AA233),""))</f>
      </c>
      <c r="F233" s="684">
        <f>IF(終値!A233="","",IFERROR(4*STDEVP(終値!I233:AB233)/AVERAGE(終値!I233:AB233),""))</f>
      </c>
      <c r="G233" s="684">
        <f>IF(終値!A233="","",IFERROR(4*STDEVP(終値!J233:AC233)/AVERAGE(終値!J233:AC233),""))</f>
      </c>
      <c r="H233" s="684">
        <f>IF(終値!A233="","",IFERROR(4*STDEVP(終値!K233:AD233)/AVERAGE(終値!K233:AD233),""))</f>
      </c>
      <c r="I233" s="684">
        <f>IF(終値!A233="","",IFERROR(4*STDEVP(終値!L233:AE233)/AVERAGE(終値!L233:AE233),""))</f>
      </c>
      <c r="J233" s="684">
        <f>IF(終値!A233="","",IFERROR(4*STDEVP(終値!M233:AF233)/AVERAGE(終値!M233:AF233),""))</f>
      </c>
      <c r="K233" s="684">
        <f>IF(終値!A233="","",IFERROR(4*STDEVP(終値!N233:AG233)/AVERAGE(終値!N233:AG233),""))</f>
      </c>
      <c r="L233" s="684">
        <f>IF(終値!A233="","",IFERROR(4*STDEVP(終値!O233:AH233)/AVERAGE(終値!O233:AH233),""))</f>
      </c>
      <c r="M233" s="684">
        <f>IF(終値!A233="","",IFERROR(4*STDEVP(終値!P233:AI233)/AVERAGE(終値!P233:AI233),""))</f>
      </c>
      <c r="N233" s="684">
        <f>IF(終値!A233="","",IFERROR(4*STDEVP(終値!Q233:AJ233)/AVERAGE(終値!Q233:AJ233),""))</f>
      </c>
      <c r="O233" s="684">
        <f>IF(終値!A233="","",IFERROR(4*STDEVP(終値!R233:AK233)/AVERAGE(終値!R233:AK233),""))</f>
      </c>
      <c r="P233" s="684">
        <f>IF(終値!A233="","",IFERROR(4*STDEVP(終値!S233:AL233)/AVERAGE(終値!S233:AL233),""))</f>
      </c>
      <c r="Q233" s="684">
        <f>IF(終値!A233="","",IFERROR(4*STDEVP(終値!T233:AM233)/AVERAGE(終値!T233:AM233),""))</f>
      </c>
      <c r="R233" s="684">
        <f>IF(終値!A233="","",IFERROR(4*STDEVP(終値!U233:AN233)/AVERAGE(終値!U233:AN233),""))</f>
      </c>
      <c r="S233" s="684">
        <f>IF(終値!A233="","",IFERROR(4*STDEVP(終値!V233:AO233)/AVERAGE(終値!V233:AO233),""))</f>
      </c>
      <c r="T233" s="684">
        <f>IF(終値!A233="","",IFERROR(4*STDEVP(終値!W233:AP233)/AVERAGE(終値!W233:AP233),""))</f>
      </c>
      <c r="U233" s="684">
        <f>IF(終値!A233="","",IFERROR(4*STDEVP(終値!X233:AQ233)/AVERAGE(終値!X233:AQ233),""))</f>
      </c>
      <c r="V233" s="684">
        <f>IF(終値!A233="","",IFERROR(4*STDEVP(終値!Y233:AR233)/AVERAGE(終値!Y233:AR233),""))</f>
      </c>
      <c r="W233" s="684">
        <f>IF(終値!A233="","",IFERROR(4*STDEVP(終値!Z233:AS233)/AVERAGE(終値!Z233:AS233),""))</f>
      </c>
      <c r="X233" s="684">
        <f>IF(終値!A233="","",IFERROR(4*STDEVP(終値!AA233:AT233)/AVERAGE(終値!AA233:AT233),""))</f>
      </c>
      <c r="Y233" s="684">
        <f>IF(終値!A233="","",IFERROR(4*STDEVP(終値!AB233:AU233)/AVERAGE(終値!AB233:AU233),""))</f>
      </c>
      <c r="Z233" s="684">
        <f>IF(終値!A233="","",IFERROR(4*STDEVP(終値!AC233:AV233)/AVERAGE(終値!AC233:AV233),""))</f>
      </c>
      <c r="AA233" s="684">
        <f>IF(終値!A233="","",IFERROR(4*STDEVP(終値!AD233:AW233)/AVERAGE(終値!AD233:AW233),""))</f>
      </c>
      <c r="AB233" s="684">
        <f>IF(終値!A233="","",IFERROR(4*STDEVP(終値!AE233:AX233)/AVERAGE(終値!AE233:AX233),""))</f>
      </c>
      <c r="AC233" s="684">
        <f>IF(終値!A233="","",IFERROR(4*STDEVP(終値!AF233:AY233)/AVERAGE(終値!AF233:AY233),""))</f>
      </c>
      <c r="AD233" s="684">
        <f>IF(終値!A233="","",IFERROR(4*STDEVP(終値!AG233:AZ233)/AVERAGE(終値!AG233:AZ233),""))</f>
      </c>
      <c r="AE233" s="684">
        <f>IF(終値!A233="","",IFERROR(4*STDEVP(終値!AH233:BA233)/AVERAGE(終値!AH233:BA233),""))</f>
      </c>
      <c r="AF233" s="684">
        <f>IF(終値!A233="","",IFERROR(4*STDEVP(終値!AI233:BB233)/AVERAGE(終値!AI233:BB233),""))</f>
      </c>
      <c r="AG233" s="684">
        <f>IF(終値!A233="","",IFERROR(4*STDEVP(終値!AJ233:BC233)/AVERAGE(終値!AJ233:BC233),""))</f>
      </c>
      <c r="AH233" s="684">
        <f>IF(終値!A233="","",IFERROR(4*STDEVP(終値!AK233:BD233)/AVERAGE(終値!AK233:BD233),""))</f>
      </c>
      <c r="AI233" s="684">
        <f>IF(終値!A233="","",IFERROR(4*STDEVP(終値!AL233:BE233)/AVERAGE(終値!AL233:BE233),""))</f>
      </c>
      <c r="AJ233" s="684">
        <f>IF(終値!A233="","",IFERROR(4*STDEVP(終値!AM233:BF233)/AVERAGE(終値!AM233:BF233),""))</f>
      </c>
      <c r="AK233" s="684">
        <f>IF(終値!A233="","",IFERROR(4*STDEVP(終値!AN233:BG233)/AVERAGE(終値!AN233:BG233),""))</f>
      </c>
      <c r="AL233" s="684">
        <f>IF(終値!A233="","",IFERROR(4*STDEVP(終値!AO233:BH233)/AVERAGE(終値!AO233:BH233),""))</f>
      </c>
      <c r="AM233" s="684">
        <f>IF(終値!A233="","",IFERROR(4*STDEVP(終値!AP233:BI233)/AVERAGE(終値!AP233:BI233),""))</f>
      </c>
      <c r="AN233" s="684">
        <f>IF(終値!A233="","",IFERROR(4*STDEVP(終値!AQ233:BJ233)/AVERAGE(終値!AQ233:BJ233),""))</f>
      </c>
      <c r="AO233" s="684">
        <f>IF(終値!A233="","",IFERROR(4*STDEVP(終値!AR233:BK233)/AVERAGE(終値!AR233:BK233),""))</f>
      </c>
      <c r="AP233" s="684">
        <f>IF(終値!A233="","",IFERROR(4*STDEVP(終値!AS233:BL233)/AVERAGE(終値!AS233:BL233),""))</f>
      </c>
    </row>
    <row r="234">
      <c r="A234" s="681">
        <f>IF(終値!A234="","",終値!A234)</f>
      </c>
      <c r="B234" s="684">
        <f>IF(終値!A234="","",IFERROR(4*STDEVP(終値!E234:X234)/AVERAGE(終値!E234:X234),""))</f>
      </c>
      <c r="C234" s="684">
        <f>IF(終値!A234="","",IFERROR(4*STDEVP(終値!F234:Y234)/AVERAGE(終値!F234:Y234),""))</f>
      </c>
      <c r="D234" s="684">
        <f>IF(終値!A234="","",IFERROR(4*STDEVP(終値!G234:Z234)/AVERAGE(終値!G234:Z234),""))</f>
      </c>
      <c r="E234" s="684">
        <f>IF(終値!A234="","",IFERROR(4*STDEVP(終値!H234:AA234)/AVERAGE(終値!H234:AA234),""))</f>
      </c>
      <c r="F234" s="684">
        <f>IF(終値!A234="","",IFERROR(4*STDEVP(終値!I234:AB234)/AVERAGE(終値!I234:AB234),""))</f>
      </c>
      <c r="G234" s="684">
        <f>IF(終値!A234="","",IFERROR(4*STDEVP(終値!J234:AC234)/AVERAGE(終値!J234:AC234),""))</f>
      </c>
      <c r="H234" s="684">
        <f>IF(終値!A234="","",IFERROR(4*STDEVP(終値!K234:AD234)/AVERAGE(終値!K234:AD234),""))</f>
      </c>
      <c r="I234" s="684">
        <f>IF(終値!A234="","",IFERROR(4*STDEVP(終値!L234:AE234)/AVERAGE(終値!L234:AE234),""))</f>
      </c>
      <c r="J234" s="684">
        <f>IF(終値!A234="","",IFERROR(4*STDEVP(終値!M234:AF234)/AVERAGE(終値!M234:AF234),""))</f>
      </c>
      <c r="K234" s="684">
        <f>IF(終値!A234="","",IFERROR(4*STDEVP(終値!N234:AG234)/AVERAGE(終値!N234:AG234),""))</f>
      </c>
      <c r="L234" s="684">
        <f>IF(終値!A234="","",IFERROR(4*STDEVP(終値!O234:AH234)/AVERAGE(終値!O234:AH234),""))</f>
      </c>
      <c r="M234" s="684">
        <f>IF(終値!A234="","",IFERROR(4*STDEVP(終値!P234:AI234)/AVERAGE(終値!P234:AI234),""))</f>
      </c>
      <c r="N234" s="684">
        <f>IF(終値!A234="","",IFERROR(4*STDEVP(終値!Q234:AJ234)/AVERAGE(終値!Q234:AJ234),""))</f>
      </c>
      <c r="O234" s="684">
        <f>IF(終値!A234="","",IFERROR(4*STDEVP(終値!R234:AK234)/AVERAGE(終値!R234:AK234),""))</f>
      </c>
      <c r="P234" s="684">
        <f>IF(終値!A234="","",IFERROR(4*STDEVP(終値!S234:AL234)/AVERAGE(終値!S234:AL234),""))</f>
      </c>
      <c r="Q234" s="684">
        <f>IF(終値!A234="","",IFERROR(4*STDEVP(終値!T234:AM234)/AVERAGE(終値!T234:AM234),""))</f>
      </c>
      <c r="R234" s="684">
        <f>IF(終値!A234="","",IFERROR(4*STDEVP(終値!U234:AN234)/AVERAGE(終値!U234:AN234),""))</f>
      </c>
      <c r="S234" s="684">
        <f>IF(終値!A234="","",IFERROR(4*STDEVP(終値!V234:AO234)/AVERAGE(終値!V234:AO234),""))</f>
      </c>
      <c r="T234" s="684">
        <f>IF(終値!A234="","",IFERROR(4*STDEVP(終値!W234:AP234)/AVERAGE(終値!W234:AP234),""))</f>
      </c>
      <c r="U234" s="684">
        <f>IF(終値!A234="","",IFERROR(4*STDEVP(終値!X234:AQ234)/AVERAGE(終値!X234:AQ234),""))</f>
      </c>
      <c r="V234" s="684">
        <f>IF(終値!A234="","",IFERROR(4*STDEVP(終値!Y234:AR234)/AVERAGE(終値!Y234:AR234),""))</f>
      </c>
      <c r="W234" s="684">
        <f>IF(終値!A234="","",IFERROR(4*STDEVP(終値!Z234:AS234)/AVERAGE(終値!Z234:AS234),""))</f>
      </c>
      <c r="X234" s="684">
        <f>IF(終値!A234="","",IFERROR(4*STDEVP(終値!AA234:AT234)/AVERAGE(終値!AA234:AT234),""))</f>
      </c>
      <c r="Y234" s="684">
        <f>IF(終値!A234="","",IFERROR(4*STDEVP(終値!AB234:AU234)/AVERAGE(終値!AB234:AU234),""))</f>
      </c>
      <c r="Z234" s="684">
        <f>IF(終値!A234="","",IFERROR(4*STDEVP(終値!AC234:AV234)/AVERAGE(終値!AC234:AV234),""))</f>
      </c>
      <c r="AA234" s="684">
        <f>IF(終値!A234="","",IFERROR(4*STDEVP(終値!AD234:AW234)/AVERAGE(終値!AD234:AW234),""))</f>
      </c>
      <c r="AB234" s="684">
        <f>IF(終値!A234="","",IFERROR(4*STDEVP(終値!AE234:AX234)/AVERAGE(終値!AE234:AX234),""))</f>
      </c>
      <c r="AC234" s="684">
        <f>IF(終値!A234="","",IFERROR(4*STDEVP(終値!AF234:AY234)/AVERAGE(終値!AF234:AY234),""))</f>
      </c>
      <c r="AD234" s="684">
        <f>IF(終値!A234="","",IFERROR(4*STDEVP(終値!AG234:AZ234)/AVERAGE(終値!AG234:AZ234),""))</f>
      </c>
      <c r="AE234" s="684">
        <f>IF(終値!A234="","",IFERROR(4*STDEVP(終値!AH234:BA234)/AVERAGE(終値!AH234:BA234),""))</f>
      </c>
      <c r="AF234" s="684">
        <f>IF(終値!A234="","",IFERROR(4*STDEVP(終値!AI234:BB234)/AVERAGE(終値!AI234:BB234),""))</f>
      </c>
      <c r="AG234" s="684">
        <f>IF(終値!A234="","",IFERROR(4*STDEVP(終値!AJ234:BC234)/AVERAGE(終値!AJ234:BC234),""))</f>
      </c>
      <c r="AH234" s="684">
        <f>IF(終値!A234="","",IFERROR(4*STDEVP(終値!AK234:BD234)/AVERAGE(終値!AK234:BD234),""))</f>
      </c>
      <c r="AI234" s="684">
        <f>IF(終値!A234="","",IFERROR(4*STDEVP(終値!AL234:BE234)/AVERAGE(終値!AL234:BE234),""))</f>
      </c>
      <c r="AJ234" s="684">
        <f>IF(終値!A234="","",IFERROR(4*STDEVP(終値!AM234:BF234)/AVERAGE(終値!AM234:BF234),""))</f>
      </c>
      <c r="AK234" s="684">
        <f>IF(終値!A234="","",IFERROR(4*STDEVP(終値!AN234:BG234)/AVERAGE(終値!AN234:BG234),""))</f>
      </c>
      <c r="AL234" s="684">
        <f>IF(終値!A234="","",IFERROR(4*STDEVP(終値!AO234:BH234)/AVERAGE(終値!AO234:BH234),""))</f>
      </c>
      <c r="AM234" s="684">
        <f>IF(終値!A234="","",IFERROR(4*STDEVP(終値!AP234:BI234)/AVERAGE(終値!AP234:BI234),""))</f>
      </c>
      <c r="AN234" s="684">
        <f>IF(終値!A234="","",IFERROR(4*STDEVP(終値!AQ234:BJ234)/AVERAGE(終値!AQ234:BJ234),""))</f>
      </c>
      <c r="AO234" s="684">
        <f>IF(終値!A234="","",IFERROR(4*STDEVP(終値!AR234:BK234)/AVERAGE(終値!AR234:BK234),""))</f>
      </c>
      <c r="AP234" s="684">
        <f>IF(終値!A234="","",IFERROR(4*STDEVP(終値!AS234:BL234)/AVERAGE(終値!AS234:BL234),""))</f>
      </c>
    </row>
    <row r="235">
      <c r="A235" s="681">
        <f>IF(終値!A235="","",終値!A235)</f>
      </c>
      <c r="B235" s="684">
        <f>IF(終値!A235="","",IFERROR(4*STDEVP(終値!E235:X235)/AVERAGE(終値!E235:X235),""))</f>
      </c>
      <c r="C235" s="684">
        <f>IF(終値!A235="","",IFERROR(4*STDEVP(終値!F235:Y235)/AVERAGE(終値!F235:Y235),""))</f>
      </c>
      <c r="D235" s="684">
        <f>IF(終値!A235="","",IFERROR(4*STDEVP(終値!G235:Z235)/AVERAGE(終値!G235:Z235),""))</f>
      </c>
      <c r="E235" s="684">
        <f>IF(終値!A235="","",IFERROR(4*STDEVP(終値!H235:AA235)/AVERAGE(終値!H235:AA235),""))</f>
      </c>
      <c r="F235" s="684">
        <f>IF(終値!A235="","",IFERROR(4*STDEVP(終値!I235:AB235)/AVERAGE(終値!I235:AB235),""))</f>
      </c>
      <c r="G235" s="684">
        <f>IF(終値!A235="","",IFERROR(4*STDEVP(終値!J235:AC235)/AVERAGE(終値!J235:AC235),""))</f>
      </c>
      <c r="H235" s="684">
        <f>IF(終値!A235="","",IFERROR(4*STDEVP(終値!K235:AD235)/AVERAGE(終値!K235:AD235),""))</f>
      </c>
      <c r="I235" s="684">
        <f>IF(終値!A235="","",IFERROR(4*STDEVP(終値!L235:AE235)/AVERAGE(終値!L235:AE235),""))</f>
      </c>
      <c r="J235" s="684">
        <f>IF(終値!A235="","",IFERROR(4*STDEVP(終値!M235:AF235)/AVERAGE(終値!M235:AF235),""))</f>
      </c>
      <c r="K235" s="684">
        <f>IF(終値!A235="","",IFERROR(4*STDEVP(終値!N235:AG235)/AVERAGE(終値!N235:AG235),""))</f>
      </c>
      <c r="L235" s="684">
        <f>IF(終値!A235="","",IFERROR(4*STDEVP(終値!O235:AH235)/AVERAGE(終値!O235:AH235),""))</f>
      </c>
      <c r="M235" s="684">
        <f>IF(終値!A235="","",IFERROR(4*STDEVP(終値!P235:AI235)/AVERAGE(終値!P235:AI235),""))</f>
      </c>
      <c r="N235" s="684">
        <f>IF(終値!A235="","",IFERROR(4*STDEVP(終値!Q235:AJ235)/AVERAGE(終値!Q235:AJ235),""))</f>
      </c>
      <c r="O235" s="684">
        <f>IF(終値!A235="","",IFERROR(4*STDEVP(終値!R235:AK235)/AVERAGE(終値!R235:AK235),""))</f>
      </c>
      <c r="P235" s="684">
        <f>IF(終値!A235="","",IFERROR(4*STDEVP(終値!S235:AL235)/AVERAGE(終値!S235:AL235),""))</f>
      </c>
      <c r="Q235" s="684">
        <f>IF(終値!A235="","",IFERROR(4*STDEVP(終値!T235:AM235)/AVERAGE(終値!T235:AM235),""))</f>
      </c>
      <c r="R235" s="684">
        <f>IF(終値!A235="","",IFERROR(4*STDEVP(終値!U235:AN235)/AVERAGE(終値!U235:AN235),""))</f>
      </c>
      <c r="S235" s="684">
        <f>IF(終値!A235="","",IFERROR(4*STDEVP(終値!V235:AO235)/AVERAGE(終値!V235:AO235),""))</f>
      </c>
      <c r="T235" s="684">
        <f>IF(終値!A235="","",IFERROR(4*STDEVP(終値!W235:AP235)/AVERAGE(終値!W235:AP235),""))</f>
      </c>
      <c r="U235" s="684">
        <f>IF(終値!A235="","",IFERROR(4*STDEVP(終値!X235:AQ235)/AVERAGE(終値!X235:AQ235),""))</f>
      </c>
      <c r="V235" s="684">
        <f>IF(終値!A235="","",IFERROR(4*STDEVP(終値!Y235:AR235)/AVERAGE(終値!Y235:AR235),""))</f>
      </c>
      <c r="W235" s="684">
        <f>IF(終値!A235="","",IFERROR(4*STDEVP(終値!Z235:AS235)/AVERAGE(終値!Z235:AS235),""))</f>
      </c>
      <c r="X235" s="684">
        <f>IF(終値!A235="","",IFERROR(4*STDEVP(終値!AA235:AT235)/AVERAGE(終値!AA235:AT235),""))</f>
      </c>
      <c r="Y235" s="684">
        <f>IF(終値!A235="","",IFERROR(4*STDEVP(終値!AB235:AU235)/AVERAGE(終値!AB235:AU235),""))</f>
      </c>
      <c r="Z235" s="684">
        <f>IF(終値!A235="","",IFERROR(4*STDEVP(終値!AC235:AV235)/AVERAGE(終値!AC235:AV235),""))</f>
      </c>
      <c r="AA235" s="684">
        <f>IF(終値!A235="","",IFERROR(4*STDEVP(終値!AD235:AW235)/AVERAGE(終値!AD235:AW235),""))</f>
      </c>
      <c r="AB235" s="684">
        <f>IF(終値!A235="","",IFERROR(4*STDEVP(終値!AE235:AX235)/AVERAGE(終値!AE235:AX235),""))</f>
      </c>
      <c r="AC235" s="684">
        <f>IF(終値!A235="","",IFERROR(4*STDEVP(終値!AF235:AY235)/AVERAGE(終値!AF235:AY235),""))</f>
      </c>
      <c r="AD235" s="684">
        <f>IF(終値!A235="","",IFERROR(4*STDEVP(終値!AG235:AZ235)/AVERAGE(終値!AG235:AZ235),""))</f>
      </c>
      <c r="AE235" s="684">
        <f>IF(終値!A235="","",IFERROR(4*STDEVP(終値!AH235:BA235)/AVERAGE(終値!AH235:BA235),""))</f>
      </c>
      <c r="AF235" s="684">
        <f>IF(終値!A235="","",IFERROR(4*STDEVP(終値!AI235:BB235)/AVERAGE(終値!AI235:BB235),""))</f>
      </c>
      <c r="AG235" s="684">
        <f>IF(終値!A235="","",IFERROR(4*STDEVP(終値!AJ235:BC235)/AVERAGE(終値!AJ235:BC235),""))</f>
      </c>
      <c r="AH235" s="684">
        <f>IF(終値!A235="","",IFERROR(4*STDEVP(終値!AK235:BD235)/AVERAGE(終値!AK235:BD235),""))</f>
      </c>
      <c r="AI235" s="684">
        <f>IF(終値!A235="","",IFERROR(4*STDEVP(終値!AL235:BE235)/AVERAGE(終値!AL235:BE235),""))</f>
      </c>
      <c r="AJ235" s="684">
        <f>IF(終値!A235="","",IFERROR(4*STDEVP(終値!AM235:BF235)/AVERAGE(終値!AM235:BF235),""))</f>
      </c>
      <c r="AK235" s="684">
        <f>IF(終値!A235="","",IFERROR(4*STDEVP(終値!AN235:BG235)/AVERAGE(終値!AN235:BG235),""))</f>
      </c>
      <c r="AL235" s="684">
        <f>IF(終値!A235="","",IFERROR(4*STDEVP(終値!AO235:BH235)/AVERAGE(終値!AO235:BH235),""))</f>
      </c>
      <c r="AM235" s="684">
        <f>IF(終値!A235="","",IFERROR(4*STDEVP(終値!AP235:BI235)/AVERAGE(終値!AP235:BI235),""))</f>
      </c>
      <c r="AN235" s="684">
        <f>IF(終値!A235="","",IFERROR(4*STDEVP(終値!AQ235:BJ235)/AVERAGE(終値!AQ235:BJ235),""))</f>
      </c>
      <c r="AO235" s="684">
        <f>IF(終値!A235="","",IFERROR(4*STDEVP(終値!AR235:BK235)/AVERAGE(終値!AR235:BK235),""))</f>
      </c>
      <c r="AP235" s="684">
        <f>IF(終値!A235="","",IFERROR(4*STDEVP(終値!AS235:BL235)/AVERAGE(終値!AS235:BL235),""))</f>
      </c>
    </row>
    <row r="236">
      <c r="A236" s="681">
        <f>IF(終値!A236="","",終値!A236)</f>
      </c>
      <c r="B236" s="684">
        <f>IF(終値!A236="","",IFERROR(4*STDEVP(終値!E236:X236)/AVERAGE(終値!E236:X236),""))</f>
      </c>
      <c r="C236" s="684">
        <f>IF(終値!A236="","",IFERROR(4*STDEVP(終値!F236:Y236)/AVERAGE(終値!F236:Y236),""))</f>
      </c>
      <c r="D236" s="684">
        <f>IF(終値!A236="","",IFERROR(4*STDEVP(終値!G236:Z236)/AVERAGE(終値!G236:Z236),""))</f>
      </c>
      <c r="E236" s="684">
        <f>IF(終値!A236="","",IFERROR(4*STDEVP(終値!H236:AA236)/AVERAGE(終値!H236:AA236),""))</f>
      </c>
      <c r="F236" s="684">
        <f>IF(終値!A236="","",IFERROR(4*STDEVP(終値!I236:AB236)/AVERAGE(終値!I236:AB236),""))</f>
      </c>
      <c r="G236" s="684">
        <f>IF(終値!A236="","",IFERROR(4*STDEVP(終値!J236:AC236)/AVERAGE(終値!J236:AC236),""))</f>
      </c>
      <c r="H236" s="684">
        <f>IF(終値!A236="","",IFERROR(4*STDEVP(終値!K236:AD236)/AVERAGE(終値!K236:AD236),""))</f>
      </c>
      <c r="I236" s="684">
        <f>IF(終値!A236="","",IFERROR(4*STDEVP(終値!L236:AE236)/AVERAGE(終値!L236:AE236),""))</f>
      </c>
      <c r="J236" s="684">
        <f>IF(終値!A236="","",IFERROR(4*STDEVP(終値!M236:AF236)/AVERAGE(終値!M236:AF236),""))</f>
      </c>
      <c r="K236" s="684">
        <f>IF(終値!A236="","",IFERROR(4*STDEVP(終値!N236:AG236)/AVERAGE(終値!N236:AG236),""))</f>
      </c>
      <c r="L236" s="684">
        <f>IF(終値!A236="","",IFERROR(4*STDEVP(終値!O236:AH236)/AVERAGE(終値!O236:AH236),""))</f>
      </c>
      <c r="M236" s="684">
        <f>IF(終値!A236="","",IFERROR(4*STDEVP(終値!P236:AI236)/AVERAGE(終値!P236:AI236),""))</f>
      </c>
      <c r="N236" s="684">
        <f>IF(終値!A236="","",IFERROR(4*STDEVP(終値!Q236:AJ236)/AVERAGE(終値!Q236:AJ236),""))</f>
      </c>
      <c r="O236" s="684">
        <f>IF(終値!A236="","",IFERROR(4*STDEVP(終値!R236:AK236)/AVERAGE(終値!R236:AK236),""))</f>
      </c>
      <c r="P236" s="684">
        <f>IF(終値!A236="","",IFERROR(4*STDEVP(終値!S236:AL236)/AVERAGE(終値!S236:AL236),""))</f>
      </c>
      <c r="Q236" s="684">
        <f>IF(終値!A236="","",IFERROR(4*STDEVP(終値!T236:AM236)/AVERAGE(終値!T236:AM236),""))</f>
      </c>
      <c r="R236" s="684">
        <f>IF(終値!A236="","",IFERROR(4*STDEVP(終値!U236:AN236)/AVERAGE(終値!U236:AN236),""))</f>
      </c>
      <c r="S236" s="684">
        <f>IF(終値!A236="","",IFERROR(4*STDEVP(終値!V236:AO236)/AVERAGE(終値!V236:AO236),""))</f>
      </c>
      <c r="T236" s="684">
        <f>IF(終値!A236="","",IFERROR(4*STDEVP(終値!W236:AP236)/AVERAGE(終値!W236:AP236),""))</f>
      </c>
      <c r="U236" s="684">
        <f>IF(終値!A236="","",IFERROR(4*STDEVP(終値!X236:AQ236)/AVERAGE(終値!X236:AQ236),""))</f>
      </c>
      <c r="V236" s="684">
        <f>IF(終値!A236="","",IFERROR(4*STDEVP(終値!Y236:AR236)/AVERAGE(終値!Y236:AR236),""))</f>
      </c>
      <c r="W236" s="684">
        <f>IF(終値!A236="","",IFERROR(4*STDEVP(終値!Z236:AS236)/AVERAGE(終値!Z236:AS236),""))</f>
      </c>
      <c r="X236" s="684">
        <f>IF(終値!A236="","",IFERROR(4*STDEVP(終値!AA236:AT236)/AVERAGE(終値!AA236:AT236),""))</f>
      </c>
      <c r="Y236" s="684">
        <f>IF(終値!A236="","",IFERROR(4*STDEVP(終値!AB236:AU236)/AVERAGE(終値!AB236:AU236),""))</f>
      </c>
      <c r="Z236" s="684">
        <f>IF(終値!A236="","",IFERROR(4*STDEVP(終値!AC236:AV236)/AVERAGE(終値!AC236:AV236),""))</f>
      </c>
      <c r="AA236" s="684">
        <f>IF(終値!A236="","",IFERROR(4*STDEVP(終値!AD236:AW236)/AVERAGE(終値!AD236:AW236),""))</f>
      </c>
      <c r="AB236" s="684">
        <f>IF(終値!A236="","",IFERROR(4*STDEVP(終値!AE236:AX236)/AVERAGE(終値!AE236:AX236),""))</f>
      </c>
      <c r="AC236" s="684">
        <f>IF(終値!A236="","",IFERROR(4*STDEVP(終値!AF236:AY236)/AVERAGE(終値!AF236:AY236),""))</f>
      </c>
      <c r="AD236" s="684">
        <f>IF(終値!A236="","",IFERROR(4*STDEVP(終値!AG236:AZ236)/AVERAGE(終値!AG236:AZ236),""))</f>
      </c>
      <c r="AE236" s="684">
        <f>IF(終値!A236="","",IFERROR(4*STDEVP(終値!AH236:BA236)/AVERAGE(終値!AH236:BA236),""))</f>
      </c>
      <c r="AF236" s="684">
        <f>IF(終値!A236="","",IFERROR(4*STDEVP(終値!AI236:BB236)/AVERAGE(終値!AI236:BB236),""))</f>
      </c>
      <c r="AG236" s="684">
        <f>IF(終値!A236="","",IFERROR(4*STDEVP(終値!AJ236:BC236)/AVERAGE(終値!AJ236:BC236),""))</f>
      </c>
      <c r="AH236" s="684">
        <f>IF(終値!A236="","",IFERROR(4*STDEVP(終値!AK236:BD236)/AVERAGE(終値!AK236:BD236),""))</f>
      </c>
      <c r="AI236" s="684">
        <f>IF(終値!A236="","",IFERROR(4*STDEVP(終値!AL236:BE236)/AVERAGE(終値!AL236:BE236),""))</f>
      </c>
      <c r="AJ236" s="684">
        <f>IF(終値!A236="","",IFERROR(4*STDEVP(終値!AM236:BF236)/AVERAGE(終値!AM236:BF236),""))</f>
      </c>
      <c r="AK236" s="684">
        <f>IF(終値!A236="","",IFERROR(4*STDEVP(終値!AN236:BG236)/AVERAGE(終値!AN236:BG236),""))</f>
      </c>
      <c r="AL236" s="684">
        <f>IF(終値!A236="","",IFERROR(4*STDEVP(終値!AO236:BH236)/AVERAGE(終値!AO236:BH236),""))</f>
      </c>
      <c r="AM236" s="684">
        <f>IF(終値!A236="","",IFERROR(4*STDEVP(終値!AP236:BI236)/AVERAGE(終値!AP236:BI236),""))</f>
      </c>
      <c r="AN236" s="684">
        <f>IF(終値!A236="","",IFERROR(4*STDEVP(終値!AQ236:BJ236)/AVERAGE(終値!AQ236:BJ236),""))</f>
      </c>
      <c r="AO236" s="684">
        <f>IF(終値!A236="","",IFERROR(4*STDEVP(終値!AR236:BK236)/AVERAGE(終値!AR236:BK236),""))</f>
      </c>
      <c r="AP236" s="684">
        <f>IF(終値!A236="","",IFERROR(4*STDEVP(終値!AS236:BL236)/AVERAGE(終値!AS236:BL236),""))</f>
      </c>
    </row>
    <row r="237">
      <c r="A237" s="681">
        <f>IF(終値!A237="","",終値!A237)</f>
      </c>
      <c r="B237" s="684">
        <f>IF(終値!A237="","",IFERROR(4*STDEVP(終値!E237:X237)/AVERAGE(終値!E237:X237),""))</f>
      </c>
      <c r="C237" s="684">
        <f>IF(終値!A237="","",IFERROR(4*STDEVP(終値!F237:Y237)/AVERAGE(終値!F237:Y237),""))</f>
      </c>
      <c r="D237" s="684">
        <f>IF(終値!A237="","",IFERROR(4*STDEVP(終値!G237:Z237)/AVERAGE(終値!G237:Z237),""))</f>
      </c>
      <c r="E237" s="684">
        <f>IF(終値!A237="","",IFERROR(4*STDEVP(終値!H237:AA237)/AVERAGE(終値!H237:AA237),""))</f>
      </c>
      <c r="F237" s="684">
        <f>IF(終値!A237="","",IFERROR(4*STDEVP(終値!I237:AB237)/AVERAGE(終値!I237:AB237),""))</f>
      </c>
      <c r="G237" s="684">
        <f>IF(終値!A237="","",IFERROR(4*STDEVP(終値!J237:AC237)/AVERAGE(終値!J237:AC237),""))</f>
      </c>
      <c r="H237" s="684">
        <f>IF(終値!A237="","",IFERROR(4*STDEVP(終値!K237:AD237)/AVERAGE(終値!K237:AD237),""))</f>
      </c>
      <c r="I237" s="684">
        <f>IF(終値!A237="","",IFERROR(4*STDEVP(終値!L237:AE237)/AVERAGE(終値!L237:AE237),""))</f>
      </c>
      <c r="J237" s="684">
        <f>IF(終値!A237="","",IFERROR(4*STDEVP(終値!M237:AF237)/AVERAGE(終値!M237:AF237),""))</f>
      </c>
      <c r="K237" s="684">
        <f>IF(終値!A237="","",IFERROR(4*STDEVP(終値!N237:AG237)/AVERAGE(終値!N237:AG237),""))</f>
      </c>
      <c r="L237" s="684">
        <f>IF(終値!A237="","",IFERROR(4*STDEVP(終値!O237:AH237)/AVERAGE(終値!O237:AH237),""))</f>
      </c>
      <c r="M237" s="684">
        <f>IF(終値!A237="","",IFERROR(4*STDEVP(終値!P237:AI237)/AVERAGE(終値!P237:AI237),""))</f>
      </c>
      <c r="N237" s="684">
        <f>IF(終値!A237="","",IFERROR(4*STDEVP(終値!Q237:AJ237)/AVERAGE(終値!Q237:AJ237),""))</f>
      </c>
      <c r="O237" s="684">
        <f>IF(終値!A237="","",IFERROR(4*STDEVP(終値!R237:AK237)/AVERAGE(終値!R237:AK237),""))</f>
      </c>
      <c r="P237" s="684">
        <f>IF(終値!A237="","",IFERROR(4*STDEVP(終値!S237:AL237)/AVERAGE(終値!S237:AL237),""))</f>
      </c>
      <c r="Q237" s="684">
        <f>IF(終値!A237="","",IFERROR(4*STDEVP(終値!T237:AM237)/AVERAGE(終値!T237:AM237),""))</f>
      </c>
      <c r="R237" s="684">
        <f>IF(終値!A237="","",IFERROR(4*STDEVP(終値!U237:AN237)/AVERAGE(終値!U237:AN237),""))</f>
      </c>
      <c r="S237" s="684">
        <f>IF(終値!A237="","",IFERROR(4*STDEVP(終値!V237:AO237)/AVERAGE(終値!V237:AO237),""))</f>
      </c>
      <c r="T237" s="684">
        <f>IF(終値!A237="","",IFERROR(4*STDEVP(終値!W237:AP237)/AVERAGE(終値!W237:AP237),""))</f>
      </c>
      <c r="U237" s="684">
        <f>IF(終値!A237="","",IFERROR(4*STDEVP(終値!X237:AQ237)/AVERAGE(終値!X237:AQ237),""))</f>
      </c>
      <c r="V237" s="684">
        <f>IF(終値!A237="","",IFERROR(4*STDEVP(終値!Y237:AR237)/AVERAGE(終値!Y237:AR237),""))</f>
      </c>
      <c r="W237" s="684">
        <f>IF(終値!A237="","",IFERROR(4*STDEVP(終値!Z237:AS237)/AVERAGE(終値!Z237:AS237),""))</f>
      </c>
      <c r="X237" s="684">
        <f>IF(終値!A237="","",IFERROR(4*STDEVP(終値!AA237:AT237)/AVERAGE(終値!AA237:AT237),""))</f>
      </c>
      <c r="Y237" s="684">
        <f>IF(終値!A237="","",IFERROR(4*STDEVP(終値!AB237:AU237)/AVERAGE(終値!AB237:AU237),""))</f>
      </c>
      <c r="Z237" s="684">
        <f>IF(終値!A237="","",IFERROR(4*STDEVP(終値!AC237:AV237)/AVERAGE(終値!AC237:AV237),""))</f>
      </c>
      <c r="AA237" s="684">
        <f>IF(終値!A237="","",IFERROR(4*STDEVP(終値!AD237:AW237)/AVERAGE(終値!AD237:AW237),""))</f>
      </c>
      <c r="AB237" s="684">
        <f>IF(終値!A237="","",IFERROR(4*STDEVP(終値!AE237:AX237)/AVERAGE(終値!AE237:AX237),""))</f>
      </c>
      <c r="AC237" s="684">
        <f>IF(終値!A237="","",IFERROR(4*STDEVP(終値!AF237:AY237)/AVERAGE(終値!AF237:AY237),""))</f>
      </c>
      <c r="AD237" s="684">
        <f>IF(終値!A237="","",IFERROR(4*STDEVP(終値!AG237:AZ237)/AVERAGE(終値!AG237:AZ237),""))</f>
      </c>
      <c r="AE237" s="684">
        <f>IF(終値!A237="","",IFERROR(4*STDEVP(終値!AH237:BA237)/AVERAGE(終値!AH237:BA237),""))</f>
      </c>
      <c r="AF237" s="684">
        <f>IF(終値!A237="","",IFERROR(4*STDEVP(終値!AI237:BB237)/AVERAGE(終値!AI237:BB237),""))</f>
      </c>
      <c r="AG237" s="684">
        <f>IF(終値!A237="","",IFERROR(4*STDEVP(終値!AJ237:BC237)/AVERAGE(終値!AJ237:BC237),""))</f>
      </c>
      <c r="AH237" s="684">
        <f>IF(終値!A237="","",IFERROR(4*STDEVP(終値!AK237:BD237)/AVERAGE(終値!AK237:BD237),""))</f>
      </c>
      <c r="AI237" s="684">
        <f>IF(終値!A237="","",IFERROR(4*STDEVP(終値!AL237:BE237)/AVERAGE(終値!AL237:BE237),""))</f>
      </c>
      <c r="AJ237" s="684">
        <f>IF(終値!A237="","",IFERROR(4*STDEVP(終値!AM237:BF237)/AVERAGE(終値!AM237:BF237),""))</f>
      </c>
      <c r="AK237" s="684">
        <f>IF(終値!A237="","",IFERROR(4*STDEVP(終値!AN237:BG237)/AVERAGE(終値!AN237:BG237),""))</f>
      </c>
      <c r="AL237" s="684">
        <f>IF(終値!A237="","",IFERROR(4*STDEVP(終値!AO237:BH237)/AVERAGE(終値!AO237:BH237),""))</f>
      </c>
      <c r="AM237" s="684">
        <f>IF(終値!A237="","",IFERROR(4*STDEVP(終値!AP237:BI237)/AVERAGE(終値!AP237:BI237),""))</f>
      </c>
      <c r="AN237" s="684">
        <f>IF(終値!A237="","",IFERROR(4*STDEVP(終値!AQ237:BJ237)/AVERAGE(終値!AQ237:BJ237),""))</f>
      </c>
      <c r="AO237" s="684">
        <f>IF(終値!A237="","",IFERROR(4*STDEVP(終値!AR237:BK237)/AVERAGE(終値!AR237:BK237),""))</f>
      </c>
      <c r="AP237" s="684">
        <f>IF(終値!A237="","",IFERROR(4*STDEVP(終値!AS237:BL237)/AVERAGE(終値!AS237:BL237),""))</f>
      </c>
    </row>
    <row r="238">
      <c r="A238" s="681">
        <f>IF(終値!A238="","",終値!A238)</f>
      </c>
      <c r="B238" s="684">
        <f>IF(終値!A238="","",IFERROR(4*STDEVP(終値!E238:X238)/AVERAGE(終値!E238:X238),""))</f>
      </c>
      <c r="C238" s="684">
        <f>IF(終値!A238="","",IFERROR(4*STDEVP(終値!F238:Y238)/AVERAGE(終値!F238:Y238),""))</f>
      </c>
      <c r="D238" s="684">
        <f>IF(終値!A238="","",IFERROR(4*STDEVP(終値!G238:Z238)/AVERAGE(終値!G238:Z238),""))</f>
      </c>
      <c r="E238" s="684">
        <f>IF(終値!A238="","",IFERROR(4*STDEVP(終値!H238:AA238)/AVERAGE(終値!H238:AA238),""))</f>
      </c>
      <c r="F238" s="684">
        <f>IF(終値!A238="","",IFERROR(4*STDEVP(終値!I238:AB238)/AVERAGE(終値!I238:AB238),""))</f>
      </c>
      <c r="G238" s="684">
        <f>IF(終値!A238="","",IFERROR(4*STDEVP(終値!J238:AC238)/AVERAGE(終値!J238:AC238),""))</f>
      </c>
      <c r="H238" s="684">
        <f>IF(終値!A238="","",IFERROR(4*STDEVP(終値!K238:AD238)/AVERAGE(終値!K238:AD238),""))</f>
      </c>
      <c r="I238" s="684">
        <f>IF(終値!A238="","",IFERROR(4*STDEVP(終値!L238:AE238)/AVERAGE(終値!L238:AE238),""))</f>
      </c>
      <c r="J238" s="684">
        <f>IF(終値!A238="","",IFERROR(4*STDEVP(終値!M238:AF238)/AVERAGE(終値!M238:AF238),""))</f>
      </c>
      <c r="K238" s="684">
        <f>IF(終値!A238="","",IFERROR(4*STDEVP(終値!N238:AG238)/AVERAGE(終値!N238:AG238),""))</f>
      </c>
      <c r="L238" s="684">
        <f>IF(終値!A238="","",IFERROR(4*STDEVP(終値!O238:AH238)/AVERAGE(終値!O238:AH238),""))</f>
      </c>
      <c r="M238" s="684">
        <f>IF(終値!A238="","",IFERROR(4*STDEVP(終値!P238:AI238)/AVERAGE(終値!P238:AI238),""))</f>
      </c>
      <c r="N238" s="684">
        <f>IF(終値!A238="","",IFERROR(4*STDEVP(終値!Q238:AJ238)/AVERAGE(終値!Q238:AJ238),""))</f>
      </c>
      <c r="O238" s="684">
        <f>IF(終値!A238="","",IFERROR(4*STDEVP(終値!R238:AK238)/AVERAGE(終値!R238:AK238),""))</f>
      </c>
      <c r="P238" s="684">
        <f>IF(終値!A238="","",IFERROR(4*STDEVP(終値!S238:AL238)/AVERAGE(終値!S238:AL238),""))</f>
      </c>
      <c r="Q238" s="684">
        <f>IF(終値!A238="","",IFERROR(4*STDEVP(終値!T238:AM238)/AVERAGE(終値!T238:AM238),""))</f>
      </c>
      <c r="R238" s="684">
        <f>IF(終値!A238="","",IFERROR(4*STDEVP(終値!U238:AN238)/AVERAGE(終値!U238:AN238),""))</f>
      </c>
      <c r="S238" s="684">
        <f>IF(終値!A238="","",IFERROR(4*STDEVP(終値!V238:AO238)/AVERAGE(終値!V238:AO238),""))</f>
      </c>
      <c r="T238" s="684">
        <f>IF(終値!A238="","",IFERROR(4*STDEVP(終値!W238:AP238)/AVERAGE(終値!W238:AP238),""))</f>
      </c>
      <c r="U238" s="684">
        <f>IF(終値!A238="","",IFERROR(4*STDEVP(終値!X238:AQ238)/AVERAGE(終値!X238:AQ238),""))</f>
      </c>
      <c r="V238" s="684">
        <f>IF(終値!A238="","",IFERROR(4*STDEVP(終値!Y238:AR238)/AVERAGE(終値!Y238:AR238),""))</f>
      </c>
      <c r="W238" s="684">
        <f>IF(終値!A238="","",IFERROR(4*STDEVP(終値!Z238:AS238)/AVERAGE(終値!Z238:AS238),""))</f>
      </c>
      <c r="X238" s="684">
        <f>IF(終値!A238="","",IFERROR(4*STDEVP(終値!AA238:AT238)/AVERAGE(終値!AA238:AT238),""))</f>
      </c>
      <c r="Y238" s="684">
        <f>IF(終値!A238="","",IFERROR(4*STDEVP(終値!AB238:AU238)/AVERAGE(終値!AB238:AU238),""))</f>
      </c>
      <c r="Z238" s="684">
        <f>IF(終値!A238="","",IFERROR(4*STDEVP(終値!AC238:AV238)/AVERAGE(終値!AC238:AV238),""))</f>
      </c>
      <c r="AA238" s="684">
        <f>IF(終値!A238="","",IFERROR(4*STDEVP(終値!AD238:AW238)/AVERAGE(終値!AD238:AW238),""))</f>
      </c>
      <c r="AB238" s="684">
        <f>IF(終値!A238="","",IFERROR(4*STDEVP(終値!AE238:AX238)/AVERAGE(終値!AE238:AX238),""))</f>
      </c>
      <c r="AC238" s="684">
        <f>IF(終値!A238="","",IFERROR(4*STDEVP(終値!AF238:AY238)/AVERAGE(終値!AF238:AY238),""))</f>
      </c>
      <c r="AD238" s="684">
        <f>IF(終値!A238="","",IFERROR(4*STDEVP(終値!AG238:AZ238)/AVERAGE(終値!AG238:AZ238),""))</f>
      </c>
      <c r="AE238" s="684">
        <f>IF(終値!A238="","",IFERROR(4*STDEVP(終値!AH238:BA238)/AVERAGE(終値!AH238:BA238),""))</f>
      </c>
      <c r="AF238" s="684">
        <f>IF(終値!A238="","",IFERROR(4*STDEVP(終値!AI238:BB238)/AVERAGE(終値!AI238:BB238),""))</f>
      </c>
      <c r="AG238" s="684">
        <f>IF(終値!A238="","",IFERROR(4*STDEVP(終値!AJ238:BC238)/AVERAGE(終値!AJ238:BC238),""))</f>
      </c>
      <c r="AH238" s="684">
        <f>IF(終値!A238="","",IFERROR(4*STDEVP(終値!AK238:BD238)/AVERAGE(終値!AK238:BD238),""))</f>
      </c>
      <c r="AI238" s="684">
        <f>IF(終値!A238="","",IFERROR(4*STDEVP(終値!AL238:BE238)/AVERAGE(終値!AL238:BE238),""))</f>
      </c>
      <c r="AJ238" s="684">
        <f>IF(終値!A238="","",IFERROR(4*STDEVP(終値!AM238:BF238)/AVERAGE(終値!AM238:BF238),""))</f>
      </c>
      <c r="AK238" s="684">
        <f>IF(終値!A238="","",IFERROR(4*STDEVP(終値!AN238:BG238)/AVERAGE(終値!AN238:BG238),""))</f>
      </c>
      <c r="AL238" s="684">
        <f>IF(終値!A238="","",IFERROR(4*STDEVP(終値!AO238:BH238)/AVERAGE(終値!AO238:BH238),""))</f>
      </c>
      <c r="AM238" s="684">
        <f>IF(終値!A238="","",IFERROR(4*STDEVP(終値!AP238:BI238)/AVERAGE(終値!AP238:BI238),""))</f>
      </c>
      <c r="AN238" s="684">
        <f>IF(終値!A238="","",IFERROR(4*STDEVP(終値!AQ238:BJ238)/AVERAGE(終値!AQ238:BJ238),""))</f>
      </c>
      <c r="AO238" s="684">
        <f>IF(終値!A238="","",IFERROR(4*STDEVP(終値!AR238:BK238)/AVERAGE(終値!AR238:BK238),""))</f>
      </c>
      <c r="AP238" s="684">
        <f>IF(終値!A238="","",IFERROR(4*STDEVP(終値!AS238:BL238)/AVERAGE(終値!AS238:BL238),""))</f>
      </c>
    </row>
    <row r="239">
      <c r="A239" s="681">
        <f>IF(終値!A239="","",終値!A239)</f>
      </c>
      <c r="B239" s="684">
        <f>IF(終値!A239="","",IFERROR(4*STDEVP(終値!E239:X239)/AVERAGE(終値!E239:X239),""))</f>
      </c>
      <c r="C239" s="684">
        <f>IF(終値!A239="","",IFERROR(4*STDEVP(終値!F239:Y239)/AVERAGE(終値!F239:Y239),""))</f>
      </c>
      <c r="D239" s="684">
        <f>IF(終値!A239="","",IFERROR(4*STDEVP(終値!G239:Z239)/AVERAGE(終値!G239:Z239),""))</f>
      </c>
      <c r="E239" s="684">
        <f>IF(終値!A239="","",IFERROR(4*STDEVP(終値!H239:AA239)/AVERAGE(終値!H239:AA239),""))</f>
      </c>
      <c r="F239" s="684">
        <f>IF(終値!A239="","",IFERROR(4*STDEVP(終値!I239:AB239)/AVERAGE(終値!I239:AB239),""))</f>
      </c>
      <c r="G239" s="684">
        <f>IF(終値!A239="","",IFERROR(4*STDEVP(終値!J239:AC239)/AVERAGE(終値!J239:AC239),""))</f>
      </c>
      <c r="H239" s="684">
        <f>IF(終値!A239="","",IFERROR(4*STDEVP(終値!K239:AD239)/AVERAGE(終値!K239:AD239),""))</f>
      </c>
      <c r="I239" s="684">
        <f>IF(終値!A239="","",IFERROR(4*STDEVP(終値!L239:AE239)/AVERAGE(終値!L239:AE239),""))</f>
      </c>
      <c r="J239" s="684">
        <f>IF(終値!A239="","",IFERROR(4*STDEVP(終値!M239:AF239)/AVERAGE(終値!M239:AF239),""))</f>
      </c>
      <c r="K239" s="684">
        <f>IF(終値!A239="","",IFERROR(4*STDEVP(終値!N239:AG239)/AVERAGE(終値!N239:AG239),""))</f>
      </c>
      <c r="L239" s="684">
        <f>IF(終値!A239="","",IFERROR(4*STDEVP(終値!O239:AH239)/AVERAGE(終値!O239:AH239),""))</f>
      </c>
      <c r="M239" s="684">
        <f>IF(終値!A239="","",IFERROR(4*STDEVP(終値!P239:AI239)/AVERAGE(終値!P239:AI239),""))</f>
      </c>
      <c r="N239" s="684">
        <f>IF(終値!A239="","",IFERROR(4*STDEVP(終値!Q239:AJ239)/AVERAGE(終値!Q239:AJ239),""))</f>
      </c>
      <c r="O239" s="684">
        <f>IF(終値!A239="","",IFERROR(4*STDEVP(終値!R239:AK239)/AVERAGE(終値!R239:AK239),""))</f>
      </c>
      <c r="P239" s="684">
        <f>IF(終値!A239="","",IFERROR(4*STDEVP(終値!S239:AL239)/AVERAGE(終値!S239:AL239),""))</f>
      </c>
      <c r="Q239" s="684">
        <f>IF(終値!A239="","",IFERROR(4*STDEVP(終値!T239:AM239)/AVERAGE(終値!T239:AM239),""))</f>
      </c>
      <c r="R239" s="684">
        <f>IF(終値!A239="","",IFERROR(4*STDEVP(終値!U239:AN239)/AVERAGE(終値!U239:AN239),""))</f>
      </c>
      <c r="S239" s="684">
        <f>IF(終値!A239="","",IFERROR(4*STDEVP(終値!V239:AO239)/AVERAGE(終値!V239:AO239),""))</f>
      </c>
      <c r="T239" s="684">
        <f>IF(終値!A239="","",IFERROR(4*STDEVP(終値!W239:AP239)/AVERAGE(終値!W239:AP239),""))</f>
      </c>
      <c r="U239" s="684">
        <f>IF(終値!A239="","",IFERROR(4*STDEVP(終値!X239:AQ239)/AVERAGE(終値!X239:AQ239),""))</f>
      </c>
      <c r="V239" s="684">
        <f>IF(終値!A239="","",IFERROR(4*STDEVP(終値!Y239:AR239)/AVERAGE(終値!Y239:AR239),""))</f>
      </c>
      <c r="W239" s="684">
        <f>IF(終値!A239="","",IFERROR(4*STDEVP(終値!Z239:AS239)/AVERAGE(終値!Z239:AS239),""))</f>
      </c>
      <c r="X239" s="684">
        <f>IF(終値!A239="","",IFERROR(4*STDEVP(終値!AA239:AT239)/AVERAGE(終値!AA239:AT239),""))</f>
      </c>
      <c r="Y239" s="684">
        <f>IF(終値!A239="","",IFERROR(4*STDEVP(終値!AB239:AU239)/AVERAGE(終値!AB239:AU239),""))</f>
      </c>
      <c r="Z239" s="684">
        <f>IF(終値!A239="","",IFERROR(4*STDEVP(終値!AC239:AV239)/AVERAGE(終値!AC239:AV239),""))</f>
      </c>
      <c r="AA239" s="684">
        <f>IF(終値!A239="","",IFERROR(4*STDEVP(終値!AD239:AW239)/AVERAGE(終値!AD239:AW239),""))</f>
      </c>
      <c r="AB239" s="684">
        <f>IF(終値!A239="","",IFERROR(4*STDEVP(終値!AE239:AX239)/AVERAGE(終値!AE239:AX239),""))</f>
      </c>
      <c r="AC239" s="684">
        <f>IF(終値!A239="","",IFERROR(4*STDEVP(終値!AF239:AY239)/AVERAGE(終値!AF239:AY239),""))</f>
      </c>
      <c r="AD239" s="684">
        <f>IF(終値!A239="","",IFERROR(4*STDEVP(終値!AG239:AZ239)/AVERAGE(終値!AG239:AZ239),""))</f>
      </c>
      <c r="AE239" s="684">
        <f>IF(終値!A239="","",IFERROR(4*STDEVP(終値!AH239:BA239)/AVERAGE(終値!AH239:BA239),""))</f>
      </c>
      <c r="AF239" s="684">
        <f>IF(終値!A239="","",IFERROR(4*STDEVP(終値!AI239:BB239)/AVERAGE(終値!AI239:BB239),""))</f>
      </c>
      <c r="AG239" s="684">
        <f>IF(終値!A239="","",IFERROR(4*STDEVP(終値!AJ239:BC239)/AVERAGE(終値!AJ239:BC239),""))</f>
      </c>
      <c r="AH239" s="684">
        <f>IF(終値!A239="","",IFERROR(4*STDEVP(終値!AK239:BD239)/AVERAGE(終値!AK239:BD239),""))</f>
      </c>
      <c r="AI239" s="684">
        <f>IF(終値!A239="","",IFERROR(4*STDEVP(終値!AL239:BE239)/AVERAGE(終値!AL239:BE239),""))</f>
      </c>
      <c r="AJ239" s="684">
        <f>IF(終値!A239="","",IFERROR(4*STDEVP(終値!AM239:BF239)/AVERAGE(終値!AM239:BF239),""))</f>
      </c>
      <c r="AK239" s="684">
        <f>IF(終値!A239="","",IFERROR(4*STDEVP(終値!AN239:BG239)/AVERAGE(終値!AN239:BG239),""))</f>
      </c>
      <c r="AL239" s="684">
        <f>IF(終値!A239="","",IFERROR(4*STDEVP(終値!AO239:BH239)/AVERAGE(終値!AO239:BH239),""))</f>
      </c>
      <c r="AM239" s="684">
        <f>IF(終値!A239="","",IFERROR(4*STDEVP(終値!AP239:BI239)/AVERAGE(終値!AP239:BI239),""))</f>
      </c>
      <c r="AN239" s="684">
        <f>IF(終値!A239="","",IFERROR(4*STDEVP(終値!AQ239:BJ239)/AVERAGE(終値!AQ239:BJ239),""))</f>
      </c>
      <c r="AO239" s="684">
        <f>IF(終値!A239="","",IFERROR(4*STDEVP(終値!AR239:BK239)/AVERAGE(終値!AR239:BK239),""))</f>
      </c>
      <c r="AP239" s="684">
        <f>IF(終値!A239="","",IFERROR(4*STDEVP(終値!AS239:BL239)/AVERAGE(終値!AS239:BL239),""))</f>
      </c>
    </row>
    <row r="240">
      <c r="A240" s="681">
        <f>IF(終値!A240="","",終値!A240)</f>
      </c>
      <c r="B240" s="684">
        <f>IF(終値!A240="","",IFERROR(4*STDEVP(終値!E240:X240)/AVERAGE(終値!E240:X240),""))</f>
      </c>
      <c r="C240" s="684">
        <f>IF(終値!A240="","",IFERROR(4*STDEVP(終値!F240:Y240)/AVERAGE(終値!F240:Y240),""))</f>
      </c>
      <c r="D240" s="684">
        <f>IF(終値!A240="","",IFERROR(4*STDEVP(終値!G240:Z240)/AVERAGE(終値!G240:Z240),""))</f>
      </c>
      <c r="E240" s="684">
        <f>IF(終値!A240="","",IFERROR(4*STDEVP(終値!H240:AA240)/AVERAGE(終値!H240:AA240),""))</f>
      </c>
      <c r="F240" s="684">
        <f>IF(終値!A240="","",IFERROR(4*STDEVP(終値!I240:AB240)/AVERAGE(終値!I240:AB240),""))</f>
      </c>
      <c r="G240" s="684">
        <f>IF(終値!A240="","",IFERROR(4*STDEVP(終値!J240:AC240)/AVERAGE(終値!J240:AC240),""))</f>
      </c>
      <c r="H240" s="684">
        <f>IF(終値!A240="","",IFERROR(4*STDEVP(終値!K240:AD240)/AVERAGE(終値!K240:AD240),""))</f>
      </c>
      <c r="I240" s="684">
        <f>IF(終値!A240="","",IFERROR(4*STDEVP(終値!L240:AE240)/AVERAGE(終値!L240:AE240),""))</f>
      </c>
      <c r="J240" s="684">
        <f>IF(終値!A240="","",IFERROR(4*STDEVP(終値!M240:AF240)/AVERAGE(終値!M240:AF240),""))</f>
      </c>
      <c r="K240" s="684">
        <f>IF(終値!A240="","",IFERROR(4*STDEVP(終値!N240:AG240)/AVERAGE(終値!N240:AG240),""))</f>
      </c>
      <c r="L240" s="684">
        <f>IF(終値!A240="","",IFERROR(4*STDEVP(終値!O240:AH240)/AVERAGE(終値!O240:AH240),""))</f>
      </c>
      <c r="M240" s="684">
        <f>IF(終値!A240="","",IFERROR(4*STDEVP(終値!P240:AI240)/AVERAGE(終値!P240:AI240),""))</f>
      </c>
      <c r="N240" s="684">
        <f>IF(終値!A240="","",IFERROR(4*STDEVP(終値!Q240:AJ240)/AVERAGE(終値!Q240:AJ240),""))</f>
      </c>
      <c r="O240" s="684">
        <f>IF(終値!A240="","",IFERROR(4*STDEVP(終値!R240:AK240)/AVERAGE(終値!R240:AK240),""))</f>
      </c>
      <c r="P240" s="684">
        <f>IF(終値!A240="","",IFERROR(4*STDEVP(終値!S240:AL240)/AVERAGE(終値!S240:AL240),""))</f>
      </c>
      <c r="Q240" s="684">
        <f>IF(終値!A240="","",IFERROR(4*STDEVP(終値!T240:AM240)/AVERAGE(終値!T240:AM240),""))</f>
      </c>
      <c r="R240" s="684">
        <f>IF(終値!A240="","",IFERROR(4*STDEVP(終値!U240:AN240)/AVERAGE(終値!U240:AN240),""))</f>
      </c>
      <c r="S240" s="684">
        <f>IF(終値!A240="","",IFERROR(4*STDEVP(終値!V240:AO240)/AVERAGE(終値!V240:AO240),""))</f>
      </c>
      <c r="T240" s="684">
        <f>IF(終値!A240="","",IFERROR(4*STDEVP(終値!W240:AP240)/AVERAGE(終値!W240:AP240),""))</f>
      </c>
      <c r="U240" s="684">
        <f>IF(終値!A240="","",IFERROR(4*STDEVP(終値!X240:AQ240)/AVERAGE(終値!X240:AQ240),""))</f>
      </c>
      <c r="V240" s="684">
        <f>IF(終値!A240="","",IFERROR(4*STDEVP(終値!Y240:AR240)/AVERAGE(終値!Y240:AR240),""))</f>
      </c>
      <c r="W240" s="684">
        <f>IF(終値!A240="","",IFERROR(4*STDEVP(終値!Z240:AS240)/AVERAGE(終値!Z240:AS240),""))</f>
      </c>
      <c r="X240" s="684">
        <f>IF(終値!A240="","",IFERROR(4*STDEVP(終値!AA240:AT240)/AVERAGE(終値!AA240:AT240),""))</f>
      </c>
      <c r="Y240" s="684">
        <f>IF(終値!A240="","",IFERROR(4*STDEVP(終値!AB240:AU240)/AVERAGE(終値!AB240:AU240),""))</f>
      </c>
      <c r="Z240" s="684">
        <f>IF(終値!A240="","",IFERROR(4*STDEVP(終値!AC240:AV240)/AVERAGE(終値!AC240:AV240),""))</f>
      </c>
      <c r="AA240" s="684">
        <f>IF(終値!A240="","",IFERROR(4*STDEVP(終値!AD240:AW240)/AVERAGE(終値!AD240:AW240),""))</f>
      </c>
      <c r="AB240" s="684">
        <f>IF(終値!A240="","",IFERROR(4*STDEVP(終値!AE240:AX240)/AVERAGE(終値!AE240:AX240),""))</f>
      </c>
      <c r="AC240" s="684">
        <f>IF(終値!A240="","",IFERROR(4*STDEVP(終値!AF240:AY240)/AVERAGE(終値!AF240:AY240),""))</f>
      </c>
      <c r="AD240" s="684">
        <f>IF(終値!A240="","",IFERROR(4*STDEVP(終値!AG240:AZ240)/AVERAGE(終値!AG240:AZ240),""))</f>
      </c>
      <c r="AE240" s="684">
        <f>IF(終値!A240="","",IFERROR(4*STDEVP(終値!AH240:BA240)/AVERAGE(終値!AH240:BA240),""))</f>
      </c>
      <c r="AF240" s="684">
        <f>IF(終値!A240="","",IFERROR(4*STDEVP(終値!AI240:BB240)/AVERAGE(終値!AI240:BB240),""))</f>
      </c>
      <c r="AG240" s="684">
        <f>IF(終値!A240="","",IFERROR(4*STDEVP(終値!AJ240:BC240)/AVERAGE(終値!AJ240:BC240),""))</f>
      </c>
      <c r="AH240" s="684">
        <f>IF(終値!A240="","",IFERROR(4*STDEVP(終値!AK240:BD240)/AVERAGE(終値!AK240:BD240),""))</f>
      </c>
      <c r="AI240" s="684">
        <f>IF(終値!A240="","",IFERROR(4*STDEVP(終値!AL240:BE240)/AVERAGE(終値!AL240:BE240),""))</f>
      </c>
      <c r="AJ240" s="684">
        <f>IF(終値!A240="","",IFERROR(4*STDEVP(終値!AM240:BF240)/AVERAGE(終値!AM240:BF240),""))</f>
      </c>
      <c r="AK240" s="684">
        <f>IF(終値!A240="","",IFERROR(4*STDEVP(終値!AN240:BG240)/AVERAGE(終値!AN240:BG240),""))</f>
      </c>
      <c r="AL240" s="684">
        <f>IF(終値!A240="","",IFERROR(4*STDEVP(終値!AO240:BH240)/AVERAGE(終値!AO240:BH240),""))</f>
      </c>
      <c r="AM240" s="684">
        <f>IF(終値!A240="","",IFERROR(4*STDEVP(終値!AP240:BI240)/AVERAGE(終値!AP240:BI240),""))</f>
      </c>
      <c r="AN240" s="684">
        <f>IF(終値!A240="","",IFERROR(4*STDEVP(終値!AQ240:BJ240)/AVERAGE(終値!AQ240:BJ240),""))</f>
      </c>
      <c r="AO240" s="684">
        <f>IF(終値!A240="","",IFERROR(4*STDEVP(終値!AR240:BK240)/AVERAGE(終値!AR240:BK240),""))</f>
      </c>
      <c r="AP240" s="684">
        <f>IF(終値!A240="","",IFERROR(4*STDEVP(終値!AS240:BL240)/AVERAGE(終値!AS240:BL240),""))</f>
      </c>
    </row>
    <row r="241">
      <c r="A241" s="681">
        <f>IF(終値!A241="","",終値!A241)</f>
      </c>
      <c r="B241" s="684">
        <f>IF(終値!A241="","",IFERROR(4*STDEVP(終値!E241:X241)/AVERAGE(終値!E241:X241),""))</f>
      </c>
      <c r="C241" s="684">
        <f>IF(終値!A241="","",IFERROR(4*STDEVP(終値!F241:Y241)/AVERAGE(終値!F241:Y241),""))</f>
      </c>
      <c r="D241" s="684">
        <f>IF(終値!A241="","",IFERROR(4*STDEVP(終値!G241:Z241)/AVERAGE(終値!G241:Z241),""))</f>
      </c>
      <c r="E241" s="684">
        <f>IF(終値!A241="","",IFERROR(4*STDEVP(終値!H241:AA241)/AVERAGE(終値!H241:AA241),""))</f>
      </c>
      <c r="F241" s="684">
        <f>IF(終値!A241="","",IFERROR(4*STDEVP(終値!I241:AB241)/AVERAGE(終値!I241:AB241),""))</f>
      </c>
      <c r="G241" s="684">
        <f>IF(終値!A241="","",IFERROR(4*STDEVP(終値!J241:AC241)/AVERAGE(終値!J241:AC241),""))</f>
      </c>
      <c r="H241" s="684">
        <f>IF(終値!A241="","",IFERROR(4*STDEVP(終値!K241:AD241)/AVERAGE(終値!K241:AD241),""))</f>
      </c>
      <c r="I241" s="684">
        <f>IF(終値!A241="","",IFERROR(4*STDEVP(終値!L241:AE241)/AVERAGE(終値!L241:AE241),""))</f>
      </c>
      <c r="J241" s="684">
        <f>IF(終値!A241="","",IFERROR(4*STDEVP(終値!M241:AF241)/AVERAGE(終値!M241:AF241),""))</f>
      </c>
      <c r="K241" s="684">
        <f>IF(終値!A241="","",IFERROR(4*STDEVP(終値!N241:AG241)/AVERAGE(終値!N241:AG241),""))</f>
      </c>
      <c r="L241" s="684">
        <f>IF(終値!A241="","",IFERROR(4*STDEVP(終値!O241:AH241)/AVERAGE(終値!O241:AH241),""))</f>
      </c>
      <c r="M241" s="684">
        <f>IF(終値!A241="","",IFERROR(4*STDEVP(終値!P241:AI241)/AVERAGE(終値!P241:AI241),""))</f>
      </c>
      <c r="N241" s="684">
        <f>IF(終値!A241="","",IFERROR(4*STDEVP(終値!Q241:AJ241)/AVERAGE(終値!Q241:AJ241),""))</f>
      </c>
      <c r="O241" s="684">
        <f>IF(終値!A241="","",IFERROR(4*STDEVP(終値!R241:AK241)/AVERAGE(終値!R241:AK241),""))</f>
      </c>
      <c r="P241" s="684">
        <f>IF(終値!A241="","",IFERROR(4*STDEVP(終値!S241:AL241)/AVERAGE(終値!S241:AL241),""))</f>
      </c>
      <c r="Q241" s="684">
        <f>IF(終値!A241="","",IFERROR(4*STDEVP(終値!T241:AM241)/AVERAGE(終値!T241:AM241),""))</f>
      </c>
      <c r="R241" s="684">
        <f>IF(終値!A241="","",IFERROR(4*STDEVP(終値!U241:AN241)/AVERAGE(終値!U241:AN241),""))</f>
      </c>
      <c r="S241" s="684">
        <f>IF(終値!A241="","",IFERROR(4*STDEVP(終値!V241:AO241)/AVERAGE(終値!V241:AO241),""))</f>
      </c>
      <c r="T241" s="684">
        <f>IF(終値!A241="","",IFERROR(4*STDEVP(終値!W241:AP241)/AVERAGE(終値!W241:AP241),""))</f>
      </c>
      <c r="U241" s="684">
        <f>IF(終値!A241="","",IFERROR(4*STDEVP(終値!X241:AQ241)/AVERAGE(終値!X241:AQ241),""))</f>
      </c>
      <c r="V241" s="684">
        <f>IF(終値!A241="","",IFERROR(4*STDEVP(終値!Y241:AR241)/AVERAGE(終値!Y241:AR241),""))</f>
      </c>
      <c r="W241" s="684">
        <f>IF(終値!A241="","",IFERROR(4*STDEVP(終値!Z241:AS241)/AVERAGE(終値!Z241:AS241),""))</f>
      </c>
      <c r="X241" s="684">
        <f>IF(終値!A241="","",IFERROR(4*STDEVP(終値!AA241:AT241)/AVERAGE(終値!AA241:AT241),""))</f>
      </c>
      <c r="Y241" s="684">
        <f>IF(終値!A241="","",IFERROR(4*STDEVP(終値!AB241:AU241)/AVERAGE(終値!AB241:AU241),""))</f>
      </c>
      <c r="Z241" s="684">
        <f>IF(終値!A241="","",IFERROR(4*STDEVP(終値!AC241:AV241)/AVERAGE(終値!AC241:AV241),""))</f>
      </c>
      <c r="AA241" s="684">
        <f>IF(終値!A241="","",IFERROR(4*STDEVP(終値!AD241:AW241)/AVERAGE(終値!AD241:AW241),""))</f>
      </c>
      <c r="AB241" s="684">
        <f>IF(終値!A241="","",IFERROR(4*STDEVP(終値!AE241:AX241)/AVERAGE(終値!AE241:AX241),""))</f>
      </c>
      <c r="AC241" s="684">
        <f>IF(終値!A241="","",IFERROR(4*STDEVP(終値!AF241:AY241)/AVERAGE(終値!AF241:AY241),""))</f>
      </c>
      <c r="AD241" s="684">
        <f>IF(終値!A241="","",IFERROR(4*STDEVP(終値!AG241:AZ241)/AVERAGE(終値!AG241:AZ241),""))</f>
      </c>
      <c r="AE241" s="684">
        <f>IF(終値!A241="","",IFERROR(4*STDEVP(終値!AH241:BA241)/AVERAGE(終値!AH241:BA241),""))</f>
      </c>
      <c r="AF241" s="684">
        <f>IF(終値!A241="","",IFERROR(4*STDEVP(終値!AI241:BB241)/AVERAGE(終値!AI241:BB241),""))</f>
      </c>
      <c r="AG241" s="684">
        <f>IF(終値!A241="","",IFERROR(4*STDEVP(終値!AJ241:BC241)/AVERAGE(終値!AJ241:BC241),""))</f>
      </c>
      <c r="AH241" s="684">
        <f>IF(終値!A241="","",IFERROR(4*STDEVP(終値!AK241:BD241)/AVERAGE(終値!AK241:BD241),""))</f>
      </c>
      <c r="AI241" s="684">
        <f>IF(終値!A241="","",IFERROR(4*STDEVP(終値!AL241:BE241)/AVERAGE(終値!AL241:BE241),""))</f>
      </c>
      <c r="AJ241" s="684">
        <f>IF(終値!A241="","",IFERROR(4*STDEVP(終値!AM241:BF241)/AVERAGE(終値!AM241:BF241),""))</f>
      </c>
      <c r="AK241" s="684">
        <f>IF(終値!A241="","",IFERROR(4*STDEVP(終値!AN241:BG241)/AVERAGE(終値!AN241:BG241),""))</f>
      </c>
      <c r="AL241" s="684">
        <f>IF(終値!A241="","",IFERROR(4*STDEVP(終値!AO241:BH241)/AVERAGE(終値!AO241:BH241),""))</f>
      </c>
      <c r="AM241" s="684">
        <f>IF(終値!A241="","",IFERROR(4*STDEVP(終値!AP241:BI241)/AVERAGE(終値!AP241:BI241),""))</f>
      </c>
      <c r="AN241" s="684">
        <f>IF(終値!A241="","",IFERROR(4*STDEVP(終値!AQ241:BJ241)/AVERAGE(終値!AQ241:BJ241),""))</f>
      </c>
      <c r="AO241" s="684">
        <f>IF(終値!A241="","",IFERROR(4*STDEVP(終値!AR241:BK241)/AVERAGE(終値!AR241:BK241),""))</f>
      </c>
      <c r="AP241" s="684">
        <f>IF(終値!A241="","",IFERROR(4*STDEVP(終値!AS241:BL241)/AVERAGE(終値!AS241:BL241),""))</f>
      </c>
    </row>
    <row r="242">
      <c r="A242" s="681">
        <f>IF(終値!A242="","",終値!A242)</f>
      </c>
      <c r="B242" s="684">
        <f>IF(終値!A242="","",IFERROR(4*STDEVP(終値!E242:X242)/AVERAGE(終値!E242:X242),""))</f>
      </c>
      <c r="C242" s="684">
        <f>IF(終値!A242="","",IFERROR(4*STDEVP(終値!F242:Y242)/AVERAGE(終値!F242:Y242),""))</f>
      </c>
      <c r="D242" s="684">
        <f>IF(終値!A242="","",IFERROR(4*STDEVP(終値!G242:Z242)/AVERAGE(終値!G242:Z242),""))</f>
      </c>
      <c r="E242" s="684">
        <f>IF(終値!A242="","",IFERROR(4*STDEVP(終値!H242:AA242)/AVERAGE(終値!H242:AA242),""))</f>
      </c>
      <c r="F242" s="684">
        <f>IF(終値!A242="","",IFERROR(4*STDEVP(終値!I242:AB242)/AVERAGE(終値!I242:AB242),""))</f>
      </c>
      <c r="G242" s="684">
        <f>IF(終値!A242="","",IFERROR(4*STDEVP(終値!J242:AC242)/AVERAGE(終値!J242:AC242),""))</f>
      </c>
      <c r="H242" s="684">
        <f>IF(終値!A242="","",IFERROR(4*STDEVP(終値!K242:AD242)/AVERAGE(終値!K242:AD242),""))</f>
      </c>
      <c r="I242" s="684">
        <f>IF(終値!A242="","",IFERROR(4*STDEVP(終値!L242:AE242)/AVERAGE(終値!L242:AE242),""))</f>
      </c>
      <c r="J242" s="684">
        <f>IF(終値!A242="","",IFERROR(4*STDEVP(終値!M242:AF242)/AVERAGE(終値!M242:AF242),""))</f>
      </c>
      <c r="K242" s="684">
        <f>IF(終値!A242="","",IFERROR(4*STDEVP(終値!N242:AG242)/AVERAGE(終値!N242:AG242),""))</f>
      </c>
      <c r="L242" s="684">
        <f>IF(終値!A242="","",IFERROR(4*STDEVP(終値!O242:AH242)/AVERAGE(終値!O242:AH242),""))</f>
      </c>
      <c r="M242" s="684">
        <f>IF(終値!A242="","",IFERROR(4*STDEVP(終値!P242:AI242)/AVERAGE(終値!P242:AI242),""))</f>
      </c>
      <c r="N242" s="684">
        <f>IF(終値!A242="","",IFERROR(4*STDEVP(終値!Q242:AJ242)/AVERAGE(終値!Q242:AJ242),""))</f>
      </c>
      <c r="O242" s="684">
        <f>IF(終値!A242="","",IFERROR(4*STDEVP(終値!R242:AK242)/AVERAGE(終値!R242:AK242),""))</f>
      </c>
      <c r="P242" s="684">
        <f>IF(終値!A242="","",IFERROR(4*STDEVP(終値!S242:AL242)/AVERAGE(終値!S242:AL242),""))</f>
      </c>
      <c r="Q242" s="684">
        <f>IF(終値!A242="","",IFERROR(4*STDEVP(終値!T242:AM242)/AVERAGE(終値!T242:AM242),""))</f>
      </c>
      <c r="R242" s="684">
        <f>IF(終値!A242="","",IFERROR(4*STDEVP(終値!U242:AN242)/AVERAGE(終値!U242:AN242),""))</f>
      </c>
      <c r="S242" s="684">
        <f>IF(終値!A242="","",IFERROR(4*STDEVP(終値!V242:AO242)/AVERAGE(終値!V242:AO242),""))</f>
      </c>
      <c r="T242" s="684">
        <f>IF(終値!A242="","",IFERROR(4*STDEVP(終値!W242:AP242)/AVERAGE(終値!W242:AP242),""))</f>
      </c>
      <c r="U242" s="684">
        <f>IF(終値!A242="","",IFERROR(4*STDEVP(終値!X242:AQ242)/AVERAGE(終値!X242:AQ242),""))</f>
      </c>
      <c r="V242" s="684">
        <f>IF(終値!A242="","",IFERROR(4*STDEVP(終値!Y242:AR242)/AVERAGE(終値!Y242:AR242),""))</f>
      </c>
      <c r="W242" s="684">
        <f>IF(終値!A242="","",IFERROR(4*STDEVP(終値!Z242:AS242)/AVERAGE(終値!Z242:AS242),""))</f>
      </c>
      <c r="X242" s="684">
        <f>IF(終値!A242="","",IFERROR(4*STDEVP(終値!AA242:AT242)/AVERAGE(終値!AA242:AT242),""))</f>
      </c>
      <c r="Y242" s="684">
        <f>IF(終値!A242="","",IFERROR(4*STDEVP(終値!AB242:AU242)/AVERAGE(終値!AB242:AU242),""))</f>
      </c>
      <c r="Z242" s="684">
        <f>IF(終値!A242="","",IFERROR(4*STDEVP(終値!AC242:AV242)/AVERAGE(終値!AC242:AV242),""))</f>
      </c>
      <c r="AA242" s="684">
        <f>IF(終値!A242="","",IFERROR(4*STDEVP(終値!AD242:AW242)/AVERAGE(終値!AD242:AW242),""))</f>
      </c>
      <c r="AB242" s="684">
        <f>IF(終値!A242="","",IFERROR(4*STDEVP(終値!AE242:AX242)/AVERAGE(終値!AE242:AX242),""))</f>
      </c>
      <c r="AC242" s="684">
        <f>IF(終値!A242="","",IFERROR(4*STDEVP(終値!AF242:AY242)/AVERAGE(終値!AF242:AY242),""))</f>
      </c>
      <c r="AD242" s="684">
        <f>IF(終値!A242="","",IFERROR(4*STDEVP(終値!AG242:AZ242)/AVERAGE(終値!AG242:AZ242),""))</f>
      </c>
      <c r="AE242" s="684">
        <f>IF(終値!A242="","",IFERROR(4*STDEVP(終値!AH242:BA242)/AVERAGE(終値!AH242:BA242),""))</f>
      </c>
      <c r="AF242" s="684">
        <f>IF(終値!A242="","",IFERROR(4*STDEVP(終値!AI242:BB242)/AVERAGE(終値!AI242:BB242),""))</f>
      </c>
      <c r="AG242" s="684">
        <f>IF(終値!A242="","",IFERROR(4*STDEVP(終値!AJ242:BC242)/AVERAGE(終値!AJ242:BC242),""))</f>
      </c>
      <c r="AH242" s="684">
        <f>IF(終値!A242="","",IFERROR(4*STDEVP(終値!AK242:BD242)/AVERAGE(終値!AK242:BD242),""))</f>
      </c>
      <c r="AI242" s="684">
        <f>IF(終値!A242="","",IFERROR(4*STDEVP(終値!AL242:BE242)/AVERAGE(終値!AL242:BE242),""))</f>
      </c>
      <c r="AJ242" s="684">
        <f>IF(終値!A242="","",IFERROR(4*STDEVP(終値!AM242:BF242)/AVERAGE(終値!AM242:BF242),""))</f>
      </c>
      <c r="AK242" s="684">
        <f>IF(終値!A242="","",IFERROR(4*STDEVP(終値!AN242:BG242)/AVERAGE(終値!AN242:BG242),""))</f>
      </c>
      <c r="AL242" s="684">
        <f>IF(終値!A242="","",IFERROR(4*STDEVP(終値!AO242:BH242)/AVERAGE(終値!AO242:BH242),""))</f>
      </c>
      <c r="AM242" s="684">
        <f>IF(終値!A242="","",IFERROR(4*STDEVP(終値!AP242:BI242)/AVERAGE(終値!AP242:BI242),""))</f>
      </c>
      <c r="AN242" s="684">
        <f>IF(終値!A242="","",IFERROR(4*STDEVP(終値!AQ242:BJ242)/AVERAGE(終値!AQ242:BJ242),""))</f>
      </c>
      <c r="AO242" s="684">
        <f>IF(終値!A242="","",IFERROR(4*STDEVP(終値!AR242:BK242)/AVERAGE(終値!AR242:BK242),""))</f>
      </c>
      <c r="AP242" s="684">
        <f>IF(終値!A242="","",IFERROR(4*STDEVP(終値!AS242:BL242)/AVERAGE(終値!AS242:BL242),""))</f>
      </c>
    </row>
    <row r="243">
      <c r="A243" s="681">
        <f>IF(終値!A243="","",終値!A243)</f>
      </c>
      <c r="B243" s="684">
        <f>IF(終値!A243="","",IFERROR(4*STDEVP(終値!E243:X243)/AVERAGE(終値!E243:X243),""))</f>
      </c>
      <c r="C243" s="684">
        <f>IF(終値!A243="","",IFERROR(4*STDEVP(終値!F243:Y243)/AVERAGE(終値!F243:Y243),""))</f>
      </c>
      <c r="D243" s="684">
        <f>IF(終値!A243="","",IFERROR(4*STDEVP(終値!G243:Z243)/AVERAGE(終値!G243:Z243),""))</f>
      </c>
      <c r="E243" s="684">
        <f>IF(終値!A243="","",IFERROR(4*STDEVP(終値!H243:AA243)/AVERAGE(終値!H243:AA243),""))</f>
      </c>
      <c r="F243" s="684">
        <f>IF(終値!A243="","",IFERROR(4*STDEVP(終値!I243:AB243)/AVERAGE(終値!I243:AB243),""))</f>
      </c>
      <c r="G243" s="684">
        <f>IF(終値!A243="","",IFERROR(4*STDEVP(終値!J243:AC243)/AVERAGE(終値!J243:AC243),""))</f>
      </c>
      <c r="H243" s="684">
        <f>IF(終値!A243="","",IFERROR(4*STDEVP(終値!K243:AD243)/AVERAGE(終値!K243:AD243),""))</f>
      </c>
      <c r="I243" s="684">
        <f>IF(終値!A243="","",IFERROR(4*STDEVP(終値!L243:AE243)/AVERAGE(終値!L243:AE243),""))</f>
      </c>
      <c r="J243" s="684">
        <f>IF(終値!A243="","",IFERROR(4*STDEVP(終値!M243:AF243)/AVERAGE(終値!M243:AF243),""))</f>
      </c>
      <c r="K243" s="684">
        <f>IF(終値!A243="","",IFERROR(4*STDEVP(終値!N243:AG243)/AVERAGE(終値!N243:AG243),""))</f>
      </c>
      <c r="L243" s="684">
        <f>IF(終値!A243="","",IFERROR(4*STDEVP(終値!O243:AH243)/AVERAGE(終値!O243:AH243),""))</f>
      </c>
      <c r="M243" s="684">
        <f>IF(終値!A243="","",IFERROR(4*STDEVP(終値!P243:AI243)/AVERAGE(終値!P243:AI243),""))</f>
      </c>
      <c r="N243" s="684">
        <f>IF(終値!A243="","",IFERROR(4*STDEVP(終値!Q243:AJ243)/AVERAGE(終値!Q243:AJ243),""))</f>
      </c>
      <c r="O243" s="684">
        <f>IF(終値!A243="","",IFERROR(4*STDEVP(終値!R243:AK243)/AVERAGE(終値!R243:AK243),""))</f>
      </c>
      <c r="P243" s="684">
        <f>IF(終値!A243="","",IFERROR(4*STDEVP(終値!S243:AL243)/AVERAGE(終値!S243:AL243),""))</f>
      </c>
      <c r="Q243" s="684">
        <f>IF(終値!A243="","",IFERROR(4*STDEVP(終値!T243:AM243)/AVERAGE(終値!T243:AM243),""))</f>
      </c>
      <c r="R243" s="684">
        <f>IF(終値!A243="","",IFERROR(4*STDEVP(終値!U243:AN243)/AVERAGE(終値!U243:AN243),""))</f>
      </c>
      <c r="S243" s="684">
        <f>IF(終値!A243="","",IFERROR(4*STDEVP(終値!V243:AO243)/AVERAGE(終値!V243:AO243),""))</f>
      </c>
      <c r="T243" s="684">
        <f>IF(終値!A243="","",IFERROR(4*STDEVP(終値!W243:AP243)/AVERAGE(終値!W243:AP243),""))</f>
      </c>
      <c r="U243" s="684">
        <f>IF(終値!A243="","",IFERROR(4*STDEVP(終値!X243:AQ243)/AVERAGE(終値!X243:AQ243),""))</f>
      </c>
      <c r="V243" s="684">
        <f>IF(終値!A243="","",IFERROR(4*STDEVP(終値!Y243:AR243)/AVERAGE(終値!Y243:AR243),""))</f>
      </c>
      <c r="W243" s="684">
        <f>IF(終値!A243="","",IFERROR(4*STDEVP(終値!Z243:AS243)/AVERAGE(終値!Z243:AS243),""))</f>
      </c>
      <c r="X243" s="684">
        <f>IF(終値!A243="","",IFERROR(4*STDEVP(終値!AA243:AT243)/AVERAGE(終値!AA243:AT243),""))</f>
      </c>
      <c r="Y243" s="684">
        <f>IF(終値!A243="","",IFERROR(4*STDEVP(終値!AB243:AU243)/AVERAGE(終値!AB243:AU243),""))</f>
      </c>
      <c r="Z243" s="684">
        <f>IF(終値!A243="","",IFERROR(4*STDEVP(終値!AC243:AV243)/AVERAGE(終値!AC243:AV243),""))</f>
      </c>
      <c r="AA243" s="684">
        <f>IF(終値!A243="","",IFERROR(4*STDEVP(終値!AD243:AW243)/AVERAGE(終値!AD243:AW243),""))</f>
      </c>
      <c r="AB243" s="684">
        <f>IF(終値!A243="","",IFERROR(4*STDEVP(終値!AE243:AX243)/AVERAGE(終値!AE243:AX243),""))</f>
      </c>
      <c r="AC243" s="684">
        <f>IF(終値!A243="","",IFERROR(4*STDEVP(終値!AF243:AY243)/AVERAGE(終値!AF243:AY243),""))</f>
      </c>
      <c r="AD243" s="684">
        <f>IF(終値!A243="","",IFERROR(4*STDEVP(終値!AG243:AZ243)/AVERAGE(終値!AG243:AZ243),""))</f>
      </c>
      <c r="AE243" s="684">
        <f>IF(終値!A243="","",IFERROR(4*STDEVP(終値!AH243:BA243)/AVERAGE(終値!AH243:BA243),""))</f>
      </c>
      <c r="AF243" s="684">
        <f>IF(終値!A243="","",IFERROR(4*STDEVP(終値!AI243:BB243)/AVERAGE(終値!AI243:BB243),""))</f>
      </c>
      <c r="AG243" s="684">
        <f>IF(終値!A243="","",IFERROR(4*STDEVP(終値!AJ243:BC243)/AVERAGE(終値!AJ243:BC243),""))</f>
      </c>
      <c r="AH243" s="684">
        <f>IF(終値!A243="","",IFERROR(4*STDEVP(終値!AK243:BD243)/AVERAGE(終値!AK243:BD243),""))</f>
      </c>
      <c r="AI243" s="684">
        <f>IF(終値!A243="","",IFERROR(4*STDEVP(終値!AL243:BE243)/AVERAGE(終値!AL243:BE243),""))</f>
      </c>
      <c r="AJ243" s="684">
        <f>IF(終値!A243="","",IFERROR(4*STDEVP(終値!AM243:BF243)/AVERAGE(終値!AM243:BF243),""))</f>
      </c>
      <c r="AK243" s="684">
        <f>IF(終値!A243="","",IFERROR(4*STDEVP(終値!AN243:BG243)/AVERAGE(終値!AN243:BG243),""))</f>
      </c>
      <c r="AL243" s="684">
        <f>IF(終値!A243="","",IFERROR(4*STDEVP(終値!AO243:BH243)/AVERAGE(終値!AO243:BH243),""))</f>
      </c>
      <c r="AM243" s="684">
        <f>IF(終値!A243="","",IFERROR(4*STDEVP(終値!AP243:BI243)/AVERAGE(終値!AP243:BI243),""))</f>
      </c>
      <c r="AN243" s="684">
        <f>IF(終値!A243="","",IFERROR(4*STDEVP(終値!AQ243:BJ243)/AVERAGE(終値!AQ243:BJ243),""))</f>
      </c>
      <c r="AO243" s="684">
        <f>IF(終値!A243="","",IFERROR(4*STDEVP(終値!AR243:BK243)/AVERAGE(終値!AR243:BK243),""))</f>
      </c>
      <c r="AP243" s="684">
        <f>IF(終値!A243="","",IFERROR(4*STDEVP(終値!AS243:BL243)/AVERAGE(終値!AS243:BL243),""))</f>
      </c>
    </row>
    <row r="244">
      <c r="A244" s="681">
        <f>IF(終値!A244="","",終値!A244)</f>
      </c>
      <c r="B244" s="684">
        <f>IF(終値!A244="","",IFERROR(4*STDEVP(終値!E244:X244)/AVERAGE(終値!E244:X244),""))</f>
      </c>
      <c r="C244" s="684">
        <f>IF(終値!A244="","",IFERROR(4*STDEVP(終値!F244:Y244)/AVERAGE(終値!F244:Y244),""))</f>
      </c>
      <c r="D244" s="684">
        <f>IF(終値!A244="","",IFERROR(4*STDEVP(終値!G244:Z244)/AVERAGE(終値!G244:Z244),""))</f>
      </c>
      <c r="E244" s="684">
        <f>IF(終値!A244="","",IFERROR(4*STDEVP(終値!H244:AA244)/AVERAGE(終値!H244:AA244),""))</f>
      </c>
      <c r="F244" s="684">
        <f>IF(終値!A244="","",IFERROR(4*STDEVP(終値!I244:AB244)/AVERAGE(終値!I244:AB244),""))</f>
      </c>
      <c r="G244" s="684">
        <f>IF(終値!A244="","",IFERROR(4*STDEVP(終値!J244:AC244)/AVERAGE(終値!J244:AC244),""))</f>
      </c>
      <c r="H244" s="684">
        <f>IF(終値!A244="","",IFERROR(4*STDEVP(終値!K244:AD244)/AVERAGE(終値!K244:AD244),""))</f>
      </c>
      <c r="I244" s="684">
        <f>IF(終値!A244="","",IFERROR(4*STDEVP(終値!L244:AE244)/AVERAGE(終値!L244:AE244),""))</f>
      </c>
      <c r="J244" s="684">
        <f>IF(終値!A244="","",IFERROR(4*STDEVP(終値!M244:AF244)/AVERAGE(終値!M244:AF244),""))</f>
      </c>
      <c r="K244" s="684">
        <f>IF(終値!A244="","",IFERROR(4*STDEVP(終値!N244:AG244)/AVERAGE(終値!N244:AG244),""))</f>
      </c>
      <c r="L244" s="684">
        <f>IF(終値!A244="","",IFERROR(4*STDEVP(終値!O244:AH244)/AVERAGE(終値!O244:AH244),""))</f>
      </c>
      <c r="M244" s="684">
        <f>IF(終値!A244="","",IFERROR(4*STDEVP(終値!P244:AI244)/AVERAGE(終値!P244:AI244),""))</f>
      </c>
      <c r="N244" s="684">
        <f>IF(終値!A244="","",IFERROR(4*STDEVP(終値!Q244:AJ244)/AVERAGE(終値!Q244:AJ244),""))</f>
      </c>
      <c r="O244" s="684">
        <f>IF(終値!A244="","",IFERROR(4*STDEVP(終値!R244:AK244)/AVERAGE(終値!R244:AK244),""))</f>
      </c>
      <c r="P244" s="684">
        <f>IF(終値!A244="","",IFERROR(4*STDEVP(終値!S244:AL244)/AVERAGE(終値!S244:AL244),""))</f>
      </c>
      <c r="Q244" s="684">
        <f>IF(終値!A244="","",IFERROR(4*STDEVP(終値!T244:AM244)/AVERAGE(終値!T244:AM244),""))</f>
      </c>
      <c r="R244" s="684">
        <f>IF(終値!A244="","",IFERROR(4*STDEVP(終値!U244:AN244)/AVERAGE(終値!U244:AN244),""))</f>
      </c>
      <c r="S244" s="684">
        <f>IF(終値!A244="","",IFERROR(4*STDEVP(終値!V244:AO244)/AVERAGE(終値!V244:AO244),""))</f>
      </c>
      <c r="T244" s="684">
        <f>IF(終値!A244="","",IFERROR(4*STDEVP(終値!W244:AP244)/AVERAGE(終値!W244:AP244),""))</f>
      </c>
      <c r="U244" s="684">
        <f>IF(終値!A244="","",IFERROR(4*STDEVP(終値!X244:AQ244)/AVERAGE(終値!X244:AQ244),""))</f>
      </c>
      <c r="V244" s="684">
        <f>IF(終値!A244="","",IFERROR(4*STDEVP(終値!Y244:AR244)/AVERAGE(終値!Y244:AR244),""))</f>
      </c>
      <c r="W244" s="684">
        <f>IF(終値!A244="","",IFERROR(4*STDEVP(終値!Z244:AS244)/AVERAGE(終値!Z244:AS244),""))</f>
      </c>
      <c r="X244" s="684">
        <f>IF(終値!A244="","",IFERROR(4*STDEVP(終値!AA244:AT244)/AVERAGE(終値!AA244:AT244),""))</f>
      </c>
      <c r="Y244" s="684">
        <f>IF(終値!A244="","",IFERROR(4*STDEVP(終値!AB244:AU244)/AVERAGE(終値!AB244:AU244),""))</f>
      </c>
      <c r="Z244" s="684">
        <f>IF(終値!A244="","",IFERROR(4*STDEVP(終値!AC244:AV244)/AVERAGE(終値!AC244:AV244),""))</f>
      </c>
      <c r="AA244" s="684">
        <f>IF(終値!A244="","",IFERROR(4*STDEVP(終値!AD244:AW244)/AVERAGE(終値!AD244:AW244),""))</f>
      </c>
      <c r="AB244" s="684">
        <f>IF(終値!A244="","",IFERROR(4*STDEVP(終値!AE244:AX244)/AVERAGE(終値!AE244:AX244),""))</f>
      </c>
      <c r="AC244" s="684">
        <f>IF(終値!A244="","",IFERROR(4*STDEVP(終値!AF244:AY244)/AVERAGE(終値!AF244:AY244),""))</f>
      </c>
      <c r="AD244" s="684">
        <f>IF(終値!A244="","",IFERROR(4*STDEVP(終値!AG244:AZ244)/AVERAGE(終値!AG244:AZ244),""))</f>
      </c>
      <c r="AE244" s="684">
        <f>IF(終値!A244="","",IFERROR(4*STDEVP(終値!AH244:BA244)/AVERAGE(終値!AH244:BA244),""))</f>
      </c>
      <c r="AF244" s="684">
        <f>IF(終値!A244="","",IFERROR(4*STDEVP(終値!AI244:BB244)/AVERAGE(終値!AI244:BB244),""))</f>
      </c>
      <c r="AG244" s="684">
        <f>IF(終値!A244="","",IFERROR(4*STDEVP(終値!AJ244:BC244)/AVERAGE(終値!AJ244:BC244),""))</f>
      </c>
      <c r="AH244" s="684">
        <f>IF(終値!A244="","",IFERROR(4*STDEVP(終値!AK244:BD244)/AVERAGE(終値!AK244:BD244),""))</f>
      </c>
      <c r="AI244" s="684">
        <f>IF(終値!A244="","",IFERROR(4*STDEVP(終値!AL244:BE244)/AVERAGE(終値!AL244:BE244),""))</f>
      </c>
      <c r="AJ244" s="684">
        <f>IF(終値!A244="","",IFERROR(4*STDEVP(終値!AM244:BF244)/AVERAGE(終値!AM244:BF244),""))</f>
      </c>
      <c r="AK244" s="684">
        <f>IF(終値!A244="","",IFERROR(4*STDEVP(終値!AN244:BG244)/AVERAGE(終値!AN244:BG244),""))</f>
      </c>
      <c r="AL244" s="684">
        <f>IF(終値!A244="","",IFERROR(4*STDEVP(終値!AO244:BH244)/AVERAGE(終値!AO244:BH244),""))</f>
      </c>
      <c r="AM244" s="684">
        <f>IF(終値!A244="","",IFERROR(4*STDEVP(終値!AP244:BI244)/AVERAGE(終値!AP244:BI244),""))</f>
      </c>
      <c r="AN244" s="684">
        <f>IF(終値!A244="","",IFERROR(4*STDEVP(終値!AQ244:BJ244)/AVERAGE(終値!AQ244:BJ244),""))</f>
      </c>
      <c r="AO244" s="684">
        <f>IF(終値!A244="","",IFERROR(4*STDEVP(終値!AR244:BK244)/AVERAGE(終値!AR244:BK244),""))</f>
      </c>
      <c r="AP244" s="684">
        <f>IF(終値!A244="","",IFERROR(4*STDEVP(終値!AS244:BL244)/AVERAGE(終値!AS244:BL244),""))</f>
      </c>
    </row>
    <row r="245">
      <c r="A245" s="681">
        <f>IF(終値!A245="","",終値!A245)</f>
      </c>
      <c r="B245" s="684">
        <f>IF(終値!A245="","",IFERROR(4*STDEVP(終値!E245:X245)/AVERAGE(終値!E245:X245),""))</f>
      </c>
      <c r="C245" s="684">
        <f>IF(終値!A245="","",IFERROR(4*STDEVP(終値!F245:Y245)/AVERAGE(終値!F245:Y245),""))</f>
      </c>
      <c r="D245" s="684">
        <f>IF(終値!A245="","",IFERROR(4*STDEVP(終値!G245:Z245)/AVERAGE(終値!G245:Z245),""))</f>
      </c>
      <c r="E245" s="684">
        <f>IF(終値!A245="","",IFERROR(4*STDEVP(終値!H245:AA245)/AVERAGE(終値!H245:AA245),""))</f>
      </c>
      <c r="F245" s="684">
        <f>IF(終値!A245="","",IFERROR(4*STDEVP(終値!I245:AB245)/AVERAGE(終値!I245:AB245),""))</f>
      </c>
      <c r="G245" s="684">
        <f>IF(終値!A245="","",IFERROR(4*STDEVP(終値!J245:AC245)/AVERAGE(終値!J245:AC245),""))</f>
      </c>
      <c r="H245" s="684">
        <f>IF(終値!A245="","",IFERROR(4*STDEVP(終値!K245:AD245)/AVERAGE(終値!K245:AD245),""))</f>
      </c>
      <c r="I245" s="684">
        <f>IF(終値!A245="","",IFERROR(4*STDEVP(終値!L245:AE245)/AVERAGE(終値!L245:AE245),""))</f>
      </c>
      <c r="J245" s="684">
        <f>IF(終値!A245="","",IFERROR(4*STDEVP(終値!M245:AF245)/AVERAGE(終値!M245:AF245),""))</f>
      </c>
      <c r="K245" s="684">
        <f>IF(終値!A245="","",IFERROR(4*STDEVP(終値!N245:AG245)/AVERAGE(終値!N245:AG245),""))</f>
      </c>
      <c r="L245" s="684">
        <f>IF(終値!A245="","",IFERROR(4*STDEVP(終値!O245:AH245)/AVERAGE(終値!O245:AH245),""))</f>
      </c>
      <c r="M245" s="684">
        <f>IF(終値!A245="","",IFERROR(4*STDEVP(終値!P245:AI245)/AVERAGE(終値!P245:AI245),""))</f>
      </c>
      <c r="N245" s="684">
        <f>IF(終値!A245="","",IFERROR(4*STDEVP(終値!Q245:AJ245)/AVERAGE(終値!Q245:AJ245),""))</f>
      </c>
      <c r="O245" s="684">
        <f>IF(終値!A245="","",IFERROR(4*STDEVP(終値!R245:AK245)/AVERAGE(終値!R245:AK245),""))</f>
      </c>
      <c r="P245" s="684">
        <f>IF(終値!A245="","",IFERROR(4*STDEVP(終値!S245:AL245)/AVERAGE(終値!S245:AL245),""))</f>
      </c>
      <c r="Q245" s="684">
        <f>IF(終値!A245="","",IFERROR(4*STDEVP(終値!T245:AM245)/AVERAGE(終値!T245:AM245),""))</f>
      </c>
      <c r="R245" s="684">
        <f>IF(終値!A245="","",IFERROR(4*STDEVP(終値!U245:AN245)/AVERAGE(終値!U245:AN245),""))</f>
      </c>
      <c r="S245" s="684">
        <f>IF(終値!A245="","",IFERROR(4*STDEVP(終値!V245:AO245)/AVERAGE(終値!V245:AO245),""))</f>
      </c>
      <c r="T245" s="684">
        <f>IF(終値!A245="","",IFERROR(4*STDEVP(終値!W245:AP245)/AVERAGE(終値!W245:AP245),""))</f>
      </c>
      <c r="U245" s="684">
        <f>IF(終値!A245="","",IFERROR(4*STDEVP(終値!X245:AQ245)/AVERAGE(終値!X245:AQ245),""))</f>
      </c>
      <c r="V245" s="684">
        <f>IF(終値!A245="","",IFERROR(4*STDEVP(終値!Y245:AR245)/AVERAGE(終値!Y245:AR245),""))</f>
      </c>
      <c r="W245" s="684">
        <f>IF(終値!A245="","",IFERROR(4*STDEVP(終値!Z245:AS245)/AVERAGE(終値!Z245:AS245),""))</f>
      </c>
      <c r="X245" s="684">
        <f>IF(終値!A245="","",IFERROR(4*STDEVP(終値!AA245:AT245)/AVERAGE(終値!AA245:AT245),""))</f>
      </c>
      <c r="Y245" s="684">
        <f>IF(終値!A245="","",IFERROR(4*STDEVP(終値!AB245:AU245)/AVERAGE(終値!AB245:AU245),""))</f>
      </c>
      <c r="Z245" s="684">
        <f>IF(終値!A245="","",IFERROR(4*STDEVP(終値!AC245:AV245)/AVERAGE(終値!AC245:AV245),""))</f>
      </c>
      <c r="AA245" s="684">
        <f>IF(終値!A245="","",IFERROR(4*STDEVP(終値!AD245:AW245)/AVERAGE(終値!AD245:AW245),""))</f>
      </c>
      <c r="AB245" s="684">
        <f>IF(終値!A245="","",IFERROR(4*STDEVP(終値!AE245:AX245)/AVERAGE(終値!AE245:AX245),""))</f>
      </c>
      <c r="AC245" s="684">
        <f>IF(終値!A245="","",IFERROR(4*STDEVP(終値!AF245:AY245)/AVERAGE(終値!AF245:AY245),""))</f>
      </c>
      <c r="AD245" s="684">
        <f>IF(終値!A245="","",IFERROR(4*STDEVP(終値!AG245:AZ245)/AVERAGE(終値!AG245:AZ245),""))</f>
      </c>
      <c r="AE245" s="684">
        <f>IF(終値!A245="","",IFERROR(4*STDEVP(終値!AH245:BA245)/AVERAGE(終値!AH245:BA245),""))</f>
      </c>
      <c r="AF245" s="684">
        <f>IF(終値!A245="","",IFERROR(4*STDEVP(終値!AI245:BB245)/AVERAGE(終値!AI245:BB245),""))</f>
      </c>
      <c r="AG245" s="684">
        <f>IF(終値!A245="","",IFERROR(4*STDEVP(終値!AJ245:BC245)/AVERAGE(終値!AJ245:BC245),""))</f>
      </c>
      <c r="AH245" s="684">
        <f>IF(終値!A245="","",IFERROR(4*STDEVP(終値!AK245:BD245)/AVERAGE(終値!AK245:BD245),""))</f>
      </c>
      <c r="AI245" s="684">
        <f>IF(終値!A245="","",IFERROR(4*STDEVP(終値!AL245:BE245)/AVERAGE(終値!AL245:BE245),""))</f>
      </c>
      <c r="AJ245" s="684">
        <f>IF(終値!A245="","",IFERROR(4*STDEVP(終値!AM245:BF245)/AVERAGE(終値!AM245:BF245),""))</f>
      </c>
      <c r="AK245" s="684">
        <f>IF(終値!A245="","",IFERROR(4*STDEVP(終値!AN245:BG245)/AVERAGE(終値!AN245:BG245),""))</f>
      </c>
      <c r="AL245" s="684">
        <f>IF(終値!A245="","",IFERROR(4*STDEVP(終値!AO245:BH245)/AVERAGE(終値!AO245:BH245),""))</f>
      </c>
      <c r="AM245" s="684">
        <f>IF(終値!A245="","",IFERROR(4*STDEVP(終値!AP245:BI245)/AVERAGE(終値!AP245:BI245),""))</f>
      </c>
      <c r="AN245" s="684">
        <f>IF(終値!A245="","",IFERROR(4*STDEVP(終値!AQ245:BJ245)/AVERAGE(終値!AQ245:BJ245),""))</f>
      </c>
      <c r="AO245" s="684">
        <f>IF(終値!A245="","",IFERROR(4*STDEVP(終値!AR245:BK245)/AVERAGE(終値!AR245:BK245),""))</f>
      </c>
      <c r="AP245" s="684">
        <f>IF(終値!A245="","",IFERROR(4*STDEVP(終値!AS245:BL245)/AVERAGE(終値!AS245:BL245),""))</f>
      </c>
    </row>
    <row r="246">
      <c r="A246" s="681">
        <f>IF(終値!A246="","",終値!A246)</f>
      </c>
      <c r="B246" s="684">
        <f>IF(終値!A246="","",IFERROR(4*STDEVP(終値!E246:X246)/AVERAGE(終値!E246:X246),""))</f>
      </c>
      <c r="C246" s="684">
        <f>IF(終値!A246="","",IFERROR(4*STDEVP(終値!F246:Y246)/AVERAGE(終値!F246:Y246),""))</f>
      </c>
      <c r="D246" s="684">
        <f>IF(終値!A246="","",IFERROR(4*STDEVP(終値!G246:Z246)/AVERAGE(終値!G246:Z246),""))</f>
      </c>
      <c r="E246" s="684">
        <f>IF(終値!A246="","",IFERROR(4*STDEVP(終値!H246:AA246)/AVERAGE(終値!H246:AA246),""))</f>
      </c>
      <c r="F246" s="684">
        <f>IF(終値!A246="","",IFERROR(4*STDEVP(終値!I246:AB246)/AVERAGE(終値!I246:AB246),""))</f>
      </c>
      <c r="G246" s="684">
        <f>IF(終値!A246="","",IFERROR(4*STDEVP(終値!J246:AC246)/AVERAGE(終値!J246:AC246),""))</f>
      </c>
      <c r="H246" s="684">
        <f>IF(終値!A246="","",IFERROR(4*STDEVP(終値!K246:AD246)/AVERAGE(終値!K246:AD246),""))</f>
      </c>
      <c r="I246" s="684">
        <f>IF(終値!A246="","",IFERROR(4*STDEVP(終値!L246:AE246)/AVERAGE(終値!L246:AE246),""))</f>
      </c>
      <c r="J246" s="684">
        <f>IF(終値!A246="","",IFERROR(4*STDEVP(終値!M246:AF246)/AVERAGE(終値!M246:AF246),""))</f>
      </c>
      <c r="K246" s="684">
        <f>IF(終値!A246="","",IFERROR(4*STDEVP(終値!N246:AG246)/AVERAGE(終値!N246:AG246),""))</f>
      </c>
      <c r="L246" s="684">
        <f>IF(終値!A246="","",IFERROR(4*STDEVP(終値!O246:AH246)/AVERAGE(終値!O246:AH246),""))</f>
      </c>
      <c r="M246" s="684">
        <f>IF(終値!A246="","",IFERROR(4*STDEVP(終値!P246:AI246)/AVERAGE(終値!P246:AI246),""))</f>
      </c>
      <c r="N246" s="684">
        <f>IF(終値!A246="","",IFERROR(4*STDEVP(終値!Q246:AJ246)/AVERAGE(終値!Q246:AJ246),""))</f>
      </c>
      <c r="O246" s="684">
        <f>IF(終値!A246="","",IFERROR(4*STDEVP(終値!R246:AK246)/AVERAGE(終値!R246:AK246),""))</f>
      </c>
      <c r="P246" s="684">
        <f>IF(終値!A246="","",IFERROR(4*STDEVP(終値!S246:AL246)/AVERAGE(終値!S246:AL246),""))</f>
      </c>
      <c r="Q246" s="684">
        <f>IF(終値!A246="","",IFERROR(4*STDEVP(終値!T246:AM246)/AVERAGE(終値!T246:AM246),""))</f>
      </c>
      <c r="R246" s="684">
        <f>IF(終値!A246="","",IFERROR(4*STDEVP(終値!U246:AN246)/AVERAGE(終値!U246:AN246),""))</f>
      </c>
      <c r="S246" s="684">
        <f>IF(終値!A246="","",IFERROR(4*STDEVP(終値!V246:AO246)/AVERAGE(終値!V246:AO246),""))</f>
      </c>
      <c r="T246" s="684">
        <f>IF(終値!A246="","",IFERROR(4*STDEVP(終値!W246:AP246)/AVERAGE(終値!W246:AP246),""))</f>
      </c>
      <c r="U246" s="684">
        <f>IF(終値!A246="","",IFERROR(4*STDEVP(終値!X246:AQ246)/AVERAGE(終値!X246:AQ246),""))</f>
      </c>
      <c r="V246" s="684">
        <f>IF(終値!A246="","",IFERROR(4*STDEVP(終値!Y246:AR246)/AVERAGE(終値!Y246:AR246),""))</f>
      </c>
      <c r="W246" s="684">
        <f>IF(終値!A246="","",IFERROR(4*STDEVP(終値!Z246:AS246)/AVERAGE(終値!Z246:AS246),""))</f>
      </c>
      <c r="X246" s="684">
        <f>IF(終値!A246="","",IFERROR(4*STDEVP(終値!AA246:AT246)/AVERAGE(終値!AA246:AT246),""))</f>
      </c>
      <c r="Y246" s="684">
        <f>IF(終値!A246="","",IFERROR(4*STDEVP(終値!AB246:AU246)/AVERAGE(終値!AB246:AU246),""))</f>
      </c>
      <c r="Z246" s="684">
        <f>IF(終値!A246="","",IFERROR(4*STDEVP(終値!AC246:AV246)/AVERAGE(終値!AC246:AV246),""))</f>
      </c>
      <c r="AA246" s="684">
        <f>IF(終値!A246="","",IFERROR(4*STDEVP(終値!AD246:AW246)/AVERAGE(終値!AD246:AW246),""))</f>
      </c>
      <c r="AB246" s="684">
        <f>IF(終値!A246="","",IFERROR(4*STDEVP(終値!AE246:AX246)/AVERAGE(終値!AE246:AX246),""))</f>
      </c>
      <c r="AC246" s="684">
        <f>IF(終値!A246="","",IFERROR(4*STDEVP(終値!AF246:AY246)/AVERAGE(終値!AF246:AY246),""))</f>
      </c>
      <c r="AD246" s="684">
        <f>IF(終値!A246="","",IFERROR(4*STDEVP(終値!AG246:AZ246)/AVERAGE(終値!AG246:AZ246),""))</f>
      </c>
      <c r="AE246" s="684">
        <f>IF(終値!A246="","",IFERROR(4*STDEVP(終値!AH246:BA246)/AVERAGE(終値!AH246:BA246),""))</f>
      </c>
      <c r="AF246" s="684">
        <f>IF(終値!A246="","",IFERROR(4*STDEVP(終値!AI246:BB246)/AVERAGE(終値!AI246:BB246),""))</f>
      </c>
      <c r="AG246" s="684">
        <f>IF(終値!A246="","",IFERROR(4*STDEVP(終値!AJ246:BC246)/AVERAGE(終値!AJ246:BC246),""))</f>
      </c>
      <c r="AH246" s="684">
        <f>IF(終値!A246="","",IFERROR(4*STDEVP(終値!AK246:BD246)/AVERAGE(終値!AK246:BD246),""))</f>
      </c>
      <c r="AI246" s="684">
        <f>IF(終値!A246="","",IFERROR(4*STDEVP(終値!AL246:BE246)/AVERAGE(終値!AL246:BE246),""))</f>
      </c>
      <c r="AJ246" s="684">
        <f>IF(終値!A246="","",IFERROR(4*STDEVP(終値!AM246:BF246)/AVERAGE(終値!AM246:BF246),""))</f>
      </c>
      <c r="AK246" s="684">
        <f>IF(終値!A246="","",IFERROR(4*STDEVP(終値!AN246:BG246)/AVERAGE(終値!AN246:BG246),""))</f>
      </c>
      <c r="AL246" s="684">
        <f>IF(終値!A246="","",IFERROR(4*STDEVP(終値!AO246:BH246)/AVERAGE(終値!AO246:BH246),""))</f>
      </c>
      <c r="AM246" s="684">
        <f>IF(終値!A246="","",IFERROR(4*STDEVP(終値!AP246:BI246)/AVERAGE(終値!AP246:BI246),""))</f>
      </c>
      <c r="AN246" s="684">
        <f>IF(終値!A246="","",IFERROR(4*STDEVP(終値!AQ246:BJ246)/AVERAGE(終値!AQ246:BJ246),""))</f>
      </c>
      <c r="AO246" s="684">
        <f>IF(終値!A246="","",IFERROR(4*STDEVP(終値!AR246:BK246)/AVERAGE(終値!AR246:BK246),""))</f>
      </c>
      <c r="AP246" s="684">
        <f>IF(終値!A246="","",IFERROR(4*STDEVP(終値!AS246:BL246)/AVERAGE(終値!AS246:BL246),""))</f>
      </c>
    </row>
    <row r="247">
      <c r="A247" s="681">
        <f>IF(終値!A247="","",終値!A247)</f>
      </c>
      <c r="B247" s="684">
        <f>IF(終値!A247="","",IFERROR(4*STDEVP(終値!E247:X247)/AVERAGE(終値!E247:X247),""))</f>
      </c>
      <c r="C247" s="684">
        <f>IF(終値!A247="","",IFERROR(4*STDEVP(終値!F247:Y247)/AVERAGE(終値!F247:Y247),""))</f>
      </c>
      <c r="D247" s="684">
        <f>IF(終値!A247="","",IFERROR(4*STDEVP(終値!G247:Z247)/AVERAGE(終値!G247:Z247),""))</f>
      </c>
      <c r="E247" s="684">
        <f>IF(終値!A247="","",IFERROR(4*STDEVP(終値!H247:AA247)/AVERAGE(終値!H247:AA247),""))</f>
      </c>
      <c r="F247" s="684">
        <f>IF(終値!A247="","",IFERROR(4*STDEVP(終値!I247:AB247)/AVERAGE(終値!I247:AB247),""))</f>
      </c>
      <c r="G247" s="684">
        <f>IF(終値!A247="","",IFERROR(4*STDEVP(終値!J247:AC247)/AVERAGE(終値!J247:AC247),""))</f>
      </c>
      <c r="H247" s="684">
        <f>IF(終値!A247="","",IFERROR(4*STDEVP(終値!K247:AD247)/AVERAGE(終値!K247:AD247),""))</f>
      </c>
      <c r="I247" s="684">
        <f>IF(終値!A247="","",IFERROR(4*STDEVP(終値!L247:AE247)/AVERAGE(終値!L247:AE247),""))</f>
      </c>
      <c r="J247" s="684">
        <f>IF(終値!A247="","",IFERROR(4*STDEVP(終値!M247:AF247)/AVERAGE(終値!M247:AF247),""))</f>
      </c>
      <c r="K247" s="684">
        <f>IF(終値!A247="","",IFERROR(4*STDEVP(終値!N247:AG247)/AVERAGE(終値!N247:AG247),""))</f>
      </c>
      <c r="L247" s="684">
        <f>IF(終値!A247="","",IFERROR(4*STDEVP(終値!O247:AH247)/AVERAGE(終値!O247:AH247),""))</f>
      </c>
      <c r="M247" s="684">
        <f>IF(終値!A247="","",IFERROR(4*STDEVP(終値!P247:AI247)/AVERAGE(終値!P247:AI247),""))</f>
      </c>
      <c r="N247" s="684">
        <f>IF(終値!A247="","",IFERROR(4*STDEVP(終値!Q247:AJ247)/AVERAGE(終値!Q247:AJ247),""))</f>
      </c>
      <c r="O247" s="684">
        <f>IF(終値!A247="","",IFERROR(4*STDEVP(終値!R247:AK247)/AVERAGE(終値!R247:AK247),""))</f>
      </c>
      <c r="P247" s="684">
        <f>IF(終値!A247="","",IFERROR(4*STDEVP(終値!S247:AL247)/AVERAGE(終値!S247:AL247),""))</f>
      </c>
      <c r="Q247" s="684">
        <f>IF(終値!A247="","",IFERROR(4*STDEVP(終値!T247:AM247)/AVERAGE(終値!T247:AM247),""))</f>
      </c>
      <c r="R247" s="684">
        <f>IF(終値!A247="","",IFERROR(4*STDEVP(終値!U247:AN247)/AVERAGE(終値!U247:AN247),""))</f>
      </c>
      <c r="S247" s="684">
        <f>IF(終値!A247="","",IFERROR(4*STDEVP(終値!V247:AO247)/AVERAGE(終値!V247:AO247),""))</f>
      </c>
      <c r="T247" s="684">
        <f>IF(終値!A247="","",IFERROR(4*STDEVP(終値!W247:AP247)/AVERAGE(終値!W247:AP247),""))</f>
      </c>
      <c r="U247" s="684">
        <f>IF(終値!A247="","",IFERROR(4*STDEVP(終値!X247:AQ247)/AVERAGE(終値!X247:AQ247),""))</f>
      </c>
      <c r="V247" s="684">
        <f>IF(終値!A247="","",IFERROR(4*STDEVP(終値!Y247:AR247)/AVERAGE(終値!Y247:AR247),""))</f>
      </c>
      <c r="W247" s="684">
        <f>IF(終値!A247="","",IFERROR(4*STDEVP(終値!Z247:AS247)/AVERAGE(終値!Z247:AS247),""))</f>
      </c>
      <c r="X247" s="684">
        <f>IF(終値!A247="","",IFERROR(4*STDEVP(終値!AA247:AT247)/AVERAGE(終値!AA247:AT247),""))</f>
      </c>
      <c r="Y247" s="684">
        <f>IF(終値!A247="","",IFERROR(4*STDEVP(終値!AB247:AU247)/AVERAGE(終値!AB247:AU247),""))</f>
      </c>
      <c r="Z247" s="684">
        <f>IF(終値!A247="","",IFERROR(4*STDEVP(終値!AC247:AV247)/AVERAGE(終値!AC247:AV247),""))</f>
      </c>
      <c r="AA247" s="684">
        <f>IF(終値!A247="","",IFERROR(4*STDEVP(終値!AD247:AW247)/AVERAGE(終値!AD247:AW247),""))</f>
      </c>
      <c r="AB247" s="684">
        <f>IF(終値!A247="","",IFERROR(4*STDEVP(終値!AE247:AX247)/AVERAGE(終値!AE247:AX247),""))</f>
      </c>
      <c r="AC247" s="684">
        <f>IF(終値!A247="","",IFERROR(4*STDEVP(終値!AF247:AY247)/AVERAGE(終値!AF247:AY247),""))</f>
      </c>
      <c r="AD247" s="684">
        <f>IF(終値!A247="","",IFERROR(4*STDEVP(終値!AG247:AZ247)/AVERAGE(終値!AG247:AZ247),""))</f>
      </c>
      <c r="AE247" s="684">
        <f>IF(終値!A247="","",IFERROR(4*STDEVP(終値!AH247:BA247)/AVERAGE(終値!AH247:BA247),""))</f>
      </c>
      <c r="AF247" s="684">
        <f>IF(終値!A247="","",IFERROR(4*STDEVP(終値!AI247:BB247)/AVERAGE(終値!AI247:BB247),""))</f>
      </c>
      <c r="AG247" s="684">
        <f>IF(終値!A247="","",IFERROR(4*STDEVP(終値!AJ247:BC247)/AVERAGE(終値!AJ247:BC247),""))</f>
      </c>
      <c r="AH247" s="684">
        <f>IF(終値!A247="","",IFERROR(4*STDEVP(終値!AK247:BD247)/AVERAGE(終値!AK247:BD247),""))</f>
      </c>
      <c r="AI247" s="684">
        <f>IF(終値!A247="","",IFERROR(4*STDEVP(終値!AL247:BE247)/AVERAGE(終値!AL247:BE247),""))</f>
      </c>
      <c r="AJ247" s="684">
        <f>IF(終値!A247="","",IFERROR(4*STDEVP(終値!AM247:BF247)/AVERAGE(終値!AM247:BF247),""))</f>
      </c>
      <c r="AK247" s="684">
        <f>IF(終値!A247="","",IFERROR(4*STDEVP(終値!AN247:BG247)/AVERAGE(終値!AN247:BG247),""))</f>
      </c>
      <c r="AL247" s="684">
        <f>IF(終値!A247="","",IFERROR(4*STDEVP(終値!AO247:BH247)/AVERAGE(終値!AO247:BH247),""))</f>
      </c>
      <c r="AM247" s="684">
        <f>IF(終値!A247="","",IFERROR(4*STDEVP(終値!AP247:BI247)/AVERAGE(終値!AP247:BI247),""))</f>
      </c>
      <c r="AN247" s="684">
        <f>IF(終値!A247="","",IFERROR(4*STDEVP(終値!AQ247:BJ247)/AVERAGE(終値!AQ247:BJ247),""))</f>
      </c>
      <c r="AO247" s="684">
        <f>IF(終値!A247="","",IFERROR(4*STDEVP(終値!AR247:BK247)/AVERAGE(終値!AR247:BK247),""))</f>
      </c>
      <c r="AP247" s="684">
        <f>IF(終値!A247="","",IFERROR(4*STDEVP(終値!AS247:BL247)/AVERAGE(終値!AS247:BL247),""))</f>
      </c>
    </row>
    <row r="248">
      <c r="A248" s="681">
        <f>IF(終値!A248="","",終値!A248)</f>
      </c>
      <c r="B248" s="684">
        <f>IF(終値!A248="","",IFERROR(4*STDEVP(終値!E248:X248)/AVERAGE(終値!E248:X248),""))</f>
      </c>
      <c r="C248" s="684">
        <f>IF(終値!A248="","",IFERROR(4*STDEVP(終値!F248:Y248)/AVERAGE(終値!F248:Y248),""))</f>
      </c>
      <c r="D248" s="684">
        <f>IF(終値!A248="","",IFERROR(4*STDEVP(終値!G248:Z248)/AVERAGE(終値!G248:Z248),""))</f>
      </c>
      <c r="E248" s="684">
        <f>IF(終値!A248="","",IFERROR(4*STDEVP(終値!H248:AA248)/AVERAGE(終値!H248:AA248),""))</f>
      </c>
      <c r="F248" s="684">
        <f>IF(終値!A248="","",IFERROR(4*STDEVP(終値!I248:AB248)/AVERAGE(終値!I248:AB248),""))</f>
      </c>
      <c r="G248" s="684">
        <f>IF(終値!A248="","",IFERROR(4*STDEVP(終値!J248:AC248)/AVERAGE(終値!J248:AC248),""))</f>
      </c>
      <c r="H248" s="684">
        <f>IF(終値!A248="","",IFERROR(4*STDEVP(終値!K248:AD248)/AVERAGE(終値!K248:AD248),""))</f>
      </c>
      <c r="I248" s="684">
        <f>IF(終値!A248="","",IFERROR(4*STDEVP(終値!L248:AE248)/AVERAGE(終値!L248:AE248),""))</f>
      </c>
      <c r="J248" s="684">
        <f>IF(終値!A248="","",IFERROR(4*STDEVP(終値!M248:AF248)/AVERAGE(終値!M248:AF248),""))</f>
      </c>
      <c r="K248" s="684">
        <f>IF(終値!A248="","",IFERROR(4*STDEVP(終値!N248:AG248)/AVERAGE(終値!N248:AG248),""))</f>
      </c>
      <c r="L248" s="684">
        <f>IF(終値!A248="","",IFERROR(4*STDEVP(終値!O248:AH248)/AVERAGE(終値!O248:AH248),""))</f>
      </c>
      <c r="M248" s="684">
        <f>IF(終値!A248="","",IFERROR(4*STDEVP(終値!P248:AI248)/AVERAGE(終値!P248:AI248),""))</f>
      </c>
      <c r="N248" s="684">
        <f>IF(終値!A248="","",IFERROR(4*STDEVP(終値!Q248:AJ248)/AVERAGE(終値!Q248:AJ248),""))</f>
      </c>
      <c r="O248" s="684">
        <f>IF(終値!A248="","",IFERROR(4*STDEVP(終値!R248:AK248)/AVERAGE(終値!R248:AK248),""))</f>
      </c>
      <c r="P248" s="684">
        <f>IF(終値!A248="","",IFERROR(4*STDEVP(終値!S248:AL248)/AVERAGE(終値!S248:AL248),""))</f>
      </c>
      <c r="Q248" s="684">
        <f>IF(終値!A248="","",IFERROR(4*STDEVP(終値!T248:AM248)/AVERAGE(終値!T248:AM248),""))</f>
      </c>
      <c r="R248" s="684">
        <f>IF(終値!A248="","",IFERROR(4*STDEVP(終値!U248:AN248)/AVERAGE(終値!U248:AN248),""))</f>
      </c>
      <c r="S248" s="684">
        <f>IF(終値!A248="","",IFERROR(4*STDEVP(終値!V248:AO248)/AVERAGE(終値!V248:AO248),""))</f>
      </c>
      <c r="T248" s="684">
        <f>IF(終値!A248="","",IFERROR(4*STDEVP(終値!W248:AP248)/AVERAGE(終値!W248:AP248),""))</f>
      </c>
      <c r="U248" s="684">
        <f>IF(終値!A248="","",IFERROR(4*STDEVP(終値!X248:AQ248)/AVERAGE(終値!X248:AQ248),""))</f>
      </c>
      <c r="V248" s="684">
        <f>IF(終値!A248="","",IFERROR(4*STDEVP(終値!Y248:AR248)/AVERAGE(終値!Y248:AR248),""))</f>
      </c>
      <c r="W248" s="684">
        <f>IF(終値!A248="","",IFERROR(4*STDEVP(終値!Z248:AS248)/AVERAGE(終値!Z248:AS248),""))</f>
      </c>
      <c r="X248" s="684">
        <f>IF(終値!A248="","",IFERROR(4*STDEVP(終値!AA248:AT248)/AVERAGE(終値!AA248:AT248),""))</f>
      </c>
      <c r="Y248" s="684">
        <f>IF(終値!A248="","",IFERROR(4*STDEVP(終値!AB248:AU248)/AVERAGE(終値!AB248:AU248),""))</f>
      </c>
      <c r="Z248" s="684">
        <f>IF(終値!A248="","",IFERROR(4*STDEVP(終値!AC248:AV248)/AVERAGE(終値!AC248:AV248),""))</f>
      </c>
      <c r="AA248" s="684">
        <f>IF(終値!A248="","",IFERROR(4*STDEVP(終値!AD248:AW248)/AVERAGE(終値!AD248:AW248),""))</f>
      </c>
      <c r="AB248" s="684">
        <f>IF(終値!A248="","",IFERROR(4*STDEVP(終値!AE248:AX248)/AVERAGE(終値!AE248:AX248),""))</f>
      </c>
      <c r="AC248" s="684">
        <f>IF(終値!A248="","",IFERROR(4*STDEVP(終値!AF248:AY248)/AVERAGE(終値!AF248:AY248),""))</f>
      </c>
      <c r="AD248" s="684">
        <f>IF(終値!A248="","",IFERROR(4*STDEVP(終値!AG248:AZ248)/AVERAGE(終値!AG248:AZ248),""))</f>
      </c>
      <c r="AE248" s="684">
        <f>IF(終値!A248="","",IFERROR(4*STDEVP(終値!AH248:BA248)/AVERAGE(終値!AH248:BA248),""))</f>
      </c>
      <c r="AF248" s="684">
        <f>IF(終値!A248="","",IFERROR(4*STDEVP(終値!AI248:BB248)/AVERAGE(終値!AI248:BB248),""))</f>
      </c>
      <c r="AG248" s="684">
        <f>IF(終値!A248="","",IFERROR(4*STDEVP(終値!AJ248:BC248)/AVERAGE(終値!AJ248:BC248),""))</f>
      </c>
      <c r="AH248" s="684">
        <f>IF(終値!A248="","",IFERROR(4*STDEVP(終値!AK248:BD248)/AVERAGE(終値!AK248:BD248),""))</f>
      </c>
      <c r="AI248" s="684">
        <f>IF(終値!A248="","",IFERROR(4*STDEVP(終値!AL248:BE248)/AVERAGE(終値!AL248:BE248),""))</f>
      </c>
      <c r="AJ248" s="684">
        <f>IF(終値!A248="","",IFERROR(4*STDEVP(終値!AM248:BF248)/AVERAGE(終値!AM248:BF248),""))</f>
      </c>
      <c r="AK248" s="684">
        <f>IF(終値!A248="","",IFERROR(4*STDEVP(終値!AN248:BG248)/AVERAGE(終値!AN248:BG248),""))</f>
      </c>
      <c r="AL248" s="684">
        <f>IF(終値!A248="","",IFERROR(4*STDEVP(終値!AO248:BH248)/AVERAGE(終値!AO248:BH248),""))</f>
      </c>
      <c r="AM248" s="684">
        <f>IF(終値!A248="","",IFERROR(4*STDEVP(終値!AP248:BI248)/AVERAGE(終値!AP248:BI248),""))</f>
      </c>
      <c r="AN248" s="684">
        <f>IF(終値!A248="","",IFERROR(4*STDEVP(終値!AQ248:BJ248)/AVERAGE(終値!AQ248:BJ248),""))</f>
      </c>
      <c r="AO248" s="684">
        <f>IF(終値!A248="","",IFERROR(4*STDEVP(終値!AR248:BK248)/AVERAGE(終値!AR248:BK248),""))</f>
      </c>
      <c r="AP248" s="684">
        <f>IF(終値!A248="","",IFERROR(4*STDEVP(終値!AS248:BL248)/AVERAGE(終値!AS248:BL248),""))</f>
      </c>
    </row>
    <row r="249">
      <c r="A249" s="681">
        <f>IF(終値!A249="","",終値!A249)</f>
      </c>
      <c r="B249" s="684">
        <f>IF(終値!A249="","",IFERROR(4*STDEVP(終値!E249:X249)/AVERAGE(終値!E249:X249),""))</f>
      </c>
      <c r="C249" s="684">
        <f>IF(終値!A249="","",IFERROR(4*STDEVP(終値!F249:Y249)/AVERAGE(終値!F249:Y249),""))</f>
      </c>
      <c r="D249" s="684">
        <f>IF(終値!A249="","",IFERROR(4*STDEVP(終値!G249:Z249)/AVERAGE(終値!G249:Z249),""))</f>
      </c>
      <c r="E249" s="684">
        <f>IF(終値!A249="","",IFERROR(4*STDEVP(終値!H249:AA249)/AVERAGE(終値!H249:AA249),""))</f>
      </c>
      <c r="F249" s="684">
        <f>IF(終値!A249="","",IFERROR(4*STDEVP(終値!I249:AB249)/AVERAGE(終値!I249:AB249),""))</f>
      </c>
      <c r="G249" s="684">
        <f>IF(終値!A249="","",IFERROR(4*STDEVP(終値!J249:AC249)/AVERAGE(終値!J249:AC249),""))</f>
      </c>
      <c r="H249" s="684">
        <f>IF(終値!A249="","",IFERROR(4*STDEVP(終値!K249:AD249)/AVERAGE(終値!K249:AD249),""))</f>
      </c>
      <c r="I249" s="684">
        <f>IF(終値!A249="","",IFERROR(4*STDEVP(終値!L249:AE249)/AVERAGE(終値!L249:AE249),""))</f>
      </c>
      <c r="J249" s="684">
        <f>IF(終値!A249="","",IFERROR(4*STDEVP(終値!M249:AF249)/AVERAGE(終値!M249:AF249),""))</f>
      </c>
      <c r="K249" s="684">
        <f>IF(終値!A249="","",IFERROR(4*STDEVP(終値!N249:AG249)/AVERAGE(終値!N249:AG249),""))</f>
      </c>
      <c r="L249" s="684">
        <f>IF(終値!A249="","",IFERROR(4*STDEVP(終値!O249:AH249)/AVERAGE(終値!O249:AH249),""))</f>
      </c>
      <c r="M249" s="684">
        <f>IF(終値!A249="","",IFERROR(4*STDEVP(終値!P249:AI249)/AVERAGE(終値!P249:AI249),""))</f>
      </c>
      <c r="N249" s="684">
        <f>IF(終値!A249="","",IFERROR(4*STDEVP(終値!Q249:AJ249)/AVERAGE(終値!Q249:AJ249),""))</f>
      </c>
      <c r="O249" s="684">
        <f>IF(終値!A249="","",IFERROR(4*STDEVP(終値!R249:AK249)/AVERAGE(終値!R249:AK249),""))</f>
      </c>
      <c r="P249" s="684">
        <f>IF(終値!A249="","",IFERROR(4*STDEVP(終値!S249:AL249)/AVERAGE(終値!S249:AL249),""))</f>
      </c>
      <c r="Q249" s="684">
        <f>IF(終値!A249="","",IFERROR(4*STDEVP(終値!T249:AM249)/AVERAGE(終値!T249:AM249),""))</f>
      </c>
      <c r="R249" s="684">
        <f>IF(終値!A249="","",IFERROR(4*STDEVP(終値!U249:AN249)/AVERAGE(終値!U249:AN249),""))</f>
      </c>
      <c r="S249" s="684">
        <f>IF(終値!A249="","",IFERROR(4*STDEVP(終値!V249:AO249)/AVERAGE(終値!V249:AO249),""))</f>
      </c>
      <c r="T249" s="684">
        <f>IF(終値!A249="","",IFERROR(4*STDEVP(終値!W249:AP249)/AVERAGE(終値!W249:AP249),""))</f>
      </c>
      <c r="U249" s="684">
        <f>IF(終値!A249="","",IFERROR(4*STDEVP(終値!X249:AQ249)/AVERAGE(終値!X249:AQ249),""))</f>
      </c>
      <c r="V249" s="684">
        <f>IF(終値!A249="","",IFERROR(4*STDEVP(終値!Y249:AR249)/AVERAGE(終値!Y249:AR249),""))</f>
      </c>
      <c r="W249" s="684">
        <f>IF(終値!A249="","",IFERROR(4*STDEVP(終値!Z249:AS249)/AVERAGE(終値!Z249:AS249),""))</f>
      </c>
      <c r="X249" s="684">
        <f>IF(終値!A249="","",IFERROR(4*STDEVP(終値!AA249:AT249)/AVERAGE(終値!AA249:AT249),""))</f>
      </c>
      <c r="Y249" s="684">
        <f>IF(終値!A249="","",IFERROR(4*STDEVP(終値!AB249:AU249)/AVERAGE(終値!AB249:AU249),""))</f>
      </c>
      <c r="Z249" s="684">
        <f>IF(終値!A249="","",IFERROR(4*STDEVP(終値!AC249:AV249)/AVERAGE(終値!AC249:AV249),""))</f>
      </c>
      <c r="AA249" s="684">
        <f>IF(終値!A249="","",IFERROR(4*STDEVP(終値!AD249:AW249)/AVERAGE(終値!AD249:AW249),""))</f>
      </c>
      <c r="AB249" s="684">
        <f>IF(終値!A249="","",IFERROR(4*STDEVP(終値!AE249:AX249)/AVERAGE(終値!AE249:AX249),""))</f>
      </c>
      <c r="AC249" s="684">
        <f>IF(終値!A249="","",IFERROR(4*STDEVP(終値!AF249:AY249)/AVERAGE(終値!AF249:AY249),""))</f>
      </c>
      <c r="AD249" s="684">
        <f>IF(終値!A249="","",IFERROR(4*STDEVP(終値!AG249:AZ249)/AVERAGE(終値!AG249:AZ249),""))</f>
      </c>
      <c r="AE249" s="684">
        <f>IF(終値!A249="","",IFERROR(4*STDEVP(終値!AH249:BA249)/AVERAGE(終値!AH249:BA249),""))</f>
      </c>
      <c r="AF249" s="684">
        <f>IF(終値!A249="","",IFERROR(4*STDEVP(終値!AI249:BB249)/AVERAGE(終値!AI249:BB249),""))</f>
      </c>
      <c r="AG249" s="684">
        <f>IF(終値!A249="","",IFERROR(4*STDEVP(終値!AJ249:BC249)/AVERAGE(終値!AJ249:BC249),""))</f>
      </c>
      <c r="AH249" s="684">
        <f>IF(終値!A249="","",IFERROR(4*STDEVP(終値!AK249:BD249)/AVERAGE(終値!AK249:BD249),""))</f>
      </c>
      <c r="AI249" s="684">
        <f>IF(終値!A249="","",IFERROR(4*STDEVP(終値!AL249:BE249)/AVERAGE(終値!AL249:BE249),""))</f>
      </c>
      <c r="AJ249" s="684">
        <f>IF(終値!A249="","",IFERROR(4*STDEVP(終値!AM249:BF249)/AVERAGE(終値!AM249:BF249),""))</f>
      </c>
      <c r="AK249" s="684">
        <f>IF(終値!A249="","",IFERROR(4*STDEVP(終値!AN249:BG249)/AVERAGE(終値!AN249:BG249),""))</f>
      </c>
      <c r="AL249" s="684">
        <f>IF(終値!A249="","",IFERROR(4*STDEVP(終値!AO249:BH249)/AVERAGE(終値!AO249:BH249),""))</f>
      </c>
      <c r="AM249" s="684">
        <f>IF(終値!A249="","",IFERROR(4*STDEVP(終値!AP249:BI249)/AVERAGE(終値!AP249:BI249),""))</f>
      </c>
      <c r="AN249" s="684">
        <f>IF(終値!A249="","",IFERROR(4*STDEVP(終値!AQ249:BJ249)/AVERAGE(終値!AQ249:BJ249),""))</f>
      </c>
      <c r="AO249" s="684">
        <f>IF(終値!A249="","",IFERROR(4*STDEVP(終値!AR249:BK249)/AVERAGE(終値!AR249:BK249),""))</f>
      </c>
      <c r="AP249" s="684">
        <f>IF(終値!A249="","",IFERROR(4*STDEVP(終値!AS249:BL249)/AVERAGE(終値!AS249:BL249),""))</f>
      </c>
    </row>
    <row r="250">
      <c r="A250" s="681">
        <f>IF(終値!A250="","",終値!A250)</f>
      </c>
      <c r="B250" s="684">
        <f>IF(終値!A250="","",IFERROR(4*STDEVP(終値!E250:X250)/AVERAGE(終値!E250:X250),""))</f>
      </c>
      <c r="C250" s="684">
        <f>IF(終値!A250="","",IFERROR(4*STDEVP(終値!F250:Y250)/AVERAGE(終値!F250:Y250),""))</f>
      </c>
      <c r="D250" s="684">
        <f>IF(終値!A250="","",IFERROR(4*STDEVP(終値!G250:Z250)/AVERAGE(終値!G250:Z250),""))</f>
      </c>
      <c r="E250" s="684">
        <f>IF(終値!A250="","",IFERROR(4*STDEVP(終値!H250:AA250)/AVERAGE(終値!H250:AA250),""))</f>
      </c>
      <c r="F250" s="684">
        <f>IF(終値!A250="","",IFERROR(4*STDEVP(終値!I250:AB250)/AVERAGE(終値!I250:AB250),""))</f>
      </c>
      <c r="G250" s="684">
        <f>IF(終値!A250="","",IFERROR(4*STDEVP(終値!J250:AC250)/AVERAGE(終値!J250:AC250),""))</f>
      </c>
      <c r="H250" s="684">
        <f>IF(終値!A250="","",IFERROR(4*STDEVP(終値!K250:AD250)/AVERAGE(終値!K250:AD250),""))</f>
      </c>
      <c r="I250" s="684">
        <f>IF(終値!A250="","",IFERROR(4*STDEVP(終値!L250:AE250)/AVERAGE(終値!L250:AE250),""))</f>
      </c>
      <c r="J250" s="684">
        <f>IF(終値!A250="","",IFERROR(4*STDEVP(終値!M250:AF250)/AVERAGE(終値!M250:AF250),""))</f>
      </c>
      <c r="K250" s="684">
        <f>IF(終値!A250="","",IFERROR(4*STDEVP(終値!N250:AG250)/AVERAGE(終値!N250:AG250),""))</f>
      </c>
      <c r="L250" s="684">
        <f>IF(終値!A250="","",IFERROR(4*STDEVP(終値!O250:AH250)/AVERAGE(終値!O250:AH250),""))</f>
      </c>
      <c r="M250" s="684">
        <f>IF(終値!A250="","",IFERROR(4*STDEVP(終値!P250:AI250)/AVERAGE(終値!P250:AI250),""))</f>
      </c>
      <c r="N250" s="684">
        <f>IF(終値!A250="","",IFERROR(4*STDEVP(終値!Q250:AJ250)/AVERAGE(終値!Q250:AJ250),""))</f>
      </c>
      <c r="O250" s="684">
        <f>IF(終値!A250="","",IFERROR(4*STDEVP(終値!R250:AK250)/AVERAGE(終値!R250:AK250),""))</f>
      </c>
      <c r="P250" s="684">
        <f>IF(終値!A250="","",IFERROR(4*STDEVP(終値!S250:AL250)/AVERAGE(終値!S250:AL250),""))</f>
      </c>
      <c r="Q250" s="684">
        <f>IF(終値!A250="","",IFERROR(4*STDEVP(終値!T250:AM250)/AVERAGE(終値!T250:AM250),""))</f>
      </c>
      <c r="R250" s="684">
        <f>IF(終値!A250="","",IFERROR(4*STDEVP(終値!U250:AN250)/AVERAGE(終値!U250:AN250),""))</f>
      </c>
      <c r="S250" s="684">
        <f>IF(終値!A250="","",IFERROR(4*STDEVP(終値!V250:AO250)/AVERAGE(終値!V250:AO250),""))</f>
      </c>
      <c r="T250" s="684">
        <f>IF(終値!A250="","",IFERROR(4*STDEVP(終値!W250:AP250)/AVERAGE(終値!W250:AP250),""))</f>
      </c>
      <c r="U250" s="684">
        <f>IF(終値!A250="","",IFERROR(4*STDEVP(終値!X250:AQ250)/AVERAGE(終値!X250:AQ250),""))</f>
      </c>
      <c r="V250" s="684">
        <f>IF(終値!A250="","",IFERROR(4*STDEVP(終値!Y250:AR250)/AVERAGE(終値!Y250:AR250),""))</f>
      </c>
      <c r="W250" s="684">
        <f>IF(終値!A250="","",IFERROR(4*STDEVP(終値!Z250:AS250)/AVERAGE(終値!Z250:AS250),""))</f>
      </c>
      <c r="X250" s="684">
        <f>IF(終値!A250="","",IFERROR(4*STDEVP(終値!AA250:AT250)/AVERAGE(終値!AA250:AT250),""))</f>
      </c>
      <c r="Y250" s="684">
        <f>IF(終値!A250="","",IFERROR(4*STDEVP(終値!AB250:AU250)/AVERAGE(終値!AB250:AU250),""))</f>
      </c>
      <c r="Z250" s="684">
        <f>IF(終値!A250="","",IFERROR(4*STDEVP(終値!AC250:AV250)/AVERAGE(終値!AC250:AV250),""))</f>
      </c>
      <c r="AA250" s="684">
        <f>IF(終値!A250="","",IFERROR(4*STDEVP(終値!AD250:AW250)/AVERAGE(終値!AD250:AW250),""))</f>
      </c>
      <c r="AB250" s="684">
        <f>IF(終値!A250="","",IFERROR(4*STDEVP(終値!AE250:AX250)/AVERAGE(終値!AE250:AX250),""))</f>
      </c>
      <c r="AC250" s="684">
        <f>IF(終値!A250="","",IFERROR(4*STDEVP(終値!AF250:AY250)/AVERAGE(終値!AF250:AY250),""))</f>
      </c>
      <c r="AD250" s="684">
        <f>IF(終値!A250="","",IFERROR(4*STDEVP(終値!AG250:AZ250)/AVERAGE(終値!AG250:AZ250),""))</f>
      </c>
      <c r="AE250" s="684">
        <f>IF(終値!A250="","",IFERROR(4*STDEVP(終値!AH250:BA250)/AVERAGE(終値!AH250:BA250),""))</f>
      </c>
      <c r="AF250" s="684">
        <f>IF(終値!A250="","",IFERROR(4*STDEVP(終値!AI250:BB250)/AVERAGE(終値!AI250:BB250),""))</f>
      </c>
      <c r="AG250" s="684">
        <f>IF(終値!A250="","",IFERROR(4*STDEVP(終値!AJ250:BC250)/AVERAGE(終値!AJ250:BC250),""))</f>
      </c>
      <c r="AH250" s="684">
        <f>IF(終値!A250="","",IFERROR(4*STDEVP(終値!AK250:BD250)/AVERAGE(終値!AK250:BD250),""))</f>
      </c>
      <c r="AI250" s="684">
        <f>IF(終値!A250="","",IFERROR(4*STDEVP(終値!AL250:BE250)/AVERAGE(終値!AL250:BE250),""))</f>
      </c>
      <c r="AJ250" s="684">
        <f>IF(終値!A250="","",IFERROR(4*STDEVP(終値!AM250:BF250)/AVERAGE(終値!AM250:BF250),""))</f>
      </c>
      <c r="AK250" s="684">
        <f>IF(終値!A250="","",IFERROR(4*STDEVP(終値!AN250:BG250)/AVERAGE(終値!AN250:BG250),""))</f>
      </c>
      <c r="AL250" s="684">
        <f>IF(終値!A250="","",IFERROR(4*STDEVP(終値!AO250:BH250)/AVERAGE(終値!AO250:BH250),""))</f>
      </c>
      <c r="AM250" s="684">
        <f>IF(終値!A250="","",IFERROR(4*STDEVP(終値!AP250:BI250)/AVERAGE(終値!AP250:BI250),""))</f>
      </c>
      <c r="AN250" s="684">
        <f>IF(終値!A250="","",IFERROR(4*STDEVP(終値!AQ250:BJ250)/AVERAGE(終値!AQ250:BJ250),""))</f>
      </c>
      <c r="AO250" s="684">
        <f>IF(終値!A250="","",IFERROR(4*STDEVP(終値!AR250:BK250)/AVERAGE(終値!AR250:BK250),""))</f>
      </c>
      <c r="AP250" s="684">
        <f>IF(終値!A250="","",IFERROR(4*STDEVP(終値!AS250:BL250)/AVERAGE(終値!AS250:BL250),""))</f>
      </c>
    </row>
    <row r="251">
      <c r="A251" s="681">
        <f>IF(終値!A251="","",終値!A251)</f>
      </c>
      <c r="B251" s="684">
        <f>IF(終値!A251="","",IFERROR(4*STDEVP(終値!E251:X251)/AVERAGE(終値!E251:X251),""))</f>
      </c>
      <c r="C251" s="684">
        <f>IF(終値!A251="","",IFERROR(4*STDEVP(終値!F251:Y251)/AVERAGE(終値!F251:Y251),""))</f>
      </c>
      <c r="D251" s="684">
        <f>IF(終値!A251="","",IFERROR(4*STDEVP(終値!G251:Z251)/AVERAGE(終値!G251:Z251),""))</f>
      </c>
      <c r="E251" s="684">
        <f>IF(終値!A251="","",IFERROR(4*STDEVP(終値!H251:AA251)/AVERAGE(終値!H251:AA251),""))</f>
      </c>
      <c r="F251" s="684">
        <f>IF(終値!A251="","",IFERROR(4*STDEVP(終値!I251:AB251)/AVERAGE(終値!I251:AB251),""))</f>
      </c>
      <c r="G251" s="684">
        <f>IF(終値!A251="","",IFERROR(4*STDEVP(終値!J251:AC251)/AVERAGE(終値!J251:AC251),""))</f>
      </c>
      <c r="H251" s="684">
        <f>IF(終値!A251="","",IFERROR(4*STDEVP(終値!K251:AD251)/AVERAGE(終値!K251:AD251),""))</f>
      </c>
      <c r="I251" s="684">
        <f>IF(終値!A251="","",IFERROR(4*STDEVP(終値!L251:AE251)/AVERAGE(終値!L251:AE251),""))</f>
      </c>
      <c r="J251" s="684">
        <f>IF(終値!A251="","",IFERROR(4*STDEVP(終値!M251:AF251)/AVERAGE(終値!M251:AF251),""))</f>
      </c>
      <c r="K251" s="684">
        <f>IF(終値!A251="","",IFERROR(4*STDEVP(終値!N251:AG251)/AVERAGE(終値!N251:AG251),""))</f>
      </c>
      <c r="L251" s="684">
        <f>IF(終値!A251="","",IFERROR(4*STDEVP(終値!O251:AH251)/AVERAGE(終値!O251:AH251),""))</f>
      </c>
      <c r="M251" s="684">
        <f>IF(終値!A251="","",IFERROR(4*STDEVP(終値!P251:AI251)/AVERAGE(終値!P251:AI251),""))</f>
      </c>
      <c r="N251" s="684">
        <f>IF(終値!A251="","",IFERROR(4*STDEVP(終値!Q251:AJ251)/AVERAGE(終値!Q251:AJ251),""))</f>
      </c>
      <c r="O251" s="684">
        <f>IF(終値!A251="","",IFERROR(4*STDEVP(終値!R251:AK251)/AVERAGE(終値!R251:AK251),""))</f>
      </c>
      <c r="P251" s="684">
        <f>IF(終値!A251="","",IFERROR(4*STDEVP(終値!S251:AL251)/AVERAGE(終値!S251:AL251),""))</f>
      </c>
      <c r="Q251" s="684">
        <f>IF(終値!A251="","",IFERROR(4*STDEVP(終値!T251:AM251)/AVERAGE(終値!T251:AM251),""))</f>
      </c>
      <c r="R251" s="684">
        <f>IF(終値!A251="","",IFERROR(4*STDEVP(終値!U251:AN251)/AVERAGE(終値!U251:AN251),""))</f>
      </c>
      <c r="S251" s="684">
        <f>IF(終値!A251="","",IFERROR(4*STDEVP(終値!V251:AO251)/AVERAGE(終値!V251:AO251),""))</f>
      </c>
      <c r="T251" s="684">
        <f>IF(終値!A251="","",IFERROR(4*STDEVP(終値!W251:AP251)/AVERAGE(終値!W251:AP251),""))</f>
      </c>
      <c r="U251" s="684">
        <f>IF(終値!A251="","",IFERROR(4*STDEVP(終値!X251:AQ251)/AVERAGE(終値!X251:AQ251),""))</f>
      </c>
      <c r="V251" s="684">
        <f>IF(終値!A251="","",IFERROR(4*STDEVP(終値!Y251:AR251)/AVERAGE(終値!Y251:AR251),""))</f>
      </c>
      <c r="W251" s="684">
        <f>IF(終値!A251="","",IFERROR(4*STDEVP(終値!Z251:AS251)/AVERAGE(終値!Z251:AS251),""))</f>
      </c>
      <c r="X251" s="684">
        <f>IF(終値!A251="","",IFERROR(4*STDEVP(終値!AA251:AT251)/AVERAGE(終値!AA251:AT251),""))</f>
      </c>
      <c r="Y251" s="684">
        <f>IF(終値!A251="","",IFERROR(4*STDEVP(終値!AB251:AU251)/AVERAGE(終値!AB251:AU251),""))</f>
      </c>
      <c r="Z251" s="684">
        <f>IF(終値!A251="","",IFERROR(4*STDEVP(終値!AC251:AV251)/AVERAGE(終値!AC251:AV251),""))</f>
      </c>
      <c r="AA251" s="684">
        <f>IF(終値!A251="","",IFERROR(4*STDEVP(終値!AD251:AW251)/AVERAGE(終値!AD251:AW251),""))</f>
      </c>
      <c r="AB251" s="684">
        <f>IF(終値!A251="","",IFERROR(4*STDEVP(終値!AE251:AX251)/AVERAGE(終値!AE251:AX251),""))</f>
      </c>
      <c r="AC251" s="684">
        <f>IF(終値!A251="","",IFERROR(4*STDEVP(終値!AF251:AY251)/AVERAGE(終値!AF251:AY251),""))</f>
      </c>
      <c r="AD251" s="684">
        <f>IF(終値!A251="","",IFERROR(4*STDEVP(終値!AG251:AZ251)/AVERAGE(終値!AG251:AZ251),""))</f>
      </c>
      <c r="AE251" s="684">
        <f>IF(終値!A251="","",IFERROR(4*STDEVP(終値!AH251:BA251)/AVERAGE(終値!AH251:BA251),""))</f>
      </c>
      <c r="AF251" s="684">
        <f>IF(終値!A251="","",IFERROR(4*STDEVP(終値!AI251:BB251)/AVERAGE(終値!AI251:BB251),""))</f>
      </c>
      <c r="AG251" s="684">
        <f>IF(終値!A251="","",IFERROR(4*STDEVP(終値!AJ251:BC251)/AVERAGE(終値!AJ251:BC251),""))</f>
      </c>
      <c r="AH251" s="684">
        <f>IF(終値!A251="","",IFERROR(4*STDEVP(終値!AK251:BD251)/AVERAGE(終値!AK251:BD251),""))</f>
      </c>
      <c r="AI251" s="684">
        <f>IF(終値!A251="","",IFERROR(4*STDEVP(終値!AL251:BE251)/AVERAGE(終値!AL251:BE251),""))</f>
      </c>
      <c r="AJ251" s="684">
        <f>IF(終値!A251="","",IFERROR(4*STDEVP(終値!AM251:BF251)/AVERAGE(終値!AM251:BF251),""))</f>
      </c>
      <c r="AK251" s="684">
        <f>IF(終値!A251="","",IFERROR(4*STDEVP(終値!AN251:BG251)/AVERAGE(終値!AN251:BG251),""))</f>
      </c>
      <c r="AL251" s="684">
        <f>IF(終値!A251="","",IFERROR(4*STDEVP(終値!AO251:BH251)/AVERAGE(終値!AO251:BH251),""))</f>
      </c>
      <c r="AM251" s="684">
        <f>IF(終値!A251="","",IFERROR(4*STDEVP(終値!AP251:BI251)/AVERAGE(終値!AP251:BI251),""))</f>
      </c>
      <c r="AN251" s="684">
        <f>IF(終値!A251="","",IFERROR(4*STDEVP(終値!AQ251:BJ251)/AVERAGE(終値!AQ251:BJ251),""))</f>
      </c>
      <c r="AO251" s="684">
        <f>IF(終値!A251="","",IFERROR(4*STDEVP(終値!AR251:BK251)/AVERAGE(終値!AR251:BK251),""))</f>
      </c>
      <c r="AP251" s="684">
        <f>IF(終値!A251="","",IFERROR(4*STDEVP(終値!AS251:BL251)/AVERAGE(終値!AS251:BL251),""))</f>
      </c>
    </row>
    <row r="252">
      <c r="A252" s="681">
        <f>IF(終値!A252="","",終値!A252)</f>
      </c>
      <c r="B252" s="684">
        <f>IF(終値!A252="","",IFERROR(4*STDEVP(終値!E252:X252)/AVERAGE(終値!E252:X252),""))</f>
      </c>
      <c r="C252" s="684">
        <f>IF(終値!A252="","",IFERROR(4*STDEVP(終値!F252:Y252)/AVERAGE(終値!F252:Y252),""))</f>
      </c>
      <c r="D252" s="684">
        <f>IF(終値!A252="","",IFERROR(4*STDEVP(終値!G252:Z252)/AVERAGE(終値!G252:Z252),""))</f>
      </c>
      <c r="E252" s="684">
        <f>IF(終値!A252="","",IFERROR(4*STDEVP(終値!H252:AA252)/AVERAGE(終値!H252:AA252),""))</f>
      </c>
      <c r="F252" s="684">
        <f>IF(終値!A252="","",IFERROR(4*STDEVP(終値!I252:AB252)/AVERAGE(終値!I252:AB252),""))</f>
      </c>
      <c r="G252" s="684">
        <f>IF(終値!A252="","",IFERROR(4*STDEVP(終値!J252:AC252)/AVERAGE(終値!J252:AC252),""))</f>
      </c>
      <c r="H252" s="684">
        <f>IF(終値!A252="","",IFERROR(4*STDEVP(終値!K252:AD252)/AVERAGE(終値!K252:AD252),""))</f>
      </c>
      <c r="I252" s="684">
        <f>IF(終値!A252="","",IFERROR(4*STDEVP(終値!L252:AE252)/AVERAGE(終値!L252:AE252),""))</f>
      </c>
      <c r="J252" s="684">
        <f>IF(終値!A252="","",IFERROR(4*STDEVP(終値!M252:AF252)/AVERAGE(終値!M252:AF252),""))</f>
      </c>
      <c r="K252" s="684">
        <f>IF(終値!A252="","",IFERROR(4*STDEVP(終値!N252:AG252)/AVERAGE(終値!N252:AG252),""))</f>
      </c>
      <c r="L252" s="684">
        <f>IF(終値!A252="","",IFERROR(4*STDEVP(終値!O252:AH252)/AVERAGE(終値!O252:AH252),""))</f>
      </c>
      <c r="M252" s="684">
        <f>IF(終値!A252="","",IFERROR(4*STDEVP(終値!P252:AI252)/AVERAGE(終値!P252:AI252),""))</f>
      </c>
      <c r="N252" s="684">
        <f>IF(終値!A252="","",IFERROR(4*STDEVP(終値!Q252:AJ252)/AVERAGE(終値!Q252:AJ252),""))</f>
      </c>
      <c r="O252" s="684">
        <f>IF(終値!A252="","",IFERROR(4*STDEVP(終値!R252:AK252)/AVERAGE(終値!R252:AK252),""))</f>
      </c>
      <c r="P252" s="684">
        <f>IF(終値!A252="","",IFERROR(4*STDEVP(終値!S252:AL252)/AVERAGE(終値!S252:AL252),""))</f>
      </c>
      <c r="Q252" s="684">
        <f>IF(終値!A252="","",IFERROR(4*STDEVP(終値!T252:AM252)/AVERAGE(終値!T252:AM252),""))</f>
      </c>
      <c r="R252" s="684">
        <f>IF(終値!A252="","",IFERROR(4*STDEVP(終値!U252:AN252)/AVERAGE(終値!U252:AN252),""))</f>
      </c>
      <c r="S252" s="684">
        <f>IF(終値!A252="","",IFERROR(4*STDEVP(終値!V252:AO252)/AVERAGE(終値!V252:AO252),""))</f>
      </c>
      <c r="T252" s="684">
        <f>IF(終値!A252="","",IFERROR(4*STDEVP(終値!W252:AP252)/AVERAGE(終値!W252:AP252),""))</f>
      </c>
      <c r="U252" s="684">
        <f>IF(終値!A252="","",IFERROR(4*STDEVP(終値!X252:AQ252)/AVERAGE(終値!X252:AQ252),""))</f>
      </c>
      <c r="V252" s="684">
        <f>IF(終値!A252="","",IFERROR(4*STDEVP(終値!Y252:AR252)/AVERAGE(終値!Y252:AR252),""))</f>
      </c>
      <c r="W252" s="684">
        <f>IF(終値!A252="","",IFERROR(4*STDEVP(終値!Z252:AS252)/AVERAGE(終値!Z252:AS252),""))</f>
      </c>
      <c r="X252" s="684">
        <f>IF(終値!A252="","",IFERROR(4*STDEVP(終値!AA252:AT252)/AVERAGE(終値!AA252:AT252),""))</f>
      </c>
      <c r="Y252" s="684">
        <f>IF(終値!A252="","",IFERROR(4*STDEVP(終値!AB252:AU252)/AVERAGE(終値!AB252:AU252),""))</f>
      </c>
      <c r="Z252" s="684">
        <f>IF(終値!A252="","",IFERROR(4*STDEVP(終値!AC252:AV252)/AVERAGE(終値!AC252:AV252),""))</f>
      </c>
      <c r="AA252" s="684">
        <f>IF(終値!A252="","",IFERROR(4*STDEVP(終値!AD252:AW252)/AVERAGE(終値!AD252:AW252),""))</f>
      </c>
      <c r="AB252" s="684">
        <f>IF(終値!A252="","",IFERROR(4*STDEVP(終値!AE252:AX252)/AVERAGE(終値!AE252:AX252),""))</f>
      </c>
      <c r="AC252" s="684">
        <f>IF(終値!A252="","",IFERROR(4*STDEVP(終値!AF252:AY252)/AVERAGE(終値!AF252:AY252),""))</f>
      </c>
      <c r="AD252" s="684">
        <f>IF(終値!A252="","",IFERROR(4*STDEVP(終値!AG252:AZ252)/AVERAGE(終値!AG252:AZ252),""))</f>
      </c>
      <c r="AE252" s="684">
        <f>IF(終値!A252="","",IFERROR(4*STDEVP(終値!AH252:BA252)/AVERAGE(終値!AH252:BA252),""))</f>
      </c>
      <c r="AF252" s="684">
        <f>IF(終値!A252="","",IFERROR(4*STDEVP(終値!AI252:BB252)/AVERAGE(終値!AI252:BB252),""))</f>
      </c>
      <c r="AG252" s="684">
        <f>IF(終値!A252="","",IFERROR(4*STDEVP(終値!AJ252:BC252)/AVERAGE(終値!AJ252:BC252),""))</f>
      </c>
      <c r="AH252" s="684">
        <f>IF(終値!A252="","",IFERROR(4*STDEVP(終値!AK252:BD252)/AVERAGE(終値!AK252:BD252),""))</f>
      </c>
      <c r="AI252" s="684">
        <f>IF(終値!A252="","",IFERROR(4*STDEVP(終値!AL252:BE252)/AVERAGE(終値!AL252:BE252),""))</f>
      </c>
      <c r="AJ252" s="684">
        <f>IF(終値!A252="","",IFERROR(4*STDEVP(終値!AM252:BF252)/AVERAGE(終値!AM252:BF252),""))</f>
      </c>
      <c r="AK252" s="684">
        <f>IF(終値!A252="","",IFERROR(4*STDEVP(終値!AN252:BG252)/AVERAGE(終値!AN252:BG252),""))</f>
      </c>
      <c r="AL252" s="684">
        <f>IF(終値!A252="","",IFERROR(4*STDEVP(終値!AO252:BH252)/AVERAGE(終値!AO252:BH252),""))</f>
      </c>
      <c r="AM252" s="684">
        <f>IF(終値!A252="","",IFERROR(4*STDEVP(終値!AP252:BI252)/AVERAGE(終値!AP252:BI252),""))</f>
      </c>
      <c r="AN252" s="684">
        <f>IF(終値!A252="","",IFERROR(4*STDEVP(終値!AQ252:BJ252)/AVERAGE(終値!AQ252:BJ252),""))</f>
      </c>
      <c r="AO252" s="684">
        <f>IF(終値!A252="","",IFERROR(4*STDEVP(終値!AR252:BK252)/AVERAGE(終値!AR252:BK252),""))</f>
      </c>
      <c r="AP252" s="684">
        <f>IF(終値!A252="","",IFERROR(4*STDEVP(終値!AS252:BL252)/AVERAGE(終値!AS252:BL252),""))</f>
      </c>
    </row>
    <row r="253">
      <c r="A253" s="681">
        <f>IF(終値!A253="","",終値!A253)</f>
      </c>
      <c r="B253" s="684">
        <f>IF(終値!A253="","",IFERROR(4*STDEVP(終値!E253:X253)/AVERAGE(終値!E253:X253),""))</f>
      </c>
      <c r="C253" s="684">
        <f>IF(終値!A253="","",IFERROR(4*STDEVP(終値!F253:Y253)/AVERAGE(終値!F253:Y253),""))</f>
      </c>
      <c r="D253" s="684">
        <f>IF(終値!A253="","",IFERROR(4*STDEVP(終値!G253:Z253)/AVERAGE(終値!G253:Z253),""))</f>
      </c>
      <c r="E253" s="684">
        <f>IF(終値!A253="","",IFERROR(4*STDEVP(終値!H253:AA253)/AVERAGE(終値!H253:AA253),""))</f>
      </c>
      <c r="F253" s="684">
        <f>IF(終値!A253="","",IFERROR(4*STDEVP(終値!I253:AB253)/AVERAGE(終値!I253:AB253),""))</f>
      </c>
      <c r="G253" s="684">
        <f>IF(終値!A253="","",IFERROR(4*STDEVP(終値!J253:AC253)/AVERAGE(終値!J253:AC253),""))</f>
      </c>
      <c r="H253" s="684">
        <f>IF(終値!A253="","",IFERROR(4*STDEVP(終値!K253:AD253)/AVERAGE(終値!K253:AD253),""))</f>
      </c>
      <c r="I253" s="684">
        <f>IF(終値!A253="","",IFERROR(4*STDEVP(終値!L253:AE253)/AVERAGE(終値!L253:AE253),""))</f>
      </c>
      <c r="J253" s="684">
        <f>IF(終値!A253="","",IFERROR(4*STDEVP(終値!M253:AF253)/AVERAGE(終値!M253:AF253),""))</f>
      </c>
      <c r="K253" s="684">
        <f>IF(終値!A253="","",IFERROR(4*STDEVP(終値!N253:AG253)/AVERAGE(終値!N253:AG253),""))</f>
      </c>
      <c r="L253" s="684">
        <f>IF(終値!A253="","",IFERROR(4*STDEVP(終値!O253:AH253)/AVERAGE(終値!O253:AH253),""))</f>
      </c>
      <c r="M253" s="684">
        <f>IF(終値!A253="","",IFERROR(4*STDEVP(終値!P253:AI253)/AVERAGE(終値!P253:AI253),""))</f>
      </c>
      <c r="N253" s="684">
        <f>IF(終値!A253="","",IFERROR(4*STDEVP(終値!Q253:AJ253)/AVERAGE(終値!Q253:AJ253),""))</f>
      </c>
      <c r="O253" s="684">
        <f>IF(終値!A253="","",IFERROR(4*STDEVP(終値!R253:AK253)/AVERAGE(終値!R253:AK253),""))</f>
      </c>
      <c r="P253" s="684">
        <f>IF(終値!A253="","",IFERROR(4*STDEVP(終値!S253:AL253)/AVERAGE(終値!S253:AL253),""))</f>
      </c>
      <c r="Q253" s="684">
        <f>IF(終値!A253="","",IFERROR(4*STDEVP(終値!T253:AM253)/AVERAGE(終値!T253:AM253),""))</f>
      </c>
      <c r="R253" s="684">
        <f>IF(終値!A253="","",IFERROR(4*STDEVP(終値!U253:AN253)/AVERAGE(終値!U253:AN253),""))</f>
      </c>
      <c r="S253" s="684">
        <f>IF(終値!A253="","",IFERROR(4*STDEVP(終値!V253:AO253)/AVERAGE(終値!V253:AO253),""))</f>
      </c>
      <c r="T253" s="684">
        <f>IF(終値!A253="","",IFERROR(4*STDEVP(終値!W253:AP253)/AVERAGE(終値!W253:AP253),""))</f>
      </c>
      <c r="U253" s="684">
        <f>IF(終値!A253="","",IFERROR(4*STDEVP(終値!X253:AQ253)/AVERAGE(終値!X253:AQ253),""))</f>
      </c>
      <c r="V253" s="684">
        <f>IF(終値!A253="","",IFERROR(4*STDEVP(終値!Y253:AR253)/AVERAGE(終値!Y253:AR253),""))</f>
      </c>
      <c r="W253" s="684">
        <f>IF(終値!A253="","",IFERROR(4*STDEVP(終値!Z253:AS253)/AVERAGE(終値!Z253:AS253),""))</f>
      </c>
      <c r="X253" s="684">
        <f>IF(終値!A253="","",IFERROR(4*STDEVP(終値!AA253:AT253)/AVERAGE(終値!AA253:AT253),""))</f>
      </c>
      <c r="Y253" s="684">
        <f>IF(終値!A253="","",IFERROR(4*STDEVP(終値!AB253:AU253)/AVERAGE(終値!AB253:AU253),""))</f>
      </c>
      <c r="Z253" s="684">
        <f>IF(終値!A253="","",IFERROR(4*STDEVP(終値!AC253:AV253)/AVERAGE(終値!AC253:AV253),""))</f>
      </c>
      <c r="AA253" s="684">
        <f>IF(終値!A253="","",IFERROR(4*STDEVP(終値!AD253:AW253)/AVERAGE(終値!AD253:AW253),""))</f>
      </c>
      <c r="AB253" s="684">
        <f>IF(終値!A253="","",IFERROR(4*STDEVP(終値!AE253:AX253)/AVERAGE(終値!AE253:AX253),""))</f>
      </c>
      <c r="AC253" s="684">
        <f>IF(終値!A253="","",IFERROR(4*STDEVP(終値!AF253:AY253)/AVERAGE(終値!AF253:AY253),""))</f>
      </c>
      <c r="AD253" s="684">
        <f>IF(終値!A253="","",IFERROR(4*STDEVP(終値!AG253:AZ253)/AVERAGE(終値!AG253:AZ253),""))</f>
      </c>
      <c r="AE253" s="684">
        <f>IF(終値!A253="","",IFERROR(4*STDEVP(終値!AH253:BA253)/AVERAGE(終値!AH253:BA253),""))</f>
      </c>
      <c r="AF253" s="684">
        <f>IF(終値!A253="","",IFERROR(4*STDEVP(終値!AI253:BB253)/AVERAGE(終値!AI253:BB253),""))</f>
      </c>
      <c r="AG253" s="684">
        <f>IF(終値!A253="","",IFERROR(4*STDEVP(終値!AJ253:BC253)/AVERAGE(終値!AJ253:BC253),""))</f>
      </c>
      <c r="AH253" s="684">
        <f>IF(終値!A253="","",IFERROR(4*STDEVP(終値!AK253:BD253)/AVERAGE(終値!AK253:BD253),""))</f>
      </c>
      <c r="AI253" s="684">
        <f>IF(終値!A253="","",IFERROR(4*STDEVP(終値!AL253:BE253)/AVERAGE(終値!AL253:BE253),""))</f>
      </c>
      <c r="AJ253" s="684">
        <f>IF(終値!A253="","",IFERROR(4*STDEVP(終値!AM253:BF253)/AVERAGE(終値!AM253:BF253),""))</f>
      </c>
      <c r="AK253" s="684">
        <f>IF(終値!A253="","",IFERROR(4*STDEVP(終値!AN253:BG253)/AVERAGE(終値!AN253:BG253),""))</f>
      </c>
      <c r="AL253" s="684">
        <f>IF(終値!A253="","",IFERROR(4*STDEVP(終値!AO253:BH253)/AVERAGE(終値!AO253:BH253),""))</f>
      </c>
      <c r="AM253" s="684">
        <f>IF(終値!A253="","",IFERROR(4*STDEVP(終値!AP253:BI253)/AVERAGE(終値!AP253:BI253),""))</f>
      </c>
      <c r="AN253" s="684">
        <f>IF(終値!A253="","",IFERROR(4*STDEVP(終値!AQ253:BJ253)/AVERAGE(終値!AQ253:BJ253),""))</f>
      </c>
      <c r="AO253" s="684">
        <f>IF(終値!A253="","",IFERROR(4*STDEVP(終値!AR253:BK253)/AVERAGE(終値!AR253:BK253),""))</f>
      </c>
      <c r="AP253" s="684">
        <f>IF(終値!A253="","",IFERROR(4*STDEVP(終値!AS253:BL253)/AVERAGE(終値!AS253:BL253),""))</f>
      </c>
    </row>
    <row r="254">
      <c r="A254" s="681">
        <f>IF(終値!A254="","",終値!A254)</f>
      </c>
      <c r="B254" s="684">
        <f>IF(終値!A254="","",IFERROR(4*STDEVP(終値!E254:X254)/AVERAGE(終値!E254:X254),""))</f>
      </c>
      <c r="C254" s="684">
        <f>IF(終値!A254="","",IFERROR(4*STDEVP(終値!F254:Y254)/AVERAGE(終値!F254:Y254),""))</f>
      </c>
      <c r="D254" s="684">
        <f>IF(終値!A254="","",IFERROR(4*STDEVP(終値!G254:Z254)/AVERAGE(終値!G254:Z254),""))</f>
      </c>
      <c r="E254" s="684">
        <f>IF(終値!A254="","",IFERROR(4*STDEVP(終値!H254:AA254)/AVERAGE(終値!H254:AA254),""))</f>
      </c>
      <c r="F254" s="684">
        <f>IF(終値!A254="","",IFERROR(4*STDEVP(終値!I254:AB254)/AVERAGE(終値!I254:AB254),""))</f>
      </c>
      <c r="G254" s="684">
        <f>IF(終値!A254="","",IFERROR(4*STDEVP(終値!J254:AC254)/AVERAGE(終値!J254:AC254),""))</f>
      </c>
      <c r="H254" s="684">
        <f>IF(終値!A254="","",IFERROR(4*STDEVP(終値!K254:AD254)/AVERAGE(終値!K254:AD254),""))</f>
      </c>
      <c r="I254" s="684">
        <f>IF(終値!A254="","",IFERROR(4*STDEVP(終値!L254:AE254)/AVERAGE(終値!L254:AE254),""))</f>
      </c>
      <c r="J254" s="684">
        <f>IF(終値!A254="","",IFERROR(4*STDEVP(終値!M254:AF254)/AVERAGE(終値!M254:AF254),""))</f>
      </c>
      <c r="K254" s="684">
        <f>IF(終値!A254="","",IFERROR(4*STDEVP(終値!N254:AG254)/AVERAGE(終値!N254:AG254),""))</f>
      </c>
      <c r="L254" s="684">
        <f>IF(終値!A254="","",IFERROR(4*STDEVP(終値!O254:AH254)/AVERAGE(終値!O254:AH254),""))</f>
      </c>
      <c r="M254" s="684">
        <f>IF(終値!A254="","",IFERROR(4*STDEVP(終値!P254:AI254)/AVERAGE(終値!P254:AI254),""))</f>
      </c>
      <c r="N254" s="684">
        <f>IF(終値!A254="","",IFERROR(4*STDEVP(終値!Q254:AJ254)/AVERAGE(終値!Q254:AJ254),""))</f>
      </c>
      <c r="O254" s="684">
        <f>IF(終値!A254="","",IFERROR(4*STDEVP(終値!R254:AK254)/AVERAGE(終値!R254:AK254),""))</f>
      </c>
      <c r="P254" s="684">
        <f>IF(終値!A254="","",IFERROR(4*STDEVP(終値!S254:AL254)/AVERAGE(終値!S254:AL254),""))</f>
      </c>
      <c r="Q254" s="684">
        <f>IF(終値!A254="","",IFERROR(4*STDEVP(終値!T254:AM254)/AVERAGE(終値!T254:AM254),""))</f>
      </c>
      <c r="R254" s="684">
        <f>IF(終値!A254="","",IFERROR(4*STDEVP(終値!U254:AN254)/AVERAGE(終値!U254:AN254),""))</f>
      </c>
      <c r="S254" s="684">
        <f>IF(終値!A254="","",IFERROR(4*STDEVP(終値!V254:AO254)/AVERAGE(終値!V254:AO254),""))</f>
      </c>
      <c r="T254" s="684">
        <f>IF(終値!A254="","",IFERROR(4*STDEVP(終値!W254:AP254)/AVERAGE(終値!W254:AP254),""))</f>
      </c>
      <c r="U254" s="684">
        <f>IF(終値!A254="","",IFERROR(4*STDEVP(終値!X254:AQ254)/AVERAGE(終値!X254:AQ254),""))</f>
      </c>
      <c r="V254" s="684">
        <f>IF(終値!A254="","",IFERROR(4*STDEVP(終値!Y254:AR254)/AVERAGE(終値!Y254:AR254),""))</f>
      </c>
      <c r="W254" s="684">
        <f>IF(終値!A254="","",IFERROR(4*STDEVP(終値!Z254:AS254)/AVERAGE(終値!Z254:AS254),""))</f>
      </c>
      <c r="X254" s="684">
        <f>IF(終値!A254="","",IFERROR(4*STDEVP(終値!AA254:AT254)/AVERAGE(終値!AA254:AT254),""))</f>
      </c>
      <c r="Y254" s="684">
        <f>IF(終値!A254="","",IFERROR(4*STDEVP(終値!AB254:AU254)/AVERAGE(終値!AB254:AU254),""))</f>
      </c>
      <c r="Z254" s="684">
        <f>IF(終値!A254="","",IFERROR(4*STDEVP(終値!AC254:AV254)/AVERAGE(終値!AC254:AV254),""))</f>
      </c>
      <c r="AA254" s="684">
        <f>IF(終値!A254="","",IFERROR(4*STDEVP(終値!AD254:AW254)/AVERAGE(終値!AD254:AW254),""))</f>
      </c>
      <c r="AB254" s="684">
        <f>IF(終値!A254="","",IFERROR(4*STDEVP(終値!AE254:AX254)/AVERAGE(終値!AE254:AX254),""))</f>
      </c>
      <c r="AC254" s="684">
        <f>IF(終値!A254="","",IFERROR(4*STDEVP(終値!AF254:AY254)/AVERAGE(終値!AF254:AY254),""))</f>
      </c>
      <c r="AD254" s="684">
        <f>IF(終値!A254="","",IFERROR(4*STDEVP(終値!AG254:AZ254)/AVERAGE(終値!AG254:AZ254),""))</f>
      </c>
      <c r="AE254" s="684">
        <f>IF(終値!A254="","",IFERROR(4*STDEVP(終値!AH254:BA254)/AVERAGE(終値!AH254:BA254),""))</f>
      </c>
      <c r="AF254" s="684">
        <f>IF(終値!A254="","",IFERROR(4*STDEVP(終値!AI254:BB254)/AVERAGE(終値!AI254:BB254),""))</f>
      </c>
      <c r="AG254" s="684">
        <f>IF(終値!A254="","",IFERROR(4*STDEVP(終値!AJ254:BC254)/AVERAGE(終値!AJ254:BC254),""))</f>
      </c>
      <c r="AH254" s="684">
        <f>IF(終値!A254="","",IFERROR(4*STDEVP(終値!AK254:BD254)/AVERAGE(終値!AK254:BD254),""))</f>
      </c>
      <c r="AI254" s="684">
        <f>IF(終値!A254="","",IFERROR(4*STDEVP(終値!AL254:BE254)/AVERAGE(終値!AL254:BE254),""))</f>
      </c>
      <c r="AJ254" s="684">
        <f>IF(終値!A254="","",IFERROR(4*STDEVP(終値!AM254:BF254)/AVERAGE(終値!AM254:BF254),""))</f>
      </c>
      <c r="AK254" s="684">
        <f>IF(終値!A254="","",IFERROR(4*STDEVP(終値!AN254:BG254)/AVERAGE(終値!AN254:BG254),""))</f>
      </c>
      <c r="AL254" s="684">
        <f>IF(終値!A254="","",IFERROR(4*STDEVP(終値!AO254:BH254)/AVERAGE(終値!AO254:BH254),""))</f>
      </c>
      <c r="AM254" s="684">
        <f>IF(終値!A254="","",IFERROR(4*STDEVP(終値!AP254:BI254)/AVERAGE(終値!AP254:BI254),""))</f>
      </c>
      <c r="AN254" s="684">
        <f>IF(終値!A254="","",IFERROR(4*STDEVP(終値!AQ254:BJ254)/AVERAGE(終値!AQ254:BJ254),""))</f>
      </c>
      <c r="AO254" s="684">
        <f>IF(終値!A254="","",IFERROR(4*STDEVP(終値!AR254:BK254)/AVERAGE(終値!AR254:BK254),""))</f>
      </c>
      <c r="AP254" s="684">
        <f>IF(終値!A254="","",IFERROR(4*STDEVP(終値!AS254:BL254)/AVERAGE(終値!AS254:BL254),""))</f>
      </c>
    </row>
    <row r="255">
      <c r="A255" s="681">
        <f>IF(終値!A255="","",終値!A255)</f>
      </c>
      <c r="B255" s="684">
        <f>IF(終値!A255="","",IFERROR(4*STDEVP(終値!E255:X255)/AVERAGE(終値!E255:X255),""))</f>
      </c>
      <c r="C255" s="684">
        <f>IF(終値!A255="","",IFERROR(4*STDEVP(終値!F255:Y255)/AVERAGE(終値!F255:Y255),""))</f>
      </c>
      <c r="D255" s="684">
        <f>IF(終値!A255="","",IFERROR(4*STDEVP(終値!G255:Z255)/AVERAGE(終値!G255:Z255),""))</f>
      </c>
      <c r="E255" s="684">
        <f>IF(終値!A255="","",IFERROR(4*STDEVP(終値!H255:AA255)/AVERAGE(終値!H255:AA255),""))</f>
      </c>
      <c r="F255" s="684">
        <f>IF(終値!A255="","",IFERROR(4*STDEVP(終値!I255:AB255)/AVERAGE(終値!I255:AB255),""))</f>
      </c>
      <c r="G255" s="684">
        <f>IF(終値!A255="","",IFERROR(4*STDEVP(終値!J255:AC255)/AVERAGE(終値!J255:AC255),""))</f>
      </c>
      <c r="H255" s="684">
        <f>IF(終値!A255="","",IFERROR(4*STDEVP(終値!K255:AD255)/AVERAGE(終値!K255:AD255),""))</f>
      </c>
      <c r="I255" s="684">
        <f>IF(終値!A255="","",IFERROR(4*STDEVP(終値!L255:AE255)/AVERAGE(終値!L255:AE255),""))</f>
      </c>
      <c r="J255" s="684">
        <f>IF(終値!A255="","",IFERROR(4*STDEVP(終値!M255:AF255)/AVERAGE(終値!M255:AF255),""))</f>
      </c>
      <c r="K255" s="684">
        <f>IF(終値!A255="","",IFERROR(4*STDEVP(終値!N255:AG255)/AVERAGE(終値!N255:AG255),""))</f>
      </c>
      <c r="L255" s="684">
        <f>IF(終値!A255="","",IFERROR(4*STDEVP(終値!O255:AH255)/AVERAGE(終値!O255:AH255),""))</f>
      </c>
      <c r="M255" s="684">
        <f>IF(終値!A255="","",IFERROR(4*STDEVP(終値!P255:AI255)/AVERAGE(終値!P255:AI255),""))</f>
      </c>
      <c r="N255" s="684">
        <f>IF(終値!A255="","",IFERROR(4*STDEVP(終値!Q255:AJ255)/AVERAGE(終値!Q255:AJ255),""))</f>
      </c>
      <c r="O255" s="684">
        <f>IF(終値!A255="","",IFERROR(4*STDEVP(終値!R255:AK255)/AVERAGE(終値!R255:AK255),""))</f>
      </c>
      <c r="P255" s="684">
        <f>IF(終値!A255="","",IFERROR(4*STDEVP(終値!S255:AL255)/AVERAGE(終値!S255:AL255),""))</f>
      </c>
      <c r="Q255" s="684">
        <f>IF(終値!A255="","",IFERROR(4*STDEVP(終値!T255:AM255)/AVERAGE(終値!T255:AM255),""))</f>
      </c>
      <c r="R255" s="684">
        <f>IF(終値!A255="","",IFERROR(4*STDEVP(終値!U255:AN255)/AVERAGE(終値!U255:AN255),""))</f>
      </c>
      <c r="S255" s="684">
        <f>IF(終値!A255="","",IFERROR(4*STDEVP(終値!V255:AO255)/AVERAGE(終値!V255:AO255),""))</f>
      </c>
      <c r="T255" s="684">
        <f>IF(終値!A255="","",IFERROR(4*STDEVP(終値!W255:AP255)/AVERAGE(終値!W255:AP255),""))</f>
      </c>
      <c r="U255" s="684">
        <f>IF(終値!A255="","",IFERROR(4*STDEVP(終値!X255:AQ255)/AVERAGE(終値!X255:AQ255),""))</f>
      </c>
      <c r="V255" s="684">
        <f>IF(終値!A255="","",IFERROR(4*STDEVP(終値!Y255:AR255)/AVERAGE(終値!Y255:AR255),""))</f>
      </c>
      <c r="W255" s="684">
        <f>IF(終値!A255="","",IFERROR(4*STDEVP(終値!Z255:AS255)/AVERAGE(終値!Z255:AS255),""))</f>
      </c>
      <c r="X255" s="684">
        <f>IF(終値!A255="","",IFERROR(4*STDEVP(終値!AA255:AT255)/AVERAGE(終値!AA255:AT255),""))</f>
      </c>
      <c r="Y255" s="684">
        <f>IF(終値!A255="","",IFERROR(4*STDEVP(終値!AB255:AU255)/AVERAGE(終値!AB255:AU255),""))</f>
      </c>
      <c r="Z255" s="684">
        <f>IF(終値!A255="","",IFERROR(4*STDEVP(終値!AC255:AV255)/AVERAGE(終値!AC255:AV255),""))</f>
      </c>
      <c r="AA255" s="684">
        <f>IF(終値!A255="","",IFERROR(4*STDEVP(終値!AD255:AW255)/AVERAGE(終値!AD255:AW255),""))</f>
      </c>
      <c r="AB255" s="684">
        <f>IF(終値!A255="","",IFERROR(4*STDEVP(終値!AE255:AX255)/AVERAGE(終値!AE255:AX255),""))</f>
      </c>
      <c r="AC255" s="684">
        <f>IF(終値!A255="","",IFERROR(4*STDEVP(終値!AF255:AY255)/AVERAGE(終値!AF255:AY255),""))</f>
      </c>
      <c r="AD255" s="684">
        <f>IF(終値!A255="","",IFERROR(4*STDEVP(終値!AG255:AZ255)/AVERAGE(終値!AG255:AZ255),""))</f>
      </c>
      <c r="AE255" s="684">
        <f>IF(終値!A255="","",IFERROR(4*STDEVP(終値!AH255:BA255)/AVERAGE(終値!AH255:BA255),""))</f>
      </c>
      <c r="AF255" s="684">
        <f>IF(終値!A255="","",IFERROR(4*STDEVP(終値!AI255:BB255)/AVERAGE(終値!AI255:BB255),""))</f>
      </c>
      <c r="AG255" s="684">
        <f>IF(終値!A255="","",IFERROR(4*STDEVP(終値!AJ255:BC255)/AVERAGE(終値!AJ255:BC255),""))</f>
      </c>
      <c r="AH255" s="684">
        <f>IF(終値!A255="","",IFERROR(4*STDEVP(終値!AK255:BD255)/AVERAGE(終値!AK255:BD255),""))</f>
      </c>
      <c r="AI255" s="684">
        <f>IF(終値!A255="","",IFERROR(4*STDEVP(終値!AL255:BE255)/AVERAGE(終値!AL255:BE255),""))</f>
      </c>
      <c r="AJ255" s="684">
        <f>IF(終値!A255="","",IFERROR(4*STDEVP(終値!AM255:BF255)/AVERAGE(終値!AM255:BF255),""))</f>
      </c>
      <c r="AK255" s="684">
        <f>IF(終値!A255="","",IFERROR(4*STDEVP(終値!AN255:BG255)/AVERAGE(終値!AN255:BG255),""))</f>
      </c>
      <c r="AL255" s="684">
        <f>IF(終値!A255="","",IFERROR(4*STDEVP(終値!AO255:BH255)/AVERAGE(終値!AO255:BH255),""))</f>
      </c>
      <c r="AM255" s="684">
        <f>IF(終値!A255="","",IFERROR(4*STDEVP(終値!AP255:BI255)/AVERAGE(終値!AP255:BI255),""))</f>
      </c>
      <c r="AN255" s="684">
        <f>IF(終値!A255="","",IFERROR(4*STDEVP(終値!AQ255:BJ255)/AVERAGE(終値!AQ255:BJ255),""))</f>
      </c>
      <c r="AO255" s="684">
        <f>IF(終値!A255="","",IFERROR(4*STDEVP(終値!AR255:BK255)/AVERAGE(終値!AR255:BK255),""))</f>
      </c>
      <c r="AP255" s="684">
        <f>IF(終値!A255="","",IFERROR(4*STDEVP(終値!AS255:BL255)/AVERAGE(終値!AS255:BL255),""))</f>
      </c>
    </row>
    <row r="256">
      <c r="A256" s="681">
        <f>IF(終値!A256="","",終値!A256)</f>
      </c>
      <c r="B256" s="684">
        <f>IF(終値!A256="","",IFERROR(4*STDEVP(終値!E256:X256)/AVERAGE(終値!E256:X256),""))</f>
      </c>
      <c r="C256" s="684">
        <f>IF(終値!A256="","",IFERROR(4*STDEVP(終値!F256:Y256)/AVERAGE(終値!F256:Y256),""))</f>
      </c>
      <c r="D256" s="684">
        <f>IF(終値!A256="","",IFERROR(4*STDEVP(終値!G256:Z256)/AVERAGE(終値!G256:Z256),""))</f>
      </c>
      <c r="E256" s="684">
        <f>IF(終値!A256="","",IFERROR(4*STDEVP(終値!H256:AA256)/AVERAGE(終値!H256:AA256),""))</f>
      </c>
      <c r="F256" s="684">
        <f>IF(終値!A256="","",IFERROR(4*STDEVP(終値!I256:AB256)/AVERAGE(終値!I256:AB256),""))</f>
      </c>
      <c r="G256" s="684">
        <f>IF(終値!A256="","",IFERROR(4*STDEVP(終値!J256:AC256)/AVERAGE(終値!J256:AC256),""))</f>
      </c>
      <c r="H256" s="684">
        <f>IF(終値!A256="","",IFERROR(4*STDEVP(終値!K256:AD256)/AVERAGE(終値!K256:AD256),""))</f>
      </c>
      <c r="I256" s="684">
        <f>IF(終値!A256="","",IFERROR(4*STDEVP(終値!L256:AE256)/AVERAGE(終値!L256:AE256),""))</f>
      </c>
      <c r="J256" s="684">
        <f>IF(終値!A256="","",IFERROR(4*STDEVP(終値!M256:AF256)/AVERAGE(終値!M256:AF256),""))</f>
      </c>
      <c r="K256" s="684">
        <f>IF(終値!A256="","",IFERROR(4*STDEVP(終値!N256:AG256)/AVERAGE(終値!N256:AG256),""))</f>
      </c>
      <c r="L256" s="684">
        <f>IF(終値!A256="","",IFERROR(4*STDEVP(終値!O256:AH256)/AVERAGE(終値!O256:AH256),""))</f>
      </c>
      <c r="M256" s="684">
        <f>IF(終値!A256="","",IFERROR(4*STDEVP(終値!P256:AI256)/AVERAGE(終値!P256:AI256),""))</f>
      </c>
      <c r="N256" s="684">
        <f>IF(終値!A256="","",IFERROR(4*STDEVP(終値!Q256:AJ256)/AVERAGE(終値!Q256:AJ256),""))</f>
      </c>
      <c r="O256" s="684">
        <f>IF(終値!A256="","",IFERROR(4*STDEVP(終値!R256:AK256)/AVERAGE(終値!R256:AK256),""))</f>
      </c>
      <c r="P256" s="684">
        <f>IF(終値!A256="","",IFERROR(4*STDEVP(終値!S256:AL256)/AVERAGE(終値!S256:AL256),""))</f>
      </c>
      <c r="Q256" s="684">
        <f>IF(終値!A256="","",IFERROR(4*STDEVP(終値!T256:AM256)/AVERAGE(終値!T256:AM256),""))</f>
      </c>
      <c r="R256" s="684">
        <f>IF(終値!A256="","",IFERROR(4*STDEVP(終値!U256:AN256)/AVERAGE(終値!U256:AN256),""))</f>
      </c>
      <c r="S256" s="684">
        <f>IF(終値!A256="","",IFERROR(4*STDEVP(終値!V256:AO256)/AVERAGE(終値!V256:AO256),""))</f>
      </c>
      <c r="T256" s="684">
        <f>IF(終値!A256="","",IFERROR(4*STDEVP(終値!W256:AP256)/AVERAGE(終値!W256:AP256),""))</f>
      </c>
      <c r="U256" s="684">
        <f>IF(終値!A256="","",IFERROR(4*STDEVP(終値!X256:AQ256)/AVERAGE(終値!X256:AQ256),""))</f>
      </c>
      <c r="V256" s="684">
        <f>IF(終値!A256="","",IFERROR(4*STDEVP(終値!Y256:AR256)/AVERAGE(終値!Y256:AR256),""))</f>
      </c>
      <c r="W256" s="684">
        <f>IF(終値!A256="","",IFERROR(4*STDEVP(終値!Z256:AS256)/AVERAGE(終値!Z256:AS256),""))</f>
      </c>
      <c r="X256" s="684">
        <f>IF(終値!A256="","",IFERROR(4*STDEVP(終値!AA256:AT256)/AVERAGE(終値!AA256:AT256),""))</f>
      </c>
      <c r="Y256" s="684">
        <f>IF(終値!A256="","",IFERROR(4*STDEVP(終値!AB256:AU256)/AVERAGE(終値!AB256:AU256),""))</f>
      </c>
      <c r="Z256" s="684">
        <f>IF(終値!A256="","",IFERROR(4*STDEVP(終値!AC256:AV256)/AVERAGE(終値!AC256:AV256),""))</f>
      </c>
      <c r="AA256" s="684">
        <f>IF(終値!A256="","",IFERROR(4*STDEVP(終値!AD256:AW256)/AVERAGE(終値!AD256:AW256),""))</f>
      </c>
      <c r="AB256" s="684">
        <f>IF(終値!A256="","",IFERROR(4*STDEVP(終値!AE256:AX256)/AVERAGE(終値!AE256:AX256),""))</f>
      </c>
      <c r="AC256" s="684">
        <f>IF(終値!A256="","",IFERROR(4*STDEVP(終値!AF256:AY256)/AVERAGE(終値!AF256:AY256),""))</f>
      </c>
      <c r="AD256" s="684">
        <f>IF(終値!A256="","",IFERROR(4*STDEVP(終値!AG256:AZ256)/AVERAGE(終値!AG256:AZ256),""))</f>
      </c>
      <c r="AE256" s="684">
        <f>IF(終値!A256="","",IFERROR(4*STDEVP(終値!AH256:BA256)/AVERAGE(終値!AH256:BA256),""))</f>
      </c>
      <c r="AF256" s="684">
        <f>IF(終値!A256="","",IFERROR(4*STDEVP(終値!AI256:BB256)/AVERAGE(終値!AI256:BB256),""))</f>
      </c>
      <c r="AG256" s="684">
        <f>IF(終値!A256="","",IFERROR(4*STDEVP(終値!AJ256:BC256)/AVERAGE(終値!AJ256:BC256),""))</f>
      </c>
      <c r="AH256" s="684">
        <f>IF(終値!A256="","",IFERROR(4*STDEVP(終値!AK256:BD256)/AVERAGE(終値!AK256:BD256),""))</f>
      </c>
      <c r="AI256" s="684">
        <f>IF(終値!A256="","",IFERROR(4*STDEVP(終値!AL256:BE256)/AVERAGE(終値!AL256:BE256),""))</f>
      </c>
      <c r="AJ256" s="684">
        <f>IF(終値!A256="","",IFERROR(4*STDEVP(終値!AM256:BF256)/AVERAGE(終値!AM256:BF256),""))</f>
      </c>
      <c r="AK256" s="684">
        <f>IF(終値!A256="","",IFERROR(4*STDEVP(終値!AN256:BG256)/AVERAGE(終値!AN256:BG256),""))</f>
      </c>
      <c r="AL256" s="684">
        <f>IF(終値!A256="","",IFERROR(4*STDEVP(終値!AO256:BH256)/AVERAGE(終値!AO256:BH256),""))</f>
      </c>
      <c r="AM256" s="684">
        <f>IF(終値!A256="","",IFERROR(4*STDEVP(終値!AP256:BI256)/AVERAGE(終値!AP256:BI256),""))</f>
      </c>
      <c r="AN256" s="684">
        <f>IF(終値!A256="","",IFERROR(4*STDEVP(終値!AQ256:BJ256)/AVERAGE(終値!AQ256:BJ256),""))</f>
      </c>
      <c r="AO256" s="684">
        <f>IF(終値!A256="","",IFERROR(4*STDEVP(終値!AR256:BK256)/AVERAGE(終値!AR256:BK256),""))</f>
      </c>
      <c r="AP256" s="684">
        <f>IF(終値!A256="","",IFERROR(4*STDEVP(終値!AS256:BL256)/AVERAGE(終値!AS256:BL256),""))</f>
      </c>
    </row>
    <row r="257">
      <c r="A257" s="681">
        <f>IF(終値!A257="","",終値!A257)</f>
      </c>
      <c r="B257" s="684">
        <f>IF(終値!A257="","",IFERROR(4*STDEVP(終値!E257:X257)/AVERAGE(終値!E257:X257),""))</f>
      </c>
      <c r="C257" s="684">
        <f>IF(終値!A257="","",IFERROR(4*STDEVP(終値!F257:Y257)/AVERAGE(終値!F257:Y257),""))</f>
      </c>
      <c r="D257" s="684">
        <f>IF(終値!A257="","",IFERROR(4*STDEVP(終値!G257:Z257)/AVERAGE(終値!G257:Z257),""))</f>
      </c>
      <c r="E257" s="684">
        <f>IF(終値!A257="","",IFERROR(4*STDEVP(終値!H257:AA257)/AVERAGE(終値!H257:AA257),""))</f>
      </c>
      <c r="F257" s="684">
        <f>IF(終値!A257="","",IFERROR(4*STDEVP(終値!I257:AB257)/AVERAGE(終値!I257:AB257),""))</f>
      </c>
      <c r="G257" s="684">
        <f>IF(終値!A257="","",IFERROR(4*STDEVP(終値!J257:AC257)/AVERAGE(終値!J257:AC257),""))</f>
      </c>
      <c r="H257" s="684">
        <f>IF(終値!A257="","",IFERROR(4*STDEVP(終値!K257:AD257)/AVERAGE(終値!K257:AD257),""))</f>
      </c>
      <c r="I257" s="684">
        <f>IF(終値!A257="","",IFERROR(4*STDEVP(終値!L257:AE257)/AVERAGE(終値!L257:AE257),""))</f>
      </c>
      <c r="J257" s="684">
        <f>IF(終値!A257="","",IFERROR(4*STDEVP(終値!M257:AF257)/AVERAGE(終値!M257:AF257),""))</f>
      </c>
      <c r="K257" s="684">
        <f>IF(終値!A257="","",IFERROR(4*STDEVP(終値!N257:AG257)/AVERAGE(終値!N257:AG257),""))</f>
      </c>
      <c r="L257" s="684">
        <f>IF(終値!A257="","",IFERROR(4*STDEVP(終値!O257:AH257)/AVERAGE(終値!O257:AH257),""))</f>
      </c>
      <c r="M257" s="684">
        <f>IF(終値!A257="","",IFERROR(4*STDEVP(終値!P257:AI257)/AVERAGE(終値!P257:AI257),""))</f>
      </c>
      <c r="N257" s="684">
        <f>IF(終値!A257="","",IFERROR(4*STDEVP(終値!Q257:AJ257)/AVERAGE(終値!Q257:AJ257),""))</f>
      </c>
      <c r="O257" s="684">
        <f>IF(終値!A257="","",IFERROR(4*STDEVP(終値!R257:AK257)/AVERAGE(終値!R257:AK257),""))</f>
      </c>
      <c r="P257" s="684">
        <f>IF(終値!A257="","",IFERROR(4*STDEVP(終値!S257:AL257)/AVERAGE(終値!S257:AL257),""))</f>
      </c>
      <c r="Q257" s="684">
        <f>IF(終値!A257="","",IFERROR(4*STDEVP(終値!T257:AM257)/AVERAGE(終値!T257:AM257),""))</f>
      </c>
      <c r="R257" s="684">
        <f>IF(終値!A257="","",IFERROR(4*STDEVP(終値!U257:AN257)/AVERAGE(終値!U257:AN257),""))</f>
      </c>
      <c r="S257" s="684">
        <f>IF(終値!A257="","",IFERROR(4*STDEVP(終値!V257:AO257)/AVERAGE(終値!V257:AO257),""))</f>
      </c>
      <c r="T257" s="684">
        <f>IF(終値!A257="","",IFERROR(4*STDEVP(終値!W257:AP257)/AVERAGE(終値!W257:AP257),""))</f>
      </c>
      <c r="U257" s="684">
        <f>IF(終値!A257="","",IFERROR(4*STDEVP(終値!X257:AQ257)/AVERAGE(終値!X257:AQ257),""))</f>
      </c>
      <c r="V257" s="684">
        <f>IF(終値!A257="","",IFERROR(4*STDEVP(終値!Y257:AR257)/AVERAGE(終値!Y257:AR257),""))</f>
      </c>
      <c r="W257" s="684">
        <f>IF(終値!A257="","",IFERROR(4*STDEVP(終値!Z257:AS257)/AVERAGE(終値!Z257:AS257),""))</f>
      </c>
      <c r="X257" s="684">
        <f>IF(終値!A257="","",IFERROR(4*STDEVP(終値!AA257:AT257)/AVERAGE(終値!AA257:AT257),""))</f>
      </c>
      <c r="Y257" s="684">
        <f>IF(終値!A257="","",IFERROR(4*STDEVP(終値!AB257:AU257)/AVERAGE(終値!AB257:AU257),""))</f>
      </c>
      <c r="Z257" s="684">
        <f>IF(終値!A257="","",IFERROR(4*STDEVP(終値!AC257:AV257)/AVERAGE(終値!AC257:AV257),""))</f>
      </c>
      <c r="AA257" s="684">
        <f>IF(終値!A257="","",IFERROR(4*STDEVP(終値!AD257:AW257)/AVERAGE(終値!AD257:AW257),""))</f>
      </c>
      <c r="AB257" s="684">
        <f>IF(終値!A257="","",IFERROR(4*STDEVP(終値!AE257:AX257)/AVERAGE(終値!AE257:AX257),""))</f>
      </c>
      <c r="AC257" s="684">
        <f>IF(終値!A257="","",IFERROR(4*STDEVP(終値!AF257:AY257)/AVERAGE(終値!AF257:AY257),""))</f>
      </c>
      <c r="AD257" s="684">
        <f>IF(終値!A257="","",IFERROR(4*STDEVP(終値!AG257:AZ257)/AVERAGE(終値!AG257:AZ257),""))</f>
      </c>
      <c r="AE257" s="684">
        <f>IF(終値!A257="","",IFERROR(4*STDEVP(終値!AH257:BA257)/AVERAGE(終値!AH257:BA257),""))</f>
      </c>
      <c r="AF257" s="684">
        <f>IF(終値!A257="","",IFERROR(4*STDEVP(終値!AI257:BB257)/AVERAGE(終値!AI257:BB257),""))</f>
      </c>
      <c r="AG257" s="684">
        <f>IF(終値!A257="","",IFERROR(4*STDEVP(終値!AJ257:BC257)/AVERAGE(終値!AJ257:BC257),""))</f>
      </c>
      <c r="AH257" s="684">
        <f>IF(終値!A257="","",IFERROR(4*STDEVP(終値!AK257:BD257)/AVERAGE(終値!AK257:BD257),""))</f>
      </c>
      <c r="AI257" s="684">
        <f>IF(終値!A257="","",IFERROR(4*STDEVP(終値!AL257:BE257)/AVERAGE(終値!AL257:BE257),""))</f>
      </c>
      <c r="AJ257" s="684">
        <f>IF(終値!A257="","",IFERROR(4*STDEVP(終値!AM257:BF257)/AVERAGE(終値!AM257:BF257),""))</f>
      </c>
      <c r="AK257" s="684">
        <f>IF(終値!A257="","",IFERROR(4*STDEVP(終値!AN257:BG257)/AVERAGE(終値!AN257:BG257),""))</f>
      </c>
      <c r="AL257" s="684">
        <f>IF(終値!A257="","",IFERROR(4*STDEVP(終値!AO257:BH257)/AVERAGE(終値!AO257:BH257),""))</f>
      </c>
      <c r="AM257" s="684">
        <f>IF(終値!A257="","",IFERROR(4*STDEVP(終値!AP257:BI257)/AVERAGE(終値!AP257:BI257),""))</f>
      </c>
      <c r="AN257" s="684">
        <f>IF(終値!A257="","",IFERROR(4*STDEVP(終値!AQ257:BJ257)/AVERAGE(終値!AQ257:BJ257),""))</f>
      </c>
      <c r="AO257" s="684">
        <f>IF(終値!A257="","",IFERROR(4*STDEVP(終値!AR257:BK257)/AVERAGE(終値!AR257:BK257),""))</f>
      </c>
      <c r="AP257" s="684">
        <f>IF(終値!A257="","",IFERROR(4*STDEVP(終値!AS257:BL257)/AVERAGE(終値!AS257:BL257),""))</f>
      </c>
    </row>
    <row r="258">
      <c r="A258" s="681">
        <f>IF(終値!A258="","",終値!A258)</f>
      </c>
      <c r="B258" s="684">
        <f>IF(終値!A258="","",IFERROR(4*STDEVP(終値!E258:X258)/AVERAGE(終値!E258:X258),""))</f>
      </c>
      <c r="C258" s="684">
        <f>IF(終値!A258="","",IFERROR(4*STDEVP(終値!F258:Y258)/AVERAGE(終値!F258:Y258),""))</f>
      </c>
      <c r="D258" s="684">
        <f>IF(終値!A258="","",IFERROR(4*STDEVP(終値!G258:Z258)/AVERAGE(終値!G258:Z258),""))</f>
      </c>
      <c r="E258" s="684">
        <f>IF(終値!A258="","",IFERROR(4*STDEVP(終値!H258:AA258)/AVERAGE(終値!H258:AA258),""))</f>
      </c>
      <c r="F258" s="684">
        <f>IF(終値!A258="","",IFERROR(4*STDEVP(終値!I258:AB258)/AVERAGE(終値!I258:AB258),""))</f>
      </c>
      <c r="G258" s="684">
        <f>IF(終値!A258="","",IFERROR(4*STDEVP(終値!J258:AC258)/AVERAGE(終値!J258:AC258),""))</f>
      </c>
      <c r="H258" s="684">
        <f>IF(終値!A258="","",IFERROR(4*STDEVP(終値!K258:AD258)/AVERAGE(終値!K258:AD258),""))</f>
      </c>
      <c r="I258" s="684">
        <f>IF(終値!A258="","",IFERROR(4*STDEVP(終値!L258:AE258)/AVERAGE(終値!L258:AE258),""))</f>
      </c>
      <c r="J258" s="684">
        <f>IF(終値!A258="","",IFERROR(4*STDEVP(終値!M258:AF258)/AVERAGE(終値!M258:AF258),""))</f>
      </c>
      <c r="K258" s="684">
        <f>IF(終値!A258="","",IFERROR(4*STDEVP(終値!N258:AG258)/AVERAGE(終値!N258:AG258),""))</f>
      </c>
      <c r="L258" s="684">
        <f>IF(終値!A258="","",IFERROR(4*STDEVP(終値!O258:AH258)/AVERAGE(終値!O258:AH258),""))</f>
      </c>
      <c r="M258" s="684">
        <f>IF(終値!A258="","",IFERROR(4*STDEVP(終値!P258:AI258)/AVERAGE(終値!P258:AI258),""))</f>
      </c>
      <c r="N258" s="684">
        <f>IF(終値!A258="","",IFERROR(4*STDEVP(終値!Q258:AJ258)/AVERAGE(終値!Q258:AJ258),""))</f>
      </c>
      <c r="O258" s="684">
        <f>IF(終値!A258="","",IFERROR(4*STDEVP(終値!R258:AK258)/AVERAGE(終値!R258:AK258),""))</f>
      </c>
      <c r="P258" s="684">
        <f>IF(終値!A258="","",IFERROR(4*STDEVP(終値!S258:AL258)/AVERAGE(終値!S258:AL258),""))</f>
      </c>
      <c r="Q258" s="684">
        <f>IF(終値!A258="","",IFERROR(4*STDEVP(終値!T258:AM258)/AVERAGE(終値!T258:AM258),""))</f>
      </c>
      <c r="R258" s="684">
        <f>IF(終値!A258="","",IFERROR(4*STDEVP(終値!U258:AN258)/AVERAGE(終値!U258:AN258),""))</f>
      </c>
      <c r="S258" s="684">
        <f>IF(終値!A258="","",IFERROR(4*STDEVP(終値!V258:AO258)/AVERAGE(終値!V258:AO258),""))</f>
      </c>
      <c r="T258" s="684">
        <f>IF(終値!A258="","",IFERROR(4*STDEVP(終値!W258:AP258)/AVERAGE(終値!W258:AP258),""))</f>
      </c>
      <c r="U258" s="684">
        <f>IF(終値!A258="","",IFERROR(4*STDEVP(終値!X258:AQ258)/AVERAGE(終値!X258:AQ258),""))</f>
      </c>
      <c r="V258" s="684">
        <f>IF(終値!A258="","",IFERROR(4*STDEVP(終値!Y258:AR258)/AVERAGE(終値!Y258:AR258),""))</f>
      </c>
      <c r="W258" s="684">
        <f>IF(終値!A258="","",IFERROR(4*STDEVP(終値!Z258:AS258)/AVERAGE(終値!Z258:AS258),""))</f>
      </c>
      <c r="X258" s="684">
        <f>IF(終値!A258="","",IFERROR(4*STDEVP(終値!AA258:AT258)/AVERAGE(終値!AA258:AT258),""))</f>
      </c>
      <c r="Y258" s="684">
        <f>IF(終値!A258="","",IFERROR(4*STDEVP(終値!AB258:AU258)/AVERAGE(終値!AB258:AU258),""))</f>
      </c>
      <c r="Z258" s="684">
        <f>IF(終値!A258="","",IFERROR(4*STDEVP(終値!AC258:AV258)/AVERAGE(終値!AC258:AV258),""))</f>
      </c>
      <c r="AA258" s="684">
        <f>IF(終値!A258="","",IFERROR(4*STDEVP(終値!AD258:AW258)/AVERAGE(終値!AD258:AW258),""))</f>
      </c>
      <c r="AB258" s="684">
        <f>IF(終値!A258="","",IFERROR(4*STDEVP(終値!AE258:AX258)/AVERAGE(終値!AE258:AX258),""))</f>
      </c>
      <c r="AC258" s="684">
        <f>IF(終値!A258="","",IFERROR(4*STDEVP(終値!AF258:AY258)/AVERAGE(終値!AF258:AY258),""))</f>
      </c>
      <c r="AD258" s="684">
        <f>IF(終値!A258="","",IFERROR(4*STDEVP(終値!AG258:AZ258)/AVERAGE(終値!AG258:AZ258),""))</f>
      </c>
      <c r="AE258" s="684">
        <f>IF(終値!A258="","",IFERROR(4*STDEVP(終値!AH258:BA258)/AVERAGE(終値!AH258:BA258),""))</f>
      </c>
      <c r="AF258" s="684">
        <f>IF(終値!A258="","",IFERROR(4*STDEVP(終値!AI258:BB258)/AVERAGE(終値!AI258:BB258),""))</f>
      </c>
      <c r="AG258" s="684">
        <f>IF(終値!A258="","",IFERROR(4*STDEVP(終値!AJ258:BC258)/AVERAGE(終値!AJ258:BC258),""))</f>
      </c>
      <c r="AH258" s="684">
        <f>IF(終値!A258="","",IFERROR(4*STDEVP(終値!AK258:BD258)/AVERAGE(終値!AK258:BD258),""))</f>
      </c>
      <c r="AI258" s="684">
        <f>IF(終値!A258="","",IFERROR(4*STDEVP(終値!AL258:BE258)/AVERAGE(終値!AL258:BE258),""))</f>
      </c>
      <c r="AJ258" s="684">
        <f>IF(終値!A258="","",IFERROR(4*STDEVP(終値!AM258:BF258)/AVERAGE(終値!AM258:BF258),""))</f>
      </c>
      <c r="AK258" s="684">
        <f>IF(終値!A258="","",IFERROR(4*STDEVP(終値!AN258:BG258)/AVERAGE(終値!AN258:BG258),""))</f>
      </c>
      <c r="AL258" s="684">
        <f>IF(終値!A258="","",IFERROR(4*STDEVP(終値!AO258:BH258)/AVERAGE(終値!AO258:BH258),""))</f>
      </c>
      <c r="AM258" s="684">
        <f>IF(終値!A258="","",IFERROR(4*STDEVP(終値!AP258:BI258)/AVERAGE(終値!AP258:BI258),""))</f>
      </c>
      <c r="AN258" s="684">
        <f>IF(終値!A258="","",IFERROR(4*STDEVP(終値!AQ258:BJ258)/AVERAGE(終値!AQ258:BJ258),""))</f>
      </c>
      <c r="AO258" s="684">
        <f>IF(終値!A258="","",IFERROR(4*STDEVP(終値!AR258:BK258)/AVERAGE(終値!AR258:BK258),""))</f>
      </c>
      <c r="AP258" s="684">
        <f>IF(終値!A258="","",IFERROR(4*STDEVP(終値!AS258:BL258)/AVERAGE(終値!AS258:BL258),""))</f>
      </c>
    </row>
    <row r="259">
      <c r="A259" s="681">
        <f>IF(終値!A259="","",終値!A259)</f>
      </c>
      <c r="B259" s="684">
        <f>IF(終値!A259="","",IFERROR(4*STDEVP(終値!E259:X259)/AVERAGE(終値!E259:X259),""))</f>
      </c>
      <c r="C259" s="684">
        <f>IF(終値!A259="","",IFERROR(4*STDEVP(終値!F259:Y259)/AVERAGE(終値!F259:Y259),""))</f>
      </c>
      <c r="D259" s="684">
        <f>IF(終値!A259="","",IFERROR(4*STDEVP(終値!G259:Z259)/AVERAGE(終値!G259:Z259),""))</f>
      </c>
      <c r="E259" s="684">
        <f>IF(終値!A259="","",IFERROR(4*STDEVP(終値!H259:AA259)/AVERAGE(終値!H259:AA259),""))</f>
      </c>
      <c r="F259" s="684">
        <f>IF(終値!A259="","",IFERROR(4*STDEVP(終値!I259:AB259)/AVERAGE(終値!I259:AB259),""))</f>
      </c>
      <c r="G259" s="684">
        <f>IF(終値!A259="","",IFERROR(4*STDEVP(終値!J259:AC259)/AVERAGE(終値!J259:AC259),""))</f>
      </c>
      <c r="H259" s="684">
        <f>IF(終値!A259="","",IFERROR(4*STDEVP(終値!K259:AD259)/AVERAGE(終値!K259:AD259),""))</f>
      </c>
      <c r="I259" s="684">
        <f>IF(終値!A259="","",IFERROR(4*STDEVP(終値!L259:AE259)/AVERAGE(終値!L259:AE259),""))</f>
      </c>
      <c r="J259" s="684">
        <f>IF(終値!A259="","",IFERROR(4*STDEVP(終値!M259:AF259)/AVERAGE(終値!M259:AF259),""))</f>
      </c>
      <c r="K259" s="684">
        <f>IF(終値!A259="","",IFERROR(4*STDEVP(終値!N259:AG259)/AVERAGE(終値!N259:AG259),""))</f>
      </c>
      <c r="L259" s="684">
        <f>IF(終値!A259="","",IFERROR(4*STDEVP(終値!O259:AH259)/AVERAGE(終値!O259:AH259),""))</f>
      </c>
      <c r="M259" s="684">
        <f>IF(終値!A259="","",IFERROR(4*STDEVP(終値!P259:AI259)/AVERAGE(終値!P259:AI259),""))</f>
      </c>
      <c r="N259" s="684">
        <f>IF(終値!A259="","",IFERROR(4*STDEVP(終値!Q259:AJ259)/AVERAGE(終値!Q259:AJ259),""))</f>
      </c>
      <c r="O259" s="684">
        <f>IF(終値!A259="","",IFERROR(4*STDEVP(終値!R259:AK259)/AVERAGE(終値!R259:AK259),""))</f>
      </c>
      <c r="P259" s="684">
        <f>IF(終値!A259="","",IFERROR(4*STDEVP(終値!S259:AL259)/AVERAGE(終値!S259:AL259),""))</f>
      </c>
      <c r="Q259" s="684">
        <f>IF(終値!A259="","",IFERROR(4*STDEVP(終値!T259:AM259)/AVERAGE(終値!T259:AM259),""))</f>
      </c>
      <c r="R259" s="684">
        <f>IF(終値!A259="","",IFERROR(4*STDEVP(終値!U259:AN259)/AVERAGE(終値!U259:AN259),""))</f>
      </c>
      <c r="S259" s="684">
        <f>IF(終値!A259="","",IFERROR(4*STDEVP(終値!V259:AO259)/AVERAGE(終値!V259:AO259),""))</f>
      </c>
      <c r="T259" s="684">
        <f>IF(終値!A259="","",IFERROR(4*STDEVP(終値!W259:AP259)/AVERAGE(終値!W259:AP259),""))</f>
      </c>
      <c r="U259" s="684">
        <f>IF(終値!A259="","",IFERROR(4*STDEVP(終値!X259:AQ259)/AVERAGE(終値!X259:AQ259),""))</f>
      </c>
      <c r="V259" s="684">
        <f>IF(終値!A259="","",IFERROR(4*STDEVP(終値!Y259:AR259)/AVERAGE(終値!Y259:AR259),""))</f>
      </c>
      <c r="W259" s="684">
        <f>IF(終値!A259="","",IFERROR(4*STDEVP(終値!Z259:AS259)/AVERAGE(終値!Z259:AS259),""))</f>
      </c>
      <c r="X259" s="684">
        <f>IF(終値!A259="","",IFERROR(4*STDEVP(終値!AA259:AT259)/AVERAGE(終値!AA259:AT259),""))</f>
      </c>
      <c r="Y259" s="684">
        <f>IF(終値!A259="","",IFERROR(4*STDEVP(終値!AB259:AU259)/AVERAGE(終値!AB259:AU259),""))</f>
      </c>
      <c r="Z259" s="684">
        <f>IF(終値!A259="","",IFERROR(4*STDEVP(終値!AC259:AV259)/AVERAGE(終値!AC259:AV259),""))</f>
      </c>
      <c r="AA259" s="684">
        <f>IF(終値!A259="","",IFERROR(4*STDEVP(終値!AD259:AW259)/AVERAGE(終値!AD259:AW259),""))</f>
      </c>
      <c r="AB259" s="684">
        <f>IF(終値!A259="","",IFERROR(4*STDEVP(終値!AE259:AX259)/AVERAGE(終値!AE259:AX259),""))</f>
      </c>
      <c r="AC259" s="684">
        <f>IF(終値!A259="","",IFERROR(4*STDEVP(終値!AF259:AY259)/AVERAGE(終値!AF259:AY259),""))</f>
      </c>
      <c r="AD259" s="684">
        <f>IF(終値!A259="","",IFERROR(4*STDEVP(終値!AG259:AZ259)/AVERAGE(終値!AG259:AZ259),""))</f>
      </c>
      <c r="AE259" s="684">
        <f>IF(終値!A259="","",IFERROR(4*STDEVP(終値!AH259:BA259)/AVERAGE(終値!AH259:BA259),""))</f>
      </c>
      <c r="AF259" s="684">
        <f>IF(終値!A259="","",IFERROR(4*STDEVP(終値!AI259:BB259)/AVERAGE(終値!AI259:BB259),""))</f>
      </c>
      <c r="AG259" s="684">
        <f>IF(終値!A259="","",IFERROR(4*STDEVP(終値!AJ259:BC259)/AVERAGE(終値!AJ259:BC259),""))</f>
      </c>
      <c r="AH259" s="684">
        <f>IF(終値!A259="","",IFERROR(4*STDEVP(終値!AK259:BD259)/AVERAGE(終値!AK259:BD259),""))</f>
      </c>
      <c r="AI259" s="684">
        <f>IF(終値!A259="","",IFERROR(4*STDEVP(終値!AL259:BE259)/AVERAGE(終値!AL259:BE259),""))</f>
      </c>
      <c r="AJ259" s="684">
        <f>IF(終値!A259="","",IFERROR(4*STDEVP(終値!AM259:BF259)/AVERAGE(終値!AM259:BF259),""))</f>
      </c>
      <c r="AK259" s="684">
        <f>IF(終値!A259="","",IFERROR(4*STDEVP(終値!AN259:BG259)/AVERAGE(終値!AN259:BG259),""))</f>
      </c>
      <c r="AL259" s="684">
        <f>IF(終値!A259="","",IFERROR(4*STDEVP(終値!AO259:BH259)/AVERAGE(終値!AO259:BH259),""))</f>
      </c>
      <c r="AM259" s="684">
        <f>IF(終値!A259="","",IFERROR(4*STDEVP(終値!AP259:BI259)/AVERAGE(終値!AP259:BI259),""))</f>
      </c>
      <c r="AN259" s="684">
        <f>IF(終値!A259="","",IFERROR(4*STDEVP(終値!AQ259:BJ259)/AVERAGE(終値!AQ259:BJ259),""))</f>
      </c>
      <c r="AO259" s="684">
        <f>IF(終値!A259="","",IFERROR(4*STDEVP(終値!AR259:BK259)/AVERAGE(終値!AR259:BK259),""))</f>
      </c>
      <c r="AP259" s="684">
        <f>IF(終値!A259="","",IFERROR(4*STDEVP(終値!AS259:BL259)/AVERAGE(終値!AS259:BL259),""))</f>
      </c>
    </row>
    <row r="260">
      <c r="A260" s="681">
        <f>IF(終値!A260="","",終値!A260)</f>
      </c>
      <c r="B260" s="684">
        <f>IF(終値!A260="","",IFERROR(4*STDEVP(終値!E260:X260)/AVERAGE(終値!E260:X260),""))</f>
      </c>
      <c r="C260" s="684">
        <f>IF(終値!A260="","",IFERROR(4*STDEVP(終値!F260:Y260)/AVERAGE(終値!F260:Y260),""))</f>
      </c>
      <c r="D260" s="684">
        <f>IF(終値!A260="","",IFERROR(4*STDEVP(終値!G260:Z260)/AVERAGE(終値!G260:Z260),""))</f>
      </c>
      <c r="E260" s="684">
        <f>IF(終値!A260="","",IFERROR(4*STDEVP(終値!H260:AA260)/AVERAGE(終値!H260:AA260),""))</f>
      </c>
      <c r="F260" s="684">
        <f>IF(終値!A260="","",IFERROR(4*STDEVP(終値!I260:AB260)/AVERAGE(終値!I260:AB260),""))</f>
      </c>
      <c r="G260" s="684">
        <f>IF(終値!A260="","",IFERROR(4*STDEVP(終値!J260:AC260)/AVERAGE(終値!J260:AC260),""))</f>
      </c>
      <c r="H260" s="684">
        <f>IF(終値!A260="","",IFERROR(4*STDEVP(終値!K260:AD260)/AVERAGE(終値!K260:AD260),""))</f>
      </c>
      <c r="I260" s="684">
        <f>IF(終値!A260="","",IFERROR(4*STDEVP(終値!L260:AE260)/AVERAGE(終値!L260:AE260),""))</f>
      </c>
      <c r="J260" s="684">
        <f>IF(終値!A260="","",IFERROR(4*STDEVP(終値!M260:AF260)/AVERAGE(終値!M260:AF260),""))</f>
      </c>
      <c r="K260" s="684">
        <f>IF(終値!A260="","",IFERROR(4*STDEVP(終値!N260:AG260)/AVERAGE(終値!N260:AG260),""))</f>
      </c>
      <c r="L260" s="684">
        <f>IF(終値!A260="","",IFERROR(4*STDEVP(終値!O260:AH260)/AVERAGE(終値!O260:AH260),""))</f>
      </c>
      <c r="M260" s="684">
        <f>IF(終値!A260="","",IFERROR(4*STDEVP(終値!P260:AI260)/AVERAGE(終値!P260:AI260),""))</f>
      </c>
      <c r="N260" s="684">
        <f>IF(終値!A260="","",IFERROR(4*STDEVP(終値!Q260:AJ260)/AVERAGE(終値!Q260:AJ260),""))</f>
      </c>
      <c r="O260" s="684">
        <f>IF(終値!A260="","",IFERROR(4*STDEVP(終値!R260:AK260)/AVERAGE(終値!R260:AK260),""))</f>
      </c>
      <c r="P260" s="684">
        <f>IF(終値!A260="","",IFERROR(4*STDEVP(終値!S260:AL260)/AVERAGE(終値!S260:AL260),""))</f>
      </c>
      <c r="Q260" s="684">
        <f>IF(終値!A260="","",IFERROR(4*STDEVP(終値!T260:AM260)/AVERAGE(終値!T260:AM260),""))</f>
      </c>
      <c r="R260" s="684">
        <f>IF(終値!A260="","",IFERROR(4*STDEVP(終値!U260:AN260)/AVERAGE(終値!U260:AN260),""))</f>
      </c>
      <c r="S260" s="684">
        <f>IF(終値!A260="","",IFERROR(4*STDEVP(終値!V260:AO260)/AVERAGE(終値!V260:AO260),""))</f>
      </c>
      <c r="T260" s="684">
        <f>IF(終値!A260="","",IFERROR(4*STDEVP(終値!W260:AP260)/AVERAGE(終値!W260:AP260),""))</f>
      </c>
      <c r="U260" s="684">
        <f>IF(終値!A260="","",IFERROR(4*STDEVP(終値!X260:AQ260)/AVERAGE(終値!X260:AQ260),""))</f>
      </c>
      <c r="V260" s="684">
        <f>IF(終値!A260="","",IFERROR(4*STDEVP(終値!Y260:AR260)/AVERAGE(終値!Y260:AR260),""))</f>
      </c>
      <c r="W260" s="684">
        <f>IF(終値!A260="","",IFERROR(4*STDEVP(終値!Z260:AS260)/AVERAGE(終値!Z260:AS260),""))</f>
      </c>
      <c r="X260" s="684">
        <f>IF(終値!A260="","",IFERROR(4*STDEVP(終値!AA260:AT260)/AVERAGE(終値!AA260:AT260),""))</f>
      </c>
      <c r="Y260" s="684">
        <f>IF(終値!A260="","",IFERROR(4*STDEVP(終値!AB260:AU260)/AVERAGE(終値!AB260:AU260),""))</f>
      </c>
      <c r="Z260" s="684">
        <f>IF(終値!A260="","",IFERROR(4*STDEVP(終値!AC260:AV260)/AVERAGE(終値!AC260:AV260),""))</f>
      </c>
      <c r="AA260" s="684">
        <f>IF(終値!A260="","",IFERROR(4*STDEVP(終値!AD260:AW260)/AVERAGE(終値!AD260:AW260),""))</f>
      </c>
      <c r="AB260" s="684">
        <f>IF(終値!A260="","",IFERROR(4*STDEVP(終値!AE260:AX260)/AVERAGE(終値!AE260:AX260),""))</f>
      </c>
      <c r="AC260" s="684">
        <f>IF(終値!A260="","",IFERROR(4*STDEVP(終値!AF260:AY260)/AVERAGE(終値!AF260:AY260),""))</f>
      </c>
      <c r="AD260" s="684">
        <f>IF(終値!A260="","",IFERROR(4*STDEVP(終値!AG260:AZ260)/AVERAGE(終値!AG260:AZ260),""))</f>
      </c>
      <c r="AE260" s="684">
        <f>IF(終値!A260="","",IFERROR(4*STDEVP(終値!AH260:BA260)/AVERAGE(終値!AH260:BA260),""))</f>
      </c>
      <c r="AF260" s="684">
        <f>IF(終値!A260="","",IFERROR(4*STDEVP(終値!AI260:BB260)/AVERAGE(終値!AI260:BB260),""))</f>
      </c>
      <c r="AG260" s="684">
        <f>IF(終値!A260="","",IFERROR(4*STDEVP(終値!AJ260:BC260)/AVERAGE(終値!AJ260:BC260),""))</f>
      </c>
      <c r="AH260" s="684">
        <f>IF(終値!A260="","",IFERROR(4*STDEVP(終値!AK260:BD260)/AVERAGE(終値!AK260:BD260),""))</f>
      </c>
      <c r="AI260" s="684">
        <f>IF(終値!A260="","",IFERROR(4*STDEVP(終値!AL260:BE260)/AVERAGE(終値!AL260:BE260),""))</f>
      </c>
      <c r="AJ260" s="684">
        <f>IF(終値!A260="","",IFERROR(4*STDEVP(終値!AM260:BF260)/AVERAGE(終値!AM260:BF260),""))</f>
      </c>
      <c r="AK260" s="684">
        <f>IF(終値!A260="","",IFERROR(4*STDEVP(終値!AN260:BG260)/AVERAGE(終値!AN260:BG260),""))</f>
      </c>
      <c r="AL260" s="684">
        <f>IF(終値!A260="","",IFERROR(4*STDEVP(終値!AO260:BH260)/AVERAGE(終値!AO260:BH260),""))</f>
      </c>
      <c r="AM260" s="684">
        <f>IF(終値!A260="","",IFERROR(4*STDEVP(終値!AP260:BI260)/AVERAGE(終値!AP260:BI260),""))</f>
      </c>
      <c r="AN260" s="684">
        <f>IF(終値!A260="","",IFERROR(4*STDEVP(終値!AQ260:BJ260)/AVERAGE(終値!AQ260:BJ260),""))</f>
      </c>
      <c r="AO260" s="684">
        <f>IF(終値!A260="","",IFERROR(4*STDEVP(終値!AR260:BK260)/AVERAGE(終値!AR260:BK260),""))</f>
      </c>
      <c r="AP260" s="684">
        <f>IF(終値!A260="","",IFERROR(4*STDEVP(終値!AS260:BL260)/AVERAGE(終値!AS260:BL260),""))</f>
      </c>
    </row>
    <row r="261">
      <c r="A261" s="681">
        <f>IF(終値!A261="","",終値!A261)</f>
      </c>
      <c r="B261" s="684">
        <f>IF(終値!A261="","",IFERROR(4*STDEVP(終値!E261:X261)/AVERAGE(終値!E261:X261),""))</f>
      </c>
      <c r="C261" s="684">
        <f>IF(終値!A261="","",IFERROR(4*STDEVP(終値!F261:Y261)/AVERAGE(終値!F261:Y261),""))</f>
      </c>
      <c r="D261" s="684">
        <f>IF(終値!A261="","",IFERROR(4*STDEVP(終値!G261:Z261)/AVERAGE(終値!G261:Z261),""))</f>
      </c>
      <c r="E261" s="684">
        <f>IF(終値!A261="","",IFERROR(4*STDEVP(終値!H261:AA261)/AVERAGE(終値!H261:AA261),""))</f>
      </c>
      <c r="F261" s="684">
        <f>IF(終値!A261="","",IFERROR(4*STDEVP(終値!I261:AB261)/AVERAGE(終値!I261:AB261),""))</f>
      </c>
      <c r="G261" s="684">
        <f>IF(終値!A261="","",IFERROR(4*STDEVP(終値!J261:AC261)/AVERAGE(終値!J261:AC261),""))</f>
      </c>
      <c r="H261" s="684">
        <f>IF(終値!A261="","",IFERROR(4*STDEVP(終値!K261:AD261)/AVERAGE(終値!K261:AD261),""))</f>
      </c>
      <c r="I261" s="684">
        <f>IF(終値!A261="","",IFERROR(4*STDEVP(終値!L261:AE261)/AVERAGE(終値!L261:AE261),""))</f>
      </c>
      <c r="J261" s="684">
        <f>IF(終値!A261="","",IFERROR(4*STDEVP(終値!M261:AF261)/AVERAGE(終値!M261:AF261),""))</f>
      </c>
      <c r="K261" s="684">
        <f>IF(終値!A261="","",IFERROR(4*STDEVP(終値!N261:AG261)/AVERAGE(終値!N261:AG261),""))</f>
      </c>
      <c r="L261" s="684">
        <f>IF(終値!A261="","",IFERROR(4*STDEVP(終値!O261:AH261)/AVERAGE(終値!O261:AH261),""))</f>
      </c>
      <c r="M261" s="684">
        <f>IF(終値!A261="","",IFERROR(4*STDEVP(終値!P261:AI261)/AVERAGE(終値!P261:AI261),""))</f>
      </c>
      <c r="N261" s="684">
        <f>IF(終値!A261="","",IFERROR(4*STDEVP(終値!Q261:AJ261)/AVERAGE(終値!Q261:AJ261),""))</f>
      </c>
      <c r="O261" s="684">
        <f>IF(終値!A261="","",IFERROR(4*STDEVP(終値!R261:AK261)/AVERAGE(終値!R261:AK261),""))</f>
      </c>
      <c r="P261" s="684">
        <f>IF(終値!A261="","",IFERROR(4*STDEVP(終値!S261:AL261)/AVERAGE(終値!S261:AL261),""))</f>
      </c>
      <c r="Q261" s="684">
        <f>IF(終値!A261="","",IFERROR(4*STDEVP(終値!T261:AM261)/AVERAGE(終値!T261:AM261),""))</f>
      </c>
      <c r="R261" s="684">
        <f>IF(終値!A261="","",IFERROR(4*STDEVP(終値!U261:AN261)/AVERAGE(終値!U261:AN261),""))</f>
      </c>
      <c r="S261" s="684">
        <f>IF(終値!A261="","",IFERROR(4*STDEVP(終値!V261:AO261)/AVERAGE(終値!V261:AO261),""))</f>
      </c>
      <c r="T261" s="684">
        <f>IF(終値!A261="","",IFERROR(4*STDEVP(終値!W261:AP261)/AVERAGE(終値!W261:AP261),""))</f>
      </c>
      <c r="U261" s="684">
        <f>IF(終値!A261="","",IFERROR(4*STDEVP(終値!X261:AQ261)/AVERAGE(終値!X261:AQ261),""))</f>
      </c>
      <c r="V261" s="684">
        <f>IF(終値!A261="","",IFERROR(4*STDEVP(終値!Y261:AR261)/AVERAGE(終値!Y261:AR261),""))</f>
      </c>
      <c r="W261" s="684">
        <f>IF(終値!A261="","",IFERROR(4*STDEVP(終値!Z261:AS261)/AVERAGE(終値!Z261:AS261),""))</f>
      </c>
      <c r="X261" s="684">
        <f>IF(終値!A261="","",IFERROR(4*STDEVP(終値!AA261:AT261)/AVERAGE(終値!AA261:AT261),""))</f>
      </c>
      <c r="Y261" s="684">
        <f>IF(終値!A261="","",IFERROR(4*STDEVP(終値!AB261:AU261)/AVERAGE(終値!AB261:AU261),""))</f>
      </c>
      <c r="Z261" s="684">
        <f>IF(終値!A261="","",IFERROR(4*STDEVP(終値!AC261:AV261)/AVERAGE(終値!AC261:AV261),""))</f>
      </c>
      <c r="AA261" s="684">
        <f>IF(終値!A261="","",IFERROR(4*STDEVP(終値!AD261:AW261)/AVERAGE(終値!AD261:AW261),""))</f>
      </c>
      <c r="AB261" s="684">
        <f>IF(終値!A261="","",IFERROR(4*STDEVP(終値!AE261:AX261)/AVERAGE(終値!AE261:AX261),""))</f>
      </c>
      <c r="AC261" s="684">
        <f>IF(終値!A261="","",IFERROR(4*STDEVP(終値!AF261:AY261)/AVERAGE(終値!AF261:AY261),""))</f>
      </c>
      <c r="AD261" s="684">
        <f>IF(終値!A261="","",IFERROR(4*STDEVP(終値!AG261:AZ261)/AVERAGE(終値!AG261:AZ261),""))</f>
      </c>
      <c r="AE261" s="684">
        <f>IF(終値!A261="","",IFERROR(4*STDEVP(終値!AH261:BA261)/AVERAGE(終値!AH261:BA261),""))</f>
      </c>
      <c r="AF261" s="684">
        <f>IF(終値!A261="","",IFERROR(4*STDEVP(終値!AI261:BB261)/AVERAGE(終値!AI261:BB261),""))</f>
      </c>
      <c r="AG261" s="684">
        <f>IF(終値!A261="","",IFERROR(4*STDEVP(終値!AJ261:BC261)/AVERAGE(終値!AJ261:BC261),""))</f>
      </c>
      <c r="AH261" s="684">
        <f>IF(終値!A261="","",IFERROR(4*STDEVP(終値!AK261:BD261)/AVERAGE(終値!AK261:BD261),""))</f>
      </c>
      <c r="AI261" s="684">
        <f>IF(終値!A261="","",IFERROR(4*STDEVP(終値!AL261:BE261)/AVERAGE(終値!AL261:BE261),""))</f>
      </c>
      <c r="AJ261" s="684">
        <f>IF(終値!A261="","",IFERROR(4*STDEVP(終値!AM261:BF261)/AVERAGE(終値!AM261:BF261),""))</f>
      </c>
      <c r="AK261" s="684">
        <f>IF(終値!A261="","",IFERROR(4*STDEVP(終値!AN261:BG261)/AVERAGE(終値!AN261:BG261),""))</f>
      </c>
      <c r="AL261" s="684">
        <f>IF(終値!A261="","",IFERROR(4*STDEVP(終値!AO261:BH261)/AVERAGE(終値!AO261:BH261),""))</f>
      </c>
      <c r="AM261" s="684">
        <f>IF(終値!A261="","",IFERROR(4*STDEVP(終値!AP261:BI261)/AVERAGE(終値!AP261:BI261),""))</f>
      </c>
      <c r="AN261" s="684">
        <f>IF(終値!A261="","",IFERROR(4*STDEVP(終値!AQ261:BJ261)/AVERAGE(終値!AQ261:BJ261),""))</f>
      </c>
      <c r="AO261" s="684">
        <f>IF(終値!A261="","",IFERROR(4*STDEVP(終値!AR261:BK261)/AVERAGE(終値!AR261:BK261),""))</f>
      </c>
      <c r="AP261" s="684">
        <f>IF(終値!A261="","",IFERROR(4*STDEVP(終値!AS261:BL261)/AVERAGE(終値!AS261:BL261),""))</f>
      </c>
    </row>
    <row r="262">
      <c r="A262" s="681">
        <f>IF(終値!A262="","",終値!A262)</f>
      </c>
      <c r="B262" s="684">
        <f>IF(終値!A262="","",IFERROR(4*STDEVP(終値!E262:X262)/AVERAGE(終値!E262:X262),""))</f>
      </c>
      <c r="C262" s="684">
        <f>IF(終値!A262="","",IFERROR(4*STDEVP(終値!F262:Y262)/AVERAGE(終値!F262:Y262),""))</f>
      </c>
      <c r="D262" s="684">
        <f>IF(終値!A262="","",IFERROR(4*STDEVP(終値!G262:Z262)/AVERAGE(終値!G262:Z262),""))</f>
      </c>
      <c r="E262" s="684">
        <f>IF(終値!A262="","",IFERROR(4*STDEVP(終値!H262:AA262)/AVERAGE(終値!H262:AA262),""))</f>
      </c>
      <c r="F262" s="684">
        <f>IF(終値!A262="","",IFERROR(4*STDEVP(終値!I262:AB262)/AVERAGE(終値!I262:AB262),""))</f>
      </c>
      <c r="G262" s="684">
        <f>IF(終値!A262="","",IFERROR(4*STDEVP(終値!J262:AC262)/AVERAGE(終値!J262:AC262),""))</f>
      </c>
      <c r="H262" s="684">
        <f>IF(終値!A262="","",IFERROR(4*STDEVP(終値!K262:AD262)/AVERAGE(終値!K262:AD262),""))</f>
      </c>
      <c r="I262" s="684">
        <f>IF(終値!A262="","",IFERROR(4*STDEVP(終値!L262:AE262)/AVERAGE(終値!L262:AE262),""))</f>
      </c>
      <c r="J262" s="684">
        <f>IF(終値!A262="","",IFERROR(4*STDEVP(終値!M262:AF262)/AVERAGE(終値!M262:AF262),""))</f>
      </c>
      <c r="K262" s="684">
        <f>IF(終値!A262="","",IFERROR(4*STDEVP(終値!N262:AG262)/AVERAGE(終値!N262:AG262),""))</f>
      </c>
      <c r="L262" s="684">
        <f>IF(終値!A262="","",IFERROR(4*STDEVP(終値!O262:AH262)/AVERAGE(終値!O262:AH262),""))</f>
      </c>
      <c r="M262" s="684">
        <f>IF(終値!A262="","",IFERROR(4*STDEVP(終値!P262:AI262)/AVERAGE(終値!P262:AI262),""))</f>
      </c>
      <c r="N262" s="684">
        <f>IF(終値!A262="","",IFERROR(4*STDEVP(終値!Q262:AJ262)/AVERAGE(終値!Q262:AJ262),""))</f>
      </c>
      <c r="O262" s="684">
        <f>IF(終値!A262="","",IFERROR(4*STDEVP(終値!R262:AK262)/AVERAGE(終値!R262:AK262),""))</f>
      </c>
      <c r="P262" s="684">
        <f>IF(終値!A262="","",IFERROR(4*STDEVP(終値!S262:AL262)/AVERAGE(終値!S262:AL262),""))</f>
      </c>
      <c r="Q262" s="684">
        <f>IF(終値!A262="","",IFERROR(4*STDEVP(終値!T262:AM262)/AVERAGE(終値!T262:AM262),""))</f>
      </c>
      <c r="R262" s="684">
        <f>IF(終値!A262="","",IFERROR(4*STDEVP(終値!U262:AN262)/AVERAGE(終値!U262:AN262),""))</f>
      </c>
      <c r="S262" s="684">
        <f>IF(終値!A262="","",IFERROR(4*STDEVP(終値!V262:AO262)/AVERAGE(終値!V262:AO262),""))</f>
      </c>
      <c r="T262" s="684">
        <f>IF(終値!A262="","",IFERROR(4*STDEVP(終値!W262:AP262)/AVERAGE(終値!W262:AP262),""))</f>
      </c>
      <c r="U262" s="684">
        <f>IF(終値!A262="","",IFERROR(4*STDEVP(終値!X262:AQ262)/AVERAGE(終値!X262:AQ262),""))</f>
      </c>
      <c r="V262" s="684">
        <f>IF(終値!A262="","",IFERROR(4*STDEVP(終値!Y262:AR262)/AVERAGE(終値!Y262:AR262),""))</f>
      </c>
      <c r="W262" s="684">
        <f>IF(終値!A262="","",IFERROR(4*STDEVP(終値!Z262:AS262)/AVERAGE(終値!Z262:AS262),""))</f>
      </c>
      <c r="X262" s="684">
        <f>IF(終値!A262="","",IFERROR(4*STDEVP(終値!AA262:AT262)/AVERAGE(終値!AA262:AT262),""))</f>
      </c>
      <c r="Y262" s="684">
        <f>IF(終値!A262="","",IFERROR(4*STDEVP(終値!AB262:AU262)/AVERAGE(終値!AB262:AU262),""))</f>
      </c>
      <c r="Z262" s="684">
        <f>IF(終値!A262="","",IFERROR(4*STDEVP(終値!AC262:AV262)/AVERAGE(終値!AC262:AV262),""))</f>
      </c>
      <c r="AA262" s="684">
        <f>IF(終値!A262="","",IFERROR(4*STDEVP(終値!AD262:AW262)/AVERAGE(終値!AD262:AW262),""))</f>
      </c>
      <c r="AB262" s="684">
        <f>IF(終値!A262="","",IFERROR(4*STDEVP(終値!AE262:AX262)/AVERAGE(終値!AE262:AX262),""))</f>
      </c>
      <c r="AC262" s="684">
        <f>IF(終値!A262="","",IFERROR(4*STDEVP(終値!AF262:AY262)/AVERAGE(終値!AF262:AY262),""))</f>
      </c>
      <c r="AD262" s="684">
        <f>IF(終値!A262="","",IFERROR(4*STDEVP(終値!AG262:AZ262)/AVERAGE(終値!AG262:AZ262),""))</f>
      </c>
      <c r="AE262" s="684">
        <f>IF(終値!A262="","",IFERROR(4*STDEVP(終値!AH262:BA262)/AVERAGE(終値!AH262:BA262),""))</f>
      </c>
      <c r="AF262" s="684">
        <f>IF(終値!A262="","",IFERROR(4*STDEVP(終値!AI262:BB262)/AVERAGE(終値!AI262:BB262),""))</f>
      </c>
      <c r="AG262" s="684">
        <f>IF(終値!A262="","",IFERROR(4*STDEVP(終値!AJ262:BC262)/AVERAGE(終値!AJ262:BC262),""))</f>
      </c>
      <c r="AH262" s="684">
        <f>IF(終値!A262="","",IFERROR(4*STDEVP(終値!AK262:BD262)/AVERAGE(終値!AK262:BD262),""))</f>
      </c>
      <c r="AI262" s="684">
        <f>IF(終値!A262="","",IFERROR(4*STDEVP(終値!AL262:BE262)/AVERAGE(終値!AL262:BE262),""))</f>
      </c>
      <c r="AJ262" s="684">
        <f>IF(終値!A262="","",IFERROR(4*STDEVP(終値!AM262:BF262)/AVERAGE(終値!AM262:BF262),""))</f>
      </c>
      <c r="AK262" s="684">
        <f>IF(終値!A262="","",IFERROR(4*STDEVP(終値!AN262:BG262)/AVERAGE(終値!AN262:BG262),""))</f>
      </c>
      <c r="AL262" s="684">
        <f>IF(終値!A262="","",IFERROR(4*STDEVP(終値!AO262:BH262)/AVERAGE(終値!AO262:BH262),""))</f>
      </c>
      <c r="AM262" s="684">
        <f>IF(終値!A262="","",IFERROR(4*STDEVP(終値!AP262:BI262)/AVERAGE(終値!AP262:BI262),""))</f>
      </c>
      <c r="AN262" s="684">
        <f>IF(終値!A262="","",IFERROR(4*STDEVP(終値!AQ262:BJ262)/AVERAGE(終値!AQ262:BJ262),""))</f>
      </c>
      <c r="AO262" s="684">
        <f>IF(終値!A262="","",IFERROR(4*STDEVP(終値!AR262:BK262)/AVERAGE(終値!AR262:BK262),""))</f>
      </c>
      <c r="AP262" s="684">
        <f>IF(終値!A262="","",IFERROR(4*STDEVP(終値!AS262:BL262)/AVERAGE(終値!AS262:BL262),""))</f>
      </c>
    </row>
    <row r="263">
      <c r="A263" s="681">
        <f>IF(終値!A263="","",終値!A263)</f>
      </c>
      <c r="B263" s="684">
        <f>IF(終値!A263="","",IFERROR(4*STDEVP(終値!E263:X263)/AVERAGE(終値!E263:X263),""))</f>
      </c>
      <c r="C263" s="684">
        <f>IF(終値!A263="","",IFERROR(4*STDEVP(終値!F263:Y263)/AVERAGE(終値!F263:Y263),""))</f>
      </c>
      <c r="D263" s="684">
        <f>IF(終値!A263="","",IFERROR(4*STDEVP(終値!G263:Z263)/AVERAGE(終値!G263:Z263),""))</f>
      </c>
      <c r="E263" s="684">
        <f>IF(終値!A263="","",IFERROR(4*STDEVP(終値!H263:AA263)/AVERAGE(終値!H263:AA263),""))</f>
      </c>
      <c r="F263" s="684">
        <f>IF(終値!A263="","",IFERROR(4*STDEVP(終値!I263:AB263)/AVERAGE(終値!I263:AB263),""))</f>
      </c>
      <c r="G263" s="684">
        <f>IF(終値!A263="","",IFERROR(4*STDEVP(終値!J263:AC263)/AVERAGE(終値!J263:AC263),""))</f>
      </c>
      <c r="H263" s="684">
        <f>IF(終値!A263="","",IFERROR(4*STDEVP(終値!K263:AD263)/AVERAGE(終値!K263:AD263),""))</f>
      </c>
      <c r="I263" s="684">
        <f>IF(終値!A263="","",IFERROR(4*STDEVP(終値!L263:AE263)/AVERAGE(終値!L263:AE263),""))</f>
      </c>
      <c r="J263" s="684">
        <f>IF(終値!A263="","",IFERROR(4*STDEVP(終値!M263:AF263)/AVERAGE(終値!M263:AF263),""))</f>
      </c>
      <c r="K263" s="684">
        <f>IF(終値!A263="","",IFERROR(4*STDEVP(終値!N263:AG263)/AVERAGE(終値!N263:AG263),""))</f>
      </c>
      <c r="L263" s="684">
        <f>IF(終値!A263="","",IFERROR(4*STDEVP(終値!O263:AH263)/AVERAGE(終値!O263:AH263),""))</f>
      </c>
      <c r="M263" s="684">
        <f>IF(終値!A263="","",IFERROR(4*STDEVP(終値!P263:AI263)/AVERAGE(終値!P263:AI263),""))</f>
      </c>
      <c r="N263" s="684">
        <f>IF(終値!A263="","",IFERROR(4*STDEVP(終値!Q263:AJ263)/AVERAGE(終値!Q263:AJ263),""))</f>
      </c>
      <c r="O263" s="684">
        <f>IF(終値!A263="","",IFERROR(4*STDEVP(終値!R263:AK263)/AVERAGE(終値!R263:AK263),""))</f>
      </c>
      <c r="P263" s="684">
        <f>IF(終値!A263="","",IFERROR(4*STDEVP(終値!S263:AL263)/AVERAGE(終値!S263:AL263),""))</f>
      </c>
      <c r="Q263" s="684">
        <f>IF(終値!A263="","",IFERROR(4*STDEVP(終値!T263:AM263)/AVERAGE(終値!T263:AM263),""))</f>
      </c>
      <c r="R263" s="684">
        <f>IF(終値!A263="","",IFERROR(4*STDEVP(終値!U263:AN263)/AVERAGE(終値!U263:AN263),""))</f>
      </c>
      <c r="S263" s="684">
        <f>IF(終値!A263="","",IFERROR(4*STDEVP(終値!V263:AO263)/AVERAGE(終値!V263:AO263),""))</f>
      </c>
      <c r="T263" s="684">
        <f>IF(終値!A263="","",IFERROR(4*STDEVP(終値!W263:AP263)/AVERAGE(終値!W263:AP263),""))</f>
      </c>
      <c r="U263" s="684">
        <f>IF(終値!A263="","",IFERROR(4*STDEVP(終値!X263:AQ263)/AVERAGE(終値!X263:AQ263),""))</f>
      </c>
      <c r="V263" s="684">
        <f>IF(終値!A263="","",IFERROR(4*STDEVP(終値!Y263:AR263)/AVERAGE(終値!Y263:AR263),""))</f>
      </c>
      <c r="W263" s="684">
        <f>IF(終値!A263="","",IFERROR(4*STDEVP(終値!Z263:AS263)/AVERAGE(終値!Z263:AS263),""))</f>
      </c>
      <c r="X263" s="684">
        <f>IF(終値!A263="","",IFERROR(4*STDEVP(終値!AA263:AT263)/AVERAGE(終値!AA263:AT263),""))</f>
      </c>
      <c r="Y263" s="684">
        <f>IF(終値!A263="","",IFERROR(4*STDEVP(終値!AB263:AU263)/AVERAGE(終値!AB263:AU263),""))</f>
      </c>
      <c r="Z263" s="684">
        <f>IF(終値!A263="","",IFERROR(4*STDEVP(終値!AC263:AV263)/AVERAGE(終値!AC263:AV263),""))</f>
      </c>
      <c r="AA263" s="684">
        <f>IF(終値!A263="","",IFERROR(4*STDEVP(終値!AD263:AW263)/AVERAGE(終値!AD263:AW263),""))</f>
      </c>
      <c r="AB263" s="684">
        <f>IF(終値!A263="","",IFERROR(4*STDEVP(終値!AE263:AX263)/AVERAGE(終値!AE263:AX263),""))</f>
      </c>
      <c r="AC263" s="684">
        <f>IF(終値!A263="","",IFERROR(4*STDEVP(終値!AF263:AY263)/AVERAGE(終値!AF263:AY263),""))</f>
      </c>
      <c r="AD263" s="684">
        <f>IF(終値!A263="","",IFERROR(4*STDEVP(終値!AG263:AZ263)/AVERAGE(終値!AG263:AZ263),""))</f>
      </c>
      <c r="AE263" s="684">
        <f>IF(終値!A263="","",IFERROR(4*STDEVP(終値!AH263:BA263)/AVERAGE(終値!AH263:BA263),""))</f>
      </c>
      <c r="AF263" s="684">
        <f>IF(終値!A263="","",IFERROR(4*STDEVP(終値!AI263:BB263)/AVERAGE(終値!AI263:BB263),""))</f>
      </c>
      <c r="AG263" s="684">
        <f>IF(終値!A263="","",IFERROR(4*STDEVP(終値!AJ263:BC263)/AVERAGE(終値!AJ263:BC263),""))</f>
      </c>
      <c r="AH263" s="684">
        <f>IF(終値!A263="","",IFERROR(4*STDEVP(終値!AK263:BD263)/AVERAGE(終値!AK263:BD263),""))</f>
      </c>
      <c r="AI263" s="684">
        <f>IF(終値!A263="","",IFERROR(4*STDEVP(終値!AL263:BE263)/AVERAGE(終値!AL263:BE263),""))</f>
      </c>
      <c r="AJ263" s="684">
        <f>IF(終値!A263="","",IFERROR(4*STDEVP(終値!AM263:BF263)/AVERAGE(終値!AM263:BF263),""))</f>
      </c>
      <c r="AK263" s="684">
        <f>IF(終値!A263="","",IFERROR(4*STDEVP(終値!AN263:BG263)/AVERAGE(終値!AN263:BG263),""))</f>
      </c>
      <c r="AL263" s="684">
        <f>IF(終値!A263="","",IFERROR(4*STDEVP(終値!AO263:BH263)/AVERAGE(終値!AO263:BH263),""))</f>
      </c>
      <c r="AM263" s="684">
        <f>IF(終値!A263="","",IFERROR(4*STDEVP(終値!AP263:BI263)/AVERAGE(終値!AP263:BI263),""))</f>
      </c>
      <c r="AN263" s="684">
        <f>IF(終値!A263="","",IFERROR(4*STDEVP(終値!AQ263:BJ263)/AVERAGE(終値!AQ263:BJ263),""))</f>
      </c>
      <c r="AO263" s="684">
        <f>IF(終値!A263="","",IFERROR(4*STDEVP(終値!AR263:BK263)/AVERAGE(終値!AR263:BK263),""))</f>
      </c>
      <c r="AP263" s="684">
        <f>IF(終値!A263="","",IFERROR(4*STDEVP(終値!AS263:BL263)/AVERAGE(終値!AS263:BL263),""))</f>
      </c>
    </row>
    <row r="264">
      <c r="A264" s="681">
        <f>IF(終値!A264="","",終値!A264)</f>
      </c>
      <c r="B264" s="684">
        <f>IF(終値!A264="","",IFERROR(4*STDEVP(終値!E264:X264)/AVERAGE(終値!E264:X264),""))</f>
      </c>
      <c r="C264" s="684">
        <f>IF(終値!A264="","",IFERROR(4*STDEVP(終値!F264:Y264)/AVERAGE(終値!F264:Y264),""))</f>
      </c>
      <c r="D264" s="684">
        <f>IF(終値!A264="","",IFERROR(4*STDEVP(終値!G264:Z264)/AVERAGE(終値!G264:Z264),""))</f>
      </c>
      <c r="E264" s="684">
        <f>IF(終値!A264="","",IFERROR(4*STDEVP(終値!H264:AA264)/AVERAGE(終値!H264:AA264),""))</f>
      </c>
      <c r="F264" s="684">
        <f>IF(終値!A264="","",IFERROR(4*STDEVP(終値!I264:AB264)/AVERAGE(終値!I264:AB264),""))</f>
      </c>
      <c r="G264" s="684">
        <f>IF(終値!A264="","",IFERROR(4*STDEVP(終値!J264:AC264)/AVERAGE(終値!J264:AC264),""))</f>
      </c>
      <c r="H264" s="684">
        <f>IF(終値!A264="","",IFERROR(4*STDEVP(終値!K264:AD264)/AVERAGE(終値!K264:AD264),""))</f>
      </c>
      <c r="I264" s="684">
        <f>IF(終値!A264="","",IFERROR(4*STDEVP(終値!L264:AE264)/AVERAGE(終値!L264:AE264),""))</f>
      </c>
      <c r="J264" s="684">
        <f>IF(終値!A264="","",IFERROR(4*STDEVP(終値!M264:AF264)/AVERAGE(終値!M264:AF264),""))</f>
      </c>
      <c r="K264" s="684">
        <f>IF(終値!A264="","",IFERROR(4*STDEVP(終値!N264:AG264)/AVERAGE(終値!N264:AG264),""))</f>
      </c>
      <c r="L264" s="684">
        <f>IF(終値!A264="","",IFERROR(4*STDEVP(終値!O264:AH264)/AVERAGE(終値!O264:AH264),""))</f>
      </c>
      <c r="M264" s="684">
        <f>IF(終値!A264="","",IFERROR(4*STDEVP(終値!P264:AI264)/AVERAGE(終値!P264:AI264),""))</f>
      </c>
      <c r="N264" s="684">
        <f>IF(終値!A264="","",IFERROR(4*STDEVP(終値!Q264:AJ264)/AVERAGE(終値!Q264:AJ264),""))</f>
      </c>
      <c r="O264" s="684">
        <f>IF(終値!A264="","",IFERROR(4*STDEVP(終値!R264:AK264)/AVERAGE(終値!R264:AK264),""))</f>
      </c>
      <c r="P264" s="684">
        <f>IF(終値!A264="","",IFERROR(4*STDEVP(終値!S264:AL264)/AVERAGE(終値!S264:AL264),""))</f>
      </c>
      <c r="Q264" s="684">
        <f>IF(終値!A264="","",IFERROR(4*STDEVP(終値!T264:AM264)/AVERAGE(終値!T264:AM264),""))</f>
      </c>
      <c r="R264" s="684">
        <f>IF(終値!A264="","",IFERROR(4*STDEVP(終値!U264:AN264)/AVERAGE(終値!U264:AN264),""))</f>
      </c>
      <c r="S264" s="684">
        <f>IF(終値!A264="","",IFERROR(4*STDEVP(終値!V264:AO264)/AVERAGE(終値!V264:AO264),""))</f>
      </c>
      <c r="T264" s="684">
        <f>IF(終値!A264="","",IFERROR(4*STDEVP(終値!W264:AP264)/AVERAGE(終値!W264:AP264),""))</f>
      </c>
      <c r="U264" s="684">
        <f>IF(終値!A264="","",IFERROR(4*STDEVP(終値!X264:AQ264)/AVERAGE(終値!X264:AQ264),""))</f>
      </c>
      <c r="V264" s="684">
        <f>IF(終値!A264="","",IFERROR(4*STDEVP(終値!Y264:AR264)/AVERAGE(終値!Y264:AR264),""))</f>
      </c>
      <c r="W264" s="684">
        <f>IF(終値!A264="","",IFERROR(4*STDEVP(終値!Z264:AS264)/AVERAGE(終値!Z264:AS264),""))</f>
      </c>
      <c r="X264" s="684">
        <f>IF(終値!A264="","",IFERROR(4*STDEVP(終値!AA264:AT264)/AVERAGE(終値!AA264:AT264),""))</f>
      </c>
      <c r="Y264" s="684">
        <f>IF(終値!A264="","",IFERROR(4*STDEVP(終値!AB264:AU264)/AVERAGE(終値!AB264:AU264),""))</f>
      </c>
      <c r="Z264" s="684">
        <f>IF(終値!A264="","",IFERROR(4*STDEVP(終値!AC264:AV264)/AVERAGE(終値!AC264:AV264),""))</f>
      </c>
      <c r="AA264" s="684">
        <f>IF(終値!A264="","",IFERROR(4*STDEVP(終値!AD264:AW264)/AVERAGE(終値!AD264:AW264),""))</f>
      </c>
      <c r="AB264" s="684">
        <f>IF(終値!A264="","",IFERROR(4*STDEVP(終値!AE264:AX264)/AVERAGE(終値!AE264:AX264),""))</f>
      </c>
      <c r="AC264" s="684">
        <f>IF(終値!A264="","",IFERROR(4*STDEVP(終値!AF264:AY264)/AVERAGE(終値!AF264:AY264),""))</f>
      </c>
      <c r="AD264" s="684">
        <f>IF(終値!A264="","",IFERROR(4*STDEVP(終値!AG264:AZ264)/AVERAGE(終値!AG264:AZ264),""))</f>
      </c>
      <c r="AE264" s="684">
        <f>IF(終値!A264="","",IFERROR(4*STDEVP(終値!AH264:BA264)/AVERAGE(終値!AH264:BA264),""))</f>
      </c>
      <c r="AF264" s="684">
        <f>IF(終値!A264="","",IFERROR(4*STDEVP(終値!AI264:BB264)/AVERAGE(終値!AI264:BB264),""))</f>
      </c>
      <c r="AG264" s="684">
        <f>IF(終値!A264="","",IFERROR(4*STDEVP(終値!AJ264:BC264)/AVERAGE(終値!AJ264:BC264),""))</f>
      </c>
      <c r="AH264" s="684">
        <f>IF(終値!A264="","",IFERROR(4*STDEVP(終値!AK264:BD264)/AVERAGE(終値!AK264:BD264),""))</f>
      </c>
      <c r="AI264" s="684">
        <f>IF(終値!A264="","",IFERROR(4*STDEVP(終値!AL264:BE264)/AVERAGE(終値!AL264:BE264),""))</f>
      </c>
      <c r="AJ264" s="684">
        <f>IF(終値!A264="","",IFERROR(4*STDEVP(終値!AM264:BF264)/AVERAGE(終値!AM264:BF264),""))</f>
      </c>
      <c r="AK264" s="684">
        <f>IF(終値!A264="","",IFERROR(4*STDEVP(終値!AN264:BG264)/AVERAGE(終値!AN264:BG264),""))</f>
      </c>
      <c r="AL264" s="684">
        <f>IF(終値!A264="","",IFERROR(4*STDEVP(終値!AO264:BH264)/AVERAGE(終値!AO264:BH264),""))</f>
      </c>
      <c r="AM264" s="684">
        <f>IF(終値!A264="","",IFERROR(4*STDEVP(終値!AP264:BI264)/AVERAGE(終値!AP264:BI264),""))</f>
      </c>
      <c r="AN264" s="684">
        <f>IF(終値!A264="","",IFERROR(4*STDEVP(終値!AQ264:BJ264)/AVERAGE(終値!AQ264:BJ264),""))</f>
      </c>
      <c r="AO264" s="684">
        <f>IF(終値!A264="","",IFERROR(4*STDEVP(終値!AR264:BK264)/AVERAGE(終値!AR264:BK264),""))</f>
      </c>
      <c r="AP264" s="684">
        <f>IF(終値!A264="","",IFERROR(4*STDEVP(終値!AS264:BL264)/AVERAGE(終値!AS264:BL264),""))</f>
      </c>
    </row>
    <row r="265">
      <c r="A265" s="681">
        <f>IF(終値!A265="","",終値!A265)</f>
      </c>
      <c r="B265" s="684">
        <f>IF(終値!A265="","",IFERROR(4*STDEVP(終値!E265:X265)/AVERAGE(終値!E265:X265),""))</f>
      </c>
      <c r="C265" s="684">
        <f>IF(終値!A265="","",IFERROR(4*STDEVP(終値!F265:Y265)/AVERAGE(終値!F265:Y265),""))</f>
      </c>
      <c r="D265" s="684">
        <f>IF(終値!A265="","",IFERROR(4*STDEVP(終値!G265:Z265)/AVERAGE(終値!G265:Z265),""))</f>
      </c>
      <c r="E265" s="684">
        <f>IF(終値!A265="","",IFERROR(4*STDEVP(終値!H265:AA265)/AVERAGE(終値!H265:AA265),""))</f>
      </c>
      <c r="F265" s="684">
        <f>IF(終値!A265="","",IFERROR(4*STDEVP(終値!I265:AB265)/AVERAGE(終値!I265:AB265),""))</f>
      </c>
      <c r="G265" s="684">
        <f>IF(終値!A265="","",IFERROR(4*STDEVP(終値!J265:AC265)/AVERAGE(終値!J265:AC265),""))</f>
      </c>
      <c r="H265" s="684">
        <f>IF(終値!A265="","",IFERROR(4*STDEVP(終値!K265:AD265)/AVERAGE(終値!K265:AD265),""))</f>
      </c>
      <c r="I265" s="684">
        <f>IF(終値!A265="","",IFERROR(4*STDEVP(終値!L265:AE265)/AVERAGE(終値!L265:AE265),""))</f>
      </c>
      <c r="J265" s="684">
        <f>IF(終値!A265="","",IFERROR(4*STDEVP(終値!M265:AF265)/AVERAGE(終値!M265:AF265),""))</f>
      </c>
      <c r="K265" s="684">
        <f>IF(終値!A265="","",IFERROR(4*STDEVP(終値!N265:AG265)/AVERAGE(終値!N265:AG265),""))</f>
      </c>
      <c r="L265" s="684">
        <f>IF(終値!A265="","",IFERROR(4*STDEVP(終値!O265:AH265)/AVERAGE(終値!O265:AH265),""))</f>
      </c>
      <c r="M265" s="684">
        <f>IF(終値!A265="","",IFERROR(4*STDEVP(終値!P265:AI265)/AVERAGE(終値!P265:AI265),""))</f>
      </c>
      <c r="N265" s="684">
        <f>IF(終値!A265="","",IFERROR(4*STDEVP(終値!Q265:AJ265)/AVERAGE(終値!Q265:AJ265),""))</f>
      </c>
      <c r="O265" s="684">
        <f>IF(終値!A265="","",IFERROR(4*STDEVP(終値!R265:AK265)/AVERAGE(終値!R265:AK265),""))</f>
      </c>
      <c r="P265" s="684">
        <f>IF(終値!A265="","",IFERROR(4*STDEVP(終値!S265:AL265)/AVERAGE(終値!S265:AL265),""))</f>
      </c>
      <c r="Q265" s="684">
        <f>IF(終値!A265="","",IFERROR(4*STDEVP(終値!T265:AM265)/AVERAGE(終値!T265:AM265),""))</f>
      </c>
      <c r="R265" s="684">
        <f>IF(終値!A265="","",IFERROR(4*STDEVP(終値!U265:AN265)/AVERAGE(終値!U265:AN265),""))</f>
      </c>
      <c r="S265" s="684">
        <f>IF(終値!A265="","",IFERROR(4*STDEVP(終値!V265:AO265)/AVERAGE(終値!V265:AO265),""))</f>
      </c>
      <c r="T265" s="684">
        <f>IF(終値!A265="","",IFERROR(4*STDEVP(終値!W265:AP265)/AVERAGE(終値!W265:AP265),""))</f>
      </c>
      <c r="U265" s="684">
        <f>IF(終値!A265="","",IFERROR(4*STDEVP(終値!X265:AQ265)/AVERAGE(終値!X265:AQ265),""))</f>
      </c>
      <c r="V265" s="684">
        <f>IF(終値!A265="","",IFERROR(4*STDEVP(終値!Y265:AR265)/AVERAGE(終値!Y265:AR265),""))</f>
      </c>
      <c r="W265" s="684">
        <f>IF(終値!A265="","",IFERROR(4*STDEVP(終値!Z265:AS265)/AVERAGE(終値!Z265:AS265),""))</f>
      </c>
      <c r="X265" s="684">
        <f>IF(終値!A265="","",IFERROR(4*STDEVP(終値!AA265:AT265)/AVERAGE(終値!AA265:AT265),""))</f>
      </c>
      <c r="Y265" s="684">
        <f>IF(終値!A265="","",IFERROR(4*STDEVP(終値!AB265:AU265)/AVERAGE(終値!AB265:AU265),""))</f>
      </c>
      <c r="Z265" s="684">
        <f>IF(終値!A265="","",IFERROR(4*STDEVP(終値!AC265:AV265)/AVERAGE(終値!AC265:AV265),""))</f>
      </c>
      <c r="AA265" s="684">
        <f>IF(終値!A265="","",IFERROR(4*STDEVP(終値!AD265:AW265)/AVERAGE(終値!AD265:AW265),""))</f>
      </c>
      <c r="AB265" s="684">
        <f>IF(終値!A265="","",IFERROR(4*STDEVP(終値!AE265:AX265)/AVERAGE(終値!AE265:AX265),""))</f>
      </c>
      <c r="AC265" s="684">
        <f>IF(終値!A265="","",IFERROR(4*STDEVP(終値!AF265:AY265)/AVERAGE(終値!AF265:AY265),""))</f>
      </c>
      <c r="AD265" s="684">
        <f>IF(終値!A265="","",IFERROR(4*STDEVP(終値!AG265:AZ265)/AVERAGE(終値!AG265:AZ265),""))</f>
      </c>
      <c r="AE265" s="684">
        <f>IF(終値!A265="","",IFERROR(4*STDEVP(終値!AH265:BA265)/AVERAGE(終値!AH265:BA265),""))</f>
      </c>
      <c r="AF265" s="684">
        <f>IF(終値!A265="","",IFERROR(4*STDEVP(終値!AI265:BB265)/AVERAGE(終値!AI265:BB265),""))</f>
      </c>
      <c r="AG265" s="684">
        <f>IF(終値!A265="","",IFERROR(4*STDEVP(終値!AJ265:BC265)/AVERAGE(終値!AJ265:BC265),""))</f>
      </c>
      <c r="AH265" s="684">
        <f>IF(終値!A265="","",IFERROR(4*STDEVP(終値!AK265:BD265)/AVERAGE(終値!AK265:BD265),""))</f>
      </c>
      <c r="AI265" s="684">
        <f>IF(終値!A265="","",IFERROR(4*STDEVP(終値!AL265:BE265)/AVERAGE(終値!AL265:BE265),""))</f>
      </c>
      <c r="AJ265" s="684">
        <f>IF(終値!A265="","",IFERROR(4*STDEVP(終値!AM265:BF265)/AVERAGE(終値!AM265:BF265),""))</f>
      </c>
      <c r="AK265" s="684">
        <f>IF(終値!A265="","",IFERROR(4*STDEVP(終値!AN265:BG265)/AVERAGE(終値!AN265:BG265),""))</f>
      </c>
      <c r="AL265" s="684">
        <f>IF(終値!A265="","",IFERROR(4*STDEVP(終値!AO265:BH265)/AVERAGE(終値!AO265:BH265),""))</f>
      </c>
      <c r="AM265" s="684">
        <f>IF(終値!A265="","",IFERROR(4*STDEVP(終値!AP265:BI265)/AVERAGE(終値!AP265:BI265),""))</f>
      </c>
      <c r="AN265" s="684">
        <f>IF(終値!A265="","",IFERROR(4*STDEVP(終値!AQ265:BJ265)/AVERAGE(終値!AQ265:BJ265),""))</f>
      </c>
      <c r="AO265" s="684">
        <f>IF(終値!A265="","",IFERROR(4*STDEVP(終値!AR265:BK265)/AVERAGE(終値!AR265:BK265),""))</f>
      </c>
      <c r="AP265" s="684">
        <f>IF(終値!A265="","",IFERROR(4*STDEVP(終値!AS265:BL265)/AVERAGE(終値!AS265:BL265),""))</f>
      </c>
    </row>
    <row r="266">
      <c r="A266" s="681">
        <f>IF(終値!A266="","",終値!A266)</f>
      </c>
      <c r="B266" s="684">
        <f>IF(終値!A266="","",IFERROR(4*STDEVP(終値!E266:X266)/AVERAGE(終値!E266:X266),""))</f>
      </c>
      <c r="C266" s="684">
        <f>IF(終値!A266="","",IFERROR(4*STDEVP(終値!F266:Y266)/AVERAGE(終値!F266:Y266),""))</f>
      </c>
      <c r="D266" s="684">
        <f>IF(終値!A266="","",IFERROR(4*STDEVP(終値!G266:Z266)/AVERAGE(終値!G266:Z266),""))</f>
      </c>
      <c r="E266" s="684">
        <f>IF(終値!A266="","",IFERROR(4*STDEVP(終値!H266:AA266)/AVERAGE(終値!H266:AA266),""))</f>
      </c>
      <c r="F266" s="684">
        <f>IF(終値!A266="","",IFERROR(4*STDEVP(終値!I266:AB266)/AVERAGE(終値!I266:AB266),""))</f>
      </c>
      <c r="G266" s="684">
        <f>IF(終値!A266="","",IFERROR(4*STDEVP(終値!J266:AC266)/AVERAGE(終値!J266:AC266),""))</f>
      </c>
      <c r="H266" s="684">
        <f>IF(終値!A266="","",IFERROR(4*STDEVP(終値!K266:AD266)/AVERAGE(終値!K266:AD266),""))</f>
      </c>
      <c r="I266" s="684">
        <f>IF(終値!A266="","",IFERROR(4*STDEVP(終値!L266:AE266)/AVERAGE(終値!L266:AE266),""))</f>
      </c>
      <c r="J266" s="684">
        <f>IF(終値!A266="","",IFERROR(4*STDEVP(終値!M266:AF266)/AVERAGE(終値!M266:AF266),""))</f>
      </c>
      <c r="K266" s="684">
        <f>IF(終値!A266="","",IFERROR(4*STDEVP(終値!N266:AG266)/AVERAGE(終値!N266:AG266),""))</f>
      </c>
      <c r="L266" s="684">
        <f>IF(終値!A266="","",IFERROR(4*STDEVP(終値!O266:AH266)/AVERAGE(終値!O266:AH266),""))</f>
      </c>
      <c r="M266" s="684">
        <f>IF(終値!A266="","",IFERROR(4*STDEVP(終値!P266:AI266)/AVERAGE(終値!P266:AI266),""))</f>
      </c>
      <c r="N266" s="684">
        <f>IF(終値!A266="","",IFERROR(4*STDEVP(終値!Q266:AJ266)/AVERAGE(終値!Q266:AJ266),""))</f>
      </c>
      <c r="O266" s="684">
        <f>IF(終値!A266="","",IFERROR(4*STDEVP(終値!R266:AK266)/AVERAGE(終値!R266:AK266),""))</f>
      </c>
      <c r="P266" s="684">
        <f>IF(終値!A266="","",IFERROR(4*STDEVP(終値!S266:AL266)/AVERAGE(終値!S266:AL266),""))</f>
      </c>
      <c r="Q266" s="684">
        <f>IF(終値!A266="","",IFERROR(4*STDEVP(終値!T266:AM266)/AVERAGE(終値!T266:AM266),""))</f>
      </c>
      <c r="R266" s="684">
        <f>IF(終値!A266="","",IFERROR(4*STDEVP(終値!U266:AN266)/AVERAGE(終値!U266:AN266),""))</f>
      </c>
      <c r="S266" s="684">
        <f>IF(終値!A266="","",IFERROR(4*STDEVP(終値!V266:AO266)/AVERAGE(終値!V266:AO266),""))</f>
      </c>
      <c r="T266" s="684">
        <f>IF(終値!A266="","",IFERROR(4*STDEVP(終値!W266:AP266)/AVERAGE(終値!W266:AP266),""))</f>
      </c>
      <c r="U266" s="684">
        <f>IF(終値!A266="","",IFERROR(4*STDEVP(終値!X266:AQ266)/AVERAGE(終値!X266:AQ266),""))</f>
      </c>
      <c r="V266" s="684">
        <f>IF(終値!A266="","",IFERROR(4*STDEVP(終値!Y266:AR266)/AVERAGE(終値!Y266:AR266),""))</f>
      </c>
      <c r="W266" s="684">
        <f>IF(終値!A266="","",IFERROR(4*STDEVP(終値!Z266:AS266)/AVERAGE(終値!Z266:AS266),""))</f>
      </c>
      <c r="X266" s="684">
        <f>IF(終値!A266="","",IFERROR(4*STDEVP(終値!AA266:AT266)/AVERAGE(終値!AA266:AT266),""))</f>
      </c>
      <c r="Y266" s="684">
        <f>IF(終値!A266="","",IFERROR(4*STDEVP(終値!AB266:AU266)/AVERAGE(終値!AB266:AU266),""))</f>
      </c>
      <c r="Z266" s="684">
        <f>IF(終値!A266="","",IFERROR(4*STDEVP(終値!AC266:AV266)/AVERAGE(終値!AC266:AV266),""))</f>
      </c>
      <c r="AA266" s="684">
        <f>IF(終値!A266="","",IFERROR(4*STDEVP(終値!AD266:AW266)/AVERAGE(終値!AD266:AW266),""))</f>
      </c>
      <c r="AB266" s="684">
        <f>IF(終値!A266="","",IFERROR(4*STDEVP(終値!AE266:AX266)/AVERAGE(終値!AE266:AX266),""))</f>
      </c>
      <c r="AC266" s="684">
        <f>IF(終値!A266="","",IFERROR(4*STDEVP(終値!AF266:AY266)/AVERAGE(終値!AF266:AY266),""))</f>
      </c>
      <c r="AD266" s="684">
        <f>IF(終値!A266="","",IFERROR(4*STDEVP(終値!AG266:AZ266)/AVERAGE(終値!AG266:AZ266),""))</f>
      </c>
      <c r="AE266" s="684">
        <f>IF(終値!A266="","",IFERROR(4*STDEVP(終値!AH266:BA266)/AVERAGE(終値!AH266:BA266),""))</f>
      </c>
      <c r="AF266" s="684">
        <f>IF(終値!A266="","",IFERROR(4*STDEVP(終値!AI266:BB266)/AVERAGE(終値!AI266:BB266),""))</f>
      </c>
      <c r="AG266" s="684">
        <f>IF(終値!A266="","",IFERROR(4*STDEVP(終値!AJ266:BC266)/AVERAGE(終値!AJ266:BC266),""))</f>
      </c>
      <c r="AH266" s="684">
        <f>IF(終値!A266="","",IFERROR(4*STDEVP(終値!AK266:BD266)/AVERAGE(終値!AK266:BD266),""))</f>
      </c>
      <c r="AI266" s="684">
        <f>IF(終値!A266="","",IFERROR(4*STDEVP(終値!AL266:BE266)/AVERAGE(終値!AL266:BE266),""))</f>
      </c>
      <c r="AJ266" s="684">
        <f>IF(終値!A266="","",IFERROR(4*STDEVP(終値!AM266:BF266)/AVERAGE(終値!AM266:BF266),""))</f>
      </c>
      <c r="AK266" s="684">
        <f>IF(終値!A266="","",IFERROR(4*STDEVP(終値!AN266:BG266)/AVERAGE(終値!AN266:BG266),""))</f>
      </c>
      <c r="AL266" s="684">
        <f>IF(終値!A266="","",IFERROR(4*STDEVP(終値!AO266:BH266)/AVERAGE(終値!AO266:BH266),""))</f>
      </c>
      <c r="AM266" s="684">
        <f>IF(終値!A266="","",IFERROR(4*STDEVP(終値!AP266:BI266)/AVERAGE(終値!AP266:BI266),""))</f>
      </c>
      <c r="AN266" s="684">
        <f>IF(終値!A266="","",IFERROR(4*STDEVP(終値!AQ266:BJ266)/AVERAGE(終値!AQ266:BJ266),""))</f>
      </c>
      <c r="AO266" s="684">
        <f>IF(終値!A266="","",IFERROR(4*STDEVP(終値!AR266:BK266)/AVERAGE(終値!AR266:BK266),""))</f>
      </c>
      <c r="AP266" s="684">
        <f>IF(終値!A266="","",IFERROR(4*STDEVP(終値!AS266:BL266)/AVERAGE(終値!AS266:BL266),""))</f>
      </c>
    </row>
    <row r="267">
      <c r="A267" s="681">
        <f>IF(終値!A267="","",終値!A267)</f>
      </c>
      <c r="B267" s="684">
        <f>IF(終値!A267="","",IFERROR(4*STDEVP(終値!E267:X267)/AVERAGE(終値!E267:X267),""))</f>
      </c>
      <c r="C267" s="684">
        <f>IF(終値!A267="","",IFERROR(4*STDEVP(終値!F267:Y267)/AVERAGE(終値!F267:Y267),""))</f>
      </c>
      <c r="D267" s="684">
        <f>IF(終値!A267="","",IFERROR(4*STDEVP(終値!G267:Z267)/AVERAGE(終値!G267:Z267),""))</f>
      </c>
      <c r="E267" s="684">
        <f>IF(終値!A267="","",IFERROR(4*STDEVP(終値!H267:AA267)/AVERAGE(終値!H267:AA267),""))</f>
      </c>
      <c r="F267" s="684">
        <f>IF(終値!A267="","",IFERROR(4*STDEVP(終値!I267:AB267)/AVERAGE(終値!I267:AB267),""))</f>
      </c>
      <c r="G267" s="684">
        <f>IF(終値!A267="","",IFERROR(4*STDEVP(終値!J267:AC267)/AVERAGE(終値!J267:AC267),""))</f>
      </c>
      <c r="H267" s="684">
        <f>IF(終値!A267="","",IFERROR(4*STDEVP(終値!K267:AD267)/AVERAGE(終値!K267:AD267),""))</f>
      </c>
      <c r="I267" s="684">
        <f>IF(終値!A267="","",IFERROR(4*STDEVP(終値!L267:AE267)/AVERAGE(終値!L267:AE267),""))</f>
      </c>
      <c r="J267" s="684">
        <f>IF(終値!A267="","",IFERROR(4*STDEVP(終値!M267:AF267)/AVERAGE(終値!M267:AF267),""))</f>
      </c>
      <c r="K267" s="684">
        <f>IF(終値!A267="","",IFERROR(4*STDEVP(終値!N267:AG267)/AVERAGE(終値!N267:AG267),""))</f>
      </c>
      <c r="L267" s="684">
        <f>IF(終値!A267="","",IFERROR(4*STDEVP(終値!O267:AH267)/AVERAGE(終値!O267:AH267),""))</f>
      </c>
      <c r="M267" s="684">
        <f>IF(終値!A267="","",IFERROR(4*STDEVP(終値!P267:AI267)/AVERAGE(終値!P267:AI267),""))</f>
      </c>
      <c r="N267" s="684">
        <f>IF(終値!A267="","",IFERROR(4*STDEVP(終値!Q267:AJ267)/AVERAGE(終値!Q267:AJ267),""))</f>
      </c>
      <c r="O267" s="684">
        <f>IF(終値!A267="","",IFERROR(4*STDEVP(終値!R267:AK267)/AVERAGE(終値!R267:AK267),""))</f>
      </c>
      <c r="P267" s="684">
        <f>IF(終値!A267="","",IFERROR(4*STDEVP(終値!S267:AL267)/AVERAGE(終値!S267:AL267),""))</f>
      </c>
      <c r="Q267" s="684">
        <f>IF(終値!A267="","",IFERROR(4*STDEVP(終値!T267:AM267)/AVERAGE(終値!T267:AM267),""))</f>
      </c>
      <c r="R267" s="684">
        <f>IF(終値!A267="","",IFERROR(4*STDEVP(終値!U267:AN267)/AVERAGE(終値!U267:AN267),""))</f>
      </c>
      <c r="S267" s="684">
        <f>IF(終値!A267="","",IFERROR(4*STDEVP(終値!V267:AO267)/AVERAGE(終値!V267:AO267),""))</f>
      </c>
      <c r="T267" s="684">
        <f>IF(終値!A267="","",IFERROR(4*STDEVP(終値!W267:AP267)/AVERAGE(終値!W267:AP267),""))</f>
      </c>
      <c r="U267" s="684">
        <f>IF(終値!A267="","",IFERROR(4*STDEVP(終値!X267:AQ267)/AVERAGE(終値!X267:AQ267),""))</f>
      </c>
      <c r="V267" s="684">
        <f>IF(終値!A267="","",IFERROR(4*STDEVP(終値!Y267:AR267)/AVERAGE(終値!Y267:AR267),""))</f>
      </c>
      <c r="W267" s="684">
        <f>IF(終値!A267="","",IFERROR(4*STDEVP(終値!Z267:AS267)/AVERAGE(終値!Z267:AS267),""))</f>
      </c>
      <c r="X267" s="684">
        <f>IF(終値!A267="","",IFERROR(4*STDEVP(終値!AA267:AT267)/AVERAGE(終値!AA267:AT267),""))</f>
      </c>
      <c r="Y267" s="684">
        <f>IF(終値!A267="","",IFERROR(4*STDEVP(終値!AB267:AU267)/AVERAGE(終値!AB267:AU267),""))</f>
      </c>
      <c r="Z267" s="684">
        <f>IF(終値!A267="","",IFERROR(4*STDEVP(終値!AC267:AV267)/AVERAGE(終値!AC267:AV267),""))</f>
      </c>
      <c r="AA267" s="684">
        <f>IF(終値!A267="","",IFERROR(4*STDEVP(終値!AD267:AW267)/AVERAGE(終値!AD267:AW267),""))</f>
      </c>
      <c r="AB267" s="684">
        <f>IF(終値!A267="","",IFERROR(4*STDEVP(終値!AE267:AX267)/AVERAGE(終値!AE267:AX267),""))</f>
      </c>
      <c r="AC267" s="684">
        <f>IF(終値!A267="","",IFERROR(4*STDEVP(終値!AF267:AY267)/AVERAGE(終値!AF267:AY267),""))</f>
      </c>
      <c r="AD267" s="684">
        <f>IF(終値!A267="","",IFERROR(4*STDEVP(終値!AG267:AZ267)/AVERAGE(終値!AG267:AZ267),""))</f>
      </c>
      <c r="AE267" s="684">
        <f>IF(終値!A267="","",IFERROR(4*STDEVP(終値!AH267:BA267)/AVERAGE(終値!AH267:BA267),""))</f>
      </c>
      <c r="AF267" s="684">
        <f>IF(終値!A267="","",IFERROR(4*STDEVP(終値!AI267:BB267)/AVERAGE(終値!AI267:BB267),""))</f>
      </c>
      <c r="AG267" s="684">
        <f>IF(終値!A267="","",IFERROR(4*STDEVP(終値!AJ267:BC267)/AVERAGE(終値!AJ267:BC267),""))</f>
      </c>
      <c r="AH267" s="684">
        <f>IF(終値!A267="","",IFERROR(4*STDEVP(終値!AK267:BD267)/AVERAGE(終値!AK267:BD267),""))</f>
      </c>
      <c r="AI267" s="684">
        <f>IF(終値!A267="","",IFERROR(4*STDEVP(終値!AL267:BE267)/AVERAGE(終値!AL267:BE267),""))</f>
      </c>
      <c r="AJ267" s="684">
        <f>IF(終値!A267="","",IFERROR(4*STDEVP(終値!AM267:BF267)/AVERAGE(終値!AM267:BF267),""))</f>
      </c>
      <c r="AK267" s="684">
        <f>IF(終値!A267="","",IFERROR(4*STDEVP(終値!AN267:BG267)/AVERAGE(終値!AN267:BG267),""))</f>
      </c>
      <c r="AL267" s="684">
        <f>IF(終値!A267="","",IFERROR(4*STDEVP(終値!AO267:BH267)/AVERAGE(終値!AO267:BH267),""))</f>
      </c>
      <c r="AM267" s="684">
        <f>IF(終値!A267="","",IFERROR(4*STDEVP(終値!AP267:BI267)/AVERAGE(終値!AP267:BI267),""))</f>
      </c>
      <c r="AN267" s="684">
        <f>IF(終値!A267="","",IFERROR(4*STDEVP(終値!AQ267:BJ267)/AVERAGE(終値!AQ267:BJ267),""))</f>
      </c>
      <c r="AO267" s="684">
        <f>IF(終値!A267="","",IFERROR(4*STDEVP(終値!AR267:BK267)/AVERAGE(終値!AR267:BK267),""))</f>
      </c>
      <c r="AP267" s="684">
        <f>IF(終値!A267="","",IFERROR(4*STDEVP(終値!AS267:BL267)/AVERAGE(終値!AS267:BL267),""))</f>
      </c>
    </row>
    <row r="268">
      <c r="A268" s="681">
        <f>IF(終値!A268="","",終値!A268)</f>
      </c>
      <c r="B268" s="684">
        <f>IF(終値!A268="","",IFERROR(4*STDEVP(終値!E268:X268)/AVERAGE(終値!E268:X268),""))</f>
      </c>
      <c r="C268" s="684">
        <f>IF(終値!A268="","",IFERROR(4*STDEVP(終値!F268:Y268)/AVERAGE(終値!F268:Y268),""))</f>
      </c>
      <c r="D268" s="684">
        <f>IF(終値!A268="","",IFERROR(4*STDEVP(終値!G268:Z268)/AVERAGE(終値!G268:Z268),""))</f>
      </c>
      <c r="E268" s="684">
        <f>IF(終値!A268="","",IFERROR(4*STDEVP(終値!H268:AA268)/AVERAGE(終値!H268:AA268),""))</f>
      </c>
      <c r="F268" s="684">
        <f>IF(終値!A268="","",IFERROR(4*STDEVP(終値!I268:AB268)/AVERAGE(終値!I268:AB268),""))</f>
      </c>
      <c r="G268" s="684">
        <f>IF(終値!A268="","",IFERROR(4*STDEVP(終値!J268:AC268)/AVERAGE(終値!J268:AC268),""))</f>
      </c>
      <c r="H268" s="684">
        <f>IF(終値!A268="","",IFERROR(4*STDEVP(終値!K268:AD268)/AVERAGE(終値!K268:AD268),""))</f>
      </c>
      <c r="I268" s="684">
        <f>IF(終値!A268="","",IFERROR(4*STDEVP(終値!L268:AE268)/AVERAGE(終値!L268:AE268),""))</f>
      </c>
      <c r="J268" s="684">
        <f>IF(終値!A268="","",IFERROR(4*STDEVP(終値!M268:AF268)/AVERAGE(終値!M268:AF268),""))</f>
      </c>
      <c r="K268" s="684">
        <f>IF(終値!A268="","",IFERROR(4*STDEVP(終値!N268:AG268)/AVERAGE(終値!N268:AG268),""))</f>
      </c>
      <c r="L268" s="684">
        <f>IF(終値!A268="","",IFERROR(4*STDEVP(終値!O268:AH268)/AVERAGE(終値!O268:AH268),""))</f>
      </c>
      <c r="M268" s="684">
        <f>IF(終値!A268="","",IFERROR(4*STDEVP(終値!P268:AI268)/AVERAGE(終値!P268:AI268),""))</f>
      </c>
      <c r="N268" s="684">
        <f>IF(終値!A268="","",IFERROR(4*STDEVP(終値!Q268:AJ268)/AVERAGE(終値!Q268:AJ268),""))</f>
      </c>
      <c r="O268" s="684">
        <f>IF(終値!A268="","",IFERROR(4*STDEVP(終値!R268:AK268)/AVERAGE(終値!R268:AK268),""))</f>
      </c>
      <c r="P268" s="684">
        <f>IF(終値!A268="","",IFERROR(4*STDEVP(終値!S268:AL268)/AVERAGE(終値!S268:AL268),""))</f>
      </c>
      <c r="Q268" s="684">
        <f>IF(終値!A268="","",IFERROR(4*STDEVP(終値!T268:AM268)/AVERAGE(終値!T268:AM268),""))</f>
      </c>
      <c r="R268" s="684">
        <f>IF(終値!A268="","",IFERROR(4*STDEVP(終値!U268:AN268)/AVERAGE(終値!U268:AN268),""))</f>
      </c>
      <c r="S268" s="684">
        <f>IF(終値!A268="","",IFERROR(4*STDEVP(終値!V268:AO268)/AVERAGE(終値!V268:AO268),""))</f>
      </c>
      <c r="T268" s="684">
        <f>IF(終値!A268="","",IFERROR(4*STDEVP(終値!W268:AP268)/AVERAGE(終値!W268:AP268),""))</f>
      </c>
      <c r="U268" s="684">
        <f>IF(終値!A268="","",IFERROR(4*STDEVP(終値!X268:AQ268)/AVERAGE(終値!X268:AQ268),""))</f>
      </c>
      <c r="V268" s="684">
        <f>IF(終値!A268="","",IFERROR(4*STDEVP(終値!Y268:AR268)/AVERAGE(終値!Y268:AR268),""))</f>
      </c>
      <c r="W268" s="684">
        <f>IF(終値!A268="","",IFERROR(4*STDEVP(終値!Z268:AS268)/AVERAGE(終値!Z268:AS268),""))</f>
      </c>
      <c r="X268" s="684">
        <f>IF(終値!A268="","",IFERROR(4*STDEVP(終値!AA268:AT268)/AVERAGE(終値!AA268:AT268),""))</f>
      </c>
      <c r="Y268" s="684">
        <f>IF(終値!A268="","",IFERROR(4*STDEVP(終値!AB268:AU268)/AVERAGE(終値!AB268:AU268),""))</f>
      </c>
      <c r="Z268" s="684">
        <f>IF(終値!A268="","",IFERROR(4*STDEVP(終値!AC268:AV268)/AVERAGE(終値!AC268:AV268),""))</f>
      </c>
      <c r="AA268" s="684">
        <f>IF(終値!A268="","",IFERROR(4*STDEVP(終値!AD268:AW268)/AVERAGE(終値!AD268:AW268),""))</f>
      </c>
      <c r="AB268" s="684">
        <f>IF(終値!A268="","",IFERROR(4*STDEVP(終値!AE268:AX268)/AVERAGE(終値!AE268:AX268),""))</f>
      </c>
      <c r="AC268" s="684">
        <f>IF(終値!A268="","",IFERROR(4*STDEVP(終値!AF268:AY268)/AVERAGE(終値!AF268:AY268),""))</f>
      </c>
      <c r="AD268" s="684">
        <f>IF(終値!A268="","",IFERROR(4*STDEVP(終値!AG268:AZ268)/AVERAGE(終値!AG268:AZ268),""))</f>
      </c>
      <c r="AE268" s="684">
        <f>IF(終値!A268="","",IFERROR(4*STDEVP(終値!AH268:BA268)/AVERAGE(終値!AH268:BA268),""))</f>
      </c>
      <c r="AF268" s="684">
        <f>IF(終値!A268="","",IFERROR(4*STDEVP(終値!AI268:BB268)/AVERAGE(終値!AI268:BB268),""))</f>
      </c>
      <c r="AG268" s="684">
        <f>IF(終値!A268="","",IFERROR(4*STDEVP(終値!AJ268:BC268)/AVERAGE(終値!AJ268:BC268),""))</f>
      </c>
      <c r="AH268" s="684">
        <f>IF(終値!A268="","",IFERROR(4*STDEVP(終値!AK268:BD268)/AVERAGE(終値!AK268:BD268),""))</f>
      </c>
      <c r="AI268" s="684">
        <f>IF(終値!A268="","",IFERROR(4*STDEVP(終値!AL268:BE268)/AVERAGE(終値!AL268:BE268),""))</f>
      </c>
      <c r="AJ268" s="684">
        <f>IF(終値!A268="","",IFERROR(4*STDEVP(終値!AM268:BF268)/AVERAGE(終値!AM268:BF268),""))</f>
      </c>
      <c r="AK268" s="684">
        <f>IF(終値!A268="","",IFERROR(4*STDEVP(終値!AN268:BG268)/AVERAGE(終値!AN268:BG268),""))</f>
      </c>
      <c r="AL268" s="684">
        <f>IF(終値!A268="","",IFERROR(4*STDEVP(終値!AO268:BH268)/AVERAGE(終値!AO268:BH268),""))</f>
      </c>
      <c r="AM268" s="684">
        <f>IF(終値!A268="","",IFERROR(4*STDEVP(終値!AP268:BI268)/AVERAGE(終値!AP268:BI268),""))</f>
      </c>
      <c r="AN268" s="684">
        <f>IF(終値!A268="","",IFERROR(4*STDEVP(終値!AQ268:BJ268)/AVERAGE(終値!AQ268:BJ268),""))</f>
      </c>
      <c r="AO268" s="684">
        <f>IF(終値!A268="","",IFERROR(4*STDEVP(終値!AR268:BK268)/AVERAGE(終値!AR268:BK268),""))</f>
      </c>
      <c r="AP268" s="684">
        <f>IF(終値!A268="","",IFERROR(4*STDEVP(終値!AS268:BL268)/AVERAGE(終値!AS268:BL268),""))</f>
      </c>
    </row>
    <row r="269">
      <c r="A269" s="681">
        <f>IF(終値!A269="","",終値!A269)</f>
      </c>
      <c r="B269" s="684">
        <f>IF(終値!A269="","",IFERROR(4*STDEVP(終値!E269:X269)/AVERAGE(終値!E269:X269),""))</f>
      </c>
      <c r="C269" s="684">
        <f>IF(終値!A269="","",IFERROR(4*STDEVP(終値!F269:Y269)/AVERAGE(終値!F269:Y269),""))</f>
      </c>
      <c r="D269" s="684">
        <f>IF(終値!A269="","",IFERROR(4*STDEVP(終値!G269:Z269)/AVERAGE(終値!G269:Z269),""))</f>
      </c>
      <c r="E269" s="684">
        <f>IF(終値!A269="","",IFERROR(4*STDEVP(終値!H269:AA269)/AVERAGE(終値!H269:AA269),""))</f>
      </c>
      <c r="F269" s="684">
        <f>IF(終値!A269="","",IFERROR(4*STDEVP(終値!I269:AB269)/AVERAGE(終値!I269:AB269),""))</f>
      </c>
      <c r="G269" s="684">
        <f>IF(終値!A269="","",IFERROR(4*STDEVP(終値!J269:AC269)/AVERAGE(終値!J269:AC269),""))</f>
      </c>
      <c r="H269" s="684">
        <f>IF(終値!A269="","",IFERROR(4*STDEVP(終値!K269:AD269)/AVERAGE(終値!K269:AD269),""))</f>
      </c>
      <c r="I269" s="684">
        <f>IF(終値!A269="","",IFERROR(4*STDEVP(終値!L269:AE269)/AVERAGE(終値!L269:AE269),""))</f>
      </c>
      <c r="J269" s="684">
        <f>IF(終値!A269="","",IFERROR(4*STDEVP(終値!M269:AF269)/AVERAGE(終値!M269:AF269),""))</f>
      </c>
      <c r="K269" s="684">
        <f>IF(終値!A269="","",IFERROR(4*STDEVP(終値!N269:AG269)/AVERAGE(終値!N269:AG269),""))</f>
      </c>
      <c r="L269" s="684">
        <f>IF(終値!A269="","",IFERROR(4*STDEVP(終値!O269:AH269)/AVERAGE(終値!O269:AH269),""))</f>
      </c>
      <c r="M269" s="684">
        <f>IF(終値!A269="","",IFERROR(4*STDEVP(終値!P269:AI269)/AVERAGE(終値!P269:AI269),""))</f>
      </c>
      <c r="N269" s="684">
        <f>IF(終値!A269="","",IFERROR(4*STDEVP(終値!Q269:AJ269)/AVERAGE(終値!Q269:AJ269),""))</f>
      </c>
      <c r="O269" s="684">
        <f>IF(終値!A269="","",IFERROR(4*STDEVP(終値!R269:AK269)/AVERAGE(終値!R269:AK269),""))</f>
      </c>
      <c r="P269" s="684">
        <f>IF(終値!A269="","",IFERROR(4*STDEVP(終値!S269:AL269)/AVERAGE(終値!S269:AL269),""))</f>
      </c>
      <c r="Q269" s="684">
        <f>IF(終値!A269="","",IFERROR(4*STDEVP(終値!T269:AM269)/AVERAGE(終値!T269:AM269),""))</f>
      </c>
      <c r="R269" s="684">
        <f>IF(終値!A269="","",IFERROR(4*STDEVP(終値!U269:AN269)/AVERAGE(終値!U269:AN269),""))</f>
      </c>
      <c r="S269" s="684">
        <f>IF(終値!A269="","",IFERROR(4*STDEVP(終値!V269:AO269)/AVERAGE(終値!V269:AO269),""))</f>
      </c>
      <c r="T269" s="684">
        <f>IF(終値!A269="","",IFERROR(4*STDEVP(終値!W269:AP269)/AVERAGE(終値!W269:AP269),""))</f>
      </c>
      <c r="U269" s="684">
        <f>IF(終値!A269="","",IFERROR(4*STDEVP(終値!X269:AQ269)/AVERAGE(終値!X269:AQ269),""))</f>
      </c>
      <c r="V269" s="684">
        <f>IF(終値!A269="","",IFERROR(4*STDEVP(終値!Y269:AR269)/AVERAGE(終値!Y269:AR269),""))</f>
      </c>
      <c r="W269" s="684">
        <f>IF(終値!A269="","",IFERROR(4*STDEVP(終値!Z269:AS269)/AVERAGE(終値!Z269:AS269),""))</f>
      </c>
      <c r="X269" s="684">
        <f>IF(終値!A269="","",IFERROR(4*STDEVP(終値!AA269:AT269)/AVERAGE(終値!AA269:AT269),""))</f>
      </c>
      <c r="Y269" s="684">
        <f>IF(終値!A269="","",IFERROR(4*STDEVP(終値!AB269:AU269)/AVERAGE(終値!AB269:AU269),""))</f>
      </c>
      <c r="Z269" s="684">
        <f>IF(終値!A269="","",IFERROR(4*STDEVP(終値!AC269:AV269)/AVERAGE(終値!AC269:AV269),""))</f>
      </c>
      <c r="AA269" s="684">
        <f>IF(終値!A269="","",IFERROR(4*STDEVP(終値!AD269:AW269)/AVERAGE(終値!AD269:AW269),""))</f>
      </c>
      <c r="AB269" s="684">
        <f>IF(終値!A269="","",IFERROR(4*STDEVP(終値!AE269:AX269)/AVERAGE(終値!AE269:AX269),""))</f>
      </c>
      <c r="AC269" s="684">
        <f>IF(終値!A269="","",IFERROR(4*STDEVP(終値!AF269:AY269)/AVERAGE(終値!AF269:AY269),""))</f>
      </c>
      <c r="AD269" s="684">
        <f>IF(終値!A269="","",IFERROR(4*STDEVP(終値!AG269:AZ269)/AVERAGE(終値!AG269:AZ269),""))</f>
      </c>
      <c r="AE269" s="684">
        <f>IF(終値!A269="","",IFERROR(4*STDEVP(終値!AH269:BA269)/AVERAGE(終値!AH269:BA269),""))</f>
      </c>
      <c r="AF269" s="684">
        <f>IF(終値!A269="","",IFERROR(4*STDEVP(終値!AI269:BB269)/AVERAGE(終値!AI269:BB269),""))</f>
      </c>
      <c r="AG269" s="684">
        <f>IF(終値!A269="","",IFERROR(4*STDEVP(終値!AJ269:BC269)/AVERAGE(終値!AJ269:BC269),""))</f>
      </c>
      <c r="AH269" s="684">
        <f>IF(終値!A269="","",IFERROR(4*STDEVP(終値!AK269:BD269)/AVERAGE(終値!AK269:BD269),""))</f>
      </c>
      <c r="AI269" s="684">
        <f>IF(終値!A269="","",IFERROR(4*STDEVP(終値!AL269:BE269)/AVERAGE(終値!AL269:BE269),""))</f>
      </c>
      <c r="AJ269" s="684">
        <f>IF(終値!A269="","",IFERROR(4*STDEVP(終値!AM269:BF269)/AVERAGE(終値!AM269:BF269),""))</f>
      </c>
      <c r="AK269" s="684">
        <f>IF(終値!A269="","",IFERROR(4*STDEVP(終値!AN269:BG269)/AVERAGE(終値!AN269:BG269),""))</f>
      </c>
      <c r="AL269" s="684">
        <f>IF(終値!A269="","",IFERROR(4*STDEVP(終値!AO269:BH269)/AVERAGE(終値!AO269:BH269),""))</f>
      </c>
      <c r="AM269" s="684">
        <f>IF(終値!A269="","",IFERROR(4*STDEVP(終値!AP269:BI269)/AVERAGE(終値!AP269:BI269),""))</f>
      </c>
      <c r="AN269" s="684">
        <f>IF(終値!A269="","",IFERROR(4*STDEVP(終値!AQ269:BJ269)/AVERAGE(終値!AQ269:BJ269),""))</f>
      </c>
      <c r="AO269" s="684">
        <f>IF(終値!A269="","",IFERROR(4*STDEVP(終値!AR269:BK269)/AVERAGE(終値!AR269:BK269),""))</f>
      </c>
      <c r="AP269" s="684">
        <f>IF(終値!A269="","",IFERROR(4*STDEVP(終値!AS269:BL269)/AVERAGE(終値!AS269:BL269),""))</f>
      </c>
    </row>
    <row r="270">
      <c r="A270" s="681">
        <f>IF(終値!A270="","",終値!A270)</f>
      </c>
      <c r="B270" s="684">
        <f>IF(終値!A270="","",IFERROR(4*STDEVP(終値!E270:X270)/AVERAGE(終値!E270:X270),""))</f>
      </c>
      <c r="C270" s="684">
        <f>IF(終値!A270="","",IFERROR(4*STDEVP(終値!F270:Y270)/AVERAGE(終値!F270:Y270),""))</f>
      </c>
      <c r="D270" s="684">
        <f>IF(終値!A270="","",IFERROR(4*STDEVP(終値!G270:Z270)/AVERAGE(終値!G270:Z270),""))</f>
      </c>
      <c r="E270" s="684">
        <f>IF(終値!A270="","",IFERROR(4*STDEVP(終値!H270:AA270)/AVERAGE(終値!H270:AA270),""))</f>
      </c>
      <c r="F270" s="684">
        <f>IF(終値!A270="","",IFERROR(4*STDEVP(終値!I270:AB270)/AVERAGE(終値!I270:AB270),""))</f>
      </c>
      <c r="G270" s="684">
        <f>IF(終値!A270="","",IFERROR(4*STDEVP(終値!J270:AC270)/AVERAGE(終値!J270:AC270),""))</f>
      </c>
      <c r="H270" s="684">
        <f>IF(終値!A270="","",IFERROR(4*STDEVP(終値!K270:AD270)/AVERAGE(終値!K270:AD270),""))</f>
      </c>
      <c r="I270" s="684">
        <f>IF(終値!A270="","",IFERROR(4*STDEVP(終値!L270:AE270)/AVERAGE(終値!L270:AE270),""))</f>
      </c>
      <c r="J270" s="684">
        <f>IF(終値!A270="","",IFERROR(4*STDEVP(終値!M270:AF270)/AVERAGE(終値!M270:AF270),""))</f>
      </c>
      <c r="K270" s="684">
        <f>IF(終値!A270="","",IFERROR(4*STDEVP(終値!N270:AG270)/AVERAGE(終値!N270:AG270),""))</f>
      </c>
      <c r="L270" s="684">
        <f>IF(終値!A270="","",IFERROR(4*STDEVP(終値!O270:AH270)/AVERAGE(終値!O270:AH270),""))</f>
      </c>
      <c r="M270" s="684">
        <f>IF(終値!A270="","",IFERROR(4*STDEVP(終値!P270:AI270)/AVERAGE(終値!P270:AI270),""))</f>
      </c>
      <c r="N270" s="684">
        <f>IF(終値!A270="","",IFERROR(4*STDEVP(終値!Q270:AJ270)/AVERAGE(終値!Q270:AJ270),""))</f>
      </c>
      <c r="O270" s="684">
        <f>IF(終値!A270="","",IFERROR(4*STDEVP(終値!R270:AK270)/AVERAGE(終値!R270:AK270),""))</f>
      </c>
      <c r="P270" s="684">
        <f>IF(終値!A270="","",IFERROR(4*STDEVP(終値!S270:AL270)/AVERAGE(終値!S270:AL270),""))</f>
      </c>
      <c r="Q270" s="684">
        <f>IF(終値!A270="","",IFERROR(4*STDEVP(終値!T270:AM270)/AVERAGE(終値!T270:AM270),""))</f>
      </c>
      <c r="R270" s="684">
        <f>IF(終値!A270="","",IFERROR(4*STDEVP(終値!U270:AN270)/AVERAGE(終値!U270:AN270),""))</f>
      </c>
      <c r="S270" s="684">
        <f>IF(終値!A270="","",IFERROR(4*STDEVP(終値!V270:AO270)/AVERAGE(終値!V270:AO270),""))</f>
      </c>
      <c r="T270" s="684">
        <f>IF(終値!A270="","",IFERROR(4*STDEVP(終値!W270:AP270)/AVERAGE(終値!W270:AP270),""))</f>
      </c>
      <c r="U270" s="684">
        <f>IF(終値!A270="","",IFERROR(4*STDEVP(終値!X270:AQ270)/AVERAGE(終値!X270:AQ270),""))</f>
      </c>
      <c r="V270" s="684">
        <f>IF(終値!A270="","",IFERROR(4*STDEVP(終値!Y270:AR270)/AVERAGE(終値!Y270:AR270),""))</f>
      </c>
      <c r="W270" s="684">
        <f>IF(終値!A270="","",IFERROR(4*STDEVP(終値!Z270:AS270)/AVERAGE(終値!Z270:AS270),""))</f>
      </c>
      <c r="X270" s="684">
        <f>IF(終値!A270="","",IFERROR(4*STDEVP(終値!AA270:AT270)/AVERAGE(終値!AA270:AT270),""))</f>
      </c>
      <c r="Y270" s="684">
        <f>IF(終値!A270="","",IFERROR(4*STDEVP(終値!AB270:AU270)/AVERAGE(終値!AB270:AU270),""))</f>
      </c>
      <c r="Z270" s="684">
        <f>IF(終値!A270="","",IFERROR(4*STDEVP(終値!AC270:AV270)/AVERAGE(終値!AC270:AV270),""))</f>
      </c>
      <c r="AA270" s="684">
        <f>IF(終値!A270="","",IFERROR(4*STDEVP(終値!AD270:AW270)/AVERAGE(終値!AD270:AW270),""))</f>
      </c>
      <c r="AB270" s="684">
        <f>IF(終値!A270="","",IFERROR(4*STDEVP(終値!AE270:AX270)/AVERAGE(終値!AE270:AX270),""))</f>
      </c>
      <c r="AC270" s="684">
        <f>IF(終値!A270="","",IFERROR(4*STDEVP(終値!AF270:AY270)/AVERAGE(終値!AF270:AY270),""))</f>
      </c>
      <c r="AD270" s="684">
        <f>IF(終値!A270="","",IFERROR(4*STDEVP(終値!AG270:AZ270)/AVERAGE(終値!AG270:AZ270),""))</f>
      </c>
      <c r="AE270" s="684">
        <f>IF(終値!A270="","",IFERROR(4*STDEVP(終値!AH270:BA270)/AVERAGE(終値!AH270:BA270),""))</f>
      </c>
      <c r="AF270" s="684">
        <f>IF(終値!A270="","",IFERROR(4*STDEVP(終値!AI270:BB270)/AVERAGE(終値!AI270:BB270),""))</f>
      </c>
      <c r="AG270" s="684">
        <f>IF(終値!A270="","",IFERROR(4*STDEVP(終値!AJ270:BC270)/AVERAGE(終値!AJ270:BC270),""))</f>
      </c>
      <c r="AH270" s="684">
        <f>IF(終値!A270="","",IFERROR(4*STDEVP(終値!AK270:BD270)/AVERAGE(終値!AK270:BD270),""))</f>
      </c>
      <c r="AI270" s="684">
        <f>IF(終値!A270="","",IFERROR(4*STDEVP(終値!AL270:BE270)/AVERAGE(終値!AL270:BE270),""))</f>
      </c>
      <c r="AJ270" s="684">
        <f>IF(終値!A270="","",IFERROR(4*STDEVP(終値!AM270:BF270)/AVERAGE(終値!AM270:BF270),""))</f>
      </c>
      <c r="AK270" s="684">
        <f>IF(終値!A270="","",IFERROR(4*STDEVP(終値!AN270:BG270)/AVERAGE(終値!AN270:BG270),""))</f>
      </c>
      <c r="AL270" s="684">
        <f>IF(終値!A270="","",IFERROR(4*STDEVP(終値!AO270:BH270)/AVERAGE(終値!AO270:BH270),""))</f>
      </c>
      <c r="AM270" s="684">
        <f>IF(終値!A270="","",IFERROR(4*STDEVP(終値!AP270:BI270)/AVERAGE(終値!AP270:BI270),""))</f>
      </c>
      <c r="AN270" s="684">
        <f>IF(終値!A270="","",IFERROR(4*STDEVP(終値!AQ270:BJ270)/AVERAGE(終値!AQ270:BJ270),""))</f>
      </c>
      <c r="AO270" s="684">
        <f>IF(終値!A270="","",IFERROR(4*STDEVP(終値!AR270:BK270)/AVERAGE(終値!AR270:BK270),""))</f>
      </c>
      <c r="AP270" s="684">
        <f>IF(終値!A270="","",IFERROR(4*STDEVP(終値!AS270:BL270)/AVERAGE(終値!AS270:BL270),""))</f>
      </c>
    </row>
    <row r="271">
      <c r="A271" s="681">
        <f>IF(終値!A271="","",終値!A271)</f>
      </c>
      <c r="B271" s="684">
        <f>IF(終値!A271="","",IFERROR(4*STDEVP(終値!E271:X271)/AVERAGE(終値!E271:X271),""))</f>
      </c>
      <c r="C271" s="684">
        <f>IF(終値!A271="","",IFERROR(4*STDEVP(終値!F271:Y271)/AVERAGE(終値!F271:Y271),""))</f>
      </c>
      <c r="D271" s="684">
        <f>IF(終値!A271="","",IFERROR(4*STDEVP(終値!G271:Z271)/AVERAGE(終値!G271:Z271),""))</f>
      </c>
      <c r="E271" s="684">
        <f>IF(終値!A271="","",IFERROR(4*STDEVP(終値!H271:AA271)/AVERAGE(終値!H271:AA271),""))</f>
      </c>
      <c r="F271" s="684">
        <f>IF(終値!A271="","",IFERROR(4*STDEVP(終値!I271:AB271)/AVERAGE(終値!I271:AB271),""))</f>
      </c>
      <c r="G271" s="684">
        <f>IF(終値!A271="","",IFERROR(4*STDEVP(終値!J271:AC271)/AVERAGE(終値!J271:AC271),""))</f>
      </c>
      <c r="H271" s="684">
        <f>IF(終値!A271="","",IFERROR(4*STDEVP(終値!K271:AD271)/AVERAGE(終値!K271:AD271),""))</f>
      </c>
      <c r="I271" s="684">
        <f>IF(終値!A271="","",IFERROR(4*STDEVP(終値!L271:AE271)/AVERAGE(終値!L271:AE271),""))</f>
      </c>
      <c r="J271" s="684">
        <f>IF(終値!A271="","",IFERROR(4*STDEVP(終値!M271:AF271)/AVERAGE(終値!M271:AF271),""))</f>
      </c>
      <c r="K271" s="684">
        <f>IF(終値!A271="","",IFERROR(4*STDEVP(終値!N271:AG271)/AVERAGE(終値!N271:AG271),""))</f>
      </c>
      <c r="L271" s="684">
        <f>IF(終値!A271="","",IFERROR(4*STDEVP(終値!O271:AH271)/AVERAGE(終値!O271:AH271),""))</f>
      </c>
      <c r="M271" s="684">
        <f>IF(終値!A271="","",IFERROR(4*STDEVP(終値!P271:AI271)/AVERAGE(終値!P271:AI271),""))</f>
      </c>
      <c r="N271" s="684">
        <f>IF(終値!A271="","",IFERROR(4*STDEVP(終値!Q271:AJ271)/AVERAGE(終値!Q271:AJ271),""))</f>
      </c>
      <c r="O271" s="684">
        <f>IF(終値!A271="","",IFERROR(4*STDEVP(終値!R271:AK271)/AVERAGE(終値!R271:AK271),""))</f>
      </c>
      <c r="P271" s="684">
        <f>IF(終値!A271="","",IFERROR(4*STDEVP(終値!S271:AL271)/AVERAGE(終値!S271:AL271),""))</f>
      </c>
      <c r="Q271" s="684">
        <f>IF(終値!A271="","",IFERROR(4*STDEVP(終値!T271:AM271)/AVERAGE(終値!T271:AM271),""))</f>
      </c>
      <c r="R271" s="684">
        <f>IF(終値!A271="","",IFERROR(4*STDEVP(終値!U271:AN271)/AVERAGE(終値!U271:AN271),""))</f>
      </c>
      <c r="S271" s="684">
        <f>IF(終値!A271="","",IFERROR(4*STDEVP(終値!V271:AO271)/AVERAGE(終値!V271:AO271),""))</f>
      </c>
      <c r="T271" s="684">
        <f>IF(終値!A271="","",IFERROR(4*STDEVP(終値!W271:AP271)/AVERAGE(終値!W271:AP271),""))</f>
      </c>
      <c r="U271" s="684">
        <f>IF(終値!A271="","",IFERROR(4*STDEVP(終値!X271:AQ271)/AVERAGE(終値!X271:AQ271),""))</f>
      </c>
      <c r="V271" s="684">
        <f>IF(終値!A271="","",IFERROR(4*STDEVP(終値!Y271:AR271)/AVERAGE(終値!Y271:AR271),""))</f>
      </c>
      <c r="W271" s="684">
        <f>IF(終値!A271="","",IFERROR(4*STDEVP(終値!Z271:AS271)/AVERAGE(終値!Z271:AS271),""))</f>
      </c>
      <c r="X271" s="684">
        <f>IF(終値!A271="","",IFERROR(4*STDEVP(終値!AA271:AT271)/AVERAGE(終値!AA271:AT271),""))</f>
      </c>
      <c r="Y271" s="684">
        <f>IF(終値!A271="","",IFERROR(4*STDEVP(終値!AB271:AU271)/AVERAGE(終値!AB271:AU271),""))</f>
      </c>
      <c r="Z271" s="684">
        <f>IF(終値!A271="","",IFERROR(4*STDEVP(終値!AC271:AV271)/AVERAGE(終値!AC271:AV271),""))</f>
      </c>
      <c r="AA271" s="684">
        <f>IF(終値!A271="","",IFERROR(4*STDEVP(終値!AD271:AW271)/AVERAGE(終値!AD271:AW271),""))</f>
      </c>
      <c r="AB271" s="684">
        <f>IF(終値!A271="","",IFERROR(4*STDEVP(終値!AE271:AX271)/AVERAGE(終値!AE271:AX271),""))</f>
      </c>
      <c r="AC271" s="684">
        <f>IF(終値!A271="","",IFERROR(4*STDEVP(終値!AF271:AY271)/AVERAGE(終値!AF271:AY271),""))</f>
      </c>
      <c r="AD271" s="684">
        <f>IF(終値!A271="","",IFERROR(4*STDEVP(終値!AG271:AZ271)/AVERAGE(終値!AG271:AZ271),""))</f>
      </c>
      <c r="AE271" s="684">
        <f>IF(終値!A271="","",IFERROR(4*STDEVP(終値!AH271:BA271)/AVERAGE(終値!AH271:BA271),""))</f>
      </c>
      <c r="AF271" s="684">
        <f>IF(終値!A271="","",IFERROR(4*STDEVP(終値!AI271:BB271)/AVERAGE(終値!AI271:BB271),""))</f>
      </c>
      <c r="AG271" s="684">
        <f>IF(終値!A271="","",IFERROR(4*STDEVP(終値!AJ271:BC271)/AVERAGE(終値!AJ271:BC271),""))</f>
      </c>
      <c r="AH271" s="684">
        <f>IF(終値!A271="","",IFERROR(4*STDEVP(終値!AK271:BD271)/AVERAGE(終値!AK271:BD271),""))</f>
      </c>
      <c r="AI271" s="684">
        <f>IF(終値!A271="","",IFERROR(4*STDEVP(終値!AL271:BE271)/AVERAGE(終値!AL271:BE271),""))</f>
      </c>
      <c r="AJ271" s="684">
        <f>IF(終値!A271="","",IFERROR(4*STDEVP(終値!AM271:BF271)/AVERAGE(終値!AM271:BF271),""))</f>
      </c>
      <c r="AK271" s="684">
        <f>IF(終値!A271="","",IFERROR(4*STDEVP(終値!AN271:BG271)/AVERAGE(終値!AN271:BG271),""))</f>
      </c>
      <c r="AL271" s="684">
        <f>IF(終値!A271="","",IFERROR(4*STDEVP(終値!AO271:BH271)/AVERAGE(終値!AO271:BH271),""))</f>
      </c>
      <c r="AM271" s="684">
        <f>IF(終値!A271="","",IFERROR(4*STDEVP(終値!AP271:BI271)/AVERAGE(終値!AP271:BI271),""))</f>
      </c>
      <c r="AN271" s="684">
        <f>IF(終値!A271="","",IFERROR(4*STDEVP(終値!AQ271:BJ271)/AVERAGE(終値!AQ271:BJ271),""))</f>
      </c>
      <c r="AO271" s="684">
        <f>IF(終値!A271="","",IFERROR(4*STDEVP(終値!AR271:BK271)/AVERAGE(終値!AR271:BK271),""))</f>
      </c>
      <c r="AP271" s="684">
        <f>IF(終値!A271="","",IFERROR(4*STDEVP(終値!AS271:BL271)/AVERAGE(終値!AS271:BL271),""))</f>
      </c>
    </row>
    <row r="272">
      <c r="A272" s="681">
        <f>IF(終値!A272="","",終値!A272)</f>
      </c>
      <c r="B272" s="684">
        <f>IF(終値!A272="","",IFERROR(4*STDEVP(終値!E272:X272)/AVERAGE(終値!E272:X272),""))</f>
      </c>
      <c r="C272" s="684">
        <f>IF(終値!A272="","",IFERROR(4*STDEVP(終値!F272:Y272)/AVERAGE(終値!F272:Y272),""))</f>
      </c>
      <c r="D272" s="684">
        <f>IF(終値!A272="","",IFERROR(4*STDEVP(終値!G272:Z272)/AVERAGE(終値!G272:Z272),""))</f>
      </c>
      <c r="E272" s="684">
        <f>IF(終値!A272="","",IFERROR(4*STDEVP(終値!H272:AA272)/AVERAGE(終値!H272:AA272),""))</f>
      </c>
      <c r="F272" s="684">
        <f>IF(終値!A272="","",IFERROR(4*STDEVP(終値!I272:AB272)/AVERAGE(終値!I272:AB272),""))</f>
      </c>
      <c r="G272" s="684">
        <f>IF(終値!A272="","",IFERROR(4*STDEVP(終値!J272:AC272)/AVERAGE(終値!J272:AC272),""))</f>
      </c>
      <c r="H272" s="684">
        <f>IF(終値!A272="","",IFERROR(4*STDEVP(終値!K272:AD272)/AVERAGE(終値!K272:AD272),""))</f>
      </c>
      <c r="I272" s="684">
        <f>IF(終値!A272="","",IFERROR(4*STDEVP(終値!L272:AE272)/AVERAGE(終値!L272:AE272),""))</f>
      </c>
      <c r="J272" s="684">
        <f>IF(終値!A272="","",IFERROR(4*STDEVP(終値!M272:AF272)/AVERAGE(終値!M272:AF272),""))</f>
      </c>
      <c r="K272" s="684">
        <f>IF(終値!A272="","",IFERROR(4*STDEVP(終値!N272:AG272)/AVERAGE(終値!N272:AG272),""))</f>
      </c>
      <c r="L272" s="684">
        <f>IF(終値!A272="","",IFERROR(4*STDEVP(終値!O272:AH272)/AVERAGE(終値!O272:AH272),""))</f>
      </c>
      <c r="M272" s="684">
        <f>IF(終値!A272="","",IFERROR(4*STDEVP(終値!P272:AI272)/AVERAGE(終値!P272:AI272),""))</f>
      </c>
      <c r="N272" s="684">
        <f>IF(終値!A272="","",IFERROR(4*STDEVP(終値!Q272:AJ272)/AVERAGE(終値!Q272:AJ272),""))</f>
      </c>
      <c r="O272" s="684">
        <f>IF(終値!A272="","",IFERROR(4*STDEVP(終値!R272:AK272)/AVERAGE(終値!R272:AK272),""))</f>
      </c>
      <c r="P272" s="684">
        <f>IF(終値!A272="","",IFERROR(4*STDEVP(終値!S272:AL272)/AVERAGE(終値!S272:AL272),""))</f>
      </c>
      <c r="Q272" s="684">
        <f>IF(終値!A272="","",IFERROR(4*STDEVP(終値!T272:AM272)/AVERAGE(終値!T272:AM272),""))</f>
      </c>
      <c r="R272" s="684">
        <f>IF(終値!A272="","",IFERROR(4*STDEVP(終値!U272:AN272)/AVERAGE(終値!U272:AN272),""))</f>
      </c>
      <c r="S272" s="684">
        <f>IF(終値!A272="","",IFERROR(4*STDEVP(終値!V272:AO272)/AVERAGE(終値!V272:AO272),""))</f>
      </c>
      <c r="T272" s="684">
        <f>IF(終値!A272="","",IFERROR(4*STDEVP(終値!W272:AP272)/AVERAGE(終値!W272:AP272),""))</f>
      </c>
      <c r="U272" s="684">
        <f>IF(終値!A272="","",IFERROR(4*STDEVP(終値!X272:AQ272)/AVERAGE(終値!X272:AQ272),""))</f>
      </c>
      <c r="V272" s="684">
        <f>IF(終値!A272="","",IFERROR(4*STDEVP(終値!Y272:AR272)/AVERAGE(終値!Y272:AR272),""))</f>
      </c>
      <c r="W272" s="684">
        <f>IF(終値!A272="","",IFERROR(4*STDEVP(終値!Z272:AS272)/AVERAGE(終値!Z272:AS272),""))</f>
      </c>
      <c r="X272" s="684">
        <f>IF(終値!A272="","",IFERROR(4*STDEVP(終値!AA272:AT272)/AVERAGE(終値!AA272:AT272),""))</f>
      </c>
      <c r="Y272" s="684">
        <f>IF(終値!A272="","",IFERROR(4*STDEVP(終値!AB272:AU272)/AVERAGE(終値!AB272:AU272),""))</f>
      </c>
      <c r="Z272" s="684">
        <f>IF(終値!A272="","",IFERROR(4*STDEVP(終値!AC272:AV272)/AVERAGE(終値!AC272:AV272),""))</f>
      </c>
      <c r="AA272" s="684">
        <f>IF(終値!A272="","",IFERROR(4*STDEVP(終値!AD272:AW272)/AVERAGE(終値!AD272:AW272),""))</f>
      </c>
      <c r="AB272" s="684">
        <f>IF(終値!A272="","",IFERROR(4*STDEVP(終値!AE272:AX272)/AVERAGE(終値!AE272:AX272),""))</f>
      </c>
      <c r="AC272" s="684">
        <f>IF(終値!A272="","",IFERROR(4*STDEVP(終値!AF272:AY272)/AVERAGE(終値!AF272:AY272),""))</f>
      </c>
      <c r="AD272" s="684">
        <f>IF(終値!A272="","",IFERROR(4*STDEVP(終値!AG272:AZ272)/AVERAGE(終値!AG272:AZ272),""))</f>
      </c>
      <c r="AE272" s="684">
        <f>IF(終値!A272="","",IFERROR(4*STDEVP(終値!AH272:BA272)/AVERAGE(終値!AH272:BA272),""))</f>
      </c>
      <c r="AF272" s="684">
        <f>IF(終値!A272="","",IFERROR(4*STDEVP(終値!AI272:BB272)/AVERAGE(終値!AI272:BB272),""))</f>
      </c>
      <c r="AG272" s="684">
        <f>IF(終値!A272="","",IFERROR(4*STDEVP(終値!AJ272:BC272)/AVERAGE(終値!AJ272:BC272),""))</f>
      </c>
      <c r="AH272" s="684">
        <f>IF(終値!A272="","",IFERROR(4*STDEVP(終値!AK272:BD272)/AVERAGE(終値!AK272:BD272),""))</f>
      </c>
      <c r="AI272" s="684">
        <f>IF(終値!A272="","",IFERROR(4*STDEVP(終値!AL272:BE272)/AVERAGE(終値!AL272:BE272),""))</f>
      </c>
      <c r="AJ272" s="684">
        <f>IF(終値!A272="","",IFERROR(4*STDEVP(終値!AM272:BF272)/AVERAGE(終値!AM272:BF272),""))</f>
      </c>
      <c r="AK272" s="684">
        <f>IF(終値!A272="","",IFERROR(4*STDEVP(終値!AN272:BG272)/AVERAGE(終値!AN272:BG272),""))</f>
      </c>
      <c r="AL272" s="684">
        <f>IF(終値!A272="","",IFERROR(4*STDEVP(終値!AO272:BH272)/AVERAGE(終値!AO272:BH272),""))</f>
      </c>
      <c r="AM272" s="684">
        <f>IF(終値!A272="","",IFERROR(4*STDEVP(終値!AP272:BI272)/AVERAGE(終値!AP272:BI272),""))</f>
      </c>
      <c r="AN272" s="684">
        <f>IF(終値!A272="","",IFERROR(4*STDEVP(終値!AQ272:BJ272)/AVERAGE(終値!AQ272:BJ272),""))</f>
      </c>
      <c r="AO272" s="684">
        <f>IF(終値!A272="","",IFERROR(4*STDEVP(終値!AR272:BK272)/AVERAGE(終値!AR272:BK272),""))</f>
      </c>
      <c r="AP272" s="684">
        <f>IF(終値!A272="","",IFERROR(4*STDEVP(終値!AS272:BL272)/AVERAGE(終値!AS272:BL272),""))</f>
      </c>
    </row>
    <row r="273">
      <c r="A273" s="681">
        <f>IF(終値!A273="","",終値!A273)</f>
      </c>
      <c r="B273" s="684">
        <f>IF(終値!A273="","",IFERROR(4*STDEVP(終値!E273:X273)/AVERAGE(終値!E273:X273),""))</f>
      </c>
      <c r="C273" s="684">
        <f>IF(終値!A273="","",IFERROR(4*STDEVP(終値!F273:Y273)/AVERAGE(終値!F273:Y273),""))</f>
      </c>
      <c r="D273" s="684">
        <f>IF(終値!A273="","",IFERROR(4*STDEVP(終値!G273:Z273)/AVERAGE(終値!G273:Z273),""))</f>
      </c>
      <c r="E273" s="684">
        <f>IF(終値!A273="","",IFERROR(4*STDEVP(終値!H273:AA273)/AVERAGE(終値!H273:AA273),""))</f>
      </c>
      <c r="F273" s="684">
        <f>IF(終値!A273="","",IFERROR(4*STDEVP(終値!I273:AB273)/AVERAGE(終値!I273:AB273),""))</f>
      </c>
      <c r="G273" s="684">
        <f>IF(終値!A273="","",IFERROR(4*STDEVP(終値!J273:AC273)/AVERAGE(終値!J273:AC273),""))</f>
      </c>
      <c r="H273" s="684">
        <f>IF(終値!A273="","",IFERROR(4*STDEVP(終値!K273:AD273)/AVERAGE(終値!K273:AD273),""))</f>
      </c>
      <c r="I273" s="684">
        <f>IF(終値!A273="","",IFERROR(4*STDEVP(終値!L273:AE273)/AVERAGE(終値!L273:AE273),""))</f>
      </c>
      <c r="J273" s="684">
        <f>IF(終値!A273="","",IFERROR(4*STDEVP(終値!M273:AF273)/AVERAGE(終値!M273:AF273),""))</f>
      </c>
      <c r="K273" s="684">
        <f>IF(終値!A273="","",IFERROR(4*STDEVP(終値!N273:AG273)/AVERAGE(終値!N273:AG273),""))</f>
      </c>
      <c r="L273" s="684">
        <f>IF(終値!A273="","",IFERROR(4*STDEVP(終値!O273:AH273)/AVERAGE(終値!O273:AH273),""))</f>
      </c>
      <c r="M273" s="684">
        <f>IF(終値!A273="","",IFERROR(4*STDEVP(終値!P273:AI273)/AVERAGE(終値!P273:AI273),""))</f>
      </c>
      <c r="N273" s="684">
        <f>IF(終値!A273="","",IFERROR(4*STDEVP(終値!Q273:AJ273)/AVERAGE(終値!Q273:AJ273),""))</f>
      </c>
      <c r="O273" s="684">
        <f>IF(終値!A273="","",IFERROR(4*STDEVP(終値!R273:AK273)/AVERAGE(終値!R273:AK273),""))</f>
      </c>
      <c r="P273" s="684">
        <f>IF(終値!A273="","",IFERROR(4*STDEVP(終値!S273:AL273)/AVERAGE(終値!S273:AL273),""))</f>
      </c>
      <c r="Q273" s="684">
        <f>IF(終値!A273="","",IFERROR(4*STDEVP(終値!T273:AM273)/AVERAGE(終値!T273:AM273),""))</f>
      </c>
      <c r="R273" s="684">
        <f>IF(終値!A273="","",IFERROR(4*STDEVP(終値!U273:AN273)/AVERAGE(終値!U273:AN273),""))</f>
      </c>
      <c r="S273" s="684">
        <f>IF(終値!A273="","",IFERROR(4*STDEVP(終値!V273:AO273)/AVERAGE(終値!V273:AO273),""))</f>
      </c>
      <c r="T273" s="684">
        <f>IF(終値!A273="","",IFERROR(4*STDEVP(終値!W273:AP273)/AVERAGE(終値!W273:AP273),""))</f>
      </c>
      <c r="U273" s="684">
        <f>IF(終値!A273="","",IFERROR(4*STDEVP(終値!X273:AQ273)/AVERAGE(終値!X273:AQ273),""))</f>
      </c>
      <c r="V273" s="684">
        <f>IF(終値!A273="","",IFERROR(4*STDEVP(終値!Y273:AR273)/AVERAGE(終値!Y273:AR273),""))</f>
      </c>
      <c r="W273" s="684">
        <f>IF(終値!A273="","",IFERROR(4*STDEVP(終値!Z273:AS273)/AVERAGE(終値!Z273:AS273),""))</f>
      </c>
      <c r="X273" s="684">
        <f>IF(終値!A273="","",IFERROR(4*STDEVP(終値!AA273:AT273)/AVERAGE(終値!AA273:AT273),""))</f>
      </c>
      <c r="Y273" s="684">
        <f>IF(終値!A273="","",IFERROR(4*STDEVP(終値!AB273:AU273)/AVERAGE(終値!AB273:AU273),""))</f>
      </c>
      <c r="Z273" s="684">
        <f>IF(終値!A273="","",IFERROR(4*STDEVP(終値!AC273:AV273)/AVERAGE(終値!AC273:AV273),""))</f>
      </c>
      <c r="AA273" s="684">
        <f>IF(終値!A273="","",IFERROR(4*STDEVP(終値!AD273:AW273)/AVERAGE(終値!AD273:AW273),""))</f>
      </c>
      <c r="AB273" s="684">
        <f>IF(終値!A273="","",IFERROR(4*STDEVP(終値!AE273:AX273)/AVERAGE(終値!AE273:AX273),""))</f>
      </c>
      <c r="AC273" s="684">
        <f>IF(終値!A273="","",IFERROR(4*STDEVP(終値!AF273:AY273)/AVERAGE(終値!AF273:AY273),""))</f>
      </c>
      <c r="AD273" s="684">
        <f>IF(終値!A273="","",IFERROR(4*STDEVP(終値!AG273:AZ273)/AVERAGE(終値!AG273:AZ273),""))</f>
      </c>
      <c r="AE273" s="684">
        <f>IF(終値!A273="","",IFERROR(4*STDEVP(終値!AH273:BA273)/AVERAGE(終値!AH273:BA273),""))</f>
      </c>
      <c r="AF273" s="684">
        <f>IF(終値!A273="","",IFERROR(4*STDEVP(終値!AI273:BB273)/AVERAGE(終値!AI273:BB273),""))</f>
      </c>
      <c r="AG273" s="684">
        <f>IF(終値!A273="","",IFERROR(4*STDEVP(終値!AJ273:BC273)/AVERAGE(終値!AJ273:BC273),""))</f>
      </c>
      <c r="AH273" s="684">
        <f>IF(終値!A273="","",IFERROR(4*STDEVP(終値!AK273:BD273)/AVERAGE(終値!AK273:BD273),""))</f>
      </c>
      <c r="AI273" s="684">
        <f>IF(終値!A273="","",IFERROR(4*STDEVP(終値!AL273:BE273)/AVERAGE(終値!AL273:BE273),""))</f>
      </c>
      <c r="AJ273" s="684">
        <f>IF(終値!A273="","",IFERROR(4*STDEVP(終値!AM273:BF273)/AVERAGE(終値!AM273:BF273),""))</f>
      </c>
      <c r="AK273" s="684">
        <f>IF(終値!A273="","",IFERROR(4*STDEVP(終値!AN273:BG273)/AVERAGE(終値!AN273:BG273),""))</f>
      </c>
      <c r="AL273" s="684">
        <f>IF(終値!A273="","",IFERROR(4*STDEVP(終値!AO273:BH273)/AVERAGE(終値!AO273:BH273),""))</f>
      </c>
      <c r="AM273" s="684">
        <f>IF(終値!A273="","",IFERROR(4*STDEVP(終値!AP273:BI273)/AVERAGE(終値!AP273:BI273),""))</f>
      </c>
      <c r="AN273" s="684">
        <f>IF(終値!A273="","",IFERROR(4*STDEVP(終値!AQ273:BJ273)/AVERAGE(終値!AQ273:BJ273),""))</f>
      </c>
      <c r="AO273" s="684">
        <f>IF(終値!A273="","",IFERROR(4*STDEVP(終値!AR273:BK273)/AVERAGE(終値!AR273:BK273),""))</f>
      </c>
      <c r="AP273" s="684">
        <f>IF(終値!A273="","",IFERROR(4*STDEVP(終値!AS273:BL273)/AVERAGE(終値!AS273:BL273),""))</f>
      </c>
    </row>
    <row r="274">
      <c r="A274" s="681">
        <f>IF(終値!A274="","",終値!A274)</f>
      </c>
      <c r="B274" s="684">
        <f>IF(終値!A274="","",IFERROR(4*STDEVP(終値!E274:X274)/AVERAGE(終値!E274:X274),""))</f>
      </c>
      <c r="C274" s="684">
        <f>IF(終値!A274="","",IFERROR(4*STDEVP(終値!F274:Y274)/AVERAGE(終値!F274:Y274),""))</f>
      </c>
      <c r="D274" s="684">
        <f>IF(終値!A274="","",IFERROR(4*STDEVP(終値!G274:Z274)/AVERAGE(終値!G274:Z274),""))</f>
      </c>
      <c r="E274" s="684">
        <f>IF(終値!A274="","",IFERROR(4*STDEVP(終値!H274:AA274)/AVERAGE(終値!H274:AA274),""))</f>
      </c>
      <c r="F274" s="684">
        <f>IF(終値!A274="","",IFERROR(4*STDEVP(終値!I274:AB274)/AVERAGE(終値!I274:AB274),""))</f>
      </c>
      <c r="G274" s="684">
        <f>IF(終値!A274="","",IFERROR(4*STDEVP(終値!J274:AC274)/AVERAGE(終値!J274:AC274),""))</f>
      </c>
      <c r="H274" s="684">
        <f>IF(終値!A274="","",IFERROR(4*STDEVP(終値!K274:AD274)/AVERAGE(終値!K274:AD274),""))</f>
      </c>
      <c r="I274" s="684">
        <f>IF(終値!A274="","",IFERROR(4*STDEVP(終値!L274:AE274)/AVERAGE(終値!L274:AE274),""))</f>
      </c>
      <c r="J274" s="684">
        <f>IF(終値!A274="","",IFERROR(4*STDEVP(終値!M274:AF274)/AVERAGE(終値!M274:AF274),""))</f>
      </c>
      <c r="K274" s="684">
        <f>IF(終値!A274="","",IFERROR(4*STDEVP(終値!N274:AG274)/AVERAGE(終値!N274:AG274),""))</f>
      </c>
      <c r="L274" s="684">
        <f>IF(終値!A274="","",IFERROR(4*STDEVP(終値!O274:AH274)/AVERAGE(終値!O274:AH274),""))</f>
      </c>
      <c r="M274" s="684">
        <f>IF(終値!A274="","",IFERROR(4*STDEVP(終値!P274:AI274)/AVERAGE(終値!P274:AI274),""))</f>
      </c>
      <c r="N274" s="684">
        <f>IF(終値!A274="","",IFERROR(4*STDEVP(終値!Q274:AJ274)/AVERAGE(終値!Q274:AJ274),""))</f>
      </c>
      <c r="O274" s="684">
        <f>IF(終値!A274="","",IFERROR(4*STDEVP(終値!R274:AK274)/AVERAGE(終値!R274:AK274),""))</f>
      </c>
      <c r="P274" s="684">
        <f>IF(終値!A274="","",IFERROR(4*STDEVP(終値!S274:AL274)/AVERAGE(終値!S274:AL274),""))</f>
      </c>
      <c r="Q274" s="684">
        <f>IF(終値!A274="","",IFERROR(4*STDEVP(終値!T274:AM274)/AVERAGE(終値!T274:AM274),""))</f>
      </c>
      <c r="R274" s="684">
        <f>IF(終値!A274="","",IFERROR(4*STDEVP(終値!U274:AN274)/AVERAGE(終値!U274:AN274),""))</f>
      </c>
      <c r="S274" s="684">
        <f>IF(終値!A274="","",IFERROR(4*STDEVP(終値!V274:AO274)/AVERAGE(終値!V274:AO274),""))</f>
      </c>
      <c r="T274" s="684">
        <f>IF(終値!A274="","",IFERROR(4*STDEVP(終値!W274:AP274)/AVERAGE(終値!W274:AP274),""))</f>
      </c>
      <c r="U274" s="684">
        <f>IF(終値!A274="","",IFERROR(4*STDEVP(終値!X274:AQ274)/AVERAGE(終値!X274:AQ274),""))</f>
      </c>
      <c r="V274" s="684">
        <f>IF(終値!A274="","",IFERROR(4*STDEVP(終値!Y274:AR274)/AVERAGE(終値!Y274:AR274),""))</f>
      </c>
      <c r="W274" s="684">
        <f>IF(終値!A274="","",IFERROR(4*STDEVP(終値!Z274:AS274)/AVERAGE(終値!Z274:AS274),""))</f>
      </c>
      <c r="X274" s="684">
        <f>IF(終値!A274="","",IFERROR(4*STDEVP(終値!AA274:AT274)/AVERAGE(終値!AA274:AT274),""))</f>
      </c>
      <c r="Y274" s="684">
        <f>IF(終値!A274="","",IFERROR(4*STDEVP(終値!AB274:AU274)/AVERAGE(終値!AB274:AU274),""))</f>
      </c>
      <c r="Z274" s="684">
        <f>IF(終値!A274="","",IFERROR(4*STDEVP(終値!AC274:AV274)/AVERAGE(終値!AC274:AV274),""))</f>
      </c>
      <c r="AA274" s="684">
        <f>IF(終値!A274="","",IFERROR(4*STDEVP(終値!AD274:AW274)/AVERAGE(終値!AD274:AW274),""))</f>
      </c>
      <c r="AB274" s="684">
        <f>IF(終値!A274="","",IFERROR(4*STDEVP(終値!AE274:AX274)/AVERAGE(終値!AE274:AX274),""))</f>
      </c>
      <c r="AC274" s="684">
        <f>IF(終値!A274="","",IFERROR(4*STDEVP(終値!AF274:AY274)/AVERAGE(終値!AF274:AY274),""))</f>
      </c>
      <c r="AD274" s="684">
        <f>IF(終値!A274="","",IFERROR(4*STDEVP(終値!AG274:AZ274)/AVERAGE(終値!AG274:AZ274),""))</f>
      </c>
      <c r="AE274" s="684">
        <f>IF(終値!A274="","",IFERROR(4*STDEVP(終値!AH274:BA274)/AVERAGE(終値!AH274:BA274),""))</f>
      </c>
      <c r="AF274" s="684">
        <f>IF(終値!A274="","",IFERROR(4*STDEVP(終値!AI274:BB274)/AVERAGE(終値!AI274:BB274),""))</f>
      </c>
      <c r="AG274" s="684">
        <f>IF(終値!A274="","",IFERROR(4*STDEVP(終値!AJ274:BC274)/AVERAGE(終値!AJ274:BC274),""))</f>
      </c>
      <c r="AH274" s="684">
        <f>IF(終値!A274="","",IFERROR(4*STDEVP(終値!AK274:BD274)/AVERAGE(終値!AK274:BD274),""))</f>
      </c>
      <c r="AI274" s="684">
        <f>IF(終値!A274="","",IFERROR(4*STDEVP(終値!AL274:BE274)/AVERAGE(終値!AL274:BE274),""))</f>
      </c>
      <c r="AJ274" s="684">
        <f>IF(終値!A274="","",IFERROR(4*STDEVP(終値!AM274:BF274)/AVERAGE(終値!AM274:BF274),""))</f>
      </c>
      <c r="AK274" s="684">
        <f>IF(終値!A274="","",IFERROR(4*STDEVP(終値!AN274:BG274)/AVERAGE(終値!AN274:BG274),""))</f>
      </c>
      <c r="AL274" s="684">
        <f>IF(終値!A274="","",IFERROR(4*STDEVP(終値!AO274:BH274)/AVERAGE(終値!AO274:BH274),""))</f>
      </c>
      <c r="AM274" s="684">
        <f>IF(終値!A274="","",IFERROR(4*STDEVP(終値!AP274:BI274)/AVERAGE(終値!AP274:BI274),""))</f>
      </c>
      <c r="AN274" s="684">
        <f>IF(終値!A274="","",IFERROR(4*STDEVP(終値!AQ274:BJ274)/AVERAGE(終値!AQ274:BJ274),""))</f>
      </c>
      <c r="AO274" s="684">
        <f>IF(終値!A274="","",IFERROR(4*STDEVP(終値!AR274:BK274)/AVERAGE(終値!AR274:BK274),""))</f>
      </c>
      <c r="AP274" s="684">
        <f>IF(終値!A274="","",IFERROR(4*STDEVP(終値!AS274:BL274)/AVERAGE(終値!AS274:BL274),""))</f>
      </c>
    </row>
    <row r="275">
      <c r="A275" s="681">
        <f>IF(終値!A275="","",終値!A275)</f>
      </c>
      <c r="B275" s="684">
        <f>IF(終値!A275="","",IFERROR(4*STDEVP(終値!E275:X275)/AVERAGE(終値!E275:X275),""))</f>
      </c>
      <c r="C275" s="684">
        <f>IF(終値!A275="","",IFERROR(4*STDEVP(終値!F275:Y275)/AVERAGE(終値!F275:Y275),""))</f>
      </c>
      <c r="D275" s="684">
        <f>IF(終値!A275="","",IFERROR(4*STDEVP(終値!G275:Z275)/AVERAGE(終値!G275:Z275),""))</f>
      </c>
      <c r="E275" s="684">
        <f>IF(終値!A275="","",IFERROR(4*STDEVP(終値!H275:AA275)/AVERAGE(終値!H275:AA275),""))</f>
      </c>
      <c r="F275" s="684">
        <f>IF(終値!A275="","",IFERROR(4*STDEVP(終値!I275:AB275)/AVERAGE(終値!I275:AB275),""))</f>
      </c>
      <c r="G275" s="684">
        <f>IF(終値!A275="","",IFERROR(4*STDEVP(終値!J275:AC275)/AVERAGE(終値!J275:AC275),""))</f>
      </c>
      <c r="H275" s="684">
        <f>IF(終値!A275="","",IFERROR(4*STDEVP(終値!K275:AD275)/AVERAGE(終値!K275:AD275),""))</f>
      </c>
      <c r="I275" s="684">
        <f>IF(終値!A275="","",IFERROR(4*STDEVP(終値!L275:AE275)/AVERAGE(終値!L275:AE275),""))</f>
      </c>
      <c r="J275" s="684">
        <f>IF(終値!A275="","",IFERROR(4*STDEVP(終値!M275:AF275)/AVERAGE(終値!M275:AF275),""))</f>
      </c>
      <c r="K275" s="684">
        <f>IF(終値!A275="","",IFERROR(4*STDEVP(終値!N275:AG275)/AVERAGE(終値!N275:AG275),""))</f>
      </c>
      <c r="L275" s="684">
        <f>IF(終値!A275="","",IFERROR(4*STDEVP(終値!O275:AH275)/AVERAGE(終値!O275:AH275),""))</f>
      </c>
      <c r="M275" s="684">
        <f>IF(終値!A275="","",IFERROR(4*STDEVP(終値!P275:AI275)/AVERAGE(終値!P275:AI275),""))</f>
      </c>
      <c r="N275" s="684">
        <f>IF(終値!A275="","",IFERROR(4*STDEVP(終値!Q275:AJ275)/AVERAGE(終値!Q275:AJ275),""))</f>
      </c>
      <c r="O275" s="684">
        <f>IF(終値!A275="","",IFERROR(4*STDEVP(終値!R275:AK275)/AVERAGE(終値!R275:AK275),""))</f>
      </c>
      <c r="P275" s="684">
        <f>IF(終値!A275="","",IFERROR(4*STDEVP(終値!S275:AL275)/AVERAGE(終値!S275:AL275),""))</f>
      </c>
      <c r="Q275" s="684">
        <f>IF(終値!A275="","",IFERROR(4*STDEVP(終値!T275:AM275)/AVERAGE(終値!T275:AM275),""))</f>
      </c>
      <c r="R275" s="684">
        <f>IF(終値!A275="","",IFERROR(4*STDEVP(終値!U275:AN275)/AVERAGE(終値!U275:AN275),""))</f>
      </c>
      <c r="S275" s="684">
        <f>IF(終値!A275="","",IFERROR(4*STDEVP(終値!V275:AO275)/AVERAGE(終値!V275:AO275),""))</f>
      </c>
      <c r="T275" s="684">
        <f>IF(終値!A275="","",IFERROR(4*STDEVP(終値!W275:AP275)/AVERAGE(終値!W275:AP275),""))</f>
      </c>
      <c r="U275" s="684">
        <f>IF(終値!A275="","",IFERROR(4*STDEVP(終値!X275:AQ275)/AVERAGE(終値!X275:AQ275),""))</f>
      </c>
      <c r="V275" s="684">
        <f>IF(終値!A275="","",IFERROR(4*STDEVP(終値!Y275:AR275)/AVERAGE(終値!Y275:AR275),""))</f>
      </c>
      <c r="W275" s="684">
        <f>IF(終値!A275="","",IFERROR(4*STDEVP(終値!Z275:AS275)/AVERAGE(終値!Z275:AS275),""))</f>
      </c>
      <c r="X275" s="684">
        <f>IF(終値!A275="","",IFERROR(4*STDEVP(終値!AA275:AT275)/AVERAGE(終値!AA275:AT275),""))</f>
      </c>
      <c r="Y275" s="684">
        <f>IF(終値!A275="","",IFERROR(4*STDEVP(終値!AB275:AU275)/AVERAGE(終値!AB275:AU275),""))</f>
      </c>
      <c r="Z275" s="684">
        <f>IF(終値!A275="","",IFERROR(4*STDEVP(終値!AC275:AV275)/AVERAGE(終値!AC275:AV275),""))</f>
      </c>
      <c r="AA275" s="684">
        <f>IF(終値!A275="","",IFERROR(4*STDEVP(終値!AD275:AW275)/AVERAGE(終値!AD275:AW275),""))</f>
      </c>
      <c r="AB275" s="684">
        <f>IF(終値!A275="","",IFERROR(4*STDEVP(終値!AE275:AX275)/AVERAGE(終値!AE275:AX275),""))</f>
      </c>
      <c r="AC275" s="684">
        <f>IF(終値!A275="","",IFERROR(4*STDEVP(終値!AF275:AY275)/AVERAGE(終値!AF275:AY275),""))</f>
      </c>
      <c r="AD275" s="684">
        <f>IF(終値!A275="","",IFERROR(4*STDEVP(終値!AG275:AZ275)/AVERAGE(終値!AG275:AZ275),""))</f>
      </c>
      <c r="AE275" s="684">
        <f>IF(終値!A275="","",IFERROR(4*STDEVP(終値!AH275:BA275)/AVERAGE(終値!AH275:BA275),""))</f>
      </c>
      <c r="AF275" s="684">
        <f>IF(終値!A275="","",IFERROR(4*STDEVP(終値!AI275:BB275)/AVERAGE(終値!AI275:BB275),""))</f>
      </c>
      <c r="AG275" s="684">
        <f>IF(終値!A275="","",IFERROR(4*STDEVP(終値!AJ275:BC275)/AVERAGE(終値!AJ275:BC275),""))</f>
      </c>
      <c r="AH275" s="684">
        <f>IF(終値!A275="","",IFERROR(4*STDEVP(終値!AK275:BD275)/AVERAGE(終値!AK275:BD275),""))</f>
      </c>
      <c r="AI275" s="684">
        <f>IF(終値!A275="","",IFERROR(4*STDEVP(終値!AL275:BE275)/AVERAGE(終値!AL275:BE275),""))</f>
      </c>
      <c r="AJ275" s="684">
        <f>IF(終値!A275="","",IFERROR(4*STDEVP(終値!AM275:BF275)/AVERAGE(終値!AM275:BF275),""))</f>
      </c>
      <c r="AK275" s="684">
        <f>IF(終値!A275="","",IFERROR(4*STDEVP(終値!AN275:BG275)/AVERAGE(終値!AN275:BG275),""))</f>
      </c>
      <c r="AL275" s="684">
        <f>IF(終値!A275="","",IFERROR(4*STDEVP(終値!AO275:BH275)/AVERAGE(終値!AO275:BH275),""))</f>
      </c>
      <c r="AM275" s="684">
        <f>IF(終値!A275="","",IFERROR(4*STDEVP(終値!AP275:BI275)/AVERAGE(終値!AP275:BI275),""))</f>
      </c>
      <c r="AN275" s="684">
        <f>IF(終値!A275="","",IFERROR(4*STDEVP(終値!AQ275:BJ275)/AVERAGE(終値!AQ275:BJ275),""))</f>
      </c>
      <c r="AO275" s="684">
        <f>IF(終値!A275="","",IFERROR(4*STDEVP(終値!AR275:BK275)/AVERAGE(終値!AR275:BK275),""))</f>
      </c>
      <c r="AP275" s="684">
        <f>IF(終値!A275="","",IFERROR(4*STDEVP(終値!AS275:BL275)/AVERAGE(終値!AS275:BL275),""))</f>
      </c>
    </row>
    <row r="276">
      <c r="A276" s="681">
        <f>IF(終値!A276="","",終値!A276)</f>
      </c>
      <c r="B276" s="684">
        <f>IF(終値!A276="","",IFERROR(4*STDEVP(終値!E276:X276)/AVERAGE(終値!E276:X276),""))</f>
      </c>
      <c r="C276" s="684">
        <f>IF(終値!A276="","",IFERROR(4*STDEVP(終値!F276:Y276)/AVERAGE(終値!F276:Y276),""))</f>
      </c>
      <c r="D276" s="684">
        <f>IF(終値!A276="","",IFERROR(4*STDEVP(終値!G276:Z276)/AVERAGE(終値!G276:Z276),""))</f>
      </c>
      <c r="E276" s="684">
        <f>IF(終値!A276="","",IFERROR(4*STDEVP(終値!H276:AA276)/AVERAGE(終値!H276:AA276),""))</f>
      </c>
      <c r="F276" s="684">
        <f>IF(終値!A276="","",IFERROR(4*STDEVP(終値!I276:AB276)/AVERAGE(終値!I276:AB276),""))</f>
      </c>
      <c r="G276" s="684">
        <f>IF(終値!A276="","",IFERROR(4*STDEVP(終値!J276:AC276)/AVERAGE(終値!J276:AC276),""))</f>
      </c>
      <c r="H276" s="684">
        <f>IF(終値!A276="","",IFERROR(4*STDEVP(終値!K276:AD276)/AVERAGE(終値!K276:AD276),""))</f>
      </c>
      <c r="I276" s="684">
        <f>IF(終値!A276="","",IFERROR(4*STDEVP(終値!L276:AE276)/AVERAGE(終値!L276:AE276),""))</f>
      </c>
      <c r="J276" s="684">
        <f>IF(終値!A276="","",IFERROR(4*STDEVP(終値!M276:AF276)/AVERAGE(終値!M276:AF276),""))</f>
      </c>
      <c r="K276" s="684">
        <f>IF(終値!A276="","",IFERROR(4*STDEVP(終値!N276:AG276)/AVERAGE(終値!N276:AG276),""))</f>
      </c>
      <c r="L276" s="684">
        <f>IF(終値!A276="","",IFERROR(4*STDEVP(終値!O276:AH276)/AVERAGE(終値!O276:AH276),""))</f>
      </c>
      <c r="M276" s="684">
        <f>IF(終値!A276="","",IFERROR(4*STDEVP(終値!P276:AI276)/AVERAGE(終値!P276:AI276),""))</f>
      </c>
      <c r="N276" s="684">
        <f>IF(終値!A276="","",IFERROR(4*STDEVP(終値!Q276:AJ276)/AVERAGE(終値!Q276:AJ276),""))</f>
      </c>
      <c r="O276" s="684">
        <f>IF(終値!A276="","",IFERROR(4*STDEVP(終値!R276:AK276)/AVERAGE(終値!R276:AK276),""))</f>
      </c>
      <c r="P276" s="684">
        <f>IF(終値!A276="","",IFERROR(4*STDEVP(終値!S276:AL276)/AVERAGE(終値!S276:AL276),""))</f>
      </c>
      <c r="Q276" s="684">
        <f>IF(終値!A276="","",IFERROR(4*STDEVP(終値!T276:AM276)/AVERAGE(終値!T276:AM276),""))</f>
      </c>
      <c r="R276" s="684">
        <f>IF(終値!A276="","",IFERROR(4*STDEVP(終値!U276:AN276)/AVERAGE(終値!U276:AN276),""))</f>
      </c>
      <c r="S276" s="684">
        <f>IF(終値!A276="","",IFERROR(4*STDEVP(終値!V276:AO276)/AVERAGE(終値!V276:AO276),""))</f>
      </c>
      <c r="T276" s="684">
        <f>IF(終値!A276="","",IFERROR(4*STDEVP(終値!W276:AP276)/AVERAGE(終値!W276:AP276),""))</f>
      </c>
      <c r="U276" s="684">
        <f>IF(終値!A276="","",IFERROR(4*STDEVP(終値!X276:AQ276)/AVERAGE(終値!X276:AQ276),""))</f>
      </c>
      <c r="V276" s="684">
        <f>IF(終値!A276="","",IFERROR(4*STDEVP(終値!Y276:AR276)/AVERAGE(終値!Y276:AR276),""))</f>
      </c>
      <c r="W276" s="684">
        <f>IF(終値!A276="","",IFERROR(4*STDEVP(終値!Z276:AS276)/AVERAGE(終値!Z276:AS276),""))</f>
      </c>
      <c r="X276" s="684">
        <f>IF(終値!A276="","",IFERROR(4*STDEVP(終値!AA276:AT276)/AVERAGE(終値!AA276:AT276),""))</f>
      </c>
      <c r="Y276" s="684">
        <f>IF(終値!A276="","",IFERROR(4*STDEVP(終値!AB276:AU276)/AVERAGE(終値!AB276:AU276),""))</f>
      </c>
      <c r="Z276" s="684">
        <f>IF(終値!A276="","",IFERROR(4*STDEVP(終値!AC276:AV276)/AVERAGE(終値!AC276:AV276),""))</f>
      </c>
      <c r="AA276" s="684">
        <f>IF(終値!A276="","",IFERROR(4*STDEVP(終値!AD276:AW276)/AVERAGE(終値!AD276:AW276),""))</f>
      </c>
      <c r="AB276" s="684">
        <f>IF(終値!A276="","",IFERROR(4*STDEVP(終値!AE276:AX276)/AVERAGE(終値!AE276:AX276),""))</f>
      </c>
      <c r="AC276" s="684">
        <f>IF(終値!A276="","",IFERROR(4*STDEVP(終値!AF276:AY276)/AVERAGE(終値!AF276:AY276),""))</f>
      </c>
      <c r="AD276" s="684">
        <f>IF(終値!A276="","",IFERROR(4*STDEVP(終値!AG276:AZ276)/AVERAGE(終値!AG276:AZ276),""))</f>
      </c>
      <c r="AE276" s="684">
        <f>IF(終値!A276="","",IFERROR(4*STDEVP(終値!AH276:BA276)/AVERAGE(終値!AH276:BA276),""))</f>
      </c>
      <c r="AF276" s="684">
        <f>IF(終値!A276="","",IFERROR(4*STDEVP(終値!AI276:BB276)/AVERAGE(終値!AI276:BB276),""))</f>
      </c>
      <c r="AG276" s="684">
        <f>IF(終値!A276="","",IFERROR(4*STDEVP(終値!AJ276:BC276)/AVERAGE(終値!AJ276:BC276),""))</f>
      </c>
      <c r="AH276" s="684">
        <f>IF(終値!A276="","",IFERROR(4*STDEVP(終値!AK276:BD276)/AVERAGE(終値!AK276:BD276),""))</f>
      </c>
      <c r="AI276" s="684">
        <f>IF(終値!A276="","",IFERROR(4*STDEVP(終値!AL276:BE276)/AVERAGE(終値!AL276:BE276),""))</f>
      </c>
      <c r="AJ276" s="684">
        <f>IF(終値!A276="","",IFERROR(4*STDEVP(終値!AM276:BF276)/AVERAGE(終値!AM276:BF276),""))</f>
      </c>
      <c r="AK276" s="684">
        <f>IF(終値!A276="","",IFERROR(4*STDEVP(終値!AN276:BG276)/AVERAGE(終値!AN276:BG276),""))</f>
      </c>
      <c r="AL276" s="684">
        <f>IF(終値!A276="","",IFERROR(4*STDEVP(終値!AO276:BH276)/AVERAGE(終値!AO276:BH276),""))</f>
      </c>
      <c r="AM276" s="684">
        <f>IF(終値!A276="","",IFERROR(4*STDEVP(終値!AP276:BI276)/AVERAGE(終値!AP276:BI276),""))</f>
      </c>
      <c r="AN276" s="684">
        <f>IF(終値!A276="","",IFERROR(4*STDEVP(終値!AQ276:BJ276)/AVERAGE(終値!AQ276:BJ276),""))</f>
      </c>
      <c r="AO276" s="684">
        <f>IF(終値!A276="","",IFERROR(4*STDEVP(終値!AR276:BK276)/AVERAGE(終値!AR276:BK276),""))</f>
      </c>
      <c r="AP276" s="684">
        <f>IF(終値!A276="","",IFERROR(4*STDEVP(終値!AS276:BL276)/AVERAGE(終値!AS276:BL276),""))</f>
      </c>
    </row>
    <row r="277">
      <c r="A277" s="681">
        <f>IF(終値!A277="","",終値!A277)</f>
      </c>
      <c r="B277" s="684">
        <f>IF(終値!A277="","",IFERROR(4*STDEVP(終値!E277:X277)/AVERAGE(終値!E277:X277),""))</f>
      </c>
      <c r="C277" s="684">
        <f>IF(終値!A277="","",IFERROR(4*STDEVP(終値!F277:Y277)/AVERAGE(終値!F277:Y277),""))</f>
      </c>
      <c r="D277" s="684">
        <f>IF(終値!A277="","",IFERROR(4*STDEVP(終値!G277:Z277)/AVERAGE(終値!G277:Z277),""))</f>
      </c>
      <c r="E277" s="684">
        <f>IF(終値!A277="","",IFERROR(4*STDEVP(終値!H277:AA277)/AVERAGE(終値!H277:AA277),""))</f>
      </c>
      <c r="F277" s="684">
        <f>IF(終値!A277="","",IFERROR(4*STDEVP(終値!I277:AB277)/AVERAGE(終値!I277:AB277),""))</f>
      </c>
      <c r="G277" s="684">
        <f>IF(終値!A277="","",IFERROR(4*STDEVP(終値!J277:AC277)/AVERAGE(終値!J277:AC277),""))</f>
      </c>
      <c r="H277" s="684">
        <f>IF(終値!A277="","",IFERROR(4*STDEVP(終値!K277:AD277)/AVERAGE(終値!K277:AD277),""))</f>
      </c>
      <c r="I277" s="684">
        <f>IF(終値!A277="","",IFERROR(4*STDEVP(終値!L277:AE277)/AVERAGE(終値!L277:AE277),""))</f>
      </c>
      <c r="J277" s="684">
        <f>IF(終値!A277="","",IFERROR(4*STDEVP(終値!M277:AF277)/AVERAGE(終値!M277:AF277),""))</f>
      </c>
      <c r="K277" s="684">
        <f>IF(終値!A277="","",IFERROR(4*STDEVP(終値!N277:AG277)/AVERAGE(終値!N277:AG277),""))</f>
      </c>
      <c r="L277" s="684">
        <f>IF(終値!A277="","",IFERROR(4*STDEVP(終値!O277:AH277)/AVERAGE(終値!O277:AH277),""))</f>
      </c>
      <c r="M277" s="684">
        <f>IF(終値!A277="","",IFERROR(4*STDEVP(終値!P277:AI277)/AVERAGE(終値!P277:AI277),""))</f>
      </c>
      <c r="N277" s="684">
        <f>IF(終値!A277="","",IFERROR(4*STDEVP(終値!Q277:AJ277)/AVERAGE(終値!Q277:AJ277),""))</f>
      </c>
      <c r="O277" s="684">
        <f>IF(終値!A277="","",IFERROR(4*STDEVP(終値!R277:AK277)/AVERAGE(終値!R277:AK277),""))</f>
      </c>
      <c r="P277" s="684">
        <f>IF(終値!A277="","",IFERROR(4*STDEVP(終値!S277:AL277)/AVERAGE(終値!S277:AL277),""))</f>
      </c>
      <c r="Q277" s="684">
        <f>IF(終値!A277="","",IFERROR(4*STDEVP(終値!T277:AM277)/AVERAGE(終値!T277:AM277),""))</f>
      </c>
      <c r="R277" s="684">
        <f>IF(終値!A277="","",IFERROR(4*STDEVP(終値!U277:AN277)/AVERAGE(終値!U277:AN277),""))</f>
      </c>
      <c r="S277" s="684">
        <f>IF(終値!A277="","",IFERROR(4*STDEVP(終値!V277:AO277)/AVERAGE(終値!V277:AO277),""))</f>
      </c>
      <c r="T277" s="684">
        <f>IF(終値!A277="","",IFERROR(4*STDEVP(終値!W277:AP277)/AVERAGE(終値!W277:AP277),""))</f>
      </c>
      <c r="U277" s="684">
        <f>IF(終値!A277="","",IFERROR(4*STDEVP(終値!X277:AQ277)/AVERAGE(終値!X277:AQ277),""))</f>
      </c>
      <c r="V277" s="684">
        <f>IF(終値!A277="","",IFERROR(4*STDEVP(終値!Y277:AR277)/AVERAGE(終値!Y277:AR277),""))</f>
      </c>
      <c r="W277" s="684">
        <f>IF(終値!A277="","",IFERROR(4*STDEVP(終値!Z277:AS277)/AVERAGE(終値!Z277:AS277),""))</f>
      </c>
      <c r="X277" s="684">
        <f>IF(終値!A277="","",IFERROR(4*STDEVP(終値!AA277:AT277)/AVERAGE(終値!AA277:AT277),""))</f>
      </c>
      <c r="Y277" s="684">
        <f>IF(終値!A277="","",IFERROR(4*STDEVP(終値!AB277:AU277)/AVERAGE(終値!AB277:AU277),""))</f>
      </c>
      <c r="Z277" s="684">
        <f>IF(終値!A277="","",IFERROR(4*STDEVP(終値!AC277:AV277)/AVERAGE(終値!AC277:AV277),""))</f>
      </c>
      <c r="AA277" s="684">
        <f>IF(終値!A277="","",IFERROR(4*STDEVP(終値!AD277:AW277)/AVERAGE(終値!AD277:AW277),""))</f>
      </c>
      <c r="AB277" s="684">
        <f>IF(終値!A277="","",IFERROR(4*STDEVP(終値!AE277:AX277)/AVERAGE(終値!AE277:AX277),""))</f>
      </c>
      <c r="AC277" s="684">
        <f>IF(終値!A277="","",IFERROR(4*STDEVP(終値!AF277:AY277)/AVERAGE(終値!AF277:AY277),""))</f>
      </c>
      <c r="AD277" s="684">
        <f>IF(終値!A277="","",IFERROR(4*STDEVP(終値!AG277:AZ277)/AVERAGE(終値!AG277:AZ277),""))</f>
      </c>
      <c r="AE277" s="684">
        <f>IF(終値!A277="","",IFERROR(4*STDEVP(終値!AH277:BA277)/AVERAGE(終値!AH277:BA277),""))</f>
      </c>
      <c r="AF277" s="684">
        <f>IF(終値!A277="","",IFERROR(4*STDEVP(終値!AI277:BB277)/AVERAGE(終値!AI277:BB277),""))</f>
      </c>
      <c r="AG277" s="684">
        <f>IF(終値!A277="","",IFERROR(4*STDEVP(終値!AJ277:BC277)/AVERAGE(終値!AJ277:BC277),""))</f>
      </c>
      <c r="AH277" s="684">
        <f>IF(終値!A277="","",IFERROR(4*STDEVP(終値!AK277:BD277)/AVERAGE(終値!AK277:BD277),""))</f>
      </c>
      <c r="AI277" s="684">
        <f>IF(終値!A277="","",IFERROR(4*STDEVP(終値!AL277:BE277)/AVERAGE(終値!AL277:BE277),""))</f>
      </c>
      <c r="AJ277" s="684">
        <f>IF(終値!A277="","",IFERROR(4*STDEVP(終値!AM277:BF277)/AVERAGE(終値!AM277:BF277),""))</f>
      </c>
      <c r="AK277" s="684">
        <f>IF(終値!A277="","",IFERROR(4*STDEVP(終値!AN277:BG277)/AVERAGE(終値!AN277:BG277),""))</f>
      </c>
      <c r="AL277" s="684">
        <f>IF(終値!A277="","",IFERROR(4*STDEVP(終値!AO277:BH277)/AVERAGE(終値!AO277:BH277),""))</f>
      </c>
      <c r="AM277" s="684">
        <f>IF(終値!A277="","",IFERROR(4*STDEVP(終値!AP277:BI277)/AVERAGE(終値!AP277:BI277),""))</f>
      </c>
      <c r="AN277" s="684">
        <f>IF(終値!A277="","",IFERROR(4*STDEVP(終値!AQ277:BJ277)/AVERAGE(終値!AQ277:BJ277),""))</f>
      </c>
      <c r="AO277" s="684">
        <f>IF(終値!A277="","",IFERROR(4*STDEVP(終値!AR277:BK277)/AVERAGE(終値!AR277:BK277),""))</f>
      </c>
      <c r="AP277" s="684">
        <f>IF(終値!A277="","",IFERROR(4*STDEVP(終値!AS277:BL277)/AVERAGE(終値!AS277:BL277),""))</f>
      </c>
    </row>
    <row r="278">
      <c r="A278" s="681">
        <f>IF(終値!A278="","",終値!A278)</f>
      </c>
      <c r="B278" s="684">
        <f>IF(終値!A278="","",IFERROR(4*STDEVP(終値!E278:X278)/AVERAGE(終値!E278:X278),""))</f>
      </c>
      <c r="C278" s="684">
        <f>IF(終値!A278="","",IFERROR(4*STDEVP(終値!F278:Y278)/AVERAGE(終値!F278:Y278),""))</f>
      </c>
      <c r="D278" s="684">
        <f>IF(終値!A278="","",IFERROR(4*STDEVP(終値!G278:Z278)/AVERAGE(終値!G278:Z278),""))</f>
      </c>
      <c r="E278" s="684">
        <f>IF(終値!A278="","",IFERROR(4*STDEVP(終値!H278:AA278)/AVERAGE(終値!H278:AA278),""))</f>
      </c>
      <c r="F278" s="684">
        <f>IF(終値!A278="","",IFERROR(4*STDEVP(終値!I278:AB278)/AVERAGE(終値!I278:AB278),""))</f>
      </c>
      <c r="G278" s="684">
        <f>IF(終値!A278="","",IFERROR(4*STDEVP(終値!J278:AC278)/AVERAGE(終値!J278:AC278),""))</f>
      </c>
      <c r="H278" s="684">
        <f>IF(終値!A278="","",IFERROR(4*STDEVP(終値!K278:AD278)/AVERAGE(終値!K278:AD278),""))</f>
      </c>
      <c r="I278" s="684">
        <f>IF(終値!A278="","",IFERROR(4*STDEVP(終値!L278:AE278)/AVERAGE(終値!L278:AE278),""))</f>
      </c>
      <c r="J278" s="684">
        <f>IF(終値!A278="","",IFERROR(4*STDEVP(終値!M278:AF278)/AVERAGE(終値!M278:AF278),""))</f>
      </c>
      <c r="K278" s="684">
        <f>IF(終値!A278="","",IFERROR(4*STDEVP(終値!N278:AG278)/AVERAGE(終値!N278:AG278),""))</f>
      </c>
      <c r="L278" s="684">
        <f>IF(終値!A278="","",IFERROR(4*STDEVP(終値!O278:AH278)/AVERAGE(終値!O278:AH278),""))</f>
      </c>
      <c r="M278" s="684">
        <f>IF(終値!A278="","",IFERROR(4*STDEVP(終値!P278:AI278)/AVERAGE(終値!P278:AI278),""))</f>
      </c>
      <c r="N278" s="684">
        <f>IF(終値!A278="","",IFERROR(4*STDEVP(終値!Q278:AJ278)/AVERAGE(終値!Q278:AJ278),""))</f>
      </c>
      <c r="O278" s="684">
        <f>IF(終値!A278="","",IFERROR(4*STDEVP(終値!R278:AK278)/AVERAGE(終値!R278:AK278),""))</f>
      </c>
      <c r="P278" s="684">
        <f>IF(終値!A278="","",IFERROR(4*STDEVP(終値!S278:AL278)/AVERAGE(終値!S278:AL278),""))</f>
      </c>
      <c r="Q278" s="684">
        <f>IF(終値!A278="","",IFERROR(4*STDEVP(終値!T278:AM278)/AVERAGE(終値!T278:AM278),""))</f>
      </c>
      <c r="R278" s="684">
        <f>IF(終値!A278="","",IFERROR(4*STDEVP(終値!U278:AN278)/AVERAGE(終値!U278:AN278),""))</f>
      </c>
      <c r="S278" s="684">
        <f>IF(終値!A278="","",IFERROR(4*STDEVP(終値!V278:AO278)/AVERAGE(終値!V278:AO278),""))</f>
      </c>
      <c r="T278" s="684">
        <f>IF(終値!A278="","",IFERROR(4*STDEVP(終値!W278:AP278)/AVERAGE(終値!W278:AP278),""))</f>
      </c>
      <c r="U278" s="684">
        <f>IF(終値!A278="","",IFERROR(4*STDEVP(終値!X278:AQ278)/AVERAGE(終値!X278:AQ278),""))</f>
      </c>
      <c r="V278" s="684">
        <f>IF(終値!A278="","",IFERROR(4*STDEVP(終値!Y278:AR278)/AVERAGE(終値!Y278:AR278),""))</f>
      </c>
      <c r="W278" s="684">
        <f>IF(終値!A278="","",IFERROR(4*STDEVP(終値!Z278:AS278)/AVERAGE(終値!Z278:AS278),""))</f>
      </c>
      <c r="X278" s="684">
        <f>IF(終値!A278="","",IFERROR(4*STDEVP(終値!AA278:AT278)/AVERAGE(終値!AA278:AT278),""))</f>
      </c>
      <c r="Y278" s="684">
        <f>IF(終値!A278="","",IFERROR(4*STDEVP(終値!AB278:AU278)/AVERAGE(終値!AB278:AU278),""))</f>
      </c>
      <c r="Z278" s="684">
        <f>IF(終値!A278="","",IFERROR(4*STDEVP(終値!AC278:AV278)/AVERAGE(終値!AC278:AV278),""))</f>
      </c>
      <c r="AA278" s="684">
        <f>IF(終値!A278="","",IFERROR(4*STDEVP(終値!AD278:AW278)/AVERAGE(終値!AD278:AW278),""))</f>
      </c>
      <c r="AB278" s="684">
        <f>IF(終値!A278="","",IFERROR(4*STDEVP(終値!AE278:AX278)/AVERAGE(終値!AE278:AX278),""))</f>
      </c>
      <c r="AC278" s="684">
        <f>IF(終値!A278="","",IFERROR(4*STDEVP(終値!AF278:AY278)/AVERAGE(終値!AF278:AY278),""))</f>
      </c>
      <c r="AD278" s="684">
        <f>IF(終値!A278="","",IFERROR(4*STDEVP(終値!AG278:AZ278)/AVERAGE(終値!AG278:AZ278),""))</f>
      </c>
      <c r="AE278" s="684">
        <f>IF(終値!A278="","",IFERROR(4*STDEVP(終値!AH278:BA278)/AVERAGE(終値!AH278:BA278),""))</f>
      </c>
      <c r="AF278" s="684">
        <f>IF(終値!A278="","",IFERROR(4*STDEVP(終値!AI278:BB278)/AVERAGE(終値!AI278:BB278),""))</f>
      </c>
      <c r="AG278" s="684">
        <f>IF(終値!A278="","",IFERROR(4*STDEVP(終値!AJ278:BC278)/AVERAGE(終値!AJ278:BC278),""))</f>
      </c>
      <c r="AH278" s="684">
        <f>IF(終値!A278="","",IFERROR(4*STDEVP(終値!AK278:BD278)/AVERAGE(終値!AK278:BD278),""))</f>
      </c>
      <c r="AI278" s="684">
        <f>IF(終値!A278="","",IFERROR(4*STDEVP(終値!AL278:BE278)/AVERAGE(終値!AL278:BE278),""))</f>
      </c>
      <c r="AJ278" s="684">
        <f>IF(終値!A278="","",IFERROR(4*STDEVP(終値!AM278:BF278)/AVERAGE(終値!AM278:BF278),""))</f>
      </c>
      <c r="AK278" s="684">
        <f>IF(終値!A278="","",IFERROR(4*STDEVP(終値!AN278:BG278)/AVERAGE(終値!AN278:BG278),""))</f>
      </c>
      <c r="AL278" s="684">
        <f>IF(終値!A278="","",IFERROR(4*STDEVP(終値!AO278:BH278)/AVERAGE(終値!AO278:BH278),""))</f>
      </c>
      <c r="AM278" s="684">
        <f>IF(終値!A278="","",IFERROR(4*STDEVP(終値!AP278:BI278)/AVERAGE(終値!AP278:BI278),""))</f>
      </c>
      <c r="AN278" s="684">
        <f>IF(終値!A278="","",IFERROR(4*STDEVP(終値!AQ278:BJ278)/AVERAGE(終値!AQ278:BJ278),""))</f>
      </c>
      <c r="AO278" s="684">
        <f>IF(終値!A278="","",IFERROR(4*STDEVP(終値!AR278:BK278)/AVERAGE(終値!AR278:BK278),""))</f>
      </c>
      <c r="AP278" s="684">
        <f>IF(終値!A278="","",IFERROR(4*STDEVP(終値!AS278:BL278)/AVERAGE(終値!AS278:BL278),""))</f>
      </c>
    </row>
    <row r="279">
      <c r="A279" s="681">
        <f>IF(終値!A279="","",終値!A279)</f>
      </c>
      <c r="B279" s="684">
        <f>IF(終値!A279="","",IFERROR(4*STDEVP(終値!E279:X279)/AVERAGE(終値!E279:X279),""))</f>
      </c>
      <c r="C279" s="684">
        <f>IF(終値!A279="","",IFERROR(4*STDEVP(終値!F279:Y279)/AVERAGE(終値!F279:Y279),""))</f>
      </c>
      <c r="D279" s="684">
        <f>IF(終値!A279="","",IFERROR(4*STDEVP(終値!G279:Z279)/AVERAGE(終値!G279:Z279),""))</f>
      </c>
      <c r="E279" s="684">
        <f>IF(終値!A279="","",IFERROR(4*STDEVP(終値!H279:AA279)/AVERAGE(終値!H279:AA279),""))</f>
      </c>
      <c r="F279" s="684">
        <f>IF(終値!A279="","",IFERROR(4*STDEVP(終値!I279:AB279)/AVERAGE(終値!I279:AB279),""))</f>
      </c>
      <c r="G279" s="684">
        <f>IF(終値!A279="","",IFERROR(4*STDEVP(終値!J279:AC279)/AVERAGE(終値!J279:AC279),""))</f>
      </c>
      <c r="H279" s="684">
        <f>IF(終値!A279="","",IFERROR(4*STDEVP(終値!K279:AD279)/AVERAGE(終値!K279:AD279),""))</f>
      </c>
      <c r="I279" s="684">
        <f>IF(終値!A279="","",IFERROR(4*STDEVP(終値!L279:AE279)/AVERAGE(終値!L279:AE279),""))</f>
      </c>
      <c r="J279" s="684">
        <f>IF(終値!A279="","",IFERROR(4*STDEVP(終値!M279:AF279)/AVERAGE(終値!M279:AF279),""))</f>
      </c>
      <c r="K279" s="684">
        <f>IF(終値!A279="","",IFERROR(4*STDEVP(終値!N279:AG279)/AVERAGE(終値!N279:AG279),""))</f>
      </c>
      <c r="L279" s="684">
        <f>IF(終値!A279="","",IFERROR(4*STDEVP(終値!O279:AH279)/AVERAGE(終値!O279:AH279),""))</f>
      </c>
      <c r="M279" s="684">
        <f>IF(終値!A279="","",IFERROR(4*STDEVP(終値!P279:AI279)/AVERAGE(終値!P279:AI279),""))</f>
      </c>
      <c r="N279" s="684">
        <f>IF(終値!A279="","",IFERROR(4*STDEVP(終値!Q279:AJ279)/AVERAGE(終値!Q279:AJ279),""))</f>
      </c>
      <c r="O279" s="684">
        <f>IF(終値!A279="","",IFERROR(4*STDEVP(終値!R279:AK279)/AVERAGE(終値!R279:AK279),""))</f>
      </c>
      <c r="P279" s="684">
        <f>IF(終値!A279="","",IFERROR(4*STDEVP(終値!S279:AL279)/AVERAGE(終値!S279:AL279),""))</f>
      </c>
      <c r="Q279" s="684">
        <f>IF(終値!A279="","",IFERROR(4*STDEVP(終値!T279:AM279)/AVERAGE(終値!T279:AM279),""))</f>
      </c>
      <c r="R279" s="684">
        <f>IF(終値!A279="","",IFERROR(4*STDEVP(終値!U279:AN279)/AVERAGE(終値!U279:AN279),""))</f>
      </c>
      <c r="S279" s="684">
        <f>IF(終値!A279="","",IFERROR(4*STDEVP(終値!V279:AO279)/AVERAGE(終値!V279:AO279),""))</f>
      </c>
      <c r="T279" s="684">
        <f>IF(終値!A279="","",IFERROR(4*STDEVP(終値!W279:AP279)/AVERAGE(終値!W279:AP279),""))</f>
      </c>
      <c r="U279" s="684">
        <f>IF(終値!A279="","",IFERROR(4*STDEVP(終値!X279:AQ279)/AVERAGE(終値!X279:AQ279),""))</f>
      </c>
      <c r="V279" s="684">
        <f>IF(終値!A279="","",IFERROR(4*STDEVP(終値!Y279:AR279)/AVERAGE(終値!Y279:AR279),""))</f>
      </c>
      <c r="W279" s="684">
        <f>IF(終値!A279="","",IFERROR(4*STDEVP(終値!Z279:AS279)/AVERAGE(終値!Z279:AS279),""))</f>
      </c>
      <c r="X279" s="684">
        <f>IF(終値!A279="","",IFERROR(4*STDEVP(終値!AA279:AT279)/AVERAGE(終値!AA279:AT279),""))</f>
      </c>
      <c r="Y279" s="684">
        <f>IF(終値!A279="","",IFERROR(4*STDEVP(終値!AB279:AU279)/AVERAGE(終値!AB279:AU279),""))</f>
      </c>
      <c r="Z279" s="684">
        <f>IF(終値!A279="","",IFERROR(4*STDEVP(終値!AC279:AV279)/AVERAGE(終値!AC279:AV279),""))</f>
      </c>
      <c r="AA279" s="684">
        <f>IF(終値!A279="","",IFERROR(4*STDEVP(終値!AD279:AW279)/AVERAGE(終値!AD279:AW279),""))</f>
      </c>
      <c r="AB279" s="684">
        <f>IF(終値!A279="","",IFERROR(4*STDEVP(終値!AE279:AX279)/AVERAGE(終値!AE279:AX279),""))</f>
      </c>
      <c r="AC279" s="684">
        <f>IF(終値!A279="","",IFERROR(4*STDEVP(終値!AF279:AY279)/AVERAGE(終値!AF279:AY279),""))</f>
      </c>
      <c r="AD279" s="684">
        <f>IF(終値!A279="","",IFERROR(4*STDEVP(終値!AG279:AZ279)/AVERAGE(終値!AG279:AZ279),""))</f>
      </c>
      <c r="AE279" s="684">
        <f>IF(終値!A279="","",IFERROR(4*STDEVP(終値!AH279:BA279)/AVERAGE(終値!AH279:BA279),""))</f>
      </c>
      <c r="AF279" s="684">
        <f>IF(終値!A279="","",IFERROR(4*STDEVP(終値!AI279:BB279)/AVERAGE(終値!AI279:BB279),""))</f>
      </c>
      <c r="AG279" s="684">
        <f>IF(終値!A279="","",IFERROR(4*STDEVP(終値!AJ279:BC279)/AVERAGE(終値!AJ279:BC279),""))</f>
      </c>
      <c r="AH279" s="684">
        <f>IF(終値!A279="","",IFERROR(4*STDEVP(終値!AK279:BD279)/AVERAGE(終値!AK279:BD279),""))</f>
      </c>
      <c r="AI279" s="684">
        <f>IF(終値!A279="","",IFERROR(4*STDEVP(終値!AL279:BE279)/AVERAGE(終値!AL279:BE279),""))</f>
      </c>
      <c r="AJ279" s="684">
        <f>IF(終値!A279="","",IFERROR(4*STDEVP(終値!AM279:BF279)/AVERAGE(終値!AM279:BF279),""))</f>
      </c>
      <c r="AK279" s="684">
        <f>IF(終値!A279="","",IFERROR(4*STDEVP(終値!AN279:BG279)/AVERAGE(終値!AN279:BG279),""))</f>
      </c>
      <c r="AL279" s="684">
        <f>IF(終値!A279="","",IFERROR(4*STDEVP(終値!AO279:BH279)/AVERAGE(終値!AO279:BH279),""))</f>
      </c>
      <c r="AM279" s="684">
        <f>IF(終値!A279="","",IFERROR(4*STDEVP(終値!AP279:BI279)/AVERAGE(終値!AP279:BI279),""))</f>
      </c>
      <c r="AN279" s="684">
        <f>IF(終値!A279="","",IFERROR(4*STDEVP(終値!AQ279:BJ279)/AVERAGE(終値!AQ279:BJ279),""))</f>
      </c>
      <c r="AO279" s="684">
        <f>IF(終値!A279="","",IFERROR(4*STDEVP(終値!AR279:BK279)/AVERAGE(終値!AR279:BK279),""))</f>
      </c>
      <c r="AP279" s="684">
        <f>IF(終値!A279="","",IFERROR(4*STDEVP(終値!AS279:BL279)/AVERAGE(終値!AS279:BL279),""))</f>
      </c>
    </row>
    <row r="280">
      <c r="A280" s="681">
        <f>IF(終値!A280="","",終値!A280)</f>
      </c>
      <c r="B280" s="684">
        <f>IF(終値!A280="","",IFERROR(4*STDEVP(終値!E280:X280)/AVERAGE(終値!E280:X280),""))</f>
      </c>
      <c r="C280" s="684">
        <f>IF(終値!A280="","",IFERROR(4*STDEVP(終値!F280:Y280)/AVERAGE(終値!F280:Y280),""))</f>
      </c>
      <c r="D280" s="684">
        <f>IF(終値!A280="","",IFERROR(4*STDEVP(終値!G280:Z280)/AVERAGE(終値!G280:Z280),""))</f>
      </c>
      <c r="E280" s="684">
        <f>IF(終値!A280="","",IFERROR(4*STDEVP(終値!H280:AA280)/AVERAGE(終値!H280:AA280),""))</f>
      </c>
      <c r="F280" s="684">
        <f>IF(終値!A280="","",IFERROR(4*STDEVP(終値!I280:AB280)/AVERAGE(終値!I280:AB280),""))</f>
      </c>
      <c r="G280" s="684">
        <f>IF(終値!A280="","",IFERROR(4*STDEVP(終値!J280:AC280)/AVERAGE(終値!J280:AC280),""))</f>
      </c>
      <c r="H280" s="684">
        <f>IF(終値!A280="","",IFERROR(4*STDEVP(終値!K280:AD280)/AVERAGE(終値!K280:AD280),""))</f>
      </c>
      <c r="I280" s="684">
        <f>IF(終値!A280="","",IFERROR(4*STDEVP(終値!L280:AE280)/AVERAGE(終値!L280:AE280),""))</f>
      </c>
      <c r="J280" s="684">
        <f>IF(終値!A280="","",IFERROR(4*STDEVP(終値!M280:AF280)/AVERAGE(終値!M280:AF280),""))</f>
      </c>
      <c r="K280" s="684">
        <f>IF(終値!A280="","",IFERROR(4*STDEVP(終値!N280:AG280)/AVERAGE(終値!N280:AG280),""))</f>
      </c>
      <c r="L280" s="684">
        <f>IF(終値!A280="","",IFERROR(4*STDEVP(終値!O280:AH280)/AVERAGE(終値!O280:AH280),""))</f>
      </c>
      <c r="M280" s="684">
        <f>IF(終値!A280="","",IFERROR(4*STDEVP(終値!P280:AI280)/AVERAGE(終値!P280:AI280),""))</f>
      </c>
      <c r="N280" s="684">
        <f>IF(終値!A280="","",IFERROR(4*STDEVP(終値!Q280:AJ280)/AVERAGE(終値!Q280:AJ280),""))</f>
      </c>
      <c r="O280" s="684">
        <f>IF(終値!A280="","",IFERROR(4*STDEVP(終値!R280:AK280)/AVERAGE(終値!R280:AK280),""))</f>
      </c>
      <c r="P280" s="684">
        <f>IF(終値!A280="","",IFERROR(4*STDEVP(終値!S280:AL280)/AVERAGE(終値!S280:AL280),""))</f>
      </c>
      <c r="Q280" s="684">
        <f>IF(終値!A280="","",IFERROR(4*STDEVP(終値!T280:AM280)/AVERAGE(終値!T280:AM280),""))</f>
      </c>
      <c r="R280" s="684">
        <f>IF(終値!A280="","",IFERROR(4*STDEVP(終値!U280:AN280)/AVERAGE(終値!U280:AN280),""))</f>
      </c>
      <c r="S280" s="684">
        <f>IF(終値!A280="","",IFERROR(4*STDEVP(終値!V280:AO280)/AVERAGE(終値!V280:AO280),""))</f>
      </c>
      <c r="T280" s="684">
        <f>IF(終値!A280="","",IFERROR(4*STDEVP(終値!W280:AP280)/AVERAGE(終値!W280:AP280),""))</f>
      </c>
      <c r="U280" s="684">
        <f>IF(終値!A280="","",IFERROR(4*STDEVP(終値!X280:AQ280)/AVERAGE(終値!X280:AQ280),""))</f>
      </c>
      <c r="V280" s="684">
        <f>IF(終値!A280="","",IFERROR(4*STDEVP(終値!Y280:AR280)/AVERAGE(終値!Y280:AR280),""))</f>
      </c>
      <c r="W280" s="684">
        <f>IF(終値!A280="","",IFERROR(4*STDEVP(終値!Z280:AS280)/AVERAGE(終値!Z280:AS280),""))</f>
      </c>
      <c r="X280" s="684">
        <f>IF(終値!A280="","",IFERROR(4*STDEVP(終値!AA280:AT280)/AVERAGE(終値!AA280:AT280),""))</f>
      </c>
      <c r="Y280" s="684">
        <f>IF(終値!A280="","",IFERROR(4*STDEVP(終値!AB280:AU280)/AVERAGE(終値!AB280:AU280),""))</f>
      </c>
      <c r="Z280" s="684">
        <f>IF(終値!A280="","",IFERROR(4*STDEVP(終値!AC280:AV280)/AVERAGE(終値!AC280:AV280),""))</f>
      </c>
      <c r="AA280" s="684">
        <f>IF(終値!A280="","",IFERROR(4*STDEVP(終値!AD280:AW280)/AVERAGE(終値!AD280:AW280),""))</f>
      </c>
      <c r="AB280" s="684">
        <f>IF(終値!A280="","",IFERROR(4*STDEVP(終値!AE280:AX280)/AVERAGE(終値!AE280:AX280),""))</f>
      </c>
      <c r="AC280" s="684">
        <f>IF(終値!A280="","",IFERROR(4*STDEVP(終値!AF280:AY280)/AVERAGE(終値!AF280:AY280),""))</f>
      </c>
      <c r="AD280" s="684">
        <f>IF(終値!A280="","",IFERROR(4*STDEVP(終値!AG280:AZ280)/AVERAGE(終値!AG280:AZ280),""))</f>
      </c>
      <c r="AE280" s="684">
        <f>IF(終値!A280="","",IFERROR(4*STDEVP(終値!AH280:BA280)/AVERAGE(終値!AH280:BA280),""))</f>
      </c>
      <c r="AF280" s="684">
        <f>IF(終値!A280="","",IFERROR(4*STDEVP(終値!AI280:BB280)/AVERAGE(終値!AI280:BB280),""))</f>
      </c>
      <c r="AG280" s="684">
        <f>IF(終値!A280="","",IFERROR(4*STDEVP(終値!AJ280:BC280)/AVERAGE(終値!AJ280:BC280),""))</f>
      </c>
      <c r="AH280" s="684">
        <f>IF(終値!A280="","",IFERROR(4*STDEVP(終値!AK280:BD280)/AVERAGE(終値!AK280:BD280),""))</f>
      </c>
      <c r="AI280" s="684">
        <f>IF(終値!A280="","",IFERROR(4*STDEVP(終値!AL280:BE280)/AVERAGE(終値!AL280:BE280),""))</f>
      </c>
      <c r="AJ280" s="684">
        <f>IF(終値!A280="","",IFERROR(4*STDEVP(終値!AM280:BF280)/AVERAGE(終値!AM280:BF280),""))</f>
      </c>
      <c r="AK280" s="684">
        <f>IF(終値!A280="","",IFERROR(4*STDEVP(終値!AN280:BG280)/AVERAGE(終値!AN280:BG280),""))</f>
      </c>
      <c r="AL280" s="684">
        <f>IF(終値!A280="","",IFERROR(4*STDEVP(終値!AO280:BH280)/AVERAGE(終値!AO280:BH280),""))</f>
      </c>
      <c r="AM280" s="684">
        <f>IF(終値!A280="","",IFERROR(4*STDEVP(終値!AP280:BI280)/AVERAGE(終値!AP280:BI280),""))</f>
      </c>
      <c r="AN280" s="684">
        <f>IF(終値!A280="","",IFERROR(4*STDEVP(終値!AQ280:BJ280)/AVERAGE(終値!AQ280:BJ280),""))</f>
      </c>
      <c r="AO280" s="684">
        <f>IF(終値!A280="","",IFERROR(4*STDEVP(終値!AR280:BK280)/AVERAGE(終値!AR280:BK280),""))</f>
      </c>
      <c r="AP280" s="684">
        <f>IF(終値!A280="","",IFERROR(4*STDEVP(終値!AS280:BL280)/AVERAGE(終値!AS280:BL280),""))</f>
      </c>
    </row>
    <row r="281">
      <c r="A281" s="681">
        <f>IF(終値!A281="","",終値!A281)</f>
      </c>
      <c r="B281" s="684">
        <f>IF(終値!A281="","",IFERROR(4*STDEVP(終値!E281:X281)/AVERAGE(終値!E281:X281),""))</f>
      </c>
      <c r="C281" s="684">
        <f>IF(終値!A281="","",IFERROR(4*STDEVP(終値!F281:Y281)/AVERAGE(終値!F281:Y281),""))</f>
      </c>
      <c r="D281" s="684">
        <f>IF(終値!A281="","",IFERROR(4*STDEVP(終値!G281:Z281)/AVERAGE(終値!G281:Z281),""))</f>
      </c>
      <c r="E281" s="684">
        <f>IF(終値!A281="","",IFERROR(4*STDEVP(終値!H281:AA281)/AVERAGE(終値!H281:AA281),""))</f>
      </c>
      <c r="F281" s="684">
        <f>IF(終値!A281="","",IFERROR(4*STDEVP(終値!I281:AB281)/AVERAGE(終値!I281:AB281),""))</f>
      </c>
      <c r="G281" s="684">
        <f>IF(終値!A281="","",IFERROR(4*STDEVP(終値!J281:AC281)/AVERAGE(終値!J281:AC281),""))</f>
      </c>
      <c r="H281" s="684">
        <f>IF(終値!A281="","",IFERROR(4*STDEVP(終値!K281:AD281)/AVERAGE(終値!K281:AD281),""))</f>
      </c>
      <c r="I281" s="684">
        <f>IF(終値!A281="","",IFERROR(4*STDEVP(終値!L281:AE281)/AVERAGE(終値!L281:AE281),""))</f>
      </c>
      <c r="J281" s="684">
        <f>IF(終値!A281="","",IFERROR(4*STDEVP(終値!M281:AF281)/AVERAGE(終値!M281:AF281),""))</f>
      </c>
      <c r="K281" s="684">
        <f>IF(終値!A281="","",IFERROR(4*STDEVP(終値!N281:AG281)/AVERAGE(終値!N281:AG281),""))</f>
      </c>
      <c r="L281" s="684">
        <f>IF(終値!A281="","",IFERROR(4*STDEVP(終値!O281:AH281)/AVERAGE(終値!O281:AH281),""))</f>
      </c>
      <c r="M281" s="684">
        <f>IF(終値!A281="","",IFERROR(4*STDEVP(終値!P281:AI281)/AVERAGE(終値!P281:AI281),""))</f>
      </c>
      <c r="N281" s="684">
        <f>IF(終値!A281="","",IFERROR(4*STDEVP(終値!Q281:AJ281)/AVERAGE(終値!Q281:AJ281),""))</f>
      </c>
      <c r="O281" s="684">
        <f>IF(終値!A281="","",IFERROR(4*STDEVP(終値!R281:AK281)/AVERAGE(終値!R281:AK281),""))</f>
      </c>
      <c r="P281" s="684">
        <f>IF(終値!A281="","",IFERROR(4*STDEVP(終値!S281:AL281)/AVERAGE(終値!S281:AL281),""))</f>
      </c>
      <c r="Q281" s="684">
        <f>IF(終値!A281="","",IFERROR(4*STDEVP(終値!T281:AM281)/AVERAGE(終値!T281:AM281),""))</f>
      </c>
      <c r="R281" s="684">
        <f>IF(終値!A281="","",IFERROR(4*STDEVP(終値!U281:AN281)/AVERAGE(終値!U281:AN281),""))</f>
      </c>
      <c r="S281" s="684">
        <f>IF(終値!A281="","",IFERROR(4*STDEVP(終値!V281:AO281)/AVERAGE(終値!V281:AO281),""))</f>
      </c>
      <c r="T281" s="684">
        <f>IF(終値!A281="","",IFERROR(4*STDEVP(終値!W281:AP281)/AVERAGE(終値!W281:AP281),""))</f>
      </c>
      <c r="U281" s="684">
        <f>IF(終値!A281="","",IFERROR(4*STDEVP(終値!X281:AQ281)/AVERAGE(終値!X281:AQ281),""))</f>
      </c>
      <c r="V281" s="684">
        <f>IF(終値!A281="","",IFERROR(4*STDEVP(終値!Y281:AR281)/AVERAGE(終値!Y281:AR281),""))</f>
      </c>
      <c r="W281" s="684">
        <f>IF(終値!A281="","",IFERROR(4*STDEVP(終値!Z281:AS281)/AVERAGE(終値!Z281:AS281),""))</f>
      </c>
      <c r="X281" s="684">
        <f>IF(終値!A281="","",IFERROR(4*STDEVP(終値!AA281:AT281)/AVERAGE(終値!AA281:AT281),""))</f>
      </c>
      <c r="Y281" s="684">
        <f>IF(終値!A281="","",IFERROR(4*STDEVP(終値!AB281:AU281)/AVERAGE(終値!AB281:AU281),""))</f>
      </c>
      <c r="Z281" s="684">
        <f>IF(終値!A281="","",IFERROR(4*STDEVP(終値!AC281:AV281)/AVERAGE(終値!AC281:AV281),""))</f>
      </c>
      <c r="AA281" s="684">
        <f>IF(終値!A281="","",IFERROR(4*STDEVP(終値!AD281:AW281)/AVERAGE(終値!AD281:AW281),""))</f>
      </c>
      <c r="AB281" s="684">
        <f>IF(終値!A281="","",IFERROR(4*STDEVP(終値!AE281:AX281)/AVERAGE(終値!AE281:AX281),""))</f>
      </c>
      <c r="AC281" s="684">
        <f>IF(終値!A281="","",IFERROR(4*STDEVP(終値!AF281:AY281)/AVERAGE(終値!AF281:AY281),""))</f>
      </c>
      <c r="AD281" s="684">
        <f>IF(終値!A281="","",IFERROR(4*STDEVP(終値!AG281:AZ281)/AVERAGE(終値!AG281:AZ281),""))</f>
      </c>
      <c r="AE281" s="684">
        <f>IF(終値!A281="","",IFERROR(4*STDEVP(終値!AH281:BA281)/AVERAGE(終値!AH281:BA281),""))</f>
      </c>
      <c r="AF281" s="684">
        <f>IF(終値!A281="","",IFERROR(4*STDEVP(終値!AI281:BB281)/AVERAGE(終値!AI281:BB281),""))</f>
      </c>
      <c r="AG281" s="684">
        <f>IF(終値!A281="","",IFERROR(4*STDEVP(終値!AJ281:BC281)/AVERAGE(終値!AJ281:BC281),""))</f>
      </c>
      <c r="AH281" s="684">
        <f>IF(終値!A281="","",IFERROR(4*STDEVP(終値!AK281:BD281)/AVERAGE(終値!AK281:BD281),""))</f>
      </c>
      <c r="AI281" s="684">
        <f>IF(終値!A281="","",IFERROR(4*STDEVP(終値!AL281:BE281)/AVERAGE(終値!AL281:BE281),""))</f>
      </c>
      <c r="AJ281" s="684">
        <f>IF(終値!A281="","",IFERROR(4*STDEVP(終値!AM281:BF281)/AVERAGE(終値!AM281:BF281),""))</f>
      </c>
      <c r="AK281" s="684">
        <f>IF(終値!A281="","",IFERROR(4*STDEVP(終値!AN281:BG281)/AVERAGE(終値!AN281:BG281),""))</f>
      </c>
      <c r="AL281" s="684">
        <f>IF(終値!A281="","",IFERROR(4*STDEVP(終値!AO281:BH281)/AVERAGE(終値!AO281:BH281),""))</f>
      </c>
      <c r="AM281" s="684">
        <f>IF(終値!A281="","",IFERROR(4*STDEVP(終値!AP281:BI281)/AVERAGE(終値!AP281:BI281),""))</f>
      </c>
      <c r="AN281" s="684">
        <f>IF(終値!A281="","",IFERROR(4*STDEVP(終値!AQ281:BJ281)/AVERAGE(終値!AQ281:BJ281),""))</f>
      </c>
      <c r="AO281" s="684">
        <f>IF(終値!A281="","",IFERROR(4*STDEVP(終値!AR281:BK281)/AVERAGE(終値!AR281:BK281),""))</f>
      </c>
      <c r="AP281" s="684">
        <f>IF(終値!A281="","",IFERROR(4*STDEVP(終値!AS281:BL281)/AVERAGE(終値!AS281:BL281),""))</f>
      </c>
    </row>
    <row r="282">
      <c r="A282" s="681">
        <f>IF(終値!A282="","",終値!A282)</f>
      </c>
      <c r="B282" s="684">
        <f>IF(終値!A282="","",IFERROR(4*STDEVP(終値!E282:X282)/AVERAGE(終値!E282:X282),""))</f>
      </c>
      <c r="C282" s="684">
        <f>IF(終値!A282="","",IFERROR(4*STDEVP(終値!F282:Y282)/AVERAGE(終値!F282:Y282),""))</f>
      </c>
      <c r="D282" s="684">
        <f>IF(終値!A282="","",IFERROR(4*STDEVP(終値!G282:Z282)/AVERAGE(終値!G282:Z282),""))</f>
      </c>
      <c r="E282" s="684">
        <f>IF(終値!A282="","",IFERROR(4*STDEVP(終値!H282:AA282)/AVERAGE(終値!H282:AA282),""))</f>
      </c>
      <c r="F282" s="684">
        <f>IF(終値!A282="","",IFERROR(4*STDEVP(終値!I282:AB282)/AVERAGE(終値!I282:AB282),""))</f>
      </c>
      <c r="G282" s="684">
        <f>IF(終値!A282="","",IFERROR(4*STDEVP(終値!J282:AC282)/AVERAGE(終値!J282:AC282),""))</f>
      </c>
      <c r="H282" s="684">
        <f>IF(終値!A282="","",IFERROR(4*STDEVP(終値!K282:AD282)/AVERAGE(終値!K282:AD282),""))</f>
      </c>
      <c r="I282" s="684">
        <f>IF(終値!A282="","",IFERROR(4*STDEVP(終値!L282:AE282)/AVERAGE(終値!L282:AE282),""))</f>
      </c>
      <c r="J282" s="684">
        <f>IF(終値!A282="","",IFERROR(4*STDEVP(終値!M282:AF282)/AVERAGE(終値!M282:AF282),""))</f>
      </c>
      <c r="K282" s="684">
        <f>IF(終値!A282="","",IFERROR(4*STDEVP(終値!N282:AG282)/AVERAGE(終値!N282:AG282),""))</f>
      </c>
      <c r="L282" s="684">
        <f>IF(終値!A282="","",IFERROR(4*STDEVP(終値!O282:AH282)/AVERAGE(終値!O282:AH282),""))</f>
      </c>
      <c r="M282" s="684">
        <f>IF(終値!A282="","",IFERROR(4*STDEVP(終値!P282:AI282)/AVERAGE(終値!P282:AI282),""))</f>
      </c>
      <c r="N282" s="684">
        <f>IF(終値!A282="","",IFERROR(4*STDEVP(終値!Q282:AJ282)/AVERAGE(終値!Q282:AJ282),""))</f>
      </c>
      <c r="O282" s="684">
        <f>IF(終値!A282="","",IFERROR(4*STDEVP(終値!R282:AK282)/AVERAGE(終値!R282:AK282),""))</f>
      </c>
      <c r="P282" s="684">
        <f>IF(終値!A282="","",IFERROR(4*STDEVP(終値!S282:AL282)/AVERAGE(終値!S282:AL282),""))</f>
      </c>
      <c r="Q282" s="684">
        <f>IF(終値!A282="","",IFERROR(4*STDEVP(終値!T282:AM282)/AVERAGE(終値!T282:AM282),""))</f>
      </c>
      <c r="R282" s="684">
        <f>IF(終値!A282="","",IFERROR(4*STDEVP(終値!U282:AN282)/AVERAGE(終値!U282:AN282),""))</f>
      </c>
      <c r="S282" s="684">
        <f>IF(終値!A282="","",IFERROR(4*STDEVP(終値!V282:AO282)/AVERAGE(終値!V282:AO282),""))</f>
      </c>
      <c r="T282" s="684">
        <f>IF(終値!A282="","",IFERROR(4*STDEVP(終値!W282:AP282)/AVERAGE(終値!W282:AP282),""))</f>
      </c>
      <c r="U282" s="684">
        <f>IF(終値!A282="","",IFERROR(4*STDEVP(終値!X282:AQ282)/AVERAGE(終値!X282:AQ282),""))</f>
      </c>
      <c r="V282" s="684">
        <f>IF(終値!A282="","",IFERROR(4*STDEVP(終値!Y282:AR282)/AVERAGE(終値!Y282:AR282),""))</f>
      </c>
      <c r="W282" s="684">
        <f>IF(終値!A282="","",IFERROR(4*STDEVP(終値!Z282:AS282)/AVERAGE(終値!Z282:AS282),""))</f>
      </c>
      <c r="X282" s="684">
        <f>IF(終値!A282="","",IFERROR(4*STDEVP(終値!AA282:AT282)/AVERAGE(終値!AA282:AT282),""))</f>
      </c>
      <c r="Y282" s="684">
        <f>IF(終値!A282="","",IFERROR(4*STDEVP(終値!AB282:AU282)/AVERAGE(終値!AB282:AU282),""))</f>
      </c>
      <c r="Z282" s="684">
        <f>IF(終値!A282="","",IFERROR(4*STDEVP(終値!AC282:AV282)/AVERAGE(終値!AC282:AV282),""))</f>
      </c>
      <c r="AA282" s="684">
        <f>IF(終値!A282="","",IFERROR(4*STDEVP(終値!AD282:AW282)/AVERAGE(終値!AD282:AW282),""))</f>
      </c>
      <c r="AB282" s="684">
        <f>IF(終値!A282="","",IFERROR(4*STDEVP(終値!AE282:AX282)/AVERAGE(終値!AE282:AX282),""))</f>
      </c>
      <c r="AC282" s="684">
        <f>IF(終値!A282="","",IFERROR(4*STDEVP(終値!AF282:AY282)/AVERAGE(終値!AF282:AY282),""))</f>
      </c>
      <c r="AD282" s="684">
        <f>IF(終値!A282="","",IFERROR(4*STDEVP(終値!AG282:AZ282)/AVERAGE(終値!AG282:AZ282),""))</f>
      </c>
      <c r="AE282" s="684">
        <f>IF(終値!A282="","",IFERROR(4*STDEVP(終値!AH282:BA282)/AVERAGE(終値!AH282:BA282),""))</f>
      </c>
      <c r="AF282" s="684">
        <f>IF(終値!A282="","",IFERROR(4*STDEVP(終値!AI282:BB282)/AVERAGE(終値!AI282:BB282),""))</f>
      </c>
      <c r="AG282" s="684">
        <f>IF(終値!A282="","",IFERROR(4*STDEVP(終値!AJ282:BC282)/AVERAGE(終値!AJ282:BC282),""))</f>
      </c>
      <c r="AH282" s="684">
        <f>IF(終値!A282="","",IFERROR(4*STDEVP(終値!AK282:BD282)/AVERAGE(終値!AK282:BD282),""))</f>
      </c>
      <c r="AI282" s="684">
        <f>IF(終値!A282="","",IFERROR(4*STDEVP(終値!AL282:BE282)/AVERAGE(終値!AL282:BE282),""))</f>
      </c>
      <c r="AJ282" s="684">
        <f>IF(終値!A282="","",IFERROR(4*STDEVP(終値!AM282:BF282)/AVERAGE(終値!AM282:BF282),""))</f>
      </c>
      <c r="AK282" s="684">
        <f>IF(終値!A282="","",IFERROR(4*STDEVP(終値!AN282:BG282)/AVERAGE(終値!AN282:BG282),""))</f>
      </c>
      <c r="AL282" s="684">
        <f>IF(終値!A282="","",IFERROR(4*STDEVP(終値!AO282:BH282)/AVERAGE(終値!AO282:BH282),""))</f>
      </c>
      <c r="AM282" s="684">
        <f>IF(終値!A282="","",IFERROR(4*STDEVP(終値!AP282:BI282)/AVERAGE(終値!AP282:BI282),""))</f>
      </c>
      <c r="AN282" s="684">
        <f>IF(終値!A282="","",IFERROR(4*STDEVP(終値!AQ282:BJ282)/AVERAGE(終値!AQ282:BJ282),""))</f>
      </c>
      <c r="AO282" s="684">
        <f>IF(終値!A282="","",IFERROR(4*STDEVP(終値!AR282:BK282)/AVERAGE(終値!AR282:BK282),""))</f>
      </c>
      <c r="AP282" s="684">
        <f>IF(終値!A282="","",IFERROR(4*STDEVP(終値!AS282:BL282)/AVERAGE(終値!AS282:BL282),""))</f>
      </c>
    </row>
    <row r="283">
      <c r="A283" s="681">
        <f>IF(終値!A283="","",終値!A283)</f>
      </c>
      <c r="B283" s="684">
        <f>IF(終値!A283="","",IFERROR(4*STDEVP(終値!E283:X283)/AVERAGE(終値!E283:X283),""))</f>
      </c>
      <c r="C283" s="684">
        <f>IF(終値!A283="","",IFERROR(4*STDEVP(終値!F283:Y283)/AVERAGE(終値!F283:Y283),""))</f>
      </c>
      <c r="D283" s="684">
        <f>IF(終値!A283="","",IFERROR(4*STDEVP(終値!G283:Z283)/AVERAGE(終値!G283:Z283),""))</f>
      </c>
      <c r="E283" s="684">
        <f>IF(終値!A283="","",IFERROR(4*STDEVP(終値!H283:AA283)/AVERAGE(終値!H283:AA283),""))</f>
      </c>
      <c r="F283" s="684">
        <f>IF(終値!A283="","",IFERROR(4*STDEVP(終値!I283:AB283)/AVERAGE(終値!I283:AB283),""))</f>
      </c>
      <c r="G283" s="684">
        <f>IF(終値!A283="","",IFERROR(4*STDEVP(終値!J283:AC283)/AVERAGE(終値!J283:AC283),""))</f>
      </c>
      <c r="H283" s="684">
        <f>IF(終値!A283="","",IFERROR(4*STDEVP(終値!K283:AD283)/AVERAGE(終値!K283:AD283),""))</f>
      </c>
      <c r="I283" s="684">
        <f>IF(終値!A283="","",IFERROR(4*STDEVP(終値!L283:AE283)/AVERAGE(終値!L283:AE283),""))</f>
      </c>
      <c r="J283" s="684">
        <f>IF(終値!A283="","",IFERROR(4*STDEVP(終値!M283:AF283)/AVERAGE(終値!M283:AF283),""))</f>
      </c>
      <c r="K283" s="684">
        <f>IF(終値!A283="","",IFERROR(4*STDEVP(終値!N283:AG283)/AVERAGE(終値!N283:AG283),""))</f>
      </c>
      <c r="L283" s="684">
        <f>IF(終値!A283="","",IFERROR(4*STDEVP(終値!O283:AH283)/AVERAGE(終値!O283:AH283),""))</f>
      </c>
      <c r="M283" s="684">
        <f>IF(終値!A283="","",IFERROR(4*STDEVP(終値!P283:AI283)/AVERAGE(終値!P283:AI283),""))</f>
      </c>
      <c r="N283" s="684">
        <f>IF(終値!A283="","",IFERROR(4*STDEVP(終値!Q283:AJ283)/AVERAGE(終値!Q283:AJ283),""))</f>
      </c>
      <c r="O283" s="684">
        <f>IF(終値!A283="","",IFERROR(4*STDEVP(終値!R283:AK283)/AVERAGE(終値!R283:AK283),""))</f>
      </c>
      <c r="P283" s="684">
        <f>IF(終値!A283="","",IFERROR(4*STDEVP(終値!S283:AL283)/AVERAGE(終値!S283:AL283),""))</f>
      </c>
      <c r="Q283" s="684">
        <f>IF(終値!A283="","",IFERROR(4*STDEVP(終値!T283:AM283)/AVERAGE(終値!T283:AM283),""))</f>
      </c>
      <c r="R283" s="684">
        <f>IF(終値!A283="","",IFERROR(4*STDEVP(終値!U283:AN283)/AVERAGE(終値!U283:AN283),""))</f>
      </c>
      <c r="S283" s="684">
        <f>IF(終値!A283="","",IFERROR(4*STDEVP(終値!V283:AO283)/AVERAGE(終値!V283:AO283),""))</f>
      </c>
      <c r="T283" s="684">
        <f>IF(終値!A283="","",IFERROR(4*STDEVP(終値!W283:AP283)/AVERAGE(終値!W283:AP283),""))</f>
      </c>
      <c r="U283" s="684">
        <f>IF(終値!A283="","",IFERROR(4*STDEVP(終値!X283:AQ283)/AVERAGE(終値!X283:AQ283),""))</f>
      </c>
      <c r="V283" s="684">
        <f>IF(終値!A283="","",IFERROR(4*STDEVP(終値!Y283:AR283)/AVERAGE(終値!Y283:AR283),""))</f>
      </c>
      <c r="W283" s="684">
        <f>IF(終値!A283="","",IFERROR(4*STDEVP(終値!Z283:AS283)/AVERAGE(終値!Z283:AS283),""))</f>
      </c>
      <c r="X283" s="684">
        <f>IF(終値!A283="","",IFERROR(4*STDEVP(終値!AA283:AT283)/AVERAGE(終値!AA283:AT283),""))</f>
      </c>
      <c r="Y283" s="684">
        <f>IF(終値!A283="","",IFERROR(4*STDEVP(終値!AB283:AU283)/AVERAGE(終値!AB283:AU283),""))</f>
      </c>
      <c r="Z283" s="684">
        <f>IF(終値!A283="","",IFERROR(4*STDEVP(終値!AC283:AV283)/AVERAGE(終値!AC283:AV283),""))</f>
      </c>
      <c r="AA283" s="684">
        <f>IF(終値!A283="","",IFERROR(4*STDEVP(終値!AD283:AW283)/AVERAGE(終値!AD283:AW283),""))</f>
      </c>
      <c r="AB283" s="684">
        <f>IF(終値!A283="","",IFERROR(4*STDEVP(終値!AE283:AX283)/AVERAGE(終値!AE283:AX283),""))</f>
      </c>
      <c r="AC283" s="684">
        <f>IF(終値!A283="","",IFERROR(4*STDEVP(終値!AF283:AY283)/AVERAGE(終値!AF283:AY283),""))</f>
      </c>
      <c r="AD283" s="684">
        <f>IF(終値!A283="","",IFERROR(4*STDEVP(終値!AG283:AZ283)/AVERAGE(終値!AG283:AZ283),""))</f>
      </c>
      <c r="AE283" s="684">
        <f>IF(終値!A283="","",IFERROR(4*STDEVP(終値!AH283:BA283)/AVERAGE(終値!AH283:BA283),""))</f>
      </c>
      <c r="AF283" s="684">
        <f>IF(終値!A283="","",IFERROR(4*STDEVP(終値!AI283:BB283)/AVERAGE(終値!AI283:BB283),""))</f>
      </c>
      <c r="AG283" s="684">
        <f>IF(終値!A283="","",IFERROR(4*STDEVP(終値!AJ283:BC283)/AVERAGE(終値!AJ283:BC283),""))</f>
      </c>
      <c r="AH283" s="684">
        <f>IF(終値!A283="","",IFERROR(4*STDEVP(終値!AK283:BD283)/AVERAGE(終値!AK283:BD283),""))</f>
      </c>
      <c r="AI283" s="684">
        <f>IF(終値!A283="","",IFERROR(4*STDEVP(終値!AL283:BE283)/AVERAGE(終値!AL283:BE283),""))</f>
      </c>
      <c r="AJ283" s="684">
        <f>IF(終値!A283="","",IFERROR(4*STDEVP(終値!AM283:BF283)/AVERAGE(終値!AM283:BF283),""))</f>
      </c>
      <c r="AK283" s="684">
        <f>IF(終値!A283="","",IFERROR(4*STDEVP(終値!AN283:BG283)/AVERAGE(終値!AN283:BG283),""))</f>
      </c>
      <c r="AL283" s="684">
        <f>IF(終値!A283="","",IFERROR(4*STDEVP(終値!AO283:BH283)/AVERAGE(終値!AO283:BH283),""))</f>
      </c>
      <c r="AM283" s="684">
        <f>IF(終値!A283="","",IFERROR(4*STDEVP(終値!AP283:BI283)/AVERAGE(終値!AP283:BI283),""))</f>
      </c>
      <c r="AN283" s="684">
        <f>IF(終値!A283="","",IFERROR(4*STDEVP(終値!AQ283:BJ283)/AVERAGE(終値!AQ283:BJ283),""))</f>
      </c>
      <c r="AO283" s="684">
        <f>IF(終値!A283="","",IFERROR(4*STDEVP(終値!AR283:BK283)/AVERAGE(終値!AR283:BK283),""))</f>
      </c>
      <c r="AP283" s="684">
        <f>IF(終値!A283="","",IFERROR(4*STDEVP(終値!AS283:BL283)/AVERAGE(終値!AS283:BL283),""))</f>
      </c>
    </row>
    <row r="284">
      <c r="A284" s="681">
        <f>IF(終値!A284="","",終値!A284)</f>
      </c>
      <c r="B284" s="684">
        <f>IF(終値!A284="","",IFERROR(4*STDEVP(終値!E284:X284)/AVERAGE(終値!E284:X284),""))</f>
      </c>
      <c r="C284" s="684">
        <f>IF(終値!A284="","",IFERROR(4*STDEVP(終値!F284:Y284)/AVERAGE(終値!F284:Y284),""))</f>
      </c>
      <c r="D284" s="684">
        <f>IF(終値!A284="","",IFERROR(4*STDEVP(終値!G284:Z284)/AVERAGE(終値!G284:Z284),""))</f>
      </c>
      <c r="E284" s="684">
        <f>IF(終値!A284="","",IFERROR(4*STDEVP(終値!H284:AA284)/AVERAGE(終値!H284:AA284),""))</f>
      </c>
      <c r="F284" s="684">
        <f>IF(終値!A284="","",IFERROR(4*STDEVP(終値!I284:AB284)/AVERAGE(終値!I284:AB284),""))</f>
      </c>
      <c r="G284" s="684">
        <f>IF(終値!A284="","",IFERROR(4*STDEVP(終値!J284:AC284)/AVERAGE(終値!J284:AC284),""))</f>
      </c>
      <c r="H284" s="684">
        <f>IF(終値!A284="","",IFERROR(4*STDEVP(終値!K284:AD284)/AVERAGE(終値!K284:AD284),""))</f>
      </c>
      <c r="I284" s="684">
        <f>IF(終値!A284="","",IFERROR(4*STDEVP(終値!L284:AE284)/AVERAGE(終値!L284:AE284),""))</f>
      </c>
      <c r="J284" s="684">
        <f>IF(終値!A284="","",IFERROR(4*STDEVP(終値!M284:AF284)/AVERAGE(終値!M284:AF284),""))</f>
      </c>
      <c r="K284" s="684">
        <f>IF(終値!A284="","",IFERROR(4*STDEVP(終値!N284:AG284)/AVERAGE(終値!N284:AG284),""))</f>
      </c>
      <c r="L284" s="684">
        <f>IF(終値!A284="","",IFERROR(4*STDEVP(終値!O284:AH284)/AVERAGE(終値!O284:AH284),""))</f>
      </c>
      <c r="M284" s="684">
        <f>IF(終値!A284="","",IFERROR(4*STDEVP(終値!P284:AI284)/AVERAGE(終値!P284:AI284),""))</f>
      </c>
      <c r="N284" s="684">
        <f>IF(終値!A284="","",IFERROR(4*STDEVP(終値!Q284:AJ284)/AVERAGE(終値!Q284:AJ284),""))</f>
      </c>
      <c r="O284" s="684">
        <f>IF(終値!A284="","",IFERROR(4*STDEVP(終値!R284:AK284)/AVERAGE(終値!R284:AK284),""))</f>
      </c>
      <c r="P284" s="684">
        <f>IF(終値!A284="","",IFERROR(4*STDEVP(終値!S284:AL284)/AVERAGE(終値!S284:AL284),""))</f>
      </c>
      <c r="Q284" s="684">
        <f>IF(終値!A284="","",IFERROR(4*STDEVP(終値!T284:AM284)/AVERAGE(終値!T284:AM284),""))</f>
      </c>
      <c r="R284" s="684">
        <f>IF(終値!A284="","",IFERROR(4*STDEVP(終値!U284:AN284)/AVERAGE(終値!U284:AN284),""))</f>
      </c>
      <c r="S284" s="684">
        <f>IF(終値!A284="","",IFERROR(4*STDEVP(終値!V284:AO284)/AVERAGE(終値!V284:AO284),""))</f>
      </c>
      <c r="T284" s="684">
        <f>IF(終値!A284="","",IFERROR(4*STDEVP(終値!W284:AP284)/AVERAGE(終値!W284:AP284),""))</f>
      </c>
      <c r="U284" s="684">
        <f>IF(終値!A284="","",IFERROR(4*STDEVP(終値!X284:AQ284)/AVERAGE(終値!X284:AQ284),""))</f>
      </c>
      <c r="V284" s="684">
        <f>IF(終値!A284="","",IFERROR(4*STDEVP(終値!Y284:AR284)/AVERAGE(終値!Y284:AR284),""))</f>
      </c>
      <c r="W284" s="684">
        <f>IF(終値!A284="","",IFERROR(4*STDEVP(終値!Z284:AS284)/AVERAGE(終値!Z284:AS284),""))</f>
      </c>
      <c r="X284" s="684">
        <f>IF(終値!A284="","",IFERROR(4*STDEVP(終値!AA284:AT284)/AVERAGE(終値!AA284:AT284),""))</f>
      </c>
      <c r="Y284" s="684">
        <f>IF(終値!A284="","",IFERROR(4*STDEVP(終値!AB284:AU284)/AVERAGE(終値!AB284:AU284),""))</f>
      </c>
      <c r="Z284" s="684">
        <f>IF(終値!A284="","",IFERROR(4*STDEVP(終値!AC284:AV284)/AVERAGE(終値!AC284:AV284),""))</f>
      </c>
      <c r="AA284" s="684">
        <f>IF(終値!A284="","",IFERROR(4*STDEVP(終値!AD284:AW284)/AVERAGE(終値!AD284:AW284),""))</f>
      </c>
      <c r="AB284" s="684">
        <f>IF(終値!A284="","",IFERROR(4*STDEVP(終値!AE284:AX284)/AVERAGE(終値!AE284:AX284),""))</f>
      </c>
      <c r="AC284" s="684">
        <f>IF(終値!A284="","",IFERROR(4*STDEVP(終値!AF284:AY284)/AVERAGE(終値!AF284:AY284),""))</f>
      </c>
      <c r="AD284" s="684">
        <f>IF(終値!A284="","",IFERROR(4*STDEVP(終値!AG284:AZ284)/AVERAGE(終値!AG284:AZ284),""))</f>
      </c>
      <c r="AE284" s="684">
        <f>IF(終値!A284="","",IFERROR(4*STDEVP(終値!AH284:BA284)/AVERAGE(終値!AH284:BA284),""))</f>
      </c>
      <c r="AF284" s="684">
        <f>IF(終値!A284="","",IFERROR(4*STDEVP(終値!AI284:BB284)/AVERAGE(終値!AI284:BB284),""))</f>
      </c>
      <c r="AG284" s="684">
        <f>IF(終値!A284="","",IFERROR(4*STDEVP(終値!AJ284:BC284)/AVERAGE(終値!AJ284:BC284),""))</f>
      </c>
      <c r="AH284" s="684">
        <f>IF(終値!A284="","",IFERROR(4*STDEVP(終値!AK284:BD284)/AVERAGE(終値!AK284:BD284),""))</f>
      </c>
      <c r="AI284" s="684">
        <f>IF(終値!A284="","",IFERROR(4*STDEVP(終値!AL284:BE284)/AVERAGE(終値!AL284:BE284),""))</f>
      </c>
      <c r="AJ284" s="684">
        <f>IF(終値!A284="","",IFERROR(4*STDEVP(終値!AM284:BF284)/AVERAGE(終値!AM284:BF284),""))</f>
      </c>
      <c r="AK284" s="684">
        <f>IF(終値!A284="","",IFERROR(4*STDEVP(終値!AN284:BG284)/AVERAGE(終値!AN284:BG284),""))</f>
      </c>
      <c r="AL284" s="684">
        <f>IF(終値!A284="","",IFERROR(4*STDEVP(終値!AO284:BH284)/AVERAGE(終値!AO284:BH284),""))</f>
      </c>
      <c r="AM284" s="684">
        <f>IF(終値!A284="","",IFERROR(4*STDEVP(終値!AP284:BI284)/AVERAGE(終値!AP284:BI284),""))</f>
      </c>
      <c r="AN284" s="684">
        <f>IF(終値!A284="","",IFERROR(4*STDEVP(終値!AQ284:BJ284)/AVERAGE(終値!AQ284:BJ284),""))</f>
      </c>
      <c r="AO284" s="684">
        <f>IF(終値!A284="","",IFERROR(4*STDEVP(終値!AR284:BK284)/AVERAGE(終値!AR284:BK284),""))</f>
      </c>
      <c r="AP284" s="684">
        <f>IF(終値!A284="","",IFERROR(4*STDEVP(終値!AS284:BL284)/AVERAGE(終値!AS284:BL284),""))</f>
      </c>
    </row>
    <row r="285">
      <c r="A285" s="681">
        <f>IF(終値!A285="","",終値!A285)</f>
      </c>
      <c r="B285" s="684">
        <f>IF(終値!A285="","",IFERROR(4*STDEVP(終値!E285:X285)/AVERAGE(終値!E285:X285),""))</f>
      </c>
      <c r="C285" s="684">
        <f>IF(終値!A285="","",IFERROR(4*STDEVP(終値!F285:Y285)/AVERAGE(終値!F285:Y285),""))</f>
      </c>
      <c r="D285" s="684">
        <f>IF(終値!A285="","",IFERROR(4*STDEVP(終値!G285:Z285)/AVERAGE(終値!G285:Z285),""))</f>
      </c>
      <c r="E285" s="684">
        <f>IF(終値!A285="","",IFERROR(4*STDEVP(終値!H285:AA285)/AVERAGE(終値!H285:AA285),""))</f>
      </c>
      <c r="F285" s="684">
        <f>IF(終値!A285="","",IFERROR(4*STDEVP(終値!I285:AB285)/AVERAGE(終値!I285:AB285),""))</f>
      </c>
      <c r="G285" s="684">
        <f>IF(終値!A285="","",IFERROR(4*STDEVP(終値!J285:AC285)/AVERAGE(終値!J285:AC285),""))</f>
      </c>
      <c r="H285" s="684">
        <f>IF(終値!A285="","",IFERROR(4*STDEVP(終値!K285:AD285)/AVERAGE(終値!K285:AD285),""))</f>
      </c>
      <c r="I285" s="684">
        <f>IF(終値!A285="","",IFERROR(4*STDEVP(終値!L285:AE285)/AVERAGE(終値!L285:AE285),""))</f>
      </c>
      <c r="J285" s="684">
        <f>IF(終値!A285="","",IFERROR(4*STDEVP(終値!M285:AF285)/AVERAGE(終値!M285:AF285),""))</f>
      </c>
      <c r="K285" s="684">
        <f>IF(終値!A285="","",IFERROR(4*STDEVP(終値!N285:AG285)/AVERAGE(終値!N285:AG285),""))</f>
      </c>
      <c r="L285" s="684">
        <f>IF(終値!A285="","",IFERROR(4*STDEVP(終値!O285:AH285)/AVERAGE(終値!O285:AH285),""))</f>
      </c>
      <c r="M285" s="684">
        <f>IF(終値!A285="","",IFERROR(4*STDEVP(終値!P285:AI285)/AVERAGE(終値!P285:AI285),""))</f>
      </c>
      <c r="N285" s="684">
        <f>IF(終値!A285="","",IFERROR(4*STDEVP(終値!Q285:AJ285)/AVERAGE(終値!Q285:AJ285),""))</f>
      </c>
      <c r="O285" s="684">
        <f>IF(終値!A285="","",IFERROR(4*STDEVP(終値!R285:AK285)/AVERAGE(終値!R285:AK285),""))</f>
      </c>
      <c r="P285" s="684">
        <f>IF(終値!A285="","",IFERROR(4*STDEVP(終値!S285:AL285)/AVERAGE(終値!S285:AL285),""))</f>
      </c>
      <c r="Q285" s="684">
        <f>IF(終値!A285="","",IFERROR(4*STDEVP(終値!T285:AM285)/AVERAGE(終値!T285:AM285),""))</f>
      </c>
      <c r="R285" s="684">
        <f>IF(終値!A285="","",IFERROR(4*STDEVP(終値!U285:AN285)/AVERAGE(終値!U285:AN285),""))</f>
      </c>
      <c r="S285" s="684">
        <f>IF(終値!A285="","",IFERROR(4*STDEVP(終値!V285:AO285)/AVERAGE(終値!V285:AO285),""))</f>
      </c>
      <c r="T285" s="684">
        <f>IF(終値!A285="","",IFERROR(4*STDEVP(終値!W285:AP285)/AVERAGE(終値!W285:AP285),""))</f>
      </c>
      <c r="U285" s="684">
        <f>IF(終値!A285="","",IFERROR(4*STDEVP(終値!X285:AQ285)/AVERAGE(終値!X285:AQ285),""))</f>
      </c>
      <c r="V285" s="684">
        <f>IF(終値!A285="","",IFERROR(4*STDEVP(終値!Y285:AR285)/AVERAGE(終値!Y285:AR285),""))</f>
      </c>
      <c r="W285" s="684">
        <f>IF(終値!A285="","",IFERROR(4*STDEVP(終値!Z285:AS285)/AVERAGE(終値!Z285:AS285),""))</f>
      </c>
      <c r="X285" s="684">
        <f>IF(終値!A285="","",IFERROR(4*STDEVP(終値!AA285:AT285)/AVERAGE(終値!AA285:AT285),""))</f>
      </c>
      <c r="Y285" s="684">
        <f>IF(終値!A285="","",IFERROR(4*STDEVP(終値!AB285:AU285)/AVERAGE(終値!AB285:AU285),""))</f>
      </c>
      <c r="Z285" s="684">
        <f>IF(終値!A285="","",IFERROR(4*STDEVP(終値!AC285:AV285)/AVERAGE(終値!AC285:AV285),""))</f>
      </c>
      <c r="AA285" s="684">
        <f>IF(終値!A285="","",IFERROR(4*STDEVP(終値!AD285:AW285)/AVERAGE(終値!AD285:AW285),""))</f>
      </c>
      <c r="AB285" s="684">
        <f>IF(終値!A285="","",IFERROR(4*STDEVP(終値!AE285:AX285)/AVERAGE(終値!AE285:AX285),""))</f>
      </c>
      <c r="AC285" s="684">
        <f>IF(終値!A285="","",IFERROR(4*STDEVP(終値!AF285:AY285)/AVERAGE(終値!AF285:AY285),""))</f>
      </c>
      <c r="AD285" s="684">
        <f>IF(終値!A285="","",IFERROR(4*STDEVP(終値!AG285:AZ285)/AVERAGE(終値!AG285:AZ285),""))</f>
      </c>
      <c r="AE285" s="684">
        <f>IF(終値!A285="","",IFERROR(4*STDEVP(終値!AH285:BA285)/AVERAGE(終値!AH285:BA285),""))</f>
      </c>
      <c r="AF285" s="684">
        <f>IF(終値!A285="","",IFERROR(4*STDEVP(終値!AI285:BB285)/AVERAGE(終値!AI285:BB285),""))</f>
      </c>
      <c r="AG285" s="684">
        <f>IF(終値!A285="","",IFERROR(4*STDEVP(終値!AJ285:BC285)/AVERAGE(終値!AJ285:BC285),""))</f>
      </c>
      <c r="AH285" s="684">
        <f>IF(終値!A285="","",IFERROR(4*STDEVP(終値!AK285:BD285)/AVERAGE(終値!AK285:BD285),""))</f>
      </c>
      <c r="AI285" s="684">
        <f>IF(終値!A285="","",IFERROR(4*STDEVP(終値!AL285:BE285)/AVERAGE(終値!AL285:BE285),""))</f>
      </c>
      <c r="AJ285" s="684">
        <f>IF(終値!A285="","",IFERROR(4*STDEVP(終値!AM285:BF285)/AVERAGE(終値!AM285:BF285),""))</f>
      </c>
      <c r="AK285" s="684">
        <f>IF(終値!A285="","",IFERROR(4*STDEVP(終値!AN285:BG285)/AVERAGE(終値!AN285:BG285),""))</f>
      </c>
      <c r="AL285" s="684">
        <f>IF(終値!A285="","",IFERROR(4*STDEVP(終値!AO285:BH285)/AVERAGE(終値!AO285:BH285),""))</f>
      </c>
      <c r="AM285" s="684">
        <f>IF(終値!A285="","",IFERROR(4*STDEVP(終値!AP285:BI285)/AVERAGE(終値!AP285:BI285),""))</f>
      </c>
      <c r="AN285" s="684">
        <f>IF(終値!A285="","",IFERROR(4*STDEVP(終値!AQ285:BJ285)/AVERAGE(終値!AQ285:BJ285),""))</f>
      </c>
      <c r="AO285" s="684">
        <f>IF(終値!A285="","",IFERROR(4*STDEVP(終値!AR285:BK285)/AVERAGE(終値!AR285:BK285),""))</f>
      </c>
      <c r="AP285" s="684">
        <f>IF(終値!A285="","",IFERROR(4*STDEVP(終値!AS285:BL285)/AVERAGE(終値!AS285:BL285),""))</f>
      </c>
    </row>
    <row r="286">
      <c r="A286" s="681">
        <f>IF(終値!A286="","",終値!A286)</f>
      </c>
      <c r="B286" s="684">
        <f>IF(終値!A286="","",IFERROR(4*STDEVP(終値!E286:X286)/AVERAGE(終値!E286:X286),""))</f>
      </c>
      <c r="C286" s="684">
        <f>IF(終値!A286="","",IFERROR(4*STDEVP(終値!F286:Y286)/AVERAGE(終値!F286:Y286),""))</f>
      </c>
      <c r="D286" s="684">
        <f>IF(終値!A286="","",IFERROR(4*STDEVP(終値!G286:Z286)/AVERAGE(終値!G286:Z286),""))</f>
      </c>
      <c r="E286" s="684">
        <f>IF(終値!A286="","",IFERROR(4*STDEVP(終値!H286:AA286)/AVERAGE(終値!H286:AA286),""))</f>
      </c>
      <c r="F286" s="684">
        <f>IF(終値!A286="","",IFERROR(4*STDEVP(終値!I286:AB286)/AVERAGE(終値!I286:AB286),""))</f>
      </c>
      <c r="G286" s="684">
        <f>IF(終値!A286="","",IFERROR(4*STDEVP(終値!J286:AC286)/AVERAGE(終値!J286:AC286),""))</f>
      </c>
      <c r="H286" s="684">
        <f>IF(終値!A286="","",IFERROR(4*STDEVP(終値!K286:AD286)/AVERAGE(終値!K286:AD286),""))</f>
      </c>
      <c r="I286" s="684">
        <f>IF(終値!A286="","",IFERROR(4*STDEVP(終値!L286:AE286)/AVERAGE(終値!L286:AE286),""))</f>
      </c>
      <c r="J286" s="684">
        <f>IF(終値!A286="","",IFERROR(4*STDEVP(終値!M286:AF286)/AVERAGE(終値!M286:AF286),""))</f>
      </c>
      <c r="K286" s="684">
        <f>IF(終値!A286="","",IFERROR(4*STDEVP(終値!N286:AG286)/AVERAGE(終値!N286:AG286),""))</f>
      </c>
      <c r="L286" s="684">
        <f>IF(終値!A286="","",IFERROR(4*STDEVP(終値!O286:AH286)/AVERAGE(終値!O286:AH286),""))</f>
      </c>
      <c r="M286" s="684">
        <f>IF(終値!A286="","",IFERROR(4*STDEVP(終値!P286:AI286)/AVERAGE(終値!P286:AI286),""))</f>
      </c>
      <c r="N286" s="684">
        <f>IF(終値!A286="","",IFERROR(4*STDEVP(終値!Q286:AJ286)/AVERAGE(終値!Q286:AJ286),""))</f>
      </c>
      <c r="O286" s="684">
        <f>IF(終値!A286="","",IFERROR(4*STDEVP(終値!R286:AK286)/AVERAGE(終値!R286:AK286),""))</f>
      </c>
      <c r="P286" s="684">
        <f>IF(終値!A286="","",IFERROR(4*STDEVP(終値!S286:AL286)/AVERAGE(終値!S286:AL286),""))</f>
      </c>
      <c r="Q286" s="684">
        <f>IF(終値!A286="","",IFERROR(4*STDEVP(終値!T286:AM286)/AVERAGE(終値!T286:AM286),""))</f>
      </c>
      <c r="R286" s="684">
        <f>IF(終値!A286="","",IFERROR(4*STDEVP(終値!U286:AN286)/AVERAGE(終値!U286:AN286),""))</f>
      </c>
      <c r="S286" s="684">
        <f>IF(終値!A286="","",IFERROR(4*STDEVP(終値!V286:AO286)/AVERAGE(終値!V286:AO286),""))</f>
      </c>
      <c r="T286" s="684">
        <f>IF(終値!A286="","",IFERROR(4*STDEVP(終値!W286:AP286)/AVERAGE(終値!W286:AP286),""))</f>
      </c>
      <c r="U286" s="684">
        <f>IF(終値!A286="","",IFERROR(4*STDEVP(終値!X286:AQ286)/AVERAGE(終値!X286:AQ286),""))</f>
      </c>
      <c r="V286" s="684">
        <f>IF(終値!A286="","",IFERROR(4*STDEVP(終値!Y286:AR286)/AVERAGE(終値!Y286:AR286),""))</f>
      </c>
      <c r="W286" s="684">
        <f>IF(終値!A286="","",IFERROR(4*STDEVP(終値!Z286:AS286)/AVERAGE(終値!Z286:AS286),""))</f>
      </c>
      <c r="X286" s="684">
        <f>IF(終値!A286="","",IFERROR(4*STDEVP(終値!AA286:AT286)/AVERAGE(終値!AA286:AT286),""))</f>
      </c>
      <c r="Y286" s="684">
        <f>IF(終値!A286="","",IFERROR(4*STDEVP(終値!AB286:AU286)/AVERAGE(終値!AB286:AU286),""))</f>
      </c>
      <c r="Z286" s="684">
        <f>IF(終値!A286="","",IFERROR(4*STDEVP(終値!AC286:AV286)/AVERAGE(終値!AC286:AV286),""))</f>
      </c>
      <c r="AA286" s="684">
        <f>IF(終値!A286="","",IFERROR(4*STDEVP(終値!AD286:AW286)/AVERAGE(終値!AD286:AW286),""))</f>
      </c>
      <c r="AB286" s="684">
        <f>IF(終値!A286="","",IFERROR(4*STDEVP(終値!AE286:AX286)/AVERAGE(終値!AE286:AX286),""))</f>
      </c>
      <c r="AC286" s="684">
        <f>IF(終値!A286="","",IFERROR(4*STDEVP(終値!AF286:AY286)/AVERAGE(終値!AF286:AY286),""))</f>
      </c>
      <c r="AD286" s="684">
        <f>IF(終値!A286="","",IFERROR(4*STDEVP(終値!AG286:AZ286)/AVERAGE(終値!AG286:AZ286),""))</f>
      </c>
      <c r="AE286" s="684">
        <f>IF(終値!A286="","",IFERROR(4*STDEVP(終値!AH286:BA286)/AVERAGE(終値!AH286:BA286),""))</f>
      </c>
      <c r="AF286" s="684">
        <f>IF(終値!A286="","",IFERROR(4*STDEVP(終値!AI286:BB286)/AVERAGE(終値!AI286:BB286),""))</f>
      </c>
      <c r="AG286" s="684">
        <f>IF(終値!A286="","",IFERROR(4*STDEVP(終値!AJ286:BC286)/AVERAGE(終値!AJ286:BC286),""))</f>
      </c>
      <c r="AH286" s="684">
        <f>IF(終値!A286="","",IFERROR(4*STDEVP(終値!AK286:BD286)/AVERAGE(終値!AK286:BD286),""))</f>
      </c>
      <c r="AI286" s="684">
        <f>IF(終値!A286="","",IFERROR(4*STDEVP(終値!AL286:BE286)/AVERAGE(終値!AL286:BE286),""))</f>
      </c>
      <c r="AJ286" s="684">
        <f>IF(終値!A286="","",IFERROR(4*STDEVP(終値!AM286:BF286)/AVERAGE(終値!AM286:BF286),""))</f>
      </c>
      <c r="AK286" s="684">
        <f>IF(終値!A286="","",IFERROR(4*STDEVP(終値!AN286:BG286)/AVERAGE(終値!AN286:BG286),""))</f>
      </c>
      <c r="AL286" s="684">
        <f>IF(終値!A286="","",IFERROR(4*STDEVP(終値!AO286:BH286)/AVERAGE(終値!AO286:BH286),""))</f>
      </c>
      <c r="AM286" s="684">
        <f>IF(終値!A286="","",IFERROR(4*STDEVP(終値!AP286:BI286)/AVERAGE(終値!AP286:BI286),""))</f>
      </c>
      <c r="AN286" s="684">
        <f>IF(終値!A286="","",IFERROR(4*STDEVP(終値!AQ286:BJ286)/AVERAGE(終値!AQ286:BJ286),""))</f>
      </c>
      <c r="AO286" s="684">
        <f>IF(終値!A286="","",IFERROR(4*STDEVP(終値!AR286:BK286)/AVERAGE(終値!AR286:BK286),""))</f>
      </c>
      <c r="AP286" s="684">
        <f>IF(終値!A286="","",IFERROR(4*STDEVP(終値!AS286:BL286)/AVERAGE(終値!AS286:BL286),""))</f>
      </c>
    </row>
    <row r="287">
      <c r="A287" s="681">
        <f>IF(終値!A287="","",終値!A287)</f>
      </c>
      <c r="B287" s="684">
        <f>IF(終値!A287="","",IFERROR(4*STDEVP(終値!E287:X287)/AVERAGE(終値!E287:X287),""))</f>
      </c>
      <c r="C287" s="684">
        <f>IF(終値!A287="","",IFERROR(4*STDEVP(終値!F287:Y287)/AVERAGE(終値!F287:Y287),""))</f>
      </c>
      <c r="D287" s="684">
        <f>IF(終値!A287="","",IFERROR(4*STDEVP(終値!G287:Z287)/AVERAGE(終値!G287:Z287),""))</f>
      </c>
      <c r="E287" s="684">
        <f>IF(終値!A287="","",IFERROR(4*STDEVP(終値!H287:AA287)/AVERAGE(終値!H287:AA287),""))</f>
      </c>
      <c r="F287" s="684">
        <f>IF(終値!A287="","",IFERROR(4*STDEVP(終値!I287:AB287)/AVERAGE(終値!I287:AB287),""))</f>
      </c>
      <c r="G287" s="684">
        <f>IF(終値!A287="","",IFERROR(4*STDEVP(終値!J287:AC287)/AVERAGE(終値!J287:AC287),""))</f>
      </c>
      <c r="H287" s="684">
        <f>IF(終値!A287="","",IFERROR(4*STDEVP(終値!K287:AD287)/AVERAGE(終値!K287:AD287),""))</f>
      </c>
      <c r="I287" s="684">
        <f>IF(終値!A287="","",IFERROR(4*STDEVP(終値!L287:AE287)/AVERAGE(終値!L287:AE287),""))</f>
      </c>
      <c r="J287" s="684">
        <f>IF(終値!A287="","",IFERROR(4*STDEVP(終値!M287:AF287)/AVERAGE(終値!M287:AF287),""))</f>
      </c>
      <c r="K287" s="684">
        <f>IF(終値!A287="","",IFERROR(4*STDEVP(終値!N287:AG287)/AVERAGE(終値!N287:AG287),""))</f>
      </c>
      <c r="L287" s="684">
        <f>IF(終値!A287="","",IFERROR(4*STDEVP(終値!O287:AH287)/AVERAGE(終値!O287:AH287),""))</f>
      </c>
      <c r="M287" s="684">
        <f>IF(終値!A287="","",IFERROR(4*STDEVP(終値!P287:AI287)/AVERAGE(終値!P287:AI287),""))</f>
      </c>
      <c r="N287" s="684">
        <f>IF(終値!A287="","",IFERROR(4*STDEVP(終値!Q287:AJ287)/AVERAGE(終値!Q287:AJ287),""))</f>
      </c>
      <c r="O287" s="684">
        <f>IF(終値!A287="","",IFERROR(4*STDEVP(終値!R287:AK287)/AVERAGE(終値!R287:AK287),""))</f>
      </c>
      <c r="P287" s="684">
        <f>IF(終値!A287="","",IFERROR(4*STDEVP(終値!S287:AL287)/AVERAGE(終値!S287:AL287),""))</f>
      </c>
      <c r="Q287" s="684">
        <f>IF(終値!A287="","",IFERROR(4*STDEVP(終値!T287:AM287)/AVERAGE(終値!T287:AM287),""))</f>
      </c>
      <c r="R287" s="684">
        <f>IF(終値!A287="","",IFERROR(4*STDEVP(終値!U287:AN287)/AVERAGE(終値!U287:AN287),""))</f>
      </c>
      <c r="S287" s="684">
        <f>IF(終値!A287="","",IFERROR(4*STDEVP(終値!V287:AO287)/AVERAGE(終値!V287:AO287),""))</f>
      </c>
      <c r="T287" s="684">
        <f>IF(終値!A287="","",IFERROR(4*STDEVP(終値!W287:AP287)/AVERAGE(終値!W287:AP287),""))</f>
      </c>
      <c r="U287" s="684">
        <f>IF(終値!A287="","",IFERROR(4*STDEVP(終値!X287:AQ287)/AVERAGE(終値!X287:AQ287),""))</f>
      </c>
      <c r="V287" s="684">
        <f>IF(終値!A287="","",IFERROR(4*STDEVP(終値!Y287:AR287)/AVERAGE(終値!Y287:AR287),""))</f>
      </c>
      <c r="W287" s="684">
        <f>IF(終値!A287="","",IFERROR(4*STDEVP(終値!Z287:AS287)/AVERAGE(終値!Z287:AS287),""))</f>
      </c>
      <c r="X287" s="684">
        <f>IF(終値!A287="","",IFERROR(4*STDEVP(終値!AA287:AT287)/AVERAGE(終値!AA287:AT287),""))</f>
      </c>
      <c r="Y287" s="684">
        <f>IF(終値!A287="","",IFERROR(4*STDEVP(終値!AB287:AU287)/AVERAGE(終値!AB287:AU287),""))</f>
      </c>
      <c r="Z287" s="684">
        <f>IF(終値!A287="","",IFERROR(4*STDEVP(終値!AC287:AV287)/AVERAGE(終値!AC287:AV287),""))</f>
      </c>
      <c r="AA287" s="684">
        <f>IF(終値!A287="","",IFERROR(4*STDEVP(終値!AD287:AW287)/AVERAGE(終値!AD287:AW287),""))</f>
      </c>
      <c r="AB287" s="684">
        <f>IF(終値!A287="","",IFERROR(4*STDEVP(終値!AE287:AX287)/AVERAGE(終値!AE287:AX287),""))</f>
      </c>
      <c r="AC287" s="684">
        <f>IF(終値!A287="","",IFERROR(4*STDEVP(終値!AF287:AY287)/AVERAGE(終値!AF287:AY287),""))</f>
      </c>
      <c r="AD287" s="684">
        <f>IF(終値!A287="","",IFERROR(4*STDEVP(終値!AG287:AZ287)/AVERAGE(終値!AG287:AZ287),""))</f>
      </c>
      <c r="AE287" s="684">
        <f>IF(終値!A287="","",IFERROR(4*STDEVP(終値!AH287:BA287)/AVERAGE(終値!AH287:BA287),""))</f>
      </c>
      <c r="AF287" s="684">
        <f>IF(終値!A287="","",IFERROR(4*STDEVP(終値!AI287:BB287)/AVERAGE(終値!AI287:BB287),""))</f>
      </c>
      <c r="AG287" s="684">
        <f>IF(終値!A287="","",IFERROR(4*STDEVP(終値!AJ287:BC287)/AVERAGE(終値!AJ287:BC287),""))</f>
      </c>
      <c r="AH287" s="684">
        <f>IF(終値!A287="","",IFERROR(4*STDEVP(終値!AK287:BD287)/AVERAGE(終値!AK287:BD287),""))</f>
      </c>
      <c r="AI287" s="684">
        <f>IF(終値!A287="","",IFERROR(4*STDEVP(終値!AL287:BE287)/AVERAGE(終値!AL287:BE287),""))</f>
      </c>
      <c r="AJ287" s="684">
        <f>IF(終値!A287="","",IFERROR(4*STDEVP(終値!AM287:BF287)/AVERAGE(終値!AM287:BF287),""))</f>
      </c>
      <c r="AK287" s="684">
        <f>IF(終値!A287="","",IFERROR(4*STDEVP(終値!AN287:BG287)/AVERAGE(終値!AN287:BG287),""))</f>
      </c>
      <c r="AL287" s="684">
        <f>IF(終値!A287="","",IFERROR(4*STDEVP(終値!AO287:BH287)/AVERAGE(終値!AO287:BH287),""))</f>
      </c>
      <c r="AM287" s="684">
        <f>IF(終値!A287="","",IFERROR(4*STDEVP(終値!AP287:BI287)/AVERAGE(終値!AP287:BI287),""))</f>
      </c>
      <c r="AN287" s="684">
        <f>IF(終値!A287="","",IFERROR(4*STDEVP(終値!AQ287:BJ287)/AVERAGE(終値!AQ287:BJ287),""))</f>
      </c>
      <c r="AO287" s="684">
        <f>IF(終値!A287="","",IFERROR(4*STDEVP(終値!AR287:BK287)/AVERAGE(終値!AR287:BK287),""))</f>
      </c>
      <c r="AP287" s="684">
        <f>IF(終値!A287="","",IFERROR(4*STDEVP(終値!AS287:BL287)/AVERAGE(終値!AS287:BL287),""))</f>
      </c>
    </row>
    <row r="288">
      <c r="A288" s="681">
        <f>IF(終値!A288="","",終値!A288)</f>
      </c>
      <c r="B288" s="684">
        <f>IF(終値!A288="","",IFERROR(4*STDEVP(終値!E288:X288)/AVERAGE(終値!E288:X288),""))</f>
      </c>
      <c r="C288" s="684">
        <f>IF(終値!A288="","",IFERROR(4*STDEVP(終値!F288:Y288)/AVERAGE(終値!F288:Y288),""))</f>
      </c>
      <c r="D288" s="684">
        <f>IF(終値!A288="","",IFERROR(4*STDEVP(終値!G288:Z288)/AVERAGE(終値!G288:Z288),""))</f>
      </c>
      <c r="E288" s="684">
        <f>IF(終値!A288="","",IFERROR(4*STDEVP(終値!H288:AA288)/AVERAGE(終値!H288:AA288),""))</f>
      </c>
      <c r="F288" s="684">
        <f>IF(終値!A288="","",IFERROR(4*STDEVP(終値!I288:AB288)/AVERAGE(終値!I288:AB288),""))</f>
      </c>
      <c r="G288" s="684">
        <f>IF(終値!A288="","",IFERROR(4*STDEVP(終値!J288:AC288)/AVERAGE(終値!J288:AC288),""))</f>
      </c>
      <c r="H288" s="684">
        <f>IF(終値!A288="","",IFERROR(4*STDEVP(終値!K288:AD288)/AVERAGE(終値!K288:AD288),""))</f>
      </c>
      <c r="I288" s="684">
        <f>IF(終値!A288="","",IFERROR(4*STDEVP(終値!L288:AE288)/AVERAGE(終値!L288:AE288),""))</f>
      </c>
      <c r="J288" s="684">
        <f>IF(終値!A288="","",IFERROR(4*STDEVP(終値!M288:AF288)/AVERAGE(終値!M288:AF288),""))</f>
      </c>
      <c r="K288" s="684">
        <f>IF(終値!A288="","",IFERROR(4*STDEVP(終値!N288:AG288)/AVERAGE(終値!N288:AG288),""))</f>
      </c>
      <c r="L288" s="684">
        <f>IF(終値!A288="","",IFERROR(4*STDEVP(終値!O288:AH288)/AVERAGE(終値!O288:AH288),""))</f>
      </c>
      <c r="M288" s="684">
        <f>IF(終値!A288="","",IFERROR(4*STDEVP(終値!P288:AI288)/AVERAGE(終値!P288:AI288),""))</f>
      </c>
      <c r="N288" s="684">
        <f>IF(終値!A288="","",IFERROR(4*STDEVP(終値!Q288:AJ288)/AVERAGE(終値!Q288:AJ288),""))</f>
      </c>
      <c r="O288" s="684">
        <f>IF(終値!A288="","",IFERROR(4*STDEVP(終値!R288:AK288)/AVERAGE(終値!R288:AK288),""))</f>
      </c>
      <c r="P288" s="684">
        <f>IF(終値!A288="","",IFERROR(4*STDEVP(終値!S288:AL288)/AVERAGE(終値!S288:AL288),""))</f>
      </c>
      <c r="Q288" s="684">
        <f>IF(終値!A288="","",IFERROR(4*STDEVP(終値!T288:AM288)/AVERAGE(終値!T288:AM288),""))</f>
      </c>
      <c r="R288" s="684">
        <f>IF(終値!A288="","",IFERROR(4*STDEVP(終値!U288:AN288)/AVERAGE(終値!U288:AN288),""))</f>
      </c>
      <c r="S288" s="684">
        <f>IF(終値!A288="","",IFERROR(4*STDEVP(終値!V288:AO288)/AVERAGE(終値!V288:AO288),""))</f>
      </c>
      <c r="T288" s="684">
        <f>IF(終値!A288="","",IFERROR(4*STDEVP(終値!W288:AP288)/AVERAGE(終値!W288:AP288),""))</f>
      </c>
      <c r="U288" s="684">
        <f>IF(終値!A288="","",IFERROR(4*STDEVP(終値!X288:AQ288)/AVERAGE(終値!X288:AQ288),""))</f>
      </c>
      <c r="V288" s="684">
        <f>IF(終値!A288="","",IFERROR(4*STDEVP(終値!Y288:AR288)/AVERAGE(終値!Y288:AR288),""))</f>
      </c>
      <c r="W288" s="684">
        <f>IF(終値!A288="","",IFERROR(4*STDEVP(終値!Z288:AS288)/AVERAGE(終値!Z288:AS288),""))</f>
      </c>
      <c r="X288" s="684">
        <f>IF(終値!A288="","",IFERROR(4*STDEVP(終値!AA288:AT288)/AVERAGE(終値!AA288:AT288),""))</f>
      </c>
      <c r="Y288" s="684">
        <f>IF(終値!A288="","",IFERROR(4*STDEVP(終値!AB288:AU288)/AVERAGE(終値!AB288:AU288),""))</f>
      </c>
      <c r="Z288" s="684">
        <f>IF(終値!A288="","",IFERROR(4*STDEVP(終値!AC288:AV288)/AVERAGE(終値!AC288:AV288),""))</f>
      </c>
      <c r="AA288" s="684">
        <f>IF(終値!A288="","",IFERROR(4*STDEVP(終値!AD288:AW288)/AVERAGE(終値!AD288:AW288),""))</f>
      </c>
      <c r="AB288" s="684">
        <f>IF(終値!A288="","",IFERROR(4*STDEVP(終値!AE288:AX288)/AVERAGE(終値!AE288:AX288),""))</f>
      </c>
      <c r="AC288" s="684">
        <f>IF(終値!A288="","",IFERROR(4*STDEVP(終値!AF288:AY288)/AVERAGE(終値!AF288:AY288),""))</f>
      </c>
      <c r="AD288" s="684">
        <f>IF(終値!A288="","",IFERROR(4*STDEVP(終値!AG288:AZ288)/AVERAGE(終値!AG288:AZ288),""))</f>
      </c>
      <c r="AE288" s="684">
        <f>IF(終値!A288="","",IFERROR(4*STDEVP(終値!AH288:BA288)/AVERAGE(終値!AH288:BA288),""))</f>
      </c>
      <c r="AF288" s="684">
        <f>IF(終値!A288="","",IFERROR(4*STDEVP(終値!AI288:BB288)/AVERAGE(終値!AI288:BB288),""))</f>
      </c>
      <c r="AG288" s="684">
        <f>IF(終値!A288="","",IFERROR(4*STDEVP(終値!AJ288:BC288)/AVERAGE(終値!AJ288:BC288),""))</f>
      </c>
      <c r="AH288" s="684">
        <f>IF(終値!A288="","",IFERROR(4*STDEVP(終値!AK288:BD288)/AVERAGE(終値!AK288:BD288),""))</f>
      </c>
      <c r="AI288" s="684">
        <f>IF(終値!A288="","",IFERROR(4*STDEVP(終値!AL288:BE288)/AVERAGE(終値!AL288:BE288),""))</f>
      </c>
      <c r="AJ288" s="684">
        <f>IF(終値!A288="","",IFERROR(4*STDEVP(終値!AM288:BF288)/AVERAGE(終値!AM288:BF288),""))</f>
      </c>
      <c r="AK288" s="684">
        <f>IF(終値!A288="","",IFERROR(4*STDEVP(終値!AN288:BG288)/AVERAGE(終値!AN288:BG288),""))</f>
      </c>
      <c r="AL288" s="684">
        <f>IF(終値!A288="","",IFERROR(4*STDEVP(終値!AO288:BH288)/AVERAGE(終値!AO288:BH288),""))</f>
      </c>
      <c r="AM288" s="684">
        <f>IF(終値!A288="","",IFERROR(4*STDEVP(終値!AP288:BI288)/AVERAGE(終値!AP288:BI288),""))</f>
      </c>
      <c r="AN288" s="684">
        <f>IF(終値!A288="","",IFERROR(4*STDEVP(終値!AQ288:BJ288)/AVERAGE(終値!AQ288:BJ288),""))</f>
      </c>
      <c r="AO288" s="684">
        <f>IF(終値!A288="","",IFERROR(4*STDEVP(終値!AR288:BK288)/AVERAGE(終値!AR288:BK288),""))</f>
      </c>
      <c r="AP288" s="684">
        <f>IF(終値!A288="","",IFERROR(4*STDEVP(終値!AS288:BL288)/AVERAGE(終値!AS288:BL288),""))</f>
      </c>
    </row>
    <row r="289">
      <c r="A289" s="681">
        <f>IF(終値!A289="","",終値!A289)</f>
      </c>
      <c r="B289" s="684">
        <f>IF(終値!A289="","",IFERROR(4*STDEVP(終値!E289:X289)/AVERAGE(終値!E289:X289),""))</f>
      </c>
      <c r="C289" s="684">
        <f>IF(終値!A289="","",IFERROR(4*STDEVP(終値!F289:Y289)/AVERAGE(終値!F289:Y289),""))</f>
      </c>
      <c r="D289" s="684">
        <f>IF(終値!A289="","",IFERROR(4*STDEVP(終値!G289:Z289)/AVERAGE(終値!G289:Z289),""))</f>
      </c>
      <c r="E289" s="684">
        <f>IF(終値!A289="","",IFERROR(4*STDEVP(終値!H289:AA289)/AVERAGE(終値!H289:AA289),""))</f>
      </c>
      <c r="F289" s="684">
        <f>IF(終値!A289="","",IFERROR(4*STDEVP(終値!I289:AB289)/AVERAGE(終値!I289:AB289),""))</f>
      </c>
      <c r="G289" s="684">
        <f>IF(終値!A289="","",IFERROR(4*STDEVP(終値!J289:AC289)/AVERAGE(終値!J289:AC289),""))</f>
      </c>
      <c r="H289" s="684">
        <f>IF(終値!A289="","",IFERROR(4*STDEVP(終値!K289:AD289)/AVERAGE(終値!K289:AD289),""))</f>
      </c>
      <c r="I289" s="684">
        <f>IF(終値!A289="","",IFERROR(4*STDEVP(終値!L289:AE289)/AVERAGE(終値!L289:AE289),""))</f>
      </c>
      <c r="J289" s="684">
        <f>IF(終値!A289="","",IFERROR(4*STDEVP(終値!M289:AF289)/AVERAGE(終値!M289:AF289),""))</f>
      </c>
      <c r="K289" s="684">
        <f>IF(終値!A289="","",IFERROR(4*STDEVP(終値!N289:AG289)/AVERAGE(終値!N289:AG289),""))</f>
      </c>
      <c r="L289" s="684">
        <f>IF(終値!A289="","",IFERROR(4*STDEVP(終値!O289:AH289)/AVERAGE(終値!O289:AH289),""))</f>
      </c>
      <c r="M289" s="684">
        <f>IF(終値!A289="","",IFERROR(4*STDEVP(終値!P289:AI289)/AVERAGE(終値!P289:AI289),""))</f>
      </c>
      <c r="N289" s="684">
        <f>IF(終値!A289="","",IFERROR(4*STDEVP(終値!Q289:AJ289)/AVERAGE(終値!Q289:AJ289),""))</f>
      </c>
      <c r="O289" s="684">
        <f>IF(終値!A289="","",IFERROR(4*STDEVP(終値!R289:AK289)/AVERAGE(終値!R289:AK289),""))</f>
      </c>
      <c r="P289" s="684">
        <f>IF(終値!A289="","",IFERROR(4*STDEVP(終値!S289:AL289)/AVERAGE(終値!S289:AL289),""))</f>
      </c>
      <c r="Q289" s="684">
        <f>IF(終値!A289="","",IFERROR(4*STDEVP(終値!T289:AM289)/AVERAGE(終値!T289:AM289),""))</f>
      </c>
      <c r="R289" s="684">
        <f>IF(終値!A289="","",IFERROR(4*STDEVP(終値!U289:AN289)/AVERAGE(終値!U289:AN289),""))</f>
      </c>
      <c r="S289" s="684">
        <f>IF(終値!A289="","",IFERROR(4*STDEVP(終値!V289:AO289)/AVERAGE(終値!V289:AO289),""))</f>
      </c>
      <c r="T289" s="684">
        <f>IF(終値!A289="","",IFERROR(4*STDEVP(終値!W289:AP289)/AVERAGE(終値!W289:AP289),""))</f>
      </c>
      <c r="U289" s="684">
        <f>IF(終値!A289="","",IFERROR(4*STDEVP(終値!X289:AQ289)/AVERAGE(終値!X289:AQ289),""))</f>
      </c>
      <c r="V289" s="684">
        <f>IF(終値!A289="","",IFERROR(4*STDEVP(終値!Y289:AR289)/AVERAGE(終値!Y289:AR289),""))</f>
      </c>
      <c r="W289" s="684">
        <f>IF(終値!A289="","",IFERROR(4*STDEVP(終値!Z289:AS289)/AVERAGE(終値!Z289:AS289),""))</f>
      </c>
      <c r="X289" s="684">
        <f>IF(終値!A289="","",IFERROR(4*STDEVP(終値!AA289:AT289)/AVERAGE(終値!AA289:AT289),""))</f>
      </c>
      <c r="Y289" s="684">
        <f>IF(終値!A289="","",IFERROR(4*STDEVP(終値!AB289:AU289)/AVERAGE(終値!AB289:AU289),""))</f>
      </c>
      <c r="Z289" s="684">
        <f>IF(終値!A289="","",IFERROR(4*STDEVP(終値!AC289:AV289)/AVERAGE(終値!AC289:AV289),""))</f>
      </c>
      <c r="AA289" s="684">
        <f>IF(終値!A289="","",IFERROR(4*STDEVP(終値!AD289:AW289)/AVERAGE(終値!AD289:AW289),""))</f>
      </c>
      <c r="AB289" s="684">
        <f>IF(終値!A289="","",IFERROR(4*STDEVP(終値!AE289:AX289)/AVERAGE(終値!AE289:AX289),""))</f>
      </c>
      <c r="AC289" s="684">
        <f>IF(終値!A289="","",IFERROR(4*STDEVP(終値!AF289:AY289)/AVERAGE(終値!AF289:AY289),""))</f>
      </c>
      <c r="AD289" s="684">
        <f>IF(終値!A289="","",IFERROR(4*STDEVP(終値!AG289:AZ289)/AVERAGE(終値!AG289:AZ289),""))</f>
      </c>
      <c r="AE289" s="684">
        <f>IF(終値!A289="","",IFERROR(4*STDEVP(終値!AH289:BA289)/AVERAGE(終値!AH289:BA289),""))</f>
      </c>
      <c r="AF289" s="684">
        <f>IF(終値!A289="","",IFERROR(4*STDEVP(終値!AI289:BB289)/AVERAGE(終値!AI289:BB289),""))</f>
      </c>
      <c r="AG289" s="684">
        <f>IF(終値!A289="","",IFERROR(4*STDEVP(終値!AJ289:BC289)/AVERAGE(終値!AJ289:BC289),""))</f>
      </c>
      <c r="AH289" s="684">
        <f>IF(終値!A289="","",IFERROR(4*STDEVP(終値!AK289:BD289)/AVERAGE(終値!AK289:BD289),""))</f>
      </c>
      <c r="AI289" s="684">
        <f>IF(終値!A289="","",IFERROR(4*STDEVP(終値!AL289:BE289)/AVERAGE(終値!AL289:BE289),""))</f>
      </c>
      <c r="AJ289" s="684">
        <f>IF(終値!A289="","",IFERROR(4*STDEVP(終値!AM289:BF289)/AVERAGE(終値!AM289:BF289),""))</f>
      </c>
      <c r="AK289" s="684">
        <f>IF(終値!A289="","",IFERROR(4*STDEVP(終値!AN289:BG289)/AVERAGE(終値!AN289:BG289),""))</f>
      </c>
      <c r="AL289" s="684">
        <f>IF(終値!A289="","",IFERROR(4*STDEVP(終値!AO289:BH289)/AVERAGE(終値!AO289:BH289),""))</f>
      </c>
      <c r="AM289" s="684">
        <f>IF(終値!A289="","",IFERROR(4*STDEVP(終値!AP289:BI289)/AVERAGE(終値!AP289:BI289),""))</f>
      </c>
      <c r="AN289" s="684">
        <f>IF(終値!A289="","",IFERROR(4*STDEVP(終値!AQ289:BJ289)/AVERAGE(終値!AQ289:BJ289),""))</f>
      </c>
      <c r="AO289" s="684">
        <f>IF(終値!A289="","",IFERROR(4*STDEVP(終値!AR289:BK289)/AVERAGE(終値!AR289:BK289),""))</f>
      </c>
      <c r="AP289" s="684">
        <f>IF(終値!A289="","",IFERROR(4*STDEVP(終値!AS289:BL289)/AVERAGE(終値!AS289:BL289),""))</f>
      </c>
    </row>
    <row r="290">
      <c r="A290" s="681">
        <f>IF(終値!A290="","",終値!A290)</f>
      </c>
      <c r="B290" s="684">
        <f>IF(終値!A290="","",IFERROR(4*STDEVP(終値!E290:X290)/AVERAGE(終値!E290:X290),""))</f>
      </c>
      <c r="C290" s="684">
        <f>IF(終値!A290="","",IFERROR(4*STDEVP(終値!F290:Y290)/AVERAGE(終値!F290:Y290),""))</f>
      </c>
      <c r="D290" s="684">
        <f>IF(終値!A290="","",IFERROR(4*STDEVP(終値!G290:Z290)/AVERAGE(終値!G290:Z290),""))</f>
      </c>
      <c r="E290" s="684">
        <f>IF(終値!A290="","",IFERROR(4*STDEVP(終値!H290:AA290)/AVERAGE(終値!H290:AA290),""))</f>
      </c>
      <c r="F290" s="684">
        <f>IF(終値!A290="","",IFERROR(4*STDEVP(終値!I290:AB290)/AVERAGE(終値!I290:AB290),""))</f>
      </c>
      <c r="G290" s="684">
        <f>IF(終値!A290="","",IFERROR(4*STDEVP(終値!J290:AC290)/AVERAGE(終値!J290:AC290),""))</f>
      </c>
      <c r="H290" s="684">
        <f>IF(終値!A290="","",IFERROR(4*STDEVP(終値!K290:AD290)/AVERAGE(終値!K290:AD290),""))</f>
      </c>
      <c r="I290" s="684">
        <f>IF(終値!A290="","",IFERROR(4*STDEVP(終値!L290:AE290)/AVERAGE(終値!L290:AE290),""))</f>
      </c>
      <c r="J290" s="684">
        <f>IF(終値!A290="","",IFERROR(4*STDEVP(終値!M290:AF290)/AVERAGE(終値!M290:AF290),""))</f>
      </c>
      <c r="K290" s="684">
        <f>IF(終値!A290="","",IFERROR(4*STDEVP(終値!N290:AG290)/AVERAGE(終値!N290:AG290),""))</f>
      </c>
      <c r="L290" s="684">
        <f>IF(終値!A290="","",IFERROR(4*STDEVP(終値!O290:AH290)/AVERAGE(終値!O290:AH290),""))</f>
      </c>
      <c r="M290" s="684">
        <f>IF(終値!A290="","",IFERROR(4*STDEVP(終値!P290:AI290)/AVERAGE(終値!P290:AI290),""))</f>
      </c>
      <c r="N290" s="684">
        <f>IF(終値!A290="","",IFERROR(4*STDEVP(終値!Q290:AJ290)/AVERAGE(終値!Q290:AJ290),""))</f>
      </c>
      <c r="O290" s="684">
        <f>IF(終値!A290="","",IFERROR(4*STDEVP(終値!R290:AK290)/AVERAGE(終値!R290:AK290),""))</f>
      </c>
      <c r="P290" s="684">
        <f>IF(終値!A290="","",IFERROR(4*STDEVP(終値!S290:AL290)/AVERAGE(終値!S290:AL290),""))</f>
      </c>
      <c r="Q290" s="684">
        <f>IF(終値!A290="","",IFERROR(4*STDEVP(終値!T290:AM290)/AVERAGE(終値!T290:AM290),""))</f>
      </c>
      <c r="R290" s="684">
        <f>IF(終値!A290="","",IFERROR(4*STDEVP(終値!U290:AN290)/AVERAGE(終値!U290:AN290),""))</f>
      </c>
      <c r="S290" s="684">
        <f>IF(終値!A290="","",IFERROR(4*STDEVP(終値!V290:AO290)/AVERAGE(終値!V290:AO290),""))</f>
      </c>
      <c r="T290" s="684">
        <f>IF(終値!A290="","",IFERROR(4*STDEVP(終値!W290:AP290)/AVERAGE(終値!W290:AP290),""))</f>
      </c>
      <c r="U290" s="684">
        <f>IF(終値!A290="","",IFERROR(4*STDEVP(終値!X290:AQ290)/AVERAGE(終値!X290:AQ290),""))</f>
      </c>
      <c r="V290" s="684">
        <f>IF(終値!A290="","",IFERROR(4*STDEVP(終値!Y290:AR290)/AVERAGE(終値!Y290:AR290),""))</f>
      </c>
      <c r="W290" s="684">
        <f>IF(終値!A290="","",IFERROR(4*STDEVP(終値!Z290:AS290)/AVERAGE(終値!Z290:AS290),""))</f>
      </c>
      <c r="X290" s="684">
        <f>IF(終値!A290="","",IFERROR(4*STDEVP(終値!AA290:AT290)/AVERAGE(終値!AA290:AT290),""))</f>
      </c>
      <c r="Y290" s="684">
        <f>IF(終値!A290="","",IFERROR(4*STDEVP(終値!AB290:AU290)/AVERAGE(終値!AB290:AU290),""))</f>
      </c>
      <c r="Z290" s="684">
        <f>IF(終値!A290="","",IFERROR(4*STDEVP(終値!AC290:AV290)/AVERAGE(終値!AC290:AV290),""))</f>
      </c>
      <c r="AA290" s="684">
        <f>IF(終値!A290="","",IFERROR(4*STDEVP(終値!AD290:AW290)/AVERAGE(終値!AD290:AW290),""))</f>
      </c>
      <c r="AB290" s="684">
        <f>IF(終値!A290="","",IFERROR(4*STDEVP(終値!AE290:AX290)/AVERAGE(終値!AE290:AX290),""))</f>
      </c>
      <c r="AC290" s="684">
        <f>IF(終値!A290="","",IFERROR(4*STDEVP(終値!AF290:AY290)/AVERAGE(終値!AF290:AY290),""))</f>
      </c>
      <c r="AD290" s="684">
        <f>IF(終値!A290="","",IFERROR(4*STDEVP(終値!AG290:AZ290)/AVERAGE(終値!AG290:AZ290),""))</f>
      </c>
      <c r="AE290" s="684">
        <f>IF(終値!A290="","",IFERROR(4*STDEVP(終値!AH290:BA290)/AVERAGE(終値!AH290:BA290),""))</f>
      </c>
      <c r="AF290" s="684">
        <f>IF(終値!A290="","",IFERROR(4*STDEVP(終値!AI290:BB290)/AVERAGE(終値!AI290:BB290),""))</f>
      </c>
      <c r="AG290" s="684">
        <f>IF(終値!A290="","",IFERROR(4*STDEVP(終値!AJ290:BC290)/AVERAGE(終値!AJ290:BC290),""))</f>
      </c>
      <c r="AH290" s="684">
        <f>IF(終値!A290="","",IFERROR(4*STDEVP(終値!AK290:BD290)/AVERAGE(終値!AK290:BD290),""))</f>
      </c>
      <c r="AI290" s="684">
        <f>IF(終値!A290="","",IFERROR(4*STDEVP(終値!AL290:BE290)/AVERAGE(終値!AL290:BE290),""))</f>
      </c>
      <c r="AJ290" s="684">
        <f>IF(終値!A290="","",IFERROR(4*STDEVP(終値!AM290:BF290)/AVERAGE(終値!AM290:BF290),""))</f>
      </c>
      <c r="AK290" s="684">
        <f>IF(終値!A290="","",IFERROR(4*STDEVP(終値!AN290:BG290)/AVERAGE(終値!AN290:BG290),""))</f>
      </c>
      <c r="AL290" s="684">
        <f>IF(終値!A290="","",IFERROR(4*STDEVP(終値!AO290:BH290)/AVERAGE(終値!AO290:BH290),""))</f>
      </c>
      <c r="AM290" s="684">
        <f>IF(終値!A290="","",IFERROR(4*STDEVP(終値!AP290:BI290)/AVERAGE(終値!AP290:BI290),""))</f>
      </c>
      <c r="AN290" s="684">
        <f>IF(終値!A290="","",IFERROR(4*STDEVP(終値!AQ290:BJ290)/AVERAGE(終値!AQ290:BJ290),""))</f>
      </c>
      <c r="AO290" s="684">
        <f>IF(終値!A290="","",IFERROR(4*STDEVP(終値!AR290:BK290)/AVERAGE(終値!AR290:BK290),""))</f>
      </c>
      <c r="AP290" s="684">
        <f>IF(終値!A290="","",IFERROR(4*STDEVP(終値!AS290:BL290)/AVERAGE(終値!AS290:BL290),""))</f>
      </c>
    </row>
    <row r="291">
      <c r="A291" s="681">
        <f>IF(終値!A291="","",終値!A291)</f>
      </c>
      <c r="B291" s="684">
        <f>IF(終値!A291="","",IFERROR(4*STDEVP(終値!E291:X291)/AVERAGE(終値!E291:X291),""))</f>
      </c>
      <c r="C291" s="684">
        <f>IF(終値!A291="","",IFERROR(4*STDEVP(終値!F291:Y291)/AVERAGE(終値!F291:Y291),""))</f>
      </c>
      <c r="D291" s="684">
        <f>IF(終値!A291="","",IFERROR(4*STDEVP(終値!G291:Z291)/AVERAGE(終値!G291:Z291),""))</f>
      </c>
      <c r="E291" s="684">
        <f>IF(終値!A291="","",IFERROR(4*STDEVP(終値!H291:AA291)/AVERAGE(終値!H291:AA291),""))</f>
      </c>
      <c r="F291" s="684">
        <f>IF(終値!A291="","",IFERROR(4*STDEVP(終値!I291:AB291)/AVERAGE(終値!I291:AB291),""))</f>
      </c>
      <c r="G291" s="684">
        <f>IF(終値!A291="","",IFERROR(4*STDEVP(終値!J291:AC291)/AVERAGE(終値!J291:AC291),""))</f>
      </c>
      <c r="H291" s="684">
        <f>IF(終値!A291="","",IFERROR(4*STDEVP(終値!K291:AD291)/AVERAGE(終値!K291:AD291),""))</f>
      </c>
      <c r="I291" s="684">
        <f>IF(終値!A291="","",IFERROR(4*STDEVP(終値!L291:AE291)/AVERAGE(終値!L291:AE291),""))</f>
      </c>
      <c r="J291" s="684">
        <f>IF(終値!A291="","",IFERROR(4*STDEVP(終値!M291:AF291)/AVERAGE(終値!M291:AF291),""))</f>
      </c>
      <c r="K291" s="684">
        <f>IF(終値!A291="","",IFERROR(4*STDEVP(終値!N291:AG291)/AVERAGE(終値!N291:AG291),""))</f>
      </c>
      <c r="L291" s="684">
        <f>IF(終値!A291="","",IFERROR(4*STDEVP(終値!O291:AH291)/AVERAGE(終値!O291:AH291),""))</f>
      </c>
      <c r="M291" s="684">
        <f>IF(終値!A291="","",IFERROR(4*STDEVP(終値!P291:AI291)/AVERAGE(終値!P291:AI291),""))</f>
      </c>
      <c r="N291" s="684">
        <f>IF(終値!A291="","",IFERROR(4*STDEVP(終値!Q291:AJ291)/AVERAGE(終値!Q291:AJ291),""))</f>
      </c>
      <c r="O291" s="684">
        <f>IF(終値!A291="","",IFERROR(4*STDEVP(終値!R291:AK291)/AVERAGE(終値!R291:AK291),""))</f>
      </c>
      <c r="P291" s="684">
        <f>IF(終値!A291="","",IFERROR(4*STDEVP(終値!S291:AL291)/AVERAGE(終値!S291:AL291),""))</f>
      </c>
      <c r="Q291" s="684">
        <f>IF(終値!A291="","",IFERROR(4*STDEVP(終値!T291:AM291)/AVERAGE(終値!T291:AM291),""))</f>
      </c>
      <c r="R291" s="684">
        <f>IF(終値!A291="","",IFERROR(4*STDEVP(終値!U291:AN291)/AVERAGE(終値!U291:AN291),""))</f>
      </c>
      <c r="S291" s="684">
        <f>IF(終値!A291="","",IFERROR(4*STDEVP(終値!V291:AO291)/AVERAGE(終値!V291:AO291),""))</f>
      </c>
      <c r="T291" s="684">
        <f>IF(終値!A291="","",IFERROR(4*STDEVP(終値!W291:AP291)/AVERAGE(終値!W291:AP291),""))</f>
      </c>
      <c r="U291" s="684">
        <f>IF(終値!A291="","",IFERROR(4*STDEVP(終値!X291:AQ291)/AVERAGE(終値!X291:AQ291),""))</f>
      </c>
      <c r="V291" s="684">
        <f>IF(終値!A291="","",IFERROR(4*STDEVP(終値!Y291:AR291)/AVERAGE(終値!Y291:AR291),""))</f>
      </c>
      <c r="W291" s="684">
        <f>IF(終値!A291="","",IFERROR(4*STDEVP(終値!Z291:AS291)/AVERAGE(終値!Z291:AS291),""))</f>
      </c>
      <c r="X291" s="684">
        <f>IF(終値!A291="","",IFERROR(4*STDEVP(終値!AA291:AT291)/AVERAGE(終値!AA291:AT291),""))</f>
      </c>
      <c r="Y291" s="684">
        <f>IF(終値!A291="","",IFERROR(4*STDEVP(終値!AB291:AU291)/AVERAGE(終値!AB291:AU291),""))</f>
      </c>
      <c r="Z291" s="684">
        <f>IF(終値!A291="","",IFERROR(4*STDEVP(終値!AC291:AV291)/AVERAGE(終値!AC291:AV291),""))</f>
      </c>
      <c r="AA291" s="684">
        <f>IF(終値!A291="","",IFERROR(4*STDEVP(終値!AD291:AW291)/AVERAGE(終値!AD291:AW291),""))</f>
      </c>
      <c r="AB291" s="684">
        <f>IF(終値!A291="","",IFERROR(4*STDEVP(終値!AE291:AX291)/AVERAGE(終値!AE291:AX291),""))</f>
      </c>
      <c r="AC291" s="684">
        <f>IF(終値!A291="","",IFERROR(4*STDEVP(終値!AF291:AY291)/AVERAGE(終値!AF291:AY291),""))</f>
      </c>
      <c r="AD291" s="684">
        <f>IF(終値!A291="","",IFERROR(4*STDEVP(終値!AG291:AZ291)/AVERAGE(終値!AG291:AZ291),""))</f>
      </c>
      <c r="AE291" s="684">
        <f>IF(終値!A291="","",IFERROR(4*STDEVP(終値!AH291:BA291)/AVERAGE(終値!AH291:BA291),""))</f>
      </c>
      <c r="AF291" s="684">
        <f>IF(終値!A291="","",IFERROR(4*STDEVP(終値!AI291:BB291)/AVERAGE(終値!AI291:BB291),""))</f>
      </c>
      <c r="AG291" s="684">
        <f>IF(終値!A291="","",IFERROR(4*STDEVP(終値!AJ291:BC291)/AVERAGE(終値!AJ291:BC291),""))</f>
      </c>
      <c r="AH291" s="684">
        <f>IF(終値!A291="","",IFERROR(4*STDEVP(終値!AK291:BD291)/AVERAGE(終値!AK291:BD291),""))</f>
      </c>
      <c r="AI291" s="684">
        <f>IF(終値!A291="","",IFERROR(4*STDEVP(終値!AL291:BE291)/AVERAGE(終値!AL291:BE291),""))</f>
      </c>
      <c r="AJ291" s="684">
        <f>IF(終値!A291="","",IFERROR(4*STDEVP(終値!AM291:BF291)/AVERAGE(終値!AM291:BF291),""))</f>
      </c>
      <c r="AK291" s="684">
        <f>IF(終値!A291="","",IFERROR(4*STDEVP(終値!AN291:BG291)/AVERAGE(終値!AN291:BG291),""))</f>
      </c>
      <c r="AL291" s="684">
        <f>IF(終値!A291="","",IFERROR(4*STDEVP(終値!AO291:BH291)/AVERAGE(終値!AO291:BH291),""))</f>
      </c>
      <c r="AM291" s="684">
        <f>IF(終値!A291="","",IFERROR(4*STDEVP(終値!AP291:BI291)/AVERAGE(終値!AP291:BI291),""))</f>
      </c>
      <c r="AN291" s="684">
        <f>IF(終値!A291="","",IFERROR(4*STDEVP(終値!AQ291:BJ291)/AVERAGE(終値!AQ291:BJ291),""))</f>
      </c>
      <c r="AO291" s="684">
        <f>IF(終値!A291="","",IFERROR(4*STDEVP(終値!AR291:BK291)/AVERAGE(終値!AR291:BK291),""))</f>
      </c>
      <c r="AP291" s="684">
        <f>IF(終値!A291="","",IFERROR(4*STDEVP(終値!AS291:BL291)/AVERAGE(終値!AS291:BL291),""))</f>
      </c>
    </row>
    <row r="292">
      <c r="A292" s="681">
        <f>IF(終値!A292="","",終値!A292)</f>
      </c>
      <c r="B292" s="684">
        <f>IF(終値!A292="","",IFERROR(4*STDEVP(終値!E292:X292)/AVERAGE(終値!E292:X292),""))</f>
      </c>
      <c r="C292" s="684">
        <f>IF(終値!A292="","",IFERROR(4*STDEVP(終値!F292:Y292)/AVERAGE(終値!F292:Y292),""))</f>
      </c>
      <c r="D292" s="684">
        <f>IF(終値!A292="","",IFERROR(4*STDEVP(終値!G292:Z292)/AVERAGE(終値!G292:Z292),""))</f>
      </c>
      <c r="E292" s="684">
        <f>IF(終値!A292="","",IFERROR(4*STDEVP(終値!H292:AA292)/AVERAGE(終値!H292:AA292),""))</f>
      </c>
      <c r="F292" s="684">
        <f>IF(終値!A292="","",IFERROR(4*STDEVP(終値!I292:AB292)/AVERAGE(終値!I292:AB292),""))</f>
      </c>
      <c r="G292" s="684">
        <f>IF(終値!A292="","",IFERROR(4*STDEVP(終値!J292:AC292)/AVERAGE(終値!J292:AC292),""))</f>
      </c>
      <c r="H292" s="684">
        <f>IF(終値!A292="","",IFERROR(4*STDEVP(終値!K292:AD292)/AVERAGE(終値!K292:AD292),""))</f>
      </c>
      <c r="I292" s="684">
        <f>IF(終値!A292="","",IFERROR(4*STDEVP(終値!L292:AE292)/AVERAGE(終値!L292:AE292),""))</f>
      </c>
      <c r="J292" s="684">
        <f>IF(終値!A292="","",IFERROR(4*STDEVP(終値!M292:AF292)/AVERAGE(終値!M292:AF292),""))</f>
      </c>
      <c r="K292" s="684">
        <f>IF(終値!A292="","",IFERROR(4*STDEVP(終値!N292:AG292)/AVERAGE(終値!N292:AG292),""))</f>
      </c>
      <c r="L292" s="684">
        <f>IF(終値!A292="","",IFERROR(4*STDEVP(終値!O292:AH292)/AVERAGE(終値!O292:AH292),""))</f>
      </c>
      <c r="M292" s="684">
        <f>IF(終値!A292="","",IFERROR(4*STDEVP(終値!P292:AI292)/AVERAGE(終値!P292:AI292),""))</f>
      </c>
      <c r="N292" s="684">
        <f>IF(終値!A292="","",IFERROR(4*STDEVP(終値!Q292:AJ292)/AVERAGE(終値!Q292:AJ292),""))</f>
      </c>
      <c r="O292" s="684">
        <f>IF(終値!A292="","",IFERROR(4*STDEVP(終値!R292:AK292)/AVERAGE(終値!R292:AK292),""))</f>
      </c>
      <c r="P292" s="684">
        <f>IF(終値!A292="","",IFERROR(4*STDEVP(終値!S292:AL292)/AVERAGE(終値!S292:AL292),""))</f>
      </c>
      <c r="Q292" s="684">
        <f>IF(終値!A292="","",IFERROR(4*STDEVP(終値!T292:AM292)/AVERAGE(終値!T292:AM292),""))</f>
      </c>
      <c r="R292" s="684">
        <f>IF(終値!A292="","",IFERROR(4*STDEVP(終値!U292:AN292)/AVERAGE(終値!U292:AN292),""))</f>
      </c>
      <c r="S292" s="684">
        <f>IF(終値!A292="","",IFERROR(4*STDEVP(終値!V292:AO292)/AVERAGE(終値!V292:AO292),""))</f>
      </c>
      <c r="T292" s="684">
        <f>IF(終値!A292="","",IFERROR(4*STDEVP(終値!W292:AP292)/AVERAGE(終値!W292:AP292),""))</f>
      </c>
      <c r="U292" s="684">
        <f>IF(終値!A292="","",IFERROR(4*STDEVP(終値!X292:AQ292)/AVERAGE(終値!X292:AQ292),""))</f>
      </c>
      <c r="V292" s="684">
        <f>IF(終値!A292="","",IFERROR(4*STDEVP(終値!Y292:AR292)/AVERAGE(終値!Y292:AR292),""))</f>
      </c>
      <c r="W292" s="684">
        <f>IF(終値!A292="","",IFERROR(4*STDEVP(終値!Z292:AS292)/AVERAGE(終値!Z292:AS292),""))</f>
      </c>
      <c r="X292" s="684">
        <f>IF(終値!A292="","",IFERROR(4*STDEVP(終値!AA292:AT292)/AVERAGE(終値!AA292:AT292),""))</f>
      </c>
      <c r="Y292" s="684">
        <f>IF(終値!A292="","",IFERROR(4*STDEVP(終値!AB292:AU292)/AVERAGE(終値!AB292:AU292),""))</f>
      </c>
      <c r="Z292" s="684">
        <f>IF(終値!A292="","",IFERROR(4*STDEVP(終値!AC292:AV292)/AVERAGE(終値!AC292:AV292),""))</f>
      </c>
      <c r="AA292" s="684">
        <f>IF(終値!A292="","",IFERROR(4*STDEVP(終値!AD292:AW292)/AVERAGE(終値!AD292:AW292),""))</f>
      </c>
      <c r="AB292" s="684">
        <f>IF(終値!A292="","",IFERROR(4*STDEVP(終値!AE292:AX292)/AVERAGE(終値!AE292:AX292),""))</f>
      </c>
      <c r="AC292" s="684">
        <f>IF(終値!A292="","",IFERROR(4*STDEVP(終値!AF292:AY292)/AVERAGE(終値!AF292:AY292),""))</f>
      </c>
      <c r="AD292" s="684">
        <f>IF(終値!A292="","",IFERROR(4*STDEVP(終値!AG292:AZ292)/AVERAGE(終値!AG292:AZ292),""))</f>
      </c>
      <c r="AE292" s="684">
        <f>IF(終値!A292="","",IFERROR(4*STDEVP(終値!AH292:BA292)/AVERAGE(終値!AH292:BA292),""))</f>
      </c>
      <c r="AF292" s="684">
        <f>IF(終値!A292="","",IFERROR(4*STDEVP(終値!AI292:BB292)/AVERAGE(終値!AI292:BB292),""))</f>
      </c>
      <c r="AG292" s="684">
        <f>IF(終値!A292="","",IFERROR(4*STDEVP(終値!AJ292:BC292)/AVERAGE(終値!AJ292:BC292),""))</f>
      </c>
      <c r="AH292" s="684">
        <f>IF(終値!A292="","",IFERROR(4*STDEVP(終値!AK292:BD292)/AVERAGE(終値!AK292:BD292),""))</f>
      </c>
      <c r="AI292" s="684">
        <f>IF(終値!A292="","",IFERROR(4*STDEVP(終値!AL292:BE292)/AVERAGE(終値!AL292:BE292),""))</f>
      </c>
      <c r="AJ292" s="684">
        <f>IF(終値!A292="","",IFERROR(4*STDEVP(終値!AM292:BF292)/AVERAGE(終値!AM292:BF292),""))</f>
      </c>
      <c r="AK292" s="684">
        <f>IF(終値!A292="","",IFERROR(4*STDEVP(終値!AN292:BG292)/AVERAGE(終値!AN292:BG292),""))</f>
      </c>
      <c r="AL292" s="684">
        <f>IF(終値!A292="","",IFERROR(4*STDEVP(終値!AO292:BH292)/AVERAGE(終値!AO292:BH292),""))</f>
      </c>
      <c r="AM292" s="684">
        <f>IF(終値!A292="","",IFERROR(4*STDEVP(終値!AP292:BI292)/AVERAGE(終値!AP292:BI292),""))</f>
      </c>
      <c r="AN292" s="684">
        <f>IF(終値!A292="","",IFERROR(4*STDEVP(終値!AQ292:BJ292)/AVERAGE(終値!AQ292:BJ292),""))</f>
      </c>
      <c r="AO292" s="684">
        <f>IF(終値!A292="","",IFERROR(4*STDEVP(終値!AR292:BK292)/AVERAGE(終値!AR292:BK292),""))</f>
      </c>
      <c r="AP292" s="684">
        <f>IF(終値!A292="","",IFERROR(4*STDEVP(終値!AS292:BL292)/AVERAGE(終値!AS292:BL292),""))</f>
      </c>
    </row>
    <row r="293">
      <c r="A293" s="681">
        <f>IF(終値!A293="","",終値!A293)</f>
      </c>
      <c r="B293" s="684">
        <f>IF(終値!A293="","",IFERROR(4*STDEVP(終値!E293:X293)/AVERAGE(終値!E293:X293),""))</f>
      </c>
      <c r="C293" s="684">
        <f>IF(終値!A293="","",IFERROR(4*STDEVP(終値!F293:Y293)/AVERAGE(終値!F293:Y293),""))</f>
      </c>
      <c r="D293" s="684">
        <f>IF(終値!A293="","",IFERROR(4*STDEVP(終値!G293:Z293)/AVERAGE(終値!G293:Z293),""))</f>
      </c>
      <c r="E293" s="684">
        <f>IF(終値!A293="","",IFERROR(4*STDEVP(終値!H293:AA293)/AVERAGE(終値!H293:AA293),""))</f>
      </c>
      <c r="F293" s="684">
        <f>IF(終値!A293="","",IFERROR(4*STDEVP(終値!I293:AB293)/AVERAGE(終値!I293:AB293),""))</f>
      </c>
      <c r="G293" s="684">
        <f>IF(終値!A293="","",IFERROR(4*STDEVP(終値!J293:AC293)/AVERAGE(終値!J293:AC293),""))</f>
      </c>
      <c r="H293" s="684">
        <f>IF(終値!A293="","",IFERROR(4*STDEVP(終値!K293:AD293)/AVERAGE(終値!K293:AD293),""))</f>
      </c>
      <c r="I293" s="684">
        <f>IF(終値!A293="","",IFERROR(4*STDEVP(終値!L293:AE293)/AVERAGE(終値!L293:AE293),""))</f>
      </c>
      <c r="J293" s="684">
        <f>IF(終値!A293="","",IFERROR(4*STDEVP(終値!M293:AF293)/AVERAGE(終値!M293:AF293),""))</f>
      </c>
      <c r="K293" s="684">
        <f>IF(終値!A293="","",IFERROR(4*STDEVP(終値!N293:AG293)/AVERAGE(終値!N293:AG293),""))</f>
      </c>
      <c r="L293" s="684">
        <f>IF(終値!A293="","",IFERROR(4*STDEVP(終値!O293:AH293)/AVERAGE(終値!O293:AH293),""))</f>
      </c>
      <c r="M293" s="684">
        <f>IF(終値!A293="","",IFERROR(4*STDEVP(終値!P293:AI293)/AVERAGE(終値!P293:AI293),""))</f>
      </c>
      <c r="N293" s="684">
        <f>IF(終値!A293="","",IFERROR(4*STDEVP(終値!Q293:AJ293)/AVERAGE(終値!Q293:AJ293),""))</f>
      </c>
      <c r="O293" s="684">
        <f>IF(終値!A293="","",IFERROR(4*STDEVP(終値!R293:AK293)/AVERAGE(終値!R293:AK293),""))</f>
      </c>
      <c r="P293" s="684">
        <f>IF(終値!A293="","",IFERROR(4*STDEVP(終値!S293:AL293)/AVERAGE(終値!S293:AL293),""))</f>
      </c>
      <c r="Q293" s="684">
        <f>IF(終値!A293="","",IFERROR(4*STDEVP(終値!T293:AM293)/AVERAGE(終値!T293:AM293),""))</f>
      </c>
      <c r="R293" s="684">
        <f>IF(終値!A293="","",IFERROR(4*STDEVP(終値!U293:AN293)/AVERAGE(終値!U293:AN293),""))</f>
      </c>
      <c r="S293" s="684">
        <f>IF(終値!A293="","",IFERROR(4*STDEVP(終値!V293:AO293)/AVERAGE(終値!V293:AO293),""))</f>
      </c>
      <c r="T293" s="684">
        <f>IF(終値!A293="","",IFERROR(4*STDEVP(終値!W293:AP293)/AVERAGE(終値!W293:AP293),""))</f>
      </c>
      <c r="U293" s="684">
        <f>IF(終値!A293="","",IFERROR(4*STDEVP(終値!X293:AQ293)/AVERAGE(終値!X293:AQ293),""))</f>
      </c>
      <c r="V293" s="684">
        <f>IF(終値!A293="","",IFERROR(4*STDEVP(終値!Y293:AR293)/AVERAGE(終値!Y293:AR293),""))</f>
      </c>
      <c r="W293" s="684">
        <f>IF(終値!A293="","",IFERROR(4*STDEVP(終値!Z293:AS293)/AVERAGE(終値!Z293:AS293),""))</f>
      </c>
      <c r="X293" s="684">
        <f>IF(終値!A293="","",IFERROR(4*STDEVP(終値!AA293:AT293)/AVERAGE(終値!AA293:AT293),""))</f>
      </c>
      <c r="Y293" s="684">
        <f>IF(終値!A293="","",IFERROR(4*STDEVP(終値!AB293:AU293)/AVERAGE(終値!AB293:AU293),""))</f>
      </c>
      <c r="Z293" s="684">
        <f>IF(終値!A293="","",IFERROR(4*STDEVP(終値!AC293:AV293)/AVERAGE(終値!AC293:AV293),""))</f>
      </c>
      <c r="AA293" s="684">
        <f>IF(終値!A293="","",IFERROR(4*STDEVP(終値!AD293:AW293)/AVERAGE(終値!AD293:AW293),""))</f>
      </c>
      <c r="AB293" s="684">
        <f>IF(終値!A293="","",IFERROR(4*STDEVP(終値!AE293:AX293)/AVERAGE(終値!AE293:AX293),""))</f>
      </c>
      <c r="AC293" s="684">
        <f>IF(終値!A293="","",IFERROR(4*STDEVP(終値!AF293:AY293)/AVERAGE(終値!AF293:AY293),""))</f>
      </c>
      <c r="AD293" s="684">
        <f>IF(終値!A293="","",IFERROR(4*STDEVP(終値!AG293:AZ293)/AVERAGE(終値!AG293:AZ293),""))</f>
      </c>
      <c r="AE293" s="684">
        <f>IF(終値!A293="","",IFERROR(4*STDEVP(終値!AH293:BA293)/AVERAGE(終値!AH293:BA293),""))</f>
      </c>
      <c r="AF293" s="684">
        <f>IF(終値!A293="","",IFERROR(4*STDEVP(終値!AI293:BB293)/AVERAGE(終値!AI293:BB293),""))</f>
      </c>
      <c r="AG293" s="684">
        <f>IF(終値!A293="","",IFERROR(4*STDEVP(終値!AJ293:BC293)/AVERAGE(終値!AJ293:BC293),""))</f>
      </c>
      <c r="AH293" s="684">
        <f>IF(終値!A293="","",IFERROR(4*STDEVP(終値!AK293:BD293)/AVERAGE(終値!AK293:BD293),""))</f>
      </c>
      <c r="AI293" s="684">
        <f>IF(終値!A293="","",IFERROR(4*STDEVP(終値!AL293:BE293)/AVERAGE(終値!AL293:BE293),""))</f>
      </c>
      <c r="AJ293" s="684">
        <f>IF(終値!A293="","",IFERROR(4*STDEVP(終値!AM293:BF293)/AVERAGE(終値!AM293:BF293),""))</f>
      </c>
      <c r="AK293" s="684">
        <f>IF(終値!A293="","",IFERROR(4*STDEVP(終値!AN293:BG293)/AVERAGE(終値!AN293:BG293),""))</f>
      </c>
      <c r="AL293" s="684">
        <f>IF(終値!A293="","",IFERROR(4*STDEVP(終値!AO293:BH293)/AVERAGE(終値!AO293:BH293),""))</f>
      </c>
      <c r="AM293" s="684">
        <f>IF(終値!A293="","",IFERROR(4*STDEVP(終値!AP293:BI293)/AVERAGE(終値!AP293:BI293),""))</f>
      </c>
      <c r="AN293" s="684">
        <f>IF(終値!A293="","",IFERROR(4*STDEVP(終値!AQ293:BJ293)/AVERAGE(終値!AQ293:BJ293),""))</f>
      </c>
      <c r="AO293" s="684">
        <f>IF(終値!A293="","",IFERROR(4*STDEVP(終値!AR293:BK293)/AVERAGE(終値!AR293:BK293),""))</f>
      </c>
      <c r="AP293" s="684">
        <f>IF(終値!A293="","",IFERROR(4*STDEVP(終値!AS293:BL293)/AVERAGE(終値!AS293:BL293),""))</f>
      </c>
    </row>
    <row r="294">
      <c r="A294" s="681">
        <f>IF(終値!A294="","",終値!A294)</f>
      </c>
      <c r="B294" s="684">
        <f>IF(終値!A294="","",IFERROR(4*STDEVP(終値!E294:X294)/AVERAGE(終値!E294:X294),""))</f>
      </c>
      <c r="C294" s="684">
        <f>IF(終値!A294="","",IFERROR(4*STDEVP(終値!F294:Y294)/AVERAGE(終値!F294:Y294),""))</f>
      </c>
      <c r="D294" s="684">
        <f>IF(終値!A294="","",IFERROR(4*STDEVP(終値!G294:Z294)/AVERAGE(終値!G294:Z294),""))</f>
      </c>
      <c r="E294" s="684">
        <f>IF(終値!A294="","",IFERROR(4*STDEVP(終値!H294:AA294)/AVERAGE(終値!H294:AA294),""))</f>
      </c>
      <c r="F294" s="684">
        <f>IF(終値!A294="","",IFERROR(4*STDEVP(終値!I294:AB294)/AVERAGE(終値!I294:AB294),""))</f>
      </c>
      <c r="G294" s="684">
        <f>IF(終値!A294="","",IFERROR(4*STDEVP(終値!J294:AC294)/AVERAGE(終値!J294:AC294),""))</f>
      </c>
      <c r="H294" s="684">
        <f>IF(終値!A294="","",IFERROR(4*STDEVP(終値!K294:AD294)/AVERAGE(終値!K294:AD294),""))</f>
      </c>
      <c r="I294" s="684">
        <f>IF(終値!A294="","",IFERROR(4*STDEVP(終値!L294:AE294)/AVERAGE(終値!L294:AE294),""))</f>
      </c>
      <c r="J294" s="684">
        <f>IF(終値!A294="","",IFERROR(4*STDEVP(終値!M294:AF294)/AVERAGE(終値!M294:AF294),""))</f>
      </c>
      <c r="K294" s="684">
        <f>IF(終値!A294="","",IFERROR(4*STDEVP(終値!N294:AG294)/AVERAGE(終値!N294:AG294),""))</f>
      </c>
      <c r="L294" s="684">
        <f>IF(終値!A294="","",IFERROR(4*STDEVP(終値!O294:AH294)/AVERAGE(終値!O294:AH294),""))</f>
      </c>
      <c r="M294" s="684">
        <f>IF(終値!A294="","",IFERROR(4*STDEVP(終値!P294:AI294)/AVERAGE(終値!P294:AI294),""))</f>
      </c>
      <c r="N294" s="684">
        <f>IF(終値!A294="","",IFERROR(4*STDEVP(終値!Q294:AJ294)/AVERAGE(終値!Q294:AJ294),""))</f>
      </c>
      <c r="O294" s="684">
        <f>IF(終値!A294="","",IFERROR(4*STDEVP(終値!R294:AK294)/AVERAGE(終値!R294:AK294),""))</f>
      </c>
      <c r="P294" s="684">
        <f>IF(終値!A294="","",IFERROR(4*STDEVP(終値!S294:AL294)/AVERAGE(終値!S294:AL294),""))</f>
      </c>
      <c r="Q294" s="684">
        <f>IF(終値!A294="","",IFERROR(4*STDEVP(終値!T294:AM294)/AVERAGE(終値!T294:AM294),""))</f>
      </c>
      <c r="R294" s="684">
        <f>IF(終値!A294="","",IFERROR(4*STDEVP(終値!U294:AN294)/AVERAGE(終値!U294:AN294),""))</f>
      </c>
      <c r="S294" s="684">
        <f>IF(終値!A294="","",IFERROR(4*STDEVP(終値!V294:AO294)/AVERAGE(終値!V294:AO294),""))</f>
      </c>
      <c r="T294" s="684">
        <f>IF(終値!A294="","",IFERROR(4*STDEVP(終値!W294:AP294)/AVERAGE(終値!W294:AP294),""))</f>
      </c>
      <c r="U294" s="684">
        <f>IF(終値!A294="","",IFERROR(4*STDEVP(終値!X294:AQ294)/AVERAGE(終値!X294:AQ294),""))</f>
      </c>
      <c r="V294" s="684">
        <f>IF(終値!A294="","",IFERROR(4*STDEVP(終値!Y294:AR294)/AVERAGE(終値!Y294:AR294),""))</f>
      </c>
      <c r="W294" s="684">
        <f>IF(終値!A294="","",IFERROR(4*STDEVP(終値!Z294:AS294)/AVERAGE(終値!Z294:AS294),""))</f>
      </c>
      <c r="X294" s="684">
        <f>IF(終値!A294="","",IFERROR(4*STDEVP(終値!AA294:AT294)/AVERAGE(終値!AA294:AT294),""))</f>
      </c>
      <c r="Y294" s="684">
        <f>IF(終値!A294="","",IFERROR(4*STDEVP(終値!AB294:AU294)/AVERAGE(終値!AB294:AU294),""))</f>
      </c>
      <c r="Z294" s="684">
        <f>IF(終値!A294="","",IFERROR(4*STDEVP(終値!AC294:AV294)/AVERAGE(終値!AC294:AV294),""))</f>
      </c>
      <c r="AA294" s="684">
        <f>IF(終値!A294="","",IFERROR(4*STDEVP(終値!AD294:AW294)/AVERAGE(終値!AD294:AW294),""))</f>
      </c>
      <c r="AB294" s="684">
        <f>IF(終値!A294="","",IFERROR(4*STDEVP(終値!AE294:AX294)/AVERAGE(終値!AE294:AX294),""))</f>
      </c>
      <c r="AC294" s="684">
        <f>IF(終値!A294="","",IFERROR(4*STDEVP(終値!AF294:AY294)/AVERAGE(終値!AF294:AY294),""))</f>
      </c>
      <c r="AD294" s="684">
        <f>IF(終値!A294="","",IFERROR(4*STDEVP(終値!AG294:AZ294)/AVERAGE(終値!AG294:AZ294),""))</f>
      </c>
      <c r="AE294" s="684">
        <f>IF(終値!A294="","",IFERROR(4*STDEVP(終値!AH294:BA294)/AVERAGE(終値!AH294:BA294),""))</f>
      </c>
      <c r="AF294" s="684">
        <f>IF(終値!A294="","",IFERROR(4*STDEVP(終値!AI294:BB294)/AVERAGE(終値!AI294:BB294),""))</f>
      </c>
      <c r="AG294" s="684">
        <f>IF(終値!A294="","",IFERROR(4*STDEVP(終値!AJ294:BC294)/AVERAGE(終値!AJ294:BC294),""))</f>
      </c>
      <c r="AH294" s="684">
        <f>IF(終値!A294="","",IFERROR(4*STDEVP(終値!AK294:BD294)/AVERAGE(終値!AK294:BD294),""))</f>
      </c>
      <c r="AI294" s="684">
        <f>IF(終値!A294="","",IFERROR(4*STDEVP(終値!AL294:BE294)/AVERAGE(終値!AL294:BE294),""))</f>
      </c>
      <c r="AJ294" s="684">
        <f>IF(終値!A294="","",IFERROR(4*STDEVP(終値!AM294:BF294)/AVERAGE(終値!AM294:BF294),""))</f>
      </c>
      <c r="AK294" s="684">
        <f>IF(終値!A294="","",IFERROR(4*STDEVP(終値!AN294:BG294)/AVERAGE(終値!AN294:BG294),""))</f>
      </c>
      <c r="AL294" s="684">
        <f>IF(終値!A294="","",IFERROR(4*STDEVP(終値!AO294:BH294)/AVERAGE(終値!AO294:BH294),""))</f>
      </c>
      <c r="AM294" s="684">
        <f>IF(終値!A294="","",IFERROR(4*STDEVP(終値!AP294:BI294)/AVERAGE(終値!AP294:BI294),""))</f>
      </c>
      <c r="AN294" s="684">
        <f>IF(終値!A294="","",IFERROR(4*STDEVP(終値!AQ294:BJ294)/AVERAGE(終値!AQ294:BJ294),""))</f>
      </c>
      <c r="AO294" s="684">
        <f>IF(終値!A294="","",IFERROR(4*STDEVP(終値!AR294:BK294)/AVERAGE(終値!AR294:BK294),""))</f>
      </c>
      <c r="AP294" s="684">
        <f>IF(終値!A294="","",IFERROR(4*STDEVP(終値!AS294:BL294)/AVERAGE(終値!AS294:BL294),""))</f>
      </c>
    </row>
    <row r="295">
      <c r="A295" s="681">
        <f>IF(終値!A295="","",終値!A295)</f>
      </c>
      <c r="B295" s="684">
        <f>IF(終値!A295="","",IFERROR(4*STDEVP(終値!E295:X295)/AVERAGE(終値!E295:X295),""))</f>
      </c>
      <c r="C295" s="684">
        <f>IF(終値!A295="","",IFERROR(4*STDEVP(終値!F295:Y295)/AVERAGE(終値!F295:Y295),""))</f>
      </c>
      <c r="D295" s="684">
        <f>IF(終値!A295="","",IFERROR(4*STDEVP(終値!G295:Z295)/AVERAGE(終値!G295:Z295),""))</f>
      </c>
      <c r="E295" s="684">
        <f>IF(終値!A295="","",IFERROR(4*STDEVP(終値!H295:AA295)/AVERAGE(終値!H295:AA295),""))</f>
      </c>
      <c r="F295" s="684">
        <f>IF(終値!A295="","",IFERROR(4*STDEVP(終値!I295:AB295)/AVERAGE(終値!I295:AB295),""))</f>
      </c>
      <c r="G295" s="684">
        <f>IF(終値!A295="","",IFERROR(4*STDEVP(終値!J295:AC295)/AVERAGE(終値!J295:AC295),""))</f>
      </c>
      <c r="H295" s="684">
        <f>IF(終値!A295="","",IFERROR(4*STDEVP(終値!K295:AD295)/AVERAGE(終値!K295:AD295),""))</f>
      </c>
      <c r="I295" s="684">
        <f>IF(終値!A295="","",IFERROR(4*STDEVP(終値!L295:AE295)/AVERAGE(終値!L295:AE295),""))</f>
      </c>
      <c r="J295" s="684">
        <f>IF(終値!A295="","",IFERROR(4*STDEVP(終値!M295:AF295)/AVERAGE(終値!M295:AF295),""))</f>
      </c>
      <c r="K295" s="684">
        <f>IF(終値!A295="","",IFERROR(4*STDEVP(終値!N295:AG295)/AVERAGE(終値!N295:AG295),""))</f>
      </c>
      <c r="L295" s="684">
        <f>IF(終値!A295="","",IFERROR(4*STDEVP(終値!O295:AH295)/AVERAGE(終値!O295:AH295),""))</f>
      </c>
      <c r="M295" s="684">
        <f>IF(終値!A295="","",IFERROR(4*STDEVP(終値!P295:AI295)/AVERAGE(終値!P295:AI295),""))</f>
      </c>
      <c r="N295" s="684">
        <f>IF(終値!A295="","",IFERROR(4*STDEVP(終値!Q295:AJ295)/AVERAGE(終値!Q295:AJ295),""))</f>
      </c>
      <c r="O295" s="684">
        <f>IF(終値!A295="","",IFERROR(4*STDEVP(終値!R295:AK295)/AVERAGE(終値!R295:AK295),""))</f>
      </c>
      <c r="P295" s="684">
        <f>IF(終値!A295="","",IFERROR(4*STDEVP(終値!S295:AL295)/AVERAGE(終値!S295:AL295),""))</f>
      </c>
      <c r="Q295" s="684">
        <f>IF(終値!A295="","",IFERROR(4*STDEVP(終値!T295:AM295)/AVERAGE(終値!T295:AM295),""))</f>
      </c>
      <c r="R295" s="684">
        <f>IF(終値!A295="","",IFERROR(4*STDEVP(終値!U295:AN295)/AVERAGE(終値!U295:AN295),""))</f>
      </c>
      <c r="S295" s="684">
        <f>IF(終値!A295="","",IFERROR(4*STDEVP(終値!V295:AO295)/AVERAGE(終値!V295:AO295),""))</f>
      </c>
      <c r="T295" s="684">
        <f>IF(終値!A295="","",IFERROR(4*STDEVP(終値!W295:AP295)/AVERAGE(終値!W295:AP295),""))</f>
      </c>
      <c r="U295" s="684">
        <f>IF(終値!A295="","",IFERROR(4*STDEVP(終値!X295:AQ295)/AVERAGE(終値!X295:AQ295),""))</f>
      </c>
      <c r="V295" s="684">
        <f>IF(終値!A295="","",IFERROR(4*STDEVP(終値!Y295:AR295)/AVERAGE(終値!Y295:AR295),""))</f>
      </c>
      <c r="W295" s="684">
        <f>IF(終値!A295="","",IFERROR(4*STDEVP(終値!Z295:AS295)/AVERAGE(終値!Z295:AS295),""))</f>
      </c>
      <c r="X295" s="684">
        <f>IF(終値!A295="","",IFERROR(4*STDEVP(終値!AA295:AT295)/AVERAGE(終値!AA295:AT295),""))</f>
      </c>
      <c r="Y295" s="684">
        <f>IF(終値!A295="","",IFERROR(4*STDEVP(終値!AB295:AU295)/AVERAGE(終値!AB295:AU295),""))</f>
      </c>
      <c r="Z295" s="684">
        <f>IF(終値!A295="","",IFERROR(4*STDEVP(終値!AC295:AV295)/AVERAGE(終値!AC295:AV295),""))</f>
      </c>
      <c r="AA295" s="684">
        <f>IF(終値!A295="","",IFERROR(4*STDEVP(終値!AD295:AW295)/AVERAGE(終値!AD295:AW295),""))</f>
      </c>
      <c r="AB295" s="684">
        <f>IF(終値!A295="","",IFERROR(4*STDEVP(終値!AE295:AX295)/AVERAGE(終値!AE295:AX295),""))</f>
      </c>
      <c r="AC295" s="684">
        <f>IF(終値!A295="","",IFERROR(4*STDEVP(終値!AF295:AY295)/AVERAGE(終値!AF295:AY295),""))</f>
      </c>
      <c r="AD295" s="684">
        <f>IF(終値!A295="","",IFERROR(4*STDEVP(終値!AG295:AZ295)/AVERAGE(終値!AG295:AZ295),""))</f>
      </c>
      <c r="AE295" s="684">
        <f>IF(終値!A295="","",IFERROR(4*STDEVP(終値!AH295:BA295)/AVERAGE(終値!AH295:BA295),""))</f>
      </c>
      <c r="AF295" s="684">
        <f>IF(終値!A295="","",IFERROR(4*STDEVP(終値!AI295:BB295)/AVERAGE(終値!AI295:BB295),""))</f>
      </c>
      <c r="AG295" s="684">
        <f>IF(終値!A295="","",IFERROR(4*STDEVP(終値!AJ295:BC295)/AVERAGE(終値!AJ295:BC295),""))</f>
      </c>
      <c r="AH295" s="684">
        <f>IF(終値!A295="","",IFERROR(4*STDEVP(終値!AK295:BD295)/AVERAGE(終値!AK295:BD295),""))</f>
      </c>
      <c r="AI295" s="684">
        <f>IF(終値!A295="","",IFERROR(4*STDEVP(終値!AL295:BE295)/AVERAGE(終値!AL295:BE295),""))</f>
      </c>
      <c r="AJ295" s="684">
        <f>IF(終値!A295="","",IFERROR(4*STDEVP(終値!AM295:BF295)/AVERAGE(終値!AM295:BF295),""))</f>
      </c>
      <c r="AK295" s="684">
        <f>IF(終値!A295="","",IFERROR(4*STDEVP(終値!AN295:BG295)/AVERAGE(終値!AN295:BG295),""))</f>
      </c>
      <c r="AL295" s="684">
        <f>IF(終値!A295="","",IFERROR(4*STDEVP(終値!AO295:BH295)/AVERAGE(終値!AO295:BH295),""))</f>
      </c>
      <c r="AM295" s="684">
        <f>IF(終値!A295="","",IFERROR(4*STDEVP(終値!AP295:BI295)/AVERAGE(終値!AP295:BI295),""))</f>
      </c>
      <c r="AN295" s="684">
        <f>IF(終値!A295="","",IFERROR(4*STDEVP(終値!AQ295:BJ295)/AVERAGE(終値!AQ295:BJ295),""))</f>
      </c>
      <c r="AO295" s="684">
        <f>IF(終値!A295="","",IFERROR(4*STDEVP(終値!AR295:BK295)/AVERAGE(終値!AR295:BK295),""))</f>
      </c>
      <c r="AP295" s="684">
        <f>IF(終値!A295="","",IFERROR(4*STDEVP(終値!AS295:BL295)/AVERAGE(終値!AS295:BL295),""))</f>
      </c>
    </row>
    <row r="296">
      <c r="A296" s="681">
        <f>IF(終値!A296="","",終値!A296)</f>
      </c>
      <c r="B296" s="684">
        <f>IF(終値!A296="","",IFERROR(4*STDEVP(終値!E296:X296)/AVERAGE(終値!E296:X296),""))</f>
      </c>
      <c r="C296" s="684">
        <f>IF(終値!A296="","",IFERROR(4*STDEVP(終値!F296:Y296)/AVERAGE(終値!F296:Y296),""))</f>
      </c>
      <c r="D296" s="684">
        <f>IF(終値!A296="","",IFERROR(4*STDEVP(終値!G296:Z296)/AVERAGE(終値!G296:Z296),""))</f>
      </c>
      <c r="E296" s="684">
        <f>IF(終値!A296="","",IFERROR(4*STDEVP(終値!H296:AA296)/AVERAGE(終値!H296:AA296),""))</f>
      </c>
      <c r="F296" s="684">
        <f>IF(終値!A296="","",IFERROR(4*STDEVP(終値!I296:AB296)/AVERAGE(終値!I296:AB296),""))</f>
      </c>
      <c r="G296" s="684">
        <f>IF(終値!A296="","",IFERROR(4*STDEVP(終値!J296:AC296)/AVERAGE(終値!J296:AC296),""))</f>
      </c>
      <c r="H296" s="684">
        <f>IF(終値!A296="","",IFERROR(4*STDEVP(終値!K296:AD296)/AVERAGE(終値!K296:AD296),""))</f>
      </c>
      <c r="I296" s="684">
        <f>IF(終値!A296="","",IFERROR(4*STDEVP(終値!L296:AE296)/AVERAGE(終値!L296:AE296),""))</f>
      </c>
      <c r="J296" s="684">
        <f>IF(終値!A296="","",IFERROR(4*STDEVP(終値!M296:AF296)/AVERAGE(終値!M296:AF296),""))</f>
      </c>
      <c r="K296" s="684">
        <f>IF(終値!A296="","",IFERROR(4*STDEVP(終値!N296:AG296)/AVERAGE(終値!N296:AG296),""))</f>
      </c>
      <c r="L296" s="684">
        <f>IF(終値!A296="","",IFERROR(4*STDEVP(終値!O296:AH296)/AVERAGE(終値!O296:AH296),""))</f>
      </c>
      <c r="M296" s="684">
        <f>IF(終値!A296="","",IFERROR(4*STDEVP(終値!P296:AI296)/AVERAGE(終値!P296:AI296),""))</f>
      </c>
      <c r="N296" s="684">
        <f>IF(終値!A296="","",IFERROR(4*STDEVP(終値!Q296:AJ296)/AVERAGE(終値!Q296:AJ296),""))</f>
      </c>
      <c r="O296" s="684">
        <f>IF(終値!A296="","",IFERROR(4*STDEVP(終値!R296:AK296)/AVERAGE(終値!R296:AK296),""))</f>
      </c>
      <c r="P296" s="684">
        <f>IF(終値!A296="","",IFERROR(4*STDEVP(終値!S296:AL296)/AVERAGE(終値!S296:AL296),""))</f>
      </c>
      <c r="Q296" s="684">
        <f>IF(終値!A296="","",IFERROR(4*STDEVP(終値!T296:AM296)/AVERAGE(終値!T296:AM296),""))</f>
      </c>
      <c r="R296" s="684">
        <f>IF(終値!A296="","",IFERROR(4*STDEVP(終値!U296:AN296)/AVERAGE(終値!U296:AN296),""))</f>
      </c>
      <c r="S296" s="684">
        <f>IF(終値!A296="","",IFERROR(4*STDEVP(終値!V296:AO296)/AVERAGE(終値!V296:AO296),""))</f>
      </c>
      <c r="T296" s="684">
        <f>IF(終値!A296="","",IFERROR(4*STDEVP(終値!W296:AP296)/AVERAGE(終値!W296:AP296),""))</f>
      </c>
      <c r="U296" s="684">
        <f>IF(終値!A296="","",IFERROR(4*STDEVP(終値!X296:AQ296)/AVERAGE(終値!X296:AQ296),""))</f>
      </c>
      <c r="V296" s="684">
        <f>IF(終値!A296="","",IFERROR(4*STDEVP(終値!Y296:AR296)/AVERAGE(終値!Y296:AR296),""))</f>
      </c>
      <c r="W296" s="684">
        <f>IF(終値!A296="","",IFERROR(4*STDEVP(終値!Z296:AS296)/AVERAGE(終値!Z296:AS296),""))</f>
      </c>
      <c r="X296" s="684">
        <f>IF(終値!A296="","",IFERROR(4*STDEVP(終値!AA296:AT296)/AVERAGE(終値!AA296:AT296),""))</f>
      </c>
      <c r="Y296" s="684">
        <f>IF(終値!A296="","",IFERROR(4*STDEVP(終値!AB296:AU296)/AVERAGE(終値!AB296:AU296),""))</f>
      </c>
      <c r="Z296" s="684">
        <f>IF(終値!A296="","",IFERROR(4*STDEVP(終値!AC296:AV296)/AVERAGE(終値!AC296:AV296),""))</f>
      </c>
      <c r="AA296" s="684">
        <f>IF(終値!A296="","",IFERROR(4*STDEVP(終値!AD296:AW296)/AVERAGE(終値!AD296:AW296),""))</f>
      </c>
      <c r="AB296" s="684">
        <f>IF(終値!A296="","",IFERROR(4*STDEVP(終値!AE296:AX296)/AVERAGE(終値!AE296:AX296),""))</f>
      </c>
      <c r="AC296" s="684">
        <f>IF(終値!A296="","",IFERROR(4*STDEVP(終値!AF296:AY296)/AVERAGE(終値!AF296:AY296),""))</f>
      </c>
      <c r="AD296" s="684">
        <f>IF(終値!A296="","",IFERROR(4*STDEVP(終値!AG296:AZ296)/AVERAGE(終値!AG296:AZ296),""))</f>
      </c>
      <c r="AE296" s="684">
        <f>IF(終値!A296="","",IFERROR(4*STDEVP(終値!AH296:BA296)/AVERAGE(終値!AH296:BA296),""))</f>
      </c>
      <c r="AF296" s="684">
        <f>IF(終値!A296="","",IFERROR(4*STDEVP(終値!AI296:BB296)/AVERAGE(終値!AI296:BB296),""))</f>
      </c>
      <c r="AG296" s="684">
        <f>IF(終値!A296="","",IFERROR(4*STDEVP(終値!AJ296:BC296)/AVERAGE(終値!AJ296:BC296),""))</f>
      </c>
      <c r="AH296" s="684">
        <f>IF(終値!A296="","",IFERROR(4*STDEVP(終値!AK296:BD296)/AVERAGE(終値!AK296:BD296),""))</f>
      </c>
      <c r="AI296" s="684">
        <f>IF(終値!A296="","",IFERROR(4*STDEVP(終値!AL296:BE296)/AVERAGE(終値!AL296:BE296),""))</f>
      </c>
      <c r="AJ296" s="684">
        <f>IF(終値!A296="","",IFERROR(4*STDEVP(終値!AM296:BF296)/AVERAGE(終値!AM296:BF296),""))</f>
      </c>
      <c r="AK296" s="684">
        <f>IF(終値!A296="","",IFERROR(4*STDEVP(終値!AN296:BG296)/AVERAGE(終値!AN296:BG296),""))</f>
      </c>
      <c r="AL296" s="684">
        <f>IF(終値!A296="","",IFERROR(4*STDEVP(終値!AO296:BH296)/AVERAGE(終値!AO296:BH296),""))</f>
      </c>
      <c r="AM296" s="684">
        <f>IF(終値!A296="","",IFERROR(4*STDEVP(終値!AP296:BI296)/AVERAGE(終値!AP296:BI296),""))</f>
      </c>
      <c r="AN296" s="684">
        <f>IF(終値!A296="","",IFERROR(4*STDEVP(終値!AQ296:BJ296)/AVERAGE(終値!AQ296:BJ296),""))</f>
      </c>
      <c r="AO296" s="684">
        <f>IF(終値!A296="","",IFERROR(4*STDEVP(終値!AR296:BK296)/AVERAGE(終値!AR296:BK296),""))</f>
      </c>
      <c r="AP296" s="684">
        <f>IF(終値!A296="","",IFERROR(4*STDEVP(終値!AS296:BL296)/AVERAGE(終値!AS296:BL296),""))</f>
      </c>
    </row>
    <row r="297">
      <c r="A297" s="681">
        <f>IF(終値!A297="","",終値!A297)</f>
      </c>
      <c r="B297" s="684">
        <f>IF(終値!A297="","",IFERROR(4*STDEVP(終値!E297:X297)/AVERAGE(終値!E297:X297),""))</f>
      </c>
      <c r="C297" s="684">
        <f>IF(終値!A297="","",IFERROR(4*STDEVP(終値!F297:Y297)/AVERAGE(終値!F297:Y297),""))</f>
      </c>
      <c r="D297" s="684">
        <f>IF(終値!A297="","",IFERROR(4*STDEVP(終値!G297:Z297)/AVERAGE(終値!G297:Z297),""))</f>
      </c>
      <c r="E297" s="684">
        <f>IF(終値!A297="","",IFERROR(4*STDEVP(終値!H297:AA297)/AVERAGE(終値!H297:AA297),""))</f>
      </c>
      <c r="F297" s="684">
        <f>IF(終値!A297="","",IFERROR(4*STDEVP(終値!I297:AB297)/AVERAGE(終値!I297:AB297),""))</f>
      </c>
      <c r="G297" s="684">
        <f>IF(終値!A297="","",IFERROR(4*STDEVP(終値!J297:AC297)/AVERAGE(終値!J297:AC297),""))</f>
      </c>
      <c r="H297" s="684">
        <f>IF(終値!A297="","",IFERROR(4*STDEVP(終値!K297:AD297)/AVERAGE(終値!K297:AD297),""))</f>
      </c>
      <c r="I297" s="684">
        <f>IF(終値!A297="","",IFERROR(4*STDEVP(終値!L297:AE297)/AVERAGE(終値!L297:AE297),""))</f>
      </c>
      <c r="J297" s="684">
        <f>IF(終値!A297="","",IFERROR(4*STDEVP(終値!M297:AF297)/AVERAGE(終値!M297:AF297),""))</f>
      </c>
      <c r="K297" s="684">
        <f>IF(終値!A297="","",IFERROR(4*STDEVP(終値!N297:AG297)/AVERAGE(終値!N297:AG297),""))</f>
      </c>
      <c r="L297" s="684">
        <f>IF(終値!A297="","",IFERROR(4*STDEVP(終値!O297:AH297)/AVERAGE(終値!O297:AH297),""))</f>
      </c>
      <c r="M297" s="684">
        <f>IF(終値!A297="","",IFERROR(4*STDEVP(終値!P297:AI297)/AVERAGE(終値!P297:AI297),""))</f>
      </c>
      <c r="N297" s="684">
        <f>IF(終値!A297="","",IFERROR(4*STDEVP(終値!Q297:AJ297)/AVERAGE(終値!Q297:AJ297),""))</f>
      </c>
      <c r="O297" s="684">
        <f>IF(終値!A297="","",IFERROR(4*STDEVP(終値!R297:AK297)/AVERAGE(終値!R297:AK297),""))</f>
      </c>
      <c r="P297" s="684">
        <f>IF(終値!A297="","",IFERROR(4*STDEVP(終値!S297:AL297)/AVERAGE(終値!S297:AL297),""))</f>
      </c>
      <c r="Q297" s="684">
        <f>IF(終値!A297="","",IFERROR(4*STDEVP(終値!T297:AM297)/AVERAGE(終値!T297:AM297),""))</f>
      </c>
      <c r="R297" s="684">
        <f>IF(終値!A297="","",IFERROR(4*STDEVP(終値!U297:AN297)/AVERAGE(終値!U297:AN297),""))</f>
      </c>
      <c r="S297" s="684">
        <f>IF(終値!A297="","",IFERROR(4*STDEVP(終値!V297:AO297)/AVERAGE(終値!V297:AO297),""))</f>
      </c>
      <c r="T297" s="684">
        <f>IF(終値!A297="","",IFERROR(4*STDEVP(終値!W297:AP297)/AVERAGE(終値!W297:AP297),""))</f>
      </c>
      <c r="U297" s="684">
        <f>IF(終値!A297="","",IFERROR(4*STDEVP(終値!X297:AQ297)/AVERAGE(終値!X297:AQ297),""))</f>
      </c>
      <c r="V297" s="684">
        <f>IF(終値!A297="","",IFERROR(4*STDEVP(終値!Y297:AR297)/AVERAGE(終値!Y297:AR297),""))</f>
      </c>
      <c r="W297" s="684">
        <f>IF(終値!A297="","",IFERROR(4*STDEVP(終値!Z297:AS297)/AVERAGE(終値!Z297:AS297),""))</f>
      </c>
      <c r="X297" s="684">
        <f>IF(終値!A297="","",IFERROR(4*STDEVP(終値!AA297:AT297)/AVERAGE(終値!AA297:AT297),""))</f>
      </c>
      <c r="Y297" s="684">
        <f>IF(終値!A297="","",IFERROR(4*STDEVP(終値!AB297:AU297)/AVERAGE(終値!AB297:AU297),""))</f>
      </c>
      <c r="Z297" s="684">
        <f>IF(終値!A297="","",IFERROR(4*STDEVP(終値!AC297:AV297)/AVERAGE(終値!AC297:AV297),""))</f>
      </c>
      <c r="AA297" s="684">
        <f>IF(終値!A297="","",IFERROR(4*STDEVP(終値!AD297:AW297)/AVERAGE(終値!AD297:AW297),""))</f>
      </c>
      <c r="AB297" s="684">
        <f>IF(終値!A297="","",IFERROR(4*STDEVP(終値!AE297:AX297)/AVERAGE(終値!AE297:AX297),""))</f>
      </c>
      <c r="AC297" s="684">
        <f>IF(終値!A297="","",IFERROR(4*STDEVP(終値!AF297:AY297)/AVERAGE(終値!AF297:AY297),""))</f>
      </c>
      <c r="AD297" s="684">
        <f>IF(終値!A297="","",IFERROR(4*STDEVP(終値!AG297:AZ297)/AVERAGE(終値!AG297:AZ297),""))</f>
      </c>
      <c r="AE297" s="684">
        <f>IF(終値!A297="","",IFERROR(4*STDEVP(終値!AH297:BA297)/AVERAGE(終値!AH297:BA297),""))</f>
      </c>
      <c r="AF297" s="684">
        <f>IF(終値!A297="","",IFERROR(4*STDEVP(終値!AI297:BB297)/AVERAGE(終値!AI297:BB297),""))</f>
      </c>
      <c r="AG297" s="684">
        <f>IF(終値!A297="","",IFERROR(4*STDEVP(終値!AJ297:BC297)/AVERAGE(終値!AJ297:BC297),""))</f>
      </c>
      <c r="AH297" s="684">
        <f>IF(終値!A297="","",IFERROR(4*STDEVP(終値!AK297:BD297)/AVERAGE(終値!AK297:BD297),""))</f>
      </c>
      <c r="AI297" s="684">
        <f>IF(終値!A297="","",IFERROR(4*STDEVP(終値!AL297:BE297)/AVERAGE(終値!AL297:BE297),""))</f>
      </c>
      <c r="AJ297" s="684">
        <f>IF(終値!A297="","",IFERROR(4*STDEVP(終値!AM297:BF297)/AVERAGE(終値!AM297:BF297),""))</f>
      </c>
      <c r="AK297" s="684">
        <f>IF(終値!A297="","",IFERROR(4*STDEVP(終値!AN297:BG297)/AVERAGE(終値!AN297:BG297),""))</f>
      </c>
      <c r="AL297" s="684">
        <f>IF(終値!A297="","",IFERROR(4*STDEVP(終値!AO297:BH297)/AVERAGE(終値!AO297:BH297),""))</f>
      </c>
      <c r="AM297" s="684">
        <f>IF(終値!A297="","",IFERROR(4*STDEVP(終値!AP297:BI297)/AVERAGE(終値!AP297:BI297),""))</f>
      </c>
      <c r="AN297" s="684">
        <f>IF(終値!A297="","",IFERROR(4*STDEVP(終値!AQ297:BJ297)/AVERAGE(終値!AQ297:BJ297),""))</f>
      </c>
      <c r="AO297" s="684">
        <f>IF(終値!A297="","",IFERROR(4*STDEVP(終値!AR297:BK297)/AVERAGE(終値!AR297:BK297),""))</f>
      </c>
      <c r="AP297" s="684">
        <f>IF(終値!A297="","",IFERROR(4*STDEVP(終値!AS297:BL297)/AVERAGE(終値!AS297:BL297),""))</f>
      </c>
    </row>
    <row r="298">
      <c r="A298" s="681">
        <f>IF(終値!A298="","",終値!A298)</f>
      </c>
      <c r="B298" s="684">
        <f>IF(終値!A298="","",IFERROR(4*STDEVP(終値!E298:X298)/AVERAGE(終値!E298:X298),""))</f>
      </c>
      <c r="C298" s="684">
        <f>IF(終値!A298="","",IFERROR(4*STDEVP(終値!F298:Y298)/AVERAGE(終値!F298:Y298),""))</f>
      </c>
      <c r="D298" s="684">
        <f>IF(終値!A298="","",IFERROR(4*STDEVP(終値!G298:Z298)/AVERAGE(終値!G298:Z298),""))</f>
      </c>
      <c r="E298" s="684">
        <f>IF(終値!A298="","",IFERROR(4*STDEVP(終値!H298:AA298)/AVERAGE(終値!H298:AA298),""))</f>
      </c>
      <c r="F298" s="684">
        <f>IF(終値!A298="","",IFERROR(4*STDEVP(終値!I298:AB298)/AVERAGE(終値!I298:AB298),""))</f>
      </c>
      <c r="G298" s="684">
        <f>IF(終値!A298="","",IFERROR(4*STDEVP(終値!J298:AC298)/AVERAGE(終値!J298:AC298),""))</f>
      </c>
      <c r="H298" s="684">
        <f>IF(終値!A298="","",IFERROR(4*STDEVP(終値!K298:AD298)/AVERAGE(終値!K298:AD298),""))</f>
      </c>
      <c r="I298" s="684">
        <f>IF(終値!A298="","",IFERROR(4*STDEVP(終値!L298:AE298)/AVERAGE(終値!L298:AE298),""))</f>
      </c>
      <c r="J298" s="684">
        <f>IF(終値!A298="","",IFERROR(4*STDEVP(終値!M298:AF298)/AVERAGE(終値!M298:AF298),""))</f>
      </c>
      <c r="K298" s="684">
        <f>IF(終値!A298="","",IFERROR(4*STDEVP(終値!N298:AG298)/AVERAGE(終値!N298:AG298),""))</f>
      </c>
      <c r="L298" s="684">
        <f>IF(終値!A298="","",IFERROR(4*STDEVP(終値!O298:AH298)/AVERAGE(終値!O298:AH298),""))</f>
      </c>
      <c r="M298" s="684">
        <f>IF(終値!A298="","",IFERROR(4*STDEVP(終値!P298:AI298)/AVERAGE(終値!P298:AI298),""))</f>
      </c>
      <c r="N298" s="684">
        <f>IF(終値!A298="","",IFERROR(4*STDEVP(終値!Q298:AJ298)/AVERAGE(終値!Q298:AJ298),""))</f>
      </c>
      <c r="O298" s="684">
        <f>IF(終値!A298="","",IFERROR(4*STDEVP(終値!R298:AK298)/AVERAGE(終値!R298:AK298),""))</f>
      </c>
      <c r="P298" s="684">
        <f>IF(終値!A298="","",IFERROR(4*STDEVP(終値!S298:AL298)/AVERAGE(終値!S298:AL298),""))</f>
      </c>
      <c r="Q298" s="684">
        <f>IF(終値!A298="","",IFERROR(4*STDEVP(終値!T298:AM298)/AVERAGE(終値!T298:AM298),""))</f>
      </c>
      <c r="R298" s="684">
        <f>IF(終値!A298="","",IFERROR(4*STDEVP(終値!U298:AN298)/AVERAGE(終値!U298:AN298),""))</f>
      </c>
      <c r="S298" s="684">
        <f>IF(終値!A298="","",IFERROR(4*STDEVP(終値!V298:AO298)/AVERAGE(終値!V298:AO298),""))</f>
      </c>
      <c r="T298" s="684">
        <f>IF(終値!A298="","",IFERROR(4*STDEVP(終値!W298:AP298)/AVERAGE(終値!W298:AP298),""))</f>
      </c>
      <c r="U298" s="684">
        <f>IF(終値!A298="","",IFERROR(4*STDEVP(終値!X298:AQ298)/AVERAGE(終値!X298:AQ298),""))</f>
      </c>
      <c r="V298" s="684">
        <f>IF(終値!A298="","",IFERROR(4*STDEVP(終値!Y298:AR298)/AVERAGE(終値!Y298:AR298),""))</f>
      </c>
      <c r="W298" s="684">
        <f>IF(終値!A298="","",IFERROR(4*STDEVP(終値!Z298:AS298)/AVERAGE(終値!Z298:AS298),""))</f>
      </c>
      <c r="X298" s="684">
        <f>IF(終値!A298="","",IFERROR(4*STDEVP(終値!AA298:AT298)/AVERAGE(終値!AA298:AT298),""))</f>
      </c>
      <c r="Y298" s="684">
        <f>IF(終値!A298="","",IFERROR(4*STDEVP(終値!AB298:AU298)/AVERAGE(終値!AB298:AU298),""))</f>
      </c>
      <c r="Z298" s="684">
        <f>IF(終値!A298="","",IFERROR(4*STDEVP(終値!AC298:AV298)/AVERAGE(終値!AC298:AV298),""))</f>
      </c>
      <c r="AA298" s="684">
        <f>IF(終値!A298="","",IFERROR(4*STDEVP(終値!AD298:AW298)/AVERAGE(終値!AD298:AW298),""))</f>
      </c>
      <c r="AB298" s="684">
        <f>IF(終値!A298="","",IFERROR(4*STDEVP(終値!AE298:AX298)/AVERAGE(終値!AE298:AX298),""))</f>
      </c>
      <c r="AC298" s="684">
        <f>IF(終値!A298="","",IFERROR(4*STDEVP(終値!AF298:AY298)/AVERAGE(終値!AF298:AY298),""))</f>
      </c>
      <c r="AD298" s="684">
        <f>IF(終値!A298="","",IFERROR(4*STDEVP(終値!AG298:AZ298)/AVERAGE(終値!AG298:AZ298),""))</f>
      </c>
      <c r="AE298" s="684">
        <f>IF(終値!A298="","",IFERROR(4*STDEVP(終値!AH298:BA298)/AVERAGE(終値!AH298:BA298),""))</f>
      </c>
      <c r="AF298" s="684">
        <f>IF(終値!A298="","",IFERROR(4*STDEVP(終値!AI298:BB298)/AVERAGE(終値!AI298:BB298),""))</f>
      </c>
      <c r="AG298" s="684">
        <f>IF(終値!A298="","",IFERROR(4*STDEVP(終値!AJ298:BC298)/AVERAGE(終値!AJ298:BC298),""))</f>
      </c>
      <c r="AH298" s="684">
        <f>IF(終値!A298="","",IFERROR(4*STDEVP(終値!AK298:BD298)/AVERAGE(終値!AK298:BD298),""))</f>
      </c>
      <c r="AI298" s="684">
        <f>IF(終値!A298="","",IFERROR(4*STDEVP(終値!AL298:BE298)/AVERAGE(終値!AL298:BE298),""))</f>
      </c>
      <c r="AJ298" s="684">
        <f>IF(終値!A298="","",IFERROR(4*STDEVP(終値!AM298:BF298)/AVERAGE(終値!AM298:BF298),""))</f>
      </c>
      <c r="AK298" s="684">
        <f>IF(終値!A298="","",IFERROR(4*STDEVP(終値!AN298:BG298)/AVERAGE(終値!AN298:BG298),""))</f>
      </c>
      <c r="AL298" s="684">
        <f>IF(終値!A298="","",IFERROR(4*STDEVP(終値!AO298:BH298)/AVERAGE(終値!AO298:BH298),""))</f>
      </c>
      <c r="AM298" s="684">
        <f>IF(終値!A298="","",IFERROR(4*STDEVP(終値!AP298:BI298)/AVERAGE(終値!AP298:BI298),""))</f>
      </c>
      <c r="AN298" s="684">
        <f>IF(終値!A298="","",IFERROR(4*STDEVP(終値!AQ298:BJ298)/AVERAGE(終値!AQ298:BJ298),""))</f>
      </c>
      <c r="AO298" s="684">
        <f>IF(終値!A298="","",IFERROR(4*STDEVP(終値!AR298:BK298)/AVERAGE(終値!AR298:BK298),""))</f>
      </c>
      <c r="AP298" s="684">
        <f>IF(終値!A298="","",IFERROR(4*STDEVP(終値!AS298:BL298)/AVERAGE(終値!AS298:BL298),""))</f>
      </c>
    </row>
    <row r="299">
      <c r="A299" s="681">
        <f>IF(終値!A299="","",終値!A299)</f>
      </c>
      <c r="B299" s="684">
        <f>IF(終値!A299="","",IFERROR(4*STDEVP(終値!E299:X299)/AVERAGE(終値!E299:X299),""))</f>
      </c>
      <c r="C299" s="684">
        <f>IF(終値!A299="","",IFERROR(4*STDEVP(終値!F299:Y299)/AVERAGE(終値!F299:Y299),""))</f>
      </c>
      <c r="D299" s="684">
        <f>IF(終値!A299="","",IFERROR(4*STDEVP(終値!G299:Z299)/AVERAGE(終値!G299:Z299),""))</f>
      </c>
      <c r="E299" s="684">
        <f>IF(終値!A299="","",IFERROR(4*STDEVP(終値!H299:AA299)/AVERAGE(終値!H299:AA299),""))</f>
      </c>
      <c r="F299" s="684">
        <f>IF(終値!A299="","",IFERROR(4*STDEVP(終値!I299:AB299)/AVERAGE(終値!I299:AB299),""))</f>
      </c>
      <c r="G299" s="684">
        <f>IF(終値!A299="","",IFERROR(4*STDEVP(終値!J299:AC299)/AVERAGE(終値!J299:AC299),""))</f>
      </c>
      <c r="H299" s="684">
        <f>IF(終値!A299="","",IFERROR(4*STDEVP(終値!K299:AD299)/AVERAGE(終値!K299:AD299),""))</f>
      </c>
      <c r="I299" s="684">
        <f>IF(終値!A299="","",IFERROR(4*STDEVP(終値!L299:AE299)/AVERAGE(終値!L299:AE299),""))</f>
      </c>
      <c r="J299" s="684">
        <f>IF(終値!A299="","",IFERROR(4*STDEVP(終値!M299:AF299)/AVERAGE(終値!M299:AF299),""))</f>
      </c>
      <c r="K299" s="684">
        <f>IF(終値!A299="","",IFERROR(4*STDEVP(終値!N299:AG299)/AVERAGE(終値!N299:AG299),""))</f>
      </c>
      <c r="L299" s="684">
        <f>IF(終値!A299="","",IFERROR(4*STDEVP(終値!O299:AH299)/AVERAGE(終値!O299:AH299),""))</f>
      </c>
      <c r="M299" s="684">
        <f>IF(終値!A299="","",IFERROR(4*STDEVP(終値!P299:AI299)/AVERAGE(終値!P299:AI299),""))</f>
      </c>
      <c r="N299" s="684">
        <f>IF(終値!A299="","",IFERROR(4*STDEVP(終値!Q299:AJ299)/AVERAGE(終値!Q299:AJ299),""))</f>
      </c>
      <c r="O299" s="684">
        <f>IF(終値!A299="","",IFERROR(4*STDEVP(終値!R299:AK299)/AVERAGE(終値!R299:AK299),""))</f>
      </c>
      <c r="P299" s="684">
        <f>IF(終値!A299="","",IFERROR(4*STDEVP(終値!S299:AL299)/AVERAGE(終値!S299:AL299),""))</f>
      </c>
      <c r="Q299" s="684">
        <f>IF(終値!A299="","",IFERROR(4*STDEVP(終値!T299:AM299)/AVERAGE(終値!T299:AM299),""))</f>
      </c>
      <c r="R299" s="684">
        <f>IF(終値!A299="","",IFERROR(4*STDEVP(終値!U299:AN299)/AVERAGE(終値!U299:AN299),""))</f>
      </c>
      <c r="S299" s="684">
        <f>IF(終値!A299="","",IFERROR(4*STDEVP(終値!V299:AO299)/AVERAGE(終値!V299:AO299),""))</f>
      </c>
      <c r="T299" s="684">
        <f>IF(終値!A299="","",IFERROR(4*STDEVP(終値!W299:AP299)/AVERAGE(終値!W299:AP299),""))</f>
      </c>
      <c r="U299" s="684">
        <f>IF(終値!A299="","",IFERROR(4*STDEVP(終値!X299:AQ299)/AVERAGE(終値!X299:AQ299),""))</f>
      </c>
      <c r="V299" s="684">
        <f>IF(終値!A299="","",IFERROR(4*STDEVP(終値!Y299:AR299)/AVERAGE(終値!Y299:AR299),""))</f>
      </c>
      <c r="W299" s="684">
        <f>IF(終値!A299="","",IFERROR(4*STDEVP(終値!Z299:AS299)/AVERAGE(終値!Z299:AS299),""))</f>
      </c>
      <c r="X299" s="684">
        <f>IF(終値!A299="","",IFERROR(4*STDEVP(終値!AA299:AT299)/AVERAGE(終値!AA299:AT299),""))</f>
      </c>
      <c r="Y299" s="684">
        <f>IF(終値!A299="","",IFERROR(4*STDEVP(終値!AB299:AU299)/AVERAGE(終値!AB299:AU299),""))</f>
      </c>
      <c r="Z299" s="684">
        <f>IF(終値!A299="","",IFERROR(4*STDEVP(終値!AC299:AV299)/AVERAGE(終値!AC299:AV299),""))</f>
      </c>
      <c r="AA299" s="684">
        <f>IF(終値!A299="","",IFERROR(4*STDEVP(終値!AD299:AW299)/AVERAGE(終値!AD299:AW299),""))</f>
      </c>
      <c r="AB299" s="684">
        <f>IF(終値!A299="","",IFERROR(4*STDEVP(終値!AE299:AX299)/AVERAGE(終値!AE299:AX299),""))</f>
      </c>
      <c r="AC299" s="684">
        <f>IF(終値!A299="","",IFERROR(4*STDEVP(終値!AF299:AY299)/AVERAGE(終値!AF299:AY299),""))</f>
      </c>
      <c r="AD299" s="684">
        <f>IF(終値!A299="","",IFERROR(4*STDEVP(終値!AG299:AZ299)/AVERAGE(終値!AG299:AZ299),""))</f>
      </c>
      <c r="AE299" s="684">
        <f>IF(終値!A299="","",IFERROR(4*STDEVP(終値!AH299:BA299)/AVERAGE(終値!AH299:BA299),""))</f>
      </c>
      <c r="AF299" s="684">
        <f>IF(終値!A299="","",IFERROR(4*STDEVP(終値!AI299:BB299)/AVERAGE(終値!AI299:BB299),""))</f>
      </c>
      <c r="AG299" s="684">
        <f>IF(終値!A299="","",IFERROR(4*STDEVP(終値!AJ299:BC299)/AVERAGE(終値!AJ299:BC299),""))</f>
      </c>
      <c r="AH299" s="684">
        <f>IF(終値!A299="","",IFERROR(4*STDEVP(終値!AK299:BD299)/AVERAGE(終値!AK299:BD299),""))</f>
      </c>
      <c r="AI299" s="684">
        <f>IF(終値!A299="","",IFERROR(4*STDEVP(終値!AL299:BE299)/AVERAGE(終値!AL299:BE299),""))</f>
      </c>
      <c r="AJ299" s="684">
        <f>IF(終値!A299="","",IFERROR(4*STDEVP(終値!AM299:BF299)/AVERAGE(終値!AM299:BF299),""))</f>
      </c>
      <c r="AK299" s="684">
        <f>IF(終値!A299="","",IFERROR(4*STDEVP(終値!AN299:BG299)/AVERAGE(終値!AN299:BG299),""))</f>
      </c>
      <c r="AL299" s="684">
        <f>IF(終値!A299="","",IFERROR(4*STDEVP(終値!AO299:BH299)/AVERAGE(終値!AO299:BH299),""))</f>
      </c>
      <c r="AM299" s="684">
        <f>IF(終値!A299="","",IFERROR(4*STDEVP(終値!AP299:BI299)/AVERAGE(終値!AP299:BI299),""))</f>
      </c>
      <c r="AN299" s="684">
        <f>IF(終値!A299="","",IFERROR(4*STDEVP(終値!AQ299:BJ299)/AVERAGE(終値!AQ299:BJ299),""))</f>
      </c>
      <c r="AO299" s="684">
        <f>IF(終値!A299="","",IFERROR(4*STDEVP(終値!AR299:BK299)/AVERAGE(終値!AR299:BK299),""))</f>
      </c>
      <c r="AP299" s="684">
        <f>IF(終値!A299="","",IFERROR(4*STDEVP(終値!AS299:BL299)/AVERAGE(終値!AS299:BL299),""))</f>
      </c>
    </row>
    <row r="300">
      <c r="A300" s="681">
        <f>IF(終値!A300="","",終値!A300)</f>
      </c>
      <c r="B300" s="684">
        <f>IF(終値!A300="","",IFERROR(4*STDEVP(終値!E300:X300)/AVERAGE(終値!E300:X300),""))</f>
      </c>
      <c r="C300" s="684">
        <f>IF(終値!A300="","",IFERROR(4*STDEVP(終値!F300:Y300)/AVERAGE(終値!F300:Y300),""))</f>
      </c>
      <c r="D300" s="684">
        <f>IF(終値!A300="","",IFERROR(4*STDEVP(終値!G300:Z300)/AVERAGE(終値!G300:Z300),""))</f>
      </c>
      <c r="E300" s="684">
        <f>IF(終値!A300="","",IFERROR(4*STDEVP(終値!H300:AA300)/AVERAGE(終値!H300:AA300),""))</f>
      </c>
      <c r="F300" s="684">
        <f>IF(終値!A300="","",IFERROR(4*STDEVP(終値!I300:AB300)/AVERAGE(終値!I300:AB300),""))</f>
      </c>
      <c r="G300" s="684">
        <f>IF(終値!A300="","",IFERROR(4*STDEVP(終値!J300:AC300)/AVERAGE(終値!J300:AC300),""))</f>
      </c>
      <c r="H300" s="684">
        <f>IF(終値!A300="","",IFERROR(4*STDEVP(終値!K300:AD300)/AVERAGE(終値!K300:AD300),""))</f>
      </c>
      <c r="I300" s="684">
        <f>IF(終値!A300="","",IFERROR(4*STDEVP(終値!L300:AE300)/AVERAGE(終値!L300:AE300),""))</f>
      </c>
      <c r="J300" s="684">
        <f>IF(終値!A300="","",IFERROR(4*STDEVP(終値!M300:AF300)/AVERAGE(終値!M300:AF300),""))</f>
      </c>
      <c r="K300" s="684">
        <f>IF(終値!A300="","",IFERROR(4*STDEVP(終値!N300:AG300)/AVERAGE(終値!N300:AG300),""))</f>
      </c>
      <c r="L300" s="684">
        <f>IF(終値!A300="","",IFERROR(4*STDEVP(終値!O300:AH300)/AVERAGE(終値!O300:AH300),""))</f>
      </c>
      <c r="M300" s="684">
        <f>IF(終値!A300="","",IFERROR(4*STDEVP(終値!P300:AI300)/AVERAGE(終値!P300:AI300),""))</f>
      </c>
      <c r="N300" s="684">
        <f>IF(終値!A300="","",IFERROR(4*STDEVP(終値!Q300:AJ300)/AVERAGE(終値!Q300:AJ300),""))</f>
      </c>
      <c r="O300" s="684">
        <f>IF(終値!A300="","",IFERROR(4*STDEVP(終値!R300:AK300)/AVERAGE(終値!R300:AK300),""))</f>
      </c>
      <c r="P300" s="684">
        <f>IF(終値!A300="","",IFERROR(4*STDEVP(終値!S300:AL300)/AVERAGE(終値!S300:AL300),""))</f>
      </c>
      <c r="Q300" s="684">
        <f>IF(終値!A300="","",IFERROR(4*STDEVP(終値!T300:AM300)/AVERAGE(終値!T300:AM300),""))</f>
      </c>
      <c r="R300" s="684">
        <f>IF(終値!A300="","",IFERROR(4*STDEVP(終値!U300:AN300)/AVERAGE(終値!U300:AN300),""))</f>
      </c>
      <c r="S300" s="684">
        <f>IF(終値!A300="","",IFERROR(4*STDEVP(終値!V300:AO300)/AVERAGE(終値!V300:AO300),""))</f>
      </c>
      <c r="T300" s="684">
        <f>IF(終値!A300="","",IFERROR(4*STDEVP(終値!W300:AP300)/AVERAGE(終値!W300:AP300),""))</f>
      </c>
      <c r="U300" s="684">
        <f>IF(終値!A300="","",IFERROR(4*STDEVP(終値!X300:AQ300)/AVERAGE(終値!X300:AQ300),""))</f>
      </c>
      <c r="V300" s="684">
        <f>IF(終値!A300="","",IFERROR(4*STDEVP(終値!Y300:AR300)/AVERAGE(終値!Y300:AR300),""))</f>
      </c>
      <c r="W300" s="684">
        <f>IF(終値!A300="","",IFERROR(4*STDEVP(終値!Z300:AS300)/AVERAGE(終値!Z300:AS300),""))</f>
      </c>
      <c r="X300" s="684">
        <f>IF(終値!A300="","",IFERROR(4*STDEVP(終値!AA300:AT300)/AVERAGE(終値!AA300:AT300),""))</f>
      </c>
      <c r="Y300" s="684">
        <f>IF(終値!A300="","",IFERROR(4*STDEVP(終値!AB300:AU300)/AVERAGE(終値!AB300:AU300),""))</f>
      </c>
      <c r="Z300" s="684">
        <f>IF(終値!A300="","",IFERROR(4*STDEVP(終値!AC300:AV300)/AVERAGE(終値!AC300:AV300),""))</f>
      </c>
      <c r="AA300" s="684">
        <f>IF(終値!A300="","",IFERROR(4*STDEVP(終値!AD300:AW300)/AVERAGE(終値!AD300:AW300),""))</f>
      </c>
      <c r="AB300" s="684">
        <f>IF(終値!A300="","",IFERROR(4*STDEVP(終値!AE300:AX300)/AVERAGE(終値!AE300:AX300),""))</f>
      </c>
      <c r="AC300" s="684">
        <f>IF(終値!A300="","",IFERROR(4*STDEVP(終値!AF300:AY300)/AVERAGE(終値!AF300:AY300),""))</f>
      </c>
      <c r="AD300" s="684">
        <f>IF(終値!A300="","",IFERROR(4*STDEVP(終値!AG300:AZ300)/AVERAGE(終値!AG300:AZ300),""))</f>
      </c>
      <c r="AE300" s="684">
        <f>IF(終値!A300="","",IFERROR(4*STDEVP(終値!AH300:BA300)/AVERAGE(終値!AH300:BA300),""))</f>
      </c>
      <c r="AF300" s="684">
        <f>IF(終値!A300="","",IFERROR(4*STDEVP(終値!AI300:BB300)/AVERAGE(終値!AI300:BB300),""))</f>
      </c>
      <c r="AG300" s="684">
        <f>IF(終値!A300="","",IFERROR(4*STDEVP(終値!AJ300:BC300)/AVERAGE(終値!AJ300:BC300),""))</f>
      </c>
      <c r="AH300" s="684">
        <f>IF(終値!A300="","",IFERROR(4*STDEVP(終値!AK300:BD300)/AVERAGE(終値!AK300:BD300),""))</f>
      </c>
      <c r="AI300" s="684">
        <f>IF(終値!A300="","",IFERROR(4*STDEVP(終値!AL300:BE300)/AVERAGE(終値!AL300:BE300),""))</f>
      </c>
      <c r="AJ300" s="684">
        <f>IF(終値!A300="","",IFERROR(4*STDEVP(終値!AM300:BF300)/AVERAGE(終値!AM300:BF300),""))</f>
      </c>
      <c r="AK300" s="684">
        <f>IF(終値!A300="","",IFERROR(4*STDEVP(終値!AN300:BG300)/AVERAGE(終値!AN300:BG300),""))</f>
      </c>
      <c r="AL300" s="684">
        <f>IF(終値!A300="","",IFERROR(4*STDEVP(終値!AO300:BH300)/AVERAGE(終値!AO300:BH300),""))</f>
      </c>
      <c r="AM300" s="684">
        <f>IF(終値!A300="","",IFERROR(4*STDEVP(終値!AP300:BI300)/AVERAGE(終値!AP300:BI300),""))</f>
      </c>
      <c r="AN300" s="684">
        <f>IF(終値!A300="","",IFERROR(4*STDEVP(終値!AQ300:BJ300)/AVERAGE(終値!AQ300:BJ300),""))</f>
      </c>
      <c r="AO300" s="684">
        <f>IF(終値!A300="","",IFERROR(4*STDEVP(終値!AR300:BK300)/AVERAGE(終値!AR300:BK300),""))</f>
      </c>
      <c r="AP300" s="684">
        <f>IF(終値!A300="","",IFERROR(4*STDEVP(終値!AS300:BL300)/AVERAGE(終値!AS300:BL300),""))</f>
      </c>
    </row>
    <row r="301">
      <c r="A301" s="681">
        <f>IF(終値!A301="","",終値!A301)</f>
      </c>
      <c r="B301" s="684">
        <f>IF(終値!A301="","",IFERROR(4*STDEVP(終値!E301:X301)/AVERAGE(終値!E301:X301),""))</f>
      </c>
      <c r="C301" s="684">
        <f>IF(終値!A301="","",IFERROR(4*STDEVP(終値!F301:Y301)/AVERAGE(終値!F301:Y301),""))</f>
      </c>
      <c r="D301" s="684">
        <f>IF(終値!A301="","",IFERROR(4*STDEVP(終値!G301:Z301)/AVERAGE(終値!G301:Z301),""))</f>
      </c>
      <c r="E301" s="684">
        <f>IF(終値!A301="","",IFERROR(4*STDEVP(終値!H301:AA301)/AVERAGE(終値!H301:AA301),""))</f>
      </c>
      <c r="F301" s="684">
        <f>IF(終値!A301="","",IFERROR(4*STDEVP(終値!I301:AB301)/AVERAGE(終値!I301:AB301),""))</f>
      </c>
      <c r="G301" s="684">
        <f>IF(終値!A301="","",IFERROR(4*STDEVP(終値!J301:AC301)/AVERAGE(終値!J301:AC301),""))</f>
      </c>
      <c r="H301" s="684">
        <f>IF(終値!A301="","",IFERROR(4*STDEVP(終値!K301:AD301)/AVERAGE(終値!K301:AD301),""))</f>
      </c>
      <c r="I301" s="684">
        <f>IF(終値!A301="","",IFERROR(4*STDEVP(終値!L301:AE301)/AVERAGE(終値!L301:AE301),""))</f>
      </c>
      <c r="J301" s="684">
        <f>IF(終値!A301="","",IFERROR(4*STDEVP(終値!M301:AF301)/AVERAGE(終値!M301:AF301),""))</f>
      </c>
      <c r="K301" s="684">
        <f>IF(終値!A301="","",IFERROR(4*STDEVP(終値!N301:AG301)/AVERAGE(終値!N301:AG301),""))</f>
      </c>
      <c r="L301" s="684">
        <f>IF(終値!A301="","",IFERROR(4*STDEVP(終値!O301:AH301)/AVERAGE(終値!O301:AH301),""))</f>
      </c>
      <c r="M301" s="684">
        <f>IF(終値!A301="","",IFERROR(4*STDEVP(終値!P301:AI301)/AVERAGE(終値!P301:AI301),""))</f>
      </c>
      <c r="N301" s="684">
        <f>IF(終値!A301="","",IFERROR(4*STDEVP(終値!Q301:AJ301)/AVERAGE(終値!Q301:AJ301),""))</f>
      </c>
      <c r="O301" s="684">
        <f>IF(終値!A301="","",IFERROR(4*STDEVP(終値!R301:AK301)/AVERAGE(終値!R301:AK301),""))</f>
      </c>
      <c r="P301" s="684">
        <f>IF(終値!A301="","",IFERROR(4*STDEVP(終値!S301:AL301)/AVERAGE(終値!S301:AL301),""))</f>
      </c>
      <c r="Q301" s="684">
        <f>IF(終値!A301="","",IFERROR(4*STDEVP(終値!T301:AM301)/AVERAGE(終値!T301:AM301),""))</f>
      </c>
      <c r="R301" s="684">
        <f>IF(終値!A301="","",IFERROR(4*STDEVP(終値!U301:AN301)/AVERAGE(終値!U301:AN301),""))</f>
      </c>
      <c r="S301" s="684">
        <f>IF(終値!A301="","",IFERROR(4*STDEVP(終値!V301:AO301)/AVERAGE(終値!V301:AO301),""))</f>
      </c>
      <c r="T301" s="684">
        <f>IF(終値!A301="","",IFERROR(4*STDEVP(終値!W301:AP301)/AVERAGE(終値!W301:AP301),""))</f>
      </c>
      <c r="U301" s="684">
        <f>IF(終値!A301="","",IFERROR(4*STDEVP(終値!X301:AQ301)/AVERAGE(終値!X301:AQ301),""))</f>
      </c>
      <c r="V301" s="684">
        <f>IF(終値!A301="","",IFERROR(4*STDEVP(終値!Y301:AR301)/AVERAGE(終値!Y301:AR301),""))</f>
      </c>
      <c r="W301" s="684">
        <f>IF(終値!A301="","",IFERROR(4*STDEVP(終値!Z301:AS301)/AVERAGE(終値!Z301:AS301),""))</f>
      </c>
      <c r="X301" s="684">
        <f>IF(終値!A301="","",IFERROR(4*STDEVP(終値!AA301:AT301)/AVERAGE(終値!AA301:AT301),""))</f>
      </c>
      <c r="Y301" s="684">
        <f>IF(終値!A301="","",IFERROR(4*STDEVP(終値!AB301:AU301)/AVERAGE(終値!AB301:AU301),""))</f>
      </c>
      <c r="Z301" s="684">
        <f>IF(終値!A301="","",IFERROR(4*STDEVP(終値!AC301:AV301)/AVERAGE(終値!AC301:AV301),""))</f>
      </c>
      <c r="AA301" s="684">
        <f>IF(終値!A301="","",IFERROR(4*STDEVP(終値!AD301:AW301)/AVERAGE(終値!AD301:AW301),""))</f>
      </c>
      <c r="AB301" s="684">
        <f>IF(終値!A301="","",IFERROR(4*STDEVP(終値!AE301:AX301)/AVERAGE(終値!AE301:AX301),""))</f>
      </c>
      <c r="AC301" s="684">
        <f>IF(終値!A301="","",IFERROR(4*STDEVP(終値!AF301:AY301)/AVERAGE(終値!AF301:AY301),""))</f>
      </c>
      <c r="AD301" s="684">
        <f>IF(終値!A301="","",IFERROR(4*STDEVP(終値!AG301:AZ301)/AVERAGE(終値!AG301:AZ301),""))</f>
      </c>
      <c r="AE301" s="684">
        <f>IF(終値!A301="","",IFERROR(4*STDEVP(終値!AH301:BA301)/AVERAGE(終値!AH301:BA301),""))</f>
      </c>
      <c r="AF301" s="684">
        <f>IF(終値!A301="","",IFERROR(4*STDEVP(終値!AI301:BB301)/AVERAGE(終値!AI301:BB301),""))</f>
      </c>
      <c r="AG301" s="684">
        <f>IF(終値!A301="","",IFERROR(4*STDEVP(終値!AJ301:BC301)/AVERAGE(終値!AJ301:BC301),""))</f>
      </c>
      <c r="AH301" s="684">
        <f>IF(終値!A301="","",IFERROR(4*STDEVP(終値!AK301:BD301)/AVERAGE(終値!AK301:BD301),""))</f>
      </c>
      <c r="AI301" s="684">
        <f>IF(終値!A301="","",IFERROR(4*STDEVP(終値!AL301:BE301)/AVERAGE(終値!AL301:BE301),""))</f>
      </c>
      <c r="AJ301" s="684">
        <f>IF(終値!A301="","",IFERROR(4*STDEVP(終値!AM301:BF301)/AVERAGE(終値!AM301:BF301),""))</f>
      </c>
      <c r="AK301" s="684">
        <f>IF(終値!A301="","",IFERROR(4*STDEVP(終値!AN301:BG301)/AVERAGE(終値!AN301:BG301),""))</f>
      </c>
      <c r="AL301" s="684">
        <f>IF(終値!A301="","",IFERROR(4*STDEVP(終値!AO301:BH301)/AVERAGE(終値!AO301:BH301),""))</f>
      </c>
      <c r="AM301" s="684">
        <f>IF(終値!A301="","",IFERROR(4*STDEVP(終値!AP301:BI301)/AVERAGE(終値!AP301:BI301),""))</f>
      </c>
      <c r="AN301" s="684">
        <f>IF(終値!A301="","",IFERROR(4*STDEVP(終値!AQ301:BJ301)/AVERAGE(終値!AQ301:BJ301),""))</f>
      </c>
      <c r="AO301" s="684">
        <f>IF(終値!A301="","",IFERROR(4*STDEVP(終値!AR301:BK301)/AVERAGE(終値!AR301:BK301),""))</f>
      </c>
      <c r="AP301" s="684">
        <f>IF(終値!A301="","",IFERROR(4*STDEVP(終値!AS301:BL301)/AVERAGE(終値!AS301:BL301),""))</f>
      </c>
    </row>
    <row r="302">
      <c r="A302" s="681">
        <f>IF(終値!A302="","",終値!A302)</f>
      </c>
      <c r="B302" s="684">
        <f>IF(終値!A302="","",IFERROR(4*STDEVP(終値!E302:X302)/AVERAGE(終値!E302:X302),""))</f>
      </c>
      <c r="C302" s="684">
        <f>IF(終値!A302="","",IFERROR(4*STDEVP(終値!F302:Y302)/AVERAGE(終値!F302:Y302),""))</f>
      </c>
      <c r="D302" s="684">
        <f>IF(終値!A302="","",IFERROR(4*STDEVP(終値!G302:Z302)/AVERAGE(終値!G302:Z302),""))</f>
      </c>
      <c r="E302" s="684">
        <f>IF(終値!A302="","",IFERROR(4*STDEVP(終値!H302:AA302)/AVERAGE(終値!H302:AA302),""))</f>
      </c>
      <c r="F302" s="684">
        <f>IF(終値!A302="","",IFERROR(4*STDEVP(終値!I302:AB302)/AVERAGE(終値!I302:AB302),""))</f>
      </c>
      <c r="G302" s="684">
        <f>IF(終値!A302="","",IFERROR(4*STDEVP(終値!J302:AC302)/AVERAGE(終値!J302:AC302),""))</f>
      </c>
      <c r="H302" s="684">
        <f>IF(終値!A302="","",IFERROR(4*STDEVP(終値!K302:AD302)/AVERAGE(終値!K302:AD302),""))</f>
      </c>
      <c r="I302" s="684">
        <f>IF(終値!A302="","",IFERROR(4*STDEVP(終値!L302:AE302)/AVERAGE(終値!L302:AE302),""))</f>
      </c>
      <c r="J302" s="684">
        <f>IF(終値!A302="","",IFERROR(4*STDEVP(終値!M302:AF302)/AVERAGE(終値!M302:AF302),""))</f>
      </c>
      <c r="K302" s="684">
        <f>IF(終値!A302="","",IFERROR(4*STDEVP(終値!N302:AG302)/AVERAGE(終値!N302:AG302),""))</f>
      </c>
      <c r="L302" s="684">
        <f>IF(終値!A302="","",IFERROR(4*STDEVP(終値!O302:AH302)/AVERAGE(終値!O302:AH302),""))</f>
      </c>
      <c r="M302" s="684">
        <f>IF(終値!A302="","",IFERROR(4*STDEVP(終値!P302:AI302)/AVERAGE(終値!P302:AI302),""))</f>
      </c>
      <c r="N302" s="684">
        <f>IF(終値!A302="","",IFERROR(4*STDEVP(終値!Q302:AJ302)/AVERAGE(終値!Q302:AJ302),""))</f>
      </c>
      <c r="O302" s="684">
        <f>IF(終値!A302="","",IFERROR(4*STDEVP(終値!R302:AK302)/AVERAGE(終値!R302:AK302),""))</f>
      </c>
      <c r="P302" s="684">
        <f>IF(終値!A302="","",IFERROR(4*STDEVP(終値!S302:AL302)/AVERAGE(終値!S302:AL302),""))</f>
      </c>
      <c r="Q302" s="684">
        <f>IF(終値!A302="","",IFERROR(4*STDEVP(終値!T302:AM302)/AVERAGE(終値!T302:AM302),""))</f>
      </c>
      <c r="R302" s="684">
        <f>IF(終値!A302="","",IFERROR(4*STDEVP(終値!U302:AN302)/AVERAGE(終値!U302:AN302),""))</f>
      </c>
      <c r="S302" s="684">
        <f>IF(終値!A302="","",IFERROR(4*STDEVP(終値!V302:AO302)/AVERAGE(終値!V302:AO302),""))</f>
      </c>
      <c r="T302" s="684">
        <f>IF(終値!A302="","",IFERROR(4*STDEVP(終値!W302:AP302)/AVERAGE(終値!W302:AP302),""))</f>
      </c>
      <c r="U302" s="684">
        <f>IF(終値!A302="","",IFERROR(4*STDEVP(終値!X302:AQ302)/AVERAGE(終値!X302:AQ302),""))</f>
      </c>
      <c r="V302" s="684">
        <f>IF(終値!A302="","",IFERROR(4*STDEVP(終値!Y302:AR302)/AVERAGE(終値!Y302:AR302),""))</f>
      </c>
      <c r="W302" s="684">
        <f>IF(終値!A302="","",IFERROR(4*STDEVP(終値!Z302:AS302)/AVERAGE(終値!Z302:AS302),""))</f>
      </c>
      <c r="X302" s="684">
        <f>IF(終値!A302="","",IFERROR(4*STDEVP(終値!AA302:AT302)/AVERAGE(終値!AA302:AT302),""))</f>
      </c>
      <c r="Y302" s="684">
        <f>IF(終値!A302="","",IFERROR(4*STDEVP(終値!AB302:AU302)/AVERAGE(終値!AB302:AU302),""))</f>
      </c>
      <c r="Z302" s="684">
        <f>IF(終値!A302="","",IFERROR(4*STDEVP(終値!AC302:AV302)/AVERAGE(終値!AC302:AV302),""))</f>
      </c>
      <c r="AA302" s="684">
        <f>IF(終値!A302="","",IFERROR(4*STDEVP(終値!AD302:AW302)/AVERAGE(終値!AD302:AW302),""))</f>
      </c>
      <c r="AB302" s="684">
        <f>IF(終値!A302="","",IFERROR(4*STDEVP(終値!AE302:AX302)/AVERAGE(終値!AE302:AX302),""))</f>
      </c>
      <c r="AC302" s="684">
        <f>IF(終値!A302="","",IFERROR(4*STDEVP(終値!AF302:AY302)/AVERAGE(終値!AF302:AY302),""))</f>
      </c>
      <c r="AD302" s="684">
        <f>IF(終値!A302="","",IFERROR(4*STDEVP(終値!AG302:AZ302)/AVERAGE(終値!AG302:AZ302),""))</f>
      </c>
      <c r="AE302" s="684">
        <f>IF(終値!A302="","",IFERROR(4*STDEVP(終値!AH302:BA302)/AVERAGE(終値!AH302:BA302),""))</f>
      </c>
      <c r="AF302" s="684">
        <f>IF(終値!A302="","",IFERROR(4*STDEVP(終値!AI302:BB302)/AVERAGE(終値!AI302:BB302),""))</f>
      </c>
      <c r="AG302" s="684">
        <f>IF(終値!A302="","",IFERROR(4*STDEVP(終値!AJ302:BC302)/AVERAGE(終値!AJ302:BC302),""))</f>
      </c>
      <c r="AH302" s="684">
        <f>IF(終値!A302="","",IFERROR(4*STDEVP(終値!AK302:BD302)/AVERAGE(終値!AK302:BD302),""))</f>
      </c>
      <c r="AI302" s="684">
        <f>IF(終値!A302="","",IFERROR(4*STDEVP(終値!AL302:BE302)/AVERAGE(終値!AL302:BE302),""))</f>
      </c>
      <c r="AJ302" s="684">
        <f>IF(終値!A302="","",IFERROR(4*STDEVP(終値!AM302:BF302)/AVERAGE(終値!AM302:BF302),""))</f>
      </c>
      <c r="AK302" s="684">
        <f>IF(終値!A302="","",IFERROR(4*STDEVP(終値!AN302:BG302)/AVERAGE(終値!AN302:BG302),""))</f>
      </c>
      <c r="AL302" s="684">
        <f>IF(終値!A302="","",IFERROR(4*STDEVP(終値!AO302:BH302)/AVERAGE(終値!AO302:BH302),""))</f>
      </c>
      <c r="AM302" s="684">
        <f>IF(終値!A302="","",IFERROR(4*STDEVP(終値!AP302:BI302)/AVERAGE(終値!AP302:BI302),""))</f>
      </c>
      <c r="AN302" s="684">
        <f>IF(終値!A302="","",IFERROR(4*STDEVP(終値!AQ302:BJ302)/AVERAGE(終値!AQ302:BJ302),""))</f>
      </c>
      <c r="AO302" s="684">
        <f>IF(終値!A302="","",IFERROR(4*STDEVP(終値!AR302:BK302)/AVERAGE(終値!AR302:BK302),""))</f>
      </c>
      <c r="AP302" s="684">
        <f>IF(終値!A302="","",IFERROR(4*STDEVP(終値!AS302:BL302)/AVERAGE(終値!AS302:BL302),""))</f>
      </c>
    </row>
    <row r="303">
      <c r="A303" s="681">
        <f>IF(終値!A303="","",終値!A303)</f>
      </c>
      <c r="B303" s="684">
        <f>IF(終値!A303="","",IFERROR(4*STDEVP(終値!E303:X303)/AVERAGE(終値!E303:X303),""))</f>
      </c>
      <c r="C303" s="684">
        <f>IF(終値!A303="","",IFERROR(4*STDEVP(終値!F303:Y303)/AVERAGE(終値!F303:Y303),""))</f>
      </c>
      <c r="D303" s="684">
        <f>IF(終値!A303="","",IFERROR(4*STDEVP(終値!G303:Z303)/AVERAGE(終値!G303:Z303),""))</f>
      </c>
      <c r="E303" s="684">
        <f>IF(終値!A303="","",IFERROR(4*STDEVP(終値!H303:AA303)/AVERAGE(終値!H303:AA303),""))</f>
      </c>
      <c r="F303" s="684">
        <f>IF(終値!A303="","",IFERROR(4*STDEVP(終値!I303:AB303)/AVERAGE(終値!I303:AB303),""))</f>
      </c>
      <c r="G303" s="684">
        <f>IF(終値!A303="","",IFERROR(4*STDEVP(終値!J303:AC303)/AVERAGE(終値!J303:AC303),""))</f>
      </c>
      <c r="H303" s="684">
        <f>IF(終値!A303="","",IFERROR(4*STDEVP(終値!K303:AD303)/AVERAGE(終値!K303:AD303),""))</f>
      </c>
      <c r="I303" s="684">
        <f>IF(終値!A303="","",IFERROR(4*STDEVP(終値!L303:AE303)/AVERAGE(終値!L303:AE303),""))</f>
      </c>
      <c r="J303" s="684">
        <f>IF(終値!A303="","",IFERROR(4*STDEVP(終値!M303:AF303)/AVERAGE(終値!M303:AF303),""))</f>
      </c>
      <c r="K303" s="684">
        <f>IF(終値!A303="","",IFERROR(4*STDEVP(終値!N303:AG303)/AVERAGE(終値!N303:AG303),""))</f>
      </c>
      <c r="L303" s="684">
        <f>IF(終値!A303="","",IFERROR(4*STDEVP(終値!O303:AH303)/AVERAGE(終値!O303:AH303),""))</f>
      </c>
      <c r="M303" s="684">
        <f>IF(終値!A303="","",IFERROR(4*STDEVP(終値!P303:AI303)/AVERAGE(終値!P303:AI303),""))</f>
      </c>
      <c r="N303" s="684">
        <f>IF(終値!A303="","",IFERROR(4*STDEVP(終値!Q303:AJ303)/AVERAGE(終値!Q303:AJ303),""))</f>
      </c>
      <c r="O303" s="684">
        <f>IF(終値!A303="","",IFERROR(4*STDEVP(終値!R303:AK303)/AVERAGE(終値!R303:AK303),""))</f>
      </c>
      <c r="P303" s="684">
        <f>IF(終値!A303="","",IFERROR(4*STDEVP(終値!S303:AL303)/AVERAGE(終値!S303:AL303),""))</f>
      </c>
      <c r="Q303" s="684">
        <f>IF(終値!A303="","",IFERROR(4*STDEVP(終値!T303:AM303)/AVERAGE(終値!T303:AM303),""))</f>
      </c>
      <c r="R303" s="684">
        <f>IF(終値!A303="","",IFERROR(4*STDEVP(終値!U303:AN303)/AVERAGE(終値!U303:AN303),""))</f>
      </c>
      <c r="S303" s="684">
        <f>IF(終値!A303="","",IFERROR(4*STDEVP(終値!V303:AO303)/AVERAGE(終値!V303:AO303),""))</f>
      </c>
      <c r="T303" s="684">
        <f>IF(終値!A303="","",IFERROR(4*STDEVP(終値!W303:AP303)/AVERAGE(終値!W303:AP303),""))</f>
      </c>
      <c r="U303" s="684">
        <f>IF(終値!A303="","",IFERROR(4*STDEVP(終値!X303:AQ303)/AVERAGE(終値!X303:AQ303),""))</f>
      </c>
      <c r="V303" s="684">
        <f>IF(終値!A303="","",IFERROR(4*STDEVP(終値!Y303:AR303)/AVERAGE(終値!Y303:AR303),""))</f>
      </c>
      <c r="W303" s="684">
        <f>IF(終値!A303="","",IFERROR(4*STDEVP(終値!Z303:AS303)/AVERAGE(終値!Z303:AS303),""))</f>
      </c>
      <c r="X303" s="684">
        <f>IF(終値!A303="","",IFERROR(4*STDEVP(終値!AA303:AT303)/AVERAGE(終値!AA303:AT303),""))</f>
      </c>
      <c r="Y303" s="684">
        <f>IF(終値!A303="","",IFERROR(4*STDEVP(終値!AB303:AU303)/AVERAGE(終値!AB303:AU303),""))</f>
      </c>
      <c r="Z303" s="684">
        <f>IF(終値!A303="","",IFERROR(4*STDEVP(終値!AC303:AV303)/AVERAGE(終値!AC303:AV303),""))</f>
      </c>
      <c r="AA303" s="684">
        <f>IF(終値!A303="","",IFERROR(4*STDEVP(終値!AD303:AW303)/AVERAGE(終値!AD303:AW303),""))</f>
      </c>
      <c r="AB303" s="684">
        <f>IF(終値!A303="","",IFERROR(4*STDEVP(終値!AE303:AX303)/AVERAGE(終値!AE303:AX303),""))</f>
      </c>
      <c r="AC303" s="684">
        <f>IF(終値!A303="","",IFERROR(4*STDEVP(終値!AF303:AY303)/AVERAGE(終値!AF303:AY303),""))</f>
      </c>
      <c r="AD303" s="684">
        <f>IF(終値!A303="","",IFERROR(4*STDEVP(終値!AG303:AZ303)/AVERAGE(終値!AG303:AZ303),""))</f>
      </c>
      <c r="AE303" s="684">
        <f>IF(終値!A303="","",IFERROR(4*STDEVP(終値!AH303:BA303)/AVERAGE(終値!AH303:BA303),""))</f>
      </c>
      <c r="AF303" s="684">
        <f>IF(終値!A303="","",IFERROR(4*STDEVP(終値!AI303:BB303)/AVERAGE(終値!AI303:BB303),""))</f>
      </c>
      <c r="AG303" s="684">
        <f>IF(終値!A303="","",IFERROR(4*STDEVP(終値!AJ303:BC303)/AVERAGE(終値!AJ303:BC303),""))</f>
      </c>
      <c r="AH303" s="684">
        <f>IF(終値!A303="","",IFERROR(4*STDEVP(終値!AK303:BD303)/AVERAGE(終値!AK303:BD303),""))</f>
      </c>
      <c r="AI303" s="684">
        <f>IF(終値!A303="","",IFERROR(4*STDEVP(終値!AL303:BE303)/AVERAGE(終値!AL303:BE303),""))</f>
      </c>
      <c r="AJ303" s="684">
        <f>IF(終値!A303="","",IFERROR(4*STDEVP(終値!AM303:BF303)/AVERAGE(終値!AM303:BF303),""))</f>
      </c>
      <c r="AK303" s="684">
        <f>IF(終値!A303="","",IFERROR(4*STDEVP(終値!AN303:BG303)/AVERAGE(終値!AN303:BG303),""))</f>
      </c>
      <c r="AL303" s="684">
        <f>IF(終値!A303="","",IFERROR(4*STDEVP(終値!AO303:BH303)/AVERAGE(終値!AO303:BH303),""))</f>
      </c>
      <c r="AM303" s="684">
        <f>IF(終値!A303="","",IFERROR(4*STDEVP(終値!AP303:BI303)/AVERAGE(終値!AP303:BI303),""))</f>
      </c>
      <c r="AN303" s="684">
        <f>IF(終値!A303="","",IFERROR(4*STDEVP(終値!AQ303:BJ303)/AVERAGE(終値!AQ303:BJ303),""))</f>
      </c>
      <c r="AO303" s="684">
        <f>IF(終値!A303="","",IFERROR(4*STDEVP(終値!AR303:BK303)/AVERAGE(終値!AR303:BK303),""))</f>
      </c>
      <c r="AP303" s="684">
        <f>IF(終値!A303="","",IFERROR(4*STDEVP(終値!AS303:BL303)/AVERAGE(終値!AS303:BL303),""))</f>
      </c>
    </row>
    <row r="304">
      <c r="A304" s="681">
        <f>IF(終値!A304="","",終値!A304)</f>
      </c>
      <c r="B304" s="684">
        <f>IF(終値!A304="","",IFERROR(4*STDEVP(終値!E304:X304)/AVERAGE(終値!E304:X304),""))</f>
      </c>
      <c r="C304" s="684">
        <f>IF(終値!A304="","",IFERROR(4*STDEVP(終値!F304:Y304)/AVERAGE(終値!F304:Y304),""))</f>
      </c>
      <c r="D304" s="684">
        <f>IF(終値!A304="","",IFERROR(4*STDEVP(終値!G304:Z304)/AVERAGE(終値!G304:Z304),""))</f>
      </c>
      <c r="E304" s="684">
        <f>IF(終値!A304="","",IFERROR(4*STDEVP(終値!H304:AA304)/AVERAGE(終値!H304:AA304),""))</f>
      </c>
      <c r="F304" s="684">
        <f>IF(終値!A304="","",IFERROR(4*STDEVP(終値!I304:AB304)/AVERAGE(終値!I304:AB304),""))</f>
      </c>
      <c r="G304" s="684">
        <f>IF(終値!A304="","",IFERROR(4*STDEVP(終値!J304:AC304)/AVERAGE(終値!J304:AC304),""))</f>
      </c>
      <c r="H304" s="684">
        <f>IF(終値!A304="","",IFERROR(4*STDEVP(終値!K304:AD304)/AVERAGE(終値!K304:AD304),""))</f>
      </c>
      <c r="I304" s="684">
        <f>IF(終値!A304="","",IFERROR(4*STDEVP(終値!L304:AE304)/AVERAGE(終値!L304:AE304),""))</f>
      </c>
      <c r="J304" s="684">
        <f>IF(終値!A304="","",IFERROR(4*STDEVP(終値!M304:AF304)/AVERAGE(終値!M304:AF304),""))</f>
      </c>
      <c r="K304" s="684">
        <f>IF(終値!A304="","",IFERROR(4*STDEVP(終値!N304:AG304)/AVERAGE(終値!N304:AG304),""))</f>
      </c>
      <c r="L304" s="684">
        <f>IF(終値!A304="","",IFERROR(4*STDEVP(終値!O304:AH304)/AVERAGE(終値!O304:AH304),""))</f>
      </c>
      <c r="M304" s="684">
        <f>IF(終値!A304="","",IFERROR(4*STDEVP(終値!P304:AI304)/AVERAGE(終値!P304:AI304),""))</f>
      </c>
      <c r="N304" s="684">
        <f>IF(終値!A304="","",IFERROR(4*STDEVP(終値!Q304:AJ304)/AVERAGE(終値!Q304:AJ304),""))</f>
      </c>
      <c r="O304" s="684">
        <f>IF(終値!A304="","",IFERROR(4*STDEVP(終値!R304:AK304)/AVERAGE(終値!R304:AK304),""))</f>
      </c>
      <c r="P304" s="684">
        <f>IF(終値!A304="","",IFERROR(4*STDEVP(終値!S304:AL304)/AVERAGE(終値!S304:AL304),""))</f>
      </c>
      <c r="Q304" s="684">
        <f>IF(終値!A304="","",IFERROR(4*STDEVP(終値!T304:AM304)/AVERAGE(終値!T304:AM304),""))</f>
      </c>
      <c r="R304" s="684">
        <f>IF(終値!A304="","",IFERROR(4*STDEVP(終値!U304:AN304)/AVERAGE(終値!U304:AN304),""))</f>
      </c>
      <c r="S304" s="684">
        <f>IF(終値!A304="","",IFERROR(4*STDEVP(終値!V304:AO304)/AVERAGE(終値!V304:AO304),""))</f>
      </c>
      <c r="T304" s="684">
        <f>IF(終値!A304="","",IFERROR(4*STDEVP(終値!W304:AP304)/AVERAGE(終値!W304:AP304),""))</f>
      </c>
      <c r="U304" s="684">
        <f>IF(終値!A304="","",IFERROR(4*STDEVP(終値!X304:AQ304)/AVERAGE(終値!X304:AQ304),""))</f>
      </c>
      <c r="V304" s="684">
        <f>IF(終値!A304="","",IFERROR(4*STDEVP(終値!Y304:AR304)/AVERAGE(終値!Y304:AR304),""))</f>
      </c>
      <c r="W304" s="684">
        <f>IF(終値!A304="","",IFERROR(4*STDEVP(終値!Z304:AS304)/AVERAGE(終値!Z304:AS304),""))</f>
      </c>
      <c r="X304" s="684">
        <f>IF(終値!A304="","",IFERROR(4*STDEVP(終値!AA304:AT304)/AVERAGE(終値!AA304:AT304),""))</f>
      </c>
      <c r="Y304" s="684">
        <f>IF(終値!A304="","",IFERROR(4*STDEVP(終値!AB304:AU304)/AVERAGE(終値!AB304:AU304),""))</f>
      </c>
      <c r="Z304" s="684">
        <f>IF(終値!A304="","",IFERROR(4*STDEVP(終値!AC304:AV304)/AVERAGE(終値!AC304:AV304),""))</f>
      </c>
      <c r="AA304" s="684">
        <f>IF(終値!A304="","",IFERROR(4*STDEVP(終値!AD304:AW304)/AVERAGE(終値!AD304:AW304),""))</f>
      </c>
      <c r="AB304" s="684">
        <f>IF(終値!A304="","",IFERROR(4*STDEVP(終値!AE304:AX304)/AVERAGE(終値!AE304:AX304),""))</f>
      </c>
      <c r="AC304" s="684">
        <f>IF(終値!A304="","",IFERROR(4*STDEVP(終値!AF304:AY304)/AVERAGE(終値!AF304:AY304),""))</f>
      </c>
      <c r="AD304" s="684">
        <f>IF(終値!A304="","",IFERROR(4*STDEVP(終値!AG304:AZ304)/AVERAGE(終値!AG304:AZ304),""))</f>
      </c>
      <c r="AE304" s="684">
        <f>IF(終値!A304="","",IFERROR(4*STDEVP(終値!AH304:BA304)/AVERAGE(終値!AH304:BA304),""))</f>
      </c>
      <c r="AF304" s="684">
        <f>IF(終値!A304="","",IFERROR(4*STDEVP(終値!AI304:BB304)/AVERAGE(終値!AI304:BB304),""))</f>
      </c>
      <c r="AG304" s="684">
        <f>IF(終値!A304="","",IFERROR(4*STDEVP(終値!AJ304:BC304)/AVERAGE(終値!AJ304:BC304),""))</f>
      </c>
      <c r="AH304" s="684">
        <f>IF(終値!A304="","",IFERROR(4*STDEVP(終値!AK304:BD304)/AVERAGE(終値!AK304:BD304),""))</f>
      </c>
      <c r="AI304" s="684">
        <f>IF(終値!A304="","",IFERROR(4*STDEVP(終値!AL304:BE304)/AVERAGE(終値!AL304:BE304),""))</f>
      </c>
      <c r="AJ304" s="684">
        <f>IF(終値!A304="","",IFERROR(4*STDEVP(終値!AM304:BF304)/AVERAGE(終値!AM304:BF304),""))</f>
      </c>
      <c r="AK304" s="684">
        <f>IF(終値!A304="","",IFERROR(4*STDEVP(終値!AN304:BG304)/AVERAGE(終値!AN304:BG304),""))</f>
      </c>
      <c r="AL304" s="684">
        <f>IF(終値!A304="","",IFERROR(4*STDEVP(終値!AO304:BH304)/AVERAGE(終値!AO304:BH304),""))</f>
      </c>
      <c r="AM304" s="684">
        <f>IF(終値!A304="","",IFERROR(4*STDEVP(終値!AP304:BI304)/AVERAGE(終値!AP304:BI304),""))</f>
      </c>
      <c r="AN304" s="684">
        <f>IF(終値!A304="","",IFERROR(4*STDEVP(終値!AQ304:BJ304)/AVERAGE(終値!AQ304:BJ304),""))</f>
      </c>
      <c r="AO304" s="684">
        <f>IF(終値!A304="","",IFERROR(4*STDEVP(終値!AR304:BK304)/AVERAGE(終値!AR304:BK304),""))</f>
      </c>
      <c r="AP304" s="684">
        <f>IF(終値!A304="","",IFERROR(4*STDEVP(終値!AS304:BL304)/AVERAGE(終値!AS304:BL304),""))</f>
      </c>
    </row>
    <row r="305">
      <c r="A305" s="681">
        <f>IF(終値!A305="","",終値!A305)</f>
      </c>
      <c r="B305" s="684">
        <f>IF(終値!A305="","",IFERROR(4*STDEVP(終値!E305:X305)/AVERAGE(終値!E305:X305),""))</f>
      </c>
      <c r="C305" s="684">
        <f>IF(終値!A305="","",IFERROR(4*STDEVP(終値!F305:Y305)/AVERAGE(終値!F305:Y305),""))</f>
      </c>
      <c r="D305" s="684">
        <f>IF(終値!A305="","",IFERROR(4*STDEVP(終値!G305:Z305)/AVERAGE(終値!G305:Z305),""))</f>
      </c>
      <c r="E305" s="684">
        <f>IF(終値!A305="","",IFERROR(4*STDEVP(終値!H305:AA305)/AVERAGE(終値!H305:AA305),""))</f>
      </c>
      <c r="F305" s="684">
        <f>IF(終値!A305="","",IFERROR(4*STDEVP(終値!I305:AB305)/AVERAGE(終値!I305:AB305),""))</f>
      </c>
      <c r="G305" s="684">
        <f>IF(終値!A305="","",IFERROR(4*STDEVP(終値!J305:AC305)/AVERAGE(終値!J305:AC305),""))</f>
      </c>
      <c r="H305" s="684">
        <f>IF(終値!A305="","",IFERROR(4*STDEVP(終値!K305:AD305)/AVERAGE(終値!K305:AD305),""))</f>
      </c>
      <c r="I305" s="684">
        <f>IF(終値!A305="","",IFERROR(4*STDEVP(終値!L305:AE305)/AVERAGE(終値!L305:AE305),""))</f>
      </c>
      <c r="J305" s="684">
        <f>IF(終値!A305="","",IFERROR(4*STDEVP(終値!M305:AF305)/AVERAGE(終値!M305:AF305),""))</f>
      </c>
      <c r="K305" s="684">
        <f>IF(終値!A305="","",IFERROR(4*STDEVP(終値!N305:AG305)/AVERAGE(終値!N305:AG305),""))</f>
      </c>
      <c r="L305" s="684">
        <f>IF(終値!A305="","",IFERROR(4*STDEVP(終値!O305:AH305)/AVERAGE(終値!O305:AH305),""))</f>
      </c>
      <c r="M305" s="684">
        <f>IF(終値!A305="","",IFERROR(4*STDEVP(終値!P305:AI305)/AVERAGE(終値!P305:AI305),""))</f>
      </c>
      <c r="N305" s="684">
        <f>IF(終値!A305="","",IFERROR(4*STDEVP(終値!Q305:AJ305)/AVERAGE(終値!Q305:AJ305),""))</f>
      </c>
      <c r="O305" s="684">
        <f>IF(終値!A305="","",IFERROR(4*STDEVP(終値!R305:AK305)/AVERAGE(終値!R305:AK305),""))</f>
      </c>
      <c r="P305" s="684">
        <f>IF(終値!A305="","",IFERROR(4*STDEVP(終値!S305:AL305)/AVERAGE(終値!S305:AL305),""))</f>
      </c>
      <c r="Q305" s="684">
        <f>IF(終値!A305="","",IFERROR(4*STDEVP(終値!T305:AM305)/AVERAGE(終値!T305:AM305),""))</f>
      </c>
      <c r="R305" s="684">
        <f>IF(終値!A305="","",IFERROR(4*STDEVP(終値!U305:AN305)/AVERAGE(終値!U305:AN305),""))</f>
      </c>
      <c r="S305" s="684">
        <f>IF(終値!A305="","",IFERROR(4*STDEVP(終値!V305:AO305)/AVERAGE(終値!V305:AO305),""))</f>
      </c>
      <c r="T305" s="684">
        <f>IF(終値!A305="","",IFERROR(4*STDEVP(終値!W305:AP305)/AVERAGE(終値!W305:AP305),""))</f>
      </c>
      <c r="U305" s="684">
        <f>IF(終値!A305="","",IFERROR(4*STDEVP(終値!X305:AQ305)/AVERAGE(終値!X305:AQ305),""))</f>
      </c>
      <c r="V305" s="684">
        <f>IF(終値!A305="","",IFERROR(4*STDEVP(終値!Y305:AR305)/AVERAGE(終値!Y305:AR305),""))</f>
      </c>
      <c r="W305" s="684">
        <f>IF(終値!A305="","",IFERROR(4*STDEVP(終値!Z305:AS305)/AVERAGE(終値!Z305:AS305),""))</f>
      </c>
      <c r="X305" s="684">
        <f>IF(終値!A305="","",IFERROR(4*STDEVP(終値!AA305:AT305)/AVERAGE(終値!AA305:AT305),""))</f>
      </c>
      <c r="Y305" s="684">
        <f>IF(終値!A305="","",IFERROR(4*STDEVP(終値!AB305:AU305)/AVERAGE(終値!AB305:AU305),""))</f>
      </c>
      <c r="Z305" s="684">
        <f>IF(終値!A305="","",IFERROR(4*STDEVP(終値!AC305:AV305)/AVERAGE(終値!AC305:AV305),""))</f>
      </c>
      <c r="AA305" s="684">
        <f>IF(終値!A305="","",IFERROR(4*STDEVP(終値!AD305:AW305)/AVERAGE(終値!AD305:AW305),""))</f>
      </c>
      <c r="AB305" s="684">
        <f>IF(終値!A305="","",IFERROR(4*STDEVP(終値!AE305:AX305)/AVERAGE(終値!AE305:AX305),""))</f>
      </c>
      <c r="AC305" s="684">
        <f>IF(終値!A305="","",IFERROR(4*STDEVP(終値!AF305:AY305)/AVERAGE(終値!AF305:AY305),""))</f>
      </c>
      <c r="AD305" s="684">
        <f>IF(終値!A305="","",IFERROR(4*STDEVP(終値!AG305:AZ305)/AVERAGE(終値!AG305:AZ305),""))</f>
      </c>
      <c r="AE305" s="684">
        <f>IF(終値!A305="","",IFERROR(4*STDEVP(終値!AH305:BA305)/AVERAGE(終値!AH305:BA305),""))</f>
      </c>
      <c r="AF305" s="684">
        <f>IF(終値!A305="","",IFERROR(4*STDEVP(終値!AI305:BB305)/AVERAGE(終値!AI305:BB305),""))</f>
      </c>
      <c r="AG305" s="684">
        <f>IF(終値!A305="","",IFERROR(4*STDEVP(終値!AJ305:BC305)/AVERAGE(終値!AJ305:BC305),""))</f>
      </c>
      <c r="AH305" s="684">
        <f>IF(終値!A305="","",IFERROR(4*STDEVP(終値!AK305:BD305)/AVERAGE(終値!AK305:BD305),""))</f>
      </c>
      <c r="AI305" s="684">
        <f>IF(終値!A305="","",IFERROR(4*STDEVP(終値!AL305:BE305)/AVERAGE(終値!AL305:BE305),""))</f>
      </c>
      <c r="AJ305" s="684">
        <f>IF(終値!A305="","",IFERROR(4*STDEVP(終値!AM305:BF305)/AVERAGE(終値!AM305:BF305),""))</f>
      </c>
      <c r="AK305" s="684">
        <f>IF(終値!A305="","",IFERROR(4*STDEVP(終値!AN305:BG305)/AVERAGE(終値!AN305:BG305),""))</f>
      </c>
      <c r="AL305" s="684">
        <f>IF(終値!A305="","",IFERROR(4*STDEVP(終値!AO305:BH305)/AVERAGE(終値!AO305:BH305),""))</f>
      </c>
      <c r="AM305" s="684">
        <f>IF(終値!A305="","",IFERROR(4*STDEVP(終値!AP305:BI305)/AVERAGE(終値!AP305:BI305),""))</f>
      </c>
      <c r="AN305" s="684">
        <f>IF(終値!A305="","",IFERROR(4*STDEVP(終値!AQ305:BJ305)/AVERAGE(終値!AQ305:BJ305),""))</f>
      </c>
      <c r="AO305" s="684">
        <f>IF(終値!A305="","",IFERROR(4*STDEVP(終値!AR305:BK305)/AVERAGE(終値!AR305:BK305),""))</f>
      </c>
      <c r="AP305" s="684">
        <f>IF(終値!A305="","",IFERROR(4*STDEVP(終値!AS305:BL305)/AVERAGE(終値!AS305:BL305),""))</f>
      </c>
    </row>
    <row r="306">
      <c r="A306" s="681">
        <f>IF(終値!A306="","",終値!A306)</f>
      </c>
      <c r="B306" s="684">
        <f>IF(終値!A306="","",IFERROR(4*STDEVP(終値!E306:X306)/AVERAGE(終値!E306:X306),""))</f>
      </c>
      <c r="C306" s="684">
        <f>IF(終値!A306="","",IFERROR(4*STDEVP(終値!F306:Y306)/AVERAGE(終値!F306:Y306),""))</f>
      </c>
      <c r="D306" s="684">
        <f>IF(終値!A306="","",IFERROR(4*STDEVP(終値!G306:Z306)/AVERAGE(終値!G306:Z306),""))</f>
      </c>
      <c r="E306" s="684">
        <f>IF(終値!A306="","",IFERROR(4*STDEVP(終値!H306:AA306)/AVERAGE(終値!H306:AA306),""))</f>
      </c>
      <c r="F306" s="684">
        <f>IF(終値!A306="","",IFERROR(4*STDEVP(終値!I306:AB306)/AVERAGE(終値!I306:AB306),""))</f>
      </c>
      <c r="G306" s="684">
        <f>IF(終値!A306="","",IFERROR(4*STDEVP(終値!J306:AC306)/AVERAGE(終値!J306:AC306),""))</f>
      </c>
      <c r="H306" s="684">
        <f>IF(終値!A306="","",IFERROR(4*STDEVP(終値!K306:AD306)/AVERAGE(終値!K306:AD306),""))</f>
      </c>
      <c r="I306" s="684">
        <f>IF(終値!A306="","",IFERROR(4*STDEVP(終値!L306:AE306)/AVERAGE(終値!L306:AE306),""))</f>
      </c>
      <c r="J306" s="684">
        <f>IF(終値!A306="","",IFERROR(4*STDEVP(終値!M306:AF306)/AVERAGE(終値!M306:AF306),""))</f>
      </c>
      <c r="K306" s="684">
        <f>IF(終値!A306="","",IFERROR(4*STDEVP(終値!N306:AG306)/AVERAGE(終値!N306:AG306),""))</f>
      </c>
      <c r="L306" s="684">
        <f>IF(終値!A306="","",IFERROR(4*STDEVP(終値!O306:AH306)/AVERAGE(終値!O306:AH306),""))</f>
      </c>
      <c r="M306" s="684">
        <f>IF(終値!A306="","",IFERROR(4*STDEVP(終値!P306:AI306)/AVERAGE(終値!P306:AI306),""))</f>
      </c>
      <c r="N306" s="684">
        <f>IF(終値!A306="","",IFERROR(4*STDEVP(終値!Q306:AJ306)/AVERAGE(終値!Q306:AJ306),""))</f>
      </c>
      <c r="O306" s="684">
        <f>IF(終値!A306="","",IFERROR(4*STDEVP(終値!R306:AK306)/AVERAGE(終値!R306:AK306),""))</f>
      </c>
      <c r="P306" s="684">
        <f>IF(終値!A306="","",IFERROR(4*STDEVP(終値!S306:AL306)/AVERAGE(終値!S306:AL306),""))</f>
      </c>
      <c r="Q306" s="684">
        <f>IF(終値!A306="","",IFERROR(4*STDEVP(終値!T306:AM306)/AVERAGE(終値!T306:AM306),""))</f>
      </c>
      <c r="R306" s="684">
        <f>IF(終値!A306="","",IFERROR(4*STDEVP(終値!U306:AN306)/AVERAGE(終値!U306:AN306),""))</f>
      </c>
      <c r="S306" s="684">
        <f>IF(終値!A306="","",IFERROR(4*STDEVP(終値!V306:AO306)/AVERAGE(終値!V306:AO306),""))</f>
      </c>
      <c r="T306" s="684">
        <f>IF(終値!A306="","",IFERROR(4*STDEVP(終値!W306:AP306)/AVERAGE(終値!W306:AP306),""))</f>
      </c>
      <c r="U306" s="684">
        <f>IF(終値!A306="","",IFERROR(4*STDEVP(終値!X306:AQ306)/AVERAGE(終値!X306:AQ306),""))</f>
      </c>
      <c r="V306" s="684">
        <f>IF(終値!A306="","",IFERROR(4*STDEVP(終値!Y306:AR306)/AVERAGE(終値!Y306:AR306),""))</f>
      </c>
      <c r="W306" s="684">
        <f>IF(終値!A306="","",IFERROR(4*STDEVP(終値!Z306:AS306)/AVERAGE(終値!Z306:AS306),""))</f>
      </c>
      <c r="X306" s="684">
        <f>IF(終値!A306="","",IFERROR(4*STDEVP(終値!AA306:AT306)/AVERAGE(終値!AA306:AT306),""))</f>
      </c>
      <c r="Y306" s="684">
        <f>IF(終値!A306="","",IFERROR(4*STDEVP(終値!AB306:AU306)/AVERAGE(終値!AB306:AU306),""))</f>
      </c>
      <c r="Z306" s="684">
        <f>IF(終値!A306="","",IFERROR(4*STDEVP(終値!AC306:AV306)/AVERAGE(終値!AC306:AV306),""))</f>
      </c>
      <c r="AA306" s="684">
        <f>IF(終値!A306="","",IFERROR(4*STDEVP(終値!AD306:AW306)/AVERAGE(終値!AD306:AW306),""))</f>
      </c>
      <c r="AB306" s="684">
        <f>IF(終値!A306="","",IFERROR(4*STDEVP(終値!AE306:AX306)/AVERAGE(終値!AE306:AX306),""))</f>
      </c>
      <c r="AC306" s="684">
        <f>IF(終値!A306="","",IFERROR(4*STDEVP(終値!AF306:AY306)/AVERAGE(終値!AF306:AY306),""))</f>
      </c>
      <c r="AD306" s="684">
        <f>IF(終値!A306="","",IFERROR(4*STDEVP(終値!AG306:AZ306)/AVERAGE(終値!AG306:AZ306),""))</f>
      </c>
      <c r="AE306" s="684">
        <f>IF(終値!A306="","",IFERROR(4*STDEVP(終値!AH306:BA306)/AVERAGE(終値!AH306:BA306),""))</f>
      </c>
      <c r="AF306" s="684">
        <f>IF(終値!A306="","",IFERROR(4*STDEVP(終値!AI306:BB306)/AVERAGE(終値!AI306:BB306),""))</f>
      </c>
      <c r="AG306" s="684">
        <f>IF(終値!A306="","",IFERROR(4*STDEVP(終値!AJ306:BC306)/AVERAGE(終値!AJ306:BC306),""))</f>
      </c>
      <c r="AH306" s="684">
        <f>IF(終値!A306="","",IFERROR(4*STDEVP(終値!AK306:BD306)/AVERAGE(終値!AK306:BD306),""))</f>
      </c>
      <c r="AI306" s="684">
        <f>IF(終値!A306="","",IFERROR(4*STDEVP(終値!AL306:BE306)/AVERAGE(終値!AL306:BE306),""))</f>
      </c>
      <c r="AJ306" s="684">
        <f>IF(終値!A306="","",IFERROR(4*STDEVP(終値!AM306:BF306)/AVERAGE(終値!AM306:BF306),""))</f>
      </c>
      <c r="AK306" s="684">
        <f>IF(終値!A306="","",IFERROR(4*STDEVP(終値!AN306:BG306)/AVERAGE(終値!AN306:BG306),""))</f>
      </c>
      <c r="AL306" s="684">
        <f>IF(終値!A306="","",IFERROR(4*STDEVP(終値!AO306:BH306)/AVERAGE(終値!AO306:BH306),""))</f>
      </c>
      <c r="AM306" s="684">
        <f>IF(終値!A306="","",IFERROR(4*STDEVP(終値!AP306:BI306)/AVERAGE(終値!AP306:BI306),""))</f>
      </c>
      <c r="AN306" s="684">
        <f>IF(終値!A306="","",IFERROR(4*STDEVP(終値!AQ306:BJ306)/AVERAGE(終値!AQ306:BJ306),""))</f>
      </c>
      <c r="AO306" s="684">
        <f>IF(終値!A306="","",IFERROR(4*STDEVP(終値!AR306:BK306)/AVERAGE(終値!AR306:BK306),""))</f>
      </c>
      <c r="AP306" s="684">
        <f>IF(終値!A306="","",IFERROR(4*STDEVP(終値!AS306:BL306)/AVERAGE(終値!AS306:BL306),""))</f>
      </c>
    </row>
    <row r="307">
      <c r="A307" s="681">
        <f>IF(終値!A307="","",終値!A307)</f>
      </c>
      <c r="B307" s="684">
        <f>IF(終値!A307="","",IFERROR(4*STDEVP(終値!E307:X307)/AVERAGE(終値!E307:X307),""))</f>
      </c>
      <c r="C307" s="684">
        <f>IF(終値!A307="","",IFERROR(4*STDEVP(終値!F307:Y307)/AVERAGE(終値!F307:Y307),""))</f>
      </c>
      <c r="D307" s="684">
        <f>IF(終値!A307="","",IFERROR(4*STDEVP(終値!G307:Z307)/AVERAGE(終値!G307:Z307),""))</f>
      </c>
      <c r="E307" s="684">
        <f>IF(終値!A307="","",IFERROR(4*STDEVP(終値!H307:AA307)/AVERAGE(終値!H307:AA307),""))</f>
      </c>
      <c r="F307" s="684">
        <f>IF(終値!A307="","",IFERROR(4*STDEVP(終値!I307:AB307)/AVERAGE(終値!I307:AB307),""))</f>
      </c>
      <c r="G307" s="684">
        <f>IF(終値!A307="","",IFERROR(4*STDEVP(終値!J307:AC307)/AVERAGE(終値!J307:AC307),""))</f>
      </c>
      <c r="H307" s="684">
        <f>IF(終値!A307="","",IFERROR(4*STDEVP(終値!K307:AD307)/AVERAGE(終値!K307:AD307),""))</f>
      </c>
      <c r="I307" s="684">
        <f>IF(終値!A307="","",IFERROR(4*STDEVP(終値!L307:AE307)/AVERAGE(終値!L307:AE307),""))</f>
      </c>
      <c r="J307" s="684">
        <f>IF(終値!A307="","",IFERROR(4*STDEVP(終値!M307:AF307)/AVERAGE(終値!M307:AF307),""))</f>
      </c>
      <c r="K307" s="684">
        <f>IF(終値!A307="","",IFERROR(4*STDEVP(終値!N307:AG307)/AVERAGE(終値!N307:AG307),""))</f>
      </c>
      <c r="L307" s="684">
        <f>IF(終値!A307="","",IFERROR(4*STDEVP(終値!O307:AH307)/AVERAGE(終値!O307:AH307),""))</f>
      </c>
      <c r="M307" s="684">
        <f>IF(終値!A307="","",IFERROR(4*STDEVP(終値!P307:AI307)/AVERAGE(終値!P307:AI307),""))</f>
      </c>
      <c r="N307" s="684">
        <f>IF(終値!A307="","",IFERROR(4*STDEVP(終値!Q307:AJ307)/AVERAGE(終値!Q307:AJ307),""))</f>
      </c>
      <c r="O307" s="684">
        <f>IF(終値!A307="","",IFERROR(4*STDEVP(終値!R307:AK307)/AVERAGE(終値!R307:AK307),""))</f>
      </c>
      <c r="P307" s="684">
        <f>IF(終値!A307="","",IFERROR(4*STDEVP(終値!S307:AL307)/AVERAGE(終値!S307:AL307),""))</f>
      </c>
      <c r="Q307" s="684">
        <f>IF(終値!A307="","",IFERROR(4*STDEVP(終値!T307:AM307)/AVERAGE(終値!T307:AM307),""))</f>
      </c>
      <c r="R307" s="684">
        <f>IF(終値!A307="","",IFERROR(4*STDEVP(終値!U307:AN307)/AVERAGE(終値!U307:AN307),""))</f>
      </c>
      <c r="S307" s="684">
        <f>IF(終値!A307="","",IFERROR(4*STDEVP(終値!V307:AO307)/AVERAGE(終値!V307:AO307),""))</f>
      </c>
      <c r="T307" s="684">
        <f>IF(終値!A307="","",IFERROR(4*STDEVP(終値!W307:AP307)/AVERAGE(終値!W307:AP307),""))</f>
      </c>
      <c r="U307" s="684">
        <f>IF(終値!A307="","",IFERROR(4*STDEVP(終値!X307:AQ307)/AVERAGE(終値!X307:AQ307),""))</f>
      </c>
      <c r="V307" s="684">
        <f>IF(終値!A307="","",IFERROR(4*STDEVP(終値!Y307:AR307)/AVERAGE(終値!Y307:AR307),""))</f>
      </c>
      <c r="W307" s="684">
        <f>IF(終値!A307="","",IFERROR(4*STDEVP(終値!Z307:AS307)/AVERAGE(終値!Z307:AS307),""))</f>
      </c>
      <c r="X307" s="684">
        <f>IF(終値!A307="","",IFERROR(4*STDEVP(終値!AA307:AT307)/AVERAGE(終値!AA307:AT307),""))</f>
      </c>
      <c r="Y307" s="684">
        <f>IF(終値!A307="","",IFERROR(4*STDEVP(終値!AB307:AU307)/AVERAGE(終値!AB307:AU307),""))</f>
      </c>
      <c r="Z307" s="684">
        <f>IF(終値!A307="","",IFERROR(4*STDEVP(終値!AC307:AV307)/AVERAGE(終値!AC307:AV307),""))</f>
      </c>
      <c r="AA307" s="684">
        <f>IF(終値!A307="","",IFERROR(4*STDEVP(終値!AD307:AW307)/AVERAGE(終値!AD307:AW307),""))</f>
      </c>
      <c r="AB307" s="684">
        <f>IF(終値!A307="","",IFERROR(4*STDEVP(終値!AE307:AX307)/AVERAGE(終値!AE307:AX307),""))</f>
      </c>
      <c r="AC307" s="684">
        <f>IF(終値!A307="","",IFERROR(4*STDEVP(終値!AF307:AY307)/AVERAGE(終値!AF307:AY307),""))</f>
      </c>
      <c r="AD307" s="684">
        <f>IF(終値!A307="","",IFERROR(4*STDEVP(終値!AG307:AZ307)/AVERAGE(終値!AG307:AZ307),""))</f>
      </c>
      <c r="AE307" s="684">
        <f>IF(終値!A307="","",IFERROR(4*STDEVP(終値!AH307:BA307)/AVERAGE(終値!AH307:BA307),""))</f>
      </c>
      <c r="AF307" s="684">
        <f>IF(終値!A307="","",IFERROR(4*STDEVP(終値!AI307:BB307)/AVERAGE(終値!AI307:BB307),""))</f>
      </c>
      <c r="AG307" s="684">
        <f>IF(終値!A307="","",IFERROR(4*STDEVP(終値!AJ307:BC307)/AVERAGE(終値!AJ307:BC307),""))</f>
      </c>
      <c r="AH307" s="684">
        <f>IF(終値!A307="","",IFERROR(4*STDEVP(終値!AK307:BD307)/AVERAGE(終値!AK307:BD307),""))</f>
      </c>
      <c r="AI307" s="684">
        <f>IF(終値!A307="","",IFERROR(4*STDEVP(終値!AL307:BE307)/AVERAGE(終値!AL307:BE307),""))</f>
      </c>
      <c r="AJ307" s="684">
        <f>IF(終値!A307="","",IFERROR(4*STDEVP(終値!AM307:BF307)/AVERAGE(終値!AM307:BF307),""))</f>
      </c>
      <c r="AK307" s="684">
        <f>IF(終値!A307="","",IFERROR(4*STDEVP(終値!AN307:BG307)/AVERAGE(終値!AN307:BG307),""))</f>
      </c>
      <c r="AL307" s="684">
        <f>IF(終値!A307="","",IFERROR(4*STDEVP(終値!AO307:BH307)/AVERAGE(終値!AO307:BH307),""))</f>
      </c>
      <c r="AM307" s="684">
        <f>IF(終値!A307="","",IFERROR(4*STDEVP(終値!AP307:BI307)/AVERAGE(終値!AP307:BI307),""))</f>
      </c>
      <c r="AN307" s="684">
        <f>IF(終値!A307="","",IFERROR(4*STDEVP(終値!AQ307:BJ307)/AVERAGE(終値!AQ307:BJ307),""))</f>
      </c>
      <c r="AO307" s="684">
        <f>IF(終値!A307="","",IFERROR(4*STDEVP(終値!AR307:BK307)/AVERAGE(終値!AR307:BK307),""))</f>
      </c>
      <c r="AP307" s="684">
        <f>IF(終値!A307="","",IFERROR(4*STDEVP(終値!AS307:BL307)/AVERAGE(終値!AS307:BL307),""))</f>
      </c>
    </row>
    <row r="308">
      <c r="A308" s="681">
        <f>IF(終値!A308="","",終値!A308)</f>
      </c>
      <c r="B308" s="684">
        <f>IF(終値!A308="","",IFERROR(4*STDEVP(終値!E308:X308)/AVERAGE(終値!E308:X308),""))</f>
      </c>
      <c r="C308" s="684">
        <f>IF(終値!A308="","",IFERROR(4*STDEVP(終値!F308:Y308)/AVERAGE(終値!F308:Y308),""))</f>
      </c>
      <c r="D308" s="684">
        <f>IF(終値!A308="","",IFERROR(4*STDEVP(終値!G308:Z308)/AVERAGE(終値!G308:Z308),""))</f>
      </c>
      <c r="E308" s="684">
        <f>IF(終値!A308="","",IFERROR(4*STDEVP(終値!H308:AA308)/AVERAGE(終値!H308:AA308),""))</f>
      </c>
      <c r="F308" s="684">
        <f>IF(終値!A308="","",IFERROR(4*STDEVP(終値!I308:AB308)/AVERAGE(終値!I308:AB308),""))</f>
      </c>
      <c r="G308" s="684">
        <f>IF(終値!A308="","",IFERROR(4*STDEVP(終値!J308:AC308)/AVERAGE(終値!J308:AC308),""))</f>
      </c>
      <c r="H308" s="684">
        <f>IF(終値!A308="","",IFERROR(4*STDEVP(終値!K308:AD308)/AVERAGE(終値!K308:AD308),""))</f>
      </c>
      <c r="I308" s="684">
        <f>IF(終値!A308="","",IFERROR(4*STDEVP(終値!L308:AE308)/AVERAGE(終値!L308:AE308),""))</f>
      </c>
      <c r="J308" s="684">
        <f>IF(終値!A308="","",IFERROR(4*STDEVP(終値!M308:AF308)/AVERAGE(終値!M308:AF308),""))</f>
      </c>
      <c r="K308" s="684">
        <f>IF(終値!A308="","",IFERROR(4*STDEVP(終値!N308:AG308)/AVERAGE(終値!N308:AG308),""))</f>
      </c>
      <c r="L308" s="684">
        <f>IF(終値!A308="","",IFERROR(4*STDEVP(終値!O308:AH308)/AVERAGE(終値!O308:AH308),""))</f>
      </c>
      <c r="M308" s="684">
        <f>IF(終値!A308="","",IFERROR(4*STDEVP(終値!P308:AI308)/AVERAGE(終値!P308:AI308),""))</f>
      </c>
      <c r="N308" s="684">
        <f>IF(終値!A308="","",IFERROR(4*STDEVP(終値!Q308:AJ308)/AVERAGE(終値!Q308:AJ308),""))</f>
      </c>
      <c r="O308" s="684">
        <f>IF(終値!A308="","",IFERROR(4*STDEVP(終値!R308:AK308)/AVERAGE(終値!R308:AK308),""))</f>
      </c>
      <c r="P308" s="684">
        <f>IF(終値!A308="","",IFERROR(4*STDEVP(終値!S308:AL308)/AVERAGE(終値!S308:AL308),""))</f>
      </c>
      <c r="Q308" s="684">
        <f>IF(終値!A308="","",IFERROR(4*STDEVP(終値!T308:AM308)/AVERAGE(終値!T308:AM308),""))</f>
      </c>
      <c r="R308" s="684">
        <f>IF(終値!A308="","",IFERROR(4*STDEVP(終値!U308:AN308)/AVERAGE(終値!U308:AN308),""))</f>
      </c>
      <c r="S308" s="684">
        <f>IF(終値!A308="","",IFERROR(4*STDEVP(終値!V308:AO308)/AVERAGE(終値!V308:AO308),""))</f>
      </c>
      <c r="T308" s="684">
        <f>IF(終値!A308="","",IFERROR(4*STDEVP(終値!W308:AP308)/AVERAGE(終値!W308:AP308),""))</f>
      </c>
      <c r="U308" s="684">
        <f>IF(終値!A308="","",IFERROR(4*STDEVP(終値!X308:AQ308)/AVERAGE(終値!X308:AQ308),""))</f>
      </c>
      <c r="V308" s="684">
        <f>IF(終値!A308="","",IFERROR(4*STDEVP(終値!Y308:AR308)/AVERAGE(終値!Y308:AR308),""))</f>
      </c>
      <c r="W308" s="684">
        <f>IF(終値!A308="","",IFERROR(4*STDEVP(終値!Z308:AS308)/AVERAGE(終値!Z308:AS308),""))</f>
      </c>
      <c r="X308" s="684">
        <f>IF(終値!A308="","",IFERROR(4*STDEVP(終値!AA308:AT308)/AVERAGE(終値!AA308:AT308),""))</f>
      </c>
      <c r="Y308" s="684">
        <f>IF(終値!A308="","",IFERROR(4*STDEVP(終値!AB308:AU308)/AVERAGE(終値!AB308:AU308),""))</f>
      </c>
      <c r="Z308" s="684">
        <f>IF(終値!A308="","",IFERROR(4*STDEVP(終値!AC308:AV308)/AVERAGE(終値!AC308:AV308),""))</f>
      </c>
      <c r="AA308" s="684">
        <f>IF(終値!A308="","",IFERROR(4*STDEVP(終値!AD308:AW308)/AVERAGE(終値!AD308:AW308),""))</f>
      </c>
      <c r="AB308" s="684">
        <f>IF(終値!A308="","",IFERROR(4*STDEVP(終値!AE308:AX308)/AVERAGE(終値!AE308:AX308),""))</f>
      </c>
      <c r="AC308" s="684">
        <f>IF(終値!A308="","",IFERROR(4*STDEVP(終値!AF308:AY308)/AVERAGE(終値!AF308:AY308),""))</f>
      </c>
      <c r="AD308" s="684">
        <f>IF(終値!A308="","",IFERROR(4*STDEVP(終値!AG308:AZ308)/AVERAGE(終値!AG308:AZ308),""))</f>
      </c>
      <c r="AE308" s="684">
        <f>IF(終値!A308="","",IFERROR(4*STDEVP(終値!AH308:BA308)/AVERAGE(終値!AH308:BA308),""))</f>
      </c>
      <c r="AF308" s="684">
        <f>IF(終値!A308="","",IFERROR(4*STDEVP(終値!AI308:BB308)/AVERAGE(終値!AI308:BB308),""))</f>
      </c>
      <c r="AG308" s="684">
        <f>IF(終値!A308="","",IFERROR(4*STDEVP(終値!AJ308:BC308)/AVERAGE(終値!AJ308:BC308),""))</f>
      </c>
      <c r="AH308" s="684">
        <f>IF(終値!A308="","",IFERROR(4*STDEVP(終値!AK308:BD308)/AVERAGE(終値!AK308:BD308),""))</f>
      </c>
      <c r="AI308" s="684">
        <f>IF(終値!A308="","",IFERROR(4*STDEVP(終値!AL308:BE308)/AVERAGE(終値!AL308:BE308),""))</f>
      </c>
      <c r="AJ308" s="684">
        <f>IF(終値!A308="","",IFERROR(4*STDEVP(終値!AM308:BF308)/AVERAGE(終値!AM308:BF308),""))</f>
      </c>
      <c r="AK308" s="684">
        <f>IF(終値!A308="","",IFERROR(4*STDEVP(終値!AN308:BG308)/AVERAGE(終値!AN308:BG308),""))</f>
      </c>
      <c r="AL308" s="684">
        <f>IF(終値!A308="","",IFERROR(4*STDEVP(終値!AO308:BH308)/AVERAGE(終値!AO308:BH308),""))</f>
      </c>
      <c r="AM308" s="684">
        <f>IF(終値!A308="","",IFERROR(4*STDEVP(終値!AP308:BI308)/AVERAGE(終値!AP308:BI308),""))</f>
      </c>
      <c r="AN308" s="684">
        <f>IF(終値!A308="","",IFERROR(4*STDEVP(終値!AQ308:BJ308)/AVERAGE(終値!AQ308:BJ308),""))</f>
      </c>
      <c r="AO308" s="684">
        <f>IF(終値!A308="","",IFERROR(4*STDEVP(終値!AR308:BK308)/AVERAGE(終値!AR308:BK308),""))</f>
      </c>
      <c r="AP308" s="684">
        <f>IF(終値!A308="","",IFERROR(4*STDEVP(終値!AS308:BL308)/AVERAGE(終値!AS308:BL308),""))</f>
      </c>
    </row>
    <row r="309">
      <c r="A309" s="681">
        <f>IF(終値!A309="","",終値!A309)</f>
      </c>
      <c r="B309" s="684">
        <f>IF(終値!A309="","",IFERROR(4*STDEVP(終値!E309:X309)/AVERAGE(終値!E309:X309),""))</f>
      </c>
      <c r="C309" s="684">
        <f>IF(終値!A309="","",IFERROR(4*STDEVP(終値!F309:Y309)/AVERAGE(終値!F309:Y309),""))</f>
      </c>
      <c r="D309" s="684">
        <f>IF(終値!A309="","",IFERROR(4*STDEVP(終値!G309:Z309)/AVERAGE(終値!G309:Z309),""))</f>
      </c>
      <c r="E309" s="684">
        <f>IF(終値!A309="","",IFERROR(4*STDEVP(終値!H309:AA309)/AVERAGE(終値!H309:AA309),""))</f>
      </c>
      <c r="F309" s="684">
        <f>IF(終値!A309="","",IFERROR(4*STDEVP(終値!I309:AB309)/AVERAGE(終値!I309:AB309),""))</f>
      </c>
      <c r="G309" s="684">
        <f>IF(終値!A309="","",IFERROR(4*STDEVP(終値!J309:AC309)/AVERAGE(終値!J309:AC309),""))</f>
      </c>
      <c r="H309" s="684">
        <f>IF(終値!A309="","",IFERROR(4*STDEVP(終値!K309:AD309)/AVERAGE(終値!K309:AD309),""))</f>
      </c>
      <c r="I309" s="684">
        <f>IF(終値!A309="","",IFERROR(4*STDEVP(終値!L309:AE309)/AVERAGE(終値!L309:AE309),""))</f>
      </c>
      <c r="J309" s="684">
        <f>IF(終値!A309="","",IFERROR(4*STDEVP(終値!M309:AF309)/AVERAGE(終値!M309:AF309),""))</f>
      </c>
      <c r="K309" s="684">
        <f>IF(終値!A309="","",IFERROR(4*STDEVP(終値!N309:AG309)/AVERAGE(終値!N309:AG309),""))</f>
      </c>
      <c r="L309" s="684">
        <f>IF(終値!A309="","",IFERROR(4*STDEVP(終値!O309:AH309)/AVERAGE(終値!O309:AH309),""))</f>
      </c>
      <c r="M309" s="684">
        <f>IF(終値!A309="","",IFERROR(4*STDEVP(終値!P309:AI309)/AVERAGE(終値!P309:AI309),""))</f>
      </c>
      <c r="N309" s="684">
        <f>IF(終値!A309="","",IFERROR(4*STDEVP(終値!Q309:AJ309)/AVERAGE(終値!Q309:AJ309),""))</f>
      </c>
      <c r="O309" s="684">
        <f>IF(終値!A309="","",IFERROR(4*STDEVP(終値!R309:AK309)/AVERAGE(終値!R309:AK309),""))</f>
      </c>
      <c r="P309" s="684">
        <f>IF(終値!A309="","",IFERROR(4*STDEVP(終値!S309:AL309)/AVERAGE(終値!S309:AL309),""))</f>
      </c>
      <c r="Q309" s="684">
        <f>IF(終値!A309="","",IFERROR(4*STDEVP(終値!T309:AM309)/AVERAGE(終値!T309:AM309),""))</f>
      </c>
      <c r="R309" s="684">
        <f>IF(終値!A309="","",IFERROR(4*STDEVP(終値!U309:AN309)/AVERAGE(終値!U309:AN309),""))</f>
      </c>
      <c r="S309" s="684">
        <f>IF(終値!A309="","",IFERROR(4*STDEVP(終値!V309:AO309)/AVERAGE(終値!V309:AO309),""))</f>
      </c>
      <c r="T309" s="684">
        <f>IF(終値!A309="","",IFERROR(4*STDEVP(終値!W309:AP309)/AVERAGE(終値!W309:AP309),""))</f>
      </c>
      <c r="U309" s="684">
        <f>IF(終値!A309="","",IFERROR(4*STDEVP(終値!X309:AQ309)/AVERAGE(終値!X309:AQ309),""))</f>
      </c>
      <c r="V309" s="684">
        <f>IF(終値!A309="","",IFERROR(4*STDEVP(終値!Y309:AR309)/AVERAGE(終値!Y309:AR309),""))</f>
      </c>
      <c r="W309" s="684">
        <f>IF(終値!A309="","",IFERROR(4*STDEVP(終値!Z309:AS309)/AVERAGE(終値!Z309:AS309),""))</f>
      </c>
      <c r="X309" s="684">
        <f>IF(終値!A309="","",IFERROR(4*STDEVP(終値!AA309:AT309)/AVERAGE(終値!AA309:AT309),""))</f>
      </c>
      <c r="Y309" s="684">
        <f>IF(終値!A309="","",IFERROR(4*STDEVP(終値!AB309:AU309)/AVERAGE(終値!AB309:AU309),""))</f>
      </c>
      <c r="Z309" s="684">
        <f>IF(終値!A309="","",IFERROR(4*STDEVP(終値!AC309:AV309)/AVERAGE(終値!AC309:AV309),""))</f>
      </c>
      <c r="AA309" s="684">
        <f>IF(終値!A309="","",IFERROR(4*STDEVP(終値!AD309:AW309)/AVERAGE(終値!AD309:AW309),""))</f>
      </c>
      <c r="AB309" s="684">
        <f>IF(終値!A309="","",IFERROR(4*STDEVP(終値!AE309:AX309)/AVERAGE(終値!AE309:AX309),""))</f>
      </c>
      <c r="AC309" s="684">
        <f>IF(終値!A309="","",IFERROR(4*STDEVP(終値!AF309:AY309)/AVERAGE(終値!AF309:AY309),""))</f>
      </c>
      <c r="AD309" s="684">
        <f>IF(終値!A309="","",IFERROR(4*STDEVP(終値!AG309:AZ309)/AVERAGE(終値!AG309:AZ309),""))</f>
      </c>
      <c r="AE309" s="684">
        <f>IF(終値!A309="","",IFERROR(4*STDEVP(終値!AH309:BA309)/AVERAGE(終値!AH309:BA309),""))</f>
      </c>
      <c r="AF309" s="684">
        <f>IF(終値!A309="","",IFERROR(4*STDEVP(終値!AI309:BB309)/AVERAGE(終値!AI309:BB309),""))</f>
      </c>
      <c r="AG309" s="684">
        <f>IF(終値!A309="","",IFERROR(4*STDEVP(終値!AJ309:BC309)/AVERAGE(終値!AJ309:BC309),""))</f>
      </c>
      <c r="AH309" s="684">
        <f>IF(終値!A309="","",IFERROR(4*STDEVP(終値!AK309:BD309)/AVERAGE(終値!AK309:BD309),""))</f>
      </c>
      <c r="AI309" s="684">
        <f>IF(終値!A309="","",IFERROR(4*STDEVP(終値!AL309:BE309)/AVERAGE(終値!AL309:BE309),""))</f>
      </c>
      <c r="AJ309" s="684">
        <f>IF(終値!A309="","",IFERROR(4*STDEVP(終値!AM309:BF309)/AVERAGE(終値!AM309:BF309),""))</f>
      </c>
      <c r="AK309" s="684">
        <f>IF(終値!A309="","",IFERROR(4*STDEVP(終値!AN309:BG309)/AVERAGE(終値!AN309:BG309),""))</f>
      </c>
      <c r="AL309" s="684">
        <f>IF(終値!A309="","",IFERROR(4*STDEVP(終値!AO309:BH309)/AVERAGE(終値!AO309:BH309),""))</f>
      </c>
      <c r="AM309" s="684">
        <f>IF(終値!A309="","",IFERROR(4*STDEVP(終値!AP309:BI309)/AVERAGE(終値!AP309:BI309),""))</f>
      </c>
      <c r="AN309" s="684">
        <f>IF(終値!A309="","",IFERROR(4*STDEVP(終値!AQ309:BJ309)/AVERAGE(終値!AQ309:BJ309),""))</f>
      </c>
      <c r="AO309" s="684">
        <f>IF(終値!A309="","",IFERROR(4*STDEVP(終値!AR309:BK309)/AVERAGE(終値!AR309:BK309),""))</f>
      </c>
      <c r="AP309" s="684">
        <f>IF(終値!A309="","",IFERROR(4*STDEVP(終値!AS309:BL309)/AVERAGE(終値!AS309:BL309),""))</f>
      </c>
    </row>
    <row r="310">
      <c r="A310" s="681">
        <f>IF(終値!A310="","",終値!A310)</f>
      </c>
      <c r="B310" s="684">
        <f>IF(終値!A310="","",IFERROR(4*STDEVP(終値!E310:X310)/AVERAGE(終値!E310:X310),""))</f>
      </c>
      <c r="C310" s="684">
        <f>IF(終値!A310="","",IFERROR(4*STDEVP(終値!F310:Y310)/AVERAGE(終値!F310:Y310),""))</f>
      </c>
      <c r="D310" s="684">
        <f>IF(終値!A310="","",IFERROR(4*STDEVP(終値!G310:Z310)/AVERAGE(終値!G310:Z310),""))</f>
      </c>
      <c r="E310" s="684">
        <f>IF(終値!A310="","",IFERROR(4*STDEVP(終値!H310:AA310)/AVERAGE(終値!H310:AA310),""))</f>
      </c>
      <c r="F310" s="684">
        <f>IF(終値!A310="","",IFERROR(4*STDEVP(終値!I310:AB310)/AVERAGE(終値!I310:AB310),""))</f>
      </c>
      <c r="G310" s="684">
        <f>IF(終値!A310="","",IFERROR(4*STDEVP(終値!J310:AC310)/AVERAGE(終値!J310:AC310),""))</f>
      </c>
      <c r="H310" s="684">
        <f>IF(終値!A310="","",IFERROR(4*STDEVP(終値!K310:AD310)/AVERAGE(終値!K310:AD310),""))</f>
      </c>
      <c r="I310" s="684">
        <f>IF(終値!A310="","",IFERROR(4*STDEVP(終値!L310:AE310)/AVERAGE(終値!L310:AE310),""))</f>
      </c>
      <c r="J310" s="684">
        <f>IF(終値!A310="","",IFERROR(4*STDEVP(終値!M310:AF310)/AVERAGE(終値!M310:AF310),""))</f>
      </c>
      <c r="K310" s="684">
        <f>IF(終値!A310="","",IFERROR(4*STDEVP(終値!N310:AG310)/AVERAGE(終値!N310:AG310),""))</f>
      </c>
      <c r="L310" s="684">
        <f>IF(終値!A310="","",IFERROR(4*STDEVP(終値!O310:AH310)/AVERAGE(終値!O310:AH310),""))</f>
      </c>
      <c r="M310" s="684">
        <f>IF(終値!A310="","",IFERROR(4*STDEVP(終値!P310:AI310)/AVERAGE(終値!P310:AI310),""))</f>
      </c>
      <c r="N310" s="684">
        <f>IF(終値!A310="","",IFERROR(4*STDEVP(終値!Q310:AJ310)/AVERAGE(終値!Q310:AJ310),""))</f>
      </c>
      <c r="O310" s="684">
        <f>IF(終値!A310="","",IFERROR(4*STDEVP(終値!R310:AK310)/AVERAGE(終値!R310:AK310),""))</f>
      </c>
      <c r="P310" s="684">
        <f>IF(終値!A310="","",IFERROR(4*STDEVP(終値!S310:AL310)/AVERAGE(終値!S310:AL310),""))</f>
      </c>
      <c r="Q310" s="684">
        <f>IF(終値!A310="","",IFERROR(4*STDEVP(終値!T310:AM310)/AVERAGE(終値!T310:AM310),""))</f>
      </c>
      <c r="R310" s="684">
        <f>IF(終値!A310="","",IFERROR(4*STDEVP(終値!U310:AN310)/AVERAGE(終値!U310:AN310),""))</f>
      </c>
      <c r="S310" s="684">
        <f>IF(終値!A310="","",IFERROR(4*STDEVP(終値!V310:AO310)/AVERAGE(終値!V310:AO310),""))</f>
      </c>
      <c r="T310" s="684">
        <f>IF(終値!A310="","",IFERROR(4*STDEVP(終値!W310:AP310)/AVERAGE(終値!W310:AP310),""))</f>
      </c>
      <c r="U310" s="684">
        <f>IF(終値!A310="","",IFERROR(4*STDEVP(終値!X310:AQ310)/AVERAGE(終値!X310:AQ310),""))</f>
      </c>
      <c r="V310" s="684">
        <f>IF(終値!A310="","",IFERROR(4*STDEVP(終値!Y310:AR310)/AVERAGE(終値!Y310:AR310),""))</f>
      </c>
      <c r="W310" s="684">
        <f>IF(終値!A310="","",IFERROR(4*STDEVP(終値!Z310:AS310)/AVERAGE(終値!Z310:AS310),""))</f>
      </c>
      <c r="X310" s="684">
        <f>IF(終値!A310="","",IFERROR(4*STDEVP(終値!AA310:AT310)/AVERAGE(終値!AA310:AT310),""))</f>
      </c>
      <c r="Y310" s="684">
        <f>IF(終値!A310="","",IFERROR(4*STDEVP(終値!AB310:AU310)/AVERAGE(終値!AB310:AU310),""))</f>
      </c>
      <c r="Z310" s="684">
        <f>IF(終値!A310="","",IFERROR(4*STDEVP(終値!AC310:AV310)/AVERAGE(終値!AC310:AV310),""))</f>
      </c>
      <c r="AA310" s="684">
        <f>IF(終値!A310="","",IFERROR(4*STDEVP(終値!AD310:AW310)/AVERAGE(終値!AD310:AW310),""))</f>
      </c>
      <c r="AB310" s="684">
        <f>IF(終値!A310="","",IFERROR(4*STDEVP(終値!AE310:AX310)/AVERAGE(終値!AE310:AX310),""))</f>
      </c>
      <c r="AC310" s="684">
        <f>IF(終値!A310="","",IFERROR(4*STDEVP(終値!AF310:AY310)/AVERAGE(終値!AF310:AY310),""))</f>
      </c>
      <c r="AD310" s="684">
        <f>IF(終値!A310="","",IFERROR(4*STDEVP(終値!AG310:AZ310)/AVERAGE(終値!AG310:AZ310),""))</f>
      </c>
      <c r="AE310" s="684">
        <f>IF(終値!A310="","",IFERROR(4*STDEVP(終値!AH310:BA310)/AVERAGE(終値!AH310:BA310),""))</f>
      </c>
      <c r="AF310" s="684">
        <f>IF(終値!A310="","",IFERROR(4*STDEVP(終値!AI310:BB310)/AVERAGE(終値!AI310:BB310),""))</f>
      </c>
      <c r="AG310" s="684">
        <f>IF(終値!A310="","",IFERROR(4*STDEVP(終値!AJ310:BC310)/AVERAGE(終値!AJ310:BC310),""))</f>
      </c>
      <c r="AH310" s="684">
        <f>IF(終値!A310="","",IFERROR(4*STDEVP(終値!AK310:BD310)/AVERAGE(終値!AK310:BD310),""))</f>
      </c>
      <c r="AI310" s="684">
        <f>IF(終値!A310="","",IFERROR(4*STDEVP(終値!AL310:BE310)/AVERAGE(終値!AL310:BE310),""))</f>
      </c>
      <c r="AJ310" s="684">
        <f>IF(終値!A310="","",IFERROR(4*STDEVP(終値!AM310:BF310)/AVERAGE(終値!AM310:BF310),""))</f>
      </c>
      <c r="AK310" s="684">
        <f>IF(終値!A310="","",IFERROR(4*STDEVP(終値!AN310:BG310)/AVERAGE(終値!AN310:BG310),""))</f>
      </c>
      <c r="AL310" s="684">
        <f>IF(終値!A310="","",IFERROR(4*STDEVP(終値!AO310:BH310)/AVERAGE(終値!AO310:BH310),""))</f>
      </c>
      <c r="AM310" s="684">
        <f>IF(終値!A310="","",IFERROR(4*STDEVP(終値!AP310:BI310)/AVERAGE(終値!AP310:BI310),""))</f>
      </c>
      <c r="AN310" s="684">
        <f>IF(終値!A310="","",IFERROR(4*STDEVP(終値!AQ310:BJ310)/AVERAGE(終値!AQ310:BJ310),""))</f>
      </c>
      <c r="AO310" s="684">
        <f>IF(終値!A310="","",IFERROR(4*STDEVP(終値!AR310:BK310)/AVERAGE(終値!AR310:BK310),""))</f>
      </c>
      <c r="AP310" s="684">
        <f>IF(終値!A310="","",IFERROR(4*STDEVP(終値!AS310:BL310)/AVERAGE(終値!AS310:BL310),""))</f>
      </c>
    </row>
    <row r="311">
      <c r="A311" s="681">
        <f>IF(終値!A311="","",終値!A311)</f>
      </c>
      <c r="B311" s="684">
        <f>IF(終値!A311="","",IFERROR(4*STDEVP(終値!E311:X311)/AVERAGE(終値!E311:X311),""))</f>
      </c>
      <c r="C311" s="684">
        <f>IF(終値!A311="","",IFERROR(4*STDEVP(終値!F311:Y311)/AVERAGE(終値!F311:Y311),""))</f>
      </c>
      <c r="D311" s="684">
        <f>IF(終値!A311="","",IFERROR(4*STDEVP(終値!G311:Z311)/AVERAGE(終値!G311:Z311),""))</f>
      </c>
      <c r="E311" s="684">
        <f>IF(終値!A311="","",IFERROR(4*STDEVP(終値!H311:AA311)/AVERAGE(終値!H311:AA311),""))</f>
      </c>
      <c r="F311" s="684">
        <f>IF(終値!A311="","",IFERROR(4*STDEVP(終値!I311:AB311)/AVERAGE(終値!I311:AB311),""))</f>
      </c>
      <c r="G311" s="684">
        <f>IF(終値!A311="","",IFERROR(4*STDEVP(終値!J311:AC311)/AVERAGE(終値!J311:AC311),""))</f>
      </c>
      <c r="H311" s="684">
        <f>IF(終値!A311="","",IFERROR(4*STDEVP(終値!K311:AD311)/AVERAGE(終値!K311:AD311),""))</f>
      </c>
      <c r="I311" s="684">
        <f>IF(終値!A311="","",IFERROR(4*STDEVP(終値!L311:AE311)/AVERAGE(終値!L311:AE311),""))</f>
      </c>
      <c r="J311" s="684">
        <f>IF(終値!A311="","",IFERROR(4*STDEVP(終値!M311:AF311)/AVERAGE(終値!M311:AF311),""))</f>
      </c>
      <c r="K311" s="684">
        <f>IF(終値!A311="","",IFERROR(4*STDEVP(終値!N311:AG311)/AVERAGE(終値!N311:AG311),""))</f>
      </c>
      <c r="L311" s="684">
        <f>IF(終値!A311="","",IFERROR(4*STDEVP(終値!O311:AH311)/AVERAGE(終値!O311:AH311),""))</f>
      </c>
      <c r="M311" s="684">
        <f>IF(終値!A311="","",IFERROR(4*STDEVP(終値!P311:AI311)/AVERAGE(終値!P311:AI311),""))</f>
      </c>
      <c r="N311" s="684">
        <f>IF(終値!A311="","",IFERROR(4*STDEVP(終値!Q311:AJ311)/AVERAGE(終値!Q311:AJ311),""))</f>
      </c>
      <c r="O311" s="684">
        <f>IF(終値!A311="","",IFERROR(4*STDEVP(終値!R311:AK311)/AVERAGE(終値!R311:AK311),""))</f>
      </c>
      <c r="P311" s="684">
        <f>IF(終値!A311="","",IFERROR(4*STDEVP(終値!S311:AL311)/AVERAGE(終値!S311:AL311),""))</f>
      </c>
      <c r="Q311" s="684">
        <f>IF(終値!A311="","",IFERROR(4*STDEVP(終値!T311:AM311)/AVERAGE(終値!T311:AM311),""))</f>
      </c>
      <c r="R311" s="684">
        <f>IF(終値!A311="","",IFERROR(4*STDEVP(終値!U311:AN311)/AVERAGE(終値!U311:AN311),""))</f>
      </c>
      <c r="S311" s="684">
        <f>IF(終値!A311="","",IFERROR(4*STDEVP(終値!V311:AO311)/AVERAGE(終値!V311:AO311),""))</f>
      </c>
      <c r="T311" s="684">
        <f>IF(終値!A311="","",IFERROR(4*STDEVP(終値!W311:AP311)/AVERAGE(終値!W311:AP311),""))</f>
      </c>
      <c r="U311" s="684">
        <f>IF(終値!A311="","",IFERROR(4*STDEVP(終値!X311:AQ311)/AVERAGE(終値!X311:AQ311),""))</f>
      </c>
      <c r="V311" s="684">
        <f>IF(終値!A311="","",IFERROR(4*STDEVP(終値!Y311:AR311)/AVERAGE(終値!Y311:AR311),""))</f>
      </c>
      <c r="W311" s="684">
        <f>IF(終値!A311="","",IFERROR(4*STDEVP(終値!Z311:AS311)/AVERAGE(終値!Z311:AS311),""))</f>
      </c>
      <c r="X311" s="684">
        <f>IF(終値!A311="","",IFERROR(4*STDEVP(終値!AA311:AT311)/AVERAGE(終値!AA311:AT311),""))</f>
      </c>
      <c r="Y311" s="684">
        <f>IF(終値!A311="","",IFERROR(4*STDEVP(終値!AB311:AU311)/AVERAGE(終値!AB311:AU311),""))</f>
      </c>
      <c r="Z311" s="684">
        <f>IF(終値!A311="","",IFERROR(4*STDEVP(終値!AC311:AV311)/AVERAGE(終値!AC311:AV311),""))</f>
      </c>
      <c r="AA311" s="684">
        <f>IF(終値!A311="","",IFERROR(4*STDEVP(終値!AD311:AW311)/AVERAGE(終値!AD311:AW311),""))</f>
      </c>
      <c r="AB311" s="684">
        <f>IF(終値!A311="","",IFERROR(4*STDEVP(終値!AE311:AX311)/AVERAGE(終値!AE311:AX311),""))</f>
      </c>
      <c r="AC311" s="684">
        <f>IF(終値!A311="","",IFERROR(4*STDEVP(終値!AF311:AY311)/AVERAGE(終値!AF311:AY311),""))</f>
      </c>
      <c r="AD311" s="684">
        <f>IF(終値!A311="","",IFERROR(4*STDEVP(終値!AG311:AZ311)/AVERAGE(終値!AG311:AZ311),""))</f>
      </c>
      <c r="AE311" s="684">
        <f>IF(終値!A311="","",IFERROR(4*STDEVP(終値!AH311:BA311)/AVERAGE(終値!AH311:BA311),""))</f>
      </c>
      <c r="AF311" s="684">
        <f>IF(終値!A311="","",IFERROR(4*STDEVP(終値!AI311:BB311)/AVERAGE(終値!AI311:BB311),""))</f>
      </c>
      <c r="AG311" s="684">
        <f>IF(終値!A311="","",IFERROR(4*STDEVP(終値!AJ311:BC311)/AVERAGE(終値!AJ311:BC311),""))</f>
      </c>
      <c r="AH311" s="684">
        <f>IF(終値!A311="","",IFERROR(4*STDEVP(終値!AK311:BD311)/AVERAGE(終値!AK311:BD311),""))</f>
      </c>
      <c r="AI311" s="684">
        <f>IF(終値!A311="","",IFERROR(4*STDEVP(終値!AL311:BE311)/AVERAGE(終値!AL311:BE311),""))</f>
      </c>
      <c r="AJ311" s="684">
        <f>IF(終値!A311="","",IFERROR(4*STDEVP(終値!AM311:BF311)/AVERAGE(終値!AM311:BF311),""))</f>
      </c>
      <c r="AK311" s="684">
        <f>IF(終値!A311="","",IFERROR(4*STDEVP(終値!AN311:BG311)/AVERAGE(終値!AN311:BG311),""))</f>
      </c>
      <c r="AL311" s="684">
        <f>IF(終値!A311="","",IFERROR(4*STDEVP(終値!AO311:BH311)/AVERAGE(終値!AO311:BH311),""))</f>
      </c>
      <c r="AM311" s="684">
        <f>IF(終値!A311="","",IFERROR(4*STDEVP(終値!AP311:BI311)/AVERAGE(終値!AP311:BI311),""))</f>
      </c>
      <c r="AN311" s="684">
        <f>IF(終値!A311="","",IFERROR(4*STDEVP(終値!AQ311:BJ311)/AVERAGE(終値!AQ311:BJ311),""))</f>
      </c>
      <c r="AO311" s="684">
        <f>IF(終値!A311="","",IFERROR(4*STDEVP(終値!AR311:BK311)/AVERAGE(終値!AR311:BK311),""))</f>
      </c>
      <c r="AP311" s="684">
        <f>IF(終値!A311="","",IFERROR(4*STDEVP(終値!AS311:BL311)/AVERAGE(終値!AS311:BL311),""))</f>
      </c>
    </row>
    <row r="312">
      <c r="A312" s="681">
        <f>IF(終値!A312="","",終値!A312)</f>
      </c>
      <c r="B312" s="684">
        <f>IF(終値!A312="","",IFERROR(4*STDEVP(終値!E312:X312)/AVERAGE(終値!E312:X312),""))</f>
      </c>
      <c r="C312" s="684">
        <f>IF(終値!A312="","",IFERROR(4*STDEVP(終値!F312:Y312)/AVERAGE(終値!F312:Y312),""))</f>
      </c>
      <c r="D312" s="684">
        <f>IF(終値!A312="","",IFERROR(4*STDEVP(終値!G312:Z312)/AVERAGE(終値!G312:Z312),""))</f>
      </c>
      <c r="E312" s="684">
        <f>IF(終値!A312="","",IFERROR(4*STDEVP(終値!H312:AA312)/AVERAGE(終値!H312:AA312),""))</f>
      </c>
      <c r="F312" s="684">
        <f>IF(終値!A312="","",IFERROR(4*STDEVP(終値!I312:AB312)/AVERAGE(終値!I312:AB312),""))</f>
      </c>
      <c r="G312" s="684">
        <f>IF(終値!A312="","",IFERROR(4*STDEVP(終値!J312:AC312)/AVERAGE(終値!J312:AC312),""))</f>
      </c>
      <c r="H312" s="684">
        <f>IF(終値!A312="","",IFERROR(4*STDEVP(終値!K312:AD312)/AVERAGE(終値!K312:AD312),""))</f>
      </c>
      <c r="I312" s="684">
        <f>IF(終値!A312="","",IFERROR(4*STDEVP(終値!L312:AE312)/AVERAGE(終値!L312:AE312),""))</f>
      </c>
      <c r="J312" s="684">
        <f>IF(終値!A312="","",IFERROR(4*STDEVP(終値!M312:AF312)/AVERAGE(終値!M312:AF312),""))</f>
      </c>
      <c r="K312" s="684">
        <f>IF(終値!A312="","",IFERROR(4*STDEVP(終値!N312:AG312)/AVERAGE(終値!N312:AG312),""))</f>
      </c>
      <c r="L312" s="684">
        <f>IF(終値!A312="","",IFERROR(4*STDEVP(終値!O312:AH312)/AVERAGE(終値!O312:AH312),""))</f>
      </c>
      <c r="M312" s="684">
        <f>IF(終値!A312="","",IFERROR(4*STDEVP(終値!P312:AI312)/AVERAGE(終値!P312:AI312),""))</f>
      </c>
      <c r="N312" s="684">
        <f>IF(終値!A312="","",IFERROR(4*STDEVP(終値!Q312:AJ312)/AVERAGE(終値!Q312:AJ312),""))</f>
      </c>
      <c r="O312" s="684">
        <f>IF(終値!A312="","",IFERROR(4*STDEVP(終値!R312:AK312)/AVERAGE(終値!R312:AK312),""))</f>
      </c>
      <c r="P312" s="684">
        <f>IF(終値!A312="","",IFERROR(4*STDEVP(終値!S312:AL312)/AVERAGE(終値!S312:AL312),""))</f>
      </c>
      <c r="Q312" s="684">
        <f>IF(終値!A312="","",IFERROR(4*STDEVP(終値!T312:AM312)/AVERAGE(終値!T312:AM312),""))</f>
      </c>
      <c r="R312" s="684">
        <f>IF(終値!A312="","",IFERROR(4*STDEVP(終値!U312:AN312)/AVERAGE(終値!U312:AN312),""))</f>
      </c>
      <c r="S312" s="684">
        <f>IF(終値!A312="","",IFERROR(4*STDEVP(終値!V312:AO312)/AVERAGE(終値!V312:AO312),""))</f>
      </c>
      <c r="T312" s="684">
        <f>IF(終値!A312="","",IFERROR(4*STDEVP(終値!W312:AP312)/AVERAGE(終値!W312:AP312),""))</f>
      </c>
      <c r="U312" s="684">
        <f>IF(終値!A312="","",IFERROR(4*STDEVP(終値!X312:AQ312)/AVERAGE(終値!X312:AQ312),""))</f>
      </c>
      <c r="V312" s="684">
        <f>IF(終値!A312="","",IFERROR(4*STDEVP(終値!Y312:AR312)/AVERAGE(終値!Y312:AR312),""))</f>
      </c>
      <c r="W312" s="684">
        <f>IF(終値!A312="","",IFERROR(4*STDEVP(終値!Z312:AS312)/AVERAGE(終値!Z312:AS312),""))</f>
      </c>
      <c r="X312" s="684">
        <f>IF(終値!A312="","",IFERROR(4*STDEVP(終値!AA312:AT312)/AVERAGE(終値!AA312:AT312),""))</f>
      </c>
      <c r="Y312" s="684">
        <f>IF(終値!A312="","",IFERROR(4*STDEVP(終値!AB312:AU312)/AVERAGE(終値!AB312:AU312),""))</f>
      </c>
      <c r="Z312" s="684">
        <f>IF(終値!A312="","",IFERROR(4*STDEVP(終値!AC312:AV312)/AVERAGE(終値!AC312:AV312),""))</f>
      </c>
      <c r="AA312" s="684">
        <f>IF(終値!A312="","",IFERROR(4*STDEVP(終値!AD312:AW312)/AVERAGE(終値!AD312:AW312),""))</f>
      </c>
      <c r="AB312" s="684">
        <f>IF(終値!A312="","",IFERROR(4*STDEVP(終値!AE312:AX312)/AVERAGE(終値!AE312:AX312),""))</f>
      </c>
      <c r="AC312" s="684">
        <f>IF(終値!A312="","",IFERROR(4*STDEVP(終値!AF312:AY312)/AVERAGE(終値!AF312:AY312),""))</f>
      </c>
      <c r="AD312" s="684">
        <f>IF(終値!A312="","",IFERROR(4*STDEVP(終値!AG312:AZ312)/AVERAGE(終値!AG312:AZ312),""))</f>
      </c>
      <c r="AE312" s="684">
        <f>IF(終値!A312="","",IFERROR(4*STDEVP(終値!AH312:BA312)/AVERAGE(終値!AH312:BA312),""))</f>
      </c>
      <c r="AF312" s="684">
        <f>IF(終値!A312="","",IFERROR(4*STDEVP(終値!AI312:BB312)/AVERAGE(終値!AI312:BB312),""))</f>
      </c>
      <c r="AG312" s="684">
        <f>IF(終値!A312="","",IFERROR(4*STDEVP(終値!AJ312:BC312)/AVERAGE(終値!AJ312:BC312),""))</f>
      </c>
      <c r="AH312" s="684">
        <f>IF(終値!A312="","",IFERROR(4*STDEVP(終値!AK312:BD312)/AVERAGE(終値!AK312:BD312),""))</f>
      </c>
      <c r="AI312" s="684">
        <f>IF(終値!A312="","",IFERROR(4*STDEVP(終値!AL312:BE312)/AVERAGE(終値!AL312:BE312),""))</f>
      </c>
      <c r="AJ312" s="684">
        <f>IF(終値!A312="","",IFERROR(4*STDEVP(終値!AM312:BF312)/AVERAGE(終値!AM312:BF312),""))</f>
      </c>
      <c r="AK312" s="684">
        <f>IF(終値!A312="","",IFERROR(4*STDEVP(終値!AN312:BG312)/AVERAGE(終値!AN312:BG312),""))</f>
      </c>
      <c r="AL312" s="684">
        <f>IF(終値!A312="","",IFERROR(4*STDEVP(終値!AO312:BH312)/AVERAGE(終値!AO312:BH312),""))</f>
      </c>
      <c r="AM312" s="684">
        <f>IF(終値!A312="","",IFERROR(4*STDEVP(終値!AP312:BI312)/AVERAGE(終値!AP312:BI312),""))</f>
      </c>
      <c r="AN312" s="684">
        <f>IF(終値!A312="","",IFERROR(4*STDEVP(終値!AQ312:BJ312)/AVERAGE(終値!AQ312:BJ312),""))</f>
      </c>
      <c r="AO312" s="684">
        <f>IF(終値!A312="","",IFERROR(4*STDEVP(終値!AR312:BK312)/AVERAGE(終値!AR312:BK312),""))</f>
      </c>
      <c r="AP312" s="684">
        <f>IF(終値!A312="","",IFERROR(4*STDEVP(終値!AS312:BL312)/AVERAGE(終値!AS312:BL312),""))</f>
      </c>
    </row>
    <row r="313">
      <c r="A313" s="681">
        <f>IF(終値!A313="","",終値!A313)</f>
      </c>
      <c r="B313" s="684">
        <f>IF(終値!A313="","",IFERROR(4*STDEVP(終値!E313:X313)/AVERAGE(終値!E313:X313),""))</f>
      </c>
      <c r="C313" s="684">
        <f>IF(終値!A313="","",IFERROR(4*STDEVP(終値!F313:Y313)/AVERAGE(終値!F313:Y313),""))</f>
      </c>
      <c r="D313" s="684">
        <f>IF(終値!A313="","",IFERROR(4*STDEVP(終値!G313:Z313)/AVERAGE(終値!G313:Z313),""))</f>
      </c>
      <c r="E313" s="684">
        <f>IF(終値!A313="","",IFERROR(4*STDEVP(終値!H313:AA313)/AVERAGE(終値!H313:AA313),""))</f>
      </c>
      <c r="F313" s="684">
        <f>IF(終値!A313="","",IFERROR(4*STDEVP(終値!I313:AB313)/AVERAGE(終値!I313:AB313),""))</f>
      </c>
      <c r="G313" s="684">
        <f>IF(終値!A313="","",IFERROR(4*STDEVP(終値!J313:AC313)/AVERAGE(終値!J313:AC313),""))</f>
      </c>
      <c r="H313" s="684">
        <f>IF(終値!A313="","",IFERROR(4*STDEVP(終値!K313:AD313)/AVERAGE(終値!K313:AD313),""))</f>
      </c>
      <c r="I313" s="684">
        <f>IF(終値!A313="","",IFERROR(4*STDEVP(終値!L313:AE313)/AVERAGE(終値!L313:AE313),""))</f>
      </c>
      <c r="J313" s="684">
        <f>IF(終値!A313="","",IFERROR(4*STDEVP(終値!M313:AF313)/AVERAGE(終値!M313:AF313),""))</f>
      </c>
      <c r="K313" s="684">
        <f>IF(終値!A313="","",IFERROR(4*STDEVP(終値!N313:AG313)/AVERAGE(終値!N313:AG313),""))</f>
      </c>
      <c r="L313" s="684">
        <f>IF(終値!A313="","",IFERROR(4*STDEVP(終値!O313:AH313)/AVERAGE(終値!O313:AH313),""))</f>
      </c>
      <c r="M313" s="684">
        <f>IF(終値!A313="","",IFERROR(4*STDEVP(終値!P313:AI313)/AVERAGE(終値!P313:AI313),""))</f>
      </c>
      <c r="N313" s="684">
        <f>IF(終値!A313="","",IFERROR(4*STDEVP(終値!Q313:AJ313)/AVERAGE(終値!Q313:AJ313),""))</f>
      </c>
      <c r="O313" s="684">
        <f>IF(終値!A313="","",IFERROR(4*STDEVP(終値!R313:AK313)/AVERAGE(終値!R313:AK313),""))</f>
      </c>
      <c r="P313" s="684">
        <f>IF(終値!A313="","",IFERROR(4*STDEVP(終値!S313:AL313)/AVERAGE(終値!S313:AL313),""))</f>
      </c>
      <c r="Q313" s="684">
        <f>IF(終値!A313="","",IFERROR(4*STDEVP(終値!T313:AM313)/AVERAGE(終値!T313:AM313),""))</f>
      </c>
      <c r="R313" s="684">
        <f>IF(終値!A313="","",IFERROR(4*STDEVP(終値!U313:AN313)/AVERAGE(終値!U313:AN313),""))</f>
      </c>
      <c r="S313" s="684">
        <f>IF(終値!A313="","",IFERROR(4*STDEVP(終値!V313:AO313)/AVERAGE(終値!V313:AO313),""))</f>
      </c>
      <c r="T313" s="684">
        <f>IF(終値!A313="","",IFERROR(4*STDEVP(終値!W313:AP313)/AVERAGE(終値!W313:AP313),""))</f>
      </c>
      <c r="U313" s="684">
        <f>IF(終値!A313="","",IFERROR(4*STDEVP(終値!X313:AQ313)/AVERAGE(終値!X313:AQ313),""))</f>
      </c>
      <c r="V313" s="684">
        <f>IF(終値!A313="","",IFERROR(4*STDEVP(終値!Y313:AR313)/AVERAGE(終値!Y313:AR313),""))</f>
      </c>
      <c r="W313" s="684">
        <f>IF(終値!A313="","",IFERROR(4*STDEVP(終値!Z313:AS313)/AVERAGE(終値!Z313:AS313),""))</f>
      </c>
      <c r="X313" s="684">
        <f>IF(終値!A313="","",IFERROR(4*STDEVP(終値!AA313:AT313)/AVERAGE(終値!AA313:AT313),""))</f>
      </c>
      <c r="Y313" s="684">
        <f>IF(終値!A313="","",IFERROR(4*STDEVP(終値!AB313:AU313)/AVERAGE(終値!AB313:AU313),""))</f>
      </c>
      <c r="Z313" s="684">
        <f>IF(終値!A313="","",IFERROR(4*STDEVP(終値!AC313:AV313)/AVERAGE(終値!AC313:AV313),""))</f>
      </c>
      <c r="AA313" s="684">
        <f>IF(終値!A313="","",IFERROR(4*STDEVP(終値!AD313:AW313)/AVERAGE(終値!AD313:AW313),""))</f>
      </c>
      <c r="AB313" s="684">
        <f>IF(終値!A313="","",IFERROR(4*STDEVP(終値!AE313:AX313)/AVERAGE(終値!AE313:AX313),""))</f>
      </c>
      <c r="AC313" s="684">
        <f>IF(終値!A313="","",IFERROR(4*STDEVP(終値!AF313:AY313)/AVERAGE(終値!AF313:AY313),""))</f>
      </c>
      <c r="AD313" s="684">
        <f>IF(終値!A313="","",IFERROR(4*STDEVP(終値!AG313:AZ313)/AVERAGE(終値!AG313:AZ313),""))</f>
      </c>
      <c r="AE313" s="684">
        <f>IF(終値!A313="","",IFERROR(4*STDEVP(終値!AH313:BA313)/AVERAGE(終値!AH313:BA313),""))</f>
      </c>
      <c r="AF313" s="684">
        <f>IF(終値!A313="","",IFERROR(4*STDEVP(終値!AI313:BB313)/AVERAGE(終値!AI313:BB313),""))</f>
      </c>
      <c r="AG313" s="684">
        <f>IF(終値!A313="","",IFERROR(4*STDEVP(終値!AJ313:BC313)/AVERAGE(終値!AJ313:BC313),""))</f>
      </c>
      <c r="AH313" s="684">
        <f>IF(終値!A313="","",IFERROR(4*STDEVP(終値!AK313:BD313)/AVERAGE(終値!AK313:BD313),""))</f>
      </c>
      <c r="AI313" s="684">
        <f>IF(終値!A313="","",IFERROR(4*STDEVP(終値!AL313:BE313)/AVERAGE(終値!AL313:BE313),""))</f>
      </c>
      <c r="AJ313" s="684">
        <f>IF(終値!A313="","",IFERROR(4*STDEVP(終値!AM313:BF313)/AVERAGE(終値!AM313:BF313),""))</f>
      </c>
      <c r="AK313" s="684">
        <f>IF(終値!A313="","",IFERROR(4*STDEVP(終値!AN313:BG313)/AVERAGE(終値!AN313:BG313),""))</f>
      </c>
      <c r="AL313" s="684">
        <f>IF(終値!A313="","",IFERROR(4*STDEVP(終値!AO313:BH313)/AVERAGE(終値!AO313:BH313),""))</f>
      </c>
      <c r="AM313" s="684">
        <f>IF(終値!A313="","",IFERROR(4*STDEVP(終値!AP313:BI313)/AVERAGE(終値!AP313:BI313),""))</f>
      </c>
      <c r="AN313" s="684">
        <f>IF(終値!A313="","",IFERROR(4*STDEVP(終値!AQ313:BJ313)/AVERAGE(終値!AQ313:BJ313),""))</f>
      </c>
      <c r="AO313" s="684">
        <f>IF(終値!A313="","",IFERROR(4*STDEVP(終値!AR313:BK313)/AVERAGE(終値!AR313:BK313),""))</f>
      </c>
      <c r="AP313" s="684">
        <f>IF(終値!A313="","",IFERROR(4*STDEVP(終値!AS313:BL313)/AVERAGE(終値!AS313:BL313),""))</f>
      </c>
    </row>
    <row r="314">
      <c r="A314" s="681">
        <f>IF(終値!A314="","",終値!A314)</f>
      </c>
      <c r="B314" s="684">
        <f>IF(終値!A314="","",IFERROR(4*STDEVP(終値!E314:X314)/AVERAGE(終値!E314:X314),""))</f>
      </c>
      <c r="C314" s="684">
        <f>IF(終値!A314="","",IFERROR(4*STDEVP(終値!F314:Y314)/AVERAGE(終値!F314:Y314),""))</f>
      </c>
      <c r="D314" s="684">
        <f>IF(終値!A314="","",IFERROR(4*STDEVP(終値!G314:Z314)/AVERAGE(終値!G314:Z314),""))</f>
      </c>
      <c r="E314" s="684">
        <f>IF(終値!A314="","",IFERROR(4*STDEVP(終値!H314:AA314)/AVERAGE(終値!H314:AA314),""))</f>
      </c>
      <c r="F314" s="684">
        <f>IF(終値!A314="","",IFERROR(4*STDEVP(終値!I314:AB314)/AVERAGE(終値!I314:AB314),""))</f>
      </c>
      <c r="G314" s="684">
        <f>IF(終値!A314="","",IFERROR(4*STDEVP(終値!J314:AC314)/AVERAGE(終値!J314:AC314),""))</f>
      </c>
      <c r="H314" s="684">
        <f>IF(終値!A314="","",IFERROR(4*STDEVP(終値!K314:AD314)/AVERAGE(終値!K314:AD314),""))</f>
      </c>
      <c r="I314" s="684">
        <f>IF(終値!A314="","",IFERROR(4*STDEVP(終値!L314:AE314)/AVERAGE(終値!L314:AE314),""))</f>
      </c>
      <c r="J314" s="684">
        <f>IF(終値!A314="","",IFERROR(4*STDEVP(終値!M314:AF314)/AVERAGE(終値!M314:AF314),""))</f>
      </c>
      <c r="K314" s="684">
        <f>IF(終値!A314="","",IFERROR(4*STDEVP(終値!N314:AG314)/AVERAGE(終値!N314:AG314),""))</f>
      </c>
      <c r="L314" s="684">
        <f>IF(終値!A314="","",IFERROR(4*STDEVP(終値!O314:AH314)/AVERAGE(終値!O314:AH314),""))</f>
      </c>
      <c r="M314" s="684">
        <f>IF(終値!A314="","",IFERROR(4*STDEVP(終値!P314:AI314)/AVERAGE(終値!P314:AI314),""))</f>
      </c>
      <c r="N314" s="684">
        <f>IF(終値!A314="","",IFERROR(4*STDEVP(終値!Q314:AJ314)/AVERAGE(終値!Q314:AJ314),""))</f>
      </c>
      <c r="O314" s="684">
        <f>IF(終値!A314="","",IFERROR(4*STDEVP(終値!R314:AK314)/AVERAGE(終値!R314:AK314),""))</f>
      </c>
      <c r="P314" s="684">
        <f>IF(終値!A314="","",IFERROR(4*STDEVP(終値!S314:AL314)/AVERAGE(終値!S314:AL314),""))</f>
      </c>
      <c r="Q314" s="684">
        <f>IF(終値!A314="","",IFERROR(4*STDEVP(終値!T314:AM314)/AVERAGE(終値!T314:AM314),""))</f>
      </c>
      <c r="R314" s="684">
        <f>IF(終値!A314="","",IFERROR(4*STDEVP(終値!U314:AN314)/AVERAGE(終値!U314:AN314),""))</f>
      </c>
      <c r="S314" s="684">
        <f>IF(終値!A314="","",IFERROR(4*STDEVP(終値!V314:AO314)/AVERAGE(終値!V314:AO314),""))</f>
      </c>
      <c r="T314" s="684">
        <f>IF(終値!A314="","",IFERROR(4*STDEVP(終値!W314:AP314)/AVERAGE(終値!W314:AP314),""))</f>
      </c>
      <c r="U314" s="684">
        <f>IF(終値!A314="","",IFERROR(4*STDEVP(終値!X314:AQ314)/AVERAGE(終値!X314:AQ314),""))</f>
      </c>
      <c r="V314" s="684">
        <f>IF(終値!A314="","",IFERROR(4*STDEVP(終値!Y314:AR314)/AVERAGE(終値!Y314:AR314),""))</f>
      </c>
      <c r="W314" s="684">
        <f>IF(終値!A314="","",IFERROR(4*STDEVP(終値!Z314:AS314)/AVERAGE(終値!Z314:AS314),""))</f>
      </c>
      <c r="X314" s="684">
        <f>IF(終値!A314="","",IFERROR(4*STDEVP(終値!AA314:AT314)/AVERAGE(終値!AA314:AT314),""))</f>
      </c>
      <c r="Y314" s="684">
        <f>IF(終値!A314="","",IFERROR(4*STDEVP(終値!AB314:AU314)/AVERAGE(終値!AB314:AU314),""))</f>
      </c>
      <c r="Z314" s="684">
        <f>IF(終値!A314="","",IFERROR(4*STDEVP(終値!AC314:AV314)/AVERAGE(終値!AC314:AV314),""))</f>
      </c>
      <c r="AA314" s="684">
        <f>IF(終値!A314="","",IFERROR(4*STDEVP(終値!AD314:AW314)/AVERAGE(終値!AD314:AW314),""))</f>
      </c>
      <c r="AB314" s="684">
        <f>IF(終値!A314="","",IFERROR(4*STDEVP(終値!AE314:AX314)/AVERAGE(終値!AE314:AX314),""))</f>
      </c>
      <c r="AC314" s="684">
        <f>IF(終値!A314="","",IFERROR(4*STDEVP(終値!AF314:AY314)/AVERAGE(終値!AF314:AY314),""))</f>
      </c>
      <c r="AD314" s="684">
        <f>IF(終値!A314="","",IFERROR(4*STDEVP(終値!AG314:AZ314)/AVERAGE(終値!AG314:AZ314),""))</f>
      </c>
      <c r="AE314" s="684">
        <f>IF(終値!A314="","",IFERROR(4*STDEVP(終値!AH314:BA314)/AVERAGE(終値!AH314:BA314),""))</f>
      </c>
      <c r="AF314" s="684">
        <f>IF(終値!A314="","",IFERROR(4*STDEVP(終値!AI314:BB314)/AVERAGE(終値!AI314:BB314),""))</f>
      </c>
      <c r="AG314" s="684">
        <f>IF(終値!A314="","",IFERROR(4*STDEVP(終値!AJ314:BC314)/AVERAGE(終値!AJ314:BC314),""))</f>
      </c>
      <c r="AH314" s="684">
        <f>IF(終値!A314="","",IFERROR(4*STDEVP(終値!AK314:BD314)/AVERAGE(終値!AK314:BD314),""))</f>
      </c>
      <c r="AI314" s="684">
        <f>IF(終値!A314="","",IFERROR(4*STDEVP(終値!AL314:BE314)/AVERAGE(終値!AL314:BE314),""))</f>
      </c>
      <c r="AJ314" s="684">
        <f>IF(終値!A314="","",IFERROR(4*STDEVP(終値!AM314:BF314)/AVERAGE(終値!AM314:BF314),""))</f>
      </c>
      <c r="AK314" s="684">
        <f>IF(終値!A314="","",IFERROR(4*STDEVP(終値!AN314:BG314)/AVERAGE(終値!AN314:BG314),""))</f>
      </c>
      <c r="AL314" s="684">
        <f>IF(終値!A314="","",IFERROR(4*STDEVP(終値!AO314:BH314)/AVERAGE(終値!AO314:BH314),""))</f>
      </c>
      <c r="AM314" s="684">
        <f>IF(終値!A314="","",IFERROR(4*STDEVP(終値!AP314:BI314)/AVERAGE(終値!AP314:BI314),""))</f>
      </c>
      <c r="AN314" s="684">
        <f>IF(終値!A314="","",IFERROR(4*STDEVP(終値!AQ314:BJ314)/AVERAGE(終値!AQ314:BJ314),""))</f>
      </c>
      <c r="AO314" s="684">
        <f>IF(終値!A314="","",IFERROR(4*STDEVP(終値!AR314:BK314)/AVERAGE(終値!AR314:BK314),""))</f>
      </c>
      <c r="AP314" s="684">
        <f>IF(終値!A314="","",IFERROR(4*STDEVP(終値!AS314:BL314)/AVERAGE(終値!AS314:BL314),""))</f>
      </c>
    </row>
    <row r="315">
      <c r="A315" s="681">
        <f>IF(終値!A315="","",終値!A315)</f>
      </c>
      <c r="B315" s="684">
        <f>IF(終値!A315="","",IFERROR(4*STDEVP(終値!E315:X315)/AVERAGE(終値!E315:X315),""))</f>
      </c>
      <c r="C315" s="684">
        <f>IF(終値!A315="","",IFERROR(4*STDEVP(終値!F315:Y315)/AVERAGE(終値!F315:Y315),""))</f>
      </c>
      <c r="D315" s="684">
        <f>IF(終値!A315="","",IFERROR(4*STDEVP(終値!G315:Z315)/AVERAGE(終値!G315:Z315),""))</f>
      </c>
      <c r="E315" s="684">
        <f>IF(終値!A315="","",IFERROR(4*STDEVP(終値!H315:AA315)/AVERAGE(終値!H315:AA315),""))</f>
      </c>
      <c r="F315" s="684">
        <f>IF(終値!A315="","",IFERROR(4*STDEVP(終値!I315:AB315)/AVERAGE(終値!I315:AB315),""))</f>
      </c>
      <c r="G315" s="684">
        <f>IF(終値!A315="","",IFERROR(4*STDEVP(終値!J315:AC315)/AVERAGE(終値!J315:AC315),""))</f>
      </c>
      <c r="H315" s="684">
        <f>IF(終値!A315="","",IFERROR(4*STDEVP(終値!K315:AD315)/AVERAGE(終値!K315:AD315),""))</f>
      </c>
      <c r="I315" s="684">
        <f>IF(終値!A315="","",IFERROR(4*STDEVP(終値!L315:AE315)/AVERAGE(終値!L315:AE315),""))</f>
      </c>
      <c r="J315" s="684">
        <f>IF(終値!A315="","",IFERROR(4*STDEVP(終値!M315:AF315)/AVERAGE(終値!M315:AF315),""))</f>
      </c>
      <c r="K315" s="684">
        <f>IF(終値!A315="","",IFERROR(4*STDEVP(終値!N315:AG315)/AVERAGE(終値!N315:AG315),""))</f>
      </c>
      <c r="L315" s="684">
        <f>IF(終値!A315="","",IFERROR(4*STDEVP(終値!O315:AH315)/AVERAGE(終値!O315:AH315),""))</f>
      </c>
      <c r="M315" s="684">
        <f>IF(終値!A315="","",IFERROR(4*STDEVP(終値!P315:AI315)/AVERAGE(終値!P315:AI315),""))</f>
      </c>
      <c r="N315" s="684">
        <f>IF(終値!A315="","",IFERROR(4*STDEVP(終値!Q315:AJ315)/AVERAGE(終値!Q315:AJ315),""))</f>
      </c>
      <c r="O315" s="684">
        <f>IF(終値!A315="","",IFERROR(4*STDEVP(終値!R315:AK315)/AVERAGE(終値!R315:AK315),""))</f>
      </c>
      <c r="P315" s="684">
        <f>IF(終値!A315="","",IFERROR(4*STDEVP(終値!S315:AL315)/AVERAGE(終値!S315:AL315),""))</f>
      </c>
      <c r="Q315" s="684">
        <f>IF(終値!A315="","",IFERROR(4*STDEVP(終値!T315:AM315)/AVERAGE(終値!T315:AM315),""))</f>
      </c>
      <c r="R315" s="684">
        <f>IF(終値!A315="","",IFERROR(4*STDEVP(終値!U315:AN315)/AVERAGE(終値!U315:AN315),""))</f>
      </c>
      <c r="S315" s="684">
        <f>IF(終値!A315="","",IFERROR(4*STDEVP(終値!V315:AO315)/AVERAGE(終値!V315:AO315),""))</f>
      </c>
      <c r="T315" s="684">
        <f>IF(終値!A315="","",IFERROR(4*STDEVP(終値!W315:AP315)/AVERAGE(終値!W315:AP315),""))</f>
      </c>
      <c r="U315" s="684">
        <f>IF(終値!A315="","",IFERROR(4*STDEVP(終値!X315:AQ315)/AVERAGE(終値!X315:AQ315),""))</f>
      </c>
      <c r="V315" s="684">
        <f>IF(終値!A315="","",IFERROR(4*STDEVP(終値!Y315:AR315)/AVERAGE(終値!Y315:AR315),""))</f>
      </c>
      <c r="W315" s="684">
        <f>IF(終値!A315="","",IFERROR(4*STDEVP(終値!Z315:AS315)/AVERAGE(終値!Z315:AS315),""))</f>
      </c>
      <c r="X315" s="684">
        <f>IF(終値!A315="","",IFERROR(4*STDEVP(終値!AA315:AT315)/AVERAGE(終値!AA315:AT315),""))</f>
      </c>
      <c r="Y315" s="684">
        <f>IF(終値!A315="","",IFERROR(4*STDEVP(終値!AB315:AU315)/AVERAGE(終値!AB315:AU315),""))</f>
      </c>
      <c r="Z315" s="684">
        <f>IF(終値!A315="","",IFERROR(4*STDEVP(終値!AC315:AV315)/AVERAGE(終値!AC315:AV315),""))</f>
      </c>
      <c r="AA315" s="684">
        <f>IF(終値!A315="","",IFERROR(4*STDEVP(終値!AD315:AW315)/AVERAGE(終値!AD315:AW315),""))</f>
      </c>
      <c r="AB315" s="684">
        <f>IF(終値!A315="","",IFERROR(4*STDEVP(終値!AE315:AX315)/AVERAGE(終値!AE315:AX315),""))</f>
      </c>
      <c r="AC315" s="684">
        <f>IF(終値!A315="","",IFERROR(4*STDEVP(終値!AF315:AY315)/AVERAGE(終値!AF315:AY315),""))</f>
      </c>
      <c r="AD315" s="684">
        <f>IF(終値!A315="","",IFERROR(4*STDEVP(終値!AG315:AZ315)/AVERAGE(終値!AG315:AZ315),""))</f>
      </c>
      <c r="AE315" s="684">
        <f>IF(終値!A315="","",IFERROR(4*STDEVP(終値!AH315:BA315)/AVERAGE(終値!AH315:BA315),""))</f>
      </c>
      <c r="AF315" s="684">
        <f>IF(終値!A315="","",IFERROR(4*STDEVP(終値!AI315:BB315)/AVERAGE(終値!AI315:BB315),""))</f>
      </c>
      <c r="AG315" s="684">
        <f>IF(終値!A315="","",IFERROR(4*STDEVP(終値!AJ315:BC315)/AVERAGE(終値!AJ315:BC315),""))</f>
      </c>
      <c r="AH315" s="684">
        <f>IF(終値!A315="","",IFERROR(4*STDEVP(終値!AK315:BD315)/AVERAGE(終値!AK315:BD315),""))</f>
      </c>
      <c r="AI315" s="684">
        <f>IF(終値!A315="","",IFERROR(4*STDEVP(終値!AL315:BE315)/AVERAGE(終値!AL315:BE315),""))</f>
      </c>
      <c r="AJ315" s="684">
        <f>IF(終値!A315="","",IFERROR(4*STDEVP(終値!AM315:BF315)/AVERAGE(終値!AM315:BF315),""))</f>
      </c>
      <c r="AK315" s="684">
        <f>IF(終値!A315="","",IFERROR(4*STDEVP(終値!AN315:BG315)/AVERAGE(終値!AN315:BG315),""))</f>
      </c>
      <c r="AL315" s="684">
        <f>IF(終値!A315="","",IFERROR(4*STDEVP(終値!AO315:BH315)/AVERAGE(終値!AO315:BH315),""))</f>
      </c>
      <c r="AM315" s="684">
        <f>IF(終値!A315="","",IFERROR(4*STDEVP(終値!AP315:BI315)/AVERAGE(終値!AP315:BI315),""))</f>
      </c>
      <c r="AN315" s="684">
        <f>IF(終値!A315="","",IFERROR(4*STDEVP(終値!AQ315:BJ315)/AVERAGE(終値!AQ315:BJ315),""))</f>
      </c>
      <c r="AO315" s="684">
        <f>IF(終値!A315="","",IFERROR(4*STDEVP(終値!AR315:BK315)/AVERAGE(終値!AR315:BK315),""))</f>
      </c>
      <c r="AP315" s="684">
        <f>IF(終値!A315="","",IFERROR(4*STDEVP(終値!AS315:BL315)/AVERAGE(終値!AS315:BL315),""))</f>
      </c>
    </row>
    <row r="316">
      <c r="A316" s="681">
        <f>IF(終値!A316="","",終値!A316)</f>
      </c>
      <c r="B316" s="684">
        <f>IF(終値!A316="","",IFERROR(4*STDEVP(終値!E316:X316)/AVERAGE(終値!E316:X316),""))</f>
      </c>
      <c r="C316" s="684">
        <f>IF(終値!A316="","",IFERROR(4*STDEVP(終値!F316:Y316)/AVERAGE(終値!F316:Y316),""))</f>
      </c>
      <c r="D316" s="684">
        <f>IF(終値!A316="","",IFERROR(4*STDEVP(終値!G316:Z316)/AVERAGE(終値!G316:Z316),""))</f>
      </c>
      <c r="E316" s="684">
        <f>IF(終値!A316="","",IFERROR(4*STDEVP(終値!H316:AA316)/AVERAGE(終値!H316:AA316),""))</f>
      </c>
      <c r="F316" s="684">
        <f>IF(終値!A316="","",IFERROR(4*STDEVP(終値!I316:AB316)/AVERAGE(終値!I316:AB316),""))</f>
      </c>
      <c r="G316" s="684">
        <f>IF(終値!A316="","",IFERROR(4*STDEVP(終値!J316:AC316)/AVERAGE(終値!J316:AC316),""))</f>
      </c>
      <c r="H316" s="684">
        <f>IF(終値!A316="","",IFERROR(4*STDEVP(終値!K316:AD316)/AVERAGE(終値!K316:AD316),""))</f>
      </c>
      <c r="I316" s="684">
        <f>IF(終値!A316="","",IFERROR(4*STDEVP(終値!L316:AE316)/AVERAGE(終値!L316:AE316),""))</f>
      </c>
      <c r="J316" s="684">
        <f>IF(終値!A316="","",IFERROR(4*STDEVP(終値!M316:AF316)/AVERAGE(終値!M316:AF316),""))</f>
      </c>
      <c r="K316" s="684">
        <f>IF(終値!A316="","",IFERROR(4*STDEVP(終値!N316:AG316)/AVERAGE(終値!N316:AG316),""))</f>
      </c>
      <c r="L316" s="684">
        <f>IF(終値!A316="","",IFERROR(4*STDEVP(終値!O316:AH316)/AVERAGE(終値!O316:AH316),""))</f>
      </c>
      <c r="M316" s="684">
        <f>IF(終値!A316="","",IFERROR(4*STDEVP(終値!P316:AI316)/AVERAGE(終値!P316:AI316),""))</f>
      </c>
      <c r="N316" s="684">
        <f>IF(終値!A316="","",IFERROR(4*STDEVP(終値!Q316:AJ316)/AVERAGE(終値!Q316:AJ316),""))</f>
      </c>
      <c r="O316" s="684">
        <f>IF(終値!A316="","",IFERROR(4*STDEVP(終値!R316:AK316)/AVERAGE(終値!R316:AK316),""))</f>
      </c>
      <c r="P316" s="684">
        <f>IF(終値!A316="","",IFERROR(4*STDEVP(終値!S316:AL316)/AVERAGE(終値!S316:AL316),""))</f>
      </c>
      <c r="Q316" s="684">
        <f>IF(終値!A316="","",IFERROR(4*STDEVP(終値!T316:AM316)/AVERAGE(終値!T316:AM316),""))</f>
      </c>
      <c r="R316" s="684">
        <f>IF(終値!A316="","",IFERROR(4*STDEVP(終値!U316:AN316)/AVERAGE(終値!U316:AN316),""))</f>
      </c>
      <c r="S316" s="684">
        <f>IF(終値!A316="","",IFERROR(4*STDEVP(終値!V316:AO316)/AVERAGE(終値!V316:AO316),""))</f>
      </c>
      <c r="T316" s="684">
        <f>IF(終値!A316="","",IFERROR(4*STDEVP(終値!W316:AP316)/AVERAGE(終値!W316:AP316),""))</f>
      </c>
      <c r="U316" s="684">
        <f>IF(終値!A316="","",IFERROR(4*STDEVP(終値!X316:AQ316)/AVERAGE(終値!X316:AQ316),""))</f>
      </c>
      <c r="V316" s="684">
        <f>IF(終値!A316="","",IFERROR(4*STDEVP(終値!Y316:AR316)/AVERAGE(終値!Y316:AR316),""))</f>
      </c>
      <c r="W316" s="684">
        <f>IF(終値!A316="","",IFERROR(4*STDEVP(終値!Z316:AS316)/AVERAGE(終値!Z316:AS316),""))</f>
      </c>
      <c r="X316" s="684">
        <f>IF(終値!A316="","",IFERROR(4*STDEVP(終値!AA316:AT316)/AVERAGE(終値!AA316:AT316),""))</f>
      </c>
      <c r="Y316" s="684">
        <f>IF(終値!A316="","",IFERROR(4*STDEVP(終値!AB316:AU316)/AVERAGE(終値!AB316:AU316),""))</f>
      </c>
      <c r="Z316" s="684">
        <f>IF(終値!A316="","",IFERROR(4*STDEVP(終値!AC316:AV316)/AVERAGE(終値!AC316:AV316),""))</f>
      </c>
      <c r="AA316" s="684">
        <f>IF(終値!A316="","",IFERROR(4*STDEVP(終値!AD316:AW316)/AVERAGE(終値!AD316:AW316),""))</f>
      </c>
      <c r="AB316" s="684">
        <f>IF(終値!A316="","",IFERROR(4*STDEVP(終値!AE316:AX316)/AVERAGE(終値!AE316:AX316),""))</f>
      </c>
      <c r="AC316" s="684">
        <f>IF(終値!A316="","",IFERROR(4*STDEVP(終値!AF316:AY316)/AVERAGE(終値!AF316:AY316),""))</f>
      </c>
      <c r="AD316" s="684">
        <f>IF(終値!A316="","",IFERROR(4*STDEVP(終値!AG316:AZ316)/AVERAGE(終値!AG316:AZ316),""))</f>
      </c>
      <c r="AE316" s="684">
        <f>IF(終値!A316="","",IFERROR(4*STDEVP(終値!AH316:BA316)/AVERAGE(終値!AH316:BA316),""))</f>
      </c>
      <c r="AF316" s="684">
        <f>IF(終値!A316="","",IFERROR(4*STDEVP(終値!AI316:BB316)/AVERAGE(終値!AI316:BB316),""))</f>
      </c>
      <c r="AG316" s="684">
        <f>IF(終値!A316="","",IFERROR(4*STDEVP(終値!AJ316:BC316)/AVERAGE(終値!AJ316:BC316),""))</f>
      </c>
      <c r="AH316" s="684">
        <f>IF(終値!A316="","",IFERROR(4*STDEVP(終値!AK316:BD316)/AVERAGE(終値!AK316:BD316),""))</f>
      </c>
      <c r="AI316" s="684">
        <f>IF(終値!A316="","",IFERROR(4*STDEVP(終値!AL316:BE316)/AVERAGE(終値!AL316:BE316),""))</f>
      </c>
      <c r="AJ316" s="684">
        <f>IF(終値!A316="","",IFERROR(4*STDEVP(終値!AM316:BF316)/AVERAGE(終値!AM316:BF316),""))</f>
      </c>
      <c r="AK316" s="684">
        <f>IF(終値!A316="","",IFERROR(4*STDEVP(終値!AN316:BG316)/AVERAGE(終値!AN316:BG316),""))</f>
      </c>
      <c r="AL316" s="684">
        <f>IF(終値!A316="","",IFERROR(4*STDEVP(終値!AO316:BH316)/AVERAGE(終値!AO316:BH316),""))</f>
      </c>
      <c r="AM316" s="684">
        <f>IF(終値!A316="","",IFERROR(4*STDEVP(終値!AP316:BI316)/AVERAGE(終値!AP316:BI316),""))</f>
      </c>
      <c r="AN316" s="684">
        <f>IF(終値!A316="","",IFERROR(4*STDEVP(終値!AQ316:BJ316)/AVERAGE(終値!AQ316:BJ316),""))</f>
      </c>
      <c r="AO316" s="684">
        <f>IF(終値!A316="","",IFERROR(4*STDEVP(終値!AR316:BK316)/AVERAGE(終値!AR316:BK316),""))</f>
      </c>
      <c r="AP316" s="684">
        <f>IF(終値!A316="","",IFERROR(4*STDEVP(終値!AS316:BL316)/AVERAGE(終値!AS316:BL316),""))</f>
      </c>
    </row>
    <row r="317">
      <c r="A317" s="681">
        <f>IF(終値!A317="","",終値!A317)</f>
      </c>
      <c r="B317" s="684">
        <f>IF(終値!A317="","",IFERROR(4*STDEVP(終値!E317:X317)/AVERAGE(終値!E317:X317),""))</f>
      </c>
      <c r="C317" s="684">
        <f>IF(終値!A317="","",IFERROR(4*STDEVP(終値!F317:Y317)/AVERAGE(終値!F317:Y317),""))</f>
      </c>
      <c r="D317" s="684">
        <f>IF(終値!A317="","",IFERROR(4*STDEVP(終値!G317:Z317)/AVERAGE(終値!G317:Z317),""))</f>
      </c>
      <c r="E317" s="684">
        <f>IF(終値!A317="","",IFERROR(4*STDEVP(終値!H317:AA317)/AVERAGE(終値!H317:AA317),""))</f>
      </c>
      <c r="F317" s="684">
        <f>IF(終値!A317="","",IFERROR(4*STDEVP(終値!I317:AB317)/AVERAGE(終値!I317:AB317),""))</f>
      </c>
      <c r="G317" s="684">
        <f>IF(終値!A317="","",IFERROR(4*STDEVP(終値!J317:AC317)/AVERAGE(終値!J317:AC317),""))</f>
      </c>
      <c r="H317" s="684">
        <f>IF(終値!A317="","",IFERROR(4*STDEVP(終値!K317:AD317)/AVERAGE(終値!K317:AD317),""))</f>
      </c>
      <c r="I317" s="684">
        <f>IF(終値!A317="","",IFERROR(4*STDEVP(終値!L317:AE317)/AVERAGE(終値!L317:AE317),""))</f>
      </c>
      <c r="J317" s="684">
        <f>IF(終値!A317="","",IFERROR(4*STDEVP(終値!M317:AF317)/AVERAGE(終値!M317:AF317),""))</f>
      </c>
      <c r="K317" s="684">
        <f>IF(終値!A317="","",IFERROR(4*STDEVP(終値!N317:AG317)/AVERAGE(終値!N317:AG317),""))</f>
      </c>
      <c r="L317" s="684">
        <f>IF(終値!A317="","",IFERROR(4*STDEVP(終値!O317:AH317)/AVERAGE(終値!O317:AH317),""))</f>
      </c>
      <c r="M317" s="684">
        <f>IF(終値!A317="","",IFERROR(4*STDEVP(終値!P317:AI317)/AVERAGE(終値!P317:AI317),""))</f>
      </c>
      <c r="N317" s="684">
        <f>IF(終値!A317="","",IFERROR(4*STDEVP(終値!Q317:AJ317)/AVERAGE(終値!Q317:AJ317),""))</f>
      </c>
      <c r="O317" s="684">
        <f>IF(終値!A317="","",IFERROR(4*STDEVP(終値!R317:AK317)/AVERAGE(終値!R317:AK317),""))</f>
      </c>
      <c r="P317" s="684">
        <f>IF(終値!A317="","",IFERROR(4*STDEVP(終値!S317:AL317)/AVERAGE(終値!S317:AL317),""))</f>
      </c>
      <c r="Q317" s="684">
        <f>IF(終値!A317="","",IFERROR(4*STDEVP(終値!T317:AM317)/AVERAGE(終値!T317:AM317),""))</f>
      </c>
      <c r="R317" s="684">
        <f>IF(終値!A317="","",IFERROR(4*STDEVP(終値!U317:AN317)/AVERAGE(終値!U317:AN317),""))</f>
      </c>
      <c r="S317" s="684">
        <f>IF(終値!A317="","",IFERROR(4*STDEVP(終値!V317:AO317)/AVERAGE(終値!V317:AO317),""))</f>
      </c>
      <c r="T317" s="684">
        <f>IF(終値!A317="","",IFERROR(4*STDEVP(終値!W317:AP317)/AVERAGE(終値!W317:AP317),""))</f>
      </c>
      <c r="U317" s="684">
        <f>IF(終値!A317="","",IFERROR(4*STDEVP(終値!X317:AQ317)/AVERAGE(終値!X317:AQ317),""))</f>
      </c>
      <c r="V317" s="684">
        <f>IF(終値!A317="","",IFERROR(4*STDEVP(終値!Y317:AR317)/AVERAGE(終値!Y317:AR317),""))</f>
      </c>
      <c r="W317" s="684">
        <f>IF(終値!A317="","",IFERROR(4*STDEVP(終値!Z317:AS317)/AVERAGE(終値!Z317:AS317),""))</f>
      </c>
      <c r="X317" s="684">
        <f>IF(終値!A317="","",IFERROR(4*STDEVP(終値!AA317:AT317)/AVERAGE(終値!AA317:AT317),""))</f>
      </c>
      <c r="Y317" s="684">
        <f>IF(終値!A317="","",IFERROR(4*STDEVP(終値!AB317:AU317)/AVERAGE(終値!AB317:AU317),""))</f>
      </c>
      <c r="Z317" s="684">
        <f>IF(終値!A317="","",IFERROR(4*STDEVP(終値!AC317:AV317)/AVERAGE(終値!AC317:AV317),""))</f>
      </c>
      <c r="AA317" s="684">
        <f>IF(終値!A317="","",IFERROR(4*STDEVP(終値!AD317:AW317)/AVERAGE(終値!AD317:AW317),""))</f>
      </c>
      <c r="AB317" s="684">
        <f>IF(終値!A317="","",IFERROR(4*STDEVP(終値!AE317:AX317)/AVERAGE(終値!AE317:AX317),""))</f>
      </c>
      <c r="AC317" s="684">
        <f>IF(終値!A317="","",IFERROR(4*STDEVP(終値!AF317:AY317)/AVERAGE(終値!AF317:AY317),""))</f>
      </c>
      <c r="AD317" s="684">
        <f>IF(終値!A317="","",IFERROR(4*STDEVP(終値!AG317:AZ317)/AVERAGE(終値!AG317:AZ317),""))</f>
      </c>
      <c r="AE317" s="684">
        <f>IF(終値!A317="","",IFERROR(4*STDEVP(終値!AH317:BA317)/AVERAGE(終値!AH317:BA317),""))</f>
      </c>
      <c r="AF317" s="684">
        <f>IF(終値!A317="","",IFERROR(4*STDEVP(終値!AI317:BB317)/AVERAGE(終値!AI317:BB317),""))</f>
      </c>
      <c r="AG317" s="684">
        <f>IF(終値!A317="","",IFERROR(4*STDEVP(終値!AJ317:BC317)/AVERAGE(終値!AJ317:BC317),""))</f>
      </c>
      <c r="AH317" s="684">
        <f>IF(終値!A317="","",IFERROR(4*STDEVP(終値!AK317:BD317)/AVERAGE(終値!AK317:BD317),""))</f>
      </c>
      <c r="AI317" s="684">
        <f>IF(終値!A317="","",IFERROR(4*STDEVP(終値!AL317:BE317)/AVERAGE(終値!AL317:BE317),""))</f>
      </c>
      <c r="AJ317" s="684">
        <f>IF(終値!A317="","",IFERROR(4*STDEVP(終値!AM317:BF317)/AVERAGE(終値!AM317:BF317),""))</f>
      </c>
      <c r="AK317" s="684">
        <f>IF(終値!A317="","",IFERROR(4*STDEVP(終値!AN317:BG317)/AVERAGE(終値!AN317:BG317),""))</f>
      </c>
      <c r="AL317" s="684">
        <f>IF(終値!A317="","",IFERROR(4*STDEVP(終値!AO317:BH317)/AVERAGE(終値!AO317:BH317),""))</f>
      </c>
      <c r="AM317" s="684">
        <f>IF(終値!A317="","",IFERROR(4*STDEVP(終値!AP317:BI317)/AVERAGE(終値!AP317:BI317),""))</f>
      </c>
      <c r="AN317" s="684">
        <f>IF(終値!A317="","",IFERROR(4*STDEVP(終値!AQ317:BJ317)/AVERAGE(終値!AQ317:BJ317),""))</f>
      </c>
      <c r="AO317" s="684">
        <f>IF(終値!A317="","",IFERROR(4*STDEVP(終値!AR317:BK317)/AVERAGE(終値!AR317:BK317),""))</f>
      </c>
      <c r="AP317" s="684">
        <f>IF(終値!A317="","",IFERROR(4*STDEVP(終値!AS317:BL317)/AVERAGE(終値!AS317:BL317),""))</f>
      </c>
    </row>
    <row r="318">
      <c r="A318" s="681">
        <f>IF(終値!A318="","",終値!A318)</f>
      </c>
      <c r="B318" s="684">
        <f>IF(終値!A318="","",IFERROR(4*STDEVP(終値!E318:X318)/AVERAGE(終値!E318:X318),""))</f>
      </c>
      <c r="C318" s="684">
        <f>IF(終値!A318="","",IFERROR(4*STDEVP(終値!F318:Y318)/AVERAGE(終値!F318:Y318),""))</f>
      </c>
      <c r="D318" s="684">
        <f>IF(終値!A318="","",IFERROR(4*STDEVP(終値!G318:Z318)/AVERAGE(終値!G318:Z318),""))</f>
      </c>
      <c r="E318" s="684">
        <f>IF(終値!A318="","",IFERROR(4*STDEVP(終値!H318:AA318)/AVERAGE(終値!H318:AA318),""))</f>
      </c>
      <c r="F318" s="684">
        <f>IF(終値!A318="","",IFERROR(4*STDEVP(終値!I318:AB318)/AVERAGE(終値!I318:AB318),""))</f>
      </c>
      <c r="G318" s="684">
        <f>IF(終値!A318="","",IFERROR(4*STDEVP(終値!J318:AC318)/AVERAGE(終値!J318:AC318),""))</f>
      </c>
      <c r="H318" s="684">
        <f>IF(終値!A318="","",IFERROR(4*STDEVP(終値!K318:AD318)/AVERAGE(終値!K318:AD318),""))</f>
      </c>
      <c r="I318" s="684">
        <f>IF(終値!A318="","",IFERROR(4*STDEVP(終値!L318:AE318)/AVERAGE(終値!L318:AE318),""))</f>
      </c>
      <c r="J318" s="684">
        <f>IF(終値!A318="","",IFERROR(4*STDEVP(終値!M318:AF318)/AVERAGE(終値!M318:AF318),""))</f>
      </c>
      <c r="K318" s="684">
        <f>IF(終値!A318="","",IFERROR(4*STDEVP(終値!N318:AG318)/AVERAGE(終値!N318:AG318),""))</f>
      </c>
      <c r="L318" s="684">
        <f>IF(終値!A318="","",IFERROR(4*STDEVP(終値!O318:AH318)/AVERAGE(終値!O318:AH318),""))</f>
      </c>
      <c r="M318" s="684">
        <f>IF(終値!A318="","",IFERROR(4*STDEVP(終値!P318:AI318)/AVERAGE(終値!P318:AI318),""))</f>
      </c>
      <c r="N318" s="684">
        <f>IF(終値!A318="","",IFERROR(4*STDEVP(終値!Q318:AJ318)/AVERAGE(終値!Q318:AJ318),""))</f>
      </c>
      <c r="O318" s="684">
        <f>IF(終値!A318="","",IFERROR(4*STDEVP(終値!R318:AK318)/AVERAGE(終値!R318:AK318),""))</f>
      </c>
      <c r="P318" s="684">
        <f>IF(終値!A318="","",IFERROR(4*STDEVP(終値!S318:AL318)/AVERAGE(終値!S318:AL318),""))</f>
      </c>
      <c r="Q318" s="684">
        <f>IF(終値!A318="","",IFERROR(4*STDEVP(終値!T318:AM318)/AVERAGE(終値!T318:AM318),""))</f>
      </c>
      <c r="R318" s="684">
        <f>IF(終値!A318="","",IFERROR(4*STDEVP(終値!U318:AN318)/AVERAGE(終値!U318:AN318),""))</f>
      </c>
      <c r="S318" s="684">
        <f>IF(終値!A318="","",IFERROR(4*STDEVP(終値!V318:AO318)/AVERAGE(終値!V318:AO318),""))</f>
      </c>
      <c r="T318" s="684">
        <f>IF(終値!A318="","",IFERROR(4*STDEVP(終値!W318:AP318)/AVERAGE(終値!W318:AP318),""))</f>
      </c>
      <c r="U318" s="684">
        <f>IF(終値!A318="","",IFERROR(4*STDEVP(終値!X318:AQ318)/AVERAGE(終値!X318:AQ318),""))</f>
      </c>
      <c r="V318" s="684">
        <f>IF(終値!A318="","",IFERROR(4*STDEVP(終値!Y318:AR318)/AVERAGE(終値!Y318:AR318),""))</f>
      </c>
      <c r="W318" s="684">
        <f>IF(終値!A318="","",IFERROR(4*STDEVP(終値!Z318:AS318)/AVERAGE(終値!Z318:AS318),""))</f>
      </c>
      <c r="X318" s="684">
        <f>IF(終値!A318="","",IFERROR(4*STDEVP(終値!AA318:AT318)/AVERAGE(終値!AA318:AT318),""))</f>
      </c>
      <c r="Y318" s="684">
        <f>IF(終値!A318="","",IFERROR(4*STDEVP(終値!AB318:AU318)/AVERAGE(終値!AB318:AU318),""))</f>
      </c>
      <c r="Z318" s="684">
        <f>IF(終値!A318="","",IFERROR(4*STDEVP(終値!AC318:AV318)/AVERAGE(終値!AC318:AV318),""))</f>
      </c>
      <c r="AA318" s="684">
        <f>IF(終値!A318="","",IFERROR(4*STDEVP(終値!AD318:AW318)/AVERAGE(終値!AD318:AW318),""))</f>
      </c>
      <c r="AB318" s="684">
        <f>IF(終値!A318="","",IFERROR(4*STDEVP(終値!AE318:AX318)/AVERAGE(終値!AE318:AX318),""))</f>
      </c>
      <c r="AC318" s="684">
        <f>IF(終値!A318="","",IFERROR(4*STDEVP(終値!AF318:AY318)/AVERAGE(終値!AF318:AY318),""))</f>
      </c>
      <c r="AD318" s="684">
        <f>IF(終値!A318="","",IFERROR(4*STDEVP(終値!AG318:AZ318)/AVERAGE(終値!AG318:AZ318),""))</f>
      </c>
      <c r="AE318" s="684">
        <f>IF(終値!A318="","",IFERROR(4*STDEVP(終値!AH318:BA318)/AVERAGE(終値!AH318:BA318),""))</f>
      </c>
      <c r="AF318" s="684">
        <f>IF(終値!A318="","",IFERROR(4*STDEVP(終値!AI318:BB318)/AVERAGE(終値!AI318:BB318),""))</f>
      </c>
      <c r="AG318" s="684">
        <f>IF(終値!A318="","",IFERROR(4*STDEVP(終値!AJ318:BC318)/AVERAGE(終値!AJ318:BC318),""))</f>
      </c>
      <c r="AH318" s="684">
        <f>IF(終値!A318="","",IFERROR(4*STDEVP(終値!AK318:BD318)/AVERAGE(終値!AK318:BD318),""))</f>
      </c>
      <c r="AI318" s="684">
        <f>IF(終値!A318="","",IFERROR(4*STDEVP(終値!AL318:BE318)/AVERAGE(終値!AL318:BE318),""))</f>
      </c>
      <c r="AJ318" s="684">
        <f>IF(終値!A318="","",IFERROR(4*STDEVP(終値!AM318:BF318)/AVERAGE(終値!AM318:BF318),""))</f>
      </c>
      <c r="AK318" s="684">
        <f>IF(終値!A318="","",IFERROR(4*STDEVP(終値!AN318:BG318)/AVERAGE(終値!AN318:BG318),""))</f>
      </c>
      <c r="AL318" s="684">
        <f>IF(終値!A318="","",IFERROR(4*STDEVP(終値!AO318:BH318)/AVERAGE(終値!AO318:BH318),""))</f>
      </c>
      <c r="AM318" s="684">
        <f>IF(終値!A318="","",IFERROR(4*STDEVP(終値!AP318:BI318)/AVERAGE(終値!AP318:BI318),""))</f>
      </c>
      <c r="AN318" s="684">
        <f>IF(終値!A318="","",IFERROR(4*STDEVP(終値!AQ318:BJ318)/AVERAGE(終値!AQ318:BJ318),""))</f>
      </c>
      <c r="AO318" s="684">
        <f>IF(終値!A318="","",IFERROR(4*STDEVP(終値!AR318:BK318)/AVERAGE(終値!AR318:BK318),""))</f>
      </c>
      <c r="AP318" s="684">
        <f>IF(終値!A318="","",IFERROR(4*STDEVP(終値!AS318:BL318)/AVERAGE(終値!AS318:BL318),""))</f>
      </c>
    </row>
    <row r="319">
      <c r="A319" s="681">
        <f>IF(終値!A319="","",終値!A319)</f>
      </c>
      <c r="B319" s="684">
        <f>IF(終値!A319="","",IFERROR(4*STDEVP(終値!E319:X319)/AVERAGE(終値!E319:X319),""))</f>
      </c>
      <c r="C319" s="684">
        <f>IF(終値!A319="","",IFERROR(4*STDEVP(終値!F319:Y319)/AVERAGE(終値!F319:Y319),""))</f>
      </c>
      <c r="D319" s="684">
        <f>IF(終値!A319="","",IFERROR(4*STDEVP(終値!G319:Z319)/AVERAGE(終値!G319:Z319),""))</f>
      </c>
      <c r="E319" s="684">
        <f>IF(終値!A319="","",IFERROR(4*STDEVP(終値!H319:AA319)/AVERAGE(終値!H319:AA319),""))</f>
      </c>
      <c r="F319" s="684">
        <f>IF(終値!A319="","",IFERROR(4*STDEVP(終値!I319:AB319)/AVERAGE(終値!I319:AB319),""))</f>
      </c>
      <c r="G319" s="684">
        <f>IF(終値!A319="","",IFERROR(4*STDEVP(終値!J319:AC319)/AVERAGE(終値!J319:AC319),""))</f>
      </c>
      <c r="H319" s="684">
        <f>IF(終値!A319="","",IFERROR(4*STDEVP(終値!K319:AD319)/AVERAGE(終値!K319:AD319),""))</f>
      </c>
      <c r="I319" s="684">
        <f>IF(終値!A319="","",IFERROR(4*STDEVP(終値!L319:AE319)/AVERAGE(終値!L319:AE319),""))</f>
      </c>
      <c r="J319" s="684">
        <f>IF(終値!A319="","",IFERROR(4*STDEVP(終値!M319:AF319)/AVERAGE(終値!M319:AF319),""))</f>
      </c>
      <c r="K319" s="684">
        <f>IF(終値!A319="","",IFERROR(4*STDEVP(終値!N319:AG319)/AVERAGE(終値!N319:AG319),""))</f>
      </c>
      <c r="L319" s="684">
        <f>IF(終値!A319="","",IFERROR(4*STDEVP(終値!O319:AH319)/AVERAGE(終値!O319:AH319),""))</f>
      </c>
      <c r="M319" s="684">
        <f>IF(終値!A319="","",IFERROR(4*STDEVP(終値!P319:AI319)/AVERAGE(終値!P319:AI319),""))</f>
      </c>
      <c r="N319" s="684">
        <f>IF(終値!A319="","",IFERROR(4*STDEVP(終値!Q319:AJ319)/AVERAGE(終値!Q319:AJ319),""))</f>
      </c>
      <c r="O319" s="684">
        <f>IF(終値!A319="","",IFERROR(4*STDEVP(終値!R319:AK319)/AVERAGE(終値!R319:AK319),""))</f>
      </c>
      <c r="P319" s="684">
        <f>IF(終値!A319="","",IFERROR(4*STDEVP(終値!S319:AL319)/AVERAGE(終値!S319:AL319),""))</f>
      </c>
      <c r="Q319" s="684">
        <f>IF(終値!A319="","",IFERROR(4*STDEVP(終値!T319:AM319)/AVERAGE(終値!T319:AM319),""))</f>
      </c>
      <c r="R319" s="684">
        <f>IF(終値!A319="","",IFERROR(4*STDEVP(終値!U319:AN319)/AVERAGE(終値!U319:AN319),""))</f>
      </c>
      <c r="S319" s="684">
        <f>IF(終値!A319="","",IFERROR(4*STDEVP(終値!V319:AO319)/AVERAGE(終値!V319:AO319),""))</f>
      </c>
      <c r="T319" s="684">
        <f>IF(終値!A319="","",IFERROR(4*STDEVP(終値!W319:AP319)/AVERAGE(終値!W319:AP319),""))</f>
      </c>
      <c r="U319" s="684">
        <f>IF(終値!A319="","",IFERROR(4*STDEVP(終値!X319:AQ319)/AVERAGE(終値!X319:AQ319),""))</f>
      </c>
      <c r="V319" s="684">
        <f>IF(終値!A319="","",IFERROR(4*STDEVP(終値!Y319:AR319)/AVERAGE(終値!Y319:AR319),""))</f>
      </c>
      <c r="W319" s="684">
        <f>IF(終値!A319="","",IFERROR(4*STDEVP(終値!Z319:AS319)/AVERAGE(終値!Z319:AS319),""))</f>
      </c>
      <c r="X319" s="684">
        <f>IF(終値!A319="","",IFERROR(4*STDEVP(終値!AA319:AT319)/AVERAGE(終値!AA319:AT319),""))</f>
      </c>
      <c r="Y319" s="684">
        <f>IF(終値!A319="","",IFERROR(4*STDEVP(終値!AB319:AU319)/AVERAGE(終値!AB319:AU319),""))</f>
      </c>
      <c r="Z319" s="684">
        <f>IF(終値!A319="","",IFERROR(4*STDEVP(終値!AC319:AV319)/AVERAGE(終値!AC319:AV319),""))</f>
      </c>
      <c r="AA319" s="684">
        <f>IF(終値!A319="","",IFERROR(4*STDEVP(終値!AD319:AW319)/AVERAGE(終値!AD319:AW319),""))</f>
      </c>
      <c r="AB319" s="684">
        <f>IF(終値!A319="","",IFERROR(4*STDEVP(終値!AE319:AX319)/AVERAGE(終値!AE319:AX319),""))</f>
      </c>
      <c r="AC319" s="684">
        <f>IF(終値!A319="","",IFERROR(4*STDEVP(終値!AF319:AY319)/AVERAGE(終値!AF319:AY319),""))</f>
      </c>
      <c r="AD319" s="684">
        <f>IF(終値!A319="","",IFERROR(4*STDEVP(終値!AG319:AZ319)/AVERAGE(終値!AG319:AZ319),""))</f>
      </c>
      <c r="AE319" s="684">
        <f>IF(終値!A319="","",IFERROR(4*STDEVP(終値!AH319:BA319)/AVERAGE(終値!AH319:BA319),""))</f>
      </c>
      <c r="AF319" s="684">
        <f>IF(終値!A319="","",IFERROR(4*STDEVP(終値!AI319:BB319)/AVERAGE(終値!AI319:BB319),""))</f>
      </c>
      <c r="AG319" s="684">
        <f>IF(終値!A319="","",IFERROR(4*STDEVP(終値!AJ319:BC319)/AVERAGE(終値!AJ319:BC319),""))</f>
      </c>
      <c r="AH319" s="684">
        <f>IF(終値!A319="","",IFERROR(4*STDEVP(終値!AK319:BD319)/AVERAGE(終値!AK319:BD319),""))</f>
      </c>
      <c r="AI319" s="684">
        <f>IF(終値!A319="","",IFERROR(4*STDEVP(終値!AL319:BE319)/AVERAGE(終値!AL319:BE319),""))</f>
      </c>
      <c r="AJ319" s="684">
        <f>IF(終値!A319="","",IFERROR(4*STDEVP(終値!AM319:BF319)/AVERAGE(終値!AM319:BF319),""))</f>
      </c>
      <c r="AK319" s="684">
        <f>IF(終値!A319="","",IFERROR(4*STDEVP(終値!AN319:BG319)/AVERAGE(終値!AN319:BG319),""))</f>
      </c>
      <c r="AL319" s="684">
        <f>IF(終値!A319="","",IFERROR(4*STDEVP(終値!AO319:BH319)/AVERAGE(終値!AO319:BH319),""))</f>
      </c>
      <c r="AM319" s="684">
        <f>IF(終値!A319="","",IFERROR(4*STDEVP(終値!AP319:BI319)/AVERAGE(終値!AP319:BI319),""))</f>
      </c>
      <c r="AN319" s="684">
        <f>IF(終値!A319="","",IFERROR(4*STDEVP(終値!AQ319:BJ319)/AVERAGE(終値!AQ319:BJ319),""))</f>
      </c>
      <c r="AO319" s="684">
        <f>IF(終値!A319="","",IFERROR(4*STDEVP(終値!AR319:BK319)/AVERAGE(終値!AR319:BK319),""))</f>
      </c>
      <c r="AP319" s="684">
        <f>IF(終値!A319="","",IFERROR(4*STDEVP(終値!AS319:BL319)/AVERAGE(終値!AS319:BL319),""))</f>
      </c>
    </row>
    <row r="320">
      <c r="A320" s="681">
        <f>IF(終値!A320="","",終値!A320)</f>
      </c>
      <c r="B320" s="684">
        <f>IF(終値!A320="","",IFERROR(4*STDEVP(終値!E320:X320)/AVERAGE(終値!E320:X320),""))</f>
      </c>
      <c r="C320" s="684">
        <f>IF(終値!A320="","",IFERROR(4*STDEVP(終値!F320:Y320)/AVERAGE(終値!F320:Y320),""))</f>
      </c>
      <c r="D320" s="684">
        <f>IF(終値!A320="","",IFERROR(4*STDEVP(終値!G320:Z320)/AVERAGE(終値!G320:Z320),""))</f>
      </c>
      <c r="E320" s="684">
        <f>IF(終値!A320="","",IFERROR(4*STDEVP(終値!H320:AA320)/AVERAGE(終値!H320:AA320),""))</f>
      </c>
      <c r="F320" s="684">
        <f>IF(終値!A320="","",IFERROR(4*STDEVP(終値!I320:AB320)/AVERAGE(終値!I320:AB320),""))</f>
      </c>
      <c r="G320" s="684">
        <f>IF(終値!A320="","",IFERROR(4*STDEVP(終値!J320:AC320)/AVERAGE(終値!J320:AC320),""))</f>
      </c>
      <c r="H320" s="684">
        <f>IF(終値!A320="","",IFERROR(4*STDEVP(終値!K320:AD320)/AVERAGE(終値!K320:AD320),""))</f>
      </c>
      <c r="I320" s="684">
        <f>IF(終値!A320="","",IFERROR(4*STDEVP(終値!L320:AE320)/AVERAGE(終値!L320:AE320),""))</f>
      </c>
      <c r="J320" s="684">
        <f>IF(終値!A320="","",IFERROR(4*STDEVP(終値!M320:AF320)/AVERAGE(終値!M320:AF320),""))</f>
      </c>
      <c r="K320" s="684">
        <f>IF(終値!A320="","",IFERROR(4*STDEVP(終値!N320:AG320)/AVERAGE(終値!N320:AG320),""))</f>
      </c>
      <c r="L320" s="684">
        <f>IF(終値!A320="","",IFERROR(4*STDEVP(終値!O320:AH320)/AVERAGE(終値!O320:AH320),""))</f>
      </c>
      <c r="M320" s="684">
        <f>IF(終値!A320="","",IFERROR(4*STDEVP(終値!P320:AI320)/AVERAGE(終値!P320:AI320),""))</f>
      </c>
      <c r="N320" s="684">
        <f>IF(終値!A320="","",IFERROR(4*STDEVP(終値!Q320:AJ320)/AVERAGE(終値!Q320:AJ320),""))</f>
      </c>
      <c r="O320" s="684">
        <f>IF(終値!A320="","",IFERROR(4*STDEVP(終値!R320:AK320)/AVERAGE(終値!R320:AK320),""))</f>
      </c>
      <c r="P320" s="684">
        <f>IF(終値!A320="","",IFERROR(4*STDEVP(終値!S320:AL320)/AVERAGE(終値!S320:AL320),""))</f>
      </c>
      <c r="Q320" s="684">
        <f>IF(終値!A320="","",IFERROR(4*STDEVP(終値!T320:AM320)/AVERAGE(終値!T320:AM320),""))</f>
      </c>
      <c r="R320" s="684">
        <f>IF(終値!A320="","",IFERROR(4*STDEVP(終値!U320:AN320)/AVERAGE(終値!U320:AN320),""))</f>
      </c>
      <c r="S320" s="684">
        <f>IF(終値!A320="","",IFERROR(4*STDEVP(終値!V320:AO320)/AVERAGE(終値!V320:AO320),""))</f>
      </c>
      <c r="T320" s="684">
        <f>IF(終値!A320="","",IFERROR(4*STDEVP(終値!W320:AP320)/AVERAGE(終値!W320:AP320),""))</f>
      </c>
      <c r="U320" s="684">
        <f>IF(終値!A320="","",IFERROR(4*STDEVP(終値!X320:AQ320)/AVERAGE(終値!X320:AQ320),""))</f>
      </c>
      <c r="V320" s="684">
        <f>IF(終値!A320="","",IFERROR(4*STDEVP(終値!Y320:AR320)/AVERAGE(終値!Y320:AR320),""))</f>
      </c>
      <c r="W320" s="684">
        <f>IF(終値!A320="","",IFERROR(4*STDEVP(終値!Z320:AS320)/AVERAGE(終値!Z320:AS320),""))</f>
      </c>
      <c r="X320" s="684">
        <f>IF(終値!A320="","",IFERROR(4*STDEVP(終値!AA320:AT320)/AVERAGE(終値!AA320:AT320),""))</f>
      </c>
      <c r="Y320" s="684">
        <f>IF(終値!A320="","",IFERROR(4*STDEVP(終値!AB320:AU320)/AVERAGE(終値!AB320:AU320),""))</f>
      </c>
      <c r="Z320" s="684">
        <f>IF(終値!A320="","",IFERROR(4*STDEVP(終値!AC320:AV320)/AVERAGE(終値!AC320:AV320),""))</f>
      </c>
      <c r="AA320" s="684">
        <f>IF(終値!A320="","",IFERROR(4*STDEVP(終値!AD320:AW320)/AVERAGE(終値!AD320:AW320),""))</f>
      </c>
      <c r="AB320" s="684">
        <f>IF(終値!A320="","",IFERROR(4*STDEVP(終値!AE320:AX320)/AVERAGE(終値!AE320:AX320),""))</f>
      </c>
      <c r="AC320" s="684">
        <f>IF(終値!A320="","",IFERROR(4*STDEVP(終値!AF320:AY320)/AVERAGE(終値!AF320:AY320),""))</f>
      </c>
      <c r="AD320" s="684">
        <f>IF(終値!A320="","",IFERROR(4*STDEVP(終値!AG320:AZ320)/AVERAGE(終値!AG320:AZ320),""))</f>
      </c>
      <c r="AE320" s="684">
        <f>IF(終値!A320="","",IFERROR(4*STDEVP(終値!AH320:BA320)/AVERAGE(終値!AH320:BA320),""))</f>
      </c>
      <c r="AF320" s="684">
        <f>IF(終値!A320="","",IFERROR(4*STDEVP(終値!AI320:BB320)/AVERAGE(終値!AI320:BB320),""))</f>
      </c>
      <c r="AG320" s="684">
        <f>IF(終値!A320="","",IFERROR(4*STDEVP(終値!AJ320:BC320)/AVERAGE(終値!AJ320:BC320),""))</f>
      </c>
      <c r="AH320" s="684">
        <f>IF(終値!A320="","",IFERROR(4*STDEVP(終値!AK320:BD320)/AVERAGE(終値!AK320:BD320),""))</f>
      </c>
      <c r="AI320" s="684">
        <f>IF(終値!A320="","",IFERROR(4*STDEVP(終値!AL320:BE320)/AVERAGE(終値!AL320:BE320),""))</f>
      </c>
      <c r="AJ320" s="684">
        <f>IF(終値!A320="","",IFERROR(4*STDEVP(終値!AM320:BF320)/AVERAGE(終値!AM320:BF320),""))</f>
      </c>
      <c r="AK320" s="684">
        <f>IF(終値!A320="","",IFERROR(4*STDEVP(終値!AN320:BG320)/AVERAGE(終値!AN320:BG320),""))</f>
      </c>
      <c r="AL320" s="684">
        <f>IF(終値!A320="","",IFERROR(4*STDEVP(終値!AO320:BH320)/AVERAGE(終値!AO320:BH320),""))</f>
      </c>
      <c r="AM320" s="684">
        <f>IF(終値!A320="","",IFERROR(4*STDEVP(終値!AP320:BI320)/AVERAGE(終値!AP320:BI320),""))</f>
      </c>
      <c r="AN320" s="684">
        <f>IF(終値!A320="","",IFERROR(4*STDEVP(終値!AQ320:BJ320)/AVERAGE(終値!AQ320:BJ320),""))</f>
      </c>
      <c r="AO320" s="684">
        <f>IF(終値!A320="","",IFERROR(4*STDEVP(終値!AR320:BK320)/AVERAGE(終値!AR320:BK320),""))</f>
      </c>
      <c r="AP320" s="684">
        <f>IF(終値!A320="","",IFERROR(4*STDEVP(終値!AS320:BL320)/AVERAGE(終値!AS320:BL320),""))</f>
      </c>
    </row>
    <row r="321">
      <c r="A321" s="681">
        <f>IF(終値!A321="","",終値!A321)</f>
      </c>
      <c r="B321" s="684">
        <f>IF(終値!A321="","",IFERROR(4*STDEVP(終値!E321:X321)/AVERAGE(終値!E321:X321),""))</f>
      </c>
      <c r="C321" s="684">
        <f>IF(終値!A321="","",IFERROR(4*STDEVP(終値!F321:Y321)/AVERAGE(終値!F321:Y321),""))</f>
      </c>
      <c r="D321" s="684">
        <f>IF(終値!A321="","",IFERROR(4*STDEVP(終値!G321:Z321)/AVERAGE(終値!G321:Z321),""))</f>
      </c>
      <c r="E321" s="684">
        <f>IF(終値!A321="","",IFERROR(4*STDEVP(終値!H321:AA321)/AVERAGE(終値!H321:AA321),""))</f>
      </c>
      <c r="F321" s="684">
        <f>IF(終値!A321="","",IFERROR(4*STDEVP(終値!I321:AB321)/AVERAGE(終値!I321:AB321),""))</f>
      </c>
      <c r="G321" s="684">
        <f>IF(終値!A321="","",IFERROR(4*STDEVP(終値!J321:AC321)/AVERAGE(終値!J321:AC321),""))</f>
      </c>
      <c r="H321" s="684">
        <f>IF(終値!A321="","",IFERROR(4*STDEVP(終値!K321:AD321)/AVERAGE(終値!K321:AD321),""))</f>
      </c>
      <c r="I321" s="684">
        <f>IF(終値!A321="","",IFERROR(4*STDEVP(終値!L321:AE321)/AVERAGE(終値!L321:AE321),""))</f>
      </c>
      <c r="J321" s="684">
        <f>IF(終値!A321="","",IFERROR(4*STDEVP(終値!M321:AF321)/AVERAGE(終値!M321:AF321),""))</f>
      </c>
      <c r="K321" s="684">
        <f>IF(終値!A321="","",IFERROR(4*STDEVP(終値!N321:AG321)/AVERAGE(終値!N321:AG321),""))</f>
      </c>
      <c r="L321" s="684">
        <f>IF(終値!A321="","",IFERROR(4*STDEVP(終値!O321:AH321)/AVERAGE(終値!O321:AH321),""))</f>
      </c>
      <c r="M321" s="684">
        <f>IF(終値!A321="","",IFERROR(4*STDEVP(終値!P321:AI321)/AVERAGE(終値!P321:AI321),""))</f>
      </c>
      <c r="N321" s="684">
        <f>IF(終値!A321="","",IFERROR(4*STDEVP(終値!Q321:AJ321)/AVERAGE(終値!Q321:AJ321),""))</f>
      </c>
      <c r="O321" s="684">
        <f>IF(終値!A321="","",IFERROR(4*STDEVP(終値!R321:AK321)/AVERAGE(終値!R321:AK321),""))</f>
      </c>
      <c r="P321" s="684">
        <f>IF(終値!A321="","",IFERROR(4*STDEVP(終値!S321:AL321)/AVERAGE(終値!S321:AL321),""))</f>
      </c>
      <c r="Q321" s="684">
        <f>IF(終値!A321="","",IFERROR(4*STDEVP(終値!T321:AM321)/AVERAGE(終値!T321:AM321),""))</f>
      </c>
      <c r="R321" s="684">
        <f>IF(終値!A321="","",IFERROR(4*STDEVP(終値!U321:AN321)/AVERAGE(終値!U321:AN321),""))</f>
      </c>
      <c r="S321" s="684">
        <f>IF(終値!A321="","",IFERROR(4*STDEVP(終値!V321:AO321)/AVERAGE(終値!V321:AO321),""))</f>
      </c>
      <c r="T321" s="684">
        <f>IF(終値!A321="","",IFERROR(4*STDEVP(終値!W321:AP321)/AVERAGE(終値!W321:AP321),""))</f>
      </c>
      <c r="U321" s="684">
        <f>IF(終値!A321="","",IFERROR(4*STDEVP(終値!X321:AQ321)/AVERAGE(終値!X321:AQ321),""))</f>
      </c>
      <c r="V321" s="684">
        <f>IF(終値!A321="","",IFERROR(4*STDEVP(終値!Y321:AR321)/AVERAGE(終値!Y321:AR321),""))</f>
      </c>
      <c r="W321" s="684">
        <f>IF(終値!A321="","",IFERROR(4*STDEVP(終値!Z321:AS321)/AVERAGE(終値!Z321:AS321),""))</f>
      </c>
      <c r="X321" s="684">
        <f>IF(終値!A321="","",IFERROR(4*STDEVP(終値!AA321:AT321)/AVERAGE(終値!AA321:AT321),""))</f>
      </c>
      <c r="Y321" s="684">
        <f>IF(終値!A321="","",IFERROR(4*STDEVP(終値!AB321:AU321)/AVERAGE(終値!AB321:AU321),""))</f>
      </c>
      <c r="Z321" s="684">
        <f>IF(終値!A321="","",IFERROR(4*STDEVP(終値!AC321:AV321)/AVERAGE(終値!AC321:AV321),""))</f>
      </c>
      <c r="AA321" s="684">
        <f>IF(終値!A321="","",IFERROR(4*STDEVP(終値!AD321:AW321)/AVERAGE(終値!AD321:AW321),""))</f>
      </c>
      <c r="AB321" s="684">
        <f>IF(終値!A321="","",IFERROR(4*STDEVP(終値!AE321:AX321)/AVERAGE(終値!AE321:AX321),""))</f>
      </c>
      <c r="AC321" s="684">
        <f>IF(終値!A321="","",IFERROR(4*STDEVP(終値!AF321:AY321)/AVERAGE(終値!AF321:AY321),""))</f>
      </c>
      <c r="AD321" s="684">
        <f>IF(終値!A321="","",IFERROR(4*STDEVP(終値!AG321:AZ321)/AVERAGE(終値!AG321:AZ321),""))</f>
      </c>
      <c r="AE321" s="684">
        <f>IF(終値!A321="","",IFERROR(4*STDEVP(終値!AH321:BA321)/AVERAGE(終値!AH321:BA321),""))</f>
      </c>
      <c r="AF321" s="684">
        <f>IF(終値!A321="","",IFERROR(4*STDEVP(終値!AI321:BB321)/AVERAGE(終値!AI321:BB321),""))</f>
      </c>
      <c r="AG321" s="684">
        <f>IF(終値!A321="","",IFERROR(4*STDEVP(終値!AJ321:BC321)/AVERAGE(終値!AJ321:BC321),""))</f>
      </c>
      <c r="AH321" s="684">
        <f>IF(終値!A321="","",IFERROR(4*STDEVP(終値!AK321:BD321)/AVERAGE(終値!AK321:BD321),""))</f>
      </c>
      <c r="AI321" s="684">
        <f>IF(終値!A321="","",IFERROR(4*STDEVP(終値!AL321:BE321)/AVERAGE(終値!AL321:BE321),""))</f>
      </c>
      <c r="AJ321" s="684">
        <f>IF(終値!A321="","",IFERROR(4*STDEVP(終値!AM321:BF321)/AVERAGE(終値!AM321:BF321),""))</f>
      </c>
      <c r="AK321" s="684">
        <f>IF(終値!A321="","",IFERROR(4*STDEVP(終値!AN321:BG321)/AVERAGE(終値!AN321:BG321),""))</f>
      </c>
      <c r="AL321" s="684">
        <f>IF(終値!A321="","",IFERROR(4*STDEVP(終値!AO321:BH321)/AVERAGE(終値!AO321:BH321),""))</f>
      </c>
      <c r="AM321" s="684">
        <f>IF(終値!A321="","",IFERROR(4*STDEVP(終値!AP321:BI321)/AVERAGE(終値!AP321:BI321),""))</f>
      </c>
      <c r="AN321" s="684">
        <f>IF(終値!A321="","",IFERROR(4*STDEVP(終値!AQ321:BJ321)/AVERAGE(終値!AQ321:BJ321),""))</f>
      </c>
      <c r="AO321" s="684">
        <f>IF(終値!A321="","",IFERROR(4*STDEVP(終値!AR321:BK321)/AVERAGE(終値!AR321:BK321),""))</f>
      </c>
      <c r="AP321" s="684">
        <f>IF(終値!A321="","",IFERROR(4*STDEVP(終値!AS321:BL321)/AVERAGE(終値!AS321:BL321),""))</f>
      </c>
    </row>
    <row r="322">
      <c r="A322" s="681">
        <f>IF(終値!A322="","",終値!A322)</f>
      </c>
      <c r="B322" s="684">
        <f>IF(終値!A322="","",IFERROR(4*STDEVP(終値!E322:X322)/AVERAGE(終値!E322:X322),""))</f>
      </c>
      <c r="C322" s="684">
        <f>IF(終値!A322="","",IFERROR(4*STDEVP(終値!F322:Y322)/AVERAGE(終値!F322:Y322),""))</f>
      </c>
      <c r="D322" s="684">
        <f>IF(終値!A322="","",IFERROR(4*STDEVP(終値!G322:Z322)/AVERAGE(終値!G322:Z322),""))</f>
      </c>
      <c r="E322" s="684">
        <f>IF(終値!A322="","",IFERROR(4*STDEVP(終値!H322:AA322)/AVERAGE(終値!H322:AA322),""))</f>
      </c>
      <c r="F322" s="684">
        <f>IF(終値!A322="","",IFERROR(4*STDEVP(終値!I322:AB322)/AVERAGE(終値!I322:AB322),""))</f>
      </c>
      <c r="G322" s="684">
        <f>IF(終値!A322="","",IFERROR(4*STDEVP(終値!J322:AC322)/AVERAGE(終値!J322:AC322),""))</f>
      </c>
      <c r="H322" s="684">
        <f>IF(終値!A322="","",IFERROR(4*STDEVP(終値!K322:AD322)/AVERAGE(終値!K322:AD322),""))</f>
      </c>
      <c r="I322" s="684">
        <f>IF(終値!A322="","",IFERROR(4*STDEVP(終値!L322:AE322)/AVERAGE(終値!L322:AE322),""))</f>
      </c>
      <c r="J322" s="684">
        <f>IF(終値!A322="","",IFERROR(4*STDEVP(終値!M322:AF322)/AVERAGE(終値!M322:AF322),""))</f>
      </c>
      <c r="K322" s="684">
        <f>IF(終値!A322="","",IFERROR(4*STDEVP(終値!N322:AG322)/AVERAGE(終値!N322:AG322),""))</f>
      </c>
      <c r="L322" s="684">
        <f>IF(終値!A322="","",IFERROR(4*STDEVP(終値!O322:AH322)/AVERAGE(終値!O322:AH322),""))</f>
      </c>
      <c r="M322" s="684">
        <f>IF(終値!A322="","",IFERROR(4*STDEVP(終値!P322:AI322)/AVERAGE(終値!P322:AI322),""))</f>
      </c>
      <c r="N322" s="684">
        <f>IF(終値!A322="","",IFERROR(4*STDEVP(終値!Q322:AJ322)/AVERAGE(終値!Q322:AJ322),""))</f>
      </c>
      <c r="O322" s="684">
        <f>IF(終値!A322="","",IFERROR(4*STDEVP(終値!R322:AK322)/AVERAGE(終値!R322:AK322),""))</f>
      </c>
      <c r="P322" s="684">
        <f>IF(終値!A322="","",IFERROR(4*STDEVP(終値!S322:AL322)/AVERAGE(終値!S322:AL322),""))</f>
      </c>
      <c r="Q322" s="684">
        <f>IF(終値!A322="","",IFERROR(4*STDEVP(終値!T322:AM322)/AVERAGE(終値!T322:AM322),""))</f>
      </c>
      <c r="R322" s="684">
        <f>IF(終値!A322="","",IFERROR(4*STDEVP(終値!U322:AN322)/AVERAGE(終値!U322:AN322),""))</f>
      </c>
      <c r="S322" s="684">
        <f>IF(終値!A322="","",IFERROR(4*STDEVP(終値!V322:AO322)/AVERAGE(終値!V322:AO322),""))</f>
      </c>
      <c r="T322" s="684">
        <f>IF(終値!A322="","",IFERROR(4*STDEVP(終値!W322:AP322)/AVERAGE(終値!W322:AP322),""))</f>
      </c>
      <c r="U322" s="684">
        <f>IF(終値!A322="","",IFERROR(4*STDEVP(終値!X322:AQ322)/AVERAGE(終値!X322:AQ322),""))</f>
      </c>
      <c r="V322" s="684">
        <f>IF(終値!A322="","",IFERROR(4*STDEVP(終値!Y322:AR322)/AVERAGE(終値!Y322:AR322),""))</f>
      </c>
      <c r="W322" s="684">
        <f>IF(終値!A322="","",IFERROR(4*STDEVP(終値!Z322:AS322)/AVERAGE(終値!Z322:AS322),""))</f>
      </c>
      <c r="X322" s="684">
        <f>IF(終値!A322="","",IFERROR(4*STDEVP(終値!AA322:AT322)/AVERAGE(終値!AA322:AT322),""))</f>
      </c>
      <c r="Y322" s="684">
        <f>IF(終値!A322="","",IFERROR(4*STDEVP(終値!AB322:AU322)/AVERAGE(終値!AB322:AU322),""))</f>
      </c>
      <c r="Z322" s="684">
        <f>IF(終値!A322="","",IFERROR(4*STDEVP(終値!AC322:AV322)/AVERAGE(終値!AC322:AV322),""))</f>
      </c>
      <c r="AA322" s="684">
        <f>IF(終値!A322="","",IFERROR(4*STDEVP(終値!AD322:AW322)/AVERAGE(終値!AD322:AW322),""))</f>
      </c>
      <c r="AB322" s="684">
        <f>IF(終値!A322="","",IFERROR(4*STDEVP(終値!AE322:AX322)/AVERAGE(終値!AE322:AX322),""))</f>
      </c>
      <c r="AC322" s="684">
        <f>IF(終値!A322="","",IFERROR(4*STDEVP(終値!AF322:AY322)/AVERAGE(終値!AF322:AY322),""))</f>
      </c>
      <c r="AD322" s="684">
        <f>IF(終値!A322="","",IFERROR(4*STDEVP(終値!AG322:AZ322)/AVERAGE(終値!AG322:AZ322),""))</f>
      </c>
      <c r="AE322" s="684">
        <f>IF(終値!A322="","",IFERROR(4*STDEVP(終値!AH322:BA322)/AVERAGE(終値!AH322:BA322),""))</f>
      </c>
      <c r="AF322" s="684">
        <f>IF(終値!A322="","",IFERROR(4*STDEVP(終値!AI322:BB322)/AVERAGE(終値!AI322:BB322),""))</f>
      </c>
      <c r="AG322" s="684">
        <f>IF(終値!A322="","",IFERROR(4*STDEVP(終値!AJ322:BC322)/AVERAGE(終値!AJ322:BC322),""))</f>
      </c>
      <c r="AH322" s="684">
        <f>IF(終値!A322="","",IFERROR(4*STDEVP(終値!AK322:BD322)/AVERAGE(終値!AK322:BD322),""))</f>
      </c>
      <c r="AI322" s="684">
        <f>IF(終値!A322="","",IFERROR(4*STDEVP(終値!AL322:BE322)/AVERAGE(終値!AL322:BE322),""))</f>
      </c>
      <c r="AJ322" s="684">
        <f>IF(終値!A322="","",IFERROR(4*STDEVP(終値!AM322:BF322)/AVERAGE(終値!AM322:BF322),""))</f>
      </c>
      <c r="AK322" s="684">
        <f>IF(終値!A322="","",IFERROR(4*STDEVP(終値!AN322:BG322)/AVERAGE(終値!AN322:BG322),""))</f>
      </c>
      <c r="AL322" s="684">
        <f>IF(終値!A322="","",IFERROR(4*STDEVP(終値!AO322:BH322)/AVERAGE(終値!AO322:BH322),""))</f>
      </c>
      <c r="AM322" s="684">
        <f>IF(終値!A322="","",IFERROR(4*STDEVP(終値!AP322:BI322)/AVERAGE(終値!AP322:BI322),""))</f>
      </c>
      <c r="AN322" s="684">
        <f>IF(終値!A322="","",IFERROR(4*STDEVP(終値!AQ322:BJ322)/AVERAGE(終値!AQ322:BJ322),""))</f>
      </c>
      <c r="AO322" s="684">
        <f>IF(終値!A322="","",IFERROR(4*STDEVP(終値!AR322:BK322)/AVERAGE(終値!AR322:BK322),""))</f>
      </c>
      <c r="AP322" s="684">
        <f>IF(終値!A322="","",IFERROR(4*STDEVP(終値!AS322:BL322)/AVERAGE(終値!AS322:BL322),""))</f>
      </c>
    </row>
    <row r="323">
      <c r="A323" s="681">
        <f>IF(終値!A323="","",終値!A323)</f>
      </c>
      <c r="B323" s="684">
        <f>IF(終値!A323="","",IFERROR(4*STDEVP(終値!E323:X323)/AVERAGE(終値!E323:X323),""))</f>
      </c>
      <c r="C323" s="684">
        <f>IF(終値!A323="","",IFERROR(4*STDEVP(終値!F323:Y323)/AVERAGE(終値!F323:Y323),""))</f>
      </c>
      <c r="D323" s="684">
        <f>IF(終値!A323="","",IFERROR(4*STDEVP(終値!G323:Z323)/AVERAGE(終値!G323:Z323),""))</f>
      </c>
      <c r="E323" s="684">
        <f>IF(終値!A323="","",IFERROR(4*STDEVP(終値!H323:AA323)/AVERAGE(終値!H323:AA323),""))</f>
      </c>
      <c r="F323" s="684">
        <f>IF(終値!A323="","",IFERROR(4*STDEVP(終値!I323:AB323)/AVERAGE(終値!I323:AB323),""))</f>
      </c>
      <c r="G323" s="684">
        <f>IF(終値!A323="","",IFERROR(4*STDEVP(終値!J323:AC323)/AVERAGE(終値!J323:AC323),""))</f>
      </c>
      <c r="H323" s="684">
        <f>IF(終値!A323="","",IFERROR(4*STDEVP(終値!K323:AD323)/AVERAGE(終値!K323:AD323),""))</f>
      </c>
      <c r="I323" s="684">
        <f>IF(終値!A323="","",IFERROR(4*STDEVP(終値!L323:AE323)/AVERAGE(終値!L323:AE323),""))</f>
      </c>
      <c r="J323" s="684">
        <f>IF(終値!A323="","",IFERROR(4*STDEVP(終値!M323:AF323)/AVERAGE(終値!M323:AF323),""))</f>
      </c>
      <c r="K323" s="684">
        <f>IF(終値!A323="","",IFERROR(4*STDEVP(終値!N323:AG323)/AVERAGE(終値!N323:AG323),""))</f>
      </c>
      <c r="L323" s="684">
        <f>IF(終値!A323="","",IFERROR(4*STDEVP(終値!O323:AH323)/AVERAGE(終値!O323:AH323),""))</f>
      </c>
      <c r="M323" s="684">
        <f>IF(終値!A323="","",IFERROR(4*STDEVP(終値!P323:AI323)/AVERAGE(終値!P323:AI323),""))</f>
      </c>
      <c r="N323" s="684">
        <f>IF(終値!A323="","",IFERROR(4*STDEVP(終値!Q323:AJ323)/AVERAGE(終値!Q323:AJ323),""))</f>
      </c>
      <c r="O323" s="684">
        <f>IF(終値!A323="","",IFERROR(4*STDEVP(終値!R323:AK323)/AVERAGE(終値!R323:AK323),""))</f>
      </c>
      <c r="P323" s="684">
        <f>IF(終値!A323="","",IFERROR(4*STDEVP(終値!S323:AL323)/AVERAGE(終値!S323:AL323),""))</f>
      </c>
      <c r="Q323" s="684">
        <f>IF(終値!A323="","",IFERROR(4*STDEVP(終値!T323:AM323)/AVERAGE(終値!T323:AM323),""))</f>
      </c>
      <c r="R323" s="684">
        <f>IF(終値!A323="","",IFERROR(4*STDEVP(終値!U323:AN323)/AVERAGE(終値!U323:AN323),""))</f>
      </c>
      <c r="S323" s="684">
        <f>IF(終値!A323="","",IFERROR(4*STDEVP(終値!V323:AO323)/AVERAGE(終値!V323:AO323),""))</f>
      </c>
      <c r="T323" s="684">
        <f>IF(終値!A323="","",IFERROR(4*STDEVP(終値!W323:AP323)/AVERAGE(終値!W323:AP323),""))</f>
      </c>
      <c r="U323" s="684">
        <f>IF(終値!A323="","",IFERROR(4*STDEVP(終値!X323:AQ323)/AVERAGE(終値!X323:AQ323),""))</f>
      </c>
      <c r="V323" s="684">
        <f>IF(終値!A323="","",IFERROR(4*STDEVP(終値!Y323:AR323)/AVERAGE(終値!Y323:AR323),""))</f>
      </c>
      <c r="W323" s="684">
        <f>IF(終値!A323="","",IFERROR(4*STDEVP(終値!Z323:AS323)/AVERAGE(終値!Z323:AS323),""))</f>
      </c>
      <c r="X323" s="684">
        <f>IF(終値!A323="","",IFERROR(4*STDEVP(終値!AA323:AT323)/AVERAGE(終値!AA323:AT323),""))</f>
      </c>
      <c r="Y323" s="684">
        <f>IF(終値!A323="","",IFERROR(4*STDEVP(終値!AB323:AU323)/AVERAGE(終値!AB323:AU323),""))</f>
      </c>
      <c r="Z323" s="684">
        <f>IF(終値!A323="","",IFERROR(4*STDEVP(終値!AC323:AV323)/AVERAGE(終値!AC323:AV323),""))</f>
      </c>
      <c r="AA323" s="684">
        <f>IF(終値!A323="","",IFERROR(4*STDEVP(終値!AD323:AW323)/AVERAGE(終値!AD323:AW323),""))</f>
      </c>
      <c r="AB323" s="684">
        <f>IF(終値!A323="","",IFERROR(4*STDEVP(終値!AE323:AX323)/AVERAGE(終値!AE323:AX323),""))</f>
      </c>
      <c r="AC323" s="684">
        <f>IF(終値!A323="","",IFERROR(4*STDEVP(終値!AF323:AY323)/AVERAGE(終値!AF323:AY323),""))</f>
      </c>
      <c r="AD323" s="684">
        <f>IF(終値!A323="","",IFERROR(4*STDEVP(終値!AG323:AZ323)/AVERAGE(終値!AG323:AZ323),""))</f>
      </c>
      <c r="AE323" s="684">
        <f>IF(終値!A323="","",IFERROR(4*STDEVP(終値!AH323:BA323)/AVERAGE(終値!AH323:BA323),""))</f>
      </c>
      <c r="AF323" s="684">
        <f>IF(終値!A323="","",IFERROR(4*STDEVP(終値!AI323:BB323)/AVERAGE(終値!AI323:BB323),""))</f>
      </c>
      <c r="AG323" s="684">
        <f>IF(終値!A323="","",IFERROR(4*STDEVP(終値!AJ323:BC323)/AVERAGE(終値!AJ323:BC323),""))</f>
      </c>
      <c r="AH323" s="684">
        <f>IF(終値!A323="","",IFERROR(4*STDEVP(終値!AK323:BD323)/AVERAGE(終値!AK323:BD323),""))</f>
      </c>
      <c r="AI323" s="684">
        <f>IF(終値!A323="","",IFERROR(4*STDEVP(終値!AL323:BE323)/AVERAGE(終値!AL323:BE323),""))</f>
      </c>
      <c r="AJ323" s="684">
        <f>IF(終値!A323="","",IFERROR(4*STDEVP(終値!AM323:BF323)/AVERAGE(終値!AM323:BF323),""))</f>
      </c>
      <c r="AK323" s="684">
        <f>IF(終値!A323="","",IFERROR(4*STDEVP(終値!AN323:BG323)/AVERAGE(終値!AN323:BG323),""))</f>
      </c>
      <c r="AL323" s="684">
        <f>IF(終値!A323="","",IFERROR(4*STDEVP(終値!AO323:BH323)/AVERAGE(終値!AO323:BH323),""))</f>
      </c>
      <c r="AM323" s="684">
        <f>IF(終値!A323="","",IFERROR(4*STDEVP(終値!AP323:BI323)/AVERAGE(終値!AP323:BI323),""))</f>
      </c>
      <c r="AN323" s="684">
        <f>IF(終値!A323="","",IFERROR(4*STDEVP(終値!AQ323:BJ323)/AVERAGE(終値!AQ323:BJ323),""))</f>
      </c>
      <c r="AO323" s="684">
        <f>IF(終値!A323="","",IFERROR(4*STDEVP(終値!AR323:BK323)/AVERAGE(終値!AR323:BK323),""))</f>
      </c>
      <c r="AP323" s="684">
        <f>IF(終値!A323="","",IFERROR(4*STDEVP(終値!AS323:BL323)/AVERAGE(終値!AS323:BL323),""))</f>
      </c>
    </row>
    <row r="324">
      <c r="A324" s="681">
        <f>IF(終値!A324="","",終値!A324)</f>
      </c>
      <c r="B324" s="684">
        <f>IF(終値!A324="","",IFERROR(4*STDEVP(終値!E324:X324)/AVERAGE(終値!E324:X324),""))</f>
      </c>
      <c r="C324" s="684">
        <f>IF(終値!A324="","",IFERROR(4*STDEVP(終値!F324:Y324)/AVERAGE(終値!F324:Y324),""))</f>
      </c>
      <c r="D324" s="684">
        <f>IF(終値!A324="","",IFERROR(4*STDEVP(終値!G324:Z324)/AVERAGE(終値!G324:Z324),""))</f>
      </c>
      <c r="E324" s="684">
        <f>IF(終値!A324="","",IFERROR(4*STDEVP(終値!H324:AA324)/AVERAGE(終値!H324:AA324),""))</f>
      </c>
      <c r="F324" s="684">
        <f>IF(終値!A324="","",IFERROR(4*STDEVP(終値!I324:AB324)/AVERAGE(終値!I324:AB324),""))</f>
      </c>
      <c r="G324" s="684">
        <f>IF(終値!A324="","",IFERROR(4*STDEVP(終値!J324:AC324)/AVERAGE(終値!J324:AC324),""))</f>
      </c>
      <c r="H324" s="684">
        <f>IF(終値!A324="","",IFERROR(4*STDEVP(終値!K324:AD324)/AVERAGE(終値!K324:AD324),""))</f>
      </c>
      <c r="I324" s="684">
        <f>IF(終値!A324="","",IFERROR(4*STDEVP(終値!L324:AE324)/AVERAGE(終値!L324:AE324),""))</f>
      </c>
      <c r="J324" s="684">
        <f>IF(終値!A324="","",IFERROR(4*STDEVP(終値!M324:AF324)/AVERAGE(終値!M324:AF324),""))</f>
      </c>
      <c r="K324" s="684">
        <f>IF(終値!A324="","",IFERROR(4*STDEVP(終値!N324:AG324)/AVERAGE(終値!N324:AG324),""))</f>
      </c>
      <c r="L324" s="684">
        <f>IF(終値!A324="","",IFERROR(4*STDEVP(終値!O324:AH324)/AVERAGE(終値!O324:AH324),""))</f>
      </c>
      <c r="M324" s="684">
        <f>IF(終値!A324="","",IFERROR(4*STDEVP(終値!P324:AI324)/AVERAGE(終値!P324:AI324),""))</f>
      </c>
      <c r="N324" s="684">
        <f>IF(終値!A324="","",IFERROR(4*STDEVP(終値!Q324:AJ324)/AVERAGE(終値!Q324:AJ324),""))</f>
      </c>
      <c r="O324" s="684">
        <f>IF(終値!A324="","",IFERROR(4*STDEVP(終値!R324:AK324)/AVERAGE(終値!R324:AK324),""))</f>
      </c>
      <c r="P324" s="684">
        <f>IF(終値!A324="","",IFERROR(4*STDEVP(終値!S324:AL324)/AVERAGE(終値!S324:AL324),""))</f>
      </c>
      <c r="Q324" s="684">
        <f>IF(終値!A324="","",IFERROR(4*STDEVP(終値!T324:AM324)/AVERAGE(終値!T324:AM324),""))</f>
      </c>
      <c r="R324" s="684">
        <f>IF(終値!A324="","",IFERROR(4*STDEVP(終値!U324:AN324)/AVERAGE(終値!U324:AN324),""))</f>
      </c>
      <c r="S324" s="684">
        <f>IF(終値!A324="","",IFERROR(4*STDEVP(終値!V324:AO324)/AVERAGE(終値!V324:AO324),""))</f>
      </c>
      <c r="T324" s="684">
        <f>IF(終値!A324="","",IFERROR(4*STDEVP(終値!W324:AP324)/AVERAGE(終値!W324:AP324),""))</f>
      </c>
      <c r="U324" s="684">
        <f>IF(終値!A324="","",IFERROR(4*STDEVP(終値!X324:AQ324)/AVERAGE(終値!X324:AQ324),""))</f>
      </c>
      <c r="V324" s="684">
        <f>IF(終値!A324="","",IFERROR(4*STDEVP(終値!Y324:AR324)/AVERAGE(終値!Y324:AR324),""))</f>
      </c>
      <c r="W324" s="684">
        <f>IF(終値!A324="","",IFERROR(4*STDEVP(終値!Z324:AS324)/AVERAGE(終値!Z324:AS324),""))</f>
      </c>
      <c r="X324" s="684">
        <f>IF(終値!A324="","",IFERROR(4*STDEVP(終値!AA324:AT324)/AVERAGE(終値!AA324:AT324),""))</f>
      </c>
      <c r="Y324" s="684">
        <f>IF(終値!A324="","",IFERROR(4*STDEVP(終値!AB324:AU324)/AVERAGE(終値!AB324:AU324),""))</f>
      </c>
      <c r="Z324" s="684">
        <f>IF(終値!A324="","",IFERROR(4*STDEVP(終値!AC324:AV324)/AVERAGE(終値!AC324:AV324),""))</f>
      </c>
      <c r="AA324" s="684">
        <f>IF(終値!A324="","",IFERROR(4*STDEVP(終値!AD324:AW324)/AVERAGE(終値!AD324:AW324),""))</f>
      </c>
      <c r="AB324" s="684">
        <f>IF(終値!A324="","",IFERROR(4*STDEVP(終値!AE324:AX324)/AVERAGE(終値!AE324:AX324),""))</f>
      </c>
      <c r="AC324" s="684">
        <f>IF(終値!A324="","",IFERROR(4*STDEVP(終値!AF324:AY324)/AVERAGE(終値!AF324:AY324),""))</f>
      </c>
      <c r="AD324" s="684">
        <f>IF(終値!A324="","",IFERROR(4*STDEVP(終値!AG324:AZ324)/AVERAGE(終値!AG324:AZ324),""))</f>
      </c>
      <c r="AE324" s="684">
        <f>IF(終値!A324="","",IFERROR(4*STDEVP(終値!AH324:BA324)/AVERAGE(終値!AH324:BA324),""))</f>
      </c>
      <c r="AF324" s="684">
        <f>IF(終値!A324="","",IFERROR(4*STDEVP(終値!AI324:BB324)/AVERAGE(終値!AI324:BB324),""))</f>
      </c>
      <c r="AG324" s="684">
        <f>IF(終値!A324="","",IFERROR(4*STDEVP(終値!AJ324:BC324)/AVERAGE(終値!AJ324:BC324),""))</f>
      </c>
      <c r="AH324" s="684">
        <f>IF(終値!A324="","",IFERROR(4*STDEVP(終値!AK324:BD324)/AVERAGE(終値!AK324:BD324),""))</f>
      </c>
      <c r="AI324" s="684">
        <f>IF(終値!A324="","",IFERROR(4*STDEVP(終値!AL324:BE324)/AVERAGE(終値!AL324:BE324),""))</f>
      </c>
      <c r="AJ324" s="684">
        <f>IF(終値!A324="","",IFERROR(4*STDEVP(終値!AM324:BF324)/AVERAGE(終値!AM324:BF324),""))</f>
      </c>
      <c r="AK324" s="684">
        <f>IF(終値!A324="","",IFERROR(4*STDEVP(終値!AN324:BG324)/AVERAGE(終値!AN324:BG324),""))</f>
      </c>
      <c r="AL324" s="684">
        <f>IF(終値!A324="","",IFERROR(4*STDEVP(終値!AO324:BH324)/AVERAGE(終値!AO324:BH324),""))</f>
      </c>
      <c r="AM324" s="684">
        <f>IF(終値!A324="","",IFERROR(4*STDEVP(終値!AP324:BI324)/AVERAGE(終値!AP324:BI324),""))</f>
      </c>
      <c r="AN324" s="684">
        <f>IF(終値!A324="","",IFERROR(4*STDEVP(終値!AQ324:BJ324)/AVERAGE(終値!AQ324:BJ324),""))</f>
      </c>
      <c r="AO324" s="684">
        <f>IF(終値!A324="","",IFERROR(4*STDEVP(終値!AR324:BK324)/AVERAGE(終値!AR324:BK324),""))</f>
      </c>
      <c r="AP324" s="684">
        <f>IF(終値!A324="","",IFERROR(4*STDEVP(終値!AS324:BL324)/AVERAGE(終値!AS324:BL324),""))</f>
      </c>
    </row>
    <row r="325">
      <c r="A325" s="681">
        <f>IF(終値!A325="","",終値!A325)</f>
      </c>
      <c r="B325" s="684">
        <f>IF(終値!A325="","",IFERROR(4*STDEVP(終値!E325:X325)/AVERAGE(終値!E325:X325),""))</f>
      </c>
      <c r="C325" s="684">
        <f>IF(終値!A325="","",IFERROR(4*STDEVP(終値!F325:Y325)/AVERAGE(終値!F325:Y325),""))</f>
      </c>
      <c r="D325" s="684">
        <f>IF(終値!A325="","",IFERROR(4*STDEVP(終値!G325:Z325)/AVERAGE(終値!G325:Z325),""))</f>
      </c>
      <c r="E325" s="684">
        <f>IF(終値!A325="","",IFERROR(4*STDEVP(終値!H325:AA325)/AVERAGE(終値!H325:AA325),""))</f>
      </c>
      <c r="F325" s="684">
        <f>IF(終値!A325="","",IFERROR(4*STDEVP(終値!I325:AB325)/AVERAGE(終値!I325:AB325),""))</f>
      </c>
      <c r="G325" s="684">
        <f>IF(終値!A325="","",IFERROR(4*STDEVP(終値!J325:AC325)/AVERAGE(終値!J325:AC325),""))</f>
      </c>
      <c r="H325" s="684">
        <f>IF(終値!A325="","",IFERROR(4*STDEVP(終値!K325:AD325)/AVERAGE(終値!K325:AD325),""))</f>
      </c>
      <c r="I325" s="684">
        <f>IF(終値!A325="","",IFERROR(4*STDEVP(終値!L325:AE325)/AVERAGE(終値!L325:AE325),""))</f>
      </c>
      <c r="J325" s="684">
        <f>IF(終値!A325="","",IFERROR(4*STDEVP(終値!M325:AF325)/AVERAGE(終値!M325:AF325),""))</f>
      </c>
      <c r="K325" s="684">
        <f>IF(終値!A325="","",IFERROR(4*STDEVP(終値!N325:AG325)/AVERAGE(終値!N325:AG325),""))</f>
      </c>
      <c r="L325" s="684">
        <f>IF(終値!A325="","",IFERROR(4*STDEVP(終値!O325:AH325)/AVERAGE(終値!O325:AH325),""))</f>
      </c>
      <c r="M325" s="684">
        <f>IF(終値!A325="","",IFERROR(4*STDEVP(終値!P325:AI325)/AVERAGE(終値!P325:AI325),""))</f>
      </c>
      <c r="N325" s="684">
        <f>IF(終値!A325="","",IFERROR(4*STDEVP(終値!Q325:AJ325)/AVERAGE(終値!Q325:AJ325),""))</f>
      </c>
      <c r="O325" s="684">
        <f>IF(終値!A325="","",IFERROR(4*STDEVP(終値!R325:AK325)/AVERAGE(終値!R325:AK325),""))</f>
      </c>
      <c r="P325" s="684">
        <f>IF(終値!A325="","",IFERROR(4*STDEVP(終値!S325:AL325)/AVERAGE(終値!S325:AL325),""))</f>
      </c>
      <c r="Q325" s="684">
        <f>IF(終値!A325="","",IFERROR(4*STDEVP(終値!T325:AM325)/AVERAGE(終値!T325:AM325),""))</f>
      </c>
      <c r="R325" s="684">
        <f>IF(終値!A325="","",IFERROR(4*STDEVP(終値!U325:AN325)/AVERAGE(終値!U325:AN325),""))</f>
      </c>
      <c r="S325" s="684">
        <f>IF(終値!A325="","",IFERROR(4*STDEVP(終値!V325:AO325)/AVERAGE(終値!V325:AO325),""))</f>
      </c>
      <c r="T325" s="684">
        <f>IF(終値!A325="","",IFERROR(4*STDEVP(終値!W325:AP325)/AVERAGE(終値!W325:AP325),""))</f>
      </c>
      <c r="U325" s="684">
        <f>IF(終値!A325="","",IFERROR(4*STDEVP(終値!X325:AQ325)/AVERAGE(終値!X325:AQ325),""))</f>
      </c>
      <c r="V325" s="684">
        <f>IF(終値!A325="","",IFERROR(4*STDEVP(終値!Y325:AR325)/AVERAGE(終値!Y325:AR325),""))</f>
      </c>
      <c r="W325" s="684">
        <f>IF(終値!A325="","",IFERROR(4*STDEVP(終値!Z325:AS325)/AVERAGE(終値!Z325:AS325),""))</f>
      </c>
      <c r="X325" s="684">
        <f>IF(終値!A325="","",IFERROR(4*STDEVP(終値!AA325:AT325)/AVERAGE(終値!AA325:AT325),""))</f>
      </c>
      <c r="Y325" s="684">
        <f>IF(終値!A325="","",IFERROR(4*STDEVP(終値!AB325:AU325)/AVERAGE(終値!AB325:AU325),""))</f>
      </c>
      <c r="Z325" s="684">
        <f>IF(終値!A325="","",IFERROR(4*STDEVP(終値!AC325:AV325)/AVERAGE(終値!AC325:AV325),""))</f>
      </c>
      <c r="AA325" s="684">
        <f>IF(終値!A325="","",IFERROR(4*STDEVP(終値!AD325:AW325)/AVERAGE(終値!AD325:AW325),""))</f>
      </c>
      <c r="AB325" s="684">
        <f>IF(終値!A325="","",IFERROR(4*STDEVP(終値!AE325:AX325)/AVERAGE(終値!AE325:AX325),""))</f>
      </c>
      <c r="AC325" s="684">
        <f>IF(終値!A325="","",IFERROR(4*STDEVP(終値!AF325:AY325)/AVERAGE(終値!AF325:AY325),""))</f>
      </c>
      <c r="AD325" s="684">
        <f>IF(終値!A325="","",IFERROR(4*STDEVP(終値!AG325:AZ325)/AVERAGE(終値!AG325:AZ325),""))</f>
      </c>
      <c r="AE325" s="684">
        <f>IF(終値!A325="","",IFERROR(4*STDEVP(終値!AH325:BA325)/AVERAGE(終値!AH325:BA325),""))</f>
      </c>
      <c r="AF325" s="684">
        <f>IF(終値!A325="","",IFERROR(4*STDEVP(終値!AI325:BB325)/AVERAGE(終値!AI325:BB325),""))</f>
      </c>
      <c r="AG325" s="684">
        <f>IF(終値!A325="","",IFERROR(4*STDEVP(終値!AJ325:BC325)/AVERAGE(終値!AJ325:BC325),""))</f>
      </c>
      <c r="AH325" s="684">
        <f>IF(終値!A325="","",IFERROR(4*STDEVP(終値!AK325:BD325)/AVERAGE(終値!AK325:BD325),""))</f>
      </c>
      <c r="AI325" s="684">
        <f>IF(終値!A325="","",IFERROR(4*STDEVP(終値!AL325:BE325)/AVERAGE(終値!AL325:BE325),""))</f>
      </c>
      <c r="AJ325" s="684">
        <f>IF(終値!A325="","",IFERROR(4*STDEVP(終値!AM325:BF325)/AVERAGE(終値!AM325:BF325),""))</f>
      </c>
      <c r="AK325" s="684">
        <f>IF(終値!A325="","",IFERROR(4*STDEVP(終値!AN325:BG325)/AVERAGE(終値!AN325:BG325),""))</f>
      </c>
      <c r="AL325" s="684">
        <f>IF(終値!A325="","",IFERROR(4*STDEVP(終値!AO325:BH325)/AVERAGE(終値!AO325:BH325),""))</f>
      </c>
      <c r="AM325" s="684">
        <f>IF(終値!A325="","",IFERROR(4*STDEVP(終値!AP325:BI325)/AVERAGE(終値!AP325:BI325),""))</f>
      </c>
      <c r="AN325" s="684">
        <f>IF(終値!A325="","",IFERROR(4*STDEVP(終値!AQ325:BJ325)/AVERAGE(終値!AQ325:BJ325),""))</f>
      </c>
      <c r="AO325" s="684">
        <f>IF(終値!A325="","",IFERROR(4*STDEVP(終値!AR325:BK325)/AVERAGE(終値!AR325:BK325),""))</f>
      </c>
      <c r="AP325" s="684">
        <f>IF(終値!A325="","",IFERROR(4*STDEVP(終値!AS325:BL325)/AVERAGE(終値!AS325:BL325),""))</f>
      </c>
    </row>
    <row r="326">
      <c r="A326" s="681">
        <f>IF(終値!A326="","",終値!A326)</f>
      </c>
      <c r="B326" s="684">
        <f>IF(終値!A326="","",IFERROR(4*STDEVP(終値!E326:X326)/AVERAGE(終値!E326:X326),""))</f>
      </c>
      <c r="C326" s="684">
        <f>IF(終値!A326="","",IFERROR(4*STDEVP(終値!F326:Y326)/AVERAGE(終値!F326:Y326),""))</f>
      </c>
      <c r="D326" s="684">
        <f>IF(終値!A326="","",IFERROR(4*STDEVP(終値!G326:Z326)/AVERAGE(終値!G326:Z326),""))</f>
      </c>
      <c r="E326" s="684">
        <f>IF(終値!A326="","",IFERROR(4*STDEVP(終値!H326:AA326)/AVERAGE(終値!H326:AA326),""))</f>
      </c>
      <c r="F326" s="684">
        <f>IF(終値!A326="","",IFERROR(4*STDEVP(終値!I326:AB326)/AVERAGE(終値!I326:AB326),""))</f>
      </c>
      <c r="G326" s="684">
        <f>IF(終値!A326="","",IFERROR(4*STDEVP(終値!J326:AC326)/AVERAGE(終値!J326:AC326),""))</f>
      </c>
      <c r="H326" s="684">
        <f>IF(終値!A326="","",IFERROR(4*STDEVP(終値!K326:AD326)/AVERAGE(終値!K326:AD326),""))</f>
      </c>
      <c r="I326" s="684">
        <f>IF(終値!A326="","",IFERROR(4*STDEVP(終値!L326:AE326)/AVERAGE(終値!L326:AE326),""))</f>
      </c>
      <c r="J326" s="684">
        <f>IF(終値!A326="","",IFERROR(4*STDEVP(終値!M326:AF326)/AVERAGE(終値!M326:AF326),""))</f>
      </c>
      <c r="K326" s="684">
        <f>IF(終値!A326="","",IFERROR(4*STDEVP(終値!N326:AG326)/AVERAGE(終値!N326:AG326),""))</f>
      </c>
      <c r="L326" s="684">
        <f>IF(終値!A326="","",IFERROR(4*STDEVP(終値!O326:AH326)/AVERAGE(終値!O326:AH326),""))</f>
      </c>
      <c r="M326" s="684">
        <f>IF(終値!A326="","",IFERROR(4*STDEVP(終値!P326:AI326)/AVERAGE(終値!P326:AI326),""))</f>
      </c>
      <c r="N326" s="684">
        <f>IF(終値!A326="","",IFERROR(4*STDEVP(終値!Q326:AJ326)/AVERAGE(終値!Q326:AJ326),""))</f>
      </c>
      <c r="O326" s="684">
        <f>IF(終値!A326="","",IFERROR(4*STDEVP(終値!R326:AK326)/AVERAGE(終値!R326:AK326),""))</f>
      </c>
      <c r="P326" s="684">
        <f>IF(終値!A326="","",IFERROR(4*STDEVP(終値!S326:AL326)/AVERAGE(終値!S326:AL326),""))</f>
      </c>
      <c r="Q326" s="684">
        <f>IF(終値!A326="","",IFERROR(4*STDEVP(終値!T326:AM326)/AVERAGE(終値!T326:AM326),""))</f>
      </c>
      <c r="R326" s="684">
        <f>IF(終値!A326="","",IFERROR(4*STDEVP(終値!U326:AN326)/AVERAGE(終値!U326:AN326),""))</f>
      </c>
      <c r="S326" s="684">
        <f>IF(終値!A326="","",IFERROR(4*STDEVP(終値!V326:AO326)/AVERAGE(終値!V326:AO326),""))</f>
      </c>
      <c r="T326" s="684">
        <f>IF(終値!A326="","",IFERROR(4*STDEVP(終値!W326:AP326)/AVERAGE(終値!W326:AP326),""))</f>
      </c>
      <c r="U326" s="684">
        <f>IF(終値!A326="","",IFERROR(4*STDEVP(終値!X326:AQ326)/AVERAGE(終値!X326:AQ326),""))</f>
      </c>
      <c r="V326" s="684">
        <f>IF(終値!A326="","",IFERROR(4*STDEVP(終値!Y326:AR326)/AVERAGE(終値!Y326:AR326),""))</f>
      </c>
      <c r="W326" s="684">
        <f>IF(終値!A326="","",IFERROR(4*STDEVP(終値!Z326:AS326)/AVERAGE(終値!Z326:AS326),""))</f>
      </c>
      <c r="X326" s="684">
        <f>IF(終値!A326="","",IFERROR(4*STDEVP(終値!AA326:AT326)/AVERAGE(終値!AA326:AT326),""))</f>
      </c>
      <c r="Y326" s="684">
        <f>IF(終値!A326="","",IFERROR(4*STDEVP(終値!AB326:AU326)/AVERAGE(終値!AB326:AU326),""))</f>
      </c>
      <c r="Z326" s="684">
        <f>IF(終値!A326="","",IFERROR(4*STDEVP(終値!AC326:AV326)/AVERAGE(終値!AC326:AV326),""))</f>
      </c>
      <c r="AA326" s="684">
        <f>IF(終値!A326="","",IFERROR(4*STDEVP(終値!AD326:AW326)/AVERAGE(終値!AD326:AW326),""))</f>
      </c>
      <c r="AB326" s="684">
        <f>IF(終値!A326="","",IFERROR(4*STDEVP(終値!AE326:AX326)/AVERAGE(終値!AE326:AX326),""))</f>
      </c>
      <c r="AC326" s="684">
        <f>IF(終値!A326="","",IFERROR(4*STDEVP(終値!AF326:AY326)/AVERAGE(終値!AF326:AY326),""))</f>
      </c>
      <c r="AD326" s="684">
        <f>IF(終値!A326="","",IFERROR(4*STDEVP(終値!AG326:AZ326)/AVERAGE(終値!AG326:AZ326),""))</f>
      </c>
      <c r="AE326" s="684">
        <f>IF(終値!A326="","",IFERROR(4*STDEVP(終値!AH326:BA326)/AVERAGE(終値!AH326:BA326),""))</f>
      </c>
      <c r="AF326" s="684">
        <f>IF(終値!A326="","",IFERROR(4*STDEVP(終値!AI326:BB326)/AVERAGE(終値!AI326:BB326),""))</f>
      </c>
      <c r="AG326" s="684">
        <f>IF(終値!A326="","",IFERROR(4*STDEVP(終値!AJ326:BC326)/AVERAGE(終値!AJ326:BC326),""))</f>
      </c>
      <c r="AH326" s="684">
        <f>IF(終値!A326="","",IFERROR(4*STDEVP(終値!AK326:BD326)/AVERAGE(終値!AK326:BD326),""))</f>
      </c>
      <c r="AI326" s="684">
        <f>IF(終値!A326="","",IFERROR(4*STDEVP(終値!AL326:BE326)/AVERAGE(終値!AL326:BE326),""))</f>
      </c>
      <c r="AJ326" s="684">
        <f>IF(終値!A326="","",IFERROR(4*STDEVP(終値!AM326:BF326)/AVERAGE(終値!AM326:BF326),""))</f>
      </c>
      <c r="AK326" s="684">
        <f>IF(終値!A326="","",IFERROR(4*STDEVP(終値!AN326:BG326)/AVERAGE(終値!AN326:BG326),""))</f>
      </c>
      <c r="AL326" s="684">
        <f>IF(終値!A326="","",IFERROR(4*STDEVP(終値!AO326:BH326)/AVERAGE(終値!AO326:BH326),""))</f>
      </c>
      <c r="AM326" s="684">
        <f>IF(終値!A326="","",IFERROR(4*STDEVP(終値!AP326:BI326)/AVERAGE(終値!AP326:BI326),""))</f>
      </c>
      <c r="AN326" s="684">
        <f>IF(終値!A326="","",IFERROR(4*STDEVP(終値!AQ326:BJ326)/AVERAGE(終値!AQ326:BJ326),""))</f>
      </c>
      <c r="AO326" s="684">
        <f>IF(終値!A326="","",IFERROR(4*STDEVP(終値!AR326:BK326)/AVERAGE(終値!AR326:BK326),""))</f>
      </c>
      <c r="AP326" s="684">
        <f>IF(終値!A326="","",IFERROR(4*STDEVP(終値!AS326:BL326)/AVERAGE(終値!AS326:BL326),""))</f>
      </c>
    </row>
    <row r="327">
      <c r="A327" s="681">
        <f>IF(終値!A327="","",終値!A327)</f>
      </c>
      <c r="B327" s="684">
        <f>IF(終値!A327="","",IFERROR(4*STDEVP(終値!E327:X327)/AVERAGE(終値!E327:X327),""))</f>
      </c>
      <c r="C327" s="684">
        <f>IF(終値!A327="","",IFERROR(4*STDEVP(終値!F327:Y327)/AVERAGE(終値!F327:Y327),""))</f>
      </c>
      <c r="D327" s="684">
        <f>IF(終値!A327="","",IFERROR(4*STDEVP(終値!G327:Z327)/AVERAGE(終値!G327:Z327),""))</f>
      </c>
      <c r="E327" s="684">
        <f>IF(終値!A327="","",IFERROR(4*STDEVP(終値!H327:AA327)/AVERAGE(終値!H327:AA327),""))</f>
      </c>
      <c r="F327" s="684">
        <f>IF(終値!A327="","",IFERROR(4*STDEVP(終値!I327:AB327)/AVERAGE(終値!I327:AB327),""))</f>
      </c>
      <c r="G327" s="684">
        <f>IF(終値!A327="","",IFERROR(4*STDEVP(終値!J327:AC327)/AVERAGE(終値!J327:AC327),""))</f>
      </c>
      <c r="H327" s="684">
        <f>IF(終値!A327="","",IFERROR(4*STDEVP(終値!K327:AD327)/AVERAGE(終値!K327:AD327),""))</f>
      </c>
      <c r="I327" s="684">
        <f>IF(終値!A327="","",IFERROR(4*STDEVP(終値!L327:AE327)/AVERAGE(終値!L327:AE327),""))</f>
      </c>
      <c r="J327" s="684">
        <f>IF(終値!A327="","",IFERROR(4*STDEVP(終値!M327:AF327)/AVERAGE(終値!M327:AF327),""))</f>
      </c>
      <c r="K327" s="684">
        <f>IF(終値!A327="","",IFERROR(4*STDEVP(終値!N327:AG327)/AVERAGE(終値!N327:AG327),""))</f>
      </c>
      <c r="L327" s="684">
        <f>IF(終値!A327="","",IFERROR(4*STDEVP(終値!O327:AH327)/AVERAGE(終値!O327:AH327),""))</f>
      </c>
      <c r="M327" s="684">
        <f>IF(終値!A327="","",IFERROR(4*STDEVP(終値!P327:AI327)/AVERAGE(終値!P327:AI327),""))</f>
      </c>
      <c r="N327" s="684">
        <f>IF(終値!A327="","",IFERROR(4*STDEVP(終値!Q327:AJ327)/AVERAGE(終値!Q327:AJ327),""))</f>
      </c>
      <c r="O327" s="684">
        <f>IF(終値!A327="","",IFERROR(4*STDEVP(終値!R327:AK327)/AVERAGE(終値!R327:AK327),""))</f>
      </c>
      <c r="P327" s="684">
        <f>IF(終値!A327="","",IFERROR(4*STDEVP(終値!S327:AL327)/AVERAGE(終値!S327:AL327),""))</f>
      </c>
      <c r="Q327" s="684">
        <f>IF(終値!A327="","",IFERROR(4*STDEVP(終値!T327:AM327)/AVERAGE(終値!T327:AM327),""))</f>
      </c>
      <c r="R327" s="684">
        <f>IF(終値!A327="","",IFERROR(4*STDEVP(終値!U327:AN327)/AVERAGE(終値!U327:AN327),""))</f>
      </c>
      <c r="S327" s="684">
        <f>IF(終値!A327="","",IFERROR(4*STDEVP(終値!V327:AO327)/AVERAGE(終値!V327:AO327),""))</f>
      </c>
      <c r="T327" s="684">
        <f>IF(終値!A327="","",IFERROR(4*STDEVP(終値!W327:AP327)/AVERAGE(終値!W327:AP327),""))</f>
      </c>
      <c r="U327" s="684">
        <f>IF(終値!A327="","",IFERROR(4*STDEVP(終値!X327:AQ327)/AVERAGE(終値!X327:AQ327),""))</f>
      </c>
      <c r="V327" s="684">
        <f>IF(終値!A327="","",IFERROR(4*STDEVP(終値!Y327:AR327)/AVERAGE(終値!Y327:AR327),""))</f>
      </c>
      <c r="W327" s="684">
        <f>IF(終値!A327="","",IFERROR(4*STDEVP(終値!Z327:AS327)/AVERAGE(終値!Z327:AS327),""))</f>
      </c>
      <c r="X327" s="684">
        <f>IF(終値!A327="","",IFERROR(4*STDEVP(終値!AA327:AT327)/AVERAGE(終値!AA327:AT327),""))</f>
      </c>
      <c r="Y327" s="684">
        <f>IF(終値!A327="","",IFERROR(4*STDEVP(終値!AB327:AU327)/AVERAGE(終値!AB327:AU327),""))</f>
      </c>
      <c r="Z327" s="684">
        <f>IF(終値!A327="","",IFERROR(4*STDEVP(終値!AC327:AV327)/AVERAGE(終値!AC327:AV327),""))</f>
      </c>
      <c r="AA327" s="684">
        <f>IF(終値!A327="","",IFERROR(4*STDEVP(終値!AD327:AW327)/AVERAGE(終値!AD327:AW327),""))</f>
      </c>
      <c r="AB327" s="684">
        <f>IF(終値!A327="","",IFERROR(4*STDEVP(終値!AE327:AX327)/AVERAGE(終値!AE327:AX327),""))</f>
      </c>
      <c r="AC327" s="684">
        <f>IF(終値!A327="","",IFERROR(4*STDEVP(終値!AF327:AY327)/AVERAGE(終値!AF327:AY327),""))</f>
      </c>
      <c r="AD327" s="684">
        <f>IF(終値!A327="","",IFERROR(4*STDEVP(終値!AG327:AZ327)/AVERAGE(終値!AG327:AZ327),""))</f>
      </c>
      <c r="AE327" s="684">
        <f>IF(終値!A327="","",IFERROR(4*STDEVP(終値!AH327:BA327)/AVERAGE(終値!AH327:BA327),""))</f>
      </c>
      <c r="AF327" s="684">
        <f>IF(終値!A327="","",IFERROR(4*STDEVP(終値!AI327:BB327)/AVERAGE(終値!AI327:BB327),""))</f>
      </c>
      <c r="AG327" s="684">
        <f>IF(終値!A327="","",IFERROR(4*STDEVP(終値!AJ327:BC327)/AVERAGE(終値!AJ327:BC327),""))</f>
      </c>
      <c r="AH327" s="684">
        <f>IF(終値!A327="","",IFERROR(4*STDEVP(終値!AK327:BD327)/AVERAGE(終値!AK327:BD327),""))</f>
      </c>
      <c r="AI327" s="684">
        <f>IF(終値!A327="","",IFERROR(4*STDEVP(終値!AL327:BE327)/AVERAGE(終値!AL327:BE327),""))</f>
      </c>
      <c r="AJ327" s="684">
        <f>IF(終値!A327="","",IFERROR(4*STDEVP(終値!AM327:BF327)/AVERAGE(終値!AM327:BF327),""))</f>
      </c>
      <c r="AK327" s="684">
        <f>IF(終値!A327="","",IFERROR(4*STDEVP(終値!AN327:BG327)/AVERAGE(終値!AN327:BG327),""))</f>
      </c>
      <c r="AL327" s="684">
        <f>IF(終値!A327="","",IFERROR(4*STDEVP(終値!AO327:BH327)/AVERAGE(終値!AO327:BH327),""))</f>
      </c>
      <c r="AM327" s="684">
        <f>IF(終値!A327="","",IFERROR(4*STDEVP(終値!AP327:BI327)/AVERAGE(終値!AP327:BI327),""))</f>
      </c>
      <c r="AN327" s="684">
        <f>IF(終値!A327="","",IFERROR(4*STDEVP(終値!AQ327:BJ327)/AVERAGE(終値!AQ327:BJ327),""))</f>
      </c>
      <c r="AO327" s="684">
        <f>IF(終値!A327="","",IFERROR(4*STDEVP(終値!AR327:BK327)/AVERAGE(終値!AR327:BK327),""))</f>
      </c>
      <c r="AP327" s="684">
        <f>IF(終値!A327="","",IFERROR(4*STDEVP(終値!AS327:BL327)/AVERAGE(終値!AS327:BL327),""))</f>
      </c>
    </row>
    <row r="328">
      <c r="A328" s="681">
        <f>IF(終値!A328="","",終値!A328)</f>
      </c>
      <c r="B328" s="684">
        <f>IF(終値!A328="","",IFERROR(4*STDEVP(終値!E328:X328)/AVERAGE(終値!E328:X328),""))</f>
      </c>
      <c r="C328" s="684">
        <f>IF(終値!A328="","",IFERROR(4*STDEVP(終値!F328:Y328)/AVERAGE(終値!F328:Y328),""))</f>
      </c>
      <c r="D328" s="684">
        <f>IF(終値!A328="","",IFERROR(4*STDEVP(終値!G328:Z328)/AVERAGE(終値!G328:Z328),""))</f>
      </c>
      <c r="E328" s="684">
        <f>IF(終値!A328="","",IFERROR(4*STDEVP(終値!H328:AA328)/AVERAGE(終値!H328:AA328),""))</f>
      </c>
      <c r="F328" s="684">
        <f>IF(終値!A328="","",IFERROR(4*STDEVP(終値!I328:AB328)/AVERAGE(終値!I328:AB328),""))</f>
      </c>
      <c r="G328" s="684">
        <f>IF(終値!A328="","",IFERROR(4*STDEVP(終値!J328:AC328)/AVERAGE(終値!J328:AC328),""))</f>
      </c>
      <c r="H328" s="684">
        <f>IF(終値!A328="","",IFERROR(4*STDEVP(終値!K328:AD328)/AVERAGE(終値!K328:AD328),""))</f>
      </c>
      <c r="I328" s="684">
        <f>IF(終値!A328="","",IFERROR(4*STDEVP(終値!L328:AE328)/AVERAGE(終値!L328:AE328),""))</f>
      </c>
      <c r="J328" s="684">
        <f>IF(終値!A328="","",IFERROR(4*STDEVP(終値!M328:AF328)/AVERAGE(終値!M328:AF328),""))</f>
      </c>
      <c r="K328" s="684">
        <f>IF(終値!A328="","",IFERROR(4*STDEVP(終値!N328:AG328)/AVERAGE(終値!N328:AG328),""))</f>
      </c>
      <c r="L328" s="684">
        <f>IF(終値!A328="","",IFERROR(4*STDEVP(終値!O328:AH328)/AVERAGE(終値!O328:AH328),""))</f>
      </c>
      <c r="M328" s="684">
        <f>IF(終値!A328="","",IFERROR(4*STDEVP(終値!P328:AI328)/AVERAGE(終値!P328:AI328),""))</f>
      </c>
      <c r="N328" s="684">
        <f>IF(終値!A328="","",IFERROR(4*STDEVP(終値!Q328:AJ328)/AVERAGE(終値!Q328:AJ328),""))</f>
      </c>
      <c r="O328" s="684">
        <f>IF(終値!A328="","",IFERROR(4*STDEVP(終値!R328:AK328)/AVERAGE(終値!R328:AK328),""))</f>
      </c>
      <c r="P328" s="684">
        <f>IF(終値!A328="","",IFERROR(4*STDEVP(終値!S328:AL328)/AVERAGE(終値!S328:AL328),""))</f>
      </c>
      <c r="Q328" s="684">
        <f>IF(終値!A328="","",IFERROR(4*STDEVP(終値!T328:AM328)/AVERAGE(終値!T328:AM328),""))</f>
      </c>
      <c r="R328" s="684">
        <f>IF(終値!A328="","",IFERROR(4*STDEVP(終値!U328:AN328)/AVERAGE(終値!U328:AN328),""))</f>
      </c>
      <c r="S328" s="684">
        <f>IF(終値!A328="","",IFERROR(4*STDEVP(終値!V328:AO328)/AVERAGE(終値!V328:AO328),""))</f>
      </c>
      <c r="T328" s="684">
        <f>IF(終値!A328="","",IFERROR(4*STDEVP(終値!W328:AP328)/AVERAGE(終値!W328:AP328),""))</f>
      </c>
      <c r="U328" s="684">
        <f>IF(終値!A328="","",IFERROR(4*STDEVP(終値!X328:AQ328)/AVERAGE(終値!X328:AQ328),""))</f>
      </c>
      <c r="V328" s="684">
        <f>IF(終値!A328="","",IFERROR(4*STDEVP(終値!Y328:AR328)/AVERAGE(終値!Y328:AR328),""))</f>
      </c>
      <c r="W328" s="684">
        <f>IF(終値!A328="","",IFERROR(4*STDEVP(終値!Z328:AS328)/AVERAGE(終値!Z328:AS328),""))</f>
      </c>
      <c r="X328" s="684">
        <f>IF(終値!A328="","",IFERROR(4*STDEVP(終値!AA328:AT328)/AVERAGE(終値!AA328:AT328),""))</f>
      </c>
      <c r="Y328" s="684">
        <f>IF(終値!A328="","",IFERROR(4*STDEVP(終値!AB328:AU328)/AVERAGE(終値!AB328:AU328),""))</f>
      </c>
      <c r="Z328" s="684">
        <f>IF(終値!A328="","",IFERROR(4*STDEVP(終値!AC328:AV328)/AVERAGE(終値!AC328:AV328),""))</f>
      </c>
      <c r="AA328" s="684">
        <f>IF(終値!A328="","",IFERROR(4*STDEVP(終値!AD328:AW328)/AVERAGE(終値!AD328:AW328),""))</f>
      </c>
      <c r="AB328" s="684">
        <f>IF(終値!A328="","",IFERROR(4*STDEVP(終値!AE328:AX328)/AVERAGE(終値!AE328:AX328),""))</f>
      </c>
      <c r="AC328" s="684">
        <f>IF(終値!A328="","",IFERROR(4*STDEVP(終値!AF328:AY328)/AVERAGE(終値!AF328:AY328),""))</f>
      </c>
      <c r="AD328" s="684">
        <f>IF(終値!A328="","",IFERROR(4*STDEVP(終値!AG328:AZ328)/AVERAGE(終値!AG328:AZ328),""))</f>
      </c>
      <c r="AE328" s="684">
        <f>IF(終値!A328="","",IFERROR(4*STDEVP(終値!AH328:BA328)/AVERAGE(終値!AH328:BA328),""))</f>
      </c>
      <c r="AF328" s="684">
        <f>IF(終値!A328="","",IFERROR(4*STDEVP(終値!AI328:BB328)/AVERAGE(終値!AI328:BB328),""))</f>
      </c>
      <c r="AG328" s="684">
        <f>IF(終値!A328="","",IFERROR(4*STDEVP(終値!AJ328:BC328)/AVERAGE(終値!AJ328:BC328),""))</f>
      </c>
      <c r="AH328" s="684">
        <f>IF(終値!A328="","",IFERROR(4*STDEVP(終値!AK328:BD328)/AVERAGE(終値!AK328:BD328),""))</f>
      </c>
      <c r="AI328" s="684">
        <f>IF(終値!A328="","",IFERROR(4*STDEVP(終値!AL328:BE328)/AVERAGE(終値!AL328:BE328),""))</f>
      </c>
      <c r="AJ328" s="684">
        <f>IF(終値!A328="","",IFERROR(4*STDEVP(終値!AM328:BF328)/AVERAGE(終値!AM328:BF328),""))</f>
      </c>
      <c r="AK328" s="684">
        <f>IF(終値!A328="","",IFERROR(4*STDEVP(終値!AN328:BG328)/AVERAGE(終値!AN328:BG328),""))</f>
      </c>
      <c r="AL328" s="684">
        <f>IF(終値!A328="","",IFERROR(4*STDEVP(終値!AO328:BH328)/AVERAGE(終値!AO328:BH328),""))</f>
      </c>
      <c r="AM328" s="684">
        <f>IF(終値!A328="","",IFERROR(4*STDEVP(終値!AP328:BI328)/AVERAGE(終値!AP328:BI328),""))</f>
      </c>
      <c r="AN328" s="684">
        <f>IF(終値!A328="","",IFERROR(4*STDEVP(終値!AQ328:BJ328)/AVERAGE(終値!AQ328:BJ328),""))</f>
      </c>
      <c r="AO328" s="684">
        <f>IF(終値!A328="","",IFERROR(4*STDEVP(終値!AR328:BK328)/AVERAGE(終値!AR328:BK328),""))</f>
      </c>
      <c r="AP328" s="684">
        <f>IF(終値!A328="","",IFERROR(4*STDEVP(終値!AS328:BL328)/AVERAGE(終値!AS328:BL328),""))</f>
      </c>
    </row>
    <row r="329">
      <c r="A329" s="681">
        <f>IF(終値!A329="","",終値!A329)</f>
      </c>
      <c r="B329" s="684">
        <f>IF(終値!A329="","",IFERROR(4*STDEVP(終値!E329:X329)/AVERAGE(終値!E329:X329),""))</f>
      </c>
      <c r="C329" s="684">
        <f>IF(終値!A329="","",IFERROR(4*STDEVP(終値!F329:Y329)/AVERAGE(終値!F329:Y329),""))</f>
      </c>
      <c r="D329" s="684">
        <f>IF(終値!A329="","",IFERROR(4*STDEVP(終値!G329:Z329)/AVERAGE(終値!G329:Z329),""))</f>
      </c>
      <c r="E329" s="684">
        <f>IF(終値!A329="","",IFERROR(4*STDEVP(終値!H329:AA329)/AVERAGE(終値!H329:AA329),""))</f>
      </c>
      <c r="F329" s="684">
        <f>IF(終値!A329="","",IFERROR(4*STDEVP(終値!I329:AB329)/AVERAGE(終値!I329:AB329),""))</f>
      </c>
      <c r="G329" s="684">
        <f>IF(終値!A329="","",IFERROR(4*STDEVP(終値!J329:AC329)/AVERAGE(終値!J329:AC329),""))</f>
      </c>
      <c r="H329" s="684">
        <f>IF(終値!A329="","",IFERROR(4*STDEVP(終値!K329:AD329)/AVERAGE(終値!K329:AD329),""))</f>
      </c>
      <c r="I329" s="684">
        <f>IF(終値!A329="","",IFERROR(4*STDEVP(終値!L329:AE329)/AVERAGE(終値!L329:AE329),""))</f>
      </c>
      <c r="J329" s="684">
        <f>IF(終値!A329="","",IFERROR(4*STDEVP(終値!M329:AF329)/AVERAGE(終値!M329:AF329),""))</f>
      </c>
      <c r="K329" s="684">
        <f>IF(終値!A329="","",IFERROR(4*STDEVP(終値!N329:AG329)/AVERAGE(終値!N329:AG329),""))</f>
      </c>
      <c r="L329" s="684">
        <f>IF(終値!A329="","",IFERROR(4*STDEVP(終値!O329:AH329)/AVERAGE(終値!O329:AH329),""))</f>
      </c>
      <c r="M329" s="684">
        <f>IF(終値!A329="","",IFERROR(4*STDEVP(終値!P329:AI329)/AVERAGE(終値!P329:AI329),""))</f>
      </c>
      <c r="N329" s="684">
        <f>IF(終値!A329="","",IFERROR(4*STDEVP(終値!Q329:AJ329)/AVERAGE(終値!Q329:AJ329),""))</f>
      </c>
      <c r="O329" s="684">
        <f>IF(終値!A329="","",IFERROR(4*STDEVP(終値!R329:AK329)/AVERAGE(終値!R329:AK329),""))</f>
      </c>
      <c r="P329" s="684">
        <f>IF(終値!A329="","",IFERROR(4*STDEVP(終値!S329:AL329)/AVERAGE(終値!S329:AL329),""))</f>
      </c>
      <c r="Q329" s="684">
        <f>IF(終値!A329="","",IFERROR(4*STDEVP(終値!T329:AM329)/AVERAGE(終値!T329:AM329),""))</f>
      </c>
      <c r="R329" s="684">
        <f>IF(終値!A329="","",IFERROR(4*STDEVP(終値!U329:AN329)/AVERAGE(終値!U329:AN329),""))</f>
      </c>
      <c r="S329" s="684">
        <f>IF(終値!A329="","",IFERROR(4*STDEVP(終値!V329:AO329)/AVERAGE(終値!V329:AO329),""))</f>
      </c>
      <c r="T329" s="684">
        <f>IF(終値!A329="","",IFERROR(4*STDEVP(終値!W329:AP329)/AVERAGE(終値!W329:AP329),""))</f>
      </c>
      <c r="U329" s="684">
        <f>IF(終値!A329="","",IFERROR(4*STDEVP(終値!X329:AQ329)/AVERAGE(終値!X329:AQ329),""))</f>
      </c>
      <c r="V329" s="684">
        <f>IF(終値!A329="","",IFERROR(4*STDEVP(終値!Y329:AR329)/AVERAGE(終値!Y329:AR329),""))</f>
      </c>
      <c r="W329" s="684">
        <f>IF(終値!A329="","",IFERROR(4*STDEVP(終値!Z329:AS329)/AVERAGE(終値!Z329:AS329),""))</f>
      </c>
      <c r="X329" s="684">
        <f>IF(終値!A329="","",IFERROR(4*STDEVP(終値!AA329:AT329)/AVERAGE(終値!AA329:AT329),""))</f>
      </c>
      <c r="Y329" s="684">
        <f>IF(終値!A329="","",IFERROR(4*STDEVP(終値!AB329:AU329)/AVERAGE(終値!AB329:AU329),""))</f>
      </c>
      <c r="Z329" s="684">
        <f>IF(終値!A329="","",IFERROR(4*STDEVP(終値!AC329:AV329)/AVERAGE(終値!AC329:AV329),""))</f>
      </c>
      <c r="AA329" s="684">
        <f>IF(終値!A329="","",IFERROR(4*STDEVP(終値!AD329:AW329)/AVERAGE(終値!AD329:AW329),""))</f>
      </c>
      <c r="AB329" s="684">
        <f>IF(終値!A329="","",IFERROR(4*STDEVP(終値!AE329:AX329)/AVERAGE(終値!AE329:AX329),""))</f>
      </c>
      <c r="AC329" s="684">
        <f>IF(終値!A329="","",IFERROR(4*STDEVP(終値!AF329:AY329)/AVERAGE(終値!AF329:AY329),""))</f>
      </c>
      <c r="AD329" s="684">
        <f>IF(終値!A329="","",IFERROR(4*STDEVP(終値!AG329:AZ329)/AVERAGE(終値!AG329:AZ329),""))</f>
      </c>
      <c r="AE329" s="684">
        <f>IF(終値!A329="","",IFERROR(4*STDEVP(終値!AH329:BA329)/AVERAGE(終値!AH329:BA329),""))</f>
      </c>
      <c r="AF329" s="684">
        <f>IF(終値!A329="","",IFERROR(4*STDEVP(終値!AI329:BB329)/AVERAGE(終値!AI329:BB329),""))</f>
      </c>
      <c r="AG329" s="684">
        <f>IF(終値!A329="","",IFERROR(4*STDEVP(終値!AJ329:BC329)/AVERAGE(終値!AJ329:BC329),""))</f>
      </c>
      <c r="AH329" s="684">
        <f>IF(終値!A329="","",IFERROR(4*STDEVP(終値!AK329:BD329)/AVERAGE(終値!AK329:BD329),""))</f>
      </c>
      <c r="AI329" s="684">
        <f>IF(終値!A329="","",IFERROR(4*STDEVP(終値!AL329:BE329)/AVERAGE(終値!AL329:BE329),""))</f>
      </c>
      <c r="AJ329" s="684">
        <f>IF(終値!A329="","",IFERROR(4*STDEVP(終値!AM329:BF329)/AVERAGE(終値!AM329:BF329),""))</f>
      </c>
      <c r="AK329" s="684">
        <f>IF(終値!A329="","",IFERROR(4*STDEVP(終値!AN329:BG329)/AVERAGE(終値!AN329:BG329),""))</f>
      </c>
      <c r="AL329" s="684">
        <f>IF(終値!A329="","",IFERROR(4*STDEVP(終値!AO329:BH329)/AVERAGE(終値!AO329:BH329),""))</f>
      </c>
      <c r="AM329" s="684">
        <f>IF(終値!A329="","",IFERROR(4*STDEVP(終値!AP329:BI329)/AVERAGE(終値!AP329:BI329),""))</f>
      </c>
      <c r="AN329" s="684">
        <f>IF(終値!A329="","",IFERROR(4*STDEVP(終値!AQ329:BJ329)/AVERAGE(終値!AQ329:BJ329),""))</f>
      </c>
      <c r="AO329" s="684">
        <f>IF(終値!A329="","",IFERROR(4*STDEVP(終値!AR329:BK329)/AVERAGE(終値!AR329:BK329),""))</f>
      </c>
      <c r="AP329" s="684">
        <f>IF(終値!A329="","",IFERROR(4*STDEVP(終値!AS329:BL329)/AVERAGE(終値!AS329:BL329),""))</f>
      </c>
    </row>
    <row r="330">
      <c r="A330" s="681">
        <f>IF(終値!A330="","",終値!A330)</f>
      </c>
      <c r="B330" s="684">
        <f>IF(終値!A330="","",IFERROR(4*STDEVP(終値!E330:X330)/AVERAGE(終値!E330:X330),""))</f>
      </c>
      <c r="C330" s="684">
        <f>IF(終値!A330="","",IFERROR(4*STDEVP(終値!F330:Y330)/AVERAGE(終値!F330:Y330),""))</f>
      </c>
      <c r="D330" s="684">
        <f>IF(終値!A330="","",IFERROR(4*STDEVP(終値!G330:Z330)/AVERAGE(終値!G330:Z330),""))</f>
      </c>
      <c r="E330" s="684">
        <f>IF(終値!A330="","",IFERROR(4*STDEVP(終値!H330:AA330)/AVERAGE(終値!H330:AA330),""))</f>
      </c>
      <c r="F330" s="684">
        <f>IF(終値!A330="","",IFERROR(4*STDEVP(終値!I330:AB330)/AVERAGE(終値!I330:AB330),""))</f>
      </c>
      <c r="G330" s="684">
        <f>IF(終値!A330="","",IFERROR(4*STDEVP(終値!J330:AC330)/AVERAGE(終値!J330:AC330),""))</f>
      </c>
      <c r="H330" s="684">
        <f>IF(終値!A330="","",IFERROR(4*STDEVP(終値!K330:AD330)/AVERAGE(終値!K330:AD330),""))</f>
      </c>
      <c r="I330" s="684">
        <f>IF(終値!A330="","",IFERROR(4*STDEVP(終値!L330:AE330)/AVERAGE(終値!L330:AE330),""))</f>
      </c>
      <c r="J330" s="684">
        <f>IF(終値!A330="","",IFERROR(4*STDEVP(終値!M330:AF330)/AVERAGE(終値!M330:AF330),""))</f>
      </c>
      <c r="K330" s="684">
        <f>IF(終値!A330="","",IFERROR(4*STDEVP(終値!N330:AG330)/AVERAGE(終値!N330:AG330),""))</f>
      </c>
      <c r="L330" s="684">
        <f>IF(終値!A330="","",IFERROR(4*STDEVP(終値!O330:AH330)/AVERAGE(終値!O330:AH330),""))</f>
      </c>
      <c r="M330" s="684">
        <f>IF(終値!A330="","",IFERROR(4*STDEVP(終値!P330:AI330)/AVERAGE(終値!P330:AI330),""))</f>
      </c>
      <c r="N330" s="684">
        <f>IF(終値!A330="","",IFERROR(4*STDEVP(終値!Q330:AJ330)/AVERAGE(終値!Q330:AJ330),""))</f>
      </c>
      <c r="O330" s="684">
        <f>IF(終値!A330="","",IFERROR(4*STDEVP(終値!R330:AK330)/AVERAGE(終値!R330:AK330),""))</f>
      </c>
      <c r="P330" s="684">
        <f>IF(終値!A330="","",IFERROR(4*STDEVP(終値!S330:AL330)/AVERAGE(終値!S330:AL330),""))</f>
      </c>
      <c r="Q330" s="684">
        <f>IF(終値!A330="","",IFERROR(4*STDEVP(終値!T330:AM330)/AVERAGE(終値!T330:AM330),""))</f>
      </c>
      <c r="R330" s="684">
        <f>IF(終値!A330="","",IFERROR(4*STDEVP(終値!U330:AN330)/AVERAGE(終値!U330:AN330),""))</f>
      </c>
      <c r="S330" s="684">
        <f>IF(終値!A330="","",IFERROR(4*STDEVP(終値!V330:AO330)/AVERAGE(終値!V330:AO330),""))</f>
      </c>
      <c r="T330" s="684">
        <f>IF(終値!A330="","",IFERROR(4*STDEVP(終値!W330:AP330)/AVERAGE(終値!W330:AP330),""))</f>
      </c>
      <c r="U330" s="684">
        <f>IF(終値!A330="","",IFERROR(4*STDEVP(終値!X330:AQ330)/AVERAGE(終値!X330:AQ330),""))</f>
      </c>
      <c r="V330" s="684">
        <f>IF(終値!A330="","",IFERROR(4*STDEVP(終値!Y330:AR330)/AVERAGE(終値!Y330:AR330),""))</f>
      </c>
      <c r="W330" s="684">
        <f>IF(終値!A330="","",IFERROR(4*STDEVP(終値!Z330:AS330)/AVERAGE(終値!Z330:AS330),""))</f>
      </c>
      <c r="X330" s="684">
        <f>IF(終値!A330="","",IFERROR(4*STDEVP(終値!AA330:AT330)/AVERAGE(終値!AA330:AT330),""))</f>
      </c>
      <c r="Y330" s="684">
        <f>IF(終値!A330="","",IFERROR(4*STDEVP(終値!AB330:AU330)/AVERAGE(終値!AB330:AU330),""))</f>
      </c>
      <c r="Z330" s="684">
        <f>IF(終値!A330="","",IFERROR(4*STDEVP(終値!AC330:AV330)/AVERAGE(終値!AC330:AV330),""))</f>
      </c>
      <c r="AA330" s="684">
        <f>IF(終値!A330="","",IFERROR(4*STDEVP(終値!AD330:AW330)/AVERAGE(終値!AD330:AW330),""))</f>
      </c>
      <c r="AB330" s="684">
        <f>IF(終値!A330="","",IFERROR(4*STDEVP(終値!AE330:AX330)/AVERAGE(終値!AE330:AX330),""))</f>
      </c>
      <c r="AC330" s="684">
        <f>IF(終値!A330="","",IFERROR(4*STDEVP(終値!AF330:AY330)/AVERAGE(終値!AF330:AY330),""))</f>
      </c>
      <c r="AD330" s="684">
        <f>IF(終値!A330="","",IFERROR(4*STDEVP(終値!AG330:AZ330)/AVERAGE(終値!AG330:AZ330),""))</f>
      </c>
      <c r="AE330" s="684">
        <f>IF(終値!A330="","",IFERROR(4*STDEVP(終値!AH330:BA330)/AVERAGE(終値!AH330:BA330),""))</f>
      </c>
      <c r="AF330" s="684">
        <f>IF(終値!A330="","",IFERROR(4*STDEVP(終値!AI330:BB330)/AVERAGE(終値!AI330:BB330),""))</f>
      </c>
      <c r="AG330" s="684">
        <f>IF(終値!A330="","",IFERROR(4*STDEVP(終値!AJ330:BC330)/AVERAGE(終値!AJ330:BC330),""))</f>
      </c>
      <c r="AH330" s="684">
        <f>IF(終値!A330="","",IFERROR(4*STDEVP(終値!AK330:BD330)/AVERAGE(終値!AK330:BD330),""))</f>
      </c>
      <c r="AI330" s="684">
        <f>IF(終値!A330="","",IFERROR(4*STDEVP(終値!AL330:BE330)/AVERAGE(終値!AL330:BE330),""))</f>
      </c>
      <c r="AJ330" s="684">
        <f>IF(終値!A330="","",IFERROR(4*STDEVP(終値!AM330:BF330)/AVERAGE(終値!AM330:BF330),""))</f>
      </c>
      <c r="AK330" s="684">
        <f>IF(終値!A330="","",IFERROR(4*STDEVP(終値!AN330:BG330)/AVERAGE(終値!AN330:BG330),""))</f>
      </c>
      <c r="AL330" s="684">
        <f>IF(終値!A330="","",IFERROR(4*STDEVP(終値!AO330:BH330)/AVERAGE(終値!AO330:BH330),""))</f>
      </c>
      <c r="AM330" s="684">
        <f>IF(終値!A330="","",IFERROR(4*STDEVP(終値!AP330:BI330)/AVERAGE(終値!AP330:BI330),""))</f>
      </c>
      <c r="AN330" s="684">
        <f>IF(終値!A330="","",IFERROR(4*STDEVP(終値!AQ330:BJ330)/AVERAGE(終値!AQ330:BJ330),""))</f>
      </c>
      <c r="AO330" s="684">
        <f>IF(終値!A330="","",IFERROR(4*STDEVP(終値!AR330:BK330)/AVERAGE(終値!AR330:BK330),""))</f>
      </c>
      <c r="AP330" s="684">
        <f>IF(終値!A330="","",IFERROR(4*STDEVP(終値!AS330:BL330)/AVERAGE(終値!AS330:BL330),""))</f>
      </c>
    </row>
    <row r="331">
      <c r="A331" s="681">
        <f>IF(終値!A331="","",終値!A331)</f>
      </c>
      <c r="B331" s="684">
        <f>IF(終値!A331="","",IFERROR(4*STDEVP(終値!E331:X331)/AVERAGE(終値!E331:X331),""))</f>
      </c>
      <c r="C331" s="684">
        <f>IF(終値!A331="","",IFERROR(4*STDEVP(終値!F331:Y331)/AVERAGE(終値!F331:Y331),""))</f>
      </c>
      <c r="D331" s="684">
        <f>IF(終値!A331="","",IFERROR(4*STDEVP(終値!G331:Z331)/AVERAGE(終値!G331:Z331),""))</f>
      </c>
      <c r="E331" s="684">
        <f>IF(終値!A331="","",IFERROR(4*STDEVP(終値!H331:AA331)/AVERAGE(終値!H331:AA331),""))</f>
      </c>
      <c r="F331" s="684">
        <f>IF(終値!A331="","",IFERROR(4*STDEVP(終値!I331:AB331)/AVERAGE(終値!I331:AB331),""))</f>
      </c>
      <c r="G331" s="684">
        <f>IF(終値!A331="","",IFERROR(4*STDEVP(終値!J331:AC331)/AVERAGE(終値!J331:AC331),""))</f>
      </c>
      <c r="H331" s="684">
        <f>IF(終値!A331="","",IFERROR(4*STDEVP(終値!K331:AD331)/AVERAGE(終値!K331:AD331),""))</f>
      </c>
      <c r="I331" s="684">
        <f>IF(終値!A331="","",IFERROR(4*STDEVP(終値!L331:AE331)/AVERAGE(終値!L331:AE331),""))</f>
      </c>
      <c r="J331" s="684">
        <f>IF(終値!A331="","",IFERROR(4*STDEVP(終値!M331:AF331)/AVERAGE(終値!M331:AF331),""))</f>
      </c>
      <c r="K331" s="684">
        <f>IF(終値!A331="","",IFERROR(4*STDEVP(終値!N331:AG331)/AVERAGE(終値!N331:AG331),""))</f>
      </c>
      <c r="L331" s="684">
        <f>IF(終値!A331="","",IFERROR(4*STDEVP(終値!O331:AH331)/AVERAGE(終値!O331:AH331),""))</f>
      </c>
      <c r="M331" s="684">
        <f>IF(終値!A331="","",IFERROR(4*STDEVP(終値!P331:AI331)/AVERAGE(終値!P331:AI331),""))</f>
      </c>
      <c r="N331" s="684">
        <f>IF(終値!A331="","",IFERROR(4*STDEVP(終値!Q331:AJ331)/AVERAGE(終値!Q331:AJ331),""))</f>
      </c>
      <c r="O331" s="684">
        <f>IF(終値!A331="","",IFERROR(4*STDEVP(終値!R331:AK331)/AVERAGE(終値!R331:AK331),""))</f>
      </c>
      <c r="P331" s="684">
        <f>IF(終値!A331="","",IFERROR(4*STDEVP(終値!S331:AL331)/AVERAGE(終値!S331:AL331),""))</f>
      </c>
      <c r="Q331" s="684">
        <f>IF(終値!A331="","",IFERROR(4*STDEVP(終値!T331:AM331)/AVERAGE(終値!T331:AM331),""))</f>
      </c>
      <c r="R331" s="684">
        <f>IF(終値!A331="","",IFERROR(4*STDEVP(終値!U331:AN331)/AVERAGE(終値!U331:AN331),""))</f>
      </c>
      <c r="S331" s="684">
        <f>IF(終値!A331="","",IFERROR(4*STDEVP(終値!V331:AO331)/AVERAGE(終値!V331:AO331),""))</f>
      </c>
      <c r="T331" s="684">
        <f>IF(終値!A331="","",IFERROR(4*STDEVP(終値!W331:AP331)/AVERAGE(終値!W331:AP331),""))</f>
      </c>
      <c r="U331" s="684">
        <f>IF(終値!A331="","",IFERROR(4*STDEVP(終値!X331:AQ331)/AVERAGE(終値!X331:AQ331),""))</f>
      </c>
      <c r="V331" s="684">
        <f>IF(終値!A331="","",IFERROR(4*STDEVP(終値!Y331:AR331)/AVERAGE(終値!Y331:AR331),""))</f>
      </c>
      <c r="W331" s="684">
        <f>IF(終値!A331="","",IFERROR(4*STDEVP(終値!Z331:AS331)/AVERAGE(終値!Z331:AS331),""))</f>
      </c>
      <c r="X331" s="684">
        <f>IF(終値!A331="","",IFERROR(4*STDEVP(終値!AA331:AT331)/AVERAGE(終値!AA331:AT331),""))</f>
      </c>
      <c r="Y331" s="684">
        <f>IF(終値!A331="","",IFERROR(4*STDEVP(終値!AB331:AU331)/AVERAGE(終値!AB331:AU331),""))</f>
      </c>
      <c r="Z331" s="684">
        <f>IF(終値!A331="","",IFERROR(4*STDEVP(終値!AC331:AV331)/AVERAGE(終値!AC331:AV331),""))</f>
      </c>
      <c r="AA331" s="684">
        <f>IF(終値!A331="","",IFERROR(4*STDEVP(終値!AD331:AW331)/AVERAGE(終値!AD331:AW331),""))</f>
      </c>
      <c r="AB331" s="684">
        <f>IF(終値!A331="","",IFERROR(4*STDEVP(終値!AE331:AX331)/AVERAGE(終値!AE331:AX331),""))</f>
      </c>
      <c r="AC331" s="684">
        <f>IF(終値!A331="","",IFERROR(4*STDEVP(終値!AF331:AY331)/AVERAGE(終値!AF331:AY331),""))</f>
      </c>
      <c r="AD331" s="684">
        <f>IF(終値!A331="","",IFERROR(4*STDEVP(終値!AG331:AZ331)/AVERAGE(終値!AG331:AZ331),""))</f>
      </c>
      <c r="AE331" s="684">
        <f>IF(終値!A331="","",IFERROR(4*STDEVP(終値!AH331:BA331)/AVERAGE(終値!AH331:BA331),""))</f>
      </c>
      <c r="AF331" s="684">
        <f>IF(終値!A331="","",IFERROR(4*STDEVP(終値!AI331:BB331)/AVERAGE(終値!AI331:BB331),""))</f>
      </c>
      <c r="AG331" s="684">
        <f>IF(終値!A331="","",IFERROR(4*STDEVP(終値!AJ331:BC331)/AVERAGE(終値!AJ331:BC331),""))</f>
      </c>
      <c r="AH331" s="684">
        <f>IF(終値!A331="","",IFERROR(4*STDEVP(終値!AK331:BD331)/AVERAGE(終値!AK331:BD331),""))</f>
      </c>
      <c r="AI331" s="684">
        <f>IF(終値!A331="","",IFERROR(4*STDEVP(終値!AL331:BE331)/AVERAGE(終値!AL331:BE331),""))</f>
      </c>
      <c r="AJ331" s="684">
        <f>IF(終値!A331="","",IFERROR(4*STDEVP(終値!AM331:BF331)/AVERAGE(終値!AM331:BF331),""))</f>
      </c>
      <c r="AK331" s="684">
        <f>IF(終値!A331="","",IFERROR(4*STDEVP(終値!AN331:BG331)/AVERAGE(終値!AN331:BG331),""))</f>
      </c>
      <c r="AL331" s="684">
        <f>IF(終値!A331="","",IFERROR(4*STDEVP(終値!AO331:BH331)/AVERAGE(終値!AO331:BH331),""))</f>
      </c>
      <c r="AM331" s="684">
        <f>IF(終値!A331="","",IFERROR(4*STDEVP(終値!AP331:BI331)/AVERAGE(終値!AP331:BI331),""))</f>
      </c>
      <c r="AN331" s="684">
        <f>IF(終値!A331="","",IFERROR(4*STDEVP(終値!AQ331:BJ331)/AVERAGE(終値!AQ331:BJ331),""))</f>
      </c>
      <c r="AO331" s="684">
        <f>IF(終値!A331="","",IFERROR(4*STDEVP(終値!AR331:BK331)/AVERAGE(終値!AR331:BK331),""))</f>
      </c>
      <c r="AP331" s="684">
        <f>IF(終値!A331="","",IFERROR(4*STDEVP(終値!AS331:BL331)/AVERAGE(終値!AS331:BL331),""))</f>
      </c>
    </row>
    <row r="332">
      <c r="A332" s="681">
        <f>IF(終値!A332="","",終値!A332)</f>
      </c>
      <c r="B332" s="684">
        <f>IF(終値!A332="","",IFERROR(4*STDEVP(終値!E332:X332)/AVERAGE(終値!E332:X332),""))</f>
      </c>
      <c r="C332" s="684">
        <f>IF(終値!A332="","",IFERROR(4*STDEVP(終値!F332:Y332)/AVERAGE(終値!F332:Y332),""))</f>
      </c>
      <c r="D332" s="684">
        <f>IF(終値!A332="","",IFERROR(4*STDEVP(終値!G332:Z332)/AVERAGE(終値!G332:Z332),""))</f>
      </c>
      <c r="E332" s="684">
        <f>IF(終値!A332="","",IFERROR(4*STDEVP(終値!H332:AA332)/AVERAGE(終値!H332:AA332),""))</f>
      </c>
      <c r="F332" s="684">
        <f>IF(終値!A332="","",IFERROR(4*STDEVP(終値!I332:AB332)/AVERAGE(終値!I332:AB332),""))</f>
      </c>
      <c r="G332" s="684">
        <f>IF(終値!A332="","",IFERROR(4*STDEVP(終値!J332:AC332)/AVERAGE(終値!J332:AC332),""))</f>
      </c>
      <c r="H332" s="684">
        <f>IF(終値!A332="","",IFERROR(4*STDEVP(終値!K332:AD332)/AVERAGE(終値!K332:AD332),""))</f>
      </c>
      <c r="I332" s="684">
        <f>IF(終値!A332="","",IFERROR(4*STDEVP(終値!L332:AE332)/AVERAGE(終値!L332:AE332),""))</f>
      </c>
      <c r="J332" s="684">
        <f>IF(終値!A332="","",IFERROR(4*STDEVP(終値!M332:AF332)/AVERAGE(終値!M332:AF332),""))</f>
      </c>
      <c r="K332" s="684">
        <f>IF(終値!A332="","",IFERROR(4*STDEVP(終値!N332:AG332)/AVERAGE(終値!N332:AG332),""))</f>
      </c>
      <c r="L332" s="684">
        <f>IF(終値!A332="","",IFERROR(4*STDEVP(終値!O332:AH332)/AVERAGE(終値!O332:AH332),""))</f>
      </c>
      <c r="M332" s="684">
        <f>IF(終値!A332="","",IFERROR(4*STDEVP(終値!P332:AI332)/AVERAGE(終値!P332:AI332),""))</f>
      </c>
      <c r="N332" s="684">
        <f>IF(終値!A332="","",IFERROR(4*STDEVP(終値!Q332:AJ332)/AVERAGE(終値!Q332:AJ332),""))</f>
      </c>
      <c r="O332" s="684">
        <f>IF(終値!A332="","",IFERROR(4*STDEVP(終値!R332:AK332)/AVERAGE(終値!R332:AK332),""))</f>
      </c>
      <c r="P332" s="684">
        <f>IF(終値!A332="","",IFERROR(4*STDEVP(終値!S332:AL332)/AVERAGE(終値!S332:AL332),""))</f>
      </c>
      <c r="Q332" s="684">
        <f>IF(終値!A332="","",IFERROR(4*STDEVP(終値!T332:AM332)/AVERAGE(終値!T332:AM332),""))</f>
      </c>
      <c r="R332" s="684">
        <f>IF(終値!A332="","",IFERROR(4*STDEVP(終値!U332:AN332)/AVERAGE(終値!U332:AN332),""))</f>
      </c>
      <c r="S332" s="684">
        <f>IF(終値!A332="","",IFERROR(4*STDEVP(終値!V332:AO332)/AVERAGE(終値!V332:AO332),""))</f>
      </c>
      <c r="T332" s="684">
        <f>IF(終値!A332="","",IFERROR(4*STDEVP(終値!W332:AP332)/AVERAGE(終値!W332:AP332),""))</f>
      </c>
      <c r="U332" s="684">
        <f>IF(終値!A332="","",IFERROR(4*STDEVP(終値!X332:AQ332)/AVERAGE(終値!X332:AQ332),""))</f>
      </c>
      <c r="V332" s="684">
        <f>IF(終値!A332="","",IFERROR(4*STDEVP(終値!Y332:AR332)/AVERAGE(終値!Y332:AR332),""))</f>
      </c>
      <c r="W332" s="684">
        <f>IF(終値!A332="","",IFERROR(4*STDEVP(終値!Z332:AS332)/AVERAGE(終値!Z332:AS332),""))</f>
      </c>
      <c r="X332" s="684">
        <f>IF(終値!A332="","",IFERROR(4*STDEVP(終値!AA332:AT332)/AVERAGE(終値!AA332:AT332),""))</f>
      </c>
      <c r="Y332" s="684">
        <f>IF(終値!A332="","",IFERROR(4*STDEVP(終値!AB332:AU332)/AVERAGE(終値!AB332:AU332),""))</f>
      </c>
      <c r="Z332" s="684">
        <f>IF(終値!A332="","",IFERROR(4*STDEVP(終値!AC332:AV332)/AVERAGE(終値!AC332:AV332),""))</f>
      </c>
      <c r="AA332" s="684">
        <f>IF(終値!A332="","",IFERROR(4*STDEVP(終値!AD332:AW332)/AVERAGE(終値!AD332:AW332),""))</f>
      </c>
      <c r="AB332" s="684">
        <f>IF(終値!A332="","",IFERROR(4*STDEVP(終値!AE332:AX332)/AVERAGE(終値!AE332:AX332),""))</f>
      </c>
      <c r="AC332" s="684">
        <f>IF(終値!A332="","",IFERROR(4*STDEVP(終値!AF332:AY332)/AVERAGE(終値!AF332:AY332),""))</f>
      </c>
      <c r="AD332" s="684">
        <f>IF(終値!A332="","",IFERROR(4*STDEVP(終値!AG332:AZ332)/AVERAGE(終値!AG332:AZ332),""))</f>
      </c>
      <c r="AE332" s="684">
        <f>IF(終値!A332="","",IFERROR(4*STDEVP(終値!AH332:BA332)/AVERAGE(終値!AH332:BA332),""))</f>
      </c>
      <c r="AF332" s="684">
        <f>IF(終値!A332="","",IFERROR(4*STDEVP(終値!AI332:BB332)/AVERAGE(終値!AI332:BB332),""))</f>
      </c>
      <c r="AG332" s="684">
        <f>IF(終値!A332="","",IFERROR(4*STDEVP(終値!AJ332:BC332)/AVERAGE(終値!AJ332:BC332),""))</f>
      </c>
      <c r="AH332" s="684">
        <f>IF(終値!A332="","",IFERROR(4*STDEVP(終値!AK332:BD332)/AVERAGE(終値!AK332:BD332),""))</f>
      </c>
      <c r="AI332" s="684">
        <f>IF(終値!A332="","",IFERROR(4*STDEVP(終値!AL332:BE332)/AVERAGE(終値!AL332:BE332),""))</f>
      </c>
      <c r="AJ332" s="684">
        <f>IF(終値!A332="","",IFERROR(4*STDEVP(終値!AM332:BF332)/AVERAGE(終値!AM332:BF332),""))</f>
      </c>
      <c r="AK332" s="684">
        <f>IF(終値!A332="","",IFERROR(4*STDEVP(終値!AN332:BG332)/AVERAGE(終値!AN332:BG332),""))</f>
      </c>
      <c r="AL332" s="684">
        <f>IF(終値!A332="","",IFERROR(4*STDEVP(終値!AO332:BH332)/AVERAGE(終値!AO332:BH332),""))</f>
      </c>
      <c r="AM332" s="684">
        <f>IF(終値!A332="","",IFERROR(4*STDEVP(終値!AP332:BI332)/AVERAGE(終値!AP332:BI332),""))</f>
      </c>
      <c r="AN332" s="684">
        <f>IF(終値!A332="","",IFERROR(4*STDEVP(終値!AQ332:BJ332)/AVERAGE(終値!AQ332:BJ332),""))</f>
      </c>
      <c r="AO332" s="684">
        <f>IF(終値!A332="","",IFERROR(4*STDEVP(終値!AR332:BK332)/AVERAGE(終値!AR332:BK332),""))</f>
      </c>
      <c r="AP332" s="684">
        <f>IF(終値!A332="","",IFERROR(4*STDEVP(終値!AS332:BL332)/AVERAGE(終値!AS332:BL332),""))</f>
      </c>
    </row>
    <row r="333">
      <c r="A333" s="681">
        <f>IF(終値!A333="","",終値!A333)</f>
      </c>
      <c r="B333" s="684">
        <f>IF(終値!A333="","",IFERROR(4*STDEVP(終値!E333:X333)/AVERAGE(終値!E333:X333),""))</f>
      </c>
      <c r="C333" s="684">
        <f>IF(終値!A333="","",IFERROR(4*STDEVP(終値!F333:Y333)/AVERAGE(終値!F333:Y333),""))</f>
      </c>
      <c r="D333" s="684">
        <f>IF(終値!A333="","",IFERROR(4*STDEVP(終値!G333:Z333)/AVERAGE(終値!G333:Z333),""))</f>
      </c>
      <c r="E333" s="684">
        <f>IF(終値!A333="","",IFERROR(4*STDEVP(終値!H333:AA333)/AVERAGE(終値!H333:AA333),""))</f>
      </c>
      <c r="F333" s="684">
        <f>IF(終値!A333="","",IFERROR(4*STDEVP(終値!I333:AB333)/AVERAGE(終値!I333:AB333),""))</f>
      </c>
      <c r="G333" s="684">
        <f>IF(終値!A333="","",IFERROR(4*STDEVP(終値!J333:AC333)/AVERAGE(終値!J333:AC333),""))</f>
      </c>
      <c r="H333" s="684">
        <f>IF(終値!A333="","",IFERROR(4*STDEVP(終値!K333:AD333)/AVERAGE(終値!K333:AD333),""))</f>
      </c>
      <c r="I333" s="684">
        <f>IF(終値!A333="","",IFERROR(4*STDEVP(終値!L333:AE333)/AVERAGE(終値!L333:AE333),""))</f>
      </c>
      <c r="J333" s="684">
        <f>IF(終値!A333="","",IFERROR(4*STDEVP(終値!M333:AF333)/AVERAGE(終値!M333:AF333),""))</f>
      </c>
      <c r="K333" s="684">
        <f>IF(終値!A333="","",IFERROR(4*STDEVP(終値!N333:AG333)/AVERAGE(終値!N333:AG333),""))</f>
      </c>
      <c r="L333" s="684">
        <f>IF(終値!A333="","",IFERROR(4*STDEVP(終値!O333:AH333)/AVERAGE(終値!O333:AH333),""))</f>
      </c>
      <c r="M333" s="684">
        <f>IF(終値!A333="","",IFERROR(4*STDEVP(終値!P333:AI333)/AVERAGE(終値!P333:AI333),""))</f>
      </c>
      <c r="N333" s="684">
        <f>IF(終値!A333="","",IFERROR(4*STDEVP(終値!Q333:AJ333)/AVERAGE(終値!Q333:AJ333),""))</f>
      </c>
      <c r="O333" s="684">
        <f>IF(終値!A333="","",IFERROR(4*STDEVP(終値!R333:AK333)/AVERAGE(終値!R333:AK333),""))</f>
      </c>
      <c r="P333" s="684">
        <f>IF(終値!A333="","",IFERROR(4*STDEVP(終値!S333:AL333)/AVERAGE(終値!S333:AL333),""))</f>
      </c>
      <c r="Q333" s="684">
        <f>IF(終値!A333="","",IFERROR(4*STDEVP(終値!T333:AM333)/AVERAGE(終値!T333:AM333),""))</f>
      </c>
      <c r="R333" s="684">
        <f>IF(終値!A333="","",IFERROR(4*STDEVP(終値!U333:AN333)/AVERAGE(終値!U333:AN333),""))</f>
      </c>
      <c r="S333" s="684">
        <f>IF(終値!A333="","",IFERROR(4*STDEVP(終値!V333:AO333)/AVERAGE(終値!V333:AO333),""))</f>
      </c>
      <c r="T333" s="684">
        <f>IF(終値!A333="","",IFERROR(4*STDEVP(終値!W333:AP333)/AVERAGE(終値!W333:AP333),""))</f>
      </c>
      <c r="U333" s="684">
        <f>IF(終値!A333="","",IFERROR(4*STDEVP(終値!X333:AQ333)/AVERAGE(終値!X333:AQ333),""))</f>
      </c>
      <c r="V333" s="684">
        <f>IF(終値!A333="","",IFERROR(4*STDEVP(終値!Y333:AR333)/AVERAGE(終値!Y333:AR333),""))</f>
      </c>
      <c r="W333" s="684">
        <f>IF(終値!A333="","",IFERROR(4*STDEVP(終値!Z333:AS333)/AVERAGE(終値!Z333:AS333),""))</f>
      </c>
      <c r="X333" s="684">
        <f>IF(終値!A333="","",IFERROR(4*STDEVP(終値!AA333:AT333)/AVERAGE(終値!AA333:AT333),""))</f>
      </c>
      <c r="Y333" s="684">
        <f>IF(終値!A333="","",IFERROR(4*STDEVP(終値!AB333:AU333)/AVERAGE(終値!AB333:AU333),""))</f>
      </c>
      <c r="Z333" s="684">
        <f>IF(終値!A333="","",IFERROR(4*STDEVP(終値!AC333:AV333)/AVERAGE(終値!AC333:AV333),""))</f>
      </c>
      <c r="AA333" s="684">
        <f>IF(終値!A333="","",IFERROR(4*STDEVP(終値!AD333:AW333)/AVERAGE(終値!AD333:AW333),""))</f>
      </c>
      <c r="AB333" s="684">
        <f>IF(終値!A333="","",IFERROR(4*STDEVP(終値!AE333:AX333)/AVERAGE(終値!AE333:AX333),""))</f>
      </c>
      <c r="AC333" s="684">
        <f>IF(終値!A333="","",IFERROR(4*STDEVP(終値!AF333:AY333)/AVERAGE(終値!AF333:AY333),""))</f>
      </c>
      <c r="AD333" s="684">
        <f>IF(終値!A333="","",IFERROR(4*STDEVP(終値!AG333:AZ333)/AVERAGE(終値!AG333:AZ333),""))</f>
      </c>
      <c r="AE333" s="684">
        <f>IF(終値!A333="","",IFERROR(4*STDEVP(終値!AH333:BA333)/AVERAGE(終値!AH333:BA333),""))</f>
      </c>
      <c r="AF333" s="684">
        <f>IF(終値!A333="","",IFERROR(4*STDEVP(終値!AI333:BB333)/AVERAGE(終値!AI333:BB333),""))</f>
      </c>
      <c r="AG333" s="684">
        <f>IF(終値!A333="","",IFERROR(4*STDEVP(終値!AJ333:BC333)/AVERAGE(終値!AJ333:BC333),""))</f>
      </c>
      <c r="AH333" s="684">
        <f>IF(終値!A333="","",IFERROR(4*STDEVP(終値!AK333:BD333)/AVERAGE(終値!AK333:BD333),""))</f>
      </c>
      <c r="AI333" s="684">
        <f>IF(終値!A333="","",IFERROR(4*STDEVP(終値!AL333:BE333)/AVERAGE(終値!AL333:BE333),""))</f>
      </c>
      <c r="AJ333" s="684">
        <f>IF(終値!A333="","",IFERROR(4*STDEVP(終値!AM333:BF333)/AVERAGE(終値!AM333:BF333),""))</f>
      </c>
      <c r="AK333" s="684">
        <f>IF(終値!A333="","",IFERROR(4*STDEVP(終値!AN333:BG333)/AVERAGE(終値!AN333:BG333),""))</f>
      </c>
      <c r="AL333" s="684">
        <f>IF(終値!A333="","",IFERROR(4*STDEVP(終値!AO333:BH333)/AVERAGE(終値!AO333:BH333),""))</f>
      </c>
      <c r="AM333" s="684">
        <f>IF(終値!A333="","",IFERROR(4*STDEVP(終値!AP333:BI333)/AVERAGE(終値!AP333:BI333),""))</f>
      </c>
      <c r="AN333" s="684">
        <f>IF(終値!A333="","",IFERROR(4*STDEVP(終値!AQ333:BJ333)/AVERAGE(終値!AQ333:BJ333),""))</f>
      </c>
      <c r="AO333" s="684">
        <f>IF(終値!A333="","",IFERROR(4*STDEVP(終値!AR333:BK333)/AVERAGE(終値!AR333:BK333),""))</f>
      </c>
      <c r="AP333" s="684">
        <f>IF(終値!A333="","",IFERROR(4*STDEVP(終値!AS333:BL333)/AVERAGE(終値!AS333:BL333),""))</f>
      </c>
    </row>
    <row r="334">
      <c r="A334" s="681">
        <f>IF(終値!A334="","",終値!A334)</f>
      </c>
      <c r="B334" s="684">
        <f>IF(終値!A334="","",IFERROR(4*STDEVP(終値!E334:X334)/AVERAGE(終値!E334:X334),""))</f>
      </c>
      <c r="C334" s="684">
        <f>IF(終値!A334="","",IFERROR(4*STDEVP(終値!F334:Y334)/AVERAGE(終値!F334:Y334),""))</f>
      </c>
      <c r="D334" s="684">
        <f>IF(終値!A334="","",IFERROR(4*STDEVP(終値!G334:Z334)/AVERAGE(終値!G334:Z334),""))</f>
      </c>
      <c r="E334" s="684">
        <f>IF(終値!A334="","",IFERROR(4*STDEVP(終値!H334:AA334)/AVERAGE(終値!H334:AA334),""))</f>
      </c>
      <c r="F334" s="684">
        <f>IF(終値!A334="","",IFERROR(4*STDEVP(終値!I334:AB334)/AVERAGE(終値!I334:AB334),""))</f>
      </c>
      <c r="G334" s="684">
        <f>IF(終値!A334="","",IFERROR(4*STDEVP(終値!J334:AC334)/AVERAGE(終値!J334:AC334),""))</f>
      </c>
      <c r="H334" s="684">
        <f>IF(終値!A334="","",IFERROR(4*STDEVP(終値!K334:AD334)/AVERAGE(終値!K334:AD334),""))</f>
      </c>
      <c r="I334" s="684">
        <f>IF(終値!A334="","",IFERROR(4*STDEVP(終値!L334:AE334)/AVERAGE(終値!L334:AE334),""))</f>
      </c>
      <c r="J334" s="684">
        <f>IF(終値!A334="","",IFERROR(4*STDEVP(終値!M334:AF334)/AVERAGE(終値!M334:AF334),""))</f>
      </c>
      <c r="K334" s="684">
        <f>IF(終値!A334="","",IFERROR(4*STDEVP(終値!N334:AG334)/AVERAGE(終値!N334:AG334),""))</f>
      </c>
      <c r="L334" s="684">
        <f>IF(終値!A334="","",IFERROR(4*STDEVP(終値!O334:AH334)/AVERAGE(終値!O334:AH334),""))</f>
      </c>
      <c r="M334" s="684">
        <f>IF(終値!A334="","",IFERROR(4*STDEVP(終値!P334:AI334)/AVERAGE(終値!P334:AI334),""))</f>
      </c>
      <c r="N334" s="684">
        <f>IF(終値!A334="","",IFERROR(4*STDEVP(終値!Q334:AJ334)/AVERAGE(終値!Q334:AJ334),""))</f>
      </c>
      <c r="O334" s="684">
        <f>IF(終値!A334="","",IFERROR(4*STDEVP(終値!R334:AK334)/AVERAGE(終値!R334:AK334),""))</f>
      </c>
      <c r="P334" s="684">
        <f>IF(終値!A334="","",IFERROR(4*STDEVP(終値!S334:AL334)/AVERAGE(終値!S334:AL334),""))</f>
      </c>
      <c r="Q334" s="684">
        <f>IF(終値!A334="","",IFERROR(4*STDEVP(終値!T334:AM334)/AVERAGE(終値!T334:AM334),""))</f>
      </c>
      <c r="R334" s="684">
        <f>IF(終値!A334="","",IFERROR(4*STDEVP(終値!U334:AN334)/AVERAGE(終値!U334:AN334),""))</f>
      </c>
      <c r="S334" s="684">
        <f>IF(終値!A334="","",IFERROR(4*STDEVP(終値!V334:AO334)/AVERAGE(終値!V334:AO334),""))</f>
      </c>
      <c r="T334" s="684">
        <f>IF(終値!A334="","",IFERROR(4*STDEVP(終値!W334:AP334)/AVERAGE(終値!W334:AP334),""))</f>
      </c>
      <c r="U334" s="684">
        <f>IF(終値!A334="","",IFERROR(4*STDEVP(終値!X334:AQ334)/AVERAGE(終値!X334:AQ334),""))</f>
      </c>
      <c r="V334" s="684">
        <f>IF(終値!A334="","",IFERROR(4*STDEVP(終値!Y334:AR334)/AVERAGE(終値!Y334:AR334),""))</f>
      </c>
      <c r="W334" s="684">
        <f>IF(終値!A334="","",IFERROR(4*STDEVP(終値!Z334:AS334)/AVERAGE(終値!Z334:AS334),""))</f>
      </c>
      <c r="X334" s="684">
        <f>IF(終値!A334="","",IFERROR(4*STDEVP(終値!AA334:AT334)/AVERAGE(終値!AA334:AT334),""))</f>
      </c>
      <c r="Y334" s="684">
        <f>IF(終値!A334="","",IFERROR(4*STDEVP(終値!AB334:AU334)/AVERAGE(終値!AB334:AU334),""))</f>
      </c>
      <c r="Z334" s="684">
        <f>IF(終値!A334="","",IFERROR(4*STDEVP(終値!AC334:AV334)/AVERAGE(終値!AC334:AV334),""))</f>
      </c>
      <c r="AA334" s="684">
        <f>IF(終値!A334="","",IFERROR(4*STDEVP(終値!AD334:AW334)/AVERAGE(終値!AD334:AW334),""))</f>
      </c>
      <c r="AB334" s="684">
        <f>IF(終値!A334="","",IFERROR(4*STDEVP(終値!AE334:AX334)/AVERAGE(終値!AE334:AX334),""))</f>
      </c>
      <c r="AC334" s="684">
        <f>IF(終値!A334="","",IFERROR(4*STDEVP(終値!AF334:AY334)/AVERAGE(終値!AF334:AY334),""))</f>
      </c>
      <c r="AD334" s="684">
        <f>IF(終値!A334="","",IFERROR(4*STDEVP(終値!AG334:AZ334)/AVERAGE(終値!AG334:AZ334),""))</f>
      </c>
      <c r="AE334" s="684">
        <f>IF(終値!A334="","",IFERROR(4*STDEVP(終値!AH334:BA334)/AVERAGE(終値!AH334:BA334),""))</f>
      </c>
      <c r="AF334" s="684">
        <f>IF(終値!A334="","",IFERROR(4*STDEVP(終値!AI334:BB334)/AVERAGE(終値!AI334:BB334),""))</f>
      </c>
      <c r="AG334" s="684">
        <f>IF(終値!A334="","",IFERROR(4*STDEVP(終値!AJ334:BC334)/AVERAGE(終値!AJ334:BC334),""))</f>
      </c>
      <c r="AH334" s="684">
        <f>IF(終値!A334="","",IFERROR(4*STDEVP(終値!AK334:BD334)/AVERAGE(終値!AK334:BD334),""))</f>
      </c>
      <c r="AI334" s="684">
        <f>IF(終値!A334="","",IFERROR(4*STDEVP(終値!AL334:BE334)/AVERAGE(終値!AL334:BE334),""))</f>
      </c>
      <c r="AJ334" s="684">
        <f>IF(終値!A334="","",IFERROR(4*STDEVP(終値!AM334:BF334)/AVERAGE(終値!AM334:BF334),""))</f>
      </c>
      <c r="AK334" s="684">
        <f>IF(終値!A334="","",IFERROR(4*STDEVP(終値!AN334:BG334)/AVERAGE(終値!AN334:BG334),""))</f>
      </c>
      <c r="AL334" s="684">
        <f>IF(終値!A334="","",IFERROR(4*STDEVP(終値!AO334:BH334)/AVERAGE(終値!AO334:BH334),""))</f>
      </c>
      <c r="AM334" s="684">
        <f>IF(終値!A334="","",IFERROR(4*STDEVP(終値!AP334:BI334)/AVERAGE(終値!AP334:BI334),""))</f>
      </c>
      <c r="AN334" s="684">
        <f>IF(終値!A334="","",IFERROR(4*STDEVP(終値!AQ334:BJ334)/AVERAGE(終値!AQ334:BJ334),""))</f>
      </c>
      <c r="AO334" s="684">
        <f>IF(終値!A334="","",IFERROR(4*STDEVP(終値!AR334:BK334)/AVERAGE(終値!AR334:BK334),""))</f>
      </c>
      <c r="AP334" s="684">
        <f>IF(終値!A334="","",IFERROR(4*STDEVP(終値!AS334:BL334)/AVERAGE(終値!AS334:BL334),""))</f>
      </c>
    </row>
    <row r="335">
      <c r="A335" s="681">
        <f>IF(終値!A335="","",終値!A335)</f>
      </c>
      <c r="B335" s="684">
        <f>IF(終値!A335="","",IFERROR(4*STDEVP(終値!E335:X335)/AVERAGE(終値!E335:X335),""))</f>
      </c>
      <c r="C335" s="684">
        <f>IF(終値!A335="","",IFERROR(4*STDEVP(終値!F335:Y335)/AVERAGE(終値!F335:Y335),""))</f>
      </c>
      <c r="D335" s="684">
        <f>IF(終値!A335="","",IFERROR(4*STDEVP(終値!G335:Z335)/AVERAGE(終値!G335:Z335),""))</f>
      </c>
      <c r="E335" s="684">
        <f>IF(終値!A335="","",IFERROR(4*STDEVP(終値!H335:AA335)/AVERAGE(終値!H335:AA335),""))</f>
      </c>
      <c r="F335" s="684">
        <f>IF(終値!A335="","",IFERROR(4*STDEVP(終値!I335:AB335)/AVERAGE(終値!I335:AB335),""))</f>
      </c>
      <c r="G335" s="684">
        <f>IF(終値!A335="","",IFERROR(4*STDEVP(終値!J335:AC335)/AVERAGE(終値!J335:AC335),""))</f>
      </c>
      <c r="H335" s="684">
        <f>IF(終値!A335="","",IFERROR(4*STDEVP(終値!K335:AD335)/AVERAGE(終値!K335:AD335),""))</f>
      </c>
      <c r="I335" s="684">
        <f>IF(終値!A335="","",IFERROR(4*STDEVP(終値!L335:AE335)/AVERAGE(終値!L335:AE335),""))</f>
      </c>
      <c r="J335" s="684">
        <f>IF(終値!A335="","",IFERROR(4*STDEVP(終値!M335:AF335)/AVERAGE(終値!M335:AF335),""))</f>
      </c>
      <c r="K335" s="684">
        <f>IF(終値!A335="","",IFERROR(4*STDEVP(終値!N335:AG335)/AVERAGE(終値!N335:AG335),""))</f>
      </c>
      <c r="L335" s="684">
        <f>IF(終値!A335="","",IFERROR(4*STDEVP(終値!O335:AH335)/AVERAGE(終値!O335:AH335),""))</f>
      </c>
      <c r="M335" s="684">
        <f>IF(終値!A335="","",IFERROR(4*STDEVP(終値!P335:AI335)/AVERAGE(終値!P335:AI335),""))</f>
      </c>
      <c r="N335" s="684">
        <f>IF(終値!A335="","",IFERROR(4*STDEVP(終値!Q335:AJ335)/AVERAGE(終値!Q335:AJ335),""))</f>
      </c>
      <c r="O335" s="684">
        <f>IF(終値!A335="","",IFERROR(4*STDEVP(終値!R335:AK335)/AVERAGE(終値!R335:AK335),""))</f>
      </c>
      <c r="P335" s="684">
        <f>IF(終値!A335="","",IFERROR(4*STDEVP(終値!S335:AL335)/AVERAGE(終値!S335:AL335),""))</f>
      </c>
      <c r="Q335" s="684">
        <f>IF(終値!A335="","",IFERROR(4*STDEVP(終値!T335:AM335)/AVERAGE(終値!T335:AM335),""))</f>
      </c>
      <c r="R335" s="684">
        <f>IF(終値!A335="","",IFERROR(4*STDEVP(終値!U335:AN335)/AVERAGE(終値!U335:AN335),""))</f>
      </c>
      <c r="S335" s="684">
        <f>IF(終値!A335="","",IFERROR(4*STDEVP(終値!V335:AO335)/AVERAGE(終値!V335:AO335),""))</f>
      </c>
      <c r="T335" s="684">
        <f>IF(終値!A335="","",IFERROR(4*STDEVP(終値!W335:AP335)/AVERAGE(終値!W335:AP335),""))</f>
      </c>
      <c r="U335" s="684">
        <f>IF(終値!A335="","",IFERROR(4*STDEVP(終値!X335:AQ335)/AVERAGE(終値!X335:AQ335),""))</f>
      </c>
      <c r="V335" s="684">
        <f>IF(終値!A335="","",IFERROR(4*STDEVP(終値!Y335:AR335)/AVERAGE(終値!Y335:AR335),""))</f>
      </c>
      <c r="W335" s="684">
        <f>IF(終値!A335="","",IFERROR(4*STDEVP(終値!Z335:AS335)/AVERAGE(終値!Z335:AS335),""))</f>
      </c>
      <c r="X335" s="684">
        <f>IF(終値!A335="","",IFERROR(4*STDEVP(終値!AA335:AT335)/AVERAGE(終値!AA335:AT335),""))</f>
      </c>
      <c r="Y335" s="684">
        <f>IF(終値!A335="","",IFERROR(4*STDEVP(終値!AB335:AU335)/AVERAGE(終値!AB335:AU335),""))</f>
      </c>
      <c r="Z335" s="684">
        <f>IF(終値!A335="","",IFERROR(4*STDEVP(終値!AC335:AV335)/AVERAGE(終値!AC335:AV335),""))</f>
      </c>
      <c r="AA335" s="684">
        <f>IF(終値!A335="","",IFERROR(4*STDEVP(終値!AD335:AW335)/AVERAGE(終値!AD335:AW335),""))</f>
      </c>
      <c r="AB335" s="684">
        <f>IF(終値!A335="","",IFERROR(4*STDEVP(終値!AE335:AX335)/AVERAGE(終値!AE335:AX335),""))</f>
      </c>
      <c r="AC335" s="684">
        <f>IF(終値!A335="","",IFERROR(4*STDEVP(終値!AF335:AY335)/AVERAGE(終値!AF335:AY335),""))</f>
      </c>
      <c r="AD335" s="684">
        <f>IF(終値!A335="","",IFERROR(4*STDEVP(終値!AG335:AZ335)/AVERAGE(終値!AG335:AZ335),""))</f>
      </c>
      <c r="AE335" s="684">
        <f>IF(終値!A335="","",IFERROR(4*STDEVP(終値!AH335:BA335)/AVERAGE(終値!AH335:BA335),""))</f>
      </c>
      <c r="AF335" s="684">
        <f>IF(終値!A335="","",IFERROR(4*STDEVP(終値!AI335:BB335)/AVERAGE(終値!AI335:BB335),""))</f>
      </c>
      <c r="AG335" s="684">
        <f>IF(終値!A335="","",IFERROR(4*STDEVP(終値!AJ335:BC335)/AVERAGE(終値!AJ335:BC335),""))</f>
      </c>
      <c r="AH335" s="684">
        <f>IF(終値!A335="","",IFERROR(4*STDEVP(終値!AK335:BD335)/AVERAGE(終値!AK335:BD335),""))</f>
      </c>
      <c r="AI335" s="684">
        <f>IF(終値!A335="","",IFERROR(4*STDEVP(終値!AL335:BE335)/AVERAGE(終値!AL335:BE335),""))</f>
      </c>
      <c r="AJ335" s="684">
        <f>IF(終値!A335="","",IFERROR(4*STDEVP(終値!AM335:BF335)/AVERAGE(終値!AM335:BF335),""))</f>
      </c>
      <c r="AK335" s="684">
        <f>IF(終値!A335="","",IFERROR(4*STDEVP(終値!AN335:BG335)/AVERAGE(終値!AN335:BG335),""))</f>
      </c>
      <c r="AL335" s="684">
        <f>IF(終値!A335="","",IFERROR(4*STDEVP(終値!AO335:BH335)/AVERAGE(終値!AO335:BH335),""))</f>
      </c>
      <c r="AM335" s="684">
        <f>IF(終値!A335="","",IFERROR(4*STDEVP(終値!AP335:BI335)/AVERAGE(終値!AP335:BI335),""))</f>
      </c>
      <c r="AN335" s="684">
        <f>IF(終値!A335="","",IFERROR(4*STDEVP(終値!AQ335:BJ335)/AVERAGE(終値!AQ335:BJ335),""))</f>
      </c>
      <c r="AO335" s="684">
        <f>IF(終値!A335="","",IFERROR(4*STDEVP(終値!AR335:BK335)/AVERAGE(終値!AR335:BK335),""))</f>
      </c>
      <c r="AP335" s="684">
        <f>IF(終値!A335="","",IFERROR(4*STDEVP(終値!AS335:BL335)/AVERAGE(終値!AS335:BL335),""))</f>
      </c>
    </row>
    <row r="336">
      <c r="A336" s="681">
        <f>IF(終値!A336="","",終値!A336)</f>
      </c>
      <c r="B336" s="684">
        <f>IF(終値!A336="","",IFERROR(4*STDEVP(終値!E336:X336)/AVERAGE(終値!E336:X336),""))</f>
      </c>
      <c r="C336" s="684">
        <f>IF(終値!A336="","",IFERROR(4*STDEVP(終値!F336:Y336)/AVERAGE(終値!F336:Y336),""))</f>
      </c>
      <c r="D336" s="684">
        <f>IF(終値!A336="","",IFERROR(4*STDEVP(終値!G336:Z336)/AVERAGE(終値!G336:Z336),""))</f>
      </c>
      <c r="E336" s="684">
        <f>IF(終値!A336="","",IFERROR(4*STDEVP(終値!H336:AA336)/AVERAGE(終値!H336:AA336),""))</f>
      </c>
      <c r="F336" s="684">
        <f>IF(終値!A336="","",IFERROR(4*STDEVP(終値!I336:AB336)/AVERAGE(終値!I336:AB336),""))</f>
      </c>
      <c r="G336" s="684">
        <f>IF(終値!A336="","",IFERROR(4*STDEVP(終値!J336:AC336)/AVERAGE(終値!J336:AC336),""))</f>
      </c>
      <c r="H336" s="684">
        <f>IF(終値!A336="","",IFERROR(4*STDEVP(終値!K336:AD336)/AVERAGE(終値!K336:AD336),""))</f>
      </c>
      <c r="I336" s="684">
        <f>IF(終値!A336="","",IFERROR(4*STDEVP(終値!L336:AE336)/AVERAGE(終値!L336:AE336),""))</f>
      </c>
      <c r="J336" s="684">
        <f>IF(終値!A336="","",IFERROR(4*STDEVP(終値!M336:AF336)/AVERAGE(終値!M336:AF336),""))</f>
      </c>
      <c r="K336" s="684">
        <f>IF(終値!A336="","",IFERROR(4*STDEVP(終値!N336:AG336)/AVERAGE(終値!N336:AG336),""))</f>
      </c>
      <c r="L336" s="684">
        <f>IF(終値!A336="","",IFERROR(4*STDEVP(終値!O336:AH336)/AVERAGE(終値!O336:AH336),""))</f>
      </c>
      <c r="M336" s="684">
        <f>IF(終値!A336="","",IFERROR(4*STDEVP(終値!P336:AI336)/AVERAGE(終値!P336:AI336),""))</f>
      </c>
      <c r="N336" s="684">
        <f>IF(終値!A336="","",IFERROR(4*STDEVP(終値!Q336:AJ336)/AVERAGE(終値!Q336:AJ336),""))</f>
      </c>
      <c r="O336" s="684">
        <f>IF(終値!A336="","",IFERROR(4*STDEVP(終値!R336:AK336)/AVERAGE(終値!R336:AK336),""))</f>
      </c>
      <c r="P336" s="684">
        <f>IF(終値!A336="","",IFERROR(4*STDEVP(終値!S336:AL336)/AVERAGE(終値!S336:AL336),""))</f>
      </c>
      <c r="Q336" s="684">
        <f>IF(終値!A336="","",IFERROR(4*STDEVP(終値!T336:AM336)/AVERAGE(終値!T336:AM336),""))</f>
      </c>
      <c r="R336" s="684">
        <f>IF(終値!A336="","",IFERROR(4*STDEVP(終値!U336:AN336)/AVERAGE(終値!U336:AN336),""))</f>
      </c>
      <c r="S336" s="684">
        <f>IF(終値!A336="","",IFERROR(4*STDEVP(終値!V336:AO336)/AVERAGE(終値!V336:AO336),""))</f>
      </c>
      <c r="T336" s="684">
        <f>IF(終値!A336="","",IFERROR(4*STDEVP(終値!W336:AP336)/AVERAGE(終値!W336:AP336),""))</f>
      </c>
      <c r="U336" s="684">
        <f>IF(終値!A336="","",IFERROR(4*STDEVP(終値!X336:AQ336)/AVERAGE(終値!X336:AQ336),""))</f>
      </c>
      <c r="V336" s="684">
        <f>IF(終値!A336="","",IFERROR(4*STDEVP(終値!Y336:AR336)/AVERAGE(終値!Y336:AR336),""))</f>
      </c>
      <c r="W336" s="684">
        <f>IF(終値!A336="","",IFERROR(4*STDEVP(終値!Z336:AS336)/AVERAGE(終値!Z336:AS336),""))</f>
      </c>
      <c r="X336" s="684">
        <f>IF(終値!A336="","",IFERROR(4*STDEVP(終値!AA336:AT336)/AVERAGE(終値!AA336:AT336),""))</f>
      </c>
      <c r="Y336" s="684">
        <f>IF(終値!A336="","",IFERROR(4*STDEVP(終値!AB336:AU336)/AVERAGE(終値!AB336:AU336),""))</f>
      </c>
      <c r="Z336" s="684">
        <f>IF(終値!A336="","",IFERROR(4*STDEVP(終値!AC336:AV336)/AVERAGE(終値!AC336:AV336),""))</f>
      </c>
      <c r="AA336" s="684">
        <f>IF(終値!A336="","",IFERROR(4*STDEVP(終値!AD336:AW336)/AVERAGE(終値!AD336:AW336),""))</f>
      </c>
      <c r="AB336" s="684">
        <f>IF(終値!A336="","",IFERROR(4*STDEVP(終値!AE336:AX336)/AVERAGE(終値!AE336:AX336),""))</f>
      </c>
      <c r="AC336" s="684">
        <f>IF(終値!A336="","",IFERROR(4*STDEVP(終値!AF336:AY336)/AVERAGE(終値!AF336:AY336),""))</f>
      </c>
      <c r="AD336" s="684">
        <f>IF(終値!A336="","",IFERROR(4*STDEVP(終値!AG336:AZ336)/AVERAGE(終値!AG336:AZ336),""))</f>
      </c>
      <c r="AE336" s="684">
        <f>IF(終値!A336="","",IFERROR(4*STDEVP(終値!AH336:BA336)/AVERAGE(終値!AH336:BA336),""))</f>
      </c>
      <c r="AF336" s="684">
        <f>IF(終値!A336="","",IFERROR(4*STDEVP(終値!AI336:BB336)/AVERAGE(終値!AI336:BB336),""))</f>
      </c>
      <c r="AG336" s="684">
        <f>IF(終値!A336="","",IFERROR(4*STDEVP(終値!AJ336:BC336)/AVERAGE(終値!AJ336:BC336),""))</f>
      </c>
      <c r="AH336" s="684">
        <f>IF(終値!A336="","",IFERROR(4*STDEVP(終値!AK336:BD336)/AVERAGE(終値!AK336:BD336),""))</f>
      </c>
      <c r="AI336" s="684">
        <f>IF(終値!A336="","",IFERROR(4*STDEVP(終値!AL336:BE336)/AVERAGE(終値!AL336:BE336),""))</f>
      </c>
      <c r="AJ336" s="684">
        <f>IF(終値!A336="","",IFERROR(4*STDEVP(終値!AM336:BF336)/AVERAGE(終値!AM336:BF336),""))</f>
      </c>
      <c r="AK336" s="684">
        <f>IF(終値!A336="","",IFERROR(4*STDEVP(終値!AN336:BG336)/AVERAGE(終値!AN336:BG336),""))</f>
      </c>
      <c r="AL336" s="684">
        <f>IF(終値!A336="","",IFERROR(4*STDEVP(終値!AO336:BH336)/AVERAGE(終値!AO336:BH336),""))</f>
      </c>
      <c r="AM336" s="684">
        <f>IF(終値!A336="","",IFERROR(4*STDEVP(終値!AP336:BI336)/AVERAGE(終値!AP336:BI336),""))</f>
      </c>
      <c r="AN336" s="684">
        <f>IF(終値!A336="","",IFERROR(4*STDEVP(終値!AQ336:BJ336)/AVERAGE(終値!AQ336:BJ336),""))</f>
      </c>
      <c r="AO336" s="684">
        <f>IF(終値!A336="","",IFERROR(4*STDEVP(終値!AR336:BK336)/AVERAGE(終値!AR336:BK336),""))</f>
      </c>
      <c r="AP336" s="684">
        <f>IF(終値!A336="","",IFERROR(4*STDEVP(終値!AS336:BL336)/AVERAGE(終値!AS336:BL336),""))</f>
      </c>
    </row>
    <row r="337">
      <c r="A337" s="681">
        <f>IF(終値!A337="","",終値!A337)</f>
      </c>
      <c r="B337" s="684">
        <f>IF(終値!A337="","",IFERROR(4*STDEVP(終値!E337:X337)/AVERAGE(終値!E337:X337),""))</f>
      </c>
      <c r="C337" s="684">
        <f>IF(終値!A337="","",IFERROR(4*STDEVP(終値!F337:Y337)/AVERAGE(終値!F337:Y337),""))</f>
      </c>
      <c r="D337" s="684">
        <f>IF(終値!A337="","",IFERROR(4*STDEVP(終値!G337:Z337)/AVERAGE(終値!G337:Z337),""))</f>
      </c>
      <c r="E337" s="684">
        <f>IF(終値!A337="","",IFERROR(4*STDEVP(終値!H337:AA337)/AVERAGE(終値!H337:AA337),""))</f>
      </c>
      <c r="F337" s="684">
        <f>IF(終値!A337="","",IFERROR(4*STDEVP(終値!I337:AB337)/AVERAGE(終値!I337:AB337),""))</f>
      </c>
      <c r="G337" s="684">
        <f>IF(終値!A337="","",IFERROR(4*STDEVP(終値!J337:AC337)/AVERAGE(終値!J337:AC337),""))</f>
      </c>
      <c r="H337" s="684">
        <f>IF(終値!A337="","",IFERROR(4*STDEVP(終値!K337:AD337)/AVERAGE(終値!K337:AD337),""))</f>
      </c>
      <c r="I337" s="684">
        <f>IF(終値!A337="","",IFERROR(4*STDEVP(終値!L337:AE337)/AVERAGE(終値!L337:AE337),""))</f>
      </c>
      <c r="J337" s="684">
        <f>IF(終値!A337="","",IFERROR(4*STDEVP(終値!M337:AF337)/AVERAGE(終値!M337:AF337),""))</f>
      </c>
      <c r="K337" s="684">
        <f>IF(終値!A337="","",IFERROR(4*STDEVP(終値!N337:AG337)/AVERAGE(終値!N337:AG337),""))</f>
      </c>
      <c r="L337" s="684">
        <f>IF(終値!A337="","",IFERROR(4*STDEVP(終値!O337:AH337)/AVERAGE(終値!O337:AH337),""))</f>
      </c>
      <c r="M337" s="684">
        <f>IF(終値!A337="","",IFERROR(4*STDEVP(終値!P337:AI337)/AVERAGE(終値!P337:AI337),""))</f>
      </c>
      <c r="N337" s="684">
        <f>IF(終値!A337="","",IFERROR(4*STDEVP(終値!Q337:AJ337)/AVERAGE(終値!Q337:AJ337),""))</f>
      </c>
      <c r="O337" s="684">
        <f>IF(終値!A337="","",IFERROR(4*STDEVP(終値!R337:AK337)/AVERAGE(終値!R337:AK337),""))</f>
      </c>
      <c r="P337" s="684">
        <f>IF(終値!A337="","",IFERROR(4*STDEVP(終値!S337:AL337)/AVERAGE(終値!S337:AL337),""))</f>
      </c>
      <c r="Q337" s="684">
        <f>IF(終値!A337="","",IFERROR(4*STDEVP(終値!T337:AM337)/AVERAGE(終値!T337:AM337),""))</f>
      </c>
      <c r="R337" s="684">
        <f>IF(終値!A337="","",IFERROR(4*STDEVP(終値!U337:AN337)/AVERAGE(終値!U337:AN337),""))</f>
      </c>
      <c r="S337" s="684">
        <f>IF(終値!A337="","",IFERROR(4*STDEVP(終値!V337:AO337)/AVERAGE(終値!V337:AO337),""))</f>
      </c>
      <c r="T337" s="684">
        <f>IF(終値!A337="","",IFERROR(4*STDEVP(終値!W337:AP337)/AVERAGE(終値!W337:AP337),""))</f>
      </c>
      <c r="U337" s="684">
        <f>IF(終値!A337="","",IFERROR(4*STDEVP(終値!X337:AQ337)/AVERAGE(終値!X337:AQ337),""))</f>
      </c>
      <c r="V337" s="684">
        <f>IF(終値!A337="","",IFERROR(4*STDEVP(終値!Y337:AR337)/AVERAGE(終値!Y337:AR337),""))</f>
      </c>
      <c r="W337" s="684">
        <f>IF(終値!A337="","",IFERROR(4*STDEVP(終値!Z337:AS337)/AVERAGE(終値!Z337:AS337),""))</f>
      </c>
      <c r="X337" s="684">
        <f>IF(終値!A337="","",IFERROR(4*STDEVP(終値!AA337:AT337)/AVERAGE(終値!AA337:AT337),""))</f>
      </c>
      <c r="Y337" s="684">
        <f>IF(終値!A337="","",IFERROR(4*STDEVP(終値!AB337:AU337)/AVERAGE(終値!AB337:AU337),""))</f>
      </c>
      <c r="Z337" s="684">
        <f>IF(終値!A337="","",IFERROR(4*STDEVP(終値!AC337:AV337)/AVERAGE(終値!AC337:AV337),""))</f>
      </c>
      <c r="AA337" s="684">
        <f>IF(終値!A337="","",IFERROR(4*STDEVP(終値!AD337:AW337)/AVERAGE(終値!AD337:AW337),""))</f>
      </c>
      <c r="AB337" s="684">
        <f>IF(終値!A337="","",IFERROR(4*STDEVP(終値!AE337:AX337)/AVERAGE(終値!AE337:AX337),""))</f>
      </c>
      <c r="AC337" s="684">
        <f>IF(終値!A337="","",IFERROR(4*STDEVP(終値!AF337:AY337)/AVERAGE(終値!AF337:AY337),""))</f>
      </c>
      <c r="AD337" s="684">
        <f>IF(終値!A337="","",IFERROR(4*STDEVP(終値!AG337:AZ337)/AVERAGE(終値!AG337:AZ337),""))</f>
      </c>
      <c r="AE337" s="684">
        <f>IF(終値!A337="","",IFERROR(4*STDEVP(終値!AH337:BA337)/AVERAGE(終値!AH337:BA337),""))</f>
      </c>
      <c r="AF337" s="684">
        <f>IF(終値!A337="","",IFERROR(4*STDEVP(終値!AI337:BB337)/AVERAGE(終値!AI337:BB337),""))</f>
      </c>
      <c r="AG337" s="684">
        <f>IF(終値!A337="","",IFERROR(4*STDEVP(終値!AJ337:BC337)/AVERAGE(終値!AJ337:BC337),""))</f>
      </c>
      <c r="AH337" s="684">
        <f>IF(終値!A337="","",IFERROR(4*STDEVP(終値!AK337:BD337)/AVERAGE(終値!AK337:BD337),""))</f>
      </c>
      <c r="AI337" s="684">
        <f>IF(終値!A337="","",IFERROR(4*STDEVP(終値!AL337:BE337)/AVERAGE(終値!AL337:BE337),""))</f>
      </c>
      <c r="AJ337" s="684">
        <f>IF(終値!A337="","",IFERROR(4*STDEVP(終値!AM337:BF337)/AVERAGE(終値!AM337:BF337),""))</f>
      </c>
      <c r="AK337" s="684">
        <f>IF(終値!A337="","",IFERROR(4*STDEVP(終値!AN337:BG337)/AVERAGE(終値!AN337:BG337),""))</f>
      </c>
      <c r="AL337" s="684">
        <f>IF(終値!A337="","",IFERROR(4*STDEVP(終値!AO337:BH337)/AVERAGE(終値!AO337:BH337),""))</f>
      </c>
      <c r="AM337" s="684">
        <f>IF(終値!A337="","",IFERROR(4*STDEVP(終値!AP337:BI337)/AVERAGE(終値!AP337:BI337),""))</f>
      </c>
      <c r="AN337" s="684">
        <f>IF(終値!A337="","",IFERROR(4*STDEVP(終値!AQ337:BJ337)/AVERAGE(終値!AQ337:BJ337),""))</f>
      </c>
      <c r="AO337" s="684">
        <f>IF(終値!A337="","",IFERROR(4*STDEVP(終値!AR337:BK337)/AVERAGE(終値!AR337:BK337),""))</f>
      </c>
      <c r="AP337" s="684">
        <f>IF(終値!A337="","",IFERROR(4*STDEVP(終値!AS337:BL337)/AVERAGE(終値!AS337:BL337),""))</f>
      </c>
    </row>
    <row r="338">
      <c r="A338" s="681">
        <f>IF(終値!A338="","",終値!A338)</f>
      </c>
      <c r="B338" s="684">
        <f>IF(終値!A338="","",IFERROR(4*STDEVP(終値!E338:X338)/AVERAGE(終値!E338:X338),""))</f>
      </c>
      <c r="C338" s="684">
        <f>IF(終値!A338="","",IFERROR(4*STDEVP(終値!F338:Y338)/AVERAGE(終値!F338:Y338),""))</f>
      </c>
      <c r="D338" s="684">
        <f>IF(終値!A338="","",IFERROR(4*STDEVP(終値!G338:Z338)/AVERAGE(終値!G338:Z338),""))</f>
      </c>
      <c r="E338" s="684">
        <f>IF(終値!A338="","",IFERROR(4*STDEVP(終値!H338:AA338)/AVERAGE(終値!H338:AA338),""))</f>
      </c>
      <c r="F338" s="684">
        <f>IF(終値!A338="","",IFERROR(4*STDEVP(終値!I338:AB338)/AVERAGE(終値!I338:AB338),""))</f>
      </c>
      <c r="G338" s="684">
        <f>IF(終値!A338="","",IFERROR(4*STDEVP(終値!J338:AC338)/AVERAGE(終値!J338:AC338),""))</f>
      </c>
      <c r="H338" s="684">
        <f>IF(終値!A338="","",IFERROR(4*STDEVP(終値!K338:AD338)/AVERAGE(終値!K338:AD338),""))</f>
      </c>
      <c r="I338" s="684">
        <f>IF(終値!A338="","",IFERROR(4*STDEVP(終値!L338:AE338)/AVERAGE(終値!L338:AE338),""))</f>
      </c>
      <c r="J338" s="684">
        <f>IF(終値!A338="","",IFERROR(4*STDEVP(終値!M338:AF338)/AVERAGE(終値!M338:AF338),""))</f>
      </c>
      <c r="K338" s="684">
        <f>IF(終値!A338="","",IFERROR(4*STDEVP(終値!N338:AG338)/AVERAGE(終値!N338:AG338),""))</f>
      </c>
      <c r="L338" s="684">
        <f>IF(終値!A338="","",IFERROR(4*STDEVP(終値!O338:AH338)/AVERAGE(終値!O338:AH338),""))</f>
      </c>
      <c r="M338" s="684">
        <f>IF(終値!A338="","",IFERROR(4*STDEVP(終値!P338:AI338)/AVERAGE(終値!P338:AI338),""))</f>
      </c>
      <c r="N338" s="684">
        <f>IF(終値!A338="","",IFERROR(4*STDEVP(終値!Q338:AJ338)/AVERAGE(終値!Q338:AJ338),""))</f>
      </c>
      <c r="O338" s="684">
        <f>IF(終値!A338="","",IFERROR(4*STDEVP(終値!R338:AK338)/AVERAGE(終値!R338:AK338),""))</f>
      </c>
      <c r="P338" s="684">
        <f>IF(終値!A338="","",IFERROR(4*STDEVP(終値!S338:AL338)/AVERAGE(終値!S338:AL338),""))</f>
      </c>
      <c r="Q338" s="684">
        <f>IF(終値!A338="","",IFERROR(4*STDEVP(終値!T338:AM338)/AVERAGE(終値!T338:AM338),""))</f>
      </c>
      <c r="R338" s="684">
        <f>IF(終値!A338="","",IFERROR(4*STDEVP(終値!U338:AN338)/AVERAGE(終値!U338:AN338),""))</f>
      </c>
      <c r="S338" s="684">
        <f>IF(終値!A338="","",IFERROR(4*STDEVP(終値!V338:AO338)/AVERAGE(終値!V338:AO338),""))</f>
      </c>
      <c r="T338" s="684">
        <f>IF(終値!A338="","",IFERROR(4*STDEVP(終値!W338:AP338)/AVERAGE(終値!W338:AP338),""))</f>
      </c>
      <c r="U338" s="684">
        <f>IF(終値!A338="","",IFERROR(4*STDEVP(終値!X338:AQ338)/AVERAGE(終値!X338:AQ338),""))</f>
      </c>
      <c r="V338" s="684">
        <f>IF(終値!A338="","",IFERROR(4*STDEVP(終値!Y338:AR338)/AVERAGE(終値!Y338:AR338),""))</f>
      </c>
      <c r="W338" s="684">
        <f>IF(終値!A338="","",IFERROR(4*STDEVP(終値!Z338:AS338)/AVERAGE(終値!Z338:AS338),""))</f>
      </c>
      <c r="X338" s="684">
        <f>IF(終値!A338="","",IFERROR(4*STDEVP(終値!AA338:AT338)/AVERAGE(終値!AA338:AT338),""))</f>
      </c>
      <c r="Y338" s="684">
        <f>IF(終値!A338="","",IFERROR(4*STDEVP(終値!AB338:AU338)/AVERAGE(終値!AB338:AU338),""))</f>
      </c>
      <c r="Z338" s="684">
        <f>IF(終値!A338="","",IFERROR(4*STDEVP(終値!AC338:AV338)/AVERAGE(終値!AC338:AV338),""))</f>
      </c>
      <c r="AA338" s="684">
        <f>IF(終値!A338="","",IFERROR(4*STDEVP(終値!AD338:AW338)/AVERAGE(終値!AD338:AW338),""))</f>
      </c>
      <c r="AB338" s="684">
        <f>IF(終値!A338="","",IFERROR(4*STDEVP(終値!AE338:AX338)/AVERAGE(終値!AE338:AX338),""))</f>
      </c>
      <c r="AC338" s="684">
        <f>IF(終値!A338="","",IFERROR(4*STDEVP(終値!AF338:AY338)/AVERAGE(終値!AF338:AY338),""))</f>
      </c>
      <c r="AD338" s="684">
        <f>IF(終値!A338="","",IFERROR(4*STDEVP(終値!AG338:AZ338)/AVERAGE(終値!AG338:AZ338),""))</f>
      </c>
      <c r="AE338" s="684">
        <f>IF(終値!A338="","",IFERROR(4*STDEVP(終値!AH338:BA338)/AVERAGE(終値!AH338:BA338),""))</f>
      </c>
      <c r="AF338" s="684">
        <f>IF(終値!A338="","",IFERROR(4*STDEVP(終値!AI338:BB338)/AVERAGE(終値!AI338:BB338),""))</f>
      </c>
      <c r="AG338" s="684">
        <f>IF(終値!A338="","",IFERROR(4*STDEVP(終値!AJ338:BC338)/AVERAGE(終値!AJ338:BC338),""))</f>
      </c>
      <c r="AH338" s="684">
        <f>IF(終値!A338="","",IFERROR(4*STDEVP(終値!AK338:BD338)/AVERAGE(終値!AK338:BD338),""))</f>
      </c>
      <c r="AI338" s="684">
        <f>IF(終値!A338="","",IFERROR(4*STDEVP(終値!AL338:BE338)/AVERAGE(終値!AL338:BE338),""))</f>
      </c>
      <c r="AJ338" s="684">
        <f>IF(終値!A338="","",IFERROR(4*STDEVP(終値!AM338:BF338)/AVERAGE(終値!AM338:BF338),""))</f>
      </c>
      <c r="AK338" s="684">
        <f>IF(終値!A338="","",IFERROR(4*STDEVP(終値!AN338:BG338)/AVERAGE(終値!AN338:BG338),""))</f>
      </c>
      <c r="AL338" s="684">
        <f>IF(終値!A338="","",IFERROR(4*STDEVP(終値!AO338:BH338)/AVERAGE(終値!AO338:BH338),""))</f>
      </c>
      <c r="AM338" s="684">
        <f>IF(終値!A338="","",IFERROR(4*STDEVP(終値!AP338:BI338)/AVERAGE(終値!AP338:BI338),""))</f>
      </c>
      <c r="AN338" s="684">
        <f>IF(終値!A338="","",IFERROR(4*STDEVP(終値!AQ338:BJ338)/AVERAGE(終値!AQ338:BJ338),""))</f>
      </c>
      <c r="AO338" s="684">
        <f>IF(終値!A338="","",IFERROR(4*STDEVP(終値!AR338:BK338)/AVERAGE(終値!AR338:BK338),""))</f>
      </c>
      <c r="AP338" s="684">
        <f>IF(終値!A338="","",IFERROR(4*STDEVP(終値!AS338:BL338)/AVERAGE(終値!AS338:BL338),""))</f>
      </c>
    </row>
    <row r="339">
      <c r="A339" s="681">
        <f>IF(終値!A339="","",終値!A339)</f>
      </c>
      <c r="B339" s="684">
        <f>IF(終値!A339="","",IFERROR(4*STDEVP(終値!E339:X339)/AVERAGE(終値!E339:X339),""))</f>
      </c>
      <c r="C339" s="684">
        <f>IF(終値!A339="","",IFERROR(4*STDEVP(終値!F339:Y339)/AVERAGE(終値!F339:Y339),""))</f>
      </c>
      <c r="D339" s="684">
        <f>IF(終値!A339="","",IFERROR(4*STDEVP(終値!G339:Z339)/AVERAGE(終値!G339:Z339),""))</f>
      </c>
      <c r="E339" s="684">
        <f>IF(終値!A339="","",IFERROR(4*STDEVP(終値!H339:AA339)/AVERAGE(終値!H339:AA339),""))</f>
      </c>
      <c r="F339" s="684">
        <f>IF(終値!A339="","",IFERROR(4*STDEVP(終値!I339:AB339)/AVERAGE(終値!I339:AB339),""))</f>
      </c>
      <c r="G339" s="684">
        <f>IF(終値!A339="","",IFERROR(4*STDEVP(終値!J339:AC339)/AVERAGE(終値!J339:AC339),""))</f>
      </c>
      <c r="H339" s="684">
        <f>IF(終値!A339="","",IFERROR(4*STDEVP(終値!K339:AD339)/AVERAGE(終値!K339:AD339),""))</f>
      </c>
      <c r="I339" s="684">
        <f>IF(終値!A339="","",IFERROR(4*STDEVP(終値!L339:AE339)/AVERAGE(終値!L339:AE339),""))</f>
      </c>
      <c r="J339" s="684">
        <f>IF(終値!A339="","",IFERROR(4*STDEVP(終値!M339:AF339)/AVERAGE(終値!M339:AF339),""))</f>
      </c>
      <c r="K339" s="684">
        <f>IF(終値!A339="","",IFERROR(4*STDEVP(終値!N339:AG339)/AVERAGE(終値!N339:AG339),""))</f>
      </c>
      <c r="L339" s="684">
        <f>IF(終値!A339="","",IFERROR(4*STDEVP(終値!O339:AH339)/AVERAGE(終値!O339:AH339),""))</f>
      </c>
      <c r="M339" s="684">
        <f>IF(終値!A339="","",IFERROR(4*STDEVP(終値!P339:AI339)/AVERAGE(終値!P339:AI339),""))</f>
      </c>
      <c r="N339" s="684">
        <f>IF(終値!A339="","",IFERROR(4*STDEVP(終値!Q339:AJ339)/AVERAGE(終値!Q339:AJ339),""))</f>
      </c>
      <c r="O339" s="684">
        <f>IF(終値!A339="","",IFERROR(4*STDEVP(終値!R339:AK339)/AVERAGE(終値!R339:AK339),""))</f>
      </c>
      <c r="P339" s="684">
        <f>IF(終値!A339="","",IFERROR(4*STDEVP(終値!S339:AL339)/AVERAGE(終値!S339:AL339),""))</f>
      </c>
      <c r="Q339" s="684">
        <f>IF(終値!A339="","",IFERROR(4*STDEVP(終値!T339:AM339)/AVERAGE(終値!T339:AM339),""))</f>
      </c>
      <c r="R339" s="684">
        <f>IF(終値!A339="","",IFERROR(4*STDEVP(終値!U339:AN339)/AVERAGE(終値!U339:AN339),""))</f>
      </c>
      <c r="S339" s="684">
        <f>IF(終値!A339="","",IFERROR(4*STDEVP(終値!V339:AO339)/AVERAGE(終値!V339:AO339),""))</f>
      </c>
      <c r="T339" s="684">
        <f>IF(終値!A339="","",IFERROR(4*STDEVP(終値!W339:AP339)/AVERAGE(終値!W339:AP339),""))</f>
      </c>
      <c r="U339" s="684">
        <f>IF(終値!A339="","",IFERROR(4*STDEVP(終値!X339:AQ339)/AVERAGE(終値!X339:AQ339),""))</f>
      </c>
      <c r="V339" s="684">
        <f>IF(終値!A339="","",IFERROR(4*STDEVP(終値!Y339:AR339)/AVERAGE(終値!Y339:AR339),""))</f>
      </c>
      <c r="W339" s="684">
        <f>IF(終値!A339="","",IFERROR(4*STDEVP(終値!Z339:AS339)/AVERAGE(終値!Z339:AS339),""))</f>
      </c>
      <c r="X339" s="684">
        <f>IF(終値!A339="","",IFERROR(4*STDEVP(終値!AA339:AT339)/AVERAGE(終値!AA339:AT339),""))</f>
      </c>
      <c r="Y339" s="684">
        <f>IF(終値!A339="","",IFERROR(4*STDEVP(終値!AB339:AU339)/AVERAGE(終値!AB339:AU339),""))</f>
      </c>
      <c r="Z339" s="684">
        <f>IF(終値!A339="","",IFERROR(4*STDEVP(終値!AC339:AV339)/AVERAGE(終値!AC339:AV339),""))</f>
      </c>
      <c r="AA339" s="684">
        <f>IF(終値!A339="","",IFERROR(4*STDEVP(終値!AD339:AW339)/AVERAGE(終値!AD339:AW339),""))</f>
      </c>
      <c r="AB339" s="684">
        <f>IF(終値!A339="","",IFERROR(4*STDEVP(終値!AE339:AX339)/AVERAGE(終値!AE339:AX339),""))</f>
      </c>
      <c r="AC339" s="684">
        <f>IF(終値!A339="","",IFERROR(4*STDEVP(終値!AF339:AY339)/AVERAGE(終値!AF339:AY339),""))</f>
      </c>
      <c r="AD339" s="684">
        <f>IF(終値!A339="","",IFERROR(4*STDEVP(終値!AG339:AZ339)/AVERAGE(終値!AG339:AZ339),""))</f>
      </c>
      <c r="AE339" s="684">
        <f>IF(終値!A339="","",IFERROR(4*STDEVP(終値!AH339:BA339)/AVERAGE(終値!AH339:BA339),""))</f>
      </c>
      <c r="AF339" s="684">
        <f>IF(終値!A339="","",IFERROR(4*STDEVP(終値!AI339:BB339)/AVERAGE(終値!AI339:BB339),""))</f>
      </c>
      <c r="AG339" s="684">
        <f>IF(終値!A339="","",IFERROR(4*STDEVP(終値!AJ339:BC339)/AVERAGE(終値!AJ339:BC339),""))</f>
      </c>
      <c r="AH339" s="684">
        <f>IF(終値!A339="","",IFERROR(4*STDEVP(終値!AK339:BD339)/AVERAGE(終値!AK339:BD339),""))</f>
      </c>
      <c r="AI339" s="684">
        <f>IF(終値!A339="","",IFERROR(4*STDEVP(終値!AL339:BE339)/AVERAGE(終値!AL339:BE339),""))</f>
      </c>
      <c r="AJ339" s="684">
        <f>IF(終値!A339="","",IFERROR(4*STDEVP(終値!AM339:BF339)/AVERAGE(終値!AM339:BF339),""))</f>
      </c>
      <c r="AK339" s="684">
        <f>IF(終値!A339="","",IFERROR(4*STDEVP(終値!AN339:BG339)/AVERAGE(終値!AN339:BG339),""))</f>
      </c>
      <c r="AL339" s="684">
        <f>IF(終値!A339="","",IFERROR(4*STDEVP(終値!AO339:BH339)/AVERAGE(終値!AO339:BH339),""))</f>
      </c>
      <c r="AM339" s="684">
        <f>IF(終値!A339="","",IFERROR(4*STDEVP(終値!AP339:BI339)/AVERAGE(終値!AP339:BI339),""))</f>
      </c>
      <c r="AN339" s="684">
        <f>IF(終値!A339="","",IFERROR(4*STDEVP(終値!AQ339:BJ339)/AVERAGE(終値!AQ339:BJ339),""))</f>
      </c>
      <c r="AO339" s="684">
        <f>IF(終値!A339="","",IFERROR(4*STDEVP(終値!AR339:BK339)/AVERAGE(終値!AR339:BK339),""))</f>
      </c>
      <c r="AP339" s="684">
        <f>IF(終値!A339="","",IFERROR(4*STDEVP(終値!AS339:BL339)/AVERAGE(終値!AS339:BL339),""))</f>
      </c>
    </row>
    <row r="340">
      <c r="A340" s="681">
        <f>IF(終値!A340="","",終値!A340)</f>
      </c>
      <c r="B340" s="684">
        <f>IF(終値!A340="","",IFERROR(4*STDEVP(終値!E340:X340)/AVERAGE(終値!E340:X340),""))</f>
      </c>
      <c r="C340" s="684">
        <f>IF(終値!A340="","",IFERROR(4*STDEVP(終値!F340:Y340)/AVERAGE(終値!F340:Y340),""))</f>
      </c>
      <c r="D340" s="684">
        <f>IF(終値!A340="","",IFERROR(4*STDEVP(終値!G340:Z340)/AVERAGE(終値!G340:Z340),""))</f>
      </c>
      <c r="E340" s="684">
        <f>IF(終値!A340="","",IFERROR(4*STDEVP(終値!H340:AA340)/AVERAGE(終値!H340:AA340),""))</f>
      </c>
      <c r="F340" s="684">
        <f>IF(終値!A340="","",IFERROR(4*STDEVP(終値!I340:AB340)/AVERAGE(終値!I340:AB340),""))</f>
      </c>
      <c r="G340" s="684">
        <f>IF(終値!A340="","",IFERROR(4*STDEVP(終値!J340:AC340)/AVERAGE(終値!J340:AC340),""))</f>
      </c>
      <c r="H340" s="684">
        <f>IF(終値!A340="","",IFERROR(4*STDEVP(終値!K340:AD340)/AVERAGE(終値!K340:AD340),""))</f>
      </c>
      <c r="I340" s="684">
        <f>IF(終値!A340="","",IFERROR(4*STDEVP(終値!L340:AE340)/AVERAGE(終値!L340:AE340),""))</f>
      </c>
      <c r="J340" s="684">
        <f>IF(終値!A340="","",IFERROR(4*STDEVP(終値!M340:AF340)/AVERAGE(終値!M340:AF340),""))</f>
      </c>
      <c r="K340" s="684">
        <f>IF(終値!A340="","",IFERROR(4*STDEVP(終値!N340:AG340)/AVERAGE(終値!N340:AG340),""))</f>
      </c>
      <c r="L340" s="684">
        <f>IF(終値!A340="","",IFERROR(4*STDEVP(終値!O340:AH340)/AVERAGE(終値!O340:AH340),""))</f>
      </c>
      <c r="M340" s="684">
        <f>IF(終値!A340="","",IFERROR(4*STDEVP(終値!P340:AI340)/AVERAGE(終値!P340:AI340),""))</f>
      </c>
      <c r="N340" s="684">
        <f>IF(終値!A340="","",IFERROR(4*STDEVP(終値!Q340:AJ340)/AVERAGE(終値!Q340:AJ340),""))</f>
      </c>
      <c r="O340" s="684">
        <f>IF(終値!A340="","",IFERROR(4*STDEVP(終値!R340:AK340)/AVERAGE(終値!R340:AK340),""))</f>
      </c>
      <c r="P340" s="684">
        <f>IF(終値!A340="","",IFERROR(4*STDEVP(終値!S340:AL340)/AVERAGE(終値!S340:AL340),""))</f>
      </c>
      <c r="Q340" s="684">
        <f>IF(終値!A340="","",IFERROR(4*STDEVP(終値!T340:AM340)/AVERAGE(終値!T340:AM340),""))</f>
      </c>
      <c r="R340" s="684">
        <f>IF(終値!A340="","",IFERROR(4*STDEVP(終値!U340:AN340)/AVERAGE(終値!U340:AN340),""))</f>
      </c>
      <c r="S340" s="684">
        <f>IF(終値!A340="","",IFERROR(4*STDEVP(終値!V340:AO340)/AVERAGE(終値!V340:AO340),""))</f>
      </c>
      <c r="T340" s="684">
        <f>IF(終値!A340="","",IFERROR(4*STDEVP(終値!W340:AP340)/AVERAGE(終値!W340:AP340),""))</f>
      </c>
      <c r="U340" s="684">
        <f>IF(終値!A340="","",IFERROR(4*STDEVP(終値!X340:AQ340)/AVERAGE(終値!X340:AQ340),""))</f>
      </c>
      <c r="V340" s="684">
        <f>IF(終値!A340="","",IFERROR(4*STDEVP(終値!Y340:AR340)/AVERAGE(終値!Y340:AR340),""))</f>
      </c>
      <c r="W340" s="684">
        <f>IF(終値!A340="","",IFERROR(4*STDEVP(終値!Z340:AS340)/AVERAGE(終値!Z340:AS340),""))</f>
      </c>
      <c r="X340" s="684">
        <f>IF(終値!A340="","",IFERROR(4*STDEVP(終値!AA340:AT340)/AVERAGE(終値!AA340:AT340),""))</f>
      </c>
      <c r="Y340" s="684">
        <f>IF(終値!A340="","",IFERROR(4*STDEVP(終値!AB340:AU340)/AVERAGE(終値!AB340:AU340),""))</f>
      </c>
      <c r="Z340" s="684">
        <f>IF(終値!A340="","",IFERROR(4*STDEVP(終値!AC340:AV340)/AVERAGE(終値!AC340:AV340),""))</f>
      </c>
      <c r="AA340" s="684">
        <f>IF(終値!A340="","",IFERROR(4*STDEVP(終値!AD340:AW340)/AVERAGE(終値!AD340:AW340),""))</f>
      </c>
      <c r="AB340" s="684">
        <f>IF(終値!A340="","",IFERROR(4*STDEVP(終値!AE340:AX340)/AVERAGE(終値!AE340:AX340),""))</f>
      </c>
      <c r="AC340" s="684">
        <f>IF(終値!A340="","",IFERROR(4*STDEVP(終値!AF340:AY340)/AVERAGE(終値!AF340:AY340),""))</f>
      </c>
      <c r="AD340" s="684">
        <f>IF(終値!A340="","",IFERROR(4*STDEVP(終値!AG340:AZ340)/AVERAGE(終値!AG340:AZ340),""))</f>
      </c>
      <c r="AE340" s="684">
        <f>IF(終値!A340="","",IFERROR(4*STDEVP(終値!AH340:BA340)/AVERAGE(終値!AH340:BA340),""))</f>
      </c>
      <c r="AF340" s="684">
        <f>IF(終値!A340="","",IFERROR(4*STDEVP(終値!AI340:BB340)/AVERAGE(終値!AI340:BB340),""))</f>
      </c>
      <c r="AG340" s="684">
        <f>IF(終値!A340="","",IFERROR(4*STDEVP(終値!AJ340:BC340)/AVERAGE(終値!AJ340:BC340),""))</f>
      </c>
      <c r="AH340" s="684">
        <f>IF(終値!A340="","",IFERROR(4*STDEVP(終値!AK340:BD340)/AVERAGE(終値!AK340:BD340),""))</f>
      </c>
      <c r="AI340" s="684">
        <f>IF(終値!A340="","",IFERROR(4*STDEVP(終値!AL340:BE340)/AVERAGE(終値!AL340:BE340),""))</f>
      </c>
      <c r="AJ340" s="684">
        <f>IF(終値!A340="","",IFERROR(4*STDEVP(終値!AM340:BF340)/AVERAGE(終値!AM340:BF340),""))</f>
      </c>
      <c r="AK340" s="684">
        <f>IF(終値!A340="","",IFERROR(4*STDEVP(終値!AN340:BG340)/AVERAGE(終値!AN340:BG340),""))</f>
      </c>
      <c r="AL340" s="684">
        <f>IF(終値!A340="","",IFERROR(4*STDEVP(終値!AO340:BH340)/AVERAGE(終値!AO340:BH340),""))</f>
      </c>
      <c r="AM340" s="684">
        <f>IF(終値!A340="","",IFERROR(4*STDEVP(終値!AP340:BI340)/AVERAGE(終値!AP340:BI340),""))</f>
      </c>
      <c r="AN340" s="684">
        <f>IF(終値!A340="","",IFERROR(4*STDEVP(終値!AQ340:BJ340)/AVERAGE(終値!AQ340:BJ340),""))</f>
      </c>
      <c r="AO340" s="684">
        <f>IF(終値!A340="","",IFERROR(4*STDEVP(終値!AR340:BK340)/AVERAGE(終値!AR340:BK340),""))</f>
      </c>
      <c r="AP340" s="684">
        <f>IF(終値!A340="","",IFERROR(4*STDEVP(終値!AS340:BL340)/AVERAGE(終値!AS340:BL340),""))</f>
      </c>
    </row>
    <row r="341">
      <c r="A341" s="681">
        <f>IF(終値!A341="","",終値!A341)</f>
      </c>
      <c r="B341" s="684">
        <f>IF(終値!A341="","",IFERROR(4*STDEVP(終値!E341:X341)/AVERAGE(終値!E341:X341),""))</f>
      </c>
      <c r="C341" s="684">
        <f>IF(終値!A341="","",IFERROR(4*STDEVP(終値!F341:Y341)/AVERAGE(終値!F341:Y341),""))</f>
      </c>
      <c r="D341" s="684">
        <f>IF(終値!A341="","",IFERROR(4*STDEVP(終値!G341:Z341)/AVERAGE(終値!G341:Z341),""))</f>
      </c>
      <c r="E341" s="684">
        <f>IF(終値!A341="","",IFERROR(4*STDEVP(終値!H341:AA341)/AVERAGE(終値!H341:AA341),""))</f>
      </c>
      <c r="F341" s="684">
        <f>IF(終値!A341="","",IFERROR(4*STDEVP(終値!I341:AB341)/AVERAGE(終値!I341:AB341),""))</f>
      </c>
      <c r="G341" s="684">
        <f>IF(終値!A341="","",IFERROR(4*STDEVP(終値!J341:AC341)/AVERAGE(終値!J341:AC341),""))</f>
      </c>
      <c r="H341" s="684">
        <f>IF(終値!A341="","",IFERROR(4*STDEVP(終値!K341:AD341)/AVERAGE(終値!K341:AD341),""))</f>
      </c>
      <c r="I341" s="684">
        <f>IF(終値!A341="","",IFERROR(4*STDEVP(終値!L341:AE341)/AVERAGE(終値!L341:AE341),""))</f>
      </c>
      <c r="J341" s="684">
        <f>IF(終値!A341="","",IFERROR(4*STDEVP(終値!M341:AF341)/AVERAGE(終値!M341:AF341),""))</f>
      </c>
      <c r="K341" s="684">
        <f>IF(終値!A341="","",IFERROR(4*STDEVP(終値!N341:AG341)/AVERAGE(終値!N341:AG341),""))</f>
      </c>
      <c r="L341" s="684">
        <f>IF(終値!A341="","",IFERROR(4*STDEVP(終値!O341:AH341)/AVERAGE(終値!O341:AH341),""))</f>
      </c>
      <c r="M341" s="684">
        <f>IF(終値!A341="","",IFERROR(4*STDEVP(終値!P341:AI341)/AVERAGE(終値!P341:AI341),""))</f>
      </c>
      <c r="N341" s="684">
        <f>IF(終値!A341="","",IFERROR(4*STDEVP(終値!Q341:AJ341)/AVERAGE(終値!Q341:AJ341),""))</f>
      </c>
      <c r="O341" s="684">
        <f>IF(終値!A341="","",IFERROR(4*STDEVP(終値!R341:AK341)/AVERAGE(終値!R341:AK341),""))</f>
      </c>
      <c r="P341" s="684">
        <f>IF(終値!A341="","",IFERROR(4*STDEVP(終値!S341:AL341)/AVERAGE(終値!S341:AL341),""))</f>
      </c>
      <c r="Q341" s="684">
        <f>IF(終値!A341="","",IFERROR(4*STDEVP(終値!T341:AM341)/AVERAGE(終値!T341:AM341),""))</f>
      </c>
      <c r="R341" s="684">
        <f>IF(終値!A341="","",IFERROR(4*STDEVP(終値!U341:AN341)/AVERAGE(終値!U341:AN341),""))</f>
      </c>
      <c r="S341" s="684">
        <f>IF(終値!A341="","",IFERROR(4*STDEVP(終値!V341:AO341)/AVERAGE(終値!V341:AO341),""))</f>
      </c>
      <c r="T341" s="684">
        <f>IF(終値!A341="","",IFERROR(4*STDEVP(終値!W341:AP341)/AVERAGE(終値!W341:AP341),""))</f>
      </c>
      <c r="U341" s="684">
        <f>IF(終値!A341="","",IFERROR(4*STDEVP(終値!X341:AQ341)/AVERAGE(終値!X341:AQ341),""))</f>
      </c>
      <c r="V341" s="684">
        <f>IF(終値!A341="","",IFERROR(4*STDEVP(終値!Y341:AR341)/AVERAGE(終値!Y341:AR341),""))</f>
      </c>
      <c r="W341" s="684">
        <f>IF(終値!A341="","",IFERROR(4*STDEVP(終値!Z341:AS341)/AVERAGE(終値!Z341:AS341),""))</f>
      </c>
      <c r="X341" s="684">
        <f>IF(終値!A341="","",IFERROR(4*STDEVP(終値!AA341:AT341)/AVERAGE(終値!AA341:AT341),""))</f>
      </c>
      <c r="Y341" s="684">
        <f>IF(終値!A341="","",IFERROR(4*STDEVP(終値!AB341:AU341)/AVERAGE(終値!AB341:AU341),""))</f>
      </c>
      <c r="Z341" s="684">
        <f>IF(終値!A341="","",IFERROR(4*STDEVP(終値!AC341:AV341)/AVERAGE(終値!AC341:AV341),""))</f>
      </c>
      <c r="AA341" s="684">
        <f>IF(終値!A341="","",IFERROR(4*STDEVP(終値!AD341:AW341)/AVERAGE(終値!AD341:AW341),""))</f>
      </c>
      <c r="AB341" s="684">
        <f>IF(終値!A341="","",IFERROR(4*STDEVP(終値!AE341:AX341)/AVERAGE(終値!AE341:AX341),""))</f>
      </c>
      <c r="AC341" s="684">
        <f>IF(終値!A341="","",IFERROR(4*STDEVP(終値!AF341:AY341)/AVERAGE(終値!AF341:AY341),""))</f>
      </c>
      <c r="AD341" s="684">
        <f>IF(終値!A341="","",IFERROR(4*STDEVP(終値!AG341:AZ341)/AVERAGE(終値!AG341:AZ341),""))</f>
      </c>
      <c r="AE341" s="684">
        <f>IF(終値!A341="","",IFERROR(4*STDEVP(終値!AH341:BA341)/AVERAGE(終値!AH341:BA341),""))</f>
      </c>
      <c r="AF341" s="684">
        <f>IF(終値!A341="","",IFERROR(4*STDEVP(終値!AI341:BB341)/AVERAGE(終値!AI341:BB341),""))</f>
      </c>
      <c r="AG341" s="684">
        <f>IF(終値!A341="","",IFERROR(4*STDEVP(終値!AJ341:BC341)/AVERAGE(終値!AJ341:BC341),""))</f>
      </c>
      <c r="AH341" s="684">
        <f>IF(終値!A341="","",IFERROR(4*STDEVP(終値!AK341:BD341)/AVERAGE(終値!AK341:BD341),""))</f>
      </c>
      <c r="AI341" s="684">
        <f>IF(終値!A341="","",IFERROR(4*STDEVP(終値!AL341:BE341)/AVERAGE(終値!AL341:BE341),""))</f>
      </c>
      <c r="AJ341" s="684">
        <f>IF(終値!A341="","",IFERROR(4*STDEVP(終値!AM341:BF341)/AVERAGE(終値!AM341:BF341),""))</f>
      </c>
      <c r="AK341" s="684">
        <f>IF(終値!A341="","",IFERROR(4*STDEVP(終値!AN341:BG341)/AVERAGE(終値!AN341:BG341),""))</f>
      </c>
      <c r="AL341" s="684">
        <f>IF(終値!A341="","",IFERROR(4*STDEVP(終値!AO341:BH341)/AVERAGE(終値!AO341:BH341),""))</f>
      </c>
      <c r="AM341" s="684">
        <f>IF(終値!A341="","",IFERROR(4*STDEVP(終値!AP341:BI341)/AVERAGE(終値!AP341:BI341),""))</f>
      </c>
      <c r="AN341" s="684">
        <f>IF(終値!A341="","",IFERROR(4*STDEVP(終値!AQ341:BJ341)/AVERAGE(終値!AQ341:BJ341),""))</f>
      </c>
      <c r="AO341" s="684">
        <f>IF(終値!A341="","",IFERROR(4*STDEVP(終値!AR341:BK341)/AVERAGE(終値!AR341:BK341),""))</f>
      </c>
      <c r="AP341" s="684">
        <f>IF(終値!A341="","",IFERROR(4*STDEVP(終値!AS341:BL341)/AVERAGE(終値!AS341:BL341),""))</f>
      </c>
    </row>
    <row r="342">
      <c r="A342" s="681">
        <f>IF(終値!A342="","",終値!A342)</f>
      </c>
      <c r="B342" s="684">
        <f>IF(終値!A342="","",IFERROR(4*STDEVP(終値!E342:X342)/AVERAGE(終値!E342:X342),""))</f>
      </c>
      <c r="C342" s="684">
        <f>IF(終値!A342="","",IFERROR(4*STDEVP(終値!F342:Y342)/AVERAGE(終値!F342:Y342),""))</f>
      </c>
      <c r="D342" s="684">
        <f>IF(終値!A342="","",IFERROR(4*STDEVP(終値!G342:Z342)/AVERAGE(終値!G342:Z342),""))</f>
      </c>
      <c r="E342" s="684">
        <f>IF(終値!A342="","",IFERROR(4*STDEVP(終値!H342:AA342)/AVERAGE(終値!H342:AA342),""))</f>
      </c>
      <c r="F342" s="684">
        <f>IF(終値!A342="","",IFERROR(4*STDEVP(終値!I342:AB342)/AVERAGE(終値!I342:AB342),""))</f>
      </c>
      <c r="G342" s="684">
        <f>IF(終値!A342="","",IFERROR(4*STDEVP(終値!J342:AC342)/AVERAGE(終値!J342:AC342),""))</f>
      </c>
      <c r="H342" s="684">
        <f>IF(終値!A342="","",IFERROR(4*STDEVP(終値!K342:AD342)/AVERAGE(終値!K342:AD342),""))</f>
      </c>
      <c r="I342" s="684">
        <f>IF(終値!A342="","",IFERROR(4*STDEVP(終値!L342:AE342)/AVERAGE(終値!L342:AE342),""))</f>
      </c>
      <c r="J342" s="684">
        <f>IF(終値!A342="","",IFERROR(4*STDEVP(終値!M342:AF342)/AVERAGE(終値!M342:AF342),""))</f>
      </c>
      <c r="K342" s="684">
        <f>IF(終値!A342="","",IFERROR(4*STDEVP(終値!N342:AG342)/AVERAGE(終値!N342:AG342),""))</f>
      </c>
      <c r="L342" s="684">
        <f>IF(終値!A342="","",IFERROR(4*STDEVP(終値!O342:AH342)/AVERAGE(終値!O342:AH342),""))</f>
      </c>
      <c r="M342" s="684">
        <f>IF(終値!A342="","",IFERROR(4*STDEVP(終値!P342:AI342)/AVERAGE(終値!P342:AI342),""))</f>
      </c>
      <c r="N342" s="684">
        <f>IF(終値!A342="","",IFERROR(4*STDEVP(終値!Q342:AJ342)/AVERAGE(終値!Q342:AJ342),""))</f>
      </c>
      <c r="O342" s="684">
        <f>IF(終値!A342="","",IFERROR(4*STDEVP(終値!R342:AK342)/AVERAGE(終値!R342:AK342),""))</f>
      </c>
      <c r="P342" s="684">
        <f>IF(終値!A342="","",IFERROR(4*STDEVP(終値!S342:AL342)/AVERAGE(終値!S342:AL342),""))</f>
      </c>
      <c r="Q342" s="684">
        <f>IF(終値!A342="","",IFERROR(4*STDEVP(終値!T342:AM342)/AVERAGE(終値!T342:AM342),""))</f>
      </c>
      <c r="R342" s="684">
        <f>IF(終値!A342="","",IFERROR(4*STDEVP(終値!U342:AN342)/AVERAGE(終値!U342:AN342),""))</f>
      </c>
      <c r="S342" s="684">
        <f>IF(終値!A342="","",IFERROR(4*STDEVP(終値!V342:AO342)/AVERAGE(終値!V342:AO342),""))</f>
      </c>
      <c r="T342" s="684">
        <f>IF(終値!A342="","",IFERROR(4*STDEVP(終値!W342:AP342)/AVERAGE(終値!W342:AP342),""))</f>
      </c>
      <c r="U342" s="684">
        <f>IF(終値!A342="","",IFERROR(4*STDEVP(終値!X342:AQ342)/AVERAGE(終値!X342:AQ342),""))</f>
      </c>
      <c r="V342" s="684">
        <f>IF(終値!A342="","",IFERROR(4*STDEVP(終値!Y342:AR342)/AVERAGE(終値!Y342:AR342),""))</f>
      </c>
      <c r="W342" s="684">
        <f>IF(終値!A342="","",IFERROR(4*STDEVP(終値!Z342:AS342)/AVERAGE(終値!Z342:AS342),""))</f>
      </c>
      <c r="X342" s="684">
        <f>IF(終値!A342="","",IFERROR(4*STDEVP(終値!AA342:AT342)/AVERAGE(終値!AA342:AT342),""))</f>
      </c>
      <c r="Y342" s="684">
        <f>IF(終値!A342="","",IFERROR(4*STDEVP(終値!AB342:AU342)/AVERAGE(終値!AB342:AU342),""))</f>
      </c>
      <c r="Z342" s="684">
        <f>IF(終値!A342="","",IFERROR(4*STDEVP(終値!AC342:AV342)/AVERAGE(終値!AC342:AV342),""))</f>
      </c>
      <c r="AA342" s="684">
        <f>IF(終値!A342="","",IFERROR(4*STDEVP(終値!AD342:AW342)/AVERAGE(終値!AD342:AW342),""))</f>
      </c>
      <c r="AB342" s="684">
        <f>IF(終値!A342="","",IFERROR(4*STDEVP(終値!AE342:AX342)/AVERAGE(終値!AE342:AX342),""))</f>
      </c>
      <c r="AC342" s="684">
        <f>IF(終値!A342="","",IFERROR(4*STDEVP(終値!AF342:AY342)/AVERAGE(終値!AF342:AY342),""))</f>
      </c>
      <c r="AD342" s="684">
        <f>IF(終値!A342="","",IFERROR(4*STDEVP(終値!AG342:AZ342)/AVERAGE(終値!AG342:AZ342),""))</f>
      </c>
      <c r="AE342" s="684">
        <f>IF(終値!A342="","",IFERROR(4*STDEVP(終値!AH342:BA342)/AVERAGE(終値!AH342:BA342),""))</f>
      </c>
      <c r="AF342" s="684">
        <f>IF(終値!A342="","",IFERROR(4*STDEVP(終値!AI342:BB342)/AVERAGE(終値!AI342:BB342),""))</f>
      </c>
      <c r="AG342" s="684">
        <f>IF(終値!A342="","",IFERROR(4*STDEVP(終値!AJ342:BC342)/AVERAGE(終値!AJ342:BC342),""))</f>
      </c>
      <c r="AH342" s="684">
        <f>IF(終値!A342="","",IFERROR(4*STDEVP(終値!AK342:BD342)/AVERAGE(終値!AK342:BD342),""))</f>
      </c>
      <c r="AI342" s="684">
        <f>IF(終値!A342="","",IFERROR(4*STDEVP(終値!AL342:BE342)/AVERAGE(終値!AL342:BE342),""))</f>
      </c>
      <c r="AJ342" s="684">
        <f>IF(終値!A342="","",IFERROR(4*STDEVP(終値!AM342:BF342)/AVERAGE(終値!AM342:BF342),""))</f>
      </c>
      <c r="AK342" s="684">
        <f>IF(終値!A342="","",IFERROR(4*STDEVP(終値!AN342:BG342)/AVERAGE(終値!AN342:BG342),""))</f>
      </c>
      <c r="AL342" s="684">
        <f>IF(終値!A342="","",IFERROR(4*STDEVP(終値!AO342:BH342)/AVERAGE(終値!AO342:BH342),""))</f>
      </c>
      <c r="AM342" s="684">
        <f>IF(終値!A342="","",IFERROR(4*STDEVP(終値!AP342:BI342)/AVERAGE(終値!AP342:BI342),""))</f>
      </c>
      <c r="AN342" s="684">
        <f>IF(終値!A342="","",IFERROR(4*STDEVP(終値!AQ342:BJ342)/AVERAGE(終値!AQ342:BJ342),""))</f>
      </c>
      <c r="AO342" s="684">
        <f>IF(終値!A342="","",IFERROR(4*STDEVP(終値!AR342:BK342)/AVERAGE(終値!AR342:BK342),""))</f>
      </c>
      <c r="AP342" s="684">
        <f>IF(終値!A342="","",IFERROR(4*STDEVP(終値!AS342:BL342)/AVERAGE(終値!AS342:BL342),""))</f>
      </c>
    </row>
    <row r="343">
      <c r="A343" s="681">
        <f>IF(終値!A343="","",終値!A343)</f>
      </c>
      <c r="B343" s="684">
        <f>IF(終値!A343="","",IFERROR(4*STDEVP(終値!E343:X343)/AVERAGE(終値!E343:X343),""))</f>
      </c>
      <c r="C343" s="684">
        <f>IF(終値!A343="","",IFERROR(4*STDEVP(終値!F343:Y343)/AVERAGE(終値!F343:Y343),""))</f>
      </c>
      <c r="D343" s="684">
        <f>IF(終値!A343="","",IFERROR(4*STDEVP(終値!G343:Z343)/AVERAGE(終値!G343:Z343),""))</f>
      </c>
      <c r="E343" s="684">
        <f>IF(終値!A343="","",IFERROR(4*STDEVP(終値!H343:AA343)/AVERAGE(終値!H343:AA343),""))</f>
      </c>
      <c r="F343" s="684">
        <f>IF(終値!A343="","",IFERROR(4*STDEVP(終値!I343:AB343)/AVERAGE(終値!I343:AB343),""))</f>
      </c>
      <c r="G343" s="684">
        <f>IF(終値!A343="","",IFERROR(4*STDEVP(終値!J343:AC343)/AVERAGE(終値!J343:AC343),""))</f>
      </c>
      <c r="H343" s="684">
        <f>IF(終値!A343="","",IFERROR(4*STDEVP(終値!K343:AD343)/AVERAGE(終値!K343:AD343),""))</f>
      </c>
      <c r="I343" s="684">
        <f>IF(終値!A343="","",IFERROR(4*STDEVP(終値!L343:AE343)/AVERAGE(終値!L343:AE343),""))</f>
      </c>
      <c r="J343" s="684">
        <f>IF(終値!A343="","",IFERROR(4*STDEVP(終値!M343:AF343)/AVERAGE(終値!M343:AF343),""))</f>
      </c>
      <c r="K343" s="684">
        <f>IF(終値!A343="","",IFERROR(4*STDEVP(終値!N343:AG343)/AVERAGE(終値!N343:AG343),""))</f>
      </c>
      <c r="L343" s="684">
        <f>IF(終値!A343="","",IFERROR(4*STDEVP(終値!O343:AH343)/AVERAGE(終値!O343:AH343),""))</f>
      </c>
      <c r="M343" s="684">
        <f>IF(終値!A343="","",IFERROR(4*STDEVP(終値!P343:AI343)/AVERAGE(終値!P343:AI343),""))</f>
      </c>
      <c r="N343" s="684">
        <f>IF(終値!A343="","",IFERROR(4*STDEVP(終値!Q343:AJ343)/AVERAGE(終値!Q343:AJ343),""))</f>
      </c>
      <c r="O343" s="684">
        <f>IF(終値!A343="","",IFERROR(4*STDEVP(終値!R343:AK343)/AVERAGE(終値!R343:AK343),""))</f>
      </c>
      <c r="P343" s="684">
        <f>IF(終値!A343="","",IFERROR(4*STDEVP(終値!S343:AL343)/AVERAGE(終値!S343:AL343),""))</f>
      </c>
      <c r="Q343" s="684">
        <f>IF(終値!A343="","",IFERROR(4*STDEVP(終値!T343:AM343)/AVERAGE(終値!T343:AM343),""))</f>
      </c>
      <c r="R343" s="684">
        <f>IF(終値!A343="","",IFERROR(4*STDEVP(終値!U343:AN343)/AVERAGE(終値!U343:AN343),""))</f>
      </c>
      <c r="S343" s="684">
        <f>IF(終値!A343="","",IFERROR(4*STDEVP(終値!V343:AO343)/AVERAGE(終値!V343:AO343),""))</f>
      </c>
      <c r="T343" s="684">
        <f>IF(終値!A343="","",IFERROR(4*STDEVP(終値!W343:AP343)/AVERAGE(終値!W343:AP343),""))</f>
      </c>
      <c r="U343" s="684">
        <f>IF(終値!A343="","",IFERROR(4*STDEVP(終値!X343:AQ343)/AVERAGE(終値!X343:AQ343),""))</f>
      </c>
      <c r="V343" s="684">
        <f>IF(終値!A343="","",IFERROR(4*STDEVP(終値!Y343:AR343)/AVERAGE(終値!Y343:AR343),""))</f>
      </c>
      <c r="W343" s="684">
        <f>IF(終値!A343="","",IFERROR(4*STDEVP(終値!Z343:AS343)/AVERAGE(終値!Z343:AS343),""))</f>
      </c>
      <c r="X343" s="684">
        <f>IF(終値!A343="","",IFERROR(4*STDEVP(終値!AA343:AT343)/AVERAGE(終値!AA343:AT343),""))</f>
      </c>
      <c r="Y343" s="684">
        <f>IF(終値!A343="","",IFERROR(4*STDEVP(終値!AB343:AU343)/AVERAGE(終値!AB343:AU343),""))</f>
      </c>
      <c r="Z343" s="684">
        <f>IF(終値!A343="","",IFERROR(4*STDEVP(終値!AC343:AV343)/AVERAGE(終値!AC343:AV343),""))</f>
      </c>
      <c r="AA343" s="684">
        <f>IF(終値!A343="","",IFERROR(4*STDEVP(終値!AD343:AW343)/AVERAGE(終値!AD343:AW343),""))</f>
      </c>
      <c r="AB343" s="684">
        <f>IF(終値!A343="","",IFERROR(4*STDEVP(終値!AE343:AX343)/AVERAGE(終値!AE343:AX343),""))</f>
      </c>
      <c r="AC343" s="684">
        <f>IF(終値!A343="","",IFERROR(4*STDEVP(終値!AF343:AY343)/AVERAGE(終値!AF343:AY343),""))</f>
      </c>
      <c r="AD343" s="684">
        <f>IF(終値!A343="","",IFERROR(4*STDEVP(終値!AG343:AZ343)/AVERAGE(終値!AG343:AZ343),""))</f>
      </c>
      <c r="AE343" s="684">
        <f>IF(終値!A343="","",IFERROR(4*STDEVP(終値!AH343:BA343)/AVERAGE(終値!AH343:BA343),""))</f>
      </c>
      <c r="AF343" s="684">
        <f>IF(終値!A343="","",IFERROR(4*STDEVP(終値!AI343:BB343)/AVERAGE(終値!AI343:BB343),""))</f>
      </c>
      <c r="AG343" s="684">
        <f>IF(終値!A343="","",IFERROR(4*STDEVP(終値!AJ343:BC343)/AVERAGE(終値!AJ343:BC343),""))</f>
      </c>
      <c r="AH343" s="684">
        <f>IF(終値!A343="","",IFERROR(4*STDEVP(終値!AK343:BD343)/AVERAGE(終値!AK343:BD343),""))</f>
      </c>
      <c r="AI343" s="684">
        <f>IF(終値!A343="","",IFERROR(4*STDEVP(終値!AL343:BE343)/AVERAGE(終値!AL343:BE343),""))</f>
      </c>
      <c r="AJ343" s="684">
        <f>IF(終値!A343="","",IFERROR(4*STDEVP(終値!AM343:BF343)/AVERAGE(終値!AM343:BF343),""))</f>
      </c>
      <c r="AK343" s="684">
        <f>IF(終値!A343="","",IFERROR(4*STDEVP(終値!AN343:BG343)/AVERAGE(終値!AN343:BG343),""))</f>
      </c>
      <c r="AL343" s="684">
        <f>IF(終値!A343="","",IFERROR(4*STDEVP(終値!AO343:BH343)/AVERAGE(終値!AO343:BH343),""))</f>
      </c>
      <c r="AM343" s="684">
        <f>IF(終値!A343="","",IFERROR(4*STDEVP(終値!AP343:BI343)/AVERAGE(終値!AP343:BI343),""))</f>
      </c>
      <c r="AN343" s="684">
        <f>IF(終値!A343="","",IFERROR(4*STDEVP(終値!AQ343:BJ343)/AVERAGE(終値!AQ343:BJ343),""))</f>
      </c>
      <c r="AO343" s="684">
        <f>IF(終値!A343="","",IFERROR(4*STDEVP(終値!AR343:BK343)/AVERAGE(終値!AR343:BK343),""))</f>
      </c>
      <c r="AP343" s="684">
        <f>IF(終値!A343="","",IFERROR(4*STDEVP(終値!AS343:BL343)/AVERAGE(終値!AS343:BL343),""))</f>
      </c>
    </row>
    <row r="344">
      <c r="A344" s="681">
        <f>IF(終値!A344="","",終値!A344)</f>
      </c>
      <c r="B344" s="684">
        <f>IF(終値!A344="","",IFERROR(4*STDEVP(終値!E344:X344)/AVERAGE(終値!E344:X344),""))</f>
      </c>
      <c r="C344" s="684">
        <f>IF(終値!A344="","",IFERROR(4*STDEVP(終値!F344:Y344)/AVERAGE(終値!F344:Y344),""))</f>
      </c>
      <c r="D344" s="684">
        <f>IF(終値!A344="","",IFERROR(4*STDEVP(終値!G344:Z344)/AVERAGE(終値!G344:Z344),""))</f>
      </c>
      <c r="E344" s="684">
        <f>IF(終値!A344="","",IFERROR(4*STDEVP(終値!H344:AA344)/AVERAGE(終値!H344:AA344),""))</f>
      </c>
      <c r="F344" s="684">
        <f>IF(終値!A344="","",IFERROR(4*STDEVP(終値!I344:AB344)/AVERAGE(終値!I344:AB344),""))</f>
      </c>
      <c r="G344" s="684">
        <f>IF(終値!A344="","",IFERROR(4*STDEVP(終値!J344:AC344)/AVERAGE(終値!J344:AC344),""))</f>
      </c>
      <c r="H344" s="684">
        <f>IF(終値!A344="","",IFERROR(4*STDEVP(終値!K344:AD344)/AVERAGE(終値!K344:AD344),""))</f>
      </c>
      <c r="I344" s="684">
        <f>IF(終値!A344="","",IFERROR(4*STDEVP(終値!L344:AE344)/AVERAGE(終値!L344:AE344),""))</f>
      </c>
      <c r="J344" s="684">
        <f>IF(終値!A344="","",IFERROR(4*STDEVP(終値!M344:AF344)/AVERAGE(終値!M344:AF344),""))</f>
      </c>
      <c r="K344" s="684">
        <f>IF(終値!A344="","",IFERROR(4*STDEVP(終値!N344:AG344)/AVERAGE(終値!N344:AG344),""))</f>
      </c>
      <c r="L344" s="684">
        <f>IF(終値!A344="","",IFERROR(4*STDEVP(終値!O344:AH344)/AVERAGE(終値!O344:AH344),""))</f>
      </c>
      <c r="M344" s="684">
        <f>IF(終値!A344="","",IFERROR(4*STDEVP(終値!P344:AI344)/AVERAGE(終値!P344:AI344),""))</f>
      </c>
      <c r="N344" s="684">
        <f>IF(終値!A344="","",IFERROR(4*STDEVP(終値!Q344:AJ344)/AVERAGE(終値!Q344:AJ344),""))</f>
      </c>
      <c r="O344" s="684">
        <f>IF(終値!A344="","",IFERROR(4*STDEVP(終値!R344:AK344)/AVERAGE(終値!R344:AK344),""))</f>
      </c>
      <c r="P344" s="684">
        <f>IF(終値!A344="","",IFERROR(4*STDEVP(終値!S344:AL344)/AVERAGE(終値!S344:AL344),""))</f>
      </c>
      <c r="Q344" s="684">
        <f>IF(終値!A344="","",IFERROR(4*STDEVP(終値!T344:AM344)/AVERAGE(終値!T344:AM344),""))</f>
      </c>
      <c r="R344" s="684">
        <f>IF(終値!A344="","",IFERROR(4*STDEVP(終値!U344:AN344)/AVERAGE(終値!U344:AN344),""))</f>
      </c>
      <c r="S344" s="684">
        <f>IF(終値!A344="","",IFERROR(4*STDEVP(終値!V344:AO344)/AVERAGE(終値!V344:AO344),""))</f>
      </c>
      <c r="T344" s="684">
        <f>IF(終値!A344="","",IFERROR(4*STDEVP(終値!W344:AP344)/AVERAGE(終値!W344:AP344),""))</f>
      </c>
      <c r="U344" s="684">
        <f>IF(終値!A344="","",IFERROR(4*STDEVP(終値!X344:AQ344)/AVERAGE(終値!X344:AQ344),""))</f>
      </c>
      <c r="V344" s="684">
        <f>IF(終値!A344="","",IFERROR(4*STDEVP(終値!Y344:AR344)/AVERAGE(終値!Y344:AR344),""))</f>
      </c>
      <c r="W344" s="684">
        <f>IF(終値!A344="","",IFERROR(4*STDEVP(終値!Z344:AS344)/AVERAGE(終値!Z344:AS344),""))</f>
      </c>
      <c r="X344" s="684">
        <f>IF(終値!A344="","",IFERROR(4*STDEVP(終値!AA344:AT344)/AVERAGE(終値!AA344:AT344),""))</f>
      </c>
      <c r="Y344" s="684">
        <f>IF(終値!A344="","",IFERROR(4*STDEVP(終値!AB344:AU344)/AVERAGE(終値!AB344:AU344),""))</f>
      </c>
      <c r="Z344" s="684">
        <f>IF(終値!A344="","",IFERROR(4*STDEVP(終値!AC344:AV344)/AVERAGE(終値!AC344:AV344),""))</f>
      </c>
      <c r="AA344" s="684">
        <f>IF(終値!A344="","",IFERROR(4*STDEVP(終値!AD344:AW344)/AVERAGE(終値!AD344:AW344),""))</f>
      </c>
      <c r="AB344" s="684">
        <f>IF(終値!A344="","",IFERROR(4*STDEVP(終値!AE344:AX344)/AVERAGE(終値!AE344:AX344),""))</f>
      </c>
      <c r="AC344" s="684">
        <f>IF(終値!A344="","",IFERROR(4*STDEVP(終値!AF344:AY344)/AVERAGE(終値!AF344:AY344),""))</f>
      </c>
      <c r="AD344" s="684">
        <f>IF(終値!A344="","",IFERROR(4*STDEVP(終値!AG344:AZ344)/AVERAGE(終値!AG344:AZ344),""))</f>
      </c>
      <c r="AE344" s="684">
        <f>IF(終値!A344="","",IFERROR(4*STDEVP(終値!AH344:BA344)/AVERAGE(終値!AH344:BA344),""))</f>
      </c>
      <c r="AF344" s="684">
        <f>IF(終値!A344="","",IFERROR(4*STDEVP(終値!AI344:BB344)/AVERAGE(終値!AI344:BB344),""))</f>
      </c>
      <c r="AG344" s="684">
        <f>IF(終値!A344="","",IFERROR(4*STDEVP(終値!AJ344:BC344)/AVERAGE(終値!AJ344:BC344),""))</f>
      </c>
      <c r="AH344" s="684">
        <f>IF(終値!A344="","",IFERROR(4*STDEVP(終値!AK344:BD344)/AVERAGE(終値!AK344:BD344),""))</f>
      </c>
      <c r="AI344" s="684">
        <f>IF(終値!A344="","",IFERROR(4*STDEVP(終値!AL344:BE344)/AVERAGE(終値!AL344:BE344),""))</f>
      </c>
      <c r="AJ344" s="684">
        <f>IF(終値!A344="","",IFERROR(4*STDEVP(終値!AM344:BF344)/AVERAGE(終値!AM344:BF344),""))</f>
      </c>
      <c r="AK344" s="684">
        <f>IF(終値!A344="","",IFERROR(4*STDEVP(終値!AN344:BG344)/AVERAGE(終値!AN344:BG344),""))</f>
      </c>
      <c r="AL344" s="684">
        <f>IF(終値!A344="","",IFERROR(4*STDEVP(終値!AO344:BH344)/AVERAGE(終値!AO344:BH344),""))</f>
      </c>
      <c r="AM344" s="684">
        <f>IF(終値!A344="","",IFERROR(4*STDEVP(終値!AP344:BI344)/AVERAGE(終値!AP344:BI344),""))</f>
      </c>
      <c r="AN344" s="684">
        <f>IF(終値!A344="","",IFERROR(4*STDEVP(終値!AQ344:BJ344)/AVERAGE(終値!AQ344:BJ344),""))</f>
      </c>
      <c r="AO344" s="684">
        <f>IF(終値!A344="","",IFERROR(4*STDEVP(終値!AR344:BK344)/AVERAGE(終値!AR344:BK344),""))</f>
      </c>
      <c r="AP344" s="684">
        <f>IF(終値!A344="","",IFERROR(4*STDEVP(終値!AS344:BL344)/AVERAGE(終値!AS344:BL344),""))</f>
      </c>
    </row>
    <row r="345">
      <c r="A345" s="681">
        <f>IF(終値!A345="","",終値!A345)</f>
      </c>
      <c r="B345" s="684">
        <f>IF(終値!A345="","",IFERROR(4*STDEVP(終値!E345:X345)/AVERAGE(終値!E345:X345),""))</f>
      </c>
      <c r="C345" s="684">
        <f>IF(終値!A345="","",IFERROR(4*STDEVP(終値!F345:Y345)/AVERAGE(終値!F345:Y345),""))</f>
      </c>
      <c r="D345" s="684">
        <f>IF(終値!A345="","",IFERROR(4*STDEVP(終値!G345:Z345)/AVERAGE(終値!G345:Z345),""))</f>
      </c>
      <c r="E345" s="684">
        <f>IF(終値!A345="","",IFERROR(4*STDEVP(終値!H345:AA345)/AVERAGE(終値!H345:AA345),""))</f>
      </c>
      <c r="F345" s="684">
        <f>IF(終値!A345="","",IFERROR(4*STDEVP(終値!I345:AB345)/AVERAGE(終値!I345:AB345),""))</f>
      </c>
      <c r="G345" s="684">
        <f>IF(終値!A345="","",IFERROR(4*STDEVP(終値!J345:AC345)/AVERAGE(終値!J345:AC345),""))</f>
      </c>
      <c r="H345" s="684">
        <f>IF(終値!A345="","",IFERROR(4*STDEVP(終値!K345:AD345)/AVERAGE(終値!K345:AD345),""))</f>
      </c>
      <c r="I345" s="684">
        <f>IF(終値!A345="","",IFERROR(4*STDEVP(終値!L345:AE345)/AVERAGE(終値!L345:AE345),""))</f>
      </c>
      <c r="J345" s="684">
        <f>IF(終値!A345="","",IFERROR(4*STDEVP(終値!M345:AF345)/AVERAGE(終値!M345:AF345),""))</f>
      </c>
      <c r="K345" s="684">
        <f>IF(終値!A345="","",IFERROR(4*STDEVP(終値!N345:AG345)/AVERAGE(終値!N345:AG345),""))</f>
      </c>
      <c r="L345" s="684">
        <f>IF(終値!A345="","",IFERROR(4*STDEVP(終値!O345:AH345)/AVERAGE(終値!O345:AH345),""))</f>
      </c>
      <c r="M345" s="684">
        <f>IF(終値!A345="","",IFERROR(4*STDEVP(終値!P345:AI345)/AVERAGE(終値!P345:AI345),""))</f>
      </c>
      <c r="N345" s="684">
        <f>IF(終値!A345="","",IFERROR(4*STDEVP(終値!Q345:AJ345)/AVERAGE(終値!Q345:AJ345),""))</f>
      </c>
      <c r="O345" s="684">
        <f>IF(終値!A345="","",IFERROR(4*STDEVP(終値!R345:AK345)/AVERAGE(終値!R345:AK345),""))</f>
      </c>
      <c r="P345" s="684">
        <f>IF(終値!A345="","",IFERROR(4*STDEVP(終値!S345:AL345)/AVERAGE(終値!S345:AL345),""))</f>
      </c>
      <c r="Q345" s="684">
        <f>IF(終値!A345="","",IFERROR(4*STDEVP(終値!T345:AM345)/AVERAGE(終値!T345:AM345),""))</f>
      </c>
      <c r="R345" s="684">
        <f>IF(終値!A345="","",IFERROR(4*STDEVP(終値!U345:AN345)/AVERAGE(終値!U345:AN345),""))</f>
      </c>
      <c r="S345" s="684">
        <f>IF(終値!A345="","",IFERROR(4*STDEVP(終値!V345:AO345)/AVERAGE(終値!V345:AO345),""))</f>
      </c>
      <c r="T345" s="684">
        <f>IF(終値!A345="","",IFERROR(4*STDEVP(終値!W345:AP345)/AVERAGE(終値!W345:AP345),""))</f>
      </c>
      <c r="U345" s="684">
        <f>IF(終値!A345="","",IFERROR(4*STDEVP(終値!X345:AQ345)/AVERAGE(終値!X345:AQ345),""))</f>
      </c>
      <c r="V345" s="684">
        <f>IF(終値!A345="","",IFERROR(4*STDEVP(終値!Y345:AR345)/AVERAGE(終値!Y345:AR345),""))</f>
      </c>
      <c r="W345" s="684">
        <f>IF(終値!A345="","",IFERROR(4*STDEVP(終値!Z345:AS345)/AVERAGE(終値!Z345:AS345),""))</f>
      </c>
      <c r="X345" s="684">
        <f>IF(終値!A345="","",IFERROR(4*STDEVP(終値!AA345:AT345)/AVERAGE(終値!AA345:AT345),""))</f>
      </c>
      <c r="Y345" s="684">
        <f>IF(終値!A345="","",IFERROR(4*STDEVP(終値!AB345:AU345)/AVERAGE(終値!AB345:AU345),""))</f>
      </c>
      <c r="Z345" s="684">
        <f>IF(終値!A345="","",IFERROR(4*STDEVP(終値!AC345:AV345)/AVERAGE(終値!AC345:AV345),""))</f>
      </c>
      <c r="AA345" s="684">
        <f>IF(終値!A345="","",IFERROR(4*STDEVP(終値!AD345:AW345)/AVERAGE(終値!AD345:AW345),""))</f>
      </c>
      <c r="AB345" s="684">
        <f>IF(終値!A345="","",IFERROR(4*STDEVP(終値!AE345:AX345)/AVERAGE(終値!AE345:AX345),""))</f>
      </c>
      <c r="AC345" s="684">
        <f>IF(終値!A345="","",IFERROR(4*STDEVP(終値!AF345:AY345)/AVERAGE(終値!AF345:AY345),""))</f>
      </c>
      <c r="AD345" s="684">
        <f>IF(終値!A345="","",IFERROR(4*STDEVP(終値!AG345:AZ345)/AVERAGE(終値!AG345:AZ345),""))</f>
      </c>
      <c r="AE345" s="684">
        <f>IF(終値!A345="","",IFERROR(4*STDEVP(終値!AH345:BA345)/AVERAGE(終値!AH345:BA345),""))</f>
      </c>
      <c r="AF345" s="684">
        <f>IF(終値!A345="","",IFERROR(4*STDEVP(終値!AI345:BB345)/AVERAGE(終値!AI345:BB345),""))</f>
      </c>
      <c r="AG345" s="684">
        <f>IF(終値!A345="","",IFERROR(4*STDEVP(終値!AJ345:BC345)/AVERAGE(終値!AJ345:BC345),""))</f>
      </c>
      <c r="AH345" s="684">
        <f>IF(終値!A345="","",IFERROR(4*STDEVP(終値!AK345:BD345)/AVERAGE(終値!AK345:BD345),""))</f>
      </c>
      <c r="AI345" s="684">
        <f>IF(終値!A345="","",IFERROR(4*STDEVP(終値!AL345:BE345)/AVERAGE(終値!AL345:BE345),""))</f>
      </c>
      <c r="AJ345" s="684">
        <f>IF(終値!A345="","",IFERROR(4*STDEVP(終値!AM345:BF345)/AVERAGE(終値!AM345:BF345),""))</f>
      </c>
      <c r="AK345" s="684">
        <f>IF(終値!A345="","",IFERROR(4*STDEVP(終値!AN345:BG345)/AVERAGE(終値!AN345:BG345),""))</f>
      </c>
      <c r="AL345" s="684">
        <f>IF(終値!A345="","",IFERROR(4*STDEVP(終値!AO345:BH345)/AVERAGE(終値!AO345:BH345),""))</f>
      </c>
      <c r="AM345" s="684">
        <f>IF(終値!A345="","",IFERROR(4*STDEVP(終値!AP345:BI345)/AVERAGE(終値!AP345:BI345),""))</f>
      </c>
      <c r="AN345" s="684">
        <f>IF(終値!A345="","",IFERROR(4*STDEVP(終値!AQ345:BJ345)/AVERAGE(終値!AQ345:BJ345),""))</f>
      </c>
      <c r="AO345" s="684">
        <f>IF(終値!A345="","",IFERROR(4*STDEVP(終値!AR345:BK345)/AVERAGE(終値!AR345:BK345),""))</f>
      </c>
      <c r="AP345" s="684">
        <f>IF(終値!A345="","",IFERROR(4*STDEVP(終値!AS345:BL345)/AVERAGE(終値!AS345:BL345),""))</f>
      </c>
    </row>
    <row r="346">
      <c r="A346" s="681">
        <f>IF(終値!A346="","",終値!A346)</f>
      </c>
      <c r="B346" s="684">
        <f>IF(終値!A346="","",IFERROR(4*STDEVP(終値!E346:X346)/AVERAGE(終値!E346:X346),""))</f>
      </c>
      <c r="C346" s="684">
        <f>IF(終値!A346="","",IFERROR(4*STDEVP(終値!F346:Y346)/AVERAGE(終値!F346:Y346),""))</f>
      </c>
      <c r="D346" s="684">
        <f>IF(終値!A346="","",IFERROR(4*STDEVP(終値!G346:Z346)/AVERAGE(終値!G346:Z346),""))</f>
      </c>
      <c r="E346" s="684">
        <f>IF(終値!A346="","",IFERROR(4*STDEVP(終値!H346:AA346)/AVERAGE(終値!H346:AA346),""))</f>
      </c>
      <c r="F346" s="684">
        <f>IF(終値!A346="","",IFERROR(4*STDEVP(終値!I346:AB346)/AVERAGE(終値!I346:AB346),""))</f>
      </c>
      <c r="G346" s="684">
        <f>IF(終値!A346="","",IFERROR(4*STDEVP(終値!J346:AC346)/AVERAGE(終値!J346:AC346),""))</f>
      </c>
      <c r="H346" s="684">
        <f>IF(終値!A346="","",IFERROR(4*STDEVP(終値!K346:AD346)/AVERAGE(終値!K346:AD346),""))</f>
      </c>
      <c r="I346" s="684">
        <f>IF(終値!A346="","",IFERROR(4*STDEVP(終値!L346:AE346)/AVERAGE(終値!L346:AE346),""))</f>
      </c>
      <c r="J346" s="684">
        <f>IF(終値!A346="","",IFERROR(4*STDEVP(終値!M346:AF346)/AVERAGE(終値!M346:AF346),""))</f>
      </c>
      <c r="K346" s="684">
        <f>IF(終値!A346="","",IFERROR(4*STDEVP(終値!N346:AG346)/AVERAGE(終値!N346:AG346),""))</f>
      </c>
      <c r="L346" s="684">
        <f>IF(終値!A346="","",IFERROR(4*STDEVP(終値!O346:AH346)/AVERAGE(終値!O346:AH346),""))</f>
      </c>
      <c r="M346" s="684">
        <f>IF(終値!A346="","",IFERROR(4*STDEVP(終値!P346:AI346)/AVERAGE(終値!P346:AI346),""))</f>
      </c>
      <c r="N346" s="684">
        <f>IF(終値!A346="","",IFERROR(4*STDEVP(終値!Q346:AJ346)/AVERAGE(終値!Q346:AJ346),""))</f>
      </c>
      <c r="O346" s="684">
        <f>IF(終値!A346="","",IFERROR(4*STDEVP(終値!R346:AK346)/AVERAGE(終値!R346:AK346),""))</f>
      </c>
      <c r="P346" s="684">
        <f>IF(終値!A346="","",IFERROR(4*STDEVP(終値!S346:AL346)/AVERAGE(終値!S346:AL346),""))</f>
      </c>
      <c r="Q346" s="684">
        <f>IF(終値!A346="","",IFERROR(4*STDEVP(終値!T346:AM346)/AVERAGE(終値!T346:AM346),""))</f>
      </c>
      <c r="R346" s="684">
        <f>IF(終値!A346="","",IFERROR(4*STDEVP(終値!U346:AN346)/AVERAGE(終値!U346:AN346),""))</f>
      </c>
      <c r="S346" s="684">
        <f>IF(終値!A346="","",IFERROR(4*STDEVP(終値!V346:AO346)/AVERAGE(終値!V346:AO346),""))</f>
      </c>
      <c r="T346" s="684">
        <f>IF(終値!A346="","",IFERROR(4*STDEVP(終値!W346:AP346)/AVERAGE(終値!W346:AP346),""))</f>
      </c>
      <c r="U346" s="684">
        <f>IF(終値!A346="","",IFERROR(4*STDEVP(終値!X346:AQ346)/AVERAGE(終値!X346:AQ346),""))</f>
      </c>
      <c r="V346" s="684">
        <f>IF(終値!A346="","",IFERROR(4*STDEVP(終値!Y346:AR346)/AVERAGE(終値!Y346:AR346),""))</f>
      </c>
      <c r="W346" s="684">
        <f>IF(終値!A346="","",IFERROR(4*STDEVP(終値!Z346:AS346)/AVERAGE(終値!Z346:AS346),""))</f>
      </c>
      <c r="X346" s="684">
        <f>IF(終値!A346="","",IFERROR(4*STDEVP(終値!AA346:AT346)/AVERAGE(終値!AA346:AT346),""))</f>
      </c>
      <c r="Y346" s="684">
        <f>IF(終値!A346="","",IFERROR(4*STDEVP(終値!AB346:AU346)/AVERAGE(終値!AB346:AU346),""))</f>
      </c>
      <c r="Z346" s="684">
        <f>IF(終値!A346="","",IFERROR(4*STDEVP(終値!AC346:AV346)/AVERAGE(終値!AC346:AV346),""))</f>
      </c>
      <c r="AA346" s="684">
        <f>IF(終値!A346="","",IFERROR(4*STDEVP(終値!AD346:AW346)/AVERAGE(終値!AD346:AW346),""))</f>
      </c>
      <c r="AB346" s="684">
        <f>IF(終値!A346="","",IFERROR(4*STDEVP(終値!AE346:AX346)/AVERAGE(終値!AE346:AX346),""))</f>
      </c>
      <c r="AC346" s="684">
        <f>IF(終値!A346="","",IFERROR(4*STDEVP(終値!AF346:AY346)/AVERAGE(終値!AF346:AY346),""))</f>
      </c>
      <c r="AD346" s="684">
        <f>IF(終値!A346="","",IFERROR(4*STDEVP(終値!AG346:AZ346)/AVERAGE(終値!AG346:AZ346),""))</f>
      </c>
      <c r="AE346" s="684">
        <f>IF(終値!A346="","",IFERROR(4*STDEVP(終値!AH346:BA346)/AVERAGE(終値!AH346:BA346),""))</f>
      </c>
      <c r="AF346" s="684">
        <f>IF(終値!A346="","",IFERROR(4*STDEVP(終値!AI346:BB346)/AVERAGE(終値!AI346:BB346),""))</f>
      </c>
      <c r="AG346" s="684">
        <f>IF(終値!A346="","",IFERROR(4*STDEVP(終値!AJ346:BC346)/AVERAGE(終値!AJ346:BC346),""))</f>
      </c>
      <c r="AH346" s="684">
        <f>IF(終値!A346="","",IFERROR(4*STDEVP(終値!AK346:BD346)/AVERAGE(終値!AK346:BD346),""))</f>
      </c>
      <c r="AI346" s="684">
        <f>IF(終値!A346="","",IFERROR(4*STDEVP(終値!AL346:BE346)/AVERAGE(終値!AL346:BE346),""))</f>
      </c>
      <c r="AJ346" s="684">
        <f>IF(終値!A346="","",IFERROR(4*STDEVP(終値!AM346:BF346)/AVERAGE(終値!AM346:BF346),""))</f>
      </c>
      <c r="AK346" s="684">
        <f>IF(終値!A346="","",IFERROR(4*STDEVP(終値!AN346:BG346)/AVERAGE(終値!AN346:BG346),""))</f>
      </c>
      <c r="AL346" s="684">
        <f>IF(終値!A346="","",IFERROR(4*STDEVP(終値!AO346:BH346)/AVERAGE(終値!AO346:BH346),""))</f>
      </c>
      <c r="AM346" s="684">
        <f>IF(終値!A346="","",IFERROR(4*STDEVP(終値!AP346:BI346)/AVERAGE(終値!AP346:BI346),""))</f>
      </c>
      <c r="AN346" s="684">
        <f>IF(終値!A346="","",IFERROR(4*STDEVP(終値!AQ346:BJ346)/AVERAGE(終値!AQ346:BJ346),""))</f>
      </c>
      <c r="AO346" s="684">
        <f>IF(終値!A346="","",IFERROR(4*STDEVP(終値!AR346:BK346)/AVERAGE(終値!AR346:BK346),""))</f>
      </c>
      <c r="AP346" s="684">
        <f>IF(終値!A346="","",IFERROR(4*STDEVP(終値!AS346:BL346)/AVERAGE(終値!AS346:BL346),""))</f>
      </c>
    </row>
    <row r="347">
      <c r="A347" s="681">
        <f>IF(終値!A347="","",終値!A347)</f>
      </c>
      <c r="B347" s="684">
        <f>IF(終値!A347="","",IFERROR(4*STDEVP(終値!E347:X347)/AVERAGE(終値!E347:X347),""))</f>
      </c>
      <c r="C347" s="684">
        <f>IF(終値!A347="","",IFERROR(4*STDEVP(終値!F347:Y347)/AVERAGE(終値!F347:Y347),""))</f>
      </c>
      <c r="D347" s="684">
        <f>IF(終値!A347="","",IFERROR(4*STDEVP(終値!G347:Z347)/AVERAGE(終値!G347:Z347),""))</f>
      </c>
      <c r="E347" s="684">
        <f>IF(終値!A347="","",IFERROR(4*STDEVP(終値!H347:AA347)/AVERAGE(終値!H347:AA347),""))</f>
      </c>
      <c r="F347" s="684">
        <f>IF(終値!A347="","",IFERROR(4*STDEVP(終値!I347:AB347)/AVERAGE(終値!I347:AB347),""))</f>
      </c>
      <c r="G347" s="684">
        <f>IF(終値!A347="","",IFERROR(4*STDEVP(終値!J347:AC347)/AVERAGE(終値!J347:AC347),""))</f>
      </c>
      <c r="H347" s="684">
        <f>IF(終値!A347="","",IFERROR(4*STDEVP(終値!K347:AD347)/AVERAGE(終値!K347:AD347),""))</f>
      </c>
      <c r="I347" s="684">
        <f>IF(終値!A347="","",IFERROR(4*STDEVP(終値!L347:AE347)/AVERAGE(終値!L347:AE347),""))</f>
      </c>
      <c r="J347" s="684">
        <f>IF(終値!A347="","",IFERROR(4*STDEVP(終値!M347:AF347)/AVERAGE(終値!M347:AF347),""))</f>
      </c>
      <c r="K347" s="684">
        <f>IF(終値!A347="","",IFERROR(4*STDEVP(終値!N347:AG347)/AVERAGE(終値!N347:AG347),""))</f>
      </c>
      <c r="L347" s="684">
        <f>IF(終値!A347="","",IFERROR(4*STDEVP(終値!O347:AH347)/AVERAGE(終値!O347:AH347),""))</f>
      </c>
      <c r="M347" s="684">
        <f>IF(終値!A347="","",IFERROR(4*STDEVP(終値!P347:AI347)/AVERAGE(終値!P347:AI347),""))</f>
      </c>
      <c r="N347" s="684">
        <f>IF(終値!A347="","",IFERROR(4*STDEVP(終値!Q347:AJ347)/AVERAGE(終値!Q347:AJ347),""))</f>
      </c>
      <c r="O347" s="684">
        <f>IF(終値!A347="","",IFERROR(4*STDEVP(終値!R347:AK347)/AVERAGE(終値!R347:AK347),""))</f>
      </c>
      <c r="P347" s="684">
        <f>IF(終値!A347="","",IFERROR(4*STDEVP(終値!S347:AL347)/AVERAGE(終値!S347:AL347),""))</f>
      </c>
      <c r="Q347" s="684">
        <f>IF(終値!A347="","",IFERROR(4*STDEVP(終値!T347:AM347)/AVERAGE(終値!T347:AM347),""))</f>
      </c>
      <c r="R347" s="684">
        <f>IF(終値!A347="","",IFERROR(4*STDEVP(終値!U347:AN347)/AVERAGE(終値!U347:AN347),""))</f>
      </c>
      <c r="S347" s="684">
        <f>IF(終値!A347="","",IFERROR(4*STDEVP(終値!V347:AO347)/AVERAGE(終値!V347:AO347),""))</f>
      </c>
      <c r="T347" s="684">
        <f>IF(終値!A347="","",IFERROR(4*STDEVP(終値!W347:AP347)/AVERAGE(終値!W347:AP347),""))</f>
      </c>
      <c r="U347" s="684">
        <f>IF(終値!A347="","",IFERROR(4*STDEVP(終値!X347:AQ347)/AVERAGE(終値!X347:AQ347),""))</f>
      </c>
      <c r="V347" s="684">
        <f>IF(終値!A347="","",IFERROR(4*STDEVP(終値!Y347:AR347)/AVERAGE(終値!Y347:AR347),""))</f>
      </c>
      <c r="W347" s="684">
        <f>IF(終値!A347="","",IFERROR(4*STDEVP(終値!Z347:AS347)/AVERAGE(終値!Z347:AS347),""))</f>
      </c>
      <c r="X347" s="684">
        <f>IF(終値!A347="","",IFERROR(4*STDEVP(終値!AA347:AT347)/AVERAGE(終値!AA347:AT347),""))</f>
      </c>
      <c r="Y347" s="684">
        <f>IF(終値!A347="","",IFERROR(4*STDEVP(終値!AB347:AU347)/AVERAGE(終値!AB347:AU347),""))</f>
      </c>
      <c r="Z347" s="684">
        <f>IF(終値!A347="","",IFERROR(4*STDEVP(終値!AC347:AV347)/AVERAGE(終値!AC347:AV347),""))</f>
      </c>
      <c r="AA347" s="684">
        <f>IF(終値!A347="","",IFERROR(4*STDEVP(終値!AD347:AW347)/AVERAGE(終値!AD347:AW347),""))</f>
      </c>
      <c r="AB347" s="684">
        <f>IF(終値!A347="","",IFERROR(4*STDEVP(終値!AE347:AX347)/AVERAGE(終値!AE347:AX347),""))</f>
      </c>
      <c r="AC347" s="684">
        <f>IF(終値!A347="","",IFERROR(4*STDEVP(終値!AF347:AY347)/AVERAGE(終値!AF347:AY347),""))</f>
      </c>
      <c r="AD347" s="684">
        <f>IF(終値!A347="","",IFERROR(4*STDEVP(終値!AG347:AZ347)/AVERAGE(終値!AG347:AZ347),""))</f>
      </c>
      <c r="AE347" s="684">
        <f>IF(終値!A347="","",IFERROR(4*STDEVP(終値!AH347:BA347)/AVERAGE(終値!AH347:BA347),""))</f>
      </c>
      <c r="AF347" s="684">
        <f>IF(終値!A347="","",IFERROR(4*STDEVP(終値!AI347:BB347)/AVERAGE(終値!AI347:BB347),""))</f>
      </c>
      <c r="AG347" s="684">
        <f>IF(終値!A347="","",IFERROR(4*STDEVP(終値!AJ347:BC347)/AVERAGE(終値!AJ347:BC347),""))</f>
      </c>
      <c r="AH347" s="684">
        <f>IF(終値!A347="","",IFERROR(4*STDEVP(終値!AK347:BD347)/AVERAGE(終値!AK347:BD347),""))</f>
      </c>
      <c r="AI347" s="684">
        <f>IF(終値!A347="","",IFERROR(4*STDEVP(終値!AL347:BE347)/AVERAGE(終値!AL347:BE347),""))</f>
      </c>
      <c r="AJ347" s="684">
        <f>IF(終値!A347="","",IFERROR(4*STDEVP(終値!AM347:BF347)/AVERAGE(終値!AM347:BF347),""))</f>
      </c>
      <c r="AK347" s="684">
        <f>IF(終値!A347="","",IFERROR(4*STDEVP(終値!AN347:BG347)/AVERAGE(終値!AN347:BG347),""))</f>
      </c>
      <c r="AL347" s="684">
        <f>IF(終値!A347="","",IFERROR(4*STDEVP(終値!AO347:BH347)/AVERAGE(終値!AO347:BH347),""))</f>
      </c>
      <c r="AM347" s="684">
        <f>IF(終値!A347="","",IFERROR(4*STDEVP(終値!AP347:BI347)/AVERAGE(終値!AP347:BI347),""))</f>
      </c>
      <c r="AN347" s="684">
        <f>IF(終値!A347="","",IFERROR(4*STDEVP(終値!AQ347:BJ347)/AVERAGE(終値!AQ347:BJ347),""))</f>
      </c>
      <c r="AO347" s="684">
        <f>IF(終値!A347="","",IFERROR(4*STDEVP(終値!AR347:BK347)/AVERAGE(終値!AR347:BK347),""))</f>
      </c>
      <c r="AP347" s="684">
        <f>IF(終値!A347="","",IFERROR(4*STDEVP(終値!AS347:BL347)/AVERAGE(終値!AS347:BL347),""))</f>
      </c>
    </row>
    <row r="348">
      <c r="A348" s="681">
        <f>IF(終値!A348="","",終値!A348)</f>
      </c>
      <c r="B348" s="684">
        <f>IF(終値!A348="","",IFERROR(4*STDEVP(終値!E348:X348)/AVERAGE(終値!E348:X348),""))</f>
      </c>
      <c r="C348" s="684">
        <f>IF(終値!A348="","",IFERROR(4*STDEVP(終値!F348:Y348)/AVERAGE(終値!F348:Y348),""))</f>
      </c>
      <c r="D348" s="684">
        <f>IF(終値!A348="","",IFERROR(4*STDEVP(終値!G348:Z348)/AVERAGE(終値!G348:Z348),""))</f>
      </c>
      <c r="E348" s="684">
        <f>IF(終値!A348="","",IFERROR(4*STDEVP(終値!H348:AA348)/AVERAGE(終値!H348:AA348),""))</f>
      </c>
      <c r="F348" s="684">
        <f>IF(終値!A348="","",IFERROR(4*STDEVP(終値!I348:AB348)/AVERAGE(終値!I348:AB348),""))</f>
      </c>
      <c r="G348" s="684">
        <f>IF(終値!A348="","",IFERROR(4*STDEVP(終値!J348:AC348)/AVERAGE(終値!J348:AC348),""))</f>
      </c>
      <c r="H348" s="684">
        <f>IF(終値!A348="","",IFERROR(4*STDEVP(終値!K348:AD348)/AVERAGE(終値!K348:AD348),""))</f>
      </c>
      <c r="I348" s="684">
        <f>IF(終値!A348="","",IFERROR(4*STDEVP(終値!L348:AE348)/AVERAGE(終値!L348:AE348),""))</f>
      </c>
      <c r="J348" s="684">
        <f>IF(終値!A348="","",IFERROR(4*STDEVP(終値!M348:AF348)/AVERAGE(終値!M348:AF348),""))</f>
      </c>
      <c r="K348" s="684">
        <f>IF(終値!A348="","",IFERROR(4*STDEVP(終値!N348:AG348)/AVERAGE(終値!N348:AG348),""))</f>
      </c>
      <c r="L348" s="684">
        <f>IF(終値!A348="","",IFERROR(4*STDEVP(終値!O348:AH348)/AVERAGE(終値!O348:AH348),""))</f>
      </c>
      <c r="M348" s="684">
        <f>IF(終値!A348="","",IFERROR(4*STDEVP(終値!P348:AI348)/AVERAGE(終値!P348:AI348),""))</f>
      </c>
      <c r="N348" s="684">
        <f>IF(終値!A348="","",IFERROR(4*STDEVP(終値!Q348:AJ348)/AVERAGE(終値!Q348:AJ348),""))</f>
      </c>
      <c r="O348" s="684">
        <f>IF(終値!A348="","",IFERROR(4*STDEVP(終値!R348:AK348)/AVERAGE(終値!R348:AK348),""))</f>
      </c>
      <c r="P348" s="684">
        <f>IF(終値!A348="","",IFERROR(4*STDEVP(終値!S348:AL348)/AVERAGE(終値!S348:AL348),""))</f>
      </c>
      <c r="Q348" s="684">
        <f>IF(終値!A348="","",IFERROR(4*STDEVP(終値!T348:AM348)/AVERAGE(終値!T348:AM348),""))</f>
      </c>
      <c r="R348" s="684">
        <f>IF(終値!A348="","",IFERROR(4*STDEVP(終値!U348:AN348)/AVERAGE(終値!U348:AN348),""))</f>
      </c>
      <c r="S348" s="684">
        <f>IF(終値!A348="","",IFERROR(4*STDEVP(終値!V348:AO348)/AVERAGE(終値!V348:AO348),""))</f>
      </c>
      <c r="T348" s="684">
        <f>IF(終値!A348="","",IFERROR(4*STDEVP(終値!W348:AP348)/AVERAGE(終値!W348:AP348),""))</f>
      </c>
      <c r="U348" s="684">
        <f>IF(終値!A348="","",IFERROR(4*STDEVP(終値!X348:AQ348)/AVERAGE(終値!X348:AQ348),""))</f>
      </c>
      <c r="V348" s="684">
        <f>IF(終値!A348="","",IFERROR(4*STDEVP(終値!Y348:AR348)/AVERAGE(終値!Y348:AR348),""))</f>
      </c>
      <c r="W348" s="684">
        <f>IF(終値!A348="","",IFERROR(4*STDEVP(終値!Z348:AS348)/AVERAGE(終値!Z348:AS348),""))</f>
      </c>
      <c r="X348" s="684">
        <f>IF(終値!A348="","",IFERROR(4*STDEVP(終値!AA348:AT348)/AVERAGE(終値!AA348:AT348),""))</f>
      </c>
      <c r="Y348" s="684">
        <f>IF(終値!A348="","",IFERROR(4*STDEVP(終値!AB348:AU348)/AVERAGE(終値!AB348:AU348),""))</f>
      </c>
      <c r="Z348" s="684">
        <f>IF(終値!A348="","",IFERROR(4*STDEVP(終値!AC348:AV348)/AVERAGE(終値!AC348:AV348),""))</f>
      </c>
      <c r="AA348" s="684">
        <f>IF(終値!A348="","",IFERROR(4*STDEVP(終値!AD348:AW348)/AVERAGE(終値!AD348:AW348),""))</f>
      </c>
      <c r="AB348" s="684">
        <f>IF(終値!A348="","",IFERROR(4*STDEVP(終値!AE348:AX348)/AVERAGE(終値!AE348:AX348),""))</f>
      </c>
      <c r="AC348" s="684">
        <f>IF(終値!A348="","",IFERROR(4*STDEVP(終値!AF348:AY348)/AVERAGE(終値!AF348:AY348),""))</f>
      </c>
      <c r="AD348" s="684">
        <f>IF(終値!A348="","",IFERROR(4*STDEVP(終値!AG348:AZ348)/AVERAGE(終値!AG348:AZ348),""))</f>
      </c>
      <c r="AE348" s="684">
        <f>IF(終値!A348="","",IFERROR(4*STDEVP(終値!AH348:BA348)/AVERAGE(終値!AH348:BA348),""))</f>
      </c>
      <c r="AF348" s="684">
        <f>IF(終値!A348="","",IFERROR(4*STDEVP(終値!AI348:BB348)/AVERAGE(終値!AI348:BB348),""))</f>
      </c>
      <c r="AG348" s="684">
        <f>IF(終値!A348="","",IFERROR(4*STDEVP(終値!AJ348:BC348)/AVERAGE(終値!AJ348:BC348),""))</f>
      </c>
      <c r="AH348" s="684">
        <f>IF(終値!A348="","",IFERROR(4*STDEVP(終値!AK348:BD348)/AVERAGE(終値!AK348:BD348),""))</f>
      </c>
      <c r="AI348" s="684">
        <f>IF(終値!A348="","",IFERROR(4*STDEVP(終値!AL348:BE348)/AVERAGE(終値!AL348:BE348),""))</f>
      </c>
      <c r="AJ348" s="684">
        <f>IF(終値!A348="","",IFERROR(4*STDEVP(終値!AM348:BF348)/AVERAGE(終値!AM348:BF348),""))</f>
      </c>
      <c r="AK348" s="684">
        <f>IF(終値!A348="","",IFERROR(4*STDEVP(終値!AN348:BG348)/AVERAGE(終値!AN348:BG348),""))</f>
      </c>
      <c r="AL348" s="684">
        <f>IF(終値!A348="","",IFERROR(4*STDEVP(終値!AO348:BH348)/AVERAGE(終値!AO348:BH348),""))</f>
      </c>
      <c r="AM348" s="684">
        <f>IF(終値!A348="","",IFERROR(4*STDEVP(終値!AP348:BI348)/AVERAGE(終値!AP348:BI348),""))</f>
      </c>
      <c r="AN348" s="684">
        <f>IF(終値!A348="","",IFERROR(4*STDEVP(終値!AQ348:BJ348)/AVERAGE(終値!AQ348:BJ348),""))</f>
      </c>
      <c r="AO348" s="684">
        <f>IF(終値!A348="","",IFERROR(4*STDEVP(終値!AR348:BK348)/AVERAGE(終値!AR348:BK348),""))</f>
      </c>
      <c r="AP348" s="684">
        <f>IF(終値!A348="","",IFERROR(4*STDEVP(終値!AS348:BL348)/AVERAGE(終値!AS348:BL348),""))</f>
      </c>
    </row>
    <row r="349">
      <c r="A349" s="681">
        <f>IF(終値!A349="","",終値!A349)</f>
      </c>
      <c r="B349" s="684">
        <f>IF(終値!A349="","",IFERROR(4*STDEVP(終値!E349:X349)/AVERAGE(終値!E349:X349),""))</f>
      </c>
      <c r="C349" s="684">
        <f>IF(終値!A349="","",IFERROR(4*STDEVP(終値!F349:Y349)/AVERAGE(終値!F349:Y349),""))</f>
      </c>
      <c r="D349" s="684">
        <f>IF(終値!A349="","",IFERROR(4*STDEVP(終値!G349:Z349)/AVERAGE(終値!G349:Z349),""))</f>
      </c>
      <c r="E349" s="684">
        <f>IF(終値!A349="","",IFERROR(4*STDEVP(終値!H349:AA349)/AVERAGE(終値!H349:AA349),""))</f>
      </c>
      <c r="F349" s="684">
        <f>IF(終値!A349="","",IFERROR(4*STDEVP(終値!I349:AB349)/AVERAGE(終値!I349:AB349),""))</f>
      </c>
      <c r="G349" s="684">
        <f>IF(終値!A349="","",IFERROR(4*STDEVP(終値!J349:AC349)/AVERAGE(終値!J349:AC349),""))</f>
      </c>
      <c r="H349" s="684">
        <f>IF(終値!A349="","",IFERROR(4*STDEVP(終値!K349:AD349)/AVERAGE(終値!K349:AD349),""))</f>
      </c>
      <c r="I349" s="684">
        <f>IF(終値!A349="","",IFERROR(4*STDEVP(終値!L349:AE349)/AVERAGE(終値!L349:AE349),""))</f>
      </c>
      <c r="J349" s="684">
        <f>IF(終値!A349="","",IFERROR(4*STDEVP(終値!M349:AF349)/AVERAGE(終値!M349:AF349),""))</f>
      </c>
      <c r="K349" s="684">
        <f>IF(終値!A349="","",IFERROR(4*STDEVP(終値!N349:AG349)/AVERAGE(終値!N349:AG349),""))</f>
      </c>
      <c r="L349" s="684">
        <f>IF(終値!A349="","",IFERROR(4*STDEVP(終値!O349:AH349)/AVERAGE(終値!O349:AH349),""))</f>
      </c>
      <c r="M349" s="684">
        <f>IF(終値!A349="","",IFERROR(4*STDEVP(終値!P349:AI349)/AVERAGE(終値!P349:AI349),""))</f>
      </c>
      <c r="N349" s="684">
        <f>IF(終値!A349="","",IFERROR(4*STDEVP(終値!Q349:AJ349)/AVERAGE(終値!Q349:AJ349),""))</f>
      </c>
      <c r="O349" s="684">
        <f>IF(終値!A349="","",IFERROR(4*STDEVP(終値!R349:AK349)/AVERAGE(終値!R349:AK349),""))</f>
      </c>
      <c r="P349" s="684">
        <f>IF(終値!A349="","",IFERROR(4*STDEVP(終値!S349:AL349)/AVERAGE(終値!S349:AL349),""))</f>
      </c>
      <c r="Q349" s="684">
        <f>IF(終値!A349="","",IFERROR(4*STDEVP(終値!T349:AM349)/AVERAGE(終値!T349:AM349),""))</f>
      </c>
      <c r="R349" s="684">
        <f>IF(終値!A349="","",IFERROR(4*STDEVP(終値!U349:AN349)/AVERAGE(終値!U349:AN349),""))</f>
      </c>
      <c r="S349" s="684">
        <f>IF(終値!A349="","",IFERROR(4*STDEVP(終値!V349:AO349)/AVERAGE(終値!V349:AO349),""))</f>
      </c>
      <c r="T349" s="684">
        <f>IF(終値!A349="","",IFERROR(4*STDEVP(終値!W349:AP349)/AVERAGE(終値!W349:AP349),""))</f>
      </c>
      <c r="U349" s="684">
        <f>IF(終値!A349="","",IFERROR(4*STDEVP(終値!X349:AQ349)/AVERAGE(終値!X349:AQ349),""))</f>
      </c>
      <c r="V349" s="684">
        <f>IF(終値!A349="","",IFERROR(4*STDEVP(終値!Y349:AR349)/AVERAGE(終値!Y349:AR349),""))</f>
      </c>
      <c r="W349" s="684">
        <f>IF(終値!A349="","",IFERROR(4*STDEVP(終値!Z349:AS349)/AVERAGE(終値!Z349:AS349),""))</f>
      </c>
      <c r="X349" s="684">
        <f>IF(終値!A349="","",IFERROR(4*STDEVP(終値!AA349:AT349)/AVERAGE(終値!AA349:AT349),""))</f>
      </c>
      <c r="Y349" s="684">
        <f>IF(終値!A349="","",IFERROR(4*STDEVP(終値!AB349:AU349)/AVERAGE(終値!AB349:AU349),""))</f>
      </c>
      <c r="Z349" s="684">
        <f>IF(終値!A349="","",IFERROR(4*STDEVP(終値!AC349:AV349)/AVERAGE(終値!AC349:AV349),""))</f>
      </c>
      <c r="AA349" s="684">
        <f>IF(終値!A349="","",IFERROR(4*STDEVP(終値!AD349:AW349)/AVERAGE(終値!AD349:AW349),""))</f>
      </c>
      <c r="AB349" s="684">
        <f>IF(終値!A349="","",IFERROR(4*STDEVP(終値!AE349:AX349)/AVERAGE(終値!AE349:AX349),""))</f>
      </c>
      <c r="AC349" s="684">
        <f>IF(終値!A349="","",IFERROR(4*STDEVP(終値!AF349:AY349)/AVERAGE(終値!AF349:AY349),""))</f>
      </c>
      <c r="AD349" s="684">
        <f>IF(終値!A349="","",IFERROR(4*STDEVP(終値!AG349:AZ349)/AVERAGE(終値!AG349:AZ349),""))</f>
      </c>
      <c r="AE349" s="684">
        <f>IF(終値!A349="","",IFERROR(4*STDEVP(終値!AH349:BA349)/AVERAGE(終値!AH349:BA349),""))</f>
      </c>
      <c r="AF349" s="684">
        <f>IF(終値!A349="","",IFERROR(4*STDEVP(終値!AI349:BB349)/AVERAGE(終値!AI349:BB349),""))</f>
      </c>
      <c r="AG349" s="684">
        <f>IF(終値!A349="","",IFERROR(4*STDEVP(終値!AJ349:BC349)/AVERAGE(終値!AJ349:BC349),""))</f>
      </c>
      <c r="AH349" s="684">
        <f>IF(終値!A349="","",IFERROR(4*STDEVP(終値!AK349:BD349)/AVERAGE(終値!AK349:BD349),""))</f>
      </c>
      <c r="AI349" s="684">
        <f>IF(終値!A349="","",IFERROR(4*STDEVP(終値!AL349:BE349)/AVERAGE(終値!AL349:BE349),""))</f>
      </c>
      <c r="AJ349" s="684">
        <f>IF(終値!A349="","",IFERROR(4*STDEVP(終値!AM349:BF349)/AVERAGE(終値!AM349:BF349),""))</f>
      </c>
      <c r="AK349" s="684">
        <f>IF(終値!A349="","",IFERROR(4*STDEVP(終値!AN349:BG349)/AVERAGE(終値!AN349:BG349),""))</f>
      </c>
      <c r="AL349" s="684">
        <f>IF(終値!A349="","",IFERROR(4*STDEVP(終値!AO349:BH349)/AVERAGE(終値!AO349:BH349),""))</f>
      </c>
      <c r="AM349" s="684">
        <f>IF(終値!A349="","",IFERROR(4*STDEVP(終値!AP349:BI349)/AVERAGE(終値!AP349:BI349),""))</f>
      </c>
      <c r="AN349" s="684">
        <f>IF(終値!A349="","",IFERROR(4*STDEVP(終値!AQ349:BJ349)/AVERAGE(終値!AQ349:BJ349),""))</f>
      </c>
      <c r="AO349" s="684">
        <f>IF(終値!A349="","",IFERROR(4*STDEVP(終値!AR349:BK349)/AVERAGE(終値!AR349:BK349),""))</f>
      </c>
      <c r="AP349" s="684">
        <f>IF(終値!A349="","",IFERROR(4*STDEVP(終値!AS349:BL349)/AVERAGE(終値!AS349:BL349),""))</f>
      </c>
    </row>
    <row r="350">
      <c r="A350" s="681">
        <f>IF(終値!A350="","",終値!A350)</f>
      </c>
      <c r="B350" s="684">
        <f>IF(終値!A350="","",IFERROR(4*STDEVP(終値!E350:X350)/AVERAGE(終値!E350:X350),""))</f>
      </c>
      <c r="C350" s="684">
        <f>IF(終値!A350="","",IFERROR(4*STDEVP(終値!F350:Y350)/AVERAGE(終値!F350:Y350),""))</f>
      </c>
      <c r="D350" s="684">
        <f>IF(終値!A350="","",IFERROR(4*STDEVP(終値!G350:Z350)/AVERAGE(終値!G350:Z350),""))</f>
      </c>
      <c r="E350" s="684">
        <f>IF(終値!A350="","",IFERROR(4*STDEVP(終値!H350:AA350)/AVERAGE(終値!H350:AA350),""))</f>
      </c>
      <c r="F350" s="684">
        <f>IF(終値!A350="","",IFERROR(4*STDEVP(終値!I350:AB350)/AVERAGE(終値!I350:AB350),""))</f>
      </c>
      <c r="G350" s="684">
        <f>IF(終値!A350="","",IFERROR(4*STDEVP(終値!J350:AC350)/AVERAGE(終値!J350:AC350),""))</f>
      </c>
      <c r="H350" s="684">
        <f>IF(終値!A350="","",IFERROR(4*STDEVP(終値!K350:AD350)/AVERAGE(終値!K350:AD350),""))</f>
      </c>
      <c r="I350" s="684">
        <f>IF(終値!A350="","",IFERROR(4*STDEVP(終値!L350:AE350)/AVERAGE(終値!L350:AE350),""))</f>
      </c>
      <c r="J350" s="684">
        <f>IF(終値!A350="","",IFERROR(4*STDEVP(終値!M350:AF350)/AVERAGE(終値!M350:AF350),""))</f>
      </c>
      <c r="K350" s="684">
        <f>IF(終値!A350="","",IFERROR(4*STDEVP(終値!N350:AG350)/AVERAGE(終値!N350:AG350),""))</f>
      </c>
      <c r="L350" s="684">
        <f>IF(終値!A350="","",IFERROR(4*STDEVP(終値!O350:AH350)/AVERAGE(終値!O350:AH350),""))</f>
      </c>
      <c r="M350" s="684">
        <f>IF(終値!A350="","",IFERROR(4*STDEVP(終値!P350:AI350)/AVERAGE(終値!P350:AI350),""))</f>
      </c>
      <c r="N350" s="684">
        <f>IF(終値!A350="","",IFERROR(4*STDEVP(終値!Q350:AJ350)/AVERAGE(終値!Q350:AJ350),""))</f>
      </c>
      <c r="O350" s="684">
        <f>IF(終値!A350="","",IFERROR(4*STDEVP(終値!R350:AK350)/AVERAGE(終値!R350:AK350),""))</f>
      </c>
      <c r="P350" s="684">
        <f>IF(終値!A350="","",IFERROR(4*STDEVP(終値!S350:AL350)/AVERAGE(終値!S350:AL350),""))</f>
      </c>
      <c r="Q350" s="684">
        <f>IF(終値!A350="","",IFERROR(4*STDEVP(終値!T350:AM350)/AVERAGE(終値!T350:AM350),""))</f>
      </c>
      <c r="R350" s="684">
        <f>IF(終値!A350="","",IFERROR(4*STDEVP(終値!U350:AN350)/AVERAGE(終値!U350:AN350),""))</f>
      </c>
      <c r="S350" s="684">
        <f>IF(終値!A350="","",IFERROR(4*STDEVP(終値!V350:AO350)/AVERAGE(終値!V350:AO350),""))</f>
      </c>
      <c r="T350" s="684">
        <f>IF(終値!A350="","",IFERROR(4*STDEVP(終値!W350:AP350)/AVERAGE(終値!W350:AP350),""))</f>
      </c>
      <c r="U350" s="684">
        <f>IF(終値!A350="","",IFERROR(4*STDEVP(終値!X350:AQ350)/AVERAGE(終値!X350:AQ350),""))</f>
      </c>
      <c r="V350" s="684">
        <f>IF(終値!A350="","",IFERROR(4*STDEVP(終値!Y350:AR350)/AVERAGE(終値!Y350:AR350),""))</f>
      </c>
      <c r="W350" s="684">
        <f>IF(終値!A350="","",IFERROR(4*STDEVP(終値!Z350:AS350)/AVERAGE(終値!Z350:AS350),""))</f>
      </c>
      <c r="X350" s="684">
        <f>IF(終値!A350="","",IFERROR(4*STDEVP(終値!AA350:AT350)/AVERAGE(終値!AA350:AT350),""))</f>
      </c>
      <c r="Y350" s="684">
        <f>IF(終値!A350="","",IFERROR(4*STDEVP(終値!AB350:AU350)/AVERAGE(終値!AB350:AU350),""))</f>
      </c>
      <c r="Z350" s="684">
        <f>IF(終値!A350="","",IFERROR(4*STDEVP(終値!AC350:AV350)/AVERAGE(終値!AC350:AV350),""))</f>
      </c>
      <c r="AA350" s="684">
        <f>IF(終値!A350="","",IFERROR(4*STDEVP(終値!AD350:AW350)/AVERAGE(終値!AD350:AW350),""))</f>
      </c>
      <c r="AB350" s="684">
        <f>IF(終値!A350="","",IFERROR(4*STDEVP(終値!AE350:AX350)/AVERAGE(終値!AE350:AX350),""))</f>
      </c>
      <c r="AC350" s="684">
        <f>IF(終値!A350="","",IFERROR(4*STDEVP(終値!AF350:AY350)/AVERAGE(終値!AF350:AY350),""))</f>
      </c>
      <c r="AD350" s="684">
        <f>IF(終値!A350="","",IFERROR(4*STDEVP(終値!AG350:AZ350)/AVERAGE(終値!AG350:AZ350),""))</f>
      </c>
      <c r="AE350" s="684">
        <f>IF(終値!A350="","",IFERROR(4*STDEVP(終値!AH350:BA350)/AVERAGE(終値!AH350:BA350),""))</f>
      </c>
      <c r="AF350" s="684">
        <f>IF(終値!A350="","",IFERROR(4*STDEVP(終値!AI350:BB350)/AVERAGE(終値!AI350:BB350),""))</f>
      </c>
      <c r="AG350" s="684">
        <f>IF(終値!A350="","",IFERROR(4*STDEVP(終値!AJ350:BC350)/AVERAGE(終値!AJ350:BC350),""))</f>
      </c>
      <c r="AH350" s="684">
        <f>IF(終値!A350="","",IFERROR(4*STDEVP(終値!AK350:BD350)/AVERAGE(終値!AK350:BD350),""))</f>
      </c>
      <c r="AI350" s="684">
        <f>IF(終値!A350="","",IFERROR(4*STDEVP(終値!AL350:BE350)/AVERAGE(終値!AL350:BE350),""))</f>
      </c>
      <c r="AJ350" s="684">
        <f>IF(終値!A350="","",IFERROR(4*STDEVP(終値!AM350:BF350)/AVERAGE(終値!AM350:BF350),""))</f>
      </c>
      <c r="AK350" s="684">
        <f>IF(終値!A350="","",IFERROR(4*STDEVP(終値!AN350:BG350)/AVERAGE(終値!AN350:BG350),""))</f>
      </c>
      <c r="AL350" s="684">
        <f>IF(終値!A350="","",IFERROR(4*STDEVP(終値!AO350:BH350)/AVERAGE(終値!AO350:BH350),""))</f>
      </c>
      <c r="AM350" s="684">
        <f>IF(終値!A350="","",IFERROR(4*STDEVP(終値!AP350:BI350)/AVERAGE(終値!AP350:BI350),""))</f>
      </c>
      <c r="AN350" s="684">
        <f>IF(終値!A350="","",IFERROR(4*STDEVP(終値!AQ350:BJ350)/AVERAGE(終値!AQ350:BJ350),""))</f>
      </c>
      <c r="AO350" s="684">
        <f>IF(終値!A350="","",IFERROR(4*STDEVP(終値!AR350:BK350)/AVERAGE(終値!AR350:BK350),""))</f>
      </c>
      <c r="AP350" s="684">
        <f>IF(終値!A350="","",IFERROR(4*STDEVP(終値!AS350:BL350)/AVERAGE(終値!AS350:BL350),""))</f>
      </c>
    </row>
    <row r="351">
      <c r="A351" s="681">
        <f>IF(終値!A351="","",終値!A351)</f>
      </c>
      <c r="B351" s="684">
        <f>IF(終値!A351="","",IFERROR(4*STDEVP(終値!E351:X351)/AVERAGE(終値!E351:X351),""))</f>
      </c>
      <c r="C351" s="684">
        <f>IF(終値!A351="","",IFERROR(4*STDEVP(終値!F351:Y351)/AVERAGE(終値!F351:Y351),""))</f>
      </c>
      <c r="D351" s="684">
        <f>IF(終値!A351="","",IFERROR(4*STDEVP(終値!G351:Z351)/AVERAGE(終値!G351:Z351),""))</f>
      </c>
      <c r="E351" s="684">
        <f>IF(終値!A351="","",IFERROR(4*STDEVP(終値!H351:AA351)/AVERAGE(終値!H351:AA351),""))</f>
      </c>
      <c r="F351" s="684">
        <f>IF(終値!A351="","",IFERROR(4*STDEVP(終値!I351:AB351)/AVERAGE(終値!I351:AB351),""))</f>
      </c>
      <c r="G351" s="684">
        <f>IF(終値!A351="","",IFERROR(4*STDEVP(終値!J351:AC351)/AVERAGE(終値!J351:AC351),""))</f>
      </c>
      <c r="H351" s="684">
        <f>IF(終値!A351="","",IFERROR(4*STDEVP(終値!K351:AD351)/AVERAGE(終値!K351:AD351),""))</f>
      </c>
      <c r="I351" s="684">
        <f>IF(終値!A351="","",IFERROR(4*STDEVP(終値!L351:AE351)/AVERAGE(終値!L351:AE351),""))</f>
      </c>
      <c r="J351" s="684">
        <f>IF(終値!A351="","",IFERROR(4*STDEVP(終値!M351:AF351)/AVERAGE(終値!M351:AF351),""))</f>
      </c>
      <c r="K351" s="684">
        <f>IF(終値!A351="","",IFERROR(4*STDEVP(終値!N351:AG351)/AVERAGE(終値!N351:AG351),""))</f>
      </c>
      <c r="L351" s="684">
        <f>IF(終値!A351="","",IFERROR(4*STDEVP(終値!O351:AH351)/AVERAGE(終値!O351:AH351),""))</f>
      </c>
      <c r="M351" s="684">
        <f>IF(終値!A351="","",IFERROR(4*STDEVP(終値!P351:AI351)/AVERAGE(終値!P351:AI351),""))</f>
      </c>
      <c r="N351" s="684">
        <f>IF(終値!A351="","",IFERROR(4*STDEVP(終値!Q351:AJ351)/AVERAGE(終値!Q351:AJ351),""))</f>
      </c>
      <c r="O351" s="684">
        <f>IF(終値!A351="","",IFERROR(4*STDEVP(終値!R351:AK351)/AVERAGE(終値!R351:AK351),""))</f>
      </c>
      <c r="P351" s="684">
        <f>IF(終値!A351="","",IFERROR(4*STDEVP(終値!S351:AL351)/AVERAGE(終値!S351:AL351),""))</f>
      </c>
      <c r="Q351" s="684">
        <f>IF(終値!A351="","",IFERROR(4*STDEVP(終値!T351:AM351)/AVERAGE(終値!T351:AM351),""))</f>
      </c>
      <c r="R351" s="684">
        <f>IF(終値!A351="","",IFERROR(4*STDEVP(終値!U351:AN351)/AVERAGE(終値!U351:AN351),""))</f>
      </c>
      <c r="S351" s="684">
        <f>IF(終値!A351="","",IFERROR(4*STDEVP(終値!V351:AO351)/AVERAGE(終値!V351:AO351),""))</f>
      </c>
      <c r="T351" s="684">
        <f>IF(終値!A351="","",IFERROR(4*STDEVP(終値!W351:AP351)/AVERAGE(終値!W351:AP351),""))</f>
      </c>
      <c r="U351" s="684">
        <f>IF(終値!A351="","",IFERROR(4*STDEVP(終値!X351:AQ351)/AVERAGE(終値!X351:AQ351),""))</f>
      </c>
      <c r="V351" s="684">
        <f>IF(終値!A351="","",IFERROR(4*STDEVP(終値!Y351:AR351)/AVERAGE(終値!Y351:AR351),""))</f>
      </c>
      <c r="W351" s="684">
        <f>IF(終値!A351="","",IFERROR(4*STDEVP(終値!Z351:AS351)/AVERAGE(終値!Z351:AS351),""))</f>
      </c>
      <c r="X351" s="684">
        <f>IF(終値!A351="","",IFERROR(4*STDEVP(終値!AA351:AT351)/AVERAGE(終値!AA351:AT351),""))</f>
      </c>
      <c r="Y351" s="684">
        <f>IF(終値!A351="","",IFERROR(4*STDEVP(終値!AB351:AU351)/AVERAGE(終値!AB351:AU351),""))</f>
      </c>
      <c r="Z351" s="684">
        <f>IF(終値!A351="","",IFERROR(4*STDEVP(終値!AC351:AV351)/AVERAGE(終値!AC351:AV351),""))</f>
      </c>
      <c r="AA351" s="684">
        <f>IF(終値!A351="","",IFERROR(4*STDEVP(終値!AD351:AW351)/AVERAGE(終値!AD351:AW351),""))</f>
      </c>
      <c r="AB351" s="684">
        <f>IF(終値!A351="","",IFERROR(4*STDEVP(終値!AE351:AX351)/AVERAGE(終値!AE351:AX351),""))</f>
      </c>
      <c r="AC351" s="684">
        <f>IF(終値!A351="","",IFERROR(4*STDEVP(終値!AF351:AY351)/AVERAGE(終値!AF351:AY351),""))</f>
      </c>
      <c r="AD351" s="684">
        <f>IF(終値!A351="","",IFERROR(4*STDEVP(終値!AG351:AZ351)/AVERAGE(終値!AG351:AZ351),""))</f>
      </c>
      <c r="AE351" s="684">
        <f>IF(終値!A351="","",IFERROR(4*STDEVP(終値!AH351:BA351)/AVERAGE(終値!AH351:BA351),""))</f>
      </c>
      <c r="AF351" s="684">
        <f>IF(終値!A351="","",IFERROR(4*STDEVP(終値!AI351:BB351)/AVERAGE(終値!AI351:BB351),""))</f>
      </c>
      <c r="AG351" s="684">
        <f>IF(終値!A351="","",IFERROR(4*STDEVP(終値!AJ351:BC351)/AVERAGE(終値!AJ351:BC351),""))</f>
      </c>
      <c r="AH351" s="684">
        <f>IF(終値!A351="","",IFERROR(4*STDEVP(終値!AK351:BD351)/AVERAGE(終値!AK351:BD351),""))</f>
      </c>
      <c r="AI351" s="684">
        <f>IF(終値!A351="","",IFERROR(4*STDEVP(終値!AL351:BE351)/AVERAGE(終値!AL351:BE351),""))</f>
      </c>
      <c r="AJ351" s="684">
        <f>IF(終値!A351="","",IFERROR(4*STDEVP(終値!AM351:BF351)/AVERAGE(終値!AM351:BF351),""))</f>
      </c>
      <c r="AK351" s="684">
        <f>IF(終値!A351="","",IFERROR(4*STDEVP(終値!AN351:BG351)/AVERAGE(終値!AN351:BG351),""))</f>
      </c>
      <c r="AL351" s="684">
        <f>IF(終値!A351="","",IFERROR(4*STDEVP(終値!AO351:BH351)/AVERAGE(終値!AO351:BH351),""))</f>
      </c>
      <c r="AM351" s="684">
        <f>IF(終値!A351="","",IFERROR(4*STDEVP(終値!AP351:BI351)/AVERAGE(終値!AP351:BI351),""))</f>
      </c>
      <c r="AN351" s="684">
        <f>IF(終値!A351="","",IFERROR(4*STDEVP(終値!AQ351:BJ351)/AVERAGE(終値!AQ351:BJ351),""))</f>
      </c>
      <c r="AO351" s="684">
        <f>IF(終値!A351="","",IFERROR(4*STDEVP(終値!AR351:BK351)/AVERAGE(終値!AR351:BK351),""))</f>
      </c>
      <c r="AP351" s="684">
        <f>IF(終値!A351="","",IFERROR(4*STDEVP(終値!AS351:BL351)/AVERAGE(終値!AS351:BL351),""))</f>
      </c>
    </row>
    <row r="352">
      <c r="A352" s="681">
        <f>IF(終値!A352="","",終値!A352)</f>
      </c>
      <c r="B352" s="684">
        <f>IF(終値!A352="","",IFERROR(4*STDEVP(終値!E352:X352)/AVERAGE(終値!E352:X352),""))</f>
      </c>
      <c r="C352" s="684">
        <f>IF(終値!A352="","",IFERROR(4*STDEVP(終値!F352:Y352)/AVERAGE(終値!F352:Y352),""))</f>
      </c>
      <c r="D352" s="684">
        <f>IF(終値!A352="","",IFERROR(4*STDEVP(終値!G352:Z352)/AVERAGE(終値!G352:Z352),""))</f>
      </c>
      <c r="E352" s="684">
        <f>IF(終値!A352="","",IFERROR(4*STDEVP(終値!H352:AA352)/AVERAGE(終値!H352:AA352),""))</f>
      </c>
      <c r="F352" s="684">
        <f>IF(終値!A352="","",IFERROR(4*STDEVP(終値!I352:AB352)/AVERAGE(終値!I352:AB352),""))</f>
      </c>
      <c r="G352" s="684">
        <f>IF(終値!A352="","",IFERROR(4*STDEVP(終値!J352:AC352)/AVERAGE(終値!J352:AC352),""))</f>
      </c>
      <c r="H352" s="684">
        <f>IF(終値!A352="","",IFERROR(4*STDEVP(終値!K352:AD352)/AVERAGE(終値!K352:AD352),""))</f>
      </c>
      <c r="I352" s="684">
        <f>IF(終値!A352="","",IFERROR(4*STDEVP(終値!L352:AE352)/AVERAGE(終値!L352:AE352),""))</f>
      </c>
      <c r="J352" s="684">
        <f>IF(終値!A352="","",IFERROR(4*STDEVP(終値!M352:AF352)/AVERAGE(終値!M352:AF352),""))</f>
      </c>
      <c r="K352" s="684">
        <f>IF(終値!A352="","",IFERROR(4*STDEVP(終値!N352:AG352)/AVERAGE(終値!N352:AG352),""))</f>
      </c>
      <c r="L352" s="684">
        <f>IF(終値!A352="","",IFERROR(4*STDEVP(終値!O352:AH352)/AVERAGE(終値!O352:AH352),""))</f>
      </c>
      <c r="M352" s="684">
        <f>IF(終値!A352="","",IFERROR(4*STDEVP(終値!P352:AI352)/AVERAGE(終値!P352:AI352),""))</f>
      </c>
      <c r="N352" s="684">
        <f>IF(終値!A352="","",IFERROR(4*STDEVP(終値!Q352:AJ352)/AVERAGE(終値!Q352:AJ352),""))</f>
      </c>
      <c r="O352" s="684">
        <f>IF(終値!A352="","",IFERROR(4*STDEVP(終値!R352:AK352)/AVERAGE(終値!R352:AK352),""))</f>
      </c>
      <c r="P352" s="684">
        <f>IF(終値!A352="","",IFERROR(4*STDEVP(終値!S352:AL352)/AVERAGE(終値!S352:AL352),""))</f>
      </c>
      <c r="Q352" s="684">
        <f>IF(終値!A352="","",IFERROR(4*STDEVP(終値!T352:AM352)/AVERAGE(終値!T352:AM352),""))</f>
      </c>
      <c r="R352" s="684">
        <f>IF(終値!A352="","",IFERROR(4*STDEVP(終値!U352:AN352)/AVERAGE(終値!U352:AN352),""))</f>
      </c>
      <c r="S352" s="684">
        <f>IF(終値!A352="","",IFERROR(4*STDEVP(終値!V352:AO352)/AVERAGE(終値!V352:AO352),""))</f>
      </c>
      <c r="T352" s="684">
        <f>IF(終値!A352="","",IFERROR(4*STDEVP(終値!W352:AP352)/AVERAGE(終値!W352:AP352),""))</f>
      </c>
      <c r="U352" s="684">
        <f>IF(終値!A352="","",IFERROR(4*STDEVP(終値!X352:AQ352)/AVERAGE(終値!X352:AQ352),""))</f>
      </c>
      <c r="V352" s="684">
        <f>IF(終値!A352="","",IFERROR(4*STDEVP(終値!Y352:AR352)/AVERAGE(終値!Y352:AR352),""))</f>
      </c>
      <c r="W352" s="684">
        <f>IF(終値!A352="","",IFERROR(4*STDEVP(終値!Z352:AS352)/AVERAGE(終値!Z352:AS352),""))</f>
      </c>
      <c r="X352" s="684">
        <f>IF(終値!A352="","",IFERROR(4*STDEVP(終値!AA352:AT352)/AVERAGE(終値!AA352:AT352),""))</f>
      </c>
      <c r="Y352" s="684">
        <f>IF(終値!A352="","",IFERROR(4*STDEVP(終値!AB352:AU352)/AVERAGE(終値!AB352:AU352),""))</f>
      </c>
      <c r="Z352" s="684">
        <f>IF(終値!A352="","",IFERROR(4*STDEVP(終値!AC352:AV352)/AVERAGE(終値!AC352:AV352),""))</f>
      </c>
      <c r="AA352" s="684">
        <f>IF(終値!A352="","",IFERROR(4*STDEVP(終値!AD352:AW352)/AVERAGE(終値!AD352:AW352),""))</f>
      </c>
      <c r="AB352" s="684">
        <f>IF(終値!A352="","",IFERROR(4*STDEVP(終値!AE352:AX352)/AVERAGE(終値!AE352:AX352),""))</f>
      </c>
      <c r="AC352" s="684">
        <f>IF(終値!A352="","",IFERROR(4*STDEVP(終値!AF352:AY352)/AVERAGE(終値!AF352:AY352),""))</f>
      </c>
      <c r="AD352" s="684">
        <f>IF(終値!A352="","",IFERROR(4*STDEVP(終値!AG352:AZ352)/AVERAGE(終値!AG352:AZ352),""))</f>
      </c>
      <c r="AE352" s="684">
        <f>IF(終値!A352="","",IFERROR(4*STDEVP(終値!AH352:BA352)/AVERAGE(終値!AH352:BA352),""))</f>
      </c>
      <c r="AF352" s="684">
        <f>IF(終値!A352="","",IFERROR(4*STDEVP(終値!AI352:BB352)/AVERAGE(終値!AI352:BB352),""))</f>
      </c>
      <c r="AG352" s="684">
        <f>IF(終値!A352="","",IFERROR(4*STDEVP(終値!AJ352:BC352)/AVERAGE(終値!AJ352:BC352),""))</f>
      </c>
      <c r="AH352" s="684">
        <f>IF(終値!A352="","",IFERROR(4*STDEVP(終値!AK352:BD352)/AVERAGE(終値!AK352:BD352),""))</f>
      </c>
      <c r="AI352" s="684">
        <f>IF(終値!A352="","",IFERROR(4*STDEVP(終値!AL352:BE352)/AVERAGE(終値!AL352:BE352),""))</f>
      </c>
      <c r="AJ352" s="684">
        <f>IF(終値!A352="","",IFERROR(4*STDEVP(終値!AM352:BF352)/AVERAGE(終値!AM352:BF352),""))</f>
      </c>
      <c r="AK352" s="684">
        <f>IF(終値!A352="","",IFERROR(4*STDEVP(終値!AN352:BG352)/AVERAGE(終値!AN352:BG352),""))</f>
      </c>
      <c r="AL352" s="684">
        <f>IF(終値!A352="","",IFERROR(4*STDEVP(終値!AO352:BH352)/AVERAGE(終値!AO352:BH352),""))</f>
      </c>
      <c r="AM352" s="684">
        <f>IF(終値!A352="","",IFERROR(4*STDEVP(終値!AP352:BI352)/AVERAGE(終値!AP352:BI352),""))</f>
      </c>
      <c r="AN352" s="684">
        <f>IF(終値!A352="","",IFERROR(4*STDEVP(終値!AQ352:BJ352)/AVERAGE(終値!AQ352:BJ352),""))</f>
      </c>
      <c r="AO352" s="684">
        <f>IF(終値!A352="","",IFERROR(4*STDEVP(終値!AR352:BK352)/AVERAGE(終値!AR352:BK352),""))</f>
      </c>
      <c r="AP352" s="684">
        <f>IF(終値!A352="","",IFERROR(4*STDEVP(終値!AS352:BL352)/AVERAGE(終値!AS352:BL352),""))</f>
      </c>
    </row>
    <row r="353">
      <c r="A353" s="681">
        <f>IF(終値!A353="","",終値!A353)</f>
      </c>
      <c r="B353" s="684">
        <f>IF(終値!A353="","",IFERROR(4*STDEVP(終値!E353:X353)/AVERAGE(終値!E353:X353),""))</f>
      </c>
      <c r="C353" s="684">
        <f>IF(終値!A353="","",IFERROR(4*STDEVP(終値!F353:Y353)/AVERAGE(終値!F353:Y353),""))</f>
      </c>
      <c r="D353" s="684">
        <f>IF(終値!A353="","",IFERROR(4*STDEVP(終値!G353:Z353)/AVERAGE(終値!G353:Z353),""))</f>
      </c>
      <c r="E353" s="684">
        <f>IF(終値!A353="","",IFERROR(4*STDEVP(終値!H353:AA353)/AVERAGE(終値!H353:AA353),""))</f>
      </c>
      <c r="F353" s="684">
        <f>IF(終値!A353="","",IFERROR(4*STDEVP(終値!I353:AB353)/AVERAGE(終値!I353:AB353),""))</f>
      </c>
      <c r="G353" s="684">
        <f>IF(終値!A353="","",IFERROR(4*STDEVP(終値!J353:AC353)/AVERAGE(終値!J353:AC353),""))</f>
      </c>
      <c r="H353" s="684">
        <f>IF(終値!A353="","",IFERROR(4*STDEVP(終値!K353:AD353)/AVERAGE(終値!K353:AD353),""))</f>
      </c>
      <c r="I353" s="684">
        <f>IF(終値!A353="","",IFERROR(4*STDEVP(終値!L353:AE353)/AVERAGE(終値!L353:AE353),""))</f>
      </c>
      <c r="J353" s="684">
        <f>IF(終値!A353="","",IFERROR(4*STDEVP(終値!M353:AF353)/AVERAGE(終値!M353:AF353),""))</f>
      </c>
      <c r="K353" s="684">
        <f>IF(終値!A353="","",IFERROR(4*STDEVP(終値!N353:AG353)/AVERAGE(終値!N353:AG353),""))</f>
      </c>
      <c r="L353" s="684">
        <f>IF(終値!A353="","",IFERROR(4*STDEVP(終値!O353:AH353)/AVERAGE(終値!O353:AH353),""))</f>
      </c>
      <c r="M353" s="684">
        <f>IF(終値!A353="","",IFERROR(4*STDEVP(終値!P353:AI353)/AVERAGE(終値!P353:AI353),""))</f>
      </c>
      <c r="N353" s="684">
        <f>IF(終値!A353="","",IFERROR(4*STDEVP(終値!Q353:AJ353)/AVERAGE(終値!Q353:AJ353),""))</f>
      </c>
      <c r="O353" s="684">
        <f>IF(終値!A353="","",IFERROR(4*STDEVP(終値!R353:AK353)/AVERAGE(終値!R353:AK353),""))</f>
      </c>
      <c r="P353" s="684">
        <f>IF(終値!A353="","",IFERROR(4*STDEVP(終値!S353:AL353)/AVERAGE(終値!S353:AL353),""))</f>
      </c>
      <c r="Q353" s="684">
        <f>IF(終値!A353="","",IFERROR(4*STDEVP(終値!T353:AM353)/AVERAGE(終値!T353:AM353),""))</f>
      </c>
      <c r="R353" s="684">
        <f>IF(終値!A353="","",IFERROR(4*STDEVP(終値!U353:AN353)/AVERAGE(終値!U353:AN353),""))</f>
      </c>
      <c r="S353" s="684">
        <f>IF(終値!A353="","",IFERROR(4*STDEVP(終値!V353:AO353)/AVERAGE(終値!V353:AO353),""))</f>
      </c>
      <c r="T353" s="684">
        <f>IF(終値!A353="","",IFERROR(4*STDEVP(終値!W353:AP353)/AVERAGE(終値!W353:AP353),""))</f>
      </c>
      <c r="U353" s="684">
        <f>IF(終値!A353="","",IFERROR(4*STDEVP(終値!X353:AQ353)/AVERAGE(終値!X353:AQ353),""))</f>
      </c>
      <c r="V353" s="684">
        <f>IF(終値!A353="","",IFERROR(4*STDEVP(終値!Y353:AR353)/AVERAGE(終値!Y353:AR353),""))</f>
      </c>
      <c r="W353" s="684">
        <f>IF(終値!A353="","",IFERROR(4*STDEVP(終値!Z353:AS353)/AVERAGE(終値!Z353:AS353),""))</f>
      </c>
      <c r="X353" s="684">
        <f>IF(終値!A353="","",IFERROR(4*STDEVP(終値!AA353:AT353)/AVERAGE(終値!AA353:AT353),""))</f>
      </c>
      <c r="Y353" s="684">
        <f>IF(終値!A353="","",IFERROR(4*STDEVP(終値!AB353:AU353)/AVERAGE(終値!AB353:AU353),""))</f>
      </c>
      <c r="Z353" s="684">
        <f>IF(終値!A353="","",IFERROR(4*STDEVP(終値!AC353:AV353)/AVERAGE(終値!AC353:AV353),""))</f>
      </c>
      <c r="AA353" s="684">
        <f>IF(終値!A353="","",IFERROR(4*STDEVP(終値!AD353:AW353)/AVERAGE(終値!AD353:AW353),""))</f>
      </c>
      <c r="AB353" s="684">
        <f>IF(終値!A353="","",IFERROR(4*STDEVP(終値!AE353:AX353)/AVERAGE(終値!AE353:AX353),""))</f>
      </c>
      <c r="AC353" s="684">
        <f>IF(終値!A353="","",IFERROR(4*STDEVP(終値!AF353:AY353)/AVERAGE(終値!AF353:AY353),""))</f>
      </c>
      <c r="AD353" s="684">
        <f>IF(終値!A353="","",IFERROR(4*STDEVP(終値!AG353:AZ353)/AVERAGE(終値!AG353:AZ353),""))</f>
      </c>
      <c r="AE353" s="684">
        <f>IF(終値!A353="","",IFERROR(4*STDEVP(終値!AH353:BA353)/AVERAGE(終値!AH353:BA353),""))</f>
      </c>
      <c r="AF353" s="684">
        <f>IF(終値!A353="","",IFERROR(4*STDEVP(終値!AI353:BB353)/AVERAGE(終値!AI353:BB353),""))</f>
      </c>
      <c r="AG353" s="684">
        <f>IF(終値!A353="","",IFERROR(4*STDEVP(終値!AJ353:BC353)/AVERAGE(終値!AJ353:BC353),""))</f>
      </c>
      <c r="AH353" s="684">
        <f>IF(終値!A353="","",IFERROR(4*STDEVP(終値!AK353:BD353)/AVERAGE(終値!AK353:BD353),""))</f>
      </c>
      <c r="AI353" s="684">
        <f>IF(終値!A353="","",IFERROR(4*STDEVP(終値!AL353:BE353)/AVERAGE(終値!AL353:BE353),""))</f>
      </c>
      <c r="AJ353" s="684">
        <f>IF(終値!A353="","",IFERROR(4*STDEVP(終値!AM353:BF353)/AVERAGE(終値!AM353:BF353),""))</f>
      </c>
      <c r="AK353" s="684">
        <f>IF(終値!A353="","",IFERROR(4*STDEVP(終値!AN353:BG353)/AVERAGE(終値!AN353:BG353),""))</f>
      </c>
      <c r="AL353" s="684">
        <f>IF(終値!A353="","",IFERROR(4*STDEVP(終値!AO353:BH353)/AVERAGE(終値!AO353:BH353),""))</f>
      </c>
      <c r="AM353" s="684">
        <f>IF(終値!A353="","",IFERROR(4*STDEVP(終値!AP353:BI353)/AVERAGE(終値!AP353:BI353),""))</f>
      </c>
      <c r="AN353" s="684">
        <f>IF(終値!A353="","",IFERROR(4*STDEVP(終値!AQ353:BJ353)/AVERAGE(終値!AQ353:BJ353),""))</f>
      </c>
      <c r="AO353" s="684">
        <f>IF(終値!A353="","",IFERROR(4*STDEVP(終値!AR353:BK353)/AVERAGE(終値!AR353:BK353),""))</f>
      </c>
      <c r="AP353" s="684">
        <f>IF(終値!A353="","",IFERROR(4*STDEVP(終値!AS353:BL353)/AVERAGE(終値!AS353:BL353),""))</f>
      </c>
    </row>
    <row r="354">
      <c r="A354" s="681">
        <f>IF(終値!A354="","",終値!A354)</f>
      </c>
      <c r="B354" s="684">
        <f>IF(終値!A354="","",IFERROR(4*STDEVP(終値!E354:X354)/AVERAGE(終値!E354:X354),""))</f>
      </c>
      <c r="C354" s="684">
        <f>IF(終値!A354="","",IFERROR(4*STDEVP(終値!F354:Y354)/AVERAGE(終値!F354:Y354),""))</f>
      </c>
      <c r="D354" s="684">
        <f>IF(終値!A354="","",IFERROR(4*STDEVP(終値!G354:Z354)/AVERAGE(終値!G354:Z354),""))</f>
      </c>
      <c r="E354" s="684">
        <f>IF(終値!A354="","",IFERROR(4*STDEVP(終値!H354:AA354)/AVERAGE(終値!H354:AA354),""))</f>
      </c>
      <c r="F354" s="684">
        <f>IF(終値!A354="","",IFERROR(4*STDEVP(終値!I354:AB354)/AVERAGE(終値!I354:AB354),""))</f>
      </c>
      <c r="G354" s="684">
        <f>IF(終値!A354="","",IFERROR(4*STDEVP(終値!J354:AC354)/AVERAGE(終値!J354:AC354),""))</f>
      </c>
      <c r="H354" s="684">
        <f>IF(終値!A354="","",IFERROR(4*STDEVP(終値!K354:AD354)/AVERAGE(終値!K354:AD354),""))</f>
      </c>
      <c r="I354" s="684">
        <f>IF(終値!A354="","",IFERROR(4*STDEVP(終値!L354:AE354)/AVERAGE(終値!L354:AE354),""))</f>
      </c>
      <c r="J354" s="684">
        <f>IF(終値!A354="","",IFERROR(4*STDEVP(終値!M354:AF354)/AVERAGE(終値!M354:AF354),""))</f>
      </c>
      <c r="K354" s="684">
        <f>IF(終値!A354="","",IFERROR(4*STDEVP(終値!N354:AG354)/AVERAGE(終値!N354:AG354),""))</f>
      </c>
      <c r="L354" s="684">
        <f>IF(終値!A354="","",IFERROR(4*STDEVP(終値!O354:AH354)/AVERAGE(終値!O354:AH354),""))</f>
      </c>
      <c r="M354" s="684">
        <f>IF(終値!A354="","",IFERROR(4*STDEVP(終値!P354:AI354)/AVERAGE(終値!P354:AI354),""))</f>
      </c>
      <c r="N354" s="684">
        <f>IF(終値!A354="","",IFERROR(4*STDEVP(終値!Q354:AJ354)/AVERAGE(終値!Q354:AJ354),""))</f>
      </c>
      <c r="O354" s="684">
        <f>IF(終値!A354="","",IFERROR(4*STDEVP(終値!R354:AK354)/AVERAGE(終値!R354:AK354),""))</f>
      </c>
      <c r="P354" s="684">
        <f>IF(終値!A354="","",IFERROR(4*STDEVP(終値!S354:AL354)/AVERAGE(終値!S354:AL354),""))</f>
      </c>
      <c r="Q354" s="684">
        <f>IF(終値!A354="","",IFERROR(4*STDEVP(終値!T354:AM354)/AVERAGE(終値!T354:AM354),""))</f>
      </c>
      <c r="R354" s="684">
        <f>IF(終値!A354="","",IFERROR(4*STDEVP(終値!U354:AN354)/AVERAGE(終値!U354:AN354),""))</f>
      </c>
      <c r="S354" s="684">
        <f>IF(終値!A354="","",IFERROR(4*STDEVP(終値!V354:AO354)/AVERAGE(終値!V354:AO354),""))</f>
      </c>
      <c r="T354" s="684">
        <f>IF(終値!A354="","",IFERROR(4*STDEVP(終値!W354:AP354)/AVERAGE(終値!W354:AP354),""))</f>
      </c>
      <c r="U354" s="684">
        <f>IF(終値!A354="","",IFERROR(4*STDEVP(終値!X354:AQ354)/AVERAGE(終値!X354:AQ354),""))</f>
      </c>
      <c r="V354" s="684">
        <f>IF(終値!A354="","",IFERROR(4*STDEVP(終値!Y354:AR354)/AVERAGE(終値!Y354:AR354),""))</f>
      </c>
      <c r="W354" s="684">
        <f>IF(終値!A354="","",IFERROR(4*STDEVP(終値!Z354:AS354)/AVERAGE(終値!Z354:AS354),""))</f>
      </c>
      <c r="X354" s="684">
        <f>IF(終値!A354="","",IFERROR(4*STDEVP(終値!AA354:AT354)/AVERAGE(終値!AA354:AT354),""))</f>
      </c>
      <c r="Y354" s="684">
        <f>IF(終値!A354="","",IFERROR(4*STDEVP(終値!AB354:AU354)/AVERAGE(終値!AB354:AU354),""))</f>
      </c>
      <c r="Z354" s="684">
        <f>IF(終値!A354="","",IFERROR(4*STDEVP(終値!AC354:AV354)/AVERAGE(終値!AC354:AV354),""))</f>
      </c>
      <c r="AA354" s="684">
        <f>IF(終値!A354="","",IFERROR(4*STDEVP(終値!AD354:AW354)/AVERAGE(終値!AD354:AW354),""))</f>
      </c>
      <c r="AB354" s="684">
        <f>IF(終値!A354="","",IFERROR(4*STDEVP(終値!AE354:AX354)/AVERAGE(終値!AE354:AX354),""))</f>
      </c>
      <c r="AC354" s="684">
        <f>IF(終値!A354="","",IFERROR(4*STDEVP(終値!AF354:AY354)/AVERAGE(終値!AF354:AY354),""))</f>
      </c>
      <c r="AD354" s="684">
        <f>IF(終値!A354="","",IFERROR(4*STDEVP(終値!AG354:AZ354)/AVERAGE(終値!AG354:AZ354),""))</f>
      </c>
      <c r="AE354" s="684">
        <f>IF(終値!A354="","",IFERROR(4*STDEVP(終値!AH354:BA354)/AVERAGE(終値!AH354:BA354),""))</f>
      </c>
      <c r="AF354" s="684">
        <f>IF(終値!A354="","",IFERROR(4*STDEVP(終値!AI354:BB354)/AVERAGE(終値!AI354:BB354),""))</f>
      </c>
      <c r="AG354" s="684">
        <f>IF(終値!A354="","",IFERROR(4*STDEVP(終値!AJ354:BC354)/AVERAGE(終値!AJ354:BC354),""))</f>
      </c>
      <c r="AH354" s="684">
        <f>IF(終値!A354="","",IFERROR(4*STDEVP(終値!AK354:BD354)/AVERAGE(終値!AK354:BD354),""))</f>
      </c>
      <c r="AI354" s="684">
        <f>IF(終値!A354="","",IFERROR(4*STDEVP(終値!AL354:BE354)/AVERAGE(終値!AL354:BE354),""))</f>
      </c>
      <c r="AJ354" s="684">
        <f>IF(終値!A354="","",IFERROR(4*STDEVP(終値!AM354:BF354)/AVERAGE(終値!AM354:BF354),""))</f>
      </c>
      <c r="AK354" s="684">
        <f>IF(終値!A354="","",IFERROR(4*STDEVP(終値!AN354:BG354)/AVERAGE(終値!AN354:BG354),""))</f>
      </c>
      <c r="AL354" s="684">
        <f>IF(終値!A354="","",IFERROR(4*STDEVP(終値!AO354:BH354)/AVERAGE(終値!AO354:BH354),""))</f>
      </c>
      <c r="AM354" s="684">
        <f>IF(終値!A354="","",IFERROR(4*STDEVP(終値!AP354:BI354)/AVERAGE(終値!AP354:BI354),""))</f>
      </c>
      <c r="AN354" s="684">
        <f>IF(終値!A354="","",IFERROR(4*STDEVP(終値!AQ354:BJ354)/AVERAGE(終値!AQ354:BJ354),""))</f>
      </c>
      <c r="AO354" s="684">
        <f>IF(終値!A354="","",IFERROR(4*STDEVP(終値!AR354:BK354)/AVERAGE(終値!AR354:BK354),""))</f>
      </c>
      <c r="AP354" s="684">
        <f>IF(終値!A354="","",IFERROR(4*STDEVP(終値!AS354:BL354)/AVERAGE(終値!AS354:BL354),""))</f>
      </c>
    </row>
    <row r="355">
      <c r="A355" s="681">
        <f>IF(終値!A355="","",終値!A355)</f>
      </c>
      <c r="B355" s="684">
        <f>IF(終値!A355="","",IFERROR(4*STDEVP(終値!E355:X355)/AVERAGE(終値!E355:X355),""))</f>
      </c>
      <c r="C355" s="684">
        <f>IF(終値!A355="","",IFERROR(4*STDEVP(終値!F355:Y355)/AVERAGE(終値!F355:Y355),""))</f>
      </c>
      <c r="D355" s="684">
        <f>IF(終値!A355="","",IFERROR(4*STDEVP(終値!G355:Z355)/AVERAGE(終値!G355:Z355),""))</f>
      </c>
      <c r="E355" s="684">
        <f>IF(終値!A355="","",IFERROR(4*STDEVP(終値!H355:AA355)/AVERAGE(終値!H355:AA355),""))</f>
      </c>
      <c r="F355" s="684">
        <f>IF(終値!A355="","",IFERROR(4*STDEVP(終値!I355:AB355)/AVERAGE(終値!I355:AB355),""))</f>
      </c>
      <c r="G355" s="684">
        <f>IF(終値!A355="","",IFERROR(4*STDEVP(終値!J355:AC355)/AVERAGE(終値!J355:AC355),""))</f>
      </c>
      <c r="H355" s="684">
        <f>IF(終値!A355="","",IFERROR(4*STDEVP(終値!K355:AD355)/AVERAGE(終値!K355:AD355),""))</f>
      </c>
      <c r="I355" s="684">
        <f>IF(終値!A355="","",IFERROR(4*STDEVP(終値!L355:AE355)/AVERAGE(終値!L355:AE355),""))</f>
      </c>
      <c r="J355" s="684">
        <f>IF(終値!A355="","",IFERROR(4*STDEVP(終値!M355:AF355)/AVERAGE(終値!M355:AF355),""))</f>
      </c>
      <c r="K355" s="684">
        <f>IF(終値!A355="","",IFERROR(4*STDEVP(終値!N355:AG355)/AVERAGE(終値!N355:AG355),""))</f>
      </c>
      <c r="L355" s="684">
        <f>IF(終値!A355="","",IFERROR(4*STDEVP(終値!O355:AH355)/AVERAGE(終値!O355:AH355),""))</f>
      </c>
      <c r="M355" s="684">
        <f>IF(終値!A355="","",IFERROR(4*STDEVP(終値!P355:AI355)/AVERAGE(終値!P355:AI355),""))</f>
      </c>
      <c r="N355" s="684">
        <f>IF(終値!A355="","",IFERROR(4*STDEVP(終値!Q355:AJ355)/AVERAGE(終値!Q355:AJ355),""))</f>
      </c>
      <c r="O355" s="684">
        <f>IF(終値!A355="","",IFERROR(4*STDEVP(終値!R355:AK355)/AVERAGE(終値!R355:AK355),""))</f>
      </c>
      <c r="P355" s="684">
        <f>IF(終値!A355="","",IFERROR(4*STDEVP(終値!S355:AL355)/AVERAGE(終値!S355:AL355),""))</f>
      </c>
      <c r="Q355" s="684">
        <f>IF(終値!A355="","",IFERROR(4*STDEVP(終値!T355:AM355)/AVERAGE(終値!T355:AM355),""))</f>
      </c>
      <c r="R355" s="684">
        <f>IF(終値!A355="","",IFERROR(4*STDEVP(終値!U355:AN355)/AVERAGE(終値!U355:AN355),""))</f>
      </c>
      <c r="S355" s="684">
        <f>IF(終値!A355="","",IFERROR(4*STDEVP(終値!V355:AO355)/AVERAGE(終値!V355:AO355),""))</f>
      </c>
      <c r="T355" s="684">
        <f>IF(終値!A355="","",IFERROR(4*STDEVP(終値!W355:AP355)/AVERAGE(終値!W355:AP355),""))</f>
      </c>
      <c r="U355" s="684">
        <f>IF(終値!A355="","",IFERROR(4*STDEVP(終値!X355:AQ355)/AVERAGE(終値!X355:AQ355),""))</f>
      </c>
      <c r="V355" s="684">
        <f>IF(終値!A355="","",IFERROR(4*STDEVP(終値!Y355:AR355)/AVERAGE(終値!Y355:AR355),""))</f>
      </c>
      <c r="W355" s="684">
        <f>IF(終値!A355="","",IFERROR(4*STDEVP(終値!Z355:AS355)/AVERAGE(終値!Z355:AS355),""))</f>
      </c>
      <c r="X355" s="684">
        <f>IF(終値!A355="","",IFERROR(4*STDEVP(終値!AA355:AT355)/AVERAGE(終値!AA355:AT355),""))</f>
      </c>
      <c r="Y355" s="684">
        <f>IF(終値!A355="","",IFERROR(4*STDEVP(終値!AB355:AU355)/AVERAGE(終値!AB355:AU355),""))</f>
      </c>
      <c r="Z355" s="684">
        <f>IF(終値!A355="","",IFERROR(4*STDEVP(終値!AC355:AV355)/AVERAGE(終値!AC355:AV355),""))</f>
      </c>
      <c r="AA355" s="684">
        <f>IF(終値!A355="","",IFERROR(4*STDEVP(終値!AD355:AW355)/AVERAGE(終値!AD355:AW355),""))</f>
      </c>
      <c r="AB355" s="684">
        <f>IF(終値!A355="","",IFERROR(4*STDEVP(終値!AE355:AX355)/AVERAGE(終値!AE355:AX355),""))</f>
      </c>
      <c r="AC355" s="684">
        <f>IF(終値!A355="","",IFERROR(4*STDEVP(終値!AF355:AY355)/AVERAGE(終値!AF355:AY355),""))</f>
      </c>
      <c r="AD355" s="684">
        <f>IF(終値!A355="","",IFERROR(4*STDEVP(終値!AG355:AZ355)/AVERAGE(終値!AG355:AZ355),""))</f>
      </c>
      <c r="AE355" s="684">
        <f>IF(終値!A355="","",IFERROR(4*STDEVP(終値!AH355:BA355)/AVERAGE(終値!AH355:BA355),""))</f>
      </c>
      <c r="AF355" s="684">
        <f>IF(終値!A355="","",IFERROR(4*STDEVP(終値!AI355:BB355)/AVERAGE(終値!AI355:BB355),""))</f>
      </c>
      <c r="AG355" s="684">
        <f>IF(終値!A355="","",IFERROR(4*STDEVP(終値!AJ355:BC355)/AVERAGE(終値!AJ355:BC355),""))</f>
      </c>
      <c r="AH355" s="684">
        <f>IF(終値!A355="","",IFERROR(4*STDEVP(終値!AK355:BD355)/AVERAGE(終値!AK355:BD355),""))</f>
      </c>
      <c r="AI355" s="684">
        <f>IF(終値!A355="","",IFERROR(4*STDEVP(終値!AL355:BE355)/AVERAGE(終値!AL355:BE355),""))</f>
      </c>
      <c r="AJ355" s="684">
        <f>IF(終値!A355="","",IFERROR(4*STDEVP(終値!AM355:BF355)/AVERAGE(終値!AM355:BF355),""))</f>
      </c>
      <c r="AK355" s="684">
        <f>IF(終値!A355="","",IFERROR(4*STDEVP(終値!AN355:BG355)/AVERAGE(終値!AN355:BG355),""))</f>
      </c>
      <c r="AL355" s="684">
        <f>IF(終値!A355="","",IFERROR(4*STDEVP(終値!AO355:BH355)/AVERAGE(終値!AO355:BH355),""))</f>
      </c>
      <c r="AM355" s="684">
        <f>IF(終値!A355="","",IFERROR(4*STDEVP(終値!AP355:BI355)/AVERAGE(終値!AP355:BI355),""))</f>
      </c>
      <c r="AN355" s="684">
        <f>IF(終値!A355="","",IFERROR(4*STDEVP(終値!AQ355:BJ355)/AVERAGE(終値!AQ355:BJ355),""))</f>
      </c>
      <c r="AO355" s="684">
        <f>IF(終値!A355="","",IFERROR(4*STDEVP(終値!AR355:BK355)/AVERAGE(終値!AR355:BK355),""))</f>
      </c>
      <c r="AP355" s="684">
        <f>IF(終値!A355="","",IFERROR(4*STDEVP(終値!AS355:BL355)/AVERAGE(終値!AS355:BL355),""))</f>
      </c>
    </row>
    <row r="356">
      <c r="A356" s="681">
        <f>IF(終値!A356="","",終値!A356)</f>
      </c>
      <c r="B356" s="684">
        <f>IF(終値!A356="","",IFERROR(4*STDEVP(終値!E356:X356)/AVERAGE(終値!E356:X356),""))</f>
      </c>
      <c r="C356" s="684">
        <f>IF(終値!A356="","",IFERROR(4*STDEVP(終値!F356:Y356)/AVERAGE(終値!F356:Y356),""))</f>
      </c>
      <c r="D356" s="684">
        <f>IF(終値!A356="","",IFERROR(4*STDEVP(終値!G356:Z356)/AVERAGE(終値!G356:Z356),""))</f>
      </c>
      <c r="E356" s="684">
        <f>IF(終値!A356="","",IFERROR(4*STDEVP(終値!H356:AA356)/AVERAGE(終値!H356:AA356),""))</f>
      </c>
      <c r="F356" s="684">
        <f>IF(終値!A356="","",IFERROR(4*STDEVP(終値!I356:AB356)/AVERAGE(終値!I356:AB356),""))</f>
      </c>
      <c r="G356" s="684">
        <f>IF(終値!A356="","",IFERROR(4*STDEVP(終値!J356:AC356)/AVERAGE(終値!J356:AC356),""))</f>
      </c>
      <c r="H356" s="684">
        <f>IF(終値!A356="","",IFERROR(4*STDEVP(終値!K356:AD356)/AVERAGE(終値!K356:AD356),""))</f>
      </c>
      <c r="I356" s="684">
        <f>IF(終値!A356="","",IFERROR(4*STDEVP(終値!L356:AE356)/AVERAGE(終値!L356:AE356),""))</f>
      </c>
      <c r="J356" s="684">
        <f>IF(終値!A356="","",IFERROR(4*STDEVP(終値!M356:AF356)/AVERAGE(終値!M356:AF356),""))</f>
      </c>
      <c r="K356" s="684">
        <f>IF(終値!A356="","",IFERROR(4*STDEVP(終値!N356:AG356)/AVERAGE(終値!N356:AG356),""))</f>
      </c>
      <c r="L356" s="684">
        <f>IF(終値!A356="","",IFERROR(4*STDEVP(終値!O356:AH356)/AVERAGE(終値!O356:AH356),""))</f>
      </c>
      <c r="M356" s="684">
        <f>IF(終値!A356="","",IFERROR(4*STDEVP(終値!P356:AI356)/AVERAGE(終値!P356:AI356),""))</f>
      </c>
      <c r="N356" s="684">
        <f>IF(終値!A356="","",IFERROR(4*STDEVP(終値!Q356:AJ356)/AVERAGE(終値!Q356:AJ356),""))</f>
      </c>
      <c r="O356" s="684">
        <f>IF(終値!A356="","",IFERROR(4*STDEVP(終値!R356:AK356)/AVERAGE(終値!R356:AK356),""))</f>
      </c>
      <c r="P356" s="684">
        <f>IF(終値!A356="","",IFERROR(4*STDEVP(終値!S356:AL356)/AVERAGE(終値!S356:AL356),""))</f>
      </c>
      <c r="Q356" s="684">
        <f>IF(終値!A356="","",IFERROR(4*STDEVP(終値!T356:AM356)/AVERAGE(終値!T356:AM356),""))</f>
      </c>
      <c r="R356" s="684">
        <f>IF(終値!A356="","",IFERROR(4*STDEVP(終値!U356:AN356)/AVERAGE(終値!U356:AN356),""))</f>
      </c>
      <c r="S356" s="684">
        <f>IF(終値!A356="","",IFERROR(4*STDEVP(終値!V356:AO356)/AVERAGE(終値!V356:AO356),""))</f>
      </c>
      <c r="T356" s="684">
        <f>IF(終値!A356="","",IFERROR(4*STDEVP(終値!W356:AP356)/AVERAGE(終値!W356:AP356),""))</f>
      </c>
      <c r="U356" s="684">
        <f>IF(終値!A356="","",IFERROR(4*STDEVP(終値!X356:AQ356)/AVERAGE(終値!X356:AQ356),""))</f>
      </c>
      <c r="V356" s="684">
        <f>IF(終値!A356="","",IFERROR(4*STDEVP(終値!Y356:AR356)/AVERAGE(終値!Y356:AR356),""))</f>
      </c>
      <c r="W356" s="684">
        <f>IF(終値!A356="","",IFERROR(4*STDEVP(終値!Z356:AS356)/AVERAGE(終値!Z356:AS356),""))</f>
      </c>
      <c r="X356" s="684">
        <f>IF(終値!A356="","",IFERROR(4*STDEVP(終値!AA356:AT356)/AVERAGE(終値!AA356:AT356),""))</f>
      </c>
      <c r="Y356" s="684">
        <f>IF(終値!A356="","",IFERROR(4*STDEVP(終値!AB356:AU356)/AVERAGE(終値!AB356:AU356),""))</f>
      </c>
      <c r="Z356" s="684">
        <f>IF(終値!A356="","",IFERROR(4*STDEVP(終値!AC356:AV356)/AVERAGE(終値!AC356:AV356),""))</f>
      </c>
      <c r="AA356" s="684">
        <f>IF(終値!A356="","",IFERROR(4*STDEVP(終値!AD356:AW356)/AVERAGE(終値!AD356:AW356),""))</f>
      </c>
      <c r="AB356" s="684">
        <f>IF(終値!A356="","",IFERROR(4*STDEVP(終値!AE356:AX356)/AVERAGE(終値!AE356:AX356),""))</f>
      </c>
      <c r="AC356" s="684">
        <f>IF(終値!A356="","",IFERROR(4*STDEVP(終値!AF356:AY356)/AVERAGE(終値!AF356:AY356),""))</f>
      </c>
      <c r="AD356" s="684">
        <f>IF(終値!A356="","",IFERROR(4*STDEVP(終値!AG356:AZ356)/AVERAGE(終値!AG356:AZ356),""))</f>
      </c>
      <c r="AE356" s="684">
        <f>IF(終値!A356="","",IFERROR(4*STDEVP(終値!AH356:BA356)/AVERAGE(終値!AH356:BA356),""))</f>
      </c>
      <c r="AF356" s="684">
        <f>IF(終値!A356="","",IFERROR(4*STDEVP(終値!AI356:BB356)/AVERAGE(終値!AI356:BB356),""))</f>
      </c>
      <c r="AG356" s="684">
        <f>IF(終値!A356="","",IFERROR(4*STDEVP(終値!AJ356:BC356)/AVERAGE(終値!AJ356:BC356),""))</f>
      </c>
      <c r="AH356" s="684">
        <f>IF(終値!A356="","",IFERROR(4*STDEVP(終値!AK356:BD356)/AVERAGE(終値!AK356:BD356),""))</f>
      </c>
      <c r="AI356" s="684">
        <f>IF(終値!A356="","",IFERROR(4*STDEVP(終値!AL356:BE356)/AVERAGE(終値!AL356:BE356),""))</f>
      </c>
      <c r="AJ356" s="684">
        <f>IF(終値!A356="","",IFERROR(4*STDEVP(終値!AM356:BF356)/AVERAGE(終値!AM356:BF356),""))</f>
      </c>
      <c r="AK356" s="684">
        <f>IF(終値!A356="","",IFERROR(4*STDEVP(終値!AN356:BG356)/AVERAGE(終値!AN356:BG356),""))</f>
      </c>
      <c r="AL356" s="684">
        <f>IF(終値!A356="","",IFERROR(4*STDEVP(終値!AO356:BH356)/AVERAGE(終値!AO356:BH356),""))</f>
      </c>
      <c r="AM356" s="684">
        <f>IF(終値!A356="","",IFERROR(4*STDEVP(終値!AP356:BI356)/AVERAGE(終値!AP356:BI356),""))</f>
      </c>
      <c r="AN356" s="684">
        <f>IF(終値!A356="","",IFERROR(4*STDEVP(終値!AQ356:BJ356)/AVERAGE(終値!AQ356:BJ356),""))</f>
      </c>
      <c r="AO356" s="684">
        <f>IF(終値!A356="","",IFERROR(4*STDEVP(終値!AR356:BK356)/AVERAGE(終値!AR356:BK356),""))</f>
      </c>
      <c r="AP356" s="684">
        <f>IF(終値!A356="","",IFERROR(4*STDEVP(終値!AS356:BL356)/AVERAGE(終値!AS356:BL356),""))</f>
      </c>
    </row>
    <row r="357">
      <c r="A357" s="681">
        <f>IF(終値!A357="","",終値!A357)</f>
      </c>
      <c r="B357" s="684">
        <f>IF(終値!A357="","",IFERROR(4*STDEVP(終値!E357:X357)/AVERAGE(終値!E357:X357),""))</f>
      </c>
      <c r="C357" s="684">
        <f>IF(終値!A357="","",IFERROR(4*STDEVP(終値!F357:Y357)/AVERAGE(終値!F357:Y357),""))</f>
      </c>
      <c r="D357" s="684">
        <f>IF(終値!A357="","",IFERROR(4*STDEVP(終値!G357:Z357)/AVERAGE(終値!G357:Z357),""))</f>
      </c>
      <c r="E357" s="684">
        <f>IF(終値!A357="","",IFERROR(4*STDEVP(終値!H357:AA357)/AVERAGE(終値!H357:AA357),""))</f>
      </c>
      <c r="F357" s="684">
        <f>IF(終値!A357="","",IFERROR(4*STDEVP(終値!I357:AB357)/AVERAGE(終値!I357:AB357),""))</f>
      </c>
      <c r="G357" s="684">
        <f>IF(終値!A357="","",IFERROR(4*STDEVP(終値!J357:AC357)/AVERAGE(終値!J357:AC357),""))</f>
      </c>
      <c r="H357" s="684">
        <f>IF(終値!A357="","",IFERROR(4*STDEVP(終値!K357:AD357)/AVERAGE(終値!K357:AD357),""))</f>
      </c>
      <c r="I357" s="684">
        <f>IF(終値!A357="","",IFERROR(4*STDEVP(終値!L357:AE357)/AVERAGE(終値!L357:AE357),""))</f>
      </c>
      <c r="J357" s="684">
        <f>IF(終値!A357="","",IFERROR(4*STDEVP(終値!M357:AF357)/AVERAGE(終値!M357:AF357),""))</f>
      </c>
      <c r="K357" s="684">
        <f>IF(終値!A357="","",IFERROR(4*STDEVP(終値!N357:AG357)/AVERAGE(終値!N357:AG357),""))</f>
      </c>
      <c r="L357" s="684">
        <f>IF(終値!A357="","",IFERROR(4*STDEVP(終値!O357:AH357)/AVERAGE(終値!O357:AH357),""))</f>
      </c>
      <c r="M357" s="684">
        <f>IF(終値!A357="","",IFERROR(4*STDEVP(終値!P357:AI357)/AVERAGE(終値!P357:AI357),""))</f>
      </c>
      <c r="N357" s="684">
        <f>IF(終値!A357="","",IFERROR(4*STDEVP(終値!Q357:AJ357)/AVERAGE(終値!Q357:AJ357),""))</f>
      </c>
      <c r="O357" s="684">
        <f>IF(終値!A357="","",IFERROR(4*STDEVP(終値!R357:AK357)/AVERAGE(終値!R357:AK357),""))</f>
      </c>
      <c r="P357" s="684">
        <f>IF(終値!A357="","",IFERROR(4*STDEVP(終値!S357:AL357)/AVERAGE(終値!S357:AL357),""))</f>
      </c>
      <c r="Q357" s="684">
        <f>IF(終値!A357="","",IFERROR(4*STDEVP(終値!T357:AM357)/AVERAGE(終値!T357:AM357),""))</f>
      </c>
      <c r="R357" s="684">
        <f>IF(終値!A357="","",IFERROR(4*STDEVP(終値!U357:AN357)/AVERAGE(終値!U357:AN357),""))</f>
      </c>
      <c r="S357" s="684">
        <f>IF(終値!A357="","",IFERROR(4*STDEVP(終値!V357:AO357)/AVERAGE(終値!V357:AO357),""))</f>
      </c>
      <c r="T357" s="684">
        <f>IF(終値!A357="","",IFERROR(4*STDEVP(終値!W357:AP357)/AVERAGE(終値!W357:AP357),""))</f>
      </c>
      <c r="U357" s="684">
        <f>IF(終値!A357="","",IFERROR(4*STDEVP(終値!X357:AQ357)/AVERAGE(終値!X357:AQ357),""))</f>
      </c>
      <c r="V357" s="684">
        <f>IF(終値!A357="","",IFERROR(4*STDEVP(終値!Y357:AR357)/AVERAGE(終値!Y357:AR357),""))</f>
      </c>
      <c r="W357" s="684">
        <f>IF(終値!A357="","",IFERROR(4*STDEVP(終値!Z357:AS357)/AVERAGE(終値!Z357:AS357),""))</f>
      </c>
      <c r="X357" s="684">
        <f>IF(終値!A357="","",IFERROR(4*STDEVP(終値!AA357:AT357)/AVERAGE(終値!AA357:AT357),""))</f>
      </c>
      <c r="Y357" s="684">
        <f>IF(終値!A357="","",IFERROR(4*STDEVP(終値!AB357:AU357)/AVERAGE(終値!AB357:AU357),""))</f>
      </c>
      <c r="Z357" s="684">
        <f>IF(終値!A357="","",IFERROR(4*STDEVP(終値!AC357:AV357)/AVERAGE(終値!AC357:AV357),""))</f>
      </c>
      <c r="AA357" s="684">
        <f>IF(終値!A357="","",IFERROR(4*STDEVP(終値!AD357:AW357)/AVERAGE(終値!AD357:AW357),""))</f>
      </c>
      <c r="AB357" s="684">
        <f>IF(終値!A357="","",IFERROR(4*STDEVP(終値!AE357:AX357)/AVERAGE(終値!AE357:AX357),""))</f>
      </c>
      <c r="AC357" s="684">
        <f>IF(終値!A357="","",IFERROR(4*STDEVP(終値!AF357:AY357)/AVERAGE(終値!AF357:AY357),""))</f>
      </c>
      <c r="AD357" s="684">
        <f>IF(終値!A357="","",IFERROR(4*STDEVP(終値!AG357:AZ357)/AVERAGE(終値!AG357:AZ357),""))</f>
      </c>
      <c r="AE357" s="684">
        <f>IF(終値!A357="","",IFERROR(4*STDEVP(終値!AH357:BA357)/AVERAGE(終値!AH357:BA357),""))</f>
      </c>
      <c r="AF357" s="684">
        <f>IF(終値!A357="","",IFERROR(4*STDEVP(終値!AI357:BB357)/AVERAGE(終値!AI357:BB357),""))</f>
      </c>
      <c r="AG357" s="684">
        <f>IF(終値!A357="","",IFERROR(4*STDEVP(終値!AJ357:BC357)/AVERAGE(終値!AJ357:BC357),""))</f>
      </c>
      <c r="AH357" s="684">
        <f>IF(終値!A357="","",IFERROR(4*STDEVP(終値!AK357:BD357)/AVERAGE(終値!AK357:BD357),""))</f>
      </c>
      <c r="AI357" s="684">
        <f>IF(終値!A357="","",IFERROR(4*STDEVP(終値!AL357:BE357)/AVERAGE(終値!AL357:BE357),""))</f>
      </c>
      <c r="AJ357" s="684">
        <f>IF(終値!A357="","",IFERROR(4*STDEVP(終値!AM357:BF357)/AVERAGE(終値!AM357:BF357),""))</f>
      </c>
      <c r="AK357" s="684">
        <f>IF(終値!A357="","",IFERROR(4*STDEVP(終値!AN357:BG357)/AVERAGE(終値!AN357:BG357),""))</f>
      </c>
      <c r="AL357" s="684">
        <f>IF(終値!A357="","",IFERROR(4*STDEVP(終値!AO357:BH357)/AVERAGE(終値!AO357:BH357),""))</f>
      </c>
      <c r="AM357" s="684">
        <f>IF(終値!A357="","",IFERROR(4*STDEVP(終値!AP357:BI357)/AVERAGE(終値!AP357:BI357),""))</f>
      </c>
      <c r="AN357" s="684">
        <f>IF(終値!A357="","",IFERROR(4*STDEVP(終値!AQ357:BJ357)/AVERAGE(終値!AQ357:BJ357),""))</f>
      </c>
      <c r="AO357" s="684">
        <f>IF(終値!A357="","",IFERROR(4*STDEVP(終値!AR357:BK357)/AVERAGE(終値!AR357:BK357),""))</f>
      </c>
      <c r="AP357" s="684">
        <f>IF(終値!A357="","",IFERROR(4*STDEVP(終値!AS357:BL357)/AVERAGE(終値!AS357:BL357),""))</f>
      </c>
    </row>
    <row r="358">
      <c r="A358" s="681">
        <f>IF(終値!A358="","",終値!A358)</f>
      </c>
      <c r="B358" s="684">
        <f>IF(終値!A358="","",IFERROR(4*STDEVP(終値!E358:X358)/AVERAGE(終値!E358:X358),""))</f>
      </c>
      <c r="C358" s="684">
        <f>IF(終値!A358="","",IFERROR(4*STDEVP(終値!F358:Y358)/AVERAGE(終値!F358:Y358),""))</f>
      </c>
      <c r="D358" s="684">
        <f>IF(終値!A358="","",IFERROR(4*STDEVP(終値!G358:Z358)/AVERAGE(終値!G358:Z358),""))</f>
      </c>
      <c r="E358" s="684">
        <f>IF(終値!A358="","",IFERROR(4*STDEVP(終値!H358:AA358)/AVERAGE(終値!H358:AA358),""))</f>
      </c>
      <c r="F358" s="684">
        <f>IF(終値!A358="","",IFERROR(4*STDEVP(終値!I358:AB358)/AVERAGE(終値!I358:AB358),""))</f>
      </c>
      <c r="G358" s="684">
        <f>IF(終値!A358="","",IFERROR(4*STDEVP(終値!J358:AC358)/AVERAGE(終値!J358:AC358),""))</f>
      </c>
      <c r="H358" s="684">
        <f>IF(終値!A358="","",IFERROR(4*STDEVP(終値!K358:AD358)/AVERAGE(終値!K358:AD358),""))</f>
      </c>
      <c r="I358" s="684">
        <f>IF(終値!A358="","",IFERROR(4*STDEVP(終値!L358:AE358)/AVERAGE(終値!L358:AE358),""))</f>
      </c>
      <c r="J358" s="684">
        <f>IF(終値!A358="","",IFERROR(4*STDEVP(終値!M358:AF358)/AVERAGE(終値!M358:AF358),""))</f>
      </c>
      <c r="K358" s="684">
        <f>IF(終値!A358="","",IFERROR(4*STDEVP(終値!N358:AG358)/AVERAGE(終値!N358:AG358),""))</f>
      </c>
      <c r="L358" s="684">
        <f>IF(終値!A358="","",IFERROR(4*STDEVP(終値!O358:AH358)/AVERAGE(終値!O358:AH358),""))</f>
      </c>
      <c r="M358" s="684">
        <f>IF(終値!A358="","",IFERROR(4*STDEVP(終値!P358:AI358)/AVERAGE(終値!P358:AI358),""))</f>
      </c>
      <c r="N358" s="684">
        <f>IF(終値!A358="","",IFERROR(4*STDEVP(終値!Q358:AJ358)/AVERAGE(終値!Q358:AJ358),""))</f>
      </c>
      <c r="O358" s="684">
        <f>IF(終値!A358="","",IFERROR(4*STDEVP(終値!R358:AK358)/AVERAGE(終値!R358:AK358),""))</f>
      </c>
      <c r="P358" s="684">
        <f>IF(終値!A358="","",IFERROR(4*STDEVP(終値!S358:AL358)/AVERAGE(終値!S358:AL358),""))</f>
      </c>
      <c r="Q358" s="684">
        <f>IF(終値!A358="","",IFERROR(4*STDEVP(終値!T358:AM358)/AVERAGE(終値!T358:AM358),""))</f>
      </c>
      <c r="R358" s="684">
        <f>IF(終値!A358="","",IFERROR(4*STDEVP(終値!U358:AN358)/AVERAGE(終値!U358:AN358),""))</f>
      </c>
      <c r="S358" s="684">
        <f>IF(終値!A358="","",IFERROR(4*STDEVP(終値!V358:AO358)/AVERAGE(終値!V358:AO358),""))</f>
      </c>
      <c r="T358" s="684">
        <f>IF(終値!A358="","",IFERROR(4*STDEVP(終値!W358:AP358)/AVERAGE(終値!W358:AP358),""))</f>
      </c>
      <c r="U358" s="684">
        <f>IF(終値!A358="","",IFERROR(4*STDEVP(終値!X358:AQ358)/AVERAGE(終値!X358:AQ358),""))</f>
      </c>
      <c r="V358" s="684">
        <f>IF(終値!A358="","",IFERROR(4*STDEVP(終値!Y358:AR358)/AVERAGE(終値!Y358:AR358),""))</f>
      </c>
      <c r="W358" s="684">
        <f>IF(終値!A358="","",IFERROR(4*STDEVP(終値!Z358:AS358)/AVERAGE(終値!Z358:AS358),""))</f>
      </c>
      <c r="X358" s="684">
        <f>IF(終値!A358="","",IFERROR(4*STDEVP(終値!AA358:AT358)/AVERAGE(終値!AA358:AT358),""))</f>
      </c>
      <c r="Y358" s="684">
        <f>IF(終値!A358="","",IFERROR(4*STDEVP(終値!AB358:AU358)/AVERAGE(終値!AB358:AU358),""))</f>
      </c>
      <c r="Z358" s="684">
        <f>IF(終値!A358="","",IFERROR(4*STDEVP(終値!AC358:AV358)/AVERAGE(終値!AC358:AV358),""))</f>
      </c>
      <c r="AA358" s="684">
        <f>IF(終値!A358="","",IFERROR(4*STDEVP(終値!AD358:AW358)/AVERAGE(終値!AD358:AW358),""))</f>
      </c>
      <c r="AB358" s="684">
        <f>IF(終値!A358="","",IFERROR(4*STDEVP(終値!AE358:AX358)/AVERAGE(終値!AE358:AX358),""))</f>
      </c>
      <c r="AC358" s="684">
        <f>IF(終値!A358="","",IFERROR(4*STDEVP(終値!AF358:AY358)/AVERAGE(終値!AF358:AY358),""))</f>
      </c>
      <c r="AD358" s="684">
        <f>IF(終値!A358="","",IFERROR(4*STDEVP(終値!AG358:AZ358)/AVERAGE(終値!AG358:AZ358),""))</f>
      </c>
      <c r="AE358" s="684">
        <f>IF(終値!A358="","",IFERROR(4*STDEVP(終値!AH358:BA358)/AVERAGE(終値!AH358:BA358),""))</f>
      </c>
      <c r="AF358" s="684">
        <f>IF(終値!A358="","",IFERROR(4*STDEVP(終値!AI358:BB358)/AVERAGE(終値!AI358:BB358),""))</f>
      </c>
      <c r="AG358" s="684">
        <f>IF(終値!A358="","",IFERROR(4*STDEVP(終値!AJ358:BC358)/AVERAGE(終値!AJ358:BC358),""))</f>
      </c>
      <c r="AH358" s="684">
        <f>IF(終値!A358="","",IFERROR(4*STDEVP(終値!AK358:BD358)/AVERAGE(終値!AK358:BD358),""))</f>
      </c>
      <c r="AI358" s="684">
        <f>IF(終値!A358="","",IFERROR(4*STDEVP(終値!AL358:BE358)/AVERAGE(終値!AL358:BE358),""))</f>
      </c>
      <c r="AJ358" s="684">
        <f>IF(終値!A358="","",IFERROR(4*STDEVP(終値!AM358:BF358)/AVERAGE(終値!AM358:BF358),""))</f>
      </c>
      <c r="AK358" s="684">
        <f>IF(終値!A358="","",IFERROR(4*STDEVP(終値!AN358:BG358)/AVERAGE(終値!AN358:BG358),""))</f>
      </c>
      <c r="AL358" s="684">
        <f>IF(終値!A358="","",IFERROR(4*STDEVP(終値!AO358:BH358)/AVERAGE(終値!AO358:BH358),""))</f>
      </c>
      <c r="AM358" s="684">
        <f>IF(終値!A358="","",IFERROR(4*STDEVP(終値!AP358:BI358)/AVERAGE(終値!AP358:BI358),""))</f>
      </c>
      <c r="AN358" s="684">
        <f>IF(終値!A358="","",IFERROR(4*STDEVP(終値!AQ358:BJ358)/AVERAGE(終値!AQ358:BJ358),""))</f>
      </c>
      <c r="AO358" s="684">
        <f>IF(終値!A358="","",IFERROR(4*STDEVP(終値!AR358:BK358)/AVERAGE(終値!AR358:BK358),""))</f>
      </c>
      <c r="AP358" s="684">
        <f>IF(終値!A358="","",IFERROR(4*STDEVP(終値!AS358:BL358)/AVERAGE(終値!AS358:BL358),""))</f>
      </c>
    </row>
    <row r="359">
      <c r="A359" s="681">
        <f>IF(終値!A359="","",終値!A359)</f>
      </c>
      <c r="B359" s="684">
        <f>IF(終値!A359="","",IFERROR(4*STDEVP(終値!E359:X359)/AVERAGE(終値!E359:X359),""))</f>
      </c>
      <c r="C359" s="684">
        <f>IF(終値!A359="","",IFERROR(4*STDEVP(終値!F359:Y359)/AVERAGE(終値!F359:Y359),""))</f>
      </c>
      <c r="D359" s="684">
        <f>IF(終値!A359="","",IFERROR(4*STDEVP(終値!G359:Z359)/AVERAGE(終値!G359:Z359),""))</f>
      </c>
      <c r="E359" s="684">
        <f>IF(終値!A359="","",IFERROR(4*STDEVP(終値!H359:AA359)/AVERAGE(終値!H359:AA359),""))</f>
      </c>
      <c r="F359" s="684">
        <f>IF(終値!A359="","",IFERROR(4*STDEVP(終値!I359:AB359)/AVERAGE(終値!I359:AB359),""))</f>
      </c>
      <c r="G359" s="684">
        <f>IF(終値!A359="","",IFERROR(4*STDEVP(終値!J359:AC359)/AVERAGE(終値!J359:AC359),""))</f>
      </c>
      <c r="H359" s="684">
        <f>IF(終値!A359="","",IFERROR(4*STDEVP(終値!K359:AD359)/AVERAGE(終値!K359:AD359),""))</f>
      </c>
      <c r="I359" s="684">
        <f>IF(終値!A359="","",IFERROR(4*STDEVP(終値!L359:AE359)/AVERAGE(終値!L359:AE359),""))</f>
      </c>
      <c r="J359" s="684">
        <f>IF(終値!A359="","",IFERROR(4*STDEVP(終値!M359:AF359)/AVERAGE(終値!M359:AF359),""))</f>
      </c>
      <c r="K359" s="684">
        <f>IF(終値!A359="","",IFERROR(4*STDEVP(終値!N359:AG359)/AVERAGE(終値!N359:AG359),""))</f>
      </c>
      <c r="L359" s="684">
        <f>IF(終値!A359="","",IFERROR(4*STDEVP(終値!O359:AH359)/AVERAGE(終値!O359:AH359),""))</f>
      </c>
      <c r="M359" s="684">
        <f>IF(終値!A359="","",IFERROR(4*STDEVP(終値!P359:AI359)/AVERAGE(終値!P359:AI359),""))</f>
      </c>
      <c r="N359" s="684">
        <f>IF(終値!A359="","",IFERROR(4*STDEVP(終値!Q359:AJ359)/AVERAGE(終値!Q359:AJ359),""))</f>
      </c>
      <c r="O359" s="684">
        <f>IF(終値!A359="","",IFERROR(4*STDEVP(終値!R359:AK359)/AVERAGE(終値!R359:AK359),""))</f>
      </c>
      <c r="P359" s="684">
        <f>IF(終値!A359="","",IFERROR(4*STDEVP(終値!S359:AL359)/AVERAGE(終値!S359:AL359),""))</f>
      </c>
      <c r="Q359" s="684">
        <f>IF(終値!A359="","",IFERROR(4*STDEVP(終値!T359:AM359)/AVERAGE(終値!T359:AM359),""))</f>
      </c>
      <c r="R359" s="684">
        <f>IF(終値!A359="","",IFERROR(4*STDEVP(終値!U359:AN359)/AVERAGE(終値!U359:AN359),""))</f>
      </c>
      <c r="S359" s="684">
        <f>IF(終値!A359="","",IFERROR(4*STDEVP(終値!V359:AO359)/AVERAGE(終値!V359:AO359),""))</f>
      </c>
      <c r="T359" s="684">
        <f>IF(終値!A359="","",IFERROR(4*STDEVP(終値!W359:AP359)/AVERAGE(終値!W359:AP359),""))</f>
      </c>
      <c r="U359" s="684">
        <f>IF(終値!A359="","",IFERROR(4*STDEVP(終値!X359:AQ359)/AVERAGE(終値!X359:AQ359),""))</f>
      </c>
      <c r="V359" s="684">
        <f>IF(終値!A359="","",IFERROR(4*STDEVP(終値!Y359:AR359)/AVERAGE(終値!Y359:AR359),""))</f>
      </c>
      <c r="W359" s="684">
        <f>IF(終値!A359="","",IFERROR(4*STDEVP(終値!Z359:AS359)/AVERAGE(終値!Z359:AS359),""))</f>
      </c>
      <c r="X359" s="684">
        <f>IF(終値!A359="","",IFERROR(4*STDEVP(終値!AA359:AT359)/AVERAGE(終値!AA359:AT359),""))</f>
      </c>
      <c r="Y359" s="684">
        <f>IF(終値!A359="","",IFERROR(4*STDEVP(終値!AB359:AU359)/AVERAGE(終値!AB359:AU359),""))</f>
      </c>
      <c r="Z359" s="684">
        <f>IF(終値!A359="","",IFERROR(4*STDEVP(終値!AC359:AV359)/AVERAGE(終値!AC359:AV359),""))</f>
      </c>
      <c r="AA359" s="684">
        <f>IF(終値!A359="","",IFERROR(4*STDEVP(終値!AD359:AW359)/AVERAGE(終値!AD359:AW359),""))</f>
      </c>
      <c r="AB359" s="684">
        <f>IF(終値!A359="","",IFERROR(4*STDEVP(終値!AE359:AX359)/AVERAGE(終値!AE359:AX359),""))</f>
      </c>
      <c r="AC359" s="684">
        <f>IF(終値!A359="","",IFERROR(4*STDEVP(終値!AF359:AY359)/AVERAGE(終値!AF359:AY359),""))</f>
      </c>
      <c r="AD359" s="684">
        <f>IF(終値!A359="","",IFERROR(4*STDEVP(終値!AG359:AZ359)/AVERAGE(終値!AG359:AZ359),""))</f>
      </c>
      <c r="AE359" s="684">
        <f>IF(終値!A359="","",IFERROR(4*STDEVP(終値!AH359:BA359)/AVERAGE(終値!AH359:BA359),""))</f>
      </c>
      <c r="AF359" s="684">
        <f>IF(終値!A359="","",IFERROR(4*STDEVP(終値!AI359:BB359)/AVERAGE(終値!AI359:BB359),""))</f>
      </c>
      <c r="AG359" s="684">
        <f>IF(終値!A359="","",IFERROR(4*STDEVP(終値!AJ359:BC359)/AVERAGE(終値!AJ359:BC359),""))</f>
      </c>
      <c r="AH359" s="684">
        <f>IF(終値!A359="","",IFERROR(4*STDEVP(終値!AK359:BD359)/AVERAGE(終値!AK359:BD359),""))</f>
      </c>
      <c r="AI359" s="684">
        <f>IF(終値!A359="","",IFERROR(4*STDEVP(終値!AL359:BE359)/AVERAGE(終値!AL359:BE359),""))</f>
      </c>
      <c r="AJ359" s="684">
        <f>IF(終値!A359="","",IFERROR(4*STDEVP(終値!AM359:BF359)/AVERAGE(終値!AM359:BF359),""))</f>
      </c>
      <c r="AK359" s="684">
        <f>IF(終値!A359="","",IFERROR(4*STDEVP(終値!AN359:BG359)/AVERAGE(終値!AN359:BG359),""))</f>
      </c>
      <c r="AL359" s="684">
        <f>IF(終値!A359="","",IFERROR(4*STDEVP(終値!AO359:BH359)/AVERAGE(終値!AO359:BH359),""))</f>
      </c>
      <c r="AM359" s="684">
        <f>IF(終値!A359="","",IFERROR(4*STDEVP(終値!AP359:BI359)/AVERAGE(終値!AP359:BI359),""))</f>
      </c>
      <c r="AN359" s="684">
        <f>IF(終値!A359="","",IFERROR(4*STDEVP(終値!AQ359:BJ359)/AVERAGE(終値!AQ359:BJ359),""))</f>
      </c>
      <c r="AO359" s="684">
        <f>IF(終値!A359="","",IFERROR(4*STDEVP(終値!AR359:BK359)/AVERAGE(終値!AR359:BK359),""))</f>
      </c>
      <c r="AP359" s="684">
        <f>IF(終値!A359="","",IFERROR(4*STDEVP(終値!AS359:BL359)/AVERAGE(終値!AS359:BL359),""))</f>
      </c>
    </row>
    <row r="360">
      <c r="A360" s="681">
        <f>IF(終値!A360="","",終値!A360)</f>
      </c>
      <c r="B360" s="684">
        <f>IF(終値!A360="","",IFERROR(4*STDEVP(終値!E360:X360)/AVERAGE(終値!E360:X360),""))</f>
      </c>
      <c r="C360" s="684">
        <f>IF(終値!A360="","",IFERROR(4*STDEVP(終値!F360:Y360)/AVERAGE(終値!F360:Y360),""))</f>
      </c>
      <c r="D360" s="684">
        <f>IF(終値!A360="","",IFERROR(4*STDEVP(終値!G360:Z360)/AVERAGE(終値!G360:Z360),""))</f>
      </c>
      <c r="E360" s="684">
        <f>IF(終値!A360="","",IFERROR(4*STDEVP(終値!H360:AA360)/AVERAGE(終値!H360:AA360),""))</f>
      </c>
      <c r="F360" s="684">
        <f>IF(終値!A360="","",IFERROR(4*STDEVP(終値!I360:AB360)/AVERAGE(終値!I360:AB360),""))</f>
      </c>
      <c r="G360" s="684">
        <f>IF(終値!A360="","",IFERROR(4*STDEVP(終値!J360:AC360)/AVERAGE(終値!J360:AC360),""))</f>
      </c>
      <c r="H360" s="684">
        <f>IF(終値!A360="","",IFERROR(4*STDEVP(終値!K360:AD360)/AVERAGE(終値!K360:AD360),""))</f>
      </c>
      <c r="I360" s="684">
        <f>IF(終値!A360="","",IFERROR(4*STDEVP(終値!L360:AE360)/AVERAGE(終値!L360:AE360),""))</f>
      </c>
      <c r="J360" s="684">
        <f>IF(終値!A360="","",IFERROR(4*STDEVP(終値!M360:AF360)/AVERAGE(終値!M360:AF360),""))</f>
      </c>
      <c r="K360" s="684">
        <f>IF(終値!A360="","",IFERROR(4*STDEVP(終値!N360:AG360)/AVERAGE(終値!N360:AG360),""))</f>
      </c>
      <c r="L360" s="684">
        <f>IF(終値!A360="","",IFERROR(4*STDEVP(終値!O360:AH360)/AVERAGE(終値!O360:AH360),""))</f>
      </c>
      <c r="M360" s="684">
        <f>IF(終値!A360="","",IFERROR(4*STDEVP(終値!P360:AI360)/AVERAGE(終値!P360:AI360),""))</f>
      </c>
      <c r="N360" s="684">
        <f>IF(終値!A360="","",IFERROR(4*STDEVP(終値!Q360:AJ360)/AVERAGE(終値!Q360:AJ360),""))</f>
      </c>
      <c r="O360" s="684">
        <f>IF(終値!A360="","",IFERROR(4*STDEVP(終値!R360:AK360)/AVERAGE(終値!R360:AK360),""))</f>
      </c>
      <c r="P360" s="684">
        <f>IF(終値!A360="","",IFERROR(4*STDEVP(終値!S360:AL360)/AVERAGE(終値!S360:AL360),""))</f>
      </c>
      <c r="Q360" s="684">
        <f>IF(終値!A360="","",IFERROR(4*STDEVP(終値!T360:AM360)/AVERAGE(終値!T360:AM360),""))</f>
      </c>
      <c r="R360" s="684">
        <f>IF(終値!A360="","",IFERROR(4*STDEVP(終値!U360:AN360)/AVERAGE(終値!U360:AN360),""))</f>
      </c>
      <c r="S360" s="684">
        <f>IF(終値!A360="","",IFERROR(4*STDEVP(終値!V360:AO360)/AVERAGE(終値!V360:AO360),""))</f>
      </c>
      <c r="T360" s="684">
        <f>IF(終値!A360="","",IFERROR(4*STDEVP(終値!W360:AP360)/AVERAGE(終値!W360:AP360),""))</f>
      </c>
      <c r="U360" s="684">
        <f>IF(終値!A360="","",IFERROR(4*STDEVP(終値!X360:AQ360)/AVERAGE(終値!X360:AQ360),""))</f>
      </c>
      <c r="V360" s="684">
        <f>IF(終値!A360="","",IFERROR(4*STDEVP(終値!Y360:AR360)/AVERAGE(終値!Y360:AR360),""))</f>
      </c>
      <c r="W360" s="684">
        <f>IF(終値!A360="","",IFERROR(4*STDEVP(終値!Z360:AS360)/AVERAGE(終値!Z360:AS360),""))</f>
      </c>
      <c r="X360" s="684">
        <f>IF(終値!A360="","",IFERROR(4*STDEVP(終値!AA360:AT360)/AVERAGE(終値!AA360:AT360),""))</f>
      </c>
      <c r="Y360" s="684">
        <f>IF(終値!A360="","",IFERROR(4*STDEVP(終値!AB360:AU360)/AVERAGE(終値!AB360:AU360),""))</f>
      </c>
      <c r="Z360" s="684">
        <f>IF(終値!A360="","",IFERROR(4*STDEVP(終値!AC360:AV360)/AVERAGE(終値!AC360:AV360),""))</f>
      </c>
      <c r="AA360" s="684">
        <f>IF(終値!A360="","",IFERROR(4*STDEVP(終値!AD360:AW360)/AVERAGE(終値!AD360:AW360),""))</f>
      </c>
      <c r="AB360" s="684">
        <f>IF(終値!A360="","",IFERROR(4*STDEVP(終値!AE360:AX360)/AVERAGE(終値!AE360:AX360),""))</f>
      </c>
      <c r="AC360" s="684">
        <f>IF(終値!A360="","",IFERROR(4*STDEVP(終値!AF360:AY360)/AVERAGE(終値!AF360:AY360),""))</f>
      </c>
      <c r="AD360" s="684">
        <f>IF(終値!A360="","",IFERROR(4*STDEVP(終値!AG360:AZ360)/AVERAGE(終値!AG360:AZ360),""))</f>
      </c>
      <c r="AE360" s="684">
        <f>IF(終値!A360="","",IFERROR(4*STDEVP(終値!AH360:BA360)/AVERAGE(終値!AH360:BA360),""))</f>
      </c>
      <c r="AF360" s="684">
        <f>IF(終値!A360="","",IFERROR(4*STDEVP(終値!AI360:BB360)/AVERAGE(終値!AI360:BB360),""))</f>
      </c>
      <c r="AG360" s="684">
        <f>IF(終値!A360="","",IFERROR(4*STDEVP(終値!AJ360:BC360)/AVERAGE(終値!AJ360:BC360),""))</f>
      </c>
      <c r="AH360" s="684">
        <f>IF(終値!A360="","",IFERROR(4*STDEVP(終値!AK360:BD360)/AVERAGE(終値!AK360:BD360),""))</f>
      </c>
      <c r="AI360" s="684">
        <f>IF(終値!A360="","",IFERROR(4*STDEVP(終値!AL360:BE360)/AVERAGE(終値!AL360:BE360),""))</f>
      </c>
      <c r="AJ360" s="684">
        <f>IF(終値!A360="","",IFERROR(4*STDEVP(終値!AM360:BF360)/AVERAGE(終値!AM360:BF360),""))</f>
      </c>
      <c r="AK360" s="684">
        <f>IF(終値!A360="","",IFERROR(4*STDEVP(終値!AN360:BG360)/AVERAGE(終値!AN360:BG360),""))</f>
      </c>
      <c r="AL360" s="684">
        <f>IF(終値!A360="","",IFERROR(4*STDEVP(終値!AO360:BH360)/AVERAGE(終値!AO360:BH360),""))</f>
      </c>
      <c r="AM360" s="684">
        <f>IF(終値!A360="","",IFERROR(4*STDEVP(終値!AP360:BI360)/AVERAGE(終値!AP360:BI360),""))</f>
      </c>
      <c r="AN360" s="684">
        <f>IF(終値!A360="","",IFERROR(4*STDEVP(終値!AQ360:BJ360)/AVERAGE(終値!AQ360:BJ360),""))</f>
      </c>
      <c r="AO360" s="684">
        <f>IF(終値!A360="","",IFERROR(4*STDEVP(終値!AR360:BK360)/AVERAGE(終値!AR360:BK360),""))</f>
      </c>
      <c r="AP360" s="684">
        <f>IF(終値!A360="","",IFERROR(4*STDEVP(終値!AS360:BL360)/AVERAGE(終値!AS360:BL360),""))</f>
      </c>
    </row>
    <row r="361">
      <c r="A361" s="681">
        <f>IF(終値!A361="","",終値!A361)</f>
      </c>
      <c r="B361" s="684">
        <f>IF(終値!A361="","",IFERROR(4*STDEVP(終値!E361:X361)/AVERAGE(終値!E361:X361),""))</f>
      </c>
      <c r="C361" s="684">
        <f>IF(終値!A361="","",IFERROR(4*STDEVP(終値!F361:Y361)/AVERAGE(終値!F361:Y361),""))</f>
      </c>
      <c r="D361" s="684">
        <f>IF(終値!A361="","",IFERROR(4*STDEVP(終値!G361:Z361)/AVERAGE(終値!G361:Z361),""))</f>
      </c>
      <c r="E361" s="684">
        <f>IF(終値!A361="","",IFERROR(4*STDEVP(終値!H361:AA361)/AVERAGE(終値!H361:AA361),""))</f>
      </c>
      <c r="F361" s="684">
        <f>IF(終値!A361="","",IFERROR(4*STDEVP(終値!I361:AB361)/AVERAGE(終値!I361:AB361),""))</f>
      </c>
      <c r="G361" s="684">
        <f>IF(終値!A361="","",IFERROR(4*STDEVP(終値!J361:AC361)/AVERAGE(終値!J361:AC361),""))</f>
      </c>
      <c r="H361" s="684">
        <f>IF(終値!A361="","",IFERROR(4*STDEVP(終値!K361:AD361)/AVERAGE(終値!K361:AD361),""))</f>
      </c>
      <c r="I361" s="684">
        <f>IF(終値!A361="","",IFERROR(4*STDEVP(終値!L361:AE361)/AVERAGE(終値!L361:AE361),""))</f>
      </c>
      <c r="J361" s="684">
        <f>IF(終値!A361="","",IFERROR(4*STDEVP(終値!M361:AF361)/AVERAGE(終値!M361:AF361),""))</f>
      </c>
      <c r="K361" s="684">
        <f>IF(終値!A361="","",IFERROR(4*STDEVP(終値!N361:AG361)/AVERAGE(終値!N361:AG361),""))</f>
      </c>
      <c r="L361" s="684">
        <f>IF(終値!A361="","",IFERROR(4*STDEVP(終値!O361:AH361)/AVERAGE(終値!O361:AH361),""))</f>
      </c>
      <c r="M361" s="684">
        <f>IF(終値!A361="","",IFERROR(4*STDEVP(終値!P361:AI361)/AVERAGE(終値!P361:AI361),""))</f>
      </c>
      <c r="N361" s="684">
        <f>IF(終値!A361="","",IFERROR(4*STDEVP(終値!Q361:AJ361)/AVERAGE(終値!Q361:AJ361),""))</f>
      </c>
      <c r="O361" s="684">
        <f>IF(終値!A361="","",IFERROR(4*STDEVP(終値!R361:AK361)/AVERAGE(終値!R361:AK361),""))</f>
      </c>
      <c r="P361" s="684">
        <f>IF(終値!A361="","",IFERROR(4*STDEVP(終値!S361:AL361)/AVERAGE(終値!S361:AL361),""))</f>
      </c>
      <c r="Q361" s="684">
        <f>IF(終値!A361="","",IFERROR(4*STDEVP(終値!T361:AM361)/AVERAGE(終値!T361:AM361),""))</f>
      </c>
      <c r="R361" s="684">
        <f>IF(終値!A361="","",IFERROR(4*STDEVP(終値!U361:AN361)/AVERAGE(終値!U361:AN361),""))</f>
      </c>
      <c r="S361" s="684">
        <f>IF(終値!A361="","",IFERROR(4*STDEVP(終値!V361:AO361)/AVERAGE(終値!V361:AO361),""))</f>
      </c>
      <c r="T361" s="684">
        <f>IF(終値!A361="","",IFERROR(4*STDEVP(終値!W361:AP361)/AVERAGE(終値!W361:AP361),""))</f>
      </c>
      <c r="U361" s="684">
        <f>IF(終値!A361="","",IFERROR(4*STDEVP(終値!X361:AQ361)/AVERAGE(終値!X361:AQ361),""))</f>
      </c>
      <c r="V361" s="684">
        <f>IF(終値!A361="","",IFERROR(4*STDEVP(終値!Y361:AR361)/AVERAGE(終値!Y361:AR361),""))</f>
      </c>
      <c r="W361" s="684">
        <f>IF(終値!A361="","",IFERROR(4*STDEVP(終値!Z361:AS361)/AVERAGE(終値!Z361:AS361),""))</f>
      </c>
      <c r="X361" s="684">
        <f>IF(終値!A361="","",IFERROR(4*STDEVP(終値!AA361:AT361)/AVERAGE(終値!AA361:AT361),""))</f>
      </c>
      <c r="Y361" s="684">
        <f>IF(終値!A361="","",IFERROR(4*STDEVP(終値!AB361:AU361)/AVERAGE(終値!AB361:AU361),""))</f>
      </c>
      <c r="Z361" s="684">
        <f>IF(終値!A361="","",IFERROR(4*STDEVP(終値!AC361:AV361)/AVERAGE(終値!AC361:AV361),""))</f>
      </c>
      <c r="AA361" s="684">
        <f>IF(終値!A361="","",IFERROR(4*STDEVP(終値!AD361:AW361)/AVERAGE(終値!AD361:AW361),""))</f>
      </c>
      <c r="AB361" s="684">
        <f>IF(終値!A361="","",IFERROR(4*STDEVP(終値!AE361:AX361)/AVERAGE(終値!AE361:AX361),""))</f>
      </c>
      <c r="AC361" s="684">
        <f>IF(終値!A361="","",IFERROR(4*STDEVP(終値!AF361:AY361)/AVERAGE(終値!AF361:AY361),""))</f>
      </c>
      <c r="AD361" s="684">
        <f>IF(終値!A361="","",IFERROR(4*STDEVP(終値!AG361:AZ361)/AVERAGE(終値!AG361:AZ361),""))</f>
      </c>
      <c r="AE361" s="684">
        <f>IF(終値!A361="","",IFERROR(4*STDEVP(終値!AH361:BA361)/AVERAGE(終値!AH361:BA361),""))</f>
      </c>
      <c r="AF361" s="684">
        <f>IF(終値!A361="","",IFERROR(4*STDEVP(終値!AI361:BB361)/AVERAGE(終値!AI361:BB361),""))</f>
      </c>
      <c r="AG361" s="684">
        <f>IF(終値!A361="","",IFERROR(4*STDEVP(終値!AJ361:BC361)/AVERAGE(終値!AJ361:BC361),""))</f>
      </c>
      <c r="AH361" s="684">
        <f>IF(終値!A361="","",IFERROR(4*STDEVP(終値!AK361:BD361)/AVERAGE(終値!AK361:BD361),""))</f>
      </c>
      <c r="AI361" s="684">
        <f>IF(終値!A361="","",IFERROR(4*STDEVP(終値!AL361:BE361)/AVERAGE(終値!AL361:BE361),""))</f>
      </c>
      <c r="AJ361" s="684">
        <f>IF(終値!A361="","",IFERROR(4*STDEVP(終値!AM361:BF361)/AVERAGE(終値!AM361:BF361),""))</f>
      </c>
      <c r="AK361" s="684">
        <f>IF(終値!A361="","",IFERROR(4*STDEVP(終値!AN361:BG361)/AVERAGE(終値!AN361:BG361),""))</f>
      </c>
      <c r="AL361" s="684">
        <f>IF(終値!A361="","",IFERROR(4*STDEVP(終値!AO361:BH361)/AVERAGE(終値!AO361:BH361),""))</f>
      </c>
      <c r="AM361" s="684">
        <f>IF(終値!A361="","",IFERROR(4*STDEVP(終値!AP361:BI361)/AVERAGE(終値!AP361:BI361),""))</f>
      </c>
      <c r="AN361" s="684">
        <f>IF(終値!A361="","",IFERROR(4*STDEVP(終値!AQ361:BJ361)/AVERAGE(終値!AQ361:BJ361),""))</f>
      </c>
      <c r="AO361" s="684">
        <f>IF(終値!A361="","",IFERROR(4*STDEVP(終値!AR361:BK361)/AVERAGE(終値!AR361:BK361),""))</f>
      </c>
      <c r="AP361" s="684">
        <f>IF(終値!A361="","",IFERROR(4*STDEVP(終値!AS361:BL361)/AVERAGE(終値!AS361:BL361),""))</f>
      </c>
    </row>
    <row r="362">
      <c r="A362" s="681">
        <f>IF(終値!A362="","",終値!A362)</f>
      </c>
      <c r="B362" s="684">
        <f>IF(終値!A362="","",IFERROR(4*STDEVP(終値!E362:X362)/AVERAGE(終値!E362:X362),""))</f>
      </c>
      <c r="C362" s="684">
        <f>IF(終値!A362="","",IFERROR(4*STDEVP(終値!F362:Y362)/AVERAGE(終値!F362:Y362),""))</f>
      </c>
      <c r="D362" s="684">
        <f>IF(終値!A362="","",IFERROR(4*STDEVP(終値!G362:Z362)/AVERAGE(終値!G362:Z362),""))</f>
      </c>
      <c r="E362" s="684">
        <f>IF(終値!A362="","",IFERROR(4*STDEVP(終値!H362:AA362)/AVERAGE(終値!H362:AA362),""))</f>
      </c>
      <c r="F362" s="684">
        <f>IF(終値!A362="","",IFERROR(4*STDEVP(終値!I362:AB362)/AVERAGE(終値!I362:AB362),""))</f>
      </c>
      <c r="G362" s="684">
        <f>IF(終値!A362="","",IFERROR(4*STDEVP(終値!J362:AC362)/AVERAGE(終値!J362:AC362),""))</f>
      </c>
      <c r="H362" s="684">
        <f>IF(終値!A362="","",IFERROR(4*STDEVP(終値!K362:AD362)/AVERAGE(終値!K362:AD362),""))</f>
      </c>
      <c r="I362" s="684">
        <f>IF(終値!A362="","",IFERROR(4*STDEVP(終値!L362:AE362)/AVERAGE(終値!L362:AE362),""))</f>
      </c>
      <c r="J362" s="684">
        <f>IF(終値!A362="","",IFERROR(4*STDEVP(終値!M362:AF362)/AVERAGE(終値!M362:AF362),""))</f>
      </c>
      <c r="K362" s="684">
        <f>IF(終値!A362="","",IFERROR(4*STDEVP(終値!N362:AG362)/AVERAGE(終値!N362:AG362),""))</f>
      </c>
      <c r="L362" s="684">
        <f>IF(終値!A362="","",IFERROR(4*STDEVP(終値!O362:AH362)/AVERAGE(終値!O362:AH362),""))</f>
      </c>
      <c r="M362" s="684">
        <f>IF(終値!A362="","",IFERROR(4*STDEVP(終値!P362:AI362)/AVERAGE(終値!P362:AI362),""))</f>
      </c>
      <c r="N362" s="684">
        <f>IF(終値!A362="","",IFERROR(4*STDEVP(終値!Q362:AJ362)/AVERAGE(終値!Q362:AJ362),""))</f>
      </c>
      <c r="O362" s="684">
        <f>IF(終値!A362="","",IFERROR(4*STDEVP(終値!R362:AK362)/AVERAGE(終値!R362:AK362),""))</f>
      </c>
      <c r="P362" s="684">
        <f>IF(終値!A362="","",IFERROR(4*STDEVP(終値!S362:AL362)/AVERAGE(終値!S362:AL362),""))</f>
      </c>
      <c r="Q362" s="684">
        <f>IF(終値!A362="","",IFERROR(4*STDEVP(終値!T362:AM362)/AVERAGE(終値!T362:AM362),""))</f>
      </c>
      <c r="R362" s="684">
        <f>IF(終値!A362="","",IFERROR(4*STDEVP(終値!U362:AN362)/AVERAGE(終値!U362:AN362),""))</f>
      </c>
      <c r="S362" s="684">
        <f>IF(終値!A362="","",IFERROR(4*STDEVP(終値!V362:AO362)/AVERAGE(終値!V362:AO362),""))</f>
      </c>
      <c r="T362" s="684">
        <f>IF(終値!A362="","",IFERROR(4*STDEVP(終値!W362:AP362)/AVERAGE(終値!W362:AP362),""))</f>
      </c>
      <c r="U362" s="684">
        <f>IF(終値!A362="","",IFERROR(4*STDEVP(終値!X362:AQ362)/AVERAGE(終値!X362:AQ362),""))</f>
      </c>
      <c r="V362" s="684">
        <f>IF(終値!A362="","",IFERROR(4*STDEVP(終値!Y362:AR362)/AVERAGE(終値!Y362:AR362),""))</f>
      </c>
      <c r="W362" s="684">
        <f>IF(終値!A362="","",IFERROR(4*STDEVP(終値!Z362:AS362)/AVERAGE(終値!Z362:AS362),""))</f>
      </c>
      <c r="X362" s="684">
        <f>IF(終値!A362="","",IFERROR(4*STDEVP(終値!AA362:AT362)/AVERAGE(終値!AA362:AT362),""))</f>
      </c>
      <c r="Y362" s="684">
        <f>IF(終値!A362="","",IFERROR(4*STDEVP(終値!AB362:AU362)/AVERAGE(終値!AB362:AU362),""))</f>
      </c>
      <c r="Z362" s="684">
        <f>IF(終値!A362="","",IFERROR(4*STDEVP(終値!AC362:AV362)/AVERAGE(終値!AC362:AV362),""))</f>
      </c>
      <c r="AA362" s="684">
        <f>IF(終値!A362="","",IFERROR(4*STDEVP(終値!AD362:AW362)/AVERAGE(終値!AD362:AW362),""))</f>
      </c>
      <c r="AB362" s="684">
        <f>IF(終値!A362="","",IFERROR(4*STDEVP(終値!AE362:AX362)/AVERAGE(終値!AE362:AX362),""))</f>
      </c>
      <c r="AC362" s="684">
        <f>IF(終値!A362="","",IFERROR(4*STDEVP(終値!AF362:AY362)/AVERAGE(終値!AF362:AY362),""))</f>
      </c>
      <c r="AD362" s="684">
        <f>IF(終値!A362="","",IFERROR(4*STDEVP(終値!AG362:AZ362)/AVERAGE(終値!AG362:AZ362),""))</f>
      </c>
      <c r="AE362" s="684">
        <f>IF(終値!A362="","",IFERROR(4*STDEVP(終値!AH362:BA362)/AVERAGE(終値!AH362:BA362),""))</f>
      </c>
      <c r="AF362" s="684">
        <f>IF(終値!A362="","",IFERROR(4*STDEVP(終値!AI362:BB362)/AVERAGE(終値!AI362:BB362),""))</f>
      </c>
      <c r="AG362" s="684">
        <f>IF(終値!A362="","",IFERROR(4*STDEVP(終値!AJ362:BC362)/AVERAGE(終値!AJ362:BC362),""))</f>
      </c>
      <c r="AH362" s="684">
        <f>IF(終値!A362="","",IFERROR(4*STDEVP(終値!AK362:BD362)/AVERAGE(終値!AK362:BD362),""))</f>
      </c>
      <c r="AI362" s="684">
        <f>IF(終値!A362="","",IFERROR(4*STDEVP(終値!AL362:BE362)/AVERAGE(終値!AL362:BE362),""))</f>
      </c>
      <c r="AJ362" s="684">
        <f>IF(終値!A362="","",IFERROR(4*STDEVP(終値!AM362:BF362)/AVERAGE(終値!AM362:BF362),""))</f>
      </c>
      <c r="AK362" s="684">
        <f>IF(終値!A362="","",IFERROR(4*STDEVP(終値!AN362:BG362)/AVERAGE(終値!AN362:BG362),""))</f>
      </c>
      <c r="AL362" s="684">
        <f>IF(終値!A362="","",IFERROR(4*STDEVP(終値!AO362:BH362)/AVERAGE(終値!AO362:BH362),""))</f>
      </c>
      <c r="AM362" s="684">
        <f>IF(終値!A362="","",IFERROR(4*STDEVP(終値!AP362:BI362)/AVERAGE(終値!AP362:BI362),""))</f>
      </c>
      <c r="AN362" s="684">
        <f>IF(終値!A362="","",IFERROR(4*STDEVP(終値!AQ362:BJ362)/AVERAGE(終値!AQ362:BJ362),""))</f>
      </c>
      <c r="AO362" s="684">
        <f>IF(終値!A362="","",IFERROR(4*STDEVP(終値!AR362:BK362)/AVERAGE(終値!AR362:BK362),""))</f>
      </c>
      <c r="AP362" s="684">
        <f>IF(終値!A362="","",IFERROR(4*STDEVP(終値!AS362:BL362)/AVERAGE(終値!AS362:BL362),""))</f>
      </c>
    </row>
    <row r="363">
      <c r="A363" s="681">
        <f>IF(終値!A363="","",終値!A363)</f>
      </c>
      <c r="B363" s="684">
        <f>IF(終値!A363="","",IFERROR(4*STDEVP(終値!E363:X363)/AVERAGE(終値!E363:X363),""))</f>
      </c>
      <c r="C363" s="684">
        <f>IF(終値!A363="","",IFERROR(4*STDEVP(終値!F363:Y363)/AVERAGE(終値!F363:Y363),""))</f>
      </c>
      <c r="D363" s="684">
        <f>IF(終値!A363="","",IFERROR(4*STDEVP(終値!G363:Z363)/AVERAGE(終値!G363:Z363),""))</f>
      </c>
      <c r="E363" s="684">
        <f>IF(終値!A363="","",IFERROR(4*STDEVP(終値!H363:AA363)/AVERAGE(終値!H363:AA363),""))</f>
      </c>
      <c r="F363" s="684">
        <f>IF(終値!A363="","",IFERROR(4*STDEVP(終値!I363:AB363)/AVERAGE(終値!I363:AB363),""))</f>
      </c>
      <c r="G363" s="684">
        <f>IF(終値!A363="","",IFERROR(4*STDEVP(終値!J363:AC363)/AVERAGE(終値!J363:AC363),""))</f>
      </c>
      <c r="H363" s="684">
        <f>IF(終値!A363="","",IFERROR(4*STDEVP(終値!K363:AD363)/AVERAGE(終値!K363:AD363),""))</f>
      </c>
      <c r="I363" s="684">
        <f>IF(終値!A363="","",IFERROR(4*STDEVP(終値!L363:AE363)/AVERAGE(終値!L363:AE363),""))</f>
      </c>
      <c r="J363" s="684">
        <f>IF(終値!A363="","",IFERROR(4*STDEVP(終値!M363:AF363)/AVERAGE(終値!M363:AF363),""))</f>
      </c>
      <c r="K363" s="684">
        <f>IF(終値!A363="","",IFERROR(4*STDEVP(終値!N363:AG363)/AVERAGE(終値!N363:AG363),""))</f>
      </c>
      <c r="L363" s="684">
        <f>IF(終値!A363="","",IFERROR(4*STDEVP(終値!O363:AH363)/AVERAGE(終値!O363:AH363),""))</f>
      </c>
      <c r="M363" s="684">
        <f>IF(終値!A363="","",IFERROR(4*STDEVP(終値!P363:AI363)/AVERAGE(終値!P363:AI363),""))</f>
      </c>
      <c r="N363" s="684">
        <f>IF(終値!A363="","",IFERROR(4*STDEVP(終値!Q363:AJ363)/AVERAGE(終値!Q363:AJ363),""))</f>
      </c>
      <c r="O363" s="684">
        <f>IF(終値!A363="","",IFERROR(4*STDEVP(終値!R363:AK363)/AVERAGE(終値!R363:AK363),""))</f>
      </c>
      <c r="P363" s="684">
        <f>IF(終値!A363="","",IFERROR(4*STDEVP(終値!S363:AL363)/AVERAGE(終値!S363:AL363),""))</f>
      </c>
      <c r="Q363" s="684">
        <f>IF(終値!A363="","",IFERROR(4*STDEVP(終値!T363:AM363)/AVERAGE(終値!T363:AM363),""))</f>
      </c>
      <c r="R363" s="684">
        <f>IF(終値!A363="","",IFERROR(4*STDEVP(終値!U363:AN363)/AVERAGE(終値!U363:AN363),""))</f>
      </c>
      <c r="S363" s="684">
        <f>IF(終値!A363="","",IFERROR(4*STDEVP(終値!V363:AO363)/AVERAGE(終値!V363:AO363),""))</f>
      </c>
      <c r="T363" s="684">
        <f>IF(終値!A363="","",IFERROR(4*STDEVP(終値!W363:AP363)/AVERAGE(終値!W363:AP363),""))</f>
      </c>
      <c r="U363" s="684">
        <f>IF(終値!A363="","",IFERROR(4*STDEVP(終値!X363:AQ363)/AVERAGE(終値!X363:AQ363),""))</f>
      </c>
      <c r="V363" s="684">
        <f>IF(終値!A363="","",IFERROR(4*STDEVP(終値!Y363:AR363)/AVERAGE(終値!Y363:AR363),""))</f>
      </c>
      <c r="W363" s="684">
        <f>IF(終値!A363="","",IFERROR(4*STDEVP(終値!Z363:AS363)/AVERAGE(終値!Z363:AS363),""))</f>
      </c>
      <c r="X363" s="684">
        <f>IF(終値!A363="","",IFERROR(4*STDEVP(終値!AA363:AT363)/AVERAGE(終値!AA363:AT363),""))</f>
      </c>
      <c r="Y363" s="684">
        <f>IF(終値!A363="","",IFERROR(4*STDEVP(終値!AB363:AU363)/AVERAGE(終値!AB363:AU363),""))</f>
      </c>
      <c r="Z363" s="684">
        <f>IF(終値!A363="","",IFERROR(4*STDEVP(終値!AC363:AV363)/AVERAGE(終値!AC363:AV363),""))</f>
      </c>
      <c r="AA363" s="684">
        <f>IF(終値!A363="","",IFERROR(4*STDEVP(終値!AD363:AW363)/AVERAGE(終値!AD363:AW363),""))</f>
      </c>
      <c r="AB363" s="684">
        <f>IF(終値!A363="","",IFERROR(4*STDEVP(終値!AE363:AX363)/AVERAGE(終値!AE363:AX363),""))</f>
      </c>
      <c r="AC363" s="684">
        <f>IF(終値!A363="","",IFERROR(4*STDEVP(終値!AF363:AY363)/AVERAGE(終値!AF363:AY363),""))</f>
      </c>
      <c r="AD363" s="684">
        <f>IF(終値!A363="","",IFERROR(4*STDEVP(終値!AG363:AZ363)/AVERAGE(終値!AG363:AZ363),""))</f>
      </c>
      <c r="AE363" s="684">
        <f>IF(終値!A363="","",IFERROR(4*STDEVP(終値!AH363:BA363)/AVERAGE(終値!AH363:BA363),""))</f>
      </c>
      <c r="AF363" s="684">
        <f>IF(終値!A363="","",IFERROR(4*STDEVP(終値!AI363:BB363)/AVERAGE(終値!AI363:BB363),""))</f>
      </c>
      <c r="AG363" s="684">
        <f>IF(終値!A363="","",IFERROR(4*STDEVP(終値!AJ363:BC363)/AVERAGE(終値!AJ363:BC363),""))</f>
      </c>
      <c r="AH363" s="684">
        <f>IF(終値!A363="","",IFERROR(4*STDEVP(終値!AK363:BD363)/AVERAGE(終値!AK363:BD363),""))</f>
      </c>
      <c r="AI363" s="684">
        <f>IF(終値!A363="","",IFERROR(4*STDEVP(終値!AL363:BE363)/AVERAGE(終値!AL363:BE363),""))</f>
      </c>
      <c r="AJ363" s="684">
        <f>IF(終値!A363="","",IFERROR(4*STDEVP(終値!AM363:BF363)/AVERAGE(終値!AM363:BF363),""))</f>
      </c>
      <c r="AK363" s="684">
        <f>IF(終値!A363="","",IFERROR(4*STDEVP(終値!AN363:BG363)/AVERAGE(終値!AN363:BG363),""))</f>
      </c>
      <c r="AL363" s="684">
        <f>IF(終値!A363="","",IFERROR(4*STDEVP(終値!AO363:BH363)/AVERAGE(終値!AO363:BH363),""))</f>
      </c>
      <c r="AM363" s="684">
        <f>IF(終値!A363="","",IFERROR(4*STDEVP(終値!AP363:BI363)/AVERAGE(終値!AP363:BI363),""))</f>
      </c>
      <c r="AN363" s="684">
        <f>IF(終値!A363="","",IFERROR(4*STDEVP(終値!AQ363:BJ363)/AVERAGE(終値!AQ363:BJ363),""))</f>
      </c>
      <c r="AO363" s="684">
        <f>IF(終値!A363="","",IFERROR(4*STDEVP(終値!AR363:BK363)/AVERAGE(終値!AR363:BK363),""))</f>
      </c>
      <c r="AP363" s="684">
        <f>IF(終値!A363="","",IFERROR(4*STDEVP(終値!AS363:BL363)/AVERAGE(終値!AS363:BL363),""))</f>
      </c>
    </row>
    <row r="364">
      <c r="A364" s="681">
        <f>IF(終値!A364="","",終値!A364)</f>
      </c>
      <c r="B364" s="684">
        <f>IF(終値!A364="","",IFERROR(4*STDEVP(終値!E364:X364)/AVERAGE(終値!E364:X364),""))</f>
      </c>
      <c r="C364" s="684">
        <f>IF(終値!A364="","",IFERROR(4*STDEVP(終値!F364:Y364)/AVERAGE(終値!F364:Y364),""))</f>
      </c>
      <c r="D364" s="684">
        <f>IF(終値!A364="","",IFERROR(4*STDEVP(終値!G364:Z364)/AVERAGE(終値!G364:Z364),""))</f>
      </c>
      <c r="E364" s="684">
        <f>IF(終値!A364="","",IFERROR(4*STDEVP(終値!H364:AA364)/AVERAGE(終値!H364:AA364),""))</f>
      </c>
      <c r="F364" s="684">
        <f>IF(終値!A364="","",IFERROR(4*STDEVP(終値!I364:AB364)/AVERAGE(終値!I364:AB364),""))</f>
      </c>
      <c r="G364" s="684">
        <f>IF(終値!A364="","",IFERROR(4*STDEVP(終値!J364:AC364)/AVERAGE(終値!J364:AC364),""))</f>
      </c>
      <c r="H364" s="684">
        <f>IF(終値!A364="","",IFERROR(4*STDEVP(終値!K364:AD364)/AVERAGE(終値!K364:AD364),""))</f>
      </c>
      <c r="I364" s="684">
        <f>IF(終値!A364="","",IFERROR(4*STDEVP(終値!L364:AE364)/AVERAGE(終値!L364:AE364),""))</f>
      </c>
      <c r="J364" s="684">
        <f>IF(終値!A364="","",IFERROR(4*STDEVP(終値!M364:AF364)/AVERAGE(終値!M364:AF364),""))</f>
      </c>
      <c r="K364" s="684">
        <f>IF(終値!A364="","",IFERROR(4*STDEVP(終値!N364:AG364)/AVERAGE(終値!N364:AG364),""))</f>
      </c>
      <c r="L364" s="684">
        <f>IF(終値!A364="","",IFERROR(4*STDEVP(終値!O364:AH364)/AVERAGE(終値!O364:AH364),""))</f>
      </c>
      <c r="M364" s="684">
        <f>IF(終値!A364="","",IFERROR(4*STDEVP(終値!P364:AI364)/AVERAGE(終値!P364:AI364),""))</f>
      </c>
      <c r="N364" s="684">
        <f>IF(終値!A364="","",IFERROR(4*STDEVP(終値!Q364:AJ364)/AVERAGE(終値!Q364:AJ364),""))</f>
      </c>
      <c r="O364" s="684">
        <f>IF(終値!A364="","",IFERROR(4*STDEVP(終値!R364:AK364)/AVERAGE(終値!R364:AK364),""))</f>
      </c>
      <c r="P364" s="684">
        <f>IF(終値!A364="","",IFERROR(4*STDEVP(終値!S364:AL364)/AVERAGE(終値!S364:AL364),""))</f>
      </c>
      <c r="Q364" s="684">
        <f>IF(終値!A364="","",IFERROR(4*STDEVP(終値!T364:AM364)/AVERAGE(終値!T364:AM364),""))</f>
      </c>
      <c r="R364" s="684">
        <f>IF(終値!A364="","",IFERROR(4*STDEVP(終値!U364:AN364)/AVERAGE(終値!U364:AN364),""))</f>
      </c>
      <c r="S364" s="684">
        <f>IF(終値!A364="","",IFERROR(4*STDEVP(終値!V364:AO364)/AVERAGE(終値!V364:AO364),""))</f>
      </c>
      <c r="T364" s="684">
        <f>IF(終値!A364="","",IFERROR(4*STDEVP(終値!W364:AP364)/AVERAGE(終値!W364:AP364),""))</f>
      </c>
      <c r="U364" s="684">
        <f>IF(終値!A364="","",IFERROR(4*STDEVP(終値!X364:AQ364)/AVERAGE(終値!X364:AQ364),""))</f>
      </c>
      <c r="V364" s="684">
        <f>IF(終値!A364="","",IFERROR(4*STDEVP(終値!Y364:AR364)/AVERAGE(終値!Y364:AR364),""))</f>
      </c>
      <c r="W364" s="684">
        <f>IF(終値!A364="","",IFERROR(4*STDEVP(終値!Z364:AS364)/AVERAGE(終値!Z364:AS364),""))</f>
      </c>
      <c r="X364" s="684">
        <f>IF(終値!A364="","",IFERROR(4*STDEVP(終値!AA364:AT364)/AVERAGE(終値!AA364:AT364),""))</f>
      </c>
      <c r="Y364" s="684">
        <f>IF(終値!A364="","",IFERROR(4*STDEVP(終値!AB364:AU364)/AVERAGE(終値!AB364:AU364),""))</f>
      </c>
      <c r="Z364" s="684">
        <f>IF(終値!A364="","",IFERROR(4*STDEVP(終値!AC364:AV364)/AVERAGE(終値!AC364:AV364),""))</f>
      </c>
      <c r="AA364" s="684">
        <f>IF(終値!A364="","",IFERROR(4*STDEVP(終値!AD364:AW364)/AVERAGE(終値!AD364:AW364),""))</f>
      </c>
      <c r="AB364" s="684">
        <f>IF(終値!A364="","",IFERROR(4*STDEVP(終値!AE364:AX364)/AVERAGE(終値!AE364:AX364),""))</f>
      </c>
      <c r="AC364" s="684">
        <f>IF(終値!A364="","",IFERROR(4*STDEVP(終値!AF364:AY364)/AVERAGE(終値!AF364:AY364),""))</f>
      </c>
      <c r="AD364" s="684">
        <f>IF(終値!A364="","",IFERROR(4*STDEVP(終値!AG364:AZ364)/AVERAGE(終値!AG364:AZ364),""))</f>
      </c>
      <c r="AE364" s="684">
        <f>IF(終値!A364="","",IFERROR(4*STDEVP(終値!AH364:BA364)/AVERAGE(終値!AH364:BA364),""))</f>
      </c>
      <c r="AF364" s="684">
        <f>IF(終値!A364="","",IFERROR(4*STDEVP(終値!AI364:BB364)/AVERAGE(終値!AI364:BB364),""))</f>
      </c>
      <c r="AG364" s="684">
        <f>IF(終値!A364="","",IFERROR(4*STDEVP(終値!AJ364:BC364)/AVERAGE(終値!AJ364:BC364),""))</f>
      </c>
      <c r="AH364" s="684">
        <f>IF(終値!A364="","",IFERROR(4*STDEVP(終値!AK364:BD364)/AVERAGE(終値!AK364:BD364),""))</f>
      </c>
      <c r="AI364" s="684">
        <f>IF(終値!A364="","",IFERROR(4*STDEVP(終値!AL364:BE364)/AVERAGE(終値!AL364:BE364),""))</f>
      </c>
      <c r="AJ364" s="684">
        <f>IF(終値!A364="","",IFERROR(4*STDEVP(終値!AM364:BF364)/AVERAGE(終値!AM364:BF364),""))</f>
      </c>
      <c r="AK364" s="684">
        <f>IF(終値!A364="","",IFERROR(4*STDEVP(終値!AN364:BG364)/AVERAGE(終値!AN364:BG364),""))</f>
      </c>
      <c r="AL364" s="684">
        <f>IF(終値!A364="","",IFERROR(4*STDEVP(終値!AO364:BH364)/AVERAGE(終値!AO364:BH364),""))</f>
      </c>
      <c r="AM364" s="684">
        <f>IF(終値!A364="","",IFERROR(4*STDEVP(終値!AP364:BI364)/AVERAGE(終値!AP364:BI364),""))</f>
      </c>
      <c r="AN364" s="684">
        <f>IF(終値!A364="","",IFERROR(4*STDEVP(終値!AQ364:BJ364)/AVERAGE(終値!AQ364:BJ364),""))</f>
      </c>
      <c r="AO364" s="684">
        <f>IF(終値!A364="","",IFERROR(4*STDEVP(終値!AR364:BK364)/AVERAGE(終値!AR364:BK364),""))</f>
      </c>
      <c r="AP364" s="684">
        <f>IF(終値!A364="","",IFERROR(4*STDEVP(終値!AS364:BL364)/AVERAGE(終値!AS364:BL364),""))</f>
      </c>
    </row>
    <row r="365">
      <c r="A365" s="681">
        <f>IF(終値!A365="","",終値!A365)</f>
      </c>
      <c r="B365" s="684">
        <f>IF(終値!A365="","",IFERROR(4*STDEVP(終値!E365:X365)/AVERAGE(終値!E365:X365),""))</f>
      </c>
      <c r="C365" s="684">
        <f>IF(終値!A365="","",IFERROR(4*STDEVP(終値!F365:Y365)/AVERAGE(終値!F365:Y365),""))</f>
      </c>
      <c r="D365" s="684">
        <f>IF(終値!A365="","",IFERROR(4*STDEVP(終値!G365:Z365)/AVERAGE(終値!G365:Z365),""))</f>
      </c>
      <c r="E365" s="684">
        <f>IF(終値!A365="","",IFERROR(4*STDEVP(終値!H365:AA365)/AVERAGE(終値!H365:AA365),""))</f>
      </c>
      <c r="F365" s="684">
        <f>IF(終値!A365="","",IFERROR(4*STDEVP(終値!I365:AB365)/AVERAGE(終値!I365:AB365),""))</f>
      </c>
      <c r="G365" s="684">
        <f>IF(終値!A365="","",IFERROR(4*STDEVP(終値!J365:AC365)/AVERAGE(終値!J365:AC365),""))</f>
      </c>
      <c r="H365" s="684">
        <f>IF(終値!A365="","",IFERROR(4*STDEVP(終値!K365:AD365)/AVERAGE(終値!K365:AD365),""))</f>
      </c>
      <c r="I365" s="684">
        <f>IF(終値!A365="","",IFERROR(4*STDEVP(終値!L365:AE365)/AVERAGE(終値!L365:AE365),""))</f>
      </c>
      <c r="J365" s="684">
        <f>IF(終値!A365="","",IFERROR(4*STDEVP(終値!M365:AF365)/AVERAGE(終値!M365:AF365),""))</f>
      </c>
      <c r="K365" s="684">
        <f>IF(終値!A365="","",IFERROR(4*STDEVP(終値!N365:AG365)/AVERAGE(終値!N365:AG365),""))</f>
      </c>
      <c r="L365" s="684">
        <f>IF(終値!A365="","",IFERROR(4*STDEVP(終値!O365:AH365)/AVERAGE(終値!O365:AH365),""))</f>
      </c>
      <c r="M365" s="684">
        <f>IF(終値!A365="","",IFERROR(4*STDEVP(終値!P365:AI365)/AVERAGE(終値!P365:AI365),""))</f>
      </c>
      <c r="N365" s="684">
        <f>IF(終値!A365="","",IFERROR(4*STDEVP(終値!Q365:AJ365)/AVERAGE(終値!Q365:AJ365),""))</f>
      </c>
      <c r="O365" s="684">
        <f>IF(終値!A365="","",IFERROR(4*STDEVP(終値!R365:AK365)/AVERAGE(終値!R365:AK365),""))</f>
      </c>
      <c r="P365" s="684">
        <f>IF(終値!A365="","",IFERROR(4*STDEVP(終値!S365:AL365)/AVERAGE(終値!S365:AL365),""))</f>
      </c>
      <c r="Q365" s="684">
        <f>IF(終値!A365="","",IFERROR(4*STDEVP(終値!T365:AM365)/AVERAGE(終値!T365:AM365),""))</f>
      </c>
      <c r="R365" s="684">
        <f>IF(終値!A365="","",IFERROR(4*STDEVP(終値!U365:AN365)/AVERAGE(終値!U365:AN365),""))</f>
      </c>
      <c r="S365" s="684">
        <f>IF(終値!A365="","",IFERROR(4*STDEVP(終値!V365:AO365)/AVERAGE(終値!V365:AO365),""))</f>
      </c>
      <c r="T365" s="684">
        <f>IF(終値!A365="","",IFERROR(4*STDEVP(終値!W365:AP365)/AVERAGE(終値!W365:AP365),""))</f>
      </c>
      <c r="U365" s="684">
        <f>IF(終値!A365="","",IFERROR(4*STDEVP(終値!X365:AQ365)/AVERAGE(終値!X365:AQ365),""))</f>
      </c>
      <c r="V365" s="684">
        <f>IF(終値!A365="","",IFERROR(4*STDEVP(終値!Y365:AR365)/AVERAGE(終値!Y365:AR365),""))</f>
      </c>
      <c r="W365" s="684">
        <f>IF(終値!A365="","",IFERROR(4*STDEVP(終値!Z365:AS365)/AVERAGE(終値!Z365:AS365),""))</f>
      </c>
      <c r="X365" s="684">
        <f>IF(終値!A365="","",IFERROR(4*STDEVP(終値!AA365:AT365)/AVERAGE(終値!AA365:AT365),""))</f>
      </c>
      <c r="Y365" s="684">
        <f>IF(終値!A365="","",IFERROR(4*STDEVP(終値!AB365:AU365)/AVERAGE(終値!AB365:AU365),""))</f>
      </c>
      <c r="Z365" s="684">
        <f>IF(終値!A365="","",IFERROR(4*STDEVP(終値!AC365:AV365)/AVERAGE(終値!AC365:AV365),""))</f>
      </c>
      <c r="AA365" s="684">
        <f>IF(終値!A365="","",IFERROR(4*STDEVP(終値!AD365:AW365)/AVERAGE(終値!AD365:AW365),""))</f>
      </c>
      <c r="AB365" s="684">
        <f>IF(終値!A365="","",IFERROR(4*STDEVP(終値!AE365:AX365)/AVERAGE(終値!AE365:AX365),""))</f>
      </c>
      <c r="AC365" s="684">
        <f>IF(終値!A365="","",IFERROR(4*STDEVP(終値!AF365:AY365)/AVERAGE(終値!AF365:AY365),""))</f>
      </c>
      <c r="AD365" s="684">
        <f>IF(終値!A365="","",IFERROR(4*STDEVP(終値!AG365:AZ365)/AVERAGE(終値!AG365:AZ365),""))</f>
      </c>
      <c r="AE365" s="684">
        <f>IF(終値!A365="","",IFERROR(4*STDEVP(終値!AH365:BA365)/AVERAGE(終値!AH365:BA365),""))</f>
      </c>
      <c r="AF365" s="684">
        <f>IF(終値!A365="","",IFERROR(4*STDEVP(終値!AI365:BB365)/AVERAGE(終値!AI365:BB365),""))</f>
      </c>
      <c r="AG365" s="684">
        <f>IF(終値!A365="","",IFERROR(4*STDEVP(終値!AJ365:BC365)/AVERAGE(終値!AJ365:BC365),""))</f>
      </c>
      <c r="AH365" s="684">
        <f>IF(終値!A365="","",IFERROR(4*STDEVP(終値!AK365:BD365)/AVERAGE(終値!AK365:BD365),""))</f>
      </c>
      <c r="AI365" s="684">
        <f>IF(終値!A365="","",IFERROR(4*STDEVP(終値!AL365:BE365)/AVERAGE(終値!AL365:BE365),""))</f>
      </c>
      <c r="AJ365" s="684">
        <f>IF(終値!A365="","",IFERROR(4*STDEVP(終値!AM365:BF365)/AVERAGE(終値!AM365:BF365),""))</f>
      </c>
      <c r="AK365" s="684">
        <f>IF(終値!A365="","",IFERROR(4*STDEVP(終値!AN365:BG365)/AVERAGE(終値!AN365:BG365),""))</f>
      </c>
      <c r="AL365" s="684">
        <f>IF(終値!A365="","",IFERROR(4*STDEVP(終値!AO365:BH365)/AVERAGE(終値!AO365:BH365),""))</f>
      </c>
      <c r="AM365" s="684">
        <f>IF(終値!A365="","",IFERROR(4*STDEVP(終値!AP365:BI365)/AVERAGE(終値!AP365:BI365),""))</f>
      </c>
      <c r="AN365" s="684">
        <f>IF(終値!A365="","",IFERROR(4*STDEVP(終値!AQ365:BJ365)/AVERAGE(終値!AQ365:BJ365),""))</f>
      </c>
      <c r="AO365" s="684">
        <f>IF(終値!A365="","",IFERROR(4*STDEVP(終値!AR365:BK365)/AVERAGE(終値!AR365:BK365),""))</f>
      </c>
      <c r="AP365" s="684">
        <f>IF(終値!A365="","",IFERROR(4*STDEVP(終値!AS365:BL365)/AVERAGE(終値!AS365:BL365),""))</f>
      </c>
    </row>
    <row r="366">
      <c r="A366" s="681">
        <f>IF(終値!A366="","",終値!A366)</f>
      </c>
      <c r="B366" s="684">
        <f>IF(終値!A366="","",IFERROR(4*STDEVP(終値!E366:X366)/AVERAGE(終値!E366:X366),""))</f>
      </c>
      <c r="C366" s="684">
        <f>IF(終値!A366="","",IFERROR(4*STDEVP(終値!F366:Y366)/AVERAGE(終値!F366:Y366),""))</f>
      </c>
      <c r="D366" s="684">
        <f>IF(終値!A366="","",IFERROR(4*STDEVP(終値!G366:Z366)/AVERAGE(終値!G366:Z366),""))</f>
      </c>
      <c r="E366" s="684">
        <f>IF(終値!A366="","",IFERROR(4*STDEVP(終値!H366:AA366)/AVERAGE(終値!H366:AA366),""))</f>
      </c>
      <c r="F366" s="684">
        <f>IF(終値!A366="","",IFERROR(4*STDEVP(終値!I366:AB366)/AVERAGE(終値!I366:AB366),""))</f>
      </c>
      <c r="G366" s="684">
        <f>IF(終値!A366="","",IFERROR(4*STDEVP(終値!J366:AC366)/AVERAGE(終値!J366:AC366),""))</f>
      </c>
      <c r="H366" s="684">
        <f>IF(終値!A366="","",IFERROR(4*STDEVP(終値!K366:AD366)/AVERAGE(終値!K366:AD366),""))</f>
      </c>
      <c r="I366" s="684">
        <f>IF(終値!A366="","",IFERROR(4*STDEVP(終値!L366:AE366)/AVERAGE(終値!L366:AE366),""))</f>
      </c>
      <c r="J366" s="684">
        <f>IF(終値!A366="","",IFERROR(4*STDEVP(終値!M366:AF366)/AVERAGE(終値!M366:AF366),""))</f>
      </c>
      <c r="K366" s="684">
        <f>IF(終値!A366="","",IFERROR(4*STDEVP(終値!N366:AG366)/AVERAGE(終値!N366:AG366),""))</f>
      </c>
      <c r="L366" s="684">
        <f>IF(終値!A366="","",IFERROR(4*STDEVP(終値!O366:AH366)/AVERAGE(終値!O366:AH366),""))</f>
      </c>
      <c r="M366" s="684">
        <f>IF(終値!A366="","",IFERROR(4*STDEVP(終値!P366:AI366)/AVERAGE(終値!P366:AI366),""))</f>
      </c>
      <c r="N366" s="684">
        <f>IF(終値!A366="","",IFERROR(4*STDEVP(終値!Q366:AJ366)/AVERAGE(終値!Q366:AJ366),""))</f>
      </c>
      <c r="O366" s="684">
        <f>IF(終値!A366="","",IFERROR(4*STDEVP(終値!R366:AK366)/AVERAGE(終値!R366:AK366),""))</f>
      </c>
      <c r="P366" s="684">
        <f>IF(終値!A366="","",IFERROR(4*STDEVP(終値!S366:AL366)/AVERAGE(終値!S366:AL366),""))</f>
      </c>
      <c r="Q366" s="684">
        <f>IF(終値!A366="","",IFERROR(4*STDEVP(終値!T366:AM366)/AVERAGE(終値!T366:AM366),""))</f>
      </c>
      <c r="R366" s="684">
        <f>IF(終値!A366="","",IFERROR(4*STDEVP(終値!U366:AN366)/AVERAGE(終値!U366:AN366),""))</f>
      </c>
      <c r="S366" s="684">
        <f>IF(終値!A366="","",IFERROR(4*STDEVP(終値!V366:AO366)/AVERAGE(終値!V366:AO366),""))</f>
      </c>
      <c r="T366" s="684">
        <f>IF(終値!A366="","",IFERROR(4*STDEVP(終値!W366:AP366)/AVERAGE(終値!W366:AP366),""))</f>
      </c>
      <c r="U366" s="684">
        <f>IF(終値!A366="","",IFERROR(4*STDEVP(終値!X366:AQ366)/AVERAGE(終値!X366:AQ366),""))</f>
      </c>
      <c r="V366" s="684">
        <f>IF(終値!A366="","",IFERROR(4*STDEVP(終値!Y366:AR366)/AVERAGE(終値!Y366:AR366),""))</f>
      </c>
      <c r="W366" s="684">
        <f>IF(終値!A366="","",IFERROR(4*STDEVP(終値!Z366:AS366)/AVERAGE(終値!Z366:AS366),""))</f>
      </c>
      <c r="X366" s="684">
        <f>IF(終値!A366="","",IFERROR(4*STDEVP(終値!AA366:AT366)/AVERAGE(終値!AA366:AT366),""))</f>
      </c>
      <c r="Y366" s="684">
        <f>IF(終値!A366="","",IFERROR(4*STDEVP(終値!AB366:AU366)/AVERAGE(終値!AB366:AU366),""))</f>
      </c>
      <c r="Z366" s="684">
        <f>IF(終値!A366="","",IFERROR(4*STDEVP(終値!AC366:AV366)/AVERAGE(終値!AC366:AV366),""))</f>
      </c>
      <c r="AA366" s="684">
        <f>IF(終値!A366="","",IFERROR(4*STDEVP(終値!AD366:AW366)/AVERAGE(終値!AD366:AW366),""))</f>
      </c>
      <c r="AB366" s="684">
        <f>IF(終値!A366="","",IFERROR(4*STDEVP(終値!AE366:AX366)/AVERAGE(終値!AE366:AX366),""))</f>
      </c>
      <c r="AC366" s="684">
        <f>IF(終値!A366="","",IFERROR(4*STDEVP(終値!AF366:AY366)/AVERAGE(終値!AF366:AY366),""))</f>
      </c>
      <c r="AD366" s="684">
        <f>IF(終値!A366="","",IFERROR(4*STDEVP(終値!AG366:AZ366)/AVERAGE(終値!AG366:AZ366),""))</f>
      </c>
      <c r="AE366" s="684">
        <f>IF(終値!A366="","",IFERROR(4*STDEVP(終値!AH366:BA366)/AVERAGE(終値!AH366:BA366),""))</f>
      </c>
      <c r="AF366" s="684">
        <f>IF(終値!A366="","",IFERROR(4*STDEVP(終値!AI366:BB366)/AVERAGE(終値!AI366:BB366),""))</f>
      </c>
      <c r="AG366" s="684">
        <f>IF(終値!A366="","",IFERROR(4*STDEVP(終値!AJ366:BC366)/AVERAGE(終値!AJ366:BC366),""))</f>
      </c>
      <c r="AH366" s="684">
        <f>IF(終値!A366="","",IFERROR(4*STDEVP(終値!AK366:BD366)/AVERAGE(終値!AK366:BD366),""))</f>
      </c>
      <c r="AI366" s="684">
        <f>IF(終値!A366="","",IFERROR(4*STDEVP(終値!AL366:BE366)/AVERAGE(終値!AL366:BE366),""))</f>
      </c>
      <c r="AJ366" s="684">
        <f>IF(終値!A366="","",IFERROR(4*STDEVP(終値!AM366:BF366)/AVERAGE(終値!AM366:BF366),""))</f>
      </c>
      <c r="AK366" s="684">
        <f>IF(終値!A366="","",IFERROR(4*STDEVP(終値!AN366:BG366)/AVERAGE(終値!AN366:BG366),""))</f>
      </c>
      <c r="AL366" s="684">
        <f>IF(終値!A366="","",IFERROR(4*STDEVP(終値!AO366:BH366)/AVERAGE(終値!AO366:BH366),""))</f>
      </c>
      <c r="AM366" s="684">
        <f>IF(終値!A366="","",IFERROR(4*STDEVP(終値!AP366:BI366)/AVERAGE(終値!AP366:BI366),""))</f>
      </c>
      <c r="AN366" s="684">
        <f>IF(終値!A366="","",IFERROR(4*STDEVP(終値!AQ366:BJ366)/AVERAGE(終値!AQ366:BJ366),""))</f>
      </c>
      <c r="AO366" s="684">
        <f>IF(終値!A366="","",IFERROR(4*STDEVP(終値!AR366:BK366)/AVERAGE(終値!AR366:BK366),""))</f>
      </c>
      <c r="AP366" s="684">
        <f>IF(終値!A366="","",IFERROR(4*STDEVP(終値!AS366:BL366)/AVERAGE(終値!AS366:BL366),""))</f>
      </c>
    </row>
    <row r="367">
      <c r="A367" s="681">
        <f>IF(終値!A367="","",終値!A367)</f>
      </c>
      <c r="B367" s="684">
        <f>IF(終値!A367="","",IFERROR(4*STDEVP(終値!E367:X367)/AVERAGE(終値!E367:X367),""))</f>
      </c>
      <c r="C367" s="684">
        <f>IF(終値!A367="","",IFERROR(4*STDEVP(終値!F367:Y367)/AVERAGE(終値!F367:Y367),""))</f>
      </c>
      <c r="D367" s="684">
        <f>IF(終値!A367="","",IFERROR(4*STDEVP(終値!G367:Z367)/AVERAGE(終値!G367:Z367),""))</f>
      </c>
      <c r="E367" s="684">
        <f>IF(終値!A367="","",IFERROR(4*STDEVP(終値!H367:AA367)/AVERAGE(終値!H367:AA367),""))</f>
      </c>
      <c r="F367" s="684">
        <f>IF(終値!A367="","",IFERROR(4*STDEVP(終値!I367:AB367)/AVERAGE(終値!I367:AB367),""))</f>
      </c>
      <c r="G367" s="684">
        <f>IF(終値!A367="","",IFERROR(4*STDEVP(終値!J367:AC367)/AVERAGE(終値!J367:AC367),""))</f>
      </c>
      <c r="H367" s="684">
        <f>IF(終値!A367="","",IFERROR(4*STDEVP(終値!K367:AD367)/AVERAGE(終値!K367:AD367),""))</f>
      </c>
      <c r="I367" s="684">
        <f>IF(終値!A367="","",IFERROR(4*STDEVP(終値!L367:AE367)/AVERAGE(終値!L367:AE367),""))</f>
      </c>
      <c r="J367" s="684">
        <f>IF(終値!A367="","",IFERROR(4*STDEVP(終値!M367:AF367)/AVERAGE(終値!M367:AF367),""))</f>
      </c>
      <c r="K367" s="684">
        <f>IF(終値!A367="","",IFERROR(4*STDEVP(終値!N367:AG367)/AVERAGE(終値!N367:AG367),""))</f>
      </c>
      <c r="L367" s="684">
        <f>IF(終値!A367="","",IFERROR(4*STDEVP(終値!O367:AH367)/AVERAGE(終値!O367:AH367),""))</f>
      </c>
      <c r="M367" s="684">
        <f>IF(終値!A367="","",IFERROR(4*STDEVP(終値!P367:AI367)/AVERAGE(終値!P367:AI367),""))</f>
      </c>
      <c r="N367" s="684">
        <f>IF(終値!A367="","",IFERROR(4*STDEVP(終値!Q367:AJ367)/AVERAGE(終値!Q367:AJ367),""))</f>
      </c>
      <c r="O367" s="684">
        <f>IF(終値!A367="","",IFERROR(4*STDEVP(終値!R367:AK367)/AVERAGE(終値!R367:AK367),""))</f>
      </c>
      <c r="P367" s="684">
        <f>IF(終値!A367="","",IFERROR(4*STDEVP(終値!S367:AL367)/AVERAGE(終値!S367:AL367),""))</f>
      </c>
      <c r="Q367" s="684">
        <f>IF(終値!A367="","",IFERROR(4*STDEVP(終値!T367:AM367)/AVERAGE(終値!T367:AM367),""))</f>
      </c>
      <c r="R367" s="684">
        <f>IF(終値!A367="","",IFERROR(4*STDEVP(終値!U367:AN367)/AVERAGE(終値!U367:AN367),""))</f>
      </c>
      <c r="S367" s="684">
        <f>IF(終値!A367="","",IFERROR(4*STDEVP(終値!V367:AO367)/AVERAGE(終値!V367:AO367),""))</f>
      </c>
      <c r="T367" s="684">
        <f>IF(終値!A367="","",IFERROR(4*STDEVP(終値!W367:AP367)/AVERAGE(終値!W367:AP367),""))</f>
      </c>
      <c r="U367" s="684">
        <f>IF(終値!A367="","",IFERROR(4*STDEVP(終値!X367:AQ367)/AVERAGE(終値!X367:AQ367),""))</f>
      </c>
      <c r="V367" s="684">
        <f>IF(終値!A367="","",IFERROR(4*STDEVP(終値!Y367:AR367)/AVERAGE(終値!Y367:AR367),""))</f>
      </c>
      <c r="W367" s="684">
        <f>IF(終値!A367="","",IFERROR(4*STDEVP(終値!Z367:AS367)/AVERAGE(終値!Z367:AS367),""))</f>
      </c>
      <c r="X367" s="684">
        <f>IF(終値!A367="","",IFERROR(4*STDEVP(終値!AA367:AT367)/AVERAGE(終値!AA367:AT367),""))</f>
      </c>
      <c r="Y367" s="684">
        <f>IF(終値!A367="","",IFERROR(4*STDEVP(終値!AB367:AU367)/AVERAGE(終値!AB367:AU367),""))</f>
      </c>
      <c r="Z367" s="684">
        <f>IF(終値!A367="","",IFERROR(4*STDEVP(終値!AC367:AV367)/AVERAGE(終値!AC367:AV367),""))</f>
      </c>
      <c r="AA367" s="684">
        <f>IF(終値!A367="","",IFERROR(4*STDEVP(終値!AD367:AW367)/AVERAGE(終値!AD367:AW367),""))</f>
      </c>
      <c r="AB367" s="684">
        <f>IF(終値!A367="","",IFERROR(4*STDEVP(終値!AE367:AX367)/AVERAGE(終値!AE367:AX367),""))</f>
      </c>
      <c r="AC367" s="684">
        <f>IF(終値!A367="","",IFERROR(4*STDEVP(終値!AF367:AY367)/AVERAGE(終値!AF367:AY367),""))</f>
      </c>
      <c r="AD367" s="684">
        <f>IF(終値!A367="","",IFERROR(4*STDEVP(終値!AG367:AZ367)/AVERAGE(終値!AG367:AZ367),""))</f>
      </c>
      <c r="AE367" s="684">
        <f>IF(終値!A367="","",IFERROR(4*STDEVP(終値!AH367:BA367)/AVERAGE(終値!AH367:BA367),""))</f>
      </c>
      <c r="AF367" s="684">
        <f>IF(終値!A367="","",IFERROR(4*STDEVP(終値!AI367:BB367)/AVERAGE(終値!AI367:BB367),""))</f>
      </c>
      <c r="AG367" s="684">
        <f>IF(終値!A367="","",IFERROR(4*STDEVP(終値!AJ367:BC367)/AVERAGE(終値!AJ367:BC367),""))</f>
      </c>
      <c r="AH367" s="684">
        <f>IF(終値!A367="","",IFERROR(4*STDEVP(終値!AK367:BD367)/AVERAGE(終値!AK367:BD367),""))</f>
      </c>
      <c r="AI367" s="684">
        <f>IF(終値!A367="","",IFERROR(4*STDEVP(終値!AL367:BE367)/AVERAGE(終値!AL367:BE367),""))</f>
      </c>
      <c r="AJ367" s="684">
        <f>IF(終値!A367="","",IFERROR(4*STDEVP(終値!AM367:BF367)/AVERAGE(終値!AM367:BF367),""))</f>
      </c>
      <c r="AK367" s="684">
        <f>IF(終値!A367="","",IFERROR(4*STDEVP(終値!AN367:BG367)/AVERAGE(終値!AN367:BG367),""))</f>
      </c>
      <c r="AL367" s="684">
        <f>IF(終値!A367="","",IFERROR(4*STDEVP(終値!AO367:BH367)/AVERAGE(終値!AO367:BH367),""))</f>
      </c>
      <c r="AM367" s="684">
        <f>IF(終値!A367="","",IFERROR(4*STDEVP(終値!AP367:BI367)/AVERAGE(終値!AP367:BI367),""))</f>
      </c>
      <c r="AN367" s="684">
        <f>IF(終値!A367="","",IFERROR(4*STDEVP(終値!AQ367:BJ367)/AVERAGE(終値!AQ367:BJ367),""))</f>
      </c>
      <c r="AO367" s="684">
        <f>IF(終値!A367="","",IFERROR(4*STDEVP(終値!AR367:BK367)/AVERAGE(終値!AR367:BK367),""))</f>
      </c>
      <c r="AP367" s="684">
        <f>IF(終値!A367="","",IFERROR(4*STDEVP(終値!AS367:BL367)/AVERAGE(終値!AS367:BL367),""))</f>
      </c>
    </row>
    <row r="368">
      <c r="A368" s="681">
        <f>IF(終値!A368="","",終値!A368)</f>
      </c>
      <c r="B368" s="684">
        <f>IF(終値!A368="","",IFERROR(4*STDEVP(終値!E368:X368)/AVERAGE(終値!E368:X368),""))</f>
      </c>
      <c r="C368" s="684">
        <f>IF(終値!A368="","",IFERROR(4*STDEVP(終値!F368:Y368)/AVERAGE(終値!F368:Y368),""))</f>
      </c>
      <c r="D368" s="684">
        <f>IF(終値!A368="","",IFERROR(4*STDEVP(終値!G368:Z368)/AVERAGE(終値!G368:Z368),""))</f>
      </c>
      <c r="E368" s="684">
        <f>IF(終値!A368="","",IFERROR(4*STDEVP(終値!H368:AA368)/AVERAGE(終値!H368:AA368),""))</f>
      </c>
      <c r="F368" s="684">
        <f>IF(終値!A368="","",IFERROR(4*STDEVP(終値!I368:AB368)/AVERAGE(終値!I368:AB368),""))</f>
      </c>
      <c r="G368" s="684">
        <f>IF(終値!A368="","",IFERROR(4*STDEVP(終値!J368:AC368)/AVERAGE(終値!J368:AC368),""))</f>
      </c>
      <c r="H368" s="684">
        <f>IF(終値!A368="","",IFERROR(4*STDEVP(終値!K368:AD368)/AVERAGE(終値!K368:AD368),""))</f>
      </c>
      <c r="I368" s="684">
        <f>IF(終値!A368="","",IFERROR(4*STDEVP(終値!L368:AE368)/AVERAGE(終値!L368:AE368),""))</f>
      </c>
      <c r="J368" s="684">
        <f>IF(終値!A368="","",IFERROR(4*STDEVP(終値!M368:AF368)/AVERAGE(終値!M368:AF368),""))</f>
      </c>
      <c r="K368" s="684">
        <f>IF(終値!A368="","",IFERROR(4*STDEVP(終値!N368:AG368)/AVERAGE(終値!N368:AG368),""))</f>
      </c>
      <c r="L368" s="684">
        <f>IF(終値!A368="","",IFERROR(4*STDEVP(終値!O368:AH368)/AVERAGE(終値!O368:AH368),""))</f>
      </c>
      <c r="M368" s="684">
        <f>IF(終値!A368="","",IFERROR(4*STDEVP(終値!P368:AI368)/AVERAGE(終値!P368:AI368),""))</f>
      </c>
      <c r="N368" s="684">
        <f>IF(終値!A368="","",IFERROR(4*STDEVP(終値!Q368:AJ368)/AVERAGE(終値!Q368:AJ368),""))</f>
      </c>
      <c r="O368" s="684">
        <f>IF(終値!A368="","",IFERROR(4*STDEVP(終値!R368:AK368)/AVERAGE(終値!R368:AK368),""))</f>
      </c>
      <c r="P368" s="684">
        <f>IF(終値!A368="","",IFERROR(4*STDEVP(終値!S368:AL368)/AVERAGE(終値!S368:AL368),""))</f>
      </c>
      <c r="Q368" s="684">
        <f>IF(終値!A368="","",IFERROR(4*STDEVP(終値!T368:AM368)/AVERAGE(終値!T368:AM368),""))</f>
      </c>
      <c r="R368" s="684">
        <f>IF(終値!A368="","",IFERROR(4*STDEVP(終値!U368:AN368)/AVERAGE(終値!U368:AN368),""))</f>
      </c>
      <c r="S368" s="684">
        <f>IF(終値!A368="","",IFERROR(4*STDEVP(終値!V368:AO368)/AVERAGE(終値!V368:AO368),""))</f>
      </c>
      <c r="T368" s="684">
        <f>IF(終値!A368="","",IFERROR(4*STDEVP(終値!W368:AP368)/AVERAGE(終値!W368:AP368),""))</f>
      </c>
      <c r="U368" s="684">
        <f>IF(終値!A368="","",IFERROR(4*STDEVP(終値!X368:AQ368)/AVERAGE(終値!X368:AQ368),""))</f>
      </c>
      <c r="V368" s="684">
        <f>IF(終値!A368="","",IFERROR(4*STDEVP(終値!Y368:AR368)/AVERAGE(終値!Y368:AR368),""))</f>
      </c>
      <c r="W368" s="684">
        <f>IF(終値!A368="","",IFERROR(4*STDEVP(終値!Z368:AS368)/AVERAGE(終値!Z368:AS368),""))</f>
      </c>
      <c r="X368" s="684">
        <f>IF(終値!A368="","",IFERROR(4*STDEVP(終値!AA368:AT368)/AVERAGE(終値!AA368:AT368),""))</f>
      </c>
      <c r="Y368" s="684">
        <f>IF(終値!A368="","",IFERROR(4*STDEVP(終値!AB368:AU368)/AVERAGE(終値!AB368:AU368),""))</f>
      </c>
      <c r="Z368" s="684">
        <f>IF(終値!A368="","",IFERROR(4*STDEVP(終値!AC368:AV368)/AVERAGE(終値!AC368:AV368),""))</f>
      </c>
      <c r="AA368" s="684">
        <f>IF(終値!A368="","",IFERROR(4*STDEVP(終値!AD368:AW368)/AVERAGE(終値!AD368:AW368),""))</f>
      </c>
      <c r="AB368" s="684">
        <f>IF(終値!A368="","",IFERROR(4*STDEVP(終値!AE368:AX368)/AVERAGE(終値!AE368:AX368),""))</f>
      </c>
      <c r="AC368" s="684">
        <f>IF(終値!A368="","",IFERROR(4*STDEVP(終値!AF368:AY368)/AVERAGE(終値!AF368:AY368),""))</f>
      </c>
      <c r="AD368" s="684">
        <f>IF(終値!A368="","",IFERROR(4*STDEVP(終値!AG368:AZ368)/AVERAGE(終値!AG368:AZ368),""))</f>
      </c>
      <c r="AE368" s="684">
        <f>IF(終値!A368="","",IFERROR(4*STDEVP(終値!AH368:BA368)/AVERAGE(終値!AH368:BA368),""))</f>
      </c>
      <c r="AF368" s="684">
        <f>IF(終値!A368="","",IFERROR(4*STDEVP(終値!AI368:BB368)/AVERAGE(終値!AI368:BB368),""))</f>
      </c>
      <c r="AG368" s="684">
        <f>IF(終値!A368="","",IFERROR(4*STDEVP(終値!AJ368:BC368)/AVERAGE(終値!AJ368:BC368),""))</f>
      </c>
      <c r="AH368" s="684">
        <f>IF(終値!A368="","",IFERROR(4*STDEVP(終値!AK368:BD368)/AVERAGE(終値!AK368:BD368),""))</f>
      </c>
      <c r="AI368" s="684">
        <f>IF(終値!A368="","",IFERROR(4*STDEVP(終値!AL368:BE368)/AVERAGE(終値!AL368:BE368),""))</f>
      </c>
      <c r="AJ368" s="684">
        <f>IF(終値!A368="","",IFERROR(4*STDEVP(終値!AM368:BF368)/AVERAGE(終値!AM368:BF368),""))</f>
      </c>
      <c r="AK368" s="684">
        <f>IF(終値!A368="","",IFERROR(4*STDEVP(終値!AN368:BG368)/AVERAGE(終値!AN368:BG368),""))</f>
      </c>
      <c r="AL368" s="684">
        <f>IF(終値!A368="","",IFERROR(4*STDEVP(終値!AO368:BH368)/AVERAGE(終値!AO368:BH368),""))</f>
      </c>
      <c r="AM368" s="684">
        <f>IF(終値!A368="","",IFERROR(4*STDEVP(終値!AP368:BI368)/AVERAGE(終値!AP368:BI368),""))</f>
      </c>
      <c r="AN368" s="684">
        <f>IF(終値!A368="","",IFERROR(4*STDEVP(終値!AQ368:BJ368)/AVERAGE(終値!AQ368:BJ368),""))</f>
      </c>
      <c r="AO368" s="684">
        <f>IF(終値!A368="","",IFERROR(4*STDEVP(終値!AR368:BK368)/AVERAGE(終値!AR368:BK368),""))</f>
      </c>
      <c r="AP368" s="684">
        <f>IF(終値!A368="","",IFERROR(4*STDEVP(終値!AS368:BL368)/AVERAGE(終値!AS368:BL368),""))</f>
      </c>
    </row>
    <row r="369">
      <c r="A369" s="681">
        <f>IF(終値!A369="","",終値!A369)</f>
      </c>
      <c r="B369" s="684">
        <f>IF(終値!A369="","",IFERROR(4*STDEVP(終値!E369:X369)/AVERAGE(終値!E369:X369),""))</f>
      </c>
      <c r="C369" s="684">
        <f>IF(終値!A369="","",IFERROR(4*STDEVP(終値!F369:Y369)/AVERAGE(終値!F369:Y369),""))</f>
      </c>
      <c r="D369" s="684">
        <f>IF(終値!A369="","",IFERROR(4*STDEVP(終値!G369:Z369)/AVERAGE(終値!G369:Z369),""))</f>
      </c>
      <c r="E369" s="684">
        <f>IF(終値!A369="","",IFERROR(4*STDEVP(終値!H369:AA369)/AVERAGE(終値!H369:AA369),""))</f>
      </c>
      <c r="F369" s="684">
        <f>IF(終値!A369="","",IFERROR(4*STDEVP(終値!I369:AB369)/AVERAGE(終値!I369:AB369),""))</f>
      </c>
      <c r="G369" s="684">
        <f>IF(終値!A369="","",IFERROR(4*STDEVP(終値!J369:AC369)/AVERAGE(終値!J369:AC369),""))</f>
      </c>
      <c r="H369" s="684">
        <f>IF(終値!A369="","",IFERROR(4*STDEVP(終値!K369:AD369)/AVERAGE(終値!K369:AD369),""))</f>
      </c>
      <c r="I369" s="684">
        <f>IF(終値!A369="","",IFERROR(4*STDEVP(終値!L369:AE369)/AVERAGE(終値!L369:AE369),""))</f>
      </c>
      <c r="J369" s="684">
        <f>IF(終値!A369="","",IFERROR(4*STDEVP(終値!M369:AF369)/AVERAGE(終値!M369:AF369),""))</f>
      </c>
      <c r="K369" s="684">
        <f>IF(終値!A369="","",IFERROR(4*STDEVP(終値!N369:AG369)/AVERAGE(終値!N369:AG369),""))</f>
      </c>
      <c r="L369" s="684">
        <f>IF(終値!A369="","",IFERROR(4*STDEVP(終値!O369:AH369)/AVERAGE(終値!O369:AH369),""))</f>
      </c>
      <c r="M369" s="684">
        <f>IF(終値!A369="","",IFERROR(4*STDEVP(終値!P369:AI369)/AVERAGE(終値!P369:AI369),""))</f>
      </c>
      <c r="N369" s="684">
        <f>IF(終値!A369="","",IFERROR(4*STDEVP(終値!Q369:AJ369)/AVERAGE(終値!Q369:AJ369),""))</f>
      </c>
      <c r="O369" s="684">
        <f>IF(終値!A369="","",IFERROR(4*STDEVP(終値!R369:AK369)/AVERAGE(終値!R369:AK369),""))</f>
      </c>
      <c r="P369" s="684">
        <f>IF(終値!A369="","",IFERROR(4*STDEVP(終値!S369:AL369)/AVERAGE(終値!S369:AL369),""))</f>
      </c>
      <c r="Q369" s="684">
        <f>IF(終値!A369="","",IFERROR(4*STDEVP(終値!T369:AM369)/AVERAGE(終値!T369:AM369),""))</f>
      </c>
      <c r="R369" s="684">
        <f>IF(終値!A369="","",IFERROR(4*STDEVP(終値!U369:AN369)/AVERAGE(終値!U369:AN369),""))</f>
      </c>
      <c r="S369" s="684">
        <f>IF(終値!A369="","",IFERROR(4*STDEVP(終値!V369:AO369)/AVERAGE(終値!V369:AO369),""))</f>
      </c>
      <c r="T369" s="684">
        <f>IF(終値!A369="","",IFERROR(4*STDEVP(終値!W369:AP369)/AVERAGE(終値!W369:AP369),""))</f>
      </c>
      <c r="U369" s="684">
        <f>IF(終値!A369="","",IFERROR(4*STDEVP(終値!X369:AQ369)/AVERAGE(終値!X369:AQ369),""))</f>
      </c>
      <c r="V369" s="684">
        <f>IF(終値!A369="","",IFERROR(4*STDEVP(終値!Y369:AR369)/AVERAGE(終値!Y369:AR369),""))</f>
      </c>
      <c r="W369" s="684">
        <f>IF(終値!A369="","",IFERROR(4*STDEVP(終値!Z369:AS369)/AVERAGE(終値!Z369:AS369),""))</f>
      </c>
      <c r="X369" s="684">
        <f>IF(終値!A369="","",IFERROR(4*STDEVP(終値!AA369:AT369)/AVERAGE(終値!AA369:AT369),""))</f>
      </c>
      <c r="Y369" s="684">
        <f>IF(終値!A369="","",IFERROR(4*STDEVP(終値!AB369:AU369)/AVERAGE(終値!AB369:AU369),""))</f>
      </c>
      <c r="Z369" s="684">
        <f>IF(終値!A369="","",IFERROR(4*STDEVP(終値!AC369:AV369)/AVERAGE(終値!AC369:AV369),""))</f>
      </c>
      <c r="AA369" s="684">
        <f>IF(終値!A369="","",IFERROR(4*STDEVP(終値!AD369:AW369)/AVERAGE(終値!AD369:AW369),""))</f>
      </c>
      <c r="AB369" s="684">
        <f>IF(終値!A369="","",IFERROR(4*STDEVP(終値!AE369:AX369)/AVERAGE(終値!AE369:AX369),""))</f>
      </c>
      <c r="AC369" s="684">
        <f>IF(終値!A369="","",IFERROR(4*STDEVP(終値!AF369:AY369)/AVERAGE(終値!AF369:AY369),""))</f>
      </c>
      <c r="AD369" s="684">
        <f>IF(終値!A369="","",IFERROR(4*STDEVP(終値!AG369:AZ369)/AVERAGE(終値!AG369:AZ369),""))</f>
      </c>
      <c r="AE369" s="684">
        <f>IF(終値!A369="","",IFERROR(4*STDEVP(終値!AH369:BA369)/AVERAGE(終値!AH369:BA369),""))</f>
      </c>
      <c r="AF369" s="684">
        <f>IF(終値!A369="","",IFERROR(4*STDEVP(終値!AI369:BB369)/AVERAGE(終値!AI369:BB369),""))</f>
      </c>
      <c r="AG369" s="684">
        <f>IF(終値!A369="","",IFERROR(4*STDEVP(終値!AJ369:BC369)/AVERAGE(終値!AJ369:BC369),""))</f>
      </c>
      <c r="AH369" s="684">
        <f>IF(終値!A369="","",IFERROR(4*STDEVP(終値!AK369:BD369)/AVERAGE(終値!AK369:BD369),""))</f>
      </c>
      <c r="AI369" s="684">
        <f>IF(終値!A369="","",IFERROR(4*STDEVP(終値!AL369:BE369)/AVERAGE(終値!AL369:BE369),""))</f>
      </c>
      <c r="AJ369" s="684">
        <f>IF(終値!A369="","",IFERROR(4*STDEVP(終値!AM369:BF369)/AVERAGE(終値!AM369:BF369),""))</f>
      </c>
      <c r="AK369" s="684">
        <f>IF(終値!A369="","",IFERROR(4*STDEVP(終値!AN369:BG369)/AVERAGE(終値!AN369:BG369),""))</f>
      </c>
      <c r="AL369" s="684">
        <f>IF(終値!A369="","",IFERROR(4*STDEVP(終値!AO369:BH369)/AVERAGE(終値!AO369:BH369),""))</f>
      </c>
      <c r="AM369" s="684">
        <f>IF(終値!A369="","",IFERROR(4*STDEVP(終値!AP369:BI369)/AVERAGE(終値!AP369:BI369),""))</f>
      </c>
      <c r="AN369" s="684">
        <f>IF(終値!A369="","",IFERROR(4*STDEVP(終値!AQ369:BJ369)/AVERAGE(終値!AQ369:BJ369),""))</f>
      </c>
      <c r="AO369" s="684">
        <f>IF(終値!A369="","",IFERROR(4*STDEVP(終値!AR369:BK369)/AVERAGE(終値!AR369:BK369),""))</f>
      </c>
      <c r="AP369" s="684">
        <f>IF(終値!A369="","",IFERROR(4*STDEVP(終値!AS369:BL369)/AVERAGE(終値!AS369:BL369),""))</f>
      </c>
    </row>
    <row r="370">
      <c r="A370" s="681">
        <f>IF(終値!A370="","",終値!A370)</f>
      </c>
      <c r="B370" s="684">
        <f>IF(終値!A370="","",IFERROR(4*STDEVP(終値!E370:X370)/AVERAGE(終値!E370:X370),""))</f>
      </c>
      <c r="C370" s="684">
        <f>IF(終値!A370="","",IFERROR(4*STDEVP(終値!F370:Y370)/AVERAGE(終値!F370:Y370),""))</f>
      </c>
      <c r="D370" s="684">
        <f>IF(終値!A370="","",IFERROR(4*STDEVP(終値!G370:Z370)/AVERAGE(終値!G370:Z370),""))</f>
      </c>
      <c r="E370" s="684">
        <f>IF(終値!A370="","",IFERROR(4*STDEVP(終値!H370:AA370)/AVERAGE(終値!H370:AA370),""))</f>
      </c>
      <c r="F370" s="684">
        <f>IF(終値!A370="","",IFERROR(4*STDEVP(終値!I370:AB370)/AVERAGE(終値!I370:AB370),""))</f>
      </c>
      <c r="G370" s="684">
        <f>IF(終値!A370="","",IFERROR(4*STDEVP(終値!J370:AC370)/AVERAGE(終値!J370:AC370),""))</f>
      </c>
      <c r="H370" s="684">
        <f>IF(終値!A370="","",IFERROR(4*STDEVP(終値!K370:AD370)/AVERAGE(終値!K370:AD370),""))</f>
      </c>
      <c r="I370" s="684">
        <f>IF(終値!A370="","",IFERROR(4*STDEVP(終値!L370:AE370)/AVERAGE(終値!L370:AE370),""))</f>
      </c>
      <c r="J370" s="684">
        <f>IF(終値!A370="","",IFERROR(4*STDEVP(終値!M370:AF370)/AVERAGE(終値!M370:AF370),""))</f>
      </c>
      <c r="K370" s="684">
        <f>IF(終値!A370="","",IFERROR(4*STDEVP(終値!N370:AG370)/AVERAGE(終値!N370:AG370),""))</f>
      </c>
      <c r="L370" s="684">
        <f>IF(終値!A370="","",IFERROR(4*STDEVP(終値!O370:AH370)/AVERAGE(終値!O370:AH370),""))</f>
      </c>
      <c r="M370" s="684">
        <f>IF(終値!A370="","",IFERROR(4*STDEVP(終値!P370:AI370)/AVERAGE(終値!P370:AI370),""))</f>
      </c>
      <c r="N370" s="684">
        <f>IF(終値!A370="","",IFERROR(4*STDEVP(終値!Q370:AJ370)/AVERAGE(終値!Q370:AJ370),""))</f>
      </c>
      <c r="O370" s="684">
        <f>IF(終値!A370="","",IFERROR(4*STDEVP(終値!R370:AK370)/AVERAGE(終値!R370:AK370),""))</f>
      </c>
      <c r="P370" s="684">
        <f>IF(終値!A370="","",IFERROR(4*STDEVP(終値!S370:AL370)/AVERAGE(終値!S370:AL370),""))</f>
      </c>
      <c r="Q370" s="684">
        <f>IF(終値!A370="","",IFERROR(4*STDEVP(終値!T370:AM370)/AVERAGE(終値!T370:AM370),""))</f>
      </c>
      <c r="R370" s="684">
        <f>IF(終値!A370="","",IFERROR(4*STDEVP(終値!U370:AN370)/AVERAGE(終値!U370:AN370),""))</f>
      </c>
      <c r="S370" s="684">
        <f>IF(終値!A370="","",IFERROR(4*STDEVP(終値!V370:AO370)/AVERAGE(終値!V370:AO370),""))</f>
      </c>
      <c r="T370" s="684">
        <f>IF(終値!A370="","",IFERROR(4*STDEVP(終値!W370:AP370)/AVERAGE(終値!W370:AP370),""))</f>
      </c>
      <c r="U370" s="684">
        <f>IF(終値!A370="","",IFERROR(4*STDEVP(終値!X370:AQ370)/AVERAGE(終値!X370:AQ370),""))</f>
      </c>
      <c r="V370" s="684">
        <f>IF(終値!A370="","",IFERROR(4*STDEVP(終値!Y370:AR370)/AVERAGE(終値!Y370:AR370),""))</f>
      </c>
      <c r="W370" s="684">
        <f>IF(終値!A370="","",IFERROR(4*STDEVP(終値!Z370:AS370)/AVERAGE(終値!Z370:AS370),""))</f>
      </c>
      <c r="X370" s="684">
        <f>IF(終値!A370="","",IFERROR(4*STDEVP(終値!AA370:AT370)/AVERAGE(終値!AA370:AT370),""))</f>
      </c>
      <c r="Y370" s="684">
        <f>IF(終値!A370="","",IFERROR(4*STDEVP(終値!AB370:AU370)/AVERAGE(終値!AB370:AU370),""))</f>
      </c>
      <c r="Z370" s="684">
        <f>IF(終値!A370="","",IFERROR(4*STDEVP(終値!AC370:AV370)/AVERAGE(終値!AC370:AV370),""))</f>
      </c>
      <c r="AA370" s="684">
        <f>IF(終値!A370="","",IFERROR(4*STDEVP(終値!AD370:AW370)/AVERAGE(終値!AD370:AW370),""))</f>
      </c>
      <c r="AB370" s="684">
        <f>IF(終値!A370="","",IFERROR(4*STDEVP(終値!AE370:AX370)/AVERAGE(終値!AE370:AX370),""))</f>
      </c>
      <c r="AC370" s="684">
        <f>IF(終値!A370="","",IFERROR(4*STDEVP(終値!AF370:AY370)/AVERAGE(終値!AF370:AY370),""))</f>
      </c>
      <c r="AD370" s="684">
        <f>IF(終値!A370="","",IFERROR(4*STDEVP(終値!AG370:AZ370)/AVERAGE(終値!AG370:AZ370),""))</f>
      </c>
      <c r="AE370" s="684">
        <f>IF(終値!A370="","",IFERROR(4*STDEVP(終値!AH370:BA370)/AVERAGE(終値!AH370:BA370),""))</f>
      </c>
      <c r="AF370" s="684">
        <f>IF(終値!A370="","",IFERROR(4*STDEVP(終値!AI370:BB370)/AVERAGE(終値!AI370:BB370),""))</f>
      </c>
      <c r="AG370" s="684">
        <f>IF(終値!A370="","",IFERROR(4*STDEVP(終値!AJ370:BC370)/AVERAGE(終値!AJ370:BC370),""))</f>
      </c>
      <c r="AH370" s="684">
        <f>IF(終値!A370="","",IFERROR(4*STDEVP(終値!AK370:BD370)/AVERAGE(終値!AK370:BD370),""))</f>
      </c>
      <c r="AI370" s="684">
        <f>IF(終値!A370="","",IFERROR(4*STDEVP(終値!AL370:BE370)/AVERAGE(終値!AL370:BE370),""))</f>
      </c>
      <c r="AJ370" s="684">
        <f>IF(終値!A370="","",IFERROR(4*STDEVP(終値!AM370:BF370)/AVERAGE(終値!AM370:BF370),""))</f>
      </c>
      <c r="AK370" s="684">
        <f>IF(終値!A370="","",IFERROR(4*STDEVP(終値!AN370:BG370)/AVERAGE(終値!AN370:BG370),""))</f>
      </c>
      <c r="AL370" s="684">
        <f>IF(終値!A370="","",IFERROR(4*STDEVP(終値!AO370:BH370)/AVERAGE(終値!AO370:BH370),""))</f>
      </c>
      <c r="AM370" s="684">
        <f>IF(終値!A370="","",IFERROR(4*STDEVP(終値!AP370:BI370)/AVERAGE(終値!AP370:BI370),""))</f>
      </c>
      <c r="AN370" s="684">
        <f>IF(終値!A370="","",IFERROR(4*STDEVP(終値!AQ370:BJ370)/AVERAGE(終値!AQ370:BJ370),""))</f>
      </c>
      <c r="AO370" s="684">
        <f>IF(終値!A370="","",IFERROR(4*STDEVP(終値!AR370:BK370)/AVERAGE(終値!AR370:BK370),""))</f>
      </c>
      <c r="AP370" s="684">
        <f>IF(終値!A370="","",IFERROR(4*STDEVP(終値!AS370:BL370)/AVERAGE(終値!AS370:BL370),""))</f>
      </c>
    </row>
    <row r="371">
      <c r="A371" s="681">
        <f>IF(終値!A371="","",終値!A371)</f>
      </c>
      <c r="B371" s="684">
        <f>IF(終値!A371="","",IFERROR(4*STDEVP(終値!E371:X371)/AVERAGE(終値!E371:X371),""))</f>
      </c>
      <c r="C371" s="684">
        <f>IF(終値!A371="","",IFERROR(4*STDEVP(終値!F371:Y371)/AVERAGE(終値!F371:Y371),""))</f>
      </c>
      <c r="D371" s="684">
        <f>IF(終値!A371="","",IFERROR(4*STDEVP(終値!G371:Z371)/AVERAGE(終値!G371:Z371),""))</f>
      </c>
      <c r="E371" s="684">
        <f>IF(終値!A371="","",IFERROR(4*STDEVP(終値!H371:AA371)/AVERAGE(終値!H371:AA371),""))</f>
      </c>
      <c r="F371" s="684">
        <f>IF(終値!A371="","",IFERROR(4*STDEVP(終値!I371:AB371)/AVERAGE(終値!I371:AB371),""))</f>
      </c>
      <c r="G371" s="684">
        <f>IF(終値!A371="","",IFERROR(4*STDEVP(終値!J371:AC371)/AVERAGE(終値!J371:AC371),""))</f>
      </c>
      <c r="H371" s="684">
        <f>IF(終値!A371="","",IFERROR(4*STDEVP(終値!K371:AD371)/AVERAGE(終値!K371:AD371),""))</f>
      </c>
      <c r="I371" s="684">
        <f>IF(終値!A371="","",IFERROR(4*STDEVP(終値!L371:AE371)/AVERAGE(終値!L371:AE371),""))</f>
      </c>
      <c r="J371" s="684">
        <f>IF(終値!A371="","",IFERROR(4*STDEVP(終値!M371:AF371)/AVERAGE(終値!M371:AF371),""))</f>
      </c>
      <c r="K371" s="684">
        <f>IF(終値!A371="","",IFERROR(4*STDEVP(終値!N371:AG371)/AVERAGE(終値!N371:AG371),""))</f>
      </c>
      <c r="L371" s="684">
        <f>IF(終値!A371="","",IFERROR(4*STDEVP(終値!O371:AH371)/AVERAGE(終値!O371:AH371),""))</f>
      </c>
      <c r="M371" s="684">
        <f>IF(終値!A371="","",IFERROR(4*STDEVP(終値!P371:AI371)/AVERAGE(終値!P371:AI371),""))</f>
      </c>
      <c r="N371" s="684">
        <f>IF(終値!A371="","",IFERROR(4*STDEVP(終値!Q371:AJ371)/AVERAGE(終値!Q371:AJ371),""))</f>
      </c>
      <c r="O371" s="684">
        <f>IF(終値!A371="","",IFERROR(4*STDEVP(終値!R371:AK371)/AVERAGE(終値!R371:AK371),""))</f>
      </c>
      <c r="P371" s="684">
        <f>IF(終値!A371="","",IFERROR(4*STDEVP(終値!S371:AL371)/AVERAGE(終値!S371:AL371),""))</f>
      </c>
      <c r="Q371" s="684">
        <f>IF(終値!A371="","",IFERROR(4*STDEVP(終値!T371:AM371)/AVERAGE(終値!T371:AM371),""))</f>
      </c>
      <c r="R371" s="684">
        <f>IF(終値!A371="","",IFERROR(4*STDEVP(終値!U371:AN371)/AVERAGE(終値!U371:AN371),""))</f>
      </c>
      <c r="S371" s="684">
        <f>IF(終値!A371="","",IFERROR(4*STDEVP(終値!V371:AO371)/AVERAGE(終値!V371:AO371),""))</f>
      </c>
      <c r="T371" s="684">
        <f>IF(終値!A371="","",IFERROR(4*STDEVP(終値!W371:AP371)/AVERAGE(終値!W371:AP371),""))</f>
      </c>
      <c r="U371" s="684">
        <f>IF(終値!A371="","",IFERROR(4*STDEVP(終値!X371:AQ371)/AVERAGE(終値!X371:AQ371),""))</f>
      </c>
      <c r="V371" s="684">
        <f>IF(終値!A371="","",IFERROR(4*STDEVP(終値!Y371:AR371)/AVERAGE(終値!Y371:AR371),""))</f>
      </c>
      <c r="W371" s="684">
        <f>IF(終値!A371="","",IFERROR(4*STDEVP(終値!Z371:AS371)/AVERAGE(終値!Z371:AS371),""))</f>
      </c>
      <c r="X371" s="684">
        <f>IF(終値!A371="","",IFERROR(4*STDEVP(終値!AA371:AT371)/AVERAGE(終値!AA371:AT371),""))</f>
      </c>
      <c r="Y371" s="684">
        <f>IF(終値!A371="","",IFERROR(4*STDEVP(終値!AB371:AU371)/AVERAGE(終値!AB371:AU371),""))</f>
      </c>
      <c r="Z371" s="684">
        <f>IF(終値!A371="","",IFERROR(4*STDEVP(終値!AC371:AV371)/AVERAGE(終値!AC371:AV371),""))</f>
      </c>
      <c r="AA371" s="684">
        <f>IF(終値!A371="","",IFERROR(4*STDEVP(終値!AD371:AW371)/AVERAGE(終値!AD371:AW371),""))</f>
      </c>
      <c r="AB371" s="684">
        <f>IF(終値!A371="","",IFERROR(4*STDEVP(終値!AE371:AX371)/AVERAGE(終値!AE371:AX371),""))</f>
      </c>
      <c r="AC371" s="684">
        <f>IF(終値!A371="","",IFERROR(4*STDEVP(終値!AF371:AY371)/AVERAGE(終値!AF371:AY371),""))</f>
      </c>
      <c r="AD371" s="684">
        <f>IF(終値!A371="","",IFERROR(4*STDEVP(終値!AG371:AZ371)/AVERAGE(終値!AG371:AZ371),""))</f>
      </c>
      <c r="AE371" s="684">
        <f>IF(終値!A371="","",IFERROR(4*STDEVP(終値!AH371:BA371)/AVERAGE(終値!AH371:BA371),""))</f>
      </c>
      <c r="AF371" s="684">
        <f>IF(終値!A371="","",IFERROR(4*STDEVP(終値!AI371:BB371)/AVERAGE(終値!AI371:BB371),""))</f>
      </c>
      <c r="AG371" s="684">
        <f>IF(終値!A371="","",IFERROR(4*STDEVP(終値!AJ371:BC371)/AVERAGE(終値!AJ371:BC371),""))</f>
      </c>
      <c r="AH371" s="684">
        <f>IF(終値!A371="","",IFERROR(4*STDEVP(終値!AK371:BD371)/AVERAGE(終値!AK371:BD371),""))</f>
      </c>
      <c r="AI371" s="684">
        <f>IF(終値!A371="","",IFERROR(4*STDEVP(終値!AL371:BE371)/AVERAGE(終値!AL371:BE371),""))</f>
      </c>
      <c r="AJ371" s="684">
        <f>IF(終値!A371="","",IFERROR(4*STDEVP(終値!AM371:BF371)/AVERAGE(終値!AM371:BF371),""))</f>
      </c>
      <c r="AK371" s="684">
        <f>IF(終値!A371="","",IFERROR(4*STDEVP(終値!AN371:BG371)/AVERAGE(終値!AN371:BG371),""))</f>
      </c>
      <c r="AL371" s="684">
        <f>IF(終値!A371="","",IFERROR(4*STDEVP(終値!AO371:BH371)/AVERAGE(終値!AO371:BH371),""))</f>
      </c>
      <c r="AM371" s="684">
        <f>IF(終値!A371="","",IFERROR(4*STDEVP(終値!AP371:BI371)/AVERAGE(終値!AP371:BI371),""))</f>
      </c>
      <c r="AN371" s="684">
        <f>IF(終値!A371="","",IFERROR(4*STDEVP(終値!AQ371:BJ371)/AVERAGE(終値!AQ371:BJ371),""))</f>
      </c>
      <c r="AO371" s="684">
        <f>IF(終値!A371="","",IFERROR(4*STDEVP(終値!AR371:BK371)/AVERAGE(終値!AR371:BK371),""))</f>
      </c>
      <c r="AP371" s="684">
        <f>IF(終値!A371="","",IFERROR(4*STDEVP(終値!AS371:BL371)/AVERAGE(終値!AS371:BL371),""))</f>
      </c>
    </row>
    <row r="372">
      <c r="A372" s="681">
        <f>IF(終値!A372="","",終値!A372)</f>
      </c>
      <c r="B372" s="684">
        <f>IF(終値!A372="","",IFERROR(4*STDEVP(終値!E372:X372)/AVERAGE(終値!E372:X372),""))</f>
      </c>
      <c r="C372" s="684">
        <f>IF(終値!A372="","",IFERROR(4*STDEVP(終値!F372:Y372)/AVERAGE(終値!F372:Y372),""))</f>
      </c>
      <c r="D372" s="684">
        <f>IF(終値!A372="","",IFERROR(4*STDEVP(終値!G372:Z372)/AVERAGE(終値!G372:Z372),""))</f>
      </c>
      <c r="E372" s="684">
        <f>IF(終値!A372="","",IFERROR(4*STDEVP(終値!H372:AA372)/AVERAGE(終値!H372:AA372),""))</f>
      </c>
      <c r="F372" s="684">
        <f>IF(終値!A372="","",IFERROR(4*STDEVP(終値!I372:AB372)/AVERAGE(終値!I372:AB372),""))</f>
      </c>
      <c r="G372" s="684">
        <f>IF(終値!A372="","",IFERROR(4*STDEVP(終値!J372:AC372)/AVERAGE(終値!J372:AC372),""))</f>
      </c>
      <c r="H372" s="684">
        <f>IF(終値!A372="","",IFERROR(4*STDEVP(終値!K372:AD372)/AVERAGE(終値!K372:AD372),""))</f>
      </c>
      <c r="I372" s="684">
        <f>IF(終値!A372="","",IFERROR(4*STDEVP(終値!L372:AE372)/AVERAGE(終値!L372:AE372),""))</f>
      </c>
      <c r="J372" s="684">
        <f>IF(終値!A372="","",IFERROR(4*STDEVP(終値!M372:AF372)/AVERAGE(終値!M372:AF372),""))</f>
      </c>
      <c r="K372" s="684">
        <f>IF(終値!A372="","",IFERROR(4*STDEVP(終値!N372:AG372)/AVERAGE(終値!N372:AG372),""))</f>
      </c>
      <c r="L372" s="684">
        <f>IF(終値!A372="","",IFERROR(4*STDEVP(終値!O372:AH372)/AVERAGE(終値!O372:AH372),""))</f>
      </c>
      <c r="M372" s="684">
        <f>IF(終値!A372="","",IFERROR(4*STDEVP(終値!P372:AI372)/AVERAGE(終値!P372:AI372),""))</f>
      </c>
      <c r="N372" s="684">
        <f>IF(終値!A372="","",IFERROR(4*STDEVP(終値!Q372:AJ372)/AVERAGE(終値!Q372:AJ372),""))</f>
      </c>
      <c r="O372" s="684">
        <f>IF(終値!A372="","",IFERROR(4*STDEVP(終値!R372:AK372)/AVERAGE(終値!R372:AK372),""))</f>
      </c>
      <c r="P372" s="684">
        <f>IF(終値!A372="","",IFERROR(4*STDEVP(終値!S372:AL372)/AVERAGE(終値!S372:AL372),""))</f>
      </c>
      <c r="Q372" s="684">
        <f>IF(終値!A372="","",IFERROR(4*STDEVP(終値!T372:AM372)/AVERAGE(終値!T372:AM372),""))</f>
      </c>
      <c r="R372" s="684">
        <f>IF(終値!A372="","",IFERROR(4*STDEVP(終値!U372:AN372)/AVERAGE(終値!U372:AN372),""))</f>
      </c>
      <c r="S372" s="684">
        <f>IF(終値!A372="","",IFERROR(4*STDEVP(終値!V372:AO372)/AVERAGE(終値!V372:AO372),""))</f>
      </c>
      <c r="T372" s="684">
        <f>IF(終値!A372="","",IFERROR(4*STDEVP(終値!W372:AP372)/AVERAGE(終値!W372:AP372),""))</f>
      </c>
      <c r="U372" s="684">
        <f>IF(終値!A372="","",IFERROR(4*STDEVP(終値!X372:AQ372)/AVERAGE(終値!X372:AQ372),""))</f>
      </c>
      <c r="V372" s="684">
        <f>IF(終値!A372="","",IFERROR(4*STDEVP(終値!Y372:AR372)/AVERAGE(終値!Y372:AR372),""))</f>
      </c>
      <c r="W372" s="684">
        <f>IF(終値!A372="","",IFERROR(4*STDEVP(終値!Z372:AS372)/AVERAGE(終値!Z372:AS372),""))</f>
      </c>
      <c r="X372" s="684">
        <f>IF(終値!A372="","",IFERROR(4*STDEVP(終値!AA372:AT372)/AVERAGE(終値!AA372:AT372),""))</f>
      </c>
      <c r="Y372" s="684">
        <f>IF(終値!A372="","",IFERROR(4*STDEVP(終値!AB372:AU372)/AVERAGE(終値!AB372:AU372),""))</f>
      </c>
      <c r="Z372" s="684">
        <f>IF(終値!A372="","",IFERROR(4*STDEVP(終値!AC372:AV372)/AVERAGE(終値!AC372:AV372),""))</f>
      </c>
      <c r="AA372" s="684">
        <f>IF(終値!A372="","",IFERROR(4*STDEVP(終値!AD372:AW372)/AVERAGE(終値!AD372:AW372),""))</f>
      </c>
      <c r="AB372" s="684">
        <f>IF(終値!A372="","",IFERROR(4*STDEVP(終値!AE372:AX372)/AVERAGE(終値!AE372:AX372),""))</f>
      </c>
      <c r="AC372" s="684">
        <f>IF(終値!A372="","",IFERROR(4*STDEVP(終値!AF372:AY372)/AVERAGE(終値!AF372:AY372),""))</f>
      </c>
      <c r="AD372" s="684">
        <f>IF(終値!A372="","",IFERROR(4*STDEVP(終値!AG372:AZ372)/AVERAGE(終値!AG372:AZ372),""))</f>
      </c>
      <c r="AE372" s="684">
        <f>IF(終値!A372="","",IFERROR(4*STDEVP(終値!AH372:BA372)/AVERAGE(終値!AH372:BA372),""))</f>
      </c>
      <c r="AF372" s="684">
        <f>IF(終値!A372="","",IFERROR(4*STDEVP(終値!AI372:BB372)/AVERAGE(終値!AI372:BB372),""))</f>
      </c>
      <c r="AG372" s="684">
        <f>IF(終値!A372="","",IFERROR(4*STDEVP(終値!AJ372:BC372)/AVERAGE(終値!AJ372:BC372),""))</f>
      </c>
      <c r="AH372" s="684">
        <f>IF(終値!A372="","",IFERROR(4*STDEVP(終値!AK372:BD372)/AVERAGE(終値!AK372:BD372),""))</f>
      </c>
      <c r="AI372" s="684">
        <f>IF(終値!A372="","",IFERROR(4*STDEVP(終値!AL372:BE372)/AVERAGE(終値!AL372:BE372),""))</f>
      </c>
      <c r="AJ372" s="684">
        <f>IF(終値!A372="","",IFERROR(4*STDEVP(終値!AM372:BF372)/AVERAGE(終値!AM372:BF372),""))</f>
      </c>
      <c r="AK372" s="684">
        <f>IF(終値!A372="","",IFERROR(4*STDEVP(終値!AN372:BG372)/AVERAGE(終値!AN372:BG372),""))</f>
      </c>
      <c r="AL372" s="684">
        <f>IF(終値!A372="","",IFERROR(4*STDEVP(終値!AO372:BH372)/AVERAGE(終値!AO372:BH372),""))</f>
      </c>
      <c r="AM372" s="684">
        <f>IF(終値!A372="","",IFERROR(4*STDEVP(終値!AP372:BI372)/AVERAGE(終値!AP372:BI372),""))</f>
      </c>
      <c r="AN372" s="684">
        <f>IF(終値!A372="","",IFERROR(4*STDEVP(終値!AQ372:BJ372)/AVERAGE(終値!AQ372:BJ372),""))</f>
      </c>
      <c r="AO372" s="684">
        <f>IF(終値!A372="","",IFERROR(4*STDEVP(終値!AR372:BK372)/AVERAGE(終値!AR372:BK372),""))</f>
      </c>
      <c r="AP372" s="684">
        <f>IF(終値!A372="","",IFERROR(4*STDEVP(終値!AS372:BL372)/AVERAGE(終値!AS372:BL372),""))</f>
      </c>
    </row>
    <row r="373">
      <c r="A373" s="681">
        <f>IF(終値!A373="","",終値!A373)</f>
      </c>
      <c r="B373" s="684">
        <f>IF(終値!A373="","",IFERROR(4*STDEVP(終値!E373:X373)/AVERAGE(終値!E373:X373),""))</f>
      </c>
      <c r="C373" s="684">
        <f>IF(終値!A373="","",IFERROR(4*STDEVP(終値!F373:Y373)/AVERAGE(終値!F373:Y373),""))</f>
      </c>
      <c r="D373" s="684">
        <f>IF(終値!A373="","",IFERROR(4*STDEVP(終値!G373:Z373)/AVERAGE(終値!G373:Z373),""))</f>
      </c>
      <c r="E373" s="684">
        <f>IF(終値!A373="","",IFERROR(4*STDEVP(終値!H373:AA373)/AVERAGE(終値!H373:AA373),""))</f>
      </c>
      <c r="F373" s="684">
        <f>IF(終値!A373="","",IFERROR(4*STDEVP(終値!I373:AB373)/AVERAGE(終値!I373:AB373),""))</f>
      </c>
      <c r="G373" s="684">
        <f>IF(終値!A373="","",IFERROR(4*STDEVP(終値!J373:AC373)/AVERAGE(終値!J373:AC373),""))</f>
      </c>
      <c r="H373" s="684">
        <f>IF(終値!A373="","",IFERROR(4*STDEVP(終値!K373:AD373)/AVERAGE(終値!K373:AD373),""))</f>
      </c>
      <c r="I373" s="684">
        <f>IF(終値!A373="","",IFERROR(4*STDEVP(終値!L373:AE373)/AVERAGE(終値!L373:AE373),""))</f>
      </c>
      <c r="J373" s="684">
        <f>IF(終値!A373="","",IFERROR(4*STDEVP(終値!M373:AF373)/AVERAGE(終値!M373:AF373),""))</f>
      </c>
      <c r="K373" s="684">
        <f>IF(終値!A373="","",IFERROR(4*STDEVP(終値!N373:AG373)/AVERAGE(終値!N373:AG373),""))</f>
      </c>
      <c r="L373" s="684">
        <f>IF(終値!A373="","",IFERROR(4*STDEVP(終値!O373:AH373)/AVERAGE(終値!O373:AH373),""))</f>
      </c>
      <c r="M373" s="684">
        <f>IF(終値!A373="","",IFERROR(4*STDEVP(終値!P373:AI373)/AVERAGE(終値!P373:AI373),""))</f>
      </c>
      <c r="N373" s="684">
        <f>IF(終値!A373="","",IFERROR(4*STDEVP(終値!Q373:AJ373)/AVERAGE(終値!Q373:AJ373),""))</f>
      </c>
      <c r="O373" s="684">
        <f>IF(終値!A373="","",IFERROR(4*STDEVP(終値!R373:AK373)/AVERAGE(終値!R373:AK373),""))</f>
      </c>
      <c r="P373" s="684">
        <f>IF(終値!A373="","",IFERROR(4*STDEVP(終値!S373:AL373)/AVERAGE(終値!S373:AL373),""))</f>
      </c>
      <c r="Q373" s="684">
        <f>IF(終値!A373="","",IFERROR(4*STDEVP(終値!T373:AM373)/AVERAGE(終値!T373:AM373),""))</f>
      </c>
      <c r="R373" s="684">
        <f>IF(終値!A373="","",IFERROR(4*STDEVP(終値!U373:AN373)/AVERAGE(終値!U373:AN373),""))</f>
      </c>
      <c r="S373" s="684">
        <f>IF(終値!A373="","",IFERROR(4*STDEVP(終値!V373:AO373)/AVERAGE(終値!V373:AO373),""))</f>
      </c>
      <c r="T373" s="684">
        <f>IF(終値!A373="","",IFERROR(4*STDEVP(終値!W373:AP373)/AVERAGE(終値!W373:AP373),""))</f>
      </c>
      <c r="U373" s="684">
        <f>IF(終値!A373="","",IFERROR(4*STDEVP(終値!X373:AQ373)/AVERAGE(終値!X373:AQ373),""))</f>
      </c>
      <c r="V373" s="684">
        <f>IF(終値!A373="","",IFERROR(4*STDEVP(終値!Y373:AR373)/AVERAGE(終値!Y373:AR373),""))</f>
      </c>
      <c r="W373" s="684">
        <f>IF(終値!A373="","",IFERROR(4*STDEVP(終値!Z373:AS373)/AVERAGE(終値!Z373:AS373),""))</f>
      </c>
      <c r="X373" s="684">
        <f>IF(終値!A373="","",IFERROR(4*STDEVP(終値!AA373:AT373)/AVERAGE(終値!AA373:AT373),""))</f>
      </c>
      <c r="Y373" s="684">
        <f>IF(終値!A373="","",IFERROR(4*STDEVP(終値!AB373:AU373)/AVERAGE(終値!AB373:AU373),""))</f>
      </c>
      <c r="Z373" s="684">
        <f>IF(終値!A373="","",IFERROR(4*STDEVP(終値!AC373:AV373)/AVERAGE(終値!AC373:AV373),""))</f>
      </c>
      <c r="AA373" s="684">
        <f>IF(終値!A373="","",IFERROR(4*STDEVP(終値!AD373:AW373)/AVERAGE(終値!AD373:AW373),""))</f>
      </c>
      <c r="AB373" s="684">
        <f>IF(終値!A373="","",IFERROR(4*STDEVP(終値!AE373:AX373)/AVERAGE(終値!AE373:AX373),""))</f>
      </c>
      <c r="AC373" s="684">
        <f>IF(終値!A373="","",IFERROR(4*STDEVP(終値!AF373:AY373)/AVERAGE(終値!AF373:AY373),""))</f>
      </c>
      <c r="AD373" s="684">
        <f>IF(終値!A373="","",IFERROR(4*STDEVP(終値!AG373:AZ373)/AVERAGE(終値!AG373:AZ373),""))</f>
      </c>
      <c r="AE373" s="684">
        <f>IF(終値!A373="","",IFERROR(4*STDEVP(終値!AH373:BA373)/AVERAGE(終値!AH373:BA373),""))</f>
      </c>
      <c r="AF373" s="684">
        <f>IF(終値!A373="","",IFERROR(4*STDEVP(終値!AI373:BB373)/AVERAGE(終値!AI373:BB373),""))</f>
      </c>
      <c r="AG373" s="684">
        <f>IF(終値!A373="","",IFERROR(4*STDEVP(終値!AJ373:BC373)/AVERAGE(終値!AJ373:BC373),""))</f>
      </c>
      <c r="AH373" s="684">
        <f>IF(終値!A373="","",IFERROR(4*STDEVP(終値!AK373:BD373)/AVERAGE(終値!AK373:BD373),""))</f>
      </c>
      <c r="AI373" s="684">
        <f>IF(終値!A373="","",IFERROR(4*STDEVP(終値!AL373:BE373)/AVERAGE(終値!AL373:BE373),""))</f>
      </c>
      <c r="AJ373" s="684">
        <f>IF(終値!A373="","",IFERROR(4*STDEVP(終値!AM373:BF373)/AVERAGE(終値!AM373:BF373),""))</f>
      </c>
      <c r="AK373" s="684">
        <f>IF(終値!A373="","",IFERROR(4*STDEVP(終値!AN373:BG373)/AVERAGE(終値!AN373:BG373),""))</f>
      </c>
      <c r="AL373" s="684">
        <f>IF(終値!A373="","",IFERROR(4*STDEVP(終値!AO373:BH373)/AVERAGE(終値!AO373:BH373),""))</f>
      </c>
      <c r="AM373" s="684">
        <f>IF(終値!A373="","",IFERROR(4*STDEVP(終値!AP373:BI373)/AVERAGE(終値!AP373:BI373),""))</f>
      </c>
      <c r="AN373" s="684">
        <f>IF(終値!A373="","",IFERROR(4*STDEVP(終値!AQ373:BJ373)/AVERAGE(終値!AQ373:BJ373),""))</f>
      </c>
      <c r="AO373" s="684">
        <f>IF(終値!A373="","",IFERROR(4*STDEVP(終値!AR373:BK373)/AVERAGE(終値!AR373:BK373),""))</f>
      </c>
      <c r="AP373" s="684">
        <f>IF(終値!A373="","",IFERROR(4*STDEVP(終値!AS373:BL373)/AVERAGE(終値!AS373:BL373),""))</f>
      </c>
    </row>
    <row r="374">
      <c r="A374" s="681">
        <f>IF(終値!A374="","",終値!A374)</f>
      </c>
      <c r="B374" s="684">
        <f>IF(終値!A374="","",IFERROR(4*STDEVP(終値!E374:X374)/AVERAGE(終値!E374:X374),""))</f>
      </c>
      <c r="C374" s="684">
        <f>IF(終値!A374="","",IFERROR(4*STDEVP(終値!F374:Y374)/AVERAGE(終値!F374:Y374),""))</f>
      </c>
      <c r="D374" s="684">
        <f>IF(終値!A374="","",IFERROR(4*STDEVP(終値!G374:Z374)/AVERAGE(終値!G374:Z374),""))</f>
      </c>
      <c r="E374" s="684">
        <f>IF(終値!A374="","",IFERROR(4*STDEVP(終値!H374:AA374)/AVERAGE(終値!H374:AA374),""))</f>
      </c>
      <c r="F374" s="684">
        <f>IF(終値!A374="","",IFERROR(4*STDEVP(終値!I374:AB374)/AVERAGE(終値!I374:AB374),""))</f>
      </c>
      <c r="G374" s="684">
        <f>IF(終値!A374="","",IFERROR(4*STDEVP(終値!J374:AC374)/AVERAGE(終値!J374:AC374),""))</f>
      </c>
      <c r="H374" s="684">
        <f>IF(終値!A374="","",IFERROR(4*STDEVP(終値!K374:AD374)/AVERAGE(終値!K374:AD374),""))</f>
      </c>
      <c r="I374" s="684">
        <f>IF(終値!A374="","",IFERROR(4*STDEVP(終値!L374:AE374)/AVERAGE(終値!L374:AE374),""))</f>
      </c>
      <c r="J374" s="684">
        <f>IF(終値!A374="","",IFERROR(4*STDEVP(終値!M374:AF374)/AVERAGE(終値!M374:AF374),""))</f>
      </c>
      <c r="K374" s="684">
        <f>IF(終値!A374="","",IFERROR(4*STDEVP(終値!N374:AG374)/AVERAGE(終値!N374:AG374),""))</f>
      </c>
      <c r="L374" s="684">
        <f>IF(終値!A374="","",IFERROR(4*STDEVP(終値!O374:AH374)/AVERAGE(終値!O374:AH374),""))</f>
      </c>
      <c r="M374" s="684">
        <f>IF(終値!A374="","",IFERROR(4*STDEVP(終値!P374:AI374)/AVERAGE(終値!P374:AI374),""))</f>
      </c>
      <c r="N374" s="684">
        <f>IF(終値!A374="","",IFERROR(4*STDEVP(終値!Q374:AJ374)/AVERAGE(終値!Q374:AJ374),""))</f>
      </c>
      <c r="O374" s="684">
        <f>IF(終値!A374="","",IFERROR(4*STDEVP(終値!R374:AK374)/AVERAGE(終値!R374:AK374),""))</f>
      </c>
      <c r="P374" s="684">
        <f>IF(終値!A374="","",IFERROR(4*STDEVP(終値!S374:AL374)/AVERAGE(終値!S374:AL374),""))</f>
      </c>
      <c r="Q374" s="684">
        <f>IF(終値!A374="","",IFERROR(4*STDEVP(終値!T374:AM374)/AVERAGE(終値!T374:AM374),""))</f>
      </c>
      <c r="R374" s="684">
        <f>IF(終値!A374="","",IFERROR(4*STDEVP(終値!U374:AN374)/AVERAGE(終値!U374:AN374),""))</f>
      </c>
      <c r="S374" s="684">
        <f>IF(終値!A374="","",IFERROR(4*STDEVP(終値!V374:AO374)/AVERAGE(終値!V374:AO374),""))</f>
      </c>
      <c r="T374" s="684">
        <f>IF(終値!A374="","",IFERROR(4*STDEVP(終値!W374:AP374)/AVERAGE(終値!W374:AP374),""))</f>
      </c>
      <c r="U374" s="684">
        <f>IF(終値!A374="","",IFERROR(4*STDEVP(終値!X374:AQ374)/AVERAGE(終値!X374:AQ374),""))</f>
      </c>
      <c r="V374" s="684">
        <f>IF(終値!A374="","",IFERROR(4*STDEVP(終値!Y374:AR374)/AVERAGE(終値!Y374:AR374),""))</f>
      </c>
      <c r="W374" s="684">
        <f>IF(終値!A374="","",IFERROR(4*STDEVP(終値!Z374:AS374)/AVERAGE(終値!Z374:AS374),""))</f>
      </c>
      <c r="X374" s="684">
        <f>IF(終値!A374="","",IFERROR(4*STDEVP(終値!AA374:AT374)/AVERAGE(終値!AA374:AT374),""))</f>
      </c>
      <c r="Y374" s="684">
        <f>IF(終値!A374="","",IFERROR(4*STDEVP(終値!AB374:AU374)/AVERAGE(終値!AB374:AU374),""))</f>
      </c>
      <c r="Z374" s="684">
        <f>IF(終値!A374="","",IFERROR(4*STDEVP(終値!AC374:AV374)/AVERAGE(終値!AC374:AV374),""))</f>
      </c>
      <c r="AA374" s="684">
        <f>IF(終値!A374="","",IFERROR(4*STDEVP(終値!AD374:AW374)/AVERAGE(終値!AD374:AW374),""))</f>
      </c>
      <c r="AB374" s="684">
        <f>IF(終値!A374="","",IFERROR(4*STDEVP(終値!AE374:AX374)/AVERAGE(終値!AE374:AX374),""))</f>
      </c>
      <c r="AC374" s="684">
        <f>IF(終値!A374="","",IFERROR(4*STDEVP(終値!AF374:AY374)/AVERAGE(終値!AF374:AY374),""))</f>
      </c>
      <c r="AD374" s="684">
        <f>IF(終値!A374="","",IFERROR(4*STDEVP(終値!AG374:AZ374)/AVERAGE(終値!AG374:AZ374),""))</f>
      </c>
      <c r="AE374" s="684">
        <f>IF(終値!A374="","",IFERROR(4*STDEVP(終値!AH374:BA374)/AVERAGE(終値!AH374:BA374),""))</f>
      </c>
      <c r="AF374" s="684">
        <f>IF(終値!A374="","",IFERROR(4*STDEVP(終値!AI374:BB374)/AVERAGE(終値!AI374:BB374),""))</f>
      </c>
      <c r="AG374" s="684">
        <f>IF(終値!A374="","",IFERROR(4*STDEVP(終値!AJ374:BC374)/AVERAGE(終値!AJ374:BC374),""))</f>
      </c>
      <c r="AH374" s="684">
        <f>IF(終値!A374="","",IFERROR(4*STDEVP(終値!AK374:BD374)/AVERAGE(終値!AK374:BD374),""))</f>
      </c>
      <c r="AI374" s="684">
        <f>IF(終値!A374="","",IFERROR(4*STDEVP(終値!AL374:BE374)/AVERAGE(終値!AL374:BE374),""))</f>
      </c>
      <c r="AJ374" s="684">
        <f>IF(終値!A374="","",IFERROR(4*STDEVP(終値!AM374:BF374)/AVERAGE(終値!AM374:BF374),""))</f>
      </c>
      <c r="AK374" s="684">
        <f>IF(終値!A374="","",IFERROR(4*STDEVP(終値!AN374:BG374)/AVERAGE(終値!AN374:BG374),""))</f>
      </c>
      <c r="AL374" s="684">
        <f>IF(終値!A374="","",IFERROR(4*STDEVP(終値!AO374:BH374)/AVERAGE(終値!AO374:BH374),""))</f>
      </c>
      <c r="AM374" s="684">
        <f>IF(終値!A374="","",IFERROR(4*STDEVP(終値!AP374:BI374)/AVERAGE(終値!AP374:BI374),""))</f>
      </c>
      <c r="AN374" s="684">
        <f>IF(終値!A374="","",IFERROR(4*STDEVP(終値!AQ374:BJ374)/AVERAGE(終値!AQ374:BJ374),""))</f>
      </c>
      <c r="AO374" s="684">
        <f>IF(終値!A374="","",IFERROR(4*STDEVP(終値!AR374:BK374)/AVERAGE(終値!AR374:BK374),""))</f>
      </c>
      <c r="AP374" s="684">
        <f>IF(終値!A374="","",IFERROR(4*STDEVP(終値!AS374:BL374)/AVERAGE(終値!AS374:BL374),""))</f>
      </c>
    </row>
    <row r="375">
      <c r="A375" s="681">
        <f>IF(終値!A375="","",終値!A375)</f>
      </c>
      <c r="B375" s="684">
        <f>IF(終値!A375="","",IFERROR(4*STDEVP(終値!E375:X375)/AVERAGE(終値!E375:X375),""))</f>
      </c>
      <c r="C375" s="684">
        <f>IF(終値!A375="","",IFERROR(4*STDEVP(終値!F375:Y375)/AVERAGE(終値!F375:Y375),""))</f>
      </c>
      <c r="D375" s="684">
        <f>IF(終値!A375="","",IFERROR(4*STDEVP(終値!G375:Z375)/AVERAGE(終値!G375:Z375),""))</f>
      </c>
      <c r="E375" s="684">
        <f>IF(終値!A375="","",IFERROR(4*STDEVP(終値!H375:AA375)/AVERAGE(終値!H375:AA375),""))</f>
      </c>
      <c r="F375" s="684">
        <f>IF(終値!A375="","",IFERROR(4*STDEVP(終値!I375:AB375)/AVERAGE(終値!I375:AB375),""))</f>
      </c>
      <c r="G375" s="684">
        <f>IF(終値!A375="","",IFERROR(4*STDEVP(終値!J375:AC375)/AVERAGE(終値!J375:AC375),""))</f>
      </c>
      <c r="H375" s="684">
        <f>IF(終値!A375="","",IFERROR(4*STDEVP(終値!K375:AD375)/AVERAGE(終値!K375:AD375),""))</f>
      </c>
      <c r="I375" s="684">
        <f>IF(終値!A375="","",IFERROR(4*STDEVP(終値!L375:AE375)/AVERAGE(終値!L375:AE375),""))</f>
      </c>
      <c r="J375" s="684">
        <f>IF(終値!A375="","",IFERROR(4*STDEVP(終値!M375:AF375)/AVERAGE(終値!M375:AF375),""))</f>
      </c>
      <c r="K375" s="684">
        <f>IF(終値!A375="","",IFERROR(4*STDEVP(終値!N375:AG375)/AVERAGE(終値!N375:AG375),""))</f>
      </c>
      <c r="L375" s="684">
        <f>IF(終値!A375="","",IFERROR(4*STDEVP(終値!O375:AH375)/AVERAGE(終値!O375:AH375),""))</f>
      </c>
      <c r="M375" s="684">
        <f>IF(終値!A375="","",IFERROR(4*STDEVP(終値!P375:AI375)/AVERAGE(終値!P375:AI375),""))</f>
      </c>
      <c r="N375" s="684">
        <f>IF(終値!A375="","",IFERROR(4*STDEVP(終値!Q375:AJ375)/AVERAGE(終値!Q375:AJ375),""))</f>
      </c>
      <c r="O375" s="684">
        <f>IF(終値!A375="","",IFERROR(4*STDEVP(終値!R375:AK375)/AVERAGE(終値!R375:AK375),""))</f>
      </c>
      <c r="P375" s="684">
        <f>IF(終値!A375="","",IFERROR(4*STDEVP(終値!S375:AL375)/AVERAGE(終値!S375:AL375),""))</f>
      </c>
      <c r="Q375" s="684">
        <f>IF(終値!A375="","",IFERROR(4*STDEVP(終値!T375:AM375)/AVERAGE(終値!T375:AM375),""))</f>
      </c>
      <c r="R375" s="684">
        <f>IF(終値!A375="","",IFERROR(4*STDEVP(終値!U375:AN375)/AVERAGE(終値!U375:AN375),""))</f>
      </c>
      <c r="S375" s="684">
        <f>IF(終値!A375="","",IFERROR(4*STDEVP(終値!V375:AO375)/AVERAGE(終値!V375:AO375),""))</f>
      </c>
      <c r="T375" s="684">
        <f>IF(終値!A375="","",IFERROR(4*STDEVP(終値!W375:AP375)/AVERAGE(終値!W375:AP375),""))</f>
      </c>
      <c r="U375" s="684">
        <f>IF(終値!A375="","",IFERROR(4*STDEVP(終値!X375:AQ375)/AVERAGE(終値!X375:AQ375),""))</f>
      </c>
      <c r="V375" s="684">
        <f>IF(終値!A375="","",IFERROR(4*STDEVP(終値!Y375:AR375)/AVERAGE(終値!Y375:AR375),""))</f>
      </c>
      <c r="W375" s="684">
        <f>IF(終値!A375="","",IFERROR(4*STDEVP(終値!Z375:AS375)/AVERAGE(終値!Z375:AS375),""))</f>
      </c>
      <c r="X375" s="684">
        <f>IF(終値!A375="","",IFERROR(4*STDEVP(終値!AA375:AT375)/AVERAGE(終値!AA375:AT375),""))</f>
      </c>
      <c r="Y375" s="684">
        <f>IF(終値!A375="","",IFERROR(4*STDEVP(終値!AB375:AU375)/AVERAGE(終値!AB375:AU375),""))</f>
      </c>
      <c r="Z375" s="684">
        <f>IF(終値!A375="","",IFERROR(4*STDEVP(終値!AC375:AV375)/AVERAGE(終値!AC375:AV375),""))</f>
      </c>
      <c r="AA375" s="684">
        <f>IF(終値!A375="","",IFERROR(4*STDEVP(終値!AD375:AW375)/AVERAGE(終値!AD375:AW375),""))</f>
      </c>
      <c r="AB375" s="684">
        <f>IF(終値!A375="","",IFERROR(4*STDEVP(終値!AE375:AX375)/AVERAGE(終値!AE375:AX375),""))</f>
      </c>
      <c r="AC375" s="684">
        <f>IF(終値!A375="","",IFERROR(4*STDEVP(終値!AF375:AY375)/AVERAGE(終値!AF375:AY375),""))</f>
      </c>
      <c r="AD375" s="684">
        <f>IF(終値!A375="","",IFERROR(4*STDEVP(終値!AG375:AZ375)/AVERAGE(終値!AG375:AZ375),""))</f>
      </c>
      <c r="AE375" s="684">
        <f>IF(終値!A375="","",IFERROR(4*STDEVP(終値!AH375:BA375)/AVERAGE(終値!AH375:BA375),""))</f>
      </c>
      <c r="AF375" s="684">
        <f>IF(終値!A375="","",IFERROR(4*STDEVP(終値!AI375:BB375)/AVERAGE(終値!AI375:BB375),""))</f>
      </c>
      <c r="AG375" s="684">
        <f>IF(終値!A375="","",IFERROR(4*STDEVP(終値!AJ375:BC375)/AVERAGE(終値!AJ375:BC375),""))</f>
      </c>
      <c r="AH375" s="684">
        <f>IF(終値!A375="","",IFERROR(4*STDEVP(終値!AK375:BD375)/AVERAGE(終値!AK375:BD375),""))</f>
      </c>
      <c r="AI375" s="684">
        <f>IF(終値!A375="","",IFERROR(4*STDEVP(終値!AL375:BE375)/AVERAGE(終値!AL375:BE375),""))</f>
      </c>
      <c r="AJ375" s="684">
        <f>IF(終値!A375="","",IFERROR(4*STDEVP(終値!AM375:BF375)/AVERAGE(終値!AM375:BF375),""))</f>
      </c>
      <c r="AK375" s="684">
        <f>IF(終値!A375="","",IFERROR(4*STDEVP(終値!AN375:BG375)/AVERAGE(終値!AN375:BG375),""))</f>
      </c>
      <c r="AL375" s="684">
        <f>IF(終値!A375="","",IFERROR(4*STDEVP(終値!AO375:BH375)/AVERAGE(終値!AO375:BH375),""))</f>
      </c>
      <c r="AM375" s="684">
        <f>IF(終値!A375="","",IFERROR(4*STDEVP(終値!AP375:BI375)/AVERAGE(終値!AP375:BI375),""))</f>
      </c>
      <c r="AN375" s="684">
        <f>IF(終値!A375="","",IFERROR(4*STDEVP(終値!AQ375:BJ375)/AVERAGE(終値!AQ375:BJ375),""))</f>
      </c>
      <c r="AO375" s="684">
        <f>IF(終値!A375="","",IFERROR(4*STDEVP(終値!AR375:BK375)/AVERAGE(終値!AR375:BK375),""))</f>
      </c>
      <c r="AP375" s="684">
        <f>IF(終値!A375="","",IFERROR(4*STDEVP(終値!AS375:BL375)/AVERAGE(終値!AS375:BL375),""))</f>
      </c>
    </row>
    <row r="376">
      <c r="A376" s="681">
        <f>IF(終値!A376="","",終値!A376)</f>
      </c>
      <c r="B376" s="684">
        <f>IF(終値!A376="","",IFERROR(4*STDEVP(終値!E376:X376)/AVERAGE(終値!E376:X376),""))</f>
      </c>
      <c r="C376" s="684">
        <f>IF(終値!A376="","",IFERROR(4*STDEVP(終値!F376:Y376)/AVERAGE(終値!F376:Y376),""))</f>
      </c>
      <c r="D376" s="684">
        <f>IF(終値!A376="","",IFERROR(4*STDEVP(終値!G376:Z376)/AVERAGE(終値!G376:Z376),""))</f>
      </c>
      <c r="E376" s="684">
        <f>IF(終値!A376="","",IFERROR(4*STDEVP(終値!H376:AA376)/AVERAGE(終値!H376:AA376),""))</f>
      </c>
      <c r="F376" s="684">
        <f>IF(終値!A376="","",IFERROR(4*STDEVP(終値!I376:AB376)/AVERAGE(終値!I376:AB376),""))</f>
      </c>
      <c r="G376" s="684">
        <f>IF(終値!A376="","",IFERROR(4*STDEVP(終値!J376:AC376)/AVERAGE(終値!J376:AC376),""))</f>
      </c>
      <c r="H376" s="684">
        <f>IF(終値!A376="","",IFERROR(4*STDEVP(終値!K376:AD376)/AVERAGE(終値!K376:AD376),""))</f>
      </c>
      <c r="I376" s="684">
        <f>IF(終値!A376="","",IFERROR(4*STDEVP(終値!L376:AE376)/AVERAGE(終値!L376:AE376),""))</f>
      </c>
      <c r="J376" s="684">
        <f>IF(終値!A376="","",IFERROR(4*STDEVP(終値!M376:AF376)/AVERAGE(終値!M376:AF376),""))</f>
      </c>
      <c r="K376" s="684">
        <f>IF(終値!A376="","",IFERROR(4*STDEVP(終値!N376:AG376)/AVERAGE(終値!N376:AG376),""))</f>
      </c>
      <c r="L376" s="684">
        <f>IF(終値!A376="","",IFERROR(4*STDEVP(終値!O376:AH376)/AVERAGE(終値!O376:AH376),""))</f>
      </c>
      <c r="M376" s="684">
        <f>IF(終値!A376="","",IFERROR(4*STDEVP(終値!P376:AI376)/AVERAGE(終値!P376:AI376),""))</f>
      </c>
      <c r="N376" s="684">
        <f>IF(終値!A376="","",IFERROR(4*STDEVP(終値!Q376:AJ376)/AVERAGE(終値!Q376:AJ376),""))</f>
      </c>
      <c r="O376" s="684">
        <f>IF(終値!A376="","",IFERROR(4*STDEVP(終値!R376:AK376)/AVERAGE(終値!R376:AK376),""))</f>
      </c>
      <c r="P376" s="684">
        <f>IF(終値!A376="","",IFERROR(4*STDEVP(終値!S376:AL376)/AVERAGE(終値!S376:AL376),""))</f>
      </c>
      <c r="Q376" s="684">
        <f>IF(終値!A376="","",IFERROR(4*STDEVP(終値!T376:AM376)/AVERAGE(終値!T376:AM376),""))</f>
      </c>
      <c r="R376" s="684">
        <f>IF(終値!A376="","",IFERROR(4*STDEVP(終値!U376:AN376)/AVERAGE(終値!U376:AN376),""))</f>
      </c>
      <c r="S376" s="684">
        <f>IF(終値!A376="","",IFERROR(4*STDEVP(終値!V376:AO376)/AVERAGE(終値!V376:AO376),""))</f>
      </c>
      <c r="T376" s="684">
        <f>IF(終値!A376="","",IFERROR(4*STDEVP(終値!W376:AP376)/AVERAGE(終値!W376:AP376),""))</f>
      </c>
      <c r="U376" s="684">
        <f>IF(終値!A376="","",IFERROR(4*STDEVP(終値!X376:AQ376)/AVERAGE(終値!X376:AQ376),""))</f>
      </c>
      <c r="V376" s="684">
        <f>IF(終値!A376="","",IFERROR(4*STDEVP(終値!Y376:AR376)/AVERAGE(終値!Y376:AR376),""))</f>
      </c>
      <c r="W376" s="684">
        <f>IF(終値!A376="","",IFERROR(4*STDEVP(終値!Z376:AS376)/AVERAGE(終値!Z376:AS376),""))</f>
      </c>
      <c r="X376" s="684">
        <f>IF(終値!A376="","",IFERROR(4*STDEVP(終値!AA376:AT376)/AVERAGE(終値!AA376:AT376),""))</f>
      </c>
      <c r="Y376" s="684">
        <f>IF(終値!A376="","",IFERROR(4*STDEVP(終値!AB376:AU376)/AVERAGE(終値!AB376:AU376),""))</f>
      </c>
      <c r="Z376" s="684">
        <f>IF(終値!A376="","",IFERROR(4*STDEVP(終値!AC376:AV376)/AVERAGE(終値!AC376:AV376),""))</f>
      </c>
      <c r="AA376" s="684">
        <f>IF(終値!A376="","",IFERROR(4*STDEVP(終値!AD376:AW376)/AVERAGE(終値!AD376:AW376),""))</f>
      </c>
      <c r="AB376" s="684">
        <f>IF(終値!A376="","",IFERROR(4*STDEVP(終値!AE376:AX376)/AVERAGE(終値!AE376:AX376),""))</f>
      </c>
      <c r="AC376" s="684">
        <f>IF(終値!A376="","",IFERROR(4*STDEVP(終値!AF376:AY376)/AVERAGE(終値!AF376:AY376),""))</f>
      </c>
      <c r="AD376" s="684">
        <f>IF(終値!A376="","",IFERROR(4*STDEVP(終値!AG376:AZ376)/AVERAGE(終値!AG376:AZ376),""))</f>
      </c>
      <c r="AE376" s="684">
        <f>IF(終値!A376="","",IFERROR(4*STDEVP(終値!AH376:BA376)/AVERAGE(終値!AH376:BA376),""))</f>
      </c>
      <c r="AF376" s="684">
        <f>IF(終値!A376="","",IFERROR(4*STDEVP(終値!AI376:BB376)/AVERAGE(終値!AI376:BB376),""))</f>
      </c>
      <c r="AG376" s="684">
        <f>IF(終値!A376="","",IFERROR(4*STDEVP(終値!AJ376:BC376)/AVERAGE(終値!AJ376:BC376),""))</f>
      </c>
      <c r="AH376" s="684">
        <f>IF(終値!A376="","",IFERROR(4*STDEVP(終値!AK376:BD376)/AVERAGE(終値!AK376:BD376),""))</f>
      </c>
      <c r="AI376" s="684">
        <f>IF(終値!A376="","",IFERROR(4*STDEVP(終値!AL376:BE376)/AVERAGE(終値!AL376:BE376),""))</f>
      </c>
      <c r="AJ376" s="684">
        <f>IF(終値!A376="","",IFERROR(4*STDEVP(終値!AM376:BF376)/AVERAGE(終値!AM376:BF376),""))</f>
      </c>
      <c r="AK376" s="684">
        <f>IF(終値!A376="","",IFERROR(4*STDEVP(終値!AN376:BG376)/AVERAGE(終値!AN376:BG376),""))</f>
      </c>
      <c r="AL376" s="684">
        <f>IF(終値!A376="","",IFERROR(4*STDEVP(終値!AO376:BH376)/AVERAGE(終値!AO376:BH376),""))</f>
      </c>
      <c r="AM376" s="684">
        <f>IF(終値!A376="","",IFERROR(4*STDEVP(終値!AP376:BI376)/AVERAGE(終値!AP376:BI376),""))</f>
      </c>
      <c r="AN376" s="684">
        <f>IF(終値!A376="","",IFERROR(4*STDEVP(終値!AQ376:BJ376)/AVERAGE(終値!AQ376:BJ376),""))</f>
      </c>
      <c r="AO376" s="684">
        <f>IF(終値!A376="","",IFERROR(4*STDEVP(終値!AR376:BK376)/AVERAGE(終値!AR376:BK376),""))</f>
      </c>
      <c r="AP376" s="684">
        <f>IF(終値!A376="","",IFERROR(4*STDEVP(終値!AS376:BL376)/AVERAGE(終値!AS376:BL376),""))</f>
      </c>
    </row>
    <row r="377">
      <c r="A377" s="681">
        <f>IF(終値!A377="","",終値!A377)</f>
      </c>
      <c r="B377" s="684">
        <f>IF(終値!A377="","",IFERROR(4*STDEVP(終値!E377:X377)/AVERAGE(終値!E377:X377),""))</f>
      </c>
      <c r="C377" s="684">
        <f>IF(終値!A377="","",IFERROR(4*STDEVP(終値!F377:Y377)/AVERAGE(終値!F377:Y377),""))</f>
      </c>
      <c r="D377" s="684">
        <f>IF(終値!A377="","",IFERROR(4*STDEVP(終値!G377:Z377)/AVERAGE(終値!G377:Z377),""))</f>
      </c>
      <c r="E377" s="684">
        <f>IF(終値!A377="","",IFERROR(4*STDEVP(終値!H377:AA377)/AVERAGE(終値!H377:AA377),""))</f>
      </c>
      <c r="F377" s="684">
        <f>IF(終値!A377="","",IFERROR(4*STDEVP(終値!I377:AB377)/AVERAGE(終値!I377:AB377),""))</f>
      </c>
      <c r="G377" s="684">
        <f>IF(終値!A377="","",IFERROR(4*STDEVP(終値!J377:AC377)/AVERAGE(終値!J377:AC377),""))</f>
      </c>
      <c r="H377" s="684">
        <f>IF(終値!A377="","",IFERROR(4*STDEVP(終値!K377:AD377)/AVERAGE(終値!K377:AD377),""))</f>
      </c>
      <c r="I377" s="684">
        <f>IF(終値!A377="","",IFERROR(4*STDEVP(終値!L377:AE377)/AVERAGE(終値!L377:AE377),""))</f>
      </c>
      <c r="J377" s="684">
        <f>IF(終値!A377="","",IFERROR(4*STDEVP(終値!M377:AF377)/AVERAGE(終値!M377:AF377),""))</f>
      </c>
      <c r="K377" s="684">
        <f>IF(終値!A377="","",IFERROR(4*STDEVP(終値!N377:AG377)/AVERAGE(終値!N377:AG377),""))</f>
      </c>
      <c r="L377" s="684">
        <f>IF(終値!A377="","",IFERROR(4*STDEVP(終値!O377:AH377)/AVERAGE(終値!O377:AH377),""))</f>
      </c>
      <c r="M377" s="684">
        <f>IF(終値!A377="","",IFERROR(4*STDEVP(終値!P377:AI377)/AVERAGE(終値!P377:AI377),""))</f>
      </c>
      <c r="N377" s="684">
        <f>IF(終値!A377="","",IFERROR(4*STDEVP(終値!Q377:AJ377)/AVERAGE(終値!Q377:AJ377),""))</f>
      </c>
      <c r="O377" s="684">
        <f>IF(終値!A377="","",IFERROR(4*STDEVP(終値!R377:AK377)/AVERAGE(終値!R377:AK377),""))</f>
      </c>
      <c r="P377" s="684">
        <f>IF(終値!A377="","",IFERROR(4*STDEVP(終値!S377:AL377)/AVERAGE(終値!S377:AL377),""))</f>
      </c>
      <c r="Q377" s="684">
        <f>IF(終値!A377="","",IFERROR(4*STDEVP(終値!T377:AM377)/AVERAGE(終値!T377:AM377),""))</f>
      </c>
      <c r="R377" s="684">
        <f>IF(終値!A377="","",IFERROR(4*STDEVP(終値!U377:AN377)/AVERAGE(終値!U377:AN377),""))</f>
      </c>
      <c r="S377" s="684">
        <f>IF(終値!A377="","",IFERROR(4*STDEVP(終値!V377:AO377)/AVERAGE(終値!V377:AO377),""))</f>
      </c>
      <c r="T377" s="684">
        <f>IF(終値!A377="","",IFERROR(4*STDEVP(終値!W377:AP377)/AVERAGE(終値!W377:AP377),""))</f>
      </c>
      <c r="U377" s="684">
        <f>IF(終値!A377="","",IFERROR(4*STDEVP(終値!X377:AQ377)/AVERAGE(終値!X377:AQ377),""))</f>
      </c>
      <c r="V377" s="684">
        <f>IF(終値!A377="","",IFERROR(4*STDEVP(終値!Y377:AR377)/AVERAGE(終値!Y377:AR377),""))</f>
      </c>
      <c r="W377" s="684">
        <f>IF(終値!A377="","",IFERROR(4*STDEVP(終値!Z377:AS377)/AVERAGE(終値!Z377:AS377),""))</f>
      </c>
      <c r="X377" s="684">
        <f>IF(終値!A377="","",IFERROR(4*STDEVP(終値!AA377:AT377)/AVERAGE(終値!AA377:AT377),""))</f>
      </c>
      <c r="Y377" s="684">
        <f>IF(終値!A377="","",IFERROR(4*STDEVP(終値!AB377:AU377)/AVERAGE(終値!AB377:AU377),""))</f>
      </c>
      <c r="Z377" s="684">
        <f>IF(終値!A377="","",IFERROR(4*STDEVP(終値!AC377:AV377)/AVERAGE(終値!AC377:AV377),""))</f>
      </c>
      <c r="AA377" s="684">
        <f>IF(終値!A377="","",IFERROR(4*STDEVP(終値!AD377:AW377)/AVERAGE(終値!AD377:AW377),""))</f>
      </c>
      <c r="AB377" s="684">
        <f>IF(終値!A377="","",IFERROR(4*STDEVP(終値!AE377:AX377)/AVERAGE(終値!AE377:AX377),""))</f>
      </c>
      <c r="AC377" s="684">
        <f>IF(終値!A377="","",IFERROR(4*STDEVP(終値!AF377:AY377)/AVERAGE(終値!AF377:AY377),""))</f>
      </c>
      <c r="AD377" s="684">
        <f>IF(終値!A377="","",IFERROR(4*STDEVP(終値!AG377:AZ377)/AVERAGE(終値!AG377:AZ377),""))</f>
      </c>
      <c r="AE377" s="684">
        <f>IF(終値!A377="","",IFERROR(4*STDEVP(終値!AH377:BA377)/AVERAGE(終値!AH377:BA377),""))</f>
      </c>
      <c r="AF377" s="684">
        <f>IF(終値!A377="","",IFERROR(4*STDEVP(終値!AI377:BB377)/AVERAGE(終値!AI377:BB377),""))</f>
      </c>
      <c r="AG377" s="684">
        <f>IF(終値!A377="","",IFERROR(4*STDEVP(終値!AJ377:BC377)/AVERAGE(終値!AJ377:BC377),""))</f>
      </c>
      <c r="AH377" s="684">
        <f>IF(終値!A377="","",IFERROR(4*STDEVP(終値!AK377:BD377)/AVERAGE(終値!AK377:BD377),""))</f>
      </c>
      <c r="AI377" s="684">
        <f>IF(終値!A377="","",IFERROR(4*STDEVP(終値!AL377:BE377)/AVERAGE(終値!AL377:BE377),""))</f>
      </c>
      <c r="AJ377" s="684">
        <f>IF(終値!A377="","",IFERROR(4*STDEVP(終値!AM377:BF377)/AVERAGE(終値!AM377:BF377),""))</f>
      </c>
      <c r="AK377" s="684">
        <f>IF(終値!A377="","",IFERROR(4*STDEVP(終値!AN377:BG377)/AVERAGE(終値!AN377:BG377),""))</f>
      </c>
      <c r="AL377" s="684">
        <f>IF(終値!A377="","",IFERROR(4*STDEVP(終値!AO377:BH377)/AVERAGE(終値!AO377:BH377),""))</f>
      </c>
      <c r="AM377" s="684">
        <f>IF(終値!A377="","",IFERROR(4*STDEVP(終値!AP377:BI377)/AVERAGE(終値!AP377:BI377),""))</f>
      </c>
      <c r="AN377" s="684">
        <f>IF(終値!A377="","",IFERROR(4*STDEVP(終値!AQ377:BJ377)/AVERAGE(終値!AQ377:BJ377),""))</f>
      </c>
      <c r="AO377" s="684">
        <f>IF(終値!A377="","",IFERROR(4*STDEVP(終値!AR377:BK377)/AVERAGE(終値!AR377:BK377),""))</f>
      </c>
      <c r="AP377" s="684">
        <f>IF(終値!A377="","",IFERROR(4*STDEVP(終値!AS377:BL377)/AVERAGE(終値!AS377:BL377),""))</f>
      </c>
    </row>
    <row r="378">
      <c r="A378" s="681">
        <f>IF(終値!A378="","",終値!A378)</f>
      </c>
      <c r="B378" s="684">
        <f>IF(終値!A378="","",IFERROR(4*STDEVP(終値!E378:X378)/AVERAGE(終値!E378:X378),""))</f>
      </c>
      <c r="C378" s="684">
        <f>IF(終値!A378="","",IFERROR(4*STDEVP(終値!F378:Y378)/AVERAGE(終値!F378:Y378),""))</f>
      </c>
      <c r="D378" s="684">
        <f>IF(終値!A378="","",IFERROR(4*STDEVP(終値!G378:Z378)/AVERAGE(終値!G378:Z378),""))</f>
      </c>
      <c r="E378" s="684">
        <f>IF(終値!A378="","",IFERROR(4*STDEVP(終値!H378:AA378)/AVERAGE(終値!H378:AA378),""))</f>
      </c>
      <c r="F378" s="684">
        <f>IF(終値!A378="","",IFERROR(4*STDEVP(終値!I378:AB378)/AVERAGE(終値!I378:AB378),""))</f>
      </c>
      <c r="G378" s="684">
        <f>IF(終値!A378="","",IFERROR(4*STDEVP(終値!J378:AC378)/AVERAGE(終値!J378:AC378),""))</f>
      </c>
      <c r="H378" s="684">
        <f>IF(終値!A378="","",IFERROR(4*STDEVP(終値!K378:AD378)/AVERAGE(終値!K378:AD378),""))</f>
      </c>
      <c r="I378" s="684">
        <f>IF(終値!A378="","",IFERROR(4*STDEVP(終値!L378:AE378)/AVERAGE(終値!L378:AE378),""))</f>
      </c>
      <c r="J378" s="684">
        <f>IF(終値!A378="","",IFERROR(4*STDEVP(終値!M378:AF378)/AVERAGE(終値!M378:AF378),""))</f>
      </c>
      <c r="K378" s="684">
        <f>IF(終値!A378="","",IFERROR(4*STDEVP(終値!N378:AG378)/AVERAGE(終値!N378:AG378),""))</f>
      </c>
      <c r="L378" s="684">
        <f>IF(終値!A378="","",IFERROR(4*STDEVP(終値!O378:AH378)/AVERAGE(終値!O378:AH378),""))</f>
      </c>
      <c r="M378" s="684">
        <f>IF(終値!A378="","",IFERROR(4*STDEVP(終値!P378:AI378)/AVERAGE(終値!P378:AI378),""))</f>
      </c>
      <c r="N378" s="684">
        <f>IF(終値!A378="","",IFERROR(4*STDEVP(終値!Q378:AJ378)/AVERAGE(終値!Q378:AJ378),""))</f>
      </c>
      <c r="O378" s="684">
        <f>IF(終値!A378="","",IFERROR(4*STDEVP(終値!R378:AK378)/AVERAGE(終値!R378:AK378),""))</f>
      </c>
      <c r="P378" s="684">
        <f>IF(終値!A378="","",IFERROR(4*STDEVP(終値!S378:AL378)/AVERAGE(終値!S378:AL378),""))</f>
      </c>
      <c r="Q378" s="684">
        <f>IF(終値!A378="","",IFERROR(4*STDEVP(終値!T378:AM378)/AVERAGE(終値!T378:AM378),""))</f>
      </c>
      <c r="R378" s="684">
        <f>IF(終値!A378="","",IFERROR(4*STDEVP(終値!U378:AN378)/AVERAGE(終値!U378:AN378),""))</f>
      </c>
      <c r="S378" s="684">
        <f>IF(終値!A378="","",IFERROR(4*STDEVP(終値!V378:AO378)/AVERAGE(終値!V378:AO378),""))</f>
      </c>
      <c r="T378" s="684">
        <f>IF(終値!A378="","",IFERROR(4*STDEVP(終値!W378:AP378)/AVERAGE(終値!W378:AP378),""))</f>
      </c>
      <c r="U378" s="684">
        <f>IF(終値!A378="","",IFERROR(4*STDEVP(終値!X378:AQ378)/AVERAGE(終値!X378:AQ378),""))</f>
      </c>
      <c r="V378" s="684">
        <f>IF(終値!A378="","",IFERROR(4*STDEVP(終値!Y378:AR378)/AVERAGE(終値!Y378:AR378),""))</f>
      </c>
      <c r="W378" s="684">
        <f>IF(終値!A378="","",IFERROR(4*STDEVP(終値!Z378:AS378)/AVERAGE(終値!Z378:AS378),""))</f>
      </c>
      <c r="X378" s="684">
        <f>IF(終値!A378="","",IFERROR(4*STDEVP(終値!AA378:AT378)/AVERAGE(終値!AA378:AT378),""))</f>
      </c>
      <c r="Y378" s="684">
        <f>IF(終値!A378="","",IFERROR(4*STDEVP(終値!AB378:AU378)/AVERAGE(終値!AB378:AU378),""))</f>
      </c>
      <c r="Z378" s="684">
        <f>IF(終値!A378="","",IFERROR(4*STDEVP(終値!AC378:AV378)/AVERAGE(終値!AC378:AV378),""))</f>
      </c>
      <c r="AA378" s="684">
        <f>IF(終値!A378="","",IFERROR(4*STDEVP(終値!AD378:AW378)/AVERAGE(終値!AD378:AW378),""))</f>
      </c>
      <c r="AB378" s="684">
        <f>IF(終値!A378="","",IFERROR(4*STDEVP(終値!AE378:AX378)/AVERAGE(終値!AE378:AX378),""))</f>
      </c>
      <c r="AC378" s="684">
        <f>IF(終値!A378="","",IFERROR(4*STDEVP(終値!AF378:AY378)/AVERAGE(終値!AF378:AY378),""))</f>
      </c>
      <c r="AD378" s="684">
        <f>IF(終値!A378="","",IFERROR(4*STDEVP(終値!AG378:AZ378)/AVERAGE(終値!AG378:AZ378),""))</f>
      </c>
      <c r="AE378" s="684">
        <f>IF(終値!A378="","",IFERROR(4*STDEVP(終値!AH378:BA378)/AVERAGE(終値!AH378:BA378),""))</f>
      </c>
      <c r="AF378" s="684">
        <f>IF(終値!A378="","",IFERROR(4*STDEVP(終値!AI378:BB378)/AVERAGE(終値!AI378:BB378),""))</f>
      </c>
      <c r="AG378" s="684">
        <f>IF(終値!A378="","",IFERROR(4*STDEVP(終値!AJ378:BC378)/AVERAGE(終値!AJ378:BC378),""))</f>
      </c>
      <c r="AH378" s="684">
        <f>IF(終値!A378="","",IFERROR(4*STDEVP(終値!AK378:BD378)/AVERAGE(終値!AK378:BD378),""))</f>
      </c>
      <c r="AI378" s="684">
        <f>IF(終値!A378="","",IFERROR(4*STDEVP(終値!AL378:BE378)/AVERAGE(終値!AL378:BE378),""))</f>
      </c>
      <c r="AJ378" s="684">
        <f>IF(終値!A378="","",IFERROR(4*STDEVP(終値!AM378:BF378)/AVERAGE(終値!AM378:BF378),""))</f>
      </c>
      <c r="AK378" s="684">
        <f>IF(終値!A378="","",IFERROR(4*STDEVP(終値!AN378:BG378)/AVERAGE(終値!AN378:BG378),""))</f>
      </c>
      <c r="AL378" s="684">
        <f>IF(終値!A378="","",IFERROR(4*STDEVP(終値!AO378:BH378)/AVERAGE(終値!AO378:BH378),""))</f>
      </c>
      <c r="AM378" s="684">
        <f>IF(終値!A378="","",IFERROR(4*STDEVP(終値!AP378:BI378)/AVERAGE(終値!AP378:BI378),""))</f>
      </c>
      <c r="AN378" s="684">
        <f>IF(終値!A378="","",IFERROR(4*STDEVP(終値!AQ378:BJ378)/AVERAGE(終値!AQ378:BJ378),""))</f>
      </c>
      <c r="AO378" s="684">
        <f>IF(終値!A378="","",IFERROR(4*STDEVP(終値!AR378:BK378)/AVERAGE(終値!AR378:BK378),""))</f>
      </c>
      <c r="AP378" s="684">
        <f>IF(終値!A378="","",IFERROR(4*STDEVP(終値!AS378:BL378)/AVERAGE(終値!AS378:BL378),""))</f>
      </c>
    </row>
    <row r="379">
      <c r="A379" s="681">
        <f>IF(終値!A379="","",終値!A379)</f>
      </c>
      <c r="B379" s="684">
        <f>IF(終値!A379="","",IFERROR(4*STDEVP(終値!E379:X379)/AVERAGE(終値!E379:X379),""))</f>
      </c>
      <c r="C379" s="684">
        <f>IF(終値!A379="","",IFERROR(4*STDEVP(終値!F379:Y379)/AVERAGE(終値!F379:Y379),""))</f>
      </c>
      <c r="D379" s="684">
        <f>IF(終値!A379="","",IFERROR(4*STDEVP(終値!G379:Z379)/AVERAGE(終値!G379:Z379),""))</f>
      </c>
      <c r="E379" s="684">
        <f>IF(終値!A379="","",IFERROR(4*STDEVP(終値!H379:AA379)/AVERAGE(終値!H379:AA379),""))</f>
      </c>
      <c r="F379" s="684">
        <f>IF(終値!A379="","",IFERROR(4*STDEVP(終値!I379:AB379)/AVERAGE(終値!I379:AB379),""))</f>
      </c>
      <c r="G379" s="684">
        <f>IF(終値!A379="","",IFERROR(4*STDEVP(終値!J379:AC379)/AVERAGE(終値!J379:AC379),""))</f>
      </c>
      <c r="H379" s="684">
        <f>IF(終値!A379="","",IFERROR(4*STDEVP(終値!K379:AD379)/AVERAGE(終値!K379:AD379),""))</f>
      </c>
      <c r="I379" s="684">
        <f>IF(終値!A379="","",IFERROR(4*STDEVP(終値!L379:AE379)/AVERAGE(終値!L379:AE379),""))</f>
      </c>
      <c r="J379" s="684">
        <f>IF(終値!A379="","",IFERROR(4*STDEVP(終値!M379:AF379)/AVERAGE(終値!M379:AF379),""))</f>
      </c>
      <c r="K379" s="684">
        <f>IF(終値!A379="","",IFERROR(4*STDEVP(終値!N379:AG379)/AVERAGE(終値!N379:AG379),""))</f>
      </c>
      <c r="L379" s="684">
        <f>IF(終値!A379="","",IFERROR(4*STDEVP(終値!O379:AH379)/AVERAGE(終値!O379:AH379),""))</f>
      </c>
      <c r="M379" s="684">
        <f>IF(終値!A379="","",IFERROR(4*STDEVP(終値!P379:AI379)/AVERAGE(終値!P379:AI379),""))</f>
      </c>
      <c r="N379" s="684">
        <f>IF(終値!A379="","",IFERROR(4*STDEVP(終値!Q379:AJ379)/AVERAGE(終値!Q379:AJ379),""))</f>
      </c>
      <c r="O379" s="684">
        <f>IF(終値!A379="","",IFERROR(4*STDEVP(終値!R379:AK379)/AVERAGE(終値!R379:AK379),""))</f>
      </c>
      <c r="P379" s="684">
        <f>IF(終値!A379="","",IFERROR(4*STDEVP(終値!S379:AL379)/AVERAGE(終値!S379:AL379),""))</f>
      </c>
      <c r="Q379" s="684">
        <f>IF(終値!A379="","",IFERROR(4*STDEVP(終値!T379:AM379)/AVERAGE(終値!T379:AM379),""))</f>
      </c>
      <c r="R379" s="684">
        <f>IF(終値!A379="","",IFERROR(4*STDEVP(終値!U379:AN379)/AVERAGE(終値!U379:AN379),""))</f>
      </c>
      <c r="S379" s="684">
        <f>IF(終値!A379="","",IFERROR(4*STDEVP(終値!V379:AO379)/AVERAGE(終値!V379:AO379),""))</f>
      </c>
      <c r="T379" s="684">
        <f>IF(終値!A379="","",IFERROR(4*STDEVP(終値!W379:AP379)/AVERAGE(終値!W379:AP379),""))</f>
      </c>
      <c r="U379" s="684">
        <f>IF(終値!A379="","",IFERROR(4*STDEVP(終値!X379:AQ379)/AVERAGE(終値!X379:AQ379),""))</f>
      </c>
      <c r="V379" s="684">
        <f>IF(終値!A379="","",IFERROR(4*STDEVP(終値!Y379:AR379)/AVERAGE(終値!Y379:AR379),""))</f>
      </c>
      <c r="W379" s="684">
        <f>IF(終値!A379="","",IFERROR(4*STDEVP(終値!Z379:AS379)/AVERAGE(終値!Z379:AS379),""))</f>
      </c>
      <c r="X379" s="684">
        <f>IF(終値!A379="","",IFERROR(4*STDEVP(終値!AA379:AT379)/AVERAGE(終値!AA379:AT379),""))</f>
      </c>
      <c r="Y379" s="684">
        <f>IF(終値!A379="","",IFERROR(4*STDEVP(終値!AB379:AU379)/AVERAGE(終値!AB379:AU379),""))</f>
      </c>
      <c r="Z379" s="684">
        <f>IF(終値!A379="","",IFERROR(4*STDEVP(終値!AC379:AV379)/AVERAGE(終値!AC379:AV379),""))</f>
      </c>
      <c r="AA379" s="684">
        <f>IF(終値!A379="","",IFERROR(4*STDEVP(終値!AD379:AW379)/AVERAGE(終値!AD379:AW379),""))</f>
      </c>
      <c r="AB379" s="684">
        <f>IF(終値!A379="","",IFERROR(4*STDEVP(終値!AE379:AX379)/AVERAGE(終値!AE379:AX379),""))</f>
      </c>
      <c r="AC379" s="684">
        <f>IF(終値!A379="","",IFERROR(4*STDEVP(終値!AF379:AY379)/AVERAGE(終値!AF379:AY379),""))</f>
      </c>
      <c r="AD379" s="684">
        <f>IF(終値!A379="","",IFERROR(4*STDEVP(終値!AG379:AZ379)/AVERAGE(終値!AG379:AZ379),""))</f>
      </c>
      <c r="AE379" s="684">
        <f>IF(終値!A379="","",IFERROR(4*STDEVP(終値!AH379:BA379)/AVERAGE(終値!AH379:BA379),""))</f>
      </c>
      <c r="AF379" s="684">
        <f>IF(終値!A379="","",IFERROR(4*STDEVP(終値!AI379:BB379)/AVERAGE(終値!AI379:BB379),""))</f>
      </c>
      <c r="AG379" s="684">
        <f>IF(終値!A379="","",IFERROR(4*STDEVP(終値!AJ379:BC379)/AVERAGE(終値!AJ379:BC379),""))</f>
      </c>
      <c r="AH379" s="684">
        <f>IF(終値!A379="","",IFERROR(4*STDEVP(終値!AK379:BD379)/AVERAGE(終値!AK379:BD379),""))</f>
      </c>
      <c r="AI379" s="684">
        <f>IF(終値!A379="","",IFERROR(4*STDEVP(終値!AL379:BE379)/AVERAGE(終値!AL379:BE379),""))</f>
      </c>
      <c r="AJ379" s="684">
        <f>IF(終値!A379="","",IFERROR(4*STDEVP(終値!AM379:BF379)/AVERAGE(終値!AM379:BF379),""))</f>
      </c>
      <c r="AK379" s="684">
        <f>IF(終値!A379="","",IFERROR(4*STDEVP(終値!AN379:BG379)/AVERAGE(終値!AN379:BG379),""))</f>
      </c>
      <c r="AL379" s="684">
        <f>IF(終値!A379="","",IFERROR(4*STDEVP(終値!AO379:BH379)/AVERAGE(終値!AO379:BH379),""))</f>
      </c>
      <c r="AM379" s="684">
        <f>IF(終値!A379="","",IFERROR(4*STDEVP(終値!AP379:BI379)/AVERAGE(終値!AP379:BI379),""))</f>
      </c>
      <c r="AN379" s="684">
        <f>IF(終値!A379="","",IFERROR(4*STDEVP(終値!AQ379:BJ379)/AVERAGE(終値!AQ379:BJ379),""))</f>
      </c>
      <c r="AO379" s="684">
        <f>IF(終値!A379="","",IFERROR(4*STDEVP(終値!AR379:BK379)/AVERAGE(終値!AR379:BK379),""))</f>
      </c>
      <c r="AP379" s="684">
        <f>IF(終値!A379="","",IFERROR(4*STDEVP(終値!AS379:BL379)/AVERAGE(終値!AS379:BL379),""))</f>
      </c>
    </row>
    <row r="380">
      <c r="A380" s="681">
        <f>IF(終値!A380="","",終値!A380)</f>
      </c>
      <c r="B380" s="684">
        <f>IF(終値!A380="","",IFERROR(4*STDEVP(終値!E380:X380)/AVERAGE(終値!E380:X380),""))</f>
      </c>
      <c r="C380" s="684">
        <f>IF(終値!A380="","",IFERROR(4*STDEVP(終値!F380:Y380)/AVERAGE(終値!F380:Y380),""))</f>
      </c>
      <c r="D380" s="684">
        <f>IF(終値!A380="","",IFERROR(4*STDEVP(終値!G380:Z380)/AVERAGE(終値!G380:Z380),""))</f>
      </c>
      <c r="E380" s="684">
        <f>IF(終値!A380="","",IFERROR(4*STDEVP(終値!H380:AA380)/AVERAGE(終値!H380:AA380),""))</f>
      </c>
      <c r="F380" s="684">
        <f>IF(終値!A380="","",IFERROR(4*STDEVP(終値!I380:AB380)/AVERAGE(終値!I380:AB380),""))</f>
      </c>
      <c r="G380" s="684">
        <f>IF(終値!A380="","",IFERROR(4*STDEVP(終値!J380:AC380)/AVERAGE(終値!J380:AC380),""))</f>
      </c>
      <c r="H380" s="684">
        <f>IF(終値!A380="","",IFERROR(4*STDEVP(終値!K380:AD380)/AVERAGE(終値!K380:AD380),""))</f>
      </c>
      <c r="I380" s="684">
        <f>IF(終値!A380="","",IFERROR(4*STDEVP(終値!L380:AE380)/AVERAGE(終値!L380:AE380),""))</f>
      </c>
      <c r="J380" s="684">
        <f>IF(終値!A380="","",IFERROR(4*STDEVP(終値!M380:AF380)/AVERAGE(終値!M380:AF380),""))</f>
      </c>
      <c r="K380" s="684">
        <f>IF(終値!A380="","",IFERROR(4*STDEVP(終値!N380:AG380)/AVERAGE(終値!N380:AG380),""))</f>
      </c>
      <c r="L380" s="684">
        <f>IF(終値!A380="","",IFERROR(4*STDEVP(終値!O380:AH380)/AVERAGE(終値!O380:AH380),""))</f>
      </c>
      <c r="M380" s="684">
        <f>IF(終値!A380="","",IFERROR(4*STDEVP(終値!P380:AI380)/AVERAGE(終値!P380:AI380),""))</f>
      </c>
      <c r="N380" s="684">
        <f>IF(終値!A380="","",IFERROR(4*STDEVP(終値!Q380:AJ380)/AVERAGE(終値!Q380:AJ380),""))</f>
      </c>
      <c r="O380" s="684">
        <f>IF(終値!A380="","",IFERROR(4*STDEVP(終値!R380:AK380)/AVERAGE(終値!R380:AK380),""))</f>
      </c>
      <c r="P380" s="684">
        <f>IF(終値!A380="","",IFERROR(4*STDEVP(終値!S380:AL380)/AVERAGE(終値!S380:AL380),""))</f>
      </c>
      <c r="Q380" s="684">
        <f>IF(終値!A380="","",IFERROR(4*STDEVP(終値!T380:AM380)/AVERAGE(終値!T380:AM380),""))</f>
      </c>
      <c r="R380" s="684">
        <f>IF(終値!A380="","",IFERROR(4*STDEVP(終値!U380:AN380)/AVERAGE(終値!U380:AN380),""))</f>
      </c>
      <c r="S380" s="684">
        <f>IF(終値!A380="","",IFERROR(4*STDEVP(終値!V380:AO380)/AVERAGE(終値!V380:AO380),""))</f>
      </c>
      <c r="T380" s="684">
        <f>IF(終値!A380="","",IFERROR(4*STDEVP(終値!W380:AP380)/AVERAGE(終値!W380:AP380),""))</f>
      </c>
      <c r="U380" s="684">
        <f>IF(終値!A380="","",IFERROR(4*STDEVP(終値!X380:AQ380)/AVERAGE(終値!X380:AQ380),""))</f>
      </c>
      <c r="V380" s="684">
        <f>IF(終値!A380="","",IFERROR(4*STDEVP(終値!Y380:AR380)/AVERAGE(終値!Y380:AR380),""))</f>
      </c>
      <c r="W380" s="684">
        <f>IF(終値!A380="","",IFERROR(4*STDEVP(終値!Z380:AS380)/AVERAGE(終値!Z380:AS380),""))</f>
      </c>
      <c r="X380" s="684">
        <f>IF(終値!A380="","",IFERROR(4*STDEVP(終値!AA380:AT380)/AVERAGE(終値!AA380:AT380),""))</f>
      </c>
      <c r="Y380" s="684">
        <f>IF(終値!A380="","",IFERROR(4*STDEVP(終値!AB380:AU380)/AVERAGE(終値!AB380:AU380),""))</f>
      </c>
      <c r="Z380" s="684">
        <f>IF(終値!A380="","",IFERROR(4*STDEVP(終値!AC380:AV380)/AVERAGE(終値!AC380:AV380),""))</f>
      </c>
      <c r="AA380" s="684">
        <f>IF(終値!A380="","",IFERROR(4*STDEVP(終値!AD380:AW380)/AVERAGE(終値!AD380:AW380),""))</f>
      </c>
      <c r="AB380" s="684">
        <f>IF(終値!A380="","",IFERROR(4*STDEVP(終値!AE380:AX380)/AVERAGE(終値!AE380:AX380),""))</f>
      </c>
      <c r="AC380" s="684">
        <f>IF(終値!A380="","",IFERROR(4*STDEVP(終値!AF380:AY380)/AVERAGE(終値!AF380:AY380),""))</f>
      </c>
      <c r="AD380" s="684">
        <f>IF(終値!A380="","",IFERROR(4*STDEVP(終値!AG380:AZ380)/AVERAGE(終値!AG380:AZ380),""))</f>
      </c>
      <c r="AE380" s="684">
        <f>IF(終値!A380="","",IFERROR(4*STDEVP(終値!AH380:BA380)/AVERAGE(終値!AH380:BA380),""))</f>
      </c>
      <c r="AF380" s="684">
        <f>IF(終値!A380="","",IFERROR(4*STDEVP(終値!AI380:BB380)/AVERAGE(終値!AI380:BB380),""))</f>
      </c>
      <c r="AG380" s="684">
        <f>IF(終値!A380="","",IFERROR(4*STDEVP(終値!AJ380:BC380)/AVERAGE(終値!AJ380:BC380),""))</f>
      </c>
      <c r="AH380" s="684">
        <f>IF(終値!A380="","",IFERROR(4*STDEVP(終値!AK380:BD380)/AVERAGE(終値!AK380:BD380),""))</f>
      </c>
      <c r="AI380" s="684">
        <f>IF(終値!A380="","",IFERROR(4*STDEVP(終値!AL380:BE380)/AVERAGE(終値!AL380:BE380),""))</f>
      </c>
      <c r="AJ380" s="684">
        <f>IF(終値!A380="","",IFERROR(4*STDEVP(終値!AM380:BF380)/AVERAGE(終値!AM380:BF380),""))</f>
      </c>
      <c r="AK380" s="684">
        <f>IF(終値!A380="","",IFERROR(4*STDEVP(終値!AN380:BG380)/AVERAGE(終値!AN380:BG380),""))</f>
      </c>
      <c r="AL380" s="684">
        <f>IF(終値!A380="","",IFERROR(4*STDEVP(終値!AO380:BH380)/AVERAGE(終値!AO380:BH380),""))</f>
      </c>
      <c r="AM380" s="684">
        <f>IF(終値!A380="","",IFERROR(4*STDEVP(終値!AP380:BI380)/AVERAGE(終値!AP380:BI380),""))</f>
      </c>
      <c r="AN380" s="684">
        <f>IF(終値!A380="","",IFERROR(4*STDEVP(終値!AQ380:BJ380)/AVERAGE(終値!AQ380:BJ380),""))</f>
      </c>
      <c r="AO380" s="684">
        <f>IF(終値!A380="","",IFERROR(4*STDEVP(終値!AR380:BK380)/AVERAGE(終値!AR380:BK380),""))</f>
      </c>
      <c r="AP380" s="684">
        <f>IF(終値!A380="","",IFERROR(4*STDEVP(終値!AS380:BL380)/AVERAGE(終値!AS380:BL380),""))</f>
      </c>
    </row>
    <row r="381">
      <c r="A381" s="681">
        <f>IF(終値!A381="","",終値!A381)</f>
      </c>
      <c r="B381" s="684">
        <f>IF(終値!A381="","",IFERROR(4*STDEVP(終値!E381:X381)/AVERAGE(終値!E381:X381),""))</f>
      </c>
      <c r="C381" s="684">
        <f>IF(終値!A381="","",IFERROR(4*STDEVP(終値!F381:Y381)/AVERAGE(終値!F381:Y381),""))</f>
      </c>
      <c r="D381" s="684">
        <f>IF(終値!A381="","",IFERROR(4*STDEVP(終値!G381:Z381)/AVERAGE(終値!G381:Z381),""))</f>
      </c>
      <c r="E381" s="684">
        <f>IF(終値!A381="","",IFERROR(4*STDEVP(終値!H381:AA381)/AVERAGE(終値!H381:AA381),""))</f>
      </c>
      <c r="F381" s="684">
        <f>IF(終値!A381="","",IFERROR(4*STDEVP(終値!I381:AB381)/AVERAGE(終値!I381:AB381),""))</f>
      </c>
      <c r="G381" s="684">
        <f>IF(終値!A381="","",IFERROR(4*STDEVP(終値!J381:AC381)/AVERAGE(終値!J381:AC381),""))</f>
      </c>
      <c r="H381" s="684">
        <f>IF(終値!A381="","",IFERROR(4*STDEVP(終値!K381:AD381)/AVERAGE(終値!K381:AD381),""))</f>
      </c>
      <c r="I381" s="684">
        <f>IF(終値!A381="","",IFERROR(4*STDEVP(終値!L381:AE381)/AVERAGE(終値!L381:AE381),""))</f>
      </c>
      <c r="J381" s="684">
        <f>IF(終値!A381="","",IFERROR(4*STDEVP(終値!M381:AF381)/AVERAGE(終値!M381:AF381),""))</f>
      </c>
      <c r="K381" s="684">
        <f>IF(終値!A381="","",IFERROR(4*STDEVP(終値!N381:AG381)/AVERAGE(終値!N381:AG381),""))</f>
      </c>
      <c r="L381" s="684">
        <f>IF(終値!A381="","",IFERROR(4*STDEVP(終値!O381:AH381)/AVERAGE(終値!O381:AH381),""))</f>
      </c>
      <c r="M381" s="684">
        <f>IF(終値!A381="","",IFERROR(4*STDEVP(終値!P381:AI381)/AVERAGE(終値!P381:AI381),""))</f>
      </c>
      <c r="N381" s="684">
        <f>IF(終値!A381="","",IFERROR(4*STDEVP(終値!Q381:AJ381)/AVERAGE(終値!Q381:AJ381),""))</f>
      </c>
      <c r="O381" s="684">
        <f>IF(終値!A381="","",IFERROR(4*STDEVP(終値!R381:AK381)/AVERAGE(終値!R381:AK381),""))</f>
      </c>
      <c r="P381" s="684">
        <f>IF(終値!A381="","",IFERROR(4*STDEVP(終値!S381:AL381)/AVERAGE(終値!S381:AL381),""))</f>
      </c>
      <c r="Q381" s="684">
        <f>IF(終値!A381="","",IFERROR(4*STDEVP(終値!T381:AM381)/AVERAGE(終値!T381:AM381),""))</f>
      </c>
      <c r="R381" s="684">
        <f>IF(終値!A381="","",IFERROR(4*STDEVP(終値!U381:AN381)/AVERAGE(終値!U381:AN381),""))</f>
      </c>
      <c r="S381" s="684">
        <f>IF(終値!A381="","",IFERROR(4*STDEVP(終値!V381:AO381)/AVERAGE(終値!V381:AO381),""))</f>
      </c>
      <c r="T381" s="684">
        <f>IF(終値!A381="","",IFERROR(4*STDEVP(終値!W381:AP381)/AVERAGE(終値!W381:AP381),""))</f>
      </c>
      <c r="U381" s="684">
        <f>IF(終値!A381="","",IFERROR(4*STDEVP(終値!X381:AQ381)/AVERAGE(終値!X381:AQ381),""))</f>
      </c>
      <c r="V381" s="684">
        <f>IF(終値!A381="","",IFERROR(4*STDEVP(終値!Y381:AR381)/AVERAGE(終値!Y381:AR381),""))</f>
      </c>
      <c r="W381" s="684">
        <f>IF(終値!A381="","",IFERROR(4*STDEVP(終値!Z381:AS381)/AVERAGE(終値!Z381:AS381),""))</f>
      </c>
      <c r="X381" s="684">
        <f>IF(終値!A381="","",IFERROR(4*STDEVP(終値!AA381:AT381)/AVERAGE(終値!AA381:AT381),""))</f>
      </c>
      <c r="Y381" s="684">
        <f>IF(終値!A381="","",IFERROR(4*STDEVP(終値!AB381:AU381)/AVERAGE(終値!AB381:AU381),""))</f>
      </c>
      <c r="Z381" s="684">
        <f>IF(終値!A381="","",IFERROR(4*STDEVP(終値!AC381:AV381)/AVERAGE(終値!AC381:AV381),""))</f>
      </c>
      <c r="AA381" s="684">
        <f>IF(終値!A381="","",IFERROR(4*STDEVP(終値!AD381:AW381)/AVERAGE(終値!AD381:AW381),""))</f>
      </c>
      <c r="AB381" s="684">
        <f>IF(終値!A381="","",IFERROR(4*STDEVP(終値!AE381:AX381)/AVERAGE(終値!AE381:AX381),""))</f>
      </c>
      <c r="AC381" s="684">
        <f>IF(終値!A381="","",IFERROR(4*STDEVP(終値!AF381:AY381)/AVERAGE(終値!AF381:AY381),""))</f>
      </c>
      <c r="AD381" s="684">
        <f>IF(終値!A381="","",IFERROR(4*STDEVP(終値!AG381:AZ381)/AVERAGE(終値!AG381:AZ381),""))</f>
      </c>
      <c r="AE381" s="684">
        <f>IF(終値!A381="","",IFERROR(4*STDEVP(終値!AH381:BA381)/AVERAGE(終値!AH381:BA381),""))</f>
      </c>
      <c r="AF381" s="684">
        <f>IF(終値!A381="","",IFERROR(4*STDEVP(終値!AI381:BB381)/AVERAGE(終値!AI381:BB381),""))</f>
      </c>
      <c r="AG381" s="684">
        <f>IF(終値!A381="","",IFERROR(4*STDEVP(終値!AJ381:BC381)/AVERAGE(終値!AJ381:BC381),""))</f>
      </c>
      <c r="AH381" s="684">
        <f>IF(終値!A381="","",IFERROR(4*STDEVP(終値!AK381:BD381)/AVERAGE(終値!AK381:BD381),""))</f>
      </c>
      <c r="AI381" s="684">
        <f>IF(終値!A381="","",IFERROR(4*STDEVP(終値!AL381:BE381)/AVERAGE(終値!AL381:BE381),""))</f>
      </c>
      <c r="AJ381" s="684">
        <f>IF(終値!A381="","",IFERROR(4*STDEVP(終値!AM381:BF381)/AVERAGE(終値!AM381:BF381),""))</f>
      </c>
      <c r="AK381" s="684">
        <f>IF(終値!A381="","",IFERROR(4*STDEVP(終値!AN381:BG381)/AVERAGE(終値!AN381:BG381),""))</f>
      </c>
      <c r="AL381" s="684">
        <f>IF(終値!A381="","",IFERROR(4*STDEVP(終値!AO381:BH381)/AVERAGE(終値!AO381:BH381),""))</f>
      </c>
      <c r="AM381" s="684">
        <f>IF(終値!A381="","",IFERROR(4*STDEVP(終値!AP381:BI381)/AVERAGE(終値!AP381:BI381),""))</f>
      </c>
      <c r="AN381" s="684">
        <f>IF(終値!A381="","",IFERROR(4*STDEVP(終値!AQ381:BJ381)/AVERAGE(終値!AQ381:BJ381),""))</f>
      </c>
      <c r="AO381" s="684">
        <f>IF(終値!A381="","",IFERROR(4*STDEVP(終値!AR381:BK381)/AVERAGE(終値!AR381:BK381),""))</f>
      </c>
      <c r="AP381" s="684">
        <f>IF(終値!A381="","",IFERROR(4*STDEVP(終値!AS381:BL381)/AVERAGE(終値!AS381:BL381),""))</f>
      </c>
    </row>
    <row r="382">
      <c r="A382" s="681">
        <f>IF(終値!A382="","",終値!A382)</f>
      </c>
      <c r="B382" s="684">
        <f>IF(終値!A382="","",IFERROR(4*STDEVP(終値!E382:X382)/AVERAGE(終値!E382:X382),""))</f>
      </c>
      <c r="C382" s="684">
        <f>IF(終値!A382="","",IFERROR(4*STDEVP(終値!F382:Y382)/AVERAGE(終値!F382:Y382),""))</f>
      </c>
      <c r="D382" s="684">
        <f>IF(終値!A382="","",IFERROR(4*STDEVP(終値!G382:Z382)/AVERAGE(終値!G382:Z382),""))</f>
      </c>
      <c r="E382" s="684">
        <f>IF(終値!A382="","",IFERROR(4*STDEVP(終値!H382:AA382)/AVERAGE(終値!H382:AA382),""))</f>
      </c>
      <c r="F382" s="684">
        <f>IF(終値!A382="","",IFERROR(4*STDEVP(終値!I382:AB382)/AVERAGE(終値!I382:AB382),""))</f>
      </c>
      <c r="G382" s="684">
        <f>IF(終値!A382="","",IFERROR(4*STDEVP(終値!J382:AC382)/AVERAGE(終値!J382:AC382),""))</f>
      </c>
      <c r="H382" s="684">
        <f>IF(終値!A382="","",IFERROR(4*STDEVP(終値!K382:AD382)/AVERAGE(終値!K382:AD382),""))</f>
      </c>
      <c r="I382" s="684">
        <f>IF(終値!A382="","",IFERROR(4*STDEVP(終値!L382:AE382)/AVERAGE(終値!L382:AE382),""))</f>
      </c>
      <c r="J382" s="684">
        <f>IF(終値!A382="","",IFERROR(4*STDEVP(終値!M382:AF382)/AVERAGE(終値!M382:AF382),""))</f>
      </c>
      <c r="K382" s="684">
        <f>IF(終値!A382="","",IFERROR(4*STDEVP(終値!N382:AG382)/AVERAGE(終値!N382:AG382),""))</f>
      </c>
      <c r="L382" s="684">
        <f>IF(終値!A382="","",IFERROR(4*STDEVP(終値!O382:AH382)/AVERAGE(終値!O382:AH382),""))</f>
      </c>
      <c r="M382" s="684">
        <f>IF(終値!A382="","",IFERROR(4*STDEVP(終値!P382:AI382)/AVERAGE(終値!P382:AI382),""))</f>
      </c>
      <c r="N382" s="684">
        <f>IF(終値!A382="","",IFERROR(4*STDEVP(終値!Q382:AJ382)/AVERAGE(終値!Q382:AJ382),""))</f>
      </c>
      <c r="O382" s="684">
        <f>IF(終値!A382="","",IFERROR(4*STDEVP(終値!R382:AK382)/AVERAGE(終値!R382:AK382),""))</f>
      </c>
      <c r="P382" s="684">
        <f>IF(終値!A382="","",IFERROR(4*STDEVP(終値!S382:AL382)/AVERAGE(終値!S382:AL382),""))</f>
      </c>
      <c r="Q382" s="684">
        <f>IF(終値!A382="","",IFERROR(4*STDEVP(終値!T382:AM382)/AVERAGE(終値!T382:AM382),""))</f>
      </c>
      <c r="R382" s="684">
        <f>IF(終値!A382="","",IFERROR(4*STDEVP(終値!U382:AN382)/AVERAGE(終値!U382:AN382),""))</f>
      </c>
      <c r="S382" s="684">
        <f>IF(終値!A382="","",IFERROR(4*STDEVP(終値!V382:AO382)/AVERAGE(終値!V382:AO382),""))</f>
      </c>
      <c r="T382" s="684">
        <f>IF(終値!A382="","",IFERROR(4*STDEVP(終値!W382:AP382)/AVERAGE(終値!W382:AP382),""))</f>
      </c>
      <c r="U382" s="684">
        <f>IF(終値!A382="","",IFERROR(4*STDEVP(終値!X382:AQ382)/AVERAGE(終値!X382:AQ382),""))</f>
      </c>
      <c r="V382" s="684">
        <f>IF(終値!A382="","",IFERROR(4*STDEVP(終値!Y382:AR382)/AVERAGE(終値!Y382:AR382),""))</f>
      </c>
      <c r="W382" s="684">
        <f>IF(終値!A382="","",IFERROR(4*STDEVP(終値!Z382:AS382)/AVERAGE(終値!Z382:AS382),""))</f>
      </c>
      <c r="X382" s="684">
        <f>IF(終値!A382="","",IFERROR(4*STDEVP(終値!AA382:AT382)/AVERAGE(終値!AA382:AT382),""))</f>
      </c>
      <c r="Y382" s="684">
        <f>IF(終値!A382="","",IFERROR(4*STDEVP(終値!AB382:AU382)/AVERAGE(終値!AB382:AU382),""))</f>
      </c>
      <c r="Z382" s="684">
        <f>IF(終値!A382="","",IFERROR(4*STDEVP(終値!AC382:AV382)/AVERAGE(終値!AC382:AV382),""))</f>
      </c>
      <c r="AA382" s="684">
        <f>IF(終値!A382="","",IFERROR(4*STDEVP(終値!AD382:AW382)/AVERAGE(終値!AD382:AW382),""))</f>
      </c>
      <c r="AB382" s="684">
        <f>IF(終値!A382="","",IFERROR(4*STDEVP(終値!AE382:AX382)/AVERAGE(終値!AE382:AX382),""))</f>
      </c>
      <c r="AC382" s="684">
        <f>IF(終値!A382="","",IFERROR(4*STDEVP(終値!AF382:AY382)/AVERAGE(終値!AF382:AY382),""))</f>
      </c>
      <c r="AD382" s="684">
        <f>IF(終値!A382="","",IFERROR(4*STDEVP(終値!AG382:AZ382)/AVERAGE(終値!AG382:AZ382),""))</f>
      </c>
      <c r="AE382" s="684">
        <f>IF(終値!A382="","",IFERROR(4*STDEVP(終値!AH382:BA382)/AVERAGE(終値!AH382:BA382),""))</f>
      </c>
      <c r="AF382" s="684">
        <f>IF(終値!A382="","",IFERROR(4*STDEVP(終値!AI382:BB382)/AVERAGE(終値!AI382:BB382),""))</f>
      </c>
      <c r="AG382" s="684">
        <f>IF(終値!A382="","",IFERROR(4*STDEVP(終値!AJ382:BC382)/AVERAGE(終値!AJ382:BC382),""))</f>
      </c>
      <c r="AH382" s="684">
        <f>IF(終値!A382="","",IFERROR(4*STDEVP(終値!AK382:BD382)/AVERAGE(終値!AK382:BD382),""))</f>
      </c>
      <c r="AI382" s="684">
        <f>IF(終値!A382="","",IFERROR(4*STDEVP(終値!AL382:BE382)/AVERAGE(終値!AL382:BE382),""))</f>
      </c>
      <c r="AJ382" s="684">
        <f>IF(終値!A382="","",IFERROR(4*STDEVP(終値!AM382:BF382)/AVERAGE(終値!AM382:BF382),""))</f>
      </c>
      <c r="AK382" s="684">
        <f>IF(終値!A382="","",IFERROR(4*STDEVP(終値!AN382:BG382)/AVERAGE(終値!AN382:BG382),""))</f>
      </c>
      <c r="AL382" s="684">
        <f>IF(終値!A382="","",IFERROR(4*STDEVP(終値!AO382:BH382)/AVERAGE(終値!AO382:BH382),""))</f>
      </c>
      <c r="AM382" s="684">
        <f>IF(終値!A382="","",IFERROR(4*STDEVP(終値!AP382:BI382)/AVERAGE(終値!AP382:BI382),""))</f>
      </c>
      <c r="AN382" s="684">
        <f>IF(終値!A382="","",IFERROR(4*STDEVP(終値!AQ382:BJ382)/AVERAGE(終値!AQ382:BJ382),""))</f>
      </c>
      <c r="AO382" s="684">
        <f>IF(終値!A382="","",IFERROR(4*STDEVP(終値!AR382:BK382)/AVERAGE(終値!AR382:BK382),""))</f>
      </c>
      <c r="AP382" s="684">
        <f>IF(終値!A382="","",IFERROR(4*STDEVP(終値!AS382:BL382)/AVERAGE(終値!AS382:BL382),""))</f>
      </c>
    </row>
    <row r="383">
      <c r="A383" s="681">
        <f>IF(終値!A383="","",終値!A383)</f>
      </c>
      <c r="B383" s="684">
        <f>IF(終値!A383="","",IFERROR(4*STDEVP(終値!E383:X383)/AVERAGE(終値!E383:X383),""))</f>
      </c>
      <c r="C383" s="684">
        <f>IF(終値!A383="","",IFERROR(4*STDEVP(終値!F383:Y383)/AVERAGE(終値!F383:Y383),""))</f>
      </c>
      <c r="D383" s="684">
        <f>IF(終値!A383="","",IFERROR(4*STDEVP(終値!G383:Z383)/AVERAGE(終値!G383:Z383),""))</f>
      </c>
      <c r="E383" s="684">
        <f>IF(終値!A383="","",IFERROR(4*STDEVP(終値!H383:AA383)/AVERAGE(終値!H383:AA383),""))</f>
      </c>
      <c r="F383" s="684">
        <f>IF(終値!A383="","",IFERROR(4*STDEVP(終値!I383:AB383)/AVERAGE(終値!I383:AB383),""))</f>
      </c>
      <c r="G383" s="684">
        <f>IF(終値!A383="","",IFERROR(4*STDEVP(終値!J383:AC383)/AVERAGE(終値!J383:AC383),""))</f>
      </c>
      <c r="H383" s="684">
        <f>IF(終値!A383="","",IFERROR(4*STDEVP(終値!K383:AD383)/AVERAGE(終値!K383:AD383),""))</f>
      </c>
      <c r="I383" s="684">
        <f>IF(終値!A383="","",IFERROR(4*STDEVP(終値!L383:AE383)/AVERAGE(終値!L383:AE383),""))</f>
      </c>
      <c r="J383" s="684">
        <f>IF(終値!A383="","",IFERROR(4*STDEVP(終値!M383:AF383)/AVERAGE(終値!M383:AF383),""))</f>
      </c>
      <c r="K383" s="684">
        <f>IF(終値!A383="","",IFERROR(4*STDEVP(終値!N383:AG383)/AVERAGE(終値!N383:AG383),""))</f>
      </c>
      <c r="L383" s="684">
        <f>IF(終値!A383="","",IFERROR(4*STDEVP(終値!O383:AH383)/AVERAGE(終値!O383:AH383),""))</f>
      </c>
      <c r="M383" s="684">
        <f>IF(終値!A383="","",IFERROR(4*STDEVP(終値!P383:AI383)/AVERAGE(終値!P383:AI383),""))</f>
      </c>
      <c r="N383" s="684">
        <f>IF(終値!A383="","",IFERROR(4*STDEVP(終値!Q383:AJ383)/AVERAGE(終値!Q383:AJ383),""))</f>
      </c>
      <c r="O383" s="684">
        <f>IF(終値!A383="","",IFERROR(4*STDEVP(終値!R383:AK383)/AVERAGE(終値!R383:AK383),""))</f>
      </c>
      <c r="P383" s="684">
        <f>IF(終値!A383="","",IFERROR(4*STDEVP(終値!S383:AL383)/AVERAGE(終値!S383:AL383),""))</f>
      </c>
      <c r="Q383" s="684">
        <f>IF(終値!A383="","",IFERROR(4*STDEVP(終値!T383:AM383)/AVERAGE(終値!T383:AM383),""))</f>
      </c>
      <c r="R383" s="684">
        <f>IF(終値!A383="","",IFERROR(4*STDEVP(終値!U383:AN383)/AVERAGE(終値!U383:AN383),""))</f>
      </c>
      <c r="S383" s="684">
        <f>IF(終値!A383="","",IFERROR(4*STDEVP(終値!V383:AO383)/AVERAGE(終値!V383:AO383),""))</f>
      </c>
      <c r="T383" s="684">
        <f>IF(終値!A383="","",IFERROR(4*STDEVP(終値!W383:AP383)/AVERAGE(終値!W383:AP383),""))</f>
      </c>
      <c r="U383" s="684">
        <f>IF(終値!A383="","",IFERROR(4*STDEVP(終値!X383:AQ383)/AVERAGE(終値!X383:AQ383),""))</f>
      </c>
      <c r="V383" s="684">
        <f>IF(終値!A383="","",IFERROR(4*STDEVP(終値!Y383:AR383)/AVERAGE(終値!Y383:AR383),""))</f>
      </c>
      <c r="W383" s="684">
        <f>IF(終値!A383="","",IFERROR(4*STDEVP(終値!Z383:AS383)/AVERAGE(終値!Z383:AS383),""))</f>
      </c>
      <c r="X383" s="684">
        <f>IF(終値!A383="","",IFERROR(4*STDEVP(終値!AA383:AT383)/AVERAGE(終値!AA383:AT383),""))</f>
      </c>
      <c r="Y383" s="684">
        <f>IF(終値!A383="","",IFERROR(4*STDEVP(終値!AB383:AU383)/AVERAGE(終値!AB383:AU383),""))</f>
      </c>
      <c r="Z383" s="684">
        <f>IF(終値!A383="","",IFERROR(4*STDEVP(終値!AC383:AV383)/AVERAGE(終値!AC383:AV383),""))</f>
      </c>
      <c r="AA383" s="684">
        <f>IF(終値!A383="","",IFERROR(4*STDEVP(終値!AD383:AW383)/AVERAGE(終値!AD383:AW383),""))</f>
      </c>
      <c r="AB383" s="684">
        <f>IF(終値!A383="","",IFERROR(4*STDEVP(終値!AE383:AX383)/AVERAGE(終値!AE383:AX383),""))</f>
      </c>
      <c r="AC383" s="684">
        <f>IF(終値!A383="","",IFERROR(4*STDEVP(終値!AF383:AY383)/AVERAGE(終値!AF383:AY383),""))</f>
      </c>
      <c r="AD383" s="684">
        <f>IF(終値!A383="","",IFERROR(4*STDEVP(終値!AG383:AZ383)/AVERAGE(終値!AG383:AZ383),""))</f>
      </c>
      <c r="AE383" s="684">
        <f>IF(終値!A383="","",IFERROR(4*STDEVP(終値!AH383:BA383)/AVERAGE(終値!AH383:BA383),""))</f>
      </c>
      <c r="AF383" s="684">
        <f>IF(終値!A383="","",IFERROR(4*STDEVP(終値!AI383:BB383)/AVERAGE(終値!AI383:BB383),""))</f>
      </c>
      <c r="AG383" s="684">
        <f>IF(終値!A383="","",IFERROR(4*STDEVP(終値!AJ383:BC383)/AVERAGE(終値!AJ383:BC383),""))</f>
      </c>
      <c r="AH383" s="684">
        <f>IF(終値!A383="","",IFERROR(4*STDEVP(終値!AK383:BD383)/AVERAGE(終値!AK383:BD383),""))</f>
      </c>
      <c r="AI383" s="684">
        <f>IF(終値!A383="","",IFERROR(4*STDEVP(終値!AL383:BE383)/AVERAGE(終値!AL383:BE383),""))</f>
      </c>
      <c r="AJ383" s="684">
        <f>IF(終値!A383="","",IFERROR(4*STDEVP(終値!AM383:BF383)/AVERAGE(終値!AM383:BF383),""))</f>
      </c>
      <c r="AK383" s="684">
        <f>IF(終値!A383="","",IFERROR(4*STDEVP(終値!AN383:BG383)/AVERAGE(終値!AN383:BG383),""))</f>
      </c>
      <c r="AL383" s="684">
        <f>IF(終値!A383="","",IFERROR(4*STDEVP(終値!AO383:BH383)/AVERAGE(終値!AO383:BH383),""))</f>
      </c>
      <c r="AM383" s="684">
        <f>IF(終値!A383="","",IFERROR(4*STDEVP(終値!AP383:BI383)/AVERAGE(終値!AP383:BI383),""))</f>
      </c>
      <c r="AN383" s="684">
        <f>IF(終値!A383="","",IFERROR(4*STDEVP(終値!AQ383:BJ383)/AVERAGE(終値!AQ383:BJ383),""))</f>
      </c>
      <c r="AO383" s="684">
        <f>IF(終値!A383="","",IFERROR(4*STDEVP(終値!AR383:BK383)/AVERAGE(終値!AR383:BK383),""))</f>
      </c>
      <c r="AP383" s="684">
        <f>IF(終値!A383="","",IFERROR(4*STDEVP(終値!AS383:BL383)/AVERAGE(終値!AS383:BL383),""))</f>
      </c>
    </row>
    <row r="384">
      <c r="A384" s="681">
        <f>IF(終値!A384="","",終値!A384)</f>
      </c>
      <c r="B384" s="684">
        <f>IF(終値!A384="","",IFERROR(4*STDEVP(終値!E384:X384)/AVERAGE(終値!E384:X384),""))</f>
      </c>
      <c r="C384" s="684">
        <f>IF(終値!A384="","",IFERROR(4*STDEVP(終値!F384:Y384)/AVERAGE(終値!F384:Y384),""))</f>
      </c>
      <c r="D384" s="684">
        <f>IF(終値!A384="","",IFERROR(4*STDEVP(終値!G384:Z384)/AVERAGE(終値!G384:Z384),""))</f>
      </c>
      <c r="E384" s="684">
        <f>IF(終値!A384="","",IFERROR(4*STDEVP(終値!H384:AA384)/AVERAGE(終値!H384:AA384),""))</f>
      </c>
      <c r="F384" s="684">
        <f>IF(終値!A384="","",IFERROR(4*STDEVP(終値!I384:AB384)/AVERAGE(終値!I384:AB384),""))</f>
      </c>
      <c r="G384" s="684">
        <f>IF(終値!A384="","",IFERROR(4*STDEVP(終値!J384:AC384)/AVERAGE(終値!J384:AC384),""))</f>
      </c>
      <c r="H384" s="684">
        <f>IF(終値!A384="","",IFERROR(4*STDEVP(終値!K384:AD384)/AVERAGE(終値!K384:AD384),""))</f>
      </c>
      <c r="I384" s="684">
        <f>IF(終値!A384="","",IFERROR(4*STDEVP(終値!L384:AE384)/AVERAGE(終値!L384:AE384),""))</f>
      </c>
      <c r="J384" s="684">
        <f>IF(終値!A384="","",IFERROR(4*STDEVP(終値!M384:AF384)/AVERAGE(終値!M384:AF384),""))</f>
      </c>
      <c r="K384" s="684">
        <f>IF(終値!A384="","",IFERROR(4*STDEVP(終値!N384:AG384)/AVERAGE(終値!N384:AG384),""))</f>
      </c>
      <c r="L384" s="684">
        <f>IF(終値!A384="","",IFERROR(4*STDEVP(終値!O384:AH384)/AVERAGE(終値!O384:AH384),""))</f>
      </c>
      <c r="M384" s="684">
        <f>IF(終値!A384="","",IFERROR(4*STDEVP(終値!P384:AI384)/AVERAGE(終値!P384:AI384),""))</f>
      </c>
      <c r="N384" s="684">
        <f>IF(終値!A384="","",IFERROR(4*STDEVP(終値!Q384:AJ384)/AVERAGE(終値!Q384:AJ384),""))</f>
      </c>
      <c r="O384" s="684">
        <f>IF(終値!A384="","",IFERROR(4*STDEVP(終値!R384:AK384)/AVERAGE(終値!R384:AK384),""))</f>
      </c>
      <c r="P384" s="684">
        <f>IF(終値!A384="","",IFERROR(4*STDEVP(終値!S384:AL384)/AVERAGE(終値!S384:AL384),""))</f>
      </c>
      <c r="Q384" s="684">
        <f>IF(終値!A384="","",IFERROR(4*STDEVP(終値!T384:AM384)/AVERAGE(終値!T384:AM384),""))</f>
      </c>
      <c r="R384" s="684">
        <f>IF(終値!A384="","",IFERROR(4*STDEVP(終値!U384:AN384)/AVERAGE(終値!U384:AN384),""))</f>
      </c>
      <c r="S384" s="684">
        <f>IF(終値!A384="","",IFERROR(4*STDEVP(終値!V384:AO384)/AVERAGE(終値!V384:AO384),""))</f>
      </c>
      <c r="T384" s="684">
        <f>IF(終値!A384="","",IFERROR(4*STDEVP(終値!W384:AP384)/AVERAGE(終値!W384:AP384),""))</f>
      </c>
      <c r="U384" s="684">
        <f>IF(終値!A384="","",IFERROR(4*STDEVP(終値!X384:AQ384)/AVERAGE(終値!X384:AQ384),""))</f>
      </c>
      <c r="V384" s="684">
        <f>IF(終値!A384="","",IFERROR(4*STDEVP(終値!Y384:AR384)/AVERAGE(終値!Y384:AR384),""))</f>
      </c>
      <c r="W384" s="684">
        <f>IF(終値!A384="","",IFERROR(4*STDEVP(終値!Z384:AS384)/AVERAGE(終値!Z384:AS384),""))</f>
      </c>
      <c r="X384" s="684">
        <f>IF(終値!A384="","",IFERROR(4*STDEVP(終値!AA384:AT384)/AVERAGE(終値!AA384:AT384),""))</f>
      </c>
      <c r="Y384" s="684">
        <f>IF(終値!A384="","",IFERROR(4*STDEVP(終値!AB384:AU384)/AVERAGE(終値!AB384:AU384),""))</f>
      </c>
      <c r="Z384" s="684">
        <f>IF(終値!A384="","",IFERROR(4*STDEVP(終値!AC384:AV384)/AVERAGE(終値!AC384:AV384),""))</f>
      </c>
      <c r="AA384" s="684">
        <f>IF(終値!A384="","",IFERROR(4*STDEVP(終値!AD384:AW384)/AVERAGE(終値!AD384:AW384),""))</f>
      </c>
      <c r="AB384" s="684">
        <f>IF(終値!A384="","",IFERROR(4*STDEVP(終値!AE384:AX384)/AVERAGE(終値!AE384:AX384),""))</f>
      </c>
      <c r="AC384" s="684">
        <f>IF(終値!A384="","",IFERROR(4*STDEVP(終値!AF384:AY384)/AVERAGE(終値!AF384:AY384),""))</f>
      </c>
      <c r="AD384" s="684">
        <f>IF(終値!A384="","",IFERROR(4*STDEVP(終値!AG384:AZ384)/AVERAGE(終値!AG384:AZ384),""))</f>
      </c>
      <c r="AE384" s="684">
        <f>IF(終値!A384="","",IFERROR(4*STDEVP(終値!AH384:BA384)/AVERAGE(終値!AH384:BA384),""))</f>
      </c>
      <c r="AF384" s="684">
        <f>IF(終値!A384="","",IFERROR(4*STDEVP(終値!AI384:BB384)/AVERAGE(終値!AI384:BB384),""))</f>
      </c>
      <c r="AG384" s="684">
        <f>IF(終値!A384="","",IFERROR(4*STDEVP(終値!AJ384:BC384)/AVERAGE(終値!AJ384:BC384),""))</f>
      </c>
      <c r="AH384" s="684">
        <f>IF(終値!A384="","",IFERROR(4*STDEVP(終値!AK384:BD384)/AVERAGE(終値!AK384:BD384),""))</f>
      </c>
      <c r="AI384" s="684">
        <f>IF(終値!A384="","",IFERROR(4*STDEVP(終値!AL384:BE384)/AVERAGE(終値!AL384:BE384),""))</f>
      </c>
      <c r="AJ384" s="684">
        <f>IF(終値!A384="","",IFERROR(4*STDEVP(終値!AM384:BF384)/AVERAGE(終値!AM384:BF384),""))</f>
      </c>
      <c r="AK384" s="684">
        <f>IF(終値!A384="","",IFERROR(4*STDEVP(終値!AN384:BG384)/AVERAGE(終値!AN384:BG384),""))</f>
      </c>
      <c r="AL384" s="684">
        <f>IF(終値!A384="","",IFERROR(4*STDEVP(終値!AO384:BH384)/AVERAGE(終値!AO384:BH384),""))</f>
      </c>
      <c r="AM384" s="684">
        <f>IF(終値!A384="","",IFERROR(4*STDEVP(終値!AP384:BI384)/AVERAGE(終値!AP384:BI384),""))</f>
      </c>
      <c r="AN384" s="684">
        <f>IF(終値!A384="","",IFERROR(4*STDEVP(終値!AQ384:BJ384)/AVERAGE(終値!AQ384:BJ384),""))</f>
      </c>
      <c r="AO384" s="684">
        <f>IF(終値!A384="","",IFERROR(4*STDEVP(終値!AR384:BK384)/AVERAGE(終値!AR384:BK384),""))</f>
      </c>
      <c r="AP384" s="684">
        <f>IF(終値!A384="","",IFERROR(4*STDEVP(終値!AS384:BL384)/AVERAGE(終値!AS384:BL384),""))</f>
      </c>
    </row>
    <row r="385">
      <c r="A385" s="681">
        <f>IF(終値!A385="","",終値!A385)</f>
      </c>
      <c r="B385" s="684">
        <f>IF(終値!A385="","",IFERROR(4*STDEVP(終値!E385:X385)/AVERAGE(終値!E385:X385),""))</f>
      </c>
      <c r="C385" s="684">
        <f>IF(終値!A385="","",IFERROR(4*STDEVP(終値!F385:Y385)/AVERAGE(終値!F385:Y385),""))</f>
      </c>
      <c r="D385" s="684">
        <f>IF(終値!A385="","",IFERROR(4*STDEVP(終値!G385:Z385)/AVERAGE(終値!G385:Z385),""))</f>
      </c>
      <c r="E385" s="684">
        <f>IF(終値!A385="","",IFERROR(4*STDEVP(終値!H385:AA385)/AVERAGE(終値!H385:AA385),""))</f>
      </c>
      <c r="F385" s="684">
        <f>IF(終値!A385="","",IFERROR(4*STDEVP(終値!I385:AB385)/AVERAGE(終値!I385:AB385),""))</f>
      </c>
      <c r="G385" s="684">
        <f>IF(終値!A385="","",IFERROR(4*STDEVP(終値!J385:AC385)/AVERAGE(終値!J385:AC385),""))</f>
      </c>
      <c r="H385" s="684">
        <f>IF(終値!A385="","",IFERROR(4*STDEVP(終値!K385:AD385)/AVERAGE(終値!K385:AD385),""))</f>
      </c>
      <c r="I385" s="684">
        <f>IF(終値!A385="","",IFERROR(4*STDEVP(終値!L385:AE385)/AVERAGE(終値!L385:AE385),""))</f>
      </c>
      <c r="J385" s="684">
        <f>IF(終値!A385="","",IFERROR(4*STDEVP(終値!M385:AF385)/AVERAGE(終値!M385:AF385),""))</f>
      </c>
      <c r="K385" s="684">
        <f>IF(終値!A385="","",IFERROR(4*STDEVP(終値!N385:AG385)/AVERAGE(終値!N385:AG385),""))</f>
      </c>
      <c r="L385" s="684">
        <f>IF(終値!A385="","",IFERROR(4*STDEVP(終値!O385:AH385)/AVERAGE(終値!O385:AH385),""))</f>
      </c>
      <c r="M385" s="684">
        <f>IF(終値!A385="","",IFERROR(4*STDEVP(終値!P385:AI385)/AVERAGE(終値!P385:AI385),""))</f>
      </c>
      <c r="N385" s="684">
        <f>IF(終値!A385="","",IFERROR(4*STDEVP(終値!Q385:AJ385)/AVERAGE(終値!Q385:AJ385),""))</f>
      </c>
      <c r="O385" s="684">
        <f>IF(終値!A385="","",IFERROR(4*STDEVP(終値!R385:AK385)/AVERAGE(終値!R385:AK385),""))</f>
      </c>
      <c r="P385" s="684">
        <f>IF(終値!A385="","",IFERROR(4*STDEVP(終値!S385:AL385)/AVERAGE(終値!S385:AL385),""))</f>
      </c>
      <c r="Q385" s="684">
        <f>IF(終値!A385="","",IFERROR(4*STDEVP(終値!T385:AM385)/AVERAGE(終値!T385:AM385),""))</f>
      </c>
      <c r="R385" s="684">
        <f>IF(終値!A385="","",IFERROR(4*STDEVP(終値!U385:AN385)/AVERAGE(終値!U385:AN385),""))</f>
      </c>
      <c r="S385" s="684">
        <f>IF(終値!A385="","",IFERROR(4*STDEVP(終値!V385:AO385)/AVERAGE(終値!V385:AO385),""))</f>
      </c>
      <c r="T385" s="684">
        <f>IF(終値!A385="","",IFERROR(4*STDEVP(終値!W385:AP385)/AVERAGE(終値!W385:AP385),""))</f>
      </c>
      <c r="U385" s="684">
        <f>IF(終値!A385="","",IFERROR(4*STDEVP(終値!X385:AQ385)/AVERAGE(終値!X385:AQ385),""))</f>
      </c>
      <c r="V385" s="684">
        <f>IF(終値!A385="","",IFERROR(4*STDEVP(終値!Y385:AR385)/AVERAGE(終値!Y385:AR385),""))</f>
      </c>
      <c r="W385" s="684">
        <f>IF(終値!A385="","",IFERROR(4*STDEVP(終値!Z385:AS385)/AVERAGE(終値!Z385:AS385),""))</f>
      </c>
      <c r="X385" s="684">
        <f>IF(終値!A385="","",IFERROR(4*STDEVP(終値!AA385:AT385)/AVERAGE(終値!AA385:AT385),""))</f>
      </c>
      <c r="Y385" s="684">
        <f>IF(終値!A385="","",IFERROR(4*STDEVP(終値!AB385:AU385)/AVERAGE(終値!AB385:AU385),""))</f>
      </c>
      <c r="Z385" s="684">
        <f>IF(終値!A385="","",IFERROR(4*STDEVP(終値!AC385:AV385)/AVERAGE(終値!AC385:AV385),""))</f>
      </c>
      <c r="AA385" s="684">
        <f>IF(終値!A385="","",IFERROR(4*STDEVP(終値!AD385:AW385)/AVERAGE(終値!AD385:AW385),""))</f>
      </c>
      <c r="AB385" s="684">
        <f>IF(終値!A385="","",IFERROR(4*STDEVP(終値!AE385:AX385)/AVERAGE(終値!AE385:AX385),""))</f>
      </c>
      <c r="AC385" s="684">
        <f>IF(終値!A385="","",IFERROR(4*STDEVP(終値!AF385:AY385)/AVERAGE(終値!AF385:AY385),""))</f>
      </c>
      <c r="AD385" s="684">
        <f>IF(終値!A385="","",IFERROR(4*STDEVP(終値!AG385:AZ385)/AVERAGE(終値!AG385:AZ385),""))</f>
      </c>
      <c r="AE385" s="684">
        <f>IF(終値!A385="","",IFERROR(4*STDEVP(終値!AH385:BA385)/AVERAGE(終値!AH385:BA385),""))</f>
      </c>
      <c r="AF385" s="684">
        <f>IF(終値!A385="","",IFERROR(4*STDEVP(終値!AI385:BB385)/AVERAGE(終値!AI385:BB385),""))</f>
      </c>
      <c r="AG385" s="684">
        <f>IF(終値!A385="","",IFERROR(4*STDEVP(終値!AJ385:BC385)/AVERAGE(終値!AJ385:BC385),""))</f>
      </c>
      <c r="AH385" s="684">
        <f>IF(終値!A385="","",IFERROR(4*STDEVP(終値!AK385:BD385)/AVERAGE(終値!AK385:BD385),""))</f>
      </c>
      <c r="AI385" s="684">
        <f>IF(終値!A385="","",IFERROR(4*STDEVP(終値!AL385:BE385)/AVERAGE(終値!AL385:BE385),""))</f>
      </c>
      <c r="AJ385" s="684">
        <f>IF(終値!A385="","",IFERROR(4*STDEVP(終値!AM385:BF385)/AVERAGE(終値!AM385:BF385),""))</f>
      </c>
      <c r="AK385" s="684">
        <f>IF(終値!A385="","",IFERROR(4*STDEVP(終値!AN385:BG385)/AVERAGE(終値!AN385:BG385),""))</f>
      </c>
      <c r="AL385" s="684">
        <f>IF(終値!A385="","",IFERROR(4*STDEVP(終値!AO385:BH385)/AVERAGE(終値!AO385:BH385),""))</f>
      </c>
      <c r="AM385" s="684">
        <f>IF(終値!A385="","",IFERROR(4*STDEVP(終値!AP385:BI385)/AVERAGE(終値!AP385:BI385),""))</f>
      </c>
      <c r="AN385" s="684">
        <f>IF(終値!A385="","",IFERROR(4*STDEVP(終値!AQ385:BJ385)/AVERAGE(終値!AQ385:BJ385),""))</f>
      </c>
      <c r="AO385" s="684">
        <f>IF(終値!A385="","",IFERROR(4*STDEVP(終値!AR385:BK385)/AVERAGE(終値!AR385:BK385),""))</f>
      </c>
      <c r="AP385" s="684">
        <f>IF(終値!A385="","",IFERROR(4*STDEVP(終値!AS385:BL385)/AVERAGE(終値!AS385:BL385),""))</f>
      </c>
    </row>
    <row r="386">
      <c r="A386" s="681">
        <f>IF(終値!A386="","",終値!A386)</f>
      </c>
      <c r="B386" s="684">
        <f>IF(終値!A386="","",IFERROR(4*STDEVP(終値!E386:X386)/AVERAGE(終値!E386:X386),""))</f>
      </c>
      <c r="C386" s="684">
        <f>IF(終値!A386="","",IFERROR(4*STDEVP(終値!F386:Y386)/AVERAGE(終値!F386:Y386),""))</f>
      </c>
      <c r="D386" s="684">
        <f>IF(終値!A386="","",IFERROR(4*STDEVP(終値!G386:Z386)/AVERAGE(終値!G386:Z386),""))</f>
      </c>
      <c r="E386" s="684">
        <f>IF(終値!A386="","",IFERROR(4*STDEVP(終値!H386:AA386)/AVERAGE(終値!H386:AA386),""))</f>
      </c>
      <c r="F386" s="684">
        <f>IF(終値!A386="","",IFERROR(4*STDEVP(終値!I386:AB386)/AVERAGE(終値!I386:AB386),""))</f>
      </c>
      <c r="G386" s="684">
        <f>IF(終値!A386="","",IFERROR(4*STDEVP(終値!J386:AC386)/AVERAGE(終値!J386:AC386),""))</f>
      </c>
      <c r="H386" s="684">
        <f>IF(終値!A386="","",IFERROR(4*STDEVP(終値!K386:AD386)/AVERAGE(終値!K386:AD386),""))</f>
      </c>
      <c r="I386" s="684">
        <f>IF(終値!A386="","",IFERROR(4*STDEVP(終値!L386:AE386)/AVERAGE(終値!L386:AE386),""))</f>
      </c>
      <c r="J386" s="684">
        <f>IF(終値!A386="","",IFERROR(4*STDEVP(終値!M386:AF386)/AVERAGE(終値!M386:AF386),""))</f>
      </c>
      <c r="K386" s="684">
        <f>IF(終値!A386="","",IFERROR(4*STDEVP(終値!N386:AG386)/AVERAGE(終値!N386:AG386),""))</f>
      </c>
      <c r="L386" s="684">
        <f>IF(終値!A386="","",IFERROR(4*STDEVP(終値!O386:AH386)/AVERAGE(終値!O386:AH386),""))</f>
      </c>
      <c r="M386" s="684">
        <f>IF(終値!A386="","",IFERROR(4*STDEVP(終値!P386:AI386)/AVERAGE(終値!P386:AI386),""))</f>
      </c>
      <c r="N386" s="684">
        <f>IF(終値!A386="","",IFERROR(4*STDEVP(終値!Q386:AJ386)/AVERAGE(終値!Q386:AJ386),""))</f>
      </c>
      <c r="O386" s="684">
        <f>IF(終値!A386="","",IFERROR(4*STDEVP(終値!R386:AK386)/AVERAGE(終値!R386:AK386),""))</f>
      </c>
      <c r="P386" s="684">
        <f>IF(終値!A386="","",IFERROR(4*STDEVP(終値!S386:AL386)/AVERAGE(終値!S386:AL386),""))</f>
      </c>
      <c r="Q386" s="684">
        <f>IF(終値!A386="","",IFERROR(4*STDEVP(終値!T386:AM386)/AVERAGE(終値!T386:AM386),""))</f>
      </c>
      <c r="R386" s="684">
        <f>IF(終値!A386="","",IFERROR(4*STDEVP(終値!U386:AN386)/AVERAGE(終値!U386:AN386),""))</f>
      </c>
      <c r="S386" s="684">
        <f>IF(終値!A386="","",IFERROR(4*STDEVP(終値!V386:AO386)/AVERAGE(終値!V386:AO386),""))</f>
      </c>
      <c r="T386" s="684">
        <f>IF(終値!A386="","",IFERROR(4*STDEVP(終値!W386:AP386)/AVERAGE(終値!W386:AP386),""))</f>
      </c>
      <c r="U386" s="684">
        <f>IF(終値!A386="","",IFERROR(4*STDEVP(終値!X386:AQ386)/AVERAGE(終値!X386:AQ386),""))</f>
      </c>
      <c r="V386" s="684">
        <f>IF(終値!A386="","",IFERROR(4*STDEVP(終値!Y386:AR386)/AVERAGE(終値!Y386:AR386),""))</f>
      </c>
      <c r="W386" s="684">
        <f>IF(終値!A386="","",IFERROR(4*STDEVP(終値!Z386:AS386)/AVERAGE(終値!Z386:AS386),""))</f>
      </c>
      <c r="X386" s="684">
        <f>IF(終値!A386="","",IFERROR(4*STDEVP(終値!AA386:AT386)/AVERAGE(終値!AA386:AT386),""))</f>
      </c>
      <c r="Y386" s="684">
        <f>IF(終値!A386="","",IFERROR(4*STDEVP(終値!AB386:AU386)/AVERAGE(終値!AB386:AU386),""))</f>
      </c>
      <c r="Z386" s="684">
        <f>IF(終値!A386="","",IFERROR(4*STDEVP(終値!AC386:AV386)/AVERAGE(終値!AC386:AV386),""))</f>
      </c>
      <c r="AA386" s="684">
        <f>IF(終値!A386="","",IFERROR(4*STDEVP(終値!AD386:AW386)/AVERAGE(終値!AD386:AW386),""))</f>
      </c>
      <c r="AB386" s="684">
        <f>IF(終値!A386="","",IFERROR(4*STDEVP(終値!AE386:AX386)/AVERAGE(終値!AE386:AX386),""))</f>
      </c>
      <c r="AC386" s="684">
        <f>IF(終値!A386="","",IFERROR(4*STDEVP(終値!AF386:AY386)/AVERAGE(終値!AF386:AY386),""))</f>
      </c>
      <c r="AD386" s="684">
        <f>IF(終値!A386="","",IFERROR(4*STDEVP(終値!AG386:AZ386)/AVERAGE(終値!AG386:AZ386),""))</f>
      </c>
      <c r="AE386" s="684">
        <f>IF(終値!A386="","",IFERROR(4*STDEVP(終値!AH386:BA386)/AVERAGE(終値!AH386:BA386),""))</f>
      </c>
      <c r="AF386" s="684">
        <f>IF(終値!A386="","",IFERROR(4*STDEVP(終値!AI386:BB386)/AVERAGE(終値!AI386:BB386),""))</f>
      </c>
      <c r="AG386" s="684">
        <f>IF(終値!A386="","",IFERROR(4*STDEVP(終値!AJ386:BC386)/AVERAGE(終値!AJ386:BC386),""))</f>
      </c>
      <c r="AH386" s="684">
        <f>IF(終値!A386="","",IFERROR(4*STDEVP(終値!AK386:BD386)/AVERAGE(終値!AK386:BD386),""))</f>
      </c>
      <c r="AI386" s="684">
        <f>IF(終値!A386="","",IFERROR(4*STDEVP(終値!AL386:BE386)/AVERAGE(終値!AL386:BE386),""))</f>
      </c>
      <c r="AJ386" s="684">
        <f>IF(終値!A386="","",IFERROR(4*STDEVP(終値!AM386:BF386)/AVERAGE(終値!AM386:BF386),""))</f>
      </c>
      <c r="AK386" s="684">
        <f>IF(終値!A386="","",IFERROR(4*STDEVP(終値!AN386:BG386)/AVERAGE(終値!AN386:BG386),""))</f>
      </c>
      <c r="AL386" s="684">
        <f>IF(終値!A386="","",IFERROR(4*STDEVP(終値!AO386:BH386)/AVERAGE(終値!AO386:BH386),""))</f>
      </c>
      <c r="AM386" s="684">
        <f>IF(終値!A386="","",IFERROR(4*STDEVP(終値!AP386:BI386)/AVERAGE(終値!AP386:BI386),""))</f>
      </c>
      <c r="AN386" s="684">
        <f>IF(終値!A386="","",IFERROR(4*STDEVP(終値!AQ386:BJ386)/AVERAGE(終値!AQ386:BJ386),""))</f>
      </c>
      <c r="AO386" s="684">
        <f>IF(終値!A386="","",IFERROR(4*STDEVP(終値!AR386:BK386)/AVERAGE(終値!AR386:BK386),""))</f>
      </c>
      <c r="AP386" s="684">
        <f>IF(終値!A386="","",IFERROR(4*STDEVP(終値!AS386:BL386)/AVERAGE(終値!AS386:BL386),""))</f>
      </c>
    </row>
    <row r="387">
      <c r="A387" s="681">
        <f>IF(終値!A387="","",終値!A387)</f>
      </c>
      <c r="B387" s="684">
        <f>IF(終値!A387="","",IFERROR(4*STDEVP(終値!E387:X387)/AVERAGE(終値!E387:X387),""))</f>
      </c>
      <c r="C387" s="684">
        <f>IF(終値!A387="","",IFERROR(4*STDEVP(終値!F387:Y387)/AVERAGE(終値!F387:Y387),""))</f>
      </c>
      <c r="D387" s="684">
        <f>IF(終値!A387="","",IFERROR(4*STDEVP(終値!G387:Z387)/AVERAGE(終値!G387:Z387),""))</f>
      </c>
      <c r="E387" s="684">
        <f>IF(終値!A387="","",IFERROR(4*STDEVP(終値!H387:AA387)/AVERAGE(終値!H387:AA387),""))</f>
      </c>
      <c r="F387" s="684">
        <f>IF(終値!A387="","",IFERROR(4*STDEVP(終値!I387:AB387)/AVERAGE(終値!I387:AB387),""))</f>
      </c>
      <c r="G387" s="684">
        <f>IF(終値!A387="","",IFERROR(4*STDEVP(終値!J387:AC387)/AVERAGE(終値!J387:AC387),""))</f>
      </c>
      <c r="H387" s="684">
        <f>IF(終値!A387="","",IFERROR(4*STDEVP(終値!K387:AD387)/AVERAGE(終値!K387:AD387),""))</f>
      </c>
      <c r="I387" s="684">
        <f>IF(終値!A387="","",IFERROR(4*STDEVP(終値!L387:AE387)/AVERAGE(終値!L387:AE387),""))</f>
      </c>
      <c r="J387" s="684">
        <f>IF(終値!A387="","",IFERROR(4*STDEVP(終値!M387:AF387)/AVERAGE(終値!M387:AF387),""))</f>
      </c>
      <c r="K387" s="684">
        <f>IF(終値!A387="","",IFERROR(4*STDEVP(終値!N387:AG387)/AVERAGE(終値!N387:AG387),""))</f>
      </c>
      <c r="L387" s="684">
        <f>IF(終値!A387="","",IFERROR(4*STDEVP(終値!O387:AH387)/AVERAGE(終値!O387:AH387),""))</f>
      </c>
      <c r="M387" s="684">
        <f>IF(終値!A387="","",IFERROR(4*STDEVP(終値!P387:AI387)/AVERAGE(終値!P387:AI387),""))</f>
      </c>
      <c r="N387" s="684">
        <f>IF(終値!A387="","",IFERROR(4*STDEVP(終値!Q387:AJ387)/AVERAGE(終値!Q387:AJ387),""))</f>
      </c>
      <c r="O387" s="684">
        <f>IF(終値!A387="","",IFERROR(4*STDEVP(終値!R387:AK387)/AVERAGE(終値!R387:AK387),""))</f>
      </c>
      <c r="P387" s="684">
        <f>IF(終値!A387="","",IFERROR(4*STDEVP(終値!S387:AL387)/AVERAGE(終値!S387:AL387),""))</f>
      </c>
      <c r="Q387" s="684">
        <f>IF(終値!A387="","",IFERROR(4*STDEVP(終値!T387:AM387)/AVERAGE(終値!T387:AM387),""))</f>
      </c>
      <c r="R387" s="684">
        <f>IF(終値!A387="","",IFERROR(4*STDEVP(終値!U387:AN387)/AVERAGE(終値!U387:AN387),""))</f>
      </c>
      <c r="S387" s="684">
        <f>IF(終値!A387="","",IFERROR(4*STDEVP(終値!V387:AO387)/AVERAGE(終値!V387:AO387),""))</f>
      </c>
      <c r="T387" s="684">
        <f>IF(終値!A387="","",IFERROR(4*STDEVP(終値!W387:AP387)/AVERAGE(終値!W387:AP387),""))</f>
      </c>
      <c r="U387" s="684">
        <f>IF(終値!A387="","",IFERROR(4*STDEVP(終値!X387:AQ387)/AVERAGE(終値!X387:AQ387),""))</f>
      </c>
      <c r="V387" s="684">
        <f>IF(終値!A387="","",IFERROR(4*STDEVP(終値!Y387:AR387)/AVERAGE(終値!Y387:AR387),""))</f>
      </c>
      <c r="W387" s="684">
        <f>IF(終値!A387="","",IFERROR(4*STDEVP(終値!Z387:AS387)/AVERAGE(終値!Z387:AS387),""))</f>
      </c>
      <c r="X387" s="684">
        <f>IF(終値!A387="","",IFERROR(4*STDEVP(終値!AA387:AT387)/AVERAGE(終値!AA387:AT387),""))</f>
      </c>
      <c r="Y387" s="684">
        <f>IF(終値!A387="","",IFERROR(4*STDEVP(終値!AB387:AU387)/AVERAGE(終値!AB387:AU387),""))</f>
      </c>
      <c r="Z387" s="684">
        <f>IF(終値!A387="","",IFERROR(4*STDEVP(終値!AC387:AV387)/AVERAGE(終値!AC387:AV387),""))</f>
      </c>
      <c r="AA387" s="684">
        <f>IF(終値!A387="","",IFERROR(4*STDEVP(終値!AD387:AW387)/AVERAGE(終値!AD387:AW387),""))</f>
      </c>
      <c r="AB387" s="684">
        <f>IF(終値!A387="","",IFERROR(4*STDEVP(終値!AE387:AX387)/AVERAGE(終値!AE387:AX387),""))</f>
      </c>
      <c r="AC387" s="684">
        <f>IF(終値!A387="","",IFERROR(4*STDEVP(終値!AF387:AY387)/AVERAGE(終値!AF387:AY387),""))</f>
      </c>
      <c r="AD387" s="684">
        <f>IF(終値!A387="","",IFERROR(4*STDEVP(終値!AG387:AZ387)/AVERAGE(終値!AG387:AZ387),""))</f>
      </c>
      <c r="AE387" s="684">
        <f>IF(終値!A387="","",IFERROR(4*STDEVP(終値!AH387:BA387)/AVERAGE(終値!AH387:BA387),""))</f>
      </c>
      <c r="AF387" s="684">
        <f>IF(終値!A387="","",IFERROR(4*STDEVP(終値!AI387:BB387)/AVERAGE(終値!AI387:BB387),""))</f>
      </c>
      <c r="AG387" s="684">
        <f>IF(終値!A387="","",IFERROR(4*STDEVP(終値!AJ387:BC387)/AVERAGE(終値!AJ387:BC387),""))</f>
      </c>
      <c r="AH387" s="684">
        <f>IF(終値!A387="","",IFERROR(4*STDEVP(終値!AK387:BD387)/AVERAGE(終値!AK387:BD387),""))</f>
      </c>
      <c r="AI387" s="684">
        <f>IF(終値!A387="","",IFERROR(4*STDEVP(終値!AL387:BE387)/AVERAGE(終値!AL387:BE387),""))</f>
      </c>
      <c r="AJ387" s="684">
        <f>IF(終値!A387="","",IFERROR(4*STDEVP(終値!AM387:BF387)/AVERAGE(終値!AM387:BF387),""))</f>
      </c>
      <c r="AK387" s="684">
        <f>IF(終値!A387="","",IFERROR(4*STDEVP(終値!AN387:BG387)/AVERAGE(終値!AN387:BG387),""))</f>
      </c>
      <c r="AL387" s="684">
        <f>IF(終値!A387="","",IFERROR(4*STDEVP(終値!AO387:BH387)/AVERAGE(終値!AO387:BH387),""))</f>
      </c>
      <c r="AM387" s="684">
        <f>IF(終値!A387="","",IFERROR(4*STDEVP(終値!AP387:BI387)/AVERAGE(終値!AP387:BI387),""))</f>
      </c>
      <c r="AN387" s="684">
        <f>IF(終値!A387="","",IFERROR(4*STDEVP(終値!AQ387:BJ387)/AVERAGE(終値!AQ387:BJ387),""))</f>
      </c>
      <c r="AO387" s="684">
        <f>IF(終値!A387="","",IFERROR(4*STDEVP(終値!AR387:BK387)/AVERAGE(終値!AR387:BK387),""))</f>
      </c>
      <c r="AP387" s="684">
        <f>IF(終値!A387="","",IFERROR(4*STDEVP(終値!AS387:BL387)/AVERAGE(終値!AS387:BL387),""))</f>
      </c>
    </row>
    <row r="388">
      <c r="A388" s="681">
        <f>IF(終値!A388="","",終値!A388)</f>
      </c>
      <c r="B388" s="684">
        <f>IF(終値!A388="","",IFERROR(4*STDEVP(終値!E388:X388)/AVERAGE(終値!E388:X388),""))</f>
      </c>
      <c r="C388" s="684">
        <f>IF(終値!A388="","",IFERROR(4*STDEVP(終値!F388:Y388)/AVERAGE(終値!F388:Y388),""))</f>
      </c>
      <c r="D388" s="684">
        <f>IF(終値!A388="","",IFERROR(4*STDEVP(終値!G388:Z388)/AVERAGE(終値!G388:Z388),""))</f>
      </c>
      <c r="E388" s="684">
        <f>IF(終値!A388="","",IFERROR(4*STDEVP(終値!H388:AA388)/AVERAGE(終値!H388:AA388),""))</f>
      </c>
      <c r="F388" s="684">
        <f>IF(終値!A388="","",IFERROR(4*STDEVP(終値!I388:AB388)/AVERAGE(終値!I388:AB388),""))</f>
      </c>
      <c r="G388" s="684">
        <f>IF(終値!A388="","",IFERROR(4*STDEVP(終値!J388:AC388)/AVERAGE(終値!J388:AC388),""))</f>
      </c>
      <c r="H388" s="684">
        <f>IF(終値!A388="","",IFERROR(4*STDEVP(終値!K388:AD388)/AVERAGE(終値!K388:AD388),""))</f>
      </c>
      <c r="I388" s="684">
        <f>IF(終値!A388="","",IFERROR(4*STDEVP(終値!L388:AE388)/AVERAGE(終値!L388:AE388),""))</f>
      </c>
      <c r="J388" s="684">
        <f>IF(終値!A388="","",IFERROR(4*STDEVP(終値!M388:AF388)/AVERAGE(終値!M388:AF388),""))</f>
      </c>
      <c r="K388" s="684">
        <f>IF(終値!A388="","",IFERROR(4*STDEVP(終値!N388:AG388)/AVERAGE(終値!N388:AG388),""))</f>
      </c>
      <c r="L388" s="684">
        <f>IF(終値!A388="","",IFERROR(4*STDEVP(終値!O388:AH388)/AVERAGE(終値!O388:AH388),""))</f>
      </c>
      <c r="M388" s="684">
        <f>IF(終値!A388="","",IFERROR(4*STDEVP(終値!P388:AI388)/AVERAGE(終値!P388:AI388),""))</f>
      </c>
      <c r="N388" s="684">
        <f>IF(終値!A388="","",IFERROR(4*STDEVP(終値!Q388:AJ388)/AVERAGE(終値!Q388:AJ388),""))</f>
      </c>
      <c r="O388" s="684">
        <f>IF(終値!A388="","",IFERROR(4*STDEVP(終値!R388:AK388)/AVERAGE(終値!R388:AK388),""))</f>
      </c>
      <c r="P388" s="684">
        <f>IF(終値!A388="","",IFERROR(4*STDEVP(終値!S388:AL388)/AVERAGE(終値!S388:AL388),""))</f>
      </c>
      <c r="Q388" s="684">
        <f>IF(終値!A388="","",IFERROR(4*STDEVP(終値!T388:AM388)/AVERAGE(終値!T388:AM388),""))</f>
      </c>
      <c r="R388" s="684">
        <f>IF(終値!A388="","",IFERROR(4*STDEVP(終値!U388:AN388)/AVERAGE(終値!U388:AN388),""))</f>
      </c>
      <c r="S388" s="684">
        <f>IF(終値!A388="","",IFERROR(4*STDEVP(終値!V388:AO388)/AVERAGE(終値!V388:AO388),""))</f>
      </c>
      <c r="T388" s="684">
        <f>IF(終値!A388="","",IFERROR(4*STDEVP(終値!W388:AP388)/AVERAGE(終値!W388:AP388),""))</f>
      </c>
      <c r="U388" s="684">
        <f>IF(終値!A388="","",IFERROR(4*STDEVP(終値!X388:AQ388)/AVERAGE(終値!X388:AQ388),""))</f>
      </c>
      <c r="V388" s="684">
        <f>IF(終値!A388="","",IFERROR(4*STDEVP(終値!Y388:AR388)/AVERAGE(終値!Y388:AR388),""))</f>
      </c>
      <c r="W388" s="684">
        <f>IF(終値!A388="","",IFERROR(4*STDEVP(終値!Z388:AS388)/AVERAGE(終値!Z388:AS388),""))</f>
      </c>
      <c r="X388" s="684">
        <f>IF(終値!A388="","",IFERROR(4*STDEVP(終値!AA388:AT388)/AVERAGE(終値!AA388:AT388),""))</f>
      </c>
      <c r="Y388" s="684">
        <f>IF(終値!A388="","",IFERROR(4*STDEVP(終値!AB388:AU388)/AVERAGE(終値!AB388:AU388),""))</f>
      </c>
      <c r="Z388" s="684">
        <f>IF(終値!A388="","",IFERROR(4*STDEVP(終値!AC388:AV388)/AVERAGE(終値!AC388:AV388),""))</f>
      </c>
      <c r="AA388" s="684">
        <f>IF(終値!A388="","",IFERROR(4*STDEVP(終値!AD388:AW388)/AVERAGE(終値!AD388:AW388),""))</f>
      </c>
      <c r="AB388" s="684">
        <f>IF(終値!A388="","",IFERROR(4*STDEVP(終値!AE388:AX388)/AVERAGE(終値!AE388:AX388),""))</f>
      </c>
      <c r="AC388" s="684">
        <f>IF(終値!A388="","",IFERROR(4*STDEVP(終値!AF388:AY388)/AVERAGE(終値!AF388:AY388),""))</f>
      </c>
      <c r="AD388" s="684">
        <f>IF(終値!A388="","",IFERROR(4*STDEVP(終値!AG388:AZ388)/AVERAGE(終値!AG388:AZ388),""))</f>
      </c>
      <c r="AE388" s="684">
        <f>IF(終値!A388="","",IFERROR(4*STDEVP(終値!AH388:BA388)/AVERAGE(終値!AH388:BA388),""))</f>
      </c>
      <c r="AF388" s="684">
        <f>IF(終値!A388="","",IFERROR(4*STDEVP(終値!AI388:BB388)/AVERAGE(終値!AI388:BB388),""))</f>
      </c>
      <c r="AG388" s="684">
        <f>IF(終値!A388="","",IFERROR(4*STDEVP(終値!AJ388:BC388)/AVERAGE(終値!AJ388:BC388),""))</f>
      </c>
      <c r="AH388" s="684">
        <f>IF(終値!A388="","",IFERROR(4*STDEVP(終値!AK388:BD388)/AVERAGE(終値!AK388:BD388),""))</f>
      </c>
      <c r="AI388" s="684">
        <f>IF(終値!A388="","",IFERROR(4*STDEVP(終値!AL388:BE388)/AVERAGE(終値!AL388:BE388),""))</f>
      </c>
      <c r="AJ388" s="684">
        <f>IF(終値!A388="","",IFERROR(4*STDEVP(終値!AM388:BF388)/AVERAGE(終値!AM388:BF388),""))</f>
      </c>
      <c r="AK388" s="684">
        <f>IF(終値!A388="","",IFERROR(4*STDEVP(終値!AN388:BG388)/AVERAGE(終値!AN388:BG388),""))</f>
      </c>
      <c r="AL388" s="684">
        <f>IF(終値!A388="","",IFERROR(4*STDEVP(終値!AO388:BH388)/AVERAGE(終値!AO388:BH388),""))</f>
      </c>
      <c r="AM388" s="684">
        <f>IF(終値!A388="","",IFERROR(4*STDEVP(終値!AP388:BI388)/AVERAGE(終値!AP388:BI388),""))</f>
      </c>
      <c r="AN388" s="684">
        <f>IF(終値!A388="","",IFERROR(4*STDEVP(終値!AQ388:BJ388)/AVERAGE(終値!AQ388:BJ388),""))</f>
      </c>
      <c r="AO388" s="684">
        <f>IF(終値!A388="","",IFERROR(4*STDEVP(終値!AR388:BK388)/AVERAGE(終値!AR388:BK388),""))</f>
      </c>
      <c r="AP388" s="684">
        <f>IF(終値!A388="","",IFERROR(4*STDEVP(終値!AS388:BL388)/AVERAGE(終値!AS388:BL388),""))</f>
      </c>
    </row>
    <row r="389">
      <c r="A389" s="681">
        <f>IF(終値!A389="","",終値!A389)</f>
      </c>
      <c r="B389" s="684">
        <f>IF(終値!A389="","",IFERROR(4*STDEVP(終値!E389:X389)/AVERAGE(終値!E389:X389),""))</f>
      </c>
      <c r="C389" s="684">
        <f>IF(終値!A389="","",IFERROR(4*STDEVP(終値!F389:Y389)/AVERAGE(終値!F389:Y389),""))</f>
      </c>
      <c r="D389" s="684">
        <f>IF(終値!A389="","",IFERROR(4*STDEVP(終値!G389:Z389)/AVERAGE(終値!G389:Z389),""))</f>
      </c>
      <c r="E389" s="684">
        <f>IF(終値!A389="","",IFERROR(4*STDEVP(終値!H389:AA389)/AVERAGE(終値!H389:AA389),""))</f>
      </c>
      <c r="F389" s="684">
        <f>IF(終値!A389="","",IFERROR(4*STDEVP(終値!I389:AB389)/AVERAGE(終値!I389:AB389),""))</f>
      </c>
      <c r="G389" s="684">
        <f>IF(終値!A389="","",IFERROR(4*STDEVP(終値!J389:AC389)/AVERAGE(終値!J389:AC389),""))</f>
      </c>
      <c r="H389" s="684">
        <f>IF(終値!A389="","",IFERROR(4*STDEVP(終値!K389:AD389)/AVERAGE(終値!K389:AD389),""))</f>
      </c>
      <c r="I389" s="684">
        <f>IF(終値!A389="","",IFERROR(4*STDEVP(終値!L389:AE389)/AVERAGE(終値!L389:AE389),""))</f>
      </c>
      <c r="J389" s="684">
        <f>IF(終値!A389="","",IFERROR(4*STDEVP(終値!M389:AF389)/AVERAGE(終値!M389:AF389),""))</f>
      </c>
      <c r="K389" s="684">
        <f>IF(終値!A389="","",IFERROR(4*STDEVP(終値!N389:AG389)/AVERAGE(終値!N389:AG389),""))</f>
      </c>
      <c r="L389" s="684">
        <f>IF(終値!A389="","",IFERROR(4*STDEVP(終値!O389:AH389)/AVERAGE(終値!O389:AH389),""))</f>
      </c>
      <c r="M389" s="684">
        <f>IF(終値!A389="","",IFERROR(4*STDEVP(終値!P389:AI389)/AVERAGE(終値!P389:AI389),""))</f>
      </c>
      <c r="N389" s="684">
        <f>IF(終値!A389="","",IFERROR(4*STDEVP(終値!Q389:AJ389)/AVERAGE(終値!Q389:AJ389),""))</f>
      </c>
      <c r="O389" s="684">
        <f>IF(終値!A389="","",IFERROR(4*STDEVP(終値!R389:AK389)/AVERAGE(終値!R389:AK389),""))</f>
      </c>
      <c r="P389" s="684">
        <f>IF(終値!A389="","",IFERROR(4*STDEVP(終値!S389:AL389)/AVERAGE(終値!S389:AL389),""))</f>
      </c>
      <c r="Q389" s="684">
        <f>IF(終値!A389="","",IFERROR(4*STDEVP(終値!T389:AM389)/AVERAGE(終値!T389:AM389),""))</f>
      </c>
      <c r="R389" s="684">
        <f>IF(終値!A389="","",IFERROR(4*STDEVP(終値!U389:AN389)/AVERAGE(終値!U389:AN389),""))</f>
      </c>
      <c r="S389" s="684">
        <f>IF(終値!A389="","",IFERROR(4*STDEVP(終値!V389:AO389)/AVERAGE(終値!V389:AO389),""))</f>
      </c>
      <c r="T389" s="684">
        <f>IF(終値!A389="","",IFERROR(4*STDEVP(終値!W389:AP389)/AVERAGE(終値!W389:AP389),""))</f>
      </c>
      <c r="U389" s="684">
        <f>IF(終値!A389="","",IFERROR(4*STDEVP(終値!X389:AQ389)/AVERAGE(終値!X389:AQ389),""))</f>
      </c>
      <c r="V389" s="684">
        <f>IF(終値!A389="","",IFERROR(4*STDEVP(終値!Y389:AR389)/AVERAGE(終値!Y389:AR389),""))</f>
      </c>
      <c r="W389" s="684">
        <f>IF(終値!A389="","",IFERROR(4*STDEVP(終値!Z389:AS389)/AVERAGE(終値!Z389:AS389),""))</f>
      </c>
      <c r="X389" s="684">
        <f>IF(終値!A389="","",IFERROR(4*STDEVP(終値!AA389:AT389)/AVERAGE(終値!AA389:AT389),""))</f>
      </c>
      <c r="Y389" s="684">
        <f>IF(終値!A389="","",IFERROR(4*STDEVP(終値!AB389:AU389)/AVERAGE(終値!AB389:AU389),""))</f>
      </c>
      <c r="Z389" s="684">
        <f>IF(終値!A389="","",IFERROR(4*STDEVP(終値!AC389:AV389)/AVERAGE(終値!AC389:AV389),""))</f>
      </c>
      <c r="AA389" s="684">
        <f>IF(終値!A389="","",IFERROR(4*STDEVP(終値!AD389:AW389)/AVERAGE(終値!AD389:AW389),""))</f>
      </c>
      <c r="AB389" s="684">
        <f>IF(終値!A389="","",IFERROR(4*STDEVP(終値!AE389:AX389)/AVERAGE(終値!AE389:AX389),""))</f>
      </c>
      <c r="AC389" s="684">
        <f>IF(終値!A389="","",IFERROR(4*STDEVP(終値!AF389:AY389)/AVERAGE(終値!AF389:AY389),""))</f>
      </c>
      <c r="AD389" s="684">
        <f>IF(終値!A389="","",IFERROR(4*STDEVP(終値!AG389:AZ389)/AVERAGE(終値!AG389:AZ389),""))</f>
      </c>
      <c r="AE389" s="684">
        <f>IF(終値!A389="","",IFERROR(4*STDEVP(終値!AH389:BA389)/AVERAGE(終値!AH389:BA389),""))</f>
      </c>
      <c r="AF389" s="684">
        <f>IF(終値!A389="","",IFERROR(4*STDEVP(終値!AI389:BB389)/AVERAGE(終値!AI389:BB389),""))</f>
      </c>
      <c r="AG389" s="684">
        <f>IF(終値!A389="","",IFERROR(4*STDEVP(終値!AJ389:BC389)/AVERAGE(終値!AJ389:BC389),""))</f>
      </c>
      <c r="AH389" s="684">
        <f>IF(終値!A389="","",IFERROR(4*STDEVP(終値!AK389:BD389)/AVERAGE(終値!AK389:BD389),""))</f>
      </c>
      <c r="AI389" s="684">
        <f>IF(終値!A389="","",IFERROR(4*STDEVP(終値!AL389:BE389)/AVERAGE(終値!AL389:BE389),""))</f>
      </c>
      <c r="AJ389" s="684">
        <f>IF(終値!A389="","",IFERROR(4*STDEVP(終値!AM389:BF389)/AVERAGE(終値!AM389:BF389),""))</f>
      </c>
      <c r="AK389" s="684">
        <f>IF(終値!A389="","",IFERROR(4*STDEVP(終値!AN389:BG389)/AVERAGE(終値!AN389:BG389),""))</f>
      </c>
      <c r="AL389" s="684">
        <f>IF(終値!A389="","",IFERROR(4*STDEVP(終値!AO389:BH389)/AVERAGE(終値!AO389:BH389),""))</f>
      </c>
      <c r="AM389" s="684">
        <f>IF(終値!A389="","",IFERROR(4*STDEVP(終値!AP389:BI389)/AVERAGE(終値!AP389:BI389),""))</f>
      </c>
      <c r="AN389" s="684">
        <f>IF(終値!A389="","",IFERROR(4*STDEVP(終値!AQ389:BJ389)/AVERAGE(終値!AQ389:BJ389),""))</f>
      </c>
      <c r="AO389" s="684">
        <f>IF(終値!A389="","",IFERROR(4*STDEVP(終値!AR389:BK389)/AVERAGE(終値!AR389:BK389),""))</f>
      </c>
      <c r="AP389" s="684">
        <f>IF(終値!A389="","",IFERROR(4*STDEVP(終値!AS389:BL389)/AVERAGE(終値!AS389:BL389),""))</f>
      </c>
    </row>
    <row r="390">
      <c r="A390" s="681">
        <f>IF(終値!A390="","",終値!A390)</f>
      </c>
      <c r="B390" s="684">
        <f>IF(終値!A390="","",IFERROR(4*STDEVP(終値!E390:X390)/AVERAGE(終値!E390:X390),""))</f>
      </c>
      <c r="C390" s="684">
        <f>IF(終値!A390="","",IFERROR(4*STDEVP(終値!F390:Y390)/AVERAGE(終値!F390:Y390),""))</f>
      </c>
      <c r="D390" s="684">
        <f>IF(終値!A390="","",IFERROR(4*STDEVP(終値!G390:Z390)/AVERAGE(終値!G390:Z390),""))</f>
      </c>
      <c r="E390" s="684">
        <f>IF(終値!A390="","",IFERROR(4*STDEVP(終値!H390:AA390)/AVERAGE(終値!H390:AA390),""))</f>
      </c>
      <c r="F390" s="684">
        <f>IF(終値!A390="","",IFERROR(4*STDEVP(終値!I390:AB390)/AVERAGE(終値!I390:AB390),""))</f>
      </c>
      <c r="G390" s="684">
        <f>IF(終値!A390="","",IFERROR(4*STDEVP(終値!J390:AC390)/AVERAGE(終値!J390:AC390),""))</f>
      </c>
      <c r="H390" s="684">
        <f>IF(終値!A390="","",IFERROR(4*STDEVP(終値!K390:AD390)/AVERAGE(終値!K390:AD390),""))</f>
      </c>
      <c r="I390" s="684">
        <f>IF(終値!A390="","",IFERROR(4*STDEVP(終値!L390:AE390)/AVERAGE(終値!L390:AE390),""))</f>
      </c>
      <c r="J390" s="684">
        <f>IF(終値!A390="","",IFERROR(4*STDEVP(終値!M390:AF390)/AVERAGE(終値!M390:AF390),""))</f>
      </c>
      <c r="K390" s="684">
        <f>IF(終値!A390="","",IFERROR(4*STDEVP(終値!N390:AG390)/AVERAGE(終値!N390:AG390),""))</f>
      </c>
      <c r="L390" s="684">
        <f>IF(終値!A390="","",IFERROR(4*STDEVP(終値!O390:AH390)/AVERAGE(終値!O390:AH390),""))</f>
      </c>
      <c r="M390" s="684">
        <f>IF(終値!A390="","",IFERROR(4*STDEVP(終値!P390:AI390)/AVERAGE(終値!P390:AI390),""))</f>
      </c>
      <c r="N390" s="684">
        <f>IF(終値!A390="","",IFERROR(4*STDEVP(終値!Q390:AJ390)/AVERAGE(終値!Q390:AJ390),""))</f>
      </c>
      <c r="O390" s="684">
        <f>IF(終値!A390="","",IFERROR(4*STDEVP(終値!R390:AK390)/AVERAGE(終値!R390:AK390),""))</f>
      </c>
      <c r="P390" s="684">
        <f>IF(終値!A390="","",IFERROR(4*STDEVP(終値!S390:AL390)/AVERAGE(終値!S390:AL390),""))</f>
      </c>
      <c r="Q390" s="684">
        <f>IF(終値!A390="","",IFERROR(4*STDEVP(終値!T390:AM390)/AVERAGE(終値!T390:AM390),""))</f>
      </c>
      <c r="R390" s="684">
        <f>IF(終値!A390="","",IFERROR(4*STDEVP(終値!U390:AN390)/AVERAGE(終値!U390:AN390),""))</f>
      </c>
      <c r="S390" s="684">
        <f>IF(終値!A390="","",IFERROR(4*STDEVP(終値!V390:AO390)/AVERAGE(終値!V390:AO390),""))</f>
      </c>
      <c r="T390" s="684">
        <f>IF(終値!A390="","",IFERROR(4*STDEVP(終値!W390:AP390)/AVERAGE(終値!W390:AP390),""))</f>
      </c>
      <c r="U390" s="684">
        <f>IF(終値!A390="","",IFERROR(4*STDEVP(終値!X390:AQ390)/AVERAGE(終値!X390:AQ390),""))</f>
      </c>
      <c r="V390" s="684">
        <f>IF(終値!A390="","",IFERROR(4*STDEVP(終値!Y390:AR390)/AVERAGE(終値!Y390:AR390),""))</f>
      </c>
      <c r="W390" s="684">
        <f>IF(終値!A390="","",IFERROR(4*STDEVP(終値!Z390:AS390)/AVERAGE(終値!Z390:AS390),""))</f>
      </c>
      <c r="X390" s="684">
        <f>IF(終値!A390="","",IFERROR(4*STDEVP(終値!AA390:AT390)/AVERAGE(終値!AA390:AT390),""))</f>
      </c>
      <c r="Y390" s="684">
        <f>IF(終値!A390="","",IFERROR(4*STDEVP(終値!AB390:AU390)/AVERAGE(終値!AB390:AU390),""))</f>
      </c>
      <c r="Z390" s="684">
        <f>IF(終値!A390="","",IFERROR(4*STDEVP(終値!AC390:AV390)/AVERAGE(終値!AC390:AV390),""))</f>
      </c>
      <c r="AA390" s="684">
        <f>IF(終値!A390="","",IFERROR(4*STDEVP(終値!AD390:AW390)/AVERAGE(終値!AD390:AW390),""))</f>
      </c>
      <c r="AB390" s="684">
        <f>IF(終値!A390="","",IFERROR(4*STDEVP(終値!AE390:AX390)/AVERAGE(終値!AE390:AX390),""))</f>
      </c>
      <c r="AC390" s="684">
        <f>IF(終値!A390="","",IFERROR(4*STDEVP(終値!AF390:AY390)/AVERAGE(終値!AF390:AY390),""))</f>
      </c>
      <c r="AD390" s="684">
        <f>IF(終値!A390="","",IFERROR(4*STDEVP(終値!AG390:AZ390)/AVERAGE(終値!AG390:AZ390),""))</f>
      </c>
      <c r="AE390" s="684">
        <f>IF(終値!A390="","",IFERROR(4*STDEVP(終値!AH390:BA390)/AVERAGE(終値!AH390:BA390),""))</f>
      </c>
      <c r="AF390" s="684">
        <f>IF(終値!A390="","",IFERROR(4*STDEVP(終値!AI390:BB390)/AVERAGE(終値!AI390:BB390),""))</f>
      </c>
      <c r="AG390" s="684">
        <f>IF(終値!A390="","",IFERROR(4*STDEVP(終値!AJ390:BC390)/AVERAGE(終値!AJ390:BC390),""))</f>
      </c>
      <c r="AH390" s="684">
        <f>IF(終値!A390="","",IFERROR(4*STDEVP(終値!AK390:BD390)/AVERAGE(終値!AK390:BD390),""))</f>
      </c>
      <c r="AI390" s="684">
        <f>IF(終値!A390="","",IFERROR(4*STDEVP(終値!AL390:BE390)/AVERAGE(終値!AL390:BE390),""))</f>
      </c>
      <c r="AJ390" s="684">
        <f>IF(終値!A390="","",IFERROR(4*STDEVP(終値!AM390:BF390)/AVERAGE(終値!AM390:BF390),""))</f>
      </c>
      <c r="AK390" s="684">
        <f>IF(終値!A390="","",IFERROR(4*STDEVP(終値!AN390:BG390)/AVERAGE(終値!AN390:BG390),""))</f>
      </c>
      <c r="AL390" s="684">
        <f>IF(終値!A390="","",IFERROR(4*STDEVP(終値!AO390:BH390)/AVERAGE(終値!AO390:BH390),""))</f>
      </c>
      <c r="AM390" s="684">
        <f>IF(終値!A390="","",IFERROR(4*STDEVP(終値!AP390:BI390)/AVERAGE(終値!AP390:BI390),""))</f>
      </c>
      <c r="AN390" s="684">
        <f>IF(終値!A390="","",IFERROR(4*STDEVP(終値!AQ390:BJ390)/AVERAGE(終値!AQ390:BJ390),""))</f>
      </c>
      <c r="AO390" s="684">
        <f>IF(終値!A390="","",IFERROR(4*STDEVP(終値!AR390:BK390)/AVERAGE(終値!AR390:BK390),""))</f>
      </c>
      <c r="AP390" s="684">
        <f>IF(終値!A390="","",IFERROR(4*STDEVP(終値!AS390:BL390)/AVERAGE(終値!AS390:BL390),""))</f>
      </c>
    </row>
    <row r="391">
      <c r="A391" s="681">
        <f>IF(終値!A391="","",終値!A391)</f>
      </c>
      <c r="B391" s="684">
        <f>IF(終値!A391="","",IFERROR(4*STDEVP(終値!E391:X391)/AVERAGE(終値!E391:X391),""))</f>
      </c>
      <c r="C391" s="684">
        <f>IF(終値!A391="","",IFERROR(4*STDEVP(終値!F391:Y391)/AVERAGE(終値!F391:Y391),""))</f>
      </c>
      <c r="D391" s="684">
        <f>IF(終値!A391="","",IFERROR(4*STDEVP(終値!G391:Z391)/AVERAGE(終値!G391:Z391),""))</f>
      </c>
      <c r="E391" s="684">
        <f>IF(終値!A391="","",IFERROR(4*STDEVP(終値!H391:AA391)/AVERAGE(終値!H391:AA391),""))</f>
      </c>
      <c r="F391" s="684">
        <f>IF(終値!A391="","",IFERROR(4*STDEVP(終値!I391:AB391)/AVERAGE(終値!I391:AB391),""))</f>
      </c>
      <c r="G391" s="684">
        <f>IF(終値!A391="","",IFERROR(4*STDEVP(終値!J391:AC391)/AVERAGE(終値!J391:AC391),""))</f>
      </c>
      <c r="H391" s="684">
        <f>IF(終値!A391="","",IFERROR(4*STDEVP(終値!K391:AD391)/AVERAGE(終値!K391:AD391),""))</f>
      </c>
      <c r="I391" s="684">
        <f>IF(終値!A391="","",IFERROR(4*STDEVP(終値!L391:AE391)/AVERAGE(終値!L391:AE391),""))</f>
      </c>
      <c r="J391" s="684">
        <f>IF(終値!A391="","",IFERROR(4*STDEVP(終値!M391:AF391)/AVERAGE(終値!M391:AF391),""))</f>
      </c>
      <c r="K391" s="684">
        <f>IF(終値!A391="","",IFERROR(4*STDEVP(終値!N391:AG391)/AVERAGE(終値!N391:AG391),""))</f>
      </c>
      <c r="L391" s="684">
        <f>IF(終値!A391="","",IFERROR(4*STDEVP(終値!O391:AH391)/AVERAGE(終値!O391:AH391),""))</f>
      </c>
      <c r="M391" s="684">
        <f>IF(終値!A391="","",IFERROR(4*STDEVP(終値!P391:AI391)/AVERAGE(終値!P391:AI391),""))</f>
      </c>
      <c r="N391" s="684">
        <f>IF(終値!A391="","",IFERROR(4*STDEVP(終値!Q391:AJ391)/AVERAGE(終値!Q391:AJ391),""))</f>
      </c>
      <c r="O391" s="684">
        <f>IF(終値!A391="","",IFERROR(4*STDEVP(終値!R391:AK391)/AVERAGE(終値!R391:AK391),""))</f>
      </c>
      <c r="P391" s="684">
        <f>IF(終値!A391="","",IFERROR(4*STDEVP(終値!S391:AL391)/AVERAGE(終値!S391:AL391),""))</f>
      </c>
      <c r="Q391" s="684">
        <f>IF(終値!A391="","",IFERROR(4*STDEVP(終値!T391:AM391)/AVERAGE(終値!T391:AM391),""))</f>
      </c>
      <c r="R391" s="684">
        <f>IF(終値!A391="","",IFERROR(4*STDEVP(終値!U391:AN391)/AVERAGE(終値!U391:AN391),""))</f>
      </c>
      <c r="S391" s="684">
        <f>IF(終値!A391="","",IFERROR(4*STDEVP(終値!V391:AO391)/AVERAGE(終値!V391:AO391),""))</f>
      </c>
      <c r="T391" s="684">
        <f>IF(終値!A391="","",IFERROR(4*STDEVP(終値!W391:AP391)/AVERAGE(終値!W391:AP391),""))</f>
      </c>
      <c r="U391" s="684">
        <f>IF(終値!A391="","",IFERROR(4*STDEVP(終値!X391:AQ391)/AVERAGE(終値!X391:AQ391),""))</f>
      </c>
      <c r="V391" s="684">
        <f>IF(終値!A391="","",IFERROR(4*STDEVP(終値!Y391:AR391)/AVERAGE(終値!Y391:AR391),""))</f>
      </c>
      <c r="W391" s="684">
        <f>IF(終値!A391="","",IFERROR(4*STDEVP(終値!Z391:AS391)/AVERAGE(終値!Z391:AS391),""))</f>
      </c>
      <c r="X391" s="684">
        <f>IF(終値!A391="","",IFERROR(4*STDEVP(終値!AA391:AT391)/AVERAGE(終値!AA391:AT391),""))</f>
      </c>
      <c r="Y391" s="684">
        <f>IF(終値!A391="","",IFERROR(4*STDEVP(終値!AB391:AU391)/AVERAGE(終値!AB391:AU391),""))</f>
      </c>
      <c r="Z391" s="684">
        <f>IF(終値!A391="","",IFERROR(4*STDEVP(終値!AC391:AV391)/AVERAGE(終値!AC391:AV391),""))</f>
      </c>
      <c r="AA391" s="684">
        <f>IF(終値!A391="","",IFERROR(4*STDEVP(終値!AD391:AW391)/AVERAGE(終値!AD391:AW391),""))</f>
      </c>
      <c r="AB391" s="684">
        <f>IF(終値!A391="","",IFERROR(4*STDEVP(終値!AE391:AX391)/AVERAGE(終値!AE391:AX391),""))</f>
      </c>
      <c r="AC391" s="684">
        <f>IF(終値!A391="","",IFERROR(4*STDEVP(終値!AF391:AY391)/AVERAGE(終値!AF391:AY391),""))</f>
      </c>
      <c r="AD391" s="684">
        <f>IF(終値!A391="","",IFERROR(4*STDEVP(終値!AG391:AZ391)/AVERAGE(終値!AG391:AZ391),""))</f>
      </c>
      <c r="AE391" s="684">
        <f>IF(終値!A391="","",IFERROR(4*STDEVP(終値!AH391:BA391)/AVERAGE(終値!AH391:BA391),""))</f>
      </c>
      <c r="AF391" s="684">
        <f>IF(終値!A391="","",IFERROR(4*STDEVP(終値!AI391:BB391)/AVERAGE(終値!AI391:BB391),""))</f>
      </c>
      <c r="AG391" s="684">
        <f>IF(終値!A391="","",IFERROR(4*STDEVP(終値!AJ391:BC391)/AVERAGE(終値!AJ391:BC391),""))</f>
      </c>
      <c r="AH391" s="684">
        <f>IF(終値!A391="","",IFERROR(4*STDEVP(終値!AK391:BD391)/AVERAGE(終値!AK391:BD391),""))</f>
      </c>
      <c r="AI391" s="684">
        <f>IF(終値!A391="","",IFERROR(4*STDEVP(終値!AL391:BE391)/AVERAGE(終値!AL391:BE391),""))</f>
      </c>
      <c r="AJ391" s="684">
        <f>IF(終値!A391="","",IFERROR(4*STDEVP(終値!AM391:BF391)/AVERAGE(終値!AM391:BF391),""))</f>
      </c>
      <c r="AK391" s="684">
        <f>IF(終値!A391="","",IFERROR(4*STDEVP(終値!AN391:BG391)/AVERAGE(終値!AN391:BG391),""))</f>
      </c>
      <c r="AL391" s="684">
        <f>IF(終値!A391="","",IFERROR(4*STDEVP(終値!AO391:BH391)/AVERAGE(終値!AO391:BH391),""))</f>
      </c>
      <c r="AM391" s="684">
        <f>IF(終値!A391="","",IFERROR(4*STDEVP(終値!AP391:BI391)/AVERAGE(終値!AP391:BI391),""))</f>
      </c>
      <c r="AN391" s="684">
        <f>IF(終値!A391="","",IFERROR(4*STDEVP(終値!AQ391:BJ391)/AVERAGE(終値!AQ391:BJ391),""))</f>
      </c>
      <c r="AO391" s="684">
        <f>IF(終値!A391="","",IFERROR(4*STDEVP(終値!AR391:BK391)/AVERAGE(終値!AR391:BK391),""))</f>
      </c>
      <c r="AP391" s="684">
        <f>IF(終値!A391="","",IFERROR(4*STDEVP(終値!AS391:BL391)/AVERAGE(終値!AS391:BL391),""))</f>
      </c>
    </row>
    <row r="392">
      <c r="A392" s="681">
        <f>IF(終値!A392="","",終値!A392)</f>
      </c>
      <c r="B392" s="684">
        <f>IF(終値!A392="","",IFERROR(4*STDEVP(終値!E392:X392)/AVERAGE(終値!E392:X392),""))</f>
      </c>
      <c r="C392" s="684">
        <f>IF(終値!A392="","",IFERROR(4*STDEVP(終値!F392:Y392)/AVERAGE(終値!F392:Y392),""))</f>
      </c>
      <c r="D392" s="684">
        <f>IF(終値!A392="","",IFERROR(4*STDEVP(終値!G392:Z392)/AVERAGE(終値!G392:Z392),""))</f>
      </c>
      <c r="E392" s="684">
        <f>IF(終値!A392="","",IFERROR(4*STDEVP(終値!H392:AA392)/AVERAGE(終値!H392:AA392),""))</f>
      </c>
      <c r="F392" s="684">
        <f>IF(終値!A392="","",IFERROR(4*STDEVP(終値!I392:AB392)/AVERAGE(終値!I392:AB392),""))</f>
      </c>
      <c r="G392" s="684">
        <f>IF(終値!A392="","",IFERROR(4*STDEVP(終値!J392:AC392)/AVERAGE(終値!J392:AC392),""))</f>
      </c>
      <c r="H392" s="684">
        <f>IF(終値!A392="","",IFERROR(4*STDEVP(終値!K392:AD392)/AVERAGE(終値!K392:AD392),""))</f>
      </c>
      <c r="I392" s="684">
        <f>IF(終値!A392="","",IFERROR(4*STDEVP(終値!L392:AE392)/AVERAGE(終値!L392:AE392),""))</f>
      </c>
      <c r="J392" s="684">
        <f>IF(終値!A392="","",IFERROR(4*STDEVP(終値!M392:AF392)/AVERAGE(終値!M392:AF392),""))</f>
      </c>
      <c r="K392" s="684">
        <f>IF(終値!A392="","",IFERROR(4*STDEVP(終値!N392:AG392)/AVERAGE(終値!N392:AG392),""))</f>
      </c>
      <c r="L392" s="684">
        <f>IF(終値!A392="","",IFERROR(4*STDEVP(終値!O392:AH392)/AVERAGE(終値!O392:AH392),""))</f>
      </c>
      <c r="M392" s="684">
        <f>IF(終値!A392="","",IFERROR(4*STDEVP(終値!P392:AI392)/AVERAGE(終値!P392:AI392),""))</f>
      </c>
      <c r="N392" s="684">
        <f>IF(終値!A392="","",IFERROR(4*STDEVP(終値!Q392:AJ392)/AVERAGE(終値!Q392:AJ392),""))</f>
      </c>
      <c r="O392" s="684">
        <f>IF(終値!A392="","",IFERROR(4*STDEVP(終値!R392:AK392)/AVERAGE(終値!R392:AK392),""))</f>
      </c>
      <c r="P392" s="684">
        <f>IF(終値!A392="","",IFERROR(4*STDEVP(終値!S392:AL392)/AVERAGE(終値!S392:AL392),""))</f>
      </c>
      <c r="Q392" s="684">
        <f>IF(終値!A392="","",IFERROR(4*STDEVP(終値!T392:AM392)/AVERAGE(終値!T392:AM392),""))</f>
      </c>
      <c r="R392" s="684">
        <f>IF(終値!A392="","",IFERROR(4*STDEVP(終値!U392:AN392)/AVERAGE(終値!U392:AN392),""))</f>
      </c>
      <c r="S392" s="684">
        <f>IF(終値!A392="","",IFERROR(4*STDEVP(終値!V392:AO392)/AVERAGE(終値!V392:AO392),""))</f>
      </c>
      <c r="T392" s="684">
        <f>IF(終値!A392="","",IFERROR(4*STDEVP(終値!W392:AP392)/AVERAGE(終値!W392:AP392),""))</f>
      </c>
      <c r="U392" s="684">
        <f>IF(終値!A392="","",IFERROR(4*STDEVP(終値!X392:AQ392)/AVERAGE(終値!X392:AQ392),""))</f>
      </c>
      <c r="V392" s="684">
        <f>IF(終値!A392="","",IFERROR(4*STDEVP(終値!Y392:AR392)/AVERAGE(終値!Y392:AR392),""))</f>
      </c>
      <c r="W392" s="684">
        <f>IF(終値!A392="","",IFERROR(4*STDEVP(終値!Z392:AS392)/AVERAGE(終値!Z392:AS392),""))</f>
      </c>
      <c r="X392" s="684">
        <f>IF(終値!A392="","",IFERROR(4*STDEVP(終値!AA392:AT392)/AVERAGE(終値!AA392:AT392),""))</f>
      </c>
      <c r="Y392" s="684">
        <f>IF(終値!A392="","",IFERROR(4*STDEVP(終値!AB392:AU392)/AVERAGE(終値!AB392:AU392),""))</f>
      </c>
      <c r="Z392" s="684">
        <f>IF(終値!A392="","",IFERROR(4*STDEVP(終値!AC392:AV392)/AVERAGE(終値!AC392:AV392),""))</f>
      </c>
      <c r="AA392" s="684">
        <f>IF(終値!A392="","",IFERROR(4*STDEVP(終値!AD392:AW392)/AVERAGE(終値!AD392:AW392),""))</f>
      </c>
      <c r="AB392" s="684">
        <f>IF(終値!A392="","",IFERROR(4*STDEVP(終値!AE392:AX392)/AVERAGE(終値!AE392:AX392),""))</f>
      </c>
      <c r="AC392" s="684">
        <f>IF(終値!A392="","",IFERROR(4*STDEVP(終値!AF392:AY392)/AVERAGE(終値!AF392:AY392),""))</f>
      </c>
      <c r="AD392" s="684">
        <f>IF(終値!A392="","",IFERROR(4*STDEVP(終値!AG392:AZ392)/AVERAGE(終値!AG392:AZ392),""))</f>
      </c>
      <c r="AE392" s="684">
        <f>IF(終値!A392="","",IFERROR(4*STDEVP(終値!AH392:BA392)/AVERAGE(終値!AH392:BA392),""))</f>
      </c>
      <c r="AF392" s="684">
        <f>IF(終値!A392="","",IFERROR(4*STDEVP(終値!AI392:BB392)/AVERAGE(終値!AI392:BB392),""))</f>
      </c>
      <c r="AG392" s="684">
        <f>IF(終値!A392="","",IFERROR(4*STDEVP(終値!AJ392:BC392)/AVERAGE(終値!AJ392:BC392),""))</f>
      </c>
      <c r="AH392" s="684">
        <f>IF(終値!A392="","",IFERROR(4*STDEVP(終値!AK392:BD392)/AVERAGE(終値!AK392:BD392),""))</f>
      </c>
      <c r="AI392" s="684">
        <f>IF(終値!A392="","",IFERROR(4*STDEVP(終値!AL392:BE392)/AVERAGE(終値!AL392:BE392),""))</f>
      </c>
      <c r="AJ392" s="684">
        <f>IF(終値!A392="","",IFERROR(4*STDEVP(終値!AM392:BF392)/AVERAGE(終値!AM392:BF392),""))</f>
      </c>
      <c r="AK392" s="684">
        <f>IF(終値!A392="","",IFERROR(4*STDEVP(終値!AN392:BG392)/AVERAGE(終値!AN392:BG392),""))</f>
      </c>
      <c r="AL392" s="684">
        <f>IF(終値!A392="","",IFERROR(4*STDEVP(終値!AO392:BH392)/AVERAGE(終値!AO392:BH392),""))</f>
      </c>
      <c r="AM392" s="684">
        <f>IF(終値!A392="","",IFERROR(4*STDEVP(終値!AP392:BI392)/AVERAGE(終値!AP392:BI392),""))</f>
      </c>
      <c r="AN392" s="684">
        <f>IF(終値!A392="","",IFERROR(4*STDEVP(終値!AQ392:BJ392)/AVERAGE(終値!AQ392:BJ392),""))</f>
      </c>
      <c r="AO392" s="684">
        <f>IF(終値!A392="","",IFERROR(4*STDEVP(終値!AR392:BK392)/AVERAGE(終値!AR392:BK392),""))</f>
      </c>
      <c r="AP392" s="684">
        <f>IF(終値!A392="","",IFERROR(4*STDEVP(終値!AS392:BL392)/AVERAGE(終値!AS392:BL392),""))</f>
      </c>
    </row>
    <row r="393">
      <c r="A393" s="681">
        <f>IF(終値!A393="","",終値!A393)</f>
      </c>
      <c r="B393" s="684">
        <f>IF(終値!A393="","",IFERROR(4*STDEVP(終値!E393:X393)/AVERAGE(終値!E393:X393),""))</f>
      </c>
      <c r="C393" s="684">
        <f>IF(終値!A393="","",IFERROR(4*STDEVP(終値!F393:Y393)/AVERAGE(終値!F393:Y393),""))</f>
      </c>
      <c r="D393" s="684">
        <f>IF(終値!A393="","",IFERROR(4*STDEVP(終値!G393:Z393)/AVERAGE(終値!G393:Z393),""))</f>
      </c>
      <c r="E393" s="684">
        <f>IF(終値!A393="","",IFERROR(4*STDEVP(終値!H393:AA393)/AVERAGE(終値!H393:AA393),""))</f>
      </c>
      <c r="F393" s="684">
        <f>IF(終値!A393="","",IFERROR(4*STDEVP(終値!I393:AB393)/AVERAGE(終値!I393:AB393),""))</f>
      </c>
      <c r="G393" s="684">
        <f>IF(終値!A393="","",IFERROR(4*STDEVP(終値!J393:AC393)/AVERAGE(終値!J393:AC393),""))</f>
      </c>
      <c r="H393" s="684">
        <f>IF(終値!A393="","",IFERROR(4*STDEVP(終値!K393:AD393)/AVERAGE(終値!K393:AD393),""))</f>
      </c>
      <c r="I393" s="684">
        <f>IF(終値!A393="","",IFERROR(4*STDEVP(終値!L393:AE393)/AVERAGE(終値!L393:AE393),""))</f>
      </c>
      <c r="J393" s="684">
        <f>IF(終値!A393="","",IFERROR(4*STDEVP(終値!M393:AF393)/AVERAGE(終値!M393:AF393),""))</f>
      </c>
      <c r="K393" s="684">
        <f>IF(終値!A393="","",IFERROR(4*STDEVP(終値!N393:AG393)/AVERAGE(終値!N393:AG393),""))</f>
      </c>
      <c r="L393" s="684">
        <f>IF(終値!A393="","",IFERROR(4*STDEVP(終値!O393:AH393)/AVERAGE(終値!O393:AH393),""))</f>
      </c>
      <c r="M393" s="684">
        <f>IF(終値!A393="","",IFERROR(4*STDEVP(終値!P393:AI393)/AVERAGE(終値!P393:AI393),""))</f>
      </c>
      <c r="N393" s="684">
        <f>IF(終値!A393="","",IFERROR(4*STDEVP(終値!Q393:AJ393)/AVERAGE(終値!Q393:AJ393),""))</f>
      </c>
      <c r="O393" s="684">
        <f>IF(終値!A393="","",IFERROR(4*STDEVP(終値!R393:AK393)/AVERAGE(終値!R393:AK393),""))</f>
      </c>
      <c r="P393" s="684">
        <f>IF(終値!A393="","",IFERROR(4*STDEVP(終値!S393:AL393)/AVERAGE(終値!S393:AL393),""))</f>
      </c>
      <c r="Q393" s="684">
        <f>IF(終値!A393="","",IFERROR(4*STDEVP(終値!T393:AM393)/AVERAGE(終値!T393:AM393),""))</f>
      </c>
      <c r="R393" s="684">
        <f>IF(終値!A393="","",IFERROR(4*STDEVP(終値!U393:AN393)/AVERAGE(終値!U393:AN393),""))</f>
      </c>
      <c r="S393" s="684">
        <f>IF(終値!A393="","",IFERROR(4*STDEVP(終値!V393:AO393)/AVERAGE(終値!V393:AO393),""))</f>
      </c>
      <c r="T393" s="684">
        <f>IF(終値!A393="","",IFERROR(4*STDEVP(終値!W393:AP393)/AVERAGE(終値!W393:AP393),""))</f>
      </c>
      <c r="U393" s="684">
        <f>IF(終値!A393="","",IFERROR(4*STDEVP(終値!X393:AQ393)/AVERAGE(終値!X393:AQ393),""))</f>
      </c>
      <c r="V393" s="684">
        <f>IF(終値!A393="","",IFERROR(4*STDEVP(終値!Y393:AR393)/AVERAGE(終値!Y393:AR393),""))</f>
      </c>
      <c r="W393" s="684">
        <f>IF(終値!A393="","",IFERROR(4*STDEVP(終値!Z393:AS393)/AVERAGE(終値!Z393:AS393),""))</f>
      </c>
      <c r="X393" s="684">
        <f>IF(終値!A393="","",IFERROR(4*STDEVP(終値!AA393:AT393)/AVERAGE(終値!AA393:AT393),""))</f>
      </c>
      <c r="Y393" s="684">
        <f>IF(終値!A393="","",IFERROR(4*STDEVP(終値!AB393:AU393)/AVERAGE(終値!AB393:AU393),""))</f>
      </c>
      <c r="Z393" s="684">
        <f>IF(終値!A393="","",IFERROR(4*STDEVP(終値!AC393:AV393)/AVERAGE(終値!AC393:AV393),""))</f>
      </c>
      <c r="AA393" s="684">
        <f>IF(終値!A393="","",IFERROR(4*STDEVP(終値!AD393:AW393)/AVERAGE(終値!AD393:AW393),""))</f>
      </c>
      <c r="AB393" s="684">
        <f>IF(終値!A393="","",IFERROR(4*STDEVP(終値!AE393:AX393)/AVERAGE(終値!AE393:AX393),""))</f>
      </c>
      <c r="AC393" s="684">
        <f>IF(終値!A393="","",IFERROR(4*STDEVP(終値!AF393:AY393)/AVERAGE(終値!AF393:AY393),""))</f>
      </c>
      <c r="AD393" s="684">
        <f>IF(終値!A393="","",IFERROR(4*STDEVP(終値!AG393:AZ393)/AVERAGE(終値!AG393:AZ393),""))</f>
      </c>
      <c r="AE393" s="684">
        <f>IF(終値!A393="","",IFERROR(4*STDEVP(終値!AH393:BA393)/AVERAGE(終値!AH393:BA393),""))</f>
      </c>
      <c r="AF393" s="684">
        <f>IF(終値!A393="","",IFERROR(4*STDEVP(終値!AI393:BB393)/AVERAGE(終値!AI393:BB393),""))</f>
      </c>
      <c r="AG393" s="684">
        <f>IF(終値!A393="","",IFERROR(4*STDEVP(終値!AJ393:BC393)/AVERAGE(終値!AJ393:BC393),""))</f>
      </c>
      <c r="AH393" s="684">
        <f>IF(終値!A393="","",IFERROR(4*STDEVP(終値!AK393:BD393)/AVERAGE(終値!AK393:BD393),""))</f>
      </c>
      <c r="AI393" s="684">
        <f>IF(終値!A393="","",IFERROR(4*STDEVP(終値!AL393:BE393)/AVERAGE(終値!AL393:BE393),""))</f>
      </c>
      <c r="AJ393" s="684">
        <f>IF(終値!A393="","",IFERROR(4*STDEVP(終値!AM393:BF393)/AVERAGE(終値!AM393:BF393),""))</f>
      </c>
      <c r="AK393" s="684">
        <f>IF(終値!A393="","",IFERROR(4*STDEVP(終値!AN393:BG393)/AVERAGE(終値!AN393:BG393),""))</f>
      </c>
      <c r="AL393" s="684">
        <f>IF(終値!A393="","",IFERROR(4*STDEVP(終値!AO393:BH393)/AVERAGE(終値!AO393:BH393),""))</f>
      </c>
      <c r="AM393" s="684">
        <f>IF(終値!A393="","",IFERROR(4*STDEVP(終値!AP393:BI393)/AVERAGE(終値!AP393:BI393),""))</f>
      </c>
      <c r="AN393" s="684">
        <f>IF(終値!A393="","",IFERROR(4*STDEVP(終値!AQ393:BJ393)/AVERAGE(終値!AQ393:BJ393),""))</f>
      </c>
      <c r="AO393" s="684">
        <f>IF(終値!A393="","",IFERROR(4*STDEVP(終値!AR393:BK393)/AVERAGE(終値!AR393:BK393),""))</f>
      </c>
      <c r="AP393" s="684">
        <f>IF(終値!A393="","",IFERROR(4*STDEVP(終値!AS393:BL393)/AVERAGE(終値!AS393:BL393),""))</f>
      </c>
    </row>
    <row r="394">
      <c r="A394" s="681">
        <f>IF(終値!A394="","",終値!A394)</f>
      </c>
      <c r="B394" s="684">
        <f>IF(終値!A394="","",IFERROR(4*STDEVP(終値!E394:X394)/AVERAGE(終値!E394:X394),""))</f>
      </c>
      <c r="C394" s="684">
        <f>IF(終値!A394="","",IFERROR(4*STDEVP(終値!F394:Y394)/AVERAGE(終値!F394:Y394),""))</f>
      </c>
      <c r="D394" s="684">
        <f>IF(終値!A394="","",IFERROR(4*STDEVP(終値!G394:Z394)/AVERAGE(終値!G394:Z394),""))</f>
      </c>
      <c r="E394" s="684">
        <f>IF(終値!A394="","",IFERROR(4*STDEVP(終値!H394:AA394)/AVERAGE(終値!H394:AA394),""))</f>
      </c>
      <c r="F394" s="684">
        <f>IF(終値!A394="","",IFERROR(4*STDEVP(終値!I394:AB394)/AVERAGE(終値!I394:AB394),""))</f>
      </c>
      <c r="G394" s="684">
        <f>IF(終値!A394="","",IFERROR(4*STDEVP(終値!J394:AC394)/AVERAGE(終値!J394:AC394),""))</f>
      </c>
      <c r="H394" s="684">
        <f>IF(終値!A394="","",IFERROR(4*STDEVP(終値!K394:AD394)/AVERAGE(終値!K394:AD394),""))</f>
      </c>
      <c r="I394" s="684">
        <f>IF(終値!A394="","",IFERROR(4*STDEVP(終値!L394:AE394)/AVERAGE(終値!L394:AE394),""))</f>
      </c>
      <c r="J394" s="684">
        <f>IF(終値!A394="","",IFERROR(4*STDEVP(終値!M394:AF394)/AVERAGE(終値!M394:AF394),""))</f>
      </c>
      <c r="K394" s="684">
        <f>IF(終値!A394="","",IFERROR(4*STDEVP(終値!N394:AG394)/AVERAGE(終値!N394:AG394),""))</f>
      </c>
      <c r="L394" s="684">
        <f>IF(終値!A394="","",IFERROR(4*STDEVP(終値!O394:AH394)/AVERAGE(終値!O394:AH394),""))</f>
      </c>
      <c r="M394" s="684">
        <f>IF(終値!A394="","",IFERROR(4*STDEVP(終値!P394:AI394)/AVERAGE(終値!P394:AI394),""))</f>
      </c>
      <c r="N394" s="684">
        <f>IF(終値!A394="","",IFERROR(4*STDEVP(終値!Q394:AJ394)/AVERAGE(終値!Q394:AJ394),""))</f>
      </c>
      <c r="O394" s="684">
        <f>IF(終値!A394="","",IFERROR(4*STDEVP(終値!R394:AK394)/AVERAGE(終値!R394:AK394),""))</f>
      </c>
      <c r="P394" s="684">
        <f>IF(終値!A394="","",IFERROR(4*STDEVP(終値!S394:AL394)/AVERAGE(終値!S394:AL394),""))</f>
      </c>
      <c r="Q394" s="684">
        <f>IF(終値!A394="","",IFERROR(4*STDEVP(終値!T394:AM394)/AVERAGE(終値!T394:AM394),""))</f>
      </c>
      <c r="R394" s="684">
        <f>IF(終値!A394="","",IFERROR(4*STDEVP(終値!U394:AN394)/AVERAGE(終値!U394:AN394),""))</f>
      </c>
      <c r="S394" s="684">
        <f>IF(終値!A394="","",IFERROR(4*STDEVP(終値!V394:AO394)/AVERAGE(終値!V394:AO394),""))</f>
      </c>
      <c r="T394" s="684">
        <f>IF(終値!A394="","",IFERROR(4*STDEVP(終値!W394:AP394)/AVERAGE(終値!W394:AP394),""))</f>
      </c>
      <c r="U394" s="684">
        <f>IF(終値!A394="","",IFERROR(4*STDEVP(終値!X394:AQ394)/AVERAGE(終値!X394:AQ394),""))</f>
      </c>
      <c r="V394" s="684">
        <f>IF(終値!A394="","",IFERROR(4*STDEVP(終値!Y394:AR394)/AVERAGE(終値!Y394:AR394),""))</f>
      </c>
      <c r="W394" s="684">
        <f>IF(終値!A394="","",IFERROR(4*STDEVP(終値!Z394:AS394)/AVERAGE(終値!Z394:AS394),""))</f>
      </c>
      <c r="X394" s="684">
        <f>IF(終値!A394="","",IFERROR(4*STDEVP(終値!AA394:AT394)/AVERAGE(終値!AA394:AT394),""))</f>
      </c>
      <c r="Y394" s="684">
        <f>IF(終値!A394="","",IFERROR(4*STDEVP(終値!AB394:AU394)/AVERAGE(終値!AB394:AU394),""))</f>
      </c>
      <c r="Z394" s="684">
        <f>IF(終値!A394="","",IFERROR(4*STDEVP(終値!AC394:AV394)/AVERAGE(終値!AC394:AV394),""))</f>
      </c>
      <c r="AA394" s="684">
        <f>IF(終値!A394="","",IFERROR(4*STDEVP(終値!AD394:AW394)/AVERAGE(終値!AD394:AW394),""))</f>
      </c>
      <c r="AB394" s="684">
        <f>IF(終値!A394="","",IFERROR(4*STDEVP(終値!AE394:AX394)/AVERAGE(終値!AE394:AX394),""))</f>
      </c>
      <c r="AC394" s="684">
        <f>IF(終値!A394="","",IFERROR(4*STDEVP(終値!AF394:AY394)/AVERAGE(終値!AF394:AY394),""))</f>
      </c>
      <c r="AD394" s="684">
        <f>IF(終値!A394="","",IFERROR(4*STDEVP(終値!AG394:AZ394)/AVERAGE(終値!AG394:AZ394),""))</f>
      </c>
      <c r="AE394" s="684">
        <f>IF(終値!A394="","",IFERROR(4*STDEVP(終値!AH394:BA394)/AVERAGE(終値!AH394:BA394),""))</f>
      </c>
      <c r="AF394" s="684">
        <f>IF(終値!A394="","",IFERROR(4*STDEVP(終値!AI394:BB394)/AVERAGE(終値!AI394:BB394),""))</f>
      </c>
      <c r="AG394" s="684">
        <f>IF(終値!A394="","",IFERROR(4*STDEVP(終値!AJ394:BC394)/AVERAGE(終値!AJ394:BC394),""))</f>
      </c>
      <c r="AH394" s="684">
        <f>IF(終値!A394="","",IFERROR(4*STDEVP(終値!AK394:BD394)/AVERAGE(終値!AK394:BD394),""))</f>
      </c>
      <c r="AI394" s="684">
        <f>IF(終値!A394="","",IFERROR(4*STDEVP(終値!AL394:BE394)/AVERAGE(終値!AL394:BE394),""))</f>
      </c>
      <c r="AJ394" s="684">
        <f>IF(終値!A394="","",IFERROR(4*STDEVP(終値!AM394:BF394)/AVERAGE(終値!AM394:BF394),""))</f>
      </c>
      <c r="AK394" s="684">
        <f>IF(終値!A394="","",IFERROR(4*STDEVP(終値!AN394:BG394)/AVERAGE(終値!AN394:BG394),""))</f>
      </c>
      <c r="AL394" s="684">
        <f>IF(終値!A394="","",IFERROR(4*STDEVP(終値!AO394:BH394)/AVERAGE(終値!AO394:BH394),""))</f>
      </c>
      <c r="AM394" s="684">
        <f>IF(終値!A394="","",IFERROR(4*STDEVP(終値!AP394:BI394)/AVERAGE(終値!AP394:BI394),""))</f>
      </c>
      <c r="AN394" s="684">
        <f>IF(終値!A394="","",IFERROR(4*STDEVP(終値!AQ394:BJ394)/AVERAGE(終値!AQ394:BJ394),""))</f>
      </c>
      <c r="AO394" s="684">
        <f>IF(終値!A394="","",IFERROR(4*STDEVP(終値!AR394:BK394)/AVERAGE(終値!AR394:BK394),""))</f>
      </c>
      <c r="AP394" s="684">
        <f>IF(終値!A394="","",IFERROR(4*STDEVP(終値!AS394:BL394)/AVERAGE(終値!AS394:BL394),""))</f>
      </c>
    </row>
    <row r="395">
      <c r="A395" s="681">
        <f>IF(終値!A395="","",終値!A395)</f>
      </c>
      <c r="B395" s="684">
        <f>IF(終値!A395="","",IFERROR(4*STDEVP(終値!E395:X395)/AVERAGE(終値!E395:X395),""))</f>
      </c>
      <c r="C395" s="684">
        <f>IF(終値!A395="","",IFERROR(4*STDEVP(終値!F395:Y395)/AVERAGE(終値!F395:Y395),""))</f>
      </c>
      <c r="D395" s="684">
        <f>IF(終値!A395="","",IFERROR(4*STDEVP(終値!G395:Z395)/AVERAGE(終値!G395:Z395),""))</f>
      </c>
      <c r="E395" s="684">
        <f>IF(終値!A395="","",IFERROR(4*STDEVP(終値!H395:AA395)/AVERAGE(終値!H395:AA395),""))</f>
      </c>
      <c r="F395" s="684">
        <f>IF(終値!A395="","",IFERROR(4*STDEVP(終値!I395:AB395)/AVERAGE(終値!I395:AB395),""))</f>
      </c>
      <c r="G395" s="684">
        <f>IF(終値!A395="","",IFERROR(4*STDEVP(終値!J395:AC395)/AVERAGE(終値!J395:AC395),""))</f>
      </c>
      <c r="H395" s="684">
        <f>IF(終値!A395="","",IFERROR(4*STDEVP(終値!K395:AD395)/AVERAGE(終値!K395:AD395),""))</f>
      </c>
      <c r="I395" s="684">
        <f>IF(終値!A395="","",IFERROR(4*STDEVP(終値!L395:AE395)/AVERAGE(終値!L395:AE395),""))</f>
      </c>
      <c r="J395" s="684">
        <f>IF(終値!A395="","",IFERROR(4*STDEVP(終値!M395:AF395)/AVERAGE(終値!M395:AF395),""))</f>
      </c>
      <c r="K395" s="684">
        <f>IF(終値!A395="","",IFERROR(4*STDEVP(終値!N395:AG395)/AVERAGE(終値!N395:AG395),""))</f>
      </c>
      <c r="L395" s="684">
        <f>IF(終値!A395="","",IFERROR(4*STDEVP(終値!O395:AH395)/AVERAGE(終値!O395:AH395),""))</f>
      </c>
      <c r="M395" s="684">
        <f>IF(終値!A395="","",IFERROR(4*STDEVP(終値!P395:AI395)/AVERAGE(終値!P395:AI395),""))</f>
      </c>
      <c r="N395" s="684">
        <f>IF(終値!A395="","",IFERROR(4*STDEVP(終値!Q395:AJ395)/AVERAGE(終値!Q395:AJ395),""))</f>
      </c>
      <c r="O395" s="684">
        <f>IF(終値!A395="","",IFERROR(4*STDEVP(終値!R395:AK395)/AVERAGE(終値!R395:AK395),""))</f>
      </c>
      <c r="P395" s="684">
        <f>IF(終値!A395="","",IFERROR(4*STDEVP(終値!S395:AL395)/AVERAGE(終値!S395:AL395),""))</f>
      </c>
      <c r="Q395" s="684">
        <f>IF(終値!A395="","",IFERROR(4*STDEVP(終値!T395:AM395)/AVERAGE(終値!T395:AM395),""))</f>
      </c>
      <c r="R395" s="684">
        <f>IF(終値!A395="","",IFERROR(4*STDEVP(終値!U395:AN395)/AVERAGE(終値!U395:AN395),""))</f>
      </c>
      <c r="S395" s="684">
        <f>IF(終値!A395="","",IFERROR(4*STDEVP(終値!V395:AO395)/AVERAGE(終値!V395:AO395),""))</f>
      </c>
      <c r="T395" s="684">
        <f>IF(終値!A395="","",IFERROR(4*STDEVP(終値!W395:AP395)/AVERAGE(終値!W395:AP395),""))</f>
      </c>
      <c r="U395" s="684">
        <f>IF(終値!A395="","",IFERROR(4*STDEVP(終値!X395:AQ395)/AVERAGE(終値!X395:AQ395),""))</f>
      </c>
      <c r="V395" s="684">
        <f>IF(終値!A395="","",IFERROR(4*STDEVP(終値!Y395:AR395)/AVERAGE(終値!Y395:AR395),""))</f>
      </c>
      <c r="W395" s="684">
        <f>IF(終値!A395="","",IFERROR(4*STDEVP(終値!Z395:AS395)/AVERAGE(終値!Z395:AS395),""))</f>
      </c>
      <c r="X395" s="684">
        <f>IF(終値!A395="","",IFERROR(4*STDEVP(終値!AA395:AT395)/AVERAGE(終値!AA395:AT395),""))</f>
      </c>
      <c r="Y395" s="684">
        <f>IF(終値!A395="","",IFERROR(4*STDEVP(終値!AB395:AU395)/AVERAGE(終値!AB395:AU395),""))</f>
      </c>
      <c r="Z395" s="684">
        <f>IF(終値!A395="","",IFERROR(4*STDEVP(終値!AC395:AV395)/AVERAGE(終値!AC395:AV395),""))</f>
      </c>
      <c r="AA395" s="684">
        <f>IF(終値!A395="","",IFERROR(4*STDEVP(終値!AD395:AW395)/AVERAGE(終値!AD395:AW395),""))</f>
      </c>
      <c r="AB395" s="684">
        <f>IF(終値!A395="","",IFERROR(4*STDEVP(終値!AE395:AX395)/AVERAGE(終値!AE395:AX395),""))</f>
      </c>
      <c r="AC395" s="684">
        <f>IF(終値!A395="","",IFERROR(4*STDEVP(終値!AF395:AY395)/AVERAGE(終値!AF395:AY395),""))</f>
      </c>
      <c r="AD395" s="684">
        <f>IF(終値!A395="","",IFERROR(4*STDEVP(終値!AG395:AZ395)/AVERAGE(終値!AG395:AZ395),""))</f>
      </c>
      <c r="AE395" s="684">
        <f>IF(終値!A395="","",IFERROR(4*STDEVP(終値!AH395:BA395)/AVERAGE(終値!AH395:BA395),""))</f>
      </c>
      <c r="AF395" s="684">
        <f>IF(終値!A395="","",IFERROR(4*STDEVP(終値!AI395:BB395)/AVERAGE(終値!AI395:BB395),""))</f>
      </c>
      <c r="AG395" s="684">
        <f>IF(終値!A395="","",IFERROR(4*STDEVP(終値!AJ395:BC395)/AVERAGE(終値!AJ395:BC395),""))</f>
      </c>
      <c r="AH395" s="684">
        <f>IF(終値!A395="","",IFERROR(4*STDEVP(終値!AK395:BD395)/AVERAGE(終値!AK395:BD395),""))</f>
      </c>
      <c r="AI395" s="684">
        <f>IF(終値!A395="","",IFERROR(4*STDEVP(終値!AL395:BE395)/AVERAGE(終値!AL395:BE395),""))</f>
      </c>
      <c r="AJ395" s="684">
        <f>IF(終値!A395="","",IFERROR(4*STDEVP(終値!AM395:BF395)/AVERAGE(終値!AM395:BF395),""))</f>
      </c>
      <c r="AK395" s="684">
        <f>IF(終値!A395="","",IFERROR(4*STDEVP(終値!AN395:BG395)/AVERAGE(終値!AN395:BG395),""))</f>
      </c>
      <c r="AL395" s="684">
        <f>IF(終値!A395="","",IFERROR(4*STDEVP(終値!AO395:BH395)/AVERAGE(終値!AO395:BH395),""))</f>
      </c>
      <c r="AM395" s="684">
        <f>IF(終値!A395="","",IFERROR(4*STDEVP(終値!AP395:BI395)/AVERAGE(終値!AP395:BI395),""))</f>
      </c>
      <c r="AN395" s="684">
        <f>IF(終値!A395="","",IFERROR(4*STDEVP(終値!AQ395:BJ395)/AVERAGE(終値!AQ395:BJ395),""))</f>
      </c>
      <c r="AO395" s="684">
        <f>IF(終値!A395="","",IFERROR(4*STDEVP(終値!AR395:BK395)/AVERAGE(終値!AR395:BK395),""))</f>
      </c>
      <c r="AP395" s="684">
        <f>IF(終値!A395="","",IFERROR(4*STDEVP(終値!AS395:BL395)/AVERAGE(終値!AS395:BL395),""))</f>
      </c>
    </row>
    <row r="396">
      <c r="A396" s="681">
        <f>IF(終値!A396="","",終値!A396)</f>
      </c>
      <c r="B396" s="684">
        <f>IF(終値!A396="","",IFERROR(4*STDEVP(終値!E396:X396)/AVERAGE(終値!E396:X396),""))</f>
      </c>
      <c r="C396" s="684">
        <f>IF(終値!A396="","",IFERROR(4*STDEVP(終値!F396:Y396)/AVERAGE(終値!F396:Y396),""))</f>
      </c>
      <c r="D396" s="684">
        <f>IF(終値!A396="","",IFERROR(4*STDEVP(終値!G396:Z396)/AVERAGE(終値!G396:Z396),""))</f>
      </c>
      <c r="E396" s="684">
        <f>IF(終値!A396="","",IFERROR(4*STDEVP(終値!H396:AA396)/AVERAGE(終値!H396:AA396),""))</f>
      </c>
      <c r="F396" s="684">
        <f>IF(終値!A396="","",IFERROR(4*STDEVP(終値!I396:AB396)/AVERAGE(終値!I396:AB396),""))</f>
      </c>
      <c r="G396" s="684">
        <f>IF(終値!A396="","",IFERROR(4*STDEVP(終値!J396:AC396)/AVERAGE(終値!J396:AC396),""))</f>
      </c>
      <c r="H396" s="684">
        <f>IF(終値!A396="","",IFERROR(4*STDEVP(終値!K396:AD396)/AVERAGE(終値!K396:AD396),""))</f>
      </c>
      <c r="I396" s="684">
        <f>IF(終値!A396="","",IFERROR(4*STDEVP(終値!L396:AE396)/AVERAGE(終値!L396:AE396),""))</f>
      </c>
      <c r="J396" s="684">
        <f>IF(終値!A396="","",IFERROR(4*STDEVP(終値!M396:AF396)/AVERAGE(終値!M396:AF396),""))</f>
      </c>
      <c r="K396" s="684">
        <f>IF(終値!A396="","",IFERROR(4*STDEVP(終値!N396:AG396)/AVERAGE(終値!N396:AG396),""))</f>
      </c>
      <c r="L396" s="684">
        <f>IF(終値!A396="","",IFERROR(4*STDEVP(終値!O396:AH396)/AVERAGE(終値!O396:AH396),""))</f>
      </c>
      <c r="M396" s="684">
        <f>IF(終値!A396="","",IFERROR(4*STDEVP(終値!P396:AI396)/AVERAGE(終値!P396:AI396),""))</f>
      </c>
      <c r="N396" s="684">
        <f>IF(終値!A396="","",IFERROR(4*STDEVP(終値!Q396:AJ396)/AVERAGE(終値!Q396:AJ396),""))</f>
      </c>
      <c r="O396" s="684">
        <f>IF(終値!A396="","",IFERROR(4*STDEVP(終値!R396:AK396)/AVERAGE(終値!R396:AK396),""))</f>
      </c>
      <c r="P396" s="684">
        <f>IF(終値!A396="","",IFERROR(4*STDEVP(終値!S396:AL396)/AVERAGE(終値!S396:AL396),""))</f>
      </c>
      <c r="Q396" s="684">
        <f>IF(終値!A396="","",IFERROR(4*STDEVP(終値!T396:AM396)/AVERAGE(終値!T396:AM396),""))</f>
      </c>
      <c r="R396" s="684">
        <f>IF(終値!A396="","",IFERROR(4*STDEVP(終値!U396:AN396)/AVERAGE(終値!U396:AN396),""))</f>
      </c>
      <c r="S396" s="684">
        <f>IF(終値!A396="","",IFERROR(4*STDEVP(終値!V396:AO396)/AVERAGE(終値!V396:AO396),""))</f>
      </c>
      <c r="T396" s="684">
        <f>IF(終値!A396="","",IFERROR(4*STDEVP(終値!W396:AP396)/AVERAGE(終値!W396:AP396),""))</f>
      </c>
      <c r="U396" s="684">
        <f>IF(終値!A396="","",IFERROR(4*STDEVP(終値!X396:AQ396)/AVERAGE(終値!X396:AQ396),""))</f>
      </c>
      <c r="V396" s="684">
        <f>IF(終値!A396="","",IFERROR(4*STDEVP(終値!Y396:AR396)/AVERAGE(終値!Y396:AR396),""))</f>
      </c>
      <c r="W396" s="684">
        <f>IF(終値!A396="","",IFERROR(4*STDEVP(終値!Z396:AS396)/AVERAGE(終値!Z396:AS396),""))</f>
      </c>
      <c r="X396" s="684">
        <f>IF(終値!A396="","",IFERROR(4*STDEVP(終値!AA396:AT396)/AVERAGE(終値!AA396:AT396),""))</f>
      </c>
      <c r="Y396" s="684">
        <f>IF(終値!A396="","",IFERROR(4*STDEVP(終値!AB396:AU396)/AVERAGE(終値!AB396:AU396),""))</f>
      </c>
      <c r="Z396" s="684">
        <f>IF(終値!A396="","",IFERROR(4*STDEVP(終値!AC396:AV396)/AVERAGE(終値!AC396:AV396),""))</f>
      </c>
      <c r="AA396" s="684">
        <f>IF(終値!A396="","",IFERROR(4*STDEVP(終値!AD396:AW396)/AVERAGE(終値!AD396:AW396),""))</f>
      </c>
      <c r="AB396" s="684">
        <f>IF(終値!A396="","",IFERROR(4*STDEVP(終値!AE396:AX396)/AVERAGE(終値!AE396:AX396),""))</f>
      </c>
      <c r="AC396" s="684">
        <f>IF(終値!A396="","",IFERROR(4*STDEVP(終値!AF396:AY396)/AVERAGE(終値!AF396:AY396),""))</f>
      </c>
      <c r="AD396" s="684">
        <f>IF(終値!A396="","",IFERROR(4*STDEVP(終値!AG396:AZ396)/AVERAGE(終値!AG396:AZ396),""))</f>
      </c>
      <c r="AE396" s="684">
        <f>IF(終値!A396="","",IFERROR(4*STDEVP(終値!AH396:BA396)/AVERAGE(終値!AH396:BA396),""))</f>
      </c>
      <c r="AF396" s="684">
        <f>IF(終値!A396="","",IFERROR(4*STDEVP(終値!AI396:BB396)/AVERAGE(終値!AI396:BB396),""))</f>
      </c>
      <c r="AG396" s="684">
        <f>IF(終値!A396="","",IFERROR(4*STDEVP(終値!AJ396:BC396)/AVERAGE(終値!AJ396:BC396),""))</f>
      </c>
      <c r="AH396" s="684">
        <f>IF(終値!A396="","",IFERROR(4*STDEVP(終値!AK396:BD396)/AVERAGE(終値!AK396:BD396),""))</f>
      </c>
      <c r="AI396" s="684">
        <f>IF(終値!A396="","",IFERROR(4*STDEVP(終値!AL396:BE396)/AVERAGE(終値!AL396:BE396),""))</f>
      </c>
      <c r="AJ396" s="684">
        <f>IF(終値!A396="","",IFERROR(4*STDEVP(終値!AM396:BF396)/AVERAGE(終値!AM396:BF396),""))</f>
      </c>
      <c r="AK396" s="684">
        <f>IF(終値!A396="","",IFERROR(4*STDEVP(終値!AN396:BG396)/AVERAGE(終値!AN396:BG396),""))</f>
      </c>
      <c r="AL396" s="684">
        <f>IF(終値!A396="","",IFERROR(4*STDEVP(終値!AO396:BH396)/AVERAGE(終値!AO396:BH396),""))</f>
      </c>
      <c r="AM396" s="684">
        <f>IF(終値!A396="","",IFERROR(4*STDEVP(終値!AP396:BI396)/AVERAGE(終値!AP396:BI396),""))</f>
      </c>
      <c r="AN396" s="684">
        <f>IF(終値!A396="","",IFERROR(4*STDEVP(終値!AQ396:BJ396)/AVERAGE(終値!AQ396:BJ396),""))</f>
      </c>
      <c r="AO396" s="684">
        <f>IF(終値!A396="","",IFERROR(4*STDEVP(終値!AR396:BK396)/AVERAGE(終値!AR396:BK396),""))</f>
      </c>
      <c r="AP396" s="684">
        <f>IF(終値!A396="","",IFERROR(4*STDEVP(終値!AS396:BL396)/AVERAGE(終値!AS396:BL396),""))</f>
      </c>
    </row>
    <row r="397">
      <c r="A397" s="681">
        <f>IF(終値!A397="","",終値!A397)</f>
      </c>
      <c r="B397" s="684">
        <f>IF(終値!A397="","",IFERROR(4*STDEVP(終値!E397:X397)/AVERAGE(終値!E397:X397),""))</f>
      </c>
      <c r="C397" s="684">
        <f>IF(終値!A397="","",IFERROR(4*STDEVP(終値!F397:Y397)/AVERAGE(終値!F397:Y397),""))</f>
      </c>
      <c r="D397" s="684">
        <f>IF(終値!A397="","",IFERROR(4*STDEVP(終値!G397:Z397)/AVERAGE(終値!G397:Z397),""))</f>
      </c>
      <c r="E397" s="684">
        <f>IF(終値!A397="","",IFERROR(4*STDEVP(終値!H397:AA397)/AVERAGE(終値!H397:AA397),""))</f>
      </c>
      <c r="F397" s="684">
        <f>IF(終値!A397="","",IFERROR(4*STDEVP(終値!I397:AB397)/AVERAGE(終値!I397:AB397),""))</f>
      </c>
      <c r="G397" s="684">
        <f>IF(終値!A397="","",IFERROR(4*STDEVP(終値!J397:AC397)/AVERAGE(終値!J397:AC397),""))</f>
      </c>
      <c r="H397" s="684">
        <f>IF(終値!A397="","",IFERROR(4*STDEVP(終値!K397:AD397)/AVERAGE(終値!K397:AD397),""))</f>
      </c>
      <c r="I397" s="684">
        <f>IF(終値!A397="","",IFERROR(4*STDEVP(終値!L397:AE397)/AVERAGE(終値!L397:AE397),""))</f>
      </c>
      <c r="J397" s="684">
        <f>IF(終値!A397="","",IFERROR(4*STDEVP(終値!M397:AF397)/AVERAGE(終値!M397:AF397),""))</f>
      </c>
      <c r="K397" s="684">
        <f>IF(終値!A397="","",IFERROR(4*STDEVP(終値!N397:AG397)/AVERAGE(終値!N397:AG397),""))</f>
      </c>
      <c r="L397" s="684">
        <f>IF(終値!A397="","",IFERROR(4*STDEVP(終値!O397:AH397)/AVERAGE(終値!O397:AH397),""))</f>
      </c>
      <c r="M397" s="684">
        <f>IF(終値!A397="","",IFERROR(4*STDEVP(終値!P397:AI397)/AVERAGE(終値!P397:AI397),""))</f>
      </c>
      <c r="N397" s="684">
        <f>IF(終値!A397="","",IFERROR(4*STDEVP(終値!Q397:AJ397)/AVERAGE(終値!Q397:AJ397),""))</f>
      </c>
      <c r="O397" s="684">
        <f>IF(終値!A397="","",IFERROR(4*STDEVP(終値!R397:AK397)/AVERAGE(終値!R397:AK397),""))</f>
      </c>
      <c r="P397" s="684">
        <f>IF(終値!A397="","",IFERROR(4*STDEVP(終値!S397:AL397)/AVERAGE(終値!S397:AL397),""))</f>
      </c>
      <c r="Q397" s="684">
        <f>IF(終値!A397="","",IFERROR(4*STDEVP(終値!T397:AM397)/AVERAGE(終値!T397:AM397),""))</f>
      </c>
      <c r="R397" s="684">
        <f>IF(終値!A397="","",IFERROR(4*STDEVP(終値!U397:AN397)/AVERAGE(終値!U397:AN397),""))</f>
      </c>
      <c r="S397" s="684">
        <f>IF(終値!A397="","",IFERROR(4*STDEVP(終値!V397:AO397)/AVERAGE(終値!V397:AO397),""))</f>
      </c>
      <c r="T397" s="684">
        <f>IF(終値!A397="","",IFERROR(4*STDEVP(終値!W397:AP397)/AVERAGE(終値!W397:AP397),""))</f>
      </c>
      <c r="U397" s="684">
        <f>IF(終値!A397="","",IFERROR(4*STDEVP(終値!X397:AQ397)/AVERAGE(終値!X397:AQ397),""))</f>
      </c>
      <c r="V397" s="684">
        <f>IF(終値!A397="","",IFERROR(4*STDEVP(終値!Y397:AR397)/AVERAGE(終値!Y397:AR397),""))</f>
      </c>
      <c r="W397" s="684">
        <f>IF(終値!A397="","",IFERROR(4*STDEVP(終値!Z397:AS397)/AVERAGE(終値!Z397:AS397),""))</f>
      </c>
      <c r="X397" s="684">
        <f>IF(終値!A397="","",IFERROR(4*STDEVP(終値!AA397:AT397)/AVERAGE(終値!AA397:AT397),""))</f>
      </c>
      <c r="Y397" s="684">
        <f>IF(終値!A397="","",IFERROR(4*STDEVP(終値!AB397:AU397)/AVERAGE(終値!AB397:AU397),""))</f>
      </c>
      <c r="Z397" s="684">
        <f>IF(終値!A397="","",IFERROR(4*STDEVP(終値!AC397:AV397)/AVERAGE(終値!AC397:AV397),""))</f>
      </c>
      <c r="AA397" s="684">
        <f>IF(終値!A397="","",IFERROR(4*STDEVP(終値!AD397:AW397)/AVERAGE(終値!AD397:AW397),""))</f>
      </c>
      <c r="AB397" s="684">
        <f>IF(終値!A397="","",IFERROR(4*STDEVP(終値!AE397:AX397)/AVERAGE(終値!AE397:AX397),""))</f>
      </c>
      <c r="AC397" s="684">
        <f>IF(終値!A397="","",IFERROR(4*STDEVP(終値!AF397:AY397)/AVERAGE(終値!AF397:AY397),""))</f>
      </c>
      <c r="AD397" s="684">
        <f>IF(終値!A397="","",IFERROR(4*STDEVP(終値!AG397:AZ397)/AVERAGE(終値!AG397:AZ397),""))</f>
      </c>
      <c r="AE397" s="684">
        <f>IF(終値!A397="","",IFERROR(4*STDEVP(終値!AH397:BA397)/AVERAGE(終値!AH397:BA397),""))</f>
      </c>
      <c r="AF397" s="684">
        <f>IF(終値!A397="","",IFERROR(4*STDEVP(終値!AI397:BB397)/AVERAGE(終値!AI397:BB397),""))</f>
      </c>
      <c r="AG397" s="684">
        <f>IF(終値!A397="","",IFERROR(4*STDEVP(終値!AJ397:BC397)/AVERAGE(終値!AJ397:BC397),""))</f>
      </c>
      <c r="AH397" s="684">
        <f>IF(終値!A397="","",IFERROR(4*STDEVP(終値!AK397:BD397)/AVERAGE(終値!AK397:BD397),""))</f>
      </c>
      <c r="AI397" s="684">
        <f>IF(終値!A397="","",IFERROR(4*STDEVP(終値!AL397:BE397)/AVERAGE(終値!AL397:BE397),""))</f>
      </c>
      <c r="AJ397" s="684">
        <f>IF(終値!A397="","",IFERROR(4*STDEVP(終値!AM397:BF397)/AVERAGE(終値!AM397:BF397),""))</f>
      </c>
      <c r="AK397" s="684">
        <f>IF(終値!A397="","",IFERROR(4*STDEVP(終値!AN397:BG397)/AVERAGE(終値!AN397:BG397),""))</f>
      </c>
      <c r="AL397" s="684">
        <f>IF(終値!A397="","",IFERROR(4*STDEVP(終値!AO397:BH397)/AVERAGE(終値!AO397:BH397),""))</f>
      </c>
      <c r="AM397" s="684">
        <f>IF(終値!A397="","",IFERROR(4*STDEVP(終値!AP397:BI397)/AVERAGE(終値!AP397:BI397),""))</f>
      </c>
      <c r="AN397" s="684">
        <f>IF(終値!A397="","",IFERROR(4*STDEVP(終値!AQ397:BJ397)/AVERAGE(終値!AQ397:BJ397),""))</f>
      </c>
      <c r="AO397" s="684">
        <f>IF(終値!A397="","",IFERROR(4*STDEVP(終値!AR397:BK397)/AVERAGE(終値!AR397:BK397),""))</f>
      </c>
      <c r="AP397" s="684">
        <f>IF(終値!A397="","",IFERROR(4*STDEVP(終値!AS397:BL397)/AVERAGE(終値!AS397:BL397),""))</f>
      </c>
    </row>
    <row r="398">
      <c r="A398" s="681">
        <f>IF(終値!A398="","",終値!A398)</f>
      </c>
      <c r="B398" s="684">
        <f>IF(終値!A398="","",IFERROR(4*STDEVP(終値!E398:X398)/AVERAGE(終値!E398:X398),""))</f>
      </c>
      <c r="C398" s="684">
        <f>IF(終値!A398="","",IFERROR(4*STDEVP(終値!F398:Y398)/AVERAGE(終値!F398:Y398),""))</f>
      </c>
      <c r="D398" s="684">
        <f>IF(終値!A398="","",IFERROR(4*STDEVP(終値!G398:Z398)/AVERAGE(終値!G398:Z398),""))</f>
      </c>
      <c r="E398" s="684">
        <f>IF(終値!A398="","",IFERROR(4*STDEVP(終値!H398:AA398)/AVERAGE(終値!H398:AA398),""))</f>
      </c>
      <c r="F398" s="684">
        <f>IF(終値!A398="","",IFERROR(4*STDEVP(終値!I398:AB398)/AVERAGE(終値!I398:AB398),""))</f>
      </c>
      <c r="G398" s="684">
        <f>IF(終値!A398="","",IFERROR(4*STDEVP(終値!J398:AC398)/AVERAGE(終値!J398:AC398),""))</f>
      </c>
      <c r="H398" s="684">
        <f>IF(終値!A398="","",IFERROR(4*STDEVP(終値!K398:AD398)/AVERAGE(終値!K398:AD398),""))</f>
      </c>
      <c r="I398" s="684">
        <f>IF(終値!A398="","",IFERROR(4*STDEVP(終値!L398:AE398)/AVERAGE(終値!L398:AE398),""))</f>
      </c>
      <c r="J398" s="684">
        <f>IF(終値!A398="","",IFERROR(4*STDEVP(終値!M398:AF398)/AVERAGE(終値!M398:AF398),""))</f>
      </c>
      <c r="K398" s="684">
        <f>IF(終値!A398="","",IFERROR(4*STDEVP(終値!N398:AG398)/AVERAGE(終値!N398:AG398),""))</f>
      </c>
      <c r="L398" s="684">
        <f>IF(終値!A398="","",IFERROR(4*STDEVP(終値!O398:AH398)/AVERAGE(終値!O398:AH398),""))</f>
      </c>
      <c r="M398" s="684">
        <f>IF(終値!A398="","",IFERROR(4*STDEVP(終値!P398:AI398)/AVERAGE(終値!P398:AI398),""))</f>
      </c>
      <c r="N398" s="684">
        <f>IF(終値!A398="","",IFERROR(4*STDEVP(終値!Q398:AJ398)/AVERAGE(終値!Q398:AJ398),""))</f>
      </c>
      <c r="O398" s="684">
        <f>IF(終値!A398="","",IFERROR(4*STDEVP(終値!R398:AK398)/AVERAGE(終値!R398:AK398),""))</f>
      </c>
      <c r="P398" s="684">
        <f>IF(終値!A398="","",IFERROR(4*STDEVP(終値!S398:AL398)/AVERAGE(終値!S398:AL398),""))</f>
      </c>
      <c r="Q398" s="684">
        <f>IF(終値!A398="","",IFERROR(4*STDEVP(終値!T398:AM398)/AVERAGE(終値!T398:AM398),""))</f>
      </c>
      <c r="R398" s="684">
        <f>IF(終値!A398="","",IFERROR(4*STDEVP(終値!U398:AN398)/AVERAGE(終値!U398:AN398),""))</f>
      </c>
      <c r="S398" s="684">
        <f>IF(終値!A398="","",IFERROR(4*STDEVP(終値!V398:AO398)/AVERAGE(終値!V398:AO398),""))</f>
      </c>
      <c r="T398" s="684">
        <f>IF(終値!A398="","",IFERROR(4*STDEVP(終値!W398:AP398)/AVERAGE(終値!W398:AP398),""))</f>
      </c>
      <c r="U398" s="684">
        <f>IF(終値!A398="","",IFERROR(4*STDEVP(終値!X398:AQ398)/AVERAGE(終値!X398:AQ398),""))</f>
      </c>
      <c r="V398" s="684">
        <f>IF(終値!A398="","",IFERROR(4*STDEVP(終値!Y398:AR398)/AVERAGE(終値!Y398:AR398),""))</f>
      </c>
      <c r="W398" s="684">
        <f>IF(終値!A398="","",IFERROR(4*STDEVP(終値!Z398:AS398)/AVERAGE(終値!Z398:AS398),""))</f>
      </c>
      <c r="X398" s="684">
        <f>IF(終値!A398="","",IFERROR(4*STDEVP(終値!AA398:AT398)/AVERAGE(終値!AA398:AT398),""))</f>
      </c>
      <c r="Y398" s="684">
        <f>IF(終値!A398="","",IFERROR(4*STDEVP(終値!AB398:AU398)/AVERAGE(終値!AB398:AU398),""))</f>
      </c>
      <c r="Z398" s="684">
        <f>IF(終値!A398="","",IFERROR(4*STDEVP(終値!AC398:AV398)/AVERAGE(終値!AC398:AV398),""))</f>
      </c>
      <c r="AA398" s="684">
        <f>IF(終値!A398="","",IFERROR(4*STDEVP(終値!AD398:AW398)/AVERAGE(終値!AD398:AW398),""))</f>
      </c>
      <c r="AB398" s="684">
        <f>IF(終値!A398="","",IFERROR(4*STDEVP(終値!AE398:AX398)/AVERAGE(終値!AE398:AX398),""))</f>
      </c>
      <c r="AC398" s="684">
        <f>IF(終値!A398="","",IFERROR(4*STDEVP(終値!AF398:AY398)/AVERAGE(終値!AF398:AY398),""))</f>
      </c>
      <c r="AD398" s="684">
        <f>IF(終値!A398="","",IFERROR(4*STDEVP(終値!AG398:AZ398)/AVERAGE(終値!AG398:AZ398),""))</f>
      </c>
      <c r="AE398" s="684">
        <f>IF(終値!A398="","",IFERROR(4*STDEVP(終値!AH398:BA398)/AVERAGE(終値!AH398:BA398),""))</f>
      </c>
      <c r="AF398" s="684">
        <f>IF(終値!A398="","",IFERROR(4*STDEVP(終値!AI398:BB398)/AVERAGE(終値!AI398:BB398),""))</f>
      </c>
      <c r="AG398" s="684">
        <f>IF(終値!A398="","",IFERROR(4*STDEVP(終値!AJ398:BC398)/AVERAGE(終値!AJ398:BC398),""))</f>
      </c>
      <c r="AH398" s="684">
        <f>IF(終値!A398="","",IFERROR(4*STDEVP(終値!AK398:BD398)/AVERAGE(終値!AK398:BD398),""))</f>
      </c>
      <c r="AI398" s="684">
        <f>IF(終値!A398="","",IFERROR(4*STDEVP(終値!AL398:BE398)/AVERAGE(終値!AL398:BE398),""))</f>
      </c>
      <c r="AJ398" s="684">
        <f>IF(終値!A398="","",IFERROR(4*STDEVP(終値!AM398:BF398)/AVERAGE(終値!AM398:BF398),""))</f>
      </c>
      <c r="AK398" s="684">
        <f>IF(終値!A398="","",IFERROR(4*STDEVP(終値!AN398:BG398)/AVERAGE(終値!AN398:BG398),""))</f>
      </c>
      <c r="AL398" s="684">
        <f>IF(終値!A398="","",IFERROR(4*STDEVP(終値!AO398:BH398)/AVERAGE(終値!AO398:BH398),""))</f>
      </c>
      <c r="AM398" s="684">
        <f>IF(終値!A398="","",IFERROR(4*STDEVP(終値!AP398:BI398)/AVERAGE(終値!AP398:BI398),""))</f>
      </c>
      <c r="AN398" s="684">
        <f>IF(終値!A398="","",IFERROR(4*STDEVP(終値!AQ398:BJ398)/AVERAGE(終値!AQ398:BJ398),""))</f>
      </c>
      <c r="AO398" s="684">
        <f>IF(終値!A398="","",IFERROR(4*STDEVP(終値!AR398:BK398)/AVERAGE(終値!AR398:BK398),""))</f>
      </c>
      <c r="AP398" s="684">
        <f>IF(終値!A398="","",IFERROR(4*STDEVP(終値!AS398:BL398)/AVERAGE(終値!AS398:BL398),""))</f>
      </c>
    </row>
    <row r="399">
      <c r="A399" s="681">
        <f>IF(終値!A399="","",終値!A399)</f>
      </c>
      <c r="B399" s="684">
        <f>IF(終値!A399="","",IFERROR(4*STDEVP(終値!E399:X399)/AVERAGE(終値!E399:X399),""))</f>
      </c>
      <c r="C399" s="684">
        <f>IF(終値!A399="","",IFERROR(4*STDEVP(終値!F399:Y399)/AVERAGE(終値!F399:Y399),""))</f>
      </c>
      <c r="D399" s="684">
        <f>IF(終値!A399="","",IFERROR(4*STDEVP(終値!G399:Z399)/AVERAGE(終値!G399:Z399),""))</f>
      </c>
      <c r="E399" s="684">
        <f>IF(終値!A399="","",IFERROR(4*STDEVP(終値!H399:AA399)/AVERAGE(終値!H399:AA399),""))</f>
      </c>
      <c r="F399" s="684">
        <f>IF(終値!A399="","",IFERROR(4*STDEVP(終値!I399:AB399)/AVERAGE(終値!I399:AB399),""))</f>
      </c>
      <c r="G399" s="684">
        <f>IF(終値!A399="","",IFERROR(4*STDEVP(終値!J399:AC399)/AVERAGE(終値!J399:AC399),""))</f>
      </c>
      <c r="H399" s="684">
        <f>IF(終値!A399="","",IFERROR(4*STDEVP(終値!K399:AD399)/AVERAGE(終値!K399:AD399),""))</f>
      </c>
      <c r="I399" s="684">
        <f>IF(終値!A399="","",IFERROR(4*STDEVP(終値!L399:AE399)/AVERAGE(終値!L399:AE399),""))</f>
      </c>
      <c r="J399" s="684">
        <f>IF(終値!A399="","",IFERROR(4*STDEVP(終値!M399:AF399)/AVERAGE(終値!M399:AF399),""))</f>
      </c>
      <c r="K399" s="684">
        <f>IF(終値!A399="","",IFERROR(4*STDEVP(終値!N399:AG399)/AVERAGE(終値!N399:AG399),""))</f>
      </c>
      <c r="L399" s="684">
        <f>IF(終値!A399="","",IFERROR(4*STDEVP(終値!O399:AH399)/AVERAGE(終値!O399:AH399),""))</f>
      </c>
      <c r="M399" s="684">
        <f>IF(終値!A399="","",IFERROR(4*STDEVP(終値!P399:AI399)/AVERAGE(終値!P399:AI399),""))</f>
      </c>
      <c r="N399" s="684">
        <f>IF(終値!A399="","",IFERROR(4*STDEVP(終値!Q399:AJ399)/AVERAGE(終値!Q399:AJ399),""))</f>
      </c>
      <c r="O399" s="684">
        <f>IF(終値!A399="","",IFERROR(4*STDEVP(終値!R399:AK399)/AVERAGE(終値!R399:AK399),""))</f>
      </c>
      <c r="P399" s="684">
        <f>IF(終値!A399="","",IFERROR(4*STDEVP(終値!S399:AL399)/AVERAGE(終値!S399:AL399),""))</f>
      </c>
      <c r="Q399" s="684">
        <f>IF(終値!A399="","",IFERROR(4*STDEVP(終値!T399:AM399)/AVERAGE(終値!T399:AM399),""))</f>
      </c>
      <c r="R399" s="684">
        <f>IF(終値!A399="","",IFERROR(4*STDEVP(終値!U399:AN399)/AVERAGE(終値!U399:AN399),""))</f>
      </c>
      <c r="S399" s="684">
        <f>IF(終値!A399="","",IFERROR(4*STDEVP(終値!V399:AO399)/AVERAGE(終値!V399:AO399),""))</f>
      </c>
      <c r="T399" s="684">
        <f>IF(終値!A399="","",IFERROR(4*STDEVP(終値!W399:AP399)/AVERAGE(終値!W399:AP399),""))</f>
      </c>
      <c r="U399" s="684">
        <f>IF(終値!A399="","",IFERROR(4*STDEVP(終値!X399:AQ399)/AVERAGE(終値!X399:AQ399),""))</f>
      </c>
      <c r="V399" s="684">
        <f>IF(終値!A399="","",IFERROR(4*STDEVP(終値!Y399:AR399)/AVERAGE(終値!Y399:AR399),""))</f>
      </c>
      <c r="W399" s="684">
        <f>IF(終値!A399="","",IFERROR(4*STDEVP(終値!Z399:AS399)/AVERAGE(終値!Z399:AS399),""))</f>
      </c>
      <c r="X399" s="684">
        <f>IF(終値!A399="","",IFERROR(4*STDEVP(終値!AA399:AT399)/AVERAGE(終値!AA399:AT399),""))</f>
      </c>
      <c r="Y399" s="684">
        <f>IF(終値!A399="","",IFERROR(4*STDEVP(終値!AB399:AU399)/AVERAGE(終値!AB399:AU399),""))</f>
      </c>
      <c r="Z399" s="684">
        <f>IF(終値!A399="","",IFERROR(4*STDEVP(終値!AC399:AV399)/AVERAGE(終値!AC399:AV399),""))</f>
      </c>
      <c r="AA399" s="684">
        <f>IF(終値!A399="","",IFERROR(4*STDEVP(終値!AD399:AW399)/AVERAGE(終値!AD399:AW399),""))</f>
      </c>
      <c r="AB399" s="684">
        <f>IF(終値!A399="","",IFERROR(4*STDEVP(終値!AE399:AX399)/AVERAGE(終値!AE399:AX399),""))</f>
      </c>
      <c r="AC399" s="684">
        <f>IF(終値!A399="","",IFERROR(4*STDEVP(終値!AF399:AY399)/AVERAGE(終値!AF399:AY399),""))</f>
      </c>
      <c r="AD399" s="684">
        <f>IF(終値!A399="","",IFERROR(4*STDEVP(終値!AG399:AZ399)/AVERAGE(終値!AG399:AZ399),""))</f>
      </c>
      <c r="AE399" s="684">
        <f>IF(終値!A399="","",IFERROR(4*STDEVP(終値!AH399:BA399)/AVERAGE(終値!AH399:BA399),""))</f>
      </c>
      <c r="AF399" s="684">
        <f>IF(終値!A399="","",IFERROR(4*STDEVP(終値!AI399:BB399)/AVERAGE(終値!AI399:BB399),""))</f>
      </c>
      <c r="AG399" s="684">
        <f>IF(終値!A399="","",IFERROR(4*STDEVP(終値!AJ399:BC399)/AVERAGE(終値!AJ399:BC399),""))</f>
      </c>
      <c r="AH399" s="684">
        <f>IF(終値!A399="","",IFERROR(4*STDEVP(終値!AK399:BD399)/AVERAGE(終値!AK399:BD399),""))</f>
      </c>
      <c r="AI399" s="684">
        <f>IF(終値!A399="","",IFERROR(4*STDEVP(終値!AL399:BE399)/AVERAGE(終値!AL399:BE399),""))</f>
      </c>
      <c r="AJ399" s="684">
        <f>IF(終値!A399="","",IFERROR(4*STDEVP(終値!AM399:BF399)/AVERAGE(終値!AM399:BF399),""))</f>
      </c>
      <c r="AK399" s="684">
        <f>IF(終値!A399="","",IFERROR(4*STDEVP(終値!AN399:BG399)/AVERAGE(終値!AN399:BG399),""))</f>
      </c>
      <c r="AL399" s="684">
        <f>IF(終値!A399="","",IFERROR(4*STDEVP(終値!AO399:BH399)/AVERAGE(終値!AO399:BH399),""))</f>
      </c>
      <c r="AM399" s="684">
        <f>IF(終値!A399="","",IFERROR(4*STDEVP(終値!AP399:BI399)/AVERAGE(終値!AP399:BI399),""))</f>
      </c>
      <c r="AN399" s="684">
        <f>IF(終値!A399="","",IFERROR(4*STDEVP(終値!AQ399:BJ399)/AVERAGE(終値!AQ399:BJ399),""))</f>
      </c>
      <c r="AO399" s="684">
        <f>IF(終値!A399="","",IFERROR(4*STDEVP(終値!AR399:BK399)/AVERAGE(終値!AR399:BK399),""))</f>
      </c>
      <c r="AP399" s="684">
        <f>IF(終値!A399="","",IFERROR(4*STDEVP(終値!AS399:BL399)/AVERAGE(終値!AS399:BL399),""))</f>
      </c>
    </row>
    <row r="400">
      <c r="A400" s="681">
        <f>IF(終値!A400="","",終値!A400)</f>
      </c>
      <c r="B400" s="684">
        <f>IF(終値!A400="","",IFERROR(4*STDEVP(終値!E400:X400)/AVERAGE(終値!E400:X400),""))</f>
      </c>
      <c r="C400" s="684">
        <f>IF(終値!A400="","",IFERROR(4*STDEVP(終値!F400:Y400)/AVERAGE(終値!F400:Y400),""))</f>
      </c>
      <c r="D400" s="684">
        <f>IF(終値!A400="","",IFERROR(4*STDEVP(終値!G400:Z400)/AVERAGE(終値!G400:Z400),""))</f>
      </c>
      <c r="E400" s="684">
        <f>IF(終値!A400="","",IFERROR(4*STDEVP(終値!H400:AA400)/AVERAGE(終値!H400:AA400),""))</f>
      </c>
      <c r="F400" s="684">
        <f>IF(終値!A400="","",IFERROR(4*STDEVP(終値!I400:AB400)/AVERAGE(終値!I400:AB400),""))</f>
      </c>
      <c r="G400" s="684">
        <f>IF(終値!A400="","",IFERROR(4*STDEVP(終値!J400:AC400)/AVERAGE(終値!J400:AC400),""))</f>
      </c>
      <c r="H400" s="684">
        <f>IF(終値!A400="","",IFERROR(4*STDEVP(終値!K400:AD400)/AVERAGE(終値!K400:AD400),""))</f>
      </c>
      <c r="I400" s="684">
        <f>IF(終値!A400="","",IFERROR(4*STDEVP(終値!L400:AE400)/AVERAGE(終値!L400:AE400),""))</f>
      </c>
      <c r="J400" s="684">
        <f>IF(終値!A400="","",IFERROR(4*STDEVP(終値!M400:AF400)/AVERAGE(終値!M400:AF400),""))</f>
      </c>
      <c r="K400" s="684">
        <f>IF(終値!A400="","",IFERROR(4*STDEVP(終値!N400:AG400)/AVERAGE(終値!N400:AG400),""))</f>
      </c>
      <c r="L400" s="684">
        <f>IF(終値!A400="","",IFERROR(4*STDEVP(終値!O400:AH400)/AVERAGE(終値!O400:AH400),""))</f>
      </c>
      <c r="M400" s="684">
        <f>IF(終値!A400="","",IFERROR(4*STDEVP(終値!P400:AI400)/AVERAGE(終値!P400:AI400),""))</f>
      </c>
      <c r="N400" s="684">
        <f>IF(終値!A400="","",IFERROR(4*STDEVP(終値!Q400:AJ400)/AVERAGE(終値!Q400:AJ400),""))</f>
      </c>
      <c r="O400" s="684">
        <f>IF(終値!A400="","",IFERROR(4*STDEVP(終値!R400:AK400)/AVERAGE(終値!R400:AK400),""))</f>
      </c>
      <c r="P400" s="684">
        <f>IF(終値!A400="","",IFERROR(4*STDEVP(終値!S400:AL400)/AVERAGE(終値!S400:AL400),""))</f>
      </c>
      <c r="Q400" s="684">
        <f>IF(終値!A400="","",IFERROR(4*STDEVP(終値!T400:AM400)/AVERAGE(終値!T400:AM400),""))</f>
      </c>
      <c r="R400" s="684">
        <f>IF(終値!A400="","",IFERROR(4*STDEVP(終値!U400:AN400)/AVERAGE(終値!U400:AN400),""))</f>
      </c>
      <c r="S400" s="684">
        <f>IF(終値!A400="","",IFERROR(4*STDEVP(終値!V400:AO400)/AVERAGE(終値!V400:AO400),""))</f>
      </c>
      <c r="T400" s="684">
        <f>IF(終値!A400="","",IFERROR(4*STDEVP(終値!W400:AP400)/AVERAGE(終値!W400:AP400),""))</f>
      </c>
      <c r="U400" s="684">
        <f>IF(終値!A400="","",IFERROR(4*STDEVP(終値!X400:AQ400)/AVERAGE(終値!X400:AQ400),""))</f>
      </c>
      <c r="V400" s="684">
        <f>IF(終値!A400="","",IFERROR(4*STDEVP(終値!Y400:AR400)/AVERAGE(終値!Y400:AR400),""))</f>
      </c>
      <c r="W400" s="684">
        <f>IF(終値!A400="","",IFERROR(4*STDEVP(終値!Z400:AS400)/AVERAGE(終値!Z400:AS400),""))</f>
      </c>
      <c r="X400" s="684">
        <f>IF(終値!A400="","",IFERROR(4*STDEVP(終値!AA400:AT400)/AVERAGE(終値!AA400:AT400),""))</f>
      </c>
      <c r="Y400" s="684">
        <f>IF(終値!A400="","",IFERROR(4*STDEVP(終値!AB400:AU400)/AVERAGE(終値!AB400:AU400),""))</f>
      </c>
      <c r="Z400" s="684">
        <f>IF(終値!A400="","",IFERROR(4*STDEVP(終値!AC400:AV400)/AVERAGE(終値!AC400:AV400),""))</f>
      </c>
      <c r="AA400" s="684">
        <f>IF(終値!A400="","",IFERROR(4*STDEVP(終値!AD400:AW400)/AVERAGE(終値!AD400:AW400),""))</f>
      </c>
      <c r="AB400" s="684">
        <f>IF(終値!A400="","",IFERROR(4*STDEVP(終値!AE400:AX400)/AVERAGE(終値!AE400:AX400),""))</f>
      </c>
      <c r="AC400" s="684">
        <f>IF(終値!A400="","",IFERROR(4*STDEVP(終値!AF400:AY400)/AVERAGE(終値!AF400:AY400),""))</f>
      </c>
      <c r="AD400" s="684">
        <f>IF(終値!A400="","",IFERROR(4*STDEVP(終値!AG400:AZ400)/AVERAGE(終値!AG400:AZ400),""))</f>
      </c>
      <c r="AE400" s="684">
        <f>IF(終値!A400="","",IFERROR(4*STDEVP(終値!AH400:BA400)/AVERAGE(終値!AH400:BA400),""))</f>
      </c>
      <c r="AF400" s="684">
        <f>IF(終値!A400="","",IFERROR(4*STDEVP(終値!AI400:BB400)/AVERAGE(終値!AI400:BB400),""))</f>
      </c>
      <c r="AG400" s="684">
        <f>IF(終値!A400="","",IFERROR(4*STDEVP(終値!AJ400:BC400)/AVERAGE(終値!AJ400:BC400),""))</f>
      </c>
      <c r="AH400" s="684">
        <f>IF(終値!A400="","",IFERROR(4*STDEVP(終値!AK400:BD400)/AVERAGE(終値!AK400:BD400),""))</f>
      </c>
      <c r="AI400" s="684">
        <f>IF(終値!A400="","",IFERROR(4*STDEVP(終値!AL400:BE400)/AVERAGE(終値!AL400:BE400),""))</f>
      </c>
      <c r="AJ400" s="684">
        <f>IF(終値!A400="","",IFERROR(4*STDEVP(終値!AM400:BF400)/AVERAGE(終値!AM400:BF400),""))</f>
      </c>
      <c r="AK400" s="684">
        <f>IF(終値!A400="","",IFERROR(4*STDEVP(終値!AN400:BG400)/AVERAGE(終値!AN400:BG400),""))</f>
      </c>
      <c r="AL400" s="684">
        <f>IF(終値!A400="","",IFERROR(4*STDEVP(終値!AO400:BH400)/AVERAGE(終値!AO400:BH400),""))</f>
      </c>
      <c r="AM400" s="684">
        <f>IF(終値!A400="","",IFERROR(4*STDEVP(終値!AP400:BI400)/AVERAGE(終値!AP400:BI400),""))</f>
      </c>
      <c r="AN400" s="684">
        <f>IF(終値!A400="","",IFERROR(4*STDEVP(終値!AQ400:BJ400)/AVERAGE(終値!AQ400:BJ400),""))</f>
      </c>
      <c r="AO400" s="684">
        <f>IF(終値!A400="","",IFERROR(4*STDEVP(終値!AR400:BK400)/AVERAGE(終値!AR400:BK400),""))</f>
      </c>
      <c r="AP400" s="684">
        <f>IF(終値!A400="","",IFERROR(4*STDEVP(終値!AS400:BL400)/AVERAGE(終値!AS400:BL400),""))</f>
      </c>
    </row>
    <row r="401">
      <c r="A401" s="681">
        <f>IF(終値!A401="","",終値!A401)</f>
      </c>
      <c r="B401" s="684">
        <f>IF(終値!A401="","",IFERROR(4*STDEVP(終値!E401:X401)/AVERAGE(終値!E401:X401),""))</f>
      </c>
      <c r="C401" s="684">
        <f>IF(終値!A401="","",IFERROR(4*STDEVP(終値!F401:Y401)/AVERAGE(終値!F401:Y401),""))</f>
      </c>
      <c r="D401" s="684">
        <f>IF(終値!A401="","",IFERROR(4*STDEVP(終値!G401:Z401)/AVERAGE(終値!G401:Z401),""))</f>
      </c>
      <c r="E401" s="684">
        <f>IF(終値!A401="","",IFERROR(4*STDEVP(終値!H401:AA401)/AVERAGE(終値!H401:AA401),""))</f>
      </c>
      <c r="F401" s="684">
        <f>IF(終値!A401="","",IFERROR(4*STDEVP(終値!I401:AB401)/AVERAGE(終値!I401:AB401),""))</f>
      </c>
      <c r="G401" s="684">
        <f>IF(終値!A401="","",IFERROR(4*STDEVP(終値!J401:AC401)/AVERAGE(終値!J401:AC401),""))</f>
      </c>
      <c r="H401" s="684">
        <f>IF(終値!A401="","",IFERROR(4*STDEVP(終値!K401:AD401)/AVERAGE(終値!K401:AD401),""))</f>
      </c>
      <c r="I401" s="684">
        <f>IF(終値!A401="","",IFERROR(4*STDEVP(終値!L401:AE401)/AVERAGE(終値!L401:AE401),""))</f>
      </c>
      <c r="J401" s="684">
        <f>IF(終値!A401="","",IFERROR(4*STDEVP(終値!M401:AF401)/AVERAGE(終値!M401:AF401),""))</f>
      </c>
      <c r="K401" s="684">
        <f>IF(終値!A401="","",IFERROR(4*STDEVP(終値!N401:AG401)/AVERAGE(終値!N401:AG401),""))</f>
      </c>
      <c r="L401" s="684">
        <f>IF(終値!A401="","",IFERROR(4*STDEVP(終値!O401:AH401)/AVERAGE(終値!O401:AH401),""))</f>
      </c>
      <c r="M401" s="684">
        <f>IF(終値!A401="","",IFERROR(4*STDEVP(終値!P401:AI401)/AVERAGE(終値!P401:AI401),""))</f>
      </c>
      <c r="N401" s="684">
        <f>IF(終値!A401="","",IFERROR(4*STDEVP(終値!Q401:AJ401)/AVERAGE(終値!Q401:AJ401),""))</f>
      </c>
      <c r="O401" s="684">
        <f>IF(終値!A401="","",IFERROR(4*STDEVP(終値!R401:AK401)/AVERAGE(終値!R401:AK401),""))</f>
      </c>
      <c r="P401" s="684">
        <f>IF(終値!A401="","",IFERROR(4*STDEVP(終値!S401:AL401)/AVERAGE(終値!S401:AL401),""))</f>
      </c>
      <c r="Q401" s="684">
        <f>IF(終値!A401="","",IFERROR(4*STDEVP(終値!T401:AM401)/AVERAGE(終値!T401:AM401),""))</f>
      </c>
      <c r="R401" s="684">
        <f>IF(終値!A401="","",IFERROR(4*STDEVP(終値!U401:AN401)/AVERAGE(終値!U401:AN401),""))</f>
      </c>
      <c r="S401" s="684">
        <f>IF(終値!A401="","",IFERROR(4*STDEVP(終値!V401:AO401)/AVERAGE(終値!V401:AO401),""))</f>
      </c>
      <c r="T401" s="684">
        <f>IF(終値!A401="","",IFERROR(4*STDEVP(終値!W401:AP401)/AVERAGE(終値!W401:AP401),""))</f>
      </c>
      <c r="U401" s="684">
        <f>IF(終値!A401="","",IFERROR(4*STDEVP(終値!X401:AQ401)/AVERAGE(終値!X401:AQ401),""))</f>
      </c>
      <c r="V401" s="684">
        <f>IF(終値!A401="","",IFERROR(4*STDEVP(終値!Y401:AR401)/AVERAGE(終値!Y401:AR401),""))</f>
      </c>
      <c r="W401" s="684">
        <f>IF(終値!A401="","",IFERROR(4*STDEVP(終値!Z401:AS401)/AVERAGE(終値!Z401:AS401),""))</f>
      </c>
      <c r="X401" s="684">
        <f>IF(終値!A401="","",IFERROR(4*STDEVP(終値!AA401:AT401)/AVERAGE(終値!AA401:AT401),""))</f>
      </c>
      <c r="Y401" s="684">
        <f>IF(終値!A401="","",IFERROR(4*STDEVP(終値!AB401:AU401)/AVERAGE(終値!AB401:AU401),""))</f>
      </c>
      <c r="Z401" s="684">
        <f>IF(終値!A401="","",IFERROR(4*STDEVP(終値!AC401:AV401)/AVERAGE(終値!AC401:AV401),""))</f>
      </c>
      <c r="AA401" s="684">
        <f>IF(終値!A401="","",IFERROR(4*STDEVP(終値!AD401:AW401)/AVERAGE(終値!AD401:AW401),""))</f>
      </c>
      <c r="AB401" s="684">
        <f>IF(終値!A401="","",IFERROR(4*STDEVP(終値!AE401:AX401)/AVERAGE(終値!AE401:AX401),""))</f>
      </c>
      <c r="AC401" s="684">
        <f>IF(終値!A401="","",IFERROR(4*STDEVP(終値!AF401:AY401)/AVERAGE(終値!AF401:AY401),""))</f>
      </c>
      <c r="AD401" s="684">
        <f>IF(終値!A401="","",IFERROR(4*STDEVP(終値!AG401:AZ401)/AVERAGE(終値!AG401:AZ401),""))</f>
      </c>
      <c r="AE401" s="684">
        <f>IF(終値!A401="","",IFERROR(4*STDEVP(終値!AH401:BA401)/AVERAGE(終値!AH401:BA401),""))</f>
      </c>
      <c r="AF401" s="684">
        <f>IF(終値!A401="","",IFERROR(4*STDEVP(終値!AI401:BB401)/AVERAGE(終値!AI401:BB401),""))</f>
      </c>
      <c r="AG401" s="684">
        <f>IF(終値!A401="","",IFERROR(4*STDEVP(終値!AJ401:BC401)/AVERAGE(終値!AJ401:BC401),""))</f>
      </c>
      <c r="AH401" s="684">
        <f>IF(終値!A401="","",IFERROR(4*STDEVP(終値!AK401:BD401)/AVERAGE(終値!AK401:BD401),""))</f>
      </c>
      <c r="AI401" s="684">
        <f>IF(終値!A401="","",IFERROR(4*STDEVP(終値!AL401:BE401)/AVERAGE(終値!AL401:BE401),""))</f>
      </c>
      <c r="AJ401" s="684">
        <f>IF(終値!A401="","",IFERROR(4*STDEVP(終値!AM401:BF401)/AVERAGE(終値!AM401:BF401),""))</f>
      </c>
      <c r="AK401" s="684">
        <f>IF(終値!A401="","",IFERROR(4*STDEVP(終値!AN401:BG401)/AVERAGE(終値!AN401:BG401),""))</f>
      </c>
      <c r="AL401" s="684">
        <f>IF(終値!A401="","",IFERROR(4*STDEVP(終値!AO401:BH401)/AVERAGE(終値!AO401:BH401),""))</f>
      </c>
      <c r="AM401" s="684">
        <f>IF(終値!A401="","",IFERROR(4*STDEVP(終値!AP401:BI401)/AVERAGE(終値!AP401:BI401),""))</f>
      </c>
      <c r="AN401" s="684">
        <f>IF(終値!A401="","",IFERROR(4*STDEVP(終値!AQ401:BJ401)/AVERAGE(終値!AQ401:BJ401),""))</f>
      </c>
      <c r="AO401" s="684">
        <f>IF(終値!A401="","",IFERROR(4*STDEVP(終値!AR401:BK401)/AVERAGE(終値!AR401:BK401),""))</f>
      </c>
      <c r="AP401" s="684">
        <f>IF(終値!A401="","",IFERROR(4*STDEVP(終値!AS401:BL401)/AVERAGE(終値!AS401:BL401),""))</f>
      </c>
    </row>
    <row r="402">
      <c r="A402" s="681">
        <f>IF(終値!A402="","",終値!A402)</f>
      </c>
      <c r="B402" s="684">
        <f>IF(終値!A402="","",IFERROR(4*STDEVP(終値!E402:X402)/AVERAGE(終値!E402:X402),""))</f>
      </c>
      <c r="C402" s="684">
        <f>IF(終値!A402="","",IFERROR(4*STDEVP(終値!F402:Y402)/AVERAGE(終値!F402:Y402),""))</f>
      </c>
      <c r="D402" s="684">
        <f>IF(終値!A402="","",IFERROR(4*STDEVP(終値!G402:Z402)/AVERAGE(終値!G402:Z402),""))</f>
      </c>
      <c r="E402" s="684">
        <f>IF(終値!A402="","",IFERROR(4*STDEVP(終値!H402:AA402)/AVERAGE(終値!H402:AA402),""))</f>
      </c>
      <c r="F402" s="684">
        <f>IF(終値!A402="","",IFERROR(4*STDEVP(終値!I402:AB402)/AVERAGE(終値!I402:AB402),""))</f>
      </c>
      <c r="G402" s="684">
        <f>IF(終値!A402="","",IFERROR(4*STDEVP(終値!J402:AC402)/AVERAGE(終値!J402:AC402),""))</f>
      </c>
      <c r="H402" s="684">
        <f>IF(終値!A402="","",IFERROR(4*STDEVP(終値!K402:AD402)/AVERAGE(終値!K402:AD402),""))</f>
      </c>
      <c r="I402" s="684">
        <f>IF(終値!A402="","",IFERROR(4*STDEVP(終値!L402:AE402)/AVERAGE(終値!L402:AE402),""))</f>
      </c>
      <c r="J402" s="684">
        <f>IF(終値!A402="","",IFERROR(4*STDEVP(終値!M402:AF402)/AVERAGE(終値!M402:AF402),""))</f>
      </c>
      <c r="K402" s="684">
        <f>IF(終値!A402="","",IFERROR(4*STDEVP(終値!N402:AG402)/AVERAGE(終値!N402:AG402),""))</f>
      </c>
      <c r="L402" s="684">
        <f>IF(終値!A402="","",IFERROR(4*STDEVP(終値!O402:AH402)/AVERAGE(終値!O402:AH402),""))</f>
      </c>
      <c r="M402" s="684">
        <f>IF(終値!A402="","",IFERROR(4*STDEVP(終値!P402:AI402)/AVERAGE(終値!P402:AI402),""))</f>
      </c>
      <c r="N402" s="684">
        <f>IF(終値!A402="","",IFERROR(4*STDEVP(終値!Q402:AJ402)/AVERAGE(終値!Q402:AJ402),""))</f>
      </c>
      <c r="O402" s="684">
        <f>IF(終値!A402="","",IFERROR(4*STDEVP(終値!R402:AK402)/AVERAGE(終値!R402:AK402),""))</f>
      </c>
      <c r="P402" s="684">
        <f>IF(終値!A402="","",IFERROR(4*STDEVP(終値!S402:AL402)/AVERAGE(終値!S402:AL402),""))</f>
      </c>
      <c r="Q402" s="684">
        <f>IF(終値!A402="","",IFERROR(4*STDEVP(終値!T402:AM402)/AVERAGE(終値!T402:AM402),""))</f>
      </c>
      <c r="R402" s="684">
        <f>IF(終値!A402="","",IFERROR(4*STDEVP(終値!U402:AN402)/AVERAGE(終値!U402:AN402),""))</f>
      </c>
      <c r="S402" s="684">
        <f>IF(終値!A402="","",IFERROR(4*STDEVP(終値!V402:AO402)/AVERAGE(終値!V402:AO402),""))</f>
      </c>
      <c r="T402" s="684">
        <f>IF(終値!A402="","",IFERROR(4*STDEVP(終値!W402:AP402)/AVERAGE(終値!W402:AP402),""))</f>
      </c>
      <c r="U402" s="684">
        <f>IF(終値!A402="","",IFERROR(4*STDEVP(終値!X402:AQ402)/AVERAGE(終値!X402:AQ402),""))</f>
      </c>
      <c r="V402" s="684">
        <f>IF(終値!A402="","",IFERROR(4*STDEVP(終値!Y402:AR402)/AVERAGE(終値!Y402:AR402),""))</f>
      </c>
      <c r="W402" s="684">
        <f>IF(終値!A402="","",IFERROR(4*STDEVP(終値!Z402:AS402)/AVERAGE(終値!Z402:AS402),""))</f>
      </c>
      <c r="X402" s="684">
        <f>IF(終値!A402="","",IFERROR(4*STDEVP(終値!AA402:AT402)/AVERAGE(終値!AA402:AT402),""))</f>
      </c>
      <c r="Y402" s="684">
        <f>IF(終値!A402="","",IFERROR(4*STDEVP(終値!AB402:AU402)/AVERAGE(終値!AB402:AU402),""))</f>
      </c>
      <c r="Z402" s="684">
        <f>IF(終値!A402="","",IFERROR(4*STDEVP(終値!AC402:AV402)/AVERAGE(終値!AC402:AV402),""))</f>
      </c>
      <c r="AA402" s="684">
        <f>IF(終値!A402="","",IFERROR(4*STDEVP(終値!AD402:AW402)/AVERAGE(終値!AD402:AW402),""))</f>
      </c>
      <c r="AB402" s="684">
        <f>IF(終値!A402="","",IFERROR(4*STDEVP(終値!AE402:AX402)/AVERAGE(終値!AE402:AX402),""))</f>
      </c>
      <c r="AC402" s="684">
        <f>IF(終値!A402="","",IFERROR(4*STDEVP(終値!AF402:AY402)/AVERAGE(終値!AF402:AY402),""))</f>
      </c>
      <c r="AD402" s="684">
        <f>IF(終値!A402="","",IFERROR(4*STDEVP(終値!AG402:AZ402)/AVERAGE(終値!AG402:AZ402),""))</f>
      </c>
      <c r="AE402" s="684">
        <f>IF(終値!A402="","",IFERROR(4*STDEVP(終値!AH402:BA402)/AVERAGE(終値!AH402:BA402),""))</f>
      </c>
      <c r="AF402" s="684">
        <f>IF(終値!A402="","",IFERROR(4*STDEVP(終値!AI402:BB402)/AVERAGE(終値!AI402:BB402),""))</f>
      </c>
      <c r="AG402" s="684">
        <f>IF(終値!A402="","",IFERROR(4*STDEVP(終値!AJ402:BC402)/AVERAGE(終値!AJ402:BC402),""))</f>
      </c>
      <c r="AH402" s="684">
        <f>IF(終値!A402="","",IFERROR(4*STDEVP(終値!AK402:BD402)/AVERAGE(終値!AK402:BD402),""))</f>
      </c>
      <c r="AI402" s="684">
        <f>IF(終値!A402="","",IFERROR(4*STDEVP(終値!AL402:BE402)/AVERAGE(終値!AL402:BE402),""))</f>
      </c>
      <c r="AJ402" s="684">
        <f>IF(終値!A402="","",IFERROR(4*STDEVP(終値!AM402:BF402)/AVERAGE(終値!AM402:BF402),""))</f>
      </c>
      <c r="AK402" s="684">
        <f>IF(終値!A402="","",IFERROR(4*STDEVP(終値!AN402:BG402)/AVERAGE(終値!AN402:BG402),""))</f>
      </c>
      <c r="AL402" s="684">
        <f>IF(終値!A402="","",IFERROR(4*STDEVP(終値!AO402:BH402)/AVERAGE(終値!AO402:BH402),""))</f>
      </c>
      <c r="AM402" s="684">
        <f>IF(終値!A402="","",IFERROR(4*STDEVP(終値!AP402:BI402)/AVERAGE(終値!AP402:BI402),""))</f>
      </c>
      <c r="AN402" s="684">
        <f>IF(終値!A402="","",IFERROR(4*STDEVP(終値!AQ402:BJ402)/AVERAGE(終値!AQ402:BJ402),""))</f>
      </c>
      <c r="AO402" s="684">
        <f>IF(終値!A402="","",IFERROR(4*STDEVP(終値!AR402:BK402)/AVERAGE(終値!AR402:BK402),""))</f>
      </c>
      <c r="AP402" s="684">
        <f>IF(終値!A402="","",IFERROR(4*STDEVP(終値!AS402:BL402)/AVERAGE(終値!AS402:BL402),""))</f>
      </c>
    </row>
    <row r="403">
      <c r="A403" s="681">
        <f>IF(終値!A403="","",終値!A403)</f>
      </c>
      <c r="B403" s="684">
        <f>IF(終値!A403="","",IFERROR(4*STDEVP(終値!E403:X403)/AVERAGE(終値!E403:X403),""))</f>
      </c>
      <c r="C403" s="684">
        <f>IF(終値!A403="","",IFERROR(4*STDEVP(終値!F403:Y403)/AVERAGE(終値!F403:Y403),""))</f>
      </c>
      <c r="D403" s="684">
        <f>IF(終値!A403="","",IFERROR(4*STDEVP(終値!G403:Z403)/AVERAGE(終値!G403:Z403),""))</f>
      </c>
      <c r="E403" s="684">
        <f>IF(終値!A403="","",IFERROR(4*STDEVP(終値!H403:AA403)/AVERAGE(終値!H403:AA403),""))</f>
      </c>
      <c r="F403" s="684">
        <f>IF(終値!A403="","",IFERROR(4*STDEVP(終値!I403:AB403)/AVERAGE(終値!I403:AB403),""))</f>
      </c>
      <c r="G403" s="684">
        <f>IF(終値!A403="","",IFERROR(4*STDEVP(終値!J403:AC403)/AVERAGE(終値!J403:AC403),""))</f>
      </c>
      <c r="H403" s="684">
        <f>IF(終値!A403="","",IFERROR(4*STDEVP(終値!K403:AD403)/AVERAGE(終値!K403:AD403),""))</f>
      </c>
      <c r="I403" s="684">
        <f>IF(終値!A403="","",IFERROR(4*STDEVP(終値!L403:AE403)/AVERAGE(終値!L403:AE403),""))</f>
      </c>
      <c r="J403" s="684">
        <f>IF(終値!A403="","",IFERROR(4*STDEVP(終値!M403:AF403)/AVERAGE(終値!M403:AF403),""))</f>
      </c>
      <c r="K403" s="684">
        <f>IF(終値!A403="","",IFERROR(4*STDEVP(終値!N403:AG403)/AVERAGE(終値!N403:AG403),""))</f>
      </c>
      <c r="L403" s="684">
        <f>IF(終値!A403="","",IFERROR(4*STDEVP(終値!O403:AH403)/AVERAGE(終値!O403:AH403),""))</f>
      </c>
      <c r="M403" s="684">
        <f>IF(終値!A403="","",IFERROR(4*STDEVP(終値!P403:AI403)/AVERAGE(終値!P403:AI403),""))</f>
      </c>
      <c r="N403" s="684">
        <f>IF(終値!A403="","",IFERROR(4*STDEVP(終値!Q403:AJ403)/AVERAGE(終値!Q403:AJ403),""))</f>
      </c>
      <c r="O403" s="684">
        <f>IF(終値!A403="","",IFERROR(4*STDEVP(終値!R403:AK403)/AVERAGE(終値!R403:AK403),""))</f>
      </c>
      <c r="P403" s="684">
        <f>IF(終値!A403="","",IFERROR(4*STDEVP(終値!S403:AL403)/AVERAGE(終値!S403:AL403),""))</f>
      </c>
      <c r="Q403" s="684">
        <f>IF(終値!A403="","",IFERROR(4*STDEVP(終値!T403:AM403)/AVERAGE(終値!T403:AM403),""))</f>
      </c>
      <c r="R403" s="684">
        <f>IF(終値!A403="","",IFERROR(4*STDEVP(終値!U403:AN403)/AVERAGE(終値!U403:AN403),""))</f>
      </c>
      <c r="S403" s="684">
        <f>IF(終値!A403="","",IFERROR(4*STDEVP(終値!V403:AO403)/AVERAGE(終値!V403:AO403),""))</f>
      </c>
      <c r="T403" s="684">
        <f>IF(終値!A403="","",IFERROR(4*STDEVP(終値!W403:AP403)/AVERAGE(終値!W403:AP403),""))</f>
      </c>
      <c r="U403" s="684">
        <f>IF(終値!A403="","",IFERROR(4*STDEVP(終値!X403:AQ403)/AVERAGE(終値!X403:AQ403),""))</f>
      </c>
      <c r="V403" s="684">
        <f>IF(終値!A403="","",IFERROR(4*STDEVP(終値!Y403:AR403)/AVERAGE(終値!Y403:AR403),""))</f>
      </c>
      <c r="W403" s="684">
        <f>IF(終値!A403="","",IFERROR(4*STDEVP(終値!Z403:AS403)/AVERAGE(終値!Z403:AS403),""))</f>
      </c>
      <c r="X403" s="684">
        <f>IF(終値!A403="","",IFERROR(4*STDEVP(終値!AA403:AT403)/AVERAGE(終値!AA403:AT403),""))</f>
      </c>
      <c r="Y403" s="684">
        <f>IF(終値!A403="","",IFERROR(4*STDEVP(終値!AB403:AU403)/AVERAGE(終値!AB403:AU403),""))</f>
      </c>
      <c r="Z403" s="684">
        <f>IF(終値!A403="","",IFERROR(4*STDEVP(終値!AC403:AV403)/AVERAGE(終値!AC403:AV403),""))</f>
      </c>
      <c r="AA403" s="684">
        <f>IF(終値!A403="","",IFERROR(4*STDEVP(終値!AD403:AW403)/AVERAGE(終値!AD403:AW403),""))</f>
      </c>
      <c r="AB403" s="684">
        <f>IF(終値!A403="","",IFERROR(4*STDEVP(終値!AE403:AX403)/AVERAGE(終値!AE403:AX403),""))</f>
      </c>
      <c r="AC403" s="684">
        <f>IF(終値!A403="","",IFERROR(4*STDEVP(終値!AF403:AY403)/AVERAGE(終値!AF403:AY403),""))</f>
      </c>
      <c r="AD403" s="684">
        <f>IF(終値!A403="","",IFERROR(4*STDEVP(終値!AG403:AZ403)/AVERAGE(終値!AG403:AZ403),""))</f>
      </c>
      <c r="AE403" s="684">
        <f>IF(終値!A403="","",IFERROR(4*STDEVP(終値!AH403:BA403)/AVERAGE(終値!AH403:BA403),""))</f>
      </c>
      <c r="AF403" s="684">
        <f>IF(終値!A403="","",IFERROR(4*STDEVP(終値!AI403:BB403)/AVERAGE(終値!AI403:BB403),""))</f>
      </c>
      <c r="AG403" s="684">
        <f>IF(終値!A403="","",IFERROR(4*STDEVP(終値!AJ403:BC403)/AVERAGE(終値!AJ403:BC403),""))</f>
      </c>
      <c r="AH403" s="684">
        <f>IF(終値!A403="","",IFERROR(4*STDEVP(終値!AK403:BD403)/AVERAGE(終値!AK403:BD403),""))</f>
      </c>
      <c r="AI403" s="684">
        <f>IF(終値!A403="","",IFERROR(4*STDEVP(終値!AL403:BE403)/AVERAGE(終値!AL403:BE403),""))</f>
      </c>
      <c r="AJ403" s="684">
        <f>IF(終値!A403="","",IFERROR(4*STDEVP(終値!AM403:BF403)/AVERAGE(終値!AM403:BF403),""))</f>
      </c>
      <c r="AK403" s="684">
        <f>IF(終値!A403="","",IFERROR(4*STDEVP(終値!AN403:BG403)/AVERAGE(終値!AN403:BG403),""))</f>
      </c>
      <c r="AL403" s="684">
        <f>IF(終値!A403="","",IFERROR(4*STDEVP(終値!AO403:BH403)/AVERAGE(終値!AO403:BH403),""))</f>
      </c>
      <c r="AM403" s="684">
        <f>IF(終値!A403="","",IFERROR(4*STDEVP(終値!AP403:BI403)/AVERAGE(終値!AP403:BI403),""))</f>
      </c>
      <c r="AN403" s="684">
        <f>IF(終値!A403="","",IFERROR(4*STDEVP(終値!AQ403:BJ403)/AVERAGE(終値!AQ403:BJ403),""))</f>
      </c>
      <c r="AO403" s="684">
        <f>IF(終値!A403="","",IFERROR(4*STDEVP(終値!AR403:BK403)/AVERAGE(終値!AR403:BK403),""))</f>
      </c>
      <c r="AP403" s="684">
        <f>IF(終値!A403="","",IFERROR(4*STDEVP(終値!AS403:BL403)/AVERAGE(終値!AS403:BL403),""))</f>
      </c>
    </row>
    <row r="404">
      <c r="A404" s="681">
        <f>IF(終値!A404="","",終値!A404)</f>
      </c>
      <c r="B404" s="684">
        <f>IF(終値!A404="","",IFERROR(4*STDEVP(終値!E404:X404)/AVERAGE(終値!E404:X404),""))</f>
      </c>
      <c r="C404" s="684">
        <f>IF(終値!A404="","",IFERROR(4*STDEVP(終値!F404:Y404)/AVERAGE(終値!F404:Y404),""))</f>
      </c>
      <c r="D404" s="684">
        <f>IF(終値!A404="","",IFERROR(4*STDEVP(終値!G404:Z404)/AVERAGE(終値!G404:Z404),""))</f>
      </c>
      <c r="E404" s="684">
        <f>IF(終値!A404="","",IFERROR(4*STDEVP(終値!H404:AA404)/AVERAGE(終値!H404:AA404),""))</f>
      </c>
      <c r="F404" s="684">
        <f>IF(終値!A404="","",IFERROR(4*STDEVP(終値!I404:AB404)/AVERAGE(終値!I404:AB404),""))</f>
      </c>
      <c r="G404" s="684">
        <f>IF(終値!A404="","",IFERROR(4*STDEVP(終値!J404:AC404)/AVERAGE(終値!J404:AC404),""))</f>
      </c>
      <c r="H404" s="684">
        <f>IF(終値!A404="","",IFERROR(4*STDEVP(終値!K404:AD404)/AVERAGE(終値!K404:AD404),""))</f>
      </c>
      <c r="I404" s="684">
        <f>IF(終値!A404="","",IFERROR(4*STDEVP(終値!L404:AE404)/AVERAGE(終値!L404:AE404),""))</f>
      </c>
      <c r="J404" s="684">
        <f>IF(終値!A404="","",IFERROR(4*STDEVP(終値!M404:AF404)/AVERAGE(終値!M404:AF404),""))</f>
      </c>
      <c r="K404" s="684">
        <f>IF(終値!A404="","",IFERROR(4*STDEVP(終値!N404:AG404)/AVERAGE(終値!N404:AG404),""))</f>
      </c>
      <c r="L404" s="684">
        <f>IF(終値!A404="","",IFERROR(4*STDEVP(終値!O404:AH404)/AVERAGE(終値!O404:AH404),""))</f>
      </c>
      <c r="M404" s="684">
        <f>IF(終値!A404="","",IFERROR(4*STDEVP(終値!P404:AI404)/AVERAGE(終値!P404:AI404),""))</f>
      </c>
      <c r="N404" s="684">
        <f>IF(終値!A404="","",IFERROR(4*STDEVP(終値!Q404:AJ404)/AVERAGE(終値!Q404:AJ404),""))</f>
      </c>
      <c r="O404" s="684">
        <f>IF(終値!A404="","",IFERROR(4*STDEVP(終値!R404:AK404)/AVERAGE(終値!R404:AK404),""))</f>
      </c>
      <c r="P404" s="684">
        <f>IF(終値!A404="","",IFERROR(4*STDEVP(終値!S404:AL404)/AVERAGE(終値!S404:AL404),""))</f>
      </c>
      <c r="Q404" s="684">
        <f>IF(終値!A404="","",IFERROR(4*STDEVP(終値!T404:AM404)/AVERAGE(終値!T404:AM404),""))</f>
      </c>
      <c r="R404" s="684">
        <f>IF(終値!A404="","",IFERROR(4*STDEVP(終値!U404:AN404)/AVERAGE(終値!U404:AN404),""))</f>
      </c>
      <c r="S404" s="684">
        <f>IF(終値!A404="","",IFERROR(4*STDEVP(終値!V404:AO404)/AVERAGE(終値!V404:AO404),""))</f>
      </c>
      <c r="T404" s="684">
        <f>IF(終値!A404="","",IFERROR(4*STDEVP(終値!W404:AP404)/AVERAGE(終値!W404:AP404),""))</f>
      </c>
      <c r="U404" s="684">
        <f>IF(終値!A404="","",IFERROR(4*STDEVP(終値!X404:AQ404)/AVERAGE(終値!X404:AQ404),""))</f>
      </c>
      <c r="V404" s="684">
        <f>IF(終値!A404="","",IFERROR(4*STDEVP(終値!Y404:AR404)/AVERAGE(終値!Y404:AR404),""))</f>
      </c>
      <c r="W404" s="684">
        <f>IF(終値!A404="","",IFERROR(4*STDEVP(終値!Z404:AS404)/AVERAGE(終値!Z404:AS404),""))</f>
      </c>
      <c r="X404" s="684">
        <f>IF(終値!A404="","",IFERROR(4*STDEVP(終値!AA404:AT404)/AVERAGE(終値!AA404:AT404),""))</f>
      </c>
      <c r="Y404" s="684">
        <f>IF(終値!A404="","",IFERROR(4*STDEVP(終値!AB404:AU404)/AVERAGE(終値!AB404:AU404),""))</f>
      </c>
      <c r="Z404" s="684">
        <f>IF(終値!A404="","",IFERROR(4*STDEVP(終値!AC404:AV404)/AVERAGE(終値!AC404:AV404),""))</f>
      </c>
      <c r="AA404" s="684">
        <f>IF(終値!A404="","",IFERROR(4*STDEVP(終値!AD404:AW404)/AVERAGE(終値!AD404:AW404),""))</f>
      </c>
      <c r="AB404" s="684">
        <f>IF(終値!A404="","",IFERROR(4*STDEVP(終値!AE404:AX404)/AVERAGE(終値!AE404:AX404),""))</f>
      </c>
      <c r="AC404" s="684">
        <f>IF(終値!A404="","",IFERROR(4*STDEVP(終値!AF404:AY404)/AVERAGE(終値!AF404:AY404),""))</f>
      </c>
      <c r="AD404" s="684">
        <f>IF(終値!A404="","",IFERROR(4*STDEVP(終値!AG404:AZ404)/AVERAGE(終値!AG404:AZ404),""))</f>
      </c>
      <c r="AE404" s="684">
        <f>IF(終値!A404="","",IFERROR(4*STDEVP(終値!AH404:BA404)/AVERAGE(終値!AH404:BA404),""))</f>
      </c>
      <c r="AF404" s="684">
        <f>IF(終値!A404="","",IFERROR(4*STDEVP(終値!AI404:BB404)/AVERAGE(終値!AI404:BB404),""))</f>
      </c>
      <c r="AG404" s="684">
        <f>IF(終値!A404="","",IFERROR(4*STDEVP(終値!AJ404:BC404)/AVERAGE(終値!AJ404:BC404),""))</f>
      </c>
      <c r="AH404" s="684">
        <f>IF(終値!A404="","",IFERROR(4*STDEVP(終値!AK404:BD404)/AVERAGE(終値!AK404:BD404),""))</f>
      </c>
      <c r="AI404" s="684">
        <f>IF(終値!A404="","",IFERROR(4*STDEVP(終値!AL404:BE404)/AVERAGE(終値!AL404:BE404),""))</f>
      </c>
      <c r="AJ404" s="684">
        <f>IF(終値!A404="","",IFERROR(4*STDEVP(終値!AM404:BF404)/AVERAGE(終値!AM404:BF404),""))</f>
      </c>
      <c r="AK404" s="684">
        <f>IF(終値!A404="","",IFERROR(4*STDEVP(終値!AN404:BG404)/AVERAGE(終値!AN404:BG404),""))</f>
      </c>
      <c r="AL404" s="684">
        <f>IF(終値!A404="","",IFERROR(4*STDEVP(終値!AO404:BH404)/AVERAGE(終値!AO404:BH404),""))</f>
      </c>
      <c r="AM404" s="684">
        <f>IF(終値!A404="","",IFERROR(4*STDEVP(終値!AP404:BI404)/AVERAGE(終値!AP404:BI404),""))</f>
      </c>
      <c r="AN404" s="684">
        <f>IF(終値!A404="","",IFERROR(4*STDEVP(終値!AQ404:BJ404)/AVERAGE(終値!AQ404:BJ404),""))</f>
      </c>
      <c r="AO404" s="684">
        <f>IF(終値!A404="","",IFERROR(4*STDEVP(終値!AR404:BK404)/AVERAGE(終値!AR404:BK404),""))</f>
      </c>
      <c r="AP404" s="684">
        <f>IF(終値!A404="","",IFERROR(4*STDEVP(終値!AS404:BL404)/AVERAGE(終値!AS404:BL404),""))</f>
      </c>
    </row>
    <row r="405">
      <c r="A405" s="681">
        <f>IF(終値!A405="","",終値!A405)</f>
      </c>
      <c r="B405" s="684">
        <f>IF(終値!A405="","",IFERROR(4*STDEVP(終値!E405:X405)/AVERAGE(終値!E405:X405),""))</f>
      </c>
      <c r="C405" s="684">
        <f>IF(終値!A405="","",IFERROR(4*STDEVP(終値!F405:Y405)/AVERAGE(終値!F405:Y405),""))</f>
      </c>
      <c r="D405" s="684">
        <f>IF(終値!A405="","",IFERROR(4*STDEVP(終値!G405:Z405)/AVERAGE(終値!G405:Z405),""))</f>
      </c>
      <c r="E405" s="684">
        <f>IF(終値!A405="","",IFERROR(4*STDEVP(終値!H405:AA405)/AVERAGE(終値!H405:AA405),""))</f>
      </c>
      <c r="F405" s="684">
        <f>IF(終値!A405="","",IFERROR(4*STDEVP(終値!I405:AB405)/AVERAGE(終値!I405:AB405),""))</f>
      </c>
      <c r="G405" s="684">
        <f>IF(終値!A405="","",IFERROR(4*STDEVP(終値!J405:AC405)/AVERAGE(終値!J405:AC405),""))</f>
      </c>
      <c r="H405" s="684">
        <f>IF(終値!A405="","",IFERROR(4*STDEVP(終値!K405:AD405)/AVERAGE(終値!K405:AD405),""))</f>
      </c>
      <c r="I405" s="684">
        <f>IF(終値!A405="","",IFERROR(4*STDEVP(終値!L405:AE405)/AVERAGE(終値!L405:AE405),""))</f>
      </c>
      <c r="J405" s="684">
        <f>IF(終値!A405="","",IFERROR(4*STDEVP(終値!M405:AF405)/AVERAGE(終値!M405:AF405),""))</f>
      </c>
      <c r="K405" s="684">
        <f>IF(終値!A405="","",IFERROR(4*STDEVP(終値!N405:AG405)/AVERAGE(終値!N405:AG405),""))</f>
      </c>
      <c r="L405" s="684">
        <f>IF(終値!A405="","",IFERROR(4*STDEVP(終値!O405:AH405)/AVERAGE(終値!O405:AH405),""))</f>
      </c>
      <c r="M405" s="684">
        <f>IF(終値!A405="","",IFERROR(4*STDEVP(終値!P405:AI405)/AVERAGE(終値!P405:AI405),""))</f>
      </c>
      <c r="N405" s="684">
        <f>IF(終値!A405="","",IFERROR(4*STDEVP(終値!Q405:AJ405)/AVERAGE(終値!Q405:AJ405),""))</f>
      </c>
      <c r="O405" s="684">
        <f>IF(終値!A405="","",IFERROR(4*STDEVP(終値!R405:AK405)/AVERAGE(終値!R405:AK405),""))</f>
      </c>
      <c r="P405" s="684">
        <f>IF(終値!A405="","",IFERROR(4*STDEVP(終値!S405:AL405)/AVERAGE(終値!S405:AL405),""))</f>
      </c>
      <c r="Q405" s="684">
        <f>IF(終値!A405="","",IFERROR(4*STDEVP(終値!T405:AM405)/AVERAGE(終値!T405:AM405),""))</f>
      </c>
      <c r="R405" s="684">
        <f>IF(終値!A405="","",IFERROR(4*STDEVP(終値!U405:AN405)/AVERAGE(終値!U405:AN405),""))</f>
      </c>
      <c r="S405" s="684">
        <f>IF(終値!A405="","",IFERROR(4*STDEVP(終値!V405:AO405)/AVERAGE(終値!V405:AO405),""))</f>
      </c>
      <c r="T405" s="684">
        <f>IF(終値!A405="","",IFERROR(4*STDEVP(終値!W405:AP405)/AVERAGE(終値!W405:AP405),""))</f>
      </c>
      <c r="U405" s="684">
        <f>IF(終値!A405="","",IFERROR(4*STDEVP(終値!X405:AQ405)/AVERAGE(終値!X405:AQ405),""))</f>
      </c>
      <c r="V405" s="684">
        <f>IF(終値!A405="","",IFERROR(4*STDEVP(終値!Y405:AR405)/AVERAGE(終値!Y405:AR405),""))</f>
      </c>
      <c r="W405" s="684">
        <f>IF(終値!A405="","",IFERROR(4*STDEVP(終値!Z405:AS405)/AVERAGE(終値!Z405:AS405),""))</f>
      </c>
      <c r="X405" s="684">
        <f>IF(終値!A405="","",IFERROR(4*STDEVP(終値!AA405:AT405)/AVERAGE(終値!AA405:AT405),""))</f>
      </c>
      <c r="Y405" s="684">
        <f>IF(終値!A405="","",IFERROR(4*STDEVP(終値!AB405:AU405)/AVERAGE(終値!AB405:AU405),""))</f>
      </c>
      <c r="Z405" s="684">
        <f>IF(終値!A405="","",IFERROR(4*STDEVP(終値!AC405:AV405)/AVERAGE(終値!AC405:AV405),""))</f>
      </c>
      <c r="AA405" s="684">
        <f>IF(終値!A405="","",IFERROR(4*STDEVP(終値!AD405:AW405)/AVERAGE(終値!AD405:AW405),""))</f>
      </c>
      <c r="AB405" s="684">
        <f>IF(終値!A405="","",IFERROR(4*STDEVP(終値!AE405:AX405)/AVERAGE(終値!AE405:AX405),""))</f>
      </c>
      <c r="AC405" s="684">
        <f>IF(終値!A405="","",IFERROR(4*STDEVP(終値!AF405:AY405)/AVERAGE(終値!AF405:AY405),""))</f>
      </c>
      <c r="AD405" s="684">
        <f>IF(終値!A405="","",IFERROR(4*STDEVP(終値!AG405:AZ405)/AVERAGE(終値!AG405:AZ405),""))</f>
      </c>
      <c r="AE405" s="684">
        <f>IF(終値!A405="","",IFERROR(4*STDEVP(終値!AH405:BA405)/AVERAGE(終値!AH405:BA405),""))</f>
      </c>
      <c r="AF405" s="684">
        <f>IF(終値!A405="","",IFERROR(4*STDEVP(終値!AI405:BB405)/AVERAGE(終値!AI405:BB405),""))</f>
      </c>
      <c r="AG405" s="684">
        <f>IF(終値!A405="","",IFERROR(4*STDEVP(終値!AJ405:BC405)/AVERAGE(終値!AJ405:BC405),""))</f>
      </c>
      <c r="AH405" s="684">
        <f>IF(終値!A405="","",IFERROR(4*STDEVP(終値!AK405:BD405)/AVERAGE(終値!AK405:BD405),""))</f>
      </c>
      <c r="AI405" s="684">
        <f>IF(終値!A405="","",IFERROR(4*STDEVP(終値!AL405:BE405)/AVERAGE(終値!AL405:BE405),""))</f>
      </c>
      <c r="AJ405" s="684">
        <f>IF(終値!A405="","",IFERROR(4*STDEVP(終値!AM405:BF405)/AVERAGE(終値!AM405:BF405),""))</f>
      </c>
      <c r="AK405" s="684">
        <f>IF(終値!A405="","",IFERROR(4*STDEVP(終値!AN405:BG405)/AVERAGE(終値!AN405:BG405),""))</f>
      </c>
      <c r="AL405" s="684">
        <f>IF(終値!A405="","",IFERROR(4*STDEVP(終値!AO405:BH405)/AVERAGE(終値!AO405:BH405),""))</f>
      </c>
      <c r="AM405" s="684">
        <f>IF(終値!A405="","",IFERROR(4*STDEVP(終値!AP405:BI405)/AVERAGE(終値!AP405:BI405),""))</f>
      </c>
      <c r="AN405" s="684">
        <f>IF(終値!A405="","",IFERROR(4*STDEVP(終値!AQ405:BJ405)/AVERAGE(終値!AQ405:BJ405),""))</f>
      </c>
      <c r="AO405" s="684">
        <f>IF(終値!A405="","",IFERROR(4*STDEVP(終値!AR405:BK405)/AVERAGE(終値!AR405:BK405),""))</f>
      </c>
      <c r="AP405" s="684">
        <f>IF(終値!A405="","",IFERROR(4*STDEVP(終値!AS405:BL405)/AVERAGE(終値!AS405:BL405),""))</f>
      </c>
    </row>
  </sheetData>
  <mergeCells count="1">
    <mergeCell ref="A1:H1"/>
  </mergeCells>
  <pageMargins left="0.4" right="0.4" top="0.4" bottom="0.4" header="0.2" footer="0.2"/>
</worksheet>
</file>

<file path=xl/worksheets/sheet26.xml><?xml version="1.0" encoding="utf-8"?>
<worksheet xmlns="http://schemas.openxmlformats.org/spreadsheetml/2006/main" xmlns:r="http://schemas.openxmlformats.org/officeDocument/2006/relationships">
  <dimension ref="A1:BT405"/>
  <sheetViews>
    <sheetView showGridLines="0" workbookViewId="0"/>
  </sheetViews>
  <sheetFormatPr defaultRowHeight="15"/>
  <cols>
    <col min="1" max="1" width="7.0" customWidth="1"/>
    <col min="2" max="72" width="5.0" customWidth="1"/>
  </cols>
  <sheetData>
    <row r="1">
      <c r="A1" s="679" t="inlineStr">
        <is>
          <t xml:space="preserve">スイング(ピボット)検出ヘルパー：フラクタル2本。二番底/天井を厳密判定（自動計算・触らない）</t>
        </is>
      </c>
    </row>
    <row r="3">
      <c r="A3" s="679" t="inlineStr">
        <is>
          <t xml:space="preserve">安値フラクタル→offset</t>
        </is>
      </c>
      <c r="AC3" s="679" t="inlineStr">
        <is>
          <t xml:space="preserve">高値フラクタル→offset</t>
        </is>
      </c>
    </row>
    <row r="6">
      <c r="B6" s="684">
        <f>IF(終値!A6="","",IF(AND(安値!G6&lt;安値!F6,安値!G6&lt;安値!E6,安値!G6&lt;安値!H6,安値!G6&lt;安値!I6),2,""))</f>
      </c>
      <c r="C6" s="684">
        <f>IF(終値!A6="","",IF(AND(安値!H6&lt;安値!G6,安値!H6&lt;安値!F6,安値!H6&lt;安値!I6,安値!H6&lt;安値!J6),3,""))</f>
      </c>
      <c r="D6" s="684">
        <f>IF(終値!A6="","",IF(AND(安値!I6&lt;安値!H6,安値!I6&lt;安値!G6,安値!I6&lt;安値!J6,安値!I6&lt;安値!K6),4,""))</f>
      </c>
      <c r="E6" s="684">
        <f>IF(終値!A6="","",IF(AND(安値!J6&lt;安値!I6,安値!J6&lt;安値!H6,安値!J6&lt;安値!K6,安値!J6&lt;安値!L6),5,""))</f>
      </c>
      <c r="F6" s="684">
        <f>IF(終値!A6="","",IF(AND(安値!K6&lt;安値!J6,安値!K6&lt;安値!I6,安値!K6&lt;安値!L6,安値!K6&lt;安値!M6),6,""))</f>
      </c>
      <c r="G6" s="684">
        <f>IF(終値!A6="","",IF(AND(安値!L6&lt;安値!K6,安値!L6&lt;安値!J6,安値!L6&lt;安値!M6,安値!L6&lt;安値!N6),7,""))</f>
      </c>
      <c r="H6" s="684">
        <f>IF(終値!A6="","",IF(AND(安値!M6&lt;安値!L6,安値!M6&lt;安値!K6,安値!M6&lt;安値!N6,安値!M6&lt;安値!O6),8,""))</f>
      </c>
      <c r="I6" s="684">
        <f>IF(終値!A6="","",IF(AND(安値!N6&lt;安値!M6,安値!N6&lt;安値!L6,安値!N6&lt;安値!O6,安値!N6&lt;安値!P6),9,""))</f>
      </c>
      <c r="J6" s="684">
        <f>IF(終値!A6="","",IF(AND(安値!O6&lt;安値!N6,安値!O6&lt;安値!M6,安値!O6&lt;安値!P6,安値!O6&lt;安値!Q6),10,""))</f>
      </c>
      <c r="K6" s="684">
        <f>IF(終値!A6="","",IF(AND(安値!P6&lt;安値!O6,安値!P6&lt;安値!N6,安値!P6&lt;安値!Q6,安値!P6&lt;安値!R6),11,""))</f>
      </c>
      <c r="L6" s="684">
        <f>IF(終値!A6="","",IF(AND(安値!Q6&lt;安値!P6,安値!Q6&lt;安値!O6,安値!Q6&lt;安値!R6,安値!Q6&lt;安値!S6),12,""))</f>
      </c>
      <c r="M6" s="684">
        <f>IF(終値!A6="","",IF(AND(安値!R6&lt;安値!Q6,安値!R6&lt;安値!P6,安値!R6&lt;安値!S6,安値!R6&lt;安値!T6),13,""))</f>
      </c>
      <c r="N6" s="684">
        <f>IF(終値!A6="","",IF(AND(安値!S6&lt;安値!R6,安値!S6&lt;安値!Q6,安値!S6&lt;安値!T6,安値!S6&lt;安値!U6),14,""))</f>
      </c>
      <c r="O6" s="684">
        <f>IF(終値!A6="","",IF(AND(安値!T6&lt;安値!S6,安値!T6&lt;安値!R6,安値!T6&lt;安値!U6,安値!T6&lt;安値!V6),15,""))</f>
      </c>
      <c r="P6" s="684">
        <f>IF(終値!A6="","",IF(AND(安値!U6&lt;安値!T6,安値!U6&lt;安値!S6,安値!U6&lt;安値!V6,安値!U6&lt;安値!W6),16,""))</f>
      </c>
      <c r="Q6" s="684">
        <f>IF(終値!A6="","",IF(AND(安値!V6&lt;安値!U6,安値!V6&lt;安値!T6,安値!V6&lt;安値!W6,安値!V6&lt;安値!X6),17,""))</f>
      </c>
      <c r="R6" s="684">
        <f>IF(終値!A6="","",IF(AND(安値!W6&lt;安値!V6,安値!W6&lt;安値!U6,安値!W6&lt;安値!X6,安値!W6&lt;安値!Y6),18,""))</f>
      </c>
      <c r="S6" s="684">
        <f>IF(終値!A6="","",IF(AND(安値!X6&lt;安値!W6,安値!X6&lt;安値!V6,安値!X6&lt;安値!Y6,安値!X6&lt;安値!Z6),19,""))</f>
      </c>
      <c r="T6" s="684">
        <f>IF(終値!A6="","",IF(AND(安値!Y6&lt;安値!X6,安値!Y6&lt;安値!W6,安値!Y6&lt;安値!Z6,安値!Y6&lt;安値!AA6),20,""))</f>
      </c>
      <c r="U6" s="684">
        <f>IF(終値!A6="","",IF(AND(安値!Z6&lt;安値!Y6,安値!Z6&lt;安値!X6,安値!Z6&lt;安値!AA6,安値!Z6&lt;安値!AB6),21,""))</f>
      </c>
      <c r="V6" s="684">
        <f>IF(終値!A6="","",IF(AND(安値!AA6&lt;安値!Z6,安値!AA6&lt;安値!Y6,安値!AA6&lt;安値!AB6,安値!AA6&lt;安値!AC6),22,""))</f>
      </c>
      <c r="W6" s="684">
        <f>IF(終値!A6="","",IF(AND(安値!AB6&lt;安値!AA6,安値!AB6&lt;安値!Z6,安値!AB6&lt;安値!AC6,安値!AB6&lt;安値!AD6),23,""))</f>
      </c>
      <c r="X6" s="684">
        <f>IF(終値!A6="","",IF(AND(安値!AC6&lt;安値!AB6,安値!AC6&lt;安値!AA6,安値!AC6&lt;安値!AD6,安値!AC6&lt;安値!AE6),24,""))</f>
      </c>
      <c r="Y6" s="684">
        <f>IF(終値!A6="","",IF(AND(安値!AD6&lt;安値!AC6,安値!AD6&lt;安値!AB6,安値!AD6&lt;安値!AE6,安値!AD6&lt;安値!AF6),25,""))</f>
      </c>
      <c r="Z6" s="684">
        <f>IF(終値!A6="","",IF(AND(安値!AE6&lt;安値!AD6,安値!AE6&lt;安値!AC6,安値!AE6&lt;安値!AF6,安値!AE6&lt;安値!AG6),26,""))</f>
      </c>
      <c r="AA6" s="684">
        <f>IF(終値!A6="","",IF(AND(安値!AF6&lt;安値!AE6,安値!AF6&lt;安値!AD6,安値!AF6&lt;安値!AG6,安値!AF6&lt;安値!AH6),27,""))</f>
      </c>
      <c r="AB6" s="684">
        <f>IF(終値!A6="","",IF(AND(安値!AG6&lt;安値!AF6,安値!AG6&lt;安値!AE6,安値!AG6&lt;安値!AH6,安値!AG6&lt;安値!AI6),28,""))</f>
      </c>
      <c r="AC6" s="684">
        <f>IF(終値!A6="","",IF(AND(高値!G6&gt;高値!F6,高値!G6&gt;高値!E6,高値!G6&gt;高値!H6,高値!G6&gt;高値!I6),2,""))</f>
      </c>
      <c r="AD6" s="684">
        <f>IF(終値!A6="","",IF(AND(高値!H6&gt;高値!G6,高値!H6&gt;高値!F6,高値!H6&gt;高値!I6,高値!H6&gt;高値!J6),3,""))</f>
      </c>
      <c r="AE6" s="684">
        <f>IF(終値!A6="","",IF(AND(高値!I6&gt;高値!H6,高値!I6&gt;高値!G6,高値!I6&gt;高値!J6,高値!I6&gt;高値!K6),4,""))</f>
      </c>
      <c r="AF6" s="684">
        <f>IF(終値!A6="","",IF(AND(高値!J6&gt;高値!I6,高値!J6&gt;高値!H6,高値!J6&gt;高値!K6,高値!J6&gt;高値!L6),5,""))</f>
      </c>
      <c r="AG6" s="684">
        <f>IF(終値!A6="","",IF(AND(高値!K6&gt;高値!J6,高値!K6&gt;高値!I6,高値!K6&gt;高値!L6,高値!K6&gt;高値!M6),6,""))</f>
      </c>
      <c r="AH6" s="684">
        <f>IF(終値!A6="","",IF(AND(高値!L6&gt;高値!K6,高値!L6&gt;高値!J6,高値!L6&gt;高値!M6,高値!L6&gt;高値!N6),7,""))</f>
      </c>
      <c r="AI6" s="684">
        <f>IF(終値!A6="","",IF(AND(高値!M6&gt;高値!L6,高値!M6&gt;高値!K6,高値!M6&gt;高値!N6,高値!M6&gt;高値!O6),8,""))</f>
      </c>
      <c r="AJ6" s="684">
        <f>IF(終値!A6="","",IF(AND(高値!N6&gt;高値!M6,高値!N6&gt;高値!L6,高値!N6&gt;高値!O6,高値!N6&gt;高値!P6),9,""))</f>
      </c>
      <c r="AK6" s="684">
        <f>IF(終値!A6="","",IF(AND(高値!O6&gt;高値!N6,高値!O6&gt;高値!M6,高値!O6&gt;高値!P6,高値!O6&gt;高値!Q6),10,""))</f>
      </c>
      <c r="AL6" s="684">
        <f>IF(終値!A6="","",IF(AND(高値!P6&gt;高値!O6,高値!P6&gt;高値!N6,高値!P6&gt;高値!Q6,高値!P6&gt;高値!R6),11,""))</f>
      </c>
      <c r="AM6" s="684">
        <f>IF(終値!A6="","",IF(AND(高値!Q6&gt;高値!P6,高値!Q6&gt;高値!O6,高値!Q6&gt;高値!R6,高値!Q6&gt;高値!S6),12,""))</f>
      </c>
      <c r="AN6" s="684">
        <f>IF(終値!A6="","",IF(AND(高値!R6&gt;高値!Q6,高値!R6&gt;高値!P6,高値!R6&gt;高値!S6,高値!R6&gt;高値!T6),13,""))</f>
      </c>
      <c r="AO6" s="684">
        <f>IF(終値!A6="","",IF(AND(高値!S6&gt;高値!R6,高値!S6&gt;高値!Q6,高値!S6&gt;高値!T6,高値!S6&gt;高値!U6),14,""))</f>
      </c>
      <c r="AP6" s="684">
        <f>IF(終値!A6="","",IF(AND(高値!T6&gt;高値!S6,高値!T6&gt;高値!R6,高値!T6&gt;高値!U6,高値!T6&gt;高値!V6),15,""))</f>
      </c>
      <c r="AQ6" s="684">
        <f>IF(終値!A6="","",IF(AND(高値!U6&gt;高値!T6,高値!U6&gt;高値!S6,高値!U6&gt;高値!V6,高値!U6&gt;高値!W6),16,""))</f>
      </c>
      <c r="AR6" s="684">
        <f>IF(終値!A6="","",IF(AND(高値!V6&gt;高値!U6,高値!V6&gt;高値!T6,高値!V6&gt;高値!W6,高値!V6&gt;高値!X6),17,""))</f>
      </c>
      <c r="AS6" s="684">
        <f>IF(終値!A6="","",IF(AND(高値!W6&gt;高値!V6,高値!W6&gt;高値!U6,高値!W6&gt;高値!X6,高値!W6&gt;高値!Y6),18,""))</f>
      </c>
      <c r="AT6" s="684">
        <f>IF(終値!A6="","",IF(AND(高値!X6&gt;高値!W6,高値!X6&gt;高値!V6,高値!X6&gt;高値!Y6,高値!X6&gt;高値!Z6),19,""))</f>
      </c>
      <c r="AU6" s="684">
        <f>IF(終値!A6="","",IF(AND(高値!Y6&gt;高値!X6,高値!Y6&gt;高値!W6,高値!Y6&gt;高値!Z6,高値!Y6&gt;高値!AA6),20,""))</f>
      </c>
      <c r="AV6" s="684">
        <f>IF(終値!A6="","",IF(AND(高値!Z6&gt;高値!Y6,高値!Z6&gt;高値!X6,高値!Z6&gt;高値!AA6,高値!Z6&gt;高値!AB6),21,""))</f>
      </c>
      <c r="AW6" s="684">
        <f>IF(終値!A6="","",IF(AND(高値!AA6&gt;高値!Z6,高値!AA6&gt;高値!Y6,高値!AA6&gt;高値!AB6,高値!AA6&gt;高値!AC6),22,""))</f>
      </c>
      <c r="AX6" s="684">
        <f>IF(終値!A6="","",IF(AND(高値!AB6&gt;高値!AA6,高値!AB6&gt;高値!Z6,高値!AB6&gt;高値!AC6,高値!AB6&gt;高値!AD6),23,""))</f>
      </c>
      <c r="AY6" s="684">
        <f>IF(終値!A6="","",IF(AND(高値!AC6&gt;高値!AB6,高値!AC6&gt;高値!AA6,高値!AC6&gt;高値!AD6,高値!AC6&gt;高値!AE6),24,""))</f>
      </c>
      <c r="AZ6" s="684">
        <f>IF(終値!A6="","",IF(AND(高値!AD6&gt;高値!AC6,高値!AD6&gt;高値!AB6,高値!AD6&gt;高値!AE6,高値!AD6&gt;高値!AF6),25,""))</f>
      </c>
      <c r="BA6" s="684">
        <f>IF(終値!A6="","",IF(AND(高値!AE6&gt;高値!AD6,高値!AE6&gt;高値!AC6,高値!AE6&gt;高値!AF6,高値!AE6&gt;高値!AG6),26,""))</f>
      </c>
      <c r="BB6" s="684">
        <f>IF(終値!A6="","",IF(AND(高値!AF6&gt;高値!AE6,高値!AF6&gt;高値!AD6,高値!AF6&gt;高値!AG6,高値!AF6&gt;高値!AH6),27,""))</f>
      </c>
      <c r="BC6" s="684">
        <f>IF(終値!A6="","",IF(AND(高値!AG6&gt;高値!AF6,高値!AG6&gt;高値!AE6,高値!AG6&gt;高値!AH6,高値!AG6&gt;高値!AI6),28,""))</f>
      </c>
      <c r="BD6" s="684">
        <f>COUNT($B6:$AB6)</f>
      </c>
      <c r="BE6" s="684">
        <f>IF($BD6&gt;=2,MIN($B6:$AB6),"")</f>
      </c>
      <c r="BF6" s="684">
        <f>IF($BD6&gt;=2,SMALL($B6:$AB6,2),"")</f>
      </c>
      <c r="BG6" s="684">
        <f>IF($BE6="","",INDEX(安値!$E6:$CZ6,1,$BE6+1))</f>
      </c>
      <c r="BH6" s="684">
        <f>IF($BF6="","",INDEX(安値!$E6:$CZ6,1,$BF6+1))</f>
      </c>
      <c r="BI6" s="684">
        <f>IF($BF6="","",MAX(INDEX(高値!$E6:$CZ6,1,$BE6+1):INDEX(高値!$E6:$CZ6,1,$BF6+1)))</f>
      </c>
      <c r="BJ6" s="684">
        <f>IF($BF6="","",AVERAGE(INDEX(終値!$E6:$CZ6,1,$BF6+1):INDEX(終値!$E6:$CZ6,1,$BF6+20))-2*STDEVP(INDEX(終値!$E6:$CZ6,1,$BF6+1):INDEX(終値!$E6:$CZ6,1,$BF6+20)))</f>
      </c>
      <c r="BK6" s="684">
        <f>IF($BE6="","",AVERAGE(INDEX(終値!$E6:$CZ6,1,$BE6+1):INDEX(終値!$E6:$CZ6,1,$BE6+20))-2*STDEVP(INDEX(終値!$E6:$CZ6,1,$BE6+1):INDEX(終値!$E6:$CZ6,1,$BE6+20)))</f>
      </c>
      <c r="BL6" s="684">
        <f>COUNT($AC6:$BC6)</f>
      </c>
      <c r="BM6" s="684">
        <f>IF($BL6&gt;=2,MIN($AC6:$BC6),"")</f>
      </c>
      <c r="BN6" s="684">
        <f>IF($BL6&gt;=2,SMALL($AC6:$BC6,2),"")</f>
      </c>
      <c r="BO6" s="684">
        <f>IF($BM6="","",INDEX(高値!$E6:$CZ6,1,$BM6+1))</f>
      </c>
      <c r="BP6" s="684">
        <f>IF($BN6="","",INDEX(高値!$E6:$CZ6,1,$BN6+1))</f>
      </c>
      <c r="BQ6" s="684">
        <f>IF($BN6="","",MIN(INDEX(安値!$E6:$CZ6,1,$BM6+1):INDEX(安値!$E6:$CZ6,1,$BN6+1)))</f>
      </c>
      <c r="BR6" s="684">
        <f>IF($BN6="","",AVERAGE(INDEX(終値!$E6:$CZ6,1,$BN6+1):INDEX(終値!$E6:$CZ6,1,$BN6+20))+2*STDEVP(INDEX(終値!$E6:$CZ6,1,$BN6+1):INDEX(終値!$E6:$CZ6,1,$BN6+20)))</f>
      </c>
      <c r="BS6" s="684">
        <f>IF($BM6="","",AVERAGE(INDEX(終値!$E6:$CZ6,1,$BM6+1):INDEX(終値!$E6:$CZ6,1,$BM6+20))+2*STDEVP(INDEX(終値!$E6:$CZ6,1,$BM6+1):INDEX(終値!$E6:$CZ6,1,$BM6+20)))</f>
      </c>
      <c r="BT6" s="681">
        <f>IFERROR(IF(AND($BD6&gt;=2,ABS($BG6-$BH6)/$BH6&lt;=BB設定!$B$12,$BI6&gt;=MAX($BH6,$BG6)*(1+BB設定!$B$13),終値!E6&gt;$BG6),IF(OR(終値!E6&gt;=$BI6,AND($BH6&lt;$BJ6,$BG6&gt;=$BK6)),"二番底W▲","二番底W形成"),IF(AND($BL6&gt;=2,ABS($BO6-$BP6)/$BP6&lt;=BB設定!$B$12,$BQ6&lt;=MIN($BP6,$BO6)*(1-BB設定!$B$13),終値!E6&lt;$BO6),IF(OR(終値!E6&lt;=$BQ6,AND($BP6&gt;$BR6,$BO6&lt;=$BS6)),"二番天井M▼","二番天井M形成"),"－")),"－")</f>
      </c>
    </row>
    <row r="7">
      <c r="B7" s="684">
        <f>IF(終値!A7="","",IF(AND(安値!G7&lt;安値!F7,安値!G7&lt;安値!E7,安値!G7&lt;安値!H7,安値!G7&lt;安値!I7),2,""))</f>
      </c>
      <c r="C7" s="684">
        <f>IF(終値!A7="","",IF(AND(安値!H7&lt;安値!G7,安値!H7&lt;安値!F7,安値!H7&lt;安値!I7,安値!H7&lt;安値!J7),3,""))</f>
      </c>
      <c r="D7" s="684">
        <f>IF(終値!A7="","",IF(AND(安値!I7&lt;安値!H7,安値!I7&lt;安値!G7,安値!I7&lt;安値!J7,安値!I7&lt;安値!K7),4,""))</f>
      </c>
      <c r="E7" s="684">
        <f>IF(終値!A7="","",IF(AND(安値!J7&lt;安値!I7,安値!J7&lt;安値!H7,安値!J7&lt;安値!K7,安値!J7&lt;安値!L7),5,""))</f>
      </c>
      <c r="F7" s="684">
        <f>IF(終値!A7="","",IF(AND(安値!K7&lt;安値!J7,安値!K7&lt;安値!I7,安値!K7&lt;安値!L7,安値!K7&lt;安値!M7),6,""))</f>
      </c>
      <c r="G7" s="684">
        <f>IF(終値!A7="","",IF(AND(安値!L7&lt;安値!K7,安値!L7&lt;安値!J7,安値!L7&lt;安値!M7,安値!L7&lt;安値!N7),7,""))</f>
      </c>
      <c r="H7" s="684">
        <f>IF(終値!A7="","",IF(AND(安値!M7&lt;安値!L7,安値!M7&lt;安値!K7,安値!M7&lt;安値!N7,安値!M7&lt;安値!O7),8,""))</f>
      </c>
      <c r="I7" s="684">
        <f>IF(終値!A7="","",IF(AND(安値!N7&lt;安値!M7,安値!N7&lt;安値!L7,安値!N7&lt;安値!O7,安値!N7&lt;安値!P7),9,""))</f>
      </c>
      <c r="J7" s="684">
        <f>IF(終値!A7="","",IF(AND(安値!O7&lt;安値!N7,安値!O7&lt;安値!M7,安値!O7&lt;安値!P7,安値!O7&lt;安値!Q7),10,""))</f>
      </c>
      <c r="K7" s="684">
        <f>IF(終値!A7="","",IF(AND(安値!P7&lt;安値!O7,安値!P7&lt;安値!N7,安値!P7&lt;安値!Q7,安値!P7&lt;安値!R7),11,""))</f>
      </c>
      <c r="L7" s="684">
        <f>IF(終値!A7="","",IF(AND(安値!Q7&lt;安値!P7,安値!Q7&lt;安値!O7,安値!Q7&lt;安値!R7,安値!Q7&lt;安値!S7),12,""))</f>
      </c>
      <c r="M7" s="684">
        <f>IF(終値!A7="","",IF(AND(安値!R7&lt;安値!Q7,安値!R7&lt;安値!P7,安値!R7&lt;安値!S7,安値!R7&lt;安値!T7),13,""))</f>
      </c>
      <c r="N7" s="684">
        <f>IF(終値!A7="","",IF(AND(安値!S7&lt;安値!R7,安値!S7&lt;安値!Q7,安値!S7&lt;安値!T7,安値!S7&lt;安値!U7),14,""))</f>
      </c>
      <c r="O7" s="684">
        <f>IF(終値!A7="","",IF(AND(安値!T7&lt;安値!S7,安値!T7&lt;安値!R7,安値!T7&lt;安値!U7,安値!T7&lt;安値!V7),15,""))</f>
      </c>
      <c r="P7" s="684">
        <f>IF(終値!A7="","",IF(AND(安値!U7&lt;安値!T7,安値!U7&lt;安値!S7,安値!U7&lt;安値!V7,安値!U7&lt;安値!W7),16,""))</f>
      </c>
      <c r="Q7" s="684">
        <f>IF(終値!A7="","",IF(AND(安値!V7&lt;安値!U7,安値!V7&lt;安値!T7,安値!V7&lt;安値!W7,安値!V7&lt;安値!X7),17,""))</f>
      </c>
      <c r="R7" s="684">
        <f>IF(終値!A7="","",IF(AND(安値!W7&lt;安値!V7,安値!W7&lt;安値!U7,安値!W7&lt;安値!X7,安値!W7&lt;安値!Y7),18,""))</f>
      </c>
      <c r="S7" s="684">
        <f>IF(終値!A7="","",IF(AND(安値!X7&lt;安値!W7,安値!X7&lt;安値!V7,安値!X7&lt;安値!Y7,安値!X7&lt;安値!Z7),19,""))</f>
      </c>
      <c r="T7" s="684">
        <f>IF(終値!A7="","",IF(AND(安値!Y7&lt;安値!X7,安値!Y7&lt;安値!W7,安値!Y7&lt;安値!Z7,安値!Y7&lt;安値!AA7),20,""))</f>
      </c>
      <c r="U7" s="684">
        <f>IF(終値!A7="","",IF(AND(安値!Z7&lt;安値!Y7,安値!Z7&lt;安値!X7,安値!Z7&lt;安値!AA7,安値!Z7&lt;安値!AB7),21,""))</f>
      </c>
      <c r="V7" s="684">
        <f>IF(終値!A7="","",IF(AND(安値!AA7&lt;安値!Z7,安値!AA7&lt;安値!Y7,安値!AA7&lt;安値!AB7,安値!AA7&lt;安値!AC7),22,""))</f>
      </c>
      <c r="W7" s="684">
        <f>IF(終値!A7="","",IF(AND(安値!AB7&lt;安値!AA7,安値!AB7&lt;安値!Z7,安値!AB7&lt;安値!AC7,安値!AB7&lt;安値!AD7),23,""))</f>
      </c>
      <c r="X7" s="684">
        <f>IF(終値!A7="","",IF(AND(安値!AC7&lt;安値!AB7,安値!AC7&lt;安値!AA7,安値!AC7&lt;安値!AD7,安値!AC7&lt;安値!AE7),24,""))</f>
      </c>
      <c r="Y7" s="684">
        <f>IF(終値!A7="","",IF(AND(安値!AD7&lt;安値!AC7,安値!AD7&lt;安値!AB7,安値!AD7&lt;安値!AE7,安値!AD7&lt;安値!AF7),25,""))</f>
      </c>
      <c r="Z7" s="684">
        <f>IF(終値!A7="","",IF(AND(安値!AE7&lt;安値!AD7,安値!AE7&lt;安値!AC7,安値!AE7&lt;安値!AF7,安値!AE7&lt;安値!AG7),26,""))</f>
      </c>
      <c r="AA7" s="684">
        <f>IF(終値!A7="","",IF(AND(安値!AF7&lt;安値!AE7,安値!AF7&lt;安値!AD7,安値!AF7&lt;安値!AG7,安値!AF7&lt;安値!AH7),27,""))</f>
      </c>
      <c r="AB7" s="684">
        <f>IF(終値!A7="","",IF(AND(安値!AG7&lt;安値!AF7,安値!AG7&lt;安値!AE7,安値!AG7&lt;安値!AH7,安値!AG7&lt;安値!AI7),28,""))</f>
      </c>
      <c r="AC7" s="684">
        <f>IF(終値!A7="","",IF(AND(高値!G7&gt;高値!F7,高値!G7&gt;高値!E7,高値!G7&gt;高値!H7,高値!G7&gt;高値!I7),2,""))</f>
      </c>
      <c r="AD7" s="684">
        <f>IF(終値!A7="","",IF(AND(高値!H7&gt;高値!G7,高値!H7&gt;高値!F7,高値!H7&gt;高値!I7,高値!H7&gt;高値!J7),3,""))</f>
      </c>
      <c r="AE7" s="684">
        <f>IF(終値!A7="","",IF(AND(高値!I7&gt;高値!H7,高値!I7&gt;高値!G7,高値!I7&gt;高値!J7,高値!I7&gt;高値!K7),4,""))</f>
      </c>
      <c r="AF7" s="684">
        <f>IF(終値!A7="","",IF(AND(高値!J7&gt;高値!I7,高値!J7&gt;高値!H7,高値!J7&gt;高値!K7,高値!J7&gt;高値!L7),5,""))</f>
      </c>
      <c r="AG7" s="684">
        <f>IF(終値!A7="","",IF(AND(高値!K7&gt;高値!J7,高値!K7&gt;高値!I7,高値!K7&gt;高値!L7,高値!K7&gt;高値!M7),6,""))</f>
      </c>
      <c r="AH7" s="684">
        <f>IF(終値!A7="","",IF(AND(高値!L7&gt;高値!K7,高値!L7&gt;高値!J7,高値!L7&gt;高値!M7,高値!L7&gt;高値!N7),7,""))</f>
      </c>
      <c r="AI7" s="684">
        <f>IF(終値!A7="","",IF(AND(高値!M7&gt;高値!L7,高値!M7&gt;高値!K7,高値!M7&gt;高値!N7,高値!M7&gt;高値!O7),8,""))</f>
      </c>
      <c r="AJ7" s="684">
        <f>IF(終値!A7="","",IF(AND(高値!N7&gt;高値!M7,高値!N7&gt;高値!L7,高値!N7&gt;高値!O7,高値!N7&gt;高値!P7),9,""))</f>
      </c>
      <c r="AK7" s="684">
        <f>IF(終値!A7="","",IF(AND(高値!O7&gt;高値!N7,高値!O7&gt;高値!M7,高値!O7&gt;高値!P7,高値!O7&gt;高値!Q7),10,""))</f>
      </c>
      <c r="AL7" s="684">
        <f>IF(終値!A7="","",IF(AND(高値!P7&gt;高値!O7,高値!P7&gt;高値!N7,高値!P7&gt;高値!Q7,高値!P7&gt;高値!R7),11,""))</f>
      </c>
      <c r="AM7" s="684">
        <f>IF(終値!A7="","",IF(AND(高値!Q7&gt;高値!P7,高値!Q7&gt;高値!O7,高値!Q7&gt;高値!R7,高値!Q7&gt;高値!S7),12,""))</f>
      </c>
      <c r="AN7" s="684">
        <f>IF(終値!A7="","",IF(AND(高値!R7&gt;高値!Q7,高値!R7&gt;高値!P7,高値!R7&gt;高値!S7,高値!R7&gt;高値!T7),13,""))</f>
      </c>
      <c r="AO7" s="684">
        <f>IF(終値!A7="","",IF(AND(高値!S7&gt;高値!R7,高値!S7&gt;高値!Q7,高値!S7&gt;高値!T7,高値!S7&gt;高値!U7),14,""))</f>
      </c>
      <c r="AP7" s="684">
        <f>IF(終値!A7="","",IF(AND(高値!T7&gt;高値!S7,高値!T7&gt;高値!R7,高値!T7&gt;高値!U7,高値!T7&gt;高値!V7),15,""))</f>
      </c>
      <c r="AQ7" s="684">
        <f>IF(終値!A7="","",IF(AND(高値!U7&gt;高値!T7,高値!U7&gt;高値!S7,高値!U7&gt;高値!V7,高値!U7&gt;高値!W7),16,""))</f>
      </c>
      <c r="AR7" s="684">
        <f>IF(終値!A7="","",IF(AND(高値!V7&gt;高値!U7,高値!V7&gt;高値!T7,高値!V7&gt;高値!W7,高値!V7&gt;高値!X7),17,""))</f>
      </c>
      <c r="AS7" s="684">
        <f>IF(終値!A7="","",IF(AND(高値!W7&gt;高値!V7,高値!W7&gt;高値!U7,高値!W7&gt;高値!X7,高値!W7&gt;高値!Y7),18,""))</f>
      </c>
      <c r="AT7" s="684">
        <f>IF(終値!A7="","",IF(AND(高値!X7&gt;高値!W7,高値!X7&gt;高値!V7,高値!X7&gt;高値!Y7,高値!X7&gt;高値!Z7),19,""))</f>
      </c>
      <c r="AU7" s="684">
        <f>IF(終値!A7="","",IF(AND(高値!Y7&gt;高値!X7,高値!Y7&gt;高値!W7,高値!Y7&gt;高値!Z7,高値!Y7&gt;高値!AA7),20,""))</f>
      </c>
      <c r="AV7" s="684">
        <f>IF(終値!A7="","",IF(AND(高値!Z7&gt;高値!Y7,高値!Z7&gt;高値!X7,高値!Z7&gt;高値!AA7,高値!Z7&gt;高値!AB7),21,""))</f>
      </c>
      <c r="AW7" s="684">
        <f>IF(終値!A7="","",IF(AND(高値!AA7&gt;高値!Z7,高値!AA7&gt;高値!Y7,高値!AA7&gt;高値!AB7,高値!AA7&gt;高値!AC7),22,""))</f>
      </c>
      <c r="AX7" s="684">
        <f>IF(終値!A7="","",IF(AND(高値!AB7&gt;高値!AA7,高値!AB7&gt;高値!Z7,高値!AB7&gt;高値!AC7,高値!AB7&gt;高値!AD7),23,""))</f>
      </c>
      <c r="AY7" s="684">
        <f>IF(終値!A7="","",IF(AND(高値!AC7&gt;高値!AB7,高値!AC7&gt;高値!AA7,高値!AC7&gt;高値!AD7,高値!AC7&gt;高値!AE7),24,""))</f>
      </c>
      <c r="AZ7" s="684">
        <f>IF(終値!A7="","",IF(AND(高値!AD7&gt;高値!AC7,高値!AD7&gt;高値!AB7,高値!AD7&gt;高値!AE7,高値!AD7&gt;高値!AF7),25,""))</f>
      </c>
      <c r="BA7" s="684">
        <f>IF(終値!A7="","",IF(AND(高値!AE7&gt;高値!AD7,高値!AE7&gt;高値!AC7,高値!AE7&gt;高値!AF7,高値!AE7&gt;高値!AG7),26,""))</f>
      </c>
      <c r="BB7" s="684">
        <f>IF(終値!A7="","",IF(AND(高値!AF7&gt;高値!AE7,高値!AF7&gt;高値!AD7,高値!AF7&gt;高値!AG7,高値!AF7&gt;高値!AH7),27,""))</f>
      </c>
      <c r="BC7" s="684">
        <f>IF(終値!A7="","",IF(AND(高値!AG7&gt;高値!AF7,高値!AG7&gt;高値!AE7,高値!AG7&gt;高値!AH7,高値!AG7&gt;高値!AI7),28,""))</f>
      </c>
      <c r="BD7" s="684">
        <f>COUNT($B7:$AB7)</f>
      </c>
      <c r="BE7" s="684">
        <f>IF($BD7&gt;=2,MIN($B7:$AB7),"")</f>
      </c>
      <c r="BF7" s="684">
        <f>IF($BD7&gt;=2,SMALL($B7:$AB7,2),"")</f>
      </c>
      <c r="BG7" s="684">
        <f>IF($BE7="","",INDEX(安値!$E7:$CZ7,1,$BE7+1))</f>
      </c>
      <c r="BH7" s="684">
        <f>IF($BF7="","",INDEX(安値!$E7:$CZ7,1,$BF7+1))</f>
      </c>
      <c r="BI7" s="684">
        <f>IF($BF7="","",MAX(INDEX(高値!$E7:$CZ7,1,$BE7+1):INDEX(高値!$E7:$CZ7,1,$BF7+1)))</f>
      </c>
      <c r="BJ7" s="684">
        <f>IF($BF7="","",AVERAGE(INDEX(終値!$E7:$CZ7,1,$BF7+1):INDEX(終値!$E7:$CZ7,1,$BF7+20))-2*STDEVP(INDEX(終値!$E7:$CZ7,1,$BF7+1):INDEX(終値!$E7:$CZ7,1,$BF7+20)))</f>
      </c>
      <c r="BK7" s="684">
        <f>IF($BE7="","",AVERAGE(INDEX(終値!$E7:$CZ7,1,$BE7+1):INDEX(終値!$E7:$CZ7,1,$BE7+20))-2*STDEVP(INDEX(終値!$E7:$CZ7,1,$BE7+1):INDEX(終値!$E7:$CZ7,1,$BE7+20)))</f>
      </c>
      <c r="BL7" s="684">
        <f>COUNT($AC7:$BC7)</f>
      </c>
      <c r="BM7" s="684">
        <f>IF($BL7&gt;=2,MIN($AC7:$BC7),"")</f>
      </c>
      <c r="BN7" s="684">
        <f>IF($BL7&gt;=2,SMALL($AC7:$BC7,2),"")</f>
      </c>
      <c r="BO7" s="684">
        <f>IF($BM7="","",INDEX(高値!$E7:$CZ7,1,$BM7+1))</f>
      </c>
      <c r="BP7" s="684">
        <f>IF($BN7="","",INDEX(高値!$E7:$CZ7,1,$BN7+1))</f>
      </c>
      <c r="BQ7" s="684">
        <f>IF($BN7="","",MIN(INDEX(安値!$E7:$CZ7,1,$BM7+1):INDEX(安値!$E7:$CZ7,1,$BN7+1)))</f>
      </c>
      <c r="BR7" s="684">
        <f>IF($BN7="","",AVERAGE(INDEX(終値!$E7:$CZ7,1,$BN7+1):INDEX(終値!$E7:$CZ7,1,$BN7+20))+2*STDEVP(INDEX(終値!$E7:$CZ7,1,$BN7+1):INDEX(終値!$E7:$CZ7,1,$BN7+20)))</f>
      </c>
      <c r="BS7" s="684">
        <f>IF($BM7="","",AVERAGE(INDEX(終値!$E7:$CZ7,1,$BM7+1):INDEX(終値!$E7:$CZ7,1,$BM7+20))+2*STDEVP(INDEX(終値!$E7:$CZ7,1,$BM7+1):INDEX(終値!$E7:$CZ7,1,$BM7+20)))</f>
      </c>
      <c r="BT7" s="681">
        <f>IFERROR(IF(AND($BD7&gt;=2,ABS($BG7-$BH7)/$BH7&lt;=BB設定!$B$12,$BI7&gt;=MAX($BH7,$BG7)*(1+BB設定!$B$13),終値!E7&gt;$BG7),IF(OR(終値!E7&gt;=$BI7,AND($BH7&lt;$BJ7,$BG7&gt;=$BK7)),"二番底W▲","二番底W形成"),IF(AND($BL7&gt;=2,ABS($BO7-$BP7)/$BP7&lt;=BB設定!$B$12,$BQ7&lt;=MIN($BP7,$BO7)*(1-BB設定!$B$13),終値!E7&lt;$BO7),IF(OR(終値!E7&lt;=$BQ7,AND($BP7&gt;$BR7,$BO7&lt;=$BS7)),"二番天井M▼","二番天井M形成"),"－")),"－")</f>
      </c>
    </row>
    <row r="8">
      <c r="B8" s="684">
        <f>IF(終値!A8="","",IF(AND(安値!G8&lt;安値!F8,安値!G8&lt;安値!E8,安値!G8&lt;安値!H8,安値!G8&lt;安値!I8),2,""))</f>
      </c>
      <c r="C8" s="684">
        <f>IF(終値!A8="","",IF(AND(安値!H8&lt;安値!G8,安値!H8&lt;安値!F8,安値!H8&lt;安値!I8,安値!H8&lt;安値!J8),3,""))</f>
      </c>
      <c r="D8" s="684">
        <f>IF(終値!A8="","",IF(AND(安値!I8&lt;安値!H8,安値!I8&lt;安値!G8,安値!I8&lt;安値!J8,安値!I8&lt;安値!K8),4,""))</f>
      </c>
      <c r="E8" s="684">
        <f>IF(終値!A8="","",IF(AND(安値!J8&lt;安値!I8,安値!J8&lt;安値!H8,安値!J8&lt;安値!K8,安値!J8&lt;安値!L8),5,""))</f>
      </c>
      <c r="F8" s="684">
        <f>IF(終値!A8="","",IF(AND(安値!K8&lt;安値!J8,安値!K8&lt;安値!I8,安値!K8&lt;安値!L8,安値!K8&lt;安値!M8),6,""))</f>
      </c>
      <c r="G8" s="684">
        <f>IF(終値!A8="","",IF(AND(安値!L8&lt;安値!K8,安値!L8&lt;安値!J8,安値!L8&lt;安値!M8,安値!L8&lt;安値!N8),7,""))</f>
      </c>
      <c r="H8" s="684">
        <f>IF(終値!A8="","",IF(AND(安値!M8&lt;安値!L8,安値!M8&lt;安値!K8,安値!M8&lt;安値!N8,安値!M8&lt;安値!O8),8,""))</f>
      </c>
      <c r="I8" s="684">
        <f>IF(終値!A8="","",IF(AND(安値!N8&lt;安値!M8,安値!N8&lt;安値!L8,安値!N8&lt;安値!O8,安値!N8&lt;安値!P8),9,""))</f>
      </c>
      <c r="J8" s="684">
        <f>IF(終値!A8="","",IF(AND(安値!O8&lt;安値!N8,安値!O8&lt;安値!M8,安値!O8&lt;安値!P8,安値!O8&lt;安値!Q8),10,""))</f>
      </c>
      <c r="K8" s="684">
        <f>IF(終値!A8="","",IF(AND(安値!P8&lt;安値!O8,安値!P8&lt;安値!N8,安値!P8&lt;安値!Q8,安値!P8&lt;安値!R8),11,""))</f>
      </c>
      <c r="L8" s="684">
        <f>IF(終値!A8="","",IF(AND(安値!Q8&lt;安値!P8,安値!Q8&lt;安値!O8,安値!Q8&lt;安値!R8,安値!Q8&lt;安値!S8),12,""))</f>
      </c>
      <c r="M8" s="684">
        <f>IF(終値!A8="","",IF(AND(安値!R8&lt;安値!Q8,安値!R8&lt;安値!P8,安値!R8&lt;安値!S8,安値!R8&lt;安値!T8),13,""))</f>
      </c>
      <c r="N8" s="684">
        <f>IF(終値!A8="","",IF(AND(安値!S8&lt;安値!R8,安値!S8&lt;安値!Q8,安値!S8&lt;安値!T8,安値!S8&lt;安値!U8),14,""))</f>
      </c>
      <c r="O8" s="684">
        <f>IF(終値!A8="","",IF(AND(安値!T8&lt;安値!S8,安値!T8&lt;安値!R8,安値!T8&lt;安値!U8,安値!T8&lt;安値!V8),15,""))</f>
      </c>
      <c r="P8" s="684">
        <f>IF(終値!A8="","",IF(AND(安値!U8&lt;安値!T8,安値!U8&lt;安値!S8,安値!U8&lt;安値!V8,安値!U8&lt;安値!W8),16,""))</f>
      </c>
      <c r="Q8" s="684">
        <f>IF(終値!A8="","",IF(AND(安値!V8&lt;安値!U8,安値!V8&lt;安値!T8,安値!V8&lt;安値!W8,安値!V8&lt;安値!X8),17,""))</f>
      </c>
      <c r="R8" s="684">
        <f>IF(終値!A8="","",IF(AND(安値!W8&lt;安値!V8,安値!W8&lt;安値!U8,安値!W8&lt;安値!X8,安値!W8&lt;安値!Y8),18,""))</f>
      </c>
      <c r="S8" s="684">
        <f>IF(終値!A8="","",IF(AND(安値!X8&lt;安値!W8,安値!X8&lt;安値!V8,安値!X8&lt;安値!Y8,安値!X8&lt;安値!Z8),19,""))</f>
      </c>
      <c r="T8" s="684">
        <f>IF(終値!A8="","",IF(AND(安値!Y8&lt;安値!X8,安値!Y8&lt;安値!W8,安値!Y8&lt;安値!Z8,安値!Y8&lt;安値!AA8),20,""))</f>
      </c>
      <c r="U8" s="684">
        <f>IF(終値!A8="","",IF(AND(安値!Z8&lt;安値!Y8,安値!Z8&lt;安値!X8,安値!Z8&lt;安値!AA8,安値!Z8&lt;安値!AB8),21,""))</f>
      </c>
      <c r="V8" s="684">
        <f>IF(終値!A8="","",IF(AND(安値!AA8&lt;安値!Z8,安値!AA8&lt;安値!Y8,安値!AA8&lt;安値!AB8,安値!AA8&lt;安値!AC8),22,""))</f>
      </c>
      <c r="W8" s="684">
        <f>IF(終値!A8="","",IF(AND(安値!AB8&lt;安値!AA8,安値!AB8&lt;安値!Z8,安値!AB8&lt;安値!AC8,安値!AB8&lt;安値!AD8),23,""))</f>
      </c>
      <c r="X8" s="684">
        <f>IF(終値!A8="","",IF(AND(安値!AC8&lt;安値!AB8,安値!AC8&lt;安値!AA8,安値!AC8&lt;安値!AD8,安値!AC8&lt;安値!AE8),24,""))</f>
      </c>
      <c r="Y8" s="684">
        <f>IF(終値!A8="","",IF(AND(安値!AD8&lt;安値!AC8,安値!AD8&lt;安値!AB8,安値!AD8&lt;安値!AE8,安値!AD8&lt;安値!AF8),25,""))</f>
      </c>
      <c r="Z8" s="684">
        <f>IF(終値!A8="","",IF(AND(安値!AE8&lt;安値!AD8,安値!AE8&lt;安値!AC8,安値!AE8&lt;安値!AF8,安値!AE8&lt;安値!AG8),26,""))</f>
      </c>
      <c r="AA8" s="684">
        <f>IF(終値!A8="","",IF(AND(安値!AF8&lt;安値!AE8,安値!AF8&lt;安値!AD8,安値!AF8&lt;安値!AG8,安値!AF8&lt;安値!AH8),27,""))</f>
      </c>
      <c r="AB8" s="684">
        <f>IF(終値!A8="","",IF(AND(安値!AG8&lt;安値!AF8,安値!AG8&lt;安値!AE8,安値!AG8&lt;安値!AH8,安値!AG8&lt;安値!AI8),28,""))</f>
      </c>
      <c r="AC8" s="684">
        <f>IF(終値!A8="","",IF(AND(高値!G8&gt;高値!F8,高値!G8&gt;高値!E8,高値!G8&gt;高値!H8,高値!G8&gt;高値!I8),2,""))</f>
      </c>
      <c r="AD8" s="684">
        <f>IF(終値!A8="","",IF(AND(高値!H8&gt;高値!G8,高値!H8&gt;高値!F8,高値!H8&gt;高値!I8,高値!H8&gt;高値!J8),3,""))</f>
      </c>
      <c r="AE8" s="684">
        <f>IF(終値!A8="","",IF(AND(高値!I8&gt;高値!H8,高値!I8&gt;高値!G8,高値!I8&gt;高値!J8,高値!I8&gt;高値!K8),4,""))</f>
      </c>
      <c r="AF8" s="684">
        <f>IF(終値!A8="","",IF(AND(高値!J8&gt;高値!I8,高値!J8&gt;高値!H8,高値!J8&gt;高値!K8,高値!J8&gt;高値!L8),5,""))</f>
      </c>
      <c r="AG8" s="684">
        <f>IF(終値!A8="","",IF(AND(高値!K8&gt;高値!J8,高値!K8&gt;高値!I8,高値!K8&gt;高値!L8,高値!K8&gt;高値!M8),6,""))</f>
      </c>
      <c r="AH8" s="684">
        <f>IF(終値!A8="","",IF(AND(高値!L8&gt;高値!K8,高値!L8&gt;高値!J8,高値!L8&gt;高値!M8,高値!L8&gt;高値!N8),7,""))</f>
      </c>
      <c r="AI8" s="684">
        <f>IF(終値!A8="","",IF(AND(高値!M8&gt;高値!L8,高値!M8&gt;高値!K8,高値!M8&gt;高値!N8,高値!M8&gt;高値!O8),8,""))</f>
      </c>
      <c r="AJ8" s="684">
        <f>IF(終値!A8="","",IF(AND(高値!N8&gt;高値!M8,高値!N8&gt;高値!L8,高値!N8&gt;高値!O8,高値!N8&gt;高値!P8),9,""))</f>
      </c>
      <c r="AK8" s="684">
        <f>IF(終値!A8="","",IF(AND(高値!O8&gt;高値!N8,高値!O8&gt;高値!M8,高値!O8&gt;高値!P8,高値!O8&gt;高値!Q8),10,""))</f>
      </c>
      <c r="AL8" s="684">
        <f>IF(終値!A8="","",IF(AND(高値!P8&gt;高値!O8,高値!P8&gt;高値!N8,高値!P8&gt;高値!Q8,高値!P8&gt;高値!R8),11,""))</f>
      </c>
      <c r="AM8" s="684">
        <f>IF(終値!A8="","",IF(AND(高値!Q8&gt;高値!P8,高値!Q8&gt;高値!O8,高値!Q8&gt;高値!R8,高値!Q8&gt;高値!S8),12,""))</f>
      </c>
      <c r="AN8" s="684">
        <f>IF(終値!A8="","",IF(AND(高値!R8&gt;高値!Q8,高値!R8&gt;高値!P8,高値!R8&gt;高値!S8,高値!R8&gt;高値!T8),13,""))</f>
      </c>
      <c r="AO8" s="684">
        <f>IF(終値!A8="","",IF(AND(高値!S8&gt;高値!R8,高値!S8&gt;高値!Q8,高値!S8&gt;高値!T8,高値!S8&gt;高値!U8),14,""))</f>
      </c>
      <c r="AP8" s="684">
        <f>IF(終値!A8="","",IF(AND(高値!T8&gt;高値!S8,高値!T8&gt;高値!R8,高値!T8&gt;高値!U8,高値!T8&gt;高値!V8),15,""))</f>
      </c>
      <c r="AQ8" s="684">
        <f>IF(終値!A8="","",IF(AND(高値!U8&gt;高値!T8,高値!U8&gt;高値!S8,高値!U8&gt;高値!V8,高値!U8&gt;高値!W8),16,""))</f>
      </c>
      <c r="AR8" s="684">
        <f>IF(終値!A8="","",IF(AND(高値!V8&gt;高値!U8,高値!V8&gt;高値!T8,高値!V8&gt;高値!W8,高値!V8&gt;高値!X8),17,""))</f>
      </c>
      <c r="AS8" s="684">
        <f>IF(終値!A8="","",IF(AND(高値!W8&gt;高値!V8,高値!W8&gt;高値!U8,高値!W8&gt;高値!X8,高値!W8&gt;高値!Y8),18,""))</f>
      </c>
      <c r="AT8" s="684">
        <f>IF(終値!A8="","",IF(AND(高値!X8&gt;高値!W8,高値!X8&gt;高値!V8,高値!X8&gt;高値!Y8,高値!X8&gt;高値!Z8),19,""))</f>
      </c>
      <c r="AU8" s="684">
        <f>IF(終値!A8="","",IF(AND(高値!Y8&gt;高値!X8,高値!Y8&gt;高値!W8,高値!Y8&gt;高値!Z8,高値!Y8&gt;高値!AA8),20,""))</f>
      </c>
      <c r="AV8" s="684">
        <f>IF(終値!A8="","",IF(AND(高値!Z8&gt;高値!Y8,高値!Z8&gt;高値!X8,高値!Z8&gt;高値!AA8,高値!Z8&gt;高値!AB8),21,""))</f>
      </c>
      <c r="AW8" s="684">
        <f>IF(終値!A8="","",IF(AND(高値!AA8&gt;高値!Z8,高値!AA8&gt;高値!Y8,高値!AA8&gt;高値!AB8,高値!AA8&gt;高値!AC8),22,""))</f>
      </c>
      <c r="AX8" s="684">
        <f>IF(終値!A8="","",IF(AND(高値!AB8&gt;高値!AA8,高値!AB8&gt;高値!Z8,高値!AB8&gt;高値!AC8,高値!AB8&gt;高値!AD8),23,""))</f>
      </c>
      <c r="AY8" s="684">
        <f>IF(終値!A8="","",IF(AND(高値!AC8&gt;高値!AB8,高値!AC8&gt;高値!AA8,高値!AC8&gt;高値!AD8,高値!AC8&gt;高値!AE8),24,""))</f>
      </c>
      <c r="AZ8" s="684">
        <f>IF(終値!A8="","",IF(AND(高値!AD8&gt;高値!AC8,高値!AD8&gt;高値!AB8,高値!AD8&gt;高値!AE8,高値!AD8&gt;高値!AF8),25,""))</f>
      </c>
      <c r="BA8" s="684">
        <f>IF(終値!A8="","",IF(AND(高値!AE8&gt;高値!AD8,高値!AE8&gt;高値!AC8,高値!AE8&gt;高値!AF8,高値!AE8&gt;高値!AG8),26,""))</f>
      </c>
      <c r="BB8" s="684">
        <f>IF(終値!A8="","",IF(AND(高値!AF8&gt;高値!AE8,高値!AF8&gt;高値!AD8,高値!AF8&gt;高値!AG8,高値!AF8&gt;高値!AH8),27,""))</f>
      </c>
      <c r="BC8" s="684">
        <f>IF(終値!A8="","",IF(AND(高値!AG8&gt;高値!AF8,高値!AG8&gt;高値!AE8,高値!AG8&gt;高値!AH8,高値!AG8&gt;高値!AI8),28,""))</f>
      </c>
      <c r="BD8" s="684">
        <f>COUNT($B8:$AB8)</f>
      </c>
      <c r="BE8" s="684">
        <f>IF($BD8&gt;=2,MIN($B8:$AB8),"")</f>
      </c>
      <c r="BF8" s="684">
        <f>IF($BD8&gt;=2,SMALL($B8:$AB8,2),"")</f>
      </c>
      <c r="BG8" s="684">
        <f>IF($BE8="","",INDEX(安値!$E8:$CZ8,1,$BE8+1))</f>
      </c>
      <c r="BH8" s="684">
        <f>IF($BF8="","",INDEX(安値!$E8:$CZ8,1,$BF8+1))</f>
      </c>
      <c r="BI8" s="684">
        <f>IF($BF8="","",MAX(INDEX(高値!$E8:$CZ8,1,$BE8+1):INDEX(高値!$E8:$CZ8,1,$BF8+1)))</f>
      </c>
      <c r="BJ8" s="684">
        <f>IF($BF8="","",AVERAGE(INDEX(終値!$E8:$CZ8,1,$BF8+1):INDEX(終値!$E8:$CZ8,1,$BF8+20))-2*STDEVP(INDEX(終値!$E8:$CZ8,1,$BF8+1):INDEX(終値!$E8:$CZ8,1,$BF8+20)))</f>
      </c>
      <c r="BK8" s="684">
        <f>IF($BE8="","",AVERAGE(INDEX(終値!$E8:$CZ8,1,$BE8+1):INDEX(終値!$E8:$CZ8,1,$BE8+20))-2*STDEVP(INDEX(終値!$E8:$CZ8,1,$BE8+1):INDEX(終値!$E8:$CZ8,1,$BE8+20)))</f>
      </c>
      <c r="BL8" s="684">
        <f>COUNT($AC8:$BC8)</f>
      </c>
      <c r="BM8" s="684">
        <f>IF($BL8&gt;=2,MIN($AC8:$BC8),"")</f>
      </c>
      <c r="BN8" s="684">
        <f>IF($BL8&gt;=2,SMALL($AC8:$BC8,2),"")</f>
      </c>
      <c r="BO8" s="684">
        <f>IF($BM8="","",INDEX(高値!$E8:$CZ8,1,$BM8+1))</f>
      </c>
      <c r="BP8" s="684">
        <f>IF($BN8="","",INDEX(高値!$E8:$CZ8,1,$BN8+1))</f>
      </c>
      <c r="BQ8" s="684">
        <f>IF($BN8="","",MIN(INDEX(安値!$E8:$CZ8,1,$BM8+1):INDEX(安値!$E8:$CZ8,1,$BN8+1)))</f>
      </c>
      <c r="BR8" s="684">
        <f>IF($BN8="","",AVERAGE(INDEX(終値!$E8:$CZ8,1,$BN8+1):INDEX(終値!$E8:$CZ8,1,$BN8+20))+2*STDEVP(INDEX(終値!$E8:$CZ8,1,$BN8+1):INDEX(終値!$E8:$CZ8,1,$BN8+20)))</f>
      </c>
      <c r="BS8" s="684">
        <f>IF($BM8="","",AVERAGE(INDEX(終値!$E8:$CZ8,1,$BM8+1):INDEX(終値!$E8:$CZ8,1,$BM8+20))+2*STDEVP(INDEX(終値!$E8:$CZ8,1,$BM8+1):INDEX(終値!$E8:$CZ8,1,$BM8+20)))</f>
      </c>
      <c r="BT8" s="681">
        <f>IFERROR(IF(AND($BD8&gt;=2,ABS($BG8-$BH8)/$BH8&lt;=BB設定!$B$12,$BI8&gt;=MAX($BH8,$BG8)*(1+BB設定!$B$13),終値!E8&gt;$BG8),IF(OR(終値!E8&gt;=$BI8,AND($BH8&lt;$BJ8,$BG8&gt;=$BK8)),"二番底W▲","二番底W形成"),IF(AND($BL8&gt;=2,ABS($BO8-$BP8)/$BP8&lt;=BB設定!$B$12,$BQ8&lt;=MIN($BP8,$BO8)*(1-BB設定!$B$13),終値!E8&lt;$BO8),IF(OR(終値!E8&lt;=$BQ8,AND($BP8&gt;$BR8,$BO8&lt;=$BS8)),"二番天井M▼","二番天井M形成"),"－")),"－")</f>
      </c>
    </row>
    <row r="9">
      <c r="B9" s="684">
        <f>IF(終値!A9="","",IF(AND(安値!G9&lt;安値!F9,安値!G9&lt;安値!E9,安値!G9&lt;安値!H9,安値!G9&lt;安値!I9),2,""))</f>
      </c>
      <c r="C9" s="684">
        <f>IF(終値!A9="","",IF(AND(安値!H9&lt;安値!G9,安値!H9&lt;安値!F9,安値!H9&lt;安値!I9,安値!H9&lt;安値!J9),3,""))</f>
      </c>
      <c r="D9" s="684">
        <f>IF(終値!A9="","",IF(AND(安値!I9&lt;安値!H9,安値!I9&lt;安値!G9,安値!I9&lt;安値!J9,安値!I9&lt;安値!K9),4,""))</f>
      </c>
      <c r="E9" s="684">
        <f>IF(終値!A9="","",IF(AND(安値!J9&lt;安値!I9,安値!J9&lt;安値!H9,安値!J9&lt;安値!K9,安値!J9&lt;安値!L9),5,""))</f>
      </c>
      <c r="F9" s="684">
        <f>IF(終値!A9="","",IF(AND(安値!K9&lt;安値!J9,安値!K9&lt;安値!I9,安値!K9&lt;安値!L9,安値!K9&lt;安値!M9),6,""))</f>
      </c>
      <c r="G9" s="684">
        <f>IF(終値!A9="","",IF(AND(安値!L9&lt;安値!K9,安値!L9&lt;安値!J9,安値!L9&lt;安値!M9,安値!L9&lt;安値!N9),7,""))</f>
      </c>
      <c r="H9" s="684">
        <f>IF(終値!A9="","",IF(AND(安値!M9&lt;安値!L9,安値!M9&lt;安値!K9,安値!M9&lt;安値!N9,安値!M9&lt;安値!O9),8,""))</f>
      </c>
      <c r="I9" s="684">
        <f>IF(終値!A9="","",IF(AND(安値!N9&lt;安値!M9,安値!N9&lt;安値!L9,安値!N9&lt;安値!O9,安値!N9&lt;安値!P9),9,""))</f>
      </c>
      <c r="J9" s="684">
        <f>IF(終値!A9="","",IF(AND(安値!O9&lt;安値!N9,安値!O9&lt;安値!M9,安値!O9&lt;安値!P9,安値!O9&lt;安値!Q9),10,""))</f>
      </c>
      <c r="K9" s="684">
        <f>IF(終値!A9="","",IF(AND(安値!P9&lt;安値!O9,安値!P9&lt;安値!N9,安値!P9&lt;安値!Q9,安値!P9&lt;安値!R9),11,""))</f>
      </c>
      <c r="L9" s="684">
        <f>IF(終値!A9="","",IF(AND(安値!Q9&lt;安値!P9,安値!Q9&lt;安値!O9,安値!Q9&lt;安値!R9,安値!Q9&lt;安値!S9),12,""))</f>
      </c>
      <c r="M9" s="684">
        <f>IF(終値!A9="","",IF(AND(安値!R9&lt;安値!Q9,安値!R9&lt;安値!P9,安値!R9&lt;安値!S9,安値!R9&lt;安値!T9),13,""))</f>
      </c>
      <c r="N9" s="684">
        <f>IF(終値!A9="","",IF(AND(安値!S9&lt;安値!R9,安値!S9&lt;安値!Q9,安値!S9&lt;安値!T9,安値!S9&lt;安値!U9),14,""))</f>
      </c>
      <c r="O9" s="684">
        <f>IF(終値!A9="","",IF(AND(安値!T9&lt;安値!S9,安値!T9&lt;安値!R9,安値!T9&lt;安値!U9,安値!T9&lt;安値!V9),15,""))</f>
      </c>
      <c r="P9" s="684">
        <f>IF(終値!A9="","",IF(AND(安値!U9&lt;安値!T9,安値!U9&lt;安値!S9,安値!U9&lt;安値!V9,安値!U9&lt;安値!W9),16,""))</f>
      </c>
      <c r="Q9" s="684">
        <f>IF(終値!A9="","",IF(AND(安値!V9&lt;安値!U9,安値!V9&lt;安値!T9,安値!V9&lt;安値!W9,安値!V9&lt;安値!X9),17,""))</f>
      </c>
      <c r="R9" s="684">
        <f>IF(終値!A9="","",IF(AND(安値!W9&lt;安値!V9,安値!W9&lt;安値!U9,安値!W9&lt;安値!X9,安値!W9&lt;安値!Y9),18,""))</f>
      </c>
      <c r="S9" s="684">
        <f>IF(終値!A9="","",IF(AND(安値!X9&lt;安値!W9,安値!X9&lt;安値!V9,安値!X9&lt;安値!Y9,安値!X9&lt;安値!Z9),19,""))</f>
      </c>
      <c r="T9" s="684">
        <f>IF(終値!A9="","",IF(AND(安値!Y9&lt;安値!X9,安値!Y9&lt;安値!W9,安値!Y9&lt;安値!Z9,安値!Y9&lt;安値!AA9),20,""))</f>
      </c>
      <c r="U9" s="684">
        <f>IF(終値!A9="","",IF(AND(安値!Z9&lt;安値!Y9,安値!Z9&lt;安値!X9,安値!Z9&lt;安値!AA9,安値!Z9&lt;安値!AB9),21,""))</f>
      </c>
      <c r="V9" s="684">
        <f>IF(終値!A9="","",IF(AND(安値!AA9&lt;安値!Z9,安値!AA9&lt;安値!Y9,安値!AA9&lt;安値!AB9,安値!AA9&lt;安値!AC9),22,""))</f>
      </c>
      <c r="W9" s="684">
        <f>IF(終値!A9="","",IF(AND(安値!AB9&lt;安値!AA9,安値!AB9&lt;安値!Z9,安値!AB9&lt;安値!AC9,安値!AB9&lt;安値!AD9),23,""))</f>
      </c>
      <c r="X9" s="684">
        <f>IF(終値!A9="","",IF(AND(安値!AC9&lt;安値!AB9,安値!AC9&lt;安値!AA9,安値!AC9&lt;安値!AD9,安値!AC9&lt;安値!AE9),24,""))</f>
      </c>
      <c r="Y9" s="684">
        <f>IF(終値!A9="","",IF(AND(安値!AD9&lt;安値!AC9,安値!AD9&lt;安値!AB9,安値!AD9&lt;安値!AE9,安値!AD9&lt;安値!AF9),25,""))</f>
      </c>
      <c r="Z9" s="684">
        <f>IF(終値!A9="","",IF(AND(安値!AE9&lt;安値!AD9,安値!AE9&lt;安値!AC9,安値!AE9&lt;安値!AF9,安値!AE9&lt;安値!AG9),26,""))</f>
      </c>
      <c r="AA9" s="684">
        <f>IF(終値!A9="","",IF(AND(安値!AF9&lt;安値!AE9,安値!AF9&lt;安値!AD9,安値!AF9&lt;安値!AG9,安値!AF9&lt;安値!AH9),27,""))</f>
      </c>
      <c r="AB9" s="684">
        <f>IF(終値!A9="","",IF(AND(安値!AG9&lt;安値!AF9,安値!AG9&lt;安値!AE9,安値!AG9&lt;安値!AH9,安値!AG9&lt;安値!AI9),28,""))</f>
      </c>
      <c r="AC9" s="684">
        <f>IF(終値!A9="","",IF(AND(高値!G9&gt;高値!F9,高値!G9&gt;高値!E9,高値!G9&gt;高値!H9,高値!G9&gt;高値!I9),2,""))</f>
      </c>
      <c r="AD9" s="684">
        <f>IF(終値!A9="","",IF(AND(高値!H9&gt;高値!G9,高値!H9&gt;高値!F9,高値!H9&gt;高値!I9,高値!H9&gt;高値!J9),3,""))</f>
      </c>
      <c r="AE9" s="684">
        <f>IF(終値!A9="","",IF(AND(高値!I9&gt;高値!H9,高値!I9&gt;高値!G9,高値!I9&gt;高値!J9,高値!I9&gt;高値!K9),4,""))</f>
      </c>
      <c r="AF9" s="684">
        <f>IF(終値!A9="","",IF(AND(高値!J9&gt;高値!I9,高値!J9&gt;高値!H9,高値!J9&gt;高値!K9,高値!J9&gt;高値!L9),5,""))</f>
      </c>
      <c r="AG9" s="684">
        <f>IF(終値!A9="","",IF(AND(高値!K9&gt;高値!J9,高値!K9&gt;高値!I9,高値!K9&gt;高値!L9,高値!K9&gt;高値!M9),6,""))</f>
      </c>
      <c r="AH9" s="684">
        <f>IF(終値!A9="","",IF(AND(高値!L9&gt;高値!K9,高値!L9&gt;高値!J9,高値!L9&gt;高値!M9,高値!L9&gt;高値!N9),7,""))</f>
      </c>
      <c r="AI9" s="684">
        <f>IF(終値!A9="","",IF(AND(高値!M9&gt;高値!L9,高値!M9&gt;高値!K9,高値!M9&gt;高値!N9,高値!M9&gt;高値!O9),8,""))</f>
      </c>
      <c r="AJ9" s="684">
        <f>IF(終値!A9="","",IF(AND(高値!N9&gt;高値!M9,高値!N9&gt;高値!L9,高値!N9&gt;高値!O9,高値!N9&gt;高値!P9),9,""))</f>
      </c>
      <c r="AK9" s="684">
        <f>IF(終値!A9="","",IF(AND(高値!O9&gt;高値!N9,高値!O9&gt;高値!M9,高値!O9&gt;高値!P9,高値!O9&gt;高値!Q9),10,""))</f>
      </c>
      <c r="AL9" s="684">
        <f>IF(終値!A9="","",IF(AND(高値!P9&gt;高値!O9,高値!P9&gt;高値!N9,高値!P9&gt;高値!Q9,高値!P9&gt;高値!R9),11,""))</f>
      </c>
      <c r="AM9" s="684">
        <f>IF(終値!A9="","",IF(AND(高値!Q9&gt;高値!P9,高値!Q9&gt;高値!O9,高値!Q9&gt;高値!R9,高値!Q9&gt;高値!S9),12,""))</f>
      </c>
      <c r="AN9" s="684">
        <f>IF(終値!A9="","",IF(AND(高値!R9&gt;高値!Q9,高値!R9&gt;高値!P9,高値!R9&gt;高値!S9,高値!R9&gt;高値!T9),13,""))</f>
      </c>
      <c r="AO9" s="684">
        <f>IF(終値!A9="","",IF(AND(高値!S9&gt;高値!R9,高値!S9&gt;高値!Q9,高値!S9&gt;高値!T9,高値!S9&gt;高値!U9),14,""))</f>
      </c>
      <c r="AP9" s="684">
        <f>IF(終値!A9="","",IF(AND(高値!T9&gt;高値!S9,高値!T9&gt;高値!R9,高値!T9&gt;高値!U9,高値!T9&gt;高値!V9),15,""))</f>
      </c>
      <c r="AQ9" s="684">
        <f>IF(終値!A9="","",IF(AND(高値!U9&gt;高値!T9,高値!U9&gt;高値!S9,高値!U9&gt;高値!V9,高値!U9&gt;高値!W9),16,""))</f>
      </c>
      <c r="AR9" s="684">
        <f>IF(終値!A9="","",IF(AND(高値!V9&gt;高値!U9,高値!V9&gt;高値!T9,高値!V9&gt;高値!W9,高値!V9&gt;高値!X9),17,""))</f>
      </c>
      <c r="AS9" s="684">
        <f>IF(終値!A9="","",IF(AND(高値!W9&gt;高値!V9,高値!W9&gt;高値!U9,高値!W9&gt;高値!X9,高値!W9&gt;高値!Y9),18,""))</f>
      </c>
      <c r="AT9" s="684">
        <f>IF(終値!A9="","",IF(AND(高値!X9&gt;高値!W9,高値!X9&gt;高値!V9,高値!X9&gt;高値!Y9,高値!X9&gt;高値!Z9),19,""))</f>
      </c>
      <c r="AU9" s="684">
        <f>IF(終値!A9="","",IF(AND(高値!Y9&gt;高値!X9,高値!Y9&gt;高値!W9,高値!Y9&gt;高値!Z9,高値!Y9&gt;高値!AA9),20,""))</f>
      </c>
      <c r="AV9" s="684">
        <f>IF(終値!A9="","",IF(AND(高値!Z9&gt;高値!Y9,高値!Z9&gt;高値!X9,高値!Z9&gt;高値!AA9,高値!Z9&gt;高値!AB9),21,""))</f>
      </c>
      <c r="AW9" s="684">
        <f>IF(終値!A9="","",IF(AND(高値!AA9&gt;高値!Z9,高値!AA9&gt;高値!Y9,高値!AA9&gt;高値!AB9,高値!AA9&gt;高値!AC9),22,""))</f>
      </c>
      <c r="AX9" s="684">
        <f>IF(終値!A9="","",IF(AND(高値!AB9&gt;高値!AA9,高値!AB9&gt;高値!Z9,高値!AB9&gt;高値!AC9,高値!AB9&gt;高値!AD9),23,""))</f>
      </c>
      <c r="AY9" s="684">
        <f>IF(終値!A9="","",IF(AND(高値!AC9&gt;高値!AB9,高値!AC9&gt;高値!AA9,高値!AC9&gt;高値!AD9,高値!AC9&gt;高値!AE9),24,""))</f>
      </c>
      <c r="AZ9" s="684">
        <f>IF(終値!A9="","",IF(AND(高値!AD9&gt;高値!AC9,高値!AD9&gt;高値!AB9,高値!AD9&gt;高値!AE9,高値!AD9&gt;高値!AF9),25,""))</f>
      </c>
      <c r="BA9" s="684">
        <f>IF(終値!A9="","",IF(AND(高値!AE9&gt;高値!AD9,高値!AE9&gt;高値!AC9,高値!AE9&gt;高値!AF9,高値!AE9&gt;高値!AG9),26,""))</f>
      </c>
      <c r="BB9" s="684">
        <f>IF(終値!A9="","",IF(AND(高値!AF9&gt;高値!AE9,高値!AF9&gt;高値!AD9,高値!AF9&gt;高値!AG9,高値!AF9&gt;高値!AH9),27,""))</f>
      </c>
      <c r="BC9" s="684">
        <f>IF(終値!A9="","",IF(AND(高値!AG9&gt;高値!AF9,高値!AG9&gt;高値!AE9,高値!AG9&gt;高値!AH9,高値!AG9&gt;高値!AI9),28,""))</f>
      </c>
      <c r="BD9" s="684">
        <f>COUNT($B9:$AB9)</f>
      </c>
      <c r="BE9" s="684">
        <f>IF($BD9&gt;=2,MIN($B9:$AB9),"")</f>
      </c>
      <c r="BF9" s="684">
        <f>IF($BD9&gt;=2,SMALL($B9:$AB9,2),"")</f>
      </c>
      <c r="BG9" s="684">
        <f>IF($BE9="","",INDEX(安値!$E9:$CZ9,1,$BE9+1))</f>
      </c>
      <c r="BH9" s="684">
        <f>IF($BF9="","",INDEX(安値!$E9:$CZ9,1,$BF9+1))</f>
      </c>
      <c r="BI9" s="684">
        <f>IF($BF9="","",MAX(INDEX(高値!$E9:$CZ9,1,$BE9+1):INDEX(高値!$E9:$CZ9,1,$BF9+1)))</f>
      </c>
      <c r="BJ9" s="684">
        <f>IF($BF9="","",AVERAGE(INDEX(終値!$E9:$CZ9,1,$BF9+1):INDEX(終値!$E9:$CZ9,1,$BF9+20))-2*STDEVP(INDEX(終値!$E9:$CZ9,1,$BF9+1):INDEX(終値!$E9:$CZ9,1,$BF9+20)))</f>
      </c>
      <c r="BK9" s="684">
        <f>IF($BE9="","",AVERAGE(INDEX(終値!$E9:$CZ9,1,$BE9+1):INDEX(終値!$E9:$CZ9,1,$BE9+20))-2*STDEVP(INDEX(終値!$E9:$CZ9,1,$BE9+1):INDEX(終値!$E9:$CZ9,1,$BE9+20)))</f>
      </c>
      <c r="BL9" s="684">
        <f>COUNT($AC9:$BC9)</f>
      </c>
      <c r="BM9" s="684">
        <f>IF($BL9&gt;=2,MIN($AC9:$BC9),"")</f>
      </c>
      <c r="BN9" s="684">
        <f>IF($BL9&gt;=2,SMALL($AC9:$BC9,2),"")</f>
      </c>
      <c r="BO9" s="684">
        <f>IF($BM9="","",INDEX(高値!$E9:$CZ9,1,$BM9+1))</f>
      </c>
      <c r="BP9" s="684">
        <f>IF($BN9="","",INDEX(高値!$E9:$CZ9,1,$BN9+1))</f>
      </c>
      <c r="BQ9" s="684">
        <f>IF($BN9="","",MIN(INDEX(安値!$E9:$CZ9,1,$BM9+1):INDEX(安値!$E9:$CZ9,1,$BN9+1)))</f>
      </c>
      <c r="BR9" s="684">
        <f>IF($BN9="","",AVERAGE(INDEX(終値!$E9:$CZ9,1,$BN9+1):INDEX(終値!$E9:$CZ9,1,$BN9+20))+2*STDEVP(INDEX(終値!$E9:$CZ9,1,$BN9+1):INDEX(終値!$E9:$CZ9,1,$BN9+20)))</f>
      </c>
      <c r="BS9" s="684">
        <f>IF($BM9="","",AVERAGE(INDEX(終値!$E9:$CZ9,1,$BM9+1):INDEX(終値!$E9:$CZ9,1,$BM9+20))+2*STDEVP(INDEX(終値!$E9:$CZ9,1,$BM9+1):INDEX(終値!$E9:$CZ9,1,$BM9+20)))</f>
      </c>
      <c r="BT9" s="681">
        <f>IFERROR(IF(AND($BD9&gt;=2,ABS($BG9-$BH9)/$BH9&lt;=BB設定!$B$12,$BI9&gt;=MAX($BH9,$BG9)*(1+BB設定!$B$13),終値!E9&gt;$BG9),IF(OR(終値!E9&gt;=$BI9,AND($BH9&lt;$BJ9,$BG9&gt;=$BK9)),"二番底W▲","二番底W形成"),IF(AND($BL9&gt;=2,ABS($BO9-$BP9)/$BP9&lt;=BB設定!$B$12,$BQ9&lt;=MIN($BP9,$BO9)*(1-BB設定!$B$13),終値!E9&lt;$BO9),IF(OR(終値!E9&lt;=$BQ9,AND($BP9&gt;$BR9,$BO9&lt;=$BS9)),"二番天井M▼","二番天井M形成"),"－")),"－")</f>
      </c>
    </row>
    <row r="10">
      <c r="B10" s="684">
        <f>IF(終値!A10="","",IF(AND(安値!G10&lt;安値!F10,安値!G10&lt;安値!E10,安値!G10&lt;安値!H10,安値!G10&lt;安値!I10),2,""))</f>
      </c>
      <c r="C10" s="684">
        <f>IF(終値!A10="","",IF(AND(安値!H10&lt;安値!G10,安値!H10&lt;安値!F10,安値!H10&lt;安値!I10,安値!H10&lt;安値!J10),3,""))</f>
      </c>
      <c r="D10" s="684">
        <f>IF(終値!A10="","",IF(AND(安値!I10&lt;安値!H10,安値!I10&lt;安値!G10,安値!I10&lt;安値!J10,安値!I10&lt;安値!K10),4,""))</f>
      </c>
      <c r="E10" s="684">
        <f>IF(終値!A10="","",IF(AND(安値!J10&lt;安値!I10,安値!J10&lt;安値!H10,安値!J10&lt;安値!K10,安値!J10&lt;安値!L10),5,""))</f>
      </c>
      <c r="F10" s="684">
        <f>IF(終値!A10="","",IF(AND(安値!K10&lt;安値!J10,安値!K10&lt;安値!I10,安値!K10&lt;安値!L10,安値!K10&lt;安値!M10),6,""))</f>
      </c>
      <c r="G10" s="684">
        <f>IF(終値!A10="","",IF(AND(安値!L10&lt;安値!K10,安値!L10&lt;安値!J10,安値!L10&lt;安値!M10,安値!L10&lt;安値!N10),7,""))</f>
      </c>
      <c r="H10" s="684">
        <f>IF(終値!A10="","",IF(AND(安値!M10&lt;安値!L10,安値!M10&lt;安値!K10,安値!M10&lt;安値!N10,安値!M10&lt;安値!O10),8,""))</f>
      </c>
      <c r="I10" s="684">
        <f>IF(終値!A10="","",IF(AND(安値!N10&lt;安値!M10,安値!N10&lt;安値!L10,安値!N10&lt;安値!O10,安値!N10&lt;安値!P10),9,""))</f>
      </c>
      <c r="J10" s="684">
        <f>IF(終値!A10="","",IF(AND(安値!O10&lt;安値!N10,安値!O10&lt;安値!M10,安値!O10&lt;安値!P10,安値!O10&lt;安値!Q10),10,""))</f>
      </c>
      <c r="K10" s="684">
        <f>IF(終値!A10="","",IF(AND(安値!P10&lt;安値!O10,安値!P10&lt;安値!N10,安値!P10&lt;安値!Q10,安値!P10&lt;安値!R10),11,""))</f>
      </c>
      <c r="L10" s="684">
        <f>IF(終値!A10="","",IF(AND(安値!Q10&lt;安値!P10,安値!Q10&lt;安値!O10,安値!Q10&lt;安値!R10,安値!Q10&lt;安値!S10),12,""))</f>
      </c>
      <c r="M10" s="684">
        <f>IF(終値!A10="","",IF(AND(安値!R10&lt;安値!Q10,安値!R10&lt;安値!P10,安値!R10&lt;安値!S10,安値!R10&lt;安値!T10),13,""))</f>
      </c>
      <c r="N10" s="684">
        <f>IF(終値!A10="","",IF(AND(安値!S10&lt;安値!R10,安値!S10&lt;安値!Q10,安値!S10&lt;安値!T10,安値!S10&lt;安値!U10),14,""))</f>
      </c>
      <c r="O10" s="684">
        <f>IF(終値!A10="","",IF(AND(安値!T10&lt;安値!S10,安値!T10&lt;安値!R10,安値!T10&lt;安値!U10,安値!T10&lt;安値!V10),15,""))</f>
      </c>
      <c r="P10" s="684">
        <f>IF(終値!A10="","",IF(AND(安値!U10&lt;安値!T10,安値!U10&lt;安値!S10,安値!U10&lt;安値!V10,安値!U10&lt;安値!W10),16,""))</f>
      </c>
      <c r="Q10" s="684">
        <f>IF(終値!A10="","",IF(AND(安値!V10&lt;安値!U10,安値!V10&lt;安値!T10,安値!V10&lt;安値!W10,安値!V10&lt;安値!X10),17,""))</f>
      </c>
      <c r="R10" s="684">
        <f>IF(終値!A10="","",IF(AND(安値!W10&lt;安値!V10,安値!W10&lt;安値!U10,安値!W10&lt;安値!X10,安値!W10&lt;安値!Y10),18,""))</f>
      </c>
      <c r="S10" s="684">
        <f>IF(終値!A10="","",IF(AND(安値!X10&lt;安値!W10,安値!X10&lt;安値!V10,安値!X10&lt;安値!Y10,安値!X10&lt;安値!Z10),19,""))</f>
      </c>
      <c r="T10" s="684">
        <f>IF(終値!A10="","",IF(AND(安値!Y10&lt;安値!X10,安値!Y10&lt;安値!W10,安値!Y10&lt;安値!Z10,安値!Y10&lt;安値!AA10),20,""))</f>
      </c>
      <c r="U10" s="684">
        <f>IF(終値!A10="","",IF(AND(安値!Z10&lt;安値!Y10,安値!Z10&lt;安値!X10,安値!Z10&lt;安値!AA10,安値!Z10&lt;安値!AB10),21,""))</f>
      </c>
      <c r="V10" s="684">
        <f>IF(終値!A10="","",IF(AND(安値!AA10&lt;安値!Z10,安値!AA10&lt;安値!Y10,安値!AA10&lt;安値!AB10,安値!AA10&lt;安値!AC10),22,""))</f>
      </c>
      <c r="W10" s="684">
        <f>IF(終値!A10="","",IF(AND(安値!AB10&lt;安値!AA10,安値!AB10&lt;安値!Z10,安値!AB10&lt;安値!AC10,安値!AB10&lt;安値!AD10),23,""))</f>
      </c>
      <c r="X10" s="684">
        <f>IF(終値!A10="","",IF(AND(安値!AC10&lt;安値!AB10,安値!AC10&lt;安値!AA10,安値!AC10&lt;安値!AD10,安値!AC10&lt;安値!AE10),24,""))</f>
      </c>
      <c r="Y10" s="684">
        <f>IF(終値!A10="","",IF(AND(安値!AD10&lt;安値!AC10,安値!AD10&lt;安値!AB10,安値!AD10&lt;安値!AE10,安値!AD10&lt;安値!AF10),25,""))</f>
      </c>
      <c r="Z10" s="684">
        <f>IF(終値!A10="","",IF(AND(安値!AE10&lt;安値!AD10,安値!AE10&lt;安値!AC10,安値!AE10&lt;安値!AF10,安値!AE10&lt;安値!AG10),26,""))</f>
      </c>
      <c r="AA10" s="684">
        <f>IF(終値!A10="","",IF(AND(安値!AF10&lt;安値!AE10,安値!AF10&lt;安値!AD10,安値!AF10&lt;安値!AG10,安値!AF10&lt;安値!AH10),27,""))</f>
      </c>
      <c r="AB10" s="684">
        <f>IF(終値!A10="","",IF(AND(安値!AG10&lt;安値!AF10,安値!AG10&lt;安値!AE10,安値!AG10&lt;安値!AH10,安値!AG10&lt;安値!AI10),28,""))</f>
      </c>
      <c r="AC10" s="684">
        <f>IF(終値!A10="","",IF(AND(高値!G10&gt;高値!F10,高値!G10&gt;高値!E10,高値!G10&gt;高値!H10,高値!G10&gt;高値!I10),2,""))</f>
      </c>
      <c r="AD10" s="684">
        <f>IF(終値!A10="","",IF(AND(高値!H10&gt;高値!G10,高値!H10&gt;高値!F10,高値!H10&gt;高値!I10,高値!H10&gt;高値!J10),3,""))</f>
      </c>
      <c r="AE10" s="684">
        <f>IF(終値!A10="","",IF(AND(高値!I10&gt;高値!H10,高値!I10&gt;高値!G10,高値!I10&gt;高値!J10,高値!I10&gt;高値!K10),4,""))</f>
      </c>
      <c r="AF10" s="684">
        <f>IF(終値!A10="","",IF(AND(高値!J10&gt;高値!I10,高値!J10&gt;高値!H10,高値!J10&gt;高値!K10,高値!J10&gt;高値!L10),5,""))</f>
      </c>
      <c r="AG10" s="684">
        <f>IF(終値!A10="","",IF(AND(高値!K10&gt;高値!J10,高値!K10&gt;高値!I10,高値!K10&gt;高値!L10,高値!K10&gt;高値!M10),6,""))</f>
      </c>
      <c r="AH10" s="684">
        <f>IF(終値!A10="","",IF(AND(高値!L10&gt;高値!K10,高値!L10&gt;高値!J10,高値!L10&gt;高値!M10,高値!L10&gt;高値!N10),7,""))</f>
      </c>
      <c r="AI10" s="684">
        <f>IF(終値!A10="","",IF(AND(高値!M10&gt;高値!L10,高値!M10&gt;高値!K10,高値!M10&gt;高値!N10,高値!M10&gt;高値!O10),8,""))</f>
      </c>
      <c r="AJ10" s="684">
        <f>IF(終値!A10="","",IF(AND(高値!N10&gt;高値!M10,高値!N10&gt;高値!L10,高値!N10&gt;高値!O10,高値!N10&gt;高値!P10),9,""))</f>
      </c>
      <c r="AK10" s="684">
        <f>IF(終値!A10="","",IF(AND(高値!O10&gt;高値!N10,高値!O10&gt;高値!M10,高値!O10&gt;高値!P10,高値!O10&gt;高値!Q10),10,""))</f>
      </c>
      <c r="AL10" s="684">
        <f>IF(終値!A10="","",IF(AND(高値!P10&gt;高値!O10,高値!P10&gt;高値!N10,高値!P10&gt;高値!Q10,高値!P10&gt;高値!R10),11,""))</f>
      </c>
      <c r="AM10" s="684">
        <f>IF(終値!A10="","",IF(AND(高値!Q10&gt;高値!P10,高値!Q10&gt;高値!O10,高値!Q10&gt;高値!R10,高値!Q10&gt;高値!S10),12,""))</f>
      </c>
      <c r="AN10" s="684">
        <f>IF(終値!A10="","",IF(AND(高値!R10&gt;高値!Q10,高値!R10&gt;高値!P10,高値!R10&gt;高値!S10,高値!R10&gt;高値!T10),13,""))</f>
      </c>
      <c r="AO10" s="684">
        <f>IF(終値!A10="","",IF(AND(高値!S10&gt;高値!R10,高値!S10&gt;高値!Q10,高値!S10&gt;高値!T10,高値!S10&gt;高値!U10),14,""))</f>
      </c>
      <c r="AP10" s="684">
        <f>IF(終値!A10="","",IF(AND(高値!T10&gt;高値!S10,高値!T10&gt;高値!R10,高値!T10&gt;高値!U10,高値!T10&gt;高値!V10),15,""))</f>
      </c>
      <c r="AQ10" s="684">
        <f>IF(終値!A10="","",IF(AND(高値!U10&gt;高値!T10,高値!U10&gt;高値!S10,高値!U10&gt;高値!V10,高値!U10&gt;高値!W10),16,""))</f>
      </c>
      <c r="AR10" s="684">
        <f>IF(終値!A10="","",IF(AND(高値!V10&gt;高値!U10,高値!V10&gt;高値!T10,高値!V10&gt;高値!W10,高値!V10&gt;高値!X10),17,""))</f>
      </c>
      <c r="AS10" s="684">
        <f>IF(終値!A10="","",IF(AND(高値!W10&gt;高値!V10,高値!W10&gt;高値!U10,高値!W10&gt;高値!X10,高値!W10&gt;高値!Y10),18,""))</f>
      </c>
      <c r="AT10" s="684">
        <f>IF(終値!A10="","",IF(AND(高値!X10&gt;高値!W10,高値!X10&gt;高値!V10,高値!X10&gt;高値!Y10,高値!X10&gt;高値!Z10),19,""))</f>
      </c>
      <c r="AU10" s="684">
        <f>IF(終値!A10="","",IF(AND(高値!Y10&gt;高値!X10,高値!Y10&gt;高値!W10,高値!Y10&gt;高値!Z10,高値!Y10&gt;高値!AA10),20,""))</f>
      </c>
      <c r="AV10" s="684">
        <f>IF(終値!A10="","",IF(AND(高値!Z10&gt;高値!Y10,高値!Z10&gt;高値!X10,高値!Z10&gt;高値!AA10,高値!Z10&gt;高値!AB10),21,""))</f>
      </c>
      <c r="AW10" s="684">
        <f>IF(終値!A10="","",IF(AND(高値!AA10&gt;高値!Z10,高値!AA10&gt;高値!Y10,高値!AA10&gt;高値!AB10,高値!AA10&gt;高値!AC10),22,""))</f>
      </c>
      <c r="AX10" s="684">
        <f>IF(終値!A10="","",IF(AND(高値!AB10&gt;高値!AA10,高値!AB10&gt;高値!Z10,高値!AB10&gt;高値!AC10,高値!AB10&gt;高値!AD10),23,""))</f>
      </c>
      <c r="AY10" s="684">
        <f>IF(終値!A10="","",IF(AND(高値!AC10&gt;高値!AB10,高値!AC10&gt;高値!AA10,高値!AC10&gt;高値!AD10,高値!AC10&gt;高値!AE10),24,""))</f>
      </c>
      <c r="AZ10" s="684">
        <f>IF(終値!A10="","",IF(AND(高値!AD10&gt;高値!AC10,高値!AD10&gt;高値!AB10,高値!AD10&gt;高値!AE10,高値!AD10&gt;高値!AF10),25,""))</f>
      </c>
      <c r="BA10" s="684">
        <f>IF(終値!A10="","",IF(AND(高値!AE10&gt;高値!AD10,高値!AE10&gt;高値!AC10,高値!AE10&gt;高値!AF10,高値!AE10&gt;高値!AG10),26,""))</f>
      </c>
      <c r="BB10" s="684">
        <f>IF(終値!A10="","",IF(AND(高値!AF10&gt;高値!AE10,高値!AF10&gt;高値!AD10,高値!AF10&gt;高値!AG10,高値!AF10&gt;高値!AH10),27,""))</f>
      </c>
      <c r="BC10" s="684">
        <f>IF(終値!A10="","",IF(AND(高値!AG10&gt;高値!AF10,高値!AG10&gt;高値!AE10,高値!AG10&gt;高値!AH10,高値!AG10&gt;高値!AI10),28,""))</f>
      </c>
      <c r="BD10" s="684">
        <f>COUNT($B10:$AB10)</f>
      </c>
      <c r="BE10" s="684">
        <f>IF($BD10&gt;=2,MIN($B10:$AB10),"")</f>
      </c>
      <c r="BF10" s="684">
        <f>IF($BD10&gt;=2,SMALL($B10:$AB10,2),"")</f>
      </c>
      <c r="BG10" s="684">
        <f>IF($BE10="","",INDEX(安値!$E10:$CZ10,1,$BE10+1))</f>
      </c>
      <c r="BH10" s="684">
        <f>IF($BF10="","",INDEX(安値!$E10:$CZ10,1,$BF10+1))</f>
      </c>
      <c r="BI10" s="684">
        <f>IF($BF10="","",MAX(INDEX(高値!$E10:$CZ10,1,$BE10+1):INDEX(高値!$E10:$CZ10,1,$BF10+1)))</f>
      </c>
      <c r="BJ10" s="684">
        <f>IF($BF10="","",AVERAGE(INDEX(終値!$E10:$CZ10,1,$BF10+1):INDEX(終値!$E10:$CZ10,1,$BF10+20))-2*STDEVP(INDEX(終値!$E10:$CZ10,1,$BF10+1):INDEX(終値!$E10:$CZ10,1,$BF10+20)))</f>
      </c>
      <c r="BK10" s="684">
        <f>IF($BE10="","",AVERAGE(INDEX(終値!$E10:$CZ10,1,$BE10+1):INDEX(終値!$E10:$CZ10,1,$BE10+20))-2*STDEVP(INDEX(終値!$E10:$CZ10,1,$BE10+1):INDEX(終値!$E10:$CZ10,1,$BE10+20)))</f>
      </c>
      <c r="BL10" s="684">
        <f>COUNT($AC10:$BC10)</f>
      </c>
      <c r="BM10" s="684">
        <f>IF($BL10&gt;=2,MIN($AC10:$BC10),"")</f>
      </c>
      <c r="BN10" s="684">
        <f>IF($BL10&gt;=2,SMALL($AC10:$BC10,2),"")</f>
      </c>
      <c r="BO10" s="684">
        <f>IF($BM10="","",INDEX(高値!$E10:$CZ10,1,$BM10+1))</f>
      </c>
      <c r="BP10" s="684">
        <f>IF($BN10="","",INDEX(高値!$E10:$CZ10,1,$BN10+1))</f>
      </c>
      <c r="BQ10" s="684">
        <f>IF($BN10="","",MIN(INDEX(安値!$E10:$CZ10,1,$BM10+1):INDEX(安値!$E10:$CZ10,1,$BN10+1)))</f>
      </c>
      <c r="BR10" s="684">
        <f>IF($BN10="","",AVERAGE(INDEX(終値!$E10:$CZ10,1,$BN10+1):INDEX(終値!$E10:$CZ10,1,$BN10+20))+2*STDEVP(INDEX(終値!$E10:$CZ10,1,$BN10+1):INDEX(終値!$E10:$CZ10,1,$BN10+20)))</f>
      </c>
      <c r="BS10" s="684">
        <f>IF($BM10="","",AVERAGE(INDEX(終値!$E10:$CZ10,1,$BM10+1):INDEX(終値!$E10:$CZ10,1,$BM10+20))+2*STDEVP(INDEX(終値!$E10:$CZ10,1,$BM10+1):INDEX(終値!$E10:$CZ10,1,$BM10+20)))</f>
      </c>
      <c r="BT10" s="681">
        <f>IFERROR(IF(AND($BD10&gt;=2,ABS($BG10-$BH10)/$BH10&lt;=BB設定!$B$12,$BI10&gt;=MAX($BH10,$BG10)*(1+BB設定!$B$13),終値!E10&gt;$BG10),IF(OR(終値!E10&gt;=$BI10,AND($BH10&lt;$BJ10,$BG10&gt;=$BK10)),"二番底W▲","二番底W形成"),IF(AND($BL10&gt;=2,ABS($BO10-$BP10)/$BP10&lt;=BB設定!$B$12,$BQ10&lt;=MIN($BP10,$BO10)*(1-BB設定!$B$13),終値!E10&lt;$BO10),IF(OR(終値!E10&lt;=$BQ10,AND($BP10&gt;$BR10,$BO10&lt;=$BS10)),"二番天井M▼","二番天井M形成"),"－")),"－")</f>
      </c>
    </row>
    <row r="11">
      <c r="B11" s="684">
        <f>IF(終値!A11="","",IF(AND(安値!G11&lt;安値!F11,安値!G11&lt;安値!E11,安値!G11&lt;安値!H11,安値!G11&lt;安値!I11),2,""))</f>
      </c>
      <c r="C11" s="684">
        <f>IF(終値!A11="","",IF(AND(安値!H11&lt;安値!G11,安値!H11&lt;安値!F11,安値!H11&lt;安値!I11,安値!H11&lt;安値!J11),3,""))</f>
      </c>
      <c r="D11" s="684">
        <f>IF(終値!A11="","",IF(AND(安値!I11&lt;安値!H11,安値!I11&lt;安値!G11,安値!I11&lt;安値!J11,安値!I11&lt;安値!K11),4,""))</f>
      </c>
      <c r="E11" s="684">
        <f>IF(終値!A11="","",IF(AND(安値!J11&lt;安値!I11,安値!J11&lt;安値!H11,安値!J11&lt;安値!K11,安値!J11&lt;安値!L11),5,""))</f>
      </c>
      <c r="F11" s="684">
        <f>IF(終値!A11="","",IF(AND(安値!K11&lt;安値!J11,安値!K11&lt;安値!I11,安値!K11&lt;安値!L11,安値!K11&lt;安値!M11),6,""))</f>
      </c>
      <c r="G11" s="684">
        <f>IF(終値!A11="","",IF(AND(安値!L11&lt;安値!K11,安値!L11&lt;安値!J11,安値!L11&lt;安値!M11,安値!L11&lt;安値!N11),7,""))</f>
      </c>
      <c r="H11" s="684">
        <f>IF(終値!A11="","",IF(AND(安値!M11&lt;安値!L11,安値!M11&lt;安値!K11,安値!M11&lt;安値!N11,安値!M11&lt;安値!O11),8,""))</f>
      </c>
      <c r="I11" s="684">
        <f>IF(終値!A11="","",IF(AND(安値!N11&lt;安値!M11,安値!N11&lt;安値!L11,安値!N11&lt;安値!O11,安値!N11&lt;安値!P11),9,""))</f>
      </c>
      <c r="J11" s="684">
        <f>IF(終値!A11="","",IF(AND(安値!O11&lt;安値!N11,安値!O11&lt;安値!M11,安値!O11&lt;安値!P11,安値!O11&lt;安値!Q11),10,""))</f>
      </c>
      <c r="K11" s="684">
        <f>IF(終値!A11="","",IF(AND(安値!P11&lt;安値!O11,安値!P11&lt;安値!N11,安値!P11&lt;安値!Q11,安値!P11&lt;安値!R11),11,""))</f>
      </c>
      <c r="L11" s="684">
        <f>IF(終値!A11="","",IF(AND(安値!Q11&lt;安値!P11,安値!Q11&lt;安値!O11,安値!Q11&lt;安値!R11,安値!Q11&lt;安値!S11),12,""))</f>
      </c>
      <c r="M11" s="684">
        <f>IF(終値!A11="","",IF(AND(安値!R11&lt;安値!Q11,安値!R11&lt;安値!P11,安値!R11&lt;安値!S11,安値!R11&lt;安値!T11),13,""))</f>
      </c>
      <c r="N11" s="684">
        <f>IF(終値!A11="","",IF(AND(安値!S11&lt;安値!R11,安値!S11&lt;安値!Q11,安値!S11&lt;安値!T11,安値!S11&lt;安値!U11),14,""))</f>
      </c>
      <c r="O11" s="684">
        <f>IF(終値!A11="","",IF(AND(安値!T11&lt;安値!S11,安値!T11&lt;安値!R11,安値!T11&lt;安値!U11,安値!T11&lt;安値!V11),15,""))</f>
      </c>
      <c r="P11" s="684">
        <f>IF(終値!A11="","",IF(AND(安値!U11&lt;安値!T11,安値!U11&lt;安値!S11,安値!U11&lt;安値!V11,安値!U11&lt;安値!W11),16,""))</f>
      </c>
      <c r="Q11" s="684">
        <f>IF(終値!A11="","",IF(AND(安値!V11&lt;安値!U11,安値!V11&lt;安値!T11,安値!V11&lt;安値!W11,安値!V11&lt;安値!X11),17,""))</f>
      </c>
      <c r="R11" s="684">
        <f>IF(終値!A11="","",IF(AND(安値!W11&lt;安値!V11,安値!W11&lt;安値!U11,安値!W11&lt;安値!X11,安値!W11&lt;安値!Y11),18,""))</f>
      </c>
      <c r="S11" s="684">
        <f>IF(終値!A11="","",IF(AND(安値!X11&lt;安値!W11,安値!X11&lt;安値!V11,安値!X11&lt;安値!Y11,安値!X11&lt;安値!Z11),19,""))</f>
      </c>
      <c r="T11" s="684">
        <f>IF(終値!A11="","",IF(AND(安値!Y11&lt;安値!X11,安値!Y11&lt;安値!W11,安値!Y11&lt;安値!Z11,安値!Y11&lt;安値!AA11),20,""))</f>
      </c>
      <c r="U11" s="684">
        <f>IF(終値!A11="","",IF(AND(安値!Z11&lt;安値!Y11,安値!Z11&lt;安値!X11,安値!Z11&lt;安値!AA11,安値!Z11&lt;安値!AB11),21,""))</f>
      </c>
      <c r="V11" s="684">
        <f>IF(終値!A11="","",IF(AND(安値!AA11&lt;安値!Z11,安値!AA11&lt;安値!Y11,安値!AA11&lt;安値!AB11,安値!AA11&lt;安値!AC11),22,""))</f>
      </c>
      <c r="W11" s="684">
        <f>IF(終値!A11="","",IF(AND(安値!AB11&lt;安値!AA11,安値!AB11&lt;安値!Z11,安値!AB11&lt;安値!AC11,安値!AB11&lt;安値!AD11),23,""))</f>
      </c>
      <c r="X11" s="684">
        <f>IF(終値!A11="","",IF(AND(安値!AC11&lt;安値!AB11,安値!AC11&lt;安値!AA11,安値!AC11&lt;安値!AD11,安値!AC11&lt;安値!AE11),24,""))</f>
      </c>
      <c r="Y11" s="684">
        <f>IF(終値!A11="","",IF(AND(安値!AD11&lt;安値!AC11,安値!AD11&lt;安値!AB11,安値!AD11&lt;安値!AE11,安値!AD11&lt;安値!AF11),25,""))</f>
      </c>
      <c r="Z11" s="684">
        <f>IF(終値!A11="","",IF(AND(安値!AE11&lt;安値!AD11,安値!AE11&lt;安値!AC11,安値!AE11&lt;安値!AF11,安値!AE11&lt;安値!AG11),26,""))</f>
      </c>
      <c r="AA11" s="684">
        <f>IF(終値!A11="","",IF(AND(安値!AF11&lt;安値!AE11,安値!AF11&lt;安値!AD11,安値!AF11&lt;安値!AG11,安値!AF11&lt;安値!AH11),27,""))</f>
      </c>
      <c r="AB11" s="684">
        <f>IF(終値!A11="","",IF(AND(安値!AG11&lt;安値!AF11,安値!AG11&lt;安値!AE11,安値!AG11&lt;安値!AH11,安値!AG11&lt;安値!AI11),28,""))</f>
      </c>
      <c r="AC11" s="684">
        <f>IF(終値!A11="","",IF(AND(高値!G11&gt;高値!F11,高値!G11&gt;高値!E11,高値!G11&gt;高値!H11,高値!G11&gt;高値!I11),2,""))</f>
      </c>
      <c r="AD11" s="684">
        <f>IF(終値!A11="","",IF(AND(高値!H11&gt;高値!G11,高値!H11&gt;高値!F11,高値!H11&gt;高値!I11,高値!H11&gt;高値!J11),3,""))</f>
      </c>
      <c r="AE11" s="684">
        <f>IF(終値!A11="","",IF(AND(高値!I11&gt;高値!H11,高値!I11&gt;高値!G11,高値!I11&gt;高値!J11,高値!I11&gt;高値!K11),4,""))</f>
      </c>
      <c r="AF11" s="684">
        <f>IF(終値!A11="","",IF(AND(高値!J11&gt;高値!I11,高値!J11&gt;高値!H11,高値!J11&gt;高値!K11,高値!J11&gt;高値!L11),5,""))</f>
      </c>
      <c r="AG11" s="684">
        <f>IF(終値!A11="","",IF(AND(高値!K11&gt;高値!J11,高値!K11&gt;高値!I11,高値!K11&gt;高値!L11,高値!K11&gt;高値!M11),6,""))</f>
      </c>
      <c r="AH11" s="684">
        <f>IF(終値!A11="","",IF(AND(高値!L11&gt;高値!K11,高値!L11&gt;高値!J11,高値!L11&gt;高値!M11,高値!L11&gt;高値!N11),7,""))</f>
      </c>
      <c r="AI11" s="684">
        <f>IF(終値!A11="","",IF(AND(高値!M11&gt;高値!L11,高値!M11&gt;高値!K11,高値!M11&gt;高値!N11,高値!M11&gt;高値!O11),8,""))</f>
      </c>
      <c r="AJ11" s="684">
        <f>IF(終値!A11="","",IF(AND(高値!N11&gt;高値!M11,高値!N11&gt;高値!L11,高値!N11&gt;高値!O11,高値!N11&gt;高値!P11),9,""))</f>
      </c>
      <c r="AK11" s="684">
        <f>IF(終値!A11="","",IF(AND(高値!O11&gt;高値!N11,高値!O11&gt;高値!M11,高値!O11&gt;高値!P11,高値!O11&gt;高値!Q11),10,""))</f>
      </c>
      <c r="AL11" s="684">
        <f>IF(終値!A11="","",IF(AND(高値!P11&gt;高値!O11,高値!P11&gt;高値!N11,高値!P11&gt;高値!Q11,高値!P11&gt;高値!R11),11,""))</f>
      </c>
      <c r="AM11" s="684">
        <f>IF(終値!A11="","",IF(AND(高値!Q11&gt;高値!P11,高値!Q11&gt;高値!O11,高値!Q11&gt;高値!R11,高値!Q11&gt;高値!S11),12,""))</f>
      </c>
      <c r="AN11" s="684">
        <f>IF(終値!A11="","",IF(AND(高値!R11&gt;高値!Q11,高値!R11&gt;高値!P11,高値!R11&gt;高値!S11,高値!R11&gt;高値!T11),13,""))</f>
      </c>
      <c r="AO11" s="684">
        <f>IF(終値!A11="","",IF(AND(高値!S11&gt;高値!R11,高値!S11&gt;高値!Q11,高値!S11&gt;高値!T11,高値!S11&gt;高値!U11),14,""))</f>
      </c>
      <c r="AP11" s="684">
        <f>IF(終値!A11="","",IF(AND(高値!T11&gt;高値!S11,高値!T11&gt;高値!R11,高値!T11&gt;高値!U11,高値!T11&gt;高値!V11),15,""))</f>
      </c>
      <c r="AQ11" s="684">
        <f>IF(終値!A11="","",IF(AND(高値!U11&gt;高値!T11,高値!U11&gt;高値!S11,高値!U11&gt;高値!V11,高値!U11&gt;高値!W11),16,""))</f>
      </c>
      <c r="AR11" s="684">
        <f>IF(終値!A11="","",IF(AND(高値!V11&gt;高値!U11,高値!V11&gt;高値!T11,高値!V11&gt;高値!W11,高値!V11&gt;高値!X11),17,""))</f>
      </c>
      <c r="AS11" s="684">
        <f>IF(終値!A11="","",IF(AND(高値!W11&gt;高値!V11,高値!W11&gt;高値!U11,高値!W11&gt;高値!X11,高値!W11&gt;高値!Y11),18,""))</f>
      </c>
      <c r="AT11" s="684">
        <f>IF(終値!A11="","",IF(AND(高値!X11&gt;高値!W11,高値!X11&gt;高値!V11,高値!X11&gt;高値!Y11,高値!X11&gt;高値!Z11),19,""))</f>
      </c>
      <c r="AU11" s="684">
        <f>IF(終値!A11="","",IF(AND(高値!Y11&gt;高値!X11,高値!Y11&gt;高値!W11,高値!Y11&gt;高値!Z11,高値!Y11&gt;高値!AA11),20,""))</f>
      </c>
      <c r="AV11" s="684">
        <f>IF(終値!A11="","",IF(AND(高値!Z11&gt;高値!Y11,高値!Z11&gt;高値!X11,高値!Z11&gt;高値!AA11,高値!Z11&gt;高値!AB11),21,""))</f>
      </c>
      <c r="AW11" s="684">
        <f>IF(終値!A11="","",IF(AND(高値!AA11&gt;高値!Z11,高値!AA11&gt;高値!Y11,高値!AA11&gt;高値!AB11,高値!AA11&gt;高値!AC11),22,""))</f>
      </c>
      <c r="AX11" s="684">
        <f>IF(終値!A11="","",IF(AND(高値!AB11&gt;高値!AA11,高値!AB11&gt;高値!Z11,高値!AB11&gt;高値!AC11,高値!AB11&gt;高値!AD11),23,""))</f>
      </c>
      <c r="AY11" s="684">
        <f>IF(終値!A11="","",IF(AND(高値!AC11&gt;高値!AB11,高値!AC11&gt;高値!AA11,高値!AC11&gt;高値!AD11,高値!AC11&gt;高値!AE11),24,""))</f>
      </c>
      <c r="AZ11" s="684">
        <f>IF(終値!A11="","",IF(AND(高値!AD11&gt;高値!AC11,高値!AD11&gt;高値!AB11,高値!AD11&gt;高値!AE11,高値!AD11&gt;高値!AF11),25,""))</f>
      </c>
      <c r="BA11" s="684">
        <f>IF(終値!A11="","",IF(AND(高値!AE11&gt;高値!AD11,高値!AE11&gt;高値!AC11,高値!AE11&gt;高値!AF11,高値!AE11&gt;高値!AG11),26,""))</f>
      </c>
      <c r="BB11" s="684">
        <f>IF(終値!A11="","",IF(AND(高値!AF11&gt;高値!AE11,高値!AF11&gt;高値!AD11,高値!AF11&gt;高値!AG11,高値!AF11&gt;高値!AH11),27,""))</f>
      </c>
      <c r="BC11" s="684">
        <f>IF(終値!A11="","",IF(AND(高値!AG11&gt;高値!AF11,高値!AG11&gt;高値!AE11,高値!AG11&gt;高値!AH11,高値!AG11&gt;高値!AI11),28,""))</f>
      </c>
      <c r="BD11" s="684">
        <f>COUNT($B11:$AB11)</f>
      </c>
      <c r="BE11" s="684">
        <f>IF($BD11&gt;=2,MIN($B11:$AB11),"")</f>
      </c>
      <c r="BF11" s="684">
        <f>IF($BD11&gt;=2,SMALL($B11:$AB11,2),"")</f>
      </c>
      <c r="BG11" s="684">
        <f>IF($BE11="","",INDEX(安値!$E11:$CZ11,1,$BE11+1))</f>
      </c>
      <c r="BH11" s="684">
        <f>IF($BF11="","",INDEX(安値!$E11:$CZ11,1,$BF11+1))</f>
      </c>
      <c r="BI11" s="684">
        <f>IF($BF11="","",MAX(INDEX(高値!$E11:$CZ11,1,$BE11+1):INDEX(高値!$E11:$CZ11,1,$BF11+1)))</f>
      </c>
      <c r="BJ11" s="684">
        <f>IF($BF11="","",AVERAGE(INDEX(終値!$E11:$CZ11,1,$BF11+1):INDEX(終値!$E11:$CZ11,1,$BF11+20))-2*STDEVP(INDEX(終値!$E11:$CZ11,1,$BF11+1):INDEX(終値!$E11:$CZ11,1,$BF11+20)))</f>
      </c>
      <c r="BK11" s="684">
        <f>IF($BE11="","",AVERAGE(INDEX(終値!$E11:$CZ11,1,$BE11+1):INDEX(終値!$E11:$CZ11,1,$BE11+20))-2*STDEVP(INDEX(終値!$E11:$CZ11,1,$BE11+1):INDEX(終値!$E11:$CZ11,1,$BE11+20)))</f>
      </c>
      <c r="BL11" s="684">
        <f>COUNT($AC11:$BC11)</f>
      </c>
      <c r="BM11" s="684">
        <f>IF($BL11&gt;=2,MIN($AC11:$BC11),"")</f>
      </c>
      <c r="BN11" s="684">
        <f>IF($BL11&gt;=2,SMALL($AC11:$BC11,2),"")</f>
      </c>
      <c r="BO11" s="684">
        <f>IF($BM11="","",INDEX(高値!$E11:$CZ11,1,$BM11+1))</f>
      </c>
      <c r="BP11" s="684">
        <f>IF($BN11="","",INDEX(高値!$E11:$CZ11,1,$BN11+1))</f>
      </c>
      <c r="BQ11" s="684">
        <f>IF($BN11="","",MIN(INDEX(安値!$E11:$CZ11,1,$BM11+1):INDEX(安値!$E11:$CZ11,1,$BN11+1)))</f>
      </c>
      <c r="BR11" s="684">
        <f>IF($BN11="","",AVERAGE(INDEX(終値!$E11:$CZ11,1,$BN11+1):INDEX(終値!$E11:$CZ11,1,$BN11+20))+2*STDEVP(INDEX(終値!$E11:$CZ11,1,$BN11+1):INDEX(終値!$E11:$CZ11,1,$BN11+20)))</f>
      </c>
      <c r="BS11" s="684">
        <f>IF($BM11="","",AVERAGE(INDEX(終値!$E11:$CZ11,1,$BM11+1):INDEX(終値!$E11:$CZ11,1,$BM11+20))+2*STDEVP(INDEX(終値!$E11:$CZ11,1,$BM11+1):INDEX(終値!$E11:$CZ11,1,$BM11+20)))</f>
      </c>
      <c r="BT11" s="681">
        <f>IFERROR(IF(AND($BD11&gt;=2,ABS($BG11-$BH11)/$BH11&lt;=BB設定!$B$12,$BI11&gt;=MAX($BH11,$BG11)*(1+BB設定!$B$13),終値!E11&gt;$BG11),IF(OR(終値!E11&gt;=$BI11,AND($BH11&lt;$BJ11,$BG11&gt;=$BK11)),"二番底W▲","二番底W形成"),IF(AND($BL11&gt;=2,ABS($BO11-$BP11)/$BP11&lt;=BB設定!$B$12,$BQ11&lt;=MIN($BP11,$BO11)*(1-BB設定!$B$13),終値!E11&lt;$BO11),IF(OR(終値!E11&lt;=$BQ11,AND($BP11&gt;$BR11,$BO11&lt;=$BS11)),"二番天井M▼","二番天井M形成"),"－")),"－")</f>
      </c>
    </row>
    <row r="12">
      <c r="B12" s="684">
        <f>IF(終値!A12="","",IF(AND(安値!G12&lt;安値!F12,安値!G12&lt;安値!E12,安値!G12&lt;安値!H12,安値!G12&lt;安値!I12),2,""))</f>
      </c>
      <c r="C12" s="684">
        <f>IF(終値!A12="","",IF(AND(安値!H12&lt;安値!G12,安値!H12&lt;安値!F12,安値!H12&lt;安値!I12,安値!H12&lt;安値!J12),3,""))</f>
      </c>
      <c r="D12" s="684">
        <f>IF(終値!A12="","",IF(AND(安値!I12&lt;安値!H12,安値!I12&lt;安値!G12,安値!I12&lt;安値!J12,安値!I12&lt;安値!K12),4,""))</f>
      </c>
      <c r="E12" s="684">
        <f>IF(終値!A12="","",IF(AND(安値!J12&lt;安値!I12,安値!J12&lt;安値!H12,安値!J12&lt;安値!K12,安値!J12&lt;安値!L12),5,""))</f>
      </c>
      <c r="F12" s="684">
        <f>IF(終値!A12="","",IF(AND(安値!K12&lt;安値!J12,安値!K12&lt;安値!I12,安値!K12&lt;安値!L12,安値!K12&lt;安値!M12),6,""))</f>
      </c>
      <c r="G12" s="684">
        <f>IF(終値!A12="","",IF(AND(安値!L12&lt;安値!K12,安値!L12&lt;安値!J12,安値!L12&lt;安値!M12,安値!L12&lt;安値!N12),7,""))</f>
      </c>
      <c r="H12" s="684">
        <f>IF(終値!A12="","",IF(AND(安値!M12&lt;安値!L12,安値!M12&lt;安値!K12,安値!M12&lt;安値!N12,安値!M12&lt;安値!O12),8,""))</f>
      </c>
      <c r="I12" s="684">
        <f>IF(終値!A12="","",IF(AND(安値!N12&lt;安値!M12,安値!N12&lt;安値!L12,安値!N12&lt;安値!O12,安値!N12&lt;安値!P12),9,""))</f>
      </c>
      <c r="J12" s="684">
        <f>IF(終値!A12="","",IF(AND(安値!O12&lt;安値!N12,安値!O12&lt;安値!M12,安値!O12&lt;安値!P12,安値!O12&lt;安値!Q12),10,""))</f>
      </c>
      <c r="K12" s="684">
        <f>IF(終値!A12="","",IF(AND(安値!P12&lt;安値!O12,安値!P12&lt;安値!N12,安値!P12&lt;安値!Q12,安値!P12&lt;安値!R12),11,""))</f>
      </c>
      <c r="L12" s="684">
        <f>IF(終値!A12="","",IF(AND(安値!Q12&lt;安値!P12,安値!Q12&lt;安値!O12,安値!Q12&lt;安値!R12,安値!Q12&lt;安値!S12),12,""))</f>
      </c>
      <c r="M12" s="684">
        <f>IF(終値!A12="","",IF(AND(安値!R12&lt;安値!Q12,安値!R12&lt;安値!P12,安値!R12&lt;安値!S12,安値!R12&lt;安値!T12),13,""))</f>
      </c>
      <c r="N12" s="684">
        <f>IF(終値!A12="","",IF(AND(安値!S12&lt;安値!R12,安値!S12&lt;安値!Q12,安値!S12&lt;安値!T12,安値!S12&lt;安値!U12),14,""))</f>
      </c>
      <c r="O12" s="684">
        <f>IF(終値!A12="","",IF(AND(安値!T12&lt;安値!S12,安値!T12&lt;安値!R12,安値!T12&lt;安値!U12,安値!T12&lt;安値!V12),15,""))</f>
      </c>
      <c r="P12" s="684">
        <f>IF(終値!A12="","",IF(AND(安値!U12&lt;安値!T12,安値!U12&lt;安値!S12,安値!U12&lt;安値!V12,安値!U12&lt;安値!W12),16,""))</f>
      </c>
      <c r="Q12" s="684">
        <f>IF(終値!A12="","",IF(AND(安値!V12&lt;安値!U12,安値!V12&lt;安値!T12,安値!V12&lt;安値!W12,安値!V12&lt;安値!X12),17,""))</f>
      </c>
      <c r="R12" s="684">
        <f>IF(終値!A12="","",IF(AND(安値!W12&lt;安値!V12,安値!W12&lt;安値!U12,安値!W12&lt;安値!X12,安値!W12&lt;安値!Y12),18,""))</f>
      </c>
      <c r="S12" s="684">
        <f>IF(終値!A12="","",IF(AND(安値!X12&lt;安値!W12,安値!X12&lt;安値!V12,安値!X12&lt;安値!Y12,安値!X12&lt;安値!Z12),19,""))</f>
      </c>
      <c r="T12" s="684">
        <f>IF(終値!A12="","",IF(AND(安値!Y12&lt;安値!X12,安値!Y12&lt;安値!W12,安値!Y12&lt;安値!Z12,安値!Y12&lt;安値!AA12),20,""))</f>
      </c>
      <c r="U12" s="684">
        <f>IF(終値!A12="","",IF(AND(安値!Z12&lt;安値!Y12,安値!Z12&lt;安値!X12,安値!Z12&lt;安値!AA12,安値!Z12&lt;安値!AB12),21,""))</f>
      </c>
      <c r="V12" s="684">
        <f>IF(終値!A12="","",IF(AND(安値!AA12&lt;安値!Z12,安値!AA12&lt;安値!Y12,安値!AA12&lt;安値!AB12,安値!AA12&lt;安値!AC12),22,""))</f>
      </c>
      <c r="W12" s="684">
        <f>IF(終値!A12="","",IF(AND(安値!AB12&lt;安値!AA12,安値!AB12&lt;安値!Z12,安値!AB12&lt;安値!AC12,安値!AB12&lt;安値!AD12),23,""))</f>
      </c>
      <c r="X12" s="684">
        <f>IF(終値!A12="","",IF(AND(安値!AC12&lt;安値!AB12,安値!AC12&lt;安値!AA12,安値!AC12&lt;安値!AD12,安値!AC12&lt;安値!AE12),24,""))</f>
      </c>
      <c r="Y12" s="684">
        <f>IF(終値!A12="","",IF(AND(安値!AD12&lt;安値!AC12,安値!AD12&lt;安値!AB12,安値!AD12&lt;安値!AE12,安値!AD12&lt;安値!AF12),25,""))</f>
      </c>
      <c r="Z12" s="684">
        <f>IF(終値!A12="","",IF(AND(安値!AE12&lt;安値!AD12,安値!AE12&lt;安値!AC12,安値!AE12&lt;安値!AF12,安値!AE12&lt;安値!AG12),26,""))</f>
      </c>
      <c r="AA12" s="684">
        <f>IF(終値!A12="","",IF(AND(安値!AF12&lt;安値!AE12,安値!AF12&lt;安値!AD12,安値!AF12&lt;安値!AG12,安値!AF12&lt;安値!AH12),27,""))</f>
      </c>
      <c r="AB12" s="684">
        <f>IF(終値!A12="","",IF(AND(安値!AG12&lt;安値!AF12,安値!AG12&lt;安値!AE12,安値!AG12&lt;安値!AH12,安値!AG12&lt;安値!AI12),28,""))</f>
      </c>
      <c r="AC12" s="684">
        <f>IF(終値!A12="","",IF(AND(高値!G12&gt;高値!F12,高値!G12&gt;高値!E12,高値!G12&gt;高値!H12,高値!G12&gt;高値!I12),2,""))</f>
      </c>
      <c r="AD12" s="684">
        <f>IF(終値!A12="","",IF(AND(高値!H12&gt;高値!G12,高値!H12&gt;高値!F12,高値!H12&gt;高値!I12,高値!H12&gt;高値!J12),3,""))</f>
      </c>
      <c r="AE12" s="684">
        <f>IF(終値!A12="","",IF(AND(高値!I12&gt;高値!H12,高値!I12&gt;高値!G12,高値!I12&gt;高値!J12,高値!I12&gt;高値!K12),4,""))</f>
      </c>
      <c r="AF12" s="684">
        <f>IF(終値!A12="","",IF(AND(高値!J12&gt;高値!I12,高値!J12&gt;高値!H12,高値!J12&gt;高値!K12,高値!J12&gt;高値!L12),5,""))</f>
      </c>
      <c r="AG12" s="684">
        <f>IF(終値!A12="","",IF(AND(高値!K12&gt;高値!J12,高値!K12&gt;高値!I12,高値!K12&gt;高値!L12,高値!K12&gt;高値!M12),6,""))</f>
      </c>
      <c r="AH12" s="684">
        <f>IF(終値!A12="","",IF(AND(高値!L12&gt;高値!K12,高値!L12&gt;高値!J12,高値!L12&gt;高値!M12,高値!L12&gt;高値!N12),7,""))</f>
      </c>
      <c r="AI12" s="684">
        <f>IF(終値!A12="","",IF(AND(高値!M12&gt;高値!L12,高値!M12&gt;高値!K12,高値!M12&gt;高値!N12,高値!M12&gt;高値!O12),8,""))</f>
      </c>
      <c r="AJ12" s="684">
        <f>IF(終値!A12="","",IF(AND(高値!N12&gt;高値!M12,高値!N12&gt;高値!L12,高値!N12&gt;高値!O12,高値!N12&gt;高値!P12),9,""))</f>
      </c>
      <c r="AK12" s="684">
        <f>IF(終値!A12="","",IF(AND(高値!O12&gt;高値!N12,高値!O12&gt;高値!M12,高値!O12&gt;高値!P12,高値!O12&gt;高値!Q12),10,""))</f>
      </c>
      <c r="AL12" s="684">
        <f>IF(終値!A12="","",IF(AND(高値!P12&gt;高値!O12,高値!P12&gt;高値!N12,高値!P12&gt;高値!Q12,高値!P12&gt;高値!R12),11,""))</f>
      </c>
      <c r="AM12" s="684">
        <f>IF(終値!A12="","",IF(AND(高値!Q12&gt;高値!P12,高値!Q12&gt;高値!O12,高値!Q12&gt;高値!R12,高値!Q12&gt;高値!S12),12,""))</f>
      </c>
      <c r="AN12" s="684">
        <f>IF(終値!A12="","",IF(AND(高値!R12&gt;高値!Q12,高値!R12&gt;高値!P12,高値!R12&gt;高値!S12,高値!R12&gt;高値!T12),13,""))</f>
      </c>
      <c r="AO12" s="684">
        <f>IF(終値!A12="","",IF(AND(高値!S12&gt;高値!R12,高値!S12&gt;高値!Q12,高値!S12&gt;高値!T12,高値!S12&gt;高値!U12),14,""))</f>
      </c>
      <c r="AP12" s="684">
        <f>IF(終値!A12="","",IF(AND(高値!T12&gt;高値!S12,高値!T12&gt;高値!R12,高値!T12&gt;高値!U12,高値!T12&gt;高値!V12),15,""))</f>
      </c>
      <c r="AQ12" s="684">
        <f>IF(終値!A12="","",IF(AND(高値!U12&gt;高値!T12,高値!U12&gt;高値!S12,高値!U12&gt;高値!V12,高値!U12&gt;高値!W12),16,""))</f>
      </c>
      <c r="AR12" s="684">
        <f>IF(終値!A12="","",IF(AND(高値!V12&gt;高値!U12,高値!V12&gt;高値!T12,高値!V12&gt;高値!W12,高値!V12&gt;高値!X12),17,""))</f>
      </c>
      <c r="AS12" s="684">
        <f>IF(終値!A12="","",IF(AND(高値!W12&gt;高値!V12,高値!W12&gt;高値!U12,高値!W12&gt;高値!X12,高値!W12&gt;高値!Y12),18,""))</f>
      </c>
      <c r="AT12" s="684">
        <f>IF(終値!A12="","",IF(AND(高値!X12&gt;高値!W12,高値!X12&gt;高値!V12,高値!X12&gt;高値!Y12,高値!X12&gt;高値!Z12),19,""))</f>
      </c>
      <c r="AU12" s="684">
        <f>IF(終値!A12="","",IF(AND(高値!Y12&gt;高値!X12,高値!Y12&gt;高値!W12,高値!Y12&gt;高値!Z12,高値!Y12&gt;高値!AA12),20,""))</f>
      </c>
      <c r="AV12" s="684">
        <f>IF(終値!A12="","",IF(AND(高値!Z12&gt;高値!Y12,高値!Z12&gt;高値!X12,高値!Z12&gt;高値!AA12,高値!Z12&gt;高値!AB12),21,""))</f>
      </c>
      <c r="AW12" s="684">
        <f>IF(終値!A12="","",IF(AND(高値!AA12&gt;高値!Z12,高値!AA12&gt;高値!Y12,高値!AA12&gt;高値!AB12,高値!AA12&gt;高値!AC12),22,""))</f>
      </c>
      <c r="AX12" s="684">
        <f>IF(終値!A12="","",IF(AND(高値!AB12&gt;高値!AA12,高値!AB12&gt;高値!Z12,高値!AB12&gt;高値!AC12,高値!AB12&gt;高値!AD12),23,""))</f>
      </c>
      <c r="AY12" s="684">
        <f>IF(終値!A12="","",IF(AND(高値!AC12&gt;高値!AB12,高値!AC12&gt;高値!AA12,高値!AC12&gt;高値!AD12,高値!AC12&gt;高値!AE12),24,""))</f>
      </c>
      <c r="AZ12" s="684">
        <f>IF(終値!A12="","",IF(AND(高値!AD12&gt;高値!AC12,高値!AD12&gt;高値!AB12,高値!AD12&gt;高値!AE12,高値!AD12&gt;高値!AF12),25,""))</f>
      </c>
      <c r="BA12" s="684">
        <f>IF(終値!A12="","",IF(AND(高値!AE12&gt;高値!AD12,高値!AE12&gt;高値!AC12,高値!AE12&gt;高値!AF12,高値!AE12&gt;高値!AG12),26,""))</f>
      </c>
      <c r="BB12" s="684">
        <f>IF(終値!A12="","",IF(AND(高値!AF12&gt;高値!AE12,高値!AF12&gt;高値!AD12,高値!AF12&gt;高値!AG12,高値!AF12&gt;高値!AH12),27,""))</f>
      </c>
      <c r="BC12" s="684">
        <f>IF(終値!A12="","",IF(AND(高値!AG12&gt;高値!AF12,高値!AG12&gt;高値!AE12,高値!AG12&gt;高値!AH12,高値!AG12&gt;高値!AI12),28,""))</f>
      </c>
      <c r="BD12" s="684">
        <f>COUNT($B12:$AB12)</f>
      </c>
      <c r="BE12" s="684">
        <f>IF($BD12&gt;=2,MIN($B12:$AB12),"")</f>
      </c>
      <c r="BF12" s="684">
        <f>IF($BD12&gt;=2,SMALL($B12:$AB12,2),"")</f>
      </c>
      <c r="BG12" s="684">
        <f>IF($BE12="","",INDEX(安値!$E12:$CZ12,1,$BE12+1))</f>
      </c>
      <c r="BH12" s="684">
        <f>IF($BF12="","",INDEX(安値!$E12:$CZ12,1,$BF12+1))</f>
      </c>
      <c r="BI12" s="684">
        <f>IF($BF12="","",MAX(INDEX(高値!$E12:$CZ12,1,$BE12+1):INDEX(高値!$E12:$CZ12,1,$BF12+1)))</f>
      </c>
      <c r="BJ12" s="684">
        <f>IF($BF12="","",AVERAGE(INDEX(終値!$E12:$CZ12,1,$BF12+1):INDEX(終値!$E12:$CZ12,1,$BF12+20))-2*STDEVP(INDEX(終値!$E12:$CZ12,1,$BF12+1):INDEX(終値!$E12:$CZ12,1,$BF12+20)))</f>
      </c>
      <c r="BK12" s="684">
        <f>IF($BE12="","",AVERAGE(INDEX(終値!$E12:$CZ12,1,$BE12+1):INDEX(終値!$E12:$CZ12,1,$BE12+20))-2*STDEVP(INDEX(終値!$E12:$CZ12,1,$BE12+1):INDEX(終値!$E12:$CZ12,1,$BE12+20)))</f>
      </c>
      <c r="BL12" s="684">
        <f>COUNT($AC12:$BC12)</f>
      </c>
      <c r="BM12" s="684">
        <f>IF($BL12&gt;=2,MIN($AC12:$BC12),"")</f>
      </c>
      <c r="BN12" s="684">
        <f>IF($BL12&gt;=2,SMALL($AC12:$BC12,2),"")</f>
      </c>
      <c r="BO12" s="684">
        <f>IF($BM12="","",INDEX(高値!$E12:$CZ12,1,$BM12+1))</f>
      </c>
      <c r="BP12" s="684">
        <f>IF($BN12="","",INDEX(高値!$E12:$CZ12,1,$BN12+1))</f>
      </c>
      <c r="BQ12" s="684">
        <f>IF($BN12="","",MIN(INDEX(安値!$E12:$CZ12,1,$BM12+1):INDEX(安値!$E12:$CZ12,1,$BN12+1)))</f>
      </c>
      <c r="BR12" s="684">
        <f>IF($BN12="","",AVERAGE(INDEX(終値!$E12:$CZ12,1,$BN12+1):INDEX(終値!$E12:$CZ12,1,$BN12+20))+2*STDEVP(INDEX(終値!$E12:$CZ12,1,$BN12+1):INDEX(終値!$E12:$CZ12,1,$BN12+20)))</f>
      </c>
      <c r="BS12" s="684">
        <f>IF($BM12="","",AVERAGE(INDEX(終値!$E12:$CZ12,1,$BM12+1):INDEX(終値!$E12:$CZ12,1,$BM12+20))+2*STDEVP(INDEX(終値!$E12:$CZ12,1,$BM12+1):INDEX(終値!$E12:$CZ12,1,$BM12+20)))</f>
      </c>
      <c r="BT12" s="681">
        <f>IFERROR(IF(AND($BD12&gt;=2,ABS($BG12-$BH12)/$BH12&lt;=BB設定!$B$12,$BI12&gt;=MAX($BH12,$BG12)*(1+BB設定!$B$13),終値!E12&gt;$BG12),IF(OR(終値!E12&gt;=$BI12,AND($BH12&lt;$BJ12,$BG12&gt;=$BK12)),"二番底W▲","二番底W形成"),IF(AND($BL12&gt;=2,ABS($BO12-$BP12)/$BP12&lt;=BB設定!$B$12,$BQ12&lt;=MIN($BP12,$BO12)*(1-BB設定!$B$13),終値!E12&lt;$BO12),IF(OR(終値!E12&lt;=$BQ12,AND($BP12&gt;$BR12,$BO12&lt;=$BS12)),"二番天井M▼","二番天井M形成"),"－")),"－")</f>
      </c>
    </row>
    <row r="13">
      <c r="B13" s="684">
        <f>IF(終値!A13="","",IF(AND(安値!G13&lt;安値!F13,安値!G13&lt;安値!E13,安値!G13&lt;安値!H13,安値!G13&lt;安値!I13),2,""))</f>
      </c>
      <c r="C13" s="684">
        <f>IF(終値!A13="","",IF(AND(安値!H13&lt;安値!G13,安値!H13&lt;安値!F13,安値!H13&lt;安値!I13,安値!H13&lt;安値!J13),3,""))</f>
      </c>
      <c r="D13" s="684">
        <f>IF(終値!A13="","",IF(AND(安値!I13&lt;安値!H13,安値!I13&lt;安値!G13,安値!I13&lt;安値!J13,安値!I13&lt;安値!K13),4,""))</f>
      </c>
      <c r="E13" s="684">
        <f>IF(終値!A13="","",IF(AND(安値!J13&lt;安値!I13,安値!J13&lt;安値!H13,安値!J13&lt;安値!K13,安値!J13&lt;安値!L13),5,""))</f>
      </c>
      <c r="F13" s="684">
        <f>IF(終値!A13="","",IF(AND(安値!K13&lt;安値!J13,安値!K13&lt;安値!I13,安値!K13&lt;安値!L13,安値!K13&lt;安値!M13),6,""))</f>
      </c>
      <c r="G13" s="684">
        <f>IF(終値!A13="","",IF(AND(安値!L13&lt;安値!K13,安値!L13&lt;安値!J13,安値!L13&lt;安値!M13,安値!L13&lt;安値!N13),7,""))</f>
      </c>
      <c r="H13" s="684">
        <f>IF(終値!A13="","",IF(AND(安値!M13&lt;安値!L13,安値!M13&lt;安値!K13,安値!M13&lt;安値!N13,安値!M13&lt;安値!O13),8,""))</f>
      </c>
      <c r="I13" s="684">
        <f>IF(終値!A13="","",IF(AND(安値!N13&lt;安値!M13,安値!N13&lt;安値!L13,安値!N13&lt;安値!O13,安値!N13&lt;安値!P13),9,""))</f>
      </c>
      <c r="J13" s="684">
        <f>IF(終値!A13="","",IF(AND(安値!O13&lt;安値!N13,安値!O13&lt;安値!M13,安値!O13&lt;安値!P13,安値!O13&lt;安値!Q13),10,""))</f>
      </c>
      <c r="K13" s="684">
        <f>IF(終値!A13="","",IF(AND(安値!P13&lt;安値!O13,安値!P13&lt;安値!N13,安値!P13&lt;安値!Q13,安値!P13&lt;安値!R13),11,""))</f>
      </c>
      <c r="L13" s="684">
        <f>IF(終値!A13="","",IF(AND(安値!Q13&lt;安値!P13,安値!Q13&lt;安値!O13,安値!Q13&lt;安値!R13,安値!Q13&lt;安値!S13),12,""))</f>
      </c>
      <c r="M13" s="684">
        <f>IF(終値!A13="","",IF(AND(安値!R13&lt;安値!Q13,安値!R13&lt;安値!P13,安値!R13&lt;安値!S13,安値!R13&lt;安値!T13),13,""))</f>
      </c>
      <c r="N13" s="684">
        <f>IF(終値!A13="","",IF(AND(安値!S13&lt;安値!R13,安値!S13&lt;安値!Q13,安値!S13&lt;安値!T13,安値!S13&lt;安値!U13),14,""))</f>
      </c>
      <c r="O13" s="684">
        <f>IF(終値!A13="","",IF(AND(安値!T13&lt;安値!S13,安値!T13&lt;安値!R13,安値!T13&lt;安値!U13,安値!T13&lt;安値!V13),15,""))</f>
      </c>
      <c r="P13" s="684">
        <f>IF(終値!A13="","",IF(AND(安値!U13&lt;安値!T13,安値!U13&lt;安値!S13,安値!U13&lt;安値!V13,安値!U13&lt;安値!W13),16,""))</f>
      </c>
      <c r="Q13" s="684">
        <f>IF(終値!A13="","",IF(AND(安値!V13&lt;安値!U13,安値!V13&lt;安値!T13,安値!V13&lt;安値!W13,安値!V13&lt;安値!X13),17,""))</f>
      </c>
      <c r="R13" s="684">
        <f>IF(終値!A13="","",IF(AND(安値!W13&lt;安値!V13,安値!W13&lt;安値!U13,安値!W13&lt;安値!X13,安値!W13&lt;安値!Y13),18,""))</f>
      </c>
      <c r="S13" s="684">
        <f>IF(終値!A13="","",IF(AND(安値!X13&lt;安値!W13,安値!X13&lt;安値!V13,安値!X13&lt;安値!Y13,安値!X13&lt;安値!Z13),19,""))</f>
      </c>
      <c r="T13" s="684">
        <f>IF(終値!A13="","",IF(AND(安値!Y13&lt;安値!X13,安値!Y13&lt;安値!W13,安値!Y13&lt;安値!Z13,安値!Y13&lt;安値!AA13),20,""))</f>
      </c>
      <c r="U13" s="684">
        <f>IF(終値!A13="","",IF(AND(安値!Z13&lt;安値!Y13,安値!Z13&lt;安値!X13,安値!Z13&lt;安値!AA13,安値!Z13&lt;安値!AB13),21,""))</f>
      </c>
      <c r="V13" s="684">
        <f>IF(終値!A13="","",IF(AND(安値!AA13&lt;安値!Z13,安値!AA13&lt;安値!Y13,安値!AA13&lt;安値!AB13,安値!AA13&lt;安値!AC13),22,""))</f>
      </c>
      <c r="W13" s="684">
        <f>IF(終値!A13="","",IF(AND(安値!AB13&lt;安値!AA13,安値!AB13&lt;安値!Z13,安値!AB13&lt;安値!AC13,安値!AB13&lt;安値!AD13),23,""))</f>
      </c>
      <c r="X13" s="684">
        <f>IF(終値!A13="","",IF(AND(安値!AC13&lt;安値!AB13,安値!AC13&lt;安値!AA13,安値!AC13&lt;安値!AD13,安値!AC13&lt;安値!AE13),24,""))</f>
      </c>
      <c r="Y13" s="684">
        <f>IF(終値!A13="","",IF(AND(安値!AD13&lt;安値!AC13,安値!AD13&lt;安値!AB13,安値!AD13&lt;安値!AE13,安値!AD13&lt;安値!AF13),25,""))</f>
      </c>
      <c r="Z13" s="684">
        <f>IF(終値!A13="","",IF(AND(安値!AE13&lt;安値!AD13,安値!AE13&lt;安値!AC13,安値!AE13&lt;安値!AF13,安値!AE13&lt;安値!AG13),26,""))</f>
      </c>
      <c r="AA13" s="684">
        <f>IF(終値!A13="","",IF(AND(安値!AF13&lt;安値!AE13,安値!AF13&lt;安値!AD13,安値!AF13&lt;安値!AG13,安値!AF13&lt;安値!AH13),27,""))</f>
      </c>
      <c r="AB13" s="684">
        <f>IF(終値!A13="","",IF(AND(安値!AG13&lt;安値!AF13,安値!AG13&lt;安値!AE13,安値!AG13&lt;安値!AH13,安値!AG13&lt;安値!AI13),28,""))</f>
      </c>
      <c r="AC13" s="684">
        <f>IF(終値!A13="","",IF(AND(高値!G13&gt;高値!F13,高値!G13&gt;高値!E13,高値!G13&gt;高値!H13,高値!G13&gt;高値!I13),2,""))</f>
      </c>
      <c r="AD13" s="684">
        <f>IF(終値!A13="","",IF(AND(高値!H13&gt;高値!G13,高値!H13&gt;高値!F13,高値!H13&gt;高値!I13,高値!H13&gt;高値!J13),3,""))</f>
      </c>
      <c r="AE13" s="684">
        <f>IF(終値!A13="","",IF(AND(高値!I13&gt;高値!H13,高値!I13&gt;高値!G13,高値!I13&gt;高値!J13,高値!I13&gt;高値!K13),4,""))</f>
      </c>
      <c r="AF13" s="684">
        <f>IF(終値!A13="","",IF(AND(高値!J13&gt;高値!I13,高値!J13&gt;高値!H13,高値!J13&gt;高値!K13,高値!J13&gt;高値!L13),5,""))</f>
      </c>
      <c r="AG13" s="684">
        <f>IF(終値!A13="","",IF(AND(高値!K13&gt;高値!J13,高値!K13&gt;高値!I13,高値!K13&gt;高値!L13,高値!K13&gt;高値!M13),6,""))</f>
      </c>
      <c r="AH13" s="684">
        <f>IF(終値!A13="","",IF(AND(高値!L13&gt;高値!K13,高値!L13&gt;高値!J13,高値!L13&gt;高値!M13,高値!L13&gt;高値!N13),7,""))</f>
      </c>
      <c r="AI13" s="684">
        <f>IF(終値!A13="","",IF(AND(高値!M13&gt;高値!L13,高値!M13&gt;高値!K13,高値!M13&gt;高値!N13,高値!M13&gt;高値!O13),8,""))</f>
      </c>
      <c r="AJ13" s="684">
        <f>IF(終値!A13="","",IF(AND(高値!N13&gt;高値!M13,高値!N13&gt;高値!L13,高値!N13&gt;高値!O13,高値!N13&gt;高値!P13),9,""))</f>
      </c>
      <c r="AK13" s="684">
        <f>IF(終値!A13="","",IF(AND(高値!O13&gt;高値!N13,高値!O13&gt;高値!M13,高値!O13&gt;高値!P13,高値!O13&gt;高値!Q13),10,""))</f>
      </c>
      <c r="AL13" s="684">
        <f>IF(終値!A13="","",IF(AND(高値!P13&gt;高値!O13,高値!P13&gt;高値!N13,高値!P13&gt;高値!Q13,高値!P13&gt;高値!R13),11,""))</f>
      </c>
      <c r="AM13" s="684">
        <f>IF(終値!A13="","",IF(AND(高値!Q13&gt;高値!P13,高値!Q13&gt;高値!O13,高値!Q13&gt;高値!R13,高値!Q13&gt;高値!S13),12,""))</f>
      </c>
      <c r="AN13" s="684">
        <f>IF(終値!A13="","",IF(AND(高値!R13&gt;高値!Q13,高値!R13&gt;高値!P13,高値!R13&gt;高値!S13,高値!R13&gt;高値!T13),13,""))</f>
      </c>
      <c r="AO13" s="684">
        <f>IF(終値!A13="","",IF(AND(高値!S13&gt;高値!R13,高値!S13&gt;高値!Q13,高値!S13&gt;高値!T13,高値!S13&gt;高値!U13),14,""))</f>
      </c>
      <c r="AP13" s="684">
        <f>IF(終値!A13="","",IF(AND(高値!T13&gt;高値!S13,高値!T13&gt;高値!R13,高値!T13&gt;高値!U13,高値!T13&gt;高値!V13),15,""))</f>
      </c>
      <c r="AQ13" s="684">
        <f>IF(終値!A13="","",IF(AND(高値!U13&gt;高値!T13,高値!U13&gt;高値!S13,高値!U13&gt;高値!V13,高値!U13&gt;高値!W13),16,""))</f>
      </c>
      <c r="AR13" s="684">
        <f>IF(終値!A13="","",IF(AND(高値!V13&gt;高値!U13,高値!V13&gt;高値!T13,高値!V13&gt;高値!W13,高値!V13&gt;高値!X13),17,""))</f>
      </c>
      <c r="AS13" s="684">
        <f>IF(終値!A13="","",IF(AND(高値!W13&gt;高値!V13,高値!W13&gt;高値!U13,高値!W13&gt;高値!X13,高値!W13&gt;高値!Y13),18,""))</f>
      </c>
      <c r="AT13" s="684">
        <f>IF(終値!A13="","",IF(AND(高値!X13&gt;高値!W13,高値!X13&gt;高値!V13,高値!X13&gt;高値!Y13,高値!X13&gt;高値!Z13),19,""))</f>
      </c>
      <c r="AU13" s="684">
        <f>IF(終値!A13="","",IF(AND(高値!Y13&gt;高値!X13,高値!Y13&gt;高値!W13,高値!Y13&gt;高値!Z13,高値!Y13&gt;高値!AA13),20,""))</f>
      </c>
      <c r="AV13" s="684">
        <f>IF(終値!A13="","",IF(AND(高値!Z13&gt;高値!Y13,高値!Z13&gt;高値!X13,高値!Z13&gt;高値!AA13,高値!Z13&gt;高値!AB13),21,""))</f>
      </c>
      <c r="AW13" s="684">
        <f>IF(終値!A13="","",IF(AND(高値!AA13&gt;高値!Z13,高値!AA13&gt;高値!Y13,高値!AA13&gt;高値!AB13,高値!AA13&gt;高値!AC13),22,""))</f>
      </c>
      <c r="AX13" s="684">
        <f>IF(終値!A13="","",IF(AND(高値!AB13&gt;高値!AA13,高値!AB13&gt;高値!Z13,高値!AB13&gt;高値!AC13,高値!AB13&gt;高値!AD13),23,""))</f>
      </c>
      <c r="AY13" s="684">
        <f>IF(終値!A13="","",IF(AND(高値!AC13&gt;高値!AB13,高値!AC13&gt;高値!AA13,高値!AC13&gt;高値!AD13,高値!AC13&gt;高値!AE13),24,""))</f>
      </c>
      <c r="AZ13" s="684">
        <f>IF(終値!A13="","",IF(AND(高値!AD13&gt;高値!AC13,高値!AD13&gt;高値!AB13,高値!AD13&gt;高値!AE13,高値!AD13&gt;高値!AF13),25,""))</f>
      </c>
      <c r="BA13" s="684">
        <f>IF(終値!A13="","",IF(AND(高値!AE13&gt;高値!AD13,高値!AE13&gt;高値!AC13,高値!AE13&gt;高値!AF13,高値!AE13&gt;高値!AG13),26,""))</f>
      </c>
      <c r="BB13" s="684">
        <f>IF(終値!A13="","",IF(AND(高値!AF13&gt;高値!AE13,高値!AF13&gt;高値!AD13,高値!AF13&gt;高値!AG13,高値!AF13&gt;高値!AH13),27,""))</f>
      </c>
      <c r="BC13" s="684">
        <f>IF(終値!A13="","",IF(AND(高値!AG13&gt;高値!AF13,高値!AG13&gt;高値!AE13,高値!AG13&gt;高値!AH13,高値!AG13&gt;高値!AI13),28,""))</f>
      </c>
      <c r="BD13" s="684">
        <f>COUNT($B13:$AB13)</f>
      </c>
      <c r="BE13" s="684">
        <f>IF($BD13&gt;=2,MIN($B13:$AB13),"")</f>
      </c>
      <c r="BF13" s="684">
        <f>IF($BD13&gt;=2,SMALL($B13:$AB13,2),"")</f>
      </c>
      <c r="BG13" s="684">
        <f>IF($BE13="","",INDEX(安値!$E13:$CZ13,1,$BE13+1))</f>
      </c>
      <c r="BH13" s="684">
        <f>IF($BF13="","",INDEX(安値!$E13:$CZ13,1,$BF13+1))</f>
      </c>
      <c r="BI13" s="684">
        <f>IF($BF13="","",MAX(INDEX(高値!$E13:$CZ13,1,$BE13+1):INDEX(高値!$E13:$CZ13,1,$BF13+1)))</f>
      </c>
      <c r="BJ13" s="684">
        <f>IF($BF13="","",AVERAGE(INDEX(終値!$E13:$CZ13,1,$BF13+1):INDEX(終値!$E13:$CZ13,1,$BF13+20))-2*STDEVP(INDEX(終値!$E13:$CZ13,1,$BF13+1):INDEX(終値!$E13:$CZ13,1,$BF13+20)))</f>
      </c>
      <c r="BK13" s="684">
        <f>IF($BE13="","",AVERAGE(INDEX(終値!$E13:$CZ13,1,$BE13+1):INDEX(終値!$E13:$CZ13,1,$BE13+20))-2*STDEVP(INDEX(終値!$E13:$CZ13,1,$BE13+1):INDEX(終値!$E13:$CZ13,1,$BE13+20)))</f>
      </c>
      <c r="BL13" s="684">
        <f>COUNT($AC13:$BC13)</f>
      </c>
      <c r="BM13" s="684">
        <f>IF($BL13&gt;=2,MIN($AC13:$BC13),"")</f>
      </c>
      <c r="BN13" s="684">
        <f>IF($BL13&gt;=2,SMALL($AC13:$BC13,2),"")</f>
      </c>
      <c r="BO13" s="684">
        <f>IF($BM13="","",INDEX(高値!$E13:$CZ13,1,$BM13+1))</f>
      </c>
      <c r="BP13" s="684">
        <f>IF($BN13="","",INDEX(高値!$E13:$CZ13,1,$BN13+1))</f>
      </c>
      <c r="BQ13" s="684">
        <f>IF($BN13="","",MIN(INDEX(安値!$E13:$CZ13,1,$BM13+1):INDEX(安値!$E13:$CZ13,1,$BN13+1)))</f>
      </c>
      <c r="BR13" s="684">
        <f>IF($BN13="","",AVERAGE(INDEX(終値!$E13:$CZ13,1,$BN13+1):INDEX(終値!$E13:$CZ13,1,$BN13+20))+2*STDEVP(INDEX(終値!$E13:$CZ13,1,$BN13+1):INDEX(終値!$E13:$CZ13,1,$BN13+20)))</f>
      </c>
      <c r="BS13" s="684">
        <f>IF($BM13="","",AVERAGE(INDEX(終値!$E13:$CZ13,1,$BM13+1):INDEX(終値!$E13:$CZ13,1,$BM13+20))+2*STDEVP(INDEX(終値!$E13:$CZ13,1,$BM13+1):INDEX(終値!$E13:$CZ13,1,$BM13+20)))</f>
      </c>
      <c r="BT13" s="681">
        <f>IFERROR(IF(AND($BD13&gt;=2,ABS($BG13-$BH13)/$BH13&lt;=BB設定!$B$12,$BI13&gt;=MAX($BH13,$BG13)*(1+BB設定!$B$13),終値!E13&gt;$BG13),IF(OR(終値!E13&gt;=$BI13,AND($BH13&lt;$BJ13,$BG13&gt;=$BK13)),"二番底W▲","二番底W形成"),IF(AND($BL13&gt;=2,ABS($BO13-$BP13)/$BP13&lt;=BB設定!$B$12,$BQ13&lt;=MIN($BP13,$BO13)*(1-BB設定!$B$13),終値!E13&lt;$BO13),IF(OR(終値!E13&lt;=$BQ13,AND($BP13&gt;$BR13,$BO13&lt;=$BS13)),"二番天井M▼","二番天井M形成"),"－")),"－")</f>
      </c>
    </row>
    <row r="14">
      <c r="B14" s="684">
        <f>IF(終値!A14="","",IF(AND(安値!G14&lt;安値!F14,安値!G14&lt;安値!E14,安値!G14&lt;安値!H14,安値!G14&lt;安値!I14),2,""))</f>
      </c>
      <c r="C14" s="684">
        <f>IF(終値!A14="","",IF(AND(安値!H14&lt;安値!G14,安値!H14&lt;安値!F14,安値!H14&lt;安値!I14,安値!H14&lt;安値!J14),3,""))</f>
      </c>
      <c r="D14" s="684">
        <f>IF(終値!A14="","",IF(AND(安値!I14&lt;安値!H14,安値!I14&lt;安値!G14,安値!I14&lt;安値!J14,安値!I14&lt;安値!K14),4,""))</f>
      </c>
      <c r="E14" s="684">
        <f>IF(終値!A14="","",IF(AND(安値!J14&lt;安値!I14,安値!J14&lt;安値!H14,安値!J14&lt;安値!K14,安値!J14&lt;安値!L14),5,""))</f>
      </c>
      <c r="F14" s="684">
        <f>IF(終値!A14="","",IF(AND(安値!K14&lt;安値!J14,安値!K14&lt;安値!I14,安値!K14&lt;安値!L14,安値!K14&lt;安値!M14),6,""))</f>
      </c>
      <c r="G14" s="684">
        <f>IF(終値!A14="","",IF(AND(安値!L14&lt;安値!K14,安値!L14&lt;安値!J14,安値!L14&lt;安値!M14,安値!L14&lt;安値!N14),7,""))</f>
      </c>
      <c r="H14" s="684">
        <f>IF(終値!A14="","",IF(AND(安値!M14&lt;安値!L14,安値!M14&lt;安値!K14,安値!M14&lt;安値!N14,安値!M14&lt;安値!O14),8,""))</f>
      </c>
      <c r="I14" s="684">
        <f>IF(終値!A14="","",IF(AND(安値!N14&lt;安値!M14,安値!N14&lt;安値!L14,安値!N14&lt;安値!O14,安値!N14&lt;安値!P14),9,""))</f>
      </c>
      <c r="J14" s="684">
        <f>IF(終値!A14="","",IF(AND(安値!O14&lt;安値!N14,安値!O14&lt;安値!M14,安値!O14&lt;安値!P14,安値!O14&lt;安値!Q14),10,""))</f>
      </c>
      <c r="K14" s="684">
        <f>IF(終値!A14="","",IF(AND(安値!P14&lt;安値!O14,安値!P14&lt;安値!N14,安値!P14&lt;安値!Q14,安値!P14&lt;安値!R14),11,""))</f>
      </c>
      <c r="L14" s="684">
        <f>IF(終値!A14="","",IF(AND(安値!Q14&lt;安値!P14,安値!Q14&lt;安値!O14,安値!Q14&lt;安値!R14,安値!Q14&lt;安値!S14),12,""))</f>
      </c>
      <c r="M14" s="684">
        <f>IF(終値!A14="","",IF(AND(安値!R14&lt;安値!Q14,安値!R14&lt;安値!P14,安値!R14&lt;安値!S14,安値!R14&lt;安値!T14),13,""))</f>
      </c>
      <c r="N14" s="684">
        <f>IF(終値!A14="","",IF(AND(安値!S14&lt;安値!R14,安値!S14&lt;安値!Q14,安値!S14&lt;安値!T14,安値!S14&lt;安値!U14),14,""))</f>
      </c>
      <c r="O14" s="684">
        <f>IF(終値!A14="","",IF(AND(安値!T14&lt;安値!S14,安値!T14&lt;安値!R14,安値!T14&lt;安値!U14,安値!T14&lt;安値!V14),15,""))</f>
      </c>
      <c r="P14" s="684">
        <f>IF(終値!A14="","",IF(AND(安値!U14&lt;安値!T14,安値!U14&lt;安値!S14,安値!U14&lt;安値!V14,安値!U14&lt;安値!W14),16,""))</f>
      </c>
      <c r="Q14" s="684">
        <f>IF(終値!A14="","",IF(AND(安値!V14&lt;安値!U14,安値!V14&lt;安値!T14,安値!V14&lt;安値!W14,安値!V14&lt;安値!X14),17,""))</f>
      </c>
      <c r="R14" s="684">
        <f>IF(終値!A14="","",IF(AND(安値!W14&lt;安値!V14,安値!W14&lt;安値!U14,安値!W14&lt;安値!X14,安値!W14&lt;安値!Y14),18,""))</f>
      </c>
      <c r="S14" s="684">
        <f>IF(終値!A14="","",IF(AND(安値!X14&lt;安値!W14,安値!X14&lt;安値!V14,安値!X14&lt;安値!Y14,安値!X14&lt;安値!Z14),19,""))</f>
      </c>
      <c r="T14" s="684">
        <f>IF(終値!A14="","",IF(AND(安値!Y14&lt;安値!X14,安値!Y14&lt;安値!W14,安値!Y14&lt;安値!Z14,安値!Y14&lt;安値!AA14),20,""))</f>
      </c>
      <c r="U14" s="684">
        <f>IF(終値!A14="","",IF(AND(安値!Z14&lt;安値!Y14,安値!Z14&lt;安値!X14,安値!Z14&lt;安値!AA14,安値!Z14&lt;安値!AB14),21,""))</f>
      </c>
      <c r="V14" s="684">
        <f>IF(終値!A14="","",IF(AND(安値!AA14&lt;安値!Z14,安値!AA14&lt;安値!Y14,安値!AA14&lt;安値!AB14,安値!AA14&lt;安値!AC14),22,""))</f>
      </c>
      <c r="W14" s="684">
        <f>IF(終値!A14="","",IF(AND(安値!AB14&lt;安値!AA14,安値!AB14&lt;安値!Z14,安値!AB14&lt;安値!AC14,安値!AB14&lt;安値!AD14),23,""))</f>
      </c>
      <c r="X14" s="684">
        <f>IF(終値!A14="","",IF(AND(安値!AC14&lt;安値!AB14,安値!AC14&lt;安値!AA14,安値!AC14&lt;安値!AD14,安値!AC14&lt;安値!AE14),24,""))</f>
      </c>
      <c r="Y14" s="684">
        <f>IF(終値!A14="","",IF(AND(安値!AD14&lt;安値!AC14,安値!AD14&lt;安値!AB14,安値!AD14&lt;安値!AE14,安値!AD14&lt;安値!AF14),25,""))</f>
      </c>
      <c r="Z14" s="684">
        <f>IF(終値!A14="","",IF(AND(安値!AE14&lt;安値!AD14,安値!AE14&lt;安値!AC14,安値!AE14&lt;安値!AF14,安値!AE14&lt;安値!AG14),26,""))</f>
      </c>
      <c r="AA14" s="684">
        <f>IF(終値!A14="","",IF(AND(安値!AF14&lt;安値!AE14,安値!AF14&lt;安値!AD14,安値!AF14&lt;安値!AG14,安値!AF14&lt;安値!AH14),27,""))</f>
      </c>
      <c r="AB14" s="684">
        <f>IF(終値!A14="","",IF(AND(安値!AG14&lt;安値!AF14,安値!AG14&lt;安値!AE14,安値!AG14&lt;安値!AH14,安値!AG14&lt;安値!AI14),28,""))</f>
      </c>
      <c r="AC14" s="684">
        <f>IF(終値!A14="","",IF(AND(高値!G14&gt;高値!F14,高値!G14&gt;高値!E14,高値!G14&gt;高値!H14,高値!G14&gt;高値!I14),2,""))</f>
      </c>
      <c r="AD14" s="684">
        <f>IF(終値!A14="","",IF(AND(高値!H14&gt;高値!G14,高値!H14&gt;高値!F14,高値!H14&gt;高値!I14,高値!H14&gt;高値!J14),3,""))</f>
      </c>
      <c r="AE14" s="684">
        <f>IF(終値!A14="","",IF(AND(高値!I14&gt;高値!H14,高値!I14&gt;高値!G14,高値!I14&gt;高値!J14,高値!I14&gt;高値!K14),4,""))</f>
      </c>
      <c r="AF14" s="684">
        <f>IF(終値!A14="","",IF(AND(高値!J14&gt;高値!I14,高値!J14&gt;高値!H14,高値!J14&gt;高値!K14,高値!J14&gt;高値!L14),5,""))</f>
      </c>
      <c r="AG14" s="684">
        <f>IF(終値!A14="","",IF(AND(高値!K14&gt;高値!J14,高値!K14&gt;高値!I14,高値!K14&gt;高値!L14,高値!K14&gt;高値!M14),6,""))</f>
      </c>
      <c r="AH14" s="684">
        <f>IF(終値!A14="","",IF(AND(高値!L14&gt;高値!K14,高値!L14&gt;高値!J14,高値!L14&gt;高値!M14,高値!L14&gt;高値!N14),7,""))</f>
      </c>
      <c r="AI14" s="684">
        <f>IF(終値!A14="","",IF(AND(高値!M14&gt;高値!L14,高値!M14&gt;高値!K14,高値!M14&gt;高値!N14,高値!M14&gt;高値!O14),8,""))</f>
      </c>
      <c r="AJ14" s="684">
        <f>IF(終値!A14="","",IF(AND(高値!N14&gt;高値!M14,高値!N14&gt;高値!L14,高値!N14&gt;高値!O14,高値!N14&gt;高値!P14),9,""))</f>
      </c>
      <c r="AK14" s="684">
        <f>IF(終値!A14="","",IF(AND(高値!O14&gt;高値!N14,高値!O14&gt;高値!M14,高値!O14&gt;高値!P14,高値!O14&gt;高値!Q14),10,""))</f>
      </c>
      <c r="AL14" s="684">
        <f>IF(終値!A14="","",IF(AND(高値!P14&gt;高値!O14,高値!P14&gt;高値!N14,高値!P14&gt;高値!Q14,高値!P14&gt;高値!R14),11,""))</f>
      </c>
      <c r="AM14" s="684">
        <f>IF(終値!A14="","",IF(AND(高値!Q14&gt;高値!P14,高値!Q14&gt;高値!O14,高値!Q14&gt;高値!R14,高値!Q14&gt;高値!S14),12,""))</f>
      </c>
      <c r="AN14" s="684">
        <f>IF(終値!A14="","",IF(AND(高値!R14&gt;高値!Q14,高値!R14&gt;高値!P14,高値!R14&gt;高値!S14,高値!R14&gt;高値!T14),13,""))</f>
      </c>
      <c r="AO14" s="684">
        <f>IF(終値!A14="","",IF(AND(高値!S14&gt;高値!R14,高値!S14&gt;高値!Q14,高値!S14&gt;高値!T14,高値!S14&gt;高値!U14),14,""))</f>
      </c>
      <c r="AP14" s="684">
        <f>IF(終値!A14="","",IF(AND(高値!T14&gt;高値!S14,高値!T14&gt;高値!R14,高値!T14&gt;高値!U14,高値!T14&gt;高値!V14),15,""))</f>
      </c>
      <c r="AQ14" s="684">
        <f>IF(終値!A14="","",IF(AND(高値!U14&gt;高値!T14,高値!U14&gt;高値!S14,高値!U14&gt;高値!V14,高値!U14&gt;高値!W14),16,""))</f>
      </c>
      <c r="AR14" s="684">
        <f>IF(終値!A14="","",IF(AND(高値!V14&gt;高値!U14,高値!V14&gt;高値!T14,高値!V14&gt;高値!W14,高値!V14&gt;高値!X14),17,""))</f>
      </c>
      <c r="AS14" s="684">
        <f>IF(終値!A14="","",IF(AND(高値!W14&gt;高値!V14,高値!W14&gt;高値!U14,高値!W14&gt;高値!X14,高値!W14&gt;高値!Y14),18,""))</f>
      </c>
      <c r="AT14" s="684">
        <f>IF(終値!A14="","",IF(AND(高値!X14&gt;高値!W14,高値!X14&gt;高値!V14,高値!X14&gt;高値!Y14,高値!X14&gt;高値!Z14),19,""))</f>
      </c>
      <c r="AU14" s="684">
        <f>IF(終値!A14="","",IF(AND(高値!Y14&gt;高値!X14,高値!Y14&gt;高値!W14,高値!Y14&gt;高値!Z14,高値!Y14&gt;高値!AA14),20,""))</f>
      </c>
      <c r="AV14" s="684">
        <f>IF(終値!A14="","",IF(AND(高値!Z14&gt;高値!Y14,高値!Z14&gt;高値!X14,高値!Z14&gt;高値!AA14,高値!Z14&gt;高値!AB14),21,""))</f>
      </c>
      <c r="AW14" s="684">
        <f>IF(終値!A14="","",IF(AND(高値!AA14&gt;高値!Z14,高値!AA14&gt;高値!Y14,高値!AA14&gt;高値!AB14,高値!AA14&gt;高値!AC14),22,""))</f>
      </c>
      <c r="AX14" s="684">
        <f>IF(終値!A14="","",IF(AND(高値!AB14&gt;高値!AA14,高値!AB14&gt;高値!Z14,高値!AB14&gt;高値!AC14,高値!AB14&gt;高値!AD14),23,""))</f>
      </c>
      <c r="AY14" s="684">
        <f>IF(終値!A14="","",IF(AND(高値!AC14&gt;高値!AB14,高値!AC14&gt;高値!AA14,高値!AC14&gt;高値!AD14,高値!AC14&gt;高値!AE14),24,""))</f>
      </c>
      <c r="AZ14" s="684">
        <f>IF(終値!A14="","",IF(AND(高値!AD14&gt;高値!AC14,高値!AD14&gt;高値!AB14,高値!AD14&gt;高値!AE14,高値!AD14&gt;高値!AF14),25,""))</f>
      </c>
      <c r="BA14" s="684">
        <f>IF(終値!A14="","",IF(AND(高値!AE14&gt;高値!AD14,高値!AE14&gt;高値!AC14,高値!AE14&gt;高値!AF14,高値!AE14&gt;高値!AG14),26,""))</f>
      </c>
      <c r="BB14" s="684">
        <f>IF(終値!A14="","",IF(AND(高値!AF14&gt;高値!AE14,高値!AF14&gt;高値!AD14,高値!AF14&gt;高値!AG14,高値!AF14&gt;高値!AH14),27,""))</f>
      </c>
      <c r="BC14" s="684">
        <f>IF(終値!A14="","",IF(AND(高値!AG14&gt;高値!AF14,高値!AG14&gt;高値!AE14,高値!AG14&gt;高値!AH14,高値!AG14&gt;高値!AI14),28,""))</f>
      </c>
      <c r="BD14" s="684">
        <f>COUNT($B14:$AB14)</f>
      </c>
      <c r="BE14" s="684">
        <f>IF($BD14&gt;=2,MIN($B14:$AB14),"")</f>
      </c>
      <c r="BF14" s="684">
        <f>IF($BD14&gt;=2,SMALL($B14:$AB14,2),"")</f>
      </c>
      <c r="BG14" s="684">
        <f>IF($BE14="","",INDEX(安値!$E14:$CZ14,1,$BE14+1))</f>
      </c>
      <c r="BH14" s="684">
        <f>IF($BF14="","",INDEX(安値!$E14:$CZ14,1,$BF14+1))</f>
      </c>
      <c r="BI14" s="684">
        <f>IF($BF14="","",MAX(INDEX(高値!$E14:$CZ14,1,$BE14+1):INDEX(高値!$E14:$CZ14,1,$BF14+1)))</f>
      </c>
      <c r="BJ14" s="684">
        <f>IF($BF14="","",AVERAGE(INDEX(終値!$E14:$CZ14,1,$BF14+1):INDEX(終値!$E14:$CZ14,1,$BF14+20))-2*STDEVP(INDEX(終値!$E14:$CZ14,1,$BF14+1):INDEX(終値!$E14:$CZ14,1,$BF14+20)))</f>
      </c>
      <c r="BK14" s="684">
        <f>IF($BE14="","",AVERAGE(INDEX(終値!$E14:$CZ14,1,$BE14+1):INDEX(終値!$E14:$CZ14,1,$BE14+20))-2*STDEVP(INDEX(終値!$E14:$CZ14,1,$BE14+1):INDEX(終値!$E14:$CZ14,1,$BE14+20)))</f>
      </c>
      <c r="BL14" s="684">
        <f>COUNT($AC14:$BC14)</f>
      </c>
      <c r="BM14" s="684">
        <f>IF($BL14&gt;=2,MIN($AC14:$BC14),"")</f>
      </c>
      <c r="BN14" s="684">
        <f>IF($BL14&gt;=2,SMALL($AC14:$BC14,2),"")</f>
      </c>
      <c r="BO14" s="684">
        <f>IF($BM14="","",INDEX(高値!$E14:$CZ14,1,$BM14+1))</f>
      </c>
      <c r="BP14" s="684">
        <f>IF($BN14="","",INDEX(高値!$E14:$CZ14,1,$BN14+1))</f>
      </c>
      <c r="BQ14" s="684">
        <f>IF($BN14="","",MIN(INDEX(安値!$E14:$CZ14,1,$BM14+1):INDEX(安値!$E14:$CZ14,1,$BN14+1)))</f>
      </c>
      <c r="BR14" s="684">
        <f>IF($BN14="","",AVERAGE(INDEX(終値!$E14:$CZ14,1,$BN14+1):INDEX(終値!$E14:$CZ14,1,$BN14+20))+2*STDEVP(INDEX(終値!$E14:$CZ14,1,$BN14+1):INDEX(終値!$E14:$CZ14,1,$BN14+20)))</f>
      </c>
      <c r="BS14" s="684">
        <f>IF($BM14="","",AVERAGE(INDEX(終値!$E14:$CZ14,1,$BM14+1):INDEX(終値!$E14:$CZ14,1,$BM14+20))+2*STDEVP(INDEX(終値!$E14:$CZ14,1,$BM14+1):INDEX(終値!$E14:$CZ14,1,$BM14+20)))</f>
      </c>
      <c r="BT14" s="681">
        <f>IFERROR(IF(AND($BD14&gt;=2,ABS($BG14-$BH14)/$BH14&lt;=BB設定!$B$12,$BI14&gt;=MAX($BH14,$BG14)*(1+BB設定!$B$13),終値!E14&gt;$BG14),IF(OR(終値!E14&gt;=$BI14,AND($BH14&lt;$BJ14,$BG14&gt;=$BK14)),"二番底W▲","二番底W形成"),IF(AND($BL14&gt;=2,ABS($BO14-$BP14)/$BP14&lt;=BB設定!$B$12,$BQ14&lt;=MIN($BP14,$BO14)*(1-BB設定!$B$13),終値!E14&lt;$BO14),IF(OR(終値!E14&lt;=$BQ14,AND($BP14&gt;$BR14,$BO14&lt;=$BS14)),"二番天井M▼","二番天井M形成"),"－")),"－")</f>
      </c>
    </row>
    <row r="15">
      <c r="B15" s="684">
        <f>IF(終値!A15="","",IF(AND(安値!G15&lt;安値!F15,安値!G15&lt;安値!E15,安値!G15&lt;安値!H15,安値!G15&lt;安値!I15),2,""))</f>
      </c>
      <c r="C15" s="684">
        <f>IF(終値!A15="","",IF(AND(安値!H15&lt;安値!G15,安値!H15&lt;安値!F15,安値!H15&lt;安値!I15,安値!H15&lt;安値!J15),3,""))</f>
      </c>
      <c r="D15" s="684">
        <f>IF(終値!A15="","",IF(AND(安値!I15&lt;安値!H15,安値!I15&lt;安値!G15,安値!I15&lt;安値!J15,安値!I15&lt;安値!K15),4,""))</f>
      </c>
      <c r="E15" s="684">
        <f>IF(終値!A15="","",IF(AND(安値!J15&lt;安値!I15,安値!J15&lt;安値!H15,安値!J15&lt;安値!K15,安値!J15&lt;安値!L15),5,""))</f>
      </c>
      <c r="F15" s="684">
        <f>IF(終値!A15="","",IF(AND(安値!K15&lt;安値!J15,安値!K15&lt;安値!I15,安値!K15&lt;安値!L15,安値!K15&lt;安値!M15),6,""))</f>
      </c>
      <c r="G15" s="684">
        <f>IF(終値!A15="","",IF(AND(安値!L15&lt;安値!K15,安値!L15&lt;安値!J15,安値!L15&lt;安値!M15,安値!L15&lt;安値!N15),7,""))</f>
      </c>
      <c r="H15" s="684">
        <f>IF(終値!A15="","",IF(AND(安値!M15&lt;安値!L15,安値!M15&lt;安値!K15,安値!M15&lt;安値!N15,安値!M15&lt;安値!O15),8,""))</f>
      </c>
      <c r="I15" s="684">
        <f>IF(終値!A15="","",IF(AND(安値!N15&lt;安値!M15,安値!N15&lt;安値!L15,安値!N15&lt;安値!O15,安値!N15&lt;安値!P15),9,""))</f>
      </c>
      <c r="J15" s="684">
        <f>IF(終値!A15="","",IF(AND(安値!O15&lt;安値!N15,安値!O15&lt;安値!M15,安値!O15&lt;安値!P15,安値!O15&lt;安値!Q15),10,""))</f>
      </c>
      <c r="K15" s="684">
        <f>IF(終値!A15="","",IF(AND(安値!P15&lt;安値!O15,安値!P15&lt;安値!N15,安値!P15&lt;安値!Q15,安値!P15&lt;安値!R15),11,""))</f>
      </c>
      <c r="L15" s="684">
        <f>IF(終値!A15="","",IF(AND(安値!Q15&lt;安値!P15,安値!Q15&lt;安値!O15,安値!Q15&lt;安値!R15,安値!Q15&lt;安値!S15),12,""))</f>
      </c>
      <c r="M15" s="684">
        <f>IF(終値!A15="","",IF(AND(安値!R15&lt;安値!Q15,安値!R15&lt;安値!P15,安値!R15&lt;安値!S15,安値!R15&lt;安値!T15),13,""))</f>
      </c>
      <c r="N15" s="684">
        <f>IF(終値!A15="","",IF(AND(安値!S15&lt;安値!R15,安値!S15&lt;安値!Q15,安値!S15&lt;安値!T15,安値!S15&lt;安値!U15),14,""))</f>
      </c>
      <c r="O15" s="684">
        <f>IF(終値!A15="","",IF(AND(安値!T15&lt;安値!S15,安値!T15&lt;安値!R15,安値!T15&lt;安値!U15,安値!T15&lt;安値!V15),15,""))</f>
      </c>
      <c r="P15" s="684">
        <f>IF(終値!A15="","",IF(AND(安値!U15&lt;安値!T15,安値!U15&lt;安値!S15,安値!U15&lt;安値!V15,安値!U15&lt;安値!W15),16,""))</f>
      </c>
      <c r="Q15" s="684">
        <f>IF(終値!A15="","",IF(AND(安値!V15&lt;安値!U15,安値!V15&lt;安値!T15,安値!V15&lt;安値!W15,安値!V15&lt;安値!X15),17,""))</f>
      </c>
      <c r="R15" s="684">
        <f>IF(終値!A15="","",IF(AND(安値!W15&lt;安値!V15,安値!W15&lt;安値!U15,安値!W15&lt;安値!X15,安値!W15&lt;安値!Y15),18,""))</f>
      </c>
      <c r="S15" s="684">
        <f>IF(終値!A15="","",IF(AND(安値!X15&lt;安値!W15,安値!X15&lt;安値!V15,安値!X15&lt;安値!Y15,安値!X15&lt;安値!Z15),19,""))</f>
      </c>
      <c r="T15" s="684">
        <f>IF(終値!A15="","",IF(AND(安値!Y15&lt;安値!X15,安値!Y15&lt;安値!W15,安値!Y15&lt;安値!Z15,安値!Y15&lt;安値!AA15),20,""))</f>
      </c>
      <c r="U15" s="684">
        <f>IF(終値!A15="","",IF(AND(安値!Z15&lt;安値!Y15,安値!Z15&lt;安値!X15,安値!Z15&lt;安値!AA15,安値!Z15&lt;安値!AB15),21,""))</f>
      </c>
      <c r="V15" s="684">
        <f>IF(終値!A15="","",IF(AND(安値!AA15&lt;安値!Z15,安値!AA15&lt;安値!Y15,安値!AA15&lt;安値!AB15,安値!AA15&lt;安値!AC15),22,""))</f>
      </c>
      <c r="W15" s="684">
        <f>IF(終値!A15="","",IF(AND(安値!AB15&lt;安値!AA15,安値!AB15&lt;安値!Z15,安値!AB15&lt;安値!AC15,安値!AB15&lt;安値!AD15),23,""))</f>
      </c>
      <c r="X15" s="684">
        <f>IF(終値!A15="","",IF(AND(安値!AC15&lt;安値!AB15,安値!AC15&lt;安値!AA15,安値!AC15&lt;安値!AD15,安値!AC15&lt;安値!AE15),24,""))</f>
      </c>
      <c r="Y15" s="684">
        <f>IF(終値!A15="","",IF(AND(安値!AD15&lt;安値!AC15,安値!AD15&lt;安値!AB15,安値!AD15&lt;安値!AE15,安値!AD15&lt;安値!AF15),25,""))</f>
      </c>
      <c r="Z15" s="684">
        <f>IF(終値!A15="","",IF(AND(安値!AE15&lt;安値!AD15,安値!AE15&lt;安値!AC15,安値!AE15&lt;安値!AF15,安値!AE15&lt;安値!AG15),26,""))</f>
      </c>
      <c r="AA15" s="684">
        <f>IF(終値!A15="","",IF(AND(安値!AF15&lt;安値!AE15,安値!AF15&lt;安値!AD15,安値!AF15&lt;安値!AG15,安値!AF15&lt;安値!AH15),27,""))</f>
      </c>
      <c r="AB15" s="684">
        <f>IF(終値!A15="","",IF(AND(安値!AG15&lt;安値!AF15,安値!AG15&lt;安値!AE15,安値!AG15&lt;安値!AH15,安値!AG15&lt;安値!AI15),28,""))</f>
      </c>
      <c r="AC15" s="684">
        <f>IF(終値!A15="","",IF(AND(高値!G15&gt;高値!F15,高値!G15&gt;高値!E15,高値!G15&gt;高値!H15,高値!G15&gt;高値!I15),2,""))</f>
      </c>
      <c r="AD15" s="684">
        <f>IF(終値!A15="","",IF(AND(高値!H15&gt;高値!G15,高値!H15&gt;高値!F15,高値!H15&gt;高値!I15,高値!H15&gt;高値!J15),3,""))</f>
      </c>
      <c r="AE15" s="684">
        <f>IF(終値!A15="","",IF(AND(高値!I15&gt;高値!H15,高値!I15&gt;高値!G15,高値!I15&gt;高値!J15,高値!I15&gt;高値!K15),4,""))</f>
      </c>
      <c r="AF15" s="684">
        <f>IF(終値!A15="","",IF(AND(高値!J15&gt;高値!I15,高値!J15&gt;高値!H15,高値!J15&gt;高値!K15,高値!J15&gt;高値!L15),5,""))</f>
      </c>
      <c r="AG15" s="684">
        <f>IF(終値!A15="","",IF(AND(高値!K15&gt;高値!J15,高値!K15&gt;高値!I15,高値!K15&gt;高値!L15,高値!K15&gt;高値!M15),6,""))</f>
      </c>
      <c r="AH15" s="684">
        <f>IF(終値!A15="","",IF(AND(高値!L15&gt;高値!K15,高値!L15&gt;高値!J15,高値!L15&gt;高値!M15,高値!L15&gt;高値!N15),7,""))</f>
      </c>
      <c r="AI15" s="684">
        <f>IF(終値!A15="","",IF(AND(高値!M15&gt;高値!L15,高値!M15&gt;高値!K15,高値!M15&gt;高値!N15,高値!M15&gt;高値!O15),8,""))</f>
      </c>
      <c r="AJ15" s="684">
        <f>IF(終値!A15="","",IF(AND(高値!N15&gt;高値!M15,高値!N15&gt;高値!L15,高値!N15&gt;高値!O15,高値!N15&gt;高値!P15),9,""))</f>
      </c>
      <c r="AK15" s="684">
        <f>IF(終値!A15="","",IF(AND(高値!O15&gt;高値!N15,高値!O15&gt;高値!M15,高値!O15&gt;高値!P15,高値!O15&gt;高値!Q15),10,""))</f>
      </c>
      <c r="AL15" s="684">
        <f>IF(終値!A15="","",IF(AND(高値!P15&gt;高値!O15,高値!P15&gt;高値!N15,高値!P15&gt;高値!Q15,高値!P15&gt;高値!R15),11,""))</f>
      </c>
      <c r="AM15" s="684">
        <f>IF(終値!A15="","",IF(AND(高値!Q15&gt;高値!P15,高値!Q15&gt;高値!O15,高値!Q15&gt;高値!R15,高値!Q15&gt;高値!S15),12,""))</f>
      </c>
      <c r="AN15" s="684">
        <f>IF(終値!A15="","",IF(AND(高値!R15&gt;高値!Q15,高値!R15&gt;高値!P15,高値!R15&gt;高値!S15,高値!R15&gt;高値!T15),13,""))</f>
      </c>
      <c r="AO15" s="684">
        <f>IF(終値!A15="","",IF(AND(高値!S15&gt;高値!R15,高値!S15&gt;高値!Q15,高値!S15&gt;高値!T15,高値!S15&gt;高値!U15),14,""))</f>
      </c>
      <c r="AP15" s="684">
        <f>IF(終値!A15="","",IF(AND(高値!T15&gt;高値!S15,高値!T15&gt;高値!R15,高値!T15&gt;高値!U15,高値!T15&gt;高値!V15),15,""))</f>
      </c>
      <c r="AQ15" s="684">
        <f>IF(終値!A15="","",IF(AND(高値!U15&gt;高値!T15,高値!U15&gt;高値!S15,高値!U15&gt;高値!V15,高値!U15&gt;高値!W15),16,""))</f>
      </c>
      <c r="AR15" s="684">
        <f>IF(終値!A15="","",IF(AND(高値!V15&gt;高値!U15,高値!V15&gt;高値!T15,高値!V15&gt;高値!W15,高値!V15&gt;高値!X15),17,""))</f>
      </c>
      <c r="AS15" s="684">
        <f>IF(終値!A15="","",IF(AND(高値!W15&gt;高値!V15,高値!W15&gt;高値!U15,高値!W15&gt;高値!X15,高値!W15&gt;高値!Y15),18,""))</f>
      </c>
      <c r="AT15" s="684">
        <f>IF(終値!A15="","",IF(AND(高値!X15&gt;高値!W15,高値!X15&gt;高値!V15,高値!X15&gt;高値!Y15,高値!X15&gt;高値!Z15),19,""))</f>
      </c>
      <c r="AU15" s="684">
        <f>IF(終値!A15="","",IF(AND(高値!Y15&gt;高値!X15,高値!Y15&gt;高値!W15,高値!Y15&gt;高値!Z15,高値!Y15&gt;高値!AA15),20,""))</f>
      </c>
      <c r="AV15" s="684">
        <f>IF(終値!A15="","",IF(AND(高値!Z15&gt;高値!Y15,高値!Z15&gt;高値!X15,高値!Z15&gt;高値!AA15,高値!Z15&gt;高値!AB15),21,""))</f>
      </c>
      <c r="AW15" s="684">
        <f>IF(終値!A15="","",IF(AND(高値!AA15&gt;高値!Z15,高値!AA15&gt;高値!Y15,高値!AA15&gt;高値!AB15,高値!AA15&gt;高値!AC15),22,""))</f>
      </c>
      <c r="AX15" s="684">
        <f>IF(終値!A15="","",IF(AND(高値!AB15&gt;高値!AA15,高値!AB15&gt;高値!Z15,高値!AB15&gt;高値!AC15,高値!AB15&gt;高値!AD15),23,""))</f>
      </c>
      <c r="AY15" s="684">
        <f>IF(終値!A15="","",IF(AND(高値!AC15&gt;高値!AB15,高値!AC15&gt;高値!AA15,高値!AC15&gt;高値!AD15,高値!AC15&gt;高値!AE15),24,""))</f>
      </c>
      <c r="AZ15" s="684">
        <f>IF(終値!A15="","",IF(AND(高値!AD15&gt;高値!AC15,高値!AD15&gt;高値!AB15,高値!AD15&gt;高値!AE15,高値!AD15&gt;高値!AF15),25,""))</f>
      </c>
      <c r="BA15" s="684">
        <f>IF(終値!A15="","",IF(AND(高値!AE15&gt;高値!AD15,高値!AE15&gt;高値!AC15,高値!AE15&gt;高値!AF15,高値!AE15&gt;高値!AG15),26,""))</f>
      </c>
      <c r="BB15" s="684">
        <f>IF(終値!A15="","",IF(AND(高値!AF15&gt;高値!AE15,高値!AF15&gt;高値!AD15,高値!AF15&gt;高値!AG15,高値!AF15&gt;高値!AH15),27,""))</f>
      </c>
      <c r="BC15" s="684">
        <f>IF(終値!A15="","",IF(AND(高値!AG15&gt;高値!AF15,高値!AG15&gt;高値!AE15,高値!AG15&gt;高値!AH15,高値!AG15&gt;高値!AI15),28,""))</f>
      </c>
      <c r="BD15" s="684">
        <f>COUNT($B15:$AB15)</f>
      </c>
      <c r="BE15" s="684">
        <f>IF($BD15&gt;=2,MIN($B15:$AB15),"")</f>
      </c>
      <c r="BF15" s="684">
        <f>IF($BD15&gt;=2,SMALL($B15:$AB15,2),"")</f>
      </c>
      <c r="BG15" s="684">
        <f>IF($BE15="","",INDEX(安値!$E15:$CZ15,1,$BE15+1))</f>
      </c>
      <c r="BH15" s="684">
        <f>IF($BF15="","",INDEX(安値!$E15:$CZ15,1,$BF15+1))</f>
      </c>
      <c r="BI15" s="684">
        <f>IF($BF15="","",MAX(INDEX(高値!$E15:$CZ15,1,$BE15+1):INDEX(高値!$E15:$CZ15,1,$BF15+1)))</f>
      </c>
      <c r="BJ15" s="684">
        <f>IF($BF15="","",AVERAGE(INDEX(終値!$E15:$CZ15,1,$BF15+1):INDEX(終値!$E15:$CZ15,1,$BF15+20))-2*STDEVP(INDEX(終値!$E15:$CZ15,1,$BF15+1):INDEX(終値!$E15:$CZ15,1,$BF15+20)))</f>
      </c>
      <c r="BK15" s="684">
        <f>IF($BE15="","",AVERAGE(INDEX(終値!$E15:$CZ15,1,$BE15+1):INDEX(終値!$E15:$CZ15,1,$BE15+20))-2*STDEVP(INDEX(終値!$E15:$CZ15,1,$BE15+1):INDEX(終値!$E15:$CZ15,1,$BE15+20)))</f>
      </c>
      <c r="BL15" s="684">
        <f>COUNT($AC15:$BC15)</f>
      </c>
      <c r="BM15" s="684">
        <f>IF($BL15&gt;=2,MIN($AC15:$BC15),"")</f>
      </c>
      <c r="BN15" s="684">
        <f>IF($BL15&gt;=2,SMALL($AC15:$BC15,2),"")</f>
      </c>
      <c r="BO15" s="684">
        <f>IF($BM15="","",INDEX(高値!$E15:$CZ15,1,$BM15+1))</f>
      </c>
      <c r="BP15" s="684">
        <f>IF($BN15="","",INDEX(高値!$E15:$CZ15,1,$BN15+1))</f>
      </c>
      <c r="BQ15" s="684">
        <f>IF($BN15="","",MIN(INDEX(安値!$E15:$CZ15,1,$BM15+1):INDEX(安値!$E15:$CZ15,1,$BN15+1)))</f>
      </c>
      <c r="BR15" s="684">
        <f>IF($BN15="","",AVERAGE(INDEX(終値!$E15:$CZ15,1,$BN15+1):INDEX(終値!$E15:$CZ15,1,$BN15+20))+2*STDEVP(INDEX(終値!$E15:$CZ15,1,$BN15+1):INDEX(終値!$E15:$CZ15,1,$BN15+20)))</f>
      </c>
      <c r="BS15" s="684">
        <f>IF($BM15="","",AVERAGE(INDEX(終値!$E15:$CZ15,1,$BM15+1):INDEX(終値!$E15:$CZ15,1,$BM15+20))+2*STDEVP(INDEX(終値!$E15:$CZ15,1,$BM15+1):INDEX(終値!$E15:$CZ15,1,$BM15+20)))</f>
      </c>
      <c r="BT15" s="681">
        <f>IFERROR(IF(AND($BD15&gt;=2,ABS($BG15-$BH15)/$BH15&lt;=BB設定!$B$12,$BI15&gt;=MAX($BH15,$BG15)*(1+BB設定!$B$13),終値!E15&gt;$BG15),IF(OR(終値!E15&gt;=$BI15,AND($BH15&lt;$BJ15,$BG15&gt;=$BK15)),"二番底W▲","二番底W形成"),IF(AND($BL15&gt;=2,ABS($BO15-$BP15)/$BP15&lt;=BB設定!$B$12,$BQ15&lt;=MIN($BP15,$BO15)*(1-BB設定!$B$13),終値!E15&lt;$BO15),IF(OR(終値!E15&lt;=$BQ15,AND($BP15&gt;$BR15,$BO15&lt;=$BS15)),"二番天井M▼","二番天井M形成"),"－")),"－")</f>
      </c>
    </row>
    <row r="16">
      <c r="B16" s="684">
        <f>IF(終値!A16="","",IF(AND(安値!G16&lt;安値!F16,安値!G16&lt;安値!E16,安値!G16&lt;安値!H16,安値!G16&lt;安値!I16),2,""))</f>
      </c>
      <c r="C16" s="684">
        <f>IF(終値!A16="","",IF(AND(安値!H16&lt;安値!G16,安値!H16&lt;安値!F16,安値!H16&lt;安値!I16,安値!H16&lt;安値!J16),3,""))</f>
      </c>
      <c r="D16" s="684">
        <f>IF(終値!A16="","",IF(AND(安値!I16&lt;安値!H16,安値!I16&lt;安値!G16,安値!I16&lt;安値!J16,安値!I16&lt;安値!K16),4,""))</f>
      </c>
      <c r="E16" s="684">
        <f>IF(終値!A16="","",IF(AND(安値!J16&lt;安値!I16,安値!J16&lt;安値!H16,安値!J16&lt;安値!K16,安値!J16&lt;安値!L16),5,""))</f>
      </c>
      <c r="F16" s="684">
        <f>IF(終値!A16="","",IF(AND(安値!K16&lt;安値!J16,安値!K16&lt;安値!I16,安値!K16&lt;安値!L16,安値!K16&lt;安値!M16),6,""))</f>
      </c>
      <c r="G16" s="684">
        <f>IF(終値!A16="","",IF(AND(安値!L16&lt;安値!K16,安値!L16&lt;安値!J16,安値!L16&lt;安値!M16,安値!L16&lt;安値!N16),7,""))</f>
      </c>
      <c r="H16" s="684">
        <f>IF(終値!A16="","",IF(AND(安値!M16&lt;安値!L16,安値!M16&lt;安値!K16,安値!M16&lt;安値!N16,安値!M16&lt;安値!O16),8,""))</f>
      </c>
      <c r="I16" s="684">
        <f>IF(終値!A16="","",IF(AND(安値!N16&lt;安値!M16,安値!N16&lt;安値!L16,安値!N16&lt;安値!O16,安値!N16&lt;安値!P16),9,""))</f>
      </c>
      <c r="J16" s="684">
        <f>IF(終値!A16="","",IF(AND(安値!O16&lt;安値!N16,安値!O16&lt;安値!M16,安値!O16&lt;安値!P16,安値!O16&lt;安値!Q16),10,""))</f>
      </c>
      <c r="K16" s="684">
        <f>IF(終値!A16="","",IF(AND(安値!P16&lt;安値!O16,安値!P16&lt;安値!N16,安値!P16&lt;安値!Q16,安値!P16&lt;安値!R16),11,""))</f>
      </c>
      <c r="L16" s="684">
        <f>IF(終値!A16="","",IF(AND(安値!Q16&lt;安値!P16,安値!Q16&lt;安値!O16,安値!Q16&lt;安値!R16,安値!Q16&lt;安値!S16),12,""))</f>
      </c>
      <c r="M16" s="684">
        <f>IF(終値!A16="","",IF(AND(安値!R16&lt;安値!Q16,安値!R16&lt;安値!P16,安値!R16&lt;安値!S16,安値!R16&lt;安値!T16),13,""))</f>
      </c>
      <c r="N16" s="684">
        <f>IF(終値!A16="","",IF(AND(安値!S16&lt;安値!R16,安値!S16&lt;安値!Q16,安値!S16&lt;安値!T16,安値!S16&lt;安値!U16),14,""))</f>
      </c>
      <c r="O16" s="684">
        <f>IF(終値!A16="","",IF(AND(安値!T16&lt;安値!S16,安値!T16&lt;安値!R16,安値!T16&lt;安値!U16,安値!T16&lt;安値!V16),15,""))</f>
      </c>
      <c r="P16" s="684">
        <f>IF(終値!A16="","",IF(AND(安値!U16&lt;安値!T16,安値!U16&lt;安値!S16,安値!U16&lt;安値!V16,安値!U16&lt;安値!W16),16,""))</f>
      </c>
      <c r="Q16" s="684">
        <f>IF(終値!A16="","",IF(AND(安値!V16&lt;安値!U16,安値!V16&lt;安値!T16,安値!V16&lt;安値!W16,安値!V16&lt;安値!X16),17,""))</f>
      </c>
      <c r="R16" s="684">
        <f>IF(終値!A16="","",IF(AND(安値!W16&lt;安値!V16,安値!W16&lt;安値!U16,安値!W16&lt;安値!X16,安値!W16&lt;安値!Y16),18,""))</f>
      </c>
      <c r="S16" s="684">
        <f>IF(終値!A16="","",IF(AND(安値!X16&lt;安値!W16,安値!X16&lt;安値!V16,安値!X16&lt;安値!Y16,安値!X16&lt;安値!Z16),19,""))</f>
      </c>
      <c r="T16" s="684">
        <f>IF(終値!A16="","",IF(AND(安値!Y16&lt;安値!X16,安値!Y16&lt;安値!W16,安値!Y16&lt;安値!Z16,安値!Y16&lt;安値!AA16),20,""))</f>
      </c>
      <c r="U16" s="684">
        <f>IF(終値!A16="","",IF(AND(安値!Z16&lt;安値!Y16,安値!Z16&lt;安値!X16,安値!Z16&lt;安値!AA16,安値!Z16&lt;安値!AB16),21,""))</f>
      </c>
      <c r="V16" s="684">
        <f>IF(終値!A16="","",IF(AND(安値!AA16&lt;安値!Z16,安値!AA16&lt;安値!Y16,安値!AA16&lt;安値!AB16,安値!AA16&lt;安値!AC16),22,""))</f>
      </c>
      <c r="W16" s="684">
        <f>IF(終値!A16="","",IF(AND(安値!AB16&lt;安値!AA16,安値!AB16&lt;安値!Z16,安値!AB16&lt;安値!AC16,安値!AB16&lt;安値!AD16),23,""))</f>
      </c>
      <c r="X16" s="684">
        <f>IF(終値!A16="","",IF(AND(安値!AC16&lt;安値!AB16,安値!AC16&lt;安値!AA16,安値!AC16&lt;安値!AD16,安値!AC16&lt;安値!AE16),24,""))</f>
      </c>
      <c r="Y16" s="684">
        <f>IF(終値!A16="","",IF(AND(安値!AD16&lt;安値!AC16,安値!AD16&lt;安値!AB16,安値!AD16&lt;安値!AE16,安値!AD16&lt;安値!AF16),25,""))</f>
      </c>
      <c r="Z16" s="684">
        <f>IF(終値!A16="","",IF(AND(安値!AE16&lt;安値!AD16,安値!AE16&lt;安値!AC16,安値!AE16&lt;安値!AF16,安値!AE16&lt;安値!AG16),26,""))</f>
      </c>
      <c r="AA16" s="684">
        <f>IF(終値!A16="","",IF(AND(安値!AF16&lt;安値!AE16,安値!AF16&lt;安値!AD16,安値!AF16&lt;安値!AG16,安値!AF16&lt;安値!AH16),27,""))</f>
      </c>
      <c r="AB16" s="684">
        <f>IF(終値!A16="","",IF(AND(安値!AG16&lt;安値!AF16,安値!AG16&lt;安値!AE16,安値!AG16&lt;安値!AH16,安値!AG16&lt;安値!AI16),28,""))</f>
      </c>
      <c r="AC16" s="684">
        <f>IF(終値!A16="","",IF(AND(高値!G16&gt;高値!F16,高値!G16&gt;高値!E16,高値!G16&gt;高値!H16,高値!G16&gt;高値!I16),2,""))</f>
      </c>
      <c r="AD16" s="684">
        <f>IF(終値!A16="","",IF(AND(高値!H16&gt;高値!G16,高値!H16&gt;高値!F16,高値!H16&gt;高値!I16,高値!H16&gt;高値!J16),3,""))</f>
      </c>
      <c r="AE16" s="684">
        <f>IF(終値!A16="","",IF(AND(高値!I16&gt;高値!H16,高値!I16&gt;高値!G16,高値!I16&gt;高値!J16,高値!I16&gt;高値!K16),4,""))</f>
      </c>
      <c r="AF16" s="684">
        <f>IF(終値!A16="","",IF(AND(高値!J16&gt;高値!I16,高値!J16&gt;高値!H16,高値!J16&gt;高値!K16,高値!J16&gt;高値!L16),5,""))</f>
      </c>
      <c r="AG16" s="684">
        <f>IF(終値!A16="","",IF(AND(高値!K16&gt;高値!J16,高値!K16&gt;高値!I16,高値!K16&gt;高値!L16,高値!K16&gt;高値!M16),6,""))</f>
      </c>
      <c r="AH16" s="684">
        <f>IF(終値!A16="","",IF(AND(高値!L16&gt;高値!K16,高値!L16&gt;高値!J16,高値!L16&gt;高値!M16,高値!L16&gt;高値!N16),7,""))</f>
      </c>
      <c r="AI16" s="684">
        <f>IF(終値!A16="","",IF(AND(高値!M16&gt;高値!L16,高値!M16&gt;高値!K16,高値!M16&gt;高値!N16,高値!M16&gt;高値!O16),8,""))</f>
      </c>
      <c r="AJ16" s="684">
        <f>IF(終値!A16="","",IF(AND(高値!N16&gt;高値!M16,高値!N16&gt;高値!L16,高値!N16&gt;高値!O16,高値!N16&gt;高値!P16),9,""))</f>
      </c>
      <c r="AK16" s="684">
        <f>IF(終値!A16="","",IF(AND(高値!O16&gt;高値!N16,高値!O16&gt;高値!M16,高値!O16&gt;高値!P16,高値!O16&gt;高値!Q16),10,""))</f>
      </c>
      <c r="AL16" s="684">
        <f>IF(終値!A16="","",IF(AND(高値!P16&gt;高値!O16,高値!P16&gt;高値!N16,高値!P16&gt;高値!Q16,高値!P16&gt;高値!R16),11,""))</f>
      </c>
      <c r="AM16" s="684">
        <f>IF(終値!A16="","",IF(AND(高値!Q16&gt;高値!P16,高値!Q16&gt;高値!O16,高値!Q16&gt;高値!R16,高値!Q16&gt;高値!S16),12,""))</f>
      </c>
      <c r="AN16" s="684">
        <f>IF(終値!A16="","",IF(AND(高値!R16&gt;高値!Q16,高値!R16&gt;高値!P16,高値!R16&gt;高値!S16,高値!R16&gt;高値!T16),13,""))</f>
      </c>
      <c r="AO16" s="684">
        <f>IF(終値!A16="","",IF(AND(高値!S16&gt;高値!R16,高値!S16&gt;高値!Q16,高値!S16&gt;高値!T16,高値!S16&gt;高値!U16),14,""))</f>
      </c>
      <c r="AP16" s="684">
        <f>IF(終値!A16="","",IF(AND(高値!T16&gt;高値!S16,高値!T16&gt;高値!R16,高値!T16&gt;高値!U16,高値!T16&gt;高値!V16),15,""))</f>
      </c>
      <c r="AQ16" s="684">
        <f>IF(終値!A16="","",IF(AND(高値!U16&gt;高値!T16,高値!U16&gt;高値!S16,高値!U16&gt;高値!V16,高値!U16&gt;高値!W16),16,""))</f>
      </c>
      <c r="AR16" s="684">
        <f>IF(終値!A16="","",IF(AND(高値!V16&gt;高値!U16,高値!V16&gt;高値!T16,高値!V16&gt;高値!W16,高値!V16&gt;高値!X16),17,""))</f>
      </c>
      <c r="AS16" s="684">
        <f>IF(終値!A16="","",IF(AND(高値!W16&gt;高値!V16,高値!W16&gt;高値!U16,高値!W16&gt;高値!X16,高値!W16&gt;高値!Y16),18,""))</f>
      </c>
      <c r="AT16" s="684">
        <f>IF(終値!A16="","",IF(AND(高値!X16&gt;高値!W16,高値!X16&gt;高値!V16,高値!X16&gt;高値!Y16,高値!X16&gt;高値!Z16),19,""))</f>
      </c>
      <c r="AU16" s="684">
        <f>IF(終値!A16="","",IF(AND(高値!Y16&gt;高値!X16,高値!Y16&gt;高値!W16,高値!Y16&gt;高値!Z16,高値!Y16&gt;高値!AA16),20,""))</f>
      </c>
      <c r="AV16" s="684">
        <f>IF(終値!A16="","",IF(AND(高値!Z16&gt;高値!Y16,高値!Z16&gt;高値!X16,高値!Z16&gt;高値!AA16,高値!Z16&gt;高値!AB16),21,""))</f>
      </c>
      <c r="AW16" s="684">
        <f>IF(終値!A16="","",IF(AND(高値!AA16&gt;高値!Z16,高値!AA16&gt;高値!Y16,高値!AA16&gt;高値!AB16,高値!AA16&gt;高値!AC16),22,""))</f>
      </c>
      <c r="AX16" s="684">
        <f>IF(終値!A16="","",IF(AND(高値!AB16&gt;高値!AA16,高値!AB16&gt;高値!Z16,高値!AB16&gt;高値!AC16,高値!AB16&gt;高値!AD16),23,""))</f>
      </c>
      <c r="AY16" s="684">
        <f>IF(終値!A16="","",IF(AND(高値!AC16&gt;高値!AB16,高値!AC16&gt;高値!AA16,高値!AC16&gt;高値!AD16,高値!AC16&gt;高値!AE16),24,""))</f>
      </c>
      <c r="AZ16" s="684">
        <f>IF(終値!A16="","",IF(AND(高値!AD16&gt;高値!AC16,高値!AD16&gt;高値!AB16,高値!AD16&gt;高値!AE16,高値!AD16&gt;高値!AF16),25,""))</f>
      </c>
      <c r="BA16" s="684">
        <f>IF(終値!A16="","",IF(AND(高値!AE16&gt;高値!AD16,高値!AE16&gt;高値!AC16,高値!AE16&gt;高値!AF16,高値!AE16&gt;高値!AG16),26,""))</f>
      </c>
      <c r="BB16" s="684">
        <f>IF(終値!A16="","",IF(AND(高値!AF16&gt;高値!AE16,高値!AF16&gt;高値!AD16,高値!AF16&gt;高値!AG16,高値!AF16&gt;高値!AH16),27,""))</f>
      </c>
      <c r="BC16" s="684">
        <f>IF(終値!A16="","",IF(AND(高値!AG16&gt;高値!AF16,高値!AG16&gt;高値!AE16,高値!AG16&gt;高値!AH16,高値!AG16&gt;高値!AI16),28,""))</f>
      </c>
      <c r="BD16" s="684">
        <f>COUNT($B16:$AB16)</f>
      </c>
      <c r="BE16" s="684">
        <f>IF($BD16&gt;=2,MIN($B16:$AB16),"")</f>
      </c>
      <c r="BF16" s="684">
        <f>IF($BD16&gt;=2,SMALL($B16:$AB16,2),"")</f>
      </c>
      <c r="BG16" s="684">
        <f>IF($BE16="","",INDEX(安値!$E16:$CZ16,1,$BE16+1))</f>
      </c>
      <c r="BH16" s="684">
        <f>IF($BF16="","",INDEX(安値!$E16:$CZ16,1,$BF16+1))</f>
      </c>
      <c r="BI16" s="684">
        <f>IF($BF16="","",MAX(INDEX(高値!$E16:$CZ16,1,$BE16+1):INDEX(高値!$E16:$CZ16,1,$BF16+1)))</f>
      </c>
      <c r="BJ16" s="684">
        <f>IF($BF16="","",AVERAGE(INDEX(終値!$E16:$CZ16,1,$BF16+1):INDEX(終値!$E16:$CZ16,1,$BF16+20))-2*STDEVP(INDEX(終値!$E16:$CZ16,1,$BF16+1):INDEX(終値!$E16:$CZ16,1,$BF16+20)))</f>
      </c>
      <c r="BK16" s="684">
        <f>IF($BE16="","",AVERAGE(INDEX(終値!$E16:$CZ16,1,$BE16+1):INDEX(終値!$E16:$CZ16,1,$BE16+20))-2*STDEVP(INDEX(終値!$E16:$CZ16,1,$BE16+1):INDEX(終値!$E16:$CZ16,1,$BE16+20)))</f>
      </c>
      <c r="BL16" s="684">
        <f>COUNT($AC16:$BC16)</f>
      </c>
      <c r="BM16" s="684">
        <f>IF($BL16&gt;=2,MIN($AC16:$BC16),"")</f>
      </c>
      <c r="BN16" s="684">
        <f>IF($BL16&gt;=2,SMALL($AC16:$BC16,2),"")</f>
      </c>
      <c r="BO16" s="684">
        <f>IF($BM16="","",INDEX(高値!$E16:$CZ16,1,$BM16+1))</f>
      </c>
      <c r="BP16" s="684">
        <f>IF($BN16="","",INDEX(高値!$E16:$CZ16,1,$BN16+1))</f>
      </c>
      <c r="BQ16" s="684">
        <f>IF($BN16="","",MIN(INDEX(安値!$E16:$CZ16,1,$BM16+1):INDEX(安値!$E16:$CZ16,1,$BN16+1)))</f>
      </c>
      <c r="BR16" s="684">
        <f>IF($BN16="","",AVERAGE(INDEX(終値!$E16:$CZ16,1,$BN16+1):INDEX(終値!$E16:$CZ16,1,$BN16+20))+2*STDEVP(INDEX(終値!$E16:$CZ16,1,$BN16+1):INDEX(終値!$E16:$CZ16,1,$BN16+20)))</f>
      </c>
      <c r="BS16" s="684">
        <f>IF($BM16="","",AVERAGE(INDEX(終値!$E16:$CZ16,1,$BM16+1):INDEX(終値!$E16:$CZ16,1,$BM16+20))+2*STDEVP(INDEX(終値!$E16:$CZ16,1,$BM16+1):INDEX(終値!$E16:$CZ16,1,$BM16+20)))</f>
      </c>
      <c r="BT16" s="681">
        <f>IFERROR(IF(AND($BD16&gt;=2,ABS($BG16-$BH16)/$BH16&lt;=BB設定!$B$12,$BI16&gt;=MAX($BH16,$BG16)*(1+BB設定!$B$13),終値!E16&gt;$BG16),IF(OR(終値!E16&gt;=$BI16,AND($BH16&lt;$BJ16,$BG16&gt;=$BK16)),"二番底W▲","二番底W形成"),IF(AND($BL16&gt;=2,ABS($BO16-$BP16)/$BP16&lt;=BB設定!$B$12,$BQ16&lt;=MIN($BP16,$BO16)*(1-BB設定!$B$13),終値!E16&lt;$BO16),IF(OR(終値!E16&lt;=$BQ16,AND($BP16&gt;$BR16,$BO16&lt;=$BS16)),"二番天井M▼","二番天井M形成"),"－")),"－")</f>
      </c>
    </row>
    <row r="17">
      <c r="B17" s="684">
        <f>IF(終値!A17="","",IF(AND(安値!G17&lt;安値!F17,安値!G17&lt;安値!E17,安値!G17&lt;安値!H17,安値!G17&lt;安値!I17),2,""))</f>
      </c>
      <c r="C17" s="684">
        <f>IF(終値!A17="","",IF(AND(安値!H17&lt;安値!G17,安値!H17&lt;安値!F17,安値!H17&lt;安値!I17,安値!H17&lt;安値!J17),3,""))</f>
      </c>
      <c r="D17" s="684">
        <f>IF(終値!A17="","",IF(AND(安値!I17&lt;安値!H17,安値!I17&lt;安値!G17,安値!I17&lt;安値!J17,安値!I17&lt;安値!K17),4,""))</f>
      </c>
      <c r="E17" s="684">
        <f>IF(終値!A17="","",IF(AND(安値!J17&lt;安値!I17,安値!J17&lt;安値!H17,安値!J17&lt;安値!K17,安値!J17&lt;安値!L17),5,""))</f>
      </c>
      <c r="F17" s="684">
        <f>IF(終値!A17="","",IF(AND(安値!K17&lt;安値!J17,安値!K17&lt;安値!I17,安値!K17&lt;安値!L17,安値!K17&lt;安値!M17),6,""))</f>
      </c>
      <c r="G17" s="684">
        <f>IF(終値!A17="","",IF(AND(安値!L17&lt;安値!K17,安値!L17&lt;安値!J17,安値!L17&lt;安値!M17,安値!L17&lt;安値!N17),7,""))</f>
      </c>
      <c r="H17" s="684">
        <f>IF(終値!A17="","",IF(AND(安値!M17&lt;安値!L17,安値!M17&lt;安値!K17,安値!M17&lt;安値!N17,安値!M17&lt;安値!O17),8,""))</f>
      </c>
      <c r="I17" s="684">
        <f>IF(終値!A17="","",IF(AND(安値!N17&lt;安値!M17,安値!N17&lt;安値!L17,安値!N17&lt;安値!O17,安値!N17&lt;安値!P17),9,""))</f>
      </c>
      <c r="J17" s="684">
        <f>IF(終値!A17="","",IF(AND(安値!O17&lt;安値!N17,安値!O17&lt;安値!M17,安値!O17&lt;安値!P17,安値!O17&lt;安値!Q17),10,""))</f>
      </c>
      <c r="K17" s="684">
        <f>IF(終値!A17="","",IF(AND(安値!P17&lt;安値!O17,安値!P17&lt;安値!N17,安値!P17&lt;安値!Q17,安値!P17&lt;安値!R17),11,""))</f>
      </c>
      <c r="L17" s="684">
        <f>IF(終値!A17="","",IF(AND(安値!Q17&lt;安値!P17,安値!Q17&lt;安値!O17,安値!Q17&lt;安値!R17,安値!Q17&lt;安値!S17),12,""))</f>
      </c>
      <c r="M17" s="684">
        <f>IF(終値!A17="","",IF(AND(安値!R17&lt;安値!Q17,安値!R17&lt;安値!P17,安値!R17&lt;安値!S17,安値!R17&lt;安値!T17),13,""))</f>
      </c>
      <c r="N17" s="684">
        <f>IF(終値!A17="","",IF(AND(安値!S17&lt;安値!R17,安値!S17&lt;安値!Q17,安値!S17&lt;安値!T17,安値!S17&lt;安値!U17),14,""))</f>
      </c>
      <c r="O17" s="684">
        <f>IF(終値!A17="","",IF(AND(安値!T17&lt;安値!S17,安値!T17&lt;安値!R17,安値!T17&lt;安値!U17,安値!T17&lt;安値!V17),15,""))</f>
      </c>
      <c r="P17" s="684">
        <f>IF(終値!A17="","",IF(AND(安値!U17&lt;安値!T17,安値!U17&lt;安値!S17,安値!U17&lt;安値!V17,安値!U17&lt;安値!W17),16,""))</f>
      </c>
      <c r="Q17" s="684">
        <f>IF(終値!A17="","",IF(AND(安値!V17&lt;安値!U17,安値!V17&lt;安値!T17,安値!V17&lt;安値!W17,安値!V17&lt;安値!X17),17,""))</f>
      </c>
      <c r="R17" s="684">
        <f>IF(終値!A17="","",IF(AND(安値!W17&lt;安値!V17,安値!W17&lt;安値!U17,安値!W17&lt;安値!X17,安値!W17&lt;安値!Y17),18,""))</f>
      </c>
      <c r="S17" s="684">
        <f>IF(終値!A17="","",IF(AND(安値!X17&lt;安値!W17,安値!X17&lt;安値!V17,安値!X17&lt;安値!Y17,安値!X17&lt;安値!Z17),19,""))</f>
      </c>
      <c r="T17" s="684">
        <f>IF(終値!A17="","",IF(AND(安値!Y17&lt;安値!X17,安値!Y17&lt;安値!W17,安値!Y17&lt;安値!Z17,安値!Y17&lt;安値!AA17),20,""))</f>
      </c>
      <c r="U17" s="684">
        <f>IF(終値!A17="","",IF(AND(安値!Z17&lt;安値!Y17,安値!Z17&lt;安値!X17,安値!Z17&lt;安値!AA17,安値!Z17&lt;安値!AB17),21,""))</f>
      </c>
      <c r="V17" s="684">
        <f>IF(終値!A17="","",IF(AND(安値!AA17&lt;安値!Z17,安値!AA17&lt;安値!Y17,安値!AA17&lt;安値!AB17,安値!AA17&lt;安値!AC17),22,""))</f>
      </c>
      <c r="W17" s="684">
        <f>IF(終値!A17="","",IF(AND(安値!AB17&lt;安値!AA17,安値!AB17&lt;安値!Z17,安値!AB17&lt;安値!AC17,安値!AB17&lt;安値!AD17),23,""))</f>
      </c>
      <c r="X17" s="684">
        <f>IF(終値!A17="","",IF(AND(安値!AC17&lt;安値!AB17,安値!AC17&lt;安値!AA17,安値!AC17&lt;安値!AD17,安値!AC17&lt;安値!AE17),24,""))</f>
      </c>
      <c r="Y17" s="684">
        <f>IF(終値!A17="","",IF(AND(安値!AD17&lt;安値!AC17,安値!AD17&lt;安値!AB17,安値!AD17&lt;安値!AE17,安値!AD17&lt;安値!AF17),25,""))</f>
      </c>
      <c r="Z17" s="684">
        <f>IF(終値!A17="","",IF(AND(安値!AE17&lt;安値!AD17,安値!AE17&lt;安値!AC17,安値!AE17&lt;安値!AF17,安値!AE17&lt;安値!AG17),26,""))</f>
      </c>
      <c r="AA17" s="684">
        <f>IF(終値!A17="","",IF(AND(安値!AF17&lt;安値!AE17,安値!AF17&lt;安値!AD17,安値!AF17&lt;安値!AG17,安値!AF17&lt;安値!AH17),27,""))</f>
      </c>
      <c r="AB17" s="684">
        <f>IF(終値!A17="","",IF(AND(安値!AG17&lt;安値!AF17,安値!AG17&lt;安値!AE17,安値!AG17&lt;安値!AH17,安値!AG17&lt;安値!AI17),28,""))</f>
      </c>
      <c r="AC17" s="684">
        <f>IF(終値!A17="","",IF(AND(高値!G17&gt;高値!F17,高値!G17&gt;高値!E17,高値!G17&gt;高値!H17,高値!G17&gt;高値!I17),2,""))</f>
      </c>
      <c r="AD17" s="684">
        <f>IF(終値!A17="","",IF(AND(高値!H17&gt;高値!G17,高値!H17&gt;高値!F17,高値!H17&gt;高値!I17,高値!H17&gt;高値!J17),3,""))</f>
      </c>
      <c r="AE17" s="684">
        <f>IF(終値!A17="","",IF(AND(高値!I17&gt;高値!H17,高値!I17&gt;高値!G17,高値!I17&gt;高値!J17,高値!I17&gt;高値!K17),4,""))</f>
      </c>
      <c r="AF17" s="684">
        <f>IF(終値!A17="","",IF(AND(高値!J17&gt;高値!I17,高値!J17&gt;高値!H17,高値!J17&gt;高値!K17,高値!J17&gt;高値!L17),5,""))</f>
      </c>
      <c r="AG17" s="684">
        <f>IF(終値!A17="","",IF(AND(高値!K17&gt;高値!J17,高値!K17&gt;高値!I17,高値!K17&gt;高値!L17,高値!K17&gt;高値!M17),6,""))</f>
      </c>
      <c r="AH17" s="684">
        <f>IF(終値!A17="","",IF(AND(高値!L17&gt;高値!K17,高値!L17&gt;高値!J17,高値!L17&gt;高値!M17,高値!L17&gt;高値!N17),7,""))</f>
      </c>
      <c r="AI17" s="684">
        <f>IF(終値!A17="","",IF(AND(高値!M17&gt;高値!L17,高値!M17&gt;高値!K17,高値!M17&gt;高値!N17,高値!M17&gt;高値!O17),8,""))</f>
      </c>
      <c r="AJ17" s="684">
        <f>IF(終値!A17="","",IF(AND(高値!N17&gt;高値!M17,高値!N17&gt;高値!L17,高値!N17&gt;高値!O17,高値!N17&gt;高値!P17),9,""))</f>
      </c>
      <c r="AK17" s="684">
        <f>IF(終値!A17="","",IF(AND(高値!O17&gt;高値!N17,高値!O17&gt;高値!M17,高値!O17&gt;高値!P17,高値!O17&gt;高値!Q17),10,""))</f>
      </c>
      <c r="AL17" s="684">
        <f>IF(終値!A17="","",IF(AND(高値!P17&gt;高値!O17,高値!P17&gt;高値!N17,高値!P17&gt;高値!Q17,高値!P17&gt;高値!R17),11,""))</f>
      </c>
      <c r="AM17" s="684">
        <f>IF(終値!A17="","",IF(AND(高値!Q17&gt;高値!P17,高値!Q17&gt;高値!O17,高値!Q17&gt;高値!R17,高値!Q17&gt;高値!S17),12,""))</f>
      </c>
      <c r="AN17" s="684">
        <f>IF(終値!A17="","",IF(AND(高値!R17&gt;高値!Q17,高値!R17&gt;高値!P17,高値!R17&gt;高値!S17,高値!R17&gt;高値!T17),13,""))</f>
      </c>
      <c r="AO17" s="684">
        <f>IF(終値!A17="","",IF(AND(高値!S17&gt;高値!R17,高値!S17&gt;高値!Q17,高値!S17&gt;高値!T17,高値!S17&gt;高値!U17),14,""))</f>
      </c>
      <c r="AP17" s="684">
        <f>IF(終値!A17="","",IF(AND(高値!T17&gt;高値!S17,高値!T17&gt;高値!R17,高値!T17&gt;高値!U17,高値!T17&gt;高値!V17),15,""))</f>
      </c>
      <c r="AQ17" s="684">
        <f>IF(終値!A17="","",IF(AND(高値!U17&gt;高値!T17,高値!U17&gt;高値!S17,高値!U17&gt;高値!V17,高値!U17&gt;高値!W17),16,""))</f>
      </c>
      <c r="AR17" s="684">
        <f>IF(終値!A17="","",IF(AND(高値!V17&gt;高値!U17,高値!V17&gt;高値!T17,高値!V17&gt;高値!W17,高値!V17&gt;高値!X17),17,""))</f>
      </c>
      <c r="AS17" s="684">
        <f>IF(終値!A17="","",IF(AND(高値!W17&gt;高値!V17,高値!W17&gt;高値!U17,高値!W17&gt;高値!X17,高値!W17&gt;高値!Y17),18,""))</f>
      </c>
      <c r="AT17" s="684">
        <f>IF(終値!A17="","",IF(AND(高値!X17&gt;高値!W17,高値!X17&gt;高値!V17,高値!X17&gt;高値!Y17,高値!X17&gt;高値!Z17),19,""))</f>
      </c>
      <c r="AU17" s="684">
        <f>IF(終値!A17="","",IF(AND(高値!Y17&gt;高値!X17,高値!Y17&gt;高値!W17,高値!Y17&gt;高値!Z17,高値!Y17&gt;高値!AA17),20,""))</f>
      </c>
      <c r="AV17" s="684">
        <f>IF(終値!A17="","",IF(AND(高値!Z17&gt;高値!Y17,高値!Z17&gt;高値!X17,高値!Z17&gt;高値!AA17,高値!Z17&gt;高値!AB17),21,""))</f>
      </c>
      <c r="AW17" s="684">
        <f>IF(終値!A17="","",IF(AND(高値!AA17&gt;高値!Z17,高値!AA17&gt;高値!Y17,高値!AA17&gt;高値!AB17,高値!AA17&gt;高値!AC17),22,""))</f>
      </c>
      <c r="AX17" s="684">
        <f>IF(終値!A17="","",IF(AND(高値!AB17&gt;高値!AA17,高値!AB17&gt;高値!Z17,高値!AB17&gt;高値!AC17,高値!AB17&gt;高値!AD17),23,""))</f>
      </c>
      <c r="AY17" s="684">
        <f>IF(終値!A17="","",IF(AND(高値!AC17&gt;高値!AB17,高値!AC17&gt;高値!AA17,高値!AC17&gt;高値!AD17,高値!AC17&gt;高値!AE17),24,""))</f>
      </c>
      <c r="AZ17" s="684">
        <f>IF(終値!A17="","",IF(AND(高値!AD17&gt;高値!AC17,高値!AD17&gt;高値!AB17,高値!AD17&gt;高値!AE17,高値!AD17&gt;高値!AF17),25,""))</f>
      </c>
      <c r="BA17" s="684">
        <f>IF(終値!A17="","",IF(AND(高値!AE17&gt;高値!AD17,高値!AE17&gt;高値!AC17,高値!AE17&gt;高値!AF17,高値!AE17&gt;高値!AG17),26,""))</f>
      </c>
      <c r="BB17" s="684">
        <f>IF(終値!A17="","",IF(AND(高値!AF17&gt;高値!AE17,高値!AF17&gt;高値!AD17,高値!AF17&gt;高値!AG17,高値!AF17&gt;高値!AH17),27,""))</f>
      </c>
      <c r="BC17" s="684">
        <f>IF(終値!A17="","",IF(AND(高値!AG17&gt;高値!AF17,高値!AG17&gt;高値!AE17,高値!AG17&gt;高値!AH17,高値!AG17&gt;高値!AI17),28,""))</f>
      </c>
      <c r="BD17" s="684">
        <f>COUNT($B17:$AB17)</f>
      </c>
      <c r="BE17" s="684">
        <f>IF($BD17&gt;=2,MIN($B17:$AB17),"")</f>
      </c>
      <c r="BF17" s="684">
        <f>IF($BD17&gt;=2,SMALL($B17:$AB17,2),"")</f>
      </c>
      <c r="BG17" s="684">
        <f>IF($BE17="","",INDEX(安値!$E17:$CZ17,1,$BE17+1))</f>
      </c>
      <c r="BH17" s="684">
        <f>IF($BF17="","",INDEX(安値!$E17:$CZ17,1,$BF17+1))</f>
      </c>
      <c r="BI17" s="684">
        <f>IF($BF17="","",MAX(INDEX(高値!$E17:$CZ17,1,$BE17+1):INDEX(高値!$E17:$CZ17,1,$BF17+1)))</f>
      </c>
      <c r="BJ17" s="684">
        <f>IF($BF17="","",AVERAGE(INDEX(終値!$E17:$CZ17,1,$BF17+1):INDEX(終値!$E17:$CZ17,1,$BF17+20))-2*STDEVP(INDEX(終値!$E17:$CZ17,1,$BF17+1):INDEX(終値!$E17:$CZ17,1,$BF17+20)))</f>
      </c>
      <c r="BK17" s="684">
        <f>IF($BE17="","",AVERAGE(INDEX(終値!$E17:$CZ17,1,$BE17+1):INDEX(終値!$E17:$CZ17,1,$BE17+20))-2*STDEVP(INDEX(終値!$E17:$CZ17,1,$BE17+1):INDEX(終値!$E17:$CZ17,1,$BE17+20)))</f>
      </c>
      <c r="BL17" s="684">
        <f>COUNT($AC17:$BC17)</f>
      </c>
      <c r="BM17" s="684">
        <f>IF($BL17&gt;=2,MIN($AC17:$BC17),"")</f>
      </c>
      <c r="BN17" s="684">
        <f>IF($BL17&gt;=2,SMALL($AC17:$BC17,2),"")</f>
      </c>
      <c r="BO17" s="684">
        <f>IF($BM17="","",INDEX(高値!$E17:$CZ17,1,$BM17+1))</f>
      </c>
      <c r="BP17" s="684">
        <f>IF($BN17="","",INDEX(高値!$E17:$CZ17,1,$BN17+1))</f>
      </c>
      <c r="BQ17" s="684">
        <f>IF($BN17="","",MIN(INDEX(安値!$E17:$CZ17,1,$BM17+1):INDEX(安値!$E17:$CZ17,1,$BN17+1)))</f>
      </c>
      <c r="BR17" s="684">
        <f>IF($BN17="","",AVERAGE(INDEX(終値!$E17:$CZ17,1,$BN17+1):INDEX(終値!$E17:$CZ17,1,$BN17+20))+2*STDEVP(INDEX(終値!$E17:$CZ17,1,$BN17+1):INDEX(終値!$E17:$CZ17,1,$BN17+20)))</f>
      </c>
      <c r="BS17" s="684">
        <f>IF($BM17="","",AVERAGE(INDEX(終値!$E17:$CZ17,1,$BM17+1):INDEX(終値!$E17:$CZ17,1,$BM17+20))+2*STDEVP(INDEX(終値!$E17:$CZ17,1,$BM17+1):INDEX(終値!$E17:$CZ17,1,$BM17+20)))</f>
      </c>
      <c r="BT17" s="681">
        <f>IFERROR(IF(AND($BD17&gt;=2,ABS($BG17-$BH17)/$BH17&lt;=BB設定!$B$12,$BI17&gt;=MAX($BH17,$BG17)*(1+BB設定!$B$13),終値!E17&gt;$BG17),IF(OR(終値!E17&gt;=$BI17,AND($BH17&lt;$BJ17,$BG17&gt;=$BK17)),"二番底W▲","二番底W形成"),IF(AND($BL17&gt;=2,ABS($BO17-$BP17)/$BP17&lt;=BB設定!$B$12,$BQ17&lt;=MIN($BP17,$BO17)*(1-BB設定!$B$13),終値!E17&lt;$BO17),IF(OR(終値!E17&lt;=$BQ17,AND($BP17&gt;$BR17,$BO17&lt;=$BS17)),"二番天井M▼","二番天井M形成"),"－")),"－")</f>
      </c>
    </row>
    <row r="18">
      <c r="B18" s="684">
        <f>IF(終値!A18="","",IF(AND(安値!G18&lt;安値!F18,安値!G18&lt;安値!E18,安値!G18&lt;安値!H18,安値!G18&lt;安値!I18),2,""))</f>
      </c>
      <c r="C18" s="684">
        <f>IF(終値!A18="","",IF(AND(安値!H18&lt;安値!G18,安値!H18&lt;安値!F18,安値!H18&lt;安値!I18,安値!H18&lt;安値!J18),3,""))</f>
      </c>
      <c r="D18" s="684">
        <f>IF(終値!A18="","",IF(AND(安値!I18&lt;安値!H18,安値!I18&lt;安値!G18,安値!I18&lt;安値!J18,安値!I18&lt;安値!K18),4,""))</f>
      </c>
      <c r="E18" s="684">
        <f>IF(終値!A18="","",IF(AND(安値!J18&lt;安値!I18,安値!J18&lt;安値!H18,安値!J18&lt;安値!K18,安値!J18&lt;安値!L18),5,""))</f>
      </c>
      <c r="F18" s="684">
        <f>IF(終値!A18="","",IF(AND(安値!K18&lt;安値!J18,安値!K18&lt;安値!I18,安値!K18&lt;安値!L18,安値!K18&lt;安値!M18),6,""))</f>
      </c>
      <c r="G18" s="684">
        <f>IF(終値!A18="","",IF(AND(安値!L18&lt;安値!K18,安値!L18&lt;安値!J18,安値!L18&lt;安値!M18,安値!L18&lt;安値!N18),7,""))</f>
      </c>
      <c r="H18" s="684">
        <f>IF(終値!A18="","",IF(AND(安値!M18&lt;安値!L18,安値!M18&lt;安値!K18,安値!M18&lt;安値!N18,安値!M18&lt;安値!O18),8,""))</f>
      </c>
      <c r="I18" s="684">
        <f>IF(終値!A18="","",IF(AND(安値!N18&lt;安値!M18,安値!N18&lt;安値!L18,安値!N18&lt;安値!O18,安値!N18&lt;安値!P18),9,""))</f>
      </c>
      <c r="J18" s="684">
        <f>IF(終値!A18="","",IF(AND(安値!O18&lt;安値!N18,安値!O18&lt;安値!M18,安値!O18&lt;安値!P18,安値!O18&lt;安値!Q18),10,""))</f>
      </c>
      <c r="K18" s="684">
        <f>IF(終値!A18="","",IF(AND(安値!P18&lt;安値!O18,安値!P18&lt;安値!N18,安値!P18&lt;安値!Q18,安値!P18&lt;安値!R18),11,""))</f>
      </c>
      <c r="L18" s="684">
        <f>IF(終値!A18="","",IF(AND(安値!Q18&lt;安値!P18,安値!Q18&lt;安値!O18,安値!Q18&lt;安値!R18,安値!Q18&lt;安値!S18),12,""))</f>
      </c>
      <c r="M18" s="684">
        <f>IF(終値!A18="","",IF(AND(安値!R18&lt;安値!Q18,安値!R18&lt;安値!P18,安値!R18&lt;安値!S18,安値!R18&lt;安値!T18),13,""))</f>
      </c>
      <c r="N18" s="684">
        <f>IF(終値!A18="","",IF(AND(安値!S18&lt;安値!R18,安値!S18&lt;安値!Q18,安値!S18&lt;安値!T18,安値!S18&lt;安値!U18),14,""))</f>
      </c>
      <c r="O18" s="684">
        <f>IF(終値!A18="","",IF(AND(安値!T18&lt;安値!S18,安値!T18&lt;安値!R18,安値!T18&lt;安値!U18,安値!T18&lt;安値!V18),15,""))</f>
      </c>
      <c r="P18" s="684">
        <f>IF(終値!A18="","",IF(AND(安値!U18&lt;安値!T18,安値!U18&lt;安値!S18,安値!U18&lt;安値!V18,安値!U18&lt;安値!W18),16,""))</f>
      </c>
      <c r="Q18" s="684">
        <f>IF(終値!A18="","",IF(AND(安値!V18&lt;安値!U18,安値!V18&lt;安値!T18,安値!V18&lt;安値!W18,安値!V18&lt;安値!X18),17,""))</f>
      </c>
      <c r="R18" s="684">
        <f>IF(終値!A18="","",IF(AND(安値!W18&lt;安値!V18,安値!W18&lt;安値!U18,安値!W18&lt;安値!X18,安値!W18&lt;安値!Y18),18,""))</f>
      </c>
      <c r="S18" s="684">
        <f>IF(終値!A18="","",IF(AND(安値!X18&lt;安値!W18,安値!X18&lt;安値!V18,安値!X18&lt;安値!Y18,安値!X18&lt;安値!Z18),19,""))</f>
      </c>
      <c r="T18" s="684">
        <f>IF(終値!A18="","",IF(AND(安値!Y18&lt;安値!X18,安値!Y18&lt;安値!W18,安値!Y18&lt;安値!Z18,安値!Y18&lt;安値!AA18),20,""))</f>
      </c>
      <c r="U18" s="684">
        <f>IF(終値!A18="","",IF(AND(安値!Z18&lt;安値!Y18,安値!Z18&lt;安値!X18,安値!Z18&lt;安値!AA18,安値!Z18&lt;安値!AB18),21,""))</f>
      </c>
      <c r="V18" s="684">
        <f>IF(終値!A18="","",IF(AND(安値!AA18&lt;安値!Z18,安値!AA18&lt;安値!Y18,安値!AA18&lt;安値!AB18,安値!AA18&lt;安値!AC18),22,""))</f>
      </c>
      <c r="W18" s="684">
        <f>IF(終値!A18="","",IF(AND(安値!AB18&lt;安値!AA18,安値!AB18&lt;安値!Z18,安値!AB18&lt;安値!AC18,安値!AB18&lt;安値!AD18),23,""))</f>
      </c>
      <c r="X18" s="684">
        <f>IF(終値!A18="","",IF(AND(安値!AC18&lt;安値!AB18,安値!AC18&lt;安値!AA18,安値!AC18&lt;安値!AD18,安値!AC18&lt;安値!AE18),24,""))</f>
      </c>
      <c r="Y18" s="684">
        <f>IF(終値!A18="","",IF(AND(安値!AD18&lt;安値!AC18,安値!AD18&lt;安値!AB18,安値!AD18&lt;安値!AE18,安値!AD18&lt;安値!AF18),25,""))</f>
      </c>
      <c r="Z18" s="684">
        <f>IF(終値!A18="","",IF(AND(安値!AE18&lt;安値!AD18,安値!AE18&lt;安値!AC18,安値!AE18&lt;安値!AF18,安値!AE18&lt;安値!AG18),26,""))</f>
      </c>
      <c r="AA18" s="684">
        <f>IF(終値!A18="","",IF(AND(安値!AF18&lt;安値!AE18,安値!AF18&lt;安値!AD18,安値!AF18&lt;安値!AG18,安値!AF18&lt;安値!AH18),27,""))</f>
      </c>
      <c r="AB18" s="684">
        <f>IF(終値!A18="","",IF(AND(安値!AG18&lt;安値!AF18,安値!AG18&lt;安値!AE18,安値!AG18&lt;安値!AH18,安値!AG18&lt;安値!AI18),28,""))</f>
      </c>
      <c r="AC18" s="684">
        <f>IF(終値!A18="","",IF(AND(高値!G18&gt;高値!F18,高値!G18&gt;高値!E18,高値!G18&gt;高値!H18,高値!G18&gt;高値!I18),2,""))</f>
      </c>
      <c r="AD18" s="684">
        <f>IF(終値!A18="","",IF(AND(高値!H18&gt;高値!G18,高値!H18&gt;高値!F18,高値!H18&gt;高値!I18,高値!H18&gt;高値!J18),3,""))</f>
      </c>
      <c r="AE18" s="684">
        <f>IF(終値!A18="","",IF(AND(高値!I18&gt;高値!H18,高値!I18&gt;高値!G18,高値!I18&gt;高値!J18,高値!I18&gt;高値!K18),4,""))</f>
      </c>
      <c r="AF18" s="684">
        <f>IF(終値!A18="","",IF(AND(高値!J18&gt;高値!I18,高値!J18&gt;高値!H18,高値!J18&gt;高値!K18,高値!J18&gt;高値!L18),5,""))</f>
      </c>
      <c r="AG18" s="684">
        <f>IF(終値!A18="","",IF(AND(高値!K18&gt;高値!J18,高値!K18&gt;高値!I18,高値!K18&gt;高値!L18,高値!K18&gt;高値!M18),6,""))</f>
      </c>
      <c r="AH18" s="684">
        <f>IF(終値!A18="","",IF(AND(高値!L18&gt;高値!K18,高値!L18&gt;高値!J18,高値!L18&gt;高値!M18,高値!L18&gt;高値!N18),7,""))</f>
      </c>
      <c r="AI18" s="684">
        <f>IF(終値!A18="","",IF(AND(高値!M18&gt;高値!L18,高値!M18&gt;高値!K18,高値!M18&gt;高値!N18,高値!M18&gt;高値!O18),8,""))</f>
      </c>
      <c r="AJ18" s="684">
        <f>IF(終値!A18="","",IF(AND(高値!N18&gt;高値!M18,高値!N18&gt;高値!L18,高値!N18&gt;高値!O18,高値!N18&gt;高値!P18),9,""))</f>
      </c>
      <c r="AK18" s="684">
        <f>IF(終値!A18="","",IF(AND(高値!O18&gt;高値!N18,高値!O18&gt;高値!M18,高値!O18&gt;高値!P18,高値!O18&gt;高値!Q18),10,""))</f>
      </c>
      <c r="AL18" s="684">
        <f>IF(終値!A18="","",IF(AND(高値!P18&gt;高値!O18,高値!P18&gt;高値!N18,高値!P18&gt;高値!Q18,高値!P18&gt;高値!R18),11,""))</f>
      </c>
      <c r="AM18" s="684">
        <f>IF(終値!A18="","",IF(AND(高値!Q18&gt;高値!P18,高値!Q18&gt;高値!O18,高値!Q18&gt;高値!R18,高値!Q18&gt;高値!S18),12,""))</f>
      </c>
      <c r="AN18" s="684">
        <f>IF(終値!A18="","",IF(AND(高値!R18&gt;高値!Q18,高値!R18&gt;高値!P18,高値!R18&gt;高値!S18,高値!R18&gt;高値!T18),13,""))</f>
      </c>
      <c r="AO18" s="684">
        <f>IF(終値!A18="","",IF(AND(高値!S18&gt;高値!R18,高値!S18&gt;高値!Q18,高値!S18&gt;高値!T18,高値!S18&gt;高値!U18),14,""))</f>
      </c>
      <c r="AP18" s="684">
        <f>IF(終値!A18="","",IF(AND(高値!T18&gt;高値!S18,高値!T18&gt;高値!R18,高値!T18&gt;高値!U18,高値!T18&gt;高値!V18),15,""))</f>
      </c>
      <c r="AQ18" s="684">
        <f>IF(終値!A18="","",IF(AND(高値!U18&gt;高値!T18,高値!U18&gt;高値!S18,高値!U18&gt;高値!V18,高値!U18&gt;高値!W18),16,""))</f>
      </c>
      <c r="AR18" s="684">
        <f>IF(終値!A18="","",IF(AND(高値!V18&gt;高値!U18,高値!V18&gt;高値!T18,高値!V18&gt;高値!W18,高値!V18&gt;高値!X18),17,""))</f>
      </c>
      <c r="AS18" s="684">
        <f>IF(終値!A18="","",IF(AND(高値!W18&gt;高値!V18,高値!W18&gt;高値!U18,高値!W18&gt;高値!X18,高値!W18&gt;高値!Y18),18,""))</f>
      </c>
      <c r="AT18" s="684">
        <f>IF(終値!A18="","",IF(AND(高値!X18&gt;高値!W18,高値!X18&gt;高値!V18,高値!X18&gt;高値!Y18,高値!X18&gt;高値!Z18),19,""))</f>
      </c>
      <c r="AU18" s="684">
        <f>IF(終値!A18="","",IF(AND(高値!Y18&gt;高値!X18,高値!Y18&gt;高値!W18,高値!Y18&gt;高値!Z18,高値!Y18&gt;高値!AA18),20,""))</f>
      </c>
      <c r="AV18" s="684">
        <f>IF(終値!A18="","",IF(AND(高値!Z18&gt;高値!Y18,高値!Z18&gt;高値!X18,高値!Z18&gt;高値!AA18,高値!Z18&gt;高値!AB18),21,""))</f>
      </c>
      <c r="AW18" s="684">
        <f>IF(終値!A18="","",IF(AND(高値!AA18&gt;高値!Z18,高値!AA18&gt;高値!Y18,高値!AA18&gt;高値!AB18,高値!AA18&gt;高値!AC18),22,""))</f>
      </c>
      <c r="AX18" s="684">
        <f>IF(終値!A18="","",IF(AND(高値!AB18&gt;高値!AA18,高値!AB18&gt;高値!Z18,高値!AB18&gt;高値!AC18,高値!AB18&gt;高値!AD18),23,""))</f>
      </c>
      <c r="AY18" s="684">
        <f>IF(終値!A18="","",IF(AND(高値!AC18&gt;高値!AB18,高値!AC18&gt;高値!AA18,高値!AC18&gt;高値!AD18,高値!AC18&gt;高値!AE18),24,""))</f>
      </c>
      <c r="AZ18" s="684">
        <f>IF(終値!A18="","",IF(AND(高値!AD18&gt;高値!AC18,高値!AD18&gt;高値!AB18,高値!AD18&gt;高値!AE18,高値!AD18&gt;高値!AF18),25,""))</f>
      </c>
      <c r="BA18" s="684">
        <f>IF(終値!A18="","",IF(AND(高値!AE18&gt;高値!AD18,高値!AE18&gt;高値!AC18,高値!AE18&gt;高値!AF18,高値!AE18&gt;高値!AG18),26,""))</f>
      </c>
      <c r="BB18" s="684">
        <f>IF(終値!A18="","",IF(AND(高値!AF18&gt;高値!AE18,高値!AF18&gt;高値!AD18,高値!AF18&gt;高値!AG18,高値!AF18&gt;高値!AH18),27,""))</f>
      </c>
      <c r="BC18" s="684">
        <f>IF(終値!A18="","",IF(AND(高値!AG18&gt;高値!AF18,高値!AG18&gt;高値!AE18,高値!AG18&gt;高値!AH18,高値!AG18&gt;高値!AI18),28,""))</f>
      </c>
      <c r="BD18" s="684">
        <f>COUNT($B18:$AB18)</f>
      </c>
      <c r="BE18" s="684">
        <f>IF($BD18&gt;=2,MIN($B18:$AB18),"")</f>
      </c>
      <c r="BF18" s="684">
        <f>IF($BD18&gt;=2,SMALL($B18:$AB18,2),"")</f>
      </c>
      <c r="BG18" s="684">
        <f>IF($BE18="","",INDEX(安値!$E18:$CZ18,1,$BE18+1))</f>
      </c>
      <c r="BH18" s="684">
        <f>IF($BF18="","",INDEX(安値!$E18:$CZ18,1,$BF18+1))</f>
      </c>
      <c r="BI18" s="684">
        <f>IF($BF18="","",MAX(INDEX(高値!$E18:$CZ18,1,$BE18+1):INDEX(高値!$E18:$CZ18,1,$BF18+1)))</f>
      </c>
      <c r="BJ18" s="684">
        <f>IF($BF18="","",AVERAGE(INDEX(終値!$E18:$CZ18,1,$BF18+1):INDEX(終値!$E18:$CZ18,1,$BF18+20))-2*STDEVP(INDEX(終値!$E18:$CZ18,1,$BF18+1):INDEX(終値!$E18:$CZ18,1,$BF18+20)))</f>
      </c>
      <c r="BK18" s="684">
        <f>IF($BE18="","",AVERAGE(INDEX(終値!$E18:$CZ18,1,$BE18+1):INDEX(終値!$E18:$CZ18,1,$BE18+20))-2*STDEVP(INDEX(終値!$E18:$CZ18,1,$BE18+1):INDEX(終値!$E18:$CZ18,1,$BE18+20)))</f>
      </c>
      <c r="BL18" s="684">
        <f>COUNT($AC18:$BC18)</f>
      </c>
      <c r="BM18" s="684">
        <f>IF($BL18&gt;=2,MIN($AC18:$BC18),"")</f>
      </c>
      <c r="BN18" s="684">
        <f>IF($BL18&gt;=2,SMALL($AC18:$BC18,2),"")</f>
      </c>
      <c r="BO18" s="684">
        <f>IF($BM18="","",INDEX(高値!$E18:$CZ18,1,$BM18+1))</f>
      </c>
      <c r="BP18" s="684">
        <f>IF($BN18="","",INDEX(高値!$E18:$CZ18,1,$BN18+1))</f>
      </c>
      <c r="BQ18" s="684">
        <f>IF($BN18="","",MIN(INDEX(安値!$E18:$CZ18,1,$BM18+1):INDEX(安値!$E18:$CZ18,1,$BN18+1)))</f>
      </c>
      <c r="BR18" s="684">
        <f>IF($BN18="","",AVERAGE(INDEX(終値!$E18:$CZ18,1,$BN18+1):INDEX(終値!$E18:$CZ18,1,$BN18+20))+2*STDEVP(INDEX(終値!$E18:$CZ18,1,$BN18+1):INDEX(終値!$E18:$CZ18,1,$BN18+20)))</f>
      </c>
      <c r="BS18" s="684">
        <f>IF($BM18="","",AVERAGE(INDEX(終値!$E18:$CZ18,1,$BM18+1):INDEX(終値!$E18:$CZ18,1,$BM18+20))+2*STDEVP(INDEX(終値!$E18:$CZ18,1,$BM18+1):INDEX(終値!$E18:$CZ18,1,$BM18+20)))</f>
      </c>
      <c r="BT18" s="681">
        <f>IFERROR(IF(AND($BD18&gt;=2,ABS($BG18-$BH18)/$BH18&lt;=BB設定!$B$12,$BI18&gt;=MAX($BH18,$BG18)*(1+BB設定!$B$13),終値!E18&gt;$BG18),IF(OR(終値!E18&gt;=$BI18,AND($BH18&lt;$BJ18,$BG18&gt;=$BK18)),"二番底W▲","二番底W形成"),IF(AND($BL18&gt;=2,ABS($BO18-$BP18)/$BP18&lt;=BB設定!$B$12,$BQ18&lt;=MIN($BP18,$BO18)*(1-BB設定!$B$13),終値!E18&lt;$BO18),IF(OR(終値!E18&lt;=$BQ18,AND($BP18&gt;$BR18,$BO18&lt;=$BS18)),"二番天井M▼","二番天井M形成"),"－")),"－")</f>
      </c>
    </row>
    <row r="19">
      <c r="B19" s="684">
        <f>IF(終値!A19="","",IF(AND(安値!G19&lt;安値!F19,安値!G19&lt;安値!E19,安値!G19&lt;安値!H19,安値!G19&lt;安値!I19),2,""))</f>
      </c>
      <c r="C19" s="684">
        <f>IF(終値!A19="","",IF(AND(安値!H19&lt;安値!G19,安値!H19&lt;安値!F19,安値!H19&lt;安値!I19,安値!H19&lt;安値!J19),3,""))</f>
      </c>
      <c r="D19" s="684">
        <f>IF(終値!A19="","",IF(AND(安値!I19&lt;安値!H19,安値!I19&lt;安値!G19,安値!I19&lt;安値!J19,安値!I19&lt;安値!K19),4,""))</f>
      </c>
      <c r="E19" s="684">
        <f>IF(終値!A19="","",IF(AND(安値!J19&lt;安値!I19,安値!J19&lt;安値!H19,安値!J19&lt;安値!K19,安値!J19&lt;安値!L19),5,""))</f>
      </c>
      <c r="F19" s="684">
        <f>IF(終値!A19="","",IF(AND(安値!K19&lt;安値!J19,安値!K19&lt;安値!I19,安値!K19&lt;安値!L19,安値!K19&lt;安値!M19),6,""))</f>
      </c>
      <c r="G19" s="684">
        <f>IF(終値!A19="","",IF(AND(安値!L19&lt;安値!K19,安値!L19&lt;安値!J19,安値!L19&lt;安値!M19,安値!L19&lt;安値!N19),7,""))</f>
      </c>
      <c r="H19" s="684">
        <f>IF(終値!A19="","",IF(AND(安値!M19&lt;安値!L19,安値!M19&lt;安値!K19,安値!M19&lt;安値!N19,安値!M19&lt;安値!O19),8,""))</f>
      </c>
      <c r="I19" s="684">
        <f>IF(終値!A19="","",IF(AND(安値!N19&lt;安値!M19,安値!N19&lt;安値!L19,安値!N19&lt;安値!O19,安値!N19&lt;安値!P19),9,""))</f>
      </c>
      <c r="J19" s="684">
        <f>IF(終値!A19="","",IF(AND(安値!O19&lt;安値!N19,安値!O19&lt;安値!M19,安値!O19&lt;安値!P19,安値!O19&lt;安値!Q19),10,""))</f>
      </c>
      <c r="K19" s="684">
        <f>IF(終値!A19="","",IF(AND(安値!P19&lt;安値!O19,安値!P19&lt;安値!N19,安値!P19&lt;安値!Q19,安値!P19&lt;安値!R19),11,""))</f>
      </c>
      <c r="L19" s="684">
        <f>IF(終値!A19="","",IF(AND(安値!Q19&lt;安値!P19,安値!Q19&lt;安値!O19,安値!Q19&lt;安値!R19,安値!Q19&lt;安値!S19),12,""))</f>
      </c>
      <c r="M19" s="684">
        <f>IF(終値!A19="","",IF(AND(安値!R19&lt;安値!Q19,安値!R19&lt;安値!P19,安値!R19&lt;安値!S19,安値!R19&lt;安値!T19),13,""))</f>
      </c>
      <c r="N19" s="684">
        <f>IF(終値!A19="","",IF(AND(安値!S19&lt;安値!R19,安値!S19&lt;安値!Q19,安値!S19&lt;安値!T19,安値!S19&lt;安値!U19),14,""))</f>
      </c>
      <c r="O19" s="684">
        <f>IF(終値!A19="","",IF(AND(安値!T19&lt;安値!S19,安値!T19&lt;安値!R19,安値!T19&lt;安値!U19,安値!T19&lt;安値!V19),15,""))</f>
      </c>
      <c r="P19" s="684">
        <f>IF(終値!A19="","",IF(AND(安値!U19&lt;安値!T19,安値!U19&lt;安値!S19,安値!U19&lt;安値!V19,安値!U19&lt;安値!W19),16,""))</f>
      </c>
      <c r="Q19" s="684">
        <f>IF(終値!A19="","",IF(AND(安値!V19&lt;安値!U19,安値!V19&lt;安値!T19,安値!V19&lt;安値!W19,安値!V19&lt;安値!X19),17,""))</f>
      </c>
      <c r="R19" s="684">
        <f>IF(終値!A19="","",IF(AND(安値!W19&lt;安値!V19,安値!W19&lt;安値!U19,安値!W19&lt;安値!X19,安値!W19&lt;安値!Y19),18,""))</f>
      </c>
      <c r="S19" s="684">
        <f>IF(終値!A19="","",IF(AND(安値!X19&lt;安値!W19,安値!X19&lt;安値!V19,安値!X19&lt;安値!Y19,安値!X19&lt;安値!Z19),19,""))</f>
      </c>
      <c r="T19" s="684">
        <f>IF(終値!A19="","",IF(AND(安値!Y19&lt;安値!X19,安値!Y19&lt;安値!W19,安値!Y19&lt;安値!Z19,安値!Y19&lt;安値!AA19),20,""))</f>
      </c>
      <c r="U19" s="684">
        <f>IF(終値!A19="","",IF(AND(安値!Z19&lt;安値!Y19,安値!Z19&lt;安値!X19,安値!Z19&lt;安値!AA19,安値!Z19&lt;安値!AB19),21,""))</f>
      </c>
      <c r="V19" s="684">
        <f>IF(終値!A19="","",IF(AND(安値!AA19&lt;安値!Z19,安値!AA19&lt;安値!Y19,安値!AA19&lt;安値!AB19,安値!AA19&lt;安値!AC19),22,""))</f>
      </c>
      <c r="W19" s="684">
        <f>IF(終値!A19="","",IF(AND(安値!AB19&lt;安値!AA19,安値!AB19&lt;安値!Z19,安値!AB19&lt;安値!AC19,安値!AB19&lt;安値!AD19),23,""))</f>
      </c>
      <c r="X19" s="684">
        <f>IF(終値!A19="","",IF(AND(安値!AC19&lt;安値!AB19,安値!AC19&lt;安値!AA19,安値!AC19&lt;安値!AD19,安値!AC19&lt;安値!AE19),24,""))</f>
      </c>
      <c r="Y19" s="684">
        <f>IF(終値!A19="","",IF(AND(安値!AD19&lt;安値!AC19,安値!AD19&lt;安値!AB19,安値!AD19&lt;安値!AE19,安値!AD19&lt;安値!AF19),25,""))</f>
      </c>
      <c r="Z19" s="684">
        <f>IF(終値!A19="","",IF(AND(安値!AE19&lt;安値!AD19,安値!AE19&lt;安値!AC19,安値!AE19&lt;安値!AF19,安値!AE19&lt;安値!AG19),26,""))</f>
      </c>
      <c r="AA19" s="684">
        <f>IF(終値!A19="","",IF(AND(安値!AF19&lt;安値!AE19,安値!AF19&lt;安値!AD19,安値!AF19&lt;安値!AG19,安値!AF19&lt;安値!AH19),27,""))</f>
      </c>
      <c r="AB19" s="684">
        <f>IF(終値!A19="","",IF(AND(安値!AG19&lt;安値!AF19,安値!AG19&lt;安値!AE19,安値!AG19&lt;安値!AH19,安値!AG19&lt;安値!AI19),28,""))</f>
      </c>
      <c r="AC19" s="684">
        <f>IF(終値!A19="","",IF(AND(高値!G19&gt;高値!F19,高値!G19&gt;高値!E19,高値!G19&gt;高値!H19,高値!G19&gt;高値!I19),2,""))</f>
      </c>
      <c r="AD19" s="684">
        <f>IF(終値!A19="","",IF(AND(高値!H19&gt;高値!G19,高値!H19&gt;高値!F19,高値!H19&gt;高値!I19,高値!H19&gt;高値!J19),3,""))</f>
      </c>
      <c r="AE19" s="684">
        <f>IF(終値!A19="","",IF(AND(高値!I19&gt;高値!H19,高値!I19&gt;高値!G19,高値!I19&gt;高値!J19,高値!I19&gt;高値!K19),4,""))</f>
      </c>
      <c r="AF19" s="684">
        <f>IF(終値!A19="","",IF(AND(高値!J19&gt;高値!I19,高値!J19&gt;高値!H19,高値!J19&gt;高値!K19,高値!J19&gt;高値!L19),5,""))</f>
      </c>
      <c r="AG19" s="684">
        <f>IF(終値!A19="","",IF(AND(高値!K19&gt;高値!J19,高値!K19&gt;高値!I19,高値!K19&gt;高値!L19,高値!K19&gt;高値!M19),6,""))</f>
      </c>
      <c r="AH19" s="684">
        <f>IF(終値!A19="","",IF(AND(高値!L19&gt;高値!K19,高値!L19&gt;高値!J19,高値!L19&gt;高値!M19,高値!L19&gt;高値!N19),7,""))</f>
      </c>
      <c r="AI19" s="684">
        <f>IF(終値!A19="","",IF(AND(高値!M19&gt;高値!L19,高値!M19&gt;高値!K19,高値!M19&gt;高値!N19,高値!M19&gt;高値!O19),8,""))</f>
      </c>
      <c r="AJ19" s="684">
        <f>IF(終値!A19="","",IF(AND(高値!N19&gt;高値!M19,高値!N19&gt;高値!L19,高値!N19&gt;高値!O19,高値!N19&gt;高値!P19),9,""))</f>
      </c>
      <c r="AK19" s="684">
        <f>IF(終値!A19="","",IF(AND(高値!O19&gt;高値!N19,高値!O19&gt;高値!M19,高値!O19&gt;高値!P19,高値!O19&gt;高値!Q19),10,""))</f>
      </c>
      <c r="AL19" s="684">
        <f>IF(終値!A19="","",IF(AND(高値!P19&gt;高値!O19,高値!P19&gt;高値!N19,高値!P19&gt;高値!Q19,高値!P19&gt;高値!R19),11,""))</f>
      </c>
      <c r="AM19" s="684">
        <f>IF(終値!A19="","",IF(AND(高値!Q19&gt;高値!P19,高値!Q19&gt;高値!O19,高値!Q19&gt;高値!R19,高値!Q19&gt;高値!S19),12,""))</f>
      </c>
      <c r="AN19" s="684">
        <f>IF(終値!A19="","",IF(AND(高値!R19&gt;高値!Q19,高値!R19&gt;高値!P19,高値!R19&gt;高値!S19,高値!R19&gt;高値!T19),13,""))</f>
      </c>
      <c r="AO19" s="684">
        <f>IF(終値!A19="","",IF(AND(高値!S19&gt;高値!R19,高値!S19&gt;高値!Q19,高値!S19&gt;高値!T19,高値!S19&gt;高値!U19),14,""))</f>
      </c>
      <c r="AP19" s="684">
        <f>IF(終値!A19="","",IF(AND(高値!T19&gt;高値!S19,高値!T19&gt;高値!R19,高値!T19&gt;高値!U19,高値!T19&gt;高値!V19),15,""))</f>
      </c>
      <c r="AQ19" s="684">
        <f>IF(終値!A19="","",IF(AND(高値!U19&gt;高値!T19,高値!U19&gt;高値!S19,高値!U19&gt;高値!V19,高値!U19&gt;高値!W19),16,""))</f>
      </c>
      <c r="AR19" s="684">
        <f>IF(終値!A19="","",IF(AND(高値!V19&gt;高値!U19,高値!V19&gt;高値!T19,高値!V19&gt;高値!W19,高値!V19&gt;高値!X19),17,""))</f>
      </c>
      <c r="AS19" s="684">
        <f>IF(終値!A19="","",IF(AND(高値!W19&gt;高値!V19,高値!W19&gt;高値!U19,高値!W19&gt;高値!X19,高値!W19&gt;高値!Y19),18,""))</f>
      </c>
      <c r="AT19" s="684">
        <f>IF(終値!A19="","",IF(AND(高値!X19&gt;高値!W19,高値!X19&gt;高値!V19,高値!X19&gt;高値!Y19,高値!X19&gt;高値!Z19),19,""))</f>
      </c>
      <c r="AU19" s="684">
        <f>IF(終値!A19="","",IF(AND(高値!Y19&gt;高値!X19,高値!Y19&gt;高値!W19,高値!Y19&gt;高値!Z19,高値!Y19&gt;高値!AA19),20,""))</f>
      </c>
      <c r="AV19" s="684">
        <f>IF(終値!A19="","",IF(AND(高値!Z19&gt;高値!Y19,高値!Z19&gt;高値!X19,高値!Z19&gt;高値!AA19,高値!Z19&gt;高値!AB19),21,""))</f>
      </c>
      <c r="AW19" s="684">
        <f>IF(終値!A19="","",IF(AND(高値!AA19&gt;高値!Z19,高値!AA19&gt;高値!Y19,高値!AA19&gt;高値!AB19,高値!AA19&gt;高値!AC19),22,""))</f>
      </c>
      <c r="AX19" s="684">
        <f>IF(終値!A19="","",IF(AND(高値!AB19&gt;高値!AA19,高値!AB19&gt;高値!Z19,高値!AB19&gt;高値!AC19,高値!AB19&gt;高値!AD19),23,""))</f>
      </c>
      <c r="AY19" s="684">
        <f>IF(終値!A19="","",IF(AND(高値!AC19&gt;高値!AB19,高値!AC19&gt;高値!AA19,高値!AC19&gt;高値!AD19,高値!AC19&gt;高値!AE19),24,""))</f>
      </c>
      <c r="AZ19" s="684">
        <f>IF(終値!A19="","",IF(AND(高値!AD19&gt;高値!AC19,高値!AD19&gt;高値!AB19,高値!AD19&gt;高値!AE19,高値!AD19&gt;高値!AF19),25,""))</f>
      </c>
      <c r="BA19" s="684">
        <f>IF(終値!A19="","",IF(AND(高値!AE19&gt;高値!AD19,高値!AE19&gt;高値!AC19,高値!AE19&gt;高値!AF19,高値!AE19&gt;高値!AG19),26,""))</f>
      </c>
      <c r="BB19" s="684">
        <f>IF(終値!A19="","",IF(AND(高値!AF19&gt;高値!AE19,高値!AF19&gt;高値!AD19,高値!AF19&gt;高値!AG19,高値!AF19&gt;高値!AH19),27,""))</f>
      </c>
      <c r="BC19" s="684">
        <f>IF(終値!A19="","",IF(AND(高値!AG19&gt;高値!AF19,高値!AG19&gt;高値!AE19,高値!AG19&gt;高値!AH19,高値!AG19&gt;高値!AI19),28,""))</f>
      </c>
      <c r="BD19" s="684">
        <f>COUNT($B19:$AB19)</f>
      </c>
      <c r="BE19" s="684">
        <f>IF($BD19&gt;=2,MIN($B19:$AB19),"")</f>
      </c>
      <c r="BF19" s="684">
        <f>IF($BD19&gt;=2,SMALL($B19:$AB19,2),"")</f>
      </c>
      <c r="BG19" s="684">
        <f>IF($BE19="","",INDEX(安値!$E19:$CZ19,1,$BE19+1))</f>
      </c>
      <c r="BH19" s="684">
        <f>IF($BF19="","",INDEX(安値!$E19:$CZ19,1,$BF19+1))</f>
      </c>
      <c r="BI19" s="684">
        <f>IF($BF19="","",MAX(INDEX(高値!$E19:$CZ19,1,$BE19+1):INDEX(高値!$E19:$CZ19,1,$BF19+1)))</f>
      </c>
      <c r="BJ19" s="684">
        <f>IF($BF19="","",AVERAGE(INDEX(終値!$E19:$CZ19,1,$BF19+1):INDEX(終値!$E19:$CZ19,1,$BF19+20))-2*STDEVP(INDEX(終値!$E19:$CZ19,1,$BF19+1):INDEX(終値!$E19:$CZ19,1,$BF19+20)))</f>
      </c>
      <c r="BK19" s="684">
        <f>IF($BE19="","",AVERAGE(INDEX(終値!$E19:$CZ19,1,$BE19+1):INDEX(終値!$E19:$CZ19,1,$BE19+20))-2*STDEVP(INDEX(終値!$E19:$CZ19,1,$BE19+1):INDEX(終値!$E19:$CZ19,1,$BE19+20)))</f>
      </c>
      <c r="BL19" s="684">
        <f>COUNT($AC19:$BC19)</f>
      </c>
      <c r="BM19" s="684">
        <f>IF($BL19&gt;=2,MIN($AC19:$BC19),"")</f>
      </c>
      <c r="BN19" s="684">
        <f>IF($BL19&gt;=2,SMALL($AC19:$BC19,2),"")</f>
      </c>
      <c r="BO19" s="684">
        <f>IF($BM19="","",INDEX(高値!$E19:$CZ19,1,$BM19+1))</f>
      </c>
      <c r="BP19" s="684">
        <f>IF($BN19="","",INDEX(高値!$E19:$CZ19,1,$BN19+1))</f>
      </c>
      <c r="BQ19" s="684">
        <f>IF($BN19="","",MIN(INDEX(安値!$E19:$CZ19,1,$BM19+1):INDEX(安値!$E19:$CZ19,1,$BN19+1)))</f>
      </c>
      <c r="BR19" s="684">
        <f>IF($BN19="","",AVERAGE(INDEX(終値!$E19:$CZ19,1,$BN19+1):INDEX(終値!$E19:$CZ19,1,$BN19+20))+2*STDEVP(INDEX(終値!$E19:$CZ19,1,$BN19+1):INDEX(終値!$E19:$CZ19,1,$BN19+20)))</f>
      </c>
      <c r="BS19" s="684">
        <f>IF($BM19="","",AVERAGE(INDEX(終値!$E19:$CZ19,1,$BM19+1):INDEX(終値!$E19:$CZ19,1,$BM19+20))+2*STDEVP(INDEX(終値!$E19:$CZ19,1,$BM19+1):INDEX(終値!$E19:$CZ19,1,$BM19+20)))</f>
      </c>
      <c r="BT19" s="681">
        <f>IFERROR(IF(AND($BD19&gt;=2,ABS($BG19-$BH19)/$BH19&lt;=BB設定!$B$12,$BI19&gt;=MAX($BH19,$BG19)*(1+BB設定!$B$13),終値!E19&gt;$BG19),IF(OR(終値!E19&gt;=$BI19,AND($BH19&lt;$BJ19,$BG19&gt;=$BK19)),"二番底W▲","二番底W形成"),IF(AND($BL19&gt;=2,ABS($BO19-$BP19)/$BP19&lt;=BB設定!$B$12,$BQ19&lt;=MIN($BP19,$BO19)*(1-BB設定!$B$13),終値!E19&lt;$BO19),IF(OR(終値!E19&lt;=$BQ19,AND($BP19&gt;$BR19,$BO19&lt;=$BS19)),"二番天井M▼","二番天井M形成"),"－")),"－")</f>
      </c>
    </row>
    <row r="20">
      <c r="B20" s="684">
        <f>IF(終値!A20="","",IF(AND(安値!G20&lt;安値!F20,安値!G20&lt;安値!E20,安値!G20&lt;安値!H20,安値!G20&lt;安値!I20),2,""))</f>
      </c>
      <c r="C20" s="684">
        <f>IF(終値!A20="","",IF(AND(安値!H20&lt;安値!G20,安値!H20&lt;安値!F20,安値!H20&lt;安値!I20,安値!H20&lt;安値!J20),3,""))</f>
      </c>
      <c r="D20" s="684">
        <f>IF(終値!A20="","",IF(AND(安値!I20&lt;安値!H20,安値!I20&lt;安値!G20,安値!I20&lt;安値!J20,安値!I20&lt;安値!K20),4,""))</f>
      </c>
      <c r="E20" s="684">
        <f>IF(終値!A20="","",IF(AND(安値!J20&lt;安値!I20,安値!J20&lt;安値!H20,安値!J20&lt;安値!K20,安値!J20&lt;安値!L20),5,""))</f>
      </c>
      <c r="F20" s="684">
        <f>IF(終値!A20="","",IF(AND(安値!K20&lt;安値!J20,安値!K20&lt;安値!I20,安値!K20&lt;安値!L20,安値!K20&lt;安値!M20),6,""))</f>
      </c>
      <c r="G20" s="684">
        <f>IF(終値!A20="","",IF(AND(安値!L20&lt;安値!K20,安値!L20&lt;安値!J20,安値!L20&lt;安値!M20,安値!L20&lt;安値!N20),7,""))</f>
      </c>
      <c r="H20" s="684">
        <f>IF(終値!A20="","",IF(AND(安値!M20&lt;安値!L20,安値!M20&lt;安値!K20,安値!M20&lt;安値!N20,安値!M20&lt;安値!O20),8,""))</f>
      </c>
      <c r="I20" s="684">
        <f>IF(終値!A20="","",IF(AND(安値!N20&lt;安値!M20,安値!N20&lt;安値!L20,安値!N20&lt;安値!O20,安値!N20&lt;安値!P20),9,""))</f>
      </c>
      <c r="J20" s="684">
        <f>IF(終値!A20="","",IF(AND(安値!O20&lt;安値!N20,安値!O20&lt;安値!M20,安値!O20&lt;安値!P20,安値!O20&lt;安値!Q20),10,""))</f>
      </c>
      <c r="K20" s="684">
        <f>IF(終値!A20="","",IF(AND(安値!P20&lt;安値!O20,安値!P20&lt;安値!N20,安値!P20&lt;安値!Q20,安値!P20&lt;安値!R20),11,""))</f>
      </c>
      <c r="L20" s="684">
        <f>IF(終値!A20="","",IF(AND(安値!Q20&lt;安値!P20,安値!Q20&lt;安値!O20,安値!Q20&lt;安値!R20,安値!Q20&lt;安値!S20),12,""))</f>
      </c>
      <c r="M20" s="684">
        <f>IF(終値!A20="","",IF(AND(安値!R20&lt;安値!Q20,安値!R20&lt;安値!P20,安値!R20&lt;安値!S20,安値!R20&lt;安値!T20),13,""))</f>
      </c>
      <c r="N20" s="684">
        <f>IF(終値!A20="","",IF(AND(安値!S20&lt;安値!R20,安値!S20&lt;安値!Q20,安値!S20&lt;安値!T20,安値!S20&lt;安値!U20),14,""))</f>
      </c>
      <c r="O20" s="684">
        <f>IF(終値!A20="","",IF(AND(安値!T20&lt;安値!S20,安値!T20&lt;安値!R20,安値!T20&lt;安値!U20,安値!T20&lt;安値!V20),15,""))</f>
      </c>
      <c r="P20" s="684">
        <f>IF(終値!A20="","",IF(AND(安値!U20&lt;安値!T20,安値!U20&lt;安値!S20,安値!U20&lt;安値!V20,安値!U20&lt;安値!W20),16,""))</f>
      </c>
      <c r="Q20" s="684">
        <f>IF(終値!A20="","",IF(AND(安値!V20&lt;安値!U20,安値!V20&lt;安値!T20,安値!V20&lt;安値!W20,安値!V20&lt;安値!X20),17,""))</f>
      </c>
      <c r="R20" s="684">
        <f>IF(終値!A20="","",IF(AND(安値!W20&lt;安値!V20,安値!W20&lt;安値!U20,安値!W20&lt;安値!X20,安値!W20&lt;安値!Y20),18,""))</f>
      </c>
      <c r="S20" s="684">
        <f>IF(終値!A20="","",IF(AND(安値!X20&lt;安値!W20,安値!X20&lt;安値!V20,安値!X20&lt;安値!Y20,安値!X20&lt;安値!Z20),19,""))</f>
      </c>
      <c r="T20" s="684">
        <f>IF(終値!A20="","",IF(AND(安値!Y20&lt;安値!X20,安値!Y20&lt;安値!W20,安値!Y20&lt;安値!Z20,安値!Y20&lt;安値!AA20),20,""))</f>
      </c>
      <c r="U20" s="684">
        <f>IF(終値!A20="","",IF(AND(安値!Z20&lt;安値!Y20,安値!Z20&lt;安値!X20,安値!Z20&lt;安値!AA20,安値!Z20&lt;安値!AB20),21,""))</f>
      </c>
      <c r="V20" s="684">
        <f>IF(終値!A20="","",IF(AND(安値!AA20&lt;安値!Z20,安値!AA20&lt;安値!Y20,安値!AA20&lt;安値!AB20,安値!AA20&lt;安値!AC20),22,""))</f>
      </c>
      <c r="W20" s="684">
        <f>IF(終値!A20="","",IF(AND(安値!AB20&lt;安値!AA20,安値!AB20&lt;安値!Z20,安値!AB20&lt;安値!AC20,安値!AB20&lt;安値!AD20),23,""))</f>
      </c>
      <c r="X20" s="684">
        <f>IF(終値!A20="","",IF(AND(安値!AC20&lt;安値!AB20,安値!AC20&lt;安値!AA20,安値!AC20&lt;安値!AD20,安値!AC20&lt;安値!AE20),24,""))</f>
      </c>
      <c r="Y20" s="684">
        <f>IF(終値!A20="","",IF(AND(安値!AD20&lt;安値!AC20,安値!AD20&lt;安値!AB20,安値!AD20&lt;安値!AE20,安値!AD20&lt;安値!AF20),25,""))</f>
      </c>
      <c r="Z20" s="684">
        <f>IF(終値!A20="","",IF(AND(安値!AE20&lt;安値!AD20,安値!AE20&lt;安値!AC20,安値!AE20&lt;安値!AF20,安値!AE20&lt;安値!AG20),26,""))</f>
      </c>
      <c r="AA20" s="684">
        <f>IF(終値!A20="","",IF(AND(安値!AF20&lt;安値!AE20,安値!AF20&lt;安値!AD20,安値!AF20&lt;安値!AG20,安値!AF20&lt;安値!AH20),27,""))</f>
      </c>
      <c r="AB20" s="684">
        <f>IF(終値!A20="","",IF(AND(安値!AG20&lt;安値!AF20,安値!AG20&lt;安値!AE20,安値!AG20&lt;安値!AH20,安値!AG20&lt;安値!AI20),28,""))</f>
      </c>
      <c r="AC20" s="684">
        <f>IF(終値!A20="","",IF(AND(高値!G20&gt;高値!F20,高値!G20&gt;高値!E20,高値!G20&gt;高値!H20,高値!G20&gt;高値!I20),2,""))</f>
      </c>
      <c r="AD20" s="684">
        <f>IF(終値!A20="","",IF(AND(高値!H20&gt;高値!G20,高値!H20&gt;高値!F20,高値!H20&gt;高値!I20,高値!H20&gt;高値!J20),3,""))</f>
      </c>
      <c r="AE20" s="684">
        <f>IF(終値!A20="","",IF(AND(高値!I20&gt;高値!H20,高値!I20&gt;高値!G20,高値!I20&gt;高値!J20,高値!I20&gt;高値!K20),4,""))</f>
      </c>
      <c r="AF20" s="684">
        <f>IF(終値!A20="","",IF(AND(高値!J20&gt;高値!I20,高値!J20&gt;高値!H20,高値!J20&gt;高値!K20,高値!J20&gt;高値!L20),5,""))</f>
      </c>
      <c r="AG20" s="684">
        <f>IF(終値!A20="","",IF(AND(高値!K20&gt;高値!J20,高値!K20&gt;高値!I20,高値!K20&gt;高値!L20,高値!K20&gt;高値!M20),6,""))</f>
      </c>
      <c r="AH20" s="684">
        <f>IF(終値!A20="","",IF(AND(高値!L20&gt;高値!K20,高値!L20&gt;高値!J20,高値!L20&gt;高値!M20,高値!L20&gt;高値!N20),7,""))</f>
      </c>
      <c r="AI20" s="684">
        <f>IF(終値!A20="","",IF(AND(高値!M20&gt;高値!L20,高値!M20&gt;高値!K20,高値!M20&gt;高値!N20,高値!M20&gt;高値!O20),8,""))</f>
      </c>
      <c r="AJ20" s="684">
        <f>IF(終値!A20="","",IF(AND(高値!N20&gt;高値!M20,高値!N20&gt;高値!L20,高値!N20&gt;高値!O20,高値!N20&gt;高値!P20),9,""))</f>
      </c>
      <c r="AK20" s="684">
        <f>IF(終値!A20="","",IF(AND(高値!O20&gt;高値!N20,高値!O20&gt;高値!M20,高値!O20&gt;高値!P20,高値!O20&gt;高値!Q20),10,""))</f>
      </c>
      <c r="AL20" s="684">
        <f>IF(終値!A20="","",IF(AND(高値!P20&gt;高値!O20,高値!P20&gt;高値!N20,高値!P20&gt;高値!Q20,高値!P20&gt;高値!R20),11,""))</f>
      </c>
      <c r="AM20" s="684">
        <f>IF(終値!A20="","",IF(AND(高値!Q20&gt;高値!P20,高値!Q20&gt;高値!O20,高値!Q20&gt;高値!R20,高値!Q20&gt;高値!S20),12,""))</f>
      </c>
      <c r="AN20" s="684">
        <f>IF(終値!A20="","",IF(AND(高値!R20&gt;高値!Q20,高値!R20&gt;高値!P20,高値!R20&gt;高値!S20,高値!R20&gt;高値!T20),13,""))</f>
      </c>
      <c r="AO20" s="684">
        <f>IF(終値!A20="","",IF(AND(高値!S20&gt;高値!R20,高値!S20&gt;高値!Q20,高値!S20&gt;高値!T20,高値!S20&gt;高値!U20),14,""))</f>
      </c>
      <c r="AP20" s="684">
        <f>IF(終値!A20="","",IF(AND(高値!T20&gt;高値!S20,高値!T20&gt;高値!R20,高値!T20&gt;高値!U20,高値!T20&gt;高値!V20),15,""))</f>
      </c>
      <c r="AQ20" s="684">
        <f>IF(終値!A20="","",IF(AND(高値!U20&gt;高値!T20,高値!U20&gt;高値!S20,高値!U20&gt;高値!V20,高値!U20&gt;高値!W20),16,""))</f>
      </c>
      <c r="AR20" s="684">
        <f>IF(終値!A20="","",IF(AND(高値!V20&gt;高値!U20,高値!V20&gt;高値!T20,高値!V20&gt;高値!W20,高値!V20&gt;高値!X20),17,""))</f>
      </c>
      <c r="AS20" s="684">
        <f>IF(終値!A20="","",IF(AND(高値!W20&gt;高値!V20,高値!W20&gt;高値!U20,高値!W20&gt;高値!X20,高値!W20&gt;高値!Y20),18,""))</f>
      </c>
      <c r="AT20" s="684">
        <f>IF(終値!A20="","",IF(AND(高値!X20&gt;高値!W20,高値!X20&gt;高値!V20,高値!X20&gt;高値!Y20,高値!X20&gt;高値!Z20),19,""))</f>
      </c>
      <c r="AU20" s="684">
        <f>IF(終値!A20="","",IF(AND(高値!Y20&gt;高値!X20,高値!Y20&gt;高値!W20,高値!Y20&gt;高値!Z20,高値!Y20&gt;高値!AA20),20,""))</f>
      </c>
      <c r="AV20" s="684">
        <f>IF(終値!A20="","",IF(AND(高値!Z20&gt;高値!Y20,高値!Z20&gt;高値!X20,高値!Z20&gt;高値!AA20,高値!Z20&gt;高値!AB20),21,""))</f>
      </c>
      <c r="AW20" s="684">
        <f>IF(終値!A20="","",IF(AND(高値!AA20&gt;高値!Z20,高値!AA20&gt;高値!Y20,高値!AA20&gt;高値!AB20,高値!AA20&gt;高値!AC20),22,""))</f>
      </c>
      <c r="AX20" s="684">
        <f>IF(終値!A20="","",IF(AND(高値!AB20&gt;高値!AA20,高値!AB20&gt;高値!Z20,高値!AB20&gt;高値!AC20,高値!AB20&gt;高値!AD20),23,""))</f>
      </c>
      <c r="AY20" s="684">
        <f>IF(終値!A20="","",IF(AND(高値!AC20&gt;高値!AB20,高値!AC20&gt;高値!AA20,高値!AC20&gt;高値!AD20,高値!AC20&gt;高値!AE20),24,""))</f>
      </c>
      <c r="AZ20" s="684">
        <f>IF(終値!A20="","",IF(AND(高値!AD20&gt;高値!AC20,高値!AD20&gt;高値!AB20,高値!AD20&gt;高値!AE20,高値!AD20&gt;高値!AF20),25,""))</f>
      </c>
      <c r="BA20" s="684">
        <f>IF(終値!A20="","",IF(AND(高値!AE20&gt;高値!AD20,高値!AE20&gt;高値!AC20,高値!AE20&gt;高値!AF20,高値!AE20&gt;高値!AG20),26,""))</f>
      </c>
      <c r="BB20" s="684">
        <f>IF(終値!A20="","",IF(AND(高値!AF20&gt;高値!AE20,高値!AF20&gt;高値!AD20,高値!AF20&gt;高値!AG20,高値!AF20&gt;高値!AH20),27,""))</f>
      </c>
      <c r="BC20" s="684">
        <f>IF(終値!A20="","",IF(AND(高値!AG20&gt;高値!AF20,高値!AG20&gt;高値!AE20,高値!AG20&gt;高値!AH20,高値!AG20&gt;高値!AI20),28,""))</f>
      </c>
      <c r="BD20" s="684">
        <f>COUNT($B20:$AB20)</f>
      </c>
      <c r="BE20" s="684">
        <f>IF($BD20&gt;=2,MIN($B20:$AB20),"")</f>
      </c>
      <c r="BF20" s="684">
        <f>IF($BD20&gt;=2,SMALL($B20:$AB20,2),"")</f>
      </c>
      <c r="BG20" s="684">
        <f>IF($BE20="","",INDEX(安値!$E20:$CZ20,1,$BE20+1))</f>
      </c>
      <c r="BH20" s="684">
        <f>IF($BF20="","",INDEX(安値!$E20:$CZ20,1,$BF20+1))</f>
      </c>
      <c r="BI20" s="684">
        <f>IF($BF20="","",MAX(INDEX(高値!$E20:$CZ20,1,$BE20+1):INDEX(高値!$E20:$CZ20,1,$BF20+1)))</f>
      </c>
      <c r="BJ20" s="684">
        <f>IF($BF20="","",AVERAGE(INDEX(終値!$E20:$CZ20,1,$BF20+1):INDEX(終値!$E20:$CZ20,1,$BF20+20))-2*STDEVP(INDEX(終値!$E20:$CZ20,1,$BF20+1):INDEX(終値!$E20:$CZ20,1,$BF20+20)))</f>
      </c>
      <c r="BK20" s="684">
        <f>IF($BE20="","",AVERAGE(INDEX(終値!$E20:$CZ20,1,$BE20+1):INDEX(終値!$E20:$CZ20,1,$BE20+20))-2*STDEVP(INDEX(終値!$E20:$CZ20,1,$BE20+1):INDEX(終値!$E20:$CZ20,1,$BE20+20)))</f>
      </c>
      <c r="BL20" s="684">
        <f>COUNT($AC20:$BC20)</f>
      </c>
      <c r="BM20" s="684">
        <f>IF($BL20&gt;=2,MIN($AC20:$BC20),"")</f>
      </c>
      <c r="BN20" s="684">
        <f>IF($BL20&gt;=2,SMALL($AC20:$BC20,2),"")</f>
      </c>
      <c r="BO20" s="684">
        <f>IF($BM20="","",INDEX(高値!$E20:$CZ20,1,$BM20+1))</f>
      </c>
      <c r="BP20" s="684">
        <f>IF($BN20="","",INDEX(高値!$E20:$CZ20,1,$BN20+1))</f>
      </c>
      <c r="BQ20" s="684">
        <f>IF($BN20="","",MIN(INDEX(安値!$E20:$CZ20,1,$BM20+1):INDEX(安値!$E20:$CZ20,1,$BN20+1)))</f>
      </c>
      <c r="BR20" s="684">
        <f>IF($BN20="","",AVERAGE(INDEX(終値!$E20:$CZ20,1,$BN20+1):INDEX(終値!$E20:$CZ20,1,$BN20+20))+2*STDEVP(INDEX(終値!$E20:$CZ20,1,$BN20+1):INDEX(終値!$E20:$CZ20,1,$BN20+20)))</f>
      </c>
      <c r="BS20" s="684">
        <f>IF($BM20="","",AVERAGE(INDEX(終値!$E20:$CZ20,1,$BM20+1):INDEX(終値!$E20:$CZ20,1,$BM20+20))+2*STDEVP(INDEX(終値!$E20:$CZ20,1,$BM20+1):INDEX(終値!$E20:$CZ20,1,$BM20+20)))</f>
      </c>
      <c r="BT20" s="681">
        <f>IFERROR(IF(AND($BD20&gt;=2,ABS($BG20-$BH20)/$BH20&lt;=BB設定!$B$12,$BI20&gt;=MAX($BH20,$BG20)*(1+BB設定!$B$13),終値!E20&gt;$BG20),IF(OR(終値!E20&gt;=$BI20,AND($BH20&lt;$BJ20,$BG20&gt;=$BK20)),"二番底W▲","二番底W形成"),IF(AND($BL20&gt;=2,ABS($BO20-$BP20)/$BP20&lt;=BB設定!$B$12,$BQ20&lt;=MIN($BP20,$BO20)*(1-BB設定!$B$13),終値!E20&lt;$BO20),IF(OR(終値!E20&lt;=$BQ20,AND($BP20&gt;$BR20,$BO20&lt;=$BS20)),"二番天井M▼","二番天井M形成"),"－")),"－")</f>
      </c>
    </row>
    <row r="21">
      <c r="B21" s="684">
        <f>IF(終値!A21="","",IF(AND(安値!G21&lt;安値!F21,安値!G21&lt;安値!E21,安値!G21&lt;安値!H21,安値!G21&lt;安値!I21),2,""))</f>
      </c>
      <c r="C21" s="684">
        <f>IF(終値!A21="","",IF(AND(安値!H21&lt;安値!G21,安値!H21&lt;安値!F21,安値!H21&lt;安値!I21,安値!H21&lt;安値!J21),3,""))</f>
      </c>
      <c r="D21" s="684">
        <f>IF(終値!A21="","",IF(AND(安値!I21&lt;安値!H21,安値!I21&lt;安値!G21,安値!I21&lt;安値!J21,安値!I21&lt;安値!K21),4,""))</f>
      </c>
      <c r="E21" s="684">
        <f>IF(終値!A21="","",IF(AND(安値!J21&lt;安値!I21,安値!J21&lt;安値!H21,安値!J21&lt;安値!K21,安値!J21&lt;安値!L21),5,""))</f>
      </c>
      <c r="F21" s="684">
        <f>IF(終値!A21="","",IF(AND(安値!K21&lt;安値!J21,安値!K21&lt;安値!I21,安値!K21&lt;安値!L21,安値!K21&lt;安値!M21),6,""))</f>
      </c>
      <c r="G21" s="684">
        <f>IF(終値!A21="","",IF(AND(安値!L21&lt;安値!K21,安値!L21&lt;安値!J21,安値!L21&lt;安値!M21,安値!L21&lt;安値!N21),7,""))</f>
      </c>
      <c r="H21" s="684">
        <f>IF(終値!A21="","",IF(AND(安値!M21&lt;安値!L21,安値!M21&lt;安値!K21,安値!M21&lt;安値!N21,安値!M21&lt;安値!O21),8,""))</f>
      </c>
      <c r="I21" s="684">
        <f>IF(終値!A21="","",IF(AND(安値!N21&lt;安値!M21,安値!N21&lt;安値!L21,安値!N21&lt;安値!O21,安値!N21&lt;安値!P21),9,""))</f>
      </c>
      <c r="J21" s="684">
        <f>IF(終値!A21="","",IF(AND(安値!O21&lt;安値!N21,安値!O21&lt;安値!M21,安値!O21&lt;安値!P21,安値!O21&lt;安値!Q21),10,""))</f>
      </c>
      <c r="K21" s="684">
        <f>IF(終値!A21="","",IF(AND(安値!P21&lt;安値!O21,安値!P21&lt;安値!N21,安値!P21&lt;安値!Q21,安値!P21&lt;安値!R21),11,""))</f>
      </c>
      <c r="L21" s="684">
        <f>IF(終値!A21="","",IF(AND(安値!Q21&lt;安値!P21,安値!Q21&lt;安値!O21,安値!Q21&lt;安値!R21,安値!Q21&lt;安値!S21),12,""))</f>
      </c>
      <c r="M21" s="684">
        <f>IF(終値!A21="","",IF(AND(安値!R21&lt;安値!Q21,安値!R21&lt;安値!P21,安値!R21&lt;安値!S21,安値!R21&lt;安値!T21),13,""))</f>
      </c>
      <c r="N21" s="684">
        <f>IF(終値!A21="","",IF(AND(安値!S21&lt;安値!R21,安値!S21&lt;安値!Q21,安値!S21&lt;安値!T21,安値!S21&lt;安値!U21),14,""))</f>
      </c>
      <c r="O21" s="684">
        <f>IF(終値!A21="","",IF(AND(安値!T21&lt;安値!S21,安値!T21&lt;安値!R21,安値!T21&lt;安値!U21,安値!T21&lt;安値!V21),15,""))</f>
      </c>
      <c r="P21" s="684">
        <f>IF(終値!A21="","",IF(AND(安値!U21&lt;安値!T21,安値!U21&lt;安値!S21,安値!U21&lt;安値!V21,安値!U21&lt;安値!W21),16,""))</f>
      </c>
      <c r="Q21" s="684">
        <f>IF(終値!A21="","",IF(AND(安値!V21&lt;安値!U21,安値!V21&lt;安値!T21,安値!V21&lt;安値!W21,安値!V21&lt;安値!X21),17,""))</f>
      </c>
      <c r="R21" s="684">
        <f>IF(終値!A21="","",IF(AND(安値!W21&lt;安値!V21,安値!W21&lt;安値!U21,安値!W21&lt;安値!X21,安値!W21&lt;安値!Y21),18,""))</f>
      </c>
      <c r="S21" s="684">
        <f>IF(終値!A21="","",IF(AND(安値!X21&lt;安値!W21,安値!X21&lt;安値!V21,安値!X21&lt;安値!Y21,安値!X21&lt;安値!Z21),19,""))</f>
      </c>
      <c r="T21" s="684">
        <f>IF(終値!A21="","",IF(AND(安値!Y21&lt;安値!X21,安値!Y21&lt;安値!W21,安値!Y21&lt;安値!Z21,安値!Y21&lt;安値!AA21),20,""))</f>
      </c>
      <c r="U21" s="684">
        <f>IF(終値!A21="","",IF(AND(安値!Z21&lt;安値!Y21,安値!Z21&lt;安値!X21,安値!Z21&lt;安値!AA21,安値!Z21&lt;安値!AB21),21,""))</f>
      </c>
      <c r="V21" s="684">
        <f>IF(終値!A21="","",IF(AND(安値!AA21&lt;安値!Z21,安値!AA21&lt;安値!Y21,安値!AA21&lt;安値!AB21,安値!AA21&lt;安値!AC21),22,""))</f>
      </c>
      <c r="W21" s="684">
        <f>IF(終値!A21="","",IF(AND(安値!AB21&lt;安値!AA21,安値!AB21&lt;安値!Z21,安値!AB21&lt;安値!AC21,安値!AB21&lt;安値!AD21),23,""))</f>
      </c>
      <c r="X21" s="684">
        <f>IF(終値!A21="","",IF(AND(安値!AC21&lt;安値!AB21,安値!AC21&lt;安値!AA21,安値!AC21&lt;安値!AD21,安値!AC21&lt;安値!AE21),24,""))</f>
      </c>
      <c r="Y21" s="684">
        <f>IF(終値!A21="","",IF(AND(安値!AD21&lt;安値!AC21,安値!AD21&lt;安値!AB21,安値!AD21&lt;安値!AE21,安値!AD21&lt;安値!AF21),25,""))</f>
      </c>
      <c r="Z21" s="684">
        <f>IF(終値!A21="","",IF(AND(安値!AE21&lt;安値!AD21,安値!AE21&lt;安値!AC21,安値!AE21&lt;安値!AF21,安値!AE21&lt;安値!AG21),26,""))</f>
      </c>
      <c r="AA21" s="684">
        <f>IF(終値!A21="","",IF(AND(安値!AF21&lt;安値!AE21,安値!AF21&lt;安値!AD21,安値!AF21&lt;安値!AG21,安値!AF21&lt;安値!AH21),27,""))</f>
      </c>
      <c r="AB21" s="684">
        <f>IF(終値!A21="","",IF(AND(安値!AG21&lt;安値!AF21,安値!AG21&lt;安値!AE21,安値!AG21&lt;安値!AH21,安値!AG21&lt;安値!AI21),28,""))</f>
      </c>
      <c r="AC21" s="684">
        <f>IF(終値!A21="","",IF(AND(高値!G21&gt;高値!F21,高値!G21&gt;高値!E21,高値!G21&gt;高値!H21,高値!G21&gt;高値!I21),2,""))</f>
      </c>
      <c r="AD21" s="684">
        <f>IF(終値!A21="","",IF(AND(高値!H21&gt;高値!G21,高値!H21&gt;高値!F21,高値!H21&gt;高値!I21,高値!H21&gt;高値!J21),3,""))</f>
      </c>
      <c r="AE21" s="684">
        <f>IF(終値!A21="","",IF(AND(高値!I21&gt;高値!H21,高値!I21&gt;高値!G21,高値!I21&gt;高値!J21,高値!I21&gt;高値!K21),4,""))</f>
      </c>
      <c r="AF21" s="684">
        <f>IF(終値!A21="","",IF(AND(高値!J21&gt;高値!I21,高値!J21&gt;高値!H21,高値!J21&gt;高値!K21,高値!J21&gt;高値!L21),5,""))</f>
      </c>
      <c r="AG21" s="684">
        <f>IF(終値!A21="","",IF(AND(高値!K21&gt;高値!J21,高値!K21&gt;高値!I21,高値!K21&gt;高値!L21,高値!K21&gt;高値!M21),6,""))</f>
      </c>
      <c r="AH21" s="684">
        <f>IF(終値!A21="","",IF(AND(高値!L21&gt;高値!K21,高値!L21&gt;高値!J21,高値!L21&gt;高値!M21,高値!L21&gt;高値!N21),7,""))</f>
      </c>
      <c r="AI21" s="684">
        <f>IF(終値!A21="","",IF(AND(高値!M21&gt;高値!L21,高値!M21&gt;高値!K21,高値!M21&gt;高値!N21,高値!M21&gt;高値!O21),8,""))</f>
      </c>
      <c r="AJ21" s="684">
        <f>IF(終値!A21="","",IF(AND(高値!N21&gt;高値!M21,高値!N21&gt;高値!L21,高値!N21&gt;高値!O21,高値!N21&gt;高値!P21),9,""))</f>
      </c>
      <c r="AK21" s="684">
        <f>IF(終値!A21="","",IF(AND(高値!O21&gt;高値!N21,高値!O21&gt;高値!M21,高値!O21&gt;高値!P21,高値!O21&gt;高値!Q21),10,""))</f>
      </c>
      <c r="AL21" s="684">
        <f>IF(終値!A21="","",IF(AND(高値!P21&gt;高値!O21,高値!P21&gt;高値!N21,高値!P21&gt;高値!Q21,高値!P21&gt;高値!R21),11,""))</f>
      </c>
      <c r="AM21" s="684">
        <f>IF(終値!A21="","",IF(AND(高値!Q21&gt;高値!P21,高値!Q21&gt;高値!O21,高値!Q21&gt;高値!R21,高値!Q21&gt;高値!S21),12,""))</f>
      </c>
      <c r="AN21" s="684">
        <f>IF(終値!A21="","",IF(AND(高値!R21&gt;高値!Q21,高値!R21&gt;高値!P21,高値!R21&gt;高値!S21,高値!R21&gt;高値!T21),13,""))</f>
      </c>
      <c r="AO21" s="684">
        <f>IF(終値!A21="","",IF(AND(高値!S21&gt;高値!R21,高値!S21&gt;高値!Q21,高値!S21&gt;高値!T21,高値!S21&gt;高値!U21),14,""))</f>
      </c>
      <c r="AP21" s="684">
        <f>IF(終値!A21="","",IF(AND(高値!T21&gt;高値!S21,高値!T21&gt;高値!R21,高値!T21&gt;高値!U21,高値!T21&gt;高値!V21),15,""))</f>
      </c>
      <c r="AQ21" s="684">
        <f>IF(終値!A21="","",IF(AND(高値!U21&gt;高値!T21,高値!U21&gt;高値!S21,高値!U21&gt;高値!V21,高値!U21&gt;高値!W21),16,""))</f>
      </c>
      <c r="AR21" s="684">
        <f>IF(終値!A21="","",IF(AND(高値!V21&gt;高値!U21,高値!V21&gt;高値!T21,高値!V21&gt;高値!W21,高値!V21&gt;高値!X21),17,""))</f>
      </c>
      <c r="AS21" s="684">
        <f>IF(終値!A21="","",IF(AND(高値!W21&gt;高値!V21,高値!W21&gt;高値!U21,高値!W21&gt;高値!X21,高値!W21&gt;高値!Y21),18,""))</f>
      </c>
      <c r="AT21" s="684">
        <f>IF(終値!A21="","",IF(AND(高値!X21&gt;高値!W21,高値!X21&gt;高値!V21,高値!X21&gt;高値!Y21,高値!X21&gt;高値!Z21),19,""))</f>
      </c>
      <c r="AU21" s="684">
        <f>IF(終値!A21="","",IF(AND(高値!Y21&gt;高値!X21,高値!Y21&gt;高値!W21,高値!Y21&gt;高値!Z21,高値!Y21&gt;高値!AA21),20,""))</f>
      </c>
      <c r="AV21" s="684">
        <f>IF(終値!A21="","",IF(AND(高値!Z21&gt;高値!Y21,高値!Z21&gt;高値!X21,高値!Z21&gt;高値!AA21,高値!Z21&gt;高値!AB21),21,""))</f>
      </c>
      <c r="AW21" s="684">
        <f>IF(終値!A21="","",IF(AND(高値!AA21&gt;高値!Z21,高値!AA21&gt;高値!Y21,高値!AA21&gt;高値!AB21,高値!AA21&gt;高値!AC21),22,""))</f>
      </c>
      <c r="AX21" s="684">
        <f>IF(終値!A21="","",IF(AND(高値!AB21&gt;高値!AA21,高値!AB21&gt;高値!Z21,高値!AB21&gt;高値!AC21,高値!AB21&gt;高値!AD21),23,""))</f>
      </c>
      <c r="AY21" s="684">
        <f>IF(終値!A21="","",IF(AND(高値!AC21&gt;高値!AB21,高値!AC21&gt;高値!AA21,高値!AC21&gt;高値!AD21,高値!AC21&gt;高値!AE21),24,""))</f>
      </c>
      <c r="AZ21" s="684">
        <f>IF(終値!A21="","",IF(AND(高値!AD21&gt;高値!AC21,高値!AD21&gt;高値!AB21,高値!AD21&gt;高値!AE21,高値!AD21&gt;高値!AF21),25,""))</f>
      </c>
      <c r="BA21" s="684">
        <f>IF(終値!A21="","",IF(AND(高値!AE21&gt;高値!AD21,高値!AE21&gt;高値!AC21,高値!AE21&gt;高値!AF21,高値!AE21&gt;高値!AG21),26,""))</f>
      </c>
      <c r="BB21" s="684">
        <f>IF(終値!A21="","",IF(AND(高値!AF21&gt;高値!AE21,高値!AF21&gt;高値!AD21,高値!AF21&gt;高値!AG21,高値!AF21&gt;高値!AH21),27,""))</f>
      </c>
      <c r="BC21" s="684">
        <f>IF(終値!A21="","",IF(AND(高値!AG21&gt;高値!AF21,高値!AG21&gt;高値!AE21,高値!AG21&gt;高値!AH21,高値!AG21&gt;高値!AI21),28,""))</f>
      </c>
      <c r="BD21" s="684">
        <f>COUNT($B21:$AB21)</f>
      </c>
      <c r="BE21" s="684">
        <f>IF($BD21&gt;=2,MIN($B21:$AB21),"")</f>
      </c>
      <c r="BF21" s="684">
        <f>IF($BD21&gt;=2,SMALL($B21:$AB21,2),"")</f>
      </c>
      <c r="BG21" s="684">
        <f>IF($BE21="","",INDEX(安値!$E21:$CZ21,1,$BE21+1))</f>
      </c>
      <c r="BH21" s="684">
        <f>IF($BF21="","",INDEX(安値!$E21:$CZ21,1,$BF21+1))</f>
      </c>
      <c r="BI21" s="684">
        <f>IF($BF21="","",MAX(INDEX(高値!$E21:$CZ21,1,$BE21+1):INDEX(高値!$E21:$CZ21,1,$BF21+1)))</f>
      </c>
      <c r="BJ21" s="684">
        <f>IF($BF21="","",AVERAGE(INDEX(終値!$E21:$CZ21,1,$BF21+1):INDEX(終値!$E21:$CZ21,1,$BF21+20))-2*STDEVP(INDEX(終値!$E21:$CZ21,1,$BF21+1):INDEX(終値!$E21:$CZ21,1,$BF21+20)))</f>
      </c>
      <c r="BK21" s="684">
        <f>IF($BE21="","",AVERAGE(INDEX(終値!$E21:$CZ21,1,$BE21+1):INDEX(終値!$E21:$CZ21,1,$BE21+20))-2*STDEVP(INDEX(終値!$E21:$CZ21,1,$BE21+1):INDEX(終値!$E21:$CZ21,1,$BE21+20)))</f>
      </c>
      <c r="BL21" s="684">
        <f>COUNT($AC21:$BC21)</f>
      </c>
      <c r="BM21" s="684">
        <f>IF($BL21&gt;=2,MIN($AC21:$BC21),"")</f>
      </c>
      <c r="BN21" s="684">
        <f>IF($BL21&gt;=2,SMALL($AC21:$BC21,2),"")</f>
      </c>
      <c r="BO21" s="684">
        <f>IF($BM21="","",INDEX(高値!$E21:$CZ21,1,$BM21+1))</f>
      </c>
      <c r="BP21" s="684">
        <f>IF($BN21="","",INDEX(高値!$E21:$CZ21,1,$BN21+1))</f>
      </c>
      <c r="BQ21" s="684">
        <f>IF($BN21="","",MIN(INDEX(安値!$E21:$CZ21,1,$BM21+1):INDEX(安値!$E21:$CZ21,1,$BN21+1)))</f>
      </c>
      <c r="BR21" s="684">
        <f>IF($BN21="","",AVERAGE(INDEX(終値!$E21:$CZ21,1,$BN21+1):INDEX(終値!$E21:$CZ21,1,$BN21+20))+2*STDEVP(INDEX(終値!$E21:$CZ21,1,$BN21+1):INDEX(終値!$E21:$CZ21,1,$BN21+20)))</f>
      </c>
      <c r="BS21" s="684">
        <f>IF($BM21="","",AVERAGE(INDEX(終値!$E21:$CZ21,1,$BM21+1):INDEX(終値!$E21:$CZ21,1,$BM21+20))+2*STDEVP(INDEX(終値!$E21:$CZ21,1,$BM21+1):INDEX(終値!$E21:$CZ21,1,$BM21+20)))</f>
      </c>
      <c r="BT21" s="681">
        <f>IFERROR(IF(AND($BD21&gt;=2,ABS($BG21-$BH21)/$BH21&lt;=BB設定!$B$12,$BI21&gt;=MAX($BH21,$BG21)*(1+BB設定!$B$13),終値!E21&gt;$BG21),IF(OR(終値!E21&gt;=$BI21,AND($BH21&lt;$BJ21,$BG21&gt;=$BK21)),"二番底W▲","二番底W形成"),IF(AND($BL21&gt;=2,ABS($BO21-$BP21)/$BP21&lt;=BB設定!$B$12,$BQ21&lt;=MIN($BP21,$BO21)*(1-BB設定!$B$13),終値!E21&lt;$BO21),IF(OR(終値!E21&lt;=$BQ21,AND($BP21&gt;$BR21,$BO21&lt;=$BS21)),"二番天井M▼","二番天井M形成"),"－")),"－")</f>
      </c>
    </row>
    <row r="22">
      <c r="B22" s="684">
        <f>IF(終値!A22="","",IF(AND(安値!G22&lt;安値!F22,安値!G22&lt;安値!E22,安値!G22&lt;安値!H22,安値!G22&lt;安値!I22),2,""))</f>
      </c>
      <c r="C22" s="684">
        <f>IF(終値!A22="","",IF(AND(安値!H22&lt;安値!G22,安値!H22&lt;安値!F22,安値!H22&lt;安値!I22,安値!H22&lt;安値!J22),3,""))</f>
      </c>
      <c r="D22" s="684">
        <f>IF(終値!A22="","",IF(AND(安値!I22&lt;安値!H22,安値!I22&lt;安値!G22,安値!I22&lt;安値!J22,安値!I22&lt;安値!K22),4,""))</f>
      </c>
      <c r="E22" s="684">
        <f>IF(終値!A22="","",IF(AND(安値!J22&lt;安値!I22,安値!J22&lt;安値!H22,安値!J22&lt;安値!K22,安値!J22&lt;安値!L22),5,""))</f>
      </c>
      <c r="F22" s="684">
        <f>IF(終値!A22="","",IF(AND(安値!K22&lt;安値!J22,安値!K22&lt;安値!I22,安値!K22&lt;安値!L22,安値!K22&lt;安値!M22),6,""))</f>
      </c>
      <c r="G22" s="684">
        <f>IF(終値!A22="","",IF(AND(安値!L22&lt;安値!K22,安値!L22&lt;安値!J22,安値!L22&lt;安値!M22,安値!L22&lt;安値!N22),7,""))</f>
      </c>
      <c r="H22" s="684">
        <f>IF(終値!A22="","",IF(AND(安値!M22&lt;安値!L22,安値!M22&lt;安値!K22,安値!M22&lt;安値!N22,安値!M22&lt;安値!O22),8,""))</f>
      </c>
      <c r="I22" s="684">
        <f>IF(終値!A22="","",IF(AND(安値!N22&lt;安値!M22,安値!N22&lt;安値!L22,安値!N22&lt;安値!O22,安値!N22&lt;安値!P22),9,""))</f>
      </c>
      <c r="J22" s="684">
        <f>IF(終値!A22="","",IF(AND(安値!O22&lt;安値!N22,安値!O22&lt;安値!M22,安値!O22&lt;安値!P22,安値!O22&lt;安値!Q22),10,""))</f>
      </c>
      <c r="K22" s="684">
        <f>IF(終値!A22="","",IF(AND(安値!P22&lt;安値!O22,安値!P22&lt;安値!N22,安値!P22&lt;安値!Q22,安値!P22&lt;安値!R22),11,""))</f>
      </c>
      <c r="L22" s="684">
        <f>IF(終値!A22="","",IF(AND(安値!Q22&lt;安値!P22,安値!Q22&lt;安値!O22,安値!Q22&lt;安値!R22,安値!Q22&lt;安値!S22),12,""))</f>
      </c>
      <c r="M22" s="684">
        <f>IF(終値!A22="","",IF(AND(安値!R22&lt;安値!Q22,安値!R22&lt;安値!P22,安値!R22&lt;安値!S22,安値!R22&lt;安値!T22),13,""))</f>
      </c>
      <c r="N22" s="684">
        <f>IF(終値!A22="","",IF(AND(安値!S22&lt;安値!R22,安値!S22&lt;安値!Q22,安値!S22&lt;安値!T22,安値!S22&lt;安値!U22),14,""))</f>
      </c>
      <c r="O22" s="684">
        <f>IF(終値!A22="","",IF(AND(安値!T22&lt;安値!S22,安値!T22&lt;安値!R22,安値!T22&lt;安値!U22,安値!T22&lt;安値!V22),15,""))</f>
      </c>
      <c r="P22" s="684">
        <f>IF(終値!A22="","",IF(AND(安値!U22&lt;安値!T22,安値!U22&lt;安値!S22,安値!U22&lt;安値!V22,安値!U22&lt;安値!W22),16,""))</f>
      </c>
      <c r="Q22" s="684">
        <f>IF(終値!A22="","",IF(AND(安値!V22&lt;安値!U22,安値!V22&lt;安値!T22,安値!V22&lt;安値!W22,安値!V22&lt;安値!X22),17,""))</f>
      </c>
      <c r="R22" s="684">
        <f>IF(終値!A22="","",IF(AND(安値!W22&lt;安値!V22,安値!W22&lt;安値!U22,安値!W22&lt;安値!X22,安値!W22&lt;安値!Y22),18,""))</f>
      </c>
      <c r="S22" s="684">
        <f>IF(終値!A22="","",IF(AND(安値!X22&lt;安値!W22,安値!X22&lt;安値!V22,安値!X22&lt;安値!Y22,安値!X22&lt;安値!Z22),19,""))</f>
      </c>
      <c r="T22" s="684">
        <f>IF(終値!A22="","",IF(AND(安値!Y22&lt;安値!X22,安値!Y22&lt;安値!W22,安値!Y22&lt;安値!Z22,安値!Y22&lt;安値!AA22),20,""))</f>
      </c>
      <c r="U22" s="684">
        <f>IF(終値!A22="","",IF(AND(安値!Z22&lt;安値!Y22,安値!Z22&lt;安値!X22,安値!Z22&lt;安値!AA22,安値!Z22&lt;安値!AB22),21,""))</f>
      </c>
      <c r="V22" s="684">
        <f>IF(終値!A22="","",IF(AND(安値!AA22&lt;安値!Z22,安値!AA22&lt;安値!Y22,安値!AA22&lt;安値!AB22,安値!AA22&lt;安値!AC22),22,""))</f>
      </c>
      <c r="W22" s="684">
        <f>IF(終値!A22="","",IF(AND(安値!AB22&lt;安値!AA22,安値!AB22&lt;安値!Z22,安値!AB22&lt;安値!AC22,安値!AB22&lt;安値!AD22),23,""))</f>
      </c>
      <c r="X22" s="684">
        <f>IF(終値!A22="","",IF(AND(安値!AC22&lt;安値!AB22,安値!AC22&lt;安値!AA22,安値!AC22&lt;安値!AD22,安値!AC22&lt;安値!AE22),24,""))</f>
      </c>
      <c r="Y22" s="684">
        <f>IF(終値!A22="","",IF(AND(安値!AD22&lt;安値!AC22,安値!AD22&lt;安値!AB22,安値!AD22&lt;安値!AE22,安値!AD22&lt;安値!AF22),25,""))</f>
      </c>
      <c r="Z22" s="684">
        <f>IF(終値!A22="","",IF(AND(安値!AE22&lt;安値!AD22,安値!AE22&lt;安値!AC22,安値!AE22&lt;安値!AF22,安値!AE22&lt;安値!AG22),26,""))</f>
      </c>
      <c r="AA22" s="684">
        <f>IF(終値!A22="","",IF(AND(安値!AF22&lt;安値!AE22,安値!AF22&lt;安値!AD22,安値!AF22&lt;安値!AG22,安値!AF22&lt;安値!AH22),27,""))</f>
      </c>
      <c r="AB22" s="684">
        <f>IF(終値!A22="","",IF(AND(安値!AG22&lt;安値!AF22,安値!AG22&lt;安値!AE22,安値!AG22&lt;安値!AH22,安値!AG22&lt;安値!AI22),28,""))</f>
      </c>
      <c r="AC22" s="684">
        <f>IF(終値!A22="","",IF(AND(高値!G22&gt;高値!F22,高値!G22&gt;高値!E22,高値!G22&gt;高値!H22,高値!G22&gt;高値!I22),2,""))</f>
      </c>
      <c r="AD22" s="684">
        <f>IF(終値!A22="","",IF(AND(高値!H22&gt;高値!G22,高値!H22&gt;高値!F22,高値!H22&gt;高値!I22,高値!H22&gt;高値!J22),3,""))</f>
      </c>
      <c r="AE22" s="684">
        <f>IF(終値!A22="","",IF(AND(高値!I22&gt;高値!H22,高値!I22&gt;高値!G22,高値!I22&gt;高値!J22,高値!I22&gt;高値!K22),4,""))</f>
      </c>
      <c r="AF22" s="684">
        <f>IF(終値!A22="","",IF(AND(高値!J22&gt;高値!I22,高値!J22&gt;高値!H22,高値!J22&gt;高値!K22,高値!J22&gt;高値!L22),5,""))</f>
      </c>
      <c r="AG22" s="684">
        <f>IF(終値!A22="","",IF(AND(高値!K22&gt;高値!J22,高値!K22&gt;高値!I22,高値!K22&gt;高値!L22,高値!K22&gt;高値!M22),6,""))</f>
      </c>
      <c r="AH22" s="684">
        <f>IF(終値!A22="","",IF(AND(高値!L22&gt;高値!K22,高値!L22&gt;高値!J22,高値!L22&gt;高値!M22,高値!L22&gt;高値!N22),7,""))</f>
      </c>
      <c r="AI22" s="684">
        <f>IF(終値!A22="","",IF(AND(高値!M22&gt;高値!L22,高値!M22&gt;高値!K22,高値!M22&gt;高値!N22,高値!M22&gt;高値!O22),8,""))</f>
      </c>
      <c r="AJ22" s="684">
        <f>IF(終値!A22="","",IF(AND(高値!N22&gt;高値!M22,高値!N22&gt;高値!L22,高値!N22&gt;高値!O22,高値!N22&gt;高値!P22),9,""))</f>
      </c>
      <c r="AK22" s="684">
        <f>IF(終値!A22="","",IF(AND(高値!O22&gt;高値!N22,高値!O22&gt;高値!M22,高値!O22&gt;高値!P22,高値!O22&gt;高値!Q22),10,""))</f>
      </c>
      <c r="AL22" s="684">
        <f>IF(終値!A22="","",IF(AND(高値!P22&gt;高値!O22,高値!P22&gt;高値!N22,高値!P22&gt;高値!Q22,高値!P22&gt;高値!R22),11,""))</f>
      </c>
      <c r="AM22" s="684">
        <f>IF(終値!A22="","",IF(AND(高値!Q22&gt;高値!P22,高値!Q22&gt;高値!O22,高値!Q22&gt;高値!R22,高値!Q22&gt;高値!S22),12,""))</f>
      </c>
      <c r="AN22" s="684">
        <f>IF(終値!A22="","",IF(AND(高値!R22&gt;高値!Q22,高値!R22&gt;高値!P22,高値!R22&gt;高値!S22,高値!R22&gt;高値!T22),13,""))</f>
      </c>
      <c r="AO22" s="684">
        <f>IF(終値!A22="","",IF(AND(高値!S22&gt;高値!R22,高値!S22&gt;高値!Q22,高値!S22&gt;高値!T22,高値!S22&gt;高値!U22),14,""))</f>
      </c>
      <c r="AP22" s="684">
        <f>IF(終値!A22="","",IF(AND(高値!T22&gt;高値!S22,高値!T22&gt;高値!R22,高値!T22&gt;高値!U22,高値!T22&gt;高値!V22),15,""))</f>
      </c>
      <c r="AQ22" s="684">
        <f>IF(終値!A22="","",IF(AND(高値!U22&gt;高値!T22,高値!U22&gt;高値!S22,高値!U22&gt;高値!V22,高値!U22&gt;高値!W22),16,""))</f>
      </c>
      <c r="AR22" s="684">
        <f>IF(終値!A22="","",IF(AND(高値!V22&gt;高値!U22,高値!V22&gt;高値!T22,高値!V22&gt;高値!W22,高値!V22&gt;高値!X22),17,""))</f>
      </c>
      <c r="AS22" s="684">
        <f>IF(終値!A22="","",IF(AND(高値!W22&gt;高値!V22,高値!W22&gt;高値!U22,高値!W22&gt;高値!X22,高値!W22&gt;高値!Y22),18,""))</f>
      </c>
      <c r="AT22" s="684">
        <f>IF(終値!A22="","",IF(AND(高値!X22&gt;高値!W22,高値!X22&gt;高値!V22,高値!X22&gt;高値!Y22,高値!X22&gt;高値!Z22),19,""))</f>
      </c>
      <c r="AU22" s="684">
        <f>IF(終値!A22="","",IF(AND(高値!Y22&gt;高値!X22,高値!Y22&gt;高値!W22,高値!Y22&gt;高値!Z22,高値!Y22&gt;高値!AA22),20,""))</f>
      </c>
      <c r="AV22" s="684">
        <f>IF(終値!A22="","",IF(AND(高値!Z22&gt;高値!Y22,高値!Z22&gt;高値!X22,高値!Z22&gt;高値!AA22,高値!Z22&gt;高値!AB22),21,""))</f>
      </c>
      <c r="AW22" s="684">
        <f>IF(終値!A22="","",IF(AND(高値!AA22&gt;高値!Z22,高値!AA22&gt;高値!Y22,高値!AA22&gt;高値!AB22,高値!AA22&gt;高値!AC22),22,""))</f>
      </c>
      <c r="AX22" s="684">
        <f>IF(終値!A22="","",IF(AND(高値!AB22&gt;高値!AA22,高値!AB22&gt;高値!Z22,高値!AB22&gt;高値!AC22,高値!AB22&gt;高値!AD22),23,""))</f>
      </c>
      <c r="AY22" s="684">
        <f>IF(終値!A22="","",IF(AND(高値!AC22&gt;高値!AB22,高値!AC22&gt;高値!AA22,高値!AC22&gt;高値!AD22,高値!AC22&gt;高値!AE22),24,""))</f>
      </c>
      <c r="AZ22" s="684">
        <f>IF(終値!A22="","",IF(AND(高値!AD22&gt;高値!AC22,高値!AD22&gt;高値!AB22,高値!AD22&gt;高値!AE22,高値!AD22&gt;高値!AF22),25,""))</f>
      </c>
      <c r="BA22" s="684">
        <f>IF(終値!A22="","",IF(AND(高値!AE22&gt;高値!AD22,高値!AE22&gt;高値!AC22,高値!AE22&gt;高値!AF22,高値!AE22&gt;高値!AG22),26,""))</f>
      </c>
      <c r="BB22" s="684">
        <f>IF(終値!A22="","",IF(AND(高値!AF22&gt;高値!AE22,高値!AF22&gt;高値!AD22,高値!AF22&gt;高値!AG22,高値!AF22&gt;高値!AH22),27,""))</f>
      </c>
      <c r="BC22" s="684">
        <f>IF(終値!A22="","",IF(AND(高値!AG22&gt;高値!AF22,高値!AG22&gt;高値!AE22,高値!AG22&gt;高値!AH22,高値!AG22&gt;高値!AI22),28,""))</f>
      </c>
      <c r="BD22" s="684">
        <f>COUNT($B22:$AB22)</f>
      </c>
      <c r="BE22" s="684">
        <f>IF($BD22&gt;=2,MIN($B22:$AB22),"")</f>
      </c>
      <c r="BF22" s="684">
        <f>IF($BD22&gt;=2,SMALL($B22:$AB22,2),"")</f>
      </c>
      <c r="BG22" s="684">
        <f>IF($BE22="","",INDEX(安値!$E22:$CZ22,1,$BE22+1))</f>
      </c>
      <c r="BH22" s="684">
        <f>IF($BF22="","",INDEX(安値!$E22:$CZ22,1,$BF22+1))</f>
      </c>
      <c r="BI22" s="684">
        <f>IF($BF22="","",MAX(INDEX(高値!$E22:$CZ22,1,$BE22+1):INDEX(高値!$E22:$CZ22,1,$BF22+1)))</f>
      </c>
      <c r="BJ22" s="684">
        <f>IF($BF22="","",AVERAGE(INDEX(終値!$E22:$CZ22,1,$BF22+1):INDEX(終値!$E22:$CZ22,1,$BF22+20))-2*STDEVP(INDEX(終値!$E22:$CZ22,1,$BF22+1):INDEX(終値!$E22:$CZ22,1,$BF22+20)))</f>
      </c>
      <c r="BK22" s="684">
        <f>IF($BE22="","",AVERAGE(INDEX(終値!$E22:$CZ22,1,$BE22+1):INDEX(終値!$E22:$CZ22,1,$BE22+20))-2*STDEVP(INDEX(終値!$E22:$CZ22,1,$BE22+1):INDEX(終値!$E22:$CZ22,1,$BE22+20)))</f>
      </c>
      <c r="BL22" s="684">
        <f>COUNT($AC22:$BC22)</f>
      </c>
      <c r="BM22" s="684">
        <f>IF($BL22&gt;=2,MIN($AC22:$BC22),"")</f>
      </c>
      <c r="BN22" s="684">
        <f>IF($BL22&gt;=2,SMALL($AC22:$BC22,2),"")</f>
      </c>
      <c r="BO22" s="684">
        <f>IF($BM22="","",INDEX(高値!$E22:$CZ22,1,$BM22+1))</f>
      </c>
      <c r="BP22" s="684">
        <f>IF($BN22="","",INDEX(高値!$E22:$CZ22,1,$BN22+1))</f>
      </c>
      <c r="BQ22" s="684">
        <f>IF($BN22="","",MIN(INDEX(安値!$E22:$CZ22,1,$BM22+1):INDEX(安値!$E22:$CZ22,1,$BN22+1)))</f>
      </c>
      <c r="BR22" s="684">
        <f>IF($BN22="","",AVERAGE(INDEX(終値!$E22:$CZ22,1,$BN22+1):INDEX(終値!$E22:$CZ22,1,$BN22+20))+2*STDEVP(INDEX(終値!$E22:$CZ22,1,$BN22+1):INDEX(終値!$E22:$CZ22,1,$BN22+20)))</f>
      </c>
      <c r="BS22" s="684">
        <f>IF($BM22="","",AVERAGE(INDEX(終値!$E22:$CZ22,1,$BM22+1):INDEX(終値!$E22:$CZ22,1,$BM22+20))+2*STDEVP(INDEX(終値!$E22:$CZ22,1,$BM22+1):INDEX(終値!$E22:$CZ22,1,$BM22+20)))</f>
      </c>
      <c r="BT22" s="681">
        <f>IFERROR(IF(AND($BD22&gt;=2,ABS($BG22-$BH22)/$BH22&lt;=BB設定!$B$12,$BI22&gt;=MAX($BH22,$BG22)*(1+BB設定!$B$13),終値!E22&gt;$BG22),IF(OR(終値!E22&gt;=$BI22,AND($BH22&lt;$BJ22,$BG22&gt;=$BK22)),"二番底W▲","二番底W形成"),IF(AND($BL22&gt;=2,ABS($BO22-$BP22)/$BP22&lt;=BB設定!$B$12,$BQ22&lt;=MIN($BP22,$BO22)*(1-BB設定!$B$13),終値!E22&lt;$BO22),IF(OR(終値!E22&lt;=$BQ22,AND($BP22&gt;$BR22,$BO22&lt;=$BS22)),"二番天井M▼","二番天井M形成"),"－")),"－")</f>
      </c>
    </row>
    <row r="23">
      <c r="B23" s="684">
        <f>IF(終値!A23="","",IF(AND(安値!G23&lt;安値!F23,安値!G23&lt;安値!E23,安値!G23&lt;安値!H23,安値!G23&lt;安値!I23),2,""))</f>
      </c>
      <c r="C23" s="684">
        <f>IF(終値!A23="","",IF(AND(安値!H23&lt;安値!G23,安値!H23&lt;安値!F23,安値!H23&lt;安値!I23,安値!H23&lt;安値!J23),3,""))</f>
      </c>
      <c r="D23" s="684">
        <f>IF(終値!A23="","",IF(AND(安値!I23&lt;安値!H23,安値!I23&lt;安値!G23,安値!I23&lt;安値!J23,安値!I23&lt;安値!K23),4,""))</f>
      </c>
      <c r="E23" s="684">
        <f>IF(終値!A23="","",IF(AND(安値!J23&lt;安値!I23,安値!J23&lt;安値!H23,安値!J23&lt;安値!K23,安値!J23&lt;安値!L23),5,""))</f>
      </c>
      <c r="F23" s="684">
        <f>IF(終値!A23="","",IF(AND(安値!K23&lt;安値!J23,安値!K23&lt;安値!I23,安値!K23&lt;安値!L23,安値!K23&lt;安値!M23),6,""))</f>
      </c>
      <c r="G23" s="684">
        <f>IF(終値!A23="","",IF(AND(安値!L23&lt;安値!K23,安値!L23&lt;安値!J23,安値!L23&lt;安値!M23,安値!L23&lt;安値!N23),7,""))</f>
      </c>
      <c r="H23" s="684">
        <f>IF(終値!A23="","",IF(AND(安値!M23&lt;安値!L23,安値!M23&lt;安値!K23,安値!M23&lt;安値!N23,安値!M23&lt;安値!O23),8,""))</f>
      </c>
      <c r="I23" s="684">
        <f>IF(終値!A23="","",IF(AND(安値!N23&lt;安値!M23,安値!N23&lt;安値!L23,安値!N23&lt;安値!O23,安値!N23&lt;安値!P23),9,""))</f>
      </c>
      <c r="J23" s="684">
        <f>IF(終値!A23="","",IF(AND(安値!O23&lt;安値!N23,安値!O23&lt;安値!M23,安値!O23&lt;安値!P23,安値!O23&lt;安値!Q23),10,""))</f>
      </c>
      <c r="K23" s="684">
        <f>IF(終値!A23="","",IF(AND(安値!P23&lt;安値!O23,安値!P23&lt;安値!N23,安値!P23&lt;安値!Q23,安値!P23&lt;安値!R23),11,""))</f>
      </c>
      <c r="L23" s="684">
        <f>IF(終値!A23="","",IF(AND(安値!Q23&lt;安値!P23,安値!Q23&lt;安値!O23,安値!Q23&lt;安値!R23,安値!Q23&lt;安値!S23),12,""))</f>
      </c>
      <c r="M23" s="684">
        <f>IF(終値!A23="","",IF(AND(安値!R23&lt;安値!Q23,安値!R23&lt;安値!P23,安値!R23&lt;安値!S23,安値!R23&lt;安値!T23),13,""))</f>
      </c>
      <c r="N23" s="684">
        <f>IF(終値!A23="","",IF(AND(安値!S23&lt;安値!R23,安値!S23&lt;安値!Q23,安値!S23&lt;安値!T23,安値!S23&lt;安値!U23),14,""))</f>
      </c>
      <c r="O23" s="684">
        <f>IF(終値!A23="","",IF(AND(安値!T23&lt;安値!S23,安値!T23&lt;安値!R23,安値!T23&lt;安値!U23,安値!T23&lt;安値!V23),15,""))</f>
      </c>
      <c r="P23" s="684">
        <f>IF(終値!A23="","",IF(AND(安値!U23&lt;安値!T23,安値!U23&lt;安値!S23,安値!U23&lt;安値!V23,安値!U23&lt;安値!W23),16,""))</f>
      </c>
      <c r="Q23" s="684">
        <f>IF(終値!A23="","",IF(AND(安値!V23&lt;安値!U23,安値!V23&lt;安値!T23,安値!V23&lt;安値!W23,安値!V23&lt;安値!X23),17,""))</f>
      </c>
      <c r="R23" s="684">
        <f>IF(終値!A23="","",IF(AND(安値!W23&lt;安値!V23,安値!W23&lt;安値!U23,安値!W23&lt;安値!X23,安値!W23&lt;安値!Y23),18,""))</f>
      </c>
      <c r="S23" s="684">
        <f>IF(終値!A23="","",IF(AND(安値!X23&lt;安値!W23,安値!X23&lt;安値!V23,安値!X23&lt;安値!Y23,安値!X23&lt;安値!Z23),19,""))</f>
      </c>
      <c r="T23" s="684">
        <f>IF(終値!A23="","",IF(AND(安値!Y23&lt;安値!X23,安値!Y23&lt;安値!W23,安値!Y23&lt;安値!Z23,安値!Y23&lt;安値!AA23),20,""))</f>
      </c>
      <c r="U23" s="684">
        <f>IF(終値!A23="","",IF(AND(安値!Z23&lt;安値!Y23,安値!Z23&lt;安値!X23,安値!Z23&lt;安値!AA23,安値!Z23&lt;安値!AB23),21,""))</f>
      </c>
      <c r="V23" s="684">
        <f>IF(終値!A23="","",IF(AND(安値!AA23&lt;安値!Z23,安値!AA23&lt;安値!Y23,安値!AA23&lt;安値!AB23,安値!AA23&lt;安値!AC23),22,""))</f>
      </c>
      <c r="W23" s="684">
        <f>IF(終値!A23="","",IF(AND(安値!AB23&lt;安値!AA23,安値!AB23&lt;安値!Z23,安値!AB23&lt;安値!AC23,安値!AB23&lt;安値!AD23),23,""))</f>
      </c>
      <c r="X23" s="684">
        <f>IF(終値!A23="","",IF(AND(安値!AC23&lt;安値!AB23,安値!AC23&lt;安値!AA23,安値!AC23&lt;安値!AD23,安値!AC23&lt;安値!AE23),24,""))</f>
      </c>
      <c r="Y23" s="684">
        <f>IF(終値!A23="","",IF(AND(安値!AD23&lt;安値!AC23,安値!AD23&lt;安値!AB23,安値!AD23&lt;安値!AE23,安値!AD23&lt;安値!AF23),25,""))</f>
      </c>
      <c r="Z23" s="684">
        <f>IF(終値!A23="","",IF(AND(安値!AE23&lt;安値!AD23,安値!AE23&lt;安値!AC23,安値!AE23&lt;安値!AF23,安値!AE23&lt;安値!AG23),26,""))</f>
      </c>
      <c r="AA23" s="684">
        <f>IF(終値!A23="","",IF(AND(安値!AF23&lt;安値!AE23,安値!AF23&lt;安値!AD23,安値!AF23&lt;安値!AG23,安値!AF23&lt;安値!AH23),27,""))</f>
      </c>
      <c r="AB23" s="684">
        <f>IF(終値!A23="","",IF(AND(安値!AG23&lt;安値!AF23,安値!AG23&lt;安値!AE23,安値!AG23&lt;安値!AH23,安値!AG23&lt;安値!AI23),28,""))</f>
      </c>
      <c r="AC23" s="684">
        <f>IF(終値!A23="","",IF(AND(高値!G23&gt;高値!F23,高値!G23&gt;高値!E23,高値!G23&gt;高値!H23,高値!G23&gt;高値!I23),2,""))</f>
      </c>
      <c r="AD23" s="684">
        <f>IF(終値!A23="","",IF(AND(高値!H23&gt;高値!G23,高値!H23&gt;高値!F23,高値!H23&gt;高値!I23,高値!H23&gt;高値!J23),3,""))</f>
      </c>
      <c r="AE23" s="684">
        <f>IF(終値!A23="","",IF(AND(高値!I23&gt;高値!H23,高値!I23&gt;高値!G23,高値!I23&gt;高値!J23,高値!I23&gt;高値!K23),4,""))</f>
      </c>
      <c r="AF23" s="684">
        <f>IF(終値!A23="","",IF(AND(高値!J23&gt;高値!I23,高値!J23&gt;高値!H23,高値!J23&gt;高値!K23,高値!J23&gt;高値!L23),5,""))</f>
      </c>
      <c r="AG23" s="684">
        <f>IF(終値!A23="","",IF(AND(高値!K23&gt;高値!J23,高値!K23&gt;高値!I23,高値!K23&gt;高値!L23,高値!K23&gt;高値!M23),6,""))</f>
      </c>
      <c r="AH23" s="684">
        <f>IF(終値!A23="","",IF(AND(高値!L23&gt;高値!K23,高値!L23&gt;高値!J23,高値!L23&gt;高値!M23,高値!L23&gt;高値!N23),7,""))</f>
      </c>
      <c r="AI23" s="684">
        <f>IF(終値!A23="","",IF(AND(高値!M23&gt;高値!L23,高値!M23&gt;高値!K23,高値!M23&gt;高値!N23,高値!M23&gt;高値!O23),8,""))</f>
      </c>
      <c r="AJ23" s="684">
        <f>IF(終値!A23="","",IF(AND(高値!N23&gt;高値!M23,高値!N23&gt;高値!L23,高値!N23&gt;高値!O23,高値!N23&gt;高値!P23),9,""))</f>
      </c>
      <c r="AK23" s="684">
        <f>IF(終値!A23="","",IF(AND(高値!O23&gt;高値!N23,高値!O23&gt;高値!M23,高値!O23&gt;高値!P23,高値!O23&gt;高値!Q23),10,""))</f>
      </c>
      <c r="AL23" s="684">
        <f>IF(終値!A23="","",IF(AND(高値!P23&gt;高値!O23,高値!P23&gt;高値!N23,高値!P23&gt;高値!Q23,高値!P23&gt;高値!R23),11,""))</f>
      </c>
      <c r="AM23" s="684">
        <f>IF(終値!A23="","",IF(AND(高値!Q23&gt;高値!P23,高値!Q23&gt;高値!O23,高値!Q23&gt;高値!R23,高値!Q23&gt;高値!S23),12,""))</f>
      </c>
      <c r="AN23" s="684">
        <f>IF(終値!A23="","",IF(AND(高値!R23&gt;高値!Q23,高値!R23&gt;高値!P23,高値!R23&gt;高値!S23,高値!R23&gt;高値!T23),13,""))</f>
      </c>
      <c r="AO23" s="684">
        <f>IF(終値!A23="","",IF(AND(高値!S23&gt;高値!R23,高値!S23&gt;高値!Q23,高値!S23&gt;高値!T23,高値!S23&gt;高値!U23),14,""))</f>
      </c>
      <c r="AP23" s="684">
        <f>IF(終値!A23="","",IF(AND(高値!T23&gt;高値!S23,高値!T23&gt;高値!R23,高値!T23&gt;高値!U23,高値!T23&gt;高値!V23),15,""))</f>
      </c>
      <c r="AQ23" s="684">
        <f>IF(終値!A23="","",IF(AND(高値!U23&gt;高値!T23,高値!U23&gt;高値!S23,高値!U23&gt;高値!V23,高値!U23&gt;高値!W23),16,""))</f>
      </c>
      <c r="AR23" s="684">
        <f>IF(終値!A23="","",IF(AND(高値!V23&gt;高値!U23,高値!V23&gt;高値!T23,高値!V23&gt;高値!W23,高値!V23&gt;高値!X23),17,""))</f>
      </c>
      <c r="AS23" s="684">
        <f>IF(終値!A23="","",IF(AND(高値!W23&gt;高値!V23,高値!W23&gt;高値!U23,高値!W23&gt;高値!X23,高値!W23&gt;高値!Y23),18,""))</f>
      </c>
      <c r="AT23" s="684">
        <f>IF(終値!A23="","",IF(AND(高値!X23&gt;高値!W23,高値!X23&gt;高値!V23,高値!X23&gt;高値!Y23,高値!X23&gt;高値!Z23),19,""))</f>
      </c>
      <c r="AU23" s="684">
        <f>IF(終値!A23="","",IF(AND(高値!Y23&gt;高値!X23,高値!Y23&gt;高値!W23,高値!Y23&gt;高値!Z23,高値!Y23&gt;高値!AA23),20,""))</f>
      </c>
      <c r="AV23" s="684">
        <f>IF(終値!A23="","",IF(AND(高値!Z23&gt;高値!Y23,高値!Z23&gt;高値!X23,高値!Z23&gt;高値!AA23,高値!Z23&gt;高値!AB23),21,""))</f>
      </c>
      <c r="AW23" s="684">
        <f>IF(終値!A23="","",IF(AND(高値!AA23&gt;高値!Z23,高値!AA23&gt;高値!Y23,高値!AA23&gt;高値!AB23,高値!AA23&gt;高値!AC23),22,""))</f>
      </c>
      <c r="AX23" s="684">
        <f>IF(終値!A23="","",IF(AND(高値!AB23&gt;高値!AA23,高値!AB23&gt;高値!Z23,高値!AB23&gt;高値!AC23,高値!AB23&gt;高値!AD23),23,""))</f>
      </c>
      <c r="AY23" s="684">
        <f>IF(終値!A23="","",IF(AND(高値!AC23&gt;高値!AB23,高値!AC23&gt;高値!AA23,高値!AC23&gt;高値!AD23,高値!AC23&gt;高値!AE23),24,""))</f>
      </c>
      <c r="AZ23" s="684">
        <f>IF(終値!A23="","",IF(AND(高値!AD23&gt;高値!AC23,高値!AD23&gt;高値!AB23,高値!AD23&gt;高値!AE23,高値!AD23&gt;高値!AF23),25,""))</f>
      </c>
      <c r="BA23" s="684">
        <f>IF(終値!A23="","",IF(AND(高値!AE23&gt;高値!AD23,高値!AE23&gt;高値!AC23,高値!AE23&gt;高値!AF23,高値!AE23&gt;高値!AG23),26,""))</f>
      </c>
      <c r="BB23" s="684">
        <f>IF(終値!A23="","",IF(AND(高値!AF23&gt;高値!AE23,高値!AF23&gt;高値!AD23,高値!AF23&gt;高値!AG23,高値!AF23&gt;高値!AH23),27,""))</f>
      </c>
      <c r="BC23" s="684">
        <f>IF(終値!A23="","",IF(AND(高値!AG23&gt;高値!AF23,高値!AG23&gt;高値!AE23,高値!AG23&gt;高値!AH23,高値!AG23&gt;高値!AI23),28,""))</f>
      </c>
      <c r="BD23" s="684">
        <f>COUNT($B23:$AB23)</f>
      </c>
      <c r="BE23" s="684">
        <f>IF($BD23&gt;=2,MIN($B23:$AB23),"")</f>
      </c>
      <c r="BF23" s="684">
        <f>IF($BD23&gt;=2,SMALL($B23:$AB23,2),"")</f>
      </c>
      <c r="BG23" s="684">
        <f>IF($BE23="","",INDEX(安値!$E23:$CZ23,1,$BE23+1))</f>
      </c>
      <c r="BH23" s="684">
        <f>IF($BF23="","",INDEX(安値!$E23:$CZ23,1,$BF23+1))</f>
      </c>
      <c r="BI23" s="684">
        <f>IF($BF23="","",MAX(INDEX(高値!$E23:$CZ23,1,$BE23+1):INDEX(高値!$E23:$CZ23,1,$BF23+1)))</f>
      </c>
      <c r="BJ23" s="684">
        <f>IF($BF23="","",AVERAGE(INDEX(終値!$E23:$CZ23,1,$BF23+1):INDEX(終値!$E23:$CZ23,1,$BF23+20))-2*STDEVP(INDEX(終値!$E23:$CZ23,1,$BF23+1):INDEX(終値!$E23:$CZ23,1,$BF23+20)))</f>
      </c>
      <c r="BK23" s="684">
        <f>IF($BE23="","",AVERAGE(INDEX(終値!$E23:$CZ23,1,$BE23+1):INDEX(終値!$E23:$CZ23,1,$BE23+20))-2*STDEVP(INDEX(終値!$E23:$CZ23,1,$BE23+1):INDEX(終値!$E23:$CZ23,1,$BE23+20)))</f>
      </c>
      <c r="BL23" s="684">
        <f>COUNT($AC23:$BC23)</f>
      </c>
      <c r="BM23" s="684">
        <f>IF($BL23&gt;=2,MIN($AC23:$BC23),"")</f>
      </c>
      <c r="BN23" s="684">
        <f>IF($BL23&gt;=2,SMALL($AC23:$BC23,2),"")</f>
      </c>
      <c r="BO23" s="684">
        <f>IF($BM23="","",INDEX(高値!$E23:$CZ23,1,$BM23+1))</f>
      </c>
      <c r="BP23" s="684">
        <f>IF($BN23="","",INDEX(高値!$E23:$CZ23,1,$BN23+1))</f>
      </c>
      <c r="BQ23" s="684">
        <f>IF($BN23="","",MIN(INDEX(安値!$E23:$CZ23,1,$BM23+1):INDEX(安値!$E23:$CZ23,1,$BN23+1)))</f>
      </c>
      <c r="BR23" s="684">
        <f>IF($BN23="","",AVERAGE(INDEX(終値!$E23:$CZ23,1,$BN23+1):INDEX(終値!$E23:$CZ23,1,$BN23+20))+2*STDEVP(INDEX(終値!$E23:$CZ23,1,$BN23+1):INDEX(終値!$E23:$CZ23,1,$BN23+20)))</f>
      </c>
      <c r="BS23" s="684">
        <f>IF($BM23="","",AVERAGE(INDEX(終値!$E23:$CZ23,1,$BM23+1):INDEX(終値!$E23:$CZ23,1,$BM23+20))+2*STDEVP(INDEX(終値!$E23:$CZ23,1,$BM23+1):INDEX(終値!$E23:$CZ23,1,$BM23+20)))</f>
      </c>
      <c r="BT23" s="681">
        <f>IFERROR(IF(AND($BD23&gt;=2,ABS($BG23-$BH23)/$BH23&lt;=BB設定!$B$12,$BI23&gt;=MAX($BH23,$BG23)*(1+BB設定!$B$13),終値!E23&gt;$BG23),IF(OR(終値!E23&gt;=$BI23,AND($BH23&lt;$BJ23,$BG23&gt;=$BK23)),"二番底W▲","二番底W形成"),IF(AND($BL23&gt;=2,ABS($BO23-$BP23)/$BP23&lt;=BB設定!$B$12,$BQ23&lt;=MIN($BP23,$BO23)*(1-BB設定!$B$13),終値!E23&lt;$BO23),IF(OR(終値!E23&lt;=$BQ23,AND($BP23&gt;$BR23,$BO23&lt;=$BS23)),"二番天井M▼","二番天井M形成"),"－")),"－")</f>
      </c>
    </row>
    <row r="24">
      <c r="B24" s="684">
        <f>IF(終値!A24="","",IF(AND(安値!G24&lt;安値!F24,安値!G24&lt;安値!E24,安値!G24&lt;安値!H24,安値!G24&lt;安値!I24),2,""))</f>
      </c>
      <c r="C24" s="684">
        <f>IF(終値!A24="","",IF(AND(安値!H24&lt;安値!G24,安値!H24&lt;安値!F24,安値!H24&lt;安値!I24,安値!H24&lt;安値!J24),3,""))</f>
      </c>
      <c r="D24" s="684">
        <f>IF(終値!A24="","",IF(AND(安値!I24&lt;安値!H24,安値!I24&lt;安値!G24,安値!I24&lt;安値!J24,安値!I24&lt;安値!K24),4,""))</f>
      </c>
      <c r="E24" s="684">
        <f>IF(終値!A24="","",IF(AND(安値!J24&lt;安値!I24,安値!J24&lt;安値!H24,安値!J24&lt;安値!K24,安値!J24&lt;安値!L24),5,""))</f>
      </c>
      <c r="F24" s="684">
        <f>IF(終値!A24="","",IF(AND(安値!K24&lt;安値!J24,安値!K24&lt;安値!I24,安値!K24&lt;安値!L24,安値!K24&lt;安値!M24),6,""))</f>
      </c>
      <c r="G24" s="684">
        <f>IF(終値!A24="","",IF(AND(安値!L24&lt;安値!K24,安値!L24&lt;安値!J24,安値!L24&lt;安値!M24,安値!L24&lt;安値!N24),7,""))</f>
      </c>
      <c r="H24" s="684">
        <f>IF(終値!A24="","",IF(AND(安値!M24&lt;安値!L24,安値!M24&lt;安値!K24,安値!M24&lt;安値!N24,安値!M24&lt;安値!O24),8,""))</f>
      </c>
      <c r="I24" s="684">
        <f>IF(終値!A24="","",IF(AND(安値!N24&lt;安値!M24,安値!N24&lt;安値!L24,安値!N24&lt;安値!O24,安値!N24&lt;安値!P24),9,""))</f>
      </c>
      <c r="J24" s="684">
        <f>IF(終値!A24="","",IF(AND(安値!O24&lt;安値!N24,安値!O24&lt;安値!M24,安値!O24&lt;安値!P24,安値!O24&lt;安値!Q24),10,""))</f>
      </c>
      <c r="K24" s="684">
        <f>IF(終値!A24="","",IF(AND(安値!P24&lt;安値!O24,安値!P24&lt;安値!N24,安値!P24&lt;安値!Q24,安値!P24&lt;安値!R24),11,""))</f>
      </c>
      <c r="L24" s="684">
        <f>IF(終値!A24="","",IF(AND(安値!Q24&lt;安値!P24,安値!Q24&lt;安値!O24,安値!Q24&lt;安値!R24,安値!Q24&lt;安値!S24),12,""))</f>
      </c>
      <c r="M24" s="684">
        <f>IF(終値!A24="","",IF(AND(安値!R24&lt;安値!Q24,安値!R24&lt;安値!P24,安値!R24&lt;安値!S24,安値!R24&lt;安値!T24),13,""))</f>
      </c>
      <c r="N24" s="684">
        <f>IF(終値!A24="","",IF(AND(安値!S24&lt;安値!R24,安値!S24&lt;安値!Q24,安値!S24&lt;安値!T24,安値!S24&lt;安値!U24),14,""))</f>
      </c>
      <c r="O24" s="684">
        <f>IF(終値!A24="","",IF(AND(安値!T24&lt;安値!S24,安値!T24&lt;安値!R24,安値!T24&lt;安値!U24,安値!T24&lt;安値!V24),15,""))</f>
      </c>
      <c r="P24" s="684">
        <f>IF(終値!A24="","",IF(AND(安値!U24&lt;安値!T24,安値!U24&lt;安値!S24,安値!U24&lt;安値!V24,安値!U24&lt;安値!W24),16,""))</f>
      </c>
      <c r="Q24" s="684">
        <f>IF(終値!A24="","",IF(AND(安値!V24&lt;安値!U24,安値!V24&lt;安値!T24,安値!V24&lt;安値!W24,安値!V24&lt;安値!X24),17,""))</f>
      </c>
      <c r="R24" s="684">
        <f>IF(終値!A24="","",IF(AND(安値!W24&lt;安値!V24,安値!W24&lt;安値!U24,安値!W24&lt;安値!X24,安値!W24&lt;安値!Y24),18,""))</f>
      </c>
      <c r="S24" s="684">
        <f>IF(終値!A24="","",IF(AND(安値!X24&lt;安値!W24,安値!X24&lt;安値!V24,安値!X24&lt;安値!Y24,安値!X24&lt;安値!Z24),19,""))</f>
      </c>
      <c r="T24" s="684">
        <f>IF(終値!A24="","",IF(AND(安値!Y24&lt;安値!X24,安値!Y24&lt;安値!W24,安値!Y24&lt;安値!Z24,安値!Y24&lt;安値!AA24),20,""))</f>
      </c>
      <c r="U24" s="684">
        <f>IF(終値!A24="","",IF(AND(安値!Z24&lt;安値!Y24,安値!Z24&lt;安値!X24,安値!Z24&lt;安値!AA24,安値!Z24&lt;安値!AB24),21,""))</f>
      </c>
      <c r="V24" s="684">
        <f>IF(終値!A24="","",IF(AND(安値!AA24&lt;安値!Z24,安値!AA24&lt;安値!Y24,安値!AA24&lt;安値!AB24,安値!AA24&lt;安値!AC24),22,""))</f>
      </c>
      <c r="W24" s="684">
        <f>IF(終値!A24="","",IF(AND(安値!AB24&lt;安値!AA24,安値!AB24&lt;安値!Z24,安値!AB24&lt;安値!AC24,安値!AB24&lt;安値!AD24),23,""))</f>
      </c>
      <c r="X24" s="684">
        <f>IF(終値!A24="","",IF(AND(安値!AC24&lt;安値!AB24,安値!AC24&lt;安値!AA24,安値!AC24&lt;安値!AD24,安値!AC24&lt;安値!AE24),24,""))</f>
      </c>
      <c r="Y24" s="684">
        <f>IF(終値!A24="","",IF(AND(安値!AD24&lt;安値!AC24,安値!AD24&lt;安値!AB24,安値!AD24&lt;安値!AE24,安値!AD24&lt;安値!AF24),25,""))</f>
      </c>
      <c r="Z24" s="684">
        <f>IF(終値!A24="","",IF(AND(安値!AE24&lt;安値!AD24,安値!AE24&lt;安値!AC24,安値!AE24&lt;安値!AF24,安値!AE24&lt;安値!AG24),26,""))</f>
      </c>
      <c r="AA24" s="684">
        <f>IF(終値!A24="","",IF(AND(安値!AF24&lt;安値!AE24,安値!AF24&lt;安値!AD24,安値!AF24&lt;安値!AG24,安値!AF24&lt;安値!AH24),27,""))</f>
      </c>
      <c r="AB24" s="684">
        <f>IF(終値!A24="","",IF(AND(安値!AG24&lt;安値!AF24,安値!AG24&lt;安値!AE24,安値!AG24&lt;安値!AH24,安値!AG24&lt;安値!AI24),28,""))</f>
      </c>
      <c r="AC24" s="684">
        <f>IF(終値!A24="","",IF(AND(高値!G24&gt;高値!F24,高値!G24&gt;高値!E24,高値!G24&gt;高値!H24,高値!G24&gt;高値!I24),2,""))</f>
      </c>
      <c r="AD24" s="684">
        <f>IF(終値!A24="","",IF(AND(高値!H24&gt;高値!G24,高値!H24&gt;高値!F24,高値!H24&gt;高値!I24,高値!H24&gt;高値!J24),3,""))</f>
      </c>
      <c r="AE24" s="684">
        <f>IF(終値!A24="","",IF(AND(高値!I24&gt;高値!H24,高値!I24&gt;高値!G24,高値!I24&gt;高値!J24,高値!I24&gt;高値!K24),4,""))</f>
      </c>
      <c r="AF24" s="684">
        <f>IF(終値!A24="","",IF(AND(高値!J24&gt;高値!I24,高値!J24&gt;高値!H24,高値!J24&gt;高値!K24,高値!J24&gt;高値!L24),5,""))</f>
      </c>
      <c r="AG24" s="684">
        <f>IF(終値!A24="","",IF(AND(高値!K24&gt;高値!J24,高値!K24&gt;高値!I24,高値!K24&gt;高値!L24,高値!K24&gt;高値!M24),6,""))</f>
      </c>
      <c r="AH24" s="684">
        <f>IF(終値!A24="","",IF(AND(高値!L24&gt;高値!K24,高値!L24&gt;高値!J24,高値!L24&gt;高値!M24,高値!L24&gt;高値!N24),7,""))</f>
      </c>
      <c r="AI24" s="684">
        <f>IF(終値!A24="","",IF(AND(高値!M24&gt;高値!L24,高値!M24&gt;高値!K24,高値!M24&gt;高値!N24,高値!M24&gt;高値!O24),8,""))</f>
      </c>
      <c r="AJ24" s="684">
        <f>IF(終値!A24="","",IF(AND(高値!N24&gt;高値!M24,高値!N24&gt;高値!L24,高値!N24&gt;高値!O24,高値!N24&gt;高値!P24),9,""))</f>
      </c>
      <c r="AK24" s="684">
        <f>IF(終値!A24="","",IF(AND(高値!O24&gt;高値!N24,高値!O24&gt;高値!M24,高値!O24&gt;高値!P24,高値!O24&gt;高値!Q24),10,""))</f>
      </c>
      <c r="AL24" s="684">
        <f>IF(終値!A24="","",IF(AND(高値!P24&gt;高値!O24,高値!P24&gt;高値!N24,高値!P24&gt;高値!Q24,高値!P24&gt;高値!R24),11,""))</f>
      </c>
      <c r="AM24" s="684">
        <f>IF(終値!A24="","",IF(AND(高値!Q24&gt;高値!P24,高値!Q24&gt;高値!O24,高値!Q24&gt;高値!R24,高値!Q24&gt;高値!S24),12,""))</f>
      </c>
      <c r="AN24" s="684">
        <f>IF(終値!A24="","",IF(AND(高値!R24&gt;高値!Q24,高値!R24&gt;高値!P24,高値!R24&gt;高値!S24,高値!R24&gt;高値!T24),13,""))</f>
      </c>
      <c r="AO24" s="684">
        <f>IF(終値!A24="","",IF(AND(高値!S24&gt;高値!R24,高値!S24&gt;高値!Q24,高値!S24&gt;高値!T24,高値!S24&gt;高値!U24),14,""))</f>
      </c>
      <c r="AP24" s="684">
        <f>IF(終値!A24="","",IF(AND(高値!T24&gt;高値!S24,高値!T24&gt;高値!R24,高値!T24&gt;高値!U24,高値!T24&gt;高値!V24),15,""))</f>
      </c>
      <c r="AQ24" s="684">
        <f>IF(終値!A24="","",IF(AND(高値!U24&gt;高値!T24,高値!U24&gt;高値!S24,高値!U24&gt;高値!V24,高値!U24&gt;高値!W24),16,""))</f>
      </c>
      <c r="AR24" s="684">
        <f>IF(終値!A24="","",IF(AND(高値!V24&gt;高値!U24,高値!V24&gt;高値!T24,高値!V24&gt;高値!W24,高値!V24&gt;高値!X24),17,""))</f>
      </c>
      <c r="AS24" s="684">
        <f>IF(終値!A24="","",IF(AND(高値!W24&gt;高値!V24,高値!W24&gt;高値!U24,高値!W24&gt;高値!X24,高値!W24&gt;高値!Y24),18,""))</f>
      </c>
      <c r="AT24" s="684">
        <f>IF(終値!A24="","",IF(AND(高値!X24&gt;高値!W24,高値!X24&gt;高値!V24,高値!X24&gt;高値!Y24,高値!X24&gt;高値!Z24),19,""))</f>
      </c>
      <c r="AU24" s="684">
        <f>IF(終値!A24="","",IF(AND(高値!Y24&gt;高値!X24,高値!Y24&gt;高値!W24,高値!Y24&gt;高値!Z24,高値!Y24&gt;高値!AA24),20,""))</f>
      </c>
      <c r="AV24" s="684">
        <f>IF(終値!A24="","",IF(AND(高値!Z24&gt;高値!Y24,高値!Z24&gt;高値!X24,高値!Z24&gt;高値!AA24,高値!Z24&gt;高値!AB24),21,""))</f>
      </c>
      <c r="AW24" s="684">
        <f>IF(終値!A24="","",IF(AND(高値!AA24&gt;高値!Z24,高値!AA24&gt;高値!Y24,高値!AA24&gt;高値!AB24,高値!AA24&gt;高値!AC24),22,""))</f>
      </c>
      <c r="AX24" s="684">
        <f>IF(終値!A24="","",IF(AND(高値!AB24&gt;高値!AA24,高値!AB24&gt;高値!Z24,高値!AB24&gt;高値!AC24,高値!AB24&gt;高値!AD24),23,""))</f>
      </c>
      <c r="AY24" s="684">
        <f>IF(終値!A24="","",IF(AND(高値!AC24&gt;高値!AB24,高値!AC24&gt;高値!AA24,高値!AC24&gt;高値!AD24,高値!AC24&gt;高値!AE24),24,""))</f>
      </c>
      <c r="AZ24" s="684">
        <f>IF(終値!A24="","",IF(AND(高値!AD24&gt;高値!AC24,高値!AD24&gt;高値!AB24,高値!AD24&gt;高値!AE24,高値!AD24&gt;高値!AF24),25,""))</f>
      </c>
      <c r="BA24" s="684">
        <f>IF(終値!A24="","",IF(AND(高値!AE24&gt;高値!AD24,高値!AE24&gt;高値!AC24,高値!AE24&gt;高値!AF24,高値!AE24&gt;高値!AG24),26,""))</f>
      </c>
      <c r="BB24" s="684">
        <f>IF(終値!A24="","",IF(AND(高値!AF24&gt;高値!AE24,高値!AF24&gt;高値!AD24,高値!AF24&gt;高値!AG24,高値!AF24&gt;高値!AH24),27,""))</f>
      </c>
      <c r="BC24" s="684">
        <f>IF(終値!A24="","",IF(AND(高値!AG24&gt;高値!AF24,高値!AG24&gt;高値!AE24,高値!AG24&gt;高値!AH24,高値!AG24&gt;高値!AI24),28,""))</f>
      </c>
      <c r="BD24" s="684">
        <f>COUNT($B24:$AB24)</f>
      </c>
      <c r="BE24" s="684">
        <f>IF($BD24&gt;=2,MIN($B24:$AB24),"")</f>
      </c>
      <c r="BF24" s="684">
        <f>IF($BD24&gt;=2,SMALL($B24:$AB24,2),"")</f>
      </c>
      <c r="BG24" s="684">
        <f>IF($BE24="","",INDEX(安値!$E24:$CZ24,1,$BE24+1))</f>
      </c>
      <c r="BH24" s="684">
        <f>IF($BF24="","",INDEX(安値!$E24:$CZ24,1,$BF24+1))</f>
      </c>
      <c r="BI24" s="684">
        <f>IF($BF24="","",MAX(INDEX(高値!$E24:$CZ24,1,$BE24+1):INDEX(高値!$E24:$CZ24,1,$BF24+1)))</f>
      </c>
      <c r="BJ24" s="684">
        <f>IF($BF24="","",AVERAGE(INDEX(終値!$E24:$CZ24,1,$BF24+1):INDEX(終値!$E24:$CZ24,1,$BF24+20))-2*STDEVP(INDEX(終値!$E24:$CZ24,1,$BF24+1):INDEX(終値!$E24:$CZ24,1,$BF24+20)))</f>
      </c>
      <c r="BK24" s="684">
        <f>IF($BE24="","",AVERAGE(INDEX(終値!$E24:$CZ24,1,$BE24+1):INDEX(終値!$E24:$CZ24,1,$BE24+20))-2*STDEVP(INDEX(終値!$E24:$CZ24,1,$BE24+1):INDEX(終値!$E24:$CZ24,1,$BE24+20)))</f>
      </c>
      <c r="BL24" s="684">
        <f>COUNT($AC24:$BC24)</f>
      </c>
      <c r="BM24" s="684">
        <f>IF($BL24&gt;=2,MIN($AC24:$BC24),"")</f>
      </c>
      <c r="BN24" s="684">
        <f>IF($BL24&gt;=2,SMALL($AC24:$BC24,2),"")</f>
      </c>
      <c r="BO24" s="684">
        <f>IF($BM24="","",INDEX(高値!$E24:$CZ24,1,$BM24+1))</f>
      </c>
      <c r="BP24" s="684">
        <f>IF($BN24="","",INDEX(高値!$E24:$CZ24,1,$BN24+1))</f>
      </c>
      <c r="BQ24" s="684">
        <f>IF($BN24="","",MIN(INDEX(安値!$E24:$CZ24,1,$BM24+1):INDEX(安値!$E24:$CZ24,1,$BN24+1)))</f>
      </c>
      <c r="BR24" s="684">
        <f>IF($BN24="","",AVERAGE(INDEX(終値!$E24:$CZ24,1,$BN24+1):INDEX(終値!$E24:$CZ24,1,$BN24+20))+2*STDEVP(INDEX(終値!$E24:$CZ24,1,$BN24+1):INDEX(終値!$E24:$CZ24,1,$BN24+20)))</f>
      </c>
      <c r="BS24" s="684">
        <f>IF($BM24="","",AVERAGE(INDEX(終値!$E24:$CZ24,1,$BM24+1):INDEX(終値!$E24:$CZ24,1,$BM24+20))+2*STDEVP(INDEX(終値!$E24:$CZ24,1,$BM24+1):INDEX(終値!$E24:$CZ24,1,$BM24+20)))</f>
      </c>
      <c r="BT24" s="681">
        <f>IFERROR(IF(AND($BD24&gt;=2,ABS($BG24-$BH24)/$BH24&lt;=BB設定!$B$12,$BI24&gt;=MAX($BH24,$BG24)*(1+BB設定!$B$13),終値!E24&gt;$BG24),IF(OR(終値!E24&gt;=$BI24,AND($BH24&lt;$BJ24,$BG24&gt;=$BK24)),"二番底W▲","二番底W形成"),IF(AND($BL24&gt;=2,ABS($BO24-$BP24)/$BP24&lt;=BB設定!$B$12,$BQ24&lt;=MIN($BP24,$BO24)*(1-BB設定!$B$13),終値!E24&lt;$BO24),IF(OR(終値!E24&lt;=$BQ24,AND($BP24&gt;$BR24,$BO24&lt;=$BS24)),"二番天井M▼","二番天井M形成"),"－")),"－")</f>
      </c>
    </row>
    <row r="25">
      <c r="B25" s="684">
        <f>IF(終値!A25="","",IF(AND(安値!G25&lt;安値!F25,安値!G25&lt;安値!E25,安値!G25&lt;安値!H25,安値!G25&lt;安値!I25),2,""))</f>
      </c>
      <c r="C25" s="684">
        <f>IF(終値!A25="","",IF(AND(安値!H25&lt;安値!G25,安値!H25&lt;安値!F25,安値!H25&lt;安値!I25,安値!H25&lt;安値!J25),3,""))</f>
      </c>
      <c r="D25" s="684">
        <f>IF(終値!A25="","",IF(AND(安値!I25&lt;安値!H25,安値!I25&lt;安値!G25,安値!I25&lt;安値!J25,安値!I25&lt;安値!K25),4,""))</f>
      </c>
      <c r="E25" s="684">
        <f>IF(終値!A25="","",IF(AND(安値!J25&lt;安値!I25,安値!J25&lt;安値!H25,安値!J25&lt;安値!K25,安値!J25&lt;安値!L25),5,""))</f>
      </c>
      <c r="F25" s="684">
        <f>IF(終値!A25="","",IF(AND(安値!K25&lt;安値!J25,安値!K25&lt;安値!I25,安値!K25&lt;安値!L25,安値!K25&lt;安値!M25),6,""))</f>
      </c>
      <c r="G25" s="684">
        <f>IF(終値!A25="","",IF(AND(安値!L25&lt;安値!K25,安値!L25&lt;安値!J25,安値!L25&lt;安値!M25,安値!L25&lt;安値!N25),7,""))</f>
      </c>
      <c r="H25" s="684">
        <f>IF(終値!A25="","",IF(AND(安値!M25&lt;安値!L25,安値!M25&lt;安値!K25,安値!M25&lt;安値!N25,安値!M25&lt;安値!O25),8,""))</f>
      </c>
      <c r="I25" s="684">
        <f>IF(終値!A25="","",IF(AND(安値!N25&lt;安値!M25,安値!N25&lt;安値!L25,安値!N25&lt;安値!O25,安値!N25&lt;安値!P25),9,""))</f>
      </c>
      <c r="J25" s="684">
        <f>IF(終値!A25="","",IF(AND(安値!O25&lt;安値!N25,安値!O25&lt;安値!M25,安値!O25&lt;安値!P25,安値!O25&lt;安値!Q25),10,""))</f>
      </c>
      <c r="K25" s="684">
        <f>IF(終値!A25="","",IF(AND(安値!P25&lt;安値!O25,安値!P25&lt;安値!N25,安値!P25&lt;安値!Q25,安値!P25&lt;安値!R25),11,""))</f>
      </c>
      <c r="L25" s="684">
        <f>IF(終値!A25="","",IF(AND(安値!Q25&lt;安値!P25,安値!Q25&lt;安値!O25,安値!Q25&lt;安値!R25,安値!Q25&lt;安値!S25),12,""))</f>
      </c>
      <c r="M25" s="684">
        <f>IF(終値!A25="","",IF(AND(安値!R25&lt;安値!Q25,安値!R25&lt;安値!P25,安値!R25&lt;安値!S25,安値!R25&lt;安値!T25),13,""))</f>
      </c>
      <c r="N25" s="684">
        <f>IF(終値!A25="","",IF(AND(安値!S25&lt;安値!R25,安値!S25&lt;安値!Q25,安値!S25&lt;安値!T25,安値!S25&lt;安値!U25),14,""))</f>
      </c>
      <c r="O25" s="684">
        <f>IF(終値!A25="","",IF(AND(安値!T25&lt;安値!S25,安値!T25&lt;安値!R25,安値!T25&lt;安値!U25,安値!T25&lt;安値!V25),15,""))</f>
      </c>
      <c r="P25" s="684">
        <f>IF(終値!A25="","",IF(AND(安値!U25&lt;安値!T25,安値!U25&lt;安値!S25,安値!U25&lt;安値!V25,安値!U25&lt;安値!W25),16,""))</f>
      </c>
      <c r="Q25" s="684">
        <f>IF(終値!A25="","",IF(AND(安値!V25&lt;安値!U25,安値!V25&lt;安値!T25,安値!V25&lt;安値!W25,安値!V25&lt;安値!X25),17,""))</f>
      </c>
      <c r="R25" s="684">
        <f>IF(終値!A25="","",IF(AND(安値!W25&lt;安値!V25,安値!W25&lt;安値!U25,安値!W25&lt;安値!X25,安値!W25&lt;安値!Y25),18,""))</f>
      </c>
      <c r="S25" s="684">
        <f>IF(終値!A25="","",IF(AND(安値!X25&lt;安値!W25,安値!X25&lt;安値!V25,安値!X25&lt;安値!Y25,安値!X25&lt;安値!Z25),19,""))</f>
      </c>
      <c r="T25" s="684">
        <f>IF(終値!A25="","",IF(AND(安値!Y25&lt;安値!X25,安値!Y25&lt;安値!W25,安値!Y25&lt;安値!Z25,安値!Y25&lt;安値!AA25),20,""))</f>
      </c>
      <c r="U25" s="684">
        <f>IF(終値!A25="","",IF(AND(安値!Z25&lt;安値!Y25,安値!Z25&lt;安値!X25,安値!Z25&lt;安値!AA25,安値!Z25&lt;安値!AB25),21,""))</f>
      </c>
      <c r="V25" s="684">
        <f>IF(終値!A25="","",IF(AND(安値!AA25&lt;安値!Z25,安値!AA25&lt;安値!Y25,安値!AA25&lt;安値!AB25,安値!AA25&lt;安値!AC25),22,""))</f>
      </c>
      <c r="W25" s="684">
        <f>IF(終値!A25="","",IF(AND(安値!AB25&lt;安値!AA25,安値!AB25&lt;安値!Z25,安値!AB25&lt;安値!AC25,安値!AB25&lt;安値!AD25),23,""))</f>
      </c>
      <c r="X25" s="684">
        <f>IF(終値!A25="","",IF(AND(安値!AC25&lt;安値!AB25,安値!AC25&lt;安値!AA25,安値!AC25&lt;安値!AD25,安値!AC25&lt;安値!AE25),24,""))</f>
      </c>
      <c r="Y25" s="684">
        <f>IF(終値!A25="","",IF(AND(安値!AD25&lt;安値!AC25,安値!AD25&lt;安値!AB25,安値!AD25&lt;安値!AE25,安値!AD25&lt;安値!AF25),25,""))</f>
      </c>
      <c r="Z25" s="684">
        <f>IF(終値!A25="","",IF(AND(安値!AE25&lt;安値!AD25,安値!AE25&lt;安値!AC25,安値!AE25&lt;安値!AF25,安値!AE25&lt;安値!AG25),26,""))</f>
      </c>
      <c r="AA25" s="684">
        <f>IF(終値!A25="","",IF(AND(安値!AF25&lt;安値!AE25,安値!AF25&lt;安値!AD25,安値!AF25&lt;安値!AG25,安値!AF25&lt;安値!AH25),27,""))</f>
      </c>
      <c r="AB25" s="684">
        <f>IF(終値!A25="","",IF(AND(安値!AG25&lt;安値!AF25,安値!AG25&lt;安値!AE25,安値!AG25&lt;安値!AH25,安値!AG25&lt;安値!AI25),28,""))</f>
      </c>
      <c r="AC25" s="684">
        <f>IF(終値!A25="","",IF(AND(高値!G25&gt;高値!F25,高値!G25&gt;高値!E25,高値!G25&gt;高値!H25,高値!G25&gt;高値!I25),2,""))</f>
      </c>
      <c r="AD25" s="684">
        <f>IF(終値!A25="","",IF(AND(高値!H25&gt;高値!G25,高値!H25&gt;高値!F25,高値!H25&gt;高値!I25,高値!H25&gt;高値!J25),3,""))</f>
      </c>
      <c r="AE25" s="684">
        <f>IF(終値!A25="","",IF(AND(高値!I25&gt;高値!H25,高値!I25&gt;高値!G25,高値!I25&gt;高値!J25,高値!I25&gt;高値!K25),4,""))</f>
      </c>
      <c r="AF25" s="684">
        <f>IF(終値!A25="","",IF(AND(高値!J25&gt;高値!I25,高値!J25&gt;高値!H25,高値!J25&gt;高値!K25,高値!J25&gt;高値!L25),5,""))</f>
      </c>
      <c r="AG25" s="684">
        <f>IF(終値!A25="","",IF(AND(高値!K25&gt;高値!J25,高値!K25&gt;高値!I25,高値!K25&gt;高値!L25,高値!K25&gt;高値!M25),6,""))</f>
      </c>
      <c r="AH25" s="684">
        <f>IF(終値!A25="","",IF(AND(高値!L25&gt;高値!K25,高値!L25&gt;高値!J25,高値!L25&gt;高値!M25,高値!L25&gt;高値!N25),7,""))</f>
      </c>
      <c r="AI25" s="684">
        <f>IF(終値!A25="","",IF(AND(高値!M25&gt;高値!L25,高値!M25&gt;高値!K25,高値!M25&gt;高値!N25,高値!M25&gt;高値!O25),8,""))</f>
      </c>
      <c r="AJ25" s="684">
        <f>IF(終値!A25="","",IF(AND(高値!N25&gt;高値!M25,高値!N25&gt;高値!L25,高値!N25&gt;高値!O25,高値!N25&gt;高値!P25),9,""))</f>
      </c>
      <c r="AK25" s="684">
        <f>IF(終値!A25="","",IF(AND(高値!O25&gt;高値!N25,高値!O25&gt;高値!M25,高値!O25&gt;高値!P25,高値!O25&gt;高値!Q25),10,""))</f>
      </c>
      <c r="AL25" s="684">
        <f>IF(終値!A25="","",IF(AND(高値!P25&gt;高値!O25,高値!P25&gt;高値!N25,高値!P25&gt;高値!Q25,高値!P25&gt;高値!R25),11,""))</f>
      </c>
      <c r="AM25" s="684">
        <f>IF(終値!A25="","",IF(AND(高値!Q25&gt;高値!P25,高値!Q25&gt;高値!O25,高値!Q25&gt;高値!R25,高値!Q25&gt;高値!S25),12,""))</f>
      </c>
      <c r="AN25" s="684">
        <f>IF(終値!A25="","",IF(AND(高値!R25&gt;高値!Q25,高値!R25&gt;高値!P25,高値!R25&gt;高値!S25,高値!R25&gt;高値!T25),13,""))</f>
      </c>
      <c r="AO25" s="684">
        <f>IF(終値!A25="","",IF(AND(高値!S25&gt;高値!R25,高値!S25&gt;高値!Q25,高値!S25&gt;高値!T25,高値!S25&gt;高値!U25),14,""))</f>
      </c>
      <c r="AP25" s="684">
        <f>IF(終値!A25="","",IF(AND(高値!T25&gt;高値!S25,高値!T25&gt;高値!R25,高値!T25&gt;高値!U25,高値!T25&gt;高値!V25),15,""))</f>
      </c>
      <c r="AQ25" s="684">
        <f>IF(終値!A25="","",IF(AND(高値!U25&gt;高値!T25,高値!U25&gt;高値!S25,高値!U25&gt;高値!V25,高値!U25&gt;高値!W25),16,""))</f>
      </c>
      <c r="AR25" s="684">
        <f>IF(終値!A25="","",IF(AND(高値!V25&gt;高値!U25,高値!V25&gt;高値!T25,高値!V25&gt;高値!W25,高値!V25&gt;高値!X25),17,""))</f>
      </c>
      <c r="AS25" s="684">
        <f>IF(終値!A25="","",IF(AND(高値!W25&gt;高値!V25,高値!W25&gt;高値!U25,高値!W25&gt;高値!X25,高値!W25&gt;高値!Y25),18,""))</f>
      </c>
      <c r="AT25" s="684">
        <f>IF(終値!A25="","",IF(AND(高値!X25&gt;高値!W25,高値!X25&gt;高値!V25,高値!X25&gt;高値!Y25,高値!X25&gt;高値!Z25),19,""))</f>
      </c>
      <c r="AU25" s="684">
        <f>IF(終値!A25="","",IF(AND(高値!Y25&gt;高値!X25,高値!Y25&gt;高値!W25,高値!Y25&gt;高値!Z25,高値!Y25&gt;高値!AA25),20,""))</f>
      </c>
      <c r="AV25" s="684">
        <f>IF(終値!A25="","",IF(AND(高値!Z25&gt;高値!Y25,高値!Z25&gt;高値!X25,高値!Z25&gt;高値!AA25,高値!Z25&gt;高値!AB25),21,""))</f>
      </c>
      <c r="AW25" s="684">
        <f>IF(終値!A25="","",IF(AND(高値!AA25&gt;高値!Z25,高値!AA25&gt;高値!Y25,高値!AA25&gt;高値!AB25,高値!AA25&gt;高値!AC25),22,""))</f>
      </c>
      <c r="AX25" s="684">
        <f>IF(終値!A25="","",IF(AND(高値!AB25&gt;高値!AA25,高値!AB25&gt;高値!Z25,高値!AB25&gt;高値!AC25,高値!AB25&gt;高値!AD25),23,""))</f>
      </c>
      <c r="AY25" s="684">
        <f>IF(終値!A25="","",IF(AND(高値!AC25&gt;高値!AB25,高値!AC25&gt;高値!AA25,高値!AC25&gt;高値!AD25,高値!AC25&gt;高値!AE25),24,""))</f>
      </c>
      <c r="AZ25" s="684">
        <f>IF(終値!A25="","",IF(AND(高値!AD25&gt;高値!AC25,高値!AD25&gt;高値!AB25,高値!AD25&gt;高値!AE25,高値!AD25&gt;高値!AF25),25,""))</f>
      </c>
      <c r="BA25" s="684">
        <f>IF(終値!A25="","",IF(AND(高値!AE25&gt;高値!AD25,高値!AE25&gt;高値!AC25,高値!AE25&gt;高値!AF25,高値!AE25&gt;高値!AG25),26,""))</f>
      </c>
      <c r="BB25" s="684">
        <f>IF(終値!A25="","",IF(AND(高値!AF25&gt;高値!AE25,高値!AF25&gt;高値!AD25,高値!AF25&gt;高値!AG25,高値!AF25&gt;高値!AH25),27,""))</f>
      </c>
      <c r="BC25" s="684">
        <f>IF(終値!A25="","",IF(AND(高値!AG25&gt;高値!AF25,高値!AG25&gt;高値!AE25,高値!AG25&gt;高値!AH25,高値!AG25&gt;高値!AI25),28,""))</f>
      </c>
      <c r="BD25" s="684">
        <f>COUNT($B25:$AB25)</f>
      </c>
      <c r="BE25" s="684">
        <f>IF($BD25&gt;=2,MIN($B25:$AB25),"")</f>
      </c>
      <c r="BF25" s="684">
        <f>IF($BD25&gt;=2,SMALL($B25:$AB25,2),"")</f>
      </c>
      <c r="BG25" s="684">
        <f>IF($BE25="","",INDEX(安値!$E25:$CZ25,1,$BE25+1))</f>
      </c>
      <c r="BH25" s="684">
        <f>IF($BF25="","",INDEX(安値!$E25:$CZ25,1,$BF25+1))</f>
      </c>
      <c r="BI25" s="684">
        <f>IF($BF25="","",MAX(INDEX(高値!$E25:$CZ25,1,$BE25+1):INDEX(高値!$E25:$CZ25,1,$BF25+1)))</f>
      </c>
      <c r="BJ25" s="684">
        <f>IF($BF25="","",AVERAGE(INDEX(終値!$E25:$CZ25,1,$BF25+1):INDEX(終値!$E25:$CZ25,1,$BF25+20))-2*STDEVP(INDEX(終値!$E25:$CZ25,1,$BF25+1):INDEX(終値!$E25:$CZ25,1,$BF25+20)))</f>
      </c>
      <c r="BK25" s="684">
        <f>IF($BE25="","",AVERAGE(INDEX(終値!$E25:$CZ25,1,$BE25+1):INDEX(終値!$E25:$CZ25,1,$BE25+20))-2*STDEVP(INDEX(終値!$E25:$CZ25,1,$BE25+1):INDEX(終値!$E25:$CZ25,1,$BE25+20)))</f>
      </c>
      <c r="BL25" s="684">
        <f>COUNT($AC25:$BC25)</f>
      </c>
      <c r="BM25" s="684">
        <f>IF($BL25&gt;=2,MIN($AC25:$BC25),"")</f>
      </c>
      <c r="BN25" s="684">
        <f>IF($BL25&gt;=2,SMALL($AC25:$BC25,2),"")</f>
      </c>
      <c r="BO25" s="684">
        <f>IF($BM25="","",INDEX(高値!$E25:$CZ25,1,$BM25+1))</f>
      </c>
      <c r="BP25" s="684">
        <f>IF($BN25="","",INDEX(高値!$E25:$CZ25,1,$BN25+1))</f>
      </c>
      <c r="BQ25" s="684">
        <f>IF($BN25="","",MIN(INDEX(安値!$E25:$CZ25,1,$BM25+1):INDEX(安値!$E25:$CZ25,1,$BN25+1)))</f>
      </c>
      <c r="BR25" s="684">
        <f>IF($BN25="","",AVERAGE(INDEX(終値!$E25:$CZ25,1,$BN25+1):INDEX(終値!$E25:$CZ25,1,$BN25+20))+2*STDEVP(INDEX(終値!$E25:$CZ25,1,$BN25+1):INDEX(終値!$E25:$CZ25,1,$BN25+20)))</f>
      </c>
      <c r="BS25" s="684">
        <f>IF($BM25="","",AVERAGE(INDEX(終値!$E25:$CZ25,1,$BM25+1):INDEX(終値!$E25:$CZ25,1,$BM25+20))+2*STDEVP(INDEX(終値!$E25:$CZ25,1,$BM25+1):INDEX(終値!$E25:$CZ25,1,$BM25+20)))</f>
      </c>
      <c r="BT25" s="681">
        <f>IFERROR(IF(AND($BD25&gt;=2,ABS($BG25-$BH25)/$BH25&lt;=BB設定!$B$12,$BI25&gt;=MAX($BH25,$BG25)*(1+BB設定!$B$13),終値!E25&gt;$BG25),IF(OR(終値!E25&gt;=$BI25,AND($BH25&lt;$BJ25,$BG25&gt;=$BK25)),"二番底W▲","二番底W形成"),IF(AND($BL25&gt;=2,ABS($BO25-$BP25)/$BP25&lt;=BB設定!$B$12,$BQ25&lt;=MIN($BP25,$BO25)*(1-BB設定!$B$13),終値!E25&lt;$BO25),IF(OR(終値!E25&lt;=$BQ25,AND($BP25&gt;$BR25,$BO25&lt;=$BS25)),"二番天井M▼","二番天井M形成"),"－")),"－")</f>
      </c>
    </row>
    <row r="26">
      <c r="B26" s="684">
        <f>IF(終値!A26="","",IF(AND(安値!G26&lt;安値!F26,安値!G26&lt;安値!E26,安値!G26&lt;安値!H26,安値!G26&lt;安値!I26),2,""))</f>
      </c>
      <c r="C26" s="684">
        <f>IF(終値!A26="","",IF(AND(安値!H26&lt;安値!G26,安値!H26&lt;安値!F26,安値!H26&lt;安値!I26,安値!H26&lt;安値!J26),3,""))</f>
      </c>
      <c r="D26" s="684">
        <f>IF(終値!A26="","",IF(AND(安値!I26&lt;安値!H26,安値!I26&lt;安値!G26,安値!I26&lt;安値!J26,安値!I26&lt;安値!K26),4,""))</f>
      </c>
      <c r="E26" s="684">
        <f>IF(終値!A26="","",IF(AND(安値!J26&lt;安値!I26,安値!J26&lt;安値!H26,安値!J26&lt;安値!K26,安値!J26&lt;安値!L26),5,""))</f>
      </c>
      <c r="F26" s="684">
        <f>IF(終値!A26="","",IF(AND(安値!K26&lt;安値!J26,安値!K26&lt;安値!I26,安値!K26&lt;安値!L26,安値!K26&lt;安値!M26),6,""))</f>
      </c>
      <c r="G26" s="684">
        <f>IF(終値!A26="","",IF(AND(安値!L26&lt;安値!K26,安値!L26&lt;安値!J26,安値!L26&lt;安値!M26,安値!L26&lt;安値!N26),7,""))</f>
      </c>
      <c r="H26" s="684">
        <f>IF(終値!A26="","",IF(AND(安値!M26&lt;安値!L26,安値!M26&lt;安値!K26,安値!M26&lt;安値!N26,安値!M26&lt;安値!O26),8,""))</f>
      </c>
      <c r="I26" s="684">
        <f>IF(終値!A26="","",IF(AND(安値!N26&lt;安値!M26,安値!N26&lt;安値!L26,安値!N26&lt;安値!O26,安値!N26&lt;安値!P26),9,""))</f>
      </c>
      <c r="J26" s="684">
        <f>IF(終値!A26="","",IF(AND(安値!O26&lt;安値!N26,安値!O26&lt;安値!M26,安値!O26&lt;安値!P26,安値!O26&lt;安値!Q26),10,""))</f>
      </c>
      <c r="K26" s="684">
        <f>IF(終値!A26="","",IF(AND(安値!P26&lt;安値!O26,安値!P26&lt;安値!N26,安値!P26&lt;安値!Q26,安値!P26&lt;安値!R26),11,""))</f>
      </c>
      <c r="L26" s="684">
        <f>IF(終値!A26="","",IF(AND(安値!Q26&lt;安値!P26,安値!Q26&lt;安値!O26,安値!Q26&lt;安値!R26,安値!Q26&lt;安値!S26),12,""))</f>
      </c>
      <c r="M26" s="684">
        <f>IF(終値!A26="","",IF(AND(安値!R26&lt;安値!Q26,安値!R26&lt;安値!P26,安値!R26&lt;安値!S26,安値!R26&lt;安値!T26),13,""))</f>
      </c>
      <c r="N26" s="684">
        <f>IF(終値!A26="","",IF(AND(安値!S26&lt;安値!R26,安値!S26&lt;安値!Q26,安値!S26&lt;安値!T26,安値!S26&lt;安値!U26),14,""))</f>
      </c>
      <c r="O26" s="684">
        <f>IF(終値!A26="","",IF(AND(安値!T26&lt;安値!S26,安値!T26&lt;安値!R26,安値!T26&lt;安値!U26,安値!T26&lt;安値!V26),15,""))</f>
      </c>
      <c r="P26" s="684">
        <f>IF(終値!A26="","",IF(AND(安値!U26&lt;安値!T26,安値!U26&lt;安値!S26,安値!U26&lt;安値!V26,安値!U26&lt;安値!W26),16,""))</f>
      </c>
      <c r="Q26" s="684">
        <f>IF(終値!A26="","",IF(AND(安値!V26&lt;安値!U26,安値!V26&lt;安値!T26,安値!V26&lt;安値!W26,安値!V26&lt;安値!X26),17,""))</f>
      </c>
      <c r="R26" s="684">
        <f>IF(終値!A26="","",IF(AND(安値!W26&lt;安値!V26,安値!W26&lt;安値!U26,安値!W26&lt;安値!X26,安値!W26&lt;安値!Y26),18,""))</f>
      </c>
      <c r="S26" s="684">
        <f>IF(終値!A26="","",IF(AND(安値!X26&lt;安値!W26,安値!X26&lt;安値!V26,安値!X26&lt;安値!Y26,安値!X26&lt;安値!Z26),19,""))</f>
      </c>
      <c r="T26" s="684">
        <f>IF(終値!A26="","",IF(AND(安値!Y26&lt;安値!X26,安値!Y26&lt;安値!W26,安値!Y26&lt;安値!Z26,安値!Y26&lt;安値!AA26),20,""))</f>
      </c>
      <c r="U26" s="684">
        <f>IF(終値!A26="","",IF(AND(安値!Z26&lt;安値!Y26,安値!Z26&lt;安値!X26,安値!Z26&lt;安値!AA26,安値!Z26&lt;安値!AB26),21,""))</f>
      </c>
      <c r="V26" s="684">
        <f>IF(終値!A26="","",IF(AND(安値!AA26&lt;安値!Z26,安値!AA26&lt;安値!Y26,安値!AA26&lt;安値!AB26,安値!AA26&lt;安値!AC26),22,""))</f>
      </c>
      <c r="W26" s="684">
        <f>IF(終値!A26="","",IF(AND(安値!AB26&lt;安値!AA26,安値!AB26&lt;安値!Z26,安値!AB26&lt;安値!AC26,安値!AB26&lt;安値!AD26),23,""))</f>
      </c>
      <c r="X26" s="684">
        <f>IF(終値!A26="","",IF(AND(安値!AC26&lt;安値!AB26,安値!AC26&lt;安値!AA26,安値!AC26&lt;安値!AD26,安値!AC26&lt;安値!AE26),24,""))</f>
      </c>
      <c r="Y26" s="684">
        <f>IF(終値!A26="","",IF(AND(安値!AD26&lt;安値!AC26,安値!AD26&lt;安値!AB26,安値!AD26&lt;安値!AE26,安値!AD26&lt;安値!AF26),25,""))</f>
      </c>
      <c r="Z26" s="684">
        <f>IF(終値!A26="","",IF(AND(安値!AE26&lt;安値!AD26,安値!AE26&lt;安値!AC26,安値!AE26&lt;安値!AF26,安値!AE26&lt;安値!AG26),26,""))</f>
      </c>
      <c r="AA26" s="684">
        <f>IF(終値!A26="","",IF(AND(安値!AF26&lt;安値!AE26,安値!AF26&lt;安値!AD26,安値!AF26&lt;安値!AG26,安値!AF26&lt;安値!AH26),27,""))</f>
      </c>
      <c r="AB26" s="684">
        <f>IF(終値!A26="","",IF(AND(安値!AG26&lt;安値!AF26,安値!AG26&lt;安値!AE26,安値!AG26&lt;安値!AH26,安値!AG26&lt;安値!AI26),28,""))</f>
      </c>
      <c r="AC26" s="684">
        <f>IF(終値!A26="","",IF(AND(高値!G26&gt;高値!F26,高値!G26&gt;高値!E26,高値!G26&gt;高値!H26,高値!G26&gt;高値!I26),2,""))</f>
      </c>
      <c r="AD26" s="684">
        <f>IF(終値!A26="","",IF(AND(高値!H26&gt;高値!G26,高値!H26&gt;高値!F26,高値!H26&gt;高値!I26,高値!H26&gt;高値!J26),3,""))</f>
      </c>
      <c r="AE26" s="684">
        <f>IF(終値!A26="","",IF(AND(高値!I26&gt;高値!H26,高値!I26&gt;高値!G26,高値!I26&gt;高値!J26,高値!I26&gt;高値!K26),4,""))</f>
      </c>
      <c r="AF26" s="684">
        <f>IF(終値!A26="","",IF(AND(高値!J26&gt;高値!I26,高値!J26&gt;高値!H26,高値!J26&gt;高値!K26,高値!J26&gt;高値!L26),5,""))</f>
      </c>
      <c r="AG26" s="684">
        <f>IF(終値!A26="","",IF(AND(高値!K26&gt;高値!J26,高値!K26&gt;高値!I26,高値!K26&gt;高値!L26,高値!K26&gt;高値!M26),6,""))</f>
      </c>
      <c r="AH26" s="684">
        <f>IF(終値!A26="","",IF(AND(高値!L26&gt;高値!K26,高値!L26&gt;高値!J26,高値!L26&gt;高値!M26,高値!L26&gt;高値!N26),7,""))</f>
      </c>
      <c r="AI26" s="684">
        <f>IF(終値!A26="","",IF(AND(高値!M26&gt;高値!L26,高値!M26&gt;高値!K26,高値!M26&gt;高値!N26,高値!M26&gt;高値!O26),8,""))</f>
      </c>
      <c r="AJ26" s="684">
        <f>IF(終値!A26="","",IF(AND(高値!N26&gt;高値!M26,高値!N26&gt;高値!L26,高値!N26&gt;高値!O26,高値!N26&gt;高値!P26),9,""))</f>
      </c>
      <c r="AK26" s="684">
        <f>IF(終値!A26="","",IF(AND(高値!O26&gt;高値!N26,高値!O26&gt;高値!M26,高値!O26&gt;高値!P26,高値!O26&gt;高値!Q26),10,""))</f>
      </c>
      <c r="AL26" s="684">
        <f>IF(終値!A26="","",IF(AND(高値!P26&gt;高値!O26,高値!P26&gt;高値!N26,高値!P26&gt;高値!Q26,高値!P26&gt;高値!R26),11,""))</f>
      </c>
      <c r="AM26" s="684">
        <f>IF(終値!A26="","",IF(AND(高値!Q26&gt;高値!P26,高値!Q26&gt;高値!O26,高値!Q26&gt;高値!R26,高値!Q26&gt;高値!S26),12,""))</f>
      </c>
      <c r="AN26" s="684">
        <f>IF(終値!A26="","",IF(AND(高値!R26&gt;高値!Q26,高値!R26&gt;高値!P26,高値!R26&gt;高値!S26,高値!R26&gt;高値!T26),13,""))</f>
      </c>
      <c r="AO26" s="684">
        <f>IF(終値!A26="","",IF(AND(高値!S26&gt;高値!R26,高値!S26&gt;高値!Q26,高値!S26&gt;高値!T26,高値!S26&gt;高値!U26),14,""))</f>
      </c>
      <c r="AP26" s="684">
        <f>IF(終値!A26="","",IF(AND(高値!T26&gt;高値!S26,高値!T26&gt;高値!R26,高値!T26&gt;高値!U26,高値!T26&gt;高値!V26),15,""))</f>
      </c>
      <c r="AQ26" s="684">
        <f>IF(終値!A26="","",IF(AND(高値!U26&gt;高値!T26,高値!U26&gt;高値!S26,高値!U26&gt;高値!V26,高値!U26&gt;高値!W26),16,""))</f>
      </c>
      <c r="AR26" s="684">
        <f>IF(終値!A26="","",IF(AND(高値!V26&gt;高値!U26,高値!V26&gt;高値!T26,高値!V26&gt;高値!W26,高値!V26&gt;高値!X26),17,""))</f>
      </c>
      <c r="AS26" s="684">
        <f>IF(終値!A26="","",IF(AND(高値!W26&gt;高値!V26,高値!W26&gt;高値!U26,高値!W26&gt;高値!X26,高値!W26&gt;高値!Y26),18,""))</f>
      </c>
      <c r="AT26" s="684">
        <f>IF(終値!A26="","",IF(AND(高値!X26&gt;高値!W26,高値!X26&gt;高値!V26,高値!X26&gt;高値!Y26,高値!X26&gt;高値!Z26),19,""))</f>
      </c>
      <c r="AU26" s="684">
        <f>IF(終値!A26="","",IF(AND(高値!Y26&gt;高値!X26,高値!Y26&gt;高値!W26,高値!Y26&gt;高値!Z26,高値!Y26&gt;高値!AA26),20,""))</f>
      </c>
      <c r="AV26" s="684">
        <f>IF(終値!A26="","",IF(AND(高値!Z26&gt;高値!Y26,高値!Z26&gt;高値!X26,高値!Z26&gt;高値!AA26,高値!Z26&gt;高値!AB26),21,""))</f>
      </c>
      <c r="AW26" s="684">
        <f>IF(終値!A26="","",IF(AND(高値!AA26&gt;高値!Z26,高値!AA26&gt;高値!Y26,高値!AA26&gt;高値!AB26,高値!AA26&gt;高値!AC26),22,""))</f>
      </c>
      <c r="AX26" s="684">
        <f>IF(終値!A26="","",IF(AND(高値!AB26&gt;高値!AA26,高値!AB26&gt;高値!Z26,高値!AB26&gt;高値!AC26,高値!AB26&gt;高値!AD26),23,""))</f>
      </c>
      <c r="AY26" s="684">
        <f>IF(終値!A26="","",IF(AND(高値!AC26&gt;高値!AB26,高値!AC26&gt;高値!AA26,高値!AC26&gt;高値!AD26,高値!AC26&gt;高値!AE26),24,""))</f>
      </c>
      <c r="AZ26" s="684">
        <f>IF(終値!A26="","",IF(AND(高値!AD26&gt;高値!AC26,高値!AD26&gt;高値!AB26,高値!AD26&gt;高値!AE26,高値!AD26&gt;高値!AF26),25,""))</f>
      </c>
      <c r="BA26" s="684">
        <f>IF(終値!A26="","",IF(AND(高値!AE26&gt;高値!AD26,高値!AE26&gt;高値!AC26,高値!AE26&gt;高値!AF26,高値!AE26&gt;高値!AG26),26,""))</f>
      </c>
      <c r="BB26" s="684">
        <f>IF(終値!A26="","",IF(AND(高値!AF26&gt;高値!AE26,高値!AF26&gt;高値!AD26,高値!AF26&gt;高値!AG26,高値!AF26&gt;高値!AH26),27,""))</f>
      </c>
      <c r="BC26" s="684">
        <f>IF(終値!A26="","",IF(AND(高値!AG26&gt;高値!AF26,高値!AG26&gt;高値!AE26,高値!AG26&gt;高値!AH26,高値!AG26&gt;高値!AI26),28,""))</f>
      </c>
      <c r="BD26" s="684">
        <f>COUNT($B26:$AB26)</f>
      </c>
      <c r="BE26" s="684">
        <f>IF($BD26&gt;=2,MIN($B26:$AB26),"")</f>
      </c>
      <c r="BF26" s="684">
        <f>IF($BD26&gt;=2,SMALL($B26:$AB26,2),"")</f>
      </c>
      <c r="BG26" s="684">
        <f>IF($BE26="","",INDEX(安値!$E26:$CZ26,1,$BE26+1))</f>
      </c>
      <c r="BH26" s="684">
        <f>IF($BF26="","",INDEX(安値!$E26:$CZ26,1,$BF26+1))</f>
      </c>
      <c r="BI26" s="684">
        <f>IF($BF26="","",MAX(INDEX(高値!$E26:$CZ26,1,$BE26+1):INDEX(高値!$E26:$CZ26,1,$BF26+1)))</f>
      </c>
      <c r="BJ26" s="684">
        <f>IF($BF26="","",AVERAGE(INDEX(終値!$E26:$CZ26,1,$BF26+1):INDEX(終値!$E26:$CZ26,1,$BF26+20))-2*STDEVP(INDEX(終値!$E26:$CZ26,1,$BF26+1):INDEX(終値!$E26:$CZ26,1,$BF26+20)))</f>
      </c>
      <c r="BK26" s="684">
        <f>IF($BE26="","",AVERAGE(INDEX(終値!$E26:$CZ26,1,$BE26+1):INDEX(終値!$E26:$CZ26,1,$BE26+20))-2*STDEVP(INDEX(終値!$E26:$CZ26,1,$BE26+1):INDEX(終値!$E26:$CZ26,1,$BE26+20)))</f>
      </c>
      <c r="BL26" s="684">
        <f>COUNT($AC26:$BC26)</f>
      </c>
      <c r="BM26" s="684">
        <f>IF($BL26&gt;=2,MIN($AC26:$BC26),"")</f>
      </c>
      <c r="BN26" s="684">
        <f>IF($BL26&gt;=2,SMALL($AC26:$BC26,2),"")</f>
      </c>
      <c r="BO26" s="684">
        <f>IF($BM26="","",INDEX(高値!$E26:$CZ26,1,$BM26+1))</f>
      </c>
      <c r="BP26" s="684">
        <f>IF($BN26="","",INDEX(高値!$E26:$CZ26,1,$BN26+1))</f>
      </c>
      <c r="BQ26" s="684">
        <f>IF($BN26="","",MIN(INDEX(安値!$E26:$CZ26,1,$BM26+1):INDEX(安値!$E26:$CZ26,1,$BN26+1)))</f>
      </c>
      <c r="BR26" s="684">
        <f>IF($BN26="","",AVERAGE(INDEX(終値!$E26:$CZ26,1,$BN26+1):INDEX(終値!$E26:$CZ26,1,$BN26+20))+2*STDEVP(INDEX(終値!$E26:$CZ26,1,$BN26+1):INDEX(終値!$E26:$CZ26,1,$BN26+20)))</f>
      </c>
      <c r="BS26" s="684">
        <f>IF($BM26="","",AVERAGE(INDEX(終値!$E26:$CZ26,1,$BM26+1):INDEX(終値!$E26:$CZ26,1,$BM26+20))+2*STDEVP(INDEX(終値!$E26:$CZ26,1,$BM26+1):INDEX(終値!$E26:$CZ26,1,$BM26+20)))</f>
      </c>
      <c r="BT26" s="681">
        <f>IFERROR(IF(AND($BD26&gt;=2,ABS($BG26-$BH26)/$BH26&lt;=BB設定!$B$12,$BI26&gt;=MAX($BH26,$BG26)*(1+BB設定!$B$13),終値!E26&gt;$BG26),IF(OR(終値!E26&gt;=$BI26,AND($BH26&lt;$BJ26,$BG26&gt;=$BK26)),"二番底W▲","二番底W形成"),IF(AND($BL26&gt;=2,ABS($BO26-$BP26)/$BP26&lt;=BB設定!$B$12,$BQ26&lt;=MIN($BP26,$BO26)*(1-BB設定!$B$13),終値!E26&lt;$BO26),IF(OR(終値!E26&lt;=$BQ26,AND($BP26&gt;$BR26,$BO26&lt;=$BS26)),"二番天井M▼","二番天井M形成"),"－")),"－")</f>
      </c>
    </row>
    <row r="27">
      <c r="B27" s="684">
        <f>IF(終値!A27="","",IF(AND(安値!G27&lt;安値!F27,安値!G27&lt;安値!E27,安値!G27&lt;安値!H27,安値!G27&lt;安値!I27),2,""))</f>
      </c>
      <c r="C27" s="684">
        <f>IF(終値!A27="","",IF(AND(安値!H27&lt;安値!G27,安値!H27&lt;安値!F27,安値!H27&lt;安値!I27,安値!H27&lt;安値!J27),3,""))</f>
      </c>
      <c r="D27" s="684">
        <f>IF(終値!A27="","",IF(AND(安値!I27&lt;安値!H27,安値!I27&lt;安値!G27,安値!I27&lt;安値!J27,安値!I27&lt;安値!K27),4,""))</f>
      </c>
      <c r="E27" s="684">
        <f>IF(終値!A27="","",IF(AND(安値!J27&lt;安値!I27,安値!J27&lt;安値!H27,安値!J27&lt;安値!K27,安値!J27&lt;安値!L27),5,""))</f>
      </c>
      <c r="F27" s="684">
        <f>IF(終値!A27="","",IF(AND(安値!K27&lt;安値!J27,安値!K27&lt;安値!I27,安値!K27&lt;安値!L27,安値!K27&lt;安値!M27),6,""))</f>
      </c>
      <c r="G27" s="684">
        <f>IF(終値!A27="","",IF(AND(安値!L27&lt;安値!K27,安値!L27&lt;安値!J27,安値!L27&lt;安値!M27,安値!L27&lt;安値!N27),7,""))</f>
      </c>
      <c r="H27" s="684">
        <f>IF(終値!A27="","",IF(AND(安値!M27&lt;安値!L27,安値!M27&lt;安値!K27,安値!M27&lt;安値!N27,安値!M27&lt;安値!O27),8,""))</f>
      </c>
      <c r="I27" s="684">
        <f>IF(終値!A27="","",IF(AND(安値!N27&lt;安値!M27,安値!N27&lt;安値!L27,安値!N27&lt;安値!O27,安値!N27&lt;安値!P27),9,""))</f>
      </c>
      <c r="J27" s="684">
        <f>IF(終値!A27="","",IF(AND(安値!O27&lt;安値!N27,安値!O27&lt;安値!M27,安値!O27&lt;安値!P27,安値!O27&lt;安値!Q27),10,""))</f>
      </c>
      <c r="K27" s="684">
        <f>IF(終値!A27="","",IF(AND(安値!P27&lt;安値!O27,安値!P27&lt;安値!N27,安値!P27&lt;安値!Q27,安値!P27&lt;安値!R27),11,""))</f>
      </c>
      <c r="L27" s="684">
        <f>IF(終値!A27="","",IF(AND(安値!Q27&lt;安値!P27,安値!Q27&lt;安値!O27,安値!Q27&lt;安値!R27,安値!Q27&lt;安値!S27),12,""))</f>
      </c>
      <c r="M27" s="684">
        <f>IF(終値!A27="","",IF(AND(安値!R27&lt;安値!Q27,安値!R27&lt;安値!P27,安値!R27&lt;安値!S27,安値!R27&lt;安値!T27),13,""))</f>
      </c>
      <c r="N27" s="684">
        <f>IF(終値!A27="","",IF(AND(安値!S27&lt;安値!R27,安値!S27&lt;安値!Q27,安値!S27&lt;安値!T27,安値!S27&lt;安値!U27),14,""))</f>
      </c>
      <c r="O27" s="684">
        <f>IF(終値!A27="","",IF(AND(安値!T27&lt;安値!S27,安値!T27&lt;安値!R27,安値!T27&lt;安値!U27,安値!T27&lt;安値!V27),15,""))</f>
      </c>
      <c r="P27" s="684">
        <f>IF(終値!A27="","",IF(AND(安値!U27&lt;安値!T27,安値!U27&lt;安値!S27,安値!U27&lt;安値!V27,安値!U27&lt;安値!W27),16,""))</f>
      </c>
      <c r="Q27" s="684">
        <f>IF(終値!A27="","",IF(AND(安値!V27&lt;安値!U27,安値!V27&lt;安値!T27,安値!V27&lt;安値!W27,安値!V27&lt;安値!X27),17,""))</f>
      </c>
      <c r="R27" s="684">
        <f>IF(終値!A27="","",IF(AND(安値!W27&lt;安値!V27,安値!W27&lt;安値!U27,安値!W27&lt;安値!X27,安値!W27&lt;安値!Y27),18,""))</f>
      </c>
      <c r="S27" s="684">
        <f>IF(終値!A27="","",IF(AND(安値!X27&lt;安値!W27,安値!X27&lt;安値!V27,安値!X27&lt;安値!Y27,安値!X27&lt;安値!Z27),19,""))</f>
      </c>
      <c r="T27" s="684">
        <f>IF(終値!A27="","",IF(AND(安値!Y27&lt;安値!X27,安値!Y27&lt;安値!W27,安値!Y27&lt;安値!Z27,安値!Y27&lt;安値!AA27),20,""))</f>
      </c>
      <c r="U27" s="684">
        <f>IF(終値!A27="","",IF(AND(安値!Z27&lt;安値!Y27,安値!Z27&lt;安値!X27,安値!Z27&lt;安値!AA27,安値!Z27&lt;安値!AB27),21,""))</f>
      </c>
      <c r="V27" s="684">
        <f>IF(終値!A27="","",IF(AND(安値!AA27&lt;安値!Z27,安値!AA27&lt;安値!Y27,安値!AA27&lt;安値!AB27,安値!AA27&lt;安値!AC27),22,""))</f>
      </c>
      <c r="W27" s="684">
        <f>IF(終値!A27="","",IF(AND(安値!AB27&lt;安値!AA27,安値!AB27&lt;安値!Z27,安値!AB27&lt;安値!AC27,安値!AB27&lt;安値!AD27),23,""))</f>
      </c>
      <c r="X27" s="684">
        <f>IF(終値!A27="","",IF(AND(安値!AC27&lt;安値!AB27,安値!AC27&lt;安値!AA27,安値!AC27&lt;安値!AD27,安値!AC27&lt;安値!AE27),24,""))</f>
      </c>
      <c r="Y27" s="684">
        <f>IF(終値!A27="","",IF(AND(安値!AD27&lt;安値!AC27,安値!AD27&lt;安値!AB27,安値!AD27&lt;安値!AE27,安値!AD27&lt;安値!AF27),25,""))</f>
      </c>
      <c r="Z27" s="684">
        <f>IF(終値!A27="","",IF(AND(安値!AE27&lt;安値!AD27,安値!AE27&lt;安値!AC27,安値!AE27&lt;安値!AF27,安値!AE27&lt;安値!AG27),26,""))</f>
      </c>
      <c r="AA27" s="684">
        <f>IF(終値!A27="","",IF(AND(安値!AF27&lt;安値!AE27,安値!AF27&lt;安値!AD27,安値!AF27&lt;安値!AG27,安値!AF27&lt;安値!AH27),27,""))</f>
      </c>
      <c r="AB27" s="684">
        <f>IF(終値!A27="","",IF(AND(安値!AG27&lt;安値!AF27,安値!AG27&lt;安値!AE27,安値!AG27&lt;安値!AH27,安値!AG27&lt;安値!AI27),28,""))</f>
      </c>
      <c r="AC27" s="684">
        <f>IF(終値!A27="","",IF(AND(高値!G27&gt;高値!F27,高値!G27&gt;高値!E27,高値!G27&gt;高値!H27,高値!G27&gt;高値!I27),2,""))</f>
      </c>
      <c r="AD27" s="684">
        <f>IF(終値!A27="","",IF(AND(高値!H27&gt;高値!G27,高値!H27&gt;高値!F27,高値!H27&gt;高値!I27,高値!H27&gt;高値!J27),3,""))</f>
      </c>
      <c r="AE27" s="684">
        <f>IF(終値!A27="","",IF(AND(高値!I27&gt;高値!H27,高値!I27&gt;高値!G27,高値!I27&gt;高値!J27,高値!I27&gt;高値!K27),4,""))</f>
      </c>
      <c r="AF27" s="684">
        <f>IF(終値!A27="","",IF(AND(高値!J27&gt;高値!I27,高値!J27&gt;高値!H27,高値!J27&gt;高値!K27,高値!J27&gt;高値!L27),5,""))</f>
      </c>
      <c r="AG27" s="684">
        <f>IF(終値!A27="","",IF(AND(高値!K27&gt;高値!J27,高値!K27&gt;高値!I27,高値!K27&gt;高値!L27,高値!K27&gt;高値!M27),6,""))</f>
      </c>
      <c r="AH27" s="684">
        <f>IF(終値!A27="","",IF(AND(高値!L27&gt;高値!K27,高値!L27&gt;高値!J27,高値!L27&gt;高値!M27,高値!L27&gt;高値!N27),7,""))</f>
      </c>
      <c r="AI27" s="684">
        <f>IF(終値!A27="","",IF(AND(高値!M27&gt;高値!L27,高値!M27&gt;高値!K27,高値!M27&gt;高値!N27,高値!M27&gt;高値!O27),8,""))</f>
      </c>
      <c r="AJ27" s="684">
        <f>IF(終値!A27="","",IF(AND(高値!N27&gt;高値!M27,高値!N27&gt;高値!L27,高値!N27&gt;高値!O27,高値!N27&gt;高値!P27),9,""))</f>
      </c>
      <c r="AK27" s="684">
        <f>IF(終値!A27="","",IF(AND(高値!O27&gt;高値!N27,高値!O27&gt;高値!M27,高値!O27&gt;高値!P27,高値!O27&gt;高値!Q27),10,""))</f>
      </c>
      <c r="AL27" s="684">
        <f>IF(終値!A27="","",IF(AND(高値!P27&gt;高値!O27,高値!P27&gt;高値!N27,高値!P27&gt;高値!Q27,高値!P27&gt;高値!R27),11,""))</f>
      </c>
      <c r="AM27" s="684">
        <f>IF(終値!A27="","",IF(AND(高値!Q27&gt;高値!P27,高値!Q27&gt;高値!O27,高値!Q27&gt;高値!R27,高値!Q27&gt;高値!S27),12,""))</f>
      </c>
      <c r="AN27" s="684">
        <f>IF(終値!A27="","",IF(AND(高値!R27&gt;高値!Q27,高値!R27&gt;高値!P27,高値!R27&gt;高値!S27,高値!R27&gt;高値!T27),13,""))</f>
      </c>
      <c r="AO27" s="684">
        <f>IF(終値!A27="","",IF(AND(高値!S27&gt;高値!R27,高値!S27&gt;高値!Q27,高値!S27&gt;高値!T27,高値!S27&gt;高値!U27),14,""))</f>
      </c>
      <c r="AP27" s="684">
        <f>IF(終値!A27="","",IF(AND(高値!T27&gt;高値!S27,高値!T27&gt;高値!R27,高値!T27&gt;高値!U27,高値!T27&gt;高値!V27),15,""))</f>
      </c>
      <c r="AQ27" s="684">
        <f>IF(終値!A27="","",IF(AND(高値!U27&gt;高値!T27,高値!U27&gt;高値!S27,高値!U27&gt;高値!V27,高値!U27&gt;高値!W27),16,""))</f>
      </c>
      <c r="AR27" s="684">
        <f>IF(終値!A27="","",IF(AND(高値!V27&gt;高値!U27,高値!V27&gt;高値!T27,高値!V27&gt;高値!W27,高値!V27&gt;高値!X27),17,""))</f>
      </c>
      <c r="AS27" s="684">
        <f>IF(終値!A27="","",IF(AND(高値!W27&gt;高値!V27,高値!W27&gt;高値!U27,高値!W27&gt;高値!X27,高値!W27&gt;高値!Y27),18,""))</f>
      </c>
      <c r="AT27" s="684">
        <f>IF(終値!A27="","",IF(AND(高値!X27&gt;高値!W27,高値!X27&gt;高値!V27,高値!X27&gt;高値!Y27,高値!X27&gt;高値!Z27),19,""))</f>
      </c>
      <c r="AU27" s="684">
        <f>IF(終値!A27="","",IF(AND(高値!Y27&gt;高値!X27,高値!Y27&gt;高値!W27,高値!Y27&gt;高値!Z27,高値!Y27&gt;高値!AA27),20,""))</f>
      </c>
      <c r="AV27" s="684">
        <f>IF(終値!A27="","",IF(AND(高値!Z27&gt;高値!Y27,高値!Z27&gt;高値!X27,高値!Z27&gt;高値!AA27,高値!Z27&gt;高値!AB27),21,""))</f>
      </c>
      <c r="AW27" s="684">
        <f>IF(終値!A27="","",IF(AND(高値!AA27&gt;高値!Z27,高値!AA27&gt;高値!Y27,高値!AA27&gt;高値!AB27,高値!AA27&gt;高値!AC27),22,""))</f>
      </c>
      <c r="AX27" s="684">
        <f>IF(終値!A27="","",IF(AND(高値!AB27&gt;高値!AA27,高値!AB27&gt;高値!Z27,高値!AB27&gt;高値!AC27,高値!AB27&gt;高値!AD27),23,""))</f>
      </c>
      <c r="AY27" s="684">
        <f>IF(終値!A27="","",IF(AND(高値!AC27&gt;高値!AB27,高値!AC27&gt;高値!AA27,高値!AC27&gt;高値!AD27,高値!AC27&gt;高値!AE27),24,""))</f>
      </c>
      <c r="AZ27" s="684">
        <f>IF(終値!A27="","",IF(AND(高値!AD27&gt;高値!AC27,高値!AD27&gt;高値!AB27,高値!AD27&gt;高値!AE27,高値!AD27&gt;高値!AF27),25,""))</f>
      </c>
      <c r="BA27" s="684">
        <f>IF(終値!A27="","",IF(AND(高値!AE27&gt;高値!AD27,高値!AE27&gt;高値!AC27,高値!AE27&gt;高値!AF27,高値!AE27&gt;高値!AG27),26,""))</f>
      </c>
      <c r="BB27" s="684">
        <f>IF(終値!A27="","",IF(AND(高値!AF27&gt;高値!AE27,高値!AF27&gt;高値!AD27,高値!AF27&gt;高値!AG27,高値!AF27&gt;高値!AH27),27,""))</f>
      </c>
      <c r="BC27" s="684">
        <f>IF(終値!A27="","",IF(AND(高値!AG27&gt;高値!AF27,高値!AG27&gt;高値!AE27,高値!AG27&gt;高値!AH27,高値!AG27&gt;高値!AI27),28,""))</f>
      </c>
      <c r="BD27" s="684">
        <f>COUNT($B27:$AB27)</f>
      </c>
      <c r="BE27" s="684">
        <f>IF($BD27&gt;=2,MIN($B27:$AB27),"")</f>
      </c>
      <c r="BF27" s="684">
        <f>IF($BD27&gt;=2,SMALL($B27:$AB27,2),"")</f>
      </c>
      <c r="BG27" s="684">
        <f>IF($BE27="","",INDEX(安値!$E27:$CZ27,1,$BE27+1))</f>
      </c>
      <c r="BH27" s="684">
        <f>IF($BF27="","",INDEX(安値!$E27:$CZ27,1,$BF27+1))</f>
      </c>
      <c r="BI27" s="684">
        <f>IF($BF27="","",MAX(INDEX(高値!$E27:$CZ27,1,$BE27+1):INDEX(高値!$E27:$CZ27,1,$BF27+1)))</f>
      </c>
      <c r="BJ27" s="684">
        <f>IF($BF27="","",AVERAGE(INDEX(終値!$E27:$CZ27,1,$BF27+1):INDEX(終値!$E27:$CZ27,1,$BF27+20))-2*STDEVP(INDEX(終値!$E27:$CZ27,1,$BF27+1):INDEX(終値!$E27:$CZ27,1,$BF27+20)))</f>
      </c>
      <c r="BK27" s="684">
        <f>IF($BE27="","",AVERAGE(INDEX(終値!$E27:$CZ27,1,$BE27+1):INDEX(終値!$E27:$CZ27,1,$BE27+20))-2*STDEVP(INDEX(終値!$E27:$CZ27,1,$BE27+1):INDEX(終値!$E27:$CZ27,1,$BE27+20)))</f>
      </c>
      <c r="BL27" s="684">
        <f>COUNT($AC27:$BC27)</f>
      </c>
      <c r="BM27" s="684">
        <f>IF($BL27&gt;=2,MIN($AC27:$BC27),"")</f>
      </c>
      <c r="BN27" s="684">
        <f>IF($BL27&gt;=2,SMALL($AC27:$BC27,2),"")</f>
      </c>
      <c r="BO27" s="684">
        <f>IF($BM27="","",INDEX(高値!$E27:$CZ27,1,$BM27+1))</f>
      </c>
      <c r="BP27" s="684">
        <f>IF($BN27="","",INDEX(高値!$E27:$CZ27,1,$BN27+1))</f>
      </c>
      <c r="BQ27" s="684">
        <f>IF($BN27="","",MIN(INDEX(安値!$E27:$CZ27,1,$BM27+1):INDEX(安値!$E27:$CZ27,1,$BN27+1)))</f>
      </c>
      <c r="BR27" s="684">
        <f>IF($BN27="","",AVERAGE(INDEX(終値!$E27:$CZ27,1,$BN27+1):INDEX(終値!$E27:$CZ27,1,$BN27+20))+2*STDEVP(INDEX(終値!$E27:$CZ27,1,$BN27+1):INDEX(終値!$E27:$CZ27,1,$BN27+20)))</f>
      </c>
      <c r="BS27" s="684">
        <f>IF($BM27="","",AVERAGE(INDEX(終値!$E27:$CZ27,1,$BM27+1):INDEX(終値!$E27:$CZ27,1,$BM27+20))+2*STDEVP(INDEX(終値!$E27:$CZ27,1,$BM27+1):INDEX(終値!$E27:$CZ27,1,$BM27+20)))</f>
      </c>
      <c r="BT27" s="681">
        <f>IFERROR(IF(AND($BD27&gt;=2,ABS($BG27-$BH27)/$BH27&lt;=BB設定!$B$12,$BI27&gt;=MAX($BH27,$BG27)*(1+BB設定!$B$13),終値!E27&gt;$BG27),IF(OR(終値!E27&gt;=$BI27,AND($BH27&lt;$BJ27,$BG27&gt;=$BK27)),"二番底W▲","二番底W形成"),IF(AND($BL27&gt;=2,ABS($BO27-$BP27)/$BP27&lt;=BB設定!$B$12,$BQ27&lt;=MIN($BP27,$BO27)*(1-BB設定!$B$13),終値!E27&lt;$BO27),IF(OR(終値!E27&lt;=$BQ27,AND($BP27&gt;$BR27,$BO27&lt;=$BS27)),"二番天井M▼","二番天井M形成"),"－")),"－")</f>
      </c>
    </row>
    <row r="28">
      <c r="B28" s="684">
        <f>IF(終値!A28="","",IF(AND(安値!G28&lt;安値!F28,安値!G28&lt;安値!E28,安値!G28&lt;安値!H28,安値!G28&lt;安値!I28),2,""))</f>
      </c>
      <c r="C28" s="684">
        <f>IF(終値!A28="","",IF(AND(安値!H28&lt;安値!G28,安値!H28&lt;安値!F28,安値!H28&lt;安値!I28,安値!H28&lt;安値!J28),3,""))</f>
      </c>
      <c r="D28" s="684">
        <f>IF(終値!A28="","",IF(AND(安値!I28&lt;安値!H28,安値!I28&lt;安値!G28,安値!I28&lt;安値!J28,安値!I28&lt;安値!K28),4,""))</f>
      </c>
      <c r="E28" s="684">
        <f>IF(終値!A28="","",IF(AND(安値!J28&lt;安値!I28,安値!J28&lt;安値!H28,安値!J28&lt;安値!K28,安値!J28&lt;安値!L28),5,""))</f>
      </c>
      <c r="F28" s="684">
        <f>IF(終値!A28="","",IF(AND(安値!K28&lt;安値!J28,安値!K28&lt;安値!I28,安値!K28&lt;安値!L28,安値!K28&lt;安値!M28),6,""))</f>
      </c>
      <c r="G28" s="684">
        <f>IF(終値!A28="","",IF(AND(安値!L28&lt;安値!K28,安値!L28&lt;安値!J28,安値!L28&lt;安値!M28,安値!L28&lt;安値!N28),7,""))</f>
      </c>
      <c r="H28" s="684">
        <f>IF(終値!A28="","",IF(AND(安値!M28&lt;安値!L28,安値!M28&lt;安値!K28,安値!M28&lt;安値!N28,安値!M28&lt;安値!O28),8,""))</f>
      </c>
      <c r="I28" s="684">
        <f>IF(終値!A28="","",IF(AND(安値!N28&lt;安値!M28,安値!N28&lt;安値!L28,安値!N28&lt;安値!O28,安値!N28&lt;安値!P28),9,""))</f>
      </c>
      <c r="J28" s="684">
        <f>IF(終値!A28="","",IF(AND(安値!O28&lt;安値!N28,安値!O28&lt;安値!M28,安値!O28&lt;安値!P28,安値!O28&lt;安値!Q28),10,""))</f>
      </c>
      <c r="K28" s="684">
        <f>IF(終値!A28="","",IF(AND(安値!P28&lt;安値!O28,安値!P28&lt;安値!N28,安値!P28&lt;安値!Q28,安値!P28&lt;安値!R28),11,""))</f>
      </c>
      <c r="L28" s="684">
        <f>IF(終値!A28="","",IF(AND(安値!Q28&lt;安値!P28,安値!Q28&lt;安値!O28,安値!Q28&lt;安値!R28,安値!Q28&lt;安値!S28),12,""))</f>
      </c>
      <c r="M28" s="684">
        <f>IF(終値!A28="","",IF(AND(安値!R28&lt;安値!Q28,安値!R28&lt;安値!P28,安値!R28&lt;安値!S28,安値!R28&lt;安値!T28),13,""))</f>
      </c>
      <c r="N28" s="684">
        <f>IF(終値!A28="","",IF(AND(安値!S28&lt;安値!R28,安値!S28&lt;安値!Q28,安値!S28&lt;安値!T28,安値!S28&lt;安値!U28),14,""))</f>
      </c>
      <c r="O28" s="684">
        <f>IF(終値!A28="","",IF(AND(安値!T28&lt;安値!S28,安値!T28&lt;安値!R28,安値!T28&lt;安値!U28,安値!T28&lt;安値!V28),15,""))</f>
      </c>
      <c r="P28" s="684">
        <f>IF(終値!A28="","",IF(AND(安値!U28&lt;安値!T28,安値!U28&lt;安値!S28,安値!U28&lt;安値!V28,安値!U28&lt;安値!W28),16,""))</f>
      </c>
      <c r="Q28" s="684">
        <f>IF(終値!A28="","",IF(AND(安値!V28&lt;安値!U28,安値!V28&lt;安値!T28,安値!V28&lt;安値!W28,安値!V28&lt;安値!X28),17,""))</f>
      </c>
      <c r="R28" s="684">
        <f>IF(終値!A28="","",IF(AND(安値!W28&lt;安値!V28,安値!W28&lt;安値!U28,安値!W28&lt;安値!X28,安値!W28&lt;安値!Y28),18,""))</f>
      </c>
      <c r="S28" s="684">
        <f>IF(終値!A28="","",IF(AND(安値!X28&lt;安値!W28,安値!X28&lt;安値!V28,安値!X28&lt;安値!Y28,安値!X28&lt;安値!Z28),19,""))</f>
      </c>
      <c r="T28" s="684">
        <f>IF(終値!A28="","",IF(AND(安値!Y28&lt;安値!X28,安値!Y28&lt;安値!W28,安値!Y28&lt;安値!Z28,安値!Y28&lt;安値!AA28),20,""))</f>
      </c>
      <c r="U28" s="684">
        <f>IF(終値!A28="","",IF(AND(安値!Z28&lt;安値!Y28,安値!Z28&lt;安値!X28,安値!Z28&lt;安値!AA28,安値!Z28&lt;安値!AB28),21,""))</f>
      </c>
      <c r="V28" s="684">
        <f>IF(終値!A28="","",IF(AND(安値!AA28&lt;安値!Z28,安値!AA28&lt;安値!Y28,安値!AA28&lt;安値!AB28,安値!AA28&lt;安値!AC28),22,""))</f>
      </c>
      <c r="W28" s="684">
        <f>IF(終値!A28="","",IF(AND(安値!AB28&lt;安値!AA28,安値!AB28&lt;安値!Z28,安値!AB28&lt;安値!AC28,安値!AB28&lt;安値!AD28),23,""))</f>
      </c>
      <c r="X28" s="684">
        <f>IF(終値!A28="","",IF(AND(安値!AC28&lt;安値!AB28,安値!AC28&lt;安値!AA28,安値!AC28&lt;安値!AD28,安値!AC28&lt;安値!AE28),24,""))</f>
      </c>
      <c r="Y28" s="684">
        <f>IF(終値!A28="","",IF(AND(安値!AD28&lt;安値!AC28,安値!AD28&lt;安値!AB28,安値!AD28&lt;安値!AE28,安値!AD28&lt;安値!AF28),25,""))</f>
      </c>
      <c r="Z28" s="684">
        <f>IF(終値!A28="","",IF(AND(安値!AE28&lt;安値!AD28,安値!AE28&lt;安値!AC28,安値!AE28&lt;安値!AF28,安値!AE28&lt;安値!AG28),26,""))</f>
      </c>
      <c r="AA28" s="684">
        <f>IF(終値!A28="","",IF(AND(安値!AF28&lt;安値!AE28,安値!AF28&lt;安値!AD28,安値!AF28&lt;安値!AG28,安値!AF28&lt;安値!AH28),27,""))</f>
      </c>
      <c r="AB28" s="684">
        <f>IF(終値!A28="","",IF(AND(安値!AG28&lt;安値!AF28,安値!AG28&lt;安値!AE28,安値!AG28&lt;安値!AH28,安値!AG28&lt;安値!AI28),28,""))</f>
      </c>
      <c r="AC28" s="684">
        <f>IF(終値!A28="","",IF(AND(高値!G28&gt;高値!F28,高値!G28&gt;高値!E28,高値!G28&gt;高値!H28,高値!G28&gt;高値!I28),2,""))</f>
      </c>
      <c r="AD28" s="684">
        <f>IF(終値!A28="","",IF(AND(高値!H28&gt;高値!G28,高値!H28&gt;高値!F28,高値!H28&gt;高値!I28,高値!H28&gt;高値!J28),3,""))</f>
      </c>
      <c r="AE28" s="684">
        <f>IF(終値!A28="","",IF(AND(高値!I28&gt;高値!H28,高値!I28&gt;高値!G28,高値!I28&gt;高値!J28,高値!I28&gt;高値!K28),4,""))</f>
      </c>
      <c r="AF28" s="684">
        <f>IF(終値!A28="","",IF(AND(高値!J28&gt;高値!I28,高値!J28&gt;高値!H28,高値!J28&gt;高値!K28,高値!J28&gt;高値!L28),5,""))</f>
      </c>
      <c r="AG28" s="684">
        <f>IF(終値!A28="","",IF(AND(高値!K28&gt;高値!J28,高値!K28&gt;高値!I28,高値!K28&gt;高値!L28,高値!K28&gt;高値!M28),6,""))</f>
      </c>
      <c r="AH28" s="684">
        <f>IF(終値!A28="","",IF(AND(高値!L28&gt;高値!K28,高値!L28&gt;高値!J28,高値!L28&gt;高値!M28,高値!L28&gt;高値!N28),7,""))</f>
      </c>
      <c r="AI28" s="684">
        <f>IF(終値!A28="","",IF(AND(高値!M28&gt;高値!L28,高値!M28&gt;高値!K28,高値!M28&gt;高値!N28,高値!M28&gt;高値!O28),8,""))</f>
      </c>
      <c r="AJ28" s="684">
        <f>IF(終値!A28="","",IF(AND(高値!N28&gt;高値!M28,高値!N28&gt;高値!L28,高値!N28&gt;高値!O28,高値!N28&gt;高値!P28),9,""))</f>
      </c>
      <c r="AK28" s="684">
        <f>IF(終値!A28="","",IF(AND(高値!O28&gt;高値!N28,高値!O28&gt;高値!M28,高値!O28&gt;高値!P28,高値!O28&gt;高値!Q28),10,""))</f>
      </c>
      <c r="AL28" s="684">
        <f>IF(終値!A28="","",IF(AND(高値!P28&gt;高値!O28,高値!P28&gt;高値!N28,高値!P28&gt;高値!Q28,高値!P28&gt;高値!R28),11,""))</f>
      </c>
      <c r="AM28" s="684">
        <f>IF(終値!A28="","",IF(AND(高値!Q28&gt;高値!P28,高値!Q28&gt;高値!O28,高値!Q28&gt;高値!R28,高値!Q28&gt;高値!S28),12,""))</f>
      </c>
      <c r="AN28" s="684">
        <f>IF(終値!A28="","",IF(AND(高値!R28&gt;高値!Q28,高値!R28&gt;高値!P28,高値!R28&gt;高値!S28,高値!R28&gt;高値!T28),13,""))</f>
      </c>
      <c r="AO28" s="684">
        <f>IF(終値!A28="","",IF(AND(高値!S28&gt;高値!R28,高値!S28&gt;高値!Q28,高値!S28&gt;高値!T28,高値!S28&gt;高値!U28),14,""))</f>
      </c>
      <c r="AP28" s="684">
        <f>IF(終値!A28="","",IF(AND(高値!T28&gt;高値!S28,高値!T28&gt;高値!R28,高値!T28&gt;高値!U28,高値!T28&gt;高値!V28),15,""))</f>
      </c>
      <c r="AQ28" s="684">
        <f>IF(終値!A28="","",IF(AND(高値!U28&gt;高値!T28,高値!U28&gt;高値!S28,高値!U28&gt;高値!V28,高値!U28&gt;高値!W28),16,""))</f>
      </c>
      <c r="AR28" s="684">
        <f>IF(終値!A28="","",IF(AND(高値!V28&gt;高値!U28,高値!V28&gt;高値!T28,高値!V28&gt;高値!W28,高値!V28&gt;高値!X28),17,""))</f>
      </c>
      <c r="AS28" s="684">
        <f>IF(終値!A28="","",IF(AND(高値!W28&gt;高値!V28,高値!W28&gt;高値!U28,高値!W28&gt;高値!X28,高値!W28&gt;高値!Y28),18,""))</f>
      </c>
      <c r="AT28" s="684">
        <f>IF(終値!A28="","",IF(AND(高値!X28&gt;高値!W28,高値!X28&gt;高値!V28,高値!X28&gt;高値!Y28,高値!X28&gt;高値!Z28),19,""))</f>
      </c>
      <c r="AU28" s="684">
        <f>IF(終値!A28="","",IF(AND(高値!Y28&gt;高値!X28,高値!Y28&gt;高値!W28,高値!Y28&gt;高値!Z28,高値!Y28&gt;高値!AA28),20,""))</f>
      </c>
      <c r="AV28" s="684">
        <f>IF(終値!A28="","",IF(AND(高値!Z28&gt;高値!Y28,高値!Z28&gt;高値!X28,高値!Z28&gt;高値!AA28,高値!Z28&gt;高値!AB28),21,""))</f>
      </c>
      <c r="AW28" s="684">
        <f>IF(終値!A28="","",IF(AND(高値!AA28&gt;高値!Z28,高値!AA28&gt;高値!Y28,高値!AA28&gt;高値!AB28,高値!AA28&gt;高値!AC28),22,""))</f>
      </c>
      <c r="AX28" s="684">
        <f>IF(終値!A28="","",IF(AND(高値!AB28&gt;高値!AA28,高値!AB28&gt;高値!Z28,高値!AB28&gt;高値!AC28,高値!AB28&gt;高値!AD28),23,""))</f>
      </c>
      <c r="AY28" s="684">
        <f>IF(終値!A28="","",IF(AND(高値!AC28&gt;高値!AB28,高値!AC28&gt;高値!AA28,高値!AC28&gt;高値!AD28,高値!AC28&gt;高値!AE28),24,""))</f>
      </c>
      <c r="AZ28" s="684">
        <f>IF(終値!A28="","",IF(AND(高値!AD28&gt;高値!AC28,高値!AD28&gt;高値!AB28,高値!AD28&gt;高値!AE28,高値!AD28&gt;高値!AF28),25,""))</f>
      </c>
      <c r="BA28" s="684">
        <f>IF(終値!A28="","",IF(AND(高値!AE28&gt;高値!AD28,高値!AE28&gt;高値!AC28,高値!AE28&gt;高値!AF28,高値!AE28&gt;高値!AG28),26,""))</f>
      </c>
      <c r="BB28" s="684">
        <f>IF(終値!A28="","",IF(AND(高値!AF28&gt;高値!AE28,高値!AF28&gt;高値!AD28,高値!AF28&gt;高値!AG28,高値!AF28&gt;高値!AH28),27,""))</f>
      </c>
      <c r="BC28" s="684">
        <f>IF(終値!A28="","",IF(AND(高値!AG28&gt;高値!AF28,高値!AG28&gt;高値!AE28,高値!AG28&gt;高値!AH28,高値!AG28&gt;高値!AI28),28,""))</f>
      </c>
      <c r="BD28" s="684">
        <f>COUNT($B28:$AB28)</f>
      </c>
      <c r="BE28" s="684">
        <f>IF($BD28&gt;=2,MIN($B28:$AB28),"")</f>
      </c>
      <c r="BF28" s="684">
        <f>IF($BD28&gt;=2,SMALL($B28:$AB28,2),"")</f>
      </c>
      <c r="BG28" s="684">
        <f>IF($BE28="","",INDEX(安値!$E28:$CZ28,1,$BE28+1))</f>
      </c>
      <c r="BH28" s="684">
        <f>IF($BF28="","",INDEX(安値!$E28:$CZ28,1,$BF28+1))</f>
      </c>
      <c r="BI28" s="684">
        <f>IF($BF28="","",MAX(INDEX(高値!$E28:$CZ28,1,$BE28+1):INDEX(高値!$E28:$CZ28,1,$BF28+1)))</f>
      </c>
      <c r="BJ28" s="684">
        <f>IF($BF28="","",AVERAGE(INDEX(終値!$E28:$CZ28,1,$BF28+1):INDEX(終値!$E28:$CZ28,1,$BF28+20))-2*STDEVP(INDEX(終値!$E28:$CZ28,1,$BF28+1):INDEX(終値!$E28:$CZ28,1,$BF28+20)))</f>
      </c>
      <c r="BK28" s="684">
        <f>IF($BE28="","",AVERAGE(INDEX(終値!$E28:$CZ28,1,$BE28+1):INDEX(終値!$E28:$CZ28,1,$BE28+20))-2*STDEVP(INDEX(終値!$E28:$CZ28,1,$BE28+1):INDEX(終値!$E28:$CZ28,1,$BE28+20)))</f>
      </c>
      <c r="BL28" s="684">
        <f>COUNT($AC28:$BC28)</f>
      </c>
      <c r="BM28" s="684">
        <f>IF($BL28&gt;=2,MIN($AC28:$BC28),"")</f>
      </c>
      <c r="BN28" s="684">
        <f>IF($BL28&gt;=2,SMALL($AC28:$BC28,2),"")</f>
      </c>
      <c r="BO28" s="684">
        <f>IF($BM28="","",INDEX(高値!$E28:$CZ28,1,$BM28+1))</f>
      </c>
      <c r="BP28" s="684">
        <f>IF($BN28="","",INDEX(高値!$E28:$CZ28,1,$BN28+1))</f>
      </c>
      <c r="BQ28" s="684">
        <f>IF($BN28="","",MIN(INDEX(安値!$E28:$CZ28,1,$BM28+1):INDEX(安値!$E28:$CZ28,1,$BN28+1)))</f>
      </c>
      <c r="BR28" s="684">
        <f>IF($BN28="","",AVERAGE(INDEX(終値!$E28:$CZ28,1,$BN28+1):INDEX(終値!$E28:$CZ28,1,$BN28+20))+2*STDEVP(INDEX(終値!$E28:$CZ28,1,$BN28+1):INDEX(終値!$E28:$CZ28,1,$BN28+20)))</f>
      </c>
      <c r="BS28" s="684">
        <f>IF($BM28="","",AVERAGE(INDEX(終値!$E28:$CZ28,1,$BM28+1):INDEX(終値!$E28:$CZ28,1,$BM28+20))+2*STDEVP(INDEX(終値!$E28:$CZ28,1,$BM28+1):INDEX(終値!$E28:$CZ28,1,$BM28+20)))</f>
      </c>
      <c r="BT28" s="681">
        <f>IFERROR(IF(AND($BD28&gt;=2,ABS($BG28-$BH28)/$BH28&lt;=BB設定!$B$12,$BI28&gt;=MAX($BH28,$BG28)*(1+BB設定!$B$13),終値!E28&gt;$BG28),IF(OR(終値!E28&gt;=$BI28,AND($BH28&lt;$BJ28,$BG28&gt;=$BK28)),"二番底W▲","二番底W形成"),IF(AND($BL28&gt;=2,ABS($BO28-$BP28)/$BP28&lt;=BB設定!$B$12,$BQ28&lt;=MIN($BP28,$BO28)*(1-BB設定!$B$13),終値!E28&lt;$BO28),IF(OR(終値!E28&lt;=$BQ28,AND($BP28&gt;$BR28,$BO28&lt;=$BS28)),"二番天井M▼","二番天井M形成"),"－")),"－")</f>
      </c>
    </row>
    <row r="29">
      <c r="B29" s="684">
        <f>IF(終値!A29="","",IF(AND(安値!G29&lt;安値!F29,安値!G29&lt;安値!E29,安値!G29&lt;安値!H29,安値!G29&lt;安値!I29),2,""))</f>
      </c>
      <c r="C29" s="684">
        <f>IF(終値!A29="","",IF(AND(安値!H29&lt;安値!G29,安値!H29&lt;安値!F29,安値!H29&lt;安値!I29,安値!H29&lt;安値!J29),3,""))</f>
      </c>
      <c r="D29" s="684">
        <f>IF(終値!A29="","",IF(AND(安値!I29&lt;安値!H29,安値!I29&lt;安値!G29,安値!I29&lt;安値!J29,安値!I29&lt;安値!K29),4,""))</f>
      </c>
      <c r="E29" s="684">
        <f>IF(終値!A29="","",IF(AND(安値!J29&lt;安値!I29,安値!J29&lt;安値!H29,安値!J29&lt;安値!K29,安値!J29&lt;安値!L29),5,""))</f>
      </c>
      <c r="F29" s="684">
        <f>IF(終値!A29="","",IF(AND(安値!K29&lt;安値!J29,安値!K29&lt;安値!I29,安値!K29&lt;安値!L29,安値!K29&lt;安値!M29),6,""))</f>
      </c>
      <c r="G29" s="684">
        <f>IF(終値!A29="","",IF(AND(安値!L29&lt;安値!K29,安値!L29&lt;安値!J29,安値!L29&lt;安値!M29,安値!L29&lt;安値!N29),7,""))</f>
      </c>
      <c r="H29" s="684">
        <f>IF(終値!A29="","",IF(AND(安値!M29&lt;安値!L29,安値!M29&lt;安値!K29,安値!M29&lt;安値!N29,安値!M29&lt;安値!O29),8,""))</f>
      </c>
      <c r="I29" s="684">
        <f>IF(終値!A29="","",IF(AND(安値!N29&lt;安値!M29,安値!N29&lt;安値!L29,安値!N29&lt;安値!O29,安値!N29&lt;安値!P29),9,""))</f>
      </c>
      <c r="J29" s="684">
        <f>IF(終値!A29="","",IF(AND(安値!O29&lt;安値!N29,安値!O29&lt;安値!M29,安値!O29&lt;安値!P29,安値!O29&lt;安値!Q29),10,""))</f>
      </c>
      <c r="K29" s="684">
        <f>IF(終値!A29="","",IF(AND(安値!P29&lt;安値!O29,安値!P29&lt;安値!N29,安値!P29&lt;安値!Q29,安値!P29&lt;安値!R29),11,""))</f>
      </c>
      <c r="L29" s="684">
        <f>IF(終値!A29="","",IF(AND(安値!Q29&lt;安値!P29,安値!Q29&lt;安値!O29,安値!Q29&lt;安値!R29,安値!Q29&lt;安値!S29),12,""))</f>
      </c>
      <c r="M29" s="684">
        <f>IF(終値!A29="","",IF(AND(安値!R29&lt;安値!Q29,安値!R29&lt;安値!P29,安値!R29&lt;安値!S29,安値!R29&lt;安値!T29),13,""))</f>
      </c>
      <c r="N29" s="684">
        <f>IF(終値!A29="","",IF(AND(安値!S29&lt;安値!R29,安値!S29&lt;安値!Q29,安値!S29&lt;安値!T29,安値!S29&lt;安値!U29),14,""))</f>
      </c>
      <c r="O29" s="684">
        <f>IF(終値!A29="","",IF(AND(安値!T29&lt;安値!S29,安値!T29&lt;安値!R29,安値!T29&lt;安値!U29,安値!T29&lt;安値!V29),15,""))</f>
      </c>
      <c r="P29" s="684">
        <f>IF(終値!A29="","",IF(AND(安値!U29&lt;安値!T29,安値!U29&lt;安値!S29,安値!U29&lt;安値!V29,安値!U29&lt;安値!W29),16,""))</f>
      </c>
      <c r="Q29" s="684">
        <f>IF(終値!A29="","",IF(AND(安値!V29&lt;安値!U29,安値!V29&lt;安値!T29,安値!V29&lt;安値!W29,安値!V29&lt;安値!X29),17,""))</f>
      </c>
      <c r="R29" s="684">
        <f>IF(終値!A29="","",IF(AND(安値!W29&lt;安値!V29,安値!W29&lt;安値!U29,安値!W29&lt;安値!X29,安値!W29&lt;安値!Y29),18,""))</f>
      </c>
      <c r="S29" s="684">
        <f>IF(終値!A29="","",IF(AND(安値!X29&lt;安値!W29,安値!X29&lt;安値!V29,安値!X29&lt;安値!Y29,安値!X29&lt;安値!Z29),19,""))</f>
      </c>
      <c r="T29" s="684">
        <f>IF(終値!A29="","",IF(AND(安値!Y29&lt;安値!X29,安値!Y29&lt;安値!W29,安値!Y29&lt;安値!Z29,安値!Y29&lt;安値!AA29),20,""))</f>
      </c>
      <c r="U29" s="684">
        <f>IF(終値!A29="","",IF(AND(安値!Z29&lt;安値!Y29,安値!Z29&lt;安値!X29,安値!Z29&lt;安値!AA29,安値!Z29&lt;安値!AB29),21,""))</f>
      </c>
      <c r="V29" s="684">
        <f>IF(終値!A29="","",IF(AND(安値!AA29&lt;安値!Z29,安値!AA29&lt;安値!Y29,安値!AA29&lt;安値!AB29,安値!AA29&lt;安値!AC29),22,""))</f>
      </c>
      <c r="W29" s="684">
        <f>IF(終値!A29="","",IF(AND(安値!AB29&lt;安値!AA29,安値!AB29&lt;安値!Z29,安値!AB29&lt;安値!AC29,安値!AB29&lt;安値!AD29),23,""))</f>
      </c>
      <c r="X29" s="684">
        <f>IF(終値!A29="","",IF(AND(安値!AC29&lt;安値!AB29,安値!AC29&lt;安値!AA29,安値!AC29&lt;安値!AD29,安値!AC29&lt;安値!AE29),24,""))</f>
      </c>
      <c r="Y29" s="684">
        <f>IF(終値!A29="","",IF(AND(安値!AD29&lt;安値!AC29,安値!AD29&lt;安値!AB29,安値!AD29&lt;安値!AE29,安値!AD29&lt;安値!AF29),25,""))</f>
      </c>
      <c r="Z29" s="684">
        <f>IF(終値!A29="","",IF(AND(安値!AE29&lt;安値!AD29,安値!AE29&lt;安値!AC29,安値!AE29&lt;安値!AF29,安値!AE29&lt;安値!AG29),26,""))</f>
      </c>
      <c r="AA29" s="684">
        <f>IF(終値!A29="","",IF(AND(安値!AF29&lt;安値!AE29,安値!AF29&lt;安値!AD29,安値!AF29&lt;安値!AG29,安値!AF29&lt;安値!AH29),27,""))</f>
      </c>
      <c r="AB29" s="684">
        <f>IF(終値!A29="","",IF(AND(安値!AG29&lt;安値!AF29,安値!AG29&lt;安値!AE29,安値!AG29&lt;安値!AH29,安値!AG29&lt;安値!AI29),28,""))</f>
      </c>
      <c r="AC29" s="684">
        <f>IF(終値!A29="","",IF(AND(高値!G29&gt;高値!F29,高値!G29&gt;高値!E29,高値!G29&gt;高値!H29,高値!G29&gt;高値!I29),2,""))</f>
      </c>
      <c r="AD29" s="684">
        <f>IF(終値!A29="","",IF(AND(高値!H29&gt;高値!G29,高値!H29&gt;高値!F29,高値!H29&gt;高値!I29,高値!H29&gt;高値!J29),3,""))</f>
      </c>
      <c r="AE29" s="684">
        <f>IF(終値!A29="","",IF(AND(高値!I29&gt;高値!H29,高値!I29&gt;高値!G29,高値!I29&gt;高値!J29,高値!I29&gt;高値!K29),4,""))</f>
      </c>
      <c r="AF29" s="684">
        <f>IF(終値!A29="","",IF(AND(高値!J29&gt;高値!I29,高値!J29&gt;高値!H29,高値!J29&gt;高値!K29,高値!J29&gt;高値!L29),5,""))</f>
      </c>
      <c r="AG29" s="684">
        <f>IF(終値!A29="","",IF(AND(高値!K29&gt;高値!J29,高値!K29&gt;高値!I29,高値!K29&gt;高値!L29,高値!K29&gt;高値!M29),6,""))</f>
      </c>
      <c r="AH29" s="684">
        <f>IF(終値!A29="","",IF(AND(高値!L29&gt;高値!K29,高値!L29&gt;高値!J29,高値!L29&gt;高値!M29,高値!L29&gt;高値!N29),7,""))</f>
      </c>
      <c r="AI29" s="684">
        <f>IF(終値!A29="","",IF(AND(高値!M29&gt;高値!L29,高値!M29&gt;高値!K29,高値!M29&gt;高値!N29,高値!M29&gt;高値!O29),8,""))</f>
      </c>
      <c r="AJ29" s="684">
        <f>IF(終値!A29="","",IF(AND(高値!N29&gt;高値!M29,高値!N29&gt;高値!L29,高値!N29&gt;高値!O29,高値!N29&gt;高値!P29),9,""))</f>
      </c>
      <c r="AK29" s="684">
        <f>IF(終値!A29="","",IF(AND(高値!O29&gt;高値!N29,高値!O29&gt;高値!M29,高値!O29&gt;高値!P29,高値!O29&gt;高値!Q29),10,""))</f>
      </c>
      <c r="AL29" s="684">
        <f>IF(終値!A29="","",IF(AND(高値!P29&gt;高値!O29,高値!P29&gt;高値!N29,高値!P29&gt;高値!Q29,高値!P29&gt;高値!R29),11,""))</f>
      </c>
      <c r="AM29" s="684">
        <f>IF(終値!A29="","",IF(AND(高値!Q29&gt;高値!P29,高値!Q29&gt;高値!O29,高値!Q29&gt;高値!R29,高値!Q29&gt;高値!S29),12,""))</f>
      </c>
      <c r="AN29" s="684">
        <f>IF(終値!A29="","",IF(AND(高値!R29&gt;高値!Q29,高値!R29&gt;高値!P29,高値!R29&gt;高値!S29,高値!R29&gt;高値!T29),13,""))</f>
      </c>
      <c r="AO29" s="684">
        <f>IF(終値!A29="","",IF(AND(高値!S29&gt;高値!R29,高値!S29&gt;高値!Q29,高値!S29&gt;高値!T29,高値!S29&gt;高値!U29),14,""))</f>
      </c>
      <c r="AP29" s="684">
        <f>IF(終値!A29="","",IF(AND(高値!T29&gt;高値!S29,高値!T29&gt;高値!R29,高値!T29&gt;高値!U29,高値!T29&gt;高値!V29),15,""))</f>
      </c>
      <c r="AQ29" s="684">
        <f>IF(終値!A29="","",IF(AND(高値!U29&gt;高値!T29,高値!U29&gt;高値!S29,高値!U29&gt;高値!V29,高値!U29&gt;高値!W29),16,""))</f>
      </c>
      <c r="AR29" s="684">
        <f>IF(終値!A29="","",IF(AND(高値!V29&gt;高値!U29,高値!V29&gt;高値!T29,高値!V29&gt;高値!W29,高値!V29&gt;高値!X29),17,""))</f>
      </c>
      <c r="AS29" s="684">
        <f>IF(終値!A29="","",IF(AND(高値!W29&gt;高値!V29,高値!W29&gt;高値!U29,高値!W29&gt;高値!X29,高値!W29&gt;高値!Y29),18,""))</f>
      </c>
      <c r="AT29" s="684">
        <f>IF(終値!A29="","",IF(AND(高値!X29&gt;高値!W29,高値!X29&gt;高値!V29,高値!X29&gt;高値!Y29,高値!X29&gt;高値!Z29),19,""))</f>
      </c>
      <c r="AU29" s="684">
        <f>IF(終値!A29="","",IF(AND(高値!Y29&gt;高値!X29,高値!Y29&gt;高値!W29,高値!Y29&gt;高値!Z29,高値!Y29&gt;高値!AA29),20,""))</f>
      </c>
      <c r="AV29" s="684">
        <f>IF(終値!A29="","",IF(AND(高値!Z29&gt;高値!Y29,高値!Z29&gt;高値!X29,高値!Z29&gt;高値!AA29,高値!Z29&gt;高値!AB29),21,""))</f>
      </c>
      <c r="AW29" s="684">
        <f>IF(終値!A29="","",IF(AND(高値!AA29&gt;高値!Z29,高値!AA29&gt;高値!Y29,高値!AA29&gt;高値!AB29,高値!AA29&gt;高値!AC29),22,""))</f>
      </c>
      <c r="AX29" s="684">
        <f>IF(終値!A29="","",IF(AND(高値!AB29&gt;高値!AA29,高値!AB29&gt;高値!Z29,高値!AB29&gt;高値!AC29,高値!AB29&gt;高値!AD29),23,""))</f>
      </c>
      <c r="AY29" s="684">
        <f>IF(終値!A29="","",IF(AND(高値!AC29&gt;高値!AB29,高値!AC29&gt;高値!AA29,高値!AC29&gt;高値!AD29,高値!AC29&gt;高値!AE29),24,""))</f>
      </c>
      <c r="AZ29" s="684">
        <f>IF(終値!A29="","",IF(AND(高値!AD29&gt;高値!AC29,高値!AD29&gt;高値!AB29,高値!AD29&gt;高値!AE29,高値!AD29&gt;高値!AF29),25,""))</f>
      </c>
      <c r="BA29" s="684">
        <f>IF(終値!A29="","",IF(AND(高値!AE29&gt;高値!AD29,高値!AE29&gt;高値!AC29,高値!AE29&gt;高値!AF29,高値!AE29&gt;高値!AG29),26,""))</f>
      </c>
      <c r="BB29" s="684">
        <f>IF(終値!A29="","",IF(AND(高値!AF29&gt;高値!AE29,高値!AF29&gt;高値!AD29,高値!AF29&gt;高値!AG29,高値!AF29&gt;高値!AH29),27,""))</f>
      </c>
      <c r="BC29" s="684">
        <f>IF(終値!A29="","",IF(AND(高値!AG29&gt;高値!AF29,高値!AG29&gt;高値!AE29,高値!AG29&gt;高値!AH29,高値!AG29&gt;高値!AI29),28,""))</f>
      </c>
      <c r="BD29" s="684">
        <f>COUNT($B29:$AB29)</f>
      </c>
      <c r="BE29" s="684">
        <f>IF($BD29&gt;=2,MIN($B29:$AB29),"")</f>
      </c>
      <c r="BF29" s="684">
        <f>IF($BD29&gt;=2,SMALL($B29:$AB29,2),"")</f>
      </c>
      <c r="BG29" s="684">
        <f>IF($BE29="","",INDEX(安値!$E29:$CZ29,1,$BE29+1))</f>
      </c>
      <c r="BH29" s="684">
        <f>IF($BF29="","",INDEX(安値!$E29:$CZ29,1,$BF29+1))</f>
      </c>
      <c r="BI29" s="684">
        <f>IF($BF29="","",MAX(INDEX(高値!$E29:$CZ29,1,$BE29+1):INDEX(高値!$E29:$CZ29,1,$BF29+1)))</f>
      </c>
      <c r="BJ29" s="684">
        <f>IF($BF29="","",AVERAGE(INDEX(終値!$E29:$CZ29,1,$BF29+1):INDEX(終値!$E29:$CZ29,1,$BF29+20))-2*STDEVP(INDEX(終値!$E29:$CZ29,1,$BF29+1):INDEX(終値!$E29:$CZ29,1,$BF29+20)))</f>
      </c>
      <c r="BK29" s="684">
        <f>IF($BE29="","",AVERAGE(INDEX(終値!$E29:$CZ29,1,$BE29+1):INDEX(終値!$E29:$CZ29,1,$BE29+20))-2*STDEVP(INDEX(終値!$E29:$CZ29,1,$BE29+1):INDEX(終値!$E29:$CZ29,1,$BE29+20)))</f>
      </c>
      <c r="BL29" s="684">
        <f>COUNT($AC29:$BC29)</f>
      </c>
      <c r="BM29" s="684">
        <f>IF($BL29&gt;=2,MIN($AC29:$BC29),"")</f>
      </c>
      <c r="BN29" s="684">
        <f>IF($BL29&gt;=2,SMALL($AC29:$BC29,2),"")</f>
      </c>
      <c r="BO29" s="684">
        <f>IF($BM29="","",INDEX(高値!$E29:$CZ29,1,$BM29+1))</f>
      </c>
      <c r="BP29" s="684">
        <f>IF($BN29="","",INDEX(高値!$E29:$CZ29,1,$BN29+1))</f>
      </c>
      <c r="BQ29" s="684">
        <f>IF($BN29="","",MIN(INDEX(安値!$E29:$CZ29,1,$BM29+1):INDEX(安値!$E29:$CZ29,1,$BN29+1)))</f>
      </c>
      <c r="BR29" s="684">
        <f>IF($BN29="","",AVERAGE(INDEX(終値!$E29:$CZ29,1,$BN29+1):INDEX(終値!$E29:$CZ29,1,$BN29+20))+2*STDEVP(INDEX(終値!$E29:$CZ29,1,$BN29+1):INDEX(終値!$E29:$CZ29,1,$BN29+20)))</f>
      </c>
      <c r="BS29" s="684">
        <f>IF($BM29="","",AVERAGE(INDEX(終値!$E29:$CZ29,1,$BM29+1):INDEX(終値!$E29:$CZ29,1,$BM29+20))+2*STDEVP(INDEX(終値!$E29:$CZ29,1,$BM29+1):INDEX(終値!$E29:$CZ29,1,$BM29+20)))</f>
      </c>
      <c r="BT29" s="681">
        <f>IFERROR(IF(AND($BD29&gt;=2,ABS($BG29-$BH29)/$BH29&lt;=BB設定!$B$12,$BI29&gt;=MAX($BH29,$BG29)*(1+BB設定!$B$13),終値!E29&gt;$BG29),IF(OR(終値!E29&gt;=$BI29,AND($BH29&lt;$BJ29,$BG29&gt;=$BK29)),"二番底W▲","二番底W形成"),IF(AND($BL29&gt;=2,ABS($BO29-$BP29)/$BP29&lt;=BB設定!$B$12,$BQ29&lt;=MIN($BP29,$BO29)*(1-BB設定!$B$13),終値!E29&lt;$BO29),IF(OR(終値!E29&lt;=$BQ29,AND($BP29&gt;$BR29,$BO29&lt;=$BS29)),"二番天井M▼","二番天井M形成"),"－")),"－")</f>
      </c>
    </row>
    <row r="30">
      <c r="B30" s="684">
        <f>IF(終値!A30="","",IF(AND(安値!G30&lt;安値!F30,安値!G30&lt;安値!E30,安値!G30&lt;安値!H30,安値!G30&lt;安値!I30),2,""))</f>
      </c>
      <c r="C30" s="684">
        <f>IF(終値!A30="","",IF(AND(安値!H30&lt;安値!G30,安値!H30&lt;安値!F30,安値!H30&lt;安値!I30,安値!H30&lt;安値!J30),3,""))</f>
      </c>
      <c r="D30" s="684">
        <f>IF(終値!A30="","",IF(AND(安値!I30&lt;安値!H30,安値!I30&lt;安値!G30,安値!I30&lt;安値!J30,安値!I30&lt;安値!K30),4,""))</f>
      </c>
      <c r="E30" s="684">
        <f>IF(終値!A30="","",IF(AND(安値!J30&lt;安値!I30,安値!J30&lt;安値!H30,安値!J30&lt;安値!K30,安値!J30&lt;安値!L30),5,""))</f>
      </c>
      <c r="F30" s="684">
        <f>IF(終値!A30="","",IF(AND(安値!K30&lt;安値!J30,安値!K30&lt;安値!I30,安値!K30&lt;安値!L30,安値!K30&lt;安値!M30),6,""))</f>
      </c>
      <c r="G30" s="684">
        <f>IF(終値!A30="","",IF(AND(安値!L30&lt;安値!K30,安値!L30&lt;安値!J30,安値!L30&lt;安値!M30,安値!L30&lt;安値!N30),7,""))</f>
      </c>
      <c r="H30" s="684">
        <f>IF(終値!A30="","",IF(AND(安値!M30&lt;安値!L30,安値!M30&lt;安値!K30,安値!M30&lt;安値!N30,安値!M30&lt;安値!O30),8,""))</f>
      </c>
      <c r="I30" s="684">
        <f>IF(終値!A30="","",IF(AND(安値!N30&lt;安値!M30,安値!N30&lt;安値!L30,安値!N30&lt;安値!O30,安値!N30&lt;安値!P30),9,""))</f>
      </c>
      <c r="J30" s="684">
        <f>IF(終値!A30="","",IF(AND(安値!O30&lt;安値!N30,安値!O30&lt;安値!M30,安値!O30&lt;安値!P30,安値!O30&lt;安値!Q30),10,""))</f>
      </c>
      <c r="K30" s="684">
        <f>IF(終値!A30="","",IF(AND(安値!P30&lt;安値!O30,安値!P30&lt;安値!N30,安値!P30&lt;安値!Q30,安値!P30&lt;安値!R30),11,""))</f>
      </c>
      <c r="L30" s="684">
        <f>IF(終値!A30="","",IF(AND(安値!Q30&lt;安値!P30,安値!Q30&lt;安値!O30,安値!Q30&lt;安値!R30,安値!Q30&lt;安値!S30),12,""))</f>
      </c>
      <c r="M30" s="684">
        <f>IF(終値!A30="","",IF(AND(安値!R30&lt;安値!Q30,安値!R30&lt;安値!P30,安値!R30&lt;安値!S30,安値!R30&lt;安値!T30),13,""))</f>
      </c>
      <c r="N30" s="684">
        <f>IF(終値!A30="","",IF(AND(安値!S30&lt;安値!R30,安値!S30&lt;安値!Q30,安値!S30&lt;安値!T30,安値!S30&lt;安値!U30),14,""))</f>
      </c>
      <c r="O30" s="684">
        <f>IF(終値!A30="","",IF(AND(安値!T30&lt;安値!S30,安値!T30&lt;安値!R30,安値!T30&lt;安値!U30,安値!T30&lt;安値!V30),15,""))</f>
      </c>
      <c r="P30" s="684">
        <f>IF(終値!A30="","",IF(AND(安値!U30&lt;安値!T30,安値!U30&lt;安値!S30,安値!U30&lt;安値!V30,安値!U30&lt;安値!W30),16,""))</f>
      </c>
      <c r="Q30" s="684">
        <f>IF(終値!A30="","",IF(AND(安値!V30&lt;安値!U30,安値!V30&lt;安値!T30,安値!V30&lt;安値!W30,安値!V30&lt;安値!X30),17,""))</f>
      </c>
      <c r="R30" s="684">
        <f>IF(終値!A30="","",IF(AND(安値!W30&lt;安値!V30,安値!W30&lt;安値!U30,安値!W30&lt;安値!X30,安値!W30&lt;安値!Y30),18,""))</f>
      </c>
      <c r="S30" s="684">
        <f>IF(終値!A30="","",IF(AND(安値!X30&lt;安値!W30,安値!X30&lt;安値!V30,安値!X30&lt;安値!Y30,安値!X30&lt;安値!Z30),19,""))</f>
      </c>
      <c r="T30" s="684">
        <f>IF(終値!A30="","",IF(AND(安値!Y30&lt;安値!X30,安値!Y30&lt;安値!W30,安値!Y30&lt;安値!Z30,安値!Y30&lt;安値!AA30),20,""))</f>
      </c>
      <c r="U30" s="684">
        <f>IF(終値!A30="","",IF(AND(安値!Z30&lt;安値!Y30,安値!Z30&lt;安値!X30,安値!Z30&lt;安値!AA30,安値!Z30&lt;安値!AB30),21,""))</f>
      </c>
      <c r="V30" s="684">
        <f>IF(終値!A30="","",IF(AND(安値!AA30&lt;安値!Z30,安値!AA30&lt;安値!Y30,安値!AA30&lt;安値!AB30,安値!AA30&lt;安値!AC30),22,""))</f>
      </c>
      <c r="W30" s="684">
        <f>IF(終値!A30="","",IF(AND(安値!AB30&lt;安値!AA30,安値!AB30&lt;安値!Z30,安値!AB30&lt;安値!AC30,安値!AB30&lt;安値!AD30),23,""))</f>
      </c>
      <c r="X30" s="684">
        <f>IF(終値!A30="","",IF(AND(安値!AC30&lt;安値!AB30,安値!AC30&lt;安値!AA30,安値!AC30&lt;安値!AD30,安値!AC30&lt;安値!AE30),24,""))</f>
      </c>
      <c r="Y30" s="684">
        <f>IF(終値!A30="","",IF(AND(安値!AD30&lt;安値!AC30,安値!AD30&lt;安値!AB30,安値!AD30&lt;安値!AE30,安値!AD30&lt;安値!AF30),25,""))</f>
      </c>
      <c r="Z30" s="684">
        <f>IF(終値!A30="","",IF(AND(安値!AE30&lt;安値!AD30,安値!AE30&lt;安値!AC30,安値!AE30&lt;安値!AF30,安値!AE30&lt;安値!AG30),26,""))</f>
      </c>
      <c r="AA30" s="684">
        <f>IF(終値!A30="","",IF(AND(安値!AF30&lt;安値!AE30,安値!AF30&lt;安値!AD30,安値!AF30&lt;安値!AG30,安値!AF30&lt;安値!AH30),27,""))</f>
      </c>
      <c r="AB30" s="684">
        <f>IF(終値!A30="","",IF(AND(安値!AG30&lt;安値!AF30,安値!AG30&lt;安値!AE30,安値!AG30&lt;安値!AH30,安値!AG30&lt;安値!AI30),28,""))</f>
      </c>
      <c r="AC30" s="684">
        <f>IF(終値!A30="","",IF(AND(高値!G30&gt;高値!F30,高値!G30&gt;高値!E30,高値!G30&gt;高値!H30,高値!G30&gt;高値!I30),2,""))</f>
      </c>
      <c r="AD30" s="684">
        <f>IF(終値!A30="","",IF(AND(高値!H30&gt;高値!G30,高値!H30&gt;高値!F30,高値!H30&gt;高値!I30,高値!H30&gt;高値!J30),3,""))</f>
      </c>
      <c r="AE30" s="684">
        <f>IF(終値!A30="","",IF(AND(高値!I30&gt;高値!H30,高値!I30&gt;高値!G30,高値!I30&gt;高値!J30,高値!I30&gt;高値!K30),4,""))</f>
      </c>
      <c r="AF30" s="684">
        <f>IF(終値!A30="","",IF(AND(高値!J30&gt;高値!I30,高値!J30&gt;高値!H30,高値!J30&gt;高値!K30,高値!J30&gt;高値!L30),5,""))</f>
      </c>
      <c r="AG30" s="684">
        <f>IF(終値!A30="","",IF(AND(高値!K30&gt;高値!J30,高値!K30&gt;高値!I30,高値!K30&gt;高値!L30,高値!K30&gt;高値!M30),6,""))</f>
      </c>
      <c r="AH30" s="684">
        <f>IF(終値!A30="","",IF(AND(高値!L30&gt;高値!K30,高値!L30&gt;高値!J30,高値!L30&gt;高値!M30,高値!L30&gt;高値!N30),7,""))</f>
      </c>
      <c r="AI30" s="684">
        <f>IF(終値!A30="","",IF(AND(高値!M30&gt;高値!L30,高値!M30&gt;高値!K30,高値!M30&gt;高値!N30,高値!M30&gt;高値!O30),8,""))</f>
      </c>
      <c r="AJ30" s="684">
        <f>IF(終値!A30="","",IF(AND(高値!N30&gt;高値!M30,高値!N30&gt;高値!L30,高値!N30&gt;高値!O30,高値!N30&gt;高値!P30),9,""))</f>
      </c>
      <c r="AK30" s="684">
        <f>IF(終値!A30="","",IF(AND(高値!O30&gt;高値!N30,高値!O30&gt;高値!M30,高値!O30&gt;高値!P30,高値!O30&gt;高値!Q30),10,""))</f>
      </c>
      <c r="AL30" s="684">
        <f>IF(終値!A30="","",IF(AND(高値!P30&gt;高値!O30,高値!P30&gt;高値!N30,高値!P30&gt;高値!Q30,高値!P30&gt;高値!R30),11,""))</f>
      </c>
      <c r="AM30" s="684">
        <f>IF(終値!A30="","",IF(AND(高値!Q30&gt;高値!P30,高値!Q30&gt;高値!O30,高値!Q30&gt;高値!R30,高値!Q30&gt;高値!S30),12,""))</f>
      </c>
      <c r="AN30" s="684">
        <f>IF(終値!A30="","",IF(AND(高値!R30&gt;高値!Q30,高値!R30&gt;高値!P30,高値!R30&gt;高値!S30,高値!R30&gt;高値!T30),13,""))</f>
      </c>
      <c r="AO30" s="684">
        <f>IF(終値!A30="","",IF(AND(高値!S30&gt;高値!R30,高値!S30&gt;高値!Q30,高値!S30&gt;高値!T30,高値!S30&gt;高値!U30),14,""))</f>
      </c>
      <c r="AP30" s="684">
        <f>IF(終値!A30="","",IF(AND(高値!T30&gt;高値!S30,高値!T30&gt;高値!R30,高値!T30&gt;高値!U30,高値!T30&gt;高値!V30),15,""))</f>
      </c>
      <c r="AQ30" s="684">
        <f>IF(終値!A30="","",IF(AND(高値!U30&gt;高値!T30,高値!U30&gt;高値!S30,高値!U30&gt;高値!V30,高値!U30&gt;高値!W30),16,""))</f>
      </c>
      <c r="AR30" s="684">
        <f>IF(終値!A30="","",IF(AND(高値!V30&gt;高値!U30,高値!V30&gt;高値!T30,高値!V30&gt;高値!W30,高値!V30&gt;高値!X30),17,""))</f>
      </c>
      <c r="AS30" s="684">
        <f>IF(終値!A30="","",IF(AND(高値!W30&gt;高値!V30,高値!W30&gt;高値!U30,高値!W30&gt;高値!X30,高値!W30&gt;高値!Y30),18,""))</f>
      </c>
      <c r="AT30" s="684">
        <f>IF(終値!A30="","",IF(AND(高値!X30&gt;高値!W30,高値!X30&gt;高値!V30,高値!X30&gt;高値!Y30,高値!X30&gt;高値!Z30),19,""))</f>
      </c>
      <c r="AU30" s="684">
        <f>IF(終値!A30="","",IF(AND(高値!Y30&gt;高値!X30,高値!Y30&gt;高値!W30,高値!Y30&gt;高値!Z30,高値!Y30&gt;高値!AA30),20,""))</f>
      </c>
      <c r="AV30" s="684">
        <f>IF(終値!A30="","",IF(AND(高値!Z30&gt;高値!Y30,高値!Z30&gt;高値!X30,高値!Z30&gt;高値!AA30,高値!Z30&gt;高値!AB30),21,""))</f>
      </c>
      <c r="AW30" s="684">
        <f>IF(終値!A30="","",IF(AND(高値!AA30&gt;高値!Z30,高値!AA30&gt;高値!Y30,高値!AA30&gt;高値!AB30,高値!AA30&gt;高値!AC30),22,""))</f>
      </c>
      <c r="AX30" s="684">
        <f>IF(終値!A30="","",IF(AND(高値!AB30&gt;高値!AA30,高値!AB30&gt;高値!Z30,高値!AB30&gt;高値!AC30,高値!AB30&gt;高値!AD30),23,""))</f>
      </c>
      <c r="AY30" s="684">
        <f>IF(終値!A30="","",IF(AND(高値!AC30&gt;高値!AB30,高値!AC30&gt;高値!AA30,高値!AC30&gt;高値!AD30,高値!AC30&gt;高値!AE30),24,""))</f>
      </c>
      <c r="AZ30" s="684">
        <f>IF(終値!A30="","",IF(AND(高値!AD30&gt;高値!AC30,高値!AD30&gt;高値!AB30,高値!AD30&gt;高値!AE30,高値!AD30&gt;高値!AF30),25,""))</f>
      </c>
      <c r="BA30" s="684">
        <f>IF(終値!A30="","",IF(AND(高値!AE30&gt;高値!AD30,高値!AE30&gt;高値!AC30,高値!AE30&gt;高値!AF30,高値!AE30&gt;高値!AG30),26,""))</f>
      </c>
      <c r="BB30" s="684">
        <f>IF(終値!A30="","",IF(AND(高値!AF30&gt;高値!AE30,高値!AF30&gt;高値!AD30,高値!AF30&gt;高値!AG30,高値!AF30&gt;高値!AH30),27,""))</f>
      </c>
      <c r="BC30" s="684">
        <f>IF(終値!A30="","",IF(AND(高値!AG30&gt;高値!AF30,高値!AG30&gt;高値!AE30,高値!AG30&gt;高値!AH30,高値!AG30&gt;高値!AI30),28,""))</f>
      </c>
      <c r="BD30" s="684">
        <f>COUNT($B30:$AB30)</f>
      </c>
      <c r="BE30" s="684">
        <f>IF($BD30&gt;=2,MIN($B30:$AB30),"")</f>
      </c>
      <c r="BF30" s="684">
        <f>IF($BD30&gt;=2,SMALL($B30:$AB30,2),"")</f>
      </c>
      <c r="BG30" s="684">
        <f>IF($BE30="","",INDEX(安値!$E30:$CZ30,1,$BE30+1))</f>
      </c>
      <c r="BH30" s="684">
        <f>IF($BF30="","",INDEX(安値!$E30:$CZ30,1,$BF30+1))</f>
      </c>
      <c r="BI30" s="684">
        <f>IF($BF30="","",MAX(INDEX(高値!$E30:$CZ30,1,$BE30+1):INDEX(高値!$E30:$CZ30,1,$BF30+1)))</f>
      </c>
      <c r="BJ30" s="684">
        <f>IF($BF30="","",AVERAGE(INDEX(終値!$E30:$CZ30,1,$BF30+1):INDEX(終値!$E30:$CZ30,1,$BF30+20))-2*STDEVP(INDEX(終値!$E30:$CZ30,1,$BF30+1):INDEX(終値!$E30:$CZ30,1,$BF30+20)))</f>
      </c>
      <c r="BK30" s="684">
        <f>IF($BE30="","",AVERAGE(INDEX(終値!$E30:$CZ30,1,$BE30+1):INDEX(終値!$E30:$CZ30,1,$BE30+20))-2*STDEVP(INDEX(終値!$E30:$CZ30,1,$BE30+1):INDEX(終値!$E30:$CZ30,1,$BE30+20)))</f>
      </c>
      <c r="BL30" s="684">
        <f>COUNT($AC30:$BC30)</f>
      </c>
      <c r="BM30" s="684">
        <f>IF($BL30&gt;=2,MIN($AC30:$BC30),"")</f>
      </c>
      <c r="BN30" s="684">
        <f>IF($BL30&gt;=2,SMALL($AC30:$BC30,2),"")</f>
      </c>
      <c r="BO30" s="684">
        <f>IF($BM30="","",INDEX(高値!$E30:$CZ30,1,$BM30+1))</f>
      </c>
      <c r="BP30" s="684">
        <f>IF($BN30="","",INDEX(高値!$E30:$CZ30,1,$BN30+1))</f>
      </c>
      <c r="BQ30" s="684">
        <f>IF($BN30="","",MIN(INDEX(安値!$E30:$CZ30,1,$BM30+1):INDEX(安値!$E30:$CZ30,1,$BN30+1)))</f>
      </c>
      <c r="BR30" s="684">
        <f>IF($BN30="","",AVERAGE(INDEX(終値!$E30:$CZ30,1,$BN30+1):INDEX(終値!$E30:$CZ30,1,$BN30+20))+2*STDEVP(INDEX(終値!$E30:$CZ30,1,$BN30+1):INDEX(終値!$E30:$CZ30,1,$BN30+20)))</f>
      </c>
      <c r="BS30" s="684">
        <f>IF($BM30="","",AVERAGE(INDEX(終値!$E30:$CZ30,1,$BM30+1):INDEX(終値!$E30:$CZ30,1,$BM30+20))+2*STDEVP(INDEX(終値!$E30:$CZ30,1,$BM30+1):INDEX(終値!$E30:$CZ30,1,$BM30+20)))</f>
      </c>
      <c r="BT30" s="681">
        <f>IFERROR(IF(AND($BD30&gt;=2,ABS($BG30-$BH30)/$BH30&lt;=BB設定!$B$12,$BI30&gt;=MAX($BH30,$BG30)*(1+BB設定!$B$13),終値!E30&gt;$BG30),IF(OR(終値!E30&gt;=$BI30,AND($BH30&lt;$BJ30,$BG30&gt;=$BK30)),"二番底W▲","二番底W形成"),IF(AND($BL30&gt;=2,ABS($BO30-$BP30)/$BP30&lt;=BB設定!$B$12,$BQ30&lt;=MIN($BP30,$BO30)*(1-BB設定!$B$13),終値!E30&lt;$BO30),IF(OR(終値!E30&lt;=$BQ30,AND($BP30&gt;$BR30,$BO30&lt;=$BS30)),"二番天井M▼","二番天井M形成"),"－")),"－")</f>
      </c>
    </row>
    <row r="31">
      <c r="B31" s="684">
        <f>IF(終値!A31="","",IF(AND(安値!G31&lt;安値!F31,安値!G31&lt;安値!E31,安値!G31&lt;安値!H31,安値!G31&lt;安値!I31),2,""))</f>
      </c>
      <c r="C31" s="684">
        <f>IF(終値!A31="","",IF(AND(安値!H31&lt;安値!G31,安値!H31&lt;安値!F31,安値!H31&lt;安値!I31,安値!H31&lt;安値!J31),3,""))</f>
      </c>
      <c r="D31" s="684">
        <f>IF(終値!A31="","",IF(AND(安値!I31&lt;安値!H31,安値!I31&lt;安値!G31,安値!I31&lt;安値!J31,安値!I31&lt;安値!K31),4,""))</f>
      </c>
      <c r="E31" s="684">
        <f>IF(終値!A31="","",IF(AND(安値!J31&lt;安値!I31,安値!J31&lt;安値!H31,安値!J31&lt;安値!K31,安値!J31&lt;安値!L31),5,""))</f>
      </c>
      <c r="F31" s="684">
        <f>IF(終値!A31="","",IF(AND(安値!K31&lt;安値!J31,安値!K31&lt;安値!I31,安値!K31&lt;安値!L31,安値!K31&lt;安値!M31),6,""))</f>
      </c>
      <c r="G31" s="684">
        <f>IF(終値!A31="","",IF(AND(安値!L31&lt;安値!K31,安値!L31&lt;安値!J31,安値!L31&lt;安値!M31,安値!L31&lt;安値!N31),7,""))</f>
      </c>
      <c r="H31" s="684">
        <f>IF(終値!A31="","",IF(AND(安値!M31&lt;安値!L31,安値!M31&lt;安値!K31,安値!M31&lt;安値!N31,安値!M31&lt;安値!O31),8,""))</f>
      </c>
      <c r="I31" s="684">
        <f>IF(終値!A31="","",IF(AND(安値!N31&lt;安値!M31,安値!N31&lt;安値!L31,安値!N31&lt;安値!O31,安値!N31&lt;安値!P31),9,""))</f>
      </c>
      <c r="J31" s="684">
        <f>IF(終値!A31="","",IF(AND(安値!O31&lt;安値!N31,安値!O31&lt;安値!M31,安値!O31&lt;安値!P31,安値!O31&lt;安値!Q31),10,""))</f>
      </c>
      <c r="K31" s="684">
        <f>IF(終値!A31="","",IF(AND(安値!P31&lt;安値!O31,安値!P31&lt;安値!N31,安値!P31&lt;安値!Q31,安値!P31&lt;安値!R31),11,""))</f>
      </c>
      <c r="L31" s="684">
        <f>IF(終値!A31="","",IF(AND(安値!Q31&lt;安値!P31,安値!Q31&lt;安値!O31,安値!Q31&lt;安値!R31,安値!Q31&lt;安値!S31),12,""))</f>
      </c>
      <c r="M31" s="684">
        <f>IF(終値!A31="","",IF(AND(安値!R31&lt;安値!Q31,安値!R31&lt;安値!P31,安値!R31&lt;安値!S31,安値!R31&lt;安値!T31),13,""))</f>
      </c>
      <c r="N31" s="684">
        <f>IF(終値!A31="","",IF(AND(安値!S31&lt;安値!R31,安値!S31&lt;安値!Q31,安値!S31&lt;安値!T31,安値!S31&lt;安値!U31),14,""))</f>
      </c>
      <c r="O31" s="684">
        <f>IF(終値!A31="","",IF(AND(安値!T31&lt;安値!S31,安値!T31&lt;安値!R31,安値!T31&lt;安値!U31,安値!T31&lt;安値!V31),15,""))</f>
      </c>
      <c r="P31" s="684">
        <f>IF(終値!A31="","",IF(AND(安値!U31&lt;安値!T31,安値!U31&lt;安値!S31,安値!U31&lt;安値!V31,安値!U31&lt;安値!W31),16,""))</f>
      </c>
      <c r="Q31" s="684">
        <f>IF(終値!A31="","",IF(AND(安値!V31&lt;安値!U31,安値!V31&lt;安値!T31,安値!V31&lt;安値!W31,安値!V31&lt;安値!X31),17,""))</f>
      </c>
      <c r="R31" s="684">
        <f>IF(終値!A31="","",IF(AND(安値!W31&lt;安値!V31,安値!W31&lt;安値!U31,安値!W31&lt;安値!X31,安値!W31&lt;安値!Y31),18,""))</f>
      </c>
      <c r="S31" s="684">
        <f>IF(終値!A31="","",IF(AND(安値!X31&lt;安値!W31,安値!X31&lt;安値!V31,安値!X31&lt;安値!Y31,安値!X31&lt;安値!Z31),19,""))</f>
      </c>
      <c r="T31" s="684">
        <f>IF(終値!A31="","",IF(AND(安値!Y31&lt;安値!X31,安値!Y31&lt;安値!W31,安値!Y31&lt;安値!Z31,安値!Y31&lt;安値!AA31),20,""))</f>
      </c>
      <c r="U31" s="684">
        <f>IF(終値!A31="","",IF(AND(安値!Z31&lt;安値!Y31,安値!Z31&lt;安値!X31,安値!Z31&lt;安値!AA31,安値!Z31&lt;安値!AB31),21,""))</f>
      </c>
      <c r="V31" s="684">
        <f>IF(終値!A31="","",IF(AND(安値!AA31&lt;安値!Z31,安値!AA31&lt;安値!Y31,安値!AA31&lt;安値!AB31,安値!AA31&lt;安値!AC31),22,""))</f>
      </c>
      <c r="W31" s="684">
        <f>IF(終値!A31="","",IF(AND(安値!AB31&lt;安値!AA31,安値!AB31&lt;安値!Z31,安値!AB31&lt;安値!AC31,安値!AB31&lt;安値!AD31),23,""))</f>
      </c>
      <c r="X31" s="684">
        <f>IF(終値!A31="","",IF(AND(安値!AC31&lt;安値!AB31,安値!AC31&lt;安値!AA31,安値!AC31&lt;安値!AD31,安値!AC31&lt;安値!AE31),24,""))</f>
      </c>
      <c r="Y31" s="684">
        <f>IF(終値!A31="","",IF(AND(安値!AD31&lt;安値!AC31,安値!AD31&lt;安値!AB31,安値!AD31&lt;安値!AE31,安値!AD31&lt;安値!AF31),25,""))</f>
      </c>
      <c r="Z31" s="684">
        <f>IF(終値!A31="","",IF(AND(安値!AE31&lt;安値!AD31,安値!AE31&lt;安値!AC31,安値!AE31&lt;安値!AF31,安値!AE31&lt;安値!AG31),26,""))</f>
      </c>
      <c r="AA31" s="684">
        <f>IF(終値!A31="","",IF(AND(安値!AF31&lt;安値!AE31,安値!AF31&lt;安値!AD31,安値!AF31&lt;安値!AG31,安値!AF31&lt;安値!AH31),27,""))</f>
      </c>
      <c r="AB31" s="684">
        <f>IF(終値!A31="","",IF(AND(安値!AG31&lt;安値!AF31,安値!AG31&lt;安値!AE31,安値!AG31&lt;安値!AH31,安値!AG31&lt;安値!AI31),28,""))</f>
      </c>
      <c r="AC31" s="684">
        <f>IF(終値!A31="","",IF(AND(高値!G31&gt;高値!F31,高値!G31&gt;高値!E31,高値!G31&gt;高値!H31,高値!G31&gt;高値!I31),2,""))</f>
      </c>
      <c r="AD31" s="684">
        <f>IF(終値!A31="","",IF(AND(高値!H31&gt;高値!G31,高値!H31&gt;高値!F31,高値!H31&gt;高値!I31,高値!H31&gt;高値!J31),3,""))</f>
      </c>
      <c r="AE31" s="684">
        <f>IF(終値!A31="","",IF(AND(高値!I31&gt;高値!H31,高値!I31&gt;高値!G31,高値!I31&gt;高値!J31,高値!I31&gt;高値!K31),4,""))</f>
      </c>
      <c r="AF31" s="684">
        <f>IF(終値!A31="","",IF(AND(高値!J31&gt;高値!I31,高値!J31&gt;高値!H31,高値!J31&gt;高値!K31,高値!J31&gt;高値!L31),5,""))</f>
      </c>
      <c r="AG31" s="684">
        <f>IF(終値!A31="","",IF(AND(高値!K31&gt;高値!J31,高値!K31&gt;高値!I31,高値!K31&gt;高値!L31,高値!K31&gt;高値!M31),6,""))</f>
      </c>
      <c r="AH31" s="684">
        <f>IF(終値!A31="","",IF(AND(高値!L31&gt;高値!K31,高値!L31&gt;高値!J31,高値!L31&gt;高値!M31,高値!L31&gt;高値!N31),7,""))</f>
      </c>
      <c r="AI31" s="684">
        <f>IF(終値!A31="","",IF(AND(高値!M31&gt;高値!L31,高値!M31&gt;高値!K31,高値!M31&gt;高値!N31,高値!M31&gt;高値!O31),8,""))</f>
      </c>
      <c r="AJ31" s="684">
        <f>IF(終値!A31="","",IF(AND(高値!N31&gt;高値!M31,高値!N31&gt;高値!L31,高値!N31&gt;高値!O31,高値!N31&gt;高値!P31),9,""))</f>
      </c>
      <c r="AK31" s="684">
        <f>IF(終値!A31="","",IF(AND(高値!O31&gt;高値!N31,高値!O31&gt;高値!M31,高値!O31&gt;高値!P31,高値!O31&gt;高値!Q31),10,""))</f>
      </c>
      <c r="AL31" s="684">
        <f>IF(終値!A31="","",IF(AND(高値!P31&gt;高値!O31,高値!P31&gt;高値!N31,高値!P31&gt;高値!Q31,高値!P31&gt;高値!R31),11,""))</f>
      </c>
      <c r="AM31" s="684">
        <f>IF(終値!A31="","",IF(AND(高値!Q31&gt;高値!P31,高値!Q31&gt;高値!O31,高値!Q31&gt;高値!R31,高値!Q31&gt;高値!S31),12,""))</f>
      </c>
      <c r="AN31" s="684">
        <f>IF(終値!A31="","",IF(AND(高値!R31&gt;高値!Q31,高値!R31&gt;高値!P31,高値!R31&gt;高値!S31,高値!R31&gt;高値!T31),13,""))</f>
      </c>
      <c r="AO31" s="684">
        <f>IF(終値!A31="","",IF(AND(高値!S31&gt;高値!R31,高値!S31&gt;高値!Q31,高値!S31&gt;高値!T31,高値!S31&gt;高値!U31),14,""))</f>
      </c>
      <c r="AP31" s="684">
        <f>IF(終値!A31="","",IF(AND(高値!T31&gt;高値!S31,高値!T31&gt;高値!R31,高値!T31&gt;高値!U31,高値!T31&gt;高値!V31),15,""))</f>
      </c>
      <c r="AQ31" s="684">
        <f>IF(終値!A31="","",IF(AND(高値!U31&gt;高値!T31,高値!U31&gt;高値!S31,高値!U31&gt;高値!V31,高値!U31&gt;高値!W31),16,""))</f>
      </c>
      <c r="AR31" s="684">
        <f>IF(終値!A31="","",IF(AND(高値!V31&gt;高値!U31,高値!V31&gt;高値!T31,高値!V31&gt;高値!W31,高値!V31&gt;高値!X31),17,""))</f>
      </c>
      <c r="AS31" s="684">
        <f>IF(終値!A31="","",IF(AND(高値!W31&gt;高値!V31,高値!W31&gt;高値!U31,高値!W31&gt;高値!X31,高値!W31&gt;高値!Y31),18,""))</f>
      </c>
      <c r="AT31" s="684">
        <f>IF(終値!A31="","",IF(AND(高値!X31&gt;高値!W31,高値!X31&gt;高値!V31,高値!X31&gt;高値!Y31,高値!X31&gt;高値!Z31),19,""))</f>
      </c>
      <c r="AU31" s="684">
        <f>IF(終値!A31="","",IF(AND(高値!Y31&gt;高値!X31,高値!Y31&gt;高値!W31,高値!Y31&gt;高値!Z31,高値!Y31&gt;高値!AA31),20,""))</f>
      </c>
      <c r="AV31" s="684">
        <f>IF(終値!A31="","",IF(AND(高値!Z31&gt;高値!Y31,高値!Z31&gt;高値!X31,高値!Z31&gt;高値!AA31,高値!Z31&gt;高値!AB31),21,""))</f>
      </c>
      <c r="AW31" s="684">
        <f>IF(終値!A31="","",IF(AND(高値!AA31&gt;高値!Z31,高値!AA31&gt;高値!Y31,高値!AA31&gt;高値!AB31,高値!AA31&gt;高値!AC31),22,""))</f>
      </c>
      <c r="AX31" s="684">
        <f>IF(終値!A31="","",IF(AND(高値!AB31&gt;高値!AA31,高値!AB31&gt;高値!Z31,高値!AB31&gt;高値!AC31,高値!AB31&gt;高値!AD31),23,""))</f>
      </c>
      <c r="AY31" s="684">
        <f>IF(終値!A31="","",IF(AND(高値!AC31&gt;高値!AB31,高値!AC31&gt;高値!AA31,高値!AC31&gt;高値!AD31,高値!AC31&gt;高値!AE31),24,""))</f>
      </c>
      <c r="AZ31" s="684">
        <f>IF(終値!A31="","",IF(AND(高値!AD31&gt;高値!AC31,高値!AD31&gt;高値!AB31,高値!AD31&gt;高値!AE31,高値!AD31&gt;高値!AF31),25,""))</f>
      </c>
      <c r="BA31" s="684">
        <f>IF(終値!A31="","",IF(AND(高値!AE31&gt;高値!AD31,高値!AE31&gt;高値!AC31,高値!AE31&gt;高値!AF31,高値!AE31&gt;高値!AG31),26,""))</f>
      </c>
      <c r="BB31" s="684">
        <f>IF(終値!A31="","",IF(AND(高値!AF31&gt;高値!AE31,高値!AF31&gt;高値!AD31,高値!AF31&gt;高値!AG31,高値!AF31&gt;高値!AH31),27,""))</f>
      </c>
      <c r="BC31" s="684">
        <f>IF(終値!A31="","",IF(AND(高値!AG31&gt;高値!AF31,高値!AG31&gt;高値!AE31,高値!AG31&gt;高値!AH31,高値!AG31&gt;高値!AI31),28,""))</f>
      </c>
      <c r="BD31" s="684">
        <f>COUNT($B31:$AB31)</f>
      </c>
      <c r="BE31" s="684">
        <f>IF($BD31&gt;=2,MIN($B31:$AB31),"")</f>
      </c>
      <c r="BF31" s="684">
        <f>IF($BD31&gt;=2,SMALL($B31:$AB31,2),"")</f>
      </c>
      <c r="BG31" s="684">
        <f>IF($BE31="","",INDEX(安値!$E31:$CZ31,1,$BE31+1))</f>
      </c>
      <c r="BH31" s="684">
        <f>IF($BF31="","",INDEX(安値!$E31:$CZ31,1,$BF31+1))</f>
      </c>
      <c r="BI31" s="684">
        <f>IF($BF31="","",MAX(INDEX(高値!$E31:$CZ31,1,$BE31+1):INDEX(高値!$E31:$CZ31,1,$BF31+1)))</f>
      </c>
      <c r="BJ31" s="684">
        <f>IF($BF31="","",AVERAGE(INDEX(終値!$E31:$CZ31,1,$BF31+1):INDEX(終値!$E31:$CZ31,1,$BF31+20))-2*STDEVP(INDEX(終値!$E31:$CZ31,1,$BF31+1):INDEX(終値!$E31:$CZ31,1,$BF31+20)))</f>
      </c>
      <c r="BK31" s="684">
        <f>IF($BE31="","",AVERAGE(INDEX(終値!$E31:$CZ31,1,$BE31+1):INDEX(終値!$E31:$CZ31,1,$BE31+20))-2*STDEVP(INDEX(終値!$E31:$CZ31,1,$BE31+1):INDEX(終値!$E31:$CZ31,1,$BE31+20)))</f>
      </c>
      <c r="BL31" s="684">
        <f>COUNT($AC31:$BC31)</f>
      </c>
      <c r="BM31" s="684">
        <f>IF($BL31&gt;=2,MIN($AC31:$BC31),"")</f>
      </c>
      <c r="BN31" s="684">
        <f>IF($BL31&gt;=2,SMALL($AC31:$BC31,2),"")</f>
      </c>
      <c r="BO31" s="684">
        <f>IF($BM31="","",INDEX(高値!$E31:$CZ31,1,$BM31+1))</f>
      </c>
      <c r="BP31" s="684">
        <f>IF($BN31="","",INDEX(高値!$E31:$CZ31,1,$BN31+1))</f>
      </c>
      <c r="BQ31" s="684">
        <f>IF($BN31="","",MIN(INDEX(安値!$E31:$CZ31,1,$BM31+1):INDEX(安値!$E31:$CZ31,1,$BN31+1)))</f>
      </c>
      <c r="BR31" s="684">
        <f>IF($BN31="","",AVERAGE(INDEX(終値!$E31:$CZ31,1,$BN31+1):INDEX(終値!$E31:$CZ31,1,$BN31+20))+2*STDEVP(INDEX(終値!$E31:$CZ31,1,$BN31+1):INDEX(終値!$E31:$CZ31,1,$BN31+20)))</f>
      </c>
      <c r="BS31" s="684">
        <f>IF($BM31="","",AVERAGE(INDEX(終値!$E31:$CZ31,1,$BM31+1):INDEX(終値!$E31:$CZ31,1,$BM31+20))+2*STDEVP(INDEX(終値!$E31:$CZ31,1,$BM31+1):INDEX(終値!$E31:$CZ31,1,$BM31+20)))</f>
      </c>
      <c r="BT31" s="681">
        <f>IFERROR(IF(AND($BD31&gt;=2,ABS($BG31-$BH31)/$BH31&lt;=BB設定!$B$12,$BI31&gt;=MAX($BH31,$BG31)*(1+BB設定!$B$13),終値!E31&gt;$BG31),IF(OR(終値!E31&gt;=$BI31,AND($BH31&lt;$BJ31,$BG31&gt;=$BK31)),"二番底W▲","二番底W形成"),IF(AND($BL31&gt;=2,ABS($BO31-$BP31)/$BP31&lt;=BB設定!$B$12,$BQ31&lt;=MIN($BP31,$BO31)*(1-BB設定!$B$13),終値!E31&lt;$BO31),IF(OR(終値!E31&lt;=$BQ31,AND($BP31&gt;$BR31,$BO31&lt;=$BS31)),"二番天井M▼","二番天井M形成"),"－")),"－")</f>
      </c>
    </row>
    <row r="32">
      <c r="B32" s="684">
        <f>IF(終値!A32="","",IF(AND(安値!G32&lt;安値!F32,安値!G32&lt;安値!E32,安値!G32&lt;安値!H32,安値!G32&lt;安値!I32),2,""))</f>
      </c>
      <c r="C32" s="684">
        <f>IF(終値!A32="","",IF(AND(安値!H32&lt;安値!G32,安値!H32&lt;安値!F32,安値!H32&lt;安値!I32,安値!H32&lt;安値!J32),3,""))</f>
      </c>
      <c r="D32" s="684">
        <f>IF(終値!A32="","",IF(AND(安値!I32&lt;安値!H32,安値!I32&lt;安値!G32,安値!I32&lt;安値!J32,安値!I32&lt;安値!K32),4,""))</f>
      </c>
      <c r="E32" s="684">
        <f>IF(終値!A32="","",IF(AND(安値!J32&lt;安値!I32,安値!J32&lt;安値!H32,安値!J32&lt;安値!K32,安値!J32&lt;安値!L32),5,""))</f>
      </c>
      <c r="F32" s="684">
        <f>IF(終値!A32="","",IF(AND(安値!K32&lt;安値!J32,安値!K32&lt;安値!I32,安値!K32&lt;安値!L32,安値!K32&lt;安値!M32),6,""))</f>
      </c>
      <c r="G32" s="684">
        <f>IF(終値!A32="","",IF(AND(安値!L32&lt;安値!K32,安値!L32&lt;安値!J32,安値!L32&lt;安値!M32,安値!L32&lt;安値!N32),7,""))</f>
      </c>
      <c r="H32" s="684">
        <f>IF(終値!A32="","",IF(AND(安値!M32&lt;安値!L32,安値!M32&lt;安値!K32,安値!M32&lt;安値!N32,安値!M32&lt;安値!O32),8,""))</f>
      </c>
      <c r="I32" s="684">
        <f>IF(終値!A32="","",IF(AND(安値!N32&lt;安値!M32,安値!N32&lt;安値!L32,安値!N32&lt;安値!O32,安値!N32&lt;安値!P32),9,""))</f>
      </c>
      <c r="J32" s="684">
        <f>IF(終値!A32="","",IF(AND(安値!O32&lt;安値!N32,安値!O32&lt;安値!M32,安値!O32&lt;安値!P32,安値!O32&lt;安値!Q32),10,""))</f>
      </c>
      <c r="K32" s="684">
        <f>IF(終値!A32="","",IF(AND(安値!P32&lt;安値!O32,安値!P32&lt;安値!N32,安値!P32&lt;安値!Q32,安値!P32&lt;安値!R32),11,""))</f>
      </c>
      <c r="L32" s="684">
        <f>IF(終値!A32="","",IF(AND(安値!Q32&lt;安値!P32,安値!Q32&lt;安値!O32,安値!Q32&lt;安値!R32,安値!Q32&lt;安値!S32),12,""))</f>
      </c>
      <c r="M32" s="684">
        <f>IF(終値!A32="","",IF(AND(安値!R32&lt;安値!Q32,安値!R32&lt;安値!P32,安値!R32&lt;安値!S32,安値!R32&lt;安値!T32),13,""))</f>
      </c>
      <c r="N32" s="684">
        <f>IF(終値!A32="","",IF(AND(安値!S32&lt;安値!R32,安値!S32&lt;安値!Q32,安値!S32&lt;安値!T32,安値!S32&lt;安値!U32),14,""))</f>
      </c>
      <c r="O32" s="684">
        <f>IF(終値!A32="","",IF(AND(安値!T32&lt;安値!S32,安値!T32&lt;安値!R32,安値!T32&lt;安値!U32,安値!T32&lt;安値!V32),15,""))</f>
      </c>
      <c r="P32" s="684">
        <f>IF(終値!A32="","",IF(AND(安値!U32&lt;安値!T32,安値!U32&lt;安値!S32,安値!U32&lt;安値!V32,安値!U32&lt;安値!W32),16,""))</f>
      </c>
      <c r="Q32" s="684">
        <f>IF(終値!A32="","",IF(AND(安値!V32&lt;安値!U32,安値!V32&lt;安値!T32,安値!V32&lt;安値!W32,安値!V32&lt;安値!X32),17,""))</f>
      </c>
      <c r="R32" s="684">
        <f>IF(終値!A32="","",IF(AND(安値!W32&lt;安値!V32,安値!W32&lt;安値!U32,安値!W32&lt;安値!X32,安値!W32&lt;安値!Y32),18,""))</f>
      </c>
      <c r="S32" s="684">
        <f>IF(終値!A32="","",IF(AND(安値!X32&lt;安値!W32,安値!X32&lt;安値!V32,安値!X32&lt;安値!Y32,安値!X32&lt;安値!Z32),19,""))</f>
      </c>
      <c r="T32" s="684">
        <f>IF(終値!A32="","",IF(AND(安値!Y32&lt;安値!X32,安値!Y32&lt;安値!W32,安値!Y32&lt;安値!Z32,安値!Y32&lt;安値!AA32),20,""))</f>
      </c>
      <c r="U32" s="684">
        <f>IF(終値!A32="","",IF(AND(安値!Z32&lt;安値!Y32,安値!Z32&lt;安値!X32,安値!Z32&lt;安値!AA32,安値!Z32&lt;安値!AB32),21,""))</f>
      </c>
      <c r="V32" s="684">
        <f>IF(終値!A32="","",IF(AND(安値!AA32&lt;安値!Z32,安値!AA32&lt;安値!Y32,安値!AA32&lt;安値!AB32,安値!AA32&lt;安値!AC32),22,""))</f>
      </c>
      <c r="W32" s="684">
        <f>IF(終値!A32="","",IF(AND(安値!AB32&lt;安値!AA32,安値!AB32&lt;安値!Z32,安値!AB32&lt;安値!AC32,安値!AB32&lt;安値!AD32),23,""))</f>
      </c>
      <c r="X32" s="684">
        <f>IF(終値!A32="","",IF(AND(安値!AC32&lt;安値!AB32,安値!AC32&lt;安値!AA32,安値!AC32&lt;安値!AD32,安値!AC32&lt;安値!AE32),24,""))</f>
      </c>
      <c r="Y32" s="684">
        <f>IF(終値!A32="","",IF(AND(安値!AD32&lt;安値!AC32,安値!AD32&lt;安値!AB32,安値!AD32&lt;安値!AE32,安値!AD32&lt;安値!AF32),25,""))</f>
      </c>
      <c r="Z32" s="684">
        <f>IF(終値!A32="","",IF(AND(安値!AE32&lt;安値!AD32,安値!AE32&lt;安値!AC32,安値!AE32&lt;安値!AF32,安値!AE32&lt;安値!AG32),26,""))</f>
      </c>
      <c r="AA32" s="684">
        <f>IF(終値!A32="","",IF(AND(安値!AF32&lt;安値!AE32,安値!AF32&lt;安値!AD32,安値!AF32&lt;安値!AG32,安値!AF32&lt;安値!AH32),27,""))</f>
      </c>
      <c r="AB32" s="684">
        <f>IF(終値!A32="","",IF(AND(安値!AG32&lt;安値!AF32,安値!AG32&lt;安値!AE32,安値!AG32&lt;安値!AH32,安値!AG32&lt;安値!AI32),28,""))</f>
      </c>
      <c r="AC32" s="684">
        <f>IF(終値!A32="","",IF(AND(高値!G32&gt;高値!F32,高値!G32&gt;高値!E32,高値!G32&gt;高値!H32,高値!G32&gt;高値!I32),2,""))</f>
      </c>
      <c r="AD32" s="684">
        <f>IF(終値!A32="","",IF(AND(高値!H32&gt;高値!G32,高値!H32&gt;高値!F32,高値!H32&gt;高値!I32,高値!H32&gt;高値!J32),3,""))</f>
      </c>
      <c r="AE32" s="684">
        <f>IF(終値!A32="","",IF(AND(高値!I32&gt;高値!H32,高値!I32&gt;高値!G32,高値!I32&gt;高値!J32,高値!I32&gt;高値!K32),4,""))</f>
      </c>
      <c r="AF32" s="684">
        <f>IF(終値!A32="","",IF(AND(高値!J32&gt;高値!I32,高値!J32&gt;高値!H32,高値!J32&gt;高値!K32,高値!J32&gt;高値!L32),5,""))</f>
      </c>
      <c r="AG32" s="684">
        <f>IF(終値!A32="","",IF(AND(高値!K32&gt;高値!J32,高値!K32&gt;高値!I32,高値!K32&gt;高値!L32,高値!K32&gt;高値!M32),6,""))</f>
      </c>
      <c r="AH32" s="684">
        <f>IF(終値!A32="","",IF(AND(高値!L32&gt;高値!K32,高値!L32&gt;高値!J32,高値!L32&gt;高値!M32,高値!L32&gt;高値!N32),7,""))</f>
      </c>
      <c r="AI32" s="684">
        <f>IF(終値!A32="","",IF(AND(高値!M32&gt;高値!L32,高値!M32&gt;高値!K32,高値!M32&gt;高値!N32,高値!M32&gt;高値!O32),8,""))</f>
      </c>
      <c r="AJ32" s="684">
        <f>IF(終値!A32="","",IF(AND(高値!N32&gt;高値!M32,高値!N32&gt;高値!L32,高値!N32&gt;高値!O32,高値!N32&gt;高値!P32),9,""))</f>
      </c>
      <c r="AK32" s="684">
        <f>IF(終値!A32="","",IF(AND(高値!O32&gt;高値!N32,高値!O32&gt;高値!M32,高値!O32&gt;高値!P32,高値!O32&gt;高値!Q32),10,""))</f>
      </c>
      <c r="AL32" s="684">
        <f>IF(終値!A32="","",IF(AND(高値!P32&gt;高値!O32,高値!P32&gt;高値!N32,高値!P32&gt;高値!Q32,高値!P32&gt;高値!R32),11,""))</f>
      </c>
      <c r="AM32" s="684">
        <f>IF(終値!A32="","",IF(AND(高値!Q32&gt;高値!P32,高値!Q32&gt;高値!O32,高値!Q32&gt;高値!R32,高値!Q32&gt;高値!S32),12,""))</f>
      </c>
      <c r="AN32" s="684">
        <f>IF(終値!A32="","",IF(AND(高値!R32&gt;高値!Q32,高値!R32&gt;高値!P32,高値!R32&gt;高値!S32,高値!R32&gt;高値!T32),13,""))</f>
      </c>
      <c r="AO32" s="684">
        <f>IF(終値!A32="","",IF(AND(高値!S32&gt;高値!R32,高値!S32&gt;高値!Q32,高値!S32&gt;高値!T32,高値!S32&gt;高値!U32),14,""))</f>
      </c>
      <c r="AP32" s="684">
        <f>IF(終値!A32="","",IF(AND(高値!T32&gt;高値!S32,高値!T32&gt;高値!R32,高値!T32&gt;高値!U32,高値!T32&gt;高値!V32),15,""))</f>
      </c>
      <c r="AQ32" s="684">
        <f>IF(終値!A32="","",IF(AND(高値!U32&gt;高値!T32,高値!U32&gt;高値!S32,高値!U32&gt;高値!V32,高値!U32&gt;高値!W32),16,""))</f>
      </c>
      <c r="AR32" s="684">
        <f>IF(終値!A32="","",IF(AND(高値!V32&gt;高値!U32,高値!V32&gt;高値!T32,高値!V32&gt;高値!W32,高値!V32&gt;高値!X32),17,""))</f>
      </c>
      <c r="AS32" s="684">
        <f>IF(終値!A32="","",IF(AND(高値!W32&gt;高値!V32,高値!W32&gt;高値!U32,高値!W32&gt;高値!X32,高値!W32&gt;高値!Y32),18,""))</f>
      </c>
      <c r="AT32" s="684">
        <f>IF(終値!A32="","",IF(AND(高値!X32&gt;高値!W32,高値!X32&gt;高値!V32,高値!X32&gt;高値!Y32,高値!X32&gt;高値!Z32),19,""))</f>
      </c>
      <c r="AU32" s="684">
        <f>IF(終値!A32="","",IF(AND(高値!Y32&gt;高値!X32,高値!Y32&gt;高値!W32,高値!Y32&gt;高値!Z32,高値!Y32&gt;高値!AA32),20,""))</f>
      </c>
      <c r="AV32" s="684">
        <f>IF(終値!A32="","",IF(AND(高値!Z32&gt;高値!Y32,高値!Z32&gt;高値!X32,高値!Z32&gt;高値!AA32,高値!Z32&gt;高値!AB32),21,""))</f>
      </c>
      <c r="AW32" s="684">
        <f>IF(終値!A32="","",IF(AND(高値!AA32&gt;高値!Z32,高値!AA32&gt;高値!Y32,高値!AA32&gt;高値!AB32,高値!AA32&gt;高値!AC32),22,""))</f>
      </c>
      <c r="AX32" s="684">
        <f>IF(終値!A32="","",IF(AND(高値!AB32&gt;高値!AA32,高値!AB32&gt;高値!Z32,高値!AB32&gt;高値!AC32,高値!AB32&gt;高値!AD32),23,""))</f>
      </c>
      <c r="AY32" s="684">
        <f>IF(終値!A32="","",IF(AND(高値!AC32&gt;高値!AB32,高値!AC32&gt;高値!AA32,高値!AC32&gt;高値!AD32,高値!AC32&gt;高値!AE32),24,""))</f>
      </c>
      <c r="AZ32" s="684">
        <f>IF(終値!A32="","",IF(AND(高値!AD32&gt;高値!AC32,高値!AD32&gt;高値!AB32,高値!AD32&gt;高値!AE32,高値!AD32&gt;高値!AF32),25,""))</f>
      </c>
      <c r="BA32" s="684">
        <f>IF(終値!A32="","",IF(AND(高値!AE32&gt;高値!AD32,高値!AE32&gt;高値!AC32,高値!AE32&gt;高値!AF32,高値!AE32&gt;高値!AG32),26,""))</f>
      </c>
      <c r="BB32" s="684">
        <f>IF(終値!A32="","",IF(AND(高値!AF32&gt;高値!AE32,高値!AF32&gt;高値!AD32,高値!AF32&gt;高値!AG32,高値!AF32&gt;高値!AH32),27,""))</f>
      </c>
      <c r="BC32" s="684">
        <f>IF(終値!A32="","",IF(AND(高値!AG32&gt;高値!AF32,高値!AG32&gt;高値!AE32,高値!AG32&gt;高値!AH32,高値!AG32&gt;高値!AI32),28,""))</f>
      </c>
      <c r="BD32" s="684">
        <f>COUNT($B32:$AB32)</f>
      </c>
      <c r="BE32" s="684">
        <f>IF($BD32&gt;=2,MIN($B32:$AB32),"")</f>
      </c>
      <c r="BF32" s="684">
        <f>IF($BD32&gt;=2,SMALL($B32:$AB32,2),"")</f>
      </c>
      <c r="BG32" s="684">
        <f>IF($BE32="","",INDEX(安値!$E32:$CZ32,1,$BE32+1))</f>
      </c>
      <c r="BH32" s="684">
        <f>IF($BF32="","",INDEX(安値!$E32:$CZ32,1,$BF32+1))</f>
      </c>
      <c r="BI32" s="684">
        <f>IF($BF32="","",MAX(INDEX(高値!$E32:$CZ32,1,$BE32+1):INDEX(高値!$E32:$CZ32,1,$BF32+1)))</f>
      </c>
      <c r="BJ32" s="684">
        <f>IF($BF32="","",AVERAGE(INDEX(終値!$E32:$CZ32,1,$BF32+1):INDEX(終値!$E32:$CZ32,1,$BF32+20))-2*STDEVP(INDEX(終値!$E32:$CZ32,1,$BF32+1):INDEX(終値!$E32:$CZ32,1,$BF32+20)))</f>
      </c>
      <c r="BK32" s="684">
        <f>IF($BE32="","",AVERAGE(INDEX(終値!$E32:$CZ32,1,$BE32+1):INDEX(終値!$E32:$CZ32,1,$BE32+20))-2*STDEVP(INDEX(終値!$E32:$CZ32,1,$BE32+1):INDEX(終値!$E32:$CZ32,1,$BE32+20)))</f>
      </c>
      <c r="BL32" s="684">
        <f>COUNT($AC32:$BC32)</f>
      </c>
      <c r="BM32" s="684">
        <f>IF($BL32&gt;=2,MIN($AC32:$BC32),"")</f>
      </c>
      <c r="BN32" s="684">
        <f>IF($BL32&gt;=2,SMALL($AC32:$BC32,2),"")</f>
      </c>
      <c r="BO32" s="684">
        <f>IF($BM32="","",INDEX(高値!$E32:$CZ32,1,$BM32+1))</f>
      </c>
      <c r="BP32" s="684">
        <f>IF($BN32="","",INDEX(高値!$E32:$CZ32,1,$BN32+1))</f>
      </c>
      <c r="BQ32" s="684">
        <f>IF($BN32="","",MIN(INDEX(安値!$E32:$CZ32,1,$BM32+1):INDEX(安値!$E32:$CZ32,1,$BN32+1)))</f>
      </c>
      <c r="BR32" s="684">
        <f>IF($BN32="","",AVERAGE(INDEX(終値!$E32:$CZ32,1,$BN32+1):INDEX(終値!$E32:$CZ32,1,$BN32+20))+2*STDEVP(INDEX(終値!$E32:$CZ32,1,$BN32+1):INDEX(終値!$E32:$CZ32,1,$BN32+20)))</f>
      </c>
      <c r="BS32" s="684">
        <f>IF($BM32="","",AVERAGE(INDEX(終値!$E32:$CZ32,1,$BM32+1):INDEX(終値!$E32:$CZ32,1,$BM32+20))+2*STDEVP(INDEX(終値!$E32:$CZ32,1,$BM32+1):INDEX(終値!$E32:$CZ32,1,$BM32+20)))</f>
      </c>
      <c r="BT32" s="681">
        <f>IFERROR(IF(AND($BD32&gt;=2,ABS($BG32-$BH32)/$BH32&lt;=BB設定!$B$12,$BI32&gt;=MAX($BH32,$BG32)*(1+BB設定!$B$13),終値!E32&gt;$BG32),IF(OR(終値!E32&gt;=$BI32,AND($BH32&lt;$BJ32,$BG32&gt;=$BK32)),"二番底W▲","二番底W形成"),IF(AND($BL32&gt;=2,ABS($BO32-$BP32)/$BP32&lt;=BB設定!$B$12,$BQ32&lt;=MIN($BP32,$BO32)*(1-BB設定!$B$13),終値!E32&lt;$BO32),IF(OR(終値!E32&lt;=$BQ32,AND($BP32&gt;$BR32,$BO32&lt;=$BS32)),"二番天井M▼","二番天井M形成"),"－")),"－")</f>
      </c>
    </row>
    <row r="33">
      <c r="B33" s="684">
        <f>IF(終値!A33="","",IF(AND(安値!G33&lt;安値!F33,安値!G33&lt;安値!E33,安値!G33&lt;安値!H33,安値!G33&lt;安値!I33),2,""))</f>
      </c>
      <c r="C33" s="684">
        <f>IF(終値!A33="","",IF(AND(安値!H33&lt;安値!G33,安値!H33&lt;安値!F33,安値!H33&lt;安値!I33,安値!H33&lt;安値!J33),3,""))</f>
      </c>
      <c r="D33" s="684">
        <f>IF(終値!A33="","",IF(AND(安値!I33&lt;安値!H33,安値!I33&lt;安値!G33,安値!I33&lt;安値!J33,安値!I33&lt;安値!K33),4,""))</f>
      </c>
      <c r="E33" s="684">
        <f>IF(終値!A33="","",IF(AND(安値!J33&lt;安値!I33,安値!J33&lt;安値!H33,安値!J33&lt;安値!K33,安値!J33&lt;安値!L33),5,""))</f>
      </c>
      <c r="F33" s="684">
        <f>IF(終値!A33="","",IF(AND(安値!K33&lt;安値!J33,安値!K33&lt;安値!I33,安値!K33&lt;安値!L33,安値!K33&lt;安値!M33),6,""))</f>
      </c>
      <c r="G33" s="684">
        <f>IF(終値!A33="","",IF(AND(安値!L33&lt;安値!K33,安値!L33&lt;安値!J33,安値!L33&lt;安値!M33,安値!L33&lt;安値!N33),7,""))</f>
      </c>
      <c r="H33" s="684">
        <f>IF(終値!A33="","",IF(AND(安値!M33&lt;安値!L33,安値!M33&lt;安値!K33,安値!M33&lt;安値!N33,安値!M33&lt;安値!O33),8,""))</f>
      </c>
      <c r="I33" s="684">
        <f>IF(終値!A33="","",IF(AND(安値!N33&lt;安値!M33,安値!N33&lt;安値!L33,安値!N33&lt;安値!O33,安値!N33&lt;安値!P33),9,""))</f>
      </c>
      <c r="J33" s="684">
        <f>IF(終値!A33="","",IF(AND(安値!O33&lt;安値!N33,安値!O33&lt;安値!M33,安値!O33&lt;安値!P33,安値!O33&lt;安値!Q33),10,""))</f>
      </c>
      <c r="K33" s="684">
        <f>IF(終値!A33="","",IF(AND(安値!P33&lt;安値!O33,安値!P33&lt;安値!N33,安値!P33&lt;安値!Q33,安値!P33&lt;安値!R33),11,""))</f>
      </c>
      <c r="L33" s="684">
        <f>IF(終値!A33="","",IF(AND(安値!Q33&lt;安値!P33,安値!Q33&lt;安値!O33,安値!Q33&lt;安値!R33,安値!Q33&lt;安値!S33),12,""))</f>
      </c>
      <c r="M33" s="684">
        <f>IF(終値!A33="","",IF(AND(安値!R33&lt;安値!Q33,安値!R33&lt;安値!P33,安値!R33&lt;安値!S33,安値!R33&lt;安値!T33),13,""))</f>
      </c>
      <c r="N33" s="684">
        <f>IF(終値!A33="","",IF(AND(安値!S33&lt;安値!R33,安値!S33&lt;安値!Q33,安値!S33&lt;安値!T33,安値!S33&lt;安値!U33),14,""))</f>
      </c>
      <c r="O33" s="684">
        <f>IF(終値!A33="","",IF(AND(安値!T33&lt;安値!S33,安値!T33&lt;安値!R33,安値!T33&lt;安値!U33,安値!T33&lt;安値!V33),15,""))</f>
      </c>
      <c r="P33" s="684">
        <f>IF(終値!A33="","",IF(AND(安値!U33&lt;安値!T33,安値!U33&lt;安値!S33,安値!U33&lt;安値!V33,安値!U33&lt;安値!W33),16,""))</f>
      </c>
      <c r="Q33" s="684">
        <f>IF(終値!A33="","",IF(AND(安値!V33&lt;安値!U33,安値!V33&lt;安値!T33,安値!V33&lt;安値!W33,安値!V33&lt;安値!X33),17,""))</f>
      </c>
      <c r="R33" s="684">
        <f>IF(終値!A33="","",IF(AND(安値!W33&lt;安値!V33,安値!W33&lt;安値!U33,安値!W33&lt;安値!X33,安値!W33&lt;安値!Y33),18,""))</f>
      </c>
      <c r="S33" s="684">
        <f>IF(終値!A33="","",IF(AND(安値!X33&lt;安値!W33,安値!X33&lt;安値!V33,安値!X33&lt;安値!Y33,安値!X33&lt;安値!Z33),19,""))</f>
      </c>
      <c r="T33" s="684">
        <f>IF(終値!A33="","",IF(AND(安値!Y33&lt;安値!X33,安値!Y33&lt;安値!W33,安値!Y33&lt;安値!Z33,安値!Y33&lt;安値!AA33),20,""))</f>
      </c>
      <c r="U33" s="684">
        <f>IF(終値!A33="","",IF(AND(安値!Z33&lt;安値!Y33,安値!Z33&lt;安値!X33,安値!Z33&lt;安値!AA33,安値!Z33&lt;安値!AB33),21,""))</f>
      </c>
      <c r="V33" s="684">
        <f>IF(終値!A33="","",IF(AND(安値!AA33&lt;安値!Z33,安値!AA33&lt;安値!Y33,安値!AA33&lt;安値!AB33,安値!AA33&lt;安値!AC33),22,""))</f>
      </c>
      <c r="W33" s="684">
        <f>IF(終値!A33="","",IF(AND(安値!AB33&lt;安値!AA33,安値!AB33&lt;安値!Z33,安値!AB33&lt;安値!AC33,安値!AB33&lt;安値!AD33),23,""))</f>
      </c>
      <c r="X33" s="684">
        <f>IF(終値!A33="","",IF(AND(安値!AC33&lt;安値!AB33,安値!AC33&lt;安値!AA33,安値!AC33&lt;安値!AD33,安値!AC33&lt;安値!AE33),24,""))</f>
      </c>
      <c r="Y33" s="684">
        <f>IF(終値!A33="","",IF(AND(安値!AD33&lt;安値!AC33,安値!AD33&lt;安値!AB33,安値!AD33&lt;安値!AE33,安値!AD33&lt;安値!AF33),25,""))</f>
      </c>
      <c r="Z33" s="684">
        <f>IF(終値!A33="","",IF(AND(安値!AE33&lt;安値!AD33,安値!AE33&lt;安値!AC33,安値!AE33&lt;安値!AF33,安値!AE33&lt;安値!AG33),26,""))</f>
      </c>
      <c r="AA33" s="684">
        <f>IF(終値!A33="","",IF(AND(安値!AF33&lt;安値!AE33,安値!AF33&lt;安値!AD33,安値!AF33&lt;安値!AG33,安値!AF33&lt;安値!AH33),27,""))</f>
      </c>
      <c r="AB33" s="684">
        <f>IF(終値!A33="","",IF(AND(安値!AG33&lt;安値!AF33,安値!AG33&lt;安値!AE33,安値!AG33&lt;安値!AH33,安値!AG33&lt;安値!AI33),28,""))</f>
      </c>
      <c r="AC33" s="684">
        <f>IF(終値!A33="","",IF(AND(高値!G33&gt;高値!F33,高値!G33&gt;高値!E33,高値!G33&gt;高値!H33,高値!G33&gt;高値!I33),2,""))</f>
      </c>
      <c r="AD33" s="684">
        <f>IF(終値!A33="","",IF(AND(高値!H33&gt;高値!G33,高値!H33&gt;高値!F33,高値!H33&gt;高値!I33,高値!H33&gt;高値!J33),3,""))</f>
      </c>
      <c r="AE33" s="684">
        <f>IF(終値!A33="","",IF(AND(高値!I33&gt;高値!H33,高値!I33&gt;高値!G33,高値!I33&gt;高値!J33,高値!I33&gt;高値!K33),4,""))</f>
      </c>
      <c r="AF33" s="684">
        <f>IF(終値!A33="","",IF(AND(高値!J33&gt;高値!I33,高値!J33&gt;高値!H33,高値!J33&gt;高値!K33,高値!J33&gt;高値!L33),5,""))</f>
      </c>
      <c r="AG33" s="684">
        <f>IF(終値!A33="","",IF(AND(高値!K33&gt;高値!J33,高値!K33&gt;高値!I33,高値!K33&gt;高値!L33,高値!K33&gt;高値!M33),6,""))</f>
      </c>
      <c r="AH33" s="684">
        <f>IF(終値!A33="","",IF(AND(高値!L33&gt;高値!K33,高値!L33&gt;高値!J33,高値!L33&gt;高値!M33,高値!L33&gt;高値!N33),7,""))</f>
      </c>
      <c r="AI33" s="684">
        <f>IF(終値!A33="","",IF(AND(高値!M33&gt;高値!L33,高値!M33&gt;高値!K33,高値!M33&gt;高値!N33,高値!M33&gt;高値!O33),8,""))</f>
      </c>
      <c r="AJ33" s="684">
        <f>IF(終値!A33="","",IF(AND(高値!N33&gt;高値!M33,高値!N33&gt;高値!L33,高値!N33&gt;高値!O33,高値!N33&gt;高値!P33),9,""))</f>
      </c>
      <c r="AK33" s="684">
        <f>IF(終値!A33="","",IF(AND(高値!O33&gt;高値!N33,高値!O33&gt;高値!M33,高値!O33&gt;高値!P33,高値!O33&gt;高値!Q33),10,""))</f>
      </c>
      <c r="AL33" s="684">
        <f>IF(終値!A33="","",IF(AND(高値!P33&gt;高値!O33,高値!P33&gt;高値!N33,高値!P33&gt;高値!Q33,高値!P33&gt;高値!R33),11,""))</f>
      </c>
      <c r="AM33" s="684">
        <f>IF(終値!A33="","",IF(AND(高値!Q33&gt;高値!P33,高値!Q33&gt;高値!O33,高値!Q33&gt;高値!R33,高値!Q33&gt;高値!S33),12,""))</f>
      </c>
      <c r="AN33" s="684">
        <f>IF(終値!A33="","",IF(AND(高値!R33&gt;高値!Q33,高値!R33&gt;高値!P33,高値!R33&gt;高値!S33,高値!R33&gt;高値!T33),13,""))</f>
      </c>
      <c r="AO33" s="684">
        <f>IF(終値!A33="","",IF(AND(高値!S33&gt;高値!R33,高値!S33&gt;高値!Q33,高値!S33&gt;高値!T33,高値!S33&gt;高値!U33),14,""))</f>
      </c>
      <c r="AP33" s="684">
        <f>IF(終値!A33="","",IF(AND(高値!T33&gt;高値!S33,高値!T33&gt;高値!R33,高値!T33&gt;高値!U33,高値!T33&gt;高値!V33),15,""))</f>
      </c>
      <c r="AQ33" s="684">
        <f>IF(終値!A33="","",IF(AND(高値!U33&gt;高値!T33,高値!U33&gt;高値!S33,高値!U33&gt;高値!V33,高値!U33&gt;高値!W33),16,""))</f>
      </c>
      <c r="AR33" s="684">
        <f>IF(終値!A33="","",IF(AND(高値!V33&gt;高値!U33,高値!V33&gt;高値!T33,高値!V33&gt;高値!W33,高値!V33&gt;高値!X33),17,""))</f>
      </c>
      <c r="AS33" s="684">
        <f>IF(終値!A33="","",IF(AND(高値!W33&gt;高値!V33,高値!W33&gt;高値!U33,高値!W33&gt;高値!X33,高値!W33&gt;高値!Y33),18,""))</f>
      </c>
      <c r="AT33" s="684">
        <f>IF(終値!A33="","",IF(AND(高値!X33&gt;高値!W33,高値!X33&gt;高値!V33,高値!X33&gt;高値!Y33,高値!X33&gt;高値!Z33),19,""))</f>
      </c>
      <c r="AU33" s="684">
        <f>IF(終値!A33="","",IF(AND(高値!Y33&gt;高値!X33,高値!Y33&gt;高値!W33,高値!Y33&gt;高値!Z33,高値!Y33&gt;高値!AA33),20,""))</f>
      </c>
      <c r="AV33" s="684">
        <f>IF(終値!A33="","",IF(AND(高値!Z33&gt;高値!Y33,高値!Z33&gt;高値!X33,高値!Z33&gt;高値!AA33,高値!Z33&gt;高値!AB33),21,""))</f>
      </c>
      <c r="AW33" s="684">
        <f>IF(終値!A33="","",IF(AND(高値!AA33&gt;高値!Z33,高値!AA33&gt;高値!Y33,高値!AA33&gt;高値!AB33,高値!AA33&gt;高値!AC33),22,""))</f>
      </c>
      <c r="AX33" s="684">
        <f>IF(終値!A33="","",IF(AND(高値!AB33&gt;高値!AA33,高値!AB33&gt;高値!Z33,高値!AB33&gt;高値!AC33,高値!AB33&gt;高値!AD33),23,""))</f>
      </c>
      <c r="AY33" s="684">
        <f>IF(終値!A33="","",IF(AND(高値!AC33&gt;高値!AB33,高値!AC33&gt;高値!AA33,高値!AC33&gt;高値!AD33,高値!AC33&gt;高値!AE33),24,""))</f>
      </c>
      <c r="AZ33" s="684">
        <f>IF(終値!A33="","",IF(AND(高値!AD33&gt;高値!AC33,高値!AD33&gt;高値!AB33,高値!AD33&gt;高値!AE33,高値!AD33&gt;高値!AF33),25,""))</f>
      </c>
      <c r="BA33" s="684">
        <f>IF(終値!A33="","",IF(AND(高値!AE33&gt;高値!AD33,高値!AE33&gt;高値!AC33,高値!AE33&gt;高値!AF33,高値!AE33&gt;高値!AG33),26,""))</f>
      </c>
      <c r="BB33" s="684">
        <f>IF(終値!A33="","",IF(AND(高値!AF33&gt;高値!AE33,高値!AF33&gt;高値!AD33,高値!AF33&gt;高値!AG33,高値!AF33&gt;高値!AH33),27,""))</f>
      </c>
      <c r="BC33" s="684">
        <f>IF(終値!A33="","",IF(AND(高値!AG33&gt;高値!AF33,高値!AG33&gt;高値!AE33,高値!AG33&gt;高値!AH33,高値!AG33&gt;高値!AI33),28,""))</f>
      </c>
      <c r="BD33" s="684">
        <f>COUNT($B33:$AB33)</f>
      </c>
      <c r="BE33" s="684">
        <f>IF($BD33&gt;=2,MIN($B33:$AB33),"")</f>
      </c>
      <c r="BF33" s="684">
        <f>IF($BD33&gt;=2,SMALL($B33:$AB33,2),"")</f>
      </c>
      <c r="BG33" s="684">
        <f>IF($BE33="","",INDEX(安値!$E33:$CZ33,1,$BE33+1))</f>
      </c>
      <c r="BH33" s="684">
        <f>IF($BF33="","",INDEX(安値!$E33:$CZ33,1,$BF33+1))</f>
      </c>
      <c r="BI33" s="684">
        <f>IF($BF33="","",MAX(INDEX(高値!$E33:$CZ33,1,$BE33+1):INDEX(高値!$E33:$CZ33,1,$BF33+1)))</f>
      </c>
      <c r="BJ33" s="684">
        <f>IF($BF33="","",AVERAGE(INDEX(終値!$E33:$CZ33,1,$BF33+1):INDEX(終値!$E33:$CZ33,1,$BF33+20))-2*STDEVP(INDEX(終値!$E33:$CZ33,1,$BF33+1):INDEX(終値!$E33:$CZ33,1,$BF33+20)))</f>
      </c>
      <c r="BK33" s="684">
        <f>IF($BE33="","",AVERAGE(INDEX(終値!$E33:$CZ33,1,$BE33+1):INDEX(終値!$E33:$CZ33,1,$BE33+20))-2*STDEVP(INDEX(終値!$E33:$CZ33,1,$BE33+1):INDEX(終値!$E33:$CZ33,1,$BE33+20)))</f>
      </c>
      <c r="BL33" s="684">
        <f>COUNT($AC33:$BC33)</f>
      </c>
      <c r="BM33" s="684">
        <f>IF($BL33&gt;=2,MIN($AC33:$BC33),"")</f>
      </c>
      <c r="BN33" s="684">
        <f>IF($BL33&gt;=2,SMALL($AC33:$BC33,2),"")</f>
      </c>
      <c r="BO33" s="684">
        <f>IF($BM33="","",INDEX(高値!$E33:$CZ33,1,$BM33+1))</f>
      </c>
      <c r="BP33" s="684">
        <f>IF($BN33="","",INDEX(高値!$E33:$CZ33,1,$BN33+1))</f>
      </c>
      <c r="BQ33" s="684">
        <f>IF($BN33="","",MIN(INDEX(安値!$E33:$CZ33,1,$BM33+1):INDEX(安値!$E33:$CZ33,1,$BN33+1)))</f>
      </c>
      <c r="BR33" s="684">
        <f>IF($BN33="","",AVERAGE(INDEX(終値!$E33:$CZ33,1,$BN33+1):INDEX(終値!$E33:$CZ33,1,$BN33+20))+2*STDEVP(INDEX(終値!$E33:$CZ33,1,$BN33+1):INDEX(終値!$E33:$CZ33,1,$BN33+20)))</f>
      </c>
      <c r="BS33" s="684">
        <f>IF($BM33="","",AVERAGE(INDEX(終値!$E33:$CZ33,1,$BM33+1):INDEX(終値!$E33:$CZ33,1,$BM33+20))+2*STDEVP(INDEX(終値!$E33:$CZ33,1,$BM33+1):INDEX(終値!$E33:$CZ33,1,$BM33+20)))</f>
      </c>
      <c r="BT33" s="681">
        <f>IFERROR(IF(AND($BD33&gt;=2,ABS($BG33-$BH33)/$BH33&lt;=BB設定!$B$12,$BI33&gt;=MAX($BH33,$BG33)*(1+BB設定!$B$13),終値!E33&gt;$BG33),IF(OR(終値!E33&gt;=$BI33,AND($BH33&lt;$BJ33,$BG33&gt;=$BK33)),"二番底W▲","二番底W形成"),IF(AND($BL33&gt;=2,ABS($BO33-$BP33)/$BP33&lt;=BB設定!$B$12,$BQ33&lt;=MIN($BP33,$BO33)*(1-BB設定!$B$13),終値!E33&lt;$BO33),IF(OR(終値!E33&lt;=$BQ33,AND($BP33&gt;$BR33,$BO33&lt;=$BS33)),"二番天井M▼","二番天井M形成"),"－")),"－")</f>
      </c>
    </row>
    <row r="34">
      <c r="B34" s="684">
        <f>IF(終値!A34="","",IF(AND(安値!G34&lt;安値!F34,安値!G34&lt;安値!E34,安値!G34&lt;安値!H34,安値!G34&lt;安値!I34),2,""))</f>
      </c>
      <c r="C34" s="684">
        <f>IF(終値!A34="","",IF(AND(安値!H34&lt;安値!G34,安値!H34&lt;安値!F34,安値!H34&lt;安値!I34,安値!H34&lt;安値!J34),3,""))</f>
      </c>
      <c r="D34" s="684">
        <f>IF(終値!A34="","",IF(AND(安値!I34&lt;安値!H34,安値!I34&lt;安値!G34,安値!I34&lt;安値!J34,安値!I34&lt;安値!K34),4,""))</f>
      </c>
      <c r="E34" s="684">
        <f>IF(終値!A34="","",IF(AND(安値!J34&lt;安値!I34,安値!J34&lt;安値!H34,安値!J34&lt;安値!K34,安値!J34&lt;安値!L34),5,""))</f>
      </c>
      <c r="F34" s="684">
        <f>IF(終値!A34="","",IF(AND(安値!K34&lt;安値!J34,安値!K34&lt;安値!I34,安値!K34&lt;安値!L34,安値!K34&lt;安値!M34),6,""))</f>
      </c>
      <c r="G34" s="684">
        <f>IF(終値!A34="","",IF(AND(安値!L34&lt;安値!K34,安値!L34&lt;安値!J34,安値!L34&lt;安値!M34,安値!L34&lt;安値!N34),7,""))</f>
      </c>
      <c r="H34" s="684">
        <f>IF(終値!A34="","",IF(AND(安値!M34&lt;安値!L34,安値!M34&lt;安値!K34,安値!M34&lt;安値!N34,安値!M34&lt;安値!O34),8,""))</f>
      </c>
      <c r="I34" s="684">
        <f>IF(終値!A34="","",IF(AND(安値!N34&lt;安値!M34,安値!N34&lt;安値!L34,安値!N34&lt;安値!O34,安値!N34&lt;安値!P34),9,""))</f>
      </c>
      <c r="J34" s="684">
        <f>IF(終値!A34="","",IF(AND(安値!O34&lt;安値!N34,安値!O34&lt;安値!M34,安値!O34&lt;安値!P34,安値!O34&lt;安値!Q34),10,""))</f>
      </c>
      <c r="K34" s="684">
        <f>IF(終値!A34="","",IF(AND(安値!P34&lt;安値!O34,安値!P34&lt;安値!N34,安値!P34&lt;安値!Q34,安値!P34&lt;安値!R34),11,""))</f>
      </c>
      <c r="L34" s="684">
        <f>IF(終値!A34="","",IF(AND(安値!Q34&lt;安値!P34,安値!Q34&lt;安値!O34,安値!Q34&lt;安値!R34,安値!Q34&lt;安値!S34),12,""))</f>
      </c>
      <c r="M34" s="684">
        <f>IF(終値!A34="","",IF(AND(安値!R34&lt;安値!Q34,安値!R34&lt;安値!P34,安値!R34&lt;安値!S34,安値!R34&lt;安値!T34),13,""))</f>
      </c>
      <c r="N34" s="684">
        <f>IF(終値!A34="","",IF(AND(安値!S34&lt;安値!R34,安値!S34&lt;安値!Q34,安値!S34&lt;安値!T34,安値!S34&lt;安値!U34),14,""))</f>
      </c>
      <c r="O34" s="684">
        <f>IF(終値!A34="","",IF(AND(安値!T34&lt;安値!S34,安値!T34&lt;安値!R34,安値!T34&lt;安値!U34,安値!T34&lt;安値!V34),15,""))</f>
      </c>
      <c r="P34" s="684">
        <f>IF(終値!A34="","",IF(AND(安値!U34&lt;安値!T34,安値!U34&lt;安値!S34,安値!U34&lt;安値!V34,安値!U34&lt;安値!W34),16,""))</f>
      </c>
      <c r="Q34" s="684">
        <f>IF(終値!A34="","",IF(AND(安値!V34&lt;安値!U34,安値!V34&lt;安値!T34,安値!V34&lt;安値!W34,安値!V34&lt;安値!X34),17,""))</f>
      </c>
      <c r="R34" s="684">
        <f>IF(終値!A34="","",IF(AND(安値!W34&lt;安値!V34,安値!W34&lt;安値!U34,安値!W34&lt;安値!X34,安値!W34&lt;安値!Y34),18,""))</f>
      </c>
      <c r="S34" s="684">
        <f>IF(終値!A34="","",IF(AND(安値!X34&lt;安値!W34,安値!X34&lt;安値!V34,安値!X34&lt;安値!Y34,安値!X34&lt;安値!Z34),19,""))</f>
      </c>
      <c r="T34" s="684">
        <f>IF(終値!A34="","",IF(AND(安値!Y34&lt;安値!X34,安値!Y34&lt;安値!W34,安値!Y34&lt;安値!Z34,安値!Y34&lt;安値!AA34),20,""))</f>
      </c>
      <c r="U34" s="684">
        <f>IF(終値!A34="","",IF(AND(安値!Z34&lt;安値!Y34,安値!Z34&lt;安値!X34,安値!Z34&lt;安値!AA34,安値!Z34&lt;安値!AB34),21,""))</f>
      </c>
      <c r="V34" s="684">
        <f>IF(終値!A34="","",IF(AND(安値!AA34&lt;安値!Z34,安値!AA34&lt;安値!Y34,安値!AA34&lt;安値!AB34,安値!AA34&lt;安値!AC34),22,""))</f>
      </c>
      <c r="W34" s="684">
        <f>IF(終値!A34="","",IF(AND(安値!AB34&lt;安値!AA34,安値!AB34&lt;安値!Z34,安値!AB34&lt;安値!AC34,安値!AB34&lt;安値!AD34),23,""))</f>
      </c>
      <c r="X34" s="684">
        <f>IF(終値!A34="","",IF(AND(安値!AC34&lt;安値!AB34,安値!AC34&lt;安値!AA34,安値!AC34&lt;安値!AD34,安値!AC34&lt;安値!AE34),24,""))</f>
      </c>
      <c r="Y34" s="684">
        <f>IF(終値!A34="","",IF(AND(安値!AD34&lt;安値!AC34,安値!AD34&lt;安値!AB34,安値!AD34&lt;安値!AE34,安値!AD34&lt;安値!AF34),25,""))</f>
      </c>
      <c r="Z34" s="684">
        <f>IF(終値!A34="","",IF(AND(安値!AE34&lt;安値!AD34,安値!AE34&lt;安値!AC34,安値!AE34&lt;安値!AF34,安値!AE34&lt;安値!AG34),26,""))</f>
      </c>
      <c r="AA34" s="684">
        <f>IF(終値!A34="","",IF(AND(安値!AF34&lt;安値!AE34,安値!AF34&lt;安値!AD34,安値!AF34&lt;安値!AG34,安値!AF34&lt;安値!AH34),27,""))</f>
      </c>
      <c r="AB34" s="684">
        <f>IF(終値!A34="","",IF(AND(安値!AG34&lt;安値!AF34,安値!AG34&lt;安値!AE34,安値!AG34&lt;安値!AH34,安値!AG34&lt;安値!AI34),28,""))</f>
      </c>
      <c r="AC34" s="684">
        <f>IF(終値!A34="","",IF(AND(高値!G34&gt;高値!F34,高値!G34&gt;高値!E34,高値!G34&gt;高値!H34,高値!G34&gt;高値!I34),2,""))</f>
      </c>
      <c r="AD34" s="684">
        <f>IF(終値!A34="","",IF(AND(高値!H34&gt;高値!G34,高値!H34&gt;高値!F34,高値!H34&gt;高値!I34,高値!H34&gt;高値!J34),3,""))</f>
      </c>
      <c r="AE34" s="684">
        <f>IF(終値!A34="","",IF(AND(高値!I34&gt;高値!H34,高値!I34&gt;高値!G34,高値!I34&gt;高値!J34,高値!I34&gt;高値!K34),4,""))</f>
      </c>
      <c r="AF34" s="684">
        <f>IF(終値!A34="","",IF(AND(高値!J34&gt;高値!I34,高値!J34&gt;高値!H34,高値!J34&gt;高値!K34,高値!J34&gt;高値!L34),5,""))</f>
      </c>
      <c r="AG34" s="684">
        <f>IF(終値!A34="","",IF(AND(高値!K34&gt;高値!J34,高値!K34&gt;高値!I34,高値!K34&gt;高値!L34,高値!K34&gt;高値!M34),6,""))</f>
      </c>
      <c r="AH34" s="684">
        <f>IF(終値!A34="","",IF(AND(高値!L34&gt;高値!K34,高値!L34&gt;高値!J34,高値!L34&gt;高値!M34,高値!L34&gt;高値!N34),7,""))</f>
      </c>
      <c r="AI34" s="684">
        <f>IF(終値!A34="","",IF(AND(高値!M34&gt;高値!L34,高値!M34&gt;高値!K34,高値!M34&gt;高値!N34,高値!M34&gt;高値!O34),8,""))</f>
      </c>
      <c r="AJ34" s="684">
        <f>IF(終値!A34="","",IF(AND(高値!N34&gt;高値!M34,高値!N34&gt;高値!L34,高値!N34&gt;高値!O34,高値!N34&gt;高値!P34),9,""))</f>
      </c>
      <c r="AK34" s="684">
        <f>IF(終値!A34="","",IF(AND(高値!O34&gt;高値!N34,高値!O34&gt;高値!M34,高値!O34&gt;高値!P34,高値!O34&gt;高値!Q34),10,""))</f>
      </c>
      <c r="AL34" s="684">
        <f>IF(終値!A34="","",IF(AND(高値!P34&gt;高値!O34,高値!P34&gt;高値!N34,高値!P34&gt;高値!Q34,高値!P34&gt;高値!R34),11,""))</f>
      </c>
      <c r="AM34" s="684">
        <f>IF(終値!A34="","",IF(AND(高値!Q34&gt;高値!P34,高値!Q34&gt;高値!O34,高値!Q34&gt;高値!R34,高値!Q34&gt;高値!S34),12,""))</f>
      </c>
      <c r="AN34" s="684">
        <f>IF(終値!A34="","",IF(AND(高値!R34&gt;高値!Q34,高値!R34&gt;高値!P34,高値!R34&gt;高値!S34,高値!R34&gt;高値!T34),13,""))</f>
      </c>
      <c r="AO34" s="684">
        <f>IF(終値!A34="","",IF(AND(高値!S34&gt;高値!R34,高値!S34&gt;高値!Q34,高値!S34&gt;高値!T34,高値!S34&gt;高値!U34),14,""))</f>
      </c>
      <c r="AP34" s="684">
        <f>IF(終値!A34="","",IF(AND(高値!T34&gt;高値!S34,高値!T34&gt;高値!R34,高値!T34&gt;高値!U34,高値!T34&gt;高値!V34),15,""))</f>
      </c>
      <c r="AQ34" s="684">
        <f>IF(終値!A34="","",IF(AND(高値!U34&gt;高値!T34,高値!U34&gt;高値!S34,高値!U34&gt;高値!V34,高値!U34&gt;高値!W34),16,""))</f>
      </c>
      <c r="AR34" s="684">
        <f>IF(終値!A34="","",IF(AND(高値!V34&gt;高値!U34,高値!V34&gt;高値!T34,高値!V34&gt;高値!W34,高値!V34&gt;高値!X34),17,""))</f>
      </c>
      <c r="AS34" s="684">
        <f>IF(終値!A34="","",IF(AND(高値!W34&gt;高値!V34,高値!W34&gt;高値!U34,高値!W34&gt;高値!X34,高値!W34&gt;高値!Y34),18,""))</f>
      </c>
      <c r="AT34" s="684">
        <f>IF(終値!A34="","",IF(AND(高値!X34&gt;高値!W34,高値!X34&gt;高値!V34,高値!X34&gt;高値!Y34,高値!X34&gt;高値!Z34),19,""))</f>
      </c>
      <c r="AU34" s="684">
        <f>IF(終値!A34="","",IF(AND(高値!Y34&gt;高値!X34,高値!Y34&gt;高値!W34,高値!Y34&gt;高値!Z34,高値!Y34&gt;高値!AA34),20,""))</f>
      </c>
      <c r="AV34" s="684">
        <f>IF(終値!A34="","",IF(AND(高値!Z34&gt;高値!Y34,高値!Z34&gt;高値!X34,高値!Z34&gt;高値!AA34,高値!Z34&gt;高値!AB34),21,""))</f>
      </c>
      <c r="AW34" s="684">
        <f>IF(終値!A34="","",IF(AND(高値!AA34&gt;高値!Z34,高値!AA34&gt;高値!Y34,高値!AA34&gt;高値!AB34,高値!AA34&gt;高値!AC34),22,""))</f>
      </c>
      <c r="AX34" s="684">
        <f>IF(終値!A34="","",IF(AND(高値!AB34&gt;高値!AA34,高値!AB34&gt;高値!Z34,高値!AB34&gt;高値!AC34,高値!AB34&gt;高値!AD34),23,""))</f>
      </c>
      <c r="AY34" s="684">
        <f>IF(終値!A34="","",IF(AND(高値!AC34&gt;高値!AB34,高値!AC34&gt;高値!AA34,高値!AC34&gt;高値!AD34,高値!AC34&gt;高値!AE34),24,""))</f>
      </c>
      <c r="AZ34" s="684">
        <f>IF(終値!A34="","",IF(AND(高値!AD34&gt;高値!AC34,高値!AD34&gt;高値!AB34,高値!AD34&gt;高値!AE34,高値!AD34&gt;高値!AF34),25,""))</f>
      </c>
      <c r="BA34" s="684">
        <f>IF(終値!A34="","",IF(AND(高値!AE34&gt;高値!AD34,高値!AE34&gt;高値!AC34,高値!AE34&gt;高値!AF34,高値!AE34&gt;高値!AG34),26,""))</f>
      </c>
      <c r="BB34" s="684">
        <f>IF(終値!A34="","",IF(AND(高値!AF34&gt;高値!AE34,高値!AF34&gt;高値!AD34,高値!AF34&gt;高値!AG34,高値!AF34&gt;高値!AH34),27,""))</f>
      </c>
      <c r="BC34" s="684">
        <f>IF(終値!A34="","",IF(AND(高値!AG34&gt;高値!AF34,高値!AG34&gt;高値!AE34,高値!AG34&gt;高値!AH34,高値!AG34&gt;高値!AI34),28,""))</f>
      </c>
      <c r="BD34" s="684">
        <f>COUNT($B34:$AB34)</f>
      </c>
      <c r="BE34" s="684">
        <f>IF($BD34&gt;=2,MIN($B34:$AB34),"")</f>
      </c>
      <c r="BF34" s="684">
        <f>IF($BD34&gt;=2,SMALL($B34:$AB34,2),"")</f>
      </c>
      <c r="BG34" s="684">
        <f>IF($BE34="","",INDEX(安値!$E34:$CZ34,1,$BE34+1))</f>
      </c>
      <c r="BH34" s="684">
        <f>IF($BF34="","",INDEX(安値!$E34:$CZ34,1,$BF34+1))</f>
      </c>
      <c r="BI34" s="684">
        <f>IF($BF34="","",MAX(INDEX(高値!$E34:$CZ34,1,$BE34+1):INDEX(高値!$E34:$CZ34,1,$BF34+1)))</f>
      </c>
      <c r="BJ34" s="684">
        <f>IF($BF34="","",AVERAGE(INDEX(終値!$E34:$CZ34,1,$BF34+1):INDEX(終値!$E34:$CZ34,1,$BF34+20))-2*STDEVP(INDEX(終値!$E34:$CZ34,1,$BF34+1):INDEX(終値!$E34:$CZ34,1,$BF34+20)))</f>
      </c>
      <c r="BK34" s="684">
        <f>IF($BE34="","",AVERAGE(INDEX(終値!$E34:$CZ34,1,$BE34+1):INDEX(終値!$E34:$CZ34,1,$BE34+20))-2*STDEVP(INDEX(終値!$E34:$CZ34,1,$BE34+1):INDEX(終値!$E34:$CZ34,1,$BE34+20)))</f>
      </c>
      <c r="BL34" s="684">
        <f>COUNT($AC34:$BC34)</f>
      </c>
      <c r="BM34" s="684">
        <f>IF($BL34&gt;=2,MIN($AC34:$BC34),"")</f>
      </c>
      <c r="BN34" s="684">
        <f>IF($BL34&gt;=2,SMALL($AC34:$BC34,2),"")</f>
      </c>
      <c r="BO34" s="684">
        <f>IF($BM34="","",INDEX(高値!$E34:$CZ34,1,$BM34+1))</f>
      </c>
      <c r="BP34" s="684">
        <f>IF($BN34="","",INDEX(高値!$E34:$CZ34,1,$BN34+1))</f>
      </c>
      <c r="BQ34" s="684">
        <f>IF($BN34="","",MIN(INDEX(安値!$E34:$CZ34,1,$BM34+1):INDEX(安値!$E34:$CZ34,1,$BN34+1)))</f>
      </c>
      <c r="BR34" s="684">
        <f>IF($BN34="","",AVERAGE(INDEX(終値!$E34:$CZ34,1,$BN34+1):INDEX(終値!$E34:$CZ34,1,$BN34+20))+2*STDEVP(INDEX(終値!$E34:$CZ34,1,$BN34+1):INDEX(終値!$E34:$CZ34,1,$BN34+20)))</f>
      </c>
      <c r="BS34" s="684">
        <f>IF($BM34="","",AVERAGE(INDEX(終値!$E34:$CZ34,1,$BM34+1):INDEX(終値!$E34:$CZ34,1,$BM34+20))+2*STDEVP(INDEX(終値!$E34:$CZ34,1,$BM34+1):INDEX(終値!$E34:$CZ34,1,$BM34+20)))</f>
      </c>
      <c r="BT34" s="681">
        <f>IFERROR(IF(AND($BD34&gt;=2,ABS($BG34-$BH34)/$BH34&lt;=BB設定!$B$12,$BI34&gt;=MAX($BH34,$BG34)*(1+BB設定!$B$13),終値!E34&gt;$BG34),IF(OR(終値!E34&gt;=$BI34,AND($BH34&lt;$BJ34,$BG34&gt;=$BK34)),"二番底W▲","二番底W形成"),IF(AND($BL34&gt;=2,ABS($BO34-$BP34)/$BP34&lt;=BB設定!$B$12,$BQ34&lt;=MIN($BP34,$BO34)*(1-BB設定!$B$13),終値!E34&lt;$BO34),IF(OR(終値!E34&lt;=$BQ34,AND($BP34&gt;$BR34,$BO34&lt;=$BS34)),"二番天井M▼","二番天井M形成"),"－")),"－")</f>
      </c>
    </row>
    <row r="35">
      <c r="B35" s="684">
        <f>IF(終値!A35="","",IF(AND(安値!G35&lt;安値!F35,安値!G35&lt;安値!E35,安値!G35&lt;安値!H35,安値!G35&lt;安値!I35),2,""))</f>
      </c>
      <c r="C35" s="684">
        <f>IF(終値!A35="","",IF(AND(安値!H35&lt;安値!G35,安値!H35&lt;安値!F35,安値!H35&lt;安値!I35,安値!H35&lt;安値!J35),3,""))</f>
      </c>
      <c r="D35" s="684">
        <f>IF(終値!A35="","",IF(AND(安値!I35&lt;安値!H35,安値!I35&lt;安値!G35,安値!I35&lt;安値!J35,安値!I35&lt;安値!K35),4,""))</f>
      </c>
      <c r="E35" s="684">
        <f>IF(終値!A35="","",IF(AND(安値!J35&lt;安値!I35,安値!J35&lt;安値!H35,安値!J35&lt;安値!K35,安値!J35&lt;安値!L35),5,""))</f>
      </c>
      <c r="F35" s="684">
        <f>IF(終値!A35="","",IF(AND(安値!K35&lt;安値!J35,安値!K35&lt;安値!I35,安値!K35&lt;安値!L35,安値!K35&lt;安値!M35),6,""))</f>
      </c>
      <c r="G35" s="684">
        <f>IF(終値!A35="","",IF(AND(安値!L35&lt;安値!K35,安値!L35&lt;安値!J35,安値!L35&lt;安値!M35,安値!L35&lt;安値!N35),7,""))</f>
      </c>
      <c r="H35" s="684">
        <f>IF(終値!A35="","",IF(AND(安値!M35&lt;安値!L35,安値!M35&lt;安値!K35,安値!M35&lt;安値!N35,安値!M35&lt;安値!O35),8,""))</f>
      </c>
      <c r="I35" s="684">
        <f>IF(終値!A35="","",IF(AND(安値!N35&lt;安値!M35,安値!N35&lt;安値!L35,安値!N35&lt;安値!O35,安値!N35&lt;安値!P35),9,""))</f>
      </c>
      <c r="J35" s="684">
        <f>IF(終値!A35="","",IF(AND(安値!O35&lt;安値!N35,安値!O35&lt;安値!M35,安値!O35&lt;安値!P35,安値!O35&lt;安値!Q35),10,""))</f>
      </c>
      <c r="K35" s="684">
        <f>IF(終値!A35="","",IF(AND(安値!P35&lt;安値!O35,安値!P35&lt;安値!N35,安値!P35&lt;安値!Q35,安値!P35&lt;安値!R35),11,""))</f>
      </c>
      <c r="L35" s="684">
        <f>IF(終値!A35="","",IF(AND(安値!Q35&lt;安値!P35,安値!Q35&lt;安値!O35,安値!Q35&lt;安値!R35,安値!Q35&lt;安値!S35),12,""))</f>
      </c>
      <c r="M35" s="684">
        <f>IF(終値!A35="","",IF(AND(安値!R35&lt;安値!Q35,安値!R35&lt;安値!P35,安値!R35&lt;安値!S35,安値!R35&lt;安値!T35),13,""))</f>
      </c>
      <c r="N35" s="684">
        <f>IF(終値!A35="","",IF(AND(安値!S35&lt;安値!R35,安値!S35&lt;安値!Q35,安値!S35&lt;安値!T35,安値!S35&lt;安値!U35),14,""))</f>
      </c>
      <c r="O35" s="684">
        <f>IF(終値!A35="","",IF(AND(安値!T35&lt;安値!S35,安値!T35&lt;安値!R35,安値!T35&lt;安値!U35,安値!T35&lt;安値!V35),15,""))</f>
      </c>
      <c r="P35" s="684">
        <f>IF(終値!A35="","",IF(AND(安値!U35&lt;安値!T35,安値!U35&lt;安値!S35,安値!U35&lt;安値!V35,安値!U35&lt;安値!W35),16,""))</f>
      </c>
      <c r="Q35" s="684">
        <f>IF(終値!A35="","",IF(AND(安値!V35&lt;安値!U35,安値!V35&lt;安値!T35,安値!V35&lt;安値!W35,安値!V35&lt;安値!X35),17,""))</f>
      </c>
      <c r="R35" s="684">
        <f>IF(終値!A35="","",IF(AND(安値!W35&lt;安値!V35,安値!W35&lt;安値!U35,安値!W35&lt;安値!X35,安値!W35&lt;安値!Y35),18,""))</f>
      </c>
      <c r="S35" s="684">
        <f>IF(終値!A35="","",IF(AND(安値!X35&lt;安値!W35,安値!X35&lt;安値!V35,安値!X35&lt;安値!Y35,安値!X35&lt;安値!Z35),19,""))</f>
      </c>
      <c r="T35" s="684">
        <f>IF(終値!A35="","",IF(AND(安値!Y35&lt;安値!X35,安値!Y35&lt;安値!W35,安値!Y35&lt;安値!Z35,安値!Y35&lt;安値!AA35),20,""))</f>
      </c>
      <c r="U35" s="684">
        <f>IF(終値!A35="","",IF(AND(安値!Z35&lt;安値!Y35,安値!Z35&lt;安値!X35,安値!Z35&lt;安値!AA35,安値!Z35&lt;安値!AB35),21,""))</f>
      </c>
      <c r="V35" s="684">
        <f>IF(終値!A35="","",IF(AND(安値!AA35&lt;安値!Z35,安値!AA35&lt;安値!Y35,安値!AA35&lt;安値!AB35,安値!AA35&lt;安値!AC35),22,""))</f>
      </c>
      <c r="W35" s="684">
        <f>IF(終値!A35="","",IF(AND(安値!AB35&lt;安値!AA35,安値!AB35&lt;安値!Z35,安値!AB35&lt;安値!AC35,安値!AB35&lt;安値!AD35),23,""))</f>
      </c>
      <c r="X35" s="684">
        <f>IF(終値!A35="","",IF(AND(安値!AC35&lt;安値!AB35,安値!AC35&lt;安値!AA35,安値!AC35&lt;安値!AD35,安値!AC35&lt;安値!AE35),24,""))</f>
      </c>
      <c r="Y35" s="684">
        <f>IF(終値!A35="","",IF(AND(安値!AD35&lt;安値!AC35,安値!AD35&lt;安値!AB35,安値!AD35&lt;安値!AE35,安値!AD35&lt;安値!AF35),25,""))</f>
      </c>
      <c r="Z35" s="684">
        <f>IF(終値!A35="","",IF(AND(安値!AE35&lt;安値!AD35,安値!AE35&lt;安値!AC35,安値!AE35&lt;安値!AF35,安値!AE35&lt;安値!AG35),26,""))</f>
      </c>
      <c r="AA35" s="684">
        <f>IF(終値!A35="","",IF(AND(安値!AF35&lt;安値!AE35,安値!AF35&lt;安値!AD35,安値!AF35&lt;安値!AG35,安値!AF35&lt;安値!AH35),27,""))</f>
      </c>
      <c r="AB35" s="684">
        <f>IF(終値!A35="","",IF(AND(安値!AG35&lt;安値!AF35,安値!AG35&lt;安値!AE35,安値!AG35&lt;安値!AH35,安値!AG35&lt;安値!AI35),28,""))</f>
      </c>
      <c r="AC35" s="684">
        <f>IF(終値!A35="","",IF(AND(高値!G35&gt;高値!F35,高値!G35&gt;高値!E35,高値!G35&gt;高値!H35,高値!G35&gt;高値!I35),2,""))</f>
      </c>
      <c r="AD35" s="684">
        <f>IF(終値!A35="","",IF(AND(高値!H35&gt;高値!G35,高値!H35&gt;高値!F35,高値!H35&gt;高値!I35,高値!H35&gt;高値!J35),3,""))</f>
      </c>
      <c r="AE35" s="684">
        <f>IF(終値!A35="","",IF(AND(高値!I35&gt;高値!H35,高値!I35&gt;高値!G35,高値!I35&gt;高値!J35,高値!I35&gt;高値!K35),4,""))</f>
      </c>
      <c r="AF35" s="684">
        <f>IF(終値!A35="","",IF(AND(高値!J35&gt;高値!I35,高値!J35&gt;高値!H35,高値!J35&gt;高値!K35,高値!J35&gt;高値!L35),5,""))</f>
      </c>
      <c r="AG35" s="684">
        <f>IF(終値!A35="","",IF(AND(高値!K35&gt;高値!J35,高値!K35&gt;高値!I35,高値!K35&gt;高値!L35,高値!K35&gt;高値!M35),6,""))</f>
      </c>
      <c r="AH35" s="684">
        <f>IF(終値!A35="","",IF(AND(高値!L35&gt;高値!K35,高値!L35&gt;高値!J35,高値!L35&gt;高値!M35,高値!L35&gt;高値!N35),7,""))</f>
      </c>
      <c r="AI35" s="684">
        <f>IF(終値!A35="","",IF(AND(高値!M35&gt;高値!L35,高値!M35&gt;高値!K35,高値!M35&gt;高値!N35,高値!M35&gt;高値!O35),8,""))</f>
      </c>
      <c r="AJ35" s="684">
        <f>IF(終値!A35="","",IF(AND(高値!N35&gt;高値!M35,高値!N35&gt;高値!L35,高値!N35&gt;高値!O35,高値!N35&gt;高値!P35),9,""))</f>
      </c>
      <c r="AK35" s="684">
        <f>IF(終値!A35="","",IF(AND(高値!O35&gt;高値!N35,高値!O35&gt;高値!M35,高値!O35&gt;高値!P35,高値!O35&gt;高値!Q35),10,""))</f>
      </c>
      <c r="AL35" s="684">
        <f>IF(終値!A35="","",IF(AND(高値!P35&gt;高値!O35,高値!P35&gt;高値!N35,高値!P35&gt;高値!Q35,高値!P35&gt;高値!R35),11,""))</f>
      </c>
      <c r="AM35" s="684">
        <f>IF(終値!A35="","",IF(AND(高値!Q35&gt;高値!P35,高値!Q35&gt;高値!O35,高値!Q35&gt;高値!R35,高値!Q35&gt;高値!S35),12,""))</f>
      </c>
      <c r="AN35" s="684">
        <f>IF(終値!A35="","",IF(AND(高値!R35&gt;高値!Q35,高値!R35&gt;高値!P35,高値!R35&gt;高値!S35,高値!R35&gt;高値!T35),13,""))</f>
      </c>
      <c r="AO35" s="684">
        <f>IF(終値!A35="","",IF(AND(高値!S35&gt;高値!R35,高値!S35&gt;高値!Q35,高値!S35&gt;高値!T35,高値!S35&gt;高値!U35),14,""))</f>
      </c>
      <c r="AP35" s="684">
        <f>IF(終値!A35="","",IF(AND(高値!T35&gt;高値!S35,高値!T35&gt;高値!R35,高値!T35&gt;高値!U35,高値!T35&gt;高値!V35),15,""))</f>
      </c>
      <c r="AQ35" s="684">
        <f>IF(終値!A35="","",IF(AND(高値!U35&gt;高値!T35,高値!U35&gt;高値!S35,高値!U35&gt;高値!V35,高値!U35&gt;高値!W35),16,""))</f>
      </c>
      <c r="AR35" s="684">
        <f>IF(終値!A35="","",IF(AND(高値!V35&gt;高値!U35,高値!V35&gt;高値!T35,高値!V35&gt;高値!W35,高値!V35&gt;高値!X35),17,""))</f>
      </c>
      <c r="AS35" s="684">
        <f>IF(終値!A35="","",IF(AND(高値!W35&gt;高値!V35,高値!W35&gt;高値!U35,高値!W35&gt;高値!X35,高値!W35&gt;高値!Y35),18,""))</f>
      </c>
      <c r="AT35" s="684">
        <f>IF(終値!A35="","",IF(AND(高値!X35&gt;高値!W35,高値!X35&gt;高値!V35,高値!X35&gt;高値!Y35,高値!X35&gt;高値!Z35),19,""))</f>
      </c>
      <c r="AU35" s="684">
        <f>IF(終値!A35="","",IF(AND(高値!Y35&gt;高値!X35,高値!Y35&gt;高値!W35,高値!Y35&gt;高値!Z35,高値!Y35&gt;高値!AA35),20,""))</f>
      </c>
      <c r="AV35" s="684">
        <f>IF(終値!A35="","",IF(AND(高値!Z35&gt;高値!Y35,高値!Z35&gt;高値!X35,高値!Z35&gt;高値!AA35,高値!Z35&gt;高値!AB35),21,""))</f>
      </c>
      <c r="AW35" s="684">
        <f>IF(終値!A35="","",IF(AND(高値!AA35&gt;高値!Z35,高値!AA35&gt;高値!Y35,高値!AA35&gt;高値!AB35,高値!AA35&gt;高値!AC35),22,""))</f>
      </c>
      <c r="AX35" s="684">
        <f>IF(終値!A35="","",IF(AND(高値!AB35&gt;高値!AA35,高値!AB35&gt;高値!Z35,高値!AB35&gt;高値!AC35,高値!AB35&gt;高値!AD35),23,""))</f>
      </c>
      <c r="AY35" s="684">
        <f>IF(終値!A35="","",IF(AND(高値!AC35&gt;高値!AB35,高値!AC35&gt;高値!AA35,高値!AC35&gt;高値!AD35,高値!AC35&gt;高値!AE35),24,""))</f>
      </c>
      <c r="AZ35" s="684">
        <f>IF(終値!A35="","",IF(AND(高値!AD35&gt;高値!AC35,高値!AD35&gt;高値!AB35,高値!AD35&gt;高値!AE35,高値!AD35&gt;高値!AF35),25,""))</f>
      </c>
      <c r="BA35" s="684">
        <f>IF(終値!A35="","",IF(AND(高値!AE35&gt;高値!AD35,高値!AE35&gt;高値!AC35,高値!AE35&gt;高値!AF35,高値!AE35&gt;高値!AG35),26,""))</f>
      </c>
      <c r="BB35" s="684">
        <f>IF(終値!A35="","",IF(AND(高値!AF35&gt;高値!AE35,高値!AF35&gt;高値!AD35,高値!AF35&gt;高値!AG35,高値!AF35&gt;高値!AH35),27,""))</f>
      </c>
      <c r="BC35" s="684">
        <f>IF(終値!A35="","",IF(AND(高値!AG35&gt;高値!AF35,高値!AG35&gt;高値!AE35,高値!AG35&gt;高値!AH35,高値!AG35&gt;高値!AI35),28,""))</f>
      </c>
      <c r="BD35" s="684">
        <f>COUNT($B35:$AB35)</f>
      </c>
      <c r="BE35" s="684">
        <f>IF($BD35&gt;=2,MIN($B35:$AB35),"")</f>
      </c>
      <c r="BF35" s="684">
        <f>IF($BD35&gt;=2,SMALL($B35:$AB35,2),"")</f>
      </c>
      <c r="BG35" s="684">
        <f>IF($BE35="","",INDEX(安値!$E35:$CZ35,1,$BE35+1))</f>
      </c>
      <c r="BH35" s="684">
        <f>IF($BF35="","",INDEX(安値!$E35:$CZ35,1,$BF35+1))</f>
      </c>
      <c r="BI35" s="684">
        <f>IF($BF35="","",MAX(INDEX(高値!$E35:$CZ35,1,$BE35+1):INDEX(高値!$E35:$CZ35,1,$BF35+1)))</f>
      </c>
      <c r="BJ35" s="684">
        <f>IF($BF35="","",AVERAGE(INDEX(終値!$E35:$CZ35,1,$BF35+1):INDEX(終値!$E35:$CZ35,1,$BF35+20))-2*STDEVP(INDEX(終値!$E35:$CZ35,1,$BF35+1):INDEX(終値!$E35:$CZ35,1,$BF35+20)))</f>
      </c>
      <c r="BK35" s="684">
        <f>IF($BE35="","",AVERAGE(INDEX(終値!$E35:$CZ35,1,$BE35+1):INDEX(終値!$E35:$CZ35,1,$BE35+20))-2*STDEVP(INDEX(終値!$E35:$CZ35,1,$BE35+1):INDEX(終値!$E35:$CZ35,1,$BE35+20)))</f>
      </c>
      <c r="BL35" s="684">
        <f>COUNT($AC35:$BC35)</f>
      </c>
      <c r="BM35" s="684">
        <f>IF($BL35&gt;=2,MIN($AC35:$BC35),"")</f>
      </c>
      <c r="BN35" s="684">
        <f>IF($BL35&gt;=2,SMALL($AC35:$BC35,2),"")</f>
      </c>
      <c r="BO35" s="684">
        <f>IF($BM35="","",INDEX(高値!$E35:$CZ35,1,$BM35+1))</f>
      </c>
      <c r="BP35" s="684">
        <f>IF($BN35="","",INDEX(高値!$E35:$CZ35,1,$BN35+1))</f>
      </c>
      <c r="BQ35" s="684">
        <f>IF($BN35="","",MIN(INDEX(安値!$E35:$CZ35,1,$BM35+1):INDEX(安値!$E35:$CZ35,1,$BN35+1)))</f>
      </c>
      <c r="BR35" s="684">
        <f>IF($BN35="","",AVERAGE(INDEX(終値!$E35:$CZ35,1,$BN35+1):INDEX(終値!$E35:$CZ35,1,$BN35+20))+2*STDEVP(INDEX(終値!$E35:$CZ35,1,$BN35+1):INDEX(終値!$E35:$CZ35,1,$BN35+20)))</f>
      </c>
      <c r="BS35" s="684">
        <f>IF($BM35="","",AVERAGE(INDEX(終値!$E35:$CZ35,1,$BM35+1):INDEX(終値!$E35:$CZ35,1,$BM35+20))+2*STDEVP(INDEX(終値!$E35:$CZ35,1,$BM35+1):INDEX(終値!$E35:$CZ35,1,$BM35+20)))</f>
      </c>
      <c r="BT35" s="681">
        <f>IFERROR(IF(AND($BD35&gt;=2,ABS($BG35-$BH35)/$BH35&lt;=BB設定!$B$12,$BI35&gt;=MAX($BH35,$BG35)*(1+BB設定!$B$13),終値!E35&gt;$BG35),IF(OR(終値!E35&gt;=$BI35,AND($BH35&lt;$BJ35,$BG35&gt;=$BK35)),"二番底W▲","二番底W形成"),IF(AND($BL35&gt;=2,ABS($BO35-$BP35)/$BP35&lt;=BB設定!$B$12,$BQ35&lt;=MIN($BP35,$BO35)*(1-BB設定!$B$13),終値!E35&lt;$BO35),IF(OR(終値!E35&lt;=$BQ35,AND($BP35&gt;$BR35,$BO35&lt;=$BS35)),"二番天井M▼","二番天井M形成"),"－")),"－")</f>
      </c>
    </row>
    <row r="36">
      <c r="B36" s="684">
        <f>IF(終値!A36="","",IF(AND(安値!G36&lt;安値!F36,安値!G36&lt;安値!E36,安値!G36&lt;安値!H36,安値!G36&lt;安値!I36),2,""))</f>
      </c>
      <c r="C36" s="684">
        <f>IF(終値!A36="","",IF(AND(安値!H36&lt;安値!G36,安値!H36&lt;安値!F36,安値!H36&lt;安値!I36,安値!H36&lt;安値!J36),3,""))</f>
      </c>
      <c r="D36" s="684">
        <f>IF(終値!A36="","",IF(AND(安値!I36&lt;安値!H36,安値!I36&lt;安値!G36,安値!I36&lt;安値!J36,安値!I36&lt;安値!K36),4,""))</f>
      </c>
      <c r="E36" s="684">
        <f>IF(終値!A36="","",IF(AND(安値!J36&lt;安値!I36,安値!J36&lt;安値!H36,安値!J36&lt;安値!K36,安値!J36&lt;安値!L36),5,""))</f>
      </c>
      <c r="F36" s="684">
        <f>IF(終値!A36="","",IF(AND(安値!K36&lt;安値!J36,安値!K36&lt;安値!I36,安値!K36&lt;安値!L36,安値!K36&lt;安値!M36),6,""))</f>
      </c>
      <c r="G36" s="684">
        <f>IF(終値!A36="","",IF(AND(安値!L36&lt;安値!K36,安値!L36&lt;安値!J36,安値!L36&lt;安値!M36,安値!L36&lt;安値!N36),7,""))</f>
      </c>
      <c r="H36" s="684">
        <f>IF(終値!A36="","",IF(AND(安値!M36&lt;安値!L36,安値!M36&lt;安値!K36,安値!M36&lt;安値!N36,安値!M36&lt;安値!O36),8,""))</f>
      </c>
      <c r="I36" s="684">
        <f>IF(終値!A36="","",IF(AND(安値!N36&lt;安値!M36,安値!N36&lt;安値!L36,安値!N36&lt;安値!O36,安値!N36&lt;安値!P36),9,""))</f>
      </c>
      <c r="J36" s="684">
        <f>IF(終値!A36="","",IF(AND(安値!O36&lt;安値!N36,安値!O36&lt;安値!M36,安値!O36&lt;安値!P36,安値!O36&lt;安値!Q36),10,""))</f>
      </c>
      <c r="K36" s="684">
        <f>IF(終値!A36="","",IF(AND(安値!P36&lt;安値!O36,安値!P36&lt;安値!N36,安値!P36&lt;安値!Q36,安値!P36&lt;安値!R36),11,""))</f>
      </c>
      <c r="L36" s="684">
        <f>IF(終値!A36="","",IF(AND(安値!Q36&lt;安値!P36,安値!Q36&lt;安値!O36,安値!Q36&lt;安値!R36,安値!Q36&lt;安値!S36),12,""))</f>
      </c>
      <c r="M36" s="684">
        <f>IF(終値!A36="","",IF(AND(安値!R36&lt;安値!Q36,安値!R36&lt;安値!P36,安値!R36&lt;安値!S36,安値!R36&lt;安値!T36),13,""))</f>
      </c>
      <c r="N36" s="684">
        <f>IF(終値!A36="","",IF(AND(安値!S36&lt;安値!R36,安値!S36&lt;安値!Q36,安値!S36&lt;安値!T36,安値!S36&lt;安値!U36),14,""))</f>
      </c>
      <c r="O36" s="684">
        <f>IF(終値!A36="","",IF(AND(安値!T36&lt;安値!S36,安値!T36&lt;安値!R36,安値!T36&lt;安値!U36,安値!T36&lt;安値!V36),15,""))</f>
      </c>
      <c r="P36" s="684">
        <f>IF(終値!A36="","",IF(AND(安値!U36&lt;安値!T36,安値!U36&lt;安値!S36,安値!U36&lt;安値!V36,安値!U36&lt;安値!W36),16,""))</f>
      </c>
      <c r="Q36" s="684">
        <f>IF(終値!A36="","",IF(AND(安値!V36&lt;安値!U36,安値!V36&lt;安値!T36,安値!V36&lt;安値!W36,安値!V36&lt;安値!X36),17,""))</f>
      </c>
      <c r="R36" s="684">
        <f>IF(終値!A36="","",IF(AND(安値!W36&lt;安値!V36,安値!W36&lt;安値!U36,安値!W36&lt;安値!X36,安値!W36&lt;安値!Y36),18,""))</f>
      </c>
      <c r="S36" s="684">
        <f>IF(終値!A36="","",IF(AND(安値!X36&lt;安値!W36,安値!X36&lt;安値!V36,安値!X36&lt;安値!Y36,安値!X36&lt;安値!Z36),19,""))</f>
      </c>
      <c r="T36" s="684">
        <f>IF(終値!A36="","",IF(AND(安値!Y36&lt;安値!X36,安値!Y36&lt;安値!W36,安値!Y36&lt;安値!Z36,安値!Y36&lt;安値!AA36),20,""))</f>
      </c>
      <c r="U36" s="684">
        <f>IF(終値!A36="","",IF(AND(安値!Z36&lt;安値!Y36,安値!Z36&lt;安値!X36,安値!Z36&lt;安値!AA36,安値!Z36&lt;安値!AB36),21,""))</f>
      </c>
      <c r="V36" s="684">
        <f>IF(終値!A36="","",IF(AND(安値!AA36&lt;安値!Z36,安値!AA36&lt;安値!Y36,安値!AA36&lt;安値!AB36,安値!AA36&lt;安値!AC36),22,""))</f>
      </c>
      <c r="W36" s="684">
        <f>IF(終値!A36="","",IF(AND(安値!AB36&lt;安値!AA36,安値!AB36&lt;安値!Z36,安値!AB36&lt;安値!AC36,安値!AB36&lt;安値!AD36),23,""))</f>
      </c>
      <c r="X36" s="684">
        <f>IF(終値!A36="","",IF(AND(安値!AC36&lt;安値!AB36,安値!AC36&lt;安値!AA36,安値!AC36&lt;安値!AD36,安値!AC36&lt;安値!AE36),24,""))</f>
      </c>
      <c r="Y36" s="684">
        <f>IF(終値!A36="","",IF(AND(安値!AD36&lt;安値!AC36,安値!AD36&lt;安値!AB36,安値!AD36&lt;安値!AE36,安値!AD36&lt;安値!AF36),25,""))</f>
      </c>
      <c r="Z36" s="684">
        <f>IF(終値!A36="","",IF(AND(安値!AE36&lt;安値!AD36,安値!AE36&lt;安値!AC36,安値!AE36&lt;安値!AF36,安値!AE36&lt;安値!AG36),26,""))</f>
      </c>
      <c r="AA36" s="684">
        <f>IF(終値!A36="","",IF(AND(安値!AF36&lt;安値!AE36,安値!AF36&lt;安値!AD36,安値!AF36&lt;安値!AG36,安値!AF36&lt;安値!AH36),27,""))</f>
      </c>
      <c r="AB36" s="684">
        <f>IF(終値!A36="","",IF(AND(安値!AG36&lt;安値!AF36,安値!AG36&lt;安値!AE36,安値!AG36&lt;安値!AH36,安値!AG36&lt;安値!AI36),28,""))</f>
      </c>
      <c r="AC36" s="684">
        <f>IF(終値!A36="","",IF(AND(高値!G36&gt;高値!F36,高値!G36&gt;高値!E36,高値!G36&gt;高値!H36,高値!G36&gt;高値!I36),2,""))</f>
      </c>
      <c r="AD36" s="684">
        <f>IF(終値!A36="","",IF(AND(高値!H36&gt;高値!G36,高値!H36&gt;高値!F36,高値!H36&gt;高値!I36,高値!H36&gt;高値!J36),3,""))</f>
      </c>
      <c r="AE36" s="684">
        <f>IF(終値!A36="","",IF(AND(高値!I36&gt;高値!H36,高値!I36&gt;高値!G36,高値!I36&gt;高値!J36,高値!I36&gt;高値!K36),4,""))</f>
      </c>
      <c r="AF36" s="684">
        <f>IF(終値!A36="","",IF(AND(高値!J36&gt;高値!I36,高値!J36&gt;高値!H36,高値!J36&gt;高値!K36,高値!J36&gt;高値!L36),5,""))</f>
      </c>
      <c r="AG36" s="684">
        <f>IF(終値!A36="","",IF(AND(高値!K36&gt;高値!J36,高値!K36&gt;高値!I36,高値!K36&gt;高値!L36,高値!K36&gt;高値!M36),6,""))</f>
      </c>
      <c r="AH36" s="684">
        <f>IF(終値!A36="","",IF(AND(高値!L36&gt;高値!K36,高値!L36&gt;高値!J36,高値!L36&gt;高値!M36,高値!L36&gt;高値!N36),7,""))</f>
      </c>
      <c r="AI36" s="684">
        <f>IF(終値!A36="","",IF(AND(高値!M36&gt;高値!L36,高値!M36&gt;高値!K36,高値!M36&gt;高値!N36,高値!M36&gt;高値!O36),8,""))</f>
      </c>
      <c r="AJ36" s="684">
        <f>IF(終値!A36="","",IF(AND(高値!N36&gt;高値!M36,高値!N36&gt;高値!L36,高値!N36&gt;高値!O36,高値!N36&gt;高値!P36),9,""))</f>
      </c>
      <c r="AK36" s="684">
        <f>IF(終値!A36="","",IF(AND(高値!O36&gt;高値!N36,高値!O36&gt;高値!M36,高値!O36&gt;高値!P36,高値!O36&gt;高値!Q36),10,""))</f>
      </c>
      <c r="AL36" s="684">
        <f>IF(終値!A36="","",IF(AND(高値!P36&gt;高値!O36,高値!P36&gt;高値!N36,高値!P36&gt;高値!Q36,高値!P36&gt;高値!R36),11,""))</f>
      </c>
      <c r="AM36" s="684">
        <f>IF(終値!A36="","",IF(AND(高値!Q36&gt;高値!P36,高値!Q36&gt;高値!O36,高値!Q36&gt;高値!R36,高値!Q36&gt;高値!S36),12,""))</f>
      </c>
      <c r="AN36" s="684">
        <f>IF(終値!A36="","",IF(AND(高値!R36&gt;高値!Q36,高値!R36&gt;高値!P36,高値!R36&gt;高値!S36,高値!R36&gt;高値!T36),13,""))</f>
      </c>
      <c r="AO36" s="684">
        <f>IF(終値!A36="","",IF(AND(高値!S36&gt;高値!R36,高値!S36&gt;高値!Q36,高値!S36&gt;高値!T36,高値!S36&gt;高値!U36),14,""))</f>
      </c>
      <c r="AP36" s="684">
        <f>IF(終値!A36="","",IF(AND(高値!T36&gt;高値!S36,高値!T36&gt;高値!R36,高値!T36&gt;高値!U36,高値!T36&gt;高値!V36),15,""))</f>
      </c>
      <c r="AQ36" s="684">
        <f>IF(終値!A36="","",IF(AND(高値!U36&gt;高値!T36,高値!U36&gt;高値!S36,高値!U36&gt;高値!V36,高値!U36&gt;高値!W36),16,""))</f>
      </c>
      <c r="AR36" s="684">
        <f>IF(終値!A36="","",IF(AND(高値!V36&gt;高値!U36,高値!V36&gt;高値!T36,高値!V36&gt;高値!W36,高値!V36&gt;高値!X36),17,""))</f>
      </c>
      <c r="AS36" s="684">
        <f>IF(終値!A36="","",IF(AND(高値!W36&gt;高値!V36,高値!W36&gt;高値!U36,高値!W36&gt;高値!X36,高値!W36&gt;高値!Y36),18,""))</f>
      </c>
      <c r="AT36" s="684">
        <f>IF(終値!A36="","",IF(AND(高値!X36&gt;高値!W36,高値!X36&gt;高値!V36,高値!X36&gt;高値!Y36,高値!X36&gt;高値!Z36),19,""))</f>
      </c>
      <c r="AU36" s="684">
        <f>IF(終値!A36="","",IF(AND(高値!Y36&gt;高値!X36,高値!Y36&gt;高値!W36,高値!Y36&gt;高値!Z36,高値!Y36&gt;高値!AA36),20,""))</f>
      </c>
      <c r="AV36" s="684">
        <f>IF(終値!A36="","",IF(AND(高値!Z36&gt;高値!Y36,高値!Z36&gt;高値!X36,高値!Z36&gt;高値!AA36,高値!Z36&gt;高値!AB36),21,""))</f>
      </c>
      <c r="AW36" s="684">
        <f>IF(終値!A36="","",IF(AND(高値!AA36&gt;高値!Z36,高値!AA36&gt;高値!Y36,高値!AA36&gt;高値!AB36,高値!AA36&gt;高値!AC36),22,""))</f>
      </c>
      <c r="AX36" s="684">
        <f>IF(終値!A36="","",IF(AND(高値!AB36&gt;高値!AA36,高値!AB36&gt;高値!Z36,高値!AB36&gt;高値!AC36,高値!AB36&gt;高値!AD36),23,""))</f>
      </c>
      <c r="AY36" s="684">
        <f>IF(終値!A36="","",IF(AND(高値!AC36&gt;高値!AB36,高値!AC36&gt;高値!AA36,高値!AC36&gt;高値!AD36,高値!AC36&gt;高値!AE36),24,""))</f>
      </c>
      <c r="AZ36" s="684">
        <f>IF(終値!A36="","",IF(AND(高値!AD36&gt;高値!AC36,高値!AD36&gt;高値!AB36,高値!AD36&gt;高値!AE36,高値!AD36&gt;高値!AF36),25,""))</f>
      </c>
      <c r="BA36" s="684">
        <f>IF(終値!A36="","",IF(AND(高値!AE36&gt;高値!AD36,高値!AE36&gt;高値!AC36,高値!AE36&gt;高値!AF36,高値!AE36&gt;高値!AG36),26,""))</f>
      </c>
      <c r="BB36" s="684">
        <f>IF(終値!A36="","",IF(AND(高値!AF36&gt;高値!AE36,高値!AF36&gt;高値!AD36,高値!AF36&gt;高値!AG36,高値!AF36&gt;高値!AH36),27,""))</f>
      </c>
      <c r="BC36" s="684">
        <f>IF(終値!A36="","",IF(AND(高値!AG36&gt;高値!AF36,高値!AG36&gt;高値!AE36,高値!AG36&gt;高値!AH36,高値!AG36&gt;高値!AI36),28,""))</f>
      </c>
      <c r="BD36" s="684">
        <f>COUNT($B36:$AB36)</f>
      </c>
      <c r="BE36" s="684">
        <f>IF($BD36&gt;=2,MIN($B36:$AB36),"")</f>
      </c>
      <c r="BF36" s="684">
        <f>IF($BD36&gt;=2,SMALL($B36:$AB36,2),"")</f>
      </c>
      <c r="BG36" s="684">
        <f>IF($BE36="","",INDEX(安値!$E36:$CZ36,1,$BE36+1))</f>
      </c>
      <c r="BH36" s="684">
        <f>IF($BF36="","",INDEX(安値!$E36:$CZ36,1,$BF36+1))</f>
      </c>
      <c r="BI36" s="684">
        <f>IF($BF36="","",MAX(INDEX(高値!$E36:$CZ36,1,$BE36+1):INDEX(高値!$E36:$CZ36,1,$BF36+1)))</f>
      </c>
      <c r="BJ36" s="684">
        <f>IF($BF36="","",AVERAGE(INDEX(終値!$E36:$CZ36,1,$BF36+1):INDEX(終値!$E36:$CZ36,1,$BF36+20))-2*STDEVP(INDEX(終値!$E36:$CZ36,1,$BF36+1):INDEX(終値!$E36:$CZ36,1,$BF36+20)))</f>
      </c>
      <c r="BK36" s="684">
        <f>IF($BE36="","",AVERAGE(INDEX(終値!$E36:$CZ36,1,$BE36+1):INDEX(終値!$E36:$CZ36,1,$BE36+20))-2*STDEVP(INDEX(終値!$E36:$CZ36,1,$BE36+1):INDEX(終値!$E36:$CZ36,1,$BE36+20)))</f>
      </c>
      <c r="BL36" s="684">
        <f>COUNT($AC36:$BC36)</f>
      </c>
      <c r="BM36" s="684">
        <f>IF($BL36&gt;=2,MIN($AC36:$BC36),"")</f>
      </c>
      <c r="BN36" s="684">
        <f>IF($BL36&gt;=2,SMALL($AC36:$BC36,2),"")</f>
      </c>
      <c r="BO36" s="684">
        <f>IF($BM36="","",INDEX(高値!$E36:$CZ36,1,$BM36+1))</f>
      </c>
      <c r="BP36" s="684">
        <f>IF($BN36="","",INDEX(高値!$E36:$CZ36,1,$BN36+1))</f>
      </c>
      <c r="BQ36" s="684">
        <f>IF($BN36="","",MIN(INDEX(安値!$E36:$CZ36,1,$BM36+1):INDEX(安値!$E36:$CZ36,1,$BN36+1)))</f>
      </c>
      <c r="BR36" s="684">
        <f>IF($BN36="","",AVERAGE(INDEX(終値!$E36:$CZ36,1,$BN36+1):INDEX(終値!$E36:$CZ36,1,$BN36+20))+2*STDEVP(INDEX(終値!$E36:$CZ36,1,$BN36+1):INDEX(終値!$E36:$CZ36,1,$BN36+20)))</f>
      </c>
      <c r="BS36" s="684">
        <f>IF($BM36="","",AVERAGE(INDEX(終値!$E36:$CZ36,1,$BM36+1):INDEX(終値!$E36:$CZ36,1,$BM36+20))+2*STDEVP(INDEX(終値!$E36:$CZ36,1,$BM36+1):INDEX(終値!$E36:$CZ36,1,$BM36+20)))</f>
      </c>
      <c r="BT36" s="681">
        <f>IFERROR(IF(AND($BD36&gt;=2,ABS($BG36-$BH36)/$BH36&lt;=BB設定!$B$12,$BI36&gt;=MAX($BH36,$BG36)*(1+BB設定!$B$13),終値!E36&gt;$BG36),IF(OR(終値!E36&gt;=$BI36,AND($BH36&lt;$BJ36,$BG36&gt;=$BK36)),"二番底W▲","二番底W形成"),IF(AND($BL36&gt;=2,ABS($BO36-$BP36)/$BP36&lt;=BB設定!$B$12,$BQ36&lt;=MIN($BP36,$BO36)*(1-BB設定!$B$13),終値!E36&lt;$BO36),IF(OR(終値!E36&lt;=$BQ36,AND($BP36&gt;$BR36,$BO36&lt;=$BS36)),"二番天井M▼","二番天井M形成"),"－")),"－")</f>
      </c>
    </row>
    <row r="37">
      <c r="B37" s="684">
        <f>IF(終値!A37="","",IF(AND(安値!G37&lt;安値!F37,安値!G37&lt;安値!E37,安値!G37&lt;安値!H37,安値!G37&lt;安値!I37),2,""))</f>
      </c>
      <c r="C37" s="684">
        <f>IF(終値!A37="","",IF(AND(安値!H37&lt;安値!G37,安値!H37&lt;安値!F37,安値!H37&lt;安値!I37,安値!H37&lt;安値!J37),3,""))</f>
      </c>
      <c r="D37" s="684">
        <f>IF(終値!A37="","",IF(AND(安値!I37&lt;安値!H37,安値!I37&lt;安値!G37,安値!I37&lt;安値!J37,安値!I37&lt;安値!K37),4,""))</f>
      </c>
      <c r="E37" s="684">
        <f>IF(終値!A37="","",IF(AND(安値!J37&lt;安値!I37,安値!J37&lt;安値!H37,安値!J37&lt;安値!K37,安値!J37&lt;安値!L37),5,""))</f>
      </c>
      <c r="F37" s="684">
        <f>IF(終値!A37="","",IF(AND(安値!K37&lt;安値!J37,安値!K37&lt;安値!I37,安値!K37&lt;安値!L37,安値!K37&lt;安値!M37),6,""))</f>
      </c>
      <c r="G37" s="684">
        <f>IF(終値!A37="","",IF(AND(安値!L37&lt;安値!K37,安値!L37&lt;安値!J37,安値!L37&lt;安値!M37,安値!L37&lt;安値!N37),7,""))</f>
      </c>
      <c r="H37" s="684">
        <f>IF(終値!A37="","",IF(AND(安値!M37&lt;安値!L37,安値!M37&lt;安値!K37,安値!M37&lt;安値!N37,安値!M37&lt;安値!O37),8,""))</f>
      </c>
      <c r="I37" s="684">
        <f>IF(終値!A37="","",IF(AND(安値!N37&lt;安値!M37,安値!N37&lt;安値!L37,安値!N37&lt;安値!O37,安値!N37&lt;安値!P37),9,""))</f>
      </c>
      <c r="J37" s="684">
        <f>IF(終値!A37="","",IF(AND(安値!O37&lt;安値!N37,安値!O37&lt;安値!M37,安値!O37&lt;安値!P37,安値!O37&lt;安値!Q37),10,""))</f>
      </c>
      <c r="K37" s="684">
        <f>IF(終値!A37="","",IF(AND(安値!P37&lt;安値!O37,安値!P37&lt;安値!N37,安値!P37&lt;安値!Q37,安値!P37&lt;安値!R37),11,""))</f>
      </c>
      <c r="L37" s="684">
        <f>IF(終値!A37="","",IF(AND(安値!Q37&lt;安値!P37,安値!Q37&lt;安値!O37,安値!Q37&lt;安値!R37,安値!Q37&lt;安値!S37),12,""))</f>
      </c>
      <c r="M37" s="684">
        <f>IF(終値!A37="","",IF(AND(安値!R37&lt;安値!Q37,安値!R37&lt;安値!P37,安値!R37&lt;安値!S37,安値!R37&lt;安値!T37),13,""))</f>
      </c>
      <c r="N37" s="684">
        <f>IF(終値!A37="","",IF(AND(安値!S37&lt;安値!R37,安値!S37&lt;安値!Q37,安値!S37&lt;安値!T37,安値!S37&lt;安値!U37),14,""))</f>
      </c>
      <c r="O37" s="684">
        <f>IF(終値!A37="","",IF(AND(安値!T37&lt;安値!S37,安値!T37&lt;安値!R37,安値!T37&lt;安値!U37,安値!T37&lt;安値!V37),15,""))</f>
      </c>
      <c r="P37" s="684">
        <f>IF(終値!A37="","",IF(AND(安値!U37&lt;安値!T37,安値!U37&lt;安値!S37,安値!U37&lt;安値!V37,安値!U37&lt;安値!W37),16,""))</f>
      </c>
      <c r="Q37" s="684">
        <f>IF(終値!A37="","",IF(AND(安値!V37&lt;安値!U37,安値!V37&lt;安値!T37,安値!V37&lt;安値!W37,安値!V37&lt;安値!X37),17,""))</f>
      </c>
      <c r="R37" s="684">
        <f>IF(終値!A37="","",IF(AND(安値!W37&lt;安値!V37,安値!W37&lt;安値!U37,安値!W37&lt;安値!X37,安値!W37&lt;安値!Y37),18,""))</f>
      </c>
      <c r="S37" s="684">
        <f>IF(終値!A37="","",IF(AND(安値!X37&lt;安値!W37,安値!X37&lt;安値!V37,安値!X37&lt;安値!Y37,安値!X37&lt;安値!Z37),19,""))</f>
      </c>
      <c r="T37" s="684">
        <f>IF(終値!A37="","",IF(AND(安値!Y37&lt;安値!X37,安値!Y37&lt;安値!W37,安値!Y37&lt;安値!Z37,安値!Y37&lt;安値!AA37),20,""))</f>
      </c>
      <c r="U37" s="684">
        <f>IF(終値!A37="","",IF(AND(安値!Z37&lt;安値!Y37,安値!Z37&lt;安値!X37,安値!Z37&lt;安値!AA37,安値!Z37&lt;安値!AB37),21,""))</f>
      </c>
      <c r="V37" s="684">
        <f>IF(終値!A37="","",IF(AND(安値!AA37&lt;安値!Z37,安値!AA37&lt;安値!Y37,安値!AA37&lt;安値!AB37,安値!AA37&lt;安値!AC37),22,""))</f>
      </c>
      <c r="W37" s="684">
        <f>IF(終値!A37="","",IF(AND(安値!AB37&lt;安値!AA37,安値!AB37&lt;安値!Z37,安値!AB37&lt;安値!AC37,安値!AB37&lt;安値!AD37),23,""))</f>
      </c>
      <c r="X37" s="684">
        <f>IF(終値!A37="","",IF(AND(安値!AC37&lt;安値!AB37,安値!AC37&lt;安値!AA37,安値!AC37&lt;安値!AD37,安値!AC37&lt;安値!AE37),24,""))</f>
      </c>
      <c r="Y37" s="684">
        <f>IF(終値!A37="","",IF(AND(安値!AD37&lt;安値!AC37,安値!AD37&lt;安値!AB37,安値!AD37&lt;安値!AE37,安値!AD37&lt;安値!AF37),25,""))</f>
      </c>
      <c r="Z37" s="684">
        <f>IF(終値!A37="","",IF(AND(安値!AE37&lt;安値!AD37,安値!AE37&lt;安値!AC37,安値!AE37&lt;安値!AF37,安値!AE37&lt;安値!AG37),26,""))</f>
      </c>
      <c r="AA37" s="684">
        <f>IF(終値!A37="","",IF(AND(安値!AF37&lt;安値!AE37,安値!AF37&lt;安値!AD37,安値!AF37&lt;安値!AG37,安値!AF37&lt;安値!AH37),27,""))</f>
      </c>
      <c r="AB37" s="684">
        <f>IF(終値!A37="","",IF(AND(安値!AG37&lt;安値!AF37,安値!AG37&lt;安値!AE37,安値!AG37&lt;安値!AH37,安値!AG37&lt;安値!AI37),28,""))</f>
      </c>
      <c r="AC37" s="684">
        <f>IF(終値!A37="","",IF(AND(高値!G37&gt;高値!F37,高値!G37&gt;高値!E37,高値!G37&gt;高値!H37,高値!G37&gt;高値!I37),2,""))</f>
      </c>
      <c r="AD37" s="684">
        <f>IF(終値!A37="","",IF(AND(高値!H37&gt;高値!G37,高値!H37&gt;高値!F37,高値!H37&gt;高値!I37,高値!H37&gt;高値!J37),3,""))</f>
      </c>
      <c r="AE37" s="684">
        <f>IF(終値!A37="","",IF(AND(高値!I37&gt;高値!H37,高値!I37&gt;高値!G37,高値!I37&gt;高値!J37,高値!I37&gt;高値!K37),4,""))</f>
      </c>
      <c r="AF37" s="684">
        <f>IF(終値!A37="","",IF(AND(高値!J37&gt;高値!I37,高値!J37&gt;高値!H37,高値!J37&gt;高値!K37,高値!J37&gt;高値!L37),5,""))</f>
      </c>
      <c r="AG37" s="684">
        <f>IF(終値!A37="","",IF(AND(高値!K37&gt;高値!J37,高値!K37&gt;高値!I37,高値!K37&gt;高値!L37,高値!K37&gt;高値!M37),6,""))</f>
      </c>
      <c r="AH37" s="684">
        <f>IF(終値!A37="","",IF(AND(高値!L37&gt;高値!K37,高値!L37&gt;高値!J37,高値!L37&gt;高値!M37,高値!L37&gt;高値!N37),7,""))</f>
      </c>
      <c r="AI37" s="684">
        <f>IF(終値!A37="","",IF(AND(高値!M37&gt;高値!L37,高値!M37&gt;高値!K37,高値!M37&gt;高値!N37,高値!M37&gt;高値!O37),8,""))</f>
      </c>
      <c r="AJ37" s="684">
        <f>IF(終値!A37="","",IF(AND(高値!N37&gt;高値!M37,高値!N37&gt;高値!L37,高値!N37&gt;高値!O37,高値!N37&gt;高値!P37),9,""))</f>
      </c>
      <c r="AK37" s="684">
        <f>IF(終値!A37="","",IF(AND(高値!O37&gt;高値!N37,高値!O37&gt;高値!M37,高値!O37&gt;高値!P37,高値!O37&gt;高値!Q37),10,""))</f>
      </c>
      <c r="AL37" s="684">
        <f>IF(終値!A37="","",IF(AND(高値!P37&gt;高値!O37,高値!P37&gt;高値!N37,高値!P37&gt;高値!Q37,高値!P37&gt;高値!R37),11,""))</f>
      </c>
      <c r="AM37" s="684">
        <f>IF(終値!A37="","",IF(AND(高値!Q37&gt;高値!P37,高値!Q37&gt;高値!O37,高値!Q37&gt;高値!R37,高値!Q37&gt;高値!S37),12,""))</f>
      </c>
      <c r="AN37" s="684">
        <f>IF(終値!A37="","",IF(AND(高値!R37&gt;高値!Q37,高値!R37&gt;高値!P37,高値!R37&gt;高値!S37,高値!R37&gt;高値!T37),13,""))</f>
      </c>
      <c r="AO37" s="684">
        <f>IF(終値!A37="","",IF(AND(高値!S37&gt;高値!R37,高値!S37&gt;高値!Q37,高値!S37&gt;高値!T37,高値!S37&gt;高値!U37),14,""))</f>
      </c>
      <c r="AP37" s="684">
        <f>IF(終値!A37="","",IF(AND(高値!T37&gt;高値!S37,高値!T37&gt;高値!R37,高値!T37&gt;高値!U37,高値!T37&gt;高値!V37),15,""))</f>
      </c>
      <c r="AQ37" s="684">
        <f>IF(終値!A37="","",IF(AND(高値!U37&gt;高値!T37,高値!U37&gt;高値!S37,高値!U37&gt;高値!V37,高値!U37&gt;高値!W37),16,""))</f>
      </c>
      <c r="AR37" s="684">
        <f>IF(終値!A37="","",IF(AND(高値!V37&gt;高値!U37,高値!V37&gt;高値!T37,高値!V37&gt;高値!W37,高値!V37&gt;高値!X37),17,""))</f>
      </c>
      <c r="AS37" s="684">
        <f>IF(終値!A37="","",IF(AND(高値!W37&gt;高値!V37,高値!W37&gt;高値!U37,高値!W37&gt;高値!X37,高値!W37&gt;高値!Y37),18,""))</f>
      </c>
      <c r="AT37" s="684">
        <f>IF(終値!A37="","",IF(AND(高値!X37&gt;高値!W37,高値!X37&gt;高値!V37,高値!X37&gt;高値!Y37,高値!X37&gt;高値!Z37),19,""))</f>
      </c>
      <c r="AU37" s="684">
        <f>IF(終値!A37="","",IF(AND(高値!Y37&gt;高値!X37,高値!Y37&gt;高値!W37,高値!Y37&gt;高値!Z37,高値!Y37&gt;高値!AA37),20,""))</f>
      </c>
      <c r="AV37" s="684">
        <f>IF(終値!A37="","",IF(AND(高値!Z37&gt;高値!Y37,高値!Z37&gt;高値!X37,高値!Z37&gt;高値!AA37,高値!Z37&gt;高値!AB37),21,""))</f>
      </c>
      <c r="AW37" s="684">
        <f>IF(終値!A37="","",IF(AND(高値!AA37&gt;高値!Z37,高値!AA37&gt;高値!Y37,高値!AA37&gt;高値!AB37,高値!AA37&gt;高値!AC37),22,""))</f>
      </c>
      <c r="AX37" s="684">
        <f>IF(終値!A37="","",IF(AND(高値!AB37&gt;高値!AA37,高値!AB37&gt;高値!Z37,高値!AB37&gt;高値!AC37,高値!AB37&gt;高値!AD37),23,""))</f>
      </c>
      <c r="AY37" s="684">
        <f>IF(終値!A37="","",IF(AND(高値!AC37&gt;高値!AB37,高値!AC37&gt;高値!AA37,高値!AC37&gt;高値!AD37,高値!AC37&gt;高値!AE37),24,""))</f>
      </c>
      <c r="AZ37" s="684">
        <f>IF(終値!A37="","",IF(AND(高値!AD37&gt;高値!AC37,高値!AD37&gt;高値!AB37,高値!AD37&gt;高値!AE37,高値!AD37&gt;高値!AF37),25,""))</f>
      </c>
      <c r="BA37" s="684">
        <f>IF(終値!A37="","",IF(AND(高値!AE37&gt;高値!AD37,高値!AE37&gt;高値!AC37,高値!AE37&gt;高値!AF37,高値!AE37&gt;高値!AG37),26,""))</f>
      </c>
      <c r="BB37" s="684">
        <f>IF(終値!A37="","",IF(AND(高値!AF37&gt;高値!AE37,高値!AF37&gt;高値!AD37,高値!AF37&gt;高値!AG37,高値!AF37&gt;高値!AH37),27,""))</f>
      </c>
      <c r="BC37" s="684">
        <f>IF(終値!A37="","",IF(AND(高値!AG37&gt;高値!AF37,高値!AG37&gt;高値!AE37,高値!AG37&gt;高値!AH37,高値!AG37&gt;高値!AI37),28,""))</f>
      </c>
      <c r="BD37" s="684">
        <f>COUNT($B37:$AB37)</f>
      </c>
      <c r="BE37" s="684">
        <f>IF($BD37&gt;=2,MIN($B37:$AB37),"")</f>
      </c>
      <c r="BF37" s="684">
        <f>IF($BD37&gt;=2,SMALL($B37:$AB37,2),"")</f>
      </c>
      <c r="BG37" s="684">
        <f>IF($BE37="","",INDEX(安値!$E37:$CZ37,1,$BE37+1))</f>
      </c>
      <c r="BH37" s="684">
        <f>IF($BF37="","",INDEX(安値!$E37:$CZ37,1,$BF37+1))</f>
      </c>
      <c r="BI37" s="684">
        <f>IF($BF37="","",MAX(INDEX(高値!$E37:$CZ37,1,$BE37+1):INDEX(高値!$E37:$CZ37,1,$BF37+1)))</f>
      </c>
      <c r="BJ37" s="684">
        <f>IF($BF37="","",AVERAGE(INDEX(終値!$E37:$CZ37,1,$BF37+1):INDEX(終値!$E37:$CZ37,1,$BF37+20))-2*STDEVP(INDEX(終値!$E37:$CZ37,1,$BF37+1):INDEX(終値!$E37:$CZ37,1,$BF37+20)))</f>
      </c>
      <c r="BK37" s="684">
        <f>IF($BE37="","",AVERAGE(INDEX(終値!$E37:$CZ37,1,$BE37+1):INDEX(終値!$E37:$CZ37,1,$BE37+20))-2*STDEVP(INDEX(終値!$E37:$CZ37,1,$BE37+1):INDEX(終値!$E37:$CZ37,1,$BE37+20)))</f>
      </c>
      <c r="BL37" s="684">
        <f>COUNT($AC37:$BC37)</f>
      </c>
      <c r="BM37" s="684">
        <f>IF($BL37&gt;=2,MIN($AC37:$BC37),"")</f>
      </c>
      <c r="BN37" s="684">
        <f>IF($BL37&gt;=2,SMALL($AC37:$BC37,2),"")</f>
      </c>
      <c r="BO37" s="684">
        <f>IF($BM37="","",INDEX(高値!$E37:$CZ37,1,$BM37+1))</f>
      </c>
      <c r="BP37" s="684">
        <f>IF($BN37="","",INDEX(高値!$E37:$CZ37,1,$BN37+1))</f>
      </c>
      <c r="BQ37" s="684">
        <f>IF($BN37="","",MIN(INDEX(安値!$E37:$CZ37,1,$BM37+1):INDEX(安値!$E37:$CZ37,1,$BN37+1)))</f>
      </c>
      <c r="BR37" s="684">
        <f>IF($BN37="","",AVERAGE(INDEX(終値!$E37:$CZ37,1,$BN37+1):INDEX(終値!$E37:$CZ37,1,$BN37+20))+2*STDEVP(INDEX(終値!$E37:$CZ37,1,$BN37+1):INDEX(終値!$E37:$CZ37,1,$BN37+20)))</f>
      </c>
      <c r="BS37" s="684">
        <f>IF($BM37="","",AVERAGE(INDEX(終値!$E37:$CZ37,1,$BM37+1):INDEX(終値!$E37:$CZ37,1,$BM37+20))+2*STDEVP(INDEX(終値!$E37:$CZ37,1,$BM37+1):INDEX(終値!$E37:$CZ37,1,$BM37+20)))</f>
      </c>
      <c r="BT37" s="681">
        <f>IFERROR(IF(AND($BD37&gt;=2,ABS($BG37-$BH37)/$BH37&lt;=BB設定!$B$12,$BI37&gt;=MAX($BH37,$BG37)*(1+BB設定!$B$13),終値!E37&gt;$BG37),IF(OR(終値!E37&gt;=$BI37,AND($BH37&lt;$BJ37,$BG37&gt;=$BK37)),"二番底W▲","二番底W形成"),IF(AND($BL37&gt;=2,ABS($BO37-$BP37)/$BP37&lt;=BB設定!$B$12,$BQ37&lt;=MIN($BP37,$BO37)*(1-BB設定!$B$13),終値!E37&lt;$BO37),IF(OR(終値!E37&lt;=$BQ37,AND($BP37&gt;$BR37,$BO37&lt;=$BS37)),"二番天井M▼","二番天井M形成"),"－")),"－")</f>
      </c>
    </row>
    <row r="38">
      <c r="B38" s="684">
        <f>IF(終値!A38="","",IF(AND(安値!G38&lt;安値!F38,安値!G38&lt;安値!E38,安値!G38&lt;安値!H38,安値!G38&lt;安値!I38),2,""))</f>
      </c>
      <c r="C38" s="684">
        <f>IF(終値!A38="","",IF(AND(安値!H38&lt;安値!G38,安値!H38&lt;安値!F38,安値!H38&lt;安値!I38,安値!H38&lt;安値!J38),3,""))</f>
      </c>
      <c r="D38" s="684">
        <f>IF(終値!A38="","",IF(AND(安値!I38&lt;安値!H38,安値!I38&lt;安値!G38,安値!I38&lt;安値!J38,安値!I38&lt;安値!K38),4,""))</f>
      </c>
      <c r="E38" s="684">
        <f>IF(終値!A38="","",IF(AND(安値!J38&lt;安値!I38,安値!J38&lt;安値!H38,安値!J38&lt;安値!K38,安値!J38&lt;安値!L38),5,""))</f>
      </c>
      <c r="F38" s="684">
        <f>IF(終値!A38="","",IF(AND(安値!K38&lt;安値!J38,安値!K38&lt;安値!I38,安値!K38&lt;安値!L38,安値!K38&lt;安値!M38),6,""))</f>
      </c>
      <c r="G38" s="684">
        <f>IF(終値!A38="","",IF(AND(安値!L38&lt;安値!K38,安値!L38&lt;安値!J38,安値!L38&lt;安値!M38,安値!L38&lt;安値!N38),7,""))</f>
      </c>
      <c r="H38" s="684">
        <f>IF(終値!A38="","",IF(AND(安値!M38&lt;安値!L38,安値!M38&lt;安値!K38,安値!M38&lt;安値!N38,安値!M38&lt;安値!O38),8,""))</f>
      </c>
      <c r="I38" s="684">
        <f>IF(終値!A38="","",IF(AND(安値!N38&lt;安値!M38,安値!N38&lt;安値!L38,安値!N38&lt;安値!O38,安値!N38&lt;安値!P38),9,""))</f>
      </c>
      <c r="J38" s="684">
        <f>IF(終値!A38="","",IF(AND(安値!O38&lt;安値!N38,安値!O38&lt;安値!M38,安値!O38&lt;安値!P38,安値!O38&lt;安値!Q38),10,""))</f>
      </c>
      <c r="K38" s="684">
        <f>IF(終値!A38="","",IF(AND(安値!P38&lt;安値!O38,安値!P38&lt;安値!N38,安値!P38&lt;安値!Q38,安値!P38&lt;安値!R38),11,""))</f>
      </c>
      <c r="L38" s="684">
        <f>IF(終値!A38="","",IF(AND(安値!Q38&lt;安値!P38,安値!Q38&lt;安値!O38,安値!Q38&lt;安値!R38,安値!Q38&lt;安値!S38),12,""))</f>
      </c>
      <c r="M38" s="684">
        <f>IF(終値!A38="","",IF(AND(安値!R38&lt;安値!Q38,安値!R38&lt;安値!P38,安値!R38&lt;安値!S38,安値!R38&lt;安値!T38),13,""))</f>
      </c>
      <c r="N38" s="684">
        <f>IF(終値!A38="","",IF(AND(安値!S38&lt;安値!R38,安値!S38&lt;安値!Q38,安値!S38&lt;安値!T38,安値!S38&lt;安値!U38),14,""))</f>
      </c>
      <c r="O38" s="684">
        <f>IF(終値!A38="","",IF(AND(安値!T38&lt;安値!S38,安値!T38&lt;安値!R38,安値!T38&lt;安値!U38,安値!T38&lt;安値!V38),15,""))</f>
      </c>
      <c r="P38" s="684">
        <f>IF(終値!A38="","",IF(AND(安値!U38&lt;安値!T38,安値!U38&lt;安値!S38,安値!U38&lt;安値!V38,安値!U38&lt;安値!W38),16,""))</f>
      </c>
      <c r="Q38" s="684">
        <f>IF(終値!A38="","",IF(AND(安値!V38&lt;安値!U38,安値!V38&lt;安値!T38,安値!V38&lt;安値!W38,安値!V38&lt;安値!X38),17,""))</f>
      </c>
      <c r="R38" s="684">
        <f>IF(終値!A38="","",IF(AND(安値!W38&lt;安値!V38,安値!W38&lt;安値!U38,安値!W38&lt;安値!X38,安値!W38&lt;安値!Y38),18,""))</f>
      </c>
      <c r="S38" s="684">
        <f>IF(終値!A38="","",IF(AND(安値!X38&lt;安値!W38,安値!X38&lt;安値!V38,安値!X38&lt;安値!Y38,安値!X38&lt;安値!Z38),19,""))</f>
      </c>
      <c r="T38" s="684">
        <f>IF(終値!A38="","",IF(AND(安値!Y38&lt;安値!X38,安値!Y38&lt;安値!W38,安値!Y38&lt;安値!Z38,安値!Y38&lt;安値!AA38),20,""))</f>
      </c>
      <c r="U38" s="684">
        <f>IF(終値!A38="","",IF(AND(安値!Z38&lt;安値!Y38,安値!Z38&lt;安値!X38,安値!Z38&lt;安値!AA38,安値!Z38&lt;安値!AB38),21,""))</f>
      </c>
      <c r="V38" s="684">
        <f>IF(終値!A38="","",IF(AND(安値!AA38&lt;安値!Z38,安値!AA38&lt;安値!Y38,安値!AA38&lt;安値!AB38,安値!AA38&lt;安値!AC38),22,""))</f>
      </c>
      <c r="W38" s="684">
        <f>IF(終値!A38="","",IF(AND(安値!AB38&lt;安値!AA38,安値!AB38&lt;安値!Z38,安値!AB38&lt;安値!AC38,安値!AB38&lt;安値!AD38),23,""))</f>
      </c>
      <c r="X38" s="684">
        <f>IF(終値!A38="","",IF(AND(安値!AC38&lt;安値!AB38,安値!AC38&lt;安値!AA38,安値!AC38&lt;安値!AD38,安値!AC38&lt;安値!AE38),24,""))</f>
      </c>
      <c r="Y38" s="684">
        <f>IF(終値!A38="","",IF(AND(安値!AD38&lt;安値!AC38,安値!AD38&lt;安値!AB38,安値!AD38&lt;安値!AE38,安値!AD38&lt;安値!AF38),25,""))</f>
      </c>
      <c r="Z38" s="684">
        <f>IF(終値!A38="","",IF(AND(安値!AE38&lt;安値!AD38,安値!AE38&lt;安値!AC38,安値!AE38&lt;安値!AF38,安値!AE38&lt;安値!AG38),26,""))</f>
      </c>
      <c r="AA38" s="684">
        <f>IF(終値!A38="","",IF(AND(安値!AF38&lt;安値!AE38,安値!AF38&lt;安値!AD38,安値!AF38&lt;安値!AG38,安値!AF38&lt;安値!AH38),27,""))</f>
      </c>
      <c r="AB38" s="684">
        <f>IF(終値!A38="","",IF(AND(安値!AG38&lt;安値!AF38,安値!AG38&lt;安値!AE38,安値!AG38&lt;安値!AH38,安値!AG38&lt;安値!AI38),28,""))</f>
      </c>
      <c r="AC38" s="684">
        <f>IF(終値!A38="","",IF(AND(高値!G38&gt;高値!F38,高値!G38&gt;高値!E38,高値!G38&gt;高値!H38,高値!G38&gt;高値!I38),2,""))</f>
      </c>
      <c r="AD38" s="684">
        <f>IF(終値!A38="","",IF(AND(高値!H38&gt;高値!G38,高値!H38&gt;高値!F38,高値!H38&gt;高値!I38,高値!H38&gt;高値!J38),3,""))</f>
      </c>
      <c r="AE38" s="684">
        <f>IF(終値!A38="","",IF(AND(高値!I38&gt;高値!H38,高値!I38&gt;高値!G38,高値!I38&gt;高値!J38,高値!I38&gt;高値!K38),4,""))</f>
      </c>
      <c r="AF38" s="684">
        <f>IF(終値!A38="","",IF(AND(高値!J38&gt;高値!I38,高値!J38&gt;高値!H38,高値!J38&gt;高値!K38,高値!J38&gt;高値!L38),5,""))</f>
      </c>
      <c r="AG38" s="684">
        <f>IF(終値!A38="","",IF(AND(高値!K38&gt;高値!J38,高値!K38&gt;高値!I38,高値!K38&gt;高値!L38,高値!K38&gt;高値!M38),6,""))</f>
      </c>
      <c r="AH38" s="684">
        <f>IF(終値!A38="","",IF(AND(高値!L38&gt;高値!K38,高値!L38&gt;高値!J38,高値!L38&gt;高値!M38,高値!L38&gt;高値!N38),7,""))</f>
      </c>
      <c r="AI38" s="684">
        <f>IF(終値!A38="","",IF(AND(高値!M38&gt;高値!L38,高値!M38&gt;高値!K38,高値!M38&gt;高値!N38,高値!M38&gt;高値!O38),8,""))</f>
      </c>
      <c r="AJ38" s="684">
        <f>IF(終値!A38="","",IF(AND(高値!N38&gt;高値!M38,高値!N38&gt;高値!L38,高値!N38&gt;高値!O38,高値!N38&gt;高値!P38),9,""))</f>
      </c>
      <c r="AK38" s="684">
        <f>IF(終値!A38="","",IF(AND(高値!O38&gt;高値!N38,高値!O38&gt;高値!M38,高値!O38&gt;高値!P38,高値!O38&gt;高値!Q38),10,""))</f>
      </c>
      <c r="AL38" s="684">
        <f>IF(終値!A38="","",IF(AND(高値!P38&gt;高値!O38,高値!P38&gt;高値!N38,高値!P38&gt;高値!Q38,高値!P38&gt;高値!R38),11,""))</f>
      </c>
      <c r="AM38" s="684">
        <f>IF(終値!A38="","",IF(AND(高値!Q38&gt;高値!P38,高値!Q38&gt;高値!O38,高値!Q38&gt;高値!R38,高値!Q38&gt;高値!S38),12,""))</f>
      </c>
      <c r="AN38" s="684">
        <f>IF(終値!A38="","",IF(AND(高値!R38&gt;高値!Q38,高値!R38&gt;高値!P38,高値!R38&gt;高値!S38,高値!R38&gt;高値!T38),13,""))</f>
      </c>
      <c r="AO38" s="684">
        <f>IF(終値!A38="","",IF(AND(高値!S38&gt;高値!R38,高値!S38&gt;高値!Q38,高値!S38&gt;高値!T38,高値!S38&gt;高値!U38),14,""))</f>
      </c>
      <c r="AP38" s="684">
        <f>IF(終値!A38="","",IF(AND(高値!T38&gt;高値!S38,高値!T38&gt;高値!R38,高値!T38&gt;高値!U38,高値!T38&gt;高値!V38),15,""))</f>
      </c>
      <c r="AQ38" s="684">
        <f>IF(終値!A38="","",IF(AND(高値!U38&gt;高値!T38,高値!U38&gt;高値!S38,高値!U38&gt;高値!V38,高値!U38&gt;高値!W38),16,""))</f>
      </c>
      <c r="AR38" s="684">
        <f>IF(終値!A38="","",IF(AND(高値!V38&gt;高値!U38,高値!V38&gt;高値!T38,高値!V38&gt;高値!W38,高値!V38&gt;高値!X38),17,""))</f>
      </c>
      <c r="AS38" s="684">
        <f>IF(終値!A38="","",IF(AND(高値!W38&gt;高値!V38,高値!W38&gt;高値!U38,高値!W38&gt;高値!X38,高値!W38&gt;高値!Y38),18,""))</f>
      </c>
      <c r="AT38" s="684">
        <f>IF(終値!A38="","",IF(AND(高値!X38&gt;高値!W38,高値!X38&gt;高値!V38,高値!X38&gt;高値!Y38,高値!X38&gt;高値!Z38),19,""))</f>
      </c>
      <c r="AU38" s="684">
        <f>IF(終値!A38="","",IF(AND(高値!Y38&gt;高値!X38,高値!Y38&gt;高値!W38,高値!Y38&gt;高値!Z38,高値!Y38&gt;高値!AA38),20,""))</f>
      </c>
      <c r="AV38" s="684">
        <f>IF(終値!A38="","",IF(AND(高値!Z38&gt;高値!Y38,高値!Z38&gt;高値!X38,高値!Z38&gt;高値!AA38,高値!Z38&gt;高値!AB38),21,""))</f>
      </c>
      <c r="AW38" s="684">
        <f>IF(終値!A38="","",IF(AND(高値!AA38&gt;高値!Z38,高値!AA38&gt;高値!Y38,高値!AA38&gt;高値!AB38,高値!AA38&gt;高値!AC38),22,""))</f>
      </c>
      <c r="AX38" s="684">
        <f>IF(終値!A38="","",IF(AND(高値!AB38&gt;高値!AA38,高値!AB38&gt;高値!Z38,高値!AB38&gt;高値!AC38,高値!AB38&gt;高値!AD38),23,""))</f>
      </c>
      <c r="AY38" s="684">
        <f>IF(終値!A38="","",IF(AND(高値!AC38&gt;高値!AB38,高値!AC38&gt;高値!AA38,高値!AC38&gt;高値!AD38,高値!AC38&gt;高値!AE38),24,""))</f>
      </c>
      <c r="AZ38" s="684">
        <f>IF(終値!A38="","",IF(AND(高値!AD38&gt;高値!AC38,高値!AD38&gt;高値!AB38,高値!AD38&gt;高値!AE38,高値!AD38&gt;高値!AF38),25,""))</f>
      </c>
      <c r="BA38" s="684">
        <f>IF(終値!A38="","",IF(AND(高値!AE38&gt;高値!AD38,高値!AE38&gt;高値!AC38,高値!AE38&gt;高値!AF38,高値!AE38&gt;高値!AG38),26,""))</f>
      </c>
      <c r="BB38" s="684">
        <f>IF(終値!A38="","",IF(AND(高値!AF38&gt;高値!AE38,高値!AF38&gt;高値!AD38,高値!AF38&gt;高値!AG38,高値!AF38&gt;高値!AH38),27,""))</f>
      </c>
      <c r="BC38" s="684">
        <f>IF(終値!A38="","",IF(AND(高値!AG38&gt;高値!AF38,高値!AG38&gt;高値!AE38,高値!AG38&gt;高値!AH38,高値!AG38&gt;高値!AI38),28,""))</f>
      </c>
      <c r="BD38" s="684">
        <f>COUNT($B38:$AB38)</f>
      </c>
      <c r="BE38" s="684">
        <f>IF($BD38&gt;=2,MIN($B38:$AB38),"")</f>
      </c>
      <c r="BF38" s="684">
        <f>IF($BD38&gt;=2,SMALL($B38:$AB38,2),"")</f>
      </c>
      <c r="BG38" s="684">
        <f>IF($BE38="","",INDEX(安値!$E38:$CZ38,1,$BE38+1))</f>
      </c>
      <c r="BH38" s="684">
        <f>IF($BF38="","",INDEX(安値!$E38:$CZ38,1,$BF38+1))</f>
      </c>
      <c r="BI38" s="684">
        <f>IF($BF38="","",MAX(INDEX(高値!$E38:$CZ38,1,$BE38+1):INDEX(高値!$E38:$CZ38,1,$BF38+1)))</f>
      </c>
      <c r="BJ38" s="684">
        <f>IF($BF38="","",AVERAGE(INDEX(終値!$E38:$CZ38,1,$BF38+1):INDEX(終値!$E38:$CZ38,1,$BF38+20))-2*STDEVP(INDEX(終値!$E38:$CZ38,1,$BF38+1):INDEX(終値!$E38:$CZ38,1,$BF38+20)))</f>
      </c>
      <c r="BK38" s="684">
        <f>IF($BE38="","",AVERAGE(INDEX(終値!$E38:$CZ38,1,$BE38+1):INDEX(終値!$E38:$CZ38,1,$BE38+20))-2*STDEVP(INDEX(終値!$E38:$CZ38,1,$BE38+1):INDEX(終値!$E38:$CZ38,1,$BE38+20)))</f>
      </c>
      <c r="BL38" s="684">
        <f>COUNT($AC38:$BC38)</f>
      </c>
      <c r="BM38" s="684">
        <f>IF($BL38&gt;=2,MIN($AC38:$BC38),"")</f>
      </c>
      <c r="BN38" s="684">
        <f>IF($BL38&gt;=2,SMALL($AC38:$BC38,2),"")</f>
      </c>
      <c r="BO38" s="684">
        <f>IF($BM38="","",INDEX(高値!$E38:$CZ38,1,$BM38+1))</f>
      </c>
      <c r="BP38" s="684">
        <f>IF($BN38="","",INDEX(高値!$E38:$CZ38,1,$BN38+1))</f>
      </c>
      <c r="BQ38" s="684">
        <f>IF($BN38="","",MIN(INDEX(安値!$E38:$CZ38,1,$BM38+1):INDEX(安値!$E38:$CZ38,1,$BN38+1)))</f>
      </c>
      <c r="BR38" s="684">
        <f>IF($BN38="","",AVERAGE(INDEX(終値!$E38:$CZ38,1,$BN38+1):INDEX(終値!$E38:$CZ38,1,$BN38+20))+2*STDEVP(INDEX(終値!$E38:$CZ38,1,$BN38+1):INDEX(終値!$E38:$CZ38,1,$BN38+20)))</f>
      </c>
      <c r="BS38" s="684">
        <f>IF($BM38="","",AVERAGE(INDEX(終値!$E38:$CZ38,1,$BM38+1):INDEX(終値!$E38:$CZ38,1,$BM38+20))+2*STDEVP(INDEX(終値!$E38:$CZ38,1,$BM38+1):INDEX(終値!$E38:$CZ38,1,$BM38+20)))</f>
      </c>
      <c r="BT38" s="681">
        <f>IFERROR(IF(AND($BD38&gt;=2,ABS($BG38-$BH38)/$BH38&lt;=BB設定!$B$12,$BI38&gt;=MAX($BH38,$BG38)*(1+BB設定!$B$13),終値!E38&gt;$BG38),IF(OR(終値!E38&gt;=$BI38,AND($BH38&lt;$BJ38,$BG38&gt;=$BK38)),"二番底W▲","二番底W形成"),IF(AND($BL38&gt;=2,ABS($BO38-$BP38)/$BP38&lt;=BB設定!$B$12,$BQ38&lt;=MIN($BP38,$BO38)*(1-BB設定!$B$13),終値!E38&lt;$BO38),IF(OR(終値!E38&lt;=$BQ38,AND($BP38&gt;$BR38,$BO38&lt;=$BS38)),"二番天井M▼","二番天井M形成"),"－")),"－")</f>
      </c>
    </row>
    <row r="39">
      <c r="B39" s="684">
        <f>IF(終値!A39="","",IF(AND(安値!G39&lt;安値!F39,安値!G39&lt;安値!E39,安値!G39&lt;安値!H39,安値!G39&lt;安値!I39),2,""))</f>
      </c>
      <c r="C39" s="684">
        <f>IF(終値!A39="","",IF(AND(安値!H39&lt;安値!G39,安値!H39&lt;安値!F39,安値!H39&lt;安値!I39,安値!H39&lt;安値!J39),3,""))</f>
      </c>
      <c r="D39" s="684">
        <f>IF(終値!A39="","",IF(AND(安値!I39&lt;安値!H39,安値!I39&lt;安値!G39,安値!I39&lt;安値!J39,安値!I39&lt;安値!K39),4,""))</f>
      </c>
      <c r="E39" s="684">
        <f>IF(終値!A39="","",IF(AND(安値!J39&lt;安値!I39,安値!J39&lt;安値!H39,安値!J39&lt;安値!K39,安値!J39&lt;安値!L39),5,""))</f>
      </c>
      <c r="F39" s="684">
        <f>IF(終値!A39="","",IF(AND(安値!K39&lt;安値!J39,安値!K39&lt;安値!I39,安値!K39&lt;安値!L39,安値!K39&lt;安値!M39),6,""))</f>
      </c>
      <c r="G39" s="684">
        <f>IF(終値!A39="","",IF(AND(安値!L39&lt;安値!K39,安値!L39&lt;安値!J39,安値!L39&lt;安値!M39,安値!L39&lt;安値!N39),7,""))</f>
      </c>
      <c r="H39" s="684">
        <f>IF(終値!A39="","",IF(AND(安値!M39&lt;安値!L39,安値!M39&lt;安値!K39,安値!M39&lt;安値!N39,安値!M39&lt;安値!O39),8,""))</f>
      </c>
      <c r="I39" s="684">
        <f>IF(終値!A39="","",IF(AND(安値!N39&lt;安値!M39,安値!N39&lt;安値!L39,安値!N39&lt;安値!O39,安値!N39&lt;安値!P39),9,""))</f>
      </c>
      <c r="J39" s="684">
        <f>IF(終値!A39="","",IF(AND(安値!O39&lt;安値!N39,安値!O39&lt;安値!M39,安値!O39&lt;安値!P39,安値!O39&lt;安値!Q39),10,""))</f>
      </c>
      <c r="K39" s="684">
        <f>IF(終値!A39="","",IF(AND(安値!P39&lt;安値!O39,安値!P39&lt;安値!N39,安値!P39&lt;安値!Q39,安値!P39&lt;安値!R39),11,""))</f>
      </c>
      <c r="L39" s="684">
        <f>IF(終値!A39="","",IF(AND(安値!Q39&lt;安値!P39,安値!Q39&lt;安値!O39,安値!Q39&lt;安値!R39,安値!Q39&lt;安値!S39),12,""))</f>
      </c>
      <c r="M39" s="684">
        <f>IF(終値!A39="","",IF(AND(安値!R39&lt;安値!Q39,安値!R39&lt;安値!P39,安値!R39&lt;安値!S39,安値!R39&lt;安値!T39),13,""))</f>
      </c>
      <c r="N39" s="684">
        <f>IF(終値!A39="","",IF(AND(安値!S39&lt;安値!R39,安値!S39&lt;安値!Q39,安値!S39&lt;安値!T39,安値!S39&lt;安値!U39),14,""))</f>
      </c>
      <c r="O39" s="684">
        <f>IF(終値!A39="","",IF(AND(安値!T39&lt;安値!S39,安値!T39&lt;安値!R39,安値!T39&lt;安値!U39,安値!T39&lt;安値!V39),15,""))</f>
      </c>
      <c r="P39" s="684">
        <f>IF(終値!A39="","",IF(AND(安値!U39&lt;安値!T39,安値!U39&lt;安値!S39,安値!U39&lt;安値!V39,安値!U39&lt;安値!W39),16,""))</f>
      </c>
      <c r="Q39" s="684">
        <f>IF(終値!A39="","",IF(AND(安値!V39&lt;安値!U39,安値!V39&lt;安値!T39,安値!V39&lt;安値!W39,安値!V39&lt;安値!X39),17,""))</f>
      </c>
      <c r="R39" s="684">
        <f>IF(終値!A39="","",IF(AND(安値!W39&lt;安値!V39,安値!W39&lt;安値!U39,安値!W39&lt;安値!X39,安値!W39&lt;安値!Y39),18,""))</f>
      </c>
      <c r="S39" s="684">
        <f>IF(終値!A39="","",IF(AND(安値!X39&lt;安値!W39,安値!X39&lt;安値!V39,安値!X39&lt;安値!Y39,安値!X39&lt;安値!Z39),19,""))</f>
      </c>
      <c r="T39" s="684">
        <f>IF(終値!A39="","",IF(AND(安値!Y39&lt;安値!X39,安値!Y39&lt;安値!W39,安値!Y39&lt;安値!Z39,安値!Y39&lt;安値!AA39),20,""))</f>
      </c>
      <c r="U39" s="684">
        <f>IF(終値!A39="","",IF(AND(安値!Z39&lt;安値!Y39,安値!Z39&lt;安値!X39,安値!Z39&lt;安値!AA39,安値!Z39&lt;安値!AB39),21,""))</f>
      </c>
      <c r="V39" s="684">
        <f>IF(終値!A39="","",IF(AND(安値!AA39&lt;安値!Z39,安値!AA39&lt;安値!Y39,安値!AA39&lt;安値!AB39,安値!AA39&lt;安値!AC39),22,""))</f>
      </c>
      <c r="W39" s="684">
        <f>IF(終値!A39="","",IF(AND(安値!AB39&lt;安値!AA39,安値!AB39&lt;安値!Z39,安値!AB39&lt;安値!AC39,安値!AB39&lt;安値!AD39),23,""))</f>
      </c>
      <c r="X39" s="684">
        <f>IF(終値!A39="","",IF(AND(安値!AC39&lt;安値!AB39,安値!AC39&lt;安値!AA39,安値!AC39&lt;安値!AD39,安値!AC39&lt;安値!AE39),24,""))</f>
      </c>
      <c r="Y39" s="684">
        <f>IF(終値!A39="","",IF(AND(安値!AD39&lt;安値!AC39,安値!AD39&lt;安値!AB39,安値!AD39&lt;安値!AE39,安値!AD39&lt;安値!AF39),25,""))</f>
      </c>
      <c r="Z39" s="684">
        <f>IF(終値!A39="","",IF(AND(安値!AE39&lt;安値!AD39,安値!AE39&lt;安値!AC39,安値!AE39&lt;安値!AF39,安値!AE39&lt;安値!AG39),26,""))</f>
      </c>
      <c r="AA39" s="684">
        <f>IF(終値!A39="","",IF(AND(安値!AF39&lt;安値!AE39,安値!AF39&lt;安値!AD39,安値!AF39&lt;安値!AG39,安値!AF39&lt;安値!AH39),27,""))</f>
      </c>
      <c r="AB39" s="684">
        <f>IF(終値!A39="","",IF(AND(安値!AG39&lt;安値!AF39,安値!AG39&lt;安値!AE39,安値!AG39&lt;安値!AH39,安値!AG39&lt;安値!AI39),28,""))</f>
      </c>
      <c r="AC39" s="684">
        <f>IF(終値!A39="","",IF(AND(高値!G39&gt;高値!F39,高値!G39&gt;高値!E39,高値!G39&gt;高値!H39,高値!G39&gt;高値!I39),2,""))</f>
      </c>
      <c r="AD39" s="684">
        <f>IF(終値!A39="","",IF(AND(高値!H39&gt;高値!G39,高値!H39&gt;高値!F39,高値!H39&gt;高値!I39,高値!H39&gt;高値!J39),3,""))</f>
      </c>
      <c r="AE39" s="684">
        <f>IF(終値!A39="","",IF(AND(高値!I39&gt;高値!H39,高値!I39&gt;高値!G39,高値!I39&gt;高値!J39,高値!I39&gt;高値!K39),4,""))</f>
      </c>
      <c r="AF39" s="684">
        <f>IF(終値!A39="","",IF(AND(高値!J39&gt;高値!I39,高値!J39&gt;高値!H39,高値!J39&gt;高値!K39,高値!J39&gt;高値!L39),5,""))</f>
      </c>
      <c r="AG39" s="684">
        <f>IF(終値!A39="","",IF(AND(高値!K39&gt;高値!J39,高値!K39&gt;高値!I39,高値!K39&gt;高値!L39,高値!K39&gt;高値!M39),6,""))</f>
      </c>
      <c r="AH39" s="684">
        <f>IF(終値!A39="","",IF(AND(高値!L39&gt;高値!K39,高値!L39&gt;高値!J39,高値!L39&gt;高値!M39,高値!L39&gt;高値!N39),7,""))</f>
      </c>
      <c r="AI39" s="684">
        <f>IF(終値!A39="","",IF(AND(高値!M39&gt;高値!L39,高値!M39&gt;高値!K39,高値!M39&gt;高値!N39,高値!M39&gt;高値!O39),8,""))</f>
      </c>
      <c r="AJ39" s="684">
        <f>IF(終値!A39="","",IF(AND(高値!N39&gt;高値!M39,高値!N39&gt;高値!L39,高値!N39&gt;高値!O39,高値!N39&gt;高値!P39),9,""))</f>
      </c>
      <c r="AK39" s="684">
        <f>IF(終値!A39="","",IF(AND(高値!O39&gt;高値!N39,高値!O39&gt;高値!M39,高値!O39&gt;高値!P39,高値!O39&gt;高値!Q39),10,""))</f>
      </c>
      <c r="AL39" s="684">
        <f>IF(終値!A39="","",IF(AND(高値!P39&gt;高値!O39,高値!P39&gt;高値!N39,高値!P39&gt;高値!Q39,高値!P39&gt;高値!R39),11,""))</f>
      </c>
      <c r="AM39" s="684">
        <f>IF(終値!A39="","",IF(AND(高値!Q39&gt;高値!P39,高値!Q39&gt;高値!O39,高値!Q39&gt;高値!R39,高値!Q39&gt;高値!S39),12,""))</f>
      </c>
      <c r="AN39" s="684">
        <f>IF(終値!A39="","",IF(AND(高値!R39&gt;高値!Q39,高値!R39&gt;高値!P39,高値!R39&gt;高値!S39,高値!R39&gt;高値!T39),13,""))</f>
      </c>
      <c r="AO39" s="684">
        <f>IF(終値!A39="","",IF(AND(高値!S39&gt;高値!R39,高値!S39&gt;高値!Q39,高値!S39&gt;高値!T39,高値!S39&gt;高値!U39),14,""))</f>
      </c>
      <c r="AP39" s="684">
        <f>IF(終値!A39="","",IF(AND(高値!T39&gt;高値!S39,高値!T39&gt;高値!R39,高値!T39&gt;高値!U39,高値!T39&gt;高値!V39),15,""))</f>
      </c>
      <c r="AQ39" s="684">
        <f>IF(終値!A39="","",IF(AND(高値!U39&gt;高値!T39,高値!U39&gt;高値!S39,高値!U39&gt;高値!V39,高値!U39&gt;高値!W39),16,""))</f>
      </c>
      <c r="AR39" s="684">
        <f>IF(終値!A39="","",IF(AND(高値!V39&gt;高値!U39,高値!V39&gt;高値!T39,高値!V39&gt;高値!W39,高値!V39&gt;高値!X39),17,""))</f>
      </c>
      <c r="AS39" s="684">
        <f>IF(終値!A39="","",IF(AND(高値!W39&gt;高値!V39,高値!W39&gt;高値!U39,高値!W39&gt;高値!X39,高値!W39&gt;高値!Y39),18,""))</f>
      </c>
      <c r="AT39" s="684">
        <f>IF(終値!A39="","",IF(AND(高値!X39&gt;高値!W39,高値!X39&gt;高値!V39,高値!X39&gt;高値!Y39,高値!X39&gt;高値!Z39),19,""))</f>
      </c>
      <c r="AU39" s="684">
        <f>IF(終値!A39="","",IF(AND(高値!Y39&gt;高値!X39,高値!Y39&gt;高値!W39,高値!Y39&gt;高値!Z39,高値!Y39&gt;高値!AA39),20,""))</f>
      </c>
      <c r="AV39" s="684">
        <f>IF(終値!A39="","",IF(AND(高値!Z39&gt;高値!Y39,高値!Z39&gt;高値!X39,高値!Z39&gt;高値!AA39,高値!Z39&gt;高値!AB39),21,""))</f>
      </c>
      <c r="AW39" s="684">
        <f>IF(終値!A39="","",IF(AND(高値!AA39&gt;高値!Z39,高値!AA39&gt;高値!Y39,高値!AA39&gt;高値!AB39,高値!AA39&gt;高値!AC39),22,""))</f>
      </c>
      <c r="AX39" s="684">
        <f>IF(終値!A39="","",IF(AND(高値!AB39&gt;高値!AA39,高値!AB39&gt;高値!Z39,高値!AB39&gt;高値!AC39,高値!AB39&gt;高値!AD39),23,""))</f>
      </c>
      <c r="AY39" s="684">
        <f>IF(終値!A39="","",IF(AND(高値!AC39&gt;高値!AB39,高値!AC39&gt;高値!AA39,高値!AC39&gt;高値!AD39,高値!AC39&gt;高値!AE39),24,""))</f>
      </c>
      <c r="AZ39" s="684">
        <f>IF(終値!A39="","",IF(AND(高値!AD39&gt;高値!AC39,高値!AD39&gt;高値!AB39,高値!AD39&gt;高値!AE39,高値!AD39&gt;高値!AF39),25,""))</f>
      </c>
      <c r="BA39" s="684">
        <f>IF(終値!A39="","",IF(AND(高値!AE39&gt;高値!AD39,高値!AE39&gt;高値!AC39,高値!AE39&gt;高値!AF39,高値!AE39&gt;高値!AG39),26,""))</f>
      </c>
      <c r="BB39" s="684">
        <f>IF(終値!A39="","",IF(AND(高値!AF39&gt;高値!AE39,高値!AF39&gt;高値!AD39,高値!AF39&gt;高値!AG39,高値!AF39&gt;高値!AH39),27,""))</f>
      </c>
      <c r="BC39" s="684">
        <f>IF(終値!A39="","",IF(AND(高値!AG39&gt;高値!AF39,高値!AG39&gt;高値!AE39,高値!AG39&gt;高値!AH39,高値!AG39&gt;高値!AI39),28,""))</f>
      </c>
      <c r="BD39" s="684">
        <f>COUNT($B39:$AB39)</f>
      </c>
      <c r="BE39" s="684">
        <f>IF($BD39&gt;=2,MIN($B39:$AB39),"")</f>
      </c>
      <c r="BF39" s="684">
        <f>IF($BD39&gt;=2,SMALL($B39:$AB39,2),"")</f>
      </c>
      <c r="BG39" s="684">
        <f>IF($BE39="","",INDEX(安値!$E39:$CZ39,1,$BE39+1))</f>
      </c>
      <c r="BH39" s="684">
        <f>IF($BF39="","",INDEX(安値!$E39:$CZ39,1,$BF39+1))</f>
      </c>
      <c r="BI39" s="684">
        <f>IF($BF39="","",MAX(INDEX(高値!$E39:$CZ39,1,$BE39+1):INDEX(高値!$E39:$CZ39,1,$BF39+1)))</f>
      </c>
      <c r="BJ39" s="684">
        <f>IF($BF39="","",AVERAGE(INDEX(終値!$E39:$CZ39,1,$BF39+1):INDEX(終値!$E39:$CZ39,1,$BF39+20))-2*STDEVP(INDEX(終値!$E39:$CZ39,1,$BF39+1):INDEX(終値!$E39:$CZ39,1,$BF39+20)))</f>
      </c>
      <c r="BK39" s="684">
        <f>IF($BE39="","",AVERAGE(INDEX(終値!$E39:$CZ39,1,$BE39+1):INDEX(終値!$E39:$CZ39,1,$BE39+20))-2*STDEVP(INDEX(終値!$E39:$CZ39,1,$BE39+1):INDEX(終値!$E39:$CZ39,1,$BE39+20)))</f>
      </c>
      <c r="BL39" s="684">
        <f>COUNT($AC39:$BC39)</f>
      </c>
      <c r="BM39" s="684">
        <f>IF($BL39&gt;=2,MIN($AC39:$BC39),"")</f>
      </c>
      <c r="BN39" s="684">
        <f>IF($BL39&gt;=2,SMALL($AC39:$BC39,2),"")</f>
      </c>
      <c r="BO39" s="684">
        <f>IF($BM39="","",INDEX(高値!$E39:$CZ39,1,$BM39+1))</f>
      </c>
      <c r="BP39" s="684">
        <f>IF($BN39="","",INDEX(高値!$E39:$CZ39,1,$BN39+1))</f>
      </c>
      <c r="BQ39" s="684">
        <f>IF($BN39="","",MIN(INDEX(安値!$E39:$CZ39,1,$BM39+1):INDEX(安値!$E39:$CZ39,1,$BN39+1)))</f>
      </c>
      <c r="BR39" s="684">
        <f>IF($BN39="","",AVERAGE(INDEX(終値!$E39:$CZ39,1,$BN39+1):INDEX(終値!$E39:$CZ39,1,$BN39+20))+2*STDEVP(INDEX(終値!$E39:$CZ39,1,$BN39+1):INDEX(終値!$E39:$CZ39,1,$BN39+20)))</f>
      </c>
      <c r="BS39" s="684">
        <f>IF($BM39="","",AVERAGE(INDEX(終値!$E39:$CZ39,1,$BM39+1):INDEX(終値!$E39:$CZ39,1,$BM39+20))+2*STDEVP(INDEX(終値!$E39:$CZ39,1,$BM39+1):INDEX(終値!$E39:$CZ39,1,$BM39+20)))</f>
      </c>
      <c r="BT39" s="681">
        <f>IFERROR(IF(AND($BD39&gt;=2,ABS($BG39-$BH39)/$BH39&lt;=BB設定!$B$12,$BI39&gt;=MAX($BH39,$BG39)*(1+BB設定!$B$13),終値!E39&gt;$BG39),IF(OR(終値!E39&gt;=$BI39,AND($BH39&lt;$BJ39,$BG39&gt;=$BK39)),"二番底W▲","二番底W形成"),IF(AND($BL39&gt;=2,ABS($BO39-$BP39)/$BP39&lt;=BB設定!$B$12,$BQ39&lt;=MIN($BP39,$BO39)*(1-BB設定!$B$13),終値!E39&lt;$BO39),IF(OR(終値!E39&lt;=$BQ39,AND($BP39&gt;$BR39,$BO39&lt;=$BS39)),"二番天井M▼","二番天井M形成"),"－")),"－")</f>
      </c>
    </row>
    <row r="40">
      <c r="B40" s="684">
        <f>IF(終値!A40="","",IF(AND(安値!G40&lt;安値!F40,安値!G40&lt;安値!E40,安値!G40&lt;安値!H40,安値!G40&lt;安値!I40),2,""))</f>
      </c>
      <c r="C40" s="684">
        <f>IF(終値!A40="","",IF(AND(安値!H40&lt;安値!G40,安値!H40&lt;安値!F40,安値!H40&lt;安値!I40,安値!H40&lt;安値!J40),3,""))</f>
      </c>
      <c r="D40" s="684">
        <f>IF(終値!A40="","",IF(AND(安値!I40&lt;安値!H40,安値!I40&lt;安値!G40,安値!I40&lt;安値!J40,安値!I40&lt;安値!K40),4,""))</f>
      </c>
      <c r="E40" s="684">
        <f>IF(終値!A40="","",IF(AND(安値!J40&lt;安値!I40,安値!J40&lt;安値!H40,安値!J40&lt;安値!K40,安値!J40&lt;安値!L40),5,""))</f>
      </c>
      <c r="F40" s="684">
        <f>IF(終値!A40="","",IF(AND(安値!K40&lt;安値!J40,安値!K40&lt;安値!I40,安値!K40&lt;安値!L40,安値!K40&lt;安値!M40),6,""))</f>
      </c>
      <c r="G40" s="684">
        <f>IF(終値!A40="","",IF(AND(安値!L40&lt;安値!K40,安値!L40&lt;安値!J40,安値!L40&lt;安値!M40,安値!L40&lt;安値!N40),7,""))</f>
      </c>
      <c r="H40" s="684">
        <f>IF(終値!A40="","",IF(AND(安値!M40&lt;安値!L40,安値!M40&lt;安値!K40,安値!M40&lt;安値!N40,安値!M40&lt;安値!O40),8,""))</f>
      </c>
      <c r="I40" s="684">
        <f>IF(終値!A40="","",IF(AND(安値!N40&lt;安値!M40,安値!N40&lt;安値!L40,安値!N40&lt;安値!O40,安値!N40&lt;安値!P40),9,""))</f>
      </c>
      <c r="J40" s="684">
        <f>IF(終値!A40="","",IF(AND(安値!O40&lt;安値!N40,安値!O40&lt;安値!M40,安値!O40&lt;安値!P40,安値!O40&lt;安値!Q40),10,""))</f>
      </c>
      <c r="K40" s="684">
        <f>IF(終値!A40="","",IF(AND(安値!P40&lt;安値!O40,安値!P40&lt;安値!N40,安値!P40&lt;安値!Q40,安値!P40&lt;安値!R40),11,""))</f>
      </c>
      <c r="L40" s="684">
        <f>IF(終値!A40="","",IF(AND(安値!Q40&lt;安値!P40,安値!Q40&lt;安値!O40,安値!Q40&lt;安値!R40,安値!Q40&lt;安値!S40),12,""))</f>
      </c>
      <c r="M40" s="684">
        <f>IF(終値!A40="","",IF(AND(安値!R40&lt;安値!Q40,安値!R40&lt;安値!P40,安値!R40&lt;安値!S40,安値!R40&lt;安値!T40),13,""))</f>
      </c>
      <c r="N40" s="684">
        <f>IF(終値!A40="","",IF(AND(安値!S40&lt;安値!R40,安値!S40&lt;安値!Q40,安値!S40&lt;安値!T40,安値!S40&lt;安値!U40),14,""))</f>
      </c>
      <c r="O40" s="684">
        <f>IF(終値!A40="","",IF(AND(安値!T40&lt;安値!S40,安値!T40&lt;安値!R40,安値!T40&lt;安値!U40,安値!T40&lt;安値!V40),15,""))</f>
      </c>
      <c r="P40" s="684">
        <f>IF(終値!A40="","",IF(AND(安値!U40&lt;安値!T40,安値!U40&lt;安値!S40,安値!U40&lt;安値!V40,安値!U40&lt;安値!W40),16,""))</f>
      </c>
      <c r="Q40" s="684">
        <f>IF(終値!A40="","",IF(AND(安値!V40&lt;安値!U40,安値!V40&lt;安値!T40,安値!V40&lt;安値!W40,安値!V40&lt;安値!X40),17,""))</f>
      </c>
      <c r="R40" s="684">
        <f>IF(終値!A40="","",IF(AND(安値!W40&lt;安値!V40,安値!W40&lt;安値!U40,安値!W40&lt;安値!X40,安値!W40&lt;安値!Y40),18,""))</f>
      </c>
      <c r="S40" s="684">
        <f>IF(終値!A40="","",IF(AND(安値!X40&lt;安値!W40,安値!X40&lt;安値!V40,安値!X40&lt;安値!Y40,安値!X40&lt;安値!Z40),19,""))</f>
      </c>
      <c r="T40" s="684">
        <f>IF(終値!A40="","",IF(AND(安値!Y40&lt;安値!X40,安値!Y40&lt;安値!W40,安値!Y40&lt;安値!Z40,安値!Y40&lt;安値!AA40),20,""))</f>
      </c>
      <c r="U40" s="684">
        <f>IF(終値!A40="","",IF(AND(安値!Z40&lt;安値!Y40,安値!Z40&lt;安値!X40,安値!Z40&lt;安値!AA40,安値!Z40&lt;安値!AB40),21,""))</f>
      </c>
      <c r="V40" s="684">
        <f>IF(終値!A40="","",IF(AND(安値!AA40&lt;安値!Z40,安値!AA40&lt;安値!Y40,安値!AA40&lt;安値!AB40,安値!AA40&lt;安値!AC40),22,""))</f>
      </c>
      <c r="W40" s="684">
        <f>IF(終値!A40="","",IF(AND(安値!AB40&lt;安値!AA40,安値!AB40&lt;安値!Z40,安値!AB40&lt;安値!AC40,安値!AB40&lt;安値!AD40),23,""))</f>
      </c>
      <c r="X40" s="684">
        <f>IF(終値!A40="","",IF(AND(安値!AC40&lt;安値!AB40,安値!AC40&lt;安値!AA40,安値!AC40&lt;安値!AD40,安値!AC40&lt;安値!AE40),24,""))</f>
      </c>
      <c r="Y40" s="684">
        <f>IF(終値!A40="","",IF(AND(安値!AD40&lt;安値!AC40,安値!AD40&lt;安値!AB40,安値!AD40&lt;安値!AE40,安値!AD40&lt;安値!AF40),25,""))</f>
      </c>
      <c r="Z40" s="684">
        <f>IF(終値!A40="","",IF(AND(安値!AE40&lt;安値!AD40,安値!AE40&lt;安値!AC40,安値!AE40&lt;安値!AF40,安値!AE40&lt;安値!AG40),26,""))</f>
      </c>
      <c r="AA40" s="684">
        <f>IF(終値!A40="","",IF(AND(安値!AF40&lt;安値!AE40,安値!AF40&lt;安値!AD40,安値!AF40&lt;安値!AG40,安値!AF40&lt;安値!AH40),27,""))</f>
      </c>
      <c r="AB40" s="684">
        <f>IF(終値!A40="","",IF(AND(安値!AG40&lt;安値!AF40,安値!AG40&lt;安値!AE40,安値!AG40&lt;安値!AH40,安値!AG40&lt;安値!AI40),28,""))</f>
      </c>
      <c r="AC40" s="684">
        <f>IF(終値!A40="","",IF(AND(高値!G40&gt;高値!F40,高値!G40&gt;高値!E40,高値!G40&gt;高値!H40,高値!G40&gt;高値!I40),2,""))</f>
      </c>
      <c r="AD40" s="684">
        <f>IF(終値!A40="","",IF(AND(高値!H40&gt;高値!G40,高値!H40&gt;高値!F40,高値!H40&gt;高値!I40,高値!H40&gt;高値!J40),3,""))</f>
      </c>
      <c r="AE40" s="684">
        <f>IF(終値!A40="","",IF(AND(高値!I40&gt;高値!H40,高値!I40&gt;高値!G40,高値!I40&gt;高値!J40,高値!I40&gt;高値!K40),4,""))</f>
      </c>
      <c r="AF40" s="684">
        <f>IF(終値!A40="","",IF(AND(高値!J40&gt;高値!I40,高値!J40&gt;高値!H40,高値!J40&gt;高値!K40,高値!J40&gt;高値!L40),5,""))</f>
      </c>
      <c r="AG40" s="684">
        <f>IF(終値!A40="","",IF(AND(高値!K40&gt;高値!J40,高値!K40&gt;高値!I40,高値!K40&gt;高値!L40,高値!K40&gt;高値!M40),6,""))</f>
      </c>
      <c r="AH40" s="684">
        <f>IF(終値!A40="","",IF(AND(高値!L40&gt;高値!K40,高値!L40&gt;高値!J40,高値!L40&gt;高値!M40,高値!L40&gt;高値!N40),7,""))</f>
      </c>
      <c r="AI40" s="684">
        <f>IF(終値!A40="","",IF(AND(高値!M40&gt;高値!L40,高値!M40&gt;高値!K40,高値!M40&gt;高値!N40,高値!M40&gt;高値!O40),8,""))</f>
      </c>
      <c r="AJ40" s="684">
        <f>IF(終値!A40="","",IF(AND(高値!N40&gt;高値!M40,高値!N40&gt;高値!L40,高値!N40&gt;高値!O40,高値!N40&gt;高値!P40),9,""))</f>
      </c>
      <c r="AK40" s="684">
        <f>IF(終値!A40="","",IF(AND(高値!O40&gt;高値!N40,高値!O40&gt;高値!M40,高値!O40&gt;高値!P40,高値!O40&gt;高値!Q40),10,""))</f>
      </c>
      <c r="AL40" s="684">
        <f>IF(終値!A40="","",IF(AND(高値!P40&gt;高値!O40,高値!P40&gt;高値!N40,高値!P40&gt;高値!Q40,高値!P40&gt;高値!R40),11,""))</f>
      </c>
      <c r="AM40" s="684">
        <f>IF(終値!A40="","",IF(AND(高値!Q40&gt;高値!P40,高値!Q40&gt;高値!O40,高値!Q40&gt;高値!R40,高値!Q40&gt;高値!S40),12,""))</f>
      </c>
      <c r="AN40" s="684">
        <f>IF(終値!A40="","",IF(AND(高値!R40&gt;高値!Q40,高値!R40&gt;高値!P40,高値!R40&gt;高値!S40,高値!R40&gt;高値!T40),13,""))</f>
      </c>
      <c r="AO40" s="684">
        <f>IF(終値!A40="","",IF(AND(高値!S40&gt;高値!R40,高値!S40&gt;高値!Q40,高値!S40&gt;高値!T40,高値!S40&gt;高値!U40),14,""))</f>
      </c>
      <c r="AP40" s="684">
        <f>IF(終値!A40="","",IF(AND(高値!T40&gt;高値!S40,高値!T40&gt;高値!R40,高値!T40&gt;高値!U40,高値!T40&gt;高値!V40),15,""))</f>
      </c>
      <c r="AQ40" s="684">
        <f>IF(終値!A40="","",IF(AND(高値!U40&gt;高値!T40,高値!U40&gt;高値!S40,高値!U40&gt;高値!V40,高値!U40&gt;高値!W40),16,""))</f>
      </c>
      <c r="AR40" s="684">
        <f>IF(終値!A40="","",IF(AND(高値!V40&gt;高値!U40,高値!V40&gt;高値!T40,高値!V40&gt;高値!W40,高値!V40&gt;高値!X40),17,""))</f>
      </c>
      <c r="AS40" s="684">
        <f>IF(終値!A40="","",IF(AND(高値!W40&gt;高値!V40,高値!W40&gt;高値!U40,高値!W40&gt;高値!X40,高値!W40&gt;高値!Y40),18,""))</f>
      </c>
      <c r="AT40" s="684">
        <f>IF(終値!A40="","",IF(AND(高値!X40&gt;高値!W40,高値!X40&gt;高値!V40,高値!X40&gt;高値!Y40,高値!X40&gt;高値!Z40),19,""))</f>
      </c>
      <c r="AU40" s="684">
        <f>IF(終値!A40="","",IF(AND(高値!Y40&gt;高値!X40,高値!Y40&gt;高値!W40,高値!Y40&gt;高値!Z40,高値!Y40&gt;高値!AA40),20,""))</f>
      </c>
      <c r="AV40" s="684">
        <f>IF(終値!A40="","",IF(AND(高値!Z40&gt;高値!Y40,高値!Z40&gt;高値!X40,高値!Z40&gt;高値!AA40,高値!Z40&gt;高値!AB40),21,""))</f>
      </c>
      <c r="AW40" s="684">
        <f>IF(終値!A40="","",IF(AND(高値!AA40&gt;高値!Z40,高値!AA40&gt;高値!Y40,高値!AA40&gt;高値!AB40,高値!AA40&gt;高値!AC40),22,""))</f>
      </c>
      <c r="AX40" s="684">
        <f>IF(終値!A40="","",IF(AND(高値!AB40&gt;高値!AA40,高値!AB40&gt;高値!Z40,高値!AB40&gt;高値!AC40,高値!AB40&gt;高値!AD40),23,""))</f>
      </c>
      <c r="AY40" s="684">
        <f>IF(終値!A40="","",IF(AND(高値!AC40&gt;高値!AB40,高値!AC40&gt;高値!AA40,高値!AC40&gt;高値!AD40,高値!AC40&gt;高値!AE40),24,""))</f>
      </c>
      <c r="AZ40" s="684">
        <f>IF(終値!A40="","",IF(AND(高値!AD40&gt;高値!AC40,高値!AD40&gt;高値!AB40,高値!AD40&gt;高値!AE40,高値!AD40&gt;高値!AF40),25,""))</f>
      </c>
      <c r="BA40" s="684">
        <f>IF(終値!A40="","",IF(AND(高値!AE40&gt;高値!AD40,高値!AE40&gt;高値!AC40,高値!AE40&gt;高値!AF40,高値!AE40&gt;高値!AG40),26,""))</f>
      </c>
      <c r="BB40" s="684">
        <f>IF(終値!A40="","",IF(AND(高値!AF40&gt;高値!AE40,高値!AF40&gt;高値!AD40,高値!AF40&gt;高値!AG40,高値!AF40&gt;高値!AH40),27,""))</f>
      </c>
      <c r="BC40" s="684">
        <f>IF(終値!A40="","",IF(AND(高値!AG40&gt;高値!AF40,高値!AG40&gt;高値!AE40,高値!AG40&gt;高値!AH40,高値!AG40&gt;高値!AI40),28,""))</f>
      </c>
      <c r="BD40" s="684">
        <f>COUNT($B40:$AB40)</f>
      </c>
      <c r="BE40" s="684">
        <f>IF($BD40&gt;=2,MIN($B40:$AB40),"")</f>
      </c>
      <c r="BF40" s="684">
        <f>IF($BD40&gt;=2,SMALL($B40:$AB40,2),"")</f>
      </c>
      <c r="BG40" s="684">
        <f>IF($BE40="","",INDEX(安値!$E40:$CZ40,1,$BE40+1))</f>
      </c>
      <c r="BH40" s="684">
        <f>IF($BF40="","",INDEX(安値!$E40:$CZ40,1,$BF40+1))</f>
      </c>
      <c r="BI40" s="684">
        <f>IF($BF40="","",MAX(INDEX(高値!$E40:$CZ40,1,$BE40+1):INDEX(高値!$E40:$CZ40,1,$BF40+1)))</f>
      </c>
      <c r="BJ40" s="684">
        <f>IF($BF40="","",AVERAGE(INDEX(終値!$E40:$CZ40,1,$BF40+1):INDEX(終値!$E40:$CZ40,1,$BF40+20))-2*STDEVP(INDEX(終値!$E40:$CZ40,1,$BF40+1):INDEX(終値!$E40:$CZ40,1,$BF40+20)))</f>
      </c>
      <c r="BK40" s="684">
        <f>IF($BE40="","",AVERAGE(INDEX(終値!$E40:$CZ40,1,$BE40+1):INDEX(終値!$E40:$CZ40,1,$BE40+20))-2*STDEVP(INDEX(終値!$E40:$CZ40,1,$BE40+1):INDEX(終値!$E40:$CZ40,1,$BE40+20)))</f>
      </c>
      <c r="BL40" s="684">
        <f>COUNT($AC40:$BC40)</f>
      </c>
      <c r="BM40" s="684">
        <f>IF($BL40&gt;=2,MIN($AC40:$BC40),"")</f>
      </c>
      <c r="BN40" s="684">
        <f>IF($BL40&gt;=2,SMALL($AC40:$BC40,2),"")</f>
      </c>
      <c r="BO40" s="684">
        <f>IF($BM40="","",INDEX(高値!$E40:$CZ40,1,$BM40+1))</f>
      </c>
      <c r="BP40" s="684">
        <f>IF($BN40="","",INDEX(高値!$E40:$CZ40,1,$BN40+1))</f>
      </c>
      <c r="BQ40" s="684">
        <f>IF($BN40="","",MIN(INDEX(安値!$E40:$CZ40,1,$BM40+1):INDEX(安値!$E40:$CZ40,1,$BN40+1)))</f>
      </c>
      <c r="BR40" s="684">
        <f>IF($BN40="","",AVERAGE(INDEX(終値!$E40:$CZ40,1,$BN40+1):INDEX(終値!$E40:$CZ40,1,$BN40+20))+2*STDEVP(INDEX(終値!$E40:$CZ40,1,$BN40+1):INDEX(終値!$E40:$CZ40,1,$BN40+20)))</f>
      </c>
      <c r="BS40" s="684">
        <f>IF($BM40="","",AVERAGE(INDEX(終値!$E40:$CZ40,1,$BM40+1):INDEX(終値!$E40:$CZ40,1,$BM40+20))+2*STDEVP(INDEX(終値!$E40:$CZ40,1,$BM40+1):INDEX(終値!$E40:$CZ40,1,$BM40+20)))</f>
      </c>
      <c r="BT40" s="681">
        <f>IFERROR(IF(AND($BD40&gt;=2,ABS($BG40-$BH40)/$BH40&lt;=BB設定!$B$12,$BI40&gt;=MAX($BH40,$BG40)*(1+BB設定!$B$13),終値!E40&gt;$BG40),IF(OR(終値!E40&gt;=$BI40,AND($BH40&lt;$BJ40,$BG40&gt;=$BK40)),"二番底W▲","二番底W形成"),IF(AND($BL40&gt;=2,ABS($BO40-$BP40)/$BP40&lt;=BB設定!$B$12,$BQ40&lt;=MIN($BP40,$BO40)*(1-BB設定!$B$13),終値!E40&lt;$BO40),IF(OR(終値!E40&lt;=$BQ40,AND($BP40&gt;$BR40,$BO40&lt;=$BS40)),"二番天井M▼","二番天井M形成"),"－")),"－")</f>
      </c>
    </row>
    <row r="41">
      <c r="B41" s="684">
        <f>IF(終値!A41="","",IF(AND(安値!G41&lt;安値!F41,安値!G41&lt;安値!E41,安値!G41&lt;安値!H41,安値!G41&lt;安値!I41),2,""))</f>
      </c>
      <c r="C41" s="684">
        <f>IF(終値!A41="","",IF(AND(安値!H41&lt;安値!G41,安値!H41&lt;安値!F41,安値!H41&lt;安値!I41,安値!H41&lt;安値!J41),3,""))</f>
      </c>
      <c r="D41" s="684">
        <f>IF(終値!A41="","",IF(AND(安値!I41&lt;安値!H41,安値!I41&lt;安値!G41,安値!I41&lt;安値!J41,安値!I41&lt;安値!K41),4,""))</f>
      </c>
      <c r="E41" s="684">
        <f>IF(終値!A41="","",IF(AND(安値!J41&lt;安値!I41,安値!J41&lt;安値!H41,安値!J41&lt;安値!K41,安値!J41&lt;安値!L41),5,""))</f>
      </c>
      <c r="F41" s="684">
        <f>IF(終値!A41="","",IF(AND(安値!K41&lt;安値!J41,安値!K41&lt;安値!I41,安値!K41&lt;安値!L41,安値!K41&lt;安値!M41),6,""))</f>
      </c>
      <c r="G41" s="684">
        <f>IF(終値!A41="","",IF(AND(安値!L41&lt;安値!K41,安値!L41&lt;安値!J41,安値!L41&lt;安値!M41,安値!L41&lt;安値!N41),7,""))</f>
      </c>
      <c r="H41" s="684">
        <f>IF(終値!A41="","",IF(AND(安値!M41&lt;安値!L41,安値!M41&lt;安値!K41,安値!M41&lt;安値!N41,安値!M41&lt;安値!O41),8,""))</f>
      </c>
      <c r="I41" s="684">
        <f>IF(終値!A41="","",IF(AND(安値!N41&lt;安値!M41,安値!N41&lt;安値!L41,安値!N41&lt;安値!O41,安値!N41&lt;安値!P41),9,""))</f>
      </c>
      <c r="J41" s="684">
        <f>IF(終値!A41="","",IF(AND(安値!O41&lt;安値!N41,安値!O41&lt;安値!M41,安値!O41&lt;安値!P41,安値!O41&lt;安値!Q41),10,""))</f>
      </c>
      <c r="K41" s="684">
        <f>IF(終値!A41="","",IF(AND(安値!P41&lt;安値!O41,安値!P41&lt;安値!N41,安値!P41&lt;安値!Q41,安値!P41&lt;安値!R41),11,""))</f>
      </c>
      <c r="L41" s="684">
        <f>IF(終値!A41="","",IF(AND(安値!Q41&lt;安値!P41,安値!Q41&lt;安値!O41,安値!Q41&lt;安値!R41,安値!Q41&lt;安値!S41),12,""))</f>
      </c>
      <c r="M41" s="684">
        <f>IF(終値!A41="","",IF(AND(安値!R41&lt;安値!Q41,安値!R41&lt;安値!P41,安値!R41&lt;安値!S41,安値!R41&lt;安値!T41),13,""))</f>
      </c>
      <c r="N41" s="684">
        <f>IF(終値!A41="","",IF(AND(安値!S41&lt;安値!R41,安値!S41&lt;安値!Q41,安値!S41&lt;安値!T41,安値!S41&lt;安値!U41),14,""))</f>
      </c>
      <c r="O41" s="684">
        <f>IF(終値!A41="","",IF(AND(安値!T41&lt;安値!S41,安値!T41&lt;安値!R41,安値!T41&lt;安値!U41,安値!T41&lt;安値!V41),15,""))</f>
      </c>
      <c r="P41" s="684">
        <f>IF(終値!A41="","",IF(AND(安値!U41&lt;安値!T41,安値!U41&lt;安値!S41,安値!U41&lt;安値!V41,安値!U41&lt;安値!W41),16,""))</f>
      </c>
      <c r="Q41" s="684">
        <f>IF(終値!A41="","",IF(AND(安値!V41&lt;安値!U41,安値!V41&lt;安値!T41,安値!V41&lt;安値!W41,安値!V41&lt;安値!X41),17,""))</f>
      </c>
      <c r="R41" s="684">
        <f>IF(終値!A41="","",IF(AND(安値!W41&lt;安値!V41,安値!W41&lt;安値!U41,安値!W41&lt;安値!X41,安値!W41&lt;安値!Y41),18,""))</f>
      </c>
      <c r="S41" s="684">
        <f>IF(終値!A41="","",IF(AND(安値!X41&lt;安値!W41,安値!X41&lt;安値!V41,安値!X41&lt;安値!Y41,安値!X41&lt;安値!Z41),19,""))</f>
      </c>
      <c r="T41" s="684">
        <f>IF(終値!A41="","",IF(AND(安値!Y41&lt;安値!X41,安値!Y41&lt;安値!W41,安値!Y41&lt;安値!Z41,安値!Y41&lt;安値!AA41),20,""))</f>
      </c>
      <c r="U41" s="684">
        <f>IF(終値!A41="","",IF(AND(安値!Z41&lt;安値!Y41,安値!Z41&lt;安値!X41,安値!Z41&lt;安値!AA41,安値!Z41&lt;安値!AB41),21,""))</f>
      </c>
      <c r="V41" s="684">
        <f>IF(終値!A41="","",IF(AND(安値!AA41&lt;安値!Z41,安値!AA41&lt;安値!Y41,安値!AA41&lt;安値!AB41,安値!AA41&lt;安値!AC41),22,""))</f>
      </c>
      <c r="W41" s="684">
        <f>IF(終値!A41="","",IF(AND(安値!AB41&lt;安値!AA41,安値!AB41&lt;安値!Z41,安値!AB41&lt;安値!AC41,安値!AB41&lt;安値!AD41),23,""))</f>
      </c>
      <c r="X41" s="684">
        <f>IF(終値!A41="","",IF(AND(安値!AC41&lt;安値!AB41,安値!AC41&lt;安値!AA41,安値!AC41&lt;安値!AD41,安値!AC41&lt;安値!AE41),24,""))</f>
      </c>
      <c r="Y41" s="684">
        <f>IF(終値!A41="","",IF(AND(安値!AD41&lt;安値!AC41,安値!AD41&lt;安値!AB41,安値!AD41&lt;安値!AE41,安値!AD41&lt;安値!AF41),25,""))</f>
      </c>
      <c r="Z41" s="684">
        <f>IF(終値!A41="","",IF(AND(安値!AE41&lt;安値!AD41,安値!AE41&lt;安値!AC41,安値!AE41&lt;安値!AF41,安値!AE41&lt;安値!AG41),26,""))</f>
      </c>
      <c r="AA41" s="684">
        <f>IF(終値!A41="","",IF(AND(安値!AF41&lt;安値!AE41,安値!AF41&lt;安値!AD41,安値!AF41&lt;安値!AG41,安値!AF41&lt;安値!AH41),27,""))</f>
      </c>
      <c r="AB41" s="684">
        <f>IF(終値!A41="","",IF(AND(安値!AG41&lt;安値!AF41,安値!AG41&lt;安値!AE41,安値!AG41&lt;安値!AH41,安値!AG41&lt;安値!AI41),28,""))</f>
      </c>
      <c r="AC41" s="684">
        <f>IF(終値!A41="","",IF(AND(高値!G41&gt;高値!F41,高値!G41&gt;高値!E41,高値!G41&gt;高値!H41,高値!G41&gt;高値!I41),2,""))</f>
      </c>
      <c r="AD41" s="684">
        <f>IF(終値!A41="","",IF(AND(高値!H41&gt;高値!G41,高値!H41&gt;高値!F41,高値!H41&gt;高値!I41,高値!H41&gt;高値!J41),3,""))</f>
      </c>
      <c r="AE41" s="684">
        <f>IF(終値!A41="","",IF(AND(高値!I41&gt;高値!H41,高値!I41&gt;高値!G41,高値!I41&gt;高値!J41,高値!I41&gt;高値!K41),4,""))</f>
      </c>
      <c r="AF41" s="684">
        <f>IF(終値!A41="","",IF(AND(高値!J41&gt;高値!I41,高値!J41&gt;高値!H41,高値!J41&gt;高値!K41,高値!J41&gt;高値!L41),5,""))</f>
      </c>
      <c r="AG41" s="684">
        <f>IF(終値!A41="","",IF(AND(高値!K41&gt;高値!J41,高値!K41&gt;高値!I41,高値!K41&gt;高値!L41,高値!K41&gt;高値!M41),6,""))</f>
      </c>
      <c r="AH41" s="684">
        <f>IF(終値!A41="","",IF(AND(高値!L41&gt;高値!K41,高値!L41&gt;高値!J41,高値!L41&gt;高値!M41,高値!L41&gt;高値!N41),7,""))</f>
      </c>
      <c r="AI41" s="684">
        <f>IF(終値!A41="","",IF(AND(高値!M41&gt;高値!L41,高値!M41&gt;高値!K41,高値!M41&gt;高値!N41,高値!M41&gt;高値!O41),8,""))</f>
      </c>
      <c r="AJ41" s="684">
        <f>IF(終値!A41="","",IF(AND(高値!N41&gt;高値!M41,高値!N41&gt;高値!L41,高値!N41&gt;高値!O41,高値!N41&gt;高値!P41),9,""))</f>
      </c>
      <c r="AK41" s="684">
        <f>IF(終値!A41="","",IF(AND(高値!O41&gt;高値!N41,高値!O41&gt;高値!M41,高値!O41&gt;高値!P41,高値!O41&gt;高値!Q41),10,""))</f>
      </c>
      <c r="AL41" s="684">
        <f>IF(終値!A41="","",IF(AND(高値!P41&gt;高値!O41,高値!P41&gt;高値!N41,高値!P41&gt;高値!Q41,高値!P41&gt;高値!R41),11,""))</f>
      </c>
      <c r="AM41" s="684">
        <f>IF(終値!A41="","",IF(AND(高値!Q41&gt;高値!P41,高値!Q41&gt;高値!O41,高値!Q41&gt;高値!R41,高値!Q41&gt;高値!S41),12,""))</f>
      </c>
      <c r="AN41" s="684">
        <f>IF(終値!A41="","",IF(AND(高値!R41&gt;高値!Q41,高値!R41&gt;高値!P41,高値!R41&gt;高値!S41,高値!R41&gt;高値!T41),13,""))</f>
      </c>
      <c r="AO41" s="684">
        <f>IF(終値!A41="","",IF(AND(高値!S41&gt;高値!R41,高値!S41&gt;高値!Q41,高値!S41&gt;高値!T41,高値!S41&gt;高値!U41),14,""))</f>
      </c>
      <c r="AP41" s="684">
        <f>IF(終値!A41="","",IF(AND(高値!T41&gt;高値!S41,高値!T41&gt;高値!R41,高値!T41&gt;高値!U41,高値!T41&gt;高値!V41),15,""))</f>
      </c>
      <c r="AQ41" s="684">
        <f>IF(終値!A41="","",IF(AND(高値!U41&gt;高値!T41,高値!U41&gt;高値!S41,高値!U41&gt;高値!V41,高値!U41&gt;高値!W41),16,""))</f>
      </c>
      <c r="AR41" s="684">
        <f>IF(終値!A41="","",IF(AND(高値!V41&gt;高値!U41,高値!V41&gt;高値!T41,高値!V41&gt;高値!W41,高値!V41&gt;高値!X41),17,""))</f>
      </c>
      <c r="AS41" s="684">
        <f>IF(終値!A41="","",IF(AND(高値!W41&gt;高値!V41,高値!W41&gt;高値!U41,高値!W41&gt;高値!X41,高値!W41&gt;高値!Y41),18,""))</f>
      </c>
      <c r="AT41" s="684">
        <f>IF(終値!A41="","",IF(AND(高値!X41&gt;高値!W41,高値!X41&gt;高値!V41,高値!X41&gt;高値!Y41,高値!X41&gt;高値!Z41),19,""))</f>
      </c>
      <c r="AU41" s="684">
        <f>IF(終値!A41="","",IF(AND(高値!Y41&gt;高値!X41,高値!Y41&gt;高値!W41,高値!Y41&gt;高値!Z41,高値!Y41&gt;高値!AA41),20,""))</f>
      </c>
      <c r="AV41" s="684">
        <f>IF(終値!A41="","",IF(AND(高値!Z41&gt;高値!Y41,高値!Z41&gt;高値!X41,高値!Z41&gt;高値!AA41,高値!Z41&gt;高値!AB41),21,""))</f>
      </c>
      <c r="AW41" s="684">
        <f>IF(終値!A41="","",IF(AND(高値!AA41&gt;高値!Z41,高値!AA41&gt;高値!Y41,高値!AA41&gt;高値!AB41,高値!AA41&gt;高値!AC41),22,""))</f>
      </c>
      <c r="AX41" s="684">
        <f>IF(終値!A41="","",IF(AND(高値!AB41&gt;高値!AA41,高値!AB41&gt;高値!Z41,高値!AB41&gt;高値!AC41,高値!AB41&gt;高値!AD41),23,""))</f>
      </c>
      <c r="AY41" s="684">
        <f>IF(終値!A41="","",IF(AND(高値!AC41&gt;高値!AB41,高値!AC41&gt;高値!AA41,高値!AC41&gt;高値!AD41,高値!AC41&gt;高値!AE41),24,""))</f>
      </c>
      <c r="AZ41" s="684">
        <f>IF(終値!A41="","",IF(AND(高値!AD41&gt;高値!AC41,高値!AD41&gt;高値!AB41,高値!AD41&gt;高値!AE41,高値!AD41&gt;高値!AF41),25,""))</f>
      </c>
      <c r="BA41" s="684">
        <f>IF(終値!A41="","",IF(AND(高値!AE41&gt;高値!AD41,高値!AE41&gt;高値!AC41,高値!AE41&gt;高値!AF41,高値!AE41&gt;高値!AG41),26,""))</f>
      </c>
      <c r="BB41" s="684">
        <f>IF(終値!A41="","",IF(AND(高値!AF41&gt;高値!AE41,高値!AF41&gt;高値!AD41,高値!AF41&gt;高値!AG41,高値!AF41&gt;高値!AH41),27,""))</f>
      </c>
      <c r="BC41" s="684">
        <f>IF(終値!A41="","",IF(AND(高値!AG41&gt;高値!AF41,高値!AG41&gt;高値!AE41,高値!AG41&gt;高値!AH41,高値!AG41&gt;高値!AI41),28,""))</f>
      </c>
      <c r="BD41" s="684">
        <f>COUNT($B41:$AB41)</f>
      </c>
      <c r="BE41" s="684">
        <f>IF($BD41&gt;=2,MIN($B41:$AB41),"")</f>
      </c>
      <c r="BF41" s="684">
        <f>IF($BD41&gt;=2,SMALL($B41:$AB41,2),"")</f>
      </c>
      <c r="BG41" s="684">
        <f>IF($BE41="","",INDEX(安値!$E41:$CZ41,1,$BE41+1))</f>
      </c>
      <c r="BH41" s="684">
        <f>IF($BF41="","",INDEX(安値!$E41:$CZ41,1,$BF41+1))</f>
      </c>
      <c r="BI41" s="684">
        <f>IF($BF41="","",MAX(INDEX(高値!$E41:$CZ41,1,$BE41+1):INDEX(高値!$E41:$CZ41,1,$BF41+1)))</f>
      </c>
      <c r="BJ41" s="684">
        <f>IF($BF41="","",AVERAGE(INDEX(終値!$E41:$CZ41,1,$BF41+1):INDEX(終値!$E41:$CZ41,1,$BF41+20))-2*STDEVP(INDEX(終値!$E41:$CZ41,1,$BF41+1):INDEX(終値!$E41:$CZ41,1,$BF41+20)))</f>
      </c>
      <c r="BK41" s="684">
        <f>IF($BE41="","",AVERAGE(INDEX(終値!$E41:$CZ41,1,$BE41+1):INDEX(終値!$E41:$CZ41,1,$BE41+20))-2*STDEVP(INDEX(終値!$E41:$CZ41,1,$BE41+1):INDEX(終値!$E41:$CZ41,1,$BE41+20)))</f>
      </c>
      <c r="BL41" s="684">
        <f>COUNT($AC41:$BC41)</f>
      </c>
      <c r="BM41" s="684">
        <f>IF($BL41&gt;=2,MIN($AC41:$BC41),"")</f>
      </c>
      <c r="BN41" s="684">
        <f>IF($BL41&gt;=2,SMALL($AC41:$BC41,2),"")</f>
      </c>
      <c r="BO41" s="684">
        <f>IF($BM41="","",INDEX(高値!$E41:$CZ41,1,$BM41+1))</f>
      </c>
      <c r="BP41" s="684">
        <f>IF($BN41="","",INDEX(高値!$E41:$CZ41,1,$BN41+1))</f>
      </c>
      <c r="BQ41" s="684">
        <f>IF($BN41="","",MIN(INDEX(安値!$E41:$CZ41,1,$BM41+1):INDEX(安値!$E41:$CZ41,1,$BN41+1)))</f>
      </c>
      <c r="BR41" s="684">
        <f>IF($BN41="","",AVERAGE(INDEX(終値!$E41:$CZ41,1,$BN41+1):INDEX(終値!$E41:$CZ41,1,$BN41+20))+2*STDEVP(INDEX(終値!$E41:$CZ41,1,$BN41+1):INDEX(終値!$E41:$CZ41,1,$BN41+20)))</f>
      </c>
      <c r="BS41" s="684">
        <f>IF($BM41="","",AVERAGE(INDEX(終値!$E41:$CZ41,1,$BM41+1):INDEX(終値!$E41:$CZ41,1,$BM41+20))+2*STDEVP(INDEX(終値!$E41:$CZ41,1,$BM41+1):INDEX(終値!$E41:$CZ41,1,$BM41+20)))</f>
      </c>
      <c r="BT41" s="681">
        <f>IFERROR(IF(AND($BD41&gt;=2,ABS($BG41-$BH41)/$BH41&lt;=BB設定!$B$12,$BI41&gt;=MAX($BH41,$BG41)*(1+BB設定!$B$13),終値!E41&gt;$BG41),IF(OR(終値!E41&gt;=$BI41,AND($BH41&lt;$BJ41,$BG41&gt;=$BK41)),"二番底W▲","二番底W形成"),IF(AND($BL41&gt;=2,ABS($BO41-$BP41)/$BP41&lt;=BB設定!$B$12,$BQ41&lt;=MIN($BP41,$BO41)*(1-BB設定!$B$13),終値!E41&lt;$BO41),IF(OR(終値!E41&lt;=$BQ41,AND($BP41&gt;$BR41,$BO41&lt;=$BS41)),"二番天井M▼","二番天井M形成"),"－")),"－")</f>
      </c>
    </row>
    <row r="42">
      <c r="B42" s="684">
        <f>IF(終値!A42="","",IF(AND(安値!G42&lt;安値!F42,安値!G42&lt;安値!E42,安値!G42&lt;安値!H42,安値!G42&lt;安値!I42),2,""))</f>
      </c>
      <c r="C42" s="684">
        <f>IF(終値!A42="","",IF(AND(安値!H42&lt;安値!G42,安値!H42&lt;安値!F42,安値!H42&lt;安値!I42,安値!H42&lt;安値!J42),3,""))</f>
      </c>
      <c r="D42" s="684">
        <f>IF(終値!A42="","",IF(AND(安値!I42&lt;安値!H42,安値!I42&lt;安値!G42,安値!I42&lt;安値!J42,安値!I42&lt;安値!K42),4,""))</f>
      </c>
      <c r="E42" s="684">
        <f>IF(終値!A42="","",IF(AND(安値!J42&lt;安値!I42,安値!J42&lt;安値!H42,安値!J42&lt;安値!K42,安値!J42&lt;安値!L42),5,""))</f>
      </c>
      <c r="F42" s="684">
        <f>IF(終値!A42="","",IF(AND(安値!K42&lt;安値!J42,安値!K42&lt;安値!I42,安値!K42&lt;安値!L42,安値!K42&lt;安値!M42),6,""))</f>
      </c>
      <c r="G42" s="684">
        <f>IF(終値!A42="","",IF(AND(安値!L42&lt;安値!K42,安値!L42&lt;安値!J42,安値!L42&lt;安値!M42,安値!L42&lt;安値!N42),7,""))</f>
      </c>
      <c r="H42" s="684">
        <f>IF(終値!A42="","",IF(AND(安値!M42&lt;安値!L42,安値!M42&lt;安値!K42,安値!M42&lt;安値!N42,安値!M42&lt;安値!O42),8,""))</f>
      </c>
      <c r="I42" s="684">
        <f>IF(終値!A42="","",IF(AND(安値!N42&lt;安値!M42,安値!N42&lt;安値!L42,安値!N42&lt;安値!O42,安値!N42&lt;安値!P42),9,""))</f>
      </c>
      <c r="J42" s="684">
        <f>IF(終値!A42="","",IF(AND(安値!O42&lt;安値!N42,安値!O42&lt;安値!M42,安値!O42&lt;安値!P42,安値!O42&lt;安値!Q42),10,""))</f>
      </c>
      <c r="K42" s="684">
        <f>IF(終値!A42="","",IF(AND(安値!P42&lt;安値!O42,安値!P42&lt;安値!N42,安値!P42&lt;安値!Q42,安値!P42&lt;安値!R42),11,""))</f>
      </c>
      <c r="L42" s="684">
        <f>IF(終値!A42="","",IF(AND(安値!Q42&lt;安値!P42,安値!Q42&lt;安値!O42,安値!Q42&lt;安値!R42,安値!Q42&lt;安値!S42),12,""))</f>
      </c>
      <c r="M42" s="684">
        <f>IF(終値!A42="","",IF(AND(安値!R42&lt;安値!Q42,安値!R42&lt;安値!P42,安値!R42&lt;安値!S42,安値!R42&lt;安値!T42),13,""))</f>
      </c>
      <c r="N42" s="684">
        <f>IF(終値!A42="","",IF(AND(安値!S42&lt;安値!R42,安値!S42&lt;安値!Q42,安値!S42&lt;安値!T42,安値!S42&lt;安値!U42),14,""))</f>
      </c>
      <c r="O42" s="684">
        <f>IF(終値!A42="","",IF(AND(安値!T42&lt;安値!S42,安値!T42&lt;安値!R42,安値!T42&lt;安値!U42,安値!T42&lt;安値!V42),15,""))</f>
      </c>
      <c r="P42" s="684">
        <f>IF(終値!A42="","",IF(AND(安値!U42&lt;安値!T42,安値!U42&lt;安値!S42,安値!U42&lt;安値!V42,安値!U42&lt;安値!W42),16,""))</f>
      </c>
      <c r="Q42" s="684">
        <f>IF(終値!A42="","",IF(AND(安値!V42&lt;安値!U42,安値!V42&lt;安値!T42,安値!V42&lt;安値!W42,安値!V42&lt;安値!X42),17,""))</f>
      </c>
      <c r="R42" s="684">
        <f>IF(終値!A42="","",IF(AND(安値!W42&lt;安値!V42,安値!W42&lt;安値!U42,安値!W42&lt;安値!X42,安値!W42&lt;安値!Y42),18,""))</f>
      </c>
      <c r="S42" s="684">
        <f>IF(終値!A42="","",IF(AND(安値!X42&lt;安値!W42,安値!X42&lt;安値!V42,安値!X42&lt;安値!Y42,安値!X42&lt;安値!Z42),19,""))</f>
      </c>
      <c r="T42" s="684">
        <f>IF(終値!A42="","",IF(AND(安値!Y42&lt;安値!X42,安値!Y42&lt;安値!W42,安値!Y42&lt;安値!Z42,安値!Y42&lt;安値!AA42),20,""))</f>
      </c>
      <c r="U42" s="684">
        <f>IF(終値!A42="","",IF(AND(安値!Z42&lt;安値!Y42,安値!Z42&lt;安値!X42,安値!Z42&lt;安値!AA42,安値!Z42&lt;安値!AB42),21,""))</f>
      </c>
      <c r="V42" s="684">
        <f>IF(終値!A42="","",IF(AND(安値!AA42&lt;安値!Z42,安値!AA42&lt;安値!Y42,安値!AA42&lt;安値!AB42,安値!AA42&lt;安値!AC42),22,""))</f>
      </c>
      <c r="W42" s="684">
        <f>IF(終値!A42="","",IF(AND(安値!AB42&lt;安値!AA42,安値!AB42&lt;安値!Z42,安値!AB42&lt;安値!AC42,安値!AB42&lt;安値!AD42),23,""))</f>
      </c>
      <c r="X42" s="684">
        <f>IF(終値!A42="","",IF(AND(安値!AC42&lt;安値!AB42,安値!AC42&lt;安値!AA42,安値!AC42&lt;安値!AD42,安値!AC42&lt;安値!AE42),24,""))</f>
      </c>
      <c r="Y42" s="684">
        <f>IF(終値!A42="","",IF(AND(安値!AD42&lt;安値!AC42,安値!AD42&lt;安値!AB42,安値!AD42&lt;安値!AE42,安値!AD42&lt;安値!AF42),25,""))</f>
      </c>
      <c r="Z42" s="684">
        <f>IF(終値!A42="","",IF(AND(安値!AE42&lt;安値!AD42,安値!AE42&lt;安値!AC42,安値!AE42&lt;安値!AF42,安値!AE42&lt;安値!AG42),26,""))</f>
      </c>
      <c r="AA42" s="684">
        <f>IF(終値!A42="","",IF(AND(安値!AF42&lt;安値!AE42,安値!AF42&lt;安値!AD42,安値!AF42&lt;安値!AG42,安値!AF42&lt;安値!AH42),27,""))</f>
      </c>
      <c r="AB42" s="684">
        <f>IF(終値!A42="","",IF(AND(安値!AG42&lt;安値!AF42,安値!AG42&lt;安値!AE42,安値!AG42&lt;安値!AH42,安値!AG42&lt;安値!AI42),28,""))</f>
      </c>
      <c r="AC42" s="684">
        <f>IF(終値!A42="","",IF(AND(高値!G42&gt;高値!F42,高値!G42&gt;高値!E42,高値!G42&gt;高値!H42,高値!G42&gt;高値!I42),2,""))</f>
      </c>
      <c r="AD42" s="684">
        <f>IF(終値!A42="","",IF(AND(高値!H42&gt;高値!G42,高値!H42&gt;高値!F42,高値!H42&gt;高値!I42,高値!H42&gt;高値!J42),3,""))</f>
      </c>
      <c r="AE42" s="684">
        <f>IF(終値!A42="","",IF(AND(高値!I42&gt;高値!H42,高値!I42&gt;高値!G42,高値!I42&gt;高値!J42,高値!I42&gt;高値!K42),4,""))</f>
      </c>
      <c r="AF42" s="684">
        <f>IF(終値!A42="","",IF(AND(高値!J42&gt;高値!I42,高値!J42&gt;高値!H42,高値!J42&gt;高値!K42,高値!J42&gt;高値!L42),5,""))</f>
      </c>
      <c r="AG42" s="684">
        <f>IF(終値!A42="","",IF(AND(高値!K42&gt;高値!J42,高値!K42&gt;高値!I42,高値!K42&gt;高値!L42,高値!K42&gt;高値!M42),6,""))</f>
      </c>
      <c r="AH42" s="684">
        <f>IF(終値!A42="","",IF(AND(高値!L42&gt;高値!K42,高値!L42&gt;高値!J42,高値!L42&gt;高値!M42,高値!L42&gt;高値!N42),7,""))</f>
      </c>
      <c r="AI42" s="684">
        <f>IF(終値!A42="","",IF(AND(高値!M42&gt;高値!L42,高値!M42&gt;高値!K42,高値!M42&gt;高値!N42,高値!M42&gt;高値!O42),8,""))</f>
      </c>
      <c r="AJ42" s="684">
        <f>IF(終値!A42="","",IF(AND(高値!N42&gt;高値!M42,高値!N42&gt;高値!L42,高値!N42&gt;高値!O42,高値!N42&gt;高値!P42),9,""))</f>
      </c>
      <c r="AK42" s="684">
        <f>IF(終値!A42="","",IF(AND(高値!O42&gt;高値!N42,高値!O42&gt;高値!M42,高値!O42&gt;高値!P42,高値!O42&gt;高値!Q42),10,""))</f>
      </c>
      <c r="AL42" s="684">
        <f>IF(終値!A42="","",IF(AND(高値!P42&gt;高値!O42,高値!P42&gt;高値!N42,高値!P42&gt;高値!Q42,高値!P42&gt;高値!R42),11,""))</f>
      </c>
      <c r="AM42" s="684">
        <f>IF(終値!A42="","",IF(AND(高値!Q42&gt;高値!P42,高値!Q42&gt;高値!O42,高値!Q42&gt;高値!R42,高値!Q42&gt;高値!S42),12,""))</f>
      </c>
      <c r="AN42" s="684">
        <f>IF(終値!A42="","",IF(AND(高値!R42&gt;高値!Q42,高値!R42&gt;高値!P42,高値!R42&gt;高値!S42,高値!R42&gt;高値!T42),13,""))</f>
      </c>
      <c r="AO42" s="684">
        <f>IF(終値!A42="","",IF(AND(高値!S42&gt;高値!R42,高値!S42&gt;高値!Q42,高値!S42&gt;高値!T42,高値!S42&gt;高値!U42),14,""))</f>
      </c>
      <c r="AP42" s="684">
        <f>IF(終値!A42="","",IF(AND(高値!T42&gt;高値!S42,高値!T42&gt;高値!R42,高値!T42&gt;高値!U42,高値!T42&gt;高値!V42),15,""))</f>
      </c>
      <c r="AQ42" s="684">
        <f>IF(終値!A42="","",IF(AND(高値!U42&gt;高値!T42,高値!U42&gt;高値!S42,高値!U42&gt;高値!V42,高値!U42&gt;高値!W42),16,""))</f>
      </c>
      <c r="AR42" s="684">
        <f>IF(終値!A42="","",IF(AND(高値!V42&gt;高値!U42,高値!V42&gt;高値!T42,高値!V42&gt;高値!W42,高値!V42&gt;高値!X42),17,""))</f>
      </c>
      <c r="AS42" s="684">
        <f>IF(終値!A42="","",IF(AND(高値!W42&gt;高値!V42,高値!W42&gt;高値!U42,高値!W42&gt;高値!X42,高値!W42&gt;高値!Y42),18,""))</f>
      </c>
      <c r="AT42" s="684">
        <f>IF(終値!A42="","",IF(AND(高値!X42&gt;高値!W42,高値!X42&gt;高値!V42,高値!X42&gt;高値!Y42,高値!X42&gt;高値!Z42),19,""))</f>
      </c>
      <c r="AU42" s="684">
        <f>IF(終値!A42="","",IF(AND(高値!Y42&gt;高値!X42,高値!Y42&gt;高値!W42,高値!Y42&gt;高値!Z42,高値!Y42&gt;高値!AA42),20,""))</f>
      </c>
      <c r="AV42" s="684">
        <f>IF(終値!A42="","",IF(AND(高値!Z42&gt;高値!Y42,高値!Z42&gt;高値!X42,高値!Z42&gt;高値!AA42,高値!Z42&gt;高値!AB42),21,""))</f>
      </c>
      <c r="AW42" s="684">
        <f>IF(終値!A42="","",IF(AND(高値!AA42&gt;高値!Z42,高値!AA42&gt;高値!Y42,高値!AA42&gt;高値!AB42,高値!AA42&gt;高値!AC42),22,""))</f>
      </c>
      <c r="AX42" s="684">
        <f>IF(終値!A42="","",IF(AND(高値!AB42&gt;高値!AA42,高値!AB42&gt;高値!Z42,高値!AB42&gt;高値!AC42,高値!AB42&gt;高値!AD42),23,""))</f>
      </c>
      <c r="AY42" s="684">
        <f>IF(終値!A42="","",IF(AND(高値!AC42&gt;高値!AB42,高値!AC42&gt;高値!AA42,高値!AC42&gt;高値!AD42,高値!AC42&gt;高値!AE42),24,""))</f>
      </c>
      <c r="AZ42" s="684">
        <f>IF(終値!A42="","",IF(AND(高値!AD42&gt;高値!AC42,高値!AD42&gt;高値!AB42,高値!AD42&gt;高値!AE42,高値!AD42&gt;高値!AF42),25,""))</f>
      </c>
      <c r="BA42" s="684">
        <f>IF(終値!A42="","",IF(AND(高値!AE42&gt;高値!AD42,高値!AE42&gt;高値!AC42,高値!AE42&gt;高値!AF42,高値!AE42&gt;高値!AG42),26,""))</f>
      </c>
      <c r="BB42" s="684">
        <f>IF(終値!A42="","",IF(AND(高値!AF42&gt;高値!AE42,高値!AF42&gt;高値!AD42,高値!AF42&gt;高値!AG42,高値!AF42&gt;高値!AH42),27,""))</f>
      </c>
      <c r="BC42" s="684">
        <f>IF(終値!A42="","",IF(AND(高値!AG42&gt;高値!AF42,高値!AG42&gt;高値!AE42,高値!AG42&gt;高値!AH42,高値!AG42&gt;高値!AI42),28,""))</f>
      </c>
      <c r="BD42" s="684">
        <f>COUNT($B42:$AB42)</f>
      </c>
      <c r="BE42" s="684">
        <f>IF($BD42&gt;=2,MIN($B42:$AB42),"")</f>
      </c>
      <c r="BF42" s="684">
        <f>IF($BD42&gt;=2,SMALL($B42:$AB42,2),"")</f>
      </c>
      <c r="BG42" s="684">
        <f>IF($BE42="","",INDEX(安値!$E42:$CZ42,1,$BE42+1))</f>
      </c>
      <c r="BH42" s="684">
        <f>IF($BF42="","",INDEX(安値!$E42:$CZ42,1,$BF42+1))</f>
      </c>
      <c r="BI42" s="684">
        <f>IF($BF42="","",MAX(INDEX(高値!$E42:$CZ42,1,$BE42+1):INDEX(高値!$E42:$CZ42,1,$BF42+1)))</f>
      </c>
      <c r="BJ42" s="684">
        <f>IF($BF42="","",AVERAGE(INDEX(終値!$E42:$CZ42,1,$BF42+1):INDEX(終値!$E42:$CZ42,1,$BF42+20))-2*STDEVP(INDEX(終値!$E42:$CZ42,1,$BF42+1):INDEX(終値!$E42:$CZ42,1,$BF42+20)))</f>
      </c>
      <c r="BK42" s="684">
        <f>IF($BE42="","",AVERAGE(INDEX(終値!$E42:$CZ42,1,$BE42+1):INDEX(終値!$E42:$CZ42,1,$BE42+20))-2*STDEVP(INDEX(終値!$E42:$CZ42,1,$BE42+1):INDEX(終値!$E42:$CZ42,1,$BE42+20)))</f>
      </c>
      <c r="BL42" s="684">
        <f>COUNT($AC42:$BC42)</f>
      </c>
      <c r="BM42" s="684">
        <f>IF($BL42&gt;=2,MIN($AC42:$BC42),"")</f>
      </c>
      <c r="BN42" s="684">
        <f>IF($BL42&gt;=2,SMALL($AC42:$BC42,2),"")</f>
      </c>
      <c r="BO42" s="684">
        <f>IF($BM42="","",INDEX(高値!$E42:$CZ42,1,$BM42+1))</f>
      </c>
      <c r="BP42" s="684">
        <f>IF($BN42="","",INDEX(高値!$E42:$CZ42,1,$BN42+1))</f>
      </c>
      <c r="BQ42" s="684">
        <f>IF($BN42="","",MIN(INDEX(安値!$E42:$CZ42,1,$BM42+1):INDEX(安値!$E42:$CZ42,1,$BN42+1)))</f>
      </c>
      <c r="BR42" s="684">
        <f>IF($BN42="","",AVERAGE(INDEX(終値!$E42:$CZ42,1,$BN42+1):INDEX(終値!$E42:$CZ42,1,$BN42+20))+2*STDEVP(INDEX(終値!$E42:$CZ42,1,$BN42+1):INDEX(終値!$E42:$CZ42,1,$BN42+20)))</f>
      </c>
      <c r="BS42" s="684">
        <f>IF($BM42="","",AVERAGE(INDEX(終値!$E42:$CZ42,1,$BM42+1):INDEX(終値!$E42:$CZ42,1,$BM42+20))+2*STDEVP(INDEX(終値!$E42:$CZ42,1,$BM42+1):INDEX(終値!$E42:$CZ42,1,$BM42+20)))</f>
      </c>
      <c r="BT42" s="681">
        <f>IFERROR(IF(AND($BD42&gt;=2,ABS($BG42-$BH42)/$BH42&lt;=BB設定!$B$12,$BI42&gt;=MAX($BH42,$BG42)*(1+BB設定!$B$13),終値!E42&gt;$BG42),IF(OR(終値!E42&gt;=$BI42,AND($BH42&lt;$BJ42,$BG42&gt;=$BK42)),"二番底W▲","二番底W形成"),IF(AND($BL42&gt;=2,ABS($BO42-$BP42)/$BP42&lt;=BB設定!$B$12,$BQ42&lt;=MIN($BP42,$BO42)*(1-BB設定!$B$13),終値!E42&lt;$BO42),IF(OR(終値!E42&lt;=$BQ42,AND($BP42&gt;$BR42,$BO42&lt;=$BS42)),"二番天井M▼","二番天井M形成"),"－")),"－")</f>
      </c>
    </row>
    <row r="43">
      <c r="B43" s="684">
        <f>IF(終値!A43="","",IF(AND(安値!G43&lt;安値!F43,安値!G43&lt;安値!E43,安値!G43&lt;安値!H43,安値!G43&lt;安値!I43),2,""))</f>
      </c>
      <c r="C43" s="684">
        <f>IF(終値!A43="","",IF(AND(安値!H43&lt;安値!G43,安値!H43&lt;安値!F43,安値!H43&lt;安値!I43,安値!H43&lt;安値!J43),3,""))</f>
      </c>
      <c r="D43" s="684">
        <f>IF(終値!A43="","",IF(AND(安値!I43&lt;安値!H43,安値!I43&lt;安値!G43,安値!I43&lt;安値!J43,安値!I43&lt;安値!K43),4,""))</f>
      </c>
      <c r="E43" s="684">
        <f>IF(終値!A43="","",IF(AND(安値!J43&lt;安値!I43,安値!J43&lt;安値!H43,安値!J43&lt;安値!K43,安値!J43&lt;安値!L43),5,""))</f>
      </c>
      <c r="F43" s="684">
        <f>IF(終値!A43="","",IF(AND(安値!K43&lt;安値!J43,安値!K43&lt;安値!I43,安値!K43&lt;安値!L43,安値!K43&lt;安値!M43),6,""))</f>
      </c>
      <c r="G43" s="684">
        <f>IF(終値!A43="","",IF(AND(安値!L43&lt;安値!K43,安値!L43&lt;安値!J43,安値!L43&lt;安値!M43,安値!L43&lt;安値!N43),7,""))</f>
      </c>
      <c r="H43" s="684">
        <f>IF(終値!A43="","",IF(AND(安値!M43&lt;安値!L43,安値!M43&lt;安値!K43,安値!M43&lt;安値!N43,安値!M43&lt;安値!O43),8,""))</f>
      </c>
      <c r="I43" s="684">
        <f>IF(終値!A43="","",IF(AND(安値!N43&lt;安値!M43,安値!N43&lt;安値!L43,安値!N43&lt;安値!O43,安値!N43&lt;安値!P43),9,""))</f>
      </c>
      <c r="J43" s="684">
        <f>IF(終値!A43="","",IF(AND(安値!O43&lt;安値!N43,安値!O43&lt;安値!M43,安値!O43&lt;安値!P43,安値!O43&lt;安値!Q43),10,""))</f>
      </c>
      <c r="K43" s="684">
        <f>IF(終値!A43="","",IF(AND(安値!P43&lt;安値!O43,安値!P43&lt;安値!N43,安値!P43&lt;安値!Q43,安値!P43&lt;安値!R43),11,""))</f>
      </c>
      <c r="L43" s="684">
        <f>IF(終値!A43="","",IF(AND(安値!Q43&lt;安値!P43,安値!Q43&lt;安値!O43,安値!Q43&lt;安値!R43,安値!Q43&lt;安値!S43),12,""))</f>
      </c>
      <c r="M43" s="684">
        <f>IF(終値!A43="","",IF(AND(安値!R43&lt;安値!Q43,安値!R43&lt;安値!P43,安値!R43&lt;安値!S43,安値!R43&lt;安値!T43),13,""))</f>
      </c>
      <c r="N43" s="684">
        <f>IF(終値!A43="","",IF(AND(安値!S43&lt;安値!R43,安値!S43&lt;安値!Q43,安値!S43&lt;安値!T43,安値!S43&lt;安値!U43),14,""))</f>
      </c>
      <c r="O43" s="684">
        <f>IF(終値!A43="","",IF(AND(安値!T43&lt;安値!S43,安値!T43&lt;安値!R43,安値!T43&lt;安値!U43,安値!T43&lt;安値!V43),15,""))</f>
      </c>
      <c r="P43" s="684">
        <f>IF(終値!A43="","",IF(AND(安値!U43&lt;安値!T43,安値!U43&lt;安値!S43,安値!U43&lt;安値!V43,安値!U43&lt;安値!W43),16,""))</f>
      </c>
      <c r="Q43" s="684">
        <f>IF(終値!A43="","",IF(AND(安値!V43&lt;安値!U43,安値!V43&lt;安値!T43,安値!V43&lt;安値!W43,安値!V43&lt;安値!X43),17,""))</f>
      </c>
      <c r="R43" s="684">
        <f>IF(終値!A43="","",IF(AND(安値!W43&lt;安値!V43,安値!W43&lt;安値!U43,安値!W43&lt;安値!X43,安値!W43&lt;安値!Y43),18,""))</f>
      </c>
      <c r="S43" s="684">
        <f>IF(終値!A43="","",IF(AND(安値!X43&lt;安値!W43,安値!X43&lt;安値!V43,安値!X43&lt;安値!Y43,安値!X43&lt;安値!Z43),19,""))</f>
      </c>
      <c r="T43" s="684">
        <f>IF(終値!A43="","",IF(AND(安値!Y43&lt;安値!X43,安値!Y43&lt;安値!W43,安値!Y43&lt;安値!Z43,安値!Y43&lt;安値!AA43),20,""))</f>
      </c>
      <c r="U43" s="684">
        <f>IF(終値!A43="","",IF(AND(安値!Z43&lt;安値!Y43,安値!Z43&lt;安値!X43,安値!Z43&lt;安値!AA43,安値!Z43&lt;安値!AB43),21,""))</f>
      </c>
      <c r="V43" s="684">
        <f>IF(終値!A43="","",IF(AND(安値!AA43&lt;安値!Z43,安値!AA43&lt;安値!Y43,安値!AA43&lt;安値!AB43,安値!AA43&lt;安値!AC43),22,""))</f>
      </c>
      <c r="W43" s="684">
        <f>IF(終値!A43="","",IF(AND(安値!AB43&lt;安値!AA43,安値!AB43&lt;安値!Z43,安値!AB43&lt;安値!AC43,安値!AB43&lt;安値!AD43),23,""))</f>
      </c>
      <c r="X43" s="684">
        <f>IF(終値!A43="","",IF(AND(安値!AC43&lt;安値!AB43,安値!AC43&lt;安値!AA43,安値!AC43&lt;安値!AD43,安値!AC43&lt;安値!AE43),24,""))</f>
      </c>
      <c r="Y43" s="684">
        <f>IF(終値!A43="","",IF(AND(安値!AD43&lt;安値!AC43,安値!AD43&lt;安値!AB43,安値!AD43&lt;安値!AE43,安値!AD43&lt;安値!AF43),25,""))</f>
      </c>
      <c r="Z43" s="684">
        <f>IF(終値!A43="","",IF(AND(安値!AE43&lt;安値!AD43,安値!AE43&lt;安値!AC43,安値!AE43&lt;安値!AF43,安値!AE43&lt;安値!AG43),26,""))</f>
      </c>
      <c r="AA43" s="684">
        <f>IF(終値!A43="","",IF(AND(安値!AF43&lt;安値!AE43,安値!AF43&lt;安値!AD43,安値!AF43&lt;安値!AG43,安値!AF43&lt;安値!AH43),27,""))</f>
      </c>
      <c r="AB43" s="684">
        <f>IF(終値!A43="","",IF(AND(安値!AG43&lt;安値!AF43,安値!AG43&lt;安値!AE43,安値!AG43&lt;安値!AH43,安値!AG43&lt;安値!AI43),28,""))</f>
      </c>
      <c r="AC43" s="684">
        <f>IF(終値!A43="","",IF(AND(高値!G43&gt;高値!F43,高値!G43&gt;高値!E43,高値!G43&gt;高値!H43,高値!G43&gt;高値!I43),2,""))</f>
      </c>
      <c r="AD43" s="684">
        <f>IF(終値!A43="","",IF(AND(高値!H43&gt;高値!G43,高値!H43&gt;高値!F43,高値!H43&gt;高値!I43,高値!H43&gt;高値!J43),3,""))</f>
      </c>
      <c r="AE43" s="684">
        <f>IF(終値!A43="","",IF(AND(高値!I43&gt;高値!H43,高値!I43&gt;高値!G43,高値!I43&gt;高値!J43,高値!I43&gt;高値!K43),4,""))</f>
      </c>
      <c r="AF43" s="684">
        <f>IF(終値!A43="","",IF(AND(高値!J43&gt;高値!I43,高値!J43&gt;高値!H43,高値!J43&gt;高値!K43,高値!J43&gt;高値!L43),5,""))</f>
      </c>
      <c r="AG43" s="684">
        <f>IF(終値!A43="","",IF(AND(高値!K43&gt;高値!J43,高値!K43&gt;高値!I43,高値!K43&gt;高値!L43,高値!K43&gt;高値!M43),6,""))</f>
      </c>
      <c r="AH43" s="684">
        <f>IF(終値!A43="","",IF(AND(高値!L43&gt;高値!K43,高値!L43&gt;高値!J43,高値!L43&gt;高値!M43,高値!L43&gt;高値!N43),7,""))</f>
      </c>
      <c r="AI43" s="684">
        <f>IF(終値!A43="","",IF(AND(高値!M43&gt;高値!L43,高値!M43&gt;高値!K43,高値!M43&gt;高値!N43,高値!M43&gt;高値!O43),8,""))</f>
      </c>
      <c r="AJ43" s="684">
        <f>IF(終値!A43="","",IF(AND(高値!N43&gt;高値!M43,高値!N43&gt;高値!L43,高値!N43&gt;高値!O43,高値!N43&gt;高値!P43),9,""))</f>
      </c>
      <c r="AK43" s="684">
        <f>IF(終値!A43="","",IF(AND(高値!O43&gt;高値!N43,高値!O43&gt;高値!M43,高値!O43&gt;高値!P43,高値!O43&gt;高値!Q43),10,""))</f>
      </c>
      <c r="AL43" s="684">
        <f>IF(終値!A43="","",IF(AND(高値!P43&gt;高値!O43,高値!P43&gt;高値!N43,高値!P43&gt;高値!Q43,高値!P43&gt;高値!R43),11,""))</f>
      </c>
      <c r="AM43" s="684">
        <f>IF(終値!A43="","",IF(AND(高値!Q43&gt;高値!P43,高値!Q43&gt;高値!O43,高値!Q43&gt;高値!R43,高値!Q43&gt;高値!S43),12,""))</f>
      </c>
      <c r="AN43" s="684">
        <f>IF(終値!A43="","",IF(AND(高値!R43&gt;高値!Q43,高値!R43&gt;高値!P43,高値!R43&gt;高値!S43,高値!R43&gt;高値!T43),13,""))</f>
      </c>
      <c r="AO43" s="684">
        <f>IF(終値!A43="","",IF(AND(高値!S43&gt;高値!R43,高値!S43&gt;高値!Q43,高値!S43&gt;高値!T43,高値!S43&gt;高値!U43),14,""))</f>
      </c>
      <c r="AP43" s="684">
        <f>IF(終値!A43="","",IF(AND(高値!T43&gt;高値!S43,高値!T43&gt;高値!R43,高値!T43&gt;高値!U43,高値!T43&gt;高値!V43),15,""))</f>
      </c>
      <c r="AQ43" s="684">
        <f>IF(終値!A43="","",IF(AND(高値!U43&gt;高値!T43,高値!U43&gt;高値!S43,高値!U43&gt;高値!V43,高値!U43&gt;高値!W43),16,""))</f>
      </c>
      <c r="AR43" s="684">
        <f>IF(終値!A43="","",IF(AND(高値!V43&gt;高値!U43,高値!V43&gt;高値!T43,高値!V43&gt;高値!W43,高値!V43&gt;高値!X43),17,""))</f>
      </c>
      <c r="AS43" s="684">
        <f>IF(終値!A43="","",IF(AND(高値!W43&gt;高値!V43,高値!W43&gt;高値!U43,高値!W43&gt;高値!X43,高値!W43&gt;高値!Y43),18,""))</f>
      </c>
      <c r="AT43" s="684">
        <f>IF(終値!A43="","",IF(AND(高値!X43&gt;高値!W43,高値!X43&gt;高値!V43,高値!X43&gt;高値!Y43,高値!X43&gt;高値!Z43),19,""))</f>
      </c>
      <c r="AU43" s="684">
        <f>IF(終値!A43="","",IF(AND(高値!Y43&gt;高値!X43,高値!Y43&gt;高値!W43,高値!Y43&gt;高値!Z43,高値!Y43&gt;高値!AA43),20,""))</f>
      </c>
      <c r="AV43" s="684">
        <f>IF(終値!A43="","",IF(AND(高値!Z43&gt;高値!Y43,高値!Z43&gt;高値!X43,高値!Z43&gt;高値!AA43,高値!Z43&gt;高値!AB43),21,""))</f>
      </c>
      <c r="AW43" s="684">
        <f>IF(終値!A43="","",IF(AND(高値!AA43&gt;高値!Z43,高値!AA43&gt;高値!Y43,高値!AA43&gt;高値!AB43,高値!AA43&gt;高値!AC43),22,""))</f>
      </c>
      <c r="AX43" s="684">
        <f>IF(終値!A43="","",IF(AND(高値!AB43&gt;高値!AA43,高値!AB43&gt;高値!Z43,高値!AB43&gt;高値!AC43,高値!AB43&gt;高値!AD43),23,""))</f>
      </c>
      <c r="AY43" s="684">
        <f>IF(終値!A43="","",IF(AND(高値!AC43&gt;高値!AB43,高値!AC43&gt;高値!AA43,高値!AC43&gt;高値!AD43,高値!AC43&gt;高値!AE43),24,""))</f>
      </c>
      <c r="AZ43" s="684">
        <f>IF(終値!A43="","",IF(AND(高値!AD43&gt;高値!AC43,高値!AD43&gt;高値!AB43,高値!AD43&gt;高値!AE43,高値!AD43&gt;高値!AF43),25,""))</f>
      </c>
      <c r="BA43" s="684">
        <f>IF(終値!A43="","",IF(AND(高値!AE43&gt;高値!AD43,高値!AE43&gt;高値!AC43,高値!AE43&gt;高値!AF43,高値!AE43&gt;高値!AG43),26,""))</f>
      </c>
      <c r="BB43" s="684">
        <f>IF(終値!A43="","",IF(AND(高値!AF43&gt;高値!AE43,高値!AF43&gt;高値!AD43,高値!AF43&gt;高値!AG43,高値!AF43&gt;高値!AH43),27,""))</f>
      </c>
      <c r="BC43" s="684">
        <f>IF(終値!A43="","",IF(AND(高値!AG43&gt;高値!AF43,高値!AG43&gt;高値!AE43,高値!AG43&gt;高値!AH43,高値!AG43&gt;高値!AI43),28,""))</f>
      </c>
      <c r="BD43" s="684">
        <f>COUNT($B43:$AB43)</f>
      </c>
      <c r="BE43" s="684">
        <f>IF($BD43&gt;=2,MIN($B43:$AB43),"")</f>
      </c>
      <c r="BF43" s="684">
        <f>IF($BD43&gt;=2,SMALL($B43:$AB43,2),"")</f>
      </c>
      <c r="BG43" s="684">
        <f>IF($BE43="","",INDEX(安値!$E43:$CZ43,1,$BE43+1))</f>
      </c>
      <c r="BH43" s="684">
        <f>IF($BF43="","",INDEX(安値!$E43:$CZ43,1,$BF43+1))</f>
      </c>
      <c r="BI43" s="684">
        <f>IF($BF43="","",MAX(INDEX(高値!$E43:$CZ43,1,$BE43+1):INDEX(高値!$E43:$CZ43,1,$BF43+1)))</f>
      </c>
      <c r="BJ43" s="684">
        <f>IF($BF43="","",AVERAGE(INDEX(終値!$E43:$CZ43,1,$BF43+1):INDEX(終値!$E43:$CZ43,1,$BF43+20))-2*STDEVP(INDEX(終値!$E43:$CZ43,1,$BF43+1):INDEX(終値!$E43:$CZ43,1,$BF43+20)))</f>
      </c>
      <c r="BK43" s="684">
        <f>IF($BE43="","",AVERAGE(INDEX(終値!$E43:$CZ43,1,$BE43+1):INDEX(終値!$E43:$CZ43,1,$BE43+20))-2*STDEVP(INDEX(終値!$E43:$CZ43,1,$BE43+1):INDEX(終値!$E43:$CZ43,1,$BE43+20)))</f>
      </c>
      <c r="BL43" s="684">
        <f>COUNT($AC43:$BC43)</f>
      </c>
      <c r="BM43" s="684">
        <f>IF($BL43&gt;=2,MIN($AC43:$BC43),"")</f>
      </c>
      <c r="BN43" s="684">
        <f>IF($BL43&gt;=2,SMALL($AC43:$BC43,2),"")</f>
      </c>
      <c r="BO43" s="684">
        <f>IF($BM43="","",INDEX(高値!$E43:$CZ43,1,$BM43+1))</f>
      </c>
      <c r="BP43" s="684">
        <f>IF($BN43="","",INDEX(高値!$E43:$CZ43,1,$BN43+1))</f>
      </c>
      <c r="BQ43" s="684">
        <f>IF($BN43="","",MIN(INDEX(安値!$E43:$CZ43,1,$BM43+1):INDEX(安値!$E43:$CZ43,1,$BN43+1)))</f>
      </c>
      <c r="BR43" s="684">
        <f>IF($BN43="","",AVERAGE(INDEX(終値!$E43:$CZ43,1,$BN43+1):INDEX(終値!$E43:$CZ43,1,$BN43+20))+2*STDEVP(INDEX(終値!$E43:$CZ43,1,$BN43+1):INDEX(終値!$E43:$CZ43,1,$BN43+20)))</f>
      </c>
      <c r="BS43" s="684">
        <f>IF($BM43="","",AVERAGE(INDEX(終値!$E43:$CZ43,1,$BM43+1):INDEX(終値!$E43:$CZ43,1,$BM43+20))+2*STDEVP(INDEX(終値!$E43:$CZ43,1,$BM43+1):INDEX(終値!$E43:$CZ43,1,$BM43+20)))</f>
      </c>
      <c r="BT43" s="681">
        <f>IFERROR(IF(AND($BD43&gt;=2,ABS($BG43-$BH43)/$BH43&lt;=BB設定!$B$12,$BI43&gt;=MAX($BH43,$BG43)*(1+BB設定!$B$13),終値!E43&gt;$BG43),IF(OR(終値!E43&gt;=$BI43,AND($BH43&lt;$BJ43,$BG43&gt;=$BK43)),"二番底W▲","二番底W形成"),IF(AND($BL43&gt;=2,ABS($BO43-$BP43)/$BP43&lt;=BB設定!$B$12,$BQ43&lt;=MIN($BP43,$BO43)*(1-BB設定!$B$13),終値!E43&lt;$BO43),IF(OR(終値!E43&lt;=$BQ43,AND($BP43&gt;$BR43,$BO43&lt;=$BS43)),"二番天井M▼","二番天井M形成"),"－")),"－")</f>
      </c>
    </row>
    <row r="44">
      <c r="B44" s="684">
        <f>IF(終値!A44="","",IF(AND(安値!G44&lt;安値!F44,安値!G44&lt;安値!E44,安値!G44&lt;安値!H44,安値!G44&lt;安値!I44),2,""))</f>
      </c>
      <c r="C44" s="684">
        <f>IF(終値!A44="","",IF(AND(安値!H44&lt;安値!G44,安値!H44&lt;安値!F44,安値!H44&lt;安値!I44,安値!H44&lt;安値!J44),3,""))</f>
      </c>
      <c r="D44" s="684">
        <f>IF(終値!A44="","",IF(AND(安値!I44&lt;安値!H44,安値!I44&lt;安値!G44,安値!I44&lt;安値!J44,安値!I44&lt;安値!K44),4,""))</f>
      </c>
      <c r="E44" s="684">
        <f>IF(終値!A44="","",IF(AND(安値!J44&lt;安値!I44,安値!J44&lt;安値!H44,安値!J44&lt;安値!K44,安値!J44&lt;安値!L44),5,""))</f>
      </c>
      <c r="F44" s="684">
        <f>IF(終値!A44="","",IF(AND(安値!K44&lt;安値!J44,安値!K44&lt;安値!I44,安値!K44&lt;安値!L44,安値!K44&lt;安値!M44),6,""))</f>
      </c>
      <c r="G44" s="684">
        <f>IF(終値!A44="","",IF(AND(安値!L44&lt;安値!K44,安値!L44&lt;安値!J44,安値!L44&lt;安値!M44,安値!L44&lt;安値!N44),7,""))</f>
      </c>
      <c r="H44" s="684">
        <f>IF(終値!A44="","",IF(AND(安値!M44&lt;安値!L44,安値!M44&lt;安値!K44,安値!M44&lt;安値!N44,安値!M44&lt;安値!O44),8,""))</f>
      </c>
      <c r="I44" s="684">
        <f>IF(終値!A44="","",IF(AND(安値!N44&lt;安値!M44,安値!N44&lt;安値!L44,安値!N44&lt;安値!O44,安値!N44&lt;安値!P44),9,""))</f>
      </c>
      <c r="J44" s="684">
        <f>IF(終値!A44="","",IF(AND(安値!O44&lt;安値!N44,安値!O44&lt;安値!M44,安値!O44&lt;安値!P44,安値!O44&lt;安値!Q44),10,""))</f>
      </c>
      <c r="K44" s="684">
        <f>IF(終値!A44="","",IF(AND(安値!P44&lt;安値!O44,安値!P44&lt;安値!N44,安値!P44&lt;安値!Q44,安値!P44&lt;安値!R44),11,""))</f>
      </c>
      <c r="L44" s="684">
        <f>IF(終値!A44="","",IF(AND(安値!Q44&lt;安値!P44,安値!Q44&lt;安値!O44,安値!Q44&lt;安値!R44,安値!Q44&lt;安値!S44),12,""))</f>
      </c>
      <c r="M44" s="684">
        <f>IF(終値!A44="","",IF(AND(安値!R44&lt;安値!Q44,安値!R44&lt;安値!P44,安値!R44&lt;安値!S44,安値!R44&lt;安値!T44),13,""))</f>
      </c>
      <c r="N44" s="684">
        <f>IF(終値!A44="","",IF(AND(安値!S44&lt;安値!R44,安値!S44&lt;安値!Q44,安値!S44&lt;安値!T44,安値!S44&lt;安値!U44),14,""))</f>
      </c>
      <c r="O44" s="684">
        <f>IF(終値!A44="","",IF(AND(安値!T44&lt;安値!S44,安値!T44&lt;安値!R44,安値!T44&lt;安値!U44,安値!T44&lt;安値!V44),15,""))</f>
      </c>
      <c r="P44" s="684">
        <f>IF(終値!A44="","",IF(AND(安値!U44&lt;安値!T44,安値!U44&lt;安値!S44,安値!U44&lt;安値!V44,安値!U44&lt;安値!W44),16,""))</f>
      </c>
      <c r="Q44" s="684">
        <f>IF(終値!A44="","",IF(AND(安値!V44&lt;安値!U44,安値!V44&lt;安値!T44,安値!V44&lt;安値!W44,安値!V44&lt;安値!X44),17,""))</f>
      </c>
      <c r="R44" s="684">
        <f>IF(終値!A44="","",IF(AND(安値!W44&lt;安値!V44,安値!W44&lt;安値!U44,安値!W44&lt;安値!X44,安値!W44&lt;安値!Y44),18,""))</f>
      </c>
      <c r="S44" s="684">
        <f>IF(終値!A44="","",IF(AND(安値!X44&lt;安値!W44,安値!X44&lt;安値!V44,安値!X44&lt;安値!Y44,安値!X44&lt;安値!Z44),19,""))</f>
      </c>
      <c r="T44" s="684">
        <f>IF(終値!A44="","",IF(AND(安値!Y44&lt;安値!X44,安値!Y44&lt;安値!W44,安値!Y44&lt;安値!Z44,安値!Y44&lt;安値!AA44),20,""))</f>
      </c>
      <c r="U44" s="684">
        <f>IF(終値!A44="","",IF(AND(安値!Z44&lt;安値!Y44,安値!Z44&lt;安値!X44,安値!Z44&lt;安値!AA44,安値!Z44&lt;安値!AB44),21,""))</f>
      </c>
      <c r="V44" s="684">
        <f>IF(終値!A44="","",IF(AND(安値!AA44&lt;安値!Z44,安値!AA44&lt;安値!Y44,安値!AA44&lt;安値!AB44,安値!AA44&lt;安値!AC44),22,""))</f>
      </c>
      <c r="W44" s="684">
        <f>IF(終値!A44="","",IF(AND(安値!AB44&lt;安値!AA44,安値!AB44&lt;安値!Z44,安値!AB44&lt;安値!AC44,安値!AB44&lt;安値!AD44),23,""))</f>
      </c>
      <c r="X44" s="684">
        <f>IF(終値!A44="","",IF(AND(安値!AC44&lt;安値!AB44,安値!AC44&lt;安値!AA44,安値!AC44&lt;安値!AD44,安値!AC44&lt;安値!AE44),24,""))</f>
      </c>
      <c r="Y44" s="684">
        <f>IF(終値!A44="","",IF(AND(安値!AD44&lt;安値!AC44,安値!AD44&lt;安値!AB44,安値!AD44&lt;安値!AE44,安値!AD44&lt;安値!AF44),25,""))</f>
      </c>
      <c r="Z44" s="684">
        <f>IF(終値!A44="","",IF(AND(安値!AE44&lt;安値!AD44,安値!AE44&lt;安値!AC44,安値!AE44&lt;安値!AF44,安値!AE44&lt;安値!AG44),26,""))</f>
      </c>
      <c r="AA44" s="684">
        <f>IF(終値!A44="","",IF(AND(安値!AF44&lt;安値!AE44,安値!AF44&lt;安値!AD44,安値!AF44&lt;安値!AG44,安値!AF44&lt;安値!AH44),27,""))</f>
      </c>
      <c r="AB44" s="684">
        <f>IF(終値!A44="","",IF(AND(安値!AG44&lt;安値!AF44,安値!AG44&lt;安値!AE44,安値!AG44&lt;安値!AH44,安値!AG44&lt;安値!AI44),28,""))</f>
      </c>
      <c r="AC44" s="684">
        <f>IF(終値!A44="","",IF(AND(高値!G44&gt;高値!F44,高値!G44&gt;高値!E44,高値!G44&gt;高値!H44,高値!G44&gt;高値!I44),2,""))</f>
      </c>
      <c r="AD44" s="684">
        <f>IF(終値!A44="","",IF(AND(高値!H44&gt;高値!G44,高値!H44&gt;高値!F44,高値!H44&gt;高値!I44,高値!H44&gt;高値!J44),3,""))</f>
      </c>
      <c r="AE44" s="684">
        <f>IF(終値!A44="","",IF(AND(高値!I44&gt;高値!H44,高値!I44&gt;高値!G44,高値!I44&gt;高値!J44,高値!I44&gt;高値!K44),4,""))</f>
      </c>
      <c r="AF44" s="684">
        <f>IF(終値!A44="","",IF(AND(高値!J44&gt;高値!I44,高値!J44&gt;高値!H44,高値!J44&gt;高値!K44,高値!J44&gt;高値!L44),5,""))</f>
      </c>
      <c r="AG44" s="684">
        <f>IF(終値!A44="","",IF(AND(高値!K44&gt;高値!J44,高値!K44&gt;高値!I44,高値!K44&gt;高値!L44,高値!K44&gt;高値!M44),6,""))</f>
      </c>
      <c r="AH44" s="684">
        <f>IF(終値!A44="","",IF(AND(高値!L44&gt;高値!K44,高値!L44&gt;高値!J44,高値!L44&gt;高値!M44,高値!L44&gt;高値!N44),7,""))</f>
      </c>
      <c r="AI44" s="684">
        <f>IF(終値!A44="","",IF(AND(高値!M44&gt;高値!L44,高値!M44&gt;高値!K44,高値!M44&gt;高値!N44,高値!M44&gt;高値!O44),8,""))</f>
      </c>
      <c r="AJ44" s="684">
        <f>IF(終値!A44="","",IF(AND(高値!N44&gt;高値!M44,高値!N44&gt;高値!L44,高値!N44&gt;高値!O44,高値!N44&gt;高値!P44),9,""))</f>
      </c>
      <c r="AK44" s="684">
        <f>IF(終値!A44="","",IF(AND(高値!O44&gt;高値!N44,高値!O44&gt;高値!M44,高値!O44&gt;高値!P44,高値!O44&gt;高値!Q44),10,""))</f>
      </c>
      <c r="AL44" s="684">
        <f>IF(終値!A44="","",IF(AND(高値!P44&gt;高値!O44,高値!P44&gt;高値!N44,高値!P44&gt;高値!Q44,高値!P44&gt;高値!R44),11,""))</f>
      </c>
      <c r="AM44" s="684">
        <f>IF(終値!A44="","",IF(AND(高値!Q44&gt;高値!P44,高値!Q44&gt;高値!O44,高値!Q44&gt;高値!R44,高値!Q44&gt;高値!S44),12,""))</f>
      </c>
      <c r="AN44" s="684">
        <f>IF(終値!A44="","",IF(AND(高値!R44&gt;高値!Q44,高値!R44&gt;高値!P44,高値!R44&gt;高値!S44,高値!R44&gt;高値!T44),13,""))</f>
      </c>
      <c r="AO44" s="684">
        <f>IF(終値!A44="","",IF(AND(高値!S44&gt;高値!R44,高値!S44&gt;高値!Q44,高値!S44&gt;高値!T44,高値!S44&gt;高値!U44),14,""))</f>
      </c>
      <c r="AP44" s="684">
        <f>IF(終値!A44="","",IF(AND(高値!T44&gt;高値!S44,高値!T44&gt;高値!R44,高値!T44&gt;高値!U44,高値!T44&gt;高値!V44),15,""))</f>
      </c>
      <c r="AQ44" s="684">
        <f>IF(終値!A44="","",IF(AND(高値!U44&gt;高値!T44,高値!U44&gt;高値!S44,高値!U44&gt;高値!V44,高値!U44&gt;高値!W44),16,""))</f>
      </c>
      <c r="AR44" s="684">
        <f>IF(終値!A44="","",IF(AND(高値!V44&gt;高値!U44,高値!V44&gt;高値!T44,高値!V44&gt;高値!W44,高値!V44&gt;高値!X44),17,""))</f>
      </c>
      <c r="AS44" s="684">
        <f>IF(終値!A44="","",IF(AND(高値!W44&gt;高値!V44,高値!W44&gt;高値!U44,高値!W44&gt;高値!X44,高値!W44&gt;高値!Y44),18,""))</f>
      </c>
      <c r="AT44" s="684">
        <f>IF(終値!A44="","",IF(AND(高値!X44&gt;高値!W44,高値!X44&gt;高値!V44,高値!X44&gt;高値!Y44,高値!X44&gt;高値!Z44),19,""))</f>
      </c>
      <c r="AU44" s="684">
        <f>IF(終値!A44="","",IF(AND(高値!Y44&gt;高値!X44,高値!Y44&gt;高値!W44,高値!Y44&gt;高値!Z44,高値!Y44&gt;高値!AA44),20,""))</f>
      </c>
      <c r="AV44" s="684">
        <f>IF(終値!A44="","",IF(AND(高値!Z44&gt;高値!Y44,高値!Z44&gt;高値!X44,高値!Z44&gt;高値!AA44,高値!Z44&gt;高値!AB44),21,""))</f>
      </c>
      <c r="AW44" s="684">
        <f>IF(終値!A44="","",IF(AND(高値!AA44&gt;高値!Z44,高値!AA44&gt;高値!Y44,高値!AA44&gt;高値!AB44,高値!AA44&gt;高値!AC44),22,""))</f>
      </c>
      <c r="AX44" s="684">
        <f>IF(終値!A44="","",IF(AND(高値!AB44&gt;高値!AA44,高値!AB44&gt;高値!Z44,高値!AB44&gt;高値!AC44,高値!AB44&gt;高値!AD44),23,""))</f>
      </c>
      <c r="AY44" s="684">
        <f>IF(終値!A44="","",IF(AND(高値!AC44&gt;高値!AB44,高値!AC44&gt;高値!AA44,高値!AC44&gt;高値!AD44,高値!AC44&gt;高値!AE44),24,""))</f>
      </c>
      <c r="AZ44" s="684">
        <f>IF(終値!A44="","",IF(AND(高値!AD44&gt;高値!AC44,高値!AD44&gt;高値!AB44,高値!AD44&gt;高値!AE44,高値!AD44&gt;高値!AF44),25,""))</f>
      </c>
      <c r="BA44" s="684">
        <f>IF(終値!A44="","",IF(AND(高値!AE44&gt;高値!AD44,高値!AE44&gt;高値!AC44,高値!AE44&gt;高値!AF44,高値!AE44&gt;高値!AG44),26,""))</f>
      </c>
      <c r="BB44" s="684">
        <f>IF(終値!A44="","",IF(AND(高値!AF44&gt;高値!AE44,高値!AF44&gt;高値!AD44,高値!AF44&gt;高値!AG44,高値!AF44&gt;高値!AH44),27,""))</f>
      </c>
      <c r="BC44" s="684">
        <f>IF(終値!A44="","",IF(AND(高値!AG44&gt;高値!AF44,高値!AG44&gt;高値!AE44,高値!AG44&gt;高値!AH44,高値!AG44&gt;高値!AI44),28,""))</f>
      </c>
      <c r="BD44" s="684">
        <f>COUNT($B44:$AB44)</f>
      </c>
      <c r="BE44" s="684">
        <f>IF($BD44&gt;=2,MIN($B44:$AB44),"")</f>
      </c>
      <c r="BF44" s="684">
        <f>IF($BD44&gt;=2,SMALL($B44:$AB44,2),"")</f>
      </c>
      <c r="BG44" s="684">
        <f>IF($BE44="","",INDEX(安値!$E44:$CZ44,1,$BE44+1))</f>
      </c>
      <c r="BH44" s="684">
        <f>IF($BF44="","",INDEX(安値!$E44:$CZ44,1,$BF44+1))</f>
      </c>
      <c r="BI44" s="684">
        <f>IF($BF44="","",MAX(INDEX(高値!$E44:$CZ44,1,$BE44+1):INDEX(高値!$E44:$CZ44,1,$BF44+1)))</f>
      </c>
      <c r="BJ44" s="684">
        <f>IF($BF44="","",AVERAGE(INDEX(終値!$E44:$CZ44,1,$BF44+1):INDEX(終値!$E44:$CZ44,1,$BF44+20))-2*STDEVP(INDEX(終値!$E44:$CZ44,1,$BF44+1):INDEX(終値!$E44:$CZ44,1,$BF44+20)))</f>
      </c>
      <c r="BK44" s="684">
        <f>IF($BE44="","",AVERAGE(INDEX(終値!$E44:$CZ44,1,$BE44+1):INDEX(終値!$E44:$CZ44,1,$BE44+20))-2*STDEVP(INDEX(終値!$E44:$CZ44,1,$BE44+1):INDEX(終値!$E44:$CZ44,1,$BE44+20)))</f>
      </c>
      <c r="BL44" s="684">
        <f>COUNT($AC44:$BC44)</f>
      </c>
      <c r="BM44" s="684">
        <f>IF($BL44&gt;=2,MIN($AC44:$BC44),"")</f>
      </c>
      <c r="BN44" s="684">
        <f>IF($BL44&gt;=2,SMALL($AC44:$BC44,2),"")</f>
      </c>
      <c r="BO44" s="684">
        <f>IF($BM44="","",INDEX(高値!$E44:$CZ44,1,$BM44+1))</f>
      </c>
      <c r="BP44" s="684">
        <f>IF($BN44="","",INDEX(高値!$E44:$CZ44,1,$BN44+1))</f>
      </c>
      <c r="BQ44" s="684">
        <f>IF($BN44="","",MIN(INDEX(安値!$E44:$CZ44,1,$BM44+1):INDEX(安値!$E44:$CZ44,1,$BN44+1)))</f>
      </c>
      <c r="BR44" s="684">
        <f>IF($BN44="","",AVERAGE(INDEX(終値!$E44:$CZ44,1,$BN44+1):INDEX(終値!$E44:$CZ44,1,$BN44+20))+2*STDEVP(INDEX(終値!$E44:$CZ44,1,$BN44+1):INDEX(終値!$E44:$CZ44,1,$BN44+20)))</f>
      </c>
      <c r="BS44" s="684">
        <f>IF($BM44="","",AVERAGE(INDEX(終値!$E44:$CZ44,1,$BM44+1):INDEX(終値!$E44:$CZ44,1,$BM44+20))+2*STDEVP(INDEX(終値!$E44:$CZ44,1,$BM44+1):INDEX(終値!$E44:$CZ44,1,$BM44+20)))</f>
      </c>
      <c r="BT44" s="681">
        <f>IFERROR(IF(AND($BD44&gt;=2,ABS($BG44-$BH44)/$BH44&lt;=BB設定!$B$12,$BI44&gt;=MAX($BH44,$BG44)*(1+BB設定!$B$13),終値!E44&gt;$BG44),IF(OR(終値!E44&gt;=$BI44,AND($BH44&lt;$BJ44,$BG44&gt;=$BK44)),"二番底W▲","二番底W形成"),IF(AND($BL44&gt;=2,ABS($BO44-$BP44)/$BP44&lt;=BB設定!$B$12,$BQ44&lt;=MIN($BP44,$BO44)*(1-BB設定!$B$13),終値!E44&lt;$BO44),IF(OR(終値!E44&lt;=$BQ44,AND($BP44&gt;$BR44,$BO44&lt;=$BS44)),"二番天井M▼","二番天井M形成"),"－")),"－")</f>
      </c>
    </row>
    <row r="45">
      <c r="B45" s="684">
        <f>IF(終値!A45="","",IF(AND(安値!G45&lt;安値!F45,安値!G45&lt;安値!E45,安値!G45&lt;安値!H45,安値!G45&lt;安値!I45),2,""))</f>
      </c>
      <c r="C45" s="684">
        <f>IF(終値!A45="","",IF(AND(安値!H45&lt;安値!G45,安値!H45&lt;安値!F45,安値!H45&lt;安値!I45,安値!H45&lt;安値!J45),3,""))</f>
      </c>
      <c r="D45" s="684">
        <f>IF(終値!A45="","",IF(AND(安値!I45&lt;安値!H45,安値!I45&lt;安値!G45,安値!I45&lt;安値!J45,安値!I45&lt;安値!K45),4,""))</f>
      </c>
      <c r="E45" s="684">
        <f>IF(終値!A45="","",IF(AND(安値!J45&lt;安値!I45,安値!J45&lt;安値!H45,安値!J45&lt;安値!K45,安値!J45&lt;安値!L45),5,""))</f>
      </c>
      <c r="F45" s="684">
        <f>IF(終値!A45="","",IF(AND(安値!K45&lt;安値!J45,安値!K45&lt;安値!I45,安値!K45&lt;安値!L45,安値!K45&lt;安値!M45),6,""))</f>
      </c>
      <c r="G45" s="684">
        <f>IF(終値!A45="","",IF(AND(安値!L45&lt;安値!K45,安値!L45&lt;安値!J45,安値!L45&lt;安値!M45,安値!L45&lt;安値!N45),7,""))</f>
      </c>
      <c r="H45" s="684">
        <f>IF(終値!A45="","",IF(AND(安値!M45&lt;安値!L45,安値!M45&lt;安値!K45,安値!M45&lt;安値!N45,安値!M45&lt;安値!O45),8,""))</f>
      </c>
      <c r="I45" s="684">
        <f>IF(終値!A45="","",IF(AND(安値!N45&lt;安値!M45,安値!N45&lt;安値!L45,安値!N45&lt;安値!O45,安値!N45&lt;安値!P45),9,""))</f>
      </c>
      <c r="J45" s="684">
        <f>IF(終値!A45="","",IF(AND(安値!O45&lt;安値!N45,安値!O45&lt;安値!M45,安値!O45&lt;安値!P45,安値!O45&lt;安値!Q45),10,""))</f>
      </c>
      <c r="K45" s="684">
        <f>IF(終値!A45="","",IF(AND(安値!P45&lt;安値!O45,安値!P45&lt;安値!N45,安値!P45&lt;安値!Q45,安値!P45&lt;安値!R45),11,""))</f>
      </c>
      <c r="L45" s="684">
        <f>IF(終値!A45="","",IF(AND(安値!Q45&lt;安値!P45,安値!Q45&lt;安値!O45,安値!Q45&lt;安値!R45,安値!Q45&lt;安値!S45),12,""))</f>
      </c>
      <c r="M45" s="684">
        <f>IF(終値!A45="","",IF(AND(安値!R45&lt;安値!Q45,安値!R45&lt;安値!P45,安値!R45&lt;安値!S45,安値!R45&lt;安値!T45),13,""))</f>
      </c>
      <c r="N45" s="684">
        <f>IF(終値!A45="","",IF(AND(安値!S45&lt;安値!R45,安値!S45&lt;安値!Q45,安値!S45&lt;安値!T45,安値!S45&lt;安値!U45),14,""))</f>
      </c>
      <c r="O45" s="684">
        <f>IF(終値!A45="","",IF(AND(安値!T45&lt;安値!S45,安値!T45&lt;安値!R45,安値!T45&lt;安値!U45,安値!T45&lt;安値!V45),15,""))</f>
      </c>
      <c r="P45" s="684">
        <f>IF(終値!A45="","",IF(AND(安値!U45&lt;安値!T45,安値!U45&lt;安値!S45,安値!U45&lt;安値!V45,安値!U45&lt;安値!W45),16,""))</f>
      </c>
      <c r="Q45" s="684">
        <f>IF(終値!A45="","",IF(AND(安値!V45&lt;安値!U45,安値!V45&lt;安値!T45,安値!V45&lt;安値!W45,安値!V45&lt;安値!X45),17,""))</f>
      </c>
      <c r="R45" s="684">
        <f>IF(終値!A45="","",IF(AND(安値!W45&lt;安値!V45,安値!W45&lt;安値!U45,安値!W45&lt;安値!X45,安値!W45&lt;安値!Y45),18,""))</f>
      </c>
      <c r="S45" s="684">
        <f>IF(終値!A45="","",IF(AND(安値!X45&lt;安値!W45,安値!X45&lt;安値!V45,安値!X45&lt;安値!Y45,安値!X45&lt;安値!Z45),19,""))</f>
      </c>
      <c r="T45" s="684">
        <f>IF(終値!A45="","",IF(AND(安値!Y45&lt;安値!X45,安値!Y45&lt;安値!W45,安値!Y45&lt;安値!Z45,安値!Y45&lt;安値!AA45),20,""))</f>
      </c>
      <c r="U45" s="684">
        <f>IF(終値!A45="","",IF(AND(安値!Z45&lt;安値!Y45,安値!Z45&lt;安値!X45,安値!Z45&lt;安値!AA45,安値!Z45&lt;安値!AB45),21,""))</f>
      </c>
      <c r="V45" s="684">
        <f>IF(終値!A45="","",IF(AND(安値!AA45&lt;安値!Z45,安値!AA45&lt;安値!Y45,安値!AA45&lt;安値!AB45,安値!AA45&lt;安値!AC45),22,""))</f>
      </c>
      <c r="W45" s="684">
        <f>IF(終値!A45="","",IF(AND(安値!AB45&lt;安値!AA45,安値!AB45&lt;安値!Z45,安値!AB45&lt;安値!AC45,安値!AB45&lt;安値!AD45),23,""))</f>
      </c>
      <c r="X45" s="684">
        <f>IF(終値!A45="","",IF(AND(安値!AC45&lt;安値!AB45,安値!AC45&lt;安値!AA45,安値!AC45&lt;安値!AD45,安値!AC45&lt;安値!AE45),24,""))</f>
      </c>
      <c r="Y45" s="684">
        <f>IF(終値!A45="","",IF(AND(安値!AD45&lt;安値!AC45,安値!AD45&lt;安値!AB45,安値!AD45&lt;安値!AE45,安値!AD45&lt;安値!AF45),25,""))</f>
      </c>
      <c r="Z45" s="684">
        <f>IF(終値!A45="","",IF(AND(安値!AE45&lt;安値!AD45,安値!AE45&lt;安値!AC45,安値!AE45&lt;安値!AF45,安値!AE45&lt;安値!AG45),26,""))</f>
      </c>
      <c r="AA45" s="684">
        <f>IF(終値!A45="","",IF(AND(安値!AF45&lt;安値!AE45,安値!AF45&lt;安値!AD45,安値!AF45&lt;安値!AG45,安値!AF45&lt;安値!AH45),27,""))</f>
      </c>
      <c r="AB45" s="684">
        <f>IF(終値!A45="","",IF(AND(安値!AG45&lt;安値!AF45,安値!AG45&lt;安値!AE45,安値!AG45&lt;安値!AH45,安値!AG45&lt;安値!AI45),28,""))</f>
      </c>
      <c r="AC45" s="684">
        <f>IF(終値!A45="","",IF(AND(高値!G45&gt;高値!F45,高値!G45&gt;高値!E45,高値!G45&gt;高値!H45,高値!G45&gt;高値!I45),2,""))</f>
      </c>
      <c r="AD45" s="684">
        <f>IF(終値!A45="","",IF(AND(高値!H45&gt;高値!G45,高値!H45&gt;高値!F45,高値!H45&gt;高値!I45,高値!H45&gt;高値!J45),3,""))</f>
      </c>
      <c r="AE45" s="684">
        <f>IF(終値!A45="","",IF(AND(高値!I45&gt;高値!H45,高値!I45&gt;高値!G45,高値!I45&gt;高値!J45,高値!I45&gt;高値!K45),4,""))</f>
      </c>
      <c r="AF45" s="684">
        <f>IF(終値!A45="","",IF(AND(高値!J45&gt;高値!I45,高値!J45&gt;高値!H45,高値!J45&gt;高値!K45,高値!J45&gt;高値!L45),5,""))</f>
      </c>
      <c r="AG45" s="684">
        <f>IF(終値!A45="","",IF(AND(高値!K45&gt;高値!J45,高値!K45&gt;高値!I45,高値!K45&gt;高値!L45,高値!K45&gt;高値!M45),6,""))</f>
      </c>
      <c r="AH45" s="684">
        <f>IF(終値!A45="","",IF(AND(高値!L45&gt;高値!K45,高値!L45&gt;高値!J45,高値!L45&gt;高値!M45,高値!L45&gt;高値!N45),7,""))</f>
      </c>
      <c r="AI45" s="684">
        <f>IF(終値!A45="","",IF(AND(高値!M45&gt;高値!L45,高値!M45&gt;高値!K45,高値!M45&gt;高値!N45,高値!M45&gt;高値!O45),8,""))</f>
      </c>
      <c r="AJ45" s="684">
        <f>IF(終値!A45="","",IF(AND(高値!N45&gt;高値!M45,高値!N45&gt;高値!L45,高値!N45&gt;高値!O45,高値!N45&gt;高値!P45),9,""))</f>
      </c>
      <c r="AK45" s="684">
        <f>IF(終値!A45="","",IF(AND(高値!O45&gt;高値!N45,高値!O45&gt;高値!M45,高値!O45&gt;高値!P45,高値!O45&gt;高値!Q45),10,""))</f>
      </c>
      <c r="AL45" s="684">
        <f>IF(終値!A45="","",IF(AND(高値!P45&gt;高値!O45,高値!P45&gt;高値!N45,高値!P45&gt;高値!Q45,高値!P45&gt;高値!R45),11,""))</f>
      </c>
      <c r="AM45" s="684">
        <f>IF(終値!A45="","",IF(AND(高値!Q45&gt;高値!P45,高値!Q45&gt;高値!O45,高値!Q45&gt;高値!R45,高値!Q45&gt;高値!S45),12,""))</f>
      </c>
      <c r="AN45" s="684">
        <f>IF(終値!A45="","",IF(AND(高値!R45&gt;高値!Q45,高値!R45&gt;高値!P45,高値!R45&gt;高値!S45,高値!R45&gt;高値!T45),13,""))</f>
      </c>
      <c r="AO45" s="684">
        <f>IF(終値!A45="","",IF(AND(高値!S45&gt;高値!R45,高値!S45&gt;高値!Q45,高値!S45&gt;高値!T45,高値!S45&gt;高値!U45),14,""))</f>
      </c>
      <c r="AP45" s="684">
        <f>IF(終値!A45="","",IF(AND(高値!T45&gt;高値!S45,高値!T45&gt;高値!R45,高値!T45&gt;高値!U45,高値!T45&gt;高値!V45),15,""))</f>
      </c>
      <c r="AQ45" s="684">
        <f>IF(終値!A45="","",IF(AND(高値!U45&gt;高値!T45,高値!U45&gt;高値!S45,高値!U45&gt;高値!V45,高値!U45&gt;高値!W45),16,""))</f>
      </c>
      <c r="AR45" s="684">
        <f>IF(終値!A45="","",IF(AND(高値!V45&gt;高値!U45,高値!V45&gt;高値!T45,高値!V45&gt;高値!W45,高値!V45&gt;高値!X45),17,""))</f>
      </c>
      <c r="AS45" s="684">
        <f>IF(終値!A45="","",IF(AND(高値!W45&gt;高値!V45,高値!W45&gt;高値!U45,高値!W45&gt;高値!X45,高値!W45&gt;高値!Y45),18,""))</f>
      </c>
      <c r="AT45" s="684">
        <f>IF(終値!A45="","",IF(AND(高値!X45&gt;高値!W45,高値!X45&gt;高値!V45,高値!X45&gt;高値!Y45,高値!X45&gt;高値!Z45),19,""))</f>
      </c>
      <c r="AU45" s="684">
        <f>IF(終値!A45="","",IF(AND(高値!Y45&gt;高値!X45,高値!Y45&gt;高値!W45,高値!Y45&gt;高値!Z45,高値!Y45&gt;高値!AA45),20,""))</f>
      </c>
      <c r="AV45" s="684">
        <f>IF(終値!A45="","",IF(AND(高値!Z45&gt;高値!Y45,高値!Z45&gt;高値!X45,高値!Z45&gt;高値!AA45,高値!Z45&gt;高値!AB45),21,""))</f>
      </c>
      <c r="AW45" s="684">
        <f>IF(終値!A45="","",IF(AND(高値!AA45&gt;高値!Z45,高値!AA45&gt;高値!Y45,高値!AA45&gt;高値!AB45,高値!AA45&gt;高値!AC45),22,""))</f>
      </c>
      <c r="AX45" s="684">
        <f>IF(終値!A45="","",IF(AND(高値!AB45&gt;高値!AA45,高値!AB45&gt;高値!Z45,高値!AB45&gt;高値!AC45,高値!AB45&gt;高値!AD45),23,""))</f>
      </c>
      <c r="AY45" s="684">
        <f>IF(終値!A45="","",IF(AND(高値!AC45&gt;高値!AB45,高値!AC45&gt;高値!AA45,高値!AC45&gt;高値!AD45,高値!AC45&gt;高値!AE45),24,""))</f>
      </c>
      <c r="AZ45" s="684">
        <f>IF(終値!A45="","",IF(AND(高値!AD45&gt;高値!AC45,高値!AD45&gt;高値!AB45,高値!AD45&gt;高値!AE45,高値!AD45&gt;高値!AF45),25,""))</f>
      </c>
      <c r="BA45" s="684">
        <f>IF(終値!A45="","",IF(AND(高値!AE45&gt;高値!AD45,高値!AE45&gt;高値!AC45,高値!AE45&gt;高値!AF45,高値!AE45&gt;高値!AG45),26,""))</f>
      </c>
      <c r="BB45" s="684">
        <f>IF(終値!A45="","",IF(AND(高値!AF45&gt;高値!AE45,高値!AF45&gt;高値!AD45,高値!AF45&gt;高値!AG45,高値!AF45&gt;高値!AH45),27,""))</f>
      </c>
      <c r="BC45" s="684">
        <f>IF(終値!A45="","",IF(AND(高値!AG45&gt;高値!AF45,高値!AG45&gt;高値!AE45,高値!AG45&gt;高値!AH45,高値!AG45&gt;高値!AI45),28,""))</f>
      </c>
      <c r="BD45" s="684">
        <f>COUNT($B45:$AB45)</f>
      </c>
      <c r="BE45" s="684">
        <f>IF($BD45&gt;=2,MIN($B45:$AB45),"")</f>
      </c>
      <c r="BF45" s="684">
        <f>IF($BD45&gt;=2,SMALL($B45:$AB45,2),"")</f>
      </c>
      <c r="BG45" s="684">
        <f>IF($BE45="","",INDEX(安値!$E45:$CZ45,1,$BE45+1))</f>
      </c>
      <c r="BH45" s="684">
        <f>IF($BF45="","",INDEX(安値!$E45:$CZ45,1,$BF45+1))</f>
      </c>
      <c r="BI45" s="684">
        <f>IF($BF45="","",MAX(INDEX(高値!$E45:$CZ45,1,$BE45+1):INDEX(高値!$E45:$CZ45,1,$BF45+1)))</f>
      </c>
      <c r="BJ45" s="684">
        <f>IF($BF45="","",AVERAGE(INDEX(終値!$E45:$CZ45,1,$BF45+1):INDEX(終値!$E45:$CZ45,1,$BF45+20))-2*STDEVP(INDEX(終値!$E45:$CZ45,1,$BF45+1):INDEX(終値!$E45:$CZ45,1,$BF45+20)))</f>
      </c>
      <c r="BK45" s="684">
        <f>IF($BE45="","",AVERAGE(INDEX(終値!$E45:$CZ45,1,$BE45+1):INDEX(終値!$E45:$CZ45,1,$BE45+20))-2*STDEVP(INDEX(終値!$E45:$CZ45,1,$BE45+1):INDEX(終値!$E45:$CZ45,1,$BE45+20)))</f>
      </c>
      <c r="BL45" s="684">
        <f>COUNT($AC45:$BC45)</f>
      </c>
      <c r="BM45" s="684">
        <f>IF($BL45&gt;=2,MIN($AC45:$BC45),"")</f>
      </c>
      <c r="BN45" s="684">
        <f>IF($BL45&gt;=2,SMALL($AC45:$BC45,2),"")</f>
      </c>
      <c r="BO45" s="684">
        <f>IF($BM45="","",INDEX(高値!$E45:$CZ45,1,$BM45+1))</f>
      </c>
      <c r="BP45" s="684">
        <f>IF($BN45="","",INDEX(高値!$E45:$CZ45,1,$BN45+1))</f>
      </c>
      <c r="BQ45" s="684">
        <f>IF($BN45="","",MIN(INDEX(安値!$E45:$CZ45,1,$BM45+1):INDEX(安値!$E45:$CZ45,1,$BN45+1)))</f>
      </c>
      <c r="BR45" s="684">
        <f>IF($BN45="","",AVERAGE(INDEX(終値!$E45:$CZ45,1,$BN45+1):INDEX(終値!$E45:$CZ45,1,$BN45+20))+2*STDEVP(INDEX(終値!$E45:$CZ45,1,$BN45+1):INDEX(終値!$E45:$CZ45,1,$BN45+20)))</f>
      </c>
      <c r="BS45" s="684">
        <f>IF($BM45="","",AVERAGE(INDEX(終値!$E45:$CZ45,1,$BM45+1):INDEX(終値!$E45:$CZ45,1,$BM45+20))+2*STDEVP(INDEX(終値!$E45:$CZ45,1,$BM45+1):INDEX(終値!$E45:$CZ45,1,$BM45+20)))</f>
      </c>
      <c r="BT45" s="681">
        <f>IFERROR(IF(AND($BD45&gt;=2,ABS($BG45-$BH45)/$BH45&lt;=BB設定!$B$12,$BI45&gt;=MAX($BH45,$BG45)*(1+BB設定!$B$13),終値!E45&gt;$BG45),IF(OR(終値!E45&gt;=$BI45,AND($BH45&lt;$BJ45,$BG45&gt;=$BK45)),"二番底W▲","二番底W形成"),IF(AND($BL45&gt;=2,ABS($BO45-$BP45)/$BP45&lt;=BB設定!$B$12,$BQ45&lt;=MIN($BP45,$BO45)*(1-BB設定!$B$13),終値!E45&lt;$BO45),IF(OR(終値!E45&lt;=$BQ45,AND($BP45&gt;$BR45,$BO45&lt;=$BS45)),"二番天井M▼","二番天井M形成"),"－")),"－")</f>
      </c>
    </row>
    <row r="46">
      <c r="B46" s="684">
        <f>IF(終値!A46="","",IF(AND(安値!G46&lt;安値!F46,安値!G46&lt;安値!E46,安値!G46&lt;安値!H46,安値!G46&lt;安値!I46),2,""))</f>
      </c>
      <c r="C46" s="684">
        <f>IF(終値!A46="","",IF(AND(安値!H46&lt;安値!G46,安値!H46&lt;安値!F46,安値!H46&lt;安値!I46,安値!H46&lt;安値!J46),3,""))</f>
      </c>
      <c r="D46" s="684">
        <f>IF(終値!A46="","",IF(AND(安値!I46&lt;安値!H46,安値!I46&lt;安値!G46,安値!I46&lt;安値!J46,安値!I46&lt;安値!K46),4,""))</f>
      </c>
      <c r="E46" s="684">
        <f>IF(終値!A46="","",IF(AND(安値!J46&lt;安値!I46,安値!J46&lt;安値!H46,安値!J46&lt;安値!K46,安値!J46&lt;安値!L46),5,""))</f>
      </c>
      <c r="F46" s="684">
        <f>IF(終値!A46="","",IF(AND(安値!K46&lt;安値!J46,安値!K46&lt;安値!I46,安値!K46&lt;安値!L46,安値!K46&lt;安値!M46),6,""))</f>
      </c>
      <c r="G46" s="684">
        <f>IF(終値!A46="","",IF(AND(安値!L46&lt;安値!K46,安値!L46&lt;安値!J46,安値!L46&lt;安値!M46,安値!L46&lt;安値!N46),7,""))</f>
      </c>
      <c r="H46" s="684">
        <f>IF(終値!A46="","",IF(AND(安値!M46&lt;安値!L46,安値!M46&lt;安値!K46,安値!M46&lt;安値!N46,安値!M46&lt;安値!O46),8,""))</f>
      </c>
      <c r="I46" s="684">
        <f>IF(終値!A46="","",IF(AND(安値!N46&lt;安値!M46,安値!N46&lt;安値!L46,安値!N46&lt;安値!O46,安値!N46&lt;安値!P46),9,""))</f>
      </c>
      <c r="J46" s="684">
        <f>IF(終値!A46="","",IF(AND(安値!O46&lt;安値!N46,安値!O46&lt;安値!M46,安値!O46&lt;安値!P46,安値!O46&lt;安値!Q46),10,""))</f>
      </c>
      <c r="K46" s="684">
        <f>IF(終値!A46="","",IF(AND(安値!P46&lt;安値!O46,安値!P46&lt;安値!N46,安値!P46&lt;安値!Q46,安値!P46&lt;安値!R46),11,""))</f>
      </c>
      <c r="L46" s="684">
        <f>IF(終値!A46="","",IF(AND(安値!Q46&lt;安値!P46,安値!Q46&lt;安値!O46,安値!Q46&lt;安値!R46,安値!Q46&lt;安値!S46),12,""))</f>
      </c>
      <c r="M46" s="684">
        <f>IF(終値!A46="","",IF(AND(安値!R46&lt;安値!Q46,安値!R46&lt;安値!P46,安値!R46&lt;安値!S46,安値!R46&lt;安値!T46),13,""))</f>
      </c>
      <c r="N46" s="684">
        <f>IF(終値!A46="","",IF(AND(安値!S46&lt;安値!R46,安値!S46&lt;安値!Q46,安値!S46&lt;安値!T46,安値!S46&lt;安値!U46),14,""))</f>
      </c>
      <c r="O46" s="684">
        <f>IF(終値!A46="","",IF(AND(安値!T46&lt;安値!S46,安値!T46&lt;安値!R46,安値!T46&lt;安値!U46,安値!T46&lt;安値!V46),15,""))</f>
      </c>
      <c r="P46" s="684">
        <f>IF(終値!A46="","",IF(AND(安値!U46&lt;安値!T46,安値!U46&lt;安値!S46,安値!U46&lt;安値!V46,安値!U46&lt;安値!W46),16,""))</f>
      </c>
      <c r="Q46" s="684">
        <f>IF(終値!A46="","",IF(AND(安値!V46&lt;安値!U46,安値!V46&lt;安値!T46,安値!V46&lt;安値!W46,安値!V46&lt;安値!X46),17,""))</f>
      </c>
      <c r="R46" s="684">
        <f>IF(終値!A46="","",IF(AND(安値!W46&lt;安値!V46,安値!W46&lt;安値!U46,安値!W46&lt;安値!X46,安値!W46&lt;安値!Y46),18,""))</f>
      </c>
      <c r="S46" s="684">
        <f>IF(終値!A46="","",IF(AND(安値!X46&lt;安値!W46,安値!X46&lt;安値!V46,安値!X46&lt;安値!Y46,安値!X46&lt;安値!Z46),19,""))</f>
      </c>
      <c r="T46" s="684">
        <f>IF(終値!A46="","",IF(AND(安値!Y46&lt;安値!X46,安値!Y46&lt;安値!W46,安値!Y46&lt;安値!Z46,安値!Y46&lt;安値!AA46),20,""))</f>
      </c>
      <c r="U46" s="684">
        <f>IF(終値!A46="","",IF(AND(安値!Z46&lt;安値!Y46,安値!Z46&lt;安値!X46,安値!Z46&lt;安値!AA46,安値!Z46&lt;安値!AB46),21,""))</f>
      </c>
      <c r="V46" s="684">
        <f>IF(終値!A46="","",IF(AND(安値!AA46&lt;安値!Z46,安値!AA46&lt;安値!Y46,安値!AA46&lt;安値!AB46,安値!AA46&lt;安値!AC46),22,""))</f>
      </c>
      <c r="W46" s="684">
        <f>IF(終値!A46="","",IF(AND(安値!AB46&lt;安値!AA46,安値!AB46&lt;安値!Z46,安値!AB46&lt;安値!AC46,安値!AB46&lt;安値!AD46),23,""))</f>
      </c>
      <c r="X46" s="684">
        <f>IF(終値!A46="","",IF(AND(安値!AC46&lt;安値!AB46,安値!AC46&lt;安値!AA46,安値!AC46&lt;安値!AD46,安値!AC46&lt;安値!AE46),24,""))</f>
      </c>
      <c r="Y46" s="684">
        <f>IF(終値!A46="","",IF(AND(安値!AD46&lt;安値!AC46,安値!AD46&lt;安値!AB46,安値!AD46&lt;安値!AE46,安値!AD46&lt;安値!AF46),25,""))</f>
      </c>
      <c r="Z46" s="684">
        <f>IF(終値!A46="","",IF(AND(安値!AE46&lt;安値!AD46,安値!AE46&lt;安値!AC46,安値!AE46&lt;安値!AF46,安値!AE46&lt;安値!AG46),26,""))</f>
      </c>
      <c r="AA46" s="684">
        <f>IF(終値!A46="","",IF(AND(安値!AF46&lt;安値!AE46,安値!AF46&lt;安値!AD46,安値!AF46&lt;安値!AG46,安値!AF46&lt;安値!AH46),27,""))</f>
      </c>
      <c r="AB46" s="684">
        <f>IF(終値!A46="","",IF(AND(安値!AG46&lt;安値!AF46,安値!AG46&lt;安値!AE46,安値!AG46&lt;安値!AH46,安値!AG46&lt;安値!AI46),28,""))</f>
      </c>
      <c r="AC46" s="684">
        <f>IF(終値!A46="","",IF(AND(高値!G46&gt;高値!F46,高値!G46&gt;高値!E46,高値!G46&gt;高値!H46,高値!G46&gt;高値!I46),2,""))</f>
      </c>
      <c r="AD46" s="684">
        <f>IF(終値!A46="","",IF(AND(高値!H46&gt;高値!G46,高値!H46&gt;高値!F46,高値!H46&gt;高値!I46,高値!H46&gt;高値!J46),3,""))</f>
      </c>
      <c r="AE46" s="684">
        <f>IF(終値!A46="","",IF(AND(高値!I46&gt;高値!H46,高値!I46&gt;高値!G46,高値!I46&gt;高値!J46,高値!I46&gt;高値!K46),4,""))</f>
      </c>
      <c r="AF46" s="684">
        <f>IF(終値!A46="","",IF(AND(高値!J46&gt;高値!I46,高値!J46&gt;高値!H46,高値!J46&gt;高値!K46,高値!J46&gt;高値!L46),5,""))</f>
      </c>
      <c r="AG46" s="684">
        <f>IF(終値!A46="","",IF(AND(高値!K46&gt;高値!J46,高値!K46&gt;高値!I46,高値!K46&gt;高値!L46,高値!K46&gt;高値!M46),6,""))</f>
      </c>
      <c r="AH46" s="684">
        <f>IF(終値!A46="","",IF(AND(高値!L46&gt;高値!K46,高値!L46&gt;高値!J46,高値!L46&gt;高値!M46,高値!L46&gt;高値!N46),7,""))</f>
      </c>
      <c r="AI46" s="684">
        <f>IF(終値!A46="","",IF(AND(高値!M46&gt;高値!L46,高値!M46&gt;高値!K46,高値!M46&gt;高値!N46,高値!M46&gt;高値!O46),8,""))</f>
      </c>
      <c r="AJ46" s="684">
        <f>IF(終値!A46="","",IF(AND(高値!N46&gt;高値!M46,高値!N46&gt;高値!L46,高値!N46&gt;高値!O46,高値!N46&gt;高値!P46),9,""))</f>
      </c>
      <c r="AK46" s="684">
        <f>IF(終値!A46="","",IF(AND(高値!O46&gt;高値!N46,高値!O46&gt;高値!M46,高値!O46&gt;高値!P46,高値!O46&gt;高値!Q46),10,""))</f>
      </c>
      <c r="AL46" s="684">
        <f>IF(終値!A46="","",IF(AND(高値!P46&gt;高値!O46,高値!P46&gt;高値!N46,高値!P46&gt;高値!Q46,高値!P46&gt;高値!R46),11,""))</f>
      </c>
      <c r="AM46" s="684">
        <f>IF(終値!A46="","",IF(AND(高値!Q46&gt;高値!P46,高値!Q46&gt;高値!O46,高値!Q46&gt;高値!R46,高値!Q46&gt;高値!S46),12,""))</f>
      </c>
      <c r="AN46" s="684">
        <f>IF(終値!A46="","",IF(AND(高値!R46&gt;高値!Q46,高値!R46&gt;高値!P46,高値!R46&gt;高値!S46,高値!R46&gt;高値!T46),13,""))</f>
      </c>
      <c r="AO46" s="684">
        <f>IF(終値!A46="","",IF(AND(高値!S46&gt;高値!R46,高値!S46&gt;高値!Q46,高値!S46&gt;高値!T46,高値!S46&gt;高値!U46),14,""))</f>
      </c>
      <c r="AP46" s="684">
        <f>IF(終値!A46="","",IF(AND(高値!T46&gt;高値!S46,高値!T46&gt;高値!R46,高値!T46&gt;高値!U46,高値!T46&gt;高値!V46),15,""))</f>
      </c>
      <c r="AQ46" s="684">
        <f>IF(終値!A46="","",IF(AND(高値!U46&gt;高値!T46,高値!U46&gt;高値!S46,高値!U46&gt;高値!V46,高値!U46&gt;高値!W46),16,""))</f>
      </c>
      <c r="AR46" s="684">
        <f>IF(終値!A46="","",IF(AND(高値!V46&gt;高値!U46,高値!V46&gt;高値!T46,高値!V46&gt;高値!W46,高値!V46&gt;高値!X46),17,""))</f>
      </c>
      <c r="AS46" s="684">
        <f>IF(終値!A46="","",IF(AND(高値!W46&gt;高値!V46,高値!W46&gt;高値!U46,高値!W46&gt;高値!X46,高値!W46&gt;高値!Y46),18,""))</f>
      </c>
      <c r="AT46" s="684">
        <f>IF(終値!A46="","",IF(AND(高値!X46&gt;高値!W46,高値!X46&gt;高値!V46,高値!X46&gt;高値!Y46,高値!X46&gt;高値!Z46),19,""))</f>
      </c>
      <c r="AU46" s="684">
        <f>IF(終値!A46="","",IF(AND(高値!Y46&gt;高値!X46,高値!Y46&gt;高値!W46,高値!Y46&gt;高値!Z46,高値!Y46&gt;高値!AA46),20,""))</f>
      </c>
      <c r="AV46" s="684">
        <f>IF(終値!A46="","",IF(AND(高値!Z46&gt;高値!Y46,高値!Z46&gt;高値!X46,高値!Z46&gt;高値!AA46,高値!Z46&gt;高値!AB46),21,""))</f>
      </c>
      <c r="AW46" s="684">
        <f>IF(終値!A46="","",IF(AND(高値!AA46&gt;高値!Z46,高値!AA46&gt;高値!Y46,高値!AA46&gt;高値!AB46,高値!AA46&gt;高値!AC46),22,""))</f>
      </c>
      <c r="AX46" s="684">
        <f>IF(終値!A46="","",IF(AND(高値!AB46&gt;高値!AA46,高値!AB46&gt;高値!Z46,高値!AB46&gt;高値!AC46,高値!AB46&gt;高値!AD46),23,""))</f>
      </c>
      <c r="AY46" s="684">
        <f>IF(終値!A46="","",IF(AND(高値!AC46&gt;高値!AB46,高値!AC46&gt;高値!AA46,高値!AC46&gt;高値!AD46,高値!AC46&gt;高値!AE46),24,""))</f>
      </c>
      <c r="AZ46" s="684">
        <f>IF(終値!A46="","",IF(AND(高値!AD46&gt;高値!AC46,高値!AD46&gt;高値!AB46,高値!AD46&gt;高値!AE46,高値!AD46&gt;高値!AF46),25,""))</f>
      </c>
      <c r="BA46" s="684">
        <f>IF(終値!A46="","",IF(AND(高値!AE46&gt;高値!AD46,高値!AE46&gt;高値!AC46,高値!AE46&gt;高値!AF46,高値!AE46&gt;高値!AG46),26,""))</f>
      </c>
      <c r="BB46" s="684">
        <f>IF(終値!A46="","",IF(AND(高値!AF46&gt;高値!AE46,高値!AF46&gt;高値!AD46,高値!AF46&gt;高値!AG46,高値!AF46&gt;高値!AH46),27,""))</f>
      </c>
      <c r="BC46" s="684">
        <f>IF(終値!A46="","",IF(AND(高値!AG46&gt;高値!AF46,高値!AG46&gt;高値!AE46,高値!AG46&gt;高値!AH46,高値!AG46&gt;高値!AI46),28,""))</f>
      </c>
      <c r="BD46" s="684">
        <f>COUNT($B46:$AB46)</f>
      </c>
      <c r="BE46" s="684">
        <f>IF($BD46&gt;=2,MIN($B46:$AB46),"")</f>
      </c>
      <c r="BF46" s="684">
        <f>IF($BD46&gt;=2,SMALL($B46:$AB46,2),"")</f>
      </c>
      <c r="BG46" s="684">
        <f>IF($BE46="","",INDEX(安値!$E46:$CZ46,1,$BE46+1))</f>
      </c>
      <c r="BH46" s="684">
        <f>IF($BF46="","",INDEX(安値!$E46:$CZ46,1,$BF46+1))</f>
      </c>
      <c r="BI46" s="684">
        <f>IF($BF46="","",MAX(INDEX(高値!$E46:$CZ46,1,$BE46+1):INDEX(高値!$E46:$CZ46,1,$BF46+1)))</f>
      </c>
      <c r="BJ46" s="684">
        <f>IF($BF46="","",AVERAGE(INDEX(終値!$E46:$CZ46,1,$BF46+1):INDEX(終値!$E46:$CZ46,1,$BF46+20))-2*STDEVP(INDEX(終値!$E46:$CZ46,1,$BF46+1):INDEX(終値!$E46:$CZ46,1,$BF46+20)))</f>
      </c>
      <c r="BK46" s="684">
        <f>IF($BE46="","",AVERAGE(INDEX(終値!$E46:$CZ46,1,$BE46+1):INDEX(終値!$E46:$CZ46,1,$BE46+20))-2*STDEVP(INDEX(終値!$E46:$CZ46,1,$BE46+1):INDEX(終値!$E46:$CZ46,1,$BE46+20)))</f>
      </c>
      <c r="BL46" s="684">
        <f>COUNT($AC46:$BC46)</f>
      </c>
      <c r="BM46" s="684">
        <f>IF($BL46&gt;=2,MIN($AC46:$BC46),"")</f>
      </c>
      <c r="BN46" s="684">
        <f>IF($BL46&gt;=2,SMALL($AC46:$BC46,2),"")</f>
      </c>
      <c r="BO46" s="684">
        <f>IF($BM46="","",INDEX(高値!$E46:$CZ46,1,$BM46+1))</f>
      </c>
      <c r="BP46" s="684">
        <f>IF($BN46="","",INDEX(高値!$E46:$CZ46,1,$BN46+1))</f>
      </c>
      <c r="BQ46" s="684">
        <f>IF($BN46="","",MIN(INDEX(安値!$E46:$CZ46,1,$BM46+1):INDEX(安値!$E46:$CZ46,1,$BN46+1)))</f>
      </c>
      <c r="BR46" s="684">
        <f>IF($BN46="","",AVERAGE(INDEX(終値!$E46:$CZ46,1,$BN46+1):INDEX(終値!$E46:$CZ46,1,$BN46+20))+2*STDEVP(INDEX(終値!$E46:$CZ46,1,$BN46+1):INDEX(終値!$E46:$CZ46,1,$BN46+20)))</f>
      </c>
      <c r="BS46" s="684">
        <f>IF($BM46="","",AVERAGE(INDEX(終値!$E46:$CZ46,1,$BM46+1):INDEX(終値!$E46:$CZ46,1,$BM46+20))+2*STDEVP(INDEX(終値!$E46:$CZ46,1,$BM46+1):INDEX(終値!$E46:$CZ46,1,$BM46+20)))</f>
      </c>
      <c r="BT46" s="681">
        <f>IFERROR(IF(AND($BD46&gt;=2,ABS($BG46-$BH46)/$BH46&lt;=BB設定!$B$12,$BI46&gt;=MAX($BH46,$BG46)*(1+BB設定!$B$13),終値!E46&gt;$BG46),IF(OR(終値!E46&gt;=$BI46,AND($BH46&lt;$BJ46,$BG46&gt;=$BK46)),"二番底W▲","二番底W形成"),IF(AND($BL46&gt;=2,ABS($BO46-$BP46)/$BP46&lt;=BB設定!$B$12,$BQ46&lt;=MIN($BP46,$BO46)*(1-BB設定!$B$13),終値!E46&lt;$BO46),IF(OR(終値!E46&lt;=$BQ46,AND($BP46&gt;$BR46,$BO46&lt;=$BS46)),"二番天井M▼","二番天井M形成"),"－")),"－")</f>
      </c>
    </row>
    <row r="47">
      <c r="B47" s="684">
        <f>IF(終値!A47="","",IF(AND(安値!G47&lt;安値!F47,安値!G47&lt;安値!E47,安値!G47&lt;安値!H47,安値!G47&lt;安値!I47),2,""))</f>
      </c>
      <c r="C47" s="684">
        <f>IF(終値!A47="","",IF(AND(安値!H47&lt;安値!G47,安値!H47&lt;安値!F47,安値!H47&lt;安値!I47,安値!H47&lt;安値!J47),3,""))</f>
      </c>
      <c r="D47" s="684">
        <f>IF(終値!A47="","",IF(AND(安値!I47&lt;安値!H47,安値!I47&lt;安値!G47,安値!I47&lt;安値!J47,安値!I47&lt;安値!K47),4,""))</f>
      </c>
      <c r="E47" s="684">
        <f>IF(終値!A47="","",IF(AND(安値!J47&lt;安値!I47,安値!J47&lt;安値!H47,安値!J47&lt;安値!K47,安値!J47&lt;安値!L47),5,""))</f>
      </c>
      <c r="F47" s="684">
        <f>IF(終値!A47="","",IF(AND(安値!K47&lt;安値!J47,安値!K47&lt;安値!I47,安値!K47&lt;安値!L47,安値!K47&lt;安値!M47),6,""))</f>
      </c>
      <c r="G47" s="684">
        <f>IF(終値!A47="","",IF(AND(安値!L47&lt;安値!K47,安値!L47&lt;安値!J47,安値!L47&lt;安値!M47,安値!L47&lt;安値!N47),7,""))</f>
      </c>
      <c r="H47" s="684">
        <f>IF(終値!A47="","",IF(AND(安値!M47&lt;安値!L47,安値!M47&lt;安値!K47,安値!M47&lt;安値!N47,安値!M47&lt;安値!O47),8,""))</f>
      </c>
      <c r="I47" s="684">
        <f>IF(終値!A47="","",IF(AND(安値!N47&lt;安値!M47,安値!N47&lt;安値!L47,安値!N47&lt;安値!O47,安値!N47&lt;安値!P47),9,""))</f>
      </c>
      <c r="J47" s="684">
        <f>IF(終値!A47="","",IF(AND(安値!O47&lt;安値!N47,安値!O47&lt;安値!M47,安値!O47&lt;安値!P47,安値!O47&lt;安値!Q47),10,""))</f>
      </c>
      <c r="K47" s="684">
        <f>IF(終値!A47="","",IF(AND(安値!P47&lt;安値!O47,安値!P47&lt;安値!N47,安値!P47&lt;安値!Q47,安値!P47&lt;安値!R47),11,""))</f>
      </c>
      <c r="L47" s="684">
        <f>IF(終値!A47="","",IF(AND(安値!Q47&lt;安値!P47,安値!Q47&lt;安値!O47,安値!Q47&lt;安値!R47,安値!Q47&lt;安値!S47),12,""))</f>
      </c>
      <c r="M47" s="684">
        <f>IF(終値!A47="","",IF(AND(安値!R47&lt;安値!Q47,安値!R47&lt;安値!P47,安値!R47&lt;安値!S47,安値!R47&lt;安値!T47),13,""))</f>
      </c>
      <c r="N47" s="684">
        <f>IF(終値!A47="","",IF(AND(安値!S47&lt;安値!R47,安値!S47&lt;安値!Q47,安値!S47&lt;安値!T47,安値!S47&lt;安値!U47),14,""))</f>
      </c>
      <c r="O47" s="684">
        <f>IF(終値!A47="","",IF(AND(安値!T47&lt;安値!S47,安値!T47&lt;安値!R47,安値!T47&lt;安値!U47,安値!T47&lt;安値!V47),15,""))</f>
      </c>
      <c r="P47" s="684">
        <f>IF(終値!A47="","",IF(AND(安値!U47&lt;安値!T47,安値!U47&lt;安値!S47,安値!U47&lt;安値!V47,安値!U47&lt;安値!W47),16,""))</f>
      </c>
      <c r="Q47" s="684">
        <f>IF(終値!A47="","",IF(AND(安値!V47&lt;安値!U47,安値!V47&lt;安値!T47,安値!V47&lt;安値!W47,安値!V47&lt;安値!X47),17,""))</f>
      </c>
      <c r="R47" s="684">
        <f>IF(終値!A47="","",IF(AND(安値!W47&lt;安値!V47,安値!W47&lt;安値!U47,安値!W47&lt;安値!X47,安値!W47&lt;安値!Y47),18,""))</f>
      </c>
      <c r="S47" s="684">
        <f>IF(終値!A47="","",IF(AND(安値!X47&lt;安値!W47,安値!X47&lt;安値!V47,安値!X47&lt;安値!Y47,安値!X47&lt;安値!Z47),19,""))</f>
      </c>
      <c r="T47" s="684">
        <f>IF(終値!A47="","",IF(AND(安値!Y47&lt;安値!X47,安値!Y47&lt;安値!W47,安値!Y47&lt;安値!Z47,安値!Y47&lt;安値!AA47),20,""))</f>
      </c>
      <c r="U47" s="684">
        <f>IF(終値!A47="","",IF(AND(安値!Z47&lt;安値!Y47,安値!Z47&lt;安値!X47,安値!Z47&lt;安値!AA47,安値!Z47&lt;安値!AB47),21,""))</f>
      </c>
      <c r="V47" s="684">
        <f>IF(終値!A47="","",IF(AND(安値!AA47&lt;安値!Z47,安値!AA47&lt;安値!Y47,安値!AA47&lt;安値!AB47,安値!AA47&lt;安値!AC47),22,""))</f>
      </c>
      <c r="W47" s="684">
        <f>IF(終値!A47="","",IF(AND(安値!AB47&lt;安値!AA47,安値!AB47&lt;安値!Z47,安値!AB47&lt;安値!AC47,安値!AB47&lt;安値!AD47),23,""))</f>
      </c>
      <c r="X47" s="684">
        <f>IF(終値!A47="","",IF(AND(安値!AC47&lt;安値!AB47,安値!AC47&lt;安値!AA47,安値!AC47&lt;安値!AD47,安値!AC47&lt;安値!AE47),24,""))</f>
      </c>
      <c r="Y47" s="684">
        <f>IF(終値!A47="","",IF(AND(安値!AD47&lt;安値!AC47,安値!AD47&lt;安値!AB47,安値!AD47&lt;安値!AE47,安値!AD47&lt;安値!AF47),25,""))</f>
      </c>
      <c r="Z47" s="684">
        <f>IF(終値!A47="","",IF(AND(安値!AE47&lt;安値!AD47,安値!AE47&lt;安値!AC47,安値!AE47&lt;安値!AF47,安値!AE47&lt;安値!AG47),26,""))</f>
      </c>
      <c r="AA47" s="684">
        <f>IF(終値!A47="","",IF(AND(安値!AF47&lt;安値!AE47,安値!AF47&lt;安値!AD47,安値!AF47&lt;安値!AG47,安値!AF47&lt;安値!AH47),27,""))</f>
      </c>
      <c r="AB47" s="684">
        <f>IF(終値!A47="","",IF(AND(安値!AG47&lt;安値!AF47,安値!AG47&lt;安値!AE47,安値!AG47&lt;安値!AH47,安値!AG47&lt;安値!AI47),28,""))</f>
      </c>
      <c r="AC47" s="684">
        <f>IF(終値!A47="","",IF(AND(高値!G47&gt;高値!F47,高値!G47&gt;高値!E47,高値!G47&gt;高値!H47,高値!G47&gt;高値!I47),2,""))</f>
      </c>
      <c r="AD47" s="684">
        <f>IF(終値!A47="","",IF(AND(高値!H47&gt;高値!G47,高値!H47&gt;高値!F47,高値!H47&gt;高値!I47,高値!H47&gt;高値!J47),3,""))</f>
      </c>
      <c r="AE47" s="684">
        <f>IF(終値!A47="","",IF(AND(高値!I47&gt;高値!H47,高値!I47&gt;高値!G47,高値!I47&gt;高値!J47,高値!I47&gt;高値!K47),4,""))</f>
      </c>
      <c r="AF47" s="684">
        <f>IF(終値!A47="","",IF(AND(高値!J47&gt;高値!I47,高値!J47&gt;高値!H47,高値!J47&gt;高値!K47,高値!J47&gt;高値!L47),5,""))</f>
      </c>
      <c r="AG47" s="684">
        <f>IF(終値!A47="","",IF(AND(高値!K47&gt;高値!J47,高値!K47&gt;高値!I47,高値!K47&gt;高値!L47,高値!K47&gt;高値!M47),6,""))</f>
      </c>
      <c r="AH47" s="684">
        <f>IF(終値!A47="","",IF(AND(高値!L47&gt;高値!K47,高値!L47&gt;高値!J47,高値!L47&gt;高値!M47,高値!L47&gt;高値!N47),7,""))</f>
      </c>
      <c r="AI47" s="684">
        <f>IF(終値!A47="","",IF(AND(高値!M47&gt;高値!L47,高値!M47&gt;高値!K47,高値!M47&gt;高値!N47,高値!M47&gt;高値!O47),8,""))</f>
      </c>
      <c r="AJ47" s="684">
        <f>IF(終値!A47="","",IF(AND(高値!N47&gt;高値!M47,高値!N47&gt;高値!L47,高値!N47&gt;高値!O47,高値!N47&gt;高値!P47),9,""))</f>
      </c>
      <c r="AK47" s="684">
        <f>IF(終値!A47="","",IF(AND(高値!O47&gt;高値!N47,高値!O47&gt;高値!M47,高値!O47&gt;高値!P47,高値!O47&gt;高値!Q47),10,""))</f>
      </c>
      <c r="AL47" s="684">
        <f>IF(終値!A47="","",IF(AND(高値!P47&gt;高値!O47,高値!P47&gt;高値!N47,高値!P47&gt;高値!Q47,高値!P47&gt;高値!R47),11,""))</f>
      </c>
      <c r="AM47" s="684">
        <f>IF(終値!A47="","",IF(AND(高値!Q47&gt;高値!P47,高値!Q47&gt;高値!O47,高値!Q47&gt;高値!R47,高値!Q47&gt;高値!S47),12,""))</f>
      </c>
      <c r="AN47" s="684">
        <f>IF(終値!A47="","",IF(AND(高値!R47&gt;高値!Q47,高値!R47&gt;高値!P47,高値!R47&gt;高値!S47,高値!R47&gt;高値!T47),13,""))</f>
      </c>
      <c r="AO47" s="684">
        <f>IF(終値!A47="","",IF(AND(高値!S47&gt;高値!R47,高値!S47&gt;高値!Q47,高値!S47&gt;高値!T47,高値!S47&gt;高値!U47),14,""))</f>
      </c>
      <c r="AP47" s="684">
        <f>IF(終値!A47="","",IF(AND(高値!T47&gt;高値!S47,高値!T47&gt;高値!R47,高値!T47&gt;高値!U47,高値!T47&gt;高値!V47),15,""))</f>
      </c>
      <c r="AQ47" s="684">
        <f>IF(終値!A47="","",IF(AND(高値!U47&gt;高値!T47,高値!U47&gt;高値!S47,高値!U47&gt;高値!V47,高値!U47&gt;高値!W47),16,""))</f>
      </c>
      <c r="AR47" s="684">
        <f>IF(終値!A47="","",IF(AND(高値!V47&gt;高値!U47,高値!V47&gt;高値!T47,高値!V47&gt;高値!W47,高値!V47&gt;高値!X47),17,""))</f>
      </c>
      <c r="AS47" s="684">
        <f>IF(終値!A47="","",IF(AND(高値!W47&gt;高値!V47,高値!W47&gt;高値!U47,高値!W47&gt;高値!X47,高値!W47&gt;高値!Y47),18,""))</f>
      </c>
      <c r="AT47" s="684">
        <f>IF(終値!A47="","",IF(AND(高値!X47&gt;高値!W47,高値!X47&gt;高値!V47,高値!X47&gt;高値!Y47,高値!X47&gt;高値!Z47),19,""))</f>
      </c>
      <c r="AU47" s="684">
        <f>IF(終値!A47="","",IF(AND(高値!Y47&gt;高値!X47,高値!Y47&gt;高値!W47,高値!Y47&gt;高値!Z47,高値!Y47&gt;高値!AA47),20,""))</f>
      </c>
      <c r="AV47" s="684">
        <f>IF(終値!A47="","",IF(AND(高値!Z47&gt;高値!Y47,高値!Z47&gt;高値!X47,高値!Z47&gt;高値!AA47,高値!Z47&gt;高値!AB47),21,""))</f>
      </c>
      <c r="AW47" s="684">
        <f>IF(終値!A47="","",IF(AND(高値!AA47&gt;高値!Z47,高値!AA47&gt;高値!Y47,高値!AA47&gt;高値!AB47,高値!AA47&gt;高値!AC47),22,""))</f>
      </c>
      <c r="AX47" s="684">
        <f>IF(終値!A47="","",IF(AND(高値!AB47&gt;高値!AA47,高値!AB47&gt;高値!Z47,高値!AB47&gt;高値!AC47,高値!AB47&gt;高値!AD47),23,""))</f>
      </c>
      <c r="AY47" s="684">
        <f>IF(終値!A47="","",IF(AND(高値!AC47&gt;高値!AB47,高値!AC47&gt;高値!AA47,高値!AC47&gt;高値!AD47,高値!AC47&gt;高値!AE47),24,""))</f>
      </c>
      <c r="AZ47" s="684">
        <f>IF(終値!A47="","",IF(AND(高値!AD47&gt;高値!AC47,高値!AD47&gt;高値!AB47,高値!AD47&gt;高値!AE47,高値!AD47&gt;高値!AF47),25,""))</f>
      </c>
      <c r="BA47" s="684">
        <f>IF(終値!A47="","",IF(AND(高値!AE47&gt;高値!AD47,高値!AE47&gt;高値!AC47,高値!AE47&gt;高値!AF47,高値!AE47&gt;高値!AG47),26,""))</f>
      </c>
      <c r="BB47" s="684">
        <f>IF(終値!A47="","",IF(AND(高値!AF47&gt;高値!AE47,高値!AF47&gt;高値!AD47,高値!AF47&gt;高値!AG47,高値!AF47&gt;高値!AH47),27,""))</f>
      </c>
      <c r="BC47" s="684">
        <f>IF(終値!A47="","",IF(AND(高値!AG47&gt;高値!AF47,高値!AG47&gt;高値!AE47,高値!AG47&gt;高値!AH47,高値!AG47&gt;高値!AI47),28,""))</f>
      </c>
      <c r="BD47" s="684">
        <f>COUNT($B47:$AB47)</f>
      </c>
      <c r="BE47" s="684">
        <f>IF($BD47&gt;=2,MIN($B47:$AB47),"")</f>
      </c>
      <c r="BF47" s="684">
        <f>IF($BD47&gt;=2,SMALL($B47:$AB47,2),"")</f>
      </c>
      <c r="BG47" s="684">
        <f>IF($BE47="","",INDEX(安値!$E47:$CZ47,1,$BE47+1))</f>
      </c>
      <c r="BH47" s="684">
        <f>IF($BF47="","",INDEX(安値!$E47:$CZ47,1,$BF47+1))</f>
      </c>
      <c r="BI47" s="684">
        <f>IF($BF47="","",MAX(INDEX(高値!$E47:$CZ47,1,$BE47+1):INDEX(高値!$E47:$CZ47,1,$BF47+1)))</f>
      </c>
      <c r="BJ47" s="684">
        <f>IF($BF47="","",AVERAGE(INDEX(終値!$E47:$CZ47,1,$BF47+1):INDEX(終値!$E47:$CZ47,1,$BF47+20))-2*STDEVP(INDEX(終値!$E47:$CZ47,1,$BF47+1):INDEX(終値!$E47:$CZ47,1,$BF47+20)))</f>
      </c>
      <c r="BK47" s="684">
        <f>IF($BE47="","",AVERAGE(INDEX(終値!$E47:$CZ47,1,$BE47+1):INDEX(終値!$E47:$CZ47,1,$BE47+20))-2*STDEVP(INDEX(終値!$E47:$CZ47,1,$BE47+1):INDEX(終値!$E47:$CZ47,1,$BE47+20)))</f>
      </c>
      <c r="BL47" s="684">
        <f>COUNT($AC47:$BC47)</f>
      </c>
      <c r="BM47" s="684">
        <f>IF($BL47&gt;=2,MIN($AC47:$BC47),"")</f>
      </c>
      <c r="BN47" s="684">
        <f>IF($BL47&gt;=2,SMALL($AC47:$BC47,2),"")</f>
      </c>
      <c r="BO47" s="684">
        <f>IF($BM47="","",INDEX(高値!$E47:$CZ47,1,$BM47+1))</f>
      </c>
      <c r="BP47" s="684">
        <f>IF($BN47="","",INDEX(高値!$E47:$CZ47,1,$BN47+1))</f>
      </c>
      <c r="BQ47" s="684">
        <f>IF($BN47="","",MIN(INDEX(安値!$E47:$CZ47,1,$BM47+1):INDEX(安値!$E47:$CZ47,1,$BN47+1)))</f>
      </c>
      <c r="BR47" s="684">
        <f>IF($BN47="","",AVERAGE(INDEX(終値!$E47:$CZ47,1,$BN47+1):INDEX(終値!$E47:$CZ47,1,$BN47+20))+2*STDEVP(INDEX(終値!$E47:$CZ47,1,$BN47+1):INDEX(終値!$E47:$CZ47,1,$BN47+20)))</f>
      </c>
      <c r="BS47" s="684">
        <f>IF($BM47="","",AVERAGE(INDEX(終値!$E47:$CZ47,1,$BM47+1):INDEX(終値!$E47:$CZ47,1,$BM47+20))+2*STDEVP(INDEX(終値!$E47:$CZ47,1,$BM47+1):INDEX(終値!$E47:$CZ47,1,$BM47+20)))</f>
      </c>
      <c r="BT47" s="681">
        <f>IFERROR(IF(AND($BD47&gt;=2,ABS($BG47-$BH47)/$BH47&lt;=BB設定!$B$12,$BI47&gt;=MAX($BH47,$BG47)*(1+BB設定!$B$13),終値!E47&gt;$BG47),IF(OR(終値!E47&gt;=$BI47,AND($BH47&lt;$BJ47,$BG47&gt;=$BK47)),"二番底W▲","二番底W形成"),IF(AND($BL47&gt;=2,ABS($BO47-$BP47)/$BP47&lt;=BB設定!$B$12,$BQ47&lt;=MIN($BP47,$BO47)*(1-BB設定!$B$13),終値!E47&lt;$BO47),IF(OR(終値!E47&lt;=$BQ47,AND($BP47&gt;$BR47,$BO47&lt;=$BS47)),"二番天井M▼","二番天井M形成"),"－")),"－")</f>
      </c>
    </row>
    <row r="48">
      <c r="B48" s="684">
        <f>IF(終値!A48="","",IF(AND(安値!G48&lt;安値!F48,安値!G48&lt;安値!E48,安値!G48&lt;安値!H48,安値!G48&lt;安値!I48),2,""))</f>
      </c>
      <c r="C48" s="684">
        <f>IF(終値!A48="","",IF(AND(安値!H48&lt;安値!G48,安値!H48&lt;安値!F48,安値!H48&lt;安値!I48,安値!H48&lt;安値!J48),3,""))</f>
      </c>
      <c r="D48" s="684">
        <f>IF(終値!A48="","",IF(AND(安値!I48&lt;安値!H48,安値!I48&lt;安値!G48,安値!I48&lt;安値!J48,安値!I48&lt;安値!K48),4,""))</f>
      </c>
      <c r="E48" s="684">
        <f>IF(終値!A48="","",IF(AND(安値!J48&lt;安値!I48,安値!J48&lt;安値!H48,安値!J48&lt;安値!K48,安値!J48&lt;安値!L48),5,""))</f>
      </c>
      <c r="F48" s="684">
        <f>IF(終値!A48="","",IF(AND(安値!K48&lt;安値!J48,安値!K48&lt;安値!I48,安値!K48&lt;安値!L48,安値!K48&lt;安値!M48),6,""))</f>
      </c>
      <c r="G48" s="684">
        <f>IF(終値!A48="","",IF(AND(安値!L48&lt;安値!K48,安値!L48&lt;安値!J48,安値!L48&lt;安値!M48,安値!L48&lt;安値!N48),7,""))</f>
      </c>
      <c r="H48" s="684">
        <f>IF(終値!A48="","",IF(AND(安値!M48&lt;安値!L48,安値!M48&lt;安値!K48,安値!M48&lt;安値!N48,安値!M48&lt;安値!O48),8,""))</f>
      </c>
      <c r="I48" s="684">
        <f>IF(終値!A48="","",IF(AND(安値!N48&lt;安値!M48,安値!N48&lt;安値!L48,安値!N48&lt;安値!O48,安値!N48&lt;安値!P48),9,""))</f>
      </c>
      <c r="J48" s="684">
        <f>IF(終値!A48="","",IF(AND(安値!O48&lt;安値!N48,安値!O48&lt;安値!M48,安値!O48&lt;安値!P48,安値!O48&lt;安値!Q48),10,""))</f>
      </c>
      <c r="K48" s="684">
        <f>IF(終値!A48="","",IF(AND(安値!P48&lt;安値!O48,安値!P48&lt;安値!N48,安値!P48&lt;安値!Q48,安値!P48&lt;安値!R48),11,""))</f>
      </c>
      <c r="L48" s="684">
        <f>IF(終値!A48="","",IF(AND(安値!Q48&lt;安値!P48,安値!Q48&lt;安値!O48,安値!Q48&lt;安値!R48,安値!Q48&lt;安値!S48),12,""))</f>
      </c>
      <c r="M48" s="684">
        <f>IF(終値!A48="","",IF(AND(安値!R48&lt;安値!Q48,安値!R48&lt;安値!P48,安値!R48&lt;安値!S48,安値!R48&lt;安値!T48),13,""))</f>
      </c>
      <c r="N48" s="684">
        <f>IF(終値!A48="","",IF(AND(安値!S48&lt;安値!R48,安値!S48&lt;安値!Q48,安値!S48&lt;安値!T48,安値!S48&lt;安値!U48),14,""))</f>
      </c>
      <c r="O48" s="684">
        <f>IF(終値!A48="","",IF(AND(安値!T48&lt;安値!S48,安値!T48&lt;安値!R48,安値!T48&lt;安値!U48,安値!T48&lt;安値!V48),15,""))</f>
      </c>
      <c r="P48" s="684">
        <f>IF(終値!A48="","",IF(AND(安値!U48&lt;安値!T48,安値!U48&lt;安値!S48,安値!U48&lt;安値!V48,安値!U48&lt;安値!W48),16,""))</f>
      </c>
      <c r="Q48" s="684">
        <f>IF(終値!A48="","",IF(AND(安値!V48&lt;安値!U48,安値!V48&lt;安値!T48,安値!V48&lt;安値!W48,安値!V48&lt;安値!X48),17,""))</f>
      </c>
      <c r="R48" s="684">
        <f>IF(終値!A48="","",IF(AND(安値!W48&lt;安値!V48,安値!W48&lt;安値!U48,安値!W48&lt;安値!X48,安値!W48&lt;安値!Y48),18,""))</f>
      </c>
      <c r="S48" s="684">
        <f>IF(終値!A48="","",IF(AND(安値!X48&lt;安値!W48,安値!X48&lt;安値!V48,安値!X48&lt;安値!Y48,安値!X48&lt;安値!Z48),19,""))</f>
      </c>
      <c r="T48" s="684">
        <f>IF(終値!A48="","",IF(AND(安値!Y48&lt;安値!X48,安値!Y48&lt;安値!W48,安値!Y48&lt;安値!Z48,安値!Y48&lt;安値!AA48),20,""))</f>
      </c>
      <c r="U48" s="684">
        <f>IF(終値!A48="","",IF(AND(安値!Z48&lt;安値!Y48,安値!Z48&lt;安値!X48,安値!Z48&lt;安値!AA48,安値!Z48&lt;安値!AB48),21,""))</f>
      </c>
      <c r="V48" s="684">
        <f>IF(終値!A48="","",IF(AND(安値!AA48&lt;安値!Z48,安値!AA48&lt;安値!Y48,安値!AA48&lt;安値!AB48,安値!AA48&lt;安値!AC48),22,""))</f>
      </c>
      <c r="W48" s="684">
        <f>IF(終値!A48="","",IF(AND(安値!AB48&lt;安値!AA48,安値!AB48&lt;安値!Z48,安値!AB48&lt;安値!AC48,安値!AB48&lt;安値!AD48),23,""))</f>
      </c>
      <c r="X48" s="684">
        <f>IF(終値!A48="","",IF(AND(安値!AC48&lt;安値!AB48,安値!AC48&lt;安値!AA48,安値!AC48&lt;安値!AD48,安値!AC48&lt;安値!AE48),24,""))</f>
      </c>
      <c r="Y48" s="684">
        <f>IF(終値!A48="","",IF(AND(安値!AD48&lt;安値!AC48,安値!AD48&lt;安値!AB48,安値!AD48&lt;安値!AE48,安値!AD48&lt;安値!AF48),25,""))</f>
      </c>
      <c r="Z48" s="684">
        <f>IF(終値!A48="","",IF(AND(安値!AE48&lt;安値!AD48,安値!AE48&lt;安値!AC48,安値!AE48&lt;安値!AF48,安値!AE48&lt;安値!AG48),26,""))</f>
      </c>
      <c r="AA48" s="684">
        <f>IF(終値!A48="","",IF(AND(安値!AF48&lt;安値!AE48,安値!AF48&lt;安値!AD48,安値!AF48&lt;安値!AG48,安値!AF48&lt;安値!AH48),27,""))</f>
      </c>
      <c r="AB48" s="684">
        <f>IF(終値!A48="","",IF(AND(安値!AG48&lt;安値!AF48,安値!AG48&lt;安値!AE48,安値!AG48&lt;安値!AH48,安値!AG48&lt;安値!AI48),28,""))</f>
      </c>
      <c r="AC48" s="684">
        <f>IF(終値!A48="","",IF(AND(高値!G48&gt;高値!F48,高値!G48&gt;高値!E48,高値!G48&gt;高値!H48,高値!G48&gt;高値!I48),2,""))</f>
      </c>
      <c r="AD48" s="684">
        <f>IF(終値!A48="","",IF(AND(高値!H48&gt;高値!G48,高値!H48&gt;高値!F48,高値!H48&gt;高値!I48,高値!H48&gt;高値!J48),3,""))</f>
      </c>
      <c r="AE48" s="684">
        <f>IF(終値!A48="","",IF(AND(高値!I48&gt;高値!H48,高値!I48&gt;高値!G48,高値!I48&gt;高値!J48,高値!I48&gt;高値!K48),4,""))</f>
      </c>
      <c r="AF48" s="684">
        <f>IF(終値!A48="","",IF(AND(高値!J48&gt;高値!I48,高値!J48&gt;高値!H48,高値!J48&gt;高値!K48,高値!J48&gt;高値!L48),5,""))</f>
      </c>
      <c r="AG48" s="684">
        <f>IF(終値!A48="","",IF(AND(高値!K48&gt;高値!J48,高値!K48&gt;高値!I48,高値!K48&gt;高値!L48,高値!K48&gt;高値!M48),6,""))</f>
      </c>
      <c r="AH48" s="684">
        <f>IF(終値!A48="","",IF(AND(高値!L48&gt;高値!K48,高値!L48&gt;高値!J48,高値!L48&gt;高値!M48,高値!L48&gt;高値!N48),7,""))</f>
      </c>
      <c r="AI48" s="684">
        <f>IF(終値!A48="","",IF(AND(高値!M48&gt;高値!L48,高値!M48&gt;高値!K48,高値!M48&gt;高値!N48,高値!M48&gt;高値!O48),8,""))</f>
      </c>
      <c r="AJ48" s="684">
        <f>IF(終値!A48="","",IF(AND(高値!N48&gt;高値!M48,高値!N48&gt;高値!L48,高値!N48&gt;高値!O48,高値!N48&gt;高値!P48),9,""))</f>
      </c>
      <c r="AK48" s="684">
        <f>IF(終値!A48="","",IF(AND(高値!O48&gt;高値!N48,高値!O48&gt;高値!M48,高値!O48&gt;高値!P48,高値!O48&gt;高値!Q48),10,""))</f>
      </c>
      <c r="AL48" s="684">
        <f>IF(終値!A48="","",IF(AND(高値!P48&gt;高値!O48,高値!P48&gt;高値!N48,高値!P48&gt;高値!Q48,高値!P48&gt;高値!R48),11,""))</f>
      </c>
      <c r="AM48" s="684">
        <f>IF(終値!A48="","",IF(AND(高値!Q48&gt;高値!P48,高値!Q48&gt;高値!O48,高値!Q48&gt;高値!R48,高値!Q48&gt;高値!S48),12,""))</f>
      </c>
      <c r="AN48" s="684">
        <f>IF(終値!A48="","",IF(AND(高値!R48&gt;高値!Q48,高値!R48&gt;高値!P48,高値!R48&gt;高値!S48,高値!R48&gt;高値!T48),13,""))</f>
      </c>
      <c r="AO48" s="684">
        <f>IF(終値!A48="","",IF(AND(高値!S48&gt;高値!R48,高値!S48&gt;高値!Q48,高値!S48&gt;高値!T48,高値!S48&gt;高値!U48),14,""))</f>
      </c>
      <c r="AP48" s="684">
        <f>IF(終値!A48="","",IF(AND(高値!T48&gt;高値!S48,高値!T48&gt;高値!R48,高値!T48&gt;高値!U48,高値!T48&gt;高値!V48),15,""))</f>
      </c>
      <c r="AQ48" s="684">
        <f>IF(終値!A48="","",IF(AND(高値!U48&gt;高値!T48,高値!U48&gt;高値!S48,高値!U48&gt;高値!V48,高値!U48&gt;高値!W48),16,""))</f>
      </c>
      <c r="AR48" s="684">
        <f>IF(終値!A48="","",IF(AND(高値!V48&gt;高値!U48,高値!V48&gt;高値!T48,高値!V48&gt;高値!W48,高値!V48&gt;高値!X48),17,""))</f>
      </c>
      <c r="AS48" s="684">
        <f>IF(終値!A48="","",IF(AND(高値!W48&gt;高値!V48,高値!W48&gt;高値!U48,高値!W48&gt;高値!X48,高値!W48&gt;高値!Y48),18,""))</f>
      </c>
      <c r="AT48" s="684">
        <f>IF(終値!A48="","",IF(AND(高値!X48&gt;高値!W48,高値!X48&gt;高値!V48,高値!X48&gt;高値!Y48,高値!X48&gt;高値!Z48),19,""))</f>
      </c>
      <c r="AU48" s="684">
        <f>IF(終値!A48="","",IF(AND(高値!Y48&gt;高値!X48,高値!Y48&gt;高値!W48,高値!Y48&gt;高値!Z48,高値!Y48&gt;高値!AA48),20,""))</f>
      </c>
      <c r="AV48" s="684">
        <f>IF(終値!A48="","",IF(AND(高値!Z48&gt;高値!Y48,高値!Z48&gt;高値!X48,高値!Z48&gt;高値!AA48,高値!Z48&gt;高値!AB48),21,""))</f>
      </c>
      <c r="AW48" s="684">
        <f>IF(終値!A48="","",IF(AND(高値!AA48&gt;高値!Z48,高値!AA48&gt;高値!Y48,高値!AA48&gt;高値!AB48,高値!AA48&gt;高値!AC48),22,""))</f>
      </c>
      <c r="AX48" s="684">
        <f>IF(終値!A48="","",IF(AND(高値!AB48&gt;高値!AA48,高値!AB48&gt;高値!Z48,高値!AB48&gt;高値!AC48,高値!AB48&gt;高値!AD48),23,""))</f>
      </c>
      <c r="AY48" s="684">
        <f>IF(終値!A48="","",IF(AND(高値!AC48&gt;高値!AB48,高値!AC48&gt;高値!AA48,高値!AC48&gt;高値!AD48,高値!AC48&gt;高値!AE48),24,""))</f>
      </c>
      <c r="AZ48" s="684">
        <f>IF(終値!A48="","",IF(AND(高値!AD48&gt;高値!AC48,高値!AD48&gt;高値!AB48,高値!AD48&gt;高値!AE48,高値!AD48&gt;高値!AF48),25,""))</f>
      </c>
      <c r="BA48" s="684">
        <f>IF(終値!A48="","",IF(AND(高値!AE48&gt;高値!AD48,高値!AE48&gt;高値!AC48,高値!AE48&gt;高値!AF48,高値!AE48&gt;高値!AG48),26,""))</f>
      </c>
      <c r="BB48" s="684">
        <f>IF(終値!A48="","",IF(AND(高値!AF48&gt;高値!AE48,高値!AF48&gt;高値!AD48,高値!AF48&gt;高値!AG48,高値!AF48&gt;高値!AH48),27,""))</f>
      </c>
      <c r="BC48" s="684">
        <f>IF(終値!A48="","",IF(AND(高値!AG48&gt;高値!AF48,高値!AG48&gt;高値!AE48,高値!AG48&gt;高値!AH48,高値!AG48&gt;高値!AI48),28,""))</f>
      </c>
      <c r="BD48" s="684">
        <f>COUNT($B48:$AB48)</f>
      </c>
      <c r="BE48" s="684">
        <f>IF($BD48&gt;=2,MIN($B48:$AB48),"")</f>
      </c>
      <c r="BF48" s="684">
        <f>IF($BD48&gt;=2,SMALL($B48:$AB48,2),"")</f>
      </c>
      <c r="BG48" s="684">
        <f>IF($BE48="","",INDEX(安値!$E48:$CZ48,1,$BE48+1))</f>
      </c>
      <c r="BH48" s="684">
        <f>IF($BF48="","",INDEX(安値!$E48:$CZ48,1,$BF48+1))</f>
      </c>
      <c r="BI48" s="684">
        <f>IF($BF48="","",MAX(INDEX(高値!$E48:$CZ48,1,$BE48+1):INDEX(高値!$E48:$CZ48,1,$BF48+1)))</f>
      </c>
      <c r="BJ48" s="684">
        <f>IF($BF48="","",AVERAGE(INDEX(終値!$E48:$CZ48,1,$BF48+1):INDEX(終値!$E48:$CZ48,1,$BF48+20))-2*STDEVP(INDEX(終値!$E48:$CZ48,1,$BF48+1):INDEX(終値!$E48:$CZ48,1,$BF48+20)))</f>
      </c>
      <c r="BK48" s="684">
        <f>IF($BE48="","",AVERAGE(INDEX(終値!$E48:$CZ48,1,$BE48+1):INDEX(終値!$E48:$CZ48,1,$BE48+20))-2*STDEVP(INDEX(終値!$E48:$CZ48,1,$BE48+1):INDEX(終値!$E48:$CZ48,1,$BE48+20)))</f>
      </c>
      <c r="BL48" s="684">
        <f>COUNT($AC48:$BC48)</f>
      </c>
      <c r="BM48" s="684">
        <f>IF($BL48&gt;=2,MIN($AC48:$BC48),"")</f>
      </c>
      <c r="BN48" s="684">
        <f>IF($BL48&gt;=2,SMALL($AC48:$BC48,2),"")</f>
      </c>
      <c r="BO48" s="684">
        <f>IF($BM48="","",INDEX(高値!$E48:$CZ48,1,$BM48+1))</f>
      </c>
      <c r="BP48" s="684">
        <f>IF($BN48="","",INDEX(高値!$E48:$CZ48,1,$BN48+1))</f>
      </c>
      <c r="BQ48" s="684">
        <f>IF($BN48="","",MIN(INDEX(安値!$E48:$CZ48,1,$BM48+1):INDEX(安値!$E48:$CZ48,1,$BN48+1)))</f>
      </c>
      <c r="BR48" s="684">
        <f>IF($BN48="","",AVERAGE(INDEX(終値!$E48:$CZ48,1,$BN48+1):INDEX(終値!$E48:$CZ48,1,$BN48+20))+2*STDEVP(INDEX(終値!$E48:$CZ48,1,$BN48+1):INDEX(終値!$E48:$CZ48,1,$BN48+20)))</f>
      </c>
      <c r="BS48" s="684">
        <f>IF($BM48="","",AVERAGE(INDEX(終値!$E48:$CZ48,1,$BM48+1):INDEX(終値!$E48:$CZ48,1,$BM48+20))+2*STDEVP(INDEX(終値!$E48:$CZ48,1,$BM48+1):INDEX(終値!$E48:$CZ48,1,$BM48+20)))</f>
      </c>
      <c r="BT48" s="681">
        <f>IFERROR(IF(AND($BD48&gt;=2,ABS($BG48-$BH48)/$BH48&lt;=BB設定!$B$12,$BI48&gt;=MAX($BH48,$BG48)*(1+BB設定!$B$13),終値!E48&gt;$BG48),IF(OR(終値!E48&gt;=$BI48,AND($BH48&lt;$BJ48,$BG48&gt;=$BK48)),"二番底W▲","二番底W形成"),IF(AND($BL48&gt;=2,ABS($BO48-$BP48)/$BP48&lt;=BB設定!$B$12,$BQ48&lt;=MIN($BP48,$BO48)*(1-BB設定!$B$13),終値!E48&lt;$BO48),IF(OR(終値!E48&lt;=$BQ48,AND($BP48&gt;$BR48,$BO48&lt;=$BS48)),"二番天井M▼","二番天井M形成"),"－")),"－")</f>
      </c>
    </row>
    <row r="49">
      <c r="B49" s="684">
        <f>IF(終値!A49="","",IF(AND(安値!G49&lt;安値!F49,安値!G49&lt;安値!E49,安値!G49&lt;安値!H49,安値!G49&lt;安値!I49),2,""))</f>
      </c>
      <c r="C49" s="684">
        <f>IF(終値!A49="","",IF(AND(安値!H49&lt;安値!G49,安値!H49&lt;安値!F49,安値!H49&lt;安値!I49,安値!H49&lt;安値!J49),3,""))</f>
      </c>
      <c r="D49" s="684">
        <f>IF(終値!A49="","",IF(AND(安値!I49&lt;安値!H49,安値!I49&lt;安値!G49,安値!I49&lt;安値!J49,安値!I49&lt;安値!K49),4,""))</f>
      </c>
      <c r="E49" s="684">
        <f>IF(終値!A49="","",IF(AND(安値!J49&lt;安値!I49,安値!J49&lt;安値!H49,安値!J49&lt;安値!K49,安値!J49&lt;安値!L49),5,""))</f>
      </c>
      <c r="F49" s="684">
        <f>IF(終値!A49="","",IF(AND(安値!K49&lt;安値!J49,安値!K49&lt;安値!I49,安値!K49&lt;安値!L49,安値!K49&lt;安値!M49),6,""))</f>
      </c>
      <c r="G49" s="684">
        <f>IF(終値!A49="","",IF(AND(安値!L49&lt;安値!K49,安値!L49&lt;安値!J49,安値!L49&lt;安値!M49,安値!L49&lt;安値!N49),7,""))</f>
      </c>
      <c r="H49" s="684">
        <f>IF(終値!A49="","",IF(AND(安値!M49&lt;安値!L49,安値!M49&lt;安値!K49,安値!M49&lt;安値!N49,安値!M49&lt;安値!O49),8,""))</f>
      </c>
      <c r="I49" s="684">
        <f>IF(終値!A49="","",IF(AND(安値!N49&lt;安値!M49,安値!N49&lt;安値!L49,安値!N49&lt;安値!O49,安値!N49&lt;安値!P49),9,""))</f>
      </c>
      <c r="J49" s="684">
        <f>IF(終値!A49="","",IF(AND(安値!O49&lt;安値!N49,安値!O49&lt;安値!M49,安値!O49&lt;安値!P49,安値!O49&lt;安値!Q49),10,""))</f>
      </c>
      <c r="K49" s="684">
        <f>IF(終値!A49="","",IF(AND(安値!P49&lt;安値!O49,安値!P49&lt;安値!N49,安値!P49&lt;安値!Q49,安値!P49&lt;安値!R49),11,""))</f>
      </c>
      <c r="L49" s="684">
        <f>IF(終値!A49="","",IF(AND(安値!Q49&lt;安値!P49,安値!Q49&lt;安値!O49,安値!Q49&lt;安値!R49,安値!Q49&lt;安値!S49),12,""))</f>
      </c>
      <c r="M49" s="684">
        <f>IF(終値!A49="","",IF(AND(安値!R49&lt;安値!Q49,安値!R49&lt;安値!P49,安値!R49&lt;安値!S49,安値!R49&lt;安値!T49),13,""))</f>
      </c>
      <c r="N49" s="684">
        <f>IF(終値!A49="","",IF(AND(安値!S49&lt;安値!R49,安値!S49&lt;安値!Q49,安値!S49&lt;安値!T49,安値!S49&lt;安値!U49),14,""))</f>
      </c>
      <c r="O49" s="684">
        <f>IF(終値!A49="","",IF(AND(安値!T49&lt;安値!S49,安値!T49&lt;安値!R49,安値!T49&lt;安値!U49,安値!T49&lt;安値!V49),15,""))</f>
      </c>
      <c r="P49" s="684">
        <f>IF(終値!A49="","",IF(AND(安値!U49&lt;安値!T49,安値!U49&lt;安値!S49,安値!U49&lt;安値!V49,安値!U49&lt;安値!W49),16,""))</f>
      </c>
      <c r="Q49" s="684">
        <f>IF(終値!A49="","",IF(AND(安値!V49&lt;安値!U49,安値!V49&lt;安値!T49,安値!V49&lt;安値!W49,安値!V49&lt;安値!X49),17,""))</f>
      </c>
      <c r="R49" s="684">
        <f>IF(終値!A49="","",IF(AND(安値!W49&lt;安値!V49,安値!W49&lt;安値!U49,安値!W49&lt;安値!X49,安値!W49&lt;安値!Y49),18,""))</f>
      </c>
      <c r="S49" s="684">
        <f>IF(終値!A49="","",IF(AND(安値!X49&lt;安値!W49,安値!X49&lt;安値!V49,安値!X49&lt;安値!Y49,安値!X49&lt;安値!Z49),19,""))</f>
      </c>
      <c r="T49" s="684">
        <f>IF(終値!A49="","",IF(AND(安値!Y49&lt;安値!X49,安値!Y49&lt;安値!W49,安値!Y49&lt;安値!Z49,安値!Y49&lt;安値!AA49),20,""))</f>
      </c>
      <c r="U49" s="684">
        <f>IF(終値!A49="","",IF(AND(安値!Z49&lt;安値!Y49,安値!Z49&lt;安値!X49,安値!Z49&lt;安値!AA49,安値!Z49&lt;安値!AB49),21,""))</f>
      </c>
      <c r="V49" s="684">
        <f>IF(終値!A49="","",IF(AND(安値!AA49&lt;安値!Z49,安値!AA49&lt;安値!Y49,安値!AA49&lt;安値!AB49,安値!AA49&lt;安値!AC49),22,""))</f>
      </c>
      <c r="W49" s="684">
        <f>IF(終値!A49="","",IF(AND(安値!AB49&lt;安値!AA49,安値!AB49&lt;安値!Z49,安値!AB49&lt;安値!AC49,安値!AB49&lt;安値!AD49),23,""))</f>
      </c>
      <c r="X49" s="684">
        <f>IF(終値!A49="","",IF(AND(安値!AC49&lt;安値!AB49,安値!AC49&lt;安値!AA49,安値!AC49&lt;安値!AD49,安値!AC49&lt;安値!AE49),24,""))</f>
      </c>
      <c r="Y49" s="684">
        <f>IF(終値!A49="","",IF(AND(安値!AD49&lt;安値!AC49,安値!AD49&lt;安値!AB49,安値!AD49&lt;安値!AE49,安値!AD49&lt;安値!AF49),25,""))</f>
      </c>
      <c r="Z49" s="684">
        <f>IF(終値!A49="","",IF(AND(安値!AE49&lt;安値!AD49,安値!AE49&lt;安値!AC49,安値!AE49&lt;安値!AF49,安値!AE49&lt;安値!AG49),26,""))</f>
      </c>
      <c r="AA49" s="684">
        <f>IF(終値!A49="","",IF(AND(安値!AF49&lt;安値!AE49,安値!AF49&lt;安値!AD49,安値!AF49&lt;安値!AG49,安値!AF49&lt;安値!AH49),27,""))</f>
      </c>
      <c r="AB49" s="684">
        <f>IF(終値!A49="","",IF(AND(安値!AG49&lt;安値!AF49,安値!AG49&lt;安値!AE49,安値!AG49&lt;安値!AH49,安値!AG49&lt;安値!AI49),28,""))</f>
      </c>
      <c r="AC49" s="684">
        <f>IF(終値!A49="","",IF(AND(高値!G49&gt;高値!F49,高値!G49&gt;高値!E49,高値!G49&gt;高値!H49,高値!G49&gt;高値!I49),2,""))</f>
      </c>
      <c r="AD49" s="684">
        <f>IF(終値!A49="","",IF(AND(高値!H49&gt;高値!G49,高値!H49&gt;高値!F49,高値!H49&gt;高値!I49,高値!H49&gt;高値!J49),3,""))</f>
      </c>
      <c r="AE49" s="684">
        <f>IF(終値!A49="","",IF(AND(高値!I49&gt;高値!H49,高値!I49&gt;高値!G49,高値!I49&gt;高値!J49,高値!I49&gt;高値!K49),4,""))</f>
      </c>
      <c r="AF49" s="684">
        <f>IF(終値!A49="","",IF(AND(高値!J49&gt;高値!I49,高値!J49&gt;高値!H49,高値!J49&gt;高値!K49,高値!J49&gt;高値!L49),5,""))</f>
      </c>
      <c r="AG49" s="684">
        <f>IF(終値!A49="","",IF(AND(高値!K49&gt;高値!J49,高値!K49&gt;高値!I49,高値!K49&gt;高値!L49,高値!K49&gt;高値!M49),6,""))</f>
      </c>
      <c r="AH49" s="684">
        <f>IF(終値!A49="","",IF(AND(高値!L49&gt;高値!K49,高値!L49&gt;高値!J49,高値!L49&gt;高値!M49,高値!L49&gt;高値!N49),7,""))</f>
      </c>
      <c r="AI49" s="684">
        <f>IF(終値!A49="","",IF(AND(高値!M49&gt;高値!L49,高値!M49&gt;高値!K49,高値!M49&gt;高値!N49,高値!M49&gt;高値!O49),8,""))</f>
      </c>
      <c r="AJ49" s="684">
        <f>IF(終値!A49="","",IF(AND(高値!N49&gt;高値!M49,高値!N49&gt;高値!L49,高値!N49&gt;高値!O49,高値!N49&gt;高値!P49),9,""))</f>
      </c>
      <c r="AK49" s="684">
        <f>IF(終値!A49="","",IF(AND(高値!O49&gt;高値!N49,高値!O49&gt;高値!M49,高値!O49&gt;高値!P49,高値!O49&gt;高値!Q49),10,""))</f>
      </c>
      <c r="AL49" s="684">
        <f>IF(終値!A49="","",IF(AND(高値!P49&gt;高値!O49,高値!P49&gt;高値!N49,高値!P49&gt;高値!Q49,高値!P49&gt;高値!R49),11,""))</f>
      </c>
      <c r="AM49" s="684">
        <f>IF(終値!A49="","",IF(AND(高値!Q49&gt;高値!P49,高値!Q49&gt;高値!O49,高値!Q49&gt;高値!R49,高値!Q49&gt;高値!S49),12,""))</f>
      </c>
      <c r="AN49" s="684">
        <f>IF(終値!A49="","",IF(AND(高値!R49&gt;高値!Q49,高値!R49&gt;高値!P49,高値!R49&gt;高値!S49,高値!R49&gt;高値!T49),13,""))</f>
      </c>
      <c r="AO49" s="684">
        <f>IF(終値!A49="","",IF(AND(高値!S49&gt;高値!R49,高値!S49&gt;高値!Q49,高値!S49&gt;高値!T49,高値!S49&gt;高値!U49),14,""))</f>
      </c>
      <c r="AP49" s="684">
        <f>IF(終値!A49="","",IF(AND(高値!T49&gt;高値!S49,高値!T49&gt;高値!R49,高値!T49&gt;高値!U49,高値!T49&gt;高値!V49),15,""))</f>
      </c>
      <c r="AQ49" s="684">
        <f>IF(終値!A49="","",IF(AND(高値!U49&gt;高値!T49,高値!U49&gt;高値!S49,高値!U49&gt;高値!V49,高値!U49&gt;高値!W49),16,""))</f>
      </c>
      <c r="AR49" s="684">
        <f>IF(終値!A49="","",IF(AND(高値!V49&gt;高値!U49,高値!V49&gt;高値!T49,高値!V49&gt;高値!W49,高値!V49&gt;高値!X49),17,""))</f>
      </c>
      <c r="AS49" s="684">
        <f>IF(終値!A49="","",IF(AND(高値!W49&gt;高値!V49,高値!W49&gt;高値!U49,高値!W49&gt;高値!X49,高値!W49&gt;高値!Y49),18,""))</f>
      </c>
      <c r="AT49" s="684">
        <f>IF(終値!A49="","",IF(AND(高値!X49&gt;高値!W49,高値!X49&gt;高値!V49,高値!X49&gt;高値!Y49,高値!X49&gt;高値!Z49),19,""))</f>
      </c>
      <c r="AU49" s="684">
        <f>IF(終値!A49="","",IF(AND(高値!Y49&gt;高値!X49,高値!Y49&gt;高値!W49,高値!Y49&gt;高値!Z49,高値!Y49&gt;高値!AA49),20,""))</f>
      </c>
      <c r="AV49" s="684">
        <f>IF(終値!A49="","",IF(AND(高値!Z49&gt;高値!Y49,高値!Z49&gt;高値!X49,高値!Z49&gt;高値!AA49,高値!Z49&gt;高値!AB49),21,""))</f>
      </c>
      <c r="AW49" s="684">
        <f>IF(終値!A49="","",IF(AND(高値!AA49&gt;高値!Z49,高値!AA49&gt;高値!Y49,高値!AA49&gt;高値!AB49,高値!AA49&gt;高値!AC49),22,""))</f>
      </c>
      <c r="AX49" s="684">
        <f>IF(終値!A49="","",IF(AND(高値!AB49&gt;高値!AA49,高値!AB49&gt;高値!Z49,高値!AB49&gt;高値!AC49,高値!AB49&gt;高値!AD49),23,""))</f>
      </c>
      <c r="AY49" s="684">
        <f>IF(終値!A49="","",IF(AND(高値!AC49&gt;高値!AB49,高値!AC49&gt;高値!AA49,高値!AC49&gt;高値!AD49,高値!AC49&gt;高値!AE49),24,""))</f>
      </c>
      <c r="AZ49" s="684">
        <f>IF(終値!A49="","",IF(AND(高値!AD49&gt;高値!AC49,高値!AD49&gt;高値!AB49,高値!AD49&gt;高値!AE49,高値!AD49&gt;高値!AF49),25,""))</f>
      </c>
      <c r="BA49" s="684">
        <f>IF(終値!A49="","",IF(AND(高値!AE49&gt;高値!AD49,高値!AE49&gt;高値!AC49,高値!AE49&gt;高値!AF49,高値!AE49&gt;高値!AG49),26,""))</f>
      </c>
      <c r="BB49" s="684">
        <f>IF(終値!A49="","",IF(AND(高値!AF49&gt;高値!AE49,高値!AF49&gt;高値!AD49,高値!AF49&gt;高値!AG49,高値!AF49&gt;高値!AH49),27,""))</f>
      </c>
      <c r="BC49" s="684">
        <f>IF(終値!A49="","",IF(AND(高値!AG49&gt;高値!AF49,高値!AG49&gt;高値!AE49,高値!AG49&gt;高値!AH49,高値!AG49&gt;高値!AI49),28,""))</f>
      </c>
      <c r="BD49" s="684">
        <f>COUNT($B49:$AB49)</f>
      </c>
      <c r="BE49" s="684">
        <f>IF($BD49&gt;=2,MIN($B49:$AB49),"")</f>
      </c>
      <c r="BF49" s="684">
        <f>IF($BD49&gt;=2,SMALL($B49:$AB49,2),"")</f>
      </c>
      <c r="BG49" s="684">
        <f>IF($BE49="","",INDEX(安値!$E49:$CZ49,1,$BE49+1))</f>
      </c>
      <c r="BH49" s="684">
        <f>IF($BF49="","",INDEX(安値!$E49:$CZ49,1,$BF49+1))</f>
      </c>
      <c r="BI49" s="684">
        <f>IF($BF49="","",MAX(INDEX(高値!$E49:$CZ49,1,$BE49+1):INDEX(高値!$E49:$CZ49,1,$BF49+1)))</f>
      </c>
      <c r="BJ49" s="684">
        <f>IF($BF49="","",AVERAGE(INDEX(終値!$E49:$CZ49,1,$BF49+1):INDEX(終値!$E49:$CZ49,1,$BF49+20))-2*STDEVP(INDEX(終値!$E49:$CZ49,1,$BF49+1):INDEX(終値!$E49:$CZ49,1,$BF49+20)))</f>
      </c>
      <c r="BK49" s="684">
        <f>IF($BE49="","",AVERAGE(INDEX(終値!$E49:$CZ49,1,$BE49+1):INDEX(終値!$E49:$CZ49,1,$BE49+20))-2*STDEVP(INDEX(終値!$E49:$CZ49,1,$BE49+1):INDEX(終値!$E49:$CZ49,1,$BE49+20)))</f>
      </c>
      <c r="BL49" s="684">
        <f>COUNT($AC49:$BC49)</f>
      </c>
      <c r="BM49" s="684">
        <f>IF($BL49&gt;=2,MIN($AC49:$BC49),"")</f>
      </c>
      <c r="BN49" s="684">
        <f>IF($BL49&gt;=2,SMALL($AC49:$BC49,2),"")</f>
      </c>
      <c r="BO49" s="684">
        <f>IF($BM49="","",INDEX(高値!$E49:$CZ49,1,$BM49+1))</f>
      </c>
      <c r="BP49" s="684">
        <f>IF($BN49="","",INDEX(高値!$E49:$CZ49,1,$BN49+1))</f>
      </c>
      <c r="BQ49" s="684">
        <f>IF($BN49="","",MIN(INDEX(安値!$E49:$CZ49,1,$BM49+1):INDEX(安値!$E49:$CZ49,1,$BN49+1)))</f>
      </c>
      <c r="BR49" s="684">
        <f>IF($BN49="","",AVERAGE(INDEX(終値!$E49:$CZ49,1,$BN49+1):INDEX(終値!$E49:$CZ49,1,$BN49+20))+2*STDEVP(INDEX(終値!$E49:$CZ49,1,$BN49+1):INDEX(終値!$E49:$CZ49,1,$BN49+20)))</f>
      </c>
      <c r="BS49" s="684">
        <f>IF($BM49="","",AVERAGE(INDEX(終値!$E49:$CZ49,1,$BM49+1):INDEX(終値!$E49:$CZ49,1,$BM49+20))+2*STDEVP(INDEX(終値!$E49:$CZ49,1,$BM49+1):INDEX(終値!$E49:$CZ49,1,$BM49+20)))</f>
      </c>
      <c r="BT49" s="681">
        <f>IFERROR(IF(AND($BD49&gt;=2,ABS($BG49-$BH49)/$BH49&lt;=BB設定!$B$12,$BI49&gt;=MAX($BH49,$BG49)*(1+BB設定!$B$13),終値!E49&gt;$BG49),IF(OR(終値!E49&gt;=$BI49,AND($BH49&lt;$BJ49,$BG49&gt;=$BK49)),"二番底W▲","二番底W形成"),IF(AND($BL49&gt;=2,ABS($BO49-$BP49)/$BP49&lt;=BB設定!$B$12,$BQ49&lt;=MIN($BP49,$BO49)*(1-BB設定!$B$13),終値!E49&lt;$BO49),IF(OR(終値!E49&lt;=$BQ49,AND($BP49&gt;$BR49,$BO49&lt;=$BS49)),"二番天井M▼","二番天井M形成"),"－")),"－")</f>
      </c>
    </row>
    <row r="50">
      <c r="B50" s="684">
        <f>IF(終値!A50="","",IF(AND(安値!G50&lt;安値!F50,安値!G50&lt;安値!E50,安値!G50&lt;安値!H50,安値!G50&lt;安値!I50),2,""))</f>
      </c>
      <c r="C50" s="684">
        <f>IF(終値!A50="","",IF(AND(安値!H50&lt;安値!G50,安値!H50&lt;安値!F50,安値!H50&lt;安値!I50,安値!H50&lt;安値!J50),3,""))</f>
      </c>
      <c r="D50" s="684">
        <f>IF(終値!A50="","",IF(AND(安値!I50&lt;安値!H50,安値!I50&lt;安値!G50,安値!I50&lt;安値!J50,安値!I50&lt;安値!K50),4,""))</f>
      </c>
      <c r="E50" s="684">
        <f>IF(終値!A50="","",IF(AND(安値!J50&lt;安値!I50,安値!J50&lt;安値!H50,安値!J50&lt;安値!K50,安値!J50&lt;安値!L50),5,""))</f>
      </c>
      <c r="F50" s="684">
        <f>IF(終値!A50="","",IF(AND(安値!K50&lt;安値!J50,安値!K50&lt;安値!I50,安値!K50&lt;安値!L50,安値!K50&lt;安値!M50),6,""))</f>
      </c>
      <c r="G50" s="684">
        <f>IF(終値!A50="","",IF(AND(安値!L50&lt;安値!K50,安値!L50&lt;安値!J50,安値!L50&lt;安値!M50,安値!L50&lt;安値!N50),7,""))</f>
      </c>
      <c r="H50" s="684">
        <f>IF(終値!A50="","",IF(AND(安値!M50&lt;安値!L50,安値!M50&lt;安値!K50,安値!M50&lt;安値!N50,安値!M50&lt;安値!O50),8,""))</f>
      </c>
      <c r="I50" s="684">
        <f>IF(終値!A50="","",IF(AND(安値!N50&lt;安値!M50,安値!N50&lt;安値!L50,安値!N50&lt;安値!O50,安値!N50&lt;安値!P50),9,""))</f>
      </c>
      <c r="J50" s="684">
        <f>IF(終値!A50="","",IF(AND(安値!O50&lt;安値!N50,安値!O50&lt;安値!M50,安値!O50&lt;安値!P50,安値!O50&lt;安値!Q50),10,""))</f>
      </c>
      <c r="K50" s="684">
        <f>IF(終値!A50="","",IF(AND(安値!P50&lt;安値!O50,安値!P50&lt;安値!N50,安値!P50&lt;安値!Q50,安値!P50&lt;安値!R50),11,""))</f>
      </c>
      <c r="L50" s="684">
        <f>IF(終値!A50="","",IF(AND(安値!Q50&lt;安値!P50,安値!Q50&lt;安値!O50,安値!Q50&lt;安値!R50,安値!Q50&lt;安値!S50),12,""))</f>
      </c>
      <c r="M50" s="684">
        <f>IF(終値!A50="","",IF(AND(安値!R50&lt;安値!Q50,安値!R50&lt;安値!P50,安値!R50&lt;安値!S50,安値!R50&lt;安値!T50),13,""))</f>
      </c>
      <c r="N50" s="684">
        <f>IF(終値!A50="","",IF(AND(安値!S50&lt;安値!R50,安値!S50&lt;安値!Q50,安値!S50&lt;安値!T50,安値!S50&lt;安値!U50),14,""))</f>
      </c>
      <c r="O50" s="684">
        <f>IF(終値!A50="","",IF(AND(安値!T50&lt;安値!S50,安値!T50&lt;安値!R50,安値!T50&lt;安値!U50,安値!T50&lt;安値!V50),15,""))</f>
      </c>
      <c r="P50" s="684">
        <f>IF(終値!A50="","",IF(AND(安値!U50&lt;安値!T50,安値!U50&lt;安値!S50,安値!U50&lt;安値!V50,安値!U50&lt;安値!W50),16,""))</f>
      </c>
      <c r="Q50" s="684">
        <f>IF(終値!A50="","",IF(AND(安値!V50&lt;安値!U50,安値!V50&lt;安値!T50,安値!V50&lt;安値!W50,安値!V50&lt;安値!X50),17,""))</f>
      </c>
      <c r="R50" s="684">
        <f>IF(終値!A50="","",IF(AND(安値!W50&lt;安値!V50,安値!W50&lt;安値!U50,安値!W50&lt;安値!X50,安値!W50&lt;安値!Y50),18,""))</f>
      </c>
      <c r="S50" s="684">
        <f>IF(終値!A50="","",IF(AND(安値!X50&lt;安値!W50,安値!X50&lt;安値!V50,安値!X50&lt;安値!Y50,安値!X50&lt;安値!Z50),19,""))</f>
      </c>
      <c r="T50" s="684">
        <f>IF(終値!A50="","",IF(AND(安値!Y50&lt;安値!X50,安値!Y50&lt;安値!W50,安値!Y50&lt;安値!Z50,安値!Y50&lt;安値!AA50),20,""))</f>
      </c>
      <c r="U50" s="684">
        <f>IF(終値!A50="","",IF(AND(安値!Z50&lt;安値!Y50,安値!Z50&lt;安値!X50,安値!Z50&lt;安値!AA50,安値!Z50&lt;安値!AB50),21,""))</f>
      </c>
      <c r="V50" s="684">
        <f>IF(終値!A50="","",IF(AND(安値!AA50&lt;安値!Z50,安値!AA50&lt;安値!Y50,安値!AA50&lt;安値!AB50,安値!AA50&lt;安値!AC50),22,""))</f>
      </c>
      <c r="W50" s="684">
        <f>IF(終値!A50="","",IF(AND(安値!AB50&lt;安値!AA50,安値!AB50&lt;安値!Z50,安値!AB50&lt;安値!AC50,安値!AB50&lt;安値!AD50),23,""))</f>
      </c>
      <c r="X50" s="684">
        <f>IF(終値!A50="","",IF(AND(安値!AC50&lt;安値!AB50,安値!AC50&lt;安値!AA50,安値!AC50&lt;安値!AD50,安値!AC50&lt;安値!AE50),24,""))</f>
      </c>
      <c r="Y50" s="684">
        <f>IF(終値!A50="","",IF(AND(安値!AD50&lt;安値!AC50,安値!AD50&lt;安値!AB50,安値!AD50&lt;安値!AE50,安値!AD50&lt;安値!AF50),25,""))</f>
      </c>
      <c r="Z50" s="684">
        <f>IF(終値!A50="","",IF(AND(安値!AE50&lt;安値!AD50,安値!AE50&lt;安値!AC50,安値!AE50&lt;安値!AF50,安値!AE50&lt;安値!AG50),26,""))</f>
      </c>
      <c r="AA50" s="684">
        <f>IF(終値!A50="","",IF(AND(安値!AF50&lt;安値!AE50,安値!AF50&lt;安値!AD50,安値!AF50&lt;安値!AG50,安値!AF50&lt;安値!AH50),27,""))</f>
      </c>
      <c r="AB50" s="684">
        <f>IF(終値!A50="","",IF(AND(安値!AG50&lt;安値!AF50,安値!AG50&lt;安値!AE50,安値!AG50&lt;安値!AH50,安値!AG50&lt;安値!AI50),28,""))</f>
      </c>
      <c r="AC50" s="684">
        <f>IF(終値!A50="","",IF(AND(高値!G50&gt;高値!F50,高値!G50&gt;高値!E50,高値!G50&gt;高値!H50,高値!G50&gt;高値!I50),2,""))</f>
      </c>
      <c r="AD50" s="684">
        <f>IF(終値!A50="","",IF(AND(高値!H50&gt;高値!G50,高値!H50&gt;高値!F50,高値!H50&gt;高値!I50,高値!H50&gt;高値!J50),3,""))</f>
      </c>
      <c r="AE50" s="684">
        <f>IF(終値!A50="","",IF(AND(高値!I50&gt;高値!H50,高値!I50&gt;高値!G50,高値!I50&gt;高値!J50,高値!I50&gt;高値!K50),4,""))</f>
      </c>
      <c r="AF50" s="684">
        <f>IF(終値!A50="","",IF(AND(高値!J50&gt;高値!I50,高値!J50&gt;高値!H50,高値!J50&gt;高値!K50,高値!J50&gt;高値!L50),5,""))</f>
      </c>
      <c r="AG50" s="684">
        <f>IF(終値!A50="","",IF(AND(高値!K50&gt;高値!J50,高値!K50&gt;高値!I50,高値!K50&gt;高値!L50,高値!K50&gt;高値!M50),6,""))</f>
      </c>
      <c r="AH50" s="684">
        <f>IF(終値!A50="","",IF(AND(高値!L50&gt;高値!K50,高値!L50&gt;高値!J50,高値!L50&gt;高値!M50,高値!L50&gt;高値!N50),7,""))</f>
      </c>
      <c r="AI50" s="684">
        <f>IF(終値!A50="","",IF(AND(高値!M50&gt;高値!L50,高値!M50&gt;高値!K50,高値!M50&gt;高値!N50,高値!M50&gt;高値!O50),8,""))</f>
      </c>
      <c r="AJ50" s="684">
        <f>IF(終値!A50="","",IF(AND(高値!N50&gt;高値!M50,高値!N50&gt;高値!L50,高値!N50&gt;高値!O50,高値!N50&gt;高値!P50),9,""))</f>
      </c>
      <c r="AK50" s="684">
        <f>IF(終値!A50="","",IF(AND(高値!O50&gt;高値!N50,高値!O50&gt;高値!M50,高値!O50&gt;高値!P50,高値!O50&gt;高値!Q50),10,""))</f>
      </c>
      <c r="AL50" s="684">
        <f>IF(終値!A50="","",IF(AND(高値!P50&gt;高値!O50,高値!P50&gt;高値!N50,高値!P50&gt;高値!Q50,高値!P50&gt;高値!R50),11,""))</f>
      </c>
      <c r="AM50" s="684">
        <f>IF(終値!A50="","",IF(AND(高値!Q50&gt;高値!P50,高値!Q50&gt;高値!O50,高値!Q50&gt;高値!R50,高値!Q50&gt;高値!S50),12,""))</f>
      </c>
      <c r="AN50" s="684">
        <f>IF(終値!A50="","",IF(AND(高値!R50&gt;高値!Q50,高値!R50&gt;高値!P50,高値!R50&gt;高値!S50,高値!R50&gt;高値!T50),13,""))</f>
      </c>
      <c r="AO50" s="684">
        <f>IF(終値!A50="","",IF(AND(高値!S50&gt;高値!R50,高値!S50&gt;高値!Q50,高値!S50&gt;高値!T50,高値!S50&gt;高値!U50),14,""))</f>
      </c>
      <c r="AP50" s="684">
        <f>IF(終値!A50="","",IF(AND(高値!T50&gt;高値!S50,高値!T50&gt;高値!R50,高値!T50&gt;高値!U50,高値!T50&gt;高値!V50),15,""))</f>
      </c>
      <c r="AQ50" s="684">
        <f>IF(終値!A50="","",IF(AND(高値!U50&gt;高値!T50,高値!U50&gt;高値!S50,高値!U50&gt;高値!V50,高値!U50&gt;高値!W50),16,""))</f>
      </c>
      <c r="AR50" s="684">
        <f>IF(終値!A50="","",IF(AND(高値!V50&gt;高値!U50,高値!V50&gt;高値!T50,高値!V50&gt;高値!W50,高値!V50&gt;高値!X50),17,""))</f>
      </c>
      <c r="AS50" s="684">
        <f>IF(終値!A50="","",IF(AND(高値!W50&gt;高値!V50,高値!W50&gt;高値!U50,高値!W50&gt;高値!X50,高値!W50&gt;高値!Y50),18,""))</f>
      </c>
      <c r="AT50" s="684">
        <f>IF(終値!A50="","",IF(AND(高値!X50&gt;高値!W50,高値!X50&gt;高値!V50,高値!X50&gt;高値!Y50,高値!X50&gt;高値!Z50),19,""))</f>
      </c>
      <c r="AU50" s="684">
        <f>IF(終値!A50="","",IF(AND(高値!Y50&gt;高値!X50,高値!Y50&gt;高値!W50,高値!Y50&gt;高値!Z50,高値!Y50&gt;高値!AA50),20,""))</f>
      </c>
      <c r="AV50" s="684">
        <f>IF(終値!A50="","",IF(AND(高値!Z50&gt;高値!Y50,高値!Z50&gt;高値!X50,高値!Z50&gt;高値!AA50,高値!Z50&gt;高値!AB50),21,""))</f>
      </c>
      <c r="AW50" s="684">
        <f>IF(終値!A50="","",IF(AND(高値!AA50&gt;高値!Z50,高値!AA50&gt;高値!Y50,高値!AA50&gt;高値!AB50,高値!AA50&gt;高値!AC50),22,""))</f>
      </c>
      <c r="AX50" s="684">
        <f>IF(終値!A50="","",IF(AND(高値!AB50&gt;高値!AA50,高値!AB50&gt;高値!Z50,高値!AB50&gt;高値!AC50,高値!AB50&gt;高値!AD50),23,""))</f>
      </c>
      <c r="AY50" s="684">
        <f>IF(終値!A50="","",IF(AND(高値!AC50&gt;高値!AB50,高値!AC50&gt;高値!AA50,高値!AC50&gt;高値!AD50,高値!AC50&gt;高値!AE50),24,""))</f>
      </c>
      <c r="AZ50" s="684">
        <f>IF(終値!A50="","",IF(AND(高値!AD50&gt;高値!AC50,高値!AD50&gt;高値!AB50,高値!AD50&gt;高値!AE50,高値!AD50&gt;高値!AF50),25,""))</f>
      </c>
      <c r="BA50" s="684">
        <f>IF(終値!A50="","",IF(AND(高値!AE50&gt;高値!AD50,高値!AE50&gt;高値!AC50,高値!AE50&gt;高値!AF50,高値!AE50&gt;高値!AG50),26,""))</f>
      </c>
      <c r="BB50" s="684">
        <f>IF(終値!A50="","",IF(AND(高値!AF50&gt;高値!AE50,高値!AF50&gt;高値!AD50,高値!AF50&gt;高値!AG50,高値!AF50&gt;高値!AH50),27,""))</f>
      </c>
      <c r="BC50" s="684">
        <f>IF(終値!A50="","",IF(AND(高値!AG50&gt;高値!AF50,高値!AG50&gt;高値!AE50,高値!AG50&gt;高値!AH50,高値!AG50&gt;高値!AI50),28,""))</f>
      </c>
      <c r="BD50" s="684">
        <f>COUNT($B50:$AB50)</f>
      </c>
      <c r="BE50" s="684">
        <f>IF($BD50&gt;=2,MIN($B50:$AB50),"")</f>
      </c>
      <c r="BF50" s="684">
        <f>IF($BD50&gt;=2,SMALL($B50:$AB50,2),"")</f>
      </c>
      <c r="BG50" s="684">
        <f>IF($BE50="","",INDEX(安値!$E50:$CZ50,1,$BE50+1))</f>
      </c>
      <c r="BH50" s="684">
        <f>IF($BF50="","",INDEX(安値!$E50:$CZ50,1,$BF50+1))</f>
      </c>
      <c r="BI50" s="684">
        <f>IF($BF50="","",MAX(INDEX(高値!$E50:$CZ50,1,$BE50+1):INDEX(高値!$E50:$CZ50,1,$BF50+1)))</f>
      </c>
      <c r="BJ50" s="684">
        <f>IF($BF50="","",AVERAGE(INDEX(終値!$E50:$CZ50,1,$BF50+1):INDEX(終値!$E50:$CZ50,1,$BF50+20))-2*STDEVP(INDEX(終値!$E50:$CZ50,1,$BF50+1):INDEX(終値!$E50:$CZ50,1,$BF50+20)))</f>
      </c>
      <c r="BK50" s="684">
        <f>IF($BE50="","",AVERAGE(INDEX(終値!$E50:$CZ50,1,$BE50+1):INDEX(終値!$E50:$CZ50,1,$BE50+20))-2*STDEVP(INDEX(終値!$E50:$CZ50,1,$BE50+1):INDEX(終値!$E50:$CZ50,1,$BE50+20)))</f>
      </c>
      <c r="BL50" s="684">
        <f>COUNT($AC50:$BC50)</f>
      </c>
      <c r="BM50" s="684">
        <f>IF($BL50&gt;=2,MIN($AC50:$BC50),"")</f>
      </c>
      <c r="BN50" s="684">
        <f>IF($BL50&gt;=2,SMALL($AC50:$BC50,2),"")</f>
      </c>
      <c r="BO50" s="684">
        <f>IF($BM50="","",INDEX(高値!$E50:$CZ50,1,$BM50+1))</f>
      </c>
      <c r="BP50" s="684">
        <f>IF($BN50="","",INDEX(高値!$E50:$CZ50,1,$BN50+1))</f>
      </c>
      <c r="BQ50" s="684">
        <f>IF($BN50="","",MIN(INDEX(安値!$E50:$CZ50,1,$BM50+1):INDEX(安値!$E50:$CZ50,1,$BN50+1)))</f>
      </c>
      <c r="BR50" s="684">
        <f>IF($BN50="","",AVERAGE(INDEX(終値!$E50:$CZ50,1,$BN50+1):INDEX(終値!$E50:$CZ50,1,$BN50+20))+2*STDEVP(INDEX(終値!$E50:$CZ50,1,$BN50+1):INDEX(終値!$E50:$CZ50,1,$BN50+20)))</f>
      </c>
      <c r="BS50" s="684">
        <f>IF($BM50="","",AVERAGE(INDEX(終値!$E50:$CZ50,1,$BM50+1):INDEX(終値!$E50:$CZ50,1,$BM50+20))+2*STDEVP(INDEX(終値!$E50:$CZ50,1,$BM50+1):INDEX(終値!$E50:$CZ50,1,$BM50+20)))</f>
      </c>
      <c r="BT50" s="681">
        <f>IFERROR(IF(AND($BD50&gt;=2,ABS($BG50-$BH50)/$BH50&lt;=BB設定!$B$12,$BI50&gt;=MAX($BH50,$BG50)*(1+BB設定!$B$13),終値!E50&gt;$BG50),IF(OR(終値!E50&gt;=$BI50,AND($BH50&lt;$BJ50,$BG50&gt;=$BK50)),"二番底W▲","二番底W形成"),IF(AND($BL50&gt;=2,ABS($BO50-$BP50)/$BP50&lt;=BB設定!$B$12,$BQ50&lt;=MIN($BP50,$BO50)*(1-BB設定!$B$13),終値!E50&lt;$BO50),IF(OR(終値!E50&lt;=$BQ50,AND($BP50&gt;$BR50,$BO50&lt;=$BS50)),"二番天井M▼","二番天井M形成"),"－")),"－")</f>
      </c>
    </row>
    <row r="51">
      <c r="B51" s="684">
        <f>IF(終値!A51="","",IF(AND(安値!G51&lt;安値!F51,安値!G51&lt;安値!E51,安値!G51&lt;安値!H51,安値!G51&lt;安値!I51),2,""))</f>
      </c>
      <c r="C51" s="684">
        <f>IF(終値!A51="","",IF(AND(安値!H51&lt;安値!G51,安値!H51&lt;安値!F51,安値!H51&lt;安値!I51,安値!H51&lt;安値!J51),3,""))</f>
      </c>
      <c r="D51" s="684">
        <f>IF(終値!A51="","",IF(AND(安値!I51&lt;安値!H51,安値!I51&lt;安値!G51,安値!I51&lt;安値!J51,安値!I51&lt;安値!K51),4,""))</f>
      </c>
      <c r="E51" s="684">
        <f>IF(終値!A51="","",IF(AND(安値!J51&lt;安値!I51,安値!J51&lt;安値!H51,安値!J51&lt;安値!K51,安値!J51&lt;安値!L51),5,""))</f>
      </c>
      <c r="F51" s="684">
        <f>IF(終値!A51="","",IF(AND(安値!K51&lt;安値!J51,安値!K51&lt;安値!I51,安値!K51&lt;安値!L51,安値!K51&lt;安値!M51),6,""))</f>
      </c>
      <c r="G51" s="684">
        <f>IF(終値!A51="","",IF(AND(安値!L51&lt;安値!K51,安値!L51&lt;安値!J51,安値!L51&lt;安値!M51,安値!L51&lt;安値!N51),7,""))</f>
      </c>
      <c r="H51" s="684">
        <f>IF(終値!A51="","",IF(AND(安値!M51&lt;安値!L51,安値!M51&lt;安値!K51,安値!M51&lt;安値!N51,安値!M51&lt;安値!O51),8,""))</f>
      </c>
      <c r="I51" s="684">
        <f>IF(終値!A51="","",IF(AND(安値!N51&lt;安値!M51,安値!N51&lt;安値!L51,安値!N51&lt;安値!O51,安値!N51&lt;安値!P51),9,""))</f>
      </c>
      <c r="J51" s="684">
        <f>IF(終値!A51="","",IF(AND(安値!O51&lt;安値!N51,安値!O51&lt;安値!M51,安値!O51&lt;安値!P51,安値!O51&lt;安値!Q51),10,""))</f>
      </c>
      <c r="K51" s="684">
        <f>IF(終値!A51="","",IF(AND(安値!P51&lt;安値!O51,安値!P51&lt;安値!N51,安値!P51&lt;安値!Q51,安値!P51&lt;安値!R51),11,""))</f>
      </c>
      <c r="L51" s="684">
        <f>IF(終値!A51="","",IF(AND(安値!Q51&lt;安値!P51,安値!Q51&lt;安値!O51,安値!Q51&lt;安値!R51,安値!Q51&lt;安値!S51),12,""))</f>
      </c>
      <c r="M51" s="684">
        <f>IF(終値!A51="","",IF(AND(安値!R51&lt;安値!Q51,安値!R51&lt;安値!P51,安値!R51&lt;安値!S51,安値!R51&lt;安値!T51),13,""))</f>
      </c>
      <c r="N51" s="684">
        <f>IF(終値!A51="","",IF(AND(安値!S51&lt;安値!R51,安値!S51&lt;安値!Q51,安値!S51&lt;安値!T51,安値!S51&lt;安値!U51),14,""))</f>
      </c>
      <c r="O51" s="684">
        <f>IF(終値!A51="","",IF(AND(安値!T51&lt;安値!S51,安値!T51&lt;安値!R51,安値!T51&lt;安値!U51,安値!T51&lt;安値!V51),15,""))</f>
      </c>
      <c r="P51" s="684">
        <f>IF(終値!A51="","",IF(AND(安値!U51&lt;安値!T51,安値!U51&lt;安値!S51,安値!U51&lt;安値!V51,安値!U51&lt;安値!W51),16,""))</f>
      </c>
      <c r="Q51" s="684">
        <f>IF(終値!A51="","",IF(AND(安値!V51&lt;安値!U51,安値!V51&lt;安値!T51,安値!V51&lt;安値!W51,安値!V51&lt;安値!X51),17,""))</f>
      </c>
      <c r="R51" s="684">
        <f>IF(終値!A51="","",IF(AND(安値!W51&lt;安値!V51,安値!W51&lt;安値!U51,安値!W51&lt;安値!X51,安値!W51&lt;安値!Y51),18,""))</f>
      </c>
      <c r="S51" s="684">
        <f>IF(終値!A51="","",IF(AND(安値!X51&lt;安値!W51,安値!X51&lt;安値!V51,安値!X51&lt;安値!Y51,安値!X51&lt;安値!Z51),19,""))</f>
      </c>
      <c r="T51" s="684">
        <f>IF(終値!A51="","",IF(AND(安値!Y51&lt;安値!X51,安値!Y51&lt;安値!W51,安値!Y51&lt;安値!Z51,安値!Y51&lt;安値!AA51),20,""))</f>
      </c>
      <c r="U51" s="684">
        <f>IF(終値!A51="","",IF(AND(安値!Z51&lt;安値!Y51,安値!Z51&lt;安値!X51,安値!Z51&lt;安値!AA51,安値!Z51&lt;安値!AB51),21,""))</f>
      </c>
      <c r="V51" s="684">
        <f>IF(終値!A51="","",IF(AND(安値!AA51&lt;安値!Z51,安値!AA51&lt;安値!Y51,安値!AA51&lt;安値!AB51,安値!AA51&lt;安値!AC51),22,""))</f>
      </c>
      <c r="W51" s="684">
        <f>IF(終値!A51="","",IF(AND(安値!AB51&lt;安値!AA51,安値!AB51&lt;安値!Z51,安値!AB51&lt;安値!AC51,安値!AB51&lt;安値!AD51),23,""))</f>
      </c>
      <c r="X51" s="684">
        <f>IF(終値!A51="","",IF(AND(安値!AC51&lt;安値!AB51,安値!AC51&lt;安値!AA51,安値!AC51&lt;安値!AD51,安値!AC51&lt;安値!AE51),24,""))</f>
      </c>
      <c r="Y51" s="684">
        <f>IF(終値!A51="","",IF(AND(安値!AD51&lt;安値!AC51,安値!AD51&lt;安値!AB51,安値!AD51&lt;安値!AE51,安値!AD51&lt;安値!AF51),25,""))</f>
      </c>
      <c r="Z51" s="684">
        <f>IF(終値!A51="","",IF(AND(安値!AE51&lt;安値!AD51,安値!AE51&lt;安値!AC51,安値!AE51&lt;安値!AF51,安値!AE51&lt;安値!AG51),26,""))</f>
      </c>
      <c r="AA51" s="684">
        <f>IF(終値!A51="","",IF(AND(安値!AF51&lt;安値!AE51,安値!AF51&lt;安値!AD51,安値!AF51&lt;安値!AG51,安値!AF51&lt;安値!AH51),27,""))</f>
      </c>
      <c r="AB51" s="684">
        <f>IF(終値!A51="","",IF(AND(安値!AG51&lt;安値!AF51,安値!AG51&lt;安値!AE51,安値!AG51&lt;安値!AH51,安値!AG51&lt;安値!AI51),28,""))</f>
      </c>
      <c r="AC51" s="684">
        <f>IF(終値!A51="","",IF(AND(高値!G51&gt;高値!F51,高値!G51&gt;高値!E51,高値!G51&gt;高値!H51,高値!G51&gt;高値!I51),2,""))</f>
      </c>
      <c r="AD51" s="684">
        <f>IF(終値!A51="","",IF(AND(高値!H51&gt;高値!G51,高値!H51&gt;高値!F51,高値!H51&gt;高値!I51,高値!H51&gt;高値!J51),3,""))</f>
      </c>
      <c r="AE51" s="684">
        <f>IF(終値!A51="","",IF(AND(高値!I51&gt;高値!H51,高値!I51&gt;高値!G51,高値!I51&gt;高値!J51,高値!I51&gt;高値!K51),4,""))</f>
      </c>
      <c r="AF51" s="684">
        <f>IF(終値!A51="","",IF(AND(高値!J51&gt;高値!I51,高値!J51&gt;高値!H51,高値!J51&gt;高値!K51,高値!J51&gt;高値!L51),5,""))</f>
      </c>
      <c r="AG51" s="684">
        <f>IF(終値!A51="","",IF(AND(高値!K51&gt;高値!J51,高値!K51&gt;高値!I51,高値!K51&gt;高値!L51,高値!K51&gt;高値!M51),6,""))</f>
      </c>
      <c r="AH51" s="684">
        <f>IF(終値!A51="","",IF(AND(高値!L51&gt;高値!K51,高値!L51&gt;高値!J51,高値!L51&gt;高値!M51,高値!L51&gt;高値!N51),7,""))</f>
      </c>
      <c r="AI51" s="684">
        <f>IF(終値!A51="","",IF(AND(高値!M51&gt;高値!L51,高値!M51&gt;高値!K51,高値!M51&gt;高値!N51,高値!M51&gt;高値!O51),8,""))</f>
      </c>
      <c r="AJ51" s="684">
        <f>IF(終値!A51="","",IF(AND(高値!N51&gt;高値!M51,高値!N51&gt;高値!L51,高値!N51&gt;高値!O51,高値!N51&gt;高値!P51),9,""))</f>
      </c>
      <c r="AK51" s="684">
        <f>IF(終値!A51="","",IF(AND(高値!O51&gt;高値!N51,高値!O51&gt;高値!M51,高値!O51&gt;高値!P51,高値!O51&gt;高値!Q51),10,""))</f>
      </c>
      <c r="AL51" s="684">
        <f>IF(終値!A51="","",IF(AND(高値!P51&gt;高値!O51,高値!P51&gt;高値!N51,高値!P51&gt;高値!Q51,高値!P51&gt;高値!R51),11,""))</f>
      </c>
      <c r="AM51" s="684">
        <f>IF(終値!A51="","",IF(AND(高値!Q51&gt;高値!P51,高値!Q51&gt;高値!O51,高値!Q51&gt;高値!R51,高値!Q51&gt;高値!S51),12,""))</f>
      </c>
      <c r="AN51" s="684">
        <f>IF(終値!A51="","",IF(AND(高値!R51&gt;高値!Q51,高値!R51&gt;高値!P51,高値!R51&gt;高値!S51,高値!R51&gt;高値!T51),13,""))</f>
      </c>
      <c r="AO51" s="684">
        <f>IF(終値!A51="","",IF(AND(高値!S51&gt;高値!R51,高値!S51&gt;高値!Q51,高値!S51&gt;高値!T51,高値!S51&gt;高値!U51),14,""))</f>
      </c>
      <c r="AP51" s="684">
        <f>IF(終値!A51="","",IF(AND(高値!T51&gt;高値!S51,高値!T51&gt;高値!R51,高値!T51&gt;高値!U51,高値!T51&gt;高値!V51),15,""))</f>
      </c>
      <c r="AQ51" s="684">
        <f>IF(終値!A51="","",IF(AND(高値!U51&gt;高値!T51,高値!U51&gt;高値!S51,高値!U51&gt;高値!V51,高値!U51&gt;高値!W51),16,""))</f>
      </c>
      <c r="AR51" s="684">
        <f>IF(終値!A51="","",IF(AND(高値!V51&gt;高値!U51,高値!V51&gt;高値!T51,高値!V51&gt;高値!W51,高値!V51&gt;高値!X51),17,""))</f>
      </c>
      <c r="AS51" s="684">
        <f>IF(終値!A51="","",IF(AND(高値!W51&gt;高値!V51,高値!W51&gt;高値!U51,高値!W51&gt;高値!X51,高値!W51&gt;高値!Y51),18,""))</f>
      </c>
      <c r="AT51" s="684">
        <f>IF(終値!A51="","",IF(AND(高値!X51&gt;高値!W51,高値!X51&gt;高値!V51,高値!X51&gt;高値!Y51,高値!X51&gt;高値!Z51),19,""))</f>
      </c>
      <c r="AU51" s="684">
        <f>IF(終値!A51="","",IF(AND(高値!Y51&gt;高値!X51,高値!Y51&gt;高値!W51,高値!Y51&gt;高値!Z51,高値!Y51&gt;高値!AA51),20,""))</f>
      </c>
      <c r="AV51" s="684">
        <f>IF(終値!A51="","",IF(AND(高値!Z51&gt;高値!Y51,高値!Z51&gt;高値!X51,高値!Z51&gt;高値!AA51,高値!Z51&gt;高値!AB51),21,""))</f>
      </c>
      <c r="AW51" s="684">
        <f>IF(終値!A51="","",IF(AND(高値!AA51&gt;高値!Z51,高値!AA51&gt;高値!Y51,高値!AA51&gt;高値!AB51,高値!AA51&gt;高値!AC51),22,""))</f>
      </c>
      <c r="AX51" s="684">
        <f>IF(終値!A51="","",IF(AND(高値!AB51&gt;高値!AA51,高値!AB51&gt;高値!Z51,高値!AB51&gt;高値!AC51,高値!AB51&gt;高値!AD51),23,""))</f>
      </c>
      <c r="AY51" s="684">
        <f>IF(終値!A51="","",IF(AND(高値!AC51&gt;高値!AB51,高値!AC51&gt;高値!AA51,高値!AC51&gt;高値!AD51,高値!AC51&gt;高値!AE51),24,""))</f>
      </c>
      <c r="AZ51" s="684">
        <f>IF(終値!A51="","",IF(AND(高値!AD51&gt;高値!AC51,高値!AD51&gt;高値!AB51,高値!AD51&gt;高値!AE51,高値!AD51&gt;高値!AF51),25,""))</f>
      </c>
      <c r="BA51" s="684">
        <f>IF(終値!A51="","",IF(AND(高値!AE51&gt;高値!AD51,高値!AE51&gt;高値!AC51,高値!AE51&gt;高値!AF51,高値!AE51&gt;高値!AG51),26,""))</f>
      </c>
      <c r="BB51" s="684">
        <f>IF(終値!A51="","",IF(AND(高値!AF51&gt;高値!AE51,高値!AF51&gt;高値!AD51,高値!AF51&gt;高値!AG51,高値!AF51&gt;高値!AH51),27,""))</f>
      </c>
      <c r="BC51" s="684">
        <f>IF(終値!A51="","",IF(AND(高値!AG51&gt;高値!AF51,高値!AG51&gt;高値!AE51,高値!AG51&gt;高値!AH51,高値!AG51&gt;高値!AI51),28,""))</f>
      </c>
      <c r="BD51" s="684">
        <f>COUNT($B51:$AB51)</f>
      </c>
      <c r="BE51" s="684">
        <f>IF($BD51&gt;=2,MIN($B51:$AB51),"")</f>
      </c>
      <c r="BF51" s="684">
        <f>IF($BD51&gt;=2,SMALL($B51:$AB51,2),"")</f>
      </c>
      <c r="BG51" s="684">
        <f>IF($BE51="","",INDEX(安値!$E51:$CZ51,1,$BE51+1))</f>
      </c>
      <c r="BH51" s="684">
        <f>IF($BF51="","",INDEX(安値!$E51:$CZ51,1,$BF51+1))</f>
      </c>
      <c r="BI51" s="684">
        <f>IF($BF51="","",MAX(INDEX(高値!$E51:$CZ51,1,$BE51+1):INDEX(高値!$E51:$CZ51,1,$BF51+1)))</f>
      </c>
      <c r="BJ51" s="684">
        <f>IF($BF51="","",AVERAGE(INDEX(終値!$E51:$CZ51,1,$BF51+1):INDEX(終値!$E51:$CZ51,1,$BF51+20))-2*STDEVP(INDEX(終値!$E51:$CZ51,1,$BF51+1):INDEX(終値!$E51:$CZ51,1,$BF51+20)))</f>
      </c>
      <c r="BK51" s="684">
        <f>IF($BE51="","",AVERAGE(INDEX(終値!$E51:$CZ51,1,$BE51+1):INDEX(終値!$E51:$CZ51,1,$BE51+20))-2*STDEVP(INDEX(終値!$E51:$CZ51,1,$BE51+1):INDEX(終値!$E51:$CZ51,1,$BE51+20)))</f>
      </c>
      <c r="BL51" s="684">
        <f>COUNT($AC51:$BC51)</f>
      </c>
      <c r="BM51" s="684">
        <f>IF($BL51&gt;=2,MIN($AC51:$BC51),"")</f>
      </c>
      <c r="BN51" s="684">
        <f>IF($BL51&gt;=2,SMALL($AC51:$BC51,2),"")</f>
      </c>
      <c r="BO51" s="684">
        <f>IF($BM51="","",INDEX(高値!$E51:$CZ51,1,$BM51+1))</f>
      </c>
      <c r="BP51" s="684">
        <f>IF($BN51="","",INDEX(高値!$E51:$CZ51,1,$BN51+1))</f>
      </c>
      <c r="BQ51" s="684">
        <f>IF($BN51="","",MIN(INDEX(安値!$E51:$CZ51,1,$BM51+1):INDEX(安値!$E51:$CZ51,1,$BN51+1)))</f>
      </c>
      <c r="BR51" s="684">
        <f>IF($BN51="","",AVERAGE(INDEX(終値!$E51:$CZ51,1,$BN51+1):INDEX(終値!$E51:$CZ51,1,$BN51+20))+2*STDEVP(INDEX(終値!$E51:$CZ51,1,$BN51+1):INDEX(終値!$E51:$CZ51,1,$BN51+20)))</f>
      </c>
      <c r="BS51" s="684">
        <f>IF($BM51="","",AVERAGE(INDEX(終値!$E51:$CZ51,1,$BM51+1):INDEX(終値!$E51:$CZ51,1,$BM51+20))+2*STDEVP(INDEX(終値!$E51:$CZ51,1,$BM51+1):INDEX(終値!$E51:$CZ51,1,$BM51+20)))</f>
      </c>
      <c r="BT51" s="681">
        <f>IFERROR(IF(AND($BD51&gt;=2,ABS($BG51-$BH51)/$BH51&lt;=BB設定!$B$12,$BI51&gt;=MAX($BH51,$BG51)*(1+BB設定!$B$13),終値!E51&gt;$BG51),IF(OR(終値!E51&gt;=$BI51,AND($BH51&lt;$BJ51,$BG51&gt;=$BK51)),"二番底W▲","二番底W形成"),IF(AND($BL51&gt;=2,ABS($BO51-$BP51)/$BP51&lt;=BB設定!$B$12,$BQ51&lt;=MIN($BP51,$BO51)*(1-BB設定!$B$13),終値!E51&lt;$BO51),IF(OR(終値!E51&lt;=$BQ51,AND($BP51&gt;$BR51,$BO51&lt;=$BS51)),"二番天井M▼","二番天井M形成"),"－")),"－")</f>
      </c>
    </row>
    <row r="52">
      <c r="B52" s="684">
        <f>IF(終値!A52="","",IF(AND(安値!G52&lt;安値!F52,安値!G52&lt;安値!E52,安値!G52&lt;安値!H52,安値!G52&lt;安値!I52),2,""))</f>
      </c>
      <c r="C52" s="684">
        <f>IF(終値!A52="","",IF(AND(安値!H52&lt;安値!G52,安値!H52&lt;安値!F52,安値!H52&lt;安値!I52,安値!H52&lt;安値!J52),3,""))</f>
      </c>
      <c r="D52" s="684">
        <f>IF(終値!A52="","",IF(AND(安値!I52&lt;安値!H52,安値!I52&lt;安値!G52,安値!I52&lt;安値!J52,安値!I52&lt;安値!K52),4,""))</f>
      </c>
      <c r="E52" s="684">
        <f>IF(終値!A52="","",IF(AND(安値!J52&lt;安値!I52,安値!J52&lt;安値!H52,安値!J52&lt;安値!K52,安値!J52&lt;安値!L52),5,""))</f>
      </c>
      <c r="F52" s="684">
        <f>IF(終値!A52="","",IF(AND(安値!K52&lt;安値!J52,安値!K52&lt;安値!I52,安値!K52&lt;安値!L52,安値!K52&lt;安値!M52),6,""))</f>
      </c>
      <c r="G52" s="684">
        <f>IF(終値!A52="","",IF(AND(安値!L52&lt;安値!K52,安値!L52&lt;安値!J52,安値!L52&lt;安値!M52,安値!L52&lt;安値!N52),7,""))</f>
      </c>
      <c r="H52" s="684">
        <f>IF(終値!A52="","",IF(AND(安値!M52&lt;安値!L52,安値!M52&lt;安値!K52,安値!M52&lt;安値!N52,安値!M52&lt;安値!O52),8,""))</f>
      </c>
      <c r="I52" s="684">
        <f>IF(終値!A52="","",IF(AND(安値!N52&lt;安値!M52,安値!N52&lt;安値!L52,安値!N52&lt;安値!O52,安値!N52&lt;安値!P52),9,""))</f>
      </c>
      <c r="J52" s="684">
        <f>IF(終値!A52="","",IF(AND(安値!O52&lt;安値!N52,安値!O52&lt;安値!M52,安値!O52&lt;安値!P52,安値!O52&lt;安値!Q52),10,""))</f>
      </c>
      <c r="K52" s="684">
        <f>IF(終値!A52="","",IF(AND(安値!P52&lt;安値!O52,安値!P52&lt;安値!N52,安値!P52&lt;安値!Q52,安値!P52&lt;安値!R52),11,""))</f>
      </c>
      <c r="L52" s="684">
        <f>IF(終値!A52="","",IF(AND(安値!Q52&lt;安値!P52,安値!Q52&lt;安値!O52,安値!Q52&lt;安値!R52,安値!Q52&lt;安値!S52),12,""))</f>
      </c>
      <c r="M52" s="684">
        <f>IF(終値!A52="","",IF(AND(安値!R52&lt;安値!Q52,安値!R52&lt;安値!P52,安値!R52&lt;安値!S52,安値!R52&lt;安値!T52),13,""))</f>
      </c>
      <c r="N52" s="684">
        <f>IF(終値!A52="","",IF(AND(安値!S52&lt;安値!R52,安値!S52&lt;安値!Q52,安値!S52&lt;安値!T52,安値!S52&lt;安値!U52),14,""))</f>
      </c>
      <c r="O52" s="684">
        <f>IF(終値!A52="","",IF(AND(安値!T52&lt;安値!S52,安値!T52&lt;安値!R52,安値!T52&lt;安値!U52,安値!T52&lt;安値!V52),15,""))</f>
      </c>
      <c r="P52" s="684">
        <f>IF(終値!A52="","",IF(AND(安値!U52&lt;安値!T52,安値!U52&lt;安値!S52,安値!U52&lt;安値!V52,安値!U52&lt;安値!W52),16,""))</f>
      </c>
      <c r="Q52" s="684">
        <f>IF(終値!A52="","",IF(AND(安値!V52&lt;安値!U52,安値!V52&lt;安値!T52,安値!V52&lt;安値!W52,安値!V52&lt;安値!X52),17,""))</f>
      </c>
      <c r="R52" s="684">
        <f>IF(終値!A52="","",IF(AND(安値!W52&lt;安値!V52,安値!W52&lt;安値!U52,安値!W52&lt;安値!X52,安値!W52&lt;安値!Y52),18,""))</f>
      </c>
      <c r="S52" s="684">
        <f>IF(終値!A52="","",IF(AND(安値!X52&lt;安値!W52,安値!X52&lt;安値!V52,安値!X52&lt;安値!Y52,安値!X52&lt;安値!Z52),19,""))</f>
      </c>
      <c r="T52" s="684">
        <f>IF(終値!A52="","",IF(AND(安値!Y52&lt;安値!X52,安値!Y52&lt;安値!W52,安値!Y52&lt;安値!Z52,安値!Y52&lt;安値!AA52),20,""))</f>
      </c>
      <c r="U52" s="684">
        <f>IF(終値!A52="","",IF(AND(安値!Z52&lt;安値!Y52,安値!Z52&lt;安値!X52,安値!Z52&lt;安値!AA52,安値!Z52&lt;安値!AB52),21,""))</f>
      </c>
      <c r="V52" s="684">
        <f>IF(終値!A52="","",IF(AND(安値!AA52&lt;安値!Z52,安値!AA52&lt;安値!Y52,安値!AA52&lt;安値!AB52,安値!AA52&lt;安値!AC52),22,""))</f>
      </c>
      <c r="W52" s="684">
        <f>IF(終値!A52="","",IF(AND(安値!AB52&lt;安値!AA52,安値!AB52&lt;安値!Z52,安値!AB52&lt;安値!AC52,安値!AB52&lt;安値!AD52),23,""))</f>
      </c>
      <c r="X52" s="684">
        <f>IF(終値!A52="","",IF(AND(安値!AC52&lt;安値!AB52,安値!AC52&lt;安値!AA52,安値!AC52&lt;安値!AD52,安値!AC52&lt;安値!AE52),24,""))</f>
      </c>
      <c r="Y52" s="684">
        <f>IF(終値!A52="","",IF(AND(安値!AD52&lt;安値!AC52,安値!AD52&lt;安値!AB52,安値!AD52&lt;安値!AE52,安値!AD52&lt;安値!AF52),25,""))</f>
      </c>
      <c r="Z52" s="684">
        <f>IF(終値!A52="","",IF(AND(安値!AE52&lt;安値!AD52,安値!AE52&lt;安値!AC52,安値!AE52&lt;安値!AF52,安値!AE52&lt;安値!AG52),26,""))</f>
      </c>
      <c r="AA52" s="684">
        <f>IF(終値!A52="","",IF(AND(安値!AF52&lt;安値!AE52,安値!AF52&lt;安値!AD52,安値!AF52&lt;安値!AG52,安値!AF52&lt;安値!AH52),27,""))</f>
      </c>
      <c r="AB52" s="684">
        <f>IF(終値!A52="","",IF(AND(安値!AG52&lt;安値!AF52,安値!AG52&lt;安値!AE52,安値!AG52&lt;安値!AH52,安値!AG52&lt;安値!AI52),28,""))</f>
      </c>
      <c r="AC52" s="684">
        <f>IF(終値!A52="","",IF(AND(高値!G52&gt;高値!F52,高値!G52&gt;高値!E52,高値!G52&gt;高値!H52,高値!G52&gt;高値!I52),2,""))</f>
      </c>
      <c r="AD52" s="684">
        <f>IF(終値!A52="","",IF(AND(高値!H52&gt;高値!G52,高値!H52&gt;高値!F52,高値!H52&gt;高値!I52,高値!H52&gt;高値!J52),3,""))</f>
      </c>
      <c r="AE52" s="684">
        <f>IF(終値!A52="","",IF(AND(高値!I52&gt;高値!H52,高値!I52&gt;高値!G52,高値!I52&gt;高値!J52,高値!I52&gt;高値!K52),4,""))</f>
      </c>
      <c r="AF52" s="684">
        <f>IF(終値!A52="","",IF(AND(高値!J52&gt;高値!I52,高値!J52&gt;高値!H52,高値!J52&gt;高値!K52,高値!J52&gt;高値!L52),5,""))</f>
      </c>
      <c r="AG52" s="684">
        <f>IF(終値!A52="","",IF(AND(高値!K52&gt;高値!J52,高値!K52&gt;高値!I52,高値!K52&gt;高値!L52,高値!K52&gt;高値!M52),6,""))</f>
      </c>
      <c r="AH52" s="684">
        <f>IF(終値!A52="","",IF(AND(高値!L52&gt;高値!K52,高値!L52&gt;高値!J52,高値!L52&gt;高値!M52,高値!L52&gt;高値!N52),7,""))</f>
      </c>
      <c r="AI52" s="684">
        <f>IF(終値!A52="","",IF(AND(高値!M52&gt;高値!L52,高値!M52&gt;高値!K52,高値!M52&gt;高値!N52,高値!M52&gt;高値!O52),8,""))</f>
      </c>
      <c r="AJ52" s="684">
        <f>IF(終値!A52="","",IF(AND(高値!N52&gt;高値!M52,高値!N52&gt;高値!L52,高値!N52&gt;高値!O52,高値!N52&gt;高値!P52),9,""))</f>
      </c>
      <c r="AK52" s="684">
        <f>IF(終値!A52="","",IF(AND(高値!O52&gt;高値!N52,高値!O52&gt;高値!M52,高値!O52&gt;高値!P52,高値!O52&gt;高値!Q52),10,""))</f>
      </c>
      <c r="AL52" s="684">
        <f>IF(終値!A52="","",IF(AND(高値!P52&gt;高値!O52,高値!P52&gt;高値!N52,高値!P52&gt;高値!Q52,高値!P52&gt;高値!R52),11,""))</f>
      </c>
      <c r="AM52" s="684">
        <f>IF(終値!A52="","",IF(AND(高値!Q52&gt;高値!P52,高値!Q52&gt;高値!O52,高値!Q52&gt;高値!R52,高値!Q52&gt;高値!S52),12,""))</f>
      </c>
      <c r="AN52" s="684">
        <f>IF(終値!A52="","",IF(AND(高値!R52&gt;高値!Q52,高値!R52&gt;高値!P52,高値!R52&gt;高値!S52,高値!R52&gt;高値!T52),13,""))</f>
      </c>
      <c r="AO52" s="684">
        <f>IF(終値!A52="","",IF(AND(高値!S52&gt;高値!R52,高値!S52&gt;高値!Q52,高値!S52&gt;高値!T52,高値!S52&gt;高値!U52),14,""))</f>
      </c>
      <c r="AP52" s="684">
        <f>IF(終値!A52="","",IF(AND(高値!T52&gt;高値!S52,高値!T52&gt;高値!R52,高値!T52&gt;高値!U52,高値!T52&gt;高値!V52),15,""))</f>
      </c>
      <c r="AQ52" s="684">
        <f>IF(終値!A52="","",IF(AND(高値!U52&gt;高値!T52,高値!U52&gt;高値!S52,高値!U52&gt;高値!V52,高値!U52&gt;高値!W52),16,""))</f>
      </c>
      <c r="AR52" s="684">
        <f>IF(終値!A52="","",IF(AND(高値!V52&gt;高値!U52,高値!V52&gt;高値!T52,高値!V52&gt;高値!W52,高値!V52&gt;高値!X52),17,""))</f>
      </c>
      <c r="AS52" s="684">
        <f>IF(終値!A52="","",IF(AND(高値!W52&gt;高値!V52,高値!W52&gt;高値!U52,高値!W52&gt;高値!X52,高値!W52&gt;高値!Y52),18,""))</f>
      </c>
      <c r="AT52" s="684">
        <f>IF(終値!A52="","",IF(AND(高値!X52&gt;高値!W52,高値!X52&gt;高値!V52,高値!X52&gt;高値!Y52,高値!X52&gt;高値!Z52),19,""))</f>
      </c>
      <c r="AU52" s="684">
        <f>IF(終値!A52="","",IF(AND(高値!Y52&gt;高値!X52,高値!Y52&gt;高値!W52,高値!Y52&gt;高値!Z52,高値!Y52&gt;高値!AA52),20,""))</f>
      </c>
      <c r="AV52" s="684">
        <f>IF(終値!A52="","",IF(AND(高値!Z52&gt;高値!Y52,高値!Z52&gt;高値!X52,高値!Z52&gt;高値!AA52,高値!Z52&gt;高値!AB52),21,""))</f>
      </c>
      <c r="AW52" s="684">
        <f>IF(終値!A52="","",IF(AND(高値!AA52&gt;高値!Z52,高値!AA52&gt;高値!Y52,高値!AA52&gt;高値!AB52,高値!AA52&gt;高値!AC52),22,""))</f>
      </c>
      <c r="AX52" s="684">
        <f>IF(終値!A52="","",IF(AND(高値!AB52&gt;高値!AA52,高値!AB52&gt;高値!Z52,高値!AB52&gt;高値!AC52,高値!AB52&gt;高値!AD52),23,""))</f>
      </c>
      <c r="AY52" s="684">
        <f>IF(終値!A52="","",IF(AND(高値!AC52&gt;高値!AB52,高値!AC52&gt;高値!AA52,高値!AC52&gt;高値!AD52,高値!AC52&gt;高値!AE52),24,""))</f>
      </c>
      <c r="AZ52" s="684">
        <f>IF(終値!A52="","",IF(AND(高値!AD52&gt;高値!AC52,高値!AD52&gt;高値!AB52,高値!AD52&gt;高値!AE52,高値!AD52&gt;高値!AF52),25,""))</f>
      </c>
      <c r="BA52" s="684">
        <f>IF(終値!A52="","",IF(AND(高値!AE52&gt;高値!AD52,高値!AE52&gt;高値!AC52,高値!AE52&gt;高値!AF52,高値!AE52&gt;高値!AG52),26,""))</f>
      </c>
      <c r="BB52" s="684">
        <f>IF(終値!A52="","",IF(AND(高値!AF52&gt;高値!AE52,高値!AF52&gt;高値!AD52,高値!AF52&gt;高値!AG52,高値!AF52&gt;高値!AH52),27,""))</f>
      </c>
      <c r="BC52" s="684">
        <f>IF(終値!A52="","",IF(AND(高値!AG52&gt;高値!AF52,高値!AG52&gt;高値!AE52,高値!AG52&gt;高値!AH52,高値!AG52&gt;高値!AI52),28,""))</f>
      </c>
      <c r="BD52" s="684">
        <f>COUNT($B52:$AB52)</f>
      </c>
      <c r="BE52" s="684">
        <f>IF($BD52&gt;=2,MIN($B52:$AB52),"")</f>
      </c>
      <c r="BF52" s="684">
        <f>IF($BD52&gt;=2,SMALL($B52:$AB52,2),"")</f>
      </c>
      <c r="BG52" s="684">
        <f>IF($BE52="","",INDEX(安値!$E52:$CZ52,1,$BE52+1))</f>
      </c>
      <c r="BH52" s="684">
        <f>IF($BF52="","",INDEX(安値!$E52:$CZ52,1,$BF52+1))</f>
      </c>
      <c r="BI52" s="684">
        <f>IF($BF52="","",MAX(INDEX(高値!$E52:$CZ52,1,$BE52+1):INDEX(高値!$E52:$CZ52,1,$BF52+1)))</f>
      </c>
      <c r="BJ52" s="684">
        <f>IF($BF52="","",AVERAGE(INDEX(終値!$E52:$CZ52,1,$BF52+1):INDEX(終値!$E52:$CZ52,1,$BF52+20))-2*STDEVP(INDEX(終値!$E52:$CZ52,1,$BF52+1):INDEX(終値!$E52:$CZ52,1,$BF52+20)))</f>
      </c>
      <c r="BK52" s="684">
        <f>IF($BE52="","",AVERAGE(INDEX(終値!$E52:$CZ52,1,$BE52+1):INDEX(終値!$E52:$CZ52,1,$BE52+20))-2*STDEVP(INDEX(終値!$E52:$CZ52,1,$BE52+1):INDEX(終値!$E52:$CZ52,1,$BE52+20)))</f>
      </c>
      <c r="BL52" s="684">
        <f>COUNT($AC52:$BC52)</f>
      </c>
      <c r="BM52" s="684">
        <f>IF($BL52&gt;=2,MIN($AC52:$BC52),"")</f>
      </c>
      <c r="BN52" s="684">
        <f>IF($BL52&gt;=2,SMALL($AC52:$BC52,2),"")</f>
      </c>
      <c r="BO52" s="684">
        <f>IF($BM52="","",INDEX(高値!$E52:$CZ52,1,$BM52+1))</f>
      </c>
      <c r="BP52" s="684">
        <f>IF($BN52="","",INDEX(高値!$E52:$CZ52,1,$BN52+1))</f>
      </c>
      <c r="BQ52" s="684">
        <f>IF($BN52="","",MIN(INDEX(安値!$E52:$CZ52,1,$BM52+1):INDEX(安値!$E52:$CZ52,1,$BN52+1)))</f>
      </c>
      <c r="BR52" s="684">
        <f>IF($BN52="","",AVERAGE(INDEX(終値!$E52:$CZ52,1,$BN52+1):INDEX(終値!$E52:$CZ52,1,$BN52+20))+2*STDEVP(INDEX(終値!$E52:$CZ52,1,$BN52+1):INDEX(終値!$E52:$CZ52,1,$BN52+20)))</f>
      </c>
      <c r="BS52" s="684">
        <f>IF($BM52="","",AVERAGE(INDEX(終値!$E52:$CZ52,1,$BM52+1):INDEX(終値!$E52:$CZ52,1,$BM52+20))+2*STDEVP(INDEX(終値!$E52:$CZ52,1,$BM52+1):INDEX(終値!$E52:$CZ52,1,$BM52+20)))</f>
      </c>
      <c r="BT52" s="681">
        <f>IFERROR(IF(AND($BD52&gt;=2,ABS($BG52-$BH52)/$BH52&lt;=BB設定!$B$12,$BI52&gt;=MAX($BH52,$BG52)*(1+BB設定!$B$13),終値!E52&gt;$BG52),IF(OR(終値!E52&gt;=$BI52,AND($BH52&lt;$BJ52,$BG52&gt;=$BK52)),"二番底W▲","二番底W形成"),IF(AND($BL52&gt;=2,ABS($BO52-$BP52)/$BP52&lt;=BB設定!$B$12,$BQ52&lt;=MIN($BP52,$BO52)*(1-BB設定!$B$13),終値!E52&lt;$BO52),IF(OR(終値!E52&lt;=$BQ52,AND($BP52&gt;$BR52,$BO52&lt;=$BS52)),"二番天井M▼","二番天井M形成"),"－")),"－")</f>
      </c>
    </row>
    <row r="53">
      <c r="B53" s="684">
        <f>IF(終値!A53="","",IF(AND(安値!G53&lt;安値!F53,安値!G53&lt;安値!E53,安値!G53&lt;安値!H53,安値!G53&lt;安値!I53),2,""))</f>
      </c>
      <c r="C53" s="684">
        <f>IF(終値!A53="","",IF(AND(安値!H53&lt;安値!G53,安値!H53&lt;安値!F53,安値!H53&lt;安値!I53,安値!H53&lt;安値!J53),3,""))</f>
      </c>
      <c r="D53" s="684">
        <f>IF(終値!A53="","",IF(AND(安値!I53&lt;安値!H53,安値!I53&lt;安値!G53,安値!I53&lt;安値!J53,安値!I53&lt;安値!K53),4,""))</f>
      </c>
      <c r="E53" s="684">
        <f>IF(終値!A53="","",IF(AND(安値!J53&lt;安値!I53,安値!J53&lt;安値!H53,安値!J53&lt;安値!K53,安値!J53&lt;安値!L53),5,""))</f>
      </c>
      <c r="F53" s="684">
        <f>IF(終値!A53="","",IF(AND(安値!K53&lt;安値!J53,安値!K53&lt;安値!I53,安値!K53&lt;安値!L53,安値!K53&lt;安値!M53),6,""))</f>
      </c>
      <c r="G53" s="684">
        <f>IF(終値!A53="","",IF(AND(安値!L53&lt;安値!K53,安値!L53&lt;安値!J53,安値!L53&lt;安値!M53,安値!L53&lt;安値!N53),7,""))</f>
      </c>
      <c r="H53" s="684">
        <f>IF(終値!A53="","",IF(AND(安値!M53&lt;安値!L53,安値!M53&lt;安値!K53,安値!M53&lt;安値!N53,安値!M53&lt;安値!O53),8,""))</f>
      </c>
      <c r="I53" s="684">
        <f>IF(終値!A53="","",IF(AND(安値!N53&lt;安値!M53,安値!N53&lt;安値!L53,安値!N53&lt;安値!O53,安値!N53&lt;安値!P53),9,""))</f>
      </c>
      <c r="J53" s="684">
        <f>IF(終値!A53="","",IF(AND(安値!O53&lt;安値!N53,安値!O53&lt;安値!M53,安値!O53&lt;安値!P53,安値!O53&lt;安値!Q53),10,""))</f>
      </c>
      <c r="K53" s="684">
        <f>IF(終値!A53="","",IF(AND(安値!P53&lt;安値!O53,安値!P53&lt;安値!N53,安値!P53&lt;安値!Q53,安値!P53&lt;安値!R53),11,""))</f>
      </c>
      <c r="L53" s="684">
        <f>IF(終値!A53="","",IF(AND(安値!Q53&lt;安値!P53,安値!Q53&lt;安値!O53,安値!Q53&lt;安値!R53,安値!Q53&lt;安値!S53),12,""))</f>
      </c>
      <c r="M53" s="684">
        <f>IF(終値!A53="","",IF(AND(安値!R53&lt;安値!Q53,安値!R53&lt;安値!P53,安値!R53&lt;安値!S53,安値!R53&lt;安値!T53),13,""))</f>
      </c>
      <c r="N53" s="684">
        <f>IF(終値!A53="","",IF(AND(安値!S53&lt;安値!R53,安値!S53&lt;安値!Q53,安値!S53&lt;安値!T53,安値!S53&lt;安値!U53),14,""))</f>
      </c>
      <c r="O53" s="684">
        <f>IF(終値!A53="","",IF(AND(安値!T53&lt;安値!S53,安値!T53&lt;安値!R53,安値!T53&lt;安値!U53,安値!T53&lt;安値!V53),15,""))</f>
      </c>
      <c r="P53" s="684">
        <f>IF(終値!A53="","",IF(AND(安値!U53&lt;安値!T53,安値!U53&lt;安値!S53,安値!U53&lt;安値!V53,安値!U53&lt;安値!W53),16,""))</f>
      </c>
      <c r="Q53" s="684">
        <f>IF(終値!A53="","",IF(AND(安値!V53&lt;安値!U53,安値!V53&lt;安値!T53,安値!V53&lt;安値!W53,安値!V53&lt;安値!X53),17,""))</f>
      </c>
      <c r="R53" s="684">
        <f>IF(終値!A53="","",IF(AND(安値!W53&lt;安値!V53,安値!W53&lt;安値!U53,安値!W53&lt;安値!X53,安値!W53&lt;安値!Y53),18,""))</f>
      </c>
      <c r="S53" s="684">
        <f>IF(終値!A53="","",IF(AND(安値!X53&lt;安値!W53,安値!X53&lt;安値!V53,安値!X53&lt;安値!Y53,安値!X53&lt;安値!Z53),19,""))</f>
      </c>
      <c r="T53" s="684">
        <f>IF(終値!A53="","",IF(AND(安値!Y53&lt;安値!X53,安値!Y53&lt;安値!W53,安値!Y53&lt;安値!Z53,安値!Y53&lt;安値!AA53),20,""))</f>
      </c>
      <c r="U53" s="684">
        <f>IF(終値!A53="","",IF(AND(安値!Z53&lt;安値!Y53,安値!Z53&lt;安値!X53,安値!Z53&lt;安値!AA53,安値!Z53&lt;安値!AB53),21,""))</f>
      </c>
      <c r="V53" s="684">
        <f>IF(終値!A53="","",IF(AND(安値!AA53&lt;安値!Z53,安値!AA53&lt;安値!Y53,安値!AA53&lt;安値!AB53,安値!AA53&lt;安値!AC53),22,""))</f>
      </c>
      <c r="W53" s="684">
        <f>IF(終値!A53="","",IF(AND(安値!AB53&lt;安値!AA53,安値!AB53&lt;安値!Z53,安値!AB53&lt;安値!AC53,安値!AB53&lt;安値!AD53),23,""))</f>
      </c>
      <c r="X53" s="684">
        <f>IF(終値!A53="","",IF(AND(安値!AC53&lt;安値!AB53,安値!AC53&lt;安値!AA53,安値!AC53&lt;安値!AD53,安値!AC53&lt;安値!AE53),24,""))</f>
      </c>
      <c r="Y53" s="684">
        <f>IF(終値!A53="","",IF(AND(安値!AD53&lt;安値!AC53,安値!AD53&lt;安値!AB53,安値!AD53&lt;安値!AE53,安値!AD53&lt;安値!AF53),25,""))</f>
      </c>
      <c r="Z53" s="684">
        <f>IF(終値!A53="","",IF(AND(安値!AE53&lt;安値!AD53,安値!AE53&lt;安値!AC53,安値!AE53&lt;安値!AF53,安値!AE53&lt;安値!AG53),26,""))</f>
      </c>
      <c r="AA53" s="684">
        <f>IF(終値!A53="","",IF(AND(安値!AF53&lt;安値!AE53,安値!AF53&lt;安値!AD53,安値!AF53&lt;安値!AG53,安値!AF53&lt;安値!AH53),27,""))</f>
      </c>
      <c r="AB53" s="684">
        <f>IF(終値!A53="","",IF(AND(安値!AG53&lt;安値!AF53,安値!AG53&lt;安値!AE53,安値!AG53&lt;安値!AH53,安値!AG53&lt;安値!AI53),28,""))</f>
      </c>
      <c r="AC53" s="684">
        <f>IF(終値!A53="","",IF(AND(高値!G53&gt;高値!F53,高値!G53&gt;高値!E53,高値!G53&gt;高値!H53,高値!G53&gt;高値!I53),2,""))</f>
      </c>
      <c r="AD53" s="684">
        <f>IF(終値!A53="","",IF(AND(高値!H53&gt;高値!G53,高値!H53&gt;高値!F53,高値!H53&gt;高値!I53,高値!H53&gt;高値!J53),3,""))</f>
      </c>
      <c r="AE53" s="684">
        <f>IF(終値!A53="","",IF(AND(高値!I53&gt;高値!H53,高値!I53&gt;高値!G53,高値!I53&gt;高値!J53,高値!I53&gt;高値!K53),4,""))</f>
      </c>
      <c r="AF53" s="684">
        <f>IF(終値!A53="","",IF(AND(高値!J53&gt;高値!I53,高値!J53&gt;高値!H53,高値!J53&gt;高値!K53,高値!J53&gt;高値!L53),5,""))</f>
      </c>
      <c r="AG53" s="684">
        <f>IF(終値!A53="","",IF(AND(高値!K53&gt;高値!J53,高値!K53&gt;高値!I53,高値!K53&gt;高値!L53,高値!K53&gt;高値!M53),6,""))</f>
      </c>
      <c r="AH53" s="684">
        <f>IF(終値!A53="","",IF(AND(高値!L53&gt;高値!K53,高値!L53&gt;高値!J53,高値!L53&gt;高値!M53,高値!L53&gt;高値!N53),7,""))</f>
      </c>
      <c r="AI53" s="684">
        <f>IF(終値!A53="","",IF(AND(高値!M53&gt;高値!L53,高値!M53&gt;高値!K53,高値!M53&gt;高値!N53,高値!M53&gt;高値!O53),8,""))</f>
      </c>
      <c r="AJ53" s="684">
        <f>IF(終値!A53="","",IF(AND(高値!N53&gt;高値!M53,高値!N53&gt;高値!L53,高値!N53&gt;高値!O53,高値!N53&gt;高値!P53),9,""))</f>
      </c>
      <c r="AK53" s="684">
        <f>IF(終値!A53="","",IF(AND(高値!O53&gt;高値!N53,高値!O53&gt;高値!M53,高値!O53&gt;高値!P53,高値!O53&gt;高値!Q53),10,""))</f>
      </c>
      <c r="AL53" s="684">
        <f>IF(終値!A53="","",IF(AND(高値!P53&gt;高値!O53,高値!P53&gt;高値!N53,高値!P53&gt;高値!Q53,高値!P53&gt;高値!R53),11,""))</f>
      </c>
      <c r="AM53" s="684">
        <f>IF(終値!A53="","",IF(AND(高値!Q53&gt;高値!P53,高値!Q53&gt;高値!O53,高値!Q53&gt;高値!R53,高値!Q53&gt;高値!S53),12,""))</f>
      </c>
      <c r="AN53" s="684">
        <f>IF(終値!A53="","",IF(AND(高値!R53&gt;高値!Q53,高値!R53&gt;高値!P53,高値!R53&gt;高値!S53,高値!R53&gt;高値!T53),13,""))</f>
      </c>
      <c r="AO53" s="684">
        <f>IF(終値!A53="","",IF(AND(高値!S53&gt;高値!R53,高値!S53&gt;高値!Q53,高値!S53&gt;高値!T53,高値!S53&gt;高値!U53),14,""))</f>
      </c>
      <c r="AP53" s="684">
        <f>IF(終値!A53="","",IF(AND(高値!T53&gt;高値!S53,高値!T53&gt;高値!R53,高値!T53&gt;高値!U53,高値!T53&gt;高値!V53),15,""))</f>
      </c>
      <c r="AQ53" s="684">
        <f>IF(終値!A53="","",IF(AND(高値!U53&gt;高値!T53,高値!U53&gt;高値!S53,高値!U53&gt;高値!V53,高値!U53&gt;高値!W53),16,""))</f>
      </c>
      <c r="AR53" s="684">
        <f>IF(終値!A53="","",IF(AND(高値!V53&gt;高値!U53,高値!V53&gt;高値!T53,高値!V53&gt;高値!W53,高値!V53&gt;高値!X53),17,""))</f>
      </c>
      <c r="AS53" s="684">
        <f>IF(終値!A53="","",IF(AND(高値!W53&gt;高値!V53,高値!W53&gt;高値!U53,高値!W53&gt;高値!X53,高値!W53&gt;高値!Y53),18,""))</f>
      </c>
      <c r="AT53" s="684">
        <f>IF(終値!A53="","",IF(AND(高値!X53&gt;高値!W53,高値!X53&gt;高値!V53,高値!X53&gt;高値!Y53,高値!X53&gt;高値!Z53),19,""))</f>
      </c>
      <c r="AU53" s="684">
        <f>IF(終値!A53="","",IF(AND(高値!Y53&gt;高値!X53,高値!Y53&gt;高値!W53,高値!Y53&gt;高値!Z53,高値!Y53&gt;高値!AA53),20,""))</f>
      </c>
      <c r="AV53" s="684">
        <f>IF(終値!A53="","",IF(AND(高値!Z53&gt;高値!Y53,高値!Z53&gt;高値!X53,高値!Z53&gt;高値!AA53,高値!Z53&gt;高値!AB53),21,""))</f>
      </c>
      <c r="AW53" s="684">
        <f>IF(終値!A53="","",IF(AND(高値!AA53&gt;高値!Z53,高値!AA53&gt;高値!Y53,高値!AA53&gt;高値!AB53,高値!AA53&gt;高値!AC53),22,""))</f>
      </c>
      <c r="AX53" s="684">
        <f>IF(終値!A53="","",IF(AND(高値!AB53&gt;高値!AA53,高値!AB53&gt;高値!Z53,高値!AB53&gt;高値!AC53,高値!AB53&gt;高値!AD53),23,""))</f>
      </c>
      <c r="AY53" s="684">
        <f>IF(終値!A53="","",IF(AND(高値!AC53&gt;高値!AB53,高値!AC53&gt;高値!AA53,高値!AC53&gt;高値!AD53,高値!AC53&gt;高値!AE53),24,""))</f>
      </c>
      <c r="AZ53" s="684">
        <f>IF(終値!A53="","",IF(AND(高値!AD53&gt;高値!AC53,高値!AD53&gt;高値!AB53,高値!AD53&gt;高値!AE53,高値!AD53&gt;高値!AF53),25,""))</f>
      </c>
      <c r="BA53" s="684">
        <f>IF(終値!A53="","",IF(AND(高値!AE53&gt;高値!AD53,高値!AE53&gt;高値!AC53,高値!AE53&gt;高値!AF53,高値!AE53&gt;高値!AG53),26,""))</f>
      </c>
      <c r="BB53" s="684">
        <f>IF(終値!A53="","",IF(AND(高値!AF53&gt;高値!AE53,高値!AF53&gt;高値!AD53,高値!AF53&gt;高値!AG53,高値!AF53&gt;高値!AH53),27,""))</f>
      </c>
      <c r="BC53" s="684">
        <f>IF(終値!A53="","",IF(AND(高値!AG53&gt;高値!AF53,高値!AG53&gt;高値!AE53,高値!AG53&gt;高値!AH53,高値!AG53&gt;高値!AI53),28,""))</f>
      </c>
      <c r="BD53" s="684">
        <f>COUNT($B53:$AB53)</f>
      </c>
      <c r="BE53" s="684">
        <f>IF($BD53&gt;=2,MIN($B53:$AB53),"")</f>
      </c>
      <c r="BF53" s="684">
        <f>IF($BD53&gt;=2,SMALL($B53:$AB53,2),"")</f>
      </c>
      <c r="BG53" s="684">
        <f>IF($BE53="","",INDEX(安値!$E53:$CZ53,1,$BE53+1))</f>
      </c>
      <c r="BH53" s="684">
        <f>IF($BF53="","",INDEX(安値!$E53:$CZ53,1,$BF53+1))</f>
      </c>
      <c r="BI53" s="684">
        <f>IF($BF53="","",MAX(INDEX(高値!$E53:$CZ53,1,$BE53+1):INDEX(高値!$E53:$CZ53,1,$BF53+1)))</f>
      </c>
      <c r="BJ53" s="684">
        <f>IF($BF53="","",AVERAGE(INDEX(終値!$E53:$CZ53,1,$BF53+1):INDEX(終値!$E53:$CZ53,1,$BF53+20))-2*STDEVP(INDEX(終値!$E53:$CZ53,1,$BF53+1):INDEX(終値!$E53:$CZ53,1,$BF53+20)))</f>
      </c>
      <c r="BK53" s="684">
        <f>IF($BE53="","",AVERAGE(INDEX(終値!$E53:$CZ53,1,$BE53+1):INDEX(終値!$E53:$CZ53,1,$BE53+20))-2*STDEVP(INDEX(終値!$E53:$CZ53,1,$BE53+1):INDEX(終値!$E53:$CZ53,1,$BE53+20)))</f>
      </c>
      <c r="BL53" s="684">
        <f>COUNT($AC53:$BC53)</f>
      </c>
      <c r="BM53" s="684">
        <f>IF($BL53&gt;=2,MIN($AC53:$BC53),"")</f>
      </c>
      <c r="BN53" s="684">
        <f>IF($BL53&gt;=2,SMALL($AC53:$BC53,2),"")</f>
      </c>
      <c r="BO53" s="684">
        <f>IF($BM53="","",INDEX(高値!$E53:$CZ53,1,$BM53+1))</f>
      </c>
      <c r="BP53" s="684">
        <f>IF($BN53="","",INDEX(高値!$E53:$CZ53,1,$BN53+1))</f>
      </c>
      <c r="BQ53" s="684">
        <f>IF($BN53="","",MIN(INDEX(安値!$E53:$CZ53,1,$BM53+1):INDEX(安値!$E53:$CZ53,1,$BN53+1)))</f>
      </c>
      <c r="BR53" s="684">
        <f>IF($BN53="","",AVERAGE(INDEX(終値!$E53:$CZ53,1,$BN53+1):INDEX(終値!$E53:$CZ53,1,$BN53+20))+2*STDEVP(INDEX(終値!$E53:$CZ53,1,$BN53+1):INDEX(終値!$E53:$CZ53,1,$BN53+20)))</f>
      </c>
      <c r="BS53" s="684">
        <f>IF($BM53="","",AVERAGE(INDEX(終値!$E53:$CZ53,1,$BM53+1):INDEX(終値!$E53:$CZ53,1,$BM53+20))+2*STDEVP(INDEX(終値!$E53:$CZ53,1,$BM53+1):INDEX(終値!$E53:$CZ53,1,$BM53+20)))</f>
      </c>
      <c r="BT53" s="681">
        <f>IFERROR(IF(AND($BD53&gt;=2,ABS($BG53-$BH53)/$BH53&lt;=BB設定!$B$12,$BI53&gt;=MAX($BH53,$BG53)*(1+BB設定!$B$13),終値!E53&gt;$BG53),IF(OR(終値!E53&gt;=$BI53,AND($BH53&lt;$BJ53,$BG53&gt;=$BK53)),"二番底W▲","二番底W形成"),IF(AND($BL53&gt;=2,ABS($BO53-$BP53)/$BP53&lt;=BB設定!$B$12,$BQ53&lt;=MIN($BP53,$BO53)*(1-BB設定!$B$13),終値!E53&lt;$BO53),IF(OR(終値!E53&lt;=$BQ53,AND($BP53&gt;$BR53,$BO53&lt;=$BS53)),"二番天井M▼","二番天井M形成"),"－")),"－")</f>
      </c>
    </row>
    <row r="54">
      <c r="B54" s="684">
        <f>IF(終値!A54="","",IF(AND(安値!G54&lt;安値!F54,安値!G54&lt;安値!E54,安値!G54&lt;安値!H54,安値!G54&lt;安値!I54),2,""))</f>
      </c>
      <c r="C54" s="684">
        <f>IF(終値!A54="","",IF(AND(安値!H54&lt;安値!G54,安値!H54&lt;安値!F54,安値!H54&lt;安値!I54,安値!H54&lt;安値!J54),3,""))</f>
      </c>
      <c r="D54" s="684">
        <f>IF(終値!A54="","",IF(AND(安値!I54&lt;安値!H54,安値!I54&lt;安値!G54,安値!I54&lt;安値!J54,安値!I54&lt;安値!K54),4,""))</f>
      </c>
      <c r="E54" s="684">
        <f>IF(終値!A54="","",IF(AND(安値!J54&lt;安値!I54,安値!J54&lt;安値!H54,安値!J54&lt;安値!K54,安値!J54&lt;安値!L54),5,""))</f>
      </c>
      <c r="F54" s="684">
        <f>IF(終値!A54="","",IF(AND(安値!K54&lt;安値!J54,安値!K54&lt;安値!I54,安値!K54&lt;安値!L54,安値!K54&lt;安値!M54),6,""))</f>
      </c>
      <c r="G54" s="684">
        <f>IF(終値!A54="","",IF(AND(安値!L54&lt;安値!K54,安値!L54&lt;安値!J54,安値!L54&lt;安値!M54,安値!L54&lt;安値!N54),7,""))</f>
      </c>
      <c r="H54" s="684">
        <f>IF(終値!A54="","",IF(AND(安値!M54&lt;安値!L54,安値!M54&lt;安値!K54,安値!M54&lt;安値!N54,安値!M54&lt;安値!O54),8,""))</f>
      </c>
      <c r="I54" s="684">
        <f>IF(終値!A54="","",IF(AND(安値!N54&lt;安値!M54,安値!N54&lt;安値!L54,安値!N54&lt;安値!O54,安値!N54&lt;安値!P54),9,""))</f>
      </c>
      <c r="J54" s="684">
        <f>IF(終値!A54="","",IF(AND(安値!O54&lt;安値!N54,安値!O54&lt;安値!M54,安値!O54&lt;安値!P54,安値!O54&lt;安値!Q54),10,""))</f>
      </c>
      <c r="K54" s="684">
        <f>IF(終値!A54="","",IF(AND(安値!P54&lt;安値!O54,安値!P54&lt;安値!N54,安値!P54&lt;安値!Q54,安値!P54&lt;安値!R54),11,""))</f>
      </c>
      <c r="L54" s="684">
        <f>IF(終値!A54="","",IF(AND(安値!Q54&lt;安値!P54,安値!Q54&lt;安値!O54,安値!Q54&lt;安値!R54,安値!Q54&lt;安値!S54),12,""))</f>
      </c>
      <c r="M54" s="684">
        <f>IF(終値!A54="","",IF(AND(安値!R54&lt;安値!Q54,安値!R54&lt;安値!P54,安値!R54&lt;安値!S54,安値!R54&lt;安値!T54),13,""))</f>
      </c>
      <c r="N54" s="684">
        <f>IF(終値!A54="","",IF(AND(安値!S54&lt;安値!R54,安値!S54&lt;安値!Q54,安値!S54&lt;安値!T54,安値!S54&lt;安値!U54),14,""))</f>
      </c>
      <c r="O54" s="684">
        <f>IF(終値!A54="","",IF(AND(安値!T54&lt;安値!S54,安値!T54&lt;安値!R54,安値!T54&lt;安値!U54,安値!T54&lt;安値!V54),15,""))</f>
      </c>
      <c r="P54" s="684">
        <f>IF(終値!A54="","",IF(AND(安値!U54&lt;安値!T54,安値!U54&lt;安値!S54,安値!U54&lt;安値!V54,安値!U54&lt;安値!W54),16,""))</f>
      </c>
      <c r="Q54" s="684">
        <f>IF(終値!A54="","",IF(AND(安値!V54&lt;安値!U54,安値!V54&lt;安値!T54,安値!V54&lt;安値!W54,安値!V54&lt;安値!X54),17,""))</f>
      </c>
      <c r="R54" s="684">
        <f>IF(終値!A54="","",IF(AND(安値!W54&lt;安値!V54,安値!W54&lt;安値!U54,安値!W54&lt;安値!X54,安値!W54&lt;安値!Y54),18,""))</f>
      </c>
      <c r="S54" s="684">
        <f>IF(終値!A54="","",IF(AND(安値!X54&lt;安値!W54,安値!X54&lt;安値!V54,安値!X54&lt;安値!Y54,安値!X54&lt;安値!Z54),19,""))</f>
      </c>
      <c r="T54" s="684">
        <f>IF(終値!A54="","",IF(AND(安値!Y54&lt;安値!X54,安値!Y54&lt;安値!W54,安値!Y54&lt;安値!Z54,安値!Y54&lt;安値!AA54),20,""))</f>
      </c>
      <c r="U54" s="684">
        <f>IF(終値!A54="","",IF(AND(安値!Z54&lt;安値!Y54,安値!Z54&lt;安値!X54,安値!Z54&lt;安値!AA54,安値!Z54&lt;安値!AB54),21,""))</f>
      </c>
      <c r="V54" s="684">
        <f>IF(終値!A54="","",IF(AND(安値!AA54&lt;安値!Z54,安値!AA54&lt;安値!Y54,安値!AA54&lt;安値!AB54,安値!AA54&lt;安値!AC54),22,""))</f>
      </c>
      <c r="W54" s="684">
        <f>IF(終値!A54="","",IF(AND(安値!AB54&lt;安値!AA54,安値!AB54&lt;安値!Z54,安値!AB54&lt;安値!AC54,安値!AB54&lt;安値!AD54),23,""))</f>
      </c>
      <c r="X54" s="684">
        <f>IF(終値!A54="","",IF(AND(安値!AC54&lt;安値!AB54,安値!AC54&lt;安値!AA54,安値!AC54&lt;安値!AD54,安値!AC54&lt;安値!AE54),24,""))</f>
      </c>
      <c r="Y54" s="684">
        <f>IF(終値!A54="","",IF(AND(安値!AD54&lt;安値!AC54,安値!AD54&lt;安値!AB54,安値!AD54&lt;安値!AE54,安値!AD54&lt;安値!AF54),25,""))</f>
      </c>
      <c r="Z54" s="684">
        <f>IF(終値!A54="","",IF(AND(安値!AE54&lt;安値!AD54,安値!AE54&lt;安値!AC54,安値!AE54&lt;安値!AF54,安値!AE54&lt;安値!AG54),26,""))</f>
      </c>
      <c r="AA54" s="684">
        <f>IF(終値!A54="","",IF(AND(安値!AF54&lt;安値!AE54,安値!AF54&lt;安値!AD54,安値!AF54&lt;安値!AG54,安値!AF54&lt;安値!AH54),27,""))</f>
      </c>
      <c r="AB54" s="684">
        <f>IF(終値!A54="","",IF(AND(安値!AG54&lt;安値!AF54,安値!AG54&lt;安値!AE54,安値!AG54&lt;安値!AH54,安値!AG54&lt;安値!AI54),28,""))</f>
      </c>
      <c r="AC54" s="684">
        <f>IF(終値!A54="","",IF(AND(高値!G54&gt;高値!F54,高値!G54&gt;高値!E54,高値!G54&gt;高値!H54,高値!G54&gt;高値!I54),2,""))</f>
      </c>
      <c r="AD54" s="684">
        <f>IF(終値!A54="","",IF(AND(高値!H54&gt;高値!G54,高値!H54&gt;高値!F54,高値!H54&gt;高値!I54,高値!H54&gt;高値!J54),3,""))</f>
      </c>
      <c r="AE54" s="684">
        <f>IF(終値!A54="","",IF(AND(高値!I54&gt;高値!H54,高値!I54&gt;高値!G54,高値!I54&gt;高値!J54,高値!I54&gt;高値!K54),4,""))</f>
      </c>
      <c r="AF54" s="684">
        <f>IF(終値!A54="","",IF(AND(高値!J54&gt;高値!I54,高値!J54&gt;高値!H54,高値!J54&gt;高値!K54,高値!J54&gt;高値!L54),5,""))</f>
      </c>
      <c r="AG54" s="684">
        <f>IF(終値!A54="","",IF(AND(高値!K54&gt;高値!J54,高値!K54&gt;高値!I54,高値!K54&gt;高値!L54,高値!K54&gt;高値!M54),6,""))</f>
      </c>
      <c r="AH54" s="684">
        <f>IF(終値!A54="","",IF(AND(高値!L54&gt;高値!K54,高値!L54&gt;高値!J54,高値!L54&gt;高値!M54,高値!L54&gt;高値!N54),7,""))</f>
      </c>
      <c r="AI54" s="684">
        <f>IF(終値!A54="","",IF(AND(高値!M54&gt;高値!L54,高値!M54&gt;高値!K54,高値!M54&gt;高値!N54,高値!M54&gt;高値!O54),8,""))</f>
      </c>
      <c r="AJ54" s="684">
        <f>IF(終値!A54="","",IF(AND(高値!N54&gt;高値!M54,高値!N54&gt;高値!L54,高値!N54&gt;高値!O54,高値!N54&gt;高値!P54),9,""))</f>
      </c>
      <c r="AK54" s="684">
        <f>IF(終値!A54="","",IF(AND(高値!O54&gt;高値!N54,高値!O54&gt;高値!M54,高値!O54&gt;高値!P54,高値!O54&gt;高値!Q54),10,""))</f>
      </c>
      <c r="AL54" s="684">
        <f>IF(終値!A54="","",IF(AND(高値!P54&gt;高値!O54,高値!P54&gt;高値!N54,高値!P54&gt;高値!Q54,高値!P54&gt;高値!R54),11,""))</f>
      </c>
      <c r="AM54" s="684">
        <f>IF(終値!A54="","",IF(AND(高値!Q54&gt;高値!P54,高値!Q54&gt;高値!O54,高値!Q54&gt;高値!R54,高値!Q54&gt;高値!S54),12,""))</f>
      </c>
      <c r="AN54" s="684">
        <f>IF(終値!A54="","",IF(AND(高値!R54&gt;高値!Q54,高値!R54&gt;高値!P54,高値!R54&gt;高値!S54,高値!R54&gt;高値!T54),13,""))</f>
      </c>
      <c r="AO54" s="684">
        <f>IF(終値!A54="","",IF(AND(高値!S54&gt;高値!R54,高値!S54&gt;高値!Q54,高値!S54&gt;高値!T54,高値!S54&gt;高値!U54),14,""))</f>
      </c>
      <c r="AP54" s="684">
        <f>IF(終値!A54="","",IF(AND(高値!T54&gt;高値!S54,高値!T54&gt;高値!R54,高値!T54&gt;高値!U54,高値!T54&gt;高値!V54),15,""))</f>
      </c>
      <c r="AQ54" s="684">
        <f>IF(終値!A54="","",IF(AND(高値!U54&gt;高値!T54,高値!U54&gt;高値!S54,高値!U54&gt;高値!V54,高値!U54&gt;高値!W54),16,""))</f>
      </c>
      <c r="AR54" s="684">
        <f>IF(終値!A54="","",IF(AND(高値!V54&gt;高値!U54,高値!V54&gt;高値!T54,高値!V54&gt;高値!W54,高値!V54&gt;高値!X54),17,""))</f>
      </c>
      <c r="AS54" s="684">
        <f>IF(終値!A54="","",IF(AND(高値!W54&gt;高値!V54,高値!W54&gt;高値!U54,高値!W54&gt;高値!X54,高値!W54&gt;高値!Y54),18,""))</f>
      </c>
      <c r="AT54" s="684">
        <f>IF(終値!A54="","",IF(AND(高値!X54&gt;高値!W54,高値!X54&gt;高値!V54,高値!X54&gt;高値!Y54,高値!X54&gt;高値!Z54),19,""))</f>
      </c>
      <c r="AU54" s="684">
        <f>IF(終値!A54="","",IF(AND(高値!Y54&gt;高値!X54,高値!Y54&gt;高値!W54,高値!Y54&gt;高値!Z54,高値!Y54&gt;高値!AA54),20,""))</f>
      </c>
      <c r="AV54" s="684">
        <f>IF(終値!A54="","",IF(AND(高値!Z54&gt;高値!Y54,高値!Z54&gt;高値!X54,高値!Z54&gt;高値!AA54,高値!Z54&gt;高値!AB54),21,""))</f>
      </c>
      <c r="AW54" s="684">
        <f>IF(終値!A54="","",IF(AND(高値!AA54&gt;高値!Z54,高値!AA54&gt;高値!Y54,高値!AA54&gt;高値!AB54,高値!AA54&gt;高値!AC54),22,""))</f>
      </c>
      <c r="AX54" s="684">
        <f>IF(終値!A54="","",IF(AND(高値!AB54&gt;高値!AA54,高値!AB54&gt;高値!Z54,高値!AB54&gt;高値!AC54,高値!AB54&gt;高値!AD54),23,""))</f>
      </c>
      <c r="AY54" s="684">
        <f>IF(終値!A54="","",IF(AND(高値!AC54&gt;高値!AB54,高値!AC54&gt;高値!AA54,高値!AC54&gt;高値!AD54,高値!AC54&gt;高値!AE54),24,""))</f>
      </c>
      <c r="AZ54" s="684">
        <f>IF(終値!A54="","",IF(AND(高値!AD54&gt;高値!AC54,高値!AD54&gt;高値!AB54,高値!AD54&gt;高値!AE54,高値!AD54&gt;高値!AF54),25,""))</f>
      </c>
      <c r="BA54" s="684">
        <f>IF(終値!A54="","",IF(AND(高値!AE54&gt;高値!AD54,高値!AE54&gt;高値!AC54,高値!AE54&gt;高値!AF54,高値!AE54&gt;高値!AG54),26,""))</f>
      </c>
      <c r="BB54" s="684">
        <f>IF(終値!A54="","",IF(AND(高値!AF54&gt;高値!AE54,高値!AF54&gt;高値!AD54,高値!AF54&gt;高値!AG54,高値!AF54&gt;高値!AH54),27,""))</f>
      </c>
      <c r="BC54" s="684">
        <f>IF(終値!A54="","",IF(AND(高値!AG54&gt;高値!AF54,高値!AG54&gt;高値!AE54,高値!AG54&gt;高値!AH54,高値!AG54&gt;高値!AI54),28,""))</f>
      </c>
      <c r="BD54" s="684">
        <f>COUNT($B54:$AB54)</f>
      </c>
      <c r="BE54" s="684">
        <f>IF($BD54&gt;=2,MIN($B54:$AB54),"")</f>
      </c>
      <c r="BF54" s="684">
        <f>IF($BD54&gt;=2,SMALL($B54:$AB54,2),"")</f>
      </c>
      <c r="BG54" s="684">
        <f>IF($BE54="","",INDEX(安値!$E54:$CZ54,1,$BE54+1))</f>
      </c>
      <c r="BH54" s="684">
        <f>IF($BF54="","",INDEX(安値!$E54:$CZ54,1,$BF54+1))</f>
      </c>
      <c r="BI54" s="684">
        <f>IF($BF54="","",MAX(INDEX(高値!$E54:$CZ54,1,$BE54+1):INDEX(高値!$E54:$CZ54,1,$BF54+1)))</f>
      </c>
      <c r="BJ54" s="684">
        <f>IF($BF54="","",AVERAGE(INDEX(終値!$E54:$CZ54,1,$BF54+1):INDEX(終値!$E54:$CZ54,1,$BF54+20))-2*STDEVP(INDEX(終値!$E54:$CZ54,1,$BF54+1):INDEX(終値!$E54:$CZ54,1,$BF54+20)))</f>
      </c>
      <c r="BK54" s="684">
        <f>IF($BE54="","",AVERAGE(INDEX(終値!$E54:$CZ54,1,$BE54+1):INDEX(終値!$E54:$CZ54,1,$BE54+20))-2*STDEVP(INDEX(終値!$E54:$CZ54,1,$BE54+1):INDEX(終値!$E54:$CZ54,1,$BE54+20)))</f>
      </c>
      <c r="BL54" s="684">
        <f>COUNT($AC54:$BC54)</f>
      </c>
      <c r="BM54" s="684">
        <f>IF($BL54&gt;=2,MIN($AC54:$BC54),"")</f>
      </c>
      <c r="BN54" s="684">
        <f>IF($BL54&gt;=2,SMALL($AC54:$BC54,2),"")</f>
      </c>
      <c r="BO54" s="684">
        <f>IF($BM54="","",INDEX(高値!$E54:$CZ54,1,$BM54+1))</f>
      </c>
      <c r="BP54" s="684">
        <f>IF($BN54="","",INDEX(高値!$E54:$CZ54,1,$BN54+1))</f>
      </c>
      <c r="BQ54" s="684">
        <f>IF($BN54="","",MIN(INDEX(安値!$E54:$CZ54,1,$BM54+1):INDEX(安値!$E54:$CZ54,1,$BN54+1)))</f>
      </c>
      <c r="BR54" s="684">
        <f>IF($BN54="","",AVERAGE(INDEX(終値!$E54:$CZ54,1,$BN54+1):INDEX(終値!$E54:$CZ54,1,$BN54+20))+2*STDEVP(INDEX(終値!$E54:$CZ54,1,$BN54+1):INDEX(終値!$E54:$CZ54,1,$BN54+20)))</f>
      </c>
      <c r="BS54" s="684">
        <f>IF($BM54="","",AVERAGE(INDEX(終値!$E54:$CZ54,1,$BM54+1):INDEX(終値!$E54:$CZ54,1,$BM54+20))+2*STDEVP(INDEX(終値!$E54:$CZ54,1,$BM54+1):INDEX(終値!$E54:$CZ54,1,$BM54+20)))</f>
      </c>
      <c r="BT54" s="681">
        <f>IFERROR(IF(AND($BD54&gt;=2,ABS($BG54-$BH54)/$BH54&lt;=BB設定!$B$12,$BI54&gt;=MAX($BH54,$BG54)*(1+BB設定!$B$13),終値!E54&gt;$BG54),IF(OR(終値!E54&gt;=$BI54,AND($BH54&lt;$BJ54,$BG54&gt;=$BK54)),"二番底W▲","二番底W形成"),IF(AND($BL54&gt;=2,ABS($BO54-$BP54)/$BP54&lt;=BB設定!$B$12,$BQ54&lt;=MIN($BP54,$BO54)*(1-BB設定!$B$13),終値!E54&lt;$BO54),IF(OR(終値!E54&lt;=$BQ54,AND($BP54&gt;$BR54,$BO54&lt;=$BS54)),"二番天井M▼","二番天井M形成"),"－")),"－")</f>
      </c>
    </row>
    <row r="55">
      <c r="B55" s="684">
        <f>IF(終値!A55="","",IF(AND(安値!G55&lt;安値!F55,安値!G55&lt;安値!E55,安値!G55&lt;安値!H55,安値!G55&lt;安値!I55),2,""))</f>
      </c>
      <c r="C55" s="684">
        <f>IF(終値!A55="","",IF(AND(安値!H55&lt;安値!G55,安値!H55&lt;安値!F55,安値!H55&lt;安値!I55,安値!H55&lt;安値!J55),3,""))</f>
      </c>
      <c r="D55" s="684">
        <f>IF(終値!A55="","",IF(AND(安値!I55&lt;安値!H55,安値!I55&lt;安値!G55,安値!I55&lt;安値!J55,安値!I55&lt;安値!K55),4,""))</f>
      </c>
      <c r="E55" s="684">
        <f>IF(終値!A55="","",IF(AND(安値!J55&lt;安値!I55,安値!J55&lt;安値!H55,安値!J55&lt;安値!K55,安値!J55&lt;安値!L55),5,""))</f>
      </c>
      <c r="F55" s="684">
        <f>IF(終値!A55="","",IF(AND(安値!K55&lt;安値!J55,安値!K55&lt;安値!I55,安値!K55&lt;安値!L55,安値!K55&lt;安値!M55),6,""))</f>
      </c>
      <c r="G55" s="684">
        <f>IF(終値!A55="","",IF(AND(安値!L55&lt;安値!K55,安値!L55&lt;安値!J55,安値!L55&lt;安値!M55,安値!L55&lt;安値!N55),7,""))</f>
      </c>
      <c r="H55" s="684">
        <f>IF(終値!A55="","",IF(AND(安値!M55&lt;安値!L55,安値!M55&lt;安値!K55,安値!M55&lt;安値!N55,安値!M55&lt;安値!O55),8,""))</f>
      </c>
      <c r="I55" s="684">
        <f>IF(終値!A55="","",IF(AND(安値!N55&lt;安値!M55,安値!N55&lt;安値!L55,安値!N55&lt;安値!O55,安値!N55&lt;安値!P55),9,""))</f>
      </c>
      <c r="J55" s="684">
        <f>IF(終値!A55="","",IF(AND(安値!O55&lt;安値!N55,安値!O55&lt;安値!M55,安値!O55&lt;安値!P55,安値!O55&lt;安値!Q55),10,""))</f>
      </c>
      <c r="K55" s="684">
        <f>IF(終値!A55="","",IF(AND(安値!P55&lt;安値!O55,安値!P55&lt;安値!N55,安値!P55&lt;安値!Q55,安値!P55&lt;安値!R55),11,""))</f>
      </c>
      <c r="L55" s="684">
        <f>IF(終値!A55="","",IF(AND(安値!Q55&lt;安値!P55,安値!Q55&lt;安値!O55,安値!Q55&lt;安値!R55,安値!Q55&lt;安値!S55),12,""))</f>
      </c>
      <c r="M55" s="684">
        <f>IF(終値!A55="","",IF(AND(安値!R55&lt;安値!Q55,安値!R55&lt;安値!P55,安値!R55&lt;安値!S55,安値!R55&lt;安値!T55),13,""))</f>
      </c>
      <c r="N55" s="684">
        <f>IF(終値!A55="","",IF(AND(安値!S55&lt;安値!R55,安値!S55&lt;安値!Q55,安値!S55&lt;安値!T55,安値!S55&lt;安値!U55),14,""))</f>
      </c>
      <c r="O55" s="684">
        <f>IF(終値!A55="","",IF(AND(安値!T55&lt;安値!S55,安値!T55&lt;安値!R55,安値!T55&lt;安値!U55,安値!T55&lt;安値!V55),15,""))</f>
      </c>
      <c r="P55" s="684">
        <f>IF(終値!A55="","",IF(AND(安値!U55&lt;安値!T55,安値!U55&lt;安値!S55,安値!U55&lt;安値!V55,安値!U55&lt;安値!W55),16,""))</f>
      </c>
      <c r="Q55" s="684">
        <f>IF(終値!A55="","",IF(AND(安値!V55&lt;安値!U55,安値!V55&lt;安値!T55,安値!V55&lt;安値!W55,安値!V55&lt;安値!X55),17,""))</f>
      </c>
      <c r="R55" s="684">
        <f>IF(終値!A55="","",IF(AND(安値!W55&lt;安値!V55,安値!W55&lt;安値!U55,安値!W55&lt;安値!X55,安値!W55&lt;安値!Y55),18,""))</f>
      </c>
      <c r="S55" s="684">
        <f>IF(終値!A55="","",IF(AND(安値!X55&lt;安値!W55,安値!X55&lt;安値!V55,安値!X55&lt;安値!Y55,安値!X55&lt;安値!Z55),19,""))</f>
      </c>
      <c r="T55" s="684">
        <f>IF(終値!A55="","",IF(AND(安値!Y55&lt;安値!X55,安値!Y55&lt;安値!W55,安値!Y55&lt;安値!Z55,安値!Y55&lt;安値!AA55),20,""))</f>
      </c>
      <c r="U55" s="684">
        <f>IF(終値!A55="","",IF(AND(安値!Z55&lt;安値!Y55,安値!Z55&lt;安値!X55,安値!Z55&lt;安値!AA55,安値!Z55&lt;安値!AB55),21,""))</f>
      </c>
      <c r="V55" s="684">
        <f>IF(終値!A55="","",IF(AND(安値!AA55&lt;安値!Z55,安値!AA55&lt;安値!Y55,安値!AA55&lt;安値!AB55,安値!AA55&lt;安値!AC55),22,""))</f>
      </c>
      <c r="W55" s="684">
        <f>IF(終値!A55="","",IF(AND(安値!AB55&lt;安値!AA55,安値!AB55&lt;安値!Z55,安値!AB55&lt;安値!AC55,安値!AB55&lt;安値!AD55),23,""))</f>
      </c>
      <c r="X55" s="684">
        <f>IF(終値!A55="","",IF(AND(安値!AC55&lt;安値!AB55,安値!AC55&lt;安値!AA55,安値!AC55&lt;安値!AD55,安値!AC55&lt;安値!AE55),24,""))</f>
      </c>
      <c r="Y55" s="684">
        <f>IF(終値!A55="","",IF(AND(安値!AD55&lt;安値!AC55,安値!AD55&lt;安値!AB55,安値!AD55&lt;安値!AE55,安値!AD55&lt;安値!AF55),25,""))</f>
      </c>
      <c r="Z55" s="684">
        <f>IF(終値!A55="","",IF(AND(安値!AE55&lt;安値!AD55,安値!AE55&lt;安値!AC55,安値!AE55&lt;安値!AF55,安値!AE55&lt;安値!AG55),26,""))</f>
      </c>
      <c r="AA55" s="684">
        <f>IF(終値!A55="","",IF(AND(安値!AF55&lt;安値!AE55,安値!AF55&lt;安値!AD55,安値!AF55&lt;安値!AG55,安値!AF55&lt;安値!AH55),27,""))</f>
      </c>
      <c r="AB55" s="684">
        <f>IF(終値!A55="","",IF(AND(安値!AG55&lt;安値!AF55,安値!AG55&lt;安値!AE55,安値!AG55&lt;安値!AH55,安値!AG55&lt;安値!AI55),28,""))</f>
      </c>
      <c r="AC55" s="684">
        <f>IF(終値!A55="","",IF(AND(高値!G55&gt;高値!F55,高値!G55&gt;高値!E55,高値!G55&gt;高値!H55,高値!G55&gt;高値!I55),2,""))</f>
      </c>
      <c r="AD55" s="684">
        <f>IF(終値!A55="","",IF(AND(高値!H55&gt;高値!G55,高値!H55&gt;高値!F55,高値!H55&gt;高値!I55,高値!H55&gt;高値!J55),3,""))</f>
      </c>
      <c r="AE55" s="684">
        <f>IF(終値!A55="","",IF(AND(高値!I55&gt;高値!H55,高値!I55&gt;高値!G55,高値!I55&gt;高値!J55,高値!I55&gt;高値!K55),4,""))</f>
      </c>
      <c r="AF55" s="684">
        <f>IF(終値!A55="","",IF(AND(高値!J55&gt;高値!I55,高値!J55&gt;高値!H55,高値!J55&gt;高値!K55,高値!J55&gt;高値!L55),5,""))</f>
      </c>
      <c r="AG55" s="684">
        <f>IF(終値!A55="","",IF(AND(高値!K55&gt;高値!J55,高値!K55&gt;高値!I55,高値!K55&gt;高値!L55,高値!K55&gt;高値!M55),6,""))</f>
      </c>
      <c r="AH55" s="684">
        <f>IF(終値!A55="","",IF(AND(高値!L55&gt;高値!K55,高値!L55&gt;高値!J55,高値!L55&gt;高値!M55,高値!L55&gt;高値!N55),7,""))</f>
      </c>
      <c r="AI55" s="684">
        <f>IF(終値!A55="","",IF(AND(高値!M55&gt;高値!L55,高値!M55&gt;高値!K55,高値!M55&gt;高値!N55,高値!M55&gt;高値!O55),8,""))</f>
      </c>
      <c r="AJ55" s="684">
        <f>IF(終値!A55="","",IF(AND(高値!N55&gt;高値!M55,高値!N55&gt;高値!L55,高値!N55&gt;高値!O55,高値!N55&gt;高値!P55),9,""))</f>
      </c>
      <c r="AK55" s="684">
        <f>IF(終値!A55="","",IF(AND(高値!O55&gt;高値!N55,高値!O55&gt;高値!M55,高値!O55&gt;高値!P55,高値!O55&gt;高値!Q55),10,""))</f>
      </c>
      <c r="AL55" s="684">
        <f>IF(終値!A55="","",IF(AND(高値!P55&gt;高値!O55,高値!P55&gt;高値!N55,高値!P55&gt;高値!Q55,高値!P55&gt;高値!R55),11,""))</f>
      </c>
      <c r="AM55" s="684">
        <f>IF(終値!A55="","",IF(AND(高値!Q55&gt;高値!P55,高値!Q55&gt;高値!O55,高値!Q55&gt;高値!R55,高値!Q55&gt;高値!S55),12,""))</f>
      </c>
      <c r="AN55" s="684">
        <f>IF(終値!A55="","",IF(AND(高値!R55&gt;高値!Q55,高値!R55&gt;高値!P55,高値!R55&gt;高値!S55,高値!R55&gt;高値!T55),13,""))</f>
      </c>
      <c r="AO55" s="684">
        <f>IF(終値!A55="","",IF(AND(高値!S55&gt;高値!R55,高値!S55&gt;高値!Q55,高値!S55&gt;高値!T55,高値!S55&gt;高値!U55),14,""))</f>
      </c>
      <c r="AP55" s="684">
        <f>IF(終値!A55="","",IF(AND(高値!T55&gt;高値!S55,高値!T55&gt;高値!R55,高値!T55&gt;高値!U55,高値!T55&gt;高値!V55),15,""))</f>
      </c>
      <c r="AQ55" s="684">
        <f>IF(終値!A55="","",IF(AND(高値!U55&gt;高値!T55,高値!U55&gt;高値!S55,高値!U55&gt;高値!V55,高値!U55&gt;高値!W55),16,""))</f>
      </c>
      <c r="AR55" s="684">
        <f>IF(終値!A55="","",IF(AND(高値!V55&gt;高値!U55,高値!V55&gt;高値!T55,高値!V55&gt;高値!W55,高値!V55&gt;高値!X55),17,""))</f>
      </c>
      <c r="AS55" s="684">
        <f>IF(終値!A55="","",IF(AND(高値!W55&gt;高値!V55,高値!W55&gt;高値!U55,高値!W55&gt;高値!X55,高値!W55&gt;高値!Y55),18,""))</f>
      </c>
      <c r="AT55" s="684">
        <f>IF(終値!A55="","",IF(AND(高値!X55&gt;高値!W55,高値!X55&gt;高値!V55,高値!X55&gt;高値!Y55,高値!X55&gt;高値!Z55),19,""))</f>
      </c>
      <c r="AU55" s="684">
        <f>IF(終値!A55="","",IF(AND(高値!Y55&gt;高値!X55,高値!Y55&gt;高値!W55,高値!Y55&gt;高値!Z55,高値!Y55&gt;高値!AA55),20,""))</f>
      </c>
      <c r="AV55" s="684">
        <f>IF(終値!A55="","",IF(AND(高値!Z55&gt;高値!Y55,高値!Z55&gt;高値!X55,高値!Z55&gt;高値!AA55,高値!Z55&gt;高値!AB55),21,""))</f>
      </c>
      <c r="AW55" s="684">
        <f>IF(終値!A55="","",IF(AND(高値!AA55&gt;高値!Z55,高値!AA55&gt;高値!Y55,高値!AA55&gt;高値!AB55,高値!AA55&gt;高値!AC55),22,""))</f>
      </c>
      <c r="AX55" s="684">
        <f>IF(終値!A55="","",IF(AND(高値!AB55&gt;高値!AA55,高値!AB55&gt;高値!Z55,高値!AB55&gt;高値!AC55,高値!AB55&gt;高値!AD55),23,""))</f>
      </c>
      <c r="AY55" s="684">
        <f>IF(終値!A55="","",IF(AND(高値!AC55&gt;高値!AB55,高値!AC55&gt;高値!AA55,高値!AC55&gt;高値!AD55,高値!AC55&gt;高値!AE55),24,""))</f>
      </c>
      <c r="AZ55" s="684">
        <f>IF(終値!A55="","",IF(AND(高値!AD55&gt;高値!AC55,高値!AD55&gt;高値!AB55,高値!AD55&gt;高値!AE55,高値!AD55&gt;高値!AF55),25,""))</f>
      </c>
      <c r="BA55" s="684">
        <f>IF(終値!A55="","",IF(AND(高値!AE55&gt;高値!AD55,高値!AE55&gt;高値!AC55,高値!AE55&gt;高値!AF55,高値!AE55&gt;高値!AG55),26,""))</f>
      </c>
      <c r="BB55" s="684">
        <f>IF(終値!A55="","",IF(AND(高値!AF55&gt;高値!AE55,高値!AF55&gt;高値!AD55,高値!AF55&gt;高値!AG55,高値!AF55&gt;高値!AH55),27,""))</f>
      </c>
      <c r="BC55" s="684">
        <f>IF(終値!A55="","",IF(AND(高値!AG55&gt;高値!AF55,高値!AG55&gt;高値!AE55,高値!AG55&gt;高値!AH55,高値!AG55&gt;高値!AI55),28,""))</f>
      </c>
      <c r="BD55" s="684">
        <f>COUNT($B55:$AB55)</f>
      </c>
      <c r="BE55" s="684">
        <f>IF($BD55&gt;=2,MIN($B55:$AB55),"")</f>
      </c>
      <c r="BF55" s="684">
        <f>IF($BD55&gt;=2,SMALL($B55:$AB55,2),"")</f>
      </c>
      <c r="BG55" s="684">
        <f>IF($BE55="","",INDEX(安値!$E55:$CZ55,1,$BE55+1))</f>
      </c>
      <c r="BH55" s="684">
        <f>IF($BF55="","",INDEX(安値!$E55:$CZ55,1,$BF55+1))</f>
      </c>
      <c r="BI55" s="684">
        <f>IF($BF55="","",MAX(INDEX(高値!$E55:$CZ55,1,$BE55+1):INDEX(高値!$E55:$CZ55,1,$BF55+1)))</f>
      </c>
      <c r="BJ55" s="684">
        <f>IF($BF55="","",AVERAGE(INDEX(終値!$E55:$CZ55,1,$BF55+1):INDEX(終値!$E55:$CZ55,1,$BF55+20))-2*STDEVP(INDEX(終値!$E55:$CZ55,1,$BF55+1):INDEX(終値!$E55:$CZ55,1,$BF55+20)))</f>
      </c>
      <c r="BK55" s="684">
        <f>IF($BE55="","",AVERAGE(INDEX(終値!$E55:$CZ55,1,$BE55+1):INDEX(終値!$E55:$CZ55,1,$BE55+20))-2*STDEVP(INDEX(終値!$E55:$CZ55,1,$BE55+1):INDEX(終値!$E55:$CZ55,1,$BE55+20)))</f>
      </c>
      <c r="BL55" s="684">
        <f>COUNT($AC55:$BC55)</f>
      </c>
      <c r="BM55" s="684">
        <f>IF($BL55&gt;=2,MIN($AC55:$BC55),"")</f>
      </c>
      <c r="BN55" s="684">
        <f>IF($BL55&gt;=2,SMALL($AC55:$BC55,2),"")</f>
      </c>
      <c r="BO55" s="684">
        <f>IF($BM55="","",INDEX(高値!$E55:$CZ55,1,$BM55+1))</f>
      </c>
      <c r="BP55" s="684">
        <f>IF($BN55="","",INDEX(高値!$E55:$CZ55,1,$BN55+1))</f>
      </c>
      <c r="BQ55" s="684">
        <f>IF($BN55="","",MIN(INDEX(安値!$E55:$CZ55,1,$BM55+1):INDEX(安値!$E55:$CZ55,1,$BN55+1)))</f>
      </c>
      <c r="BR55" s="684">
        <f>IF($BN55="","",AVERAGE(INDEX(終値!$E55:$CZ55,1,$BN55+1):INDEX(終値!$E55:$CZ55,1,$BN55+20))+2*STDEVP(INDEX(終値!$E55:$CZ55,1,$BN55+1):INDEX(終値!$E55:$CZ55,1,$BN55+20)))</f>
      </c>
      <c r="BS55" s="684">
        <f>IF($BM55="","",AVERAGE(INDEX(終値!$E55:$CZ55,1,$BM55+1):INDEX(終値!$E55:$CZ55,1,$BM55+20))+2*STDEVP(INDEX(終値!$E55:$CZ55,1,$BM55+1):INDEX(終値!$E55:$CZ55,1,$BM55+20)))</f>
      </c>
      <c r="BT55" s="681">
        <f>IFERROR(IF(AND($BD55&gt;=2,ABS($BG55-$BH55)/$BH55&lt;=BB設定!$B$12,$BI55&gt;=MAX($BH55,$BG55)*(1+BB設定!$B$13),終値!E55&gt;$BG55),IF(OR(終値!E55&gt;=$BI55,AND($BH55&lt;$BJ55,$BG55&gt;=$BK55)),"二番底W▲","二番底W形成"),IF(AND($BL55&gt;=2,ABS($BO55-$BP55)/$BP55&lt;=BB設定!$B$12,$BQ55&lt;=MIN($BP55,$BO55)*(1-BB設定!$B$13),終値!E55&lt;$BO55),IF(OR(終値!E55&lt;=$BQ55,AND($BP55&gt;$BR55,$BO55&lt;=$BS55)),"二番天井M▼","二番天井M形成"),"－")),"－")</f>
      </c>
    </row>
    <row r="56">
      <c r="B56" s="684">
        <f>IF(終値!A56="","",IF(AND(安値!G56&lt;安値!F56,安値!G56&lt;安値!E56,安値!G56&lt;安値!H56,安値!G56&lt;安値!I56),2,""))</f>
      </c>
      <c r="C56" s="684">
        <f>IF(終値!A56="","",IF(AND(安値!H56&lt;安値!G56,安値!H56&lt;安値!F56,安値!H56&lt;安値!I56,安値!H56&lt;安値!J56),3,""))</f>
      </c>
      <c r="D56" s="684">
        <f>IF(終値!A56="","",IF(AND(安値!I56&lt;安値!H56,安値!I56&lt;安値!G56,安値!I56&lt;安値!J56,安値!I56&lt;安値!K56),4,""))</f>
      </c>
      <c r="E56" s="684">
        <f>IF(終値!A56="","",IF(AND(安値!J56&lt;安値!I56,安値!J56&lt;安値!H56,安値!J56&lt;安値!K56,安値!J56&lt;安値!L56),5,""))</f>
      </c>
      <c r="F56" s="684">
        <f>IF(終値!A56="","",IF(AND(安値!K56&lt;安値!J56,安値!K56&lt;安値!I56,安値!K56&lt;安値!L56,安値!K56&lt;安値!M56),6,""))</f>
      </c>
      <c r="G56" s="684">
        <f>IF(終値!A56="","",IF(AND(安値!L56&lt;安値!K56,安値!L56&lt;安値!J56,安値!L56&lt;安値!M56,安値!L56&lt;安値!N56),7,""))</f>
      </c>
      <c r="H56" s="684">
        <f>IF(終値!A56="","",IF(AND(安値!M56&lt;安値!L56,安値!M56&lt;安値!K56,安値!M56&lt;安値!N56,安値!M56&lt;安値!O56),8,""))</f>
      </c>
      <c r="I56" s="684">
        <f>IF(終値!A56="","",IF(AND(安値!N56&lt;安値!M56,安値!N56&lt;安値!L56,安値!N56&lt;安値!O56,安値!N56&lt;安値!P56),9,""))</f>
      </c>
      <c r="J56" s="684">
        <f>IF(終値!A56="","",IF(AND(安値!O56&lt;安値!N56,安値!O56&lt;安値!M56,安値!O56&lt;安値!P56,安値!O56&lt;安値!Q56),10,""))</f>
      </c>
      <c r="K56" s="684">
        <f>IF(終値!A56="","",IF(AND(安値!P56&lt;安値!O56,安値!P56&lt;安値!N56,安値!P56&lt;安値!Q56,安値!P56&lt;安値!R56),11,""))</f>
      </c>
      <c r="L56" s="684">
        <f>IF(終値!A56="","",IF(AND(安値!Q56&lt;安値!P56,安値!Q56&lt;安値!O56,安値!Q56&lt;安値!R56,安値!Q56&lt;安値!S56),12,""))</f>
      </c>
      <c r="M56" s="684">
        <f>IF(終値!A56="","",IF(AND(安値!R56&lt;安値!Q56,安値!R56&lt;安値!P56,安値!R56&lt;安値!S56,安値!R56&lt;安値!T56),13,""))</f>
      </c>
      <c r="N56" s="684">
        <f>IF(終値!A56="","",IF(AND(安値!S56&lt;安値!R56,安値!S56&lt;安値!Q56,安値!S56&lt;安値!T56,安値!S56&lt;安値!U56),14,""))</f>
      </c>
      <c r="O56" s="684">
        <f>IF(終値!A56="","",IF(AND(安値!T56&lt;安値!S56,安値!T56&lt;安値!R56,安値!T56&lt;安値!U56,安値!T56&lt;安値!V56),15,""))</f>
      </c>
      <c r="P56" s="684">
        <f>IF(終値!A56="","",IF(AND(安値!U56&lt;安値!T56,安値!U56&lt;安値!S56,安値!U56&lt;安値!V56,安値!U56&lt;安値!W56),16,""))</f>
      </c>
      <c r="Q56" s="684">
        <f>IF(終値!A56="","",IF(AND(安値!V56&lt;安値!U56,安値!V56&lt;安値!T56,安値!V56&lt;安値!W56,安値!V56&lt;安値!X56),17,""))</f>
      </c>
      <c r="R56" s="684">
        <f>IF(終値!A56="","",IF(AND(安値!W56&lt;安値!V56,安値!W56&lt;安値!U56,安値!W56&lt;安値!X56,安値!W56&lt;安値!Y56),18,""))</f>
      </c>
      <c r="S56" s="684">
        <f>IF(終値!A56="","",IF(AND(安値!X56&lt;安値!W56,安値!X56&lt;安値!V56,安値!X56&lt;安値!Y56,安値!X56&lt;安値!Z56),19,""))</f>
      </c>
      <c r="T56" s="684">
        <f>IF(終値!A56="","",IF(AND(安値!Y56&lt;安値!X56,安値!Y56&lt;安値!W56,安値!Y56&lt;安値!Z56,安値!Y56&lt;安値!AA56),20,""))</f>
      </c>
      <c r="U56" s="684">
        <f>IF(終値!A56="","",IF(AND(安値!Z56&lt;安値!Y56,安値!Z56&lt;安値!X56,安値!Z56&lt;安値!AA56,安値!Z56&lt;安値!AB56),21,""))</f>
      </c>
      <c r="V56" s="684">
        <f>IF(終値!A56="","",IF(AND(安値!AA56&lt;安値!Z56,安値!AA56&lt;安値!Y56,安値!AA56&lt;安値!AB56,安値!AA56&lt;安値!AC56),22,""))</f>
      </c>
      <c r="W56" s="684">
        <f>IF(終値!A56="","",IF(AND(安値!AB56&lt;安値!AA56,安値!AB56&lt;安値!Z56,安値!AB56&lt;安値!AC56,安値!AB56&lt;安値!AD56),23,""))</f>
      </c>
      <c r="X56" s="684">
        <f>IF(終値!A56="","",IF(AND(安値!AC56&lt;安値!AB56,安値!AC56&lt;安値!AA56,安値!AC56&lt;安値!AD56,安値!AC56&lt;安値!AE56),24,""))</f>
      </c>
      <c r="Y56" s="684">
        <f>IF(終値!A56="","",IF(AND(安値!AD56&lt;安値!AC56,安値!AD56&lt;安値!AB56,安値!AD56&lt;安値!AE56,安値!AD56&lt;安値!AF56),25,""))</f>
      </c>
      <c r="Z56" s="684">
        <f>IF(終値!A56="","",IF(AND(安値!AE56&lt;安値!AD56,安値!AE56&lt;安値!AC56,安値!AE56&lt;安値!AF56,安値!AE56&lt;安値!AG56),26,""))</f>
      </c>
      <c r="AA56" s="684">
        <f>IF(終値!A56="","",IF(AND(安値!AF56&lt;安値!AE56,安値!AF56&lt;安値!AD56,安値!AF56&lt;安値!AG56,安値!AF56&lt;安値!AH56),27,""))</f>
      </c>
      <c r="AB56" s="684">
        <f>IF(終値!A56="","",IF(AND(安値!AG56&lt;安値!AF56,安値!AG56&lt;安値!AE56,安値!AG56&lt;安値!AH56,安値!AG56&lt;安値!AI56),28,""))</f>
      </c>
      <c r="AC56" s="684">
        <f>IF(終値!A56="","",IF(AND(高値!G56&gt;高値!F56,高値!G56&gt;高値!E56,高値!G56&gt;高値!H56,高値!G56&gt;高値!I56),2,""))</f>
      </c>
      <c r="AD56" s="684">
        <f>IF(終値!A56="","",IF(AND(高値!H56&gt;高値!G56,高値!H56&gt;高値!F56,高値!H56&gt;高値!I56,高値!H56&gt;高値!J56),3,""))</f>
      </c>
      <c r="AE56" s="684">
        <f>IF(終値!A56="","",IF(AND(高値!I56&gt;高値!H56,高値!I56&gt;高値!G56,高値!I56&gt;高値!J56,高値!I56&gt;高値!K56),4,""))</f>
      </c>
      <c r="AF56" s="684">
        <f>IF(終値!A56="","",IF(AND(高値!J56&gt;高値!I56,高値!J56&gt;高値!H56,高値!J56&gt;高値!K56,高値!J56&gt;高値!L56),5,""))</f>
      </c>
      <c r="AG56" s="684">
        <f>IF(終値!A56="","",IF(AND(高値!K56&gt;高値!J56,高値!K56&gt;高値!I56,高値!K56&gt;高値!L56,高値!K56&gt;高値!M56),6,""))</f>
      </c>
      <c r="AH56" s="684">
        <f>IF(終値!A56="","",IF(AND(高値!L56&gt;高値!K56,高値!L56&gt;高値!J56,高値!L56&gt;高値!M56,高値!L56&gt;高値!N56),7,""))</f>
      </c>
      <c r="AI56" s="684">
        <f>IF(終値!A56="","",IF(AND(高値!M56&gt;高値!L56,高値!M56&gt;高値!K56,高値!M56&gt;高値!N56,高値!M56&gt;高値!O56),8,""))</f>
      </c>
      <c r="AJ56" s="684">
        <f>IF(終値!A56="","",IF(AND(高値!N56&gt;高値!M56,高値!N56&gt;高値!L56,高値!N56&gt;高値!O56,高値!N56&gt;高値!P56),9,""))</f>
      </c>
      <c r="AK56" s="684">
        <f>IF(終値!A56="","",IF(AND(高値!O56&gt;高値!N56,高値!O56&gt;高値!M56,高値!O56&gt;高値!P56,高値!O56&gt;高値!Q56),10,""))</f>
      </c>
      <c r="AL56" s="684">
        <f>IF(終値!A56="","",IF(AND(高値!P56&gt;高値!O56,高値!P56&gt;高値!N56,高値!P56&gt;高値!Q56,高値!P56&gt;高値!R56),11,""))</f>
      </c>
      <c r="AM56" s="684">
        <f>IF(終値!A56="","",IF(AND(高値!Q56&gt;高値!P56,高値!Q56&gt;高値!O56,高値!Q56&gt;高値!R56,高値!Q56&gt;高値!S56),12,""))</f>
      </c>
      <c r="AN56" s="684">
        <f>IF(終値!A56="","",IF(AND(高値!R56&gt;高値!Q56,高値!R56&gt;高値!P56,高値!R56&gt;高値!S56,高値!R56&gt;高値!T56),13,""))</f>
      </c>
      <c r="AO56" s="684">
        <f>IF(終値!A56="","",IF(AND(高値!S56&gt;高値!R56,高値!S56&gt;高値!Q56,高値!S56&gt;高値!T56,高値!S56&gt;高値!U56),14,""))</f>
      </c>
      <c r="AP56" s="684">
        <f>IF(終値!A56="","",IF(AND(高値!T56&gt;高値!S56,高値!T56&gt;高値!R56,高値!T56&gt;高値!U56,高値!T56&gt;高値!V56),15,""))</f>
      </c>
      <c r="AQ56" s="684">
        <f>IF(終値!A56="","",IF(AND(高値!U56&gt;高値!T56,高値!U56&gt;高値!S56,高値!U56&gt;高値!V56,高値!U56&gt;高値!W56),16,""))</f>
      </c>
      <c r="AR56" s="684">
        <f>IF(終値!A56="","",IF(AND(高値!V56&gt;高値!U56,高値!V56&gt;高値!T56,高値!V56&gt;高値!W56,高値!V56&gt;高値!X56),17,""))</f>
      </c>
      <c r="AS56" s="684">
        <f>IF(終値!A56="","",IF(AND(高値!W56&gt;高値!V56,高値!W56&gt;高値!U56,高値!W56&gt;高値!X56,高値!W56&gt;高値!Y56),18,""))</f>
      </c>
      <c r="AT56" s="684">
        <f>IF(終値!A56="","",IF(AND(高値!X56&gt;高値!W56,高値!X56&gt;高値!V56,高値!X56&gt;高値!Y56,高値!X56&gt;高値!Z56),19,""))</f>
      </c>
      <c r="AU56" s="684">
        <f>IF(終値!A56="","",IF(AND(高値!Y56&gt;高値!X56,高値!Y56&gt;高値!W56,高値!Y56&gt;高値!Z56,高値!Y56&gt;高値!AA56),20,""))</f>
      </c>
      <c r="AV56" s="684">
        <f>IF(終値!A56="","",IF(AND(高値!Z56&gt;高値!Y56,高値!Z56&gt;高値!X56,高値!Z56&gt;高値!AA56,高値!Z56&gt;高値!AB56),21,""))</f>
      </c>
      <c r="AW56" s="684">
        <f>IF(終値!A56="","",IF(AND(高値!AA56&gt;高値!Z56,高値!AA56&gt;高値!Y56,高値!AA56&gt;高値!AB56,高値!AA56&gt;高値!AC56),22,""))</f>
      </c>
      <c r="AX56" s="684">
        <f>IF(終値!A56="","",IF(AND(高値!AB56&gt;高値!AA56,高値!AB56&gt;高値!Z56,高値!AB56&gt;高値!AC56,高値!AB56&gt;高値!AD56),23,""))</f>
      </c>
      <c r="AY56" s="684">
        <f>IF(終値!A56="","",IF(AND(高値!AC56&gt;高値!AB56,高値!AC56&gt;高値!AA56,高値!AC56&gt;高値!AD56,高値!AC56&gt;高値!AE56),24,""))</f>
      </c>
      <c r="AZ56" s="684">
        <f>IF(終値!A56="","",IF(AND(高値!AD56&gt;高値!AC56,高値!AD56&gt;高値!AB56,高値!AD56&gt;高値!AE56,高値!AD56&gt;高値!AF56),25,""))</f>
      </c>
      <c r="BA56" s="684">
        <f>IF(終値!A56="","",IF(AND(高値!AE56&gt;高値!AD56,高値!AE56&gt;高値!AC56,高値!AE56&gt;高値!AF56,高値!AE56&gt;高値!AG56),26,""))</f>
      </c>
      <c r="BB56" s="684">
        <f>IF(終値!A56="","",IF(AND(高値!AF56&gt;高値!AE56,高値!AF56&gt;高値!AD56,高値!AF56&gt;高値!AG56,高値!AF56&gt;高値!AH56),27,""))</f>
      </c>
      <c r="BC56" s="684">
        <f>IF(終値!A56="","",IF(AND(高値!AG56&gt;高値!AF56,高値!AG56&gt;高値!AE56,高値!AG56&gt;高値!AH56,高値!AG56&gt;高値!AI56),28,""))</f>
      </c>
      <c r="BD56" s="684">
        <f>COUNT($B56:$AB56)</f>
      </c>
      <c r="BE56" s="684">
        <f>IF($BD56&gt;=2,MIN($B56:$AB56),"")</f>
      </c>
      <c r="BF56" s="684">
        <f>IF($BD56&gt;=2,SMALL($B56:$AB56,2),"")</f>
      </c>
      <c r="BG56" s="684">
        <f>IF($BE56="","",INDEX(安値!$E56:$CZ56,1,$BE56+1))</f>
      </c>
      <c r="BH56" s="684">
        <f>IF($BF56="","",INDEX(安値!$E56:$CZ56,1,$BF56+1))</f>
      </c>
      <c r="BI56" s="684">
        <f>IF($BF56="","",MAX(INDEX(高値!$E56:$CZ56,1,$BE56+1):INDEX(高値!$E56:$CZ56,1,$BF56+1)))</f>
      </c>
      <c r="BJ56" s="684">
        <f>IF($BF56="","",AVERAGE(INDEX(終値!$E56:$CZ56,1,$BF56+1):INDEX(終値!$E56:$CZ56,1,$BF56+20))-2*STDEVP(INDEX(終値!$E56:$CZ56,1,$BF56+1):INDEX(終値!$E56:$CZ56,1,$BF56+20)))</f>
      </c>
      <c r="BK56" s="684">
        <f>IF($BE56="","",AVERAGE(INDEX(終値!$E56:$CZ56,1,$BE56+1):INDEX(終値!$E56:$CZ56,1,$BE56+20))-2*STDEVP(INDEX(終値!$E56:$CZ56,1,$BE56+1):INDEX(終値!$E56:$CZ56,1,$BE56+20)))</f>
      </c>
      <c r="BL56" s="684">
        <f>COUNT($AC56:$BC56)</f>
      </c>
      <c r="BM56" s="684">
        <f>IF($BL56&gt;=2,MIN($AC56:$BC56),"")</f>
      </c>
      <c r="BN56" s="684">
        <f>IF($BL56&gt;=2,SMALL($AC56:$BC56,2),"")</f>
      </c>
      <c r="BO56" s="684">
        <f>IF($BM56="","",INDEX(高値!$E56:$CZ56,1,$BM56+1))</f>
      </c>
      <c r="BP56" s="684">
        <f>IF($BN56="","",INDEX(高値!$E56:$CZ56,1,$BN56+1))</f>
      </c>
      <c r="BQ56" s="684">
        <f>IF($BN56="","",MIN(INDEX(安値!$E56:$CZ56,1,$BM56+1):INDEX(安値!$E56:$CZ56,1,$BN56+1)))</f>
      </c>
      <c r="BR56" s="684">
        <f>IF($BN56="","",AVERAGE(INDEX(終値!$E56:$CZ56,1,$BN56+1):INDEX(終値!$E56:$CZ56,1,$BN56+20))+2*STDEVP(INDEX(終値!$E56:$CZ56,1,$BN56+1):INDEX(終値!$E56:$CZ56,1,$BN56+20)))</f>
      </c>
      <c r="BS56" s="684">
        <f>IF($BM56="","",AVERAGE(INDEX(終値!$E56:$CZ56,1,$BM56+1):INDEX(終値!$E56:$CZ56,1,$BM56+20))+2*STDEVP(INDEX(終値!$E56:$CZ56,1,$BM56+1):INDEX(終値!$E56:$CZ56,1,$BM56+20)))</f>
      </c>
      <c r="BT56" s="681">
        <f>IFERROR(IF(AND($BD56&gt;=2,ABS($BG56-$BH56)/$BH56&lt;=BB設定!$B$12,$BI56&gt;=MAX($BH56,$BG56)*(1+BB設定!$B$13),終値!E56&gt;$BG56),IF(OR(終値!E56&gt;=$BI56,AND($BH56&lt;$BJ56,$BG56&gt;=$BK56)),"二番底W▲","二番底W形成"),IF(AND($BL56&gt;=2,ABS($BO56-$BP56)/$BP56&lt;=BB設定!$B$12,$BQ56&lt;=MIN($BP56,$BO56)*(1-BB設定!$B$13),終値!E56&lt;$BO56),IF(OR(終値!E56&lt;=$BQ56,AND($BP56&gt;$BR56,$BO56&lt;=$BS56)),"二番天井M▼","二番天井M形成"),"－")),"－")</f>
      </c>
    </row>
    <row r="57">
      <c r="B57" s="684">
        <f>IF(終値!A57="","",IF(AND(安値!G57&lt;安値!F57,安値!G57&lt;安値!E57,安値!G57&lt;安値!H57,安値!G57&lt;安値!I57),2,""))</f>
      </c>
      <c r="C57" s="684">
        <f>IF(終値!A57="","",IF(AND(安値!H57&lt;安値!G57,安値!H57&lt;安値!F57,安値!H57&lt;安値!I57,安値!H57&lt;安値!J57),3,""))</f>
      </c>
      <c r="D57" s="684">
        <f>IF(終値!A57="","",IF(AND(安値!I57&lt;安値!H57,安値!I57&lt;安値!G57,安値!I57&lt;安値!J57,安値!I57&lt;安値!K57),4,""))</f>
      </c>
      <c r="E57" s="684">
        <f>IF(終値!A57="","",IF(AND(安値!J57&lt;安値!I57,安値!J57&lt;安値!H57,安値!J57&lt;安値!K57,安値!J57&lt;安値!L57),5,""))</f>
      </c>
      <c r="F57" s="684">
        <f>IF(終値!A57="","",IF(AND(安値!K57&lt;安値!J57,安値!K57&lt;安値!I57,安値!K57&lt;安値!L57,安値!K57&lt;安値!M57),6,""))</f>
      </c>
      <c r="G57" s="684">
        <f>IF(終値!A57="","",IF(AND(安値!L57&lt;安値!K57,安値!L57&lt;安値!J57,安値!L57&lt;安値!M57,安値!L57&lt;安値!N57),7,""))</f>
      </c>
      <c r="H57" s="684">
        <f>IF(終値!A57="","",IF(AND(安値!M57&lt;安値!L57,安値!M57&lt;安値!K57,安値!M57&lt;安値!N57,安値!M57&lt;安値!O57),8,""))</f>
      </c>
      <c r="I57" s="684">
        <f>IF(終値!A57="","",IF(AND(安値!N57&lt;安値!M57,安値!N57&lt;安値!L57,安値!N57&lt;安値!O57,安値!N57&lt;安値!P57),9,""))</f>
      </c>
      <c r="J57" s="684">
        <f>IF(終値!A57="","",IF(AND(安値!O57&lt;安値!N57,安値!O57&lt;安値!M57,安値!O57&lt;安値!P57,安値!O57&lt;安値!Q57),10,""))</f>
      </c>
      <c r="K57" s="684">
        <f>IF(終値!A57="","",IF(AND(安値!P57&lt;安値!O57,安値!P57&lt;安値!N57,安値!P57&lt;安値!Q57,安値!P57&lt;安値!R57),11,""))</f>
      </c>
      <c r="L57" s="684">
        <f>IF(終値!A57="","",IF(AND(安値!Q57&lt;安値!P57,安値!Q57&lt;安値!O57,安値!Q57&lt;安値!R57,安値!Q57&lt;安値!S57),12,""))</f>
      </c>
      <c r="M57" s="684">
        <f>IF(終値!A57="","",IF(AND(安値!R57&lt;安値!Q57,安値!R57&lt;安値!P57,安値!R57&lt;安値!S57,安値!R57&lt;安値!T57),13,""))</f>
      </c>
      <c r="N57" s="684">
        <f>IF(終値!A57="","",IF(AND(安値!S57&lt;安値!R57,安値!S57&lt;安値!Q57,安値!S57&lt;安値!T57,安値!S57&lt;安値!U57),14,""))</f>
      </c>
      <c r="O57" s="684">
        <f>IF(終値!A57="","",IF(AND(安値!T57&lt;安値!S57,安値!T57&lt;安値!R57,安値!T57&lt;安値!U57,安値!T57&lt;安値!V57),15,""))</f>
      </c>
      <c r="P57" s="684">
        <f>IF(終値!A57="","",IF(AND(安値!U57&lt;安値!T57,安値!U57&lt;安値!S57,安値!U57&lt;安値!V57,安値!U57&lt;安値!W57),16,""))</f>
      </c>
      <c r="Q57" s="684">
        <f>IF(終値!A57="","",IF(AND(安値!V57&lt;安値!U57,安値!V57&lt;安値!T57,安値!V57&lt;安値!W57,安値!V57&lt;安値!X57),17,""))</f>
      </c>
      <c r="R57" s="684">
        <f>IF(終値!A57="","",IF(AND(安値!W57&lt;安値!V57,安値!W57&lt;安値!U57,安値!W57&lt;安値!X57,安値!W57&lt;安値!Y57),18,""))</f>
      </c>
      <c r="S57" s="684">
        <f>IF(終値!A57="","",IF(AND(安値!X57&lt;安値!W57,安値!X57&lt;安値!V57,安値!X57&lt;安値!Y57,安値!X57&lt;安値!Z57),19,""))</f>
      </c>
      <c r="T57" s="684">
        <f>IF(終値!A57="","",IF(AND(安値!Y57&lt;安値!X57,安値!Y57&lt;安値!W57,安値!Y57&lt;安値!Z57,安値!Y57&lt;安値!AA57),20,""))</f>
      </c>
      <c r="U57" s="684">
        <f>IF(終値!A57="","",IF(AND(安値!Z57&lt;安値!Y57,安値!Z57&lt;安値!X57,安値!Z57&lt;安値!AA57,安値!Z57&lt;安値!AB57),21,""))</f>
      </c>
      <c r="V57" s="684">
        <f>IF(終値!A57="","",IF(AND(安値!AA57&lt;安値!Z57,安値!AA57&lt;安値!Y57,安値!AA57&lt;安値!AB57,安値!AA57&lt;安値!AC57),22,""))</f>
      </c>
      <c r="W57" s="684">
        <f>IF(終値!A57="","",IF(AND(安値!AB57&lt;安値!AA57,安値!AB57&lt;安値!Z57,安値!AB57&lt;安値!AC57,安値!AB57&lt;安値!AD57),23,""))</f>
      </c>
      <c r="X57" s="684">
        <f>IF(終値!A57="","",IF(AND(安値!AC57&lt;安値!AB57,安値!AC57&lt;安値!AA57,安値!AC57&lt;安値!AD57,安値!AC57&lt;安値!AE57),24,""))</f>
      </c>
      <c r="Y57" s="684">
        <f>IF(終値!A57="","",IF(AND(安値!AD57&lt;安値!AC57,安値!AD57&lt;安値!AB57,安値!AD57&lt;安値!AE57,安値!AD57&lt;安値!AF57),25,""))</f>
      </c>
      <c r="Z57" s="684">
        <f>IF(終値!A57="","",IF(AND(安値!AE57&lt;安値!AD57,安値!AE57&lt;安値!AC57,安値!AE57&lt;安値!AF57,安値!AE57&lt;安値!AG57),26,""))</f>
      </c>
      <c r="AA57" s="684">
        <f>IF(終値!A57="","",IF(AND(安値!AF57&lt;安値!AE57,安値!AF57&lt;安値!AD57,安値!AF57&lt;安値!AG57,安値!AF57&lt;安値!AH57),27,""))</f>
      </c>
      <c r="AB57" s="684">
        <f>IF(終値!A57="","",IF(AND(安値!AG57&lt;安値!AF57,安値!AG57&lt;安値!AE57,安値!AG57&lt;安値!AH57,安値!AG57&lt;安値!AI57),28,""))</f>
      </c>
      <c r="AC57" s="684">
        <f>IF(終値!A57="","",IF(AND(高値!G57&gt;高値!F57,高値!G57&gt;高値!E57,高値!G57&gt;高値!H57,高値!G57&gt;高値!I57),2,""))</f>
      </c>
      <c r="AD57" s="684">
        <f>IF(終値!A57="","",IF(AND(高値!H57&gt;高値!G57,高値!H57&gt;高値!F57,高値!H57&gt;高値!I57,高値!H57&gt;高値!J57),3,""))</f>
      </c>
      <c r="AE57" s="684">
        <f>IF(終値!A57="","",IF(AND(高値!I57&gt;高値!H57,高値!I57&gt;高値!G57,高値!I57&gt;高値!J57,高値!I57&gt;高値!K57),4,""))</f>
      </c>
      <c r="AF57" s="684">
        <f>IF(終値!A57="","",IF(AND(高値!J57&gt;高値!I57,高値!J57&gt;高値!H57,高値!J57&gt;高値!K57,高値!J57&gt;高値!L57),5,""))</f>
      </c>
      <c r="AG57" s="684">
        <f>IF(終値!A57="","",IF(AND(高値!K57&gt;高値!J57,高値!K57&gt;高値!I57,高値!K57&gt;高値!L57,高値!K57&gt;高値!M57),6,""))</f>
      </c>
      <c r="AH57" s="684">
        <f>IF(終値!A57="","",IF(AND(高値!L57&gt;高値!K57,高値!L57&gt;高値!J57,高値!L57&gt;高値!M57,高値!L57&gt;高値!N57),7,""))</f>
      </c>
      <c r="AI57" s="684">
        <f>IF(終値!A57="","",IF(AND(高値!M57&gt;高値!L57,高値!M57&gt;高値!K57,高値!M57&gt;高値!N57,高値!M57&gt;高値!O57),8,""))</f>
      </c>
      <c r="AJ57" s="684">
        <f>IF(終値!A57="","",IF(AND(高値!N57&gt;高値!M57,高値!N57&gt;高値!L57,高値!N57&gt;高値!O57,高値!N57&gt;高値!P57),9,""))</f>
      </c>
      <c r="AK57" s="684">
        <f>IF(終値!A57="","",IF(AND(高値!O57&gt;高値!N57,高値!O57&gt;高値!M57,高値!O57&gt;高値!P57,高値!O57&gt;高値!Q57),10,""))</f>
      </c>
      <c r="AL57" s="684">
        <f>IF(終値!A57="","",IF(AND(高値!P57&gt;高値!O57,高値!P57&gt;高値!N57,高値!P57&gt;高値!Q57,高値!P57&gt;高値!R57),11,""))</f>
      </c>
      <c r="AM57" s="684">
        <f>IF(終値!A57="","",IF(AND(高値!Q57&gt;高値!P57,高値!Q57&gt;高値!O57,高値!Q57&gt;高値!R57,高値!Q57&gt;高値!S57),12,""))</f>
      </c>
      <c r="AN57" s="684">
        <f>IF(終値!A57="","",IF(AND(高値!R57&gt;高値!Q57,高値!R57&gt;高値!P57,高値!R57&gt;高値!S57,高値!R57&gt;高値!T57),13,""))</f>
      </c>
      <c r="AO57" s="684">
        <f>IF(終値!A57="","",IF(AND(高値!S57&gt;高値!R57,高値!S57&gt;高値!Q57,高値!S57&gt;高値!T57,高値!S57&gt;高値!U57),14,""))</f>
      </c>
      <c r="AP57" s="684">
        <f>IF(終値!A57="","",IF(AND(高値!T57&gt;高値!S57,高値!T57&gt;高値!R57,高値!T57&gt;高値!U57,高値!T57&gt;高値!V57),15,""))</f>
      </c>
      <c r="AQ57" s="684">
        <f>IF(終値!A57="","",IF(AND(高値!U57&gt;高値!T57,高値!U57&gt;高値!S57,高値!U57&gt;高値!V57,高値!U57&gt;高値!W57),16,""))</f>
      </c>
      <c r="AR57" s="684">
        <f>IF(終値!A57="","",IF(AND(高値!V57&gt;高値!U57,高値!V57&gt;高値!T57,高値!V57&gt;高値!W57,高値!V57&gt;高値!X57),17,""))</f>
      </c>
      <c r="AS57" s="684">
        <f>IF(終値!A57="","",IF(AND(高値!W57&gt;高値!V57,高値!W57&gt;高値!U57,高値!W57&gt;高値!X57,高値!W57&gt;高値!Y57),18,""))</f>
      </c>
      <c r="AT57" s="684">
        <f>IF(終値!A57="","",IF(AND(高値!X57&gt;高値!W57,高値!X57&gt;高値!V57,高値!X57&gt;高値!Y57,高値!X57&gt;高値!Z57),19,""))</f>
      </c>
      <c r="AU57" s="684">
        <f>IF(終値!A57="","",IF(AND(高値!Y57&gt;高値!X57,高値!Y57&gt;高値!W57,高値!Y57&gt;高値!Z57,高値!Y57&gt;高値!AA57),20,""))</f>
      </c>
      <c r="AV57" s="684">
        <f>IF(終値!A57="","",IF(AND(高値!Z57&gt;高値!Y57,高値!Z57&gt;高値!X57,高値!Z57&gt;高値!AA57,高値!Z57&gt;高値!AB57),21,""))</f>
      </c>
      <c r="AW57" s="684">
        <f>IF(終値!A57="","",IF(AND(高値!AA57&gt;高値!Z57,高値!AA57&gt;高値!Y57,高値!AA57&gt;高値!AB57,高値!AA57&gt;高値!AC57),22,""))</f>
      </c>
      <c r="AX57" s="684">
        <f>IF(終値!A57="","",IF(AND(高値!AB57&gt;高値!AA57,高値!AB57&gt;高値!Z57,高値!AB57&gt;高値!AC57,高値!AB57&gt;高値!AD57),23,""))</f>
      </c>
      <c r="AY57" s="684">
        <f>IF(終値!A57="","",IF(AND(高値!AC57&gt;高値!AB57,高値!AC57&gt;高値!AA57,高値!AC57&gt;高値!AD57,高値!AC57&gt;高値!AE57),24,""))</f>
      </c>
      <c r="AZ57" s="684">
        <f>IF(終値!A57="","",IF(AND(高値!AD57&gt;高値!AC57,高値!AD57&gt;高値!AB57,高値!AD57&gt;高値!AE57,高値!AD57&gt;高値!AF57),25,""))</f>
      </c>
      <c r="BA57" s="684">
        <f>IF(終値!A57="","",IF(AND(高値!AE57&gt;高値!AD57,高値!AE57&gt;高値!AC57,高値!AE57&gt;高値!AF57,高値!AE57&gt;高値!AG57),26,""))</f>
      </c>
      <c r="BB57" s="684">
        <f>IF(終値!A57="","",IF(AND(高値!AF57&gt;高値!AE57,高値!AF57&gt;高値!AD57,高値!AF57&gt;高値!AG57,高値!AF57&gt;高値!AH57),27,""))</f>
      </c>
      <c r="BC57" s="684">
        <f>IF(終値!A57="","",IF(AND(高値!AG57&gt;高値!AF57,高値!AG57&gt;高値!AE57,高値!AG57&gt;高値!AH57,高値!AG57&gt;高値!AI57),28,""))</f>
      </c>
      <c r="BD57" s="684">
        <f>COUNT($B57:$AB57)</f>
      </c>
      <c r="BE57" s="684">
        <f>IF($BD57&gt;=2,MIN($B57:$AB57),"")</f>
      </c>
      <c r="BF57" s="684">
        <f>IF($BD57&gt;=2,SMALL($B57:$AB57,2),"")</f>
      </c>
      <c r="BG57" s="684">
        <f>IF($BE57="","",INDEX(安値!$E57:$CZ57,1,$BE57+1))</f>
      </c>
      <c r="BH57" s="684">
        <f>IF($BF57="","",INDEX(安値!$E57:$CZ57,1,$BF57+1))</f>
      </c>
      <c r="BI57" s="684">
        <f>IF($BF57="","",MAX(INDEX(高値!$E57:$CZ57,1,$BE57+1):INDEX(高値!$E57:$CZ57,1,$BF57+1)))</f>
      </c>
      <c r="BJ57" s="684">
        <f>IF($BF57="","",AVERAGE(INDEX(終値!$E57:$CZ57,1,$BF57+1):INDEX(終値!$E57:$CZ57,1,$BF57+20))-2*STDEVP(INDEX(終値!$E57:$CZ57,1,$BF57+1):INDEX(終値!$E57:$CZ57,1,$BF57+20)))</f>
      </c>
      <c r="BK57" s="684">
        <f>IF($BE57="","",AVERAGE(INDEX(終値!$E57:$CZ57,1,$BE57+1):INDEX(終値!$E57:$CZ57,1,$BE57+20))-2*STDEVP(INDEX(終値!$E57:$CZ57,1,$BE57+1):INDEX(終値!$E57:$CZ57,1,$BE57+20)))</f>
      </c>
      <c r="BL57" s="684">
        <f>COUNT($AC57:$BC57)</f>
      </c>
      <c r="BM57" s="684">
        <f>IF($BL57&gt;=2,MIN($AC57:$BC57),"")</f>
      </c>
      <c r="BN57" s="684">
        <f>IF($BL57&gt;=2,SMALL($AC57:$BC57,2),"")</f>
      </c>
      <c r="BO57" s="684">
        <f>IF($BM57="","",INDEX(高値!$E57:$CZ57,1,$BM57+1))</f>
      </c>
      <c r="BP57" s="684">
        <f>IF($BN57="","",INDEX(高値!$E57:$CZ57,1,$BN57+1))</f>
      </c>
      <c r="BQ57" s="684">
        <f>IF($BN57="","",MIN(INDEX(安値!$E57:$CZ57,1,$BM57+1):INDEX(安値!$E57:$CZ57,1,$BN57+1)))</f>
      </c>
      <c r="BR57" s="684">
        <f>IF($BN57="","",AVERAGE(INDEX(終値!$E57:$CZ57,1,$BN57+1):INDEX(終値!$E57:$CZ57,1,$BN57+20))+2*STDEVP(INDEX(終値!$E57:$CZ57,1,$BN57+1):INDEX(終値!$E57:$CZ57,1,$BN57+20)))</f>
      </c>
      <c r="BS57" s="684">
        <f>IF($BM57="","",AVERAGE(INDEX(終値!$E57:$CZ57,1,$BM57+1):INDEX(終値!$E57:$CZ57,1,$BM57+20))+2*STDEVP(INDEX(終値!$E57:$CZ57,1,$BM57+1):INDEX(終値!$E57:$CZ57,1,$BM57+20)))</f>
      </c>
      <c r="BT57" s="681">
        <f>IFERROR(IF(AND($BD57&gt;=2,ABS($BG57-$BH57)/$BH57&lt;=BB設定!$B$12,$BI57&gt;=MAX($BH57,$BG57)*(1+BB設定!$B$13),終値!E57&gt;$BG57),IF(OR(終値!E57&gt;=$BI57,AND($BH57&lt;$BJ57,$BG57&gt;=$BK57)),"二番底W▲","二番底W形成"),IF(AND($BL57&gt;=2,ABS($BO57-$BP57)/$BP57&lt;=BB設定!$B$12,$BQ57&lt;=MIN($BP57,$BO57)*(1-BB設定!$B$13),終値!E57&lt;$BO57),IF(OR(終値!E57&lt;=$BQ57,AND($BP57&gt;$BR57,$BO57&lt;=$BS57)),"二番天井M▼","二番天井M形成"),"－")),"－")</f>
      </c>
    </row>
    <row r="58">
      <c r="B58" s="684">
        <f>IF(終値!A58="","",IF(AND(安値!G58&lt;安値!F58,安値!G58&lt;安値!E58,安値!G58&lt;安値!H58,安値!G58&lt;安値!I58),2,""))</f>
      </c>
      <c r="C58" s="684">
        <f>IF(終値!A58="","",IF(AND(安値!H58&lt;安値!G58,安値!H58&lt;安値!F58,安値!H58&lt;安値!I58,安値!H58&lt;安値!J58),3,""))</f>
      </c>
      <c r="D58" s="684">
        <f>IF(終値!A58="","",IF(AND(安値!I58&lt;安値!H58,安値!I58&lt;安値!G58,安値!I58&lt;安値!J58,安値!I58&lt;安値!K58),4,""))</f>
      </c>
      <c r="E58" s="684">
        <f>IF(終値!A58="","",IF(AND(安値!J58&lt;安値!I58,安値!J58&lt;安値!H58,安値!J58&lt;安値!K58,安値!J58&lt;安値!L58),5,""))</f>
      </c>
      <c r="F58" s="684">
        <f>IF(終値!A58="","",IF(AND(安値!K58&lt;安値!J58,安値!K58&lt;安値!I58,安値!K58&lt;安値!L58,安値!K58&lt;安値!M58),6,""))</f>
      </c>
      <c r="G58" s="684">
        <f>IF(終値!A58="","",IF(AND(安値!L58&lt;安値!K58,安値!L58&lt;安値!J58,安値!L58&lt;安値!M58,安値!L58&lt;安値!N58),7,""))</f>
      </c>
      <c r="H58" s="684">
        <f>IF(終値!A58="","",IF(AND(安値!M58&lt;安値!L58,安値!M58&lt;安値!K58,安値!M58&lt;安値!N58,安値!M58&lt;安値!O58),8,""))</f>
      </c>
      <c r="I58" s="684">
        <f>IF(終値!A58="","",IF(AND(安値!N58&lt;安値!M58,安値!N58&lt;安値!L58,安値!N58&lt;安値!O58,安値!N58&lt;安値!P58),9,""))</f>
      </c>
      <c r="J58" s="684">
        <f>IF(終値!A58="","",IF(AND(安値!O58&lt;安値!N58,安値!O58&lt;安値!M58,安値!O58&lt;安値!P58,安値!O58&lt;安値!Q58),10,""))</f>
      </c>
      <c r="K58" s="684">
        <f>IF(終値!A58="","",IF(AND(安値!P58&lt;安値!O58,安値!P58&lt;安値!N58,安値!P58&lt;安値!Q58,安値!P58&lt;安値!R58),11,""))</f>
      </c>
      <c r="L58" s="684">
        <f>IF(終値!A58="","",IF(AND(安値!Q58&lt;安値!P58,安値!Q58&lt;安値!O58,安値!Q58&lt;安値!R58,安値!Q58&lt;安値!S58),12,""))</f>
      </c>
      <c r="M58" s="684">
        <f>IF(終値!A58="","",IF(AND(安値!R58&lt;安値!Q58,安値!R58&lt;安値!P58,安値!R58&lt;安値!S58,安値!R58&lt;安値!T58),13,""))</f>
      </c>
      <c r="N58" s="684">
        <f>IF(終値!A58="","",IF(AND(安値!S58&lt;安値!R58,安値!S58&lt;安値!Q58,安値!S58&lt;安値!T58,安値!S58&lt;安値!U58),14,""))</f>
      </c>
      <c r="O58" s="684">
        <f>IF(終値!A58="","",IF(AND(安値!T58&lt;安値!S58,安値!T58&lt;安値!R58,安値!T58&lt;安値!U58,安値!T58&lt;安値!V58),15,""))</f>
      </c>
      <c r="P58" s="684">
        <f>IF(終値!A58="","",IF(AND(安値!U58&lt;安値!T58,安値!U58&lt;安値!S58,安値!U58&lt;安値!V58,安値!U58&lt;安値!W58),16,""))</f>
      </c>
      <c r="Q58" s="684">
        <f>IF(終値!A58="","",IF(AND(安値!V58&lt;安値!U58,安値!V58&lt;安値!T58,安値!V58&lt;安値!W58,安値!V58&lt;安値!X58),17,""))</f>
      </c>
      <c r="R58" s="684">
        <f>IF(終値!A58="","",IF(AND(安値!W58&lt;安値!V58,安値!W58&lt;安値!U58,安値!W58&lt;安値!X58,安値!W58&lt;安値!Y58),18,""))</f>
      </c>
      <c r="S58" s="684">
        <f>IF(終値!A58="","",IF(AND(安値!X58&lt;安値!W58,安値!X58&lt;安値!V58,安値!X58&lt;安値!Y58,安値!X58&lt;安値!Z58),19,""))</f>
      </c>
      <c r="T58" s="684">
        <f>IF(終値!A58="","",IF(AND(安値!Y58&lt;安値!X58,安値!Y58&lt;安値!W58,安値!Y58&lt;安値!Z58,安値!Y58&lt;安値!AA58),20,""))</f>
      </c>
      <c r="U58" s="684">
        <f>IF(終値!A58="","",IF(AND(安値!Z58&lt;安値!Y58,安値!Z58&lt;安値!X58,安値!Z58&lt;安値!AA58,安値!Z58&lt;安値!AB58),21,""))</f>
      </c>
      <c r="V58" s="684">
        <f>IF(終値!A58="","",IF(AND(安値!AA58&lt;安値!Z58,安値!AA58&lt;安値!Y58,安値!AA58&lt;安値!AB58,安値!AA58&lt;安値!AC58),22,""))</f>
      </c>
      <c r="W58" s="684">
        <f>IF(終値!A58="","",IF(AND(安値!AB58&lt;安値!AA58,安値!AB58&lt;安値!Z58,安値!AB58&lt;安値!AC58,安値!AB58&lt;安値!AD58),23,""))</f>
      </c>
      <c r="X58" s="684">
        <f>IF(終値!A58="","",IF(AND(安値!AC58&lt;安値!AB58,安値!AC58&lt;安値!AA58,安値!AC58&lt;安値!AD58,安値!AC58&lt;安値!AE58),24,""))</f>
      </c>
      <c r="Y58" s="684">
        <f>IF(終値!A58="","",IF(AND(安値!AD58&lt;安値!AC58,安値!AD58&lt;安値!AB58,安値!AD58&lt;安値!AE58,安値!AD58&lt;安値!AF58),25,""))</f>
      </c>
      <c r="Z58" s="684">
        <f>IF(終値!A58="","",IF(AND(安値!AE58&lt;安値!AD58,安値!AE58&lt;安値!AC58,安値!AE58&lt;安値!AF58,安値!AE58&lt;安値!AG58),26,""))</f>
      </c>
      <c r="AA58" s="684">
        <f>IF(終値!A58="","",IF(AND(安値!AF58&lt;安値!AE58,安値!AF58&lt;安値!AD58,安値!AF58&lt;安値!AG58,安値!AF58&lt;安値!AH58),27,""))</f>
      </c>
      <c r="AB58" s="684">
        <f>IF(終値!A58="","",IF(AND(安値!AG58&lt;安値!AF58,安値!AG58&lt;安値!AE58,安値!AG58&lt;安値!AH58,安値!AG58&lt;安値!AI58),28,""))</f>
      </c>
      <c r="AC58" s="684">
        <f>IF(終値!A58="","",IF(AND(高値!G58&gt;高値!F58,高値!G58&gt;高値!E58,高値!G58&gt;高値!H58,高値!G58&gt;高値!I58),2,""))</f>
      </c>
      <c r="AD58" s="684">
        <f>IF(終値!A58="","",IF(AND(高値!H58&gt;高値!G58,高値!H58&gt;高値!F58,高値!H58&gt;高値!I58,高値!H58&gt;高値!J58),3,""))</f>
      </c>
      <c r="AE58" s="684">
        <f>IF(終値!A58="","",IF(AND(高値!I58&gt;高値!H58,高値!I58&gt;高値!G58,高値!I58&gt;高値!J58,高値!I58&gt;高値!K58),4,""))</f>
      </c>
      <c r="AF58" s="684">
        <f>IF(終値!A58="","",IF(AND(高値!J58&gt;高値!I58,高値!J58&gt;高値!H58,高値!J58&gt;高値!K58,高値!J58&gt;高値!L58),5,""))</f>
      </c>
      <c r="AG58" s="684">
        <f>IF(終値!A58="","",IF(AND(高値!K58&gt;高値!J58,高値!K58&gt;高値!I58,高値!K58&gt;高値!L58,高値!K58&gt;高値!M58),6,""))</f>
      </c>
      <c r="AH58" s="684">
        <f>IF(終値!A58="","",IF(AND(高値!L58&gt;高値!K58,高値!L58&gt;高値!J58,高値!L58&gt;高値!M58,高値!L58&gt;高値!N58),7,""))</f>
      </c>
      <c r="AI58" s="684">
        <f>IF(終値!A58="","",IF(AND(高値!M58&gt;高値!L58,高値!M58&gt;高値!K58,高値!M58&gt;高値!N58,高値!M58&gt;高値!O58),8,""))</f>
      </c>
      <c r="AJ58" s="684">
        <f>IF(終値!A58="","",IF(AND(高値!N58&gt;高値!M58,高値!N58&gt;高値!L58,高値!N58&gt;高値!O58,高値!N58&gt;高値!P58),9,""))</f>
      </c>
      <c r="AK58" s="684">
        <f>IF(終値!A58="","",IF(AND(高値!O58&gt;高値!N58,高値!O58&gt;高値!M58,高値!O58&gt;高値!P58,高値!O58&gt;高値!Q58),10,""))</f>
      </c>
      <c r="AL58" s="684">
        <f>IF(終値!A58="","",IF(AND(高値!P58&gt;高値!O58,高値!P58&gt;高値!N58,高値!P58&gt;高値!Q58,高値!P58&gt;高値!R58),11,""))</f>
      </c>
      <c r="AM58" s="684">
        <f>IF(終値!A58="","",IF(AND(高値!Q58&gt;高値!P58,高値!Q58&gt;高値!O58,高値!Q58&gt;高値!R58,高値!Q58&gt;高値!S58),12,""))</f>
      </c>
      <c r="AN58" s="684">
        <f>IF(終値!A58="","",IF(AND(高値!R58&gt;高値!Q58,高値!R58&gt;高値!P58,高値!R58&gt;高値!S58,高値!R58&gt;高値!T58),13,""))</f>
      </c>
      <c r="AO58" s="684">
        <f>IF(終値!A58="","",IF(AND(高値!S58&gt;高値!R58,高値!S58&gt;高値!Q58,高値!S58&gt;高値!T58,高値!S58&gt;高値!U58),14,""))</f>
      </c>
      <c r="AP58" s="684">
        <f>IF(終値!A58="","",IF(AND(高値!T58&gt;高値!S58,高値!T58&gt;高値!R58,高値!T58&gt;高値!U58,高値!T58&gt;高値!V58),15,""))</f>
      </c>
      <c r="AQ58" s="684">
        <f>IF(終値!A58="","",IF(AND(高値!U58&gt;高値!T58,高値!U58&gt;高値!S58,高値!U58&gt;高値!V58,高値!U58&gt;高値!W58),16,""))</f>
      </c>
      <c r="AR58" s="684">
        <f>IF(終値!A58="","",IF(AND(高値!V58&gt;高値!U58,高値!V58&gt;高値!T58,高値!V58&gt;高値!W58,高値!V58&gt;高値!X58),17,""))</f>
      </c>
      <c r="AS58" s="684">
        <f>IF(終値!A58="","",IF(AND(高値!W58&gt;高値!V58,高値!W58&gt;高値!U58,高値!W58&gt;高値!X58,高値!W58&gt;高値!Y58),18,""))</f>
      </c>
      <c r="AT58" s="684">
        <f>IF(終値!A58="","",IF(AND(高値!X58&gt;高値!W58,高値!X58&gt;高値!V58,高値!X58&gt;高値!Y58,高値!X58&gt;高値!Z58),19,""))</f>
      </c>
      <c r="AU58" s="684">
        <f>IF(終値!A58="","",IF(AND(高値!Y58&gt;高値!X58,高値!Y58&gt;高値!W58,高値!Y58&gt;高値!Z58,高値!Y58&gt;高値!AA58),20,""))</f>
      </c>
      <c r="AV58" s="684">
        <f>IF(終値!A58="","",IF(AND(高値!Z58&gt;高値!Y58,高値!Z58&gt;高値!X58,高値!Z58&gt;高値!AA58,高値!Z58&gt;高値!AB58),21,""))</f>
      </c>
      <c r="AW58" s="684">
        <f>IF(終値!A58="","",IF(AND(高値!AA58&gt;高値!Z58,高値!AA58&gt;高値!Y58,高値!AA58&gt;高値!AB58,高値!AA58&gt;高値!AC58),22,""))</f>
      </c>
      <c r="AX58" s="684">
        <f>IF(終値!A58="","",IF(AND(高値!AB58&gt;高値!AA58,高値!AB58&gt;高値!Z58,高値!AB58&gt;高値!AC58,高値!AB58&gt;高値!AD58),23,""))</f>
      </c>
      <c r="AY58" s="684">
        <f>IF(終値!A58="","",IF(AND(高値!AC58&gt;高値!AB58,高値!AC58&gt;高値!AA58,高値!AC58&gt;高値!AD58,高値!AC58&gt;高値!AE58),24,""))</f>
      </c>
      <c r="AZ58" s="684">
        <f>IF(終値!A58="","",IF(AND(高値!AD58&gt;高値!AC58,高値!AD58&gt;高値!AB58,高値!AD58&gt;高値!AE58,高値!AD58&gt;高値!AF58),25,""))</f>
      </c>
      <c r="BA58" s="684">
        <f>IF(終値!A58="","",IF(AND(高値!AE58&gt;高値!AD58,高値!AE58&gt;高値!AC58,高値!AE58&gt;高値!AF58,高値!AE58&gt;高値!AG58),26,""))</f>
      </c>
      <c r="BB58" s="684">
        <f>IF(終値!A58="","",IF(AND(高値!AF58&gt;高値!AE58,高値!AF58&gt;高値!AD58,高値!AF58&gt;高値!AG58,高値!AF58&gt;高値!AH58),27,""))</f>
      </c>
      <c r="BC58" s="684">
        <f>IF(終値!A58="","",IF(AND(高値!AG58&gt;高値!AF58,高値!AG58&gt;高値!AE58,高値!AG58&gt;高値!AH58,高値!AG58&gt;高値!AI58),28,""))</f>
      </c>
      <c r="BD58" s="684">
        <f>COUNT($B58:$AB58)</f>
      </c>
      <c r="BE58" s="684">
        <f>IF($BD58&gt;=2,MIN($B58:$AB58),"")</f>
      </c>
      <c r="BF58" s="684">
        <f>IF($BD58&gt;=2,SMALL($B58:$AB58,2),"")</f>
      </c>
      <c r="BG58" s="684">
        <f>IF($BE58="","",INDEX(安値!$E58:$CZ58,1,$BE58+1))</f>
      </c>
      <c r="BH58" s="684">
        <f>IF($BF58="","",INDEX(安値!$E58:$CZ58,1,$BF58+1))</f>
      </c>
      <c r="BI58" s="684">
        <f>IF($BF58="","",MAX(INDEX(高値!$E58:$CZ58,1,$BE58+1):INDEX(高値!$E58:$CZ58,1,$BF58+1)))</f>
      </c>
      <c r="BJ58" s="684">
        <f>IF($BF58="","",AVERAGE(INDEX(終値!$E58:$CZ58,1,$BF58+1):INDEX(終値!$E58:$CZ58,1,$BF58+20))-2*STDEVP(INDEX(終値!$E58:$CZ58,1,$BF58+1):INDEX(終値!$E58:$CZ58,1,$BF58+20)))</f>
      </c>
      <c r="BK58" s="684">
        <f>IF($BE58="","",AVERAGE(INDEX(終値!$E58:$CZ58,1,$BE58+1):INDEX(終値!$E58:$CZ58,1,$BE58+20))-2*STDEVP(INDEX(終値!$E58:$CZ58,1,$BE58+1):INDEX(終値!$E58:$CZ58,1,$BE58+20)))</f>
      </c>
      <c r="BL58" s="684">
        <f>COUNT($AC58:$BC58)</f>
      </c>
      <c r="BM58" s="684">
        <f>IF($BL58&gt;=2,MIN($AC58:$BC58),"")</f>
      </c>
      <c r="BN58" s="684">
        <f>IF($BL58&gt;=2,SMALL($AC58:$BC58,2),"")</f>
      </c>
      <c r="BO58" s="684">
        <f>IF($BM58="","",INDEX(高値!$E58:$CZ58,1,$BM58+1))</f>
      </c>
      <c r="BP58" s="684">
        <f>IF($BN58="","",INDEX(高値!$E58:$CZ58,1,$BN58+1))</f>
      </c>
      <c r="BQ58" s="684">
        <f>IF($BN58="","",MIN(INDEX(安値!$E58:$CZ58,1,$BM58+1):INDEX(安値!$E58:$CZ58,1,$BN58+1)))</f>
      </c>
      <c r="BR58" s="684">
        <f>IF($BN58="","",AVERAGE(INDEX(終値!$E58:$CZ58,1,$BN58+1):INDEX(終値!$E58:$CZ58,1,$BN58+20))+2*STDEVP(INDEX(終値!$E58:$CZ58,1,$BN58+1):INDEX(終値!$E58:$CZ58,1,$BN58+20)))</f>
      </c>
      <c r="BS58" s="684">
        <f>IF($BM58="","",AVERAGE(INDEX(終値!$E58:$CZ58,1,$BM58+1):INDEX(終値!$E58:$CZ58,1,$BM58+20))+2*STDEVP(INDEX(終値!$E58:$CZ58,1,$BM58+1):INDEX(終値!$E58:$CZ58,1,$BM58+20)))</f>
      </c>
      <c r="BT58" s="681">
        <f>IFERROR(IF(AND($BD58&gt;=2,ABS($BG58-$BH58)/$BH58&lt;=BB設定!$B$12,$BI58&gt;=MAX($BH58,$BG58)*(1+BB設定!$B$13),終値!E58&gt;$BG58),IF(OR(終値!E58&gt;=$BI58,AND($BH58&lt;$BJ58,$BG58&gt;=$BK58)),"二番底W▲","二番底W形成"),IF(AND($BL58&gt;=2,ABS($BO58-$BP58)/$BP58&lt;=BB設定!$B$12,$BQ58&lt;=MIN($BP58,$BO58)*(1-BB設定!$B$13),終値!E58&lt;$BO58),IF(OR(終値!E58&lt;=$BQ58,AND($BP58&gt;$BR58,$BO58&lt;=$BS58)),"二番天井M▼","二番天井M形成"),"－")),"－")</f>
      </c>
    </row>
    <row r="59">
      <c r="B59" s="684">
        <f>IF(終値!A59="","",IF(AND(安値!G59&lt;安値!F59,安値!G59&lt;安値!E59,安値!G59&lt;安値!H59,安値!G59&lt;安値!I59),2,""))</f>
      </c>
      <c r="C59" s="684">
        <f>IF(終値!A59="","",IF(AND(安値!H59&lt;安値!G59,安値!H59&lt;安値!F59,安値!H59&lt;安値!I59,安値!H59&lt;安値!J59),3,""))</f>
      </c>
      <c r="D59" s="684">
        <f>IF(終値!A59="","",IF(AND(安値!I59&lt;安値!H59,安値!I59&lt;安値!G59,安値!I59&lt;安値!J59,安値!I59&lt;安値!K59),4,""))</f>
      </c>
      <c r="E59" s="684">
        <f>IF(終値!A59="","",IF(AND(安値!J59&lt;安値!I59,安値!J59&lt;安値!H59,安値!J59&lt;安値!K59,安値!J59&lt;安値!L59),5,""))</f>
      </c>
      <c r="F59" s="684">
        <f>IF(終値!A59="","",IF(AND(安値!K59&lt;安値!J59,安値!K59&lt;安値!I59,安値!K59&lt;安値!L59,安値!K59&lt;安値!M59),6,""))</f>
      </c>
      <c r="G59" s="684">
        <f>IF(終値!A59="","",IF(AND(安値!L59&lt;安値!K59,安値!L59&lt;安値!J59,安値!L59&lt;安値!M59,安値!L59&lt;安値!N59),7,""))</f>
      </c>
      <c r="H59" s="684">
        <f>IF(終値!A59="","",IF(AND(安値!M59&lt;安値!L59,安値!M59&lt;安値!K59,安値!M59&lt;安値!N59,安値!M59&lt;安値!O59),8,""))</f>
      </c>
      <c r="I59" s="684">
        <f>IF(終値!A59="","",IF(AND(安値!N59&lt;安値!M59,安値!N59&lt;安値!L59,安値!N59&lt;安値!O59,安値!N59&lt;安値!P59),9,""))</f>
      </c>
      <c r="J59" s="684">
        <f>IF(終値!A59="","",IF(AND(安値!O59&lt;安値!N59,安値!O59&lt;安値!M59,安値!O59&lt;安値!P59,安値!O59&lt;安値!Q59),10,""))</f>
      </c>
      <c r="K59" s="684">
        <f>IF(終値!A59="","",IF(AND(安値!P59&lt;安値!O59,安値!P59&lt;安値!N59,安値!P59&lt;安値!Q59,安値!P59&lt;安値!R59),11,""))</f>
      </c>
      <c r="L59" s="684">
        <f>IF(終値!A59="","",IF(AND(安値!Q59&lt;安値!P59,安値!Q59&lt;安値!O59,安値!Q59&lt;安値!R59,安値!Q59&lt;安値!S59),12,""))</f>
      </c>
      <c r="M59" s="684">
        <f>IF(終値!A59="","",IF(AND(安値!R59&lt;安値!Q59,安値!R59&lt;安値!P59,安値!R59&lt;安値!S59,安値!R59&lt;安値!T59),13,""))</f>
      </c>
      <c r="N59" s="684">
        <f>IF(終値!A59="","",IF(AND(安値!S59&lt;安値!R59,安値!S59&lt;安値!Q59,安値!S59&lt;安値!T59,安値!S59&lt;安値!U59),14,""))</f>
      </c>
      <c r="O59" s="684">
        <f>IF(終値!A59="","",IF(AND(安値!T59&lt;安値!S59,安値!T59&lt;安値!R59,安値!T59&lt;安値!U59,安値!T59&lt;安値!V59),15,""))</f>
      </c>
      <c r="P59" s="684">
        <f>IF(終値!A59="","",IF(AND(安値!U59&lt;安値!T59,安値!U59&lt;安値!S59,安値!U59&lt;安値!V59,安値!U59&lt;安値!W59),16,""))</f>
      </c>
      <c r="Q59" s="684">
        <f>IF(終値!A59="","",IF(AND(安値!V59&lt;安値!U59,安値!V59&lt;安値!T59,安値!V59&lt;安値!W59,安値!V59&lt;安値!X59),17,""))</f>
      </c>
      <c r="R59" s="684">
        <f>IF(終値!A59="","",IF(AND(安値!W59&lt;安値!V59,安値!W59&lt;安値!U59,安値!W59&lt;安値!X59,安値!W59&lt;安値!Y59),18,""))</f>
      </c>
      <c r="S59" s="684">
        <f>IF(終値!A59="","",IF(AND(安値!X59&lt;安値!W59,安値!X59&lt;安値!V59,安値!X59&lt;安値!Y59,安値!X59&lt;安値!Z59),19,""))</f>
      </c>
      <c r="T59" s="684">
        <f>IF(終値!A59="","",IF(AND(安値!Y59&lt;安値!X59,安値!Y59&lt;安値!W59,安値!Y59&lt;安値!Z59,安値!Y59&lt;安値!AA59),20,""))</f>
      </c>
      <c r="U59" s="684">
        <f>IF(終値!A59="","",IF(AND(安値!Z59&lt;安値!Y59,安値!Z59&lt;安値!X59,安値!Z59&lt;安値!AA59,安値!Z59&lt;安値!AB59),21,""))</f>
      </c>
      <c r="V59" s="684">
        <f>IF(終値!A59="","",IF(AND(安値!AA59&lt;安値!Z59,安値!AA59&lt;安値!Y59,安値!AA59&lt;安値!AB59,安値!AA59&lt;安値!AC59),22,""))</f>
      </c>
      <c r="W59" s="684">
        <f>IF(終値!A59="","",IF(AND(安値!AB59&lt;安値!AA59,安値!AB59&lt;安値!Z59,安値!AB59&lt;安値!AC59,安値!AB59&lt;安値!AD59),23,""))</f>
      </c>
      <c r="X59" s="684">
        <f>IF(終値!A59="","",IF(AND(安値!AC59&lt;安値!AB59,安値!AC59&lt;安値!AA59,安値!AC59&lt;安値!AD59,安値!AC59&lt;安値!AE59),24,""))</f>
      </c>
      <c r="Y59" s="684">
        <f>IF(終値!A59="","",IF(AND(安値!AD59&lt;安値!AC59,安値!AD59&lt;安値!AB59,安値!AD59&lt;安値!AE59,安値!AD59&lt;安値!AF59),25,""))</f>
      </c>
      <c r="Z59" s="684">
        <f>IF(終値!A59="","",IF(AND(安値!AE59&lt;安値!AD59,安値!AE59&lt;安値!AC59,安値!AE59&lt;安値!AF59,安値!AE59&lt;安値!AG59),26,""))</f>
      </c>
      <c r="AA59" s="684">
        <f>IF(終値!A59="","",IF(AND(安値!AF59&lt;安値!AE59,安値!AF59&lt;安値!AD59,安値!AF59&lt;安値!AG59,安値!AF59&lt;安値!AH59),27,""))</f>
      </c>
      <c r="AB59" s="684">
        <f>IF(終値!A59="","",IF(AND(安値!AG59&lt;安値!AF59,安値!AG59&lt;安値!AE59,安値!AG59&lt;安値!AH59,安値!AG59&lt;安値!AI59),28,""))</f>
      </c>
      <c r="AC59" s="684">
        <f>IF(終値!A59="","",IF(AND(高値!G59&gt;高値!F59,高値!G59&gt;高値!E59,高値!G59&gt;高値!H59,高値!G59&gt;高値!I59),2,""))</f>
      </c>
      <c r="AD59" s="684">
        <f>IF(終値!A59="","",IF(AND(高値!H59&gt;高値!G59,高値!H59&gt;高値!F59,高値!H59&gt;高値!I59,高値!H59&gt;高値!J59),3,""))</f>
      </c>
      <c r="AE59" s="684">
        <f>IF(終値!A59="","",IF(AND(高値!I59&gt;高値!H59,高値!I59&gt;高値!G59,高値!I59&gt;高値!J59,高値!I59&gt;高値!K59),4,""))</f>
      </c>
      <c r="AF59" s="684">
        <f>IF(終値!A59="","",IF(AND(高値!J59&gt;高値!I59,高値!J59&gt;高値!H59,高値!J59&gt;高値!K59,高値!J59&gt;高値!L59),5,""))</f>
      </c>
      <c r="AG59" s="684">
        <f>IF(終値!A59="","",IF(AND(高値!K59&gt;高値!J59,高値!K59&gt;高値!I59,高値!K59&gt;高値!L59,高値!K59&gt;高値!M59),6,""))</f>
      </c>
      <c r="AH59" s="684">
        <f>IF(終値!A59="","",IF(AND(高値!L59&gt;高値!K59,高値!L59&gt;高値!J59,高値!L59&gt;高値!M59,高値!L59&gt;高値!N59),7,""))</f>
      </c>
      <c r="AI59" s="684">
        <f>IF(終値!A59="","",IF(AND(高値!M59&gt;高値!L59,高値!M59&gt;高値!K59,高値!M59&gt;高値!N59,高値!M59&gt;高値!O59),8,""))</f>
      </c>
      <c r="AJ59" s="684">
        <f>IF(終値!A59="","",IF(AND(高値!N59&gt;高値!M59,高値!N59&gt;高値!L59,高値!N59&gt;高値!O59,高値!N59&gt;高値!P59),9,""))</f>
      </c>
      <c r="AK59" s="684">
        <f>IF(終値!A59="","",IF(AND(高値!O59&gt;高値!N59,高値!O59&gt;高値!M59,高値!O59&gt;高値!P59,高値!O59&gt;高値!Q59),10,""))</f>
      </c>
      <c r="AL59" s="684">
        <f>IF(終値!A59="","",IF(AND(高値!P59&gt;高値!O59,高値!P59&gt;高値!N59,高値!P59&gt;高値!Q59,高値!P59&gt;高値!R59),11,""))</f>
      </c>
      <c r="AM59" s="684">
        <f>IF(終値!A59="","",IF(AND(高値!Q59&gt;高値!P59,高値!Q59&gt;高値!O59,高値!Q59&gt;高値!R59,高値!Q59&gt;高値!S59),12,""))</f>
      </c>
      <c r="AN59" s="684">
        <f>IF(終値!A59="","",IF(AND(高値!R59&gt;高値!Q59,高値!R59&gt;高値!P59,高値!R59&gt;高値!S59,高値!R59&gt;高値!T59),13,""))</f>
      </c>
      <c r="AO59" s="684">
        <f>IF(終値!A59="","",IF(AND(高値!S59&gt;高値!R59,高値!S59&gt;高値!Q59,高値!S59&gt;高値!T59,高値!S59&gt;高値!U59),14,""))</f>
      </c>
      <c r="AP59" s="684">
        <f>IF(終値!A59="","",IF(AND(高値!T59&gt;高値!S59,高値!T59&gt;高値!R59,高値!T59&gt;高値!U59,高値!T59&gt;高値!V59),15,""))</f>
      </c>
      <c r="AQ59" s="684">
        <f>IF(終値!A59="","",IF(AND(高値!U59&gt;高値!T59,高値!U59&gt;高値!S59,高値!U59&gt;高値!V59,高値!U59&gt;高値!W59),16,""))</f>
      </c>
      <c r="AR59" s="684">
        <f>IF(終値!A59="","",IF(AND(高値!V59&gt;高値!U59,高値!V59&gt;高値!T59,高値!V59&gt;高値!W59,高値!V59&gt;高値!X59),17,""))</f>
      </c>
      <c r="AS59" s="684">
        <f>IF(終値!A59="","",IF(AND(高値!W59&gt;高値!V59,高値!W59&gt;高値!U59,高値!W59&gt;高値!X59,高値!W59&gt;高値!Y59),18,""))</f>
      </c>
      <c r="AT59" s="684">
        <f>IF(終値!A59="","",IF(AND(高値!X59&gt;高値!W59,高値!X59&gt;高値!V59,高値!X59&gt;高値!Y59,高値!X59&gt;高値!Z59),19,""))</f>
      </c>
      <c r="AU59" s="684">
        <f>IF(終値!A59="","",IF(AND(高値!Y59&gt;高値!X59,高値!Y59&gt;高値!W59,高値!Y59&gt;高値!Z59,高値!Y59&gt;高値!AA59),20,""))</f>
      </c>
      <c r="AV59" s="684">
        <f>IF(終値!A59="","",IF(AND(高値!Z59&gt;高値!Y59,高値!Z59&gt;高値!X59,高値!Z59&gt;高値!AA59,高値!Z59&gt;高値!AB59),21,""))</f>
      </c>
      <c r="AW59" s="684">
        <f>IF(終値!A59="","",IF(AND(高値!AA59&gt;高値!Z59,高値!AA59&gt;高値!Y59,高値!AA59&gt;高値!AB59,高値!AA59&gt;高値!AC59),22,""))</f>
      </c>
      <c r="AX59" s="684">
        <f>IF(終値!A59="","",IF(AND(高値!AB59&gt;高値!AA59,高値!AB59&gt;高値!Z59,高値!AB59&gt;高値!AC59,高値!AB59&gt;高値!AD59),23,""))</f>
      </c>
      <c r="AY59" s="684">
        <f>IF(終値!A59="","",IF(AND(高値!AC59&gt;高値!AB59,高値!AC59&gt;高値!AA59,高値!AC59&gt;高値!AD59,高値!AC59&gt;高値!AE59),24,""))</f>
      </c>
      <c r="AZ59" s="684">
        <f>IF(終値!A59="","",IF(AND(高値!AD59&gt;高値!AC59,高値!AD59&gt;高値!AB59,高値!AD59&gt;高値!AE59,高値!AD59&gt;高値!AF59),25,""))</f>
      </c>
      <c r="BA59" s="684">
        <f>IF(終値!A59="","",IF(AND(高値!AE59&gt;高値!AD59,高値!AE59&gt;高値!AC59,高値!AE59&gt;高値!AF59,高値!AE59&gt;高値!AG59),26,""))</f>
      </c>
      <c r="BB59" s="684">
        <f>IF(終値!A59="","",IF(AND(高値!AF59&gt;高値!AE59,高値!AF59&gt;高値!AD59,高値!AF59&gt;高値!AG59,高値!AF59&gt;高値!AH59),27,""))</f>
      </c>
      <c r="BC59" s="684">
        <f>IF(終値!A59="","",IF(AND(高値!AG59&gt;高値!AF59,高値!AG59&gt;高値!AE59,高値!AG59&gt;高値!AH59,高値!AG59&gt;高値!AI59),28,""))</f>
      </c>
      <c r="BD59" s="684">
        <f>COUNT($B59:$AB59)</f>
      </c>
      <c r="BE59" s="684">
        <f>IF($BD59&gt;=2,MIN($B59:$AB59),"")</f>
      </c>
      <c r="BF59" s="684">
        <f>IF($BD59&gt;=2,SMALL($B59:$AB59,2),"")</f>
      </c>
      <c r="BG59" s="684">
        <f>IF($BE59="","",INDEX(安値!$E59:$CZ59,1,$BE59+1))</f>
      </c>
      <c r="BH59" s="684">
        <f>IF($BF59="","",INDEX(安値!$E59:$CZ59,1,$BF59+1))</f>
      </c>
      <c r="BI59" s="684">
        <f>IF($BF59="","",MAX(INDEX(高値!$E59:$CZ59,1,$BE59+1):INDEX(高値!$E59:$CZ59,1,$BF59+1)))</f>
      </c>
      <c r="BJ59" s="684">
        <f>IF($BF59="","",AVERAGE(INDEX(終値!$E59:$CZ59,1,$BF59+1):INDEX(終値!$E59:$CZ59,1,$BF59+20))-2*STDEVP(INDEX(終値!$E59:$CZ59,1,$BF59+1):INDEX(終値!$E59:$CZ59,1,$BF59+20)))</f>
      </c>
      <c r="BK59" s="684">
        <f>IF($BE59="","",AVERAGE(INDEX(終値!$E59:$CZ59,1,$BE59+1):INDEX(終値!$E59:$CZ59,1,$BE59+20))-2*STDEVP(INDEX(終値!$E59:$CZ59,1,$BE59+1):INDEX(終値!$E59:$CZ59,1,$BE59+20)))</f>
      </c>
      <c r="BL59" s="684">
        <f>COUNT($AC59:$BC59)</f>
      </c>
      <c r="BM59" s="684">
        <f>IF($BL59&gt;=2,MIN($AC59:$BC59),"")</f>
      </c>
      <c r="BN59" s="684">
        <f>IF($BL59&gt;=2,SMALL($AC59:$BC59,2),"")</f>
      </c>
      <c r="BO59" s="684">
        <f>IF($BM59="","",INDEX(高値!$E59:$CZ59,1,$BM59+1))</f>
      </c>
      <c r="BP59" s="684">
        <f>IF($BN59="","",INDEX(高値!$E59:$CZ59,1,$BN59+1))</f>
      </c>
      <c r="BQ59" s="684">
        <f>IF($BN59="","",MIN(INDEX(安値!$E59:$CZ59,1,$BM59+1):INDEX(安値!$E59:$CZ59,1,$BN59+1)))</f>
      </c>
      <c r="BR59" s="684">
        <f>IF($BN59="","",AVERAGE(INDEX(終値!$E59:$CZ59,1,$BN59+1):INDEX(終値!$E59:$CZ59,1,$BN59+20))+2*STDEVP(INDEX(終値!$E59:$CZ59,1,$BN59+1):INDEX(終値!$E59:$CZ59,1,$BN59+20)))</f>
      </c>
      <c r="BS59" s="684">
        <f>IF($BM59="","",AVERAGE(INDEX(終値!$E59:$CZ59,1,$BM59+1):INDEX(終値!$E59:$CZ59,1,$BM59+20))+2*STDEVP(INDEX(終値!$E59:$CZ59,1,$BM59+1):INDEX(終値!$E59:$CZ59,1,$BM59+20)))</f>
      </c>
      <c r="BT59" s="681">
        <f>IFERROR(IF(AND($BD59&gt;=2,ABS($BG59-$BH59)/$BH59&lt;=BB設定!$B$12,$BI59&gt;=MAX($BH59,$BG59)*(1+BB設定!$B$13),終値!E59&gt;$BG59),IF(OR(終値!E59&gt;=$BI59,AND($BH59&lt;$BJ59,$BG59&gt;=$BK59)),"二番底W▲","二番底W形成"),IF(AND($BL59&gt;=2,ABS($BO59-$BP59)/$BP59&lt;=BB設定!$B$12,$BQ59&lt;=MIN($BP59,$BO59)*(1-BB設定!$B$13),終値!E59&lt;$BO59),IF(OR(終値!E59&lt;=$BQ59,AND($BP59&gt;$BR59,$BO59&lt;=$BS59)),"二番天井M▼","二番天井M形成"),"－")),"－")</f>
      </c>
    </row>
    <row r="60">
      <c r="B60" s="684">
        <f>IF(終値!A60="","",IF(AND(安値!G60&lt;安値!F60,安値!G60&lt;安値!E60,安値!G60&lt;安値!H60,安値!G60&lt;安値!I60),2,""))</f>
      </c>
      <c r="C60" s="684">
        <f>IF(終値!A60="","",IF(AND(安値!H60&lt;安値!G60,安値!H60&lt;安値!F60,安値!H60&lt;安値!I60,安値!H60&lt;安値!J60),3,""))</f>
      </c>
      <c r="D60" s="684">
        <f>IF(終値!A60="","",IF(AND(安値!I60&lt;安値!H60,安値!I60&lt;安値!G60,安値!I60&lt;安値!J60,安値!I60&lt;安値!K60),4,""))</f>
      </c>
      <c r="E60" s="684">
        <f>IF(終値!A60="","",IF(AND(安値!J60&lt;安値!I60,安値!J60&lt;安値!H60,安値!J60&lt;安値!K60,安値!J60&lt;安値!L60),5,""))</f>
      </c>
      <c r="F60" s="684">
        <f>IF(終値!A60="","",IF(AND(安値!K60&lt;安値!J60,安値!K60&lt;安値!I60,安値!K60&lt;安値!L60,安値!K60&lt;安値!M60),6,""))</f>
      </c>
      <c r="G60" s="684">
        <f>IF(終値!A60="","",IF(AND(安値!L60&lt;安値!K60,安値!L60&lt;安値!J60,安値!L60&lt;安値!M60,安値!L60&lt;安値!N60),7,""))</f>
      </c>
      <c r="H60" s="684">
        <f>IF(終値!A60="","",IF(AND(安値!M60&lt;安値!L60,安値!M60&lt;安値!K60,安値!M60&lt;安値!N60,安値!M60&lt;安値!O60),8,""))</f>
      </c>
      <c r="I60" s="684">
        <f>IF(終値!A60="","",IF(AND(安値!N60&lt;安値!M60,安値!N60&lt;安値!L60,安値!N60&lt;安値!O60,安値!N60&lt;安値!P60),9,""))</f>
      </c>
      <c r="J60" s="684">
        <f>IF(終値!A60="","",IF(AND(安値!O60&lt;安値!N60,安値!O60&lt;安値!M60,安値!O60&lt;安値!P60,安値!O60&lt;安値!Q60),10,""))</f>
      </c>
      <c r="K60" s="684">
        <f>IF(終値!A60="","",IF(AND(安値!P60&lt;安値!O60,安値!P60&lt;安値!N60,安値!P60&lt;安値!Q60,安値!P60&lt;安値!R60),11,""))</f>
      </c>
      <c r="L60" s="684">
        <f>IF(終値!A60="","",IF(AND(安値!Q60&lt;安値!P60,安値!Q60&lt;安値!O60,安値!Q60&lt;安値!R60,安値!Q60&lt;安値!S60),12,""))</f>
      </c>
      <c r="M60" s="684">
        <f>IF(終値!A60="","",IF(AND(安値!R60&lt;安値!Q60,安値!R60&lt;安値!P60,安値!R60&lt;安値!S60,安値!R60&lt;安値!T60),13,""))</f>
      </c>
      <c r="N60" s="684">
        <f>IF(終値!A60="","",IF(AND(安値!S60&lt;安値!R60,安値!S60&lt;安値!Q60,安値!S60&lt;安値!T60,安値!S60&lt;安値!U60),14,""))</f>
      </c>
      <c r="O60" s="684">
        <f>IF(終値!A60="","",IF(AND(安値!T60&lt;安値!S60,安値!T60&lt;安値!R60,安値!T60&lt;安値!U60,安値!T60&lt;安値!V60),15,""))</f>
      </c>
      <c r="P60" s="684">
        <f>IF(終値!A60="","",IF(AND(安値!U60&lt;安値!T60,安値!U60&lt;安値!S60,安値!U60&lt;安値!V60,安値!U60&lt;安値!W60),16,""))</f>
      </c>
      <c r="Q60" s="684">
        <f>IF(終値!A60="","",IF(AND(安値!V60&lt;安値!U60,安値!V60&lt;安値!T60,安値!V60&lt;安値!W60,安値!V60&lt;安値!X60),17,""))</f>
      </c>
      <c r="R60" s="684">
        <f>IF(終値!A60="","",IF(AND(安値!W60&lt;安値!V60,安値!W60&lt;安値!U60,安値!W60&lt;安値!X60,安値!W60&lt;安値!Y60),18,""))</f>
      </c>
      <c r="S60" s="684">
        <f>IF(終値!A60="","",IF(AND(安値!X60&lt;安値!W60,安値!X60&lt;安値!V60,安値!X60&lt;安値!Y60,安値!X60&lt;安値!Z60),19,""))</f>
      </c>
      <c r="T60" s="684">
        <f>IF(終値!A60="","",IF(AND(安値!Y60&lt;安値!X60,安値!Y60&lt;安値!W60,安値!Y60&lt;安値!Z60,安値!Y60&lt;安値!AA60),20,""))</f>
      </c>
      <c r="U60" s="684">
        <f>IF(終値!A60="","",IF(AND(安値!Z60&lt;安値!Y60,安値!Z60&lt;安値!X60,安値!Z60&lt;安値!AA60,安値!Z60&lt;安値!AB60),21,""))</f>
      </c>
      <c r="V60" s="684">
        <f>IF(終値!A60="","",IF(AND(安値!AA60&lt;安値!Z60,安値!AA60&lt;安値!Y60,安値!AA60&lt;安値!AB60,安値!AA60&lt;安値!AC60),22,""))</f>
      </c>
      <c r="W60" s="684">
        <f>IF(終値!A60="","",IF(AND(安値!AB60&lt;安値!AA60,安値!AB60&lt;安値!Z60,安値!AB60&lt;安値!AC60,安値!AB60&lt;安値!AD60),23,""))</f>
      </c>
      <c r="X60" s="684">
        <f>IF(終値!A60="","",IF(AND(安値!AC60&lt;安値!AB60,安値!AC60&lt;安値!AA60,安値!AC60&lt;安値!AD60,安値!AC60&lt;安値!AE60),24,""))</f>
      </c>
      <c r="Y60" s="684">
        <f>IF(終値!A60="","",IF(AND(安値!AD60&lt;安値!AC60,安値!AD60&lt;安値!AB60,安値!AD60&lt;安値!AE60,安値!AD60&lt;安値!AF60),25,""))</f>
      </c>
      <c r="Z60" s="684">
        <f>IF(終値!A60="","",IF(AND(安値!AE60&lt;安値!AD60,安値!AE60&lt;安値!AC60,安値!AE60&lt;安値!AF60,安値!AE60&lt;安値!AG60),26,""))</f>
      </c>
      <c r="AA60" s="684">
        <f>IF(終値!A60="","",IF(AND(安値!AF60&lt;安値!AE60,安値!AF60&lt;安値!AD60,安値!AF60&lt;安値!AG60,安値!AF60&lt;安値!AH60),27,""))</f>
      </c>
      <c r="AB60" s="684">
        <f>IF(終値!A60="","",IF(AND(安値!AG60&lt;安値!AF60,安値!AG60&lt;安値!AE60,安値!AG60&lt;安値!AH60,安値!AG60&lt;安値!AI60),28,""))</f>
      </c>
      <c r="AC60" s="684">
        <f>IF(終値!A60="","",IF(AND(高値!G60&gt;高値!F60,高値!G60&gt;高値!E60,高値!G60&gt;高値!H60,高値!G60&gt;高値!I60),2,""))</f>
      </c>
      <c r="AD60" s="684">
        <f>IF(終値!A60="","",IF(AND(高値!H60&gt;高値!G60,高値!H60&gt;高値!F60,高値!H60&gt;高値!I60,高値!H60&gt;高値!J60),3,""))</f>
      </c>
      <c r="AE60" s="684">
        <f>IF(終値!A60="","",IF(AND(高値!I60&gt;高値!H60,高値!I60&gt;高値!G60,高値!I60&gt;高値!J60,高値!I60&gt;高値!K60),4,""))</f>
      </c>
      <c r="AF60" s="684">
        <f>IF(終値!A60="","",IF(AND(高値!J60&gt;高値!I60,高値!J60&gt;高値!H60,高値!J60&gt;高値!K60,高値!J60&gt;高値!L60),5,""))</f>
      </c>
      <c r="AG60" s="684">
        <f>IF(終値!A60="","",IF(AND(高値!K60&gt;高値!J60,高値!K60&gt;高値!I60,高値!K60&gt;高値!L60,高値!K60&gt;高値!M60),6,""))</f>
      </c>
      <c r="AH60" s="684">
        <f>IF(終値!A60="","",IF(AND(高値!L60&gt;高値!K60,高値!L60&gt;高値!J60,高値!L60&gt;高値!M60,高値!L60&gt;高値!N60),7,""))</f>
      </c>
      <c r="AI60" s="684">
        <f>IF(終値!A60="","",IF(AND(高値!M60&gt;高値!L60,高値!M60&gt;高値!K60,高値!M60&gt;高値!N60,高値!M60&gt;高値!O60),8,""))</f>
      </c>
      <c r="AJ60" s="684">
        <f>IF(終値!A60="","",IF(AND(高値!N60&gt;高値!M60,高値!N60&gt;高値!L60,高値!N60&gt;高値!O60,高値!N60&gt;高値!P60),9,""))</f>
      </c>
      <c r="AK60" s="684">
        <f>IF(終値!A60="","",IF(AND(高値!O60&gt;高値!N60,高値!O60&gt;高値!M60,高値!O60&gt;高値!P60,高値!O60&gt;高値!Q60),10,""))</f>
      </c>
      <c r="AL60" s="684">
        <f>IF(終値!A60="","",IF(AND(高値!P60&gt;高値!O60,高値!P60&gt;高値!N60,高値!P60&gt;高値!Q60,高値!P60&gt;高値!R60),11,""))</f>
      </c>
      <c r="AM60" s="684">
        <f>IF(終値!A60="","",IF(AND(高値!Q60&gt;高値!P60,高値!Q60&gt;高値!O60,高値!Q60&gt;高値!R60,高値!Q60&gt;高値!S60),12,""))</f>
      </c>
      <c r="AN60" s="684">
        <f>IF(終値!A60="","",IF(AND(高値!R60&gt;高値!Q60,高値!R60&gt;高値!P60,高値!R60&gt;高値!S60,高値!R60&gt;高値!T60),13,""))</f>
      </c>
      <c r="AO60" s="684">
        <f>IF(終値!A60="","",IF(AND(高値!S60&gt;高値!R60,高値!S60&gt;高値!Q60,高値!S60&gt;高値!T60,高値!S60&gt;高値!U60),14,""))</f>
      </c>
      <c r="AP60" s="684">
        <f>IF(終値!A60="","",IF(AND(高値!T60&gt;高値!S60,高値!T60&gt;高値!R60,高値!T60&gt;高値!U60,高値!T60&gt;高値!V60),15,""))</f>
      </c>
      <c r="AQ60" s="684">
        <f>IF(終値!A60="","",IF(AND(高値!U60&gt;高値!T60,高値!U60&gt;高値!S60,高値!U60&gt;高値!V60,高値!U60&gt;高値!W60),16,""))</f>
      </c>
      <c r="AR60" s="684">
        <f>IF(終値!A60="","",IF(AND(高値!V60&gt;高値!U60,高値!V60&gt;高値!T60,高値!V60&gt;高値!W60,高値!V60&gt;高値!X60),17,""))</f>
      </c>
      <c r="AS60" s="684">
        <f>IF(終値!A60="","",IF(AND(高値!W60&gt;高値!V60,高値!W60&gt;高値!U60,高値!W60&gt;高値!X60,高値!W60&gt;高値!Y60),18,""))</f>
      </c>
      <c r="AT60" s="684">
        <f>IF(終値!A60="","",IF(AND(高値!X60&gt;高値!W60,高値!X60&gt;高値!V60,高値!X60&gt;高値!Y60,高値!X60&gt;高値!Z60),19,""))</f>
      </c>
      <c r="AU60" s="684">
        <f>IF(終値!A60="","",IF(AND(高値!Y60&gt;高値!X60,高値!Y60&gt;高値!W60,高値!Y60&gt;高値!Z60,高値!Y60&gt;高値!AA60),20,""))</f>
      </c>
      <c r="AV60" s="684">
        <f>IF(終値!A60="","",IF(AND(高値!Z60&gt;高値!Y60,高値!Z60&gt;高値!X60,高値!Z60&gt;高値!AA60,高値!Z60&gt;高値!AB60),21,""))</f>
      </c>
      <c r="AW60" s="684">
        <f>IF(終値!A60="","",IF(AND(高値!AA60&gt;高値!Z60,高値!AA60&gt;高値!Y60,高値!AA60&gt;高値!AB60,高値!AA60&gt;高値!AC60),22,""))</f>
      </c>
      <c r="AX60" s="684">
        <f>IF(終値!A60="","",IF(AND(高値!AB60&gt;高値!AA60,高値!AB60&gt;高値!Z60,高値!AB60&gt;高値!AC60,高値!AB60&gt;高値!AD60),23,""))</f>
      </c>
      <c r="AY60" s="684">
        <f>IF(終値!A60="","",IF(AND(高値!AC60&gt;高値!AB60,高値!AC60&gt;高値!AA60,高値!AC60&gt;高値!AD60,高値!AC60&gt;高値!AE60),24,""))</f>
      </c>
      <c r="AZ60" s="684">
        <f>IF(終値!A60="","",IF(AND(高値!AD60&gt;高値!AC60,高値!AD60&gt;高値!AB60,高値!AD60&gt;高値!AE60,高値!AD60&gt;高値!AF60),25,""))</f>
      </c>
      <c r="BA60" s="684">
        <f>IF(終値!A60="","",IF(AND(高値!AE60&gt;高値!AD60,高値!AE60&gt;高値!AC60,高値!AE60&gt;高値!AF60,高値!AE60&gt;高値!AG60),26,""))</f>
      </c>
      <c r="BB60" s="684">
        <f>IF(終値!A60="","",IF(AND(高値!AF60&gt;高値!AE60,高値!AF60&gt;高値!AD60,高値!AF60&gt;高値!AG60,高値!AF60&gt;高値!AH60),27,""))</f>
      </c>
      <c r="BC60" s="684">
        <f>IF(終値!A60="","",IF(AND(高値!AG60&gt;高値!AF60,高値!AG60&gt;高値!AE60,高値!AG60&gt;高値!AH60,高値!AG60&gt;高値!AI60),28,""))</f>
      </c>
      <c r="BD60" s="684">
        <f>COUNT($B60:$AB60)</f>
      </c>
      <c r="BE60" s="684">
        <f>IF($BD60&gt;=2,MIN($B60:$AB60),"")</f>
      </c>
      <c r="BF60" s="684">
        <f>IF($BD60&gt;=2,SMALL($B60:$AB60,2),"")</f>
      </c>
      <c r="BG60" s="684">
        <f>IF($BE60="","",INDEX(安値!$E60:$CZ60,1,$BE60+1))</f>
      </c>
      <c r="BH60" s="684">
        <f>IF($BF60="","",INDEX(安値!$E60:$CZ60,1,$BF60+1))</f>
      </c>
      <c r="BI60" s="684">
        <f>IF($BF60="","",MAX(INDEX(高値!$E60:$CZ60,1,$BE60+1):INDEX(高値!$E60:$CZ60,1,$BF60+1)))</f>
      </c>
      <c r="BJ60" s="684">
        <f>IF($BF60="","",AVERAGE(INDEX(終値!$E60:$CZ60,1,$BF60+1):INDEX(終値!$E60:$CZ60,1,$BF60+20))-2*STDEVP(INDEX(終値!$E60:$CZ60,1,$BF60+1):INDEX(終値!$E60:$CZ60,1,$BF60+20)))</f>
      </c>
      <c r="BK60" s="684">
        <f>IF($BE60="","",AVERAGE(INDEX(終値!$E60:$CZ60,1,$BE60+1):INDEX(終値!$E60:$CZ60,1,$BE60+20))-2*STDEVP(INDEX(終値!$E60:$CZ60,1,$BE60+1):INDEX(終値!$E60:$CZ60,1,$BE60+20)))</f>
      </c>
      <c r="BL60" s="684">
        <f>COUNT($AC60:$BC60)</f>
      </c>
      <c r="BM60" s="684">
        <f>IF($BL60&gt;=2,MIN($AC60:$BC60),"")</f>
      </c>
      <c r="BN60" s="684">
        <f>IF($BL60&gt;=2,SMALL($AC60:$BC60,2),"")</f>
      </c>
      <c r="BO60" s="684">
        <f>IF($BM60="","",INDEX(高値!$E60:$CZ60,1,$BM60+1))</f>
      </c>
      <c r="BP60" s="684">
        <f>IF($BN60="","",INDEX(高値!$E60:$CZ60,1,$BN60+1))</f>
      </c>
      <c r="BQ60" s="684">
        <f>IF($BN60="","",MIN(INDEX(安値!$E60:$CZ60,1,$BM60+1):INDEX(安値!$E60:$CZ60,1,$BN60+1)))</f>
      </c>
      <c r="BR60" s="684">
        <f>IF($BN60="","",AVERAGE(INDEX(終値!$E60:$CZ60,1,$BN60+1):INDEX(終値!$E60:$CZ60,1,$BN60+20))+2*STDEVP(INDEX(終値!$E60:$CZ60,1,$BN60+1):INDEX(終値!$E60:$CZ60,1,$BN60+20)))</f>
      </c>
      <c r="BS60" s="684">
        <f>IF($BM60="","",AVERAGE(INDEX(終値!$E60:$CZ60,1,$BM60+1):INDEX(終値!$E60:$CZ60,1,$BM60+20))+2*STDEVP(INDEX(終値!$E60:$CZ60,1,$BM60+1):INDEX(終値!$E60:$CZ60,1,$BM60+20)))</f>
      </c>
      <c r="BT60" s="681">
        <f>IFERROR(IF(AND($BD60&gt;=2,ABS($BG60-$BH60)/$BH60&lt;=BB設定!$B$12,$BI60&gt;=MAX($BH60,$BG60)*(1+BB設定!$B$13),終値!E60&gt;$BG60),IF(OR(終値!E60&gt;=$BI60,AND($BH60&lt;$BJ60,$BG60&gt;=$BK60)),"二番底W▲","二番底W形成"),IF(AND($BL60&gt;=2,ABS($BO60-$BP60)/$BP60&lt;=BB設定!$B$12,$BQ60&lt;=MIN($BP60,$BO60)*(1-BB設定!$B$13),終値!E60&lt;$BO60),IF(OR(終値!E60&lt;=$BQ60,AND($BP60&gt;$BR60,$BO60&lt;=$BS60)),"二番天井M▼","二番天井M形成"),"－")),"－")</f>
      </c>
    </row>
    <row r="61">
      <c r="B61" s="684">
        <f>IF(終値!A61="","",IF(AND(安値!G61&lt;安値!F61,安値!G61&lt;安値!E61,安値!G61&lt;安値!H61,安値!G61&lt;安値!I61),2,""))</f>
      </c>
      <c r="C61" s="684">
        <f>IF(終値!A61="","",IF(AND(安値!H61&lt;安値!G61,安値!H61&lt;安値!F61,安値!H61&lt;安値!I61,安値!H61&lt;安値!J61),3,""))</f>
      </c>
      <c r="D61" s="684">
        <f>IF(終値!A61="","",IF(AND(安値!I61&lt;安値!H61,安値!I61&lt;安値!G61,安値!I61&lt;安値!J61,安値!I61&lt;安値!K61),4,""))</f>
      </c>
      <c r="E61" s="684">
        <f>IF(終値!A61="","",IF(AND(安値!J61&lt;安値!I61,安値!J61&lt;安値!H61,安値!J61&lt;安値!K61,安値!J61&lt;安値!L61),5,""))</f>
      </c>
      <c r="F61" s="684">
        <f>IF(終値!A61="","",IF(AND(安値!K61&lt;安値!J61,安値!K61&lt;安値!I61,安値!K61&lt;安値!L61,安値!K61&lt;安値!M61),6,""))</f>
      </c>
      <c r="G61" s="684">
        <f>IF(終値!A61="","",IF(AND(安値!L61&lt;安値!K61,安値!L61&lt;安値!J61,安値!L61&lt;安値!M61,安値!L61&lt;安値!N61),7,""))</f>
      </c>
      <c r="H61" s="684">
        <f>IF(終値!A61="","",IF(AND(安値!M61&lt;安値!L61,安値!M61&lt;安値!K61,安値!M61&lt;安値!N61,安値!M61&lt;安値!O61),8,""))</f>
      </c>
      <c r="I61" s="684">
        <f>IF(終値!A61="","",IF(AND(安値!N61&lt;安値!M61,安値!N61&lt;安値!L61,安値!N61&lt;安値!O61,安値!N61&lt;安値!P61),9,""))</f>
      </c>
      <c r="J61" s="684">
        <f>IF(終値!A61="","",IF(AND(安値!O61&lt;安値!N61,安値!O61&lt;安値!M61,安値!O61&lt;安値!P61,安値!O61&lt;安値!Q61),10,""))</f>
      </c>
      <c r="K61" s="684">
        <f>IF(終値!A61="","",IF(AND(安値!P61&lt;安値!O61,安値!P61&lt;安値!N61,安値!P61&lt;安値!Q61,安値!P61&lt;安値!R61),11,""))</f>
      </c>
      <c r="L61" s="684">
        <f>IF(終値!A61="","",IF(AND(安値!Q61&lt;安値!P61,安値!Q61&lt;安値!O61,安値!Q61&lt;安値!R61,安値!Q61&lt;安値!S61),12,""))</f>
      </c>
      <c r="M61" s="684">
        <f>IF(終値!A61="","",IF(AND(安値!R61&lt;安値!Q61,安値!R61&lt;安値!P61,安値!R61&lt;安値!S61,安値!R61&lt;安値!T61),13,""))</f>
      </c>
      <c r="N61" s="684">
        <f>IF(終値!A61="","",IF(AND(安値!S61&lt;安値!R61,安値!S61&lt;安値!Q61,安値!S61&lt;安値!T61,安値!S61&lt;安値!U61),14,""))</f>
      </c>
      <c r="O61" s="684">
        <f>IF(終値!A61="","",IF(AND(安値!T61&lt;安値!S61,安値!T61&lt;安値!R61,安値!T61&lt;安値!U61,安値!T61&lt;安値!V61),15,""))</f>
      </c>
      <c r="P61" s="684">
        <f>IF(終値!A61="","",IF(AND(安値!U61&lt;安値!T61,安値!U61&lt;安値!S61,安値!U61&lt;安値!V61,安値!U61&lt;安値!W61),16,""))</f>
      </c>
      <c r="Q61" s="684">
        <f>IF(終値!A61="","",IF(AND(安値!V61&lt;安値!U61,安値!V61&lt;安値!T61,安値!V61&lt;安値!W61,安値!V61&lt;安値!X61),17,""))</f>
      </c>
      <c r="R61" s="684">
        <f>IF(終値!A61="","",IF(AND(安値!W61&lt;安値!V61,安値!W61&lt;安値!U61,安値!W61&lt;安値!X61,安値!W61&lt;安値!Y61),18,""))</f>
      </c>
      <c r="S61" s="684">
        <f>IF(終値!A61="","",IF(AND(安値!X61&lt;安値!W61,安値!X61&lt;安値!V61,安値!X61&lt;安値!Y61,安値!X61&lt;安値!Z61),19,""))</f>
      </c>
      <c r="T61" s="684">
        <f>IF(終値!A61="","",IF(AND(安値!Y61&lt;安値!X61,安値!Y61&lt;安値!W61,安値!Y61&lt;安値!Z61,安値!Y61&lt;安値!AA61),20,""))</f>
      </c>
      <c r="U61" s="684">
        <f>IF(終値!A61="","",IF(AND(安値!Z61&lt;安値!Y61,安値!Z61&lt;安値!X61,安値!Z61&lt;安値!AA61,安値!Z61&lt;安値!AB61),21,""))</f>
      </c>
      <c r="V61" s="684">
        <f>IF(終値!A61="","",IF(AND(安値!AA61&lt;安値!Z61,安値!AA61&lt;安値!Y61,安値!AA61&lt;安値!AB61,安値!AA61&lt;安値!AC61),22,""))</f>
      </c>
      <c r="W61" s="684">
        <f>IF(終値!A61="","",IF(AND(安値!AB61&lt;安値!AA61,安値!AB61&lt;安値!Z61,安値!AB61&lt;安値!AC61,安値!AB61&lt;安値!AD61),23,""))</f>
      </c>
      <c r="X61" s="684">
        <f>IF(終値!A61="","",IF(AND(安値!AC61&lt;安値!AB61,安値!AC61&lt;安値!AA61,安値!AC61&lt;安値!AD61,安値!AC61&lt;安値!AE61),24,""))</f>
      </c>
      <c r="Y61" s="684">
        <f>IF(終値!A61="","",IF(AND(安値!AD61&lt;安値!AC61,安値!AD61&lt;安値!AB61,安値!AD61&lt;安値!AE61,安値!AD61&lt;安値!AF61),25,""))</f>
      </c>
      <c r="Z61" s="684">
        <f>IF(終値!A61="","",IF(AND(安値!AE61&lt;安値!AD61,安値!AE61&lt;安値!AC61,安値!AE61&lt;安値!AF61,安値!AE61&lt;安値!AG61),26,""))</f>
      </c>
      <c r="AA61" s="684">
        <f>IF(終値!A61="","",IF(AND(安値!AF61&lt;安値!AE61,安値!AF61&lt;安値!AD61,安値!AF61&lt;安値!AG61,安値!AF61&lt;安値!AH61),27,""))</f>
      </c>
      <c r="AB61" s="684">
        <f>IF(終値!A61="","",IF(AND(安値!AG61&lt;安値!AF61,安値!AG61&lt;安値!AE61,安値!AG61&lt;安値!AH61,安値!AG61&lt;安値!AI61),28,""))</f>
      </c>
      <c r="AC61" s="684">
        <f>IF(終値!A61="","",IF(AND(高値!G61&gt;高値!F61,高値!G61&gt;高値!E61,高値!G61&gt;高値!H61,高値!G61&gt;高値!I61),2,""))</f>
      </c>
      <c r="AD61" s="684">
        <f>IF(終値!A61="","",IF(AND(高値!H61&gt;高値!G61,高値!H61&gt;高値!F61,高値!H61&gt;高値!I61,高値!H61&gt;高値!J61),3,""))</f>
      </c>
      <c r="AE61" s="684">
        <f>IF(終値!A61="","",IF(AND(高値!I61&gt;高値!H61,高値!I61&gt;高値!G61,高値!I61&gt;高値!J61,高値!I61&gt;高値!K61),4,""))</f>
      </c>
      <c r="AF61" s="684">
        <f>IF(終値!A61="","",IF(AND(高値!J61&gt;高値!I61,高値!J61&gt;高値!H61,高値!J61&gt;高値!K61,高値!J61&gt;高値!L61),5,""))</f>
      </c>
      <c r="AG61" s="684">
        <f>IF(終値!A61="","",IF(AND(高値!K61&gt;高値!J61,高値!K61&gt;高値!I61,高値!K61&gt;高値!L61,高値!K61&gt;高値!M61),6,""))</f>
      </c>
      <c r="AH61" s="684">
        <f>IF(終値!A61="","",IF(AND(高値!L61&gt;高値!K61,高値!L61&gt;高値!J61,高値!L61&gt;高値!M61,高値!L61&gt;高値!N61),7,""))</f>
      </c>
      <c r="AI61" s="684">
        <f>IF(終値!A61="","",IF(AND(高値!M61&gt;高値!L61,高値!M61&gt;高値!K61,高値!M61&gt;高値!N61,高値!M61&gt;高値!O61),8,""))</f>
      </c>
      <c r="AJ61" s="684">
        <f>IF(終値!A61="","",IF(AND(高値!N61&gt;高値!M61,高値!N61&gt;高値!L61,高値!N61&gt;高値!O61,高値!N61&gt;高値!P61),9,""))</f>
      </c>
      <c r="AK61" s="684">
        <f>IF(終値!A61="","",IF(AND(高値!O61&gt;高値!N61,高値!O61&gt;高値!M61,高値!O61&gt;高値!P61,高値!O61&gt;高値!Q61),10,""))</f>
      </c>
      <c r="AL61" s="684">
        <f>IF(終値!A61="","",IF(AND(高値!P61&gt;高値!O61,高値!P61&gt;高値!N61,高値!P61&gt;高値!Q61,高値!P61&gt;高値!R61),11,""))</f>
      </c>
      <c r="AM61" s="684">
        <f>IF(終値!A61="","",IF(AND(高値!Q61&gt;高値!P61,高値!Q61&gt;高値!O61,高値!Q61&gt;高値!R61,高値!Q61&gt;高値!S61),12,""))</f>
      </c>
      <c r="AN61" s="684">
        <f>IF(終値!A61="","",IF(AND(高値!R61&gt;高値!Q61,高値!R61&gt;高値!P61,高値!R61&gt;高値!S61,高値!R61&gt;高値!T61),13,""))</f>
      </c>
      <c r="AO61" s="684">
        <f>IF(終値!A61="","",IF(AND(高値!S61&gt;高値!R61,高値!S61&gt;高値!Q61,高値!S61&gt;高値!T61,高値!S61&gt;高値!U61),14,""))</f>
      </c>
      <c r="AP61" s="684">
        <f>IF(終値!A61="","",IF(AND(高値!T61&gt;高値!S61,高値!T61&gt;高値!R61,高値!T61&gt;高値!U61,高値!T61&gt;高値!V61),15,""))</f>
      </c>
      <c r="AQ61" s="684">
        <f>IF(終値!A61="","",IF(AND(高値!U61&gt;高値!T61,高値!U61&gt;高値!S61,高値!U61&gt;高値!V61,高値!U61&gt;高値!W61),16,""))</f>
      </c>
      <c r="AR61" s="684">
        <f>IF(終値!A61="","",IF(AND(高値!V61&gt;高値!U61,高値!V61&gt;高値!T61,高値!V61&gt;高値!W61,高値!V61&gt;高値!X61),17,""))</f>
      </c>
      <c r="AS61" s="684">
        <f>IF(終値!A61="","",IF(AND(高値!W61&gt;高値!V61,高値!W61&gt;高値!U61,高値!W61&gt;高値!X61,高値!W61&gt;高値!Y61),18,""))</f>
      </c>
      <c r="AT61" s="684">
        <f>IF(終値!A61="","",IF(AND(高値!X61&gt;高値!W61,高値!X61&gt;高値!V61,高値!X61&gt;高値!Y61,高値!X61&gt;高値!Z61),19,""))</f>
      </c>
      <c r="AU61" s="684">
        <f>IF(終値!A61="","",IF(AND(高値!Y61&gt;高値!X61,高値!Y61&gt;高値!W61,高値!Y61&gt;高値!Z61,高値!Y61&gt;高値!AA61),20,""))</f>
      </c>
      <c r="AV61" s="684">
        <f>IF(終値!A61="","",IF(AND(高値!Z61&gt;高値!Y61,高値!Z61&gt;高値!X61,高値!Z61&gt;高値!AA61,高値!Z61&gt;高値!AB61),21,""))</f>
      </c>
      <c r="AW61" s="684">
        <f>IF(終値!A61="","",IF(AND(高値!AA61&gt;高値!Z61,高値!AA61&gt;高値!Y61,高値!AA61&gt;高値!AB61,高値!AA61&gt;高値!AC61),22,""))</f>
      </c>
      <c r="AX61" s="684">
        <f>IF(終値!A61="","",IF(AND(高値!AB61&gt;高値!AA61,高値!AB61&gt;高値!Z61,高値!AB61&gt;高値!AC61,高値!AB61&gt;高値!AD61),23,""))</f>
      </c>
      <c r="AY61" s="684">
        <f>IF(終値!A61="","",IF(AND(高値!AC61&gt;高値!AB61,高値!AC61&gt;高値!AA61,高値!AC61&gt;高値!AD61,高値!AC61&gt;高値!AE61),24,""))</f>
      </c>
      <c r="AZ61" s="684">
        <f>IF(終値!A61="","",IF(AND(高値!AD61&gt;高値!AC61,高値!AD61&gt;高値!AB61,高値!AD61&gt;高値!AE61,高値!AD61&gt;高値!AF61),25,""))</f>
      </c>
      <c r="BA61" s="684">
        <f>IF(終値!A61="","",IF(AND(高値!AE61&gt;高値!AD61,高値!AE61&gt;高値!AC61,高値!AE61&gt;高値!AF61,高値!AE61&gt;高値!AG61),26,""))</f>
      </c>
      <c r="BB61" s="684">
        <f>IF(終値!A61="","",IF(AND(高値!AF61&gt;高値!AE61,高値!AF61&gt;高値!AD61,高値!AF61&gt;高値!AG61,高値!AF61&gt;高値!AH61),27,""))</f>
      </c>
      <c r="BC61" s="684">
        <f>IF(終値!A61="","",IF(AND(高値!AG61&gt;高値!AF61,高値!AG61&gt;高値!AE61,高値!AG61&gt;高値!AH61,高値!AG61&gt;高値!AI61),28,""))</f>
      </c>
      <c r="BD61" s="684">
        <f>COUNT($B61:$AB61)</f>
      </c>
      <c r="BE61" s="684">
        <f>IF($BD61&gt;=2,MIN($B61:$AB61),"")</f>
      </c>
      <c r="BF61" s="684">
        <f>IF($BD61&gt;=2,SMALL($B61:$AB61,2),"")</f>
      </c>
      <c r="BG61" s="684">
        <f>IF($BE61="","",INDEX(安値!$E61:$CZ61,1,$BE61+1))</f>
      </c>
      <c r="BH61" s="684">
        <f>IF($BF61="","",INDEX(安値!$E61:$CZ61,1,$BF61+1))</f>
      </c>
      <c r="BI61" s="684">
        <f>IF($BF61="","",MAX(INDEX(高値!$E61:$CZ61,1,$BE61+1):INDEX(高値!$E61:$CZ61,1,$BF61+1)))</f>
      </c>
      <c r="BJ61" s="684">
        <f>IF($BF61="","",AVERAGE(INDEX(終値!$E61:$CZ61,1,$BF61+1):INDEX(終値!$E61:$CZ61,1,$BF61+20))-2*STDEVP(INDEX(終値!$E61:$CZ61,1,$BF61+1):INDEX(終値!$E61:$CZ61,1,$BF61+20)))</f>
      </c>
      <c r="BK61" s="684">
        <f>IF($BE61="","",AVERAGE(INDEX(終値!$E61:$CZ61,1,$BE61+1):INDEX(終値!$E61:$CZ61,1,$BE61+20))-2*STDEVP(INDEX(終値!$E61:$CZ61,1,$BE61+1):INDEX(終値!$E61:$CZ61,1,$BE61+20)))</f>
      </c>
      <c r="BL61" s="684">
        <f>COUNT($AC61:$BC61)</f>
      </c>
      <c r="BM61" s="684">
        <f>IF($BL61&gt;=2,MIN($AC61:$BC61),"")</f>
      </c>
      <c r="BN61" s="684">
        <f>IF($BL61&gt;=2,SMALL($AC61:$BC61,2),"")</f>
      </c>
      <c r="BO61" s="684">
        <f>IF($BM61="","",INDEX(高値!$E61:$CZ61,1,$BM61+1))</f>
      </c>
      <c r="BP61" s="684">
        <f>IF($BN61="","",INDEX(高値!$E61:$CZ61,1,$BN61+1))</f>
      </c>
      <c r="BQ61" s="684">
        <f>IF($BN61="","",MIN(INDEX(安値!$E61:$CZ61,1,$BM61+1):INDEX(安値!$E61:$CZ61,1,$BN61+1)))</f>
      </c>
      <c r="BR61" s="684">
        <f>IF($BN61="","",AVERAGE(INDEX(終値!$E61:$CZ61,1,$BN61+1):INDEX(終値!$E61:$CZ61,1,$BN61+20))+2*STDEVP(INDEX(終値!$E61:$CZ61,1,$BN61+1):INDEX(終値!$E61:$CZ61,1,$BN61+20)))</f>
      </c>
      <c r="BS61" s="684">
        <f>IF($BM61="","",AVERAGE(INDEX(終値!$E61:$CZ61,1,$BM61+1):INDEX(終値!$E61:$CZ61,1,$BM61+20))+2*STDEVP(INDEX(終値!$E61:$CZ61,1,$BM61+1):INDEX(終値!$E61:$CZ61,1,$BM61+20)))</f>
      </c>
      <c r="BT61" s="681">
        <f>IFERROR(IF(AND($BD61&gt;=2,ABS($BG61-$BH61)/$BH61&lt;=BB設定!$B$12,$BI61&gt;=MAX($BH61,$BG61)*(1+BB設定!$B$13),終値!E61&gt;$BG61),IF(OR(終値!E61&gt;=$BI61,AND($BH61&lt;$BJ61,$BG61&gt;=$BK61)),"二番底W▲","二番底W形成"),IF(AND($BL61&gt;=2,ABS($BO61-$BP61)/$BP61&lt;=BB設定!$B$12,$BQ61&lt;=MIN($BP61,$BO61)*(1-BB設定!$B$13),終値!E61&lt;$BO61),IF(OR(終値!E61&lt;=$BQ61,AND($BP61&gt;$BR61,$BO61&lt;=$BS61)),"二番天井M▼","二番天井M形成"),"－")),"－")</f>
      </c>
    </row>
    <row r="62">
      <c r="B62" s="684">
        <f>IF(終値!A62="","",IF(AND(安値!G62&lt;安値!F62,安値!G62&lt;安値!E62,安値!G62&lt;安値!H62,安値!G62&lt;安値!I62),2,""))</f>
      </c>
      <c r="C62" s="684">
        <f>IF(終値!A62="","",IF(AND(安値!H62&lt;安値!G62,安値!H62&lt;安値!F62,安値!H62&lt;安値!I62,安値!H62&lt;安値!J62),3,""))</f>
      </c>
      <c r="D62" s="684">
        <f>IF(終値!A62="","",IF(AND(安値!I62&lt;安値!H62,安値!I62&lt;安値!G62,安値!I62&lt;安値!J62,安値!I62&lt;安値!K62),4,""))</f>
      </c>
      <c r="E62" s="684">
        <f>IF(終値!A62="","",IF(AND(安値!J62&lt;安値!I62,安値!J62&lt;安値!H62,安値!J62&lt;安値!K62,安値!J62&lt;安値!L62),5,""))</f>
      </c>
      <c r="F62" s="684">
        <f>IF(終値!A62="","",IF(AND(安値!K62&lt;安値!J62,安値!K62&lt;安値!I62,安値!K62&lt;安値!L62,安値!K62&lt;安値!M62),6,""))</f>
      </c>
      <c r="G62" s="684">
        <f>IF(終値!A62="","",IF(AND(安値!L62&lt;安値!K62,安値!L62&lt;安値!J62,安値!L62&lt;安値!M62,安値!L62&lt;安値!N62),7,""))</f>
      </c>
      <c r="H62" s="684">
        <f>IF(終値!A62="","",IF(AND(安値!M62&lt;安値!L62,安値!M62&lt;安値!K62,安値!M62&lt;安値!N62,安値!M62&lt;安値!O62),8,""))</f>
      </c>
      <c r="I62" s="684">
        <f>IF(終値!A62="","",IF(AND(安値!N62&lt;安値!M62,安値!N62&lt;安値!L62,安値!N62&lt;安値!O62,安値!N62&lt;安値!P62),9,""))</f>
      </c>
      <c r="J62" s="684">
        <f>IF(終値!A62="","",IF(AND(安値!O62&lt;安値!N62,安値!O62&lt;安値!M62,安値!O62&lt;安値!P62,安値!O62&lt;安値!Q62),10,""))</f>
      </c>
      <c r="K62" s="684">
        <f>IF(終値!A62="","",IF(AND(安値!P62&lt;安値!O62,安値!P62&lt;安値!N62,安値!P62&lt;安値!Q62,安値!P62&lt;安値!R62),11,""))</f>
      </c>
      <c r="L62" s="684">
        <f>IF(終値!A62="","",IF(AND(安値!Q62&lt;安値!P62,安値!Q62&lt;安値!O62,安値!Q62&lt;安値!R62,安値!Q62&lt;安値!S62),12,""))</f>
      </c>
      <c r="M62" s="684">
        <f>IF(終値!A62="","",IF(AND(安値!R62&lt;安値!Q62,安値!R62&lt;安値!P62,安値!R62&lt;安値!S62,安値!R62&lt;安値!T62),13,""))</f>
      </c>
      <c r="N62" s="684">
        <f>IF(終値!A62="","",IF(AND(安値!S62&lt;安値!R62,安値!S62&lt;安値!Q62,安値!S62&lt;安値!T62,安値!S62&lt;安値!U62),14,""))</f>
      </c>
      <c r="O62" s="684">
        <f>IF(終値!A62="","",IF(AND(安値!T62&lt;安値!S62,安値!T62&lt;安値!R62,安値!T62&lt;安値!U62,安値!T62&lt;安値!V62),15,""))</f>
      </c>
      <c r="P62" s="684">
        <f>IF(終値!A62="","",IF(AND(安値!U62&lt;安値!T62,安値!U62&lt;安値!S62,安値!U62&lt;安値!V62,安値!U62&lt;安値!W62),16,""))</f>
      </c>
      <c r="Q62" s="684">
        <f>IF(終値!A62="","",IF(AND(安値!V62&lt;安値!U62,安値!V62&lt;安値!T62,安値!V62&lt;安値!W62,安値!V62&lt;安値!X62),17,""))</f>
      </c>
      <c r="R62" s="684">
        <f>IF(終値!A62="","",IF(AND(安値!W62&lt;安値!V62,安値!W62&lt;安値!U62,安値!W62&lt;安値!X62,安値!W62&lt;安値!Y62),18,""))</f>
      </c>
      <c r="S62" s="684">
        <f>IF(終値!A62="","",IF(AND(安値!X62&lt;安値!W62,安値!X62&lt;安値!V62,安値!X62&lt;安値!Y62,安値!X62&lt;安値!Z62),19,""))</f>
      </c>
      <c r="T62" s="684">
        <f>IF(終値!A62="","",IF(AND(安値!Y62&lt;安値!X62,安値!Y62&lt;安値!W62,安値!Y62&lt;安値!Z62,安値!Y62&lt;安値!AA62),20,""))</f>
      </c>
      <c r="U62" s="684">
        <f>IF(終値!A62="","",IF(AND(安値!Z62&lt;安値!Y62,安値!Z62&lt;安値!X62,安値!Z62&lt;安値!AA62,安値!Z62&lt;安値!AB62),21,""))</f>
      </c>
      <c r="V62" s="684">
        <f>IF(終値!A62="","",IF(AND(安値!AA62&lt;安値!Z62,安値!AA62&lt;安値!Y62,安値!AA62&lt;安値!AB62,安値!AA62&lt;安値!AC62),22,""))</f>
      </c>
      <c r="W62" s="684">
        <f>IF(終値!A62="","",IF(AND(安値!AB62&lt;安値!AA62,安値!AB62&lt;安値!Z62,安値!AB62&lt;安値!AC62,安値!AB62&lt;安値!AD62),23,""))</f>
      </c>
      <c r="X62" s="684">
        <f>IF(終値!A62="","",IF(AND(安値!AC62&lt;安値!AB62,安値!AC62&lt;安値!AA62,安値!AC62&lt;安値!AD62,安値!AC62&lt;安値!AE62),24,""))</f>
      </c>
      <c r="Y62" s="684">
        <f>IF(終値!A62="","",IF(AND(安値!AD62&lt;安値!AC62,安値!AD62&lt;安値!AB62,安値!AD62&lt;安値!AE62,安値!AD62&lt;安値!AF62),25,""))</f>
      </c>
      <c r="Z62" s="684">
        <f>IF(終値!A62="","",IF(AND(安値!AE62&lt;安値!AD62,安値!AE62&lt;安値!AC62,安値!AE62&lt;安値!AF62,安値!AE62&lt;安値!AG62),26,""))</f>
      </c>
      <c r="AA62" s="684">
        <f>IF(終値!A62="","",IF(AND(安値!AF62&lt;安値!AE62,安値!AF62&lt;安値!AD62,安値!AF62&lt;安値!AG62,安値!AF62&lt;安値!AH62),27,""))</f>
      </c>
      <c r="AB62" s="684">
        <f>IF(終値!A62="","",IF(AND(安値!AG62&lt;安値!AF62,安値!AG62&lt;安値!AE62,安値!AG62&lt;安値!AH62,安値!AG62&lt;安値!AI62),28,""))</f>
      </c>
      <c r="AC62" s="684">
        <f>IF(終値!A62="","",IF(AND(高値!G62&gt;高値!F62,高値!G62&gt;高値!E62,高値!G62&gt;高値!H62,高値!G62&gt;高値!I62),2,""))</f>
      </c>
      <c r="AD62" s="684">
        <f>IF(終値!A62="","",IF(AND(高値!H62&gt;高値!G62,高値!H62&gt;高値!F62,高値!H62&gt;高値!I62,高値!H62&gt;高値!J62),3,""))</f>
      </c>
      <c r="AE62" s="684">
        <f>IF(終値!A62="","",IF(AND(高値!I62&gt;高値!H62,高値!I62&gt;高値!G62,高値!I62&gt;高値!J62,高値!I62&gt;高値!K62),4,""))</f>
      </c>
      <c r="AF62" s="684">
        <f>IF(終値!A62="","",IF(AND(高値!J62&gt;高値!I62,高値!J62&gt;高値!H62,高値!J62&gt;高値!K62,高値!J62&gt;高値!L62),5,""))</f>
      </c>
      <c r="AG62" s="684">
        <f>IF(終値!A62="","",IF(AND(高値!K62&gt;高値!J62,高値!K62&gt;高値!I62,高値!K62&gt;高値!L62,高値!K62&gt;高値!M62),6,""))</f>
      </c>
      <c r="AH62" s="684">
        <f>IF(終値!A62="","",IF(AND(高値!L62&gt;高値!K62,高値!L62&gt;高値!J62,高値!L62&gt;高値!M62,高値!L62&gt;高値!N62),7,""))</f>
      </c>
      <c r="AI62" s="684">
        <f>IF(終値!A62="","",IF(AND(高値!M62&gt;高値!L62,高値!M62&gt;高値!K62,高値!M62&gt;高値!N62,高値!M62&gt;高値!O62),8,""))</f>
      </c>
      <c r="AJ62" s="684">
        <f>IF(終値!A62="","",IF(AND(高値!N62&gt;高値!M62,高値!N62&gt;高値!L62,高値!N62&gt;高値!O62,高値!N62&gt;高値!P62),9,""))</f>
      </c>
      <c r="AK62" s="684">
        <f>IF(終値!A62="","",IF(AND(高値!O62&gt;高値!N62,高値!O62&gt;高値!M62,高値!O62&gt;高値!P62,高値!O62&gt;高値!Q62),10,""))</f>
      </c>
      <c r="AL62" s="684">
        <f>IF(終値!A62="","",IF(AND(高値!P62&gt;高値!O62,高値!P62&gt;高値!N62,高値!P62&gt;高値!Q62,高値!P62&gt;高値!R62),11,""))</f>
      </c>
      <c r="AM62" s="684">
        <f>IF(終値!A62="","",IF(AND(高値!Q62&gt;高値!P62,高値!Q62&gt;高値!O62,高値!Q62&gt;高値!R62,高値!Q62&gt;高値!S62),12,""))</f>
      </c>
      <c r="AN62" s="684">
        <f>IF(終値!A62="","",IF(AND(高値!R62&gt;高値!Q62,高値!R62&gt;高値!P62,高値!R62&gt;高値!S62,高値!R62&gt;高値!T62),13,""))</f>
      </c>
      <c r="AO62" s="684">
        <f>IF(終値!A62="","",IF(AND(高値!S62&gt;高値!R62,高値!S62&gt;高値!Q62,高値!S62&gt;高値!T62,高値!S62&gt;高値!U62),14,""))</f>
      </c>
      <c r="AP62" s="684">
        <f>IF(終値!A62="","",IF(AND(高値!T62&gt;高値!S62,高値!T62&gt;高値!R62,高値!T62&gt;高値!U62,高値!T62&gt;高値!V62),15,""))</f>
      </c>
      <c r="AQ62" s="684">
        <f>IF(終値!A62="","",IF(AND(高値!U62&gt;高値!T62,高値!U62&gt;高値!S62,高値!U62&gt;高値!V62,高値!U62&gt;高値!W62),16,""))</f>
      </c>
      <c r="AR62" s="684">
        <f>IF(終値!A62="","",IF(AND(高値!V62&gt;高値!U62,高値!V62&gt;高値!T62,高値!V62&gt;高値!W62,高値!V62&gt;高値!X62),17,""))</f>
      </c>
      <c r="AS62" s="684">
        <f>IF(終値!A62="","",IF(AND(高値!W62&gt;高値!V62,高値!W62&gt;高値!U62,高値!W62&gt;高値!X62,高値!W62&gt;高値!Y62),18,""))</f>
      </c>
      <c r="AT62" s="684">
        <f>IF(終値!A62="","",IF(AND(高値!X62&gt;高値!W62,高値!X62&gt;高値!V62,高値!X62&gt;高値!Y62,高値!X62&gt;高値!Z62),19,""))</f>
      </c>
      <c r="AU62" s="684">
        <f>IF(終値!A62="","",IF(AND(高値!Y62&gt;高値!X62,高値!Y62&gt;高値!W62,高値!Y62&gt;高値!Z62,高値!Y62&gt;高値!AA62),20,""))</f>
      </c>
      <c r="AV62" s="684">
        <f>IF(終値!A62="","",IF(AND(高値!Z62&gt;高値!Y62,高値!Z62&gt;高値!X62,高値!Z62&gt;高値!AA62,高値!Z62&gt;高値!AB62),21,""))</f>
      </c>
      <c r="AW62" s="684">
        <f>IF(終値!A62="","",IF(AND(高値!AA62&gt;高値!Z62,高値!AA62&gt;高値!Y62,高値!AA62&gt;高値!AB62,高値!AA62&gt;高値!AC62),22,""))</f>
      </c>
      <c r="AX62" s="684">
        <f>IF(終値!A62="","",IF(AND(高値!AB62&gt;高値!AA62,高値!AB62&gt;高値!Z62,高値!AB62&gt;高値!AC62,高値!AB62&gt;高値!AD62),23,""))</f>
      </c>
      <c r="AY62" s="684">
        <f>IF(終値!A62="","",IF(AND(高値!AC62&gt;高値!AB62,高値!AC62&gt;高値!AA62,高値!AC62&gt;高値!AD62,高値!AC62&gt;高値!AE62),24,""))</f>
      </c>
      <c r="AZ62" s="684">
        <f>IF(終値!A62="","",IF(AND(高値!AD62&gt;高値!AC62,高値!AD62&gt;高値!AB62,高値!AD62&gt;高値!AE62,高値!AD62&gt;高値!AF62),25,""))</f>
      </c>
      <c r="BA62" s="684">
        <f>IF(終値!A62="","",IF(AND(高値!AE62&gt;高値!AD62,高値!AE62&gt;高値!AC62,高値!AE62&gt;高値!AF62,高値!AE62&gt;高値!AG62),26,""))</f>
      </c>
      <c r="BB62" s="684">
        <f>IF(終値!A62="","",IF(AND(高値!AF62&gt;高値!AE62,高値!AF62&gt;高値!AD62,高値!AF62&gt;高値!AG62,高値!AF62&gt;高値!AH62),27,""))</f>
      </c>
      <c r="BC62" s="684">
        <f>IF(終値!A62="","",IF(AND(高値!AG62&gt;高値!AF62,高値!AG62&gt;高値!AE62,高値!AG62&gt;高値!AH62,高値!AG62&gt;高値!AI62),28,""))</f>
      </c>
      <c r="BD62" s="684">
        <f>COUNT($B62:$AB62)</f>
      </c>
      <c r="BE62" s="684">
        <f>IF($BD62&gt;=2,MIN($B62:$AB62),"")</f>
      </c>
      <c r="BF62" s="684">
        <f>IF($BD62&gt;=2,SMALL($B62:$AB62,2),"")</f>
      </c>
      <c r="BG62" s="684">
        <f>IF($BE62="","",INDEX(安値!$E62:$CZ62,1,$BE62+1))</f>
      </c>
      <c r="BH62" s="684">
        <f>IF($BF62="","",INDEX(安値!$E62:$CZ62,1,$BF62+1))</f>
      </c>
      <c r="BI62" s="684">
        <f>IF($BF62="","",MAX(INDEX(高値!$E62:$CZ62,1,$BE62+1):INDEX(高値!$E62:$CZ62,1,$BF62+1)))</f>
      </c>
      <c r="BJ62" s="684">
        <f>IF($BF62="","",AVERAGE(INDEX(終値!$E62:$CZ62,1,$BF62+1):INDEX(終値!$E62:$CZ62,1,$BF62+20))-2*STDEVP(INDEX(終値!$E62:$CZ62,1,$BF62+1):INDEX(終値!$E62:$CZ62,1,$BF62+20)))</f>
      </c>
      <c r="BK62" s="684">
        <f>IF($BE62="","",AVERAGE(INDEX(終値!$E62:$CZ62,1,$BE62+1):INDEX(終値!$E62:$CZ62,1,$BE62+20))-2*STDEVP(INDEX(終値!$E62:$CZ62,1,$BE62+1):INDEX(終値!$E62:$CZ62,1,$BE62+20)))</f>
      </c>
      <c r="BL62" s="684">
        <f>COUNT($AC62:$BC62)</f>
      </c>
      <c r="BM62" s="684">
        <f>IF($BL62&gt;=2,MIN($AC62:$BC62),"")</f>
      </c>
      <c r="BN62" s="684">
        <f>IF($BL62&gt;=2,SMALL($AC62:$BC62,2),"")</f>
      </c>
      <c r="BO62" s="684">
        <f>IF($BM62="","",INDEX(高値!$E62:$CZ62,1,$BM62+1))</f>
      </c>
      <c r="BP62" s="684">
        <f>IF($BN62="","",INDEX(高値!$E62:$CZ62,1,$BN62+1))</f>
      </c>
      <c r="BQ62" s="684">
        <f>IF($BN62="","",MIN(INDEX(安値!$E62:$CZ62,1,$BM62+1):INDEX(安値!$E62:$CZ62,1,$BN62+1)))</f>
      </c>
      <c r="BR62" s="684">
        <f>IF($BN62="","",AVERAGE(INDEX(終値!$E62:$CZ62,1,$BN62+1):INDEX(終値!$E62:$CZ62,1,$BN62+20))+2*STDEVP(INDEX(終値!$E62:$CZ62,1,$BN62+1):INDEX(終値!$E62:$CZ62,1,$BN62+20)))</f>
      </c>
      <c r="BS62" s="684">
        <f>IF($BM62="","",AVERAGE(INDEX(終値!$E62:$CZ62,1,$BM62+1):INDEX(終値!$E62:$CZ62,1,$BM62+20))+2*STDEVP(INDEX(終値!$E62:$CZ62,1,$BM62+1):INDEX(終値!$E62:$CZ62,1,$BM62+20)))</f>
      </c>
      <c r="BT62" s="681">
        <f>IFERROR(IF(AND($BD62&gt;=2,ABS($BG62-$BH62)/$BH62&lt;=BB設定!$B$12,$BI62&gt;=MAX($BH62,$BG62)*(1+BB設定!$B$13),終値!E62&gt;$BG62),IF(OR(終値!E62&gt;=$BI62,AND($BH62&lt;$BJ62,$BG62&gt;=$BK62)),"二番底W▲","二番底W形成"),IF(AND($BL62&gt;=2,ABS($BO62-$BP62)/$BP62&lt;=BB設定!$B$12,$BQ62&lt;=MIN($BP62,$BO62)*(1-BB設定!$B$13),終値!E62&lt;$BO62),IF(OR(終値!E62&lt;=$BQ62,AND($BP62&gt;$BR62,$BO62&lt;=$BS62)),"二番天井M▼","二番天井M形成"),"－")),"－")</f>
      </c>
    </row>
    <row r="63">
      <c r="B63" s="684">
        <f>IF(終値!A63="","",IF(AND(安値!G63&lt;安値!F63,安値!G63&lt;安値!E63,安値!G63&lt;安値!H63,安値!G63&lt;安値!I63),2,""))</f>
      </c>
      <c r="C63" s="684">
        <f>IF(終値!A63="","",IF(AND(安値!H63&lt;安値!G63,安値!H63&lt;安値!F63,安値!H63&lt;安値!I63,安値!H63&lt;安値!J63),3,""))</f>
      </c>
      <c r="D63" s="684">
        <f>IF(終値!A63="","",IF(AND(安値!I63&lt;安値!H63,安値!I63&lt;安値!G63,安値!I63&lt;安値!J63,安値!I63&lt;安値!K63),4,""))</f>
      </c>
      <c r="E63" s="684">
        <f>IF(終値!A63="","",IF(AND(安値!J63&lt;安値!I63,安値!J63&lt;安値!H63,安値!J63&lt;安値!K63,安値!J63&lt;安値!L63),5,""))</f>
      </c>
      <c r="F63" s="684">
        <f>IF(終値!A63="","",IF(AND(安値!K63&lt;安値!J63,安値!K63&lt;安値!I63,安値!K63&lt;安値!L63,安値!K63&lt;安値!M63),6,""))</f>
      </c>
      <c r="G63" s="684">
        <f>IF(終値!A63="","",IF(AND(安値!L63&lt;安値!K63,安値!L63&lt;安値!J63,安値!L63&lt;安値!M63,安値!L63&lt;安値!N63),7,""))</f>
      </c>
      <c r="H63" s="684">
        <f>IF(終値!A63="","",IF(AND(安値!M63&lt;安値!L63,安値!M63&lt;安値!K63,安値!M63&lt;安値!N63,安値!M63&lt;安値!O63),8,""))</f>
      </c>
      <c r="I63" s="684">
        <f>IF(終値!A63="","",IF(AND(安値!N63&lt;安値!M63,安値!N63&lt;安値!L63,安値!N63&lt;安値!O63,安値!N63&lt;安値!P63),9,""))</f>
      </c>
      <c r="J63" s="684">
        <f>IF(終値!A63="","",IF(AND(安値!O63&lt;安値!N63,安値!O63&lt;安値!M63,安値!O63&lt;安値!P63,安値!O63&lt;安値!Q63),10,""))</f>
      </c>
      <c r="K63" s="684">
        <f>IF(終値!A63="","",IF(AND(安値!P63&lt;安値!O63,安値!P63&lt;安値!N63,安値!P63&lt;安値!Q63,安値!P63&lt;安値!R63),11,""))</f>
      </c>
      <c r="L63" s="684">
        <f>IF(終値!A63="","",IF(AND(安値!Q63&lt;安値!P63,安値!Q63&lt;安値!O63,安値!Q63&lt;安値!R63,安値!Q63&lt;安値!S63),12,""))</f>
      </c>
      <c r="M63" s="684">
        <f>IF(終値!A63="","",IF(AND(安値!R63&lt;安値!Q63,安値!R63&lt;安値!P63,安値!R63&lt;安値!S63,安値!R63&lt;安値!T63),13,""))</f>
      </c>
      <c r="N63" s="684">
        <f>IF(終値!A63="","",IF(AND(安値!S63&lt;安値!R63,安値!S63&lt;安値!Q63,安値!S63&lt;安値!T63,安値!S63&lt;安値!U63),14,""))</f>
      </c>
      <c r="O63" s="684">
        <f>IF(終値!A63="","",IF(AND(安値!T63&lt;安値!S63,安値!T63&lt;安値!R63,安値!T63&lt;安値!U63,安値!T63&lt;安値!V63),15,""))</f>
      </c>
      <c r="P63" s="684">
        <f>IF(終値!A63="","",IF(AND(安値!U63&lt;安値!T63,安値!U63&lt;安値!S63,安値!U63&lt;安値!V63,安値!U63&lt;安値!W63),16,""))</f>
      </c>
      <c r="Q63" s="684">
        <f>IF(終値!A63="","",IF(AND(安値!V63&lt;安値!U63,安値!V63&lt;安値!T63,安値!V63&lt;安値!W63,安値!V63&lt;安値!X63),17,""))</f>
      </c>
      <c r="R63" s="684">
        <f>IF(終値!A63="","",IF(AND(安値!W63&lt;安値!V63,安値!W63&lt;安値!U63,安値!W63&lt;安値!X63,安値!W63&lt;安値!Y63),18,""))</f>
      </c>
      <c r="S63" s="684">
        <f>IF(終値!A63="","",IF(AND(安値!X63&lt;安値!W63,安値!X63&lt;安値!V63,安値!X63&lt;安値!Y63,安値!X63&lt;安値!Z63),19,""))</f>
      </c>
      <c r="T63" s="684">
        <f>IF(終値!A63="","",IF(AND(安値!Y63&lt;安値!X63,安値!Y63&lt;安値!W63,安値!Y63&lt;安値!Z63,安値!Y63&lt;安値!AA63),20,""))</f>
      </c>
      <c r="U63" s="684">
        <f>IF(終値!A63="","",IF(AND(安値!Z63&lt;安値!Y63,安値!Z63&lt;安値!X63,安値!Z63&lt;安値!AA63,安値!Z63&lt;安値!AB63),21,""))</f>
      </c>
      <c r="V63" s="684">
        <f>IF(終値!A63="","",IF(AND(安値!AA63&lt;安値!Z63,安値!AA63&lt;安値!Y63,安値!AA63&lt;安値!AB63,安値!AA63&lt;安値!AC63),22,""))</f>
      </c>
      <c r="W63" s="684">
        <f>IF(終値!A63="","",IF(AND(安値!AB63&lt;安値!AA63,安値!AB63&lt;安値!Z63,安値!AB63&lt;安値!AC63,安値!AB63&lt;安値!AD63),23,""))</f>
      </c>
      <c r="X63" s="684">
        <f>IF(終値!A63="","",IF(AND(安値!AC63&lt;安値!AB63,安値!AC63&lt;安値!AA63,安値!AC63&lt;安値!AD63,安値!AC63&lt;安値!AE63),24,""))</f>
      </c>
      <c r="Y63" s="684">
        <f>IF(終値!A63="","",IF(AND(安値!AD63&lt;安値!AC63,安値!AD63&lt;安値!AB63,安値!AD63&lt;安値!AE63,安値!AD63&lt;安値!AF63),25,""))</f>
      </c>
      <c r="Z63" s="684">
        <f>IF(終値!A63="","",IF(AND(安値!AE63&lt;安値!AD63,安値!AE63&lt;安値!AC63,安値!AE63&lt;安値!AF63,安値!AE63&lt;安値!AG63),26,""))</f>
      </c>
      <c r="AA63" s="684">
        <f>IF(終値!A63="","",IF(AND(安値!AF63&lt;安値!AE63,安値!AF63&lt;安値!AD63,安値!AF63&lt;安値!AG63,安値!AF63&lt;安値!AH63),27,""))</f>
      </c>
      <c r="AB63" s="684">
        <f>IF(終値!A63="","",IF(AND(安値!AG63&lt;安値!AF63,安値!AG63&lt;安値!AE63,安値!AG63&lt;安値!AH63,安値!AG63&lt;安値!AI63),28,""))</f>
      </c>
      <c r="AC63" s="684">
        <f>IF(終値!A63="","",IF(AND(高値!G63&gt;高値!F63,高値!G63&gt;高値!E63,高値!G63&gt;高値!H63,高値!G63&gt;高値!I63),2,""))</f>
      </c>
      <c r="AD63" s="684">
        <f>IF(終値!A63="","",IF(AND(高値!H63&gt;高値!G63,高値!H63&gt;高値!F63,高値!H63&gt;高値!I63,高値!H63&gt;高値!J63),3,""))</f>
      </c>
      <c r="AE63" s="684">
        <f>IF(終値!A63="","",IF(AND(高値!I63&gt;高値!H63,高値!I63&gt;高値!G63,高値!I63&gt;高値!J63,高値!I63&gt;高値!K63),4,""))</f>
      </c>
      <c r="AF63" s="684">
        <f>IF(終値!A63="","",IF(AND(高値!J63&gt;高値!I63,高値!J63&gt;高値!H63,高値!J63&gt;高値!K63,高値!J63&gt;高値!L63),5,""))</f>
      </c>
      <c r="AG63" s="684">
        <f>IF(終値!A63="","",IF(AND(高値!K63&gt;高値!J63,高値!K63&gt;高値!I63,高値!K63&gt;高値!L63,高値!K63&gt;高値!M63),6,""))</f>
      </c>
      <c r="AH63" s="684">
        <f>IF(終値!A63="","",IF(AND(高値!L63&gt;高値!K63,高値!L63&gt;高値!J63,高値!L63&gt;高値!M63,高値!L63&gt;高値!N63),7,""))</f>
      </c>
      <c r="AI63" s="684">
        <f>IF(終値!A63="","",IF(AND(高値!M63&gt;高値!L63,高値!M63&gt;高値!K63,高値!M63&gt;高値!N63,高値!M63&gt;高値!O63),8,""))</f>
      </c>
      <c r="AJ63" s="684">
        <f>IF(終値!A63="","",IF(AND(高値!N63&gt;高値!M63,高値!N63&gt;高値!L63,高値!N63&gt;高値!O63,高値!N63&gt;高値!P63),9,""))</f>
      </c>
      <c r="AK63" s="684">
        <f>IF(終値!A63="","",IF(AND(高値!O63&gt;高値!N63,高値!O63&gt;高値!M63,高値!O63&gt;高値!P63,高値!O63&gt;高値!Q63),10,""))</f>
      </c>
      <c r="AL63" s="684">
        <f>IF(終値!A63="","",IF(AND(高値!P63&gt;高値!O63,高値!P63&gt;高値!N63,高値!P63&gt;高値!Q63,高値!P63&gt;高値!R63),11,""))</f>
      </c>
      <c r="AM63" s="684">
        <f>IF(終値!A63="","",IF(AND(高値!Q63&gt;高値!P63,高値!Q63&gt;高値!O63,高値!Q63&gt;高値!R63,高値!Q63&gt;高値!S63),12,""))</f>
      </c>
      <c r="AN63" s="684">
        <f>IF(終値!A63="","",IF(AND(高値!R63&gt;高値!Q63,高値!R63&gt;高値!P63,高値!R63&gt;高値!S63,高値!R63&gt;高値!T63),13,""))</f>
      </c>
      <c r="AO63" s="684">
        <f>IF(終値!A63="","",IF(AND(高値!S63&gt;高値!R63,高値!S63&gt;高値!Q63,高値!S63&gt;高値!T63,高値!S63&gt;高値!U63),14,""))</f>
      </c>
      <c r="AP63" s="684">
        <f>IF(終値!A63="","",IF(AND(高値!T63&gt;高値!S63,高値!T63&gt;高値!R63,高値!T63&gt;高値!U63,高値!T63&gt;高値!V63),15,""))</f>
      </c>
      <c r="AQ63" s="684">
        <f>IF(終値!A63="","",IF(AND(高値!U63&gt;高値!T63,高値!U63&gt;高値!S63,高値!U63&gt;高値!V63,高値!U63&gt;高値!W63),16,""))</f>
      </c>
      <c r="AR63" s="684">
        <f>IF(終値!A63="","",IF(AND(高値!V63&gt;高値!U63,高値!V63&gt;高値!T63,高値!V63&gt;高値!W63,高値!V63&gt;高値!X63),17,""))</f>
      </c>
      <c r="AS63" s="684">
        <f>IF(終値!A63="","",IF(AND(高値!W63&gt;高値!V63,高値!W63&gt;高値!U63,高値!W63&gt;高値!X63,高値!W63&gt;高値!Y63),18,""))</f>
      </c>
      <c r="AT63" s="684">
        <f>IF(終値!A63="","",IF(AND(高値!X63&gt;高値!W63,高値!X63&gt;高値!V63,高値!X63&gt;高値!Y63,高値!X63&gt;高値!Z63),19,""))</f>
      </c>
      <c r="AU63" s="684">
        <f>IF(終値!A63="","",IF(AND(高値!Y63&gt;高値!X63,高値!Y63&gt;高値!W63,高値!Y63&gt;高値!Z63,高値!Y63&gt;高値!AA63),20,""))</f>
      </c>
      <c r="AV63" s="684">
        <f>IF(終値!A63="","",IF(AND(高値!Z63&gt;高値!Y63,高値!Z63&gt;高値!X63,高値!Z63&gt;高値!AA63,高値!Z63&gt;高値!AB63),21,""))</f>
      </c>
      <c r="AW63" s="684">
        <f>IF(終値!A63="","",IF(AND(高値!AA63&gt;高値!Z63,高値!AA63&gt;高値!Y63,高値!AA63&gt;高値!AB63,高値!AA63&gt;高値!AC63),22,""))</f>
      </c>
      <c r="AX63" s="684">
        <f>IF(終値!A63="","",IF(AND(高値!AB63&gt;高値!AA63,高値!AB63&gt;高値!Z63,高値!AB63&gt;高値!AC63,高値!AB63&gt;高値!AD63),23,""))</f>
      </c>
      <c r="AY63" s="684">
        <f>IF(終値!A63="","",IF(AND(高値!AC63&gt;高値!AB63,高値!AC63&gt;高値!AA63,高値!AC63&gt;高値!AD63,高値!AC63&gt;高値!AE63),24,""))</f>
      </c>
      <c r="AZ63" s="684">
        <f>IF(終値!A63="","",IF(AND(高値!AD63&gt;高値!AC63,高値!AD63&gt;高値!AB63,高値!AD63&gt;高値!AE63,高値!AD63&gt;高値!AF63),25,""))</f>
      </c>
      <c r="BA63" s="684">
        <f>IF(終値!A63="","",IF(AND(高値!AE63&gt;高値!AD63,高値!AE63&gt;高値!AC63,高値!AE63&gt;高値!AF63,高値!AE63&gt;高値!AG63),26,""))</f>
      </c>
      <c r="BB63" s="684">
        <f>IF(終値!A63="","",IF(AND(高値!AF63&gt;高値!AE63,高値!AF63&gt;高値!AD63,高値!AF63&gt;高値!AG63,高値!AF63&gt;高値!AH63),27,""))</f>
      </c>
      <c r="BC63" s="684">
        <f>IF(終値!A63="","",IF(AND(高値!AG63&gt;高値!AF63,高値!AG63&gt;高値!AE63,高値!AG63&gt;高値!AH63,高値!AG63&gt;高値!AI63),28,""))</f>
      </c>
      <c r="BD63" s="684">
        <f>COUNT($B63:$AB63)</f>
      </c>
      <c r="BE63" s="684">
        <f>IF($BD63&gt;=2,MIN($B63:$AB63),"")</f>
      </c>
      <c r="BF63" s="684">
        <f>IF($BD63&gt;=2,SMALL($B63:$AB63,2),"")</f>
      </c>
      <c r="BG63" s="684">
        <f>IF($BE63="","",INDEX(安値!$E63:$CZ63,1,$BE63+1))</f>
      </c>
      <c r="BH63" s="684">
        <f>IF($BF63="","",INDEX(安値!$E63:$CZ63,1,$BF63+1))</f>
      </c>
      <c r="BI63" s="684">
        <f>IF($BF63="","",MAX(INDEX(高値!$E63:$CZ63,1,$BE63+1):INDEX(高値!$E63:$CZ63,1,$BF63+1)))</f>
      </c>
      <c r="BJ63" s="684">
        <f>IF($BF63="","",AVERAGE(INDEX(終値!$E63:$CZ63,1,$BF63+1):INDEX(終値!$E63:$CZ63,1,$BF63+20))-2*STDEVP(INDEX(終値!$E63:$CZ63,1,$BF63+1):INDEX(終値!$E63:$CZ63,1,$BF63+20)))</f>
      </c>
      <c r="BK63" s="684">
        <f>IF($BE63="","",AVERAGE(INDEX(終値!$E63:$CZ63,1,$BE63+1):INDEX(終値!$E63:$CZ63,1,$BE63+20))-2*STDEVP(INDEX(終値!$E63:$CZ63,1,$BE63+1):INDEX(終値!$E63:$CZ63,1,$BE63+20)))</f>
      </c>
      <c r="BL63" s="684">
        <f>COUNT($AC63:$BC63)</f>
      </c>
      <c r="BM63" s="684">
        <f>IF($BL63&gt;=2,MIN($AC63:$BC63),"")</f>
      </c>
      <c r="BN63" s="684">
        <f>IF($BL63&gt;=2,SMALL($AC63:$BC63,2),"")</f>
      </c>
      <c r="BO63" s="684">
        <f>IF($BM63="","",INDEX(高値!$E63:$CZ63,1,$BM63+1))</f>
      </c>
      <c r="BP63" s="684">
        <f>IF($BN63="","",INDEX(高値!$E63:$CZ63,1,$BN63+1))</f>
      </c>
      <c r="BQ63" s="684">
        <f>IF($BN63="","",MIN(INDEX(安値!$E63:$CZ63,1,$BM63+1):INDEX(安値!$E63:$CZ63,1,$BN63+1)))</f>
      </c>
      <c r="BR63" s="684">
        <f>IF($BN63="","",AVERAGE(INDEX(終値!$E63:$CZ63,1,$BN63+1):INDEX(終値!$E63:$CZ63,1,$BN63+20))+2*STDEVP(INDEX(終値!$E63:$CZ63,1,$BN63+1):INDEX(終値!$E63:$CZ63,1,$BN63+20)))</f>
      </c>
      <c r="BS63" s="684">
        <f>IF($BM63="","",AVERAGE(INDEX(終値!$E63:$CZ63,1,$BM63+1):INDEX(終値!$E63:$CZ63,1,$BM63+20))+2*STDEVP(INDEX(終値!$E63:$CZ63,1,$BM63+1):INDEX(終値!$E63:$CZ63,1,$BM63+20)))</f>
      </c>
      <c r="BT63" s="681">
        <f>IFERROR(IF(AND($BD63&gt;=2,ABS($BG63-$BH63)/$BH63&lt;=BB設定!$B$12,$BI63&gt;=MAX($BH63,$BG63)*(1+BB設定!$B$13),終値!E63&gt;$BG63),IF(OR(終値!E63&gt;=$BI63,AND($BH63&lt;$BJ63,$BG63&gt;=$BK63)),"二番底W▲","二番底W形成"),IF(AND($BL63&gt;=2,ABS($BO63-$BP63)/$BP63&lt;=BB設定!$B$12,$BQ63&lt;=MIN($BP63,$BO63)*(1-BB設定!$B$13),終値!E63&lt;$BO63),IF(OR(終値!E63&lt;=$BQ63,AND($BP63&gt;$BR63,$BO63&lt;=$BS63)),"二番天井M▼","二番天井M形成"),"－")),"－")</f>
      </c>
    </row>
    <row r="64">
      <c r="B64" s="684">
        <f>IF(終値!A64="","",IF(AND(安値!G64&lt;安値!F64,安値!G64&lt;安値!E64,安値!G64&lt;安値!H64,安値!G64&lt;安値!I64),2,""))</f>
      </c>
      <c r="C64" s="684">
        <f>IF(終値!A64="","",IF(AND(安値!H64&lt;安値!G64,安値!H64&lt;安値!F64,安値!H64&lt;安値!I64,安値!H64&lt;安値!J64),3,""))</f>
      </c>
      <c r="D64" s="684">
        <f>IF(終値!A64="","",IF(AND(安値!I64&lt;安値!H64,安値!I64&lt;安値!G64,安値!I64&lt;安値!J64,安値!I64&lt;安値!K64),4,""))</f>
      </c>
      <c r="E64" s="684">
        <f>IF(終値!A64="","",IF(AND(安値!J64&lt;安値!I64,安値!J64&lt;安値!H64,安値!J64&lt;安値!K64,安値!J64&lt;安値!L64),5,""))</f>
      </c>
      <c r="F64" s="684">
        <f>IF(終値!A64="","",IF(AND(安値!K64&lt;安値!J64,安値!K64&lt;安値!I64,安値!K64&lt;安値!L64,安値!K64&lt;安値!M64),6,""))</f>
      </c>
      <c r="G64" s="684">
        <f>IF(終値!A64="","",IF(AND(安値!L64&lt;安値!K64,安値!L64&lt;安値!J64,安値!L64&lt;安値!M64,安値!L64&lt;安値!N64),7,""))</f>
      </c>
      <c r="H64" s="684">
        <f>IF(終値!A64="","",IF(AND(安値!M64&lt;安値!L64,安値!M64&lt;安値!K64,安値!M64&lt;安値!N64,安値!M64&lt;安値!O64),8,""))</f>
      </c>
      <c r="I64" s="684">
        <f>IF(終値!A64="","",IF(AND(安値!N64&lt;安値!M64,安値!N64&lt;安値!L64,安値!N64&lt;安値!O64,安値!N64&lt;安値!P64),9,""))</f>
      </c>
      <c r="J64" s="684">
        <f>IF(終値!A64="","",IF(AND(安値!O64&lt;安値!N64,安値!O64&lt;安値!M64,安値!O64&lt;安値!P64,安値!O64&lt;安値!Q64),10,""))</f>
      </c>
      <c r="K64" s="684">
        <f>IF(終値!A64="","",IF(AND(安値!P64&lt;安値!O64,安値!P64&lt;安値!N64,安値!P64&lt;安値!Q64,安値!P64&lt;安値!R64),11,""))</f>
      </c>
      <c r="L64" s="684">
        <f>IF(終値!A64="","",IF(AND(安値!Q64&lt;安値!P64,安値!Q64&lt;安値!O64,安値!Q64&lt;安値!R64,安値!Q64&lt;安値!S64),12,""))</f>
      </c>
      <c r="M64" s="684">
        <f>IF(終値!A64="","",IF(AND(安値!R64&lt;安値!Q64,安値!R64&lt;安値!P64,安値!R64&lt;安値!S64,安値!R64&lt;安値!T64),13,""))</f>
      </c>
      <c r="N64" s="684">
        <f>IF(終値!A64="","",IF(AND(安値!S64&lt;安値!R64,安値!S64&lt;安値!Q64,安値!S64&lt;安値!T64,安値!S64&lt;安値!U64),14,""))</f>
      </c>
      <c r="O64" s="684">
        <f>IF(終値!A64="","",IF(AND(安値!T64&lt;安値!S64,安値!T64&lt;安値!R64,安値!T64&lt;安値!U64,安値!T64&lt;安値!V64),15,""))</f>
      </c>
      <c r="P64" s="684">
        <f>IF(終値!A64="","",IF(AND(安値!U64&lt;安値!T64,安値!U64&lt;安値!S64,安値!U64&lt;安値!V64,安値!U64&lt;安値!W64),16,""))</f>
      </c>
      <c r="Q64" s="684">
        <f>IF(終値!A64="","",IF(AND(安値!V64&lt;安値!U64,安値!V64&lt;安値!T64,安値!V64&lt;安値!W64,安値!V64&lt;安値!X64),17,""))</f>
      </c>
      <c r="R64" s="684">
        <f>IF(終値!A64="","",IF(AND(安値!W64&lt;安値!V64,安値!W64&lt;安値!U64,安値!W64&lt;安値!X64,安値!W64&lt;安値!Y64),18,""))</f>
      </c>
      <c r="S64" s="684">
        <f>IF(終値!A64="","",IF(AND(安値!X64&lt;安値!W64,安値!X64&lt;安値!V64,安値!X64&lt;安値!Y64,安値!X64&lt;安値!Z64),19,""))</f>
      </c>
      <c r="T64" s="684">
        <f>IF(終値!A64="","",IF(AND(安値!Y64&lt;安値!X64,安値!Y64&lt;安値!W64,安値!Y64&lt;安値!Z64,安値!Y64&lt;安値!AA64),20,""))</f>
      </c>
      <c r="U64" s="684">
        <f>IF(終値!A64="","",IF(AND(安値!Z64&lt;安値!Y64,安値!Z64&lt;安値!X64,安値!Z64&lt;安値!AA64,安値!Z64&lt;安値!AB64),21,""))</f>
      </c>
      <c r="V64" s="684">
        <f>IF(終値!A64="","",IF(AND(安値!AA64&lt;安値!Z64,安値!AA64&lt;安値!Y64,安値!AA64&lt;安値!AB64,安値!AA64&lt;安値!AC64),22,""))</f>
      </c>
      <c r="W64" s="684">
        <f>IF(終値!A64="","",IF(AND(安値!AB64&lt;安値!AA64,安値!AB64&lt;安値!Z64,安値!AB64&lt;安値!AC64,安値!AB64&lt;安値!AD64),23,""))</f>
      </c>
      <c r="X64" s="684">
        <f>IF(終値!A64="","",IF(AND(安値!AC64&lt;安値!AB64,安値!AC64&lt;安値!AA64,安値!AC64&lt;安値!AD64,安値!AC64&lt;安値!AE64),24,""))</f>
      </c>
      <c r="Y64" s="684">
        <f>IF(終値!A64="","",IF(AND(安値!AD64&lt;安値!AC64,安値!AD64&lt;安値!AB64,安値!AD64&lt;安値!AE64,安値!AD64&lt;安値!AF64),25,""))</f>
      </c>
      <c r="Z64" s="684">
        <f>IF(終値!A64="","",IF(AND(安値!AE64&lt;安値!AD64,安値!AE64&lt;安値!AC64,安値!AE64&lt;安値!AF64,安値!AE64&lt;安値!AG64),26,""))</f>
      </c>
      <c r="AA64" s="684">
        <f>IF(終値!A64="","",IF(AND(安値!AF64&lt;安値!AE64,安値!AF64&lt;安値!AD64,安値!AF64&lt;安値!AG64,安値!AF64&lt;安値!AH64),27,""))</f>
      </c>
      <c r="AB64" s="684">
        <f>IF(終値!A64="","",IF(AND(安値!AG64&lt;安値!AF64,安値!AG64&lt;安値!AE64,安値!AG64&lt;安値!AH64,安値!AG64&lt;安値!AI64),28,""))</f>
      </c>
      <c r="AC64" s="684">
        <f>IF(終値!A64="","",IF(AND(高値!G64&gt;高値!F64,高値!G64&gt;高値!E64,高値!G64&gt;高値!H64,高値!G64&gt;高値!I64),2,""))</f>
      </c>
      <c r="AD64" s="684">
        <f>IF(終値!A64="","",IF(AND(高値!H64&gt;高値!G64,高値!H64&gt;高値!F64,高値!H64&gt;高値!I64,高値!H64&gt;高値!J64),3,""))</f>
      </c>
      <c r="AE64" s="684">
        <f>IF(終値!A64="","",IF(AND(高値!I64&gt;高値!H64,高値!I64&gt;高値!G64,高値!I64&gt;高値!J64,高値!I64&gt;高値!K64),4,""))</f>
      </c>
      <c r="AF64" s="684">
        <f>IF(終値!A64="","",IF(AND(高値!J64&gt;高値!I64,高値!J64&gt;高値!H64,高値!J64&gt;高値!K64,高値!J64&gt;高値!L64),5,""))</f>
      </c>
      <c r="AG64" s="684">
        <f>IF(終値!A64="","",IF(AND(高値!K64&gt;高値!J64,高値!K64&gt;高値!I64,高値!K64&gt;高値!L64,高値!K64&gt;高値!M64),6,""))</f>
      </c>
      <c r="AH64" s="684">
        <f>IF(終値!A64="","",IF(AND(高値!L64&gt;高値!K64,高値!L64&gt;高値!J64,高値!L64&gt;高値!M64,高値!L64&gt;高値!N64),7,""))</f>
      </c>
      <c r="AI64" s="684">
        <f>IF(終値!A64="","",IF(AND(高値!M64&gt;高値!L64,高値!M64&gt;高値!K64,高値!M64&gt;高値!N64,高値!M64&gt;高値!O64),8,""))</f>
      </c>
      <c r="AJ64" s="684">
        <f>IF(終値!A64="","",IF(AND(高値!N64&gt;高値!M64,高値!N64&gt;高値!L64,高値!N64&gt;高値!O64,高値!N64&gt;高値!P64),9,""))</f>
      </c>
      <c r="AK64" s="684">
        <f>IF(終値!A64="","",IF(AND(高値!O64&gt;高値!N64,高値!O64&gt;高値!M64,高値!O64&gt;高値!P64,高値!O64&gt;高値!Q64),10,""))</f>
      </c>
      <c r="AL64" s="684">
        <f>IF(終値!A64="","",IF(AND(高値!P64&gt;高値!O64,高値!P64&gt;高値!N64,高値!P64&gt;高値!Q64,高値!P64&gt;高値!R64),11,""))</f>
      </c>
      <c r="AM64" s="684">
        <f>IF(終値!A64="","",IF(AND(高値!Q64&gt;高値!P64,高値!Q64&gt;高値!O64,高値!Q64&gt;高値!R64,高値!Q64&gt;高値!S64),12,""))</f>
      </c>
      <c r="AN64" s="684">
        <f>IF(終値!A64="","",IF(AND(高値!R64&gt;高値!Q64,高値!R64&gt;高値!P64,高値!R64&gt;高値!S64,高値!R64&gt;高値!T64),13,""))</f>
      </c>
      <c r="AO64" s="684">
        <f>IF(終値!A64="","",IF(AND(高値!S64&gt;高値!R64,高値!S64&gt;高値!Q64,高値!S64&gt;高値!T64,高値!S64&gt;高値!U64),14,""))</f>
      </c>
      <c r="AP64" s="684">
        <f>IF(終値!A64="","",IF(AND(高値!T64&gt;高値!S64,高値!T64&gt;高値!R64,高値!T64&gt;高値!U64,高値!T64&gt;高値!V64),15,""))</f>
      </c>
      <c r="AQ64" s="684">
        <f>IF(終値!A64="","",IF(AND(高値!U64&gt;高値!T64,高値!U64&gt;高値!S64,高値!U64&gt;高値!V64,高値!U64&gt;高値!W64),16,""))</f>
      </c>
      <c r="AR64" s="684">
        <f>IF(終値!A64="","",IF(AND(高値!V64&gt;高値!U64,高値!V64&gt;高値!T64,高値!V64&gt;高値!W64,高値!V64&gt;高値!X64),17,""))</f>
      </c>
      <c r="AS64" s="684">
        <f>IF(終値!A64="","",IF(AND(高値!W64&gt;高値!V64,高値!W64&gt;高値!U64,高値!W64&gt;高値!X64,高値!W64&gt;高値!Y64),18,""))</f>
      </c>
      <c r="AT64" s="684">
        <f>IF(終値!A64="","",IF(AND(高値!X64&gt;高値!W64,高値!X64&gt;高値!V64,高値!X64&gt;高値!Y64,高値!X64&gt;高値!Z64),19,""))</f>
      </c>
      <c r="AU64" s="684">
        <f>IF(終値!A64="","",IF(AND(高値!Y64&gt;高値!X64,高値!Y64&gt;高値!W64,高値!Y64&gt;高値!Z64,高値!Y64&gt;高値!AA64),20,""))</f>
      </c>
      <c r="AV64" s="684">
        <f>IF(終値!A64="","",IF(AND(高値!Z64&gt;高値!Y64,高値!Z64&gt;高値!X64,高値!Z64&gt;高値!AA64,高値!Z64&gt;高値!AB64),21,""))</f>
      </c>
      <c r="AW64" s="684">
        <f>IF(終値!A64="","",IF(AND(高値!AA64&gt;高値!Z64,高値!AA64&gt;高値!Y64,高値!AA64&gt;高値!AB64,高値!AA64&gt;高値!AC64),22,""))</f>
      </c>
      <c r="AX64" s="684">
        <f>IF(終値!A64="","",IF(AND(高値!AB64&gt;高値!AA64,高値!AB64&gt;高値!Z64,高値!AB64&gt;高値!AC64,高値!AB64&gt;高値!AD64),23,""))</f>
      </c>
      <c r="AY64" s="684">
        <f>IF(終値!A64="","",IF(AND(高値!AC64&gt;高値!AB64,高値!AC64&gt;高値!AA64,高値!AC64&gt;高値!AD64,高値!AC64&gt;高値!AE64),24,""))</f>
      </c>
      <c r="AZ64" s="684">
        <f>IF(終値!A64="","",IF(AND(高値!AD64&gt;高値!AC64,高値!AD64&gt;高値!AB64,高値!AD64&gt;高値!AE64,高値!AD64&gt;高値!AF64),25,""))</f>
      </c>
      <c r="BA64" s="684">
        <f>IF(終値!A64="","",IF(AND(高値!AE64&gt;高値!AD64,高値!AE64&gt;高値!AC64,高値!AE64&gt;高値!AF64,高値!AE64&gt;高値!AG64),26,""))</f>
      </c>
      <c r="BB64" s="684">
        <f>IF(終値!A64="","",IF(AND(高値!AF64&gt;高値!AE64,高値!AF64&gt;高値!AD64,高値!AF64&gt;高値!AG64,高値!AF64&gt;高値!AH64),27,""))</f>
      </c>
      <c r="BC64" s="684">
        <f>IF(終値!A64="","",IF(AND(高値!AG64&gt;高値!AF64,高値!AG64&gt;高値!AE64,高値!AG64&gt;高値!AH64,高値!AG64&gt;高値!AI64),28,""))</f>
      </c>
      <c r="BD64" s="684">
        <f>COUNT($B64:$AB64)</f>
      </c>
      <c r="BE64" s="684">
        <f>IF($BD64&gt;=2,MIN($B64:$AB64),"")</f>
      </c>
      <c r="BF64" s="684">
        <f>IF($BD64&gt;=2,SMALL($B64:$AB64,2),"")</f>
      </c>
      <c r="BG64" s="684">
        <f>IF($BE64="","",INDEX(安値!$E64:$CZ64,1,$BE64+1))</f>
      </c>
      <c r="BH64" s="684">
        <f>IF($BF64="","",INDEX(安値!$E64:$CZ64,1,$BF64+1))</f>
      </c>
      <c r="BI64" s="684">
        <f>IF($BF64="","",MAX(INDEX(高値!$E64:$CZ64,1,$BE64+1):INDEX(高値!$E64:$CZ64,1,$BF64+1)))</f>
      </c>
      <c r="BJ64" s="684">
        <f>IF($BF64="","",AVERAGE(INDEX(終値!$E64:$CZ64,1,$BF64+1):INDEX(終値!$E64:$CZ64,1,$BF64+20))-2*STDEVP(INDEX(終値!$E64:$CZ64,1,$BF64+1):INDEX(終値!$E64:$CZ64,1,$BF64+20)))</f>
      </c>
      <c r="BK64" s="684">
        <f>IF($BE64="","",AVERAGE(INDEX(終値!$E64:$CZ64,1,$BE64+1):INDEX(終値!$E64:$CZ64,1,$BE64+20))-2*STDEVP(INDEX(終値!$E64:$CZ64,1,$BE64+1):INDEX(終値!$E64:$CZ64,1,$BE64+20)))</f>
      </c>
      <c r="BL64" s="684">
        <f>COUNT($AC64:$BC64)</f>
      </c>
      <c r="BM64" s="684">
        <f>IF($BL64&gt;=2,MIN($AC64:$BC64),"")</f>
      </c>
      <c r="BN64" s="684">
        <f>IF($BL64&gt;=2,SMALL($AC64:$BC64,2),"")</f>
      </c>
      <c r="BO64" s="684">
        <f>IF($BM64="","",INDEX(高値!$E64:$CZ64,1,$BM64+1))</f>
      </c>
      <c r="BP64" s="684">
        <f>IF($BN64="","",INDEX(高値!$E64:$CZ64,1,$BN64+1))</f>
      </c>
      <c r="BQ64" s="684">
        <f>IF($BN64="","",MIN(INDEX(安値!$E64:$CZ64,1,$BM64+1):INDEX(安値!$E64:$CZ64,1,$BN64+1)))</f>
      </c>
      <c r="BR64" s="684">
        <f>IF($BN64="","",AVERAGE(INDEX(終値!$E64:$CZ64,1,$BN64+1):INDEX(終値!$E64:$CZ64,1,$BN64+20))+2*STDEVP(INDEX(終値!$E64:$CZ64,1,$BN64+1):INDEX(終値!$E64:$CZ64,1,$BN64+20)))</f>
      </c>
      <c r="BS64" s="684">
        <f>IF($BM64="","",AVERAGE(INDEX(終値!$E64:$CZ64,1,$BM64+1):INDEX(終値!$E64:$CZ64,1,$BM64+20))+2*STDEVP(INDEX(終値!$E64:$CZ64,1,$BM64+1):INDEX(終値!$E64:$CZ64,1,$BM64+20)))</f>
      </c>
      <c r="BT64" s="681">
        <f>IFERROR(IF(AND($BD64&gt;=2,ABS($BG64-$BH64)/$BH64&lt;=BB設定!$B$12,$BI64&gt;=MAX($BH64,$BG64)*(1+BB設定!$B$13),終値!E64&gt;$BG64),IF(OR(終値!E64&gt;=$BI64,AND($BH64&lt;$BJ64,$BG64&gt;=$BK64)),"二番底W▲","二番底W形成"),IF(AND($BL64&gt;=2,ABS($BO64-$BP64)/$BP64&lt;=BB設定!$B$12,$BQ64&lt;=MIN($BP64,$BO64)*(1-BB設定!$B$13),終値!E64&lt;$BO64),IF(OR(終値!E64&lt;=$BQ64,AND($BP64&gt;$BR64,$BO64&lt;=$BS64)),"二番天井M▼","二番天井M形成"),"－")),"－")</f>
      </c>
    </row>
    <row r="65">
      <c r="B65" s="684">
        <f>IF(終値!A65="","",IF(AND(安値!G65&lt;安値!F65,安値!G65&lt;安値!E65,安値!G65&lt;安値!H65,安値!G65&lt;安値!I65),2,""))</f>
      </c>
      <c r="C65" s="684">
        <f>IF(終値!A65="","",IF(AND(安値!H65&lt;安値!G65,安値!H65&lt;安値!F65,安値!H65&lt;安値!I65,安値!H65&lt;安値!J65),3,""))</f>
      </c>
      <c r="D65" s="684">
        <f>IF(終値!A65="","",IF(AND(安値!I65&lt;安値!H65,安値!I65&lt;安値!G65,安値!I65&lt;安値!J65,安値!I65&lt;安値!K65),4,""))</f>
      </c>
      <c r="E65" s="684">
        <f>IF(終値!A65="","",IF(AND(安値!J65&lt;安値!I65,安値!J65&lt;安値!H65,安値!J65&lt;安値!K65,安値!J65&lt;安値!L65),5,""))</f>
      </c>
      <c r="F65" s="684">
        <f>IF(終値!A65="","",IF(AND(安値!K65&lt;安値!J65,安値!K65&lt;安値!I65,安値!K65&lt;安値!L65,安値!K65&lt;安値!M65),6,""))</f>
      </c>
      <c r="G65" s="684">
        <f>IF(終値!A65="","",IF(AND(安値!L65&lt;安値!K65,安値!L65&lt;安値!J65,安値!L65&lt;安値!M65,安値!L65&lt;安値!N65),7,""))</f>
      </c>
      <c r="H65" s="684">
        <f>IF(終値!A65="","",IF(AND(安値!M65&lt;安値!L65,安値!M65&lt;安値!K65,安値!M65&lt;安値!N65,安値!M65&lt;安値!O65),8,""))</f>
      </c>
      <c r="I65" s="684">
        <f>IF(終値!A65="","",IF(AND(安値!N65&lt;安値!M65,安値!N65&lt;安値!L65,安値!N65&lt;安値!O65,安値!N65&lt;安値!P65),9,""))</f>
      </c>
      <c r="J65" s="684">
        <f>IF(終値!A65="","",IF(AND(安値!O65&lt;安値!N65,安値!O65&lt;安値!M65,安値!O65&lt;安値!P65,安値!O65&lt;安値!Q65),10,""))</f>
      </c>
      <c r="K65" s="684">
        <f>IF(終値!A65="","",IF(AND(安値!P65&lt;安値!O65,安値!P65&lt;安値!N65,安値!P65&lt;安値!Q65,安値!P65&lt;安値!R65),11,""))</f>
      </c>
      <c r="L65" s="684">
        <f>IF(終値!A65="","",IF(AND(安値!Q65&lt;安値!P65,安値!Q65&lt;安値!O65,安値!Q65&lt;安値!R65,安値!Q65&lt;安値!S65),12,""))</f>
      </c>
      <c r="M65" s="684">
        <f>IF(終値!A65="","",IF(AND(安値!R65&lt;安値!Q65,安値!R65&lt;安値!P65,安値!R65&lt;安値!S65,安値!R65&lt;安値!T65),13,""))</f>
      </c>
      <c r="N65" s="684">
        <f>IF(終値!A65="","",IF(AND(安値!S65&lt;安値!R65,安値!S65&lt;安値!Q65,安値!S65&lt;安値!T65,安値!S65&lt;安値!U65),14,""))</f>
      </c>
      <c r="O65" s="684">
        <f>IF(終値!A65="","",IF(AND(安値!T65&lt;安値!S65,安値!T65&lt;安値!R65,安値!T65&lt;安値!U65,安値!T65&lt;安値!V65),15,""))</f>
      </c>
      <c r="P65" s="684">
        <f>IF(終値!A65="","",IF(AND(安値!U65&lt;安値!T65,安値!U65&lt;安値!S65,安値!U65&lt;安値!V65,安値!U65&lt;安値!W65),16,""))</f>
      </c>
      <c r="Q65" s="684">
        <f>IF(終値!A65="","",IF(AND(安値!V65&lt;安値!U65,安値!V65&lt;安値!T65,安値!V65&lt;安値!W65,安値!V65&lt;安値!X65),17,""))</f>
      </c>
      <c r="R65" s="684">
        <f>IF(終値!A65="","",IF(AND(安値!W65&lt;安値!V65,安値!W65&lt;安値!U65,安値!W65&lt;安値!X65,安値!W65&lt;安値!Y65),18,""))</f>
      </c>
      <c r="S65" s="684">
        <f>IF(終値!A65="","",IF(AND(安値!X65&lt;安値!W65,安値!X65&lt;安値!V65,安値!X65&lt;安値!Y65,安値!X65&lt;安値!Z65),19,""))</f>
      </c>
      <c r="T65" s="684">
        <f>IF(終値!A65="","",IF(AND(安値!Y65&lt;安値!X65,安値!Y65&lt;安値!W65,安値!Y65&lt;安値!Z65,安値!Y65&lt;安値!AA65),20,""))</f>
      </c>
      <c r="U65" s="684">
        <f>IF(終値!A65="","",IF(AND(安値!Z65&lt;安値!Y65,安値!Z65&lt;安値!X65,安値!Z65&lt;安値!AA65,安値!Z65&lt;安値!AB65),21,""))</f>
      </c>
      <c r="V65" s="684">
        <f>IF(終値!A65="","",IF(AND(安値!AA65&lt;安値!Z65,安値!AA65&lt;安値!Y65,安値!AA65&lt;安値!AB65,安値!AA65&lt;安値!AC65),22,""))</f>
      </c>
      <c r="W65" s="684">
        <f>IF(終値!A65="","",IF(AND(安値!AB65&lt;安値!AA65,安値!AB65&lt;安値!Z65,安値!AB65&lt;安値!AC65,安値!AB65&lt;安値!AD65),23,""))</f>
      </c>
      <c r="X65" s="684">
        <f>IF(終値!A65="","",IF(AND(安値!AC65&lt;安値!AB65,安値!AC65&lt;安値!AA65,安値!AC65&lt;安値!AD65,安値!AC65&lt;安値!AE65),24,""))</f>
      </c>
      <c r="Y65" s="684">
        <f>IF(終値!A65="","",IF(AND(安値!AD65&lt;安値!AC65,安値!AD65&lt;安値!AB65,安値!AD65&lt;安値!AE65,安値!AD65&lt;安値!AF65),25,""))</f>
      </c>
      <c r="Z65" s="684">
        <f>IF(終値!A65="","",IF(AND(安値!AE65&lt;安値!AD65,安値!AE65&lt;安値!AC65,安値!AE65&lt;安値!AF65,安値!AE65&lt;安値!AG65),26,""))</f>
      </c>
      <c r="AA65" s="684">
        <f>IF(終値!A65="","",IF(AND(安値!AF65&lt;安値!AE65,安値!AF65&lt;安値!AD65,安値!AF65&lt;安値!AG65,安値!AF65&lt;安値!AH65),27,""))</f>
      </c>
      <c r="AB65" s="684">
        <f>IF(終値!A65="","",IF(AND(安値!AG65&lt;安値!AF65,安値!AG65&lt;安値!AE65,安値!AG65&lt;安値!AH65,安値!AG65&lt;安値!AI65),28,""))</f>
      </c>
      <c r="AC65" s="684">
        <f>IF(終値!A65="","",IF(AND(高値!G65&gt;高値!F65,高値!G65&gt;高値!E65,高値!G65&gt;高値!H65,高値!G65&gt;高値!I65),2,""))</f>
      </c>
      <c r="AD65" s="684">
        <f>IF(終値!A65="","",IF(AND(高値!H65&gt;高値!G65,高値!H65&gt;高値!F65,高値!H65&gt;高値!I65,高値!H65&gt;高値!J65),3,""))</f>
      </c>
      <c r="AE65" s="684">
        <f>IF(終値!A65="","",IF(AND(高値!I65&gt;高値!H65,高値!I65&gt;高値!G65,高値!I65&gt;高値!J65,高値!I65&gt;高値!K65),4,""))</f>
      </c>
      <c r="AF65" s="684">
        <f>IF(終値!A65="","",IF(AND(高値!J65&gt;高値!I65,高値!J65&gt;高値!H65,高値!J65&gt;高値!K65,高値!J65&gt;高値!L65),5,""))</f>
      </c>
      <c r="AG65" s="684">
        <f>IF(終値!A65="","",IF(AND(高値!K65&gt;高値!J65,高値!K65&gt;高値!I65,高値!K65&gt;高値!L65,高値!K65&gt;高値!M65),6,""))</f>
      </c>
      <c r="AH65" s="684">
        <f>IF(終値!A65="","",IF(AND(高値!L65&gt;高値!K65,高値!L65&gt;高値!J65,高値!L65&gt;高値!M65,高値!L65&gt;高値!N65),7,""))</f>
      </c>
      <c r="AI65" s="684">
        <f>IF(終値!A65="","",IF(AND(高値!M65&gt;高値!L65,高値!M65&gt;高値!K65,高値!M65&gt;高値!N65,高値!M65&gt;高値!O65),8,""))</f>
      </c>
      <c r="AJ65" s="684">
        <f>IF(終値!A65="","",IF(AND(高値!N65&gt;高値!M65,高値!N65&gt;高値!L65,高値!N65&gt;高値!O65,高値!N65&gt;高値!P65),9,""))</f>
      </c>
      <c r="AK65" s="684">
        <f>IF(終値!A65="","",IF(AND(高値!O65&gt;高値!N65,高値!O65&gt;高値!M65,高値!O65&gt;高値!P65,高値!O65&gt;高値!Q65),10,""))</f>
      </c>
      <c r="AL65" s="684">
        <f>IF(終値!A65="","",IF(AND(高値!P65&gt;高値!O65,高値!P65&gt;高値!N65,高値!P65&gt;高値!Q65,高値!P65&gt;高値!R65),11,""))</f>
      </c>
      <c r="AM65" s="684">
        <f>IF(終値!A65="","",IF(AND(高値!Q65&gt;高値!P65,高値!Q65&gt;高値!O65,高値!Q65&gt;高値!R65,高値!Q65&gt;高値!S65),12,""))</f>
      </c>
      <c r="AN65" s="684">
        <f>IF(終値!A65="","",IF(AND(高値!R65&gt;高値!Q65,高値!R65&gt;高値!P65,高値!R65&gt;高値!S65,高値!R65&gt;高値!T65),13,""))</f>
      </c>
      <c r="AO65" s="684">
        <f>IF(終値!A65="","",IF(AND(高値!S65&gt;高値!R65,高値!S65&gt;高値!Q65,高値!S65&gt;高値!T65,高値!S65&gt;高値!U65),14,""))</f>
      </c>
      <c r="AP65" s="684">
        <f>IF(終値!A65="","",IF(AND(高値!T65&gt;高値!S65,高値!T65&gt;高値!R65,高値!T65&gt;高値!U65,高値!T65&gt;高値!V65),15,""))</f>
      </c>
      <c r="AQ65" s="684">
        <f>IF(終値!A65="","",IF(AND(高値!U65&gt;高値!T65,高値!U65&gt;高値!S65,高値!U65&gt;高値!V65,高値!U65&gt;高値!W65),16,""))</f>
      </c>
      <c r="AR65" s="684">
        <f>IF(終値!A65="","",IF(AND(高値!V65&gt;高値!U65,高値!V65&gt;高値!T65,高値!V65&gt;高値!W65,高値!V65&gt;高値!X65),17,""))</f>
      </c>
      <c r="AS65" s="684">
        <f>IF(終値!A65="","",IF(AND(高値!W65&gt;高値!V65,高値!W65&gt;高値!U65,高値!W65&gt;高値!X65,高値!W65&gt;高値!Y65),18,""))</f>
      </c>
      <c r="AT65" s="684">
        <f>IF(終値!A65="","",IF(AND(高値!X65&gt;高値!W65,高値!X65&gt;高値!V65,高値!X65&gt;高値!Y65,高値!X65&gt;高値!Z65),19,""))</f>
      </c>
      <c r="AU65" s="684">
        <f>IF(終値!A65="","",IF(AND(高値!Y65&gt;高値!X65,高値!Y65&gt;高値!W65,高値!Y65&gt;高値!Z65,高値!Y65&gt;高値!AA65),20,""))</f>
      </c>
      <c r="AV65" s="684">
        <f>IF(終値!A65="","",IF(AND(高値!Z65&gt;高値!Y65,高値!Z65&gt;高値!X65,高値!Z65&gt;高値!AA65,高値!Z65&gt;高値!AB65),21,""))</f>
      </c>
      <c r="AW65" s="684">
        <f>IF(終値!A65="","",IF(AND(高値!AA65&gt;高値!Z65,高値!AA65&gt;高値!Y65,高値!AA65&gt;高値!AB65,高値!AA65&gt;高値!AC65),22,""))</f>
      </c>
      <c r="AX65" s="684">
        <f>IF(終値!A65="","",IF(AND(高値!AB65&gt;高値!AA65,高値!AB65&gt;高値!Z65,高値!AB65&gt;高値!AC65,高値!AB65&gt;高値!AD65),23,""))</f>
      </c>
      <c r="AY65" s="684">
        <f>IF(終値!A65="","",IF(AND(高値!AC65&gt;高値!AB65,高値!AC65&gt;高値!AA65,高値!AC65&gt;高値!AD65,高値!AC65&gt;高値!AE65),24,""))</f>
      </c>
      <c r="AZ65" s="684">
        <f>IF(終値!A65="","",IF(AND(高値!AD65&gt;高値!AC65,高値!AD65&gt;高値!AB65,高値!AD65&gt;高値!AE65,高値!AD65&gt;高値!AF65),25,""))</f>
      </c>
      <c r="BA65" s="684">
        <f>IF(終値!A65="","",IF(AND(高値!AE65&gt;高値!AD65,高値!AE65&gt;高値!AC65,高値!AE65&gt;高値!AF65,高値!AE65&gt;高値!AG65),26,""))</f>
      </c>
      <c r="BB65" s="684">
        <f>IF(終値!A65="","",IF(AND(高値!AF65&gt;高値!AE65,高値!AF65&gt;高値!AD65,高値!AF65&gt;高値!AG65,高値!AF65&gt;高値!AH65),27,""))</f>
      </c>
      <c r="BC65" s="684">
        <f>IF(終値!A65="","",IF(AND(高値!AG65&gt;高値!AF65,高値!AG65&gt;高値!AE65,高値!AG65&gt;高値!AH65,高値!AG65&gt;高値!AI65),28,""))</f>
      </c>
      <c r="BD65" s="684">
        <f>COUNT($B65:$AB65)</f>
      </c>
      <c r="BE65" s="684">
        <f>IF($BD65&gt;=2,MIN($B65:$AB65),"")</f>
      </c>
      <c r="BF65" s="684">
        <f>IF($BD65&gt;=2,SMALL($B65:$AB65,2),"")</f>
      </c>
      <c r="BG65" s="684">
        <f>IF($BE65="","",INDEX(安値!$E65:$CZ65,1,$BE65+1))</f>
      </c>
      <c r="BH65" s="684">
        <f>IF($BF65="","",INDEX(安値!$E65:$CZ65,1,$BF65+1))</f>
      </c>
      <c r="BI65" s="684">
        <f>IF($BF65="","",MAX(INDEX(高値!$E65:$CZ65,1,$BE65+1):INDEX(高値!$E65:$CZ65,1,$BF65+1)))</f>
      </c>
      <c r="BJ65" s="684">
        <f>IF($BF65="","",AVERAGE(INDEX(終値!$E65:$CZ65,1,$BF65+1):INDEX(終値!$E65:$CZ65,1,$BF65+20))-2*STDEVP(INDEX(終値!$E65:$CZ65,1,$BF65+1):INDEX(終値!$E65:$CZ65,1,$BF65+20)))</f>
      </c>
      <c r="BK65" s="684">
        <f>IF($BE65="","",AVERAGE(INDEX(終値!$E65:$CZ65,1,$BE65+1):INDEX(終値!$E65:$CZ65,1,$BE65+20))-2*STDEVP(INDEX(終値!$E65:$CZ65,1,$BE65+1):INDEX(終値!$E65:$CZ65,1,$BE65+20)))</f>
      </c>
      <c r="BL65" s="684">
        <f>COUNT($AC65:$BC65)</f>
      </c>
      <c r="BM65" s="684">
        <f>IF($BL65&gt;=2,MIN($AC65:$BC65),"")</f>
      </c>
      <c r="BN65" s="684">
        <f>IF($BL65&gt;=2,SMALL($AC65:$BC65,2),"")</f>
      </c>
      <c r="BO65" s="684">
        <f>IF($BM65="","",INDEX(高値!$E65:$CZ65,1,$BM65+1))</f>
      </c>
      <c r="BP65" s="684">
        <f>IF($BN65="","",INDEX(高値!$E65:$CZ65,1,$BN65+1))</f>
      </c>
      <c r="BQ65" s="684">
        <f>IF($BN65="","",MIN(INDEX(安値!$E65:$CZ65,1,$BM65+1):INDEX(安値!$E65:$CZ65,1,$BN65+1)))</f>
      </c>
      <c r="BR65" s="684">
        <f>IF($BN65="","",AVERAGE(INDEX(終値!$E65:$CZ65,1,$BN65+1):INDEX(終値!$E65:$CZ65,1,$BN65+20))+2*STDEVP(INDEX(終値!$E65:$CZ65,1,$BN65+1):INDEX(終値!$E65:$CZ65,1,$BN65+20)))</f>
      </c>
      <c r="BS65" s="684">
        <f>IF($BM65="","",AVERAGE(INDEX(終値!$E65:$CZ65,1,$BM65+1):INDEX(終値!$E65:$CZ65,1,$BM65+20))+2*STDEVP(INDEX(終値!$E65:$CZ65,1,$BM65+1):INDEX(終値!$E65:$CZ65,1,$BM65+20)))</f>
      </c>
      <c r="BT65" s="681">
        <f>IFERROR(IF(AND($BD65&gt;=2,ABS($BG65-$BH65)/$BH65&lt;=BB設定!$B$12,$BI65&gt;=MAX($BH65,$BG65)*(1+BB設定!$B$13),終値!E65&gt;$BG65),IF(OR(終値!E65&gt;=$BI65,AND($BH65&lt;$BJ65,$BG65&gt;=$BK65)),"二番底W▲","二番底W形成"),IF(AND($BL65&gt;=2,ABS($BO65-$BP65)/$BP65&lt;=BB設定!$B$12,$BQ65&lt;=MIN($BP65,$BO65)*(1-BB設定!$B$13),終値!E65&lt;$BO65),IF(OR(終値!E65&lt;=$BQ65,AND($BP65&gt;$BR65,$BO65&lt;=$BS65)),"二番天井M▼","二番天井M形成"),"－")),"－")</f>
      </c>
    </row>
    <row r="66">
      <c r="B66" s="684">
        <f>IF(終値!A66="","",IF(AND(安値!G66&lt;安値!F66,安値!G66&lt;安値!E66,安値!G66&lt;安値!H66,安値!G66&lt;安値!I66),2,""))</f>
      </c>
      <c r="C66" s="684">
        <f>IF(終値!A66="","",IF(AND(安値!H66&lt;安値!G66,安値!H66&lt;安値!F66,安値!H66&lt;安値!I66,安値!H66&lt;安値!J66),3,""))</f>
      </c>
      <c r="D66" s="684">
        <f>IF(終値!A66="","",IF(AND(安値!I66&lt;安値!H66,安値!I66&lt;安値!G66,安値!I66&lt;安値!J66,安値!I66&lt;安値!K66),4,""))</f>
      </c>
      <c r="E66" s="684">
        <f>IF(終値!A66="","",IF(AND(安値!J66&lt;安値!I66,安値!J66&lt;安値!H66,安値!J66&lt;安値!K66,安値!J66&lt;安値!L66),5,""))</f>
      </c>
      <c r="F66" s="684">
        <f>IF(終値!A66="","",IF(AND(安値!K66&lt;安値!J66,安値!K66&lt;安値!I66,安値!K66&lt;安値!L66,安値!K66&lt;安値!M66),6,""))</f>
      </c>
      <c r="G66" s="684">
        <f>IF(終値!A66="","",IF(AND(安値!L66&lt;安値!K66,安値!L66&lt;安値!J66,安値!L66&lt;安値!M66,安値!L66&lt;安値!N66),7,""))</f>
      </c>
      <c r="H66" s="684">
        <f>IF(終値!A66="","",IF(AND(安値!M66&lt;安値!L66,安値!M66&lt;安値!K66,安値!M66&lt;安値!N66,安値!M66&lt;安値!O66),8,""))</f>
      </c>
      <c r="I66" s="684">
        <f>IF(終値!A66="","",IF(AND(安値!N66&lt;安値!M66,安値!N66&lt;安値!L66,安値!N66&lt;安値!O66,安値!N66&lt;安値!P66),9,""))</f>
      </c>
      <c r="J66" s="684">
        <f>IF(終値!A66="","",IF(AND(安値!O66&lt;安値!N66,安値!O66&lt;安値!M66,安値!O66&lt;安値!P66,安値!O66&lt;安値!Q66),10,""))</f>
      </c>
      <c r="K66" s="684">
        <f>IF(終値!A66="","",IF(AND(安値!P66&lt;安値!O66,安値!P66&lt;安値!N66,安値!P66&lt;安値!Q66,安値!P66&lt;安値!R66),11,""))</f>
      </c>
      <c r="L66" s="684">
        <f>IF(終値!A66="","",IF(AND(安値!Q66&lt;安値!P66,安値!Q66&lt;安値!O66,安値!Q66&lt;安値!R66,安値!Q66&lt;安値!S66),12,""))</f>
      </c>
      <c r="M66" s="684">
        <f>IF(終値!A66="","",IF(AND(安値!R66&lt;安値!Q66,安値!R66&lt;安値!P66,安値!R66&lt;安値!S66,安値!R66&lt;安値!T66),13,""))</f>
      </c>
      <c r="N66" s="684">
        <f>IF(終値!A66="","",IF(AND(安値!S66&lt;安値!R66,安値!S66&lt;安値!Q66,安値!S66&lt;安値!T66,安値!S66&lt;安値!U66),14,""))</f>
      </c>
      <c r="O66" s="684">
        <f>IF(終値!A66="","",IF(AND(安値!T66&lt;安値!S66,安値!T66&lt;安値!R66,安値!T66&lt;安値!U66,安値!T66&lt;安値!V66),15,""))</f>
      </c>
      <c r="P66" s="684">
        <f>IF(終値!A66="","",IF(AND(安値!U66&lt;安値!T66,安値!U66&lt;安値!S66,安値!U66&lt;安値!V66,安値!U66&lt;安値!W66),16,""))</f>
      </c>
      <c r="Q66" s="684">
        <f>IF(終値!A66="","",IF(AND(安値!V66&lt;安値!U66,安値!V66&lt;安値!T66,安値!V66&lt;安値!W66,安値!V66&lt;安値!X66),17,""))</f>
      </c>
      <c r="R66" s="684">
        <f>IF(終値!A66="","",IF(AND(安値!W66&lt;安値!V66,安値!W66&lt;安値!U66,安値!W66&lt;安値!X66,安値!W66&lt;安値!Y66),18,""))</f>
      </c>
      <c r="S66" s="684">
        <f>IF(終値!A66="","",IF(AND(安値!X66&lt;安値!W66,安値!X66&lt;安値!V66,安値!X66&lt;安値!Y66,安値!X66&lt;安値!Z66),19,""))</f>
      </c>
      <c r="T66" s="684">
        <f>IF(終値!A66="","",IF(AND(安値!Y66&lt;安値!X66,安値!Y66&lt;安値!W66,安値!Y66&lt;安値!Z66,安値!Y66&lt;安値!AA66),20,""))</f>
      </c>
      <c r="U66" s="684">
        <f>IF(終値!A66="","",IF(AND(安値!Z66&lt;安値!Y66,安値!Z66&lt;安値!X66,安値!Z66&lt;安値!AA66,安値!Z66&lt;安値!AB66),21,""))</f>
      </c>
      <c r="V66" s="684">
        <f>IF(終値!A66="","",IF(AND(安値!AA66&lt;安値!Z66,安値!AA66&lt;安値!Y66,安値!AA66&lt;安値!AB66,安値!AA66&lt;安値!AC66),22,""))</f>
      </c>
      <c r="W66" s="684">
        <f>IF(終値!A66="","",IF(AND(安値!AB66&lt;安値!AA66,安値!AB66&lt;安値!Z66,安値!AB66&lt;安値!AC66,安値!AB66&lt;安値!AD66),23,""))</f>
      </c>
      <c r="X66" s="684">
        <f>IF(終値!A66="","",IF(AND(安値!AC66&lt;安値!AB66,安値!AC66&lt;安値!AA66,安値!AC66&lt;安値!AD66,安値!AC66&lt;安値!AE66),24,""))</f>
      </c>
      <c r="Y66" s="684">
        <f>IF(終値!A66="","",IF(AND(安値!AD66&lt;安値!AC66,安値!AD66&lt;安値!AB66,安値!AD66&lt;安値!AE66,安値!AD66&lt;安値!AF66),25,""))</f>
      </c>
      <c r="Z66" s="684">
        <f>IF(終値!A66="","",IF(AND(安値!AE66&lt;安値!AD66,安値!AE66&lt;安値!AC66,安値!AE66&lt;安値!AF66,安値!AE66&lt;安値!AG66),26,""))</f>
      </c>
      <c r="AA66" s="684">
        <f>IF(終値!A66="","",IF(AND(安値!AF66&lt;安値!AE66,安値!AF66&lt;安値!AD66,安値!AF66&lt;安値!AG66,安値!AF66&lt;安値!AH66),27,""))</f>
      </c>
      <c r="AB66" s="684">
        <f>IF(終値!A66="","",IF(AND(安値!AG66&lt;安値!AF66,安値!AG66&lt;安値!AE66,安値!AG66&lt;安値!AH66,安値!AG66&lt;安値!AI66),28,""))</f>
      </c>
      <c r="AC66" s="684">
        <f>IF(終値!A66="","",IF(AND(高値!G66&gt;高値!F66,高値!G66&gt;高値!E66,高値!G66&gt;高値!H66,高値!G66&gt;高値!I66),2,""))</f>
      </c>
      <c r="AD66" s="684">
        <f>IF(終値!A66="","",IF(AND(高値!H66&gt;高値!G66,高値!H66&gt;高値!F66,高値!H66&gt;高値!I66,高値!H66&gt;高値!J66),3,""))</f>
      </c>
      <c r="AE66" s="684">
        <f>IF(終値!A66="","",IF(AND(高値!I66&gt;高値!H66,高値!I66&gt;高値!G66,高値!I66&gt;高値!J66,高値!I66&gt;高値!K66),4,""))</f>
      </c>
      <c r="AF66" s="684">
        <f>IF(終値!A66="","",IF(AND(高値!J66&gt;高値!I66,高値!J66&gt;高値!H66,高値!J66&gt;高値!K66,高値!J66&gt;高値!L66),5,""))</f>
      </c>
      <c r="AG66" s="684">
        <f>IF(終値!A66="","",IF(AND(高値!K66&gt;高値!J66,高値!K66&gt;高値!I66,高値!K66&gt;高値!L66,高値!K66&gt;高値!M66),6,""))</f>
      </c>
      <c r="AH66" s="684">
        <f>IF(終値!A66="","",IF(AND(高値!L66&gt;高値!K66,高値!L66&gt;高値!J66,高値!L66&gt;高値!M66,高値!L66&gt;高値!N66),7,""))</f>
      </c>
      <c r="AI66" s="684">
        <f>IF(終値!A66="","",IF(AND(高値!M66&gt;高値!L66,高値!M66&gt;高値!K66,高値!M66&gt;高値!N66,高値!M66&gt;高値!O66),8,""))</f>
      </c>
      <c r="AJ66" s="684">
        <f>IF(終値!A66="","",IF(AND(高値!N66&gt;高値!M66,高値!N66&gt;高値!L66,高値!N66&gt;高値!O66,高値!N66&gt;高値!P66),9,""))</f>
      </c>
      <c r="AK66" s="684">
        <f>IF(終値!A66="","",IF(AND(高値!O66&gt;高値!N66,高値!O66&gt;高値!M66,高値!O66&gt;高値!P66,高値!O66&gt;高値!Q66),10,""))</f>
      </c>
      <c r="AL66" s="684">
        <f>IF(終値!A66="","",IF(AND(高値!P66&gt;高値!O66,高値!P66&gt;高値!N66,高値!P66&gt;高値!Q66,高値!P66&gt;高値!R66),11,""))</f>
      </c>
      <c r="AM66" s="684">
        <f>IF(終値!A66="","",IF(AND(高値!Q66&gt;高値!P66,高値!Q66&gt;高値!O66,高値!Q66&gt;高値!R66,高値!Q66&gt;高値!S66),12,""))</f>
      </c>
      <c r="AN66" s="684">
        <f>IF(終値!A66="","",IF(AND(高値!R66&gt;高値!Q66,高値!R66&gt;高値!P66,高値!R66&gt;高値!S66,高値!R66&gt;高値!T66),13,""))</f>
      </c>
      <c r="AO66" s="684">
        <f>IF(終値!A66="","",IF(AND(高値!S66&gt;高値!R66,高値!S66&gt;高値!Q66,高値!S66&gt;高値!T66,高値!S66&gt;高値!U66),14,""))</f>
      </c>
      <c r="AP66" s="684">
        <f>IF(終値!A66="","",IF(AND(高値!T66&gt;高値!S66,高値!T66&gt;高値!R66,高値!T66&gt;高値!U66,高値!T66&gt;高値!V66),15,""))</f>
      </c>
      <c r="AQ66" s="684">
        <f>IF(終値!A66="","",IF(AND(高値!U66&gt;高値!T66,高値!U66&gt;高値!S66,高値!U66&gt;高値!V66,高値!U66&gt;高値!W66),16,""))</f>
      </c>
      <c r="AR66" s="684">
        <f>IF(終値!A66="","",IF(AND(高値!V66&gt;高値!U66,高値!V66&gt;高値!T66,高値!V66&gt;高値!W66,高値!V66&gt;高値!X66),17,""))</f>
      </c>
      <c r="AS66" s="684">
        <f>IF(終値!A66="","",IF(AND(高値!W66&gt;高値!V66,高値!W66&gt;高値!U66,高値!W66&gt;高値!X66,高値!W66&gt;高値!Y66),18,""))</f>
      </c>
      <c r="AT66" s="684">
        <f>IF(終値!A66="","",IF(AND(高値!X66&gt;高値!W66,高値!X66&gt;高値!V66,高値!X66&gt;高値!Y66,高値!X66&gt;高値!Z66),19,""))</f>
      </c>
      <c r="AU66" s="684">
        <f>IF(終値!A66="","",IF(AND(高値!Y66&gt;高値!X66,高値!Y66&gt;高値!W66,高値!Y66&gt;高値!Z66,高値!Y66&gt;高値!AA66),20,""))</f>
      </c>
      <c r="AV66" s="684">
        <f>IF(終値!A66="","",IF(AND(高値!Z66&gt;高値!Y66,高値!Z66&gt;高値!X66,高値!Z66&gt;高値!AA66,高値!Z66&gt;高値!AB66),21,""))</f>
      </c>
      <c r="AW66" s="684">
        <f>IF(終値!A66="","",IF(AND(高値!AA66&gt;高値!Z66,高値!AA66&gt;高値!Y66,高値!AA66&gt;高値!AB66,高値!AA66&gt;高値!AC66),22,""))</f>
      </c>
      <c r="AX66" s="684">
        <f>IF(終値!A66="","",IF(AND(高値!AB66&gt;高値!AA66,高値!AB66&gt;高値!Z66,高値!AB66&gt;高値!AC66,高値!AB66&gt;高値!AD66),23,""))</f>
      </c>
      <c r="AY66" s="684">
        <f>IF(終値!A66="","",IF(AND(高値!AC66&gt;高値!AB66,高値!AC66&gt;高値!AA66,高値!AC66&gt;高値!AD66,高値!AC66&gt;高値!AE66),24,""))</f>
      </c>
      <c r="AZ66" s="684">
        <f>IF(終値!A66="","",IF(AND(高値!AD66&gt;高値!AC66,高値!AD66&gt;高値!AB66,高値!AD66&gt;高値!AE66,高値!AD66&gt;高値!AF66),25,""))</f>
      </c>
      <c r="BA66" s="684">
        <f>IF(終値!A66="","",IF(AND(高値!AE66&gt;高値!AD66,高値!AE66&gt;高値!AC66,高値!AE66&gt;高値!AF66,高値!AE66&gt;高値!AG66),26,""))</f>
      </c>
      <c r="BB66" s="684">
        <f>IF(終値!A66="","",IF(AND(高値!AF66&gt;高値!AE66,高値!AF66&gt;高値!AD66,高値!AF66&gt;高値!AG66,高値!AF66&gt;高値!AH66),27,""))</f>
      </c>
      <c r="BC66" s="684">
        <f>IF(終値!A66="","",IF(AND(高値!AG66&gt;高値!AF66,高値!AG66&gt;高値!AE66,高値!AG66&gt;高値!AH66,高値!AG66&gt;高値!AI66),28,""))</f>
      </c>
      <c r="BD66" s="684">
        <f>COUNT($B66:$AB66)</f>
      </c>
      <c r="BE66" s="684">
        <f>IF($BD66&gt;=2,MIN($B66:$AB66),"")</f>
      </c>
      <c r="BF66" s="684">
        <f>IF($BD66&gt;=2,SMALL($B66:$AB66,2),"")</f>
      </c>
      <c r="BG66" s="684">
        <f>IF($BE66="","",INDEX(安値!$E66:$CZ66,1,$BE66+1))</f>
      </c>
      <c r="BH66" s="684">
        <f>IF($BF66="","",INDEX(安値!$E66:$CZ66,1,$BF66+1))</f>
      </c>
      <c r="BI66" s="684">
        <f>IF($BF66="","",MAX(INDEX(高値!$E66:$CZ66,1,$BE66+1):INDEX(高値!$E66:$CZ66,1,$BF66+1)))</f>
      </c>
      <c r="BJ66" s="684">
        <f>IF($BF66="","",AVERAGE(INDEX(終値!$E66:$CZ66,1,$BF66+1):INDEX(終値!$E66:$CZ66,1,$BF66+20))-2*STDEVP(INDEX(終値!$E66:$CZ66,1,$BF66+1):INDEX(終値!$E66:$CZ66,1,$BF66+20)))</f>
      </c>
      <c r="BK66" s="684">
        <f>IF($BE66="","",AVERAGE(INDEX(終値!$E66:$CZ66,1,$BE66+1):INDEX(終値!$E66:$CZ66,1,$BE66+20))-2*STDEVP(INDEX(終値!$E66:$CZ66,1,$BE66+1):INDEX(終値!$E66:$CZ66,1,$BE66+20)))</f>
      </c>
      <c r="BL66" s="684">
        <f>COUNT($AC66:$BC66)</f>
      </c>
      <c r="BM66" s="684">
        <f>IF($BL66&gt;=2,MIN($AC66:$BC66),"")</f>
      </c>
      <c r="BN66" s="684">
        <f>IF($BL66&gt;=2,SMALL($AC66:$BC66,2),"")</f>
      </c>
      <c r="BO66" s="684">
        <f>IF($BM66="","",INDEX(高値!$E66:$CZ66,1,$BM66+1))</f>
      </c>
      <c r="BP66" s="684">
        <f>IF($BN66="","",INDEX(高値!$E66:$CZ66,1,$BN66+1))</f>
      </c>
      <c r="BQ66" s="684">
        <f>IF($BN66="","",MIN(INDEX(安値!$E66:$CZ66,1,$BM66+1):INDEX(安値!$E66:$CZ66,1,$BN66+1)))</f>
      </c>
      <c r="BR66" s="684">
        <f>IF($BN66="","",AVERAGE(INDEX(終値!$E66:$CZ66,1,$BN66+1):INDEX(終値!$E66:$CZ66,1,$BN66+20))+2*STDEVP(INDEX(終値!$E66:$CZ66,1,$BN66+1):INDEX(終値!$E66:$CZ66,1,$BN66+20)))</f>
      </c>
      <c r="BS66" s="684">
        <f>IF($BM66="","",AVERAGE(INDEX(終値!$E66:$CZ66,1,$BM66+1):INDEX(終値!$E66:$CZ66,1,$BM66+20))+2*STDEVP(INDEX(終値!$E66:$CZ66,1,$BM66+1):INDEX(終値!$E66:$CZ66,1,$BM66+20)))</f>
      </c>
      <c r="BT66" s="681">
        <f>IFERROR(IF(AND($BD66&gt;=2,ABS($BG66-$BH66)/$BH66&lt;=BB設定!$B$12,$BI66&gt;=MAX($BH66,$BG66)*(1+BB設定!$B$13),終値!E66&gt;$BG66),IF(OR(終値!E66&gt;=$BI66,AND($BH66&lt;$BJ66,$BG66&gt;=$BK66)),"二番底W▲","二番底W形成"),IF(AND($BL66&gt;=2,ABS($BO66-$BP66)/$BP66&lt;=BB設定!$B$12,$BQ66&lt;=MIN($BP66,$BO66)*(1-BB設定!$B$13),終値!E66&lt;$BO66),IF(OR(終値!E66&lt;=$BQ66,AND($BP66&gt;$BR66,$BO66&lt;=$BS66)),"二番天井M▼","二番天井M形成"),"－")),"－")</f>
      </c>
    </row>
    <row r="67">
      <c r="B67" s="684">
        <f>IF(終値!A67="","",IF(AND(安値!G67&lt;安値!F67,安値!G67&lt;安値!E67,安値!G67&lt;安値!H67,安値!G67&lt;安値!I67),2,""))</f>
      </c>
      <c r="C67" s="684">
        <f>IF(終値!A67="","",IF(AND(安値!H67&lt;安値!G67,安値!H67&lt;安値!F67,安値!H67&lt;安値!I67,安値!H67&lt;安値!J67),3,""))</f>
      </c>
      <c r="D67" s="684">
        <f>IF(終値!A67="","",IF(AND(安値!I67&lt;安値!H67,安値!I67&lt;安値!G67,安値!I67&lt;安値!J67,安値!I67&lt;安値!K67),4,""))</f>
      </c>
      <c r="E67" s="684">
        <f>IF(終値!A67="","",IF(AND(安値!J67&lt;安値!I67,安値!J67&lt;安値!H67,安値!J67&lt;安値!K67,安値!J67&lt;安値!L67),5,""))</f>
      </c>
      <c r="F67" s="684">
        <f>IF(終値!A67="","",IF(AND(安値!K67&lt;安値!J67,安値!K67&lt;安値!I67,安値!K67&lt;安値!L67,安値!K67&lt;安値!M67),6,""))</f>
      </c>
      <c r="G67" s="684">
        <f>IF(終値!A67="","",IF(AND(安値!L67&lt;安値!K67,安値!L67&lt;安値!J67,安値!L67&lt;安値!M67,安値!L67&lt;安値!N67),7,""))</f>
      </c>
      <c r="H67" s="684">
        <f>IF(終値!A67="","",IF(AND(安値!M67&lt;安値!L67,安値!M67&lt;安値!K67,安値!M67&lt;安値!N67,安値!M67&lt;安値!O67),8,""))</f>
      </c>
      <c r="I67" s="684">
        <f>IF(終値!A67="","",IF(AND(安値!N67&lt;安値!M67,安値!N67&lt;安値!L67,安値!N67&lt;安値!O67,安値!N67&lt;安値!P67),9,""))</f>
      </c>
      <c r="J67" s="684">
        <f>IF(終値!A67="","",IF(AND(安値!O67&lt;安値!N67,安値!O67&lt;安値!M67,安値!O67&lt;安値!P67,安値!O67&lt;安値!Q67),10,""))</f>
      </c>
      <c r="K67" s="684">
        <f>IF(終値!A67="","",IF(AND(安値!P67&lt;安値!O67,安値!P67&lt;安値!N67,安値!P67&lt;安値!Q67,安値!P67&lt;安値!R67),11,""))</f>
      </c>
      <c r="L67" s="684">
        <f>IF(終値!A67="","",IF(AND(安値!Q67&lt;安値!P67,安値!Q67&lt;安値!O67,安値!Q67&lt;安値!R67,安値!Q67&lt;安値!S67),12,""))</f>
      </c>
      <c r="M67" s="684">
        <f>IF(終値!A67="","",IF(AND(安値!R67&lt;安値!Q67,安値!R67&lt;安値!P67,安値!R67&lt;安値!S67,安値!R67&lt;安値!T67),13,""))</f>
      </c>
      <c r="N67" s="684">
        <f>IF(終値!A67="","",IF(AND(安値!S67&lt;安値!R67,安値!S67&lt;安値!Q67,安値!S67&lt;安値!T67,安値!S67&lt;安値!U67),14,""))</f>
      </c>
      <c r="O67" s="684">
        <f>IF(終値!A67="","",IF(AND(安値!T67&lt;安値!S67,安値!T67&lt;安値!R67,安値!T67&lt;安値!U67,安値!T67&lt;安値!V67),15,""))</f>
      </c>
      <c r="P67" s="684">
        <f>IF(終値!A67="","",IF(AND(安値!U67&lt;安値!T67,安値!U67&lt;安値!S67,安値!U67&lt;安値!V67,安値!U67&lt;安値!W67),16,""))</f>
      </c>
      <c r="Q67" s="684">
        <f>IF(終値!A67="","",IF(AND(安値!V67&lt;安値!U67,安値!V67&lt;安値!T67,安値!V67&lt;安値!W67,安値!V67&lt;安値!X67),17,""))</f>
      </c>
      <c r="R67" s="684">
        <f>IF(終値!A67="","",IF(AND(安値!W67&lt;安値!V67,安値!W67&lt;安値!U67,安値!W67&lt;安値!X67,安値!W67&lt;安値!Y67),18,""))</f>
      </c>
      <c r="S67" s="684">
        <f>IF(終値!A67="","",IF(AND(安値!X67&lt;安値!W67,安値!X67&lt;安値!V67,安値!X67&lt;安値!Y67,安値!X67&lt;安値!Z67),19,""))</f>
      </c>
      <c r="T67" s="684">
        <f>IF(終値!A67="","",IF(AND(安値!Y67&lt;安値!X67,安値!Y67&lt;安値!W67,安値!Y67&lt;安値!Z67,安値!Y67&lt;安値!AA67),20,""))</f>
      </c>
      <c r="U67" s="684">
        <f>IF(終値!A67="","",IF(AND(安値!Z67&lt;安値!Y67,安値!Z67&lt;安値!X67,安値!Z67&lt;安値!AA67,安値!Z67&lt;安値!AB67),21,""))</f>
      </c>
      <c r="V67" s="684">
        <f>IF(終値!A67="","",IF(AND(安値!AA67&lt;安値!Z67,安値!AA67&lt;安値!Y67,安値!AA67&lt;安値!AB67,安値!AA67&lt;安値!AC67),22,""))</f>
      </c>
      <c r="W67" s="684">
        <f>IF(終値!A67="","",IF(AND(安値!AB67&lt;安値!AA67,安値!AB67&lt;安値!Z67,安値!AB67&lt;安値!AC67,安値!AB67&lt;安値!AD67),23,""))</f>
      </c>
      <c r="X67" s="684">
        <f>IF(終値!A67="","",IF(AND(安値!AC67&lt;安値!AB67,安値!AC67&lt;安値!AA67,安値!AC67&lt;安値!AD67,安値!AC67&lt;安値!AE67),24,""))</f>
      </c>
      <c r="Y67" s="684">
        <f>IF(終値!A67="","",IF(AND(安値!AD67&lt;安値!AC67,安値!AD67&lt;安値!AB67,安値!AD67&lt;安値!AE67,安値!AD67&lt;安値!AF67),25,""))</f>
      </c>
      <c r="Z67" s="684">
        <f>IF(終値!A67="","",IF(AND(安値!AE67&lt;安値!AD67,安値!AE67&lt;安値!AC67,安値!AE67&lt;安値!AF67,安値!AE67&lt;安値!AG67),26,""))</f>
      </c>
      <c r="AA67" s="684">
        <f>IF(終値!A67="","",IF(AND(安値!AF67&lt;安値!AE67,安値!AF67&lt;安値!AD67,安値!AF67&lt;安値!AG67,安値!AF67&lt;安値!AH67),27,""))</f>
      </c>
      <c r="AB67" s="684">
        <f>IF(終値!A67="","",IF(AND(安値!AG67&lt;安値!AF67,安値!AG67&lt;安値!AE67,安値!AG67&lt;安値!AH67,安値!AG67&lt;安値!AI67),28,""))</f>
      </c>
      <c r="AC67" s="684">
        <f>IF(終値!A67="","",IF(AND(高値!G67&gt;高値!F67,高値!G67&gt;高値!E67,高値!G67&gt;高値!H67,高値!G67&gt;高値!I67),2,""))</f>
      </c>
      <c r="AD67" s="684">
        <f>IF(終値!A67="","",IF(AND(高値!H67&gt;高値!G67,高値!H67&gt;高値!F67,高値!H67&gt;高値!I67,高値!H67&gt;高値!J67),3,""))</f>
      </c>
      <c r="AE67" s="684">
        <f>IF(終値!A67="","",IF(AND(高値!I67&gt;高値!H67,高値!I67&gt;高値!G67,高値!I67&gt;高値!J67,高値!I67&gt;高値!K67),4,""))</f>
      </c>
      <c r="AF67" s="684">
        <f>IF(終値!A67="","",IF(AND(高値!J67&gt;高値!I67,高値!J67&gt;高値!H67,高値!J67&gt;高値!K67,高値!J67&gt;高値!L67),5,""))</f>
      </c>
      <c r="AG67" s="684">
        <f>IF(終値!A67="","",IF(AND(高値!K67&gt;高値!J67,高値!K67&gt;高値!I67,高値!K67&gt;高値!L67,高値!K67&gt;高値!M67),6,""))</f>
      </c>
      <c r="AH67" s="684">
        <f>IF(終値!A67="","",IF(AND(高値!L67&gt;高値!K67,高値!L67&gt;高値!J67,高値!L67&gt;高値!M67,高値!L67&gt;高値!N67),7,""))</f>
      </c>
      <c r="AI67" s="684">
        <f>IF(終値!A67="","",IF(AND(高値!M67&gt;高値!L67,高値!M67&gt;高値!K67,高値!M67&gt;高値!N67,高値!M67&gt;高値!O67),8,""))</f>
      </c>
      <c r="AJ67" s="684">
        <f>IF(終値!A67="","",IF(AND(高値!N67&gt;高値!M67,高値!N67&gt;高値!L67,高値!N67&gt;高値!O67,高値!N67&gt;高値!P67),9,""))</f>
      </c>
      <c r="AK67" s="684">
        <f>IF(終値!A67="","",IF(AND(高値!O67&gt;高値!N67,高値!O67&gt;高値!M67,高値!O67&gt;高値!P67,高値!O67&gt;高値!Q67),10,""))</f>
      </c>
      <c r="AL67" s="684">
        <f>IF(終値!A67="","",IF(AND(高値!P67&gt;高値!O67,高値!P67&gt;高値!N67,高値!P67&gt;高値!Q67,高値!P67&gt;高値!R67),11,""))</f>
      </c>
      <c r="AM67" s="684">
        <f>IF(終値!A67="","",IF(AND(高値!Q67&gt;高値!P67,高値!Q67&gt;高値!O67,高値!Q67&gt;高値!R67,高値!Q67&gt;高値!S67),12,""))</f>
      </c>
      <c r="AN67" s="684">
        <f>IF(終値!A67="","",IF(AND(高値!R67&gt;高値!Q67,高値!R67&gt;高値!P67,高値!R67&gt;高値!S67,高値!R67&gt;高値!T67),13,""))</f>
      </c>
      <c r="AO67" s="684">
        <f>IF(終値!A67="","",IF(AND(高値!S67&gt;高値!R67,高値!S67&gt;高値!Q67,高値!S67&gt;高値!T67,高値!S67&gt;高値!U67),14,""))</f>
      </c>
      <c r="AP67" s="684">
        <f>IF(終値!A67="","",IF(AND(高値!T67&gt;高値!S67,高値!T67&gt;高値!R67,高値!T67&gt;高値!U67,高値!T67&gt;高値!V67),15,""))</f>
      </c>
      <c r="AQ67" s="684">
        <f>IF(終値!A67="","",IF(AND(高値!U67&gt;高値!T67,高値!U67&gt;高値!S67,高値!U67&gt;高値!V67,高値!U67&gt;高値!W67),16,""))</f>
      </c>
      <c r="AR67" s="684">
        <f>IF(終値!A67="","",IF(AND(高値!V67&gt;高値!U67,高値!V67&gt;高値!T67,高値!V67&gt;高値!W67,高値!V67&gt;高値!X67),17,""))</f>
      </c>
      <c r="AS67" s="684">
        <f>IF(終値!A67="","",IF(AND(高値!W67&gt;高値!V67,高値!W67&gt;高値!U67,高値!W67&gt;高値!X67,高値!W67&gt;高値!Y67),18,""))</f>
      </c>
      <c r="AT67" s="684">
        <f>IF(終値!A67="","",IF(AND(高値!X67&gt;高値!W67,高値!X67&gt;高値!V67,高値!X67&gt;高値!Y67,高値!X67&gt;高値!Z67),19,""))</f>
      </c>
      <c r="AU67" s="684">
        <f>IF(終値!A67="","",IF(AND(高値!Y67&gt;高値!X67,高値!Y67&gt;高値!W67,高値!Y67&gt;高値!Z67,高値!Y67&gt;高値!AA67),20,""))</f>
      </c>
      <c r="AV67" s="684">
        <f>IF(終値!A67="","",IF(AND(高値!Z67&gt;高値!Y67,高値!Z67&gt;高値!X67,高値!Z67&gt;高値!AA67,高値!Z67&gt;高値!AB67),21,""))</f>
      </c>
      <c r="AW67" s="684">
        <f>IF(終値!A67="","",IF(AND(高値!AA67&gt;高値!Z67,高値!AA67&gt;高値!Y67,高値!AA67&gt;高値!AB67,高値!AA67&gt;高値!AC67),22,""))</f>
      </c>
      <c r="AX67" s="684">
        <f>IF(終値!A67="","",IF(AND(高値!AB67&gt;高値!AA67,高値!AB67&gt;高値!Z67,高値!AB67&gt;高値!AC67,高値!AB67&gt;高値!AD67),23,""))</f>
      </c>
      <c r="AY67" s="684">
        <f>IF(終値!A67="","",IF(AND(高値!AC67&gt;高値!AB67,高値!AC67&gt;高値!AA67,高値!AC67&gt;高値!AD67,高値!AC67&gt;高値!AE67),24,""))</f>
      </c>
      <c r="AZ67" s="684">
        <f>IF(終値!A67="","",IF(AND(高値!AD67&gt;高値!AC67,高値!AD67&gt;高値!AB67,高値!AD67&gt;高値!AE67,高値!AD67&gt;高値!AF67),25,""))</f>
      </c>
      <c r="BA67" s="684">
        <f>IF(終値!A67="","",IF(AND(高値!AE67&gt;高値!AD67,高値!AE67&gt;高値!AC67,高値!AE67&gt;高値!AF67,高値!AE67&gt;高値!AG67),26,""))</f>
      </c>
      <c r="BB67" s="684">
        <f>IF(終値!A67="","",IF(AND(高値!AF67&gt;高値!AE67,高値!AF67&gt;高値!AD67,高値!AF67&gt;高値!AG67,高値!AF67&gt;高値!AH67),27,""))</f>
      </c>
      <c r="BC67" s="684">
        <f>IF(終値!A67="","",IF(AND(高値!AG67&gt;高値!AF67,高値!AG67&gt;高値!AE67,高値!AG67&gt;高値!AH67,高値!AG67&gt;高値!AI67),28,""))</f>
      </c>
      <c r="BD67" s="684">
        <f>COUNT($B67:$AB67)</f>
      </c>
      <c r="BE67" s="684">
        <f>IF($BD67&gt;=2,MIN($B67:$AB67),"")</f>
      </c>
      <c r="BF67" s="684">
        <f>IF($BD67&gt;=2,SMALL($B67:$AB67,2),"")</f>
      </c>
      <c r="BG67" s="684">
        <f>IF($BE67="","",INDEX(安値!$E67:$CZ67,1,$BE67+1))</f>
      </c>
      <c r="BH67" s="684">
        <f>IF($BF67="","",INDEX(安値!$E67:$CZ67,1,$BF67+1))</f>
      </c>
      <c r="BI67" s="684">
        <f>IF($BF67="","",MAX(INDEX(高値!$E67:$CZ67,1,$BE67+1):INDEX(高値!$E67:$CZ67,1,$BF67+1)))</f>
      </c>
      <c r="BJ67" s="684">
        <f>IF($BF67="","",AVERAGE(INDEX(終値!$E67:$CZ67,1,$BF67+1):INDEX(終値!$E67:$CZ67,1,$BF67+20))-2*STDEVP(INDEX(終値!$E67:$CZ67,1,$BF67+1):INDEX(終値!$E67:$CZ67,1,$BF67+20)))</f>
      </c>
      <c r="BK67" s="684">
        <f>IF($BE67="","",AVERAGE(INDEX(終値!$E67:$CZ67,1,$BE67+1):INDEX(終値!$E67:$CZ67,1,$BE67+20))-2*STDEVP(INDEX(終値!$E67:$CZ67,1,$BE67+1):INDEX(終値!$E67:$CZ67,1,$BE67+20)))</f>
      </c>
      <c r="BL67" s="684">
        <f>COUNT($AC67:$BC67)</f>
      </c>
      <c r="BM67" s="684">
        <f>IF($BL67&gt;=2,MIN($AC67:$BC67),"")</f>
      </c>
      <c r="BN67" s="684">
        <f>IF($BL67&gt;=2,SMALL($AC67:$BC67,2),"")</f>
      </c>
      <c r="BO67" s="684">
        <f>IF($BM67="","",INDEX(高値!$E67:$CZ67,1,$BM67+1))</f>
      </c>
      <c r="BP67" s="684">
        <f>IF($BN67="","",INDEX(高値!$E67:$CZ67,1,$BN67+1))</f>
      </c>
      <c r="BQ67" s="684">
        <f>IF($BN67="","",MIN(INDEX(安値!$E67:$CZ67,1,$BM67+1):INDEX(安値!$E67:$CZ67,1,$BN67+1)))</f>
      </c>
      <c r="BR67" s="684">
        <f>IF($BN67="","",AVERAGE(INDEX(終値!$E67:$CZ67,1,$BN67+1):INDEX(終値!$E67:$CZ67,1,$BN67+20))+2*STDEVP(INDEX(終値!$E67:$CZ67,1,$BN67+1):INDEX(終値!$E67:$CZ67,1,$BN67+20)))</f>
      </c>
      <c r="BS67" s="684">
        <f>IF($BM67="","",AVERAGE(INDEX(終値!$E67:$CZ67,1,$BM67+1):INDEX(終値!$E67:$CZ67,1,$BM67+20))+2*STDEVP(INDEX(終値!$E67:$CZ67,1,$BM67+1):INDEX(終値!$E67:$CZ67,1,$BM67+20)))</f>
      </c>
      <c r="BT67" s="681">
        <f>IFERROR(IF(AND($BD67&gt;=2,ABS($BG67-$BH67)/$BH67&lt;=BB設定!$B$12,$BI67&gt;=MAX($BH67,$BG67)*(1+BB設定!$B$13),終値!E67&gt;$BG67),IF(OR(終値!E67&gt;=$BI67,AND($BH67&lt;$BJ67,$BG67&gt;=$BK67)),"二番底W▲","二番底W形成"),IF(AND($BL67&gt;=2,ABS($BO67-$BP67)/$BP67&lt;=BB設定!$B$12,$BQ67&lt;=MIN($BP67,$BO67)*(1-BB設定!$B$13),終値!E67&lt;$BO67),IF(OR(終値!E67&lt;=$BQ67,AND($BP67&gt;$BR67,$BO67&lt;=$BS67)),"二番天井M▼","二番天井M形成"),"－")),"－")</f>
      </c>
    </row>
    <row r="68">
      <c r="B68" s="684">
        <f>IF(終値!A68="","",IF(AND(安値!G68&lt;安値!F68,安値!G68&lt;安値!E68,安値!G68&lt;安値!H68,安値!G68&lt;安値!I68),2,""))</f>
      </c>
      <c r="C68" s="684">
        <f>IF(終値!A68="","",IF(AND(安値!H68&lt;安値!G68,安値!H68&lt;安値!F68,安値!H68&lt;安値!I68,安値!H68&lt;安値!J68),3,""))</f>
      </c>
      <c r="D68" s="684">
        <f>IF(終値!A68="","",IF(AND(安値!I68&lt;安値!H68,安値!I68&lt;安値!G68,安値!I68&lt;安値!J68,安値!I68&lt;安値!K68),4,""))</f>
      </c>
      <c r="E68" s="684">
        <f>IF(終値!A68="","",IF(AND(安値!J68&lt;安値!I68,安値!J68&lt;安値!H68,安値!J68&lt;安値!K68,安値!J68&lt;安値!L68),5,""))</f>
      </c>
      <c r="F68" s="684">
        <f>IF(終値!A68="","",IF(AND(安値!K68&lt;安値!J68,安値!K68&lt;安値!I68,安値!K68&lt;安値!L68,安値!K68&lt;安値!M68),6,""))</f>
      </c>
      <c r="G68" s="684">
        <f>IF(終値!A68="","",IF(AND(安値!L68&lt;安値!K68,安値!L68&lt;安値!J68,安値!L68&lt;安値!M68,安値!L68&lt;安値!N68),7,""))</f>
      </c>
      <c r="H68" s="684">
        <f>IF(終値!A68="","",IF(AND(安値!M68&lt;安値!L68,安値!M68&lt;安値!K68,安値!M68&lt;安値!N68,安値!M68&lt;安値!O68),8,""))</f>
      </c>
      <c r="I68" s="684">
        <f>IF(終値!A68="","",IF(AND(安値!N68&lt;安値!M68,安値!N68&lt;安値!L68,安値!N68&lt;安値!O68,安値!N68&lt;安値!P68),9,""))</f>
      </c>
      <c r="J68" s="684">
        <f>IF(終値!A68="","",IF(AND(安値!O68&lt;安値!N68,安値!O68&lt;安値!M68,安値!O68&lt;安値!P68,安値!O68&lt;安値!Q68),10,""))</f>
      </c>
      <c r="K68" s="684">
        <f>IF(終値!A68="","",IF(AND(安値!P68&lt;安値!O68,安値!P68&lt;安値!N68,安値!P68&lt;安値!Q68,安値!P68&lt;安値!R68),11,""))</f>
      </c>
      <c r="L68" s="684">
        <f>IF(終値!A68="","",IF(AND(安値!Q68&lt;安値!P68,安値!Q68&lt;安値!O68,安値!Q68&lt;安値!R68,安値!Q68&lt;安値!S68),12,""))</f>
      </c>
      <c r="M68" s="684">
        <f>IF(終値!A68="","",IF(AND(安値!R68&lt;安値!Q68,安値!R68&lt;安値!P68,安値!R68&lt;安値!S68,安値!R68&lt;安値!T68),13,""))</f>
      </c>
      <c r="N68" s="684">
        <f>IF(終値!A68="","",IF(AND(安値!S68&lt;安値!R68,安値!S68&lt;安値!Q68,安値!S68&lt;安値!T68,安値!S68&lt;安値!U68),14,""))</f>
      </c>
      <c r="O68" s="684">
        <f>IF(終値!A68="","",IF(AND(安値!T68&lt;安値!S68,安値!T68&lt;安値!R68,安値!T68&lt;安値!U68,安値!T68&lt;安値!V68),15,""))</f>
      </c>
      <c r="P68" s="684">
        <f>IF(終値!A68="","",IF(AND(安値!U68&lt;安値!T68,安値!U68&lt;安値!S68,安値!U68&lt;安値!V68,安値!U68&lt;安値!W68),16,""))</f>
      </c>
      <c r="Q68" s="684">
        <f>IF(終値!A68="","",IF(AND(安値!V68&lt;安値!U68,安値!V68&lt;安値!T68,安値!V68&lt;安値!W68,安値!V68&lt;安値!X68),17,""))</f>
      </c>
      <c r="R68" s="684">
        <f>IF(終値!A68="","",IF(AND(安値!W68&lt;安値!V68,安値!W68&lt;安値!U68,安値!W68&lt;安値!X68,安値!W68&lt;安値!Y68),18,""))</f>
      </c>
      <c r="S68" s="684">
        <f>IF(終値!A68="","",IF(AND(安値!X68&lt;安値!W68,安値!X68&lt;安値!V68,安値!X68&lt;安値!Y68,安値!X68&lt;安値!Z68),19,""))</f>
      </c>
      <c r="T68" s="684">
        <f>IF(終値!A68="","",IF(AND(安値!Y68&lt;安値!X68,安値!Y68&lt;安値!W68,安値!Y68&lt;安値!Z68,安値!Y68&lt;安値!AA68),20,""))</f>
      </c>
      <c r="U68" s="684">
        <f>IF(終値!A68="","",IF(AND(安値!Z68&lt;安値!Y68,安値!Z68&lt;安値!X68,安値!Z68&lt;安値!AA68,安値!Z68&lt;安値!AB68),21,""))</f>
      </c>
      <c r="V68" s="684">
        <f>IF(終値!A68="","",IF(AND(安値!AA68&lt;安値!Z68,安値!AA68&lt;安値!Y68,安値!AA68&lt;安値!AB68,安値!AA68&lt;安値!AC68),22,""))</f>
      </c>
      <c r="W68" s="684">
        <f>IF(終値!A68="","",IF(AND(安値!AB68&lt;安値!AA68,安値!AB68&lt;安値!Z68,安値!AB68&lt;安値!AC68,安値!AB68&lt;安値!AD68),23,""))</f>
      </c>
      <c r="X68" s="684">
        <f>IF(終値!A68="","",IF(AND(安値!AC68&lt;安値!AB68,安値!AC68&lt;安値!AA68,安値!AC68&lt;安値!AD68,安値!AC68&lt;安値!AE68),24,""))</f>
      </c>
      <c r="Y68" s="684">
        <f>IF(終値!A68="","",IF(AND(安値!AD68&lt;安値!AC68,安値!AD68&lt;安値!AB68,安値!AD68&lt;安値!AE68,安値!AD68&lt;安値!AF68),25,""))</f>
      </c>
      <c r="Z68" s="684">
        <f>IF(終値!A68="","",IF(AND(安値!AE68&lt;安値!AD68,安値!AE68&lt;安値!AC68,安値!AE68&lt;安値!AF68,安値!AE68&lt;安値!AG68),26,""))</f>
      </c>
      <c r="AA68" s="684">
        <f>IF(終値!A68="","",IF(AND(安値!AF68&lt;安値!AE68,安値!AF68&lt;安値!AD68,安値!AF68&lt;安値!AG68,安値!AF68&lt;安値!AH68),27,""))</f>
      </c>
      <c r="AB68" s="684">
        <f>IF(終値!A68="","",IF(AND(安値!AG68&lt;安値!AF68,安値!AG68&lt;安値!AE68,安値!AG68&lt;安値!AH68,安値!AG68&lt;安値!AI68),28,""))</f>
      </c>
      <c r="AC68" s="684">
        <f>IF(終値!A68="","",IF(AND(高値!G68&gt;高値!F68,高値!G68&gt;高値!E68,高値!G68&gt;高値!H68,高値!G68&gt;高値!I68),2,""))</f>
      </c>
      <c r="AD68" s="684">
        <f>IF(終値!A68="","",IF(AND(高値!H68&gt;高値!G68,高値!H68&gt;高値!F68,高値!H68&gt;高値!I68,高値!H68&gt;高値!J68),3,""))</f>
      </c>
      <c r="AE68" s="684">
        <f>IF(終値!A68="","",IF(AND(高値!I68&gt;高値!H68,高値!I68&gt;高値!G68,高値!I68&gt;高値!J68,高値!I68&gt;高値!K68),4,""))</f>
      </c>
      <c r="AF68" s="684">
        <f>IF(終値!A68="","",IF(AND(高値!J68&gt;高値!I68,高値!J68&gt;高値!H68,高値!J68&gt;高値!K68,高値!J68&gt;高値!L68),5,""))</f>
      </c>
      <c r="AG68" s="684">
        <f>IF(終値!A68="","",IF(AND(高値!K68&gt;高値!J68,高値!K68&gt;高値!I68,高値!K68&gt;高値!L68,高値!K68&gt;高値!M68),6,""))</f>
      </c>
      <c r="AH68" s="684">
        <f>IF(終値!A68="","",IF(AND(高値!L68&gt;高値!K68,高値!L68&gt;高値!J68,高値!L68&gt;高値!M68,高値!L68&gt;高値!N68),7,""))</f>
      </c>
      <c r="AI68" s="684">
        <f>IF(終値!A68="","",IF(AND(高値!M68&gt;高値!L68,高値!M68&gt;高値!K68,高値!M68&gt;高値!N68,高値!M68&gt;高値!O68),8,""))</f>
      </c>
      <c r="AJ68" s="684">
        <f>IF(終値!A68="","",IF(AND(高値!N68&gt;高値!M68,高値!N68&gt;高値!L68,高値!N68&gt;高値!O68,高値!N68&gt;高値!P68),9,""))</f>
      </c>
      <c r="AK68" s="684">
        <f>IF(終値!A68="","",IF(AND(高値!O68&gt;高値!N68,高値!O68&gt;高値!M68,高値!O68&gt;高値!P68,高値!O68&gt;高値!Q68),10,""))</f>
      </c>
      <c r="AL68" s="684">
        <f>IF(終値!A68="","",IF(AND(高値!P68&gt;高値!O68,高値!P68&gt;高値!N68,高値!P68&gt;高値!Q68,高値!P68&gt;高値!R68),11,""))</f>
      </c>
      <c r="AM68" s="684">
        <f>IF(終値!A68="","",IF(AND(高値!Q68&gt;高値!P68,高値!Q68&gt;高値!O68,高値!Q68&gt;高値!R68,高値!Q68&gt;高値!S68),12,""))</f>
      </c>
      <c r="AN68" s="684">
        <f>IF(終値!A68="","",IF(AND(高値!R68&gt;高値!Q68,高値!R68&gt;高値!P68,高値!R68&gt;高値!S68,高値!R68&gt;高値!T68),13,""))</f>
      </c>
      <c r="AO68" s="684">
        <f>IF(終値!A68="","",IF(AND(高値!S68&gt;高値!R68,高値!S68&gt;高値!Q68,高値!S68&gt;高値!T68,高値!S68&gt;高値!U68),14,""))</f>
      </c>
      <c r="AP68" s="684">
        <f>IF(終値!A68="","",IF(AND(高値!T68&gt;高値!S68,高値!T68&gt;高値!R68,高値!T68&gt;高値!U68,高値!T68&gt;高値!V68),15,""))</f>
      </c>
      <c r="AQ68" s="684">
        <f>IF(終値!A68="","",IF(AND(高値!U68&gt;高値!T68,高値!U68&gt;高値!S68,高値!U68&gt;高値!V68,高値!U68&gt;高値!W68),16,""))</f>
      </c>
      <c r="AR68" s="684">
        <f>IF(終値!A68="","",IF(AND(高値!V68&gt;高値!U68,高値!V68&gt;高値!T68,高値!V68&gt;高値!W68,高値!V68&gt;高値!X68),17,""))</f>
      </c>
      <c r="AS68" s="684">
        <f>IF(終値!A68="","",IF(AND(高値!W68&gt;高値!V68,高値!W68&gt;高値!U68,高値!W68&gt;高値!X68,高値!W68&gt;高値!Y68),18,""))</f>
      </c>
      <c r="AT68" s="684">
        <f>IF(終値!A68="","",IF(AND(高値!X68&gt;高値!W68,高値!X68&gt;高値!V68,高値!X68&gt;高値!Y68,高値!X68&gt;高値!Z68),19,""))</f>
      </c>
      <c r="AU68" s="684">
        <f>IF(終値!A68="","",IF(AND(高値!Y68&gt;高値!X68,高値!Y68&gt;高値!W68,高値!Y68&gt;高値!Z68,高値!Y68&gt;高値!AA68),20,""))</f>
      </c>
      <c r="AV68" s="684">
        <f>IF(終値!A68="","",IF(AND(高値!Z68&gt;高値!Y68,高値!Z68&gt;高値!X68,高値!Z68&gt;高値!AA68,高値!Z68&gt;高値!AB68),21,""))</f>
      </c>
      <c r="AW68" s="684">
        <f>IF(終値!A68="","",IF(AND(高値!AA68&gt;高値!Z68,高値!AA68&gt;高値!Y68,高値!AA68&gt;高値!AB68,高値!AA68&gt;高値!AC68),22,""))</f>
      </c>
      <c r="AX68" s="684">
        <f>IF(終値!A68="","",IF(AND(高値!AB68&gt;高値!AA68,高値!AB68&gt;高値!Z68,高値!AB68&gt;高値!AC68,高値!AB68&gt;高値!AD68),23,""))</f>
      </c>
      <c r="AY68" s="684">
        <f>IF(終値!A68="","",IF(AND(高値!AC68&gt;高値!AB68,高値!AC68&gt;高値!AA68,高値!AC68&gt;高値!AD68,高値!AC68&gt;高値!AE68),24,""))</f>
      </c>
      <c r="AZ68" s="684">
        <f>IF(終値!A68="","",IF(AND(高値!AD68&gt;高値!AC68,高値!AD68&gt;高値!AB68,高値!AD68&gt;高値!AE68,高値!AD68&gt;高値!AF68),25,""))</f>
      </c>
      <c r="BA68" s="684">
        <f>IF(終値!A68="","",IF(AND(高値!AE68&gt;高値!AD68,高値!AE68&gt;高値!AC68,高値!AE68&gt;高値!AF68,高値!AE68&gt;高値!AG68),26,""))</f>
      </c>
      <c r="BB68" s="684">
        <f>IF(終値!A68="","",IF(AND(高値!AF68&gt;高値!AE68,高値!AF68&gt;高値!AD68,高値!AF68&gt;高値!AG68,高値!AF68&gt;高値!AH68),27,""))</f>
      </c>
      <c r="BC68" s="684">
        <f>IF(終値!A68="","",IF(AND(高値!AG68&gt;高値!AF68,高値!AG68&gt;高値!AE68,高値!AG68&gt;高値!AH68,高値!AG68&gt;高値!AI68),28,""))</f>
      </c>
      <c r="BD68" s="684">
        <f>COUNT($B68:$AB68)</f>
      </c>
      <c r="BE68" s="684">
        <f>IF($BD68&gt;=2,MIN($B68:$AB68),"")</f>
      </c>
      <c r="BF68" s="684">
        <f>IF($BD68&gt;=2,SMALL($B68:$AB68,2),"")</f>
      </c>
      <c r="BG68" s="684">
        <f>IF($BE68="","",INDEX(安値!$E68:$CZ68,1,$BE68+1))</f>
      </c>
      <c r="BH68" s="684">
        <f>IF($BF68="","",INDEX(安値!$E68:$CZ68,1,$BF68+1))</f>
      </c>
      <c r="BI68" s="684">
        <f>IF($BF68="","",MAX(INDEX(高値!$E68:$CZ68,1,$BE68+1):INDEX(高値!$E68:$CZ68,1,$BF68+1)))</f>
      </c>
      <c r="BJ68" s="684">
        <f>IF($BF68="","",AVERAGE(INDEX(終値!$E68:$CZ68,1,$BF68+1):INDEX(終値!$E68:$CZ68,1,$BF68+20))-2*STDEVP(INDEX(終値!$E68:$CZ68,1,$BF68+1):INDEX(終値!$E68:$CZ68,1,$BF68+20)))</f>
      </c>
      <c r="BK68" s="684">
        <f>IF($BE68="","",AVERAGE(INDEX(終値!$E68:$CZ68,1,$BE68+1):INDEX(終値!$E68:$CZ68,1,$BE68+20))-2*STDEVP(INDEX(終値!$E68:$CZ68,1,$BE68+1):INDEX(終値!$E68:$CZ68,1,$BE68+20)))</f>
      </c>
      <c r="BL68" s="684">
        <f>COUNT($AC68:$BC68)</f>
      </c>
      <c r="BM68" s="684">
        <f>IF($BL68&gt;=2,MIN($AC68:$BC68),"")</f>
      </c>
      <c r="BN68" s="684">
        <f>IF($BL68&gt;=2,SMALL($AC68:$BC68,2),"")</f>
      </c>
      <c r="BO68" s="684">
        <f>IF($BM68="","",INDEX(高値!$E68:$CZ68,1,$BM68+1))</f>
      </c>
      <c r="BP68" s="684">
        <f>IF($BN68="","",INDEX(高値!$E68:$CZ68,1,$BN68+1))</f>
      </c>
      <c r="BQ68" s="684">
        <f>IF($BN68="","",MIN(INDEX(安値!$E68:$CZ68,1,$BM68+1):INDEX(安値!$E68:$CZ68,1,$BN68+1)))</f>
      </c>
      <c r="BR68" s="684">
        <f>IF($BN68="","",AVERAGE(INDEX(終値!$E68:$CZ68,1,$BN68+1):INDEX(終値!$E68:$CZ68,1,$BN68+20))+2*STDEVP(INDEX(終値!$E68:$CZ68,1,$BN68+1):INDEX(終値!$E68:$CZ68,1,$BN68+20)))</f>
      </c>
      <c r="BS68" s="684">
        <f>IF($BM68="","",AVERAGE(INDEX(終値!$E68:$CZ68,1,$BM68+1):INDEX(終値!$E68:$CZ68,1,$BM68+20))+2*STDEVP(INDEX(終値!$E68:$CZ68,1,$BM68+1):INDEX(終値!$E68:$CZ68,1,$BM68+20)))</f>
      </c>
      <c r="BT68" s="681">
        <f>IFERROR(IF(AND($BD68&gt;=2,ABS($BG68-$BH68)/$BH68&lt;=BB設定!$B$12,$BI68&gt;=MAX($BH68,$BG68)*(1+BB設定!$B$13),終値!E68&gt;$BG68),IF(OR(終値!E68&gt;=$BI68,AND($BH68&lt;$BJ68,$BG68&gt;=$BK68)),"二番底W▲","二番底W形成"),IF(AND($BL68&gt;=2,ABS($BO68-$BP68)/$BP68&lt;=BB設定!$B$12,$BQ68&lt;=MIN($BP68,$BO68)*(1-BB設定!$B$13),終値!E68&lt;$BO68),IF(OR(終値!E68&lt;=$BQ68,AND($BP68&gt;$BR68,$BO68&lt;=$BS68)),"二番天井M▼","二番天井M形成"),"－")),"－")</f>
      </c>
    </row>
    <row r="69">
      <c r="B69" s="684">
        <f>IF(終値!A69="","",IF(AND(安値!G69&lt;安値!F69,安値!G69&lt;安値!E69,安値!G69&lt;安値!H69,安値!G69&lt;安値!I69),2,""))</f>
      </c>
      <c r="C69" s="684">
        <f>IF(終値!A69="","",IF(AND(安値!H69&lt;安値!G69,安値!H69&lt;安値!F69,安値!H69&lt;安値!I69,安値!H69&lt;安値!J69),3,""))</f>
      </c>
      <c r="D69" s="684">
        <f>IF(終値!A69="","",IF(AND(安値!I69&lt;安値!H69,安値!I69&lt;安値!G69,安値!I69&lt;安値!J69,安値!I69&lt;安値!K69),4,""))</f>
      </c>
      <c r="E69" s="684">
        <f>IF(終値!A69="","",IF(AND(安値!J69&lt;安値!I69,安値!J69&lt;安値!H69,安値!J69&lt;安値!K69,安値!J69&lt;安値!L69),5,""))</f>
      </c>
      <c r="F69" s="684">
        <f>IF(終値!A69="","",IF(AND(安値!K69&lt;安値!J69,安値!K69&lt;安値!I69,安値!K69&lt;安値!L69,安値!K69&lt;安値!M69),6,""))</f>
      </c>
      <c r="G69" s="684">
        <f>IF(終値!A69="","",IF(AND(安値!L69&lt;安値!K69,安値!L69&lt;安値!J69,安値!L69&lt;安値!M69,安値!L69&lt;安値!N69),7,""))</f>
      </c>
      <c r="H69" s="684">
        <f>IF(終値!A69="","",IF(AND(安値!M69&lt;安値!L69,安値!M69&lt;安値!K69,安値!M69&lt;安値!N69,安値!M69&lt;安値!O69),8,""))</f>
      </c>
      <c r="I69" s="684">
        <f>IF(終値!A69="","",IF(AND(安値!N69&lt;安値!M69,安値!N69&lt;安値!L69,安値!N69&lt;安値!O69,安値!N69&lt;安値!P69),9,""))</f>
      </c>
      <c r="J69" s="684">
        <f>IF(終値!A69="","",IF(AND(安値!O69&lt;安値!N69,安値!O69&lt;安値!M69,安値!O69&lt;安値!P69,安値!O69&lt;安値!Q69),10,""))</f>
      </c>
      <c r="K69" s="684">
        <f>IF(終値!A69="","",IF(AND(安値!P69&lt;安値!O69,安値!P69&lt;安値!N69,安値!P69&lt;安値!Q69,安値!P69&lt;安値!R69),11,""))</f>
      </c>
      <c r="L69" s="684">
        <f>IF(終値!A69="","",IF(AND(安値!Q69&lt;安値!P69,安値!Q69&lt;安値!O69,安値!Q69&lt;安値!R69,安値!Q69&lt;安値!S69),12,""))</f>
      </c>
      <c r="M69" s="684">
        <f>IF(終値!A69="","",IF(AND(安値!R69&lt;安値!Q69,安値!R69&lt;安値!P69,安値!R69&lt;安値!S69,安値!R69&lt;安値!T69),13,""))</f>
      </c>
      <c r="N69" s="684">
        <f>IF(終値!A69="","",IF(AND(安値!S69&lt;安値!R69,安値!S69&lt;安値!Q69,安値!S69&lt;安値!T69,安値!S69&lt;安値!U69),14,""))</f>
      </c>
      <c r="O69" s="684">
        <f>IF(終値!A69="","",IF(AND(安値!T69&lt;安値!S69,安値!T69&lt;安値!R69,安値!T69&lt;安値!U69,安値!T69&lt;安値!V69),15,""))</f>
      </c>
      <c r="P69" s="684">
        <f>IF(終値!A69="","",IF(AND(安値!U69&lt;安値!T69,安値!U69&lt;安値!S69,安値!U69&lt;安値!V69,安値!U69&lt;安値!W69),16,""))</f>
      </c>
      <c r="Q69" s="684">
        <f>IF(終値!A69="","",IF(AND(安値!V69&lt;安値!U69,安値!V69&lt;安値!T69,安値!V69&lt;安値!W69,安値!V69&lt;安値!X69),17,""))</f>
      </c>
      <c r="R69" s="684">
        <f>IF(終値!A69="","",IF(AND(安値!W69&lt;安値!V69,安値!W69&lt;安値!U69,安値!W69&lt;安値!X69,安値!W69&lt;安値!Y69),18,""))</f>
      </c>
      <c r="S69" s="684">
        <f>IF(終値!A69="","",IF(AND(安値!X69&lt;安値!W69,安値!X69&lt;安値!V69,安値!X69&lt;安値!Y69,安値!X69&lt;安値!Z69),19,""))</f>
      </c>
      <c r="T69" s="684">
        <f>IF(終値!A69="","",IF(AND(安値!Y69&lt;安値!X69,安値!Y69&lt;安値!W69,安値!Y69&lt;安値!Z69,安値!Y69&lt;安値!AA69),20,""))</f>
      </c>
      <c r="U69" s="684">
        <f>IF(終値!A69="","",IF(AND(安値!Z69&lt;安値!Y69,安値!Z69&lt;安値!X69,安値!Z69&lt;安値!AA69,安値!Z69&lt;安値!AB69),21,""))</f>
      </c>
      <c r="V69" s="684">
        <f>IF(終値!A69="","",IF(AND(安値!AA69&lt;安値!Z69,安値!AA69&lt;安値!Y69,安値!AA69&lt;安値!AB69,安値!AA69&lt;安値!AC69),22,""))</f>
      </c>
      <c r="W69" s="684">
        <f>IF(終値!A69="","",IF(AND(安値!AB69&lt;安値!AA69,安値!AB69&lt;安値!Z69,安値!AB69&lt;安値!AC69,安値!AB69&lt;安値!AD69),23,""))</f>
      </c>
      <c r="X69" s="684">
        <f>IF(終値!A69="","",IF(AND(安値!AC69&lt;安値!AB69,安値!AC69&lt;安値!AA69,安値!AC69&lt;安値!AD69,安値!AC69&lt;安値!AE69),24,""))</f>
      </c>
      <c r="Y69" s="684">
        <f>IF(終値!A69="","",IF(AND(安値!AD69&lt;安値!AC69,安値!AD69&lt;安値!AB69,安値!AD69&lt;安値!AE69,安値!AD69&lt;安値!AF69),25,""))</f>
      </c>
      <c r="Z69" s="684">
        <f>IF(終値!A69="","",IF(AND(安値!AE69&lt;安値!AD69,安値!AE69&lt;安値!AC69,安値!AE69&lt;安値!AF69,安値!AE69&lt;安値!AG69),26,""))</f>
      </c>
      <c r="AA69" s="684">
        <f>IF(終値!A69="","",IF(AND(安値!AF69&lt;安値!AE69,安値!AF69&lt;安値!AD69,安値!AF69&lt;安値!AG69,安値!AF69&lt;安値!AH69),27,""))</f>
      </c>
      <c r="AB69" s="684">
        <f>IF(終値!A69="","",IF(AND(安値!AG69&lt;安値!AF69,安値!AG69&lt;安値!AE69,安値!AG69&lt;安値!AH69,安値!AG69&lt;安値!AI69),28,""))</f>
      </c>
      <c r="AC69" s="684">
        <f>IF(終値!A69="","",IF(AND(高値!G69&gt;高値!F69,高値!G69&gt;高値!E69,高値!G69&gt;高値!H69,高値!G69&gt;高値!I69),2,""))</f>
      </c>
      <c r="AD69" s="684">
        <f>IF(終値!A69="","",IF(AND(高値!H69&gt;高値!G69,高値!H69&gt;高値!F69,高値!H69&gt;高値!I69,高値!H69&gt;高値!J69),3,""))</f>
      </c>
      <c r="AE69" s="684">
        <f>IF(終値!A69="","",IF(AND(高値!I69&gt;高値!H69,高値!I69&gt;高値!G69,高値!I69&gt;高値!J69,高値!I69&gt;高値!K69),4,""))</f>
      </c>
      <c r="AF69" s="684">
        <f>IF(終値!A69="","",IF(AND(高値!J69&gt;高値!I69,高値!J69&gt;高値!H69,高値!J69&gt;高値!K69,高値!J69&gt;高値!L69),5,""))</f>
      </c>
      <c r="AG69" s="684">
        <f>IF(終値!A69="","",IF(AND(高値!K69&gt;高値!J69,高値!K69&gt;高値!I69,高値!K69&gt;高値!L69,高値!K69&gt;高値!M69),6,""))</f>
      </c>
      <c r="AH69" s="684">
        <f>IF(終値!A69="","",IF(AND(高値!L69&gt;高値!K69,高値!L69&gt;高値!J69,高値!L69&gt;高値!M69,高値!L69&gt;高値!N69),7,""))</f>
      </c>
      <c r="AI69" s="684">
        <f>IF(終値!A69="","",IF(AND(高値!M69&gt;高値!L69,高値!M69&gt;高値!K69,高値!M69&gt;高値!N69,高値!M69&gt;高値!O69),8,""))</f>
      </c>
      <c r="AJ69" s="684">
        <f>IF(終値!A69="","",IF(AND(高値!N69&gt;高値!M69,高値!N69&gt;高値!L69,高値!N69&gt;高値!O69,高値!N69&gt;高値!P69),9,""))</f>
      </c>
      <c r="AK69" s="684">
        <f>IF(終値!A69="","",IF(AND(高値!O69&gt;高値!N69,高値!O69&gt;高値!M69,高値!O69&gt;高値!P69,高値!O69&gt;高値!Q69),10,""))</f>
      </c>
      <c r="AL69" s="684">
        <f>IF(終値!A69="","",IF(AND(高値!P69&gt;高値!O69,高値!P69&gt;高値!N69,高値!P69&gt;高値!Q69,高値!P69&gt;高値!R69),11,""))</f>
      </c>
      <c r="AM69" s="684">
        <f>IF(終値!A69="","",IF(AND(高値!Q69&gt;高値!P69,高値!Q69&gt;高値!O69,高値!Q69&gt;高値!R69,高値!Q69&gt;高値!S69),12,""))</f>
      </c>
      <c r="AN69" s="684">
        <f>IF(終値!A69="","",IF(AND(高値!R69&gt;高値!Q69,高値!R69&gt;高値!P69,高値!R69&gt;高値!S69,高値!R69&gt;高値!T69),13,""))</f>
      </c>
      <c r="AO69" s="684">
        <f>IF(終値!A69="","",IF(AND(高値!S69&gt;高値!R69,高値!S69&gt;高値!Q69,高値!S69&gt;高値!T69,高値!S69&gt;高値!U69),14,""))</f>
      </c>
      <c r="AP69" s="684">
        <f>IF(終値!A69="","",IF(AND(高値!T69&gt;高値!S69,高値!T69&gt;高値!R69,高値!T69&gt;高値!U69,高値!T69&gt;高値!V69),15,""))</f>
      </c>
      <c r="AQ69" s="684">
        <f>IF(終値!A69="","",IF(AND(高値!U69&gt;高値!T69,高値!U69&gt;高値!S69,高値!U69&gt;高値!V69,高値!U69&gt;高値!W69),16,""))</f>
      </c>
      <c r="AR69" s="684">
        <f>IF(終値!A69="","",IF(AND(高値!V69&gt;高値!U69,高値!V69&gt;高値!T69,高値!V69&gt;高値!W69,高値!V69&gt;高値!X69),17,""))</f>
      </c>
      <c r="AS69" s="684">
        <f>IF(終値!A69="","",IF(AND(高値!W69&gt;高値!V69,高値!W69&gt;高値!U69,高値!W69&gt;高値!X69,高値!W69&gt;高値!Y69),18,""))</f>
      </c>
      <c r="AT69" s="684">
        <f>IF(終値!A69="","",IF(AND(高値!X69&gt;高値!W69,高値!X69&gt;高値!V69,高値!X69&gt;高値!Y69,高値!X69&gt;高値!Z69),19,""))</f>
      </c>
      <c r="AU69" s="684">
        <f>IF(終値!A69="","",IF(AND(高値!Y69&gt;高値!X69,高値!Y69&gt;高値!W69,高値!Y69&gt;高値!Z69,高値!Y69&gt;高値!AA69),20,""))</f>
      </c>
      <c r="AV69" s="684">
        <f>IF(終値!A69="","",IF(AND(高値!Z69&gt;高値!Y69,高値!Z69&gt;高値!X69,高値!Z69&gt;高値!AA69,高値!Z69&gt;高値!AB69),21,""))</f>
      </c>
      <c r="AW69" s="684">
        <f>IF(終値!A69="","",IF(AND(高値!AA69&gt;高値!Z69,高値!AA69&gt;高値!Y69,高値!AA69&gt;高値!AB69,高値!AA69&gt;高値!AC69),22,""))</f>
      </c>
      <c r="AX69" s="684">
        <f>IF(終値!A69="","",IF(AND(高値!AB69&gt;高値!AA69,高値!AB69&gt;高値!Z69,高値!AB69&gt;高値!AC69,高値!AB69&gt;高値!AD69),23,""))</f>
      </c>
      <c r="AY69" s="684">
        <f>IF(終値!A69="","",IF(AND(高値!AC69&gt;高値!AB69,高値!AC69&gt;高値!AA69,高値!AC69&gt;高値!AD69,高値!AC69&gt;高値!AE69),24,""))</f>
      </c>
      <c r="AZ69" s="684">
        <f>IF(終値!A69="","",IF(AND(高値!AD69&gt;高値!AC69,高値!AD69&gt;高値!AB69,高値!AD69&gt;高値!AE69,高値!AD69&gt;高値!AF69),25,""))</f>
      </c>
      <c r="BA69" s="684">
        <f>IF(終値!A69="","",IF(AND(高値!AE69&gt;高値!AD69,高値!AE69&gt;高値!AC69,高値!AE69&gt;高値!AF69,高値!AE69&gt;高値!AG69),26,""))</f>
      </c>
      <c r="BB69" s="684">
        <f>IF(終値!A69="","",IF(AND(高値!AF69&gt;高値!AE69,高値!AF69&gt;高値!AD69,高値!AF69&gt;高値!AG69,高値!AF69&gt;高値!AH69),27,""))</f>
      </c>
      <c r="BC69" s="684">
        <f>IF(終値!A69="","",IF(AND(高値!AG69&gt;高値!AF69,高値!AG69&gt;高値!AE69,高値!AG69&gt;高値!AH69,高値!AG69&gt;高値!AI69),28,""))</f>
      </c>
      <c r="BD69" s="684">
        <f>COUNT($B69:$AB69)</f>
      </c>
      <c r="BE69" s="684">
        <f>IF($BD69&gt;=2,MIN($B69:$AB69),"")</f>
      </c>
      <c r="BF69" s="684">
        <f>IF($BD69&gt;=2,SMALL($B69:$AB69,2),"")</f>
      </c>
      <c r="BG69" s="684">
        <f>IF($BE69="","",INDEX(安値!$E69:$CZ69,1,$BE69+1))</f>
      </c>
      <c r="BH69" s="684">
        <f>IF($BF69="","",INDEX(安値!$E69:$CZ69,1,$BF69+1))</f>
      </c>
      <c r="BI69" s="684">
        <f>IF($BF69="","",MAX(INDEX(高値!$E69:$CZ69,1,$BE69+1):INDEX(高値!$E69:$CZ69,1,$BF69+1)))</f>
      </c>
      <c r="BJ69" s="684">
        <f>IF($BF69="","",AVERAGE(INDEX(終値!$E69:$CZ69,1,$BF69+1):INDEX(終値!$E69:$CZ69,1,$BF69+20))-2*STDEVP(INDEX(終値!$E69:$CZ69,1,$BF69+1):INDEX(終値!$E69:$CZ69,1,$BF69+20)))</f>
      </c>
      <c r="BK69" s="684">
        <f>IF($BE69="","",AVERAGE(INDEX(終値!$E69:$CZ69,1,$BE69+1):INDEX(終値!$E69:$CZ69,1,$BE69+20))-2*STDEVP(INDEX(終値!$E69:$CZ69,1,$BE69+1):INDEX(終値!$E69:$CZ69,1,$BE69+20)))</f>
      </c>
      <c r="BL69" s="684">
        <f>COUNT($AC69:$BC69)</f>
      </c>
      <c r="BM69" s="684">
        <f>IF($BL69&gt;=2,MIN($AC69:$BC69),"")</f>
      </c>
      <c r="BN69" s="684">
        <f>IF($BL69&gt;=2,SMALL($AC69:$BC69,2),"")</f>
      </c>
      <c r="BO69" s="684">
        <f>IF($BM69="","",INDEX(高値!$E69:$CZ69,1,$BM69+1))</f>
      </c>
      <c r="BP69" s="684">
        <f>IF($BN69="","",INDEX(高値!$E69:$CZ69,1,$BN69+1))</f>
      </c>
      <c r="BQ69" s="684">
        <f>IF($BN69="","",MIN(INDEX(安値!$E69:$CZ69,1,$BM69+1):INDEX(安値!$E69:$CZ69,1,$BN69+1)))</f>
      </c>
      <c r="BR69" s="684">
        <f>IF($BN69="","",AVERAGE(INDEX(終値!$E69:$CZ69,1,$BN69+1):INDEX(終値!$E69:$CZ69,1,$BN69+20))+2*STDEVP(INDEX(終値!$E69:$CZ69,1,$BN69+1):INDEX(終値!$E69:$CZ69,1,$BN69+20)))</f>
      </c>
      <c r="BS69" s="684">
        <f>IF($BM69="","",AVERAGE(INDEX(終値!$E69:$CZ69,1,$BM69+1):INDEX(終値!$E69:$CZ69,1,$BM69+20))+2*STDEVP(INDEX(終値!$E69:$CZ69,1,$BM69+1):INDEX(終値!$E69:$CZ69,1,$BM69+20)))</f>
      </c>
      <c r="BT69" s="681">
        <f>IFERROR(IF(AND($BD69&gt;=2,ABS($BG69-$BH69)/$BH69&lt;=BB設定!$B$12,$BI69&gt;=MAX($BH69,$BG69)*(1+BB設定!$B$13),終値!E69&gt;$BG69),IF(OR(終値!E69&gt;=$BI69,AND($BH69&lt;$BJ69,$BG69&gt;=$BK69)),"二番底W▲","二番底W形成"),IF(AND($BL69&gt;=2,ABS($BO69-$BP69)/$BP69&lt;=BB設定!$B$12,$BQ69&lt;=MIN($BP69,$BO69)*(1-BB設定!$B$13),終値!E69&lt;$BO69),IF(OR(終値!E69&lt;=$BQ69,AND($BP69&gt;$BR69,$BO69&lt;=$BS69)),"二番天井M▼","二番天井M形成"),"－")),"－")</f>
      </c>
    </row>
    <row r="70">
      <c r="B70" s="684">
        <f>IF(終値!A70="","",IF(AND(安値!G70&lt;安値!F70,安値!G70&lt;安値!E70,安値!G70&lt;安値!H70,安値!G70&lt;安値!I70),2,""))</f>
      </c>
      <c r="C70" s="684">
        <f>IF(終値!A70="","",IF(AND(安値!H70&lt;安値!G70,安値!H70&lt;安値!F70,安値!H70&lt;安値!I70,安値!H70&lt;安値!J70),3,""))</f>
      </c>
      <c r="D70" s="684">
        <f>IF(終値!A70="","",IF(AND(安値!I70&lt;安値!H70,安値!I70&lt;安値!G70,安値!I70&lt;安値!J70,安値!I70&lt;安値!K70),4,""))</f>
      </c>
      <c r="E70" s="684">
        <f>IF(終値!A70="","",IF(AND(安値!J70&lt;安値!I70,安値!J70&lt;安値!H70,安値!J70&lt;安値!K70,安値!J70&lt;安値!L70),5,""))</f>
      </c>
      <c r="F70" s="684">
        <f>IF(終値!A70="","",IF(AND(安値!K70&lt;安値!J70,安値!K70&lt;安値!I70,安値!K70&lt;安値!L70,安値!K70&lt;安値!M70),6,""))</f>
      </c>
      <c r="G70" s="684">
        <f>IF(終値!A70="","",IF(AND(安値!L70&lt;安値!K70,安値!L70&lt;安値!J70,安値!L70&lt;安値!M70,安値!L70&lt;安値!N70),7,""))</f>
      </c>
      <c r="H70" s="684">
        <f>IF(終値!A70="","",IF(AND(安値!M70&lt;安値!L70,安値!M70&lt;安値!K70,安値!M70&lt;安値!N70,安値!M70&lt;安値!O70),8,""))</f>
      </c>
      <c r="I70" s="684">
        <f>IF(終値!A70="","",IF(AND(安値!N70&lt;安値!M70,安値!N70&lt;安値!L70,安値!N70&lt;安値!O70,安値!N70&lt;安値!P70),9,""))</f>
      </c>
      <c r="J70" s="684">
        <f>IF(終値!A70="","",IF(AND(安値!O70&lt;安値!N70,安値!O70&lt;安値!M70,安値!O70&lt;安値!P70,安値!O70&lt;安値!Q70),10,""))</f>
      </c>
      <c r="K70" s="684">
        <f>IF(終値!A70="","",IF(AND(安値!P70&lt;安値!O70,安値!P70&lt;安値!N70,安値!P70&lt;安値!Q70,安値!P70&lt;安値!R70),11,""))</f>
      </c>
      <c r="L70" s="684">
        <f>IF(終値!A70="","",IF(AND(安値!Q70&lt;安値!P70,安値!Q70&lt;安値!O70,安値!Q70&lt;安値!R70,安値!Q70&lt;安値!S70),12,""))</f>
      </c>
      <c r="M70" s="684">
        <f>IF(終値!A70="","",IF(AND(安値!R70&lt;安値!Q70,安値!R70&lt;安値!P70,安値!R70&lt;安値!S70,安値!R70&lt;安値!T70),13,""))</f>
      </c>
      <c r="N70" s="684">
        <f>IF(終値!A70="","",IF(AND(安値!S70&lt;安値!R70,安値!S70&lt;安値!Q70,安値!S70&lt;安値!T70,安値!S70&lt;安値!U70),14,""))</f>
      </c>
      <c r="O70" s="684">
        <f>IF(終値!A70="","",IF(AND(安値!T70&lt;安値!S70,安値!T70&lt;安値!R70,安値!T70&lt;安値!U70,安値!T70&lt;安値!V70),15,""))</f>
      </c>
      <c r="P70" s="684">
        <f>IF(終値!A70="","",IF(AND(安値!U70&lt;安値!T70,安値!U70&lt;安値!S70,安値!U70&lt;安値!V70,安値!U70&lt;安値!W70),16,""))</f>
      </c>
      <c r="Q70" s="684">
        <f>IF(終値!A70="","",IF(AND(安値!V70&lt;安値!U70,安値!V70&lt;安値!T70,安値!V70&lt;安値!W70,安値!V70&lt;安値!X70),17,""))</f>
      </c>
      <c r="R70" s="684">
        <f>IF(終値!A70="","",IF(AND(安値!W70&lt;安値!V70,安値!W70&lt;安値!U70,安値!W70&lt;安値!X70,安値!W70&lt;安値!Y70),18,""))</f>
      </c>
      <c r="S70" s="684">
        <f>IF(終値!A70="","",IF(AND(安値!X70&lt;安値!W70,安値!X70&lt;安値!V70,安値!X70&lt;安値!Y70,安値!X70&lt;安値!Z70),19,""))</f>
      </c>
      <c r="T70" s="684">
        <f>IF(終値!A70="","",IF(AND(安値!Y70&lt;安値!X70,安値!Y70&lt;安値!W70,安値!Y70&lt;安値!Z70,安値!Y70&lt;安値!AA70),20,""))</f>
      </c>
      <c r="U70" s="684">
        <f>IF(終値!A70="","",IF(AND(安値!Z70&lt;安値!Y70,安値!Z70&lt;安値!X70,安値!Z70&lt;安値!AA70,安値!Z70&lt;安値!AB70),21,""))</f>
      </c>
      <c r="V70" s="684">
        <f>IF(終値!A70="","",IF(AND(安値!AA70&lt;安値!Z70,安値!AA70&lt;安値!Y70,安値!AA70&lt;安値!AB70,安値!AA70&lt;安値!AC70),22,""))</f>
      </c>
      <c r="W70" s="684">
        <f>IF(終値!A70="","",IF(AND(安値!AB70&lt;安値!AA70,安値!AB70&lt;安値!Z70,安値!AB70&lt;安値!AC70,安値!AB70&lt;安値!AD70),23,""))</f>
      </c>
      <c r="X70" s="684">
        <f>IF(終値!A70="","",IF(AND(安値!AC70&lt;安値!AB70,安値!AC70&lt;安値!AA70,安値!AC70&lt;安値!AD70,安値!AC70&lt;安値!AE70),24,""))</f>
      </c>
      <c r="Y70" s="684">
        <f>IF(終値!A70="","",IF(AND(安値!AD70&lt;安値!AC70,安値!AD70&lt;安値!AB70,安値!AD70&lt;安値!AE70,安値!AD70&lt;安値!AF70),25,""))</f>
      </c>
      <c r="Z70" s="684">
        <f>IF(終値!A70="","",IF(AND(安値!AE70&lt;安値!AD70,安値!AE70&lt;安値!AC70,安値!AE70&lt;安値!AF70,安値!AE70&lt;安値!AG70),26,""))</f>
      </c>
      <c r="AA70" s="684">
        <f>IF(終値!A70="","",IF(AND(安値!AF70&lt;安値!AE70,安値!AF70&lt;安値!AD70,安値!AF70&lt;安値!AG70,安値!AF70&lt;安値!AH70),27,""))</f>
      </c>
      <c r="AB70" s="684">
        <f>IF(終値!A70="","",IF(AND(安値!AG70&lt;安値!AF70,安値!AG70&lt;安値!AE70,安値!AG70&lt;安値!AH70,安値!AG70&lt;安値!AI70),28,""))</f>
      </c>
      <c r="AC70" s="684">
        <f>IF(終値!A70="","",IF(AND(高値!G70&gt;高値!F70,高値!G70&gt;高値!E70,高値!G70&gt;高値!H70,高値!G70&gt;高値!I70),2,""))</f>
      </c>
      <c r="AD70" s="684">
        <f>IF(終値!A70="","",IF(AND(高値!H70&gt;高値!G70,高値!H70&gt;高値!F70,高値!H70&gt;高値!I70,高値!H70&gt;高値!J70),3,""))</f>
      </c>
      <c r="AE70" s="684">
        <f>IF(終値!A70="","",IF(AND(高値!I70&gt;高値!H70,高値!I70&gt;高値!G70,高値!I70&gt;高値!J70,高値!I70&gt;高値!K70),4,""))</f>
      </c>
      <c r="AF70" s="684">
        <f>IF(終値!A70="","",IF(AND(高値!J70&gt;高値!I70,高値!J70&gt;高値!H70,高値!J70&gt;高値!K70,高値!J70&gt;高値!L70),5,""))</f>
      </c>
      <c r="AG70" s="684">
        <f>IF(終値!A70="","",IF(AND(高値!K70&gt;高値!J70,高値!K70&gt;高値!I70,高値!K70&gt;高値!L70,高値!K70&gt;高値!M70),6,""))</f>
      </c>
      <c r="AH70" s="684">
        <f>IF(終値!A70="","",IF(AND(高値!L70&gt;高値!K70,高値!L70&gt;高値!J70,高値!L70&gt;高値!M70,高値!L70&gt;高値!N70),7,""))</f>
      </c>
      <c r="AI70" s="684">
        <f>IF(終値!A70="","",IF(AND(高値!M70&gt;高値!L70,高値!M70&gt;高値!K70,高値!M70&gt;高値!N70,高値!M70&gt;高値!O70),8,""))</f>
      </c>
      <c r="AJ70" s="684">
        <f>IF(終値!A70="","",IF(AND(高値!N70&gt;高値!M70,高値!N70&gt;高値!L70,高値!N70&gt;高値!O70,高値!N70&gt;高値!P70),9,""))</f>
      </c>
      <c r="AK70" s="684">
        <f>IF(終値!A70="","",IF(AND(高値!O70&gt;高値!N70,高値!O70&gt;高値!M70,高値!O70&gt;高値!P70,高値!O70&gt;高値!Q70),10,""))</f>
      </c>
      <c r="AL70" s="684">
        <f>IF(終値!A70="","",IF(AND(高値!P70&gt;高値!O70,高値!P70&gt;高値!N70,高値!P70&gt;高値!Q70,高値!P70&gt;高値!R70),11,""))</f>
      </c>
      <c r="AM70" s="684">
        <f>IF(終値!A70="","",IF(AND(高値!Q70&gt;高値!P70,高値!Q70&gt;高値!O70,高値!Q70&gt;高値!R70,高値!Q70&gt;高値!S70),12,""))</f>
      </c>
      <c r="AN70" s="684">
        <f>IF(終値!A70="","",IF(AND(高値!R70&gt;高値!Q70,高値!R70&gt;高値!P70,高値!R70&gt;高値!S70,高値!R70&gt;高値!T70),13,""))</f>
      </c>
      <c r="AO70" s="684">
        <f>IF(終値!A70="","",IF(AND(高値!S70&gt;高値!R70,高値!S70&gt;高値!Q70,高値!S70&gt;高値!T70,高値!S70&gt;高値!U70),14,""))</f>
      </c>
      <c r="AP70" s="684">
        <f>IF(終値!A70="","",IF(AND(高値!T70&gt;高値!S70,高値!T70&gt;高値!R70,高値!T70&gt;高値!U70,高値!T70&gt;高値!V70),15,""))</f>
      </c>
      <c r="AQ70" s="684">
        <f>IF(終値!A70="","",IF(AND(高値!U70&gt;高値!T70,高値!U70&gt;高値!S70,高値!U70&gt;高値!V70,高値!U70&gt;高値!W70),16,""))</f>
      </c>
      <c r="AR70" s="684">
        <f>IF(終値!A70="","",IF(AND(高値!V70&gt;高値!U70,高値!V70&gt;高値!T70,高値!V70&gt;高値!W70,高値!V70&gt;高値!X70),17,""))</f>
      </c>
      <c r="AS70" s="684">
        <f>IF(終値!A70="","",IF(AND(高値!W70&gt;高値!V70,高値!W70&gt;高値!U70,高値!W70&gt;高値!X70,高値!W70&gt;高値!Y70),18,""))</f>
      </c>
      <c r="AT70" s="684">
        <f>IF(終値!A70="","",IF(AND(高値!X70&gt;高値!W70,高値!X70&gt;高値!V70,高値!X70&gt;高値!Y70,高値!X70&gt;高値!Z70),19,""))</f>
      </c>
      <c r="AU70" s="684">
        <f>IF(終値!A70="","",IF(AND(高値!Y70&gt;高値!X70,高値!Y70&gt;高値!W70,高値!Y70&gt;高値!Z70,高値!Y70&gt;高値!AA70),20,""))</f>
      </c>
      <c r="AV70" s="684">
        <f>IF(終値!A70="","",IF(AND(高値!Z70&gt;高値!Y70,高値!Z70&gt;高値!X70,高値!Z70&gt;高値!AA70,高値!Z70&gt;高値!AB70),21,""))</f>
      </c>
      <c r="AW70" s="684">
        <f>IF(終値!A70="","",IF(AND(高値!AA70&gt;高値!Z70,高値!AA70&gt;高値!Y70,高値!AA70&gt;高値!AB70,高値!AA70&gt;高値!AC70),22,""))</f>
      </c>
      <c r="AX70" s="684">
        <f>IF(終値!A70="","",IF(AND(高値!AB70&gt;高値!AA70,高値!AB70&gt;高値!Z70,高値!AB70&gt;高値!AC70,高値!AB70&gt;高値!AD70),23,""))</f>
      </c>
      <c r="AY70" s="684">
        <f>IF(終値!A70="","",IF(AND(高値!AC70&gt;高値!AB70,高値!AC70&gt;高値!AA70,高値!AC70&gt;高値!AD70,高値!AC70&gt;高値!AE70),24,""))</f>
      </c>
      <c r="AZ70" s="684">
        <f>IF(終値!A70="","",IF(AND(高値!AD70&gt;高値!AC70,高値!AD70&gt;高値!AB70,高値!AD70&gt;高値!AE70,高値!AD70&gt;高値!AF70),25,""))</f>
      </c>
      <c r="BA70" s="684">
        <f>IF(終値!A70="","",IF(AND(高値!AE70&gt;高値!AD70,高値!AE70&gt;高値!AC70,高値!AE70&gt;高値!AF70,高値!AE70&gt;高値!AG70),26,""))</f>
      </c>
      <c r="BB70" s="684">
        <f>IF(終値!A70="","",IF(AND(高値!AF70&gt;高値!AE70,高値!AF70&gt;高値!AD70,高値!AF70&gt;高値!AG70,高値!AF70&gt;高値!AH70),27,""))</f>
      </c>
      <c r="BC70" s="684">
        <f>IF(終値!A70="","",IF(AND(高値!AG70&gt;高値!AF70,高値!AG70&gt;高値!AE70,高値!AG70&gt;高値!AH70,高値!AG70&gt;高値!AI70),28,""))</f>
      </c>
      <c r="BD70" s="684">
        <f>COUNT($B70:$AB70)</f>
      </c>
      <c r="BE70" s="684">
        <f>IF($BD70&gt;=2,MIN($B70:$AB70),"")</f>
      </c>
      <c r="BF70" s="684">
        <f>IF($BD70&gt;=2,SMALL($B70:$AB70,2),"")</f>
      </c>
      <c r="BG70" s="684">
        <f>IF($BE70="","",INDEX(安値!$E70:$CZ70,1,$BE70+1))</f>
      </c>
      <c r="BH70" s="684">
        <f>IF($BF70="","",INDEX(安値!$E70:$CZ70,1,$BF70+1))</f>
      </c>
      <c r="BI70" s="684">
        <f>IF($BF70="","",MAX(INDEX(高値!$E70:$CZ70,1,$BE70+1):INDEX(高値!$E70:$CZ70,1,$BF70+1)))</f>
      </c>
      <c r="BJ70" s="684">
        <f>IF($BF70="","",AVERAGE(INDEX(終値!$E70:$CZ70,1,$BF70+1):INDEX(終値!$E70:$CZ70,1,$BF70+20))-2*STDEVP(INDEX(終値!$E70:$CZ70,1,$BF70+1):INDEX(終値!$E70:$CZ70,1,$BF70+20)))</f>
      </c>
      <c r="BK70" s="684">
        <f>IF($BE70="","",AVERAGE(INDEX(終値!$E70:$CZ70,1,$BE70+1):INDEX(終値!$E70:$CZ70,1,$BE70+20))-2*STDEVP(INDEX(終値!$E70:$CZ70,1,$BE70+1):INDEX(終値!$E70:$CZ70,1,$BE70+20)))</f>
      </c>
      <c r="BL70" s="684">
        <f>COUNT($AC70:$BC70)</f>
      </c>
      <c r="BM70" s="684">
        <f>IF($BL70&gt;=2,MIN($AC70:$BC70),"")</f>
      </c>
      <c r="BN70" s="684">
        <f>IF($BL70&gt;=2,SMALL($AC70:$BC70,2),"")</f>
      </c>
      <c r="BO70" s="684">
        <f>IF($BM70="","",INDEX(高値!$E70:$CZ70,1,$BM70+1))</f>
      </c>
      <c r="BP70" s="684">
        <f>IF($BN70="","",INDEX(高値!$E70:$CZ70,1,$BN70+1))</f>
      </c>
      <c r="BQ70" s="684">
        <f>IF($BN70="","",MIN(INDEX(安値!$E70:$CZ70,1,$BM70+1):INDEX(安値!$E70:$CZ70,1,$BN70+1)))</f>
      </c>
      <c r="BR70" s="684">
        <f>IF($BN70="","",AVERAGE(INDEX(終値!$E70:$CZ70,1,$BN70+1):INDEX(終値!$E70:$CZ70,1,$BN70+20))+2*STDEVP(INDEX(終値!$E70:$CZ70,1,$BN70+1):INDEX(終値!$E70:$CZ70,1,$BN70+20)))</f>
      </c>
      <c r="BS70" s="684">
        <f>IF($BM70="","",AVERAGE(INDEX(終値!$E70:$CZ70,1,$BM70+1):INDEX(終値!$E70:$CZ70,1,$BM70+20))+2*STDEVP(INDEX(終値!$E70:$CZ70,1,$BM70+1):INDEX(終値!$E70:$CZ70,1,$BM70+20)))</f>
      </c>
      <c r="BT70" s="681">
        <f>IFERROR(IF(AND($BD70&gt;=2,ABS($BG70-$BH70)/$BH70&lt;=BB設定!$B$12,$BI70&gt;=MAX($BH70,$BG70)*(1+BB設定!$B$13),終値!E70&gt;$BG70),IF(OR(終値!E70&gt;=$BI70,AND($BH70&lt;$BJ70,$BG70&gt;=$BK70)),"二番底W▲","二番底W形成"),IF(AND($BL70&gt;=2,ABS($BO70-$BP70)/$BP70&lt;=BB設定!$B$12,$BQ70&lt;=MIN($BP70,$BO70)*(1-BB設定!$B$13),終値!E70&lt;$BO70),IF(OR(終値!E70&lt;=$BQ70,AND($BP70&gt;$BR70,$BO70&lt;=$BS70)),"二番天井M▼","二番天井M形成"),"－")),"－")</f>
      </c>
    </row>
    <row r="71">
      <c r="B71" s="684">
        <f>IF(終値!A71="","",IF(AND(安値!G71&lt;安値!F71,安値!G71&lt;安値!E71,安値!G71&lt;安値!H71,安値!G71&lt;安値!I71),2,""))</f>
      </c>
      <c r="C71" s="684">
        <f>IF(終値!A71="","",IF(AND(安値!H71&lt;安値!G71,安値!H71&lt;安値!F71,安値!H71&lt;安値!I71,安値!H71&lt;安値!J71),3,""))</f>
      </c>
      <c r="D71" s="684">
        <f>IF(終値!A71="","",IF(AND(安値!I71&lt;安値!H71,安値!I71&lt;安値!G71,安値!I71&lt;安値!J71,安値!I71&lt;安値!K71),4,""))</f>
      </c>
      <c r="E71" s="684">
        <f>IF(終値!A71="","",IF(AND(安値!J71&lt;安値!I71,安値!J71&lt;安値!H71,安値!J71&lt;安値!K71,安値!J71&lt;安値!L71),5,""))</f>
      </c>
      <c r="F71" s="684">
        <f>IF(終値!A71="","",IF(AND(安値!K71&lt;安値!J71,安値!K71&lt;安値!I71,安値!K71&lt;安値!L71,安値!K71&lt;安値!M71),6,""))</f>
      </c>
      <c r="G71" s="684">
        <f>IF(終値!A71="","",IF(AND(安値!L71&lt;安値!K71,安値!L71&lt;安値!J71,安値!L71&lt;安値!M71,安値!L71&lt;安値!N71),7,""))</f>
      </c>
      <c r="H71" s="684">
        <f>IF(終値!A71="","",IF(AND(安値!M71&lt;安値!L71,安値!M71&lt;安値!K71,安値!M71&lt;安値!N71,安値!M71&lt;安値!O71),8,""))</f>
      </c>
      <c r="I71" s="684">
        <f>IF(終値!A71="","",IF(AND(安値!N71&lt;安値!M71,安値!N71&lt;安値!L71,安値!N71&lt;安値!O71,安値!N71&lt;安値!P71),9,""))</f>
      </c>
      <c r="J71" s="684">
        <f>IF(終値!A71="","",IF(AND(安値!O71&lt;安値!N71,安値!O71&lt;安値!M71,安値!O71&lt;安値!P71,安値!O71&lt;安値!Q71),10,""))</f>
      </c>
      <c r="K71" s="684">
        <f>IF(終値!A71="","",IF(AND(安値!P71&lt;安値!O71,安値!P71&lt;安値!N71,安値!P71&lt;安値!Q71,安値!P71&lt;安値!R71),11,""))</f>
      </c>
      <c r="L71" s="684">
        <f>IF(終値!A71="","",IF(AND(安値!Q71&lt;安値!P71,安値!Q71&lt;安値!O71,安値!Q71&lt;安値!R71,安値!Q71&lt;安値!S71),12,""))</f>
      </c>
      <c r="M71" s="684">
        <f>IF(終値!A71="","",IF(AND(安値!R71&lt;安値!Q71,安値!R71&lt;安値!P71,安値!R71&lt;安値!S71,安値!R71&lt;安値!T71),13,""))</f>
      </c>
      <c r="N71" s="684">
        <f>IF(終値!A71="","",IF(AND(安値!S71&lt;安値!R71,安値!S71&lt;安値!Q71,安値!S71&lt;安値!T71,安値!S71&lt;安値!U71),14,""))</f>
      </c>
      <c r="O71" s="684">
        <f>IF(終値!A71="","",IF(AND(安値!T71&lt;安値!S71,安値!T71&lt;安値!R71,安値!T71&lt;安値!U71,安値!T71&lt;安値!V71),15,""))</f>
      </c>
      <c r="P71" s="684">
        <f>IF(終値!A71="","",IF(AND(安値!U71&lt;安値!T71,安値!U71&lt;安値!S71,安値!U71&lt;安値!V71,安値!U71&lt;安値!W71),16,""))</f>
      </c>
      <c r="Q71" s="684">
        <f>IF(終値!A71="","",IF(AND(安値!V71&lt;安値!U71,安値!V71&lt;安値!T71,安値!V71&lt;安値!W71,安値!V71&lt;安値!X71),17,""))</f>
      </c>
      <c r="R71" s="684">
        <f>IF(終値!A71="","",IF(AND(安値!W71&lt;安値!V71,安値!W71&lt;安値!U71,安値!W71&lt;安値!X71,安値!W71&lt;安値!Y71),18,""))</f>
      </c>
      <c r="S71" s="684">
        <f>IF(終値!A71="","",IF(AND(安値!X71&lt;安値!W71,安値!X71&lt;安値!V71,安値!X71&lt;安値!Y71,安値!X71&lt;安値!Z71),19,""))</f>
      </c>
      <c r="T71" s="684">
        <f>IF(終値!A71="","",IF(AND(安値!Y71&lt;安値!X71,安値!Y71&lt;安値!W71,安値!Y71&lt;安値!Z71,安値!Y71&lt;安値!AA71),20,""))</f>
      </c>
      <c r="U71" s="684">
        <f>IF(終値!A71="","",IF(AND(安値!Z71&lt;安値!Y71,安値!Z71&lt;安値!X71,安値!Z71&lt;安値!AA71,安値!Z71&lt;安値!AB71),21,""))</f>
      </c>
      <c r="V71" s="684">
        <f>IF(終値!A71="","",IF(AND(安値!AA71&lt;安値!Z71,安値!AA71&lt;安値!Y71,安値!AA71&lt;安値!AB71,安値!AA71&lt;安値!AC71),22,""))</f>
      </c>
      <c r="W71" s="684">
        <f>IF(終値!A71="","",IF(AND(安値!AB71&lt;安値!AA71,安値!AB71&lt;安値!Z71,安値!AB71&lt;安値!AC71,安値!AB71&lt;安値!AD71),23,""))</f>
      </c>
      <c r="X71" s="684">
        <f>IF(終値!A71="","",IF(AND(安値!AC71&lt;安値!AB71,安値!AC71&lt;安値!AA71,安値!AC71&lt;安値!AD71,安値!AC71&lt;安値!AE71),24,""))</f>
      </c>
      <c r="Y71" s="684">
        <f>IF(終値!A71="","",IF(AND(安値!AD71&lt;安値!AC71,安値!AD71&lt;安値!AB71,安値!AD71&lt;安値!AE71,安値!AD71&lt;安値!AF71),25,""))</f>
      </c>
      <c r="Z71" s="684">
        <f>IF(終値!A71="","",IF(AND(安値!AE71&lt;安値!AD71,安値!AE71&lt;安値!AC71,安値!AE71&lt;安値!AF71,安値!AE71&lt;安値!AG71),26,""))</f>
      </c>
      <c r="AA71" s="684">
        <f>IF(終値!A71="","",IF(AND(安値!AF71&lt;安値!AE71,安値!AF71&lt;安値!AD71,安値!AF71&lt;安値!AG71,安値!AF71&lt;安値!AH71),27,""))</f>
      </c>
      <c r="AB71" s="684">
        <f>IF(終値!A71="","",IF(AND(安値!AG71&lt;安値!AF71,安値!AG71&lt;安値!AE71,安値!AG71&lt;安値!AH71,安値!AG71&lt;安値!AI71),28,""))</f>
      </c>
      <c r="AC71" s="684">
        <f>IF(終値!A71="","",IF(AND(高値!G71&gt;高値!F71,高値!G71&gt;高値!E71,高値!G71&gt;高値!H71,高値!G71&gt;高値!I71),2,""))</f>
      </c>
      <c r="AD71" s="684">
        <f>IF(終値!A71="","",IF(AND(高値!H71&gt;高値!G71,高値!H71&gt;高値!F71,高値!H71&gt;高値!I71,高値!H71&gt;高値!J71),3,""))</f>
      </c>
      <c r="AE71" s="684">
        <f>IF(終値!A71="","",IF(AND(高値!I71&gt;高値!H71,高値!I71&gt;高値!G71,高値!I71&gt;高値!J71,高値!I71&gt;高値!K71),4,""))</f>
      </c>
      <c r="AF71" s="684">
        <f>IF(終値!A71="","",IF(AND(高値!J71&gt;高値!I71,高値!J71&gt;高値!H71,高値!J71&gt;高値!K71,高値!J71&gt;高値!L71),5,""))</f>
      </c>
      <c r="AG71" s="684">
        <f>IF(終値!A71="","",IF(AND(高値!K71&gt;高値!J71,高値!K71&gt;高値!I71,高値!K71&gt;高値!L71,高値!K71&gt;高値!M71),6,""))</f>
      </c>
      <c r="AH71" s="684">
        <f>IF(終値!A71="","",IF(AND(高値!L71&gt;高値!K71,高値!L71&gt;高値!J71,高値!L71&gt;高値!M71,高値!L71&gt;高値!N71),7,""))</f>
      </c>
      <c r="AI71" s="684">
        <f>IF(終値!A71="","",IF(AND(高値!M71&gt;高値!L71,高値!M71&gt;高値!K71,高値!M71&gt;高値!N71,高値!M71&gt;高値!O71),8,""))</f>
      </c>
      <c r="AJ71" s="684">
        <f>IF(終値!A71="","",IF(AND(高値!N71&gt;高値!M71,高値!N71&gt;高値!L71,高値!N71&gt;高値!O71,高値!N71&gt;高値!P71),9,""))</f>
      </c>
      <c r="AK71" s="684">
        <f>IF(終値!A71="","",IF(AND(高値!O71&gt;高値!N71,高値!O71&gt;高値!M71,高値!O71&gt;高値!P71,高値!O71&gt;高値!Q71),10,""))</f>
      </c>
      <c r="AL71" s="684">
        <f>IF(終値!A71="","",IF(AND(高値!P71&gt;高値!O71,高値!P71&gt;高値!N71,高値!P71&gt;高値!Q71,高値!P71&gt;高値!R71),11,""))</f>
      </c>
      <c r="AM71" s="684">
        <f>IF(終値!A71="","",IF(AND(高値!Q71&gt;高値!P71,高値!Q71&gt;高値!O71,高値!Q71&gt;高値!R71,高値!Q71&gt;高値!S71),12,""))</f>
      </c>
      <c r="AN71" s="684">
        <f>IF(終値!A71="","",IF(AND(高値!R71&gt;高値!Q71,高値!R71&gt;高値!P71,高値!R71&gt;高値!S71,高値!R71&gt;高値!T71),13,""))</f>
      </c>
      <c r="AO71" s="684">
        <f>IF(終値!A71="","",IF(AND(高値!S71&gt;高値!R71,高値!S71&gt;高値!Q71,高値!S71&gt;高値!T71,高値!S71&gt;高値!U71),14,""))</f>
      </c>
      <c r="AP71" s="684">
        <f>IF(終値!A71="","",IF(AND(高値!T71&gt;高値!S71,高値!T71&gt;高値!R71,高値!T71&gt;高値!U71,高値!T71&gt;高値!V71),15,""))</f>
      </c>
      <c r="AQ71" s="684">
        <f>IF(終値!A71="","",IF(AND(高値!U71&gt;高値!T71,高値!U71&gt;高値!S71,高値!U71&gt;高値!V71,高値!U71&gt;高値!W71),16,""))</f>
      </c>
      <c r="AR71" s="684">
        <f>IF(終値!A71="","",IF(AND(高値!V71&gt;高値!U71,高値!V71&gt;高値!T71,高値!V71&gt;高値!W71,高値!V71&gt;高値!X71),17,""))</f>
      </c>
      <c r="AS71" s="684">
        <f>IF(終値!A71="","",IF(AND(高値!W71&gt;高値!V71,高値!W71&gt;高値!U71,高値!W71&gt;高値!X71,高値!W71&gt;高値!Y71),18,""))</f>
      </c>
      <c r="AT71" s="684">
        <f>IF(終値!A71="","",IF(AND(高値!X71&gt;高値!W71,高値!X71&gt;高値!V71,高値!X71&gt;高値!Y71,高値!X71&gt;高値!Z71),19,""))</f>
      </c>
      <c r="AU71" s="684">
        <f>IF(終値!A71="","",IF(AND(高値!Y71&gt;高値!X71,高値!Y71&gt;高値!W71,高値!Y71&gt;高値!Z71,高値!Y71&gt;高値!AA71),20,""))</f>
      </c>
      <c r="AV71" s="684">
        <f>IF(終値!A71="","",IF(AND(高値!Z71&gt;高値!Y71,高値!Z71&gt;高値!X71,高値!Z71&gt;高値!AA71,高値!Z71&gt;高値!AB71),21,""))</f>
      </c>
      <c r="AW71" s="684">
        <f>IF(終値!A71="","",IF(AND(高値!AA71&gt;高値!Z71,高値!AA71&gt;高値!Y71,高値!AA71&gt;高値!AB71,高値!AA71&gt;高値!AC71),22,""))</f>
      </c>
      <c r="AX71" s="684">
        <f>IF(終値!A71="","",IF(AND(高値!AB71&gt;高値!AA71,高値!AB71&gt;高値!Z71,高値!AB71&gt;高値!AC71,高値!AB71&gt;高値!AD71),23,""))</f>
      </c>
      <c r="AY71" s="684">
        <f>IF(終値!A71="","",IF(AND(高値!AC71&gt;高値!AB71,高値!AC71&gt;高値!AA71,高値!AC71&gt;高値!AD71,高値!AC71&gt;高値!AE71),24,""))</f>
      </c>
      <c r="AZ71" s="684">
        <f>IF(終値!A71="","",IF(AND(高値!AD71&gt;高値!AC71,高値!AD71&gt;高値!AB71,高値!AD71&gt;高値!AE71,高値!AD71&gt;高値!AF71),25,""))</f>
      </c>
      <c r="BA71" s="684">
        <f>IF(終値!A71="","",IF(AND(高値!AE71&gt;高値!AD71,高値!AE71&gt;高値!AC71,高値!AE71&gt;高値!AF71,高値!AE71&gt;高値!AG71),26,""))</f>
      </c>
      <c r="BB71" s="684">
        <f>IF(終値!A71="","",IF(AND(高値!AF71&gt;高値!AE71,高値!AF71&gt;高値!AD71,高値!AF71&gt;高値!AG71,高値!AF71&gt;高値!AH71),27,""))</f>
      </c>
      <c r="BC71" s="684">
        <f>IF(終値!A71="","",IF(AND(高値!AG71&gt;高値!AF71,高値!AG71&gt;高値!AE71,高値!AG71&gt;高値!AH71,高値!AG71&gt;高値!AI71),28,""))</f>
      </c>
      <c r="BD71" s="684">
        <f>COUNT($B71:$AB71)</f>
      </c>
      <c r="BE71" s="684">
        <f>IF($BD71&gt;=2,MIN($B71:$AB71),"")</f>
      </c>
      <c r="BF71" s="684">
        <f>IF($BD71&gt;=2,SMALL($B71:$AB71,2),"")</f>
      </c>
      <c r="BG71" s="684">
        <f>IF($BE71="","",INDEX(安値!$E71:$CZ71,1,$BE71+1))</f>
      </c>
      <c r="BH71" s="684">
        <f>IF($BF71="","",INDEX(安値!$E71:$CZ71,1,$BF71+1))</f>
      </c>
      <c r="BI71" s="684">
        <f>IF($BF71="","",MAX(INDEX(高値!$E71:$CZ71,1,$BE71+1):INDEX(高値!$E71:$CZ71,1,$BF71+1)))</f>
      </c>
      <c r="BJ71" s="684">
        <f>IF($BF71="","",AVERAGE(INDEX(終値!$E71:$CZ71,1,$BF71+1):INDEX(終値!$E71:$CZ71,1,$BF71+20))-2*STDEVP(INDEX(終値!$E71:$CZ71,1,$BF71+1):INDEX(終値!$E71:$CZ71,1,$BF71+20)))</f>
      </c>
      <c r="BK71" s="684">
        <f>IF($BE71="","",AVERAGE(INDEX(終値!$E71:$CZ71,1,$BE71+1):INDEX(終値!$E71:$CZ71,1,$BE71+20))-2*STDEVP(INDEX(終値!$E71:$CZ71,1,$BE71+1):INDEX(終値!$E71:$CZ71,1,$BE71+20)))</f>
      </c>
      <c r="BL71" s="684">
        <f>COUNT($AC71:$BC71)</f>
      </c>
      <c r="BM71" s="684">
        <f>IF($BL71&gt;=2,MIN($AC71:$BC71),"")</f>
      </c>
      <c r="BN71" s="684">
        <f>IF($BL71&gt;=2,SMALL($AC71:$BC71,2),"")</f>
      </c>
      <c r="BO71" s="684">
        <f>IF($BM71="","",INDEX(高値!$E71:$CZ71,1,$BM71+1))</f>
      </c>
      <c r="BP71" s="684">
        <f>IF($BN71="","",INDEX(高値!$E71:$CZ71,1,$BN71+1))</f>
      </c>
      <c r="BQ71" s="684">
        <f>IF($BN71="","",MIN(INDEX(安値!$E71:$CZ71,1,$BM71+1):INDEX(安値!$E71:$CZ71,1,$BN71+1)))</f>
      </c>
      <c r="BR71" s="684">
        <f>IF($BN71="","",AVERAGE(INDEX(終値!$E71:$CZ71,1,$BN71+1):INDEX(終値!$E71:$CZ71,1,$BN71+20))+2*STDEVP(INDEX(終値!$E71:$CZ71,1,$BN71+1):INDEX(終値!$E71:$CZ71,1,$BN71+20)))</f>
      </c>
      <c r="BS71" s="684">
        <f>IF($BM71="","",AVERAGE(INDEX(終値!$E71:$CZ71,1,$BM71+1):INDEX(終値!$E71:$CZ71,1,$BM71+20))+2*STDEVP(INDEX(終値!$E71:$CZ71,1,$BM71+1):INDEX(終値!$E71:$CZ71,1,$BM71+20)))</f>
      </c>
      <c r="BT71" s="681">
        <f>IFERROR(IF(AND($BD71&gt;=2,ABS($BG71-$BH71)/$BH71&lt;=BB設定!$B$12,$BI71&gt;=MAX($BH71,$BG71)*(1+BB設定!$B$13),終値!E71&gt;$BG71),IF(OR(終値!E71&gt;=$BI71,AND($BH71&lt;$BJ71,$BG71&gt;=$BK71)),"二番底W▲","二番底W形成"),IF(AND($BL71&gt;=2,ABS($BO71-$BP71)/$BP71&lt;=BB設定!$B$12,$BQ71&lt;=MIN($BP71,$BO71)*(1-BB設定!$B$13),終値!E71&lt;$BO71),IF(OR(終値!E71&lt;=$BQ71,AND($BP71&gt;$BR71,$BO71&lt;=$BS71)),"二番天井M▼","二番天井M形成"),"－")),"－")</f>
      </c>
    </row>
    <row r="72">
      <c r="B72" s="684">
        <f>IF(終値!A72="","",IF(AND(安値!G72&lt;安値!F72,安値!G72&lt;安値!E72,安値!G72&lt;安値!H72,安値!G72&lt;安値!I72),2,""))</f>
      </c>
      <c r="C72" s="684">
        <f>IF(終値!A72="","",IF(AND(安値!H72&lt;安値!G72,安値!H72&lt;安値!F72,安値!H72&lt;安値!I72,安値!H72&lt;安値!J72),3,""))</f>
      </c>
      <c r="D72" s="684">
        <f>IF(終値!A72="","",IF(AND(安値!I72&lt;安値!H72,安値!I72&lt;安値!G72,安値!I72&lt;安値!J72,安値!I72&lt;安値!K72),4,""))</f>
      </c>
      <c r="E72" s="684">
        <f>IF(終値!A72="","",IF(AND(安値!J72&lt;安値!I72,安値!J72&lt;安値!H72,安値!J72&lt;安値!K72,安値!J72&lt;安値!L72),5,""))</f>
      </c>
      <c r="F72" s="684">
        <f>IF(終値!A72="","",IF(AND(安値!K72&lt;安値!J72,安値!K72&lt;安値!I72,安値!K72&lt;安値!L72,安値!K72&lt;安値!M72),6,""))</f>
      </c>
      <c r="G72" s="684">
        <f>IF(終値!A72="","",IF(AND(安値!L72&lt;安値!K72,安値!L72&lt;安値!J72,安値!L72&lt;安値!M72,安値!L72&lt;安値!N72),7,""))</f>
      </c>
      <c r="H72" s="684">
        <f>IF(終値!A72="","",IF(AND(安値!M72&lt;安値!L72,安値!M72&lt;安値!K72,安値!M72&lt;安値!N72,安値!M72&lt;安値!O72),8,""))</f>
      </c>
      <c r="I72" s="684">
        <f>IF(終値!A72="","",IF(AND(安値!N72&lt;安値!M72,安値!N72&lt;安値!L72,安値!N72&lt;安値!O72,安値!N72&lt;安値!P72),9,""))</f>
      </c>
      <c r="J72" s="684">
        <f>IF(終値!A72="","",IF(AND(安値!O72&lt;安値!N72,安値!O72&lt;安値!M72,安値!O72&lt;安値!P72,安値!O72&lt;安値!Q72),10,""))</f>
      </c>
      <c r="K72" s="684">
        <f>IF(終値!A72="","",IF(AND(安値!P72&lt;安値!O72,安値!P72&lt;安値!N72,安値!P72&lt;安値!Q72,安値!P72&lt;安値!R72),11,""))</f>
      </c>
      <c r="L72" s="684">
        <f>IF(終値!A72="","",IF(AND(安値!Q72&lt;安値!P72,安値!Q72&lt;安値!O72,安値!Q72&lt;安値!R72,安値!Q72&lt;安値!S72),12,""))</f>
      </c>
      <c r="M72" s="684">
        <f>IF(終値!A72="","",IF(AND(安値!R72&lt;安値!Q72,安値!R72&lt;安値!P72,安値!R72&lt;安値!S72,安値!R72&lt;安値!T72),13,""))</f>
      </c>
      <c r="N72" s="684">
        <f>IF(終値!A72="","",IF(AND(安値!S72&lt;安値!R72,安値!S72&lt;安値!Q72,安値!S72&lt;安値!T72,安値!S72&lt;安値!U72),14,""))</f>
      </c>
      <c r="O72" s="684">
        <f>IF(終値!A72="","",IF(AND(安値!T72&lt;安値!S72,安値!T72&lt;安値!R72,安値!T72&lt;安値!U72,安値!T72&lt;安値!V72),15,""))</f>
      </c>
      <c r="P72" s="684">
        <f>IF(終値!A72="","",IF(AND(安値!U72&lt;安値!T72,安値!U72&lt;安値!S72,安値!U72&lt;安値!V72,安値!U72&lt;安値!W72),16,""))</f>
      </c>
      <c r="Q72" s="684">
        <f>IF(終値!A72="","",IF(AND(安値!V72&lt;安値!U72,安値!V72&lt;安値!T72,安値!V72&lt;安値!W72,安値!V72&lt;安値!X72),17,""))</f>
      </c>
      <c r="R72" s="684">
        <f>IF(終値!A72="","",IF(AND(安値!W72&lt;安値!V72,安値!W72&lt;安値!U72,安値!W72&lt;安値!X72,安値!W72&lt;安値!Y72),18,""))</f>
      </c>
      <c r="S72" s="684">
        <f>IF(終値!A72="","",IF(AND(安値!X72&lt;安値!W72,安値!X72&lt;安値!V72,安値!X72&lt;安値!Y72,安値!X72&lt;安値!Z72),19,""))</f>
      </c>
      <c r="T72" s="684">
        <f>IF(終値!A72="","",IF(AND(安値!Y72&lt;安値!X72,安値!Y72&lt;安値!W72,安値!Y72&lt;安値!Z72,安値!Y72&lt;安値!AA72),20,""))</f>
      </c>
      <c r="U72" s="684">
        <f>IF(終値!A72="","",IF(AND(安値!Z72&lt;安値!Y72,安値!Z72&lt;安値!X72,安値!Z72&lt;安値!AA72,安値!Z72&lt;安値!AB72),21,""))</f>
      </c>
      <c r="V72" s="684">
        <f>IF(終値!A72="","",IF(AND(安値!AA72&lt;安値!Z72,安値!AA72&lt;安値!Y72,安値!AA72&lt;安値!AB72,安値!AA72&lt;安値!AC72),22,""))</f>
      </c>
      <c r="W72" s="684">
        <f>IF(終値!A72="","",IF(AND(安値!AB72&lt;安値!AA72,安値!AB72&lt;安値!Z72,安値!AB72&lt;安値!AC72,安値!AB72&lt;安値!AD72),23,""))</f>
      </c>
      <c r="X72" s="684">
        <f>IF(終値!A72="","",IF(AND(安値!AC72&lt;安値!AB72,安値!AC72&lt;安値!AA72,安値!AC72&lt;安値!AD72,安値!AC72&lt;安値!AE72),24,""))</f>
      </c>
      <c r="Y72" s="684">
        <f>IF(終値!A72="","",IF(AND(安値!AD72&lt;安値!AC72,安値!AD72&lt;安値!AB72,安値!AD72&lt;安値!AE72,安値!AD72&lt;安値!AF72),25,""))</f>
      </c>
      <c r="Z72" s="684">
        <f>IF(終値!A72="","",IF(AND(安値!AE72&lt;安値!AD72,安値!AE72&lt;安値!AC72,安値!AE72&lt;安値!AF72,安値!AE72&lt;安値!AG72),26,""))</f>
      </c>
      <c r="AA72" s="684">
        <f>IF(終値!A72="","",IF(AND(安値!AF72&lt;安値!AE72,安値!AF72&lt;安値!AD72,安値!AF72&lt;安値!AG72,安値!AF72&lt;安値!AH72),27,""))</f>
      </c>
      <c r="AB72" s="684">
        <f>IF(終値!A72="","",IF(AND(安値!AG72&lt;安値!AF72,安値!AG72&lt;安値!AE72,安値!AG72&lt;安値!AH72,安値!AG72&lt;安値!AI72),28,""))</f>
      </c>
      <c r="AC72" s="684">
        <f>IF(終値!A72="","",IF(AND(高値!G72&gt;高値!F72,高値!G72&gt;高値!E72,高値!G72&gt;高値!H72,高値!G72&gt;高値!I72),2,""))</f>
      </c>
      <c r="AD72" s="684">
        <f>IF(終値!A72="","",IF(AND(高値!H72&gt;高値!G72,高値!H72&gt;高値!F72,高値!H72&gt;高値!I72,高値!H72&gt;高値!J72),3,""))</f>
      </c>
      <c r="AE72" s="684">
        <f>IF(終値!A72="","",IF(AND(高値!I72&gt;高値!H72,高値!I72&gt;高値!G72,高値!I72&gt;高値!J72,高値!I72&gt;高値!K72),4,""))</f>
      </c>
      <c r="AF72" s="684">
        <f>IF(終値!A72="","",IF(AND(高値!J72&gt;高値!I72,高値!J72&gt;高値!H72,高値!J72&gt;高値!K72,高値!J72&gt;高値!L72),5,""))</f>
      </c>
      <c r="AG72" s="684">
        <f>IF(終値!A72="","",IF(AND(高値!K72&gt;高値!J72,高値!K72&gt;高値!I72,高値!K72&gt;高値!L72,高値!K72&gt;高値!M72),6,""))</f>
      </c>
      <c r="AH72" s="684">
        <f>IF(終値!A72="","",IF(AND(高値!L72&gt;高値!K72,高値!L72&gt;高値!J72,高値!L72&gt;高値!M72,高値!L72&gt;高値!N72),7,""))</f>
      </c>
      <c r="AI72" s="684">
        <f>IF(終値!A72="","",IF(AND(高値!M72&gt;高値!L72,高値!M72&gt;高値!K72,高値!M72&gt;高値!N72,高値!M72&gt;高値!O72),8,""))</f>
      </c>
      <c r="AJ72" s="684">
        <f>IF(終値!A72="","",IF(AND(高値!N72&gt;高値!M72,高値!N72&gt;高値!L72,高値!N72&gt;高値!O72,高値!N72&gt;高値!P72),9,""))</f>
      </c>
      <c r="AK72" s="684">
        <f>IF(終値!A72="","",IF(AND(高値!O72&gt;高値!N72,高値!O72&gt;高値!M72,高値!O72&gt;高値!P72,高値!O72&gt;高値!Q72),10,""))</f>
      </c>
      <c r="AL72" s="684">
        <f>IF(終値!A72="","",IF(AND(高値!P72&gt;高値!O72,高値!P72&gt;高値!N72,高値!P72&gt;高値!Q72,高値!P72&gt;高値!R72),11,""))</f>
      </c>
      <c r="AM72" s="684">
        <f>IF(終値!A72="","",IF(AND(高値!Q72&gt;高値!P72,高値!Q72&gt;高値!O72,高値!Q72&gt;高値!R72,高値!Q72&gt;高値!S72),12,""))</f>
      </c>
      <c r="AN72" s="684">
        <f>IF(終値!A72="","",IF(AND(高値!R72&gt;高値!Q72,高値!R72&gt;高値!P72,高値!R72&gt;高値!S72,高値!R72&gt;高値!T72),13,""))</f>
      </c>
      <c r="AO72" s="684">
        <f>IF(終値!A72="","",IF(AND(高値!S72&gt;高値!R72,高値!S72&gt;高値!Q72,高値!S72&gt;高値!T72,高値!S72&gt;高値!U72),14,""))</f>
      </c>
      <c r="AP72" s="684">
        <f>IF(終値!A72="","",IF(AND(高値!T72&gt;高値!S72,高値!T72&gt;高値!R72,高値!T72&gt;高値!U72,高値!T72&gt;高値!V72),15,""))</f>
      </c>
      <c r="AQ72" s="684">
        <f>IF(終値!A72="","",IF(AND(高値!U72&gt;高値!T72,高値!U72&gt;高値!S72,高値!U72&gt;高値!V72,高値!U72&gt;高値!W72),16,""))</f>
      </c>
      <c r="AR72" s="684">
        <f>IF(終値!A72="","",IF(AND(高値!V72&gt;高値!U72,高値!V72&gt;高値!T72,高値!V72&gt;高値!W72,高値!V72&gt;高値!X72),17,""))</f>
      </c>
      <c r="AS72" s="684">
        <f>IF(終値!A72="","",IF(AND(高値!W72&gt;高値!V72,高値!W72&gt;高値!U72,高値!W72&gt;高値!X72,高値!W72&gt;高値!Y72),18,""))</f>
      </c>
      <c r="AT72" s="684">
        <f>IF(終値!A72="","",IF(AND(高値!X72&gt;高値!W72,高値!X72&gt;高値!V72,高値!X72&gt;高値!Y72,高値!X72&gt;高値!Z72),19,""))</f>
      </c>
      <c r="AU72" s="684">
        <f>IF(終値!A72="","",IF(AND(高値!Y72&gt;高値!X72,高値!Y72&gt;高値!W72,高値!Y72&gt;高値!Z72,高値!Y72&gt;高値!AA72),20,""))</f>
      </c>
      <c r="AV72" s="684">
        <f>IF(終値!A72="","",IF(AND(高値!Z72&gt;高値!Y72,高値!Z72&gt;高値!X72,高値!Z72&gt;高値!AA72,高値!Z72&gt;高値!AB72),21,""))</f>
      </c>
      <c r="AW72" s="684">
        <f>IF(終値!A72="","",IF(AND(高値!AA72&gt;高値!Z72,高値!AA72&gt;高値!Y72,高値!AA72&gt;高値!AB72,高値!AA72&gt;高値!AC72),22,""))</f>
      </c>
      <c r="AX72" s="684">
        <f>IF(終値!A72="","",IF(AND(高値!AB72&gt;高値!AA72,高値!AB72&gt;高値!Z72,高値!AB72&gt;高値!AC72,高値!AB72&gt;高値!AD72),23,""))</f>
      </c>
      <c r="AY72" s="684">
        <f>IF(終値!A72="","",IF(AND(高値!AC72&gt;高値!AB72,高値!AC72&gt;高値!AA72,高値!AC72&gt;高値!AD72,高値!AC72&gt;高値!AE72),24,""))</f>
      </c>
      <c r="AZ72" s="684">
        <f>IF(終値!A72="","",IF(AND(高値!AD72&gt;高値!AC72,高値!AD72&gt;高値!AB72,高値!AD72&gt;高値!AE72,高値!AD72&gt;高値!AF72),25,""))</f>
      </c>
      <c r="BA72" s="684">
        <f>IF(終値!A72="","",IF(AND(高値!AE72&gt;高値!AD72,高値!AE72&gt;高値!AC72,高値!AE72&gt;高値!AF72,高値!AE72&gt;高値!AG72),26,""))</f>
      </c>
      <c r="BB72" s="684">
        <f>IF(終値!A72="","",IF(AND(高値!AF72&gt;高値!AE72,高値!AF72&gt;高値!AD72,高値!AF72&gt;高値!AG72,高値!AF72&gt;高値!AH72),27,""))</f>
      </c>
      <c r="BC72" s="684">
        <f>IF(終値!A72="","",IF(AND(高値!AG72&gt;高値!AF72,高値!AG72&gt;高値!AE72,高値!AG72&gt;高値!AH72,高値!AG72&gt;高値!AI72),28,""))</f>
      </c>
      <c r="BD72" s="684">
        <f>COUNT($B72:$AB72)</f>
      </c>
      <c r="BE72" s="684">
        <f>IF($BD72&gt;=2,MIN($B72:$AB72),"")</f>
      </c>
      <c r="BF72" s="684">
        <f>IF($BD72&gt;=2,SMALL($B72:$AB72,2),"")</f>
      </c>
      <c r="BG72" s="684">
        <f>IF($BE72="","",INDEX(安値!$E72:$CZ72,1,$BE72+1))</f>
      </c>
      <c r="BH72" s="684">
        <f>IF($BF72="","",INDEX(安値!$E72:$CZ72,1,$BF72+1))</f>
      </c>
      <c r="BI72" s="684">
        <f>IF($BF72="","",MAX(INDEX(高値!$E72:$CZ72,1,$BE72+1):INDEX(高値!$E72:$CZ72,1,$BF72+1)))</f>
      </c>
      <c r="BJ72" s="684">
        <f>IF($BF72="","",AVERAGE(INDEX(終値!$E72:$CZ72,1,$BF72+1):INDEX(終値!$E72:$CZ72,1,$BF72+20))-2*STDEVP(INDEX(終値!$E72:$CZ72,1,$BF72+1):INDEX(終値!$E72:$CZ72,1,$BF72+20)))</f>
      </c>
      <c r="BK72" s="684">
        <f>IF($BE72="","",AVERAGE(INDEX(終値!$E72:$CZ72,1,$BE72+1):INDEX(終値!$E72:$CZ72,1,$BE72+20))-2*STDEVP(INDEX(終値!$E72:$CZ72,1,$BE72+1):INDEX(終値!$E72:$CZ72,1,$BE72+20)))</f>
      </c>
      <c r="BL72" s="684">
        <f>COUNT($AC72:$BC72)</f>
      </c>
      <c r="BM72" s="684">
        <f>IF($BL72&gt;=2,MIN($AC72:$BC72),"")</f>
      </c>
      <c r="BN72" s="684">
        <f>IF($BL72&gt;=2,SMALL($AC72:$BC72,2),"")</f>
      </c>
      <c r="BO72" s="684">
        <f>IF($BM72="","",INDEX(高値!$E72:$CZ72,1,$BM72+1))</f>
      </c>
      <c r="BP72" s="684">
        <f>IF($BN72="","",INDEX(高値!$E72:$CZ72,1,$BN72+1))</f>
      </c>
      <c r="BQ72" s="684">
        <f>IF($BN72="","",MIN(INDEX(安値!$E72:$CZ72,1,$BM72+1):INDEX(安値!$E72:$CZ72,1,$BN72+1)))</f>
      </c>
      <c r="BR72" s="684">
        <f>IF($BN72="","",AVERAGE(INDEX(終値!$E72:$CZ72,1,$BN72+1):INDEX(終値!$E72:$CZ72,1,$BN72+20))+2*STDEVP(INDEX(終値!$E72:$CZ72,1,$BN72+1):INDEX(終値!$E72:$CZ72,1,$BN72+20)))</f>
      </c>
      <c r="BS72" s="684">
        <f>IF($BM72="","",AVERAGE(INDEX(終値!$E72:$CZ72,1,$BM72+1):INDEX(終値!$E72:$CZ72,1,$BM72+20))+2*STDEVP(INDEX(終値!$E72:$CZ72,1,$BM72+1):INDEX(終値!$E72:$CZ72,1,$BM72+20)))</f>
      </c>
      <c r="BT72" s="681">
        <f>IFERROR(IF(AND($BD72&gt;=2,ABS($BG72-$BH72)/$BH72&lt;=BB設定!$B$12,$BI72&gt;=MAX($BH72,$BG72)*(1+BB設定!$B$13),終値!E72&gt;$BG72),IF(OR(終値!E72&gt;=$BI72,AND($BH72&lt;$BJ72,$BG72&gt;=$BK72)),"二番底W▲","二番底W形成"),IF(AND($BL72&gt;=2,ABS($BO72-$BP72)/$BP72&lt;=BB設定!$B$12,$BQ72&lt;=MIN($BP72,$BO72)*(1-BB設定!$B$13),終値!E72&lt;$BO72),IF(OR(終値!E72&lt;=$BQ72,AND($BP72&gt;$BR72,$BO72&lt;=$BS72)),"二番天井M▼","二番天井M形成"),"－")),"－")</f>
      </c>
    </row>
    <row r="73">
      <c r="B73" s="684">
        <f>IF(終値!A73="","",IF(AND(安値!G73&lt;安値!F73,安値!G73&lt;安値!E73,安値!G73&lt;安値!H73,安値!G73&lt;安値!I73),2,""))</f>
      </c>
      <c r="C73" s="684">
        <f>IF(終値!A73="","",IF(AND(安値!H73&lt;安値!G73,安値!H73&lt;安値!F73,安値!H73&lt;安値!I73,安値!H73&lt;安値!J73),3,""))</f>
      </c>
      <c r="D73" s="684">
        <f>IF(終値!A73="","",IF(AND(安値!I73&lt;安値!H73,安値!I73&lt;安値!G73,安値!I73&lt;安値!J73,安値!I73&lt;安値!K73),4,""))</f>
      </c>
      <c r="E73" s="684">
        <f>IF(終値!A73="","",IF(AND(安値!J73&lt;安値!I73,安値!J73&lt;安値!H73,安値!J73&lt;安値!K73,安値!J73&lt;安値!L73),5,""))</f>
      </c>
      <c r="F73" s="684">
        <f>IF(終値!A73="","",IF(AND(安値!K73&lt;安値!J73,安値!K73&lt;安値!I73,安値!K73&lt;安値!L73,安値!K73&lt;安値!M73),6,""))</f>
      </c>
      <c r="G73" s="684">
        <f>IF(終値!A73="","",IF(AND(安値!L73&lt;安値!K73,安値!L73&lt;安値!J73,安値!L73&lt;安値!M73,安値!L73&lt;安値!N73),7,""))</f>
      </c>
      <c r="H73" s="684">
        <f>IF(終値!A73="","",IF(AND(安値!M73&lt;安値!L73,安値!M73&lt;安値!K73,安値!M73&lt;安値!N73,安値!M73&lt;安値!O73),8,""))</f>
      </c>
      <c r="I73" s="684">
        <f>IF(終値!A73="","",IF(AND(安値!N73&lt;安値!M73,安値!N73&lt;安値!L73,安値!N73&lt;安値!O73,安値!N73&lt;安値!P73),9,""))</f>
      </c>
      <c r="J73" s="684">
        <f>IF(終値!A73="","",IF(AND(安値!O73&lt;安値!N73,安値!O73&lt;安値!M73,安値!O73&lt;安値!P73,安値!O73&lt;安値!Q73),10,""))</f>
      </c>
      <c r="K73" s="684">
        <f>IF(終値!A73="","",IF(AND(安値!P73&lt;安値!O73,安値!P73&lt;安値!N73,安値!P73&lt;安値!Q73,安値!P73&lt;安値!R73),11,""))</f>
      </c>
      <c r="L73" s="684">
        <f>IF(終値!A73="","",IF(AND(安値!Q73&lt;安値!P73,安値!Q73&lt;安値!O73,安値!Q73&lt;安値!R73,安値!Q73&lt;安値!S73),12,""))</f>
      </c>
      <c r="M73" s="684">
        <f>IF(終値!A73="","",IF(AND(安値!R73&lt;安値!Q73,安値!R73&lt;安値!P73,安値!R73&lt;安値!S73,安値!R73&lt;安値!T73),13,""))</f>
      </c>
      <c r="N73" s="684">
        <f>IF(終値!A73="","",IF(AND(安値!S73&lt;安値!R73,安値!S73&lt;安値!Q73,安値!S73&lt;安値!T73,安値!S73&lt;安値!U73),14,""))</f>
      </c>
      <c r="O73" s="684">
        <f>IF(終値!A73="","",IF(AND(安値!T73&lt;安値!S73,安値!T73&lt;安値!R73,安値!T73&lt;安値!U73,安値!T73&lt;安値!V73),15,""))</f>
      </c>
      <c r="P73" s="684">
        <f>IF(終値!A73="","",IF(AND(安値!U73&lt;安値!T73,安値!U73&lt;安値!S73,安値!U73&lt;安値!V73,安値!U73&lt;安値!W73),16,""))</f>
      </c>
      <c r="Q73" s="684">
        <f>IF(終値!A73="","",IF(AND(安値!V73&lt;安値!U73,安値!V73&lt;安値!T73,安値!V73&lt;安値!W73,安値!V73&lt;安値!X73),17,""))</f>
      </c>
      <c r="R73" s="684">
        <f>IF(終値!A73="","",IF(AND(安値!W73&lt;安値!V73,安値!W73&lt;安値!U73,安値!W73&lt;安値!X73,安値!W73&lt;安値!Y73),18,""))</f>
      </c>
      <c r="S73" s="684">
        <f>IF(終値!A73="","",IF(AND(安値!X73&lt;安値!W73,安値!X73&lt;安値!V73,安値!X73&lt;安値!Y73,安値!X73&lt;安値!Z73),19,""))</f>
      </c>
      <c r="T73" s="684">
        <f>IF(終値!A73="","",IF(AND(安値!Y73&lt;安値!X73,安値!Y73&lt;安値!W73,安値!Y73&lt;安値!Z73,安値!Y73&lt;安値!AA73),20,""))</f>
      </c>
      <c r="U73" s="684">
        <f>IF(終値!A73="","",IF(AND(安値!Z73&lt;安値!Y73,安値!Z73&lt;安値!X73,安値!Z73&lt;安値!AA73,安値!Z73&lt;安値!AB73),21,""))</f>
      </c>
      <c r="V73" s="684">
        <f>IF(終値!A73="","",IF(AND(安値!AA73&lt;安値!Z73,安値!AA73&lt;安値!Y73,安値!AA73&lt;安値!AB73,安値!AA73&lt;安値!AC73),22,""))</f>
      </c>
      <c r="W73" s="684">
        <f>IF(終値!A73="","",IF(AND(安値!AB73&lt;安値!AA73,安値!AB73&lt;安値!Z73,安値!AB73&lt;安値!AC73,安値!AB73&lt;安値!AD73),23,""))</f>
      </c>
      <c r="X73" s="684">
        <f>IF(終値!A73="","",IF(AND(安値!AC73&lt;安値!AB73,安値!AC73&lt;安値!AA73,安値!AC73&lt;安値!AD73,安値!AC73&lt;安値!AE73),24,""))</f>
      </c>
      <c r="Y73" s="684">
        <f>IF(終値!A73="","",IF(AND(安値!AD73&lt;安値!AC73,安値!AD73&lt;安値!AB73,安値!AD73&lt;安値!AE73,安値!AD73&lt;安値!AF73),25,""))</f>
      </c>
      <c r="Z73" s="684">
        <f>IF(終値!A73="","",IF(AND(安値!AE73&lt;安値!AD73,安値!AE73&lt;安値!AC73,安値!AE73&lt;安値!AF73,安値!AE73&lt;安値!AG73),26,""))</f>
      </c>
      <c r="AA73" s="684">
        <f>IF(終値!A73="","",IF(AND(安値!AF73&lt;安値!AE73,安値!AF73&lt;安値!AD73,安値!AF73&lt;安値!AG73,安値!AF73&lt;安値!AH73),27,""))</f>
      </c>
      <c r="AB73" s="684">
        <f>IF(終値!A73="","",IF(AND(安値!AG73&lt;安値!AF73,安値!AG73&lt;安値!AE73,安値!AG73&lt;安値!AH73,安値!AG73&lt;安値!AI73),28,""))</f>
      </c>
      <c r="AC73" s="684">
        <f>IF(終値!A73="","",IF(AND(高値!G73&gt;高値!F73,高値!G73&gt;高値!E73,高値!G73&gt;高値!H73,高値!G73&gt;高値!I73),2,""))</f>
      </c>
      <c r="AD73" s="684">
        <f>IF(終値!A73="","",IF(AND(高値!H73&gt;高値!G73,高値!H73&gt;高値!F73,高値!H73&gt;高値!I73,高値!H73&gt;高値!J73),3,""))</f>
      </c>
      <c r="AE73" s="684">
        <f>IF(終値!A73="","",IF(AND(高値!I73&gt;高値!H73,高値!I73&gt;高値!G73,高値!I73&gt;高値!J73,高値!I73&gt;高値!K73),4,""))</f>
      </c>
      <c r="AF73" s="684">
        <f>IF(終値!A73="","",IF(AND(高値!J73&gt;高値!I73,高値!J73&gt;高値!H73,高値!J73&gt;高値!K73,高値!J73&gt;高値!L73),5,""))</f>
      </c>
      <c r="AG73" s="684">
        <f>IF(終値!A73="","",IF(AND(高値!K73&gt;高値!J73,高値!K73&gt;高値!I73,高値!K73&gt;高値!L73,高値!K73&gt;高値!M73),6,""))</f>
      </c>
      <c r="AH73" s="684">
        <f>IF(終値!A73="","",IF(AND(高値!L73&gt;高値!K73,高値!L73&gt;高値!J73,高値!L73&gt;高値!M73,高値!L73&gt;高値!N73),7,""))</f>
      </c>
      <c r="AI73" s="684">
        <f>IF(終値!A73="","",IF(AND(高値!M73&gt;高値!L73,高値!M73&gt;高値!K73,高値!M73&gt;高値!N73,高値!M73&gt;高値!O73),8,""))</f>
      </c>
      <c r="AJ73" s="684">
        <f>IF(終値!A73="","",IF(AND(高値!N73&gt;高値!M73,高値!N73&gt;高値!L73,高値!N73&gt;高値!O73,高値!N73&gt;高値!P73),9,""))</f>
      </c>
      <c r="AK73" s="684">
        <f>IF(終値!A73="","",IF(AND(高値!O73&gt;高値!N73,高値!O73&gt;高値!M73,高値!O73&gt;高値!P73,高値!O73&gt;高値!Q73),10,""))</f>
      </c>
      <c r="AL73" s="684">
        <f>IF(終値!A73="","",IF(AND(高値!P73&gt;高値!O73,高値!P73&gt;高値!N73,高値!P73&gt;高値!Q73,高値!P73&gt;高値!R73),11,""))</f>
      </c>
      <c r="AM73" s="684">
        <f>IF(終値!A73="","",IF(AND(高値!Q73&gt;高値!P73,高値!Q73&gt;高値!O73,高値!Q73&gt;高値!R73,高値!Q73&gt;高値!S73),12,""))</f>
      </c>
      <c r="AN73" s="684">
        <f>IF(終値!A73="","",IF(AND(高値!R73&gt;高値!Q73,高値!R73&gt;高値!P73,高値!R73&gt;高値!S73,高値!R73&gt;高値!T73),13,""))</f>
      </c>
      <c r="AO73" s="684">
        <f>IF(終値!A73="","",IF(AND(高値!S73&gt;高値!R73,高値!S73&gt;高値!Q73,高値!S73&gt;高値!T73,高値!S73&gt;高値!U73),14,""))</f>
      </c>
      <c r="AP73" s="684">
        <f>IF(終値!A73="","",IF(AND(高値!T73&gt;高値!S73,高値!T73&gt;高値!R73,高値!T73&gt;高値!U73,高値!T73&gt;高値!V73),15,""))</f>
      </c>
      <c r="AQ73" s="684">
        <f>IF(終値!A73="","",IF(AND(高値!U73&gt;高値!T73,高値!U73&gt;高値!S73,高値!U73&gt;高値!V73,高値!U73&gt;高値!W73),16,""))</f>
      </c>
      <c r="AR73" s="684">
        <f>IF(終値!A73="","",IF(AND(高値!V73&gt;高値!U73,高値!V73&gt;高値!T73,高値!V73&gt;高値!W73,高値!V73&gt;高値!X73),17,""))</f>
      </c>
      <c r="AS73" s="684">
        <f>IF(終値!A73="","",IF(AND(高値!W73&gt;高値!V73,高値!W73&gt;高値!U73,高値!W73&gt;高値!X73,高値!W73&gt;高値!Y73),18,""))</f>
      </c>
      <c r="AT73" s="684">
        <f>IF(終値!A73="","",IF(AND(高値!X73&gt;高値!W73,高値!X73&gt;高値!V73,高値!X73&gt;高値!Y73,高値!X73&gt;高値!Z73),19,""))</f>
      </c>
      <c r="AU73" s="684">
        <f>IF(終値!A73="","",IF(AND(高値!Y73&gt;高値!X73,高値!Y73&gt;高値!W73,高値!Y73&gt;高値!Z73,高値!Y73&gt;高値!AA73),20,""))</f>
      </c>
      <c r="AV73" s="684">
        <f>IF(終値!A73="","",IF(AND(高値!Z73&gt;高値!Y73,高値!Z73&gt;高値!X73,高値!Z73&gt;高値!AA73,高値!Z73&gt;高値!AB73),21,""))</f>
      </c>
      <c r="AW73" s="684">
        <f>IF(終値!A73="","",IF(AND(高値!AA73&gt;高値!Z73,高値!AA73&gt;高値!Y73,高値!AA73&gt;高値!AB73,高値!AA73&gt;高値!AC73),22,""))</f>
      </c>
      <c r="AX73" s="684">
        <f>IF(終値!A73="","",IF(AND(高値!AB73&gt;高値!AA73,高値!AB73&gt;高値!Z73,高値!AB73&gt;高値!AC73,高値!AB73&gt;高値!AD73),23,""))</f>
      </c>
      <c r="AY73" s="684">
        <f>IF(終値!A73="","",IF(AND(高値!AC73&gt;高値!AB73,高値!AC73&gt;高値!AA73,高値!AC73&gt;高値!AD73,高値!AC73&gt;高値!AE73),24,""))</f>
      </c>
      <c r="AZ73" s="684">
        <f>IF(終値!A73="","",IF(AND(高値!AD73&gt;高値!AC73,高値!AD73&gt;高値!AB73,高値!AD73&gt;高値!AE73,高値!AD73&gt;高値!AF73),25,""))</f>
      </c>
      <c r="BA73" s="684">
        <f>IF(終値!A73="","",IF(AND(高値!AE73&gt;高値!AD73,高値!AE73&gt;高値!AC73,高値!AE73&gt;高値!AF73,高値!AE73&gt;高値!AG73),26,""))</f>
      </c>
      <c r="BB73" s="684">
        <f>IF(終値!A73="","",IF(AND(高値!AF73&gt;高値!AE73,高値!AF73&gt;高値!AD73,高値!AF73&gt;高値!AG73,高値!AF73&gt;高値!AH73),27,""))</f>
      </c>
      <c r="BC73" s="684">
        <f>IF(終値!A73="","",IF(AND(高値!AG73&gt;高値!AF73,高値!AG73&gt;高値!AE73,高値!AG73&gt;高値!AH73,高値!AG73&gt;高値!AI73),28,""))</f>
      </c>
      <c r="BD73" s="684">
        <f>COUNT($B73:$AB73)</f>
      </c>
      <c r="BE73" s="684">
        <f>IF($BD73&gt;=2,MIN($B73:$AB73),"")</f>
      </c>
      <c r="BF73" s="684">
        <f>IF($BD73&gt;=2,SMALL($B73:$AB73,2),"")</f>
      </c>
      <c r="BG73" s="684">
        <f>IF($BE73="","",INDEX(安値!$E73:$CZ73,1,$BE73+1))</f>
      </c>
      <c r="BH73" s="684">
        <f>IF($BF73="","",INDEX(安値!$E73:$CZ73,1,$BF73+1))</f>
      </c>
      <c r="BI73" s="684">
        <f>IF($BF73="","",MAX(INDEX(高値!$E73:$CZ73,1,$BE73+1):INDEX(高値!$E73:$CZ73,1,$BF73+1)))</f>
      </c>
      <c r="BJ73" s="684">
        <f>IF($BF73="","",AVERAGE(INDEX(終値!$E73:$CZ73,1,$BF73+1):INDEX(終値!$E73:$CZ73,1,$BF73+20))-2*STDEVP(INDEX(終値!$E73:$CZ73,1,$BF73+1):INDEX(終値!$E73:$CZ73,1,$BF73+20)))</f>
      </c>
      <c r="BK73" s="684">
        <f>IF($BE73="","",AVERAGE(INDEX(終値!$E73:$CZ73,1,$BE73+1):INDEX(終値!$E73:$CZ73,1,$BE73+20))-2*STDEVP(INDEX(終値!$E73:$CZ73,1,$BE73+1):INDEX(終値!$E73:$CZ73,1,$BE73+20)))</f>
      </c>
      <c r="BL73" s="684">
        <f>COUNT($AC73:$BC73)</f>
      </c>
      <c r="BM73" s="684">
        <f>IF($BL73&gt;=2,MIN($AC73:$BC73),"")</f>
      </c>
      <c r="BN73" s="684">
        <f>IF($BL73&gt;=2,SMALL($AC73:$BC73,2),"")</f>
      </c>
      <c r="BO73" s="684">
        <f>IF($BM73="","",INDEX(高値!$E73:$CZ73,1,$BM73+1))</f>
      </c>
      <c r="BP73" s="684">
        <f>IF($BN73="","",INDEX(高値!$E73:$CZ73,1,$BN73+1))</f>
      </c>
      <c r="BQ73" s="684">
        <f>IF($BN73="","",MIN(INDEX(安値!$E73:$CZ73,1,$BM73+1):INDEX(安値!$E73:$CZ73,1,$BN73+1)))</f>
      </c>
      <c r="BR73" s="684">
        <f>IF($BN73="","",AVERAGE(INDEX(終値!$E73:$CZ73,1,$BN73+1):INDEX(終値!$E73:$CZ73,1,$BN73+20))+2*STDEVP(INDEX(終値!$E73:$CZ73,1,$BN73+1):INDEX(終値!$E73:$CZ73,1,$BN73+20)))</f>
      </c>
      <c r="BS73" s="684">
        <f>IF($BM73="","",AVERAGE(INDEX(終値!$E73:$CZ73,1,$BM73+1):INDEX(終値!$E73:$CZ73,1,$BM73+20))+2*STDEVP(INDEX(終値!$E73:$CZ73,1,$BM73+1):INDEX(終値!$E73:$CZ73,1,$BM73+20)))</f>
      </c>
      <c r="BT73" s="681">
        <f>IFERROR(IF(AND($BD73&gt;=2,ABS($BG73-$BH73)/$BH73&lt;=BB設定!$B$12,$BI73&gt;=MAX($BH73,$BG73)*(1+BB設定!$B$13),終値!E73&gt;$BG73),IF(OR(終値!E73&gt;=$BI73,AND($BH73&lt;$BJ73,$BG73&gt;=$BK73)),"二番底W▲","二番底W形成"),IF(AND($BL73&gt;=2,ABS($BO73-$BP73)/$BP73&lt;=BB設定!$B$12,$BQ73&lt;=MIN($BP73,$BO73)*(1-BB設定!$B$13),終値!E73&lt;$BO73),IF(OR(終値!E73&lt;=$BQ73,AND($BP73&gt;$BR73,$BO73&lt;=$BS73)),"二番天井M▼","二番天井M形成"),"－")),"－")</f>
      </c>
    </row>
    <row r="74">
      <c r="B74" s="684">
        <f>IF(終値!A74="","",IF(AND(安値!G74&lt;安値!F74,安値!G74&lt;安値!E74,安値!G74&lt;安値!H74,安値!G74&lt;安値!I74),2,""))</f>
      </c>
      <c r="C74" s="684">
        <f>IF(終値!A74="","",IF(AND(安値!H74&lt;安値!G74,安値!H74&lt;安値!F74,安値!H74&lt;安値!I74,安値!H74&lt;安値!J74),3,""))</f>
      </c>
      <c r="D74" s="684">
        <f>IF(終値!A74="","",IF(AND(安値!I74&lt;安値!H74,安値!I74&lt;安値!G74,安値!I74&lt;安値!J74,安値!I74&lt;安値!K74),4,""))</f>
      </c>
      <c r="E74" s="684">
        <f>IF(終値!A74="","",IF(AND(安値!J74&lt;安値!I74,安値!J74&lt;安値!H74,安値!J74&lt;安値!K74,安値!J74&lt;安値!L74),5,""))</f>
      </c>
      <c r="F74" s="684">
        <f>IF(終値!A74="","",IF(AND(安値!K74&lt;安値!J74,安値!K74&lt;安値!I74,安値!K74&lt;安値!L74,安値!K74&lt;安値!M74),6,""))</f>
      </c>
      <c r="G74" s="684">
        <f>IF(終値!A74="","",IF(AND(安値!L74&lt;安値!K74,安値!L74&lt;安値!J74,安値!L74&lt;安値!M74,安値!L74&lt;安値!N74),7,""))</f>
      </c>
      <c r="H74" s="684">
        <f>IF(終値!A74="","",IF(AND(安値!M74&lt;安値!L74,安値!M74&lt;安値!K74,安値!M74&lt;安値!N74,安値!M74&lt;安値!O74),8,""))</f>
      </c>
      <c r="I74" s="684">
        <f>IF(終値!A74="","",IF(AND(安値!N74&lt;安値!M74,安値!N74&lt;安値!L74,安値!N74&lt;安値!O74,安値!N74&lt;安値!P74),9,""))</f>
      </c>
      <c r="J74" s="684">
        <f>IF(終値!A74="","",IF(AND(安値!O74&lt;安値!N74,安値!O74&lt;安値!M74,安値!O74&lt;安値!P74,安値!O74&lt;安値!Q74),10,""))</f>
      </c>
      <c r="K74" s="684">
        <f>IF(終値!A74="","",IF(AND(安値!P74&lt;安値!O74,安値!P74&lt;安値!N74,安値!P74&lt;安値!Q74,安値!P74&lt;安値!R74),11,""))</f>
      </c>
      <c r="L74" s="684">
        <f>IF(終値!A74="","",IF(AND(安値!Q74&lt;安値!P74,安値!Q74&lt;安値!O74,安値!Q74&lt;安値!R74,安値!Q74&lt;安値!S74),12,""))</f>
      </c>
      <c r="M74" s="684">
        <f>IF(終値!A74="","",IF(AND(安値!R74&lt;安値!Q74,安値!R74&lt;安値!P74,安値!R74&lt;安値!S74,安値!R74&lt;安値!T74),13,""))</f>
      </c>
      <c r="N74" s="684">
        <f>IF(終値!A74="","",IF(AND(安値!S74&lt;安値!R74,安値!S74&lt;安値!Q74,安値!S74&lt;安値!T74,安値!S74&lt;安値!U74),14,""))</f>
      </c>
      <c r="O74" s="684">
        <f>IF(終値!A74="","",IF(AND(安値!T74&lt;安値!S74,安値!T74&lt;安値!R74,安値!T74&lt;安値!U74,安値!T74&lt;安値!V74),15,""))</f>
      </c>
      <c r="P74" s="684">
        <f>IF(終値!A74="","",IF(AND(安値!U74&lt;安値!T74,安値!U74&lt;安値!S74,安値!U74&lt;安値!V74,安値!U74&lt;安値!W74),16,""))</f>
      </c>
      <c r="Q74" s="684">
        <f>IF(終値!A74="","",IF(AND(安値!V74&lt;安値!U74,安値!V74&lt;安値!T74,安値!V74&lt;安値!W74,安値!V74&lt;安値!X74),17,""))</f>
      </c>
      <c r="R74" s="684">
        <f>IF(終値!A74="","",IF(AND(安値!W74&lt;安値!V74,安値!W74&lt;安値!U74,安値!W74&lt;安値!X74,安値!W74&lt;安値!Y74),18,""))</f>
      </c>
      <c r="S74" s="684">
        <f>IF(終値!A74="","",IF(AND(安値!X74&lt;安値!W74,安値!X74&lt;安値!V74,安値!X74&lt;安値!Y74,安値!X74&lt;安値!Z74),19,""))</f>
      </c>
      <c r="T74" s="684">
        <f>IF(終値!A74="","",IF(AND(安値!Y74&lt;安値!X74,安値!Y74&lt;安値!W74,安値!Y74&lt;安値!Z74,安値!Y74&lt;安値!AA74),20,""))</f>
      </c>
      <c r="U74" s="684">
        <f>IF(終値!A74="","",IF(AND(安値!Z74&lt;安値!Y74,安値!Z74&lt;安値!X74,安値!Z74&lt;安値!AA74,安値!Z74&lt;安値!AB74),21,""))</f>
      </c>
      <c r="V74" s="684">
        <f>IF(終値!A74="","",IF(AND(安値!AA74&lt;安値!Z74,安値!AA74&lt;安値!Y74,安値!AA74&lt;安値!AB74,安値!AA74&lt;安値!AC74),22,""))</f>
      </c>
      <c r="W74" s="684">
        <f>IF(終値!A74="","",IF(AND(安値!AB74&lt;安値!AA74,安値!AB74&lt;安値!Z74,安値!AB74&lt;安値!AC74,安値!AB74&lt;安値!AD74),23,""))</f>
      </c>
      <c r="X74" s="684">
        <f>IF(終値!A74="","",IF(AND(安値!AC74&lt;安値!AB74,安値!AC74&lt;安値!AA74,安値!AC74&lt;安値!AD74,安値!AC74&lt;安値!AE74),24,""))</f>
      </c>
      <c r="Y74" s="684">
        <f>IF(終値!A74="","",IF(AND(安値!AD74&lt;安値!AC74,安値!AD74&lt;安値!AB74,安値!AD74&lt;安値!AE74,安値!AD74&lt;安値!AF74),25,""))</f>
      </c>
      <c r="Z74" s="684">
        <f>IF(終値!A74="","",IF(AND(安値!AE74&lt;安値!AD74,安値!AE74&lt;安値!AC74,安値!AE74&lt;安値!AF74,安値!AE74&lt;安値!AG74),26,""))</f>
      </c>
      <c r="AA74" s="684">
        <f>IF(終値!A74="","",IF(AND(安値!AF74&lt;安値!AE74,安値!AF74&lt;安値!AD74,安値!AF74&lt;安値!AG74,安値!AF74&lt;安値!AH74),27,""))</f>
      </c>
      <c r="AB74" s="684">
        <f>IF(終値!A74="","",IF(AND(安値!AG74&lt;安値!AF74,安値!AG74&lt;安値!AE74,安値!AG74&lt;安値!AH74,安値!AG74&lt;安値!AI74),28,""))</f>
      </c>
      <c r="AC74" s="684">
        <f>IF(終値!A74="","",IF(AND(高値!G74&gt;高値!F74,高値!G74&gt;高値!E74,高値!G74&gt;高値!H74,高値!G74&gt;高値!I74),2,""))</f>
      </c>
      <c r="AD74" s="684">
        <f>IF(終値!A74="","",IF(AND(高値!H74&gt;高値!G74,高値!H74&gt;高値!F74,高値!H74&gt;高値!I74,高値!H74&gt;高値!J74),3,""))</f>
      </c>
      <c r="AE74" s="684">
        <f>IF(終値!A74="","",IF(AND(高値!I74&gt;高値!H74,高値!I74&gt;高値!G74,高値!I74&gt;高値!J74,高値!I74&gt;高値!K74),4,""))</f>
      </c>
      <c r="AF74" s="684">
        <f>IF(終値!A74="","",IF(AND(高値!J74&gt;高値!I74,高値!J74&gt;高値!H74,高値!J74&gt;高値!K74,高値!J74&gt;高値!L74),5,""))</f>
      </c>
      <c r="AG74" s="684">
        <f>IF(終値!A74="","",IF(AND(高値!K74&gt;高値!J74,高値!K74&gt;高値!I74,高値!K74&gt;高値!L74,高値!K74&gt;高値!M74),6,""))</f>
      </c>
      <c r="AH74" s="684">
        <f>IF(終値!A74="","",IF(AND(高値!L74&gt;高値!K74,高値!L74&gt;高値!J74,高値!L74&gt;高値!M74,高値!L74&gt;高値!N74),7,""))</f>
      </c>
      <c r="AI74" s="684">
        <f>IF(終値!A74="","",IF(AND(高値!M74&gt;高値!L74,高値!M74&gt;高値!K74,高値!M74&gt;高値!N74,高値!M74&gt;高値!O74),8,""))</f>
      </c>
      <c r="AJ74" s="684">
        <f>IF(終値!A74="","",IF(AND(高値!N74&gt;高値!M74,高値!N74&gt;高値!L74,高値!N74&gt;高値!O74,高値!N74&gt;高値!P74),9,""))</f>
      </c>
      <c r="AK74" s="684">
        <f>IF(終値!A74="","",IF(AND(高値!O74&gt;高値!N74,高値!O74&gt;高値!M74,高値!O74&gt;高値!P74,高値!O74&gt;高値!Q74),10,""))</f>
      </c>
      <c r="AL74" s="684">
        <f>IF(終値!A74="","",IF(AND(高値!P74&gt;高値!O74,高値!P74&gt;高値!N74,高値!P74&gt;高値!Q74,高値!P74&gt;高値!R74),11,""))</f>
      </c>
      <c r="AM74" s="684">
        <f>IF(終値!A74="","",IF(AND(高値!Q74&gt;高値!P74,高値!Q74&gt;高値!O74,高値!Q74&gt;高値!R74,高値!Q74&gt;高値!S74),12,""))</f>
      </c>
      <c r="AN74" s="684">
        <f>IF(終値!A74="","",IF(AND(高値!R74&gt;高値!Q74,高値!R74&gt;高値!P74,高値!R74&gt;高値!S74,高値!R74&gt;高値!T74),13,""))</f>
      </c>
      <c r="AO74" s="684">
        <f>IF(終値!A74="","",IF(AND(高値!S74&gt;高値!R74,高値!S74&gt;高値!Q74,高値!S74&gt;高値!T74,高値!S74&gt;高値!U74),14,""))</f>
      </c>
      <c r="AP74" s="684">
        <f>IF(終値!A74="","",IF(AND(高値!T74&gt;高値!S74,高値!T74&gt;高値!R74,高値!T74&gt;高値!U74,高値!T74&gt;高値!V74),15,""))</f>
      </c>
      <c r="AQ74" s="684">
        <f>IF(終値!A74="","",IF(AND(高値!U74&gt;高値!T74,高値!U74&gt;高値!S74,高値!U74&gt;高値!V74,高値!U74&gt;高値!W74),16,""))</f>
      </c>
      <c r="AR74" s="684">
        <f>IF(終値!A74="","",IF(AND(高値!V74&gt;高値!U74,高値!V74&gt;高値!T74,高値!V74&gt;高値!W74,高値!V74&gt;高値!X74),17,""))</f>
      </c>
      <c r="AS74" s="684">
        <f>IF(終値!A74="","",IF(AND(高値!W74&gt;高値!V74,高値!W74&gt;高値!U74,高値!W74&gt;高値!X74,高値!W74&gt;高値!Y74),18,""))</f>
      </c>
      <c r="AT74" s="684">
        <f>IF(終値!A74="","",IF(AND(高値!X74&gt;高値!W74,高値!X74&gt;高値!V74,高値!X74&gt;高値!Y74,高値!X74&gt;高値!Z74),19,""))</f>
      </c>
      <c r="AU74" s="684">
        <f>IF(終値!A74="","",IF(AND(高値!Y74&gt;高値!X74,高値!Y74&gt;高値!W74,高値!Y74&gt;高値!Z74,高値!Y74&gt;高値!AA74),20,""))</f>
      </c>
      <c r="AV74" s="684">
        <f>IF(終値!A74="","",IF(AND(高値!Z74&gt;高値!Y74,高値!Z74&gt;高値!X74,高値!Z74&gt;高値!AA74,高値!Z74&gt;高値!AB74),21,""))</f>
      </c>
      <c r="AW74" s="684">
        <f>IF(終値!A74="","",IF(AND(高値!AA74&gt;高値!Z74,高値!AA74&gt;高値!Y74,高値!AA74&gt;高値!AB74,高値!AA74&gt;高値!AC74),22,""))</f>
      </c>
      <c r="AX74" s="684">
        <f>IF(終値!A74="","",IF(AND(高値!AB74&gt;高値!AA74,高値!AB74&gt;高値!Z74,高値!AB74&gt;高値!AC74,高値!AB74&gt;高値!AD74),23,""))</f>
      </c>
      <c r="AY74" s="684">
        <f>IF(終値!A74="","",IF(AND(高値!AC74&gt;高値!AB74,高値!AC74&gt;高値!AA74,高値!AC74&gt;高値!AD74,高値!AC74&gt;高値!AE74),24,""))</f>
      </c>
      <c r="AZ74" s="684">
        <f>IF(終値!A74="","",IF(AND(高値!AD74&gt;高値!AC74,高値!AD74&gt;高値!AB74,高値!AD74&gt;高値!AE74,高値!AD74&gt;高値!AF74),25,""))</f>
      </c>
      <c r="BA74" s="684">
        <f>IF(終値!A74="","",IF(AND(高値!AE74&gt;高値!AD74,高値!AE74&gt;高値!AC74,高値!AE74&gt;高値!AF74,高値!AE74&gt;高値!AG74),26,""))</f>
      </c>
      <c r="BB74" s="684">
        <f>IF(終値!A74="","",IF(AND(高値!AF74&gt;高値!AE74,高値!AF74&gt;高値!AD74,高値!AF74&gt;高値!AG74,高値!AF74&gt;高値!AH74),27,""))</f>
      </c>
      <c r="BC74" s="684">
        <f>IF(終値!A74="","",IF(AND(高値!AG74&gt;高値!AF74,高値!AG74&gt;高値!AE74,高値!AG74&gt;高値!AH74,高値!AG74&gt;高値!AI74),28,""))</f>
      </c>
      <c r="BD74" s="684">
        <f>COUNT($B74:$AB74)</f>
      </c>
      <c r="BE74" s="684">
        <f>IF($BD74&gt;=2,MIN($B74:$AB74),"")</f>
      </c>
      <c r="BF74" s="684">
        <f>IF($BD74&gt;=2,SMALL($B74:$AB74,2),"")</f>
      </c>
      <c r="BG74" s="684">
        <f>IF($BE74="","",INDEX(安値!$E74:$CZ74,1,$BE74+1))</f>
      </c>
      <c r="BH74" s="684">
        <f>IF($BF74="","",INDEX(安値!$E74:$CZ74,1,$BF74+1))</f>
      </c>
      <c r="BI74" s="684">
        <f>IF($BF74="","",MAX(INDEX(高値!$E74:$CZ74,1,$BE74+1):INDEX(高値!$E74:$CZ74,1,$BF74+1)))</f>
      </c>
      <c r="BJ74" s="684">
        <f>IF($BF74="","",AVERAGE(INDEX(終値!$E74:$CZ74,1,$BF74+1):INDEX(終値!$E74:$CZ74,1,$BF74+20))-2*STDEVP(INDEX(終値!$E74:$CZ74,1,$BF74+1):INDEX(終値!$E74:$CZ74,1,$BF74+20)))</f>
      </c>
      <c r="BK74" s="684">
        <f>IF($BE74="","",AVERAGE(INDEX(終値!$E74:$CZ74,1,$BE74+1):INDEX(終値!$E74:$CZ74,1,$BE74+20))-2*STDEVP(INDEX(終値!$E74:$CZ74,1,$BE74+1):INDEX(終値!$E74:$CZ74,1,$BE74+20)))</f>
      </c>
      <c r="BL74" s="684">
        <f>COUNT($AC74:$BC74)</f>
      </c>
      <c r="BM74" s="684">
        <f>IF($BL74&gt;=2,MIN($AC74:$BC74),"")</f>
      </c>
      <c r="BN74" s="684">
        <f>IF($BL74&gt;=2,SMALL($AC74:$BC74,2),"")</f>
      </c>
      <c r="BO74" s="684">
        <f>IF($BM74="","",INDEX(高値!$E74:$CZ74,1,$BM74+1))</f>
      </c>
      <c r="BP74" s="684">
        <f>IF($BN74="","",INDEX(高値!$E74:$CZ74,1,$BN74+1))</f>
      </c>
      <c r="BQ74" s="684">
        <f>IF($BN74="","",MIN(INDEX(安値!$E74:$CZ74,1,$BM74+1):INDEX(安値!$E74:$CZ74,1,$BN74+1)))</f>
      </c>
      <c r="BR74" s="684">
        <f>IF($BN74="","",AVERAGE(INDEX(終値!$E74:$CZ74,1,$BN74+1):INDEX(終値!$E74:$CZ74,1,$BN74+20))+2*STDEVP(INDEX(終値!$E74:$CZ74,1,$BN74+1):INDEX(終値!$E74:$CZ74,1,$BN74+20)))</f>
      </c>
      <c r="BS74" s="684">
        <f>IF($BM74="","",AVERAGE(INDEX(終値!$E74:$CZ74,1,$BM74+1):INDEX(終値!$E74:$CZ74,1,$BM74+20))+2*STDEVP(INDEX(終値!$E74:$CZ74,1,$BM74+1):INDEX(終値!$E74:$CZ74,1,$BM74+20)))</f>
      </c>
      <c r="BT74" s="681">
        <f>IFERROR(IF(AND($BD74&gt;=2,ABS($BG74-$BH74)/$BH74&lt;=BB設定!$B$12,$BI74&gt;=MAX($BH74,$BG74)*(1+BB設定!$B$13),終値!E74&gt;$BG74),IF(OR(終値!E74&gt;=$BI74,AND($BH74&lt;$BJ74,$BG74&gt;=$BK74)),"二番底W▲","二番底W形成"),IF(AND($BL74&gt;=2,ABS($BO74-$BP74)/$BP74&lt;=BB設定!$B$12,$BQ74&lt;=MIN($BP74,$BO74)*(1-BB設定!$B$13),終値!E74&lt;$BO74),IF(OR(終値!E74&lt;=$BQ74,AND($BP74&gt;$BR74,$BO74&lt;=$BS74)),"二番天井M▼","二番天井M形成"),"－")),"－")</f>
      </c>
    </row>
    <row r="75">
      <c r="B75" s="684">
        <f>IF(終値!A75="","",IF(AND(安値!G75&lt;安値!F75,安値!G75&lt;安値!E75,安値!G75&lt;安値!H75,安値!G75&lt;安値!I75),2,""))</f>
      </c>
      <c r="C75" s="684">
        <f>IF(終値!A75="","",IF(AND(安値!H75&lt;安値!G75,安値!H75&lt;安値!F75,安値!H75&lt;安値!I75,安値!H75&lt;安値!J75),3,""))</f>
      </c>
      <c r="D75" s="684">
        <f>IF(終値!A75="","",IF(AND(安値!I75&lt;安値!H75,安値!I75&lt;安値!G75,安値!I75&lt;安値!J75,安値!I75&lt;安値!K75),4,""))</f>
      </c>
      <c r="E75" s="684">
        <f>IF(終値!A75="","",IF(AND(安値!J75&lt;安値!I75,安値!J75&lt;安値!H75,安値!J75&lt;安値!K75,安値!J75&lt;安値!L75),5,""))</f>
      </c>
      <c r="F75" s="684">
        <f>IF(終値!A75="","",IF(AND(安値!K75&lt;安値!J75,安値!K75&lt;安値!I75,安値!K75&lt;安値!L75,安値!K75&lt;安値!M75),6,""))</f>
      </c>
      <c r="G75" s="684">
        <f>IF(終値!A75="","",IF(AND(安値!L75&lt;安値!K75,安値!L75&lt;安値!J75,安値!L75&lt;安値!M75,安値!L75&lt;安値!N75),7,""))</f>
      </c>
      <c r="H75" s="684">
        <f>IF(終値!A75="","",IF(AND(安値!M75&lt;安値!L75,安値!M75&lt;安値!K75,安値!M75&lt;安値!N75,安値!M75&lt;安値!O75),8,""))</f>
      </c>
      <c r="I75" s="684">
        <f>IF(終値!A75="","",IF(AND(安値!N75&lt;安値!M75,安値!N75&lt;安値!L75,安値!N75&lt;安値!O75,安値!N75&lt;安値!P75),9,""))</f>
      </c>
      <c r="J75" s="684">
        <f>IF(終値!A75="","",IF(AND(安値!O75&lt;安値!N75,安値!O75&lt;安値!M75,安値!O75&lt;安値!P75,安値!O75&lt;安値!Q75),10,""))</f>
      </c>
      <c r="K75" s="684">
        <f>IF(終値!A75="","",IF(AND(安値!P75&lt;安値!O75,安値!P75&lt;安値!N75,安値!P75&lt;安値!Q75,安値!P75&lt;安値!R75),11,""))</f>
      </c>
      <c r="L75" s="684">
        <f>IF(終値!A75="","",IF(AND(安値!Q75&lt;安値!P75,安値!Q75&lt;安値!O75,安値!Q75&lt;安値!R75,安値!Q75&lt;安値!S75),12,""))</f>
      </c>
      <c r="M75" s="684">
        <f>IF(終値!A75="","",IF(AND(安値!R75&lt;安値!Q75,安値!R75&lt;安値!P75,安値!R75&lt;安値!S75,安値!R75&lt;安値!T75),13,""))</f>
      </c>
      <c r="N75" s="684">
        <f>IF(終値!A75="","",IF(AND(安値!S75&lt;安値!R75,安値!S75&lt;安値!Q75,安値!S75&lt;安値!T75,安値!S75&lt;安値!U75),14,""))</f>
      </c>
      <c r="O75" s="684">
        <f>IF(終値!A75="","",IF(AND(安値!T75&lt;安値!S75,安値!T75&lt;安値!R75,安値!T75&lt;安値!U75,安値!T75&lt;安値!V75),15,""))</f>
      </c>
      <c r="P75" s="684">
        <f>IF(終値!A75="","",IF(AND(安値!U75&lt;安値!T75,安値!U75&lt;安値!S75,安値!U75&lt;安値!V75,安値!U75&lt;安値!W75),16,""))</f>
      </c>
      <c r="Q75" s="684">
        <f>IF(終値!A75="","",IF(AND(安値!V75&lt;安値!U75,安値!V75&lt;安値!T75,安値!V75&lt;安値!W75,安値!V75&lt;安値!X75),17,""))</f>
      </c>
      <c r="R75" s="684">
        <f>IF(終値!A75="","",IF(AND(安値!W75&lt;安値!V75,安値!W75&lt;安値!U75,安値!W75&lt;安値!X75,安値!W75&lt;安値!Y75),18,""))</f>
      </c>
      <c r="S75" s="684">
        <f>IF(終値!A75="","",IF(AND(安値!X75&lt;安値!W75,安値!X75&lt;安値!V75,安値!X75&lt;安値!Y75,安値!X75&lt;安値!Z75),19,""))</f>
      </c>
      <c r="T75" s="684">
        <f>IF(終値!A75="","",IF(AND(安値!Y75&lt;安値!X75,安値!Y75&lt;安値!W75,安値!Y75&lt;安値!Z75,安値!Y75&lt;安値!AA75),20,""))</f>
      </c>
      <c r="U75" s="684">
        <f>IF(終値!A75="","",IF(AND(安値!Z75&lt;安値!Y75,安値!Z75&lt;安値!X75,安値!Z75&lt;安値!AA75,安値!Z75&lt;安値!AB75),21,""))</f>
      </c>
      <c r="V75" s="684">
        <f>IF(終値!A75="","",IF(AND(安値!AA75&lt;安値!Z75,安値!AA75&lt;安値!Y75,安値!AA75&lt;安値!AB75,安値!AA75&lt;安値!AC75),22,""))</f>
      </c>
      <c r="W75" s="684">
        <f>IF(終値!A75="","",IF(AND(安値!AB75&lt;安値!AA75,安値!AB75&lt;安値!Z75,安値!AB75&lt;安値!AC75,安値!AB75&lt;安値!AD75),23,""))</f>
      </c>
      <c r="X75" s="684">
        <f>IF(終値!A75="","",IF(AND(安値!AC75&lt;安値!AB75,安値!AC75&lt;安値!AA75,安値!AC75&lt;安値!AD75,安値!AC75&lt;安値!AE75),24,""))</f>
      </c>
      <c r="Y75" s="684">
        <f>IF(終値!A75="","",IF(AND(安値!AD75&lt;安値!AC75,安値!AD75&lt;安値!AB75,安値!AD75&lt;安値!AE75,安値!AD75&lt;安値!AF75),25,""))</f>
      </c>
      <c r="Z75" s="684">
        <f>IF(終値!A75="","",IF(AND(安値!AE75&lt;安値!AD75,安値!AE75&lt;安値!AC75,安値!AE75&lt;安値!AF75,安値!AE75&lt;安値!AG75),26,""))</f>
      </c>
      <c r="AA75" s="684">
        <f>IF(終値!A75="","",IF(AND(安値!AF75&lt;安値!AE75,安値!AF75&lt;安値!AD75,安値!AF75&lt;安値!AG75,安値!AF75&lt;安値!AH75),27,""))</f>
      </c>
      <c r="AB75" s="684">
        <f>IF(終値!A75="","",IF(AND(安値!AG75&lt;安値!AF75,安値!AG75&lt;安値!AE75,安値!AG75&lt;安値!AH75,安値!AG75&lt;安値!AI75),28,""))</f>
      </c>
      <c r="AC75" s="684">
        <f>IF(終値!A75="","",IF(AND(高値!G75&gt;高値!F75,高値!G75&gt;高値!E75,高値!G75&gt;高値!H75,高値!G75&gt;高値!I75),2,""))</f>
      </c>
      <c r="AD75" s="684">
        <f>IF(終値!A75="","",IF(AND(高値!H75&gt;高値!G75,高値!H75&gt;高値!F75,高値!H75&gt;高値!I75,高値!H75&gt;高値!J75),3,""))</f>
      </c>
      <c r="AE75" s="684">
        <f>IF(終値!A75="","",IF(AND(高値!I75&gt;高値!H75,高値!I75&gt;高値!G75,高値!I75&gt;高値!J75,高値!I75&gt;高値!K75),4,""))</f>
      </c>
      <c r="AF75" s="684">
        <f>IF(終値!A75="","",IF(AND(高値!J75&gt;高値!I75,高値!J75&gt;高値!H75,高値!J75&gt;高値!K75,高値!J75&gt;高値!L75),5,""))</f>
      </c>
      <c r="AG75" s="684">
        <f>IF(終値!A75="","",IF(AND(高値!K75&gt;高値!J75,高値!K75&gt;高値!I75,高値!K75&gt;高値!L75,高値!K75&gt;高値!M75),6,""))</f>
      </c>
      <c r="AH75" s="684">
        <f>IF(終値!A75="","",IF(AND(高値!L75&gt;高値!K75,高値!L75&gt;高値!J75,高値!L75&gt;高値!M75,高値!L75&gt;高値!N75),7,""))</f>
      </c>
      <c r="AI75" s="684">
        <f>IF(終値!A75="","",IF(AND(高値!M75&gt;高値!L75,高値!M75&gt;高値!K75,高値!M75&gt;高値!N75,高値!M75&gt;高値!O75),8,""))</f>
      </c>
      <c r="AJ75" s="684">
        <f>IF(終値!A75="","",IF(AND(高値!N75&gt;高値!M75,高値!N75&gt;高値!L75,高値!N75&gt;高値!O75,高値!N75&gt;高値!P75),9,""))</f>
      </c>
      <c r="AK75" s="684">
        <f>IF(終値!A75="","",IF(AND(高値!O75&gt;高値!N75,高値!O75&gt;高値!M75,高値!O75&gt;高値!P75,高値!O75&gt;高値!Q75),10,""))</f>
      </c>
      <c r="AL75" s="684">
        <f>IF(終値!A75="","",IF(AND(高値!P75&gt;高値!O75,高値!P75&gt;高値!N75,高値!P75&gt;高値!Q75,高値!P75&gt;高値!R75),11,""))</f>
      </c>
      <c r="AM75" s="684">
        <f>IF(終値!A75="","",IF(AND(高値!Q75&gt;高値!P75,高値!Q75&gt;高値!O75,高値!Q75&gt;高値!R75,高値!Q75&gt;高値!S75),12,""))</f>
      </c>
      <c r="AN75" s="684">
        <f>IF(終値!A75="","",IF(AND(高値!R75&gt;高値!Q75,高値!R75&gt;高値!P75,高値!R75&gt;高値!S75,高値!R75&gt;高値!T75),13,""))</f>
      </c>
      <c r="AO75" s="684">
        <f>IF(終値!A75="","",IF(AND(高値!S75&gt;高値!R75,高値!S75&gt;高値!Q75,高値!S75&gt;高値!T75,高値!S75&gt;高値!U75),14,""))</f>
      </c>
      <c r="AP75" s="684">
        <f>IF(終値!A75="","",IF(AND(高値!T75&gt;高値!S75,高値!T75&gt;高値!R75,高値!T75&gt;高値!U75,高値!T75&gt;高値!V75),15,""))</f>
      </c>
      <c r="AQ75" s="684">
        <f>IF(終値!A75="","",IF(AND(高値!U75&gt;高値!T75,高値!U75&gt;高値!S75,高値!U75&gt;高値!V75,高値!U75&gt;高値!W75),16,""))</f>
      </c>
      <c r="AR75" s="684">
        <f>IF(終値!A75="","",IF(AND(高値!V75&gt;高値!U75,高値!V75&gt;高値!T75,高値!V75&gt;高値!W75,高値!V75&gt;高値!X75),17,""))</f>
      </c>
      <c r="AS75" s="684">
        <f>IF(終値!A75="","",IF(AND(高値!W75&gt;高値!V75,高値!W75&gt;高値!U75,高値!W75&gt;高値!X75,高値!W75&gt;高値!Y75),18,""))</f>
      </c>
      <c r="AT75" s="684">
        <f>IF(終値!A75="","",IF(AND(高値!X75&gt;高値!W75,高値!X75&gt;高値!V75,高値!X75&gt;高値!Y75,高値!X75&gt;高値!Z75),19,""))</f>
      </c>
      <c r="AU75" s="684">
        <f>IF(終値!A75="","",IF(AND(高値!Y75&gt;高値!X75,高値!Y75&gt;高値!W75,高値!Y75&gt;高値!Z75,高値!Y75&gt;高値!AA75),20,""))</f>
      </c>
      <c r="AV75" s="684">
        <f>IF(終値!A75="","",IF(AND(高値!Z75&gt;高値!Y75,高値!Z75&gt;高値!X75,高値!Z75&gt;高値!AA75,高値!Z75&gt;高値!AB75),21,""))</f>
      </c>
      <c r="AW75" s="684">
        <f>IF(終値!A75="","",IF(AND(高値!AA75&gt;高値!Z75,高値!AA75&gt;高値!Y75,高値!AA75&gt;高値!AB75,高値!AA75&gt;高値!AC75),22,""))</f>
      </c>
      <c r="AX75" s="684">
        <f>IF(終値!A75="","",IF(AND(高値!AB75&gt;高値!AA75,高値!AB75&gt;高値!Z75,高値!AB75&gt;高値!AC75,高値!AB75&gt;高値!AD75),23,""))</f>
      </c>
      <c r="AY75" s="684">
        <f>IF(終値!A75="","",IF(AND(高値!AC75&gt;高値!AB75,高値!AC75&gt;高値!AA75,高値!AC75&gt;高値!AD75,高値!AC75&gt;高値!AE75),24,""))</f>
      </c>
      <c r="AZ75" s="684">
        <f>IF(終値!A75="","",IF(AND(高値!AD75&gt;高値!AC75,高値!AD75&gt;高値!AB75,高値!AD75&gt;高値!AE75,高値!AD75&gt;高値!AF75),25,""))</f>
      </c>
      <c r="BA75" s="684">
        <f>IF(終値!A75="","",IF(AND(高値!AE75&gt;高値!AD75,高値!AE75&gt;高値!AC75,高値!AE75&gt;高値!AF75,高値!AE75&gt;高値!AG75),26,""))</f>
      </c>
      <c r="BB75" s="684">
        <f>IF(終値!A75="","",IF(AND(高値!AF75&gt;高値!AE75,高値!AF75&gt;高値!AD75,高値!AF75&gt;高値!AG75,高値!AF75&gt;高値!AH75),27,""))</f>
      </c>
      <c r="BC75" s="684">
        <f>IF(終値!A75="","",IF(AND(高値!AG75&gt;高値!AF75,高値!AG75&gt;高値!AE75,高値!AG75&gt;高値!AH75,高値!AG75&gt;高値!AI75),28,""))</f>
      </c>
      <c r="BD75" s="684">
        <f>COUNT($B75:$AB75)</f>
      </c>
      <c r="BE75" s="684">
        <f>IF($BD75&gt;=2,MIN($B75:$AB75),"")</f>
      </c>
      <c r="BF75" s="684">
        <f>IF($BD75&gt;=2,SMALL($B75:$AB75,2),"")</f>
      </c>
      <c r="BG75" s="684">
        <f>IF($BE75="","",INDEX(安値!$E75:$CZ75,1,$BE75+1))</f>
      </c>
      <c r="BH75" s="684">
        <f>IF($BF75="","",INDEX(安値!$E75:$CZ75,1,$BF75+1))</f>
      </c>
      <c r="BI75" s="684">
        <f>IF($BF75="","",MAX(INDEX(高値!$E75:$CZ75,1,$BE75+1):INDEX(高値!$E75:$CZ75,1,$BF75+1)))</f>
      </c>
      <c r="BJ75" s="684">
        <f>IF($BF75="","",AVERAGE(INDEX(終値!$E75:$CZ75,1,$BF75+1):INDEX(終値!$E75:$CZ75,1,$BF75+20))-2*STDEVP(INDEX(終値!$E75:$CZ75,1,$BF75+1):INDEX(終値!$E75:$CZ75,1,$BF75+20)))</f>
      </c>
      <c r="BK75" s="684">
        <f>IF($BE75="","",AVERAGE(INDEX(終値!$E75:$CZ75,1,$BE75+1):INDEX(終値!$E75:$CZ75,1,$BE75+20))-2*STDEVP(INDEX(終値!$E75:$CZ75,1,$BE75+1):INDEX(終値!$E75:$CZ75,1,$BE75+20)))</f>
      </c>
      <c r="BL75" s="684">
        <f>COUNT($AC75:$BC75)</f>
      </c>
      <c r="BM75" s="684">
        <f>IF($BL75&gt;=2,MIN($AC75:$BC75),"")</f>
      </c>
      <c r="BN75" s="684">
        <f>IF($BL75&gt;=2,SMALL($AC75:$BC75,2),"")</f>
      </c>
      <c r="BO75" s="684">
        <f>IF($BM75="","",INDEX(高値!$E75:$CZ75,1,$BM75+1))</f>
      </c>
      <c r="BP75" s="684">
        <f>IF($BN75="","",INDEX(高値!$E75:$CZ75,1,$BN75+1))</f>
      </c>
      <c r="BQ75" s="684">
        <f>IF($BN75="","",MIN(INDEX(安値!$E75:$CZ75,1,$BM75+1):INDEX(安値!$E75:$CZ75,1,$BN75+1)))</f>
      </c>
      <c r="BR75" s="684">
        <f>IF($BN75="","",AVERAGE(INDEX(終値!$E75:$CZ75,1,$BN75+1):INDEX(終値!$E75:$CZ75,1,$BN75+20))+2*STDEVP(INDEX(終値!$E75:$CZ75,1,$BN75+1):INDEX(終値!$E75:$CZ75,1,$BN75+20)))</f>
      </c>
      <c r="BS75" s="684">
        <f>IF($BM75="","",AVERAGE(INDEX(終値!$E75:$CZ75,1,$BM75+1):INDEX(終値!$E75:$CZ75,1,$BM75+20))+2*STDEVP(INDEX(終値!$E75:$CZ75,1,$BM75+1):INDEX(終値!$E75:$CZ75,1,$BM75+20)))</f>
      </c>
      <c r="BT75" s="681">
        <f>IFERROR(IF(AND($BD75&gt;=2,ABS($BG75-$BH75)/$BH75&lt;=BB設定!$B$12,$BI75&gt;=MAX($BH75,$BG75)*(1+BB設定!$B$13),終値!E75&gt;$BG75),IF(OR(終値!E75&gt;=$BI75,AND($BH75&lt;$BJ75,$BG75&gt;=$BK75)),"二番底W▲","二番底W形成"),IF(AND($BL75&gt;=2,ABS($BO75-$BP75)/$BP75&lt;=BB設定!$B$12,$BQ75&lt;=MIN($BP75,$BO75)*(1-BB設定!$B$13),終値!E75&lt;$BO75),IF(OR(終値!E75&lt;=$BQ75,AND($BP75&gt;$BR75,$BO75&lt;=$BS75)),"二番天井M▼","二番天井M形成"),"－")),"－")</f>
      </c>
    </row>
    <row r="76">
      <c r="B76" s="684">
        <f>IF(終値!A76="","",IF(AND(安値!G76&lt;安値!F76,安値!G76&lt;安値!E76,安値!G76&lt;安値!H76,安値!G76&lt;安値!I76),2,""))</f>
      </c>
      <c r="C76" s="684">
        <f>IF(終値!A76="","",IF(AND(安値!H76&lt;安値!G76,安値!H76&lt;安値!F76,安値!H76&lt;安値!I76,安値!H76&lt;安値!J76),3,""))</f>
      </c>
      <c r="D76" s="684">
        <f>IF(終値!A76="","",IF(AND(安値!I76&lt;安値!H76,安値!I76&lt;安値!G76,安値!I76&lt;安値!J76,安値!I76&lt;安値!K76),4,""))</f>
      </c>
      <c r="E76" s="684">
        <f>IF(終値!A76="","",IF(AND(安値!J76&lt;安値!I76,安値!J76&lt;安値!H76,安値!J76&lt;安値!K76,安値!J76&lt;安値!L76),5,""))</f>
      </c>
      <c r="F76" s="684">
        <f>IF(終値!A76="","",IF(AND(安値!K76&lt;安値!J76,安値!K76&lt;安値!I76,安値!K76&lt;安値!L76,安値!K76&lt;安値!M76),6,""))</f>
      </c>
      <c r="G76" s="684">
        <f>IF(終値!A76="","",IF(AND(安値!L76&lt;安値!K76,安値!L76&lt;安値!J76,安値!L76&lt;安値!M76,安値!L76&lt;安値!N76),7,""))</f>
      </c>
      <c r="H76" s="684">
        <f>IF(終値!A76="","",IF(AND(安値!M76&lt;安値!L76,安値!M76&lt;安値!K76,安値!M76&lt;安値!N76,安値!M76&lt;安値!O76),8,""))</f>
      </c>
      <c r="I76" s="684">
        <f>IF(終値!A76="","",IF(AND(安値!N76&lt;安値!M76,安値!N76&lt;安値!L76,安値!N76&lt;安値!O76,安値!N76&lt;安値!P76),9,""))</f>
      </c>
      <c r="J76" s="684">
        <f>IF(終値!A76="","",IF(AND(安値!O76&lt;安値!N76,安値!O76&lt;安値!M76,安値!O76&lt;安値!P76,安値!O76&lt;安値!Q76),10,""))</f>
      </c>
      <c r="K76" s="684">
        <f>IF(終値!A76="","",IF(AND(安値!P76&lt;安値!O76,安値!P76&lt;安値!N76,安値!P76&lt;安値!Q76,安値!P76&lt;安値!R76),11,""))</f>
      </c>
      <c r="L76" s="684">
        <f>IF(終値!A76="","",IF(AND(安値!Q76&lt;安値!P76,安値!Q76&lt;安値!O76,安値!Q76&lt;安値!R76,安値!Q76&lt;安値!S76),12,""))</f>
      </c>
      <c r="M76" s="684">
        <f>IF(終値!A76="","",IF(AND(安値!R76&lt;安値!Q76,安値!R76&lt;安値!P76,安値!R76&lt;安値!S76,安値!R76&lt;安値!T76),13,""))</f>
      </c>
      <c r="N76" s="684">
        <f>IF(終値!A76="","",IF(AND(安値!S76&lt;安値!R76,安値!S76&lt;安値!Q76,安値!S76&lt;安値!T76,安値!S76&lt;安値!U76),14,""))</f>
      </c>
      <c r="O76" s="684">
        <f>IF(終値!A76="","",IF(AND(安値!T76&lt;安値!S76,安値!T76&lt;安値!R76,安値!T76&lt;安値!U76,安値!T76&lt;安値!V76),15,""))</f>
      </c>
      <c r="P76" s="684">
        <f>IF(終値!A76="","",IF(AND(安値!U76&lt;安値!T76,安値!U76&lt;安値!S76,安値!U76&lt;安値!V76,安値!U76&lt;安値!W76),16,""))</f>
      </c>
      <c r="Q76" s="684">
        <f>IF(終値!A76="","",IF(AND(安値!V76&lt;安値!U76,安値!V76&lt;安値!T76,安値!V76&lt;安値!W76,安値!V76&lt;安値!X76),17,""))</f>
      </c>
      <c r="R76" s="684">
        <f>IF(終値!A76="","",IF(AND(安値!W76&lt;安値!V76,安値!W76&lt;安値!U76,安値!W76&lt;安値!X76,安値!W76&lt;安値!Y76),18,""))</f>
      </c>
      <c r="S76" s="684">
        <f>IF(終値!A76="","",IF(AND(安値!X76&lt;安値!W76,安値!X76&lt;安値!V76,安値!X76&lt;安値!Y76,安値!X76&lt;安値!Z76),19,""))</f>
      </c>
      <c r="T76" s="684">
        <f>IF(終値!A76="","",IF(AND(安値!Y76&lt;安値!X76,安値!Y76&lt;安値!W76,安値!Y76&lt;安値!Z76,安値!Y76&lt;安値!AA76),20,""))</f>
      </c>
      <c r="U76" s="684">
        <f>IF(終値!A76="","",IF(AND(安値!Z76&lt;安値!Y76,安値!Z76&lt;安値!X76,安値!Z76&lt;安値!AA76,安値!Z76&lt;安値!AB76),21,""))</f>
      </c>
      <c r="V76" s="684">
        <f>IF(終値!A76="","",IF(AND(安値!AA76&lt;安値!Z76,安値!AA76&lt;安値!Y76,安値!AA76&lt;安値!AB76,安値!AA76&lt;安値!AC76),22,""))</f>
      </c>
      <c r="W76" s="684">
        <f>IF(終値!A76="","",IF(AND(安値!AB76&lt;安値!AA76,安値!AB76&lt;安値!Z76,安値!AB76&lt;安値!AC76,安値!AB76&lt;安値!AD76),23,""))</f>
      </c>
      <c r="X76" s="684">
        <f>IF(終値!A76="","",IF(AND(安値!AC76&lt;安値!AB76,安値!AC76&lt;安値!AA76,安値!AC76&lt;安値!AD76,安値!AC76&lt;安値!AE76),24,""))</f>
      </c>
      <c r="Y76" s="684">
        <f>IF(終値!A76="","",IF(AND(安値!AD76&lt;安値!AC76,安値!AD76&lt;安値!AB76,安値!AD76&lt;安値!AE76,安値!AD76&lt;安値!AF76),25,""))</f>
      </c>
      <c r="Z76" s="684">
        <f>IF(終値!A76="","",IF(AND(安値!AE76&lt;安値!AD76,安値!AE76&lt;安値!AC76,安値!AE76&lt;安値!AF76,安値!AE76&lt;安値!AG76),26,""))</f>
      </c>
      <c r="AA76" s="684">
        <f>IF(終値!A76="","",IF(AND(安値!AF76&lt;安値!AE76,安値!AF76&lt;安値!AD76,安値!AF76&lt;安値!AG76,安値!AF76&lt;安値!AH76),27,""))</f>
      </c>
      <c r="AB76" s="684">
        <f>IF(終値!A76="","",IF(AND(安値!AG76&lt;安値!AF76,安値!AG76&lt;安値!AE76,安値!AG76&lt;安値!AH76,安値!AG76&lt;安値!AI76),28,""))</f>
      </c>
      <c r="AC76" s="684">
        <f>IF(終値!A76="","",IF(AND(高値!G76&gt;高値!F76,高値!G76&gt;高値!E76,高値!G76&gt;高値!H76,高値!G76&gt;高値!I76),2,""))</f>
      </c>
      <c r="AD76" s="684">
        <f>IF(終値!A76="","",IF(AND(高値!H76&gt;高値!G76,高値!H76&gt;高値!F76,高値!H76&gt;高値!I76,高値!H76&gt;高値!J76),3,""))</f>
      </c>
      <c r="AE76" s="684">
        <f>IF(終値!A76="","",IF(AND(高値!I76&gt;高値!H76,高値!I76&gt;高値!G76,高値!I76&gt;高値!J76,高値!I76&gt;高値!K76),4,""))</f>
      </c>
      <c r="AF76" s="684">
        <f>IF(終値!A76="","",IF(AND(高値!J76&gt;高値!I76,高値!J76&gt;高値!H76,高値!J76&gt;高値!K76,高値!J76&gt;高値!L76),5,""))</f>
      </c>
      <c r="AG76" s="684">
        <f>IF(終値!A76="","",IF(AND(高値!K76&gt;高値!J76,高値!K76&gt;高値!I76,高値!K76&gt;高値!L76,高値!K76&gt;高値!M76),6,""))</f>
      </c>
      <c r="AH76" s="684">
        <f>IF(終値!A76="","",IF(AND(高値!L76&gt;高値!K76,高値!L76&gt;高値!J76,高値!L76&gt;高値!M76,高値!L76&gt;高値!N76),7,""))</f>
      </c>
      <c r="AI76" s="684">
        <f>IF(終値!A76="","",IF(AND(高値!M76&gt;高値!L76,高値!M76&gt;高値!K76,高値!M76&gt;高値!N76,高値!M76&gt;高値!O76),8,""))</f>
      </c>
      <c r="AJ76" s="684">
        <f>IF(終値!A76="","",IF(AND(高値!N76&gt;高値!M76,高値!N76&gt;高値!L76,高値!N76&gt;高値!O76,高値!N76&gt;高値!P76),9,""))</f>
      </c>
      <c r="AK76" s="684">
        <f>IF(終値!A76="","",IF(AND(高値!O76&gt;高値!N76,高値!O76&gt;高値!M76,高値!O76&gt;高値!P76,高値!O76&gt;高値!Q76),10,""))</f>
      </c>
      <c r="AL76" s="684">
        <f>IF(終値!A76="","",IF(AND(高値!P76&gt;高値!O76,高値!P76&gt;高値!N76,高値!P76&gt;高値!Q76,高値!P76&gt;高値!R76),11,""))</f>
      </c>
      <c r="AM76" s="684">
        <f>IF(終値!A76="","",IF(AND(高値!Q76&gt;高値!P76,高値!Q76&gt;高値!O76,高値!Q76&gt;高値!R76,高値!Q76&gt;高値!S76),12,""))</f>
      </c>
      <c r="AN76" s="684">
        <f>IF(終値!A76="","",IF(AND(高値!R76&gt;高値!Q76,高値!R76&gt;高値!P76,高値!R76&gt;高値!S76,高値!R76&gt;高値!T76),13,""))</f>
      </c>
      <c r="AO76" s="684">
        <f>IF(終値!A76="","",IF(AND(高値!S76&gt;高値!R76,高値!S76&gt;高値!Q76,高値!S76&gt;高値!T76,高値!S76&gt;高値!U76),14,""))</f>
      </c>
      <c r="AP76" s="684">
        <f>IF(終値!A76="","",IF(AND(高値!T76&gt;高値!S76,高値!T76&gt;高値!R76,高値!T76&gt;高値!U76,高値!T76&gt;高値!V76),15,""))</f>
      </c>
      <c r="AQ76" s="684">
        <f>IF(終値!A76="","",IF(AND(高値!U76&gt;高値!T76,高値!U76&gt;高値!S76,高値!U76&gt;高値!V76,高値!U76&gt;高値!W76),16,""))</f>
      </c>
      <c r="AR76" s="684">
        <f>IF(終値!A76="","",IF(AND(高値!V76&gt;高値!U76,高値!V76&gt;高値!T76,高値!V76&gt;高値!W76,高値!V76&gt;高値!X76),17,""))</f>
      </c>
      <c r="AS76" s="684">
        <f>IF(終値!A76="","",IF(AND(高値!W76&gt;高値!V76,高値!W76&gt;高値!U76,高値!W76&gt;高値!X76,高値!W76&gt;高値!Y76),18,""))</f>
      </c>
      <c r="AT76" s="684">
        <f>IF(終値!A76="","",IF(AND(高値!X76&gt;高値!W76,高値!X76&gt;高値!V76,高値!X76&gt;高値!Y76,高値!X76&gt;高値!Z76),19,""))</f>
      </c>
      <c r="AU76" s="684">
        <f>IF(終値!A76="","",IF(AND(高値!Y76&gt;高値!X76,高値!Y76&gt;高値!W76,高値!Y76&gt;高値!Z76,高値!Y76&gt;高値!AA76),20,""))</f>
      </c>
      <c r="AV76" s="684">
        <f>IF(終値!A76="","",IF(AND(高値!Z76&gt;高値!Y76,高値!Z76&gt;高値!X76,高値!Z76&gt;高値!AA76,高値!Z76&gt;高値!AB76),21,""))</f>
      </c>
      <c r="AW76" s="684">
        <f>IF(終値!A76="","",IF(AND(高値!AA76&gt;高値!Z76,高値!AA76&gt;高値!Y76,高値!AA76&gt;高値!AB76,高値!AA76&gt;高値!AC76),22,""))</f>
      </c>
      <c r="AX76" s="684">
        <f>IF(終値!A76="","",IF(AND(高値!AB76&gt;高値!AA76,高値!AB76&gt;高値!Z76,高値!AB76&gt;高値!AC76,高値!AB76&gt;高値!AD76),23,""))</f>
      </c>
      <c r="AY76" s="684">
        <f>IF(終値!A76="","",IF(AND(高値!AC76&gt;高値!AB76,高値!AC76&gt;高値!AA76,高値!AC76&gt;高値!AD76,高値!AC76&gt;高値!AE76),24,""))</f>
      </c>
      <c r="AZ76" s="684">
        <f>IF(終値!A76="","",IF(AND(高値!AD76&gt;高値!AC76,高値!AD76&gt;高値!AB76,高値!AD76&gt;高値!AE76,高値!AD76&gt;高値!AF76),25,""))</f>
      </c>
      <c r="BA76" s="684">
        <f>IF(終値!A76="","",IF(AND(高値!AE76&gt;高値!AD76,高値!AE76&gt;高値!AC76,高値!AE76&gt;高値!AF76,高値!AE76&gt;高値!AG76),26,""))</f>
      </c>
      <c r="BB76" s="684">
        <f>IF(終値!A76="","",IF(AND(高値!AF76&gt;高値!AE76,高値!AF76&gt;高値!AD76,高値!AF76&gt;高値!AG76,高値!AF76&gt;高値!AH76),27,""))</f>
      </c>
      <c r="BC76" s="684">
        <f>IF(終値!A76="","",IF(AND(高値!AG76&gt;高値!AF76,高値!AG76&gt;高値!AE76,高値!AG76&gt;高値!AH76,高値!AG76&gt;高値!AI76),28,""))</f>
      </c>
      <c r="BD76" s="684">
        <f>COUNT($B76:$AB76)</f>
      </c>
      <c r="BE76" s="684">
        <f>IF($BD76&gt;=2,MIN($B76:$AB76),"")</f>
      </c>
      <c r="BF76" s="684">
        <f>IF($BD76&gt;=2,SMALL($B76:$AB76,2),"")</f>
      </c>
      <c r="BG76" s="684">
        <f>IF($BE76="","",INDEX(安値!$E76:$CZ76,1,$BE76+1))</f>
      </c>
      <c r="BH76" s="684">
        <f>IF($BF76="","",INDEX(安値!$E76:$CZ76,1,$BF76+1))</f>
      </c>
      <c r="BI76" s="684">
        <f>IF($BF76="","",MAX(INDEX(高値!$E76:$CZ76,1,$BE76+1):INDEX(高値!$E76:$CZ76,1,$BF76+1)))</f>
      </c>
      <c r="BJ76" s="684">
        <f>IF($BF76="","",AVERAGE(INDEX(終値!$E76:$CZ76,1,$BF76+1):INDEX(終値!$E76:$CZ76,1,$BF76+20))-2*STDEVP(INDEX(終値!$E76:$CZ76,1,$BF76+1):INDEX(終値!$E76:$CZ76,1,$BF76+20)))</f>
      </c>
      <c r="BK76" s="684">
        <f>IF($BE76="","",AVERAGE(INDEX(終値!$E76:$CZ76,1,$BE76+1):INDEX(終値!$E76:$CZ76,1,$BE76+20))-2*STDEVP(INDEX(終値!$E76:$CZ76,1,$BE76+1):INDEX(終値!$E76:$CZ76,1,$BE76+20)))</f>
      </c>
      <c r="BL76" s="684">
        <f>COUNT($AC76:$BC76)</f>
      </c>
      <c r="BM76" s="684">
        <f>IF($BL76&gt;=2,MIN($AC76:$BC76),"")</f>
      </c>
      <c r="BN76" s="684">
        <f>IF($BL76&gt;=2,SMALL($AC76:$BC76,2),"")</f>
      </c>
      <c r="BO76" s="684">
        <f>IF($BM76="","",INDEX(高値!$E76:$CZ76,1,$BM76+1))</f>
      </c>
      <c r="BP76" s="684">
        <f>IF($BN76="","",INDEX(高値!$E76:$CZ76,1,$BN76+1))</f>
      </c>
      <c r="BQ76" s="684">
        <f>IF($BN76="","",MIN(INDEX(安値!$E76:$CZ76,1,$BM76+1):INDEX(安値!$E76:$CZ76,1,$BN76+1)))</f>
      </c>
      <c r="BR76" s="684">
        <f>IF($BN76="","",AVERAGE(INDEX(終値!$E76:$CZ76,1,$BN76+1):INDEX(終値!$E76:$CZ76,1,$BN76+20))+2*STDEVP(INDEX(終値!$E76:$CZ76,1,$BN76+1):INDEX(終値!$E76:$CZ76,1,$BN76+20)))</f>
      </c>
      <c r="BS76" s="684">
        <f>IF($BM76="","",AVERAGE(INDEX(終値!$E76:$CZ76,1,$BM76+1):INDEX(終値!$E76:$CZ76,1,$BM76+20))+2*STDEVP(INDEX(終値!$E76:$CZ76,1,$BM76+1):INDEX(終値!$E76:$CZ76,1,$BM76+20)))</f>
      </c>
      <c r="BT76" s="681">
        <f>IFERROR(IF(AND($BD76&gt;=2,ABS($BG76-$BH76)/$BH76&lt;=BB設定!$B$12,$BI76&gt;=MAX($BH76,$BG76)*(1+BB設定!$B$13),終値!E76&gt;$BG76),IF(OR(終値!E76&gt;=$BI76,AND($BH76&lt;$BJ76,$BG76&gt;=$BK76)),"二番底W▲","二番底W形成"),IF(AND($BL76&gt;=2,ABS($BO76-$BP76)/$BP76&lt;=BB設定!$B$12,$BQ76&lt;=MIN($BP76,$BO76)*(1-BB設定!$B$13),終値!E76&lt;$BO76),IF(OR(終値!E76&lt;=$BQ76,AND($BP76&gt;$BR76,$BO76&lt;=$BS76)),"二番天井M▼","二番天井M形成"),"－")),"－")</f>
      </c>
    </row>
    <row r="77">
      <c r="B77" s="684">
        <f>IF(終値!A77="","",IF(AND(安値!G77&lt;安値!F77,安値!G77&lt;安値!E77,安値!G77&lt;安値!H77,安値!G77&lt;安値!I77),2,""))</f>
      </c>
      <c r="C77" s="684">
        <f>IF(終値!A77="","",IF(AND(安値!H77&lt;安値!G77,安値!H77&lt;安値!F77,安値!H77&lt;安値!I77,安値!H77&lt;安値!J77),3,""))</f>
      </c>
      <c r="D77" s="684">
        <f>IF(終値!A77="","",IF(AND(安値!I77&lt;安値!H77,安値!I77&lt;安値!G77,安値!I77&lt;安値!J77,安値!I77&lt;安値!K77),4,""))</f>
      </c>
      <c r="E77" s="684">
        <f>IF(終値!A77="","",IF(AND(安値!J77&lt;安値!I77,安値!J77&lt;安値!H77,安値!J77&lt;安値!K77,安値!J77&lt;安値!L77),5,""))</f>
      </c>
      <c r="F77" s="684">
        <f>IF(終値!A77="","",IF(AND(安値!K77&lt;安値!J77,安値!K77&lt;安値!I77,安値!K77&lt;安値!L77,安値!K77&lt;安値!M77),6,""))</f>
      </c>
      <c r="G77" s="684">
        <f>IF(終値!A77="","",IF(AND(安値!L77&lt;安値!K77,安値!L77&lt;安値!J77,安値!L77&lt;安値!M77,安値!L77&lt;安値!N77),7,""))</f>
      </c>
      <c r="H77" s="684">
        <f>IF(終値!A77="","",IF(AND(安値!M77&lt;安値!L77,安値!M77&lt;安値!K77,安値!M77&lt;安値!N77,安値!M77&lt;安値!O77),8,""))</f>
      </c>
      <c r="I77" s="684">
        <f>IF(終値!A77="","",IF(AND(安値!N77&lt;安値!M77,安値!N77&lt;安値!L77,安値!N77&lt;安値!O77,安値!N77&lt;安値!P77),9,""))</f>
      </c>
      <c r="J77" s="684">
        <f>IF(終値!A77="","",IF(AND(安値!O77&lt;安値!N77,安値!O77&lt;安値!M77,安値!O77&lt;安値!P77,安値!O77&lt;安値!Q77),10,""))</f>
      </c>
      <c r="K77" s="684">
        <f>IF(終値!A77="","",IF(AND(安値!P77&lt;安値!O77,安値!P77&lt;安値!N77,安値!P77&lt;安値!Q77,安値!P77&lt;安値!R77),11,""))</f>
      </c>
      <c r="L77" s="684">
        <f>IF(終値!A77="","",IF(AND(安値!Q77&lt;安値!P77,安値!Q77&lt;安値!O77,安値!Q77&lt;安値!R77,安値!Q77&lt;安値!S77),12,""))</f>
      </c>
      <c r="M77" s="684">
        <f>IF(終値!A77="","",IF(AND(安値!R77&lt;安値!Q77,安値!R77&lt;安値!P77,安値!R77&lt;安値!S77,安値!R77&lt;安値!T77),13,""))</f>
      </c>
      <c r="N77" s="684">
        <f>IF(終値!A77="","",IF(AND(安値!S77&lt;安値!R77,安値!S77&lt;安値!Q77,安値!S77&lt;安値!T77,安値!S77&lt;安値!U77),14,""))</f>
      </c>
      <c r="O77" s="684">
        <f>IF(終値!A77="","",IF(AND(安値!T77&lt;安値!S77,安値!T77&lt;安値!R77,安値!T77&lt;安値!U77,安値!T77&lt;安値!V77),15,""))</f>
      </c>
      <c r="P77" s="684">
        <f>IF(終値!A77="","",IF(AND(安値!U77&lt;安値!T77,安値!U77&lt;安値!S77,安値!U77&lt;安値!V77,安値!U77&lt;安値!W77),16,""))</f>
      </c>
      <c r="Q77" s="684">
        <f>IF(終値!A77="","",IF(AND(安値!V77&lt;安値!U77,安値!V77&lt;安値!T77,安値!V77&lt;安値!W77,安値!V77&lt;安値!X77),17,""))</f>
      </c>
      <c r="R77" s="684">
        <f>IF(終値!A77="","",IF(AND(安値!W77&lt;安値!V77,安値!W77&lt;安値!U77,安値!W77&lt;安値!X77,安値!W77&lt;安値!Y77),18,""))</f>
      </c>
      <c r="S77" s="684">
        <f>IF(終値!A77="","",IF(AND(安値!X77&lt;安値!W77,安値!X77&lt;安値!V77,安値!X77&lt;安値!Y77,安値!X77&lt;安値!Z77),19,""))</f>
      </c>
      <c r="T77" s="684">
        <f>IF(終値!A77="","",IF(AND(安値!Y77&lt;安値!X77,安値!Y77&lt;安値!W77,安値!Y77&lt;安値!Z77,安値!Y77&lt;安値!AA77),20,""))</f>
      </c>
      <c r="U77" s="684">
        <f>IF(終値!A77="","",IF(AND(安値!Z77&lt;安値!Y77,安値!Z77&lt;安値!X77,安値!Z77&lt;安値!AA77,安値!Z77&lt;安値!AB77),21,""))</f>
      </c>
      <c r="V77" s="684">
        <f>IF(終値!A77="","",IF(AND(安値!AA77&lt;安値!Z77,安値!AA77&lt;安値!Y77,安値!AA77&lt;安値!AB77,安値!AA77&lt;安値!AC77),22,""))</f>
      </c>
      <c r="W77" s="684">
        <f>IF(終値!A77="","",IF(AND(安値!AB77&lt;安値!AA77,安値!AB77&lt;安値!Z77,安値!AB77&lt;安値!AC77,安値!AB77&lt;安値!AD77),23,""))</f>
      </c>
      <c r="X77" s="684">
        <f>IF(終値!A77="","",IF(AND(安値!AC77&lt;安値!AB77,安値!AC77&lt;安値!AA77,安値!AC77&lt;安値!AD77,安値!AC77&lt;安値!AE77),24,""))</f>
      </c>
      <c r="Y77" s="684">
        <f>IF(終値!A77="","",IF(AND(安値!AD77&lt;安値!AC77,安値!AD77&lt;安値!AB77,安値!AD77&lt;安値!AE77,安値!AD77&lt;安値!AF77),25,""))</f>
      </c>
      <c r="Z77" s="684">
        <f>IF(終値!A77="","",IF(AND(安値!AE77&lt;安値!AD77,安値!AE77&lt;安値!AC77,安値!AE77&lt;安値!AF77,安値!AE77&lt;安値!AG77),26,""))</f>
      </c>
      <c r="AA77" s="684">
        <f>IF(終値!A77="","",IF(AND(安値!AF77&lt;安値!AE77,安値!AF77&lt;安値!AD77,安値!AF77&lt;安値!AG77,安値!AF77&lt;安値!AH77),27,""))</f>
      </c>
      <c r="AB77" s="684">
        <f>IF(終値!A77="","",IF(AND(安値!AG77&lt;安値!AF77,安値!AG77&lt;安値!AE77,安値!AG77&lt;安値!AH77,安値!AG77&lt;安値!AI77),28,""))</f>
      </c>
      <c r="AC77" s="684">
        <f>IF(終値!A77="","",IF(AND(高値!G77&gt;高値!F77,高値!G77&gt;高値!E77,高値!G77&gt;高値!H77,高値!G77&gt;高値!I77),2,""))</f>
      </c>
      <c r="AD77" s="684">
        <f>IF(終値!A77="","",IF(AND(高値!H77&gt;高値!G77,高値!H77&gt;高値!F77,高値!H77&gt;高値!I77,高値!H77&gt;高値!J77),3,""))</f>
      </c>
      <c r="AE77" s="684">
        <f>IF(終値!A77="","",IF(AND(高値!I77&gt;高値!H77,高値!I77&gt;高値!G77,高値!I77&gt;高値!J77,高値!I77&gt;高値!K77),4,""))</f>
      </c>
      <c r="AF77" s="684">
        <f>IF(終値!A77="","",IF(AND(高値!J77&gt;高値!I77,高値!J77&gt;高値!H77,高値!J77&gt;高値!K77,高値!J77&gt;高値!L77),5,""))</f>
      </c>
      <c r="AG77" s="684">
        <f>IF(終値!A77="","",IF(AND(高値!K77&gt;高値!J77,高値!K77&gt;高値!I77,高値!K77&gt;高値!L77,高値!K77&gt;高値!M77),6,""))</f>
      </c>
      <c r="AH77" s="684">
        <f>IF(終値!A77="","",IF(AND(高値!L77&gt;高値!K77,高値!L77&gt;高値!J77,高値!L77&gt;高値!M77,高値!L77&gt;高値!N77),7,""))</f>
      </c>
      <c r="AI77" s="684">
        <f>IF(終値!A77="","",IF(AND(高値!M77&gt;高値!L77,高値!M77&gt;高値!K77,高値!M77&gt;高値!N77,高値!M77&gt;高値!O77),8,""))</f>
      </c>
      <c r="AJ77" s="684">
        <f>IF(終値!A77="","",IF(AND(高値!N77&gt;高値!M77,高値!N77&gt;高値!L77,高値!N77&gt;高値!O77,高値!N77&gt;高値!P77),9,""))</f>
      </c>
      <c r="AK77" s="684">
        <f>IF(終値!A77="","",IF(AND(高値!O77&gt;高値!N77,高値!O77&gt;高値!M77,高値!O77&gt;高値!P77,高値!O77&gt;高値!Q77),10,""))</f>
      </c>
      <c r="AL77" s="684">
        <f>IF(終値!A77="","",IF(AND(高値!P77&gt;高値!O77,高値!P77&gt;高値!N77,高値!P77&gt;高値!Q77,高値!P77&gt;高値!R77),11,""))</f>
      </c>
      <c r="AM77" s="684">
        <f>IF(終値!A77="","",IF(AND(高値!Q77&gt;高値!P77,高値!Q77&gt;高値!O77,高値!Q77&gt;高値!R77,高値!Q77&gt;高値!S77),12,""))</f>
      </c>
      <c r="AN77" s="684">
        <f>IF(終値!A77="","",IF(AND(高値!R77&gt;高値!Q77,高値!R77&gt;高値!P77,高値!R77&gt;高値!S77,高値!R77&gt;高値!T77),13,""))</f>
      </c>
      <c r="AO77" s="684">
        <f>IF(終値!A77="","",IF(AND(高値!S77&gt;高値!R77,高値!S77&gt;高値!Q77,高値!S77&gt;高値!T77,高値!S77&gt;高値!U77),14,""))</f>
      </c>
      <c r="AP77" s="684">
        <f>IF(終値!A77="","",IF(AND(高値!T77&gt;高値!S77,高値!T77&gt;高値!R77,高値!T77&gt;高値!U77,高値!T77&gt;高値!V77),15,""))</f>
      </c>
      <c r="AQ77" s="684">
        <f>IF(終値!A77="","",IF(AND(高値!U77&gt;高値!T77,高値!U77&gt;高値!S77,高値!U77&gt;高値!V77,高値!U77&gt;高値!W77),16,""))</f>
      </c>
      <c r="AR77" s="684">
        <f>IF(終値!A77="","",IF(AND(高値!V77&gt;高値!U77,高値!V77&gt;高値!T77,高値!V77&gt;高値!W77,高値!V77&gt;高値!X77),17,""))</f>
      </c>
      <c r="AS77" s="684">
        <f>IF(終値!A77="","",IF(AND(高値!W77&gt;高値!V77,高値!W77&gt;高値!U77,高値!W77&gt;高値!X77,高値!W77&gt;高値!Y77),18,""))</f>
      </c>
      <c r="AT77" s="684">
        <f>IF(終値!A77="","",IF(AND(高値!X77&gt;高値!W77,高値!X77&gt;高値!V77,高値!X77&gt;高値!Y77,高値!X77&gt;高値!Z77),19,""))</f>
      </c>
      <c r="AU77" s="684">
        <f>IF(終値!A77="","",IF(AND(高値!Y77&gt;高値!X77,高値!Y77&gt;高値!W77,高値!Y77&gt;高値!Z77,高値!Y77&gt;高値!AA77),20,""))</f>
      </c>
      <c r="AV77" s="684">
        <f>IF(終値!A77="","",IF(AND(高値!Z77&gt;高値!Y77,高値!Z77&gt;高値!X77,高値!Z77&gt;高値!AA77,高値!Z77&gt;高値!AB77),21,""))</f>
      </c>
      <c r="AW77" s="684">
        <f>IF(終値!A77="","",IF(AND(高値!AA77&gt;高値!Z77,高値!AA77&gt;高値!Y77,高値!AA77&gt;高値!AB77,高値!AA77&gt;高値!AC77),22,""))</f>
      </c>
      <c r="AX77" s="684">
        <f>IF(終値!A77="","",IF(AND(高値!AB77&gt;高値!AA77,高値!AB77&gt;高値!Z77,高値!AB77&gt;高値!AC77,高値!AB77&gt;高値!AD77),23,""))</f>
      </c>
      <c r="AY77" s="684">
        <f>IF(終値!A77="","",IF(AND(高値!AC77&gt;高値!AB77,高値!AC77&gt;高値!AA77,高値!AC77&gt;高値!AD77,高値!AC77&gt;高値!AE77),24,""))</f>
      </c>
      <c r="AZ77" s="684">
        <f>IF(終値!A77="","",IF(AND(高値!AD77&gt;高値!AC77,高値!AD77&gt;高値!AB77,高値!AD77&gt;高値!AE77,高値!AD77&gt;高値!AF77),25,""))</f>
      </c>
      <c r="BA77" s="684">
        <f>IF(終値!A77="","",IF(AND(高値!AE77&gt;高値!AD77,高値!AE77&gt;高値!AC77,高値!AE77&gt;高値!AF77,高値!AE77&gt;高値!AG77),26,""))</f>
      </c>
      <c r="BB77" s="684">
        <f>IF(終値!A77="","",IF(AND(高値!AF77&gt;高値!AE77,高値!AF77&gt;高値!AD77,高値!AF77&gt;高値!AG77,高値!AF77&gt;高値!AH77),27,""))</f>
      </c>
      <c r="BC77" s="684">
        <f>IF(終値!A77="","",IF(AND(高値!AG77&gt;高値!AF77,高値!AG77&gt;高値!AE77,高値!AG77&gt;高値!AH77,高値!AG77&gt;高値!AI77),28,""))</f>
      </c>
      <c r="BD77" s="684">
        <f>COUNT($B77:$AB77)</f>
      </c>
      <c r="BE77" s="684">
        <f>IF($BD77&gt;=2,MIN($B77:$AB77),"")</f>
      </c>
      <c r="BF77" s="684">
        <f>IF($BD77&gt;=2,SMALL($B77:$AB77,2),"")</f>
      </c>
      <c r="BG77" s="684">
        <f>IF($BE77="","",INDEX(安値!$E77:$CZ77,1,$BE77+1))</f>
      </c>
      <c r="BH77" s="684">
        <f>IF($BF77="","",INDEX(安値!$E77:$CZ77,1,$BF77+1))</f>
      </c>
      <c r="BI77" s="684">
        <f>IF($BF77="","",MAX(INDEX(高値!$E77:$CZ77,1,$BE77+1):INDEX(高値!$E77:$CZ77,1,$BF77+1)))</f>
      </c>
      <c r="BJ77" s="684">
        <f>IF($BF77="","",AVERAGE(INDEX(終値!$E77:$CZ77,1,$BF77+1):INDEX(終値!$E77:$CZ77,1,$BF77+20))-2*STDEVP(INDEX(終値!$E77:$CZ77,1,$BF77+1):INDEX(終値!$E77:$CZ77,1,$BF77+20)))</f>
      </c>
      <c r="BK77" s="684">
        <f>IF($BE77="","",AVERAGE(INDEX(終値!$E77:$CZ77,1,$BE77+1):INDEX(終値!$E77:$CZ77,1,$BE77+20))-2*STDEVP(INDEX(終値!$E77:$CZ77,1,$BE77+1):INDEX(終値!$E77:$CZ77,1,$BE77+20)))</f>
      </c>
      <c r="BL77" s="684">
        <f>COUNT($AC77:$BC77)</f>
      </c>
      <c r="BM77" s="684">
        <f>IF($BL77&gt;=2,MIN($AC77:$BC77),"")</f>
      </c>
      <c r="BN77" s="684">
        <f>IF($BL77&gt;=2,SMALL($AC77:$BC77,2),"")</f>
      </c>
      <c r="BO77" s="684">
        <f>IF($BM77="","",INDEX(高値!$E77:$CZ77,1,$BM77+1))</f>
      </c>
      <c r="BP77" s="684">
        <f>IF($BN77="","",INDEX(高値!$E77:$CZ77,1,$BN77+1))</f>
      </c>
      <c r="BQ77" s="684">
        <f>IF($BN77="","",MIN(INDEX(安値!$E77:$CZ77,1,$BM77+1):INDEX(安値!$E77:$CZ77,1,$BN77+1)))</f>
      </c>
      <c r="BR77" s="684">
        <f>IF($BN77="","",AVERAGE(INDEX(終値!$E77:$CZ77,1,$BN77+1):INDEX(終値!$E77:$CZ77,1,$BN77+20))+2*STDEVP(INDEX(終値!$E77:$CZ77,1,$BN77+1):INDEX(終値!$E77:$CZ77,1,$BN77+20)))</f>
      </c>
      <c r="BS77" s="684">
        <f>IF($BM77="","",AVERAGE(INDEX(終値!$E77:$CZ77,1,$BM77+1):INDEX(終値!$E77:$CZ77,1,$BM77+20))+2*STDEVP(INDEX(終値!$E77:$CZ77,1,$BM77+1):INDEX(終値!$E77:$CZ77,1,$BM77+20)))</f>
      </c>
      <c r="BT77" s="681">
        <f>IFERROR(IF(AND($BD77&gt;=2,ABS($BG77-$BH77)/$BH77&lt;=BB設定!$B$12,$BI77&gt;=MAX($BH77,$BG77)*(1+BB設定!$B$13),終値!E77&gt;$BG77),IF(OR(終値!E77&gt;=$BI77,AND($BH77&lt;$BJ77,$BG77&gt;=$BK77)),"二番底W▲","二番底W形成"),IF(AND($BL77&gt;=2,ABS($BO77-$BP77)/$BP77&lt;=BB設定!$B$12,$BQ77&lt;=MIN($BP77,$BO77)*(1-BB設定!$B$13),終値!E77&lt;$BO77),IF(OR(終値!E77&lt;=$BQ77,AND($BP77&gt;$BR77,$BO77&lt;=$BS77)),"二番天井M▼","二番天井M形成"),"－")),"－")</f>
      </c>
    </row>
    <row r="78">
      <c r="B78" s="684">
        <f>IF(終値!A78="","",IF(AND(安値!G78&lt;安値!F78,安値!G78&lt;安値!E78,安値!G78&lt;安値!H78,安値!G78&lt;安値!I78),2,""))</f>
      </c>
      <c r="C78" s="684">
        <f>IF(終値!A78="","",IF(AND(安値!H78&lt;安値!G78,安値!H78&lt;安値!F78,安値!H78&lt;安値!I78,安値!H78&lt;安値!J78),3,""))</f>
      </c>
      <c r="D78" s="684">
        <f>IF(終値!A78="","",IF(AND(安値!I78&lt;安値!H78,安値!I78&lt;安値!G78,安値!I78&lt;安値!J78,安値!I78&lt;安値!K78),4,""))</f>
      </c>
      <c r="E78" s="684">
        <f>IF(終値!A78="","",IF(AND(安値!J78&lt;安値!I78,安値!J78&lt;安値!H78,安値!J78&lt;安値!K78,安値!J78&lt;安値!L78),5,""))</f>
      </c>
      <c r="F78" s="684">
        <f>IF(終値!A78="","",IF(AND(安値!K78&lt;安値!J78,安値!K78&lt;安値!I78,安値!K78&lt;安値!L78,安値!K78&lt;安値!M78),6,""))</f>
      </c>
      <c r="G78" s="684">
        <f>IF(終値!A78="","",IF(AND(安値!L78&lt;安値!K78,安値!L78&lt;安値!J78,安値!L78&lt;安値!M78,安値!L78&lt;安値!N78),7,""))</f>
      </c>
      <c r="H78" s="684">
        <f>IF(終値!A78="","",IF(AND(安値!M78&lt;安値!L78,安値!M78&lt;安値!K78,安値!M78&lt;安値!N78,安値!M78&lt;安値!O78),8,""))</f>
      </c>
      <c r="I78" s="684">
        <f>IF(終値!A78="","",IF(AND(安値!N78&lt;安値!M78,安値!N78&lt;安値!L78,安値!N78&lt;安値!O78,安値!N78&lt;安値!P78),9,""))</f>
      </c>
      <c r="J78" s="684">
        <f>IF(終値!A78="","",IF(AND(安値!O78&lt;安値!N78,安値!O78&lt;安値!M78,安値!O78&lt;安値!P78,安値!O78&lt;安値!Q78),10,""))</f>
      </c>
      <c r="K78" s="684">
        <f>IF(終値!A78="","",IF(AND(安値!P78&lt;安値!O78,安値!P78&lt;安値!N78,安値!P78&lt;安値!Q78,安値!P78&lt;安値!R78),11,""))</f>
      </c>
      <c r="L78" s="684">
        <f>IF(終値!A78="","",IF(AND(安値!Q78&lt;安値!P78,安値!Q78&lt;安値!O78,安値!Q78&lt;安値!R78,安値!Q78&lt;安値!S78),12,""))</f>
      </c>
      <c r="M78" s="684">
        <f>IF(終値!A78="","",IF(AND(安値!R78&lt;安値!Q78,安値!R78&lt;安値!P78,安値!R78&lt;安値!S78,安値!R78&lt;安値!T78),13,""))</f>
      </c>
      <c r="N78" s="684">
        <f>IF(終値!A78="","",IF(AND(安値!S78&lt;安値!R78,安値!S78&lt;安値!Q78,安値!S78&lt;安値!T78,安値!S78&lt;安値!U78),14,""))</f>
      </c>
      <c r="O78" s="684">
        <f>IF(終値!A78="","",IF(AND(安値!T78&lt;安値!S78,安値!T78&lt;安値!R78,安値!T78&lt;安値!U78,安値!T78&lt;安値!V78),15,""))</f>
      </c>
      <c r="P78" s="684">
        <f>IF(終値!A78="","",IF(AND(安値!U78&lt;安値!T78,安値!U78&lt;安値!S78,安値!U78&lt;安値!V78,安値!U78&lt;安値!W78),16,""))</f>
      </c>
      <c r="Q78" s="684">
        <f>IF(終値!A78="","",IF(AND(安値!V78&lt;安値!U78,安値!V78&lt;安値!T78,安値!V78&lt;安値!W78,安値!V78&lt;安値!X78),17,""))</f>
      </c>
      <c r="R78" s="684">
        <f>IF(終値!A78="","",IF(AND(安値!W78&lt;安値!V78,安値!W78&lt;安値!U78,安値!W78&lt;安値!X78,安値!W78&lt;安値!Y78),18,""))</f>
      </c>
      <c r="S78" s="684">
        <f>IF(終値!A78="","",IF(AND(安値!X78&lt;安値!W78,安値!X78&lt;安値!V78,安値!X78&lt;安値!Y78,安値!X78&lt;安値!Z78),19,""))</f>
      </c>
      <c r="T78" s="684">
        <f>IF(終値!A78="","",IF(AND(安値!Y78&lt;安値!X78,安値!Y78&lt;安値!W78,安値!Y78&lt;安値!Z78,安値!Y78&lt;安値!AA78),20,""))</f>
      </c>
      <c r="U78" s="684">
        <f>IF(終値!A78="","",IF(AND(安値!Z78&lt;安値!Y78,安値!Z78&lt;安値!X78,安値!Z78&lt;安値!AA78,安値!Z78&lt;安値!AB78),21,""))</f>
      </c>
      <c r="V78" s="684">
        <f>IF(終値!A78="","",IF(AND(安値!AA78&lt;安値!Z78,安値!AA78&lt;安値!Y78,安値!AA78&lt;安値!AB78,安値!AA78&lt;安値!AC78),22,""))</f>
      </c>
      <c r="W78" s="684">
        <f>IF(終値!A78="","",IF(AND(安値!AB78&lt;安値!AA78,安値!AB78&lt;安値!Z78,安値!AB78&lt;安値!AC78,安値!AB78&lt;安値!AD78),23,""))</f>
      </c>
      <c r="X78" s="684">
        <f>IF(終値!A78="","",IF(AND(安値!AC78&lt;安値!AB78,安値!AC78&lt;安値!AA78,安値!AC78&lt;安値!AD78,安値!AC78&lt;安値!AE78),24,""))</f>
      </c>
      <c r="Y78" s="684">
        <f>IF(終値!A78="","",IF(AND(安値!AD78&lt;安値!AC78,安値!AD78&lt;安値!AB78,安値!AD78&lt;安値!AE78,安値!AD78&lt;安値!AF78),25,""))</f>
      </c>
      <c r="Z78" s="684">
        <f>IF(終値!A78="","",IF(AND(安値!AE78&lt;安値!AD78,安値!AE78&lt;安値!AC78,安値!AE78&lt;安値!AF78,安値!AE78&lt;安値!AG78),26,""))</f>
      </c>
      <c r="AA78" s="684">
        <f>IF(終値!A78="","",IF(AND(安値!AF78&lt;安値!AE78,安値!AF78&lt;安値!AD78,安値!AF78&lt;安値!AG78,安値!AF78&lt;安値!AH78),27,""))</f>
      </c>
      <c r="AB78" s="684">
        <f>IF(終値!A78="","",IF(AND(安値!AG78&lt;安値!AF78,安値!AG78&lt;安値!AE78,安値!AG78&lt;安値!AH78,安値!AG78&lt;安値!AI78),28,""))</f>
      </c>
      <c r="AC78" s="684">
        <f>IF(終値!A78="","",IF(AND(高値!G78&gt;高値!F78,高値!G78&gt;高値!E78,高値!G78&gt;高値!H78,高値!G78&gt;高値!I78),2,""))</f>
      </c>
      <c r="AD78" s="684">
        <f>IF(終値!A78="","",IF(AND(高値!H78&gt;高値!G78,高値!H78&gt;高値!F78,高値!H78&gt;高値!I78,高値!H78&gt;高値!J78),3,""))</f>
      </c>
      <c r="AE78" s="684">
        <f>IF(終値!A78="","",IF(AND(高値!I78&gt;高値!H78,高値!I78&gt;高値!G78,高値!I78&gt;高値!J78,高値!I78&gt;高値!K78),4,""))</f>
      </c>
      <c r="AF78" s="684">
        <f>IF(終値!A78="","",IF(AND(高値!J78&gt;高値!I78,高値!J78&gt;高値!H78,高値!J78&gt;高値!K78,高値!J78&gt;高値!L78),5,""))</f>
      </c>
      <c r="AG78" s="684">
        <f>IF(終値!A78="","",IF(AND(高値!K78&gt;高値!J78,高値!K78&gt;高値!I78,高値!K78&gt;高値!L78,高値!K78&gt;高値!M78),6,""))</f>
      </c>
      <c r="AH78" s="684">
        <f>IF(終値!A78="","",IF(AND(高値!L78&gt;高値!K78,高値!L78&gt;高値!J78,高値!L78&gt;高値!M78,高値!L78&gt;高値!N78),7,""))</f>
      </c>
      <c r="AI78" s="684">
        <f>IF(終値!A78="","",IF(AND(高値!M78&gt;高値!L78,高値!M78&gt;高値!K78,高値!M78&gt;高値!N78,高値!M78&gt;高値!O78),8,""))</f>
      </c>
      <c r="AJ78" s="684">
        <f>IF(終値!A78="","",IF(AND(高値!N78&gt;高値!M78,高値!N78&gt;高値!L78,高値!N78&gt;高値!O78,高値!N78&gt;高値!P78),9,""))</f>
      </c>
      <c r="AK78" s="684">
        <f>IF(終値!A78="","",IF(AND(高値!O78&gt;高値!N78,高値!O78&gt;高値!M78,高値!O78&gt;高値!P78,高値!O78&gt;高値!Q78),10,""))</f>
      </c>
      <c r="AL78" s="684">
        <f>IF(終値!A78="","",IF(AND(高値!P78&gt;高値!O78,高値!P78&gt;高値!N78,高値!P78&gt;高値!Q78,高値!P78&gt;高値!R78),11,""))</f>
      </c>
      <c r="AM78" s="684">
        <f>IF(終値!A78="","",IF(AND(高値!Q78&gt;高値!P78,高値!Q78&gt;高値!O78,高値!Q78&gt;高値!R78,高値!Q78&gt;高値!S78),12,""))</f>
      </c>
      <c r="AN78" s="684">
        <f>IF(終値!A78="","",IF(AND(高値!R78&gt;高値!Q78,高値!R78&gt;高値!P78,高値!R78&gt;高値!S78,高値!R78&gt;高値!T78),13,""))</f>
      </c>
      <c r="AO78" s="684">
        <f>IF(終値!A78="","",IF(AND(高値!S78&gt;高値!R78,高値!S78&gt;高値!Q78,高値!S78&gt;高値!T78,高値!S78&gt;高値!U78),14,""))</f>
      </c>
      <c r="AP78" s="684">
        <f>IF(終値!A78="","",IF(AND(高値!T78&gt;高値!S78,高値!T78&gt;高値!R78,高値!T78&gt;高値!U78,高値!T78&gt;高値!V78),15,""))</f>
      </c>
      <c r="AQ78" s="684">
        <f>IF(終値!A78="","",IF(AND(高値!U78&gt;高値!T78,高値!U78&gt;高値!S78,高値!U78&gt;高値!V78,高値!U78&gt;高値!W78),16,""))</f>
      </c>
      <c r="AR78" s="684">
        <f>IF(終値!A78="","",IF(AND(高値!V78&gt;高値!U78,高値!V78&gt;高値!T78,高値!V78&gt;高値!W78,高値!V78&gt;高値!X78),17,""))</f>
      </c>
      <c r="AS78" s="684">
        <f>IF(終値!A78="","",IF(AND(高値!W78&gt;高値!V78,高値!W78&gt;高値!U78,高値!W78&gt;高値!X78,高値!W78&gt;高値!Y78),18,""))</f>
      </c>
      <c r="AT78" s="684">
        <f>IF(終値!A78="","",IF(AND(高値!X78&gt;高値!W78,高値!X78&gt;高値!V78,高値!X78&gt;高値!Y78,高値!X78&gt;高値!Z78),19,""))</f>
      </c>
      <c r="AU78" s="684">
        <f>IF(終値!A78="","",IF(AND(高値!Y78&gt;高値!X78,高値!Y78&gt;高値!W78,高値!Y78&gt;高値!Z78,高値!Y78&gt;高値!AA78),20,""))</f>
      </c>
      <c r="AV78" s="684">
        <f>IF(終値!A78="","",IF(AND(高値!Z78&gt;高値!Y78,高値!Z78&gt;高値!X78,高値!Z78&gt;高値!AA78,高値!Z78&gt;高値!AB78),21,""))</f>
      </c>
      <c r="AW78" s="684">
        <f>IF(終値!A78="","",IF(AND(高値!AA78&gt;高値!Z78,高値!AA78&gt;高値!Y78,高値!AA78&gt;高値!AB78,高値!AA78&gt;高値!AC78),22,""))</f>
      </c>
      <c r="AX78" s="684">
        <f>IF(終値!A78="","",IF(AND(高値!AB78&gt;高値!AA78,高値!AB78&gt;高値!Z78,高値!AB78&gt;高値!AC78,高値!AB78&gt;高値!AD78),23,""))</f>
      </c>
      <c r="AY78" s="684">
        <f>IF(終値!A78="","",IF(AND(高値!AC78&gt;高値!AB78,高値!AC78&gt;高値!AA78,高値!AC78&gt;高値!AD78,高値!AC78&gt;高値!AE78),24,""))</f>
      </c>
      <c r="AZ78" s="684">
        <f>IF(終値!A78="","",IF(AND(高値!AD78&gt;高値!AC78,高値!AD78&gt;高値!AB78,高値!AD78&gt;高値!AE78,高値!AD78&gt;高値!AF78),25,""))</f>
      </c>
      <c r="BA78" s="684">
        <f>IF(終値!A78="","",IF(AND(高値!AE78&gt;高値!AD78,高値!AE78&gt;高値!AC78,高値!AE78&gt;高値!AF78,高値!AE78&gt;高値!AG78),26,""))</f>
      </c>
      <c r="BB78" s="684">
        <f>IF(終値!A78="","",IF(AND(高値!AF78&gt;高値!AE78,高値!AF78&gt;高値!AD78,高値!AF78&gt;高値!AG78,高値!AF78&gt;高値!AH78),27,""))</f>
      </c>
      <c r="BC78" s="684">
        <f>IF(終値!A78="","",IF(AND(高値!AG78&gt;高値!AF78,高値!AG78&gt;高値!AE78,高値!AG78&gt;高値!AH78,高値!AG78&gt;高値!AI78),28,""))</f>
      </c>
      <c r="BD78" s="684">
        <f>COUNT($B78:$AB78)</f>
      </c>
      <c r="BE78" s="684">
        <f>IF($BD78&gt;=2,MIN($B78:$AB78),"")</f>
      </c>
      <c r="BF78" s="684">
        <f>IF($BD78&gt;=2,SMALL($B78:$AB78,2),"")</f>
      </c>
      <c r="BG78" s="684">
        <f>IF($BE78="","",INDEX(安値!$E78:$CZ78,1,$BE78+1))</f>
      </c>
      <c r="BH78" s="684">
        <f>IF($BF78="","",INDEX(安値!$E78:$CZ78,1,$BF78+1))</f>
      </c>
      <c r="BI78" s="684">
        <f>IF($BF78="","",MAX(INDEX(高値!$E78:$CZ78,1,$BE78+1):INDEX(高値!$E78:$CZ78,1,$BF78+1)))</f>
      </c>
      <c r="BJ78" s="684">
        <f>IF($BF78="","",AVERAGE(INDEX(終値!$E78:$CZ78,1,$BF78+1):INDEX(終値!$E78:$CZ78,1,$BF78+20))-2*STDEVP(INDEX(終値!$E78:$CZ78,1,$BF78+1):INDEX(終値!$E78:$CZ78,1,$BF78+20)))</f>
      </c>
      <c r="BK78" s="684">
        <f>IF($BE78="","",AVERAGE(INDEX(終値!$E78:$CZ78,1,$BE78+1):INDEX(終値!$E78:$CZ78,1,$BE78+20))-2*STDEVP(INDEX(終値!$E78:$CZ78,1,$BE78+1):INDEX(終値!$E78:$CZ78,1,$BE78+20)))</f>
      </c>
      <c r="BL78" s="684">
        <f>COUNT($AC78:$BC78)</f>
      </c>
      <c r="BM78" s="684">
        <f>IF($BL78&gt;=2,MIN($AC78:$BC78),"")</f>
      </c>
      <c r="BN78" s="684">
        <f>IF($BL78&gt;=2,SMALL($AC78:$BC78,2),"")</f>
      </c>
      <c r="BO78" s="684">
        <f>IF($BM78="","",INDEX(高値!$E78:$CZ78,1,$BM78+1))</f>
      </c>
      <c r="BP78" s="684">
        <f>IF($BN78="","",INDEX(高値!$E78:$CZ78,1,$BN78+1))</f>
      </c>
      <c r="BQ78" s="684">
        <f>IF($BN78="","",MIN(INDEX(安値!$E78:$CZ78,1,$BM78+1):INDEX(安値!$E78:$CZ78,1,$BN78+1)))</f>
      </c>
      <c r="BR78" s="684">
        <f>IF($BN78="","",AVERAGE(INDEX(終値!$E78:$CZ78,1,$BN78+1):INDEX(終値!$E78:$CZ78,1,$BN78+20))+2*STDEVP(INDEX(終値!$E78:$CZ78,1,$BN78+1):INDEX(終値!$E78:$CZ78,1,$BN78+20)))</f>
      </c>
      <c r="BS78" s="684">
        <f>IF($BM78="","",AVERAGE(INDEX(終値!$E78:$CZ78,1,$BM78+1):INDEX(終値!$E78:$CZ78,1,$BM78+20))+2*STDEVP(INDEX(終値!$E78:$CZ78,1,$BM78+1):INDEX(終値!$E78:$CZ78,1,$BM78+20)))</f>
      </c>
      <c r="BT78" s="681">
        <f>IFERROR(IF(AND($BD78&gt;=2,ABS($BG78-$BH78)/$BH78&lt;=BB設定!$B$12,$BI78&gt;=MAX($BH78,$BG78)*(1+BB設定!$B$13),終値!E78&gt;$BG78),IF(OR(終値!E78&gt;=$BI78,AND($BH78&lt;$BJ78,$BG78&gt;=$BK78)),"二番底W▲","二番底W形成"),IF(AND($BL78&gt;=2,ABS($BO78-$BP78)/$BP78&lt;=BB設定!$B$12,$BQ78&lt;=MIN($BP78,$BO78)*(1-BB設定!$B$13),終値!E78&lt;$BO78),IF(OR(終値!E78&lt;=$BQ78,AND($BP78&gt;$BR78,$BO78&lt;=$BS78)),"二番天井M▼","二番天井M形成"),"－")),"－")</f>
      </c>
    </row>
    <row r="79">
      <c r="B79" s="684">
        <f>IF(終値!A79="","",IF(AND(安値!G79&lt;安値!F79,安値!G79&lt;安値!E79,安値!G79&lt;安値!H79,安値!G79&lt;安値!I79),2,""))</f>
      </c>
      <c r="C79" s="684">
        <f>IF(終値!A79="","",IF(AND(安値!H79&lt;安値!G79,安値!H79&lt;安値!F79,安値!H79&lt;安値!I79,安値!H79&lt;安値!J79),3,""))</f>
      </c>
      <c r="D79" s="684">
        <f>IF(終値!A79="","",IF(AND(安値!I79&lt;安値!H79,安値!I79&lt;安値!G79,安値!I79&lt;安値!J79,安値!I79&lt;安値!K79),4,""))</f>
      </c>
      <c r="E79" s="684">
        <f>IF(終値!A79="","",IF(AND(安値!J79&lt;安値!I79,安値!J79&lt;安値!H79,安値!J79&lt;安値!K79,安値!J79&lt;安値!L79),5,""))</f>
      </c>
      <c r="F79" s="684">
        <f>IF(終値!A79="","",IF(AND(安値!K79&lt;安値!J79,安値!K79&lt;安値!I79,安値!K79&lt;安値!L79,安値!K79&lt;安値!M79),6,""))</f>
      </c>
      <c r="G79" s="684">
        <f>IF(終値!A79="","",IF(AND(安値!L79&lt;安値!K79,安値!L79&lt;安値!J79,安値!L79&lt;安値!M79,安値!L79&lt;安値!N79),7,""))</f>
      </c>
      <c r="H79" s="684">
        <f>IF(終値!A79="","",IF(AND(安値!M79&lt;安値!L79,安値!M79&lt;安値!K79,安値!M79&lt;安値!N79,安値!M79&lt;安値!O79),8,""))</f>
      </c>
      <c r="I79" s="684">
        <f>IF(終値!A79="","",IF(AND(安値!N79&lt;安値!M79,安値!N79&lt;安値!L79,安値!N79&lt;安値!O79,安値!N79&lt;安値!P79),9,""))</f>
      </c>
      <c r="J79" s="684">
        <f>IF(終値!A79="","",IF(AND(安値!O79&lt;安値!N79,安値!O79&lt;安値!M79,安値!O79&lt;安値!P79,安値!O79&lt;安値!Q79),10,""))</f>
      </c>
      <c r="K79" s="684">
        <f>IF(終値!A79="","",IF(AND(安値!P79&lt;安値!O79,安値!P79&lt;安値!N79,安値!P79&lt;安値!Q79,安値!P79&lt;安値!R79),11,""))</f>
      </c>
      <c r="L79" s="684">
        <f>IF(終値!A79="","",IF(AND(安値!Q79&lt;安値!P79,安値!Q79&lt;安値!O79,安値!Q79&lt;安値!R79,安値!Q79&lt;安値!S79),12,""))</f>
      </c>
      <c r="M79" s="684">
        <f>IF(終値!A79="","",IF(AND(安値!R79&lt;安値!Q79,安値!R79&lt;安値!P79,安値!R79&lt;安値!S79,安値!R79&lt;安値!T79),13,""))</f>
      </c>
      <c r="N79" s="684">
        <f>IF(終値!A79="","",IF(AND(安値!S79&lt;安値!R79,安値!S79&lt;安値!Q79,安値!S79&lt;安値!T79,安値!S79&lt;安値!U79),14,""))</f>
      </c>
      <c r="O79" s="684">
        <f>IF(終値!A79="","",IF(AND(安値!T79&lt;安値!S79,安値!T79&lt;安値!R79,安値!T79&lt;安値!U79,安値!T79&lt;安値!V79),15,""))</f>
      </c>
      <c r="P79" s="684">
        <f>IF(終値!A79="","",IF(AND(安値!U79&lt;安値!T79,安値!U79&lt;安値!S79,安値!U79&lt;安値!V79,安値!U79&lt;安値!W79),16,""))</f>
      </c>
      <c r="Q79" s="684">
        <f>IF(終値!A79="","",IF(AND(安値!V79&lt;安値!U79,安値!V79&lt;安値!T79,安値!V79&lt;安値!W79,安値!V79&lt;安値!X79),17,""))</f>
      </c>
      <c r="R79" s="684">
        <f>IF(終値!A79="","",IF(AND(安値!W79&lt;安値!V79,安値!W79&lt;安値!U79,安値!W79&lt;安値!X79,安値!W79&lt;安値!Y79),18,""))</f>
      </c>
      <c r="S79" s="684">
        <f>IF(終値!A79="","",IF(AND(安値!X79&lt;安値!W79,安値!X79&lt;安値!V79,安値!X79&lt;安値!Y79,安値!X79&lt;安値!Z79),19,""))</f>
      </c>
      <c r="T79" s="684">
        <f>IF(終値!A79="","",IF(AND(安値!Y79&lt;安値!X79,安値!Y79&lt;安値!W79,安値!Y79&lt;安値!Z79,安値!Y79&lt;安値!AA79),20,""))</f>
      </c>
      <c r="U79" s="684">
        <f>IF(終値!A79="","",IF(AND(安値!Z79&lt;安値!Y79,安値!Z79&lt;安値!X79,安値!Z79&lt;安値!AA79,安値!Z79&lt;安値!AB79),21,""))</f>
      </c>
      <c r="V79" s="684">
        <f>IF(終値!A79="","",IF(AND(安値!AA79&lt;安値!Z79,安値!AA79&lt;安値!Y79,安値!AA79&lt;安値!AB79,安値!AA79&lt;安値!AC79),22,""))</f>
      </c>
      <c r="W79" s="684">
        <f>IF(終値!A79="","",IF(AND(安値!AB79&lt;安値!AA79,安値!AB79&lt;安値!Z79,安値!AB79&lt;安値!AC79,安値!AB79&lt;安値!AD79),23,""))</f>
      </c>
      <c r="X79" s="684">
        <f>IF(終値!A79="","",IF(AND(安値!AC79&lt;安値!AB79,安値!AC79&lt;安値!AA79,安値!AC79&lt;安値!AD79,安値!AC79&lt;安値!AE79),24,""))</f>
      </c>
      <c r="Y79" s="684">
        <f>IF(終値!A79="","",IF(AND(安値!AD79&lt;安値!AC79,安値!AD79&lt;安値!AB79,安値!AD79&lt;安値!AE79,安値!AD79&lt;安値!AF79),25,""))</f>
      </c>
      <c r="Z79" s="684">
        <f>IF(終値!A79="","",IF(AND(安値!AE79&lt;安値!AD79,安値!AE79&lt;安値!AC79,安値!AE79&lt;安値!AF79,安値!AE79&lt;安値!AG79),26,""))</f>
      </c>
      <c r="AA79" s="684">
        <f>IF(終値!A79="","",IF(AND(安値!AF79&lt;安値!AE79,安値!AF79&lt;安値!AD79,安値!AF79&lt;安値!AG79,安値!AF79&lt;安値!AH79),27,""))</f>
      </c>
      <c r="AB79" s="684">
        <f>IF(終値!A79="","",IF(AND(安値!AG79&lt;安値!AF79,安値!AG79&lt;安値!AE79,安値!AG79&lt;安値!AH79,安値!AG79&lt;安値!AI79),28,""))</f>
      </c>
      <c r="AC79" s="684">
        <f>IF(終値!A79="","",IF(AND(高値!G79&gt;高値!F79,高値!G79&gt;高値!E79,高値!G79&gt;高値!H79,高値!G79&gt;高値!I79),2,""))</f>
      </c>
      <c r="AD79" s="684">
        <f>IF(終値!A79="","",IF(AND(高値!H79&gt;高値!G79,高値!H79&gt;高値!F79,高値!H79&gt;高値!I79,高値!H79&gt;高値!J79),3,""))</f>
      </c>
      <c r="AE79" s="684">
        <f>IF(終値!A79="","",IF(AND(高値!I79&gt;高値!H79,高値!I79&gt;高値!G79,高値!I79&gt;高値!J79,高値!I79&gt;高値!K79),4,""))</f>
      </c>
      <c r="AF79" s="684">
        <f>IF(終値!A79="","",IF(AND(高値!J79&gt;高値!I79,高値!J79&gt;高値!H79,高値!J79&gt;高値!K79,高値!J79&gt;高値!L79),5,""))</f>
      </c>
      <c r="AG79" s="684">
        <f>IF(終値!A79="","",IF(AND(高値!K79&gt;高値!J79,高値!K79&gt;高値!I79,高値!K79&gt;高値!L79,高値!K79&gt;高値!M79),6,""))</f>
      </c>
      <c r="AH79" s="684">
        <f>IF(終値!A79="","",IF(AND(高値!L79&gt;高値!K79,高値!L79&gt;高値!J79,高値!L79&gt;高値!M79,高値!L79&gt;高値!N79),7,""))</f>
      </c>
      <c r="AI79" s="684">
        <f>IF(終値!A79="","",IF(AND(高値!M79&gt;高値!L79,高値!M79&gt;高値!K79,高値!M79&gt;高値!N79,高値!M79&gt;高値!O79),8,""))</f>
      </c>
      <c r="AJ79" s="684">
        <f>IF(終値!A79="","",IF(AND(高値!N79&gt;高値!M79,高値!N79&gt;高値!L79,高値!N79&gt;高値!O79,高値!N79&gt;高値!P79),9,""))</f>
      </c>
      <c r="AK79" s="684">
        <f>IF(終値!A79="","",IF(AND(高値!O79&gt;高値!N79,高値!O79&gt;高値!M79,高値!O79&gt;高値!P79,高値!O79&gt;高値!Q79),10,""))</f>
      </c>
      <c r="AL79" s="684">
        <f>IF(終値!A79="","",IF(AND(高値!P79&gt;高値!O79,高値!P79&gt;高値!N79,高値!P79&gt;高値!Q79,高値!P79&gt;高値!R79),11,""))</f>
      </c>
      <c r="AM79" s="684">
        <f>IF(終値!A79="","",IF(AND(高値!Q79&gt;高値!P79,高値!Q79&gt;高値!O79,高値!Q79&gt;高値!R79,高値!Q79&gt;高値!S79),12,""))</f>
      </c>
      <c r="AN79" s="684">
        <f>IF(終値!A79="","",IF(AND(高値!R79&gt;高値!Q79,高値!R79&gt;高値!P79,高値!R79&gt;高値!S79,高値!R79&gt;高値!T79),13,""))</f>
      </c>
      <c r="AO79" s="684">
        <f>IF(終値!A79="","",IF(AND(高値!S79&gt;高値!R79,高値!S79&gt;高値!Q79,高値!S79&gt;高値!T79,高値!S79&gt;高値!U79),14,""))</f>
      </c>
      <c r="AP79" s="684">
        <f>IF(終値!A79="","",IF(AND(高値!T79&gt;高値!S79,高値!T79&gt;高値!R79,高値!T79&gt;高値!U79,高値!T79&gt;高値!V79),15,""))</f>
      </c>
      <c r="AQ79" s="684">
        <f>IF(終値!A79="","",IF(AND(高値!U79&gt;高値!T79,高値!U79&gt;高値!S79,高値!U79&gt;高値!V79,高値!U79&gt;高値!W79),16,""))</f>
      </c>
      <c r="AR79" s="684">
        <f>IF(終値!A79="","",IF(AND(高値!V79&gt;高値!U79,高値!V79&gt;高値!T79,高値!V79&gt;高値!W79,高値!V79&gt;高値!X79),17,""))</f>
      </c>
      <c r="AS79" s="684">
        <f>IF(終値!A79="","",IF(AND(高値!W79&gt;高値!V79,高値!W79&gt;高値!U79,高値!W79&gt;高値!X79,高値!W79&gt;高値!Y79),18,""))</f>
      </c>
      <c r="AT79" s="684">
        <f>IF(終値!A79="","",IF(AND(高値!X79&gt;高値!W79,高値!X79&gt;高値!V79,高値!X79&gt;高値!Y79,高値!X79&gt;高値!Z79),19,""))</f>
      </c>
      <c r="AU79" s="684">
        <f>IF(終値!A79="","",IF(AND(高値!Y79&gt;高値!X79,高値!Y79&gt;高値!W79,高値!Y79&gt;高値!Z79,高値!Y79&gt;高値!AA79),20,""))</f>
      </c>
      <c r="AV79" s="684">
        <f>IF(終値!A79="","",IF(AND(高値!Z79&gt;高値!Y79,高値!Z79&gt;高値!X79,高値!Z79&gt;高値!AA79,高値!Z79&gt;高値!AB79),21,""))</f>
      </c>
      <c r="AW79" s="684">
        <f>IF(終値!A79="","",IF(AND(高値!AA79&gt;高値!Z79,高値!AA79&gt;高値!Y79,高値!AA79&gt;高値!AB79,高値!AA79&gt;高値!AC79),22,""))</f>
      </c>
      <c r="AX79" s="684">
        <f>IF(終値!A79="","",IF(AND(高値!AB79&gt;高値!AA79,高値!AB79&gt;高値!Z79,高値!AB79&gt;高値!AC79,高値!AB79&gt;高値!AD79),23,""))</f>
      </c>
      <c r="AY79" s="684">
        <f>IF(終値!A79="","",IF(AND(高値!AC79&gt;高値!AB79,高値!AC79&gt;高値!AA79,高値!AC79&gt;高値!AD79,高値!AC79&gt;高値!AE79),24,""))</f>
      </c>
      <c r="AZ79" s="684">
        <f>IF(終値!A79="","",IF(AND(高値!AD79&gt;高値!AC79,高値!AD79&gt;高値!AB79,高値!AD79&gt;高値!AE79,高値!AD79&gt;高値!AF79),25,""))</f>
      </c>
      <c r="BA79" s="684">
        <f>IF(終値!A79="","",IF(AND(高値!AE79&gt;高値!AD79,高値!AE79&gt;高値!AC79,高値!AE79&gt;高値!AF79,高値!AE79&gt;高値!AG79),26,""))</f>
      </c>
      <c r="BB79" s="684">
        <f>IF(終値!A79="","",IF(AND(高値!AF79&gt;高値!AE79,高値!AF79&gt;高値!AD79,高値!AF79&gt;高値!AG79,高値!AF79&gt;高値!AH79),27,""))</f>
      </c>
      <c r="BC79" s="684">
        <f>IF(終値!A79="","",IF(AND(高値!AG79&gt;高値!AF79,高値!AG79&gt;高値!AE79,高値!AG79&gt;高値!AH79,高値!AG79&gt;高値!AI79),28,""))</f>
      </c>
      <c r="BD79" s="684">
        <f>COUNT($B79:$AB79)</f>
      </c>
      <c r="BE79" s="684">
        <f>IF($BD79&gt;=2,MIN($B79:$AB79),"")</f>
      </c>
      <c r="BF79" s="684">
        <f>IF($BD79&gt;=2,SMALL($B79:$AB79,2),"")</f>
      </c>
      <c r="BG79" s="684">
        <f>IF($BE79="","",INDEX(安値!$E79:$CZ79,1,$BE79+1))</f>
      </c>
      <c r="BH79" s="684">
        <f>IF($BF79="","",INDEX(安値!$E79:$CZ79,1,$BF79+1))</f>
      </c>
      <c r="BI79" s="684">
        <f>IF($BF79="","",MAX(INDEX(高値!$E79:$CZ79,1,$BE79+1):INDEX(高値!$E79:$CZ79,1,$BF79+1)))</f>
      </c>
      <c r="BJ79" s="684">
        <f>IF($BF79="","",AVERAGE(INDEX(終値!$E79:$CZ79,1,$BF79+1):INDEX(終値!$E79:$CZ79,1,$BF79+20))-2*STDEVP(INDEX(終値!$E79:$CZ79,1,$BF79+1):INDEX(終値!$E79:$CZ79,1,$BF79+20)))</f>
      </c>
      <c r="BK79" s="684">
        <f>IF($BE79="","",AVERAGE(INDEX(終値!$E79:$CZ79,1,$BE79+1):INDEX(終値!$E79:$CZ79,1,$BE79+20))-2*STDEVP(INDEX(終値!$E79:$CZ79,1,$BE79+1):INDEX(終値!$E79:$CZ79,1,$BE79+20)))</f>
      </c>
      <c r="BL79" s="684">
        <f>COUNT($AC79:$BC79)</f>
      </c>
      <c r="BM79" s="684">
        <f>IF($BL79&gt;=2,MIN($AC79:$BC79),"")</f>
      </c>
      <c r="BN79" s="684">
        <f>IF($BL79&gt;=2,SMALL($AC79:$BC79,2),"")</f>
      </c>
      <c r="BO79" s="684">
        <f>IF($BM79="","",INDEX(高値!$E79:$CZ79,1,$BM79+1))</f>
      </c>
      <c r="BP79" s="684">
        <f>IF($BN79="","",INDEX(高値!$E79:$CZ79,1,$BN79+1))</f>
      </c>
      <c r="BQ79" s="684">
        <f>IF($BN79="","",MIN(INDEX(安値!$E79:$CZ79,1,$BM79+1):INDEX(安値!$E79:$CZ79,1,$BN79+1)))</f>
      </c>
      <c r="BR79" s="684">
        <f>IF($BN79="","",AVERAGE(INDEX(終値!$E79:$CZ79,1,$BN79+1):INDEX(終値!$E79:$CZ79,1,$BN79+20))+2*STDEVP(INDEX(終値!$E79:$CZ79,1,$BN79+1):INDEX(終値!$E79:$CZ79,1,$BN79+20)))</f>
      </c>
      <c r="BS79" s="684">
        <f>IF($BM79="","",AVERAGE(INDEX(終値!$E79:$CZ79,1,$BM79+1):INDEX(終値!$E79:$CZ79,1,$BM79+20))+2*STDEVP(INDEX(終値!$E79:$CZ79,1,$BM79+1):INDEX(終値!$E79:$CZ79,1,$BM79+20)))</f>
      </c>
      <c r="BT79" s="681">
        <f>IFERROR(IF(AND($BD79&gt;=2,ABS($BG79-$BH79)/$BH79&lt;=BB設定!$B$12,$BI79&gt;=MAX($BH79,$BG79)*(1+BB設定!$B$13),終値!E79&gt;$BG79),IF(OR(終値!E79&gt;=$BI79,AND($BH79&lt;$BJ79,$BG79&gt;=$BK79)),"二番底W▲","二番底W形成"),IF(AND($BL79&gt;=2,ABS($BO79-$BP79)/$BP79&lt;=BB設定!$B$12,$BQ79&lt;=MIN($BP79,$BO79)*(1-BB設定!$B$13),終値!E79&lt;$BO79),IF(OR(終値!E79&lt;=$BQ79,AND($BP79&gt;$BR79,$BO79&lt;=$BS79)),"二番天井M▼","二番天井M形成"),"－")),"－")</f>
      </c>
    </row>
    <row r="80">
      <c r="B80" s="684">
        <f>IF(終値!A80="","",IF(AND(安値!G80&lt;安値!F80,安値!G80&lt;安値!E80,安値!G80&lt;安値!H80,安値!G80&lt;安値!I80),2,""))</f>
      </c>
      <c r="C80" s="684">
        <f>IF(終値!A80="","",IF(AND(安値!H80&lt;安値!G80,安値!H80&lt;安値!F80,安値!H80&lt;安値!I80,安値!H80&lt;安値!J80),3,""))</f>
      </c>
      <c r="D80" s="684">
        <f>IF(終値!A80="","",IF(AND(安値!I80&lt;安値!H80,安値!I80&lt;安値!G80,安値!I80&lt;安値!J80,安値!I80&lt;安値!K80),4,""))</f>
      </c>
      <c r="E80" s="684">
        <f>IF(終値!A80="","",IF(AND(安値!J80&lt;安値!I80,安値!J80&lt;安値!H80,安値!J80&lt;安値!K80,安値!J80&lt;安値!L80),5,""))</f>
      </c>
      <c r="F80" s="684">
        <f>IF(終値!A80="","",IF(AND(安値!K80&lt;安値!J80,安値!K80&lt;安値!I80,安値!K80&lt;安値!L80,安値!K80&lt;安値!M80),6,""))</f>
      </c>
      <c r="G80" s="684">
        <f>IF(終値!A80="","",IF(AND(安値!L80&lt;安値!K80,安値!L80&lt;安値!J80,安値!L80&lt;安値!M80,安値!L80&lt;安値!N80),7,""))</f>
      </c>
      <c r="H80" s="684">
        <f>IF(終値!A80="","",IF(AND(安値!M80&lt;安値!L80,安値!M80&lt;安値!K80,安値!M80&lt;安値!N80,安値!M80&lt;安値!O80),8,""))</f>
      </c>
      <c r="I80" s="684">
        <f>IF(終値!A80="","",IF(AND(安値!N80&lt;安値!M80,安値!N80&lt;安値!L80,安値!N80&lt;安値!O80,安値!N80&lt;安値!P80),9,""))</f>
      </c>
      <c r="J80" s="684">
        <f>IF(終値!A80="","",IF(AND(安値!O80&lt;安値!N80,安値!O80&lt;安値!M80,安値!O80&lt;安値!P80,安値!O80&lt;安値!Q80),10,""))</f>
      </c>
      <c r="K80" s="684">
        <f>IF(終値!A80="","",IF(AND(安値!P80&lt;安値!O80,安値!P80&lt;安値!N80,安値!P80&lt;安値!Q80,安値!P80&lt;安値!R80),11,""))</f>
      </c>
      <c r="L80" s="684">
        <f>IF(終値!A80="","",IF(AND(安値!Q80&lt;安値!P80,安値!Q80&lt;安値!O80,安値!Q80&lt;安値!R80,安値!Q80&lt;安値!S80),12,""))</f>
      </c>
      <c r="M80" s="684">
        <f>IF(終値!A80="","",IF(AND(安値!R80&lt;安値!Q80,安値!R80&lt;安値!P80,安値!R80&lt;安値!S80,安値!R80&lt;安値!T80),13,""))</f>
      </c>
      <c r="N80" s="684">
        <f>IF(終値!A80="","",IF(AND(安値!S80&lt;安値!R80,安値!S80&lt;安値!Q80,安値!S80&lt;安値!T80,安値!S80&lt;安値!U80),14,""))</f>
      </c>
      <c r="O80" s="684">
        <f>IF(終値!A80="","",IF(AND(安値!T80&lt;安値!S80,安値!T80&lt;安値!R80,安値!T80&lt;安値!U80,安値!T80&lt;安値!V80),15,""))</f>
      </c>
      <c r="P80" s="684">
        <f>IF(終値!A80="","",IF(AND(安値!U80&lt;安値!T80,安値!U80&lt;安値!S80,安値!U80&lt;安値!V80,安値!U80&lt;安値!W80),16,""))</f>
      </c>
      <c r="Q80" s="684">
        <f>IF(終値!A80="","",IF(AND(安値!V80&lt;安値!U80,安値!V80&lt;安値!T80,安値!V80&lt;安値!W80,安値!V80&lt;安値!X80),17,""))</f>
      </c>
      <c r="R80" s="684">
        <f>IF(終値!A80="","",IF(AND(安値!W80&lt;安値!V80,安値!W80&lt;安値!U80,安値!W80&lt;安値!X80,安値!W80&lt;安値!Y80),18,""))</f>
      </c>
      <c r="S80" s="684">
        <f>IF(終値!A80="","",IF(AND(安値!X80&lt;安値!W80,安値!X80&lt;安値!V80,安値!X80&lt;安値!Y80,安値!X80&lt;安値!Z80),19,""))</f>
      </c>
      <c r="T80" s="684">
        <f>IF(終値!A80="","",IF(AND(安値!Y80&lt;安値!X80,安値!Y80&lt;安値!W80,安値!Y80&lt;安値!Z80,安値!Y80&lt;安値!AA80),20,""))</f>
      </c>
      <c r="U80" s="684">
        <f>IF(終値!A80="","",IF(AND(安値!Z80&lt;安値!Y80,安値!Z80&lt;安値!X80,安値!Z80&lt;安値!AA80,安値!Z80&lt;安値!AB80),21,""))</f>
      </c>
      <c r="V80" s="684">
        <f>IF(終値!A80="","",IF(AND(安値!AA80&lt;安値!Z80,安値!AA80&lt;安値!Y80,安値!AA80&lt;安値!AB80,安値!AA80&lt;安値!AC80),22,""))</f>
      </c>
      <c r="W80" s="684">
        <f>IF(終値!A80="","",IF(AND(安値!AB80&lt;安値!AA80,安値!AB80&lt;安値!Z80,安値!AB80&lt;安値!AC80,安値!AB80&lt;安値!AD80),23,""))</f>
      </c>
      <c r="X80" s="684">
        <f>IF(終値!A80="","",IF(AND(安値!AC80&lt;安値!AB80,安値!AC80&lt;安値!AA80,安値!AC80&lt;安値!AD80,安値!AC80&lt;安値!AE80),24,""))</f>
      </c>
      <c r="Y80" s="684">
        <f>IF(終値!A80="","",IF(AND(安値!AD80&lt;安値!AC80,安値!AD80&lt;安値!AB80,安値!AD80&lt;安値!AE80,安値!AD80&lt;安値!AF80),25,""))</f>
      </c>
      <c r="Z80" s="684">
        <f>IF(終値!A80="","",IF(AND(安値!AE80&lt;安値!AD80,安値!AE80&lt;安値!AC80,安値!AE80&lt;安値!AF80,安値!AE80&lt;安値!AG80),26,""))</f>
      </c>
      <c r="AA80" s="684">
        <f>IF(終値!A80="","",IF(AND(安値!AF80&lt;安値!AE80,安値!AF80&lt;安値!AD80,安値!AF80&lt;安値!AG80,安値!AF80&lt;安値!AH80),27,""))</f>
      </c>
      <c r="AB80" s="684">
        <f>IF(終値!A80="","",IF(AND(安値!AG80&lt;安値!AF80,安値!AG80&lt;安値!AE80,安値!AG80&lt;安値!AH80,安値!AG80&lt;安値!AI80),28,""))</f>
      </c>
      <c r="AC80" s="684">
        <f>IF(終値!A80="","",IF(AND(高値!G80&gt;高値!F80,高値!G80&gt;高値!E80,高値!G80&gt;高値!H80,高値!G80&gt;高値!I80),2,""))</f>
      </c>
      <c r="AD80" s="684">
        <f>IF(終値!A80="","",IF(AND(高値!H80&gt;高値!G80,高値!H80&gt;高値!F80,高値!H80&gt;高値!I80,高値!H80&gt;高値!J80),3,""))</f>
      </c>
      <c r="AE80" s="684">
        <f>IF(終値!A80="","",IF(AND(高値!I80&gt;高値!H80,高値!I80&gt;高値!G80,高値!I80&gt;高値!J80,高値!I80&gt;高値!K80),4,""))</f>
      </c>
      <c r="AF80" s="684">
        <f>IF(終値!A80="","",IF(AND(高値!J80&gt;高値!I80,高値!J80&gt;高値!H80,高値!J80&gt;高値!K80,高値!J80&gt;高値!L80),5,""))</f>
      </c>
      <c r="AG80" s="684">
        <f>IF(終値!A80="","",IF(AND(高値!K80&gt;高値!J80,高値!K80&gt;高値!I80,高値!K80&gt;高値!L80,高値!K80&gt;高値!M80),6,""))</f>
      </c>
      <c r="AH80" s="684">
        <f>IF(終値!A80="","",IF(AND(高値!L80&gt;高値!K80,高値!L80&gt;高値!J80,高値!L80&gt;高値!M80,高値!L80&gt;高値!N80),7,""))</f>
      </c>
      <c r="AI80" s="684">
        <f>IF(終値!A80="","",IF(AND(高値!M80&gt;高値!L80,高値!M80&gt;高値!K80,高値!M80&gt;高値!N80,高値!M80&gt;高値!O80),8,""))</f>
      </c>
      <c r="AJ80" s="684">
        <f>IF(終値!A80="","",IF(AND(高値!N80&gt;高値!M80,高値!N80&gt;高値!L80,高値!N80&gt;高値!O80,高値!N80&gt;高値!P80),9,""))</f>
      </c>
      <c r="AK80" s="684">
        <f>IF(終値!A80="","",IF(AND(高値!O80&gt;高値!N80,高値!O80&gt;高値!M80,高値!O80&gt;高値!P80,高値!O80&gt;高値!Q80),10,""))</f>
      </c>
      <c r="AL80" s="684">
        <f>IF(終値!A80="","",IF(AND(高値!P80&gt;高値!O80,高値!P80&gt;高値!N80,高値!P80&gt;高値!Q80,高値!P80&gt;高値!R80),11,""))</f>
      </c>
      <c r="AM80" s="684">
        <f>IF(終値!A80="","",IF(AND(高値!Q80&gt;高値!P80,高値!Q80&gt;高値!O80,高値!Q80&gt;高値!R80,高値!Q80&gt;高値!S80),12,""))</f>
      </c>
      <c r="AN80" s="684">
        <f>IF(終値!A80="","",IF(AND(高値!R80&gt;高値!Q80,高値!R80&gt;高値!P80,高値!R80&gt;高値!S80,高値!R80&gt;高値!T80),13,""))</f>
      </c>
      <c r="AO80" s="684">
        <f>IF(終値!A80="","",IF(AND(高値!S80&gt;高値!R80,高値!S80&gt;高値!Q80,高値!S80&gt;高値!T80,高値!S80&gt;高値!U80),14,""))</f>
      </c>
      <c r="AP80" s="684">
        <f>IF(終値!A80="","",IF(AND(高値!T80&gt;高値!S80,高値!T80&gt;高値!R80,高値!T80&gt;高値!U80,高値!T80&gt;高値!V80),15,""))</f>
      </c>
      <c r="AQ80" s="684">
        <f>IF(終値!A80="","",IF(AND(高値!U80&gt;高値!T80,高値!U80&gt;高値!S80,高値!U80&gt;高値!V80,高値!U80&gt;高値!W80),16,""))</f>
      </c>
      <c r="AR80" s="684">
        <f>IF(終値!A80="","",IF(AND(高値!V80&gt;高値!U80,高値!V80&gt;高値!T80,高値!V80&gt;高値!W80,高値!V80&gt;高値!X80),17,""))</f>
      </c>
      <c r="AS80" s="684">
        <f>IF(終値!A80="","",IF(AND(高値!W80&gt;高値!V80,高値!W80&gt;高値!U80,高値!W80&gt;高値!X80,高値!W80&gt;高値!Y80),18,""))</f>
      </c>
      <c r="AT80" s="684">
        <f>IF(終値!A80="","",IF(AND(高値!X80&gt;高値!W80,高値!X80&gt;高値!V80,高値!X80&gt;高値!Y80,高値!X80&gt;高値!Z80),19,""))</f>
      </c>
      <c r="AU80" s="684">
        <f>IF(終値!A80="","",IF(AND(高値!Y80&gt;高値!X80,高値!Y80&gt;高値!W80,高値!Y80&gt;高値!Z80,高値!Y80&gt;高値!AA80),20,""))</f>
      </c>
      <c r="AV80" s="684">
        <f>IF(終値!A80="","",IF(AND(高値!Z80&gt;高値!Y80,高値!Z80&gt;高値!X80,高値!Z80&gt;高値!AA80,高値!Z80&gt;高値!AB80),21,""))</f>
      </c>
      <c r="AW80" s="684">
        <f>IF(終値!A80="","",IF(AND(高値!AA80&gt;高値!Z80,高値!AA80&gt;高値!Y80,高値!AA80&gt;高値!AB80,高値!AA80&gt;高値!AC80),22,""))</f>
      </c>
      <c r="AX80" s="684">
        <f>IF(終値!A80="","",IF(AND(高値!AB80&gt;高値!AA80,高値!AB80&gt;高値!Z80,高値!AB80&gt;高値!AC80,高値!AB80&gt;高値!AD80),23,""))</f>
      </c>
      <c r="AY80" s="684">
        <f>IF(終値!A80="","",IF(AND(高値!AC80&gt;高値!AB80,高値!AC80&gt;高値!AA80,高値!AC80&gt;高値!AD80,高値!AC80&gt;高値!AE80),24,""))</f>
      </c>
      <c r="AZ80" s="684">
        <f>IF(終値!A80="","",IF(AND(高値!AD80&gt;高値!AC80,高値!AD80&gt;高値!AB80,高値!AD80&gt;高値!AE80,高値!AD80&gt;高値!AF80),25,""))</f>
      </c>
      <c r="BA80" s="684">
        <f>IF(終値!A80="","",IF(AND(高値!AE80&gt;高値!AD80,高値!AE80&gt;高値!AC80,高値!AE80&gt;高値!AF80,高値!AE80&gt;高値!AG80),26,""))</f>
      </c>
      <c r="BB80" s="684">
        <f>IF(終値!A80="","",IF(AND(高値!AF80&gt;高値!AE80,高値!AF80&gt;高値!AD80,高値!AF80&gt;高値!AG80,高値!AF80&gt;高値!AH80),27,""))</f>
      </c>
      <c r="BC80" s="684">
        <f>IF(終値!A80="","",IF(AND(高値!AG80&gt;高値!AF80,高値!AG80&gt;高値!AE80,高値!AG80&gt;高値!AH80,高値!AG80&gt;高値!AI80),28,""))</f>
      </c>
      <c r="BD80" s="684">
        <f>COUNT($B80:$AB80)</f>
      </c>
      <c r="BE80" s="684">
        <f>IF($BD80&gt;=2,MIN($B80:$AB80),"")</f>
      </c>
      <c r="BF80" s="684">
        <f>IF($BD80&gt;=2,SMALL($B80:$AB80,2),"")</f>
      </c>
      <c r="BG80" s="684">
        <f>IF($BE80="","",INDEX(安値!$E80:$CZ80,1,$BE80+1))</f>
      </c>
      <c r="BH80" s="684">
        <f>IF($BF80="","",INDEX(安値!$E80:$CZ80,1,$BF80+1))</f>
      </c>
      <c r="BI80" s="684">
        <f>IF($BF80="","",MAX(INDEX(高値!$E80:$CZ80,1,$BE80+1):INDEX(高値!$E80:$CZ80,1,$BF80+1)))</f>
      </c>
      <c r="BJ80" s="684">
        <f>IF($BF80="","",AVERAGE(INDEX(終値!$E80:$CZ80,1,$BF80+1):INDEX(終値!$E80:$CZ80,1,$BF80+20))-2*STDEVP(INDEX(終値!$E80:$CZ80,1,$BF80+1):INDEX(終値!$E80:$CZ80,1,$BF80+20)))</f>
      </c>
      <c r="BK80" s="684">
        <f>IF($BE80="","",AVERAGE(INDEX(終値!$E80:$CZ80,1,$BE80+1):INDEX(終値!$E80:$CZ80,1,$BE80+20))-2*STDEVP(INDEX(終値!$E80:$CZ80,1,$BE80+1):INDEX(終値!$E80:$CZ80,1,$BE80+20)))</f>
      </c>
      <c r="BL80" s="684">
        <f>COUNT($AC80:$BC80)</f>
      </c>
      <c r="BM80" s="684">
        <f>IF($BL80&gt;=2,MIN($AC80:$BC80),"")</f>
      </c>
      <c r="BN80" s="684">
        <f>IF($BL80&gt;=2,SMALL($AC80:$BC80,2),"")</f>
      </c>
      <c r="BO80" s="684">
        <f>IF($BM80="","",INDEX(高値!$E80:$CZ80,1,$BM80+1))</f>
      </c>
      <c r="BP80" s="684">
        <f>IF($BN80="","",INDEX(高値!$E80:$CZ80,1,$BN80+1))</f>
      </c>
      <c r="BQ80" s="684">
        <f>IF($BN80="","",MIN(INDEX(安値!$E80:$CZ80,1,$BM80+1):INDEX(安値!$E80:$CZ80,1,$BN80+1)))</f>
      </c>
      <c r="BR80" s="684">
        <f>IF($BN80="","",AVERAGE(INDEX(終値!$E80:$CZ80,1,$BN80+1):INDEX(終値!$E80:$CZ80,1,$BN80+20))+2*STDEVP(INDEX(終値!$E80:$CZ80,1,$BN80+1):INDEX(終値!$E80:$CZ80,1,$BN80+20)))</f>
      </c>
      <c r="BS80" s="684">
        <f>IF($BM80="","",AVERAGE(INDEX(終値!$E80:$CZ80,1,$BM80+1):INDEX(終値!$E80:$CZ80,1,$BM80+20))+2*STDEVP(INDEX(終値!$E80:$CZ80,1,$BM80+1):INDEX(終値!$E80:$CZ80,1,$BM80+20)))</f>
      </c>
      <c r="BT80" s="681">
        <f>IFERROR(IF(AND($BD80&gt;=2,ABS($BG80-$BH80)/$BH80&lt;=BB設定!$B$12,$BI80&gt;=MAX($BH80,$BG80)*(1+BB設定!$B$13),終値!E80&gt;$BG80),IF(OR(終値!E80&gt;=$BI80,AND($BH80&lt;$BJ80,$BG80&gt;=$BK80)),"二番底W▲","二番底W形成"),IF(AND($BL80&gt;=2,ABS($BO80-$BP80)/$BP80&lt;=BB設定!$B$12,$BQ80&lt;=MIN($BP80,$BO80)*(1-BB設定!$B$13),終値!E80&lt;$BO80),IF(OR(終値!E80&lt;=$BQ80,AND($BP80&gt;$BR80,$BO80&lt;=$BS80)),"二番天井M▼","二番天井M形成"),"－")),"－")</f>
      </c>
    </row>
    <row r="81">
      <c r="B81" s="684">
        <f>IF(終値!A81="","",IF(AND(安値!G81&lt;安値!F81,安値!G81&lt;安値!E81,安値!G81&lt;安値!H81,安値!G81&lt;安値!I81),2,""))</f>
      </c>
      <c r="C81" s="684">
        <f>IF(終値!A81="","",IF(AND(安値!H81&lt;安値!G81,安値!H81&lt;安値!F81,安値!H81&lt;安値!I81,安値!H81&lt;安値!J81),3,""))</f>
      </c>
      <c r="D81" s="684">
        <f>IF(終値!A81="","",IF(AND(安値!I81&lt;安値!H81,安値!I81&lt;安値!G81,安値!I81&lt;安値!J81,安値!I81&lt;安値!K81),4,""))</f>
      </c>
      <c r="E81" s="684">
        <f>IF(終値!A81="","",IF(AND(安値!J81&lt;安値!I81,安値!J81&lt;安値!H81,安値!J81&lt;安値!K81,安値!J81&lt;安値!L81),5,""))</f>
      </c>
      <c r="F81" s="684">
        <f>IF(終値!A81="","",IF(AND(安値!K81&lt;安値!J81,安値!K81&lt;安値!I81,安値!K81&lt;安値!L81,安値!K81&lt;安値!M81),6,""))</f>
      </c>
      <c r="G81" s="684">
        <f>IF(終値!A81="","",IF(AND(安値!L81&lt;安値!K81,安値!L81&lt;安値!J81,安値!L81&lt;安値!M81,安値!L81&lt;安値!N81),7,""))</f>
      </c>
      <c r="H81" s="684">
        <f>IF(終値!A81="","",IF(AND(安値!M81&lt;安値!L81,安値!M81&lt;安値!K81,安値!M81&lt;安値!N81,安値!M81&lt;安値!O81),8,""))</f>
      </c>
      <c r="I81" s="684">
        <f>IF(終値!A81="","",IF(AND(安値!N81&lt;安値!M81,安値!N81&lt;安値!L81,安値!N81&lt;安値!O81,安値!N81&lt;安値!P81),9,""))</f>
      </c>
      <c r="J81" s="684">
        <f>IF(終値!A81="","",IF(AND(安値!O81&lt;安値!N81,安値!O81&lt;安値!M81,安値!O81&lt;安値!P81,安値!O81&lt;安値!Q81),10,""))</f>
      </c>
      <c r="K81" s="684">
        <f>IF(終値!A81="","",IF(AND(安値!P81&lt;安値!O81,安値!P81&lt;安値!N81,安値!P81&lt;安値!Q81,安値!P81&lt;安値!R81),11,""))</f>
      </c>
      <c r="L81" s="684">
        <f>IF(終値!A81="","",IF(AND(安値!Q81&lt;安値!P81,安値!Q81&lt;安値!O81,安値!Q81&lt;安値!R81,安値!Q81&lt;安値!S81),12,""))</f>
      </c>
      <c r="M81" s="684">
        <f>IF(終値!A81="","",IF(AND(安値!R81&lt;安値!Q81,安値!R81&lt;安値!P81,安値!R81&lt;安値!S81,安値!R81&lt;安値!T81),13,""))</f>
      </c>
      <c r="N81" s="684">
        <f>IF(終値!A81="","",IF(AND(安値!S81&lt;安値!R81,安値!S81&lt;安値!Q81,安値!S81&lt;安値!T81,安値!S81&lt;安値!U81),14,""))</f>
      </c>
      <c r="O81" s="684">
        <f>IF(終値!A81="","",IF(AND(安値!T81&lt;安値!S81,安値!T81&lt;安値!R81,安値!T81&lt;安値!U81,安値!T81&lt;安値!V81),15,""))</f>
      </c>
      <c r="P81" s="684">
        <f>IF(終値!A81="","",IF(AND(安値!U81&lt;安値!T81,安値!U81&lt;安値!S81,安値!U81&lt;安値!V81,安値!U81&lt;安値!W81),16,""))</f>
      </c>
      <c r="Q81" s="684">
        <f>IF(終値!A81="","",IF(AND(安値!V81&lt;安値!U81,安値!V81&lt;安値!T81,安値!V81&lt;安値!W81,安値!V81&lt;安値!X81),17,""))</f>
      </c>
      <c r="R81" s="684">
        <f>IF(終値!A81="","",IF(AND(安値!W81&lt;安値!V81,安値!W81&lt;安値!U81,安値!W81&lt;安値!X81,安値!W81&lt;安値!Y81),18,""))</f>
      </c>
      <c r="S81" s="684">
        <f>IF(終値!A81="","",IF(AND(安値!X81&lt;安値!W81,安値!X81&lt;安値!V81,安値!X81&lt;安値!Y81,安値!X81&lt;安値!Z81),19,""))</f>
      </c>
      <c r="T81" s="684">
        <f>IF(終値!A81="","",IF(AND(安値!Y81&lt;安値!X81,安値!Y81&lt;安値!W81,安値!Y81&lt;安値!Z81,安値!Y81&lt;安値!AA81),20,""))</f>
      </c>
      <c r="U81" s="684">
        <f>IF(終値!A81="","",IF(AND(安値!Z81&lt;安値!Y81,安値!Z81&lt;安値!X81,安値!Z81&lt;安値!AA81,安値!Z81&lt;安値!AB81),21,""))</f>
      </c>
      <c r="V81" s="684">
        <f>IF(終値!A81="","",IF(AND(安値!AA81&lt;安値!Z81,安値!AA81&lt;安値!Y81,安値!AA81&lt;安値!AB81,安値!AA81&lt;安値!AC81),22,""))</f>
      </c>
      <c r="W81" s="684">
        <f>IF(終値!A81="","",IF(AND(安値!AB81&lt;安値!AA81,安値!AB81&lt;安値!Z81,安値!AB81&lt;安値!AC81,安値!AB81&lt;安値!AD81),23,""))</f>
      </c>
      <c r="X81" s="684">
        <f>IF(終値!A81="","",IF(AND(安値!AC81&lt;安値!AB81,安値!AC81&lt;安値!AA81,安値!AC81&lt;安値!AD81,安値!AC81&lt;安値!AE81),24,""))</f>
      </c>
      <c r="Y81" s="684">
        <f>IF(終値!A81="","",IF(AND(安値!AD81&lt;安値!AC81,安値!AD81&lt;安値!AB81,安値!AD81&lt;安値!AE81,安値!AD81&lt;安値!AF81),25,""))</f>
      </c>
      <c r="Z81" s="684">
        <f>IF(終値!A81="","",IF(AND(安値!AE81&lt;安値!AD81,安値!AE81&lt;安値!AC81,安値!AE81&lt;安値!AF81,安値!AE81&lt;安値!AG81),26,""))</f>
      </c>
      <c r="AA81" s="684">
        <f>IF(終値!A81="","",IF(AND(安値!AF81&lt;安値!AE81,安値!AF81&lt;安値!AD81,安値!AF81&lt;安値!AG81,安値!AF81&lt;安値!AH81),27,""))</f>
      </c>
      <c r="AB81" s="684">
        <f>IF(終値!A81="","",IF(AND(安値!AG81&lt;安値!AF81,安値!AG81&lt;安値!AE81,安値!AG81&lt;安値!AH81,安値!AG81&lt;安値!AI81),28,""))</f>
      </c>
      <c r="AC81" s="684">
        <f>IF(終値!A81="","",IF(AND(高値!G81&gt;高値!F81,高値!G81&gt;高値!E81,高値!G81&gt;高値!H81,高値!G81&gt;高値!I81),2,""))</f>
      </c>
      <c r="AD81" s="684">
        <f>IF(終値!A81="","",IF(AND(高値!H81&gt;高値!G81,高値!H81&gt;高値!F81,高値!H81&gt;高値!I81,高値!H81&gt;高値!J81),3,""))</f>
      </c>
      <c r="AE81" s="684">
        <f>IF(終値!A81="","",IF(AND(高値!I81&gt;高値!H81,高値!I81&gt;高値!G81,高値!I81&gt;高値!J81,高値!I81&gt;高値!K81),4,""))</f>
      </c>
      <c r="AF81" s="684">
        <f>IF(終値!A81="","",IF(AND(高値!J81&gt;高値!I81,高値!J81&gt;高値!H81,高値!J81&gt;高値!K81,高値!J81&gt;高値!L81),5,""))</f>
      </c>
      <c r="AG81" s="684">
        <f>IF(終値!A81="","",IF(AND(高値!K81&gt;高値!J81,高値!K81&gt;高値!I81,高値!K81&gt;高値!L81,高値!K81&gt;高値!M81),6,""))</f>
      </c>
      <c r="AH81" s="684">
        <f>IF(終値!A81="","",IF(AND(高値!L81&gt;高値!K81,高値!L81&gt;高値!J81,高値!L81&gt;高値!M81,高値!L81&gt;高値!N81),7,""))</f>
      </c>
      <c r="AI81" s="684">
        <f>IF(終値!A81="","",IF(AND(高値!M81&gt;高値!L81,高値!M81&gt;高値!K81,高値!M81&gt;高値!N81,高値!M81&gt;高値!O81),8,""))</f>
      </c>
      <c r="AJ81" s="684">
        <f>IF(終値!A81="","",IF(AND(高値!N81&gt;高値!M81,高値!N81&gt;高値!L81,高値!N81&gt;高値!O81,高値!N81&gt;高値!P81),9,""))</f>
      </c>
      <c r="AK81" s="684">
        <f>IF(終値!A81="","",IF(AND(高値!O81&gt;高値!N81,高値!O81&gt;高値!M81,高値!O81&gt;高値!P81,高値!O81&gt;高値!Q81),10,""))</f>
      </c>
      <c r="AL81" s="684">
        <f>IF(終値!A81="","",IF(AND(高値!P81&gt;高値!O81,高値!P81&gt;高値!N81,高値!P81&gt;高値!Q81,高値!P81&gt;高値!R81),11,""))</f>
      </c>
      <c r="AM81" s="684">
        <f>IF(終値!A81="","",IF(AND(高値!Q81&gt;高値!P81,高値!Q81&gt;高値!O81,高値!Q81&gt;高値!R81,高値!Q81&gt;高値!S81),12,""))</f>
      </c>
      <c r="AN81" s="684">
        <f>IF(終値!A81="","",IF(AND(高値!R81&gt;高値!Q81,高値!R81&gt;高値!P81,高値!R81&gt;高値!S81,高値!R81&gt;高値!T81),13,""))</f>
      </c>
      <c r="AO81" s="684">
        <f>IF(終値!A81="","",IF(AND(高値!S81&gt;高値!R81,高値!S81&gt;高値!Q81,高値!S81&gt;高値!T81,高値!S81&gt;高値!U81),14,""))</f>
      </c>
      <c r="AP81" s="684">
        <f>IF(終値!A81="","",IF(AND(高値!T81&gt;高値!S81,高値!T81&gt;高値!R81,高値!T81&gt;高値!U81,高値!T81&gt;高値!V81),15,""))</f>
      </c>
      <c r="AQ81" s="684">
        <f>IF(終値!A81="","",IF(AND(高値!U81&gt;高値!T81,高値!U81&gt;高値!S81,高値!U81&gt;高値!V81,高値!U81&gt;高値!W81),16,""))</f>
      </c>
      <c r="AR81" s="684">
        <f>IF(終値!A81="","",IF(AND(高値!V81&gt;高値!U81,高値!V81&gt;高値!T81,高値!V81&gt;高値!W81,高値!V81&gt;高値!X81),17,""))</f>
      </c>
      <c r="AS81" s="684">
        <f>IF(終値!A81="","",IF(AND(高値!W81&gt;高値!V81,高値!W81&gt;高値!U81,高値!W81&gt;高値!X81,高値!W81&gt;高値!Y81),18,""))</f>
      </c>
      <c r="AT81" s="684">
        <f>IF(終値!A81="","",IF(AND(高値!X81&gt;高値!W81,高値!X81&gt;高値!V81,高値!X81&gt;高値!Y81,高値!X81&gt;高値!Z81),19,""))</f>
      </c>
      <c r="AU81" s="684">
        <f>IF(終値!A81="","",IF(AND(高値!Y81&gt;高値!X81,高値!Y81&gt;高値!W81,高値!Y81&gt;高値!Z81,高値!Y81&gt;高値!AA81),20,""))</f>
      </c>
      <c r="AV81" s="684">
        <f>IF(終値!A81="","",IF(AND(高値!Z81&gt;高値!Y81,高値!Z81&gt;高値!X81,高値!Z81&gt;高値!AA81,高値!Z81&gt;高値!AB81),21,""))</f>
      </c>
      <c r="AW81" s="684">
        <f>IF(終値!A81="","",IF(AND(高値!AA81&gt;高値!Z81,高値!AA81&gt;高値!Y81,高値!AA81&gt;高値!AB81,高値!AA81&gt;高値!AC81),22,""))</f>
      </c>
      <c r="AX81" s="684">
        <f>IF(終値!A81="","",IF(AND(高値!AB81&gt;高値!AA81,高値!AB81&gt;高値!Z81,高値!AB81&gt;高値!AC81,高値!AB81&gt;高値!AD81),23,""))</f>
      </c>
      <c r="AY81" s="684">
        <f>IF(終値!A81="","",IF(AND(高値!AC81&gt;高値!AB81,高値!AC81&gt;高値!AA81,高値!AC81&gt;高値!AD81,高値!AC81&gt;高値!AE81),24,""))</f>
      </c>
      <c r="AZ81" s="684">
        <f>IF(終値!A81="","",IF(AND(高値!AD81&gt;高値!AC81,高値!AD81&gt;高値!AB81,高値!AD81&gt;高値!AE81,高値!AD81&gt;高値!AF81),25,""))</f>
      </c>
      <c r="BA81" s="684">
        <f>IF(終値!A81="","",IF(AND(高値!AE81&gt;高値!AD81,高値!AE81&gt;高値!AC81,高値!AE81&gt;高値!AF81,高値!AE81&gt;高値!AG81),26,""))</f>
      </c>
      <c r="BB81" s="684">
        <f>IF(終値!A81="","",IF(AND(高値!AF81&gt;高値!AE81,高値!AF81&gt;高値!AD81,高値!AF81&gt;高値!AG81,高値!AF81&gt;高値!AH81),27,""))</f>
      </c>
      <c r="BC81" s="684">
        <f>IF(終値!A81="","",IF(AND(高値!AG81&gt;高値!AF81,高値!AG81&gt;高値!AE81,高値!AG81&gt;高値!AH81,高値!AG81&gt;高値!AI81),28,""))</f>
      </c>
      <c r="BD81" s="684">
        <f>COUNT($B81:$AB81)</f>
      </c>
      <c r="BE81" s="684">
        <f>IF($BD81&gt;=2,MIN($B81:$AB81),"")</f>
      </c>
      <c r="BF81" s="684">
        <f>IF($BD81&gt;=2,SMALL($B81:$AB81,2),"")</f>
      </c>
      <c r="BG81" s="684">
        <f>IF($BE81="","",INDEX(安値!$E81:$CZ81,1,$BE81+1))</f>
      </c>
      <c r="BH81" s="684">
        <f>IF($BF81="","",INDEX(安値!$E81:$CZ81,1,$BF81+1))</f>
      </c>
      <c r="BI81" s="684">
        <f>IF($BF81="","",MAX(INDEX(高値!$E81:$CZ81,1,$BE81+1):INDEX(高値!$E81:$CZ81,1,$BF81+1)))</f>
      </c>
      <c r="BJ81" s="684">
        <f>IF($BF81="","",AVERAGE(INDEX(終値!$E81:$CZ81,1,$BF81+1):INDEX(終値!$E81:$CZ81,1,$BF81+20))-2*STDEVP(INDEX(終値!$E81:$CZ81,1,$BF81+1):INDEX(終値!$E81:$CZ81,1,$BF81+20)))</f>
      </c>
      <c r="BK81" s="684">
        <f>IF($BE81="","",AVERAGE(INDEX(終値!$E81:$CZ81,1,$BE81+1):INDEX(終値!$E81:$CZ81,1,$BE81+20))-2*STDEVP(INDEX(終値!$E81:$CZ81,1,$BE81+1):INDEX(終値!$E81:$CZ81,1,$BE81+20)))</f>
      </c>
      <c r="BL81" s="684">
        <f>COUNT($AC81:$BC81)</f>
      </c>
      <c r="BM81" s="684">
        <f>IF($BL81&gt;=2,MIN($AC81:$BC81),"")</f>
      </c>
      <c r="BN81" s="684">
        <f>IF($BL81&gt;=2,SMALL($AC81:$BC81,2),"")</f>
      </c>
      <c r="BO81" s="684">
        <f>IF($BM81="","",INDEX(高値!$E81:$CZ81,1,$BM81+1))</f>
      </c>
      <c r="BP81" s="684">
        <f>IF($BN81="","",INDEX(高値!$E81:$CZ81,1,$BN81+1))</f>
      </c>
      <c r="BQ81" s="684">
        <f>IF($BN81="","",MIN(INDEX(安値!$E81:$CZ81,1,$BM81+1):INDEX(安値!$E81:$CZ81,1,$BN81+1)))</f>
      </c>
      <c r="BR81" s="684">
        <f>IF($BN81="","",AVERAGE(INDEX(終値!$E81:$CZ81,1,$BN81+1):INDEX(終値!$E81:$CZ81,1,$BN81+20))+2*STDEVP(INDEX(終値!$E81:$CZ81,1,$BN81+1):INDEX(終値!$E81:$CZ81,1,$BN81+20)))</f>
      </c>
      <c r="BS81" s="684">
        <f>IF($BM81="","",AVERAGE(INDEX(終値!$E81:$CZ81,1,$BM81+1):INDEX(終値!$E81:$CZ81,1,$BM81+20))+2*STDEVP(INDEX(終値!$E81:$CZ81,1,$BM81+1):INDEX(終値!$E81:$CZ81,1,$BM81+20)))</f>
      </c>
      <c r="BT81" s="681">
        <f>IFERROR(IF(AND($BD81&gt;=2,ABS($BG81-$BH81)/$BH81&lt;=BB設定!$B$12,$BI81&gt;=MAX($BH81,$BG81)*(1+BB設定!$B$13),終値!E81&gt;$BG81),IF(OR(終値!E81&gt;=$BI81,AND($BH81&lt;$BJ81,$BG81&gt;=$BK81)),"二番底W▲","二番底W形成"),IF(AND($BL81&gt;=2,ABS($BO81-$BP81)/$BP81&lt;=BB設定!$B$12,$BQ81&lt;=MIN($BP81,$BO81)*(1-BB設定!$B$13),終値!E81&lt;$BO81),IF(OR(終値!E81&lt;=$BQ81,AND($BP81&gt;$BR81,$BO81&lt;=$BS81)),"二番天井M▼","二番天井M形成"),"－")),"－")</f>
      </c>
    </row>
    <row r="82">
      <c r="B82" s="684">
        <f>IF(終値!A82="","",IF(AND(安値!G82&lt;安値!F82,安値!G82&lt;安値!E82,安値!G82&lt;安値!H82,安値!G82&lt;安値!I82),2,""))</f>
      </c>
      <c r="C82" s="684">
        <f>IF(終値!A82="","",IF(AND(安値!H82&lt;安値!G82,安値!H82&lt;安値!F82,安値!H82&lt;安値!I82,安値!H82&lt;安値!J82),3,""))</f>
      </c>
      <c r="D82" s="684">
        <f>IF(終値!A82="","",IF(AND(安値!I82&lt;安値!H82,安値!I82&lt;安値!G82,安値!I82&lt;安値!J82,安値!I82&lt;安値!K82),4,""))</f>
      </c>
      <c r="E82" s="684">
        <f>IF(終値!A82="","",IF(AND(安値!J82&lt;安値!I82,安値!J82&lt;安値!H82,安値!J82&lt;安値!K82,安値!J82&lt;安値!L82),5,""))</f>
      </c>
      <c r="F82" s="684">
        <f>IF(終値!A82="","",IF(AND(安値!K82&lt;安値!J82,安値!K82&lt;安値!I82,安値!K82&lt;安値!L82,安値!K82&lt;安値!M82),6,""))</f>
      </c>
      <c r="G82" s="684">
        <f>IF(終値!A82="","",IF(AND(安値!L82&lt;安値!K82,安値!L82&lt;安値!J82,安値!L82&lt;安値!M82,安値!L82&lt;安値!N82),7,""))</f>
      </c>
      <c r="H82" s="684">
        <f>IF(終値!A82="","",IF(AND(安値!M82&lt;安値!L82,安値!M82&lt;安値!K82,安値!M82&lt;安値!N82,安値!M82&lt;安値!O82),8,""))</f>
      </c>
      <c r="I82" s="684">
        <f>IF(終値!A82="","",IF(AND(安値!N82&lt;安値!M82,安値!N82&lt;安値!L82,安値!N82&lt;安値!O82,安値!N82&lt;安値!P82),9,""))</f>
      </c>
      <c r="J82" s="684">
        <f>IF(終値!A82="","",IF(AND(安値!O82&lt;安値!N82,安値!O82&lt;安値!M82,安値!O82&lt;安値!P82,安値!O82&lt;安値!Q82),10,""))</f>
      </c>
      <c r="K82" s="684">
        <f>IF(終値!A82="","",IF(AND(安値!P82&lt;安値!O82,安値!P82&lt;安値!N82,安値!P82&lt;安値!Q82,安値!P82&lt;安値!R82),11,""))</f>
      </c>
      <c r="L82" s="684">
        <f>IF(終値!A82="","",IF(AND(安値!Q82&lt;安値!P82,安値!Q82&lt;安値!O82,安値!Q82&lt;安値!R82,安値!Q82&lt;安値!S82),12,""))</f>
      </c>
      <c r="M82" s="684">
        <f>IF(終値!A82="","",IF(AND(安値!R82&lt;安値!Q82,安値!R82&lt;安値!P82,安値!R82&lt;安値!S82,安値!R82&lt;安値!T82),13,""))</f>
      </c>
      <c r="N82" s="684">
        <f>IF(終値!A82="","",IF(AND(安値!S82&lt;安値!R82,安値!S82&lt;安値!Q82,安値!S82&lt;安値!T82,安値!S82&lt;安値!U82),14,""))</f>
      </c>
      <c r="O82" s="684">
        <f>IF(終値!A82="","",IF(AND(安値!T82&lt;安値!S82,安値!T82&lt;安値!R82,安値!T82&lt;安値!U82,安値!T82&lt;安値!V82),15,""))</f>
      </c>
      <c r="P82" s="684">
        <f>IF(終値!A82="","",IF(AND(安値!U82&lt;安値!T82,安値!U82&lt;安値!S82,安値!U82&lt;安値!V82,安値!U82&lt;安値!W82),16,""))</f>
      </c>
      <c r="Q82" s="684">
        <f>IF(終値!A82="","",IF(AND(安値!V82&lt;安値!U82,安値!V82&lt;安値!T82,安値!V82&lt;安値!W82,安値!V82&lt;安値!X82),17,""))</f>
      </c>
      <c r="R82" s="684">
        <f>IF(終値!A82="","",IF(AND(安値!W82&lt;安値!V82,安値!W82&lt;安値!U82,安値!W82&lt;安値!X82,安値!W82&lt;安値!Y82),18,""))</f>
      </c>
      <c r="S82" s="684">
        <f>IF(終値!A82="","",IF(AND(安値!X82&lt;安値!W82,安値!X82&lt;安値!V82,安値!X82&lt;安値!Y82,安値!X82&lt;安値!Z82),19,""))</f>
      </c>
      <c r="T82" s="684">
        <f>IF(終値!A82="","",IF(AND(安値!Y82&lt;安値!X82,安値!Y82&lt;安値!W82,安値!Y82&lt;安値!Z82,安値!Y82&lt;安値!AA82),20,""))</f>
      </c>
      <c r="U82" s="684">
        <f>IF(終値!A82="","",IF(AND(安値!Z82&lt;安値!Y82,安値!Z82&lt;安値!X82,安値!Z82&lt;安値!AA82,安値!Z82&lt;安値!AB82),21,""))</f>
      </c>
      <c r="V82" s="684">
        <f>IF(終値!A82="","",IF(AND(安値!AA82&lt;安値!Z82,安値!AA82&lt;安値!Y82,安値!AA82&lt;安値!AB82,安値!AA82&lt;安値!AC82),22,""))</f>
      </c>
      <c r="W82" s="684">
        <f>IF(終値!A82="","",IF(AND(安値!AB82&lt;安値!AA82,安値!AB82&lt;安値!Z82,安値!AB82&lt;安値!AC82,安値!AB82&lt;安値!AD82),23,""))</f>
      </c>
      <c r="X82" s="684">
        <f>IF(終値!A82="","",IF(AND(安値!AC82&lt;安値!AB82,安値!AC82&lt;安値!AA82,安値!AC82&lt;安値!AD82,安値!AC82&lt;安値!AE82),24,""))</f>
      </c>
      <c r="Y82" s="684">
        <f>IF(終値!A82="","",IF(AND(安値!AD82&lt;安値!AC82,安値!AD82&lt;安値!AB82,安値!AD82&lt;安値!AE82,安値!AD82&lt;安値!AF82),25,""))</f>
      </c>
      <c r="Z82" s="684">
        <f>IF(終値!A82="","",IF(AND(安値!AE82&lt;安値!AD82,安値!AE82&lt;安値!AC82,安値!AE82&lt;安値!AF82,安値!AE82&lt;安値!AG82),26,""))</f>
      </c>
      <c r="AA82" s="684">
        <f>IF(終値!A82="","",IF(AND(安値!AF82&lt;安値!AE82,安値!AF82&lt;安値!AD82,安値!AF82&lt;安値!AG82,安値!AF82&lt;安値!AH82),27,""))</f>
      </c>
      <c r="AB82" s="684">
        <f>IF(終値!A82="","",IF(AND(安値!AG82&lt;安値!AF82,安値!AG82&lt;安値!AE82,安値!AG82&lt;安値!AH82,安値!AG82&lt;安値!AI82),28,""))</f>
      </c>
      <c r="AC82" s="684">
        <f>IF(終値!A82="","",IF(AND(高値!G82&gt;高値!F82,高値!G82&gt;高値!E82,高値!G82&gt;高値!H82,高値!G82&gt;高値!I82),2,""))</f>
      </c>
      <c r="AD82" s="684">
        <f>IF(終値!A82="","",IF(AND(高値!H82&gt;高値!G82,高値!H82&gt;高値!F82,高値!H82&gt;高値!I82,高値!H82&gt;高値!J82),3,""))</f>
      </c>
      <c r="AE82" s="684">
        <f>IF(終値!A82="","",IF(AND(高値!I82&gt;高値!H82,高値!I82&gt;高値!G82,高値!I82&gt;高値!J82,高値!I82&gt;高値!K82),4,""))</f>
      </c>
      <c r="AF82" s="684">
        <f>IF(終値!A82="","",IF(AND(高値!J82&gt;高値!I82,高値!J82&gt;高値!H82,高値!J82&gt;高値!K82,高値!J82&gt;高値!L82),5,""))</f>
      </c>
      <c r="AG82" s="684">
        <f>IF(終値!A82="","",IF(AND(高値!K82&gt;高値!J82,高値!K82&gt;高値!I82,高値!K82&gt;高値!L82,高値!K82&gt;高値!M82),6,""))</f>
      </c>
      <c r="AH82" s="684">
        <f>IF(終値!A82="","",IF(AND(高値!L82&gt;高値!K82,高値!L82&gt;高値!J82,高値!L82&gt;高値!M82,高値!L82&gt;高値!N82),7,""))</f>
      </c>
      <c r="AI82" s="684">
        <f>IF(終値!A82="","",IF(AND(高値!M82&gt;高値!L82,高値!M82&gt;高値!K82,高値!M82&gt;高値!N82,高値!M82&gt;高値!O82),8,""))</f>
      </c>
      <c r="AJ82" s="684">
        <f>IF(終値!A82="","",IF(AND(高値!N82&gt;高値!M82,高値!N82&gt;高値!L82,高値!N82&gt;高値!O82,高値!N82&gt;高値!P82),9,""))</f>
      </c>
      <c r="AK82" s="684">
        <f>IF(終値!A82="","",IF(AND(高値!O82&gt;高値!N82,高値!O82&gt;高値!M82,高値!O82&gt;高値!P82,高値!O82&gt;高値!Q82),10,""))</f>
      </c>
      <c r="AL82" s="684">
        <f>IF(終値!A82="","",IF(AND(高値!P82&gt;高値!O82,高値!P82&gt;高値!N82,高値!P82&gt;高値!Q82,高値!P82&gt;高値!R82),11,""))</f>
      </c>
      <c r="AM82" s="684">
        <f>IF(終値!A82="","",IF(AND(高値!Q82&gt;高値!P82,高値!Q82&gt;高値!O82,高値!Q82&gt;高値!R82,高値!Q82&gt;高値!S82),12,""))</f>
      </c>
      <c r="AN82" s="684">
        <f>IF(終値!A82="","",IF(AND(高値!R82&gt;高値!Q82,高値!R82&gt;高値!P82,高値!R82&gt;高値!S82,高値!R82&gt;高値!T82),13,""))</f>
      </c>
      <c r="AO82" s="684">
        <f>IF(終値!A82="","",IF(AND(高値!S82&gt;高値!R82,高値!S82&gt;高値!Q82,高値!S82&gt;高値!T82,高値!S82&gt;高値!U82),14,""))</f>
      </c>
      <c r="AP82" s="684">
        <f>IF(終値!A82="","",IF(AND(高値!T82&gt;高値!S82,高値!T82&gt;高値!R82,高値!T82&gt;高値!U82,高値!T82&gt;高値!V82),15,""))</f>
      </c>
      <c r="AQ82" s="684">
        <f>IF(終値!A82="","",IF(AND(高値!U82&gt;高値!T82,高値!U82&gt;高値!S82,高値!U82&gt;高値!V82,高値!U82&gt;高値!W82),16,""))</f>
      </c>
      <c r="AR82" s="684">
        <f>IF(終値!A82="","",IF(AND(高値!V82&gt;高値!U82,高値!V82&gt;高値!T82,高値!V82&gt;高値!W82,高値!V82&gt;高値!X82),17,""))</f>
      </c>
      <c r="AS82" s="684">
        <f>IF(終値!A82="","",IF(AND(高値!W82&gt;高値!V82,高値!W82&gt;高値!U82,高値!W82&gt;高値!X82,高値!W82&gt;高値!Y82),18,""))</f>
      </c>
      <c r="AT82" s="684">
        <f>IF(終値!A82="","",IF(AND(高値!X82&gt;高値!W82,高値!X82&gt;高値!V82,高値!X82&gt;高値!Y82,高値!X82&gt;高値!Z82),19,""))</f>
      </c>
      <c r="AU82" s="684">
        <f>IF(終値!A82="","",IF(AND(高値!Y82&gt;高値!X82,高値!Y82&gt;高値!W82,高値!Y82&gt;高値!Z82,高値!Y82&gt;高値!AA82),20,""))</f>
      </c>
      <c r="AV82" s="684">
        <f>IF(終値!A82="","",IF(AND(高値!Z82&gt;高値!Y82,高値!Z82&gt;高値!X82,高値!Z82&gt;高値!AA82,高値!Z82&gt;高値!AB82),21,""))</f>
      </c>
      <c r="AW82" s="684">
        <f>IF(終値!A82="","",IF(AND(高値!AA82&gt;高値!Z82,高値!AA82&gt;高値!Y82,高値!AA82&gt;高値!AB82,高値!AA82&gt;高値!AC82),22,""))</f>
      </c>
      <c r="AX82" s="684">
        <f>IF(終値!A82="","",IF(AND(高値!AB82&gt;高値!AA82,高値!AB82&gt;高値!Z82,高値!AB82&gt;高値!AC82,高値!AB82&gt;高値!AD82),23,""))</f>
      </c>
      <c r="AY82" s="684">
        <f>IF(終値!A82="","",IF(AND(高値!AC82&gt;高値!AB82,高値!AC82&gt;高値!AA82,高値!AC82&gt;高値!AD82,高値!AC82&gt;高値!AE82),24,""))</f>
      </c>
      <c r="AZ82" s="684">
        <f>IF(終値!A82="","",IF(AND(高値!AD82&gt;高値!AC82,高値!AD82&gt;高値!AB82,高値!AD82&gt;高値!AE82,高値!AD82&gt;高値!AF82),25,""))</f>
      </c>
      <c r="BA82" s="684">
        <f>IF(終値!A82="","",IF(AND(高値!AE82&gt;高値!AD82,高値!AE82&gt;高値!AC82,高値!AE82&gt;高値!AF82,高値!AE82&gt;高値!AG82),26,""))</f>
      </c>
      <c r="BB82" s="684">
        <f>IF(終値!A82="","",IF(AND(高値!AF82&gt;高値!AE82,高値!AF82&gt;高値!AD82,高値!AF82&gt;高値!AG82,高値!AF82&gt;高値!AH82),27,""))</f>
      </c>
      <c r="BC82" s="684">
        <f>IF(終値!A82="","",IF(AND(高値!AG82&gt;高値!AF82,高値!AG82&gt;高値!AE82,高値!AG82&gt;高値!AH82,高値!AG82&gt;高値!AI82),28,""))</f>
      </c>
      <c r="BD82" s="684">
        <f>COUNT($B82:$AB82)</f>
      </c>
      <c r="BE82" s="684">
        <f>IF($BD82&gt;=2,MIN($B82:$AB82),"")</f>
      </c>
      <c r="BF82" s="684">
        <f>IF($BD82&gt;=2,SMALL($B82:$AB82,2),"")</f>
      </c>
      <c r="BG82" s="684">
        <f>IF($BE82="","",INDEX(安値!$E82:$CZ82,1,$BE82+1))</f>
      </c>
      <c r="BH82" s="684">
        <f>IF($BF82="","",INDEX(安値!$E82:$CZ82,1,$BF82+1))</f>
      </c>
      <c r="BI82" s="684">
        <f>IF($BF82="","",MAX(INDEX(高値!$E82:$CZ82,1,$BE82+1):INDEX(高値!$E82:$CZ82,1,$BF82+1)))</f>
      </c>
      <c r="BJ82" s="684">
        <f>IF($BF82="","",AVERAGE(INDEX(終値!$E82:$CZ82,1,$BF82+1):INDEX(終値!$E82:$CZ82,1,$BF82+20))-2*STDEVP(INDEX(終値!$E82:$CZ82,1,$BF82+1):INDEX(終値!$E82:$CZ82,1,$BF82+20)))</f>
      </c>
      <c r="BK82" s="684">
        <f>IF($BE82="","",AVERAGE(INDEX(終値!$E82:$CZ82,1,$BE82+1):INDEX(終値!$E82:$CZ82,1,$BE82+20))-2*STDEVP(INDEX(終値!$E82:$CZ82,1,$BE82+1):INDEX(終値!$E82:$CZ82,1,$BE82+20)))</f>
      </c>
      <c r="BL82" s="684">
        <f>COUNT($AC82:$BC82)</f>
      </c>
      <c r="BM82" s="684">
        <f>IF($BL82&gt;=2,MIN($AC82:$BC82),"")</f>
      </c>
      <c r="BN82" s="684">
        <f>IF($BL82&gt;=2,SMALL($AC82:$BC82,2),"")</f>
      </c>
      <c r="BO82" s="684">
        <f>IF($BM82="","",INDEX(高値!$E82:$CZ82,1,$BM82+1))</f>
      </c>
      <c r="BP82" s="684">
        <f>IF($BN82="","",INDEX(高値!$E82:$CZ82,1,$BN82+1))</f>
      </c>
      <c r="BQ82" s="684">
        <f>IF($BN82="","",MIN(INDEX(安値!$E82:$CZ82,1,$BM82+1):INDEX(安値!$E82:$CZ82,1,$BN82+1)))</f>
      </c>
      <c r="BR82" s="684">
        <f>IF($BN82="","",AVERAGE(INDEX(終値!$E82:$CZ82,1,$BN82+1):INDEX(終値!$E82:$CZ82,1,$BN82+20))+2*STDEVP(INDEX(終値!$E82:$CZ82,1,$BN82+1):INDEX(終値!$E82:$CZ82,1,$BN82+20)))</f>
      </c>
      <c r="BS82" s="684">
        <f>IF($BM82="","",AVERAGE(INDEX(終値!$E82:$CZ82,1,$BM82+1):INDEX(終値!$E82:$CZ82,1,$BM82+20))+2*STDEVP(INDEX(終値!$E82:$CZ82,1,$BM82+1):INDEX(終値!$E82:$CZ82,1,$BM82+20)))</f>
      </c>
      <c r="BT82" s="681">
        <f>IFERROR(IF(AND($BD82&gt;=2,ABS($BG82-$BH82)/$BH82&lt;=BB設定!$B$12,$BI82&gt;=MAX($BH82,$BG82)*(1+BB設定!$B$13),終値!E82&gt;$BG82),IF(OR(終値!E82&gt;=$BI82,AND($BH82&lt;$BJ82,$BG82&gt;=$BK82)),"二番底W▲","二番底W形成"),IF(AND($BL82&gt;=2,ABS($BO82-$BP82)/$BP82&lt;=BB設定!$B$12,$BQ82&lt;=MIN($BP82,$BO82)*(1-BB設定!$B$13),終値!E82&lt;$BO82),IF(OR(終値!E82&lt;=$BQ82,AND($BP82&gt;$BR82,$BO82&lt;=$BS82)),"二番天井M▼","二番天井M形成"),"－")),"－")</f>
      </c>
    </row>
    <row r="83">
      <c r="B83" s="684">
        <f>IF(終値!A83="","",IF(AND(安値!G83&lt;安値!F83,安値!G83&lt;安値!E83,安値!G83&lt;安値!H83,安値!G83&lt;安値!I83),2,""))</f>
      </c>
      <c r="C83" s="684">
        <f>IF(終値!A83="","",IF(AND(安値!H83&lt;安値!G83,安値!H83&lt;安値!F83,安値!H83&lt;安値!I83,安値!H83&lt;安値!J83),3,""))</f>
      </c>
      <c r="D83" s="684">
        <f>IF(終値!A83="","",IF(AND(安値!I83&lt;安値!H83,安値!I83&lt;安値!G83,安値!I83&lt;安値!J83,安値!I83&lt;安値!K83),4,""))</f>
      </c>
      <c r="E83" s="684">
        <f>IF(終値!A83="","",IF(AND(安値!J83&lt;安値!I83,安値!J83&lt;安値!H83,安値!J83&lt;安値!K83,安値!J83&lt;安値!L83),5,""))</f>
      </c>
      <c r="F83" s="684">
        <f>IF(終値!A83="","",IF(AND(安値!K83&lt;安値!J83,安値!K83&lt;安値!I83,安値!K83&lt;安値!L83,安値!K83&lt;安値!M83),6,""))</f>
      </c>
      <c r="G83" s="684">
        <f>IF(終値!A83="","",IF(AND(安値!L83&lt;安値!K83,安値!L83&lt;安値!J83,安値!L83&lt;安値!M83,安値!L83&lt;安値!N83),7,""))</f>
      </c>
      <c r="H83" s="684">
        <f>IF(終値!A83="","",IF(AND(安値!M83&lt;安値!L83,安値!M83&lt;安値!K83,安値!M83&lt;安値!N83,安値!M83&lt;安値!O83),8,""))</f>
      </c>
      <c r="I83" s="684">
        <f>IF(終値!A83="","",IF(AND(安値!N83&lt;安値!M83,安値!N83&lt;安値!L83,安値!N83&lt;安値!O83,安値!N83&lt;安値!P83),9,""))</f>
      </c>
      <c r="J83" s="684">
        <f>IF(終値!A83="","",IF(AND(安値!O83&lt;安値!N83,安値!O83&lt;安値!M83,安値!O83&lt;安値!P83,安値!O83&lt;安値!Q83),10,""))</f>
      </c>
      <c r="K83" s="684">
        <f>IF(終値!A83="","",IF(AND(安値!P83&lt;安値!O83,安値!P83&lt;安値!N83,安値!P83&lt;安値!Q83,安値!P83&lt;安値!R83),11,""))</f>
      </c>
      <c r="L83" s="684">
        <f>IF(終値!A83="","",IF(AND(安値!Q83&lt;安値!P83,安値!Q83&lt;安値!O83,安値!Q83&lt;安値!R83,安値!Q83&lt;安値!S83),12,""))</f>
      </c>
      <c r="M83" s="684">
        <f>IF(終値!A83="","",IF(AND(安値!R83&lt;安値!Q83,安値!R83&lt;安値!P83,安値!R83&lt;安値!S83,安値!R83&lt;安値!T83),13,""))</f>
      </c>
      <c r="N83" s="684">
        <f>IF(終値!A83="","",IF(AND(安値!S83&lt;安値!R83,安値!S83&lt;安値!Q83,安値!S83&lt;安値!T83,安値!S83&lt;安値!U83),14,""))</f>
      </c>
      <c r="O83" s="684">
        <f>IF(終値!A83="","",IF(AND(安値!T83&lt;安値!S83,安値!T83&lt;安値!R83,安値!T83&lt;安値!U83,安値!T83&lt;安値!V83),15,""))</f>
      </c>
      <c r="P83" s="684">
        <f>IF(終値!A83="","",IF(AND(安値!U83&lt;安値!T83,安値!U83&lt;安値!S83,安値!U83&lt;安値!V83,安値!U83&lt;安値!W83),16,""))</f>
      </c>
      <c r="Q83" s="684">
        <f>IF(終値!A83="","",IF(AND(安値!V83&lt;安値!U83,安値!V83&lt;安値!T83,安値!V83&lt;安値!W83,安値!V83&lt;安値!X83),17,""))</f>
      </c>
      <c r="R83" s="684">
        <f>IF(終値!A83="","",IF(AND(安値!W83&lt;安値!V83,安値!W83&lt;安値!U83,安値!W83&lt;安値!X83,安値!W83&lt;安値!Y83),18,""))</f>
      </c>
      <c r="S83" s="684">
        <f>IF(終値!A83="","",IF(AND(安値!X83&lt;安値!W83,安値!X83&lt;安値!V83,安値!X83&lt;安値!Y83,安値!X83&lt;安値!Z83),19,""))</f>
      </c>
      <c r="T83" s="684">
        <f>IF(終値!A83="","",IF(AND(安値!Y83&lt;安値!X83,安値!Y83&lt;安値!W83,安値!Y83&lt;安値!Z83,安値!Y83&lt;安値!AA83),20,""))</f>
      </c>
      <c r="U83" s="684">
        <f>IF(終値!A83="","",IF(AND(安値!Z83&lt;安値!Y83,安値!Z83&lt;安値!X83,安値!Z83&lt;安値!AA83,安値!Z83&lt;安値!AB83),21,""))</f>
      </c>
      <c r="V83" s="684">
        <f>IF(終値!A83="","",IF(AND(安値!AA83&lt;安値!Z83,安値!AA83&lt;安値!Y83,安値!AA83&lt;安値!AB83,安値!AA83&lt;安値!AC83),22,""))</f>
      </c>
      <c r="W83" s="684">
        <f>IF(終値!A83="","",IF(AND(安値!AB83&lt;安値!AA83,安値!AB83&lt;安値!Z83,安値!AB83&lt;安値!AC83,安値!AB83&lt;安値!AD83),23,""))</f>
      </c>
      <c r="X83" s="684">
        <f>IF(終値!A83="","",IF(AND(安値!AC83&lt;安値!AB83,安値!AC83&lt;安値!AA83,安値!AC83&lt;安値!AD83,安値!AC83&lt;安値!AE83),24,""))</f>
      </c>
      <c r="Y83" s="684">
        <f>IF(終値!A83="","",IF(AND(安値!AD83&lt;安値!AC83,安値!AD83&lt;安値!AB83,安値!AD83&lt;安値!AE83,安値!AD83&lt;安値!AF83),25,""))</f>
      </c>
      <c r="Z83" s="684">
        <f>IF(終値!A83="","",IF(AND(安値!AE83&lt;安値!AD83,安値!AE83&lt;安値!AC83,安値!AE83&lt;安値!AF83,安値!AE83&lt;安値!AG83),26,""))</f>
      </c>
      <c r="AA83" s="684">
        <f>IF(終値!A83="","",IF(AND(安値!AF83&lt;安値!AE83,安値!AF83&lt;安値!AD83,安値!AF83&lt;安値!AG83,安値!AF83&lt;安値!AH83),27,""))</f>
      </c>
      <c r="AB83" s="684">
        <f>IF(終値!A83="","",IF(AND(安値!AG83&lt;安値!AF83,安値!AG83&lt;安値!AE83,安値!AG83&lt;安値!AH83,安値!AG83&lt;安値!AI83),28,""))</f>
      </c>
      <c r="AC83" s="684">
        <f>IF(終値!A83="","",IF(AND(高値!G83&gt;高値!F83,高値!G83&gt;高値!E83,高値!G83&gt;高値!H83,高値!G83&gt;高値!I83),2,""))</f>
      </c>
      <c r="AD83" s="684">
        <f>IF(終値!A83="","",IF(AND(高値!H83&gt;高値!G83,高値!H83&gt;高値!F83,高値!H83&gt;高値!I83,高値!H83&gt;高値!J83),3,""))</f>
      </c>
      <c r="AE83" s="684">
        <f>IF(終値!A83="","",IF(AND(高値!I83&gt;高値!H83,高値!I83&gt;高値!G83,高値!I83&gt;高値!J83,高値!I83&gt;高値!K83),4,""))</f>
      </c>
      <c r="AF83" s="684">
        <f>IF(終値!A83="","",IF(AND(高値!J83&gt;高値!I83,高値!J83&gt;高値!H83,高値!J83&gt;高値!K83,高値!J83&gt;高値!L83),5,""))</f>
      </c>
      <c r="AG83" s="684">
        <f>IF(終値!A83="","",IF(AND(高値!K83&gt;高値!J83,高値!K83&gt;高値!I83,高値!K83&gt;高値!L83,高値!K83&gt;高値!M83),6,""))</f>
      </c>
      <c r="AH83" s="684">
        <f>IF(終値!A83="","",IF(AND(高値!L83&gt;高値!K83,高値!L83&gt;高値!J83,高値!L83&gt;高値!M83,高値!L83&gt;高値!N83),7,""))</f>
      </c>
      <c r="AI83" s="684">
        <f>IF(終値!A83="","",IF(AND(高値!M83&gt;高値!L83,高値!M83&gt;高値!K83,高値!M83&gt;高値!N83,高値!M83&gt;高値!O83),8,""))</f>
      </c>
      <c r="AJ83" s="684">
        <f>IF(終値!A83="","",IF(AND(高値!N83&gt;高値!M83,高値!N83&gt;高値!L83,高値!N83&gt;高値!O83,高値!N83&gt;高値!P83),9,""))</f>
      </c>
      <c r="AK83" s="684">
        <f>IF(終値!A83="","",IF(AND(高値!O83&gt;高値!N83,高値!O83&gt;高値!M83,高値!O83&gt;高値!P83,高値!O83&gt;高値!Q83),10,""))</f>
      </c>
      <c r="AL83" s="684">
        <f>IF(終値!A83="","",IF(AND(高値!P83&gt;高値!O83,高値!P83&gt;高値!N83,高値!P83&gt;高値!Q83,高値!P83&gt;高値!R83),11,""))</f>
      </c>
      <c r="AM83" s="684">
        <f>IF(終値!A83="","",IF(AND(高値!Q83&gt;高値!P83,高値!Q83&gt;高値!O83,高値!Q83&gt;高値!R83,高値!Q83&gt;高値!S83),12,""))</f>
      </c>
      <c r="AN83" s="684">
        <f>IF(終値!A83="","",IF(AND(高値!R83&gt;高値!Q83,高値!R83&gt;高値!P83,高値!R83&gt;高値!S83,高値!R83&gt;高値!T83),13,""))</f>
      </c>
      <c r="AO83" s="684">
        <f>IF(終値!A83="","",IF(AND(高値!S83&gt;高値!R83,高値!S83&gt;高値!Q83,高値!S83&gt;高値!T83,高値!S83&gt;高値!U83),14,""))</f>
      </c>
      <c r="AP83" s="684">
        <f>IF(終値!A83="","",IF(AND(高値!T83&gt;高値!S83,高値!T83&gt;高値!R83,高値!T83&gt;高値!U83,高値!T83&gt;高値!V83),15,""))</f>
      </c>
      <c r="AQ83" s="684">
        <f>IF(終値!A83="","",IF(AND(高値!U83&gt;高値!T83,高値!U83&gt;高値!S83,高値!U83&gt;高値!V83,高値!U83&gt;高値!W83),16,""))</f>
      </c>
      <c r="AR83" s="684">
        <f>IF(終値!A83="","",IF(AND(高値!V83&gt;高値!U83,高値!V83&gt;高値!T83,高値!V83&gt;高値!W83,高値!V83&gt;高値!X83),17,""))</f>
      </c>
      <c r="AS83" s="684">
        <f>IF(終値!A83="","",IF(AND(高値!W83&gt;高値!V83,高値!W83&gt;高値!U83,高値!W83&gt;高値!X83,高値!W83&gt;高値!Y83),18,""))</f>
      </c>
      <c r="AT83" s="684">
        <f>IF(終値!A83="","",IF(AND(高値!X83&gt;高値!W83,高値!X83&gt;高値!V83,高値!X83&gt;高値!Y83,高値!X83&gt;高値!Z83),19,""))</f>
      </c>
      <c r="AU83" s="684">
        <f>IF(終値!A83="","",IF(AND(高値!Y83&gt;高値!X83,高値!Y83&gt;高値!W83,高値!Y83&gt;高値!Z83,高値!Y83&gt;高値!AA83),20,""))</f>
      </c>
      <c r="AV83" s="684">
        <f>IF(終値!A83="","",IF(AND(高値!Z83&gt;高値!Y83,高値!Z83&gt;高値!X83,高値!Z83&gt;高値!AA83,高値!Z83&gt;高値!AB83),21,""))</f>
      </c>
      <c r="AW83" s="684">
        <f>IF(終値!A83="","",IF(AND(高値!AA83&gt;高値!Z83,高値!AA83&gt;高値!Y83,高値!AA83&gt;高値!AB83,高値!AA83&gt;高値!AC83),22,""))</f>
      </c>
      <c r="AX83" s="684">
        <f>IF(終値!A83="","",IF(AND(高値!AB83&gt;高値!AA83,高値!AB83&gt;高値!Z83,高値!AB83&gt;高値!AC83,高値!AB83&gt;高値!AD83),23,""))</f>
      </c>
      <c r="AY83" s="684">
        <f>IF(終値!A83="","",IF(AND(高値!AC83&gt;高値!AB83,高値!AC83&gt;高値!AA83,高値!AC83&gt;高値!AD83,高値!AC83&gt;高値!AE83),24,""))</f>
      </c>
      <c r="AZ83" s="684">
        <f>IF(終値!A83="","",IF(AND(高値!AD83&gt;高値!AC83,高値!AD83&gt;高値!AB83,高値!AD83&gt;高値!AE83,高値!AD83&gt;高値!AF83),25,""))</f>
      </c>
      <c r="BA83" s="684">
        <f>IF(終値!A83="","",IF(AND(高値!AE83&gt;高値!AD83,高値!AE83&gt;高値!AC83,高値!AE83&gt;高値!AF83,高値!AE83&gt;高値!AG83),26,""))</f>
      </c>
      <c r="BB83" s="684">
        <f>IF(終値!A83="","",IF(AND(高値!AF83&gt;高値!AE83,高値!AF83&gt;高値!AD83,高値!AF83&gt;高値!AG83,高値!AF83&gt;高値!AH83),27,""))</f>
      </c>
      <c r="BC83" s="684">
        <f>IF(終値!A83="","",IF(AND(高値!AG83&gt;高値!AF83,高値!AG83&gt;高値!AE83,高値!AG83&gt;高値!AH83,高値!AG83&gt;高値!AI83),28,""))</f>
      </c>
      <c r="BD83" s="684">
        <f>COUNT($B83:$AB83)</f>
      </c>
      <c r="BE83" s="684">
        <f>IF($BD83&gt;=2,MIN($B83:$AB83),"")</f>
      </c>
      <c r="BF83" s="684">
        <f>IF($BD83&gt;=2,SMALL($B83:$AB83,2),"")</f>
      </c>
      <c r="BG83" s="684">
        <f>IF($BE83="","",INDEX(安値!$E83:$CZ83,1,$BE83+1))</f>
      </c>
      <c r="BH83" s="684">
        <f>IF($BF83="","",INDEX(安値!$E83:$CZ83,1,$BF83+1))</f>
      </c>
      <c r="BI83" s="684">
        <f>IF($BF83="","",MAX(INDEX(高値!$E83:$CZ83,1,$BE83+1):INDEX(高値!$E83:$CZ83,1,$BF83+1)))</f>
      </c>
      <c r="BJ83" s="684">
        <f>IF($BF83="","",AVERAGE(INDEX(終値!$E83:$CZ83,1,$BF83+1):INDEX(終値!$E83:$CZ83,1,$BF83+20))-2*STDEVP(INDEX(終値!$E83:$CZ83,1,$BF83+1):INDEX(終値!$E83:$CZ83,1,$BF83+20)))</f>
      </c>
      <c r="BK83" s="684">
        <f>IF($BE83="","",AVERAGE(INDEX(終値!$E83:$CZ83,1,$BE83+1):INDEX(終値!$E83:$CZ83,1,$BE83+20))-2*STDEVP(INDEX(終値!$E83:$CZ83,1,$BE83+1):INDEX(終値!$E83:$CZ83,1,$BE83+20)))</f>
      </c>
      <c r="BL83" s="684">
        <f>COUNT($AC83:$BC83)</f>
      </c>
      <c r="BM83" s="684">
        <f>IF($BL83&gt;=2,MIN($AC83:$BC83),"")</f>
      </c>
      <c r="BN83" s="684">
        <f>IF($BL83&gt;=2,SMALL($AC83:$BC83,2),"")</f>
      </c>
      <c r="BO83" s="684">
        <f>IF($BM83="","",INDEX(高値!$E83:$CZ83,1,$BM83+1))</f>
      </c>
      <c r="BP83" s="684">
        <f>IF($BN83="","",INDEX(高値!$E83:$CZ83,1,$BN83+1))</f>
      </c>
      <c r="BQ83" s="684">
        <f>IF($BN83="","",MIN(INDEX(安値!$E83:$CZ83,1,$BM83+1):INDEX(安値!$E83:$CZ83,1,$BN83+1)))</f>
      </c>
      <c r="BR83" s="684">
        <f>IF($BN83="","",AVERAGE(INDEX(終値!$E83:$CZ83,1,$BN83+1):INDEX(終値!$E83:$CZ83,1,$BN83+20))+2*STDEVP(INDEX(終値!$E83:$CZ83,1,$BN83+1):INDEX(終値!$E83:$CZ83,1,$BN83+20)))</f>
      </c>
      <c r="BS83" s="684">
        <f>IF($BM83="","",AVERAGE(INDEX(終値!$E83:$CZ83,1,$BM83+1):INDEX(終値!$E83:$CZ83,1,$BM83+20))+2*STDEVP(INDEX(終値!$E83:$CZ83,1,$BM83+1):INDEX(終値!$E83:$CZ83,1,$BM83+20)))</f>
      </c>
      <c r="BT83" s="681">
        <f>IFERROR(IF(AND($BD83&gt;=2,ABS($BG83-$BH83)/$BH83&lt;=BB設定!$B$12,$BI83&gt;=MAX($BH83,$BG83)*(1+BB設定!$B$13),終値!E83&gt;$BG83),IF(OR(終値!E83&gt;=$BI83,AND($BH83&lt;$BJ83,$BG83&gt;=$BK83)),"二番底W▲","二番底W形成"),IF(AND($BL83&gt;=2,ABS($BO83-$BP83)/$BP83&lt;=BB設定!$B$12,$BQ83&lt;=MIN($BP83,$BO83)*(1-BB設定!$B$13),終値!E83&lt;$BO83),IF(OR(終値!E83&lt;=$BQ83,AND($BP83&gt;$BR83,$BO83&lt;=$BS83)),"二番天井M▼","二番天井M形成"),"－")),"－")</f>
      </c>
    </row>
    <row r="84">
      <c r="B84" s="684">
        <f>IF(終値!A84="","",IF(AND(安値!G84&lt;安値!F84,安値!G84&lt;安値!E84,安値!G84&lt;安値!H84,安値!G84&lt;安値!I84),2,""))</f>
      </c>
      <c r="C84" s="684">
        <f>IF(終値!A84="","",IF(AND(安値!H84&lt;安値!G84,安値!H84&lt;安値!F84,安値!H84&lt;安値!I84,安値!H84&lt;安値!J84),3,""))</f>
      </c>
      <c r="D84" s="684">
        <f>IF(終値!A84="","",IF(AND(安値!I84&lt;安値!H84,安値!I84&lt;安値!G84,安値!I84&lt;安値!J84,安値!I84&lt;安値!K84),4,""))</f>
      </c>
      <c r="E84" s="684">
        <f>IF(終値!A84="","",IF(AND(安値!J84&lt;安値!I84,安値!J84&lt;安値!H84,安値!J84&lt;安値!K84,安値!J84&lt;安値!L84),5,""))</f>
      </c>
      <c r="F84" s="684">
        <f>IF(終値!A84="","",IF(AND(安値!K84&lt;安値!J84,安値!K84&lt;安値!I84,安値!K84&lt;安値!L84,安値!K84&lt;安値!M84),6,""))</f>
      </c>
      <c r="G84" s="684">
        <f>IF(終値!A84="","",IF(AND(安値!L84&lt;安値!K84,安値!L84&lt;安値!J84,安値!L84&lt;安値!M84,安値!L84&lt;安値!N84),7,""))</f>
      </c>
      <c r="H84" s="684">
        <f>IF(終値!A84="","",IF(AND(安値!M84&lt;安値!L84,安値!M84&lt;安値!K84,安値!M84&lt;安値!N84,安値!M84&lt;安値!O84),8,""))</f>
      </c>
      <c r="I84" s="684">
        <f>IF(終値!A84="","",IF(AND(安値!N84&lt;安値!M84,安値!N84&lt;安値!L84,安値!N84&lt;安値!O84,安値!N84&lt;安値!P84),9,""))</f>
      </c>
      <c r="J84" s="684">
        <f>IF(終値!A84="","",IF(AND(安値!O84&lt;安値!N84,安値!O84&lt;安値!M84,安値!O84&lt;安値!P84,安値!O84&lt;安値!Q84),10,""))</f>
      </c>
      <c r="K84" s="684">
        <f>IF(終値!A84="","",IF(AND(安値!P84&lt;安値!O84,安値!P84&lt;安値!N84,安値!P84&lt;安値!Q84,安値!P84&lt;安値!R84),11,""))</f>
      </c>
      <c r="L84" s="684">
        <f>IF(終値!A84="","",IF(AND(安値!Q84&lt;安値!P84,安値!Q84&lt;安値!O84,安値!Q84&lt;安値!R84,安値!Q84&lt;安値!S84),12,""))</f>
      </c>
      <c r="M84" s="684">
        <f>IF(終値!A84="","",IF(AND(安値!R84&lt;安値!Q84,安値!R84&lt;安値!P84,安値!R84&lt;安値!S84,安値!R84&lt;安値!T84),13,""))</f>
      </c>
      <c r="N84" s="684">
        <f>IF(終値!A84="","",IF(AND(安値!S84&lt;安値!R84,安値!S84&lt;安値!Q84,安値!S84&lt;安値!T84,安値!S84&lt;安値!U84),14,""))</f>
      </c>
      <c r="O84" s="684">
        <f>IF(終値!A84="","",IF(AND(安値!T84&lt;安値!S84,安値!T84&lt;安値!R84,安値!T84&lt;安値!U84,安値!T84&lt;安値!V84),15,""))</f>
      </c>
      <c r="P84" s="684">
        <f>IF(終値!A84="","",IF(AND(安値!U84&lt;安値!T84,安値!U84&lt;安値!S84,安値!U84&lt;安値!V84,安値!U84&lt;安値!W84),16,""))</f>
      </c>
      <c r="Q84" s="684">
        <f>IF(終値!A84="","",IF(AND(安値!V84&lt;安値!U84,安値!V84&lt;安値!T84,安値!V84&lt;安値!W84,安値!V84&lt;安値!X84),17,""))</f>
      </c>
      <c r="R84" s="684">
        <f>IF(終値!A84="","",IF(AND(安値!W84&lt;安値!V84,安値!W84&lt;安値!U84,安値!W84&lt;安値!X84,安値!W84&lt;安値!Y84),18,""))</f>
      </c>
      <c r="S84" s="684">
        <f>IF(終値!A84="","",IF(AND(安値!X84&lt;安値!W84,安値!X84&lt;安値!V84,安値!X84&lt;安値!Y84,安値!X84&lt;安値!Z84),19,""))</f>
      </c>
      <c r="T84" s="684">
        <f>IF(終値!A84="","",IF(AND(安値!Y84&lt;安値!X84,安値!Y84&lt;安値!W84,安値!Y84&lt;安値!Z84,安値!Y84&lt;安値!AA84),20,""))</f>
      </c>
      <c r="U84" s="684">
        <f>IF(終値!A84="","",IF(AND(安値!Z84&lt;安値!Y84,安値!Z84&lt;安値!X84,安値!Z84&lt;安値!AA84,安値!Z84&lt;安値!AB84),21,""))</f>
      </c>
      <c r="V84" s="684">
        <f>IF(終値!A84="","",IF(AND(安値!AA84&lt;安値!Z84,安値!AA84&lt;安値!Y84,安値!AA84&lt;安値!AB84,安値!AA84&lt;安値!AC84),22,""))</f>
      </c>
      <c r="W84" s="684">
        <f>IF(終値!A84="","",IF(AND(安値!AB84&lt;安値!AA84,安値!AB84&lt;安値!Z84,安値!AB84&lt;安値!AC84,安値!AB84&lt;安値!AD84),23,""))</f>
      </c>
      <c r="X84" s="684">
        <f>IF(終値!A84="","",IF(AND(安値!AC84&lt;安値!AB84,安値!AC84&lt;安値!AA84,安値!AC84&lt;安値!AD84,安値!AC84&lt;安値!AE84),24,""))</f>
      </c>
      <c r="Y84" s="684">
        <f>IF(終値!A84="","",IF(AND(安値!AD84&lt;安値!AC84,安値!AD84&lt;安値!AB84,安値!AD84&lt;安値!AE84,安値!AD84&lt;安値!AF84),25,""))</f>
      </c>
      <c r="Z84" s="684">
        <f>IF(終値!A84="","",IF(AND(安値!AE84&lt;安値!AD84,安値!AE84&lt;安値!AC84,安値!AE84&lt;安値!AF84,安値!AE84&lt;安値!AG84),26,""))</f>
      </c>
      <c r="AA84" s="684">
        <f>IF(終値!A84="","",IF(AND(安値!AF84&lt;安値!AE84,安値!AF84&lt;安値!AD84,安値!AF84&lt;安値!AG84,安値!AF84&lt;安値!AH84),27,""))</f>
      </c>
      <c r="AB84" s="684">
        <f>IF(終値!A84="","",IF(AND(安値!AG84&lt;安値!AF84,安値!AG84&lt;安値!AE84,安値!AG84&lt;安値!AH84,安値!AG84&lt;安値!AI84),28,""))</f>
      </c>
      <c r="AC84" s="684">
        <f>IF(終値!A84="","",IF(AND(高値!G84&gt;高値!F84,高値!G84&gt;高値!E84,高値!G84&gt;高値!H84,高値!G84&gt;高値!I84),2,""))</f>
      </c>
      <c r="AD84" s="684">
        <f>IF(終値!A84="","",IF(AND(高値!H84&gt;高値!G84,高値!H84&gt;高値!F84,高値!H84&gt;高値!I84,高値!H84&gt;高値!J84),3,""))</f>
      </c>
      <c r="AE84" s="684">
        <f>IF(終値!A84="","",IF(AND(高値!I84&gt;高値!H84,高値!I84&gt;高値!G84,高値!I84&gt;高値!J84,高値!I84&gt;高値!K84),4,""))</f>
      </c>
      <c r="AF84" s="684">
        <f>IF(終値!A84="","",IF(AND(高値!J84&gt;高値!I84,高値!J84&gt;高値!H84,高値!J84&gt;高値!K84,高値!J84&gt;高値!L84),5,""))</f>
      </c>
      <c r="AG84" s="684">
        <f>IF(終値!A84="","",IF(AND(高値!K84&gt;高値!J84,高値!K84&gt;高値!I84,高値!K84&gt;高値!L84,高値!K84&gt;高値!M84),6,""))</f>
      </c>
      <c r="AH84" s="684">
        <f>IF(終値!A84="","",IF(AND(高値!L84&gt;高値!K84,高値!L84&gt;高値!J84,高値!L84&gt;高値!M84,高値!L84&gt;高値!N84),7,""))</f>
      </c>
      <c r="AI84" s="684">
        <f>IF(終値!A84="","",IF(AND(高値!M84&gt;高値!L84,高値!M84&gt;高値!K84,高値!M84&gt;高値!N84,高値!M84&gt;高値!O84),8,""))</f>
      </c>
      <c r="AJ84" s="684">
        <f>IF(終値!A84="","",IF(AND(高値!N84&gt;高値!M84,高値!N84&gt;高値!L84,高値!N84&gt;高値!O84,高値!N84&gt;高値!P84),9,""))</f>
      </c>
      <c r="AK84" s="684">
        <f>IF(終値!A84="","",IF(AND(高値!O84&gt;高値!N84,高値!O84&gt;高値!M84,高値!O84&gt;高値!P84,高値!O84&gt;高値!Q84),10,""))</f>
      </c>
      <c r="AL84" s="684">
        <f>IF(終値!A84="","",IF(AND(高値!P84&gt;高値!O84,高値!P84&gt;高値!N84,高値!P84&gt;高値!Q84,高値!P84&gt;高値!R84),11,""))</f>
      </c>
      <c r="AM84" s="684">
        <f>IF(終値!A84="","",IF(AND(高値!Q84&gt;高値!P84,高値!Q84&gt;高値!O84,高値!Q84&gt;高値!R84,高値!Q84&gt;高値!S84),12,""))</f>
      </c>
      <c r="AN84" s="684">
        <f>IF(終値!A84="","",IF(AND(高値!R84&gt;高値!Q84,高値!R84&gt;高値!P84,高値!R84&gt;高値!S84,高値!R84&gt;高値!T84),13,""))</f>
      </c>
      <c r="AO84" s="684">
        <f>IF(終値!A84="","",IF(AND(高値!S84&gt;高値!R84,高値!S84&gt;高値!Q84,高値!S84&gt;高値!T84,高値!S84&gt;高値!U84),14,""))</f>
      </c>
      <c r="AP84" s="684">
        <f>IF(終値!A84="","",IF(AND(高値!T84&gt;高値!S84,高値!T84&gt;高値!R84,高値!T84&gt;高値!U84,高値!T84&gt;高値!V84),15,""))</f>
      </c>
      <c r="AQ84" s="684">
        <f>IF(終値!A84="","",IF(AND(高値!U84&gt;高値!T84,高値!U84&gt;高値!S84,高値!U84&gt;高値!V84,高値!U84&gt;高値!W84),16,""))</f>
      </c>
      <c r="AR84" s="684">
        <f>IF(終値!A84="","",IF(AND(高値!V84&gt;高値!U84,高値!V84&gt;高値!T84,高値!V84&gt;高値!W84,高値!V84&gt;高値!X84),17,""))</f>
      </c>
      <c r="AS84" s="684">
        <f>IF(終値!A84="","",IF(AND(高値!W84&gt;高値!V84,高値!W84&gt;高値!U84,高値!W84&gt;高値!X84,高値!W84&gt;高値!Y84),18,""))</f>
      </c>
      <c r="AT84" s="684">
        <f>IF(終値!A84="","",IF(AND(高値!X84&gt;高値!W84,高値!X84&gt;高値!V84,高値!X84&gt;高値!Y84,高値!X84&gt;高値!Z84),19,""))</f>
      </c>
      <c r="AU84" s="684">
        <f>IF(終値!A84="","",IF(AND(高値!Y84&gt;高値!X84,高値!Y84&gt;高値!W84,高値!Y84&gt;高値!Z84,高値!Y84&gt;高値!AA84),20,""))</f>
      </c>
      <c r="AV84" s="684">
        <f>IF(終値!A84="","",IF(AND(高値!Z84&gt;高値!Y84,高値!Z84&gt;高値!X84,高値!Z84&gt;高値!AA84,高値!Z84&gt;高値!AB84),21,""))</f>
      </c>
      <c r="AW84" s="684">
        <f>IF(終値!A84="","",IF(AND(高値!AA84&gt;高値!Z84,高値!AA84&gt;高値!Y84,高値!AA84&gt;高値!AB84,高値!AA84&gt;高値!AC84),22,""))</f>
      </c>
      <c r="AX84" s="684">
        <f>IF(終値!A84="","",IF(AND(高値!AB84&gt;高値!AA84,高値!AB84&gt;高値!Z84,高値!AB84&gt;高値!AC84,高値!AB84&gt;高値!AD84),23,""))</f>
      </c>
      <c r="AY84" s="684">
        <f>IF(終値!A84="","",IF(AND(高値!AC84&gt;高値!AB84,高値!AC84&gt;高値!AA84,高値!AC84&gt;高値!AD84,高値!AC84&gt;高値!AE84),24,""))</f>
      </c>
      <c r="AZ84" s="684">
        <f>IF(終値!A84="","",IF(AND(高値!AD84&gt;高値!AC84,高値!AD84&gt;高値!AB84,高値!AD84&gt;高値!AE84,高値!AD84&gt;高値!AF84),25,""))</f>
      </c>
      <c r="BA84" s="684">
        <f>IF(終値!A84="","",IF(AND(高値!AE84&gt;高値!AD84,高値!AE84&gt;高値!AC84,高値!AE84&gt;高値!AF84,高値!AE84&gt;高値!AG84),26,""))</f>
      </c>
      <c r="BB84" s="684">
        <f>IF(終値!A84="","",IF(AND(高値!AF84&gt;高値!AE84,高値!AF84&gt;高値!AD84,高値!AF84&gt;高値!AG84,高値!AF84&gt;高値!AH84),27,""))</f>
      </c>
      <c r="BC84" s="684">
        <f>IF(終値!A84="","",IF(AND(高値!AG84&gt;高値!AF84,高値!AG84&gt;高値!AE84,高値!AG84&gt;高値!AH84,高値!AG84&gt;高値!AI84),28,""))</f>
      </c>
      <c r="BD84" s="684">
        <f>COUNT($B84:$AB84)</f>
      </c>
      <c r="BE84" s="684">
        <f>IF($BD84&gt;=2,MIN($B84:$AB84),"")</f>
      </c>
      <c r="BF84" s="684">
        <f>IF($BD84&gt;=2,SMALL($B84:$AB84,2),"")</f>
      </c>
      <c r="BG84" s="684">
        <f>IF($BE84="","",INDEX(安値!$E84:$CZ84,1,$BE84+1))</f>
      </c>
      <c r="BH84" s="684">
        <f>IF($BF84="","",INDEX(安値!$E84:$CZ84,1,$BF84+1))</f>
      </c>
      <c r="BI84" s="684">
        <f>IF($BF84="","",MAX(INDEX(高値!$E84:$CZ84,1,$BE84+1):INDEX(高値!$E84:$CZ84,1,$BF84+1)))</f>
      </c>
      <c r="BJ84" s="684">
        <f>IF($BF84="","",AVERAGE(INDEX(終値!$E84:$CZ84,1,$BF84+1):INDEX(終値!$E84:$CZ84,1,$BF84+20))-2*STDEVP(INDEX(終値!$E84:$CZ84,1,$BF84+1):INDEX(終値!$E84:$CZ84,1,$BF84+20)))</f>
      </c>
      <c r="BK84" s="684">
        <f>IF($BE84="","",AVERAGE(INDEX(終値!$E84:$CZ84,1,$BE84+1):INDEX(終値!$E84:$CZ84,1,$BE84+20))-2*STDEVP(INDEX(終値!$E84:$CZ84,1,$BE84+1):INDEX(終値!$E84:$CZ84,1,$BE84+20)))</f>
      </c>
      <c r="BL84" s="684">
        <f>COUNT($AC84:$BC84)</f>
      </c>
      <c r="BM84" s="684">
        <f>IF($BL84&gt;=2,MIN($AC84:$BC84),"")</f>
      </c>
      <c r="BN84" s="684">
        <f>IF($BL84&gt;=2,SMALL($AC84:$BC84,2),"")</f>
      </c>
      <c r="BO84" s="684">
        <f>IF($BM84="","",INDEX(高値!$E84:$CZ84,1,$BM84+1))</f>
      </c>
      <c r="BP84" s="684">
        <f>IF($BN84="","",INDEX(高値!$E84:$CZ84,1,$BN84+1))</f>
      </c>
      <c r="BQ84" s="684">
        <f>IF($BN84="","",MIN(INDEX(安値!$E84:$CZ84,1,$BM84+1):INDEX(安値!$E84:$CZ84,1,$BN84+1)))</f>
      </c>
      <c r="BR84" s="684">
        <f>IF($BN84="","",AVERAGE(INDEX(終値!$E84:$CZ84,1,$BN84+1):INDEX(終値!$E84:$CZ84,1,$BN84+20))+2*STDEVP(INDEX(終値!$E84:$CZ84,1,$BN84+1):INDEX(終値!$E84:$CZ84,1,$BN84+20)))</f>
      </c>
      <c r="BS84" s="684">
        <f>IF($BM84="","",AVERAGE(INDEX(終値!$E84:$CZ84,1,$BM84+1):INDEX(終値!$E84:$CZ84,1,$BM84+20))+2*STDEVP(INDEX(終値!$E84:$CZ84,1,$BM84+1):INDEX(終値!$E84:$CZ84,1,$BM84+20)))</f>
      </c>
      <c r="BT84" s="681">
        <f>IFERROR(IF(AND($BD84&gt;=2,ABS($BG84-$BH84)/$BH84&lt;=BB設定!$B$12,$BI84&gt;=MAX($BH84,$BG84)*(1+BB設定!$B$13),終値!E84&gt;$BG84),IF(OR(終値!E84&gt;=$BI84,AND($BH84&lt;$BJ84,$BG84&gt;=$BK84)),"二番底W▲","二番底W形成"),IF(AND($BL84&gt;=2,ABS($BO84-$BP84)/$BP84&lt;=BB設定!$B$12,$BQ84&lt;=MIN($BP84,$BO84)*(1-BB設定!$B$13),終値!E84&lt;$BO84),IF(OR(終値!E84&lt;=$BQ84,AND($BP84&gt;$BR84,$BO84&lt;=$BS84)),"二番天井M▼","二番天井M形成"),"－")),"－")</f>
      </c>
    </row>
    <row r="85">
      <c r="B85" s="684">
        <f>IF(終値!A85="","",IF(AND(安値!G85&lt;安値!F85,安値!G85&lt;安値!E85,安値!G85&lt;安値!H85,安値!G85&lt;安値!I85),2,""))</f>
      </c>
      <c r="C85" s="684">
        <f>IF(終値!A85="","",IF(AND(安値!H85&lt;安値!G85,安値!H85&lt;安値!F85,安値!H85&lt;安値!I85,安値!H85&lt;安値!J85),3,""))</f>
      </c>
      <c r="D85" s="684">
        <f>IF(終値!A85="","",IF(AND(安値!I85&lt;安値!H85,安値!I85&lt;安値!G85,安値!I85&lt;安値!J85,安値!I85&lt;安値!K85),4,""))</f>
      </c>
      <c r="E85" s="684">
        <f>IF(終値!A85="","",IF(AND(安値!J85&lt;安値!I85,安値!J85&lt;安値!H85,安値!J85&lt;安値!K85,安値!J85&lt;安値!L85),5,""))</f>
      </c>
      <c r="F85" s="684">
        <f>IF(終値!A85="","",IF(AND(安値!K85&lt;安値!J85,安値!K85&lt;安値!I85,安値!K85&lt;安値!L85,安値!K85&lt;安値!M85),6,""))</f>
      </c>
      <c r="G85" s="684">
        <f>IF(終値!A85="","",IF(AND(安値!L85&lt;安値!K85,安値!L85&lt;安値!J85,安値!L85&lt;安値!M85,安値!L85&lt;安値!N85),7,""))</f>
      </c>
      <c r="H85" s="684">
        <f>IF(終値!A85="","",IF(AND(安値!M85&lt;安値!L85,安値!M85&lt;安値!K85,安値!M85&lt;安値!N85,安値!M85&lt;安値!O85),8,""))</f>
      </c>
      <c r="I85" s="684">
        <f>IF(終値!A85="","",IF(AND(安値!N85&lt;安値!M85,安値!N85&lt;安値!L85,安値!N85&lt;安値!O85,安値!N85&lt;安値!P85),9,""))</f>
      </c>
      <c r="J85" s="684">
        <f>IF(終値!A85="","",IF(AND(安値!O85&lt;安値!N85,安値!O85&lt;安値!M85,安値!O85&lt;安値!P85,安値!O85&lt;安値!Q85),10,""))</f>
      </c>
      <c r="K85" s="684">
        <f>IF(終値!A85="","",IF(AND(安値!P85&lt;安値!O85,安値!P85&lt;安値!N85,安値!P85&lt;安値!Q85,安値!P85&lt;安値!R85),11,""))</f>
      </c>
      <c r="L85" s="684">
        <f>IF(終値!A85="","",IF(AND(安値!Q85&lt;安値!P85,安値!Q85&lt;安値!O85,安値!Q85&lt;安値!R85,安値!Q85&lt;安値!S85),12,""))</f>
      </c>
      <c r="M85" s="684">
        <f>IF(終値!A85="","",IF(AND(安値!R85&lt;安値!Q85,安値!R85&lt;安値!P85,安値!R85&lt;安値!S85,安値!R85&lt;安値!T85),13,""))</f>
      </c>
      <c r="N85" s="684">
        <f>IF(終値!A85="","",IF(AND(安値!S85&lt;安値!R85,安値!S85&lt;安値!Q85,安値!S85&lt;安値!T85,安値!S85&lt;安値!U85),14,""))</f>
      </c>
      <c r="O85" s="684">
        <f>IF(終値!A85="","",IF(AND(安値!T85&lt;安値!S85,安値!T85&lt;安値!R85,安値!T85&lt;安値!U85,安値!T85&lt;安値!V85),15,""))</f>
      </c>
      <c r="P85" s="684">
        <f>IF(終値!A85="","",IF(AND(安値!U85&lt;安値!T85,安値!U85&lt;安値!S85,安値!U85&lt;安値!V85,安値!U85&lt;安値!W85),16,""))</f>
      </c>
      <c r="Q85" s="684">
        <f>IF(終値!A85="","",IF(AND(安値!V85&lt;安値!U85,安値!V85&lt;安値!T85,安値!V85&lt;安値!W85,安値!V85&lt;安値!X85),17,""))</f>
      </c>
      <c r="R85" s="684">
        <f>IF(終値!A85="","",IF(AND(安値!W85&lt;安値!V85,安値!W85&lt;安値!U85,安値!W85&lt;安値!X85,安値!W85&lt;安値!Y85),18,""))</f>
      </c>
      <c r="S85" s="684">
        <f>IF(終値!A85="","",IF(AND(安値!X85&lt;安値!W85,安値!X85&lt;安値!V85,安値!X85&lt;安値!Y85,安値!X85&lt;安値!Z85),19,""))</f>
      </c>
      <c r="T85" s="684">
        <f>IF(終値!A85="","",IF(AND(安値!Y85&lt;安値!X85,安値!Y85&lt;安値!W85,安値!Y85&lt;安値!Z85,安値!Y85&lt;安値!AA85),20,""))</f>
      </c>
      <c r="U85" s="684">
        <f>IF(終値!A85="","",IF(AND(安値!Z85&lt;安値!Y85,安値!Z85&lt;安値!X85,安値!Z85&lt;安値!AA85,安値!Z85&lt;安値!AB85),21,""))</f>
      </c>
      <c r="V85" s="684">
        <f>IF(終値!A85="","",IF(AND(安値!AA85&lt;安値!Z85,安値!AA85&lt;安値!Y85,安値!AA85&lt;安値!AB85,安値!AA85&lt;安値!AC85),22,""))</f>
      </c>
      <c r="W85" s="684">
        <f>IF(終値!A85="","",IF(AND(安値!AB85&lt;安値!AA85,安値!AB85&lt;安値!Z85,安値!AB85&lt;安値!AC85,安値!AB85&lt;安値!AD85),23,""))</f>
      </c>
      <c r="X85" s="684">
        <f>IF(終値!A85="","",IF(AND(安値!AC85&lt;安値!AB85,安値!AC85&lt;安値!AA85,安値!AC85&lt;安値!AD85,安値!AC85&lt;安値!AE85),24,""))</f>
      </c>
      <c r="Y85" s="684">
        <f>IF(終値!A85="","",IF(AND(安値!AD85&lt;安値!AC85,安値!AD85&lt;安値!AB85,安値!AD85&lt;安値!AE85,安値!AD85&lt;安値!AF85),25,""))</f>
      </c>
      <c r="Z85" s="684">
        <f>IF(終値!A85="","",IF(AND(安値!AE85&lt;安値!AD85,安値!AE85&lt;安値!AC85,安値!AE85&lt;安値!AF85,安値!AE85&lt;安値!AG85),26,""))</f>
      </c>
      <c r="AA85" s="684">
        <f>IF(終値!A85="","",IF(AND(安値!AF85&lt;安値!AE85,安値!AF85&lt;安値!AD85,安値!AF85&lt;安値!AG85,安値!AF85&lt;安値!AH85),27,""))</f>
      </c>
      <c r="AB85" s="684">
        <f>IF(終値!A85="","",IF(AND(安値!AG85&lt;安値!AF85,安値!AG85&lt;安値!AE85,安値!AG85&lt;安値!AH85,安値!AG85&lt;安値!AI85),28,""))</f>
      </c>
      <c r="AC85" s="684">
        <f>IF(終値!A85="","",IF(AND(高値!G85&gt;高値!F85,高値!G85&gt;高値!E85,高値!G85&gt;高値!H85,高値!G85&gt;高値!I85),2,""))</f>
      </c>
      <c r="AD85" s="684">
        <f>IF(終値!A85="","",IF(AND(高値!H85&gt;高値!G85,高値!H85&gt;高値!F85,高値!H85&gt;高値!I85,高値!H85&gt;高値!J85),3,""))</f>
      </c>
      <c r="AE85" s="684">
        <f>IF(終値!A85="","",IF(AND(高値!I85&gt;高値!H85,高値!I85&gt;高値!G85,高値!I85&gt;高値!J85,高値!I85&gt;高値!K85),4,""))</f>
      </c>
      <c r="AF85" s="684">
        <f>IF(終値!A85="","",IF(AND(高値!J85&gt;高値!I85,高値!J85&gt;高値!H85,高値!J85&gt;高値!K85,高値!J85&gt;高値!L85),5,""))</f>
      </c>
      <c r="AG85" s="684">
        <f>IF(終値!A85="","",IF(AND(高値!K85&gt;高値!J85,高値!K85&gt;高値!I85,高値!K85&gt;高値!L85,高値!K85&gt;高値!M85),6,""))</f>
      </c>
      <c r="AH85" s="684">
        <f>IF(終値!A85="","",IF(AND(高値!L85&gt;高値!K85,高値!L85&gt;高値!J85,高値!L85&gt;高値!M85,高値!L85&gt;高値!N85),7,""))</f>
      </c>
      <c r="AI85" s="684">
        <f>IF(終値!A85="","",IF(AND(高値!M85&gt;高値!L85,高値!M85&gt;高値!K85,高値!M85&gt;高値!N85,高値!M85&gt;高値!O85),8,""))</f>
      </c>
      <c r="AJ85" s="684">
        <f>IF(終値!A85="","",IF(AND(高値!N85&gt;高値!M85,高値!N85&gt;高値!L85,高値!N85&gt;高値!O85,高値!N85&gt;高値!P85),9,""))</f>
      </c>
      <c r="AK85" s="684">
        <f>IF(終値!A85="","",IF(AND(高値!O85&gt;高値!N85,高値!O85&gt;高値!M85,高値!O85&gt;高値!P85,高値!O85&gt;高値!Q85),10,""))</f>
      </c>
      <c r="AL85" s="684">
        <f>IF(終値!A85="","",IF(AND(高値!P85&gt;高値!O85,高値!P85&gt;高値!N85,高値!P85&gt;高値!Q85,高値!P85&gt;高値!R85),11,""))</f>
      </c>
      <c r="AM85" s="684">
        <f>IF(終値!A85="","",IF(AND(高値!Q85&gt;高値!P85,高値!Q85&gt;高値!O85,高値!Q85&gt;高値!R85,高値!Q85&gt;高値!S85),12,""))</f>
      </c>
      <c r="AN85" s="684">
        <f>IF(終値!A85="","",IF(AND(高値!R85&gt;高値!Q85,高値!R85&gt;高値!P85,高値!R85&gt;高値!S85,高値!R85&gt;高値!T85),13,""))</f>
      </c>
      <c r="AO85" s="684">
        <f>IF(終値!A85="","",IF(AND(高値!S85&gt;高値!R85,高値!S85&gt;高値!Q85,高値!S85&gt;高値!T85,高値!S85&gt;高値!U85),14,""))</f>
      </c>
      <c r="AP85" s="684">
        <f>IF(終値!A85="","",IF(AND(高値!T85&gt;高値!S85,高値!T85&gt;高値!R85,高値!T85&gt;高値!U85,高値!T85&gt;高値!V85),15,""))</f>
      </c>
      <c r="AQ85" s="684">
        <f>IF(終値!A85="","",IF(AND(高値!U85&gt;高値!T85,高値!U85&gt;高値!S85,高値!U85&gt;高値!V85,高値!U85&gt;高値!W85),16,""))</f>
      </c>
      <c r="AR85" s="684">
        <f>IF(終値!A85="","",IF(AND(高値!V85&gt;高値!U85,高値!V85&gt;高値!T85,高値!V85&gt;高値!W85,高値!V85&gt;高値!X85),17,""))</f>
      </c>
      <c r="AS85" s="684">
        <f>IF(終値!A85="","",IF(AND(高値!W85&gt;高値!V85,高値!W85&gt;高値!U85,高値!W85&gt;高値!X85,高値!W85&gt;高値!Y85),18,""))</f>
      </c>
      <c r="AT85" s="684">
        <f>IF(終値!A85="","",IF(AND(高値!X85&gt;高値!W85,高値!X85&gt;高値!V85,高値!X85&gt;高値!Y85,高値!X85&gt;高値!Z85),19,""))</f>
      </c>
      <c r="AU85" s="684">
        <f>IF(終値!A85="","",IF(AND(高値!Y85&gt;高値!X85,高値!Y85&gt;高値!W85,高値!Y85&gt;高値!Z85,高値!Y85&gt;高値!AA85),20,""))</f>
      </c>
      <c r="AV85" s="684">
        <f>IF(終値!A85="","",IF(AND(高値!Z85&gt;高値!Y85,高値!Z85&gt;高値!X85,高値!Z85&gt;高値!AA85,高値!Z85&gt;高値!AB85),21,""))</f>
      </c>
      <c r="AW85" s="684">
        <f>IF(終値!A85="","",IF(AND(高値!AA85&gt;高値!Z85,高値!AA85&gt;高値!Y85,高値!AA85&gt;高値!AB85,高値!AA85&gt;高値!AC85),22,""))</f>
      </c>
      <c r="AX85" s="684">
        <f>IF(終値!A85="","",IF(AND(高値!AB85&gt;高値!AA85,高値!AB85&gt;高値!Z85,高値!AB85&gt;高値!AC85,高値!AB85&gt;高値!AD85),23,""))</f>
      </c>
      <c r="AY85" s="684">
        <f>IF(終値!A85="","",IF(AND(高値!AC85&gt;高値!AB85,高値!AC85&gt;高値!AA85,高値!AC85&gt;高値!AD85,高値!AC85&gt;高値!AE85),24,""))</f>
      </c>
      <c r="AZ85" s="684">
        <f>IF(終値!A85="","",IF(AND(高値!AD85&gt;高値!AC85,高値!AD85&gt;高値!AB85,高値!AD85&gt;高値!AE85,高値!AD85&gt;高値!AF85),25,""))</f>
      </c>
      <c r="BA85" s="684">
        <f>IF(終値!A85="","",IF(AND(高値!AE85&gt;高値!AD85,高値!AE85&gt;高値!AC85,高値!AE85&gt;高値!AF85,高値!AE85&gt;高値!AG85),26,""))</f>
      </c>
      <c r="BB85" s="684">
        <f>IF(終値!A85="","",IF(AND(高値!AF85&gt;高値!AE85,高値!AF85&gt;高値!AD85,高値!AF85&gt;高値!AG85,高値!AF85&gt;高値!AH85),27,""))</f>
      </c>
      <c r="BC85" s="684">
        <f>IF(終値!A85="","",IF(AND(高値!AG85&gt;高値!AF85,高値!AG85&gt;高値!AE85,高値!AG85&gt;高値!AH85,高値!AG85&gt;高値!AI85),28,""))</f>
      </c>
      <c r="BD85" s="684">
        <f>COUNT($B85:$AB85)</f>
      </c>
      <c r="BE85" s="684">
        <f>IF($BD85&gt;=2,MIN($B85:$AB85),"")</f>
      </c>
      <c r="BF85" s="684">
        <f>IF($BD85&gt;=2,SMALL($B85:$AB85,2),"")</f>
      </c>
      <c r="BG85" s="684">
        <f>IF($BE85="","",INDEX(安値!$E85:$CZ85,1,$BE85+1))</f>
      </c>
      <c r="BH85" s="684">
        <f>IF($BF85="","",INDEX(安値!$E85:$CZ85,1,$BF85+1))</f>
      </c>
      <c r="BI85" s="684">
        <f>IF($BF85="","",MAX(INDEX(高値!$E85:$CZ85,1,$BE85+1):INDEX(高値!$E85:$CZ85,1,$BF85+1)))</f>
      </c>
      <c r="BJ85" s="684">
        <f>IF($BF85="","",AVERAGE(INDEX(終値!$E85:$CZ85,1,$BF85+1):INDEX(終値!$E85:$CZ85,1,$BF85+20))-2*STDEVP(INDEX(終値!$E85:$CZ85,1,$BF85+1):INDEX(終値!$E85:$CZ85,1,$BF85+20)))</f>
      </c>
      <c r="BK85" s="684">
        <f>IF($BE85="","",AVERAGE(INDEX(終値!$E85:$CZ85,1,$BE85+1):INDEX(終値!$E85:$CZ85,1,$BE85+20))-2*STDEVP(INDEX(終値!$E85:$CZ85,1,$BE85+1):INDEX(終値!$E85:$CZ85,1,$BE85+20)))</f>
      </c>
      <c r="BL85" s="684">
        <f>COUNT($AC85:$BC85)</f>
      </c>
      <c r="BM85" s="684">
        <f>IF($BL85&gt;=2,MIN($AC85:$BC85),"")</f>
      </c>
      <c r="BN85" s="684">
        <f>IF($BL85&gt;=2,SMALL($AC85:$BC85,2),"")</f>
      </c>
      <c r="BO85" s="684">
        <f>IF($BM85="","",INDEX(高値!$E85:$CZ85,1,$BM85+1))</f>
      </c>
      <c r="BP85" s="684">
        <f>IF($BN85="","",INDEX(高値!$E85:$CZ85,1,$BN85+1))</f>
      </c>
      <c r="BQ85" s="684">
        <f>IF($BN85="","",MIN(INDEX(安値!$E85:$CZ85,1,$BM85+1):INDEX(安値!$E85:$CZ85,1,$BN85+1)))</f>
      </c>
      <c r="BR85" s="684">
        <f>IF($BN85="","",AVERAGE(INDEX(終値!$E85:$CZ85,1,$BN85+1):INDEX(終値!$E85:$CZ85,1,$BN85+20))+2*STDEVP(INDEX(終値!$E85:$CZ85,1,$BN85+1):INDEX(終値!$E85:$CZ85,1,$BN85+20)))</f>
      </c>
      <c r="BS85" s="684">
        <f>IF($BM85="","",AVERAGE(INDEX(終値!$E85:$CZ85,1,$BM85+1):INDEX(終値!$E85:$CZ85,1,$BM85+20))+2*STDEVP(INDEX(終値!$E85:$CZ85,1,$BM85+1):INDEX(終値!$E85:$CZ85,1,$BM85+20)))</f>
      </c>
      <c r="BT85" s="681">
        <f>IFERROR(IF(AND($BD85&gt;=2,ABS($BG85-$BH85)/$BH85&lt;=BB設定!$B$12,$BI85&gt;=MAX($BH85,$BG85)*(1+BB設定!$B$13),終値!E85&gt;$BG85),IF(OR(終値!E85&gt;=$BI85,AND($BH85&lt;$BJ85,$BG85&gt;=$BK85)),"二番底W▲","二番底W形成"),IF(AND($BL85&gt;=2,ABS($BO85-$BP85)/$BP85&lt;=BB設定!$B$12,$BQ85&lt;=MIN($BP85,$BO85)*(1-BB設定!$B$13),終値!E85&lt;$BO85),IF(OR(終値!E85&lt;=$BQ85,AND($BP85&gt;$BR85,$BO85&lt;=$BS85)),"二番天井M▼","二番天井M形成"),"－")),"－")</f>
      </c>
    </row>
    <row r="86">
      <c r="B86" s="684">
        <f>IF(終値!A86="","",IF(AND(安値!G86&lt;安値!F86,安値!G86&lt;安値!E86,安値!G86&lt;安値!H86,安値!G86&lt;安値!I86),2,""))</f>
      </c>
      <c r="C86" s="684">
        <f>IF(終値!A86="","",IF(AND(安値!H86&lt;安値!G86,安値!H86&lt;安値!F86,安値!H86&lt;安値!I86,安値!H86&lt;安値!J86),3,""))</f>
      </c>
      <c r="D86" s="684">
        <f>IF(終値!A86="","",IF(AND(安値!I86&lt;安値!H86,安値!I86&lt;安値!G86,安値!I86&lt;安値!J86,安値!I86&lt;安値!K86),4,""))</f>
      </c>
      <c r="E86" s="684">
        <f>IF(終値!A86="","",IF(AND(安値!J86&lt;安値!I86,安値!J86&lt;安値!H86,安値!J86&lt;安値!K86,安値!J86&lt;安値!L86),5,""))</f>
      </c>
      <c r="F86" s="684">
        <f>IF(終値!A86="","",IF(AND(安値!K86&lt;安値!J86,安値!K86&lt;安値!I86,安値!K86&lt;安値!L86,安値!K86&lt;安値!M86),6,""))</f>
      </c>
      <c r="G86" s="684">
        <f>IF(終値!A86="","",IF(AND(安値!L86&lt;安値!K86,安値!L86&lt;安値!J86,安値!L86&lt;安値!M86,安値!L86&lt;安値!N86),7,""))</f>
      </c>
      <c r="H86" s="684">
        <f>IF(終値!A86="","",IF(AND(安値!M86&lt;安値!L86,安値!M86&lt;安値!K86,安値!M86&lt;安値!N86,安値!M86&lt;安値!O86),8,""))</f>
      </c>
      <c r="I86" s="684">
        <f>IF(終値!A86="","",IF(AND(安値!N86&lt;安値!M86,安値!N86&lt;安値!L86,安値!N86&lt;安値!O86,安値!N86&lt;安値!P86),9,""))</f>
      </c>
      <c r="J86" s="684">
        <f>IF(終値!A86="","",IF(AND(安値!O86&lt;安値!N86,安値!O86&lt;安値!M86,安値!O86&lt;安値!P86,安値!O86&lt;安値!Q86),10,""))</f>
      </c>
      <c r="K86" s="684">
        <f>IF(終値!A86="","",IF(AND(安値!P86&lt;安値!O86,安値!P86&lt;安値!N86,安値!P86&lt;安値!Q86,安値!P86&lt;安値!R86),11,""))</f>
      </c>
      <c r="L86" s="684">
        <f>IF(終値!A86="","",IF(AND(安値!Q86&lt;安値!P86,安値!Q86&lt;安値!O86,安値!Q86&lt;安値!R86,安値!Q86&lt;安値!S86),12,""))</f>
      </c>
      <c r="M86" s="684">
        <f>IF(終値!A86="","",IF(AND(安値!R86&lt;安値!Q86,安値!R86&lt;安値!P86,安値!R86&lt;安値!S86,安値!R86&lt;安値!T86),13,""))</f>
      </c>
      <c r="N86" s="684">
        <f>IF(終値!A86="","",IF(AND(安値!S86&lt;安値!R86,安値!S86&lt;安値!Q86,安値!S86&lt;安値!T86,安値!S86&lt;安値!U86),14,""))</f>
      </c>
      <c r="O86" s="684">
        <f>IF(終値!A86="","",IF(AND(安値!T86&lt;安値!S86,安値!T86&lt;安値!R86,安値!T86&lt;安値!U86,安値!T86&lt;安値!V86),15,""))</f>
      </c>
      <c r="P86" s="684">
        <f>IF(終値!A86="","",IF(AND(安値!U86&lt;安値!T86,安値!U86&lt;安値!S86,安値!U86&lt;安値!V86,安値!U86&lt;安値!W86),16,""))</f>
      </c>
      <c r="Q86" s="684">
        <f>IF(終値!A86="","",IF(AND(安値!V86&lt;安値!U86,安値!V86&lt;安値!T86,安値!V86&lt;安値!W86,安値!V86&lt;安値!X86),17,""))</f>
      </c>
      <c r="R86" s="684">
        <f>IF(終値!A86="","",IF(AND(安値!W86&lt;安値!V86,安値!W86&lt;安値!U86,安値!W86&lt;安値!X86,安値!W86&lt;安値!Y86),18,""))</f>
      </c>
      <c r="S86" s="684">
        <f>IF(終値!A86="","",IF(AND(安値!X86&lt;安値!W86,安値!X86&lt;安値!V86,安値!X86&lt;安値!Y86,安値!X86&lt;安値!Z86),19,""))</f>
      </c>
      <c r="T86" s="684">
        <f>IF(終値!A86="","",IF(AND(安値!Y86&lt;安値!X86,安値!Y86&lt;安値!W86,安値!Y86&lt;安値!Z86,安値!Y86&lt;安値!AA86),20,""))</f>
      </c>
      <c r="U86" s="684">
        <f>IF(終値!A86="","",IF(AND(安値!Z86&lt;安値!Y86,安値!Z86&lt;安値!X86,安値!Z86&lt;安値!AA86,安値!Z86&lt;安値!AB86),21,""))</f>
      </c>
      <c r="V86" s="684">
        <f>IF(終値!A86="","",IF(AND(安値!AA86&lt;安値!Z86,安値!AA86&lt;安値!Y86,安値!AA86&lt;安値!AB86,安値!AA86&lt;安値!AC86),22,""))</f>
      </c>
      <c r="W86" s="684">
        <f>IF(終値!A86="","",IF(AND(安値!AB86&lt;安値!AA86,安値!AB86&lt;安値!Z86,安値!AB86&lt;安値!AC86,安値!AB86&lt;安値!AD86),23,""))</f>
      </c>
      <c r="X86" s="684">
        <f>IF(終値!A86="","",IF(AND(安値!AC86&lt;安値!AB86,安値!AC86&lt;安値!AA86,安値!AC86&lt;安値!AD86,安値!AC86&lt;安値!AE86),24,""))</f>
      </c>
      <c r="Y86" s="684">
        <f>IF(終値!A86="","",IF(AND(安値!AD86&lt;安値!AC86,安値!AD86&lt;安値!AB86,安値!AD86&lt;安値!AE86,安値!AD86&lt;安値!AF86),25,""))</f>
      </c>
      <c r="Z86" s="684">
        <f>IF(終値!A86="","",IF(AND(安値!AE86&lt;安値!AD86,安値!AE86&lt;安値!AC86,安値!AE86&lt;安値!AF86,安値!AE86&lt;安値!AG86),26,""))</f>
      </c>
      <c r="AA86" s="684">
        <f>IF(終値!A86="","",IF(AND(安値!AF86&lt;安値!AE86,安値!AF86&lt;安値!AD86,安値!AF86&lt;安値!AG86,安値!AF86&lt;安値!AH86),27,""))</f>
      </c>
      <c r="AB86" s="684">
        <f>IF(終値!A86="","",IF(AND(安値!AG86&lt;安値!AF86,安値!AG86&lt;安値!AE86,安値!AG86&lt;安値!AH86,安値!AG86&lt;安値!AI86),28,""))</f>
      </c>
      <c r="AC86" s="684">
        <f>IF(終値!A86="","",IF(AND(高値!G86&gt;高値!F86,高値!G86&gt;高値!E86,高値!G86&gt;高値!H86,高値!G86&gt;高値!I86),2,""))</f>
      </c>
      <c r="AD86" s="684">
        <f>IF(終値!A86="","",IF(AND(高値!H86&gt;高値!G86,高値!H86&gt;高値!F86,高値!H86&gt;高値!I86,高値!H86&gt;高値!J86),3,""))</f>
      </c>
      <c r="AE86" s="684">
        <f>IF(終値!A86="","",IF(AND(高値!I86&gt;高値!H86,高値!I86&gt;高値!G86,高値!I86&gt;高値!J86,高値!I86&gt;高値!K86),4,""))</f>
      </c>
      <c r="AF86" s="684">
        <f>IF(終値!A86="","",IF(AND(高値!J86&gt;高値!I86,高値!J86&gt;高値!H86,高値!J86&gt;高値!K86,高値!J86&gt;高値!L86),5,""))</f>
      </c>
      <c r="AG86" s="684">
        <f>IF(終値!A86="","",IF(AND(高値!K86&gt;高値!J86,高値!K86&gt;高値!I86,高値!K86&gt;高値!L86,高値!K86&gt;高値!M86),6,""))</f>
      </c>
      <c r="AH86" s="684">
        <f>IF(終値!A86="","",IF(AND(高値!L86&gt;高値!K86,高値!L86&gt;高値!J86,高値!L86&gt;高値!M86,高値!L86&gt;高値!N86),7,""))</f>
      </c>
      <c r="AI86" s="684">
        <f>IF(終値!A86="","",IF(AND(高値!M86&gt;高値!L86,高値!M86&gt;高値!K86,高値!M86&gt;高値!N86,高値!M86&gt;高値!O86),8,""))</f>
      </c>
      <c r="AJ86" s="684">
        <f>IF(終値!A86="","",IF(AND(高値!N86&gt;高値!M86,高値!N86&gt;高値!L86,高値!N86&gt;高値!O86,高値!N86&gt;高値!P86),9,""))</f>
      </c>
      <c r="AK86" s="684">
        <f>IF(終値!A86="","",IF(AND(高値!O86&gt;高値!N86,高値!O86&gt;高値!M86,高値!O86&gt;高値!P86,高値!O86&gt;高値!Q86),10,""))</f>
      </c>
      <c r="AL86" s="684">
        <f>IF(終値!A86="","",IF(AND(高値!P86&gt;高値!O86,高値!P86&gt;高値!N86,高値!P86&gt;高値!Q86,高値!P86&gt;高値!R86),11,""))</f>
      </c>
      <c r="AM86" s="684">
        <f>IF(終値!A86="","",IF(AND(高値!Q86&gt;高値!P86,高値!Q86&gt;高値!O86,高値!Q86&gt;高値!R86,高値!Q86&gt;高値!S86),12,""))</f>
      </c>
      <c r="AN86" s="684">
        <f>IF(終値!A86="","",IF(AND(高値!R86&gt;高値!Q86,高値!R86&gt;高値!P86,高値!R86&gt;高値!S86,高値!R86&gt;高値!T86),13,""))</f>
      </c>
      <c r="AO86" s="684">
        <f>IF(終値!A86="","",IF(AND(高値!S86&gt;高値!R86,高値!S86&gt;高値!Q86,高値!S86&gt;高値!T86,高値!S86&gt;高値!U86),14,""))</f>
      </c>
      <c r="AP86" s="684">
        <f>IF(終値!A86="","",IF(AND(高値!T86&gt;高値!S86,高値!T86&gt;高値!R86,高値!T86&gt;高値!U86,高値!T86&gt;高値!V86),15,""))</f>
      </c>
      <c r="AQ86" s="684">
        <f>IF(終値!A86="","",IF(AND(高値!U86&gt;高値!T86,高値!U86&gt;高値!S86,高値!U86&gt;高値!V86,高値!U86&gt;高値!W86),16,""))</f>
      </c>
      <c r="AR86" s="684">
        <f>IF(終値!A86="","",IF(AND(高値!V86&gt;高値!U86,高値!V86&gt;高値!T86,高値!V86&gt;高値!W86,高値!V86&gt;高値!X86),17,""))</f>
      </c>
      <c r="AS86" s="684">
        <f>IF(終値!A86="","",IF(AND(高値!W86&gt;高値!V86,高値!W86&gt;高値!U86,高値!W86&gt;高値!X86,高値!W86&gt;高値!Y86),18,""))</f>
      </c>
      <c r="AT86" s="684">
        <f>IF(終値!A86="","",IF(AND(高値!X86&gt;高値!W86,高値!X86&gt;高値!V86,高値!X86&gt;高値!Y86,高値!X86&gt;高値!Z86),19,""))</f>
      </c>
      <c r="AU86" s="684">
        <f>IF(終値!A86="","",IF(AND(高値!Y86&gt;高値!X86,高値!Y86&gt;高値!W86,高値!Y86&gt;高値!Z86,高値!Y86&gt;高値!AA86),20,""))</f>
      </c>
      <c r="AV86" s="684">
        <f>IF(終値!A86="","",IF(AND(高値!Z86&gt;高値!Y86,高値!Z86&gt;高値!X86,高値!Z86&gt;高値!AA86,高値!Z86&gt;高値!AB86),21,""))</f>
      </c>
      <c r="AW86" s="684">
        <f>IF(終値!A86="","",IF(AND(高値!AA86&gt;高値!Z86,高値!AA86&gt;高値!Y86,高値!AA86&gt;高値!AB86,高値!AA86&gt;高値!AC86),22,""))</f>
      </c>
      <c r="AX86" s="684">
        <f>IF(終値!A86="","",IF(AND(高値!AB86&gt;高値!AA86,高値!AB86&gt;高値!Z86,高値!AB86&gt;高値!AC86,高値!AB86&gt;高値!AD86),23,""))</f>
      </c>
      <c r="AY86" s="684">
        <f>IF(終値!A86="","",IF(AND(高値!AC86&gt;高値!AB86,高値!AC86&gt;高値!AA86,高値!AC86&gt;高値!AD86,高値!AC86&gt;高値!AE86),24,""))</f>
      </c>
      <c r="AZ86" s="684">
        <f>IF(終値!A86="","",IF(AND(高値!AD86&gt;高値!AC86,高値!AD86&gt;高値!AB86,高値!AD86&gt;高値!AE86,高値!AD86&gt;高値!AF86),25,""))</f>
      </c>
      <c r="BA86" s="684">
        <f>IF(終値!A86="","",IF(AND(高値!AE86&gt;高値!AD86,高値!AE86&gt;高値!AC86,高値!AE86&gt;高値!AF86,高値!AE86&gt;高値!AG86),26,""))</f>
      </c>
      <c r="BB86" s="684">
        <f>IF(終値!A86="","",IF(AND(高値!AF86&gt;高値!AE86,高値!AF86&gt;高値!AD86,高値!AF86&gt;高値!AG86,高値!AF86&gt;高値!AH86),27,""))</f>
      </c>
      <c r="BC86" s="684">
        <f>IF(終値!A86="","",IF(AND(高値!AG86&gt;高値!AF86,高値!AG86&gt;高値!AE86,高値!AG86&gt;高値!AH86,高値!AG86&gt;高値!AI86),28,""))</f>
      </c>
      <c r="BD86" s="684">
        <f>COUNT($B86:$AB86)</f>
      </c>
      <c r="BE86" s="684">
        <f>IF($BD86&gt;=2,MIN($B86:$AB86),"")</f>
      </c>
      <c r="BF86" s="684">
        <f>IF($BD86&gt;=2,SMALL($B86:$AB86,2),"")</f>
      </c>
      <c r="BG86" s="684">
        <f>IF($BE86="","",INDEX(安値!$E86:$CZ86,1,$BE86+1))</f>
      </c>
      <c r="BH86" s="684">
        <f>IF($BF86="","",INDEX(安値!$E86:$CZ86,1,$BF86+1))</f>
      </c>
      <c r="BI86" s="684">
        <f>IF($BF86="","",MAX(INDEX(高値!$E86:$CZ86,1,$BE86+1):INDEX(高値!$E86:$CZ86,1,$BF86+1)))</f>
      </c>
      <c r="BJ86" s="684">
        <f>IF($BF86="","",AVERAGE(INDEX(終値!$E86:$CZ86,1,$BF86+1):INDEX(終値!$E86:$CZ86,1,$BF86+20))-2*STDEVP(INDEX(終値!$E86:$CZ86,1,$BF86+1):INDEX(終値!$E86:$CZ86,1,$BF86+20)))</f>
      </c>
      <c r="BK86" s="684">
        <f>IF($BE86="","",AVERAGE(INDEX(終値!$E86:$CZ86,1,$BE86+1):INDEX(終値!$E86:$CZ86,1,$BE86+20))-2*STDEVP(INDEX(終値!$E86:$CZ86,1,$BE86+1):INDEX(終値!$E86:$CZ86,1,$BE86+20)))</f>
      </c>
      <c r="BL86" s="684">
        <f>COUNT($AC86:$BC86)</f>
      </c>
      <c r="BM86" s="684">
        <f>IF($BL86&gt;=2,MIN($AC86:$BC86),"")</f>
      </c>
      <c r="BN86" s="684">
        <f>IF($BL86&gt;=2,SMALL($AC86:$BC86,2),"")</f>
      </c>
      <c r="BO86" s="684">
        <f>IF($BM86="","",INDEX(高値!$E86:$CZ86,1,$BM86+1))</f>
      </c>
      <c r="BP86" s="684">
        <f>IF($BN86="","",INDEX(高値!$E86:$CZ86,1,$BN86+1))</f>
      </c>
      <c r="BQ86" s="684">
        <f>IF($BN86="","",MIN(INDEX(安値!$E86:$CZ86,1,$BM86+1):INDEX(安値!$E86:$CZ86,1,$BN86+1)))</f>
      </c>
      <c r="BR86" s="684">
        <f>IF($BN86="","",AVERAGE(INDEX(終値!$E86:$CZ86,1,$BN86+1):INDEX(終値!$E86:$CZ86,1,$BN86+20))+2*STDEVP(INDEX(終値!$E86:$CZ86,1,$BN86+1):INDEX(終値!$E86:$CZ86,1,$BN86+20)))</f>
      </c>
      <c r="BS86" s="684">
        <f>IF($BM86="","",AVERAGE(INDEX(終値!$E86:$CZ86,1,$BM86+1):INDEX(終値!$E86:$CZ86,1,$BM86+20))+2*STDEVP(INDEX(終値!$E86:$CZ86,1,$BM86+1):INDEX(終値!$E86:$CZ86,1,$BM86+20)))</f>
      </c>
      <c r="BT86" s="681">
        <f>IFERROR(IF(AND($BD86&gt;=2,ABS($BG86-$BH86)/$BH86&lt;=BB設定!$B$12,$BI86&gt;=MAX($BH86,$BG86)*(1+BB設定!$B$13),終値!E86&gt;$BG86),IF(OR(終値!E86&gt;=$BI86,AND($BH86&lt;$BJ86,$BG86&gt;=$BK86)),"二番底W▲","二番底W形成"),IF(AND($BL86&gt;=2,ABS($BO86-$BP86)/$BP86&lt;=BB設定!$B$12,$BQ86&lt;=MIN($BP86,$BO86)*(1-BB設定!$B$13),終値!E86&lt;$BO86),IF(OR(終値!E86&lt;=$BQ86,AND($BP86&gt;$BR86,$BO86&lt;=$BS86)),"二番天井M▼","二番天井M形成"),"－")),"－")</f>
      </c>
    </row>
    <row r="87">
      <c r="B87" s="684">
        <f>IF(終値!A87="","",IF(AND(安値!G87&lt;安値!F87,安値!G87&lt;安値!E87,安値!G87&lt;安値!H87,安値!G87&lt;安値!I87),2,""))</f>
      </c>
      <c r="C87" s="684">
        <f>IF(終値!A87="","",IF(AND(安値!H87&lt;安値!G87,安値!H87&lt;安値!F87,安値!H87&lt;安値!I87,安値!H87&lt;安値!J87),3,""))</f>
      </c>
      <c r="D87" s="684">
        <f>IF(終値!A87="","",IF(AND(安値!I87&lt;安値!H87,安値!I87&lt;安値!G87,安値!I87&lt;安値!J87,安値!I87&lt;安値!K87),4,""))</f>
      </c>
      <c r="E87" s="684">
        <f>IF(終値!A87="","",IF(AND(安値!J87&lt;安値!I87,安値!J87&lt;安値!H87,安値!J87&lt;安値!K87,安値!J87&lt;安値!L87),5,""))</f>
      </c>
      <c r="F87" s="684">
        <f>IF(終値!A87="","",IF(AND(安値!K87&lt;安値!J87,安値!K87&lt;安値!I87,安値!K87&lt;安値!L87,安値!K87&lt;安値!M87),6,""))</f>
      </c>
      <c r="G87" s="684">
        <f>IF(終値!A87="","",IF(AND(安値!L87&lt;安値!K87,安値!L87&lt;安値!J87,安値!L87&lt;安値!M87,安値!L87&lt;安値!N87),7,""))</f>
      </c>
      <c r="H87" s="684">
        <f>IF(終値!A87="","",IF(AND(安値!M87&lt;安値!L87,安値!M87&lt;安値!K87,安値!M87&lt;安値!N87,安値!M87&lt;安値!O87),8,""))</f>
      </c>
      <c r="I87" s="684">
        <f>IF(終値!A87="","",IF(AND(安値!N87&lt;安値!M87,安値!N87&lt;安値!L87,安値!N87&lt;安値!O87,安値!N87&lt;安値!P87),9,""))</f>
      </c>
      <c r="J87" s="684">
        <f>IF(終値!A87="","",IF(AND(安値!O87&lt;安値!N87,安値!O87&lt;安値!M87,安値!O87&lt;安値!P87,安値!O87&lt;安値!Q87),10,""))</f>
      </c>
      <c r="K87" s="684">
        <f>IF(終値!A87="","",IF(AND(安値!P87&lt;安値!O87,安値!P87&lt;安値!N87,安値!P87&lt;安値!Q87,安値!P87&lt;安値!R87),11,""))</f>
      </c>
      <c r="L87" s="684">
        <f>IF(終値!A87="","",IF(AND(安値!Q87&lt;安値!P87,安値!Q87&lt;安値!O87,安値!Q87&lt;安値!R87,安値!Q87&lt;安値!S87),12,""))</f>
      </c>
      <c r="M87" s="684">
        <f>IF(終値!A87="","",IF(AND(安値!R87&lt;安値!Q87,安値!R87&lt;安値!P87,安値!R87&lt;安値!S87,安値!R87&lt;安値!T87),13,""))</f>
      </c>
      <c r="N87" s="684">
        <f>IF(終値!A87="","",IF(AND(安値!S87&lt;安値!R87,安値!S87&lt;安値!Q87,安値!S87&lt;安値!T87,安値!S87&lt;安値!U87),14,""))</f>
      </c>
      <c r="O87" s="684">
        <f>IF(終値!A87="","",IF(AND(安値!T87&lt;安値!S87,安値!T87&lt;安値!R87,安値!T87&lt;安値!U87,安値!T87&lt;安値!V87),15,""))</f>
      </c>
      <c r="P87" s="684">
        <f>IF(終値!A87="","",IF(AND(安値!U87&lt;安値!T87,安値!U87&lt;安値!S87,安値!U87&lt;安値!V87,安値!U87&lt;安値!W87),16,""))</f>
      </c>
      <c r="Q87" s="684">
        <f>IF(終値!A87="","",IF(AND(安値!V87&lt;安値!U87,安値!V87&lt;安値!T87,安値!V87&lt;安値!W87,安値!V87&lt;安値!X87),17,""))</f>
      </c>
      <c r="R87" s="684">
        <f>IF(終値!A87="","",IF(AND(安値!W87&lt;安値!V87,安値!W87&lt;安値!U87,安値!W87&lt;安値!X87,安値!W87&lt;安値!Y87),18,""))</f>
      </c>
      <c r="S87" s="684">
        <f>IF(終値!A87="","",IF(AND(安値!X87&lt;安値!W87,安値!X87&lt;安値!V87,安値!X87&lt;安値!Y87,安値!X87&lt;安値!Z87),19,""))</f>
      </c>
      <c r="T87" s="684">
        <f>IF(終値!A87="","",IF(AND(安値!Y87&lt;安値!X87,安値!Y87&lt;安値!W87,安値!Y87&lt;安値!Z87,安値!Y87&lt;安値!AA87),20,""))</f>
      </c>
      <c r="U87" s="684">
        <f>IF(終値!A87="","",IF(AND(安値!Z87&lt;安値!Y87,安値!Z87&lt;安値!X87,安値!Z87&lt;安値!AA87,安値!Z87&lt;安値!AB87),21,""))</f>
      </c>
      <c r="V87" s="684">
        <f>IF(終値!A87="","",IF(AND(安値!AA87&lt;安値!Z87,安値!AA87&lt;安値!Y87,安値!AA87&lt;安値!AB87,安値!AA87&lt;安値!AC87),22,""))</f>
      </c>
      <c r="W87" s="684">
        <f>IF(終値!A87="","",IF(AND(安値!AB87&lt;安値!AA87,安値!AB87&lt;安値!Z87,安値!AB87&lt;安値!AC87,安値!AB87&lt;安値!AD87),23,""))</f>
      </c>
      <c r="X87" s="684">
        <f>IF(終値!A87="","",IF(AND(安値!AC87&lt;安値!AB87,安値!AC87&lt;安値!AA87,安値!AC87&lt;安値!AD87,安値!AC87&lt;安値!AE87),24,""))</f>
      </c>
      <c r="Y87" s="684">
        <f>IF(終値!A87="","",IF(AND(安値!AD87&lt;安値!AC87,安値!AD87&lt;安値!AB87,安値!AD87&lt;安値!AE87,安値!AD87&lt;安値!AF87),25,""))</f>
      </c>
      <c r="Z87" s="684">
        <f>IF(終値!A87="","",IF(AND(安値!AE87&lt;安値!AD87,安値!AE87&lt;安値!AC87,安値!AE87&lt;安値!AF87,安値!AE87&lt;安値!AG87),26,""))</f>
      </c>
      <c r="AA87" s="684">
        <f>IF(終値!A87="","",IF(AND(安値!AF87&lt;安値!AE87,安値!AF87&lt;安値!AD87,安値!AF87&lt;安値!AG87,安値!AF87&lt;安値!AH87),27,""))</f>
      </c>
      <c r="AB87" s="684">
        <f>IF(終値!A87="","",IF(AND(安値!AG87&lt;安値!AF87,安値!AG87&lt;安値!AE87,安値!AG87&lt;安値!AH87,安値!AG87&lt;安値!AI87),28,""))</f>
      </c>
      <c r="AC87" s="684">
        <f>IF(終値!A87="","",IF(AND(高値!G87&gt;高値!F87,高値!G87&gt;高値!E87,高値!G87&gt;高値!H87,高値!G87&gt;高値!I87),2,""))</f>
      </c>
      <c r="AD87" s="684">
        <f>IF(終値!A87="","",IF(AND(高値!H87&gt;高値!G87,高値!H87&gt;高値!F87,高値!H87&gt;高値!I87,高値!H87&gt;高値!J87),3,""))</f>
      </c>
      <c r="AE87" s="684">
        <f>IF(終値!A87="","",IF(AND(高値!I87&gt;高値!H87,高値!I87&gt;高値!G87,高値!I87&gt;高値!J87,高値!I87&gt;高値!K87),4,""))</f>
      </c>
      <c r="AF87" s="684">
        <f>IF(終値!A87="","",IF(AND(高値!J87&gt;高値!I87,高値!J87&gt;高値!H87,高値!J87&gt;高値!K87,高値!J87&gt;高値!L87),5,""))</f>
      </c>
      <c r="AG87" s="684">
        <f>IF(終値!A87="","",IF(AND(高値!K87&gt;高値!J87,高値!K87&gt;高値!I87,高値!K87&gt;高値!L87,高値!K87&gt;高値!M87),6,""))</f>
      </c>
      <c r="AH87" s="684">
        <f>IF(終値!A87="","",IF(AND(高値!L87&gt;高値!K87,高値!L87&gt;高値!J87,高値!L87&gt;高値!M87,高値!L87&gt;高値!N87),7,""))</f>
      </c>
      <c r="AI87" s="684">
        <f>IF(終値!A87="","",IF(AND(高値!M87&gt;高値!L87,高値!M87&gt;高値!K87,高値!M87&gt;高値!N87,高値!M87&gt;高値!O87),8,""))</f>
      </c>
      <c r="AJ87" s="684">
        <f>IF(終値!A87="","",IF(AND(高値!N87&gt;高値!M87,高値!N87&gt;高値!L87,高値!N87&gt;高値!O87,高値!N87&gt;高値!P87),9,""))</f>
      </c>
      <c r="AK87" s="684">
        <f>IF(終値!A87="","",IF(AND(高値!O87&gt;高値!N87,高値!O87&gt;高値!M87,高値!O87&gt;高値!P87,高値!O87&gt;高値!Q87),10,""))</f>
      </c>
      <c r="AL87" s="684">
        <f>IF(終値!A87="","",IF(AND(高値!P87&gt;高値!O87,高値!P87&gt;高値!N87,高値!P87&gt;高値!Q87,高値!P87&gt;高値!R87),11,""))</f>
      </c>
      <c r="AM87" s="684">
        <f>IF(終値!A87="","",IF(AND(高値!Q87&gt;高値!P87,高値!Q87&gt;高値!O87,高値!Q87&gt;高値!R87,高値!Q87&gt;高値!S87),12,""))</f>
      </c>
      <c r="AN87" s="684">
        <f>IF(終値!A87="","",IF(AND(高値!R87&gt;高値!Q87,高値!R87&gt;高値!P87,高値!R87&gt;高値!S87,高値!R87&gt;高値!T87),13,""))</f>
      </c>
      <c r="AO87" s="684">
        <f>IF(終値!A87="","",IF(AND(高値!S87&gt;高値!R87,高値!S87&gt;高値!Q87,高値!S87&gt;高値!T87,高値!S87&gt;高値!U87),14,""))</f>
      </c>
      <c r="AP87" s="684">
        <f>IF(終値!A87="","",IF(AND(高値!T87&gt;高値!S87,高値!T87&gt;高値!R87,高値!T87&gt;高値!U87,高値!T87&gt;高値!V87),15,""))</f>
      </c>
      <c r="AQ87" s="684">
        <f>IF(終値!A87="","",IF(AND(高値!U87&gt;高値!T87,高値!U87&gt;高値!S87,高値!U87&gt;高値!V87,高値!U87&gt;高値!W87),16,""))</f>
      </c>
      <c r="AR87" s="684">
        <f>IF(終値!A87="","",IF(AND(高値!V87&gt;高値!U87,高値!V87&gt;高値!T87,高値!V87&gt;高値!W87,高値!V87&gt;高値!X87),17,""))</f>
      </c>
      <c r="AS87" s="684">
        <f>IF(終値!A87="","",IF(AND(高値!W87&gt;高値!V87,高値!W87&gt;高値!U87,高値!W87&gt;高値!X87,高値!W87&gt;高値!Y87),18,""))</f>
      </c>
      <c r="AT87" s="684">
        <f>IF(終値!A87="","",IF(AND(高値!X87&gt;高値!W87,高値!X87&gt;高値!V87,高値!X87&gt;高値!Y87,高値!X87&gt;高値!Z87),19,""))</f>
      </c>
      <c r="AU87" s="684">
        <f>IF(終値!A87="","",IF(AND(高値!Y87&gt;高値!X87,高値!Y87&gt;高値!W87,高値!Y87&gt;高値!Z87,高値!Y87&gt;高値!AA87),20,""))</f>
      </c>
      <c r="AV87" s="684">
        <f>IF(終値!A87="","",IF(AND(高値!Z87&gt;高値!Y87,高値!Z87&gt;高値!X87,高値!Z87&gt;高値!AA87,高値!Z87&gt;高値!AB87),21,""))</f>
      </c>
      <c r="AW87" s="684">
        <f>IF(終値!A87="","",IF(AND(高値!AA87&gt;高値!Z87,高値!AA87&gt;高値!Y87,高値!AA87&gt;高値!AB87,高値!AA87&gt;高値!AC87),22,""))</f>
      </c>
      <c r="AX87" s="684">
        <f>IF(終値!A87="","",IF(AND(高値!AB87&gt;高値!AA87,高値!AB87&gt;高値!Z87,高値!AB87&gt;高値!AC87,高値!AB87&gt;高値!AD87),23,""))</f>
      </c>
      <c r="AY87" s="684">
        <f>IF(終値!A87="","",IF(AND(高値!AC87&gt;高値!AB87,高値!AC87&gt;高値!AA87,高値!AC87&gt;高値!AD87,高値!AC87&gt;高値!AE87),24,""))</f>
      </c>
      <c r="AZ87" s="684">
        <f>IF(終値!A87="","",IF(AND(高値!AD87&gt;高値!AC87,高値!AD87&gt;高値!AB87,高値!AD87&gt;高値!AE87,高値!AD87&gt;高値!AF87),25,""))</f>
      </c>
      <c r="BA87" s="684">
        <f>IF(終値!A87="","",IF(AND(高値!AE87&gt;高値!AD87,高値!AE87&gt;高値!AC87,高値!AE87&gt;高値!AF87,高値!AE87&gt;高値!AG87),26,""))</f>
      </c>
      <c r="BB87" s="684">
        <f>IF(終値!A87="","",IF(AND(高値!AF87&gt;高値!AE87,高値!AF87&gt;高値!AD87,高値!AF87&gt;高値!AG87,高値!AF87&gt;高値!AH87),27,""))</f>
      </c>
      <c r="BC87" s="684">
        <f>IF(終値!A87="","",IF(AND(高値!AG87&gt;高値!AF87,高値!AG87&gt;高値!AE87,高値!AG87&gt;高値!AH87,高値!AG87&gt;高値!AI87),28,""))</f>
      </c>
      <c r="BD87" s="684">
        <f>COUNT($B87:$AB87)</f>
      </c>
      <c r="BE87" s="684">
        <f>IF($BD87&gt;=2,MIN($B87:$AB87),"")</f>
      </c>
      <c r="BF87" s="684">
        <f>IF($BD87&gt;=2,SMALL($B87:$AB87,2),"")</f>
      </c>
      <c r="BG87" s="684">
        <f>IF($BE87="","",INDEX(安値!$E87:$CZ87,1,$BE87+1))</f>
      </c>
      <c r="BH87" s="684">
        <f>IF($BF87="","",INDEX(安値!$E87:$CZ87,1,$BF87+1))</f>
      </c>
      <c r="BI87" s="684">
        <f>IF($BF87="","",MAX(INDEX(高値!$E87:$CZ87,1,$BE87+1):INDEX(高値!$E87:$CZ87,1,$BF87+1)))</f>
      </c>
      <c r="BJ87" s="684">
        <f>IF($BF87="","",AVERAGE(INDEX(終値!$E87:$CZ87,1,$BF87+1):INDEX(終値!$E87:$CZ87,1,$BF87+20))-2*STDEVP(INDEX(終値!$E87:$CZ87,1,$BF87+1):INDEX(終値!$E87:$CZ87,1,$BF87+20)))</f>
      </c>
      <c r="BK87" s="684">
        <f>IF($BE87="","",AVERAGE(INDEX(終値!$E87:$CZ87,1,$BE87+1):INDEX(終値!$E87:$CZ87,1,$BE87+20))-2*STDEVP(INDEX(終値!$E87:$CZ87,1,$BE87+1):INDEX(終値!$E87:$CZ87,1,$BE87+20)))</f>
      </c>
      <c r="BL87" s="684">
        <f>COUNT($AC87:$BC87)</f>
      </c>
      <c r="BM87" s="684">
        <f>IF($BL87&gt;=2,MIN($AC87:$BC87),"")</f>
      </c>
      <c r="BN87" s="684">
        <f>IF($BL87&gt;=2,SMALL($AC87:$BC87,2),"")</f>
      </c>
      <c r="BO87" s="684">
        <f>IF($BM87="","",INDEX(高値!$E87:$CZ87,1,$BM87+1))</f>
      </c>
      <c r="BP87" s="684">
        <f>IF($BN87="","",INDEX(高値!$E87:$CZ87,1,$BN87+1))</f>
      </c>
      <c r="BQ87" s="684">
        <f>IF($BN87="","",MIN(INDEX(安値!$E87:$CZ87,1,$BM87+1):INDEX(安値!$E87:$CZ87,1,$BN87+1)))</f>
      </c>
      <c r="BR87" s="684">
        <f>IF($BN87="","",AVERAGE(INDEX(終値!$E87:$CZ87,1,$BN87+1):INDEX(終値!$E87:$CZ87,1,$BN87+20))+2*STDEVP(INDEX(終値!$E87:$CZ87,1,$BN87+1):INDEX(終値!$E87:$CZ87,1,$BN87+20)))</f>
      </c>
      <c r="BS87" s="684">
        <f>IF($BM87="","",AVERAGE(INDEX(終値!$E87:$CZ87,1,$BM87+1):INDEX(終値!$E87:$CZ87,1,$BM87+20))+2*STDEVP(INDEX(終値!$E87:$CZ87,1,$BM87+1):INDEX(終値!$E87:$CZ87,1,$BM87+20)))</f>
      </c>
      <c r="BT87" s="681">
        <f>IFERROR(IF(AND($BD87&gt;=2,ABS($BG87-$BH87)/$BH87&lt;=BB設定!$B$12,$BI87&gt;=MAX($BH87,$BG87)*(1+BB設定!$B$13),終値!E87&gt;$BG87),IF(OR(終値!E87&gt;=$BI87,AND($BH87&lt;$BJ87,$BG87&gt;=$BK87)),"二番底W▲","二番底W形成"),IF(AND($BL87&gt;=2,ABS($BO87-$BP87)/$BP87&lt;=BB設定!$B$12,$BQ87&lt;=MIN($BP87,$BO87)*(1-BB設定!$B$13),終値!E87&lt;$BO87),IF(OR(終値!E87&lt;=$BQ87,AND($BP87&gt;$BR87,$BO87&lt;=$BS87)),"二番天井M▼","二番天井M形成"),"－")),"－")</f>
      </c>
    </row>
    <row r="88">
      <c r="B88" s="684">
        <f>IF(終値!A88="","",IF(AND(安値!G88&lt;安値!F88,安値!G88&lt;安値!E88,安値!G88&lt;安値!H88,安値!G88&lt;安値!I88),2,""))</f>
      </c>
      <c r="C88" s="684">
        <f>IF(終値!A88="","",IF(AND(安値!H88&lt;安値!G88,安値!H88&lt;安値!F88,安値!H88&lt;安値!I88,安値!H88&lt;安値!J88),3,""))</f>
      </c>
      <c r="D88" s="684">
        <f>IF(終値!A88="","",IF(AND(安値!I88&lt;安値!H88,安値!I88&lt;安値!G88,安値!I88&lt;安値!J88,安値!I88&lt;安値!K88),4,""))</f>
      </c>
      <c r="E88" s="684">
        <f>IF(終値!A88="","",IF(AND(安値!J88&lt;安値!I88,安値!J88&lt;安値!H88,安値!J88&lt;安値!K88,安値!J88&lt;安値!L88),5,""))</f>
      </c>
      <c r="F88" s="684">
        <f>IF(終値!A88="","",IF(AND(安値!K88&lt;安値!J88,安値!K88&lt;安値!I88,安値!K88&lt;安値!L88,安値!K88&lt;安値!M88),6,""))</f>
      </c>
      <c r="G88" s="684">
        <f>IF(終値!A88="","",IF(AND(安値!L88&lt;安値!K88,安値!L88&lt;安値!J88,安値!L88&lt;安値!M88,安値!L88&lt;安値!N88),7,""))</f>
      </c>
      <c r="H88" s="684">
        <f>IF(終値!A88="","",IF(AND(安値!M88&lt;安値!L88,安値!M88&lt;安値!K88,安値!M88&lt;安値!N88,安値!M88&lt;安値!O88),8,""))</f>
      </c>
      <c r="I88" s="684">
        <f>IF(終値!A88="","",IF(AND(安値!N88&lt;安値!M88,安値!N88&lt;安値!L88,安値!N88&lt;安値!O88,安値!N88&lt;安値!P88),9,""))</f>
      </c>
      <c r="J88" s="684">
        <f>IF(終値!A88="","",IF(AND(安値!O88&lt;安値!N88,安値!O88&lt;安値!M88,安値!O88&lt;安値!P88,安値!O88&lt;安値!Q88),10,""))</f>
      </c>
      <c r="K88" s="684">
        <f>IF(終値!A88="","",IF(AND(安値!P88&lt;安値!O88,安値!P88&lt;安値!N88,安値!P88&lt;安値!Q88,安値!P88&lt;安値!R88),11,""))</f>
      </c>
      <c r="L88" s="684">
        <f>IF(終値!A88="","",IF(AND(安値!Q88&lt;安値!P88,安値!Q88&lt;安値!O88,安値!Q88&lt;安値!R88,安値!Q88&lt;安値!S88),12,""))</f>
      </c>
      <c r="M88" s="684">
        <f>IF(終値!A88="","",IF(AND(安値!R88&lt;安値!Q88,安値!R88&lt;安値!P88,安値!R88&lt;安値!S88,安値!R88&lt;安値!T88),13,""))</f>
      </c>
      <c r="N88" s="684">
        <f>IF(終値!A88="","",IF(AND(安値!S88&lt;安値!R88,安値!S88&lt;安値!Q88,安値!S88&lt;安値!T88,安値!S88&lt;安値!U88),14,""))</f>
      </c>
      <c r="O88" s="684">
        <f>IF(終値!A88="","",IF(AND(安値!T88&lt;安値!S88,安値!T88&lt;安値!R88,安値!T88&lt;安値!U88,安値!T88&lt;安値!V88),15,""))</f>
      </c>
      <c r="P88" s="684">
        <f>IF(終値!A88="","",IF(AND(安値!U88&lt;安値!T88,安値!U88&lt;安値!S88,安値!U88&lt;安値!V88,安値!U88&lt;安値!W88),16,""))</f>
      </c>
      <c r="Q88" s="684">
        <f>IF(終値!A88="","",IF(AND(安値!V88&lt;安値!U88,安値!V88&lt;安値!T88,安値!V88&lt;安値!W88,安値!V88&lt;安値!X88),17,""))</f>
      </c>
      <c r="R88" s="684">
        <f>IF(終値!A88="","",IF(AND(安値!W88&lt;安値!V88,安値!W88&lt;安値!U88,安値!W88&lt;安値!X88,安値!W88&lt;安値!Y88),18,""))</f>
      </c>
      <c r="S88" s="684">
        <f>IF(終値!A88="","",IF(AND(安値!X88&lt;安値!W88,安値!X88&lt;安値!V88,安値!X88&lt;安値!Y88,安値!X88&lt;安値!Z88),19,""))</f>
      </c>
      <c r="T88" s="684">
        <f>IF(終値!A88="","",IF(AND(安値!Y88&lt;安値!X88,安値!Y88&lt;安値!W88,安値!Y88&lt;安値!Z88,安値!Y88&lt;安値!AA88),20,""))</f>
      </c>
      <c r="U88" s="684">
        <f>IF(終値!A88="","",IF(AND(安値!Z88&lt;安値!Y88,安値!Z88&lt;安値!X88,安値!Z88&lt;安値!AA88,安値!Z88&lt;安値!AB88),21,""))</f>
      </c>
      <c r="V88" s="684">
        <f>IF(終値!A88="","",IF(AND(安値!AA88&lt;安値!Z88,安値!AA88&lt;安値!Y88,安値!AA88&lt;安値!AB88,安値!AA88&lt;安値!AC88),22,""))</f>
      </c>
      <c r="W88" s="684">
        <f>IF(終値!A88="","",IF(AND(安値!AB88&lt;安値!AA88,安値!AB88&lt;安値!Z88,安値!AB88&lt;安値!AC88,安値!AB88&lt;安値!AD88),23,""))</f>
      </c>
      <c r="X88" s="684">
        <f>IF(終値!A88="","",IF(AND(安値!AC88&lt;安値!AB88,安値!AC88&lt;安値!AA88,安値!AC88&lt;安値!AD88,安値!AC88&lt;安値!AE88),24,""))</f>
      </c>
      <c r="Y88" s="684">
        <f>IF(終値!A88="","",IF(AND(安値!AD88&lt;安値!AC88,安値!AD88&lt;安値!AB88,安値!AD88&lt;安値!AE88,安値!AD88&lt;安値!AF88),25,""))</f>
      </c>
      <c r="Z88" s="684">
        <f>IF(終値!A88="","",IF(AND(安値!AE88&lt;安値!AD88,安値!AE88&lt;安値!AC88,安値!AE88&lt;安値!AF88,安値!AE88&lt;安値!AG88),26,""))</f>
      </c>
      <c r="AA88" s="684">
        <f>IF(終値!A88="","",IF(AND(安値!AF88&lt;安値!AE88,安値!AF88&lt;安値!AD88,安値!AF88&lt;安値!AG88,安値!AF88&lt;安値!AH88),27,""))</f>
      </c>
      <c r="AB88" s="684">
        <f>IF(終値!A88="","",IF(AND(安値!AG88&lt;安値!AF88,安値!AG88&lt;安値!AE88,安値!AG88&lt;安値!AH88,安値!AG88&lt;安値!AI88),28,""))</f>
      </c>
      <c r="AC88" s="684">
        <f>IF(終値!A88="","",IF(AND(高値!G88&gt;高値!F88,高値!G88&gt;高値!E88,高値!G88&gt;高値!H88,高値!G88&gt;高値!I88),2,""))</f>
      </c>
      <c r="AD88" s="684">
        <f>IF(終値!A88="","",IF(AND(高値!H88&gt;高値!G88,高値!H88&gt;高値!F88,高値!H88&gt;高値!I88,高値!H88&gt;高値!J88),3,""))</f>
      </c>
      <c r="AE88" s="684">
        <f>IF(終値!A88="","",IF(AND(高値!I88&gt;高値!H88,高値!I88&gt;高値!G88,高値!I88&gt;高値!J88,高値!I88&gt;高値!K88),4,""))</f>
      </c>
      <c r="AF88" s="684">
        <f>IF(終値!A88="","",IF(AND(高値!J88&gt;高値!I88,高値!J88&gt;高値!H88,高値!J88&gt;高値!K88,高値!J88&gt;高値!L88),5,""))</f>
      </c>
      <c r="AG88" s="684">
        <f>IF(終値!A88="","",IF(AND(高値!K88&gt;高値!J88,高値!K88&gt;高値!I88,高値!K88&gt;高値!L88,高値!K88&gt;高値!M88),6,""))</f>
      </c>
      <c r="AH88" s="684">
        <f>IF(終値!A88="","",IF(AND(高値!L88&gt;高値!K88,高値!L88&gt;高値!J88,高値!L88&gt;高値!M88,高値!L88&gt;高値!N88),7,""))</f>
      </c>
      <c r="AI88" s="684">
        <f>IF(終値!A88="","",IF(AND(高値!M88&gt;高値!L88,高値!M88&gt;高値!K88,高値!M88&gt;高値!N88,高値!M88&gt;高値!O88),8,""))</f>
      </c>
      <c r="AJ88" s="684">
        <f>IF(終値!A88="","",IF(AND(高値!N88&gt;高値!M88,高値!N88&gt;高値!L88,高値!N88&gt;高値!O88,高値!N88&gt;高値!P88),9,""))</f>
      </c>
      <c r="AK88" s="684">
        <f>IF(終値!A88="","",IF(AND(高値!O88&gt;高値!N88,高値!O88&gt;高値!M88,高値!O88&gt;高値!P88,高値!O88&gt;高値!Q88),10,""))</f>
      </c>
      <c r="AL88" s="684">
        <f>IF(終値!A88="","",IF(AND(高値!P88&gt;高値!O88,高値!P88&gt;高値!N88,高値!P88&gt;高値!Q88,高値!P88&gt;高値!R88),11,""))</f>
      </c>
      <c r="AM88" s="684">
        <f>IF(終値!A88="","",IF(AND(高値!Q88&gt;高値!P88,高値!Q88&gt;高値!O88,高値!Q88&gt;高値!R88,高値!Q88&gt;高値!S88),12,""))</f>
      </c>
      <c r="AN88" s="684">
        <f>IF(終値!A88="","",IF(AND(高値!R88&gt;高値!Q88,高値!R88&gt;高値!P88,高値!R88&gt;高値!S88,高値!R88&gt;高値!T88),13,""))</f>
      </c>
      <c r="AO88" s="684">
        <f>IF(終値!A88="","",IF(AND(高値!S88&gt;高値!R88,高値!S88&gt;高値!Q88,高値!S88&gt;高値!T88,高値!S88&gt;高値!U88),14,""))</f>
      </c>
      <c r="AP88" s="684">
        <f>IF(終値!A88="","",IF(AND(高値!T88&gt;高値!S88,高値!T88&gt;高値!R88,高値!T88&gt;高値!U88,高値!T88&gt;高値!V88),15,""))</f>
      </c>
      <c r="AQ88" s="684">
        <f>IF(終値!A88="","",IF(AND(高値!U88&gt;高値!T88,高値!U88&gt;高値!S88,高値!U88&gt;高値!V88,高値!U88&gt;高値!W88),16,""))</f>
      </c>
      <c r="AR88" s="684">
        <f>IF(終値!A88="","",IF(AND(高値!V88&gt;高値!U88,高値!V88&gt;高値!T88,高値!V88&gt;高値!W88,高値!V88&gt;高値!X88),17,""))</f>
      </c>
      <c r="AS88" s="684">
        <f>IF(終値!A88="","",IF(AND(高値!W88&gt;高値!V88,高値!W88&gt;高値!U88,高値!W88&gt;高値!X88,高値!W88&gt;高値!Y88),18,""))</f>
      </c>
      <c r="AT88" s="684">
        <f>IF(終値!A88="","",IF(AND(高値!X88&gt;高値!W88,高値!X88&gt;高値!V88,高値!X88&gt;高値!Y88,高値!X88&gt;高値!Z88),19,""))</f>
      </c>
      <c r="AU88" s="684">
        <f>IF(終値!A88="","",IF(AND(高値!Y88&gt;高値!X88,高値!Y88&gt;高値!W88,高値!Y88&gt;高値!Z88,高値!Y88&gt;高値!AA88),20,""))</f>
      </c>
      <c r="AV88" s="684">
        <f>IF(終値!A88="","",IF(AND(高値!Z88&gt;高値!Y88,高値!Z88&gt;高値!X88,高値!Z88&gt;高値!AA88,高値!Z88&gt;高値!AB88),21,""))</f>
      </c>
      <c r="AW88" s="684">
        <f>IF(終値!A88="","",IF(AND(高値!AA88&gt;高値!Z88,高値!AA88&gt;高値!Y88,高値!AA88&gt;高値!AB88,高値!AA88&gt;高値!AC88),22,""))</f>
      </c>
      <c r="AX88" s="684">
        <f>IF(終値!A88="","",IF(AND(高値!AB88&gt;高値!AA88,高値!AB88&gt;高値!Z88,高値!AB88&gt;高値!AC88,高値!AB88&gt;高値!AD88),23,""))</f>
      </c>
      <c r="AY88" s="684">
        <f>IF(終値!A88="","",IF(AND(高値!AC88&gt;高値!AB88,高値!AC88&gt;高値!AA88,高値!AC88&gt;高値!AD88,高値!AC88&gt;高値!AE88),24,""))</f>
      </c>
      <c r="AZ88" s="684">
        <f>IF(終値!A88="","",IF(AND(高値!AD88&gt;高値!AC88,高値!AD88&gt;高値!AB88,高値!AD88&gt;高値!AE88,高値!AD88&gt;高値!AF88),25,""))</f>
      </c>
      <c r="BA88" s="684">
        <f>IF(終値!A88="","",IF(AND(高値!AE88&gt;高値!AD88,高値!AE88&gt;高値!AC88,高値!AE88&gt;高値!AF88,高値!AE88&gt;高値!AG88),26,""))</f>
      </c>
      <c r="BB88" s="684">
        <f>IF(終値!A88="","",IF(AND(高値!AF88&gt;高値!AE88,高値!AF88&gt;高値!AD88,高値!AF88&gt;高値!AG88,高値!AF88&gt;高値!AH88),27,""))</f>
      </c>
      <c r="BC88" s="684">
        <f>IF(終値!A88="","",IF(AND(高値!AG88&gt;高値!AF88,高値!AG88&gt;高値!AE88,高値!AG88&gt;高値!AH88,高値!AG88&gt;高値!AI88),28,""))</f>
      </c>
      <c r="BD88" s="684">
        <f>COUNT($B88:$AB88)</f>
      </c>
      <c r="BE88" s="684">
        <f>IF($BD88&gt;=2,MIN($B88:$AB88),"")</f>
      </c>
      <c r="BF88" s="684">
        <f>IF($BD88&gt;=2,SMALL($B88:$AB88,2),"")</f>
      </c>
      <c r="BG88" s="684">
        <f>IF($BE88="","",INDEX(安値!$E88:$CZ88,1,$BE88+1))</f>
      </c>
      <c r="BH88" s="684">
        <f>IF($BF88="","",INDEX(安値!$E88:$CZ88,1,$BF88+1))</f>
      </c>
      <c r="BI88" s="684">
        <f>IF($BF88="","",MAX(INDEX(高値!$E88:$CZ88,1,$BE88+1):INDEX(高値!$E88:$CZ88,1,$BF88+1)))</f>
      </c>
      <c r="BJ88" s="684">
        <f>IF($BF88="","",AVERAGE(INDEX(終値!$E88:$CZ88,1,$BF88+1):INDEX(終値!$E88:$CZ88,1,$BF88+20))-2*STDEVP(INDEX(終値!$E88:$CZ88,1,$BF88+1):INDEX(終値!$E88:$CZ88,1,$BF88+20)))</f>
      </c>
      <c r="BK88" s="684">
        <f>IF($BE88="","",AVERAGE(INDEX(終値!$E88:$CZ88,1,$BE88+1):INDEX(終値!$E88:$CZ88,1,$BE88+20))-2*STDEVP(INDEX(終値!$E88:$CZ88,1,$BE88+1):INDEX(終値!$E88:$CZ88,1,$BE88+20)))</f>
      </c>
      <c r="BL88" s="684">
        <f>COUNT($AC88:$BC88)</f>
      </c>
      <c r="BM88" s="684">
        <f>IF($BL88&gt;=2,MIN($AC88:$BC88),"")</f>
      </c>
      <c r="BN88" s="684">
        <f>IF($BL88&gt;=2,SMALL($AC88:$BC88,2),"")</f>
      </c>
      <c r="BO88" s="684">
        <f>IF($BM88="","",INDEX(高値!$E88:$CZ88,1,$BM88+1))</f>
      </c>
      <c r="BP88" s="684">
        <f>IF($BN88="","",INDEX(高値!$E88:$CZ88,1,$BN88+1))</f>
      </c>
      <c r="BQ88" s="684">
        <f>IF($BN88="","",MIN(INDEX(安値!$E88:$CZ88,1,$BM88+1):INDEX(安値!$E88:$CZ88,1,$BN88+1)))</f>
      </c>
      <c r="BR88" s="684">
        <f>IF($BN88="","",AVERAGE(INDEX(終値!$E88:$CZ88,1,$BN88+1):INDEX(終値!$E88:$CZ88,1,$BN88+20))+2*STDEVP(INDEX(終値!$E88:$CZ88,1,$BN88+1):INDEX(終値!$E88:$CZ88,1,$BN88+20)))</f>
      </c>
      <c r="BS88" s="684">
        <f>IF($BM88="","",AVERAGE(INDEX(終値!$E88:$CZ88,1,$BM88+1):INDEX(終値!$E88:$CZ88,1,$BM88+20))+2*STDEVP(INDEX(終値!$E88:$CZ88,1,$BM88+1):INDEX(終値!$E88:$CZ88,1,$BM88+20)))</f>
      </c>
      <c r="BT88" s="681">
        <f>IFERROR(IF(AND($BD88&gt;=2,ABS($BG88-$BH88)/$BH88&lt;=BB設定!$B$12,$BI88&gt;=MAX($BH88,$BG88)*(1+BB設定!$B$13),終値!E88&gt;$BG88),IF(OR(終値!E88&gt;=$BI88,AND($BH88&lt;$BJ88,$BG88&gt;=$BK88)),"二番底W▲","二番底W形成"),IF(AND($BL88&gt;=2,ABS($BO88-$BP88)/$BP88&lt;=BB設定!$B$12,$BQ88&lt;=MIN($BP88,$BO88)*(1-BB設定!$B$13),終値!E88&lt;$BO88),IF(OR(終値!E88&lt;=$BQ88,AND($BP88&gt;$BR88,$BO88&lt;=$BS88)),"二番天井M▼","二番天井M形成"),"－")),"－")</f>
      </c>
    </row>
    <row r="89">
      <c r="B89" s="684">
        <f>IF(終値!A89="","",IF(AND(安値!G89&lt;安値!F89,安値!G89&lt;安値!E89,安値!G89&lt;安値!H89,安値!G89&lt;安値!I89),2,""))</f>
      </c>
      <c r="C89" s="684">
        <f>IF(終値!A89="","",IF(AND(安値!H89&lt;安値!G89,安値!H89&lt;安値!F89,安値!H89&lt;安値!I89,安値!H89&lt;安値!J89),3,""))</f>
      </c>
      <c r="D89" s="684">
        <f>IF(終値!A89="","",IF(AND(安値!I89&lt;安値!H89,安値!I89&lt;安値!G89,安値!I89&lt;安値!J89,安値!I89&lt;安値!K89),4,""))</f>
      </c>
      <c r="E89" s="684">
        <f>IF(終値!A89="","",IF(AND(安値!J89&lt;安値!I89,安値!J89&lt;安値!H89,安値!J89&lt;安値!K89,安値!J89&lt;安値!L89),5,""))</f>
      </c>
      <c r="F89" s="684">
        <f>IF(終値!A89="","",IF(AND(安値!K89&lt;安値!J89,安値!K89&lt;安値!I89,安値!K89&lt;安値!L89,安値!K89&lt;安値!M89),6,""))</f>
      </c>
      <c r="G89" s="684">
        <f>IF(終値!A89="","",IF(AND(安値!L89&lt;安値!K89,安値!L89&lt;安値!J89,安値!L89&lt;安値!M89,安値!L89&lt;安値!N89),7,""))</f>
      </c>
      <c r="H89" s="684">
        <f>IF(終値!A89="","",IF(AND(安値!M89&lt;安値!L89,安値!M89&lt;安値!K89,安値!M89&lt;安値!N89,安値!M89&lt;安値!O89),8,""))</f>
      </c>
      <c r="I89" s="684">
        <f>IF(終値!A89="","",IF(AND(安値!N89&lt;安値!M89,安値!N89&lt;安値!L89,安値!N89&lt;安値!O89,安値!N89&lt;安値!P89),9,""))</f>
      </c>
      <c r="J89" s="684">
        <f>IF(終値!A89="","",IF(AND(安値!O89&lt;安値!N89,安値!O89&lt;安値!M89,安値!O89&lt;安値!P89,安値!O89&lt;安値!Q89),10,""))</f>
      </c>
      <c r="K89" s="684">
        <f>IF(終値!A89="","",IF(AND(安値!P89&lt;安値!O89,安値!P89&lt;安値!N89,安値!P89&lt;安値!Q89,安値!P89&lt;安値!R89),11,""))</f>
      </c>
      <c r="L89" s="684">
        <f>IF(終値!A89="","",IF(AND(安値!Q89&lt;安値!P89,安値!Q89&lt;安値!O89,安値!Q89&lt;安値!R89,安値!Q89&lt;安値!S89),12,""))</f>
      </c>
      <c r="M89" s="684">
        <f>IF(終値!A89="","",IF(AND(安値!R89&lt;安値!Q89,安値!R89&lt;安値!P89,安値!R89&lt;安値!S89,安値!R89&lt;安値!T89),13,""))</f>
      </c>
      <c r="N89" s="684">
        <f>IF(終値!A89="","",IF(AND(安値!S89&lt;安値!R89,安値!S89&lt;安値!Q89,安値!S89&lt;安値!T89,安値!S89&lt;安値!U89),14,""))</f>
      </c>
      <c r="O89" s="684">
        <f>IF(終値!A89="","",IF(AND(安値!T89&lt;安値!S89,安値!T89&lt;安値!R89,安値!T89&lt;安値!U89,安値!T89&lt;安値!V89),15,""))</f>
      </c>
      <c r="P89" s="684">
        <f>IF(終値!A89="","",IF(AND(安値!U89&lt;安値!T89,安値!U89&lt;安値!S89,安値!U89&lt;安値!V89,安値!U89&lt;安値!W89),16,""))</f>
      </c>
      <c r="Q89" s="684">
        <f>IF(終値!A89="","",IF(AND(安値!V89&lt;安値!U89,安値!V89&lt;安値!T89,安値!V89&lt;安値!W89,安値!V89&lt;安値!X89),17,""))</f>
      </c>
      <c r="R89" s="684">
        <f>IF(終値!A89="","",IF(AND(安値!W89&lt;安値!V89,安値!W89&lt;安値!U89,安値!W89&lt;安値!X89,安値!W89&lt;安値!Y89),18,""))</f>
      </c>
      <c r="S89" s="684">
        <f>IF(終値!A89="","",IF(AND(安値!X89&lt;安値!W89,安値!X89&lt;安値!V89,安値!X89&lt;安値!Y89,安値!X89&lt;安値!Z89),19,""))</f>
      </c>
      <c r="T89" s="684">
        <f>IF(終値!A89="","",IF(AND(安値!Y89&lt;安値!X89,安値!Y89&lt;安値!W89,安値!Y89&lt;安値!Z89,安値!Y89&lt;安値!AA89),20,""))</f>
      </c>
      <c r="U89" s="684">
        <f>IF(終値!A89="","",IF(AND(安値!Z89&lt;安値!Y89,安値!Z89&lt;安値!X89,安値!Z89&lt;安値!AA89,安値!Z89&lt;安値!AB89),21,""))</f>
      </c>
      <c r="V89" s="684">
        <f>IF(終値!A89="","",IF(AND(安値!AA89&lt;安値!Z89,安値!AA89&lt;安値!Y89,安値!AA89&lt;安値!AB89,安値!AA89&lt;安値!AC89),22,""))</f>
      </c>
      <c r="W89" s="684">
        <f>IF(終値!A89="","",IF(AND(安値!AB89&lt;安値!AA89,安値!AB89&lt;安値!Z89,安値!AB89&lt;安値!AC89,安値!AB89&lt;安値!AD89),23,""))</f>
      </c>
      <c r="X89" s="684">
        <f>IF(終値!A89="","",IF(AND(安値!AC89&lt;安値!AB89,安値!AC89&lt;安値!AA89,安値!AC89&lt;安値!AD89,安値!AC89&lt;安値!AE89),24,""))</f>
      </c>
      <c r="Y89" s="684">
        <f>IF(終値!A89="","",IF(AND(安値!AD89&lt;安値!AC89,安値!AD89&lt;安値!AB89,安値!AD89&lt;安値!AE89,安値!AD89&lt;安値!AF89),25,""))</f>
      </c>
      <c r="Z89" s="684">
        <f>IF(終値!A89="","",IF(AND(安値!AE89&lt;安値!AD89,安値!AE89&lt;安値!AC89,安値!AE89&lt;安値!AF89,安値!AE89&lt;安値!AG89),26,""))</f>
      </c>
      <c r="AA89" s="684">
        <f>IF(終値!A89="","",IF(AND(安値!AF89&lt;安値!AE89,安値!AF89&lt;安値!AD89,安値!AF89&lt;安値!AG89,安値!AF89&lt;安値!AH89),27,""))</f>
      </c>
      <c r="AB89" s="684">
        <f>IF(終値!A89="","",IF(AND(安値!AG89&lt;安値!AF89,安値!AG89&lt;安値!AE89,安値!AG89&lt;安値!AH89,安値!AG89&lt;安値!AI89),28,""))</f>
      </c>
      <c r="AC89" s="684">
        <f>IF(終値!A89="","",IF(AND(高値!G89&gt;高値!F89,高値!G89&gt;高値!E89,高値!G89&gt;高値!H89,高値!G89&gt;高値!I89),2,""))</f>
      </c>
      <c r="AD89" s="684">
        <f>IF(終値!A89="","",IF(AND(高値!H89&gt;高値!G89,高値!H89&gt;高値!F89,高値!H89&gt;高値!I89,高値!H89&gt;高値!J89),3,""))</f>
      </c>
      <c r="AE89" s="684">
        <f>IF(終値!A89="","",IF(AND(高値!I89&gt;高値!H89,高値!I89&gt;高値!G89,高値!I89&gt;高値!J89,高値!I89&gt;高値!K89),4,""))</f>
      </c>
      <c r="AF89" s="684">
        <f>IF(終値!A89="","",IF(AND(高値!J89&gt;高値!I89,高値!J89&gt;高値!H89,高値!J89&gt;高値!K89,高値!J89&gt;高値!L89),5,""))</f>
      </c>
      <c r="AG89" s="684">
        <f>IF(終値!A89="","",IF(AND(高値!K89&gt;高値!J89,高値!K89&gt;高値!I89,高値!K89&gt;高値!L89,高値!K89&gt;高値!M89),6,""))</f>
      </c>
      <c r="AH89" s="684">
        <f>IF(終値!A89="","",IF(AND(高値!L89&gt;高値!K89,高値!L89&gt;高値!J89,高値!L89&gt;高値!M89,高値!L89&gt;高値!N89),7,""))</f>
      </c>
      <c r="AI89" s="684">
        <f>IF(終値!A89="","",IF(AND(高値!M89&gt;高値!L89,高値!M89&gt;高値!K89,高値!M89&gt;高値!N89,高値!M89&gt;高値!O89),8,""))</f>
      </c>
      <c r="AJ89" s="684">
        <f>IF(終値!A89="","",IF(AND(高値!N89&gt;高値!M89,高値!N89&gt;高値!L89,高値!N89&gt;高値!O89,高値!N89&gt;高値!P89),9,""))</f>
      </c>
      <c r="AK89" s="684">
        <f>IF(終値!A89="","",IF(AND(高値!O89&gt;高値!N89,高値!O89&gt;高値!M89,高値!O89&gt;高値!P89,高値!O89&gt;高値!Q89),10,""))</f>
      </c>
      <c r="AL89" s="684">
        <f>IF(終値!A89="","",IF(AND(高値!P89&gt;高値!O89,高値!P89&gt;高値!N89,高値!P89&gt;高値!Q89,高値!P89&gt;高値!R89),11,""))</f>
      </c>
      <c r="AM89" s="684">
        <f>IF(終値!A89="","",IF(AND(高値!Q89&gt;高値!P89,高値!Q89&gt;高値!O89,高値!Q89&gt;高値!R89,高値!Q89&gt;高値!S89),12,""))</f>
      </c>
      <c r="AN89" s="684">
        <f>IF(終値!A89="","",IF(AND(高値!R89&gt;高値!Q89,高値!R89&gt;高値!P89,高値!R89&gt;高値!S89,高値!R89&gt;高値!T89),13,""))</f>
      </c>
      <c r="AO89" s="684">
        <f>IF(終値!A89="","",IF(AND(高値!S89&gt;高値!R89,高値!S89&gt;高値!Q89,高値!S89&gt;高値!T89,高値!S89&gt;高値!U89),14,""))</f>
      </c>
      <c r="AP89" s="684">
        <f>IF(終値!A89="","",IF(AND(高値!T89&gt;高値!S89,高値!T89&gt;高値!R89,高値!T89&gt;高値!U89,高値!T89&gt;高値!V89),15,""))</f>
      </c>
      <c r="AQ89" s="684">
        <f>IF(終値!A89="","",IF(AND(高値!U89&gt;高値!T89,高値!U89&gt;高値!S89,高値!U89&gt;高値!V89,高値!U89&gt;高値!W89),16,""))</f>
      </c>
      <c r="AR89" s="684">
        <f>IF(終値!A89="","",IF(AND(高値!V89&gt;高値!U89,高値!V89&gt;高値!T89,高値!V89&gt;高値!W89,高値!V89&gt;高値!X89),17,""))</f>
      </c>
      <c r="AS89" s="684">
        <f>IF(終値!A89="","",IF(AND(高値!W89&gt;高値!V89,高値!W89&gt;高値!U89,高値!W89&gt;高値!X89,高値!W89&gt;高値!Y89),18,""))</f>
      </c>
      <c r="AT89" s="684">
        <f>IF(終値!A89="","",IF(AND(高値!X89&gt;高値!W89,高値!X89&gt;高値!V89,高値!X89&gt;高値!Y89,高値!X89&gt;高値!Z89),19,""))</f>
      </c>
      <c r="AU89" s="684">
        <f>IF(終値!A89="","",IF(AND(高値!Y89&gt;高値!X89,高値!Y89&gt;高値!W89,高値!Y89&gt;高値!Z89,高値!Y89&gt;高値!AA89),20,""))</f>
      </c>
      <c r="AV89" s="684">
        <f>IF(終値!A89="","",IF(AND(高値!Z89&gt;高値!Y89,高値!Z89&gt;高値!X89,高値!Z89&gt;高値!AA89,高値!Z89&gt;高値!AB89),21,""))</f>
      </c>
      <c r="AW89" s="684">
        <f>IF(終値!A89="","",IF(AND(高値!AA89&gt;高値!Z89,高値!AA89&gt;高値!Y89,高値!AA89&gt;高値!AB89,高値!AA89&gt;高値!AC89),22,""))</f>
      </c>
      <c r="AX89" s="684">
        <f>IF(終値!A89="","",IF(AND(高値!AB89&gt;高値!AA89,高値!AB89&gt;高値!Z89,高値!AB89&gt;高値!AC89,高値!AB89&gt;高値!AD89),23,""))</f>
      </c>
      <c r="AY89" s="684">
        <f>IF(終値!A89="","",IF(AND(高値!AC89&gt;高値!AB89,高値!AC89&gt;高値!AA89,高値!AC89&gt;高値!AD89,高値!AC89&gt;高値!AE89),24,""))</f>
      </c>
      <c r="AZ89" s="684">
        <f>IF(終値!A89="","",IF(AND(高値!AD89&gt;高値!AC89,高値!AD89&gt;高値!AB89,高値!AD89&gt;高値!AE89,高値!AD89&gt;高値!AF89),25,""))</f>
      </c>
      <c r="BA89" s="684">
        <f>IF(終値!A89="","",IF(AND(高値!AE89&gt;高値!AD89,高値!AE89&gt;高値!AC89,高値!AE89&gt;高値!AF89,高値!AE89&gt;高値!AG89),26,""))</f>
      </c>
      <c r="BB89" s="684">
        <f>IF(終値!A89="","",IF(AND(高値!AF89&gt;高値!AE89,高値!AF89&gt;高値!AD89,高値!AF89&gt;高値!AG89,高値!AF89&gt;高値!AH89),27,""))</f>
      </c>
      <c r="BC89" s="684">
        <f>IF(終値!A89="","",IF(AND(高値!AG89&gt;高値!AF89,高値!AG89&gt;高値!AE89,高値!AG89&gt;高値!AH89,高値!AG89&gt;高値!AI89),28,""))</f>
      </c>
      <c r="BD89" s="684">
        <f>COUNT($B89:$AB89)</f>
      </c>
      <c r="BE89" s="684">
        <f>IF($BD89&gt;=2,MIN($B89:$AB89),"")</f>
      </c>
      <c r="BF89" s="684">
        <f>IF($BD89&gt;=2,SMALL($B89:$AB89,2),"")</f>
      </c>
      <c r="BG89" s="684">
        <f>IF($BE89="","",INDEX(安値!$E89:$CZ89,1,$BE89+1))</f>
      </c>
      <c r="BH89" s="684">
        <f>IF($BF89="","",INDEX(安値!$E89:$CZ89,1,$BF89+1))</f>
      </c>
      <c r="BI89" s="684">
        <f>IF($BF89="","",MAX(INDEX(高値!$E89:$CZ89,1,$BE89+1):INDEX(高値!$E89:$CZ89,1,$BF89+1)))</f>
      </c>
      <c r="BJ89" s="684">
        <f>IF($BF89="","",AVERAGE(INDEX(終値!$E89:$CZ89,1,$BF89+1):INDEX(終値!$E89:$CZ89,1,$BF89+20))-2*STDEVP(INDEX(終値!$E89:$CZ89,1,$BF89+1):INDEX(終値!$E89:$CZ89,1,$BF89+20)))</f>
      </c>
      <c r="BK89" s="684">
        <f>IF($BE89="","",AVERAGE(INDEX(終値!$E89:$CZ89,1,$BE89+1):INDEX(終値!$E89:$CZ89,1,$BE89+20))-2*STDEVP(INDEX(終値!$E89:$CZ89,1,$BE89+1):INDEX(終値!$E89:$CZ89,1,$BE89+20)))</f>
      </c>
      <c r="BL89" s="684">
        <f>COUNT($AC89:$BC89)</f>
      </c>
      <c r="BM89" s="684">
        <f>IF($BL89&gt;=2,MIN($AC89:$BC89),"")</f>
      </c>
      <c r="BN89" s="684">
        <f>IF($BL89&gt;=2,SMALL($AC89:$BC89,2),"")</f>
      </c>
      <c r="BO89" s="684">
        <f>IF($BM89="","",INDEX(高値!$E89:$CZ89,1,$BM89+1))</f>
      </c>
      <c r="BP89" s="684">
        <f>IF($BN89="","",INDEX(高値!$E89:$CZ89,1,$BN89+1))</f>
      </c>
      <c r="BQ89" s="684">
        <f>IF($BN89="","",MIN(INDEX(安値!$E89:$CZ89,1,$BM89+1):INDEX(安値!$E89:$CZ89,1,$BN89+1)))</f>
      </c>
      <c r="BR89" s="684">
        <f>IF($BN89="","",AVERAGE(INDEX(終値!$E89:$CZ89,1,$BN89+1):INDEX(終値!$E89:$CZ89,1,$BN89+20))+2*STDEVP(INDEX(終値!$E89:$CZ89,1,$BN89+1):INDEX(終値!$E89:$CZ89,1,$BN89+20)))</f>
      </c>
      <c r="BS89" s="684">
        <f>IF($BM89="","",AVERAGE(INDEX(終値!$E89:$CZ89,1,$BM89+1):INDEX(終値!$E89:$CZ89,1,$BM89+20))+2*STDEVP(INDEX(終値!$E89:$CZ89,1,$BM89+1):INDEX(終値!$E89:$CZ89,1,$BM89+20)))</f>
      </c>
      <c r="BT89" s="681">
        <f>IFERROR(IF(AND($BD89&gt;=2,ABS($BG89-$BH89)/$BH89&lt;=BB設定!$B$12,$BI89&gt;=MAX($BH89,$BG89)*(1+BB設定!$B$13),終値!E89&gt;$BG89),IF(OR(終値!E89&gt;=$BI89,AND($BH89&lt;$BJ89,$BG89&gt;=$BK89)),"二番底W▲","二番底W形成"),IF(AND($BL89&gt;=2,ABS($BO89-$BP89)/$BP89&lt;=BB設定!$B$12,$BQ89&lt;=MIN($BP89,$BO89)*(1-BB設定!$B$13),終値!E89&lt;$BO89),IF(OR(終値!E89&lt;=$BQ89,AND($BP89&gt;$BR89,$BO89&lt;=$BS89)),"二番天井M▼","二番天井M形成"),"－")),"－")</f>
      </c>
    </row>
    <row r="90">
      <c r="B90" s="684">
        <f>IF(終値!A90="","",IF(AND(安値!G90&lt;安値!F90,安値!G90&lt;安値!E90,安値!G90&lt;安値!H90,安値!G90&lt;安値!I90),2,""))</f>
      </c>
      <c r="C90" s="684">
        <f>IF(終値!A90="","",IF(AND(安値!H90&lt;安値!G90,安値!H90&lt;安値!F90,安値!H90&lt;安値!I90,安値!H90&lt;安値!J90),3,""))</f>
      </c>
      <c r="D90" s="684">
        <f>IF(終値!A90="","",IF(AND(安値!I90&lt;安値!H90,安値!I90&lt;安値!G90,安値!I90&lt;安値!J90,安値!I90&lt;安値!K90),4,""))</f>
      </c>
      <c r="E90" s="684">
        <f>IF(終値!A90="","",IF(AND(安値!J90&lt;安値!I90,安値!J90&lt;安値!H90,安値!J90&lt;安値!K90,安値!J90&lt;安値!L90),5,""))</f>
      </c>
      <c r="F90" s="684">
        <f>IF(終値!A90="","",IF(AND(安値!K90&lt;安値!J90,安値!K90&lt;安値!I90,安値!K90&lt;安値!L90,安値!K90&lt;安値!M90),6,""))</f>
      </c>
      <c r="G90" s="684">
        <f>IF(終値!A90="","",IF(AND(安値!L90&lt;安値!K90,安値!L90&lt;安値!J90,安値!L90&lt;安値!M90,安値!L90&lt;安値!N90),7,""))</f>
      </c>
      <c r="H90" s="684">
        <f>IF(終値!A90="","",IF(AND(安値!M90&lt;安値!L90,安値!M90&lt;安値!K90,安値!M90&lt;安値!N90,安値!M90&lt;安値!O90),8,""))</f>
      </c>
      <c r="I90" s="684">
        <f>IF(終値!A90="","",IF(AND(安値!N90&lt;安値!M90,安値!N90&lt;安値!L90,安値!N90&lt;安値!O90,安値!N90&lt;安値!P90),9,""))</f>
      </c>
      <c r="J90" s="684">
        <f>IF(終値!A90="","",IF(AND(安値!O90&lt;安値!N90,安値!O90&lt;安値!M90,安値!O90&lt;安値!P90,安値!O90&lt;安値!Q90),10,""))</f>
      </c>
      <c r="K90" s="684">
        <f>IF(終値!A90="","",IF(AND(安値!P90&lt;安値!O90,安値!P90&lt;安値!N90,安値!P90&lt;安値!Q90,安値!P90&lt;安値!R90),11,""))</f>
      </c>
      <c r="L90" s="684">
        <f>IF(終値!A90="","",IF(AND(安値!Q90&lt;安値!P90,安値!Q90&lt;安値!O90,安値!Q90&lt;安値!R90,安値!Q90&lt;安値!S90),12,""))</f>
      </c>
      <c r="M90" s="684">
        <f>IF(終値!A90="","",IF(AND(安値!R90&lt;安値!Q90,安値!R90&lt;安値!P90,安値!R90&lt;安値!S90,安値!R90&lt;安値!T90),13,""))</f>
      </c>
      <c r="N90" s="684">
        <f>IF(終値!A90="","",IF(AND(安値!S90&lt;安値!R90,安値!S90&lt;安値!Q90,安値!S90&lt;安値!T90,安値!S90&lt;安値!U90),14,""))</f>
      </c>
      <c r="O90" s="684">
        <f>IF(終値!A90="","",IF(AND(安値!T90&lt;安値!S90,安値!T90&lt;安値!R90,安値!T90&lt;安値!U90,安値!T90&lt;安値!V90),15,""))</f>
      </c>
      <c r="P90" s="684">
        <f>IF(終値!A90="","",IF(AND(安値!U90&lt;安値!T90,安値!U90&lt;安値!S90,安値!U90&lt;安値!V90,安値!U90&lt;安値!W90),16,""))</f>
      </c>
      <c r="Q90" s="684">
        <f>IF(終値!A90="","",IF(AND(安値!V90&lt;安値!U90,安値!V90&lt;安値!T90,安値!V90&lt;安値!W90,安値!V90&lt;安値!X90),17,""))</f>
      </c>
      <c r="R90" s="684">
        <f>IF(終値!A90="","",IF(AND(安値!W90&lt;安値!V90,安値!W90&lt;安値!U90,安値!W90&lt;安値!X90,安値!W90&lt;安値!Y90),18,""))</f>
      </c>
      <c r="S90" s="684">
        <f>IF(終値!A90="","",IF(AND(安値!X90&lt;安値!W90,安値!X90&lt;安値!V90,安値!X90&lt;安値!Y90,安値!X90&lt;安値!Z90),19,""))</f>
      </c>
      <c r="T90" s="684">
        <f>IF(終値!A90="","",IF(AND(安値!Y90&lt;安値!X90,安値!Y90&lt;安値!W90,安値!Y90&lt;安値!Z90,安値!Y90&lt;安値!AA90),20,""))</f>
      </c>
      <c r="U90" s="684">
        <f>IF(終値!A90="","",IF(AND(安値!Z90&lt;安値!Y90,安値!Z90&lt;安値!X90,安値!Z90&lt;安値!AA90,安値!Z90&lt;安値!AB90),21,""))</f>
      </c>
      <c r="V90" s="684">
        <f>IF(終値!A90="","",IF(AND(安値!AA90&lt;安値!Z90,安値!AA90&lt;安値!Y90,安値!AA90&lt;安値!AB90,安値!AA90&lt;安値!AC90),22,""))</f>
      </c>
      <c r="W90" s="684">
        <f>IF(終値!A90="","",IF(AND(安値!AB90&lt;安値!AA90,安値!AB90&lt;安値!Z90,安値!AB90&lt;安値!AC90,安値!AB90&lt;安値!AD90),23,""))</f>
      </c>
      <c r="X90" s="684">
        <f>IF(終値!A90="","",IF(AND(安値!AC90&lt;安値!AB90,安値!AC90&lt;安値!AA90,安値!AC90&lt;安値!AD90,安値!AC90&lt;安値!AE90),24,""))</f>
      </c>
      <c r="Y90" s="684">
        <f>IF(終値!A90="","",IF(AND(安値!AD90&lt;安値!AC90,安値!AD90&lt;安値!AB90,安値!AD90&lt;安値!AE90,安値!AD90&lt;安値!AF90),25,""))</f>
      </c>
      <c r="Z90" s="684">
        <f>IF(終値!A90="","",IF(AND(安値!AE90&lt;安値!AD90,安値!AE90&lt;安値!AC90,安値!AE90&lt;安値!AF90,安値!AE90&lt;安値!AG90),26,""))</f>
      </c>
      <c r="AA90" s="684">
        <f>IF(終値!A90="","",IF(AND(安値!AF90&lt;安値!AE90,安値!AF90&lt;安値!AD90,安値!AF90&lt;安値!AG90,安値!AF90&lt;安値!AH90),27,""))</f>
      </c>
      <c r="AB90" s="684">
        <f>IF(終値!A90="","",IF(AND(安値!AG90&lt;安値!AF90,安値!AG90&lt;安値!AE90,安値!AG90&lt;安値!AH90,安値!AG90&lt;安値!AI90),28,""))</f>
      </c>
      <c r="AC90" s="684">
        <f>IF(終値!A90="","",IF(AND(高値!G90&gt;高値!F90,高値!G90&gt;高値!E90,高値!G90&gt;高値!H90,高値!G90&gt;高値!I90),2,""))</f>
      </c>
      <c r="AD90" s="684">
        <f>IF(終値!A90="","",IF(AND(高値!H90&gt;高値!G90,高値!H90&gt;高値!F90,高値!H90&gt;高値!I90,高値!H90&gt;高値!J90),3,""))</f>
      </c>
      <c r="AE90" s="684">
        <f>IF(終値!A90="","",IF(AND(高値!I90&gt;高値!H90,高値!I90&gt;高値!G90,高値!I90&gt;高値!J90,高値!I90&gt;高値!K90),4,""))</f>
      </c>
      <c r="AF90" s="684">
        <f>IF(終値!A90="","",IF(AND(高値!J90&gt;高値!I90,高値!J90&gt;高値!H90,高値!J90&gt;高値!K90,高値!J90&gt;高値!L90),5,""))</f>
      </c>
      <c r="AG90" s="684">
        <f>IF(終値!A90="","",IF(AND(高値!K90&gt;高値!J90,高値!K90&gt;高値!I90,高値!K90&gt;高値!L90,高値!K90&gt;高値!M90),6,""))</f>
      </c>
      <c r="AH90" s="684">
        <f>IF(終値!A90="","",IF(AND(高値!L90&gt;高値!K90,高値!L90&gt;高値!J90,高値!L90&gt;高値!M90,高値!L90&gt;高値!N90),7,""))</f>
      </c>
      <c r="AI90" s="684">
        <f>IF(終値!A90="","",IF(AND(高値!M90&gt;高値!L90,高値!M90&gt;高値!K90,高値!M90&gt;高値!N90,高値!M90&gt;高値!O90),8,""))</f>
      </c>
      <c r="AJ90" s="684">
        <f>IF(終値!A90="","",IF(AND(高値!N90&gt;高値!M90,高値!N90&gt;高値!L90,高値!N90&gt;高値!O90,高値!N90&gt;高値!P90),9,""))</f>
      </c>
      <c r="AK90" s="684">
        <f>IF(終値!A90="","",IF(AND(高値!O90&gt;高値!N90,高値!O90&gt;高値!M90,高値!O90&gt;高値!P90,高値!O90&gt;高値!Q90),10,""))</f>
      </c>
      <c r="AL90" s="684">
        <f>IF(終値!A90="","",IF(AND(高値!P90&gt;高値!O90,高値!P90&gt;高値!N90,高値!P90&gt;高値!Q90,高値!P90&gt;高値!R90),11,""))</f>
      </c>
      <c r="AM90" s="684">
        <f>IF(終値!A90="","",IF(AND(高値!Q90&gt;高値!P90,高値!Q90&gt;高値!O90,高値!Q90&gt;高値!R90,高値!Q90&gt;高値!S90),12,""))</f>
      </c>
      <c r="AN90" s="684">
        <f>IF(終値!A90="","",IF(AND(高値!R90&gt;高値!Q90,高値!R90&gt;高値!P90,高値!R90&gt;高値!S90,高値!R90&gt;高値!T90),13,""))</f>
      </c>
      <c r="AO90" s="684">
        <f>IF(終値!A90="","",IF(AND(高値!S90&gt;高値!R90,高値!S90&gt;高値!Q90,高値!S90&gt;高値!T90,高値!S90&gt;高値!U90),14,""))</f>
      </c>
      <c r="AP90" s="684">
        <f>IF(終値!A90="","",IF(AND(高値!T90&gt;高値!S90,高値!T90&gt;高値!R90,高値!T90&gt;高値!U90,高値!T90&gt;高値!V90),15,""))</f>
      </c>
      <c r="AQ90" s="684">
        <f>IF(終値!A90="","",IF(AND(高値!U90&gt;高値!T90,高値!U90&gt;高値!S90,高値!U90&gt;高値!V90,高値!U90&gt;高値!W90),16,""))</f>
      </c>
      <c r="AR90" s="684">
        <f>IF(終値!A90="","",IF(AND(高値!V90&gt;高値!U90,高値!V90&gt;高値!T90,高値!V90&gt;高値!W90,高値!V90&gt;高値!X90),17,""))</f>
      </c>
      <c r="AS90" s="684">
        <f>IF(終値!A90="","",IF(AND(高値!W90&gt;高値!V90,高値!W90&gt;高値!U90,高値!W90&gt;高値!X90,高値!W90&gt;高値!Y90),18,""))</f>
      </c>
      <c r="AT90" s="684">
        <f>IF(終値!A90="","",IF(AND(高値!X90&gt;高値!W90,高値!X90&gt;高値!V90,高値!X90&gt;高値!Y90,高値!X90&gt;高値!Z90),19,""))</f>
      </c>
      <c r="AU90" s="684">
        <f>IF(終値!A90="","",IF(AND(高値!Y90&gt;高値!X90,高値!Y90&gt;高値!W90,高値!Y90&gt;高値!Z90,高値!Y90&gt;高値!AA90),20,""))</f>
      </c>
      <c r="AV90" s="684">
        <f>IF(終値!A90="","",IF(AND(高値!Z90&gt;高値!Y90,高値!Z90&gt;高値!X90,高値!Z90&gt;高値!AA90,高値!Z90&gt;高値!AB90),21,""))</f>
      </c>
      <c r="AW90" s="684">
        <f>IF(終値!A90="","",IF(AND(高値!AA90&gt;高値!Z90,高値!AA90&gt;高値!Y90,高値!AA90&gt;高値!AB90,高値!AA90&gt;高値!AC90),22,""))</f>
      </c>
      <c r="AX90" s="684">
        <f>IF(終値!A90="","",IF(AND(高値!AB90&gt;高値!AA90,高値!AB90&gt;高値!Z90,高値!AB90&gt;高値!AC90,高値!AB90&gt;高値!AD90),23,""))</f>
      </c>
      <c r="AY90" s="684">
        <f>IF(終値!A90="","",IF(AND(高値!AC90&gt;高値!AB90,高値!AC90&gt;高値!AA90,高値!AC90&gt;高値!AD90,高値!AC90&gt;高値!AE90),24,""))</f>
      </c>
      <c r="AZ90" s="684">
        <f>IF(終値!A90="","",IF(AND(高値!AD90&gt;高値!AC90,高値!AD90&gt;高値!AB90,高値!AD90&gt;高値!AE90,高値!AD90&gt;高値!AF90),25,""))</f>
      </c>
      <c r="BA90" s="684">
        <f>IF(終値!A90="","",IF(AND(高値!AE90&gt;高値!AD90,高値!AE90&gt;高値!AC90,高値!AE90&gt;高値!AF90,高値!AE90&gt;高値!AG90),26,""))</f>
      </c>
      <c r="BB90" s="684">
        <f>IF(終値!A90="","",IF(AND(高値!AF90&gt;高値!AE90,高値!AF90&gt;高値!AD90,高値!AF90&gt;高値!AG90,高値!AF90&gt;高値!AH90),27,""))</f>
      </c>
      <c r="BC90" s="684">
        <f>IF(終値!A90="","",IF(AND(高値!AG90&gt;高値!AF90,高値!AG90&gt;高値!AE90,高値!AG90&gt;高値!AH90,高値!AG90&gt;高値!AI90),28,""))</f>
      </c>
      <c r="BD90" s="684">
        <f>COUNT($B90:$AB90)</f>
      </c>
      <c r="BE90" s="684">
        <f>IF($BD90&gt;=2,MIN($B90:$AB90),"")</f>
      </c>
      <c r="BF90" s="684">
        <f>IF($BD90&gt;=2,SMALL($B90:$AB90,2),"")</f>
      </c>
      <c r="BG90" s="684">
        <f>IF($BE90="","",INDEX(安値!$E90:$CZ90,1,$BE90+1))</f>
      </c>
      <c r="BH90" s="684">
        <f>IF($BF90="","",INDEX(安値!$E90:$CZ90,1,$BF90+1))</f>
      </c>
      <c r="BI90" s="684">
        <f>IF($BF90="","",MAX(INDEX(高値!$E90:$CZ90,1,$BE90+1):INDEX(高値!$E90:$CZ90,1,$BF90+1)))</f>
      </c>
      <c r="BJ90" s="684">
        <f>IF($BF90="","",AVERAGE(INDEX(終値!$E90:$CZ90,1,$BF90+1):INDEX(終値!$E90:$CZ90,1,$BF90+20))-2*STDEVP(INDEX(終値!$E90:$CZ90,1,$BF90+1):INDEX(終値!$E90:$CZ90,1,$BF90+20)))</f>
      </c>
      <c r="BK90" s="684">
        <f>IF($BE90="","",AVERAGE(INDEX(終値!$E90:$CZ90,1,$BE90+1):INDEX(終値!$E90:$CZ90,1,$BE90+20))-2*STDEVP(INDEX(終値!$E90:$CZ90,1,$BE90+1):INDEX(終値!$E90:$CZ90,1,$BE90+20)))</f>
      </c>
      <c r="BL90" s="684">
        <f>COUNT($AC90:$BC90)</f>
      </c>
      <c r="BM90" s="684">
        <f>IF($BL90&gt;=2,MIN($AC90:$BC90),"")</f>
      </c>
      <c r="BN90" s="684">
        <f>IF($BL90&gt;=2,SMALL($AC90:$BC90,2),"")</f>
      </c>
      <c r="BO90" s="684">
        <f>IF($BM90="","",INDEX(高値!$E90:$CZ90,1,$BM90+1))</f>
      </c>
      <c r="BP90" s="684">
        <f>IF($BN90="","",INDEX(高値!$E90:$CZ90,1,$BN90+1))</f>
      </c>
      <c r="BQ90" s="684">
        <f>IF($BN90="","",MIN(INDEX(安値!$E90:$CZ90,1,$BM90+1):INDEX(安値!$E90:$CZ90,1,$BN90+1)))</f>
      </c>
      <c r="BR90" s="684">
        <f>IF($BN90="","",AVERAGE(INDEX(終値!$E90:$CZ90,1,$BN90+1):INDEX(終値!$E90:$CZ90,1,$BN90+20))+2*STDEVP(INDEX(終値!$E90:$CZ90,1,$BN90+1):INDEX(終値!$E90:$CZ90,1,$BN90+20)))</f>
      </c>
      <c r="BS90" s="684">
        <f>IF($BM90="","",AVERAGE(INDEX(終値!$E90:$CZ90,1,$BM90+1):INDEX(終値!$E90:$CZ90,1,$BM90+20))+2*STDEVP(INDEX(終値!$E90:$CZ90,1,$BM90+1):INDEX(終値!$E90:$CZ90,1,$BM90+20)))</f>
      </c>
      <c r="BT90" s="681">
        <f>IFERROR(IF(AND($BD90&gt;=2,ABS($BG90-$BH90)/$BH90&lt;=BB設定!$B$12,$BI90&gt;=MAX($BH90,$BG90)*(1+BB設定!$B$13),終値!E90&gt;$BG90),IF(OR(終値!E90&gt;=$BI90,AND($BH90&lt;$BJ90,$BG90&gt;=$BK90)),"二番底W▲","二番底W形成"),IF(AND($BL90&gt;=2,ABS($BO90-$BP90)/$BP90&lt;=BB設定!$B$12,$BQ90&lt;=MIN($BP90,$BO90)*(1-BB設定!$B$13),終値!E90&lt;$BO90),IF(OR(終値!E90&lt;=$BQ90,AND($BP90&gt;$BR90,$BO90&lt;=$BS90)),"二番天井M▼","二番天井M形成"),"－")),"－")</f>
      </c>
    </row>
    <row r="91">
      <c r="B91" s="684">
        <f>IF(終値!A91="","",IF(AND(安値!G91&lt;安値!F91,安値!G91&lt;安値!E91,安値!G91&lt;安値!H91,安値!G91&lt;安値!I91),2,""))</f>
      </c>
      <c r="C91" s="684">
        <f>IF(終値!A91="","",IF(AND(安値!H91&lt;安値!G91,安値!H91&lt;安値!F91,安値!H91&lt;安値!I91,安値!H91&lt;安値!J91),3,""))</f>
      </c>
      <c r="D91" s="684">
        <f>IF(終値!A91="","",IF(AND(安値!I91&lt;安値!H91,安値!I91&lt;安値!G91,安値!I91&lt;安値!J91,安値!I91&lt;安値!K91),4,""))</f>
      </c>
      <c r="E91" s="684">
        <f>IF(終値!A91="","",IF(AND(安値!J91&lt;安値!I91,安値!J91&lt;安値!H91,安値!J91&lt;安値!K91,安値!J91&lt;安値!L91),5,""))</f>
      </c>
      <c r="F91" s="684">
        <f>IF(終値!A91="","",IF(AND(安値!K91&lt;安値!J91,安値!K91&lt;安値!I91,安値!K91&lt;安値!L91,安値!K91&lt;安値!M91),6,""))</f>
      </c>
      <c r="G91" s="684">
        <f>IF(終値!A91="","",IF(AND(安値!L91&lt;安値!K91,安値!L91&lt;安値!J91,安値!L91&lt;安値!M91,安値!L91&lt;安値!N91),7,""))</f>
      </c>
      <c r="H91" s="684">
        <f>IF(終値!A91="","",IF(AND(安値!M91&lt;安値!L91,安値!M91&lt;安値!K91,安値!M91&lt;安値!N91,安値!M91&lt;安値!O91),8,""))</f>
      </c>
      <c r="I91" s="684">
        <f>IF(終値!A91="","",IF(AND(安値!N91&lt;安値!M91,安値!N91&lt;安値!L91,安値!N91&lt;安値!O91,安値!N91&lt;安値!P91),9,""))</f>
      </c>
      <c r="J91" s="684">
        <f>IF(終値!A91="","",IF(AND(安値!O91&lt;安値!N91,安値!O91&lt;安値!M91,安値!O91&lt;安値!P91,安値!O91&lt;安値!Q91),10,""))</f>
      </c>
      <c r="K91" s="684">
        <f>IF(終値!A91="","",IF(AND(安値!P91&lt;安値!O91,安値!P91&lt;安値!N91,安値!P91&lt;安値!Q91,安値!P91&lt;安値!R91),11,""))</f>
      </c>
      <c r="L91" s="684">
        <f>IF(終値!A91="","",IF(AND(安値!Q91&lt;安値!P91,安値!Q91&lt;安値!O91,安値!Q91&lt;安値!R91,安値!Q91&lt;安値!S91),12,""))</f>
      </c>
      <c r="M91" s="684">
        <f>IF(終値!A91="","",IF(AND(安値!R91&lt;安値!Q91,安値!R91&lt;安値!P91,安値!R91&lt;安値!S91,安値!R91&lt;安値!T91),13,""))</f>
      </c>
      <c r="N91" s="684">
        <f>IF(終値!A91="","",IF(AND(安値!S91&lt;安値!R91,安値!S91&lt;安値!Q91,安値!S91&lt;安値!T91,安値!S91&lt;安値!U91),14,""))</f>
      </c>
      <c r="O91" s="684">
        <f>IF(終値!A91="","",IF(AND(安値!T91&lt;安値!S91,安値!T91&lt;安値!R91,安値!T91&lt;安値!U91,安値!T91&lt;安値!V91),15,""))</f>
      </c>
      <c r="P91" s="684">
        <f>IF(終値!A91="","",IF(AND(安値!U91&lt;安値!T91,安値!U91&lt;安値!S91,安値!U91&lt;安値!V91,安値!U91&lt;安値!W91),16,""))</f>
      </c>
      <c r="Q91" s="684">
        <f>IF(終値!A91="","",IF(AND(安値!V91&lt;安値!U91,安値!V91&lt;安値!T91,安値!V91&lt;安値!W91,安値!V91&lt;安値!X91),17,""))</f>
      </c>
      <c r="R91" s="684">
        <f>IF(終値!A91="","",IF(AND(安値!W91&lt;安値!V91,安値!W91&lt;安値!U91,安値!W91&lt;安値!X91,安値!W91&lt;安値!Y91),18,""))</f>
      </c>
      <c r="S91" s="684">
        <f>IF(終値!A91="","",IF(AND(安値!X91&lt;安値!W91,安値!X91&lt;安値!V91,安値!X91&lt;安値!Y91,安値!X91&lt;安値!Z91),19,""))</f>
      </c>
      <c r="T91" s="684">
        <f>IF(終値!A91="","",IF(AND(安値!Y91&lt;安値!X91,安値!Y91&lt;安値!W91,安値!Y91&lt;安値!Z91,安値!Y91&lt;安値!AA91),20,""))</f>
      </c>
      <c r="U91" s="684">
        <f>IF(終値!A91="","",IF(AND(安値!Z91&lt;安値!Y91,安値!Z91&lt;安値!X91,安値!Z91&lt;安値!AA91,安値!Z91&lt;安値!AB91),21,""))</f>
      </c>
      <c r="V91" s="684">
        <f>IF(終値!A91="","",IF(AND(安値!AA91&lt;安値!Z91,安値!AA91&lt;安値!Y91,安値!AA91&lt;安値!AB91,安値!AA91&lt;安値!AC91),22,""))</f>
      </c>
      <c r="W91" s="684">
        <f>IF(終値!A91="","",IF(AND(安値!AB91&lt;安値!AA91,安値!AB91&lt;安値!Z91,安値!AB91&lt;安値!AC91,安値!AB91&lt;安値!AD91),23,""))</f>
      </c>
      <c r="X91" s="684">
        <f>IF(終値!A91="","",IF(AND(安値!AC91&lt;安値!AB91,安値!AC91&lt;安値!AA91,安値!AC91&lt;安値!AD91,安値!AC91&lt;安値!AE91),24,""))</f>
      </c>
      <c r="Y91" s="684">
        <f>IF(終値!A91="","",IF(AND(安値!AD91&lt;安値!AC91,安値!AD91&lt;安値!AB91,安値!AD91&lt;安値!AE91,安値!AD91&lt;安値!AF91),25,""))</f>
      </c>
      <c r="Z91" s="684">
        <f>IF(終値!A91="","",IF(AND(安値!AE91&lt;安値!AD91,安値!AE91&lt;安値!AC91,安値!AE91&lt;安値!AF91,安値!AE91&lt;安値!AG91),26,""))</f>
      </c>
      <c r="AA91" s="684">
        <f>IF(終値!A91="","",IF(AND(安値!AF91&lt;安値!AE91,安値!AF91&lt;安値!AD91,安値!AF91&lt;安値!AG91,安値!AF91&lt;安値!AH91),27,""))</f>
      </c>
      <c r="AB91" s="684">
        <f>IF(終値!A91="","",IF(AND(安値!AG91&lt;安値!AF91,安値!AG91&lt;安値!AE91,安値!AG91&lt;安値!AH91,安値!AG91&lt;安値!AI91),28,""))</f>
      </c>
      <c r="AC91" s="684">
        <f>IF(終値!A91="","",IF(AND(高値!G91&gt;高値!F91,高値!G91&gt;高値!E91,高値!G91&gt;高値!H91,高値!G91&gt;高値!I91),2,""))</f>
      </c>
      <c r="AD91" s="684">
        <f>IF(終値!A91="","",IF(AND(高値!H91&gt;高値!G91,高値!H91&gt;高値!F91,高値!H91&gt;高値!I91,高値!H91&gt;高値!J91),3,""))</f>
      </c>
      <c r="AE91" s="684">
        <f>IF(終値!A91="","",IF(AND(高値!I91&gt;高値!H91,高値!I91&gt;高値!G91,高値!I91&gt;高値!J91,高値!I91&gt;高値!K91),4,""))</f>
      </c>
      <c r="AF91" s="684">
        <f>IF(終値!A91="","",IF(AND(高値!J91&gt;高値!I91,高値!J91&gt;高値!H91,高値!J91&gt;高値!K91,高値!J91&gt;高値!L91),5,""))</f>
      </c>
      <c r="AG91" s="684">
        <f>IF(終値!A91="","",IF(AND(高値!K91&gt;高値!J91,高値!K91&gt;高値!I91,高値!K91&gt;高値!L91,高値!K91&gt;高値!M91),6,""))</f>
      </c>
      <c r="AH91" s="684">
        <f>IF(終値!A91="","",IF(AND(高値!L91&gt;高値!K91,高値!L91&gt;高値!J91,高値!L91&gt;高値!M91,高値!L91&gt;高値!N91),7,""))</f>
      </c>
      <c r="AI91" s="684">
        <f>IF(終値!A91="","",IF(AND(高値!M91&gt;高値!L91,高値!M91&gt;高値!K91,高値!M91&gt;高値!N91,高値!M91&gt;高値!O91),8,""))</f>
      </c>
      <c r="AJ91" s="684">
        <f>IF(終値!A91="","",IF(AND(高値!N91&gt;高値!M91,高値!N91&gt;高値!L91,高値!N91&gt;高値!O91,高値!N91&gt;高値!P91),9,""))</f>
      </c>
      <c r="AK91" s="684">
        <f>IF(終値!A91="","",IF(AND(高値!O91&gt;高値!N91,高値!O91&gt;高値!M91,高値!O91&gt;高値!P91,高値!O91&gt;高値!Q91),10,""))</f>
      </c>
      <c r="AL91" s="684">
        <f>IF(終値!A91="","",IF(AND(高値!P91&gt;高値!O91,高値!P91&gt;高値!N91,高値!P91&gt;高値!Q91,高値!P91&gt;高値!R91),11,""))</f>
      </c>
      <c r="AM91" s="684">
        <f>IF(終値!A91="","",IF(AND(高値!Q91&gt;高値!P91,高値!Q91&gt;高値!O91,高値!Q91&gt;高値!R91,高値!Q91&gt;高値!S91),12,""))</f>
      </c>
      <c r="AN91" s="684">
        <f>IF(終値!A91="","",IF(AND(高値!R91&gt;高値!Q91,高値!R91&gt;高値!P91,高値!R91&gt;高値!S91,高値!R91&gt;高値!T91),13,""))</f>
      </c>
      <c r="AO91" s="684">
        <f>IF(終値!A91="","",IF(AND(高値!S91&gt;高値!R91,高値!S91&gt;高値!Q91,高値!S91&gt;高値!T91,高値!S91&gt;高値!U91),14,""))</f>
      </c>
      <c r="AP91" s="684">
        <f>IF(終値!A91="","",IF(AND(高値!T91&gt;高値!S91,高値!T91&gt;高値!R91,高値!T91&gt;高値!U91,高値!T91&gt;高値!V91),15,""))</f>
      </c>
      <c r="AQ91" s="684">
        <f>IF(終値!A91="","",IF(AND(高値!U91&gt;高値!T91,高値!U91&gt;高値!S91,高値!U91&gt;高値!V91,高値!U91&gt;高値!W91),16,""))</f>
      </c>
      <c r="AR91" s="684">
        <f>IF(終値!A91="","",IF(AND(高値!V91&gt;高値!U91,高値!V91&gt;高値!T91,高値!V91&gt;高値!W91,高値!V91&gt;高値!X91),17,""))</f>
      </c>
      <c r="AS91" s="684">
        <f>IF(終値!A91="","",IF(AND(高値!W91&gt;高値!V91,高値!W91&gt;高値!U91,高値!W91&gt;高値!X91,高値!W91&gt;高値!Y91),18,""))</f>
      </c>
      <c r="AT91" s="684">
        <f>IF(終値!A91="","",IF(AND(高値!X91&gt;高値!W91,高値!X91&gt;高値!V91,高値!X91&gt;高値!Y91,高値!X91&gt;高値!Z91),19,""))</f>
      </c>
      <c r="AU91" s="684">
        <f>IF(終値!A91="","",IF(AND(高値!Y91&gt;高値!X91,高値!Y91&gt;高値!W91,高値!Y91&gt;高値!Z91,高値!Y91&gt;高値!AA91),20,""))</f>
      </c>
      <c r="AV91" s="684">
        <f>IF(終値!A91="","",IF(AND(高値!Z91&gt;高値!Y91,高値!Z91&gt;高値!X91,高値!Z91&gt;高値!AA91,高値!Z91&gt;高値!AB91),21,""))</f>
      </c>
      <c r="AW91" s="684">
        <f>IF(終値!A91="","",IF(AND(高値!AA91&gt;高値!Z91,高値!AA91&gt;高値!Y91,高値!AA91&gt;高値!AB91,高値!AA91&gt;高値!AC91),22,""))</f>
      </c>
      <c r="AX91" s="684">
        <f>IF(終値!A91="","",IF(AND(高値!AB91&gt;高値!AA91,高値!AB91&gt;高値!Z91,高値!AB91&gt;高値!AC91,高値!AB91&gt;高値!AD91),23,""))</f>
      </c>
      <c r="AY91" s="684">
        <f>IF(終値!A91="","",IF(AND(高値!AC91&gt;高値!AB91,高値!AC91&gt;高値!AA91,高値!AC91&gt;高値!AD91,高値!AC91&gt;高値!AE91),24,""))</f>
      </c>
      <c r="AZ91" s="684">
        <f>IF(終値!A91="","",IF(AND(高値!AD91&gt;高値!AC91,高値!AD91&gt;高値!AB91,高値!AD91&gt;高値!AE91,高値!AD91&gt;高値!AF91),25,""))</f>
      </c>
      <c r="BA91" s="684">
        <f>IF(終値!A91="","",IF(AND(高値!AE91&gt;高値!AD91,高値!AE91&gt;高値!AC91,高値!AE91&gt;高値!AF91,高値!AE91&gt;高値!AG91),26,""))</f>
      </c>
      <c r="BB91" s="684">
        <f>IF(終値!A91="","",IF(AND(高値!AF91&gt;高値!AE91,高値!AF91&gt;高値!AD91,高値!AF91&gt;高値!AG91,高値!AF91&gt;高値!AH91),27,""))</f>
      </c>
      <c r="BC91" s="684">
        <f>IF(終値!A91="","",IF(AND(高値!AG91&gt;高値!AF91,高値!AG91&gt;高値!AE91,高値!AG91&gt;高値!AH91,高値!AG91&gt;高値!AI91),28,""))</f>
      </c>
      <c r="BD91" s="684">
        <f>COUNT($B91:$AB91)</f>
      </c>
      <c r="BE91" s="684">
        <f>IF($BD91&gt;=2,MIN($B91:$AB91),"")</f>
      </c>
      <c r="BF91" s="684">
        <f>IF($BD91&gt;=2,SMALL($B91:$AB91,2),"")</f>
      </c>
      <c r="BG91" s="684">
        <f>IF($BE91="","",INDEX(安値!$E91:$CZ91,1,$BE91+1))</f>
      </c>
      <c r="BH91" s="684">
        <f>IF($BF91="","",INDEX(安値!$E91:$CZ91,1,$BF91+1))</f>
      </c>
      <c r="BI91" s="684">
        <f>IF($BF91="","",MAX(INDEX(高値!$E91:$CZ91,1,$BE91+1):INDEX(高値!$E91:$CZ91,1,$BF91+1)))</f>
      </c>
      <c r="BJ91" s="684">
        <f>IF($BF91="","",AVERAGE(INDEX(終値!$E91:$CZ91,1,$BF91+1):INDEX(終値!$E91:$CZ91,1,$BF91+20))-2*STDEVP(INDEX(終値!$E91:$CZ91,1,$BF91+1):INDEX(終値!$E91:$CZ91,1,$BF91+20)))</f>
      </c>
      <c r="BK91" s="684">
        <f>IF($BE91="","",AVERAGE(INDEX(終値!$E91:$CZ91,1,$BE91+1):INDEX(終値!$E91:$CZ91,1,$BE91+20))-2*STDEVP(INDEX(終値!$E91:$CZ91,1,$BE91+1):INDEX(終値!$E91:$CZ91,1,$BE91+20)))</f>
      </c>
      <c r="BL91" s="684">
        <f>COUNT($AC91:$BC91)</f>
      </c>
      <c r="BM91" s="684">
        <f>IF($BL91&gt;=2,MIN($AC91:$BC91),"")</f>
      </c>
      <c r="BN91" s="684">
        <f>IF($BL91&gt;=2,SMALL($AC91:$BC91,2),"")</f>
      </c>
      <c r="BO91" s="684">
        <f>IF($BM91="","",INDEX(高値!$E91:$CZ91,1,$BM91+1))</f>
      </c>
      <c r="BP91" s="684">
        <f>IF($BN91="","",INDEX(高値!$E91:$CZ91,1,$BN91+1))</f>
      </c>
      <c r="BQ91" s="684">
        <f>IF($BN91="","",MIN(INDEX(安値!$E91:$CZ91,1,$BM91+1):INDEX(安値!$E91:$CZ91,1,$BN91+1)))</f>
      </c>
      <c r="BR91" s="684">
        <f>IF($BN91="","",AVERAGE(INDEX(終値!$E91:$CZ91,1,$BN91+1):INDEX(終値!$E91:$CZ91,1,$BN91+20))+2*STDEVP(INDEX(終値!$E91:$CZ91,1,$BN91+1):INDEX(終値!$E91:$CZ91,1,$BN91+20)))</f>
      </c>
      <c r="BS91" s="684">
        <f>IF($BM91="","",AVERAGE(INDEX(終値!$E91:$CZ91,1,$BM91+1):INDEX(終値!$E91:$CZ91,1,$BM91+20))+2*STDEVP(INDEX(終値!$E91:$CZ91,1,$BM91+1):INDEX(終値!$E91:$CZ91,1,$BM91+20)))</f>
      </c>
      <c r="BT91" s="681">
        <f>IFERROR(IF(AND($BD91&gt;=2,ABS($BG91-$BH91)/$BH91&lt;=BB設定!$B$12,$BI91&gt;=MAX($BH91,$BG91)*(1+BB設定!$B$13),終値!E91&gt;$BG91),IF(OR(終値!E91&gt;=$BI91,AND($BH91&lt;$BJ91,$BG91&gt;=$BK91)),"二番底W▲","二番底W形成"),IF(AND($BL91&gt;=2,ABS($BO91-$BP91)/$BP91&lt;=BB設定!$B$12,$BQ91&lt;=MIN($BP91,$BO91)*(1-BB設定!$B$13),終値!E91&lt;$BO91),IF(OR(終値!E91&lt;=$BQ91,AND($BP91&gt;$BR91,$BO91&lt;=$BS91)),"二番天井M▼","二番天井M形成"),"－")),"－")</f>
      </c>
    </row>
    <row r="92">
      <c r="B92" s="684">
        <f>IF(終値!A92="","",IF(AND(安値!G92&lt;安値!F92,安値!G92&lt;安値!E92,安値!G92&lt;安値!H92,安値!G92&lt;安値!I92),2,""))</f>
      </c>
      <c r="C92" s="684">
        <f>IF(終値!A92="","",IF(AND(安値!H92&lt;安値!G92,安値!H92&lt;安値!F92,安値!H92&lt;安値!I92,安値!H92&lt;安値!J92),3,""))</f>
      </c>
      <c r="D92" s="684">
        <f>IF(終値!A92="","",IF(AND(安値!I92&lt;安値!H92,安値!I92&lt;安値!G92,安値!I92&lt;安値!J92,安値!I92&lt;安値!K92),4,""))</f>
      </c>
      <c r="E92" s="684">
        <f>IF(終値!A92="","",IF(AND(安値!J92&lt;安値!I92,安値!J92&lt;安値!H92,安値!J92&lt;安値!K92,安値!J92&lt;安値!L92),5,""))</f>
      </c>
      <c r="F92" s="684">
        <f>IF(終値!A92="","",IF(AND(安値!K92&lt;安値!J92,安値!K92&lt;安値!I92,安値!K92&lt;安値!L92,安値!K92&lt;安値!M92),6,""))</f>
      </c>
      <c r="G92" s="684">
        <f>IF(終値!A92="","",IF(AND(安値!L92&lt;安値!K92,安値!L92&lt;安値!J92,安値!L92&lt;安値!M92,安値!L92&lt;安値!N92),7,""))</f>
      </c>
      <c r="H92" s="684">
        <f>IF(終値!A92="","",IF(AND(安値!M92&lt;安値!L92,安値!M92&lt;安値!K92,安値!M92&lt;安値!N92,安値!M92&lt;安値!O92),8,""))</f>
      </c>
      <c r="I92" s="684">
        <f>IF(終値!A92="","",IF(AND(安値!N92&lt;安値!M92,安値!N92&lt;安値!L92,安値!N92&lt;安値!O92,安値!N92&lt;安値!P92),9,""))</f>
      </c>
      <c r="J92" s="684">
        <f>IF(終値!A92="","",IF(AND(安値!O92&lt;安値!N92,安値!O92&lt;安値!M92,安値!O92&lt;安値!P92,安値!O92&lt;安値!Q92),10,""))</f>
      </c>
      <c r="K92" s="684">
        <f>IF(終値!A92="","",IF(AND(安値!P92&lt;安値!O92,安値!P92&lt;安値!N92,安値!P92&lt;安値!Q92,安値!P92&lt;安値!R92),11,""))</f>
      </c>
      <c r="L92" s="684">
        <f>IF(終値!A92="","",IF(AND(安値!Q92&lt;安値!P92,安値!Q92&lt;安値!O92,安値!Q92&lt;安値!R92,安値!Q92&lt;安値!S92),12,""))</f>
      </c>
      <c r="M92" s="684">
        <f>IF(終値!A92="","",IF(AND(安値!R92&lt;安値!Q92,安値!R92&lt;安値!P92,安値!R92&lt;安値!S92,安値!R92&lt;安値!T92),13,""))</f>
      </c>
      <c r="N92" s="684">
        <f>IF(終値!A92="","",IF(AND(安値!S92&lt;安値!R92,安値!S92&lt;安値!Q92,安値!S92&lt;安値!T92,安値!S92&lt;安値!U92),14,""))</f>
      </c>
      <c r="O92" s="684">
        <f>IF(終値!A92="","",IF(AND(安値!T92&lt;安値!S92,安値!T92&lt;安値!R92,安値!T92&lt;安値!U92,安値!T92&lt;安値!V92),15,""))</f>
      </c>
      <c r="P92" s="684">
        <f>IF(終値!A92="","",IF(AND(安値!U92&lt;安値!T92,安値!U92&lt;安値!S92,安値!U92&lt;安値!V92,安値!U92&lt;安値!W92),16,""))</f>
      </c>
      <c r="Q92" s="684">
        <f>IF(終値!A92="","",IF(AND(安値!V92&lt;安値!U92,安値!V92&lt;安値!T92,安値!V92&lt;安値!W92,安値!V92&lt;安値!X92),17,""))</f>
      </c>
      <c r="R92" s="684">
        <f>IF(終値!A92="","",IF(AND(安値!W92&lt;安値!V92,安値!W92&lt;安値!U92,安値!W92&lt;安値!X92,安値!W92&lt;安値!Y92),18,""))</f>
      </c>
      <c r="S92" s="684">
        <f>IF(終値!A92="","",IF(AND(安値!X92&lt;安値!W92,安値!X92&lt;安値!V92,安値!X92&lt;安値!Y92,安値!X92&lt;安値!Z92),19,""))</f>
      </c>
      <c r="T92" s="684">
        <f>IF(終値!A92="","",IF(AND(安値!Y92&lt;安値!X92,安値!Y92&lt;安値!W92,安値!Y92&lt;安値!Z92,安値!Y92&lt;安値!AA92),20,""))</f>
      </c>
      <c r="U92" s="684">
        <f>IF(終値!A92="","",IF(AND(安値!Z92&lt;安値!Y92,安値!Z92&lt;安値!X92,安値!Z92&lt;安値!AA92,安値!Z92&lt;安値!AB92),21,""))</f>
      </c>
      <c r="V92" s="684">
        <f>IF(終値!A92="","",IF(AND(安値!AA92&lt;安値!Z92,安値!AA92&lt;安値!Y92,安値!AA92&lt;安値!AB92,安値!AA92&lt;安値!AC92),22,""))</f>
      </c>
      <c r="W92" s="684">
        <f>IF(終値!A92="","",IF(AND(安値!AB92&lt;安値!AA92,安値!AB92&lt;安値!Z92,安値!AB92&lt;安値!AC92,安値!AB92&lt;安値!AD92),23,""))</f>
      </c>
      <c r="X92" s="684">
        <f>IF(終値!A92="","",IF(AND(安値!AC92&lt;安値!AB92,安値!AC92&lt;安値!AA92,安値!AC92&lt;安値!AD92,安値!AC92&lt;安値!AE92),24,""))</f>
      </c>
      <c r="Y92" s="684">
        <f>IF(終値!A92="","",IF(AND(安値!AD92&lt;安値!AC92,安値!AD92&lt;安値!AB92,安値!AD92&lt;安値!AE92,安値!AD92&lt;安値!AF92),25,""))</f>
      </c>
      <c r="Z92" s="684">
        <f>IF(終値!A92="","",IF(AND(安値!AE92&lt;安値!AD92,安値!AE92&lt;安値!AC92,安値!AE92&lt;安値!AF92,安値!AE92&lt;安値!AG92),26,""))</f>
      </c>
      <c r="AA92" s="684">
        <f>IF(終値!A92="","",IF(AND(安値!AF92&lt;安値!AE92,安値!AF92&lt;安値!AD92,安値!AF92&lt;安値!AG92,安値!AF92&lt;安値!AH92),27,""))</f>
      </c>
      <c r="AB92" s="684">
        <f>IF(終値!A92="","",IF(AND(安値!AG92&lt;安値!AF92,安値!AG92&lt;安値!AE92,安値!AG92&lt;安値!AH92,安値!AG92&lt;安値!AI92),28,""))</f>
      </c>
      <c r="AC92" s="684">
        <f>IF(終値!A92="","",IF(AND(高値!G92&gt;高値!F92,高値!G92&gt;高値!E92,高値!G92&gt;高値!H92,高値!G92&gt;高値!I92),2,""))</f>
      </c>
      <c r="AD92" s="684">
        <f>IF(終値!A92="","",IF(AND(高値!H92&gt;高値!G92,高値!H92&gt;高値!F92,高値!H92&gt;高値!I92,高値!H92&gt;高値!J92),3,""))</f>
      </c>
      <c r="AE92" s="684">
        <f>IF(終値!A92="","",IF(AND(高値!I92&gt;高値!H92,高値!I92&gt;高値!G92,高値!I92&gt;高値!J92,高値!I92&gt;高値!K92),4,""))</f>
      </c>
      <c r="AF92" s="684">
        <f>IF(終値!A92="","",IF(AND(高値!J92&gt;高値!I92,高値!J92&gt;高値!H92,高値!J92&gt;高値!K92,高値!J92&gt;高値!L92),5,""))</f>
      </c>
      <c r="AG92" s="684">
        <f>IF(終値!A92="","",IF(AND(高値!K92&gt;高値!J92,高値!K92&gt;高値!I92,高値!K92&gt;高値!L92,高値!K92&gt;高値!M92),6,""))</f>
      </c>
      <c r="AH92" s="684">
        <f>IF(終値!A92="","",IF(AND(高値!L92&gt;高値!K92,高値!L92&gt;高値!J92,高値!L92&gt;高値!M92,高値!L92&gt;高値!N92),7,""))</f>
      </c>
      <c r="AI92" s="684">
        <f>IF(終値!A92="","",IF(AND(高値!M92&gt;高値!L92,高値!M92&gt;高値!K92,高値!M92&gt;高値!N92,高値!M92&gt;高値!O92),8,""))</f>
      </c>
      <c r="AJ92" s="684">
        <f>IF(終値!A92="","",IF(AND(高値!N92&gt;高値!M92,高値!N92&gt;高値!L92,高値!N92&gt;高値!O92,高値!N92&gt;高値!P92),9,""))</f>
      </c>
      <c r="AK92" s="684">
        <f>IF(終値!A92="","",IF(AND(高値!O92&gt;高値!N92,高値!O92&gt;高値!M92,高値!O92&gt;高値!P92,高値!O92&gt;高値!Q92),10,""))</f>
      </c>
      <c r="AL92" s="684">
        <f>IF(終値!A92="","",IF(AND(高値!P92&gt;高値!O92,高値!P92&gt;高値!N92,高値!P92&gt;高値!Q92,高値!P92&gt;高値!R92),11,""))</f>
      </c>
      <c r="AM92" s="684">
        <f>IF(終値!A92="","",IF(AND(高値!Q92&gt;高値!P92,高値!Q92&gt;高値!O92,高値!Q92&gt;高値!R92,高値!Q92&gt;高値!S92),12,""))</f>
      </c>
      <c r="AN92" s="684">
        <f>IF(終値!A92="","",IF(AND(高値!R92&gt;高値!Q92,高値!R92&gt;高値!P92,高値!R92&gt;高値!S92,高値!R92&gt;高値!T92),13,""))</f>
      </c>
      <c r="AO92" s="684">
        <f>IF(終値!A92="","",IF(AND(高値!S92&gt;高値!R92,高値!S92&gt;高値!Q92,高値!S92&gt;高値!T92,高値!S92&gt;高値!U92),14,""))</f>
      </c>
      <c r="AP92" s="684">
        <f>IF(終値!A92="","",IF(AND(高値!T92&gt;高値!S92,高値!T92&gt;高値!R92,高値!T92&gt;高値!U92,高値!T92&gt;高値!V92),15,""))</f>
      </c>
      <c r="AQ92" s="684">
        <f>IF(終値!A92="","",IF(AND(高値!U92&gt;高値!T92,高値!U92&gt;高値!S92,高値!U92&gt;高値!V92,高値!U92&gt;高値!W92),16,""))</f>
      </c>
      <c r="AR92" s="684">
        <f>IF(終値!A92="","",IF(AND(高値!V92&gt;高値!U92,高値!V92&gt;高値!T92,高値!V92&gt;高値!W92,高値!V92&gt;高値!X92),17,""))</f>
      </c>
      <c r="AS92" s="684">
        <f>IF(終値!A92="","",IF(AND(高値!W92&gt;高値!V92,高値!W92&gt;高値!U92,高値!W92&gt;高値!X92,高値!W92&gt;高値!Y92),18,""))</f>
      </c>
      <c r="AT92" s="684">
        <f>IF(終値!A92="","",IF(AND(高値!X92&gt;高値!W92,高値!X92&gt;高値!V92,高値!X92&gt;高値!Y92,高値!X92&gt;高値!Z92),19,""))</f>
      </c>
      <c r="AU92" s="684">
        <f>IF(終値!A92="","",IF(AND(高値!Y92&gt;高値!X92,高値!Y92&gt;高値!W92,高値!Y92&gt;高値!Z92,高値!Y92&gt;高値!AA92),20,""))</f>
      </c>
      <c r="AV92" s="684">
        <f>IF(終値!A92="","",IF(AND(高値!Z92&gt;高値!Y92,高値!Z92&gt;高値!X92,高値!Z92&gt;高値!AA92,高値!Z92&gt;高値!AB92),21,""))</f>
      </c>
      <c r="AW92" s="684">
        <f>IF(終値!A92="","",IF(AND(高値!AA92&gt;高値!Z92,高値!AA92&gt;高値!Y92,高値!AA92&gt;高値!AB92,高値!AA92&gt;高値!AC92),22,""))</f>
      </c>
      <c r="AX92" s="684">
        <f>IF(終値!A92="","",IF(AND(高値!AB92&gt;高値!AA92,高値!AB92&gt;高値!Z92,高値!AB92&gt;高値!AC92,高値!AB92&gt;高値!AD92),23,""))</f>
      </c>
      <c r="AY92" s="684">
        <f>IF(終値!A92="","",IF(AND(高値!AC92&gt;高値!AB92,高値!AC92&gt;高値!AA92,高値!AC92&gt;高値!AD92,高値!AC92&gt;高値!AE92),24,""))</f>
      </c>
      <c r="AZ92" s="684">
        <f>IF(終値!A92="","",IF(AND(高値!AD92&gt;高値!AC92,高値!AD92&gt;高値!AB92,高値!AD92&gt;高値!AE92,高値!AD92&gt;高値!AF92),25,""))</f>
      </c>
      <c r="BA92" s="684">
        <f>IF(終値!A92="","",IF(AND(高値!AE92&gt;高値!AD92,高値!AE92&gt;高値!AC92,高値!AE92&gt;高値!AF92,高値!AE92&gt;高値!AG92),26,""))</f>
      </c>
      <c r="BB92" s="684">
        <f>IF(終値!A92="","",IF(AND(高値!AF92&gt;高値!AE92,高値!AF92&gt;高値!AD92,高値!AF92&gt;高値!AG92,高値!AF92&gt;高値!AH92),27,""))</f>
      </c>
      <c r="BC92" s="684">
        <f>IF(終値!A92="","",IF(AND(高値!AG92&gt;高値!AF92,高値!AG92&gt;高値!AE92,高値!AG92&gt;高値!AH92,高値!AG92&gt;高値!AI92),28,""))</f>
      </c>
      <c r="BD92" s="684">
        <f>COUNT($B92:$AB92)</f>
      </c>
      <c r="BE92" s="684">
        <f>IF($BD92&gt;=2,MIN($B92:$AB92),"")</f>
      </c>
      <c r="BF92" s="684">
        <f>IF($BD92&gt;=2,SMALL($B92:$AB92,2),"")</f>
      </c>
      <c r="BG92" s="684">
        <f>IF($BE92="","",INDEX(安値!$E92:$CZ92,1,$BE92+1))</f>
      </c>
      <c r="BH92" s="684">
        <f>IF($BF92="","",INDEX(安値!$E92:$CZ92,1,$BF92+1))</f>
      </c>
      <c r="BI92" s="684">
        <f>IF($BF92="","",MAX(INDEX(高値!$E92:$CZ92,1,$BE92+1):INDEX(高値!$E92:$CZ92,1,$BF92+1)))</f>
      </c>
      <c r="BJ92" s="684">
        <f>IF($BF92="","",AVERAGE(INDEX(終値!$E92:$CZ92,1,$BF92+1):INDEX(終値!$E92:$CZ92,1,$BF92+20))-2*STDEVP(INDEX(終値!$E92:$CZ92,1,$BF92+1):INDEX(終値!$E92:$CZ92,1,$BF92+20)))</f>
      </c>
      <c r="BK92" s="684">
        <f>IF($BE92="","",AVERAGE(INDEX(終値!$E92:$CZ92,1,$BE92+1):INDEX(終値!$E92:$CZ92,1,$BE92+20))-2*STDEVP(INDEX(終値!$E92:$CZ92,1,$BE92+1):INDEX(終値!$E92:$CZ92,1,$BE92+20)))</f>
      </c>
      <c r="BL92" s="684">
        <f>COUNT($AC92:$BC92)</f>
      </c>
      <c r="BM92" s="684">
        <f>IF($BL92&gt;=2,MIN($AC92:$BC92),"")</f>
      </c>
      <c r="BN92" s="684">
        <f>IF($BL92&gt;=2,SMALL($AC92:$BC92,2),"")</f>
      </c>
      <c r="BO92" s="684">
        <f>IF($BM92="","",INDEX(高値!$E92:$CZ92,1,$BM92+1))</f>
      </c>
      <c r="BP92" s="684">
        <f>IF($BN92="","",INDEX(高値!$E92:$CZ92,1,$BN92+1))</f>
      </c>
      <c r="BQ92" s="684">
        <f>IF($BN92="","",MIN(INDEX(安値!$E92:$CZ92,1,$BM92+1):INDEX(安値!$E92:$CZ92,1,$BN92+1)))</f>
      </c>
      <c r="BR92" s="684">
        <f>IF($BN92="","",AVERAGE(INDEX(終値!$E92:$CZ92,1,$BN92+1):INDEX(終値!$E92:$CZ92,1,$BN92+20))+2*STDEVP(INDEX(終値!$E92:$CZ92,1,$BN92+1):INDEX(終値!$E92:$CZ92,1,$BN92+20)))</f>
      </c>
      <c r="BS92" s="684">
        <f>IF($BM92="","",AVERAGE(INDEX(終値!$E92:$CZ92,1,$BM92+1):INDEX(終値!$E92:$CZ92,1,$BM92+20))+2*STDEVP(INDEX(終値!$E92:$CZ92,1,$BM92+1):INDEX(終値!$E92:$CZ92,1,$BM92+20)))</f>
      </c>
      <c r="BT92" s="681">
        <f>IFERROR(IF(AND($BD92&gt;=2,ABS($BG92-$BH92)/$BH92&lt;=BB設定!$B$12,$BI92&gt;=MAX($BH92,$BG92)*(1+BB設定!$B$13),終値!E92&gt;$BG92),IF(OR(終値!E92&gt;=$BI92,AND($BH92&lt;$BJ92,$BG92&gt;=$BK92)),"二番底W▲","二番底W形成"),IF(AND($BL92&gt;=2,ABS($BO92-$BP92)/$BP92&lt;=BB設定!$B$12,$BQ92&lt;=MIN($BP92,$BO92)*(1-BB設定!$B$13),終値!E92&lt;$BO92),IF(OR(終値!E92&lt;=$BQ92,AND($BP92&gt;$BR92,$BO92&lt;=$BS92)),"二番天井M▼","二番天井M形成"),"－")),"－")</f>
      </c>
    </row>
    <row r="93">
      <c r="B93" s="684">
        <f>IF(終値!A93="","",IF(AND(安値!G93&lt;安値!F93,安値!G93&lt;安値!E93,安値!G93&lt;安値!H93,安値!G93&lt;安値!I93),2,""))</f>
      </c>
      <c r="C93" s="684">
        <f>IF(終値!A93="","",IF(AND(安値!H93&lt;安値!G93,安値!H93&lt;安値!F93,安値!H93&lt;安値!I93,安値!H93&lt;安値!J93),3,""))</f>
      </c>
      <c r="D93" s="684">
        <f>IF(終値!A93="","",IF(AND(安値!I93&lt;安値!H93,安値!I93&lt;安値!G93,安値!I93&lt;安値!J93,安値!I93&lt;安値!K93),4,""))</f>
      </c>
      <c r="E93" s="684">
        <f>IF(終値!A93="","",IF(AND(安値!J93&lt;安値!I93,安値!J93&lt;安値!H93,安値!J93&lt;安値!K93,安値!J93&lt;安値!L93),5,""))</f>
      </c>
      <c r="F93" s="684">
        <f>IF(終値!A93="","",IF(AND(安値!K93&lt;安値!J93,安値!K93&lt;安値!I93,安値!K93&lt;安値!L93,安値!K93&lt;安値!M93),6,""))</f>
      </c>
      <c r="G93" s="684">
        <f>IF(終値!A93="","",IF(AND(安値!L93&lt;安値!K93,安値!L93&lt;安値!J93,安値!L93&lt;安値!M93,安値!L93&lt;安値!N93),7,""))</f>
      </c>
      <c r="H93" s="684">
        <f>IF(終値!A93="","",IF(AND(安値!M93&lt;安値!L93,安値!M93&lt;安値!K93,安値!M93&lt;安値!N93,安値!M93&lt;安値!O93),8,""))</f>
      </c>
      <c r="I93" s="684">
        <f>IF(終値!A93="","",IF(AND(安値!N93&lt;安値!M93,安値!N93&lt;安値!L93,安値!N93&lt;安値!O93,安値!N93&lt;安値!P93),9,""))</f>
      </c>
      <c r="J93" s="684">
        <f>IF(終値!A93="","",IF(AND(安値!O93&lt;安値!N93,安値!O93&lt;安値!M93,安値!O93&lt;安値!P93,安値!O93&lt;安値!Q93),10,""))</f>
      </c>
      <c r="K93" s="684">
        <f>IF(終値!A93="","",IF(AND(安値!P93&lt;安値!O93,安値!P93&lt;安値!N93,安値!P93&lt;安値!Q93,安値!P93&lt;安値!R93),11,""))</f>
      </c>
      <c r="L93" s="684">
        <f>IF(終値!A93="","",IF(AND(安値!Q93&lt;安値!P93,安値!Q93&lt;安値!O93,安値!Q93&lt;安値!R93,安値!Q93&lt;安値!S93),12,""))</f>
      </c>
      <c r="M93" s="684">
        <f>IF(終値!A93="","",IF(AND(安値!R93&lt;安値!Q93,安値!R93&lt;安値!P93,安値!R93&lt;安値!S93,安値!R93&lt;安値!T93),13,""))</f>
      </c>
      <c r="N93" s="684">
        <f>IF(終値!A93="","",IF(AND(安値!S93&lt;安値!R93,安値!S93&lt;安値!Q93,安値!S93&lt;安値!T93,安値!S93&lt;安値!U93),14,""))</f>
      </c>
      <c r="O93" s="684">
        <f>IF(終値!A93="","",IF(AND(安値!T93&lt;安値!S93,安値!T93&lt;安値!R93,安値!T93&lt;安値!U93,安値!T93&lt;安値!V93),15,""))</f>
      </c>
      <c r="P93" s="684">
        <f>IF(終値!A93="","",IF(AND(安値!U93&lt;安値!T93,安値!U93&lt;安値!S93,安値!U93&lt;安値!V93,安値!U93&lt;安値!W93),16,""))</f>
      </c>
      <c r="Q93" s="684">
        <f>IF(終値!A93="","",IF(AND(安値!V93&lt;安値!U93,安値!V93&lt;安値!T93,安値!V93&lt;安値!W93,安値!V93&lt;安値!X93),17,""))</f>
      </c>
      <c r="R93" s="684">
        <f>IF(終値!A93="","",IF(AND(安値!W93&lt;安値!V93,安値!W93&lt;安値!U93,安値!W93&lt;安値!X93,安値!W93&lt;安値!Y93),18,""))</f>
      </c>
      <c r="S93" s="684">
        <f>IF(終値!A93="","",IF(AND(安値!X93&lt;安値!W93,安値!X93&lt;安値!V93,安値!X93&lt;安値!Y93,安値!X93&lt;安値!Z93),19,""))</f>
      </c>
      <c r="T93" s="684">
        <f>IF(終値!A93="","",IF(AND(安値!Y93&lt;安値!X93,安値!Y93&lt;安値!W93,安値!Y93&lt;安値!Z93,安値!Y93&lt;安値!AA93),20,""))</f>
      </c>
      <c r="U93" s="684">
        <f>IF(終値!A93="","",IF(AND(安値!Z93&lt;安値!Y93,安値!Z93&lt;安値!X93,安値!Z93&lt;安値!AA93,安値!Z93&lt;安値!AB93),21,""))</f>
      </c>
      <c r="V93" s="684">
        <f>IF(終値!A93="","",IF(AND(安値!AA93&lt;安値!Z93,安値!AA93&lt;安値!Y93,安値!AA93&lt;安値!AB93,安値!AA93&lt;安値!AC93),22,""))</f>
      </c>
      <c r="W93" s="684">
        <f>IF(終値!A93="","",IF(AND(安値!AB93&lt;安値!AA93,安値!AB93&lt;安値!Z93,安値!AB93&lt;安値!AC93,安値!AB93&lt;安値!AD93),23,""))</f>
      </c>
      <c r="X93" s="684">
        <f>IF(終値!A93="","",IF(AND(安値!AC93&lt;安値!AB93,安値!AC93&lt;安値!AA93,安値!AC93&lt;安値!AD93,安値!AC93&lt;安値!AE93),24,""))</f>
      </c>
      <c r="Y93" s="684">
        <f>IF(終値!A93="","",IF(AND(安値!AD93&lt;安値!AC93,安値!AD93&lt;安値!AB93,安値!AD93&lt;安値!AE93,安値!AD93&lt;安値!AF93),25,""))</f>
      </c>
      <c r="Z93" s="684">
        <f>IF(終値!A93="","",IF(AND(安値!AE93&lt;安値!AD93,安値!AE93&lt;安値!AC93,安値!AE93&lt;安値!AF93,安値!AE93&lt;安値!AG93),26,""))</f>
      </c>
      <c r="AA93" s="684">
        <f>IF(終値!A93="","",IF(AND(安値!AF93&lt;安値!AE93,安値!AF93&lt;安値!AD93,安値!AF93&lt;安値!AG93,安値!AF93&lt;安値!AH93),27,""))</f>
      </c>
      <c r="AB93" s="684">
        <f>IF(終値!A93="","",IF(AND(安値!AG93&lt;安値!AF93,安値!AG93&lt;安値!AE93,安値!AG93&lt;安値!AH93,安値!AG93&lt;安値!AI93),28,""))</f>
      </c>
      <c r="AC93" s="684">
        <f>IF(終値!A93="","",IF(AND(高値!G93&gt;高値!F93,高値!G93&gt;高値!E93,高値!G93&gt;高値!H93,高値!G93&gt;高値!I93),2,""))</f>
      </c>
      <c r="AD93" s="684">
        <f>IF(終値!A93="","",IF(AND(高値!H93&gt;高値!G93,高値!H93&gt;高値!F93,高値!H93&gt;高値!I93,高値!H93&gt;高値!J93),3,""))</f>
      </c>
      <c r="AE93" s="684">
        <f>IF(終値!A93="","",IF(AND(高値!I93&gt;高値!H93,高値!I93&gt;高値!G93,高値!I93&gt;高値!J93,高値!I93&gt;高値!K93),4,""))</f>
      </c>
      <c r="AF93" s="684">
        <f>IF(終値!A93="","",IF(AND(高値!J93&gt;高値!I93,高値!J93&gt;高値!H93,高値!J93&gt;高値!K93,高値!J93&gt;高値!L93),5,""))</f>
      </c>
      <c r="AG93" s="684">
        <f>IF(終値!A93="","",IF(AND(高値!K93&gt;高値!J93,高値!K93&gt;高値!I93,高値!K93&gt;高値!L93,高値!K93&gt;高値!M93),6,""))</f>
      </c>
      <c r="AH93" s="684">
        <f>IF(終値!A93="","",IF(AND(高値!L93&gt;高値!K93,高値!L93&gt;高値!J93,高値!L93&gt;高値!M93,高値!L93&gt;高値!N93),7,""))</f>
      </c>
      <c r="AI93" s="684">
        <f>IF(終値!A93="","",IF(AND(高値!M93&gt;高値!L93,高値!M93&gt;高値!K93,高値!M93&gt;高値!N93,高値!M93&gt;高値!O93),8,""))</f>
      </c>
      <c r="AJ93" s="684">
        <f>IF(終値!A93="","",IF(AND(高値!N93&gt;高値!M93,高値!N93&gt;高値!L93,高値!N93&gt;高値!O93,高値!N93&gt;高値!P93),9,""))</f>
      </c>
      <c r="AK93" s="684">
        <f>IF(終値!A93="","",IF(AND(高値!O93&gt;高値!N93,高値!O93&gt;高値!M93,高値!O93&gt;高値!P93,高値!O93&gt;高値!Q93),10,""))</f>
      </c>
      <c r="AL93" s="684">
        <f>IF(終値!A93="","",IF(AND(高値!P93&gt;高値!O93,高値!P93&gt;高値!N93,高値!P93&gt;高値!Q93,高値!P93&gt;高値!R93),11,""))</f>
      </c>
      <c r="AM93" s="684">
        <f>IF(終値!A93="","",IF(AND(高値!Q93&gt;高値!P93,高値!Q93&gt;高値!O93,高値!Q93&gt;高値!R93,高値!Q93&gt;高値!S93),12,""))</f>
      </c>
      <c r="AN93" s="684">
        <f>IF(終値!A93="","",IF(AND(高値!R93&gt;高値!Q93,高値!R93&gt;高値!P93,高値!R93&gt;高値!S93,高値!R93&gt;高値!T93),13,""))</f>
      </c>
      <c r="AO93" s="684">
        <f>IF(終値!A93="","",IF(AND(高値!S93&gt;高値!R93,高値!S93&gt;高値!Q93,高値!S93&gt;高値!T93,高値!S93&gt;高値!U93),14,""))</f>
      </c>
      <c r="AP93" s="684">
        <f>IF(終値!A93="","",IF(AND(高値!T93&gt;高値!S93,高値!T93&gt;高値!R93,高値!T93&gt;高値!U93,高値!T93&gt;高値!V93),15,""))</f>
      </c>
      <c r="AQ93" s="684">
        <f>IF(終値!A93="","",IF(AND(高値!U93&gt;高値!T93,高値!U93&gt;高値!S93,高値!U93&gt;高値!V93,高値!U93&gt;高値!W93),16,""))</f>
      </c>
      <c r="AR93" s="684">
        <f>IF(終値!A93="","",IF(AND(高値!V93&gt;高値!U93,高値!V93&gt;高値!T93,高値!V93&gt;高値!W93,高値!V93&gt;高値!X93),17,""))</f>
      </c>
      <c r="AS93" s="684">
        <f>IF(終値!A93="","",IF(AND(高値!W93&gt;高値!V93,高値!W93&gt;高値!U93,高値!W93&gt;高値!X93,高値!W93&gt;高値!Y93),18,""))</f>
      </c>
      <c r="AT93" s="684">
        <f>IF(終値!A93="","",IF(AND(高値!X93&gt;高値!W93,高値!X93&gt;高値!V93,高値!X93&gt;高値!Y93,高値!X93&gt;高値!Z93),19,""))</f>
      </c>
      <c r="AU93" s="684">
        <f>IF(終値!A93="","",IF(AND(高値!Y93&gt;高値!X93,高値!Y93&gt;高値!W93,高値!Y93&gt;高値!Z93,高値!Y93&gt;高値!AA93),20,""))</f>
      </c>
      <c r="AV93" s="684">
        <f>IF(終値!A93="","",IF(AND(高値!Z93&gt;高値!Y93,高値!Z93&gt;高値!X93,高値!Z93&gt;高値!AA93,高値!Z93&gt;高値!AB93),21,""))</f>
      </c>
      <c r="AW93" s="684">
        <f>IF(終値!A93="","",IF(AND(高値!AA93&gt;高値!Z93,高値!AA93&gt;高値!Y93,高値!AA93&gt;高値!AB93,高値!AA93&gt;高値!AC93),22,""))</f>
      </c>
      <c r="AX93" s="684">
        <f>IF(終値!A93="","",IF(AND(高値!AB93&gt;高値!AA93,高値!AB93&gt;高値!Z93,高値!AB93&gt;高値!AC93,高値!AB93&gt;高値!AD93),23,""))</f>
      </c>
      <c r="AY93" s="684">
        <f>IF(終値!A93="","",IF(AND(高値!AC93&gt;高値!AB93,高値!AC93&gt;高値!AA93,高値!AC93&gt;高値!AD93,高値!AC93&gt;高値!AE93),24,""))</f>
      </c>
      <c r="AZ93" s="684">
        <f>IF(終値!A93="","",IF(AND(高値!AD93&gt;高値!AC93,高値!AD93&gt;高値!AB93,高値!AD93&gt;高値!AE93,高値!AD93&gt;高値!AF93),25,""))</f>
      </c>
      <c r="BA93" s="684">
        <f>IF(終値!A93="","",IF(AND(高値!AE93&gt;高値!AD93,高値!AE93&gt;高値!AC93,高値!AE93&gt;高値!AF93,高値!AE93&gt;高値!AG93),26,""))</f>
      </c>
      <c r="BB93" s="684">
        <f>IF(終値!A93="","",IF(AND(高値!AF93&gt;高値!AE93,高値!AF93&gt;高値!AD93,高値!AF93&gt;高値!AG93,高値!AF93&gt;高値!AH93),27,""))</f>
      </c>
      <c r="BC93" s="684">
        <f>IF(終値!A93="","",IF(AND(高値!AG93&gt;高値!AF93,高値!AG93&gt;高値!AE93,高値!AG93&gt;高値!AH93,高値!AG93&gt;高値!AI93),28,""))</f>
      </c>
      <c r="BD93" s="684">
        <f>COUNT($B93:$AB93)</f>
      </c>
      <c r="BE93" s="684">
        <f>IF($BD93&gt;=2,MIN($B93:$AB93),"")</f>
      </c>
      <c r="BF93" s="684">
        <f>IF($BD93&gt;=2,SMALL($B93:$AB93,2),"")</f>
      </c>
      <c r="BG93" s="684">
        <f>IF($BE93="","",INDEX(安値!$E93:$CZ93,1,$BE93+1))</f>
      </c>
      <c r="BH93" s="684">
        <f>IF($BF93="","",INDEX(安値!$E93:$CZ93,1,$BF93+1))</f>
      </c>
      <c r="BI93" s="684">
        <f>IF($BF93="","",MAX(INDEX(高値!$E93:$CZ93,1,$BE93+1):INDEX(高値!$E93:$CZ93,1,$BF93+1)))</f>
      </c>
      <c r="BJ93" s="684">
        <f>IF($BF93="","",AVERAGE(INDEX(終値!$E93:$CZ93,1,$BF93+1):INDEX(終値!$E93:$CZ93,1,$BF93+20))-2*STDEVP(INDEX(終値!$E93:$CZ93,1,$BF93+1):INDEX(終値!$E93:$CZ93,1,$BF93+20)))</f>
      </c>
      <c r="BK93" s="684">
        <f>IF($BE93="","",AVERAGE(INDEX(終値!$E93:$CZ93,1,$BE93+1):INDEX(終値!$E93:$CZ93,1,$BE93+20))-2*STDEVP(INDEX(終値!$E93:$CZ93,1,$BE93+1):INDEX(終値!$E93:$CZ93,1,$BE93+20)))</f>
      </c>
      <c r="BL93" s="684">
        <f>COUNT($AC93:$BC93)</f>
      </c>
      <c r="BM93" s="684">
        <f>IF($BL93&gt;=2,MIN($AC93:$BC93),"")</f>
      </c>
      <c r="BN93" s="684">
        <f>IF($BL93&gt;=2,SMALL($AC93:$BC93,2),"")</f>
      </c>
      <c r="BO93" s="684">
        <f>IF($BM93="","",INDEX(高値!$E93:$CZ93,1,$BM93+1))</f>
      </c>
      <c r="BP93" s="684">
        <f>IF($BN93="","",INDEX(高値!$E93:$CZ93,1,$BN93+1))</f>
      </c>
      <c r="BQ93" s="684">
        <f>IF($BN93="","",MIN(INDEX(安値!$E93:$CZ93,1,$BM93+1):INDEX(安値!$E93:$CZ93,1,$BN93+1)))</f>
      </c>
      <c r="BR93" s="684">
        <f>IF($BN93="","",AVERAGE(INDEX(終値!$E93:$CZ93,1,$BN93+1):INDEX(終値!$E93:$CZ93,1,$BN93+20))+2*STDEVP(INDEX(終値!$E93:$CZ93,1,$BN93+1):INDEX(終値!$E93:$CZ93,1,$BN93+20)))</f>
      </c>
      <c r="BS93" s="684">
        <f>IF($BM93="","",AVERAGE(INDEX(終値!$E93:$CZ93,1,$BM93+1):INDEX(終値!$E93:$CZ93,1,$BM93+20))+2*STDEVP(INDEX(終値!$E93:$CZ93,1,$BM93+1):INDEX(終値!$E93:$CZ93,1,$BM93+20)))</f>
      </c>
      <c r="BT93" s="681">
        <f>IFERROR(IF(AND($BD93&gt;=2,ABS($BG93-$BH93)/$BH93&lt;=BB設定!$B$12,$BI93&gt;=MAX($BH93,$BG93)*(1+BB設定!$B$13),終値!E93&gt;$BG93),IF(OR(終値!E93&gt;=$BI93,AND($BH93&lt;$BJ93,$BG93&gt;=$BK93)),"二番底W▲","二番底W形成"),IF(AND($BL93&gt;=2,ABS($BO93-$BP93)/$BP93&lt;=BB設定!$B$12,$BQ93&lt;=MIN($BP93,$BO93)*(1-BB設定!$B$13),終値!E93&lt;$BO93),IF(OR(終値!E93&lt;=$BQ93,AND($BP93&gt;$BR93,$BO93&lt;=$BS93)),"二番天井M▼","二番天井M形成"),"－")),"－")</f>
      </c>
    </row>
    <row r="94">
      <c r="B94" s="684">
        <f>IF(終値!A94="","",IF(AND(安値!G94&lt;安値!F94,安値!G94&lt;安値!E94,安値!G94&lt;安値!H94,安値!G94&lt;安値!I94),2,""))</f>
      </c>
      <c r="C94" s="684">
        <f>IF(終値!A94="","",IF(AND(安値!H94&lt;安値!G94,安値!H94&lt;安値!F94,安値!H94&lt;安値!I94,安値!H94&lt;安値!J94),3,""))</f>
      </c>
      <c r="D94" s="684">
        <f>IF(終値!A94="","",IF(AND(安値!I94&lt;安値!H94,安値!I94&lt;安値!G94,安値!I94&lt;安値!J94,安値!I94&lt;安値!K94),4,""))</f>
      </c>
      <c r="E94" s="684">
        <f>IF(終値!A94="","",IF(AND(安値!J94&lt;安値!I94,安値!J94&lt;安値!H94,安値!J94&lt;安値!K94,安値!J94&lt;安値!L94),5,""))</f>
      </c>
      <c r="F94" s="684">
        <f>IF(終値!A94="","",IF(AND(安値!K94&lt;安値!J94,安値!K94&lt;安値!I94,安値!K94&lt;安値!L94,安値!K94&lt;安値!M94),6,""))</f>
      </c>
      <c r="G94" s="684">
        <f>IF(終値!A94="","",IF(AND(安値!L94&lt;安値!K94,安値!L94&lt;安値!J94,安値!L94&lt;安値!M94,安値!L94&lt;安値!N94),7,""))</f>
      </c>
      <c r="H94" s="684">
        <f>IF(終値!A94="","",IF(AND(安値!M94&lt;安値!L94,安値!M94&lt;安値!K94,安値!M94&lt;安値!N94,安値!M94&lt;安値!O94),8,""))</f>
      </c>
      <c r="I94" s="684">
        <f>IF(終値!A94="","",IF(AND(安値!N94&lt;安値!M94,安値!N94&lt;安値!L94,安値!N94&lt;安値!O94,安値!N94&lt;安値!P94),9,""))</f>
      </c>
      <c r="J94" s="684">
        <f>IF(終値!A94="","",IF(AND(安値!O94&lt;安値!N94,安値!O94&lt;安値!M94,安値!O94&lt;安値!P94,安値!O94&lt;安値!Q94),10,""))</f>
      </c>
      <c r="K94" s="684">
        <f>IF(終値!A94="","",IF(AND(安値!P94&lt;安値!O94,安値!P94&lt;安値!N94,安値!P94&lt;安値!Q94,安値!P94&lt;安値!R94),11,""))</f>
      </c>
      <c r="L94" s="684">
        <f>IF(終値!A94="","",IF(AND(安値!Q94&lt;安値!P94,安値!Q94&lt;安値!O94,安値!Q94&lt;安値!R94,安値!Q94&lt;安値!S94),12,""))</f>
      </c>
      <c r="M94" s="684">
        <f>IF(終値!A94="","",IF(AND(安値!R94&lt;安値!Q94,安値!R94&lt;安値!P94,安値!R94&lt;安値!S94,安値!R94&lt;安値!T94),13,""))</f>
      </c>
      <c r="N94" s="684">
        <f>IF(終値!A94="","",IF(AND(安値!S94&lt;安値!R94,安値!S94&lt;安値!Q94,安値!S94&lt;安値!T94,安値!S94&lt;安値!U94),14,""))</f>
      </c>
      <c r="O94" s="684">
        <f>IF(終値!A94="","",IF(AND(安値!T94&lt;安値!S94,安値!T94&lt;安値!R94,安値!T94&lt;安値!U94,安値!T94&lt;安値!V94),15,""))</f>
      </c>
      <c r="P94" s="684">
        <f>IF(終値!A94="","",IF(AND(安値!U94&lt;安値!T94,安値!U94&lt;安値!S94,安値!U94&lt;安値!V94,安値!U94&lt;安値!W94),16,""))</f>
      </c>
      <c r="Q94" s="684">
        <f>IF(終値!A94="","",IF(AND(安値!V94&lt;安値!U94,安値!V94&lt;安値!T94,安値!V94&lt;安値!W94,安値!V94&lt;安値!X94),17,""))</f>
      </c>
      <c r="R94" s="684">
        <f>IF(終値!A94="","",IF(AND(安値!W94&lt;安値!V94,安値!W94&lt;安値!U94,安値!W94&lt;安値!X94,安値!W94&lt;安値!Y94),18,""))</f>
      </c>
      <c r="S94" s="684">
        <f>IF(終値!A94="","",IF(AND(安値!X94&lt;安値!W94,安値!X94&lt;安値!V94,安値!X94&lt;安値!Y94,安値!X94&lt;安値!Z94),19,""))</f>
      </c>
      <c r="T94" s="684">
        <f>IF(終値!A94="","",IF(AND(安値!Y94&lt;安値!X94,安値!Y94&lt;安値!W94,安値!Y94&lt;安値!Z94,安値!Y94&lt;安値!AA94),20,""))</f>
      </c>
      <c r="U94" s="684">
        <f>IF(終値!A94="","",IF(AND(安値!Z94&lt;安値!Y94,安値!Z94&lt;安値!X94,安値!Z94&lt;安値!AA94,安値!Z94&lt;安値!AB94),21,""))</f>
      </c>
      <c r="V94" s="684">
        <f>IF(終値!A94="","",IF(AND(安値!AA94&lt;安値!Z94,安値!AA94&lt;安値!Y94,安値!AA94&lt;安値!AB94,安値!AA94&lt;安値!AC94),22,""))</f>
      </c>
      <c r="W94" s="684">
        <f>IF(終値!A94="","",IF(AND(安値!AB94&lt;安値!AA94,安値!AB94&lt;安値!Z94,安値!AB94&lt;安値!AC94,安値!AB94&lt;安値!AD94),23,""))</f>
      </c>
      <c r="X94" s="684">
        <f>IF(終値!A94="","",IF(AND(安値!AC94&lt;安値!AB94,安値!AC94&lt;安値!AA94,安値!AC94&lt;安値!AD94,安値!AC94&lt;安値!AE94),24,""))</f>
      </c>
      <c r="Y94" s="684">
        <f>IF(終値!A94="","",IF(AND(安値!AD94&lt;安値!AC94,安値!AD94&lt;安値!AB94,安値!AD94&lt;安値!AE94,安値!AD94&lt;安値!AF94),25,""))</f>
      </c>
      <c r="Z94" s="684">
        <f>IF(終値!A94="","",IF(AND(安値!AE94&lt;安値!AD94,安値!AE94&lt;安値!AC94,安値!AE94&lt;安値!AF94,安値!AE94&lt;安値!AG94),26,""))</f>
      </c>
      <c r="AA94" s="684">
        <f>IF(終値!A94="","",IF(AND(安値!AF94&lt;安値!AE94,安値!AF94&lt;安値!AD94,安値!AF94&lt;安値!AG94,安値!AF94&lt;安値!AH94),27,""))</f>
      </c>
      <c r="AB94" s="684">
        <f>IF(終値!A94="","",IF(AND(安値!AG94&lt;安値!AF94,安値!AG94&lt;安値!AE94,安値!AG94&lt;安値!AH94,安値!AG94&lt;安値!AI94),28,""))</f>
      </c>
      <c r="AC94" s="684">
        <f>IF(終値!A94="","",IF(AND(高値!G94&gt;高値!F94,高値!G94&gt;高値!E94,高値!G94&gt;高値!H94,高値!G94&gt;高値!I94),2,""))</f>
      </c>
      <c r="AD94" s="684">
        <f>IF(終値!A94="","",IF(AND(高値!H94&gt;高値!G94,高値!H94&gt;高値!F94,高値!H94&gt;高値!I94,高値!H94&gt;高値!J94),3,""))</f>
      </c>
      <c r="AE94" s="684">
        <f>IF(終値!A94="","",IF(AND(高値!I94&gt;高値!H94,高値!I94&gt;高値!G94,高値!I94&gt;高値!J94,高値!I94&gt;高値!K94),4,""))</f>
      </c>
      <c r="AF94" s="684">
        <f>IF(終値!A94="","",IF(AND(高値!J94&gt;高値!I94,高値!J94&gt;高値!H94,高値!J94&gt;高値!K94,高値!J94&gt;高値!L94),5,""))</f>
      </c>
      <c r="AG94" s="684">
        <f>IF(終値!A94="","",IF(AND(高値!K94&gt;高値!J94,高値!K94&gt;高値!I94,高値!K94&gt;高値!L94,高値!K94&gt;高値!M94),6,""))</f>
      </c>
      <c r="AH94" s="684">
        <f>IF(終値!A94="","",IF(AND(高値!L94&gt;高値!K94,高値!L94&gt;高値!J94,高値!L94&gt;高値!M94,高値!L94&gt;高値!N94),7,""))</f>
      </c>
      <c r="AI94" s="684">
        <f>IF(終値!A94="","",IF(AND(高値!M94&gt;高値!L94,高値!M94&gt;高値!K94,高値!M94&gt;高値!N94,高値!M94&gt;高値!O94),8,""))</f>
      </c>
      <c r="AJ94" s="684">
        <f>IF(終値!A94="","",IF(AND(高値!N94&gt;高値!M94,高値!N94&gt;高値!L94,高値!N94&gt;高値!O94,高値!N94&gt;高値!P94),9,""))</f>
      </c>
      <c r="AK94" s="684">
        <f>IF(終値!A94="","",IF(AND(高値!O94&gt;高値!N94,高値!O94&gt;高値!M94,高値!O94&gt;高値!P94,高値!O94&gt;高値!Q94),10,""))</f>
      </c>
      <c r="AL94" s="684">
        <f>IF(終値!A94="","",IF(AND(高値!P94&gt;高値!O94,高値!P94&gt;高値!N94,高値!P94&gt;高値!Q94,高値!P94&gt;高値!R94),11,""))</f>
      </c>
      <c r="AM94" s="684">
        <f>IF(終値!A94="","",IF(AND(高値!Q94&gt;高値!P94,高値!Q94&gt;高値!O94,高値!Q94&gt;高値!R94,高値!Q94&gt;高値!S94),12,""))</f>
      </c>
      <c r="AN94" s="684">
        <f>IF(終値!A94="","",IF(AND(高値!R94&gt;高値!Q94,高値!R94&gt;高値!P94,高値!R94&gt;高値!S94,高値!R94&gt;高値!T94),13,""))</f>
      </c>
      <c r="AO94" s="684">
        <f>IF(終値!A94="","",IF(AND(高値!S94&gt;高値!R94,高値!S94&gt;高値!Q94,高値!S94&gt;高値!T94,高値!S94&gt;高値!U94),14,""))</f>
      </c>
      <c r="AP94" s="684">
        <f>IF(終値!A94="","",IF(AND(高値!T94&gt;高値!S94,高値!T94&gt;高値!R94,高値!T94&gt;高値!U94,高値!T94&gt;高値!V94),15,""))</f>
      </c>
      <c r="AQ94" s="684">
        <f>IF(終値!A94="","",IF(AND(高値!U94&gt;高値!T94,高値!U94&gt;高値!S94,高値!U94&gt;高値!V94,高値!U94&gt;高値!W94),16,""))</f>
      </c>
      <c r="AR94" s="684">
        <f>IF(終値!A94="","",IF(AND(高値!V94&gt;高値!U94,高値!V94&gt;高値!T94,高値!V94&gt;高値!W94,高値!V94&gt;高値!X94),17,""))</f>
      </c>
      <c r="AS94" s="684">
        <f>IF(終値!A94="","",IF(AND(高値!W94&gt;高値!V94,高値!W94&gt;高値!U94,高値!W94&gt;高値!X94,高値!W94&gt;高値!Y94),18,""))</f>
      </c>
      <c r="AT94" s="684">
        <f>IF(終値!A94="","",IF(AND(高値!X94&gt;高値!W94,高値!X94&gt;高値!V94,高値!X94&gt;高値!Y94,高値!X94&gt;高値!Z94),19,""))</f>
      </c>
      <c r="AU94" s="684">
        <f>IF(終値!A94="","",IF(AND(高値!Y94&gt;高値!X94,高値!Y94&gt;高値!W94,高値!Y94&gt;高値!Z94,高値!Y94&gt;高値!AA94),20,""))</f>
      </c>
      <c r="AV94" s="684">
        <f>IF(終値!A94="","",IF(AND(高値!Z94&gt;高値!Y94,高値!Z94&gt;高値!X94,高値!Z94&gt;高値!AA94,高値!Z94&gt;高値!AB94),21,""))</f>
      </c>
      <c r="AW94" s="684">
        <f>IF(終値!A94="","",IF(AND(高値!AA94&gt;高値!Z94,高値!AA94&gt;高値!Y94,高値!AA94&gt;高値!AB94,高値!AA94&gt;高値!AC94),22,""))</f>
      </c>
      <c r="AX94" s="684">
        <f>IF(終値!A94="","",IF(AND(高値!AB94&gt;高値!AA94,高値!AB94&gt;高値!Z94,高値!AB94&gt;高値!AC94,高値!AB94&gt;高値!AD94),23,""))</f>
      </c>
      <c r="AY94" s="684">
        <f>IF(終値!A94="","",IF(AND(高値!AC94&gt;高値!AB94,高値!AC94&gt;高値!AA94,高値!AC94&gt;高値!AD94,高値!AC94&gt;高値!AE94),24,""))</f>
      </c>
      <c r="AZ94" s="684">
        <f>IF(終値!A94="","",IF(AND(高値!AD94&gt;高値!AC94,高値!AD94&gt;高値!AB94,高値!AD94&gt;高値!AE94,高値!AD94&gt;高値!AF94),25,""))</f>
      </c>
      <c r="BA94" s="684">
        <f>IF(終値!A94="","",IF(AND(高値!AE94&gt;高値!AD94,高値!AE94&gt;高値!AC94,高値!AE94&gt;高値!AF94,高値!AE94&gt;高値!AG94),26,""))</f>
      </c>
      <c r="BB94" s="684">
        <f>IF(終値!A94="","",IF(AND(高値!AF94&gt;高値!AE94,高値!AF94&gt;高値!AD94,高値!AF94&gt;高値!AG94,高値!AF94&gt;高値!AH94),27,""))</f>
      </c>
      <c r="BC94" s="684">
        <f>IF(終値!A94="","",IF(AND(高値!AG94&gt;高値!AF94,高値!AG94&gt;高値!AE94,高値!AG94&gt;高値!AH94,高値!AG94&gt;高値!AI94),28,""))</f>
      </c>
      <c r="BD94" s="684">
        <f>COUNT($B94:$AB94)</f>
      </c>
      <c r="BE94" s="684">
        <f>IF($BD94&gt;=2,MIN($B94:$AB94),"")</f>
      </c>
      <c r="BF94" s="684">
        <f>IF($BD94&gt;=2,SMALL($B94:$AB94,2),"")</f>
      </c>
      <c r="BG94" s="684">
        <f>IF($BE94="","",INDEX(安値!$E94:$CZ94,1,$BE94+1))</f>
      </c>
      <c r="BH94" s="684">
        <f>IF($BF94="","",INDEX(安値!$E94:$CZ94,1,$BF94+1))</f>
      </c>
      <c r="BI94" s="684">
        <f>IF($BF94="","",MAX(INDEX(高値!$E94:$CZ94,1,$BE94+1):INDEX(高値!$E94:$CZ94,1,$BF94+1)))</f>
      </c>
      <c r="BJ94" s="684">
        <f>IF($BF94="","",AVERAGE(INDEX(終値!$E94:$CZ94,1,$BF94+1):INDEX(終値!$E94:$CZ94,1,$BF94+20))-2*STDEVP(INDEX(終値!$E94:$CZ94,1,$BF94+1):INDEX(終値!$E94:$CZ94,1,$BF94+20)))</f>
      </c>
      <c r="BK94" s="684">
        <f>IF($BE94="","",AVERAGE(INDEX(終値!$E94:$CZ94,1,$BE94+1):INDEX(終値!$E94:$CZ94,1,$BE94+20))-2*STDEVP(INDEX(終値!$E94:$CZ94,1,$BE94+1):INDEX(終値!$E94:$CZ94,1,$BE94+20)))</f>
      </c>
      <c r="BL94" s="684">
        <f>COUNT($AC94:$BC94)</f>
      </c>
      <c r="BM94" s="684">
        <f>IF($BL94&gt;=2,MIN($AC94:$BC94),"")</f>
      </c>
      <c r="BN94" s="684">
        <f>IF($BL94&gt;=2,SMALL($AC94:$BC94,2),"")</f>
      </c>
      <c r="BO94" s="684">
        <f>IF($BM94="","",INDEX(高値!$E94:$CZ94,1,$BM94+1))</f>
      </c>
      <c r="BP94" s="684">
        <f>IF($BN94="","",INDEX(高値!$E94:$CZ94,1,$BN94+1))</f>
      </c>
      <c r="BQ94" s="684">
        <f>IF($BN94="","",MIN(INDEX(安値!$E94:$CZ94,1,$BM94+1):INDEX(安値!$E94:$CZ94,1,$BN94+1)))</f>
      </c>
      <c r="BR94" s="684">
        <f>IF($BN94="","",AVERAGE(INDEX(終値!$E94:$CZ94,1,$BN94+1):INDEX(終値!$E94:$CZ94,1,$BN94+20))+2*STDEVP(INDEX(終値!$E94:$CZ94,1,$BN94+1):INDEX(終値!$E94:$CZ94,1,$BN94+20)))</f>
      </c>
      <c r="BS94" s="684">
        <f>IF($BM94="","",AVERAGE(INDEX(終値!$E94:$CZ94,1,$BM94+1):INDEX(終値!$E94:$CZ94,1,$BM94+20))+2*STDEVP(INDEX(終値!$E94:$CZ94,1,$BM94+1):INDEX(終値!$E94:$CZ94,1,$BM94+20)))</f>
      </c>
      <c r="BT94" s="681">
        <f>IFERROR(IF(AND($BD94&gt;=2,ABS($BG94-$BH94)/$BH94&lt;=BB設定!$B$12,$BI94&gt;=MAX($BH94,$BG94)*(1+BB設定!$B$13),終値!E94&gt;$BG94),IF(OR(終値!E94&gt;=$BI94,AND($BH94&lt;$BJ94,$BG94&gt;=$BK94)),"二番底W▲","二番底W形成"),IF(AND($BL94&gt;=2,ABS($BO94-$BP94)/$BP94&lt;=BB設定!$B$12,$BQ94&lt;=MIN($BP94,$BO94)*(1-BB設定!$B$13),終値!E94&lt;$BO94),IF(OR(終値!E94&lt;=$BQ94,AND($BP94&gt;$BR94,$BO94&lt;=$BS94)),"二番天井M▼","二番天井M形成"),"－")),"－")</f>
      </c>
    </row>
    <row r="95">
      <c r="B95" s="684">
        <f>IF(終値!A95="","",IF(AND(安値!G95&lt;安値!F95,安値!G95&lt;安値!E95,安値!G95&lt;安値!H95,安値!G95&lt;安値!I95),2,""))</f>
      </c>
      <c r="C95" s="684">
        <f>IF(終値!A95="","",IF(AND(安値!H95&lt;安値!G95,安値!H95&lt;安値!F95,安値!H95&lt;安値!I95,安値!H95&lt;安値!J95),3,""))</f>
      </c>
      <c r="D95" s="684">
        <f>IF(終値!A95="","",IF(AND(安値!I95&lt;安値!H95,安値!I95&lt;安値!G95,安値!I95&lt;安値!J95,安値!I95&lt;安値!K95),4,""))</f>
      </c>
      <c r="E95" s="684">
        <f>IF(終値!A95="","",IF(AND(安値!J95&lt;安値!I95,安値!J95&lt;安値!H95,安値!J95&lt;安値!K95,安値!J95&lt;安値!L95),5,""))</f>
      </c>
      <c r="F95" s="684">
        <f>IF(終値!A95="","",IF(AND(安値!K95&lt;安値!J95,安値!K95&lt;安値!I95,安値!K95&lt;安値!L95,安値!K95&lt;安値!M95),6,""))</f>
      </c>
      <c r="G95" s="684">
        <f>IF(終値!A95="","",IF(AND(安値!L95&lt;安値!K95,安値!L95&lt;安値!J95,安値!L95&lt;安値!M95,安値!L95&lt;安値!N95),7,""))</f>
      </c>
      <c r="H95" s="684">
        <f>IF(終値!A95="","",IF(AND(安値!M95&lt;安値!L95,安値!M95&lt;安値!K95,安値!M95&lt;安値!N95,安値!M95&lt;安値!O95),8,""))</f>
      </c>
      <c r="I95" s="684">
        <f>IF(終値!A95="","",IF(AND(安値!N95&lt;安値!M95,安値!N95&lt;安値!L95,安値!N95&lt;安値!O95,安値!N95&lt;安値!P95),9,""))</f>
      </c>
      <c r="J95" s="684">
        <f>IF(終値!A95="","",IF(AND(安値!O95&lt;安値!N95,安値!O95&lt;安値!M95,安値!O95&lt;安値!P95,安値!O95&lt;安値!Q95),10,""))</f>
      </c>
      <c r="K95" s="684">
        <f>IF(終値!A95="","",IF(AND(安値!P95&lt;安値!O95,安値!P95&lt;安値!N95,安値!P95&lt;安値!Q95,安値!P95&lt;安値!R95),11,""))</f>
      </c>
      <c r="L95" s="684">
        <f>IF(終値!A95="","",IF(AND(安値!Q95&lt;安値!P95,安値!Q95&lt;安値!O95,安値!Q95&lt;安値!R95,安値!Q95&lt;安値!S95),12,""))</f>
      </c>
      <c r="M95" s="684">
        <f>IF(終値!A95="","",IF(AND(安値!R95&lt;安値!Q95,安値!R95&lt;安値!P95,安値!R95&lt;安値!S95,安値!R95&lt;安値!T95),13,""))</f>
      </c>
      <c r="N95" s="684">
        <f>IF(終値!A95="","",IF(AND(安値!S95&lt;安値!R95,安値!S95&lt;安値!Q95,安値!S95&lt;安値!T95,安値!S95&lt;安値!U95),14,""))</f>
      </c>
      <c r="O95" s="684">
        <f>IF(終値!A95="","",IF(AND(安値!T95&lt;安値!S95,安値!T95&lt;安値!R95,安値!T95&lt;安値!U95,安値!T95&lt;安値!V95),15,""))</f>
      </c>
      <c r="P95" s="684">
        <f>IF(終値!A95="","",IF(AND(安値!U95&lt;安値!T95,安値!U95&lt;安値!S95,安値!U95&lt;安値!V95,安値!U95&lt;安値!W95),16,""))</f>
      </c>
      <c r="Q95" s="684">
        <f>IF(終値!A95="","",IF(AND(安値!V95&lt;安値!U95,安値!V95&lt;安値!T95,安値!V95&lt;安値!W95,安値!V95&lt;安値!X95),17,""))</f>
      </c>
      <c r="R95" s="684">
        <f>IF(終値!A95="","",IF(AND(安値!W95&lt;安値!V95,安値!W95&lt;安値!U95,安値!W95&lt;安値!X95,安値!W95&lt;安値!Y95),18,""))</f>
      </c>
      <c r="S95" s="684">
        <f>IF(終値!A95="","",IF(AND(安値!X95&lt;安値!W95,安値!X95&lt;安値!V95,安値!X95&lt;安値!Y95,安値!X95&lt;安値!Z95),19,""))</f>
      </c>
      <c r="T95" s="684">
        <f>IF(終値!A95="","",IF(AND(安値!Y95&lt;安値!X95,安値!Y95&lt;安値!W95,安値!Y95&lt;安値!Z95,安値!Y95&lt;安値!AA95),20,""))</f>
      </c>
      <c r="U95" s="684">
        <f>IF(終値!A95="","",IF(AND(安値!Z95&lt;安値!Y95,安値!Z95&lt;安値!X95,安値!Z95&lt;安値!AA95,安値!Z95&lt;安値!AB95),21,""))</f>
      </c>
      <c r="V95" s="684">
        <f>IF(終値!A95="","",IF(AND(安値!AA95&lt;安値!Z95,安値!AA95&lt;安値!Y95,安値!AA95&lt;安値!AB95,安値!AA95&lt;安値!AC95),22,""))</f>
      </c>
      <c r="W95" s="684">
        <f>IF(終値!A95="","",IF(AND(安値!AB95&lt;安値!AA95,安値!AB95&lt;安値!Z95,安値!AB95&lt;安値!AC95,安値!AB95&lt;安値!AD95),23,""))</f>
      </c>
      <c r="X95" s="684">
        <f>IF(終値!A95="","",IF(AND(安値!AC95&lt;安値!AB95,安値!AC95&lt;安値!AA95,安値!AC95&lt;安値!AD95,安値!AC95&lt;安値!AE95),24,""))</f>
      </c>
      <c r="Y95" s="684">
        <f>IF(終値!A95="","",IF(AND(安値!AD95&lt;安値!AC95,安値!AD95&lt;安値!AB95,安値!AD95&lt;安値!AE95,安値!AD95&lt;安値!AF95),25,""))</f>
      </c>
      <c r="Z95" s="684">
        <f>IF(終値!A95="","",IF(AND(安値!AE95&lt;安値!AD95,安値!AE95&lt;安値!AC95,安値!AE95&lt;安値!AF95,安値!AE95&lt;安値!AG95),26,""))</f>
      </c>
      <c r="AA95" s="684">
        <f>IF(終値!A95="","",IF(AND(安値!AF95&lt;安値!AE95,安値!AF95&lt;安値!AD95,安値!AF95&lt;安値!AG95,安値!AF95&lt;安値!AH95),27,""))</f>
      </c>
      <c r="AB95" s="684">
        <f>IF(終値!A95="","",IF(AND(安値!AG95&lt;安値!AF95,安値!AG95&lt;安値!AE95,安値!AG95&lt;安値!AH95,安値!AG95&lt;安値!AI95),28,""))</f>
      </c>
      <c r="AC95" s="684">
        <f>IF(終値!A95="","",IF(AND(高値!G95&gt;高値!F95,高値!G95&gt;高値!E95,高値!G95&gt;高値!H95,高値!G95&gt;高値!I95),2,""))</f>
      </c>
      <c r="AD95" s="684">
        <f>IF(終値!A95="","",IF(AND(高値!H95&gt;高値!G95,高値!H95&gt;高値!F95,高値!H95&gt;高値!I95,高値!H95&gt;高値!J95),3,""))</f>
      </c>
      <c r="AE95" s="684">
        <f>IF(終値!A95="","",IF(AND(高値!I95&gt;高値!H95,高値!I95&gt;高値!G95,高値!I95&gt;高値!J95,高値!I95&gt;高値!K95),4,""))</f>
      </c>
      <c r="AF95" s="684">
        <f>IF(終値!A95="","",IF(AND(高値!J95&gt;高値!I95,高値!J95&gt;高値!H95,高値!J95&gt;高値!K95,高値!J95&gt;高値!L95),5,""))</f>
      </c>
      <c r="AG95" s="684">
        <f>IF(終値!A95="","",IF(AND(高値!K95&gt;高値!J95,高値!K95&gt;高値!I95,高値!K95&gt;高値!L95,高値!K95&gt;高値!M95),6,""))</f>
      </c>
      <c r="AH95" s="684">
        <f>IF(終値!A95="","",IF(AND(高値!L95&gt;高値!K95,高値!L95&gt;高値!J95,高値!L95&gt;高値!M95,高値!L95&gt;高値!N95),7,""))</f>
      </c>
      <c r="AI95" s="684">
        <f>IF(終値!A95="","",IF(AND(高値!M95&gt;高値!L95,高値!M95&gt;高値!K95,高値!M95&gt;高値!N95,高値!M95&gt;高値!O95),8,""))</f>
      </c>
      <c r="AJ95" s="684">
        <f>IF(終値!A95="","",IF(AND(高値!N95&gt;高値!M95,高値!N95&gt;高値!L95,高値!N95&gt;高値!O95,高値!N95&gt;高値!P95),9,""))</f>
      </c>
      <c r="AK95" s="684">
        <f>IF(終値!A95="","",IF(AND(高値!O95&gt;高値!N95,高値!O95&gt;高値!M95,高値!O95&gt;高値!P95,高値!O95&gt;高値!Q95),10,""))</f>
      </c>
      <c r="AL95" s="684">
        <f>IF(終値!A95="","",IF(AND(高値!P95&gt;高値!O95,高値!P95&gt;高値!N95,高値!P95&gt;高値!Q95,高値!P95&gt;高値!R95),11,""))</f>
      </c>
      <c r="AM95" s="684">
        <f>IF(終値!A95="","",IF(AND(高値!Q95&gt;高値!P95,高値!Q95&gt;高値!O95,高値!Q95&gt;高値!R95,高値!Q95&gt;高値!S95),12,""))</f>
      </c>
      <c r="AN95" s="684">
        <f>IF(終値!A95="","",IF(AND(高値!R95&gt;高値!Q95,高値!R95&gt;高値!P95,高値!R95&gt;高値!S95,高値!R95&gt;高値!T95),13,""))</f>
      </c>
      <c r="AO95" s="684">
        <f>IF(終値!A95="","",IF(AND(高値!S95&gt;高値!R95,高値!S95&gt;高値!Q95,高値!S95&gt;高値!T95,高値!S95&gt;高値!U95),14,""))</f>
      </c>
      <c r="AP95" s="684">
        <f>IF(終値!A95="","",IF(AND(高値!T95&gt;高値!S95,高値!T95&gt;高値!R95,高値!T95&gt;高値!U95,高値!T95&gt;高値!V95),15,""))</f>
      </c>
      <c r="AQ95" s="684">
        <f>IF(終値!A95="","",IF(AND(高値!U95&gt;高値!T95,高値!U95&gt;高値!S95,高値!U95&gt;高値!V95,高値!U95&gt;高値!W95),16,""))</f>
      </c>
      <c r="AR95" s="684">
        <f>IF(終値!A95="","",IF(AND(高値!V95&gt;高値!U95,高値!V95&gt;高値!T95,高値!V95&gt;高値!W95,高値!V95&gt;高値!X95),17,""))</f>
      </c>
      <c r="AS95" s="684">
        <f>IF(終値!A95="","",IF(AND(高値!W95&gt;高値!V95,高値!W95&gt;高値!U95,高値!W95&gt;高値!X95,高値!W95&gt;高値!Y95),18,""))</f>
      </c>
      <c r="AT95" s="684">
        <f>IF(終値!A95="","",IF(AND(高値!X95&gt;高値!W95,高値!X95&gt;高値!V95,高値!X95&gt;高値!Y95,高値!X95&gt;高値!Z95),19,""))</f>
      </c>
      <c r="AU95" s="684">
        <f>IF(終値!A95="","",IF(AND(高値!Y95&gt;高値!X95,高値!Y95&gt;高値!W95,高値!Y95&gt;高値!Z95,高値!Y95&gt;高値!AA95),20,""))</f>
      </c>
      <c r="AV95" s="684">
        <f>IF(終値!A95="","",IF(AND(高値!Z95&gt;高値!Y95,高値!Z95&gt;高値!X95,高値!Z95&gt;高値!AA95,高値!Z95&gt;高値!AB95),21,""))</f>
      </c>
      <c r="AW95" s="684">
        <f>IF(終値!A95="","",IF(AND(高値!AA95&gt;高値!Z95,高値!AA95&gt;高値!Y95,高値!AA95&gt;高値!AB95,高値!AA95&gt;高値!AC95),22,""))</f>
      </c>
      <c r="AX95" s="684">
        <f>IF(終値!A95="","",IF(AND(高値!AB95&gt;高値!AA95,高値!AB95&gt;高値!Z95,高値!AB95&gt;高値!AC95,高値!AB95&gt;高値!AD95),23,""))</f>
      </c>
      <c r="AY95" s="684">
        <f>IF(終値!A95="","",IF(AND(高値!AC95&gt;高値!AB95,高値!AC95&gt;高値!AA95,高値!AC95&gt;高値!AD95,高値!AC95&gt;高値!AE95),24,""))</f>
      </c>
      <c r="AZ95" s="684">
        <f>IF(終値!A95="","",IF(AND(高値!AD95&gt;高値!AC95,高値!AD95&gt;高値!AB95,高値!AD95&gt;高値!AE95,高値!AD95&gt;高値!AF95),25,""))</f>
      </c>
      <c r="BA95" s="684">
        <f>IF(終値!A95="","",IF(AND(高値!AE95&gt;高値!AD95,高値!AE95&gt;高値!AC95,高値!AE95&gt;高値!AF95,高値!AE95&gt;高値!AG95),26,""))</f>
      </c>
      <c r="BB95" s="684">
        <f>IF(終値!A95="","",IF(AND(高値!AF95&gt;高値!AE95,高値!AF95&gt;高値!AD95,高値!AF95&gt;高値!AG95,高値!AF95&gt;高値!AH95),27,""))</f>
      </c>
      <c r="BC95" s="684">
        <f>IF(終値!A95="","",IF(AND(高値!AG95&gt;高値!AF95,高値!AG95&gt;高値!AE95,高値!AG95&gt;高値!AH95,高値!AG95&gt;高値!AI95),28,""))</f>
      </c>
      <c r="BD95" s="684">
        <f>COUNT($B95:$AB95)</f>
      </c>
      <c r="BE95" s="684">
        <f>IF($BD95&gt;=2,MIN($B95:$AB95),"")</f>
      </c>
      <c r="BF95" s="684">
        <f>IF($BD95&gt;=2,SMALL($B95:$AB95,2),"")</f>
      </c>
      <c r="BG95" s="684">
        <f>IF($BE95="","",INDEX(安値!$E95:$CZ95,1,$BE95+1))</f>
      </c>
      <c r="BH95" s="684">
        <f>IF($BF95="","",INDEX(安値!$E95:$CZ95,1,$BF95+1))</f>
      </c>
      <c r="BI95" s="684">
        <f>IF($BF95="","",MAX(INDEX(高値!$E95:$CZ95,1,$BE95+1):INDEX(高値!$E95:$CZ95,1,$BF95+1)))</f>
      </c>
      <c r="BJ95" s="684">
        <f>IF($BF95="","",AVERAGE(INDEX(終値!$E95:$CZ95,1,$BF95+1):INDEX(終値!$E95:$CZ95,1,$BF95+20))-2*STDEVP(INDEX(終値!$E95:$CZ95,1,$BF95+1):INDEX(終値!$E95:$CZ95,1,$BF95+20)))</f>
      </c>
      <c r="BK95" s="684">
        <f>IF($BE95="","",AVERAGE(INDEX(終値!$E95:$CZ95,1,$BE95+1):INDEX(終値!$E95:$CZ95,1,$BE95+20))-2*STDEVP(INDEX(終値!$E95:$CZ95,1,$BE95+1):INDEX(終値!$E95:$CZ95,1,$BE95+20)))</f>
      </c>
      <c r="BL95" s="684">
        <f>COUNT($AC95:$BC95)</f>
      </c>
      <c r="BM95" s="684">
        <f>IF($BL95&gt;=2,MIN($AC95:$BC95),"")</f>
      </c>
      <c r="BN95" s="684">
        <f>IF($BL95&gt;=2,SMALL($AC95:$BC95,2),"")</f>
      </c>
      <c r="BO95" s="684">
        <f>IF($BM95="","",INDEX(高値!$E95:$CZ95,1,$BM95+1))</f>
      </c>
      <c r="BP95" s="684">
        <f>IF($BN95="","",INDEX(高値!$E95:$CZ95,1,$BN95+1))</f>
      </c>
      <c r="BQ95" s="684">
        <f>IF($BN95="","",MIN(INDEX(安値!$E95:$CZ95,1,$BM95+1):INDEX(安値!$E95:$CZ95,1,$BN95+1)))</f>
      </c>
      <c r="BR95" s="684">
        <f>IF($BN95="","",AVERAGE(INDEX(終値!$E95:$CZ95,1,$BN95+1):INDEX(終値!$E95:$CZ95,1,$BN95+20))+2*STDEVP(INDEX(終値!$E95:$CZ95,1,$BN95+1):INDEX(終値!$E95:$CZ95,1,$BN95+20)))</f>
      </c>
      <c r="BS95" s="684">
        <f>IF($BM95="","",AVERAGE(INDEX(終値!$E95:$CZ95,1,$BM95+1):INDEX(終値!$E95:$CZ95,1,$BM95+20))+2*STDEVP(INDEX(終値!$E95:$CZ95,1,$BM95+1):INDEX(終値!$E95:$CZ95,1,$BM95+20)))</f>
      </c>
      <c r="BT95" s="681">
        <f>IFERROR(IF(AND($BD95&gt;=2,ABS($BG95-$BH95)/$BH95&lt;=BB設定!$B$12,$BI95&gt;=MAX($BH95,$BG95)*(1+BB設定!$B$13),終値!E95&gt;$BG95),IF(OR(終値!E95&gt;=$BI95,AND($BH95&lt;$BJ95,$BG95&gt;=$BK95)),"二番底W▲","二番底W形成"),IF(AND($BL95&gt;=2,ABS($BO95-$BP95)/$BP95&lt;=BB設定!$B$12,$BQ95&lt;=MIN($BP95,$BO95)*(1-BB設定!$B$13),終値!E95&lt;$BO95),IF(OR(終値!E95&lt;=$BQ95,AND($BP95&gt;$BR95,$BO95&lt;=$BS95)),"二番天井M▼","二番天井M形成"),"－")),"－")</f>
      </c>
    </row>
    <row r="96">
      <c r="B96" s="684">
        <f>IF(終値!A96="","",IF(AND(安値!G96&lt;安値!F96,安値!G96&lt;安値!E96,安値!G96&lt;安値!H96,安値!G96&lt;安値!I96),2,""))</f>
      </c>
      <c r="C96" s="684">
        <f>IF(終値!A96="","",IF(AND(安値!H96&lt;安値!G96,安値!H96&lt;安値!F96,安値!H96&lt;安値!I96,安値!H96&lt;安値!J96),3,""))</f>
      </c>
      <c r="D96" s="684">
        <f>IF(終値!A96="","",IF(AND(安値!I96&lt;安値!H96,安値!I96&lt;安値!G96,安値!I96&lt;安値!J96,安値!I96&lt;安値!K96),4,""))</f>
      </c>
      <c r="E96" s="684">
        <f>IF(終値!A96="","",IF(AND(安値!J96&lt;安値!I96,安値!J96&lt;安値!H96,安値!J96&lt;安値!K96,安値!J96&lt;安値!L96),5,""))</f>
      </c>
      <c r="F96" s="684">
        <f>IF(終値!A96="","",IF(AND(安値!K96&lt;安値!J96,安値!K96&lt;安値!I96,安値!K96&lt;安値!L96,安値!K96&lt;安値!M96),6,""))</f>
      </c>
      <c r="G96" s="684">
        <f>IF(終値!A96="","",IF(AND(安値!L96&lt;安値!K96,安値!L96&lt;安値!J96,安値!L96&lt;安値!M96,安値!L96&lt;安値!N96),7,""))</f>
      </c>
      <c r="H96" s="684">
        <f>IF(終値!A96="","",IF(AND(安値!M96&lt;安値!L96,安値!M96&lt;安値!K96,安値!M96&lt;安値!N96,安値!M96&lt;安値!O96),8,""))</f>
      </c>
      <c r="I96" s="684">
        <f>IF(終値!A96="","",IF(AND(安値!N96&lt;安値!M96,安値!N96&lt;安値!L96,安値!N96&lt;安値!O96,安値!N96&lt;安値!P96),9,""))</f>
      </c>
      <c r="J96" s="684">
        <f>IF(終値!A96="","",IF(AND(安値!O96&lt;安値!N96,安値!O96&lt;安値!M96,安値!O96&lt;安値!P96,安値!O96&lt;安値!Q96),10,""))</f>
      </c>
      <c r="K96" s="684">
        <f>IF(終値!A96="","",IF(AND(安値!P96&lt;安値!O96,安値!P96&lt;安値!N96,安値!P96&lt;安値!Q96,安値!P96&lt;安値!R96),11,""))</f>
      </c>
      <c r="L96" s="684">
        <f>IF(終値!A96="","",IF(AND(安値!Q96&lt;安値!P96,安値!Q96&lt;安値!O96,安値!Q96&lt;安値!R96,安値!Q96&lt;安値!S96),12,""))</f>
      </c>
      <c r="M96" s="684">
        <f>IF(終値!A96="","",IF(AND(安値!R96&lt;安値!Q96,安値!R96&lt;安値!P96,安値!R96&lt;安値!S96,安値!R96&lt;安値!T96),13,""))</f>
      </c>
      <c r="N96" s="684">
        <f>IF(終値!A96="","",IF(AND(安値!S96&lt;安値!R96,安値!S96&lt;安値!Q96,安値!S96&lt;安値!T96,安値!S96&lt;安値!U96),14,""))</f>
      </c>
      <c r="O96" s="684">
        <f>IF(終値!A96="","",IF(AND(安値!T96&lt;安値!S96,安値!T96&lt;安値!R96,安値!T96&lt;安値!U96,安値!T96&lt;安値!V96),15,""))</f>
      </c>
      <c r="P96" s="684">
        <f>IF(終値!A96="","",IF(AND(安値!U96&lt;安値!T96,安値!U96&lt;安値!S96,安値!U96&lt;安値!V96,安値!U96&lt;安値!W96),16,""))</f>
      </c>
      <c r="Q96" s="684">
        <f>IF(終値!A96="","",IF(AND(安値!V96&lt;安値!U96,安値!V96&lt;安値!T96,安値!V96&lt;安値!W96,安値!V96&lt;安値!X96),17,""))</f>
      </c>
      <c r="R96" s="684">
        <f>IF(終値!A96="","",IF(AND(安値!W96&lt;安値!V96,安値!W96&lt;安値!U96,安値!W96&lt;安値!X96,安値!W96&lt;安値!Y96),18,""))</f>
      </c>
      <c r="S96" s="684">
        <f>IF(終値!A96="","",IF(AND(安値!X96&lt;安値!W96,安値!X96&lt;安値!V96,安値!X96&lt;安値!Y96,安値!X96&lt;安値!Z96),19,""))</f>
      </c>
      <c r="T96" s="684">
        <f>IF(終値!A96="","",IF(AND(安値!Y96&lt;安値!X96,安値!Y96&lt;安値!W96,安値!Y96&lt;安値!Z96,安値!Y96&lt;安値!AA96),20,""))</f>
      </c>
      <c r="U96" s="684">
        <f>IF(終値!A96="","",IF(AND(安値!Z96&lt;安値!Y96,安値!Z96&lt;安値!X96,安値!Z96&lt;安値!AA96,安値!Z96&lt;安値!AB96),21,""))</f>
      </c>
      <c r="V96" s="684">
        <f>IF(終値!A96="","",IF(AND(安値!AA96&lt;安値!Z96,安値!AA96&lt;安値!Y96,安値!AA96&lt;安値!AB96,安値!AA96&lt;安値!AC96),22,""))</f>
      </c>
      <c r="W96" s="684">
        <f>IF(終値!A96="","",IF(AND(安値!AB96&lt;安値!AA96,安値!AB96&lt;安値!Z96,安値!AB96&lt;安値!AC96,安値!AB96&lt;安値!AD96),23,""))</f>
      </c>
      <c r="X96" s="684">
        <f>IF(終値!A96="","",IF(AND(安値!AC96&lt;安値!AB96,安値!AC96&lt;安値!AA96,安値!AC96&lt;安値!AD96,安値!AC96&lt;安値!AE96),24,""))</f>
      </c>
      <c r="Y96" s="684">
        <f>IF(終値!A96="","",IF(AND(安値!AD96&lt;安値!AC96,安値!AD96&lt;安値!AB96,安値!AD96&lt;安値!AE96,安値!AD96&lt;安値!AF96),25,""))</f>
      </c>
      <c r="Z96" s="684">
        <f>IF(終値!A96="","",IF(AND(安値!AE96&lt;安値!AD96,安値!AE96&lt;安値!AC96,安値!AE96&lt;安値!AF96,安値!AE96&lt;安値!AG96),26,""))</f>
      </c>
      <c r="AA96" s="684">
        <f>IF(終値!A96="","",IF(AND(安値!AF96&lt;安値!AE96,安値!AF96&lt;安値!AD96,安値!AF96&lt;安値!AG96,安値!AF96&lt;安値!AH96),27,""))</f>
      </c>
      <c r="AB96" s="684">
        <f>IF(終値!A96="","",IF(AND(安値!AG96&lt;安値!AF96,安値!AG96&lt;安値!AE96,安値!AG96&lt;安値!AH96,安値!AG96&lt;安値!AI96),28,""))</f>
      </c>
      <c r="AC96" s="684">
        <f>IF(終値!A96="","",IF(AND(高値!G96&gt;高値!F96,高値!G96&gt;高値!E96,高値!G96&gt;高値!H96,高値!G96&gt;高値!I96),2,""))</f>
      </c>
      <c r="AD96" s="684">
        <f>IF(終値!A96="","",IF(AND(高値!H96&gt;高値!G96,高値!H96&gt;高値!F96,高値!H96&gt;高値!I96,高値!H96&gt;高値!J96),3,""))</f>
      </c>
      <c r="AE96" s="684">
        <f>IF(終値!A96="","",IF(AND(高値!I96&gt;高値!H96,高値!I96&gt;高値!G96,高値!I96&gt;高値!J96,高値!I96&gt;高値!K96),4,""))</f>
      </c>
      <c r="AF96" s="684">
        <f>IF(終値!A96="","",IF(AND(高値!J96&gt;高値!I96,高値!J96&gt;高値!H96,高値!J96&gt;高値!K96,高値!J96&gt;高値!L96),5,""))</f>
      </c>
      <c r="AG96" s="684">
        <f>IF(終値!A96="","",IF(AND(高値!K96&gt;高値!J96,高値!K96&gt;高値!I96,高値!K96&gt;高値!L96,高値!K96&gt;高値!M96),6,""))</f>
      </c>
      <c r="AH96" s="684">
        <f>IF(終値!A96="","",IF(AND(高値!L96&gt;高値!K96,高値!L96&gt;高値!J96,高値!L96&gt;高値!M96,高値!L96&gt;高値!N96),7,""))</f>
      </c>
      <c r="AI96" s="684">
        <f>IF(終値!A96="","",IF(AND(高値!M96&gt;高値!L96,高値!M96&gt;高値!K96,高値!M96&gt;高値!N96,高値!M96&gt;高値!O96),8,""))</f>
      </c>
      <c r="AJ96" s="684">
        <f>IF(終値!A96="","",IF(AND(高値!N96&gt;高値!M96,高値!N96&gt;高値!L96,高値!N96&gt;高値!O96,高値!N96&gt;高値!P96),9,""))</f>
      </c>
      <c r="AK96" s="684">
        <f>IF(終値!A96="","",IF(AND(高値!O96&gt;高値!N96,高値!O96&gt;高値!M96,高値!O96&gt;高値!P96,高値!O96&gt;高値!Q96),10,""))</f>
      </c>
      <c r="AL96" s="684">
        <f>IF(終値!A96="","",IF(AND(高値!P96&gt;高値!O96,高値!P96&gt;高値!N96,高値!P96&gt;高値!Q96,高値!P96&gt;高値!R96),11,""))</f>
      </c>
      <c r="AM96" s="684">
        <f>IF(終値!A96="","",IF(AND(高値!Q96&gt;高値!P96,高値!Q96&gt;高値!O96,高値!Q96&gt;高値!R96,高値!Q96&gt;高値!S96),12,""))</f>
      </c>
      <c r="AN96" s="684">
        <f>IF(終値!A96="","",IF(AND(高値!R96&gt;高値!Q96,高値!R96&gt;高値!P96,高値!R96&gt;高値!S96,高値!R96&gt;高値!T96),13,""))</f>
      </c>
      <c r="AO96" s="684">
        <f>IF(終値!A96="","",IF(AND(高値!S96&gt;高値!R96,高値!S96&gt;高値!Q96,高値!S96&gt;高値!T96,高値!S96&gt;高値!U96),14,""))</f>
      </c>
      <c r="AP96" s="684">
        <f>IF(終値!A96="","",IF(AND(高値!T96&gt;高値!S96,高値!T96&gt;高値!R96,高値!T96&gt;高値!U96,高値!T96&gt;高値!V96),15,""))</f>
      </c>
      <c r="AQ96" s="684">
        <f>IF(終値!A96="","",IF(AND(高値!U96&gt;高値!T96,高値!U96&gt;高値!S96,高値!U96&gt;高値!V96,高値!U96&gt;高値!W96),16,""))</f>
      </c>
      <c r="AR96" s="684">
        <f>IF(終値!A96="","",IF(AND(高値!V96&gt;高値!U96,高値!V96&gt;高値!T96,高値!V96&gt;高値!W96,高値!V96&gt;高値!X96),17,""))</f>
      </c>
      <c r="AS96" s="684">
        <f>IF(終値!A96="","",IF(AND(高値!W96&gt;高値!V96,高値!W96&gt;高値!U96,高値!W96&gt;高値!X96,高値!W96&gt;高値!Y96),18,""))</f>
      </c>
      <c r="AT96" s="684">
        <f>IF(終値!A96="","",IF(AND(高値!X96&gt;高値!W96,高値!X96&gt;高値!V96,高値!X96&gt;高値!Y96,高値!X96&gt;高値!Z96),19,""))</f>
      </c>
      <c r="AU96" s="684">
        <f>IF(終値!A96="","",IF(AND(高値!Y96&gt;高値!X96,高値!Y96&gt;高値!W96,高値!Y96&gt;高値!Z96,高値!Y96&gt;高値!AA96),20,""))</f>
      </c>
      <c r="AV96" s="684">
        <f>IF(終値!A96="","",IF(AND(高値!Z96&gt;高値!Y96,高値!Z96&gt;高値!X96,高値!Z96&gt;高値!AA96,高値!Z96&gt;高値!AB96),21,""))</f>
      </c>
      <c r="AW96" s="684">
        <f>IF(終値!A96="","",IF(AND(高値!AA96&gt;高値!Z96,高値!AA96&gt;高値!Y96,高値!AA96&gt;高値!AB96,高値!AA96&gt;高値!AC96),22,""))</f>
      </c>
      <c r="AX96" s="684">
        <f>IF(終値!A96="","",IF(AND(高値!AB96&gt;高値!AA96,高値!AB96&gt;高値!Z96,高値!AB96&gt;高値!AC96,高値!AB96&gt;高値!AD96),23,""))</f>
      </c>
      <c r="AY96" s="684">
        <f>IF(終値!A96="","",IF(AND(高値!AC96&gt;高値!AB96,高値!AC96&gt;高値!AA96,高値!AC96&gt;高値!AD96,高値!AC96&gt;高値!AE96),24,""))</f>
      </c>
      <c r="AZ96" s="684">
        <f>IF(終値!A96="","",IF(AND(高値!AD96&gt;高値!AC96,高値!AD96&gt;高値!AB96,高値!AD96&gt;高値!AE96,高値!AD96&gt;高値!AF96),25,""))</f>
      </c>
      <c r="BA96" s="684">
        <f>IF(終値!A96="","",IF(AND(高値!AE96&gt;高値!AD96,高値!AE96&gt;高値!AC96,高値!AE96&gt;高値!AF96,高値!AE96&gt;高値!AG96),26,""))</f>
      </c>
      <c r="BB96" s="684">
        <f>IF(終値!A96="","",IF(AND(高値!AF96&gt;高値!AE96,高値!AF96&gt;高値!AD96,高値!AF96&gt;高値!AG96,高値!AF96&gt;高値!AH96),27,""))</f>
      </c>
      <c r="BC96" s="684">
        <f>IF(終値!A96="","",IF(AND(高値!AG96&gt;高値!AF96,高値!AG96&gt;高値!AE96,高値!AG96&gt;高値!AH96,高値!AG96&gt;高値!AI96),28,""))</f>
      </c>
      <c r="BD96" s="684">
        <f>COUNT($B96:$AB96)</f>
      </c>
      <c r="BE96" s="684">
        <f>IF($BD96&gt;=2,MIN($B96:$AB96),"")</f>
      </c>
      <c r="BF96" s="684">
        <f>IF($BD96&gt;=2,SMALL($B96:$AB96,2),"")</f>
      </c>
      <c r="BG96" s="684">
        <f>IF($BE96="","",INDEX(安値!$E96:$CZ96,1,$BE96+1))</f>
      </c>
      <c r="BH96" s="684">
        <f>IF($BF96="","",INDEX(安値!$E96:$CZ96,1,$BF96+1))</f>
      </c>
      <c r="BI96" s="684">
        <f>IF($BF96="","",MAX(INDEX(高値!$E96:$CZ96,1,$BE96+1):INDEX(高値!$E96:$CZ96,1,$BF96+1)))</f>
      </c>
      <c r="BJ96" s="684">
        <f>IF($BF96="","",AVERAGE(INDEX(終値!$E96:$CZ96,1,$BF96+1):INDEX(終値!$E96:$CZ96,1,$BF96+20))-2*STDEVP(INDEX(終値!$E96:$CZ96,1,$BF96+1):INDEX(終値!$E96:$CZ96,1,$BF96+20)))</f>
      </c>
      <c r="BK96" s="684">
        <f>IF($BE96="","",AVERAGE(INDEX(終値!$E96:$CZ96,1,$BE96+1):INDEX(終値!$E96:$CZ96,1,$BE96+20))-2*STDEVP(INDEX(終値!$E96:$CZ96,1,$BE96+1):INDEX(終値!$E96:$CZ96,1,$BE96+20)))</f>
      </c>
      <c r="BL96" s="684">
        <f>COUNT($AC96:$BC96)</f>
      </c>
      <c r="BM96" s="684">
        <f>IF($BL96&gt;=2,MIN($AC96:$BC96),"")</f>
      </c>
      <c r="BN96" s="684">
        <f>IF($BL96&gt;=2,SMALL($AC96:$BC96,2),"")</f>
      </c>
      <c r="BO96" s="684">
        <f>IF($BM96="","",INDEX(高値!$E96:$CZ96,1,$BM96+1))</f>
      </c>
      <c r="BP96" s="684">
        <f>IF($BN96="","",INDEX(高値!$E96:$CZ96,1,$BN96+1))</f>
      </c>
      <c r="BQ96" s="684">
        <f>IF($BN96="","",MIN(INDEX(安値!$E96:$CZ96,1,$BM96+1):INDEX(安値!$E96:$CZ96,1,$BN96+1)))</f>
      </c>
      <c r="BR96" s="684">
        <f>IF($BN96="","",AVERAGE(INDEX(終値!$E96:$CZ96,1,$BN96+1):INDEX(終値!$E96:$CZ96,1,$BN96+20))+2*STDEVP(INDEX(終値!$E96:$CZ96,1,$BN96+1):INDEX(終値!$E96:$CZ96,1,$BN96+20)))</f>
      </c>
      <c r="BS96" s="684">
        <f>IF($BM96="","",AVERAGE(INDEX(終値!$E96:$CZ96,1,$BM96+1):INDEX(終値!$E96:$CZ96,1,$BM96+20))+2*STDEVP(INDEX(終値!$E96:$CZ96,1,$BM96+1):INDEX(終値!$E96:$CZ96,1,$BM96+20)))</f>
      </c>
      <c r="BT96" s="681">
        <f>IFERROR(IF(AND($BD96&gt;=2,ABS($BG96-$BH96)/$BH96&lt;=BB設定!$B$12,$BI96&gt;=MAX($BH96,$BG96)*(1+BB設定!$B$13),終値!E96&gt;$BG96),IF(OR(終値!E96&gt;=$BI96,AND($BH96&lt;$BJ96,$BG96&gt;=$BK96)),"二番底W▲","二番底W形成"),IF(AND($BL96&gt;=2,ABS($BO96-$BP96)/$BP96&lt;=BB設定!$B$12,$BQ96&lt;=MIN($BP96,$BO96)*(1-BB設定!$B$13),終値!E96&lt;$BO96),IF(OR(終値!E96&lt;=$BQ96,AND($BP96&gt;$BR96,$BO96&lt;=$BS96)),"二番天井M▼","二番天井M形成"),"－")),"－")</f>
      </c>
    </row>
    <row r="97">
      <c r="B97" s="684">
        <f>IF(終値!A97="","",IF(AND(安値!G97&lt;安値!F97,安値!G97&lt;安値!E97,安値!G97&lt;安値!H97,安値!G97&lt;安値!I97),2,""))</f>
      </c>
      <c r="C97" s="684">
        <f>IF(終値!A97="","",IF(AND(安値!H97&lt;安値!G97,安値!H97&lt;安値!F97,安値!H97&lt;安値!I97,安値!H97&lt;安値!J97),3,""))</f>
      </c>
      <c r="D97" s="684">
        <f>IF(終値!A97="","",IF(AND(安値!I97&lt;安値!H97,安値!I97&lt;安値!G97,安値!I97&lt;安値!J97,安値!I97&lt;安値!K97),4,""))</f>
      </c>
      <c r="E97" s="684">
        <f>IF(終値!A97="","",IF(AND(安値!J97&lt;安値!I97,安値!J97&lt;安値!H97,安値!J97&lt;安値!K97,安値!J97&lt;安値!L97),5,""))</f>
      </c>
      <c r="F97" s="684">
        <f>IF(終値!A97="","",IF(AND(安値!K97&lt;安値!J97,安値!K97&lt;安値!I97,安値!K97&lt;安値!L97,安値!K97&lt;安値!M97),6,""))</f>
      </c>
      <c r="G97" s="684">
        <f>IF(終値!A97="","",IF(AND(安値!L97&lt;安値!K97,安値!L97&lt;安値!J97,安値!L97&lt;安値!M97,安値!L97&lt;安値!N97),7,""))</f>
      </c>
      <c r="H97" s="684">
        <f>IF(終値!A97="","",IF(AND(安値!M97&lt;安値!L97,安値!M97&lt;安値!K97,安値!M97&lt;安値!N97,安値!M97&lt;安値!O97),8,""))</f>
      </c>
      <c r="I97" s="684">
        <f>IF(終値!A97="","",IF(AND(安値!N97&lt;安値!M97,安値!N97&lt;安値!L97,安値!N97&lt;安値!O97,安値!N97&lt;安値!P97),9,""))</f>
      </c>
      <c r="J97" s="684">
        <f>IF(終値!A97="","",IF(AND(安値!O97&lt;安値!N97,安値!O97&lt;安値!M97,安値!O97&lt;安値!P97,安値!O97&lt;安値!Q97),10,""))</f>
      </c>
      <c r="K97" s="684">
        <f>IF(終値!A97="","",IF(AND(安値!P97&lt;安値!O97,安値!P97&lt;安値!N97,安値!P97&lt;安値!Q97,安値!P97&lt;安値!R97),11,""))</f>
      </c>
      <c r="L97" s="684">
        <f>IF(終値!A97="","",IF(AND(安値!Q97&lt;安値!P97,安値!Q97&lt;安値!O97,安値!Q97&lt;安値!R97,安値!Q97&lt;安値!S97),12,""))</f>
      </c>
      <c r="M97" s="684">
        <f>IF(終値!A97="","",IF(AND(安値!R97&lt;安値!Q97,安値!R97&lt;安値!P97,安値!R97&lt;安値!S97,安値!R97&lt;安値!T97),13,""))</f>
      </c>
      <c r="N97" s="684">
        <f>IF(終値!A97="","",IF(AND(安値!S97&lt;安値!R97,安値!S97&lt;安値!Q97,安値!S97&lt;安値!T97,安値!S97&lt;安値!U97),14,""))</f>
      </c>
      <c r="O97" s="684">
        <f>IF(終値!A97="","",IF(AND(安値!T97&lt;安値!S97,安値!T97&lt;安値!R97,安値!T97&lt;安値!U97,安値!T97&lt;安値!V97),15,""))</f>
      </c>
      <c r="P97" s="684">
        <f>IF(終値!A97="","",IF(AND(安値!U97&lt;安値!T97,安値!U97&lt;安値!S97,安値!U97&lt;安値!V97,安値!U97&lt;安値!W97),16,""))</f>
      </c>
      <c r="Q97" s="684">
        <f>IF(終値!A97="","",IF(AND(安値!V97&lt;安値!U97,安値!V97&lt;安値!T97,安値!V97&lt;安値!W97,安値!V97&lt;安値!X97),17,""))</f>
      </c>
      <c r="R97" s="684">
        <f>IF(終値!A97="","",IF(AND(安値!W97&lt;安値!V97,安値!W97&lt;安値!U97,安値!W97&lt;安値!X97,安値!W97&lt;安値!Y97),18,""))</f>
      </c>
      <c r="S97" s="684">
        <f>IF(終値!A97="","",IF(AND(安値!X97&lt;安値!W97,安値!X97&lt;安値!V97,安値!X97&lt;安値!Y97,安値!X97&lt;安値!Z97),19,""))</f>
      </c>
      <c r="T97" s="684">
        <f>IF(終値!A97="","",IF(AND(安値!Y97&lt;安値!X97,安値!Y97&lt;安値!W97,安値!Y97&lt;安値!Z97,安値!Y97&lt;安値!AA97),20,""))</f>
      </c>
      <c r="U97" s="684">
        <f>IF(終値!A97="","",IF(AND(安値!Z97&lt;安値!Y97,安値!Z97&lt;安値!X97,安値!Z97&lt;安値!AA97,安値!Z97&lt;安値!AB97),21,""))</f>
      </c>
      <c r="V97" s="684">
        <f>IF(終値!A97="","",IF(AND(安値!AA97&lt;安値!Z97,安値!AA97&lt;安値!Y97,安値!AA97&lt;安値!AB97,安値!AA97&lt;安値!AC97),22,""))</f>
      </c>
      <c r="W97" s="684">
        <f>IF(終値!A97="","",IF(AND(安値!AB97&lt;安値!AA97,安値!AB97&lt;安値!Z97,安値!AB97&lt;安値!AC97,安値!AB97&lt;安値!AD97),23,""))</f>
      </c>
      <c r="X97" s="684">
        <f>IF(終値!A97="","",IF(AND(安値!AC97&lt;安値!AB97,安値!AC97&lt;安値!AA97,安値!AC97&lt;安値!AD97,安値!AC97&lt;安値!AE97),24,""))</f>
      </c>
      <c r="Y97" s="684">
        <f>IF(終値!A97="","",IF(AND(安値!AD97&lt;安値!AC97,安値!AD97&lt;安値!AB97,安値!AD97&lt;安値!AE97,安値!AD97&lt;安値!AF97),25,""))</f>
      </c>
      <c r="Z97" s="684">
        <f>IF(終値!A97="","",IF(AND(安値!AE97&lt;安値!AD97,安値!AE97&lt;安値!AC97,安値!AE97&lt;安値!AF97,安値!AE97&lt;安値!AG97),26,""))</f>
      </c>
      <c r="AA97" s="684">
        <f>IF(終値!A97="","",IF(AND(安値!AF97&lt;安値!AE97,安値!AF97&lt;安値!AD97,安値!AF97&lt;安値!AG97,安値!AF97&lt;安値!AH97),27,""))</f>
      </c>
      <c r="AB97" s="684">
        <f>IF(終値!A97="","",IF(AND(安値!AG97&lt;安値!AF97,安値!AG97&lt;安値!AE97,安値!AG97&lt;安値!AH97,安値!AG97&lt;安値!AI97),28,""))</f>
      </c>
      <c r="AC97" s="684">
        <f>IF(終値!A97="","",IF(AND(高値!G97&gt;高値!F97,高値!G97&gt;高値!E97,高値!G97&gt;高値!H97,高値!G97&gt;高値!I97),2,""))</f>
      </c>
      <c r="AD97" s="684">
        <f>IF(終値!A97="","",IF(AND(高値!H97&gt;高値!G97,高値!H97&gt;高値!F97,高値!H97&gt;高値!I97,高値!H97&gt;高値!J97),3,""))</f>
      </c>
      <c r="AE97" s="684">
        <f>IF(終値!A97="","",IF(AND(高値!I97&gt;高値!H97,高値!I97&gt;高値!G97,高値!I97&gt;高値!J97,高値!I97&gt;高値!K97),4,""))</f>
      </c>
      <c r="AF97" s="684">
        <f>IF(終値!A97="","",IF(AND(高値!J97&gt;高値!I97,高値!J97&gt;高値!H97,高値!J97&gt;高値!K97,高値!J97&gt;高値!L97),5,""))</f>
      </c>
      <c r="AG97" s="684">
        <f>IF(終値!A97="","",IF(AND(高値!K97&gt;高値!J97,高値!K97&gt;高値!I97,高値!K97&gt;高値!L97,高値!K97&gt;高値!M97),6,""))</f>
      </c>
      <c r="AH97" s="684">
        <f>IF(終値!A97="","",IF(AND(高値!L97&gt;高値!K97,高値!L97&gt;高値!J97,高値!L97&gt;高値!M97,高値!L97&gt;高値!N97),7,""))</f>
      </c>
      <c r="AI97" s="684">
        <f>IF(終値!A97="","",IF(AND(高値!M97&gt;高値!L97,高値!M97&gt;高値!K97,高値!M97&gt;高値!N97,高値!M97&gt;高値!O97),8,""))</f>
      </c>
      <c r="AJ97" s="684">
        <f>IF(終値!A97="","",IF(AND(高値!N97&gt;高値!M97,高値!N97&gt;高値!L97,高値!N97&gt;高値!O97,高値!N97&gt;高値!P97),9,""))</f>
      </c>
      <c r="AK97" s="684">
        <f>IF(終値!A97="","",IF(AND(高値!O97&gt;高値!N97,高値!O97&gt;高値!M97,高値!O97&gt;高値!P97,高値!O97&gt;高値!Q97),10,""))</f>
      </c>
      <c r="AL97" s="684">
        <f>IF(終値!A97="","",IF(AND(高値!P97&gt;高値!O97,高値!P97&gt;高値!N97,高値!P97&gt;高値!Q97,高値!P97&gt;高値!R97),11,""))</f>
      </c>
      <c r="AM97" s="684">
        <f>IF(終値!A97="","",IF(AND(高値!Q97&gt;高値!P97,高値!Q97&gt;高値!O97,高値!Q97&gt;高値!R97,高値!Q97&gt;高値!S97),12,""))</f>
      </c>
      <c r="AN97" s="684">
        <f>IF(終値!A97="","",IF(AND(高値!R97&gt;高値!Q97,高値!R97&gt;高値!P97,高値!R97&gt;高値!S97,高値!R97&gt;高値!T97),13,""))</f>
      </c>
      <c r="AO97" s="684">
        <f>IF(終値!A97="","",IF(AND(高値!S97&gt;高値!R97,高値!S97&gt;高値!Q97,高値!S97&gt;高値!T97,高値!S97&gt;高値!U97),14,""))</f>
      </c>
      <c r="AP97" s="684">
        <f>IF(終値!A97="","",IF(AND(高値!T97&gt;高値!S97,高値!T97&gt;高値!R97,高値!T97&gt;高値!U97,高値!T97&gt;高値!V97),15,""))</f>
      </c>
      <c r="AQ97" s="684">
        <f>IF(終値!A97="","",IF(AND(高値!U97&gt;高値!T97,高値!U97&gt;高値!S97,高値!U97&gt;高値!V97,高値!U97&gt;高値!W97),16,""))</f>
      </c>
      <c r="AR97" s="684">
        <f>IF(終値!A97="","",IF(AND(高値!V97&gt;高値!U97,高値!V97&gt;高値!T97,高値!V97&gt;高値!W97,高値!V97&gt;高値!X97),17,""))</f>
      </c>
      <c r="AS97" s="684">
        <f>IF(終値!A97="","",IF(AND(高値!W97&gt;高値!V97,高値!W97&gt;高値!U97,高値!W97&gt;高値!X97,高値!W97&gt;高値!Y97),18,""))</f>
      </c>
      <c r="AT97" s="684">
        <f>IF(終値!A97="","",IF(AND(高値!X97&gt;高値!W97,高値!X97&gt;高値!V97,高値!X97&gt;高値!Y97,高値!X97&gt;高値!Z97),19,""))</f>
      </c>
      <c r="AU97" s="684">
        <f>IF(終値!A97="","",IF(AND(高値!Y97&gt;高値!X97,高値!Y97&gt;高値!W97,高値!Y97&gt;高値!Z97,高値!Y97&gt;高値!AA97),20,""))</f>
      </c>
      <c r="AV97" s="684">
        <f>IF(終値!A97="","",IF(AND(高値!Z97&gt;高値!Y97,高値!Z97&gt;高値!X97,高値!Z97&gt;高値!AA97,高値!Z97&gt;高値!AB97),21,""))</f>
      </c>
      <c r="AW97" s="684">
        <f>IF(終値!A97="","",IF(AND(高値!AA97&gt;高値!Z97,高値!AA97&gt;高値!Y97,高値!AA97&gt;高値!AB97,高値!AA97&gt;高値!AC97),22,""))</f>
      </c>
      <c r="AX97" s="684">
        <f>IF(終値!A97="","",IF(AND(高値!AB97&gt;高値!AA97,高値!AB97&gt;高値!Z97,高値!AB97&gt;高値!AC97,高値!AB97&gt;高値!AD97),23,""))</f>
      </c>
      <c r="AY97" s="684">
        <f>IF(終値!A97="","",IF(AND(高値!AC97&gt;高値!AB97,高値!AC97&gt;高値!AA97,高値!AC97&gt;高値!AD97,高値!AC97&gt;高値!AE97),24,""))</f>
      </c>
      <c r="AZ97" s="684">
        <f>IF(終値!A97="","",IF(AND(高値!AD97&gt;高値!AC97,高値!AD97&gt;高値!AB97,高値!AD97&gt;高値!AE97,高値!AD97&gt;高値!AF97),25,""))</f>
      </c>
      <c r="BA97" s="684">
        <f>IF(終値!A97="","",IF(AND(高値!AE97&gt;高値!AD97,高値!AE97&gt;高値!AC97,高値!AE97&gt;高値!AF97,高値!AE97&gt;高値!AG97),26,""))</f>
      </c>
      <c r="BB97" s="684">
        <f>IF(終値!A97="","",IF(AND(高値!AF97&gt;高値!AE97,高値!AF97&gt;高値!AD97,高値!AF97&gt;高値!AG97,高値!AF97&gt;高値!AH97),27,""))</f>
      </c>
      <c r="BC97" s="684">
        <f>IF(終値!A97="","",IF(AND(高値!AG97&gt;高値!AF97,高値!AG97&gt;高値!AE97,高値!AG97&gt;高値!AH97,高値!AG97&gt;高値!AI97),28,""))</f>
      </c>
      <c r="BD97" s="684">
        <f>COUNT($B97:$AB97)</f>
      </c>
      <c r="BE97" s="684">
        <f>IF($BD97&gt;=2,MIN($B97:$AB97),"")</f>
      </c>
      <c r="BF97" s="684">
        <f>IF($BD97&gt;=2,SMALL($B97:$AB97,2),"")</f>
      </c>
      <c r="BG97" s="684">
        <f>IF($BE97="","",INDEX(安値!$E97:$CZ97,1,$BE97+1))</f>
      </c>
      <c r="BH97" s="684">
        <f>IF($BF97="","",INDEX(安値!$E97:$CZ97,1,$BF97+1))</f>
      </c>
      <c r="BI97" s="684">
        <f>IF($BF97="","",MAX(INDEX(高値!$E97:$CZ97,1,$BE97+1):INDEX(高値!$E97:$CZ97,1,$BF97+1)))</f>
      </c>
      <c r="BJ97" s="684">
        <f>IF($BF97="","",AVERAGE(INDEX(終値!$E97:$CZ97,1,$BF97+1):INDEX(終値!$E97:$CZ97,1,$BF97+20))-2*STDEVP(INDEX(終値!$E97:$CZ97,1,$BF97+1):INDEX(終値!$E97:$CZ97,1,$BF97+20)))</f>
      </c>
      <c r="BK97" s="684">
        <f>IF($BE97="","",AVERAGE(INDEX(終値!$E97:$CZ97,1,$BE97+1):INDEX(終値!$E97:$CZ97,1,$BE97+20))-2*STDEVP(INDEX(終値!$E97:$CZ97,1,$BE97+1):INDEX(終値!$E97:$CZ97,1,$BE97+20)))</f>
      </c>
      <c r="BL97" s="684">
        <f>COUNT($AC97:$BC97)</f>
      </c>
      <c r="BM97" s="684">
        <f>IF($BL97&gt;=2,MIN($AC97:$BC97),"")</f>
      </c>
      <c r="BN97" s="684">
        <f>IF($BL97&gt;=2,SMALL($AC97:$BC97,2),"")</f>
      </c>
      <c r="BO97" s="684">
        <f>IF($BM97="","",INDEX(高値!$E97:$CZ97,1,$BM97+1))</f>
      </c>
      <c r="BP97" s="684">
        <f>IF($BN97="","",INDEX(高値!$E97:$CZ97,1,$BN97+1))</f>
      </c>
      <c r="BQ97" s="684">
        <f>IF($BN97="","",MIN(INDEX(安値!$E97:$CZ97,1,$BM97+1):INDEX(安値!$E97:$CZ97,1,$BN97+1)))</f>
      </c>
      <c r="BR97" s="684">
        <f>IF($BN97="","",AVERAGE(INDEX(終値!$E97:$CZ97,1,$BN97+1):INDEX(終値!$E97:$CZ97,1,$BN97+20))+2*STDEVP(INDEX(終値!$E97:$CZ97,1,$BN97+1):INDEX(終値!$E97:$CZ97,1,$BN97+20)))</f>
      </c>
      <c r="BS97" s="684">
        <f>IF($BM97="","",AVERAGE(INDEX(終値!$E97:$CZ97,1,$BM97+1):INDEX(終値!$E97:$CZ97,1,$BM97+20))+2*STDEVP(INDEX(終値!$E97:$CZ97,1,$BM97+1):INDEX(終値!$E97:$CZ97,1,$BM97+20)))</f>
      </c>
      <c r="BT97" s="681">
        <f>IFERROR(IF(AND($BD97&gt;=2,ABS($BG97-$BH97)/$BH97&lt;=BB設定!$B$12,$BI97&gt;=MAX($BH97,$BG97)*(1+BB設定!$B$13),終値!E97&gt;$BG97),IF(OR(終値!E97&gt;=$BI97,AND($BH97&lt;$BJ97,$BG97&gt;=$BK97)),"二番底W▲","二番底W形成"),IF(AND($BL97&gt;=2,ABS($BO97-$BP97)/$BP97&lt;=BB設定!$B$12,$BQ97&lt;=MIN($BP97,$BO97)*(1-BB設定!$B$13),終値!E97&lt;$BO97),IF(OR(終値!E97&lt;=$BQ97,AND($BP97&gt;$BR97,$BO97&lt;=$BS97)),"二番天井M▼","二番天井M形成"),"－")),"－")</f>
      </c>
    </row>
    <row r="98">
      <c r="B98" s="684">
        <f>IF(終値!A98="","",IF(AND(安値!G98&lt;安値!F98,安値!G98&lt;安値!E98,安値!G98&lt;安値!H98,安値!G98&lt;安値!I98),2,""))</f>
      </c>
      <c r="C98" s="684">
        <f>IF(終値!A98="","",IF(AND(安値!H98&lt;安値!G98,安値!H98&lt;安値!F98,安値!H98&lt;安値!I98,安値!H98&lt;安値!J98),3,""))</f>
      </c>
      <c r="D98" s="684">
        <f>IF(終値!A98="","",IF(AND(安値!I98&lt;安値!H98,安値!I98&lt;安値!G98,安値!I98&lt;安値!J98,安値!I98&lt;安値!K98),4,""))</f>
      </c>
      <c r="E98" s="684">
        <f>IF(終値!A98="","",IF(AND(安値!J98&lt;安値!I98,安値!J98&lt;安値!H98,安値!J98&lt;安値!K98,安値!J98&lt;安値!L98),5,""))</f>
      </c>
      <c r="F98" s="684">
        <f>IF(終値!A98="","",IF(AND(安値!K98&lt;安値!J98,安値!K98&lt;安値!I98,安値!K98&lt;安値!L98,安値!K98&lt;安値!M98),6,""))</f>
      </c>
      <c r="G98" s="684">
        <f>IF(終値!A98="","",IF(AND(安値!L98&lt;安値!K98,安値!L98&lt;安値!J98,安値!L98&lt;安値!M98,安値!L98&lt;安値!N98),7,""))</f>
      </c>
      <c r="H98" s="684">
        <f>IF(終値!A98="","",IF(AND(安値!M98&lt;安値!L98,安値!M98&lt;安値!K98,安値!M98&lt;安値!N98,安値!M98&lt;安値!O98),8,""))</f>
      </c>
      <c r="I98" s="684">
        <f>IF(終値!A98="","",IF(AND(安値!N98&lt;安値!M98,安値!N98&lt;安値!L98,安値!N98&lt;安値!O98,安値!N98&lt;安値!P98),9,""))</f>
      </c>
      <c r="J98" s="684">
        <f>IF(終値!A98="","",IF(AND(安値!O98&lt;安値!N98,安値!O98&lt;安値!M98,安値!O98&lt;安値!P98,安値!O98&lt;安値!Q98),10,""))</f>
      </c>
      <c r="K98" s="684">
        <f>IF(終値!A98="","",IF(AND(安値!P98&lt;安値!O98,安値!P98&lt;安値!N98,安値!P98&lt;安値!Q98,安値!P98&lt;安値!R98),11,""))</f>
      </c>
      <c r="L98" s="684">
        <f>IF(終値!A98="","",IF(AND(安値!Q98&lt;安値!P98,安値!Q98&lt;安値!O98,安値!Q98&lt;安値!R98,安値!Q98&lt;安値!S98),12,""))</f>
      </c>
      <c r="M98" s="684">
        <f>IF(終値!A98="","",IF(AND(安値!R98&lt;安値!Q98,安値!R98&lt;安値!P98,安値!R98&lt;安値!S98,安値!R98&lt;安値!T98),13,""))</f>
      </c>
      <c r="N98" s="684">
        <f>IF(終値!A98="","",IF(AND(安値!S98&lt;安値!R98,安値!S98&lt;安値!Q98,安値!S98&lt;安値!T98,安値!S98&lt;安値!U98),14,""))</f>
      </c>
      <c r="O98" s="684">
        <f>IF(終値!A98="","",IF(AND(安値!T98&lt;安値!S98,安値!T98&lt;安値!R98,安値!T98&lt;安値!U98,安値!T98&lt;安値!V98),15,""))</f>
      </c>
      <c r="P98" s="684">
        <f>IF(終値!A98="","",IF(AND(安値!U98&lt;安値!T98,安値!U98&lt;安値!S98,安値!U98&lt;安値!V98,安値!U98&lt;安値!W98),16,""))</f>
      </c>
      <c r="Q98" s="684">
        <f>IF(終値!A98="","",IF(AND(安値!V98&lt;安値!U98,安値!V98&lt;安値!T98,安値!V98&lt;安値!W98,安値!V98&lt;安値!X98),17,""))</f>
      </c>
      <c r="R98" s="684">
        <f>IF(終値!A98="","",IF(AND(安値!W98&lt;安値!V98,安値!W98&lt;安値!U98,安値!W98&lt;安値!X98,安値!W98&lt;安値!Y98),18,""))</f>
      </c>
      <c r="S98" s="684">
        <f>IF(終値!A98="","",IF(AND(安値!X98&lt;安値!W98,安値!X98&lt;安値!V98,安値!X98&lt;安値!Y98,安値!X98&lt;安値!Z98),19,""))</f>
      </c>
      <c r="T98" s="684">
        <f>IF(終値!A98="","",IF(AND(安値!Y98&lt;安値!X98,安値!Y98&lt;安値!W98,安値!Y98&lt;安値!Z98,安値!Y98&lt;安値!AA98),20,""))</f>
      </c>
      <c r="U98" s="684">
        <f>IF(終値!A98="","",IF(AND(安値!Z98&lt;安値!Y98,安値!Z98&lt;安値!X98,安値!Z98&lt;安値!AA98,安値!Z98&lt;安値!AB98),21,""))</f>
      </c>
      <c r="V98" s="684">
        <f>IF(終値!A98="","",IF(AND(安値!AA98&lt;安値!Z98,安値!AA98&lt;安値!Y98,安値!AA98&lt;安値!AB98,安値!AA98&lt;安値!AC98),22,""))</f>
      </c>
      <c r="W98" s="684">
        <f>IF(終値!A98="","",IF(AND(安値!AB98&lt;安値!AA98,安値!AB98&lt;安値!Z98,安値!AB98&lt;安値!AC98,安値!AB98&lt;安値!AD98),23,""))</f>
      </c>
      <c r="X98" s="684">
        <f>IF(終値!A98="","",IF(AND(安値!AC98&lt;安値!AB98,安値!AC98&lt;安値!AA98,安値!AC98&lt;安値!AD98,安値!AC98&lt;安値!AE98),24,""))</f>
      </c>
      <c r="Y98" s="684">
        <f>IF(終値!A98="","",IF(AND(安値!AD98&lt;安値!AC98,安値!AD98&lt;安値!AB98,安値!AD98&lt;安値!AE98,安値!AD98&lt;安値!AF98),25,""))</f>
      </c>
      <c r="Z98" s="684">
        <f>IF(終値!A98="","",IF(AND(安値!AE98&lt;安値!AD98,安値!AE98&lt;安値!AC98,安値!AE98&lt;安値!AF98,安値!AE98&lt;安値!AG98),26,""))</f>
      </c>
      <c r="AA98" s="684">
        <f>IF(終値!A98="","",IF(AND(安値!AF98&lt;安値!AE98,安値!AF98&lt;安値!AD98,安値!AF98&lt;安値!AG98,安値!AF98&lt;安値!AH98),27,""))</f>
      </c>
      <c r="AB98" s="684">
        <f>IF(終値!A98="","",IF(AND(安値!AG98&lt;安値!AF98,安値!AG98&lt;安値!AE98,安値!AG98&lt;安値!AH98,安値!AG98&lt;安値!AI98),28,""))</f>
      </c>
      <c r="AC98" s="684">
        <f>IF(終値!A98="","",IF(AND(高値!G98&gt;高値!F98,高値!G98&gt;高値!E98,高値!G98&gt;高値!H98,高値!G98&gt;高値!I98),2,""))</f>
      </c>
      <c r="AD98" s="684">
        <f>IF(終値!A98="","",IF(AND(高値!H98&gt;高値!G98,高値!H98&gt;高値!F98,高値!H98&gt;高値!I98,高値!H98&gt;高値!J98),3,""))</f>
      </c>
      <c r="AE98" s="684">
        <f>IF(終値!A98="","",IF(AND(高値!I98&gt;高値!H98,高値!I98&gt;高値!G98,高値!I98&gt;高値!J98,高値!I98&gt;高値!K98),4,""))</f>
      </c>
      <c r="AF98" s="684">
        <f>IF(終値!A98="","",IF(AND(高値!J98&gt;高値!I98,高値!J98&gt;高値!H98,高値!J98&gt;高値!K98,高値!J98&gt;高値!L98),5,""))</f>
      </c>
      <c r="AG98" s="684">
        <f>IF(終値!A98="","",IF(AND(高値!K98&gt;高値!J98,高値!K98&gt;高値!I98,高値!K98&gt;高値!L98,高値!K98&gt;高値!M98),6,""))</f>
      </c>
      <c r="AH98" s="684">
        <f>IF(終値!A98="","",IF(AND(高値!L98&gt;高値!K98,高値!L98&gt;高値!J98,高値!L98&gt;高値!M98,高値!L98&gt;高値!N98),7,""))</f>
      </c>
      <c r="AI98" s="684">
        <f>IF(終値!A98="","",IF(AND(高値!M98&gt;高値!L98,高値!M98&gt;高値!K98,高値!M98&gt;高値!N98,高値!M98&gt;高値!O98),8,""))</f>
      </c>
      <c r="AJ98" s="684">
        <f>IF(終値!A98="","",IF(AND(高値!N98&gt;高値!M98,高値!N98&gt;高値!L98,高値!N98&gt;高値!O98,高値!N98&gt;高値!P98),9,""))</f>
      </c>
      <c r="AK98" s="684">
        <f>IF(終値!A98="","",IF(AND(高値!O98&gt;高値!N98,高値!O98&gt;高値!M98,高値!O98&gt;高値!P98,高値!O98&gt;高値!Q98),10,""))</f>
      </c>
      <c r="AL98" s="684">
        <f>IF(終値!A98="","",IF(AND(高値!P98&gt;高値!O98,高値!P98&gt;高値!N98,高値!P98&gt;高値!Q98,高値!P98&gt;高値!R98),11,""))</f>
      </c>
      <c r="AM98" s="684">
        <f>IF(終値!A98="","",IF(AND(高値!Q98&gt;高値!P98,高値!Q98&gt;高値!O98,高値!Q98&gt;高値!R98,高値!Q98&gt;高値!S98),12,""))</f>
      </c>
      <c r="AN98" s="684">
        <f>IF(終値!A98="","",IF(AND(高値!R98&gt;高値!Q98,高値!R98&gt;高値!P98,高値!R98&gt;高値!S98,高値!R98&gt;高値!T98),13,""))</f>
      </c>
      <c r="AO98" s="684">
        <f>IF(終値!A98="","",IF(AND(高値!S98&gt;高値!R98,高値!S98&gt;高値!Q98,高値!S98&gt;高値!T98,高値!S98&gt;高値!U98),14,""))</f>
      </c>
      <c r="AP98" s="684">
        <f>IF(終値!A98="","",IF(AND(高値!T98&gt;高値!S98,高値!T98&gt;高値!R98,高値!T98&gt;高値!U98,高値!T98&gt;高値!V98),15,""))</f>
      </c>
      <c r="AQ98" s="684">
        <f>IF(終値!A98="","",IF(AND(高値!U98&gt;高値!T98,高値!U98&gt;高値!S98,高値!U98&gt;高値!V98,高値!U98&gt;高値!W98),16,""))</f>
      </c>
      <c r="AR98" s="684">
        <f>IF(終値!A98="","",IF(AND(高値!V98&gt;高値!U98,高値!V98&gt;高値!T98,高値!V98&gt;高値!W98,高値!V98&gt;高値!X98),17,""))</f>
      </c>
      <c r="AS98" s="684">
        <f>IF(終値!A98="","",IF(AND(高値!W98&gt;高値!V98,高値!W98&gt;高値!U98,高値!W98&gt;高値!X98,高値!W98&gt;高値!Y98),18,""))</f>
      </c>
      <c r="AT98" s="684">
        <f>IF(終値!A98="","",IF(AND(高値!X98&gt;高値!W98,高値!X98&gt;高値!V98,高値!X98&gt;高値!Y98,高値!X98&gt;高値!Z98),19,""))</f>
      </c>
      <c r="AU98" s="684">
        <f>IF(終値!A98="","",IF(AND(高値!Y98&gt;高値!X98,高値!Y98&gt;高値!W98,高値!Y98&gt;高値!Z98,高値!Y98&gt;高値!AA98),20,""))</f>
      </c>
      <c r="AV98" s="684">
        <f>IF(終値!A98="","",IF(AND(高値!Z98&gt;高値!Y98,高値!Z98&gt;高値!X98,高値!Z98&gt;高値!AA98,高値!Z98&gt;高値!AB98),21,""))</f>
      </c>
      <c r="AW98" s="684">
        <f>IF(終値!A98="","",IF(AND(高値!AA98&gt;高値!Z98,高値!AA98&gt;高値!Y98,高値!AA98&gt;高値!AB98,高値!AA98&gt;高値!AC98),22,""))</f>
      </c>
      <c r="AX98" s="684">
        <f>IF(終値!A98="","",IF(AND(高値!AB98&gt;高値!AA98,高値!AB98&gt;高値!Z98,高値!AB98&gt;高値!AC98,高値!AB98&gt;高値!AD98),23,""))</f>
      </c>
      <c r="AY98" s="684">
        <f>IF(終値!A98="","",IF(AND(高値!AC98&gt;高値!AB98,高値!AC98&gt;高値!AA98,高値!AC98&gt;高値!AD98,高値!AC98&gt;高値!AE98),24,""))</f>
      </c>
      <c r="AZ98" s="684">
        <f>IF(終値!A98="","",IF(AND(高値!AD98&gt;高値!AC98,高値!AD98&gt;高値!AB98,高値!AD98&gt;高値!AE98,高値!AD98&gt;高値!AF98),25,""))</f>
      </c>
      <c r="BA98" s="684">
        <f>IF(終値!A98="","",IF(AND(高値!AE98&gt;高値!AD98,高値!AE98&gt;高値!AC98,高値!AE98&gt;高値!AF98,高値!AE98&gt;高値!AG98),26,""))</f>
      </c>
      <c r="BB98" s="684">
        <f>IF(終値!A98="","",IF(AND(高値!AF98&gt;高値!AE98,高値!AF98&gt;高値!AD98,高値!AF98&gt;高値!AG98,高値!AF98&gt;高値!AH98),27,""))</f>
      </c>
      <c r="BC98" s="684">
        <f>IF(終値!A98="","",IF(AND(高値!AG98&gt;高値!AF98,高値!AG98&gt;高値!AE98,高値!AG98&gt;高値!AH98,高値!AG98&gt;高値!AI98),28,""))</f>
      </c>
      <c r="BD98" s="684">
        <f>COUNT($B98:$AB98)</f>
      </c>
      <c r="BE98" s="684">
        <f>IF($BD98&gt;=2,MIN($B98:$AB98),"")</f>
      </c>
      <c r="BF98" s="684">
        <f>IF($BD98&gt;=2,SMALL($B98:$AB98,2),"")</f>
      </c>
      <c r="BG98" s="684">
        <f>IF($BE98="","",INDEX(安値!$E98:$CZ98,1,$BE98+1))</f>
      </c>
      <c r="BH98" s="684">
        <f>IF($BF98="","",INDEX(安値!$E98:$CZ98,1,$BF98+1))</f>
      </c>
      <c r="BI98" s="684">
        <f>IF($BF98="","",MAX(INDEX(高値!$E98:$CZ98,1,$BE98+1):INDEX(高値!$E98:$CZ98,1,$BF98+1)))</f>
      </c>
      <c r="BJ98" s="684">
        <f>IF($BF98="","",AVERAGE(INDEX(終値!$E98:$CZ98,1,$BF98+1):INDEX(終値!$E98:$CZ98,1,$BF98+20))-2*STDEVP(INDEX(終値!$E98:$CZ98,1,$BF98+1):INDEX(終値!$E98:$CZ98,1,$BF98+20)))</f>
      </c>
      <c r="BK98" s="684">
        <f>IF($BE98="","",AVERAGE(INDEX(終値!$E98:$CZ98,1,$BE98+1):INDEX(終値!$E98:$CZ98,1,$BE98+20))-2*STDEVP(INDEX(終値!$E98:$CZ98,1,$BE98+1):INDEX(終値!$E98:$CZ98,1,$BE98+20)))</f>
      </c>
      <c r="BL98" s="684">
        <f>COUNT($AC98:$BC98)</f>
      </c>
      <c r="BM98" s="684">
        <f>IF($BL98&gt;=2,MIN($AC98:$BC98),"")</f>
      </c>
      <c r="BN98" s="684">
        <f>IF($BL98&gt;=2,SMALL($AC98:$BC98,2),"")</f>
      </c>
      <c r="BO98" s="684">
        <f>IF($BM98="","",INDEX(高値!$E98:$CZ98,1,$BM98+1))</f>
      </c>
      <c r="BP98" s="684">
        <f>IF($BN98="","",INDEX(高値!$E98:$CZ98,1,$BN98+1))</f>
      </c>
      <c r="BQ98" s="684">
        <f>IF($BN98="","",MIN(INDEX(安値!$E98:$CZ98,1,$BM98+1):INDEX(安値!$E98:$CZ98,1,$BN98+1)))</f>
      </c>
      <c r="BR98" s="684">
        <f>IF($BN98="","",AVERAGE(INDEX(終値!$E98:$CZ98,1,$BN98+1):INDEX(終値!$E98:$CZ98,1,$BN98+20))+2*STDEVP(INDEX(終値!$E98:$CZ98,1,$BN98+1):INDEX(終値!$E98:$CZ98,1,$BN98+20)))</f>
      </c>
      <c r="BS98" s="684">
        <f>IF($BM98="","",AVERAGE(INDEX(終値!$E98:$CZ98,1,$BM98+1):INDEX(終値!$E98:$CZ98,1,$BM98+20))+2*STDEVP(INDEX(終値!$E98:$CZ98,1,$BM98+1):INDEX(終値!$E98:$CZ98,1,$BM98+20)))</f>
      </c>
      <c r="BT98" s="681">
        <f>IFERROR(IF(AND($BD98&gt;=2,ABS($BG98-$BH98)/$BH98&lt;=BB設定!$B$12,$BI98&gt;=MAX($BH98,$BG98)*(1+BB設定!$B$13),終値!E98&gt;$BG98),IF(OR(終値!E98&gt;=$BI98,AND($BH98&lt;$BJ98,$BG98&gt;=$BK98)),"二番底W▲","二番底W形成"),IF(AND($BL98&gt;=2,ABS($BO98-$BP98)/$BP98&lt;=BB設定!$B$12,$BQ98&lt;=MIN($BP98,$BO98)*(1-BB設定!$B$13),終値!E98&lt;$BO98),IF(OR(終値!E98&lt;=$BQ98,AND($BP98&gt;$BR98,$BO98&lt;=$BS98)),"二番天井M▼","二番天井M形成"),"－")),"－")</f>
      </c>
    </row>
    <row r="99">
      <c r="B99" s="684">
        <f>IF(終値!A99="","",IF(AND(安値!G99&lt;安値!F99,安値!G99&lt;安値!E99,安値!G99&lt;安値!H99,安値!G99&lt;安値!I99),2,""))</f>
      </c>
      <c r="C99" s="684">
        <f>IF(終値!A99="","",IF(AND(安値!H99&lt;安値!G99,安値!H99&lt;安値!F99,安値!H99&lt;安値!I99,安値!H99&lt;安値!J99),3,""))</f>
      </c>
      <c r="D99" s="684">
        <f>IF(終値!A99="","",IF(AND(安値!I99&lt;安値!H99,安値!I99&lt;安値!G99,安値!I99&lt;安値!J99,安値!I99&lt;安値!K99),4,""))</f>
      </c>
      <c r="E99" s="684">
        <f>IF(終値!A99="","",IF(AND(安値!J99&lt;安値!I99,安値!J99&lt;安値!H99,安値!J99&lt;安値!K99,安値!J99&lt;安値!L99),5,""))</f>
      </c>
      <c r="F99" s="684">
        <f>IF(終値!A99="","",IF(AND(安値!K99&lt;安値!J99,安値!K99&lt;安値!I99,安値!K99&lt;安値!L99,安値!K99&lt;安値!M99),6,""))</f>
      </c>
      <c r="G99" s="684">
        <f>IF(終値!A99="","",IF(AND(安値!L99&lt;安値!K99,安値!L99&lt;安値!J99,安値!L99&lt;安値!M99,安値!L99&lt;安値!N99),7,""))</f>
      </c>
      <c r="H99" s="684">
        <f>IF(終値!A99="","",IF(AND(安値!M99&lt;安値!L99,安値!M99&lt;安値!K99,安値!M99&lt;安値!N99,安値!M99&lt;安値!O99),8,""))</f>
      </c>
      <c r="I99" s="684">
        <f>IF(終値!A99="","",IF(AND(安値!N99&lt;安値!M99,安値!N99&lt;安値!L99,安値!N99&lt;安値!O99,安値!N99&lt;安値!P99),9,""))</f>
      </c>
      <c r="J99" s="684">
        <f>IF(終値!A99="","",IF(AND(安値!O99&lt;安値!N99,安値!O99&lt;安値!M99,安値!O99&lt;安値!P99,安値!O99&lt;安値!Q99),10,""))</f>
      </c>
      <c r="K99" s="684">
        <f>IF(終値!A99="","",IF(AND(安値!P99&lt;安値!O99,安値!P99&lt;安値!N99,安値!P99&lt;安値!Q99,安値!P99&lt;安値!R99),11,""))</f>
      </c>
      <c r="L99" s="684">
        <f>IF(終値!A99="","",IF(AND(安値!Q99&lt;安値!P99,安値!Q99&lt;安値!O99,安値!Q99&lt;安値!R99,安値!Q99&lt;安値!S99),12,""))</f>
      </c>
      <c r="M99" s="684">
        <f>IF(終値!A99="","",IF(AND(安値!R99&lt;安値!Q99,安値!R99&lt;安値!P99,安値!R99&lt;安値!S99,安値!R99&lt;安値!T99),13,""))</f>
      </c>
      <c r="N99" s="684">
        <f>IF(終値!A99="","",IF(AND(安値!S99&lt;安値!R99,安値!S99&lt;安値!Q99,安値!S99&lt;安値!T99,安値!S99&lt;安値!U99),14,""))</f>
      </c>
      <c r="O99" s="684">
        <f>IF(終値!A99="","",IF(AND(安値!T99&lt;安値!S99,安値!T99&lt;安値!R99,安値!T99&lt;安値!U99,安値!T99&lt;安値!V99),15,""))</f>
      </c>
      <c r="P99" s="684">
        <f>IF(終値!A99="","",IF(AND(安値!U99&lt;安値!T99,安値!U99&lt;安値!S99,安値!U99&lt;安値!V99,安値!U99&lt;安値!W99),16,""))</f>
      </c>
      <c r="Q99" s="684">
        <f>IF(終値!A99="","",IF(AND(安値!V99&lt;安値!U99,安値!V99&lt;安値!T99,安値!V99&lt;安値!W99,安値!V99&lt;安値!X99),17,""))</f>
      </c>
      <c r="R99" s="684">
        <f>IF(終値!A99="","",IF(AND(安値!W99&lt;安値!V99,安値!W99&lt;安値!U99,安値!W99&lt;安値!X99,安値!W99&lt;安値!Y99),18,""))</f>
      </c>
      <c r="S99" s="684">
        <f>IF(終値!A99="","",IF(AND(安値!X99&lt;安値!W99,安値!X99&lt;安値!V99,安値!X99&lt;安値!Y99,安値!X99&lt;安値!Z99),19,""))</f>
      </c>
      <c r="T99" s="684">
        <f>IF(終値!A99="","",IF(AND(安値!Y99&lt;安値!X99,安値!Y99&lt;安値!W99,安値!Y99&lt;安値!Z99,安値!Y99&lt;安値!AA99),20,""))</f>
      </c>
      <c r="U99" s="684">
        <f>IF(終値!A99="","",IF(AND(安値!Z99&lt;安値!Y99,安値!Z99&lt;安値!X99,安値!Z99&lt;安値!AA99,安値!Z99&lt;安値!AB99),21,""))</f>
      </c>
      <c r="V99" s="684">
        <f>IF(終値!A99="","",IF(AND(安値!AA99&lt;安値!Z99,安値!AA99&lt;安値!Y99,安値!AA99&lt;安値!AB99,安値!AA99&lt;安値!AC99),22,""))</f>
      </c>
      <c r="W99" s="684">
        <f>IF(終値!A99="","",IF(AND(安値!AB99&lt;安値!AA99,安値!AB99&lt;安値!Z99,安値!AB99&lt;安値!AC99,安値!AB99&lt;安値!AD99),23,""))</f>
      </c>
      <c r="X99" s="684">
        <f>IF(終値!A99="","",IF(AND(安値!AC99&lt;安値!AB99,安値!AC99&lt;安値!AA99,安値!AC99&lt;安値!AD99,安値!AC99&lt;安値!AE99),24,""))</f>
      </c>
      <c r="Y99" s="684">
        <f>IF(終値!A99="","",IF(AND(安値!AD99&lt;安値!AC99,安値!AD99&lt;安値!AB99,安値!AD99&lt;安値!AE99,安値!AD99&lt;安値!AF99),25,""))</f>
      </c>
      <c r="Z99" s="684">
        <f>IF(終値!A99="","",IF(AND(安値!AE99&lt;安値!AD99,安値!AE99&lt;安値!AC99,安値!AE99&lt;安値!AF99,安値!AE99&lt;安値!AG99),26,""))</f>
      </c>
      <c r="AA99" s="684">
        <f>IF(終値!A99="","",IF(AND(安値!AF99&lt;安値!AE99,安値!AF99&lt;安値!AD99,安値!AF99&lt;安値!AG99,安値!AF99&lt;安値!AH99),27,""))</f>
      </c>
      <c r="AB99" s="684">
        <f>IF(終値!A99="","",IF(AND(安値!AG99&lt;安値!AF99,安値!AG99&lt;安値!AE99,安値!AG99&lt;安値!AH99,安値!AG99&lt;安値!AI99),28,""))</f>
      </c>
      <c r="AC99" s="684">
        <f>IF(終値!A99="","",IF(AND(高値!G99&gt;高値!F99,高値!G99&gt;高値!E99,高値!G99&gt;高値!H99,高値!G99&gt;高値!I99),2,""))</f>
      </c>
      <c r="AD99" s="684">
        <f>IF(終値!A99="","",IF(AND(高値!H99&gt;高値!G99,高値!H99&gt;高値!F99,高値!H99&gt;高値!I99,高値!H99&gt;高値!J99),3,""))</f>
      </c>
      <c r="AE99" s="684">
        <f>IF(終値!A99="","",IF(AND(高値!I99&gt;高値!H99,高値!I99&gt;高値!G99,高値!I99&gt;高値!J99,高値!I99&gt;高値!K99),4,""))</f>
      </c>
      <c r="AF99" s="684">
        <f>IF(終値!A99="","",IF(AND(高値!J99&gt;高値!I99,高値!J99&gt;高値!H99,高値!J99&gt;高値!K99,高値!J99&gt;高値!L99),5,""))</f>
      </c>
      <c r="AG99" s="684">
        <f>IF(終値!A99="","",IF(AND(高値!K99&gt;高値!J99,高値!K99&gt;高値!I99,高値!K99&gt;高値!L99,高値!K99&gt;高値!M99),6,""))</f>
      </c>
      <c r="AH99" s="684">
        <f>IF(終値!A99="","",IF(AND(高値!L99&gt;高値!K99,高値!L99&gt;高値!J99,高値!L99&gt;高値!M99,高値!L99&gt;高値!N99),7,""))</f>
      </c>
      <c r="AI99" s="684">
        <f>IF(終値!A99="","",IF(AND(高値!M99&gt;高値!L99,高値!M99&gt;高値!K99,高値!M99&gt;高値!N99,高値!M99&gt;高値!O99),8,""))</f>
      </c>
      <c r="AJ99" s="684">
        <f>IF(終値!A99="","",IF(AND(高値!N99&gt;高値!M99,高値!N99&gt;高値!L99,高値!N99&gt;高値!O99,高値!N99&gt;高値!P99),9,""))</f>
      </c>
      <c r="AK99" s="684">
        <f>IF(終値!A99="","",IF(AND(高値!O99&gt;高値!N99,高値!O99&gt;高値!M99,高値!O99&gt;高値!P99,高値!O99&gt;高値!Q99),10,""))</f>
      </c>
      <c r="AL99" s="684">
        <f>IF(終値!A99="","",IF(AND(高値!P99&gt;高値!O99,高値!P99&gt;高値!N99,高値!P99&gt;高値!Q99,高値!P99&gt;高値!R99),11,""))</f>
      </c>
      <c r="AM99" s="684">
        <f>IF(終値!A99="","",IF(AND(高値!Q99&gt;高値!P99,高値!Q99&gt;高値!O99,高値!Q99&gt;高値!R99,高値!Q99&gt;高値!S99),12,""))</f>
      </c>
      <c r="AN99" s="684">
        <f>IF(終値!A99="","",IF(AND(高値!R99&gt;高値!Q99,高値!R99&gt;高値!P99,高値!R99&gt;高値!S99,高値!R99&gt;高値!T99),13,""))</f>
      </c>
      <c r="AO99" s="684">
        <f>IF(終値!A99="","",IF(AND(高値!S99&gt;高値!R99,高値!S99&gt;高値!Q99,高値!S99&gt;高値!T99,高値!S99&gt;高値!U99),14,""))</f>
      </c>
      <c r="AP99" s="684">
        <f>IF(終値!A99="","",IF(AND(高値!T99&gt;高値!S99,高値!T99&gt;高値!R99,高値!T99&gt;高値!U99,高値!T99&gt;高値!V99),15,""))</f>
      </c>
      <c r="AQ99" s="684">
        <f>IF(終値!A99="","",IF(AND(高値!U99&gt;高値!T99,高値!U99&gt;高値!S99,高値!U99&gt;高値!V99,高値!U99&gt;高値!W99),16,""))</f>
      </c>
      <c r="AR99" s="684">
        <f>IF(終値!A99="","",IF(AND(高値!V99&gt;高値!U99,高値!V99&gt;高値!T99,高値!V99&gt;高値!W99,高値!V99&gt;高値!X99),17,""))</f>
      </c>
      <c r="AS99" s="684">
        <f>IF(終値!A99="","",IF(AND(高値!W99&gt;高値!V99,高値!W99&gt;高値!U99,高値!W99&gt;高値!X99,高値!W99&gt;高値!Y99),18,""))</f>
      </c>
      <c r="AT99" s="684">
        <f>IF(終値!A99="","",IF(AND(高値!X99&gt;高値!W99,高値!X99&gt;高値!V99,高値!X99&gt;高値!Y99,高値!X99&gt;高値!Z99),19,""))</f>
      </c>
      <c r="AU99" s="684">
        <f>IF(終値!A99="","",IF(AND(高値!Y99&gt;高値!X99,高値!Y99&gt;高値!W99,高値!Y99&gt;高値!Z99,高値!Y99&gt;高値!AA99),20,""))</f>
      </c>
      <c r="AV99" s="684">
        <f>IF(終値!A99="","",IF(AND(高値!Z99&gt;高値!Y99,高値!Z99&gt;高値!X99,高値!Z99&gt;高値!AA99,高値!Z99&gt;高値!AB99),21,""))</f>
      </c>
      <c r="AW99" s="684">
        <f>IF(終値!A99="","",IF(AND(高値!AA99&gt;高値!Z99,高値!AA99&gt;高値!Y99,高値!AA99&gt;高値!AB99,高値!AA99&gt;高値!AC99),22,""))</f>
      </c>
      <c r="AX99" s="684">
        <f>IF(終値!A99="","",IF(AND(高値!AB99&gt;高値!AA99,高値!AB99&gt;高値!Z99,高値!AB99&gt;高値!AC99,高値!AB99&gt;高値!AD99),23,""))</f>
      </c>
      <c r="AY99" s="684">
        <f>IF(終値!A99="","",IF(AND(高値!AC99&gt;高値!AB99,高値!AC99&gt;高値!AA99,高値!AC99&gt;高値!AD99,高値!AC99&gt;高値!AE99),24,""))</f>
      </c>
      <c r="AZ99" s="684">
        <f>IF(終値!A99="","",IF(AND(高値!AD99&gt;高値!AC99,高値!AD99&gt;高値!AB99,高値!AD99&gt;高値!AE99,高値!AD99&gt;高値!AF99),25,""))</f>
      </c>
      <c r="BA99" s="684">
        <f>IF(終値!A99="","",IF(AND(高値!AE99&gt;高値!AD99,高値!AE99&gt;高値!AC99,高値!AE99&gt;高値!AF99,高値!AE99&gt;高値!AG99),26,""))</f>
      </c>
      <c r="BB99" s="684">
        <f>IF(終値!A99="","",IF(AND(高値!AF99&gt;高値!AE99,高値!AF99&gt;高値!AD99,高値!AF99&gt;高値!AG99,高値!AF99&gt;高値!AH99),27,""))</f>
      </c>
      <c r="BC99" s="684">
        <f>IF(終値!A99="","",IF(AND(高値!AG99&gt;高値!AF99,高値!AG99&gt;高値!AE99,高値!AG99&gt;高値!AH99,高値!AG99&gt;高値!AI99),28,""))</f>
      </c>
      <c r="BD99" s="684">
        <f>COUNT($B99:$AB99)</f>
      </c>
      <c r="BE99" s="684">
        <f>IF($BD99&gt;=2,MIN($B99:$AB99),"")</f>
      </c>
      <c r="BF99" s="684">
        <f>IF($BD99&gt;=2,SMALL($B99:$AB99,2),"")</f>
      </c>
      <c r="BG99" s="684">
        <f>IF($BE99="","",INDEX(安値!$E99:$CZ99,1,$BE99+1))</f>
      </c>
      <c r="BH99" s="684">
        <f>IF($BF99="","",INDEX(安値!$E99:$CZ99,1,$BF99+1))</f>
      </c>
      <c r="BI99" s="684">
        <f>IF($BF99="","",MAX(INDEX(高値!$E99:$CZ99,1,$BE99+1):INDEX(高値!$E99:$CZ99,1,$BF99+1)))</f>
      </c>
      <c r="BJ99" s="684">
        <f>IF($BF99="","",AVERAGE(INDEX(終値!$E99:$CZ99,1,$BF99+1):INDEX(終値!$E99:$CZ99,1,$BF99+20))-2*STDEVP(INDEX(終値!$E99:$CZ99,1,$BF99+1):INDEX(終値!$E99:$CZ99,1,$BF99+20)))</f>
      </c>
      <c r="BK99" s="684">
        <f>IF($BE99="","",AVERAGE(INDEX(終値!$E99:$CZ99,1,$BE99+1):INDEX(終値!$E99:$CZ99,1,$BE99+20))-2*STDEVP(INDEX(終値!$E99:$CZ99,1,$BE99+1):INDEX(終値!$E99:$CZ99,1,$BE99+20)))</f>
      </c>
      <c r="BL99" s="684">
        <f>COUNT($AC99:$BC99)</f>
      </c>
      <c r="BM99" s="684">
        <f>IF($BL99&gt;=2,MIN($AC99:$BC99),"")</f>
      </c>
      <c r="BN99" s="684">
        <f>IF($BL99&gt;=2,SMALL($AC99:$BC99,2),"")</f>
      </c>
      <c r="BO99" s="684">
        <f>IF($BM99="","",INDEX(高値!$E99:$CZ99,1,$BM99+1))</f>
      </c>
      <c r="BP99" s="684">
        <f>IF($BN99="","",INDEX(高値!$E99:$CZ99,1,$BN99+1))</f>
      </c>
      <c r="BQ99" s="684">
        <f>IF($BN99="","",MIN(INDEX(安値!$E99:$CZ99,1,$BM99+1):INDEX(安値!$E99:$CZ99,1,$BN99+1)))</f>
      </c>
      <c r="BR99" s="684">
        <f>IF($BN99="","",AVERAGE(INDEX(終値!$E99:$CZ99,1,$BN99+1):INDEX(終値!$E99:$CZ99,1,$BN99+20))+2*STDEVP(INDEX(終値!$E99:$CZ99,1,$BN99+1):INDEX(終値!$E99:$CZ99,1,$BN99+20)))</f>
      </c>
      <c r="BS99" s="684">
        <f>IF($BM99="","",AVERAGE(INDEX(終値!$E99:$CZ99,1,$BM99+1):INDEX(終値!$E99:$CZ99,1,$BM99+20))+2*STDEVP(INDEX(終値!$E99:$CZ99,1,$BM99+1):INDEX(終値!$E99:$CZ99,1,$BM99+20)))</f>
      </c>
      <c r="BT99" s="681">
        <f>IFERROR(IF(AND($BD99&gt;=2,ABS($BG99-$BH99)/$BH99&lt;=BB設定!$B$12,$BI99&gt;=MAX($BH99,$BG99)*(1+BB設定!$B$13),終値!E99&gt;$BG99),IF(OR(終値!E99&gt;=$BI99,AND($BH99&lt;$BJ99,$BG99&gt;=$BK99)),"二番底W▲","二番底W形成"),IF(AND($BL99&gt;=2,ABS($BO99-$BP99)/$BP99&lt;=BB設定!$B$12,$BQ99&lt;=MIN($BP99,$BO99)*(1-BB設定!$B$13),終値!E99&lt;$BO99),IF(OR(終値!E99&lt;=$BQ99,AND($BP99&gt;$BR99,$BO99&lt;=$BS99)),"二番天井M▼","二番天井M形成"),"－")),"－")</f>
      </c>
    </row>
    <row r="100">
      <c r="B100" s="684">
        <f>IF(終値!A100="","",IF(AND(安値!G100&lt;安値!F100,安値!G100&lt;安値!E100,安値!G100&lt;安値!H100,安値!G100&lt;安値!I100),2,""))</f>
      </c>
      <c r="C100" s="684">
        <f>IF(終値!A100="","",IF(AND(安値!H100&lt;安値!G100,安値!H100&lt;安値!F100,安値!H100&lt;安値!I100,安値!H100&lt;安値!J100),3,""))</f>
      </c>
      <c r="D100" s="684">
        <f>IF(終値!A100="","",IF(AND(安値!I100&lt;安値!H100,安値!I100&lt;安値!G100,安値!I100&lt;安値!J100,安値!I100&lt;安値!K100),4,""))</f>
      </c>
      <c r="E100" s="684">
        <f>IF(終値!A100="","",IF(AND(安値!J100&lt;安値!I100,安値!J100&lt;安値!H100,安値!J100&lt;安値!K100,安値!J100&lt;安値!L100),5,""))</f>
      </c>
      <c r="F100" s="684">
        <f>IF(終値!A100="","",IF(AND(安値!K100&lt;安値!J100,安値!K100&lt;安値!I100,安値!K100&lt;安値!L100,安値!K100&lt;安値!M100),6,""))</f>
      </c>
      <c r="G100" s="684">
        <f>IF(終値!A100="","",IF(AND(安値!L100&lt;安値!K100,安値!L100&lt;安値!J100,安値!L100&lt;安値!M100,安値!L100&lt;安値!N100),7,""))</f>
      </c>
      <c r="H100" s="684">
        <f>IF(終値!A100="","",IF(AND(安値!M100&lt;安値!L100,安値!M100&lt;安値!K100,安値!M100&lt;安値!N100,安値!M100&lt;安値!O100),8,""))</f>
      </c>
      <c r="I100" s="684">
        <f>IF(終値!A100="","",IF(AND(安値!N100&lt;安値!M100,安値!N100&lt;安値!L100,安値!N100&lt;安値!O100,安値!N100&lt;安値!P100),9,""))</f>
      </c>
      <c r="J100" s="684">
        <f>IF(終値!A100="","",IF(AND(安値!O100&lt;安値!N100,安値!O100&lt;安値!M100,安値!O100&lt;安値!P100,安値!O100&lt;安値!Q100),10,""))</f>
      </c>
      <c r="K100" s="684">
        <f>IF(終値!A100="","",IF(AND(安値!P100&lt;安値!O100,安値!P100&lt;安値!N100,安値!P100&lt;安値!Q100,安値!P100&lt;安値!R100),11,""))</f>
      </c>
      <c r="L100" s="684">
        <f>IF(終値!A100="","",IF(AND(安値!Q100&lt;安値!P100,安値!Q100&lt;安値!O100,安値!Q100&lt;安値!R100,安値!Q100&lt;安値!S100),12,""))</f>
      </c>
      <c r="M100" s="684">
        <f>IF(終値!A100="","",IF(AND(安値!R100&lt;安値!Q100,安値!R100&lt;安値!P100,安値!R100&lt;安値!S100,安値!R100&lt;安値!T100),13,""))</f>
      </c>
      <c r="N100" s="684">
        <f>IF(終値!A100="","",IF(AND(安値!S100&lt;安値!R100,安値!S100&lt;安値!Q100,安値!S100&lt;安値!T100,安値!S100&lt;安値!U100),14,""))</f>
      </c>
      <c r="O100" s="684">
        <f>IF(終値!A100="","",IF(AND(安値!T100&lt;安値!S100,安値!T100&lt;安値!R100,安値!T100&lt;安値!U100,安値!T100&lt;安値!V100),15,""))</f>
      </c>
      <c r="P100" s="684">
        <f>IF(終値!A100="","",IF(AND(安値!U100&lt;安値!T100,安値!U100&lt;安値!S100,安値!U100&lt;安値!V100,安値!U100&lt;安値!W100),16,""))</f>
      </c>
      <c r="Q100" s="684">
        <f>IF(終値!A100="","",IF(AND(安値!V100&lt;安値!U100,安値!V100&lt;安値!T100,安値!V100&lt;安値!W100,安値!V100&lt;安値!X100),17,""))</f>
      </c>
      <c r="R100" s="684">
        <f>IF(終値!A100="","",IF(AND(安値!W100&lt;安値!V100,安値!W100&lt;安値!U100,安値!W100&lt;安値!X100,安値!W100&lt;安値!Y100),18,""))</f>
      </c>
      <c r="S100" s="684">
        <f>IF(終値!A100="","",IF(AND(安値!X100&lt;安値!W100,安値!X100&lt;安値!V100,安値!X100&lt;安値!Y100,安値!X100&lt;安値!Z100),19,""))</f>
      </c>
      <c r="T100" s="684">
        <f>IF(終値!A100="","",IF(AND(安値!Y100&lt;安値!X100,安値!Y100&lt;安値!W100,安値!Y100&lt;安値!Z100,安値!Y100&lt;安値!AA100),20,""))</f>
      </c>
      <c r="U100" s="684">
        <f>IF(終値!A100="","",IF(AND(安値!Z100&lt;安値!Y100,安値!Z100&lt;安値!X100,安値!Z100&lt;安値!AA100,安値!Z100&lt;安値!AB100),21,""))</f>
      </c>
      <c r="V100" s="684">
        <f>IF(終値!A100="","",IF(AND(安値!AA100&lt;安値!Z100,安値!AA100&lt;安値!Y100,安値!AA100&lt;安値!AB100,安値!AA100&lt;安値!AC100),22,""))</f>
      </c>
      <c r="W100" s="684">
        <f>IF(終値!A100="","",IF(AND(安値!AB100&lt;安値!AA100,安値!AB100&lt;安値!Z100,安値!AB100&lt;安値!AC100,安値!AB100&lt;安値!AD100),23,""))</f>
      </c>
      <c r="X100" s="684">
        <f>IF(終値!A100="","",IF(AND(安値!AC100&lt;安値!AB100,安値!AC100&lt;安値!AA100,安値!AC100&lt;安値!AD100,安値!AC100&lt;安値!AE100),24,""))</f>
      </c>
      <c r="Y100" s="684">
        <f>IF(終値!A100="","",IF(AND(安値!AD100&lt;安値!AC100,安値!AD100&lt;安値!AB100,安値!AD100&lt;安値!AE100,安値!AD100&lt;安値!AF100),25,""))</f>
      </c>
      <c r="Z100" s="684">
        <f>IF(終値!A100="","",IF(AND(安値!AE100&lt;安値!AD100,安値!AE100&lt;安値!AC100,安値!AE100&lt;安値!AF100,安値!AE100&lt;安値!AG100),26,""))</f>
      </c>
      <c r="AA100" s="684">
        <f>IF(終値!A100="","",IF(AND(安値!AF100&lt;安値!AE100,安値!AF100&lt;安値!AD100,安値!AF100&lt;安値!AG100,安値!AF100&lt;安値!AH100),27,""))</f>
      </c>
      <c r="AB100" s="684">
        <f>IF(終値!A100="","",IF(AND(安値!AG100&lt;安値!AF100,安値!AG100&lt;安値!AE100,安値!AG100&lt;安値!AH100,安値!AG100&lt;安値!AI100),28,""))</f>
      </c>
      <c r="AC100" s="684">
        <f>IF(終値!A100="","",IF(AND(高値!G100&gt;高値!F100,高値!G100&gt;高値!E100,高値!G100&gt;高値!H100,高値!G100&gt;高値!I100),2,""))</f>
      </c>
      <c r="AD100" s="684">
        <f>IF(終値!A100="","",IF(AND(高値!H100&gt;高値!G100,高値!H100&gt;高値!F100,高値!H100&gt;高値!I100,高値!H100&gt;高値!J100),3,""))</f>
      </c>
      <c r="AE100" s="684">
        <f>IF(終値!A100="","",IF(AND(高値!I100&gt;高値!H100,高値!I100&gt;高値!G100,高値!I100&gt;高値!J100,高値!I100&gt;高値!K100),4,""))</f>
      </c>
      <c r="AF100" s="684">
        <f>IF(終値!A100="","",IF(AND(高値!J100&gt;高値!I100,高値!J100&gt;高値!H100,高値!J100&gt;高値!K100,高値!J100&gt;高値!L100),5,""))</f>
      </c>
      <c r="AG100" s="684">
        <f>IF(終値!A100="","",IF(AND(高値!K100&gt;高値!J100,高値!K100&gt;高値!I100,高値!K100&gt;高値!L100,高値!K100&gt;高値!M100),6,""))</f>
      </c>
      <c r="AH100" s="684">
        <f>IF(終値!A100="","",IF(AND(高値!L100&gt;高値!K100,高値!L100&gt;高値!J100,高値!L100&gt;高値!M100,高値!L100&gt;高値!N100),7,""))</f>
      </c>
      <c r="AI100" s="684">
        <f>IF(終値!A100="","",IF(AND(高値!M100&gt;高値!L100,高値!M100&gt;高値!K100,高値!M100&gt;高値!N100,高値!M100&gt;高値!O100),8,""))</f>
      </c>
      <c r="AJ100" s="684">
        <f>IF(終値!A100="","",IF(AND(高値!N100&gt;高値!M100,高値!N100&gt;高値!L100,高値!N100&gt;高値!O100,高値!N100&gt;高値!P100),9,""))</f>
      </c>
      <c r="AK100" s="684">
        <f>IF(終値!A100="","",IF(AND(高値!O100&gt;高値!N100,高値!O100&gt;高値!M100,高値!O100&gt;高値!P100,高値!O100&gt;高値!Q100),10,""))</f>
      </c>
      <c r="AL100" s="684">
        <f>IF(終値!A100="","",IF(AND(高値!P100&gt;高値!O100,高値!P100&gt;高値!N100,高値!P100&gt;高値!Q100,高値!P100&gt;高値!R100),11,""))</f>
      </c>
      <c r="AM100" s="684">
        <f>IF(終値!A100="","",IF(AND(高値!Q100&gt;高値!P100,高値!Q100&gt;高値!O100,高値!Q100&gt;高値!R100,高値!Q100&gt;高値!S100),12,""))</f>
      </c>
      <c r="AN100" s="684">
        <f>IF(終値!A100="","",IF(AND(高値!R100&gt;高値!Q100,高値!R100&gt;高値!P100,高値!R100&gt;高値!S100,高値!R100&gt;高値!T100),13,""))</f>
      </c>
      <c r="AO100" s="684">
        <f>IF(終値!A100="","",IF(AND(高値!S100&gt;高値!R100,高値!S100&gt;高値!Q100,高値!S100&gt;高値!T100,高値!S100&gt;高値!U100),14,""))</f>
      </c>
      <c r="AP100" s="684">
        <f>IF(終値!A100="","",IF(AND(高値!T100&gt;高値!S100,高値!T100&gt;高値!R100,高値!T100&gt;高値!U100,高値!T100&gt;高値!V100),15,""))</f>
      </c>
      <c r="AQ100" s="684">
        <f>IF(終値!A100="","",IF(AND(高値!U100&gt;高値!T100,高値!U100&gt;高値!S100,高値!U100&gt;高値!V100,高値!U100&gt;高値!W100),16,""))</f>
      </c>
      <c r="AR100" s="684">
        <f>IF(終値!A100="","",IF(AND(高値!V100&gt;高値!U100,高値!V100&gt;高値!T100,高値!V100&gt;高値!W100,高値!V100&gt;高値!X100),17,""))</f>
      </c>
      <c r="AS100" s="684">
        <f>IF(終値!A100="","",IF(AND(高値!W100&gt;高値!V100,高値!W100&gt;高値!U100,高値!W100&gt;高値!X100,高値!W100&gt;高値!Y100),18,""))</f>
      </c>
      <c r="AT100" s="684">
        <f>IF(終値!A100="","",IF(AND(高値!X100&gt;高値!W100,高値!X100&gt;高値!V100,高値!X100&gt;高値!Y100,高値!X100&gt;高値!Z100),19,""))</f>
      </c>
      <c r="AU100" s="684">
        <f>IF(終値!A100="","",IF(AND(高値!Y100&gt;高値!X100,高値!Y100&gt;高値!W100,高値!Y100&gt;高値!Z100,高値!Y100&gt;高値!AA100),20,""))</f>
      </c>
      <c r="AV100" s="684">
        <f>IF(終値!A100="","",IF(AND(高値!Z100&gt;高値!Y100,高値!Z100&gt;高値!X100,高値!Z100&gt;高値!AA100,高値!Z100&gt;高値!AB100),21,""))</f>
      </c>
      <c r="AW100" s="684">
        <f>IF(終値!A100="","",IF(AND(高値!AA100&gt;高値!Z100,高値!AA100&gt;高値!Y100,高値!AA100&gt;高値!AB100,高値!AA100&gt;高値!AC100),22,""))</f>
      </c>
      <c r="AX100" s="684">
        <f>IF(終値!A100="","",IF(AND(高値!AB100&gt;高値!AA100,高値!AB100&gt;高値!Z100,高値!AB100&gt;高値!AC100,高値!AB100&gt;高値!AD100),23,""))</f>
      </c>
      <c r="AY100" s="684">
        <f>IF(終値!A100="","",IF(AND(高値!AC100&gt;高値!AB100,高値!AC100&gt;高値!AA100,高値!AC100&gt;高値!AD100,高値!AC100&gt;高値!AE100),24,""))</f>
      </c>
      <c r="AZ100" s="684">
        <f>IF(終値!A100="","",IF(AND(高値!AD100&gt;高値!AC100,高値!AD100&gt;高値!AB100,高値!AD100&gt;高値!AE100,高値!AD100&gt;高値!AF100),25,""))</f>
      </c>
      <c r="BA100" s="684">
        <f>IF(終値!A100="","",IF(AND(高値!AE100&gt;高値!AD100,高値!AE100&gt;高値!AC100,高値!AE100&gt;高値!AF100,高値!AE100&gt;高値!AG100),26,""))</f>
      </c>
      <c r="BB100" s="684">
        <f>IF(終値!A100="","",IF(AND(高値!AF100&gt;高値!AE100,高値!AF100&gt;高値!AD100,高値!AF100&gt;高値!AG100,高値!AF100&gt;高値!AH100),27,""))</f>
      </c>
      <c r="BC100" s="684">
        <f>IF(終値!A100="","",IF(AND(高値!AG100&gt;高値!AF100,高値!AG100&gt;高値!AE100,高値!AG100&gt;高値!AH100,高値!AG100&gt;高値!AI100),28,""))</f>
      </c>
      <c r="BD100" s="684">
        <f>COUNT($B100:$AB100)</f>
      </c>
      <c r="BE100" s="684">
        <f>IF($BD100&gt;=2,MIN($B100:$AB100),"")</f>
      </c>
      <c r="BF100" s="684">
        <f>IF($BD100&gt;=2,SMALL($B100:$AB100,2),"")</f>
      </c>
      <c r="BG100" s="684">
        <f>IF($BE100="","",INDEX(安値!$E100:$CZ100,1,$BE100+1))</f>
      </c>
      <c r="BH100" s="684">
        <f>IF($BF100="","",INDEX(安値!$E100:$CZ100,1,$BF100+1))</f>
      </c>
      <c r="BI100" s="684">
        <f>IF($BF100="","",MAX(INDEX(高値!$E100:$CZ100,1,$BE100+1):INDEX(高値!$E100:$CZ100,1,$BF100+1)))</f>
      </c>
      <c r="BJ100" s="684">
        <f>IF($BF100="","",AVERAGE(INDEX(終値!$E100:$CZ100,1,$BF100+1):INDEX(終値!$E100:$CZ100,1,$BF100+20))-2*STDEVP(INDEX(終値!$E100:$CZ100,1,$BF100+1):INDEX(終値!$E100:$CZ100,1,$BF100+20)))</f>
      </c>
      <c r="BK100" s="684">
        <f>IF($BE100="","",AVERAGE(INDEX(終値!$E100:$CZ100,1,$BE100+1):INDEX(終値!$E100:$CZ100,1,$BE100+20))-2*STDEVP(INDEX(終値!$E100:$CZ100,1,$BE100+1):INDEX(終値!$E100:$CZ100,1,$BE100+20)))</f>
      </c>
      <c r="BL100" s="684">
        <f>COUNT($AC100:$BC100)</f>
      </c>
      <c r="BM100" s="684">
        <f>IF($BL100&gt;=2,MIN($AC100:$BC100),"")</f>
      </c>
      <c r="BN100" s="684">
        <f>IF($BL100&gt;=2,SMALL($AC100:$BC100,2),"")</f>
      </c>
      <c r="BO100" s="684">
        <f>IF($BM100="","",INDEX(高値!$E100:$CZ100,1,$BM100+1))</f>
      </c>
      <c r="BP100" s="684">
        <f>IF($BN100="","",INDEX(高値!$E100:$CZ100,1,$BN100+1))</f>
      </c>
      <c r="BQ100" s="684">
        <f>IF($BN100="","",MIN(INDEX(安値!$E100:$CZ100,1,$BM100+1):INDEX(安値!$E100:$CZ100,1,$BN100+1)))</f>
      </c>
      <c r="BR100" s="684">
        <f>IF($BN100="","",AVERAGE(INDEX(終値!$E100:$CZ100,1,$BN100+1):INDEX(終値!$E100:$CZ100,1,$BN100+20))+2*STDEVP(INDEX(終値!$E100:$CZ100,1,$BN100+1):INDEX(終値!$E100:$CZ100,1,$BN100+20)))</f>
      </c>
      <c r="BS100" s="684">
        <f>IF($BM100="","",AVERAGE(INDEX(終値!$E100:$CZ100,1,$BM100+1):INDEX(終値!$E100:$CZ100,1,$BM100+20))+2*STDEVP(INDEX(終値!$E100:$CZ100,1,$BM100+1):INDEX(終値!$E100:$CZ100,1,$BM100+20)))</f>
      </c>
      <c r="BT100" s="681">
        <f>IFERROR(IF(AND($BD100&gt;=2,ABS($BG100-$BH100)/$BH100&lt;=BB設定!$B$12,$BI100&gt;=MAX($BH100,$BG100)*(1+BB設定!$B$13),終値!E100&gt;$BG100),IF(OR(終値!E100&gt;=$BI100,AND($BH100&lt;$BJ100,$BG100&gt;=$BK100)),"二番底W▲","二番底W形成"),IF(AND($BL100&gt;=2,ABS($BO100-$BP100)/$BP100&lt;=BB設定!$B$12,$BQ100&lt;=MIN($BP100,$BO100)*(1-BB設定!$B$13),終値!E100&lt;$BO100),IF(OR(終値!E100&lt;=$BQ100,AND($BP100&gt;$BR100,$BO100&lt;=$BS100)),"二番天井M▼","二番天井M形成"),"－")),"－")</f>
      </c>
    </row>
    <row r="101">
      <c r="B101" s="684">
        <f>IF(終値!A101="","",IF(AND(安値!G101&lt;安値!F101,安値!G101&lt;安値!E101,安値!G101&lt;安値!H101,安値!G101&lt;安値!I101),2,""))</f>
      </c>
      <c r="C101" s="684">
        <f>IF(終値!A101="","",IF(AND(安値!H101&lt;安値!G101,安値!H101&lt;安値!F101,安値!H101&lt;安値!I101,安値!H101&lt;安値!J101),3,""))</f>
      </c>
      <c r="D101" s="684">
        <f>IF(終値!A101="","",IF(AND(安値!I101&lt;安値!H101,安値!I101&lt;安値!G101,安値!I101&lt;安値!J101,安値!I101&lt;安値!K101),4,""))</f>
      </c>
      <c r="E101" s="684">
        <f>IF(終値!A101="","",IF(AND(安値!J101&lt;安値!I101,安値!J101&lt;安値!H101,安値!J101&lt;安値!K101,安値!J101&lt;安値!L101),5,""))</f>
      </c>
      <c r="F101" s="684">
        <f>IF(終値!A101="","",IF(AND(安値!K101&lt;安値!J101,安値!K101&lt;安値!I101,安値!K101&lt;安値!L101,安値!K101&lt;安値!M101),6,""))</f>
      </c>
      <c r="G101" s="684">
        <f>IF(終値!A101="","",IF(AND(安値!L101&lt;安値!K101,安値!L101&lt;安値!J101,安値!L101&lt;安値!M101,安値!L101&lt;安値!N101),7,""))</f>
      </c>
      <c r="H101" s="684">
        <f>IF(終値!A101="","",IF(AND(安値!M101&lt;安値!L101,安値!M101&lt;安値!K101,安値!M101&lt;安値!N101,安値!M101&lt;安値!O101),8,""))</f>
      </c>
      <c r="I101" s="684">
        <f>IF(終値!A101="","",IF(AND(安値!N101&lt;安値!M101,安値!N101&lt;安値!L101,安値!N101&lt;安値!O101,安値!N101&lt;安値!P101),9,""))</f>
      </c>
      <c r="J101" s="684">
        <f>IF(終値!A101="","",IF(AND(安値!O101&lt;安値!N101,安値!O101&lt;安値!M101,安値!O101&lt;安値!P101,安値!O101&lt;安値!Q101),10,""))</f>
      </c>
      <c r="K101" s="684">
        <f>IF(終値!A101="","",IF(AND(安値!P101&lt;安値!O101,安値!P101&lt;安値!N101,安値!P101&lt;安値!Q101,安値!P101&lt;安値!R101),11,""))</f>
      </c>
      <c r="L101" s="684">
        <f>IF(終値!A101="","",IF(AND(安値!Q101&lt;安値!P101,安値!Q101&lt;安値!O101,安値!Q101&lt;安値!R101,安値!Q101&lt;安値!S101),12,""))</f>
      </c>
      <c r="M101" s="684">
        <f>IF(終値!A101="","",IF(AND(安値!R101&lt;安値!Q101,安値!R101&lt;安値!P101,安値!R101&lt;安値!S101,安値!R101&lt;安値!T101),13,""))</f>
      </c>
      <c r="N101" s="684">
        <f>IF(終値!A101="","",IF(AND(安値!S101&lt;安値!R101,安値!S101&lt;安値!Q101,安値!S101&lt;安値!T101,安値!S101&lt;安値!U101),14,""))</f>
      </c>
      <c r="O101" s="684">
        <f>IF(終値!A101="","",IF(AND(安値!T101&lt;安値!S101,安値!T101&lt;安値!R101,安値!T101&lt;安値!U101,安値!T101&lt;安値!V101),15,""))</f>
      </c>
      <c r="P101" s="684">
        <f>IF(終値!A101="","",IF(AND(安値!U101&lt;安値!T101,安値!U101&lt;安値!S101,安値!U101&lt;安値!V101,安値!U101&lt;安値!W101),16,""))</f>
      </c>
      <c r="Q101" s="684">
        <f>IF(終値!A101="","",IF(AND(安値!V101&lt;安値!U101,安値!V101&lt;安値!T101,安値!V101&lt;安値!W101,安値!V101&lt;安値!X101),17,""))</f>
      </c>
      <c r="R101" s="684">
        <f>IF(終値!A101="","",IF(AND(安値!W101&lt;安値!V101,安値!W101&lt;安値!U101,安値!W101&lt;安値!X101,安値!W101&lt;安値!Y101),18,""))</f>
      </c>
      <c r="S101" s="684">
        <f>IF(終値!A101="","",IF(AND(安値!X101&lt;安値!W101,安値!X101&lt;安値!V101,安値!X101&lt;安値!Y101,安値!X101&lt;安値!Z101),19,""))</f>
      </c>
      <c r="T101" s="684">
        <f>IF(終値!A101="","",IF(AND(安値!Y101&lt;安値!X101,安値!Y101&lt;安値!W101,安値!Y101&lt;安値!Z101,安値!Y101&lt;安値!AA101),20,""))</f>
      </c>
      <c r="U101" s="684">
        <f>IF(終値!A101="","",IF(AND(安値!Z101&lt;安値!Y101,安値!Z101&lt;安値!X101,安値!Z101&lt;安値!AA101,安値!Z101&lt;安値!AB101),21,""))</f>
      </c>
      <c r="V101" s="684">
        <f>IF(終値!A101="","",IF(AND(安値!AA101&lt;安値!Z101,安値!AA101&lt;安値!Y101,安値!AA101&lt;安値!AB101,安値!AA101&lt;安値!AC101),22,""))</f>
      </c>
      <c r="W101" s="684">
        <f>IF(終値!A101="","",IF(AND(安値!AB101&lt;安値!AA101,安値!AB101&lt;安値!Z101,安値!AB101&lt;安値!AC101,安値!AB101&lt;安値!AD101),23,""))</f>
      </c>
      <c r="X101" s="684">
        <f>IF(終値!A101="","",IF(AND(安値!AC101&lt;安値!AB101,安値!AC101&lt;安値!AA101,安値!AC101&lt;安値!AD101,安値!AC101&lt;安値!AE101),24,""))</f>
      </c>
      <c r="Y101" s="684">
        <f>IF(終値!A101="","",IF(AND(安値!AD101&lt;安値!AC101,安値!AD101&lt;安値!AB101,安値!AD101&lt;安値!AE101,安値!AD101&lt;安値!AF101),25,""))</f>
      </c>
      <c r="Z101" s="684">
        <f>IF(終値!A101="","",IF(AND(安値!AE101&lt;安値!AD101,安値!AE101&lt;安値!AC101,安値!AE101&lt;安値!AF101,安値!AE101&lt;安値!AG101),26,""))</f>
      </c>
      <c r="AA101" s="684">
        <f>IF(終値!A101="","",IF(AND(安値!AF101&lt;安値!AE101,安値!AF101&lt;安値!AD101,安値!AF101&lt;安値!AG101,安値!AF101&lt;安値!AH101),27,""))</f>
      </c>
      <c r="AB101" s="684">
        <f>IF(終値!A101="","",IF(AND(安値!AG101&lt;安値!AF101,安値!AG101&lt;安値!AE101,安値!AG101&lt;安値!AH101,安値!AG101&lt;安値!AI101),28,""))</f>
      </c>
      <c r="AC101" s="684">
        <f>IF(終値!A101="","",IF(AND(高値!G101&gt;高値!F101,高値!G101&gt;高値!E101,高値!G101&gt;高値!H101,高値!G101&gt;高値!I101),2,""))</f>
      </c>
      <c r="AD101" s="684">
        <f>IF(終値!A101="","",IF(AND(高値!H101&gt;高値!G101,高値!H101&gt;高値!F101,高値!H101&gt;高値!I101,高値!H101&gt;高値!J101),3,""))</f>
      </c>
      <c r="AE101" s="684">
        <f>IF(終値!A101="","",IF(AND(高値!I101&gt;高値!H101,高値!I101&gt;高値!G101,高値!I101&gt;高値!J101,高値!I101&gt;高値!K101),4,""))</f>
      </c>
      <c r="AF101" s="684">
        <f>IF(終値!A101="","",IF(AND(高値!J101&gt;高値!I101,高値!J101&gt;高値!H101,高値!J101&gt;高値!K101,高値!J101&gt;高値!L101),5,""))</f>
      </c>
      <c r="AG101" s="684">
        <f>IF(終値!A101="","",IF(AND(高値!K101&gt;高値!J101,高値!K101&gt;高値!I101,高値!K101&gt;高値!L101,高値!K101&gt;高値!M101),6,""))</f>
      </c>
      <c r="AH101" s="684">
        <f>IF(終値!A101="","",IF(AND(高値!L101&gt;高値!K101,高値!L101&gt;高値!J101,高値!L101&gt;高値!M101,高値!L101&gt;高値!N101),7,""))</f>
      </c>
      <c r="AI101" s="684">
        <f>IF(終値!A101="","",IF(AND(高値!M101&gt;高値!L101,高値!M101&gt;高値!K101,高値!M101&gt;高値!N101,高値!M101&gt;高値!O101),8,""))</f>
      </c>
      <c r="AJ101" s="684">
        <f>IF(終値!A101="","",IF(AND(高値!N101&gt;高値!M101,高値!N101&gt;高値!L101,高値!N101&gt;高値!O101,高値!N101&gt;高値!P101),9,""))</f>
      </c>
      <c r="AK101" s="684">
        <f>IF(終値!A101="","",IF(AND(高値!O101&gt;高値!N101,高値!O101&gt;高値!M101,高値!O101&gt;高値!P101,高値!O101&gt;高値!Q101),10,""))</f>
      </c>
      <c r="AL101" s="684">
        <f>IF(終値!A101="","",IF(AND(高値!P101&gt;高値!O101,高値!P101&gt;高値!N101,高値!P101&gt;高値!Q101,高値!P101&gt;高値!R101),11,""))</f>
      </c>
      <c r="AM101" s="684">
        <f>IF(終値!A101="","",IF(AND(高値!Q101&gt;高値!P101,高値!Q101&gt;高値!O101,高値!Q101&gt;高値!R101,高値!Q101&gt;高値!S101),12,""))</f>
      </c>
      <c r="AN101" s="684">
        <f>IF(終値!A101="","",IF(AND(高値!R101&gt;高値!Q101,高値!R101&gt;高値!P101,高値!R101&gt;高値!S101,高値!R101&gt;高値!T101),13,""))</f>
      </c>
      <c r="AO101" s="684">
        <f>IF(終値!A101="","",IF(AND(高値!S101&gt;高値!R101,高値!S101&gt;高値!Q101,高値!S101&gt;高値!T101,高値!S101&gt;高値!U101),14,""))</f>
      </c>
      <c r="AP101" s="684">
        <f>IF(終値!A101="","",IF(AND(高値!T101&gt;高値!S101,高値!T101&gt;高値!R101,高値!T101&gt;高値!U101,高値!T101&gt;高値!V101),15,""))</f>
      </c>
      <c r="AQ101" s="684">
        <f>IF(終値!A101="","",IF(AND(高値!U101&gt;高値!T101,高値!U101&gt;高値!S101,高値!U101&gt;高値!V101,高値!U101&gt;高値!W101),16,""))</f>
      </c>
      <c r="AR101" s="684">
        <f>IF(終値!A101="","",IF(AND(高値!V101&gt;高値!U101,高値!V101&gt;高値!T101,高値!V101&gt;高値!W101,高値!V101&gt;高値!X101),17,""))</f>
      </c>
      <c r="AS101" s="684">
        <f>IF(終値!A101="","",IF(AND(高値!W101&gt;高値!V101,高値!W101&gt;高値!U101,高値!W101&gt;高値!X101,高値!W101&gt;高値!Y101),18,""))</f>
      </c>
      <c r="AT101" s="684">
        <f>IF(終値!A101="","",IF(AND(高値!X101&gt;高値!W101,高値!X101&gt;高値!V101,高値!X101&gt;高値!Y101,高値!X101&gt;高値!Z101),19,""))</f>
      </c>
      <c r="AU101" s="684">
        <f>IF(終値!A101="","",IF(AND(高値!Y101&gt;高値!X101,高値!Y101&gt;高値!W101,高値!Y101&gt;高値!Z101,高値!Y101&gt;高値!AA101),20,""))</f>
      </c>
      <c r="AV101" s="684">
        <f>IF(終値!A101="","",IF(AND(高値!Z101&gt;高値!Y101,高値!Z101&gt;高値!X101,高値!Z101&gt;高値!AA101,高値!Z101&gt;高値!AB101),21,""))</f>
      </c>
      <c r="AW101" s="684">
        <f>IF(終値!A101="","",IF(AND(高値!AA101&gt;高値!Z101,高値!AA101&gt;高値!Y101,高値!AA101&gt;高値!AB101,高値!AA101&gt;高値!AC101),22,""))</f>
      </c>
      <c r="AX101" s="684">
        <f>IF(終値!A101="","",IF(AND(高値!AB101&gt;高値!AA101,高値!AB101&gt;高値!Z101,高値!AB101&gt;高値!AC101,高値!AB101&gt;高値!AD101),23,""))</f>
      </c>
      <c r="AY101" s="684">
        <f>IF(終値!A101="","",IF(AND(高値!AC101&gt;高値!AB101,高値!AC101&gt;高値!AA101,高値!AC101&gt;高値!AD101,高値!AC101&gt;高値!AE101),24,""))</f>
      </c>
      <c r="AZ101" s="684">
        <f>IF(終値!A101="","",IF(AND(高値!AD101&gt;高値!AC101,高値!AD101&gt;高値!AB101,高値!AD101&gt;高値!AE101,高値!AD101&gt;高値!AF101),25,""))</f>
      </c>
      <c r="BA101" s="684">
        <f>IF(終値!A101="","",IF(AND(高値!AE101&gt;高値!AD101,高値!AE101&gt;高値!AC101,高値!AE101&gt;高値!AF101,高値!AE101&gt;高値!AG101),26,""))</f>
      </c>
      <c r="BB101" s="684">
        <f>IF(終値!A101="","",IF(AND(高値!AF101&gt;高値!AE101,高値!AF101&gt;高値!AD101,高値!AF101&gt;高値!AG101,高値!AF101&gt;高値!AH101),27,""))</f>
      </c>
      <c r="BC101" s="684">
        <f>IF(終値!A101="","",IF(AND(高値!AG101&gt;高値!AF101,高値!AG101&gt;高値!AE101,高値!AG101&gt;高値!AH101,高値!AG101&gt;高値!AI101),28,""))</f>
      </c>
      <c r="BD101" s="684">
        <f>COUNT($B101:$AB101)</f>
      </c>
      <c r="BE101" s="684">
        <f>IF($BD101&gt;=2,MIN($B101:$AB101),"")</f>
      </c>
      <c r="BF101" s="684">
        <f>IF($BD101&gt;=2,SMALL($B101:$AB101,2),"")</f>
      </c>
      <c r="BG101" s="684">
        <f>IF($BE101="","",INDEX(安値!$E101:$CZ101,1,$BE101+1))</f>
      </c>
      <c r="BH101" s="684">
        <f>IF($BF101="","",INDEX(安値!$E101:$CZ101,1,$BF101+1))</f>
      </c>
      <c r="BI101" s="684">
        <f>IF($BF101="","",MAX(INDEX(高値!$E101:$CZ101,1,$BE101+1):INDEX(高値!$E101:$CZ101,1,$BF101+1)))</f>
      </c>
      <c r="BJ101" s="684">
        <f>IF($BF101="","",AVERAGE(INDEX(終値!$E101:$CZ101,1,$BF101+1):INDEX(終値!$E101:$CZ101,1,$BF101+20))-2*STDEVP(INDEX(終値!$E101:$CZ101,1,$BF101+1):INDEX(終値!$E101:$CZ101,1,$BF101+20)))</f>
      </c>
      <c r="BK101" s="684">
        <f>IF($BE101="","",AVERAGE(INDEX(終値!$E101:$CZ101,1,$BE101+1):INDEX(終値!$E101:$CZ101,1,$BE101+20))-2*STDEVP(INDEX(終値!$E101:$CZ101,1,$BE101+1):INDEX(終値!$E101:$CZ101,1,$BE101+20)))</f>
      </c>
      <c r="BL101" s="684">
        <f>COUNT($AC101:$BC101)</f>
      </c>
      <c r="BM101" s="684">
        <f>IF($BL101&gt;=2,MIN($AC101:$BC101),"")</f>
      </c>
      <c r="BN101" s="684">
        <f>IF($BL101&gt;=2,SMALL($AC101:$BC101,2),"")</f>
      </c>
      <c r="BO101" s="684">
        <f>IF($BM101="","",INDEX(高値!$E101:$CZ101,1,$BM101+1))</f>
      </c>
      <c r="BP101" s="684">
        <f>IF($BN101="","",INDEX(高値!$E101:$CZ101,1,$BN101+1))</f>
      </c>
      <c r="BQ101" s="684">
        <f>IF($BN101="","",MIN(INDEX(安値!$E101:$CZ101,1,$BM101+1):INDEX(安値!$E101:$CZ101,1,$BN101+1)))</f>
      </c>
      <c r="BR101" s="684">
        <f>IF($BN101="","",AVERAGE(INDEX(終値!$E101:$CZ101,1,$BN101+1):INDEX(終値!$E101:$CZ101,1,$BN101+20))+2*STDEVP(INDEX(終値!$E101:$CZ101,1,$BN101+1):INDEX(終値!$E101:$CZ101,1,$BN101+20)))</f>
      </c>
      <c r="BS101" s="684">
        <f>IF($BM101="","",AVERAGE(INDEX(終値!$E101:$CZ101,1,$BM101+1):INDEX(終値!$E101:$CZ101,1,$BM101+20))+2*STDEVP(INDEX(終値!$E101:$CZ101,1,$BM101+1):INDEX(終値!$E101:$CZ101,1,$BM101+20)))</f>
      </c>
      <c r="BT101" s="681">
        <f>IFERROR(IF(AND($BD101&gt;=2,ABS($BG101-$BH101)/$BH101&lt;=BB設定!$B$12,$BI101&gt;=MAX($BH101,$BG101)*(1+BB設定!$B$13),終値!E101&gt;$BG101),IF(OR(終値!E101&gt;=$BI101,AND($BH101&lt;$BJ101,$BG101&gt;=$BK101)),"二番底W▲","二番底W形成"),IF(AND($BL101&gt;=2,ABS($BO101-$BP101)/$BP101&lt;=BB設定!$B$12,$BQ101&lt;=MIN($BP101,$BO101)*(1-BB設定!$B$13),終値!E101&lt;$BO101),IF(OR(終値!E101&lt;=$BQ101,AND($BP101&gt;$BR101,$BO101&lt;=$BS101)),"二番天井M▼","二番天井M形成"),"－")),"－")</f>
      </c>
    </row>
    <row r="102">
      <c r="B102" s="684">
        <f>IF(終値!A102="","",IF(AND(安値!G102&lt;安値!F102,安値!G102&lt;安値!E102,安値!G102&lt;安値!H102,安値!G102&lt;安値!I102),2,""))</f>
      </c>
      <c r="C102" s="684">
        <f>IF(終値!A102="","",IF(AND(安値!H102&lt;安値!G102,安値!H102&lt;安値!F102,安値!H102&lt;安値!I102,安値!H102&lt;安値!J102),3,""))</f>
      </c>
      <c r="D102" s="684">
        <f>IF(終値!A102="","",IF(AND(安値!I102&lt;安値!H102,安値!I102&lt;安値!G102,安値!I102&lt;安値!J102,安値!I102&lt;安値!K102),4,""))</f>
      </c>
      <c r="E102" s="684">
        <f>IF(終値!A102="","",IF(AND(安値!J102&lt;安値!I102,安値!J102&lt;安値!H102,安値!J102&lt;安値!K102,安値!J102&lt;安値!L102),5,""))</f>
      </c>
      <c r="F102" s="684">
        <f>IF(終値!A102="","",IF(AND(安値!K102&lt;安値!J102,安値!K102&lt;安値!I102,安値!K102&lt;安値!L102,安値!K102&lt;安値!M102),6,""))</f>
      </c>
      <c r="G102" s="684">
        <f>IF(終値!A102="","",IF(AND(安値!L102&lt;安値!K102,安値!L102&lt;安値!J102,安値!L102&lt;安値!M102,安値!L102&lt;安値!N102),7,""))</f>
      </c>
      <c r="H102" s="684">
        <f>IF(終値!A102="","",IF(AND(安値!M102&lt;安値!L102,安値!M102&lt;安値!K102,安値!M102&lt;安値!N102,安値!M102&lt;安値!O102),8,""))</f>
      </c>
      <c r="I102" s="684">
        <f>IF(終値!A102="","",IF(AND(安値!N102&lt;安値!M102,安値!N102&lt;安値!L102,安値!N102&lt;安値!O102,安値!N102&lt;安値!P102),9,""))</f>
      </c>
      <c r="J102" s="684">
        <f>IF(終値!A102="","",IF(AND(安値!O102&lt;安値!N102,安値!O102&lt;安値!M102,安値!O102&lt;安値!P102,安値!O102&lt;安値!Q102),10,""))</f>
      </c>
      <c r="K102" s="684">
        <f>IF(終値!A102="","",IF(AND(安値!P102&lt;安値!O102,安値!P102&lt;安値!N102,安値!P102&lt;安値!Q102,安値!P102&lt;安値!R102),11,""))</f>
      </c>
      <c r="L102" s="684">
        <f>IF(終値!A102="","",IF(AND(安値!Q102&lt;安値!P102,安値!Q102&lt;安値!O102,安値!Q102&lt;安値!R102,安値!Q102&lt;安値!S102),12,""))</f>
      </c>
      <c r="M102" s="684">
        <f>IF(終値!A102="","",IF(AND(安値!R102&lt;安値!Q102,安値!R102&lt;安値!P102,安値!R102&lt;安値!S102,安値!R102&lt;安値!T102),13,""))</f>
      </c>
      <c r="N102" s="684">
        <f>IF(終値!A102="","",IF(AND(安値!S102&lt;安値!R102,安値!S102&lt;安値!Q102,安値!S102&lt;安値!T102,安値!S102&lt;安値!U102),14,""))</f>
      </c>
      <c r="O102" s="684">
        <f>IF(終値!A102="","",IF(AND(安値!T102&lt;安値!S102,安値!T102&lt;安値!R102,安値!T102&lt;安値!U102,安値!T102&lt;安値!V102),15,""))</f>
      </c>
      <c r="P102" s="684">
        <f>IF(終値!A102="","",IF(AND(安値!U102&lt;安値!T102,安値!U102&lt;安値!S102,安値!U102&lt;安値!V102,安値!U102&lt;安値!W102),16,""))</f>
      </c>
      <c r="Q102" s="684">
        <f>IF(終値!A102="","",IF(AND(安値!V102&lt;安値!U102,安値!V102&lt;安値!T102,安値!V102&lt;安値!W102,安値!V102&lt;安値!X102),17,""))</f>
      </c>
      <c r="R102" s="684">
        <f>IF(終値!A102="","",IF(AND(安値!W102&lt;安値!V102,安値!W102&lt;安値!U102,安値!W102&lt;安値!X102,安値!W102&lt;安値!Y102),18,""))</f>
      </c>
      <c r="S102" s="684">
        <f>IF(終値!A102="","",IF(AND(安値!X102&lt;安値!W102,安値!X102&lt;安値!V102,安値!X102&lt;安値!Y102,安値!X102&lt;安値!Z102),19,""))</f>
      </c>
      <c r="T102" s="684">
        <f>IF(終値!A102="","",IF(AND(安値!Y102&lt;安値!X102,安値!Y102&lt;安値!W102,安値!Y102&lt;安値!Z102,安値!Y102&lt;安値!AA102),20,""))</f>
      </c>
      <c r="U102" s="684">
        <f>IF(終値!A102="","",IF(AND(安値!Z102&lt;安値!Y102,安値!Z102&lt;安値!X102,安値!Z102&lt;安値!AA102,安値!Z102&lt;安値!AB102),21,""))</f>
      </c>
      <c r="V102" s="684">
        <f>IF(終値!A102="","",IF(AND(安値!AA102&lt;安値!Z102,安値!AA102&lt;安値!Y102,安値!AA102&lt;安値!AB102,安値!AA102&lt;安値!AC102),22,""))</f>
      </c>
      <c r="W102" s="684">
        <f>IF(終値!A102="","",IF(AND(安値!AB102&lt;安値!AA102,安値!AB102&lt;安値!Z102,安値!AB102&lt;安値!AC102,安値!AB102&lt;安値!AD102),23,""))</f>
      </c>
      <c r="X102" s="684">
        <f>IF(終値!A102="","",IF(AND(安値!AC102&lt;安値!AB102,安値!AC102&lt;安値!AA102,安値!AC102&lt;安値!AD102,安値!AC102&lt;安値!AE102),24,""))</f>
      </c>
      <c r="Y102" s="684">
        <f>IF(終値!A102="","",IF(AND(安値!AD102&lt;安値!AC102,安値!AD102&lt;安値!AB102,安値!AD102&lt;安値!AE102,安値!AD102&lt;安値!AF102),25,""))</f>
      </c>
      <c r="Z102" s="684">
        <f>IF(終値!A102="","",IF(AND(安値!AE102&lt;安値!AD102,安値!AE102&lt;安値!AC102,安値!AE102&lt;安値!AF102,安値!AE102&lt;安値!AG102),26,""))</f>
      </c>
      <c r="AA102" s="684">
        <f>IF(終値!A102="","",IF(AND(安値!AF102&lt;安値!AE102,安値!AF102&lt;安値!AD102,安値!AF102&lt;安値!AG102,安値!AF102&lt;安値!AH102),27,""))</f>
      </c>
      <c r="AB102" s="684">
        <f>IF(終値!A102="","",IF(AND(安値!AG102&lt;安値!AF102,安値!AG102&lt;安値!AE102,安値!AG102&lt;安値!AH102,安値!AG102&lt;安値!AI102),28,""))</f>
      </c>
      <c r="AC102" s="684">
        <f>IF(終値!A102="","",IF(AND(高値!G102&gt;高値!F102,高値!G102&gt;高値!E102,高値!G102&gt;高値!H102,高値!G102&gt;高値!I102),2,""))</f>
      </c>
      <c r="AD102" s="684">
        <f>IF(終値!A102="","",IF(AND(高値!H102&gt;高値!G102,高値!H102&gt;高値!F102,高値!H102&gt;高値!I102,高値!H102&gt;高値!J102),3,""))</f>
      </c>
      <c r="AE102" s="684">
        <f>IF(終値!A102="","",IF(AND(高値!I102&gt;高値!H102,高値!I102&gt;高値!G102,高値!I102&gt;高値!J102,高値!I102&gt;高値!K102),4,""))</f>
      </c>
      <c r="AF102" s="684">
        <f>IF(終値!A102="","",IF(AND(高値!J102&gt;高値!I102,高値!J102&gt;高値!H102,高値!J102&gt;高値!K102,高値!J102&gt;高値!L102),5,""))</f>
      </c>
      <c r="AG102" s="684">
        <f>IF(終値!A102="","",IF(AND(高値!K102&gt;高値!J102,高値!K102&gt;高値!I102,高値!K102&gt;高値!L102,高値!K102&gt;高値!M102),6,""))</f>
      </c>
      <c r="AH102" s="684">
        <f>IF(終値!A102="","",IF(AND(高値!L102&gt;高値!K102,高値!L102&gt;高値!J102,高値!L102&gt;高値!M102,高値!L102&gt;高値!N102),7,""))</f>
      </c>
      <c r="AI102" s="684">
        <f>IF(終値!A102="","",IF(AND(高値!M102&gt;高値!L102,高値!M102&gt;高値!K102,高値!M102&gt;高値!N102,高値!M102&gt;高値!O102),8,""))</f>
      </c>
      <c r="AJ102" s="684">
        <f>IF(終値!A102="","",IF(AND(高値!N102&gt;高値!M102,高値!N102&gt;高値!L102,高値!N102&gt;高値!O102,高値!N102&gt;高値!P102),9,""))</f>
      </c>
      <c r="AK102" s="684">
        <f>IF(終値!A102="","",IF(AND(高値!O102&gt;高値!N102,高値!O102&gt;高値!M102,高値!O102&gt;高値!P102,高値!O102&gt;高値!Q102),10,""))</f>
      </c>
      <c r="AL102" s="684">
        <f>IF(終値!A102="","",IF(AND(高値!P102&gt;高値!O102,高値!P102&gt;高値!N102,高値!P102&gt;高値!Q102,高値!P102&gt;高値!R102),11,""))</f>
      </c>
      <c r="AM102" s="684">
        <f>IF(終値!A102="","",IF(AND(高値!Q102&gt;高値!P102,高値!Q102&gt;高値!O102,高値!Q102&gt;高値!R102,高値!Q102&gt;高値!S102),12,""))</f>
      </c>
      <c r="AN102" s="684">
        <f>IF(終値!A102="","",IF(AND(高値!R102&gt;高値!Q102,高値!R102&gt;高値!P102,高値!R102&gt;高値!S102,高値!R102&gt;高値!T102),13,""))</f>
      </c>
      <c r="AO102" s="684">
        <f>IF(終値!A102="","",IF(AND(高値!S102&gt;高値!R102,高値!S102&gt;高値!Q102,高値!S102&gt;高値!T102,高値!S102&gt;高値!U102),14,""))</f>
      </c>
      <c r="AP102" s="684">
        <f>IF(終値!A102="","",IF(AND(高値!T102&gt;高値!S102,高値!T102&gt;高値!R102,高値!T102&gt;高値!U102,高値!T102&gt;高値!V102),15,""))</f>
      </c>
      <c r="AQ102" s="684">
        <f>IF(終値!A102="","",IF(AND(高値!U102&gt;高値!T102,高値!U102&gt;高値!S102,高値!U102&gt;高値!V102,高値!U102&gt;高値!W102),16,""))</f>
      </c>
      <c r="AR102" s="684">
        <f>IF(終値!A102="","",IF(AND(高値!V102&gt;高値!U102,高値!V102&gt;高値!T102,高値!V102&gt;高値!W102,高値!V102&gt;高値!X102),17,""))</f>
      </c>
      <c r="AS102" s="684">
        <f>IF(終値!A102="","",IF(AND(高値!W102&gt;高値!V102,高値!W102&gt;高値!U102,高値!W102&gt;高値!X102,高値!W102&gt;高値!Y102),18,""))</f>
      </c>
      <c r="AT102" s="684">
        <f>IF(終値!A102="","",IF(AND(高値!X102&gt;高値!W102,高値!X102&gt;高値!V102,高値!X102&gt;高値!Y102,高値!X102&gt;高値!Z102),19,""))</f>
      </c>
      <c r="AU102" s="684">
        <f>IF(終値!A102="","",IF(AND(高値!Y102&gt;高値!X102,高値!Y102&gt;高値!W102,高値!Y102&gt;高値!Z102,高値!Y102&gt;高値!AA102),20,""))</f>
      </c>
      <c r="AV102" s="684">
        <f>IF(終値!A102="","",IF(AND(高値!Z102&gt;高値!Y102,高値!Z102&gt;高値!X102,高値!Z102&gt;高値!AA102,高値!Z102&gt;高値!AB102),21,""))</f>
      </c>
      <c r="AW102" s="684">
        <f>IF(終値!A102="","",IF(AND(高値!AA102&gt;高値!Z102,高値!AA102&gt;高値!Y102,高値!AA102&gt;高値!AB102,高値!AA102&gt;高値!AC102),22,""))</f>
      </c>
      <c r="AX102" s="684">
        <f>IF(終値!A102="","",IF(AND(高値!AB102&gt;高値!AA102,高値!AB102&gt;高値!Z102,高値!AB102&gt;高値!AC102,高値!AB102&gt;高値!AD102),23,""))</f>
      </c>
      <c r="AY102" s="684">
        <f>IF(終値!A102="","",IF(AND(高値!AC102&gt;高値!AB102,高値!AC102&gt;高値!AA102,高値!AC102&gt;高値!AD102,高値!AC102&gt;高値!AE102),24,""))</f>
      </c>
      <c r="AZ102" s="684">
        <f>IF(終値!A102="","",IF(AND(高値!AD102&gt;高値!AC102,高値!AD102&gt;高値!AB102,高値!AD102&gt;高値!AE102,高値!AD102&gt;高値!AF102),25,""))</f>
      </c>
      <c r="BA102" s="684">
        <f>IF(終値!A102="","",IF(AND(高値!AE102&gt;高値!AD102,高値!AE102&gt;高値!AC102,高値!AE102&gt;高値!AF102,高値!AE102&gt;高値!AG102),26,""))</f>
      </c>
      <c r="BB102" s="684">
        <f>IF(終値!A102="","",IF(AND(高値!AF102&gt;高値!AE102,高値!AF102&gt;高値!AD102,高値!AF102&gt;高値!AG102,高値!AF102&gt;高値!AH102),27,""))</f>
      </c>
      <c r="BC102" s="684">
        <f>IF(終値!A102="","",IF(AND(高値!AG102&gt;高値!AF102,高値!AG102&gt;高値!AE102,高値!AG102&gt;高値!AH102,高値!AG102&gt;高値!AI102),28,""))</f>
      </c>
      <c r="BD102" s="684">
        <f>COUNT($B102:$AB102)</f>
      </c>
      <c r="BE102" s="684">
        <f>IF($BD102&gt;=2,MIN($B102:$AB102),"")</f>
      </c>
      <c r="BF102" s="684">
        <f>IF($BD102&gt;=2,SMALL($B102:$AB102,2),"")</f>
      </c>
      <c r="BG102" s="684">
        <f>IF($BE102="","",INDEX(安値!$E102:$CZ102,1,$BE102+1))</f>
      </c>
      <c r="BH102" s="684">
        <f>IF($BF102="","",INDEX(安値!$E102:$CZ102,1,$BF102+1))</f>
      </c>
      <c r="BI102" s="684">
        <f>IF($BF102="","",MAX(INDEX(高値!$E102:$CZ102,1,$BE102+1):INDEX(高値!$E102:$CZ102,1,$BF102+1)))</f>
      </c>
      <c r="BJ102" s="684">
        <f>IF($BF102="","",AVERAGE(INDEX(終値!$E102:$CZ102,1,$BF102+1):INDEX(終値!$E102:$CZ102,1,$BF102+20))-2*STDEVP(INDEX(終値!$E102:$CZ102,1,$BF102+1):INDEX(終値!$E102:$CZ102,1,$BF102+20)))</f>
      </c>
      <c r="BK102" s="684">
        <f>IF($BE102="","",AVERAGE(INDEX(終値!$E102:$CZ102,1,$BE102+1):INDEX(終値!$E102:$CZ102,1,$BE102+20))-2*STDEVP(INDEX(終値!$E102:$CZ102,1,$BE102+1):INDEX(終値!$E102:$CZ102,1,$BE102+20)))</f>
      </c>
      <c r="BL102" s="684">
        <f>COUNT($AC102:$BC102)</f>
      </c>
      <c r="BM102" s="684">
        <f>IF($BL102&gt;=2,MIN($AC102:$BC102),"")</f>
      </c>
      <c r="BN102" s="684">
        <f>IF($BL102&gt;=2,SMALL($AC102:$BC102,2),"")</f>
      </c>
      <c r="BO102" s="684">
        <f>IF($BM102="","",INDEX(高値!$E102:$CZ102,1,$BM102+1))</f>
      </c>
      <c r="BP102" s="684">
        <f>IF($BN102="","",INDEX(高値!$E102:$CZ102,1,$BN102+1))</f>
      </c>
      <c r="BQ102" s="684">
        <f>IF($BN102="","",MIN(INDEX(安値!$E102:$CZ102,1,$BM102+1):INDEX(安値!$E102:$CZ102,1,$BN102+1)))</f>
      </c>
      <c r="BR102" s="684">
        <f>IF($BN102="","",AVERAGE(INDEX(終値!$E102:$CZ102,1,$BN102+1):INDEX(終値!$E102:$CZ102,1,$BN102+20))+2*STDEVP(INDEX(終値!$E102:$CZ102,1,$BN102+1):INDEX(終値!$E102:$CZ102,1,$BN102+20)))</f>
      </c>
      <c r="BS102" s="684">
        <f>IF($BM102="","",AVERAGE(INDEX(終値!$E102:$CZ102,1,$BM102+1):INDEX(終値!$E102:$CZ102,1,$BM102+20))+2*STDEVP(INDEX(終値!$E102:$CZ102,1,$BM102+1):INDEX(終値!$E102:$CZ102,1,$BM102+20)))</f>
      </c>
      <c r="BT102" s="681">
        <f>IFERROR(IF(AND($BD102&gt;=2,ABS($BG102-$BH102)/$BH102&lt;=BB設定!$B$12,$BI102&gt;=MAX($BH102,$BG102)*(1+BB設定!$B$13),終値!E102&gt;$BG102),IF(OR(終値!E102&gt;=$BI102,AND($BH102&lt;$BJ102,$BG102&gt;=$BK102)),"二番底W▲","二番底W形成"),IF(AND($BL102&gt;=2,ABS($BO102-$BP102)/$BP102&lt;=BB設定!$B$12,$BQ102&lt;=MIN($BP102,$BO102)*(1-BB設定!$B$13),終値!E102&lt;$BO102),IF(OR(終値!E102&lt;=$BQ102,AND($BP102&gt;$BR102,$BO102&lt;=$BS102)),"二番天井M▼","二番天井M形成"),"－")),"－")</f>
      </c>
    </row>
    <row r="103">
      <c r="B103" s="684">
        <f>IF(終値!A103="","",IF(AND(安値!G103&lt;安値!F103,安値!G103&lt;安値!E103,安値!G103&lt;安値!H103,安値!G103&lt;安値!I103),2,""))</f>
      </c>
      <c r="C103" s="684">
        <f>IF(終値!A103="","",IF(AND(安値!H103&lt;安値!G103,安値!H103&lt;安値!F103,安値!H103&lt;安値!I103,安値!H103&lt;安値!J103),3,""))</f>
      </c>
      <c r="D103" s="684">
        <f>IF(終値!A103="","",IF(AND(安値!I103&lt;安値!H103,安値!I103&lt;安値!G103,安値!I103&lt;安値!J103,安値!I103&lt;安値!K103),4,""))</f>
      </c>
      <c r="E103" s="684">
        <f>IF(終値!A103="","",IF(AND(安値!J103&lt;安値!I103,安値!J103&lt;安値!H103,安値!J103&lt;安値!K103,安値!J103&lt;安値!L103),5,""))</f>
      </c>
      <c r="F103" s="684">
        <f>IF(終値!A103="","",IF(AND(安値!K103&lt;安値!J103,安値!K103&lt;安値!I103,安値!K103&lt;安値!L103,安値!K103&lt;安値!M103),6,""))</f>
      </c>
      <c r="G103" s="684">
        <f>IF(終値!A103="","",IF(AND(安値!L103&lt;安値!K103,安値!L103&lt;安値!J103,安値!L103&lt;安値!M103,安値!L103&lt;安値!N103),7,""))</f>
      </c>
      <c r="H103" s="684">
        <f>IF(終値!A103="","",IF(AND(安値!M103&lt;安値!L103,安値!M103&lt;安値!K103,安値!M103&lt;安値!N103,安値!M103&lt;安値!O103),8,""))</f>
      </c>
      <c r="I103" s="684">
        <f>IF(終値!A103="","",IF(AND(安値!N103&lt;安値!M103,安値!N103&lt;安値!L103,安値!N103&lt;安値!O103,安値!N103&lt;安値!P103),9,""))</f>
      </c>
      <c r="J103" s="684">
        <f>IF(終値!A103="","",IF(AND(安値!O103&lt;安値!N103,安値!O103&lt;安値!M103,安値!O103&lt;安値!P103,安値!O103&lt;安値!Q103),10,""))</f>
      </c>
      <c r="K103" s="684">
        <f>IF(終値!A103="","",IF(AND(安値!P103&lt;安値!O103,安値!P103&lt;安値!N103,安値!P103&lt;安値!Q103,安値!P103&lt;安値!R103),11,""))</f>
      </c>
      <c r="L103" s="684">
        <f>IF(終値!A103="","",IF(AND(安値!Q103&lt;安値!P103,安値!Q103&lt;安値!O103,安値!Q103&lt;安値!R103,安値!Q103&lt;安値!S103),12,""))</f>
      </c>
      <c r="M103" s="684">
        <f>IF(終値!A103="","",IF(AND(安値!R103&lt;安値!Q103,安値!R103&lt;安値!P103,安値!R103&lt;安値!S103,安値!R103&lt;安値!T103),13,""))</f>
      </c>
      <c r="N103" s="684">
        <f>IF(終値!A103="","",IF(AND(安値!S103&lt;安値!R103,安値!S103&lt;安値!Q103,安値!S103&lt;安値!T103,安値!S103&lt;安値!U103),14,""))</f>
      </c>
      <c r="O103" s="684">
        <f>IF(終値!A103="","",IF(AND(安値!T103&lt;安値!S103,安値!T103&lt;安値!R103,安値!T103&lt;安値!U103,安値!T103&lt;安値!V103),15,""))</f>
      </c>
      <c r="P103" s="684">
        <f>IF(終値!A103="","",IF(AND(安値!U103&lt;安値!T103,安値!U103&lt;安値!S103,安値!U103&lt;安値!V103,安値!U103&lt;安値!W103),16,""))</f>
      </c>
      <c r="Q103" s="684">
        <f>IF(終値!A103="","",IF(AND(安値!V103&lt;安値!U103,安値!V103&lt;安値!T103,安値!V103&lt;安値!W103,安値!V103&lt;安値!X103),17,""))</f>
      </c>
      <c r="R103" s="684">
        <f>IF(終値!A103="","",IF(AND(安値!W103&lt;安値!V103,安値!W103&lt;安値!U103,安値!W103&lt;安値!X103,安値!W103&lt;安値!Y103),18,""))</f>
      </c>
      <c r="S103" s="684">
        <f>IF(終値!A103="","",IF(AND(安値!X103&lt;安値!W103,安値!X103&lt;安値!V103,安値!X103&lt;安値!Y103,安値!X103&lt;安値!Z103),19,""))</f>
      </c>
      <c r="T103" s="684">
        <f>IF(終値!A103="","",IF(AND(安値!Y103&lt;安値!X103,安値!Y103&lt;安値!W103,安値!Y103&lt;安値!Z103,安値!Y103&lt;安値!AA103),20,""))</f>
      </c>
      <c r="U103" s="684">
        <f>IF(終値!A103="","",IF(AND(安値!Z103&lt;安値!Y103,安値!Z103&lt;安値!X103,安値!Z103&lt;安値!AA103,安値!Z103&lt;安値!AB103),21,""))</f>
      </c>
      <c r="V103" s="684">
        <f>IF(終値!A103="","",IF(AND(安値!AA103&lt;安値!Z103,安値!AA103&lt;安値!Y103,安値!AA103&lt;安値!AB103,安値!AA103&lt;安値!AC103),22,""))</f>
      </c>
      <c r="W103" s="684">
        <f>IF(終値!A103="","",IF(AND(安値!AB103&lt;安値!AA103,安値!AB103&lt;安値!Z103,安値!AB103&lt;安値!AC103,安値!AB103&lt;安値!AD103),23,""))</f>
      </c>
      <c r="X103" s="684">
        <f>IF(終値!A103="","",IF(AND(安値!AC103&lt;安値!AB103,安値!AC103&lt;安値!AA103,安値!AC103&lt;安値!AD103,安値!AC103&lt;安値!AE103),24,""))</f>
      </c>
      <c r="Y103" s="684">
        <f>IF(終値!A103="","",IF(AND(安値!AD103&lt;安値!AC103,安値!AD103&lt;安値!AB103,安値!AD103&lt;安値!AE103,安値!AD103&lt;安値!AF103),25,""))</f>
      </c>
      <c r="Z103" s="684">
        <f>IF(終値!A103="","",IF(AND(安値!AE103&lt;安値!AD103,安値!AE103&lt;安値!AC103,安値!AE103&lt;安値!AF103,安値!AE103&lt;安値!AG103),26,""))</f>
      </c>
      <c r="AA103" s="684">
        <f>IF(終値!A103="","",IF(AND(安値!AF103&lt;安値!AE103,安値!AF103&lt;安値!AD103,安値!AF103&lt;安値!AG103,安値!AF103&lt;安値!AH103),27,""))</f>
      </c>
      <c r="AB103" s="684">
        <f>IF(終値!A103="","",IF(AND(安値!AG103&lt;安値!AF103,安値!AG103&lt;安値!AE103,安値!AG103&lt;安値!AH103,安値!AG103&lt;安値!AI103),28,""))</f>
      </c>
      <c r="AC103" s="684">
        <f>IF(終値!A103="","",IF(AND(高値!G103&gt;高値!F103,高値!G103&gt;高値!E103,高値!G103&gt;高値!H103,高値!G103&gt;高値!I103),2,""))</f>
      </c>
      <c r="AD103" s="684">
        <f>IF(終値!A103="","",IF(AND(高値!H103&gt;高値!G103,高値!H103&gt;高値!F103,高値!H103&gt;高値!I103,高値!H103&gt;高値!J103),3,""))</f>
      </c>
      <c r="AE103" s="684">
        <f>IF(終値!A103="","",IF(AND(高値!I103&gt;高値!H103,高値!I103&gt;高値!G103,高値!I103&gt;高値!J103,高値!I103&gt;高値!K103),4,""))</f>
      </c>
      <c r="AF103" s="684">
        <f>IF(終値!A103="","",IF(AND(高値!J103&gt;高値!I103,高値!J103&gt;高値!H103,高値!J103&gt;高値!K103,高値!J103&gt;高値!L103),5,""))</f>
      </c>
      <c r="AG103" s="684">
        <f>IF(終値!A103="","",IF(AND(高値!K103&gt;高値!J103,高値!K103&gt;高値!I103,高値!K103&gt;高値!L103,高値!K103&gt;高値!M103),6,""))</f>
      </c>
      <c r="AH103" s="684">
        <f>IF(終値!A103="","",IF(AND(高値!L103&gt;高値!K103,高値!L103&gt;高値!J103,高値!L103&gt;高値!M103,高値!L103&gt;高値!N103),7,""))</f>
      </c>
      <c r="AI103" s="684">
        <f>IF(終値!A103="","",IF(AND(高値!M103&gt;高値!L103,高値!M103&gt;高値!K103,高値!M103&gt;高値!N103,高値!M103&gt;高値!O103),8,""))</f>
      </c>
      <c r="AJ103" s="684">
        <f>IF(終値!A103="","",IF(AND(高値!N103&gt;高値!M103,高値!N103&gt;高値!L103,高値!N103&gt;高値!O103,高値!N103&gt;高値!P103),9,""))</f>
      </c>
      <c r="AK103" s="684">
        <f>IF(終値!A103="","",IF(AND(高値!O103&gt;高値!N103,高値!O103&gt;高値!M103,高値!O103&gt;高値!P103,高値!O103&gt;高値!Q103),10,""))</f>
      </c>
      <c r="AL103" s="684">
        <f>IF(終値!A103="","",IF(AND(高値!P103&gt;高値!O103,高値!P103&gt;高値!N103,高値!P103&gt;高値!Q103,高値!P103&gt;高値!R103),11,""))</f>
      </c>
      <c r="AM103" s="684">
        <f>IF(終値!A103="","",IF(AND(高値!Q103&gt;高値!P103,高値!Q103&gt;高値!O103,高値!Q103&gt;高値!R103,高値!Q103&gt;高値!S103),12,""))</f>
      </c>
      <c r="AN103" s="684">
        <f>IF(終値!A103="","",IF(AND(高値!R103&gt;高値!Q103,高値!R103&gt;高値!P103,高値!R103&gt;高値!S103,高値!R103&gt;高値!T103),13,""))</f>
      </c>
      <c r="AO103" s="684">
        <f>IF(終値!A103="","",IF(AND(高値!S103&gt;高値!R103,高値!S103&gt;高値!Q103,高値!S103&gt;高値!T103,高値!S103&gt;高値!U103),14,""))</f>
      </c>
      <c r="AP103" s="684">
        <f>IF(終値!A103="","",IF(AND(高値!T103&gt;高値!S103,高値!T103&gt;高値!R103,高値!T103&gt;高値!U103,高値!T103&gt;高値!V103),15,""))</f>
      </c>
      <c r="AQ103" s="684">
        <f>IF(終値!A103="","",IF(AND(高値!U103&gt;高値!T103,高値!U103&gt;高値!S103,高値!U103&gt;高値!V103,高値!U103&gt;高値!W103),16,""))</f>
      </c>
      <c r="AR103" s="684">
        <f>IF(終値!A103="","",IF(AND(高値!V103&gt;高値!U103,高値!V103&gt;高値!T103,高値!V103&gt;高値!W103,高値!V103&gt;高値!X103),17,""))</f>
      </c>
      <c r="AS103" s="684">
        <f>IF(終値!A103="","",IF(AND(高値!W103&gt;高値!V103,高値!W103&gt;高値!U103,高値!W103&gt;高値!X103,高値!W103&gt;高値!Y103),18,""))</f>
      </c>
      <c r="AT103" s="684">
        <f>IF(終値!A103="","",IF(AND(高値!X103&gt;高値!W103,高値!X103&gt;高値!V103,高値!X103&gt;高値!Y103,高値!X103&gt;高値!Z103),19,""))</f>
      </c>
      <c r="AU103" s="684">
        <f>IF(終値!A103="","",IF(AND(高値!Y103&gt;高値!X103,高値!Y103&gt;高値!W103,高値!Y103&gt;高値!Z103,高値!Y103&gt;高値!AA103),20,""))</f>
      </c>
      <c r="AV103" s="684">
        <f>IF(終値!A103="","",IF(AND(高値!Z103&gt;高値!Y103,高値!Z103&gt;高値!X103,高値!Z103&gt;高値!AA103,高値!Z103&gt;高値!AB103),21,""))</f>
      </c>
      <c r="AW103" s="684">
        <f>IF(終値!A103="","",IF(AND(高値!AA103&gt;高値!Z103,高値!AA103&gt;高値!Y103,高値!AA103&gt;高値!AB103,高値!AA103&gt;高値!AC103),22,""))</f>
      </c>
      <c r="AX103" s="684">
        <f>IF(終値!A103="","",IF(AND(高値!AB103&gt;高値!AA103,高値!AB103&gt;高値!Z103,高値!AB103&gt;高値!AC103,高値!AB103&gt;高値!AD103),23,""))</f>
      </c>
      <c r="AY103" s="684">
        <f>IF(終値!A103="","",IF(AND(高値!AC103&gt;高値!AB103,高値!AC103&gt;高値!AA103,高値!AC103&gt;高値!AD103,高値!AC103&gt;高値!AE103),24,""))</f>
      </c>
      <c r="AZ103" s="684">
        <f>IF(終値!A103="","",IF(AND(高値!AD103&gt;高値!AC103,高値!AD103&gt;高値!AB103,高値!AD103&gt;高値!AE103,高値!AD103&gt;高値!AF103),25,""))</f>
      </c>
      <c r="BA103" s="684">
        <f>IF(終値!A103="","",IF(AND(高値!AE103&gt;高値!AD103,高値!AE103&gt;高値!AC103,高値!AE103&gt;高値!AF103,高値!AE103&gt;高値!AG103),26,""))</f>
      </c>
      <c r="BB103" s="684">
        <f>IF(終値!A103="","",IF(AND(高値!AF103&gt;高値!AE103,高値!AF103&gt;高値!AD103,高値!AF103&gt;高値!AG103,高値!AF103&gt;高値!AH103),27,""))</f>
      </c>
      <c r="BC103" s="684">
        <f>IF(終値!A103="","",IF(AND(高値!AG103&gt;高値!AF103,高値!AG103&gt;高値!AE103,高値!AG103&gt;高値!AH103,高値!AG103&gt;高値!AI103),28,""))</f>
      </c>
      <c r="BD103" s="684">
        <f>COUNT($B103:$AB103)</f>
      </c>
      <c r="BE103" s="684">
        <f>IF($BD103&gt;=2,MIN($B103:$AB103),"")</f>
      </c>
      <c r="BF103" s="684">
        <f>IF($BD103&gt;=2,SMALL($B103:$AB103,2),"")</f>
      </c>
      <c r="BG103" s="684">
        <f>IF($BE103="","",INDEX(安値!$E103:$CZ103,1,$BE103+1))</f>
      </c>
      <c r="BH103" s="684">
        <f>IF($BF103="","",INDEX(安値!$E103:$CZ103,1,$BF103+1))</f>
      </c>
      <c r="BI103" s="684">
        <f>IF($BF103="","",MAX(INDEX(高値!$E103:$CZ103,1,$BE103+1):INDEX(高値!$E103:$CZ103,1,$BF103+1)))</f>
      </c>
      <c r="BJ103" s="684">
        <f>IF($BF103="","",AVERAGE(INDEX(終値!$E103:$CZ103,1,$BF103+1):INDEX(終値!$E103:$CZ103,1,$BF103+20))-2*STDEVP(INDEX(終値!$E103:$CZ103,1,$BF103+1):INDEX(終値!$E103:$CZ103,1,$BF103+20)))</f>
      </c>
      <c r="BK103" s="684">
        <f>IF($BE103="","",AVERAGE(INDEX(終値!$E103:$CZ103,1,$BE103+1):INDEX(終値!$E103:$CZ103,1,$BE103+20))-2*STDEVP(INDEX(終値!$E103:$CZ103,1,$BE103+1):INDEX(終値!$E103:$CZ103,1,$BE103+20)))</f>
      </c>
      <c r="BL103" s="684">
        <f>COUNT($AC103:$BC103)</f>
      </c>
      <c r="BM103" s="684">
        <f>IF($BL103&gt;=2,MIN($AC103:$BC103),"")</f>
      </c>
      <c r="BN103" s="684">
        <f>IF($BL103&gt;=2,SMALL($AC103:$BC103,2),"")</f>
      </c>
      <c r="BO103" s="684">
        <f>IF($BM103="","",INDEX(高値!$E103:$CZ103,1,$BM103+1))</f>
      </c>
      <c r="BP103" s="684">
        <f>IF($BN103="","",INDEX(高値!$E103:$CZ103,1,$BN103+1))</f>
      </c>
      <c r="BQ103" s="684">
        <f>IF($BN103="","",MIN(INDEX(安値!$E103:$CZ103,1,$BM103+1):INDEX(安値!$E103:$CZ103,1,$BN103+1)))</f>
      </c>
      <c r="BR103" s="684">
        <f>IF($BN103="","",AVERAGE(INDEX(終値!$E103:$CZ103,1,$BN103+1):INDEX(終値!$E103:$CZ103,1,$BN103+20))+2*STDEVP(INDEX(終値!$E103:$CZ103,1,$BN103+1):INDEX(終値!$E103:$CZ103,1,$BN103+20)))</f>
      </c>
      <c r="BS103" s="684">
        <f>IF($BM103="","",AVERAGE(INDEX(終値!$E103:$CZ103,1,$BM103+1):INDEX(終値!$E103:$CZ103,1,$BM103+20))+2*STDEVP(INDEX(終値!$E103:$CZ103,1,$BM103+1):INDEX(終値!$E103:$CZ103,1,$BM103+20)))</f>
      </c>
      <c r="BT103" s="681">
        <f>IFERROR(IF(AND($BD103&gt;=2,ABS($BG103-$BH103)/$BH103&lt;=BB設定!$B$12,$BI103&gt;=MAX($BH103,$BG103)*(1+BB設定!$B$13),終値!E103&gt;$BG103),IF(OR(終値!E103&gt;=$BI103,AND($BH103&lt;$BJ103,$BG103&gt;=$BK103)),"二番底W▲","二番底W形成"),IF(AND($BL103&gt;=2,ABS($BO103-$BP103)/$BP103&lt;=BB設定!$B$12,$BQ103&lt;=MIN($BP103,$BO103)*(1-BB設定!$B$13),終値!E103&lt;$BO103),IF(OR(終値!E103&lt;=$BQ103,AND($BP103&gt;$BR103,$BO103&lt;=$BS103)),"二番天井M▼","二番天井M形成"),"－")),"－")</f>
      </c>
    </row>
    <row r="104">
      <c r="B104" s="684">
        <f>IF(終値!A104="","",IF(AND(安値!G104&lt;安値!F104,安値!G104&lt;安値!E104,安値!G104&lt;安値!H104,安値!G104&lt;安値!I104),2,""))</f>
      </c>
      <c r="C104" s="684">
        <f>IF(終値!A104="","",IF(AND(安値!H104&lt;安値!G104,安値!H104&lt;安値!F104,安値!H104&lt;安値!I104,安値!H104&lt;安値!J104),3,""))</f>
      </c>
      <c r="D104" s="684">
        <f>IF(終値!A104="","",IF(AND(安値!I104&lt;安値!H104,安値!I104&lt;安値!G104,安値!I104&lt;安値!J104,安値!I104&lt;安値!K104),4,""))</f>
      </c>
      <c r="E104" s="684">
        <f>IF(終値!A104="","",IF(AND(安値!J104&lt;安値!I104,安値!J104&lt;安値!H104,安値!J104&lt;安値!K104,安値!J104&lt;安値!L104),5,""))</f>
      </c>
      <c r="F104" s="684">
        <f>IF(終値!A104="","",IF(AND(安値!K104&lt;安値!J104,安値!K104&lt;安値!I104,安値!K104&lt;安値!L104,安値!K104&lt;安値!M104),6,""))</f>
      </c>
      <c r="G104" s="684">
        <f>IF(終値!A104="","",IF(AND(安値!L104&lt;安値!K104,安値!L104&lt;安値!J104,安値!L104&lt;安値!M104,安値!L104&lt;安値!N104),7,""))</f>
      </c>
      <c r="H104" s="684">
        <f>IF(終値!A104="","",IF(AND(安値!M104&lt;安値!L104,安値!M104&lt;安値!K104,安値!M104&lt;安値!N104,安値!M104&lt;安値!O104),8,""))</f>
      </c>
      <c r="I104" s="684">
        <f>IF(終値!A104="","",IF(AND(安値!N104&lt;安値!M104,安値!N104&lt;安値!L104,安値!N104&lt;安値!O104,安値!N104&lt;安値!P104),9,""))</f>
      </c>
      <c r="J104" s="684">
        <f>IF(終値!A104="","",IF(AND(安値!O104&lt;安値!N104,安値!O104&lt;安値!M104,安値!O104&lt;安値!P104,安値!O104&lt;安値!Q104),10,""))</f>
      </c>
      <c r="K104" s="684">
        <f>IF(終値!A104="","",IF(AND(安値!P104&lt;安値!O104,安値!P104&lt;安値!N104,安値!P104&lt;安値!Q104,安値!P104&lt;安値!R104),11,""))</f>
      </c>
      <c r="L104" s="684">
        <f>IF(終値!A104="","",IF(AND(安値!Q104&lt;安値!P104,安値!Q104&lt;安値!O104,安値!Q104&lt;安値!R104,安値!Q104&lt;安値!S104),12,""))</f>
      </c>
      <c r="M104" s="684">
        <f>IF(終値!A104="","",IF(AND(安値!R104&lt;安値!Q104,安値!R104&lt;安値!P104,安値!R104&lt;安値!S104,安値!R104&lt;安値!T104),13,""))</f>
      </c>
      <c r="N104" s="684">
        <f>IF(終値!A104="","",IF(AND(安値!S104&lt;安値!R104,安値!S104&lt;安値!Q104,安値!S104&lt;安値!T104,安値!S104&lt;安値!U104),14,""))</f>
      </c>
      <c r="O104" s="684">
        <f>IF(終値!A104="","",IF(AND(安値!T104&lt;安値!S104,安値!T104&lt;安値!R104,安値!T104&lt;安値!U104,安値!T104&lt;安値!V104),15,""))</f>
      </c>
      <c r="P104" s="684">
        <f>IF(終値!A104="","",IF(AND(安値!U104&lt;安値!T104,安値!U104&lt;安値!S104,安値!U104&lt;安値!V104,安値!U104&lt;安値!W104),16,""))</f>
      </c>
      <c r="Q104" s="684">
        <f>IF(終値!A104="","",IF(AND(安値!V104&lt;安値!U104,安値!V104&lt;安値!T104,安値!V104&lt;安値!W104,安値!V104&lt;安値!X104),17,""))</f>
      </c>
      <c r="R104" s="684">
        <f>IF(終値!A104="","",IF(AND(安値!W104&lt;安値!V104,安値!W104&lt;安値!U104,安値!W104&lt;安値!X104,安値!W104&lt;安値!Y104),18,""))</f>
      </c>
      <c r="S104" s="684">
        <f>IF(終値!A104="","",IF(AND(安値!X104&lt;安値!W104,安値!X104&lt;安値!V104,安値!X104&lt;安値!Y104,安値!X104&lt;安値!Z104),19,""))</f>
      </c>
      <c r="T104" s="684">
        <f>IF(終値!A104="","",IF(AND(安値!Y104&lt;安値!X104,安値!Y104&lt;安値!W104,安値!Y104&lt;安値!Z104,安値!Y104&lt;安値!AA104),20,""))</f>
      </c>
      <c r="U104" s="684">
        <f>IF(終値!A104="","",IF(AND(安値!Z104&lt;安値!Y104,安値!Z104&lt;安値!X104,安値!Z104&lt;安値!AA104,安値!Z104&lt;安値!AB104),21,""))</f>
      </c>
      <c r="V104" s="684">
        <f>IF(終値!A104="","",IF(AND(安値!AA104&lt;安値!Z104,安値!AA104&lt;安値!Y104,安値!AA104&lt;安値!AB104,安値!AA104&lt;安値!AC104),22,""))</f>
      </c>
      <c r="W104" s="684">
        <f>IF(終値!A104="","",IF(AND(安値!AB104&lt;安値!AA104,安値!AB104&lt;安値!Z104,安値!AB104&lt;安値!AC104,安値!AB104&lt;安値!AD104),23,""))</f>
      </c>
      <c r="X104" s="684">
        <f>IF(終値!A104="","",IF(AND(安値!AC104&lt;安値!AB104,安値!AC104&lt;安値!AA104,安値!AC104&lt;安値!AD104,安値!AC104&lt;安値!AE104),24,""))</f>
      </c>
      <c r="Y104" s="684">
        <f>IF(終値!A104="","",IF(AND(安値!AD104&lt;安値!AC104,安値!AD104&lt;安値!AB104,安値!AD104&lt;安値!AE104,安値!AD104&lt;安値!AF104),25,""))</f>
      </c>
      <c r="Z104" s="684">
        <f>IF(終値!A104="","",IF(AND(安値!AE104&lt;安値!AD104,安値!AE104&lt;安値!AC104,安値!AE104&lt;安値!AF104,安値!AE104&lt;安値!AG104),26,""))</f>
      </c>
      <c r="AA104" s="684">
        <f>IF(終値!A104="","",IF(AND(安値!AF104&lt;安値!AE104,安値!AF104&lt;安値!AD104,安値!AF104&lt;安値!AG104,安値!AF104&lt;安値!AH104),27,""))</f>
      </c>
      <c r="AB104" s="684">
        <f>IF(終値!A104="","",IF(AND(安値!AG104&lt;安値!AF104,安値!AG104&lt;安値!AE104,安値!AG104&lt;安値!AH104,安値!AG104&lt;安値!AI104),28,""))</f>
      </c>
      <c r="AC104" s="684">
        <f>IF(終値!A104="","",IF(AND(高値!G104&gt;高値!F104,高値!G104&gt;高値!E104,高値!G104&gt;高値!H104,高値!G104&gt;高値!I104),2,""))</f>
      </c>
      <c r="AD104" s="684">
        <f>IF(終値!A104="","",IF(AND(高値!H104&gt;高値!G104,高値!H104&gt;高値!F104,高値!H104&gt;高値!I104,高値!H104&gt;高値!J104),3,""))</f>
      </c>
      <c r="AE104" s="684">
        <f>IF(終値!A104="","",IF(AND(高値!I104&gt;高値!H104,高値!I104&gt;高値!G104,高値!I104&gt;高値!J104,高値!I104&gt;高値!K104),4,""))</f>
      </c>
      <c r="AF104" s="684">
        <f>IF(終値!A104="","",IF(AND(高値!J104&gt;高値!I104,高値!J104&gt;高値!H104,高値!J104&gt;高値!K104,高値!J104&gt;高値!L104),5,""))</f>
      </c>
      <c r="AG104" s="684">
        <f>IF(終値!A104="","",IF(AND(高値!K104&gt;高値!J104,高値!K104&gt;高値!I104,高値!K104&gt;高値!L104,高値!K104&gt;高値!M104),6,""))</f>
      </c>
      <c r="AH104" s="684">
        <f>IF(終値!A104="","",IF(AND(高値!L104&gt;高値!K104,高値!L104&gt;高値!J104,高値!L104&gt;高値!M104,高値!L104&gt;高値!N104),7,""))</f>
      </c>
      <c r="AI104" s="684">
        <f>IF(終値!A104="","",IF(AND(高値!M104&gt;高値!L104,高値!M104&gt;高値!K104,高値!M104&gt;高値!N104,高値!M104&gt;高値!O104),8,""))</f>
      </c>
      <c r="AJ104" s="684">
        <f>IF(終値!A104="","",IF(AND(高値!N104&gt;高値!M104,高値!N104&gt;高値!L104,高値!N104&gt;高値!O104,高値!N104&gt;高値!P104),9,""))</f>
      </c>
      <c r="AK104" s="684">
        <f>IF(終値!A104="","",IF(AND(高値!O104&gt;高値!N104,高値!O104&gt;高値!M104,高値!O104&gt;高値!P104,高値!O104&gt;高値!Q104),10,""))</f>
      </c>
      <c r="AL104" s="684">
        <f>IF(終値!A104="","",IF(AND(高値!P104&gt;高値!O104,高値!P104&gt;高値!N104,高値!P104&gt;高値!Q104,高値!P104&gt;高値!R104),11,""))</f>
      </c>
      <c r="AM104" s="684">
        <f>IF(終値!A104="","",IF(AND(高値!Q104&gt;高値!P104,高値!Q104&gt;高値!O104,高値!Q104&gt;高値!R104,高値!Q104&gt;高値!S104),12,""))</f>
      </c>
      <c r="AN104" s="684">
        <f>IF(終値!A104="","",IF(AND(高値!R104&gt;高値!Q104,高値!R104&gt;高値!P104,高値!R104&gt;高値!S104,高値!R104&gt;高値!T104),13,""))</f>
      </c>
      <c r="AO104" s="684">
        <f>IF(終値!A104="","",IF(AND(高値!S104&gt;高値!R104,高値!S104&gt;高値!Q104,高値!S104&gt;高値!T104,高値!S104&gt;高値!U104),14,""))</f>
      </c>
      <c r="AP104" s="684">
        <f>IF(終値!A104="","",IF(AND(高値!T104&gt;高値!S104,高値!T104&gt;高値!R104,高値!T104&gt;高値!U104,高値!T104&gt;高値!V104),15,""))</f>
      </c>
      <c r="AQ104" s="684">
        <f>IF(終値!A104="","",IF(AND(高値!U104&gt;高値!T104,高値!U104&gt;高値!S104,高値!U104&gt;高値!V104,高値!U104&gt;高値!W104),16,""))</f>
      </c>
      <c r="AR104" s="684">
        <f>IF(終値!A104="","",IF(AND(高値!V104&gt;高値!U104,高値!V104&gt;高値!T104,高値!V104&gt;高値!W104,高値!V104&gt;高値!X104),17,""))</f>
      </c>
      <c r="AS104" s="684">
        <f>IF(終値!A104="","",IF(AND(高値!W104&gt;高値!V104,高値!W104&gt;高値!U104,高値!W104&gt;高値!X104,高値!W104&gt;高値!Y104),18,""))</f>
      </c>
      <c r="AT104" s="684">
        <f>IF(終値!A104="","",IF(AND(高値!X104&gt;高値!W104,高値!X104&gt;高値!V104,高値!X104&gt;高値!Y104,高値!X104&gt;高値!Z104),19,""))</f>
      </c>
      <c r="AU104" s="684">
        <f>IF(終値!A104="","",IF(AND(高値!Y104&gt;高値!X104,高値!Y104&gt;高値!W104,高値!Y104&gt;高値!Z104,高値!Y104&gt;高値!AA104),20,""))</f>
      </c>
      <c r="AV104" s="684">
        <f>IF(終値!A104="","",IF(AND(高値!Z104&gt;高値!Y104,高値!Z104&gt;高値!X104,高値!Z104&gt;高値!AA104,高値!Z104&gt;高値!AB104),21,""))</f>
      </c>
      <c r="AW104" s="684">
        <f>IF(終値!A104="","",IF(AND(高値!AA104&gt;高値!Z104,高値!AA104&gt;高値!Y104,高値!AA104&gt;高値!AB104,高値!AA104&gt;高値!AC104),22,""))</f>
      </c>
      <c r="AX104" s="684">
        <f>IF(終値!A104="","",IF(AND(高値!AB104&gt;高値!AA104,高値!AB104&gt;高値!Z104,高値!AB104&gt;高値!AC104,高値!AB104&gt;高値!AD104),23,""))</f>
      </c>
      <c r="AY104" s="684">
        <f>IF(終値!A104="","",IF(AND(高値!AC104&gt;高値!AB104,高値!AC104&gt;高値!AA104,高値!AC104&gt;高値!AD104,高値!AC104&gt;高値!AE104),24,""))</f>
      </c>
      <c r="AZ104" s="684">
        <f>IF(終値!A104="","",IF(AND(高値!AD104&gt;高値!AC104,高値!AD104&gt;高値!AB104,高値!AD104&gt;高値!AE104,高値!AD104&gt;高値!AF104),25,""))</f>
      </c>
      <c r="BA104" s="684">
        <f>IF(終値!A104="","",IF(AND(高値!AE104&gt;高値!AD104,高値!AE104&gt;高値!AC104,高値!AE104&gt;高値!AF104,高値!AE104&gt;高値!AG104),26,""))</f>
      </c>
      <c r="BB104" s="684">
        <f>IF(終値!A104="","",IF(AND(高値!AF104&gt;高値!AE104,高値!AF104&gt;高値!AD104,高値!AF104&gt;高値!AG104,高値!AF104&gt;高値!AH104),27,""))</f>
      </c>
      <c r="BC104" s="684">
        <f>IF(終値!A104="","",IF(AND(高値!AG104&gt;高値!AF104,高値!AG104&gt;高値!AE104,高値!AG104&gt;高値!AH104,高値!AG104&gt;高値!AI104),28,""))</f>
      </c>
      <c r="BD104" s="684">
        <f>COUNT($B104:$AB104)</f>
      </c>
      <c r="BE104" s="684">
        <f>IF($BD104&gt;=2,MIN($B104:$AB104),"")</f>
      </c>
      <c r="BF104" s="684">
        <f>IF($BD104&gt;=2,SMALL($B104:$AB104,2),"")</f>
      </c>
      <c r="BG104" s="684">
        <f>IF($BE104="","",INDEX(安値!$E104:$CZ104,1,$BE104+1))</f>
      </c>
      <c r="BH104" s="684">
        <f>IF($BF104="","",INDEX(安値!$E104:$CZ104,1,$BF104+1))</f>
      </c>
      <c r="BI104" s="684">
        <f>IF($BF104="","",MAX(INDEX(高値!$E104:$CZ104,1,$BE104+1):INDEX(高値!$E104:$CZ104,1,$BF104+1)))</f>
      </c>
      <c r="BJ104" s="684">
        <f>IF($BF104="","",AVERAGE(INDEX(終値!$E104:$CZ104,1,$BF104+1):INDEX(終値!$E104:$CZ104,1,$BF104+20))-2*STDEVP(INDEX(終値!$E104:$CZ104,1,$BF104+1):INDEX(終値!$E104:$CZ104,1,$BF104+20)))</f>
      </c>
      <c r="BK104" s="684">
        <f>IF($BE104="","",AVERAGE(INDEX(終値!$E104:$CZ104,1,$BE104+1):INDEX(終値!$E104:$CZ104,1,$BE104+20))-2*STDEVP(INDEX(終値!$E104:$CZ104,1,$BE104+1):INDEX(終値!$E104:$CZ104,1,$BE104+20)))</f>
      </c>
      <c r="BL104" s="684">
        <f>COUNT($AC104:$BC104)</f>
      </c>
      <c r="BM104" s="684">
        <f>IF($BL104&gt;=2,MIN($AC104:$BC104),"")</f>
      </c>
      <c r="BN104" s="684">
        <f>IF($BL104&gt;=2,SMALL($AC104:$BC104,2),"")</f>
      </c>
      <c r="BO104" s="684">
        <f>IF($BM104="","",INDEX(高値!$E104:$CZ104,1,$BM104+1))</f>
      </c>
      <c r="BP104" s="684">
        <f>IF($BN104="","",INDEX(高値!$E104:$CZ104,1,$BN104+1))</f>
      </c>
      <c r="BQ104" s="684">
        <f>IF($BN104="","",MIN(INDEX(安値!$E104:$CZ104,1,$BM104+1):INDEX(安値!$E104:$CZ104,1,$BN104+1)))</f>
      </c>
      <c r="BR104" s="684">
        <f>IF($BN104="","",AVERAGE(INDEX(終値!$E104:$CZ104,1,$BN104+1):INDEX(終値!$E104:$CZ104,1,$BN104+20))+2*STDEVP(INDEX(終値!$E104:$CZ104,1,$BN104+1):INDEX(終値!$E104:$CZ104,1,$BN104+20)))</f>
      </c>
      <c r="BS104" s="684">
        <f>IF($BM104="","",AVERAGE(INDEX(終値!$E104:$CZ104,1,$BM104+1):INDEX(終値!$E104:$CZ104,1,$BM104+20))+2*STDEVP(INDEX(終値!$E104:$CZ104,1,$BM104+1):INDEX(終値!$E104:$CZ104,1,$BM104+20)))</f>
      </c>
      <c r="BT104" s="681">
        <f>IFERROR(IF(AND($BD104&gt;=2,ABS($BG104-$BH104)/$BH104&lt;=BB設定!$B$12,$BI104&gt;=MAX($BH104,$BG104)*(1+BB設定!$B$13),終値!E104&gt;$BG104),IF(OR(終値!E104&gt;=$BI104,AND($BH104&lt;$BJ104,$BG104&gt;=$BK104)),"二番底W▲","二番底W形成"),IF(AND($BL104&gt;=2,ABS($BO104-$BP104)/$BP104&lt;=BB設定!$B$12,$BQ104&lt;=MIN($BP104,$BO104)*(1-BB設定!$B$13),終値!E104&lt;$BO104),IF(OR(終値!E104&lt;=$BQ104,AND($BP104&gt;$BR104,$BO104&lt;=$BS104)),"二番天井M▼","二番天井M形成"),"－")),"－")</f>
      </c>
    </row>
    <row r="105">
      <c r="B105" s="684">
        <f>IF(終値!A105="","",IF(AND(安値!G105&lt;安値!F105,安値!G105&lt;安値!E105,安値!G105&lt;安値!H105,安値!G105&lt;安値!I105),2,""))</f>
      </c>
      <c r="C105" s="684">
        <f>IF(終値!A105="","",IF(AND(安値!H105&lt;安値!G105,安値!H105&lt;安値!F105,安値!H105&lt;安値!I105,安値!H105&lt;安値!J105),3,""))</f>
      </c>
      <c r="D105" s="684">
        <f>IF(終値!A105="","",IF(AND(安値!I105&lt;安値!H105,安値!I105&lt;安値!G105,安値!I105&lt;安値!J105,安値!I105&lt;安値!K105),4,""))</f>
      </c>
      <c r="E105" s="684">
        <f>IF(終値!A105="","",IF(AND(安値!J105&lt;安値!I105,安値!J105&lt;安値!H105,安値!J105&lt;安値!K105,安値!J105&lt;安値!L105),5,""))</f>
      </c>
      <c r="F105" s="684">
        <f>IF(終値!A105="","",IF(AND(安値!K105&lt;安値!J105,安値!K105&lt;安値!I105,安値!K105&lt;安値!L105,安値!K105&lt;安値!M105),6,""))</f>
      </c>
      <c r="G105" s="684">
        <f>IF(終値!A105="","",IF(AND(安値!L105&lt;安値!K105,安値!L105&lt;安値!J105,安値!L105&lt;安値!M105,安値!L105&lt;安値!N105),7,""))</f>
      </c>
      <c r="H105" s="684">
        <f>IF(終値!A105="","",IF(AND(安値!M105&lt;安値!L105,安値!M105&lt;安値!K105,安値!M105&lt;安値!N105,安値!M105&lt;安値!O105),8,""))</f>
      </c>
      <c r="I105" s="684">
        <f>IF(終値!A105="","",IF(AND(安値!N105&lt;安値!M105,安値!N105&lt;安値!L105,安値!N105&lt;安値!O105,安値!N105&lt;安値!P105),9,""))</f>
      </c>
      <c r="J105" s="684">
        <f>IF(終値!A105="","",IF(AND(安値!O105&lt;安値!N105,安値!O105&lt;安値!M105,安値!O105&lt;安値!P105,安値!O105&lt;安値!Q105),10,""))</f>
      </c>
      <c r="K105" s="684">
        <f>IF(終値!A105="","",IF(AND(安値!P105&lt;安値!O105,安値!P105&lt;安値!N105,安値!P105&lt;安値!Q105,安値!P105&lt;安値!R105),11,""))</f>
      </c>
      <c r="L105" s="684">
        <f>IF(終値!A105="","",IF(AND(安値!Q105&lt;安値!P105,安値!Q105&lt;安値!O105,安値!Q105&lt;安値!R105,安値!Q105&lt;安値!S105),12,""))</f>
      </c>
      <c r="M105" s="684">
        <f>IF(終値!A105="","",IF(AND(安値!R105&lt;安値!Q105,安値!R105&lt;安値!P105,安値!R105&lt;安値!S105,安値!R105&lt;安値!T105),13,""))</f>
      </c>
      <c r="N105" s="684">
        <f>IF(終値!A105="","",IF(AND(安値!S105&lt;安値!R105,安値!S105&lt;安値!Q105,安値!S105&lt;安値!T105,安値!S105&lt;安値!U105),14,""))</f>
      </c>
      <c r="O105" s="684">
        <f>IF(終値!A105="","",IF(AND(安値!T105&lt;安値!S105,安値!T105&lt;安値!R105,安値!T105&lt;安値!U105,安値!T105&lt;安値!V105),15,""))</f>
      </c>
      <c r="P105" s="684">
        <f>IF(終値!A105="","",IF(AND(安値!U105&lt;安値!T105,安値!U105&lt;安値!S105,安値!U105&lt;安値!V105,安値!U105&lt;安値!W105),16,""))</f>
      </c>
      <c r="Q105" s="684">
        <f>IF(終値!A105="","",IF(AND(安値!V105&lt;安値!U105,安値!V105&lt;安値!T105,安値!V105&lt;安値!W105,安値!V105&lt;安値!X105),17,""))</f>
      </c>
      <c r="R105" s="684">
        <f>IF(終値!A105="","",IF(AND(安値!W105&lt;安値!V105,安値!W105&lt;安値!U105,安値!W105&lt;安値!X105,安値!W105&lt;安値!Y105),18,""))</f>
      </c>
      <c r="S105" s="684">
        <f>IF(終値!A105="","",IF(AND(安値!X105&lt;安値!W105,安値!X105&lt;安値!V105,安値!X105&lt;安値!Y105,安値!X105&lt;安値!Z105),19,""))</f>
      </c>
      <c r="T105" s="684">
        <f>IF(終値!A105="","",IF(AND(安値!Y105&lt;安値!X105,安値!Y105&lt;安値!W105,安値!Y105&lt;安値!Z105,安値!Y105&lt;安値!AA105),20,""))</f>
      </c>
      <c r="U105" s="684">
        <f>IF(終値!A105="","",IF(AND(安値!Z105&lt;安値!Y105,安値!Z105&lt;安値!X105,安値!Z105&lt;安値!AA105,安値!Z105&lt;安値!AB105),21,""))</f>
      </c>
      <c r="V105" s="684">
        <f>IF(終値!A105="","",IF(AND(安値!AA105&lt;安値!Z105,安値!AA105&lt;安値!Y105,安値!AA105&lt;安値!AB105,安値!AA105&lt;安値!AC105),22,""))</f>
      </c>
      <c r="W105" s="684">
        <f>IF(終値!A105="","",IF(AND(安値!AB105&lt;安値!AA105,安値!AB105&lt;安値!Z105,安値!AB105&lt;安値!AC105,安値!AB105&lt;安値!AD105),23,""))</f>
      </c>
      <c r="X105" s="684">
        <f>IF(終値!A105="","",IF(AND(安値!AC105&lt;安値!AB105,安値!AC105&lt;安値!AA105,安値!AC105&lt;安値!AD105,安値!AC105&lt;安値!AE105),24,""))</f>
      </c>
      <c r="Y105" s="684">
        <f>IF(終値!A105="","",IF(AND(安値!AD105&lt;安値!AC105,安値!AD105&lt;安値!AB105,安値!AD105&lt;安値!AE105,安値!AD105&lt;安値!AF105),25,""))</f>
      </c>
      <c r="Z105" s="684">
        <f>IF(終値!A105="","",IF(AND(安値!AE105&lt;安値!AD105,安値!AE105&lt;安値!AC105,安値!AE105&lt;安値!AF105,安値!AE105&lt;安値!AG105),26,""))</f>
      </c>
      <c r="AA105" s="684">
        <f>IF(終値!A105="","",IF(AND(安値!AF105&lt;安値!AE105,安値!AF105&lt;安値!AD105,安値!AF105&lt;安値!AG105,安値!AF105&lt;安値!AH105),27,""))</f>
      </c>
      <c r="AB105" s="684">
        <f>IF(終値!A105="","",IF(AND(安値!AG105&lt;安値!AF105,安値!AG105&lt;安値!AE105,安値!AG105&lt;安値!AH105,安値!AG105&lt;安値!AI105),28,""))</f>
      </c>
      <c r="AC105" s="684">
        <f>IF(終値!A105="","",IF(AND(高値!G105&gt;高値!F105,高値!G105&gt;高値!E105,高値!G105&gt;高値!H105,高値!G105&gt;高値!I105),2,""))</f>
      </c>
      <c r="AD105" s="684">
        <f>IF(終値!A105="","",IF(AND(高値!H105&gt;高値!G105,高値!H105&gt;高値!F105,高値!H105&gt;高値!I105,高値!H105&gt;高値!J105),3,""))</f>
      </c>
      <c r="AE105" s="684">
        <f>IF(終値!A105="","",IF(AND(高値!I105&gt;高値!H105,高値!I105&gt;高値!G105,高値!I105&gt;高値!J105,高値!I105&gt;高値!K105),4,""))</f>
      </c>
      <c r="AF105" s="684">
        <f>IF(終値!A105="","",IF(AND(高値!J105&gt;高値!I105,高値!J105&gt;高値!H105,高値!J105&gt;高値!K105,高値!J105&gt;高値!L105),5,""))</f>
      </c>
      <c r="AG105" s="684">
        <f>IF(終値!A105="","",IF(AND(高値!K105&gt;高値!J105,高値!K105&gt;高値!I105,高値!K105&gt;高値!L105,高値!K105&gt;高値!M105),6,""))</f>
      </c>
      <c r="AH105" s="684">
        <f>IF(終値!A105="","",IF(AND(高値!L105&gt;高値!K105,高値!L105&gt;高値!J105,高値!L105&gt;高値!M105,高値!L105&gt;高値!N105),7,""))</f>
      </c>
      <c r="AI105" s="684">
        <f>IF(終値!A105="","",IF(AND(高値!M105&gt;高値!L105,高値!M105&gt;高値!K105,高値!M105&gt;高値!N105,高値!M105&gt;高値!O105),8,""))</f>
      </c>
      <c r="AJ105" s="684">
        <f>IF(終値!A105="","",IF(AND(高値!N105&gt;高値!M105,高値!N105&gt;高値!L105,高値!N105&gt;高値!O105,高値!N105&gt;高値!P105),9,""))</f>
      </c>
      <c r="AK105" s="684">
        <f>IF(終値!A105="","",IF(AND(高値!O105&gt;高値!N105,高値!O105&gt;高値!M105,高値!O105&gt;高値!P105,高値!O105&gt;高値!Q105),10,""))</f>
      </c>
      <c r="AL105" s="684">
        <f>IF(終値!A105="","",IF(AND(高値!P105&gt;高値!O105,高値!P105&gt;高値!N105,高値!P105&gt;高値!Q105,高値!P105&gt;高値!R105),11,""))</f>
      </c>
      <c r="AM105" s="684">
        <f>IF(終値!A105="","",IF(AND(高値!Q105&gt;高値!P105,高値!Q105&gt;高値!O105,高値!Q105&gt;高値!R105,高値!Q105&gt;高値!S105),12,""))</f>
      </c>
      <c r="AN105" s="684">
        <f>IF(終値!A105="","",IF(AND(高値!R105&gt;高値!Q105,高値!R105&gt;高値!P105,高値!R105&gt;高値!S105,高値!R105&gt;高値!T105),13,""))</f>
      </c>
      <c r="AO105" s="684">
        <f>IF(終値!A105="","",IF(AND(高値!S105&gt;高値!R105,高値!S105&gt;高値!Q105,高値!S105&gt;高値!T105,高値!S105&gt;高値!U105),14,""))</f>
      </c>
      <c r="AP105" s="684">
        <f>IF(終値!A105="","",IF(AND(高値!T105&gt;高値!S105,高値!T105&gt;高値!R105,高値!T105&gt;高値!U105,高値!T105&gt;高値!V105),15,""))</f>
      </c>
      <c r="AQ105" s="684">
        <f>IF(終値!A105="","",IF(AND(高値!U105&gt;高値!T105,高値!U105&gt;高値!S105,高値!U105&gt;高値!V105,高値!U105&gt;高値!W105),16,""))</f>
      </c>
      <c r="AR105" s="684">
        <f>IF(終値!A105="","",IF(AND(高値!V105&gt;高値!U105,高値!V105&gt;高値!T105,高値!V105&gt;高値!W105,高値!V105&gt;高値!X105),17,""))</f>
      </c>
      <c r="AS105" s="684">
        <f>IF(終値!A105="","",IF(AND(高値!W105&gt;高値!V105,高値!W105&gt;高値!U105,高値!W105&gt;高値!X105,高値!W105&gt;高値!Y105),18,""))</f>
      </c>
      <c r="AT105" s="684">
        <f>IF(終値!A105="","",IF(AND(高値!X105&gt;高値!W105,高値!X105&gt;高値!V105,高値!X105&gt;高値!Y105,高値!X105&gt;高値!Z105),19,""))</f>
      </c>
      <c r="AU105" s="684">
        <f>IF(終値!A105="","",IF(AND(高値!Y105&gt;高値!X105,高値!Y105&gt;高値!W105,高値!Y105&gt;高値!Z105,高値!Y105&gt;高値!AA105),20,""))</f>
      </c>
      <c r="AV105" s="684">
        <f>IF(終値!A105="","",IF(AND(高値!Z105&gt;高値!Y105,高値!Z105&gt;高値!X105,高値!Z105&gt;高値!AA105,高値!Z105&gt;高値!AB105),21,""))</f>
      </c>
      <c r="AW105" s="684">
        <f>IF(終値!A105="","",IF(AND(高値!AA105&gt;高値!Z105,高値!AA105&gt;高値!Y105,高値!AA105&gt;高値!AB105,高値!AA105&gt;高値!AC105),22,""))</f>
      </c>
      <c r="AX105" s="684">
        <f>IF(終値!A105="","",IF(AND(高値!AB105&gt;高値!AA105,高値!AB105&gt;高値!Z105,高値!AB105&gt;高値!AC105,高値!AB105&gt;高値!AD105),23,""))</f>
      </c>
      <c r="AY105" s="684">
        <f>IF(終値!A105="","",IF(AND(高値!AC105&gt;高値!AB105,高値!AC105&gt;高値!AA105,高値!AC105&gt;高値!AD105,高値!AC105&gt;高値!AE105),24,""))</f>
      </c>
      <c r="AZ105" s="684">
        <f>IF(終値!A105="","",IF(AND(高値!AD105&gt;高値!AC105,高値!AD105&gt;高値!AB105,高値!AD105&gt;高値!AE105,高値!AD105&gt;高値!AF105),25,""))</f>
      </c>
      <c r="BA105" s="684">
        <f>IF(終値!A105="","",IF(AND(高値!AE105&gt;高値!AD105,高値!AE105&gt;高値!AC105,高値!AE105&gt;高値!AF105,高値!AE105&gt;高値!AG105),26,""))</f>
      </c>
      <c r="BB105" s="684">
        <f>IF(終値!A105="","",IF(AND(高値!AF105&gt;高値!AE105,高値!AF105&gt;高値!AD105,高値!AF105&gt;高値!AG105,高値!AF105&gt;高値!AH105),27,""))</f>
      </c>
      <c r="BC105" s="684">
        <f>IF(終値!A105="","",IF(AND(高値!AG105&gt;高値!AF105,高値!AG105&gt;高値!AE105,高値!AG105&gt;高値!AH105,高値!AG105&gt;高値!AI105),28,""))</f>
      </c>
      <c r="BD105" s="684">
        <f>COUNT($B105:$AB105)</f>
      </c>
      <c r="BE105" s="684">
        <f>IF($BD105&gt;=2,MIN($B105:$AB105),"")</f>
      </c>
      <c r="BF105" s="684">
        <f>IF($BD105&gt;=2,SMALL($B105:$AB105,2),"")</f>
      </c>
      <c r="BG105" s="684">
        <f>IF($BE105="","",INDEX(安値!$E105:$CZ105,1,$BE105+1))</f>
      </c>
      <c r="BH105" s="684">
        <f>IF($BF105="","",INDEX(安値!$E105:$CZ105,1,$BF105+1))</f>
      </c>
      <c r="BI105" s="684">
        <f>IF($BF105="","",MAX(INDEX(高値!$E105:$CZ105,1,$BE105+1):INDEX(高値!$E105:$CZ105,1,$BF105+1)))</f>
      </c>
      <c r="BJ105" s="684">
        <f>IF($BF105="","",AVERAGE(INDEX(終値!$E105:$CZ105,1,$BF105+1):INDEX(終値!$E105:$CZ105,1,$BF105+20))-2*STDEVP(INDEX(終値!$E105:$CZ105,1,$BF105+1):INDEX(終値!$E105:$CZ105,1,$BF105+20)))</f>
      </c>
      <c r="BK105" s="684">
        <f>IF($BE105="","",AVERAGE(INDEX(終値!$E105:$CZ105,1,$BE105+1):INDEX(終値!$E105:$CZ105,1,$BE105+20))-2*STDEVP(INDEX(終値!$E105:$CZ105,1,$BE105+1):INDEX(終値!$E105:$CZ105,1,$BE105+20)))</f>
      </c>
      <c r="BL105" s="684">
        <f>COUNT($AC105:$BC105)</f>
      </c>
      <c r="BM105" s="684">
        <f>IF($BL105&gt;=2,MIN($AC105:$BC105),"")</f>
      </c>
      <c r="BN105" s="684">
        <f>IF($BL105&gt;=2,SMALL($AC105:$BC105,2),"")</f>
      </c>
      <c r="BO105" s="684">
        <f>IF($BM105="","",INDEX(高値!$E105:$CZ105,1,$BM105+1))</f>
      </c>
      <c r="BP105" s="684">
        <f>IF($BN105="","",INDEX(高値!$E105:$CZ105,1,$BN105+1))</f>
      </c>
      <c r="BQ105" s="684">
        <f>IF($BN105="","",MIN(INDEX(安値!$E105:$CZ105,1,$BM105+1):INDEX(安値!$E105:$CZ105,1,$BN105+1)))</f>
      </c>
      <c r="BR105" s="684">
        <f>IF($BN105="","",AVERAGE(INDEX(終値!$E105:$CZ105,1,$BN105+1):INDEX(終値!$E105:$CZ105,1,$BN105+20))+2*STDEVP(INDEX(終値!$E105:$CZ105,1,$BN105+1):INDEX(終値!$E105:$CZ105,1,$BN105+20)))</f>
      </c>
      <c r="BS105" s="684">
        <f>IF($BM105="","",AVERAGE(INDEX(終値!$E105:$CZ105,1,$BM105+1):INDEX(終値!$E105:$CZ105,1,$BM105+20))+2*STDEVP(INDEX(終値!$E105:$CZ105,1,$BM105+1):INDEX(終値!$E105:$CZ105,1,$BM105+20)))</f>
      </c>
      <c r="BT105" s="681">
        <f>IFERROR(IF(AND($BD105&gt;=2,ABS($BG105-$BH105)/$BH105&lt;=BB設定!$B$12,$BI105&gt;=MAX($BH105,$BG105)*(1+BB設定!$B$13),終値!E105&gt;$BG105),IF(OR(終値!E105&gt;=$BI105,AND($BH105&lt;$BJ105,$BG105&gt;=$BK105)),"二番底W▲","二番底W形成"),IF(AND($BL105&gt;=2,ABS($BO105-$BP105)/$BP105&lt;=BB設定!$B$12,$BQ105&lt;=MIN($BP105,$BO105)*(1-BB設定!$B$13),終値!E105&lt;$BO105),IF(OR(終値!E105&lt;=$BQ105,AND($BP105&gt;$BR105,$BO105&lt;=$BS105)),"二番天井M▼","二番天井M形成"),"－")),"－")</f>
      </c>
    </row>
    <row r="106">
      <c r="B106" s="684">
        <f>IF(終値!A106="","",IF(AND(安値!G106&lt;安値!F106,安値!G106&lt;安値!E106,安値!G106&lt;安値!H106,安値!G106&lt;安値!I106),2,""))</f>
      </c>
      <c r="C106" s="684">
        <f>IF(終値!A106="","",IF(AND(安値!H106&lt;安値!G106,安値!H106&lt;安値!F106,安値!H106&lt;安値!I106,安値!H106&lt;安値!J106),3,""))</f>
      </c>
      <c r="D106" s="684">
        <f>IF(終値!A106="","",IF(AND(安値!I106&lt;安値!H106,安値!I106&lt;安値!G106,安値!I106&lt;安値!J106,安値!I106&lt;安値!K106),4,""))</f>
      </c>
      <c r="E106" s="684">
        <f>IF(終値!A106="","",IF(AND(安値!J106&lt;安値!I106,安値!J106&lt;安値!H106,安値!J106&lt;安値!K106,安値!J106&lt;安値!L106),5,""))</f>
      </c>
      <c r="F106" s="684">
        <f>IF(終値!A106="","",IF(AND(安値!K106&lt;安値!J106,安値!K106&lt;安値!I106,安値!K106&lt;安値!L106,安値!K106&lt;安値!M106),6,""))</f>
      </c>
      <c r="G106" s="684">
        <f>IF(終値!A106="","",IF(AND(安値!L106&lt;安値!K106,安値!L106&lt;安値!J106,安値!L106&lt;安値!M106,安値!L106&lt;安値!N106),7,""))</f>
      </c>
      <c r="H106" s="684">
        <f>IF(終値!A106="","",IF(AND(安値!M106&lt;安値!L106,安値!M106&lt;安値!K106,安値!M106&lt;安値!N106,安値!M106&lt;安値!O106),8,""))</f>
      </c>
      <c r="I106" s="684">
        <f>IF(終値!A106="","",IF(AND(安値!N106&lt;安値!M106,安値!N106&lt;安値!L106,安値!N106&lt;安値!O106,安値!N106&lt;安値!P106),9,""))</f>
      </c>
      <c r="J106" s="684">
        <f>IF(終値!A106="","",IF(AND(安値!O106&lt;安値!N106,安値!O106&lt;安値!M106,安値!O106&lt;安値!P106,安値!O106&lt;安値!Q106),10,""))</f>
      </c>
      <c r="K106" s="684">
        <f>IF(終値!A106="","",IF(AND(安値!P106&lt;安値!O106,安値!P106&lt;安値!N106,安値!P106&lt;安値!Q106,安値!P106&lt;安値!R106),11,""))</f>
      </c>
      <c r="L106" s="684">
        <f>IF(終値!A106="","",IF(AND(安値!Q106&lt;安値!P106,安値!Q106&lt;安値!O106,安値!Q106&lt;安値!R106,安値!Q106&lt;安値!S106),12,""))</f>
      </c>
      <c r="M106" s="684">
        <f>IF(終値!A106="","",IF(AND(安値!R106&lt;安値!Q106,安値!R106&lt;安値!P106,安値!R106&lt;安値!S106,安値!R106&lt;安値!T106),13,""))</f>
      </c>
      <c r="N106" s="684">
        <f>IF(終値!A106="","",IF(AND(安値!S106&lt;安値!R106,安値!S106&lt;安値!Q106,安値!S106&lt;安値!T106,安値!S106&lt;安値!U106),14,""))</f>
      </c>
      <c r="O106" s="684">
        <f>IF(終値!A106="","",IF(AND(安値!T106&lt;安値!S106,安値!T106&lt;安値!R106,安値!T106&lt;安値!U106,安値!T106&lt;安値!V106),15,""))</f>
      </c>
      <c r="P106" s="684">
        <f>IF(終値!A106="","",IF(AND(安値!U106&lt;安値!T106,安値!U106&lt;安値!S106,安値!U106&lt;安値!V106,安値!U106&lt;安値!W106),16,""))</f>
      </c>
      <c r="Q106" s="684">
        <f>IF(終値!A106="","",IF(AND(安値!V106&lt;安値!U106,安値!V106&lt;安値!T106,安値!V106&lt;安値!W106,安値!V106&lt;安値!X106),17,""))</f>
      </c>
      <c r="R106" s="684">
        <f>IF(終値!A106="","",IF(AND(安値!W106&lt;安値!V106,安値!W106&lt;安値!U106,安値!W106&lt;安値!X106,安値!W106&lt;安値!Y106),18,""))</f>
      </c>
      <c r="S106" s="684">
        <f>IF(終値!A106="","",IF(AND(安値!X106&lt;安値!W106,安値!X106&lt;安値!V106,安値!X106&lt;安値!Y106,安値!X106&lt;安値!Z106),19,""))</f>
      </c>
      <c r="T106" s="684">
        <f>IF(終値!A106="","",IF(AND(安値!Y106&lt;安値!X106,安値!Y106&lt;安値!W106,安値!Y106&lt;安値!Z106,安値!Y106&lt;安値!AA106),20,""))</f>
      </c>
      <c r="U106" s="684">
        <f>IF(終値!A106="","",IF(AND(安値!Z106&lt;安値!Y106,安値!Z106&lt;安値!X106,安値!Z106&lt;安値!AA106,安値!Z106&lt;安値!AB106),21,""))</f>
      </c>
      <c r="V106" s="684">
        <f>IF(終値!A106="","",IF(AND(安値!AA106&lt;安値!Z106,安値!AA106&lt;安値!Y106,安値!AA106&lt;安値!AB106,安値!AA106&lt;安値!AC106),22,""))</f>
      </c>
      <c r="W106" s="684">
        <f>IF(終値!A106="","",IF(AND(安値!AB106&lt;安値!AA106,安値!AB106&lt;安値!Z106,安値!AB106&lt;安値!AC106,安値!AB106&lt;安値!AD106),23,""))</f>
      </c>
      <c r="X106" s="684">
        <f>IF(終値!A106="","",IF(AND(安値!AC106&lt;安値!AB106,安値!AC106&lt;安値!AA106,安値!AC106&lt;安値!AD106,安値!AC106&lt;安値!AE106),24,""))</f>
      </c>
      <c r="Y106" s="684">
        <f>IF(終値!A106="","",IF(AND(安値!AD106&lt;安値!AC106,安値!AD106&lt;安値!AB106,安値!AD106&lt;安値!AE106,安値!AD106&lt;安値!AF106),25,""))</f>
      </c>
      <c r="Z106" s="684">
        <f>IF(終値!A106="","",IF(AND(安値!AE106&lt;安値!AD106,安値!AE106&lt;安値!AC106,安値!AE106&lt;安値!AF106,安値!AE106&lt;安値!AG106),26,""))</f>
      </c>
      <c r="AA106" s="684">
        <f>IF(終値!A106="","",IF(AND(安値!AF106&lt;安値!AE106,安値!AF106&lt;安値!AD106,安値!AF106&lt;安値!AG106,安値!AF106&lt;安値!AH106),27,""))</f>
      </c>
      <c r="AB106" s="684">
        <f>IF(終値!A106="","",IF(AND(安値!AG106&lt;安値!AF106,安値!AG106&lt;安値!AE106,安値!AG106&lt;安値!AH106,安値!AG106&lt;安値!AI106),28,""))</f>
      </c>
      <c r="AC106" s="684">
        <f>IF(終値!A106="","",IF(AND(高値!G106&gt;高値!F106,高値!G106&gt;高値!E106,高値!G106&gt;高値!H106,高値!G106&gt;高値!I106),2,""))</f>
      </c>
      <c r="AD106" s="684">
        <f>IF(終値!A106="","",IF(AND(高値!H106&gt;高値!G106,高値!H106&gt;高値!F106,高値!H106&gt;高値!I106,高値!H106&gt;高値!J106),3,""))</f>
      </c>
      <c r="AE106" s="684">
        <f>IF(終値!A106="","",IF(AND(高値!I106&gt;高値!H106,高値!I106&gt;高値!G106,高値!I106&gt;高値!J106,高値!I106&gt;高値!K106),4,""))</f>
      </c>
      <c r="AF106" s="684">
        <f>IF(終値!A106="","",IF(AND(高値!J106&gt;高値!I106,高値!J106&gt;高値!H106,高値!J106&gt;高値!K106,高値!J106&gt;高値!L106),5,""))</f>
      </c>
      <c r="AG106" s="684">
        <f>IF(終値!A106="","",IF(AND(高値!K106&gt;高値!J106,高値!K106&gt;高値!I106,高値!K106&gt;高値!L106,高値!K106&gt;高値!M106),6,""))</f>
      </c>
      <c r="AH106" s="684">
        <f>IF(終値!A106="","",IF(AND(高値!L106&gt;高値!K106,高値!L106&gt;高値!J106,高値!L106&gt;高値!M106,高値!L106&gt;高値!N106),7,""))</f>
      </c>
      <c r="AI106" s="684">
        <f>IF(終値!A106="","",IF(AND(高値!M106&gt;高値!L106,高値!M106&gt;高値!K106,高値!M106&gt;高値!N106,高値!M106&gt;高値!O106),8,""))</f>
      </c>
      <c r="AJ106" s="684">
        <f>IF(終値!A106="","",IF(AND(高値!N106&gt;高値!M106,高値!N106&gt;高値!L106,高値!N106&gt;高値!O106,高値!N106&gt;高値!P106),9,""))</f>
      </c>
      <c r="AK106" s="684">
        <f>IF(終値!A106="","",IF(AND(高値!O106&gt;高値!N106,高値!O106&gt;高値!M106,高値!O106&gt;高値!P106,高値!O106&gt;高値!Q106),10,""))</f>
      </c>
      <c r="AL106" s="684">
        <f>IF(終値!A106="","",IF(AND(高値!P106&gt;高値!O106,高値!P106&gt;高値!N106,高値!P106&gt;高値!Q106,高値!P106&gt;高値!R106),11,""))</f>
      </c>
      <c r="AM106" s="684">
        <f>IF(終値!A106="","",IF(AND(高値!Q106&gt;高値!P106,高値!Q106&gt;高値!O106,高値!Q106&gt;高値!R106,高値!Q106&gt;高値!S106),12,""))</f>
      </c>
      <c r="AN106" s="684">
        <f>IF(終値!A106="","",IF(AND(高値!R106&gt;高値!Q106,高値!R106&gt;高値!P106,高値!R106&gt;高値!S106,高値!R106&gt;高値!T106),13,""))</f>
      </c>
      <c r="AO106" s="684">
        <f>IF(終値!A106="","",IF(AND(高値!S106&gt;高値!R106,高値!S106&gt;高値!Q106,高値!S106&gt;高値!T106,高値!S106&gt;高値!U106),14,""))</f>
      </c>
      <c r="AP106" s="684">
        <f>IF(終値!A106="","",IF(AND(高値!T106&gt;高値!S106,高値!T106&gt;高値!R106,高値!T106&gt;高値!U106,高値!T106&gt;高値!V106),15,""))</f>
      </c>
      <c r="AQ106" s="684">
        <f>IF(終値!A106="","",IF(AND(高値!U106&gt;高値!T106,高値!U106&gt;高値!S106,高値!U106&gt;高値!V106,高値!U106&gt;高値!W106),16,""))</f>
      </c>
      <c r="AR106" s="684">
        <f>IF(終値!A106="","",IF(AND(高値!V106&gt;高値!U106,高値!V106&gt;高値!T106,高値!V106&gt;高値!W106,高値!V106&gt;高値!X106),17,""))</f>
      </c>
      <c r="AS106" s="684">
        <f>IF(終値!A106="","",IF(AND(高値!W106&gt;高値!V106,高値!W106&gt;高値!U106,高値!W106&gt;高値!X106,高値!W106&gt;高値!Y106),18,""))</f>
      </c>
      <c r="AT106" s="684">
        <f>IF(終値!A106="","",IF(AND(高値!X106&gt;高値!W106,高値!X106&gt;高値!V106,高値!X106&gt;高値!Y106,高値!X106&gt;高値!Z106),19,""))</f>
      </c>
      <c r="AU106" s="684">
        <f>IF(終値!A106="","",IF(AND(高値!Y106&gt;高値!X106,高値!Y106&gt;高値!W106,高値!Y106&gt;高値!Z106,高値!Y106&gt;高値!AA106),20,""))</f>
      </c>
      <c r="AV106" s="684">
        <f>IF(終値!A106="","",IF(AND(高値!Z106&gt;高値!Y106,高値!Z106&gt;高値!X106,高値!Z106&gt;高値!AA106,高値!Z106&gt;高値!AB106),21,""))</f>
      </c>
      <c r="AW106" s="684">
        <f>IF(終値!A106="","",IF(AND(高値!AA106&gt;高値!Z106,高値!AA106&gt;高値!Y106,高値!AA106&gt;高値!AB106,高値!AA106&gt;高値!AC106),22,""))</f>
      </c>
      <c r="AX106" s="684">
        <f>IF(終値!A106="","",IF(AND(高値!AB106&gt;高値!AA106,高値!AB106&gt;高値!Z106,高値!AB106&gt;高値!AC106,高値!AB106&gt;高値!AD106),23,""))</f>
      </c>
      <c r="AY106" s="684">
        <f>IF(終値!A106="","",IF(AND(高値!AC106&gt;高値!AB106,高値!AC106&gt;高値!AA106,高値!AC106&gt;高値!AD106,高値!AC106&gt;高値!AE106),24,""))</f>
      </c>
      <c r="AZ106" s="684">
        <f>IF(終値!A106="","",IF(AND(高値!AD106&gt;高値!AC106,高値!AD106&gt;高値!AB106,高値!AD106&gt;高値!AE106,高値!AD106&gt;高値!AF106),25,""))</f>
      </c>
      <c r="BA106" s="684">
        <f>IF(終値!A106="","",IF(AND(高値!AE106&gt;高値!AD106,高値!AE106&gt;高値!AC106,高値!AE106&gt;高値!AF106,高値!AE106&gt;高値!AG106),26,""))</f>
      </c>
      <c r="BB106" s="684">
        <f>IF(終値!A106="","",IF(AND(高値!AF106&gt;高値!AE106,高値!AF106&gt;高値!AD106,高値!AF106&gt;高値!AG106,高値!AF106&gt;高値!AH106),27,""))</f>
      </c>
      <c r="BC106" s="684">
        <f>IF(終値!A106="","",IF(AND(高値!AG106&gt;高値!AF106,高値!AG106&gt;高値!AE106,高値!AG106&gt;高値!AH106,高値!AG106&gt;高値!AI106),28,""))</f>
      </c>
      <c r="BD106" s="684">
        <f>COUNT($B106:$AB106)</f>
      </c>
      <c r="BE106" s="684">
        <f>IF($BD106&gt;=2,MIN($B106:$AB106),"")</f>
      </c>
      <c r="BF106" s="684">
        <f>IF($BD106&gt;=2,SMALL($B106:$AB106,2),"")</f>
      </c>
      <c r="BG106" s="684">
        <f>IF($BE106="","",INDEX(安値!$E106:$CZ106,1,$BE106+1))</f>
      </c>
      <c r="BH106" s="684">
        <f>IF($BF106="","",INDEX(安値!$E106:$CZ106,1,$BF106+1))</f>
      </c>
      <c r="BI106" s="684">
        <f>IF($BF106="","",MAX(INDEX(高値!$E106:$CZ106,1,$BE106+1):INDEX(高値!$E106:$CZ106,1,$BF106+1)))</f>
      </c>
      <c r="BJ106" s="684">
        <f>IF($BF106="","",AVERAGE(INDEX(終値!$E106:$CZ106,1,$BF106+1):INDEX(終値!$E106:$CZ106,1,$BF106+20))-2*STDEVP(INDEX(終値!$E106:$CZ106,1,$BF106+1):INDEX(終値!$E106:$CZ106,1,$BF106+20)))</f>
      </c>
      <c r="BK106" s="684">
        <f>IF($BE106="","",AVERAGE(INDEX(終値!$E106:$CZ106,1,$BE106+1):INDEX(終値!$E106:$CZ106,1,$BE106+20))-2*STDEVP(INDEX(終値!$E106:$CZ106,1,$BE106+1):INDEX(終値!$E106:$CZ106,1,$BE106+20)))</f>
      </c>
      <c r="BL106" s="684">
        <f>COUNT($AC106:$BC106)</f>
      </c>
      <c r="BM106" s="684">
        <f>IF($BL106&gt;=2,MIN($AC106:$BC106),"")</f>
      </c>
      <c r="BN106" s="684">
        <f>IF($BL106&gt;=2,SMALL($AC106:$BC106,2),"")</f>
      </c>
      <c r="BO106" s="684">
        <f>IF($BM106="","",INDEX(高値!$E106:$CZ106,1,$BM106+1))</f>
      </c>
      <c r="BP106" s="684">
        <f>IF($BN106="","",INDEX(高値!$E106:$CZ106,1,$BN106+1))</f>
      </c>
      <c r="BQ106" s="684">
        <f>IF($BN106="","",MIN(INDEX(安値!$E106:$CZ106,1,$BM106+1):INDEX(安値!$E106:$CZ106,1,$BN106+1)))</f>
      </c>
      <c r="BR106" s="684">
        <f>IF($BN106="","",AVERAGE(INDEX(終値!$E106:$CZ106,1,$BN106+1):INDEX(終値!$E106:$CZ106,1,$BN106+20))+2*STDEVP(INDEX(終値!$E106:$CZ106,1,$BN106+1):INDEX(終値!$E106:$CZ106,1,$BN106+20)))</f>
      </c>
      <c r="BS106" s="684">
        <f>IF($BM106="","",AVERAGE(INDEX(終値!$E106:$CZ106,1,$BM106+1):INDEX(終値!$E106:$CZ106,1,$BM106+20))+2*STDEVP(INDEX(終値!$E106:$CZ106,1,$BM106+1):INDEX(終値!$E106:$CZ106,1,$BM106+20)))</f>
      </c>
      <c r="BT106" s="681">
        <f>IFERROR(IF(AND($BD106&gt;=2,ABS($BG106-$BH106)/$BH106&lt;=BB設定!$B$12,$BI106&gt;=MAX($BH106,$BG106)*(1+BB設定!$B$13),終値!E106&gt;$BG106),IF(OR(終値!E106&gt;=$BI106,AND($BH106&lt;$BJ106,$BG106&gt;=$BK106)),"二番底W▲","二番底W形成"),IF(AND($BL106&gt;=2,ABS($BO106-$BP106)/$BP106&lt;=BB設定!$B$12,$BQ106&lt;=MIN($BP106,$BO106)*(1-BB設定!$B$13),終値!E106&lt;$BO106),IF(OR(終値!E106&lt;=$BQ106,AND($BP106&gt;$BR106,$BO106&lt;=$BS106)),"二番天井M▼","二番天井M形成"),"－")),"－")</f>
      </c>
    </row>
    <row r="107">
      <c r="B107" s="684">
        <f>IF(終値!A107="","",IF(AND(安値!G107&lt;安値!F107,安値!G107&lt;安値!E107,安値!G107&lt;安値!H107,安値!G107&lt;安値!I107),2,""))</f>
      </c>
      <c r="C107" s="684">
        <f>IF(終値!A107="","",IF(AND(安値!H107&lt;安値!G107,安値!H107&lt;安値!F107,安値!H107&lt;安値!I107,安値!H107&lt;安値!J107),3,""))</f>
      </c>
      <c r="D107" s="684">
        <f>IF(終値!A107="","",IF(AND(安値!I107&lt;安値!H107,安値!I107&lt;安値!G107,安値!I107&lt;安値!J107,安値!I107&lt;安値!K107),4,""))</f>
      </c>
      <c r="E107" s="684">
        <f>IF(終値!A107="","",IF(AND(安値!J107&lt;安値!I107,安値!J107&lt;安値!H107,安値!J107&lt;安値!K107,安値!J107&lt;安値!L107),5,""))</f>
      </c>
      <c r="F107" s="684">
        <f>IF(終値!A107="","",IF(AND(安値!K107&lt;安値!J107,安値!K107&lt;安値!I107,安値!K107&lt;安値!L107,安値!K107&lt;安値!M107),6,""))</f>
      </c>
      <c r="G107" s="684">
        <f>IF(終値!A107="","",IF(AND(安値!L107&lt;安値!K107,安値!L107&lt;安値!J107,安値!L107&lt;安値!M107,安値!L107&lt;安値!N107),7,""))</f>
      </c>
      <c r="H107" s="684">
        <f>IF(終値!A107="","",IF(AND(安値!M107&lt;安値!L107,安値!M107&lt;安値!K107,安値!M107&lt;安値!N107,安値!M107&lt;安値!O107),8,""))</f>
      </c>
      <c r="I107" s="684">
        <f>IF(終値!A107="","",IF(AND(安値!N107&lt;安値!M107,安値!N107&lt;安値!L107,安値!N107&lt;安値!O107,安値!N107&lt;安値!P107),9,""))</f>
      </c>
      <c r="J107" s="684">
        <f>IF(終値!A107="","",IF(AND(安値!O107&lt;安値!N107,安値!O107&lt;安値!M107,安値!O107&lt;安値!P107,安値!O107&lt;安値!Q107),10,""))</f>
      </c>
      <c r="K107" s="684">
        <f>IF(終値!A107="","",IF(AND(安値!P107&lt;安値!O107,安値!P107&lt;安値!N107,安値!P107&lt;安値!Q107,安値!P107&lt;安値!R107),11,""))</f>
      </c>
      <c r="L107" s="684">
        <f>IF(終値!A107="","",IF(AND(安値!Q107&lt;安値!P107,安値!Q107&lt;安値!O107,安値!Q107&lt;安値!R107,安値!Q107&lt;安値!S107),12,""))</f>
      </c>
      <c r="M107" s="684">
        <f>IF(終値!A107="","",IF(AND(安値!R107&lt;安値!Q107,安値!R107&lt;安値!P107,安値!R107&lt;安値!S107,安値!R107&lt;安値!T107),13,""))</f>
      </c>
      <c r="N107" s="684">
        <f>IF(終値!A107="","",IF(AND(安値!S107&lt;安値!R107,安値!S107&lt;安値!Q107,安値!S107&lt;安値!T107,安値!S107&lt;安値!U107),14,""))</f>
      </c>
      <c r="O107" s="684">
        <f>IF(終値!A107="","",IF(AND(安値!T107&lt;安値!S107,安値!T107&lt;安値!R107,安値!T107&lt;安値!U107,安値!T107&lt;安値!V107),15,""))</f>
      </c>
      <c r="P107" s="684">
        <f>IF(終値!A107="","",IF(AND(安値!U107&lt;安値!T107,安値!U107&lt;安値!S107,安値!U107&lt;安値!V107,安値!U107&lt;安値!W107),16,""))</f>
      </c>
      <c r="Q107" s="684">
        <f>IF(終値!A107="","",IF(AND(安値!V107&lt;安値!U107,安値!V107&lt;安値!T107,安値!V107&lt;安値!W107,安値!V107&lt;安値!X107),17,""))</f>
      </c>
      <c r="R107" s="684">
        <f>IF(終値!A107="","",IF(AND(安値!W107&lt;安値!V107,安値!W107&lt;安値!U107,安値!W107&lt;安値!X107,安値!W107&lt;安値!Y107),18,""))</f>
      </c>
      <c r="S107" s="684">
        <f>IF(終値!A107="","",IF(AND(安値!X107&lt;安値!W107,安値!X107&lt;安値!V107,安値!X107&lt;安値!Y107,安値!X107&lt;安値!Z107),19,""))</f>
      </c>
      <c r="T107" s="684">
        <f>IF(終値!A107="","",IF(AND(安値!Y107&lt;安値!X107,安値!Y107&lt;安値!W107,安値!Y107&lt;安値!Z107,安値!Y107&lt;安値!AA107),20,""))</f>
      </c>
      <c r="U107" s="684">
        <f>IF(終値!A107="","",IF(AND(安値!Z107&lt;安値!Y107,安値!Z107&lt;安値!X107,安値!Z107&lt;安値!AA107,安値!Z107&lt;安値!AB107),21,""))</f>
      </c>
      <c r="V107" s="684">
        <f>IF(終値!A107="","",IF(AND(安値!AA107&lt;安値!Z107,安値!AA107&lt;安値!Y107,安値!AA107&lt;安値!AB107,安値!AA107&lt;安値!AC107),22,""))</f>
      </c>
      <c r="W107" s="684">
        <f>IF(終値!A107="","",IF(AND(安値!AB107&lt;安値!AA107,安値!AB107&lt;安値!Z107,安値!AB107&lt;安値!AC107,安値!AB107&lt;安値!AD107),23,""))</f>
      </c>
      <c r="X107" s="684">
        <f>IF(終値!A107="","",IF(AND(安値!AC107&lt;安値!AB107,安値!AC107&lt;安値!AA107,安値!AC107&lt;安値!AD107,安値!AC107&lt;安値!AE107),24,""))</f>
      </c>
      <c r="Y107" s="684">
        <f>IF(終値!A107="","",IF(AND(安値!AD107&lt;安値!AC107,安値!AD107&lt;安値!AB107,安値!AD107&lt;安値!AE107,安値!AD107&lt;安値!AF107),25,""))</f>
      </c>
      <c r="Z107" s="684">
        <f>IF(終値!A107="","",IF(AND(安値!AE107&lt;安値!AD107,安値!AE107&lt;安値!AC107,安値!AE107&lt;安値!AF107,安値!AE107&lt;安値!AG107),26,""))</f>
      </c>
      <c r="AA107" s="684">
        <f>IF(終値!A107="","",IF(AND(安値!AF107&lt;安値!AE107,安値!AF107&lt;安値!AD107,安値!AF107&lt;安値!AG107,安値!AF107&lt;安値!AH107),27,""))</f>
      </c>
      <c r="AB107" s="684">
        <f>IF(終値!A107="","",IF(AND(安値!AG107&lt;安値!AF107,安値!AG107&lt;安値!AE107,安値!AG107&lt;安値!AH107,安値!AG107&lt;安値!AI107),28,""))</f>
      </c>
      <c r="AC107" s="684">
        <f>IF(終値!A107="","",IF(AND(高値!G107&gt;高値!F107,高値!G107&gt;高値!E107,高値!G107&gt;高値!H107,高値!G107&gt;高値!I107),2,""))</f>
      </c>
      <c r="AD107" s="684">
        <f>IF(終値!A107="","",IF(AND(高値!H107&gt;高値!G107,高値!H107&gt;高値!F107,高値!H107&gt;高値!I107,高値!H107&gt;高値!J107),3,""))</f>
      </c>
      <c r="AE107" s="684">
        <f>IF(終値!A107="","",IF(AND(高値!I107&gt;高値!H107,高値!I107&gt;高値!G107,高値!I107&gt;高値!J107,高値!I107&gt;高値!K107),4,""))</f>
      </c>
      <c r="AF107" s="684">
        <f>IF(終値!A107="","",IF(AND(高値!J107&gt;高値!I107,高値!J107&gt;高値!H107,高値!J107&gt;高値!K107,高値!J107&gt;高値!L107),5,""))</f>
      </c>
      <c r="AG107" s="684">
        <f>IF(終値!A107="","",IF(AND(高値!K107&gt;高値!J107,高値!K107&gt;高値!I107,高値!K107&gt;高値!L107,高値!K107&gt;高値!M107),6,""))</f>
      </c>
      <c r="AH107" s="684">
        <f>IF(終値!A107="","",IF(AND(高値!L107&gt;高値!K107,高値!L107&gt;高値!J107,高値!L107&gt;高値!M107,高値!L107&gt;高値!N107),7,""))</f>
      </c>
      <c r="AI107" s="684">
        <f>IF(終値!A107="","",IF(AND(高値!M107&gt;高値!L107,高値!M107&gt;高値!K107,高値!M107&gt;高値!N107,高値!M107&gt;高値!O107),8,""))</f>
      </c>
      <c r="AJ107" s="684">
        <f>IF(終値!A107="","",IF(AND(高値!N107&gt;高値!M107,高値!N107&gt;高値!L107,高値!N107&gt;高値!O107,高値!N107&gt;高値!P107),9,""))</f>
      </c>
      <c r="AK107" s="684">
        <f>IF(終値!A107="","",IF(AND(高値!O107&gt;高値!N107,高値!O107&gt;高値!M107,高値!O107&gt;高値!P107,高値!O107&gt;高値!Q107),10,""))</f>
      </c>
      <c r="AL107" s="684">
        <f>IF(終値!A107="","",IF(AND(高値!P107&gt;高値!O107,高値!P107&gt;高値!N107,高値!P107&gt;高値!Q107,高値!P107&gt;高値!R107),11,""))</f>
      </c>
      <c r="AM107" s="684">
        <f>IF(終値!A107="","",IF(AND(高値!Q107&gt;高値!P107,高値!Q107&gt;高値!O107,高値!Q107&gt;高値!R107,高値!Q107&gt;高値!S107),12,""))</f>
      </c>
      <c r="AN107" s="684">
        <f>IF(終値!A107="","",IF(AND(高値!R107&gt;高値!Q107,高値!R107&gt;高値!P107,高値!R107&gt;高値!S107,高値!R107&gt;高値!T107),13,""))</f>
      </c>
      <c r="AO107" s="684">
        <f>IF(終値!A107="","",IF(AND(高値!S107&gt;高値!R107,高値!S107&gt;高値!Q107,高値!S107&gt;高値!T107,高値!S107&gt;高値!U107),14,""))</f>
      </c>
      <c r="AP107" s="684">
        <f>IF(終値!A107="","",IF(AND(高値!T107&gt;高値!S107,高値!T107&gt;高値!R107,高値!T107&gt;高値!U107,高値!T107&gt;高値!V107),15,""))</f>
      </c>
      <c r="AQ107" s="684">
        <f>IF(終値!A107="","",IF(AND(高値!U107&gt;高値!T107,高値!U107&gt;高値!S107,高値!U107&gt;高値!V107,高値!U107&gt;高値!W107),16,""))</f>
      </c>
      <c r="AR107" s="684">
        <f>IF(終値!A107="","",IF(AND(高値!V107&gt;高値!U107,高値!V107&gt;高値!T107,高値!V107&gt;高値!W107,高値!V107&gt;高値!X107),17,""))</f>
      </c>
      <c r="AS107" s="684">
        <f>IF(終値!A107="","",IF(AND(高値!W107&gt;高値!V107,高値!W107&gt;高値!U107,高値!W107&gt;高値!X107,高値!W107&gt;高値!Y107),18,""))</f>
      </c>
      <c r="AT107" s="684">
        <f>IF(終値!A107="","",IF(AND(高値!X107&gt;高値!W107,高値!X107&gt;高値!V107,高値!X107&gt;高値!Y107,高値!X107&gt;高値!Z107),19,""))</f>
      </c>
      <c r="AU107" s="684">
        <f>IF(終値!A107="","",IF(AND(高値!Y107&gt;高値!X107,高値!Y107&gt;高値!W107,高値!Y107&gt;高値!Z107,高値!Y107&gt;高値!AA107),20,""))</f>
      </c>
      <c r="AV107" s="684">
        <f>IF(終値!A107="","",IF(AND(高値!Z107&gt;高値!Y107,高値!Z107&gt;高値!X107,高値!Z107&gt;高値!AA107,高値!Z107&gt;高値!AB107),21,""))</f>
      </c>
      <c r="AW107" s="684">
        <f>IF(終値!A107="","",IF(AND(高値!AA107&gt;高値!Z107,高値!AA107&gt;高値!Y107,高値!AA107&gt;高値!AB107,高値!AA107&gt;高値!AC107),22,""))</f>
      </c>
      <c r="AX107" s="684">
        <f>IF(終値!A107="","",IF(AND(高値!AB107&gt;高値!AA107,高値!AB107&gt;高値!Z107,高値!AB107&gt;高値!AC107,高値!AB107&gt;高値!AD107),23,""))</f>
      </c>
      <c r="AY107" s="684">
        <f>IF(終値!A107="","",IF(AND(高値!AC107&gt;高値!AB107,高値!AC107&gt;高値!AA107,高値!AC107&gt;高値!AD107,高値!AC107&gt;高値!AE107),24,""))</f>
      </c>
      <c r="AZ107" s="684">
        <f>IF(終値!A107="","",IF(AND(高値!AD107&gt;高値!AC107,高値!AD107&gt;高値!AB107,高値!AD107&gt;高値!AE107,高値!AD107&gt;高値!AF107),25,""))</f>
      </c>
      <c r="BA107" s="684">
        <f>IF(終値!A107="","",IF(AND(高値!AE107&gt;高値!AD107,高値!AE107&gt;高値!AC107,高値!AE107&gt;高値!AF107,高値!AE107&gt;高値!AG107),26,""))</f>
      </c>
      <c r="BB107" s="684">
        <f>IF(終値!A107="","",IF(AND(高値!AF107&gt;高値!AE107,高値!AF107&gt;高値!AD107,高値!AF107&gt;高値!AG107,高値!AF107&gt;高値!AH107),27,""))</f>
      </c>
      <c r="BC107" s="684">
        <f>IF(終値!A107="","",IF(AND(高値!AG107&gt;高値!AF107,高値!AG107&gt;高値!AE107,高値!AG107&gt;高値!AH107,高値!AG107&gt;高値!AI107),28,""))</f>
      </c>
      <c r="BD107" s="684">
        <f>COUNT($B107:$AB107)</f>
      </c>
      <c r="BE107" s="684">
        <f>IF($BD107&gt;=2,MIN($B107:$AB107),"")</f>
      </c>
      <c r="BF107" s="684">
        <f>IF($BD107&gt;=2,SMALL($B107:$AB107,2),"")</f>
      </c>
      <c r="BG107" s="684">
        <f>IF($BE107="","",INDEX(安値!$E107:$CZ107,1,$BE107+1))</f>
      </c>
      <c r="BH107" s="684">
        <f>IF($BF107="","",INDEX(安値!$E107:$CZ107,1,$BF107+1))</f>
      </c>
      <c r="BI107" s="684">
        <f>IF($BF107="","",MAX(INDEX(高値!$E107:$CZ107,1,$BE107+1):INDEX(高値!$E107:$CZ107,1,$BF107+1)))</f>
      </c>
      <c r="BJ107" s="684">
        <f>IF($BF107="","",AVERAGE(INDEX(終値!$E107:$CZ107,1,$BF107+1):INDEX(終値!$E107:$CZ107,1,$BF107+20))-2*STDEVP(INDEX(終値!$E107:$CZ107,1,$BF107+1):INDEX(終値!$E107:$CZ107,1,$BF107+20)))</f>
      </c>
      <c r="BK107" s="684">
        <f>IF($BE107="","",AVERAGE(INDEX(終値!$E107:$CZ107,1,$BE107+1):INDEX(終値!$E107:$CZ107,1,$BE107+20))-2*STDEVP(INDEX(終値!$E107:$CZ107,1,$BE107+1):INDEX(終値!$E107:$CZ107,1,$BE107+20)))</f>
      </c>
      <c r="BL107" s="684">
        <f>COUNT($AC107:$BC107)</f>
      </c>
      <c r="BM107" s="684">
        <f>IF($BL107&gt;=2,MIN($AC107:$BC107),"")</f>
      </c>
      <c r="BN107" s="684">
        <f>IF($BL107&gt;=2,SMALL($AC107:$BC107,2),"")</f>
      </c>
      <c r="BO107" s="684">
        <f>IF($BM107="","",INDEX(高値!$E107:$CZ107,1,$BM107+1))</f>
      </c>
      <c r="BP107" s="684">
        <f>IF($BN107="","",INDEX(高値!$E107:$CZ107,1,$BN107+1))</f>
      </c>
      <c r="BQ107" s="684">
        <f>IF($BN107="","",MIN(INDEX(安値!$E107:$CZ107,1,$BM107+1):INDEX(安値!$E107:$CZ107,1,$BN107+1)))</f>
      </c>
      <c r="BR107" s="684">
        <f>IF($BN107="","",AVERAGE(INDEX(終値!$E107:$CZ107,1,$BN107+1):INDEX(終値!$E107:$CZ107,1,$BN107+20))+2*STDEVP(INDEX(終値!$E107:$CZ107,1,$BN107+1):INDEX(終値!$E107:$CZ107,1,$BN107+20)))</f>
      </c>
      <c r="BS107" s="684">
        <f>IF($BM107="","",AVERAGE(INDEX(終値!$E107:$CZ107,1,$BM107+1):INDEX(終値!$E107:$CZ107,1,$BM107+20))+2*STDEVP(INDEX(終値!$E107:$CZ107,1,$BM107+1):INDEX(終値!$E107:$CZ107,1,$BM107+20)))</f>
      </c>
      <c r="BT107" s="681">
        <f>IFERROR(IF(AND($BD107&gt;=2,ABS($BG107-$BH107)/$BH107&lt;=BB設定!$B$12,$BI107&gt;=MAX($BH107,$BG107)*(1+BB設定!$B$13),終値!E107&gt;$BG107),IF(OR(終値!E107&gt;=$BI107,AND($BH107&lt;$BJ107,$BG107&gt;=$BK107)),"二番底W▲","二番底W形成"),IF(AND($BL107&gt;=2,ABS($BO107-$BP107)/$BP107&lt;=BB設定!$B$12,$BQ107&lt;=MIN($BP107,$BO107)*(1-BB設定!$B$13),終値!E107&lt;$BO107),IF(OR(終値!E107&lt;=$BQ107,AND($BP107&gt;$BR107,$BO107&lt;=$BS107)),"二番天井M▼","二番天井M形成"),"－")),"－")</f>
      </c>
    </row>
    <row r="108">
      <c r="B108" s="684">
        <f>IF(終値!A108="","",IF(AND(安値!G108&lt;安値!F108,安値!G108&lt;安値!E108,安値!G108&lt;安値!H108,安値!G108&lt;安値!I108),2,""))</f>
      </c>
      <c r="C108" s="684">
        <f>IF(終値!A108="","",IF(AND(安値!H108&lt;安値!G108,安値!H108&lt;安値!F108,安値!H108&lt;安値!I108,安値!H108&lt;安値!J108),3,""))</f>
      </c>
      <c r="D108" s="684">
        <f>IF(終値!A108="","",IF(AND(安値!I108&lt;安値!H108,安値!I108&lt;安値!G108,安値!I108&lt;安値!J108,安値!I108&lt;安値!K108),4,""))</f>
      </c>
      <c r="E108" s="684">
        <f>IF(終値!A108="","",IF(AND(安値!J108&lt;安値!I108,安値!J108&lt;安値!H108,安値!J108&lt;安値!K108,安値!J108&lt;安値!L108),5,""))</f>
      </c>
      <c r="F108" s="684">
        <f>IF(終値!A108="","",IF(AND(安値!K108&lt;安値!J108,安値!K108&lt;安値!I108,安値!K108&lt;安値!L108,安値!K108&lt;安値!M108),6,""))</f>
      </c>
      <c r="G108" s="684">
        <f>IF(終値!A108="","",IF(AND(安値!L108&lt;安値!K108,安値!L108&lt;安値!J108,安値!L108&lt;安値!M108,安値!L108&lt;安値!N108),7,""))</f>
      </c>
      <c r="H108" s="684">
        <f>IF(終値!A108="","",IF(AND(安値!M108&lt;安値!L108,安値!M108&lt;安値!K108,安値!M108&lt;安値!N108,安値!M108&lt;安値!O108),8,""))</f>
      </c>
      <c r="I108" s="684">
        <f>IF(終値!A108="","",IF(AND(安値!N108&lt;安値!M108,安値!N108&lt;安値!L108,安値!N108&lt;安値!O108,安値!N108&lt;安値!P108),9,""))</f>
      </c>
      <c r="J108" s="684">
        <f>IF(終値!A108="","",IF(AND(安値!O108&lt;安値!N108,安値!O108&lt;安値!M108,安値!O108&lt;安値!P108,安値!O108&lt;安値!Q108),10,""))</f>
      </c>
      <c r="K108" s="684">
        <f>IF(終値!A108="","",IF(AND(安値!P108&lt;安値!O108,安値!P108&lt;安値!N108,安値!P108&lt;安値!Q108,安値!P108&lt;安値!R108),11,""))</f>
      </c>
      <c r="L108" s="684">
        <f>IF(終値!A108="","",IF(AND(安値!Q108&lt;安値!P108,安値!Q108&lt;安値!O108,安値!Q108&lt;安値!R108,安値!Q108&lt;安値!S108),12,""))</f>
      </c>
      <c r="M108" s="684">
        <f>IF(終値!A108="","",IF(AND(安値!R108&lt;安値!Q108,安値!R108&lt;安値!P108,安値!R108&lt;安値!S108,安値!R108&lt;安値!T108),13,""))</f>
      </c>
      <c r="N108" s="684">
        <f>IF(終値!A108="","",IF(AND(安値!S108&lt;安値!R108,安値!S108&lt;安値!Q108,安値!S108&lt;安値!T108,安値!S108&lt;安値!U108),14,""))</f>
      </c>
      <c r="O108" s="684">
        <f>IF(終値!A108="","",IF(AND(安値!T108&lt;安値!S108,安値!T108&lt;安値!R108,安値!T108&lt;安値!U108,安値!T108&lt;安値!V108),15,""))</f>
      </c>
      <c r="P108" s="684">
        <f>IF(終値!A108="","",IF(AND(安値!U108&lt;安値!T108,安値!U108&lt;安値!S108,安値!U108&lt;安値!V108,安値!U108&lt;安値!W108),16,""))</f>
      </c>
      <c r="Q108" s="684">
        <f>IF(終値!A108="","",IF(AND(安値!V108&lt;安値!U108,安値!V108&lt;安値!T108,安値!V108&lt;安値!W108,安値!V108&lt;安値!X108),17,""))</f>
      </c>
      <c r="R108" s="684">
        <f>IF(終値!A108="","",IF(AND(安値!W108&lt;安値!V108,安値!W108&lt;安値!U108,安値!W108&lt;安値!X108,安値!W108&lt;安値!Y108),18,""))</f>
      </c>
      <c r="S108" s="684">
        <f>IF(終値!A108="","",IF(AND(安値!X108&lt;安値!W108,安値!X108&lt;安値!V108,安値!X108&lt;安値!Y108,安値!X108&lt;安値!Z108),19,""))</f>
      </c>
      <c r="T108" s="684">
        <f>IF(終値!A108="","",IF(AND(安値!Y108&lt;安値!X108,安値!Y108&lt;安値!W108,安値!Y108&lt;安値!Z108,安値!Y108&lt;安値!AA108),20,""))</f>
      </c>
      <c r="U108" s="684">
        <f>IF(終値!A108="","",IF(AND(安値!Z108&lt;安値!Y108,安値!Z108&lt;安値!X108,安値!Z108&lt;安値!AA108,安値!Z108&lt;安値!AB108),21,""))</f>
      </c>
      <c r="V108" s="684">
        <f>IF(終値!A108="","",IF(AND(安値!AA108&lt;安値!Z108,安値!AA108&lt;安値!Y108,安値!AA108&lt;安値!AB108,安値!AA108&lt;安値!AC108),22,""))</f>
      </c>
      <c r="W108" s="684">
        <f>IF(終値!A108="","",IF(AND(安値!AB108&lt;安値!AA108,安値!AB108&lt;安値!Z108,安値!AB108&lt;安値!AC108,安値!AB108&lt;安値!AD108),23,""))</f>
      </c>
      <c r="X108" s="684">
        <f>IF(終値!A108="","",IF(AND(安値!AC108&lt;安値!AB108,安値!AC108&lt;安値!AA108,安値!AC108&lt;安値!AD108,安値!AC108&lt;安値!AE108),24,""))</f>
      </c>
      <c r="Y108" s="684">
        <f>IF(終値!A108="","",IF(AND(安値!AD108&lt;安値!AC108,安値!AD108&lt;安値!AB108,安値!AD108&lt;安値!AE108,安値!AD108&lt;安値!AF108),25,""))</f>
      </c>
      <c r="Z108" s="684">
        <f>IF(終値!A108="","",IF(AND(安値!AE108&lt;安値!AD108,安値!AE108&lt;安値!AC108,安値!AE108&lt;安値!AF108,安値!AE108&lt;安値!AG108),26,""))</f>
      </c>
      <c r="AA108" s="684">
        <f>IF(終値!A108="","",IF(AND(安値!AF108&lt;安値!AE108,安値!AF108&lt;安値!AD108,安値!AF108&lt;安値!AG108,安値!AF108&lt;安値!AH108),27,""))</f>
      </c>
      <c r="AB108" s="684">
        <f>IF(終値!A108="","",IF(AND(安値!AG108&lt;安値!AF108,安値!AG108&lt;安値!AE108,安値!AG108&lt;安値!AH108,安値!AG108&lt;安値!AI108),28,""))</f>
      </c>
      <c r="AC108" s="684">
        <f>IF(終値!A108="","",IF(AND(高値!G108&gt;高値!F108,高値!G108&gt;高値!E108,高値!G108&gt;高値!H108,高値!G108&gt;高値!I108),2,""))</f>
      </c>
      <c r="AD108" s="684">
        <f>IF(終値!A108="","",IF(AND(高値!H108&gt;高値!G108,高値!H108&gt;高値!F108,高値!H108&gt;高値!I108,高値!H108&gt;高値!J108),3,""))</f>
      </c>
      <c r="AE108" s="684">
        <f>IF(終値!A108="","",IF(AND(高値!I108&gt;高値!H108,高値!I108&gt;高値!G108,高値!I108&gt;高値!J108,高値!I108&gt;高値!K108),4,""))</f>
      </c>
      <c r="AF108" s="684">
        <f>IF(終値!A108="","",IF(AND(高値!J108&gt;高値!I108,高値!J108&gt;高値!H108,高値!J108&gt;高値!K108,高値!J108&gt;高値!L108),5,""))</f>
      </c>
      <c r="AG108" s="684">
        <f>IF(終値!A108="","",IF(AND(高値!K108&gt;高値!J108,高値!K108&gt;高値!I108,高値!K108&gt;高値!L108,高値!K108&gt;高値!M108),6,""))</f>
      </c>
      <c r="AH108" s="684">
        <f>IF(終値!A108="","",IF(AND(高値!L108&gt;高値!K108,高値!L108&gt;高値!J108,高値!L108&gt;高値!M108,高値!L108&gt;高値!N108),7,""))</f>
      </c>
      <c r="AI108" s="684">
        <f>IF(終値!A108="","",IF(AND(高値!M108&gt;高値!L108,高値!M108&gt;高値!K108,高値!M108&gt;高値!N108,高値!M108&gt;高値!O108),8,""))</f>
      </c>
      <c r="AJ108" s="684">
        <f>IF(終値!A108="","",IF(AND(高値!N108&gt;高値!M108,高値!N108&gt;高値!L108,高値!N108&gt;高値!O108,高値!N108&gt;高値!P108),9,""))</f>
      </c>
      <c r="AK108" s="684">
        <f>IF(終値!A108="","",IF(AND(高値!O108&gt;高値!N108,高値!O108&gt;高値!M108,高値!O108&gt;高値!P108,高値!O108&gt;高値!Q108),10,""))</f>
      </c>
      <c r="AL108" s="684">
        <f>IF(終値!A108="","",IF(AND(高値!P108&gt;高値!O108,高値!P108&gt;高値!N108,高値!P108&gt;高値!Q108,高値!P108&gt;高値!R108),11,""))</f>
      </c>
      <c r="AM108" s="684">
        <f>IF(終値!A108="","",IF(AND(高値!Q108&gt;高値!P108,高値!Q108&gt;高値!O108,高値!Q108&gt;高値!R108,高値!Q108&gt;高値!S108),12,""))</f>
      </c>
      <c r="AN108" s="684">
        <f>IF(終値!A108="","",IF(AND(高値!R108&gt;高値!Q108,高値!R108&gt;高値!P108,高値!R108&gt;高値!S108,高値!R108&gt;高値!T108),13,""))</f>
      </c>
      <c r="AO108" s="684">
        <f>IF(終値!A108="","",IF(AND(高値!S108&gt;高値!R108,高値!S108&gt;高値!Q108,高値!S108&gt;高値!T108,高値!S108&gt;高値!U108),14,""))</f>
      </c>
      <c r="AP108" s="684">
        <f>IF(終値!A108="","",IF(AND(高値!T108&gt;高値!S108,高値!T108&gt;高値!R108,高値!T108&gt;高値!U108,高値!T108&gt;高値!V108),15,""))</f>
      </c>
      <c r="AQ108" s="684">
        <f>IF(終値!A108="","",IF(AND(高値!U108&gt;高値!T108,高値!U108&gt;高値!S108,高値!U108&gt;高値!V108,高値!U108&gt;高値!W108),16,""))</f>
      </c>
      <c r="AR108" s="684">
        <f>IF(終値!A108="","",IF(AND(高値!V108&gt;高値!U108,高値!V108&gt;高値!T108,高値!V108&gt;高値!W108,高値!V108&gt;高値!X108),17,""))</f>
      </c>
      <c r="AS108" s="684">
        <f>IF(終値!A108="","",IF(AND(高値!W108&gt;高値!V108,高値!W108&gt;高値!U108,高値!W108&gt;高値!X108,高値!W108&gt;高値!Y108),18,""))</f>
      </c>
      <c r="AT108" s="684">
        <f>IF(終値!A108="","",IF(AND(高値!X108&gt;高値!W108,高値!X108&gt;高値!V108,高値!X108&gt;高値!Y108,高値!X108&gt;高値!Z108),19,""))</f>
      </c>
      <c r="AU108" s="684">
        <f>IF(終値!A108="","",IF(AND(高値!Y108&gt;高値!X108,高値!Y108&gt;高値!W108,高値!Y108&gt;高値!Z108,高値!Y108&gt;高値!AA108),20,""))</f>
      </c>
      <c r="AV108" s="684">
        <f>IF(終値!A108="","",IF(AND(高値!Z108&gt;高値!Y108,高値!Z108&gt;高値!X108,高値!Z108&gt;高値!AA108,高値!Z108&gt;高値!AB108),21,""))</f>
      </c>
      <c r="AW108" s="684">
        <f>IF(終値!A108="","",IF(AND(高値!AA108&gt;高値!Z108,高値!AA108&gt;高値!Y108,高値!AA108&gt;高値!AB108,高値!AA108&gt;高値!AC108),22,""))</f>
      </c>
      <c r="AX108" s="684">
        <f>IF(終値!A108="","",IF(AND(高値!AB108&gt;高値!AA108,高値!AB108&gt;高値!Z108,高値!AB108&gt;高値!AC108,高値!AB108&gt;高値!AD108),23,""))</f>
      </c>
      <c r="AY108" s="684">
        <f>IF(終値!A108="","",IF(AND(高値!AC108&gt;高値!AB108,高値!AC108&gt;高値!AA108,高値!AC108&gt;高値!AD108,高値!AC108&gt;高値!AE108),24,""))</f>
      </c>
      <c r="AZ108" s="684">
        <f>IF(終値!A108="","",IF(AND(高値!AD108&gt;高値!AC108,高値!AD108&gt;高値!AB108,高値!AD108&gt;高値!AE108,高値!AD108&gt;高値!AF108),25,""))</f>
      </c>
      <c r="BA108" s="684">
        <f>IF(終値!A108="","",IF(AND(高値!AE108&gt;高値!AD108,高値!AE108&gt;高値!AC108,高値!AE108&gt;高値!AF108,高値!AE108&gt;高値!AG108),26,""))</f>
      </c>
      <c r="BB108" s="684">
        <f>IF(終値!A108="","",IF(AND(高値!AF108&gt;高値!AE108,高値!AF108&gt;高値!AD108,高値!AF108&gt;高値!AG108,高値!AF108&gt;高値!AH108),27,""))</f>
      </c>
      <c r="BC108" s="684">
        <f>IF(終値!A108="","",IF(AND(高値!AG108&gt;高値!AF108,高値!AG108&gt;高値!AE108,高値!AG108&gt;高値!AH108,高値!AG108&gt;高値!AI108),28,""))</f>
      </c>
      <c r="BD108" s="684">
        <f>COUNT($B108:$AB108)</f>
      </c>
      <c r="BE108" s="684">
        <f>IF($BD108&gt;=2,MIN($B108:$AB108),"")</f>
      </c>
      <c r="BF108" s="684">
        <f>IF($BD108&gt;=2,SMALL($B108:$AB108,2),"")</f>
      </c>
      <c r="BG108" s="684">
        <f>IF($BE108="","",INDEX(安値!$E108:$CZ108,1,$BE108+1))</f>
      </c>
      <c r="BH108" s="684">
        <f>IF($BF108="","",INDEX(安値!$E108:$CZ108,1,$BF108+1))</f>
      </c>
      <c r="BI108" s="684">
        <f>IF($BF108="","",MAX(INDEX(高値!$E108:$CZ108,1,$BE108+1):INDEX(高値!$E108:$CZ108,1,$BF108+1)))</f>
      </c>
      <c r="BJ108" s="684">
        <f>IF($BF108="","",AVERAGE(INDEX(終値!$E108:$CZ108,1,$BF108+1):INDEX(終値!$E108:$CZ108,1,$BF108+20))-2*STDEVP(INDEX(終値!$E108:$CZ108,1,$BF108+1):INDEX(終値!$E108:$CZ108,1,$BF108+20)))</f>
      </c>
      <c r="BK108" s="684">
        <f>IF($BE108="","",AVERAGE(INDEX(終値!$E108:$CZ108,1,$BE108+1):INDEX(終値!$E108:$CZ108,1,$BE108+20))-2*STDEVP(INDEX(終値!$E108:$CZ108,1,$BE108+1):INDEX(終値!$E108:$CZ108,1,$BE108+20)))</f>
      </c>
      <c r="BL108" s="684">
        <f>COUNT($AC108:$BC108)</f>
      </c>
      <c r="BM108" s="684">
        <f>IF($BL108&gt;=2,MIN($AC108:$BC108),"")</f>
      </c>
      <c r="BN108" s="684">
        <f>IF($BL108&gt;=2,SMALL($AC108:$BC108,2),"")</f>
      </c>
      <c r="BO108" s="684">
        <f>IF($BM108="","",INDEX(高値!$E108:$CZ108,1,$BM108+1))</f>
      </c>
      <c r="BP108" s="684">
        <f>IF($BN108="","",INDEX(高値!$E108:$CZ108,1,$BN108+1))</f>
      </c>
      <c r="BQ108" s="684">
        <f>IF($BN108="","",MIN(INDEX(安値!$E108:$CZ108,1,$BM108+1):INDEX(安値!$E108:$CZ108,1,$BN108+1)))</f>
      </c>
      <c r="BR108" s="684">
        <f>IF($BN108="","",AVERAGE(INDEX(終値!$E108:$CZ108,1,$BN108+1):INDEX(終値!$E108:$CZ108,1,$BN108+20))+2*STDEVP(INDEX(終値!$E108:$CZ108,1,$BN108+1):INDEX(終値!$E108:$CZ108,1,$BN108+20)))</f>
      </c>
      <c r="BS108" s="684">
        <f>IF($BM108="","",AVERAGE(INDEX(終値!$E108:$CZ108,1,$BM108+1):INDEX(終値!$E108:$CZ108,1,$BM108+20))+2*STDEVP(INDEX(終値!$E108:$CZ108,1,$BM108+1):INDEX(終値!$E108:$CZ108,1,$BM108+20)))</f>
      </c>
      <c r="BT108" s="681">
        <f>IFERROR(IF(AND($BD108&gt;=2,ABS($BG108-$BH108)/$BH108&lt;=BB設定!$B$12,$BI108&gt;=MAX($BH108,$BG108)*(1+BB設定!$B$13),終値!E108&gt;$BG108),IF(OR(終値!E108&gt;=$BI108,AND($BH108&lt;$BJ108,$BG108&gt;=$BK108)),"二番底W▲","二番底W形成"),IF(AND($BL108&gt;=2,ABS($BO108-$BP108)/$BP108&lt;=BB設定!$B$12,$BQ108&lt;=MIN($BP108,$BO108)*(1-BB設定!$B$13),終値!E108&lt;$BO108),IF(OR(終値!E108&lt;=$BQ108,AND($BP108&gt;$BR108,$BO108&lt;=$BS108)),"二番天井M▼","二番天井M形成"),"－")),"－")</f>
      </c>
    </row>
    <row r="109">
      <c r="B109" s="684">
        <f>IF(終値!A109="","",IF(AND(安値!G109&lt;安値!F109,安値!G109&lt;安値!E109,安値!G109&lt;安値!H109,安値!G109&lt;安値!I109),2,""))</f>
      </c>
      <c r="C109" s="684">
        <f>IF(終値!A109="","",IF(AND(安値!H109&lt;安値!G109,安値!H109&lt;安値!F109,安値!H109&lt;安値!I109,安値!H109&lt;安値!J109),3,""))</f>
      </c>
      <c r="D109" s="684">
        <f>IF(終値!A109="","",IF(AND(安値!I109&lt;安値!H109,安値!I109&lt;安値!G109,安値!I109&lt;安値!J109,安値!I109&lt;安値!K109),4,""))</f>
      </c>
      <c r="E109" s="684">
        <f>IF(終値!A109="","",IF(AND(安値!J109&lt;安値!I109,安値!J109&lt;安値!H109,安値!J109&lt;安値!K109,安値!J109&lt;安値!L109),5,""))</f>
      </c>
      <c r="F109" s="684">
        <f>IF(終値!A109="","",IF(AND(安値!K109&lt;安値!J109,安値!K109&lt;安値!I109,安値!K109&lt;安値!L109,安値!K109&lt;安値!M109),6,""))</f>
      </c>
      <c r="G109" s="684">
        <f>IF(終値!A109="","",IF(AND(安値!L109&lt;安値!K109,安値!L109&lt;安値!J109,安値!L109&lt;安値!M109,安値!L109&lt;安値!N109),7,""))</f>
      </c>
      <c r="H109" s="684">
        <f>IF(終値!A109="","",IF(AND(安値!M109&lt;安値!L109,安値!M109&lt;安値!K109,安値!M109&lt;安値!N109,安値!M109&lt;安値!O109),8,""))</f>
      </c>
      <c r="I109" s="684">
        <f>IF(終値!A109="","",IF(AND(安値!N109&lt;安値!M109,安値!N109&lt;安値!L109,安値!N109&lt;安値!O109,安値!N109&lt;安値!P109),9,""))</f>
      </c>
      <c r="J109" s="684">
        <f>IF(終値!A109="","",IF(AND(安値!O109&lt;安値!N109,安値!O109&lt;安値!M109,安値!O109&lt;安値!P109,安値!O109&lt;安値!Q109),10,""))</f>
      </c>
      <c r="K109" s="684">
        <f>IF(終値!A109="","",IF(AND(安値!P109&lt;安値!O109,安値!P109&lt;安値!N109,安値!P109&lt;安値!Q109,安値!P109&lt;安値!R109),11,""))</f>
      </c>
      <c r="L109" s="684">
        <f>IF(終値!A109="","",IF(AND(安値!Q109&lt;安値!P109,安値!Q109&lt;安値!O109,安値!Q109&lt;安値!R109,安値!Q109&lt;安値!S109),12,""))</f>
      </c>
      <c r="M109" s="684">
        <f>IF(終値!A109="","",IF(AND(安値!R109&lt;安値!Q109,安値!R109&lt;安値!P109,安値!R109&lt;安値!S109,安値!R109&lt;安値!T109),13,""))</f>
      </c>
      <c r="N109" s="684">
        <f>IF(終値!A109="","",IF(AND(安値!S109&lt;安値!R109,安値!S109&lt;安値!Q109,安値!S109&lt;安値!T109,安値!S109&lt;安値!U109),14,""))</f>
      </c>
      <c r="O109" s="684">
        <f>IF(終値!A109="","",IF(AND(安値!T109&lt;安値!S109,安値!T109&lt;安値!R109,安値!T109&lt;安値!U109,安値!T109&lt;安値!V109),15,""))</f>
      </c>
      <c r="P109" s="684">
        <f>IF(終値!A109="","",IF(AND(安値!U109&lt;安値!T109,安値!U109&lt;安値!S109,安値!U109&lt;安値!V109,安値!U109&lt;安値!W109),16,""))</f>
      </c>
      <c r="Q109" s="684">
        <f>IF(終値!A109="","",IF(AND(安値!V109&lt;安値!U109,安値!V109&lt;安値!T109,安値!V109&lt;安値!W109,安値!V109&lt;安値!X109),17,""))</f>
      </c>
      <c r="R109" s="684">
        <f>IF(終値!A109="","",IF(AND(安値!W109&lt;安値!V109,安値!W109&lt;安値!U109,安値!W109&lt;安値!X109,安値!W109&lt;安値!Y109),18,""))</f>
      </c>
      <c r="S109" s="684">
        <f>IF(終値!A109="","",IF(AND(安値!X109&lt;安値!W109,安値!X109&lt;安値!V109,安値!X109&lt;安値!Y109,安値!X109&lt;安値!Z109),19,""))</f>
      </c>
      <c r="T109" s="684">
        <f>IF(終値!A109="","",IF(AND(安値!Y109&lt;安値!X109,安値!Y109&lt;安値!W109,安値!Y109&lt;安値!Z109,安値!Y109&lt;安値!AA109),20,""))</f>
      </c>
      <c r="U109" s="684">
        <f>IF(終値!A109="","",IF(AND(安値!Z109&lt;安値!Y109,安値!Z109&lt;安値!X109,安値!Z109&lt;安値!AA109,安値!Z109&lt;安値!AB109),21,""))</f>
      </c>
      <c r="V109" s="684">
        <f>IF(終値!A109="","",IF(AND(安値!AA109&lt;安値!Z109,安値!AA109&lt;安値!Y109,安値!AA109&lt;安値!AB109,安値!AA109&lt;安値!AC109),22,""))</f>
      </c>
      <c r="W109" s="684">
        <f>IF(終値!A109="","",IF(AND(安値!AB109&lt;安値!AA109,安値!AB109&lt;安値!Z109,安値!AB109&lt;安値!AC109,安値!AB109&lt;安値!AD109),23,""))</f>
      </c>
      <c r="X109" s="684">
        <f>IF(終値!A109="","",IF(AND(安値!AC109&lt;安値!AB109,安値!AC109&lt;安値!AA109,安値!AC109&lt;安値!AD109,安値!AC109&lt;安値!AE109),24,""))</f>
      </c>
      <c r="Y109" s="684">
        <f>IF(終値!A109="","",IF(AND(安値!AD109&lt;安値!AC109,安値!AD109&lt;安値!AB109,安値!AD109&lt;安値!AE109,安値!AD109&lt;安値!AF109),25,""))</f>
      </c>
      <c r="Z109" s="684">
        <f>IF(終値!A109="","",IF(AND(安値!AE109&lt;安値!AD109,安値!AE109&lt;安値!AC109,安値!AE109&lt;安値!AF109,安値!AE109&lt;安値!AG109),26,""))</f>
      </c>
      <c r="AA109" s="684">
        <f>IF(終値!A109="","",IF(AND(安値!AF109&lt;安値!AE109,安値!AF109&lt;安値!AD109,安値!AF109&lt;安値!AG109,安値!AF109&lt;安値!AH109),27,""))</f>
      </c>
      <c r="AB109" s="684">
        <f>IF(終値!A109="","",IF(AND(安値!AG109&lt;安値!AF109,安値!AG109&lt;安値!AE109,安値!AG109&lt;安値!AH109,安値!AG109&lt;安値!AI109),28,""))</f>
      </c>
      <c r="AC109" s="684">
        <f>IF(終値!A109="","",IF(AND(高値!G109&gt;高値!F109,高値!G109&gt;高値!E109,高値!G109&gt;高値!H109,高値!G109&gt;高値!I109),2,""))</f>
      </c>
      <c r="AD109" s="684">
        <f>IF(終値!A109="","",IF(AND(高値!H109&gt;高値!G109,高値!H109&gt;高値!F109,高値!H109&gt;高値!I109,高値!H109&gt;高値!J109),3,""))</f>
      </c>
      <c r="AE109" s="684">
        <f>IF(終値!A109="","",IF(AND(高値!I109&gt;高値!H109,高値!I109&gt;高値!G109,高値!I109&gt;高値!J109,高値!I109&gt;高値!K109),4,""))</f>
      </c>
      <c r="AF109" s="684">
        <f>IF(終値!A109="","",IF(AND(高値!J109&gt;高値!I109,高値!J109&gt;高値!H109,高値!J109&gt;高値!K109,高値!J109&gt;高値!L109),5,""))</f>
      </c>
      <c r="AG109" s="684">
        <f>IF(終値!A109="","",IF(AND(高値!K109&gt;高値!J109,高値!K109&gt;高値!I109,高値!K109&gt;高値!L109,高値!K109&gt;高値!M109),6,""))</f>
      </c>
      <c r="AH109" s="684">
        <f>IF(終値!A109="","",IF(AND(高値!L109&gt;高値!K109,高値!L109&gt;高値!J109,高値!L109&gt;高値!M109,高値!L109&gt;高値!N109),7,""))</f>
      </c>
      <c r="AI109" s="684">
        <f>IF(終値!A109="","",IF(AND(高値!M109&gt;高値!L109,高値!M109&gt;高値!K109,高値!M109&gt;高値!N109,高値!M109&gt;高値!O109),8,""))</f>
      </c>
      <c r="AJ109" s="684">
        <f>IF(終値!A109="","",IF(AND(高値!N109&gt;高値!M109,高値!N109&gt;高値!L109,高値!N109&gt;高値!O109,高値!N109&gt;高値!P109),9,""))</f>
      </c>
      <c r="AK109" s="684">
        <f>IF(終値!A109="","",IF(AND(高値!O109&gt;高値!N109,高値!O109&gt;高値!M109,高値!O109&gt;高値!P109,高値!O109&gt;高値!Q109),10,""))</f>
      </c>
      <c r="AL109" s="684">
        <f>IF(終値!A109="","",IF(AND(高値!P109&gt;高値!O109,高値!P109&gt;高値!N109,高値!P109&gt;高値!Q109,高値!P109&gt;高値!R109),11,""))</f>
      </c>
      <c r="AM109" s="684">
        <f>IF(終値!A109="","",IF(AND(高値!Q109&gt;高値!P109,高値!Q109&gt;高値!O109,高値!Q109&gt;高値!R109,高値!Q109&gt;高値!S109),12,""))</f>
      </c>
      <c r="AN109" s="684">
        <f>IF(終値!A109="","",IF(AND(高値!R109&gt;高値!Q109,高値!R109&gt;高値!P109,高値!R109&gt;高値!S109,高値!R109&gt;高値!T109),13,""))</f>
      </c>
      <c r="AO109" s="684">
        <f>IF(終値!A109="","",IF(AND(高値!S109&gt;高値!R109,高値!S109&gt;高値!Q109,高値!S109&gt;高値!T109,高値!S109&gt;高値!U109),14,""))</f>
      </c>
      <c r="AP109" s="684">
        <f>IF(終値!A109="","",IF(AND(高値!T109&gt;高値!S109,高値!T109&gt;高値!R109,高値!T109&gt;高値!U109,高値!T109&gt;高値!V109),15,""))</f>
      </c>
      <c r="AQ109" s="684">
        <f>IF(終値!A109="","",IF(AND(高値!U109&gt;高値!T109,高値!U109&gt;高値!S109,高値!U109&gt;高値!V109,高値!U109&gt;高値!W109),16,""))</f>
      </c>
      <c r="AR109" s="684">
        <f>IF(終値!A109="","",IF(AND(高値!V109&gt;高値!U109,高値!V109&gt;高値!T109,高値!V109&gt;高値!W109,高値!V109&gt;高値!X109),17,""))</f>
      </c>
      <c r="AS109" s="684">
        <f>IF(終値!A109="","",IF(AND(高値!W109&gt;高値!V109,高値!W109&gt;高値!U109,高値!W109&gt;高値!X109,高値!W109&gt;高値!Y109),18,""))</f>
      </c>
      <c r="AT109" s="684">
        <f>IF(終値!A109="","",IF(AND(高値!X109&gt;高値!W109,高値!X109&gt;高値!V109,高値!X109&gt;高値!Y109,高値!X109&gt;高値!Z109),19,""))</f>
      </c>
      <c r="AU109" s="684">
        <f>IF(終値!A109="","",IF(AND(高値!Y109&gt;高値!X109,高値!Y109&gt;高値!W109,高値!Y109&gt;高値!Z109,高値!Y109&gt;高値!AA109),20,""))</f>
      </c>
      <c r="AV109" s="684">
        <f>IF(終値!A109="","",IF(AND(高値!Z109&gt;高値!Y109,高値!Z109&gt;高値!X109,高値!Z109&gt;高値!AA109,高値!Z109&gt;高値!AB109),21,""))</f>
      </c>
      <c r="AW109" s="684">
        <f>IF(終値!A109="","",IF(AND(高値!AA109&gt;高値!Z109,高値!AA109&gt;高値!Y109,高値!AA109&gt;高値!AB109,高値!AA109&gt;高値!AC109),22,""))</f>
      </c>
      <c r="AX109" s="684">
        <f>IF(終値!A109="","",IF(AND(高値!AB109&gt;高値!AA109,高値!AB109&gt;高値!Z109,高値!AB109&gt;高値!AC109,高値!AB109&gt;高値!AD109),23,""))</f>
      </c>
      <c r="AY109" s="684">
        <f>IF(終値!A109="","",IF(AND(高値!AC109&gt;高値!AB109,高値!AC109&gt;高値!AA109,高値!AC109&gt;高値!AD109,高値!AC109&gt;高値!AE109),24,""))</f>
      </c>
      <c r="AZ109" s="684">
        <f>IF(終値!A109="","",IF(AND(高値!AD109&gt;高値!AC109,高値!AD109&gt;高値!AB109,高値!AD109&gt;高値!AE109,高値!AD109&gt;高値!AF109),25,""))</f>
      </c>
      <c r="BA109" s="684">
        <f>IF(終値!A109="","",IF(AND(高値!AE109&gt;高値!AD109,高値!AE109&gt;高値!AC109,高値!AE109&gt;高値!AF109,高値!AE109&gt;高値!AG109),26,""))</f>
      </c>
      <c r="BB109" s="684">
        <f>IF(終値!A109="","",IF(AND(高値!AF109&gt;高値!AE109,高値!AF109&gt;高値!AD109,高値!AF109&gt;高値!AG109,高値!AF109&gt;高値!AH109),27,""))</f>
      </c>
      <c r="BC109" s="684">
        <f>IF(終値!A109="","",IF(AND(高値!AG109&gt;高値!AF109,高値!AG109&gt;高値!AE109,高値!AG109&gt;高値!AH109,高値!AG109&gt;高値!AI109),28,""))</f>
      </c>
      <c r="BD109" s="684">
        <f>COUNT($B109:$AB109)</f>
      </c>
      <c r="BE109" s="684">
        <f>IF($BD109&gt;=2,MIN($B109:$AB109),"")</f>
      </c>
      <c r="BF109" s="684">
        <f>IF($BD109&gt;=2,SMALL($B109:$AB109,2),"")</f>
      </c>
      <c r="BG109" s="684">
        <f>IF($BE109="","",INDEX(安値!$E109:$CZ109,1,$BE109+1))</f>
      </c>
      <c r="BH109" s="684">
        <f>IF($BF109="","",INDEX(安値!$E109:$CZ109,1,$BF109+1))</f>
      </c>
      <c r="BI109" s="684">
        <f>IF($BF109="","",MAX(INDEX(高値!$E109:$CZ109,1,$BE109+1):INDEX(高値!$E109:$CZ109,1,$BF109+1)))</f>
      </c>
      <c r="BJ109" s="684">
        <f>IF($BF109="","",AVERAGE(INDEX(終値!$E109:$CZ109,1,$BF109+1):INDEX(終値!$E109:$CZ109,1,$BF109+20))-2*STDEVP(INDEX(終値!$E109:$CZ109,1,$BF109+1):INDEX(終値!$E109:$CZ109,1,$BF109+20)))</f>
      </c>
      <c r="BK109" s="684">
        <f>IF($BE109="","",AVERAGE(INDEX(終値!$E109:$CZ109,1,$BE109+1):INDEX(終値!$E109:$CZ109,1,$BE109+20))-2*STDEVP(INDEX(終値!$E109:$CZ109,1,$BE109+1):INDEX(終値!$E109:$CZ109,1,$BE109+20)))</f>
      </c>
      <c r="BL109" s="684">
        <f>COUNT($AC109:$BC109)</f>
      </c>
      <c r="BM109" s="684">
        <f>IF($BL109&gt;=2,MIN($AC109:$BC109),"")</f>
      </c>
      <c r="BN109" s="684">
        <f>IF($BL109&gt;=2,SMALL($AC109:$BC109,2),"")</f>
      </c>
      <c r="BO109" s="684">
        <f>IF($BM109="","",INDEX(高値!$E109:$CZ109,1,$BM109+1))</f>
      </c>
      <c r="BP109" s="684">
        <f>IF($BN109="","",INDEX(高値!$E109:$CZ109,1,$BN109+1))</f>
      </c>
      <c r="BQ109" s="684">
        <f>IF($BN109="","",MIN(INDEX(安値!$E109:$CZ109,1,$BM109+1):INDEX(安値!$E109:$CZ109,1,$BN109+1)))</f>
      </c>
      <c r="BR109" s="684">
        <f>IF($BN109="","",AVERAGE(INDEX(終値!$E109:$CZ109,1,$BN109+1):INDEX(終値!$E109:$CZ109,1,$BN109+20))+2*STDEVP(INDEX(終値!$E109:$CZ109,1,$BN109+1):INDEX(終値!$E109:$CZ109,1,$BN109+20)))</f>
      </c>
      <c r="BS109" s="684">
        <f>IF($BM109="","",AVERAGE(INDEX(終値!$E109:$CZ109,1,$BM109+1):INDEX(終値!$E109:$CZ109,1,$BM109+20))+2*STDEVP(INDEX(終値!$E109:$CZ109,1,$BM109+1):INDEX(終値!$E109:$CZ109,1,$BM109+20)))</f>
      </c>
      <c r="BT109" s="681">
        <f>IFERROR(IF(AND($BD109&gt;=2,ABS($BG109-$BH109)/$BH109&lt;=BB設定!$B$12,$BI109&gt;=MAX($BH109,$BG109)*(1+BB設定!$B$13),終値!E109&gt;$BG109),IF(OR(終値!E109&gt;=$BI109,AND($BH109&lt;$BJ109,$BG109&gt;=$BK109)),"二番底W▲","二番底W形成"),IF(AND($BL109&gt;=2,ABS($BO109-$BP109)/$BP109&lt;=BB設定!$B$12,$BQ109&lt;=MIN($BP109,$BO109)*(1-BB設定!$B$13),終値!E109&lt;$BO109),IF(OR(終値!E109&lt;=$BQ109,AND($BP109&gt;$BR109,$BO109&lt;=$BS109)),"二番天井M▼","二番天井M形成"),"－")),"－")</f>
      </c>
    </row>
    <row r="110">
      <c r="B110" s="684">
        <f>IF(終値!A110="","",IF(AND(安値!G110&lt;安値!F110,安値!G110&lt;安値!E110,安値!G110&lt;安値!H110,安値!G110&lt;安値!I110),2,""))</f>
      </c>
      <c r="C110" s="684">
        <f>IF(終値!A110="","",IF(AND(安値!H110&lt;安値!G110,安値!H110&lt;安値!F110,安値!H110&lt;安値!I110,安値!H110&lt;安値!J110),3,""))</f>
      </c>
      <c r="D110" s="684">
        <f>IF(終値!A110="","",IF(AND(安値!I110&lt;安値!H110,安値!I110&lt;安値!G110,安値!I110&lt;安値!J110,安値!I110&lt;安値!K110),4,""))</f>
      </c>
      <c r="E110" s="684">
        <f>IF(終値!A110="","",IF(AND(安値!J110&lt;安値!I110,安値!J110&lt;安値!H110,安値!J110&lt;安値!K110,安値!J110&lt;安値!L110),5,""))</f>
      </c>
      <c r="F110" s="684">
        <f>IF(終値!A110="","",IF(AND(安値!K110&lt;安値!J110,安値!K110&lt;安値!I110,安値!K110&lt;安値!L110,安値!K110&lt;安値!M110),6,""))</f>
      </c>
      <c r="G110" s="684">
        <f>IF(終値!A110="","",IF(AND(安値!L110&lt;安値!K110,安値!L110&lt;安値!J110,安値!L110&lt;安値!M110,安値!L110&lt;安値!N110),7,""))</f>
      </c>
      <c r="H110" s="684">
        <f>IF(終値!A110="","",IF(AND(安値!M110&lt;安値!L110,安値!M110&lt;安値!K110,安値!M110&lt;安値!N110,安値!M110&lt;安値!O110),8,""))</f>
      </c>
      <c r="I110" s="684">
        <f>IF(終値!A110="","",IF(AND(安値!N110&lt;安値!M110,安値!N110&lt;安値!L110,安値!N110&lt;安値!O110,安値!N110&lt;安値!P110),9,""))</f>
      </c>
      <c r="J110" s="684">
        <f>IF(終値!A110="","",IF(AND(安値!O110&lt;安値!N110,安値!O110&lt;安値!M110,安値!O110&lt;安値!P110,安値!O110&lt;安値!Q110),10,""))</f>
      </c>
      <c r="K110" s="684">
        <f>IF(終値!A110="","",IF(AND(安値!P110&lt;安値!O110,安値!P110&lt;安値!N110,安値!P110&lt;安値!Q110,安値!P110&lt;安値!R110),11,""))</f>
      </c>
      <c r="L110" s="684">
        <f>IF(終値!A110="","",IF(AND(安値!Q110&lt;安値!P110,安値!Q110&lt;安値!O110,安値!Q110&lt;安値!R110,安値!Q110&lt;安値!S110),12,""))</f>
      </c>
      <c r="M110" s="684">
        <f>IF(終値!A110="","",IF(AND(安値!R110&lt;安値!Q110,安値!R110&lt;安値!P110,安値!R110&lt;安値!S110,安値!R110&lt;安値!T110),13,""))</f>
      </c>
      <c r="N110" s="684">
        <f>IF(終値!A110="","",IF(AND(安値!S110&lt;安値!R110,安値!S110&lt;安値!Q110,安値!S110&lt;安値!T110,安値!S110&lt;安値!U110),14,""))</f>
      </c>
      <c r="O110" s="684">
        <f>IF(終値!A110="","",IF(AND(安値!T110&lt;安値!S110,安値!T110&lt;安値!R110,安値!T110&lt;安値!U110,安値!T110&lt;安値!V110),15,""))</f>
      </c>
      <c r="P110" s="684">
        <f>IF(終値!A110="","",IF(AND(安値!U110&lt;安値!T110,安値!U110&lt;安値!S110,安値!U110&lt;安値!V110,安値!U110&lt;安値!W110),16,""))</f>
      </c>
      <c r="Q110" s="684">
        <f>IF(終値!A110="","",IF(AND(安値!V110&lt;安値!U110,安値!V110&lt;安値!T110,安値!V110&lt;安値!W110,安値!V110&lt;安値!X110),17,""))</f>
      </c>
      <c r="R110" s="684">
        <f>IF(終値!A110="","",IF(AND(安値!W110&lt;安値!V110,安値!W110&lt;安値!U110,安値!W110&lt;安値!X110,安値!W110&lt;安値!Y110),18,""))</f>
      </c>
      <c r="S110" s="684">
        <f>IF(終値!A110="","",IF(AND(安値!X110&lt;安値!W110,安値!X110&lt;安値!V110,安値!X110&lt;安値!Y110,安値!X110&lt;安値!Z110),19,""))</f>
      </c>
      <c r="T110" s="684">
        <f>IF(終値!A110="","",IF(AND(安値!Y110&lt;安値!X110,安値!Y110&lt;安値!W110,安値!Y110&lt;安値!Z110,安値!Y110&lt;安値!AA110),20,""))</f>
      </c>
      <c r="U110" s="684">
        <f>IF(終値!A110="","",IF(AND(安値!Z110&lt;安値!Y110,安値!Z110&lt;安値!X110,安値!Z110&lt;安値!AA110,安値!Z110&lt;安値!AB110),21,""))</f>
      </c>
      <c r="V110" s="684">
        <f>IF(終値!A110="","",IF(AND(安値!AA110&lt;安値!Z110,安値!AA110&lt;安値!Y110,安値!AA110&lt;安値!AB110,安値!AA110&lt;安値!AC110),22,""))</f>
      </c>
      <c r="W110" s="684">
        <f>IF(終値!A110="","",IF(AND(安値!AB110&lt;安値!AA110,安値!AB110&lt;安値!Z110,安値!AB110&lt;安値!AC110,安値!AB110&lt;安値!AD110),23,""))</f>
      </c>
      <c r="X110" s="684">
        <f>IF(終値!A110="","",IF(AND(安値!AC110&lt;安値!AB110,安値!AC110&lt;安値!AA110,安値!AC110&lt;安値!AD110,安値!AC110&lt;安値!AE110),24,""))</f>
      </c>
      <c r="Y110" s="684">
        <f>IF(終値!A110="","",IF(AND(安値!AD110&lt;安値!AC110,安値!AD110&lt;安値!AB110,安値!AD110&lt;安値!AE110,安値!AD110&lt;安値!AF110),25,""))</f>
      </c>
      <c r="Z110" s="684">
        <f>IF(終値!A110="","",IF(AND(安値!AE110&lt;安値!AD110,安値!AE110&lt;安値!AC110,安値!AE110&lt;安値!AF110,安値!AE110&lt;安値!AG110),26,""))</f>
      </c>
      <c r="AA110" s="684">
        <f>IF(終値!A110="","",IF(AND(安値!AF110&lt;安値!AE110,安値!AF110&lt;安値!AD110,安値!AF110&lt;安値!AG110,安値!AF110&lt;安値!AH110),27,""))</f>
      </c>
      <c r="AB110" s="684">
        <f>IF(終値!A110="","",IF(AND(安値!AG110&lt;安値!AF110,安値!AG110&lt;安値!AE110,安値!AG110&lt;安値!AH110,安値!AG110&lt;安値!AI110),28,""))</f>
      </c>
      <c r="AC110" s="684">
        <f>IF(終値!A110="","",IF(AND(高値!G110&gt;高値!F110,高値!G110&gt;高値!E110,高値!G110&gt;高値!H110,高値!G110&gt;高値!I110),2,""))</f>
      </c>
      <c r="AD110" s="684">
        <f>IF(終値!A110="","",IF(AND(高値!H110&gt;高値!G110,高値!H110&gt;高値!F110,高値!H110&gt;高値!I110,高値!H110&gt;高値!J110),3,""))</f>
      </c>
      <c r="AE110" s="684">
        <f>IF(終値!A110="","",IF(AND(高値!I110&gt;高値!H110,高値!I110&gt;高値!G110,高値!I110&gt;高値!J110,高値!I110&gt;高値!K110),4,""))</f>
      </c>
      <c r="AF110" s="684">
        <f>IF(終値!A110="","",IF(AND(高値!J110&gt;高値!I110,高値!J110&gt;高値!H110,高値!J110&gt;高値!K110,高値!J110&gt;高値!L110),5,""))</f>
      </c>
      <c r="AG110" s="684">
        <f>IF(終値!A110="","",IF(AND(高値!K110&gt;高値!J110,高値!K110&gt;高値!I110,高値!K110&gt;高値!L110,高値!K110&gt;高値!M110),6,""))</f>
      </c>
      <c r="AH110" s="684">
        <f>IF(終値!A110="","",IF(AND(高値!L110&gt;高値!K110,高値!L110&gt;高値!J110,高値!L110&gt;高値!M110,高値!L110&gt;高値!N110),7,""))</f>
      </c>
      <c r="AI110" s="684">
        <f>IF(終値!A110="","",IF(AND(高値!M110&gt;高値!L110,高値!M110&gt;高値!K110,高値!M110&gt;高値!N110,高値!M110&gt;高値!O110),8,""))</f>
      </c>
      <c r="AJ110" s="684">
        <f>IF(終値!A110="","",IF(AND(高値!N110&gt;高値!M110,高値!N110&gt;高値!L110,高値!N110&gt;高値!O110,高値!N110&gt;高値!P110),9,""))</f>
      </c>
      <c r="AK110" s="684">
        <f>IF(終値!A110="","",IF(AND(高値!O110&gt;高値!N110,高値!O110&gt;高値!M110,高値!O110&gt;高値!P110,高値!O110&gt;高値!Q110),10,""))</f>
      </c>
      <c r="AL110" s="684">
        <f>IF(終値!A110="","",IF(AND(高値!P110&gt;高値!O110,高値!P110&gt;高値!N110,高値!P110&gt;高値!Q110,高値!P110&gt;高値!R110),11,""))</f>
      </c>
      <c r="AM110" s="684">
        <f>IF(終値!A110="","",IF(AND(高値!Q110&gt;高値!P110,高値!Q110&gt;高値!O110,高値!Q110&gt;高値!R110,高値!Q110&gt;高値!S110),12,""))</f>
      </c>
      <c r="AN110" s="684">
        <f>IF(終値!A110="","",IF(AND(高値!R110&gt;高値!Q110,高値!R110&gt;高値!P110,高値!R110&gt;高値!S110,高値!R110&gt;高値!T110),13,""))</f>
      </c>
      <c r="AO110" s="684">
        <f>IF(終値!A110="","",IF(AND(高値!S110&gt;高値!R110,高値!S110&gt;高値!Q110,高値!S110&gt;高値!T110,高値!S110&gt;高値!U110),14,""))</f>
      </c>
      <c r="AP110" s="684">
        <f>IF(終値!A110="","",IF(AND(高値!T110&gt;高値!S110,高値!T110&gt;高値!R110,高値!T110&gt;高値!U110,高値!T110&gt;高値!V110),15,""))</f>
      </c>
      <c r="AQ110" s="684">
        <f>IF(終値!A110="","",IF(AND(高値!U110&gt;高値!T110,高値!U110&gt;高値!S110,高値!U110&gt;高値!V110,高値!U110&gt;高値!W110),16,""))</f>
      </c>
      <c r="AR110" s="684">
        <f>IF(終値!A110="","",IF(AND(高値!V110&gt;高値!U110,高値!V110&gt;高値!T110,高値!V110&gt;高値!W110,高値!V110&gt;高値!X110),17,""))</f>
      </c>
      <c r="AS110" s="684">
        <f>IF(終値!A110="","",IF(AND(高値!W110&gt;高値!V110,高値!W110&gt;高値!U110,高値!W110&gt;高値!X110,高値!W110&gt;高値!Y110),18,""))</f>
      </c>
      <c r="AT110" s="684">
        <f>IF(終値!A110="","",IF(AND(高値!X110&gt;高値!W110,高値!X110&gt;高値!V110,高値!X110&gt;高値!Y110,高値!X110&gt;高値!Z110),19,""))</f>
      </c>
      <c r="AU110" s="684">
        <f>IF(終値!A110="","",IF(AND(高値!Y110&gt;高値!X110,高値!Y110&gt;高値!W110,高値!Y110&gt;高値!Z110,高値!Y110&gt;高値!AA110),20,""))</f>
      </c>
      <c r="AV110" s="684">
        <f>IF(終値!A110="","",IF(AND(高値!Z110&gt;高値!Y110,高値!Z110&gt;高値!X110,高値!Z110&gt;高値!AA110,高値!Z110&gt;高値!AB110),21,""))</f>
      </c>
      <c r="AW110" s="684">
        <f>IF(終値!A110="","",IF(AND(高値!AA110&gt;高値!Z110,高値!AA110&gt;高値!Y110,高値!AA110&gt;高値!AB110,高値!AA110&gt;高値!AC110),22,""))</f>
      </c>
      <c r="AX110" s="684">
        <f>IF(終値!A110="","",IF(AND(高値!AB110&gt;高値!AA110,高値!AB110&gt;高値!Z110,高値!AB110&gt;高値!AC110,高値!AB110&gt;高値!AD110),23,""))</f>
      </c>
      <c r="AY110" s="684">
        <f>IF(終値!A110="","",IF(AND(高値!AC110&gt;高値!AB110,高値!AC110&gt;高値!AA110,高値!AC110&gt;高値!AD110,高値!AC110&gt;高値!AE110),24,""))</f>
      </c>
      <c r="AZ110" s="684">
        <f>IF(終値!A110="","",IF(AND(高値!AD110&gt;高値!AC110,高値!AD110&gt;高値!AB110,高値!AD110&gt;高値!AE110,高値!AD110&gt;高値!AF110),25,""))</f>
      </c>
      <c r="BA110" s="684">
        <f>IF(終値!A110="","",IF(AND(高値!AE110&gt;高値!AD110,高値!AE110&gt;高値!AC110,高値!AE110&gt;高値!AF110,高値!AE110&gt;高値!AG110),26,""))</f>
      </c>
      <c r="BB110" s="684">
        <f>IF(終値!A110="","",IF(AND(高値!AF110&gt;高値!AE110,高値!AF110&gt;高値!AD110,高値!AF110&gt;高値!AG110,高値!AF110&gt;高値!AH110),27,""))</f>
      </c>
      <c r="BC110" s="684">
        <f>IF(終値!A110="","",IF(AND(高値!AG110&gt;高値!AF110,高値!AG110&gt;高値!AE110,高値!AG110&gt;高値!AH110,高値!AG110&gt;高値!AI110),28,""))</f>
      </c>
      <c r="BD110" s="684">
        <f>COUNT($B110:$AB110)</f>
      </c>
      <c r="BE110" s="684">
        <f>IF($BD110&gt;=2,MIN($B110:$AB110),"")</f>
      </c>
      <c r="BF110" s="684">
        <f>IF($BD110&gt;=2,SMALL($B110:$AB110,2),"")</f>
      </c>
      <c r="BG110" s="684">
        <f>IF($BE110="","",INDEX(安値!$E110:$CZ110,1,$BE110+1))</f>
      </c>
      <c r="BH110" s="684">
        <f>IF($BF110="","",INDEX(安値!$E110:$CZ110,1,$BF110+1))</f>
      </c>
      <c r="BI110" s="684">
        <f>IF($BF110="","",MAX(INDEX(高値!$E110:$CZ110,1,$BE110+1):INDEX(高値!$E110:$CZ110,1,$BF110+1)))</f>
      </c>
      <c r="BJ110" s="684">
        <f>IF($BF110="","",AVERAGE(INDEX(終値!$E110:$CZ110,1,$BF110+1):INDEX(終値!$E110:$CZ110,1,$BF110+20))-2*STDEVP(INDEX(終値!$E110:$CZ110,1,$BF110+1):INDEX(終値!$E110:$CZ110,1,$BF110+20)))</f>
      </c>
      <c r="BK110" s="684">
        <f>IF($BE110="","",AVERAGE(INDEX(終値!$E110:$CZ110,1,$BE110+1):INDEX(終値!$E110:$CZ110,1,$BE110+20))-2*STDEVP(INDEX(終値!$E110:$CZ110,1,$BE110+1):INDEX(終値!$E110:$CZ110,1,$BE110+20)))</f>
      </c>
      <c r="BL110" s="684">
        <f>COUNT($AC110:$BC110)</f>
      </c>
      <c r="BM110" s="684">
        <f>IF($BL110&gt;=2,MIN($AC110:$BC110),"")</f>
      </c>
      <c r="BN110" s="684">
        <f>IF($BL110&gt;=2,SMALL($AC110:$BC110,2),"")</f>
      </c>
      <c r="BO110" s="684">
        <f>IF($BM110="","",INDEX(高値!$E110:$CZ110,1,$BM110+1))</f>
      </c>
      <c r="BP110" s="684">
        <f>IF($BN110="","",INDEX(高値!$E110:$CZ110,1,$BN110+1))</f>
      </c>
      <c r="BQ110" s="684">
        <f>IF($BN110="","",MIN(INDEX(安値!$E110:$CZ110,1,$BM110+1):INDEX(安値!$E110:$CZ110,1,$BN110+1)))</f>
      </c>
      <c r="BR110" s="684">
        <f>IF($BN110="","",AVERAGE(INDEX(終値!$E110:$CZ110,1,$BN110+1):INDEX(終値!$E110:$CZ110,1,$BN110+20))+2*STDEVP(INDEX(終値!$E110:$CZ110,1,$BN110+1):INDEX(終値!$E110:$CZ110,1,$BN110+20)))</f>
      </c>
      <c r="BS110" s="684">
        <f>IF($BM110="","",AVERAGE(INDEX(終値!$E110:$CZ110,1,$BM110+1):INDEX(終値!$E110:$CZ110,1,$BM110+20))+2*STDEVP(INDEX(終値!$E110:$CZ110,1,$BM110+1):INDEX(終値!$E110:$CZ110,1,$BM110+20)))</f>
      </c>
      <c r="BT110" s="681">
        <f>IFERROR(IF(AND($BD110&gt;=2,ABS($BG110-$BH110)/$BH110&lt;=BB設定!$B$12,$BI110&gt;=MAX($BH110,$BG110)*(1+BB設定!$B$13),終値!E110&gt;$BG110),IF(OR(終値!E110&gt;=$BI110,AND($BH110&lt;$BJ110,$BG110&gt;=$BK110)),"二番底W▲","二番底W形成"),IF(AND($BL110&gt;=2,ABS($BO110-$BP110)/$BP110&lt;=BB設定!$B$12,$BQ110&lt;=MIN($BP110,$BO110)*(1-BB設定!$B$13),終値!E110&lt;$BO110),IF(OR(終値!E110&lt;=$BQ110,AND($BP110&gt;$BR110,$BO110&lt;=$BS110)),"二番天井M▼","二番天井M形成"),"－")),"－")</f>
      </c>
    </row>
    <row r="111">
      <c r="B111" s="684">
        <f>IF(終値!A111="","",IF(AND(安値!G111&lt;安値!F111,安値!G111&lt;安値!E111,安値!G111&lt;安値!H111,安値!G111&lt;安値!I111),2,""))</f>
      </c>
      <c r="C111" s="684">
        <f>IF(終値!A111="","",IF(AND(安値!H111&lt;安値!G111,安値!H111&lt;安値!F111,安値!H111&lt;安値!I111,安値!H111&lt;安値!J111),3,""))</f>
      </c>
      <c r="D111" s="684">
        <f>IF(終値!A111="","",IF(AND(安値!I111&lt;安値!H111,安値!I111&lt;安値!G111,安値!I111&lt;安値!J111,安値!I111&lt;安値!K111),4,""))</f>
      </c>
      <c r="E111" s="684">
        <f>IF(終値!A111="","",IF(AND(安値!J111&lt;安値!I111,安値!J111&lt;安値!H111,安値!J111&lt;安値!K111,安値!J111&lt;安値!L111),5,""))</f>
      </c>
      <c r="F111" s="684">
        <f>IF(終値!A111="","",IF(AND(安値!K111&lt;安値!J111,安値!K111&lt;安値!I111,安値!K111&lt;安値!L111,安値!K111&lt;安値!M111),6,""))</f>
      </c>
      <c r="G111" s="684">
        <f>IF(終値!A111="","",IF(AND(安値!L111&lt;安値!K111,安値!L111&lt;安値!J111,安値!L111&lt;安値!M111,安値!L111&lt;安値!N111),7,""))</f>
      </c>
      <c r="H111" s="684">
        <f>IF(終値!A111="","",IF(AND(安値!M111&lt;安値!L111,安値!M111&lt;安値!K111,安値!M111&lt;安値!N111,安値!M111&lt;安値!O111),8,""))</f>
      </c>
      <c r="I111" s="684">
        <f>IF(終値!A111="","",IF(AND(安値!N111&lt;安値!M111,安値!N111&lt;安値!L111,安値!N111&lt;安値!O111,安値!N111&lt;安値!P111),9,""))</f>
      </c>
      <c r="J111" s="684">
        <f>IF(終値!A111="","",IF(AND(安値!O111&lt;安値!N111,安値!O111&lt;安値!M111,安値!O111&lt;安値!P111,安値!O111&lt;安値!Q111),10,""))</f>
      </c>
      <c r="K111" s="684">
        <f>IF(終値!A111="","",IF(AND(安値!P111&lt;安値!O111,安値!P111&lt;安値!N111,安値!P111&lt;安値!Q111,安値!P111&lt;安値!R111),11,""))</f>
      </c>
      <c r="L111" s="684">
        <f>IF(終値!A111="","",IF(AND(安値!Q111&lt;安値!P111,安値!Q111&lt;安値!O111,安値!Q111&lt;安値!R111,安値!Q111&lt;安値!S111),12,""))</f>
      </c>
      <c r="M111" s="684">
        <f>IF(終値!A111="","",IF(AND(安値!R111&lt;安値!Q111,安値!R111&lt;安値!P111,安値!R111&lt;安値!S111,安値!R111&lt;安値!T111),13,""))</f>
      </c>
      <c r="N111" s="684">
        <f>IF(終値!A111="","",IF(AND(安値!S111&lt;安値!R111,安値!S111&lt;安値!Q111,安値!S111&lt;安値!T111,安値!S111&lt;安値!U111),14,""))</f>
      </c>
      <c r="O111" s="684">
        <f>IF(終値!A111="","",IF(AND(安値!T111&lt;安値!S111,安値!T111&lt;安値!R111,安値!T111&lt;安値!U111,安値!T111&lt;安値!V111),15,""))</f>
      </c>
      <c r="P111" s="684">
        <f>IF(終値!A111="","",IF(AND(安値!U111&lt;安値!T111,安値!U111&lt;安値!S111,安値!U111&lt;安値!V111,安値!U111&lt;安値!W111),16,""))</f>
      </c>
      <c r="Q111" s="684">
        <f>IF(終値!A111="","",IF(AND(安値!V111&lt;安値!U111,安値!V111&lt;安値!T111,安値!V111&lt;安値!W111,安値!V111&lt;安値!X111),17,""))</f>
      </c>
      <c r="R111" s="684">
        <f>IF(終値!A111="","",IF(AND(安値!W111&lt;安値!V111,安値!W111&lt;安値!U111,安値!W111&lt;安値!X111,安値!W111&lt;安値!Y111),18,""))</f>
      </c>
      <c r="S111" s="684">
        <f>IF(終値!A111="","",IF(AND(安値!X111&lt;安値!W111,安値!X111&lt;安値!V111,安値!X111&lt;安値!Y111,安値!X111&lt;安値!Z111),19,""))</f>
      </c>
      <c r="T111" s="684">
        <f>IF(終値!A111="","",IF(AND(安値!Y111&lt;安値!X111,安値!Y111&lt;安値!W111,安値!Y111&lt;安値!Z111,安値!Y111&lt;安値!AA111),20,""))</f>
      </c>
      <c r="U111" s="684">
        <f>IF(終値!A111="","",IF(AND(安値!Z111&lt;安値!Y111,安値!Z111&lt;安値!X111,安値!Z111&lt;安値!AA111,安値!Z111&lt;安値!AB111),21,""))</f>
      </c>
      <c r="V111" s="684">
        <f>IF(終値!A111="","",IF(AND(安値!AA111&lt;安値!Z111,安値!AA111&lt;安値!Y111,安値!AA111&lt;安値!AB111,安値!AA111&lt;安値!AC111),22,""))</f>
      </c>
      <c r="W111" s="684">
        <f>IF(終値!A111="","",IF(AND(安値!AB111&lt;安値!AA111,安値!AB111&lt;安値!Z111,安値!AB111&lt;安値!AC111,安値!AB111&lt;安値!AD111),23,""))</f>
      </c>
      <c r="X111" s="684">
        <f>IF(終値!A111="","",IF(AND(安値!AC111&lt;安値!AB111,安値!AC111&lt;安値!AA111,安値!AC111&lt;安値!AD111,安値!AC111&lt;安値!AE111),24,""))</f>
      </c>
      <c r="Y111" s="684">
        <f>IF(終値!A111="","",IF(AND(安値!AD111&lt;安値!AC111,安値!AD111&lt;安値!AB111,安値!AD111&lt;安値!AE111,安値!AD111&lt;安値!AF111),25,""))</f>
      </c>
      <c r="Z111" s="684">
        <f>IF(終値!A111="","",IF(AND(安値!AE111&lt;安値!AD111,安値!AE111&lt;安値!AC111,安値!AE111&lt;安値!AF111,安値!AE111&lt;安値!AG111),26,""))</f>
      </c>
      <c r="AA111" s="684">
        <f>IF(終値!A111="","",IF(AND(安値!AF111&lt;安値!AE111,安値!AF111&lt;安値!AD111,安値!AF111&lt;安値!AG111,安値!AF111&lt;安値!AH111),27,""))</f>
      </c>
      <c r="AB111" s="684">
        <f>IF(終値!A111="","",IF(AND(安値!AG111&lt;安値!AF111,安値!AG111&lt;安値!AE111,安値!AG111&lt;安値!AH111,安値!AG111&lt;安値!AI111),28,""))</f>
      </c>
      <c r="AC111" s="684">
        <f>IF(終値!A111="","",IF(AND(高値!G111&gt;高値!F111,高値!G111&gt;高値!E111,高値!G111&gt;高値!H111,高値!G111&gt;高値!I111),2,""))</f>
      </c>
      <c r="AD111" s="684">
        <f>IF(終値!A111="","",IF(AND(高値!H111&gt;高値!G111,高値!H111&gt;高値!F111,高値!H111&gt;高値!I111,高値!H111&gt;高値!J111),3,""))</f>
      </c>
      <c r="AE111" s="684">
        <f>IF(終値!A111="","",IF(AND(高値!I111&gt;高値!H111,高値!I111&gt;高値!G111,高値!I111&gt;高値!J111,高値!I111&gt;高値!K111),4,""))</f>
      </c>
      <c r="AF111" s="684">
        <f>IF(終値!A111="","",IF(AND(高値!J111&gt;高値!I111,高値!J111&gt;高値!H111,高値!J111&gt;高値!K111,高値!J111&gt;高値!L111),5,""))</f>
      </c>
      <c r="AG111" s="684">
        <f>IF(終値!A111="","",IF(AND(高値!K111&gt;高値!J111,高値!K111&gt;高値!I111,高値!K111&gt;高値!L111,高値!K111&gt;高値!M111),6,""))</f>
      </c>
      <c r="AH111" s="684">
        <f>IF(終値!A111="","",IF(AND(高値!L111&gt;高値!K111,高値!L111&gt;高値!J111,高値!L111&gt;高値!M111,高値!L111&gt;高値!N111),7,""))</f>
      </c>
      <c r="AI111" s="684">
        <f>IF(終値!A111="","",IF(AND(高値!M111&gt;高値!L111,高値!M111&gt;高値!K111,高値!M111&gt;高値!N111,高値!M111&gt;高値!O111),8,""))</f>
      </c>
      <c r="AJ111" s="684">
        <f>IF(終値!A111="","",IF(AND(高値!N111&gt;高値!M111,高値!N111&gt;高値!L111,高値!N111&gt;高値!O111,高値!N111&gt;高値!P111),9,""))</f>
      </c>
      <c r="AK111" s="684">
        <f>IF(終値!A111="","",IF(AND(高値!O111&gt;高値!N111,高値!O111&gt;高値!M111,高値!O111&gt;高値!P111,高値!O111&gt;高値!Q111),10,""))</f>
      </c>
      <c r="AL111" s="684">
        <f>IF(終値!A111="","",IF(AND(高値!P111&gt;高値!O111,高値!P111&gt;高値!N111,高値!P111&gt;高値!Q111,高値!P111&gt;高値!R111),11,""))</f>
      </c>
      <c r="AM111" s="684">
        <f>IF(終値!A111="","",IF(AND(高値!Q111&gt;高値!P111,高値!Q111&gt;高値!O111,高値!Q111&gt;高値!R111,高値!Q111&gt;高値!S111),12,""))</f>
      </c>
      <c r="AN111" s="684">
        <f>IF(終値!A111="","",IF(AND(高値!R111&gt;高値!Q111,高値!R111&gt;高値!P111,高値!R111&gt;高値!S111,高値!R111&gt;高値!T111),13,""))</f>
      </c>
      <c r="AO111" s="684">
        <f>IF(終値!A111="","",IF(AND(高値!S111&gt;高値!R111,高値!S111&gt;高値!Q111,高値!S111&gt;高値!T111,高値!S111&gt;高値!U111),14,""))</f>
      </c>
      <c r="AP111" s="684">
        <f>IF(終値!A111="","",IF(AND(高値!T111&gt;高値!S111,高値!T111&gt;高値!R111,高値!T111&gt;高値!U111,高値!T111&gt;高値!V111),15,""))</f>
      </c>
      <c r="AQ111" s="684">
        <f>IF(終値!A111="","",IF(AND(高値!U111&gt;高値!T111,高値!U111&gt;高値!S111,高値!U111&gt;高値!V111,高値!U111&gt;高値!W111),16,""))</f>
      </c>
      <c r="AR111" s="684">
        <f>IF(終値!A111="","",IF(AND(高値!V111&gt;高値!U111,高値!V111&gt;高値!T111,高値!V111&gt;高値!W111,高値!V111&gt;高値!X111),17,""))</f>
      </c>
      <c r="AS111" s="684">
        <f>IF(終値!A111="","",IF(AND(高値!W111&gt;高値!V111,高値!W111&gt;高値!U111,高値!W111&gt;高値!X111,高値!W111&gt;高値!Y111),18,""))</f>
      </c>
      <c r="AT111" s="684">
        <f>IF(終値!A111="","",IF(AND(高値!X111&gt;高値!W111,高値!X111&gt;高値!V111,高値!X111&gt;高値!Y111,高値!X111&gt;高値!Z111),19,""))</f>
      </c>
      <c r="AU111" s="684">
        <f>IF(終値!A111="","",IF(AND(高値!Y111&gt;高値!X111,高値!Y111&gt;高値!W111,高値!Y111&gt;高値!Z111,高値!Y111&gt;高値!AA111),20,""))</f>
      </c>
      <c r="AV111" s="684">
        <f>IF(終値!A111="","",IF(AND(高値!Z111&gt;高値!Y111,高値!Z111&gt;高値!X111,高値!Z111&gt;高値!AA111,高値!Z111&gt;高値!AB111),21,""))</f>
      </c>
      <c r="AW111" s="684">
        <f>IF(終値!A111="","",IF(AND(高値!AA111&gt;高値!Z111,高値!AA111&gt;高値!Y111,高値!AA111&gt;高値!AB111,高値!AA111&gt;高値!AC111),22,""))</f>
      </c>
      <c r="AX111" s="684">
        <f>IF(終値!A111="","",IF(AND(高値!AB111&gt;高値!AA111,高値!AB111&gt;高値!Z111,高値!AB111&gt;高値!AC111,高値!AB111&gt;高値!AD111),23,""))</f>
      </c>
      <c r="AY111" s="684">
        <f>IF(終値!A111="","",IF(AND(高値!AC111&gt;高値!AB111,高値!AC111&gt;高値!AA111,高値!AC111&gt;高値!AD111,高値!AC111&gt;高値!AE111),24,""))</f>
      </c>
      <c r="AZ111" s="684">
        <f>IF(終値!A111="","",IF(AND(高値!AD111&gt;高値!AC111,高値!AD111&gt;高値!AB111,高値!AD111&gt;高値!AE111,高値!AD111&gt;高値!AF111),25,""))</f>
      </c>
      <c r="BA111" s="684">
        <f>IF(終値!A111="","",IF(AND(高値!AE111&gt;高値!AD111,高値!AE111&gt;高値!AC111,高値!AE111&gt;高値!AF111,高値!AE111&gt;高値!AG111),26,""))</f>
      </c>
      <c r="BB111" s="684">
        <f>IF(終値!A111="","",IF(AND(高値!AF111&gt;高値!AE111,高値!AF111&gt;高値!AD111,高値!AF111&gt;高値!AG111,高値!AF111&gt;高値!AH111),27,""))</f>
      </c>
      <c r="BC111" s="684">
        <f>IF(終値!A111="","",IF(AND(高値!AG111&gt;高値!AF111,高値!AG111&gt;高値!AE111,高値!AG111&gt;高値!AH111,高値!AG111&gt;高値!AI111),28,""))</f>
      </c>
      <c r="BD111" s="684">
        <f>COUNT($B111:$AB111)</f>
      </c>
      <c r="BE111" s="684">
        <f>IF($BD111&gt;=2,MIN($B111:$AB111),"")</f>
      </c>
      <c r="BF111" s="684">
        <f>IF($BD111&gt;=2,SMALL($B111:$AB111,2),"")</f>
      </c>
      <c r="BG111" s="684">
        <f>IF($BE111="","",INDEX(安値!$E111:$CZ111,1,$BE111+1))</f>
      </c>
      <c r="BH111" s="684">
        <f>IF($BF111="","",INDEX(安値!$E111:$CZ111,1,$BF111+1))</f>
      </c>
      <c r="BI111" s="684">
        <f>IF($BF111="","",MAX(INDEX(高値!$E111:$CZ111,1,$BE111+1):INDEX(高値!$E111:$CZ111,1,$BF111+1)))</f>
      </c>
      <c r="BJ111" s="684">
        <f>IF($BF111="","",AVERAGE(INDEX(終値!$E111:$CZ111,1,$BF111+1):INDEX(終値!$E111:$CZ111,1,$BF111+20))-2*STDEVP(INDEX(終値!$E111:$CZ111,1,$BF111+1):INDEX(終値!$E111:$CZ111,1,$BF111+20)))</f>
      </c>
      <c r="BK111" s="684">
        <f>IF($BE111="","",AVERAGE(INDEX(終値!$E111:$CZ111,1,$BE111+1):INDEX(終値!$E111:$CZ111,1,$BE111+20))-2*STDEVP(INDEX(終値!$E111:$CZ111,1,$BE111+1):INDEX(終値!$E111:$CZ111,1,$BE111+20)))</f>
      </c>
      <c r="BL111" s="684">
        <f>COUNT($AC111:$BC111)</f>
      </c>
      <c r="BM111" s="684">
        <f>IF($BL111&gt;=2,MIN($AC111:$BC111),"")</f>
      </c>
      <c r="BN111" s="684">
        <f>IF($BL111&gt;=2,SMALL($AC111:$BC111,2),"")</f>
      </c>
      <c r="BO111" s="684">
        <f>IF($BM111="","",INDEX(高値!$E111:$CZ111,1,$BM111+1))</f>
      </c>
      <c r="BP111" s="684">
        <f>IF($BN111="","",INDEX(高値!$E111:$CZ111,1,$BN111+1))</f>
      </c>
      <c r="BQ111" s="684">
        <f>IF($BN111="","",MIN(INDEX(安値!$E111:$CZ111,1,$BM111+1):INDEX(安値!$E111:$CZ111,1,$BN111+1)))</f>
      </c>
      <c r="BR111" s="684">
        <f>IF($BN111="","",AVERAGE(INDEX(終値!$E111:$CZ111,1,$BN111+1):INDEX(終値!$E111:$CZ111,1,$BN111+20))+2*STDEVP(INDEX(終値!$E111:$CZ111,1,$BN111+1):INDEX(終値!$E111:$CZ111,1,$BN111+20)))</f>
      </c>
      <c r="BS111" s="684">
        <f>IF($BM111="","",AVERAGE(INDEX(終値!$E111:$CZ111,1,$BM111+1):INDEX(終値!$E111:$CZ111,1,$BM111+20))+2*STDEVP(INDEX(終値!$E111:$CZ111,1,$BM111+1):INDEX(終値!$E111:$CZ111,1,$BM111+20)))</f>
      </c>
      <c r="BT111" s="681">
        <f>IFERROR(IF(AND($BD111&gt;=2,ABS($BG111-$BH111)/$BH111&lt;=BB設定!$B$12,$BI111&gt;=MAX($BH111,$BG111)*(1+BB設定!$B$13),終値!E111&gt;$BG111),IF(OR(終値!E111&gt;=$BI111,AND($BH111&lt;$BJ111,$BG111&gt;=$BK111)),"二番底W▲","二番底W形成"),IF(AND($BL111&gt;=2,ABS($BO111-$BP111)/$BP111&lt;=BB設定!$B$12,$BQ111&lt;=MIN($BP111,$BO111)*(1-BB設定!$B$13),終値!E111&lt;$BO111),IF(OR(終値!E111&lt;=$BQ111,AND($BP111&gt;$BR111,$BO111&lt;=$BS111)),"二番天井M▼","二番天井M形成"),"－")),"－")</f>
      </c>
    </row>
    <row r="112">
      <c r="B112" s="684">
        <f>IF(終値!A112="","",IF(AND(安値!G112&lt;安値!F112,安値!G112&lt;安値!E112,安値!G112&lt;安値!H112,安値!G112&lt;安値!I112),2,""))</f>
      </c>
      <c r="C112" s="684">
        <f>IF(終値!A112="","",IF(AND(安値!H112&lt;安値!G112,安値!H112&lt;安値!F112,安値!H112&lt;安値!I112,安値!H112&lt;安値!J112),3,""))</f>
      </c>
      <c r="D112" s="684">
        <f>IF(終値!A112="","",IF(AND(安値!I112&lt;安値!H112,安値!I112&lt;安値!G112,安値!I112&lt;安値!J112,安値!I112&lt;安値!K112),4,""))</f>
      </c>
      <c r="E112" s="684">
        <f>IF(終値!A112="","",IF(AND(安値!J112&lt;安値!I112,安値!J112&lt;安値!H112,安値!J112&lt;安値!K112,安値!J112&lt;安値!L112),5,""))</f>
      </c>
      <c r="F112" s="684">
        <f>IF(終値!A112="","",IF(AND(安値!K112&lt;安値!J112,安値!K112&lt;安値!I112,安値!K112&lt;安値!L112,安値!K112&lt;安値!M112),6,""))</f>
      </c>
      <c r="G112" s="684">
        <f>IF(終値!A112="","",IF(AND(安値!L112&lt;安値!K112,安値!L112&lt;安値!J112,安値!L112&lt;安値!M112,安値!L112&lt;安値!N112),7,""))</f>
      </c>
      <c r="H112" s="684">
        <f>IF(終値!A112="","",IF(AND(安値!M112&lt;安値!L112,安値!M112&lt;安値!K112,安値!M112&lt;安値!N112,安値!M112&lt;安値!O112),8,""))</f>
      </c>
      <c r="I112" s="684">
        <f>IF(終値!A112="","",IF(AND(安値!N112&lt;安値!M112,安値!N112&lt;安値!L112,安値!N112&lt;安値!O112,安値!N112&lt;安値!P112),9,""))</f>
      </c>
      <c r="J112" s="684">
        <f>IF(終値!A112="","",IF(AND(安値!O112&lt;安値!N112,安値!O112&lt;安値!M112,安値!O112&lt;安値!P112,安値!O112&lt;安値!Q112),10,""))</f>
      </c>
      <c r="K112" s="684">
        <f>IF(終値!A112="","",IF(AND(安値!P112&lt;安値!O112,安値!P112&lt;安値!N112,安値!P112&lt;安値!Q112,安値!P112&lt;安値!R112),11,""))</f>
      </c>
      <c r="L112" s="684">
        <f>IF(終値!A112="","",IF(AND(安値!Q112&lt;安値!P112,安値!Q112&lt;安値!O112,安値!Q112&lt;安値!R112,安値!Q112&lt;安値!S112),12,""))</f>
      </c>
      <c r="M112" s="684">
        <f>IF(終値!A112="","",IF(AND(安値!R112&lt;安値!Q112,安値!R112&lt;安値!P112,安値!R112&lt;安値!S112,安値!R112&lt;安値!T112),13,""))</f>
      </c>
      <c r="N112" s="684">
        <f>IF(終値!A112="","",IF(AND(安値!S112&lt;安値!R112,安値!S112&lt;安値!Q112,安値!S112&lt;安値!T112,安値!S112&lt;安値!U112),14,""))</f>
      </c>
      <c r="O112" s="684">
        <f>IF(終値!A112="","",IF(AND(安値!T112&lt;安値!S112,安値!T112&lt;安値!R112,安値!T112&lt;安値!U112,安値!T112&lt;安値!V112),15,""))</f>
      </c>
      <c r="P112" s="684">
        <f>IF(終値!A112="","",IF(AND(安値!U112&lt;安値!T112,安値!U112&lt;安値!S112,安値!U112&lt;安値!V112,安値!U112&lt;安値!W112),16,""))</f>
      </c>
      <c r="Q112" s="684">
        <f>IF(終値!A112="","",IF(AND(安値!V112&lt;安値!U112,安値!V112&lt;安値!T112,安値!V112&lt;安値!W112,安値!V112&lt;安値!X112),17,""))</f>
      </c>
      <c r="R112" s="684">
        <f>IF(終値!A112="","",IF(AND(安値!W112&lt;安値!V112,安値!W112&lt;安値!U112,安値!W112&lt;安値!X112,安値!W112&lt;安値!Y112),18,""))</f>
      </c>
      <c r="S112" s="684">
        <f>IF(終値!A112="","",IF(AND(安値!X112&lt;安値!W112,安値!X112&lt;安値!V112,安値!X112&lt;安値!Y112,安値!X112&lt;安値!Z112),19,""))</f>
      </c>
      <c r="T112" s="684">
        <f>IF(終値!A112="","",IF(AND(安値!Y112&lt;安値!X112,安値!Y112&lt;安値!W112,安値!Y112&lt;安値!Z112,安値!Y112&lt;安値!AA112),20,""))</f>
      </c>
      <c r="U112" s="684">
        <f>IF(終値!A112="","",IF(AND(安値!Z112&lt;安値!Y112,安値!Z112&lt;安値!X112,安値!Z112&lt;安値!AA112,安値!Z112&lt;安値!AB112),21,""))</f>
      </c>
      <c r="V112" s="684">
        <f>IF(終値!A112="","",IF(AND(安値!AA112&lt;安値!Z112,安値!AA112&lt;安値!Y112,安値!AA112&lt;安値!AB112,安値!AA112&lt;安値!AC112),22,""))</f>
      </c>
      <c r="W112" s="684">
        <f>IF(終値!A112="","",IF(AND(安値!AB112&lt;安値!AA112,安値!AB112&lt;安値!Z112,安値!AB112&lt;安値!AC112,安値!AB112&lt;安値!AD112),23,""))</f>
      </c>
      <c r="X112" s="684">
        <f>IF(終値!A112="","",IF(AND(安値!AC112&lt;安値!AB112,安値!AC112&lt;安値!AA112,安値!AC112&lt;安値!AD112,安値!AC112&lt;安値!AE112),24,""))</f>
      </c>
      <c r="Y112" s="684">
        <f>IF(終値!A112="","",IF(AND(安値!AD112&lt;安値!AC112,安値!AD112&lt;安値!AB112,安値!AD112&lt;安値!AE112,安値!AD112&lt;安値!AF112),25,""))</f>
      </c>
      <c r="Z112" s="684">
        <f>IF(終値!A112="","",IF(AND(安値!AE112&lt;安値!AD112,安値!AE112&lt;安値!AC112,安値!AE112&lt;安値!AF112,安値!AE112&lt;安値!AG112),26,""))</f>
      </c>
      <c r="AA112" s="684">
        <f>IF(終値!A112="","",IF(AND(安値!AF112&lt;安値!AE112,安値!AF112&lt;安値!AD112,安値!AF112&lt;安値!AG112,安値!AF112&lt;安値!AH112),27,""))</f>
      </c>
      <c r="AB112" s="684">
        <f>IF(終値!A112="","",IF(AND(安値!AG112&lt;安値!AF112,安値!AG112&lt;安値!AE112,安値!AG112&lt;安値!AH112,安値!AG112&lt;安値!AI112),28,""))</f>
      </c>
      <c r="AC112" s="684">
        <f>IF(終値!A112="","",IF(AND(高値!G112&gt;高値!F112,高値!G112&gt;高値!E112,高値!G112&gt;高値!H112,高値!G112&gt;高値!I112),2,""))</f>
      </c>
      <c r="AD112" s="684">
        <f>IF(終値!A112="","",IF(AND(高値!H112&gt;高値!G112,高値!H112&gt;高値!F112,高値!H112&gt;高値!I112,高値!H112&gt;高値!J112),3,""))</f>
      </c>
      <c r="AE112" s="684">
        <f>IF(終値!A112="","",IF(AND(高値!I112&gt;高値!H112,高値!I112&gt;高値!G112,高値!I112&gt;高値!J112,高値!I112&gt;高値!K112),4,""))</f>
      </c>
      <c r="AF112" s="684">
        <f>IF(終値!A112="","",IF(AND(高値!J112&gt;高値!I112,高値!J112&gt;高値!H112,高値!J112&gt;高値!K112,高値!J112&gt;高値!L112),5,""))</f>
      </c>
      <c r="AG112" s="684">
        <f>IF(終値!A112="","",IF(AND(高値!K112&gt;高値!J112,高値!K112&gt;高値!I112,高値!K112&gt;高値!L112,高値!K112&gt;高値!M112),6,""))</f>
      </c>
      <c r="AH112" s="684">
        <f>IF(終値!A112="","",IF(AND(高値!L112&gt;高値!K112,高値!L112&gt;高値!J112,高値!L112&gt;高値!M112,高値!L112&gt;高値!N112),7,""))</f>
      </c>
      <c r="AI112" s="684">
        <f>IF(終値!A112="","",IF(AND(高値!M112&gt;高値!L112,高値!M112&gt;高値!K112,高値!M112&gt;高値!N112,高値!M112&gt;高値!O112),8,""))</f>
      </c>
      <c r="AJ112" s="684">
        <f>IF(終値!A112="","",IF(AND(高値!N112&gt;高値!M112,高値!N112&gt;高値!L112,高値!N112&gt;高値!O112,高値!N112&gt;高値!P112),9,""))</f>
      </c>
      <c r="AK112" s="684">
        <f>IF(終値!A112="","",IF(AND(高値!O112&gt;高値!N112,高値!O112&gt;高値!M112,高値!O112&gt;高値!P112,高値!O112&gt;高値!Q112),10,""))</f>
      </c>
      <c r="AL112" s="684">
        <f>IF(終値!A112="","",IF(AND(高値!P112&gt;高値!O112,高値!P112&gt;高値!N112,高値!P112&gt;高値!Q112,高値!P112&gt;高値!R112),11,""))</f>
      </c>
      <c r="AM112" s="684">
        <f>IF(終値!A112="","",IF(AND(高値!Q112&gt;高値!P112,高値!Q112&gt;高値!O112,高値!Q112&gt;高値!R112,高値!Q112&gt;高値!S112),12,""))</f>
      </c>
      <c r="AN112" s="684">
        <f>IF(終値!A112="","",IF(AND(高値!R112&gt;高値!Q112,高値!R112&gt;高値!P112,高値!R112&gt;高値!S112,高値!R112&gt;高値!T112),13,""))</f>
      </c>
      <c r="AO112" s="684">
        <f>IF(終値!A112="","",IF(AND(高値!S112&gt;高値!R112,高値!S112&gt;高値!Q112,高値!S112&gt;高値!T112,高値!S112&gt;高値!U112),14,""))</f>
      </c>
      <c r="AP112" s="684">
        <f>IF(終値!A112="","",IF(AND(高値!T112&gt;高値!S112,高値!T112&gt;高値!R112,高値!T112&gt;高値!U112,高値!T112&gt;高値!V112),15,""))</f>
      </c>
      <c r="AQ112" s="684">
        <f>IF(終値!A112="","",IF(AND(高値!U112&gt;高値!T112,高値!U112&gt;高値!S112,高値!U112&gt;高値!V112,高値!U112&gt;高値!W112),16,""))</f>
      </c>
      <c r="AR112" s="684">
        <f>IF(終値!A112="","",IF(AND(高値!V112&gt;高値!U112,高値!V112&gt;高値!T112,高値!V112&gt;高値!W112,高値!V112&gt;高値!X112),17,""))</f>
      </c>
      <c r="AS112" s="684">
        <f>IF(終値!A112="","",IF(AND(高値!W112&gt;高値!V112,高値!W112&gt;高値!U112,高値!W112&gt;高値!X112,高値!W112&gt;高値!Y112),18,""))</f>
      </c>
      <c r="AT112" s="684">
        <f>IF(終値!A112="","",IF(AND(高値!X112&gt;高値!W112,高値!X112&gt;高値!V112,高値!X112&gt;高値!Y112,高値!X112&gt;高値!Z112),19,""))</f>
      </c>
      <c r="AU112" s="684">
        <f>IF(終値!A112="","",IF(AND(高値!Y112&gt;高値!X112,高値!Y112&gt;高値!W112,高値!Y112&gt;高値!Z112,高値!Y112&gt;高値!AA112),20,""))</f>
      </c>
      <c r="AV112" s="684">
        <f>IF(終値!A112="","",IF(AND(高値!Z112&gt;高値!Y112,高値!Z112&gt;高値!X112,高値!Z112&gt;高値!AA112,高値!Z112&gt;高値!AB112),21,""))</f>
      </c>
      <c r="AW112" s="684">
        <f>IF(終値!A112="","",IF(AND(高値!AA112&gt;高値!Z112,高値!AA112&gt;高値!Y112,高値!AA112&gt;高値!AB112,高値!AA112&gt;高値!AC112),22,""))</f>
      </c>
      <c r="AX112" s="684">
        <f>IF(終値!A112="","",IF(AND(高値!AB112&gt;高値!AA112,高値!AB112&gt;高値!Z112,高値!AB112&gt;高値!AC112,高値!AB112&gt;高値!AD112),23,""))</f>
      </c>
      <c r="AY112" s="684">
        <f>IF(終値!A112="","",IF(AND(高値!AC112&gt;高値!AB112,高値!AC112&gt;高値!AA112,高値!AC112&gt;高値!AD112,高値!AC112&gt;高値!AE112),24,""))</f>
      </c>
      <c r="AZ112" s="684">
        <f>IF(終値!A112="","",IF(AND(高値!AD112&gt;高値!AC112,高値!AD112&gt;高値!AB112,高値!AD112&gt;高値!AE112,高値!AD112&gt;高値!AF112),25,""))</f>
      </c>
      <c r="BA112" s="684">
        <f>IF(終値!A112="","",IF(AND(高値!AE112&gt;高値!AD112,高値!AE112&gt;高値!AC112,高値!AE112&gt;高値!AF112,高値!AE112&gt;高値!AG112),26,""))</f>
      </c>
      <c r="BB112" s="684">
        <f>IF(終値!A112="","",IF(AND(高値!AF112&gt;高値!AE112,高値!AF112&gt;高値!AD112,高値!AF112&gt;高値!AG112,高値!AF112&gt;高値!AH112),27,""))</f>
      </c>
      <c r="BC112" s="684">
        <f>IF(終値!A112="","",IF(AND(高値!AG112&gt;高値!AF112,高値!AG112&gt;高値!AE112,高値!AG112&gt;高値!AH112,高値!AG112&gt;高値!AI112),28,""))</f>
      </c>
      <c r="BD112" s="684">
        <f>COUNT($B112:$AB112)</f>
      </c>
      <c r="BE112" s="684">
        <f>IF($BD112&gt;=2,MIN($B112:$AB112),"")</f>
      </c>
      <c r="BF112" s="684">
        <f>IF($BD112&gt;=2,SMALL($B112:$AB112,2),"")</f>
      </c>
      <c r="BG112" s="684">
        <f>IF($BE112="","",INDEX(安値!$E112:$CZ112,1,$BE112+1))</f>
      </c>
      <c r="BH112" s="684">
        <f>IF($BF112="","",INDEX(安値!$E112:$CZ112,1,$BF112+1))</f>
      </c>
      <c r="BI112" s="684">
        <f>IF($BF112="","",MAX(INDEX(高値!$E112:$CZ112,1,$BE112+1):INDEX(高値!$E112:$CZ112,1,$BF112+1)))</f>
      </c>
      <c r="BJ112" s="684">
        <f>IF($BF112="","",AVERAGE(INDEX(終値!$E112:$CZ112,1,$BF112+1):INDEX(終値!$E112:$CZ112,1,$BF112+20))-2*STDEVP(INDEX(終値!$E112:$CZ112,1,$BF112+1):INDEX(終値!$E112:$CZ112,1,$BF112+20)))</f>
      </c>
      <c r="BK112" s="684">
        <f>IF($BE112="","",AVERAGE(INDEX(終値!$E112:$CZ112,1,$BE112+1):INDEX(終値!$E112:$CZ112,1,$BE112+20))-2*STDEVP(INDEX(終値!$E112:$CZ112,1,$BE112+1):INDEX(終値!$E112:$CZ112,1,$BE112+20)))</f>
      </c>
      <c r="BL112" s="684">
        <f>COUNT($AC112:$BC112)</f>
      </c>
      <c r="BM112" s="684">
        <f>IF($BL112&gt;=2,MIN($AC112:$BC112),"")</f>
      </c>
      <c r="BN112" s="684">
        <f>IF($BL112&gt;=2,SMALL($AC112:$BC112,2),"")</f>
      </c>
      <c r="BO112" s="684">
        <f>IF($BM112="","",INDEX(高値!$E112:$CZ112,1,$BM112+1))</f>
      </c>
      <c r="BP112" s="684">
        <f>IF($BN112="","",INDEX(高値!$E112:$CZ112,1,$BN112+1))</f>
      </c>
      <c r="BQ112" s="684">
        <f>IF($BN112="","",MIN(INDEX(安値!$E112:$CZ112,1,$BM112+1):INDEX(安値!$E112:$CZ112,1,$BN112+1)))</f>
      </c>
      <c r="BR112" s="684">
        <f>IF($BN112="","",AVERAGE(INDEX(終値!$E112:$CZ112,1,$BN112+1):INDEX(終値!$E112:$CZ112,1,$BN112+20))+2*STDEVP(INDEX(終値!$E112:$CZ112,1,$BN112+1):INDEX(終値!$E112:$CZ112,1,$BN112+20)))</f>
      </c>
      <c r="BS112" s="684">
        <f>IF($BM112="","",AVERAGE(INDEX(終値!$E112:$CZ112,1,$BM112+1):INDEX(終値!$E112:$CZ112,1,$BM112+20))+2*STDEVP(INDEX(終値!$E112:$CZ112,1,$BM112+1):INDEX(終値!$E112:$CZ112,1,$BM112+20)))</f>
      </c>
      <c r="BT112" s="681">
        <f>IFERROR(IF(AND($BD112&gt;=2,ABS($BG112-$BH112)/$BH112&lt;=BB設定!$B$12,$BI112&gt;=MAX($BH112,$BG112)*(1+BB設定!$B$13),終値!E112&gt;$BG112),IF(OR(終値!E112&gt;=$BI112,AND($BH112&lt;$BJ112,$BG112&gt;=$BK112)),"二番底W▲","二番底W形成"),IF(AND($BL112&gt;=2,ABS($BO112-$BP112)/$BP112&lt;=BB設定!$B$12,$BQ112&lt;=MIN($BP112,$BO112)*(1-BB設定!$B$13),終値!E112&lt;$BO112),IF(OR(終値!E112&lt;=$BQ112,AND($BP112&gt;$BR112,$BO112&lt;=$BS112)),"二番天井M▼","二番天井M形成"),"－")),"－")</f>
      </c>
    </row>
    <row r="113">
      <c r="B113" s="684">
        <f>IF(終値!A113="","",IF(AND(安値!G113&lt;安値!F113,安値!G113&lt;安値!E113,安値!G113&lt;安値!H113,安値!G113&lt;安値!I113),2,""))</f>
      </c>
      <c r="C113" s="684">
        <f>IF(終値!A113="","",IF(AND(安値!H113&lt;安値!G113,安値!H113&lt;安値!F113,安値!H113&lt;安値!I113,安値!H113&lt;安値!J113),3,""))</f>
      </c>
      <c r="D113" s="684">
        <f>IF(終値!A113="","",IF(AND(安値!I113&lt;安値!H113,安値!I113&lt;安値!G113,安値!I113&lt;安値!J113,安値!I113&lt;安値!K113),4,""))</f>
      </c>
      <c r="E113" s="684">
        <f>IF(終値!A113="","",IF(AND(安値!J113&lt;安値!I113,安値!J113&lt;安値!H113,安値!J113&lt;安値!K113,安値!J113&lt;安値!L113),5,""))</f>
      </c>
      <c r="F113" s="684">
        <f>IF(終値!A113="","",IF(AND(安値!K113&lt;安値!J113,安値!K113&lt;安値!I113,安値!K113&lt;安値!L113,安値!K113&lt;安値!M113),6,""))</f>
      </c>
      <c r="G113" s="684">
        <f>IF(終値!A113="","",IF(AND(安値!L113&lt;安値!K113,安値!L113&lt;安値!J113,安値!L113&lt;安値!M113,安値!L113&lt;安値!N113),7,""))</f>
      </c>
      <c r="H113" s="684">
        <f>IF(終値!A113="","",IF(AND(安値!M113&lt;安値!L113,安値!M113&lt;安値!K113,安値!M113&lt;安値!N113,安値!M113&lt;安値!O113),8,""))</f>
      </c>
      <c r="I113" s="684">
        <f>IF(終値!A113="","",IF(AND(安値!N113&lt;安値!M113,安値!N113&lt;安値!L113,安値!N113&lt;安値!O113,安値!N113&lt;安値!P113),9,""))</f>
      </c>
      <c r="J113" s="684">
        <f>IF(終値!A113="","",IF(AND(安値!O113&lt;安値!N113,安値!O113&lt;安値!M113,安値!O113&lt;安値!P113,安値!O113&lt;安値!Q113),10,""))</f>
      </c>
      <c r="K113" s="684">
        <f>IF(終値!A113="","",IF(AND(安値!P113&lt;安値!O113,安値!P113&lt;安値!N113,安値!P113&lt;安値!Q113,安値!P113&lt;安値!R113),11,""))</f>
      </c>
      <c r="L113" s="684">
        <f>IF(終値!A113="","",IF(AND(安値!Q113&lt;安値!P113,安値!Q113&lt;安値!O113,安値!Q113&lt;安値!R113,安値!Q113&lt;安値!S113),12,""))</f>
      </c>
      <c r="M113" s="684">
        <f>IF(終値!A113="","",IF(AND(安値!R113&lt;安値!Q113,安値!R113&lt;安値!P113,安値!R113&lt;安値!S113,安値!R113&lt;安値!T113),13,""))</f>
      </c>
      <c r="N113" s="684">
        <f>IF(終値!A113="","",IF(AND(安値!S113&lt;安値!R113,安値!S113&lt;安値!Q113,安値!S113&lt;安値!T113,安値!S113&lt;安値!U113),14,""))</f>
      </c>
      <c r="O113" s="684">
        <f>IF(終値!A113="","",IF(AND(安値!T113&lt;安値!S113,安値!T113&lt;安値!R113,安値!T113&lt;安値!U113,安値!T113&lt;安値!V113),15,""))</f>
      </c>
      <c r="P113" s="684">
        <f>IF(終値!A113="","",IF(AND(安値!U113&lt;安値!T113,安値!U113&lt;安値!S113,安値!U113&lt;安値!V113,安値!U113&lt;安値!W113),16,""))</f>
      </c>
      <c r="Q113" s="684">
        <f>IF(終値!A113="","",IF(AND(安値!V113&lt;安値!U113,安値!V113&lt;安値!T113,安値!V113&lt;安値!W113,安値!V113&lt;安値!X113),17,""))</f>
      </c>
      <c r="R113" s="684">
        <f>IF(終値!A113="","",IF(AND(安値!W113&lt;安値!V113,安値!W113&lt;安値!U113,安値!W113&lt;安値!X113,安値!W113&lt;安値!Y113),18,""))</f>
      </c>
      <c r="S113" s="684">
        <f>IF(終値!A113="","",IF(AND(安値!X113&lt;安値!W113,安値!X113&lt;安値!V113,安値!X113&lt;安値!Y113,安値!X113&lt;安値!Z113),19,""))</f>
      </c>
      <c r="T113" s="684">
        <f>IF(終値!A113="","",IF(AND(安値!Y113&lt;安値!X113,安値!Y113&lt;安値!W113,安値!Y113&lt;安値!Z113,安値!Y113&lt;安値!AA113),20,""))</f>
      </c>
      <c r="U113" s="684">
        <f>IF(終値!A113="","",IF(AND(安値!Z113&lt;安値!Y113,安値!Z113&lt;安値!X113,安値!Z113&lt;安値!AA113,安値!Z113&lt;安値!AB113),21,""))</f>
      </c>
      <c r="V113" s="684">
        <f>IF(終値!A113="","",IF(AND(安値!AA113&lt;安値!Z113,安値!AA113&lt;安値!Y113,安値!AA113&lt;安値!AB113,安値!AA113&lt;安値!AC113),22,""))</f>
      </c>
      <c r="W113" s="684">
        <f>IF(終値!A113="","",IF(AND(安値!AB113&lt;安値!AA113,安値!AB113&lt;安値!Z113,安値!AB113&lt;安値!AC113,安値!AB113&lt;安値!AD113),23,""))</f>
      </c>
      <c r="X113" s="684">
        <f>IF(終値!A113="","",IF(AND(安値!AC113&lt;安値!AB113,安値!AC113&lt;安値!AA113,安値!AC113&lt;安値!AD113,安値!AC113&lt;安値!AE113),24,""))</f>
      </c>
      <c r="Y113" s="684">
        <f>IF(終値!A113="","",IF(AND(安値!AD113&lt;安値!AC113,安値!AD113&lt;安値!AB113,安値!AD113&lt;安値!AE113,安値!AD113&lt;安値!AF113),25,""))</f>
      </c>
      <c r="Z113" s="684">
        <f>IF(終値!A113="","",IF(AND(安値!AE113&lt;安値!AD113,安値!AE113&lt;安値!AC113,安値!AE113&lt;安値!AF113,安値!AE113&lt;安値!AG113),26,""))</f>
      </c>
      <c r="AA113" s="684">
        <f>IF(終値!A113="","",IF(AND(安値!AF113&lt;安値!AE113,安値!AF113&lt;安値!AD113,安値!AF113&lt;安値!AG113,安値!AF113&lt;安値!AH113),27,""))</f>
      </c>
      <c r="AB113" s="684">
        <f>IF(終値!A113="","",IF(AND(安値!AG113&lt;安値!AF113,安値!AG113&lt;安値!AE113,安値!AG113&lt;安値!AH113,安値!AG113&lt;安値!AI113),28,""))</f>
      </c>
      <c r="AC113" s="684">
        <f>IF(終値!A113="","",IF(AND(高値!G113&gt;高値!F113,高値!G113&gt;高値!E113,高値!G113&gt;高値!H113,高値!G113&gt;高値!I113),2,""))</f>
      </c>
      <c r="AD113" s="684">
        <f>IF(終値!A113="","",IF(AND(高値!H113&gt;高値!G113,高値!H113&gt;高値!F113,高値!H113&gt;高値!I113,高値!H113&gt;高値!J113),3,""))</f>
      </c>
      <c r="AE113" s="684">
        <f>IF(終値!A113="","",IF(AND(高値!I113&gt;高値!H113,高値!I113&gt;高値!G113,高値!I113&gt;高値!J113,高値!I113&gt;高値!K113),4,""))</f>
      </c>
      <c r="AF113" s="684">
        <f>IF(終値!A113="","",IF(AND(高値!J113&gt;高値!I113,高値!J113&gt;高値!H113,高値!J113&gt;高値!K113,高値!J113&gt;高値!L113),5,""))</f>
      </c>
      <c r="AG113" s="684">
        <f>IF(終値!A113="","",IF(AND(高値!K113&gt;高値!J113,高値!K113&gt;高値!I113,高値!K113&gt;高値!L113,高値!K113&gt;高値!M113),6,""))</f>
      </c>
      <c r="AH113" s="684">
        <f>IF(終値!A113="","",IF(AND(高値!L113&gt;高値!K113,高値!L113&gt;高値!J113,高値!L113&gt;高値!M113,高値!L113&gt;高値!N113),7,""))</f>
      </c>
      <c r="AI113" s="684">
        <f>IF(終値!A113="","",IF(AND(高値!M113&gt;高値!L113,高値!M113&gt;高値!K113,高値!M113&gt;高値!N113,高値!M113&gt;高値!O113),8,""))</f>
      </c>
      <c r="AJ113" s="684">
        <f>IF(終値!A113="","",IF(AND(高値!N113&gt;高値!M113,高値!N113&gt;高値!L113,高値!N113&gt;高値!O113,高値!N113&gt;高値!P113),9,""))</f>
      </c>
      <c r="AK113" s="684">
        <f>IF(終値!A113="","",IF(AND(高値!O113&gt;高値!N113,高値!O113&gt;高値!M113,高値!O113&gt;高値!P113,高値!O113&gt;高値!Q113),10,""))</f>
      </c>
      <c r="AL113" s="684">
        <f>IF(終値!A113="","",IF(AND(高値!P113&gt;高値!O113,高値!P113&gt;高値!N113,高値!P113&gt;高値!Q113,高値!P113&gt;高値!R113),11,""))</f>
      </c>
      <c r="AM113" s="684">
        <f>IF(終値!A113="","",IF(AND(高値!Q113&gt;高値!P113,高値!Q113&gt;高値!O113,高値!Q113&gt;高値!R113,高値!Q113&gt;高値!S113),12,""))</f>
      </c>
      <c r="AN113" s="684">
        <f>IF(終値!A113="","",IF(AND(高値!R113&gt;高値!Q113,高値!R113&gt;高値!P113,高値!R113&gt;高値!S113,高値!R113&gt;高値!T113),13,""))</f>
      </c>
      <c r="AO113" s="684">
        <f>IF(終値!A113="","",IF(AND(高値!S113&gt;高値!R113,高値!S113&gt;高値!Q113,高値!S113&gt;高値!T113,高値!S113&gt;高値!U113),14,""))</f>
      </c>
      <c r="AP113" s="684">
        <f>IF(終値!A113="","",IF(AND(高値!T113&gt;高値!S113,高値!T113&gt;高値!R113,高値!T113&gt;高値!U113,高値!T113&gt;高値!V113),15,""))</f>
      </c>
      <c r="AQ113" s="684">
        <f>IF(終値!A113="","",IF(AND(高値!U113&gt;高値!T113,高値!U113&gt;高値!S113,高値!U113&gt;高値!V113,高値!U113&gt;高値!W113),16,""))</f>
      </c>
      <c r="AR113" s="684">
        <f>IF(終値!A113="","",IF(AND(高値!V113&gt;高値!U113,高値!V113&gt;高値!T113,高値!V113&gt;高値!W113,高値!V113&gt;高値!X113),17,""))</f>
      </c>
      <c r="AS113" s="684">
        <f>IF(終値!A113="","",IF(AND(高値!W113&gt;高値!V113,高値!W113&gt;高値!U113,高値!W113&gt;高値!X113,高値!W113&gt;高値!Y113),18,""))</f>
      </c>
      <c r="AT113" s="684">
        <f>IF(終値!A113="","",IF(AND(高値!X113&gt;高値!W113,高値!X113&gt;高値!V113,高値!X113&gt;高値!Y113,高値!X113&gt;高値!Z113),19,""))</f>
      </c>
      <c r="AU113" s="684">
        <f>IF(終値!A113="","",IF(AND(高値!Y113&gt;高値!X113,高値!Y113&gt;高値!W113,高値!Y113&gt;高値!Z113,高値!Y113&gt;高値!AA113),20,""))</f>
      </c>
      <c r="AV113" s="684">
        <f>IF(終値!A113="","",IF(AND(高値!Z113&gt;高値!Y113,高値!Z113&gt;高値!X113,高値!Z113&gt;高値!AA113,高値!Z113&gt;高値!AB113),21,""))</f>
      </c>
      <c r="AW113" s="684">
        <f>IF(終値!A113="","",IF(AND(高値!AA113&gt;高値!Z113,高値!AA113&gt;高値!Y113,高値!AA113&gt;高値!AB113,高値!AA113&gt;高値!AC113),22,""))</f>
      </c>
      <c r="AX113" s="684">
        <f>IF(終値!A113="","",IF(AND(高値!AB113&gt;高値!AA113,高値!AB113&gt;高値!Z113,高値!AB113&gt;高値!AC113,高値!AB113&gt;高値!AD113),23,""))</f>
      </c>
      <c r="AY113" s="684">
        <f>IF(終値!A113="","",IF(AND(高値!AC113&gt;高値!AB113,高値!AC113&gt;高値!AA113,高値!AC113&gt;高値!AD113,高値!AC113&gt;高値!AE113),24,""))</f>
      </c>
      <c r="AZ113" s="684">
        <f>IF(終値!A113="","",IF(AND(高値!AD113&gt;高値!AC113,高値!AD113&gt;高値!AB113,高値!AD113&gt;高値!AE113,高値!AD113&gt;高値!AF113),25,""))</f>
      </c>
      <c r="BA113" s="684">
        <f>IF(終値!A113="","",IF(AND(高値!AE113&gt;高値!AD113,高値!AE113&gt;高値!AC113,高値!AE113&gt;高値!AF113,高値!AE113&gt;高値!AG113),26,""))</f>
      </c>
      <c r="BB113" s="684">
        <f>IF(終値!A113="","",IF(AND(高値!AF113&gt;高値!AE113,高値!AF113&gt;高値!AD113,高値!AF113&gt;高値!AG113,高値!AF113&gt;高値!AH113),27,""))</f>
      </c>
      <c r="BC113" s="684">
        <f>IF(終値!A113="","",IF(AND(高値!AG113&gt;高値!AF113,高値!AG113&gt;高値!AE113,高値!AG113&gt;高値!AH113,高値!AG113&gt;高値!AI113),28,""))</f>
      </c>
      <c r="BD113" s="684">
        <f>COUNT($B113:$AB113)</f>
      </c>
      <c r="BE113" s="684">
        <f>IF($BD113&gt;=2,MIN($B113:$AB113),"")</f>
      </c>
      <c r="BF113" s="684">
        <f>IF($BD113&gt;=2,SMALL($B113:$AB113,2),"")</f>
      </c>
      <c r="BG113" s="684">
        <f>IF($BE113="","",INDEX(安値!$E113:$CZ113,1,$BE113+1))</f>
      </c>
      <c r="BH113" s="684">
        <f>IF($BF113="","",INDEX(安値!$E113:$CZ113,1,$BF113+1))</f>
      </c>
      <c r="BI113" s="684">
        <f>IF($BF113="","",MAX(INDEX(高値!$E113:$CZ113,1,$BE113+1):INDEX(高値!$E113:$CZ113,1,$BF113+1)))</f>
      </c>
      <c r="BJ113" s="684">
        <f>IF($BF113="","",AVERAGE(INDEX(終値!$E113:$CZ113,1,$BF113+1):INDEX(終値!$E113:$CZ113,1,$BF113+20))-2*STDEVP(INDEX(終値!$E113:$CZ113,1,$BF113+1):INDEX(終値!$E113:$CZ113,1,$BF113+20)))</f>
      </c>
      <c r="BK113" s="684">
        <f>IF($BE113="","",AVERAGE(INDEX(終値!$E113:$CZ113,1,$BE113+1):INDEX(終値!$E113:$CZ113,1,$BE113+20))-2*STDEVP(INDEX(終値!$E113:$CZ113,1,$BE113+1):INDEX(終値!$E113:$CZ113,1,$BE113+20)))</f>
      </c>
      <c r="BL113" s="684">
        <f>COUNT($AC113:$BC113)</f>
      </c>
      <c r="BM113" s="684">
        <f>IF($BL113&gt;=2,MIN($AC113:$BC113),"")</f>
      </c>
      <c r="BN113" s="684">
        <f>IF($BL113&gt;=2,SMALL($AC113:$BC113,2),"")</f>
      </c>
      <c r="BO113" s="684">
        <f>IF($BM113="","",INDEX(高値!$E113:$CZ113,1,$BM113+1))</f>
      </c>
      <c r="BP113" s="684">
        <f>IF($BN113="","",INDEX(高値!$E113:$CZ113,1,$BN113+1))</f>
      </c>
      <c r="BQ113" s="684">
        <f>IF($BN113="","",MIN(INDEX(安値!$E113:$CZ113,1,$BM113+1):INDEX(安値!$E113:$CZ113,1,$BN113+1)))</f>
      </c>
      <c r="BR113" s="684">
        <f>IF($BN113="","",AVERAGE(INDEX(終値!$E113:$CZ113,1,$BN113+1):INDEX(終値!$E113:$CZ113,1,$BN113+20))+2*STDEVP(INDEX(終値!$E113:$CZ113,1,$BN113+1):INDEX(終値!$E113:$CZ113,1,$BN113+20)))</f>
      </c>
      <c r="BS113" s="684">
        <f>IF($BM113="","",AVERAGE(INDEX(終値!$E113:$CZ113,1,$BM113+1):INDEX(終値!$E113:$CZ113,1,$BM113+20))+2*STDEVP(INDEX(終値!$E113:$CZ113,1,$BM113+1):INDEX(終値!$E113:$CZ113,1,$BM113+20)))</f>
      </c>
      <c r="BT113" s="681">
        <f>IFERROR(IF(AND($BD113&gt;=2,ABS($BG113-$BH113)/$BH113&lt;=BB設定!$B$12,$BI113&gt;=MAX($BH113,$BG113)*(1+BB設定!$B$13),終値!E113&gt;$BG113),IF(OR(終値!E113&gt;=$BI113,AND($BH113&lt;$BJ113,$BG113&gt;=$BK113)),"二番底W▲","二番底W形成"),IF(AND($BL113&gt;=2,ABS($BO113-$BP113)/$BP113&lt;=BB設定!$B$12,$BQ113&lt;=MIN($BP113,$BO113)*(1-BB設定!$B$13),終値!E113&lt;$BO113),IF(OR(終値!E113&lt;=$BQ113,AND($BP113&gt;$BR113,$BO113&lt;=$BS113)),"二番天井M▼","二番天井M形成"),"－")),"－")</f>
      </c>
    </row>
    <row r="114">
      <c r="B114" s="684">
        <f>IF(終値!A114="","",IF(AND(安値!G114&lt;安値!F114,安値!G114&lt;安値!E114,安値!G114&lt;安値!H114,安値!G114&lt;安値!I114),2,""))</f>
      </c>
      <c r="C114" s="684">
        <f>IF(終値!A114="","",IF(AND(安値!H114&lt;安値!G114,安値!H114&lt;安値!F114,安値!H114&lt;安値!I114,安値!H114&lt;安値!J114),3,""))</f>
      </c>
      <c r="D114" s="684">
        <f>IF(終値!A114="","",IF(AND(安値!I114&lt;安値!H114,安値!I114&lt;安値!G114,安値!I114&lt;安値!J114,安値!I114&lt;安値!K114),4,""))</f>
      </c>
      <c r="E114" s="684">
        <f>IF(終値!A114="","",IF(AND(安値!J114&lt;安値!I114,安値!J114&lt;安値!H114,安値!J114&lt;安値!K114,安値!J114&lt;安値!L114),5,""))</f>
      </c>
      <c r="F114" s="684">
        <f>IF(終値!A114="","",IF(AND(安値!K114&lt;安値!J114,安値!K114&lt;安値!I114,安値!K114&lt;安値!L114,安値!K114&lt;安値!M114),6,""))</f>
      </c>
      <c r="G114" s="684">
        <f>IF(終値!A114="","",IF(AND(安値!L114&lt;安値!K114,安値!L114&lt;安値!J114,安値!L114&lt;安値!M114,安値!L114&lt;安値!N114),7,""))</f>
      </c>
      <c r="H114" s="684">
        <f>IF(終値!A114="","",IF(AND(安値!M114&lt;安値!L114,安値!M114&lt;安値!K114,安値!M114&lt;安値!N114,安値!M114&lt;安値!O114),8,""))</f>
      </c>
      <c r="I114" s="684">
        <f>IF(終値!A114="","",IF(AND(安値!N114&lt;安値!M114,安値!N114&lt;安値!L114,安値!N114&lt;安値!O114,安値!N114&lt;安値!P114),9,""))</f>
      </c>
      <c r="J114" s="684">
        <f>IF(終値!A114="","",IF(AND(安値!O114&lt;安値!N114,安値!O114&lt;安値!M114,安値!O114&lt;安値!P114,安値!O114&lt;安値!Q114),10,""))</f>
      </c>
      <c r="K114" s="684">
        <f>IF(終値!A114="","",IF(AND(安値!P114&lt;安値!O114,安値!P114&lt;安値!N114,安値!P114&lt;安値!Q114,安値!P114&lt;安値!R114),11,""))</f>
      </c>
      <c r="L114" s="684">
        <f>IF(終値!A114="","",IF(AND(安値!Q114&lt;安値!P114,安値!Q114&lt;安値!O114,安値!Q114&lt;安値!R114,安値!Q114&lt;安値!S114),12,""))</f>
      </c>
      <c r="M114" s="684">
        <f>IF(終値!A114="","",IF(AND(安値!R114&lt;安値!Q114,安値!R114&lt;安値!P114,安値!R114&lt;安値!S114,安値!R114&lt;安値!T114),13,""))</f>
      </c>
      <c r="N114" s="684">
        <f>IF(終値!A114="","",IF(AND(安値!S114&lt;安値!R114,安値!S114&lt;安値!Q114,安値!S114&lt;安値!T114,安値!S114&lt;安値!U114),14,""))</f>
      </c>
      <c r="O114" s="684">
        <f>IF(終値!A114="","",IF(AND(安値!T114&lt;安値!S114,安値!T114&lt;安値!R114,安値!T114&lt;安値!U114,安値!T114&lt;安値!V114),15,""))</f>
      </c>
      <c r="P114" s="684">
        <f>IF(終値!A114="","",IF(AND(安値!U114&lt;安値!T114,安値!U114&lt;安値!S114,安値!U114&lt;安値!V114,安値!U114&lt;安値!W114),16,""))</f>
      </c>
      <c r="Q114" s="684">
        <f>IF(終値!A114="","",IF(AND(安値!V114&lt;安値!U114,安値!V114&lt;安値!T114,安値!V114&lt;安値!W114,安値!V114&lt;安値!X114),17,""))</f>
      </c>
      <c r="R114" s="684">
        <f>IF(終値!A114="","",IF(AND(安値!W114&lt;安値!V114,安値!W114&lt;安値!U114,安値!W114&lt;安値!X114,安値!W114&lt;安値!Y114),18,""))</f>
      </c>
      <c r="S114" s="684">
        <f>IF(終値!A114="","",IF(AND(安値!X114&lt;安値!W114,安値!X114&lt;安値!V114,安値!X114&lt;安値!Y114,安値!X114&lt;安値!Z114),19,""))</f>
      </c>
      <c r="T114" s="684">
        <f>IF(終値!A114="","",IF(AND(安値!Y114&lt;安値!X114,安値!Y114&lt;安値!W114,安値!Y114&lt;安値!Z114,安値!Y114&lt;安値!AA114),20,""))</f>
      </c>
      <c r="U114" s="684">
        <f>IF(終値!A114="","",IF(AND(安値!Z114&lt;安値!Y114,安値!Z114&lt;安値!X114,安値!Z114&lt;安値!AA114,安値!Z114&lt;安値!AB114),21,""))</f>
      </c>
      <c r="V114" s="684">
        <f>IF(終値!A114="","",IF(AND(安値!AA114&lt;安値!Z114,安値!AA114&lt;安値!Y114,安値!AA114&lt;安値!AB114,安値!AA114&lt;安値!AC114),22,""))</f>
      </c>
      <c r="W114" s="684">
        <f>IF(終値!A114="","",IF(AND(安値!AB114&lt;安値!AA114,安値!AB114&lt;安値!Z114,安値!AB114&lt;安値!AC114,安値!AB114&lt;安値!AD114),23,""))</f>
      </c>
      <c r="X114" s="684">
        <f>IF(終値!A114="","",IF(AND(安値!AC114&lt;安値!AB114,安値!AC114&lt;安値!AA114,安値!AC114&lt;安値!AD114,安値!AC114&lt;安値!AE114),24,""))</f>
      </c>
      <c r="Y114" s="684">
        <f>IF(終値!A114="","",IF(AND(安値!AD114&lt;安値!AC114,安値!AD114&lt;安値!AB114,安値!AD114&lt;安値!AE114,安値!AD114&lt;安値!AF114),25,""))</f>
      </c>
      <c r="Z114" s="684">
        <f>IF(終値!A114="","",IF(AND(安値!AE114&lt;安値!AD114,安値!AE114&lt;安値!AC114,安値!AE114&lt;安値!AF114,安値!AE114&lt;安値!AG114),26,""))</f>
      </c>
      <c r="AA114" s="684">
        <f>IF(終値!A114="","",IF(AND(安値!AF114&lt;安値!AE114,安値!AF114&lt;安値!AD114,安値!AF114&lt;安値!AG114,安値!AF114&lt;安値!AH114),27,""))</f>
      </c>
      <c r="AB114" s="684">
        <f>IF(終値!A114="","",IF(AND(安値!AG114&lt;安値!AF114,安値!AG114&lt;安値!AE114,安値!AG114&lt;安値!AH114,安値!AG114&lt;安値!AI114),28,""))</f>
      </c>
      <c r="AC114" s="684">
        <f>IF(終値!A114="","",IF(AND(高値!G114&gt;高値!F114,高値!G114&gt;高値!E114,高値!G114&gt;高値!H114,高値!G114&gt;高値!I114),2,""))</f>
      </c>
      <c r="AD114" s="684">
        <f>IF(終値!A114="","",IF(AND(高値!H114&gt;高値!G114,高値!H114&gt;高値!F114,高値!H114&gt;高値!I114,高値!H114&gt;高値!J114),3,""))</f>
      </c>
      <c r="AE114" s="684">
        <f>IF(終値!A114="","",IF(AND(高値!I114&gt;高値!H114,高値!I114&gt;高値!G114,高値!I114&gt;高値!J114,高値!I114&gt;高値!K114),4,""))</f>
      </c>
      <c r="AF114" s="684">
        <f>IF(終値!A114="","",IF(AND(高値!J114&gt;高値!I114,高値!J114&gt;高値!H114,高値!J114&gt;高値!K114,高値!J114&gt;高値!L114),5,""))</f>
      </c>
      <c r="AG114" s="684">
        <f>IF(終値!A114="","",IF(AND(高値!K114&gt;高値!J114,高値!K114&gt;高値!I114,高値!K114&gt;高値!L114,高値!K114&gt;高値!M114),6,""))</f>
      </c>
      <c r="AH114" s="684">
        <f>IF(終値!A114="","",IF(AND(高値!L114&gt;高値!K114,高値!L114&gt;高値!J114,高値!L114&gt;高値!M114,高値!L114&gt;高値!N114),7,""))</f>
      </c>
      <c r="AI114" s="684">
        <f>IF(終値!A114="","",IF(AND(高値!M114&gt;高値!L114,高値!M114&gt;高値!K114,高値!M114&gt;高値!N114,高値!M114&gt;高値!O114),8,""))</f>
      </c>
      <c r="AJ114" s="684">
        <f>IF(終値!A114="","",IF(AND(高値!N114&gt;高値!M114,高値!N114&gt;高値!L114,高値!N114&gt;高値!O114,高値!N114&gt;高値!P114),9,""))</f>
      </c>
      <c r="AK114" s="684">
        <f>IF(終値!A114="","",IF(AND(高値!O114&gt;高値!N114,高値!O114&gt;高値!M114,高値!O114&gt;高値!P114,高値!O114&gt;高値!Q114),10,""))</f>
      </c>
      <c r="AL114" s="684">
        <f>IF(終値!A114="","",IF(AND(高値!P114&gt;高値!O114,高値!P114&gt;高値!N114,高値!P114&gt;高値!Q114,高値!P114&gt;高値!R114),11,""))</f>
      </c>
      <c r="AM114" s="684">
        <f>IF(終値!A114="","",IF(AND(高値!Q114&gt;高値!P114,高値!Q114&gt;高値!O114,高値!Q114&gt;高値!R114,高値!Q114&gt;高値!S114),12,""))</f>
      </c>
      <c r="AN114" s="684">
        <f>IF(終値!A114="","",IF(AND(高値!R114&gt;高値!Q114,高値!R114&gt;高値!P114,高値!R114&gt;高値!S114,高値!R114&gt;高値!T114),13,""))</f>
      </c>
      <c r="AO114" s="684">
        <f>IF(終値!A114="","",IF(AND(高値!S114&gt;高値!R114,高値!S114&gt;高値!Q114,高値!S114&gt;高値!T114,高値!S114&gt;高値!U114),14,""))</f>
      </c>
      <c r="AP114" s="684">
        <f>IF(終値!A114="","",IF(AND(高値!T114&gt;高値!S114,高値!T114&gt;高値!R114,高値!T114&gt;高値!U114,高値!T114&gt;高値!V114),15,""))</f>
      </c>
      <c r="AQ114" s="684">
        <f>IF(終値!A114="","",IF(AND(高値!U114&gt;高値!T114,高値!U114&gt;高値!S114,高値!U114&gt;高値!V114,高値!U114&gt;高値!W114),16,""))</f>
      </c>
      <c r="AR114" s="684">
        <f>IF(終値!A114="","",IF(AND(高値!V114&gt;高値!U114,高値!V114&gt;高値!T114,高値!V114&gt;高値!W114,高値!V114&gt;高値!X114),17,""))</f>
      </c>
      <c r="AS114" s="684">
        <f>IF(終値!A114="","",IF(AND(高値!W114&gt;高値!V114,高値!W114&gt;高値!U114,高値!W114&gt;高値!X114,高値!W114&gt;高値!Y114),18,""))</f>
      </c>
      <c r="AT114" s="684">
        <f>IF(終値!A114="","",IF(AND(高値!X114&gt;高値!W114,高値!X114&gt;高値!V114,高値!X114&gt;高値!Y114,高値!X114&gt;高値!Z114),19,""))</f>
      </c>
      <c r="AU114" s="684">
        <f>IF(終値!A114="","",IF(AND(高値!Y114&gt;高値!X114,高値!Y114&gt;高値!W114,高値!Y114&gt;高値!Z114,高値!Y114&gt;高値!AA114),20,""))</f>
      </c>
      <c r="AV114" s="684">
        <f>IF(終値!A114="","",IF(AND(高値!Z114&gt;高値!Y114,高値!Z114&gt;高値!X114,高値!Z114&gt;高値!AA114,高値!Z114&gt;高値!AB114),21,""))</f>
      </c>
      <c r="AW114" s="684">
        <f>IF(終値!A114="","",IF(AND(高値!AA114&gt;高値!Z114,高値!AA114&gt;高値!Y114,高値!AA114&gt;高値!AB114,高値!AA114&gt;高値!AC114),22,""))</f>
      </c>
      <c r="AX114" s="684">
        <f>IF(終値!A114="","",IF(AND(高値!AB114&gt;高値!AA114,高値!AB114&gt;高値!Z114,高値!AB114&gt;高値!AC114,高値!AB114&gt;高値!AD114),23,""))</f>
      </c>
      <c r="AY114" s="684">
        <f>IF(終値!A114="","",IF(AND(高値!AC114&gt;高値!AB114,高値!AC114&gt;高値!AA114,高値!AC114&gt;高値!AD114,高値!AC114&gt;高値!AE114),24,""))</f>
      </c>
      <c r="AZ114" s="684">
        <f>IF(終値!A114="","",IF(AND(高値!AD114&gt;高値!AC114,高値!AD114&gt;高値!AB114,高値!AD114&gt;高値!AE114,高値!AD114&gt;高値!AF114),25,""))</f>
      </c>
      <c r="BA114" s="684">
        <f>IF(終値!A114="","",IF(AND(高値!AE114&gt;高値!AD114,高値!AE114&gt;高値!AC114,高値!AE114&gt;高値!AF114,高値!AE114&gt;高値!AG114),26,""))</f>
      </c>
      <c r="BB114" s="684">
        <f>IF(終値!A114="","",IF(AND(高値!AF114&gt;高値!AE114,高値!AF114&gt;高値!AD114,高値!AF114&gt;高値!AG114,高値!AF114&gt;高値!AH114),27,""))</f>
      </c>
      <c r="BC114" s="684">
        <f>IF(終値!A114="","",IF(AND(高値!AG114&gt;高値!AF114,高値!AG114&gt;高値!AE114,高値!AG114&gt;高値!AH114,高値!AG114&gt;高値!AI114),28,""))</f>
      </c>
      <c r="BD114" s="684">
        <f>COUNT($B114:$AB114)</f>
      </c>
      <c r="BE114" s="684">
        <f>IF($BD114&gt;=2,MIN($B114:$AB114),"")</f>
      </c>
      <c r="BF114" s="684">
        <f>IF($BD114&gt;=2,SMALL($B114:$AB114,2),"")</f>
      </c>
      <c r="BG114" s="684">
        <f>IF($BE114="","",INDEX(安値!$E114:$CZ114,1,$BE114+1))</f>
      </c>
      <c r="BH114" s="684">
        <f>IF($BF114="","",INDEX(安値!$E114:$CZ114,1,$BF114+1))</f>
      </c>
      <c r="BI114" s="684">
        <f>IF($BF114="","",MAX(INDEX(高値!$E114:$CZ114,1,$BE114+1):INDEX(高値!$E114:$CZ114,1,$BF114+1)))</f>
      </c>
      <c r="BJ114" s="684">
        <f>IF($BF114="","",AVERAGE(INDEX(終値!$E114:$CZ114,1,$BF114+1):INDEX(終値!$E114:$CZ114,1,$BF114+20))-2*STDEVP(INDEX(終値!$E114:$CZ114,1,$BF114+1):INDEX(終値!$E114:$CZ114,1,$BF114+20)))</f>
      </c>
      <c r="BK114" s="684">
        <f>IF($BE114="","",AVERAGE(INDEX(終値!$E114:$CZ114,1,$BE114+1):INDEX(終値!$E114:$CZ114,1,$BE114+20))-2*STDEVP(INDEX(終値!$E114:$CZ114,1,$BE114+1):INDEX(終値!$E114:$CZ114,1,$BE114+20)))</f>
      </c>
      <c r="BL114" s="684">
        <f>COUNT($AC114:$BC114)</f>
      </c>
      <c r="BM114" s="684">
        <f>IF($BL114&gt;=2,MIN($AC114:$BC114),"")</f>
      </c>
      <c r="BN114" s="684">
        <f>IF($BL114&gt;=2,SMALL($AC114:$BC114,2),"")</f>
      </c>
      <c r="BO114" s="684">
        <f>IF($BM114="","",INDEX(高値!$E114:$CZ114,1,$BM114+1))</f>
      </c>
      <c r="BP114" s="684">
        <f>IF($BN114="","",INDEX(高値!$E114:$CZ114,1,$BN114+1))</f>
      </c>
      <c r="BQ114" s="684">
        <f>IF($BN114="","",MIN(INDEX(安値!$E114:$CZ114,1,$BM114+1):INDEX(安値!$E114:$CZ114,1,$BN114+1)))</f>
      </c>
      <c r="BR114" s="684">
        <f>IF($BN114="","",AVERAGE(INDEX(終値!$E114:$CZ114,1,$BN114+1):INDEX(終値!$E114:$CZ114,1,$BN114+20))+2*STDEVP(INDEX(終値!$E114:$CZ114,1,$BN114+1):INDEX(終値!$E114:$CZ114,1,$BN114+20)))</f>
      </c>
      <c r="BS114" s="684">
        <f>IF($BM114="","",AVERAGE(INDEX(終値!$E114:$CZ114,1,$BM114+1):INDEX(終値!$E114:$CZ114,1,$BM114+20))+2*STDEVP(INDEX(終値!$E114:$CZ114,1,$BM114+1):INDEX(終値!$E114:$CZ114,1,$BM114+20)))</f>
      </c>
      <c r="BT114" s="681">
        <f>IFERROR(IF(AND($BD114&gt;=2,ABS($BG114-$BH114)/$BH114&lt;=BB設定!$B$12,$BI114&gt;=MAX($BH114,$BG114)*(1+BB設定!$B$13),終値!E114&gt;$BG114),IF(OR(終値!E114&gt;=$BI114,AND($BH114&lt;$BJ114,$BG114&gt;=$BK114)),"二番底W▲","二番底W形成"),IF(AND($BL114&gt;=2,ABS($BO114-$BP114)/$BP114&lt;=BB設定!$B$12,$BQ114&lt;=MIN($BP114,$BO114)*(1-BB設定!$B$13),終値!E114&lt;$BO114),IF(OR(終値!E114&lt;=$BQ114,AND($BP114&gt;$BR114,$BO114&lt;=$BS114)),"二番天井M▼","二番天井M形成"),"－")),"－")</f>
      </c>
    </row>
    <row r="115">
      <c r="B115" s="684">
        <f>IF(終値!A115="","",IF(AND(安値!G115&lt;安値!F115,安値!G115&lt;安値!E115,安値!G115&lt;安値!H115,安値!G115&lt;安値!I115),2,""))</f>
      </c>
      <c r="C115" s="684">
        <f>IF(終値!A115="","",IF(AND(安値!H115&lt;安値!G115,安値!H115&lt;安値!F115,安値!H115&lt;安値!I115,安値!H115&lt;安値!J115),3,""))</f>
      </c>
      <c r="D115" s="684">
        <f>IF(終値!A115="","",IF(AND(安値!I115&lt;安値!H115,安値!I115&lt;安値!G115,安値!I115&lt;安値!J115,安値!I115&lt;安値!K115),4,""))</f>
      </c>
      <c r="E115" s="684">
        <f>IF(終値!A115="","",IF(AND(安値!J115&lt;安値!I115,安値!J115&lt;安値!H115,安値!J115&lt;安値!K115,安値!J115&lt;安値!L115),5,""))</f>
      </c>
      <c r="F115" s="684">
        <f>IF(終値!A115="","",IF(AND(安値!K115&lt;安値!J115,安値!K115&lt;安値!I115,安値!K115&lt;安値!L115,安値!K115&lt;安値!M115),6,""))</f>
      </c>
      <c r="G115" s="684">
        <f>IF(終値!A115="","",IF(AND(安値!L115&lt;安値!K115,安値!L115&lt;安値!J115,安値!L115&lt;安値!M115,安値!L115&lt;安値!N115),7,""))</f>
      </c>
      <c r="H115" s="684">
        <f>IF(終値!A115="","",IF(AND(安値!M115&lt;安値!L115,安値!M115&lt;安値!K115,安値!M115&lt;安値!N115,安値!M115&lt;安値!O115),8,""))</f>
      </c>
      <c r="I115" s="684">
        <f>IF(終値!A115="","",IF(AND(安値!N115&lt;安値!M115,安値!N115&lt;安値!L115,安値!N115&lt;安値!O115,安値!N115&lt;安値!P115),9,""))</f>
      </c>
      <c r="J115" s="684">
        <f>IF(終値!A115="","",IF(AND(安値!O115&lt;安値!N115,安値!O115&lt;安値!M115,安値!O115&lt;安値!P115,安値!O115&lt;安値!Q115),10,""))</f>
      </c>
      <c r="K115" s="684">
        <f>IF(終値!A115="","",IF(AND(安値!P115&lt;安値!O115,安値!P115&lt;安値!N115,安値!P115&lt;安値!Q115,安値!P115&lt;安値!R115),11,""))</f>
      </c>
      <c r="L115" s="684">
        <f>IF(終値!A115="","",IF(AND(安値!Q115&lt;安値!P115,安値!Q115&lt;安値!O115,安値!Q115&lt;安値!R115,安値!Q115&lt;安値!S115),12,""))</f>
      </c>
      <c r="M115" s="684">
        <f>IF(終値!A115="","",IF(AND(安値!R115&lt;安値!Q115,安値!R115&lt;安値!P115,安値!R115&lt;安値!S115,安値!R115&lt;安値!T115),13,""))</f>
      </c>
      <c r="N115" s="684">
        <f>IF(終値!A115="","",IF(AND(安値!S115&lt;安値!R115,安値!S115&lt;安値!Q115,安値!S115&lt;安値!T115,安値!S115&lt;安値!U115),14,""))</f>
      </c>
      <c r="O115" s="684">
        <f>IF(終値!A115="","",IF(AND(安値!T115&lt;安値!S115,安値!T115&lt;安値!R115,安値!T115&lt;安値!U115,安値!T115&lt;安値!V115),15,""))</f>
      </c>
      <c r="P115" s="684">
        <f>IF(終値!A115="","",IF(AND(安値!U115&lt;安値!T115,安値!U115&lt;安値!S115,安値!U115&lt;安値!V115,安値!U115&lt;安値!W115),16,""))</f>
      </c>
      <c r="Q115" s="684">
        <f>IF(終値!A115="","",IF(AND(安値!V115&lt;安値!U115,安値!V115&lt;安値!T115,安値!V115&lt;安値!W115,安値!V115&lt;安値!X115),17,""))</f>
      </c>
      <c r="R115" s="684">
        <f>IF(終値!A115="","",IF(AND(安値!W115&lt;安値!V115,安値!W115&lt;安値!U115,安値!W115&lt;安値!X115,安値!W115&lt;安値!Y115),18,""))</f>
      </c>
      <c r="S115" s="684">
        <f>IF(終値!A115="","",IF(AND(安値!X115&lt;安値!W115,安値!X115&lt;安値!V115,安値!X115&lt;安値!Y115,安値!X115&lt;安値!Z115),19,""))</f>
      </c>
      <c r="T115" s="684">
        <f>IF(終値!A115="","",IF(AND(安値!Y115&lt;安値!X115,安値!Y115&lt;安値!W115,安値!Y115&lt;安値!Z115,安値!Y115&lt;安値!AA115),20,""))</f>
      </c>
      <c r="U115" s="684">
        <f>IF(終値!A115="","",IF(AND(安値!Z115&lt;安値!Y115,安値!Z115&lt;安値!X115,安値!Z115&lt;安値!AA115,安値!Z115&lt;安値!AB115),21,""))</f>
      </c>
      <c r="V115" s="684">
        <f>IF(終値!A115="","",IF(AND(安値!AA115&lt;安値!Z115,安値!AA115&lt;安値!Y115,安値!AA115&lt;安値!AB115,安値!AA115&lt;安値!AC115),22,""))</f>
      </c>
      <c r="W115" s="684">
        <f>IF(終値!A115="","",IF(AND(安値!AB115&lt;安値!AA115,安値!AB115&lt;安値!Z115,安値!AB115&lt;安値!AC115,安値!AB115&lt;安値!AD115),23,""))</f>
      </c>
      <c r="X115" s="684">
        <f>IF(終値!A115="","",IF(AND(安値!AC115&lt;安値!AB115,安値!AC115&lt;安値!AA115,安値!AC115&lt;安値!AD115,安値!AC115&lt;安値!AE115),24,""))</f>
      </c>
      <c r="Y115" s="684">
        <f>IF(終値!A115="","",IF(AND(安値!AD115&lt;安値!AC115,安値!AD115&lt;安値!AB115,安値!AD115&lt;安値!AE115,安値!AD115&lt;安値!AF115),25,""))</f>
      </c>
      <c r="Z115" s="684">
        <f>IF(終値!A115="","",IF(AND(安値!AE115&lt;安値!AD115,安値!AE115&lt;安値!AC115,安値!AE115&lt;安値!AF115,安値!AE115&lt;安値!AG115),26,""))</f>
      </c>
      <c r="AA115" s="684">
        <f>IF(終値!A115="","",IF(AND(安値!AF115&lt;安値!AE115,安値!AF115&lt;安値!AD115,安値!AF115&lt;安値!AG115,安値!AF115&lt;安値!AH115),27,""))</f>
      </c>
      <c r="AB115" s="684">
        <f>IF(終値!A115="","",IF(AND(安値!AG115&lt;安値!AF115,安値!AG115&lt;安値!AE115,安値!AG115&lt;安値!AH115,安値!AG115&lt;安値!AI115),28,""))</f>
      </c>
      <c r="AC115" s="684">
        <f>IF(終値!A115="","",IF(AND(高値!G115&gt;高値!F115,高値!G115&gt;高値!E115,高値!G115&gt;高値!H115,高値!G115&gt;高値!I115),2,""))</f>
      </c>
      <c r="AD115" s="684">
        <f>IF(終値!A115="","",IF(AND(高値!H115&gt;高値!G115,高値!H115&gt;高値!F115,高値!H115&gt;高値!I115,高値!H115&gt;高値!J115),3,""))</f>
      </c>
      <c r="AE115" s="684">
        <f>IF(終値!A115="","",IF(AND(高値!I115&gt;高値!H115,高値!I115&gt;高値!G115,高値!I115&gt;高値!J115,高値!I115&gt;高値!K115),4,""))</f>
      </c>
      <c r="AF115" s="684">
        <f>IF(終値!A115="","",IF(AND(高値!J115&gt;高値!I115,高値!J115&gt;高値!H115,高値!J115&gt;高値!K115,高値!J115&gt;高値!L115),5,""))</f>
      </c>
      <c r="AG115" s="684">
        <f>IF(終値!A115="","",IF(AND(高値!K115&gt;高値!J115,高値!K115&gt;高値!I115,高値!K115&gt;高値!L115,高値!K115&gt;高値!M115),6,""))</f>
      </c>
      <c r="AH115" s="684">
        <f>IF(終値!A115="","",IF(AND(高値!L115&gt;高値!K115,高値!L115&gt;高値!J115,高値!L115&gt;高値!M115,高値!L115&gt;高値!N115),7,""))</f>
      </c>
      <c r="AI115" s="684">
        <f>IF(終値!A115="","",IF(AND(高値!M115&gt;高値!L115,高値!M115&gt;高値!K115,高値!M115&gt;高値!N115,高値!M115&gt;高値!O115),8,""))</f>
      </c>
      <c r="AJ115" s="684">
        <f>IF(終値!A115="","",IF(AND(高値!N115&gt;高値!M115,高値!N115&gt;高値!L115,高値!N115&gt;高値!O115,高値!N115&gt;高値!P115),9,""))</f>
      </c>
      <c r="AK115" s="684">
        <f>IF(終値!A115="","",IF(AND(高値!O115&gt;高値!N115,高値!O115&gt;高値!M115,高値!O115&gt;高値!P115,高値!O115&gt;高値!Q115),10,""))</f>
      </c>
      <c r="AL115" s="684">
        <f>IF(終値!A115="","",IF(AND(高値!P115&gt;高値!O115,高値!P115&gt;高値!N115,高値!P115&gt;高値!Q115,高値!P115&gt;高値!R115),11,""))</f>
      </c>
      <c r="AM115" s="684">
        <f>IF(終値!A115="","",IF(AND(高値!Q115&gt;高値!P115,高値!Q115&gt;高値!O115,高値!Q115&gt;高値!R115,高値!Q115&gt;高値!S115),12,""))</f>
      </c>
      <c r="AN115" s="684">
        <f>IF(終値!A115="","",IF(AND(高値!R115&gt;高値!Q115,高値!R115&gt;高値!P115,高値!R115&gt;高値!S115,高値!R115&gt;高値!T115),13,""))</f>
      </c>
      <c r="AO115" s="684">
        <f>IF(終値!A115="","",IF(AND(高値!S115&gt;高値!R115,高値!S115&gt;高値!Q115,高値!S115&gt;高値!T115,高値!S115&gt;高値!U115),14,""))</f>
      </c>
      <c r="AP115" s="684">
        <f>IF(終値!A115="","",IF(AND(高値!T115&gt;高値!S115,高値!T115&gt;高値!R115,高値!T115&gt;高値!U115,高値!T115&gt;高値!V115),15,""))</f>
      </c>
      <c r="AQ115" s="684">
        <f>IF(終値!A115="","",IF(AND(高値!U115&gt;高値!T115,高値!U115&gt;高値!S115,高値!U115&gt;高値!V115,高値!U115&gt;高値!W115),16,""))</f>
      </c>
      <c r="AR115" s="684">
        <f>IF(終値!A115="","",IF(AND(高値!V115&gt;高値!U115,高値!V115&gt;高値!T115,高値!V115&gt;高値!W115,高値!V115&gt;高値!X115),17,""))</f>
      </c>
      <c r="AS115" s="684">
        <f>IF(終値!A115="","",IF(AND(高値!W115&gt;高値!V115,高値!W115&gt;高値!U115,高値!W115&gt;高値!X115,高値!W115&gt;高値!Y115),18,""))</f>
      </c>
      <c r="AT115" s="684">
        <f>IF(終値!A115="","",IF(AND(高値!X115&gt;高値!W115,高値!X115&gt;高値!V115,高値!X115&gt;高値!Y115,高値!X115&gt;高値!Z115),19,""))</f>
      </c>
      <c r="AU115" s="684">
        <f>IF(終値!A115="","",IF(AND(高値!Y115&gt;高値!X115,高値!Y115&gt;高値!W115,高値!Y115&gt;高値!Z115,高値!Y115&gt;高値!AA115),20,""))</f>
      </c>
      <c r="AV115" s="684">
        <f>IF(終値!A115="","",IF(AND(高値!Z115&gt;高値!Y115,高値!Z115&gt;高値!X115,高値!Z115&gt;高値!AA115,高値!Z115&gt;高値!AB115),21,""))</f>
      </c>
      <c r="AW115" s="684">
        <f>IF(終値!A115="","",IF(AND(高値!AA115&gt;高値!Z115,高値!AA115&gt;高値!Y115,高値!AA115&gt;高値!AB115,高値!AA115&gt;高値!AC115),22,""))</f>
      </c>
      <c r="AX115" s="684">
        <f>IF(終値!A115="","",IF(AND(高値!AB115&gt;高値!AA115,高値!AB115&gt;高値!Z115,高値!AB115&gt;高値!AC115,高値!AB115&gt;高値!AD115),23,""))</f>
      </c>
      <c r="AY115" s="684">
        <f>IF(終値!A115="","",IF(AND(高値!AC115&gt;高値!AB115,高値!AC115&gt;高値!AA115,高値!AC115&gt;高値!AD115,高値!AC115&gt;高値!AE115),24,""))</f>
      </c>
      <c r="AZ115" s="684">
        <f>IF(終値!A115="","",IF(AND(高値!AD115&gt;高値!AC115,高値!AD115&gt;高値!AB115,高値!AD115&gt;高値!AE115,高値!AD115&gt;高値!AF115),25,""))</f>
      </c>
      <c r="BA115" s="684">
        <f>IF(終値!A115="","",IF(AND(高値!AE115&gt;高値!AD115,高値!AE115&gt;高値!AC115,高値!AE115&gt;高値!AF115,高値!AE115&gt;高値!AG115),26,""))</f>
      </c>
      <c r="BB115" s="684">
        <f>IF(終値!A115="","",IF(AND(高値!AF115&gt;高値!AE115,高値!AF115&gt;高値!AD115,高値!AF115&gt;高値!AG115,高値!AF115&gt;高値!AH115),27,""))</f>
      </c>
      <c r="BC115" s="684">
        <f>IF(終値!A115="","",IF(AND(高値!AG115&gt;高値!AF115,高値!AG115&gt;高値!AE115,高値!AG115&gt;高値!AH115,高値!AG115&gt;高値!AI115),28,""))</f>
      </c>
      <c r="BD115" s="684">
        <f>COUNT($B115:$AB115)</f>
      </c>
      <c r="BE115" s="684">
        <f>IF($BD115&gt;=2,MIN($B115:$AB115),"")</f>
      </c>
      <c r="BF115" s="684">
        <f>IF($BD115&gt;=2,SMALL($B115:$AB115,2),"")</f>
      </c>
      <c r="BG115" s="684">
        <f>IF($BE115="","",INDEX(安値!$E115:$CZ115,1,$BE115+1))</f>
      </c>
      <c r="BH115" s="684">
        <f>IF($BF115="","",INDEX(安値!$E115:$CZ115,1,$BF115+1))</f>
      </c>
      <c r="BI115" s="684">
        <f>IF($BF115="","",MAX(INDEX(高値!$E115:$CZ115,1,$BE115+1):INDEX(高値!$E115:$CZ115,1,$BF115+1)))</f>
      </c>
      <c r="BJ115" s="684">
        <f>IF($BF115="","",AVERAGE(INDEX(終値!$E115:$CZ115,1,$BF115+1):INDEX(終値!$E115:$CZ115,1,$BF115+20))-2*STDEVP(INDEX(終値!$E115:$CZ115,1,$BF115+1):INDEX(終値!$E115:$CZ115,1,$BF115+20)))</f>
      </c>
      <c r="BK115" s="684">
        <f>IF($BE115="","",AVERAGE(INDEX(終値!$E115:$CZ115,1,$BE115+1):INDEX(終値!$E115:$CZ115,1,$BE115+20))-2*STDEVP(INDEX(終値!$E115:$CZ115,1,$BE115+1):INDEX(終値!$E115:$CZ115,1,$BE115+20)))</f>
      </c>
      <c r="BL115" s="684">
        <f>COUNT($AC115:$BC115)</f>
      </c>
      <c r="BM115" s="684">
        <f>IF($BL115&gt;=2,MIN($AC115:$BC115),"")</f>
      </c>
      <c r="BN115" s="684">
        <f>IF($BL115&gt;=2,SMALL($AC115:$BC115,2),"")</f>
      </c>
      <c r="BO115" s="684">
        <f>IF($BM115="","",INDEX(高値!$E115:$CZ115,1,$BM115+1))</f>
      </c>
      <c r="BP115" s="684">
        <f>IF($BN115="","",INDEX(高値!$E115:$CZ115,1,$BN115+1))</f>
      </c>
      <c r="BQ115" s="684">
        <f>IF($BN115="","",MIN(INDEX(安値!$E115:$CZ115,1,$BM115+1):INDEX(安値!$E115:$CZ115,1,$BN115+1)))</f>
      </c>
      <c r="BR115" s="684">
        <f>IF($BN115="","",AVERAGE(INDEX(終値!$E115:$CZ115,1,$BN115+1):INDEX(終値!$E115:$CZ115,1,$BN115+20))+2*STDEVP(INDEX(終値!$E115:$CZ115,1,$BN115+1):INDEX(終値!$E115:$CZ115,1,$BN115+20)))</f>
      </c>
      <c r="BS115" s="684">
        <f>IF($BM115="","",AVERAGE(INDEX(終値!$E115:$CZ115,1,$BM115+1):INDEX(終値!$E115:$CZ115,1,$BM115+20))+2*STDEVP(INDEX(終値!$E115:$CZ115,1,$BM115+1):INDEX(終値!$E115:$CZ115,1,$BM115+20)))</f>
      </c>
      <c r="BT115" s="681">
        <f>IFERROR(IF(AND($BD115&gt;=2,ABS($BG115-$BH115)/$BH115&lt;=BB設定!$B$12,$BI115&gt;=MAX($BH115,$BG115)*(1+BB設定!$B$13),終値!E115&gt;$BG115),IF(OR(終値!E115&gt;=$BI115,AND($BH115&lt;$BJ115,$BG115&gt;=$BK115)),"二番底W▲","二番底W形成"),IF(AND($BL115&gt;=2,ABS($BO115-$BP115)/$BP115&lt;=BB設定!$B$12,$BQ115&lt;=MIN($BP115,$BO115)*(1-BB設定!$B$13),終値!E115&lt;$BO115),IF(OR(終値!E115&lt;=$BQ115,AND($BP115&gt;$BR115,$BO115&lt;=$BS115)),"二番天井M▼","二番天井M形成"),"－")),"－")</f>
      </c>
    </row>
    <row r="116">
      <c r="B116" s="684">
        <f>IF(終値!A116="","",IF(AND(安値!G116&lt;安値!F116,安値!G116&lt;安値!E116,安値!G116&lt;安値!H116,安値!G116&lt;安値!I116),2,""))</f>
      </c>
      <c r="C116" s="684">
        <f>IF(終値!A116="","",IF(AND(安値!H116&lt;安値!G116,安値!H116&lt;安値!F116,安値!H116&lt;安値!I116,安値!H116&lt;安値!J116),3,""))</f>
      </c>
      <c r="D116" s="684">
        <f>IF(終値!A116="","",IF(AND(安値!I116&lt;安値!H116,安値!I116&lt;安値!G116,安値!I116&lt;安値!J116,安値!I116&lt;安値!K116),4,""))</f>
      </c>
      <c r="E116" s="684">
        <f>IF(終値!A116="","",IF(AND(安値!J116&lt;安値!I116,安値!J116&lt;安値!H116,安値!J116&lt;安値!K116,安値!J116&lt;安値!L116),5,""))</f>
      </c>
      <c r="F116" s="684">
        <f>IF(終値!A116="","",IF(AND(安値!K116&lt;安値!J116,安値!K116&lt;安値!I116,安値!K116&lt;安値!L116,安値!K116&lt;安値!M116),6,""))</f>
      </c>
      <c r="G116" s="684">
        <f>IF(終値!A116="","",IF(AND(安値!L116&lt;安値!K116,安値!L116&lt;安値!J116,安値!L116&lt;安値!M116,安値!L116&lt;安値!N116),7,""))</f>
      </c>
      <c r="H116" s="684">
        <f>IF(終値!A116="","",IF(AND(安値!M116&lt;安値!L116,安値!M116&lt;安値!K116,安値!M116&lt;安値!N116,安値!M116&lt;安値!O116),8,""))</f>
      </c>
      <c r="I116" s="684">
        <f>IF(終値!A116="","",IF(AND(安値!N116&lt;安値!M116,安値!N116&lt;安値!L116,安値!N116&lt;安値!O116,安値!N116&lt;安値!P116),9,""))</f>
      </c>
      <c r="J116" s="684">
        <f>IF(終値!A116="","",IF(AND(安値!O116&lt;安値!N116,安値!O116&lt;安値!M116,安値!O116&lt;安値!P116,安値!O116&lt;安値!Q116),10,""))</f>
      </c>
      <c r="K116" s="684">
        <f>IF(終値!A116="","",IF(AND(安値!P116&lt;安値!O116,安値!P116&lt;安値!N116,安値!P116&lt;安値!Q116,安値!P116&lt;安値!R116),11,""))</f>
      </c>
      <c r="L116" s="684">
        <f>IF(終値!A116="","",IF(AND(安値!Q116&lt;安値!P116,安値!Q116&lt;安値!O116,安値!Q116&lt;安値!R116,安値!Q116&lt;安値!S116),12,""))</f>
      </c>
      <c r="M116" s="684">
        <f>IF(終値!A116="","",IF(AND(安値!R116&lt;安値!Q116,安値!R116&lt;安値!P116,安値!R116&lt;安値!S116,安値!R116&lt;安値!T116),13,""))</f>
      </c>
      <c r="N116" s="684">
        <f>IF(終値!A116="","",IF(AND(安値!S116&lt;安値!R116,安値!S116&lt;安値!Q116,安値!S116&lt;安値!T116,安値!S116&lt;安値!U116),14,""))</f>
      </c>
      <c r="O116" s="684">
        <f>IF(終値!A116="","",IF(AND(安値!T116&lt;安値!S116,安値!T116&lt;安値!R116,安値!T116&lt;安値!U116,安値!T116&lt;安値!V116),15,""))</f>
      </c>
      <c r="P116" s="684">
        <f>IF(終値!A116="","",IF(AND(安値!U116&lt;安値!T116,安値!U116&lt;安値!S116,安値!U116&lt;安値!V116,安値!U116&lt;安値!W116),16,""))</f>
      </c>
      <c r="Q116" s="684">
        <f>IF(終値!A116="","",IF(AND(安値!V116&lt;安値!U116,安値!V116&lt;安値!T116,安値!V116&lt;安値!W116,安値!V116&lt;安値!X116),17,""))</f>
      </c>
      <c r="R116" s="684">
        <f>IF(終値!A116="","",IF(AND(安値!W116&lt;安値!V116,安値!W116&lt;安値!U116,安値!W116&lt;安値!X116,安値!W116&lt;安値!Y116),18,""))</f>
      </c>
      <c r="S116" s="684">
        <f>IF(終値!A116="","",IF(AND(安値!X116&lt;安値!W116,安値!X116&lt;安値!V116,安値!X116&lt;安値!Y116,安値!X116&lt;安値!Z116),19,""))</f>
      </c>
      <c r="T116" s="684">
        <f>IF(終値!A116="","",IF(AND(安値!Y116&lt;安値!X116,安値!Y116&lt;安値!W116,安値!Y116&lt;安値!Z116,安値!Y116&lt;安値!AA116),20,""))</f>
      </c>
      <c r="U116" s="684">
        <f>IF(終値!A116="","",IF(AND(安値!Z116&lt;安値!Y116,安値!Z116&lt;安値!X116,安値!Z116&lt;安値!AA116,安値!Z116&lt;安値!AB116),21,""))</f>
      </c>
      <c r="V116" s="684">
        <f>IF(終値!A116="","",IF(AND(安値!AA116&lt;安値!Z116,安値!AA116&lt;安値!Y116,安値!AA116&lt;安値!AB116,安値!AA116&lt;安値!AC116),22,""))</f>
      </c>
      <c r="W116" s="684">
        <f>IF(終値!A116="","",IF(AND(安値!AB116&lt;安値!AA116,安値!AB116&lt;安値!Z116,安値!AB116&lt;安値!AC116,安値!AB116&lt;安値!AD116),23,""))</f>
      </c>
      <c r="X116" s="684">
        <f>IF(終値!A116="","",IF(AND(安値!AC116&lt;安値!AB116,安値!AC116&lt;安値!AA116,安値!AC116&lt;安値!AD116,安値!AC116&lt;安値!AE116),24,""))</f>
      </c>
      <c r="Y116" s="684">
        <f>IF(終値!A116="","",IF(AND(安値!AD116&lt;安値!AC116,安値!AD116&lt;安値!AB116,安値!AD116&lt;安値!AE116,安値!AD116&lt;安値!AF116),25,""))</f>
      </c>
      <c r="Z116" s="684">
        <f>IF(終値!A116="","",IF(AND(安値!AE116&lt;安値!AD116,安値!AE116&lt;安値!AC116,安値!AE116&lt;安値!AF116,安値!AE116&lt;安値!AG116),26,""))</f>
      </c>
      <c r="AA116" s="684">
        <f>IF(終値!A116="","",IF(AND(安値!AF116&lt;安値!AE116,安値!AF116&lt;安値!AD116,安値!AF116&lt;安値!AG116,安値!AF116&lt;安値!AH116),27,""))</f>
      </c>
      <c r="AB116" s="684">
        <f>IF(終値!A116="","",IF(AND(安値!AG116&lt;安値!AF116,安値!AG116&lt;安値!AE116,安値!AG116&lt;安値!AH116,安値!AG116&lt;安値!AI116),28,""))</f>
      </c>
      <c r="AC116" s="684">
        <f>IF(終値!A116="","",IF(AND(高値!G116&gt;高値!F116,高値!G116&gt;高値!E116,高値!G116&gt;高値!H116,高値!G116&gt;高値!I116),2,""))</f>
      </c>
      <c r="AD116" s="684">
        <f>IF(終値!A116="","",IF(AND(高値!H116&gt;高値!G116,高値!H116&gt;高値!F116,高値!H116&gt;高値!I116,高値!H116&gt;高値!J116),3,""))</f>
      </c>
      <c r="AE116" s="684">
        <f>IF(終値!A116="","",IF(AND(高値!I116&gt;高値!H116,高値!I116&gt;高値!G116,高値!I116&gt;高値!J116,高値!I116&gt;高値!K116),4,""))</f>
      </c>
      <c r="AF116" s="684">
        <f>IF(終値!A116="","",IF(AND(高値!J116&gt;高値!I116,高値!J116&gt;高値!H116,高値!J116&gt;高値!K116,高値!J116&gt;高値!L116),5,""))</f>
      </c>
      <c r="AG116" s="684">
        <f>IF(終値!A116="","",IF(AND(高値!K116&gt;高値!J116,高値!K116&gt;高値!I116,高値!K116&gt;高値!L116,高値!K116&gt;高値!M116),6,""))</f>
      </c>
      <c r="AH116" s="684">
        <f>IF(終値!A116="","",IF(AND(高値!L116&gt;高値!K116,高値!L116&gt;高値!J116,高値!L116&gt;高値!M116,高値!L116&gt;高値!N116),7,""))</f>
      </c>
      <c r="AI116" s="684">
        <f>IF(終値!A116="","",IF(AND(高値!M116&gt;高値!L116,高値!M116&gt;高値!K116,高値!M116&gt;高値!N116,高値!M116&gt;高値!O116),8,""))</f>
      </c>
      <c r="AJ116" s="684">
        <f>IF(終値!A116="","",IF(AND(高値!N116&gt;高値!M116,高値!N116&gt;高値!L116,高値!N116&gt;高値!O116,高値!N116&gt;高値!P116),9,""))</f>
      </c>
      <c r="AK116" s="684">
        <f>IF(終値!A116="","",IF(AND(高値!O116&gt;高値!N116,高値!O116&gt;高値!M116,高値!O116&gt;高値!P116,高値!O116&gt;高値!Q116),10,""))</f>
      </c>
      <c r="AL116" s="684">
        <f>IF(終値!A116="","",IF(AND(高値!P116&gt;高値!O116,高値!P116&gt;高値!N116,高値!P116&gt;高値!Q116,高値!P116&gt;高値!R116),11,""))</f>
      </c>
      <c r="AM116" s="684">
        <f>IF(終値!A116="","",IF(AND(高値!Q116&gt;高値!P116,高値!Q116&gt;高値!O116,高値!Q116&gt;高値!R116,高値!Q116&gt;高値!S116),12,""))</f>
      </c>
      <c r="AN116" s="684">
        <f>IF(終値!A116="","",IF(AND(高値!R116&gt;高値!Q116,高値!R116&gt;高値!P116,高値!R116&gt;高値!S116,高値!R116&gt;高値!T116),13,""))</f>
      </c>
      <c r="AO116" s="684">
        <f>IF(終値!A116="","",IF(AND(高値!S116&gt;高値!R116,高値!S116&gt;高値!Q116,高値!S116&gt;高値!T116,高値!S116&gt;高値!U116),14,""))</f>
      </c>
      <c r="AP116" s="684">
        <f>IF(終値!A116="","",IF(AND(高値!T116&gt;高値!S116,高値!T116&gt;高値!R116,高値!T116&gt;高値!U116,高値!T116&gt;高値!V116),15,""))</f>
      </c>
      <c r="AQ116" s="684">
        <f>IF(終値!A116="","",IF(AND(高値!U116&gt;高値!T116,高値!U116&gt;高値!S116,高値!U116&gt;高値!V116,高値!U116&gt;高値!W116),16,""))</f>
      </c>
      <c r="AR116" s="684">
        <f>IF(終値!A116="","",IF(AND(高値!V116&gt;高値!U116,高値!V116&gt;高値!T116,高値!V116&gt;高値!W116,高値!V116&gt;高値!X116),17,""))</f>
      </c>
      <c r="AS116" s="684">
        <f>IF(終値!A116="","",IF(AND(高値!W116&gt;高値!V116,高値!W116&gt;高値!U116,高値!W116&gt;高値!X116,高値!W116&gt;高値!Y116),18,""))</f>
      </c>
      <c r="AT116" s="684">
        <f>IF(終値!A116="","",IF(AND(高値!X116&gt;高値!W116,高値!X116&gt;高値!V116,高値!X116&gt;高値!Y116,高値!X116&gt;高値!Z116),19,""))</f>
      </c>
      <c r="AU116" s="684">
        <f>IF(終値!A116="","",IF(AND(高値!Y116&gt;高値!X116,高値!Y116&gt;高値!W116,高値!Y116&gt;高値!Z116,高値!Y116&gt;高値!AA116),20,""))</f>
      </c>
      <c r="AV116" s="684">
        <f>IF(終値!A116="","",IF(AND(高値!Z116&gt;高値!Y116,高値!Z116&gt;高値!X116,高値!Z116&gt;高値!AA116,高値!Z116&gt;高値!AB116),21,""))</f>
      </c>
      <c r="AW116" s="684">
        <f>IF(終値!A116="","",IF(AND(高値!AA116&gt;高値!Z116,高値!AA116&gt;高値!Y116,高値!AA116&gt;高値!AB116,高値!AA116&gt;高値!AC116),22,""))</f>
      </c>
      <c r="AX116" s="684">
        <f>IF(終値!A116="","",IF(AND(高値!AB116&gt;高値!AA116,高値!AB116&gt;高値!Z116,高値!AB116&gt;高値!AC116,高値!AB116&gt;高値!AD116),23,""))</f>
      </c>
      <c r="AY116" s="684">
        <f>IF(終値!A116="","",IF(AND(高値!AC116&gt;高値!AB116,高値!AC116&gt;高値!AA116,高値!AC116&gt;高値!AD116,高値!AC116&gt;高値!AE116),24,""))</f>
      </c>
      <c r="AZ116" s="684">
        <f>IF(終値!A116="","",IF(AND(高値!AD116&gt;高値!AC116,高値!AD116&gt;高値!AB116,高値!AD116&gt;高値!AE116,高値!AD116&gt;高値!AF116),25,""))</f>
      </c>
      <c r="BA116" s="684">
        <f>IF(終値!A116="","",IF(AND(高値!AE116&gt;高値!AD116,高値!AE116&gt;高値!AC116,高値!AE116&gt;高値!AF116,高値!AE116&gt;高値!AG116),26,""))</f>
      </c>
      <c r="BB116" s="684">
        <f>IF(終値!A116="","",IF(AND(高値!AF116&gt;高値!AE116,高値!AF116&gt;高値!AD116,高値!AF116&gt;高値!AG116,高値!AF116&gt;高値!AH116),27,""))</f>
      </c>
      <c r="BC116" s="684">
        <f>IF(終値!A116="","",IF(AND(高値!AG116&gt;高値!AF116,高値!AG116&gt;高値!AE116,高値!AG116&gt;高値!AH116,高値!AG116&gt;高値!AI116),28,""))</f>
      </c>
      <c r="BD116" s="684">
        <f>COUNT($B116:$AB116)</f>
      </c>
      <c r="BE116" s="684">
        <f>IF($BD116&gt;=2,MIN($B116:$AB116),"")</f>
      </c>
      <c r="BF116" s="684">
        <f>IF($BD116&gt;=2,SMALL($B116:$AB116,2),"")</f>
      </c>
      <c r="BG116" s="684">
        <f>IF($BE116="","",INDEX(安値!$E116:$CZ116,1,$BE116+1))</f>
      </c>
      <c r="BH116" s="684">
        <f>IF($BF116="","",INDEX(安値!$E116:$CZ116,1,$BF116+1))</f>
      </c>
      <c r="BI116" s="684">
        <f>IF($BF116="","",MAX(INDEX(高値!$E116:$CZ116,1,$BE116+1):INDEX(高値!$E116:$CZ116,1,$BF116+1)))</f>
      </c>
      <c r="BJ116" s="684">
        <f>IF($BF116="","",AVERAGE(INDEX(終値!$E116:$CZ116,1,$BF116+1):INDEX(終値!$E116:$CZ116,1,$BF116+20))-2*STDEVP(INDEX(終値!$E116:$CZ116,1,$BF116+1):INDEX(終値!$E116:$CZ116,1,$BF116+20)))</f>
      </c>
      <c r="BK116" s="684">
        <f>IF($BE116="","",AVERAGE(INDEX(終値!$E116:$CZ116,1,$BE116+1):INDEX(終値!$E116:$CZ116,1,$BE116+20))-2*STDEVP(INDEX(終値!$E116:$CZ116,1,$BE116+1):INDEX(終値!$E116:$CZ116,1,$BE116+20)))</f>
      </c>
      <c r="BL116" s="684">
        <f>COUNT($AC116:$BC116)</f>
      </c>
      <c r="BM116" s="684">
        <f>IF($BL116&gt;=2,MIN($AC116:$BC116),"")</f>
      </c>
      <c r="BN116" s="684">
        <f>IF($BL116&gt;=2,SMALL($AC116:$BC116,2),"")</f>
      </c>
      <c r="BO116" s="684">
        <f>IF($BM116="","",INDEX(高値!$E116:$CZ116,1,$BM116+1))</f>
      </c>
      <c r="BP116" s="684">
        <f>IF($BN116="","",INDEX(高値!$E116:$CZ116,1,$BN116+1))</f>
      </c>
      <c r="BQ116" s="684">
        <f>IF($BN116="","",MIN(INDEX(安値!$E116:$CZ116,1,$BM116+1):INDEX(安値!$E116:$CZ116,1,$BN116+1)))</f>
      </c>
      <c r="BR116" s="684">
        <f>IF($BN116="","",AVERAGE(INDEX(終値!$E116:$CZ116,1,$BN116+1):INDEX(終値!$E116:$CZ116,1,$BN116+20))+2*STDEVP(INDEX(終値!$E116:$CZ116,1,$BN116+1):INDEX(終値!$E116:$CZ116,1,$BN116+20)))</f>
      </c>
      <c r="BS116" s="684">
        <f>IF($BM116="","",AVERAGE(INDEX(終値!$E116:$CZ116,1,$BM116+1):INDEX(終値!$E116:$CZ116,1,$BM116+20))+2*STDEVP(INDEX(終値!$E116:$CZ116,1,$BM116+1):INDEX(終値!$E116:$CZ116,1,$BM116+20)))</f>
      </c>
      <c r="BT116" s="681">
        <f>IFERROR(IF(AND($BD116&gt;=2,ABS($BG116-$BH116)/$BH116&lt;=BB設定!$B$12,$BI116&gt;=MAX($BH116,$BG116)*(1+BB設定!$B$13),終値!E116&gt;$BG116),IF(OR(終値!E116&gt;=$BI116,AND($BH116&lt;$BJ116,$BG116&gt;=$BK116)),"二番底W▲","二番底W形成"),IF(AND($BL116&gt;=2,ABS($BO116-$BP116)/$BP116&lt;=BB設定!$B$12,$BQ116&lt;=MIN($BP116,$BO116)*(1-BB設定!$B$13),終値!E116&lt;$BO116),IF(OR(終値!E116&lt;=$BQ116,AND($BP116&gt;$BR116,$BO116&lt;=$BS116)),"二番天井M▼","二番天井M形成"),"－")),"－")</f>
      </c>
    </row>
    <row r="117">
      <c r="B117" s="684">
        <f>IF(終値!A117="","",IF(AND(安値!G117&lt;安値!F117,安値!G117&lt;安値!E117,安値!G117&lt;安値!H117,安値!G117&lt;安値!I117),2,""))</f>
      </c>
      <c r="C117" s="684">
        <f>IF(終値!A117="","",IF(AND(安値!H117&lt;安値!G117,安値!H117&lt;安値!F117,安値!H117&lt;安値!I117,安値!H117&lt;安値!J117),3,""))</f>
      </c>
      <c r="D117" s="684">
        <f>IF(終値!A117="","",IF(AND(安値!I117&lt;安値!H117,安値!I117&lt;安値!G117,安値!I117&lt;安値!J117,安値!I117&lt;安値!K117),4,""))</f>
      </c>
      <c r="E117" s="684">
        <f>IF(終値!A117="","",IF(AND(安値!J117&lt;安値!I117,安値!J117&lt;安値!H117,安値!J117&lt;安値!K117,安値!J117&lt;安値!L117),5,""))</f>
      </c>
      <c r="F117" s="684">
        <f>IF(終値!A117="","",IF(AND(安値!K117&lt;安値!J117,安値!K117&lt;安値!I117,安値!K117&lt;安値!L117,安値!K117&lt;安値!M117),6,""))</f>
      </c>
      <c r="G117" s="684">
        <f>IF(終値!A117="","",IF(AND(安値!L117&lt;安値!K117,安値!L117&lt;安値!J117,安値!L117&lt;安値!M117,安値!L117&lt;安値!N117),7,""))</f>
      </c>
      <c r="H117" s="684">
        <f>IF(終値!A117="","",IF(AND(安値!M117&lt;安値!L117,安値!M117&lt;安値!K117,安値!M117&lt;安値!N117,安値!M117&lt;安値!O117),8,""))</f>
      </c>
      <c r="I117" s="684">
        <f>IF(終値!A117="","",IF(AND(安値!N117&lt;安値!M117,安値!N117&lt;安値!L117,安値!N117&lt;安値!O117,安値!N117&lt;安値!P117),9,""))</f>
      </c>
      <c r="J117" s="684">
        <f>IF(終値!A117="","",IF(AND(安値!O117&lt;安値!N117,安値!O117&lt;安値!M117,安値!O117&lt;安値!P117,安値!O117&lt;安値!Q117),10,""))</f>
      </c>
      <c r="K117" s="684">
        <f>IF(終値!A117="","",IF(AND(安値!P117&lt;安値!O117,安値!P117&lt;安値!N117,安値!P117&lt;安値!Q117,安値!P117&lt;安値!R117),11,""))</f>
      </c>
      <c r="L117" s="684">
        <f>IF(終値!A117="","",IF(AND(安値!Q117&lt;安値!P117,安値!Q117&lt;安値!O117,安値!Q117&lt;安値!R117,安値!Q117&lt;安値!S117),12,""))</f>
      </c>
      <c r="M117" s="684">
        <f>IF(終値!A117="","",IF(AND(安値!R117&lt;安値!Q117,安値!R117&lt;安値!P117,安値!R117&lt;安値!S117,安値!R117&lt;安値!T117),13,""))</f>
      </c>
      <c r="N117" s="684">
        <f>IF(終値!A117="","",IF(AND(安値!S117&lt;安値!R117,安値!S117&lt;安値!Q117,安値!S117&lt;安値!T117,安値!S117&lt;安値!U117),14,""))</f>
      </c>
      <c r="O117" s="684">
        <f>IF(終値!A117="","",IF(AND(安値!T117&lt;安値!S117,安値!T117&lt;安値!R117,安値!T117&lt;安値!U117,安値!T117&lt;安値!V117),15,""))</f>
      </c>
      <c r="P117" s="684">
        <f>IF(終値!A117="","",IF(AND(安値!U117&lt;安値!T117,安値!U117&lt;安値!S117,安値!U117&lt;安値!V117,安値!U117&lt;安値!W117),16,""))</f>
      </c>
      <c r="Q117" s="684">
        <f>IF(終値!A117="","",IF(AND(安値!V117&lt;安値!U117,安値!V117&lt;安値!T117,安値!V117&lt;安値!W117,安値!V117&lt;安値!X117),17,""))</f>
      </c>
      <c r="R117" s="684">
        <f>IF(終値!A117="","",IF(AND(安値!W117&lt;安値!V117,安値!W117&lt;安値!U117,安値!W117&lt;安値!X117,安値!W117&lt;安値!Y117),18,""))</f>
      </c>
      <c r="S117" s="684">
        <f>IF(終値!A117="","",IF(AND(安値!X117&lt;安値!W117,安値!X117&lt;安値!V117,安値!X117&lt;安値!Y117,安値!X117&lt;安値!Z117),19,""))</f>
      </c>
      <c r="T117" s="684">
        <f>IF(終値!A117="","",IF(AND(安値!Y117&lt;安値!X117,安値!Y117&lt;安値!W117,安値!Y117&lt;安値!Z117,安値!Y117&lt;安値!AA117),20,""))</f>
      </c>
      <c r="U117" s="684">
        <f>IF(終値!A117="","",IF(AND(安値!Z117&lt;安値!Y117,安値!Z117&lt;安値!X117,安値!Z117&lt;安値!AA117,安値!Z117&lt;安値!AB117),21,""))</f>
      </c>
      <c r="V117" s="684">
        <f>IF(終値!A117="","",IF(AND(安値!AA117&lt;安値!Z117,安値!AA117&lt;安値!Y117,安値!AA117&lt;安値!AB117,安値!AA117&lt;安値!AC117),22,""))</f>
      </c>
      <c r="W117" s="684">
        <f>IF(終値!A117="","",IF(AND(安値!AB117&lt;安値!AA117,安値!AB117&lt;安値!Z117,安値!AB117&lt;安値!AC117,安値!AB117&lt;安値!AD117),23,""))</f>
      </c>
      <c r="X117" s="684">
        <f>IF(終値!A117="","",IF(AND(安値!AC117&lt;安値!AB117,安値!AC117&lt;安値!AA117,安値!AC117&lt;安値!AD117,安値!AC117&lt;安値!AE117),24,""))</f>
      </c>
      <c r="Y117" s="684">
        <f>IF(終値!A117="","",IF(AND(安値!AD117&lt;安値!AC117,安値!AD117&lt;安値!AB117,安値!AD117&lt;安値!AE117,安値!AD117&lt;安値!AF117),25,""))</f>
      </c>
      <c r="Z117" s="684">
        <f>IF(終値!A117="","",IF(AND(安値!AE117&lt;安値!AD117,安値!AE117&lt;安値!AC117,安値!AE117&lt;安値!AF117,安値!AE117&lt;安値!AG117),26,""))</f>
      </c>
      <c r="AA117" s="684">
        <f>IF(終値!A117="","",IF(AND(安値!AF117&lt;安値!AE117,安値!AF117&lt;安値!AD117,安値!AF117&lt;安値!AG117,安値!AF117&lt;安値!AH117),27,""))</f>
      </c>
      <c r="AB117" s="684">
        <f>IF(終値!A117="","",IF(AND(安値!AG117&lt;安値!AF117,安値!AG117&lt;安値!AE117,安値!AG117&lt;安値!AH117,安値!AG117&lt;安値!AI117),28,""))</f>
      </c>
      <c r="AC117" s="684">
        <f>IF(終値!A117="","",IF(AND(高値!G117&gt;高値!F117,高値!G117&gt;高値!E117,高値!G117&gt;高値!H117,高値!G117&gt;高値!I117),2,""))</f>
      </c>
      <c r="AD117" s="684">
        <f>IF(終値!A117="","",IF(AND(高値!H117&gt;高値!G117,高値!H117&gt;高値!F117,高値!H117&gt;高値!I117,高値!H117&gt;高値!J117),3,""))</f>
      </c>
      <c r="AE117" s="684">
        <f>IF(終値!A117="","",IF(AND(高値!I117&gt;高値!H117,高値!I117&gt;高値!G117,高値!I117&gt;高値!J117,高値!I117&gt;高値!K117),4,""))</f>
      </c>
      <c r="AF117" s="684">
        <f>IF(終値!A117="","",IF(AND(高値!J117&gt;高値!I117,高値!J117&gt;高値!H117,高値!J117&gt;高値!K117,高値!J117&gt;高値!L117),5,""))</f>
      </c>
      <c r="AG117" s="684">
        <f>IF(終値!A117="","",IF(AND(高値!K117&gt;高値!J117,高値!K117&gt;高値!I117,高値!K117&gt;高値!L117,高値!K117&gt;高値!M117),6,""))</f>
      </c>
      <c r="AH117" s="684">
        <f>IF(終値!A117="","",IF(AND(高値!L117&gt;高値!K117,高値!L117&gt;高値!J117,高値!L117&gt;高値!M117,高値!L117&gt;高値!N117),7,""))</f>
      </c>
      <c r="AI117" s="684">
        <f>IF(終値!A117="","",IF(AND(高値!M117&gt;高値!L117,高値!M117&gt;高値!K117,高値!M117&gt;高値!N117,高値!M117&gt;高値!O117),8,""))</f>
      </c>
      <c r="AJ117" s="684">
        <f>IF(終値!A117="","",IF(AND(高値!N117&gt;高値!M117,高値!N117&gt;高値!L117,高値!N117&gt;高値!O117,高値!N117&gt;高値!P117),9,""))</f>
      </c>
      <c r="AK117" s="684">
        <f>IF(終値!A117="","",IF(AND(高値!O117&gt;高値!N117,高値!O117&gt;高値!M117,高値!O117&gt;高値!P117,高値!O117&gt;高値!Q117),10,""))</f>
      </c>
      <c r="AL117" s="684">
        <f>IF(終値!A117="","",IF(AND(高値!P117&gt;高値!O117,高値!P117&gt;高値!N117,高値!P117&gt;高値!Q117,高値!P117&gt;高値!R117),11,""))</f>
      </c>
      <c r="AM117" s="684">
        <f>IF(終値!A117="","",IF(AND(高値!Q117&gt;高値!P117,高値!Q117&gt;高値!O117,高値!Q117&gt;高値!R117,高値!Q117&gt;高値!S117),12,""))</f>
      </c>
      <c r="AN117" s="684">
        <f>IF(終値!A117="","",IF(AND(高値!R117&gt;高値!Q117,高値!R117&gt;高値!P117,高値!R117&gt;高値!S117,高値!R117&gt;高値!T117),13,""))</f>
      </c>
      <c r="AO117" s="684">
        <f>IF(終値!A117="","",IF(AND(高値!S117&gt;高値!R117,高値!S117&gt;高値!Q117,高値!S117&gt;高値!T117,高値!S117&gt;高値!U117),14,""))</f>
      </c>
      <c r="AP117" s="684">
        <f>IF(終値!A117="","",IF(AND(高値!T117&gt;高値!S117,高値!T117&gt;高値!R117,高値!T117&gt;高値!U117,高値!T117&gt;高値!V117),15,""))</f>
      </c>
      <c r="AQ117" s="684">
        <f>IF(終値!A117="","",IF(AND(高値!U117&gt;高値!T117,高値!U117&gt;高値!S117,高値!U117&gt;高値!V117,高値!U117&gt;高値!W117),16,""))</f>
      </c>
      <c r="AR117" s="684">
        <f>IF(終値!A117="","",IF(AND(高値!V117&gt;高値!U117,高値!V117&gt;高値!T117,高値!V117&gt;高値!W117,高値!V117&gt;高値!X117),17,""))</f>
      </c>
      <c r="AS117" s="684">
        <f>IF(終値!A117="","",IF(AND(高値!W117&gt;高値!V117,高値!W117&gt;高値!U117,高値!W117&gt;高値!X117,高値!W117&gt;高値!Y117),18,""))</f>
      </c>
      <c r="AT117" s="684">
        <f>IF(終値!A117="","",IF(AND(高値!X117&gt;高値!W117,高値!X117&gt;高値!V117,高値!X117&gt;高値!Y117,高値!X117&gt;高値!Z117),19,""))</f>
      </c>
      <c r="AU117" s="684">
        <f>IF(終値!A117="","",IF(AND(高値!Y117&gt;高値!X117,高値!Y117&gt;高値!W117,高値!Y117&gt;高値!Z117,高値!Y117&gt;高値!AA117),20,""))</f>
      </c>
      <c r="AV117" s="684">
        <f>IF(終値!A117="","",IF(AND(高値!Z117&gt;高値!Y117,高値!Z117&gt;高値!X117,高値!Z117&gt;高値!AA117,高値!Z117&gt;高値!AB117),21,""))</f>
      </c>
      <c r="AW117" s="684">
        <f>IF(終値!A117="","",IF(AND(高値!AA117&gt;高値!Z117,高値!AA117&gt;高値!Y117,高値!AA117&gt;高値!AB117,高値!AA117&gt;高値!AC117),22,""))</f>
      </c>
      <c r="AX117" s="684">
        <f>IF(終値!A117="","",IF(AND(高値!AB117&gt;高値!AA117,高値!AB117&gt;高値!Z117,高値!AB117&gt;高値!AC117,高値!AB117&gt;高値!AD117),23,""))</f>
      </c>
      <c r="AY117" s="684">
        <f>IF(終値!A117="","",IF(AND(高値!AC117&gt;高値!AB117,高値!AC117&gt;高値!AA117,高値!AC117&gt;高値!AD117,高値!AC117&gt;高値!AE117),24,""))</f>
      </c>
      <c r="AZ117" s="684">
        <f>IF(終値!A117="","",IF(AND(高値!AD117&gt;高値!AC117,高値!AD117&gt;高値!AB117,高値!AD117&gt;高値!AE117,高値!AD117&gt;高値!AF117),25,""))</f>
      </c>
      <c r="BA117" s="684">
        <f>IF(終値!A117="","",IF(AND(高値!AE117&gt;高値!AD117,高値!AE117&gt;高値!AC117,高値!AE117&gt;高値!AF117,高値!AE117&gt;高値!AG117),26,""))</f>
      </c>
      <c r="BB117" s="684">
        <f>IF(終値!A117="","",IF(AND(高値!AF117&gt;高値!AE117,高値!AF117&gt;高値!AD117,高値!AF117&gt;高値!AG117,高値!AF117&gt;高値!AH117),27,""))</f>
      </c>
      <c r="BC117" s="684">
        <f>IF(終値!A117="","",IF(AND(高値!AG117&gt;高値!AF117,高値!AG117&gt;高値!AE117,高値!AG117&gt;高値!AH117,高値!AG117&gt;高値!AI117),28,""))</f>
      </c>
      <c r="BD117" s="684">
        <f>COUNT($B117:$AB117)</f>
      </c>
      <c r="BE117" s="684">
        <f>IF($BD117&gt;=2,MIN($B117:$AB117),"")</f>
      </c>
      <c r="BF117" s="684">
        <f>IF($BD117&gt;=2,SMALL($B117:$AB117,2),"")</f>
      </c>
      <c r="BG117" s="684">
        <f>IF($BE117="","",INDEX(安値!$E117:$CZ117,1,$BE117+1))</f>
      </c>
      <c r="BH117" s="684">
        <f>IF($BF117="","",INDEX(安値!$E117:$CZ117,1,$BF117+1))</f>
      </c>
      <c r="BI117" s="684">
        <f>IF($BF117="","",MAX(INDEX(高値!$E117:$CZ117,1,$BE117+1):INDEX(高値!$E117:$CZ117,1,$BF117+1)))</f>
      </c>
      <c r="BJ117" s="684">
        <f>IF($BF117="","",AVERAGE(INDEX(終値!$E117:$CZ117,1,$BF117+1):INDEX(終値!$E117:$CZ117,1,$BF117+20))-2*STDEVP(INDEX(終値!$E117:$CZ117,1,$BF117+1):INDEX(終値!$E117:$CZ117,1,$BF117+20)))</f>
      </c>
      <c r="BK117" s="684">
        <f>IF($BE117="","",AVERAGE(INDEX(終値!$E117:$CZ117,1,$BE117+1):INDEX(終値!$E117:$CZ117,1,$BE117+20))-2*STDEVP(INDEX(終値!$E117:$CZ117,1,$BE117+1):INDEX(終値!$E117:$CZ117,1,$BE117+20)))</f>
      </c>
      <c r="BL117" s="684">
        <f>COUNT($AC117:$BC117)</f>
      </c>
      <c r="BM117" s="684">
        <f>IF($BL117&gt;=2,MIN($AC117:$BC117),"")</f>
      </c>
      <c r="BN117" s="684">
        <f>IF($BL117&gt;=2,SMALL($AC117:$BC117,2),"")</f>
      </c>
      <c r="BO117" s="684">
        <f>IF($BM117="","",INDEX(高値!$E117:$CZ117,1,$BM117+1))</f>
      </c>
      <c r="BP117" s="684">
        <f>IF($BN117="","",INDEX(高値!$E117:$CZ117,1,$BN117+1))</f>
      </c>
      <c r="BQ117" s="684">
        <f>IF($BN117="","",MIN(INDEX(安値!$E117:$CZ117,1,$BM117+1):INDEX(安値!$E117:$CZ117,1,$BN117+1)))</f>
      </c>
      <c r="BR117" s="684">
        <f>IF($BN117="","",AVERAGE(INDEX(終値!$E117:$CZ117,1,$BN117+1):INDEX(終値!$E117:$CZ117,1,$BN117+20))+2*STDEVP(INDEX(終値!$E117:$CZ117,1,$BN117+1):INDEX(終値!$E117:$CZ117,1,$BN117+20)))</f>
      </c>
      <c r="BS117" s="684">
        <f>IF($BM117="","",AVERAGE(INDEX(終値!$E117:$CZ117,1,$BM117+1):INDEX(終値!$E117:$CZ117,1,$BM117+20))+2*STDEVP(INDEX(終値!$E117:$CZ117,1,$BM117+1):INDEX(終値!$E117:$CZ117,1,$BM117+20)))</f>
      </c>
      <c r="BT117" s="681">
        <f>IFERROR(IF(AND($BD117&gt;=2,ABS($BG117-$BH117)/$BH117&lt;=BB設定!$B$12,$BI117&gt;=MAX($BH117,$BG117)*(1+BB設定!$B$13),終値!E117&gt;$BG117),IF(OR(終値!E117&gt;=$BI117,AND($BH117&lt;$BJ117,$BG117&gt;=$BK117)),"二番底W▲","二番底W形成"),IF(AND($BL117&gt;=2,ABS($BO117-$BP117)/$BP117&lt;=BB設定!$B$12,$BQ117&lt;=MIN($BP117,$BO117)*(1-BB設定!$B$13),終値!E117&lt;$BO117),IF(OR(終値!E117&lt;=$BQ117,AND($BP117&gt;$BR117,$BO117&lt;=$BS117)),"二番天井M▼","二番天井M形成"),"－")),"－")</f>
      </c>
    </row>
    <row r="118">
      <c r="B118" s="684">
        <f>IF(終値!A118="","",IF(AND(安値!G118&lt;安値!F118,安値!G118&lt;安値!E118,安値!G118&lt;安値!H118,安値!G118&lt;安値!I118),2,""))</f>
      </c>
      <c r="C118" s="684">
        <f>IF(終値!A118="","",IF(AND(安値!H118&lt;安値!G118,安値!H118&lt;安値!F118,安値!H118&lt;安値!I118,安値!H118&lt;安値!J118),3,""))</f>
      </c>
      <c r="D118" s="684">
        <f>IF(終値!A118="","",IF(AND(安値!I118&lt;安値!H118,安値!I118&lt;安値!G118,安値!I118&lt;安値!J118,安値!I118&lt;安値!K118),4,""))</f>
      </c>
      <c r="E118" s="684">
        <f>IF(終値!A118="","",IF(AND(安値!J118&lt;安値!I118,安値!J118&lt;安値!H118,安値!J118&lt;安値!K118,安値!J118&lt;安値!L118),5,""))</f>
      </c>
      <c r="F118" s="684">
        <f>IF(終値!A118="","",IF(AND(安値!K118&lt;安値!J118,安値!K118&lt;安値!I118,安値!K118&lt;安値!L118,安値!K118&lt;安値!M118),6,""))</f>
      </c>
      <c r="G118" s="684">
        <f>IF(終値!A118="","",IF(AND(安値!L118&lt;安値!K118,安値!L118&lt;安値!J118,安値!L118&lt;安値!M118,安値!L118&lt;安値!N118),7,""))</f>
      </c>
      <c r="H118" s="684">
        <f>IF(終値!A118="","",IF(AND(安値!M118&lt;安値!L118,安値!M118&lt;安値!K118,安値!M118&lt;安値!N118,安値!M118&lt;安値!O118),8,""))</f>
      </c>
      <c r="I118" s="684">
        <f>IF(終値!A118="","",IF(AND(安値!N118&lt;安値!M118,安値!N118&lt;安値!L118,安値!N118&lt;安値!O118,安値!N118&lt;安値!P118),9,""))</f>
      </c>
      <c r="J118" s="684">
        <f>IF(終値!A118="","",IF(AND(安値!O118&lt;安値!N118,安値!O118&lt;安値!M118,安値!O118&lt;安値!P118,安値!O118&lt;安値!Q118),10,""))</f>
      </c>
      <c r="K118" s="684">
        <f>IF(終値!A118="","",IF(AND(安値!P118&lt;安値!O118,安値!P118&lt;安値!N118,安値!P118&lt;安値!Q118,安値!P118&lt;安値!R118),11,""))</f>
      </c>
      <c r="L118" s="684">
        <f>IF(終値!A118="","",IF(AND(安値!Q118&lt;安値!P118,安値!Q118&lt;安値!O118,安値!Q118&lt;安値!R118,安値!Q118&lt;安値!S118),12,""))</f>
      </c>
      <c r="M118" s="684">
        <f>IF(終値!A118="","",IF(AND(安値!R118&lt;安値!Q118,安値!R118&lt;安値!P118,安値!R118&lt;安値!S118,安値!R118&lt;安値!T118),13,""))</f>
      </c>
      <c r="N118" s="684">
        <f>IF(終値!A118="","",IF(AND(安値!S118&lt;安値!R118,安値!S118&lt;安値!Q118,安値!S118&lt;安値!T118,安値!S118&lt;安値!U118),14,""))</f>
      </c>
      <c r="O118" s="684">
        <f>IF(終値!A118="","",IF(AND(安値!T118&lt;安値!S118,安値!T118&lt;安値!R118,安値!T118&lt;安値!U118,安値!T118&lt;安値!V118),15,""))</f>
      </c>
      <c r="P118" s="684">
        <f>IF(終値!A118="","",IF(AND(安値!U118&lt;安値!T118,安値!U118&lt;安値!S118,安値!U118&lt;安値!V118,安値!U118&lt;安値!W118),16,""))</f>
      </c>
      <c r="Q118" s="684">
        <f>IF(終値!A118="","",IF(AND(安値!V118&lt;安値!U118,安値!V118&lt;安値!T118,安値!V118&lt;安値!W118,安値!V118&lt;安値!X118),17,""))</f>
      </c>
      <c r="R118" s="684">
        <f>IF(終値!A118="","",IF(AND(安値!W118&lt;安値!V118,安値!W118&lt;安値!U118,安値!W118&lt;安値!X118,安値!W118&lt;安値!Y118),18,""))</f>
      </c>
      <c r="S118" s="684">
        <f>IF(終値!A118="","",IF(AND(安値!X118&lt;安値!W118,安値!X118&lt;安値!V118,安値!X118&lt;安値!Y118,安値!X118&lt;安値!Z118),19,""))</f>
      </c>
      <c r="T118" s="684">
        <f>IF(終値!A118="","",IF(AND(安値!Y118&lt;安値!X118,安値!Y118&lt;安値!W118,安値!Y118&lt;安値!Z118,安値!Y118&lt;安値!AA118),20,""))</f>
      </c>
      <c r="U118" s="684">
        <f>IF(終値!A118="","",IF(AND(安値!Z118&lt;安値!Y118,安値!Z118&lt;安値!X118,安値!Z118&lt;安値!AA118,安値!Z118&lt;安値!AB118),21,""))</f>
      </c>
      <c r="V118" s="684">
        <f>IF(終値!A118="","",IF(AND(安値!AA118&lt;安値!Z118,安値!AA118&lt;安値!Y118,安値!AA118&lt;安値!AB118,安値!AA118&lt;安値!AC118),22,""))</f>
      </c>
      <c r="W118" s="684">
        <f>IF(終値!A118="","",IF(AND(安値!AB118&lt;安値!AA118,安値!AB118&lt;安値!Z118,安値!AB118&lt;安値!AC118,安値!AB118&lt;安値!AD118),23,""))</f>
      </c>
      <c r="X118" s="684">
        <f>IF(終値!A118="","",IF(AND(安値!AC118&lt;安値!AB118,安値!AC118&lt;安値!AA118,安値!AC118&lt;安値!AD118,安値!AC118&lt;安値!AE118),24,""))</f>
      </c>
      <c r="Y118" s="684">
        <f>IF(終値!A118="","",IF(AND(安値!AD118&lt;安値!AC118,安値!AD118&lt;安値!AB118,安値!AD118&lt;安値!AE118,安値!AD118&lt;安値!AF118),25,""))</f>
      </c>
      <c r="Z118" s="684">
        <f>IF(終値!A118="","",IF(AND(安値!AE118&lt;安値!AD118,安値!AE118&lt;安値!AC118,安値!AE118&lt;安値!AF118,安値!AE118&lt;安値!AG118),26,""))</f>
      </c>
      <c r="AA118" s="684">
        <f>IF(終値!A118="","",IF(AND(安値!AF118&lt;安値!AE118,安値!AF118&lt;安値!AD118,安値!AF118&lt;安値!AG118,安値!AF118&lt;安値!AH118),27,""))</f>
      </c>
      <c r="AB118" s="684">
        <f>IF(終値!A118="","",IF(AND(安値!AG118&lt;安値!AF118,安値!AG118&lt;安値!AE118,安値!AG118&lt;安値!AH118,安値!AG118&lt;安値!AI118),28,""))</f>
      </c>
      <c r="AC118" s="684">
        <f>IF(終値!A118="","",IF(AND(高値!G118&gt;高値!F118,高値!G118&gt;高値!E118,高値!G118&gt;高値!H118,高値!G118&gt;高値!I118),2,""))</f>
      </c>
      <c r="AD118" s="684">
        <f>IF(終値!A118="","",IF(AND(高値!H118&gt;高値!G118,高値!H118&gt;高値!F118,高値!H118&gt;高値!I118,高値!H118&gt;高値!J118),3,""))</f>
      </c>
      <c r="AE118" s="684">
        <f>IF(終値!A118="","",IF(AND(高値!I118&gt;高値!H118,高値!I118&gt;高値!G118,高値!I118&gt;高値!J118,高値!I118&gt;高値!K118),4,""))</f>
      </c>
      <c r="AF118" s="684">
        <f>IF(終値!A118="","",IF(AND(高値!J118&gt;高値!I118,高値!J118&gt;高値!H118,高値!J118&gt;高値!K118,高値!J118&gt;高値!L118),5,""))</f>
      </c>
      <c r="AG118" s="684">
        <f>IF(終値!A118="","",IF(AND(高値!K118&gt;高値!J118,高値!K118&gt;高値!I118,高値!K118&gt;高値!L118,高値!K118&gt;高値!M118),6,""))</f>
      </c>
      <c r="AH118" s="684">
        <f>IF(終値!A118="","",IF(AND(高値!L118&gt;高値!K118,高値!L118&gt;高値!J118,高値!L118&gt;高値!M118,高値!L118&gt;高値!N118),7,""))</f>
      </c>
      <c r="AI118" s="684">
        <f>IF(終値!A118="","",IF(AND(高値!M118&gt;高値!L118,高値!M118&gt;高値!K118,高値!M118&gt;高値!N118,高値!M118&gt;高値!O118),8,""))</f>
      </c>
      <c r="AJ118" s="684">
        <f>IF(終値!A118="","",IF(AND(高値!N118&gt;高値!M118,高値!N118&gt;高値!L118,高値!N118&gt;高値!O118,高値!N118&gt;高値!P118),9,""))</f>
      </c>
      <c r="AK118" s="684">
        <f>IF(終値!A118="","",IF(AND(高値!O118&gt;高値!N118,高値!O118&gt;高値!M118,高値!O118&gt;高値!P118,高値!O118&gt;高値!Q118),10,""))</f>
      </c>
      <c r="AL118" s="684">
        <f>IF(終値!A118="","",IF(AND(高値!P118&gt;高値!O118,高値!P118&gt;高値!N118,高値!P118&gt;高値!Q118,高値!P118&gt;高値!R118),11,""))</f>
      </c>
      <c r="AM118" s="684">
        <f>IF(終値!A118="","",IF(AND(高値!Q118&gt;高値!P118,高値!Q118&gt;高値!O118,高値!Q118&gt;高値!R118,高値!Q118&gt;高値!S118),12,""))</f>
      </c>
      <c r="AN118" s="684">
        <f>IF(終値!A118="","",IF(AND(高値!R118&gt;高値!Q118,高値!R118&gt;高値!P118,高値!R118&gt;高値!S118,高値!R118&gt;高値!T118),13,""))</f>
      </c>
      <c r="AO118" s="684">
        <f>IF(終値!A118="","",IF(AND(高値!S118&gt;高値!R118,高値!S118&gt;高値!Q118,高値!S118&gt;高値!T118,高値!S118&gt;高値!U118),14,""))</f>
      </c>
      <c r="AP118" s="684">
        <f>IF(終値!A118="","",IF(AND(高値!T118&gt;高値!S118,高値!T118&gt;高値!R118,高値!T118&gt;高値!U118,高値!T118&gt;高値!V118),15,""))</f>
      </c>
      <c r="AQ118" s="684">
        <f>IF(終値!A118="","",IF(AND(高値!U118&gt;高値!T118,高値!U118&gt;高値!S118,高値!U118&gt;高値!V118,高値!U118&gt;高値!W118),16,""))</f>
      </c>
      <c r="AR118" s="684">
        <f>IF(終値!A118="","",IF(AND(高値!V118&gt;高値!U118,高値!V118&gt;高値!T118,高値!V118&gt;高値!W118,高値!V118&gt;高値!X118),17,""))</f>
      </c>
      <c r="AS118" s="684">
        <f>IF(終値!A118="","",IF(AND(高値!W118&gt;高値!V118,高値!W118&gt;高値!U118,高値!W118&gt;高値!X118,高値!W118&gt;高値!Y118),18,""))</f>
      </c>
      <c r="AT118" s="684">
        <f>IF(終値!A118="","",IF(AND(高値!X118&gt;高値!W118,高値!X118&gt;高値!V118,高値!X118&gt;高値!Y118,高値!X118&gt;高値!Z118),19,""))</f>
      </c>
      <c r="AU118" s="684">
        <f>IF(終値!A118="","",IF(AND(高値!Y118&gt;高値!X118,高値!Y118&gt;高値!W118,高値!Y118&gt;高値!Z118,高値!Y118&gt;高値!AA118),20,""))</f>
      </c>
      <c r="AV118" s="684">
        <f>IF(終値!A118="","",IF(AND(高値!Z118&gt;高値!Y118,高値!Z118&gt;高値!X118,高値!Z118&gt;高値!AA118,高値!Z118&gt;高値!AB118),21,""))</f>
      </c>
      <c r="AW118" s="684">
        <f>IF(終値!A118="","",IF(AND(高値!AA118&gt;高値!Z118,高値!AA118&gt;高値!Y118,高値!AA118&gt;高値!AB118,高値!AA118&gt;高値!AC118),22,""))</f>
      </c>
      <c r="AX118" s="684">
        <f>IF(終値!A118="","",IF(AND(高値!AB118&gt;高値!AA118,高値!AB118&gt;高値!Z118,高値!AB118&gt;高値!AC118,高値!AB118&gt;高値!AD118),23,""))</f>
      </c>
      <c r="AY118" s="684">
        <f>IF(終値!A118="","",IF(AND(高値!AC118&gt;高値!AB118,高値!AC118&gt;高値!AA118,高値!AC118&gt;高値!AD118,高値!AC118&gt;高値!AE118),24,""))</f>
      </c>
      <c r="AZ118" s="684">
        <f>IF(終値!A118="","",IF(AND(高値!AD118&gt;高値!AC118,高値!AD118&gt;高値!AB118,高値!AD118&gt;高値!AE118,高値!AD118&gt;高値!AF118),25,""))</f>
      </c>
      <c r="BA118" s="684">
        <f>IF(終値!A118="","",IF(AND(高値!AE118&gt;高値!AD118,高値!AE118&gt;高値!AC118,高値!AE118&gt;高値!AF118,高値!AE118&gt;高値!AG118),26,""))</f>
      </c>
      <c r="BB118" s="684">
        <f>IF(終値!A118="","",IF(AND(高値!AF118&gt;高値!AE118,高値!AF118&gt;高値!AD118,高値!AF118&gt;高値!AG118,高値!AF118&gt;高値!AH118),27,""))</f>
      </c>
      <c r="BC118" s="684">
        <f>IF(終値!A118="","",IF(AND(高値!AG118&gt;高値!AF118,高値!AG118&gt;高値!AE118,高値!AG118&gt;高値!AH118,高値!AG118&gt;高値!AI118),28,""))</f>
      </c>
      <c r="BD118" s="684">
        <f>COUNT($B118:$AB118)</f>
      </c>
      <c r="BE118" s="684">
        <f>IF($BD118&gt;=2,MIN($B118:$AB118),"")</f>
      </c>
      <c r="BF118" s="684">
        <f>IF($BD118&gt;=2,SMALL($B118:$AB118,2),"")</f>
      </c>
      <c r="BG118" s="684">
        <f>IF($BE118="","",INDEX(安値!$E118:$CZ118,1,$BE118+1))</f>
      </c>
      <c r="BH118" s="684">
        <f>IF($BF118="","",INDEX(安値!$E118:$CZ118,1,$BF118+1))</f>
      </c>
      <c r="BI118" s="684">
        <f>IF($BF118="","",MAX(INDEX(高値!$E118:$CZ118,1,$BE118+1):INDEX(高値!$E118:$CZ118,1,$BF118+1)))</f>
      </c>
      <c r="BJ118" s="684">
        <f>IF($BF118="","",AVERAGE(INDEX(終値!$E118:$CZ118,1,$BF118+1):INDEX(終値!$E118:$CZ118,1,$BF118+20))-2*STDEVP(INDEX(終値!$E118:$CZ118,1,$BF118+1):INDEX(終値!$E118:$CZ118,1,$BF118+20)))</f>
      </c>
      <c r="BK118" s="684">
        <f>IF($BE118="","",AVERAGE(INDEX(終値!$E118:$CZ118,1,$BE118+1):INDEX(終値!$E118:$CZ118,1,$BE118+20))-2*STDEVP(INDEX(終値!$E118:$CZ118,1,$BE118+1):INDEX(終値!$E118:$CZ118,1,$BE118+20)))</f>
      </c>
      <c r="BL118" s="684">
        <f>COUNT($AC118:$BC118)</f>
      </c>
      <c r="BM118" s="684">
        <f>IF($BL118&gt;=2,MIN($AC118:$BC118),"")</f>
      </c>
      <c r="BN118" s="684">
        <f>IF($BL118&gt;=2,SMALL($AC118:$BC118,2),"")</f>
      </c>
      <c r="BO118" s="684">
        <f>IF($BM118="","",INDEX(高値!$E118:$CZ118,1,$BM118+1))</f>
      </c>
      <c r="BP118" s="684">
        <f>IF($BN118="","",INDEX(高値!$E118:$CZ118,1,$BN118+1))</f>
      </c>
      <c r="BQ118" s="684">
        <f>IF($BN118="","",MIN(INDEX(安値!$E118:$CZ118,1,$BM118+1):INDEX(安値!$E118:$CZ118,1,$BN118+1)))</f>
      </c>
      <c r="BR118" s="684">
        <f>IF($BN118="","",AVERAGE(INDEX(終値!$E118:$CZ118,1,$BN118+1):INDEX(終値!$E118:$CZ118,1,$BN118+20))+2*STDEVP(INDEX(終値!$E118:$CZ118,1,$BN118+1):INDEX(終値!$E118:$CZ118,1,$BN118+20)))</f>
      </c>
      <c r="BS118" s="684">
        <f>IF($BM118="","",AVERAGE(INDEX(終値!$E118:$CZ118,1,$BM118+1):INDEX(終値!$E118:$CZ118,1,$BM118+20))+2*STDEVP(INDEX(終値!$E118:$CZ118,1,$BM118+1):INDEX(終値!$E118:$CZ118,1,$BM118+20)))</f>
      </c>
      <c r="BT118" s="681">
        <f>IFERROR(IF(AND($BD118&gt;=2,ABS($BG118-$BH118)/$BH118&lt;=BB設定!$B$12,$BI118&gt;=MAX($BH118,$BG118)*(1+BB設定!$B$13),終値!E118&gt;$BG118),IF(OR(終値!E118&gt;=$BI118,AND($BH118&lt;$BJ118,$BG118&gt;=$BK118)),"二番底W▲","二番底W形成"),IF(AND($BL118&gt;=2,ABS($BO118-$BP118)/$BP118&lt;=BB設定!$B$12,$BQ118&lt;=MIN($BP118,$BO118)*(1-BB設定!$B$13),終値!E118&lt;$BO118),IF(OR(終値!E118&lt;=$BQ118,AND($BP118&gt;$BR118,$BO118&lt;=$BS118)),"二番天井M▼","二番天井M形成"),"－")),"－")</f>
      </c>
    </row>
    <row r="119">
      <c r="B119" s="684">
        <f>IF(終値!A119="","",IF(AND(安値!G119&lt;安値!F119,安値!G119&lt;安値!E119,安値!G119&lt;安値!H119,安値!G119&lt;安値!I119),2,""))</f>
      </c>
      <c r="C119" s="684">
        <f>IF(終値!A119="","",IF(AND(安値!H119&lt;安値!G119,安値!H119&lt;安値!F119,安値!H119&lt;安値!I119,安値!H119&lt;安値!J119),3,""))</f>
      </c>
      <c r="D119" s="684">
        <f>IF(終値!A119="","",IF(AND(安値!I119&lt;安値!H119,安値!I119&lt;安値!G119,安値!I119&lt;安値!J119,安値!I119&lt;安値!K119),4,""))</f>
      </c>
      <c r="E119" s="684">
        <f>IF(終値!A119="","",IF(AND(安値!J119&lt;安値!I119,安値!J119&lt;安値!H119,安値!J119&lt;安値!K119,安値!J119&lt;安値!L119),5,""))</f>
      </c>
      <c r="F119" s="684">
        <f>IF(終値!A119="","",IF(AND(安値!K119&lt;安値!J119,安値!K119&lt;安値!I119,安値!K119&lt;安値!L119,安値!K119&lt;安値!M119),6,""))</f>
      </c>
      <c r="G119" s="684">
        <f>IF(終値!A119="","",IF(AND(安値!L119&lt;安値!K119,安値!L119&lt;安値!J119,安値!L119&lt;安値!M119,安値!L119&lt;安値!N119),7,""))</f>
      </c>
      <c r="H119" s="684">
        <f>IF(終値!A119="","",IF(AND(安値!M119&lt;安値!L119,安値!M119&lt;安値!K119,安値!M119&lt;安値!N119,安値!M119&lt;安値!O119),8,""))</f>
      </c>
      <c r="I119" s="684">
        <f>IF(終値!A119="","",IF(AND(安値!N119&lt;安値!M119,安値!N119&lt;安値!L119,安値!N119&lt;安値!O119,安値!N119&lt;安値!P119),9,""))</f>
      </c>
      <c r="J119" s="684">
        <f>IF(終値!A119="","",IF(AND(安値!O119&lt;安値!N119,安値!O119&lt;安値!M119,安値!O119&lt;安値!P119,安値!O119&lt;安値!Q119),10,""))</f>
      </c>
      <c r="K119" s="684">
        <f>IF(終値!A119="","",IF(AND(安値!P119&lt;安値!O119,安値!P119&lt;安値!N119,安値!P119&lt;安値!Q119,安値!P119&lt;安値!R119),11,""))</f>
      </c>
      <c r="L119" s="684">
        <f>IF(終値!A119="","",IF(AND(安値!Q119&lt;安値!P119,安値!Q119&lt;安値!O119,安値!Q119&lt;安値!R119,安値!Q119&lt;安値!S119),12,""))</f>
      </c>
      <c r="M119" s="684">
        <f>IF(終値!A119="","",IF(AND(安値!R119&lt;安値!Q119,安値!R119&lt;安値!P119,安値!R119&lt;安値!S119,安値!R119&lt;安値!T119),13,""))</f>
      </c>
      <c r="N119" s="684">
        <f>IF(終値!A119="","",IF(AND(安値!S119&lt;安値!R119,安値!S119&lt;安値!Q119,安値!S119&lt;安値!T119,安値!S119&lt;安値!U119),14,""))</f>
      </c>
      <c r="O119" s="684">
        <f>IF(終値!A119="","",IF(AND(安値!T119&lt;安値!S119,安値!T119&lt;安値!R119,安値!T119&lt;安値!U119,安値!T119&lt;安値!V119),15,""))</f>
      </c>
      <c r="P119" s="684">
        <f>IF(終値!A119="","",IF(AND(安値!U119&lt;安値!T119,安値!U119&lt;安値!S119,安値!U119&lt;安値!V119,安値!U119&lt;安値!W119),16,""))</f>
      </c>
      <c r="Q119" s="684">
        <f>IF(終値!A119="","",IF(AND(安値!V119&lt;安値!U119,安値!V119&lt;安値!T119,安値!V119&lt;安値!W119,安値!V119&lt;安値!X119),17,""))</f>
      </c>
      <c r="R119" s="684">
        <f>IF(終値!A119="","",IF(AND(安値!W119&lt;安値!V119,安値!W119&lt;安値!U119,安値!W119&lt;安値!X119,安値!W119&lt;安値!Y119),18,""))</f>
      </c>
      <c r="S119" s="684">
        <f>IF(終値!A119="","",IF(AND(安値!X119&lt;安値!W119,安値!X119&lt;安値!V119,安値!X119&lt;安値!Y119,安値!X119&lt;安値!Z119),19,""))</f>
      </c>
      <c r="T119" s="684">
        <f>IF(終値!A119="","",IF(AND(安値!Y119&lt;安値!X119,安値!Y119&lt;安値!W119,安値!Y119&lt;安値!Z119,安値!Y119&lt;安値!AA119),20,""))</f>
      </c>
      <c r="U119" s="684">
        <f>IF(終値!A119="","",IF(AND(安値!Z119&lt;安値!Y119,安値!Z119&lt;安値!X119,安値!Z119&lt;安値!AA119,安値!Z119&lt;安値!AB119),21,""))</f>
      </c>
      <c r="V119" s="684">
        <f>IF(終値!A119="","",IF(AND(安値!AA119&lt;安値!Z119,安値!AA119&lt;安値!Y119,安値!AA119&lt;安値!AB119,安値!AA119&lt;安値!AC119),22,""))</f>
      </c>
      <c r="W119" s="684">
        <f>IF(終値!A119="","",IF(AND(安値!AB119&lt;安値!AA119,安値!AB119&lt;安値!Z119,安値!AB119&lt;安値!AC119,安値!AB119&lt;安値!AD119),23,""))</f>
      </c>
      <c r="X119" s="684">
        <f>IF(終値!A119="","",IF(AND(安値!AC119&lt;安値!AB119,安値!AC119&lt;安値!AA119,安値!AC119&lt;安値!AD119,安値!AC119&lt;安値!AE119),24,""))</f>
      </c>
      <c r="Y119" s="684">
        <f>IF(終値!A119="","",IF(AND(安値!AD119&lt;安値!AC119,安値!AD119&lt;安値!AB119,安値!AD119&lt;安値!AE119,安値!AD119&lt;安値!AF119),25,""))</f>
      </c>
      <c r="Z119" s="684">
        <f>IF(終値!A119="","",IF(AND(安値!AE119&lt;安値!AD119,安値!AE119&lt;安値!AC119,安値!AE119&lt;安値!AF119,安値!AE119&lt;安値!AG119),26,""))</f>
      </c>
      <c r="AA119" s="684">
        <f>IF(終値!A119="","",IF(AND(安値!AF119&lt;安値!AE119,安値!AF119&lt;安値!AD119,安値!AF119&lt;安値!AG119,安値!AF119&lt;安値!AH119),27,""))</f>
      </c>
      <c r="AB119" s="684">
        <f>IF(終値!A119="","",IF(AND(安値!AG119&lt;安値!AF119,安値!AG119&lt;安値!AE119,安値!AG119&lt;安値!AH119,安値!AG119&lt;安値!AI119),28,""))</f>
      </c>
      <c r="AC119" s="684">
        <f>IF(終値!A119="","",IF(AND(高値!G119&gt;高値!F119,高値!G119&gt;高値!E119,高値!G119&gt;高値!H119,高値!G119&gt;高値!I119),2,""))</f>
      </c>
      <c r="AD119" s="684">
        <f>IF(終値!A119="","",IF(AND(高値!H119&gt;高値!G119,高値!H119&gt;高値!F119,高値!H119&gt;高値!I119,高値!H119&gt;高値!J119),3,""))</f>
      </c>
      <c r="AE119" s="684">
        <f>IF(終値!A119="","",IF(AND(高値!I119&gt;高値!H119,高値!I119&gt;高値!G119,高値!I119&gt;高値!J119,高値!I119&gt;高値!K119),4,""))</f>
      </c>
      <c r="AF119" s="684">
        <f>IF(終値!A119="","",IF(AND(高値!J119&gt;高値!I119,高値!J119&gt;高値!H119,高値!J119&gt;高値!K119,高値!J119&gt;高値!L119),5,""))</f>
      </c>
      <c r="AG119" s="684">
        <f>IF(終値!A119="","",IF(AND(高値!K119&gt;高値!J119,高値!K119&gt;高値!I119,高値!K119&gt;高値!L119,高値!K119&gt;高値!M119),6,""))</f>
      </c>
      <c r="AH119" s="684">
        <f>IF(終値!A119="","",IF(AND(高値!L119&gt;高値!K119,高値!L119&gt;高値!J119,高値!L119&gt;高値!M119,高値!L119&gt;高値!N119),7,""))</f>
      </c>
      <c r="AI119" s="684">
        <f>IF(終値!A119="","",IF(AND(高値!M119&gt;高値!L119,高値!M119&gt;高値!K119,高値!M119&gt;高値!N119,高値!M119&gt;高値!O119),8,""))</f>
      </c>
      <c r="AJ119" s="684">
        <f>IF(終値!A119="","",IF(AND(高値!N119&gt;高値!M119,高値!N119&gt;高値!L119,高値!N119&gt;高値!O119,高値!N119&gt;高値!P119),9,""))</f>
      </c>
      <c r="AK119" s="684">
        <f>IF(終値!A119="","",IF(AND(高値!O119&gt;高値!N119,高値!O119&gt;高値!M119,高値!O119&gt;高値!P119,高値!O119&gt;高値!Q119),10,""))</f>
      </c>
      <c r="AL119" s="684">
        <f>IF(終値!A119="","",IF(AND(高値!P119&gt;高値!O119,高値!P119&gt;高値!N119,高値!P119&gt;高値!Q119,高値!P119&gt;高値!R119),11,""))</f>
      </c>
      <c r="AM119" s="684">
        <f>IF(終値!A119="","",IF(AND(高値!Q119&gt;高値!P119,高値!Q119&gt;高値!O119,高値!Q119&gt;高値!R119,高値!Q119&gt;高値!S119),12,""))</f>
      </c>
      <c r="AN119" s="684">
        <f>IF(終値!A119="","",IF(AND(高値!R119&gt;高値!Q119,高値!R119&gt;高値!P119,高値!R119&gt;高値!S119,高値!R119&gt;高値!T119),13,""))</f>
      </c>
      <c r="AO119" s="684">
        <f>IF(終値!A119="","",IF(AND(高値!S119&gt;高値!R119,高値!S119&gt;高値!Q119,高値!S119&gt;高値!T119,高値!S119&gt;高値!U119),14,""))</f>
      </c>
      <c r="AP119" s="684">
        <f>IF(終値!A119="","",IF(AND(高値!T119&gt;高値!S119,高値!T119&gt;高値!R119,高値!T119&gt;高値!U119,高値!T119&gt;高値!V119),15,""))</f>
      </c>
      <c r="AQ119" s="684">
        <f>IF(終値!A119="","",IF(AND(高値!U119&gt;高値!T119,高値!U119&gt;高値!S119,高値!U119&gt;高値!V119,高値!U119&gt;高値!W119),16,""))</f>
      </c>
      <c r="AR119" s="684">
        <f>IF(終値!A119="","",IF(AND(高値!V119&gt;高値!U119,高値!V119&gt;高値!T119,高値!V119&gt;高値!W119,高値!V119&gt;高値!X119),17,""))</f>
      </c>
      <c r="AS119" s="684">
        <f>IF(終値!A119="","",IF(AND(高値!W119&gt;高値!V119,高値!W119&gt;高値!U119,高値!W119&gt;高値!X119,高値!W119&gt;高値!Y119),18,""))</f>
      </c>
      <c r="AT119" s="684">
        <f>IF(終値!A119="","",IF(AND(高値!X119&gt;高値!W119,高値!X119&gt;高値!V119,高値!X119&gt;高値!Y119,高値!X119&gt;高値!Z119),19,""))</f>
      </c>
      <c r="AU119" s="684">
        <f>IF(終値!A119="","",IF(AND(高値!Y119&gt;高値!X119,高値!Y119&gt;高値!W119,高値!Y119&gt;高値!Z119,高値!Y119&gt;高値!AA119),20,""))</f>
      </c>
      <c r="AV119" s="684">
        <f>IF(終値!A119="","",IF(AND(高値!Z119&gt;高値!Y119,高値!Z119&gt;高値!X119,高値!Z119&gt;高値!AA119,高値!Z119&gt;高値!AB119),21,""))</f>
      </c>
      <c r="AW119" s="684">
        <f>IF(終値!A119="","",IF(AND(高値!AA119&gt;高値!Z119,高値!AA119&gt;高値!Y119,高値!AA119&gt;高値!AB119,高値!AA119&gt;高値!AC119),22,""))</f>
      </c>
      <c r="AX119" s="684">
        <f>IF(終値!A119="","",IF(AND(高値!AB119&gt;高値!AA119,高値!AB119&gt;高値!Z119,高値!AB119&gt;高値!AC119,高値!AB119&gt;高値!AD119),23,""))</f>
      </c>
      <c r="AY119" s="684">
        <f>IF(終値!A119="","",IF(AND(高値!AC119&gt;高値!AB119,高値!AC119&gt;高値!AA119,高値!AC119&gt;高値!AD119,高値!AC119&gt;高値!AE119),24,""))</f>
      </c>
      <c r="AZ119" s="684">
        <f>IF(終値!A119="","",IF(AND(高値!AD119&gt;高値!AC119,高値!AD119&gt;高値!AB119,高値!AD119&gt;高値!AE119,高値!AD119&gt;高値!AF119),25,""))</f>
      </c>
      <c r="BA119" s="684">
        <f>IF(終値!A119="","",IF(AND(高値!AE119&gt;高値!AD119,高値!AE119&gt;高値!AC119,高値!AE119&gt;高値!AF119,高値!AE119&gt;高値!AG119),26,""))</f>
      </c>
      <c r="BB119" s="684">
        <f>IF(終値!A119="","",IF(AND(高値!AF119&gt;高値!AE119,高値!AF119&gt;高値!AD119,高値!AF119&gt;高値!AG119,高値!AF119&gt;高値!AH119),27,""))</f>
      </c>
      <c r="BC119" s="684">
        <f>IF(終値!A119="","",IF(AND(高値!AG119&gt;高値!AF119,高値!AG119&gt;高値!AE119,高値!AG119&gt;高値!AH119,高値!AG119&gt;高値!AI119),28,""))</f>
      </c>
      <c r="BD119" s="684">
        <f>COUNT($B119:$AB119)</f>
      </c>
      <c r="BE119" s="684">
        <f>IF($BD119&gt;=2,MIN($B119:$AB119),"")</f>
      </c>
      <c r="BF119" s="684">
        <f>IF($BD119&gt;=2,SMALL($B119:$AB119,2),"")</f>
      </c>
      <c r="BG119" s="684">
        <f>IF($BE119="","",INDEX(安値!$E119:$CZ119,1,$BE119+1))</f>
      </c>
      <c r="BH119" s="684">
        <f>IF($BF119="","",INDEX(安値!$E119:$CZ119,1,$BF119+1))</f>
      </c>
      <c r="BI119" s="684">
        <f>IF($BF119="","",MAX(INDEX(高値!$E119:$CZ119,1,$BE119+1):INDEX(高値!$E119:$CZ119,1,$BF119+1)))</f>
      </c>
      <c r="BJ119" s="684">
        <f>IF($BF119="","",AVERAGE(INDEX(終値!$E119:$CZ119,1,$BF119+1):INDEX(終値!$E119:$CZ119,1,$BF119+20))-2*STDEVP(INDEX(終値!$E119:$CZ119,1,$BF119+1):INDEX(終値!$E119:$CZ119,1,$BF119+20)))</f>
      </c>
      <c r="BK119" s="684">
        <f>IF($BE119="","",AVERAGE(INDEX(終値!$E119:$CZ119,1,$BE119+1):INDEX(終値!$E119:$CZ119,1,$BE119+20))-2*STDEVP(INDEX(終値!$E119:$CZ119,1,$BE119+1):INDEX(終値!$E119:$CZ119,1,$BE119+20)))</f>
      </c>
      <c r="BL119" s="684">
        <f>COUNT($AC119:$BC119)</f>
      </c>
      <c r="BM119" s="684">
        <f>IF($BL119&gt;=2,MIN($AC119:$BC119),"")</f>
      </c>
      <c r="BN119" s="684">
        <f>IF($BL119&gt;=2,SMALL($AC119:$BC119,2),"")</f>
      </c>
      <c r="BO119" s="684">
        <f>IF($BM119="","",INDEX(高値!$E119:$CZ119,1,$BM119+1))</f>
      </c>
      <c r="BP119" s="684">
        <f>IF($BN119="","",INDEX(高値!$E119:$CZ119,1,$BN119+1))</f>
      </c>
      <c r="BQ119" s="684">
        <f>IF($BN119="","",MIN(INDEX(安値!$E119:$CZ119,1,$BM119+1):INDEX(安値!$E119:$CZ119,1,$BN119+1)))</f>
      </c>
      <c r="BR119" s="684">
        <f>IF($BN119="","",AVERAGE(INDEX(終値!$E119:$CZ119,1,$BN119+1):INDEX(終値!$E119:$CZ119,1,$BN119+20))+2*STDEVP(INDEX(終値!$E119:$CZ119,1,$BN119+1):INDEX(終値!$E119:$CZ119,1,$BN119+20)))</f>
      </c>
      <c r="BS119" s="684">
        <f>IF($BM119="","",AVERAGE(INDEX(終値!$E119:$CZ119,1,$BM119+1):INDEX(終値!$E119:$CZ119,1,$BM119+20))+2*STDEVP(INDEX(終値!$E119:$CZ119,1,$BM119+1):INDEX(終値!$E119:$CZ119,1,$BM119+20)))</f>
      </c>
      <c r="BT119" s="681">
        <f>IFERROR(IF(AND($BD119&gt;=2,ABS($BG119-$BH119)/$BH119&lt;=BB設定!$B$12,$BI119&gt;=MAX($BH119,$BG119)*(1+BB設定!$B$13),終値!E119&gt;$BG119),IF(OR(終値!E119&gt;=$BI119,AND($BH119&lt;$BJ119,$BG119&gt;=$BK119)),"二番底W▲","二番底W形成"),IF(AND($BL119&gt;=2,ABS($BO119-$BP119)/$BP119&lt;=BB設定!$B$12,$BQ119&lt;=MIN($BP119,$BO119)*(1-BB設定!$B$13),終値!E119&lt;$BO119),IF(OR(終値!E119&lt;=$BQ119,AND($BP119&gt;$BR119,$BO119&lt;=$BS119)),"二番天井M▼","二番天井M形成"),"－")),"－")</f>
      </c>
    </row>
    <row r="120">
      <c r="B120" s="684">
        <f>IF(終値!A120="","",IF(AND(安値!G120&lt;安値!F120,安値!G120&lt;安値!E120,安値!G120&lt;安値!H120,安値!G120&lt;安値!I120),2,""))</f>
      </c>
      <c r="C120" s="684">
        <f>IF(終値!A120="","",IF(AND(安値!H120&lt;安値!G120,安値!H120&lt;安値!F120,安値!H120&lt;安値!I120,安値!H120&lt;安値!J120),3,""))</f>
      </c>
      <c r="D120" s="684">
        <f>IF(終値!A120="","",IF(AND(安値!I120&lt;安値!H120,安値!I120&lt;安値!G120,安値!I120&lt;安値!J120,安値!I120&lt;安値!K120),4,""))</f>
      </c>
      <c r="E120" s="684">
        <f>IF(終値!A120="","",IF(AND(安値!J120&lt;安値!I120,安値!J120&lt;安値!H120,安値!J120&lt;安値!K120,安値!J120&lt;安値!L120),5,""))</f>
      </c>
      <c r="F120" s="684">
        <f>IF(終値!A120="","",IF(AND(安値!K120&lt;安値!J120,安値!K120&lt;安値!I120,安値!K120&lt;安値!L120,安値!K120&lt;安値!M120),6,""))</f>
      </c>
      <c r="G120" s="684">
        <f>IF(終値!A120="","",IF(AND(安値!L120&lt;安値!K120,安値!L120&lt;安値!J120,安値!L120&lt;安値!M120,安値!L120&lt;安値!N120),7,""))</f>
      </c>
      <c r="H120" s="684">
        <f>IF(終値!A120="","",IF(AND(安値!M120&lt;安値!L120,安値!M120&lt;安値!K120,安値!M120&lt;安値!N120,安値!M120&lt;安値!O120),8,""))</f>
      </c>
      <c r="I120" s="684">
        <f>IF(終値!A120="","",IF(AND(安値!N120&lt;安値!M120,安値!N120&lt;安値!L120,安値!N120&lt;安値!O120,安値!N120&lt;安値!P120),9,""))</f>
      </c>
      <c r="J120" s="684">
        <f>IF(終値!A120="","",IF(AND(安値!O120&lt;安値!N120,安値!O120&lt;安値!M120,安値!O120&lt;安値!P120,安値!O120&lt;安値!Q120),10,""))</f>
      </c>
      <c r="K120" s="684">
        <f>IF(終値!A120="","",IF(AND(安値!P120&lt;安値!O120,安値!P120&lt;安値!N120,安値!P120&lt;安値!Q120,安値!P120&lt;安値!R120),11,""))</f>
      </c>
      <c r="L120" s="684">
        <f>IF(終値!A120="","",IF(AND(安値!Q120&lt;安値!P120,安値!Q120&lt;安値!O120,安値!Q120&lt;安値!R120,安値!Q120&lt;安値!S120),12,""))</f>
      </c>
      <c r="M120" s="684">
        <f>IF(終値!A120="","",IF(AND(安値!R120&lt;安値!Q120,安値!R120&lt;安値!P120,安値!R120&lt;安値!S120,安値!R120&lt;安値!T120),13,""))</f>
      </c>
      <c r="N120" s="684">
        <f>IF(終値!A120="","",IF(AND(安値!S120&lt;安値!R120,安値!S120&lt;安値!Q120,安値!S120&lt;安値!T120,安値!S120&lt;安値!U120),14,""))</f>
      </c>
      <c r="O120" s="684">
        <f>IF(終値!A120="","",IF(AND(安値!T120&lt;安値!S120,安値!T120&lt;安値!R120,安値!T120&lt;安値!U120,安値!T120&lt;安値!V120),15,""))</f>
      </c>
      <c r="P120" s="684">
        <f>IF(終値!A120="","",IF(AND(安値!U120&lt;安値!T120,安値!U120&lt;安値!S120,安値!U120&lt;安値!V120,安値!U120&lt;安値!W120),16,""))</f>
      </c>
      <c r="Q120" s="684">
        <f>IF(終値!A120="","",IF(AND(安値!V120&lt;安値!U120,安値!V120&lt;安値!T120,安値!V120&lt;安値!W120,安値!V120&lt;安値!X120),17,""))</f>
      </c>
      <c r="R120" s="684">
        <f>IF(終値!A120="","",IF(AND(安値!W120&lt;安値!V120,安値!W120&lt;安値!U120,安値!W120&lt;安値!X120,安値!W120&lt;安値!Y120),18,""))</f>
      </c>
      <c r="S120" s="684">
        <f>IF(終値!A120="","",IF(AND(安値!X120&lt;安値!W120,安値!X120&lt;安値!V120,安値!X120&lt;安値!Y120,安値!X120&lt;安値!Z120),19,""))</f>
      </c>
      <c r="T120" s="684">
        <f>IF(終値!A120="","",IF(AND(安値!Y120&lt;安値!X120,安値!Y120&lt;安値!W120,安値!Y120&lt;安値!Z120,安値!Y120&lt;安値!AA120),20,""))</f>
      </c>
      <c r="U120" s="684">
        <f>IF(終値!A120="","",IF(AND(安値!Z120&lt;安値!Y120,安値!Z120&lt;安値!X120,安値!Z120&lt;安値!AA120,安値!Z120&lt;安値!AB120),21,""))</f>
      </c>
      <c r="V120" s="684">
        <f>IF(終値!A120="","",IF(AND(安値!AA120&lt;安値!Z120,安値!AA120&lt;安値!Y120,安値!AA120&lt;安値!AB120,安値!AA120&lt;安値!AC120),22,""))</f>
      </c>
      <c r="W120" s="684">
        <f>IF(終値!A120="","",IF(AND(安値!AB120&lt;安値!AA120,安値!AB120&lt;安値!Z120,安値!AB120&lt;安値!AC120,安値!AB120&lt;安値!AD120),23,""))</f>
      </c>
      <c r="X120" s="684">
        <f>IF(終値!A120="","",IF(AND(安値!AC120&lt;安値!AB120,安値!AC120&lt;安値!AA120,安値!AC120&lt;安値!AD120,安値!AC120&lt;安値!AE120),24,""))</f>
      </c>
      <c r="Y120" s="684">
        <f>IF(終値!A120="","",IF(AND(安値!AD120&lt;安値!AC120,安値!AD120&lt;安値!AB120,安値!AD120&lt;安値!AE120,安値!AD120&lt;安値!AF120),25,""))</f>
      </c>
      <c r="Z120" s="684">
        <f>IF(終値!A120="","",IF(AND(安値!AE120&lt;安値!AD120,安値!AE120&lt;安値!AC120,安値!AE120&lt;安値!AF120,安値!AE120&lt;安値!AG120),26,""))</f>
      </c>
      <c r="AA120" s="684">
        <f>IF(終値!A120="","",IF(AND(安値!AF120&lt;安値!AE120,安値!AF120&lt;安値!AD120,安値!AF120&lt;安値!AG120,安値!AF120&lt;安値!AH120),27,""))</f>
      </c>
      <c r="AB120" s="684">
        <f>IF(終値!A120="","",IF(AND(安値!AG120&lt;安値!AF120,安値!AG120&lt;安値!AE120,安値!AG120&lt;安値!AH120,安値!AG120&lt;安値!AI120),28,""))</f>
      </c>
      <c r="AC120" s="684">
        <f>IF(終値!A120="","",IF(AND(高値!G120&gt;高値!F120,高値!G120&gt;高値!E120,高値!G120&gt;高値!H120,高値!G120&gt;高値!I120),2,""))</f>
      </c>
      <c r="AD120" s="684">
        <f>IF(終値!A120="","",IF(AND(高値!H120&gt;高値!G120,高値!H120&gt;高値!F120,高値!H120&gt;高値!I120,高値!H120&gt;高値!J120),3,""))</f>
      </c>
      <c r="AE120" s="684">
        <f>IF(終値!A120="","",IF(AND(高値!I120&gt;高値!H120,高値!I120&gt;高値!G120,高値!I120&gt;高値!J120,高値!I120&gt;高値!K120),4,""))</f>
      </c>
      <c r="AF120" s="684">
        <f>IF(終値!A120="","",IF(AND(高値!J120&gt;高値!I120,高値!J120&gt;高値!H120,高値!J120&gt;高値!K120,高値!J120&gt;高値!L120),5,""))</f>
      </c>
      <c r="AG120" s="684">
        <f>IF(終値!A120="","",IF(AND(高値!K120&gt;高値!J120,高値!K120&gt;高値!I120,高値!K120&gt;高値!L120,高値!K120&gt;高値!M120),6,""))</f>
      </c>
      <c r="AH120" s="684">
        <f>IF(終値!A120="","",IF(AND(高値!L120&gt;高値!K120,高値!L120&gt;高値!J120,高値!L120&gt;高値!M120,高値!L120&gt;高値!N120),7,""))</f>
      </c>
      <c r="AI120" s="684">
        <f>IF(終値!A120="","",IF(AND(高値!M120&gt;高値!L120,高値!M120&gt;高値!K120,高値!M120&gt;高値!N120,高値!M120&gt;高値!O120),8,""))</f>
      </c>
      <c r="AJ120" s="684">
        <f>IF(終値!A120="","",IF(AND(高値!N120&gt;高値!M120,高値!N120&gt;高値!L120,高値!N120&gt;高値!O120,高値!N120&gt;高値!P120),9,""))</f>
      </c>
      <c r="AK120" s="684">
        <f>IF(終値!A120="","",IF(AND(高値!O120&gt;高値!N120,高値!O120&gt;高値!M120,高値!O120&gt;高値!P120,高値!O120&gt;高値!Q120),10,""))</f>
      </c>
      <c r="AL120" s="684">
        <f>IF(終値!A120="","",IF(AND(高値!P120&gt;高値!O120,高値!P120&gt;高値!N120,高値!P120&gt;高値!Q120,高値!P120&gt;高値!R120),11,""))</f>
      </c>
      <c r="AM120" s="684">
        <f>IF(終値!A120="","",IF(AND(高値!Q120&gt;高値!P120,高値!Q120&gt;高値!O120,高値!Q120&gt;高値!R120,高値!Q120&gt;高値!S120),12,""))</f>
      </c>
      <c r="AN120" s="684">
        <f>IF(終値!A120="","",IF(AND(高値!R120&gt;高値!Q120,高値!R120&gt;高値!P120,高値!R120&gt;高値!S120,高値!R120&gt;高値!T120),13,""))</f>
      </c>
      <c r="AO120" s="684">
        <f>IF(終値!A120="","",IF(AND(高値!S120&gt;高値!R120,高値!S120&gt;高値!Q120,高値!S120&gt;高値!T120,高値!S120&gt;高値!U120),14,""))</f>
      </c>
      <c r="AP120" s="684">
        <f>IF(終値!A120="","",IF(AND(高値!T120&gt;高値!S120,高値!T120&gt;高値!R120,高値!T120&gt;高値!U120,高値!T120&gt;高値!V120),15,""))</f>
      </c>
      <c r="AQ120" s="684">
        <f>IF(終値!A120="","",IF(AND(高値!U120&gt;高値!T120,高値!U120&gt;高値!S120,高値!U120&gt;高値!V120,高値!U120&gt;高値!W120),16,""))</f>
      </c>
      <c r="AR120" s="684">
        <f>IF(終値!A120="","",IF(AND(高値!V120&gt;高値!U120,高値!V120&gt;高値!T120,高値!V120&gt;高値!W120,高値!V120&gt;高値!X120),17,""))</f>
      </c>
      <c r="AS120" s="684">
        <f>IF(終値!A120="","",IF(AND(高値!W120&gt;高値!V120,高値!W120&gt;高値!U120,高値!W120&gt;高値!X120,高値!W120&gt;高値!Y120),18,""))</f>
      </c>
      <c r="AT120" s="684">
        <f>IF(終値!A120="","",IF(AND(高値!X120&gt;高値!W120,高値!X120&gt;高値!V120,高値!X120&gt;高値!Y120,高値!X120&gt;高値!Z120),19,""))</f>
      </c>
      <c r="AU120" s="684">
        <f>IF(終値!A120="","",IF(AND(高値!Y120&gt;高値!X120,高値!Y120&gt;高値!W120,高値!Y120&gt;高値!Z120,高値!Y120&gt;高値!AA120),20,""))</f>
      </c>
      <c r="AV120" s="684">
        <f>IF(終値!A120="","",IF(AND(高値!Z120&gt;高値!Y120,高値!Z120&gt;高値!X120,高値!Z120&gt;高値!AA120,高値!Z120&gt;高値!AB120),21,""))</f>
      </c>
      <c r="AW120" s="684">
        <f>IF(終値!A120="","",IF(AND(高値!AA120&gt;高値!Z120,高値!AA120&gt;高値!Y120,高値!AA120&gt;高値!AB120,高値!AA120&gt;高値!AC120),22,""))</f>
      </c>
      <c r="AX120" s="684">
        <f>IF(終値!A120="","",IF(AND(高値!AB120&gt;高値!AA120,高値!AB120&gt;高値!Z120,高値!AB120&gt;高値!AC120,高値!AB120&gt;高値!AD120),23,""))</f>
      </c>
      <c r="AY120" s="684">
        <f>IF(終値!A120="","",IF(AND(高値!AC120&gt;高値!AB120,高値!AC120&gt;高値!AA120,高値!AC120&gt;高値!AD120,高値!AC120&gt;高値!AE120),24,""))</f>
      </c>
      <c r="AZ120" s="684">
        <f>IF(終値!A120="","",IF(AND(高値!AD120&gt;高値!AC120,高値!AD120&gt;高値!AB120,高値!AD120&gt;高値!AE120,高値!AD120&gt;高値!AF120),25,""))</f>
      </c>
      <c r="BA120" s="684">
        <f>IF(終値!A120="","",IF(AND(高値!AE120&gt;高値!AD120,高値!AE120&gt;高値!AC120,高値!AE120&gt;高値!AF120,高値!AE120&gt;高値!AG120),26,""))</f>
      </c>
      <c r="BB120" s="684">
        <f>IF(終値!A120="","",IF(AND(高値!AF120&gt;高値!AE120,高値!AF120&gt;高値!AD120,高値!AF120&gt;高値!AG120,高値!AF120&gt;高値!AH120),27,""))</f>
      </c>
      <c r="BC120" s="684">
        <f>IF(終値!A120="","",IF(AND(高値!AG120&gt;高値!AF120,高値!AG120&gt;高値!AE120,高値!AG120&gt;高値!AH120,高値!AG120&gt;高値!AI120),28,""))</f>
      </c>
      <c r="BD120" s="684">
        <f>COUNT($B120:$AB120)</f>
      </c>
      <c r="BE120" s="684">
        <f>IF($BD120&gt;=2,MIN($B120:$AB120),"")</f>
      </c>
      <c r="BF120" s="684">
        <f>IF($BD120&gt;=2,SMALL($B120:$AB120,2),"")</f>
      </c>
      <c r="BG120" s="684">
        <f>IF($BE120="","",INDEX(安値!$E120:$CZ120,1,$BE120+1))</f>
      </c>
      <c r="BH120" s="684">
        <f>IF($BF120="","",INDEX(安値!$E120:$CZ120,1,$BF120+1))</f>
      </c>
      <c r="BI120" s="684">
        <f>IF($BF120="","",MAX(INDEX(高値!$E120:$CZ120,1,$BE120+1):INDEX(高値!$E120:$CZ120,1,$BF120+1)))</f>
      </c>
      <c r="BJ120" s="684">
        <f>IF($BF120="","",AVERAGE(INDEX(終値!$E120:$CZ120,1,$BF120+1):INDEX(終値!$E120:$CZ120,1,$BF120+20))-2*STDEVP(INDEX(終値!$E120:$CZ120,1,$BF120+1):INDEX(終値!$E120:$CZ120,1,$BF120+20)))</f>
      </c>
      <c r="BK120" s="684">
        <f>IF($BE120="","",AVERAGE(INDEX(終値!$E120:$CZ120,1,$BE120+1):INDEX(終値!$E120:$CZ120,1,$BE120+20))-2*STDEVP(INDEX(終値!$E120:$CZ120,1,$BE120+1):INDEX(終値!$E120:$CZ120,1,$BE120+20)))</f>
      </c>
      <c r="BL120" s="684">
        <f>COUNT($AC120:$BC120)</f>
      </c>
      <c r="BM120" s="684">
        <f>IF($BL120&gt;=2,MIN($AC120:$BC120),"")</f>
      </c>
      <c r="BN120" s="684">
        <f>IF($BL120&gt;=2,SMALL($AC120:$BC120,2),"")</f>
      </c>
      <c r="BO120" s="684">
        <f>IF($BM120="","",INDEX(高値!$E120:$CZ120,1,$BM120+1))</f>
      </c>
      <c r="BP120" s="684">
        <f>IF($BN120="","",INDEX(高値!$E120:$CZ120,1,$BN120+1))</f>
      </c>
      <c r="BQ120" s="684">
        <f>IF($BN120="","",MIN(INDEX(安値!$E120:$CZ120,1,$BM120+1):INDEX(安値!$E120:$CZ120,1,$BN120+1)))</f>
      </c>
      <c r="BR120" s="684">
        <f>IF($BN120="","",AVERAGE(INDEX(終値!$E120:$CZ120,1,$BN120+1):INDEX(終値!$E120:$CZ120,1,$BN120+20))+2*STDEVP(INDEX(終値!$E120:$CZ120,1,$BN120+1):INDEX(終値!$E120:$CZ120,1,$BN120+20)))</f>
      </c>
      <c r="BS120" s="684">
        <f>IF($BM120="","",AVERAGE(INDEX(終値!$E120:$CZ120,1,$BM120+1):INDEX(終値!$E120:$CZ120,1,$BM120+20))+2*STDEVP(INDEX(終値!$E120:$CZ120,1,$BM120+1):INDEX(終値!$E120:$CZ120,1,$BM120+20)))</f>
      </c>
      <c r="BT120" s="681">
        <f>IFERROR(IF(AND($BD120&gt;=2,ABS($BG120-$BH120)/$BH120&lt;=BB設定!$B$12,$BI120&gt;=MAX($BH120,$BG120)*(1+BB設定!$B$13),終値!E120&gt;$BG120),IF(OR(終値!E120&gt;=$BI120,AND($BH120&lt;$BJ120,$BG120&gt;=$BK120)),"二番底W▲","二番底W形成"),IF(AND($BL120&gt;=2,ABS($BO120-$BP120)/$BP120&lt;=BB設定!$B$12,$BQ120&lt;=MIN($BP120,$BO120)*(1-BB設定!$B$13),終値!E120&lt;$BO120),IF(OR(終値!E120&lt;=$BQ120,AND($BP120&gt;$BR120,$BO120&lt;=$BS120)),"二番天井M▼","二番天井M形成"),"－")),"－")</f>
      </c>
    </row>
    <row r="121">
      <c r="B121" s="684">
        <f>IF(終値!A121="","",IF(AND(安値!G121&lt;安値!F121,安値!G121&lt;安値!E121,安値!G121&lt;安値!H121,安値!G121&lt;安値!I121),2,""))</f>
      </c>
      <c r="C121" s="684">
        <f>IF(終値!A121="","",IF(AND(安値!H121&lt;安値!G121,安値!H121&lt;安値!F121,安値!H121&lt;安値!I121,安値!H121&lt;安値!J121),3,""))</f>
      </c>
      <c r="D121" s="684">
        <f>IF(終値!A121="","",IF(AND(安値!I121&lt;安値!H121,安値!I121&lt;安値!G121,安値!I121&lt;安値!J121,安値!I121&lt;安値!K121),4,""))</f>
      </c>
      <c r="E121" s="684">
        <f>IF(終値!A121="","",IF(AND(安値!J121&lt;安値!I121,安値!J121&lt;安値!H121,安値!J121&lt;安値!K121,安値!J121&lt;安値!L121),5,""))</f>
      </c>
      <c r="F121" s="684">
        <f>IF(終値!A121="","",IF(AND(安値!K121&lt;安値!J121,安値!K121&lt;安値!I121,安値!K121&lt;安値!L121,安値!K121&lt;安値!M121),6,""))</f>
      </c>
      <c r="G121" s="684">
        <f>IF(終値!A121="","",IF(AND(安値!L121&lt;安値!K121,安値!L121&lt;安値!J121,安値!L121&lt;安値!M121,安値!L121&lt;安値!N121),7,""))</f>
      </c>
      <c r="H121" s="684">
        <f>IF(終値!A121="","",IF(AND(安値!M121&lt;安値!L121,安値!M121&lt;安値!K121,安値!M121&lt;安値!N121,安値!M121&lt;安値!O121),8,""))</f>
      </c>
      <c r="I121" s="684">
        <f>IF(終値!A121="","",IF(AND(安値!N121&lt;安値!M121,安値!N121&lt;安値!L121,安値!N121&lt;安値!O121,安値!N121&lt;安値!P121),9,""))</f>
      </c>
      <c r="J121" s="684">
        <f>IF(終値!A121="","",IF(AND(安値!O121&lt;安値!N121,安値!O121&lt;安値!M121,安値!O121&lt;安値!P121,安値!O121&lt;安値!Q121),10,""))</f>
      </c>
      <c r="K121" s="684">
        <f>IF(終値!A121="","",IF(AND(安値!P121&lt;安値!O121,安値!P121&lt;安値!N121,安値!P121&lt;安値!Q121,安値!P121&lt;安値!R121),11,""))</f>
      </c>
      <c r="L121" s="684">
        <f>IF(終値!A121="","",IF(AND(安値!Q121&lt;安値!P121,安値!Q121&lt;安値!O121,安値!Q121&lt;安値!R121,安値!Q121&lt;安値!S121),12,""))</f>
      </c>
      <c r="M121" s="684">
        <f>IF(終値!A121="","",IF(AND(安値!R121&lt;安値!Q121,安値!R121&lt;安値!P121,安値!R121&lt;安値!S121,安値!R121&lt;安値!T121),13,""))</f>
      </c>
      <c r="N121" s="684">
        <f>IF(終値!A121="","",IF(AND(安値!S121&lt;安値!R121,安値!S121&lt;安値!Q121,安値!S121&lt;安値!T121,安値!S121&lt;安値!U121),14,""))</f>
      </c>
      <c r="O121" s="684">
        <f>IF(終値!A121="","",IF(AND(安値!T121&lt;安値!S121,安値!T121&lt;安値!R121,安値!T121&lt;安値!U121,安値!T121&lt;安値!V121),15,""))</f>
      </c>
      <c r="P121" s="684">
        <f>IF(終値!A121="","",IF(AND(安値!U121&lt;安値!T121,安値!U121&lt;安値!S121,安値!U121&lt;安値!V121,安値!U121&lt;安値!W121),16,""))</f>
      </c>
      <c r="Q121" s="684">
        <f>IF(終値!A121="","",IF(AND(安値!V121&lt;安値!U121,安値!V121&lt;安値!T121,安値!V121&lt;安値!W121,安値!V121&lt;安値!X121),17,""))</f>
      </c>
      <c r="R121" s="684">
        <f>IF(終値!A121="","",IF(AND(安値!W121&lt;安値!V121,安値!W121&lt;安値!U121,安値!W121&lt;安値!X121,安値!W121&lt;安値!Y121),18,""))</f>
      </c>
      <c r="S121" s="684">
        <f>IF(終値!A121="","",IF(AND(安値!X121&lt;安値!W121,安値!X121&lt;安値!V121,安値!X121&lt;安値!Y121,安値!X121&lt;安値!Z121),19,""))</f>
      </c>
      <c r="T121" s="684">
        <f>IF(終値!A121="","",IF(AND(安値!Y121&lt;安値!X121,安値!Y121&lt;安値!W121,安値!Y121&lt;安値!Z121,安値!Y121&lt;安値!AA121),20,""))</f>
      </c>
      <c r="U121" s="684">
        <f>IF(終値!A121="","",IF(AND(安値!Z121&lt;安値!Y121,安値!Z121&lt;安値!X121,安値!Z121&lt;安値!AA121,安値!Z121&lt;安値!AB121),21,""))</f>
      </c>
      <c r="V121" s="684">
        <f>IF(終値!A121="","",IF(AND(安値!AA121&lt;安値!Z121,安値!AA121&lt;安値!Y121,安値!AA121&lt;安値!AB121,安値!AA121&lt;安値!AC121),22,""))</f>
      </c>
      <c r="W121" s="684">
        <f>IF(終値!A121="","",IF(AND(安値!AB121&lt;安値!AA121,安値!AB121&lt;安値!Z121,安値!AB121&lt;安値!AC121,安値!AB121&lt;安値!AD121),23,""))</f>
      </c>
      <c r="X121" s="684">
        <f>IF(終値!A121="","",IF(AND(安値!AC121&lt;安値!AB121,安値!AC121&lt;安値!AA121,安値!AC121&lt;安値!AD121,安値!AC121&lt;安値!AE121),24,""))</f>
      </c>
      <c r="Y121" s="684">
        <f>IF(終値!A121="","",IF(AND(安値!AD121&lt;安値!AC121,安値!AD121&lt;安値!AB121,安値!AD121&lt;安値!AE121,安値!AD121&lt;安値!AF121),25,""))</f>
      </c>
      <c r="Z121" s="684">
        <f>IF(終値!A121="","",IF(AND(安値!AE121&lt;安値!AD121,安値!AE121&lt;安値!AC121,安値!AE121&lt;安値!AF121,安値!AE121&lt;安値!AG121),26,""))</f>
      </c>
      <c r="AA121" s="684">
        <f>IF(終値!A121="","",IF(AND(安値!AF121&lt;安値!AE121,安値!AF121&lt;安値!AD121,安値!AF121&lt;安値!AG121,安値!AF121&lt;安値!AH121),27,""))</f>
      </c>
      <c r="AB121" s="684">
        <f>IF(終値!A121="","",IF(AND(安値!AG121&lt;安値!AF121,安値!AG121&lt;安値!AE121,安値!AG121&lt;安値!AH121,安値!AG121&lt;安値!AI121),28,""))</f>
      </c>
      <c r="AC121" s="684">
        <f>IF(終値!A121="","",IF(AND(高値!G121&gt;高値!F121,高値!G121&gt;高値!E121,高値!G121&gt;高値!H121,高値!G121&gt;高値!I121),2,""))</f>
      </c>
      <c r="AD121" s="684">
        <f>IF(終値!A121="","",IF(AND(高値!H121&gt;高値!G121,高値!H121&gt;高値!F121,高値!H121&gt;高値!I121,高値!H121&gt;高値!J121),3,""))</f>
      </c>
      <c r="AE121" s="684">
        <f>IF(終値!A121="","",IF(AND(高値!I121&gt;高値!H121,高値!I121&gt;高値!G121,高値!I121&gt;高値!J121,高値!I121&gt;高値!K121),4,""))</f>
      </c>
      <c r="AF121" s="684">
        <f>IF(終値!A121="","",IF(AND(高値!J121&gt;高値!I121,高値!J121&gt;高値!H121,高値!J121&gt;高値!K121,高値!J121&gt;高値!L121),5,""))</f>
      </c>
      <c r="AG121" s="684">
        <f>IF(終値!A121="","",IF(AND(高値!K121&gt;高値!J121,高値!K121&gt;高値!I121,高値!K121&gt;高値!L121,高値!K121&gt;高値!M121),6,""))</f>
      </c>
      <c r="AH121" s="684">
        <f>IF(終値!A121="","",IF(AND(高値!L121&gt;高値!K121,高値!L121&gt;高値!J121,高値!L121&gt;高値!M121,高値!L121&gt;高値!N121),7,""))</f>
      </c>
      <c r="AI121" s="684">
        <f>IF(終値!A121="","",IF(AND(高値!M121&gt;高値!L121,高値!M121&gt;高値!K121,高値!M121&gt;高値!N121,高値!M121&gt;高値!O121),8,""))</f>
      </c>
      <c r="AJ121" s="684">
        <f>IF(終値!A121="","",IF(AND(高値!N121&gt;高値!M121,高値!N121&gt;高値!L121,高値!N121&gt;高値!O121,高値!N121&gt;高値!P121),9,""))</f>
      </c>
      <c r="AK121" s="684">
        <f>IF(終値!A121="","",IF(AND(高値!O121&gt;高値!N121,高値!O121&gt;高値!M121,高値!O121&gt;高値!P121,高値!O121&gt;高値!Q121),10,""))</f>
      </c>
      <c r="AL121" s="684">
        <f>IF(終値!A121="","",IF(AND(高値!P121&gt;高値!O121,高値!P121&gt;高値!N121,高値!P121&gt;高値!Q121,高値!P121&gt;高値!R121),11,""))</f>
      </c>
      <c r="AM121" s="684">
        <f>IF(終値!A121="","",IF(AND(高値!Q121&gt;高値!P121,高値!Q121&gt;高値!O121,高値!Q121&gt;高値!R121,高値!Q121&gt;高値!S121),12,""))</f>
      </c>
      <c r="AN121" s="684">
        <f>IF(終値!A121="","",IF(AND(高値!R121&gt;高値!Q121,高値!R121&gt;高値!P121,高値!R121&gt;高値!S121,高値!R121&gt;高値!T121),13,""))</f>
      </c>
      <c r="AO121" s="684">
        <f>IF(終値!A121="","",IF(AND(高値!S121&gt;高値!R121,高値!S121&gt;高値!Q121,高値!S121&gt;高値!T121,高値!S121&gt;高値!U121),14,""))</f>
      </c>
      <c r="AP121" s="684">
        <f>IF(終値!A121="","",IF(AND(高値!T121&gt;高値!S121,高値!T121&gt;高値!R121,高値!T121&gt;高値!U121,高値!T121&gt;高値!V121),15,""))</f>
      </c>
      <c r="AQ121" s="684">
        <f>IF(終値!A121="","",IF(AND(高値!U121&gt;高値!T121,高値!U121&gt;高値!S121,高値!U121&gt;高値!V121,高値!U121&gt;高値!W121),16,""))</f>
      </c>
      <c r="AR121" s="684">
        <f>IF(終値!A121="","",IF(AND(高値!V121&gt;高値!U121,高値!V121&gt;高値!T121,高値!V121&gt;高値!W121,高値!V121&gt;高値!X121),17,""))</f>
      </c>
      <c r="AS121" s="684">
        <f>IF(終値!A121="","",IF(AND(高値!W121&gt;高値!V121,高値!W121&gt;高値!U121,高値!W121&gt;高値!X121,高値!W121&gt;高値!Y121),18,""))</f>
      </c>
      <c r="AT121" s="684">
        <f>IF(終値!A121="","",IF(AND(高値!X121&gt;高値!W121,高値!X121&gt;高値!V121,高値!X121&gt;高値!Y121,高値!X121&gt;高値!Z121),19,""))</f>
      </c>
      <c r="AU121" s="684">
        <f>IF(終値!A121="","",IF(AND(高値!Y121&gt;高値!X121,高値!Y121&gt;高値!W121,高値!Y121&gt;高値!Z121,高値!Y121&gt;高値!AA121),20,""))</f>
      </c>
      <c r="AV121" s="684">
        <f>IF(終値!A121="","",IF(AND(高値!Z121&gt;高値!Y121,高値!Z121&gt;高値!X121,高値!Z121&gt;高値!AA121,高値!Z121&gt;高値!AB121),21,""))</f>
      </c>
      <c r="AW121" s="684">
        <f>IF(終値!A121="","",IF(AND(高値!AA121&gt;高値!Z121,高値!AA121&gt;高値!Y121,高値!AA121&gt;高値!AB121,高値!AA121&gt;高値!AC121),22,""))</f>
      </c>
      <c r="AX121" s="684">
        <f>IF(終値!A121="","",IF(AND(高値!AB121&gt;高値!AA121,高値!AB121&gt;高値!Z121,高値!AB121&gt;高値!AC121,高値!AB121&gt;高値!AD121),23,""))</f>
      </c>
      <c r="AY121" s="684">
        <f>IF(終値!A121="","",IF(AND(高値!AC121&gt;高値!AB121,高値!AC121&gt;高値!AA121,高値!AC121&gt;高値!AD121,高値!AC121&gt;高値!AE121),24,""))</f>
      </c>
      <c r="AZ121" s="684">
        <f>IF(終値!A121="","",IF(AND(高値!AD121&gt;高値!AC121,高値!AD121&gt;高値!AB121,高値!AD121&gt;高値!AE121,高値!AD121&gt;高値!AF121),25,""))</f>
      </c>
      <c r="BA121" s="684">
        <f>IF(終値!A121="","",IF(AND(高値!AE121&gt;高値!AD121,高値!AE121&gt;高値!AC121,高値!AE121&gt;高値!AF121,高値!AE121&gt;高値!AG121),26,""))</f>
      </c>
      <c r="BB121" s="684">
        <f>IF(終値!A121="","",IF(AND(高値!AF121&gt;高値!AE121,高値!AF121&gt;高値!AD121,高値!AF121&gt;高値!AG121,高値!AF121&gt;高値!AH121),27,""))</f>
      </c>
      <c r="BC121" s="684">
        <f>IF(終値!A121="","",IF(AND(高値!AG121&gt;高値!AF121,高値!AG121&gt;高値!AE121,高値!AG121&gt;高値!AH121,高値!AG121&gt;高値!AI121),28,""))</f>
      </c>
      <c r="BD121" s="684">
        <f>COUNT($B121:$AB121)</f>
      </c>
      <c r="BE121" s="684">
        <f>IF($BD121&gt;=2,MIN($B121:$AB121),"")</f>
      </c>
      <c r="BF121" s="684">
        <f>IF($BD121&gt;=2,SMALL($B121:$AB121,2),"")</f>
      </c>
      <c r="BG121" s="684">
        <f>IF($BE121="","",INDEX(安値!$E121:$CZ121,1,$BE121+1))</f>
      </c>
      <c r="BH121" s="684">
        <f>IF($BF121="","",INDEX(安値!$E121:$CZ121,1,$BF121+1))</f>
      </c>
      <c r="BI121" s="684">
        <f>IF($BF121="","",MAX(INDEX(高値!$E121:$CZ121,1,$BE121+1):INDEX(高値!$E121:$CZ121,1,$BF121+1)))</f>
      </c>
      <c r="BJ121" s="684">
        <f>IF($BF121="","",AVERAGE(INDEX(終値!$E121:$CZ121,1,$BF121+1):INDEX(終値!$E121:$CZ121,1,$BF121+20))-2*STDEVP(INDEX(終値!$E121:$CZ121,1,$BF121+1):INDEX(終値!$E121:$CZ121,1,$BF121+20)))</f>
      </c>
      <c r="BK121" s="684">
        <f>IF($BE121="","",AVERAGE(INDEX(終値!$E121:$CZ121,1,$BE121+1):INDEX(終値!$E121:$CZ121,1,$BE121+20))-2*STDEVP(INDEX(終値!$E121:$CZ121,1,$BE121+1):INDEX(終値!$E121:$CZ121,1,$BE121+20)))</f>
      </c>
      <c r="BL121" s="684">
        <f>COUNT($AC121:$BC121)</f>
      </c>
      <c r="BM121" s="684">
        <f>IF($BL121&gt;=2,MIN($AC121:$BC121),"")</f>
      </c>
      <c r="BN121" s="684">
        <f>IF($BL121&gt;=2,SMALL($AC121:$BC121,2),"")</f>
      </c>
      <c r="BO121" s="684">
        <f>IF($BM121="","",INDEX(高値!$E121:$CZ121,1,$BM121+1))</f>
      </c>
      <c r="BP121" s="684">
        <f>IF($BN121="","",INDEX(高値!$E121:$CZ121,1,$BN121+1))</f>
      </c>
      <c r="BQ121" s="684">
        <f>IF($BN121="","",MIN(INDEX(安値!$E121:$CZ121,1,$BM121+1):INDEX(安値!$E121:$CZ121,1,$BN121+1)))</f>
      </c>
      <c r="BR121" s="684">
        <f>IF($BN121="","",AVERAGE(INDEX(終値!$E121:$CZ121,1,$BN121+1):INDEX(終値!$E121:$CZ121,1,$BN121+20))+2*STDEVP(INDEX(終値!$E121:$CZ121,1,$BN121+1):INDEX(終値!$E121:$CZ121,1,$BN121+20)))</f>
      </c>
      <c r="BS121" s="684">
        <f>IF($BM121="","",AVERAGE(INDEX(終値!$E121:$CZ121,1,$BM121+1):INDEX(終値!$E121:$CZ121,1,$BM121+20))+2*STDEVP(INDEX(終値!$E121:$CZ121,1,$BM121+1):INDEX(終値!$E121:$CZ121,1,$BM121+20)))</f>
      </c>
      <c r="BT121" s="681">
        <f>IFERROR(IF(AND($BD121&gt;=2,ABS($BG121-$BH121)/$BH121&lt;=BB設定!$B$12,$BI121&gt;=MAX($BH121,$BG121)*(1+BB設定!$B$13),終値!E121&gt;$BG121),IF(OR(終値!E121&gt;=$BI121,AND($BH121&lt;$BJ121,$BG121&gt;=$BK121)),"二番底W▲","二番底W形成"),IF(AND($BL121&gt;=2,ABS($BO121-$BP121)/$BP121&lt;=BB設定!$B$12,$BQ121&lt;=MIN($BP121,$BO121)*(1-BB設定!$B$13),終値!E121&lt;$BO121),IF(OR(終値!E121&lt;=$BQ121,AND($BP121&gt;$BR121,$BO121&lt;=$BS121)),"二番天井M▼","二番天井M形成"),"－")),"－")</f>
      </c>
    </row>
    <row r="122">
      <c r="B122" s="684">
        <f>IF(終値!A122="","",IF(AND(安値!G122&lt;安値!F122,安値!G122&lt;安値!E122,安値!G122&lt;安値!H122,安値!G122&lt;安値!I122),2,""))</f>
      </c>
      <c r="C122" s="684">
        <f>IF(終値!A122="","",IF(AND(安値!H122&lt;安値!G122,安値!H122&lt;安値!F122,安値!H122&lt;安値!I122,安値!H122&lt;安値!J122),3,""))</f>
      </c>
      <c r="D122" s="684">
        <f>IF(終値!A122="","",IF(AND(安値!I122&lt;安値!H122,安値!I122&lt;安値!G122,安値!I122&lt;安値!J122,安値!I122&lt;安値!K122),4,""))</f>
      </c>
      <c r="E122" s="684">
        <f>IF(終値!A122="","",IF(AND(安値!J122&lt;安値!I122,安値!J122&lt;安値!H122,安値!J122&lt;安値!K122,安値!J122&lt;安値!L122),5,""))</f>
      </c>
      <c r="F122" s="684">
        <f>IF(終値!A122="","",IF(AND(安値!K122&lt;安値!J122,安値!K122&lt;安値!I122,安値!K122&lt;安値!L122,安値!K122&lt;安値!M122),6,""))</f>
      </c>
      <c r="G122" s="684">
        <f>IF(終値!A122="","",IF(AND(安値!L122&lt;安値!K122,安値!L122&lt;安値!J122,安値!L122&lt;安値!M122,安値!L122&lt;安値!N122),7,""))</f>
      </c>
      <c r="H122" s="684">
        <f>IF(終値!A122="","",IF(AND(安値!M122&lt;安値!L122,安値!M122&lt;安値!K122,安値!M122&lt;安値!N122,安値!M122&lt;安値!O122),8,""))</f>
      </c>
      <c r="I122" s="684">
        <f>IF(終値!A122="","",IF(AND(安値!N122&lt;安値!M122,安値!N122&lt;安値!L122,安値!N122&lt;安値!O122,安値!N122&lt;安値!P122),9,""))</f>
      </c>
      <c r="J122" s="684">
        <f>IF(終値!A122="","",IF(AND(安値!O122&lt;安値!N122,安値!O122&lt;安値!M122,安値!O122&lt;安値!P122,安値!O122&lt;安値!Q122),10,""))</f>
      </c>
      <c r="K122" s="684">
        <f>IF(終値!A122="","",IF(AND(安値!P122&lt;安値!O122,安値!P122&lt;安値!N122,安値!P122&lt;安値!Q122,安値!P122&lt;安値!R122),11,""))</f>
      </c>
      <c r="L122" s="684">
        <f>IF(終値!A122="","",IF(AND(安値!Q122&lt;安値!P122,安値!Q122&lt;安値!O122,安値!Q122&lt;安値!R122,安値!Q122&lt;安値!S122),12,""))</f>
      </c>
      <c r="M122" s="684">
        <f>IF(終値!A122="","",IF(AND(安値!R122&lt;安値!Q122,安値!R122&lt;安値!P122,安値!R122&lt;安値!S122,安値!R122&lt;安値!T122),13,""))</f>
      </c>
      <c r="N122" s="684">
        <f>IF(終値!A122="","",IF(AND(安値!S122&lt;安値!R122,安値!S122&lt;安値!Q122,安値!S122&lt;安値!T122,安値!S122&lt;安値!U122),14,""))</f>
      </c>
      <c r="O122" s="684">
        <f>IF(終値!A122="","",IF(AND(安値!T122&lt;安値!S122,安値!T122&lt;安値!R122,安値!T122&lt;安値!U122,安値!T122&lt;安値!V122),15,""))</f>
      </c>
      <c r="P122" s="684">
        <f>IF(終値!A122="","",IF(AND(安値!U122&lt;安値!T122,安値!U122&lt;安値!S122,安値!U122&lt;安値!V122,安値!U122&lt;安値!W122),16,""))</f>
      </c>
      <c r="Q122" s="684">
        <f>IF(終値!A122="","",IF(AND(安値!V122&lt;安値!U122,安値!V122&lt;安値!T122,安値!V122&lt;安値!W122,安値!V122&lt;安値!X122),17,""))</f>
      </c>
      <c r="R122" s="684">
        <f>IF(終値!A122="","",IF(AND(安値!W122&lt;安値!V122,安値!W122&lt;安値!U122,安値!W122&lt;安値!X122,安値!W122&lt;安値!Y122),18,""))</f>
      </c>
      <c r="S122" s="684">
        <f>IF(終値!A122="","",IF(AND(安値!X122&lt;安値!W122,安値!X122&lt;安値!V122,安値!X122&lt;安値!Y122,安値!X122&lt;安値!Z122),19,""))</f>
      </c>
      <c r="T122" s="684">
        <f>IF(終値!A122="","",IF(AND(安値!Y122&lt;安値!X122,安値!Y122&lt;安値!W122,安値!Y122&lt;安値!Z122,安値!Y122&lt;安値!AA122),20,""))</f>
      </c>
      <c r="U122" s="684">
        <f>IF(終値!A122="","",IF(AND(安値!Z122&lt;安値!Y122,安値!Z122&lt;安値!X122,安値!Z122&lt;安値!AA122,安値!Z122&lt;安値!AB122),21,""))</f>
      </c>
      <c r="V122" s="684">
        <f>IF(終値!A122="","",IF(AND(安値!AA122&lt;安値!Z122,安値!AA122&lt;安値!Y122,安値!AA122&lt;安値!AB122,安値!AA122&lt;安値!AC122),22,""))</f>
      </c>
      <c r="W122" s="684">
        <f>IF(終値!A122="","",IF(AND(安値!AB122&lt;安値!AA122,安値!AB122&lt;安値!Z122,安値!AB122&lt;安値!AC122,安値!AB122&lt;安値!AD122),23,""))</f>
      </c>
      <c r="X122" s="684">
        <f>IF(終値!A122="","",IF(AND(安値!AC122&lt;安値!AB122,安値!AC122&lt;安値!AA122,安値!AC122&lt;安値!AD122,安値!AC122&lt;安値!AE122),24,""))</f>
      </c>
      <c r="Y122" s="684">
        <f>IF(終値!A122="","",IF(AND(安値!AD122&lt;安値!AC122,安値!AD122&lt;安値!AB122,安値!AD122&lt;安値!AE122,安値!AD122&lt;安値!AF122),25,""))</f>
      </c>
      <c r="Z122" s="684">
        <f>IF(終値!A122="","",IF(AND(安値!AE122&lt;安値!AD122,安値!AE122&lt;安値!AC122,安値!AE122&lt;安値!AF122,安値!AE122&lt;安値!AG122),26,""))</f>
      </c>
      <c r="AA122" s="684">
        <f>IF(終値!A122="","",IF(AND(安値!AF122&lt;安値!AE122,安値!AF122&lt;安値!AD122,安値!AF122&lt;安値!AG122,安値!AF122&lt;安値!AH122),27,""))</f>
      </c>
      <c r="AB122" s="684">
        <f>IF(終値!A122="","",IF(AND(安値!AG122&lt;安値!AF122,安値!AG122&lt;安値!AE122,安値!AG122&lt;安値!AH122,安値!AG122&lt;安値!AI122),28,""))</f>
      </c>
      <c r="AC122" s="684">
        <f>IF(終値!A122="","",IF(AND(高値!G122&gt;高値!F122,高値!G122&gt;高値!E122,高値!G122&gt;高値!H122,高値!G122&gt;高値!I122),2,""))</f>
      </c>
      <c r="AD122" s="684">
        <f>IF(終値!A122="","",IF(AND(高値!H122&gt;高値!G122,高値!H122&gt;高値!F122,高値!H122&gt;高値!I122,高値!H122&gt;高値!J122),3,""))</f>
      </c>
      <c r="AE122" s="684">
        <f>IF(終値!A122="","",IF(AND(高値!I122&gt;高値!H122,高値!I122&gt;高値!G122,高値!I122&gt;高値!J122,高値!I122&gt;高値!K122),4,""))</f>
      </c>
      <c r="AF122" s="684">
        <f>IF(終値!A122="","",IF(AND(高値!J122&gt;高値!I122,高値!J122&gt;高値!H122,高値!J122&gt;高値!K122,高値!J122&gt;高値!L122),5,""))</f>
      </c>
      <c r="AG122" s="684">
        <f>IF(終値!A122="","",IF(AND(高値!K122&gt;高値!J122,高値!K122&gt;高値!I122,高値!K122&gt;高値!L122,高値!K122&gt;高値!M122),6,""))</f>
      </c>
      <c r="AH122" s="684">
        <f>IF(終値!A122="","",IF(AND(高値!L122&gt;高値!K122,高値!L122&gt;高値!J122,高値!L122&gt;高値!M122,高値!L122&gt;高値!N122),7,""))</f>
      </c>
      <c r="AI122" s="684">
        <f>IF(終値!A122="","",IF(AND(高値!M122&gt;高値!L122,高値!M122&gt;高値!K122,高値!M122&gt;高値!N122,高値!M122&gt;高値!O122),8,""))</f>
      </c>
      <c r="AJ122" s="684">
        <f>IF(終値!A122="","",IF(AND(高値!N122&gt;高値!M122,高値!N122&gt;高値!L122,高値!N122&gt;高値!O122,高値!N122&gt;高値!P122),9,""))</f>
      </c>
      <c r="AK122" s="684">
        <f>IF(終値!A122="","",IF(AND(高値!O122&gt;高値!N122,高値!O122&gt;高値!M122,高値!O122&gt;高値!P122,高値!O122&gt;高値!Q122),10,""))</f>
      </c>
      <c r="AL122" s="684">
        <f>IF(終値!A122="","",IF(AND(高値!P122&gt;高値!O122,高値!P122&gt;高値!N122,高値!P122&gt;高値!Q122,高値!P122&gt;高値!R122),11,""))</f>
      </c>
      <c r="AM122" s="684">
        <f>IF(終値!A122="","",IF(AND(高値!Q122&gt;高値!P122,高値!Q122&gt;高値!O122,高値!Q122&gt;高値!R122,高値!Q122&gt;高値!S122),12,""))</f>
      </c>
      <c r="AN122" s="684">
        <f>IF(終値!A122="","",IF(AND(高値!R122&gt;高値!Q122,高値!R122&gt;高値!P122,高値!R122&gt;高値!S122,高値!R122&gt;高値!T122),13,""))</f>
      </c>
      <c r="AO122" s="684">
        <f>IF(終値!A122="","",IF(AND(高値!S122&gt;高値!R122,高値!S122&gt;高値!Q122,高値!S122&gt;高値!T122,高値!S122&gt;高値!U122),14,""))</f>
      </c>
      <c r="AP122" s="684">
        <f>IF(終値!A122="","",IF(AND(高値!T122&gt;高値!S122,高値!T122&gt;高値!R122,高値!T122&gt;高値!U122,高値!T122&gt;高値!V122),15,""))</f>
      </c>
      <c r="AQ122" s="684">
        <f>IF(終値!A122="","",IF(AND(高値!U122&gt;高値!T122,高値!U122&gt;高値!S122,高値!U122&gt;高値!V122,高値!U122&gt;高値!W122),16,""))</f>
      </c>
      <c r="AR122" s="684">
        <f>IF(終値!A122="","",IF(AND(高値!V122&gt;高値!U122,高値!V122&gt;高値!T122,高値!V122&gt;高値!W122,高値!V122&gt;高値!X122),17,""))</f>
      </c>
      <c r="AS122" s="684">
        <f>IF(終値!A122="","",IF(AND(高値!W122&gt;高値!V122,高値!W122&gt;高値!U122,高値!W122&gt;高値!X122,高値!W122&gt;高値!Y122),18,""))</f>
      </c>
      <c r="AT122" s="684">
        <f>IF(終値!A122="","",IF(AND(高値!X122&gt;高値!W122,高値!X122&gt;高値!V122,高値!X122&gt;高値!Y122,高値!X122&gt;高値!Z122),19,""))</f>
      </c>
      <c r="AU122" s="684">
        <f>IF(終値!A122="","",IF(AND(高値!Y122&gt;高値!X122,高値!Y122&gt;高値!W122,高値!Y122&gt;高値!Z122,高値!Y122&gt;高値!AA122),20,""))</f>
      </c>
      <c r="AV122" s="684">
        <f>IF(終値!A122="","",IF(AND(高値!Z122&gt;高値!Y122,高値!Z122&gt;高値!X122,高値!Z122&gt;高値!AA122,高値!Z122&gt;高値!AB122),21,""))</f>
      </c>
      <c r="AW122" s="684">
        <f>IF(終値!A122="","",IF(AND(高値!AA122&gt;高値!Z122,高値!AA122&gt;高値!Y122,高値!AA122&gt;高値!AB122,高値!AA122&gt;高値!AC122),22,""))</f>
      </c>
      <c r="AX122" s="684">
        <f>IF(終値!A122="","",IF(AND(高値!AB122&gt;高値!AA122,高値!AB122&gt;高値!Z122,高値!AB122&gt;高値!AC122,高値!AB122&gt;高値!AD122),23,""))</f>
      </c>
      <c r="AY122" s="684">
        <f>IF(終値!A122="","",IF(AND(高値!AC122&gt;高値!AB122,高値!AC122&gt;高値!AA122,高値!AC122&gt;高値!AD122,高値!AC122&gt;高値!AE122),24,""))</f>
      </c>
      <c r="AZ122" s="684">
        <f>IF(終値!A122="","",IF(AND(高値!AD122&gt;高値!AC122,高値!AD122&gt;高値!AB122,高値!AD122&gt;高値!AE122,高値!AD122&gt;高値!AF122),25,""))</f>
      </c>
      <c r="BA122" s="684">
        <f>IF(終値!A122="","",IF(AND(高値!AE122&gt;高値!AD122,高値!AE122&gt;高値!AC122,高値!AE122&gt;高値!AF122,高値!AE122&gt;高値!AG122),26,""))</f>
      </c>
      <c r="BB122" s="684">
        <f>IF(終値!A122="","",IF(AND(高値!AF122&gt;高値!AE122,高値!AF122&gt;高値!AD122,高値!AF122&gt;高値!AG122,高値!AF122&gt;高値!AH122),27,""))</f>
      </c>
      <c r="BC122" s="684">
        <f>IF(終値!A122="","",IF(AND(高値!AG122&gt;高値!AF122,高値!AG122&gt;高値!AE122,高値!AG122&gt;高値!AH122,高値!AG122&gt;高値!AI122),28,""))</f>
      </c>
      <c r="BD122" s="684">
        <f>COUNT($B122:$AB122)</f>
      </c>
      <c r="BE122" s="684">
        <f>IF($BD122&gt;=2,MIN($B122:$AB122),"")</f>
      </c>
      <c r="BF122" s="684">
        <f>IF($BD122&gt;=2,SMALL($B122:$AB122,2),"")</f>
      </c>
      <c r="BG122" s="684">
        <f>IF($BE122="","",INDEX(安値!$E122:$CZ122,1,$BE122+1))</f>
      </c>
      <c r="BH122" s="684">
        <f>IF($BF122="","",INDEX(安値!$E122:$CZ122,1,$BF122+1))</f>
      </c>
      <c r="BI122" s="684">
        <f>IF($BF122="","",MAX(INDEX(高値!$E122:$CZ122,1,$BE122+1):INDEX(高値!$E122:$CZ122,1,$BF122+1)))</f>
      </c>
      <c r="BJ122" s="684">
        <f>IF($BF122="","",AVERAGE(INDEX(終値!$E122:$CZ122,1,$BF122+1):INDEX(終値!$E122:$CZ122,1,$BF122+20))-2*STDEVP(INDEX(終値!$E122:$CZ122,1,$BF122+1):INDEX(終値!$E122:$CZ122,1,$BF122+20)))</f>
      </c>
      <c r="BK122" s="684">
        <f>IF($BE122="","",AVERAGE(INDEX(終値!$E122:$CZ122,1,$BE122+1):INDEX(終値!$E122:$CZ122,1,$BE122+20))-2*STDEVP(INDEX(終値!$E122:$CZ122,1,$BE122+1):INDEX(終値!$E122:$CZ122,1,$BE122+20)))</f>
      </c>
      <c r="BL122" s="684">
        <f>COUNT($AC122:$BC122)</f>
      </c>
      <c r="BM122" s="684">
        <f>IF($BL122&gt;=2,MIN($AC122:$BC122),"")</f>
      </c>
      <c r="BN122" s="684">
        <f>IF($BL122&gt;=2,SMALL($AC122:$BC122,2),"")</f>
      </c>
      <c r="BO122" s="684">
        <f>IF($BM122="","",INDEX(高値!$E122:$CZ122,1,$BM122+1))</f>
      </c>
      <c r="BP122" s="684">
        <f>IF($BN122="","",INDEX(高値!$E122:$CZ122,1,$BN122+1))</f>
      </c>
      <c r="BQ122" s="684">
        <f>IF($BN122="","",MIN(INDEX(安値!$E122:$CZ122,1,$BM122+1):INDEX(安値!$E122:$CZ122,1,$BN122+1)))</f>
      </c>
      <c r="BR122" s="684">
        <f>IF($BN122="","",AVERAGE(INDEX(終値!$E122:$CZ122,1,$BN122+1):INDEX(終値!$E122:$CZ122,1,$BN122+20))+2*STDEVP(INDEX(終値!$E122:$CZ122,1,$BN122+1):INDEX(終値!$E122:$CZ122,1,$BN122+20)))</f>
      </c>
      <c r="BS122" s="684">
        <f>IF($BM122="","",AVERAGE(INDEX(終値!$E122:$CZ122,1,$BM122+1):INDEX(終値!$E122:$CZ122,1,$BM122+20))+2*STDEVP(INDEX(終値!$E122:$CZ122,1,$BM122+1):INDEX(終値!$E122:$CZ122,1,$BM122+20)))</f>
      </c>
      <c r="BT122" s="681">
        <f>IFERROR(IF(AND($BD122&gt;=2,ABS($BG122-$BH122)/$BH122&lt;=BB設定!$B$12,$BI122&gt;=MAX($BH122,$BG122)*(1+BB設定!$B$13),終値!E122&gt;$BG122),IF(OR(終値!E122&gt;=$BI122,AND($BH122&lt;$BJ122,$BG122&gt;=$BK122)),"二番底W▲","二番底W形成"),IF(AND($BL122&gt;=2,ABS($BO122-$BP122)/$BP122&lt;=BB設定!$B$12,$BQ122&lt;=MIN($BP122,$BO122)*(1-BB設定!$B$13),終値!E122&lt;$BO122),IF(OR(終値!E122&lt;=$BQ122,AND($BP122&gt;$BR122,$BO122&lt;=$BS122)),"二番天井M▼","二番天井M形成"),"－")),"－")</f>
      </c>
    </row>
    <row r="123">
      <c r="B123" s="684">
        <f>IF(終値!A123="","",IF(AND(安値!G123&lt;安値!F123,安値!G123&lt;安値!E123,安値!G123&lt;安値!H123,安値!G123&lt;安値!I123),2,""))</f>
      </c>
      <c r="C123" s="684">
        <f>IF(終値!A123="","",IF(AND(安値!H123&lt;安値!G123,安値!H123&lt;安値!F123,安値!H123&lt;安値!I123,安値!H123&lt;安値!J123),3,""))</f>
      </c>
      <c r="D123" s="684">
        <f>IF(終値!A123="","",IF(AND(安値!I123&lt;安値!H123,安値!I123&lt;安値!G123,安値!I123&lt;安値!J123,安値!I123&lt;安値!K123),4,""))</f>
      </c>
      <c r="E123" s="684">
        <f>IF(終値!A123="","",IF(AND(安値!J123&lt;安値!I123,安値!J123&lt;安値!H123,安値!J123&lt;安値!K123,安値!J123&lt;安値!L123),5,""))</f>
      </c>
      <c r="F123" s="684">
        <f>IF(終値!A123="","",IF(AND(安値!K123&lt;安値!J123,安値!K123&lt;安値!I123,安値!K123&lt;安値!L123,安値!K123&lt;安値!M123),6,""))</f>
      </c>
      <c r="G123" s="684">
        <f>IF(終値!A123="","",IF(AND(安値!L123&lt;安値!K123,安値!L123&lt;安値!J123,安値!L123&lt;安値!M123,安値!L123&lt;安値!N123),7,""))</f>
      </c>
      <c r="H123" s="684">
        <f>IF(終値!A123="","",IF(AND(安値!M123&lt;安値!L123,安値!M123&lt;安値!K123,安値!M123&lt;安値!N123,安値!M123&lt;安値!O123),8,""))</f>
      </c>
      <c r="I123" s="684">
        <f>IF(終値!A123="","",IF(AND(安値!N123&lt;安値!M123,安値!N123&lt;安値!L123,安値!N123&lt;安値!O123,安値!N123&lt;安値!P123),9,""))</f>
      </c>
      <c r="J123" s="684">
        <f>IF(終値!A123="","",IF(AND(安値!O123&lt;安値!N123,安値!O123&lt;安値!M123,安値!O123&lt;安値!P123,安値!O123&lt;安値!Q123),10,""))</f>
      </c>
      <c r="K123" s="684">
        <f>IF(終値!A123="","",IF(AND(安値!P123&lt;安値!O123,安値!P123&lt;安値!N123,安値!P123&lt;安値!Q123,安値!P123&lt;安値!R123),11,""))</f>
      </c>
      <c r="L123" s="684">
        <f>IF(終値!A123="","",IF(AND(安値!Q123&lt;安値!P123,安値!Q123&lt;安値!O123,安値!Q123&lt;安値!R123,安値!Q123&lt;安値!S123),12,""))</f>
      </c>
      <c r="M123" s="684">
        <f>IF(終値!A123="","",IF(AND(安値!R123&lt;安値!Q123,安値!R123&lt;安値!P123,安値!R123&lt;安値!S123,安値!R123&lt;安値!T123),13,""))</f>
      </c>
      <c r="N123" s="684">
        <f>IF(終値!A123="","",IF(AND(安値!S123&lt;安値!R123,安値!S123&lt;安値!Q123,安値!S123&lt;安値!T123,安値!S123&lt;安値!U123),14,""))</f>
      </c>
      <c r="O123" s="684">
        <f>IF(終値!A123="","",IF(AND(安値!T123&lt;安値!S123,安値!T123&lt;安値!R123,安値!T123&lt;安値!U123,安値!T123&lt;安値!V123),15,""))</f>
      </c>
      <c r="P123" s="684">
        <f>IF(終値!A123="","",IF(AND(安値!U123&lt;安値!T123,安値!U123&lt;安値!S123,安値!U123&lt;安値!V123,安値!U123&lt;安値!W123),16,""))</f>
      </c>
      <c r="Q123" s="684">
        <f>IF(終値!A123="","",IF(AND(安値!V123&lt;安値!U123,安値!V123&lt;安値!T123,安値!V123&lt;安値!W123,安値!V123&lt;安値!X123),17,""))</f>
      </c>
      <c r="R123" s="684">
        <f>IF(終値!A123="","",IF(AND(安値!W123&lt;安値!V123,安値!W123&lt;安値!U123,安値!W123&lt;安値!X123,安値!W123&lt;安値!Y123),18,""))</f>
      </c>
      <c r="S123" s="684">
        <f>IF(終値!A123="","",IF(AND(安値!X123&lt;安値!W123,安値!X123&lt;安値!V123,安値!X123&lt;安値!Y123,安値!X123&lt;安値!Z123),19,""))</f>
      </c>
      <c r="T123" s="684">
        <f>IF(終値!A123="","",IF(AND(安値!Y123&lt;安値!X123,安値!Y123&lt;安値!W123,安値!Y123&lt;安値!Z123,安値!Y123&lt;安値!AA123),20,""))</f>
      </c>
      <c r="U123" s="684">
        <f>IF(終値!A123="","",IF(AND(安値!Z123&lt;安値!Y123,安値!Z123&lt;安値!X123,安値!Z123&lt;安値!AA123,安値!Z123&lt;安値!AB123),21,""))</f>
      </c>
      <c r="V123" s="684">
        <f>IF(終値!A123="","",IF(AND(安値!AA123&lt;安値!Z123,安値!AA123&lt;安値!Y123,安値!AA123&lt;安値!AB123,安値!AA123&lt;安値!AC123),22,""))</f>
      </c>
      <c r="W123" s="684">
        <f>IF(終値!A123="","",IF(AND(安値!AB123&lt;安値!AA123,安値!AB123&lt;安値!Z123,安値!AB123&lt;安値!AC123,安値!AB123&lt;安値!AD123),23,""))</f>
      </c>
      <c r="X123" s="684">
        <f>IF(終値!A123="","",IF(AND(安値!AC123&lt;安値!AB123,安値!AC123&lt;安値!AA123,安値!AC123&lt;安値!AD123,安値!AC123&lt;安値!AE123),24,""))</f>
      </c>
      <c r="Y123" s="684">
        <f>IF(終値!A123="","",IF(AND(安値!AD123&lt;安値!AC123,安値!AD123&lt;安値!AB123,安値!AD123&lt;安値!AE123,安値!AD123&lt;安値!AF123),25,""))</f>
      </c>
      <c r="Z123" s="684">
        <f>IF(終値!A123="","",IF(AND(安値!AE123&lt;安値!AD123,安値!AE123&lt;安値!AC123,安値!AE123&lt;安値!AF123,安値!AE123&lt;安値!AG123),26,""))</f>
      </c>
      <c r="AA123" s="684">
        <f>IF(終値!A123="","",IF(AND(安値!AF123&lt;安値!AE123,安値!AF123&lt;安値!AD123,安値!AF123&lt;安値!AG123,安値!AF123&lt;安値!AH123),27,""))</f>
      </c>
      <c r="AB123" s="684">
        <f>IF(終値!A123="","",IF(AND(安値!AG123&lt;安値!AF123,安値!AG123&lt;安値!AE123,安値!AG123&lt;安値!AH123,安値!AG123&lt;安値!AI123),28,""))</f>
      </c>
      <c r="AC123" s="684">
        <f>IF(終値!A123="","",IF(AND(高値!G123&gt;高値!F123,高値!G123&gt;高値!E123,高値!G123&gt;高値!H123,高値!G123&gt;高値!I123),2,""))</f>
      </c>
      <c r="AD123" s="684">
        <f>IF(終値!A123="","",IF(AND(高値!H123&gt;高値!G123,高値!H123&gt;高値!F123,高値!H123&gt;高値!I123,高値!H123&gt;高値!J123),3,""))</f>
      </c>
      <c r="AE123" s="684">
        <f>IF(終値!A123="","",IF(AND(高値!I123&gt;高値!H123,高値!I123&gt;高値!G123,高値!I123&gt;高値!J123,高値!I123&gt;高値!K123),4,""))</f>
      </c>
      <c r="AF123" s="684">
        <f>IF(終値!A123="","",IF(AND(高値!J123&gt;高値!I123,高値!J123&gt;高値!H123,高値!J123&gt;高値!K123,高値!J123&gt;高値!L123),5,""))</f>
      </c>
      <c r="AG123" s="684">
        <f>IF(終値!A123="","",IF(AND(高値!K123&gt;高値!J123,高値!K123&gt;高値!I123,高値!K123&gt;高値!L123,高値!K123&gt;高値!M123),6,""))</f>
      </c>
      <c r="AH123" s="684">
        <f>IF(終値!A123="","",IF(AND(高値!L123&gt;高値!K123,高値!L123&gt;高値!J123,高値!L123&gt;高値!M123,高値!L123&gt;高値!N123),7,""))</f>
      </c>
      <c r="AI123" s="684">
        <f>IF(終値!A123="","",IF(AND(高値!M123&gt;高値!L123,高値!M123&gt;高値!K123,高値!M123&gt;高値!N123,高値!M123&gt;高値!O123),8,""))</f>
      </c>
      <c r="AJ123" s="684">
        <f>IF(終値!A123="","",IF(AND(高値!N123&gt;高値!M123,高値!N123&gt;高値!L123,高値!N123&gt;高値!O123,高値!N123&gt;高値!P123),9,""))</f>
      </c>
      <c r="AK123" s="684">
        <f>IF(終値!A123="","",IF(AND(高値!O123&gt;高値!N123,高値!O123&gt;高値!M123,高値!O123&gt;高値!P123,高値!O123&gt;高値!Q123),10,""))</f>
      </c>
      <c r="AL123" s="684">
        <f>IF(終値!A123="","",IF(AND(高値!P123&gt;高値!O123,高値!P123&gt;高値!N123,高値!P123&gt;高値!Q123,高値!P123&gt;高値!R123),11,""))</f>
      </c>
      <c r="AM123" s="684">
        <f>IF(終値!A123="","",IF(AND(高値!Q123&gt;高値!P123,高値!Q123&gt;高値!O123,高値!Q123&gt;高値!R123,高値!Q123&gt;高値!S123),12,""))</f>
      </c>
      <c r="AN123" s="684">
        <f>IF(終値!A123="","",IF(AND(高値!R123&gt;高値!Q123,高値!R123&gt;高値!P123,高値!R123&gt;高値!S123,高値!R123&gt;高値!T123),13,""))</f>
      </c>
      <c r="AO123" s="684">
        <f>IF(終値!A123="","",IF(AND(高値!S123&gt;高値!R123,高値!S123&gt;高値!Q123,高値!S123&gt;高値!T123,高値!S123&gt;高値!U123),14,""))</f>
      </c>
      <c r="AP123" s="684">
        <f>IF(終値!A123="","",IF(AND(高値!T123&gt;高値!S123,高値!T123&gt;高値!R123,高値!T123&gt;高値!U123,高値!T123&gt;高値!V123),15,""))</f>
      </c>
      <c r="AQ123" s="684">
        <f>IF(終値!A123="","",IF(AND(高値!U123&gt;高値!T123,高値!U123&gt;高値!S123,高値!U123&gt;高値!V123,高値!U123&gt;高値!W123),16,""))</f>
      </c>
      <c r="AR123" s="684">
        <f>IF(終値!A123="","",IF(AND(高値!V123&gt;高値!U123,高値!V123&gt;高値!T123,高値!V123&gt;高値!W123,高値!V123&gt;高値!X123),17,""))</f>
      </c>
      <c r="AS123" s="684">
        <f>IF(終値!A123="","",IF(AND(高値!W123&gt;高値!V123,高値!W123&gt;高値!U123,高値!W123&gt;高値!X123,高値!W123&gt;高値!Y123),18,""))</f>
      </c>
      <c r="AT123" s="684">
        <f>IF(終値!A123="","",IF(AND(高値!X123&gt;高値!W123,高値!X123&gt;高値!V123,高値!X123&gt;高値!Y123,高値!X123&gt;高値!Z123),19,""))</f>
      </c>
      <c r="AU123" s="684">
        <f>IF(終値!A123="","",IF(AND(高値!Y123&gt;高値!X123,高値!Y123&gt;高値!W123,高値!Y123&gt;高値!Z123,高値!Y123&gt;高値!AA123),20,""))</f>
      </c>
      <c r="AV123" s="684">
        <f>IF(終値!A123="","",IF(AND(高値!Z123&gt;高値!Y123,高値!Z123&gt;高値!X123,高値!Z123&gt;高値!AA123,高値!Z123&gt;高値!AB123),21,""))</f>
      </c>
      <c r="AW123" s="684">
        <f>IF(終値!A123="","",IF(AND(高値!AA123&gt;高値!Z123,高値!AA123&gt;高値!Y123,高値!AA123&gt;高値!AB123,高値!AA123&gt;高値!AC123),22,""))</f>
      </c>
      <c r="AX123" s="684">
        <f>IF(終値!A123="","",IF(AND(高値!AB123&gt;高値!AA123,高値!AB123&gt;高値!Z123,高値!AB123&gt;高値!AC123,高値!AB123&gt;高値!AD123),23,""))</f>
      </c>
      <c r="AY123" s="684">
        <f>IF(終値!A123="","",IF(AND(高値!AC123&gt;高値!AB123,高値!AC123&gt;高値!AA123,高値!AC123&gt;高値!AD123,高値!AC123&gt;高値!AE123),24,""))</f>
      </c>
      <c r="AZ123" s="684">
        <f>IF(終値!A123="","",IF(AND(高値!AD123&gt;高値!AC123,高値!AD123&gt;高値!AB123,高値!AD123&gt;高値!AE123,高値!AD123&gt;高値!AF123),25,""))</f>
      </c>
      <c r="BA123" s="684">
        <f>IF(終値!A123="","",IF(AND(高値!AE123&gt;高値!AD123,高値!AE123&gt;高値!AC123,高値!AE123&gt;高値!AF123,高値!AE123&gt;高値!AG123),26,""))</f>
      </c>
      <c r="BB123" s="684">
        <f>IF(終値!A123="","",IF(AND(高値!AF123&gt;高値!AE123,高値!AF123&gt;高値!AD123,高値!AF123&gt;高値!AG123,高値!AF123&gt;高値!AH123),27,""))</f>
      </c>
      <c r="BC123" s="684">
        <f>IF(終値!A123="","",IF(AND(高値!AG123&gt;高値!AF123,高値!AG123&gt;高値!AE123,高値!AG123&gt;高値!AH123,高値!AG123&gt;高値!AI123),28,""))</f>
      </c>
      <c r="BD123" s="684">
        <f>COUNT($B123:$AB123)</f>
      </c>
      <c r="BE123" s="684">
        <f>IF($BD123&gt;=2,MIN($B123:$AB123),"")</f>
      </c>
      <c r="BF123" s="684">
        <f>IF($BD123&gt;=2,SMALL($B123:$AB123,2),"")</f>
      </c>
      <c r="BG123" s="684">
        <f>IF($BE123="","",INDEX(安値!$E123:$CZ123,1,$BE123+1))</f>
      </c>
      <c r="BH123" s="684">
        <f>IF($BF123="","",INDEX(安値!$E123:$CZ123,1,$BF123+1))</f>
      </c>
      <c r="BI123" s="684">
        <f>IF($BF123="","",MAX(INDEX(高値!$E123:$CZ123,1,$BE123+1):INDEX(高値!$E123:$CZ123,1,$BF123+1)))</f>
      </c>
      <c r="BJ123" s="684">
        <f>IF($BF123="","",AVERAGE(INDEX(終値!$E123:$CZ123,1,$BF123+1):INDEX(終値!$E123:$CZ123,1,$BF123+20))-2*STDEVP(INDEX(終値!$E123:$CZ123,1,$BF123+1):INDEX(終値!$E123:$CZ123,1,$BF123+20)))</f>
      </c>
      <c r="BK123" s="684">
        <f>IF($BE123="","",AVERAGE(INDEX(終値!$E123:$CZ123,1,$BE123+1):INDEX(終値!$E123:$CZ123,1,$BE123+20))-2*STDEVP(INDEX(終値!$E123:$CZ123,1,$BE123+1):INDEX(終値!$E123:$CZ123,1,$BE123+20)))</f>
      </c>
      <c r="BL123" s="684">
        <f>COUNT($AC123:$BC123)</f>
      </c>
      <c r="BM123" s="684">
        <f>IF($BL123&gt;=2,MIN($AC123:$BC123),"")</f>
      </c>
      <c r="BN123" s="684">
        <f>IF($BL123&gt;=2,SMALL($AC123:$BC123,2),"")</f>
      </c>
      <c r="BO123" s="684">
        <f>IF($BM123="","",INDEX(高値!$E123:$CZ123,1,$BM123+1))</f>
      </c>
      <c r="BP123" s="684">
        <f>IF($BN123="","",INDEX(高値!$E123:$CZ123,1,$BN123+1))</f>
      </c>
      <c r="BQ123" s="684">
        <f>IF($BN123="","",MIN(INDEX(安値!$E123:$CZ123,1,$BM123+1):INDEX(安値!$E123:$CZ123,1,$BN123+1)))</f>
      </c>
      <c r="BR123" s="684">
        <f>IF($BN123="","",AVERAGE(INDEX(終値!$E123:$CZ123,1,$BN123+1):INDEX(終値!$E123:$CZ123,1,$BN123+20))+2*STDEVP(INDEX(終値!$E123:$CZ123,1,$BN123+1):INDEX(終値!$E123:$CZ123,1,$BN123+20)))</f>
      </c>
      <c r="BS123" s="684">
        <f>IF($BM123="","",AVERAGE(INDEX(終値!$E123:$CZ123,1,$BM123+1):INDEX(終値!$E123:$CZ123,1,$BM123+20))+2*STDEVP(INDEX(終値!$E123:$CZ123,1,$BM123+1):INDEX(終値!$E123:$CZ123,1,$BM123+20)))</f>
      </c>
      <c r="BT123" s="681">
        <f>IFERROR(IF(AND($BD123&gt;=2,ABS($BG123-$BH123)/$BH123&lt;=BB設定!$B$12,$BI123&gt;=MAX($BH123,$BG123)*(1+BB設定!$B$13),終値!E123&gt;$BG123),IF(OR(終値!E123&gt;=$BI123,AND($BH123&lt;$BJ123,$BG123&gt;=$BK123)),"二番底W▲","二番底W形成"),IF(AND($BL123&gt;=2,ABS($BO123-$BP123)/$BP123&lt;=BB設定!$B$12,$BQ123&lt;=MIN($BP123,$BO123)*(1-BB設定!$B$13),終値!E123&lt;$BO123),IF(OR(終値!E123&lt;=$BQ123,AND($BP123&gt;$BR123,$BO123&lt;=$BS123)),"二番天井M▼","二番天井M形成"),"－")),"－")</f>
      </c>
    </row>
    <row r="124">
      <c r="B124" s="684">
        <f>IF(終値!A124="","",IF(AND(安値!G124&lt;安値!F124,安値!G124&lt;安値!E124,安値!G124&lt;安値!H124,安値!G124&lt;安値!I124),2,""))</f>
      </c>
      <c r="C124" s="684">
        <f>IF(終値!A124="","",IF(AND(安値!H124&lt;安値!G124,安値!H124&lt;安値!F124,安値!H124&lt;安値!I124,安値!H124&lt;安値!J124),3,""))</f>
      </c>
      <c r="D124" s="684">
        <f>IF(終値!A124="","",IF(AND(安値!I124&lt;安値!H124,安値!I124&lt;安値!G124,安値!I124&lt;安値!J124,安値!I124&lt;安値!K124),4,""))</f>
      </c>
      <c r="E124" s="684">
        <f>IF(終値!A124="","",IF(AND(安値!J124&lt;安値!I124,安値!J124&lt;安値!H124,安値!J124&lt;安値!K124,安値!J124&lt;安値!L124),5,""))</f>
      </c>
      <c r="F124" s="684">
        <f>IF(終値!A124="","",IF(AND(安値!K124&lt;安値!J124,安値!K124&lt;安値!I124,安値!K124&lt;安値!L124,安値!K124&lt;安値!M124),6,""))</f>
      </c>
      <c r="G124" s="684">
        <f>IF(終値!A124="","",IF(AND(安値!L124&lt;安値!K124,安値!L124&lt;安値!J124,安値!L124&lt;安値!M124,安値!L124&lt;安値!N124),7,""))</f>
      </c>
      <c r="H124" s="684">
        <f>IF(終値!A124="","",IF(AND(安値!M124&lt;安値!L124,安値!M124&lt;安値!K124,安値!M124&lt;安値!N124,安値!M124&lt;安値!O124),8,""))</f>
      </c>
      <c r="I124" s="684">
        <f>IF(終値!A124="","",IF(AND(安値!N124&lt;安値!M124,安値!N124&lt;安値!L124,安値!N124&lt;安値!O124,安値!N124&lt;安値!P124),9,""))</f>
      </c>
      <c r="J124" s="684">
        <f>IF(終値!A124="","",IF(AND(安値!O124&lt;安値!N124,安値!O124&lt;安値!M124,安値!O124&lt;安値!P124,安値!O124&lt;安値!Q124),10,""))</f>
      </c>
      <c r="K124" s="684">
        <f>IF(終値!A124="","",IF(AND(安値!P124&lt;安値!O124,安値!P124&lt;安値!N124,安値!P124&lt;安値!Q124,安値!P124&lt;安値!R124),11,""))</f>
      </c>
      <c r="L124" s="684">
        <f>IF(終値!A124="","",IF(AND(安値!Q124&lt;安値!P124,安値!Q124&lt;安値!O124,安値!Q124&lt;安値!R124,安値!Q124&lt;安値!S124),12,""))</f>
      </c>
      <c r="M124" s="684">
        <f>IF(終値!A124="","",IF(AND(安値!R124&lt;安値!Q124,安値!R124&lt;安値!P124,安値!R124&lt;安値!S124,安値!R124&lt;安値!T124),13,""))</f>
      </c>
      <c r="N124" s="684">
        <f>IF(終値!A124="","",IF(AND(安値!S124&lt;安値!R124,安値!S124&lt;安値!Q124,安値!S124&lt;安値!T124,安値!S124&lt;安値!U124),14,""))</f>
      </c>
      <c r="O124" s="684">
        <f>IF(終値!A124="","",IF(AND(安値!T124&lt;安値!S124,安値!T124&lt;安値!R124,安値!T124&lt;安値!U124,安値!T124&lt;安値!V124),15,""))</f>
      </c>
      <c r="P124" s="684">
        <f>IF(終値!A124="","",IF(AND(安値!U124&lt;安値!T124,安値!U124&lt;安値!S124,安値!U124&lt;安値!V124,安値!U124&lt;安値!W124),16,""))</f>
      </c>
      <c r="Q124" s="684">
        <f>IF(終値!A124="","",IF(AND(安値!V124&lt;安値!U124,安値!V124&lt;安値!T124,安値!V124&lt;安値!W124,安値!V124&lt;安値!X124),17,""))</f>
      </c>
      <c r="R124" s="684">
        <f>IF(終値!A124="","",IF(AND(安値!W124&lt;安値!V124,安値!W124&lt;安値!U124,安値!W124&lt;安値!X124,安値!W124&lt;安値!Y124),18,""))</f>
      </c>
      <c r="S124" s="684">
        <f>IF(終値!A124="","",IF(AND(安値!X124&lt;安値!W124,安値!X124&lt;安値!V124,安値!X124&lt;安値!Y124,安値!X124&lt;安値!Z124),19,""))</f>
      </c>
      <c r="T124" s="684">
        <f>IF(終値!A124="","",IF(AND(安値!Y124&lt;安値!X124,安値!Y124&lt;安値!W124,安値!Y124&lt;安値!Z124,安値!Y124&lt;安値!AA124),20,""))</f>
      </c>
      <c r="U124" s="684">
        <f>IF(終値!A124="","",IF(AND(安値!Z124&lt;安値!Y124,安値!Z124&lt;安値!X124,安値!Z124&lt;安値!AA124,安値!Z124&lt;安値!AB124),21,""))</f>
      </c>
      <c r="V124" s="684">
        <f>IF(終値!A124="","",IF(AND(安値!AA124&lt;安値!Z124,安値!AA124&lt;安値!Y124,安値!AA124&lt;安値!AB124,安値!AA124&lt;安値!AC124),22,""))</f>
      </c>
      <c r="W124" s="684">
        <f>IF(終値!A124="","",IF(AND(安値!AB124&lt;安値!AA124,安値!AB124&lt;安値!Z124,安値!AB124&lt;安値!AC124,安値!AB124&lt;安値!AD124),23,""))</f>
      </c>
      <c r="X124" s="684">
        <f>IF(終値!A124="","",IF(AND(安値!AC124&lt;安値!AB124,安値!AC124&lt;安値!AA124,安値!AC124&lt;安値!AD124,安値!AC124&lt;安値!AE124),24,""))</f>
      </c>
      <c r="Y124" s="684">
        <f>IF(終値!A124="","",IF(AND(安値!AD124&lt;安値!AC124,安値!AD124&lt;安値!AB124,安値!AD124&lt;安値!AE124,安値!AD124&lt;安値!AF124),25,""))</f>
      </c>
      <c r="Z124" s="684">
        <f>IF(終値!A124="","",IF(AND(安値!AE124&lt;安値!AD124,安値!AE124&lt;安値!AC124,安値!AE124&lt;安値!AF124,安値!AE124&lt;安値!AG124),26,""))</f>
      </c>
      <c r="AA124" s="684">
        <f>IF(終値!A124="","",IF(AND(安値!AF124&lt;安値!AE124,安値!AF124&lt;安値!AD124,安値!AF124&lt;安値!AG124,安値!AF124&lt;安値!AH124),27,""))</f>
      </c>
      <c r="AB124" s="684">
        <f>IF(終値!A124="","",IF(AND(安値!AG124&lt;安値!AF124,安値!AG124&lt;安値!AE124,安値!AG124&lt;安値!AH124,安値!AG124&lt;安値!AI124),28,""))</f>
      </c>
      <c r="AC124" s="684">
        <f>IF(終値!A124="","",IF(AND(高値!G124&gt;高値!F124,高値!G124&gt;高値!E124,高値!G124&gt;高値!H124,高値!G124&gt;高値!I124),2,""))</f>
      </c>
      <c r="AD124" s="684">
        <f>IF(終値!A124="","",IF(AND(高値!H124&gt;高値!G124,高値!H124&gt;高値!F124,高値!H124&gt;高値!I124,高値!H124&gt;高値!J124),3,""))</f>
      </c>
      <c r="AE124" s="684">
        <f>IF(終値!A124="","",IF(AND(高値!I124&gt;高値!H124,高値!I124&gt;高値!G124,高値!I124&gt;高値!J124,高値!I124&gt;高値!K124),4,""))</f>
      </c>
      <c r="AF124" s="684">
        <f>IF(終値!A124="","",IF(AND(高値!J124&gt;高値!I124,高値!J124&gt;高値!H124,高値!J124&gt;高値!K124,高値!J124&gt;高値!L124),5,""))</f>
      </c>
      <c r="AG124" s="684">
        <f>IF(終値!A124="","",IF(AND(高値!K124&gt;高値!J124,高値!K124&gt;高値!I124,高値!K124&gt;高値!L124,高値!K124&gt;高値!M124),6,""))</f>
      </c>
      <c r="AH124" s="684">
        <f>IF(終値!A124="","",IF(AND(高値!L124&gt;高値!K124,高値!L124&gt;高値!J124,高値!L124&gt;高値!M124,高値!L124&gt;高値!N124),7,""))</f>
      </c>
      <c r="AI124" s="684">
        <f>IF(終値!A124="","",IF(AND(高値!M124&gt;高値!L124,高値!M124&gt;高値!K124,高値!M124&gt;高値!N124,高値!M124&gt;高値!O124),8,""))</f>
      </c>
      <c r="AJ124" s="684">
        <f>IF(終値!A124="","",IF(AND(高値!N124&gt;高値!M124,高値!N124&gt;高値!L124,高値!N124&gt;高値!O124,高値!N124&gt;高値!P124),9,""))</f>
      </c>
      <c r="AK124" s="684">
        <f>IF(終値!A124="","",IF(AND(高値!O124&gt;高値!N124,高値!O124&gt;高値!M124,高値!O124&gt;高値!P124,高値!O124&gt;高値!Q124),10,""))</f>
      </c>
      <c r="AL124" s="684">
        <f>IF(終値!A124="","",IF(AND(高値!P124&gt;高値!O124,高値!P124&gt;高値!N124,高値!P124&gt;高値!Q124,高値!P124&gt;高値!R124),11,""))</f>
      </c>
      <c r="AM124" s="684">
        <f>IF(終値!A124="","",IF(AND(高値!Q124&gt;高値!P124,高値!Q124&gt;高値!O124,高値!Q124&gt;高値!R124,高値!Q124&gt;高値!S124),12,""))</f>
      </c>
      <c r="AN124" s="684">
        <f>IF(終値!A124="","",IF(AND(高値!R124&gt;高値!Q124,高値!R124&gt;高値!P124,高値!R124&gt;高値!S124,高値!R124&gt;高値!T124),13,""))</f>
      </c>
      <c r="AO124" s="684">
        <f>IF(終値!A124="","",IF(AND(高値!S124&gt;高値!R124,高値!S124&gt;高値!Q124,高値!S124&gt;高値!T124,高値!S124&gt;高値!U124),14,""))</f>
      </c>
      <c r="AP124" s="684">
        <f>IF(終値!A124="","",IF(AND(高値!T124&gt;高値!S124,高値!T124&gt;高値!R124,高値!T124&gt;高値!U124,高値!T124&gt;高値!V124),15,""))</f>
      </c>
      <c r="AQ124" s="684">
        <f>IF(終値!A124="","",IF(AND(高値!U124&gt;高値!T124,高値!U124&gt;高値!S124,高値!U124&gt;高値!V124,高値!U124&gt;高値!W124),16,""))</f>
      </c>
      <c r="AR124" s="684">
        <f>IF(終値!A124="","",IF(AND(高値!V124&gt;高値!U124,高値!V124&gt;高値!T124,高値!V124&gt;高値!W124,高値!V124&gt;高値!X124),17,""))</f>
      </c>
      <c r="AS124" s="684">
        <f>IF(終値!A124="","",IF(AND(高値!W124&gt;高値!V124,高値!W124&gt;高値!U124,高値!W124&gt;高値!X124,高値!W124&gt;高値!Y124),18,""))</f>
      </c>
      <c r="AT124" s="684">
        <f>IF(終値!A124="","",IF(AND(高値!X124&gt;高値!W124,高値!X124&gt;高値!V124,高値!X124&gt;高値!Y124,高値!X124&gt;高値!Z124),19,""))</f>
      </c>
      <c r="AU124" s="684">
        <f>IF(終値!A124="","",IF(AND(高値!Y124&gt;高値!X124,高値!Y124&gt;高値!W124,高値!Y124&gt;高値!Z124,高値!Y124&gt;高値!AA124),20,""))</f>
      </c>
      <c r="AV124" s="684">
        <f>IF(終値!A124="","",IF(AND(高値!Z124&gt;高値!Y124,高値!Z124&gt;高値!X124,高値!Z124&gt;高値!AA124,高値!Z124&gt;高値!AB124),21,""))</f>
      </c>
      <c r="AW124" s="684">
        <f>IF(終値!A124="","",IF(AND(高値!AA124&gt;高値!Z124,高値!AA124&gt;高値!Y124,高値!AA124&gt;高値!AB124,高値!AA124&gt;高値!AC124),22,""))</f>
      </c>
      <c r="AX124" s="684">
        <f>IF(終値!A124="","",IF(AND(高値!AB124&gt;高値!AA124,高値!AB124&gt;高値!Z124,高値!AB124&gt;高値!AC124,高値!AB124&gt;高値!AD124),23,""))</f>
      </c>
      <c r="AY124" s="684">
        <f>IF(終値!A124="","",IF(AND(高値!AC124&gt;高値!AB124,高値!AC124&gt;高値!AA124,高値!AC124&gt;高値!AD124,高値!AC124&gt;高値!AE124),24,""))</f>
      </c>
      <c r="AZ124" s="684">
        <f>IF(終値!A124="","",IF(AND(高値!AD124&gt;高値!AC124,高値!AD124&gt;高値!AB124,高値!AD124&gt;高値!AE124,高値!AD124&gt;高値!AF124),25,""))</f>
      </c>
      <c r="BA124" s="684">
        <f>IF(終値!A124="","",IF(AND(高値!AE124&gt;高値!AD124,高値!AE124&gt;高値!AC124,高値!AE124&gt;高値!AF124,高値!AE124&gt;高値!AG124),26,""))</f>
      </c>
      <c r="BB124" s="684">
        <f>IF(終値!A124="","",IF(AND(高値!AF124&gt;高値!AE124,高値!AF124&gt;高値!AD124,高値!AF124&gt;高値!AG124,高値!AF124&gt;高値!AH124),27,""))</f>
      </c>
      <c r="BC124" s="684">
        <f>IF(終値!A124="","",IF(AND(高値!AG124&gt;高値!AF124,高値!AG124&gt;高値!AE124,高値!AG124&gt;高値!AH124,高値!AG124&gt;高値!AI124),28,""))</f>
      </c>
      <c r="BD124" s="684">
        <f>COUNT($B124:$AB124)</f>
      </c>
      <c r="BE124" s="684">
        <f>IF($BD124&gt;=2,MIN($B124:$AB124),"")</f>
      </c>
      <c r="BF124" s="684">
        <f>IF($BD124&gt;=2,SMALL($B124:$AB124,2),"")</f>
      </c>
      <c r="BG124" s="684">
        <f>IF($BE124="","",INDEX(安値!$E124:$CZ124,1,$BE124+1))</f>
      </c>
      <c r="BH124" s="684">
        <f>IF($BF124="","",INDEX(安値!$E124:$CZ124,1,$BF124+1))</f>
      </c>
      <c r="BI124" s="684">
        <f>IF($BF124="","",MAX(INDEX(高値!$E124:$CZ124,1,$BE124+1):INDEX(高値!$E124:$CZ124,1,$BF124+1)))</f>
      </c>
      <c r="BJ124" s="684">
        <f>IF($BF124="","",AVERAGE(INDEX(終値!$E124:$CZ124,1,$BF124+1):INDEX(終値!$E124:$CZ124,1,$BF124+20))-2*STDEVP(INDEX(終値!$E124:$CZ124,1,$BF124+1):INDEX(終値!$E124:$CZ124,1,$BF124+20)))</f>
      </c>
      <c r="BK124" s="684">
        <f>IF($BE124="","",AVERAGE(INDEX(終値!$E124:$CZ124,1,$BE124+1):INDEX(終値!$E124:$CZ124,1,$BE124+20))-2*STDEVP(INDEX(終値!$E124:$CZ124,1,$BE124+1):INDEX(終値!$E124:$CZ124,1,$BE124+20)))</f>
      </c>
      <c r="BL124" s="684">
        <f>COUNT($AC124:$BC124)</f>
      </c>
      <c r="BM124" s="684">
        <f>IF($BL124&gt;=2,MIN($AC124:$BC124),"")</f>
      </c>
      <c r="BN124" s="684">
        <f>IF($BL124&gt;=2,SMALL($AC124:$BC124,2),"")</f>
      </c>
      <c r="BO124" s="684">
        <f>IF($BM124="","",INDEX(高値!$E124:$CZ124,1,$BM124+1))</f>
      </c>
      <c r="BP124" s="684">
        <f>IF($BN124="","",INDEX(高値!$E124:$CZ124,1,$BN124+1))</f>
      </c>
      <c r="BQ124" s="684">
        <f>IF($BN124="","",MIN(INDEX(安値!$E124:$CZ124,1,$BM124+1):INDEX(安値!$E124:$CZ124,1,$BN124+1)))</f>
      </c>
      <c r="BR124" s="684">
        <f>IF($BN124="","",AVERAGE(INDEX(終値!$E124:$CZ124,1,$BN124+1):INDEX(終値!$E124:$CZ124,1,$BN124+20))+2*STDEVP(INDEX(終値!$E124:$CZ124,1,$BN124+1):INDEX(終値!$E124:$CZ124,1,$BN124+20)))</f>
      </c>
      <c r="BS124" s="684">
        <f>IF($BM124="","",AVERAGE(INDEX(終値!$E124:$CZ124,1,$BM124+1):INDEX(終値!$E124:$CZ124,1,$BM124+20))+2*STDEVP(INDEX(終値!$E124:$CZ124,1,$BM124+1):INDEX(終値!$E124:$CZ124,1,$BM124+20)))</f>
      </c>
      <c r="BT124" s="681">
        <f>IFERROR(IF(AND($BD124&gt;=2,ABS($BG124-$BH124)/$BH124&lt;=BB設定!$B$12,$BI124&gt;=MAX($BH124,$BG124)*(1+BB設定!$B$13),終値!E124&gt;$BG124),IF(OR(終値!E124&gt;=$BI124,AND($BH124&lt;$BJ124,$BG124&gt;=$BK124)),"二番底W▲","二番底W形成"),IF(AND($BL124&gt;=2,ABS($BO124-$BP124)/$BP124&lt;=BB設定!$B$12,$BQ124&lt;=MIN($BP124,$BO124)*(1-BB設定!$B$13),終値!E124&lt;$BO124),IF(OR(終値!E124&lt;=$BQ124,AND($BP124&gt;$BR124,$BO124&lt;=$BS124)),"二番天井M▼","二番天井M形成"),"－")),"－")</f>
      </c>
    </row>
    <row r="125">
      <c r="B125" s="684">
        <f>IF(終値!A125="","",IF(AND(安値!G125&lt;安値!F125,安値!G125&lt;安値!E125,安値!G125&lt;安値!H125,安値!G125&lt;安値!I125),2,""))</f>
      </c>
      <c r="C125" s="684">
        <f>IF(終値!A125="","",IF(AND(安値!H125&lt;安値!G125,安値!H125&lt;安値!F125,安値!H125&lt;安値!I125,安値!H125&lt;安値!J125),3,""))</f>
      </c>
      <c r="D125" s="684">
        <f>IF(終値!A125="","",IF(AND(安値!I125&lt;安値!H125,安値!I125&lt;安値!G125,安値!I125&lt;安値!J125,安値!I125&lt;安値!K125),4,""))</f>
      </c>
      <c r="E125" s="684">
        <f>IF(終値!A125="","",IF(AND(安値!J125&lt;安値!I125,安値!J125&lt;安値!H125,安値!J125&lt;安値!K125,安値!J125&lt;安値!L125),5,""))</f>
      </c>
      <c r="F125" s="684">
        <f>IF(終値!A125="","",IF(AND(安値!K125&lt;安値!J125,安値!K125&lt;安値!I125,安値!K125&lt;安値!L125,安値!K125&lt;安値!M125),6,""))</f>
      </c>
      <c r="G125" s="684">
        <f>IF(終値!A125="","",IF(AND(安値!L125&lt;安値!K125,安値!L125&lt;安値!J125,安値!L125&lt;安値!M125,安値!L125&lt;安値!N125),7,""))</f>
      </c>
      <c r="H125" s="684">
        <f>IF(終値!A125="","",IF(AND(安値!M125&lt;安値!L125,安値!M125&lt;安値!K125,安値!M125&lt;安値!N125,安値!M125&lt;安値!O125),8,""))</f>
      </c>
      <c r="I125" s="684">
        <f>IF(終値!A125="","",IF(AND(安値!N125&lt;安値!M125,安値!N125&lt;安値!L125,安値!N125&lt;安値!O125,安値!N125&lt;安値!P125),9,""))</f>
      </c>
      <c r="J125" s="684">
        <f>IF(終値!A125="","",IF(AND(安値!O125&lt;安値!N125,安値!O125&lt;安値!M125,安値!O125&lt;安値!P125,安値!O125&lt;安値!Q125),10,""))</f>
      </c>
      <c r="K125" s="684">
        <f>IF(終値!A125="","",IF(AND(安値!P125&lt;安値!O125,安値!P125&lt;安値!N125,安値!P125&lt;安値!Q125,安値!P125&lt;安値!R125),11,""))</f>
      </c>
      <c r="L125" s="684">
        <f>IF(終値!A125="","",IF(AND(安値!Q125&lt;安値!P125,安値!Q125&lt;安値!O125,安値!Q125&lt;安値!R125,安値!Q125&lt;安値!S125),12,""))</f>
      </c>
      <c r="M125" s="684">
        <f>IF(終値!A125="","",IF(AND(安値!R125&lt;安値!Q125,安値!R125&lt;安値!P125,安値!R125&lt;安値!S125,安値!R125&lt;安値!T125),13,""))</f>
      </c>
      <c r="N125" s="684">
        <f>IF(終値!A125="","",IF(AND(安値!S125&lt;安値!R125,安値!S125&lt;安値!Q125,安値!S125&lt;安値!T125,安値!S125&lt;安値!U125),14,""))</f>
      </c>
      <c r="O125" s="684">
        <f>IF(終値!A125="","",IF(AND(安値!T125&lt;安値!S125,安値!T125&lt;安値!R125,安値!T125&lt;安値!U125,安値!T125&lt;安値!V125),15,""))</f>
      </c>
      <c r="P125" s="684">
        <f>IF(終値!A125="","",IF(AND(安値!U125&lt;安値!T125,安値!U125&lt;安値!S125,安値!U125&lt;安値!V125,安値!U125&lt;安値!W125),16,""))</f>
      </c>
      <c r="Q125" s="684">
        <f>IF(終値!A125="","",IF(AND(安値!V125&lt;安値!U125,安値!V125&lt;安値!T125,安値!V125&lt;安値!W125,安値!V125&lt;安値!X125),17,""))</f>
      </c>
      <c r="R125" s="684">
        <f>IF(終値!A125="","",IF(AND(安値!W125&lt;安値!V125,安値!W125&lt;安値!U125,安値!W125&lt;安値!X125,安値!W125&lt;安値!Y125),18,""))</f>
      </c>
      <c r="S125" s="684">
        <f>IF(終値!A125="","",IF(AND(安値!X125&lt;安値!W125,安値!X125&lt;安値!V125,安値!X125&lt;安値!Y125,安値!X125&lt;安値!Z125),19,""))</f>
      </c>
      <c r="T125" s="684">
        <f>IF(終値!A125="","",IF(AND(安値!Y125&lt;安値!X125,安値!Y125&lt;安値!W125,安値!Y125&lt;安値!Z125,安値!Y125&lt;安値!AA125),20,""))</f>
      </c>
      <c r="U125" s="684">
        <f>IF(終値!A125="","",IF(AND(安値!Z125&lt;安値!Y125,安値!Z125&lt;安値!X125,安値!Z125&lt;安値!AA125,安値!Z125&lt;安値!AB125),21,""))</f>
      </c>
      <c r="V125" s="684">
        <f>IF(終値!A125="","",IF(AND(安値!AA125&lt;安値!Z125,安値!AA125&lt;安値!Y125,安値!AA125&lt;安値!AB125,安値!AA125&lt;安値!AC125),22,""))</f>
      </c>
      <c r="W125" s="684">
        <f>IF(終値!A125="","",IF(AND(安値!AB125&lt;安値!AA125,安値!AB125&lt;安値!Z125,安値!AB125&lt;安値!AC125,安値!AB125&lt;安値!AD125),23,""))</f>
      </c>
      <c r="X125" s="684">
        <f>IF(終値!A125="","",IF(AND(安値!AC125&lt;安値!AB125,安値!AC125&lt;安値!AA125,安値!AC125&lt;安値!AD125,安値!AC125&lt;安値!AE125),24,""))</f>
      </c>
      <c r="Y125" s="684">
        <f>IF(終値!A125="","",IF(AND(安値!AD125&lt;安値!AC125,安値!AD125&lt;安値!AB125,安値!AD125&lt;安値!AE125,安値!AD125&lt;安値!AF125),25,""))</f>
      </c>
      <c r="Z125" s="684">
        <f>IF(終値!A125="","",IF(AND(安値!AE125&lt;安値!AD125,安値!AE125&lt;安値!AC125,安値!AE125&lt;安値!AF125,安値!AE125&lt;安値!AG125),26,""))</f>
      </c>
      <c r="AA125" s="684">
        <f>IF(終値!A125="","",IF(AND(安値!AF125&lt;安値!AE125,安値!AF125&lt;安値!AD125,安値!AF125&lt;安値!AG125,安値!AF125&lt;安値!AH125),27,""))</f>
      </c>
      <c r="AB125" s="684">
        <f>IF(終値!A125="","",IF(AND(安値!AG125&lt;安値!AF125,安値!AG125&lt;安値!AE125,安値!AG125&lt;安値!AH125,安値!AG125&lt;安値!AI125),28,""))</f>
      </c>
      <c r="AC125" s="684">
        <f>IF(終値!A125="","",IF(AND(高値!G125&gt;高値!F125,高値!G125&gt;高値!E125,高値!G125&gt;高値!H125,高値!G125&gt;高値!I125),2,""))</f>
      </c>
      <c r="AD125" s="684">
        <f>IF(終値!A125="","",IF(AND(高値!H125&gt;高値!G125,高値!H125&gt;高値!F125,高値!H125&gt;高値!I125,高値!H125&gt;高値!J125),3,""))</f>
      </c>
      <c r="AE125" s="684">
        <f>IF(終値!A125="","",IF(AND(高値!I125&gt;高値!H125,高値!I125&gt;高値!G125,高値!I125&gt;高値!J125,高値!I125&gt;高値!K125),4,""))</f>
      </c>
      <c r="AF125" s="684">
        <f>IF(終値!A125="","",IF(AND(高値!J125&gt;高値!I125,高値!J125&gt;高値!H125,高値!J125&gt;高値!K125,高値!J125&gt;高値!L125),5,""))</f>
      </c>
      <c r="AG125" s="684">
        <f>IF(終値!A125="","",IF(AND(高値!K125&gt;高値!J125,高値!K125&gt;高値!I125,高値!K125&gt;高値!L125,高値!K125&gt;高値!M125),6,""))</f>
      </c>
      <c r="AH125" s="684">
        <f>IF(終値!A125="","",IF(AND(高値!L125&gt;高値!K125,高値!L125&gt;高値!J125,高値!L125&gt;高値!M125,高値!L125&gt;高値!N125),7,""))</f>
      </c>
      <c r="AI125" s="684">
        <f>IF(終値!A125="","",IF(AND(高値!M125&gt;高値!L125,高値!M125&gt;高値!K125,高値!M125&gt;高値!N125,高値!M125&gt;高値!O125),8,""))</f>
      </c>
      <c r="AJ125" s="684">
        <f>IF(終値!A125="","",IF(AND(高値!N125&gt;高値!M125,高値!N125&gt;高値!L125,高値!N125&gt;高値!O125,高値!N125&gt;高値!P125),9,""))</f>
      </c>
      <c r="AK125" s="684">
        <f>IF(終値!A125="","",IF(AND(高値!O125&gt;高値!N125,高値!O125&gt;高値!M125,高値!O125&gt;高値!P125,高値!O125&gt;高値!Q125),10,""))</f>
      </c>
      <c r="AL125" s="684">
        <f>IF(終値!A125="","",IF(AND(高値!P125&gt;高値!O125,高値!P125&gt;高値!N125,高値!P125&gt;高値!Q125,高値!P125&gt;高値!R125),11,""))</f>
      </c>
      <c r="AM125" s="684">
        <f>IF(終値!A125="","",IF(AND(高値!Q125&gt;高値!P125,高値!Q125&gt;高値!O125,高値!Q125&gt;高値!R125,高値!Q125&gt;高値!S125),12,""))</f>
      </c>
      <c r="AN125" s="684">
        <f>IF(終値!A125="","",IF(AND(高値!R125&gt;高値!Q125,高値!R125&gt;高値!P125,高値!R125&gt;高値!S125,高値!R125&gt;高値!T125),13,""))</f>
      </c>
      <c r="AO125" s="684">
        <f>IF(終値!A125="","",IF(AND(高値!S125&gt;高値!R125,高値!S125&gt;高値!Q125,高値!S125&gt;高値!T125,高値!S125&gt;高値!U125),14,""))</f>
      </c>
      <c r="AP125" s="684">
        <f>IF(終値!A125="","",IF(AND(高値!T125&gt;高値!S125,高値!T125&gt;高値!R125,高値!T125&gt;高値!U125,高値!T125&gt;高値!V125),15,""))</f>
      </c>
      <c r="AQ125" s="684">
        <f>IF(終値!A125="","",IF(AND(高値!U125&gt;高値!T125,高値!U125&gt;高値!S125,高値!U125&gt;高値!V125,高値!U125&gt;高値!W125),16,""))</f>
      </c>
      <c r="AR125" s="684">
        <f>IF(終値!A125="","",IF(AND(高値!V125&gt;高値!U125,高値!V125&gt;高値!T125,高値!V125&gt;高値!W125,高値!V125&gt;高値!X125),17,""))</f>
      </c>
      <c r="AS125" s="684">
        <f>IF(終値!A125="","",IF(AND(高値!W125&gt;高値!V125,高値!W125&gt;高値!U125,高値!W125&gt;高値!X125,高値!W125&gt;高値!Y125),18,""))</f>
      </c>
      <c r="AT125" s="684">
        <f>IF(終値!A125="","",IF(AND(高値!X125&gt;高値!W125,高値!X125&gt;高値!V125,高値!X125&gt;高値!Y125,高値!X125&gt;高値!Z125),19,""))</f>
      </c>
      <c r="AU125" s="684">
        <f>IF(終値!A125="","",IF(AND(高値!Y125&gt;高値!X125,高値!Y125&gt;高値!W125,高値!Y125&gt;高値!Z125,高値!Y125&gt;高値!AA125),20,""))</f>
      </c>
      <c r="AV125" s="684">
        <f>IF(終値!A125="","",IF(AND(高値!Z125&gt;高値!Y125,高値!Z125&gt;高値!X125,高値!Z125&gt;高値!AA125,高値!Z125&gt;高値!AB125),21,""))</f>
      </c>
      <c r="AW125" s="684">
        <f>IF(終値!A125="","",IF(AND(高値!AA125&gt;高値!Z125,高値!AA125&gt;高値!Y125,高値!AA125&gt;高値!AB125,高値!AA125&gt;高値!AC125),22,""))</f>
      </c>
      <c r="AX125" s="684">
        <f>IF(終値!A125="","",IF(AND(高値!AB125&gt;高値!AA125,高値!AB125&gt;高値!Z125,高値!AB125&gt;高値!AC125,高値!AB125&gt;高値!AD125),23,""))</f>
      </c>
      <c r="AY125" s="684">
        <f>IF(終値!A125="","",IF(AND(高値!AC125&gt;高値!AB125,高値!AC125&gt;高値!AA125,高値!AC125&gt;高値!AD125,高値!AC125&gt;高値!AE125),24,""))</f>
      </c>
      <c r="AZ125" s="684">
        <f>IF(終値!A125="","",IF(AND(高値!AD125&gt;高値!AC125,高値!AD125&gt;高値!AB125,高値!AD125&gt;高値!AE125,高値!AD125&gt;高値!AF125),25,""))</f>
      </c>
      <c r="BA125" s="684">
        <f>IF(終値!A125="","",IF(AND(高値!AE125&gt;高値!AD125,高値!AE125&gt;高値!AC125,高値!AE125&gt;高値!AF125,高値!AE125&gt;高値!AG125),26,""))</f>
      </c>
      <c r="BB125" s="684">
        <f>IF(終値!A125="","",IF(AND(高値!AF125&gt;高値!AE125,高値!AF125&gt;高値!AD125,高値!AF125&gt;高値!AG125,高値!AF125&gt;高値!AH125),27,""))</f>
      </c>
      <c r="BC125" s="684">
        <f>IF(終値!A125="","",IF(AND(高値!AG125&gt;高値!AF125,高値!AG125&gt;高値!AE125,高値!AG125&gt;高値!AH125,高値!AG125&gt;高値!AI125),28,""))</f>
      </c>
      <c r="BD125" s="684">
        <f>COUNT($B125:$AB125)</f>
      </c>
      <c r="BE125" s="684">
        <f>IF($BD125&gt;=2,MIN($B125:$AB125),"")</f>
      </c>
      <c r="BF125" s="684">
        <f>IF($BD125&gt;=2,SMALL($B125:$AB125,2),"")</f>
      </c>
      <c r="BG125" s="684">
        <f>IF($BE125="","",INDEX(安値!$E125:$CZ125,1,$BE125+1))</f>
      </c>
      <c r="BH125" s="684">
        <f>IF($BF125="","",INDEX(安値!$E125:$CZ125,1,$BF125+1))</f>
      </c>
      <c r="BI125" s="684">
        <f>IF($BF125="","",MAX(INDEX(高値!$E125:$CZ125,1,$BE125+1):INDEX(高値!$E125:$CZ125,1,$BF125+1)))</f>
      </c>
      <c r="BJ125" s="684">
        <f>IF($BF125="","",AVERAGE(INDEX(終値!$E125:$CZ125,1,$BF125+1):INDEX(終値!$E125:$CZ125,1,$BF125+20))-2*STDEVP(INDEX(終値!$E125:$CZ125,1,$BF125+1):INDEX(終値!$E125:$CZ125,1,$BF125+20)))</f>
      </c>
      <c r="BK125" s="684">
        <f>IF($BE125="","",AVERAGE(INDEX(終値!$E125:$CZ125,1,$BE125+1):INDEX(終値!$E125:$CZ125,1,$BE125+20))-2*STDEVP(INDEX(終値!$E125:$CZ125,1,$BE125+1):INDEX(終値!$E125:$CZ125,1,$BE125+20)))</f>
      </c>
      <c r="BL125" s="684">
        <f>COUNT($AC125:$BC125)</f>
      </c>
      <c r="BM125" s="684">
        <f>IF($BL125&gt;=2,MIN($AC125:$BC125),"")</f>
      </c>
      <c r="BN125" s="684">
        <f>IF($BL125&gt;=2,SMALL($AC125:$BC125,2),"")</f>
      </c>
      <c r="BO125" s="684">
        <f>IF($BM125="","",INDEX(高値!$E125:$CZ125,1,$BM125+1))</f>
      </c>
      <c r="BP125" s="684">
        <f>IF($BN125="","",INDEX(高値!$E125:$CZ125,1,$BN125+1))</f>
      </c>
      <c r="BQ125" s="684">
        <f>IF($BN125="","",MIN(INDEX(安値!$E125:$CZ125,1,$BM125+1):INDEX(安値!$E125:$CZ125,1,$BN125+1)))</f>
      </c>
      <c r="BR125" s="684">
        <f>IF($BN125="","",AVERAGE(INDEX(終値!$E125:$CZ125,1,$BN125+1):INDEX(終値!$E125:$CZ125,1,$BN125+20))+2*STDEVP(INDEX(終値!$E125:$CZ125,1,$BN125+1):INDEX(終値!$E125:$CZ125,1,$BN125+20)))</f>
      </c>
      <c r="BS125" s="684">
        <f>IF($BM125="","",AVERAGE(INDEX(終値!$E125:$CZ125,1,$BM125+1):INDEX(終値!$E125:$CZ125,1,$BM125+20))+2*STDEVP(INDEX(終値!$E125:$CZ125,1,$BM125+1):INDEX(終値!$E125:$CZ125,1,$BM125+20)))</f>
      </c>
      <c r="BT125" s="681">
        <f>IFERROR(IF(AND($BD125&gt;=2,ABS($BG125-$BH125)/$BH125&lt;=BB設定!$B$12,$BI125&gt;=MAX($BH125,$BG125)*(1+BB設定!$B$13),終値!E125&gt;$BG125),IF(OR(終値!E125&gt;=$BI125,AND($BH125&lt;$BJ125,$BG125&gt;=$BK125)),"二番底W▲","二番底W形成"),IF(AND($BL125&gt;=2,ABS($BO125-$BP125)/$BP125&lt;=BB設定!$B$12,$BQ125&lt;=MIN($BP125,$BO125)*(1-BB設定!$B$13),終値!E125&lt;$BO125),IF(OR(終値!E125&lt;=$BQ125,AND($BP125&gt;$BR125,$BO125&lt;=$BS125)),"二番天井M▼","二番天井M形成"),"－")),"－")</f>
      </c>
    </row>
    <row r="126">
      <c r="B126" s="684">
        <f>IF(終値!A126="","",IF(AND(安値!G126&lt;安値!F126,安値!G126&lt;安値!E126,安値!G126&lt;安値!H126,安値!G126&lt;安値!I126),2,""))</f>
      </c>
      <c r="C126" s="684">
        <f>IF(終値!A126="","",IF(AND(安値!H126&lt;安値!G126,安値!H126&lt;安値!F126,安値!H126&lt;安値!I126,安値!H126&lt;安値!J126),3,""))</f>
      </c>
      <c r="D126" s="684">
        <f>IF(終値!A126="","",IF(AND(安値!I126&lt;安値!H126,安値!I126&lt;安値!G126,安値!I126&lt;安値!J126,安値!I126&lt;安値!K126),4,""))</f>
      </c>
      <c r="E126" s="684">
        <f>IF(終値!A126="","",IF(AND(安値!J126&lt;安値!I126,安値!J126&lt;安値!H126,安値!J126&lt;安値!K126,安値!J126&lt;安値!L126),5,""))</f>
      </c>
      <c r="F126" s="684">
        <f>IF(終値!A126="","",IF(AND(安値!K126&lt;安値!J126,安値!K126&lt;安値!I126,安値!K126&lt;安値!L126,安値!K126&lt;安値!M126),6,""))</f>
      </c>
      <c r="G126" s="684">
        <f>IF(終値!A126="","",IF(AND(安値!L126&lt;安値!K126,安値!L126&lt;安値!J126,安値!L126&lt;安値!M126,安値!L126&lt;安値!N126),7,""))</f>
      </c>
      <c r="H126" s="684">
        <f>IF(終値!A126="","",IF(AND(安値!M126&lt;安値!L126,安値!M126&lt;安値!K126,安値!M126&lt;安値!N126,安値!M126&lt;安値!O126),8,""))</f>
      </c>
      <c r="I126" s="684">
        <f>IF(終値!A126="","",IF(AND(安値!N126&lt;安値!M126,安値!N126&lt;安値!L126,安値!N126&lt;安値!O126,安値!N126&lt;安値!P126),9,""))</f>
      </c>
      <c r="J126" s="684">
        <f>IF(終値!A126="","",IF(AND(安値!O126&lt;安値!N126,安値!O126&lt;安値!M126,安値!O126&lt;安値!P126,安値!O126&lt;安値!Q126),10,""))</f>
      </c>
      <c r="K126" s="684">
        <f>IF(終値!A126="","",IF(AND(安値!P126&lt;安値!O126,安値!P126&lt;安値!N126,安値!P126&lt;安値!Q126,安値!P126&lt;安値!R126),11,""))</f>
      </c>
      <c r="L126" s="684">
        <f>IF(終値!A126="","",IF(AND(安値!Q126&lt;安値!P126,安値!Q126&lt;安値!O126,安値!Q126&lt;安値!R126,安値!Q126&lt;安値!S126),12,""))</f>
      </c>
      <c r="M126" s="684">
        <f>IF(終値!A126="","",IF(AND(安値!R126&lt;安値!Q126,安値!R126&lt;安値!P126,安値!R126&lt;安値!S126,安値!R126&lt;安値!T126),13,""))</f>
      </c>
      <c r="N126" s="684">
        <f>IF(終値!A126="","",IF(AND(安値!S126&lt;安値!R126,安値!S126&lt;安値!Q126,安値!S126&lt;安値!T126,安値!S126&lt;安値!U126),14,""))</f>
      </c>
      <c r="O126" s="684">
        <f>IF(終値!A126="","",IF(AND(安値!T126&lt;安値!S126,安値!T126&lt;安値!R126,安値!T126&lt;安値!U126,安値!T126&lt;安値!V126),15,""))</f>
      </c>
      <c r="P126" s="684">
        <f>IF(終値!A126="","",IF(AND(安値!U126&lt;安値!T126,安値!U126&lt;安値!S126,安値!U126&lt;安値!V126,安値!U126&lt;安値!W126),16,""))</f>
      </c>
      <c r="Q126" s="684">
        <f>IF(終値!A126="","",IF(AND(安値!V126&lt;安値!U126,安値!V126&lt;安値!T126,安値!V126&lt;安値!W126,安値!V126&lt;安値!X126),17,""))</f>
      </c>
      <c r="R126" s="684">
        <f>IF(終値!A126="","",IF(AND(安値!W126&lt;安値!V126,安値!W126&lt;安値!U126,安値!W126&lt;安値!X126,安値!W126&lt;安値!Y126),18,""))</f>
      </c>
      <c r="S126" s="684">
        <f>IF(終値!A126="","",IF(AND(安値!X126&lt;安値!W126,安値!X126&lt;安値!V126,安値!X126&lt;安値!Y126,安値!X126&lt;安値!Z126),19,""))</f>
      </c>
      <c r="T126" s="684">
        <f>IF(終値!A126="","",IF(AND(安値!Y126&lt;安値!X126,安値!Y126&lt;安値!W126,安値!Y126&lt;安値!Z126,安値!Y126&lt;安値!AA126),20,""))</f>
      </c>
      <c r="U126" s="684">
        <f>IF(終値!A126="","",IF(AND(安値!Z126&lt;安値!Y126,安値!Z126&lt;安値!X126,安値!Z126&lt;安値!AA126,安値!Z126&lt;安値!AB126),21,""))</f>
      </c>
      <c r="V126" s="684">
        <f>IF(終値!A126="","",IF(AND(安値!AA126&lt;安値!Z126,安値!AA126&lt;安値!Y126,安値!AA126&lt;安値!AB126,安値!AA126&lt;安値!AC126),22,""))</f>
      </c>
      <c r="W126" s="684">
        <f>IF(終値!A126="","",IF(AND(安値!AB126&lt;安値!AA126,安値!AB126&lt;安値!Z126,安値!AB126&lt;安値!AC126,安値!AB126&lt;安値!AD126),23,""))</f>
      </c>
      <c r="X126" s="684">
        <f>IF(終値!A126="","",IF(AND(安値!AC126&lt;安値!AB126,安値!AC126&lt;安値!AA126,安値!AC126&lt;安値!AD126,安値!AC126&lt;安値!AE126),24,""))</f>
      </c>
      <c r="Y126" s="684">
        <f>IF(終値!A126="","",IF(AND(安値!AD126&lt;安値!AC126,安値!AD126&lt;安値!AB126,安値!AD126&lt;安値!AE126,安値!AD126&lt;安値!AF126),25,""))</f>
      </c>
      <c r="Z126" s="684">
        <f>IF(終値!A126="","",IF(AND(安値!AE126&lt;安値!AD126,安値!AE126&lt;安値!AC126,安値!AE126&lt;安値!AF126,安値!AE126&lt;安値!AG126),26,""))</f>
      </c>
      <c r="AA126" s="684">
        <f>IF(終値!A126="","",IF(AND(安値!AF126&lt;安値!AE126,安値!AF126&lt;安値!AD126,安値!AF126&lt;安値!AG126,安値!AF126&lt;安値!AH126),27,""))</f>
      </c>
      <c r="AB126" s="684">
        <f>IF(終値!A126="","",IF(AND(安値!AG126&lt;安値!AF126,安値!AG126&lt;安値!AE126,安値!AG126&lt;安値!AH126,安値!AG126&lt;安値!AI126),28,""))</f>
      </c>
      <c r="AC126" s="684">
        <f>IF(終値!A126="","",IF(AND(高値!G126&gt;高値!F126,高値!G126&gt;高値!E126,高値!G126&gt;高値!H126,高値!G126&gt;高値!I126),2,""))</f>
      </c>
      <c r="AD126" s="684">
        <f>IF(終値!A126="","",IF(AND(高値!H126&gt;高値!G126,高値!H126&gt;高値!F126,高値!H126&gt;高値!I126,高値!H126&gt;高値!J126),3,""))</f>
      </c>
      <c r="AE126" s="684">
        <f>IF(終値!A126="","",IF(AND(高値!I126&gt;高値!H126,高値!I126&gt;高値!G126,高値!I126&gt;高値!J126,高値!I126&gt;高値!K126),4,""))</f>
      </c>
      <c r="AF126" s="684">
        <f>IF(終値!A126="","",IF(AND(高値!J126&gt;高値!I126,高値!J126&gt;高値!H126,高値!J126&gt;高値!K126,高値!J126&gt;高値!L126),5,""))</f>
      </c>
      <c r="AG126" s="684">
        <f>IF(終値!A126="","",IF(AND(高値!K126&gt;高値!J126,高値!K126&gt;高値!I126,高値!K126&gt;高値!L126,高値!K126&gt;高値!M126),6,""))</f>
      </c>
      <c r="AH126" s="684">
        <f>IF(終値!A126="","",IF(AND(高値!L126&gt;高値!K126,高値!L126&gt;高値!J126,高値!L126&gt;高値!M126,高値!L126&gt;高値!N126),7,""))</f>
      </c>
      <c r="AI126" s="684">
        <f>IF(終値!A126="","",IF(AND(高値!M126&gt;高値!L126,高値!M126&gt;高値!K126,高値!M126&gt;高値!N126,高値!M126&gt;高値!O126),8,""))</f>
      </c>
      <c r="AJ126" s="684">
        <f>IF(終値!A126="","",IF(AND(高値!N126&gt;高値!M126,高値!N126&gt;高値!L126,高値!N126&gt;高値!O126,高値!N126&gt;高値!P126),9,""))</f>
      </c>
      <c r="AK126" s="684">
        <f>IF(終値!A126="","",IF(AND(高値!O126&gt;高値!N126,高値!O126&gt;高値!M126,高値!O126&gt;高値!P126,高値!O126&gt;高値!Q126),10,""))</f>
      </c>
      <c r="AL126" s="684">
        <f>IF(終値!A126="","",IF(AND(高値!P126&gt;高値!O126,高値!P126&gt;高値!N126,高値!P126&gt;高値!Q126,高値!P126&gt;高値!R126),11,""))</f>
      </c>
      <c r="AM126" s="684">
        <f>IF(終値!A126="","",IF(AND(高値!Q126&gt;高値!P126,高値!Q126&gt;高値!O126,高値!Q126&gt;高値!R126,高値!Q126&gt;高値!S126),12,""))</f>
      </c>
      <c r="AN126" s="684">
        <f>IF(終値!A126="","",IF(AND(高値!R126&gt;高値!Q126,高値!R126&gt;高値!P126,高値!R126&gt;高値!S126,高値!R126&gt;高値!T126),13,""))</f>
      </c>
      <c r="AO126" s="684">
        <f>IF(終値!A126="","",IF(AND(高値!S126&gt;高値!R126,高値!S126&gt;高値!Q126,高値!S126&gt;高値!T126,高値!S126&gt;高値!U126),14,""))</f>
      </c>
      <c r="AP126" s="684">
        <f>IF(終値!A126="","",IF(AND(高値!T126&gt;高値!S126,高値!T126&gt;高値!R126,高値!T126&gt;高値!U126,高値!T126&gt;高値!V126),15,""))</f>
      </c>
      <c r="AQ126" s="684">
        <f>IF(終値!A126="","",IF(AND(高値!U126&gt;高値!T126,高値!U126&gt;高値!S126,高値!U126&gt;高値!V126,高値!U126&gt;高値!W126),16,""))</f>
      </c>
      <c r="AR126" s="684">
        <f>IF(終値!A126="","",IF(AND(高値!V126&gt;高値!U126,高値!V126&gt;高値!T126,高値!V126&gt;高値!W126,高値!V126&gt;高値!X126),17,""))</f>
      </c>
      <c r="AS126" s="684">
        <f>IF(終値!A126="","",IF(AND(高値!W126&gt;高値!V126,高値!W126&gt;高値!U126,高値!W126&gt;高値!X126,高値!W126&gt;高値!Y126),18,""))</f>
      </c>
      <c r="AT126" s="684">
        <f>IF(終値!A126="","",IF(AND(高値!X126&gt;高値!W126,高値!X126&gt;高値!V126,高値!X126&gt;高値!Y126,高値!X126&gt;高値!Z126),19,""))</f>
      </c>
      <c r="AU126" s="684">
        <f>IF(終値!A126="","",IF(AND(高値!Y126&gt;高値!X126,高値!Y126&gt;高値!W126,高値!Y126&gt;高値!Z126,高値!Y126&gt;高値!AA126),20,""))</f>
      </c>
      <c r="AV126" s="684">
        <f>IF(終値!A126="","",IF(AND(高値!Z126&gt;高値!Y126,高値!Z126&gt;高値!X126,高値!Z126&gt;高値!AA126,高値!Z126&gt;高値!AB126),21,""))</f>
      </c>
      <c r="AW126" s="684">
        <f>IF(終値!A126="","",IF(AND(高値!AA126&gt;高値!Z126,高値!AA126&gt;高値!Y126,高値!AA126&gt;高値!AB126,高値!AA126&gt;高値!AC126),22,""))</f>
      </c>
      <c r="AX126" s="684">
        <f>IF(終値!A126="","",IF(AND(高値!AB126&gt;高値!AA126,高値!AB126&gt;高値!Z126,高値!AB126&gt;高値!AC126,高値!AB126&gt;高値!AD126),23,""))</f>
      </c>
      <c r="AY126" s="684">
        <f>IF(終値!A126="","",IF(AND(高値!AC126&gt;高値!AB126,高値!AC126&gt;高値!AA126,高値!AC126&gt;高値!AD126,高値!AC126&gt;高値!AE126),24,""))</f>
      </c>
      <c r="AZ126" s="684">
        <f>IF(終値!A126="","",IF(AND(高値!AD126&gt;高値!AC126,高値!AD126&gt;高値!AB126,高値!AD126&gt;高値!AE126,高値!AD126&gt;高値!AF126),25,""))</f>
      </c>
      <c r="BA126" s="684">
        <f>IF(終値!A126="","",IF(AND(高値!AE126&gt;高値!AD126,高値!AE126&gt;高値!AC126,高値!AE126&gt;高値!AF126,高値!AE126&gt;高値!AG126),26,""))</f>
      </c>
      <c r="BB126" s="684">
        <f>IF(終値!A126="","",IF(AND(高値!AF126&gt;高値!AE126,高値!AF126&gt;高値!AD126,高値!AF126&gt;高値!AG126,高値!AF126&gt;高値!AH126),27,""))</f>
      </c>
      <c r="BC126" s="684">
        <f>IF(終値!A126="","",IF(AND(高値!AG126&gt;高値!AF126,高値!AG126&gt;高値!AE126,高値!AG126&gt;高値!AH126,高値!AG126&gt;高値!AI126),28,""))</f>
      </c>
      <c r="BD126" s="684">
        <f>COUNT($B126:$AB126)</f>
      </c>
      <c r="BE126" s="684">
        <f>IF($BD126&gt;=2,MIN($B126:$AB126),"")</f>
      </c>
      <c r="BF126" s="684">
        <f>IF($BD126&gt;=2,SMALL($B126:$AB126,2),"")</f>
      </c>
      <c r="BG126" s="684">
        <f>IF($BE126="","",INDEX(安値!$E126:$CZ126,1,$BE126+1))</f>
      </c>
      <c r="BH126" s="684">
        <f>IF($BF126="","",INDEX(安値!$E126:$CZ126,1,$BF126+1))</f>
      </c>
      <c r="BI126" s="684">
        <f>IF($BF126="","",MAX(INDEX(高値!$E126:$CZ126,1,$BE126+1):INDEX(高値!$E126:$CZ126,1,$BF126+1)))</f>
      </c>
      <c r="BJ126" s="684">
        <f>IF($BF126="","",AVERAGE(INDEX(終値!$E126:$CZ126,1,$BF126+1):INDEX(終値!$E126:$CZ126,1,$BF126+20))-2*STDEVP(INDEX(終値!$E126:$CZ126,1,$BF126+1):INDEX(終値!$E126:$CZ126,1,$BF126+20)))</f>
      </c>
      <c r="BK126" s="684">
        <f>IF($BE126="","",AVERAGE(INDEX(終値!$E126:$CZ126,1,$BE126+1):INDEX(終値!$E126:$CZ126,1,$BE126+20))-2*STDEVP(INDEX(終値!$E126:$CZ126,1,$BE126+1):INDEX(終値!$E126:$CZ126,1,$BE126+20)))</f>
      </c>
      <c r="BL126" s="684">
        <f>COUNT($AC126:$BC126)</f>
      </c>
      <c r="BM126" s="684">
        <f>IF($BL126&gt;=2,MIN($AC126:$BC126),"")</f>
      </c>
      <c r="BN126" s="684">
        <f>IF($BL126&gt;=2,SMALL($AC126:$BC126,2),"")</f>
      </c>
      <c r="BO126" s="684">
        <f>IF($BM126="","",INDEX(高値!$E126:$CZ126,1,$BM126+1))</f>
      </c>
      <c r="BP126" s="684">
        <f>IF($BN126="","",INDEX(高値!$E126:$CZ126,1,$BN126+1))</f>
      </c>
      <c r="BQ126" s="684">
        <f>IF($BN126="","",MIN(INDEX(安値!$E126:$CZ126,1,$BM126+1):INDEX(安値!$E126:$CZ126,1,$BN126+1)))</f>
      </c>
      <c r="BR126" s="684">
        <f>IF($BN126="","",AVERAGE(INDEX(終値!$E126:$CZ126,1,$BN126+1):INDEX(終値!$E126:$CZ126,1,$BN126+20))+2*STDEVP(INDEX(終値!$E126:$CZ126,1,$BN126+1):INDEX(終値!$E126:$CZ126,1,$BN126+20)))</f>
      </c>
      <c r="BS126" s="684">
        <f>IF($BM126="","",AVERAGE(INDEX(終値!$E126:$CZ126,1,$BM126+1):INDEX(終値!$E126:$CZ126,1,$BM126+20))+2*STDEVP(INDEX(終値!$E126:$CZ126,1,$BM126+1):INDEX(終値!$E126:$CZ126,1,$BM126+20)))</f>
      </c>
      <c r="BT126" s="681">
        <f>IFERROR(IF(AND($BD126&gt;=2,ABS($BG126-$BH126)/$BH126&lt;=BB設定!$B$12,$BI126&gt;=MAX($BH126,$BG126)*(1+BB設定!$B$13),終値!E126&gt;$BG126),IF(OR(終値!E126&gt;=$BI126,AND($BH126&lt;$BJ126,$BG126&gt;=$BK126)),"二番底W▲","二番底W形成"),IF(AND($BL126&gt;=2,ABS($BO126-$BP126)/$BP126&lt;=BB設定!$B$12,$BQ126&lt;=MIN($BP126,$BO126)*(1-BB設定!$B$13),終値!E126&lt;$BO126),IF(OR(終値!E126&lt;=$BQ126,AND($BP126&gt;$BR126,$BO126&lt;=$BS126)),"二番天井M▼","二番天井M形成"),"－")),"－")</f>
      </c>
    </row>
    <row r="127">
      <c r="B127" s="684">
        <f>IF(終値!A127="","",IF(AND(安値!G127&lt;安値!F127,安値!G127&lt;安値!E127,安値!G127&lt;安値!H127,安値!G127&lt;安値!I127),2,""))</f>
      </c>
      <c r="C127" s="684">
        <f>IF(終値!A127="","",IF(AND(安値!H127&lt;安値!G127,安値!H127&lt;安値!F127,安値!H127&lt;安値!I127,安値!H127&lt;安値!J127),3,""))</f>
      </c>
      <c r="D127" s="684">
        <f>IF(終値!A127="","",IF(AND(安値!I127&lt;安値!H127,安値!I127&lt;安値!G127,安値!I127&lt;安値!J127,安値!I127&lt;安値!K127),4,""))</f>
      </c>
      <c r="E127" s="684">
        <f>IF(終値!A127="","",IF(AND(安値!J127&lt;安値!I127,安値!J127&lt;安値!H127,安値!J127&lt;安値!K127,安値!J127&lt;安値!L127),5,""))</f>
      </c>
      <c r="F127" s="684">
        <f>IF(終値!A127="","",IF(AND(安値!K127&lt;安値!J127,安値!K127&lt;安値!I127,安値!K127&lt;安値!L127,安値!K127&lt;安値!M127),6,""))</f>
      </c>
      <c r="G127" s="684">
        <f>IF(終値!A127="","",IF(AND(安値!L127&lt;安値!K127,安値!L127&lt;安値!J127,安値!L127&lt;安値!M127,安値!L127&lt;安値!N127),7,""))</f>
      </c>
      <c r="H127" s="684">
        <f>IF(終値!A127="","",IF(AND(安値!M127&lt;安値!L127,安値!M127&lt;安値!K127,安値!M127&lt;安値!N127,安値!M127&lt;安値!O127),8,""))</f>
      </c>
      <c r="I127" s="684">
        <f>IF(終値!A127="","",IF(AND(安値!N127&lt;安値!M127,安値!N127&lt;安値!L127,安値!N127&lt;安値!O127,安値!N127&lt;安値!P127),9,""))</f>
      </c>
      <c r="J127" s="684">
        <f>IF(終値!A127="","",IF(AND(安値!O127&lt;安値!N127,安値!O127&lt;安値!M127,安値!O127&lt;安値!P127,安値!O127&lt;安値!Q127),10,""))</f>
      </c>
      <c r="K127" s="684">
        <f>IF(終値!A127="","",IF(AND(安値!P127&lt;安値!O127,安値!P127&lt;安値!N127,安値!P127&lt;安値!Q127,安値!P127&lt;安値!R127),11,""))</f>
      </c>
      <c r="L127" s="684">
        <f>IF(終値!A127="","",IF(AND(安値!Q127&lt;安値!P127,安値!Q127&lt;安値!O127,安値!Q127&lt;安値!R127,安値!Q127&lt;安値!S127),12,""))</f>
      </c>
      <c r="M127" s="684">
        <f>IF(終値!A127="","",IF(AND(安値!R127&lt;安値!Q127,安値!R127&lt;安値!P127,安値!R127&lt;安値!S127,安値!R127&lt;安値!T127),13,""))</f>
      </c>
      <c r="N127" s="684">
        <f>IF(終値!A127="","",IF(AND(安値!S127&lt;安値!R127,安値!S127&lt;安値!Q127,安値!S127&lt;安値!T127,安値!S127&lt;安値!U127),14,""))</f>
      </c>
      <c r="O127" s="684">
        <f>IF(終値!A127="","",IF(AND(安値!T127&lt;安値!S127,安値!T127&lt;安値!R127,安値!T127&lt;安値!U127,安値!T127&lt;安値!V127),15,""))</f>
      </c>
      <c r="P127" s="684">
        <f>IF(終値!A127="","",IF(AND(安値!U127&lt;安値!T127,安値!U127&lt;安値!S127,安値!U127&lt;安値!V127,安値!U127&lt;安値!W127),16,""))</f>
      </c>
      <c r="Q127" s="684">
        <f>IF(終値!A127="","",IF(AND(安値!V127&lt;安値!U127,安値!V127&lt;安値!T127,安値!V127&lt;安値!W127,安値!V127&lt;安値!X127),17,""))</f>
      </c>
      <c r="R127" s="684">
        <f>IF(終値!A127="","",IF(AND(安値!W127&lt;安値!V127,安値!W127&lt;安値!U127,安値!W127&lt;安値!X127,安値!W127&lt;安値!Y127),18,""))</f>
      </c>
      <c r="S127" s="684">
        <f>IF(終値!A127="","",IF(AND(安値!X127&lt;安値!W127,安値!X127&lt;安値!V127,安値!X127&lt;安値!Y127,安値!X127&lt;安値!Z127),19,""))</f>
      </c>
      <c r="T127" s="684">
        <f>IF(終値!A127="","",IF(AND(安値!Y127&lt;安値!X127,安値!Y127&lt;安値!W127,安値!Y127&lt;安値!Z127,安値!Y127&lt;安値!AA127),20,""))</f>
      </c>
      <c r="U127" s="684">
        <f>IF(終値!A127="","",IF(AND(安値!Z127&lt;安値!Y127,安値!Z127&lt;安値!X127,安値!Z127&lt;安値!AA127,安値!Z127&lt;安値!AB127),21,""))</f>
      </c>
      <c r="V127" s="684">
        <f>IF(終値!A127="","",IF(AND(安値!AA127&lt;安値!Z127,安値!AA127&lt;安値!Y127,安値!AA127&lt;安値!AB127,安値!AA127&lt;安値!AC127),22,""))</f>
      </c>
      <c r="W127" s="684">
        <f>IF(終値!A127="","",IF(AND(安値!AB127&lt;安値!AA127,安値!AB127&lt;安値!Z127,安値!AB127&lt;安値!AC127,安値!AB127&lt;安値!AD127),23,""))</f>
      </c>
      <c r="X127" s="684">
        <f>IF(終値!A127="","",IF(AND(安値!AC127&lt;安値!AB127,安値!AC127&lt;安値!AA127,安値!AC127&lt;安値!AD127,安値!AC127&lt;安値!AE127),24,""))</f>
      </c>
      <c r="Y127" s="684">
        <f>IF(終値!A127="","",IF(AND(安値!AD127&lt;安値!AC127,安値!AD127&lt;安値!AB127,安値!AD127&lt;安値!AE127,安値!AD127&lt;安値!AF127),25,""))</f>
      </c>
      <c r="Z127" s="684">
        <f>IF(終値!A127="","",IF(AND(安値!AE127&lt;安値!AD127,安値!AE127&lt;安値!AC127,安値!AE127&lt;安値!AF127,安値!AE127&lt;安値!AG127),26,""))</f>
      </c>
      <c r="AA127" s="684">
        <f>IF(終値!A127="","",IF(AND(安値!AF127&lt;安値!AE127,安値!AF127&lt;安値!AD127,安値!AF127&lt;安値!AG127,安値!AF127&lt;安値!AH127),27,""))</f>
      </c>
      <c r="AB127" s="684">
        <f>IF(終値!A127="","",IF(AND(安値!AG127&lt;安値!AF127,安値!AG127&lt;安値!AE127,安値!AG127&lt;安値!AH127,安値!AG127&lt;安値!AI127),28,""))</f>
      </c>
      <c r="AC127" s="684">
        <f>IF(終値!A127="","",IF(AND(高値!G127&gt;高値!F127,高値!G127&gt;高値!E127,高値!G127&gt;高値!H127,高値!G127&gt;高値!I127),2,""))</f>
      </c>
      <c r="AD127" s="684">
        <f>IF(終値!A127="","",IF(AND(高値!H127&gt;高値!G127,高値!H127&gt;高値!F127,高値!H127&gt;高値!I127,高値!H127&gt;高値!J127),3,""))</f>
      </c>
      <c r="AE127" s="684">
        <f>IF(終値!A127="","",IF(AND(高値!I127&gt;高値!H127,高値!I127&gt;高値!G127,高値!I127&gt;高値!J127,高値!I127&gt;高値!K127),4,""))</f>
      </c>
      <c r="AF127" s="684">
        <f>IF(終値!A127="","",IF(AND(高値!J127&gt;高値!I127,高値!J127&gt;高値!H127,高値!J127&gt;高値!K127,高値!J127&gt;高値!L127),5,""))</f>
      </c>
      <c r="AG127" s="684">
        <f>IF(終値!A127="","",IF(AND(高値!K127&gt;高値!J127,高値!K127&gt;高値!I127,高値!K127&gt;高値!L127,高値!K127&gt;高値!M127),6,""))</f>
      </c>
      <c r="AH127" s="684">
        <f>IF(終値!A127="","",IF(AND(高値!L127&gt;高値!K127,高値!L127&gt;高値!J127,高値!L127&gt;高値!M127,高値!L127&gt;高値!N127),7,""))</f>
      </c>
      <c r="AI127" s="684">
        <f>IF(終値!A127="","",IF(AND(高値!M127&gt;高値!L127,高値!M127&gt;高値!K127,高値!M127&gt;高値!N127,高値!M127&gt;高値!O127),8,""))</f>
      </c>
      <c r="AJ127" s="684">
        <f>IF(終値!A127="","",IF(AND(高値!N127&gt;高値!M127,高値!N127&gt;高値!L127,高値!N127&gt;高値!O127,高値!N127&gt;高値!P127),9,""))</f>
      </c>
      <c r="AK127" s="684">
        <f>IF(終値!A127="","",IF(AND(高値!O127&gt;高値!N127,高値!O127&gt;高値!M127,高値!O127&gt;高値!P127,高値!O127&gt;高値!Q127),10,""))</f>
      </c>
      <c r="AL127" s="684">
        <f>IF(終値!A127="","",IF(AND(高値!P127&gt;高値!O127,高値!P127&gt;高値!N127,高値!P127&gt;高値!Q127,高値!P127&gt;高値!R127),11,""))</f>
      </c>
      <c r="AM127" s="684">
        <f>IF(終値!A127="","",IF(AND(高値!Q127&gt;高値!P127,高値!Q127&gt;高値!O127,高値!Q127&gt;高値!R127,高値!Q127&gt;高値!S127),12,""))</f>
      </c>
      <c r="AN127" s="684">
        <f>IF(終値!A127="","",IF(AND(高値!R127&gt;高値!Q127,高値!R127&gt;高値!P127,高値!R127&gt;高値!S127,高値!R127&gt;高値!T127),13,""))</f>
      </c>
      <c r="AO127" s="684">
        <f>IF(終値!A127="","",IF(AND(高値!S127&gt;高値!R127,高値!S127&gt;高値!Q127,高値!S127&gt;高値!T127,高値!S127&gt;高値!U127),14,""))</f>
      </c>
      <c r="AP127" s="684">
        <f>IF(終値!A127="","",IF(AND(高値!T127&gt;高値!S127,高値!T127&gt;高値!R127,高値!T127&gt;高値!U127,高値!T127&gt;高値!V127),15,""))</f>
      </c>
      <c r="AQ127" s="684">
        <f>IF(終値!A127="","",IF(AND(高値!U127&gt;高値!T127,高値!U127&gt;高値!S127,高値!U127&gt;高値!V127,高値!U127&gt;高値!W127),16,""))</f>
      </c>
      <c r="AR127" s="684">
        <f>IF(終値!A127="","",IF(AND(高値!V127&gt;高値!U127,高値!V127&gt;高値!T127,高値!V127&gt;高値!W127,高値!V127&gt;高値!X127),17,""))</f>
      </c>
      <c r="AS127" s="684">
        <f>IF(終値!A127="","",IF(AND(高値!W127&gt;高値!V127,高値!W127&gt;高値!U127,高値!W127&gt;高値!X127,高値!W127&gt;高値!Y127),18,""))</f>
      </c>
      <c r="AT127" s="684">
        <f>IF(終値!A127="","",IF(AND(高値!X127&gt;高値!W127,高値!X127&gt;高値!V127,高値!X127&gt;高値!Y127,高値!X127&gt;高値!Z127),19,""))</f>
      </c>
      <c r="AU127" s="684">
        <f>IF(終値!A127="","",IF(AND(高値!Y127&gt;高値!X127,高値!Y127&gt;高値!W127,高値!Y127&gt;高値!Z127,高値!Y127&gt;高値!AA127),20,""))</f>
      </c>
      <c r="AV127" s="684">
        <f>IF(終値!A127="","",IF(AND(高値!Z127&gt;高値!Y127,高値!Z127&gt;高値!X127,高値!Z127&gt;高値!AA127,高値!Z127&gt;高値!AB127),21,""))</f>
      </c>
      <c r="AW127" s="684">
        <f>IF(終値!A127="","",IF(AND(高値!AA127&gt;高値!Z127,高値!AA127&gt;高値!Y127,高値!AA127&gt;高値!AB127,高値!AA127&gt;高値!AC127),22,""))</f>
      </c>
      <c r="AX127" s="684">
        <f>IF(終値!A127="","",IF(AND(高値!AB127&gt;高値!AA127,高値!AB127&gt;高値!Z127,高値!AB127&gt;高値!AC127,高値!AB127&gt;高値!AD127),23,""))</f>
      </c>
      <c r="AY127" s="684">
        <f>IF(終値!A127="","",IF(AND(高値!AC127&gt;高値!AB127,高値!AC127&gt;高値!AA127,高値!AC127&gt;高値!AD127,高値!AC127&gt;高値!AE127),24,""))</f>
      </c>
      <c r="AZ127" s="684">
        <f>IF(終値!A127="","",IF(AND(高値!AD127&gt;高値!AC127,高値!AD127&gt;高値!AB127,高値!AD127&gt;高値!AE127,高値!AD127&gt;高値!AF127),25,""))</f>
      </c>
      <c r="BA127" s="684">
        <f>IF(終値!A127="","",IF(AND(高値!AE127&gt;高値!AD127,高値!AE127&gt;高値!AC127,高値!AE127&gt;高値!AF127,高値!AE127&gt;高値!AG127),26,""))</f>
      </c>
      <c r="BB127" s="684">
        <f>IF(終値!A127="","",IF(AND(高値!AF127&gt;高値!AE127,高値!AF127&gt;高値!AD127,高値!AF127&gt;高値!AG127,高値!AF127&gt;高値!AH127),27,""))</f>
      </c>
      <c r="BC127" s="684">
        <f>IF(終値!A127="","",IF(AND(高値!AG127&gt;高値!AF127,高値!AG127&gt;高値!AE127,高値!AG127&gt;高値!AH127,高値!AG127&gt;高値!AI127),28,""))</f>
      </c>
      <c r="BD127" s="684">
        <f>COUNT($B127:$AB127)</f>
      </c>
      <c r="BE127" s="684">
        <f>IF($BD127&gt;=2,MIN($B127:$AB127),"")</f>
      </c>
      <c r="BF127" s="684">
        <f>IF($BD127&gt;=2,SMALL($B127:$AB127,2),"")</f>
      </c>
      <c r="BG127" s="684">
        <f>IF($BE127="","",INDEX(安値!$E127:$CZ127,1,$BE127+1))</f>
      </c>
      <c r="BH127" s="684">
        <f>IF($BF127="","",INDEX(安値!$E127:$CZ127,1,$BF127+1))</f>
      </c>
      <c r="BI127" s="684">
        <f>IF($BF127="","",MAX(INDEX(高値!$E127:$CZ127,1,$BE127+1):INDEX(高値!$E127:$CZ127,1,$BF127+1)))</f>
      </c>
      <c r="BJ127" s="684">
        <f>IF($BF127="","",AVERAGE(INDEX(終値!$E127:$CZ127,1,$BF127+1):INDEX(終値!$E127:$CZ127,1,$BF127+20))-2*STDEVP(INDEX(終値!$E127:$CZ127,1,$BF127+1):INDEX(終値!$E127:$CZ127,1,$BF127+20)))</f>
      </c>
      <c r="BK127" s="684">
        <f>IF($BE127="","",AVERAGE(INDEX(終値!$E127:$CZ127,1,$BE127+1):INDEX(終値!$E127:$CZ127,1,$BE127+20))-2*STDEVP(INDEX(終値!$E127:$CZ127,1,$BE127+1):INDEX(終値!$E127:$CZ127,1,$BE127+20)))</f>
      </c>
      <c r="BL127" s="684">
        <f>COUNT($AC127:$BC127)</f>
      </c>
      <c r="BM127" s="684">
        <f>IF($BL127&gt;=2,MIN($AC127:$BC127),"")</f>
      </c>
      <c r="BN127" s="684">
        <f>IF($BL127&gt;=2,SMALL($AC127:$BC127,2),"")</f>
      </c>
      <c r="BO127" s="684">
        <f>IF($BM127="","",INDEX(高値!$E127:$CZ127,1,$BM127+1))</f>
      </c>
      <c r="BP127" s="684">
        <f>IF($BN127="","",INDEX(高値!$E127:$CZ127,1,$BN127+1))</f>
      </c>
      <c r="BQ127" s="684">
        <f>IF($BN127="","",MIN(INDEX(安値!$E127:$CZ127,1,$BM127+1):INDEX(安値!$E127:$CZ127,1,$BN127+1)))</f>
      </c>
      <c r="BR127" s="684">
        <f>IF($BN127="","",AVERAGE(INDEX(終値!$E127:$CZ127,1,$BN127+1):INDEX(終値!$E127:$CZ127,1,$BN127+20))+2*STDEVP(INDEX(終値!$E127:$CZ127,1,$BN127+1):INDEX(終値!$E127:$CZ127,1,$BN127+20)))</f>
      </c>
      <c r="BS127" s="684">
        <f>IF($BM127="","",AVERAGE(INDEX(終値!$E127:$CZ127,1,$BM127+1):INDEX(終値!$E127:$CZ127,1,$BM127+20))+2*STDEVP(INDEX(終値!$E127:$CZ127,1,$BM127+1):INDEX(終値!$E127:$CZ127,1,$BM127+20)))</f>
      </c>
      <c r="BT127" s="681">
        <f>IFERROR(IF(AND($BD127&gt;=2,ABS($BG127-$BH127)/$BH127&lt;=BB設定!$B$12,$BI127&gt;=MAX($BH127,$BG127)*(1+BB設定!$B$13),終値!E127&gt;$BG127),IF(OR(終値!E127&gt;=$BI127,AND($BH127&lt;$BJ127,$BG127&gt;=$BK127)),"二番底W▲","二番底W形成"),IF(AND($BL127&gt;=2,ABS($BO127-$BP127)/$BP127&lt;=BB設定!$B$12,$BQ127&lt;=MIN($BP127,$BO127)*(1-BB設定!$B$13),終値!E127&lt;$BO127),IF(OR(終値!E127&lt;=$BQ127,AND($BP127&gt;$BR127,$BO127&lt;=$BS127)),"二番天井M▼","二番天井M形成"),"－")),"－")</f>
      </c>
    </row>
    <row r="128">
      <c r="B128" s="684">
        <f>IF(終値!A128="","",IF(AND(安値!G128&lt;安値!F128,安値!G128&lt;安値!E128,安値!G128&lt;安値!H128,安値!G128&lt;安値!I128),2,""))</f>
      </c>
      <c r="C128" s="684">
        <f>IF(終値!A128="","",IF(AND(安値!H128&lt;安値!G128,安値!H128&lt;安値!F128,安値!H128&lt;安値!I128,安値!H128&lt;安値!J128),3,""))</f>
      </c>
      <c r="D128" s="684">
        <f>IF(終値!A128="","",IF(AND(安値!I128&lt;安値!H128,安値!I128&lt;安値!G128,安値!I128&lt;安値!J128,安値!I128&lt;安値!K128),4,""))</f>
      </c>
      <c r="E128" s="684">
        <f>IF(終値!A128="","",IF(AND(安値!J128&lt;安値!I128,安値!J128&lt;安値!H128,安値!J128&lt;安値!K128,安値!J128&lt;安値!L128),5,""))</f>
      </c>
      <c r="F128" s="684">
        <f>IF(終値!A128="","",IF(AND(安値!K128&lt;安値!J128,安値!K128&lt;安値!I128,安値!K128&lt;安値!L128,安値!K128&lt;安値!M128),6,""))</f>
      </c>
      <c r="G128" s="684">
        <f>IF(終値!A128="","",IF(AND(安値!L128&lt;安値!K128,安値!L128&lt;安値!J128,安値!L128&lt;安値!M128,安値!L128&lt;安値!N128),7,""))</f>
      </c>
      <c r="H128" s="684">
        <f>IF(終値!A128="","",IF(AND(安値!M128&lt;安値!L128,安値!M128&lt;安値!K128,安値!M128&lt;安値!N128,安値!M128&lt;安値!O128),8,""))</f>
      </c>
      <c r="I128" s="684">
        <f>IF(終値!A128="","",IF(AND(安値!N128&lt;安値!M128,安値!N128&lt;安値!L128,安値!N128&lt;安値!O128,安値!N128&lt;安値!P128),9,""))</f>
      </c>
      <c r="J128" s="684">
        <f>IF(終値!A128="","",IF(AND(安値!O128&lt;安値!N128,安値!O128&lt;安値!M128,安値!O128&lt;安値!P128,安値!O128&lt;安値!Q128),10,""))</f>
      </c>
      <c r="K128" s="684">
        <f>IF(終値!A128="","",IF(AND(安値!P128&lt;安値!O128,安値!P128&lt;安値!N128,安値!P128&lt;安値!Q128,安値!P128&lt;安値!R128),11,""))</f>
      </c>
      <c r="L128" s="684">
        <f>IF(終値!A128="","",IF(AND(安値!Q128&lt;安値!P128,安値!Q128&lt;安値!O128,安値!Q128&lt;安値!R128,安値!Q128&lt;安値!S128),12,""))</f>
      </c>
      <c r="M128" s="684">
        <f>IF(終値!A128="","",IF(AND(安値!R128&lt;安値!Q128,安値!R128&lt;安値!P128,安値!R128&lt;安値!S128,安値!R128&lt;安値!T128),13,""))</f>
      </c>
      <c r="N128" s="684">
        <f>IF(終値!A128="","",IF(AND(安値!S128&lt;安値!R128,安値!S128&lt;安値!Q128,安値!S128&lt;安値!T128,安値!S128&lt;安値!U128),14,""))</f>
      </c>
      <c r="O128" s="684">
        <f>IF(終値!A128="","",IF(AND(安値!T128&lt;安値!S128,安値!T128&lt;安値!R128,安値!T128&lt;安値!U128,安値!T128&lt;安値!V128),15,""))</f>
      </c>
      <c r="P128" s="684">
        <f>IF(終値!A128="","",IF(AND(安値!U128&lt;安値!T128,安値!U128&lt;安値!S128,安値!U128&lt;安値!V128,安値!U128&lt;安値!W128),16,""))</f>
      </c>
      <c r="Q128" s="684">
        <f>IF(終値!A128="","",IF(AND(安値!V128&lt;安値!U128,安値!V128&lt;安値!T128,安値!V128&lt;安値!W128,安値!V128&lt;安値!X128),17,""))</f>
      </c>
      <c r="R128" s="684">
        <f>IF(終値!A128="","",IF(AND(安値!W128&lt;安値!V128,安値!W128&lt;安値!U128,安値!W128&lt;安値!X128,安値!W128&lt;安値!Y128),18,""))</f>
      </c>
      <c r="S128" s="684">
        <f>IF(終値!A128="","",IF(AND(安値!X128&lt;安値!W128,安値!X128&lt;安値!V128,安値!X128&lt;安値!Y128,安値!X128&lt;安値!Z128),19,""))</f>
      </c>
      <c r="T128" s="684">
        <f>IF(終値!A128="","",IF(AND(安値!Y128&lt;安値!X128,安値!Y128&lt;安値!W128,安値!Y128&lt;安値!Z128,安値!Y128&lt;安値!AA128),20,""))</f>
      </c>
      <c r="U128" s="684">
        <f>IF(終値!A128="","",IF(AND(安値!Z128&lt;安値!Y128,安値!Z128&lt;安値!X128,安値!Z128&lt;安値!AA128,安値!Z128&lt;安値!AB128),21,""))</f>
      </c>
      <c r="V128" s="684">
        <f>IF(終値!A128="","",IF(AND(安値!AA128&lt;安値!Z128,安値!AA128&lt;安値!Y128,安値!AA128&lt;安値!AB128,安値!AA128&lt;安値!AC128),22,""))</f>
      </c>
      <c r="W128" s="684">
        <f>IF(終値!A128="","",IF(AND(安値!AB128&lt;安値!AA128,安値!AB128&lt;安値!Z128,安値!AB128&lt;安値!AC128,安値!AB128&lt;安値!AD128),23,""))</f>
      </c>
      <c r="X128" s="684">
        <f>IF(終値!A128="","",IF(AND(安値!AC128&lt;安値!AB128,安値!AC128&lt;安値!AA128,安値!AC128&lt;安値!AD128,安値!AC128&lt;安値!AE128),24,""))</f>
      </c>
      <c r="Y128" s="684">
        <f>IF(終値!A128="","",IF(AND(安値!AD128&lt;安値!AC128,安値!AD128&lt;安値!AB128,安値!AD128&lt;安値!AE128,安値!AD128&lt;安値!AF128),25,""))</f>
      </c>
      <c r="Z128" s="684">
        <f>IF(終値!A128="","",IF(AND(安値!AE128&lt;安値!AD128,安値!AE128&lt;安値!AC128,安値!AE128&lt;安値!AF128,安値!AE128&lt;安値!AG128),26,""))</f>
      </c>
      <c r="AA128" s="684">
        <f>IF(終値!A128="","",IF(AND(安値!AF128&lt;安値!AE128,安値!AF128&lt;安値!AD128,安値!AF128&lt;安値!AG128,安値!AF128&lt;安値!AH128),27,""))</f>
      </c>
      <c r="AB128" s="684">
        <f>IF(終値!A128="","",IF(AND(安値!AG128&lt;安値!AF128,安値!AG128&lt;安値!AE128,安値!AG128&lt;安値!AH128,安値!AG128&lt;安値!AI128),28,""))</f>
      </c>
      <c r="AC128" s="684">
        <f>IF(終値!A128="","",IF(AND(高値!G128&gt;高値!F128,高値!G128&gt;高値!E128,高値!G128&gt;高値!H128,高値!G128&gt;高値!I128),2,""))</f>
      </c>
      <c r="AD128" s="684">
        <f>IF(終値!A128="","",IF(AND(高値!H128&gt;高値!G128,高値!H128&gt;高値!F128,高値!H128&gt;高値!I128,高値!H128&gt;高値!J128),3,""))</f>
      </c>
      <c r="AE128" s="684">
        <f>IF(終値!A128="","",IF(AND(高値!I128&gt;高値!H128,高値!I128&gt;高値!G128,高値!I128&gt;高値!J128,高値!I128&gt;高値!K128),4,""))</f>
      </c>
      <c r="AF128" s="684">
        <f>IF(終値!A128="","",IF(AND(高値!J128&gt;高値!I128,高値!J128&gt;高値!H128,高値!J128&gt;高値!K128,高値!J128&gt;高値!L128),5,""))</f>
      </c>
      <c r="AG128" s="684">
        <f>IF(終値!A128="","",IF(AND(高値!K128&gt;高値!J128,高値!K128&gt;高値!I128,高値!K128&gt;高値!L128,高値!K128&gt;高値!M128),6,""))</f>
      </c>
      <c r="AH128" s="684">
        <f>IF(終値!A128="","",IF(AND(高値!L128&gt;高値!K128,高値!L128&gt;高値!J128,高値!L128&gt;高値!M128,高値!L128&gt;高値!N128),7,""))</f>
      </c>
      <c r="AI128" s="684">
        <f>IF(終値!A128="","",IF(AND(高値!M128&gt;高値!L128,高値!M128&gt;高値!K128,高値!M128&gt;高値!N128,高値!M128&gt;高値!O128),8,""))</f>
      </c>
      <c r="AJ128" s="684">
        <f>IF(終値!A128="","",IF(AND(高値!N128&gt;高値!M128,高値!N128&gt;高値!L128,高値!N128&gt;高値!O128,高値!N128&gt;高値!P128),9,""))</f>
      </c>
      <c r="AK128" s="684">
        <f>IF(終値!A128="","",IF(AND(高値!O128&gt;高値!N128,高値!O128&gt;高値!M128,高値!O128&gt;高値!P128,高値!O128&gt;高値!Q128),10,""))</f>
      </c>
      <c r="AL128" s="684">
        <f>IF(終値!A128="","",IF(AND(高値!P128&gt;高値!O128,高値!P128&gt;高値!N128,高値!P128&gt;高値!Q128,高値!P128&gt;高値!R128),11,""))</f>
      </c>
      <c r="AM128" s="684">
        <f>IF(終値!A128="","",IF(AND(高値!Q128&gt;高値!P128,高値!Q128&gt;高値!O128,高値!Q128&gt;高値!R128,高値!Q128&gt;高値!S128),12,""))</f>
      </c>
      <c r="AN128" s="684">
        <f>IF(終値!A128="","",IF(AND(高値!R128&gt;高値!Q128,高値!R128&gt;高値!P128,高値!R128&gt;高値!S128,高値!R128&gt;高値!T128),13,""))</f>
      </c>
      <c r="AO128" s="684">
        <f>IF(終値!A128="","",IF(AND(高値!S128&gt;高値!R128,高値!S128&gt;高値!Q128,高値!S128&gt;高値!T128,高値!S128&gt;高値!U128),14,""))</f>
      </c>
      <c r="AP128" s="684">
        <f>IF(終値!A128="","",IF(AND(高値!T128&gt;高値!S128,高値!T128&gt;高値!R128,高値!T128&gt;高値!U128,高値!T128&gt;高値!V128),15,""))</f>
      </c>
      <c r="AQ128" s="684">
        <f>IF(終値!A128="","",IF(AND(高値!U128&gt;高値!T128,高値!U128&gt;高値!S128,高値!U128&gt;高値!V128,高値!U128&gt;高値!W128),16,""))</f>
      </c>
      <c r="AR128" s="684">
        <f>IF(終値!A128="","",IF(AND(高値!V128&gt;高値!U128,高値!V128&gt;高値!T128,高値!V128&gt;高値!W128,高値!V128&gt;高値!X128),17,""))</f>
      </c>
      <c r="AS128" s="684">
        <f>IF(終値!A128="","",IF(AND(高値!W128&gt;高値!V128,高値!W128&gt;高値!U128,高値!W128&gt;高値!X128,高値!W128&gt;高値!Y128),18,""))</f>
      </c>
      <c r="AT128" s="684">
        <f>IF(終値!A128="","",IF(AND(高値!X128&gt;高値!W128,高値!X128&gt;高値!V128,高値!X128&gt;高値!Y128,高値!X128&gt;高値!Z128),19,""))</f>
      </c>
      <c r="AU128" s="684">
        <f>IF(終値!A128="","",IF(AND(高値!Y128&gt;高値!X128,高値!Y128&gt;高値!W128,高値!Y128&gt;高値!Z128,高値!Y128&gt;高値!AA128),20,""))</f>
      </c>
      <c r="AV128" s="684">
        <f>IF(終値!A128="","",IF(AND(高値!Z128&gt;高値!Y128,高値!Z128&gt;高値!X128,高値!Z128&gt;高値!AA128,高値!Z128&gt;高値!AB128),21,""))</f>
      </c>
      <c r="AW128" s="684">
        <f>IF(終値!A128="","",IF(AND(高値!AA128&gt;高値!Z128,高値!AA128&gt;高値!Y128,高値!AA128&gt;高値!AB128,高値!AA128&gt;高値!AC128),22,""))</f>
      </c>
      <c r="AX128" s="684">
        <f>IF(終値!A128="","",IF(AND(高値!AB128&gt;高値!AA128,高値!AB128&gt;高値!Z128,高値!AB128&gt;高値!AC128,高値!AB128&gt;高値!AD128),23,""))</f>
      </c>
      <c r="AY128" s="684">
        <f>IF(終値!A128="","",IF(AND(高値!AC128&gt;高値!AB128,高値!AC128&gt;高値!AA128,高値!AC128&gt;高値!AD128,高値!AC128&gt;高値!AE128),24,""))</f>
      </c>
      <c r="AZ128" s="684">
        <f>IF(終値!A128="","",IF(AND(高値!AD128&gt;高値!AC128,高値!AD128&gt;高値!AB128,高値!AD128&gt;高値!AE128,高値!AD128&gt;高値!AF128),25,""))</f>
      </c>
      <c r="BA128" s="684">
        <f>IF(終値!A128="","",IF(AND(高値!AE128&gt;高値!AD128,高値!AE128&gt;高値!AC128,高値!AE128&gt;高値!AF128,高値!AE128&gt;高値!AG128),26,""))</f>
      </c>
      <c r="BB128" s="684">
        <f>IF(終値!A128="","",IF(AND(高値!AF128&gt;高値!AE128,高値!AF128&gt;高値!AD128,高値!AF128&gt;高値!AG128,高値!AF128&gt;高値!AH128),27,""))</f>
      </c>
      <c r="BC128" s="684">
        <f>IF(終値!A128="","",IF(AND(高値!AG128&gt;高値!AF128,高値!AG128&gt;高値!AE128,高値!AG128&gt;高値!AH128,高値!AG128&gt;高値!AI128),28,""))</f>
      </c>
      <c r="BD128" s="684">
        <f>COUNT($B128:$AB128)</f>
      </c>
      <c r="BE128" s="684">
        <f>IF($BD128&gt;=2,MIN($B128:$AB128),"")</f>
      </c>
      <c r="BF128" s="684">
        <f>IF($BD128&gt;=2,SMALL($B128:$AB128,2),"")</f>
      </c>
      <c r="BG128" s="684">
        <f>IF($BE128="","",INDEX(安値!$E128:$CZ128,1,$BE128+1))</f>
      </c>
      <c r="BH128" s="684">
        <f>IF($BF128="","",INDEX(安値!$E128:$CZ128,1,$BF128+1))</f>
      </c>
      <c r="BI128" s="684">
        <f>IF($BF128="","",MAX(INDEX(高値!$E128:$CZ128,1,$BE128+1):INDEX(高値!$E128:$CZ128,1,$BF128+1)))</f>
      </c>
      <c r="BJ128" s="684">
        <f>IF($BF128="","",AVERAGE(INDEX(終値!$E128:$CZ128,1,$BF128+1):INDEX(終値!$E128:$CZ128,1,$BF128+20))-2*STDEVP(INDEX(終値!$E128:$CZ128,1,$BF128+1):INDEX(終値!$E128:$CZ128,1,$BF128+20)))</f>
      </c>
      <c r="BK128" s="684">
        <f>IF($BE128="","",AVERAGE(INDEX(終値!$E128:$CZ128,1,$BE128+1):INDEX(終値!$E128:$CZ128,1,$BE128+20))-2*STDEVP(INDEX(終値!$E128:$CZ128,1,$BE128+1):INDEX(終値!$E128:$CZ128,1,$BE128+20)))</f>
      </c>
      <c r="BL128" s="684">
        <f>COUNT($AC128:$BC128)</f>
      </c>
      <c r="BM128" s="684">
        <f>IF($BL128&gt;=2,MIN($AC128:$BC128),"")</f>
      </c>
      <c r="BN128" s="684">
        <f>IF($BL128&gt;=2,SMALL($AC128:$BC128,2),"")</f>
      </c>
      <c r="BO128" s="684">
        <f>IF($BM128="","",INDEX(高値!$E128:$CZ128,1,$BM128+1))</f>
      </c>
      <c r="BP128" s="684">
        <f>IF($BN128="","",INDEX(高値!$E128:$CZ128,1,$BN128+1))</f>
      </c>
      <c r="BQ128" s="684">
        <f>IF($BN128="","",MIN(INDEX(安値!$E128:$CZ128,1,$BM128+1):INDEX(安値!$E128:$CZ128,1,$BN128+1)))</f>
      </c>
      <c r="BR128" s="684">
        <f>IF($BN128="","",AVERAGE(INDEX(終値!$E128:$CZ128,1,$BN128+1):INDEX(終値!$E128:$CZ128,1,$BN128+20))+2*STDEVP(INDEX(終値!$E128:$CZ128,1,$BN128+1):INDEX(終値!$E128:$CZ128,1,$BN128+20)))</f>
      </c>
      <c r="BS128" s="684">
        <f>IF($BM128="","",AVERAGE(INDEX(終値!$E128:$CZ128,1,$BM128+1):INDEX(終値!$E128:$CZ128,1,$BM128+20))+2*STDEVP(INDEX(終値!$E128:$CZ128,1,$BM128+1):INDEX(終値!$E128:$CZ128,1,$BM128+20)))</f>
      </c>
      <c r="BT128" s="681">
        <f>IFERROR(IF(AND($BD128&gt;=2,ABS($BG128-$BH128)/$BH128&lt;=BB設定!$B$12,$BI128&gt;=MAX($BH128,$BG128)*(1+BB設定!$B$13),終値!E128&gt;$BG128),IF(OR(終値!E128&gt;=$BI128,AND($BH128&lt;$BJ128,$BG128&gt;=$BK128)),"二番底W▲","二番底W形成"),IF(AND($BL128&gt;=2,ABS($BO128-$BP128)/$BP128&lt;=BB設定!$B$12,$BQ128&lt;=MIN($BP128,$BO128)*(1-BB設定!$B$13),終値!E128&lt;$BO128),IF(OR(終値!E128&lt;=$BQ128,AND($BP128&gt;$BR128,$BO128&lt;=$BS128)),"二番天井M▼","二番天井M形成"),"－")),"－")</f>
      </c>
    </row>
    <row r="129">
      <c r="B129" s="684">
        <f>IF(終値!A129="","",IF(AND(安値!G129&lt;安値!F129,安値!G129&lt;安値!E129,安値!G129&lt;安値!H129,安値!G129&lt;安値!I129),2,""))</f>
      </c>
      <c r="C129" s="684">
        <f>IF(終値!A129="","",IF(AND(安値!H129&lt;安値!G129,安値!H129&lt;安値!F129,安値!H129&lt;安値!I129,安値!H129&lt;安値!J129),3,""))</f>
      </c>
      <c r="D129" s="684">
        <f>IF(終値!A129="","",IF(AND(安値!I129&lt;安値!H129,安値!I129&lt;安値!G129,安値!I129&lt;安値!J129,安値!I129&lt;安値!K129),4,""))</f>
      </c>
      <c r="E129" s="684">
        <f>IF(終値!A129="","",IF(AND(安値!J129&lt;安値!I129,安値!J129&lt;安値!H129,安値!J129&lt;安値!K129,安値!J129&lt;安値!L129),5,""))</f>
      </c>
      <c r="F129" s="684">
        <f>IF(終値!A129="","",IF(AND(安値!K129&lt;安値!J129,安値!K129&lt;安値!I129,安値!K129&lt;安値!L129,安値!K129&lt;安値!M129),6,""))</f>
      </c>
      <c r="G129" s="684">
        <f>IF(終値!A129="","",IF(AND(安値!L129&lt;安値!K129,安値!L129&lt;安値!J129,安値!L129&lt;安値!M129,安値!L129&lt;安値!N129),7,""))</f>
      </c>
      <c r="H129" s="684">
        <f>IF(終値!A129="","",IF(AND(安値!M129&lt;安値!L129,安値!M129&lt;安値!K129,安値!M129&lt;安値!N129,安値!M129&lt;安値!O129),8,""))</f>
      </c>
      <c r="I129" s="684">
        <f>IF(終値!A129="","",IF(AND(安値!N129&lt;安値!M129,安値!N129&lt;安値!L129,安値!N129&lt;安値!O129,安値!N129&lt;安値!P129),9,""))</f>
      </c>
      <c r="J129" s="684">
        <f>IF(終値!A129="","",IF(AND(安値!O129&lt;安値!N129,安値!O129&lt;安値!M129,安値!O129&lt;安値!P129,安値!O129&lt;安値!Q129),10,""))</f>
      </c>
      <c r="K129" s="684">
        <f>IF(終値!A129="","",IF(AND(安値!P129&lt;安値!O129,安値!P129&lt;安値!N129,安値!P129&lt;安値!Q129,安値!P129&lt;安値!R129),11,""))</f>
      </c>
      <c r="L129" s="684">
        <f>IF(終値!A129="","",IF(AND(安値!Q129&lt;安値!P129,安値!Q129&lt;安値!O129,安値!Q129&lt;安値!R129,安値!Q129&lt;安値!S129),12,""))</f>
      </c>
      <c r="M129" s="684">
        <f>IF(終値!A129="","",IF(AND(安値!R129&lt;安値!Q129,安値!R129&lt;安値!P129,安値!R129&lt;安値!S129,安値!R129&lt;安値!T129),13,""))</f>
      </c>
      <c r="N129" s="684">
        <f>IF(終値!A129="","",IF(AND(安値!S129&lt;安値!R129,安値!S129&lt;安値!Q129,安値!S129&lt;安値!T129,安値!S129&lt;安値!U129),14,""))</f>
      </c>
      <c r="O129" s="684">
        <f>IF(終値!A129="","",IF(AND(安値!T129&lt;安値!S129,安値!T129&lt;安値!R129,安値!T129&lt;安値!U129,安値!T129&lt;安値!V129),15,""))</f>
      </c>
      <c r="P129" s="684">
        <f>IF(終値!A129="","",IF(AND(安値!U129&lt;安値!T129,安値!U129&lt;安値!S129,安値!U129&lt;安値!V129,安値!U129&lt;安値!W129),16,""))</f>
      </c>
      <c r="Q129" s="684">
        <f>IF(終値!A129="","",IF(AND(安値!V129&lt;安値!U129,安値!V129&lt;安値!T129,安値!V129&lt;安値!W129,安値!V129&lt;安値!X129),17,""))</f>
      </c>
      <c r="R129" s="684">
        <f>IF(終値!A129="","",IF(AND(安値!W129&lt;安値!V129,安値!W129&lt;安値!U129,安値!W129&lt;安値!X129,安値!W129&lt;安値!Y129),18,""))</f>
      </c>
      <c r="S129" s="684">
        <f>IF(終値!A129="","",IF(AND(安値!X129&lt;安値!W129,安値!X129&lt;安値!V129,安値!X129&lt;安値!Y129,安値!X129&lt;安値!Z129),19,""))</f>
      </c>
      <c r="T129" s="684">
        <f>IF(終値!A129="","",IF(AND(安値!Y129&lt;安値!X129,安値!Y129&lt;安値!W129,安値!Y129&lt;安値!Z129,安値!Y129&lt;安値!AA129),20,""))</f>
      </c>
      <c r="U129" s="684">
        <f>IF(終値!A129="","",IF(AND(安値!Z129&lt;安値!Y129,安値!Z129&lt;安値!X129,安値!Z129&lt;安値!AA129,安値!Z129&lt;安値!AB129),21,""))</f>
      </c>
      <c r="V129" s="684">
        <f>IF(終値!A129="","",IF(AND(安値!AA129&lt;安値!Z129,安値!AA129&lt;安値!Y129,安値!AA129&lt;安値!AB129,安値!AA129&lt;安値!AC129),22,""))</f>
      </c>
      <c r="W129" s="684">
        <f>IF(終値!A129="","",IF(AND(安値!AB129&lt;安値!AA129,安値!AB129&lt;安値!Z129,安値!AB129&lt;安値!AC129,安値!AB129&lt;安値!AD129),23,""))</f>
      </c>
      <c r="X129" s="684">
        <f>IF(終値!A129="","",IF(AND(安値!AC129&lt;安値!AB129,安値!AC129&lt;安値!AA129,安値!AC129&lt;安値!AD129,安値!AC129&lt;安値!AE129),24,""))</f>
      </c>
      <c r="Y129" s="684">
        <f>IF(終値!A129="","",IF(AND(安値!AD129&lt;安値!AC129,安値!AD129&lt;安値!AB129,安値!AD129&lt;安値!AE129,安値!AD129&lt;安値!AF129),25,""))</f>
      </c>
      <c r="Z129" s="684">
        <f>IF(終値!A129="","",IF(AND(安値!AE129&lt;安値!AD129,安値!AE129&lt;安値!AC129,安値!AE129&lt;安値!AF129,安値!AE129&lt;安値!AG129),26,""))</f>
      </c>
      <c r="AA129" s="684">
        <f>IF(終値!A129="","",IF(AND(安値!AF129&lt;安値!AE129,安値!AF129&lt;安値!AD129,安値!AF129&lt;安値!AG129,安値!AF129&lt;安値!AH129),27,""))</f>
      </c>
      <c r="AB129" s="684">
        <f>IF(終値!A129="","",IF(AND(安値!AG129&lt;安値!AF129,安値!AG129&lt;安値!AE129,安値!AG129&lt;安値!AH129,安値!AG129&lt;安値!AI129),28,""))</f>
      </c>
      <c r="AC129" s="684">
        <f>IF(終値!A129="","",IF(AND(高値!G129&gt;高値!F129,高値!G129&gt;高値!E129,高値!G129&gt;高値!H129,高値!G129&gt;高値!I129),2,""))</f>
      </c>
      <c r="AD129" s="684">
        <f>IF(終値!A129="","",IF(AND(高値!H129&gt;高値!G129,高値!H129&gt;高値!F129,高値!H129&gt;高値!I129,高値!H129&gt;高値!J129),3,""))</f>
      </c>
      <c r="AE129" s="684">
        <f>IF(終値!A129="","",IF(AND(高値!I129&gt;高値!H129,高値!I129&gt;高値!G129,高値!I129&gt;高値!J129,高値!I129&gt;高値!K129),4,""))</f>
      </c>
      <c r="AF129" s="684">
        <f>IF(終値!A129="","",IF(AND(高値!J129&gt;高値!I129,高値!J129&gt;高値!H129,高値!J129&gt;高値!K129,高値!J129&gt;高値!L129),5,""))</f>
      </c>
      <c r="AG129" s="684">
        <f>IF(終値!A129="","",IF(AND(高値!K129&gt;高値!J129,高値!K129&gt;高値!I129,高値!K129&gt;高値!L129,高値!K129&gt;高値!M129),6,""))</f>
      </c>
      <c r="AH129" s="684">
        <f>IF(終値!A129="","",IF(AND(高値!L129&gt;高値!K129,高値!L129&gt;高値!J129,高値!L129&gt;高値!M129,高値!L129&gt;高値!N129),7,""))</f>
      </c>
      <c r="AI129" s="684">
        <f>IF(終値!A129="","",IF(AND(高値!M129&gt;高値!L129,高値!M129&gt;高値!K129,高値!M129&gt;高値!N129,高値!M129&gt;高値!O129),8,""))</f>
      </c>
      <c r="AJ129" s="684">
        <f>IF(終値!A129="","",IF(AND(高値!N129&gt;高値!M129,高値!N129&gt;高値!L129,高値!N129&gt;高値!O129,高値!N129&gt;高値!P129),9,""))</f>
      </c>
      <c r="AK129" s="684">
        <f>IF(終値!A129="","",IF(AND(高値!O129&gt;高値!N129,高値!O129&gt;高値!M129,高値!O129&gt;高値!P129,高値!O129&gt;高値!Q129),10,""))</f>
      </c>
      <c r="AL129" s="684">
        <f>IF(終値!A129="","",IF(AND(高値!P129&gt;高値!O129,高値!P129&gt;高値!N129,高値!P129&gt;高値!Q129,高値!P129&gt;高値!R129),11,""))</f>
      </c>
      <c r="AM129" s="684">
        <f>IF(終値!A129="","",IF(AND(高値!Q129&gt;高値!P129,高値!Q129&gt;高値!O129,高値!Q129&gt;高値!R129,高値!Q129&gt;高値!S129),12,""))</f>
      </c>
      <c r="AN129" s="684">
        <f>IF(終値!A129="","",IF(AND(高値!R129&gt;高値!Q129,高値!R129&gt;高値!P129,高値!R129&gt;高値!S129,高値!R129&gt;高値!T129),13,""))</f>
      </c>
      <c r="AO129" s="684">
        <f>IF(終値!A129="","",IF(AND(高値!S129&gt;高値!R129,高値!S129&gt;高値!Q129,高値!S129&gt;高値!T129,高値!S129&gt;高値!U129),14,""))</f>
      </c>
      <c r="AP129" s="684">
        <f>IF(終値!A129="","",IF(AND(高値!T129&gt;高値!S129,高値!T129&gt;高値!R129,高値!T129&gt;高値!U129,高値!T129&gt;高値!V129),15,""))</f>
      </c>
      <c r="AQ129" s="684">
        <f>IF(終値!A129="","",IF(AND(高値!U129&gt;高値!T129,高値!U129&gt;高値!S129,高値!U129&gt;高値!V129,高値!U129&gt;高値!W129),16,""))</f>
      </c>
      <c r="AR129" s="684">
        <f>IF(終値!A129="","",IF(AND(高値!V129&gt;高値!U129,高値!V129&gt;高値!T129,高値!V129&gt;高値!W129,高値!V129&gt;高値!X129),17,""))</f>
      </c>
      <c r="AS129" s="684">
        <f>IF(終値!A129="","",IF(AND(高値!W129&gt;高値!V129,高値!W129&gt;高値!U129,高値!W129&gt;高値!X129,高値!W129&gt;高値!Y129),18,""))</f>
      </c>
      <c r="AT129" s="684">
        <f>IF(終値!A129="","",IF(AND(高値!X129&gt;高値!W129,高値!X129&gt;高値!V129,高値!X129&gt;高値!Y129,高値!X129&gt;高値!Z129),19,""))</f>
      </c>
      <c r="AU129" s="684">
        <f>IF(終値!A129="","",IF(AND(高値!Y129&gt;高値!X129,高値!Y129&gt;高値!W129,高値!Y129&gt;高値!Z129,高値!Y129&gt;高値!AA129),20,""))</f>
      </c>
      <c r="AV129" s="684">
        <f>IF(終値!A129="","",IF(AND(高値!Z129&gt;高値!Y129,高値!Z129&gt;高値!X129,高値!Z129&gt;高値!AA129,高値!Z129&gt;高値!AB129),21,""))</f>
      </c>
      <c r="AW129" s="684">
        <f>IF(終値!A129="","",IF(AND(高値!AA129&gt;高値!Z129,高値!AA129&gt;高値!Y129,高値!AA129&gt;高値!AB129,高値!AA129&gt;高値!AC129),22,""))</f>
      </c>
      <c r="AX129" s="684">
        <f>IF(終値!A129="","",IF(AND(高値!AB129&gt;高値!AA129,高値!AB129&gt;高値!Z129,高値!AB129&gt;高値!AC129,高値!AB129&gt;高値!AD129),23,""))</f>
      </c>
      <c r="AY129" s="684">
        <f>IF(終値!A129="","",IF(AND(高値!AC129&gt;高値!AB129,高値!AC129&gt;高値!AA129,高値!AC129&gt;高値!AD129,高値!AC129&gt;高値!AE129),24,""))</f>
      </c>
      <c r="AZ129" s="684">
        <f>IF(終値!A129="","",IF(AND(高値!AD129&gt;高値!AC129,高値!AD129&gt;高値!AB129,高値!AD129&gt;高値!AE129,高値!AD129&gt;高値!AF129),25,""))</f>
      </c>
      <c r="BA129" s="684">
        <f>IF(終値!A129="","",IF(AND(高値!AE129&gt;高値!AD129,高値!AE129&gt;高値!AC129,高値!AE129&gt;高値!AF129,高値!AE129&gt;高値!AG129),26,""))</f>
      </c>
      <c r="BB129" s="684">
        <f>IF(終値!A129="","",IF(AND(高値!AF129&gt;高値!AE129,高値!AF129&gt;高値!AD129,高値!AF129&gt;高値!AG129,高値!AF129&gt;高値!AH129),27,""))</f>
      </c>
      <c r="BC129" s="684">
        <f>IF(終値!A129="","",IF(AND(高値!AG129&gt;高値!AF129,高値!AG129&gt;高値!AE129,高値!AG129&gt;高値!AH129,高値!AG129&gt;高値!AI129),28,""))</f>
      </c>
      <c r="BD129" s="684">
        <f>COUNT($B129:$AB129)</f>
      </c>
      <c r="BE129" s="684">
        <f>IF($BD129&gt;=2,MIN($B129:$AB129),"")</f>
      </c>
      <c r="BF129" s="684">
        <f>IF($BD129&gt;=2,SMALL($B129:$AB129,2),"")</f>
      </c>
      <c r="BG129" s="684">
        <f>IF($BE129="","",INDEX(安値!$E129:$CZ129,1,$BE129+1))</f>
      </c>
      <c r="BH129" s="684">
        <f>IF($BF129="","",INDEX(安値!$E129:$CZ129,1,$BF129+1))</f>
      </c>
      <c r="BI129" s="684">
        <f>IF($BF129="","",MAX(INDEX(高値!$E129:$CZ129,1,$BE129+1):INDEX(高値!$E129:$CZ129,1,$BF129+1)))</f>
      </c>
      <c r="BJ129" s="684">
        <f>IF($BF129="","",AVERAGE(INDEX(終値!$E129:$CZ129,1,$BF129+1):INDEX(終値!$E129:$CZ129,1,$BF129+20))-2*STDEVP(INDEX(終値!$E129:$CZ129,1,$BF129+1):INDEX(終値!$E129:$CZ129,1,$BF129+20)))</f>
      </c>
      <c r="BK129" s="684">
        <f>IF($BE129="","",AVERAGE(INDEX(終値!$E129:$CZ129,1,$BE129+1):INDEX(終値!$E129:$CZ129,1,$BE129+20))-2*STDEVP(INDEX(終値!$E129:$CZ129,1,$BE129+1):INDEX(終値!$E129:$CZ129,1,$BE129+20)))</f>
      </c>
      <c r="BL129" s="684">
        <f>COUNT($AC129:$BC129)</f>
      </c>
      <c r="BM129" s="684">
        <f>IF($BL129&gt;=2,MIN($AC129:$BC129),"")</f>
      </c>
      <c r="BN129" s="684">
        <f>IF($BL129&gt;=2,SMALL($AC129:$BC129,2),"")</f>
      </c>
      <c r="BO129" s="684">
        <f>IF($BM129="","",INDEX(高値!$E129:$CZ129,1,$BM129+1))</f>
      </c>
      <c r="BP129" s="684">
        <f>IF($BN129="","",INDEX(高値!$E129:$CZ129,1,$BN129+1))</f>
      </c>
      <c r="BQ129" s="684">
        <f>IF($BN129="","",MIN(INDEX(安値!$E129:$CZ129,1,$BM129+1):INDEX(安値!$E129:$CZ129,1,$BN129+1)))</f>
      </c>
      <c r="BR129" s="684">
        <f>IF($BN129="","",AVERAGE(INDEX(終値!$E129:$CZ129,1,$BN129+1):INDEX(終値!$E129:$CZ129,1,$BN129+20))+2*STDEVP(INDEX(終値!$E129:$CZ129,1,$BN129+1):INDEX(終値!$E129:$CZ129,1,$BN129+20)))</f>
      </c>
      <c r="BS129" s="684">
        <f>IF($BM129="","",AVERAGE(INDEX(終値!$E129:$CZ129,1,$BM129+1):INDEX(終値!$E129:$CZ129,1,$BM129+20))+2*STDEVP(INDEX(終値!$E129:$CZ129,1,$BM129+1):INDEX(終値!$E129:$CZ129,1,$BM129+20)))</f>
      </c>
      <c r="BT129" s="681">
        <f>IFERROR(IF(AND($BD129&gt;=2,ABS($BG129-$BH129)/$BH129&lt;=BB設定!$B$12,$BI129&gt;=MAX($BH129,$BG129)*(1+BB設定!$B$13),終値!E129&gt;$BG129),IF(OR(終値!E129&gt;=$BI129,AND($BH129&lt;$BJ129,$BG129&gt;=$BK129)),"二番底W▲","二番底W形成"),IF(AND($BL129&gt;=2,ABS($BO129-$BP129)/$BP129&lt;=BB設定!$B$12,$BQ129&lt;=MIN($BP129,$BO129)*(1-BB設定!$B$13),終値!E129&lt;$BO129),IF(OR(終値!E129&lt;=$BQ129,AND($BP129&gt;$BR129,$BO129&lt;=$BS129)),"二番天井M▼","二番天井M形成"),"－")),"－")</f>
      </c>
    </row>
    <row r="130">
      <c r="B130" s="684">
        <f>IF(終値!A130="","",IF(AND(安値!G130&lt;安値!F130,安値!G130&lt;安値!E130,安値!G130&lt;安値!H130,安値!G130&lt;安値!I130),2,""))</f>
      </c>
      <c r="C130" s="684">
        <f>IF(終値!A130="","",IF(AND(安値!H130&lt;安値!G130,安値!H130&lt;安値!F130,安値!H130&lt;安値!I130,安値!H130&lt;安値!J130),3,""))</f>
      </c>
      <c r="D130" s="684">
        <f>IF(終値!A130="","",IF(AND(安値!I130&lt;安値!H130,安値!I130&lt;安値!G130,安値!I130&lt;安値!J130,安値!I130&lt;安値!K130),4,""))</f>
      </c>
      <c r="E130" s="684">
        <f>IF(終値!A130="","",IF(AND(安値!J130&lt;安値!I130,安値!J130&lt;安値!H130,安値!J130&lt;安値!K130,安値!J130&lt;安値!L130),5,""))</f>
      </c>
      <c r="F130" s="684">
        <f>IF(終値!A130="","",IF(AND(安値!K130&lt;安値!J130,安値!K130&lt;安値!I130,安値!K130&lt;安値!L130,安値!K130&lt;安値!M130),6,""))</f>
      </c>
      <c r="G130" s="684">
        <f>IF(終値!A130="","",IF(AND(安値!L130&lt;安値!K130,安値!L130&lt;安値!J130,安値!L130&lt;安値!M130,安値!L130&lt;安値!N130),7,""))</f>
      </c>
      <c r="H130" s="684">
        <f>IF(終値!A130="","",IF(AND(安値!M130&lt;安値!L130,安値!M130&lt;安値!K130,安値!M130&lt;安値!N130,安値!M130&lt;安値!O130),8,""))</f>
      </c>
      <c r="I130" s="684">
        <f>IF(終値!A130="","",IF(AND(安値!N130&lt;安値!M130,安値!N130&lt;安値!L130,安値!N130&lt;安値!O130,安値!N130&lt;安値!P130),9,""))</f>
      </c>
      <c r="J130" s="684">
        <f>IF(終値!A130="","",IF(AND(安値!O130&lt;安値!N130,安値!O130&lt;安値!M130,安値!O130&lt;安値!P130,安値!O130&lt;安値!Q130),10,""))</f>
      </c>
      <c r="K130" s="684">
        <f>IF(終値!A130="","",IF(AND(安値!P130&lt;安値!O130,安値!P130&lt;安値!N130,安値!P130&lt;安値!Q130,安値!P130&lt;安値!R130),11,""))</f>
      </c>
      <c r="L130" s="684">
        <f>IF(終値!A130="","",IF(AND(安値!Q130&lt;安値!P130,安値!Q130&lt;安値!O130,安値!Q130&lt;安値!R130,安値!Q130&lt;安値!S130),12,""))</f>
      </c>
      <c r="M130" s="684">
        <f>IF(終値!A130="","",IF(AND(安値!R130&lt;安値!Q130,安値!R130&lt;安値!P130,安値!R130&lt;安値!S130,安値!R130&lt;安値!T130),13,""))</f>
      </c>
      <c r="N130" s="684">
        <f>IF(終値!A130="","",IF(AND(安値!S130&lt;安値!R130,安値!S130&lt;安値!Q130,安値!S130&lt;安値!T130,安値!S130&lt;安値!U130),14,""))</f>
      </c>
      <c r="O130" s="684">
        <f>IF(終値!A130="","",IF(AND(安値!T130&lt;安値!S130,安値!T130&lt;安値!R130,安値!T130&lt;安値!U130,安値!T130&lt;安値!V130),15,""))</f>
      </c>
      <c r="P130" s="684">
        <f>IF(終値!A130="","",IF(AND(安値!U130&lt;安値!T130,安値!U130&lt;安値!S130,安値!U130&lt;安値!V130,安値!U130&lt;安値!W130),16,""))</f>
      </c>
      <c r="Q130" s="684">
        <f>IF(終値!A130="","",IF(AND(安値!V130&lt;安値!U130,安値!V130&lt;安値!T130,安値!V130&lt;安値!W130,安値!V130&lt;安値!X130),17,""))</f>
      </c>
      <c r="R130" s="684">
        <f>IF(終値!A130="","",IF(AND(安値!W130&lt;安値!V130,安値!W130&lt;安値!U130,安値!W130&lt;安値!X130,安値!W130&lt;安値!Y130),18,""))</f>
      </c>
      <c r="S130" s="684">
        <f>IF(終値!A130="","",IF(AND(安値!X130&lt;安値!W130,安値!X130&lt;安値!V130,安値!X130&lt;安値!Y130,安値!X130&lt;安値!Z130),19,""))</f>
      </c>
      <c r="T130" s="684">
        <f>IF(終値!A130="","",IF(AND(安値!Y130&lt;安値!X130,安値!Y130&lt;安値!W130,安値!Y130&lt;安値!Z130,安値!Y130&lt;安値!AA130),20,""))</f>
      </c>
      <c r="U130" s="684">
        <f>IF(終値!A130="","",IF(AND(安値!Z130&lt;安値!Y130,安値!Z130&lt;安値!X130,安値!Z130&lt;安値!AA130,安値!Z130&lt;安値!AB130),21,""))</f>
      </c>
      <c r="V130" s="684">
        <f>IF(終値!A130="","",IF(AND(安値!AA130&lt;安値!Z130,安値!AA130&lt;安値!Y130,安値!AA130&lt;安値!AB130,安値!AA130&lt;安値!AC130),22,""))</f>
      </c>
      <c r="W130" s="684">
        <f>IF(終値!A130="","",IF(AND(安値!AB130&lt;安値!AA130,安値!AB130&lt;安値!Z130,安値!AB130&lt;安値!AC130,安値!AB130&lt;安値!AD130),23,""))</f>
      </c>
      <c r="X130" s="684">
        <f>IF(終値!A130="","",IF(AND(安値!AC130&lt;安値!AB130,安値!AC130&lt;安値!AA130,安値!AC130&lt;安値!AD130,安値!AC130&lt;安値!AE130),24,""))</f>
      </c>
      <c r="Y130" s="684">
        <f>IF(終値!A130="","",IF(AND(安値!AD130&lt;安値!AC130,安値!AD130&lt;安値!AB130,安値!AD130&lt;安値!AE130,安値!AD130&lt;安値!AF130),25,""))</f>
      </c>
      <c r="Z130" s="684">
        <f>IF(終値!A130="","",IF(AND(安値!AE130&lt;安値!AD130,安値!AE130&lt;安値!AC130,安値!AE130&lt;安値!AF130,安値!AE130&lt;安値!AG130),26,""))</f>
      </c>
      <c r="AA130" s="684">
        <f>IF(終値!A130="","",IF(AND(安値!AF130&lt;安値!AE130,安値!AF130&lt;安値!AD130,安値!AF130&lt;安値!AG130,安値!AF130&lt;安値!AH130),27,""))</f>
      </c>
      <c r="AB130" s="684">
        <f>IF(終値!A130="","",IF(AND(安値!AG130&lt;安値!AF130,安値!AG130&lt;安値!AE130,安値!AG130&lt;安値!AH130,安値!AG130&lt;安値!AI130),28,""))</f>
      </c>
      <c r="AC130" s="684">
        <f>IF(終値!A130="","",IF(AND(高値!G130&gt;高値!F130,高値!G130&gt;高値!E130,高値!G130&gt;高値!H130,高値!G130&gt;高値!I130),2,""))</f>
      </c>
      <c r="AD130" s="684">
        <f>IF(終値!A130="","",IF(AND(高値!H130&gt;高値!G130,高値!H130&gt;高値!F130,高値!H130&gt;高値!I130,高値!H130&gt;高値!J130),3,""))</f>
      </c>
      <c r="AE130" s="684">
        <f>IF(終値!A130="","",IF(AND(高値!I130&gt;高値!H130,高値!I130&gt;高値!G130,高値!I130&gt;高値!J130,高値!I130&gt;高値!K130),4,""))</f>
      </c>
      <c r="AF130" s="684">
        <f>IF(終値!A130="","",IF(AND(高値!J130&gt;高値!I130,高値!J130&gt;高値!H130,高値!J130&gt;高値!K130,高値!J130&gt;高値!L130),5,""))</f>
      </c>
      <c r="AG130" s="684">
        <f>IF(終値!A130="","",IF(AND(高値!K130&gt;高値!J130,高値!K130&gt;高値!I130,高値!K130&gt;高値!L130,高値!K130&gt;高値!M130),6,""))</f>
      </c>
      <c r="AH130" s="684">
        <f>IF(終値!A130="","",IF(AND(高値!L130&gt;高値!K130,高値!L130&gt;高値!J130,高値!L130&gt;高値!M130,高値!L130&gt;高値!N130),7,""))</f>
      </c>
      <c r="AI130" s="684">
        <f>IF(終値!A130="","",IF(AND(高値!M130&gt;高値!L130,高値!M130&gt;高値!K130,高値!M130&gt;高値!N130,高値!M130&gt;高値!O130),8,""))</f>
      </c>
      <c r="AJ130" s="684">
        <f>IF(終値!A130="","",IF(AND(高値!N130&gt;高値!M130,高値!N130&gt;高値!L130,高値!N130&gt;高値!O130,高値!N130&gt;高値!P130),9,""))</f>
      </c>
      <c r="AK130" s="684">
        <f>IF(終値!A130="","",IF(AND(高値!O130&gt;高値!N130,高値!O130&gt;高値!M130,高値!O130&gt;高値!P130,高値!O130&gt;高値!Q130),10,""))</f>
      </c>
      <c r="AL130" s="684">
        <f>IF(終値!A130="","",IF(AND(高値!P130&gt;高値!O130,高値!P130&gt;高値!N130,高値!P130&gt;高値!Q130,高値!P130&gt;高値!R130),11,""))</f>
      </c>
      <c r="AM130" s="684">
        <f>IF(終値!A130="","",IF(AND(高値!Q130&gt;高値!P130,高値!Q130&gt;高値!O130,高値!Q130&gt;高値!R130,高値!Q130&gt;高値!S130),12,""))</f>
      </c>
      <c r="AN130" s="684">
        <f>IF(終値!A130="","",IF(AND(高値!R130&gt;高値!Q130,高値!R130&gt;高値!P130,高値!R130&gt;高値!S130,高値!R130&gt;高値!T130),13,""))</f>
      </c>
      <c r="AO130" s="684">
        <f>IF(終値!A130="","",IF(AND(高値!S130&gt;高値!R130,高値!S130&gt;高値!Q130,高値!S130&gt;高値!T130,高値!S130&gt;高値!U130),14,""))</f>
      </c>
      <c r="AP130" s="684">
        <f>IF(終値!A130="","",IF(AND(高値!T130&gt;高値!S130,高値!T130&gt;高値!R130,高値!T130&gt;高値!U130,高値!T130&gt;高値!V130),15,""))</f>
      </c>
      <c r="AQ130" s="684">
        <f>IF(終値!A130="","",IF(AND(高値!U130&gt;高値!T130,高値!U130&gt;高値!S130,高値!U130&gt;高値!V130,高値!U130&gt;高値!W130),16,""))</f>
      </c>
      <c r="AR130" s="684">
        <f>IF(終値!A130="","",IF(AND(高値!V130&gt;高値!U130,高値!V130&gt;高値!T130,高値!V130&gt;高値!W130,高値!V130&gt;高値!X130),17,""))</f>
      </c>
      <c r="AS130" s="684">
        <f>IF(終値!A130="","",IF(AND(高値!W130&gt;高値!V130,高値!W130&gt;高値!U130,高値!W130&gt;高値!X130,高値!W130&gt;高値!Y130),18,""))</f>
      </c>
      <c r="AT130" s="684">
        <f>IF(終値!A130="","",IF(AND(高値!X130&gt;高値!W130,高値!X130&gt;高値!V130,高値!X130&gt;高値!Y130,高値!X130&gt;高値!Z130),19,""))</f>
      </c>
      <c r="AU130" s="684">
        <f>IF(終値!A130="","",IF(AND(高値!Y130&gt;高値!X130,高値!Y130&gt;高値!W130,高値!Y130&gt;高値!Z130,高値!Y130&gt;高値!AA130),20,""))</f>
      </c>
      <c r="AV130" s="684">
        <f>IF(終値!A130="","",IF(AND(高値!Z130&gt;高値!Y130,高値!Z130&gt;高値!X130,高値!Z130&gt;高値!AA130,高値!Z130&gt;高値!AB130),21,""))</f>
      </c>
      <c r="AW130" s="684">
        <f>IF(終値!A130="","",IF(AND(高値!AA130&gt;高値!Z130,高値!AA130&gt;高値!Y130,高値!AA130&gt;高値!AB130,高値!AA130&gt;高値!AC130),22,""))</f>
      </c>
      <c r="AX130" s="684">
        <f>IF(終値!A130="","",IF(AND(高値!AB130&gt;高値!AA130,高値!AB130&gt;高値!Z130,高値!AB130&gt;高値!AC130,高値!AB130&gt;高値!AD130),23,""))</f>
      </c>
      <c r="AY130" s="684">
        <f>IF(終値!A130="","",IF(AND(高値!AC130&gt;高値!AB130,高値!AC130&gt;高値!AA130,高値!AC130&gt;高値!AD130,高値!AC130&gt;高値!AE130),24,""))</f>
      </c>
      <c r="AZ130" s="684">
        <f>IF(終値!A130="","",IF(AND(高値!AD130&gt;高値!AC130,高値!AD130&gt;高値!AB130,高値!AD130&gt;高値!AE130,高値!AD130&gt;高値!AF130),25,""))</f>
      </c>
      <c r="BA130" s="684">
        <f>IF(終値!A130="","",IF(AND(高値!AE130&gt;高値!AD130,高値!AE130&gt;高値!AC130,高値!AE130&gt;高値!AF130,高値!AE130&gt;高値!AG130),26,""))</f>
      </c>
      <c r="BB130" s="684">
        <f>IF(終値!A130="","",IF(AND(高値!AF130&gt;高値!AE130,高値!AF130&gt;高値!AD130,高値!AF130&gt;高値!AG130,高値!AF130&gt;高値!AH130),27,""))</f>
      </c>
      <c r="BC130" s="684">
        <f>IF(終値!A130="","",IF(AND(高値!AG130&gt;高値!AF130,高値!AG130&gt;高値!AE130,高値!AG130&gt;高値!AH130,高値!AG130&gt;高値!AI130),28,""))</f>
      </c>
      <c r="BD130" s="684">
        <f>COUNT($B130:$AB130)</f>
      </c>
      <c r="BE130" s="684">
        <f>IF($BD130&gt;=2,MIN($B130:$AB130),"")</f>
      </c>
      <c r="BF130" s="684">
        <f>IF($BD130&gt;=2,SMALL($B130:$AB130,2),"")</f>
      </c>
      <c r="BG130" s="684">
        <f>IF($BE130="","",INDEX(安値!$E130:$CZ130,1,$BE130+1))</f>
      </c>
      <c r="BH130" s="684">
        <f>IF($BF130="","",INDEX(安値!$E130:$CZ130,1,$BF130+1))</f>
      </c>
      <c r="BI130" s="684">
        <f>IF($BF130="","",MAX(INDEX(高値!$E130:$CZ130,1,$BE130+1):INDEX(高値!$E130:$CZ130,1,$BF130+1)))</f>
      </c>
      <c r="BJ130" s="684">
        <f>IF($BF130="","",AVERAGE(INDEX(終値!$E130:$CZ130,1,$BF130+1):INDEX(終値!$E130:$CZ130,1,$BF130+20))-2*STDEVP(INDEX(終値!$E130:$CZ130,1,$BF130+1):INDEX(終値!$E130:$CZ130,1,$BF130+20)))</f>
      </c>
      <c r="BK130" s="684">
        <f>IF($BE130="","",AVERAGE(INDEX(終値!$E130:$CZ130,1,$BE130+1):INDEX(終値!$E130:$CZ130,1,$BE130+20))-2*STDEVP(INDEX(終値!$E130:$CZ130,1,$BE130+1):INDEX(終値!$E130:$CZ130,1,$BE130+20)))</f>
      </c>
      <c r="BL130" s="684">
        <f>COUNT($AC130:$BC130)</f>
      </c>
      <c r="BM130" s="684">
        <f>IF($BL130&gt;=2,MIN($AC130:$BC130),"")</f>
      </c>
      <c r="BN130" s="684">
        <f>IF($BL130&gt;=2,SMALL($AC130:$BC130,2),"")</f>
      </c>
      <c r="BO130" s="684">
        <f>IF($BM130="","",INDEX(高値!$E130:$CZ130,1,$BM130+1))</f>
      </c>
      <c r="BP130" s="684">
        <f>IF($BN130="","",INDEX(高値!$E130:$CZ130,1,$BN130+1))</f>
      </c>
      <c r="BQ130" s="684">
        <f>IF($BN130="","",MIN(INDEX(安値!$E130:$CZ130,1,$BM130+1):INDEX(安値!$E130:$CZ130,1,$BN130+1)))</f>
      </c>
      <c r="BR130" s="684">
        <f>IF($BN130="","",AVERAGE(INDEX(終値!$E130:$CZ130,1,$BN130+1):INDEX(終値!$E130:$CZ130,1,$BN130+20))+2*STDEVP(INDEX(終値!$E130:$CZ130,1,$BN130+1):INDEX(終値!$E130:$CZ130,1,$BN130+20)))</f>
      </c>
      <c r="BS130" s="684">
        <f>IF($BM130="","",AVERAGE(INDEX(終値!$E130:$CZ130,1,$BM130+1):INDEX(終値!$E130:$CZ130,1,$BM130+20))+2*STDEVP(INDEX(終値!$E130:$CZ130,1,$BM130+1):INDEX(終値!$E130:$CZ130,1,$BM130+20)))</f>
      </c>
      <c r="BT130" s="681">
        <f>IFERROR(IF(AND($BD130&gt;=2,ABS($BG130-$BH130)/$BH130&lt;=BB設定!$B$12,$BI130&gt;=MAX($BH130,$BG130)*(1+BB設定!$B$13),終値!E130&gt;$BG130),IF(OR(終値!E130&gt;=$BI130,AND($BH130&lt;$BJ130,$BG130&gt;=$BK130)),"二番底W▲","二番底W形成"),IF(AND($BL130&gt;=2,ABS($BO130-$BP130)/$BP130&lt;=BB設定!$B$12,$BQ130&lt;=MIN($BP130,$BO130)*(1-BB設定!$B$13),終値!E130&lt;$BO130),IF(OR(終値!E130&lt;=$BQ130,AND($BP130&gt;$BR130,$BO130&lt;=$BS130)),"二番天井M▼","二番天井M形成"),"－")),"－")</f>
      </c>
    </row>
    <row r="131">
      <c r="B131" s="684">
        <f>IF(終値!A131="","",IF(AND(安値!G131&lt;安値!F131,安値!G131&lt;安値!E131,安値!G131&lt;安値!H131,安値!G131&lt;安値!I131),2,""))</f>
      </c>
      <c r="C131" s="684">
        <f>IF(終値!A131="","",IF(AND(安値!H131&lt;安値!G131,安値!H131&lt;安値!F131,安値!H131&lt;安値!I131,安値!H131&lt;安値!J131),3,""))</f>
      </c>
      <c r="D131" s="684">
        <f>IF(終値!A131="","",IF(AND(安値!I131&lt;安値!H131,安値!I131&lt;安値!G131,安値!I131&lt;安値!J131,安値!I131&lt;安値!K131),4,""))</f>
      </c>
      <c r="E131" s="684">
        <f>IF(終値!A131="","",IF(AND(安値!J131&lt;安値!I131,安値!J131&lt;安値!H131,安値!J131&lt;安値!K131,安値!J131&lt;安値!L131),5,""))</f>
      </c>
      <c r="F131" s="684">
        <f>IF(終値!A131="","",IF(AND(安値!K131&lt;安値!J131,安値!K131&lt;安値!I131,安値!K131&lt;安値!L131,安値!K131&lt;安値!M131),6,""))</f>
      </c>
      <c r="G131" s="684">
        <f>IF(終値!A131="","",IF(AND(安値!L131&lt;安値!K131,安値!L131&lt;安値!J131,安値!L131&lt;安値!M131,安値!L131&lt;安値!N131),7,""))</f>
      </c>
      <c r="H131" s="684">
        <f>IF(終値!A131="","",IF(AND(安値!M131&lt;安値!L131,安値!M131&lt;安値!K131,安値!M131&lt;安値!N131,安値!M131&lt;安値!O131),8,""))</f>
      </c>
      <c r="I131" s="684">
        <f>IF(終値!A131="","",IF(AND(安値!N131&lt;安値!M131,安値!N131&lt;安値!L131,安値!N131&lt;安値!O131,安値!N131&lt;安値!P131),9,""))</f>
      </c>
      <c r="J131" s="684">
        <f>IF(終値!A131="","",IF(AND(安値!O131&lt;安値!N131,安値!O131&lt;安値!M131,安値!O131&lt;安値!P131,安値!O131&lt;安値!Q131),10,""))</f>
      </c>
      <c r="K131" s="684">
        <f>IF(終値!A131="","",IF(AND(安値!P131&lt;安値!O131,安値!P131&lt;安値!N131,安値!P131&lt;安値!Q131,安値!P131&lt;安値!R131),11,""))</f>
      </c>
      <c r="L131" s="684">
        <f>IF(終値!A131="","",IF(AND(安値!Q131&lt;安値!P131,安値!Q131&lt;安値!O131,安値!Q131&lt;安値!R131,安値!Q131&lt;安値!S131),12,""))</f>
      </c>
      <c r="M131" s="684">
        <f>IF(終値!A131="","",IF(AND(安値!R131&lt;安値!Q131,安値!R131&lt;安値!P131,安値!R131&lt;安値!S131,安値!R131&lt;安値!T131),13,""))</f>
      </c>
      <c r="N131" s="684">
        <f>IF(終値!A131="","",IF(AND(安値!S131&lt;安値!R131,安値!S131&lt;安値!Q131,安値!S131&lt;安値!T131,安値!S131&lt;安値!U131),14,""))</f>
      </c>
      <c r="O131" s="684">
        <f>IF(終値!A131="","",IF(AND(安値!T131&lt;安値!S131,安値!T131&lt;安値!R131,安値!T131&lt;安値!U131,安値!T131&lt;安値!V131),15,""))</f>
      </c>
      <c r="P131" s="684">
        <f>IF(終値!A131="","",IF(AND(安値!U131&lt;安値!T131,安値!U131&lt;安値!S131,安値!U131&lt;安値!V131,安値!U131&lt;安値!W131),16,""))</f>
      </c>
      <c r="Q131" s="684">
        <f>IF(終値!A131="","",IF(AND(安値!V131&lt;安値!U131,安値!V131&lt;安値!T131,安値!V131&lt;安値!W131,安値!V131&lt;安値!X131),17,""))</f>
      </c>
      <c r="R131" s="684">
        <f>IF(終値!A131="","",IF(AND(安値!W131&lt;安値!V131,安値!W131&lt;安値!U131,安値!W131&lt;安値!X131,安値!W131&lt;安値!Y131),18,""))</f>
      </c>
      <c r="S131" s="684">
        <f>IF(終値!A131="","",IF(AND(安値!X131&lt;安値!W131,安値!X131&lt;安値!V131,安値!X131&lt;安値!Y131,安値!X131&lt;安値!Z131),19,""))</f>
      </c>
      <c r="T131" s="684">
        <f>IF(終値!A131="","",IF(AND(安値!Y131&lt;安値!X131,安値!Y131&lt;安値!W131,安値!Y131&lt;安値!Z131,安値!Y131&lt;安値!AA131),20,""))</f>
      </c>
      <c r="U131" s="684">
        <f>IF(終値!A131="","",IF(AND(安値!Z131&lt;安値!Y131,安値!Z131&lt;安値!X131,安値!Z131&lt;安値!AA131,安値!Z131&lt;安値!AB131),21,""))</f>
      </c>
      <c r="V131" s="684">
        <f>IF(終値!A131="","",IF(AND(安値!AA131&lt;安値!Z131,安値!AA131&lt;安値!Y131,安値!AA131&lt;安値!AB131,安値!AA131&lt;安値!AC131),22,""))</f>
      </c>
      <c r="W131" s="684">
        <f>IF(終値!A131="","",IF(AND(安値!AB131&lt;安値!AA131,安値!AB131&lt;安値!Z131,安値!AB131&lt;安値!AC131,安値!AB131&lt;安値!AD131),23,""))</f>
      </c>
      <c r="X131" s="684">
        <f>IF(終値!A131="","",IF(AND(安値!AC131&lt;安値!AB131,安値!AC131&lt;安値!AA131,安値!AC131&lt;安値!AD131,安値!AC131&lt;安値!AE131),24,""))</f>
      </c>
      <c r="Y131" s="684">
        <f>IF(終値!A131="","",IF(AND(安値!AD131&lt;安値!AC131,安値!AD131&lt;安値!AB131,安値!AD131&lt;安値!AE131,安値!AD131&lt;安値!AF131),25,""))</f>
      </c>
      <c r="Z131" s="684">
        <f>IF(終値!A131="","",IF(AND(安値!AE131&lt;安値!AD131,安値!AE131&lt;安値!AC131,安値!AE131&lt;安値!AF131,安値!AE131&lt;安値!AG131),26,""))</f>
      </c>
      <c r="AA131" s="684">
        <f>IF(終値!A131="","",IF(AND(安値!AF131&lt;安値!AE131,安値!AF131&lt;安値!AD131,安値!AF131&lt;安値!AG131,安値!AF131&lt;安値!AH131),27,""))</f>
      </c>
      <c r="AB131" s="684">
        <f>IF(終値!A131="","",IF(AND(安値!AG131&lt;安値!AF131,安値!AG131&lt;安値!AE131,安値!AG131&lt;安値!AH131,安値!AG131&lt;安値!AI131),28,""))</f>
      </c>
      <c r="AC131" s="684">
        <f>IF(終値!A131="","",IF(AND(高値!G131&gt;高値!F131,高値!G131&gt;高値!E131,高値!G131&gt;高値!H131,高値!G131&gt;高値!I131),2,""))</f>
      </c>
      <c r="AD131" s="684">
        <f>IF(終値!A131="","",IF(AND(高値!H131&gt;高値!G131,高値!H131&gt;高値!F131,高値!H131&gt;高値!I131,高値!H131&gt;高値!J131),3,""))</f>
      </c>
      <c r="AE131" s="684">
        <f>IF(終値!A131="","",IF(AND(高値!I131&gt;高値!H131,高値!I131&gt;高値!G131,高値!I131&gt;高値!J131,高値!I131&gt;高値!K131),4,""))</f>
      </c>
      <c r="AF131" s="684">
        <f>IF(終値!A131="","",IF(AND(高値!J131&gt;高値!I131,高値!J131&gt;高値!H131,高値!J131&gt;高値!K131,高値!J131&gt;高値!L131),5,""))</f>
      </c>
      <c r="AG131" s="684">
        <f>IF(終値!A131="","",IF(AND(高値!K131&gt;高値!J131,高値!K131&gt;高値!I131,高値!K131&gt;高値!L131,高値!K131&gt;高値!M131),6,""))</f>
      </c>
      <c r="AH131" s="684">
        <f>IF(終値!A131="","",IF(AND(高値!L131&gt;高値!K131,高値!L131&gt;高値!J131,高値!L131&gt;高値!M131,高値!L131&gt;高値!N131),7,""))</f>
      </c>
      <c r="AI131" s="684">
        <f>IF(終値!A131="","",IF(AND(高値!M131&gt;高値!L131,高値!M131&gt;高値!K131,高値!M131&gt;高値!N131,高値!M131&gt;高値!O131),8,""))</f>
      </c>
      <c r="AJ131" s="684">
        <f>IF(終値!A131="","",IF(AND(高値!N131&gt;高値!M131,高値!N131&gt;高値!L131,高値!N131&gt;高値!O131,高値!N131&gt;高値!P131),9,""))</f>
      </c>
      <c r="AK131" s="684">
        <f>IF(終値!A131="","",IF(AND(高値!O131&gt;高値!N131,高値!O131&gt;高値!M131,高値!O131&gt;高値!P131,高値!O131&gt;高値!Q131),10,""))</f>
      </c>
      <c r="AL131" s="684">
        <f>IF(終値!A131="","",IF(AND(高値!P131&gt;高値!O131,高値!P131&gt;高値!N131,高値!P131&gt;高値!Q131,高値!P131&gt;高値!R131),11,""))</f>
      </c>
      <c r="AM131" s="684">
        <f>IF(終値!A131="","",IF(AND(高値!Q131&gt;高値!P131,高値!Q131&gt;高値!O131,高値!Q131&gt;高値!R131,高値!Q131&gt;高値!S131),12,""))</f>
      </c>
      <c r="AN131" s="684">
        <f>IF(終値!A131="","",IF(AND(高値!R131&gt;高値!Q131,高値!R131&gt;高値!P131,高値!R131&gt;高値!S131,高値!R131&gt;高値!T131),13,""))</f>
      </c>
      <c r="AO131" s="684">
        <f>IF(終値!A131="","",IF(AND(高値!S131&gt;高値!R131,高値!S131&gt;高値!Q131,高値!S131&gt;高値!T131,高値!S131&gt;高値!U131),14,""))</f>
      </c>
      <c r="AP131" s="684">
        <f>IF(終値!A131="","",IF(AND(高値!T131&gt;高値!S131,高値!T131&gt;高値!R131,高値!T131&gt;高値!U131,高値!T131&gt;高値!V131),15,""))</f>
      </c>
      <c r="AQ131" s="684">
        <f>IF(終値!A131="","",IF(AND(高値!U131&gt;高値!T131,高値!U131&gt;高値!S131,高値!U131&gt;高値!V131,高値!U131&gt;高値!W131),16,""))</f>
      </c>
      <c r="AR131" s="684">
        <f>IF(終値!A131="","",IF(AND(高値!V131&gt;高値!U131,高値!V131&gt;高値!T131,高値!V131&gt;高値!W131,高値!V131&gt;高値!X131),17,""))</f>
      </c>
      <c r="AS131" s="684">
        <f>IF(終値!A131="","",IF(AND(高値!W131&gt;高値!V131,高値!W131&gt;高値!U131,高値!W131&gt;高値!X131,高値!W131&gt;高値!Y131),18,""))</f>
      </c>
      <c r="AT131" s="684">
        <f>IF(終値!A131="","",IF(AND(高値!X131&gt;高値!W131,高値!X131&gt;高値!V131,高値!X131&gt;高値!Y131,高値!X131&gt;高値!Z131),19,""))</f>
      </c>
      <c r="AU131" s="684">
        <f>IF(終値!A131="","",IF(AND(高値!Y131&gt;高値!X131,高値!Y131&gt;高値!W131,高値!Y131&gt;高値!Z131,高値!Y131&gt;高値!AA131),20,""))</f>
      </c>
      <c r="AV131" s="684">
        <f>IF(終値!A131="","",IF(AND(高値!Z131&gt;高値!Y131,高値!Z131&gt;高値!X131,高値!Z131&gt;高値!AA131,高値!Z131&gt;高値!AB131),21,""))</f>
      </c>
      <c r="AW131" s="684">
        <f>IF(終値!A131="","",IF(AND(高値!AA131&gt;高値!Z131,高値!AA131&gt;高値!Y131,高値!AA131&gt;高値!AB131,高値!AA131&gt;高値!AC131),22,""))</f>
      </c>
      <c r="AX131" s="684">
        <f>IF(終値!A131="","",IF(AND(高値!AB131&gt;高値!AA131,高値!AB131&gt;高値!Z131,高値!AB131&gt;高値!AC131,高値!AB131&gt;高値!AD131),23,""))</f>
      </c>
      <c r="AY131" s="684">
        <f>IF(終値!A131="","",IF(AND(高値!AC131&gt;高値!AB131,高値!AC131&gt;高値!AA131,高値!AC131&gt;高値!AD131,高値!AC131&gt;高値!AE131),24,""))</f>
      </c>
      <c r="AZ131" s="684">
        <f>IF(終値!A131="","",IF(AND(高値!AD131&gt;高値!AC131,高値!AD131&gt;高値!AB131,高値!AD131&gt;高値!AE131,高値!AD131&gt;高値!AF131),25,""))</f>
      </c>
      <c r="BA131" s="684">
        <f>IF(終値!A131="","",IF(AND(高値!AE131&gt;高値!AD131,高値!AE131&gt;高値!AC131,高値!AE131&gt;高値!AF131,高値!AE131&gt;高値!AG131),26,""))</f>
      </c>
      <c r="BB131" s="684">
        <f>IF(終値!A131="","",IF(AND(高値!AF131&gt;高値!AE131,高値!AF131&gt;高値!AD131,高値!AF131&gt;高値!AG131,高値!AF131&gt;高値!AH131),27,""))</f>
      </c>
      <c r="BC131" s="684">
        <f>IF(終値!A131="","",IF(AND(高値!AG131&gt;高値!AF131,高値!AG131&gt;高値!AE131,高値!AG131&gt;高値!AH131,高値!AG131&gt;高値!AI131),28,""))</f>
      </c>
      <c r="BD131" s="684">
        <f>COUNT($B131:$AB131)</f>
      </c>
      <c r="BE131" s="684">
        <f>IF($BD131&gt;=2,MIN($B131:$AB131),"")</f>
      </c>
      <c r="BF131" s="684">
        <f>IF($BD131&gt;=2,SMALL($B131:$AB131,2),"")</f>
      </c>
      <c r="BG131" s="684">
        <f>IF($BE131="","",INDEX(安値!$E131:$CZ131,1,$BE131+1))</f>
      </c>
      <c r="BH131" s="684">
        <f>IF($BF131="","",INDEX(安値!$E131:$CZ131,1,$BF131+1))</f>
      </c>
      <c r="BI131" s="684">
        <f>IF($BF131="","",MAX(INDEX(高値!$E131:$CZ131,1,$BE131+1):INDEX(高値!$E131:$CZ131,1,$BF131+1)))</f>
      </c>
      <c r="BJ131" s="684">
        <f>IF($BF131="","",AVERAGE(INDEX(終値!$E131:$CZ131,1,$BF131+1):INDEX(終値!$E131:$CZ131,1,$BF131+20))-2*STDEVP(INDEX(終値!$E131:$CZ131,1,$BF131+1):INDEX(終値!$E131:$CZ131,1,$BF131+20)))</f>
      </c>
      <c r="BK131" s="684">
        <f>IF($BE131="","",AVERAGE(INDEX(終値!$E131:$CZ131,1,$BE131+1):INDEX(終値!$E131:$CZ131,1,$BE131+20))-2*STDEVP(INDEX(終値!$E131:$CZ131,1,$BE131+1):INDEX(終値!$E131:$CZ131,1,$BE131+20)))</f>
      </c>
      <c r="BL131" s="684">
        <f>COUNT($AC131:$BC131)</f>
      </c>
      <c r="BM131" s="684">
        <f>IF($BL131&gt;=2,MIN($AC131:$BC131),"")</f>
      </c>
      <c r="BN131" s="684">
        <f>IF($BL131&gt;=2,SMALL($AC131:$BC131,2),"")</f>
      </c>
      <c r="BO131" s="684">
        <f>IF($BM131="","",INDEX(高値!$E131:$CZ131,1,$BM131+1))</f>
      </c>
      <c r="BP131" s="684">
        <f>IF($BN131="","",INDEX(高値!$E131:$CZ131,1,$BN131+1))</f>
      </c>
      <c r="BQ131" s="684">
        <f>IF($BN131="","",MIN(INDEX(安値!$E131:$CZ131,1,$BM131+1):INDEX(安値!$E131:$CZ131,1,$BN131+1)))</f>
      </c>
      <c r="BR131" s="684">
        <f>IF($BN131="","",AVERAGE(INDEX(終値!$E131:$CZ131,1,$BN131+1):INDEX(終値!$E131:$CZ131,1,$BN131+20))+2*STDEVP(INDEX(終値!$E131:$CZ131,1,$BN131+1):INDEX(終値!$E131:$CZ131,1,$BN131+20)))</f>
      </c>
      <c r="BS131" s="684">
        <f>IF($BM131="","",AVERAGE(INDEX(終値!$E131:$CZ131,1,$BM131+1):INDEX(終値!$E131:$CZ131,1,$BM131+20))+2*STDEVP(INDEX(終値!$E131:$CZ131,1,$BM131+1):INDEX(終値!$E131:$CZ131,1,$BM131+20)))</f>
      </c>
      <c r="BT131" s="681">
        <f>IFERROR(IF(AND($BD131&gt;=2,ABS($BG131-$BH131)/$BH131&lt;=BB設定!$B$12,$BI131&gt;=MAX($BH131,$BG131)*(1+BB設定!$B$13),終値!E131&gt;$BG131),IF(OR(終値!E131&gt;=$BI131,AND($BH131&lt;$BJ131,$BG131&gt;=$BK131)),"二番底W▲","二番底W形成"),IF(AND($BL131&gt;=2,ABS($BO131-$BP131)/$BP131&lt;=BB設定!$B$12,$BQ131&lt;=MIN($BP131,$BO131)*(1-BB設定!$B$13),終値!E131&lt;$BO131),IF(OR(終値!E131&lt;=$BQ131,AND($BP131&gt;$BR131,$BO131&lt;=$BS131)),"二番天井M▼","二番天井M形成"),"－")),"－")</f>
      </c>
    </row>
    <row r="132">
      <c r="B132" s="684">
        <f>IF(終値!A132="","",IF(AND(安値!G132&lt;安値!F132,安値!G132&lt;安値!E132,安値!G132&lt;安値!H132,安値!G132&lt;安値!I132),2,""))</f>
      </c>
      <c r="C132" s="684">
        <f>IF(終値!A132="","",IF(AND(安値!H132&lt;安値!G132,安値!H132&lt;安値!F132,安値!H132&lt;安値!I132,安値!H132&lt;安値!J132),3,""))</f>
      </c>
      <c r="D132" s="684">
        <f>IF(終値!A132="","",IF(AND(安値!I132&lt;安値!H132,安値!I132&lt;安値!G132,安値!I132&lt;安値!J132,安値!I132&lt;安値!K132),4,""))</f>
      </c>
      <c r="E132" s="684">
        <f>IF(終値!A132="","",IF(AND(安値!J132&lt;安値!I132,安値!J132&lt;安値!H132,安値!J132&lt;安値!K132,安値!J132&lt;安値!L132),5,""))</f>
      </c>
      <c r="F132" s="684">
        <f>IF(終値!A132="","",IF(AND(安値!K132&lt;安値!J132,安値!K132&lt;安値!I132,安値!K132&lt;安値!L132,安値!K132&lt;安値!M132),6,""))</f>
      </c>
      <c r="G132" s="684">
        <f>IF(終値!A132="","",IF(AND(安値!L132&lt;安値!K132,安値!L132&lt;安値!J132,安値!L132&lt;安値!M132,安値!L132&lt;安値!N132),7,""))</f>
      </c>
      <c r="H132" s="684">
        <f>IF(終値!A132="","",IF(AND(安値!M132&lt;安値!L132,安値!M132&lt;安値!K132,安値!M132&lt;安値!N132,安値!M132&lt;安値!O132),8,""))</f>
      </c>
      <c r="I132" s="684">
        <f>IF(終値!A132="","",IF(AND(安値!N132&lt;安値!M132,安値!N132&lt;安値!L132,安値!N132&lt;安値!O132,安値!N132&lt;安値!P132),9,""))</f>
      </c>
      <c r="J132" s="684">
        <f>IF(終値!A132="","",IF(AND(安値!O132&lt;安値!N132,安値!O132&lt;安値!M132,安値!O132&lt;安値!P132,安値!O132&lt;安値!Q132),10,""))</f>
      </c>
      <c r="K132" s="684">
        <f>IF(終値!A132="","",IF(AND(安値!P132&lt;安値!O132,安値!P132&lt;安値!N132,安値!P132&lt;安値!Q132,安値!P132&lt;安値!R132),11,""))</f>
      </c>
      <c r="L132" s="684">
        <f>IF(終値!A132="","",IF(AND(安値!Q132&lt;安値!P132,安値!Q132&lt;安値!O132,安値!Q132&lt;安値!R132,安値!Q132&lt;安値!S132),12,""))</f>
      </c>
      <c r="M132" s="684">
        <f>IF(終値!A132="","",IF(AND(安値!R132&lt;安値!Q132,安値!R132&lt;安値!P132,安値!R132&lt;安値!S132,安値!R132&lt;安値!T132),13,""))</f>
      </c>
      <c r="N132" s="684">
        <f>IF(終値!A132="","",IF(AND(安値!S132&lt;安値!R132,安値!S132&lt;安値!Q132,安値!S132&lt;安値!T132,安値!S132&lt;安値!U132),14,""))</f>
      </c>
      <c r="O132" s="684">
        <f>IF(終値!A132="","",IF(AND(安値!T132&lt;安値!S132,安値!T132&lt;安値!R132,安値!T132&lt;安値!U132,安値!T132&lt;安値!V132),15,""))</f>
      </c>
      <c r="P132" s="684">
        <f>IF(終値!A132="","",IF(AND(安値!U132&lt;安値!T132,安値!U132&lt;安値!S132,安値!U132&lt;安値!V132,安値!U132&lt;安値!W132),16,""))</f>
      </c>
      <c r="Q132" s="684">
        <f>IF(終値!A132="","",IF(AND(安値!V132&lt;安値!U132,安値!V132&lt;安値!T132,安値!V132&lt;安値!W132,安値!V132&lt;安値!X132),17,""))</f>
      </c>
      <c r="R132" s="684">
        <f>IF(終値!A132="","",IF(AND(安値!W132&lt;安値!V132,安値!W132&lt;安値!U132,安値!W132&lt;安値!X132,安値!W132&lt;安値!Y132),18,""))</f>
      </c>
      <c r="S132" s="684">
        <f>IF(終値!A132="","",IF(AND(安値!X132&lt;安値!W132,安値!X132&lt;安値!V132,安値!X132&lt;安値!Y132,安値!X132&lt;安値!Z132),19,""))</f>
      </c>
      <c r="T132" s="684">
        <f>IF(終値!A132="","",IF(AND(安値!Y132&lt;安値!X132,安値!Y132&lt;安値!W132,安値!Y132&lt;安値!Z132,安値!Y132&lt;安値!AA132),20,""))</f>
      </c>
      <c r="U132" s="684">
        <f>IF(終値!A132="","",IF(AND(安値!Z132&lt;安値!Y132,安値!Z132&lt;安値!X132,安値!Z132&lt;安値!AA132,安値!Z132&lt;安値!AB132),21,""))</f>
      </c>
      <c r="V132" s="684">
        <f>IF(終値!A132="","",IF(AND(安値!AA132&lt;安値!Z132,安値!AA132&lt;安値!Y132,安値!AA132&lt;安値!AB132,安値!AA132&lt;安値!AC132),22,""))</f>
      </c>
      <c r="W132" s="684">
        <f>IF(終値!A132="","",IF(AND(安値!AB132&lt;安値!AA132,安値!AB132&lt;安値!Z132,安値!AB132&lt;安値!AC132,安値!AB132&lt;安値!AD132),23,""))</f>
      </c>
      <c r="X132" s="684">
        <f>IF(終値!A132="","",IF(AND(安値!AC132&lt;安値!AB132,安値!AC132&lt;安値!AA132,安値!AC132&lt;安値!AD132,安値!AC132&lt;安値!AE132),24,""))</f>
      </c>
      <c r="Y132" s="684">
        <f>IF(終値!A132="","",IF(AND(安値!AD132&lt;安値!AC132,安値!AD132&lt;安値!AB132,安値!AD132&lt;安値!AE132,安値!AD132&lt;安値!AF132),25,""))</f>
      </c>
      <c r="Z132" s="684">
        <f>IF(終値!A132="","",IF(AND(安値!AE132&lt;安値!AD132,安値!AE132&lt;安値!AC132,安値!AE132&lt;安値!AF132,安値!AE132&lt;安値!AG132),26,""))</f>
      </c>
      <c r="AA132" s="684">
        <f>IF(終値!A132="","",IF(AND(安値!AF132&lt;安値!AE132,安値!AF132&lt;安値!AD132,安値!AF132&lt;安値!AG132,安値!AF132&lt;安値!AH132),27,""))</f>
      </c>
      <c r="AB132" s="684">
        <f>IF(終値!A132="","",IF(AND(安値!AG132&lt;安値!AF132,安値!AG132&lt;安値!AE132,安値!AG132&lt;安値!AH132,安値!AG132&lt;安値!AI132),28,""))</f>
      </c>
      <c r="AC132" s="684">
        <f>IF(終値!A132="","",IF(AND(高値!G132&gt;高値!F132,高値!G132&gt;高値!E132,高値!G132&gt;高値!H132,高値!G132&gt;高値!I132),2,""))</f>
      </c>
      <c r="AD132" s="684">
        <f>IF(終値!A132="","",IF(AND(高値!H132&gt;高値!G132,高値!H132&gt;高値!F132,高値!H132&gt;高値!I132,高値!H132&gt;高値!J132),3,""))</f>
      </c>
      <c r="AE132" s="684">
        <f>IF(終値!A132="","",IF(AND(高値!I132&gt;高値!H132,高値!I132&gt;高値!G132,高値!I132&gt;高値!J132,高値!I132&gt;高値!K132),4,""))</f>
      </c>
      <c r="AF132" s="684">
        <f>IF(終値!A132="","",IF(AND(高値!J132&gt;高値!I132,高値!J132&gt;高値!H132,高値!J132&gt;高値!K132,高値!J132&gt;高値!L132),5,""))</f>
      </c>
      <c r="AG132" s="684">
        <f>IF(終値!A132="","",IF(AND(高値!K132&gt;高値!J132,高値!K132&gt;高値!I132,高値!K132&gt;高値!L132,高値!K132&gt;高値!M132),6,""))</f>
      </c>
      <c r="AH132" s="684">
        <f>IF(終値!A132="","",IF(AND(高値!L132&gt;高値!K132,高値!L132&gt;高値!J132,高値!L132&gt;高値!M132,高値!L132&gt;高値!N132),7,""))</f>
      </c>
      <c r="AI132" s="684">
        <f>IF(終値!A132="","",IF(AND(高値!M132&gt;高値!L132,高値!M132&gt;高値!K132,高値!M132&gt;高値!N132,高値!M132&gt;高値!O132),8,""))</f>
      </c>
      <c r="AJ132" s="684">
        <f>IF(終値!A132="","",IF(AND(高値!N132&gt;高値!M132,高値!N132&gt;高値!L132,高値!N132&gt;高値!O132,高値!N132&gt;高値!P132),9,""))</f>
      </c>
      <c r="AK132" s="684">
        <f>IF(終値!A132="","",IF(AND(高値!O132&gt;高値!N132,高値!O132&gt;高値!M132,高値!O132&gt;高値!P132,高値!O132&gt;高値!Q132),10,""))</f>
      </c>
      <c r="AL132" s="684">
        <f>IF(終値!A132="","",IF(AND(高値!P132&gt;高値!O132,高値!P132&gt;高値!N132,高値!P132&gt;高値!Q132,高値!P132&gt;高値!R132),11,""))</f>
      </c>
      <c r="AM132" s="684">
        <f>IF(終値!A132="","",IF(AND(高値!Q132&gt;高値!P132,高値!Q132&gt;高値!O132,高値!Q132&gt;高値!R132,高値!Q132&gt;高値!S132),12,""))</f>
      </c>
      <c r="AN132" s="684">
        <f>IF(終値!A132="","",IF(AND(高値!R132&gt;高値!Q132,高値!R132&gt;高値!P132,高値!R132&gt;高値!S132,高値!R132&gt;高値!T132),13,""))</f>
      </c>
      <c r="AO132" s="684">
        <f>IF(終値!A132="","",IF(AND(高値!S132&gt;高値!R132,高値!S132&gt;高値!Q132,高値!S132&gt;高値!T132,高値!S132&gt;高値!U132),14,""))</f>
      </c>
      <c r="AP132" s="684">
        <f>IF(終値!A132="","",IF(AND(高値!T132&gt;高値!S132,高値!T132&gt;高値!R132,高値!T132&gt;高値!U132,高値!T132&gt;高値!V132),15,""))</f>
      </c>
      <c r="AQ132" s="684">
        <f>IF(終値!A132="","",IF(AND(高値!U132&gt;高値!T132,高値!U132&gt;高値!S132,高値!U132&gt;高値!V132,高値!U132&gt;高値!W132),16,""))</f>
      </c>
      <c r="AR132" s="684">
        <f>IF(終値!A132="","",IF(AND(高値!V132&gt;高値!U132,高値!V132&gt;高値!T132,高値!V132&gt;高値!W132,高値!V132&gt;高値!X132),17,""))</f>
      </c>
      <c r="AS132" s="684">
        <f>IF(終値!A132="","",IF(AND(高値!W132&gt;高値!V132,高値!W132&gt;高値!U132,高値!W132&gt;高値!X132,高値!W132&gt;高値!Y132),18,""))</f>
      </c>
      <c r="AT132" s="684">
        <f>IF(終値!A132="","",IF(AND(高値!X132&gt;高値!W132,高値!X132&gt;高値!V132,高値!X132&gt;高値!Y132,高値!X132&gt;高値!Z132),19,""))</f>
      </c>
      <c r="AU132" s="684">
        <f>IF(終値!A132="","",IF(AND(高値!Y132&gt;高値!X132,高値!Y132&gt;高値!W132,高値!Y132&gt;高値!Z132,高値!Y132&gt;高値!AA132),20,""))</f>
      </c>
      <c r="AV132" s="684">
        <f>IF(終値!A132="","",IF(AND(高値!Z132&gt;高値!Y132,高値!Z132&gt;高値!X132,高値!Z132&gt;高値!AA132,高値!Z132&gt;高値!AB132),21,""))</f>
      </c>
      <c r="AW132" s="684">
        <f>IF(終値!A132="","",IF(AND(高値!AA132&gt;高値!Z132,高値!AA132&gt;高値!Y132,高値!AA132&gt;高値!AB132,高値!AA132&gt;高値!AC132),22,""))</f>
      </c>
      <c r="AX132" s="684">
        <f>IF(終値!A132="","",IF(AND(高値!AB132&gt;高値!AA132,高値!AB132&gt;高値!Z132,高値!AB132&gt;高値!AC132,高値!AB132&gt;高値!AD132),23,""))</f>
      </c>
      <c r="AY132" s="684">
        <f>IF(終値!A132="","",IF(AND(高値!AC132&gt;高値!AB132,高値!AC132&gt;高値!AA132,高値!AC132&gt;高値!AD132,高値!AC132&gt;高値!AE132),24,""))</f>
      </c>
      <c r="AZ132" s="684">
        <f>IF(終値!A132="","",IF(AND(高値!AD132&gt;高値!AC132,高値!AD132&gt;高値!AB132,高値!AD132&gt;高値!AE132,高値!AD132&gt;高値!AF132),25,""))</f>
      </c>
      <c r="BA132" s="684">
        <f>IF(終値!A132="","",IF(AND(高値!AE132&gt;高値!AD132,高値!AE132&gt;高値!AC132,高値!AE132&gt;高値!AF132,高値!AE132&gt;高値!AG132),26,""))</f>
      </c>
      <c r="BB132" s="684">
        <f>IF(終値!A132="","",IF(AND(高値!AF132&gt;高値!AE132,高値!AF132&gt;高値!AD132,高値!AF132&gt;高値!AG132,高値!AF132&gt;高値!AH132),27,""))</f>
      </c>
      <c r="BC132" s="684">
        <f>IF(終値!A132="","",IF(AND(高値!AG132&gt;高値!AF132,高値!AG132&gt;高値!AE132,高値!AG132&gt;高値!AH132,高値!AG132&gt;高値!AI132),28,""))</f>
      </c>
      <c r="BD132" s="684">
        <f>COUNT($B132:$AB132)</f>
      </c>
      <c r="BE132" s="684">
        <f>IF($BD132&gt;=2,MIN($B132:$AB132),"")</f>
      </c>
      <c r="BF132" s="684">
        <f>IF($BD132&gt;=2,SMALL($B132:$AB132,2),"")</f>
      </c>
      <c r="BG132" s="684">
        <f>IF($BE132="","",INDEX(安値!$E132:$CZ132,1,$BE132+1))</f>
      </c>
      <c r="BH132" s="684">
        <f>IF($BF132="","",INDEX(安値!$E132:$CZ132,1,$BF132+1))</f>
      </c>
      <c r="BI132" s="684">
        <f>IF($BF132="","",MAX(INDEX(高値!$E132:$CZ132,1,$BE132+1):INDEX(高値!$E132:$CZ132,1,$BF132+1)))</f>
      </c>
      <c r="BJ132" s="684">
        <f>IF($BF132="","",AVERAGE(INDEX(終値!$E132:$CZ132,1,$BF132+1):INDEX(終値!$E132:$CZ132,1,$BF132+20))-2*STDEVP(INDEX(終値!$E132:$CZ132,1,$BF132+1):INDEX(終値!$E132:$CZ132,1,$BF132+20)))</f>
      </c>
      <c r="BK132" s="684">
        <f>IF($BE132="","",AVERAGE(INDEX(終値!$E132:$CZ132,1,$BE132+1):INDEX(終値!$E132:$CZ132,1,$BE132+20))-2*STDEVP(INDEX(終値!$E132:$CZ132,1,$BE132+1):INDEX(終値!$E132:$CZ132,1,$BE132+20)))</f>
      </c>
      <c r="BL132" s="684">
        <f>COUNT($AC132:$BC132)</f>
      </c>
      <c r="BM132" s="684">
        <f>IF($BL132&gt;=2,MIN($AC132:$BC132),"")</f>
      </c>
      <c r="BN132" s="684">
        <f>IF($BL132&gt;=2,SMALL($AC132:$BC132,2),"")</f>
      </c>
      <c r="BO132" s="684">
        <f>IF($BM132="","",INDEX(高値!$E132:$CZ132,1,$BM132+1))</f>
      </c>
      <c r="BP132" s="684">
        <f>IF($BN132="","",INDEX(高値!$E132:$CZ132,1,$BN132+1))</f>
      </c>
      <c r="BQ132" s="684">
        <f>IF($BN132="","",MIN(INDEX(安値!$E132:$CZ132,1,$BM132+1):INDEX(安値!$E132:$CZ132,1,$BN132+1)))</f>
      </c>
      <c r="BR132" s="684">
        <f>IF($BN132="","",AVERAGE(INDEX(終値!$E132:$CZ132,1,$BN132+1):INDEX(終値!$E132:$CZ132,1,$BN132+20))+2*STDEVP(INDEX(終値!$E132:$CZ132,1,$BN132+1):INDEX(終値!$E132:$CZ132,1,$BN132+20)))</f>
      </c>
      <c r="BS132" s="684">
        <f>IF($BM132="","",AVERAGE(INDEX(終値!$E132:$CZ132,1,$BM132+1):INDEX(終値!$E132:$CZ132,1,$BM132+20))+2*STDEVP(INDEX(終値!$E132:$CZ132,1,$BM132+1):INDEX(終値!$E132:$CZ132,1,$BM132+20)))</f>
      </c>
      <c r="BT132" s="681">
        <f>IFERROR(IF(AND($BD132&gt;=2,ABS($BG132-$BH132)/$BH132&lt;=BB設定!$B$12,$BI132&gt;=MAX($BH132,$BG132)*(1+BB設定!$B$13),終値!E132&gt;$BG132),IF(OR(終値!E132&gt;=$BI132,AND($BH132&lt;$BJ132,$BG132&gt;=$BK132)),"二番底W▲","二番底W形成"),IF(AND($BL132&gt;=2,ABS($BO132-$BP132)/$BP132&lt;=BB設定!$B$12,$BQ132&lt;=MIN($BP132,$BO132)*(1-BB設定!$B$13),終値!E132&lt;$BO132),IF(OR(終値!E132&lt;=$BQ132,AND($BP132&gt;$BR132,$BO132&lt;=$BS132)),"二番天井M▼","二番天井M形成"),"－")),"－")</f>
      </c>
    </row>
    <row r="133">
      <c r="B133" s="684">
        <f>IF(終値!A133="","",IF(AND(安値!G133&lt;安値!F133,安値!G133&lt;安値!E133,安値!G133&lt;安値!H133,安値!G133&lt;安値!I133),2,""))</f>
      </c>
      <c r="C133" s="684">
        <f>IF(終値!A133="","",IF(AND(安値!H133&lt;安値!G133,安値!H133&lt;安値!F133,安値!H133&lt;安値!I133,安値!H133&lt;安値!J133),3,""))</f>
      </c>
      <c r="D133" s="684">
        <f>IF(終値!A133="","",IF(AND(安値!I133&lt;安値!H133,安値!I133&lt;安値!G133,安値!I133&lt;安値!J133,安値!I133&lt;安値!K133),4,""))</f>
      </c>
      <c r="E133" s="684">
        <f>IF(終値!A133="","",IF(AND(安値!J133&lt;安値!I133,安値!J133&lt;安値!H133,安値!J133&lt;安値!K133,安値!J133&lt;安値!L133),5,""))</f>
      </c>
      <c r="F133" s="684">
        <f>IF(終値!A133="","",IF(AND(安値!K133&lt;安値!J133,安値!K133&lt;安値!I133,安値!K133&lt;安値!L133,安値!K133&lt;安値!M133),6,""))</f>
      </c>
      <c r="G133" s="684">
        <f>IF(終値!A133="","",IF(AND(安値!L133&lt;安値!K133,安値!L133&lt;安値!J133,安値!L133&lt;安値!M133,安値!L133&lt;安値!N133),7,""))</f>
      </c>
      <c r="H133" s="684">
        <f>IF(終値!A133="","",IF(AND(安値!M133&lt;安値!L133,安値!M133&lt;安値!K133,安値!M133&lt;安値!N133,安値!M133&lt;安値!O133),8,""))</f>
      </c>
      <c r="I133" s="684">
        <f>IF(終値!A133="","",IF(AND(安値!N133&lt;安値!M133,安値!N133&lt;安値!L133,安値!N133&lt;安値!O133,安値!N133&lt;安値!P133),9,""))</f>
      </c>
      <c r="J133" s="684">
        <f>IF(終値!A133="","",IF(AND(安値!O133&lt;安値!N133,安値!O133&lt;安値!M133,安値!O133&lt;安値!P133,安値!O133&lt;安値!Q133),10,""))</f>
      </c>
      <c r="K133" s="684">
        <f>IF(終値!A133="","",IF(AND(安値!P133&lt;安値!O133,安値!P133&lt;安値!N133,安値!P133&lt;安値!Q133,安値!P133&lt;安値!R133),11,""))</f>
      </c>
      <c r="L133" s="684">
        <f>IF(終値!A133="","",IF(AND(安値!Q133&lt;安値!P133,安値!Q133&lt;安値!O133,安値!Q133&lt;安値!R133,安値!Q133&lt;安値!S133),12,""))</f>
      </c>
      <c r="M133" s="684">
        <f>IF(終値!A133="","",IF(AND(安値!R133&lt;安値!Q133,安値!R133&lt;安値!P133,安値!R133&lt;安値!S133,安値!R133&lt;安値!T133),13,""))</f>
      </c>
      <c r="N133" s="684">
        <f>IF(終値!A133="","",IF(AND(安値!S133&lt;安値!R133,安値!S133&lt;安値!Q133,安値!S133&lt;安値!T133,安値!S133&lt;安値!U133),14,""))</f>
      </c>
      <c r="O133" s="684">
        <f>IF(終値!A133="","",IF(AND(安値!T133&lt;安値!S133,安値!T133&lt;安値!R133,安値!T133&lt;安値!U133,安値!T133&lt;安値!V133),15,""))</f>
      </c>
      <c r="P133" s="684">
        <f>IF(終値!A133="","",IF(AND(安値!U133&lt;安値!T133,安値!U133&lt;安値!S133,安値!U133&lt;安値!V133,安値!U133&lt;安値!W133),16,""))</f>
      </c>
      <c r="Q133" s="684">
        <f>IF(終値!A133="","",IF(AND(安値!V133&lt;安値!U133,安値!V133&lt;安値!T133,安値!V133&lt;安値!W133,安値!V133&lt;安値!X133),17,""))</f>
      </c>
      <c r="R133" s="684">
        <f>IF(終値!A133="","",IF(AND(安値!W133&lt;安値!V133,安値!W133&lt;安値!U133,安値!W133&lt;安値!X133,安値!W133&lt;安値!Y133),18,""))</f>
      </c>
      <c r="S133" s="684">
        <f>IF(終値!A133="","",IF(AND(安値!X133&lt;安値!W133,安値!X133&lt;安値!V133,安値!X133&lt;安値!Y133,安値!X133&lt;安値!Z133),19,""))</f>
      </c>
      <c r="T133" s="684">
        <f>IF(終値!A133="","",IF(AND(安値!Y133&lt;安値!X133,安値!Y133&lt;安値!W133,安値!Y133&lt;安値!Z133,安値!Y133&lt;安値!AA133),20,""))</f>
      </c>
      <c r="U133" s="684">
        <f>IF(終値!A133="","",IF(AND(安値!Z133&lt;安値!Y133,安値!Z133&lt;安値!X133,安値!Z133&lt;安値!AA133,安値!Z133&lt;安値!AB133),21,""))</f>
      </c>
      <c r="V133" s="684">
        <f>IF(終値!A133="","",IF(AND(安値!AA133&lt;安値!Z133,安値!AA133&lt;安値!Y133,安値!AA133&lt;安値!AB133,安値!AA133&lt;安値!AC133),22,""))</f>
      </c>
      <c r="W133" s="684">
        <f>IF(終値!A133="","",IF(AND(安値!AB133&lt;安値!AA133,安値!AB133&lt;安値!Z133,安値!AB133&lt;安値!AC133,安値!AB133&lt;安値!AD133),23,""))</f>
      </c>
      <c r="X133" s="684">
        <f>IF(終値!A133="","",IF(AND(安値!AC133&lt;安値!AB133,安値!AC133&lt;安値!AA133,安値!AC133&lt;安値!AD133,安値!AC133&lt;安値!AE133),24,""))</f>
      </c>
      <c r="Y133" s="684">
        <f>IF(終値!A133="","",IF(AND(安値!AD133&lt;安値!AC133,安値!AD133&lt;安値!AB133,安値!AD133&lt;安値!AE133,安値!AD133&lt;安値!AF133),25,""))</f>
      </c>
      <c r="Z133" s="684">
        <f>IF(終値!A133="","",IF(AND(安値!AE133&lt;安値!AD133,安値!AE133&lt;安値!AC133,安値!AE133&lt;安値!AF133,安値!AE133&lt;安値!AG133),26,""))</f>
      </c>
      <c r="AA133" s="684">
        <f>IF(終値!A133="","",IF(AND(安値!AF133&lt;安値!AE133,安値!AF133&lt;安値!AD133,安値!AF133&lt;安値!AG133,安値!AF133&lt;安値!AH133),27,""))</f>
      </c>
      <c r="AB133" s="684">
        <f>IF(終値!A133="","",IF(AND(安値!AG133&lt;安値!AF133,安値!AG133&lt;安値!AE133,安値!AG133&lt;安値!AH133,安値!AG133&lt;安値!AI133),28,""))</f>
      </c>
      <c r="AC133" s="684">
        <f>IF(終値!A133="","",IF(AND(高値!G133&gt;高値!F133,高値!G133&gt;高値!E133,高値!G133&gt;高値!H133,高値!G133&gt;高値!I133),2,""))</f>
      </c>
      <c r="AD133" s="684">
        <f>IF(終値!A133="","",IF(AND(高値!H133&gt;高値!G133,高値!H133&gt;高値!F133,高値!H133&gt;高値!I133,高値!H133&gt;高値!J133),3,""))</f>
      </c>
      <c r="AE133" s="684">
        <f>IF(終値!A133="","",IF(AND(高値!I133&gt;高値!H133,高値!I133&gt;高値!G133,高値!I133&gt;高値!J133,高値!I133&gt;高値!K133),4,""))</f>
      </c>
      <c r="AF133" s="684">
        <f>IF(終値!A133="","",IF(AND(高値!J133&gt;高値!I133,高値!J133&gt;高値!H133,高値!J133&gt;高値!K133,高値!J133&gt;高値!L133),5,""))</f>
      </c>
      <c r="AG133" s="684">
        <f>IF(終値!A133="","",IF(AND(高値!K133&gt;高値!J133,高値!K133&gt;高値!I133,高値!K133&gt;高値!L133,高値!K133&gt;高値!M133),6,""))</f>
      </c>
      <c r="AH133" s="684">
        <f>IF(終値!A133="","",IF(AND(高値!L133&gt;高値!K133,高値!L133&gt;高値!J133,高値!L133&gt;高値!M133,高値!L133&gt;高値!N133),7,""))</f>
      </c>
      <c r="AI133" s="684">
        <f>IF(終値!A133="","",IF(AND(高値!M133&gt;高値!L133,高値!M133&gt;高値!K133,高値!M133&gt;高値!N133,高値!M133&gt;高値!O133),8,""))</f>
      </c>
      <c r="AJ133" s="684">
        <f>IF(終値!A133="","",IF(AND(高値!N133&gt;高値!M133,高値!N133&gt;高値!L133,高値!N133&gt;高値!O133,高値!N133&gt;高値!P133),9,""))</f>
      </c>
      <c r="AK133" s="684">
        <f>IF(終値!A133="","",IF(AND(高値!O133&gt;高値!N133,高値!O133&gt;高値!M133,高値!O133&gt;高値!P133,高値!O133&gt;高値!Q133),10,""))</f>
      </c>
      <c r="AL133" s="684">
        <f>IF(終値!A133="","",IF(AND(高値!P133&gt;高値!O133,高値!P133&gt;高値!N133,高値!P133&gt;高値!Q133,高値!P133&gt;高値!R133),11,""))</f>
      </c>
      <c r="AM133" s="684">
        <f>IF(終値!A133="","",IF(AND(高値!Q133&gt;高値!P133,高値!Q133&gt;高値!O133,高値!Q133&gt;高値!R133,高値!Q133&gt;高値!S133),12,""))</f>
      </c>
      <c r="AN133" s="684">
        <f>IF(終値!A133="","",IF(AND(高値!R133&gt;高値!Q133,高値!R133&gt;高値!P133,高値!R133&gt;高値!S133,高値!R133&gt;高値!T133),13,""))</f>
      </c>
      <c r="AO133" s="684">
        <f>IF(終値!A133="","",IF(AND(高値!S133&gt;高値!R133,高値!S133&gt;高値!Q133,高値!S133&gt;高値!T133,高値!S133&gt;高値!U133),14,""))</f>
      </c>
      <c r="AP133" s="684">
        <f>IF(終値!A133="","",IF(AND(高値!T133&gt;高値!S133,高値!T133&gt;高値!R133,高値!T133&gt;高値!U133,高値!T133&gt;高値!V133),15,""))</f>
      </c>
      <c r="AQ133" s="684">
        <f>IF(終値!A133="","",IF(AND(高値!U133&gt;高値!T133,高値!U133&gt;高値!S133,高値!U133&gt;高値!V133,高値!U133&gt;高値!W133),16,""))</f>
      </c>
      <c r="AR133" s="684">
        <f>IF(終値!A133="","",IF(AND(高値!V133&gt;高値!U133,高値!V133&gt;高値!T133,高値!V133&gt;高値!W133,高値!V133&gt;高値!X133),17,""))</f>
      </c>
      <c r="AS133" s="684">
        <f>IF(終値!A133="","",IF(AND(高値!W133&gt;高値!V133,高値!W133&gt;高値!U133,高値!W133&gt;高値!X133,高値!W133&gt;高値!Y133),18,""))</f>
      </c>
      <c r="AT133" s="684">
        <f>IF(終値!A133="","",IF(AND(高値!X133&gt;高値!W133,高値!X133&gt;高値!V133,高値!X133&gt;高値!Y133,高値!X133&gt;高値!Z133),19,""))</f>
      </c>
      <c r="AU133" s="684">
        <f>IF(終値!A133="","",IF(AND(高値!Y133&gt;高値!X133,高値!Y133&gt;高値!W133,高値!Y133&gt;高値!Z133,高値!Y133&gt;高値!AA133),20,""))</f>
      </c>
      <c r="AV133" s="684">
        <f>IF(終値!A133="","",IF(AND(高値!Z133&gt;高値!Y133,高値!Z133&gt;高値!X133,高値!Z133&gt;高値!AA133,高値!Z133&gt;高値!AB133),21,""))</f>
      </c>
      <c r="AW133" s="684">
        <f>IF(終値!A133="","",IF(AND(高値!AA133&gt;高値!Z133,高値!AA133&gt;高値!Y133,高値!AA133&gt;高値!AB133,高値!AA133&gt;高値!AC133),22,""))</f>
      </c>
      <c r="AX133" s="684">
        <f>IF(終値!A133="","",IF(AND(高値!AB133&gt;高値!AA133,高値!AB133&gt;高値!Z133,高値!AB133&gt;高値!AC133,高値!AB133&gt;高値!AD133),23,""))</f>
      </c>
      <c r="AY133" s="684">
        <f>IF(終値!A133="","",IF(AND(高値!AC133&gt;高値!AB133,高値!AC133&gt;高値!AA133,高値!AC133&gt;高値!AD133,高値!AC133&gt;高値!AE133),24,""))</f>
      </c>
      <c r="AZ133" s="684">
        <f>IF(終値!A133="","",IF(AND(高値!AD133&gt;高値!AC133,高値!AD133&gt;高値!AB133,高値!AD133&gt;高値!AE133,高値!AD133&gt;高値!AF133),25,""))</f>
      </c>
      <c r="BA133" s="684">
        <f>IF(終値!A133="","",IF(AND(高値!AE133&gt;高値!AD133,高値!AE133&gt;高値!AC133,高値!AE133&gt;高値!AF133,高値!AE133&gt;高値!AG133),26,""))</f>
      </c>
      <c r="BB133" s="684">
        <f>IF(終値!A133="","",IF(AND(高値!AF133&gt;高値!AE133,高値!AF133&gt;高値!AD133,高値!AF133&gt;高値!AG133,高値!AF133&gt;高値!AH133),27,""))</f>
      </c>
      <c r="BC133" s="684">
        <f>IF(終値!A133="","",IF(AND(高値!AG133&gt;高値!AF133,高値!AG133&gt;高値!AE133,高値!AG133&gt;高値!AH133,高値!AG133&gt;高値!AI133),28,""))</f>
      </c>
      <c r="BD133" s="684">
        <f>COUNT($B133:$AB133)</f>
      </c>
      <c r="BE133" s="684">
        <f>IF($BD133&gt;=2,MIN($B133:$AB133),"")</f>
      </c>
      <c r="BF133" s="684">
        <f>IF($BD133&gt;=2,SMALL($B133:$AB133,2),"")</f>
      </c>
      <c r="BG133" s="684">
        <f>IF($BE133="","",INDEX(安値!$E133:$CZ133,1,$BE133+1))</f>
      </c>
      <c r="BH133" s="684">
        <f>IF($BF133="","",INDEX(安値!$E133:$CZ133,1,$BF133+1))</f>
      </c>
      <c r="BI133" s="684">
        <f>IF($BF133="","",MAX(INDEX(高値!$E133:$CZ133,1,$BE133+1):INDEX(高値!$E133:$CZ133,1,$BF133+1)))</f>
      </c>
      <c r="BJ133" s="684">
        <f>IF($BF133="","",AVERAGE(INDEX(終値!$E133:$CZ133,1,$BF133+1):INDEX(終値!$E133:$CZ133,1,$BF133+20))-2*STDEVP(INDEX(終値!$E133:$CZ133,1,$BF133+1):INDEX(終値!$E133:$CZ133,1,$BF133+20)))</f>
      </c>
      <c r="BK133" s="684">
        <f>IF($BE133="","",AVERAGE(INDEX(終値!$E133:$CZ133,1,$BE133+1):INDEX(終値!$E133:$CZ133,1,$BE133+20))-2*STDEVP(INDEX(終値!$E133:$CZ133,1,$BE133+1):INDEX(終値!$E133:$CZ133,1,$BE133+20)))</f>
      </c>
      <c r="BL133" s="684">
        <f>COUNT($AC133:$BC133)</f>
      </c>
      <c r="BM133" s="684">
        <f>IF($BL133&gt;=2,MIN($AC133:$BC133),"")</f>
      </c>
      <c r="BN133" s="684">
        <f>IF($BL133&gt;=2,SMALL($AC133:$BC133,2),"")</f>
      </c>
      <c r="BO133" s="684">
        <f>IF($BM133="","",INDEX(高値!$E133:$CZ133,1,$BM133+1))</f>
      </c>
      <c r="BP133" s="684">
        <f>IF($BN133="","",INDEX(高値!$E133:$CZ133,1,$BN133+1))</f>
      </c>
      <c r="BQ133" s="684">
        <f>IF($BN133="","",MIN(INDEX(安値!$E133:$CZ133,1,$BM133+1):INDEX(安値!$E133:$CZ133,1,$BN133+1)))</f>
      </c>
      <c r="BR133" s="684">
        <f>IF($BN133="","",AVERAGE(INDEX(終値!$E133:$CZ133,1,$BN133+1):INDEX(終値!$E133:$CZ133,1,$BN133+20))+2*STDEVP(INDEX(終値!$E133:$CZ133,1,$BN133+1):INDEX(終値!$E133:$CZ133,1,$BN133+20)))</f>
      </c>
      <c r="BS133" s="684">
        <f>IF($BM133="","",AVERAGE(INDEX(終値!$E133:$CZ133,1,$BM133+1):INDEX(終値!$E133:$CZ133,1,$BM133+20))+2*STDEVP(INDEX(終値!$E133:$CZ133,1,$BM133+1):INDEX(終値!$E133:$CZ133,1,$BM133+20)))</f>
      </c>
      <c r="BT133" s="681">
        <f>IFERROR(IF(AND($BD133&gt;=2,ABS($BG133-$BH133)/$BH133&lt;=BB設定!$B$12,$BI133&gt;=MAX($BH133,$BG133)*(1+BB設定!$B$13),終値!E133&gt;$BG133),IF(OR(終値!E133&gt;=$BI133,AND($BH133&lt;$BJ133,$BG133&gt;=$BK133)),"二番底W▲","二番底W形成"),IF(AND($BL133&gt;=2,ABS($BO133-$BP133)/$BP133&lt;=BB設定!$B$12,$BQ133&lt;=MIN($BP133,$BO133)*(1-BB設定!$B$13),終値!E133&lt;$BO133),IF(OR(終値!E133&lt;=$BQ133,AND($BP133&gt;$BR133,$BO133&lt;=$BS133)),"二番天井M▼","二番天井M形成"),"－")),"－")</f>
      </c>
    </row>
    <row r="134">
      <c r="B134" s="684">
        <f>IF(終値!A134="","",IF(AND(安値!G134&lt;安値!F134,安値!G134&lt;安値!E134,安値!G134&lt;安値!H134,安値!G134&lt;安値!I134),2,""))</f>
      </c>
      <c r="C134" s="684">
        <f>IF(終値!A134="","",IF(AND(安値!H134&lt;安値!G134,安値!H134&lt;安値!F134,安値!H134&lt;安値!I134,安値!H134&lt;安値!J134),3,""))</f>
      </c>
      <c r="D134" s="684">
        <f>IF(終値!A134="","",IF(AND(安値!I134&lt;安値!H134,安値!I134&lt;安値!G134,安値!I134&lt;安値!J134,安値!I134&lt;安値!K134),4,""))</f>
      </c>
      <c r="E134" s="684">
        <f>IF(終値!A134="","",IF(AND(安値!J134&lt;安値!I134,安値!J134&lt;安値!H134,安値!J134&lt;安値!K134,安値!J134&lt;安値!L134),5,""))</f>
      </c>
      <c r="F134" s="684">
        <f>IF(終値!A134="","",IF(AND(安値!K134&lt;安値!J134,安値!K134&lt;安値!I134,安値!K134&lt;安値!L134,安値!K134&lt;安値!M134),6,""))</f>
      </c>
      <c r="G134" s="684">
        <f>IF(終値!A134="","",IF(AND(安値!L134&lt;安値!K134,安値!L134&lt;安値!J134,安値!L134&lt;安値!M134,安値!L134&lt;安値!N134),7,""))</f>
      </c>
      <c r="H134" s="684">
        <f>IF(終値!A134="","",IF(AND(安値!M134&lt;安値!L134,安値!M134&lt;安値!K134,安値!M134&lt;安値!N134,安値!M134&lt;安値!O134),8,""))</f>
      </c>
      <c r="I134" s="684">
        <f>IF(終値!A134="","",IF(AND(安値!N134&lt;安値!M134,安値!N134&lt;安値!L134,安値!N134&lt;安値!O134,安値!N134&lt;安値!P134),9,""))</f>
      </c>
      <c r="J134" s="684">
        <f>IF(終値!A134="","",IF(AND(安値!O134&lt;安値!N134,安値!O134&lt;安値!M134,安値!O134&lt;安値!P134,安値!O134&lt;安値!Q134),10,""))</f>
      </c>
      <c r="K134" s="684">
        <f>IF(終値!A134="","",IF(AND(安値!P134&lt;安値!O134,安値!P134&lt;安値!N134,安値!P134&lt;安値!Q134,安値!P134&lt;安値!R134),11,""))</f>
      </c>
      <c r="L134" s="684">
        <f>IF(終値!A134="","",IF(AND(安値!Q134&lt;安値!P134,安値!Q134&lt;安値!O134,安値!Q134&lt;安値!R134,安値!Q134&lt;安値!S134),12,""))</f>
      </c>
      <c r="M134" s="684">
        <f>IF(終値!A134="","",IF(AND(安値!R134&lt;安値!Q134,安値!R134&lt;安値!P134,安値!R134&lt;安値!S134,安値!R134&lt;安値!T134),13,""))</f>
      </c>
      <c r="N134" s="684">
        <f>IF(終値!A134="","",IF(AND(安値!S134&lt;安値!R134,安値!S134&lt;安値!Q134,安値!S134&lt;安値!T134,安値!S134&lt;安値!U134),14,""))</f>
      </c>
      <c r="O134" s="684">
        <f>IF(終値!A134="","",IF(AND(安値!T134&lt;安値!S134,安値!T134&lt;安値!R134,安値!T134&lt;安値!U134,安値!T134&lt;安値!V134),15,""))</f>
      </c>
      <c r="P134" s="684">
        <f>IF(終値!A134="","",IF(AND(安値!U134&lt;安値!T134,安値!U134&lt;安値!S134,安値!U134&lt;安値!V134,安値!U134&lt;安値!W134),16,""))</f>
      </c>
      <c r="Q134" s="684">
        <f>IF(終値!A134="","",IF(AND(安値!V134&lt;安値!U134,安値!V134&lt;安値!T134,安値!V134&lt;安値!W134,安値!V134&lt;安値!X134),17,""))</f>
      </c>
      <c r="R134" s="684">
        <f>IF(終値!A134="","",IF(AND(安値!W134&lt;安値!V134,安値!W134&lt;安値!U134,安値!W134&lt;安値!X134,安値!W134&lt;安値!Y134),18,""))</f>
      </c>
      <c r="S134" s="684">
        <f>IF(終値!A134="","",IF(AND(安値!X134&lt;安値!W134,安値!X134&lt;安値!V134,安値!X134&lt;安値!Y134,安値!X134&lt;安値!Z134),19,""))</f>
      </c>
      <c r="T134" s="684">
        <f>IF(終値!A134="","",IF(AND(安値!Y134&lt;安値!X134,安値!Y134&lt;安値!W134,安値!Y134&lt;安値!Z134,安値!Y134&lt;安値!AA134),20,""))</f>
      </c>
      <c r="U134" s="684">
        <f>IF(終値!A134="","",IF(AND(安値!Z134&lt;安値!Y134,安値!Z134&lt;安値!X134,安値!Z134&lt;安値!AA134,安値!Z134&lt;安値!AB134),21,""))</f>
      </c>
      <c r="V134" s="684">
        <f>IF(終値!A134="","",IF(AND(安値!AA134&lt;安値!Z134,安値!AA134&lt;安値!Y134,安値!AA134&lt;安値!AB134,安値!AA134&lt;安値!AC134),22,""))</f>
      </c>
      <c r="W134" s="684">
        <f>IF(終値!A134="","",IF(AND(安値!AB134&lt;安値!AA134,安値!AB134&lt;安値!Z134,安値!AB134&lt;安値!AC134,安値!AB134&lt;安値!AD134),23,""))</f>
      </c>
      <c r="X134" s="684">
        <f>IF(終値!A134="","",IF(AND(安値!AC134&lt;安値!AB134,安値!AC134&lt;安値!AA134,安値!AC134&lt;安値!AD134,安値!AC134&lt;安値!AE134),24,""))</f>
      </c>
      <c r="Y134" s="684">
        <f>IF(終値!A134="","",IF(AND(安値!AD134&lt;安値!AC134,安値!AD134&lt;安値!AB134,安値!AD134&lt;安値!AE134,安値!AD134&lt;安値!AF134),25,""))</f>
      </c>
      <c r="Z134" s="684">
        <f>IF(終値!A134="","",IF(AND(安値!AE134&lt;安値!AD134,安値!AE134&lt;安値!AC134,安値!AE134&lt;安値!AF134,安値!AE134&lt;安値!AG134),26,""))</f>
      </c>
      <c r="AA134" s="684">
        <f>IF(終値!A134="","",IF(AND(安値!AF134&lt;安値!AE134,安値!AF134&lt;安値!AD134,安値!AF134&lt;安値!AG134,安値!AF134&lt;安値!AH134),27,""))</f>
      </c>
      <c r="AB134" s="684">
        <f>IF(終値!A134="","",IF(AND(安値!AG134&lt;安値!AF134,安値!AG134&lt;安値!AE134,安値!AG134&lt;安値!AH134,安値!AG134&lt;安値!AI134),28,""))</f>
      </c>
      <c r="AC134" s="684">
        <f>IF(終値!A134="","",IF(AND(高値!G134&gt;高値!F134,高値!G134&gt;高値!E134,高値!G134&gt;高値!H134,高値!G134&gt;高値!I134),2,""))</f>
      </c>
      <c r="AD134" s="684">
        <f>IF(終値!A134="","",IF(AND(高値!H134&gt;高値!G134,高値!H134&gt;高値!F134,高値!H134&gt;高値!I134,高値!H134&gt;高値!J134),3,""))</f>
      </c>
      <c r="AE134" s="684">
        <f>IF(終値!A134="","",IF(AND(高値!I134&gt;高値!H134,高値!I134&gt;高値!G134,高値!I134&gt;高値!J134,高値!I134&gt;高値!K134),4,""))</f>
      </c>
      <c r="AF134" s="684">
        <f>IF(終値!A134="","",IF(AND(高値!J134&gt;高値!I134,高値!J134&gt;高値!H134,高値!J134&gt;高値!K134,高値!J134&gt;高値!L134),5,""))</f>
      </c>
      <c r="AG134" s="684">
        <f>IF(終値!A134="","",IF(AND(高値!K134&gt;高値!J134,高値!K134&gt;高値!I134,高値!K134&gt;高値!L134,高値!K134&gt;高値!M134),6,""))</f>
      </c>
      <c r="AH134" s="684">
        <f>IF(終値!A134="","",IF(AND(高値!L134&gt;高値!K134,高値!L134&gt;高値!J134,高値!L134&gt;高値!M134,高値!L134&gt;高値!N134),7,""))</f>
      </c>
      <c r="AI134" s="684">
        <f>IF(終値!A134="","",IF(AND(高値!M134&gt;高値!L134,高値!M134&gt;高値!K134,高値!M134&gt;高値!N134,高値!M134&gt;高値!O134),8,""))</f>
      </c>
      <c r="AJ134" s="684">
        <f>IF(終値!A134="","",IF(AND(高値!N134&gt;高値!M134,高値!N134&gt;高値!L134,高値!N134&gt;高値!O134,高値!N134&gt;高値!P134),9,""))</f>
      </c>
      <c r="AK134" s="684">
        <f>IF(終値!A134="","",IF(AND(高値!O134&gt;高値!N134,高値!O134&gt;高値!M134,高値!O134&gt;高値!P134,高値!O134&gt;高値!Q134),10,""))</f>
      </c>
      <c r="AL134" s="684">
        <f>IF(終値!A134="","",IF(AND(高値!P134&gt;高値!O134,高値!P134&gt;高値!N134,高値!P134&gt;高値!Q134,高値!P134&gt;高値!R134),11,""))</f>
      </c>
      <c r="AM134" s="684">
        <f>IF(終値!A134="","",IF(AND(高値!Q134&gt;高値!P134,高値!Q134&gt;高値!O134,高値!Q134&gt;高値!R134,高値!Q134&gt;高値!S134),12,""))</f>
      </c>
      <c r="AN134" s="684">
        <f>IF(終値!A134="","",IF(AND(高値!R134&gt;高値!Q134,高値!R134&gt;高値!P134,高値!R134&gt;高値!S134,高値!R134&gt;高値!T134),13,""))</f>
      </c>
      <c r="AO134" s="684">
        <f>IF(終値!A134="","",IF(AND(高値!S134&gt;高値!R134,高値!S134&gt;高値!Q134,高値!S134&gt;高値!T134,高値!S134&gt;高値!U134),14,""))</f>
      </c>
      <c r="AP134" s="684">
        <f>IF(終値!A134="","",IF(AND(高値!T134&gt;高値!S134,高値!T134&gt;高値!R134,高値!T134&gt;高値!U134,高値!T134&gt;高値!V134),15,""))</f>
      </c>
      <c r="AQ134" s="684">
        <f>IF(終値!A134="","",IF(AND(高値!U134&gt;高値!T134,高値!U134&gt;高値!S134,高値!U134&gt;高値!V134,高値!U134&gt;高値!W134),16,""))</f>
      </c>
      <c r="AR134" s="684">
        <f>IF(終値!A134="","",IF(AND(高値!V134&gt;高値!U134,高値!V134&gt;高値!T134,高値!V134&gt;高値!W134,高値!V134&gt;高値!X134),17,""))</f>
      </c>
      <c r="AS134" s="684">
        <f>IF(終値!A134="","",IF(AND(高値!W134&gt;高値!V134,高値!W134&gt;高値!U134,高値!W134&gt;高値!X134,高値!W134&gt;高値!Y134),18,""))</f>
      </c>
      <c r="AT134" s="684">
        <f>IF(終値!A134="","",IF(AND(高値!X134&gt;高値!W134,高値!X134&gt;高値!V134,高値!X134&gt;高値!Y134,高値!X134&gt;高値!Z134),19,""))</f>
      </c>
      <c r="AU134" s="684">
        <f>IF(終値!A134="","",IF(AND(高値!Y134&gt;高値!X134,高値!Y134&gt;高値!W134,高値!Y134&gt;高値!Z134,高値!Y134&gt;高値!AA134),20,""))</f>
      </c>
      <c r="AV134" s="684">
        <f>IF(終値!A134="","",IF(AND(高値!Z134&gt;高値!Y134,高値!Z134&gt;高値!X134,高値!Z134&gt;高値!AA134,高値!Z134&gt;高値!AB134),21,""))</f>
      </c>
      <c r="AW134" s="684">
        <f>IF(終値!A134="","",IF(AND(高値!AA134&gt;高値!Z134,高値!AA134&gt;高値!Y134,高値!AA134&gt;高値!AB134,高値!AA134&gt;高値!AC134),22,""))</f>
      </c>
      <c r="AX134" s="684">
        <f>IF(終値!A134="","",IF(AND(高値!AB134&gt;高値!AA134,高値!AB134&gt;高値!Z134,高値!AB134&gt;高値!AC134,高値!AB134&gt;高値!AD134),23,""))</f>
      </c>
      <c r="AY134" s="684">
        <f>IF(終値!A134="","",IF(AND(高値!AC134&gt;高値!AB134,高値!AC134&gt;高値!AA134,高値!AC134&gt;高値!AD134,高値!AC134&gt;高値!AE134),24,""))</f>
      </c>
      <c r="AZ134" s="684">
        <f>IF(終値!A134="","",IF(AND(高値!AD134&gt;高値!AC134,高値!AD134&gt;高値!AB134,高値!AD134&gt;高値!AE134,高値!AD134&gt;高値!AF134),25,""))</f>
      </c>
      <c r="BA134" s="684">
        <f>IF(終値!A134="","",IF(AND(高値!AE134&gt;高値!AD134,高値!AE134&gt;高値!AC134,高値!AE134&gt;高値!AF134,高値!AE134&gt;高値!AG134),26,""))</f>
      </c>
      <c r="BB134" s="684">
        <f>IF(終値!A134="","",IF(AND(高値!AF134&gt;高値!AE134,高値!AF134&gt;高値!AD134,高値!AF134&gt;高値!AG134,高値!AF134&gt;高値!AH134),27,""))</f>
      </c>
      <c r="BC134" s="684">
        <f>IF(終値!A134="","",IF(AND(高値!AG134&gt;高値!AF134,高値!AG134&gt;高値!AE134,高値!AG134&gt;高値!AH134,高値!AG134&gt;高値!AI134),28,""))</f>
      </c>
      <c r="BD134" s="684">
        <f>COUNT($B134:$AB134)</f>
      </c>
      <c r="BE134" s="684">
        <f>IF($BD134&gt;=2,MIN($B134:$AB134),"")</f>
      </c>
      <c r="BF134" s="684">
        <f>IF($BD134&gt;=2,SMALL($B134:$AB134,2),"")</f>
      </c>
      <c r="BG134" s="684">
        <f>IF($BE134="","",INDEX(安値!$E134:$CZ134,1,$BE134+1))</f>
      </c>
      <c r="BH134" s="684">
        <f>IF($BF134="","",INDEX(安値!$E134:$CZ134,1,$BF134+1))</f>
      </c>
      <c r="BI134" s="684">
        <f>IF($BF134="","",MAX(INDEX(高値!$E134:$CZ134,1,$BE134+1):INDEX(高値!$E134:$CZ134,1,$BF134+1)))</f>
      </c>
      <c r="BJ134" s="684">
        <f>IF($BF134="","",AVERAGE(INDEX(終値!$E134:$CZ134,1,$BF134+1):INDEX(終値!$E134:$CZ134,1,$BF134+20))-2*STDEVP(INDEX(終値!$E134:$CZ134,1,$BF134+1):INDEX(終値!$E134:$CZ134,1,$BF134+20)))</f>
      </c>
      <c r="BK134" s="684">
        <f>IF($BE134="","",AVERAGE(INDEX(終値!$E134:$CZ134,1,$BE134+1):INDEX(終値!$E134:$CZ134,1,$BE134+20))-2*STDEVP(INDEX(終値!$E134:$CZ134,1,$BE134+1):INDEX(終値!$E134:$CZ134,1,$BE134+20)))</f>
      </c>
      <c r="BL134" s="684">
        <f>COUNT($AC134:$BC134)</f>
      </c>
      <c r="BM134" s="684">
        <f>IF($BL134&gt;=2,MIN($AC134:$BC134),"")</f>
      </c>
      <c r="BN134" s="684">
        <f>IF($BL134&gt;=2,SMALL($AC134:$BC134,2),"")</f>
      </c>
      <c r="BO134" s="684">
        <f>IF($BM134="","",INDEX(高値!$E134:$CZ134,1,$BM134+1))</f>
      </c>
      <c r="BP134" s="684">
        <f>IF($BN134="","",INDEX(高値!$E134:$CZ134,1,$BN134+1))</f>
      </c>
      <c r="BQ134" s="684">
        <f>IF($BN134="","",MIN(INDEX(安値!$E134:$CZ134,1,$BM134+1):INDEX(安値!$E134:$CZ134,1,$BN134+1)))</f>
      </c>
      <c r="BR134" s="684">
        <f>IF($BN134="","",AVERAGE(INDEX(終値!$E134:$CZ134,1,$BN134+1):INDEX(終値!$E134:$CZ134,1,$BN134+20))+2*STDEVP(INDEX(終値!$E134:$CZ134,1,$BN134+1):INDEX(終値!$E134:$CZ134,1,$BN134+20)))</f>
      </c>
      <c r="BS134" s="684">
        <f>IF($BM134="","",AVERAGE(INDEX(終値!$E134:$CZ134,1,$BM134+1):INDEX(終値!$E134:$CZ134,1,$BM134+20))+2*STDEVP(INDEX(終値!$E134:$CZ134,1,$BM134+1):INDEX(終値!$E134:$CZ134,1,$BM134+20)))</f>
      </c>
      <c r="BT134" s="681">
        <f>IFERROR(IF(AND($BD134&gt;=2,ABS($BG134-$BH134)/$BH134&lt;=BB設定!$B$12,$BI134&gt;=MAX($BH134,$BG134)*(1+BB設定!$B$13),終値!E134&gt;$BG134),IF(OR(終値!E134&gt;=$BI134,AND($BH134&lt;$BJ134,$BG134&gt;=$BK134)),"二番底W▲","二番底W形成"),IF(AND($BL134&gt;=2,ABS($BO134-$BP134)/$BP134&lt;=BB設定!$B$12,$BQ134&lt;=MIN($BP134,$BO134)*(1-BB設定!$B$13),終値!E134&lt;$BO134),IF(OR(終値!E134&lt;=$BQ134,AND($BP134&gt;$BR134,$BO134&lt;=$BS134)),"二番天井M▼","二番天井M形成"),"－")),"－")</f>
      </c>
    </row>
    <row r="135">
      <c r="B135" s="684">
        <f>IF(終値!A135="","",IF(AND(安値!G135&lt;安値!F135,安値!G135&lt;安値!E135,安値!G135&lt;安値!H135,安値!G135&lt;安値!I135),2,""))</f>
      </c>
      <c r="C135" s="684">
        <f>IF(終値!A135="","",IF(AND(安値!H135&lt;安値!G135,安値!H135&lt;安値!F135,安値!H135&lt;安値!I135,安値!H135&lt;安値!J135),3,""))</f>
      </c>
      <c r="D135" s="684">
        <f>IF(終値!A135="","",IF(AND(安値!I135&lt;安値!H135,安値!I135&lt;安値!G135,安値!I135&lt;安値!J135,安値!I135&lt;安値!K135),4,""))</f>
      </c>
      <c r="E135" s="684">
        <f>IF(終値!A135="","",IF(AND(安値!J135&lt;安値!I135,安値!J135&lt;安値!H135,安値!J135&lt;安値!K135,安値!J135&lt;安値!L135),5,""))</f>
      </c>
      <c r="F135" s="684">
        <f>IF(終値!A135="","",IF(AND(安値!K135&lt;安値!J135,安値!K135&lt;安値!I135,安値!K135&lt;安値!L135,安値!K135&lt;安値!M135),6,""))</f>
      </c>
      <c r="G135" s="684">
        <f>IF(終値!A135="","",IF(AND(安値!L135&lt;安値!K135,安値!L135&lt;安値!J135,安値!L135&lt;安値!M135,安値!L135&lt;安値!N135),7,""))</f>
      </c>
      <c r="H135" s="684">
        <f>IF(終値!A135="","",IF(AND(安値!M135&lt;安値!L135,安値!M135&lt;安値!K135,安値!M135&lt;安値!N135,安値!M135&lt;安値!O135),8,""))</f>
      </c>
      <c r="I135" s="684">
        <f>IF(終値!A135="","",IF(AND(安値!N135&lt;安値!M135,安値!N135&lt;安値!L135,安値!N135&lt;安値!O135,安値!N135&lt;安値!P135),9,""))</f>
      </c>
      <c r="J135" s="684">
        <f>IF(終値!A135="","",IF(AND(安値!O135&lt;安値!N135,安値!O135&lt;安値!M135,安値!O135&lt;安値!P135,安値!O135&lt;安値!Q135),10,""))</f>
      </c>
      <c r="K135" s="684">
        <f>IF(終値!A135="","",IF(AND(安値!P135&lt;安値!O135,安値!P135&lt;安値!N135,安値!P135&lt;安値!Q135,安値!P135&lt;安値!R135),11,""))</f>
      </c>
      <c r="L135" s="684">
        <f>IF(終値!A135="","",IF(AND(安値!Q135&lt;安値!P135,安値!Q135&lt;安値!O135,安値!Q135&lt;安値!R135,安値!Q135&lt;安値!S135),12,""))</f>
      </c>
      <c r="M135" s="684">
        <f>IF(終値!A135="","",IF(AND(安値!R135&lt;安値!Q135,安値!R135&lt;安値!P135,安値!R135&lt;安値!S135,安値!R135&lt;安値!T135),13,""))</f>
      </c>
      <c r="N135" s="684">
        <f>IF(終値!A135="","",IF(AND(安値!S135&lt;安値!R135,安値!S135&lt;安値!Q135,安値!S135&lt;安値!T135,安値!S135&lt;安値!U135),14,""))</f>
      </c>
      <c r="O135" s="684">
        <f>IF(終値!A135="","",IF(AND(安値!T135&lt;安値!S135,安値!T135&lt;安値!R135,安値!T135&lt;安値!U135,安値!T135&lt;安値!V135),15,""))</f>
      </c>
      <c r="P135" s="684">
        <f>IF(終値!A135="","",IF(AND(安値!U135&lt;安値!T135,安値!U135&lt;安値!S135,安値!U135&lt;安値!V135,安値!U135&lt;安値!W135),16,""))</f>
      </c>
      <c r="Q135" s="684">
        <f>IF(終値!A135="","",IF(AND(安値!V135&lt;安値!U135,安値!V135&lt;安値!T135,安値!V135&lt;安値!W135,安値!V135&lt;安値!X135),17,""))</f>
      </c>
      <c r="R135" s="684">
        <f>IF(終値!A135="","",IF(AND(安値!W135&lt;安値!V135,安値!W135&lt;安値!U135,安値!W135&lt;安値!X135,安値!W135&lt;安値!Y135),18,""))</f>
      </c>
      <c r="S135" s="684">
        <f>IF(終値!A135="","",IF(AND(安値!X135&lt;安値!W135,安値!X135&lt;安値!V135,安値!X135&lt;安値!Y135,安値!X135&lt;安値!Z135),19,""))</f>
      </c>
      <c r="T135" s="684">
        <f>IF(終値!A135="","",IF(AND(安値!Y135&lt;安値!X135,安値!Y135&lt;安値!W135,安値!Y135&lt;安値!Z135,安値!Y135&lt;安値!AA135),20,""))</f>
      </c>
      <c r="U135" s="684">
        <f>IF(終値!A135="","",IF(AND(安値!Z135&lt;安値!Y135,安値!Z135&lt;安値!X135,安値!Z135&lt;安値!AA135,安値!Z135&lt;安値!AB135),21,""))</f>
      </c>
      <c r="V135" s="684">
        <f>IF(終値!A135="","",IF(AND(安値!AA135&lt;安値!Z135,安値!AA135&lt;安値!Y135,安値!AA135&lt;安値!AB135,安値!AA135&lt;安値!AC135),22,""))</f>
      </c>
      <c r="W135" s="684">
        <f>IF(終値!A135="","",IF(AND(安値!AB135&lt;安値!AA135,安値!AB135&lt;安値!Z135,安値!AB135&lt;安値!AC135,安値!AB135&lt;安値!AD135),23,""))</f>
      </c>
      <c r="X135" s="684">
        <f>IF(終値!A135="","",IF(AND(安値!AC135&lt;安値!AB135,安値!AC135&lt;安値!AA135,安値!AC135&lt;安値!AD135,安値!AC135&lt;安値!AE135),24,""))</f>
      </c>
      <c r="Y135" s="684">
        <f>IF(終値!A135="","",IF(AND(安値!AD135&lt;安値!AC135,安値!AD135&lt;安値!AB135,安値!AD135&lt;安値!AE135,安値!AD135&lt;安値!AF135),25,""))</f>
      </c>
      <c r="Z135" s="684">
        <f>IF(終値!A135="","",IF(AND(安値!AE135&lt;安値!AD135,安値!AE135&lt;安値!AC135,安値!AE135&lt;安値!AF135,安値!AE135&lt;安値!AG135),26,""))</f>
      </c>
      <c r="AA135" s="684">
        <f>IF(終値!A135="","",IF(AND(安値!AF135&lt;安値!AE135,安値!AF135&lt;安値!AD135,安値!AF135&lt;安値!AG135,安値!AF135&lt;安値!AH135),27,""))</f>
      </c>
      <c r="AB135" s="684">
        <f>IF(終値!A135="","",IF(AND(安値!AG135&lt;安値!AF135,安値!AG135&lt;安値!AE135,安値!AG135&lt;安値!AH135,安値!AG135&lt;安値!AI135),28,""))</f>
      </c>
      <c r="AC135" s="684">
        <f>IF(終値!A135="","",IF(AND(高値!G135&gt;高値!F135,高値!G135&gt;高値!E135,高値!G135&gt;高値!H135,高値!G135&gt;高値!I135),2,""))</f>
      </c>
      <c r="AD135" s="684">
        <f>IF(終値!A135="","",IF(AND(高値!H135&gt;高値!G135,高値!H135&gt;高値!F135,高値!H135&gt;高値!I135,高値!H135&gt;高値!J135),3,""))</f>
      </c>
      <c r="AE135" s="684">
        <f>IF(終値!A135="","",IF(AND(高値!I135&gt;高値!H135,高値!I135&gt;高値!G135,高値!I135&gt;高値!J135,高値!I135&gt;高値!K135),4,""))</f>
      </c>
      <c r="AF135" s="684">
        <f>IF(終値!A135="","",IF(AND(高値!J135&gt;高値!I135,高値!J135&gt;高値!H135,高値!J135&gt;高値!K135,高値!J135&gt;高値!L135),5,""))</f>
      </c>
      <c r="AG135" s="684">
        <f>IF(終値!A135="","",IF(AND(高値!K135&gt;高値!J135,高値!K135&gt;高値!I135,高値!K135&gt;高値!L135,高値!K135&gt;高値!M135),6,""))</f>
      </c>
      <c r="AH135" s="684">
        <f>IF(終値!A135="","",IF(AND(高値!L135&gt;高値!K135,高値!L135&gt;高値!J135,高値!L135&gt;高値!M135,高値!L135&gt;高値!N135),7,""))</f>
      </c>
      <c r="AI135" s="684">
        <f>IF(終値!A135="","",IF(AND(高値!M135&gt;高値!L135,高値!M135&gt;高値!K135,高値!M135&gt;高値!N135,高値!M135&gt;高値!O135),8,""))</f>
      </c>
      <c r="AJ135" s="684">
        <f>IF(終値!A135="","",IF(AND(高値!N135&gt;高値!M135,高値!N135&gt;高値!L135,高値!N135&gt;高値!O135,高値!N135&gt;高値!P135),9,""))</f>
      </c>
      <c r="AK135" s="684">
        <f>IF(終値!A135="","",IF(AND(高値!O135&gt;高値!N135,高値!O135&gt;高値!M135,高値!O135&gt;高値!P135,高値!O135&gt;高値!Q135),10,""))</f>
      </c>
      <c r="AL135" s="684">
        <f>IF(終値!A135="","",IF(AND(高値!P135&gt;高値!O135,高値!P135&gt;高値!N135,高値!P135&gt;高値!Q135,高値!P135&gt;高値!R135),11,""))</f>
      </c>
      <c r="AM135" s="684">
        <f>IF(終値!A135="","",IF(AND(高値!Q135&gt;高値!P135,高値!Q135&gt;高値!O135,高値!Q135&gt;高値!R135,高値!Q135&gt;高値!S135),12,""))</f>
      </c>
      <c r="AN135" s="684">
        <f>IF(終値!A135="","",IF(AND(高値!R135&gt;高値!Q135,高値!R135&gt;高値!P135,高値!R135&gt;高値!S135,高値!R135&gt;高値!T135),13,""))</f>
      </c>
      <c r="AO135" s="684">
        <f>IF(終値!A135="","",IF(AND(高値!S135&gt;高値!R135,高値!S135&gt;高値!Q135,高値!S135&gt;高値!T135,高値!S135&gt;高値!U135),14,""))</f>
      </c>
      <c r="AP135" s="684">
        <f>IF(終値!A135="","",IF(AND(高値!T135&gt;高値!S135,高値!T135&gt;高値!R135,高値!T135&gt;高値!U135,高値!T135&gt;高値!V135),15,""))</f>
      </c>
      <c r="AQ135" s="684">
        <f>IF(終値!A135="","",IF(AND(高値!U135&gt;高値!T135,高値!U135&gt;高値!S135,高値!U135&gt;高値!V135,高値!U135&gt;高値!W135),16,""))</f>
      </c>
      <c r="AR135" s="684">
        <f>IF(終値!A135="","",IF(AND(高値!V135&gt;高値!U135,高値!V135&gt;高値!T135,高値!V135&gt;高値!W135,高値!V135&gt;高値!X135),17,""))</f>
      </c>
      <c r="AS135" s="684">
        <f>IF(終値!A135="","",IF(AND(高値!W135&gt;高値!V135,高値!W135&gt;高値!U135,高値!W135&gt;高値!X135,高値!W135&gt;高値!Y135),18,""))</f>
      </c>
      <c r="AT135" s="684">
        <f>IF(終値!A135="","",IF(AND(高値!X135&gt;高値!W135,高値!X135&gt;高値!V135,高値!X135&gt;高値!Y135,高値!X135&gt;高値!Z135),19,""))</f>
      </c>
      <c r="AU135" s="684">
        <f>IF(終値!A135="","",IF(AND(高値!Y135&gt;高値!X135,高値!Y135&gt;高値!W135,高値!Y135&gt;高値!Z135,高値!Y135&gt;高値!AA135),20,""))</f>
      </c>
      <c r="AV135" s="684">
        <f>IF(終値!A135="","",IF(AND(高値!Z135&gt;高値!Y135,高値!Z135&gt;高値!X135,高値!Z135&gt;高値!AA135,高値!Z135&gt;高値!AB135),21,""))</f>
      </c>
      <c r="AW135" s="684">
        <f>IF(終値!A135="","",IF(AND(高値!AA135&gt;高値!Z135,高値!AA135&gt;高値!Y135,高値!AA135&gt;高値!AB135,高値!AA135&gt;高値!AC135),22,""))</f>
      </c>
      <c r="AX135" s="684">
        <f>IF(終値!A135="","",IF(AND(高値!AB135&gt;高値!AA135,高値!AB135&gt;高値!Z135,高値!AB135&gt;高値!AC135,高値!AB135&gt;高値!AD135),23,""))</f>
      </c>
      <c r="AY135" s="684">
        <f>IF(終値!A135="","",IF(AND(高値!AC135&gt;高値!AB135,高値!AC135&gt;高値!AA135,高値!AC135&gt;高値!AD135,高値!AC135&gt;高値!AE135),24,""))</f>
      </c>
      <c r="AZ135" s="684">
        <f>IF(終値!A135="","",IF(AND(高値!AD135&gt;高値!AC135,高値!AD135&gt;高値!AB135,高値!AD135&gt;高値!AE135,高値!AD135&gt;高値!AF135),25,""))</f>
      </c>
      <c r="BA135" s="684">
        <f>IF(終値!A135="","",IF(AND(高値!AE135&gt;高値!AD135,高値!AE135&gt;高値!AC135,高値!AE135&gt;高値!AF135,高値!AE135&gt;高値!AG135),26,""))</f>
      </c>
      <c r="BB135" s="684">
        <f>IF(終値!A135="","",IF(AND(高値!AF135&gt;高値!AE135,高値!AF135&gt;高値!AD135,高値!AF135&gt;高値!AG135,高値!AF135&gt;高値!AH135),27,""))</f>
      </c>
      <c r="BC135" s="684">
        <f>IF(終値!A135="","",IF(AND(高値!AG135&gt;高値!AF135,高値!AG135&gt;高値!AE135,高値!AG135&gt;高値!AH135,高値!AG135&gt;高値!AI135),28,""))</f>
      </c>
      <c r="BD135" s="684">
        <f>COUNT($B135:$AB135)</f>
      </c>
      <c r="BE135" s="684">
        <f>IF($BD135&gt;=2,MIN($B135:$AB135),"")</f>
      </c>
      <c r="BF135" s="684">
        <f>IF($BD135&gt;=2,SMALL($B135:$AB135,2),"")</f>
      </c>
      <c r="BG135" s="684">
        <f>IF($BE135="","",INDEX(安値!$E135:$CZ135,1,$BE135+1))</f>
      </c>
      <c r="BH135" s="684">
        <f>IF($BF135="","",INDEX(安値!$E135:$CZ135,1,$BF135+1))</f>
      </c>
      <c r="BI135" s="684">
        <f>IF($BF135="","",MAX(INDEX(高値!$E135:$CZ135,1,$BE135+1):INDEX(高値!$E135:$CZ135,1,$BF135+1)))</f>
      </c>
      <c r="BJ135" s="684">
        <f>IF($BF135="","",AVERAGE(INDEX(終値!$E135:$CZ135,1,$BF135+1):INDEX(終値!$E135:$CZ135,1,$BF135+20))-2*STDEVP(INDEX(終値!$E135:$CZ135,1,$BF135+1):INDEX(終値!$E135:$CZ135,1,$BF135+20)))</f>
      </c>
      <c r="BK135" s="684">
        <f>IF($BE135="","",AVERAGE(INDEX(終値!$E135:$CZ135,1,$BE135+1):INDEX(終値!$E135:$CZ135,1,$BE135+20))-2*STDEVP(INDEX(終値!$E135:$CZ135,1,$BE135+1):INDEX(終値!$E135:$CZ135,1,$BE135+20)))</f>
      </c>
      <c r="BL135" s="684">
        <f>COUNT($AC135:$BC135)</f>
      </c>
      <c r="BM135" s="684">
        <f>IF($BL135&gt;=2,MIN($AC135:$BC135),"")</f>
      </c>
      <c r="BN135" s="684">
        <f>IF($BL135&gt;=2,SMALL($AC135:$BC135,2),"")</f>
      </c>
      <c r="BO135" s="684">
        <f>IF($BM135="","",INDEX(高値!$E135:$CZ135,1,$BM135+1))</f>
      </c>
      <c r="BP135" s="684">
        <f>IF($BN135="","",INDEX(高値!$E135:$CZ135,1,$BN135+1))</f>
      </c>
      <c r="BQ135" s="684">
        <f>IF($BN135="","",MIN(INDEX(安値!$E135:$CZ135,1,$BM135+1):INDEX(安値!$E135:$CZ135,1,$BN135+1)))</f>
      </c>
      <c r="BR135" s="684">
        <f>IF($BN135="","",AVERAGE(INDEX(終値!$E135:$CZ135,1,$BN135+1):INDEX(終値!$E135:$CZ135,1,$BN135+20))+2*STDEVP(INDEX(終値!$E135:$CZ135,1,$BN135+1):INDEX(終値!$E135:$CZ135,1,$BN135+20)))</f>
      </c>
      <c r="BS135" s="684">
        <f>IF($BM135="","",AVERAGE(INDEX(終値!$E135:$CZ135,1,$BM135+1):INDEX(終値!$E135:$CZ135,1,$BM135+20))+2*STDEVP(INDEX(終値!$E135:$CZ135,1,$BM135+1):INDEX(終値!$E135:$CZ135,1,$BM135+20)))</f>
      </c>
      <c r="BT135" s="681">
        <f>IFERROR(IF(AND($BD135&gt;=2,ABS($BG135-$BH135)/$BH135&lt;=BB設定!$B$12,$BI135&gt;=MAX($BH135,$BG135)*(1+BB設定!$B$13),終値!E135&gt;$BG135),IF(OR(終値!E135&gt;=$BI135,AND($BH135&lt;$BJ135,$BG135&gt;=$BK135)),"二番底W▲","二番底W形成"),IF(AND($BL135&gt;=2,ABS($BO135-$BP135)/$BP135&lt;=BB設定!$B$12,$BQ135&lt;=MIN($BP135,$BO135)*(1-BB設定!$B$13),終値!E135&lt;$BO135),IF(OR(終値!E135&lt;=$BQ135,AND($BP135&gt;$BR135,$BO135&lt;=$BS135)),"二番天井M▼","二番天井M形成"),"－")),"－")</f>
      </c>
    </row>
    <row r="136">
      <c r="B136" s="684">
        <f>IF(終値!A136="","",IF(AND(安値!G136&lt;安値!F136,安値!G136&lt;安値!E136,安値!G136&lt;安値!H136,安値!G136&lt;安値!I136),2,""))</f>
      </c>
      <c r="C136" s="684">
        <f>IF(終値!A136="","",IF(AND(安値!H136&lt;安値!G136,安値!H136&lt;安値!F136,安値!H136&lt;安値!I136,安値!H136&lt;安値!J136),3,""))</f>
      </c>
      <c r="D136" s="684">
        <f>IF(終値!A136="","",IF(AND(安値!I136&lt;安値!H136,安値!I136&lt;安値!G136,安値!I136&lt;安値!J136,安値!I136&lt;安値!K136),4,""))</f>
      </c>
      <c r="E136" s="684">
        <f>IF(終値!A136="","",IF(AND(安値!J136&lt;安値!I136,安値!J136&lt;安値!H136,安値!J136&lt;安値!K136,安値!J136&lt;安値!L136),5,""))</f>
      </c>
      <c r="F136" s="684">
        <f>IF(終値!A136="","",IF(AND(安値!K136&lt;安値!J136,安値!K136&lt;安値!I136,安値!K136&lt;安値!L136,安値!K136&lt;安値!M136),6,""))</f>
      </c>
      <c r="G136" s="684">
        <f>IF(終値!A136="","",IF(AND(安値!L136&lt;安値!K136,安値!L136&lt;安値!J136,安値!L136&lt;安値!M136,安値!L136&lt;安値!N136),7,""))</f>
      </c>
      <c r="H136" s="684">
        <f>IF(終値!A136="","",IF(AND(安値!M136&lt;安値!L136,安値!M136&lt;安値!K136,安値!M136&lt;安値!N136,安値!M136&lt;安値!O136),8,""))</f>
      </c>
      <c r="I136" s="684">
        <f>IF(終値!A136="","",IF(AND(安値!N136&lt;安値!M136,安値!N136&lt;安値!L136,安値!N136&lt;安値!O136,安値!N136&lt;安値!P136),9,""))</f>
      </c>
      <c r="J136" s="684">
        <f>IF(終値!A136="","",IF(AND(安値!O136&lt;安値!N136,安値!O136&lt;安値!M136,安値!O136&lt;安値!P136,安値!O136&lt;安値!Q136),10,""))</f>
      </c>
      <c r="K136" s="684">
        <f>IF(終値!A136="","",IF(AND(安値!P136&lt;安値!O136,安値!P136&lt;安値!N136,安値!P136&lt;安値!Q136,安値!P136&lt;安値!R136),11,""))</f>
      </c>
      <c r="L136" s="684">
        <f>IF(終値!A136="","",IF(AND(安値!Q136&lt;安値!P136,安値!Q136&lt;安値!O136,安値!Q136&lt;安値!R136,安値!Q136&lt;安値!S136),12,""))</f>
      </c>
      <c r="M136" s="684">
        <f>IF(終値!A136="","",IF(AND(安値!R136&lt;安値!Q136,安値!R136&lt;安値!P136,安値!R136&lt;安値!S136,安値!R136&lt;安値!T136),13,""))</f>
      </c>
      <c r="N136" s="684">
        <f>IF(終値!A136="","",IF(AND(安値!S136&lt;安値!R136,安値!S136&lt;安値!Q136,安値!S136&lt;安値!T136,安値!S136&lt;安値!U136),14,""))</f>
      </c>
      <c r="O136" s="684">
        <f>IF(終値!A136="","",IF(AND(安値!T136&lt;安値!S136,安値!T136&lt;安値!R136,安値!T136&lt;安値!U136,安値!T136&lt;安値!V136),15,""))</f>
      </c>
      <c r="P136" s="684">
        <f>IF(終値!A136="","",IF(AND(安値!U136&lt;安値!T136,安値!U136&lt;安値!S136,安値!U136&lt;安値!V136,安値!U136&lt;安値!W136),16,""))</f>
      </c>
      <c r="Q136" s="684">
        <f>IF(終値!A136="","",IF(AND(安値!V136&lt;安値!U136,安値!V136&lt;安値!T136,安値!V136&lt;安値!W136,安値!V136&lt;安値!X136),17,""))</f>
      </c>
      <c r="R136" s="684">
        <f>IF(終値!A136="","",IF(AND(安値!W136&lt;安値!V136,安値!W136&lt;安値!U136,安値!W136&lt;安値!X136,安値!W136&lt;安値!Y136),18,""))</f>
      </c>
      <c r="S136" s="684">
        <f>IF(終値!A136="","",IF(AND(安値!X136&lt;安値!W136,安値!X136&lt;安値!V136,安値!X136&lt;安値!Y136,安値!X136&lt;安値!Z136),19,""))</f>
      </c>
      <c r="T136" s="684">
        <f>IF(終値!A136="","",IF(AND(安値!Y136&lt;安値!X136,安値!Y136&lt;安値!W136,安値!Y136&lt;安値!Z136,安値!Y136&lt;安値!AA136),20,""))</f>
      </c>
      <c r="U136" s="684">
        <f>IF(終値!A136="","",IF(AND(安値!Z136&lt;安値!Y136,安値!Z136&lt;安値!X136,安値!Z136&lt;安値!AA136,安値!Z136&lt;安値!AB136),21,""))</f>
      </c>
      <c r="V136" s="684">
        <f>IF(終値!A136="","",IF(AND(安値!AA136&lt;安値!Z136,安値!AA136&lt;安値!Y136,安値!AA136&lt;安値!AB136,安値!AA136&lt;安値!AC136),22,""))</f>
      </c>
      <c r="W136" s="684">
        <f>IF(終値!A136="","",IF(AND(安値!AB136&lt;安値!AA136,安値!AB136&lt;安値!Z136,安値!AB136&lt;安値!AC136,安値!AB136&lt;安値!AD136),23,""))</f>
      </c>
      <c r="X136" s="684">
        <f>IF(終値!A136="","",IF(AND(安値!AC136&lt;安値!AB136,安値!AC136&lt;安値!AA136,安値!AC136&lt;安値!AD136,安値!AC136&lt;安値!AE136),24,""))</f>
      </c>
      <c r="Y136" s="684">
        <f>IF(終値!A136="","",IF(AND(安値!AD136&lt;安値!AC136,安値!AD136&lt;安値!AB136,安値!AD136&lt;安値!AE136,安値!AD136&lt;安値!AF136),25,""))</f>
      </c>
      <c r="Z136" s="684">
        <f>IF(終値!A136="","",IF(AND(安値!AE136&lt;安値!AD136,安値!AE136&lt;安値!AC136,安値!AE136&lt;安値!AF136,安値!AE136&lt;安値!AG136),26,""))</f>
      </c>
      <c r="AA136" s="684">
        <f>IF(終値!A136="","",IF(AND(安値!AF136&lt;安値!AE136,安値!AF136&lt;安値!AD136,安値!AF136&lt;安値!AG136,安値!AF136&lt;安値!AH136),27,""))</f>
      </c>
      <c r="AB136" s="684">
        <f>IF(終値!A136="","",IF(AND(安値!AG136&lt;安値!AF136,安値!AG136&lt;安値!AE136,安値!AG136&lt;安値!AH136,安値!AG136&lt;安値!AI136),28,""))</f>
      </c>
      <c r="AC136" s="684">
        <f>IF(終値!A136="","",IF(AND(高値!G136&gt;高値!F136,高値!G136&gt;高値!E136,高値!G136&gt;高値!H136,高値!G136&gt;高値!I136),2,""))</f>
      </c>
      <c r="AD136" s="684">
        <f>IF(終値!A136="","",IF(AND(高値!H136&gt;高値!G136,高値!H136&gt;高値!F136,高値!H136&gt;高値!I136,高値!H136&gt;高値!J136),3,""))</f>
      </c>
      <c r="AE136" s="684">
        <f>IF(終値!A136="","",IF(AND(高値!I136&gt;高値!H136,高値!I136&gt;高値!G136,高値!I136&gt;高値!J136,高値!I136&gt;高値!K136),4,""))</f>
      </c>
      <c r="AF136" s="684">
        <f>IF(終値!A136="","",IF(AND(高値!J136&gt;高値!I136,高値!J136&gt;高値!H136,高値!J136&gt;高値!K136,高値!J136&gt;高値!L136),5,""))</f>
      </c>
      <c r="AG136" s="684">
        <f>IF(終値!A136="","",IF(AND(高値!K136&gt;高値!J136,高値!K136&gt;高値!I136,高値!K136&gt;高値!L136,高値!K136&gt;高値!M136),6,""))</f>
      </c>
      <c r="AH136" s="684">
        <f>IF(終値!A136="","",IF(AND(高値!L136&gt;高値!K136,高値!L136&gt;高値!J136,高値!L136&gt;高値!M136,高値!L136&gt;高値!N136),7,""))</f>
      </c>
      <c r="AI136" s="684">
        <f>IF(終値!A136="","",IF(AND(高値!M136&gt;高値!L136,高値!M136&gt;高値!K136,高値!M136&gt;高値!N136,高値!M136&gt;高値!O136),8,""))</f>
      </c>
      <c r="AJ136" s="684">
        <f>IF(終値!A136="","",IF(AND(高値!N136&gt;高値!M136,高値!N136&gt;高値!L136,高値!N136&gt;高値!O136,高値!N136&gt;高値!P136),9,""))</f>
      </c>
      <c r="AK136" s="684">
        <f>IF(終値!A136="","",IF(AND(高値!O136&gt;高値!N136,高値!O136&gt;高値!M136,高値!O136&gt;高値!P136,高値!O136&gt;高値!Q136),10,""))</f>
      </c>
      <c r="AL136" s="684">
        <f>IF(終値!A136="","",IF(AND(高値!P136&gt;高値!O136,高値!P136&gt;高値!N136,高値!P136&gt;高値!Q136,高値!P136&gt;高値!R136),11,""))</f>
      </c>
      <c r="AM136" s="684">
        <f>IF(終値!A136="","",IF(AND(高値!Q136&gt;高値!P136,高値!Q136&gt;高値!O136,高値!Q136&gt;高値!R136,高値!Q136&gt;高値!S136),12,""))</f>
      </c>
      <c r="AN136" s="684">
        <f>IF(終値!A136="","",IF(AND(高値!R136&gt;高値!Q136,高値!R136&gt;高値!P136,高値!R136&gt;高値!S136,高値!R136&gt;高値!T136),13,""))</f>
      </c>
      <c r="AO136" s="684">
        <f>IF(終値!A136="","",IF(AND(高値!S136&gt;高値!R136,高値!S136&gt;高値!Q136,高値!S136&gt;高値!T136,高値!S136&gt;高値!U136),14,""))</f>
      </c>
      <c r="AP136" s="684">
        <f>IF(終値!A136="","",IF(AND(高値!T136&gt;高値!S136,高値!T136&gt;高値!R136,高値!T136&gt;高値!U136,高値!T136&gt;高値!V136),15,""))</f>
      </c>
      <c r="AQ136" s="684">
        <f>IF(終値!A136="","",IF(AND(高値!U136&gt;高値!T136,高値!U136&gt;高値!S136,高値!U136&gt;高値!V136,高値!U136&gt;高値!W136),16,""))</f>
      </c>
      <c r="AR136" s="684">
        <f>IF(終値!A136="","",IF(AND(高値!V136&gt;高値!U136,高値!V136&gt;高値!T136,高値!V136&gt;高値!W136,高値!V136&gt;高値!X136),17,""))</f>
      </c>
      <c r="AS136" s="684">
        <f>IF(終値!A136="","",IF(AND(高値!W136&gt;高値!V136,高値!W136&gt;高値!U136,高値!W136&gt;高値!X136,高値!W136&gt;高値!Y136),18,""))</f>
      </c>
      <c r="AT136" s="684">
        <f>IF(終値!A136="","",IF(AND(高値!X136&gt;高値!W136,高値!X136&gt;高値!V136,高値!X136&gt;高値!Y136,高値!X136&gt;高値!Z136),19,""))</f>
      </c>
      <c r="AU136" s="684">
        <f>IF(終値!A136="","",IF(AND(高値!Y136&gt;高値!X136,高値!Y136&gt;高値!W136,高値!Y136&gt;高値!Z136,高値!Y136&gt;高値!AA136),20,""))</f>
      </c>
      <c r="AV136" s="684">
        <f>IF(終値!A136="","",IF(AND(高値!Z136&gt;高値!Y136,高値!Z136&gt;高値!X136,高値!Z136&gt;高値!AA136,高値!Z136&gt;高値!AB136),21,""))</f>
      </c>
      <c r="AW136" s="684">
        <f>IF(終値!A136="","",IF(AND(高値!AA136&gt;高値!Z136,高値!AA136&gt;高値!Y136,高値!AA136&gt;高値!AB136,高値!AA136&gt;高値!AC136),22,""))</f>
      </c>
      <c r="AX136" s="684">
        <f>IF(終値!A136="","",IF(AND(高値!AB136&gt;高値!AA136,高値!AB136&gt;高値!Z136,高値!AB136&gt;高値!AC136,高値!AB136&gt;高値!AD136),23,""))</f>
      </c>
      <c r="AY136" s="684">
        <f>IF(終値!A136="","",IF(AND(高値!AC136&gt;高値!AB136,高値!AC136&gt;高値!AA136,高値!AC136&gt;高値!AD136,高値!AC136&gt;高値!AE136),24,""))</f>
      </c>
      <c r="AZ136" s="684">
        <f>IF(終値!A136="","",IF(AND(高値!AD136&gt;高値!AC136,高値!AD136&gt;高値!AB136,高値!AD136&gt;高値!AE136,高値!AD136&gt;高値!AF136),25,""))</f>
      </c>
      <c r="BA136" s="684">
        <f>IF(終値!A136="","",IF(AND(高値!AE136&gt;高値!AD136,高値!AE136&gt;高値!AC136,高値!AE136&gt;高値!AF136,高値!AE136&gt;高値!AG136),26,""))</f>
      </c>
      <c r="BB136" s="684">
        <f>IF(終値!A136="","",IF(AND(高値!AF136&gt;高値!AE136,高値!AF136&gt;高値!AD136,高値!AF136&gt;高値!AG136,高値!AF136&gt;高値!AH136),27,""))</f>
      </c>
      <c r="BC136" s="684">
        <f>IF(終値!A136="","",IF(AND(高値!AG136&gt;高値!AF136,高値!AG136&gt;高値!AE136,高値!AG136&gt;高値!AH136,高値!AG136&gt;高値!AI136),28,""))</f>
      </c>
      <c r="BD136" s="684">
        <f>COUNT($B136:$AB136)</f>
      </c>
      <c r="BE136" s="684">
        <f>IF($BD136&gt;=2,MIN($B136:$AB136),"")</f>
      </c>
      <c r="BF136" s="684">
        <f>IF($BD136&gt;=2,SMALL($B136:$AB136,2),"")</f>
      </c>
      <c r="BG136" s="684">
        <f>IF($BE136="","",INDEX(安値!$E136:$CZ136,1,$BE136+1))</f>
      </c>
      <c r="BH136" s="684">
        <f>IF($BF136="","",INDEX(安値!$E136:$CZ136,1,$BF136+1))</f>
      </c>
      <c r="BI136" s="684">
        <f>IF($BF136="","",MAX(INDEX(高値!$E136:$CZ136,1,$BE136+1):INDEX(高値!$E136:$CZ136,1,$BF136+1)))</f>
      </c>
      <c r="BJ136" s="684">
        <f>IF($BF136="","",AVERAGE(INDEX(終値!$E136:$CZ136,1,$BF136+1):INDEX(終値!$E136:$CZ136,1,$BF136+20))-2*STDEVP(INDEX(終値!$E136:$CZ136,1,$BF136+1):INDEX(終値!$E136:$CZ136,1,$BF136+20)))</f>
      </c>
      <c r="BK136" s="684">
        <f>IF($BE136="","",AVERAGE(INDEX(終値!$E136:$CZ136,1,$BE136+1):INDEX(終値!$E136:$CZ136,1,$BE136+20))-2*STDEVP(INDEX(終値!$E136:$CZ136,1,$BE136+1):INDEX(終値!$E136:$CZ136,1,$BE136+20)))</f>
      </c>
      <c r="BL136" s="684">
        <f>COUNT($AC136:$BC136)</f>
      </c>
      <c r="BM136" s="684">
        <f>IF($BL136&gt;=2,MIN($AC136:$BC136),"")</f>
      </c>
      <c r="BN136" s="684">
        <f>IF($BL136&gt;=2,SMALL($AC136:$BC136,2),"")</f>
      </c>
      <c r="BO136" s="684">
        <f>IF($BM136="","",INDEX(高値!$E136:$CZ136,1,$BM136+1))</f>
      </c>
      <c r="BP136" s="684">
        <f>IF($BN136="","",INDEX(高値!$E136:$CZ136,1,$BN136+1))</f>
      </c>
      <c r="BQ136" s="684">
        <f>IF($BN136="","",MIN(INDEX(安値!$E136:$CZ136,1,$BM136+1):INDEX(安値!$E136:$CZ136,1,$BN136+1)))</f>
      </c>
      <c r="BR136" s="684">
        <f>IF($BN136="","",AVERAGE(INDEX(終値!$E136:$CZ136,1,$BN136+1):INDEX(終値!$E136:$CZ136,1,$BN136+20))+2*STDEVP(INDEX(終値!$E136:$CZ136,1,$BN136+1):INDEX(終値!$E136:$CZ136,1,$BN136+20)))</f>
      </c>
      <c r="BS136" s="684">
        <f>IF($BM136="","",AVERAGE(INDEX(終値!$E136:$CZ136,1,$BM136+1):INDEX(終値!$E136:$CZ136,1,$BM136+20))+2*STDEVP(INDEX(終値!$E136:$CZ136,1,$BM136+1):INDEX(終値!$E136:$CZ136,1,$BM136+20)))</f>
      </c>
      <c r="BT136" s="681">
        <f>IFERROR(IF(AND($BD136&gt;=2,ABS($BG136-$BH136)/$BH136&lt;=BB設定!$B$12,$BI136&gt;=MAX($BH136,$BG136)*(1+BB設定!$B$13),終値!E136&gt;$BG136),IF(OR(終値!E136&gt;=$BI136,AND($BH136&lt;$BJ136,$BG136&gt;=$BK136)),"二番底W▲","二番底W形成"),IF(AND($BL136&gt;=2,ABS($BO136-$BP136)/$BP136&lt;=BB設定!$B$12,$BQ136&lt;=MIN($BP136,$BO136)*(1-BB設定!$B$13),終値!E136&lt;$BO136),IF(OR(終値!E136&lt;=$BQ136,AND($BP136&gt;$BR136,$BO136&lt;=$BS136)),"二番天井M▼","二番天井M形成"),"－")),"－")</f>
      </c>
    </row>
    <row r="137">
      <c r="B137" s="684">
        <f>IF(終値!A137="","",IF(AND(安値!G137&lt;安値!F137,安値!G137&lt;安値!E137,安値!G137&lt;安値!H137,安値!G137&lt;安値!I137),2,""))</f>
      </c>
      <c r="C137" s="684">
        <f>IF(終値!A137="","",IF(AND(安値!H137&lt;安値!G137,安値!H137&lt;安値!F137,安値!H137&lt;安値!I137,安値!H137&lt;安値!J137),3,""))</f>
      </c>
      <c r="D137" s="684">
        <f>IF(終値!A137="","",IF(AND(安値!I137&lt;安値!H137,安値!I137&lt;安値!G137,安値!I137&lt;安値!J137,安値!I137&lt;安値!K137),4,""))</f>
      </c>
      <c r="E137" s="684">
        <f>IF(終値!A137="","",IF(AND(安値!J137&lt;安値!I137,安値!J137&lt;安値!H137,安値!J137&lt;安値!K137,安値!J137&lt;安値!L137),5,""))</f>
      </c>
      <c r="F137" s="684">
        <f>IF(終値!A137="","",IF(AND(安値!K137&lt;安値!J137,安値!K137&lt;安値!I137,安値!K137&lt;安値!L137,安値!K137&lt;安値!M137),6,""))</f>
      </c>
      <c r="G137" s="684">
        <f>IF(終値!A137="","",IF(AND(安値!L137&lt;安値!K137,安値!L137&lt;安値!J137,安値!L137&lt;安値!M137,安値!L137&lt;安値!N137),7,""))</f>
      </c>
      <c r="H137" s="684">
        <f>IF(終値!A137="","",IF(AND(安値!M137&lt;安値!L137,安値!M137&lt;安値!K137,安値!M137&lt;安値!N137,安値!M137&lt;安値!O137),8,""))</f>
      </c>
      <c r="I137" s="684">
        <f>IF(終値!A137="","",IF(AND(安値!N137&lt;安値!M137,安値!N137&lt;安値!L137,安値!N137&lt;安値!O137,安値!N137&lt;安値!P137),9,""))</f>
      </c>
      <c r="J137" s="684">
        <f>IF(終値!A137="","",IF(AND(安値!O137&lt;安値!N137,安値!O137&lt;安値!M137,安値!O137&lt;安値!P137,安値!O137&lt;安値!Q137),10,""))</f>
      </c>
      <c r="K137" s="684">
        <f>IF(終値!A137="","",IF(AND(安値!P137&lt;安値!O137,安値!P137&lt;安値!N137,安値!P137&lt;安値!Q137,安値!P137&lt;安値!R137),11,""))</f>
      </c>
      <c r="L137" s="684">
        <f>IF(終値!A137="","",IF(AND(安値!Q137&lt;安値!P137,安値!Q137&lt;安値!O137,安値!Q137&lt;安値!R137,安値!Q137&lt;安値!S137),12,""))</f>
      </c>
      <c r="M137" s="684">
        <f>IF(終値!A137="","",IF(AND(安値!R137&lt;安値!Q137,安値!R137&lt;安値!P137,安値!R137&lt;安値!S137,安値!R137&lt;安値!T137),13,""))</f>
      </c>
      <c r="N137" s="684">
        <f>IF(終値!A137="","",IF(AND(安値!S137&lt;安値!R137,安値!S137&lt;安値!Q137,安値!S137&lt;安値!T137,安値!S137&lt;安値!U137),14,""))</f>
      </c>
      <c r="O137" s="684">
        <f>IF(終値!A137="","",IF(AND(安値!T137&lt;安値!S137,安値!T137&lt;安値!R137,安値!T137&lt;安値!U137,安値!T137&lt;安値!V137),15,""))</f>
      </c>
      <c r="P137" s="684">
        <f>IF(終値!A137="","",IF(AND(安値!U137&lt;安値!T137,安値!U137&lt;安値!S137,安値!U137&lt;安値!V137,安値!U137&lt;安値!W137),16,""))</f>
      </c>
      <c r="Q137" s="684">
        <f>IF(終値!A137="","",IF(AND(安値!V137&lt;安値!U137,安値!V137&lt;安値!T137,安値!V137&lt;安値!W137,安値!V137&lt;安値!X137),17,""))</f>
      </c>
      <c r="R137" s="684">
        <f>IF(終値!A137="","",IF(AND(安値!W137&lt;安値!V137,安値!W137&lt;安値!U137,安値!W137&lt;安値!X137,安値!W137&lt;安値!Y137),18,""))</f>
      </c>
      <c r="S137" s="684">
        <f>IF(終値!A137="","",IF(AND(安値!X137&lt;安値!W137,安値!X137&lt;安値!V137,安値!X137&lt;安値!Y137,安値!X137&lt;安値!Z137),19,""))</f>
      </c>
      <c r="T137" s="684">
        <f>IF(終値!A137="","",IF(AND(安値!Y137&lt;安値!X137,安値!Y137&lt;安値!W137,安値!Y137&lt;安値!Z137,安値!Y137&lt;安値!AA137),20,""))</f>
      </c>
      <c r="U137" s="684">
        <f>IF(終値!A137="","",IF(AND(安値!Z137&lt;安値!Y137,安値!Z137&lt;安値!X137,安値!Z137&lt;安値!AA137,安値!Z137&lt;安値!AB137),21,""))</f>
      </c>
      <c r="V137" s="684">
        <f>IF(終値!A137="","",IF(AND(安値!AA137&lt;安値!Z137,安値!AA137&lt;安値!Y137,安値!AA137&lt;安値!AB137,安値!AA137&lt;安値!AC137),22,""))</f>
      </c>
      <c r="W137" s="684">
        <f>IF(終値!A137="","",IF(AND(安値!AB137&lt;安値!AA137,安値!AB137&lt;安値!Z137,安値!AB137&lt;安値!AC137,安値!AB137&lt;安値!AD137),23,""))</f>
      </c>
      <c r="X137" s="684">
        <f>IF(終値!A137="","",IF(AND(安値!AC137&lt;安値!AB137,安値!AC137&lt;安値!AA137,安値!AC137&lt;安値!AD137,安値!AC137&lt;安値!AE137),24,""))</f>
      </c>
      <c r="Y137" s="684">
        <f>IF(終値!A137="","",IF(AND(安値!AD137&lt;安値!AC137,安値!AD137&lt;安値!AB137,安値!AD137&lt;安値!AE137,安値!AD137&lt;安値!AF137),25,""))</f>
      </c>
      <c r="Z137" s="684">
        <f>IF(終値!A137="","",IF(AND(安値!AE137&lt;安値!AD137,安値!AE137&lt;安値!AC137,安値!AE137&lt;安値!AF137,安値!AE137&lt;安値!AG137),26,""))</f>
      </c>
      <c r="AA137" s="684">
        <f>IF(終値!A137="","",IF(AND(安値!AF137&lt;安値!AE137,安値!AF137&lt;安値!AD137,安値!AF137&lt;安値!AG137,安値!AF137&lt;安値!AH137),27,""))</f>
      </c>
      <c r="AB137" s="684">
        <f>IF(終値!A137="","",IF(AND(安値!AG137&lt;安値!AF137,安値!AG137&lt;安値!AE137,安値!AG137&lt;安値!AH137,安値!AG137&lt;安値!AI137),28,""))</f>
      </c>
      <c r="AC137" s="684">
        <f>IF(終値!A137="","",IF(AND(高値!G137&gt;高値!F137,高値!G137&gt;高値!E137,高値!G137&gt;高値!H137,高値!G137&gt;高値!I137),2,""))</f>
      </c>
      <c r="AD137" s="684">
        <f>IF(終値!A137="","",IF(AND(高値!H137&gt;高値!G137,高値!H137&gt;高値!F137,高値!H137&gt;高値!I137,高値!H137&gt;高値!J137),3,""))</f>
      </c>
      <c r="AE137" s="684">
        <f>IF(終値!A137="","",IF(AND(高値!I137&gt;高値!H137,高値!I137&gt;高値!G137,高値!I137&gt;高値!J137,高値!I137&gt;高値!K137),4,""))</f>
      </c>
      <c r="AF137" s="684">
        <f>IF(終値!A137="","",IF(AND(高値!J137&gt;高値!I137,高値!J137&gt;高値!H137,高値!J137&gt;高値!K137,高値!J137&gt;高値!L137),5,""))</f>
      </c>
      <c r="AG137" s="684">
        <f>IF(終値!A137="","",IF(AND(高値!K137&gt;高値!J137,高値!K137&gt;高値!I137,高値!K137&gt;高値!L137,高値!K137&gt;高値!M137),6,""))</f>
      </c>
      <c r="AH137" s="684">
        <f>IF(終値!A137="","",IF(AND(高値!L137&gt;高値!K137,高値!L137&gt;高値!J137,高値!L137&gt;高値!M137,高値!L137&gt;高値!N137),7,""))</f>
      </c>
      <c r="AI137" s="684">
        <f>IF(終値!A137="","",IF(AND(高値!M137&gt;高値!L137,高値!M137&gt;高値!K137,高値!M137&gt;高値!N137,高値!M137&gt;高値!O137),8,""))</f>
      </c>
      <c r="AJ137" s="684">
        <f>IF(終値!A137="","",IF(AND(高値!N137&gt;高値!M137,高値!N137&gt;高値!L137,高値!N137&gt;高値!O137,高値!N137&gt;高値!P137),9,""))</f>
      </c>
      <c r="AK137" s="684">
        <f>IF(終値!A137="","",IF(AND(高値!O137&gt;高値!N137,高値!O137&gt;高値!M137,高値!O137&gt;高値!P137,高値!O137&gt;高値!Q137),10,""))</f>
      </c>
      <c r="AL137" s="684">
        <f>IF(終値!A137="","",IF(AND(高値!P137&gt;高値!O137,高値!P137&gt;高値!N137,高値!P137&gt;高値!Q137,高値!P137&gt;高値!R137),11,""))</f>
      </c>
      <c r="AM137" s="684">
        <f>IF(終値!A137="","",IF(AND(高値!Q137&gt;高値!P137,高値!Q137&gt;高値!O137,高値!Q137&gt;高値!R137,高値!Q137&gt;高値!S137),12,""))</f>
      </c>
      <c r="AN137" s="684">
        <f>IF(終値!A137="","",IF(AND(高値!R137&gt;高値!Q137,高値!R137&gt;高値!P137,高値!R137&gt;高値!S137,高値!R137&gt;高値!T137),13,""))</f>
      </c>
      <c r="AO137" s="684">
        <f>IF(終値!A137="","",IF(AND(高値!S137&gt;高値!R137,高値!S137&gt;高値!Q137,高値!S137&gt;高値!T137,高値!S137&gt;高値!U137),14,""))</f>
      </c>
      <c r="AP137" s="684">
        <f>IF(終値!A137="","",IF(AND(高値!T137&gt;高値!S137,高値!T137&gt;高値!R137,高値!T137&gt;高値!U137,高値!T137&gt;高値!V137),15,""))</f>
      </c>
      <c r="AQ137" s="684">
        <f>IF(終値!A137="","",IF(AND(高値!U137&gt;高値!T137,高値!U137&gt;高値!S137,高値!U137&gt;高値!V137,高値!U137&gt;高値!W137),16,""))</f>
      </c>
      <c r="AR137" s="684">
        <f>IF(終値!A137="","",IF(AND(高値!V137&gt;高値!U137,高値!V137&gt;高値!T137,高値!V137&gt;高値!W137,高値!V137&gt;高値!X137),17,""))</f>
      </c>
      <c r="AS137" s="684">
        <f>IF(終値!A137="","",IF(AND(高値!W137&gt;高値!V137,高値!W137&gt;高値!U137,高値!W137&gt;高値!X137,高値!W137&gt;高値!Y137),18,""))</f>
      </c>
      <c r="AT137" s="684">
        <f>IF(終値!A137="","",IF(AND(高値!X137&gt;高値!W137,高値!X137&gt;高値!V137,高値!X137&gt;高値!Y137,高値!X137&gt;高値!Z137),19,""))</f>
      </c>
      <c r="AU137" s="684">
        <f>IF(終値!A137="","",IF(AND(高値!Y137&gt;高値!X137,高値!Y137&gt;高値!W137,高値!Y137&gt;高値!Z137,高値!Y137&gt;高値!AA137),20,""))</f>
      </c>
      <c r="AV137" s="684">
        <f>IF(終値!A137="","",IF(AND(高値!Z137&gt;高値!Y137,高値!Z137&gt;高値!X137,高値!Z137&gt;高値!AA137,高値!Z137&gt;高値!AB137),21,""))</f>
      </c>
      <c r="AW137" s="684">
        <f>IF(終値!A137="","",IF(AND(高値!AA137&gt;高値!Z137,高値!AA137&gt;高値!Y137,高値!AA137&gt;高値!AB137,高値!AA137&gt;高値!AC137),22,""))</f>
      </c>
      <c r="AX137" s="684">
        <f>IF(終値!A137="","",IF(AND(高値!AB137&gt;高値!AA137,高値!AB137&gt;高値!Z137,高値!AB137&gt;高値!AC137,高値!AB137&gt;高値!AD137),23,""))</f>
      </c>
      <c r="AY137" s="684">
        <f>IF(終値!A137="","",IF(AND(高値!AC137&gt;高値!AB137,高値!AC137&gt;高値!AA137,高値!AC137&gt;高値!AD137,高値!AC137&gt;高値!AE137),24,""))</f>
      </c>
      <c r="AZ137" s="684">
        <f>IF(終値!A137="","",IF(AND(高値!AD137&gt;高値!AC137,高値!AD137&gt;高値!AB137,高値!AD137&gt;高値!AE137,高値!AD137&gt;高値!AF137),25,""))</f>
      </c>
      <c r="BA137" s="684">
        <f>IF(終値!A137="","",IF(AND(高値!AE137&gt;高値!AD137,高値!AE137&gt;高値!AC137,高値!AE137&gt;高値!AF137,高値!AE137&gt;高値!AG137),26,""))</f>
      </c>
      <c r="BB137" s="684">
        <f>IF(終値!A137="","",IF(AND(高値!AF137&gt;高値!AE137,高値!AF137&gt;高値!AD137,高値!AF137&gt;高値!AG137,高値!AF137&gt;高値!AH137),27,""))</f>
      </c>
      <c r="BC137" s="684">
        <f>IF(終値!A137="","",IF(AND(高値!AG137&gt;高値!AF137,高値!AG137&gt;高値!AE137,高値!AG137&gt;高値!AH137,高値!AG137&gt;高値!AI137),28,""))</f>
      </c>
      <c r="BD137" s="684">
        <f>COUNT($B137:$AB137)</f>
      </c>
      <c r="BE137" s="684">
        <f>IF($BD137&gt;=2,MIN($B137:$AB137),"")</f>
      </c>
      <c r="BF137" s="684">
        <f>IF($BD137&gt;=2,SMALL($B137:$AB137,2),"")</f>
      </c>
      <c r="BG137" s="684">
        <f>IF($BE137="","",INDEX(安値!$E137:$CZ137,1,$BE137+1))</f>
      </c>
      <c r="BH137" s="684">
        <f>IF($BF137="","",INDEX(安値!$E137:$CZ137,1,$BF137+1))</f>
      </c>
      <c r="BI137" s="684">
        <f>IF($BF137="","",MAX(INDEX(高値!$E137:$CZ137,1,$BE137+1):INDEX(高値!$E137:$CZ137,1,$BF137+1)))</f>
      </c>
      <c r="BJ137" s="684">
        <f>IF($BF137="","",AVERAGE(INDEX(終値!$E137:$CZ137,1,$BF137+1):INDEX(終値!$E137:$CZ137,1,$BF137+20))-2*STDEVP(INDEX(終値!$E137:$CZ137,1,$BF137+1):INDEX(終値!$E137:$CZ137,1,$BF137+20)))</f>
      </c>
      <c r="BK137" s="684">
        <f>IF($BE137="","",AVERAGE(INDEX(終値!$E137:$CZ137,1,$BE137+1):INDEX(終値!$E137:$CZ137,1,$BE137+20))-2*STDEVP(INDEX(終値!$E137:$CZ137,1,$BE137+1):INDEX(終値!$E137:$CZ137,1,$BE137+20)))</f>
      </c>
      <c r="BL137" s="684">
        <f>COUNT($AC137:$BC137)</f>
      </c>
      <c r="BM137" s="684">
        <f>IF($BL137&gt;=2,MIN($AC137:$BC137),"")</f>
      </c>
      <c r="BN137" s="684">
        <f>IF($BL137&gt;=2,SMALL($AC137:$BC137,2),"")</f>
      </c>
      <c r="BO137" s="684">
        <f>IF($BM137="","",INDEX(高値!$E137:$CZ137,1,$BM137+1))</f>
      </c>
      <c r="BP137" s="684">
        <f>IF($BN137="","",INDEX(高値!$E137:$CZ137,1,$BN137+1))</f>
      </c>
      <c r="BQ137" s="684">
        <f>IF($BN137="","",MIN(INDEX(安値!$E137:$CZ137,1,$BM137+1):INDEX(安値!$E137:$CZ137,1,$BN137+1)))</f>
      </c>
      <c r="BR137" s="684">
        <f>IF($BN137="","",AVERAGE(INDEX(終値!$E137:$CZ137,1,$BN137+1):INDEX(終値!$E137:$CZ137,1,$BN137+20))+2*STDEVP(INDEX(終値!$E137:$CZ137,1,$BN137+1):INDEX(終値!$E137:$CZ137,1,$BN137+20)))</f>
      </c>
      <c r="BS137" s="684">
        <f>IF($BM137="","",AVERAGE(INDEX(終値!$E137:$CZ137,1,$BM137+1):INDEX(終値!$E137:$CZ137,1,$BM137+20))+2*STDEVP(INDEX(終値!$E137:$CZ137,1,$BM137+1):INDEX(終値!$E137:$CZ137,1,$BM137+20)))</f>
      </c>
      <c r="BT137" s="681">
        <f>IFERROR(IF(AND($BD137&gt;=2,ABS($BG137-$BH137)/$BH137&lt;=BB設定!$B$12,$BI137&gt;=MAX($BH137,$BG137)*(1+BB設定!$B$13),終値!E137&gt;$BG137),IF(OR(終値!E137&gt;=$BI137,AND($BH137&lt;$BJ137,$BG137&gt;=$BK137)),"二番底W▲","二番底W形成"),IF(AND($BL137&gt;=2,ABS($BO137-$BP137)/$BP137&lt;=BB設定!$B$12,$BQ137&lt;=MIN($BP137,$BO137)*(1-BB設定!$B$13),終値!E137&lt;$BO137),IF(OR(終値!E137&lt;=$BQ137,AND($BP137&gt;$BR137,$BO137&lt;=$BS137)),"二番天井M▼","二番天井M形成"),"－")),"－")</f>
      </c>
    </row>
    <row r="138">
      <c r="B138" s="684">
        <f>IF(終値!A138="","",IF(AND(安値!G138&lt;安値!F138,安値!G138&lt;安値!E138,安値!G138&lt;安値!H138,安値!G138&lt;安値!I138),2,""))</f>
      </c>
      <c r="C138" s="684">
        <f>IF(終値!A138="","",IF(AND(安値!H138&lt;安値!G138,安値!H138&lt;安値!F138,安値!H138&lt;安値!I138,安値!H138&lt;安値!J138),3,""))</f>
      </c>
      <c r="D138" s="684">
        <f>IF(終値!A138="","",IF(AND(安値!I138&lt;安値!H138,安値!I138&lt;安値!G138,安値!I138&lt;安値!J138,安値!I138&lt;安値!K138),4,""))</f>
      </c>
      <c r="E138" s="684">
        <f>IF(終値!A138="","",IF(AND(安値!J138&lt;安値!I138,安値!J138&lt;安値!H138,安値!J138&lt;安値!K138,安値!J138&lt;安値!L138),5,""))</f>
      </c>
      <c r="F138" s="684">
        <f>IF(終値!A138="","",IF(AND(安値!K138&lt;安値!J138,安値!K138&lt;安値!I138,安値!K138&lt;安値!L138,安値!K138&lt;安値!M138),6,""))</f>
      </c>
      <c r="G138" s="684">
        <f>IF(終値!A138="","",IF(AND(安値!L138&lt;安値!K138,安値!L138&lt;安値!J138,安値!L138&lt;安値!M138,安値!L138&lt;安値!N138),7,""))</f>
      </c>
      <c r="H138" s="684">
        <f>IF(終値!A138="","",IF(AND(安値!M138&lt;安値!L138,安値!M138&lt;安値!K138,安値!M138&lt;安値!N138,安値!M138&lt;安値!O138),8,""))</f>
      </c>
      <c r="I138" s="684">
        <f>IF(終値!A138="","",IF(AND(安値!N138&lt;安値!M138,安値!N138&lt;安値!L138,安値!N138&lt;安値!O138,安値!N138&lt;安値!P138),9,""))</f>
      </c>
      <c r="J138" s="684">
        <f>IF(終値!A138="","",IF(AND(安値!O138&lt;安値!N138,安値!O138&lt;安値!M138,安値!O138&lt;安値!P138,安値!O138&lt;安値!Q138),10,""))</f>
      </c>
      <c r="K138" s="684">
        <f>IF(終値!A138="","",IF(AND(安値!P138&lt;安値!O138,安値!P138&lt;安値!N138,安値!P138&lt;安値!Q138,安値!P138&lt;安値!R138),11,""))</f>
      </c>
      <c r="L138" s="684">
        <f>IF(終値!A138="","",IF(AND(安値!Q138&lt;安値!P138,安値!Q138&lt;安値!O138,安値!Q138&lt;安値!R138,安値!Q138&lt;安値!S138),12,""))</f>
      </c>
      <c r="M138" s="684">
        <f>IF(終値!A138="","",IF(AND(安値!R138&lt;安値!Q138,安値!R138&lt;安値!P138,安値!R138&lt;安値!S138,安値!R138&lt;安値!T138),13,""))</f>
      </c>
      <c r="N138" s="684">
        <f>IF(終値!A138="","",IF(AND(安値!S138&lt;安値!R138,安値!S138&lt;安値!Q138,安値!S138&lt;安値!T138,安値!S138&lt;安値!U138),14,""))</f>
      </c>
      <c r="O138" s="684">
        <f>IF(終値!A138="","",IF(AND(安値!T138&lt;安値!S138,安値!T138&lt;安値!R138,安値!T138&lt;安値!U138,安値!T138&lt;安値!V138),15,""))</f>
      </c>
      <c r="P138" s="684">
        <f>IF(終値!A138="","",IF(AND(安値!U138&lt;安値!T138,安値!U138&lt;安値!S138,安値!U138&lt;安値!V138,安値!U138&lt;安値!W138),16,""))</f>
      </c>
      <c r="Q138" s="684">
        <f>IF(終値!A138="","",IF(AND(安値!V138&lt;安値!U138,安値!V138&lt;安値!T138,安値!V138&lt;安値!W138,安値!V138&lt;安値!X138),17,""))</f>
      </c>
      <c r="R138" s="684">
        <f>IF(終値!A138="","",IF(AND(安値!W138&lt;安値!V138,安値!W138&lt;安値!U138,安値!W138&lt;安値!X138,安値!W138&lt;安値!Y138),18,""))</f>
      </c>
      <c r="S138" s="684">
        <f>IF(終値!A138="","",IF(AND(安値!X138&lt;安値!W138,安値!X138&lt;安値!V138,安値!X138&lt;安値!Y138,安値!X138&lt;安値!Z138),19,""))</f>
      </c>
      <c r="T138" s="684">
        <f>IF(終値!A138="","",IF(AND(安値!Y138&lt;安値!X138,安値!Y138&lt;安値!W138,安値!Y138&lt;安値!Z138,安値!Y138&lt;安値!AA138),20,""))</f>
      </c>
      <c r="U138" s="684">
        <f>IF(終値!A138="","",IF(AND(安値!Z138&lt;安値!Y138,安値!Z138&lt;安値!X138,安値!Z138&lt;安値!AA138,安値!Z138&lt;安値!AB138),21,""))</f>
      </c>
      <c r="V138" s="684">
        <f>IF(終値!A138="","",IF(AND(安値!AA138&lt;安値!Z138,安値!AA138&lt;安値!Y138,安値!AA138&lt;安値!AB138,安値!AA138&lt;安値!AC138),22,""))</f>
      </c>
      <c r="W138" s="684">
        <f>IF(終値!A138="","",IF(AND(安値!AB138&lt;安値!AA138,安値!AB138&lt;安値!Z138,安値!AB138&lt;安値!AC138,安値!AB138&lt;安値!AD138),23,""))</f>
      </c>
      <c r="X138" s="684">
        <f>IF(終値!A138="","",IF(AND(安値!AC138&lt;安値!AB138,安値!AC138&lt;安値!AA138,安値!AC138&lt;安値!AD138,安値!AC138&lt;安値!AE138),24,""))</f>
      </c>
      <c r="Y138" s="684">
        <f>IF(終値!A138="","",IF(AND(安値!AD138&lt;安値!AC138,安値!AD138&lt;安値!AB138,安値!AD138&lt;安値!AE138,安値!AD138&lt;安値!AF138),25,""))</f>
      </c>
      <c r="Z138" s="684">
        <f>IF(終値!A138="","",IF(AND(安値!AE138&lt;安値!AD138,安値!AE138&lt;安値!AC138,安値!AE138&lt;安値!AF138,安値!AE138&lt;安値!AG138),26,""))</f>
      </c>
      <c r="AA138" s="684">
        <f>IF(終値!A138="","",IF(AND(安値!AF138&lt;安値!AE138,安値!AF138&lt;安値!AD138,安値!AF138&lt;安値!AG138,安値!AF138&lt;安値!AH138),27,""))</f>
      </c>
      <c r="AB138" s="684">
        <f>IF(終値!A138="","",IF(AND(安値!AG138&lt;安値!AF138,安値!AG138&lt;安値!AE138,安値!AG138&lt;安値!AH138,安値!AG138&lt;安値!AI138),28,""))</f>
      </c>
      <c r="AC138" s="684">
        <f>IF(終値!A138="","",IF(AND(高値!G138&gt;高値!F138,高値!G138&gt;高値!E138,高値!G138&gt;高値!H138,高値!G138&gt;高値!I138),2,""))</f>
      </c>
      <c r="AD138" s="684">
        <f>IF(終値!A138="","",IF(AND(高値!H138&gt;高値!G138,高値!H138&gt;高値!F138,高値!H138&gt;高値!I138,高値!H138&gt;高値!J138),3,""))</f>
      </c>
      <c r="AE138" s="684">
        <f>IF(終値!A138="","",IF(AND(高値!I138&gt;高値!H138,高値!I138&gt;高値!G138,高値!I138&gt;高値!J138,高値!I138&gt;高値!K138),4,""))</f>
      </c>
      <c r="AF138" s="684">
        <f>IF(終値!A138="","",IF(AND(高値!J138&gt;高値!I138,高値!J138&gt;高値!H138,高値!J138&gt;高値!K138,高値!J138&gt;高値!L138),5,""))</f>
      </c>
      <c r="AG138" s="684">
        <f>IF(終値!A138="","",IF(AND(高値!K138&gt;高値!J138,高値!K138&gt;高値!I138,高値!K138&gt;高値!L138,高値!K138&gt;高値!M138),6,""))</f>
      </c>
      <c r="AH138" s="684">
        <f>IF(終値!A138="","",IF(AND(高値!L138&gt;高値!K138,高値!L138&gt;高値!J138,高値!L138&gt;高値!M138,高値!L138&gt;高値!N138),7,""))</f>
      </c>
      <c r="AI138" s="684">
        <f>IF(終値!A138="","",IF(AND(高値!M138&gt;高値!L138,高値!M138&gt;高値!K138,高値!M138&gt;高値!N138,高値!M138&gt;高値!O138),8,""))</f>
      </c>
      <c r="AJ138" s="684">
        <f>IF(終値!A138="","",IF(AND(高値!N138&gt;高値!M138,高値!N138&gt;高値!L138,高値!N138&gt;高値!O138,高値!N138&gt;高値!P138),9,""))</f>
      </c>
      <c r="AK138" s="684">
        <f>IF(終値!A138="","",IF(AND(高値!O138&gt;高値!N138,高値!O138&gt;高値!M138,高値!O138&gt;高値!P138,高値!O138&gt;高値!Q138),10,""))</f>
      </c>
      <c r="AL138" s="684">
        <f>IF(終値!A138="","",IF(AND(高値!P138&gt;高値!O138,高値!P138&gt;高値!N138,高値!P138&gt;高値!Q138,高値!P138&gt;高値!R138),11,""))</f>
      </c>
      <c r="AM138" s="684">
        <f>IF(終値!A138="","",IF(AND(高値!Q138&gt;高値!P138,高値!Q138&gt;高値!O138,高値!Q138&gt;高値!R138,高値!Q138&gt;高値!S138),12,""))</f>
      </c>
      <c r="AN138" s="684">
        <f>IF(終値!A138="","",IF(AND(高値!R138&gt;高値!Q138,高値!R138&gt;高値!P138,高値!R138&gt;高値!S138,高値!R138&gt;高値!T138),13,""))</f>
      </c>
      <c r="AO138" s="684">
        <f>IF(終値!A138="","",IF(AND(高値!S138&gt;高値!R138,高値!S138&gt;高値!Q138,高値!S138&gt;高値!T138,高値!S138&gt;高値!U138),14,""))</f>
      </c>
      <c r="AP138" s="684">
        <f>IF(終値!A138="","",IF(AND(高値!T138&gt;高値!S138,高値!T138&gt;高値!R138,高値!T138&gt;高値!U138,高値!T138&gt;高値!V138),15,""))</f>
      </c>
      <c r="AQ138" s="684">
        <f>IF(終値!A138="","",IF(AND(高値!U138&gt;高値!T138,高値!U138&gt;高値!S138,高値!U138&gt;高値!V138,高値!U138&gt;高値!W138),16,""))</f>
      </c>
      <c r="AR138" s="684">
        <f>IF(終値!A138="","",IF(AND(高値!V138&gt;高値!U138,高値!V138&gt;高値!T138,高値!V138&gt;高値!W138,高値!V138&gt;高値!X138),17,""))</f>
      </c>
      <c r="AS138" s="684">
        <f>IF(終値!A138="","",IF(AND(高値!W138&gt;高値!V138,高値!W138&gt;高値!U138,高値!W138&gt;高値!X138,高値!W138&gt;高値!Y138),18,""))</f>
      </c>
      <c r="AT138" s="684">
        <f>IF(終値!A138="","",IF(AND(高値!X138&gt;高値!W138,高値!X138&gt;高値!V138,高値!X138&gt;高値!Y138,高値!X138&gt;高値!Z138),19,""))</f>
      </c>
      <c r="AU138" s="684">
        <f>IF(終値!A138="","",IF(AND(高値!Y138&gt;高値!X138,高値!Y138&gt;高値!W138,高値!Y138&gt;高値!Z138,高値!Y138&gt;高値!AA138),20,""))</f>
      </c>
      <c r="AV138" s="684">
        <f>IF(終値!A138="","",IF(AND(高値!Z138&gt;高値!Y138,高値!Z138&gt;高値!X138,高値!Z138&gt;高値!AA138,高値!Z138&gt;高値!AB138),21,""))</f>
      </c>
      <c r="AW138" s="684">
        <f>IF(終値!A138="","",IF(AND(高値!AA138&gt;高値!Z138,高値!AA138&gt;高値!Y138,高値!AA138&gt;高値!AB138,高値!AA138&gt;高値!AC138),22,""))</f>
      </c>
      <c r="AX138" s="684">
        <f>IF(終値!A138="","",IF(AND(高値!AB138&gt;高値!AA138,高値!AB138&gt;高値!Z138,高値!AB138&gt;高値!AC138,高値!AB138&gt;高値!AD138),23,""))</f>
      </c>
      <c r="AY138" s="684">
        <f>IF(終値!A138="","",IF(AND(高値!AC138&gt;高値!AB138,高値!AC138&gt;高値!AA138,高値!AC138&gt;高値!AD138,高値!AC138&gt;高値!AE138),24,""))</f>
      </c>
      <c r="AZ138" s="684">
        <f>IF(終値!A138="","",IF(AND(高値!AD138&gt;高値!AC138,高値!AD138&gt;高値!AB138,高値!AD138&gt;高値!AE138,高値!AD138&gt;高値!AF138),25,""))</f>
      </c>
      <c r="BA138" s="684">
        <f>IF(終値!A138="","",IF(AND(高値!AE138&gt;高値!AD138,高値!AE138&gt;高値!AC138,高値!AE138&gt;高値!AF138,高値!AE138&gt;高値!AG138),26,""))</f>
      </c>
      <c r="BB138" s="684">
        <f>IF(終値!A138="","",IF(AND(高値!AF138&gt;高値!AE138,高値!AF138&gt;高値!AD138,高値!AF138&gt;高値!AG138,高値!AF138&gt;高値!AH138),27,""))</f>
      </c>
      <c r="BC138" s="684">
        <f>IF(終値!A138="","",IF(AND(高値!AG138&gt;高値!AF138,高値!AG138&gt;高値!AE138,高値!AG138&gt;高値!AH138,高値!AG138&gt;高値!AI138),28,""))</f>
      </c>
      <c r="BD138" s="684">
        <f>COUNT($B138:$AB138)</f>
      </c>
      <c r="BE138" s="684">
        <f>IF($BD138&gt;=2,MIN($B138:$AB138),"")</f>
      </c>
      <c r="BF138" s="684">
        <f>IF($BD138&gt;=2,SMALL($B138:$AB138,2),"")</f>
      </c>
      <c r="BG138" s="684">
        <f>IF($BE138="","",INDEX(安値!$E138:$CZ138,1,$BE138+1))</f>
      </c>
      <c r="BH138" s="684">
        <f>IF($BF138="","",INDEX(安値!$E138:$CZ138,1,$BF138+1))</f>
      </c>
      <c r="BI138" s="684">
        <f>IF($BF138="","",MAX(INDEX(高値!$E138:$CZ138,1,$BE138+1):INDEX(高値!$E138:$CZ138,1,$BF138+1)))</f>
      </c>
      <c r="BJ138" s="684">
        <f>IF($BF138="","",AVERAGE(INDEX(終値!$E138:$CZ138,1,$BF138+1):INDEX(終値!$E138:$CZ138,1,$BF138+20))-2*STDEVP(INDEX(終値!$E138:$CZ138,1,$BF138+1):INDEX(終値!$E138:$CZ138,1,$BF138+20)))</f>
      </c>
      <c r="BK138" s="684">
        <f>IF($BE138="","",AVERAGE(INDEX(終値!$E138:$CZ138,1,$BE138+1):INDEX(終値!$E138:$CZ138,1,$BE138+20))-2*STDEVP(INDEX(終値!$E138:$CZ138,1,$BE138+1):INDEX(終値!$E138:$CZ138,1,$BE138+20)))</f>
      </c>
      <c r="BL138" s="684">
        <f>COUNT($AC138:$BC138)</f>
      </c>
      <c r="BM138" s="684">
        <f>IF($BL138&gt;=2,MIN($AC138:$BC138),"")</f>
      </c>
      <c r="BN138" s="684">
        <f>IF($BL138&gt;=2,SMALL($AC138:$BC138,2),"")</f>
      </c>
      <c r="BO138" s="684">
        <f>IF($BM138="","",INDEX(高値!$E138:$CZ138,1,$BM138+1))</f>
      </c>
      <c r="BP138" s="684">
        <f>IF($BN138="","",INDEX(高値!$E138:$CZ138,1,$BN138+1))</f>
      </c>
      <c r="BQ138" s="684">
        <f>IF($BN138="","",MIN(INDEX(安値!$E138:$CZ138,1,$BM138+1):INDEX(安値!$E138:$CZ138,1,$BN138+1)))</f>
      </c>
      <c r="BR138" s="684">
        <f>IF($BN138="","",AVERAGE(INDEX(終値!$E138:$CZ138,1,$BN138+1):INDEX(終値!$E138:$CZ138,1,$BN138+20))+2*STDEVP(INDEX(終値!$E138:$CZ138,1,$BN138+1):INDEX(終値!$E138:$CZ138,1,$BN138+20)))</f>
      </c>
      <c r="BS138" s="684">
        <f>IF($BM138="","",AVERAGE(INDEX(終値!$E138:$CZ138,1,$BM138+1):INDEX(終値!$E138:$CZ138,1,$BM138+20))+2*STDEVP(INDEX(終値!$E138:$CZ138,1,$BM138+1):INDEX(終値!$E138:$CZ138,1,$BM138+20)))</f>
      </c>
      <c r="BT138" s="681">
        <f>IFERROR(IF(AND($BD138&gt;=2,ABS($BG138-$BH138)/$BH138&lt;=BB設定!$B$12,$BI138&gt;=MAX($BH138,$BG138)*(1+BB設定!$B$13),終値!E138&gt;$BG138),IF(OR(終値!E138&gt;=$BI138,AND($BH138&lt;$BJ138,$BG138&gt;=$BK138)),"二番底W▲","二番底W形成"),IF(AND($BL138&gt;=2,ABS($BO138-$BP138)/$BP138&lt;=BB設定!$B$12,$BQ138&lt;=MIN($BP138,$BO138)*(1-BB設定!$B$13),終値!E138&lt;$BO138),IF(OR(終値!E138&lt;=$BQ138,AND($BP138&gt;$BR138,$BO138&lt;=$BS138)),"二番天井M▼","二番天井M形成"),"－")),"－")</f>
      </c>
    </row>
    <row r="139">
      <c r="B139" s="684">
        <f>IF(終値!A139="","",IF(AND(安値!G139&lt;安値!F139,安値!G139&lt;安値!E139,安値!G139&lt;安値!H139,安値!G139&lt;安値!I139),2,""))</f>
      </c>
      <c r="C139" s="684">
        <f>IF(終値!A139="","",IF(AND(安値!H139&lt;安値!G139,安値!H139&lt;安値!F139,安値!H139&lt;安値!I139,安値!H139&lt;安値!J139),3,""))</f>
      </c>
      <c r="D139" s="684">
        <f>IF(終値!A139="","",IF(AND(安値!I139&lt;安値!H139,安値!I139&lt;安値!G139,安値!I139&lt;安値!J139,安値!I139&lt;安値!K139),4,""))</f>
      </c>
      <c r="E139" s="684">
        <f>IF(終値!A139="","",IF(AND(安値!J139&lt;安値!I139,安値!J139&lt;安値!H139,安値!J139&lt;安値!K139,安値!J139&lt;安値!L139),5,""))</f>
      </c>
      <c r="F139" s="684">
        <f>IF(終値!A139="","",IF(AND(安値!K139&lt;安値!J139,安値!K139&lt;安値!I139,安値!K139&lt;安値!L139,安値!K139&lt;安値!M139),6,""))</f>
      </c>
      <c r="G139" s="684">
        <f>IF(終値!A139="","",IF(AND(安値!L139&lt;安値!K139,安値!L139&lt;安値!J139,安値!L139&lt;安値!M139,安値!L139&lt;安値!N139),7,""))</f>
      </c>
      <c r="H139" s="684">
        <f>IF(終値!A139="","",IF(AND(安値!M139&lt;安値!L139,安値!M139&lt;安値!K139,安値!M139&lt;安値!N139,安値!M139&lt;安値!O139),8,""))</f>
      </c>
      <c r="I139" s="684">
        <f>IF(終値!A139="","",IF(AND(安値!N139&lt;安値!M139,安値!N139&lt;安値!L139,安値!N139&lt;安値!O139,安値!N139&lt;安値!P139),9,""))</f>
      </c>
      <c r="J139" s="684">
        <f>IF(終値!A139="","",IF(AND(安値!O139&lt;安値!N139,安値!O139&lt;安値!M139,安値!O139&lt;安値!P139,安値!O139&lt;安値!Q139),10,""))</f>
      </c>
      <c r="K139" s="684">
        <f>IF(終値!A139="","",IF(AND(安値!P139&lt;安値!O139,安値!P139&lt;安値!N139,安値!P139&lt;安値!Q139,安値!P139&lt;安値!R139),11,""))</f>
      </c>
      <c r="L139" s="684">
        <f>IF(終値!A139="","",IF(AND(安値!Q139&lt;安値!P139,安値!Q139&lt;安値!O139,安値!Q139&lt;安値!R139,安値!Q139&lt;安値!S139),12,""))</f>
      </c>
      <c r="M139" s="684">
        <f>IF(終値!A139="","",IF(AND(安値!R139&lt;安値!Q139,安値!R139&lt;安値!P139,安値!R139&lt;安値!S139,安値!R139&lt;安値!T139),13,""))</f>
      </c>
      <c r="N139" s="684">
        <f>IF(終値!A139="","",IF(AND(安値!S139&lt;安値!R139,安値!S139&lt;安値!Q139,安値!S139&lt;安値!T139,安値!S139&lt;安値!U139),14,""))</f>
      </c>
      <c r="O139" s="684">
        <f>IF(終値!A139="","",IF(AND(安値!T139&lt;安値!S139,安値!T139&lt;安値!R139,安値!T139&lt;安値!U139,安値!T139&lt;安値!V139),15,""))</f>
      </c>
      <c r="P139" s="684">
        <f>IF(終値!A139="","",IF(AND(安値!U139&lt;安値!T139,安値!U139&lt;安値!S139,安値!U139&lt;安値!V139,安値!U139&lt;安値!W139),16,""))</f>
      </c>
      <c r="Q139" s="684">
        <f>IF(終値!A139="","",IF(AND(安値!V139&lt;安値!U139,安値!V139&lt;安値!T139,安値!V139&lt;安値!W139,安値!V139&lt;安値!X139),17,""))</f>
      </c>
      <c r="R139" s="684">
        <f>IF(終値!A139="","",IF(AND(安値!W139&lt;安値!V139,安値!W139&lt;安値!U139,安値!W139&lt;安値!X139,安値!W139&lt;安値!Y139),18,""))</f>
      </c>
      <c r="S139" s="684">
        <f>IF(終値!A139="","",IF(AND(安値!X139&lt;安値!W139,安値!X139&lt;安値!V139,安値!X139&lt;安値!Y139,安値!X139&lt;安値!Z139),19,""))</f>
      </c>
      <c r="T139" s="684">
        <f>IF(終値!A139="","",IF(AND(安値!Y139&lt;安値!X139,安値!Y139&lt;安値!W139,安値!Y139&lt;安値!Z139,安値!Y139&lt;安値!AA139),20,""))</f>
      </c>
      <c r="U139" s="684">
        <f>IF(終値!A139="","",IF(AND(安値!Z139&lt;安値!Y139,安値!Z139&lt;安値!X139,安値!Z139&lt;安値!AA139,安値!Z139&lt;安値!AB139),21,""))</f>
      </c>
      <c r="V139" s="684">
        <f>IF(終値!A139="","",IF(AND(安値!AA139&lt;安値!Z139,安値!AA139&lt;安値!Y139,安値!AA139&lt;安値!AB139,安値!AA139&lt;安値!AC139),22,""))</f>
      </c>
      <c r="W139" s="684">
        <f>IF(終値!A139="","",IF(AND(安値!AB139&lt;安値!AA139,安値!AB139&lt;安値!Z139,安値!AB139&lt;安値!AC139,安値!AB139&lt;安値!AD139),23,""))</f>
      </c>
      <c r="X139" s="684">
        <f>IF(終値!A139="","",IF(AND(安値!AC139&lt;安値!AB139,安値!AC139&lt;安値!AA139,安値!AC139&lt;安値!AD139,安値!AC139&lt;安値!AE139),24,""))</f>
      </c>
      <c r="Y139" s="684">
        <f>IF(終値!A139="","",IF(AND(安値!AD139&lt;安値!AC139,安値!AD139&lt;安値!AB139,安値!AD139&lt;安値!AE139,安値!AD139&lt;安値!AF139),25,""))</f>
      </c>
      <c r="Z139" s="684">
        <f>IF(終値!A139="","",IF(AND(安値!AE139&lt;安値!AD139,安値!AE139&lt;安値!AC139,安値!AE139&lt;安値!AF139,安値!AE139&lt;安値!AG139),26,""))</f>
      </c>
      <c r="AA139" s="684">
        <f>IF(終値!A139="","",IF(AND(安値!AF139&lt;安値!AE139,安値!AF139&lt;安値!AD139,安値!AF139&lt;安値!AG139,安値!AF139&lt;安値!AH139),27,""))</f>
      </c>
      <c r="AB139" s="684">
        <f>IF(終値!A139="","",IF(AND(安値!AG139&lt;安値!AF139,安値!AG139&lt;安値!AE139,安値!AG139&lt;安値!AH139,安値!AG139&lt;安値!AI139),28,""))</f>
      </c>
      <c r="AC139" s="684">
        <f>IF(終値!A139="","",IF(AND(高値!G139&gt;高値!F139,高値!G139&gt;高値!E139,高値!G139&gt;高値!H139,高値!G139&gt;高値!I139),2,""))</f>
      </c>
      <c r="AD139" s="684">
        <f>IF(終値!A139="","",IF(AND(高値!H139&gt;高値!G139,高値!H139&gt;高値!F139,高値!H139&gt;高値!I139,高値!H139&gt;高値!J139),3,""))</f>
      </c>
      <c r="AE139" s="684">
        <f>IF(終値!A139="","",IF(AND(高値!I139&gt;高値!H139,高値!I139&gt;高値!G139,高値!I139&gt;高値!J139,高値!I139&gt;高値!K139),4,""))</f>
      </c>
      <c r="AF139" s="684">
        <f>IF(終値!A139="","",IF(AND(高値!J139&gt;高値!I139,高値!J139&gt;高値!H139,高値!J139&gt;高値!K139,高値!J139&gt;高値!L139),5,""))</f>
      </c>
      <c r="AG139" s="684">
        <f>IF(終値!A139="","",IF(AND(高値!K139&gt;高値!J139,高値!K139&gt;高値!I139,高値!K139&gt;高値!L139,高値!K139&gt;高値!M139),6,""))</f>
      </c>
      <c r="AH139" s="684">
        <f>IF(終値!A139="","",IF(AND(高値!L139&gt;高値!K139,高値!L139&gt;高値!J139,高値!L139&gt;高値!M139,高値!L139&gt;高値!N139),7,""))</f>
      </c>
      <c r="AI139" s="684">
        <f>IF(終値!A139="","",IF(AND(高値!M139&gt;高値!L139,高値!M139&gt;高値!K139,高値!M139&gt;高値!N139,高値!M139&gt;高値!O139),8,""))</f>
      </c>
      <c r="AJ139" s="684">
        <f>IF(終値!A139="","",IF(AND(高値!N139&gt;高値!M139,高値!N139&gt;高値!L139,高値!N139&gt;高値!O139,高値!N139&gt;高値!P139),9,""))</f>
      </c>
      <c r="AK139" s="684">
        <f>IF(終値!A139="","",IF(AND(高値!O139&gt;高値!N139,高値!O139&gt;高値!M139,高値!O139&gt;高値!P139,高値!O139&gt;高値!Q139),10,""))</f>
      </c>
      <c r="AL139" s="684">
        <f>IF(終値!A139="","",IF(AND(高値!P139&gt;高値!O139,高値!P139&gt;高値!N139,高値!P139&gt;高値!Q139,高値!P139&gt;高値!R139),11,""))</f>
      </c>
      <c r="AM139" s="684">
        <f>IF(終値!A139="","",IF(AND(高値!Q139&gt;高値!P139,高値!Q139&gt;高値!O139,高値!Q139&gt;高値!R139,高値!Q139&gt;高値!S139),12,""))</f>
      </c>
      <c r="AN139" s="684">
        <f>IF(終値!A139="","",IF(AND(高値!R139&gt;高値!Q139,高値!R139&gt;高値!P139,高値!R139&gt;高値!S139,高値!R139&gt;高値!T139),13,""))</f>
      </c>
      <c r="AO139" s="684">
        <f>IF(終値!A139="","",IF(AND(高値!S139&gt;高値!R139,高値!S139&gt;高値!Q139,高値!S139&gt;高値!T139,高値!S139&gt;高値!U139),14,""))</f>
      </c>
      <c r="AP139" s="684">
        <f>IF(終値!A139="","",IF(AND(高値!T139&gt;高値!S139,高値!T139&gt;高値!R139,高値!T139&gt;高値!U139,高値!T139&gt;高値!V139),15,""))</f>
      </c>
      <c r="AQ139" s="684">
        <f>IF(終値!A139="","",IF(AND(高値!U139&gt;高値!T139,高値!U139&gt;高値!S139,高値!U139&gt;高値!V139,高値!U139&gt;高値!W139),16,""))</f>
      </c>
      <c r="AR139" s="684">
        <f>IF(終値!A139="","",IF(AND(高値!V139&gt;高値!U139,高値!V139&gt;高値!T139,高値!V139&gt;高値!W139,高値!V139&gt;高値!X139),17,""))</f>
      </c>
      <c r="AS139" s="684">
        <f>IF(終値!A139="","",IF(AND(高値!W139&gt;高値!V139,高値!W139&gt;高値!U139,高値!W139&gt;高値!X139,高値!W139&gt;高値!Y139),18,""))</f>
      </c>
      <c r="AT139" s="684">
        <f>IF(終値!A139="","",IF(AND(高値!X139&gt;高値!W139,高値!X139&gt;高値!V139,高値!X139&gt;高値!Y139,高値!X139&gt;高値!Z139),19,""))</f>
      </c>
      <c r="AU139" s="684">
        <f>IF(終値!A139="","",IF(AND(高値!Y139&gt;高値!X139,高値!Y139&gt;高値!W139,高値!Y139&gt;高値!Z139,高値!Y139&gt;高値!AA139),20,""))</f>
      </c>
      <c r="AV139" s="684">
        <f>IF(終値!A139="","",IF(AND(高値!Z139&gt;高値!Y139,高値!Z139&gt;高値!X139,高値!Z139&gt;高値!AA139,高値!Z139&gt;高値!AB139),21,""))</f>
      </c>
      <c r="AW139" s="684">
        <f>IF(終値!A139="","",IF(AND(高値!AA139&gt;高値!Z139,高値!AA139&gt;高値!Y139,高値!AA139&gt;高値!AB139,高値!AA139&gt;高値!AC139),22,""))</f>
      </c>
      <c r="AX139" s="684">
        <f>IF(終値!A139="","",IF(AND(高値!AB139&gt;高値!AA139,高値!AB139&gt;高値!Z139,高値!AB139&gt;高値!AC139,高値!AB139&gt;高値!AD139),23,""))</f>
      </c>
      <c r="AY139" s="684">
        <f>IF(終値!A139="","",IF(AND(高値!AC139&gt;高値!AB139,高値!AC139&gt;高値!AA139,高値!AC139&gt;高値!AD139,高値!AC139&gt;高値!AE139),24,""))</f>
      </c>
      <c r="AZ139" s="684">
        <f>IF(終値!A139="","",IF(AND(高値!AD139&gt;高値!AC139,高値!AD139&gt;高値!AB139,高値!AD139&gt;高値!AE139,高値!AD139&gt;高値!AF139),25,""))</f>
      </c>
      <c r="BA139" s="684">
        <f>IF(終値!A139="","",IF(AND(高値!AE139&gt;高値!AD139,高値!AE139&gt;高値!AC139,高値!AE139&gt;高値!AF139,高値!AE139&gt;高値!AG139),26,""))</f>
      </c>
      <c r="BB139" s="684">
        <f>IF(終値!A139="","",IF(AND(高値!AF139&gt;高値!AE139,高値!AF139&gt;高値!AD139,高値!AF139&gt;高値!AG139,高値!AF139&gt;高値!AH139),27,""))</f>
      </c>
      <c r="BC139" s="684">
        <f>IF(終値!A139="","",IF(AND(高値!AG139&gt;高値!AF139,高値!AG139&gt;高値!AE139,高値!AG139&gt;高値!AH139,高値!AG139&gt;高値!AI139),28,""))</f>
      </c>
      <c r="BD139" s="684">
        <f>COUNT($B139:$AB139)</f>
      </c>
      <c r="BE139" s="684">
        <f>IF($BD139&gt;=2,MIN($B139:$AB139),"")</f>
      </c>
      <c r="BF139" s="684">
        <f>IF($BD139&gt;=2,SMALL($B139:$AB139,2),"")</f>
      </c>
      <c r="BG139" s="684">
        <f>IF($BE139="","",INDEX(安値!$E139:$CZ139,1,$BE139+1))</f>
      </c>
      <c r="BH139" s="684">
        <f>IF($BF139="","",INDEX(安値!$E139:$CZ139,1,$BF139+1))</f>
      </c>
      <c r="BI139" s="684">
        <f>IF($BF139="","",MAX(INDEX(高値!$E139:$CZ139,1,$BE139+1):INDEX(高値!$E139:$CZ139,1,$BF139+1)))</f>
      </c>
      <c r="BJ139" s="684">
        <f>IF($BF139="","",AVERAGE(INDEX(終値!$E139:$CZ139,1,$BF139+1):INDEX(終値!$E139:$CZ139,1,$BF139+20))-2*STDEVP(INDEX(終値!$E139:$CZ139,1,$BF139+1):INDEX(終値!$E139:$CZ139,1,$BF139+20)))</f>
      </c>
      <c r="BK139" s="684">
        <f>IF($BE139="","",AVERAGE(INDEX(終値!$E139:$CZ139,1,$BE139+1):INDEX(終値!$E139:$CZ139,1,$BE139+20))-2*STDEVP(INDEX(終値!$E139:$CZ139,1,$BE139+1):INDEX(終値!$E139:$CZ139,1,$BE139+20)))</f>
      </c>
      <c r="BL139" s="684">
        <f>COUNT($AC139:$BC139)</f>
      </c>
      <c r="BM139" s="684">
        <f>IF($BL139&gt;=2,MIN($AC139:$BC139),"")</f>
      </c>
      <c r="BN139" s="684">
        <f>IF($BL139&gt;=2,SMALL($AC139:$BC139,2),"")</f>
      </c>
      <c r="BO139" s="684">
        <f>IF($BM139="","",INDEX(高値!$E139:$CZ139,1,$BM139+1))</f>
      </c>
      <c r="BP139" s="684">
        <f>IF($BN139="","",INDEX(高値!$E139:$CZ139,1,$BN139+1))</f>
      </c>
      <c r="BQ139" s="684">
        <f>IF($BN139="","",MIN(INDEX(安値!$E139:$CZ139,1,$BM139+1):INDEX(安値!$E139:$CZ139,1,$BN139+1)))</f>
      </c>
      <c r="BR139" s="684">
        <f>IF($BN139="","",AVERAGE(INDEX(終値!$E139:$CZ139,1,$BN139+1):INDEX(終値!$E139:$CZ139,1,$BN139+20))+2*STDEVP(INDEX(終値!$E139:$CZ139,1,$BN139+1):INDEX(終値!$E139:$CZ139,1,$BN139+20)))</f>
      </c>
      <c r="BS139" s="684">
        <f>IF($BM139="","",AVERAGE(INDEX(終値!$E139:$CZ139,1,$BM139+1):INDEX(終値!$E139:$CZ139,1,$BM139+20))+2*STDEVP(INDEX(終値!$E139:$CZ139,1,$BM139+1):INDEX(終値!$E139:$CZ139,1,$BM139+20)))</f>
      </c>
      <c r="BT139" s="681">
        <f>IFERROR(IF(AND($BD139&gt;=2,ABS($BG139-$BH139)/$BH139&lt;=BB設定!$B$12,$BI139&gt;=MAX($BH139,$BG139)*(1+BB設定!$B$13),終値!E139&gt;$BG139),IF(OR(終値!E139&gt;=$BI139,AND($BH139&lt;$BJ139,$BG139&gt;=$BK139)),"二番底W▲","二番底W形成"),IF(AND($BL139&gt;=2,ABS($BO139-$BP139)/$BP139&lt;=BB設定!$B$12,$BQ139&lt;=MIN($BP139,$BO139)*(1-BB設定!$B$13),終値!E139&lt;$BO139),IF(OR(終値!E139&lt;=$BQ139,AND($BP139&gt;$BR139,$BO139&lt;=$BS139)),"二番天井M▼","二番天井M形成"),"－")),"－")</f>
      </c>
    </row>
    <row r="140">
      <c r="B140" s="684">
        <f>IF(終値!A140="","",IF(AND(安値!G140&lt;安値!F140,安値!G140&lt;安値!E140,安値!G140&lt;安値!H140,安値!G140&lt;安値!I140),2,""))</f>
      </c>
      <c r="C140" s="684">
        <f>IF(終値!A140="","",IF(AND(安値!H140&lt;安値!G140,安値!H140&lt;安値!F140,安値!H140&lt;安値!I140,安値!H140&lt;安値!J140),3,""))</f>
      </c>
      <c r="D140" s="684">
        <f>IF(終値!A140="","",IF(AND(安値!I140&lt;安値!H140,安値!I140&lt;安値!G140,安値!I140&lt;安値!J140,安値!I140&lt;安値!K140),4,""))</f>
      </c>
      <c r="E140" s="684">
        <f>IF(終値!A140="","",IF(AND(安値!J140&lt;安値!I140,安値!J140&lt;安値!H140,安値!J140&lt;安値!K140,安値!J140&lt;安値!L140),5,""))</f>
      </c>
      <c r="F140" s="684">
        <f>IF(終値!A140="","",IF(AND(安値!K140&lt;安値!J140,安値!K140&lt;安値!I140,安値!K140&lt;安値!L140,安値!K140&lt;安値!M140),6,""))</f>
      </c>
      <c r="G140" s="684">
        <f>IF(終値!A140="","",IF(AND(安値!L140&lt;安値!K140,安値!L140&lt;安値!J140,安値!L140&lt;安値!M140,安値!L140&lt;安値!N140),7,""))</f>
      </c>
      <c r="H140" s="684">
        <f>IF(終値!A140="","",IF(AND(安値!M140&lt;安値!L140,安値!M140&lt;安値!K140,安値!M140&lt;安値!N140,安値!M140&lt;安値!O140),8,""))</f>
      </c>
      <c r="I140" s="684">
        <f>IF(終値!A140="","",IF(AND(安値!N140&lt;安値!M140,安値!N140&lt;安値!L140,安値!N140&lt;安値!O140,安値!N140&lt;安値!P140),9,""))</f>
      </c>
      <c r="J140" s="684">
        <f>IF(終値!A140="","",IF(AND(安値!O140&lt;安値!N140,安値!O140&lt;安値!M140,安値!O140&lt;安値!P140,安値!O140&lt;安値!Q140),10,""))</f>
      </c>
      <c r="K140" s="684">
        <f>IF(終値!A140="","",IF(AND(安値!P140&lt;安値!O140,安値!P140&lt;安値!N140,安値!P140&lt;安値!Q140,安値!P140&lt;安値!R140),11,""))</f>
      </c>
      <c r="L140" s="684">
        <f>IF(終値!A140="","",IF(AND(安値!Q140&lt;安値!P140,安値!Q140&lt;安値!O140,安値!Q140&lt;安値!R140,安値!Q140&lt;安値!S140),12,""))</f>
      </c>
      <c r="M140" s="684">
        <f>IF(終値!A140="","",IF(AND(安値!R140&lt;安値!Q140,安値!R140&lt;安値!P140,安値!R140&lt;安値!S140,安値!R140&lt;安値!T140),13,""))</f>
      </c>
      <c r="N140" s="684">
        <f>IF(終値!A140="","",IF(AND(安値!S140&lt;安値!R140,安値!S140&lt;安値!Q140,安値!S140&lt;安値!T140,安値!S140&lt;安値!U140),14,""))</f>
      </c>
      <c r="O140" s="684">
        <f>IF(終値!A140="","",IF(AND(安値!T140&lt;安値!S140,安値!T140&lt;安値!R140,安値!T140&lt;安値!U140,安値!T140&lt;安値!V140),15,""))</f>
      </c>
      <c r="P140" s="684">
        <f>IF(終値!A140="","",IF(AND(安値!U140&lt;安値!T140,安値!U140&lt;安値!S140,安値!U140&lt;安値!V140,安値!U140&lt;安値!W140),16,""))</f>
      </c>
      <c r="Q140" s="684">
        <f>IF(終値!A140="","",IF(AND(安値!V140&lt;安値!U140,安値!V140&lt;安値!T140,安値!V140&lt;安値!W140,安値!V140&lt;安値!X140),17,""))</f>
      </c>
      <c r="R140" s="684">
        <f>IF(終値!A140="","",IF(AND(安値!W140&lt;安値!V140,安値!W140&lt;安値!U140,安値!W140&lt;安値!X140,安値!W140&lt;安値!Y140),18,""))</f>
      </c>
      <c r="S140" s="684">
        <f>IF(終値!A140="","",IF(AND(安値!X140&lt;安値!W140,安値!X140&lt;安値!V140,安値!X140&lt;安値!Y140,安値!X140&lt;安値!Z140),19,""))</f>
      </c>
      <c r="T140" s="684">
        <f>IF(終値!A140="","",IF(AND(安値!Y140&lt;安値!X140,安値!Y140&lt;安値!W140,安値!Y140&lt;安値!Z140,安値!Y140&lt;安値!AA140),20,""))</f>
      </c>
      <c r="U140" s="684">
        <f>IF(終値!A140="","",IF(AND(安値!Z140&lt;安値!Y140,安値!Z140&lt;安値!X140,安値!Z140&lt;安値!AA140,安値!Z140&lt;安値!AB140),21,""))</f>
      </c>
      <c r="V140" s="684">
        <f>IF(終値!A140="","",IF(AND(安値!AA140&lt;安値!Z140,安値!AA140&lt;安値!Y140,安値!AA140&lt;安値!AB140,安値!AA140&lt;安値!AC140),22,""))</f>
      </c>
      <c r="W140" s="684">
        <f>IF(終値!A140="","",IF(AND(安値!AB140&lt;安値!AA140,安値!AB140&lt;安値!Z140,安値!AB140&lt;安値!AC140,安値!AB140&lt;安値!AD140),23,""))</f>
      </c>
      <c r="X140" s="684">
        <f>IF(終値!A140="","",IF(AND(安値!AC140&lt;安値!AB140,安値!AC140&lt;安値!AA140,安値!AC140&lt;安値!AD140,安値!AC140&lt;安値!AE140),24,""))</f>
      </c>
      <c r="Y140" s="684">
        <f>IF(終値!A140="","",IF(AND(安値!AD140&lt;安値!AC140,安値!AD140&lt;安値!AB140,安値!AD140&lt;安値!AE140,安値!AD140&lt;安値!AF140),25,""))</f>
      </c>
      <c r="Z140" s="684">
        <f>IF(終値!A140="","",IF(AND(安値!AE140&lt;安値!AD140,安値!AE140&lt;安値!AC140,安値!AE140&lt;安値!AF140,安値!AE140&lt;安値!AG140),26,""))</f>
      </c>
      <c r="AA140" s="684">
        <f>IF(終値!A140="","",IF(AND(安値!AF140&lt;安値!AE140,安値!AF140&lt;安値!AD140,安値!AF140&lt;安値!AG140,安値!AF140&lt;安値!AH140),27,""))</f>
      </c>
      <c r="AB140" s="684">
        <f>IF(終値!A140="","",IF(AND(安値!AG140&lt;安値!AF140,安値!AG140&lt;安値!AE140,安値!AG140&lt;安値!AH140,安値!AG140&lt;安値!AI140),28,""))</f>
      </c>
      <c r="AC140" s="684">
        <f>IF(終値!A140="","",IF(AND(高値!G140&gt;高値!F140,高値!G140&gt;高値!E140,高値!G140&gt;高値!H140,高値!G140&gt;高値!I140),2,""))</f>
      </c>
      <c r="AD140" s="684">
        <f>IF(終値!A140="","",IF(AND(高値!H140&gt;高値!G140,高値!H140&gt;高値!F140,高値!H140&gt;高値!I140,高値!H140&gt;高値!J140),3,""))</f>
      </c>
      <c r="AE140" s="684">
        <f>IF(終値!A140="","",IF(AND(高値!I140&gt;高値!H140,高値!I140&gt;高値!G140,高値!I140&gt;高値!J140,高値!I140&gt;高値!K140),4,""))</f>
      </c>
      <c r="AF140" s="684">
        <f>IF(終値!A140="","",IF(AND(高値!J140&gt;高値!I140,高値!J140&gt;高値!H140,高値!J140&gt;高値!K140,高値!J140&gt;高値!L140),5,""))</f>
      </c>
      <c r="AG140" s="684">
        <f>IF(終値!A140="","",IF(AND(高値!K140&gt;高値!J140,高値!K140&gt;高値!I140,高値!K140&gt;高値!L140,高値!K140&gt;高値!M140),6,""))</f>
      </c>
      <c r="AH140" s="684">
        <f>IF(終値!A140="","",IF(AND(高値!L140&gt;高値!K140,高値!L140&gt;高値!J140,高値!L140&gt;高値!M140,高値!L140&gt;高値!N140),7,""))</f>
      </c>
      <c r="AI140" s="684">
        <f>IF(終値!A140="","",IF(AND(高値!M140&gt;高値!L140,高値!M140&gt;高値!K140,高値!M140&gt;高値!N140,高値!M140&gt;高値!O140),8,""))</f>
      </c>
      <c r="AJ140" s="684">
        <f>IF(終値!A140="","",IF(AND(高値!N140&gt;高値!M140,高値!N140&gt;高値!L140,高値!N140&gt;高値!O140,高値!N140&gt;高値!P140),9,""))</f>
      </c>
      <c r="AK140" s="684">
        <f>IF(終値!A140="","",IF(AND(高値!O140&gt;高値!N140,高値!O140&gt;高値!M140,高値!O140&gt;高値!P140,高値!O140&gt;高値!Q140),10,""))</f>
      </c>
      <c r="AL140" s="684">
        <f>IF(終値!A140="","",IF(AND(高値!P140&gt;高値!O140,高値!P140&gt;高値!N140,高値!P140&gt;高値!Q140,高値!P140&gt;高値!R140),11,""))</f>
      </c>
      <c r="AM140" s="684">
        <f>IF(終値!A140="","",IF(AND(高値!Q140&gt;高値!P140,高値!Q140&gt;高値!O140,高値!Q140&gt;高値!R140,高値!Q140&gt;高値!S140),12,""))</f>
      </c>
      <c r="AN140" s="684">
        <f>IF(終値!A140="","",IF(AND(高値!R140&gt;高値!Q140,高値!R140&gt;高値!P140,高値!R140&gt;高値!S140,高値!R140&gt;高値!T140),13,""))</f>
      </c>
      <c r="AO140" s="684">
        <f>IF(終値!A140="","",IF(AND(高値!S140&gt;高値!R140,高値!S140&gt;高値!Q140,高値!S140&gt;高値!T140,高値!S140&gt;高値!U140),14,""))</f>
      </c>
      <c r="AP140" s="684">
        <f>IF(終値!A140="","",IF(AND(高値!T140&gt;高値!S140,高値!T140&gt;高値!R140,高値!T140&gt;高値!U140,高値!T140&gt;高値!V140),15,""))</f>
      </c>
      <c r="AQ140" s="684">
        <f>IF(終値!A140="","",IF(AND(高値!U140&gt;高値!T140,高値!U140&gt;高値!S140,高値!U140&gt;高値!V140,高値!U140&gt;高値!W140),16,""))</f>
      </c>
      <c r="AR140" s="684">
        <f>IF(終値!A140="","",IF(AND(高値!V140&gt;高値!U140,高値!V140&gt;高値!T140,高値!V140&gt;高値!W140,高値!V140&gt;高値!X140),17,""))</f>
      </c>
      <c r="AS140" s="684">
        <f>IF(終値!A140="","",IF(AND(高値!W140&gt;高値!V140,高値!W140&gt;高値!U140,高値!W140&gt;高値!X140,高値!W140&gt;高値!Y140),18,""))</f>
      </c>
      <c r="AT140" s="684">
        <f>IF(終値!A140="","",IF(AND(高値!X140&gt;高値!W140,高値!X140&gt;高値!V140,高値!X140&gt;高値!Y140,高値!X140&gt;高値!Z140),19,""))</f>
      </c>
      <c r="AU140" s="684">
        <f>IF(終値!A140="","",IF(AND(高値!Y140&gt;高値!X140,高値!Y140&gt;高値!W140,高値!Y140&gt;高値!Z140,高値!Y140&gt;高値!AA140),20,""))</f>
      </c>
      <c r="AV140" s="684">
        <f>IF(終値!A140="","",IF(AND(高値!Z140&gt;高値!Y140,高値!Z140&gt;高値!X140,高値!Z140&gt;高値!AA140,高値!Z140&gt;高値!AB140),21,""))</f>
      </c>
      <c r="AW140" s="684">
        <f>IF(終値!A140="","",IF(AND(高値!AA140&gt;高値!Z140,高値!AA140&gt;高値!Y140,高値!AA140&gt;高値!AB140,高値!AA140&gt;高値!AC140),22,""))</f>
      </c>
      <c r="AX140" s="684">
        <f>IF(終値!A140="","",IF(AND(高値!AB140&gt;高値!AA140,高値!AB140&gt;高値!Z140,高値!AB140&gt;高値!AC140,高値!AB140&gt;高値!AD140),23,""))</f>
      </c>
      <c r="AY140" s="684">
        <f>IF(終値!A140="","",IF(AND(高値!AC140&gt;高値!AB140,高値!AC140&gt;高値!AA140,高値!AC140&gt;高値!AD140,高値!AC140&gt;高値!AE140),24,""))</f>
      </c>
      <c r="AZ140" s="684">
        <f>IF(終値!A140="","",IF(AND(高値!AD140&gt;高値!AC140,高値!AD140&gt;高値!AB140,高値!AD140&gt;高値!AE140,高値!AD140&gt;高値!AF140),25,""))</f>
      </c>
      <c r="BA140" s="684">
        <f>IF(終値!A140="","",IF(AND(高値!AE140&gt;高値!AD140,高値!AE140&gt;高値!AC140,高値!AE140&gt;高値!AF140,高値!AE140&gt;高値!AG140),26,""))</f>
      </c>
      <c r="BB140" s="684">
        <f>IF(終値!A140="","",IF(AND(高値!AF140&gt;高値!AE140,高値!AF140&gt;高値!AD140,高値!AF140&gt;高値!AG140,高値!AF140&gt;高値!AH140),27,""))</f>
      </c>
      <c r="BC140" s="684">
        <f>IF(終値!A140="","",IF(AND(高値!AG140&gt;高値!AF140,高値!AG140&gt;高値!AE140,高値!AG140&gt;高値!AH140,高値!AG140&gt;高値!AI140),28,""))</f>
      </c>
      <c r="BD140" s="684">
        <f>COUNT($B140:$AB140)</f>
      </c>
      <c r="BE140" s="684">
        <f>IF($BD140&gt;=2,MIN($B140:$AB140),"")</f>
      </c>
      <c r="BF140" s="684">
        <f>IF($BD140&gt;=2,SMALL($B140:$AB140,2),"")</f>
      </c>
      <c r="BG140" s="684">
        <f>IF($BE140="","",INDEX(安値!$E140:$CZ140,1,$BE140+1))</f>
      </c>
      <c r="BH140" s="684">
        <f>IF($BF140="","",INDEX(安値!$E140:$CZ140,1,$BF140+1))</f>
      </c>
      <c r="BI140" s="684">
        <f>IF($BF140="","",MAX(INDEX(高値!$E140:$CZ140,1,$BE140+1):INDEX(高値!$E140:$CZ140,1,$BF140+1)))</f>
      </c>
      <c r="BJ140" s="684">
        <f>IF($BF140="","",AVERAGE(INDEX(終値!$E140:$CZ140,1,$BF140+1):INDEX(終値!$E140:$CZ140,1,$BF140+20))-2*STDEVP(INDEX(終値!$E140:$CZ140,1,$BF140+1):INDEX(終値!$E140:$CZ140,1,$BF140+20)))</f>
      </c>
      <c r="BK140" s="684">
        <f>IF($BE140="","",AVERAGE(INDEX(終値!$E140:$CZ140,1,$BE140+1):INDEX(終値!$E140:$CZ140,1,$BE140+20))-2*STDEVP(INDEX(終値!$E140:$CZ140,1,$BE140+1):INDEX(終値!$E140:$CZ140,1,$BE140+20)))</f>
      </c>
      <c r="BL140" s="684">
        <f>COUNT($AC140:$BC140)</f>
      </c>
      <c r="BM140" s="684">
        <f>IF($BL140&gt;=2,MIN($AC140:$BC140),"")</f>
      </c>
      <c r="BN140" s="684">
        <f>IF($BL140&gt;=2,SMALL($AC140:$BC140,2),"")</f>
      </c>
      <c r="BO140" s="684">
        <f>IF($BM140="","",INDEX(高値!$E140:$CZ140,1,$BM140+1))</f>
      </c>
      <c r="BP140" s="684">
        <f>IF($BN140="","",INDEX(高値!$E140:$CZ140,1,$BN140+1))</f>
      </c>
      <c r="BQ140" s="684">
        <f>IF($BN140="","",MIN(INDEX(安値!$E140:$CZ140,1,$BM140+1):INDEX(安値!$E140:$CZ140,1,$BN140+1)))</f>
      </c>
      <c r="BR140" s="684">
        <f>IF($BN140="","",AVERAGE(INDEX(終値!$E140:$CZ140,1,$BN140+1):INDEX(終値!$E140:$CZ140,1,$BN140+20))+2*STDEVP(INDEX(終値!$E140:$CZ140,1,$BN140+1):INDEX(終値!$E140:$CZ140,1,$BN140+20)))</f>
      </c>
      <c r="BS140" s="684">
        <f>IF($BM140="","",AVERAGE(INDEX(終値!$E140:$CZ140,1,$BM140+1):INDEX(終値!$E140:$CZ140,1,$BM140+20))+2*STDEVP(INDEX(終値!$E140:$CZ140,1,$BM140+1):INDEX(終値!$E140:$CZ140,1,$BM140+20)))</f>
      </c>
      <c r="BT140" s="681">
        <f>IFERROR(IF(AND($BD140&gt;=2,ABS($BG140-$BH140)/$BH140&lt;=BB設定!$B$12,$BI140&gt;=MAX($BH140,$BG140)*(1+BB設定!$B$13),終値!E140&gt;$BG140),IF(OR(終値!E140&gt;=$BI140,AND($BH140&lt;$BJ140,$BG140&gt;=$BK140)),"二番底W▲","二番底W形成"),IF(AND($BL140&gt;=2,ABS($BO140-$BP140)/$BP140&lt;=BB設定!$B$12,$BQ140&lt;=MIN($BP140,$BO140)*(1-BB設定!$B$13),終値!E140&lt;$BO140),IF(OR(終値!E140&lt;=$BQ140,AND($BP140&gt;$BR140,$BO140&lt;=$BS140)),"二番天井M▼","二番天井M形成"),"－")),"－")</f>
      </c>
    </row>
    <row r="141">
      <c r="B141" s="684">
        <f>IF(終値!A141="","",IF(AND(安値!G141&lt;安値!F141,安値!G141&lt;安値!E141,安値!G141&lt;安値!H141,安値!G141&lt;安値!I141),2,""))</f>
      </c>
      <c r="C141" s="684">
        <f>IF(終値!A141="","",IF(AND(安値!H141&lt;安値!G141,安値!H141&lt;安値!F141,安値!H141&lt;安値!I141,安値!H141&lt;安値!J141),3,""))</f>
      </c>
      <c r="D141" s="684">
        <f>IF(終値!A141="","",IF(AND(安値!I141&lt;安値!H141,安値!I141&lt;安値!G141,安値!I141&lt;安値!J141,安値!I141&lt;安値!K141),4,""))</f>
      </c>
      <c r="E141" s="684">
        <f>IF(終値!A141="","",IF(AND(安値!J141&lt;安値!I141,安値!J141&lt;安値!H141,安値!J141&lt;安値!K141,安値!J141&lt;安値!L141),5,""))</f>
      </c>
      <c r="F141" s="684">
        <f>IF(終値!A141="","",IF(AND(安値!K141&lt;安値!J141,安値!K141&lt;安値!I141,安値!K141&lt;安値!L141,安値!K141&lt;安値!M141),6,""))</f>
      </c>
      <c r="G141" s="684">
        <f>IF(終値!A141="","",IF(AND(安値!L141&lt;安値!K141,安値!L141&lt;安値!J141,安値!L141&lt;安値!M141,安値!L141&lt;安値!N141),7,""))</f>
      </c>
      <c r="H141" s="684">
        <f>IF(終値!A141="","",IF(AND(安値!M141&lt;安値!L141,安値!M141&lt;安値!K141,安値!M141&lt;安値!N141,安値!M141&lt;安値!O141),8,""))</f>
      </c>
      <c r="I141" s="684">
        <f>IF(終値!A141="","",IF(AND(安値!N141&lt;安値!M141,安値!N141&lt;安値!L141,安値!N141&lt;安値!O141,安値!N141&lt;安値!P141),9,""))</f>
      </c>
      <c r="J141" s="684">
        <f>IF(終値!A141="","",IF(AND(安値!O141&lt;安値!N141,安値!O141&lt;安値!M141,安値!O141&lt;安値!P141,安値!O141&lt;安値!Q141),10,""))</f>
      </c>
      <c r="K141" s="684">
        <f>IF(終値!A141="","",IF(AND(安値!P141&lt;安値!O141,安値!P141&lt;安値!N141,安値!P141&lt;安値!Q141,安値!P141&lt;安値!R141),11,""))</f>
      </c>
      <c r="L141" s="684">
        <f>IF(終値!A141="","",IF(AND(安値!Q141&lt;安値!P141,安値!Q141&lt;安値!O141,安値!Q141&lt;安値!R141,安値!Q141&lt;安値!S141),12,""))</f>
      </c>
      <c r="M141" s="684">
        <f>IF(終値!A141="","",IF(AND(安値!R141&lt;安値!Q141,安値!R141&lt;安値!P141,安値!R141&lt;安値!S141,安値!R141&lt;安値!T141),13,""))</f>
      </c>
      <c r="N141" s="684">
        <f>IF(終値!A141="","",IF(AND(安値!S141&lt;安値!R141,安値!S141&lt;安値!Q141,安値!S141&lt;安値!T141,安値!S141&lt;安値!U141),14,""))</f>
      </c>
      <c r="O141" s="684">
        <f>IF(終値!A141="","",IF(AND(安値!T141&lt;安値!S141,安値!T141&lt;安値!R141,安値!T141&lt;安値!U141,安値!T141&lt;安値!V141),15,""))</f>
      </c>
      <c r="P141" s="684">
        <f>IF(終値!A141="","",IF(AND(安値!U141&lt;安値!T141,安値!U141&lt;安値!S141,安値!U141&lt;安値!V141,安値!U141&lt;安値!W141),16,""))</f>
      </c>
      <c r="Q141" s="684">
        <f>IF(終値!A141="","",IF(AND(安値!V141&lt;安値!U141,安値!V141&lt;安値!T141,安値!V141&lt;安値!W141,安値!V141&lt;安値!X141),17,""))</f>
      </c>
      <c r="R141" s="684">
        <f>IF(終値!A141="","",IF(AND(安値!W141&lt;安値!V141,安値!W141&lt;安値!U141,安値!W141&lt;安値!X141,安値!W141&lt;安値!Y141),18,""))</f>
      </c>
      <c r="S141" s="684">
        <f>IF(終値!A141="","",IF(AND(安値!X141&lt;安値!W141,安値!X141&lt;安値!V141,安値!X141&lt;安値!Y141,安値!X141&lt;安値!Z141),19,""))</f>
      </c>
      <c r="T141" s="684">
        <f>IF(終値!A141="","",IF(AND(安値!Y141&lt;安値!X141,安値!Y141&lt;安値!W141,安値!Y141&lt;安値!Z141,安値!Y141&lt;安値!AA141),20,""))</f>
      </c>
      <c r="U141" s="684">
        <f>IF(終値!A141="","",IF(AND(安値!Z141&lt;安値!Y141,安値!Z141&lt;安値!X141,安値!Z141&lt;安値!AA141,安値!Z141&lt;安値!AB141),21,""))</f>
      </c>
      <c r="V141" s="684">
        <f>IF(終値!A141="","",IF(AND(安値!AA141&lt;安値!Z141,安値!AA141&lt;安値!Y141,安値!AA141&lt;安値!AB141,安値!AA141&lt;安値!AC141),22,""))</f>
      </c>
      <c r="W141" s="684">
        <f>IF(終値!A141="","",IF(AND(安値!AB141&lt;安値!AA141,安値!AB141&lt;安値!Z141,安値!AB141&lt;安値!AC141,安値!AB141&lt;安値!AD141),23,""))</f>
      </c>
      <c r="X141" s="684">
        <f>IF(終値!A141="","",IF(AND(安値!AC141&lt;安値!AB141,安値!AC141&lt;安値!AA141,安値!AC141&lt;安値!AD141,安値!AC141&lt;安値!AE141),24,""))</f>
      </c>
      <c r="Y141" s="684">
        <f>IF(終値!A141="","",IF(AND(安値!AD141&lt;安値!AC141,安値!AD141&lt;安値!AB141,安値!AD141&lt;安値!AE141,安値!AD141&lt;安値!AF141),25,""))</f>
      </c>
      <c r="Z141" s="684">
        <f>IF(終値!A141="","",IF(AND(安値!AE141&lt;安値!AD141,安値!AE141&lt;安値!AC141,安値!AE141&lt;安値!AF141,安値!AE141&lt;安値!AG141),26,""))</f>
      </c>
      <c r="AA141" s="684">
        <f>IF(終値!A141="","",IF(AND(安値!AF141&lt;安値!AE141,安値!AF141&lt;安値!AD141,安値!AF141&lt;安値!AG141,安値!AF141&lt;安値!AH141),27,""))</f>
      </c>
      <c r="AB141" s="684">
        <f>IF(終値!A141="","",IF(AND(安値!AG141&lt;安値!AF141,安値!AG141&lt;安値!AE141,安値!AG141&lt;安値!AH141,安値!AG141&lt;安値!AI141),28,""))</f>
      </c>
      <c r="AC141" s="684">
        <f>IF(終値!A141="","",IF(AND(高値!G141&gt;高値!F141,高値!G141&gt;高値!E141,高値!G141&gt;高値!H141,高値!G141&gt;高値!I141),2,""))</f>
      </c>
      <c r="AD141" s="684">
        <f>IF(終値!A141="","",IF(AND(高値!H141&gt;高値!G141,高値!H141&gt;高値!F141,高値!H141&gt;高値!I141,高値!H141&gt;高値!J141),3,""))</f>
      </c>
      <c r="AE141" s="684">
        <f>IF(終値!A141="","",IF(AND(高値!I141&gt;高値!H141,高値!I141&gt;高値!G141,高値!I141&gt;高値!J141,高値!I141&gt;高値!K141),4,""))</f>
      </c>
      <c r="AF141" s="684">
        <f>IF(終値!A141="","",IF(AND(高値!J141&gt;高値!I141,高値!J141&gt;高値!H141,高値!J141&gt;高値!K141,高値!J141&gt;高値!L141),5,""))</f>
      </c>
      <c r="AG141" s="684">
        <f>IF(終値!A141="","",IF(AND(高値!K141&gt;高値!J141,高値!K141&gt;高値!I141,高値!K141&gt;高値!L141,高値!K141&gt;高値!M141),6,""))</f>
      </c>
      <c r="AH141" s="684">
        <f>IF(終値!A141="","",IF(AND(高値!L141&gt;高値!K141,高値!L141&gt;高値!J141,高値!L141&gt;高値!M141,高値!L141&gt;高値!N141),7,""))</f>
      </c>
      <c r="AI141" s="684">
        <f>IF(終値!A141="","",IF(AND(高値!M141&gt;高値!L141,高値!M141&gt;高値!K141,高値!M141&gt;高値!N141,高値!M141&gt;高値!O141),8,""))</f>
      </c>
      <c r="AJ141" s="684">
        <f>IF(終値!A141="","",IF(AND(高値!N141&gt;高値!M141,高値!N141&gt;高値!L141,高値!N141&gt;高値!O141,高値!N141&gt;高値!P141),9,""))</f>
      </c>
      <c r="AK141" s="684">
        <f>IF(終値!A141="","",IF(AND(高値!O141&gt;高値!N141,高値!O141&gt;高値!M141,高値!O141&gt;高値!P141,高値!O141&gt;高値!Q141),10,""))</f>
      </c>
      <c r="AL141" s="684">
        <f>IF(終値!A141="","",IF(AND(高値!P141&gt;高値!O141,高値!P141&gt;高値!N141,高値!P141&gt;高値!Q141,高値!P141&gt;高値!R141),11,""))</f>
      </c>
      <c r="AM141" s="684">
        <f>IF(終値!A141="","",IF(AND(高値!Q141&gt;高値!P141,高値!Q141&gt;高値!O141,高値!Q141&gt;高値!R141,高値!Q141&gt;高値!S141),12,""))</f>
      </c>
      <c r="AN141" s="684">
        <f>IF(終値!A141="","",IF(AND(高値!R141&gt;高値!Q141,高値!R141&gt;高値!P141,高値!R141&gt;高値!S141,高値!R141&gt;高値!T141),13,""))</f>
      </c>
      <c r="AO141" s="684">
        <f>IF(終値!A141="","",IF(AND(高値!S141&gt;高値!R141,高値!S141&gt;高値!Q141,高値!S141&gt;高値!T141,高値!S141&gt;高値!U141),14,""))</f>
      </c>
      <c r="AP141" s="684">
        <f>IF(終値!A141="","",IF(AND(高値!T141&gt;高値!S141,高値!T141&gt;高値!R141,高値!T141&gt;高値!U141,高値!T141&gt;高値!V141),15,""))</f>
      </c>
      <c r="AQ141" s="684">
        <f>IF(終値!A141="","",IF(AND(高値!U141&gt;高値!T141,高値!U141&gt;高値!S141,高値!U141&gt;高値!V141,高値!U141&gt;高値!W141),16,""))</f>
      </c>
      <c r="AR141" s="684">
        <f>IF(終値!A141="","",IF(AND(高値!V141&gt;高値!U141,高値!V141&gt;高値!T141,高値!V141&gt;高値!W141,高値!V141&gt;高値!X141),17,""))</f>
      </c>
      <c r="AS141" s="684">
        <f>IF(終値!A141="","",IF(AND(高値!W141&gt;高値!V141,高値!W141&gt;高値!U141,高値!W141&gt;高値!X141,高値!W141&gt;高値!Y141),18,""))</f>
      </c>
      <c r="AT141" s="684">
        <f>IF(終値!A141="","",IF(AND(高値!X141&gt;高値!W141,高値!X141&gt;高値!V141,高値!X141&gt;高値!Y141,高値!X141&gt;高値!Z141),19,""))</f>
      </c>
      <c r="AU141" s="684">
        <f>IF(終値!A141="","",IF(AND(高値!Y141&gt;高値!X141,高値!Y141&gt;高値!W141,高値!Y141&gt;高値!Z141,高値!Y141&gt;高値!AA141),20,""))</f>
      </c>
      <c r="AV141" s="684">
        <f>IF(終値!A141="","",IF(AND(高値!Z141&gt;高値!Y141,高値!Z141&gt;高値!X141,高値!Z141&gt;高値!AA141,高値!Z141&gt;高値!AB141),21,""))</f>
      </c>
      <c r="AW141" s="684">
        <f>IF(終値!A141="","",IF(AND(高値!AA141&gt;高値!Z141,高値!AA141&gt;高値!Y141,高値!AA141&gt;高値!AB141,高値!AA141&gt;高値!AC141),22,""))</f>
      </c>
      <c r="AX141" s="684">
        <f>IF(終値!A141="","",IF(AND(高値!AB141&gt;高値!AA141,高値!AB141&gt;高値!Z141,高値!AB141&gt;高値!AC141,高値!AB141&gt;高値!AD141),23,""))</f>
      </c>
      <c r="AY141" s="684">
        <f>IF(終値!A141="","",IF(AND(高値!AC141&gt;高値!AB141,高値!AC141&gt;高値!AA141,高値!AC141&gt;高値!AD141,高値!AC141&gt;高値!AE141),24,""))</f>
      </c>
      <c r="AZ141" s="684">
        <f>IF(終値!A141="","",IF(AND(高値!AD141&gt;高値!AC141,高値!AD141&gt;高値!AB141,高値!AD141&gt;高値!AE141,高値!AD141&gt;高値!AF141),25,""))</f>
      </c>
      <c r="BA141" s="684">
        <f>IF(終値!A141="","",IF(AND(高値!AE141&gt;高値!AD141,高値!AE141&gt;高値!AC141,高値!AE141&gt;高値!AF141,高値!AE141&gt;高値!AG141),26,""))</f>
      </c>
      <c r="BB141" s="684">
        <f>IF(終値!A141="","",IF(AND(高値!AF141&gt;高値!AE141,高値!AF141&gt;高値!AD141,高値!AF141&gt;高値!AG141,高値!AF141&gt;高値!AH141),27,""))</f>
      </c>
      <c r="BC141" s="684">
        <f>IF(終値!A141="","",IF(AND(高値!AG141&gt;高値!AF141,高値!AG141&gt;高値!AE141,高値!AG141&gt;高値!AH141,高値!AG141&gt;高値!AI141),28,""))</f>
      </c>
      <c r="BD141" s="684">
        <f>COUNT($B141:$AB141)</f>
      </c>
      <c r="BE141" s="684">
        <f>IF($BD141&gt;=2,MIN($B141:$AB141),"")</f>
      </c>
      <c r="BF141" s="684">
        <f>IF($BD141&gt;=2,SMALL($B141:$AB141,2),"")</f>
      </c>
      <c r="BG141" s="684">
        <f>IF($BE141="","",INDEX(安値!$E141:$CZ141,1,$BE141+1))</f>
      </c>
      <c r="BH141" s="684">
        <f>IF($BF141="","",INDEX(安値!$E141:$CZ141,1,$BF141+1))</f>
      </c>
      <c r="BI141" s="684">
        <f>IF($BF141="","",MAX(INDEX(高値!$E141:$CZ141,1,$BE141+1):INDEX(高値!$E141:$CZ141,1,$BF141+1)))</f>
      </c>
      <c r="BJ141" s="684">
        <f>IF($BF141="","",AVERAGE(INDEX(終値!$E141:$CZ141,1,$BF141+1):INDEX(終値!$E141:$CZ141,1,$BF141+20))-2*STDEVP(INDEX(終値!$E141:$CZ141,1,$BF141+1):INDEX(終値!$E141:$CZ141,1,$BF141+20)))</f>
      </c>
      <c r="BK141" s="684">
        <f>IF($BE141="","",AVERAGE(INDEX(終値!$E141:$CZ141,1,$BE141+1):INDEX(終値!$E141:$CZ141,1,$BE141+20))-2*STDEVP(INDEX(終値!$E141:$CZ141,1,$BE141+1):INDEX(終値!$E141:$CZ141,1,$BE141+20)))</f>
      </c>
      <c r="BL141" s="684">
        <f>COUNT($AC141:$BC141)</f>
      </c>
      <c r="BM141" s="684">
        <f>IF($BL141&gt;=2,MIN($AC141:$BC141),"")</f>
      </c>
      <c r="BN141" s="684">
        <f>IF($BL141&gt;=2,SMALL($AC141:$BC141,2),"")</f>
      </c>
      <c r="BO141" s="684">
        <f>IF($BM141="","",INDEX(高値!$E141:$CZ141,1,$BM141+1))</f>
      </c>
      <c r="BP141" s="684">
        <f>IF($BN141="","",INDEX(高値!$E141:$CZ141,1,$BN141+1))</f>
      </c>
      <c r="BQ141" s="684">
        <f>IF($BN141="","",MIN(INDEX(安値!$E141:$CZ141,1,$BM141+1):INDEX(安値!$E141:$CZ141,1,$BN141+1)))</f>
      </c>
      <c r="BR141" s="684">
        <f>IF($BN141="","",AVERAGE(INDEX(終値!$E141:$CZ141,1,$BN141+1):INDEX(終値!$E141:$CZ141,1,$BN141+20))+2*STDEVP(INDEX(終値!$E141:$CZ141,1,$BN141+1):INDEX(終値!$E141:$CZ141,1,$BN141+20)))</f>
      </c>
      <c r="BS141" s="684">
        <f>IF($BM141="","",AVERAGE(INDEX(終値!$E141:$CZ141,1,$BM141+1):INDEX(終値!$E141:$CZ141,1,$BM141+20))+2*STDEVP(INDEX(終値!$E141:$CZ141,1,$BM141+1):INDEX(終値!$E141:$CZ141,1,$BM141+20)))</f>
      </c>
      <c r="BT141" s="681">
        <f>IFERROR(IF(AND($BD141&gt;=2,ABS($BG141-$BH141)/$BH141&lt;=BB設定!$B$12,$BI141&gt;=MAX($BH141,$BG141)*(1+BB設定!$B$13),終値!E141&gt;$BG141),IF(OR(終値!E141&gt;=$BI141,AND($BH141&lt;$BJ141,$BG141&gt;=$BK141)),"二番底W▲","二番底W形成"),IF(AND($BL141&gt;=2,ABS($BO141-$BP141)/$BP141&lt;=BB設定!$B$12,$BQ141&lt;=MIN($BP141,$BO141)*(1-BB設定!$B$13),終値!E141&lt;$BO141),IF(OR(終値!E141&lt;=$BQ141,AND($BP141&gt;$BR141,$BO141&lt;=$BS141)),"二番天井M▼","二番天井M形成"),"－")),"－")</f>
      </c>
    </row>
    <row r="142">
      <c r="B142" s="684">
        <f>IF(終値!A142="","",IF(AND(安値!G142&lt;安値!F142,安値!G142&lt;安値!E142,安値!G142&lt;安値!H142,安値!G142&lt;安値!I142),2,""))</f>
      </c>
      <c r="C142" s="684">
        <f>IF(終値!A142="","",IF(AND(安値!H142&lt;安値!G142,安値!H142&lt;安値!F142,安値!H142&lt;安値!I142,安値!H142&lt;安値!J142),3,""))</f>
      </c>
      <c r="D142" s="684">
        <f>IF(終値!A142="","",IF(AND(安値!I142&lt;安値!H142,安値!I142&lt;安値!G142,安値!I142&lt;安値!J142,安値!I142&lt;安値!K142),4,""))</f>
      </c>
      <c r="E142" s="684">
        <f>IF(終値!A142="","",IF(AND(安値!J142&lt;安値!I142,安値!J142&lt;安値!H142,安値!J142&lt;安値!K142,安値!J142&lt;安値!L142),5,""))</f>
      </c>
      <c r="F142" s="684">
        <f>IF(終値!A142="","",IF(AND(安値!K142&lt;安値!J142,安値!K142&lt;安値!I142,安値!K142&lt;安値!L142,安値!K142&lt;安値!M142),6,""))</f>
      </c>
      <c r="G142" s="684">
        <f>IF(終値!A142="","",IF(AND(安値!L142&lt;安値!K142,安値!L142&lt;安値!J142,安値!L142&lt;安値!M142,安値!L142&lt;安値!N142),7,""))</f>
      </c>
      <c r="H142" s="684">
        <f>IF(終値!A142="","",IF(AND(安値!M142&lt;安値!L142,安値!M142&lt;安値!K142,安値!M142&lt;安値!N142,安値!M142&lt;安値!O142),8,""))</f>
      </c>
      <c r="I142" s="684">
        <f>IF(終値!A142="","",IF(AND(安値!N142&lt;安値!M142,安値!N142&lt;安値!L142,安値!N142&lt;安値!O142,安値!N142&lt;安値!P142),9,""))</f>
      </c>
      <c r="J142" s="684">
        <f>IF(終値!A142="","",IF(AND(安値!O142&lt;安値!N142,安値!O142&lt;安値!M142,安値!O142&lt;安値!P142,安値!O142&lt;安値!Q142),10,""))</f>
      </c>
      <c r="K142" s="684">
        <f>IF(終値!A142="","",IF(AND(安値!P142&lt;安値!O142,安値!P142&lt;安値!N142,安値!P142&lt;安値!Q142,安値!P142&lt;安値!R142),11,""))</f>
      </c>
      <c r="L142" s="684">
        <f>IF(終値!A142="","",IF(AND(安値!Q142&lt;安値!P142,安値!Q142&lt;安値!O142,安値!Q142&lt;安値!R142,安値!Q142&lt;安値!S142),12,""))</f>
      </c>
      <c r="M142" s="684">
        <f>IF(終値!A142="","",IF(AND(安値!R142&lt;安値!Q142,安値!R142&lt;安値!P142,安値!R142&lt;安値!S142,安値!R142&lt;安値!T142),13,""))</f>
      </c>
      <c r="N142" s="684">
        <f>IF(終値!A142="","",IF(AND(安値!S142&lt;安値!R142,安値!S142&lt;安値!Q142,安値!S142&lt;安値!T142,安値!S142&lt;安値!U142),14,""))</f>
      </c>
      <c r="O142" s="684">
        <f>IF(終値!A142="","",IF(AND(安値!T142&lt;安値!S142,安値!T142&lt;安値!R142,安値!T142&lt;安値!U142,安値!T142&lt;安値!V142),15,""))</f>
      </c>
      <c r="P142" s="684">
        <f>IF(終値!A142="","",IF(AND(安値!U142&lt;安値!T142,安値!U142&lt;安値!S142,安値!U142&lt;安値!V142,安値!U142&lt;安値!W142),16,""))</f>
      </c>
      <c r="Q142" s="684">
        <f>IF(終値!A142="","",IF(AND(安値!V142&lt;安値!U142,安値!V142&lt;安値!T142,安値!V142&lt;安値!W142,安値!V142&lt;安値!X142),17,""))</f>
      </c>
      <c r="R142" s="684">
        <f>IF(終値!A142="","",IF(AND(安値!W142&lt;安値!V142,安値!W142&lt;安値!U142,安値!W142&lt;安値!X142,安値!W142&lt;安値!Y142),18,""))</f>
      </c>
      <c r="S142" s="684">
        <f>IF(終値!A142="","",IF(AND(安値!X142&lt;安値!W142,安値!X142&lt;安値!V142,安値!X142&lt;安値!Y142,安値!X142&lt;安値!Z142),19,""))</f>
      </c>
      <c r="T142" s="684">
        <f>IF(終値!A142="","",IF(AND(安値!Y142&lt;安値!X142,安値!Y142&lt;安値!W142,安値!Y142&lt;安値!Z142,安値!Y142&lt;安値!AA142),20,""))</f>
      </c>
      <c r="U142" s="684">
        <f>IF(終値!A142="","",IF(AND(安値!Z142&lt;安値!Y142,安値!Z142&lt;安値!X142,安値!Z142&lt;安値!AA142,安値!Z142&lt;安値!AB142),21,""))</f>
      </c>
      <c r="V142" s="684">
        <f>IF(終値!A142="","",IF(AND(安値!AA142&lt;安値!Z142,安値!AA142&lt;安値!Y142,安値!AA142&lt;安値!AB142,安値!AA142&lt;安値!AC142),22,""))</f>
      </c>
      <c r="W142" s="684">
        <f>IF(終値!A142="","",IF(AND(安値!AB142&lt;安値!AA142,安値!AB142&lt;安値!Z142,安値!AB142&lt;安値!AC142,安値!AB142&lt;安値!AD142),23,""))</f>
      </c>
      <c r="X142" s="684">
        <f>IF(終値!A142="","",IF(AND(安値!AC142&lt;安値!AB142,安値!AC142&lt;安値!AA142,安値!AC142&lt;安値!AD142,安値!AC142&lt;安値!AE142),24,""))</f>
      </c>
      <c r="Y142" s="684">
        <f>IF(終値!A142="","",IF(AND(安値!AD142&lt;安値!AC142,安値!AD142&lt;安値!AB142,安値!AD142&lt;安値!AE142,安値!AD142&lt;安値!AF142),25,""))</f>
      </c>
      <c r="Z142" s="684">
        <f>IF(終値!A142="","",IF(AND(安値!AE142&lt;安値!AD142,安値!AE142&lt;安値!AC142,安値!AE142&lt;安値!AF142,安値!AE142&lt;安値!AG142),26,""))</f>
      </c>
      <c r="AA142" s="684">
        <f>IF(終値!A142="","",IF(AND(安値!AF142&lt;安値!AE142,安値!AF142&lt;安値!AD142,安値!AF142&lt;安値!AG142,安値!AF142&lt;安値!AH142),27,""))</f>
      </c>
      <c r="AB142" s="684">
        <f>IF(終値!A142="","",IF(AND(安値!AG142&lt;安値!AF142,安値!AG142&lt;安値!AE142,安値!AG142&lt;安値!AH142,安値!AG142&lt;安値!AI142),28,""))</f>
      </c>
      <c r="AC142" s="684">
        <f>IF(終値!A142="","",IF(AND(高値!G142&gt;高値!F142,高値!G142&gt;高値!E142,高値!G142&gt;高値!H142,高値!G142&gt;高値!I142),2,""))</f>
      </c>
      <c r="AD142" s="684">
        <f>IF(終値!A142="","",IF(AND(高値!H142&gt;高値!G142,高値!H142&gt;高値!F142,高値!H142&gt;高値!I142,高値!H142&gt;高値!J142),3,""))</f>
      </c>
      <c r="AE142" s="684">
        <f>IF(終値!A142="","",IF(AND(高値!I142&gt;高値!H142,高値!I142&gt;高値!G142,高値!I142&gt;高値!J142,高値!I142&gt;高値!K142),4,""))</f>
      </c>
      <c r="AF142" s="684">
        <f>IF(終値!A142="","",IF(AND(高値!J142&gt;高値!I142,高値!J142&gt;高値!H142,高値!J142&gt;高値!K142,高値!J142&gt;高値!L142),5,""))</f>
      </c>
      <c r="AG142" s="684">
        <f>IF(終値!A142="","",IF(AND(高値!K142&gt;高値!J142,高値!K142&gt;高値!I142,高値!K142&gt;高値!L142,高値!K142&gt;高値!M142),6,""))</f>
      </c>
      <c r="AH142" s="684">
        <f>IF(終値!A142="","",IF(AND(高値!L142&gt;高値!K142,高値!L142&gt;高値!J142,高値!L142&gt;高値!M142,高値!L142&gt;高値!N142),7,""))</f>
      </c>
      <c r="AI142" s="684">
        <f>IF(終値!A142="","",IF(AND(高値!M142&gt;高値!L142,高値!M142&gt;高値!K142,高値!M142&gt;高値!N142,高値!M142&gt;高値!O142),8,""))</f>
      </c>
      <c r="AJ142" s="684">
        <f>IF(終値!A142="","",IF(AND(高値!N142&gt;高値!M142,高値!N142&gt;高値!L142,高値!N142&gt;高値!O142,高値!N142&gt;高値!P142),9,""))</f>
      </c>
      <c r="AK142" s="684">
        <f>IF(終値!A142="","",IF(AND(高値!O142&gt;高値!N142,高値!O142&gt;高値!M142,高値!O142&gt;高値!P142,高値!O142&gt;高値!Q142),10,""))</f>
      </c>
      <c r="AL142" s="684">
        <f>IF(終値!A142="","",IF(AND(高値!P142&gt;高値!O142,高値!P142&gt;高値!N142,高値!P142&gt;高値!Q142,高値!P142&gt;高値!R142),11,""))</f>
      </c>
      <c r="AM142" s="684">
        <f>IF(終値!A142="","",IF(AND(高値!Q142&gt;高値!P142,高値!Q142&gt;高値!O142,高値!Q142&gt;高値!R142,高値!Q142&gt;高値!S142),12,""))</f>
      </c>
      <c r="AN142" s="684">
        <f>IF(終値!A142="","",IF(AND(高値!R142&gt;高値!Q142,高値!R142&gt;高値!P142,高値!R142&gt;高値!S142,高値!R142&gt;高値!T142),13,""))</f>
      </c>
      <c r="AO142" s="684">
        <f>IF(終値!A142="","",IF(AND(高値!S142&gt;高値!R142,高値!S142&gt;高値!Q142,高値!S142&gt;高値!T142,高値!S142&gt;高値!U142),14,""))</f>
      </c>
      <c r="AP142" s="684">
        <f>IF(終値!A142="","",IF(AND(高値!T142&gt;高値!S142,高値!T142&gt;高値!R142,高値!T142&gt;高値!U142,高値!T142&gt;高値!V142),15,""))</f>
      </c>
      <c r="AQ142" s="684">
        <f>IF(終値!A142="","",IF(AND(高値!U142&gt;高値!T142,高値!U142&gt;高値!S142,高値!U142&gt;高値!V142,高値!U142&gt;高値!W142),16,""))</f>
      </c>
      <c r="AR142" s="684">
        <f>IF(終値!A142="","",IF(AND(高値!V142&gt;高値!U142,高値!V142&gt;高値!T142,高値!V142&gt;高値!W142,高値!V142&gt;高値!X142),17,""))</f>
      </c>
      <c r="AS142" s="684">
        <f>IF(終値!A142="","",IF(AND(高値!W142&gt;高値!V142,高値!W142&gt;高値!U142,高値!W142&gt;高値!X142,高値!W142&gt;高値!Y142),18,""))</f>
      </c>
      <c r="AT142" s="684">
        <f>IF(終値!A142="","",IF(AND(高値!X142&gt;高値!W142,高値!X142&gt;高値!V142,高値!X142&gt;高値!Y142,高値!X142&gt;高値!Z142),19,""))</f>
      </c>
      <c r="AU142" s="684">
        <f>IF(終値!A142="","",IF(AND(高値!Y142&gt;高値!X142,高値!Y142&gt;高値!W142,高値!Y142&gt;高値!Z142,高値!Y142&gt;高値!AA142),20,""))</f>
      </c>
      <c r="AV142" s="684">
        <f>IF(終値!A142="","",IF(AND(高値!Z142&gt;高値!Y142,高値!Z142&gt;高値!X142,高値!Z142&gt;高値!AA142,高値!Z142&gt;高値!AB142),21,""))</f>
      </c>
      <c r="AW142" s="684">
        <f>IF(終値!A142="","",IF(AND(高値!AA142&gt;高値!Z142,高値!AA142&gt;高値!Y142,高値!AA142&gt;高値!AB142,高値!AA142&gt;高値!AC142),22,""))</f>
      </c>
      <c r="AX142" s="684">
        <f>IF(終値!A142="","",IF(AND(高値!AB142&gt;高値!AA142,高値!AB142&gt;高値!Z142,高値!AB142&gt;高値!AC142,高値!AB142&gt;高値!AD142),23,""))</f>
      </c>
      <c r="AY142" s="684">
        <f>IF(終値!A142="","",IF(AND(高値!AC142&gt;高値!AB142,高値!AC142&gt;高値!AA142,高値!AC142&gt;高値!AD142,高値!AC142&gt;高値!AE142),24,""))</f>
      </c>
      <c r="AZ142" s="684">
        <f>IF(終値!A142="","",IF(AND(高値!AD142&gt;高値!AC142,高値!AD142&gt;高値!AB142,高値!AD142&gt;高値!AE142,高値!AD142&gt;高値!AF142),25,""))</f>
      </c>
      <c r="BA142" s="684">
        <f>IF(終値!A142="","",IF(AND(高値!AE142&gt;高値!AD142,高値!AE142&gt;高値!AC142,高値!AE142&gt;高値!AF142,高値!AE142&gt;高値!AG142),26,""))</f>
      </c>
      <c r="BB142" s="684">
        <f>IF(終値!A142="","",IF(AND(高値!AF142&gt;高値!AE142,高値!AF142&gt;高値!AD142,高値!AF142&gt;高値!AG142,高値!AF142&gt;高値!AH142),27,""))</f>
      </c>
      <c r="BC142" s="684">
        <f>IF(終値!A142="","",IF(AND(高値!AG142&gt;高値!AF142,高値!AG142&gt;高値!AE142,高値!AG142&gt;高値!AH142,高値!AG142&gt;高値!AI142),28,""))</f>
      </c>
      <c r="BD142" s="684">
        <f>COUNT($B142:$AB142)</f>
      </c>
      <c r="BE142" s="684">
        <f>IF($BD142&gt;=2,MIN($B142:$AB142),"")</f>
      </c>
      <c r="BF142" s="684">
        <f>IF($BD142&gt;=2,SMALL($B142:$AB142,2),"")</f>
      </c>
      <c r="BG142" s="684">
        <f>IF($BE142="","",INDEX(安値!$E142:$CZ142,1,$BE142+1))</f>
      </c>
      <c r="BH142" s="684">
        <f>IF($BF142="","",INDEX(安値!$E142:$CZ142,1,$BF142+1))</f>
      </c>
      <c r="BI142" s="684">
        <f>IF($BF142="","",MAX(INDEX(高値!$E142:$CZ142,1,$BE142+1):INDEX(高値!$E142:$CZ142,1,$BF142+1)))</f>
      </c>
      <c r="BJ142" s="684">
        <f>IF($BF142="","",AVERAGE(INDEX(終値!$E142:$CZ142,1,$BF142+1):INDEX(終値!$E142:$CZ142,1,$BF142+20))-2*STDEVP(INDEX(終値!$E142:$CZ142,1,$BF142+1):INDEX(終値!$E142:$CZ142,1,$BF142+20)))</f>
      </c>
      <c r="BK142" s="684">
        <f>IF($BE142="","",AVERAGE(INDEX(終値!$E142:$CZ142,1,$BE142+1):INDEX(終値!$E142:$CZ142,1,$BE142+20))-2*STDEVP(INDEX(終値!$E142:$CZ142,1,$BE142+1):INDEX(終値!$E142:$CZ142,1,$BE142+20)))</f>
      </c>
      <c r="BL142" s="684">
        <f>COUNT($AC142:$BC142)</f>
      </c>
      <c r="BM142" s="684">
        <f>IF($BL142&gt;=2,MIN($AC142:$BC142),"")</f>
      </c>
      <c r="BN142" s="684">
        <f>IF($BL142&gt;=2,SMALL($AC142:$BC142,2),"")</f>
      </c>
      <c r="BO142" s="684">
        <f>IF($BM142="","",INDEX(高値!$E142:$CZ142,1,$BM142+1))</f>
      </c>
      <c r="BP142" s="684">
        <f>IF($BN142="","",INDEX(高値!$E142:$CZ142,1,$BN142+1))</f>
      </c>
      <c r="BQ142" s="684">
        <f>IF($BN142="","",MIN(INDEX(安値!$E142:$CZ142,1,$BM142+1):INDEX(安値!$E142:$CZ142,1,$BN142+1)))</f>
      </c>
      <c r="BR142" s="684">
        <f>IF($BN142="","",AVERAGE(INDEX(終値!$E142:$CZ142,1,$BN142+1):INDEX(終値!$E142:$CZ142,1,$BN142+20))+2*STDEVP(INDEX(終値!$E142:$CZ142,1,$BN142+1):INDEX(終値!$E142:$CZ142,1,$BN142+20)))</f>
      </c>
      <c r="BS142" s="684">
        <f>IF($BM142="","",AVERAGE(INDEX(終値!$E142:$CZ142,1,$BM142+1):INDEX(終値!$E142:$CZ142,1,$BM142+20))+2*STDEVP(INDEX(終値!$E142:$CZ142,1,$BM142+1):INDEX(終値!$E142:$CZ142,1,$BM142+20)))</f>
      </c>
      <c r="BT142" s="681">
        <f>IFERROR(IF(AND($BD142&gt;=2,ABS($BG142-$BH142)/$BH142&lt;=BB設定!$B$12,$BI142&gt;=MAX($BH142,$BG142)*(1+BB設定!$B$13),終値!E142&gt;$BG142),IF(OR(終値!E142&gt;=$BI142,AND($BH142&lt;$BJ142,$BG142&gt;=$BK142)),"二番底W▲","二番底W形成"),IF(AND($BL142&gt;=2,ABS($BO142-$BP142)/$BP142&lt;=BB設定!$B$12,$BQ142&lt;=MIN($BP142,$BO142)*(1-BB設定!$B$13),終値!E142&lt;$BO142),IF(OR(終値!E142&lt;=$BQ142,AND($BP142&gt;$BR142,$BO142&lt;=$BS142)),"二番天井M▼","二番天井M形成"),"－")),"－")</f>
      </c>
    </row>
    <row r="143">
      <c r="B143" s="684">
        <f>IF(終値!A143="","",IF(AND(安値!G143&lt;安値!F143,安値!G143&lt;安値!E143,安値!G143&lt;安値!H143,安値!G143&lt;安値!I143),2,""))</f>
      </c>
      <c r="C143" s="684">
        <f>IF(終値!A143="","",IF(AND(安値!H143&lt;安値!G143,安値!H143&lt;安値!F143,安値!H143&lt;安値!I143,安値!H143&lt;安値!J143),3,""))</f>
      </c>
      <c r="D143" s="684">
        <f>IF(終値!A143="","",IF(AND(安値!I143&lt;安値!H143,安値!I143&lt;安値!G143,安値!I143&lt;安値!J143,安値!I143&lt;安値!K143),4,""))</f>
      </c>
      <c r="E143" s="684">
        <f>IF(終値!A143="","",IF(AND(安値!J143&lt;安値!I143,安値!J143&lt;安値!H143,安値!J143&lt;安値!K143,安値!J143&lt;安値!L143),5,""))</f>
      </c>
      <c r="F143" s="684">
        <f>IF(終値!A143="","",IF(AND(安値!K143&lt;安値!J143,安値!K143&lt;安値!I143,安値!K143&lt;安値!L143,安値!K143&lt;安値!M143),6,""))</f>
      </c>
      <c r="G143" s="684">
        <f>IF(終値!A143="","",IF(AND(安値!L143&lt;安値!K143,安値!L143&lt;安値!J143,安値!L143&lt;安値!M143,安値!L143&lt;安値!N143),7,""))</f>
      </c>
      <c r="H143" s="684">
        <f>IF(終値!A143="","",IF(AND(安値!M143&lt;安値!L143,安値!M143&lt;安値!K143,安値!M143&lt;安値!N143,安値!M143&lt;安値!O143),8,""))</f>
      </c>
      <c r="I143" s="684">
        <f>IF(終値!A143="","",IF(AND(安値!N143&lt;安値!M143,安値!N143&lt;安値!L143,安値!N143&lt;安値!O143,安値!N143&lt;安値!P143),9,""))</f>
      </c>
      <c r="J143" s="684">
        <f>IF(終値!A143="","",IF(AND(安値!O143&lt;安値!N143,安値!O143&lt;安値!M143,安値!O143&lt;安値!P143,安値!O143&lt;安値!Q143),10,""))</f>
      </c>
      <c r="K143" s="684">
        <f>IF(終値!A143="","",IF(AND(安値!P143&lt;安値!O143,安値!P143&lt;安値!N143,安値!P143&lt;安値!Q143,安値!P143&lt;安値!R143),11,""))</f>
      </c>
      <c r="L143" s="684">
        <f>IF(終値!A143="","",IF(AND(安値!Q143&lt;安値!P143,安値!Q143&lt;安値!O143,安値!Q143&lt;安値!R143,安値!Q143&lt;安値!S143),12,""))</f>
      </c>
      <c r="M143" s="684">
        <f>IF(終値!A143="","",IF(AND(安値!R143&lt;安値!Q143,安値!R143&lt;安値!P143,安値!R143&lt;安値!S143,安値!R143&lt;安値!T143),13,""))</f>
      </c>
      <c r="N143" s="684">
        <f>IF(終値!A143="","",IF(AND(安値!S143&lt;安値!R143,安値!S143&lt;安値!Q143,安値!S143&lt;安値!T143,安値!S143&lt;安値!U143),14,""))</f>
      </c>
      <c r="O143" s="684">
        <f>IF(終値!A143="","",IF(AND(安値!T143&lt;安値!S143,安値!T143&lt;安値!R143,安値!T143&lt;安値!U143,安値!T143&lt;安値!V143),15,""))</f>
      </c>
      <c r="P143" s="684">
        <f>IF(終値!A143="","",IF(AND(安値!U143&lt;安値!T143,安値!U143&lt;安値!S143,安値!U143&lt;安値!V143,安値!U143&lt;安値!W143),16,""))</f>
      </c>
      <c r="Q143" s="684">
        <f>IF(終値!A143="","",IF(AND(安値!V143&lt;安値!U143,安値!V143&lt;安値!T143,安値!V143&lt;安値!W143,安値!V143&lt;安値!X143),17,""))</f>
      </c>
      <c r="R143" s="684">
        <f>IF(終値!A143="","",IF(AND(安値!W143&lt;安値!V143,安値!W143&lt;安値!U143,安値!W143&lt;安値!X143,安値!W143&lt;安値!Y143),18,""))</f>
      </c>
      <c r="S143" s="684">
        <f>IF(終値!A143="","",IF(AND(安値!X143&lt;安値!W143,安値!X143&lt;安値!V143,安値!X143&lt;安値!Y143,安値!X143&lt;安値!Z143),19,""))</f>
      </c>
      <c r="T143" s="684">
        <f>IF(終値!A143="","",IF(AND(安値!Y143&lt;安値!X143,安値!Y143&lt;安値!W143,安値!Y143&lt;安値!Z143,安値!Y143&lt;安値!AA143),20,""))</f>
      </c>
      <c r="U143" s="684">
        <f>IF(終値!A143="","",IF(AND(安値!Z143&lt;安値!Y143,安値!Z143&lt;安値!X143,安値!Z143&lt;安値!AA143,安値!Z143&lt;安値!AB143),21,""))</f>
      </c>
      <c r="V143" s="684">
        <f>IF(終値!A143="","",IF(AND(安値!AA143&lt;安値!Z143,安値!AA143&lt;安値!Y143,安値!AA143&lt;安値!AB143,安値!AA143&lt;安値!AC143),22,""))</f>
      </c>
      <c r="W143" s="684">
        <f>IF(終値!A143="","",IF(AND(安値!AB143&lt;安値!AA143,安値!AB143&lt;安値!Z143,安値!AB143&lt;安値!AC143,安値!AB143&lt;安値!AD143),23,""))</f>
      </c>
      <c r="X143" s="684">
        <f>IF(終値!A143="","",IF(AND(安値!AC143&lt;安値!AB143,安値!AC143&lt;安値!AA143,安値!AC143&lt;安値!AD143,安値!AC143&lt;安値!AE143),24,""))</f>
      </c>
      <c r="Y143" s="684">
        <f>IF(終値!A143="","",IF(AND(安値!AD143&lt;安値!AC143,安値!AD143&lt;安値!AB143,安値!AD143&lt;安値!AE143,安値!AD143&lt;安値!AF143),25,""))</f>
      </c>
      <c r="Z143" s="684">
        <f>IF(終値!A143="","",IF(AND(安値!AE143&lt;安値!AD143,安値!AE143&lt;安値!AC143,安値!AE143&lt;安値!AF143,安値!AE143&lt;安値!AG143),26,""))</f>
      </c>
      <c r="AA143" s="684">
        <f>IF(終値!A143="","",IF(AND(安値!AF143&lt;安値!AE143,安値!AF143&lt;安値!AD143,安値!AF143&lt;安値!AG143,安値!AF143&lt;安値!AH143),27,""))</f>
      </c>
      <c r="AB143" s="684">
        <f>IF(終値!A143="","",IF(AND(安値!AG143&lt;安値!AF143,安値!AG143&lt;安値!AE143,安値!AG143&lt;安値!AH143,安値!AG143&lt;安値!AI143),28,""))</f>
      </c>
      <c r="AC143" s="684">
        <f>IF(終値!A143="","",IF(AND(高値!G143&gt;高値!F143,高値!G143&gt;高値!E143,高値!G143&gt;高値!H143,高値!G143&gt;高値!I143),2,""))</f>
      </c>
      <c r="AD143" s="684">
        <f>IF(終値!A143="","",IF(AND(高値!H143&gt;高値!G143,高値!H143&gt;高値!F143,高値!H143&gt;高値!I143,高値!H143&gt;高値!J143),3,""))</f>
      </c>
      <c r="AE143" s="684">
        <f>IF(終値!A143="","",IF(AND(高値!I143&gt;高値!H143,高値!I143&gt;高値!G143,高値!I143&gt;高値!J143,高値!I143&gt;高値!K143),4,""))</f>
      </c>
      <c r="AF143" s="684">
        <f>IF(終値!A143="","",IF(AND(高値!J143&gt;高値!I143,高値!J143&gt;高値!H143,高値!J143&gt;高値!K143,高値!J143&gt;高値!L143),5,""))</f>
      </c>
      <c r="AG143" s="684">
        <f>IF(終値!A143="","",IF(AND(高値!K143&gt;高値!J143,高値!K143&gt;高値!I143,高値!K143&gt;高値!L143,高値!K143&gt;高値!M143),6,""))</f>
      </c>
      <c r="AH143" s="684">
        <f>IF(終値!A143="","",IF(AND(高値!L143&gt;高値!K143,高値!L143&gt;高値!J143,高値!L143&gt;高値!M143,高値!L143&gt;高値!N143),7,""))</f>
      </c>
      <c r="AI143" s="684">
        <f>IF(終値!A143="","",IF(AND(高値!M143&gt;高値!L143,高値!M143&gt;高値!K143,高値!M143&gt;高値!N143,高値!M143&gt;高値!O143),8,""))</f>
      </c>
      <c r="AJ143" s="684">
        <f>IF(終値!A143="","",IF(AND(高値!N143&gt;高値!M143,高値!N143&gt;高値!L143,高値!N143&gt;高値!O143,高値!N143&gt;高値!P143),9,""))</f>
      </c>
      <c r="AK143" s="684">
        <f>IF(終値!A143="","",IF(AND(高値!O143&gt;高値!N143,高値!O143&gt;高値!M143,高値!O143&gt;高値!P143,高値!O143&gt;高値!Q143),10,""))</f>
      </c>
      <c r="AL143" s="684">
        <f>IF(終値!A143="","",IF(AND(高値!P143&gt;高値!O143,高値!P143&gt;高値!N143,高値!P143&gt;高値!Q143,高値!P143&gt;高値!R143),11,""))</f>
      </c>
      <c r="AM143" s="684">
        <f>IF(終値!A143="","",IF(AND(高値!Q143&gt;高値!P143,高値!Q143&gt;高値!O143,高値!Q143&gt;高値!R143,高値!Q143&gt;高値!S143),12,""))</f>
      </c>
      <c r="AN143" s="684">
        <f>IF(終値!A143="","",IF(AND(高値!R143&gt;高値!Q143,高値!R143&gt;高値!P143,高値!R143&gt;高値!S143,高値!R143&gt;高値!T143),13,""))</f>
      </c>
      <c r="AO143" s="684">
        <f>IF(終値!A143="","",IF(AND(高値!S143&gt;高値!R143,高値!S143&gt;高値!Q143,高値!S143&gt;高値!T143,高値!S143&gt;高値!U143),14,""))</f>
      </c>
      <c r="AP143" s="684">
        <f>IF(終値!A143="","",IF(AND(高値!T143&gt;高値!S143,高値!T143&gt;高値!R143,高値!T143&gt;高値!U143,高値!T143&gt;高値!V143),15,""))</f>
      </c>
      <c r="AQ143" s="684">
        <f>IF(終値!A143="","",IF(AND(高値!U143&gt;高値!T143,高値!U143&gt;高値!S143,高値!U143&gt;高値!V143,高値!U143&gt;高値!W143),16,""))</f>
      </c>
      <c r="AR143" s="684">
        <f>IF(終値!A143="","",IF(AND(高値!V143&gt;高値!U143,高値!V143&gt;高値!T143,高値!V143&gt;高値!W143,高値!V143&gt;高値!X143),17,""))</f>
      </c>
      <c r="AS143" s="684">
        <f>IF(終値!A143="","",IF(AND(高値!W143&gt;高値!V143,高値!W143&gt;高値!U143,高値!W143&gt;高値!X143,高値!W143&gt;高値!Y143),18,""))</f>
      </c>
      <c r="AT143" s="684">
        <f>IF(終値!A143="","",IF(AND(高値!X143&gt;高値!W143,高値!X143&gt;高値!V143,高値!X143&gt;高値!Y143,高値!X143&gt;高値!Z143),19,""))</f>
      </c>
      <c r="AU143" s="684">
        <f>IF(終値!A143="","",IF(AND(高値!Y143&gt;高値!X143,高値!Y143&gt;高値!W143,高値!Y143&gt;高値!Z143,高値!Y143&gt;高値!AA143),20,""))</f>
      </c>
      <c r="AV143" s="684">
        <f>IF(終値!A143="","",IF(AND(高値!Z143&gt;高値!Y143,高値!Z143&gt;高値!X143,高値!Z143&gt;高値!AA143,高値!Z143&gt;高値!AB143),21,""))</f>
      </c>
      <c r="AW143" s="684">
        <f>IF(終値!A143="","",IF(AND(高値!AA143&gt;高値!Z143,高値!AA143&gt;高値!Y143,高値!AA143&gt;高値!AB143,高値!AA143&gt;高値!AC143),22,""))</f>
      </c>
      <c r="AX143" s="684">
        <f>IF(終値!A143="","",IF(AND(高値!AB143&gt;高値!AA143,高値!AB143&gt;高値!Z143,高値!AB143&gt;高値!AC143,高値!AB143&gt;高値!AD143),23,""))</f>
      </c>
      <c r="AY143" s="684">
        <f>IF(終値!A143="","",IF(AND(高値!AC143&gt;高値!AB143,高値!AC143&gt;高値!AA143,高値!AC143&gt;高値!AD143,高値!AC143&gt;高値!AE143),24,""))</f>
      </c>
      <c r="AZ143" s="684">
        <f>IF(終値!A143="","",IF(AND(高値!AD143&gt;高値!AC143,高値!AD143&gt;高値!AB143,高値!AD143&gt;高値!AE143,高値!AD143&gt;高値!AF143),25,""))</f>
      </c>
      <c r="BA143" s="684">
        <f>IF(終値!A143="","",IF(AND(高値!AE143&gt;高値!AD143,高値!AE143&gt;高値!AC143,高値!AE143&gt;高値!AF143,高値!AE143&gt;高値!AG143),26,""))</f>
      </c>
      <c r="BB143" s="684">
        <f>IF(終値!A143="","",IF(AND(高値!AF143&gt;高値!AE143,高値!AF143&gt;高値!AD143,高値!AF143&gt;高値!AG143,高値!AF143&gt;高値!AH143),27,""))</f>
      </c>
      <c r="BC143" s="684">
        <f>IF(終値!A143="","",IF(AND(高値!AG143&gt;高値!AF143,高値!AG143&gt;高値!AE143,高値!AG143&gt;高値!AH143,高値!AG143&gt;高値!AI143),28,""))</f>
      </c>
      <c r="BD143" s="684">
        <f>COUNT($B143:$AB143)</f>
      </c>
      <c r="BE143" s="684">
        <f>IF($BD143&gt;=2,MIN($B143:$AB143),"")</f>
      </c>
      <c r="BF143" s="684">
        <f>IF($BD143&gt;=2,SMALL($B143:$AB143,2),"")</f>
      </c>
      <c r="BG143" s="684">
        <f>IF($BE143="","",INDEX(安値!$E143:$CZ143,1,$BE143+1))</f>
      </c>
      <c r="BH143" s="684">
        <f>IF($BF143="","",INDEX(安値!$E143:$CZ143,1,$BF143+1))</f>
      </c>
      <c r="BI143" s="684">
        <f>IF($BF143="","",MAX(INDEX(高値!$E143:$CZ143,1,$BE143+1):INDEX(高値!$E143:$CZ143,1,$BF143+1)))</f>
      </c>
      <c r="BJ143" s="684">
        <f>IF($BF143="","",AVERAGE(INDEX(終値!$E143:$CZ143,1,$BF143+1):INDEX(終値!$E143:$CZ143,1,$BF143+20))-2*STDEVP(INDEX(終値!$E143:$CZ143,1,$BF143+1):INDEX(終値!$E143:$CZ143,1,$BF143+20)))</f>
      </c>
      <c r="BK143" s="684">
        <f>IF($BE143="","",AVERAGE(INDEX(終値!$E143:$CZ143,1,$BE143+1):INDEX(終値!$E143:$CZ143,1,$BE143+20))-2*STDEVP(INDEX(終値!$E143:$CZ143,1,$BE143+1):INDEX(終値!$E143:$CZ143,1,$BE143+20)))</f>
      </c>
      <c r="BL143" s="684">
        <f>COUNT($AC143:$BC143)</f>
      </c>
      <c r="BM143" s="684">
        <f>IF($BL143&gt;=2,MIN($AC143:$BC143),"")</f>
      </c>
      <c r="BN143" s="684">
        <f>IF($BL143&gt;=2,SMALL($AC143:$BC143,2),"")</f>
      </c>
      <c r="BO143" s="684">
        <f>IF($BM143="","",INDEX(高値!$E143:$CZ143,1,$BM143+1))</f>
      </c>
      <c r="BP143" s="684">
        <f>IF($BN143="","",INDEX(高値!$E143:$CZ143,1,$BN143+1))</f>
      </c>
      <c r="BQ143" s="684">
        <f>IF($BN143="","",MIN(INDEX(安値!$E143:$CZ143,1,$BM143+1):INDEX(安値!$E143:$CZ143,1,$BN143+1)))</f>
      </c>
      <c r="BR143" s="684">
        <f>IF($BN143="","",AVERAGE(INDEX(終値!$E143:$CZ143,1,$BN143+1):INDEX(終値!$E143:$CZ143,1,$BN143+20))+2*STDEVP(INDEX(終値!$E143:$CZ143,1,$BN143+1):INDEX(終値!$E143:$CZ143,1,$BN143+20)))</f>
      </c>
      <c r="BS143" s="684">
        <f>IF($BM143="","",AVERAGE(INDEX(終値!$E143:$CZ143,1,$BM143+1):INDEX(終値!$E143:$CZ143,1,$BM143+20))+2*STDEVP(INDEX(終値!$E143:$CZ143,1,$BM143+1):INDEX(終値!$E143:$CZ143,1,$BM143+20)))</f>
      </c>
      <c r="BT143" s="681">
        <f>IFERROR(IF(AND($BD143&gt;=2,ABS($BG143-$BH143)/$BH143&lt;=BB設定!$B$12,$BI143&gt;=MAX($BH143,$BG143)*(1+BB設定!$B$13),終値!E143&gt;$BG143),IF(OR(終値!E143&gt;=$BI143,AND($BH143&lt;$BJ143,$BG143&gt;=$BK143)),"二番底W▲","二番底W形成"),IF(AND($BL143&gt;=2,ABS($BO143-$BP143)/$BP143&lt;=BB設定!$B$12,$BQ143&lt;=MIN($BP143,$BO143)*(1-BB設定!$B$13),終値!E143&lt;$BO143),IF(OR(終値!E143&lt;=$BQ143,AND($BP143&gt;$BR143,$BO143&lt;=$BS143)),"二番天井M▼","二番天井M形成"),"－")),"－")</f>
      </c>
    </row>
    <row r="144">
      <c r="B144" s="684">
        <f>IF(終値!A144="","",IF(AND(安値!G144&lt;安値!F144,安値!G144&lt;安値!E144,安値!G144&lt;安値!H144,安値!G144&lt;安値!I144),2,""))</f>
      </c>
      <c r="C144" s="684">
        <f>IF(終値!A144="","",IF(AND(安値!H144&lt;安値!G144,安値!H144&lt;安値!F144,安値!H144&lt;安値!I144,安値!H144&lt;安値!J144),3,""))</f>
      </c>
      <c r="D144" s="684">
        <f>IF(終値!A144="","",IF(AND(安値!I144&lt;安値!H144,安値!I144&lt;安値!G144,安値!I144&lt;安値!J144,安値!I144&lt;安値!K144),4,""))</f>
      </c>
      <c r="E144" s="684">
        <f>IF(終値!A144="","",IF(AND(安値!J144&lt;安値!I144,安値!J144&lt;安値!H144,安値!J144&lt;安値!K144,安値!J144&lt;安値!L144),5,""))</f>
      </c>
      <c r="F144" s="684">
        <f>IF(終値!A144="","",IF(AND(安値!K144&lt;安値!J144,安値!K144&lt;安値!I144,安値!K144&lt;安値!L144,安値!K144&lt;安値!M144),6,""))</f>
      </c>
      <c r="G144" s="684">
        <f>IF(終値!A144="","",IF(AND(安値!L144&lt;安値!K144,安値!L144&lt;安値!J144,安値!L144&lt;安値!M144,安値!L144&lt;安値!N144),7,""))</f>
      </c>
      <c r="H144" s="684">
        <f>IF(終値!A144="","",IF(AND(安値!M144&lt;安値!L144,安値!M144&lt;安値!K144,安値!M144&lt;安値!N144,安値!M144&lt;安値!O144),8,""))</f>
      </c>
      <c r="I144" s="684">
        <f>IF(終値!A144="","",IF(AND(安値!N144&lt;安値!M144,安値!N144&lt;安値!L144,安値!N144&lt;安値!O144,安値!N144&lt;安値!P144),9,""))</f>
      </c>
      <c r="J144" s="684">
        <f>IF(終値!A144="","",IF(AND(安値!O144&lt;安値!N144,安値!O144&lt;安値!M144,安値!O144&lt;安値!P144,安値!O144&lt;安値!Q144),10,""))</f>
      </c>
      <c r="K144" s="684">
        <f>IF(終値!A144="","",IF(AND(安値!P144&lt;安値!O144,安値!P144&lt;安値!N144,安値!P144&lt;安値!Q144,安値!P144&lt;安値!R144),11,""))</f>
      </c>
      <c r="L144" s="684">
        <f>IF(終値!A144="","",IF(AND(安値!Q144&lt;安値!P144,安値!Q144&lt;安値!O144,安値!Q144&lt;安値!R144,安値!Q144&lt;安値!S144),12,""))</f>
      </c>
      <c r="M144" s="684">
        <f>IF(終値!A144="","",IF(AND(安値!R144&lt;安値!Q144,安値!R144&lt;安値!P144,安値!R144&lt;安値!S144,安値!R144&lt;安値!T144),13,""))</f>
      </c>
      <c r="N144" s="684">
        <f>IF(終値!A144="","",IF(AND(安値!S144&lt;安値!R144,安値!S144&lt;安値!Q144,安値!S144&lt;安値!T144,安値!S144&lt;安値!U144),14,""))</f>
      </c>
      <c r="O144" s="684">
        <f>IF(終値!A144="","",IF(AND(安値!T144&lt;安値!S144,安値!T144&lt;安値!R144,安値!T144&lt;安値!U144,安値!T144&lt;安値!V144),15,""))</f>
      </c>
      <c r="P144" s="684">
        <f>IF(終値!A144="","",IF(AND(安値!U144&lt;安値!T144,安値!U144&lt;安値!S144,安値!U144&lt;安値!V144,安値!U144&lt;安値!W144),16,""))</f>
      </c>
      <c r="Q144" s="684">
        <f>IF(終値!A144="","",IF(AND(安値!V144&lt;安値!U144,安値!V144&lt;安値!T144,安値!V144&lt;安値!W144,安値!V144&lt;安値!X144),17,""))</f>
      </c>
      <c r="R144" s="684">
        <f>IF(終値!A144="","",IF(AND(安値!W144&lt;安値!V144,安値!W144&lt;安値!U144,安値!W144&lt;安値!X144,安値!W144&lt;安値!Y144),18,""))</f>
      </c>
      <c r="S144" s="684">
        <f>IF(終値!A144="","",IF(AND(安値!X144&lt;安値!W144,安値!X144&lt;安値!V144,安値!X144&lt;安値!Y144,安値!X144&lt;安値!Z144),19,""))</f>
      </c>
      <c r="T144" s="684">
        <f>IF(終値!A144="","",IF(AND(安値!Y144&lt;安値!X144,安値!Y144&lt;安値!W144,安値!Y144&lt;安値!Z144,安値!Y144&lt;安値!AA144),20,""))</f>
      </c>
      <c r="U144" s="684">
        <f>IF(終値!A144="","",IF(AND(安値!Z144&lt;安値!Y144,安値!Z144&lt;安値!X144,安値!Z144&lt;安値!AA144,安値!Z144&lt;安値!AB144),21,""))</f>
      </c>
      <c r="V144" s="684">
        <f>IF(終値!A144="","",IF(AND(安値!AA144&lt;安値!Z144,安値!AA144&lt;安値!Y144,安値!AA144&lt;安値!AB144,安値!AA144&lt;安値!AC144),22,""))</f>
      </c>
      <c r="W144" s="684">
        <f>IF(終値!A144="","",IF(AND(安値!AB144&lt;安値!AA144,安値!AB144&lt;安値!Z144,安値!AB144&lt;安値!AC144,安値!AB144&lt;安値!AD144),23,""))</f>
      </c>
      <c r="X144" s="684">
        <f>IF(終値!A144="","",IF(AND(安値!AC144&lt;安値!AB144,安値!AC144&lt;安値!AA144,安値!AC144&lt;安値!AD144,安値!AC144&lt;安値!AE144),24,""))</f>
      </c>
      <c r="Y144" s="684">
        <f>IF(終値!A144="","",IF(AND(安値!AD144&lt;安値!AC144,安値!AD144&lt;安値!AB144,安値!AD144&lt;安値!AE144,安値!AD144&lt;安値!AF144),25,""))</f>
      </c>
      <c r="Z144" s="684">
        <f>IF(終値!A144="","",IF(AND(安値!AE144&lt;安値!AD144,安値!AE144&lt;安値!AC144,安値!AE144&lt;安値!AF144,安値!AE144&lt;安値!AG144),26,""))</f>
      </c>
      <c r="AA144" s="684">
        <f>IF(終値!A144="","",IF(AND(安値!AF144&lt;安値!AE144,安値!AF144&lt;安値!AD144,安値!AF144&lt;安値!AG144,安値!AF144&lt;安値!AH144),27,""))</f>
      </c>
      <c r="AB144" s="684">
        <f>IF(終値!A144="","",IF(AND(安値!AG144&lt;安値!AF144,安値!AG144&lt;安値!AE144,安値!AG144&lt;安値!AH144,安値!AG144&lt;安値!AI144),28,""))</f>
      </c>
      <c r="AC144" s="684">
        <f>IF(終値!A144="","",IF(AND(高値!G144&gt;高値!F144,高値!G144&gt;高値!E144,高値!G144&gt;高値!H144,高値!G144&gt;高値!I144),2,""))</f>
      </c>
      <c r="AD144" s="684">
        <f>IF(終値!A144="","",IF(AND(高値!H144&gt;高値!G144,高値!H144&gt;高値!F144,高値!H144&gt;高値!I144,高値!H144&gt;高値!J144),3,""))</f>
      </c>
      <c r="AE144" s="684">
        <f>IF(終値!A144="","",IF(AND(高値!I144&gt;高値!H144,高値!I144&gt;高値!G144,高値!I144&gt;高値!J144,高値!I144&gt;高値!K144),4,""))</f>
      </c>
      <c r="AF144" s="684">
        <f>IF(終値!A144="","",IF(AND(高値!J144&gt;高値!I144,高値!J144&gt;高値!H144,高値!J144&gt;高値!K144,高値!J144&gt;高値!L144),5,""))</f>
      </c>
      <c r="AG144" s="684">
        <f>IF(終値!A144="","",IF(AND(高値!K144&gt;高値!J144,高値!K144&gt;高値!I144,高値!K144&gt;高値!L144,高値!K144&gt;高値!M144),6,""))</f>
      </c>
      <c r="AH144" s="684">
        <f>IF(終値!A144="","",IF(AND(高値!L144&gt;高値!K144,高値!L144&gt;高値!J144,高値!L144&gt;高値!M144,高値!L144&gt;高値!N144),7,""))</f>
      </c>
      <c r="AI144" s="684">
        <f>IF(終値!A144="","",IF(AND(高値!M144&gt;高値!L144,高値!M144&gt;高値!K144,高値!M144&gt;高値!N144,高値!M144&gt;高値!O144),8,""))</f>
      </c>
      <c r="AJ144" s="684">
        <f>IF(終値!A144="","",IF(AND(高値!N144&gt;高値!M144,高値!N144&gt;高値!L144,高値!N144&gt;高値!O144,高値!N144&gt;高値!P144),9,""))</f>
      </c>
      <c r="AK144" s="684">
        <f>IF(終値!A144="","",IF(AND(高値!O144&gt;高値!N144,高値!O144&gt;高値!M144,高値!O144&gt;高値!P144,高値!O144&gt;高値!Q144),10,""))</f>
      </c>
      <c r="AL144" s="684">
        <f>IF(終値!A144="","",IF(AND(高値!P144&gt;高値!O144,高値!P144&gt;高値!N144,高値!P144&gt;高値!Q144,高値!P144&gt;高値!R144),11,""))</f>
      </c>
      <c r="AM144" s="684">
        <f>IF(終値!A144="","",IF(AND(高値!Q144&gt;高値!P144,高値!Q144&gt;高値!O144,高値!Q144&gt;高値!R144,高値!Q144&gt;高値!S144),12,""))</f>
      </c>
      <c r="AN144" s="684">
        <f>IF(終値!A144="","",IF(AND(高値!R144&gt;高値!Q144,高値!R144&gt;高値!P144,高値!R144&gt;高値!S144,高値!R144&gt;高値!T144),13,""))</f>
      </c>
      <c r="AO144" s="684">
        <f>IF(終値!A144="","",IF(AND(高値!S144&gt;高値!R144,高値!S144&gt;高値!Q144,高値!S144&gt;高値!T144,高値!S144&gt;高値!U144),14,""))</f>
      </c>
      <c r="AP144" s="684">
        <f>IF(終値!A144="","",IF(AND(高値!T144&gt;高値!S144,高値!T144&gt;高値!R144,高値!T144&gt;高値!U144,高値!T144&gt;高値!V144),15,""))</f>
      </c>
      <c r="AQ144" s="684">
        <f>IF(終値!A144="","",IF(AND(高値!U144&gt;高値!T144,高値!U144&gt;高値!S144,高値!U144&gt;高値!V144,高値!U144&gt;高値!W144),16,""))</f>
      </c>
      <c r="AR144" s="684">
        <f>IF(終値!A144="","",IF(AND(高値!V144&gt;高値!U144,高値!V144&gt;高値!T144,高値!V144&gt;高値!W144,高値!V144&gt;高値!X144),17,""))</f>
      </c>
      <c r="AS144" s="684">
        <f>IF(終値!A144="","",IF(AND(高値!W144&gt;高値!V144,高値!W144&gt;高値!U144,高値!W144&gt;高値!X144,高値!W144&gt;高値!Y144),18,""))</f>
      </c>
      <c r="AT144" s="684">
        <f>IF(終値!A144="","",IF(AND(高値!X144&gt;高値!W144,高値!X144&gt;高値!V144,高値!X144&gt;高値!Y144,高値!X144&gt;高値!Z144),19,""))</f>
      </c>
      <c r="AU144" s="684">
        <f>IF(終値!A144="","",IF(AND(高値!Y144&gt;高値!X144,高値!Y144&gt;高値!W144,高値!Y144&gt;高値!Z144,高値!Y144&gt;高値!AA144),20,""))</f>
      </c>
      <c r="AV144" s="684">
        <f>IF(終値!A144="","",IF(AND(高値!Z144&gt;高値!Y144,高値!Z144&gt;高値!X144,高値!Z144&gt;高値!AA144,高値!Z144&gt;高値!AB144),21,""))</f>
      </c>
      <c r="AW144" s="684">
        <f>IF(終値!A144="","",IF(AND(高値!AA144&gt;高値!Z144,高値!AA144&gt;高値!Y144,高値!AA144&gt;高値!AB144,高値!AA144&gt;高値!AC144),22,""))</f>
      </c>
      <c r="AX144" s="684">
        <f>IF(終値!A144="","",IF(AND(高値!AB144&gt;高値!AA144,高値!AB144&gt;高値!Z144,高値!AB144&gt;高値!AC144,高値!AB144&gt;高値!AD144),23,""))</f>
      </c>
      <c r="AY144" s="684">
        <f>IF(終値!A144="","",IF(AND(高値!AC144&gt;高値!AB144,高値!AC144&gt;高値!AA144,高値!AC144&gt;高値!AD144,高値!AC144&gt;高値!AE144),24,""))</f>
      </c>
      <c r="AZ144" s="684">
        <f>IF(終値!A144="","",IF(AND(高値!AD144&gt;高値!AC144,高値!AD144&gt;高値!AB144,高値!AD144&gt;高値!AE144,高値!AD144&gt;高値!AF144),25,""))</f>
      </c>
      <c r="BA144" s="684">
        <f>IF(終値!A144="","",IF(AND(高値!AE144&gt;高値!AD144,高値!AE144&gt;高値!AC144,高値!AE144&gt;高値!AF144,高値!AE144&gt;高値!AG144),26,""))</f>
      </c>
      <c r="BB144" s="684">
        <f>IF(終値!A144="","",IF(AND(高値!AF144&gt;高値!AE144,高値!AF144&gt;高値!AD144,高値!AF144&gt;高値!AG144,高値!AF144&gt;高値!AH144),27,""))</f>
      </c>
      <c r="BC144" s="684">
        <f>IF(終値!A144="","",IF(AND(高値!AG144&gt;高値!AF144,高値!AG144&gt;高値!AE144,高値!AG144&gt;高値!AH144,高値!AG144&gt;高値!AI144),28,""))</f>
      </c>
      <c r="BD144" s="684">
        <f>COUNT($B144:$AB144)</f>
      </c>
      <c r="BE144" s="684">
        <f>IF($BD144&gt;=2,MIN($B144:$AB144),"")</f>
      </c>
      <c r="BF144" s="684">
        <f>IF($BD144&gt;=2,SMALL($B144:$AB144,2),"")</f>
      </c>
      <c r="BG144" s="684">
        <f>IF($BE144="","",INDEX(安値!$E144:$CZ144,1,$BE144+1))</f>
      </c>
      <c r="BH144" s="684">
        <f>IF($BF144="","",INDEX(安値!$E144:$CZ144,1,$BF144+1))</f>
      </c>
      <c r="BI144" s="684">
        <f>IF($BF144="","",MAX(INDEX(高値!$E144:$CZ144,1,$BE144+1):INDEX(高値!$E144:$CZ144,1,$BF144+1)))</f>
      </c>
      <c r="BJ144" s="684">
        <f>IF($BF144="","",AVERAGE(INDEX(終値!$E144:$CZ144,1,$BF144+1):INDEX(終値!$E144:$CZ144,1,$BF144+20))-2*STDEVP(INDEX(終値!$E144:$CZ144,1,$BF144+1):INDEX(終値!$E144:$CZ144,1,$BF144+20)))</f>
      </c>
      <c r="BK144" s="684">
        <f>IF($BE144="","",AVERAGE(INDEX(終値!$E144:$CZ144,1,$BE144+1):INDEX(終値!$E144:$CZ144,1,$BE144+20))-2*STDEVP(INDEX(終値!$E144:$CZ144,1,$BE144+1):INDEX(終値!$E144:$CZ144,1,$BE144+20)))</f>
      </c>
      <c r="BL144" s="684">
        <f>COUNT($AC144:$BC144)</f>
      </c>
      <c r="BM144" s="684">
        <f>IF($BL144&gt;=2,MIN($AC144:$BC144),"")</f>
      </c>
      <c r="BN144" s="684">
        <f>IF($BL144&gt;=2,SMALL($AC144:$BC144,2),"")</f>
      </c>
      <c r="BO144" s="684">
        <f>IF($BM144="","",INDEX(高値!$E144:$CZ144,1,$BM144+1))</f>
      </c>
      <c r="BP144" s="684">
        <f>IF($BN144="","",INDEX(高値!$E144:$CZ144,1,$BN144+1))</f>
      </c>
      <c r="BQ144" s="684">
        <f>IF($BN144="","",MIN(INDEX(安値!$E144:$CZ144,1,$BM144+1):INDEX(安値!$E144:$CZ144,1,$BN144+1)))</f>
      </c>
      <c r="BR144" s="684">
        <f>IF($BN144="","",AVERAGE(INDEX(終値!$E144:$CZ144,1,$BN144+1):INDEX(終値!$E144:$CZ144,1,$BN144+20))+2*STDEVP(INDEX(終値!$E144:$CZ144,1,$BN144+1):INDEX(終値!$E144:$CZ144,1,$BN144+20)))</f>
      </c>
      <c r="BS144" s="684">
        <f>IF($BM144="","",AVERAGE(INDEX(終値!$E144:$CZ144,1,$BM144+1):INDEX(終値!$E144:$CZ144,1,$BM144+20))+2*STDEVP(INDEX(終値!$E144:$CZ144,1,$BM144+1):INDEX(終値!$E144:$CZ144,1,$BM144+20)))</f>
      </c>
      <c r="BT144" s="681">
        <f>IFERROR(IF(AND($BD144&gt;=2,ABS($BG144-$BH144)/$BH144&lt;=BB設定!$B$12,$BI144&gt;=MAX($BH144,$BG144)*(1+BB設定!$B$13),終値!E144&gt;$BG144),IF(OR(終値!E144&gt;=$BI144,AND($BH144&lt;$BJ144,$BG144&gt;=$BK144)),"二番底W▲","二番底W形成"),IF(AND($BL144&gt;=2,ABS($BO144-$BP144)/$BP144&lt;=BB設定!$B$12,$BQ144&lt;=MIN($BP144,$BO144)*(1-BB設定!$B$13),終値!E144&lt;$BO144),IF(OR(終値!E144&lt;=$BQ144,AND($BP144&gt;$BR144,$BO144&lt;=$BS144)),"二番天井M▼","二番天井M形成"),"－")),"－")</f>
      </c>
    </row>
    <row r="145">
      <c r="B145" s="684">
        <f>IF(終値!A145="","",IF(AND(安値!G145&lt;安値!F145,安値!G145&lt;安値!E145,安値!G145&lt;安値!H145,安値!G145&lt;安値!I145),2,""))</f>
      </c>
      <c r="C145" s="684">
        <f>IF(終値!A145="","",IF(AND(安値!H145&lt;安値!G145,安値!H145&lt;安値!F145,安値!H145&lt;安値!I145,安値!H145&lt;安値!J145),3,""))</f>
      </c>
      <c r="D145" s="684">
        <f>IF(終値!A145="","",IF(AND(安値!I145&lt;安値!H145,安値!I145&lt;安値!G145,安値!I145&lt;安値!J145,安値!I145&lt;安値!K145),4,""))</f>
      </c>
      <c r="E145" s="684">
        <f>IF(終値!A145="","",IF(AND(安値!J145&lt;安値!I145,安値!J145&lt;安値!H145,安値!J145&lt;安値!K145,安値!J145&lt;安値!L145),5,""))</f>
      </c>
      <c r="F145" s="684">
        <f>IF(終値!A145="","",IF(AND(安値!K145&lt;安値!J145,安値!K145&lt;安値!I145,安値!K145&lt;安値!L145,安値!K145&lt;安値!M145),6,""))</f>
      </c>
      <c r="G145" s="684">
        <f>IF(終値!A145="","",IF(AND(安値!L145&lt;安値!K145,安値!L145&lt;安値!J145,安値!L145&lt;安値!M145,安値!L145&lt;安値!N145),7,""))</f>
      </c>
      <c r="H145" s="684">
        <f>IF(終値!A145="","",IF(AND(安値!M145&lt;安値!L145,安値!M145&lt;安値!K145,安値!M145&lt;安値!N145,安値!M145&lt;安値!O145),8,""))</f>
      </c>
      <c r="I145" s="684">
        <f>IF(終値!A145="","",IF(AND(安値!N145&lt;安値!M145,安値!N145&lt;安値!L145,安値!N145&lt;安値!O145,安値!N145&lt;安値!P145),9,""))</f>
      </c>
      <c r="J145" s="684">
        <f>IF(終値!A145="","",IF(AND(安値!O145&lt;安値!N145,安値!O145&lt;安値!M145,安値!O145&lt;安値!P145,安値!O145&lt;安値!Q145),10,""))</f>
      </c>
      <c r="K145" s="684">
        <f>IF(終値!A145="","",IF(AND(安値!P145&lt;安値!O145,安値!P145&lt;安値!N145,安値!P145&lt;安値!Q145,安値!P145&lt;安値!R145),11,""))</f>
      </c>
      <c r="L145" s="684">
        <f>IF(終値!A145="","",IF(AND(安値!Q145&lt;安値!P145,安値!Q145&lt;安値!O145,安値!Q145&lt;安値!R145,安値!Q145&lt;安値!S145),12,""))</f>
      </c>
      <c r="M145" s="684">
        <f>IF(終値!A145="","",IF(AND(安値!R145&lt;安値!Q145,安値!R145&lt;安値!P145,安値!R145&lt;安値!S145,安値!R145&lt;安値!T145),13,""))</f>
      </c>
      <c r="N145" s="684">
        <f>IF(終値!A145="","",IF(AND(安値!S145&lt;安値!R145,安値!S145&lt;安値!Q145,安値!S145&lt;安値!T145,安値!S145&lt;安値!U145),14,""))</f>
      </c>
      <c r="O145" s="684">
        <f>IF(終値!A145="","",IF(AND(安値!T145&lt;安値!S145,安値!T145&lt;安値!R145,安値!T145&lt;安値!U145,安値!T145&lt;安値!V145),15,""))</f>
      </c>
      <c r="P145" s="684">
        <f>IF(終値!A145="","",IF(AND(安値!U145&lt;安値!T145,安値!U145&lt;安値!S145,安値!U145&lt;安値!V145,安値!U145&lt;安値!W145),16,""))</f>
      </c>
      <c r="Q145" s="684">
        <f>IF(終値!A145="","",IF(AND(安値!V145&lt;安値!U145,安値!V145&lt;安値!T145,安値!V145&lt;安値!W145,安値!V145&lt;安値!X145),17,""))</f>
      </c>
      <c r="R145" s="684">
        <f>IF(終値!A145="","",IF(AND(安値!W145&lt;安値!V145,安値!W145&lt;安値!U145,安値!W145&lt;安値!X145,安値!W145&lt;安値!Y145),18,""))</f>
      </c>
      <c r="S145" s="684">
        <f>IF(終値!A145="","",IF(AND(安値!X145&lt;安値!W145,安値!X145&lt;安値!V145,安値!X145&lt;安値!Y145,安値!X145&lt;安値!Z145),19,""))</f>
      </c>
      <c r="T145" s="684">
        <f>IF(終値!A145="","",IF(AND(安値!Y145&lt;安値!X145,安値!Y145&lt;安値!W145,安値!Y145&lt;安値!Z145,安値!Y145&lt;安値!AA145),20,""))</f>
      </c>
      <c r="U145" s="684">
        <f>IF(終値!A145="","",IF(AND(安値!Z145&lt;安値!Y145,安値!Z145&lt;安値!X145,安値!Z145&lt;安値!AA145,安値!Z145&lt;安値!AB145),21,""))</f>
      </c>
      <c r="V145" s="684">
        <f>IF(終値!A145="","",IF(AND(安値!AA145&lt;安値!Z145,安値!AA145&lt;安値!Y145,安値!AA145&lt;安値!AB145,安値!AA145&lt;安値!AC145),22,""))</f>
      </c>
      <c r="W145" s="684">
        <f>IF(終値!A145="","",IF(AND(安値!AB145&lt;安値!AA145,安値!AB145&lt;安値!Z145,安値!AB145&lt;安値!AC145,安値!AB145&lt;安値!AD145),23,""))</f>
      </c>
      <c r="X145" s="684">
        <f>IF(終値!A145="","",IF(AND(安値!AC145&lt;安値!AB145,安値!AC145&lt;安値!AA145,安値!AC145&lt;安値!AD145,安値!AC145&lt;安値!AE145),24,""))</f>
      </c>
      <c r="Y145" s="684">
        <f>IF(終値!A145="","",IF(AND(安値!AD145&lt;安値!AC145,安値!AD145&lt;安値!AB145,安値!AD145&lt;安値!AE145,安値!AD145&lt;安値!AF145),25,""))</f>
      </c>
      <c r="Z145" s="684">
        <f>IF(終値!A145="","",IF(AND(安値!AE145&lt;安値!AD145,安値!AE145&lt;安値!AC145,安値!AE145&lt;安値!AF145,安値!AE145&lt;安値!AG145),26,""))</f>
      </c>
      <c r="AA145" s="684">
        <f>IF(終値!A145="","",IF(AND(安値!AF145&lt;安値!AE145,安値!AF145&lt;安値!AD145,安値!AF145&lt;安値!AG145,安値!AF145&lt;安値!AH145),27,""))</f>
      </c>
      <c r="AB145" s="684">
        <f>IF(終値!A145="","",IF(AND(安値!AG145&lt;安値!AF145,安値!AG145&lt;安値!AE145,安値!AG145&lt;安値!AH145,安値!AG145&lt;安値!AI145),28,""))</f>
      </c>
      <c r="AC145" s="684">
        <f>IF(終値!A145="","",IF(AND(高値!G145&gt;高値!F145,高値!G145&gt;高値!E145,高値!G145&gt;高値!H145,高値!G145&gt;高値!I145),2,""))</f>
      </c>
      <c r="AD145" s="684">
        <f>IF(終値!A145="","",IF(AND(高値!H145&gt;高値!G145,高値!H145&gt;高値!F145,高値!H145&gt;高値!I145,高値!H145&gt;高値!J145),3,""))</f>
      </c>
      <c r="AE145" s="684">
        <f>IF(終値!A145="","",IF(AND(高値!I145&gt;高値!H145,高値!I145&gt;高値!G145,高値!I145&gt;高値!J145,高値!I145&gt;高値!K145),4,""))</f>
      </c>
      <c r="AF145" s="684">
        <f>IF(終値!A145="","",IF(AND(高値!J145&gt;高値!I145,高値!J145&gt;高値!H145,高値!J145&gt;高値!K145,高値!J145&gt;高値!L145),5,""))</f>
      </c>
      <c r="AG145" s="684">
        <f>IF(終値!A145="","",IF(AND(高値!K145&gt;高値!J145,高値!K145&gt;高値!I145,高値!K145&gt;高値!L145,高値!K145&gt;高値!M145),6,""))</f>
      </c>
      <c r="AH145" s="684">
        <f>IF(終値!A145="","",IF(AND(高値!L145&gt;高値!K145,高値!L145&gt;高値!J145,高値!L145&gt;高値!M145,高値!L145&gt;高値!N145),7,""))</f>
      </c>
      <c r="AI145" s="684">
        <f>IF(終値!A145="","",IF(AND(高値!M145&gt;高値!L145,高値!M145&gt;高値!K145,高値!M145&gt;高値!N145,高値!M145&gt;高値!O145),8,""))</f>
      </c>
      <c r="AJ145" s="684">
        <f>IF(終値!A145="","",IF(AND(高値!N145&gt;高値!M145,高値!N145&gt;高値!L145,高値!N145&gt;高値!O145,高値!N145&gt;高値!P145),9,""))</f>
      </c>
      <c r="AK145" s="684">
        <f>IF(終値!A145="","",IF(AND(高値!O145&gt;高値!N145,高値!O145&gt;高値!M145,高値!O145&gt;高値!P145,高値!O145&gt;高値!Q145),10,""))</f>
      </c>
      <c r="AL145" s="684">
        <f>IF(終値!A145="","",IF(AND(高値!P145&gt;高値!O145,高値!P145&gt;高値!N145,高値!P145&gt;高値!Q145,高値!P145&gt;高値!R145),11,""))</f>
      </c>
      <c r="AM145" s="684">
        <f>IF(終値!A145="","",IF(AND(高値!Q145&gt;高値!P145,高値!Q145&gt;高値!O145,高値!Q145&gt;高値!R145,高値!Q145&gt;高値!S145),12,""))</f>
      </c>
      <c r="AN145" s="684">
        <f>IF(終値!A145="","",IF(AND(高値!R145&gt;高値!Q145,高値!R145&gt;高値!P145,高値!R145&gt;高値!S145,高値!R145&gt;高値!T145),13,""))</f>
      </c>
      <c r="AO145" s="684">
        <f>IF(終値!A145="","",IF(AND(高値!S145&gt;高値!R145,高値!S145&gt;高値!Q145,高値!S145&gt;高値!T145,高値!S145&gt;高値!U145),14,""))</f>
      </c>
      <c r="AP145" s="684">
        <f>IF(終値!A145="","",IF(AND(高値!T145&gt;高値!S145,高値!T145&gt;高値!R145,高値!T145&gt;高値!U145,高値!T145&gt;高値!V145),15,""))</f>
      </c>
      <c r="AQ145" s="684">
        <f>IF(終値!A145="","",IF(AND(高値!U145&gt;高値!T145,高値!U145&gt;高値!S145,高値!U145&gt;高値!V145,高値!U145&gt;高値!W145),16,""))</f>
      </c>
      <c r="AR145" s="684">
        <f>IF(終値!A145="","",IF(AND(高値!V145&gt;高値!U145,高値!V145&gt;高値!T145,高値!V145&gt;高値!W145,高値!V145&gt;高値!X145),17,""))</f>
      </c>
      <c r="AS145" s="684">
        <f>IF(終値!A145="","",IF(AND(高値!W145&gt;高値!V145,高値!W145&gt;高値!U145,高値!W145&gt;高値!X145,高値!W145&gt;高値!Y145),18,""))</f>
      </c>
      <c r="AT145" s="684">
        <f>IF(終値!A145="","",IF(AND(高値!X145&gt;高値!W145,高値!X145&gt;高値!V145,高値!X145&gt;高値!Y145,高値!X145&gt;高値!Z145),19,""))</f>
      </c>
      <c r="AU145" s="684">
        <f>IF(終値!A145="","",IF(AND(高値!Y145&gt;高値!X145,高値!Y145&gt;高値!W145,高値!Y145&gt;高値!Z145,高値!Y145&gt;高値!AA145),20,""))</f>
      </c>
      <c r="AV145" s="684">
        <f>IF(終値!A145="","",IF(AND(高値!Z145&gt;高値!Y145,高値!Z145&gt;高値!X145,高値!Z145&gt;高値!AA145,高値!Z145&gt;高値!AB145),21,""))</f>
      </c>
      <c r="AW145" s="684">
        <f>IF(終値!A145="","",IF(AND(高値!AA145&gt;高値!Z145,高値!AA145&gt;高値!Y145,高値!AA145&gt;高値!AB145,高値!AA145&gt;高値!AC145),22,""))</f>
      </c>
      <c r="AX145" s="684">
        <f>IF(終値!A145="","",IF(AND(高値!AB145&gt;高値!AA145,高値!AB145&gt;高値!Z145,高値!AB145&gt;高値!AC145,高値!AB145&gt;高値!AD145),23,""))</f>
      </c>
      <c r="AY145" s="684">
        <f>IF(終値!A145="","",IF(AND(高値!AC145&gt;高値!AB145,高値!AC145&gt;高値!AA145,高値!AC145&gt;高値!AD145,高値!AC145&gt;高値!AE145),24,""))</f>
      </c>
      <c r="AZ145" s="684">
        <f>IF(終値!A145="","",IF(AND(高値!AD145&gt;高値!AC145,高値!AD145&gt;高値!AB145,高値!AD145&gt;高値!AE145,高値!AD145&gt;高値!AF145),25,""))</f>
      </c>
      <c r="BA145" s="684">
        <f>IF(終値!A145="","",IF(AND(高値!AE145&gt;高値!AD145,高値!AE145&gt;高値!AC145,高値!AE145&gt;高値!AF145,高値!AE145&gt;高値!AG145),26,""))</f>
      </c>
      <c r="BB145" s="684">
        <f>IF(終値!A145="","",IF(AND(高値!AF145&gt;高値!AE145,高値!AF145&gt;高値!AD145,高値!AF145&gt;高値!AG145,高値!AF145&gt;高値!AH145),27,""))</f>
      </c>
      <c r="BC145" s="684">
        <f>IF(終値!A145="","",IF(AND(高値!AG145&gt;高値!AF145,高値!AG145&gt;高値!AE145,高値!AG145&gt;高値!AH145,高値!AG145&gt;高値!AI145),28,""))</f>
      </c>
      <c r="BD145" s="684">
        <f>COUNT($B145:$AB145)</f>
      </c>
      <c r="BE145" s="684">
        <f>IF($BD145&gt;=2,MIN($B145:$AB145),"")</f>
      </c>
      <c r="BF145" s="684">
        <f>IF($BD145&gt;=2,SMALL($B145:$AB145,2),"")</f>
      </c>
      <c r="BG145" s="684">
        <f>IF($BE145="","",INDEX(安値!$E145:$CZ145,1,$BE145+1))</f>
      </c>
      <c r="BH145" s="684">
        <f>IF($BF145="","",INDEX(安値!$E145:$CZ145,1,$BF145+1))</f>
      </c>
      <c r="BI145" s="684">
        <f>IF($BF145="","",MAX(INDEX(高値!$E145:$CZ145,1,$BE145+1):INDEX(高値!$E145:$CZ145,1,$BF145+1)))</f>
      </c>
      <c r="BJ145" s="684">
        <f>IF($BF145="","",AVERAGE(INDEX(終値!$E145:$CZ145,1,$BF145+1):INDEX(終値!$E145:$CZ145,1,$BF145+20))-2*STDEVP(INDEX(終値!$E145:$CZ145,1,$BF145+1):INDEX(終値!$E145:$CZ145,1,$BF145+20)))</f>
      </c>
      <c r="BK145" s="684">
        <f>IF($BE145="","",AVERAGE(INDEX(終値!$E145:$CZ145,1,$BE145+1):INDEX(終値!$E145:$CZ145,1,$BE145+20))-2*STDEVP(INDEX(終値!$E145:$CZ145,1,$BE145+1):INDEX(終値!$E145:$CZ145,1,$BE145+20)))</f>
      </c>
      <c r="BL145" s="684">
        <f>COUNT($AC145:$BC145)</f>
      </c>
      <c r="BM145" s="684">
        <f>IF($BL145&gt;=2,MIN($AC145:$BC145),"")</f>
      </c>
      <c r="BN145" s="684">
        <f>IF($BL145&gt;=2,SMALL($AC145:$BC145,2),"")</f>
      </c>
      <c r="BO145" s="684">
        <f>IF($BM145="","",INDEX(高値!$E145:$CZ145,1,$BM145+1))</f>
      </c>
      <c r="BP145" s="684">
        <f>IF($BN145="","",INDEX(高値!$E145:$CZ145,1,$BN145+1))</f>
      </c>
      <c r="BQ145" s="684">
        <f>IF($BN145="","",MIN(INDEX(安値!$E145:$CZ145,1,$BM145+1):INDEX(安値!$E145:$CZ145,1,$BN145+1)))</f>
      </c>
      <c r="BR145" s="684">
        <f>IF($BN145="","",AVERAGE(INDEX(終値!$E145:$CZ145,1,$BN145+1):INDEX(終値!$E145:$CZ145,1,$BN145+20))+2*STDEVP(INDEX(終値!$E145:$CZ145,1,$BN145+1):INDEX(終値!$E145:$CZ145,1,$BN145+20)))</f>
      </c>
      <c r="BS145" s="684">
        <f>IF($BM145="","",AVERAGE(INDEX(終値!$E145:$CZ145,1,$BM145+1):INDEX(終値!$E145:$CZ145,1,$BM145+20))+2*STDEVP(INDEX(終値!$E145:$CZ145,1,$BM145+1):INDEX(終値!$E145:$CZ145,1,$BM145+20)))</f>
      </c>
      <c r="BT145" s="681">
        <f>IFERROR(IF(AND($BD145&gt;=2,ABS($BG145-$BH145)/$BH145&lt;=BB設定!$B$12,$BI145&gt;=MAX($BH145,$BG145)*(1+BB設定!$B$13),終値!E145&gt;$BG145),IF(OR(終値!E145&gt;=$BI145,AND($BH145&lt;$BJ145,$BG145&gt;=$BK145)),"二番底W▲","二番底W形成"),IF(AND($BL145&gt;=2,ABS($BO145-$BP145)/$BP145&lt;=BB設定!$B$12,$BQ145&lt;=MIN($BP145,$BO145)*(1-BB設定!$B$13),終値!E145&lt;$BO145),IF(OR(終値!E145&lt;=$BQ145,AND($BP145&gt;$BR145,$BO145&lt;=$BS145)),"二番天井M▼","二番天井M形成"),"－")),"－")</f>
      </c>
    </row>
    <row r="146">
      <c r="B146" s="684">
        <f>IF(終値!A146="","",IF(AND(安値!G146&lt;安値!F146,安値!G146&lt;安値!E146,安値!G146&lt;安値!H146,安値!G146&lt;安値!I146),2,""))</f>
      </c>
      <c r="C146" s="684">
        <f>IF(終値!A146="","",IF(AND(安値!H146&lt;安値!G146,安値!H146&lt;安値!F146,安値!H146&lt;安値!I146,安値!H146&lt;安値!J146),3,""))</f>
      </c>
      <c r="D146" s="684">
        <f>IF(終値!A146="","",IF(AND(安値!I146&lt;安値!H146,安値!I146&lt;安値!G146,安値!I146&lt;安値!J146,安値!I146&lt;安値!K146),4,""))</f>
      </c>
      <c r="E146" s="684">
        <f>IF(終値!A146="","",IF(AND(安値!J146&lt;安値!I146,安値!J146&lt;安値!H146,安値!J146&lt;安値!K146,安値!J146&lt;安値!L146),5,""))</f>
      </c>
      <c r="F146" s="684">
        <f>IF(終値!A146="","",IF(AND(安値!K146&lt;安値!J146,安値!K146&lt;安値!I146,安値!K146&lt;安値!L146,安値!K146&lt;安値!M146),6,""))</f>
      </c>
      <c r="G146" s="684">
        <f>IF(終値!A146="","",IF(AND(安値!L146&lt;安値!K146,安値!L146&lt;安値!J146,安値!L146&lt;安値!M146,安値!L146&lt;安値!N146),7,""))</f>
      </c>
      <c r="H146" s="684">
        <f>IF(終値!A146="","",IF(AND(安値!M146&lt;安値!L146,安値!M146&lt;安値!K146,安値!M146&lt;安値!N146,安値!M146&lt;安値!O146),8,""))</f>
      </c>
      <c r="I146" s="684">
        <f>IF(終値!A146="","",IF(AND(安値!N146&lt;安値!M146,安値!N146&lt;安値!L146,安値!N146&lt;安値!O146,安値!N146&lt;安値!P146),9,""))</f>
      </c>
      <c r="J146" s="684">
        <f>IF(終値!A146="","",IF(AND(安値!O146&lt;安値!N146,安値!O146&lt;安値!M146,安値!O146&lt;安値!P146,安値!O146&lt;安値!Q146),10,""))</f>
      </c>
      <c r="K146" s="684">
        <f>IF(終値!A146="","",IF(AND(安値!P146&lt;安値!O146,安値!P146&lt;安値!N146,安値!P146&lt;安値!Q146,安値!P146&lt;安値!R146),11,""))</f>
      </c>
      <c r="L146" s="684">
        <f>IF(終値!A146="","",IF(AND(安値!Q146&lt;安値!P146,安値!Q146&lt;安値!O146,安値!Q146&lt;安値!R146,安値!Q146&lt;安値!S146),12,""))</f>
      </c>
      <c r="M146" s="684">
        <f>IF(終値!A146="","",IF(AND(安値!R146&lt;安値!Q146,安値!R146&lt;安値!P146,安値!R146&lt;安値!S146,安値!R146&lt;安値!T146),13,""))</f>
      </c>
      <c r="N146" s="684">
        <f>IF(終値!A146="","",IF(AND(安値!S146&lt;安値!R146,安値!S146&lt;安値!Q146,安値!S146&lt;安値!T146,安値!S146&lt;安値!U146),14,""))</f>
      </c>
      <c r="O146" s="684">
        <f>IF(終値!A146="","",IF(AND(安値!T146&lt;安値!S146,安値!T146&lt;安値!R146,安値!T146&lt;安値!U146,安値!T146&lt;安値!V146),15,""))</f>
      </c>
      <c r="P146" s="684">
        <f>IF(終値!A146="","",IF(AND(安値!U146&lt;安値!T146,安値!U146&lt;安値!S146,安値!U146&lt;安値!V146,安値!U146&lt;安値!W146),16,""))</f>
      </c>
      <c r="Q146" s="684">
        <f>IF(終値!A146="","",IF(AND(安値!V146&lt;安値!U146,安値!V146&lt;安値!T146,安値!V146&lt;安値!W146,安値!V146&lt;安値!X146),17,""))</f>
      </c>
      <c r="R146" s="684">
        <f>IF(終値!A146="","",IF(AND(安値!W146&lt;安値!V146,安値!W146&lt;安値!U146,安値!W146&lt;安値!X146,安値!W146&lt;安値!Y146),18,""))</f>
      </c>
      <c r="S146" s="684">
        <f>IF(終値!A146="","",IF(AND(安値!X146&lt;安値!W146,安値!X146&lt;安値!V146,安値!X146&lt;安値!Y146,安値!X146&lt;安値!Z146),19,""))</f>
      </c>
      <c r="T146" s="684">
        <f>IF(終値!A146="","",IF(AND(安値!Y146&lt;安値!X146,安値!Y146&lt;安値!W146,安値!Y146&lt;安値!Z146,安値!Y146&lt;安値!AA146),20,""))</f>
      </c>
      <c r="U146" s="684">
        <f>IF(終値!A146="","",IF(AND(安値!Z146&lt;安値!Y146,安値!Z146&lt;安値!X146,安値!Z146&lt;安値!AA146,安値!Z146&lt;安値!AB146),21,""))</f>
      </c>
      <c r="V146" s="684">
        <f>IF(終値!A146="","",IF(AND(安値!AA146&lt;安値!Z146,安値!AA146&lt;安値!Y146,安値!AA146&lt;安値!AB146,安値!AA146&lt;安値!AC146),22,""))</f>
      </c>
      <c r="W146" s="684">
        <f>IF(終値!A146="","",IF(AND(安値!AB146&lt;安値!AA146,安値!AB146&lt;安値!Z146,安値!AB146&lt;安値!AC146,安値!AB146&lt;安値!AD146),23,""))</f>
      </c>
      <c r="X146" s="684">
        <f>IF(終値!A146="","",IF(AND(安値!AC146&lt;安値!AB146,安値!AC146&lt;安値!AA146,安値!AC146&lt;安値!AD146,安値!AC146&lt;安値!AE146),24,""))</f>
      </c>
      <c r="Y146" s="684">
        <f>IF(終値!A146="","",IF(AND(安値!AD146&lt;安値!AC146,安値!AD146&lt;安値!AB146,安値!AD146&lt;安値!AE146,安値!AD146&lt;安値!AF146),25,""))</f>
      </c>
      <c r="Z146" s="684">
        <f>IF(終値!A146="","",IF(AND(安値!AE146&lt;安値!AD146,安値!AE146&lt;安値!AC146,安値!AE146&lt;安値!AF146,安値!AE146&lt;安値!AG146),26,""))</f>
      </c>
      <c r="AA146" s="684">
        <f>IF(終値!A146="","",IF(AND(安値!AF146&lt;安値!AE146,安値!AF146&lt;安値!AD146,安値!AF146&lt;安値!AG146,安値!AF146&lt;安値!AH146),27,""))</f>
      </c>
      <c r="AB146" s="684">
        <f>IF(終値!A146="","",IF(AND(安値!AG146&lt;安値!AF146,安値!AG146&lt;安値!AE146,安値!AG146&lt;安値!AH146,安値!AG146&lt;安値!AI146),28,""))</f>
      </c>
      <c r="AC146" s="684">
        <f>IF(終値!A146="","",IF(AND(高値!G146&gt;高値!F146,高値!G146&gt;高値!E146,高値!G146&gt;高値!H146,高値!G146&gt;高値!I146),2,""))</f>
      </c>
      <c r="AD146" s="684">
        <f>IF(終値!A146="","",IF(AND(高値!H146&gt;高値!G146,高値!H146&gt;高値!F146,高値!H146&gt;高値!I146,高値!H146&gt;高値!J146),3,""))</f>
      </c>
      <c r="AE146" s="684">
        <f>IF(終値!A146="","",IF(AND(高値!I146&gt;高値!H146,高値!I146&gt;高値!G146,高値!I146&gt;高値!J146,高値!I146&gt;高値!K146),4,""))</f>
      </c>
      <c r="AF146" s="684">
        <f>IF(終値!A146="","",IF(AND(高値!J146&gt;高値!I146,高値!J146&gt;高値!H146,高値!J146&gt;高値!K146,高値!J146&gt;高値!L146),5,""))</f>
      </c>
      <c r="AG146" s="684">
        <f>IF(終値!A146="","",IF(AND(高値!K146&gt;高値!J146,高値!K146&gt;高値!I146,高値!K146&gt;高値!L146,高値!K146&gt;高値!M146),6,""))</f>
      </c>
      <c r="AH146" s="684">
        <f>IF(終値!A146="","",IF(AND(高値!L146&gt;高値!K146,高値!L146&gt;高値!J146,高値!L146&gt;高値!M146,高値!L146&gt;高値!N146),7,""))</f>
      </c>
      <c r="AI146" s="684">
        <f>IF(終値!A146="","",IF(AND(高値!M146&gt;高値!L146,高値!M146&gt;高値!K146,高値!M146&gt;高値!N146,高値!M146&gt;高値!O146),8,""))</f>
      </c>
      <c r="AJ146" s="684">
        <f>IF(終値!A146="","",IF(AND(高値!N146&gt;高値!M146,高値!N146&gt;高値!L146,高値!N146&gt;高値!O146,高値!N146&gt;高値!P146),9,""))</f>
      </c>
      <c r="AK146" s="684">
        <f>IF(終値!A146="","",IF(AND(高値!O146&gt;高値!N146,高値!O146&gt;高値!M146,高値!O146&gt;高値!P146,高値!O146&gt;高値!Q146),10,""))</f>
      </c>
      <c r="AL146" s="684">
        <f>IF(終値!A146="","",IF(AND(高値!P146&gt;高値!O146,高値!P146&gt;高値!N146,高値!P146&gt;高値!Q146,高値!P146&gt;高値!R146),11,""))</f>
      </c>
      <c r="AM146" s="684">
        <f>IF(終値!A146="","",IF(AND(高値!Q146&gt;高値!P146,高値!Q146&gt;高値!O146,高値!Q146&gt;高値!R146,高値!Q146&gt;高値!S146),12,""))</f>
      </c>
      <c r="AN146" s="684">
        <f>IF(終値!A146="","",IF(AND(高値!R146&gt;高値!Q146,高値!R146&gt;高値!P146,高値!R146&gt;高値!S146,高値!R146&gt;高値!T146),13,""))</f>
      </c>
      <c r="AO146" s="684">
        <f>IF(終値!A146="","",IF(AND(高値!S146&gt;高値!R146,高値!S146&gt;高値!Q146,高値!S146&gt;高値!T146,高値!S146&gt;高値!U146),14,""))</f>
      </c>
      <c r="AP146" s="684">
        <f>IF(終値!A146="","",IF(AND(高値!T146&gt;高値!S146,高値!T146&gt;高値!R146,高値!T146&gt;高値!U146,高値!T146&gt;高値!V146),15,""))</f>
      </c>
      <c r="AQ146" s="684">
        <f>IF(終値!A146="","",IF(AND(高値!U146&gt;高値!T146,高値!U146&gt;高値!S146,高値!U146&gt;高値!V146,高値!U146&gt;高値!W146),16,""))</f>
      </c>
      <c r="AR146" s="684">
        <f>IF(終値!A146="","",IF(AND(高値!V146&gt;高値!U146,高値!V146&gt;高値!T146,高値!V146&gt;高値!W146,高値!V146&gt;高値!X146),17,""))</f>
      </c>
      <c r="AS146" s="684">
        <f>IF(終値!A146="","",IF(AND(高値!W146&gt;高値!V146,高値!W146&gt;高値!U146,高値!W146&gt;高値!X146,高値!W146&gt;高値!Y146),18,""))</f>
      </c>
      <c r="AT146" s="684">
        <f>IF(終値!A146="","",IF(AND(高値!X146&gt;高値!W146,高値!X146&gt;高値!V146,高値!X146&gt;高値!Y146,高値!X146&gt;高値!Z146),19,""))</f>
      </c>
      <c r="AU146" s="684">
        <f>IF(終値!A146="","",IF(AND(高値!Y146&gt;高値!X146,高値!Y146&gt;高値!W146,高値!Y146&gt;高値!Z146,高値!Y146&gt;高値!AA146),20,""))</f>
      </c>
      <c r="AV146" s="684">
        <f>IF(終値!A146="","",IF(AND(高値!Z146&gt;高値!Y146,高値!Z146&gt;高値!X146,高値!Z146&gt;高値!AA146,高値!Z146&gt;高値!AB146),21,""))</f>
      </c>
      <c r="AW146" s="684">
        <f>IF(終値!A146="","",IF(AND(高値!AA146&gt;高値!Z146,高値!AA146&gt;高値!Y146,高値!AA146&gt;高値!AB146,高値!AA146&gt;高値!AC146),22,""))</f>
      </c>
      <c r="AX146" s="684">
        <f>IF(終値!A146="","",IF(AND(高値!AB146&gt;高値!AA146,高値!AB146&gt;高値!Z146,高値!AB146&gt;高値!AC146,高値!AB146&gt;高値!AD146),23,""))</f>
      </c>
      <c r="AY146" s="684">
        <f>IF(終値!A146="","",IF(AND(高値!AC146&gt;高値!AB146,高値!AC146&gt;高値!AA146,高値!AC146&gt;高値!AD146,高値!AC146&gt;高値!AE146),24,""))</f>
      </c>
      <c r="AZ146" s="684">
        <f>IF(終値!A146="","",IF(AND(高値!AD146&gt;高値!AC146,高値!AD146&gt;高値!AB146,高値!AD146&gt;高値!AE146,高値!AD146&gt;高値!AF146),25,""))</f>
      </c>
      <c r="BA146" s="684">
        <f>IF(終値!A146="","",IF(AND(高値!AE146&gt;高値!AD146,高値!AE146&gt;高値!AC146,高値!AE146&gt;高値!AF146,高値!AE146&gt;高値!AG146),26,""))</f>
      </c>
      <c r="BB146" s="684">
        <f>IF(終値!A146="","",IF(AND(高値!AF146&gt;高値!AE146,高値!AF146&gt;高値!AD146,高値!AF146&gt;高値!AG146,高値!AF146&gt;高値!AH146),27,""))</f>
      </c>
      <c r="BC146" s="684">
        <f>IF(終値!A146="","",IF(AND(高値!AG146&gt;高値!AF146,高値!AG146&gt;高値!AE146,高値!AG146&gt;高値!AH146,高値!AG146&gt;高値!AI146),28,""))</f>
      </c>
      <c r="BD146" s="684">
        <f>COUNT($B146:$AB146)</f>
      </c>
      <c r="BE146" s="684">
        <f>IF($BD146&gt;=2,MIN($B146:$AB146),"")</f>
      </c>
      <c r="BF146" s="684">
        <f>IF($BD146&gt;=2,SMALL($B146:$AB146,2),"")</f>
      </c>
      <c r="BG146" s="684">
        <f>IF($BE146="","",INDEX(安値!$E146:$CZ146,1,$BE146+1))</f>
      </c>
      <c r="BH146" s="684">
        <f>IF($BF146="","",INDEX(安値!$E146:$CZ146,1,$BF146+1))</f>
      </c>
      <c r="BI146" s="684">
        <f>IF($BF146="","",MAX(INDEX(高値!$E146:$CZ146,1,$BE146+1):INDEX(高値!$E146:$CZ146,1,$BF146+1)))</f>
      </c>
      <c r="BJ146" s="684">
        <f>IF($BF146="","",AVERAGE(INDEX(終値!$E146:$CZ146,1,$BF146+1):INDEX(終値!$E146:$CZ146,1,$BF146+20))-2*STDEVP(INDEX(終値!$E146:$CZ146,1,$BF146+1):INDEX(終値!$E146:$CZ146,1,$BF146+20)))</f>
      </c>
      <c r="BK146" s="684">
        <f>IF($BE146="","",AVERAGE(INDEX(終値!$E146:$CZ146,1,$BE146+1):INDEX(終値!$E146:$CZ146,1,$BE146+20))-2*STDEVP(INDEX(終値!$E146:$CZ146,1,$BE146+1):INDEX(終値!$E146:$CZ146,1,$BE146+20)))</f>
      </c>
      <c r="BL146" s="684">
        <f>COUNT($AC146:$BC146)</f>
      </c>
      <c r="BM146" s="684">
        <f>IF($BL146&gt;=2,MIN($AC146:$BC146),"")</f>
      </c>
      <c r="BN146" s="684">
        <f>IF($BL146&gt;=2,SMALL($AC146:$BC146,2),"")</f>
      </c>
      <c r="BO146" s="684">
        <f>IF($BM146="","",INDEX(高値!$E146:$CZ146,1,$BM146+1))</f>
      </c>
      <c r="BP146" s="684">
        <f>IF($BN146="","",INDEX(高値!$E146:$CZ146,1,$BN146+1))</f>
      </c>
      <c r="BQ146" s="684">
        <f>IF($BN146="","",MIN(INDEX(安値!$E146:$CZ146,1,$BM146+1):INDEX(安値!$E146:$CZ146,1,$BN146+1)))</f>
      </c>
      <c r="BR146" s="684">
        <f>IF($BN146="","",AVERAGE(INDEX(終値!$E146:$CZ146,1,$BN146+1):INDEX(終値!$E146:$CZ146,1,$BN146+20))+2*STDEVP(INDEX(終値!$E146:$CZ146,1,$BN146+1):INDEX(終値!$E146:$CZ146,1,$BN146+20)))</f>
      </c>
      <c r="BS146" s="684">
        <f>IF($BM146="","",AVERAGE(INDEX(終値!$E146:$CZ146,1,$BM146+1):INDEX(終値!$E146:$CZ146,1,$BM146+20))+2*STDEVP(INDEX(終値!$E146:$CZ146,1,$BM146+1):INDEX(終値!$E146:$CZ146,1,$BM146+20)))</f>
      </c>
      <c r="BT146" s="681">
        <f>IFERROR(IF(AND($BD146&gt;=2,ABS($BG146-$BH146)/$BH146&lt;=BB設定!$B$12,$BI146&gt;=MAX($BH146,$BG146)*(1+BB設定!$B$13),終値!E146&gt;$BG146),IF(OR(終値!E146&gt;=$BI146,AND($BH146&lt;$BJ146,$BG146&gt;=$BK146)),"二番底W▲","二番底W形成"),IF(AND($BL146&gt;=2,ABS($BO146-$BP146)/$BP146&lt;=BB設定!$B$12,$BQ146&lt;=MIN($BP146,$BO146)*(1-BB設定!$B$13),終値!E146&lt;$BO146),IF(OR(終値!E146&lt;=$BQ146,AND($BP146&gt;$BR146,$BO146&lt;=$BS146)),"二番天井M▼","二番天井M形成"),"－")),"－")</f>
      </c>
    </row>
    <row r="147">
      <c r="B147" s="684">
        <f>IF(終値!A147="","",IF(AND(安値!G147&lt;安値!F147,安値!G147&lt;安値!E147,安値!G147&lt;安値!H147,安値!G147&lt;安値!I147),2,""))</f>
      </c>
      <c r="C147" s="684">
        <f>IF(終値!A147="","",IF(AND(安値!H147&lt;安値!G147,安値!H147&lt;安値!F147,安値!H147&lt;安値!I147,安値!H147&lt;安値!J147),3,""))</f>
      </c>
      <c r="D147" s="684">
        <f>IF(終値!A147="","",IF(AND(安値!I147&lt;安値!H147,安値!I147&lt;安値!G147,安値!I147&lt;安値!J147,安値!I147&lt;安値!K147),4,""))</f>
      </c>
      <c r="E147" s="684">
        <f>IF(終値!A147="","",IF(AND(安値!J147&lt;安値!I147,安値!J147&lt;安値!H147,安値!J147&lt;安値!K147,安値!J147&lt;安値!L147),5,""))</f>
      </c>
      <c r="F147" s="684">
        <f>IF(終値!A147="","",IF(AND(安値!K147&lt;安値!J147,安値!K147&lt;安値!I147,安値!K147&lt;安値!L147,安値!K147&lt;安値!M147),6,""))</f>
      </c>
      <c r="G147" s="684">
        <f>IF(終値!A147="","",IF(AND(安値!L147&lt;安値!K147,安値!L147&lt;安値!J147,安値!L147&lt;安値!M147,安値!L147&lt;安値!N147),7,""))</f>
      </c>
      <c r="H147" s="684">
        <f>IF(終値!A147="","",IF(AND(安値!M147&lt;安値!L147,安値!M147&lt;安値!K147,安値!M147&lt;安値!N147,安値!M147&lt;安値!O147),8,""))</f>
      </c>
      <c r="I147" s="684">
        <f>IF(終値!A147="","",IF(AND(安値!N147&lt;安値!M147,安値!N147&lt;安値!L147,安値!N147&lt;安値!O147,安値!N147&lt;安値!P147),9,""))</f>
      </c>
      <c r="J147" s="684">
        <f>IF(終値!A147="","",IF(AND(安値!O147&lt;安値!N147,安値!O147&lt;安値!M147,安値!O147&lt;安値!P147,安値!O147&lt;安値!Q147),10,""))</f>
      </c>
      <c r="K147" s="684">
        <f>IF(終値!A147="","",IF(AND(安値!P147&lt;安値!O147,安値!P147&lt;安値!N147,安値!P147&lt;安値!Q147,安値!P147&lt;安値!R147),11,""))</f>
      </c>
      <c r="L147" s="684">
        <f>IF(終値!A147="","",IF(AND(安値!Q147&lt;安値!P147,安値!Q147&lt;安値!O147,安値!Q147&lt;安値!R147,安値!Q147&lt;安値!S147),12,""))</f>
      </c>
      <c r="M147" s="684">
        <f>IF(終値!A147="","",IF(AND(安値!R147&lt;安値!Q147,安値!R147&lt;安値!P147,安値!R147&lt;安値!S147,安値!R147&lt;安値!T147),13,""))</f>
      </c>
      <c r="N147" s="684">
        <f>IF(終値!A147="","",IF(AND(安値!S147&lt;安値!R147,安値!S147&lt;安値!Q147,安値!S147&lt;安値!T147,安値!S147&lt;安値!U147),14,""))</f>
      </c>
      <c r="O147" s="684">
        <f>IF(終値!A147="","",IF(AND(安値!T147&lt;安値!S147,安値!T147&lt;安値!R147,安値!T147&lt;安値!U147,安値!T147&lt;安値!V147),15,""))</f>
      </c>
      <c r="P147" s="684">
        <f>IF(終値!A147="","",IF(AND(安値!U147&lt;安値!T147,安値!U147&lt;安値!S147,安値!U147&lt;安値!V147,安値!U147&lt;安値!W147),16,""))</f>
      </c>
      <c r="Q147" s="684">
        <f>IF(終値!A147="","",IF(AND(安値!V147&lt;安値!U147,安値!V147&lt;安値!T147,安値!V147&lt;安値!W147,安値!V147&lt;安値!X147),17,""))</f>
      </c>
      <c r="R147" s="684">
        <f>IF(終値!A147="","",IF(AND(安値!W147&lt;安値!V147,安値!W147&lt;安値!U147,安値!W147&lt;安値!X147,安値!W147&lt;安値!Y147),18,""))</f>
      </c>
      <c r="S147" s="684">
        <f>IF(終値!A147="","",IF(AND(安値!X147&lt;安値!W147,安値!X147&lt;安値!V147,安値!X147&lt;安値!Y147,安値!X147&lt;安値!Z147),19,""))</f>
      </c>
      <c r="T147" s="684">
        <f>IF(終値!A147="","",IF(AND(安値!Y147&lt;安値!X147,安値!Y147&lt;安値!W147,安値!Y147&lt;安値!Z147,安値!Y147&lt;安値!AA147),20,""))</f>
      </c>
      <c r="U147" s="684">
        <f>IF(終値!A147="","",IF(AND(安値!Z147&lt;安値!Y147,安値!Z147&lt;安値!X147,安値!Z147&lt;安値!AA147,安値!Z147&lt;安値!AB147),21,""))</f>
      </c>
      <c r="V147" s="684">
        <f>IF(終値!A147="","",IF(AND(安値!AA147&lt;安値!Z147,安値!AA147&lt;安値!Y147,安値!AA147&lt;安値!AB147,安値!AA147&lt;安値!AC147),22,""))</f>
      </c>
      <c r="W147" s="684">
        <f>IF(終値!A147="","",IF(AND(安値!AB147&lt;安値!AA147,安値!AB147&lt;安値!Z147,安値!AB147&lt;安値!AC147,安値!AB147&lt;安値!AD147),23,""))</f>
      </c>
      <c r="X147" s="684">
        <f>IF(終値!A147="","",IF(AND(安値!AC147&lt;安値!AB147,安値!AC147&lt;安値!AA147,安値!AC147&lt;安値!AD147,安値!AC147&lt;安値!AE147),24,""))</f>
      </c>
      <c r="Y147" s="684">
        <f>IF(終値!A147="","",IF(AND(安値!AD147&lt;安値!AC147,安値!AD147&lt;安値!AB147,安値!AD147&lt;安値!AE147,安値!AD147&lt;安値!AF147),25,""))</f>
      </c>
      <c r="Z147" s="684">
        <f>IF(終値!A147="","",IF(AND(安値!AE147&lt;安値!AD147,安値!AE147&lt;安値!AC147,安値!AE147&lt;安値!AF147,安値!AE147&lt;安値!AG147),26,""))</f>
      </c>
      <c r="AA147" s="684">
        <f>IF(終値!A147="","",IF(AND(安値!AF147&lt;安値!AE147,安値!AF147&lt;安値!AD147,安値!AF147&lt;安値!AG147,安値!AF147&lt;安値!AH147),27,""))</f>
      </c>
      <c r="AB147" s="684">
        <f>IF(終値!A147="","",IF(AND(安値!AG147&lt;安値!AF147,安値!AG147&lt;安値!AE147,安値!AG147&lt;安値!AH147,安値!AG147&lt;安値!AI147),28,""))</f>
      </c>
      <c r="AC147" s="684">
        <f>IF(終値!A147="","",IF(AND(高値!G147&gt;高値!F147,高値!G147&gt;高値!E147,高値!G147&gt;高値!H147,高値!G147&gt;高値!I147),2,""))</f>
      </c>
      <c r="AD147" s="684">
        <f>IF(終値!A147="","",IF(AND(高値!H147&gt;高値!G147,高値!H147&gt;高値!F147,高値!H147&gt;高値!I147,高値!H147&gt;高値!J147),3,""))</f>
      </c>
      <c r="AE147" s="684">
        <f>IF(終値!A147="","",IF(AND(高値!I147&gt;高値!H147,高値!I147&gt;高値!G147,高値!I147&gt;高値!J147,高値!I147&gt;高値!K147),4,""))</f>
      </c>
      <c r="AF147" s="684">
        <f>IF(終値!A147="","",IF(AND(高値!J147&gt;高値!I147,高値!J147&gt;高値!H147,高値!J147&gt;高値!K147,高値!J147&gt;高値!L147),5,""))</f>
      </c>
      <c r="AG147" s="684">
        <f>IF(終値!A147="","",IF(AND(高値!K147&gt;高値!J147,高値!K147&gt;高値!I147,高値!K147&gt;高値!L147,高値!K147&gt;高値!M147),6,""))</f>
      </c>
      <c r="AH147" s="684">
        <f>IF(終値!A147="","",IF(AND(高値!L147&gt;高値!K147,高値!L147&gt;高値!J147,高値!L147&gt;高値!M147,高値!L147&gt;高値!N147),7,""))</f>
      </c>
      <c r="AI147" s="684">
        <f>IF(終値!A147="","",IF(AND(高値!M147&gt;高値!L147,高値!M147&gt;高値!K147,高値!M147&gt;高値!N147,高値!M147&gt;高値!O147),8,""))</f>
      </c>
      <c r="AJ147" s="684">
        <f>IF(終値!A147="","",IF(AND(高値!N147&gt;高値!M147,高値!N147&gt;高値!L147,高値!N147&gt;高値!O147,高値!N147&gt;高値!P147),9,""))</f>
      </c>
      <c r="AK147" s="684">
        <f>IF(終値!A147="","",IF(AND(高値!O147&gt;高値!N147,高値!O147&gt;高値!M147,高値!O147&gt;高値!P147,高値!O147&gt;高値!Q147),10,""))</f>
      </c>
      <c r="AL147" s="684">
        <f>IF(終値!A147="","",IF(AND(高値!P147&gt;高値!O147,高値!P147&gt;高値!N147,高値!P147&gt;高値!Q147,高値!P147&gt;高値!R147),11,""))</f>
      </c>
      <c r="AM147" s="684">
        <f>IF(終値!A147="","",IF(AND(高値!Q147&gt;高値!P147,高値!Q147&gt;高値!O147,高値!Q147&gt;高値!R147,高値!Q147&gt;高値!S147),12,""))</f>
      </c>
      <c r="AN147" s="684">
        <f>IF(終値!A147="","",IF(AND(高値!R147&gt;高値!Q147,高値!R147&gt;高値!P147,高値!R147&gt;高値!S147,高値!R147&gt;高値!T147),13,""))</f>
      </c>
      <c r="AO147" s="684">
        <f>IF(終値!A147="","",IF(AND(高値!S147&gt;高値!R147,高値!S147&gt;高値!Q147,高値!S147&gt;高値!T147,高値!S147&gt;高値!U147),14,""))</f>
      </c>
      <c r="AP147" s="684">
        <f>IF(終値!A147="","",IF(AND(高値!T147&gt;高値!S147,高値!T147&gt;高値!R147,高値!T147&gt;高値!U147,高値!T147&gt;高値!V147),15,""))</f>
      </c>
      <c r="AQ147" s="684">
        <f>IF(終値!A147="","",IF(AND(高値!U147&gt;高値!T147,高値!U147&gt;高値!S147,高値!U147&gt;高値!V147,高値!U147&gt;高値!W147),16,""))</f>
      </c>
      <c r="AR147" s="684">
        <f>IF(終値!A147="","",IF(AND(高値!V147&gt;高値!U147,高値!V147&gt;高値!T147,高値!V147&gt;高値!W147,高値!V147&gt;高値!X147),17,""))</f>
      </c>
      <c r="AS147" s="684">
        <f>IF(終値!A147="","",IF(AND(高値!W147&gt;高値!V147,高値!W147&gt;高値!U147,高値!W147&gt;高値!X147,高値!W147&gt;高値!Y147),18,""))</f>
      </c>
      <c r="AT147" s="684">
        <f>IF(終値!A147="","",IF(AND(高値!X147&gt;高値!W147,高値!X147&gt;高値!V147,高値!X147&gt;高値!Y147,高値!X147&gt;高値!Z147),19,""))</f>
      </c>
      <c r="AU147" s="684">
        <f>IF(終値!A147="","",IF(AND(高値!Y147&gt;高値!X147,高値!Y147&gt;高値!W147,高値!Y147&gt;高値!Z147,高値!Y147&gt;高値!AA147),20,""))</f>
      </c>
      <c r="AV147" s="684">
        <f>IF(終値!A147="","",IF(AND(高値!Z147&gt;高値!Y147,高値!Z147&gt;高値!X147,高値!Z147&gt;高値!AA147,高値!Z147&gt;高値!AB147),21,""))</f>
      </c>
      <c r="AW147" s="684">
        <f>IF(終値!A147="","",IF(AND(高値!AA147&gt;高値!Z147,高値!AA147&gt;高値!Y147,高値!AA147&gt;高値!AB147,高値!AA147&gt;高値!AC147),22,""))</f>
      </c>
      <c r="AX147" s="684">
        <f>IF(終値!A147="","",IF(AND(高値!AB147&gt;高値!AA147,高値!AB147&gt;高値!Z147,高値!AB147&gt;高値!AC147,高値!AB147&gt;高値!AD147),23,""))</f>
      </c>
      <c r="AY147" s="684">
        <f>IF(終値!A147="","",IF(AND(高値!AC147&gt;高値!AB147,高値!AC147&gt;高値!AA147,高値!AC147&gt;高値!AD147,高値!AC147&gt;高値!AE147),24,""))</f>
      </c>
      <c r="AZ147" s="684">
        <f>IF(終値!A147="","",IF(AND(高値!AD147&gt;高値!AC147,高値!AD147&gt;高値!AB147,高値!AD147&gt;高値!AE147,高値!AD147&gt;高値!AF147),25,""))</f>
      </c>
      <c r="BA147" s="684">
        <f>IF(終値!A147="","",IF(AND(高値!AE147&gt;高値!AD147,高値!AE147&gt;高値!AC147,高値!AE147&gt;高値!AF147,高値!AE147&gt;高値!AG147),26,""))</f>
      </c>
      <c r="BB147" s="684">
        <f>IF(終値!A147="","",IF(AND(高値!AF147&gt;高値!AE147,高値!AF147&gt;高値!AD147,高値!AF147&gt;高値!AG147,高値!AF147&gt;高値!AH147),27,""))</f>
      </c>
      <c r="BC147" s="684">
        <f>IF(終値!A147="","",IF(AND(高値!AG147&gt;高値!AF147,高値!AG147&gt;高値!AE147,高値!AG147&gt;高値!AH147,高値!AG147&gt;高値!AI147),28,""))</f>
      </c>
      <c r="BD147" s="684">
        <f>COUNT($B147:$AB147)</f>
      </c>
      <c r="BE147" s="684">
        <f>IF($BD147&gt;=2,MIN($B147:$AB147),"")</f>
      </c>
      <c r="BF147" s="684">
        <f>IF($BD147&gt;=2,SMALL($B147:$AB147,2),"")</f>
      </c>
      <c r="BG147" s="684">
        <f>IF($BE147="","",INDEX(安値!$E147:$CZ147,1,$BE147+1))</f>
      </c>
      <c r="BH147" s="684">
        <f>IF($BF147="","",INDEX(安値!$E147:$CZ147,1,$BF147+1))</f>
      </c>
      <c r="BI147" s="684">
        <f>IF($BF147="","",MAX(INDEX(高値!$E147:$CZ147,1,$BE147+1):INDEX(高値!$E147:$CZ147,1,$BF147+1)))</f>
      </c>
      <c r="BJ147" s="684">
        <f>IF($BF147="","",AVERAGE(INDEX(終値!$E147:$CZ147,1,$BF147+1):INDEX(終値!$E147:$CZ147,1,$BF147+20))-2*STDEVP(INDEX(終値!$E147:$CZ147,1,$BF147+1):INDEX(終値!$E147:$CZ147,1,$BF147+20)))</f>
      </c>
      <c r="BK147" s="684">
        <f>IF($BE147="","",AVERAGE(INDEX(終値!$E147:$CZ147,1,$BE147+1):INDEX(終値!$E147:$CZ147,1,$BE147+20))-2*STDEVP(INDEX(終値!$E147:$CZ147,1,$BE147+1):INDEX(終値!$E147:$CZ147,1,$BE147+20)))</f>
      </c>
      <c r="BL147" s="684">
        <f>COUNT($AC147:$BC147)</f>
      </c>
      <c r="BM147" s="684">
        <f>IF($BL147&gt;=2,MIN($AC147:$BC147),"")</f>
      </c>
      <c r="BN147" s="684">
        <f>IF($BL147&gt;=2,SMALL($AC147:$BC147,2),"")</f>
      </c>
      <c r="BO147" s="684">
        <f>IF($BM147="","",INDEX(高値!$E147:$CZ147,1,$BM147+1))</f>
      </c>
      <c r="BP147" s="684">
        <f>IF($BN147="","",INDEX(高値!$E147:$CZ147,1,$BN147+1))</f>
      </c>
      <c r="BQ147" s="684">
        <f>IF($BN147="","",MIN(INDEX(安値!$E147:$CZ147,1,$BM147+1):INDEX(安値!$E147:$CZ147,1,$BN147+1)))</f>
      </c>
      <c r="BR147" s="684">
        <f>IF($BN147="","",AVERAGE(INDEX(終値!$E147:$CZ147,1,$BN147+1):INDEX(終値!$E147:$CZ147,1,$BN147+20))+2*STDEVP(INDEX(終値!$E147:$CZ147,1,$BN147+1):INDEX(終値!$E147:$CZ147,1,$BN147+20)))</f>
      </c>
      <c r="BS147" s="684">
        <f>IF($BM147="","",AVERAGE(INDEX(終値!$E147:$CZ147,1,$BM147+1):INDEX(終値!$E147:$CZ147,1,$BM147+20))+2*STDEVP(INDEX(終値!$E147:$CZ147,1,$BM147+1):INDEX(終値!$E147:$CZ147,1,$BM147+20)))</f>
      </c>
      <c r="BT147" s="681">
        <f>IFERROR(IF(AND($BD147&gt;=2,ABS($BG147-$BH147)/$BH147&lt;=BB設定!$B$12,$BI147&gt;=MAX($BH147,$BG147)*(1+BB設定!$B$13),終値!E147&gt;$BG147),IF(OR(終値!E147&gt;=$BI147,AND($BH147&lt;$BJ147,$BG147&gt;=$BK147)),"二番底W▲","二番底W形成"),IF(AND($BL147&gt;=2,ABS($BO147-$BP147)/$BP147&lt;=BB設定!$B$12,$BQ147&lt;=MIN($BP147,$BO147)*(1-BB設定!$B$13),終値!E147&lt;$BO147),IF(OR(終値!E147&lt;=$BQ147,AND($BP147&gt;$BR147,$BO147&lt;=$BS147)),"二番天井M▼","二番天井M形成"),"－")),"－")</f>
      </c>
    </row>
    <row r="148">
      <c r="B148" s="684">
        <f>IF(終値!A148="","",IF(AND(安値!G148&lt;安値!F148,安値!G148&lt;安値!E148,安値!G148&lt;安値!H148,安値!G148&lt;安値!I148),2,""))</f>
      </c>
      <c r="C148" s="684">
        <f>IF(終値!A148="","",IF(AND(安値!H148&lt;安値!G148,安値!H148&lt;安値!F148,安値!H148&lt;安値!I148,安値!H148&lt;安値!J148),3,""))</f>
      </c>
      <c r="D148" s="684">
        <f>IF(終値!A148="","",IF(AND(安値!I148&lt;安値!H148,安値!I148&lt;安値!G148,安値!I148&lt;安値!J148,安値!I148&lt;安値!K148),4,""))</f>
      </c>
      <c r="E148" s="684">
        <f>IF(終値!A148="","",IF(AND(安値!J148&lt;安値!I148,安値!J148&lt;安値!H148,安値!J148&lt;安値!K148,安値!J148&lt;安値!L148),5,""))</f>
      </c>
      <c r="F148" s="684">
        <f>IF(終値!A148="","",IF(AND(安値!K148&lt;安値!J148,安値!K148&lt;安値!I148,安値!K148&lt;安値!L148,安値!K148&lt;安値!M148),6,""))</f>
      </c>
      <c r="G148" s="684">
        <f>IF(終値!A148="","",IF(AND(安値!L148&lt;安値!K148,安値!L148&lt;安値!J148,安値!L148&lt;安値!M148,安値!L148&lt;安値!N148),7,""))</f>
      </c>
      <c r="H148" s="684">
        <f>IF(終値!A148="","",IF(AND(安値!M148&lt;安値!L148,安値!M148&lt;安値!K148,安値!M148&lt;安値!N148,安値!M148&lt;安値!O148),8,""))</f>
      </c>
      <c r="I148" s="684">
        <f>IF(終値!A148="","",IF(AND(安値!N148&lt;安値!M148,安値!N148&lt;安値!L148,安値!N148&lt;安値!O148,安値!N148&lt;安値!P148),9,""))</f>
      </c>
      <c r="J148" s="684">
        <f>IF(終値!A148="","",IF(AND(安値!O148&lt;安値!N148,安値!O148&lt;安値!M148,安値!O148&lt;安値!P148,安値!O148&lt;安値!Q148),10,""))</f>
      </c>
      <c r="K148" s="684">
        <f>IF(終値!A148="","",IF(AND(安値!P148&lt;安値!O148,安値!P148&lt;安値!N148,安値!P148&lt;安値!Q148,安値!P148&lt;安値!R148),11,""))</f>
      </c>
      <c r="L148" s="684">
        <f>IF(終値!A148="","",IF(AND(安値!Q148&lt;安値!P148,安値!Q148&lt;安値!O148,安値!Q148&lt;安値!R148,安値!Q148&lt;安値!S148),12,""))</f>
      </c>
      <c r="M148" s="684">
        <f>IF(終値!A148="","",IF(AND(安値!R148&lt;安値!Q148,安値!R148&lt;安値!P148,安値!R148&lt;安値!S148,安値!R148&lt;安値!T148),13,""))</f>
      </c>
      <c r="N148" s="684">
        <f>IF(終値!A148="","",IF(AND(安値!S148&lt;安値!R148,安値!S148&lt;安値!Q148,安値!S148&lt;安値!T148,安値!S148&lt;安値!U148),14,""))</f>
      </c>
      <c r="O148" s="684">
        <f>IF(終値!A148="","",IF(AND(安値!T148&lt;安値!S148,安値!T148&lt;安値!R148,安値!T148&lt;安値!U148,安値!T148&lt;安値!V148),15,""))</f>
      </c>
      <c r="P148" s="684">
        <f>IF(終値!A148="","",IF(AND(安値!U148&lt;安値!T148,安値!U148&lt;安値!S148,安値!U148&lt;安値!V148,安値!U148&lt;安値!W148),16,""))</f>
      </c>
      <c r="Q148" s="684">
        <f>IF(終値!A148="","",IF(AND(安値!V148&lt;安値!U148,安値!V148&lt;安値!T148,安値!V148&lt;安値!W148,安値!V148&lt;安値!X148),17,""))</f>
      </c>
      <c r="R148" s="684">
        <f>IF(終値!A148="","",IF(AND(安値!W148&lt;安値!V148,安値!W148&lt;安値!U148,安値!W148&lt;安値!X148,安値!W148&lt;安値!Y148),18,""))</f>
      </c>
      <c r="S148" s="684">
        <f>IF(終値!A148="","",IF(AND(安値!X148&lt;安値!W148,安値!X148&lt;安値!V148,安値!X148&lt;安値!Y148,安値!X148&lt;安値!Z148),19,""))</f>
      </c>
      <c r="T148" s="684">
        <f>IF(終値!A148="","",IF(AND(安値!Y148&lt;安値!X148,安値!Y148&lt;安値!W148,安値!Y148&lt;安値!Z148,安値!Y148&lt;安値!AA148),20,""))</f>
      </c>
      <c r="U148" s="684">
        <f>IF(終値!A148="","",IF(AND(安値!Z148&lt;安値!Y148,安値!Z148&lt;安値!X148,安値!Z148&lt;安値!AA148,安値!Z148&lt;安値!AB148),21,""))</f>
      </c>
      <c r="V148" s="684">
        <f>IF(終値!A148="","",IF(AND(安値!AA148&lt;安値!Z148,安値!AA148&lt;安値!Y148,安値!AA148&lt;安値!AB148,安値!AA148&lt;安値!AC148),22,""))</f>
      </c>
      <c r="W148" s="684">
        <f>IF(終値!A148="","",IF(AND(安値!AB148&lt;安値!AA148,安値!AB148&lt;安値!Z148,安値!AB148&lt;安値!AC148,安値!AB148&lt;安値!AD148),23,""))</f>
      </c>
      <c r="X148" s="684">
        <f>IF(終値!A148="","",IF(AND(安値!AC148&lt;安値!AB148,安値!AC148&lt;安値!AA148,安値!AC148&lt;安値!AD148,安値!AC148&lt;安値!AE148),24,""))</f>
      </c>
      <c r="Y148" s="684">
        <f>IF(終値!A148="","",IF(AND(安値!AD148&lt;安値!AC148,安値!AD148&lt;安値!AB148,安値!AD148&lt;安値!AE148,安値!AD148&lt;安値!AF148),25,""))</f>
      </c>
      <c r="Z148" s="684">
        <f>IF(終値!A148="","",IF(AND(安値!AE148&lt;安値!AD148,安値!AE148&lt;安値!AC148,安値!AE148&lt;安値!AF148,安値!AE148&lt;安値!AG148),26,""))</f>
      </c>
      <c r="AA148" s="684">
        <f>IF(終値!A148="","",IF(AND(安値!AF148&lt;安値!AE148,安値!AF148&lt;安値!AD148,安値!AF148&lt;安値!AG148,安値!AF148&lt;安値!AH148),27,""))</f>
      </c>
      <c r="AB148" s="684">
        <f>IF(終値!A148="","",IF(AND(安値!AG148&lt;安値!AF148,安値!AG148&lt;安値!AE148,安値!AG148&lt;安値!AH148,安値!AG148&lt;安値!AI148),28,""))</f>
      </c>
      <c r="AC148" s="684">
        <f>IF(終値!A148="","",IF(AND(高値!G148&gt;高値!F148,高値!G148&gt;高値!E148,高値!G148&gt;高値!H148,高値!G148&gt;高値!I148),2,""))</f>
      </c>
      <c r="AD148" s="684">
        <f>IF(終値!A148="","",IF(AND(高値!H148&gt;高値!G148,高値!H148&gt;高値!F148,高値!H148&gt;高値!I148,高値!H148&gt;高値!J148),3,""))</f>
      </c>
      <c r="AE148" s="684">
        <f>IF(終値!A148="","",IF(AND(高値!I148&gt;高値!H148,高値!I148&gt;高値!G148,高値!I148&gt;高値!J148,高値!I148&gt;高値!K148),4,""))</f>
      </c>
      <c r="AF148" s="684">
        <f>IF(終値!A148="","",IF(AND(高値!J148&gt;高値!I148,高値!J148&gt;高値!H148,高値!J148&gt;高値!K148,高値!J148&gt;高値!L148),5,""))</f>
      </c>
      <c r="AG148" s="684">
        <f>IF(終値!A148="","",IF(AND(高値!K148&gt;高値!J148,高値!K148&gt;高値!I148,高値!K148&gt;高値!L148,高値!K148&gt;高値!M148),6,""))</f>
      </c>
      <c r="AH148" s="684">
        <f>IF(終値!A148="","",IF(AND(高値!L148&gt;高値!K148,高値!L148&gt;高値!J148,高値!L148&gt;高値!M148,高値!L148&gt;高値!N148),7,""))</f>
      </c>
      <c r="AI148" s="684">
        <f>IF(終値!A148="","",IF(AND(高値!M148&gt;高値!L148,高値!M148&gt;高値!K148,高値!M148&gt;高値!N148,高値!M148&gt;高値!O148),8,""))</f>
      </c>
      <c r="AJ148" s="684">
        <f>IF(終値!A148="","",IF(AND(高値!N148&gt;高値!M148,高値!N148&gt;高値!L148,高値!N148&gt;高値!O148,高値!N148&gt;高値!P148),9,""))</f>
      </c>
      <c r="AK148" s="684">
        <f>IF(終値!A148="","",IF(AND(高値!O148&gt;高値!N148,高値!O148&gt;高値!M148,高値!O148&gt;高値!P148,高値!O148&gt;高値!Q148),10,""))</f>
      </c>
      <c r="AL148" s="684">
        <f>IF(終値!A148="","",IF(AND(高値!P148&gt;高値!O148,高値!P148&gt;高値!N148,高値!P148&gt;高値!Q148,高値!P148&gt;高値!R148),11,""))</f>
      </c>
      <c r="AM148" s="684">
        <f>IF(終値!A148="","",IF(AND(高値!Q148&gt;高値!P148,高値!Q148&gt;高値!O148,高値!Q148&gt;高値!R148,高値!Q148&gt;高値!S148),12,""))</f>
      </c>
      <c r="AN148" s="684">
        <f>IF(終値!A148="","",IF(AND(高値!R148&gt;高値!Q148,高値!R148&gt;高値!P148,高値!R148&gt;高値!S148,高値!R148&gt;高値!T148),13,""))</f>
      </c>
      <c r="AO148" s="684">
        <f>IF(終値!A148="","",IF(AND(高値!S148&gt;高値!R148,高値!S148&gt;高値!Q148,高値!S148&gt;高値!T148,高値!S148&gt;高値!U148),14,""))</f>
      </c>
      <c r="AP148" s="684">
        <f>IF(終値!A148="","",IF(AND(高値!T148&gt;高値!S148,高値!T148&gt;高値!R148,高値!T148&gt;高値!U148,高値!T148&gt;高値!V148),15,""))</f>
      </c>
      <c r="AQ148" s="684">
        <f>IF(終値!A148="","",IF(AND(高値!U148&gt;高値!T148,高値!U148&gt;高値!S148,高値!U148&gt;高値!V148,高値!U148&gt;高値!W148),16,""))</f>
      </c>
      <c r="AR148" s="684">
        <f>IF(終値!A148="","",IF(AND(高値!V148&gt;高値!U148,高値!V148&gt;高値!T148,高値!V148&gt;高値!W148,高値!V148&gt;高値!X148),17,""))</f>
      </c>
      <c r="AS148" s="684">
        <f>IF(終値!A148="","",IF(AND(高値!W148&gt;高値!V148,高値!W148&gt;高値!U148,高値!W148&gt;高値!X148,高値!W148&gt;高値!Y148),18,""))</f>
      </c>
      <c r="AT148" s="684">
        <f>IF(終値!A148="","",IF(AND(高値!X148&gt;高値!W148,高値!X148&gt;高値!V148,高値!X148&gt;高値!Y148,高値!X148&gt;高値!Z148),19,""))</f>
      </c>
      <c r="AU148" s="684">
        <f>IF(終値!A148="","",IF(AND(高値!Y148&gt;高値!X148,高値!Y148&gt;高値!W148,高値!Y148&gt;高値!Z148,高値!Y148&gt;高値!AA148),20,""))</f>
      </c>
      <c r="AV148" s="684">
        <f>IF(終値!A148="","",IF(AND(高値!Z148&gt;高値!Y148,高値!Z148&gt;高値!X148,高値!Z148&gt;高値!AA148,高値!Z148&gt;高値!AB148),21,""))</f>
      </c>
      <c r="AW148" s="684">
        <f>IF(終値!A148="","",IF(AND(高値!AA148&gt;高値!Z148,高値!AA148&gt;高値!Y148,高値!AA148&gt;高値!AB148,高値!AA148&gt;高値!AC148),22,""))</f>
      </c>
      <c r="AX148" s="684">
        <f>IF(終値!A148="","",IF(AND(高値!AB148&gt;高値!AA148,高値!AB148&gt;高値!Z148,高値!AB148&gt;高値!AC148,高値!AB148&gt;高値!AD148),23,""))</f>
      </c>
      <c r="AY148" s="684">
        <f>IF(終値!A148="","",IF(AND(高値!AC148&gt;高値!AB148,高値!AC148&gt;高値!AA148,高値!AC148&gt;高値!AD148,高値!AC148&gt;高値!AE148),24,""))</f>
      </c>
      <c r="AZ148" s="684">
        <f>IF(終値!A148="","",IF(AND(高値!AD148&gt;高値!AC148,高値!AD148&gt;高値!AB148,高値!AD148&gt;高値!AE148,高値!AD148&gt;高値!AF148),25,""))</f>
      </c>
      <c r="BA148" s="684">
        <f>IF(終値!A148="","",IF(AND(高値!AE148&gt;高値!AD148,高値!AE148&gt;高値!AC148,高値!AE148&gt;高値!AF148,高値!AE148&gt;高値!AG148),26,""))</f>
      </c>
      <c r="BB148" s="684">
        <f>IF(終値!A148="","",IF(AND(高値!AF148&gt;高値!AE148,高値!AF148&gt;高値!AD148,高値!AF148&gt;高値!AG148,高値!AF148&gt;高値!AH148),27,""))</f>
      </c>
      <c r="BC148" s="684">
        <f>IF(終値!A148="","",IF(AND(高値!AG148&gt;高値!AF148,高値!AG148&gt;高値!AE148,高値!AG148&gt;高値!AH148,高値!AG148&gt;高値!AI148),28,""))</f>
      </c>
      <c r="BD148" s="684">
        <f>COUNT($B148:$AB148)</f>
      </c>
      <c r="BE148" s="684">
        <f>IF($BD148&gt;=2,MIN($B148:$AB148),"")</f>
      </c>
      <c r="BF148" s="684">
        <f>IF($BD148&gt;=2,SMALL($B148:$AB148,2),"")</f>
      </c>
      <c r="BG148" s="684">
        <f>IF($BE148="","",INDEX(安値!$E148:$CZ148,1,$BE148+1))</f>
      </c>
      <c r="BH148" s="684">
        <f>IF($BF148="","",INDEX(安値!$E148:$CZ148,1,$BF148+1))</f>
      </c>
      <c r="BI148" s="684">
        <f>IF($BF148="","",MAX(INDEX(高値!$E148:$CZ148,1,$BE148+1):INDEX(高値!$E148:$CZ148,1,$BF148+1)))</f>
      </c>
      <c r="BJ148" s="684">
        <f>IF($BF148="","",AVERAGE(INDEX(終値!$E148:$CZ148,1,$BF148+1):INDEX(終値!$E148:$CZ148,1,$BF148+20))-2*STDEVP(INDEX(終値!$E148:$CZ148,1,$BF148+1):INDEX(終値!$E148:$CZ148,1,$BF148+20)))</f>
      </c>
      <c r="BK148" s="684">
        <f>IF($BE148="","",AVERAGE(INDEX(終値!$E148:$CZ148,1,$BE148+1):INDEX(終値!$E148:$CZ148,1,$BE148+20))-2*STDEVP(INDEX(終値!$E148:$CZ148,1,$BE148+1):INDEX(終値!$E148:$CZ148,1,$BE148+20)))</f>
      </c>
      <c r="BL148" s="684">
        <f>COUNT($AC148:$BC148)</f>
      </c>
      <c r="BM148" s="684">
        <f>IF($BL148&gt;=2,MIN($AC148:$BC148),"")</f>
      </c>
      <c r="BN148" s="684">
        <f>IF($BL148&gt;=2,SMALL($AC148:$BC148,2),"")</f>
      </c>
      <c r="BO148" s="684">
        <f>IF($BM148="","",INDEX(高値!$E148:$CZ148,1,$BM148+1))</f>
      </c>
      <c r="BP148" s="684">
        <f>IF($BN148="","",INDEX(高値!$E148:$CZ148,1,$BN148+1))</f>
      </c>
      <c r="BQ148" s="684">
        <f>IF($BN148="","",MIN(INDEX(安値!$E148:$CZ148,1,$BM148+1):INDEX(安値!$E148:$CZ148,1,$BN148+1)))</f>
      </c>
      <c r="BR148" s="684">
        <f>IF($BN148="","",AVERAGE(INDEX(終値!$E148:$CZ148,1,$BN148+1):INDEX(終値!$E148:$CZ148,1,$BN148+20))+2*STDEVP(INDEX(終値!$E148:$CZ148,1,$BN148+1):INDEX(終値!$E148:$CZ148,1,$BN148+20)))</f>
      </c>
      <c r="BS148" s="684">
        <f>IF($BM148="","",AVERAGE(INDEX(終値!$E148:$CZ148,1,$BM148+1):INDEX(終値!$E148:$CZ148,1,$BM148+20))+2*STDEVP(INDEX(終値!$E148:$CZ148,1,$BM148+1):INDEX(終値!$E148:$CZ148,1,$BM148+20)))</f>
      </c>
      <c r="BT148" s="681">
        <f>IFERROR(IF(AND($BD148&gt;=2,ABS($BG148-$BH148)/$BH148&lt;=BB設定!$B$12,$BI148&gt;=MAX($BH148,$BG148)*(1+BB設定!$B$13),終値!E148&gt;$BG148),IF(OR(終値!E148&gt;=$BI148,AND($BH148&lt;$BJ148,$BG148&gt;=$BK148)),"二番底W▲","二番底W形成"),IF(AND($BL148&gt;=2,ABS($BO148-$BP148)/$BP148&lt;=BB設定!$B$12,$BQ148&lt;=MIN($BP148,$BO148)*(1-BB設定!$B$13),終値!E148&lt;$BO148),IF(OR(終値!E148&lt;=$BQ148,AND($BP148&gt;$BR148,$BO148&lt;=$BS148)),"二番天井M▼","二番天井M形成"),"－")),"－")</f>
      </c>
    </row>
    <row r="149">
      <c r="B149" s="684">
        <f>IF(終値!A149="","",IF(AND(安値!G149&lt;安値!F149,安値!G149&lt;安値!E149,安値!G149&lt;安値!H149,安値!G149&lt;安値!I149),2,""))</f>
      </c>
      <c r="C149" s="684">
        <f>IF(終値!A149="","",IF(AND(安値!H149&lt;安値!G149,安値!H149&lt;安値!F149,安値!H149&lt;安値!I149,安値!H149&lt;安値!J149),3,""))</f>
      </c>
      <c r="D149" s="684">
        <f>IF(終値!A149="","",IF(AND(安値!I149&lt;安値!H149,安値!I149&lt;安値!G149,安値!I149&lt;安値!J149,安値!I149&lt;安値!K149),4,""))</f>
      </c>
      <c r="E149" s="684">
        <f>IF(終値!A149="","",IF(AND(安値!J149&lt;安値!I149,安値!J149&lt;安値!H149,安値!J149&lt;安値!K149,安値!J149&lt;安値!L149),5,""))</f>
      </c>
      <c r="F149" s="684">
        <f>IF(終値!A149="","",IF(AND(安値!K149&lt;安値!J149,安値!K149&lt;安値!I149,安値!K149&lt;安値!L149,安値!K149&lt;安値!M149),6,""))</f>
      </c>
      <c r="G149" s="684">
        <f>IF(終値!A149="","",IF(AND(安値!L149&lt;安値!K149,安値!L149&lt;安値!J149,安値!L149&lt;安値!M149,安値!L149&lt;安値!N149),7,""))</f>
      </c>
      <c r="H149" s="684">
        <f>IF(終値!A149="","",IF(AND(安値!M149&lt;安値!L149,安値!M149&lt;安値!K149,安値!M149&lt;安値!N149,安値!M149&lt;安値!O149),8,""))</f>
      </c>
      <c r="I149" s="684">
        <f>IF(終値!A149="","",IF(AND(安値!N149&lt;安値!M149,安値!N149&lt;安値!L149,安値!N149&lt;安値!O149,安値!N149&lt;安値!P149),9,""))</f>
      </c>
      <c r="J149" s="684">
        <f>IF(終値!A149="","",IF(AND(安値!O149&lt;安値!N149,安値!O149&lt;安値!M149,安値!O149&lt;安値!P149,安値!O149&lt;安値!Q149),10,""))</f>
      </c>
      <c r="K149" s="684">
        <f>IF(終値!A149="","",IF(AND(安値!P149&lt;安値!O149,安値!P149&lt;安値!N149,安値!P149&lt;安値!Q149,安値!P149&lt;安値!R149),11,""))</f>
      </c>
      <c r="L149" s="684">
        <f>IF(終値!A149="","",IF(AND(安値!Q149&lt;安値!P149,安値!Q149&lt;安値!O149,安値!Q149&lt;安値!R149,安値!Q149&lt;安値!S149),12,""))</f>
      </c>
      <c r="M149" s="684">
        <f>IF(終値!A149="","",IF(AND(安値!R149&lt;安値!Q149,安値!R149&lt;安値!P149,安値!R149&lt;安値!S149,安値!R149&lt;安値!T149),13,""))</f>
      </c>
      <c r="N149" s="684">
        <f>IF(終値!A149="","",IF(AND(安値!S149&lt;安値!R149,安値!S149&lt;安値!Q149,安値!S149&lt;安値!T149,安値!S149&lt;安値!U149),14,""))</f>
      </c>
      <c r="O149" s="684">
        <f>IF(終値!A149="","",IF(AND(安値!T149&lt;安値!S149,安値!T149&lt;安値!R149,安値!T149&lt;安値!U149,安値!T149&lt;安値!V149),15,""))</f>
      </c>
      <c r="P149" s="684">
        <f>IF(終値!A149="","",IF(AND(安値!U149&lt;安値!T149,安値!U149&lt;安値!S149,安値!U149&lt;安値!V149,安値!U149&lt;安値!W149),16,""))</f>
      </c>
      <c r="Q149" s="684">
        <f>IF(終値!A149="","",IF(AND(安値!V149&lt;安値!U149,安値!V149&lt;安値!T149,安値!V149&lt;安値!W149,安値!V149&lt;安値!X149),17,""))</f>
      </c>
      <c r="R149" s="684">
        <f>IF(終値!A149="","",IF(AND(安値!W149&lt;安値!V149,安値!W149&lt;安値!U149,安値!W149&lt;安値!X149,安値!W149&lt;安値!Y149),18,""))</f>
      </c>
      <c r="S149" s="684">
        <f>IF(終値!A149="","",IF(AND(安値!X149&lt;安値!W149,安値!X149&lt;安値!V149,安値!X149&lt;安値!Y149,安値!X149&lt;安値!Z149),19,""))</f>
      </c>
      <c r="T149" s="684">
        <f>IF(終値!A149="","",IF(AND(安値!Y149&lt;安値!X149,安値!Y149&lt;安値!W149,安値!Y149&lt;安値!Z149,安値!Y149&lt;安値!AA149),20,""))</f>
      </c>
      <c r="U149" s="684">
        <f>IF(終値!A149="","",IF(AND(安値!Z149&lt;安値!Y149,安値!Z149&lt;安値!X149,安値!Z149&lt;安値!AA149,安値!Z149&lt;安値!AB149),21,""))</f>
      </c>
      <c r="V149" s="684">
        <f>IF(終値!A149="","",IF(AND(安値!AA149&lt;安値!Z149,安値!AA149&lt;安値!Y149,安値!AA149&lt;安値!AB149,安値!AA149&lt;安値!AC149),22,""))</f>
      </c>
      <c r="W149" s="684">
        <f>IF(終値!A149="","",IF(AND(安値!AB149&lt;安値!AA149,安値!AB149&lt;安値!Z149,安値!AB149&lt;安値!AC149,安値!AB149&lt;安値!AD149),23,""))</f>
      </c>
      <c r="X149" s="684">
        <f>IF(終値!A149="","",IF(AND(安値!AC149&lt;安値!AB149,安値!AC149&lt;安値!AA149,安値!AC149&lt;安値!AD149,安値!AC149&lt;安値!AE149),24,""))</f>
      </c>
      <c r="Y149" s="684">
        <f>IF(終値!A149="","",IF(AND(安値!AD149&lt;安値!AC149,安値!AD149&lt;安値!AB149,安値!AD149&lt;安値!AE149,安値!AD149&lt;安値!AF149),25,""))</f>
      </c>
      <c r="Z149" s="684">
        <f>IF(終値!A149="","",IF(AND(安値!AE149&lt;安値!AD149,安値!AE149&lt;安値!AC149,安値!AE149&lt;安値!AF149,安値!AE149&lt;安値!AG149),26,""))</f>
      </c>
      <c r="AA149" s="684">
        <f>IF(終値!A149="","",IF(AND(安値!AF149&lt;安値!AE149,安値!AF149&lt;安値!AD149,安値!AF149&lt;安値!AG149,安値!AF149&lt;安値!AH149),27,""))</f>
      </c>
      <c r="AB149" s="684">
        <f>IF(終値!A149="","",IF(AND(安値!AG149&lt;安値!AF149,安値!AG149&lt;安値!AE149,安値!AG149&lt;安値!AH149,安値!AG149&lt;安値!AI149),28,""))</f>
      </c>
      <c r="AC149" s="684">
        <f>IF(終値!A149="","",IF(AND(高値!G149&gt;高値!F149,高値!G149&gt;高値!E149,高値!G149&gt;高値!H149,高値!G149&gt;高値!I149),2,""))</f>
      </c>
      <c r="AD149" s="684">
        <f>IF(終値!A149="","",IF(AND(高値!H149&gt;高値!G149,高値!H149&gt;高値!F149,高値!H149&gt;高値!I149,高値!H149&gt;高値!J149),3,""))</f>
      </c>
      <c r="AE149" s="684">
        <f>IF(終値!A149="","",IF(AND(高値!I149&gt;高値!H149,高値!I149&gt;高値!G149,高値!I149&gt;高値!J149,高値!I149&gt;高値!K149),4,""))</f>
      </c>
      <c r="AF149" s="684">
        <f>IF(終値!A149="","",IF(AND(高値!J149&gt;高値!I149,高値!J149&gt;高値!H149,高値!J149&gt;高値!K149,高値!J149&gt;高値!L149),5,""))</f>
      </c>
      <c r="AG149" s="684">
        <f>IF(終値!A149="","",IF(AND(高値!K149&gt;高値!J149,高値!K149&gt;高値!I149,高値!K149&gt;高値!L149,高値!K149&gt;高値!M149),6,""))</f>
      </c>
      <c r="AH149" s="684">
        <f>IF(終値!A149="","",IF(AND(高値!L149&gt;高値!K149,高値!L149&gt;高値!J149,高値!L149&gt;高値!M149,高値!L149&gt;高値!N149),7,""))</f>
      </c>
      <c r="AI149" s="684">
        <f>IF(終値!A149="","",IF(AND(高値!M149&gt;高値!L149,高値!M149&gt;高値!K149,高値!M149&gt;高値!N149,高値!M149&gt;高値!O149),8,""))</f>
      </c>
      <c r="AJ149" s="684">
        <f>IF(終値!A149="","",IF(AND(高値!N149&gt;高値!M149,高値!N149&gt;高値!L149,高値!N149&gt;高値!O149,高値!N149&gt;高値!P149),9,""))</f>
      </c>
      <c r="AK149" s="684">
        <f>IF(終値!A149="","",IF(AND(高値!O149&gt;高値!N149,高値!O149&gt;高値!M149,高値!O149&gt;高値!P149,高値!O149&gt;高値!Q149),10,""))</f>
      </c>
      <c r="AL149" s="684">
        <f>IF(終値!A149="","",IF(AND(高値!P149&gt;高値!O149,高値!P149&gt;高値!N149,高値!P149&gt;高値!Q149,高値!P149&gt;高値!R149),11,""))</f>
      </c>
      <c r="AM149" s="684">
        <f>IF(終値!A149="","",IF(AND(高値!Q149&gt;高値!P149,高値!Q149&gt;高値!O149,高値!Q149&gt;高値!R149,高値!Q149&gt;高値!S149),12,""))</f>
      </c>
      <c r="AN149" s="684">
        <f>IF(終値!A149="","",IF(AND(高値!R149&gt;高値!Q149,高値!R149&gt;高値!P149,高値!R149&gt;高値!S149,高値!R149&gt;高値!T149),13,""))</f>
      </c>
      <c r="AO149" s="684">
        <f>IF(終値!A149="","",IF(AND(高値!S149&gt;高値!R149,高値!S149&gt;高値!Q149,高値!S149&gt;高値!T149,高値!S149&gt;高値!U149),14,""))</f>
      </c>
      <c r="AP149" s="684">
        <f>IF(終値!A149="","",IF(AND(高値!T149&gt;高値!S149,高値!T149&gt;高値!R149,高値!T149&gt;高値!U149,高値!T149&gt;高値!V149),15,""))</f>
      </c>
      <c r="AQ149" s="684">
        <f>IF(終値!A149="","",IF(AND(高値!U149&gt;高値!T149,高値!U149&gt;高値!S149,高値!U149&gt;高値!V149,高値!U149&gt;高値!W149),16,""))</f>
      </c>
      <c r="AR149" s="684">
        <f>IF(終値!A149="","",IF(AND(高値!V149&gt;高値!U149,高値!V149&gt;高値!T149,高値!V149&gt;高値!W149,高値!V149&gt;高値!X149),17,""))</f>
      </c>
      <c r="AS149" s="684">
        <f>IF(終値!A149="","",IF(AND(高値!W149&gt;高値!V149,高値!W149&gt;高値!U149,高値!W149&gt;高値!X149,高値!W149&gt;高値!Y149),18,""))</f>
      </c>
      <c r="AT149" s="684">
        <f>IF(終値!A149="","",IF(AND(高値!X149&gt;高値!W149,高値!X149&gt;高値!V149,高値!X149&gt;高値!Y149,高値!X149&gt;高値!Z149),19,""))</f>
      </c>
      <c r="AU149" s="684">
        <f>IF(終値!A149="","",IF(AND(高値!Y149&gt;高値!X149,高値!Y149&gt;高値!W149,高値!Y149&gt;高値!Z149,高値!Y149&gt;高値!AA149),20,""))</f>
      </c>
      <c r="AV149" s="684">
        <f>IF(終値!A149="","",IF(AND(高値!Z149&gt;高値!Y149,高値!Z149&gt;高値!X149,高値!Z149&gt;高値!AA149,高値!Z149&gt;高値!AB149),21,""))</f>
      </c>
      <c r="AW149" s="684">
        <f>IF(終値!A149="","",IF(AND(高値!AA149&gt;高値!Z149,高値!AA149&gt;高値!Y149,高値!AA149&gt;高値!AB149,高値!AA149&gt;高値!AC149),22,""))</f>
      </c>
      <c r="AX149" s="684">
        <f>IF(終値!A149="","",IF(AND(高値!AB149&gt;高値!AA149,高値!AB149&gt;高値!Z149,高値!AB149&gt;高値!AC149,高値!AB149&gt;高値!AD149),23,""))</f>
      </c>
      <c r="AY149" s="684">
        <f>IF(終値!A149="","",IF(AND(高値!AC149&gt;高値!AB149,高値!AC149&gt;高値!AA149,高値!AC149&gt;高値!AD149,高値!AC149&gt;高値!AE149),24,""))</f>
      </c>
      <c r="AZ149" s="684">
        <f>IF(終値!A149="","",IF(AND(高値!AD149&gt;高値!AC149,高値!AD149&gt;高値!AB149,高値!AD149&gt;高値!AE149,高値!AD149&gt;高値!AF149),25,""))</f>
      </c>
      <c r="BA149" s="684">
        <f>IF(終値!A149="","",IF(AND(高値!AE149&gt;高値!AD149,高値!AE149&gt;高値!AC149,高値!AE149&gt;高値!AF149,高値!AE149&gt;高値!AG149),26,""))</f>
      </c>
      <c r="BB149" s="684">
        <f>IF(終値!A149="","",IF(AND(高値!AF149&gt;高値!AE149,高値!AF149&gt;高値!AD149,高値!AF149&gt;高値!AG149,高値!AF149&gt;高値!AH149),27,""))</f>
      </c>
      <c r="BC149" s="684">
        <f>IF(終値!A149="","",IF(AND(高値!AG149&gt;高値!AF149,高値!AG149&gt;高値!AE149,高値!AG149&gt;高値!AH149,高値!AG149&gt;高値!AI149),28,""))</f>
      </c>
      <c r="BD149" s="684">
        <f>COUNT($B149:$AB149)</f>
      </c>
      <c r="BE149" s="684">
        <f>IF($BD149&gt;=2,MIN($B149:$AB149),"")</f>
      </c>
      <c r="BF149" s="684">
        <f>IF($BD149&gt;=2,SMALL($B149:$AB149,2),"")</f>
      </c>
      <c r="BG149" s="684">
        <f>IF($BE149="","",INDEX(安値!$E149:$CZ149,1,$BE149+1))</f>
      </c>
      <c r="BH149" s="684">
        <f>IF($BF149="","",INDEX(安値!$E149:$CZ149,1,$BF149+1))</f>
      </c>
      <c r="BI149" s="684">
        <f>IF($BF149="","",MAX(INDEX(高値!$E149:$CZ149,1,$BE149+1):INDEX(高値!$E149:$CZ149,1,$BF149+1)))</f>
      </c>
      <c r="BJ149" s="684">
        <f>IF($BF149="","",AVERAGE(INDEX(終値!$E149:$CZ149,1,$BF149+1):INDEX(終値!$E149:$CZ149,1,$BF149+20))-2*STDEVP(INDEX(終値!$E149:$CZ149,1,$BF149+1):INDEX(終値!$E149:$CZ149,1,$BF149+20)))</f>
      </c>
      <c r="BK149" s="684">
        <f>IF($BE149="","",AVERAGE(INDEX(終値!$E149:$CZ149,1,$BE149+1):INDEX(終値!$E149:$CZ149,1,$BE149+20))-2*STDEVP(INDEX(終値!$E149:$CZ149,1,$BE149+1):INDEX(終値!$E149:$CZ149,1,$BE149+20)))</f>
      </c>
      <c r="BL149" s="684">
        <f>COUNT($AC149:$BC149)</f>
      </c>
      <c r="BM149" s="684">
        <f>IF($BL149&gt;=2,MIN($AC149:$BC149),"")</f>
      </c>
      <c r="BN149" s="684">
        <f>IF($BL149&gt;=2,SMALL($AC149:$BC149,2),"")</f>
      </c>
      <c r="BO149" s="684">
        <f>IF($BM149="","",INDEX(高値!$E149:$CZ149,1,$BM149+1))</f>
      </c>
      <c r="BP149" s="684">
        <f>IF($BN149="","",INDEX(高値!$E149:$CZ149,1,$BN149+1))</f>
      </c>
      <c r="BQ149" s="684">
        <f>IF($BN149="","",MIN(INDEX(安値!$E149:$CZ149,1,$BM149+1):INDEX(安値!$E149:$CZ149,1,$BN149+1)))</f>
      </c>
      <c r="BR149" s="684">
        <f>IF($BN149="","",AVERAGE(INDEX(終値!$E149:$CZ149,1,$BN149+1):INDEX(終値!$E149:$CZ149,1,$BN149+20))+2*STDEVP(INDEX(終値!$E149:$CZ149,1,$BN149+1):INDEX(終値!$E149:$CZ149,1,$BN149+20)))</f>
      </c>
      <c r="BS149" s="684">
        <f>IF($BM149="","",AVERAGE(INDEX(終値!$E149:$CZ149,1,$BM149+1):INDEX(終値!$E149:$CZ149,1,$BM149+20))+2*STDEVP(INDEX(終値!$E149:$CZ149,1,$BM149+1):INDEX(終値!$E149:$CZ149,1,$BM149+20)))</f>
      </c>
      <c r="BT149" s="681">
        <f>IFERROR(IF(AND($BD149&gt;=2,ABS($BG149-$BH149)/$BH149&lt;=BB設定!$B$12,$BI149&gt;=MAX($BH149,$BG149)*(1+BB設定!$B$13),終値!E149&gt;$BG149),IF(OR(終値!E149&gt;=$BI149,AND($BH149&lt;$BJ149,$BG149&gt;=$BK149)),"二番底W▲","二番底W形成"),IF(AND($BL149&gt;=2,ABS($BO149-$BP149)/$BP149&lt;=BB設定!$B$12,$BQ149&lt;=MIN($BP149,$BO149)*(1-BB設定!$B$13),終値!E149&lt;$BO149),IF(OR(終値!E149&lt;=$BQ149,AND($BP149&gt;$BR149,$BO149&lt;=$BS149)),"二番天井M▼","二番天井M形成"),"－")),"－")</f>
      </c>
    </row>
    <row r="150">
      <c r="B150" s="684">
        <f>IF(終値!A150="","",IF(AND(安値!G150&lt;安値!F150,安値!G150&lt;安値!E150,安値!G150&lt;安値!H150,安値!G150&lt;安値!I150),2,""))</f>
      </c>
      <c r="C150" s="684">
        <f>IF(終値!A150="","",IF(AND(安値!H150&lt;安値!G150,安値!H150&lt;安値!F150,安値!H150&lt;安値!I150,安値!H150&lt;安値!J150),3,""))</f>
      </c>
      <c r="D150" s="684">
        <f>IF(終値!A150="","",IF(AND(安値!I150&lt;安値!H150,安値!I150&lt;安値!G150,安値!I150&lt;安値!J150,安値!I150&lt;安値!K150),4,""))</f>
      </c>
      <c r="E150" s="684">
        <f>IF(終値!A150="","",IF(AND(安値!J150&lt;安値!I150,安値!J150&lt;安値!H150,安値!J150&lt;安値!K150,安値!J150&lt;安値!L150),5,""))</f>
      </c>
      <c r="F150" s="684">
        <f>IF(終値!A150="","",IF(AND(安値!K150&lt;安値!J150,安値!K150&lt;安値!I150,安値!K150&lt;安値!L150,安値!K150&lt;安値!M150),6,""))</f>
      </c>
      <c r="G150" s="684">
        <f>IF(終値!A150="","",IF(AND(安値!L150&lt;安値!K150,安値!L150&lt;安値!J150,安値!L150&lt;安値!M150,安値!L150&lt;安値!N150),7,""))</f>
      </c>
      <c r="H150" s="684">
        <f>IF(終値!A150="","",IF(AND(安値!M150&lt;安値!L150,安値!M150&lt;安値!K150,安値!M150&lt;安値!N150,安値!M150&lt;安値!O150),8,""))</f>
      </c>
      <c r="I150" s="684">
        <f>IF(終値!A150="","",IF(AND(安値!N150&lt;安値!M150,安値!N150&lt;安値!L150,安値!N150&lt;安値!O150,安値!N150&lt;安値!P150),9,""))</f>
      </c>
      <c r="J150" s="684">
        <f>IF(終値!A150="","",IF(AND(安値!O150&lt;安値!N150,安値!O150&lt;安値!M150,安値!O150&lt;安値!P150,安値!O150&lt;安値!Q150),10,""))</f>
      </c>
      <c r="K150" s="684">
        <f>IF(終値!A150="","",IF(AND(安値!P150&lt;安値!O150,安値!P150&lt;安値!N150,安値!P150&lt;安値!Q150,安値!P150&lt;安値!R150),11,""))</f>
      </c>
      <c r="L150" s="684">
        <f>IF(終値!A150="","",IF(AND(安値!Q150&lt;安値!P150,安値!Q150&lt;安値!O150,安値!Q150&lt;安値!R150,安値!Q150&lt;安値!S150),12,""))</f>
      </c>
      <c r="M150" s="684">
        <f>IF(終値!A150="","",IF(AND(安値!R150&lt;安値!Q150,安値!R150&lt;安値!P150,安値!R150&lt;安値!S150,安値!R150&lt;安値!T150),13,""))</f>
      </c>
      <c r="N150" s="684">
        <f>IF(終値!A150="","",IF(AND(安値!S150&lt;安値!R150,安値!S150&lt;安値!Q150,安値!S150&lt;安値!T150,安値!S150&lt;安値!U150),14,""))</f>
      </c>
      <c r="O150" s="684">
        <f>IF(終値!A150="","",IF(AND(安値!T150&lt;安値!S150,安値!T150&lt;安値!R150,安値!T150&lt;安値!U150,安値!T150&lt;安値!V150),15,""))</f>
      </c>
      <c r="P150" s="684">
        <f>IF(終値!A150="","",IF(AND(安値!U150&lt;安値!T150,安値!U150&lt;安値!S150,安値!U150&lt;安値!V150,安値!U150&lt;安値!W150),16,""))</f>
      </c>
      <c r="Q150" s="684">
        <f>IF(終値!A150="","",IF(AND(安値!V150&lt;安値!U150,安値!V150&lt;安値!T150,安値!V150&lt;安値!W150,安値!V150&lt;安値!X150),17,""))</f>
      </c>
      <c r="R150" s="684">
        <f>IF(終値!A150="","",IF(AND(安値!W150&lt;安値!V150,安値!W150&lt;安値!U150,安値!W150&lt;安値!X150,安値!W150&lt;安値!Y150),18,""))</f>
      </c>
      <c r="S150" s="684">
        <f>IF(終値!A150="","",IF(AND(安値!X150&lt;安値!W150,安値!X150&lt;安値!V150,安値!X150&lt;安値!Y150,安値!X150&lt;安値!Z150),19,""))</f>
      </c>
      <c r="T150" s="684">
        <f>IF(終値!A150="","",IF(AND(安値!Y150&lt;安値!X150,安値!Y150&lt;安値!W150,安値!Y150&lt;安値!Z150,安値!Y150&lt;安値!AA150),20,""))</f>
      </c>
      <c r="U150" s="684">
        <f>IF(終値!A150="","",IF(AND(安値!Z150&lt;安値!Y150,安値!Z150&lt;安値!X150,安値!Z150&lt;安値!AA150,安値!Z150&lt;安値!AB150),21,""))</f>
      </c>
      <c r="V150" s="684">
        <f>IF(終値!A150="","",IF(AND(安値!AA150&lt;安値!Z150,安値!AA150&lt;安値!Y150,安値!AA150&lt;安値!AB150,安値!AA150&lt;安値!AC150),22,""))</f>
      </c>
      <c r="W150" s="684">
        <f>IF(終値!A150="","",IF(AND(安値!AB150&lt;安値!AA150,安値!AB150&lt;安値!Z150,安値!AB150&lt;安値!AC150,安値!AB150&lt;安値!AD150),23,""))</f>
      </c>
      <c r="X150" s="684">
        <f>IF(終値!A150="","",IF(AND(安値!AC150&lt;安値!AB150,安値!AC150&lt;安値!AA150,安値!AC150&lt;安値!AD150,安値!AC150&lt;安値!AE150),24,""))</f>
      </c>
      <c r="Y150" s="684">
        <f>IF(終値!A150="","",IF(AND(安値!AD150&lt;安値!AC150,安値!AD150&lt;安値!AB150,安値!AD150&lt;安値!AE150,安値!AD150&lt;安値!AF150),25,""))</f>
      </c>
      <c r="Z150" s="684">
        <f>IF(終値!A150="","",IF(AND(安値!AE150&lt;安値!AD150,安値!AE150&lt;安値!AC150,安値!AE150&lt;安値!AF150,安値!AE150&lt;安値!AG150),26,""))</f>
      </c>
      <c r="AA150" s="684">
        <f>IF(終値!A150="","",IF(AND(安値!AF150&lt;安値!AE150,安値!AF150&lt;安値!AD150,安値!AF150&lt;安値!AG150,安値!AF150&lt;安値!AH150),27,""))</f>
      </c>
      <c r="AB150" s="684">
        <f>IF(終値!A150="","",IF(AND(安値!AG150&lt;安値!AF150,安値!AG150&lt;安値!AE150,安値!AG150&lt;安値!AH150,安値!AG150&lt;安値!AI150),28,""))</f>
      </c>
      <c r="AC150" s="684">
        <f>IF(終値!A150="","",IF(AND(高値!G150&gt;高値!F150,高値!G150&gt;高値!E150,高値!G150&gt;高値!H150,高値!G150&gt;高値!I150),2,""))</f>
      </c>
      <c r="AD150" s="684">
        <f>IF(終値!A150="","",IF(AND(高値!H150&gt;高値!G150,高値!H150&gt;高値!F150,高値!H150&gt;高値!I150,高値!H150&gt;高値!J150),3,""))</f>
      </c>
      <c r="AE150" s="684">
        <f>IF(終値!A150="","",IF(AND(高値!I150&gt;高値!H150,高値!I150&gt;高値!G150,高値!I150&gt;高値!J150,高値!I150&gt;高値!K150),4,""))</f>
      </c>
      <c r="AF150" s="684">
        <f>IF(終値!A150="","",IF(AND(高値!J150&gt;高値!I150,高値!J150&gt;高値!H150,高値!J150&gt;高値!K150,高値!J150&gt;高値!L150),5,""))</f>
      </c>
      <c r="AG150" s="684">
        <f>IF(終値!A150="","",IF(AND(高値!K150&gt;高値!J150,高値!K150&gt;高値!I150,高値!K150&gt;高値!L150,高値!K150&gt;高値!M150),6,""))</f>
      </c>
      <c r="AH150" s="684">
        <f>IF(終値!A150="","",IF(AND(高値!L150&gt;高値!K150,高値!L150&gt;高値!J150,高値!L150&gt;高値!M150,高値!L150&gt;高値!N150),7,""))</f>
      </c>
      <c r="AI150" s="684">
        <f>IF(終値!A150="","",IF(AND(高値!M150&gt;高値!L150,高値!M150&gt;高値!K150,高値!M150&gt;高値!N150,高値!M150&gt;高値!O150),8,""))</f>
      </c>
      <c r="AJ150" s="684">
        <f>IF(終値!A150="","",IF(AND(高値!N150&gt;高値!M150,高値!N150&gt;高値!L150,高値!N150&gt;高値!O150,高値!N150&gt;高値!P150),9,""))</f>
      </c>
      <c r="AK150" s="684">
        <f>IF(終値!A150="","",IF(AND(高値!O150&gt;高値!N150,高値!O150&gt;高値!M150,高値!O150&gt;高値!P150,高値!O150&gt;高値!Q150),10,""))</f>
      </c>
      <c r="AL150" s="684">
        <f>IF(終値!A150="","",IF(AND(高値!P150&gt;高値!O150,高値!P150&gt;高値!N150,高値!P150&gt;高値!Q150,高値!P150&gt;高値!R150),11,""))</f>
      </c>
      <c r="AM150" s="684">
        <f>IF(終値!A150="","",IF(AND(高値!Q150&gt;高値!P150,高値!Q150&gt;高値!O150,高値!Q150&gt;高値!R150,高値!Q150&gt;高値!S150),12,""))</f>
      </c>
      <c r="AN150" s="684">
        <f>IF(終値!A150="","",IF(AND(高値!R150&gt;高値!Q150,高値!R150&gt;高値!P150,高値!R150&gt;高値!S150,高値!R150&gt;高値!T150),13,""))</f>
      </c>
      <c r="AO150" s="684">
        <f>IF(終値!A150="","",IF(AND(高値!S150&gt;高値!R150,高値!S150&gt;高値!Q150,高値!S150&gt;高値!T150,高値!S150&gt;高値!U150),14,""))</f>
      </c>
      <c r="AP150" s="684">
        <f>IF(終値!A150="","",IF(AND(高値!T150&gt;高値!S150,高値!T150&gt;高値!R150,高値!T150&gt;高値!U150,高値!T150&gt;高値!V150),15,""))</f>
      </c>
      <c r="AQ150" s="684">
        <f>IF(終値!A150="","",IF(AND(高値!U150&gt;高値!T150,高値!U150&gt;高値!S150,高値!U150&gt;高値!V150,高値!U150&gt;高値!W150),16,""))</f>
      </c>
      <c r="AR150" s="684">
        <f>IF(終値!A150="","",IF(AND(高値!V150&gt;高値!U150,高値!V150&gt;高値!T150,高値!V150&gt;高値!W150,高値!V150&gt;高値!X150),17,""))</f>
      </c>
      <c r="AS150" s="684">
        <f>IF(終値!A150="","",IF(AND(高値!W150&gt;高値!V150,高値!W150&gt;高値!U150,高値!W150&gt;高値!X150,高値!W150&gt;高値!Y150),18,""))</f>
      </c>
      <c r="AT150" s="684">
        <f>IF(終値!A150="","",IF(AND(高値!X150&gt;高値!W150,高値!X150&gt;高値!V150,高値!X150&gt;高値!Y150,高値!X150&gt;高値!Z150),19,""))</f>
      </c>
      <c r="AU150" s="684">
        <f>IF(終値!A150="","",IF(AND(高値!Y150&gt;高値!X150,高値!Y150&gt;高値!W150,高値!Y150&gt;高値!Z150,高値!Y150&gt;高値!AA150),20,""))</f>
      </c>
      <c r="AV150" s="684">
        <f>IF(終値!A150="","",IF(AND(高値!Z150&gt;高値!Y150,高値!Z150&gt;高値!X150,高値!Z150&gt;高値!AA150,高値!Z150&gt;高値!AB150),21,""))</f>
      </c>
      <c r="AW150" s="684">
        <f>IF(終値!A150="","",IF(AND(高値!AA150&gt;高値!Z150,高値!AA150&gt;高値!Y150,高値!AA150&gt;高値!AB150,高値!AA150&gt;高値!AC150),22,""))</f>
      </c>
      <c r="AX150" s="684">
        <f>IF(終値!A150="","",IF(AND(高値!AB150&gt;高値!AA150,高値!AB150&gt;高値!Z150,高値!AB150&gt;高値!AC150,高値!AB150&gt;高値!AD150),23,""))</f>
      </c>
      <c r="AY150" s="684">
        <f>IF(終値!A150="","",IF(AND(高値!AC150&gt;高値!AB150,高値!AC150&gt;高値!AA150,高値!AC150&gt;高値!AD150,高値!AC150&gt;高値!AE150),24,""))</f>
      </c>
      <c r="AZ150" s="684">
        <f>IF(終値!A150="","",IF(AND(高値!AD150&gt;高値!AC150,高値!AD150&gt;高値!AB150,高値!AD150&gt;高値!AE150,高値!AD150&gt;高値!AF150),25,""))</f>
      </c>
      <c r="BA150" s="684">
        <f>IF(終値!A150="","",IF(AND(高値!AE150&gt;高値!AD150,高値!AE150&gt;高値!AC150,高値!AE150&gt;高値!AF150,高値!AE150&gt;高値!AG150),26,""))</f>
      </c>
      <c r="BB150" s="684">
        <f>IF(終値!A150="","",IF(AND(高値!AF150&gt;高値!AE150,高値!AF150&gt;高値!AD150,高値!AF150&gt;高値!AG150,高値!AF150&gt;高値!AH150),27,""))</f>
      </c>
      <c r="BC150" s="684">
        <f>IF(終値!A150="","",IF(AND(高値!AG150&gt;高値!AF150,高値!AG150&gt;高値!AE150,高値!AG150&gt;高値!AH150,高値!AG150&gt;高値!AI150),28,""))</f>
      </c>
      <c r="BD150" s="684">
        <f>COUNT($B150:$AB150)</f>
      </c>
      <c r="BE150" s="684">
        <f>IF($BD150&gt;=2,MIN($B150:$AB150),"")</f>
      </c>
      <c r="BF150" s="684">
        <f>IF($BD150&gt;=2,SMALL($B150:$AB150,2),"")</f>
      </c>
      <c r="BG150" s="684">
        <f>IF($BE150="","",INDEX(安値!$E150:$CZ150,1,$BE150+1))</f>
      </c>
      <c r="BH150" s="684">
        <f>IF($BF150="","",INDEX(安値!$E150:$CZ150,1,$BF150+1))</f>
      </c>
      <c r="BI150" s="684">
        <f>IF($BF150="","",MAX(INDEX(高値!$E150:$CZ150,1,$BE150+1):INDEX(高値!$E150:$CZ150,1,$BF150+1)))</f>
      </c>
      <c r="BJ150" s="684">
        <f>IF($BF150="","",AVERAGE(INDEX(終値!$E150:$CZ150,1,$BF150+1):INDEX(終値!$E150:$CZ150,1,$BF150+20))-2*STDEVP(INDEX(終値!$E150:$CZ150,1,$BF150+1):INDEX(終値!$E150:$CZ150,1,$BF150+20)))</f>
      </c>
      <c r="BK150" s="684">
        <f>IF($BE150="","",AVERAGE(INDEX(終値!$E150:$CZ150,1,$BE150+1):INDEX(終値!$E150:$CZ150,1,$BE150+20))-2*STDEVP(INDEX(終値!$E150:$CZ150,1,$BE150+1):INDEX(終値!$E150:$CZ150,1,$BE150+20)))</f>
      </c>
      <c r="BL150" s="684">
        <f>COUNT($AC150:$BC150)</f>
      </c>
      <c r="BM150" s="684">
        <f>IF($BL150&gt;=2,MIN($AC150:$BC150),"")</f>
      </c>
      <c r="BN150" s="684">
        <f>IF($BL150&gt;=2,SMALL($AC150:$BC150,2),"")</f>
      </c>
      <c r="BO150" s="684">
        <f>IF($BM150="","",INDEX(高値!$E150:$CZ150,1,$BM150+1))</f>
      </c>
      <c r="BP150" s="684">
        <f>IF($BN150="","",INDEX(高値!$E150:$CZ150,1,$BN150+1))</f>
      </c>
      <c r="BQ150" s="684">
        <f>IF($BN150="","",MIN(INDEX(安値!$E150:$CZ150,1,$BM150+1):INDEX(安値!$E150:$CZ150,1,$BN150+1)))</f>
      </c>
      <c r="BR150" s="684">
        <f>IF($BN150="","",AVERAGE(INDEX(終値!$E150:$CZ150,1,$BN150+1):INDEX(終値!$E150:$CZ150,1,$BN150+20))+2*STDEVP(INDEX(終値!$E150:$CZ150,1,$BN150+1):INDEX(終値!$E150:$CZ150,1,$BN150+20)))</f>
      </c>
      <c r="BS150" s="684">
        <f>IF($BM150="","",AVERAGE(INDEX(終値!$E150:$CZ150,1,$BM150+1):INDEX(終値!$E150:$CZ150,1,$BM150+20))+2*STDEVP(INDEX(終値!$E150:$CZ150,1,$BM150+1):INDEX(終値!$E150:$CZ150,1,$BM150+20)))</f>
      </c>
      <c r="BT150" s="681">
        <f>IFERROR(IF(AND($BD150&gt;=2,ABS($BG150-$BH150)/$BH150&lt;=BB設定!$B$12,$BI150&gt;=MAX($BH150,$BG150)*(1+BB設定!$B$13),終値!E150&gt;$BG150),IF(OR(終値!E150&gt;=$BI150,AND($BH150&lt;$BJ150,$BG150&gt;=$BK150)),"二番底W▲","二番底W形成"),IF(AND($BL150&gt;=2,ABS($BO150-$BP150)/$BP150&lt;=BB設定!$B$12,$BQ150&lt;=MIN($BP150,$BO150)*(1-BB設定!$B$13),終値!E150&lt;$BO150),IF(OR(終値!E150&lt;=$BQ150,AND($BP150&gt;$BR150,$BO150&lt;=$BS150)),"二番天井M▼","二番天井M形成"),"－")),"－")</f>
      </c>
    </row>
    <row r="151">
      <c r="B151" s="684">
        <f>IF(終値!A151="","",IF(AND(安値!G151&lt;安値!F151,安値!G151&lt;安値!E151,安値!G151&lt;安値!H151,安値!G151&lt;安値!I151),2,""))</f>
      </c>
      <c r="C151" s="684">
        <f>IF(終値!A151="","",IF(AND(安値!H151&lt;安値!G151,安値!H151&lt;安値!F151,安値!H151&lt;安値!I151,安値!H151&lt;安値!J151),3,""))</f>
      </c>
      <c r="D151" s="684">
        <f>IF(終値!A151="","",IF(AND(安値!I151&lt;安値!H151,安値!I151&lt;安値!G151,安値!I151&lt;安値!J151,安値!I151&lt;安値!K151),4,""))</f>
      </c>
      <c r="E151" s="684">
        <f>IF(終値!A151="","",IF(AND(安値!J151&lt;安値!I151,安値!J151&lt;安値!H151,安値!J151&lt;安値!K151,安値!J151&lt;安値!L151),5,""))</f>
      </c>
      <c r="F151" s="684">
        <f>IF(終値!A151="","",IF(AND(安値!K151&lt;安値!J151,安値!K151&lt;安値!I151,安値!K151&lt;安値!L151,安値!K151&lt;安値!M151),6,""))</f>
      </c>
      <c r="G151" s="684">
        <f>IF(終値!A151="","",IF(AND(安値!L151&lt;安値!K151,安値!L151&lt;安値!J151,安値!L151&lt;安値!M151,安値!L151&lt;安値!N151),7,""))</f>
      </c>
      <c r="H151" s="684">
        <f>IF(終値!A151="","",IF(AND(安値!M151&lt;安値!L151,安値!M151&lt;安値!K151,安値!M151&lt;安値!N151,安値!M151&lt;安値!O151),8,""))</f>
      </c>
      <c r="I151" s="684">
        <f>IF(終値!A151="","",IF(AND(安値!N151&lt;安値!M151,安値!N151&lt;安値!L151,安値!N151&lt;安値!O151,安値!N151&lt;安値!P151),9,""))</f>
      </c>
      <c r="J151" s="684">
        <f>IF(終値!A151="","",IF(AND(安値!O151&lt;安値!N151,安値!O151&lt;安値!M151,安値!O151&lt;安値!P151,安値!O151&lt;安値!Q151),10,""))</f>
      </c>
      <c r="K151" s="684">
        <f>IF(終値!A151="","",IF(AND(安値!P151&lt;安値!O151,安値!P151&lt;安値!N151,安値!P151&lt;安値!Q151,安値!P151&lt;安値!R151),11,""))</f>
      </c>
      <c r="L151" s="684">
        <f>IF(終値!A151="","",IF(AND(安値!Q151&lt;安値!P151,安値!Q151&lt;安値!O151,安値!Q151&lt;安値!R151,安値!Q151&lt;安値!S151),12,""))</f>
      </c>
      <c r="M151" s="684">
        <f>IF(終値!A151="","",IF(AND(安値!R151&lt;安値!Q151,安値!R151&lt;安値!P151,安値!R151&lt;安値!S151,安値!R151&lt;安値!T151),13,""))</f>
      </c>
      <c r="N151" s="684">
        <f>IF(終値!A151="","",IF(AND(安値!S151&lt;安値!R151,安値!S151&lt;安値!Q151,安値!S151&lt;安値!T151,安値!S151&lt;安値!U151),14,""))</f>
      </c>
      <c r="O151" s="684">
        <f>IF(終値!A151="","",IF(AND(安値!T151&lt;安値!S151,安値!T151&lt;安値!R151,安値!T151&lt;安値!U151,安値!T151&lt;安値!V151),15,""))</f>
      </c>
      <c r="P151" s="684">
        <f>IF(終値!A151="","",IF(AND(安値!U151&lt;安値!T151,安値!U151&lt;安値!S151,安値!U151&lt;安値!V151,安値!U151&lt;安値!W151),16,""))</f>
      </c>
      <c r="Q151" s="684">
        <f>IF(終値!A151="","",IF(AND(安値!V151&lt;安値!U151,安値!V151&lt;安値!T151,安値!V151&lt;安値!W151,安値!V151&lt;安値!X151),17,""))</f>
      </c>
      <c r="R151" s="684">
        <f>IF(終値!A151="","",IF(AND(安値!W151&lt;安値!V151,安値!W151&lt;安値!U151,安値!W151&lt;安値!X151,安値!W151&lt;安値!Y151),18,""))</f>
      </c>
      <c r="S151" s="684">
        <f>IF(終値!A151="","",IF(AND(安値!X151&lt;安値!W151,安値!X151&lt;安値!V151,安値!X151&lt;安値!Y151,安値!X151&lt;安値!Z151),19,""))</f>
      </c>
      <c r="T151" s="684">
        <f>IF(終値!A151="","",IF(AND(安値!Y151&lt;安値!X151,安値!Y151&lt;安値!W151,安値!Y151&lt;安値!Z151,安値!Y151&lt;安値!AA151),20,""))</f>
      </c>
      <c r="U151" s="684">
        <f>IF(終値!A151="","",IF(AND(安値!Z151&lt;安値!Y151,安値!Z151&lt;安値!X151,安値!Z151&lt;安値!AA151,安値!Z151&lt;安値!AB151),21,""))</f>
      </c>
      <c r="V151" s="684">
        <f>IF(終値!A151="","",IF(AND(安値!AA151&lt;安値!Z151,安値!AA151&lt;安値!Y151,安値!AA151&lt;安値!AB151,安値!AA151&lt;安値!AC151),22,""))</f>
      </c>
      <c r="W151" s="684">
        <f>IF(終値!A151="","",IF(AND(安値!AB151&lt;安値!AA151,安値!AB151&lt;安値!Z151,安値!AB151&lt;安値!AC151,安値!AB151&lt;安値!AD151),23,""))</f>
      </c>
      <c r="X151" s="684">
        <f>IF(終値!A151="","",IF(AND(安値!AC151&lt;安値!AB151,安値!AC151&lt;安値!AA151,安値!AC151&lt;安値!AD151,安値!AC151&lt;安値!AE151),24,""))</f>
      </c>
      <c r="Y151" s="684">
        <f>IF(終値!A151="","",IF(AND(安値!AD151&lt;安値!AC151,安値!AD151&lt;安値!AB151,安値!AD151&lt;安値!AE151,安値!AD151&lt;安値!AF151),25,""))</f>
      </c>
      <c r="Z151" s="684">
        <f>IF(終値!A151="","",IF(AND(安値!AE151&lt;安値!AD151,安値!AE151&lt;安値!AC151,安値!AE151&lt;安値!AF151,安値!AE151&lt;安値!AG151),26,""))</f>
      </c>
      <c r="AA151" s="684">
        <f>IF(終値!A151="","",IF(AND(安値!AF151&lt;安値!AE151,安値!AF151&lt;安値!AD151,安値!AF151&lt;安値!AG151,安値!AF151&lt;安値!AH151),27,""))</f>
      </c>
      <c r="AB151" s="684">
        <f>IF(終値!A151="","",IF(AND(安値!AG151&lt;安値!AF151,安値!AG151&lt;安値!AE151,安値!AG151&lt;安値!AH151,安値!AG151&lt;安値!AI151),28,""))</f>
      </c>
      <c r="AC151" s="684">
        <f>IF(終値!A151="","",IF(AND(高値!G151&gt;高値!F151,高値!G151&gt;高値!E151,高値!G151&gt;高値!H151,高値!G151&gt;高値!I151),2,""))</f>
      </c>
      <c r="AD151" s="684">
        <f>IF(終値!A151="","",IF(AND(高値!H151&gt;高値!G151,高値!H151&gt;高値!F151,高値!H151&gt;高値!I151,高値!H151&gt;高値!J151),3,""))</f>
      </c>
      <c r="AE151" s="684">
        <f>IF(終値!A151="","",IF(AND(高値!I151&gt;高値!H151,高値!I151&gt;高値!G151,高値!I151&gt;高値!J151,高値!I151&gt;高値!K151),4,""))</f>
      </c>
      <c r="AF151" s="684">
        <f>IF(終値!A151="","",IF(AND(高値!J151&gt;高値!I151,高値!J151&gt;高値!H151,高値!J151&gt;高値!K151,高値!J151&gt;高値!L151),5,""))</f>
      </c>
      <c r="AG151" s="684">
        <f>IF(終値!A151="","",IF(AND(高値!K151&gt;高値!J151,高値!K151&gt;高値!I151,高値!K151&gt;高値!L151,高値!K151&gt;高値!M151),6,""))</f>
      </c>
      <c r="AH151" s="684">
        <f>IF(終値!A151="","",IF(AND(高値!L151&gt;高値!K151,高値!L151&gt;高値!J151,高値!L151&gt;高値!M151,高値!L151&gt;高値!N151),7,""))</f>
      </c>
      <c r="AI151" s="684">
        <f>IF(終値!A151="","",IF(AND(高値!M151&gt;高値!L151,高値!M151&gt;高値!K151,高値!M151&gt;高値!N151,高値!M151&gt;高値!O151),8,""))</f>
      </c>
      <c r="AJ151" s="684">
        <f>IF(終値!A151="","",IF(AND(高値!N151&gt;高値!M151,高値!N151&gt;高値!L151,高値!N151&gt;高値!O151,高値!N151&gt;高値!P151),9,""))</f>
      </c>
      <c r="AK151" s="684">
        <f>IF(終値!A151="","",IF(AND(高値!O151&gt;高値!N151,高値!O151&gt;高値!M151,高値!O151&gt;高値!P151,高値!O151&gt;高値!Q151),10,""))</f>
      </c>
      <c r="AL151" s="684">
        <f>IF(終値!A151="","",IF(AND(高値!P151&gt;高値!O151,高値!P151&gt;高値!N151,高値!P151&gt;高値!Q151,高値!P151&gt;高値!R151),11,""))</f>
      </c>
      <c r="AM151" s="684">
        <f>IF(終値!A151="","",IF(AND(高値!Q151&gt;高値!P151,高値!Q151&gt;高値!O151,高値!Q151&gt;高値!R151,高値!Q151&gt;高値!S151),12,""))</f>
      </c>
      <c r="AN151" s="684">
        <f>IF(終値!A151="","",IF(AND(高値!R151&gt;高値!Q151,高値!R151&gt;高値!P151,高値!R151&gt;高値!S151,高値!R151&gt;高値!T151),13,""))</f>
      </c>
      <c r="AO151" s="684">
        <f>IF(終値!A151="","",IF(AND(高値!S151&gt;高値!R151,高値!S151&gt;高値!Q151,高値!S151&gt;高値!T151,高値!S151&gt;高値!U151),14,""))</f>
      </c>
      <c r="AP151" s="684">
        <f>IF(終値!A151="","",IF(AND(高値!T151&gt;高値!S151,高値!T151&gt;高値!R151,高値!T151&gt;高値!U151,高値!T151&gt;高値!V151),15,""))</f>
      </c>
      <c r="AQ151" s="684">
        <f>IF(終値!A151="","",IF(AND(高値!U151&gt;高値!T151,高値!U151&gt;高値!S151,高値!U151&gt;高値!V151,高値!U151&gt;高値!W151),16,""))</f>
      </c>
      <c r="AR151" s="684">
        <f>IF(終値!A151="","",IF(AND(高値!V151&gt;高値!U151,高値!V151&gt;高値!T151,高値!V151&gt;高値!W151,高値!V151&gt;高値!X151),17,""))</f>
      </c>
      <c r="AS151" s="684">
        <f>IF(終値!A151="","",IF(AND(高値!W151&gt;高値!V151,高値!W151&gt;高値!U151,高値!W151&gt;高値!X151,高値!W151&gt;高値!Y151),18,""))</f>
      </c>
      <c r="AT151" s="684">
        <f>IF(終値!A151="","",IF(AND(高値!X151&gt;高値!W151,高値!X151&gt;高値!V151,高値!X151&gt;高値!Y151,高値!X151&gt;高値!Z151),19,""))</f>
      </c>
      <c r="AU151" s="684">
        <f>IF(終値!A151="","",IF(AND(高値!Y151&gt;高値!X151,高値!Y151&gt;高値!W151,高値!Y151&gt;高値!Z151,高値!Y151&gt;高値!AA151),20,""))</f>
      </c>
      <c r="AV151" s="684">
        <f>IF(終値!A151="","",IF(AND(高値!Z151&gt;高値!Y151,高値!Z151&gt;高値!X151,高値!Z151&gt;高値!AA151,高値!Z151&gt;高値!AB151),21,""))</f>
      </c>
      <c r="AW151" s="684">
        <f>IF(終値!A151="","",IF(AND(高値!AA151&gt;高値!Z151,高値!AA151&gt;高値!Y151,高値!AA151&gt;高値!AB151,高値!AA151&gt;高値!AC151),22,""))</f>
      </c>
      <c r="AX151" s="684">
        <f>IF(終値!A151="","",IF(AND(高値!AB151&gt;高値!AA151,高値!AB151&gt;高値!Z151,高値!AB151&gt;高値!AC151,高値!AB151&gt;高値!AD151),23,""))</f>
      </c>
      <c r="AY151" s="684">
        <f>IF(終値!A151="","",IF(AND(高値!AC151&gt;高値!AB151,高値!AC151&gt;高値!AA151,高値!AC151&gt;高値!AD151,高値!AC151&gt;高値!AE151),24,""))</f>
      </c>
      <c r="AZ151" s="684">
        <f>IF(終値!A151="","",IF(AND(高値!AD151&gt;高値!AC151,高値!AD151&gt;高値!AB151,高値!AD151&gt;高値!AE151,高値!AD151&gt;高値!AF151),25,""))</f>
      </c>
      <c r="BA151" s="684">
        <f>IF(終値!A151="","",IF(AND(高値!AE151&gt;高値!AD151,高値!AE151&gt;高値!AC151,高値!AE151&gt;高値!AF151,高値!AE151&gt;高値!AG151),26,""))</f>
      </c>
      <c r="BB151" s="684">
        <f>IF(終値!A151="","",IF(AND(高値!AF151&gt;高値!AE151,高値!AF151&gt;高値!AD151,高値!AF151&gt;高値!AG151,高値!AF151&gt;高値!AH151),27,""))</f>
      </c>
      <c r="BC151" s="684">
        <f>IF(終値!A151="","",IF(AND(高値!AG151&gt;高値!AF151,高値!AG151&gt;高値!AE151,高値!AG151&gt;高値!AH151,高値!AG151&gt;高値!AI151),28,""))</f>
      </c>
      <c r="BD151" s="684">
        <f>COUNT($B151:$AB151)</f>
      </c>
      <c r="BE151" s="684">
        <f>IF($BD151&gt;=2,MIN($B151:$AB151),"")</f>
      </c>
      <c r="BF151" s="684">
        <f>IF($BD151&gt;=2,SMALL($B151:$AB151,2),"")</f>
      </c>
      <c r="BG151" s="684">
        <f>IF($BE151="","",INDEX(安値!$E151:$CZ151,1,$BE151+1))</f>
      </c>
      <c r="BH151" s="684">
        <f>IF($BF151="","",INDEX(安値!$E151:$CZ151,1,$BF151+1))</f>
      </c>
      <c r="BI151" s="684">
        <f>IF($BF151="","",MAX(INDEX(高値!$E151:$CZ151,1,$BE151+1):INDEX(高値!$E151:$CZ151,1,$BF151+1)))</f>
      </c>
      <c r="BJ151" s="684">
        <f>IF($BF151="","",AVERAGE(INDEX(終値!$E151:$CZ151,1,$BF151+1):INDEX(終値!$E151:$CZ151,1,$BF151+20))-2*STDEVP(INDEX(終値!$E151:$CZ151,1,$BF151+1):INDEX(終値!$E151:$CZ151,1,$BF151+20)))</f>
      </c>
      <c r="BK151" s="684">
        <f>IF($BE151="","",AVERAGE(INDEX(終値!$E151:$CZ151,1,$BE151+1):INDEX(終値!$E151:$CZ151,1,$BE151+20))-2*STDEVP(INDEX(終値!$E151:$CZ151,1,$BE151+1):INDEX(終値!$E151:$CZ151,1,$BE151+20)))</f>
      </c>
      <c r="BL151" s="684">
        <f>COUNT($AC151:$BC151)</f>
      </c>
      <c r="BM151" s="684">
        <f>IF($BL151&gt;=2,MIN($AC151:$BC151),"")</f>
      </c>
      <c r="BN151" s="684">
        <f>IF($BL151&gt;=2,SMALL($AC151:$BC151,2),"")</f>
      </c>
      <c r="BO151" s="684">
        <f>IF($BM151="","",INDEX(高値!$E151:$CZ151,1,$BM151+1))</f>
      </c>
      <c r="BP151" s="684">
        <f>IF($BN151="","",INDEX(高値!$E151:$CZ151,1,$BN151+1))</f>
      </c>
      <c r="BQ151" s="684">
        <f>IF($BN151="","",MIN(INDEX(安値!$E151:$CZ151,1,$BM151+1):INDEX(安値!$E151:$CZ151,1,$BN151+1)))</f>
      </c>
      <c r="BR151" s="684">
        <f>IF($BN151="","",AVERAGE(INDEX(終値!$E151:$CZ151,1,$BN151+1):INDEX(終値!$E151:$CZ151,1,$BN151+20))+2*STDEVP(INDEX(終値!$E151:$CZ151,1,$BN151+1):INDEX(終値!$E151:$CZ151,1,$BN151+20)))</f>
      </c>
      <c r="BS151" s="684">
        <f>IF($BM151="","",AVERAGE(INDEX(終値!$E151:$CZ151,1,$BM151+1):INDEX(終値!$E151:$CZ151,1,$BM151+20))+2*STDEVP(INDEX(終値!$E151:$CZ151,1,$BM151+1):INDEX(終値!$E151:$CZ151,1,$BM151+20)))</f>
      </c>
      <c r="BT151" s="681">
        <f>IFERROR(IF(AND($BD151&gt;=2,ABS($BG151-$BH151)/$BH151&lt;=BB設定!$B$12,$BI151&gt;=MAX($BH151,$BG151)*(1+BB設定!$B$13),終値!E151&gt;$BG151),IF(OR(終値!E151&gt;=$BI151,AND($BH151&lt;$BJ151,$BG151&gt;=$BK151)),"二番底W▲","二番底W形成"),IF(AND($BL151&gt;=2,ABS($BO151-$BP151)/$BP151&lt;=BB設定!$B$12,$BQ151&lt;=MIN($BP151,$BO151)*(1-BB設定!$B$13),終値!E151&lt;$BO151),IF(OR(終値!E151&lt;=$BQ151,AND($BP151&gt;$BR151,$BO151&lt;=$BS151)),"二番天井M▼","二番天井M形成"),"－")),"－")</f>
      </c>
    </row>
    <row r="152">
      <c r="B152" s="684">
        <f>IF(終値!A152="","",IF(AND(安値!G152&lt;安値!F152,安値!G152&lt;安値!E152,安値!G152&lt;安値!H152,安値!G152&lt;安値!I152),2,""))</f>
      </c>
      <c r="C152" s="684">
        <f>IF(終値!A152="","",IF(AND(安値!H152&lt;安値!G152,安値!H152&lt;安値!F152,安値!H152&lt;安値!I152,安値!H152&lt;安値!J152),3,""))</f>
      </c>
      <c r="D152" s="684">
        <f>IF(終値!A152="","",IF(AND(安値!I152&lt;安値!H152,安値!I152&lt;安値!G152,安値!I152&lt;安値!J152,安値!I152&lt;安値!K152),4,""))</f>
      </c>
      <c r="E152" s="684">
        <f>IF(終値!A152="","",IF(AND(安値!J152&lt;安値!I152,安値!J152&lt;安値!H152,安値!J152&lt;安値!K152,安値!J152&lt;安値!L152),5,""))</f>
      </c>
      <c r="F152" s="684">
        <f>IF(終値!A152="","",IF(AND(安値!K152&lt;安値!J152,安値!K152&lt;安値!I152,安値!K152&lt;安値!L152,安値!K152&lt;安値!M152),6,""))</f>
      </c>
      <c r="G152" s="684">
        <f>IF(終値!A152="","",IF(AND(安値!L152&lt;安値!K152,安値!L152&lt;安値!J152,安値!L152&lt;安値!M152,安値!L152&lt;安値!N152),7,""))</f>
      </c>
      <c r="H152" s="684">
        <f>IF(終値!A152="","",IF(AND(安値!M152&lt;安値!L152,安値!M152&lt;安値!K152,安値!M152&lt;安値!N152,安値!M152&lt;安値!O152),8,""))</f>
      </c>
      <c r="I152" s="684">
        <f>IF(終値!A152="","",IF(AND(安値!N152&lt;安値!M152,安値!N152&lt;安値!L152,安値!N152&lt;安値!O152,安値!N152&lt;安値!P152),9,""))</f>
      </c>
      <c r="J152" s="684">
        <f>IF(終値!A152="","",IF(AND(安値!O152&lt;安値!N152,安値!O152&lt;安値!M152,安値!O152&lt;安値!P152,安値!O152&lt;安値!Q152),10,""))</f>
      </c>
      <c r="K152" s="684">
        <f>IF(終値!A152="","",IF(AND(安値!P152&lt;安値!O152,安値!P152&lt;安値!N152,安値!P152&lt;安値!Q152,安値!P152&lt;安値!R152),11,""))</f>
      </c>
      <c r="L152" s="684">
        <f>IF(終値!A152="","",IF(AND(安値!Q152&lt;安値!P152,安値!Q152&lt;安値!O152,安値!Q152&lt;安値!R152,安値!Q152&lt;安値!S152),12,""))</f>
      </c>
      <c r="M152" s="684">
        <f>IF(終値!A152="","",IF(AND(安値!R152&lt;安値!Q152,安値!R152&lt;安値!P152,安値!R152&lt;安値!S152,安値!R152&lt;安値!T152),13,""))</f>
      </c>
      <c r="N152" s="684">
        <f>IF(終値!A152="","",IF(AND(安値!S152&lt;安値!R152,安値!S152&lt;安値!Q152,安値!S152&lt;安値!T152,安値!S152&lt;安値!U152),14,""))</f>
      </c>
      <c r="O152" s="684">
        <f>IF(終値!A152="","",IF(AND(安値!T152&lt;安値!S152,安値!T152&lt;安値!R152,安値!T152&lt;安値!U152,安値!T152&lt;安値!V152),15,""))</f>
      </c>
      <c r="P152" s="684">
        <f>IF(終値!A152="","",IF(AND(安値!U152&lt;安値!T152,安値!U152&lt;安値!S152,安値!U152&lt;安値!V152,安値!U152&lt;安値!W152),16,""))</f>
      </c>
      <c r="Q152" s="684">
        <f>IF(終値!A152="","",IF(AND(安値!V152&lt;安値!U152,安値!V152&lt;安値!T152,安値!V152&lt;安値!W152,安値!V152&lt;安値!X152),17,""))</f>
      </c>
      <c r="R152" s="684">
        <f>IF(終値!A152="","",IF(AND(安値!W152&lt;安値!V152,安値!W152&lt;安値!U152,安値!W152&lt;安値!X152,安値!W152&lt;安値!Y152),18,""))</f>
      </c>
      <c r="S152" s="684">
        <f>IF(終値!A152="","",IF(AND(安値!X152&lt;安値!W152,安値!X152&lt;安値!V152,安値!X152&lt;安値!Y152,安値!X152&lt;安値!Z152),19,""))</f>
      </c>
      <c r="T152" s="684">
        <f>IF(終値!A152="","",IF(AND(安値!Y152&lt;安値!X152,安値!Y152&lt;安値!W152,安値!Y152&lt;安値!Z152,安値!Y152&lt;安値!AA152),20,""))</f>
      </c>
      <c r="U152" s="684">
        <f>IF(終値!A152="","",IF(AND(安値!Z152&lt;安値!Y152,安値!Z152&lt;安値!X152,安値!Z152&lt;安値!AA152,安値!Z152&lt;安値!AB152),21,""))</f>
      </c>
      <c r="V152" s="684">
        <f>IF(終値!A152="","",IF(AND(安値!AA152&lt;安値!Z152,安値!AA152&lt;安値!Y152,安値!AA152&lt;安値!AB152,安値!AA152&lt;安値!AC152),22,""))</f>
      </c>
      <c r="W152" s="684">
        <f>IF(終値!A152="","",IF(AND(安値!AB152&lt;安値!AA152,安値!AB152&lt;安値!Z152,安値!AB152&lt;安値!AC152,安値!AB152&lt;安値!AD152),23,""))</f>
      </c>
      <c r="X152" s="684">
        <f>IF(終値!A152="","",IF(AND(安値!AC152&lt;安値!AB152,安値!AC152&lt;安値!AA152,安値!AC152&lt;安値!AD152,安値!AC152&lt;安値!AE152),24,""))</f>
      </c>
      <c r="Y152" s="684">
        <f>IF(終値!A152="","",IF(AND(安値!AD152&lt;安値!AC152,安値!AD152&lt;安値!AB152,安値!AD152&lt;安値!AE152,安値!AD152&lt;安値!AF152),25,""))</f>
      </c>
      <c r="Z152" s="684">
        <f>IF(終値!A152="","",IF(AND(安値!AE152&lt;安値!AD152,安値!AE152&lt;安値!AC152,安値!AE152&lt;安値!AF152,安値!AE152&lt;安値!AG152),26,""))</f>
      </c>
      <c r="AA152" s="684">
        <f>IF(終値!A152="","",IF(AND(安値!AF152&lt;安値!AE152,安値!AF152&lt;安値!AD152,安値!AF152&lt;安値!AG152,安値!AF152&lt;安値!AH152),27,""))</f>
      </c>
      <c r="AB152" s="684">
        <f>IF(終値!A152="","",IF(AND(安値!AG152&lt;安値!AF152,安値!AG152&lt;安値!AE152,安値!AG152&lt;安値!AH152,安値!AG152&lt;安値!AI152),28,""))</f>
      </c>
      <c r="AC152" s="684">
        <f>IF(終値!A152="","",IF(AND(高値!G152&gt;高値!F152,高値!G152&gt;高値!E152,高値!G152&gt;高値!H152,高値!G152&gt;高値!I152),2,""))</f>
      </c>
      <c r="AD152" s="684">
        <f>IF(終値!A152="","",IF(AND(高値!H152&gt;高値!G152,高値!H152&gt;高値!F152,高値!H152&gt;高値!I152,高値!H152&gt;高値!J152),3,""))</f>
      </c>
      <c r="AE152" s="684">
        <f>IF(終値!A152="","",IF(AND(高値!I152&gt;高値!H152,高値!I152&gt;高値!G152,高値!I152&gt;高値!J152,高値!I152&gt;高値!K152),4,""))</f>
      </c>
      <c r="AF152" s="684">
        <f>IF(終値!A152="","",IF(AND(高値!J152&gt;高値!I152,高値!J152&gt;高値!H152,高値!J152&gt;高値!K152,高値!J152&gt;高値!L152),5,""))</f>
      </c>
      <c r="AG152" s="684">
        <f>IF(終値!A152="","",IF(AND(高値!K152&gt;高値!J152,高値!K152&gt;高値!I152,高値!K152&gt;高値!L152,高値!K152&gt;高値!M152),6,""))</f>
      </c>
      <c r="AH152" s="684">
        <f>IF(終値!A152="","",IF(AND(高値!L152&gt;高値!K152,高値!L152&gt;高値!J152,高値!L152&gt;高値!M152,高値!L152&gt;高値!N152),7,""))</f>
      </c>
      <c r="AI152" s="684">
        <f>IF(終値!A152="","",IF(AND(高値!M152&gt;高値!L152,高値!M152&gt;高値!K152,高値!M152&gt;高値!N152,高値!M152&gt;高値!O152),8,""))</f>
      </c>
      <c r="AJ152" s="684">
        <f>IF(終値!A152="","",IF(AND(高値!N152&gt;高値!M152,高値!N152&gt;高値!L152,高値!N152&gt;高値!O152,高値!N152&gt;高値!P152),9,""))</f>
      </c>
      <c r="AK152" s="684">
        <f>IF(終値!A152="","",IF(AND(高値!O152&gt;高値!N152,高値!O152&gt;高値!M152,高値!O152&gt;高値!P152,高値!O152&gt;高値!Q152),10,""))</f>
      </c>
      <c r="AL152" s="684">
        <f>IF(終値!A152="","",IF(AND(高値!P152&gt;高値!O152,高値!P152&gt;高値!N152,高値!P152&gt;高値!Q152,高値!P152&gt;高値!R152),11,""))</f>
      </c>
      <c r="AM152" s="684">
        <f>IF(終値!A152="","",IF(AND(高値!Q152&gt;高値!P152,高値!Q152&gt;高値!O152,高値!Q152&gt;高値!R152,高値!Q152&gt;高値!S152),12,""))</f>
      </c>
      <c r="AN152" s="684">
        <f>IF(終値!A152="","",IF(AND(高値!R152&gt;高値!Q152,高値!R152&gt;高値!P152,高値!R152&gt;高値!S152,高値!R152&gt;高値!T152),13,""))</f>
      </c>
      <c r="AO152" s="684">
        <f>IF(終値!A152="","",IF(AND(高値!S152&gt;高値!R152,高値!S152&gt;高値!Q152,高値!S152&gt;高値!T152,高値!S152&gt;高値!U152),14,""))</f>
      </c>
      <c r="AP152" s="684">
        <f>IF(終値!A152="","",IF(AND(高値!T152&gt;高値!S152,高値!T152&gt;高値!R152,高値!T152&gt;高値!U152,高値!T152&gt;高値!V152),15,""))</f>
      </c>
      <c r="AQ152" s="684">
        <f>IF(終値!A152="","",IF(AND(高値!U152&gt;高値!T152,高値!U152&gt;高値!S152,高値!U152&gt;高値!V152,高値!U152&gt;高値!W152),16,""))</f>
      </c>
      <c r="AR152" s="684">
        <f>IF(終値!A152="","",IF(AND(高値!V152&gt;高値!U152,高値!V152&gt;高値!T152,高値!V152&gt;高値!W152,高値!V152&gt;高値!X152),17,""))</f>
      </c>
      <c r="AS152" s="684">
        <f>IF(終値!A152="","",IF(AND(高値!W152&gt;高値!V152,高値!W152&gt;高値!U152,高値!W152&gt;高値!X152,高値!W152&gt;高値!Y152),18,""))</f>
      </c>
      <c r="AT152" s="684">
        <f>IF(終値!A152="","",IF(AND(高値!X152&gt;高値!W152,高値!X152&gt;高値!V152,高値!X152&gt;高値!Y152,高値!X152&gt;高値!Z152),19,""))</f>
      </c>
      <c r="AU152" s="684">
        <f>IF(終値!A152="","",IF(AND(高値!Y152&gt;高値!X152,高値!Y152&gt;高値!W152,高値!Y152&gt;高値!Z152,高値!Y152&gt;高値!AA152),20,""))</f>
      </c>
      <c r="AV152" s="684">
        <f>IF(終値!A152="","",IF(AND(高値!Z152&gt;高値!Y152,高値!Z152&gt;高値!X152,高値!Z152&gt;高値!AA152,高値!Z152&gt;高値!AB152),21,""))</f>
      </c>
      <c r="AW152" s="684">
        <f>IF(終値!A152="","",IF(AND(高値!AA152&gt;高値!Z152,高値!AA152&gt;高値!Y152,高値!AA152&gt;高値!AB152,高値!AA152&gt;高値!AC152),22,""))</f>
      </c>
      <c r="AX152" s="684">
        <f>IF(終値!A152="","",IF(AND(高値!AB152&gt;高値!AA152,高値!AB152&gt;高値!Z152,高値!AB152&gt;高値!AC152,高値!AB152&gt;高値!AD152),23,""))</f>
      </c>
      <c r="AY152" s="684">
        <f>IF(終値!A152="","",IF(AND(高値!AC152&gt;高値!AB152,高値!AC152&gt;高値!AA152,高値!AC152&gt;高値!AD152,高値!AC152&gt;高値!AE152),24,""))</f>
      </c>
      <c r="AZ152" s="684">
        <f>IF(終値!A152="","",IF(AND(高値!AD152&gt;高値!AC152,高値!AD152&gt;高値!AB152,高値!AD152&gt;高値!AE152,高値!AD152&gt;高値!AF152),25,""))</f>
      </c>
      <c r="BA152" s="684">
        <f>IF(終値!A152="","",IF(AND(高値!AE152&gt;高値!AD152,高値!AE152&gt;高値!AC152,高値!AE152&gt;高値!AF152,高値!AE152&gt;高値!AG152),26,""))</f>
      </c>
      <c r="BB152" s="684">
        <f>IF(終値!A152="","",IF(AND(高値!AF152&gt;高値!AE152,高値!AF152&gt;高値!AD152,高値!AF152&gt;高値!AG152,高値!AF152&gt;高値!AH152),27,""))</f>
      </c>
      <c r="BC152" s="684">
        <f>IF(終値!A152="","",IF(AND(高値!AG152&gt;高値!AF152,高値!AG152&gt;高値!AE152,高値!AG152&gt;高値!AH152,高値!AG152&gt;高値!AI152),28,""))</f>
      </c>
      <c r="BD152" s="684">
        <f>COUNT($B152:$AB152)</f>
      </c>
      <c r="BE152" s="684">
        <f>IF($BD152&gt;=2,MIN($B152:$AB152),"")</f>
      </c>
      <c r="BF152" s="684">
        <f>IF($BD152&gt;=2,SMALL($B152:$AB152,2),"")</f>
      </c>
      <c r="BG152" s="684">
        <f>IF($BE152="","",INDEX(安値!$E152:$CZ152,1,$BE152+1))</f>
      </c>
      <c r="BH152" s="684">
        <f>IF($BF152="","",INDEX(安値!$E152:$CZ152,1,$BF152+1))</f>
      </c>
      <c r="BI152" s="684">
        <f>IF($BF152="","",MAX(INDEX(高値!$E152:$CZ152,1,$BE152+1):INDEX(高値!$E152:$CZ152,1,$BF152+1)))</f>
      </c>
      <c r="BJ152" s="684">
        <f>IF($BF152="","",AVERAGE(INDEX(終値!$E152:$CZ152,1,$BF152+1):INDEX(終値!$E152:$CZ152,1,$BF152+20))-2*STDEVP(INDEX(終値!$E152:$CZ152,1,$BF152+1):INDEX(終値!$E152:$CZ152,1,$BF152+20)))</f>
      </c>
      <c r="BK152" s="684">
        <f>IF($BE152="","",AVERAGE(INDEX(終値!$E152:$CZ152,1,$BE152+1):INDEX(終値!$E152:$CZ152,1,$BE152+20))-2*STDEVP(INDEX(終値!$E152:$CZ152,1,$BE152+1):INDEX(終値!$E152:$CZ152,1,$BE152+20)))</f>
      </c>
      <c r="BL152" s="684">
        <f>COUNT($AC152:$BC152)</f>
      </c>
      <c r="BM152" s="684">
        <f>IF($BL152&gt;=2,MIN($AC152:$BC152),"")</f>
      </c>
      <c r="BN152" s="684">
        <f>IF($BL152&gt;=2,SMALL($AC152:$BC152,2),"")</f>
      </c>
      <c r="BO152" s="684">
        <f>IF($BM152="","",INDEX(高値!$E152:$CZ152,1,$BM152+1))</f>
      </c>
      <c r="BP152" s="684">
        <f>IF($BN152="","",INDEX(高値!$E152:$CZ152,1,$BN152+1))</f>
      </c>
      <c r="BQ152" s="684">
        <f>IF($BN152="","",MIN(INDEX(安値!$E152:$CZ152,1,$BM152+1):INDEX(安値!$E152:$CZ152,1,$BN152+1)))</f>
      </c>
      <c r="BR152" s="684">
        <f>IF($BN152="","",AVERAGE(INDEX(終値!$E152:$CZ152,1,$BN152+1):INDEX(終値!$E152:$CZ152,1,$BN152+20))+2*STDEVP(INDEX(終値!$E152:$CZ152,1,$BN152+1):INDEX(終値!$E152:$CZ152,1,$BN152+20)))</f>
      </c>
      <c r="BS152" s="684">
        <f>IF($BM152="","",AVERAGE(INDEX(終値!$E152:$CZ152,1,$BM152+1):INDEX(終値!$E152:$CZ152,1,$BM152+20))+2*STDEVP(INDEX(終値!$E152:$CZ152,1,$BM152+1):INDEX(終値!$E152:$CZ152,1,$BM152+20)))</f>
      </c>
      <c r="BT152" s="681">
        <f>IFERROR(IF(AND($BD152&gt;=2,ABS($BG152-$BH152)/$BH152&lt;=BB設定!$B$12,$BI152&gt;=MAX($BH152,$BG152)*(1+BB設定!$B$13),終値!E152&gt;$BG152),IF(OR(終値!E152&gt;=$BI152,AND($BH152&lt;$BJ152,$BG152&gt;=$BK152)),"二番底W▲","二番底W形成"),IF(AND($BL152&gt;=2,ABS($BO152-$BP152)/$BP152&lt;=BB設定!$B$12,$BQ152&lt;=MIN($BP152,$BO152)*(1-BB設定!$B$13),終値!E152&lt;$BO152),IF(OR(終値!E152&lt;=$BQ152,AND($BP152&gt;$BR152,$BO152&lt;=$BS152)),"二番天井M▼","二番天井M形成"),"－")),"－")</f>
      </c>
    </row>
    <row r="153">
      <c r="B153" s="684">
        <f>IF(終値!A153="","",IF(AND(安値!G153&lt;安値!F153,安値!G153&lt;安値!E153,安値!G153&lt;安値!H153,安値!G153&lt;安値!I153),2,""))</f>
      </c>
      <c r="C153" s="684">
        <f>IF(終値!A153="","",IF(AND(安値!H153&lt;安値!G153,安値!H153&lt;安値!F153,安値!H153&lt;安値!I153,安値!H153&lt;安値!J153),3,""))</f>
      </c>
      <c r="D153" s="684">
        <f>IF(終値!A153="","",IF(AND(安値!I153&lt;安値!H153,安値!I153&lt;安値!G153,安値!I153&lt;安値!J153,安値!I153&lt;安値!K153),4,""))</f>
      </c>
      <c r="E153" s="684">
        <f>IF(終値!A153="","",IF(AND(安値!J153&lt;安値!I153,安値!J153&lt;安値!H153,安値!J153&lt;安値!K153,安値!J153&lt;安値!L153),5,""))</f>
      </c>
      <c r="F153" s="684">
        <f>IF(終値!A153="","",IF(AND(安値!K153&lt;安値!J153,安値!K153&lt;安値!I153,安値!K153&lt;安値!L153,安値!K153&lt;安値!M153),6,""))</f>
      </c>
      <c r="G153" s="684">
        <f>IF(終値!A153="","",IF(AND(安値!L153&lt;安値!K153,安値!L153&lt;安値!J153,安値!L153&lt;安値!M153,安値!L153&lt;安値!N153),7,""))</f>
      </c>
      <c r="H153" s="684">
        <f>IF(終値!A153="","",IF(AND(安値!M153&lt;安値!L153,安値!M153&lt;安値!K153,安値!M153&lt;安値!N153,安値!M153&lt;安値!O153),8,""))</f>
      </c>
      <c r="I153" s="684">
        <f>IF(終値!A153="","",IF(AND(安値!N153&lt;安値!M153,安値!N153&lt;安値!L153,安値!N153&lt;安値!O153,安値!N153&lt;安値!P153),9,""))</f>
      </c>
      <c r="J153" s="684">
        <f>IF(終値!A153="","",IF(AND(安値!O153&lt;安値!N153,安値!O153&lt;安値!M153,安値!O153&lt;安値!P153,安値!O153&lt;安値!Q153),10,""))</f>
      </c>
      <c r="K153" s="684">
        <f>IF(終値!A153="","",IF(AND(安値!P153&lt;安値!O153,安値!P153&lt;安値!N153,安値!P153&lt;安値!Q153,安値!P153&lt;安値!R153),11,""))</f>
      </c>
      <c r="L153" s="684">
        <f>IF(終値!A153="","",IF(AND(安値!Q153&lt;安値!P153,安値!Q153&lt;安値!O153,安値!Q153&lt;安値!R153,安値!Q153&lt;安値!S153),12,""))</f>
      </c>
      <c r="M153" s="684">
        <f>IF(終値!A153="","",IF(AND(安値!R153&lt;安値!Q153,安値!R153&lt;安値!P153,安値!R153&lt;安値!S153,安値!R153&lt;安値!T153),13,""))</f>
      </c>
      <c r="N153" s="684">
        <f>IF(終値!A153="","",IF(AND(安値!S153&lt;安値!R153,安値!S153&lt;安値!Q153,安値!S153&lt;安値!T153,安値!S153&lt;安値!U153),14,""))</f>
      </c>
      <c r="O153" s="684">
        <f>IF(終値!A153="","",IF(AND(安値!T153&lt;安値!S153,安値!T153&lt;安値!R153,安値!T153&lt;安値!U153,安値!T153&lt;安値!V153),15,""))</f>
      </c>
      <c r="P153" s="684">
        <f>IF(終値!A153="","",IF(AND(安値!U153&lt;安値!T153,安値!U153&lt;安値!S153,安値!U153&lt;安値!V153,安値!U153&lt;安値!W153),16,""))</f>
      </c>
      <c r="Q153" s="684">
        <f>IF(終値!A153="","",IF(AND(安値!V153&lt;安値!U153,安値!V153&lt;安値!T153,安値!V153&lt;安値!W153,安値!V153&lt;安値!X153),17,""))</f>
      </c>
      <c r="R153" s="684">
        <f>IF(終値!A153="","",IF(AND(安値!W153&lt;安値!V153,安値!W153&lt;安値!U153,安値!W153&lt;安値!X153,安値!W153&lt;安値!Y153),18,""))</f>
      </c>
      <c r="S153" s="684">
        <f>IF(終値!A153="","",IF(AND(安値!X153&lt;安値!W153,安値!X153&lt;安値!V153,安値!X153&lt;安値!Y153,安値!X153&lt;安値!Z153),19,""))</f>
      </c>
      <c r="T153" s="684">
        <f>IF(終値!A153="","",IF(AND(安値!Y153&lt;安値!X153,安値!Y153&lt;安値!W153,安値!Y153&lt;安値!Z153,安値!Y153&lt;安値!AA153),20,""))</f>
      </c>
      <c r="U153" s="684">
        <f>IF(終値!A153="","",IF(AND(安値!Z153&lt;安値!Y153,安値!Z153&lt;安値!X153,安値!Z153&lt;安値!AA153,安値!Z153&lt;安値!AB153),21,""))</f>
      </c>
      <c r="V153" s="684">
        <f>IF(終値!A153="","",IF(AND(安値!AA153&lt;安値!Z153,安値!AA153&lt;安値!Y153,安値!AA153&lt;安値!AB153,安値!AA153&lt;安値!AC153),22,""))</f>
      </c>
      <c r="W153" s="684">
        <f>IF(終値!A153="","",IF(AND(安値!AB153&lt;安値!AA153,安値!AB153&lt;安値!Z153,安値!AB153&lt;安値!AC153,安値!AB153&lt;安値!AD153),23,""))</f>
      </c>
      <c r="X153" s="684">
        <f>IF(終値!A153="","",IF(AND(安値!AC153&lt;安値!AB153,安値!AC153&lt;安値!AA153,安値!AC153&lt;安値!AD153,安値!AC153&lt;安値!AE153),24,""))</f>
      </c>
      <c r="Y153" s="684">
        <f>IF(終値!A153="","",IF(AND(安値!AD153&lt;安値!AC153,安値!AD153&lt;安値!AB153,安値!AD153&lt;安値!AE153,安値!AD153&lt;安値!AF153),25,""))</f>
      </c>
      <c r="Z153" s="684">
        <f>IF(終値!A153="","",IF(AND(安値!AE153&lt;安値!AD153,安値!AE153&lt;安値!AC153,安値!AE153&lt;安値!AF153,安値!AE153&lt;安値!AG153),26,""))</f>
      </c>
      <c r="AA153" s="684">
        <f>IF(終値!A153="","",IF(AND(安値!AF153&lt;安値!AE153,安値!AF153&lt;安値!AD153,安値!AF153&lt;安値!AG153,安値!AF153&lt;安値!AH153),27,""))</f>
      </c>
      <c r="AB153" s="684">
        <f>IF(終値!A153="","",IF(AND(安値!AG153&lt;安値!AF153,安値!AG153&lt;安値!AE153,安値!AG153&lt;安値!AH153,安値!AG153&lt;安値!AI153),28,""))</f>
      </c>
      <c r="AC153" s="684">
        <f>IF(終値!A153="","",IF(AND(高値!G153&gt;高値!F153,高値!G153&gt;高値!E153,高値!G153&gt;高値!H153,高値!G153&gt;高値!I153),2,""))</f>
      </c>
      <c r="AD153" s="684">
        <f>IF(終値!A153="","",IF(AND(高値!H153&gt;高値!G153,高値!H153&gt;高値!F153,高値!H153&gt;高値!I153,高値!H153&gt;高値!J153),3,""))</f>
      </c>
      <c r="AE153" s="684">
        <f>IF(終値!A153="","",IF(AND(高値!I153&gt;高値!H153,高値!I153&gt;高値!G153,高値!I153&gt;高値!J153,高値!I153&gt;高値!K153),4,""))</f>
      </c>
      <c r="AF153" s="684">
        <f>IF(終値!A153="","",IF(AND(高値!J153&gt;高値!I153,高値!J153&gt;高値!H153,高値!J153&gt;高値!K153,高値!J153&gt;高値!L153),5,""))</f>
      </c>
      <c r="AG153" s="684">
        <f>IF(終値!A153="","",IF(AND(高値!K153&gt;高値!J153,高値!K153&gt;高値!I153,高値!K153&gt;高値!L153,高値!K153&gt;高値!M153),6,""))</f>
      </c>
      <c r="AH153" s="684">
        <f>IF(終値!A153="","",IF(AND(高値!L153&gt;高値!K153,高値!L153&gt;高値!J153,高値!L153&gt;高値!M153,高値!L153&gt;高値!N153),7,""))</f>
      </c>
      <c r="AI153" s="684">
        <f>IF(終値!A153="","",IF(AND(高値!M153&gt;高値!L153,高値!M153&gt;高値!K153,高値!M153&gt;高値!N153,高値!M153&gt;高値!O153),8,""))</f>
      </c>
      <c r="AJ153" s="684">
        <f>IF(終値!A153="","",IF(AND(高値!N153&gt;高値!M153,高値!N153&gt;高値!L153,高値!N153&gt;高値!O153,高値!N153&gt;高値!P153),9,""))</f>
      </c>
      <c r="AK153" s="684">
        <f>IF(終値!A153="","",IF(AND(高値!O153&gt;高値!N153,高値!O153&gt;高値!M153,高値!O153&gt;高値!P153,高値!O153&gt;高値!Q153),10,""))</f>
      </c>
      <c r="AL153" s="684">
        <f>IF(終値!A153="","",IF(AND(高値!P153&gt;高値!O153,高値!P153&gt;高値!N153,高値!P153&gt;高値!Q153,高値!P153&gt;高値!R153),11,""))</f>
      </c>
      <c r="AM153" s="684">
        <f>IF(終値!A153="","",IF(AND(高値!Q153&gt;高値!P153,高値!Q153&gt;高値!O153,高値!Q153&gt;高値!R153,高値!Q153&gt;高値!S153),12,""))</f>
      </c>
      <c r="AN153" s="684">
        <f>IF(終値!A153="","",IF(AND(高値!R153&gt;高値!Q153,高値!R153&gt;高値!P153,高値!R153&gt;高値!S153,高値!R153&gt;高値!T153),13,""))</f>
      </c>
      <c r="AO153" s="684">
        <f>IF(終値!A153="","",IF(AND(高値!S153&gt;高値!R153,高値!S153&gt;高値!Q153,高値!S153&gt;高値!T153,高値!S153&gt;高値!U153),14,""))</f>
      </c>
      <c r="AP153" s="684">
        <f>IF(終値!A153="","",IF(AND(高値!T153&gt;高値!S153,高値!T153&gt;高値!R153,高値!T153&gt;高値!U153,高値!T153&gt;高値!V153),15,""))</f>
      </c>
      <c r="AQ153" s="684">
        <f>IF(終値!A153="","",IF(AND(高値!U153&gt;高値!T153,高値!U153&gt;高値!S153,高値!U153&gt;高値!V153,高値!U153&gt;高値!W153),16,""))</f>
      </c>
      <c r="AR153" s="684">
        <f>IF(終値!A153="","",IF(AND(高値!V153&gt;高値!U153,高値!V153&gt;高値!T153,高値!V153&gt;高値!W153,高値!V153&gt;高値!X153),17,""))</f>
      </c>
      <c r="AS153" s="684">
        <f>IF(終値!A153="","",IF(AND(高値!W153&gt;高値!V153,高値!W153&gt;高値!U153,高値!W153&gt;高値!X153,高値!W153&gt;高値!Y153),18,""))</f>
      </c>
      <c r="AT153" s="684">
        <f>IF(終値!A153="","",IF(AND(高値!X153&gt;高値!W153,高値!X153&gt;高値!V153,高値!X153&gt;高値!Y153,高値!X153&gt;高値!Z153),19,""))</f>
      </c>
      <c r="AU153" s="684">
        <f>IF(終値!A153="","",IF(AND(高値!Y153&gt;高値!X153,高値!Y153&gt;高値!W153,高値!Y153&gt;高値!Z153,高値!Y153&gt;高値!AA153),20,""))</f>
      </c>
      <c r="AV153" s="684">
        <f>IF(終値!A153="","",IF(AND(高値!Z153&gt;高値!Y153,高値!Z153&gt;高値!X153,高値!Z153&gt;高値!AA153,高値!Z153&gt;高値!AB153),21,""))</f>
      </c>
      <c r="AW153" s="684">
        <f>IF(終値!A153="","",IF(AND(高値!AA153&gt;高値!Z153,高値!AA153&gt;高値!Y153,高値!AA153&gt;高値!AB153,高値!AA153&gt;高値!AC153),22,""))</f>
      </c>
      <c r="AX153" s="684">
        <f>IF(終値!A153="","",IF(AND(高値!AB153&gt;高値!AA153,高値!AB153&gt;高値!Z153,高値!AB153&gt;高値!AC153,高値!AB153&gt;高値!AD153),23,""))</f>
      </c>
      <c r="AY153" s="684">
        <f>IF(終値!A153="","",IF(AND(高値!AC153&gt;高値!AB153,高値!AC153&gt;高値!AA153,高値!AC153&gt;高値!AD153,高値!AC153&gt;高値!AE153),24,""))</f>
      </c>
      <c r="AZ153" s="684">
        <f>IF(終値!A153="","",IF(AND(高値!AD153&gt;高値!AC153,高値!AD153&gt;高値!AB153,高値!AD153&gt;高値!AE153,高値!AD153&gt;高値!AF153),25,""))</f>
      </c>
      <c r="BA153" s="684">
        <f>IF(終値!A153="","",IF(AND(高値!AE153&gt;高値!AD153,高値!AE153&gt;高値!AC153,高値!AE153&gt;高値!AF153,高値!AE153&gt;高値!AG153),26,""))</f>
      </c>
      <c r="BB153" s="684">
        <f>IF(終値!A153="","",IF(AND(高値!AF153&gt;高値!AE153,高値!AF153&gt;高値!AD153,高値!AF153&gt;高値!AG153,高値!AF153&gt;高値!AH153),27,""))</f>
      </c>
      <c r="BC153" s="684">
        <f>IF(終値!A153="","",IF(AND(高値!AG153&gt;高値!AF153,高値!AG153&gt;高値!AE153,高値!AG153&gt;高値!AH153,高値!AG153&gt;高値!AI153),28,""))</f>
      </c>
      <c r="BD153" s="684">
        <f>COUNT($B153:$AB153)</f>
      </c>
      <c r="BE153" s="684">
        <f>IF($BD153&gt;=2,MIN($B153:$AB153),"")</f>
      </c>
      <c r="BF153" s="684">
        <f>IF($BD153&gt;=2,SMALL($B153:$AB153,2),"")</f>
      </c>
      <c r="BG153" s="684">
        <f>IF($BE153="","",INDEX(安値!$E153:$CZ153,1,$BE153+1))</f>
      </c>
      <c r="BH153" s="684">
        <f>IF($BF153="","",INDEX(安値!$E153:$CZ153,1,$BF153+1))</f>
      </c>
      <c r="BI153" s="684">
        <f>IF($BF153="","",MAX(INDEX(高値!$E153:$CZ153,1,$BE153+1):INDEX(高値!$E153:$CZ153,1,$BF153+1)))</f>
      </c>
      <c r="BJ153" s="684">
        <f>IF($BF153="","",AVERAGE(INDEX(終値!$E153:$CZ153,1,$BF153+1):INDEX(終値!$E153:$CZ153,1,$BF153+20))-2*STDEVP(INDEX(終値!$E153:$CZ153,1,$BF153+1):INDEX(終値!$E153:$CZ153,1,$BF153+20)))</f>
      </c>
      <c r="BK153" s="684">
        <f>IF($BE153="","",AVERAGE(INDEX(終値!$E153:$CZ153,1,$BE153+1):INDEX(終値!$E153:$CZ153,1,$BE153+20))-2*STDEVP(INDEX(終値!$E153:$CZ153,1,$BE153+1):INDEX(終値!$E153:$CZ153,1,$BE153+20)))</f>
      </c>
      <c r="BL153" s="684">
        <f>COUNT($AC153:$BC153)</f>
      </c>
      <c r="BM153" s="684">
        <f>IF($BL153&gt;=2,MIN($AC153:$BC153),"")</f>
      </c>
      <c r="BN153" s="684">
        <f>IF($BL153&gt;=2,SMALL($AC153:$BC153,2),"")</f>
      </c>
      <c r="BO153" s="684">
        <f>IF($BM153="","",INDEX(高値!$E153:$CZ153,1,$BM153+1))</f>
      </c>
      <c r="BP153" s="684">
        <f>IF($BN153="","",INDEX(高値!$E153:$CZ153,1,$BN153+1))</f>
      </c>
      <c r="BQ153" s="684">
        <f>IF($BN153="","",MIN(INDEX(安値!$E153:$CZ153,1,$BM153+1):INDEX(安値!$E153:$CZ153,1,$BN153+1)))</f>
      </c>
      <c r="BR153" s="684">
        <f>IF($BN153="","",AVERAGE(INDEX(終値!$E153:$CZ153,1,$BN153+1):INDEX(終値!$E153:$CZ153,1,$BN153+20))+2*STDEVP(INDEX(終値!$E153:$CZ153,1,$BN153+1):INDEX(終値!$E153:$CZ153,1,$BN153+20)))</f>
      </c>
      <c r="BS153" s="684">
        <f>IF($BM153="","",AVERAGE(INDEX(終値!$E153:$CZ153,1,$BM153+1):INDEX(終値!$E153:$CZ153,1,$BM153+20))+2*STDEVP(INDEX(終値!$E153:$CZ153,1,$BM153+1):INDEX(終値!$E153:$CZ153,1,$BM153+20)))</f>
      </c>
      <c r="BT153" s="681">
        <f>IFERROR(IF(AND($BD153&gt;=2,ABS($BG153-$BH153)/$BH153&lt;=BB設定!$B$12,$BI153&gt;=MAX($BH153,$BG153)*(1+BB設定!$B$13),終値!E153&gt;$BG153),IF(OR(終値!E153&gt;=$BI153,AND($BH153&lt;$BJ153,$BG153&gt;=$BK153)),"二番底W▲","二番底W形成"),IF(AND($BL153&gt;=2,ABS($BO153-$BP153)/$BP153&lt;=BB設定!$B$12,$BQ153&lt;=MIN($BP153,$BO153)*(1-BB設定!$B$13),終値!E153&lt;$BO153),IF(OR(終値!E153&lt;=$BQ153,AND($BP153&gt;$BR153,$BO153&lt;=$BS153)),"二番天井M▼","二番天井M形成"),"－")),"－")</f>
      </c>
    </row>
    <row r="154">
      <c r="B154" s="684">
        <f>IF(終値!A154="","",IF(AND(安値!G154&lt;安値!F154,安値!G154&lt;安値!E154,安値!G154&lt;安値!H154,安値!G154&lt;安値!I154),2,""))</f>
      </c>
      <c r="C154" s="684">
        <f>IF(終値!A154="","",IF(AND(安値!H154&lt;安値!G154,安値!H154&lt;安値!F154,安値!H154&lt;安値!I154,安値!H154&lt;安値!J154),3,""))</f>
      </c>
      <c r="D154" s="684">
        <f>IF(終値!A154="","",IF(AND(安値!I154&lt;安値!H154,安値!I154&lt;安値!G154,安値!I154&lt;安値!J154,安値!I154&lt;安値!K154),4,""))</f>
      </c>
      <c r="E154" s="684">
        <f>IF(終値!A154="","",IF(AND(安値!J154&lt;安値!I154,安値!J154&lt;安値!H154,安値!J154&lt;安値!K154,安値!J154&lt;安値!L154),5,""))</f>
      </c>
      <c r="F154" s="684">
        <f>IF(終値!A154="","",IF(AND(安値!K154&lt;安値!J154,安値!K154&lt;安値!I154,安値!K154&lt;安値!L154,安値!K154&lt;安値!M154),6,""))</f>
      </c>
      <c r="G154" s="684">
        <f>IF(終値!A154="","",IF(AND(安値!L154&lt;安値!K154,安値!L154&lt;安値!J154,安値!L154&lt;安値!M154,安値!L154&lt;安値!N154),7,""))</f>
      </c>
      <c r="H154" s="684">
        <f>IF(終値!A154="","",IF(AND(安値!M154&lt;安値!L154,安値!M154&lt;安値!K154,安値!M154&lt;安値!N154,安値!M154&lt;安値!O154),8,""))</f>
      </c>
      <c r="I154" s="684">
        <f>IF(終値!A154="","",IF(AND(安値!N154&lt;安値!M154,安値!N154&lt;安値!L154,安値!N154&lt;安値!O154,安値!N154&lt;安値!P154),9,""))</f>
      </c>
      <c r="J154" s="684">
        <f>IF(終値!A154="","",IF(AND(安値!O154&lt;安値!N154,安値!O154&lt;安値!M154,安値!O154&lt;安値!P154,安値!O154&lt;安値!Q154),10,""))</f>
      </c>
      <c r="K154" s="684">
        <f>IF(終値!A154="","",IF(AND(安値!P154&lt;安値!O154,安値!P154&lt;安値!N154,安値!P154&lt;安値!Q154,安値!P154&lt;安値!R154),11,""))</f>
      </c>
      <c r="L154" s="684">
        <f>IF(終値!A154="","",IF(AND(安値!Q154&lt;安値!P154,安値!Q154&lt;安値!O154,安値!Q154&lt;安値!R154,安値!Q154&lt;安値!S154),12,""))</f>
      </c>
      <c r="M154" s="684">
        <f>IF(終値!A154="","",IF(AND(安値!R154&lt;安値!Q154,安値!R154&lt;安値!P154,安値!R154&lt;安値!S154,安値!R154&lt;安値!T154),13,""))</f>
      </c>
      <c r="N154" s="684">
        <f>IF(終値!A154="","",IF(AND(安値!S154&lt;安値!R154,安値!S154&lt;安値!Q154,安値!S154&lt;安値!T154,安値!S154&lt;安値!U154),14,""))</f>
      </c>
      <c r="O154" s="684">
        <f>IF(終値!A154="","",IF(AND(安値!T154&lt;安値!S154,安値!T154&lt;安値!R154,安値!T154&lt;安値!U154,安値!T154&lt;安値!V154),15,""))</f>
      </c>
      <c r="P154" s="684">
        <f>IF(終値!A154="","",IF(AND(安値!U154&lt;安値!T154,安値!U154&lt;安値!S154,安値!U154&lt;安値!V154,安値!U154&lt;安値!W154),16,""))</f>
      </c>
      <c r="Q154" s="684">
        <f>IF(終値!A154="","",IF(AND(安値!V154&lt;安値!U154,安値!V154&lt;安値!T154,安値!V154&lt;安値!W154,安値!V154&lt;安値!X154),17,""))</f>
      </c>
      <c r="R154" s="684">
        <f>IF(終値!A154="","",IF(AND(安値!W154&lt;安値!V154,安値!W154&lt;安値!U154,安値!W154&lt;安値!X154,安値!W154&lt;安値!Y154),18,""))</f>
      </c>
      <c r="S154" s="684">
        <f>IF(終値!A154="","",IF(AND(安値!X154&lt;安値!W154,安値!X154&lt;安値!V154,安値!X154&lt;安値!Y154,安値!X154&lt;安値!Z154),19,""))</f>
      </c>
      <c r="T154" s="684">
        <f>IF(終値!A154="","",IF(AND(安値!Y154&lt;安値!X154,安値!Y154&lt;安値!W154,安値!Y154&lt;安値!Z154,安値!Y154&lt;安値!AA154),20,""))</f>
      </c>
      <c r="U154" s="684">
        <f>IF(終値!A154="","",IF(AND(安値!Z154&lt;安値!Y154,安値!Z154&lt;安値!X154,安値!Z154&lt;安値!AA154,安値!Z154&lt;安値!AB154),21,""))</f>
      </c>
      <c r="V154" s="684">
        <f>IF(終値!A154="","",IF(AND(安値!AA154&lt;安値!Z154,安値!AA154&lt;安値!Y154,安値!AA154&lt;安値!AB154,安値!AA154&lt;安値!AC154),22,""))</f>
      </c>
      <c r="W154" s="684">
        <f>IF(終値!A154="","",IF(AND(安値!AB154&lt;安値!AA154,安値!AB154&lt;安値!Z154,安値!AB154&lt;安値!AC154,安値!AB154&lt;安値!AD154),23,""))</f>
      </c>
      <c r="X154" s="684">
        <f>IF(終値!A154="","",IF(AND(安値!AC154&lt;安値!AB154,安値!AC154&lt;安値!AA154,安値!AC154&lt;安値!AD154,安値!AC154&lt;安値!AE154),24,""))</f>
      </c>
      <c r="Y154" s="684">
        <f>IF(終値!A154="","",IF(AND(安値!AD154&lt;安値!AC154,安値!AD154&lt;安値!AB154,安値!AD154&lt;安値!AE154,安値!AD154&lt;安値!AF154),25,""))</f>
      </c>
      <c r="Z154" s="684">
        <f>IF(終値!A154="","",IF(AND(安値!AE154&lt;安値!AD154,安値!AE154&lt;安値!AC154,安値!AE154&lt;安値!AF154,安値!AE154&lt;安値!AG154),26,""))</f>
      </c>
      <c r="AA154" s="684">
        <f>IF(終値!A154="","",IF(AND(安値!AF154&lt;安値!AE154,安値!AF154&lt;安値!AD154,安値!AF154&lt;安値!AG154,安値!AF154&lt;安値!AH154),27,""))</f>
      </c>
      <c r="AB154" s="684">
        <f>IF(終値!A154="","",IF(AND(安値!AG154&lt;安値!AF154,安値!AG154&lt;安値!AE154,安値!AG154&lt;安値!AH154,安値!AG154&lt;安値!AI154),28,""))</f>
      </c>
      <c r="AC154" s="684">
        <f>IF(終値!A154="","",IF(AND(高値!G154&gt;高値!F154,高値!G154&gt;高値!E154,高値!G154&gt;高値!H154,高値!G154&gt;高値!I154),2,""))</f>
      </c>
      <c r="AD154" s="684">
        <f>IF(終値!A154="","",IF(AND(高値!H154&gt;高値!G154,高値!H154&gt;高値!F154,高値!H154&gt;高値!I154,高値!H154&gt;高値!J154),3,""))</f>
      </c>
      <c r="AE154" s="684">
        <f>IF(終値!A154="","",IF(AND(高値!I154&gt;高値!H154,高値!I154&gt;高値!G154,高値!I154&gt;高値!J154,高値!I154&gt;高値!K154),4,""))</f>
      </c>
      <c r="AF154" s="684">
        <f>IF(終値!A154="","",IF(AND(高値!J154&gt;高値!I154,高値!J154&gt;高値!H154,高値!J154&gt;高値!K154,高値!J154&gt;高値!L154),5,""))</f>
      </c>
      <c r="AG154" s="684">
        <f>IF(終値!A154="","",IF(AND(高値!K154&gt;高値!J154,高値!K154&gt;高値!I154,高値!K154&gt;高値!L154,高値!K154&gt;高値!M154),6,""))</f>
      </c>
      <c r="AH154" s="684">
        <f>IF(終値!A154="","",IF(AND(高値!L154&gt;高値!K154,高値!L154&gt;高値!J154,高値!L154&gt;高値!M154,高値!L154&gt;高値!N154),7,""))</f>
      </c>
      <c r="AI154" s="684">
        <f>IF(終値!A154="","",IF(AND(高値!M154&gt;高値!L154,高値!M154&gt;高値!K154,高値!M154&gt;高値!N154,高値!M154&gt;高値!O154),8,""))</f>
      </c>
      <c r="AJ154" s="684">
        <f>IF(終値!A154="","",IF(AND(高値!N154&gt;高値!M154,高値!N154&gt;高値!L154,高値!N154&gt;高値!O154,高値!N154&gt;高値!P154),9,""))</f>
      </c>
      <c r="AK154" s="684">
        <f>IF(終値!A154="","",IF(AND(高値!O154&gt;高値!N154,高値!O154&gt;高値!M154,高値!O154&gt;高値!P154,高値!O154&gt;高値!Q154),10,""))</f>
      </c>
      <c r="AL154" s="684">
        <f>IF(終値!A154="","",IF(AND(高値!P154&gt;高値!O154,高値!P154&gt;高値!N154,高値!P154&gt;高値!Q154,高値!P154&gt;高値!R154),11,""))</f>
      </c>
      <c r="AM154" s="684">
        <f>IF(終値!A154="","",IF(AND(高値!Q154&gt;高値!P154,高値!Q154&gt;高値!O154,高値!Q154&gt;高値!R154,高値!Q154&gt;高値!S154),12,""))</f>
      </c>
      <c r="AN154" s="684">
        <f>IF(終値!A154="","",IF(AND(高値!R154&gt;高値!Q154,高値!R154&gt;高値!P154,高値!R154&gt;高値!S154,高値!R154&gt;高値!T154),13,""))</f>
      </c>
      <c r="AO154" s="684">
        <f>IF(終値!A154="","",IF(AND(高値!S154&gt;高値!R154,高値!S154&gt;高値!Q154,高値!S154&gt;高値!T154,高値!S154&gt;高値!U154),14,""))</f>
      </c>
      <c r="AP154" s="684">
        <f>IF(終値!A154="","",IF(AND(高値!T154&gt;高値!S154,高値!T154&gt;高値!R154,高値!T154&gt;高値!U154,高値!T154&gt;高値!V154),15,""))</f>
      </c>
      <c r="AQ154" s="684">
        <f>IF(終値!A154="","",IF(AND(高値!U154&gt;高値!T154,高値!U154&gt;高値!S154,高値!U154&gt;高値!V154,高値!U154&gt;高値!W154),16,""))</f>
      </c>
      <c r="AR154" s="684">
        <f>IF(終値!A154="","",IF(AND(高値!V154&gt;高値!U154,高値!V154&gt;高値!T154,高値!V154&gt;高値!W154,高値!V154&gt;高値!X154),17,""))</f>
      </c>
      <c r="AS154" s="684">
        <f>IF(終値!A154="","",IF(AND(高値!W154&gt;高値!V154,高値!W154&gt;高値!U154,高値!W154&gt;高値!X154,高値!W154&gt;高値!Y154),18,""))</f>
      </c>
      <c r="AT154" s="684">
        <f>IF(終値!A154="","",IF(AND(高値!X154&gt;高値!W154,高値!X154&gt;高値!V154,高値!X154&gt;高値!Y154,高値!X154&gt;高値!Z154),19,""))</f>
      </c>
      <c r="AU154" s="684">
        <f>IF(終値!A154="","",IF(AND(高値!Y154&gt;高値!X154,高値!Y154&gt;高値!W154,高値!Y154&gt;高値!Z154,高値!Y154&gt;高値!AA154),20,""))</f>
      </c>
      <c r="AV154" s="684">
        <f>IF(終値!A154="","",IF(AND(高値!Z154&gt;高値!Y154,高値!Z154&gt;高値!X154,高値!Z154&gt;高値!AA154,高値!Z154&gt;高値!AB154),21,""))</f>
      </c>
      <c r="AW154" s="684">
        <f>IF(終値!A154="","",IF(AND(高値!AA154&gt;高値!Z154,高値!AA154&gt;高値!Y154,高値!AA154&gt;高値!AB154,高値!AA154&gt;高値!AC154),22,""))</f>
      </c>
      <c r="AX154" s="684">
        <f>IF(終値!A154="","",IF(AND(高値!AB154&gt;高値!AA154,高値!AB154&gt;高値!Z154,高値!AB154&gt;高値!AC154,高値!AB154&gt;高値!AD154),23,""))</f>
      </c>
      <c r="AY154" s="684">
        <f>IF(終値!A154="","",IF(AND(高値!AC154&gt;高値!AB154,高値!AC154&gt;高値!AA154,高値!AC154&gt;高値!AD154,高値!AC154&gt;高値!AE154),24,""))</f>
      </c>
      <c r="AZ154" s="684">
        <f>IF(終値!A154="","",IF(AND(高値!AD154&gt;高値!AC154,高値!AD154&gt;高値!AB154,高値!AD154&gt;高値!AE154,高値!AD154&gt;高値!AF154),25,""))</f>
      </c>
      <c r="BA154" s="684">
        <f>IF(終値!A154="","",IF(AND(高値!AE154&gt;高値!AD154,高値!AE154&gt;高値!AC154,高値!AE154&gt;高値!AF154,高値!AE154&gt;高値!AG154),26,""))</f>
      </c>
      <c r="BB154" s="684">
        <f>IF(終値!A154="","",IF(AND(高値!AF154&gt;高値!AE154,高値!AF154&gt;高値!AD154,高値!AF154&gt;高値!AG154,高値!AF154&gt;高値!AH154),27,""))</f>
      </c>
      <c r="BC154" s="684">
        <f>IF(終値!A154="","",IF(AND(高値!AG154&gt;高値!AF154,高値!AG154&gt;高値!AE154,高値!AG154&gt;高値!AH154,高値!AG154&gt;高値!AI154),28,""))</f>
      </c>
      <c r="BD154" s="684">
        <f>COUNT($B154:$AB154)</f>
      </c>
      <c r="BE154" s="684">
        <f>IF($BD154&gt;=2,MIN($B154:$AB154),"")</f>
      </c>
      <c r="BF154" s="684">
        <f>IF($BD154&gt;=2,SMALL($B154:$AB154,2),"")</f>
      </c>
      <c r="BG154" s="684">
        <f>IF($BE154="","",INDEX(安値!$E154:$CZ154,1,$BE154+1))</f>
      </c>
      <c r="BH154" s="684">
        <f>IF($BF154="","",INDEX(安値!$E154:$CZ154,1,$BF154+1))</f>
      </c>
      <c r="BI154" s="684">
        <f>IF($BF154="","",MAX(INDEX(高値!$E154:$CZ154,1,$BE154+1):INDEX(高値!$E154:$CZ154,1,$BF154+1)))</f>
      </c>
      <c r="BJ154" s="684">
        <f>IF($BF154="","",AVERAGE(INDEX(終値!$E154:$CZ154,1,$BF154+1):INDEX(終値!$E154:$CZ154,1,$BF154+20))-2*STDEVP(INDEX(終値!$E154:$CZ154,1,$BF154+1):INDEX(終値!$E154:$CZ154,1,$BF154+20)))</f>
      </c>
      <c r="BK154" s="684">
        <f>IF($BE154="","",AVERAGE(INDEX(終値!$E154:$CZ154,1,$BE154+1):INDEX(終値!$E154:$CZ154,1,$BE154+20))-2*STDEVP(INDEX(終値!$E154:$CZ154,1,$BE154+1):INDEX(終値!$E154:$CZ154,1,$BE154+20)))</f>
      </c>
      <c r="BL154" s="684">
        <f>COUNT($AC154:$BC154)</f>
      </c>
      <c r="BM154" s="684">
        <f>IF($BL154&gt;=2,MIN($AC154:$BC154),"")</f>
      </c>
      <c r="BN154" s="684">
        <f>IF($BL154&gt;=2,SMALL($AC154:$BC154,2),"")</f>
      </c>
      <c r="BO154" s="684">
        <f>IF($BM154="","",INDEX(高値!$E154:$CZ154,1,$BM154+1))</f>
      </c>
      <c r="BP154" s="684">
        <f>IF($BN154="","",INDEX(高値!$E154:$CZ154,1,$BN154+1))</f>
      </c>
      <c r="BQ154" s="684">
        <f>IF($BN154="","",MIN(INDEX(安値!$E154:$CZ154,1,$BM154+1):INDEX(安値!$E154:$CZ154,1,$BN154+1)))</f>
      </c>
      <c r="BR154" s="684">
        <f>IF($BN154="","",AVERAGE(INDEX(終値!$E154:$CZ154,1,$BN154+1):INDEX(終値!$E154:$CZ154,1,$BN154+20))+2*STDEVP(INDEX(終値!$E154:$CZ154,1,$BN154+1):INDEX(終値!$E154:$CZ154,1,$BN154+20)))</f>
      </c>
      <c r="BS154" s="684">
        <f>IF($BM154="","",AVERAGE(INDEX(終値!$E154:$CZ154,1,$BM154+1):INDEX(終値!$E154:$CZ154,1,$BM154+20))+2*STDEVP(INDEX(終値!$E154:$CZ154,1,$BM154+1):INDEX(終値!$E154:$CZ154,1,$BM154+20)))</f>
      </c>
      <c r="BT154" s="681">
        <f>IFERROR(IF(AND($BD154&gt;=2,ABS($BG154-$BH154)/$BH154&lt;=BB設定!$B$12,$BI154&gt;=MAX($BH154,$BG154)*(1+BB設定!$B$13),終値!E154&gt;$BG154),IF(OR(終値!E154&gt;=$BI154,AND($BH154&lt;$BJ154,$BG154&gt;=$BK154)),"二番底W▲","二番底W形成"),IF(AND($BL154&gt;=2,ABS($BO154-$BP154)/$BP154&lt;=BB設定!$B$12,$BQ154&lt;=MIN($BP154,$BO154)*(1-BB設定!$B$13),終値!E154&lt;$BO154),IF(OR(終値!E154&lt;=$BQ154,AND($BP154&gt;$BR154,$BO154&lt;=$BS154)),"二番天井M▼","二番天井M形成"),"－")),"－")</f>
      </c>
    </row>
    <row r="155">
      <c r="B155" s="684">
        <f>IF(終値!A155="","",IF(AND(安値!G155&lt;安値!F155,安値!G155&lt;安値!E155,安値!G155&lt;安値!H155,安値!G155&lt;安値!I155),2,""))</f>
      </c>
      <c r="C155" s="684">
        <f>IF(終値!A155="","",IF(AND(安値!H155&lt;安値!G155,安値!H155&lt;安値!F155,安値!H155&lt;安値!I155,安値!H155&lt;安値!J155),3,""))</f>
      </c>
      <c r="D155" s="684">
        <f>IF(終値!A155="","",IF(AND(安値!I155&lt;安値!H155,安値!I155&lt;安値!G155,安値!I155&lt;安値!J155,安値!I155&lt;安値!K155),4,""))</f>
      </c>
      <c r="E155" s="684">
        <f>IF(終値!A155="","",IF(AND(安値!J155&lt;安値!I155,安値!J155&lt;安値!H155,安値!J155&lt;安値!K155,安値!J155&lt;安値!L155),5,""))</f>
      </c>
      <c r="F155" s="684">
        <f>IF(終値!A155="","",IF(AND(安値!K155&lt;安値!J155,安値!K155&lt;安値!I155,安値!K155&lt;安値!L155,安値!K155&lt;安値!M155),6,""))</f>
      </c>
      <c r="G155" s="684">
        <f>IF(終値!A155="","",IF(AND(安値!L155&lt;安値!K155,安値!L155&lt;安値!J155,安値!L155&lt;安値!M155,安値!L155&lt;安値!N155),7,""))</f>
      </c>
      <c r="H155" s="684">
        <f>IF(終値!A155="","",IF(AND(安値!M155&lt;安値!L155,安値!M155&lt;安値!K155,安値!M155&lt;安値!N155,安値!M155&lt;安値!O155),8,""))</f>
      </c>
      <c r="I155" s="684">
        <f>IF(終値!A155="","",IF(AND(安値!N155&lt;安値!M155,安値!N155&lt;安値!L155,安値!N155&lt;安値!O155,安値!N155&lt;安値!P155),9,""))</f>
      </c>
      <c r="J155" s="684">
        <f>IF(終値!A155="","",IF(AND(安値!O155&lt;安値!N155,安値!O155&lt;安値!M155,安値!O155&lt;安値!P155,安値!O155&lt;安値!Q155),10,""))</f>
      </c>
      <c r="K155" s="684">
        <f>IF(終値!A155="","",IF(AND(安値!P155&lt;安値!O155,安値!P155&lt;安値!N155,安値!P155&lt;安値!Q155,安値!P155&lt;安値!R155),11,""))</f>
      </c>
      <c r="L155" s="684">
        <f>IF(終値!A155="","",IF(AND(安値!Q155&lt;安値!P155,安値!Q155&lt;安値!O155,安値!Q155&lt;安値!R155,安値!Q155&lt;安値!S155),12,""))</f>
      </c>
      <c r="M155" s="684">
        <f>IF(終値!A155="","",IF(AND(安値!R155&lt;安値!Q155,安値!R155&lt;安値!P155,安値!R155&lt;安値!S155,安値!R155&lt;安値!T155),13,""))</f>
      </c>
      <c r="N155" s="684">
        <f>IF(終値!A155="","",IF(AND(安値!S155&lt;安値!R155,安値!S155&lt;安値!Q155,安値!S155&lt;安値!T155,安値!S155&lt;安値!U155),14,""))</f>
      </c>
      <c r="O155" s="684">
        <f>IF(終値!A155="","",IF(AND(安値!T155&lt;安値!S155,安値!T155&lt;安値!R155,安値!T155&lt;安値!U155,安値!T155&lt;安値!V155),15,""))</f>
      </c>
      <c r="P155" s="684">
        <f>IF(終値!A155="","",IF(AND(安値!U155&lt;安値!T155,安値!U155&lt;安値!S155,安値!U155&lt;安値!V155,安値!U155&lt;安値!W155),16,""))</f>
      </c>
      <c r="Q155" s="684">
        <f>IF(終値!A155="","",IF(AND(安値!V155&lt;安値!U155,安値!V155&lt;安値!T155,安値!V155&lt;安値!W155,安値!V155&lt;安値!X155),17,""))</f>
      </c>
      <c r="R155" s="684">
        <f>IF(終値!A155="","",IF(AND(安値!W155&lt;安値!V155,安値!W155&lt;安値!U155,安値!W155&lt;安値!X155,安値!W155&lt;安値!Y155),18,""))</f>
      </c>
      <c r="S155" s="684">
        <f>IF(終値!A155="","",IF(AND(安値!X155&lt;安値!W155,安値!X155&lt;安値!V155,安値!X155&lt;安値!Y155,安値!X155&lt;安値!Z155),19,""))</f>
      </c>
      <c r="T155" s="684">
        <f>IF(終値!A155="","",IF(AND(安値!Y155&lt;安値!X155,安値!Y155&lt;安値!W155,安値!Y155&lt;安値!Z155,安値!Y155&lt;安値!AA155),20,""))</f>
      </c>
      <c r="U155" s="684">
        <f>IF(終値!A155="","",IF(AND(安値!Z155&lt;安値!Y155,安値!Z155&lt;安値!X155,安値!Z155&lt;安値!AA155,安値!Z155&lt;安値!AB155),21,""))</f>
      </c>
      <c r="V155" s="684">
        <f>IF(終値!A155="","",IF(AND(安値!AA155&lt;安値!Z155,安値!AA155&lt;安値!Y155,安値!AA155&lt;安値!AB155,安値!AA155&lt;安値!AC155),22,""))</f>
      </c>
      <c r="W155" s="684">
        <f>IF(終値!A155="","",IF(AND(安値!AB155&lt;安値!AA155,安値!AB155&lt;安値!Z155,安値!AB155&lt;安値!AC155,安値!AB155&lt;安値!AD155),23,""))</f>
      </c>
      <c r="X155" s="684">
        <f>IF(終値!A155="","",IF(AND(安値!AC155&lt;安値!AB155,安値!AC155&lt;安値!AA155,安値!AC155&lt;安値!AD155,安値!AC155&lt;安値!AE155),24,""))</f>
      </c>
      <c r="Y155" s="684">
        <f>IF(終値!A155="","",IF(AND(安値!AD155&lt;安値!AC155,安値!AD155&lt;安値!AB155,安値!AD155&lt;安値!AE155,安値!AD155&lt;安値!AF155),25,""))</f>
      </c>
      <c r="Z155" s="684">
        <f>IF(終値!A155="","",IF(AND(安値!AE155&lt;安値!AD155,安値!AE155&lt;安値!AC155,安値!AE155&lt;安値!AF155,安値!AE155&lt;安値!AG155),26,""))</f>
      </c>
      <c r="AA155" s="684">
        <f>IF(終値!A155="","",IF(AND(安値!AF155&lt;安値!AE155,安値!AF155&lt;安値!AD155,安値!AF155&lt;安値!AG155,安値!AF155&lt;安値!AH155),27,""))</f>
      </c>
      <c r="AB155" s="684">
        <f>IF(終値!A155="","",IF(AND(安値!AG155&lt;安値!AF155,安値!AG155&lt;安値!AE155,安値!AG155&lt;安値!AH155,安値!AG155&lt;安値!AI155),28,""))</f>
      </c>
      <c r="AC155" s="684">
        <f>IF(終値!A155="","",IF(AND(高値!G155&gt;高値!F155,高値!G155&gt;高値!E155,高値!G155&gt;高値!H155,高値!G155&gt;高値!I155),2,""))</f>
      </c>
      <c r="AD155" s="684">
        <f>IF(終値!A155="","",IF(AND(高値!H155&gt;高値!G155,高値!H155&gt;高値!F155,高値!H155&gt;高値!I155,高値!H155&gt;高値!J155),3,""))</f>
      </c>
      <c r="AE155" s="684">
        <f>IF(終値!A155="","",IF(AND(高値!I155&gt;高値!H155,高値!I155&gt;高値!G155,高値!I155&gt;高値!J155,高値!I155&gt;高値!K155),4,""))</f>
      </c>
      <c r="AF155" s="684">
        <f>IF(終値!A155="","",IF(AND(高値!J155&gt;高値!I155,高値!J155&gt;高値!H155,高値!J155&gt;高値!K155,高値!J155&gt;高値!L155),5,""))</f>
      </c>
      <c r="AG155" s="684">
        <f>IF(終値!A155="","",IF(AND(高値!K155&gt;高値!J155,高値!K155&gt;高値!I155,高値!K155&gt;高値!L155,高値!K155&gt;高値!M155),6,""))</f>
      </c>
      <c r="AH155" s="684">
        <f>IF(終値!A155="","",IF(AND(高値!L155&gt;高値!K155,高値!L155&gt;高値!J155,高値!L155&gt;高値!M155,高値!L155&gt;高値!N155),7,""))</f>
      </c>
      <c r="AI155" s="684">
        <f>IF(終値!A155="","",IF(AND(高値!M155&gt;高値!L155,高値!M155&gt;高値!K155,高値!M155&gt;高値!N155,高値!M155&gt;高値!O155),8,""))</f>
      </c>
      <c r="AJ155" s="684">
        <f>IF(終値!A155="","",IF(AND(高値!N155&gt;高値!M155,高値!N155&gt;高値!L155,高値!N155&gt;高値!O155,高値!N155&gt;高値!P155),9,""))</f>
      </c>
      <c r="AK155" s="684">
        <f>IF(終値!A155="","",IF(AND(高値!O155&gt;高値!N155,高値!O155&gt;高値!M155,高値!O155&gt;高値!P155,高値!O155&gt;高値!Q155),10,""))</f>
      </c>
      <c r="AL155" s="684">
        <f>IF(終値!A155="","",IF(AND(高値!P155&gt;高値!O155,高値!P155&gt;高値!N155,高値!P155&gt;高値!Q155,高値!P155&gt;高値!R155),11,""))</f>
      </c>
      <c r="AM155" s="684">
        <f>IF(終値!A155="","",IF(AND(高値!Q155&gt;高値!P155,高値!Q155&gt;高値!O155,高値!Q155&gt;高値!R155,高値!Q155&gt;高値!S155),12,""))</f>
      </c>
      <c r="AN155" s="684">
        <f>IF(終値!A155="","",IF(AND(高値!R155&gt;高値!Q155,高値!R155&gt;高値!P155,高値!R155&gt;高値!S155,高値!R155&gt;高値!T155),13,""))</f>
      </c>
      <c r="AO155" s="684">
        <f>IF(終値!A155="","",IF(AND(高値!S155&gt;高値!R155,高値!S155&gt;高値!Q155,高値!S155&gt;高値!T155,高値!S155&gt;高値!U155),14,""))</f>
      </c>
      <c r="AP155" s="684">
        <f>IF(終値!A155="","",IF(AND(高値!T155&gt;高値!S155,高値!T155&gt;高値!R155,高値!T155&gt;高値!U155,高値!T155&gt;高値!V155),15,""))</f>
      </c>
      <c r="AQ155" s="684">
        <f>IF(終値!A155="","",IF(AND(高値!U155&gt;高値!T155,高値!U155&gt;高値!S155,高値!U155&gt;高値!V155,高値!U155&gt;高値!W155),16,""))</f>
      </c>
      <c r="AR155" s="684">
        <f>IF(終値!A155="","",IF(AND(高値!V155&gt;高値!U155,高値!V155&gt;高値!T155,高値!V155&gt;高値!W155,高値!V155&gt;高値!X155),17,""))</f>
      </c>
      <c r="AS155" s="684">
        <f>IF(終値!A155="","",IF(AND(高値!W155&gt;高値!V155,高値!W155&gt;高値!U155,高値!W155&gt;高値!X155,高値!W155&gt;高値!Y155),18,""))</f>
      </c>
      <c r="AT155" s="684">
        <f>IF(終値!A155="","",IF(AND(高値!X155&gt;高値!W155,高値!X155&gt;高値!V155,高値!X155&gt;高値!Y155,高値!X155&gt;高値!Z155),19,""))</f>
      </c>
      <c r="AU155" s="684">
        <f>IF(終値!A155="","",IF(AND(高値!Y155&gt;高値!X155,高値!Y155&gt;高値!W155,高値!Y155&gt;高値!Z155,高値!Y155&gt;高値!AA155),20,""))</f>
      </c>
      <c r="AV155" s="684">
        <f>IF(終値!A155="","",IF(AND(高値!Z155&gt;高値!Y155,高値!Z155&gt;高値!X155,高値!Z155&gt;高値!AA155,高値!Z155&gt;高値!AB155),21,""))</f>
      </c>
      <c r="AW155" s="684">
        <f>IF(終値!A155="","",IF(AND(高値!AA155&gt;高値!Z155,高値!AA155&gt;高値!Y155,高値!AA155&gt;高値!AB155,高値!AA155&gt;高値!AC155),22,""))</f>
      </c>
      <c r="AX155" s="684">
        <f>IF(終値!A155="","",IF(AND(高値!AB155&gt;高値!AA155,高値!AB155&gt;高値!Z155,高値!AB155&gt;高値!AC155,高値!AB155&gt;高値!AD155),23,""))</f>
      </c>
      <c r="AY155" s="684">
        <f>IF(終値!A155="","",IF(AND(高値!AC155&gt;高値!AB155,高値!AC155&gt;高値!AA155,高値!AC155&gt;高値!AD155,高値!AC155&gt;高値!AE155),24,""))</f>
      </c>
      <c r="AZ155" s="684">
        <f>IF(終値!A155="","",IF(AND(高値!AD155&gt;高値!AC155,高値!AD155&gt;高値!AB155,高値!AD155&gt;高値!AE155,高値!AD155&gt;高値!AF155),25,""))</f>
      </c>
      <c r="BA155" s="684">
        <f>IF(終値!A155="","",IF(AND(高値!AE155&gt;高値!AD155,高値!AE155&gt;高値!AC155,高値!AE155&gt;高値!AF155,高値!AE155&gt;高値!AG155),26,""))</f>
      </c>
      <c r="BB155" s="684">
        <f>IF(終値!A155="","",IF(AND(高値!AF155&gt;高値!AE155,高値!AF155&gt;高値!AD155,高値!AF155&gt;高値!AG155,高値!AF155&gt;高値!AH155),27,""))</f>
      </c>
      <c r="BC155" s="684">
        <f>IF(終値!A155="","",IF(AND(高値!AG155&gt;高値!AF155,高値!AG155&gt;高値!AE155,高値!AG155&gt;高値!AH155,高値!AG155&gt;高値!AI155),28,""))</f>
      </c>
      <c r="BD155" s="684">
        <f>COUNT($B155:$AB155)</f>
      </c>
      <c r="BE155" s="684">
        <f>IF($BD155&gt;=2,MIN($B155:$AB155),"")</f>
      </c>
      <c r="BF155" s="684">
        <f>IF($BD155&gt;=2,SMALL($B155:$AB155,2),"")</f>
      </c>
      <c r="BG155" s="684">
        <f>IF($BE155="","",INDEX(安値!$E155:$CZ155,1,$BE155+1))</f>
      </c>
      <c r="BH155" s="684">
        <f>IF($BF155="","",INDEX(安値!$E155:$CZ155,1,$BF155+1))</f>
      </c>
      <c r="BI155" s="684">
        <f>IF($BF155="","",MAX(INDEX(高値!$E155:$CZ155,1,$BE155+1):INDEX(高値!$E155:$CZ155,1,$BF155+1)))</f>
      </c>
      <c r="BJ155" s="684">
        <f>IF($BF155="","",AVERAGE(INDEX(終値!$E155:$CZ155,1,$BF155+1):INDEX(終値!$E155:$CZ155,1,$BF155+20))-2*STDEVP(INDEX(終値!$E155:$CZ155,1,$BF155+1):INDEX(終値!$E155:$CZ155,1,$BF155+20)))</f>
      </c>
      <c r="BK155" s="684">
        <f>IF($BE155="","",AVERAGE(INDEX(終値!$E155:$CZ155,1,$BE155+1):INDEX(終値!$E155:$CZ155,1,$BE155+20))-2*STDEVP(INDEX(終値!$E155:$CZ155,1,$BE155+1):INDEX(終値!$E155:$CZ155,1,$BE155+20)))</f>
      </c>
      <c r="BL155" s="684">
        <f>COUNT($AC155:$BC155)</f>
      </c>
      <c r="BM155" s="684">
        <f>IF($BL155&gt;=2,MIN($AC155:$BC155),"")</f>
      </c>
      <c r="BN155" s="684">
        <f>IF($BL155&gt;=2,SMALL($AC155:$BC155,2),"")</f>
      </c>
      <c r="BO155" s="684">
        <f>IF($BM155="","",INDEX(高値!$E155:$CZ155,1,$BM155+1))</f>
      </c>
      <c r="BP155" s="684">
        <f>IF($BN155="","",INDEX(高値!$E155:$CZ155,1,$BN155+1))</f>
      </c>
      <c r="BQ155" s="684">
        <f>IF($BN155="","",MIN(INDEX(安値!$E155:$CZ155,1,$BM155+1):INDEX(安値!$E155:$CZ155,1,$BN155+1)))</f>
      </c>
      <c r="BR155" s="684">
        <f>IF($BN155="","",AVERAGE(INDEX(終値!$E155:$CZ155,1,$BN155+1):INDEX(終値!$E155:$CZ155,1,$BN155+20))+2*STDEVP(INDEX(終値!$E155:$CZ155,1,$BN155+1):INDEX(終値!$E155:$CZ155,1,$BN155+20)))</f>
      </c>
      <c r="BS155" s="684">
        <f>IF($BM155="","",AVERAGE(INDEX(終値!$E155:$CZ155,1,$BM155+1):INDEX(終値!$E155:$CZ155,1,$BM155+20))+2*STDEVP(INDEX(終値!$E155:$CZ155,1,$BM155+1):INDEX(終値!$E155:$CZ155,1,$BM155+20)))</f>
      </c>
      <c r="BT155" s="681">
        <f>IFERROR(IF(AND($BD155&gt;=2,ABS($BG155-$BH155)/$BH155&lt;=BB設定!$B$12,$BI155&gt;=MAX($BH155,$BG155)*(1+BB設定!$B$13),終値!E155&gt;$BG155),IF(OR(終値!E155&gt;=$BI155,AND($BH155&lt;$BJ155,$BG155&gt;=$BK155)),"二番底W▲","二番底W形成"),IF(AND($BL155&gt;=2,ABS($BO155-$BP155)/$BP155&lt;=BB設定!$B$12,$BQ155&lt;=MIN($BP155,$BO155)*(1-BB設定!$B$13),終値!E155&lt;$BO155),IF(OR(終値!E155&lt;=$BQ155,AND($BP155&gt;$BR155,$BO155&lt;=$BS155)),"二番天井M▼","二番天井M形成"),"－")),"－")</f>
      </c>
    </row>
    <row r="156">
      <c r="B156" s="684">
        <f>IF(終値!A156="","",IF(AND(安値!G156&lt;安値!F156,安値!G156&lt;安値!E156,安値!G156&lt;安値!H156,安値!G156&lt;安値!I156),2,""))</f>
      </c>
      <c r="C156" s="684">
        <f>IF(終値!A156="","",IF(AND(安値!H156&lt;安値!G156,安値!H156&lt;安値!F156,安値!H156&lt;安値!I156,安値!H156&lt;安値!J156),3,""))</f>
      </c>
      <c r="D156" s="684">
        <f>IF(終値!A156="","",IF(AND(安値!I156&lt;安値!H156,安値!I156&lt;安値!G156,安値!I156&lt;安値!J156,安値!I156&lt;安値!K156),4,""))</f>
      </c>
      <c r="E156" s="684">
        <f>IF(終値!A156="","",IF(AND(安値!J156&lt;安値!I156,安値!J156&lt;安値!H156,安値!J156&lt;安値!K156,安値!J156&lt;安値!L156),5,""))</f>
      </c>
      <c r="F156" s="684">
        <f>IF(終値!A156="","",IF(AND(安値!K156&lt;安値!J156,安値!K156&lt;安値!I156,安値!K156&lt;安値!L156,安値!K156&lt;安値!M156),6,""))</f>
      </c>
      <c r="G156" s="684">
        <f>IF(終値!A156="","",IF(AND(安値!L156&lt;安値!K156,安値!L156&lt;安値!J156,安値!L156&lt;安値!M156,安値!L156&lt;安値!N156),7,""))</f>
      </c>
      <c r="H156" s="684">
        <f>IF(終値!A156="","",IF(AND(安値!M156&lt;安値!L156,安値!M156&lt;安値!K156,安値!M156&lt;安値!N156,安値!M156&lt;安値!O156),8,""))</f>
      </c>
      <c r="I156" s="684">
        <f>IF(終値!A156="","",IF(AND(安値!N156&lt;安値!M156,安値!N156&lt;安値!L156,安値!N156&lt;安値!O156,安値!N156&lt;安値!P156),9,""))</f>
      </c>
      <c r="J156" s="684">
        <f>IF(終値!A156="","",IF(AND(安値!O156&lt;安値!N156,安値!O156&lt;安値!M156,安値!O156&lt;安値!P156,安値!O156&lt;安値!Q156),10,""))</f>
      </c>
      <c r="K156" s="684">
        <f>IF(終値!A156="","",IF(AND(安値!P156&lt;安値!O156,安値!P156&lt;安値!N156,安値!P156&lt;安値!Q156,安値!P156&lt;安値!R156),11,""))</f>
      </c>
      <c r="L156" s="684">
        <f>IF(終値!A156="","",IF(AND(安値!Q156&lt;安値!P156,安値!Q156&lt;安値!O156,安値!Q156&lt;安値!R156,安値!Q156&lt;安値!S156),12,""))</f>
      </c>
      <c r="M156" s="684">
        <f>IF(終値!A156="","",IF(AND(安値!R156&lt;安値!Q156,安値!R156&lt;安値!P156,安値!R156&lt;安値!S156,安値!R156&lt;安値!T156),13,""))</f>
      </c>
      <c r="N156" s="684">
        <f>IF(終値!A156="","",IF(AND(安値!S156&lt;安値!R156,安値!S156&lt;安値!Q156,安値!S156&lt;安値!T156,安値!S156&lt;安値!U156),14,""))</f>
      </c>
      <c r="O156" s="684">
        <f>IF(終値!A156="","",IF(AND(安値!T156&lt;安値!S156,安値!T156&lt;安値!R156,安値!T156&lt;安値!U156,安値!T156&lt;安値!V156),15,""))</f>
      </c>
      <c r="P156" s="684">
        <f>IF(終値!A156="","",IF(AND(安値!U156&lt;安値!T156,安値!U156&lt;安値!S156,安値!U156&lt;安値!V156,安値!U156&lt;安値!W156),16,""))</f>
      </c>
      <c r="Q156" s="684">
        <f>IF(終値!A156="","",IF(AND(安値!V156&lt;安値!U156,安値!V156&lt;安値!T156,安値!V156&lt;安値!W156,安値!V156&lt;安値!X156),17,""))</f>
      </c>
      <c r="R156" s="684">
        <f>IF(終値!A156="","",IF(AND(安値!W156&lt;安値!V156,安値!W156&lt;安値!U156,安値!W156&lt;安値!X156,安値!W156&lt;安値!Y156),18,""))</f>
      </c>
      <c r="S156" s="684">
        <f>IF(終値!A156="","",IF(AND(安値!X156&lt;安値!W156,安値!X156&lt;安値!V156,安値!X156&lt;安値!Y156,安値!X156&lt;安値!Z156),19,""))</f>
      </c>
      <c r="T156" s="684">
        <f>IF(終値!A156="","",IF(AND(安値!Y156&lt;安値!X156,安値!Y156&lt;安値!W156,安値!Y156&lt;安値!Z156,安値!Y156&lt;安値!AA156),20,""))</f>
      </c>
      <c r="U156" s="684">
        <f>IF(終値!A156="","",IF(AND(安値!Z156&lt;安値!Y156,安値!Z156&lt;安値!X156,安値!Z156&lt;安値!AA156,安値!Z156&lt;安値!AB156),21,""))</f>
      </c>
      <c r="V156" s="684">
        <f>IF(終値!A156="","",IF(AND(安値!AA156&lt;安値!Z156,安値!AA156&lt;安値!Y156,安値!AA156&lt;安値!AB156,安値!AA156&lt;安値!AC156),22,""))</f>
      </c>
      <c r="W156" s="684">
        <f>IF(終値!A156="","",IF(AND(安値!AB156&lt;安値!AA156,安値!AB156&lt;安値!Z156,安値!AB156&lt;安値!AC156,安値!AB156&lt;安値!AD156),23,""))</f>
      </c>
      <c r="X156" s="684">
        <f>IF(終値!A156="","",IF(AND(安値!AC156&lt;安値!AB156,安値!AC156&lt;安値!AA156,安値!AC156&lt;安値!AD156,安値!AC156&lt;安値!AE156),24,""))</f>
      </c>
      <c r="Y156" s="684">
        <f>IF(終値!A156="","",IF(AND(安値!AD156&lt;安値!AC156,安値!AD156&lt;安値!AB156,安値!AD156&lt;安値!AE156,安値!AD156&lt;安値!AF156),25,""))</f>
      </c>
      <c r="Z156" s="684">
        <f>IF(終値!A156="","",IF(AND(安値!AE156&lt;安値!AD156,安値!AE156&lt;安値!AC156,安値!AE156&lt;安値!AF156,安値!AE156&lt;安値!AG156),26,""))</f>
      </c>
      <c r="AA156" s="684">
        <f>IF(終値!A156="","",IF(AND(安値!AF156&lt;安値!AE156,安値!AF156&lt;安値!AD156,安値!AF156&lt;安値!AG156,安値!AF156&lt;安値!AH156),27,""))</f>
      </c>
      <c r="AB156" s="684">
        <f>IF(終値!A156="","",IF(AND(安値!AG156&lt;安値!AF156,安値!AG156&lt;安値!AE156,安値!AG156&lt;安値!AH156,安値!AG156&lt;安値!AI156),28,""))</f>
      </c>
      <c r="AC156" s="684">
        <f>IF(終値!A156="","",IF(AND(高値!G156&gt;高値!F156,高値!G156&gt;高値!E156,高値!G156&gt;高値!H156,高値!G156&gt;高値!I156),2,""))</f>
      </c>
      <c r="AD156" s="684">
        <f>IF(終値!A156="","",IF(AND(高値!H156&gt;高値!G156,高値!H156&gt;高値!F156,高値!H156&gt;高値!I156,高値!H156&gt;高値!J156),3,""))</f>
      </c>
      <c r="AE156" s="684">
        <f>IF(終値!A156="","",IF(AND(高値!I156&gt;高値!H156,高値!I156&gt;高値!G156,高値!I156&gt;高値!J156,高値!I156&gt;高値!K156),4,""))</f>
      </c>
      <c r="AF156" s="684">
        <f>IF(終値!A156="","",IF(AND(高値!J156&gt;高値!I156,高値!J156&gt;高値!H156,高値!J156&gt;高値!K156,高値!J156&gt;高値!L156),5,""))</f>
      </c>
      <c r="AG156" s="684">
        <f>IF(終値!A156="","",IF(AND(高値!K156&gt;高値!J156,高値!K156&gt;高値!I156,高値!K156&gt;高値!L156,高値!K156&gt;高値!M156),6,""))</f>
      </c>
      <c r="AH156" s="684">
        <f>IF(終値!A156="","",IF(AND(高値!L156&gt;高値!K156,高値!L156&gt;高値!J156,高値!L156&gt;高値!M156,高値!L156&gt;高値!N156),7,""))</f>
      </c>
      <c r="AI156" s="684">
        <f>IF(終値!A156="","",IF(AND(高値!M156&gt;高値!L156,高値!M156&gt;高値!K156,高値!M156&gt;高値!N156,高値!M156&gt;高値!O156),8,""))</f>
      </c>
      <c r="AJ156" s="684">
        <f>IF(終値!A156="","",IF(AND(高値!N156&gt;高値!M156,高値!N156&gt;高値!L156,高値!N156&gt;高値!O156,高値!N156&gt;高値!P156),9,""))</f>
      </c>
      <c r="AK156" s="684">
        <f>IF(終値!A156="","",IF(AND(高値!O156&gt;高値!N156,高値!O156&gt;高値!M156,高値!O156&gt;高値!P156,高値!O156&gt;高値!Q156),10,""))</f>
      </c>
      <c r="AL156" s="684">
        <f>IF(終値!A156="","",IF(AND(高値!P156&gt;高値!O156,高値!P156&gt;高値!N156,高値!P156&gt;高値!Q156,高値!P156&gt;高値!R156),11,""))</f>
      </c>
      <c r="AM156" s="684">
        <f>IF(終値!A156="","",IF(AND(高値!Q156&gt;高値!P156,高値!Q156&gt;高値!O156,高値!Q156&gt;高値!R156,高値!Q156&gt;高値!S156),12,""))</f>
      </c>
      <c r="AN156" s="684">
        <f>IF(終値!A156="","",IF(AND(高値!R156&gt;高値!Q156,高値!R156&gt;高値!P156,高値!R156&gt;高値!S156,高値!R156&gt;高値!T156),13,""))</f>
      </c>
      <c r="AO156" s="684">
        <f>IF(終値!A156="","",IF(AND(高値!S156&gt;高値!R156,高値!S156&gt;高値!Q156,高値!S156&gt;高値!T156,高値!S156&gt;高値!U156),14,""))</f>
      </c>
      <c r="AP156" s="684">
        <f>IF(終値!A156="","",IF(AND(高値!T156&gt;高値!S156,高値!T156&gt;高値!R156,高値!T156&gt;高値!U156,高値!T156&gt;高値!V156),15,""))</f>
      </c>
      <c r="AQ156" s="684">
        <f>IF(終値!A156="","",IF(AND(高値!U156&gt;高値!T156,高値!U156&gt;高値!S156,高値!U156&gt;高値!V156,高値!U156&gt;高値!W156),16,""))</f>
      </c>
      <c r="AR156" s="684">
        <f>IF(終値!A156="","",IF(AND(高値!V156&gt;高値!U156,高値!V156&gt;高値!T156,高値!V156&gt;高値!W156,高値!V156&gt;高値!X156),17,""))</f>
      </c>
      <c r="AS156" s="684">
        <f>IF(終値!A156="","",IF(AND(高値!W156&gt;高値!V156,高値!W156&gt;高値!U156,高値!W156&gt;高値!X156,高値!W156&gt;高値!Y156),18,""))</f>
      </c>
      <c r="AT156" s="684">
        <f>IF(終値!A156="","",IF(AND(高値!X156&gt;高値!W156,高値!X156&gt;高値!V156,高値!X156&gt;高値!Y156,高値!X156&gt;高値!Z156),19,""))</f>
      </c>
      <c r="AU156" s="684">
        <f>IF(終値!A156="","",IF(AND(高値!Y156&gt;高値!X156,高値!Y156&gt;高値!W156,高値!Y156&gt;高値!Z156,高値!Y156&gt;高値!AA156),20,""))</f>
      </c>
      <c r="AV156" s="684">
        <f>IF(終値!A156="","",IF(AND(高値!Z156&gt;高値!Y156,高値!Z156&gt;高値!X156,高値!Z156&gt;高値!AA156,高値!Z156&gt;高値!AB156),21,""))</f>
      </c>
      <c r="AW156" s="684">
        <f>IF(終値!A156="","",IF(AND(高値!AA156&gt;高値!Z156,高値!AA156&gt;高値!Y156,高値!AA156&gt;高値!AB156,高値!AA156&gt;高値!AC156),22,""))</f>
      </c>
      <c r="AX156" s="684">
        <f>IF(終値!A156="","",IF(AND(高値!AB156&gt;高値!AA156,高値!AB156&gt;高値!Z156,高値!AB156&gt;高値!AC156,高値!AB156&gt;高値!AD156),23,""))</f>
      </c>
      <c r="AY156" s="684">
        <f>IF(終値!A156="","",IF(AND(高値!AC156&gt;高値!AB156,高値!AC156&gt;高値!AA156,高値!AC156&gt;高値!AD156,高値!AC156&gt;高値!AE156),24,""))</f>
      </c>
      <c r="AZ156" s="684">
        <f>IF(終値!A156="","",IF(AND(高値!AD156&gt;高値!AC156,高値!AD156&gt;高値!AB156,高値!AD156&gt;高値!AE156,高値!AD156&gt;高値!AF156),25,""))</f>
      </c>
      <c r="BA156" s="684">
        <f>IF(終値!A156="","",IF(AND(高値!AE156&gt;高値!AD156,高値!AE156&gt;高値!AC156,高値!AE156&gt;高値!AF156,高値!AE156&gt;高値!AG156),26,""))</f>
      </c>
      <c r="BB156" s="684">
        <f>IF(終値!A156="","",IF(AND(高値!AF156&gt;高値!AE156,高値!AF156&gt;高値!AD156,高値!AF156&gt;高値!AG156,高値!AF156&gt;高値!AH156),27,""))</f>
      </c>
      <c r="BC156" s="684">
        <f>IF(終値!A156="","",IF(AND(高値!AG156&gt;高値!AF156,高値!AG156&gt;高値!AE156,高値!AG156&gt;高値!AH156,高値!AG156&gt;高値!AI156),28,""))</f>
      </c>
      <c r="BD156" s="684">
        <f>COUNT($B156:$AB156)</f>
      </c>
      <c r="BE156" s="684">
        <f>IF($BD156&gt;=2,MIN($B156:$AB156),"")</f>
      </c>
      <c r="BF156" s="684">
        <f>IF($BD156&gt;=2,SMALL($B156:$AB156,2),"")</f>
      </c>
      <c r="BG156" s="684">
        <f>IF($BE156="","",INDEX(安値!$E156:$CZ156,1,$BE156+1))</f>
      </c>
      <c r="BH156" s="684">
        <f>IF($BF156="","",INDEX(安値!$E156:$CZ156,1,$BF156+1))</f>
      </c>
      <c r="BI156" s="684">
        <f>IF($BF156="","",MAX(INDEX(高値!$E156:$CZ156,1,$BE156+1):INDEX(高値!$E156:$CZ156,1,$BF156+1)))</f>
      </c>
      <c r="BJ156" s="684">
        <f>IF($BF156="","",AVERAGE(INDEX(終値!$E156:$CZ156,1,$BF156+1):INDEX(終値!$E156:$CZ156,1,$BF156+20))-2*STDEVP(INDEX(終値!$E156:$CZ156,1,$BF156+1):INDEX(終値!$E156:$CZ156,1,$BF156+20)))</f>
      </c>
      <c r="BK156" s="684">
        <f>IF($BE156="","",AVERAGE(INDEX(終値!$E156:$CZ156,1,$BE156+1):INDEX(終値!$E156:$CZ156,1,$BE156+20))-2*STDEVP(INDEX(終値!$E156:$CZ156,1,$BE156+1):INDEX(終値!$E156:$CZ156,1,$BE156+20)))</f>
      </c>
      <c r="BL156" s="684">
        <f>COUNT($AC156:$BC156)</f>
      </c>
      <c r="BM156" s="684">
        <f>IF($BL156&gt;=2,MIN($AC156:$BC156),"")</f>
      </c>
      <c r="BN156" s="684">
        <f>IF($BL156&gt;=2,SMALL($AC156:$BC156,2),"")</f>
      </c>
      <c r="BO156" s="684">
        <f>IF($BM156="","",INDEX(高値!$E156:$CZ156,1,$BM156+1))</f>
      </c>
      <c r="BP156" s="684">
        <f>IF($BN156="","",INDEX(高値!$E156:$CZ156,1,$BN156+1))</f>
      </c>
      <c r="BQ156" s="684">
        <f>IF($BN156="","",MIN(INDEX(安値!$E156:$CZ156,1,$BM156+1):INDEX(安値!$E156:$CZ156,1,$BN156+1)))</f>
      </c>
      <c r="BR156" s="684">
        <f>IF($BN156="","",AVERAGE(INDEX(終値!$E156:$CZ156,1,$BN156+1):INDEX(終値!$E156:$CZ156,1,$BN156+20))+2*STDEVP(INDEX(終値!$E156:$CZ156,1,$BN156+1):INDEX(終値!$E156:$CZ156,1,$BN156+20)))</f>
      </c>
      <c r="BS156" s="684">
        <f>IF($BM156="","",AVERAGE(INDEX(終値!$E156:$CZ156,1,$BM156+1):INDEX(終値!$E156:$CZ156,1,$BM156+20))+2*STDEVP(INDEX(終値!$E156:$CZ156,1,$BM156+1):INDEX(終値!$E156:$CZ156,1,$BM156+20)))</f>
      </c>
      <c r="BT156" s="681">
        <f>IFERROR(IF(AND($BD156&gt;=2,ABS($BG156-$BH156)/$BH156&lt;=BB設定!$B$12,$BI156&gt;=MAX($BH156,$BG156)*(1+BB設定!$B$13),終値!E156&gt;$BG156),IF(OR(終値!E156&gt;=$BI156,AND($BH156&lt;$BJ156,$BG156&gt;=$BK156)),"二番底W▲","二番底W形成"),IF(AND($BL156&gt;=2,ABS($BO156-$BP156)/$BP156&lt;=BB設定!$B$12,$BQ156&lt;=MIN($BP156,$BO156)*(1-BB設定!$B$13),終値!E156&lt;$BO156),IF(OR(終値!E156&lt;=$BQ156,AND($BP156&gt;$BR156,$BO156&lt;=$BS156)),"二番天井M▼","二番天井M形成"),"－")),"－")</f>
      </c>
    </row>
    <row r="157">
      <c r="B157" s="684">
        <f>IF(終値!A157="","",IF(AND(安値!G157&lt;安値!F157,安値!G157&lt;安値!E157,安値!G157&lt;安値!H157,安値!G157&lt;安値!I157),2,""))</f>
      </c>
      <c r="C157" s="684">
        <f>IF(終値!A157="","",IF(AND(安値!H157&lt;安値!G157,安値!H157&lt;安値!F157,安値!H157&lt;安値!I157,安値!H157&lt;安値!J157),3,""))</f>
      </c>
      <c r="D157" s="684">
        <f>IF(終値!A157="","",IF(AND(安値!I157&lt;安値!H157,安値!I157&lt;安値!G157,安値!I157&lt;安値!J157,安値!I157&lt;安値!K157),4,""))</f>
      </c>
      <c r="E157" s="684">
        <f>IF(終値!A157="","",IF(AND(安値!J157&lt;安値!I157,安値!J157&lt;安値!H157,安値!J157&lt;安値!K157,安値!J157&lt;安値!L157),5,""))</f>
      </c>
      <c r="F157" s="684">
        <f>IF(終値!A157="","",IF(AND(安値!K157&lt;安値!J157,安値!K157&lt;安値!I157,安値!K157&lt;安値!L157,安値!K157&lt;安値!M157),6,""))</f>
      </c>
      <c r="G157" s="684">
        <f>IF(終値!A157="","",IF(AND(安値!L157&lt;安値!K157,安値!L157&lt;安値!J157,安値!L157&lt;安値!M157,安値!L157&lt;安値!N157),7,""))</f>
      </c>
      <c r="H157" s="684">
        <f>IF(終値!A157="","",IF(AND(安値!M157&lt;安値!L157,安値!M157&lt;安値!K157,安値!M157&lt;安値!N157,安値!M157&lt;安値!O157),8,""))</f>
      </c>
      <c r="I157" s="684">
        <f>IF(終値!A157="","",IF(AND(安値!N157&lt;安値!M157,安値!N157&lt;安値!L157,安値!N157&lt;安値!O157,安値!N157&lt;安値!P157),9,""))</f>
      </c>
      <c r="J157" s="684">
        <f>IF(終値!A157="","",IF(AND(安値!O157&lt;安値!N157,安値!O157&lt;安値!M157,安値!O157&lt;安値!P157,安値!O157&lt;安値!Q157),10,""))</f>
      </c>
      <c r="K157" s="684">
        <f>IF(終値!A157="","",IF(AND(安値!P157&lt;安値!O157,安値!P157&lt;安値!N157,安値!P157&lt;安値!Q157,安値!P157&lt;安値!R157),11,""))</f>
      </c>
      <c r="L157" s="684">
        <f>IF(終値!A157="","",IF(AND(安値!Q157&lt;安値!P157,安値!Q157&lt;安値!O157,安値!Q157&lt;安値!R157,安値!Q157&lt;安値!S157),12,""))</f>
      </c>
      <c r="M157" s="684">
        <f>IF(終値!A157="","",IF(AND(安値!R157&lt;安値!Q157,安値!R157&lt;安値!P157,安値!R157&lt;安値!S157,安値!R157&lt;安値!T157),13,""))</f>
      </c>
      <c r="N157" s="684">
        <f>IF(終値!A157="","",IF(AND(安値!S157&lt;安値!R157,安値!S157&lt;安値!Q157,安値!S157&lt;安値!T157,安値!S157&lt;安値!U157),14,""))</f>
      </c>
      <c r="O157" s="684">
        <f>IF(終値!A157="","",IF(AND(安値!T157&lt;安値!S157,安値!T157&lt;安値!R157,安値!T157&lt;安値!U157,安値!T157&lt;安値!V157),15,""))</f>
      </c>
      <c r="P157" s="684">
        <f>IF(終値!A157="","",IF(AND(安値!U157&lt;安値!T157,安値!U157&lt;安値!S157,安値!U157&lt;安値!V157,安値!U157&lt;安値!W157),16,""))</f>
      </c>
      <c r="Q157" s="684">
        <f>IF(終値!A157="","",IF(AND(安値!V157&lt;安値!U157,安値!V157&lt;安値!T157,安値!V157&lt;安値!W157,安値!V157&lt;安値!X157),17,""))</f>
      </c>
      <c r="R157" s="684">
        <f>IF(終値!A157="","",IF(AND(安値!W157&lt;安値!V157,安値!W157&lt;安値!U157,安値!W157&lt;安値!X157,安値!W157&lt;安値!Y157),18,""))</f>
      </c>
      <c r="S157" s="684">
        <f>IF(終値!A157="","",IF(AND(安値!X157&lt;安値!W157,安値!X157&lt;安値!V157,安値!X157&lt;安値!Y157,安値!X157&lt;安値!Z157),19,""))</f>
      </c>
      <c r="T157" s="684">
        <f>IF(終値!A157="","",IF(AND(安値!Y157&lt;安値!X157,安値!Y157&lt;安値!W157,安値!Y157&lt;安値!Z157,安値!Y157&lt;安値!AA157),20,""))</f>
      </c>
      <c r="U157" s="684">
        <f>IF(終値!A157="","",IF(AND(安値!Z157&lt;安値!Y157,安値!Z157&lt;安値!X157,安値!Z157&lt;安値!AA157,安値!Z157&lt;安値!AB157),21,""))</f>
      </c>
      <c r="V157" s="684">
        <f>IF(終値!A157="","",IF(AND(安値!AA157&lt;安値!Z157,安値!AA157&lt;安値!Y157,安値!AA157&lt;安値!AB157,安値!AA157&lt;安値!AC157),22,""))</f>
      </c>
      <c r="W157" s="684">
        <f>IF(終値!A157="","",IF(AND(安値!AB157&lt;安値!AA157,安値!AB157&lt;安値!Z157,安値!AB157&lt;安値!AC157,安値!AB157&lt;安値!AD157),23,""))</f>
      </c>
      <c r="X157" s="684">
        <f>IF(終値!A157="","",IF(AND(安値!AC157&lt;安値!AB157,安値!AC157&lt;安値!AA157,安値!AC157&lt;安値!AD157,安値!AC157&lt;安値!AE157),24,""))</f>
      </c>
      <c r="Y157" s="684">
        <f>IF(終値!A157="","",IF(AND(安値!AD157&lt;安値!AC157,安値!AD157&lt;安値!AB157,安値!AD157&lt;安値!AE157,安値!AD157&lt;安値!AF157),25,""))</f>
      </c>
      <c r="Z157" s="684">
        <f>IF(終値!A157="","",IF(AND(安値!AE157&lt;安値!AD157,安値!AE157&lt;安値!AC157,安値!AE157&lt;安値!AF157,安値!AE157&lt;安値!AG157),26,""))</f>
      </c>
      <c r="AA157" s="684">
        <f>IF(終値!A157="","",IF(AND(安値!AF157&lt;安値!AE157,安値!AF157&lt;安値!AD157,安値!AF157&lt;安値!AG157,安値!AF157&lt;安値!AH157),27,""))</f>
      </c>
      <c r="AB157" s="684">
        <f>IF(終値!A157="","",IF(AND(安値!AG157&lt;安値!AF157,安値!AG157&lt;安値!AE157,安値!AG157&lt;安値!AH157,安値!AG157&lt;安値!AI157),28,""))</f>
      </c>
      <c r="AC157" s="684">
        <f>IF(終値!A157="","",IF(AND(高値!G157&gt;高値!F157,高値!G157&gt;高値!E157,高値!G157&gt;高値!H157,高値!G157&gt;高値!I157),2,""))</f>
      </c>
      <c r="AD157" s="684">
        <f>IF(終値!A157="","",IF(AND(高値!H157&gt;高値!G157,高値!H157&gt;高値!F157,高値!H157&gt;高値!I157,高値!H157&gt;高値!J157),3,""))</f>
      </c>
      <c r="AE157" s="684">
        <f>IF(終値!A157="","",IF(AND(高値!I157&gt;高値!H157,高値!I157&gt;高値!G157,高値!I157&gt;高値!J157,高値!I157&gt;高値!K157),4,""))</f>
      </c>
      <c r="AF157" s="684">
        <f>IF(終値!A157="","",IF(AND(高値!J157&gt;高値!I157,高値!J157&gt;高値!H157,高値!J157&gt;高値!K157,高値!J157&gt;高値!L157),5,""))</f>
      </c>
      <c r="AG157" s="684">
        <f>IF(終値!A157="","",IF(AND(高値!K157&gt;高値!J157,高値!K157&gt;高値!I157,高値!K157&gt;高値!L157,高値!K157&gt;高値!M157),6,""))</f>
      </c>
      <c r="AH157" s="684">
        <f>IF(終値!A157="","",IF(AND(高値!L157&gt;高値!K157,高値!L157&gt;高値!J157,高値!L157&gt;高値!M157,高値!L157&gt;高値!N157),7,""))</f>
      </c>
      <c r="AI157" s="684">
        <f>IF(終値!A157="","",IF(AND(高値!M157&gt;高値!L157,高値!M157&gt;高値!K157,高値!M157&gt;高値!N157,高値!M157&gt;高値!O157),8,""))</f>
      </c>
      <c r="AJ157" s="684">
        <f>IF(終値!A157="","",IF(AND(高値!N157&gt;高値!M157,高値!N157&gt;高値!L157,高値!N157&gt;高値!O157,高値!N157&gt;高値!P157),9,""))</f>
      </c>
      <c r="AK157" s="684">
        <f>IF(終値!A157="","",IF(AND(高値!O157&gt;高値!N157,高値!O157&gt;高値!M157,高値!O157&gt;高値!P157,高値!O157&gt;高値!Q157),10,""))</f>
      </c>
      <c r="AL157" s="684">
        <f>IF(終値!A157="","",IF(AND(高値!P157&gt;高値!O157,高値!P157&gt;高値!N157,高値!P157&gt;高値!Q157,高値!P157&gt;高値!R157),11,""))</f>
      </c>
      <c r="AM157" s="684">
        <f>IF(終値!A157="","",IF(AND(高値!Q157&gt;高値!P157,高値!Q157&gt;高値!O157,高値!Q157&gt;高値!R157,高値!Q157&gt;高値!S157),12,""))</f>
      </c>
      <c r="AN157" s="684">
        <f>IF(終値!A157="","",IF(AND(高値!R157&gt;高値!Q157,高値!R157&gt;高値!P157,高値!R157&gt;高値!S157,高値!R157&gt;高値!T157),13,""))</f>
      </c>
      <c r="AO157" s="684">
        <f>IF(終値!A157="","",IF(AND(高値!S157&gt;高値!R157,高値!S157&gt;高値!Q157,高値!S157&gt;高値!T157,高値!S157&gt;高値!U157),14,""))</f>
      </c>
      <c r="AP157" s="684">
        <f>IF(終値!A157="","",IF(AND(高値!T157&gt;高値!S157,高値!T157&gt;高値!R157,高値!T157&gt;高値!U157,高値!T157&gt;高値!V157),15,""))</f>
      </c>
      <c r="AQ157" s="684">
        <f>IF(終値!A157="","",IF(AND(高値!U157&gt;高値!T157,高値!U157&gt;高値!S157,高値!U157&gt;高値!V157,高値!U157&gt;高値!W157),16,""))</f>
      </c>
      <c r="AR157" s="684">
        <f>IF(終値!A157="","",IF(AND(高値!V157&gt;高値!U157,高値!V157&gt;高値!T157,高値!V157&gt;高値!W157,高値!V157&gt;高値!X157),17,""))</f>
      </c>
      <c r="AS157" s="684">
        <f>IF(終値!A157="","",IF(AND(高値!W157&gt;高値!V157,高値!W157&gt;高値!U157,高値!W157&gt;高値!X157,高値!W157&gt;高値!Y157),18,""))</f>
      </c>
      <c r="AT157" s="684">
        <f>IF(終値!A157="","",IF(AND(高値!X157&gt;高値!W157,高値!X157&gt;高値!V157,高値!X157&gt;高値!Y157,高値!X157&gt;高値!Z157),19,""))</f>
      </c>
      <c r="AU157" s="684">
        <f>IF(終値!A157="","",IF(AND(高値!Y157&gt;高値!X157,高値!Y157&gt;高値!W157,高値!Y157&gt;高値!Z157,高値!Y157&gt;高値!AA157),20,""))</f>
      </c>
      <c r="AV157" s="684">
        <f>IF(終値!A157="","",IF(AND(高値!Z157&gt;高値!Y157,高値!Z157&gt;高値!X157,高値!Z157&gt;高値!AA157,高値!Z157&gt;高値!AB157),21,""))</f>
      </c>
      <c r="AW157" s="684">
        <f>IF(終値!A157="","",IF(AND(高値!AA157&gt;高値!Z157,高値!AA157&gt;高値!Y157,高値!AA157&gt;高値!AB157,高値!AA157&gt;高値!AC157),22,""))</f>
      </c>
      <c r="AX157" s="684">
        <f>IF(終値!A157="","",IF(AND(高値!AB157&gt;高値!AA157,高値!AB157&gt;高値!Z157,高値!AB157&gt;高値!AC157,高値!AB157&gt;高値!AD157),23,""))</f>
      </c>
      <c r="AY157" s="684">
        <f>IF(終値!A157="","",IF(AND(高値!AC157&gt;高値!AB157,高値!AC157&gt;高値!AA157,高値!AC157&gt;高値!AD157,高値!AC157&gt;高値!AE157),24,""))</f>
      </c>
      <c r="AZ157" s="684">
        <f>IF(終値!A157="","",IF(AND(高値!AD157&gt;高値!AC157,高値!AD157&gt;高値!AB157,高値!AD157&gt;高値!AE157,高値!AD157&gt;高値!AF157),25,""))</f>
      </c>
      <c r="BA157" s="684">
        <f>IF(終値!A157="","",IF(AND(高値!AE157&gt;高値!AD157,高値!AE157&gt;高値!AC157,高値!AE157&gt;高値!AF157,高値!AE157&gt;高値!AG157),26,""))</f>
      </c>
      <c r="BB157" s="684">
        <f>IF(終値!A157="","",IF(AND(高値!AF157&gt;高値!AE157,高値!AF157&gt;高値!AD157,高値!AF157&gt;高値!AG157,高値!AF157&gt;高値!AH157),27,""))</f>
      </c>
      <c r="BC157" s="684">
        <f>IF(終値!A157="","",IF(AND(高値!AG157&gt;高値!AF157,高値!AG157&gt;高値!AE157,高値!AG157&gt;高値!AH157,高値!AG157&gt;高値!AI157),28,""))</f>
      </c>
      <c r="BD157" s="684">
        <f>COUNT($B157:$AB157)</f>
      </c>
      <c r="BE157" s="684">
        <f>IF($BD157&gt;=2,MIN($B157:$AB157),"")</f>
      </c>
      <c r="BF157" s="684">
        <f>IF($BD157&gt;=2,SMALL($B157:$AB157,2),"")</f>
      </c>
      <c r="BG157" s="684">
        <f>IF($BE157="","",INDEX(安値!$E157:$CZ157,1,$BE157+1))</f>
      </c>
      <c r="BH157" s="684">
        <f>IF($BF157="","",INDEX(安値!$E157:$CZ157,1,$BF157+1))</f>
      </c>
      <c r="BI157" s="684">
        <f>IF($BF157="","",MAX(INDEX(高値!$E157:$CZ157,1,$BE157+1):INDEX(高値!$E157:$CZ157,1,$BF157+1)))</f>
      </c>
      <c r="BJ157" s="684">
        <f>IF($BF157="","",AVERAGE(INDEX(終値!$E157:$CZ157,1,$BF157+1):INDEX(終値!$E157:$CZ157,1,$BF157+20))-2*STDEVP(INDEX(終値!$E157:$CZ157,1,$BF157+1):INDEX(終値!$E157:$CZ157,1,$BF157+20)))</f>
      </c>
      <c r="BK157" s="684">
        <f>IF($BE157="","",AVERAGE(INDEX(終値!$E157:$CZ157,1,$BE157+1):INDEX(終値!$E157:$CZ157,1,$BE157+20))-2*STDEVP(INDEX(終値!$E157:$CZ157,1,$BE157+1):INDEX(終値!$E157:$CZ157,1,$BE157+20)))</f>
      </c>
      <c r="BL157" s="684">
        <f>COUNT($AC157:$BC157)</f>
      </c>
      <c r="BM157" s="684">
        <f>IF($BL157&gt;=2,MIN($AC157:$BC157),"")</f>
      </c>
      <c r="BN157" s="684">
        <f>IF($BL157&gt;=2,SMALL($AC157:$BC157,2),"")</f>
      </c>
      <c r="BO157" s="684">
        <f>IF($BM157="","",INDEX(高値!$E157:$CZ157,1,$BM157+1))</f>
      </c>
      <c r="BP157" s="684">
        <f>IF($BN157="","",INDEX(高値!$E157:$CZ157,1,$BN157+1))</f>
      </c>
      <c r="BQ157" s="684">
        <f>IF($BN157="","",MIN(INDEX(安値!$E157:$CZ157,1,$BM157+1):INDEX(安値!$E157:$CZ157,1,$BN157+1)))</f>
      </c>
      <c r="BR157" s="684">
        <f>IF($BN157="","",AVERAGE(INDEX(終値!$E157:$CZ157,1,$BN157+1):INDEX(終値!$E157:$CZ157,1,$BN157+20))+2*STDEVP(INDEX(終値!$E157:$CZ157,1,$BN157+1):INDEX(終値!$E157:$CZ157,1,$BN157+20)))</f>
      </c>
      <c r="BS157" s="684">
        <f>IF($BM157="","",AVERAGE(INDEX(終値!$E157:$CZ157,1,$BM157+1):INDEX(終値!$E157:$CZ157,1,$BM157+20))+2*STDEVP(INDEX(終値!$E157:$CZ157,1,$BM157+1):INDEX(終値!$E157:$CZ157,1,$BM157+20)))</f>
      </c>
      <c r="BT157" s="681">
        <f>IFERROR(IF(AND($BD157&gt;=2,ABS($BG157-$BH157)/$BH157&lt;=BB設定!$B$12,$BI157&gt;=MAX($BH157,$BG157)*(1+BB設定!$B$13),終値!E157&gt;$BG157),IF(OR(終値!E157&gt;=$BI157,AND($BH157&lt;$BJ157,$BG157&gt;=$BK157)),"二番底W▲","二番底W形成"),IF(AND($BL157&gt;=2,ABS($BO157-$BP157)/$BP157&lt;=BB設定!$B$12,$BQ157&lt;=MIN($BP157,$BO157)*(1-BB設定!$B$13),終値!E157&lt;$BO157),IF(OR(終値!E157&lt;=$BQ157,AND($BP157&gt;$BR157,$BO157&lt;=$BS157)),"二番天井M▼","二番天井M形成"),"－")),"－")</f>
      </c>
    </row>
    <row r="158">
      <c r="B158" s="684">
        <f>IF(終値!A158="","",IF(AND(安値!G158&lt;安値!F158,安値!G158&lt;安値!E158,安値!G158&lt;安値!H158,安値!G158&lt;安値!I158),2,""))</f>
      </c>
      <c r="C158" s="684">
        <f>IF(終値!A158="","",IF(AND(安値!H158&lt;安値!G158,安値!H158&lt;安値!F158,安値!H158&lt;安値!I158,安値!H158&lt;安値!J158),3,""))</f>
      </c>
      <c r="D158" s="684">
        <f>IF(終値!A158="","",IF(AND(安値!I158&lt;安値!H158,安値!I158&lt;安値!G158,安値!I158&lt;安値!J158,安値!I158&lt;安値!K158),4,""))</f>
      </c>
      <c r="E158" s="684">
        <f>IF(終値!A158="","",IF(AND(安値!J158&lt;安値!I158,安値!J158&lt;安値!H158,安値!J158&lt;安値!K158,安値!J158&lt;安値!L158),5,""))</f>
      </c>
      <c r="F158" s="684">
        <f>IF(終値!A158="","",IF(AND(安値!K158&lt;安値!J158,安値!K158&lt;安値!I158,安値!K158&lt;安値!L158,安値!K158&lt;安値!M158),6,""))</f>
      </c>
      <c r="G158" s="684">
        <f>IF(終値!A158="","",IF(AND(安値!L158&lt;安値!K158,安値!L158&lt;安値!J158,安値!L158&lt;安値!M158,安値!L158&lt;安値!N158),7,""))</f>
      </c>
      <c r="H158" s="684">
        <f>IF(終値!A158="","",IF(AND(安値!M158&lt;安値!L158,安値!M158&lt;安値!K158,安値!M158&lt;安値!N158,安値!M158&lt;安値!O158),8,""))</f>
      </c>
      <c r="I158" s="684">
        <f>IF(終値!A158="","",IF(AND(安値!N158&lt;安値!M158,安値!N158&lt;安値!L158,安値!N158&lt;安値!O158,安値!N158&lt;安値!P158),9,""))</f>
      </c>
      <c r="J158" s="684">
        <f>IF(終値!A158="","",IF(AND(安値!O158&lt;安値!N158,安値!O158&lt;安値!M158,安値!O158&lt;安値!P158,安値!O158&lt;安値!Q158),10,""))</f>
      </c>
      <c r="K158" s="684">
        <f>IF(終値!A158="","",IF(AND(安値!P158&lt;安値!O158,安値!P158&lt;安値!N158,安値!P158&lt;安値!Q158,安値!P158&lt;安値!R158),11,""))</f>
      </c>
      <c r="L158" s="684">
        <f>IF(終値!A158="","",IF(AND(安値!Q158&lt;安値!P158,安値!Q158&lt;安値!O158,安値!Q158&lt;安値!R158,安値!Q158&lt;安値!S158),12,""))</f>
      </c>
      <c r="M158" s="684">
        <f>IF(終値!A158="","",IF(AND(安値!R158&lt;安値!Q158,安値!R158&lt;安値!P158,安値!R158&lt;安値!S158,安値!R158&lt;安値!T158),13,""))</f>
      </c>
      <c r="N158" s="684">
        <f>IF(終値!A158="","",IF(AND(安値!S158&lt;安値!R158,安値!S158&lt;安値!Q158,安値!S158&lt;安値!T158,安値!S158&lt;安値!U158),14,""))</f>
      </c>
      <c r="O158" s="684">
        <f>IF(終値!A158="","",IF(AND(安値!T158&lt;安値!S158,安値!T158&lt;安値!R158,安値!T158&lt;安値!U158,安値!T158&lt;安値!V158),15,""))</f>
      </c>
      <c r="P158" s="684">
        <f>IF(終値!A158="","",IF(AND(安値!U158&lt;安値!T158,安値!U158&lt;安値!S158,安値!U158&lt;安値!V158,安値!U158&lt;安値!W158),16,""))</f>
      </c>
      <c r="Q158" s="684">
        <f>IF(終値!A158="","",IF(AND(安値!V158&lt;安値!U158,安値!V158&lt;安値!T158,安値!V158&lt;安値!W158,安値!V158&lt;安値!X158),17,""))</f>
      </c>
      <c r="R158" s="684">
        <f>IF(終値!A158="","",IF(AND(安値!W158&lt;安値!V158,安値!W158&lt;安値!U158,安値!W158&lt;安値!X158,安値!W158&lt;安値!Y158),18,""))</f>
      </c>
      <c r="S158" s="684">
        <f>IF(終値!A158="","",IF(AND(安値!X158&lt;安値!W158,安値!X158&lt;安値!V158,安値!X158&lt;安値!Y158,安値!X158&lt;安値!Z158),19,""))</f>
      </c>
      <c r="T158" s="684">
        <f>IF(終値!A158="","",IF(AND(安値!Y158&lt;安値!X158,安値!Y158&lt;安値!W158,安値!Y158&lt;安値!Z158,安値!Y158&lt;安値!AA158),20,""))</f>
      </c>
      <c r="U158" s="684">
        <f>IF(終値!A158="","",IF(AND(安値!Z158&lt;安値!Y158,安値!Z158&lt;安値!X158,安値!Z158&lt;安値!AA158,安値!Z158&lt;安値!AB158),21,""))</f>
      </c>
      <c r="V158" s="684">
        <f>IF(終値!A158="","",IF(AND(安値!AA158&lt;安値!Z158,安値!AA158&lt;安値!Y158,安値!AA158&lt;安値!AB158,安値!AA158&lt;安値!AC158),22,""))</f>
      </c>
      <c r="W158" s="684">
        <f>IF(終値!A158="","",IF(AND(安値!AB158&lt;安値!AA158,安値!AB158&lt;安値!Z158,安値!AB158&lt;安値!AC158,安値!AB158&lt;安値!AD158),23,""))</f>
      </c>
      <c r="X158" s="684">
        <f>IF(終値!A158="","",IF(AND(安値!AC158&lt;安値!AB158,安値!AC158&lt;安値!AA158,安値!AC158&lt;安値!AD158,安値!AC158&lt;安値!AE158),24,""))</f>
      </c>
      <c r="Y158" s="684">
        <f>IF(終値!A158="","",IF(AND(安値!AD158&lt;安値!AC158,安値!AD158&lt;安値!AB158,安値!AD158&lt;安値!AE158,安値!AD158&lt;安値!AF158),25,""))</f>
      </c>
      <c r="Z158" s="684">
        <f>IF(終値!A158="","",IF(AND(安値!AE158&lt;安値!AD158,安値!AE158&lt;安値!AC158,安値!AE158&lt;安値!AF158,安値!AE158&lt;安値!AG158),26,""))</f>
      </c>
      <c r="AA158" s="684">
        <f>IF(終値!A158="","",IF(AND(安値!AF158&lt;安値!AE158,安値!AF158&lt;安値!AD158,安値!AF158&lt;安値!AG158,安値!AF158&lt;安値!AH158),27,""))</f>
      </c>
      <c r="AB158" s="684">
        <f>IF(終値!A158="","",IF(AND(安値!AG158&lt;安値!AF158,安値!AG158&lt;安値!AE158,安値!AG158&lt;安値!AH158,安値!AG158&lt;安値!AI158),28,""))</f>
      </c>
      <c r="AC158" s="684">
        <f>IF(終値!A158="","",IF(AND(高値!G158&gt;高値!F158,高値!G158&gt;高値!E158,高値!G158&gt;高値!H158,高値!G158&gt;高値!I158),2,""))</f>
      </c>
      <c r="AD158" s="684">
        <f>IF(終値!A158="","",IF(AND(高値!H158&gt;高値!G158,高値!H158&gt;高値!F158,高値!H158&gt;高値!I158,高値!H158&gt;高値!J158),3,""))</f>
      </c>
      <c r="AE158" s="684">
        <f>IF(終値!A158="","",IF(AND(高値!I158&gt;高値!H158,高値!I158&gt;高値!G158,高値!I158&gt;高値!J158,高値!I158&gt;高値!K158),4,""))</f>
      </c>
      <c r="AF158" s="684">
        <f>IF(終値!A158="","",IF(AND(高値!J158&gt;高値!I158,高値!J158&gt;高値!H158,高値!J158&gt;高値!K158,高値!J158&gt;高値!L158),5,""))</f>
      </c>
      <c r="AG158" s="684">
        <f>IF(終値!A158="","",IF(AND(高値!K158&gt;高値!J158,高値!K158&gt;高値!I158,高値!K158&gt;高値!L158,高値!K158&gt;高値!M158),6,""))</f>
      </c>
      <c r="AH158" s="684">
        <f>IF(終値!A158="","",IF(AND(高値!L158&gt;高値!K158,高値!L158&gt;高値!J158,高値!L158&gt;高値!M158,高値!L158&gt;高値!N158),7,""))</f>
      </c>
      <c r="AI158" s="684">
        <f>IF(終値!A158="","",IF(AND(高値!M158&gt;高値!L158,高値!M158&gt;高値!K158,高値!M158&gt;高値!N158,高値!M158&gt;高値!O158),8,""))</f>
      </c>
      <c r="AJ158" s="684">
        <f>IF(終値!A158="","",IF(AND(高値!N158&gt;高値!M158,高値!N158&gt;高値!L158,高値!N158&gt;高値!O158,高値!N158&gt;高値!P158),9,""))</f>
      </c>
      <c r="AK158" s="684">
        <f>IF(終値!A158="","",IF(AND(高値!O158&gt;高値!N158,高値!O158&gt;高値!M158,高値!O158&gt;高値!P158,高値!O158&gt;高値!Q158),10,""))</f>
      </c>
      <c r="AL158" s="684">
        <f>IF(終値!A158="","",IF(AND(高値!P158&gt;高値!O158,高値!P158&gt;高値!N158,高値!P158&gt;高値!Q158,高値!P158&gt;高値!R158),11,""))</f>
      </c>
      <c r="AM158" s="684">
        <f>IF(終値!A158="","",IF(AND(高値!Q158&gt;高値!P158,高値!Q158&gt;高値!O158,高値!Q158&gt;高値!R158,高値!Q158&gt;高値!S158),12,""))</f>
      </c>
      <c r="AN158" s="684">
        <f>IF(終値!A158="","",IF(AND(高値!R158&gt;高値!Q158,高値!R158&gt;高値!P158,高値!R158&gt;高値!S158,高値!R158&gt;高値!T158),13,""))</f>
      </c>
      <c r="AO158" s="684">
        <f>IF(終値!A158="","",IF(AND(高値!S158&gt;高値!R158,高値!S158&gt;高値!Q158,高値!S158&gt;高値!T158,高値!S158&gt;高値!U158),14,""))</f>
      </c>
      <c r="AP158" s="684">
        <f>IF(終値!A158="","",IF(AND(高値!T158&gt;高値!S158,高値!T158&gt;高値!R158,高値!T158&gt;高値!U158,高値!T158&gt;高値!V158),15,""))</f>
      </c>
      <c r="AQ158" s="684">
        <f>IF(終値!A158="","",IF(AND(高値!U158&gt;高値!T158,高値!U158&gt;高値!S158,高値!U158&gt;高値!V158,高値!U158&gt;高値!W158),16,""))</f>
      </c>
      <c r="AR158" s="684">
        <f>IF(終値!A158="","",IF(AND(高値!V158&gt;高値!U158,高値!V158&gt;高値!T158,高値!V158&gt;高値!W158,高値!V158&gt;高値!X158),17,""))</f>
      </c>
      <c r="AS158" s="684">
        <f>IF(終値!A158="","",IF(AND(高値!W158&gt;高値!V158,高値!W158&gt;高値!U158,高値!W158&gt;高値!X158,高値!W158&gt;高値!Y158),18,""))</f>
      </c>
      <c r="AT158" s="684">
        <f>IF(終値!A158="","",IF(AND(高値!X158&gt;高値!W158,高値!X158&gt;高値!V158,高値!X158&gt;高値!Y158,高値!X158&gt;高値!Z158),19,""))</f>
      </c>
      <c r="AU158" s="684">
        <f>IF(終値!A158="","",IF(AND(高値!Y158&gt;高値!X158,高値!Y158&gt;高値!W158,高値!Y158&gt;高値!Z158,高値!Y158&gt;高値!AA158),20,""))</f>
      </c>
      <c r="AV158" s="684">
        <f>IF(終値!A158="","",IF(AND(高値!Z158&gt;高値!Y158,高値!Z158&gt;高値!X158,高値!Z158&gt;高値!AA158,高値!Z158&gt;高値!AB158),21,""))</f>
      </c>
      <c r="AW158" s="684">
        <f>IF(終値!A158="","",IF(AND(高値!AA158&gt;高値!Z158,高値!AA158&gt;高値!Y158,高値!AA158&gt;高値!AB158,高値!AA158&gt;高値!AC158),22,""))</f>
      </c>
      <c r="AX158" s="684">
        <f>IF(終値!A158="","",IF(AND(高値!AB158&gt;高値!AA158,高値!AB158&gt;高値!Z158,高値!AB158&gt;高値!AC158,高値!AB158&gt;高値!AD158),23,""))</f>
      </c>
      <c r="AY158" s="684">
        <f>IF(終値!A158="","",IF(AND(高値!AC158&gt;高値!AB158,高値!AC158&gt;高値!AA158,高値!AC158&gt;高値!AD158,高値!AC158&gt;高値!AE158),24,""))</f>
      </c>
      <c r="AZ158" s="684">
        <f>IF(終値!A158="","",IF(AND(高値!AD158&gt;高値!AC158,高値!AD158&gt;高値!AB158,高値!AD158&gt;高値!AE158,高値!AD158&gt;高値!AF158),25,""))</f>
      </c>
      <c r="BA158" s="684">
        <f>IF(終値!A158="","",IF(AND(高値!AE158&gt;高値!AD158,高値!AE158&gt;高値!AC158,高値!AE158&gt;高値!AF158,高値!AE158&gt;高値!AG158),26,""))</f>
      </c>
      <c r="BB158" s="684">
        <f>IF(終値!A158="","",IF(AND(高値!AF158&gt;高値!AE158,高値!AF158&gt;高値!AD158,高値!AF158&gt;高値!AG158,高値!AF158&gt;高値!AH158),27,""))</f>
      </c>
      <c r="BC158" s="684">
        <f>IF(終値!A158="","",IF(AND(高値!AG158&gt;高値!AF158,高値!AG158&gt;高値!AE158,高値!AG158&gt;高値!AH158,高値!AG158&gt;高値!AI158),28,""))</f>
      </c>
      <c r="BD158" s="684">
        <f>COUNT($B158:$AB158)</f>
      </c>
      <c r="BE158" s="684">
        <f>IF($BD158&gt;=2,MIN($B158:$AB158),"")</f>
      </c>
      <c r="BF158" s="684">
        <f>IF($BD158&gt;=2,SMALL($B158:$AB158,2),"")</f>
      </c>
      <c r="BG158" s="684">
        <f>IF($BE158="","",INDEX(安値!$E158:$CZ158,1,$BE158+1))</f>
      </c>
      <c r="BH158" s="684">
        <f>IF($BF158="","",INDEX(安値!$E158:$CZ158,1,$BF158+1))</f>
      </c>
      <c r="BI158" s="684">
        <f>IF($BF158="","",MAX(INDEX(高値!$E158:$CZ158,1,$BE158+1):INDEX(高値!$E158:$CZ158,1,$BF158+1)))</f>
      </c>
      <c r="BJ158" s="684">
        <f>IF($BF158="","",AVERAGE(INDEX(終値!$E158:$CZ158,1,$BF158+1):INDEX(終値!$E158:$CZ158,1,$BF158+20))-2*STDEVP(INDEX(終値!$E158:$CZ158,1,$BF158+1):INDEX(終値!$E158:$CZ158,1,$BF158+20)))</f>
      </c>
      <c r="BK158" s="684">
        <f>IF($BE158="","",AVERAGE(INDEX(終値!$E158:$CZ158,1,$BE158+1):INDEX(終値!$E158:$CZ158,1,$BE158+20))-2*STDEVP(INDEX(終値!$E158:$CZ158,1,$BE158+1):INDEX(終値!$E158:$CZ158,1,$BE158+20)))</f>
      </c>
      <c r="BL158" s="684">
        <f>COUNT($AC158:$BC158)</f>
      </c>
      <c r="BM158" s="684">
        <f>IF($BL158&gt;=2,MIN($AC158:$BC158),"")</f>
      </c>
      <c r="BN158" s="684">
        <f>IF($BL158&gt;=2,SMALL($AC158:$BC158,2),"")</f>
      </c>
      <c r="BO158" s="684">
        <f>IF($BM158="","",INDEX(高値!$E158:$CZ158,1,$BM158+1))</f>
      </c>
      <c r="BP158" s="684">
        <f>IF($BN158="","",INDEX(高値!$E158:$CZ158,1,$BN158+1))</f>
      </c>
      <c r="BQ158" s="684">
        <f>IF($BN158="","",MIN(INDEX(安値!$E158:$CZ158,1,$BM158+1):INDEX(安値!$E158:$CZ158,1,$BN158+1)))</f>
      </c>
      <c r="BR158" s="684">
        <f>IF($BN158="","",AVERAGE(INDEX(終値!$E158:$CZ158,1,$BN158+1):INDEX(終値!$E158:$CZ158,1,$BN158+20))+2*STDEVP(INDEX(終値!$E158:$CZ158,1,$BN158+1):INDEX(終値!$E158:$CZ158,1,$BN158+20)))</f>
      </c>
      <c r="BS158" s="684">
        <f>IF($BM158="","",AVERAGE(INDEX(終値!$E158:$CZ158,1,$BM158+1):INDEX(終値!$E158:$CZ158,1,$BM158+20))+2*STDEVP(INDEX(終値!$E158:$CZ158,1,$BM158+1):INDEX(終値!$E158:$CZ158,1,$BM158+20)))</f>
      </c>
      <c r="BT158" s="681">
        <f>IFERROR(IF(AND($BD158&gt;=2,ABS($BG158-$BH158)/$BH158&lt;=BB設定!$B$12,$BI158&gt;=MAX($BH158,$BG158)*(1+BB設定!$B$13),終値!E158&gt;$BG158),IF(OR(終値!E158&gt;=$BI158,AND($BH158&lt;$BJ158,$BG158&gt;=$BK158)),"二番底W▲","二番底W形成"),IF(AND($BL158&gt;=2,ABS($BO158-$BP158)/$BP158&lt;=BB設定!$B$12,$BQ158&lt;=MIN($BP158,$BO158)*(1-BB設定!$B$13),終値!E158&lt;$BO158),IF(OR(終値!E158&lt;=$BQ158,AND($BP158&gt;$BR158,$BO158&lt;=$BS158)),"二番天井M▼","二番天井M形成"),"－")),"－")</f>
      </c>
    </row>
    <row r="159">
      <c r="B159" s="684">
        <f>IF(終値!A159="","",IF(AND(安値!G159&lt;安値!F159,安値!G159&lt;安値!E159,安値!G159&lt;安値!H159,安値!G159&lt;安値!I159),2,""))</f>
      </c>
      <c r="C159" s="684">
        <f>IF(終値!A159="","",IF(AND(安値!H159&lt;安値!G159,安値!H159&lt;安値!F159,安値!H159&lt;安値!I159,安値!H159&lt;安値!J159),3,""))</f>
      </c>
      <c r="D159" s="684">
        <f>IF(終値!A159="","",IF(AND(安値!I159&lt;安値!H159,安値!I159&lt;安値!G159,安値!I159&lt;安値!J159,安値!I159&lt;安値!K159),4,""))</f>
      </c>
      <c r="E159" s="684">
        <f>IF(終値!A159="","",IF(AND(安値!J159&lt;安値!I159,安値!J159&lt;安値!H159,安値!J159&lt;安値!K159,安値!J159&lt;安値!L159),5,""))</f>
      </c>
      <c r="F159" s="684">
        <f>IF(終値!A159="","",IF(AND(安値!K159&lt;安値!J159,安値!K159&lt;安値!I159,安値!K159&lt;安値!L159,安値!K159&lt;安値!M159),6,""))</f>
      </c>
      <c r="G159" s="684">
        <f>IF(終値!A159="","",IF(AND(安値!L159&lt;安値!K159,安値!L159&lt;安値!J159,安値!L159&lt;安値!M159,安値!L159&lt;安値!N159),7,""))</f>
      </c>
      <c r="H159" s="684">
        <f>IF(終値!A159="","",IF(AND(安値!M159&lt;安値!L159,安値!M159&lt;安値!K159,安値!M159&lt;安値!N159,安値!M159&lt;安値!O159),8,""))</f>
      </c>
      <c r="I159" s="684">
        <f>IF(終値!A159="","",IF(AND(安値!N159&lt;安値!M159,安値!N159&lt;安値!L159,安値!N159&lt;安値!O159,安値!N159&lt;安値!P159),9,""))</f>
      </c>
      <c r="J159" s="684">
        <f>IF(終値!A159="","",IF(AND(安値!O159&lt;安値!N159,安値!O159&lt;安値!M159,安値!O159&lt;安値!P159,安値!O159&lt;安値!Q159),10,""))</f>
      </c>
      <c r="K159" s="684">
        <f>IF(終値!A159="","",IF(AND(安値!P159&lt;安値!O159,安値!P159&lt;安値!N159,安値!P159&lt;安値!Q159,安値!P159&lt;安値!R159),11,""))</f>
      </c>
      <c r="L159" s="684">
        <f>IF(終値!A159="","",IF(AND(安値!Q159&lt;安値!P159,安値!Q159&lt;安値!O159,安値!Q159&lt;安値!R159,安値!Q159&lt;安値!S159),12,""))</f>
      </c>
      <c r="M159" s="684">
        <f>IF(終値!A159="","",IF(AND(安値!R159&lt;安値!Q159,安値!R159&lt;安値!P159,安値!R159&lt;安値!S159,安値!R159&lt;安値!T159),13,""))</f>
      </c>
      <c r="N159" s="684">
        <f>IF(終値!A159="","",IF(AND(安値!S159&lt;安値!R159,安値!S159&lt;安値!Q159,安値!S159&lt;安値!T159,安値!S159&lt;安値!U159),14,""))</f>
      </c>
      <c r="O159" s="684">
        <f>IF(終値!A159="","",IF(AND(安値!T159&lt;安値!S159,安値!T159&lt;安値!R159,安値!T159&lt;安値!U159,安値!T159&lt;安値!V159),15,""))</f>
      </c>
      <c r="P159" s="684">
        <f>IF(終値!A159="","",IF(AND(安値!U159&lt;安値!T159,安値!U159&lt;安値!S159,安値!U159&lt;安値!V159,安値!U159&lt;安値!W159),16,""))</f>
      </c>
      <c r="Q159" s="684">
        <f>IF(終値!A159="","",IF(AND(安値!V159&lt;安値!U159,安値!V159&lt;安値!T159,安値!V159&lt;安値!W159,安値!V159&lt;安値!X159),17,""))</f>
      </c>
      <c r="R159" s="684">
        <f>IF(終値!A159="","",IF(AND(安値!W159&lt;安値!V159,安値!W159&lt;安値!U159,安値!W159&lt;安値!X159,安値!W159&lt;安値!Y159),18,""))</f>
      </c>
      <c r="S159" s="684">
        <f>IF(終値!A159="","",IF(AND(安値!X159&lt;安値!W159,安値!X159&lt;安値!V159,安値!X159&lt;安値!Y159,安値!X159&lt;安値!Z159),19,""))</f>
      </c>
      <c r="T159" s="684">
        <f>IF(終値!A159="","",IF(AND(安値!Y159&lt;安値!X159,安値!Y159&lt;安値!W159,安値!Y159&lt;安値!Z159,安値!Y159&lt;安値!AA159),20,""))</f>
      </c>
      <c r="U159" s="684">
        <f>IF(終値!A159="","",IF(AND(安値!Z159&lt;安値!Y159,安値!Z159&lt;安値!X159,安値!Z159&lt;安値!AA159,安値!Z159&lt;安値!AB159),21,""))</f>
      </c>
      <c r="V159" s="684">
        <f>IF(終値!A159="","",IF(AND(安値!AA159&lt;安値!Z159,安値!AA159&lt;安値!Y159,安値!AA159&lt;安値!AB159,安値!AA159&lt;安値!AC159),22,""))</f>
      </c>
      <c r="W159" s="684">
        <f>IF(終値!A159="","",IF(AND(安値!AB159&lt;安値!AA159,安値!AB159&lt;安値!Z159,安値!AB159&lt;安値!AC159,安値!AB159&lt;安値!AD159),23,""))</f>
      </c>
      <c r="X159" s="684">
        <f>IF(終値!A159="","",IF(AND(安値!AC159&lt;安値!AB159,安値!AC159&lt;安値!AA159,安値!AC159&lt;安値!AD159,安値!AC159&lt;安値!AE159),24,""))</f>
      </c>
      <c r="Y159" s="684">
        <f>IF(終値!A159="","",IF(AND(安値!AD159&lt;安値!AC159,安値!AD159&lt;安値!AB159,安値!AD159&lt;安値!AE159,安値!AD159&lt;安値!AF159),25,""))</f>
      </c>
      <c r="Z159" s="684">
        <f>IF(終値!A159="","",IF(AND(安値!AE159&lt;安値!AD159,安値!AE159&lt;安値!AC159,安値!AE159&lt;安値!AF159,安値!AE159&lt;安値!AG159),26,""))</f>
      </c>
      <c r="AA159" s="684">
        <f>IF(終値!A159="","",IF(AND(安値!AF159&lt;安値!AE159,安値!AF159&lt;安値!AD159,安値!AF159&lt;安値!AG159,安値!AF159&lt;安値!AH159),27,""))</f>
      </c>
      <c r="AB159" s="684">
        <f>IF(終値!A159="","",IF(AND(安値!AG159&lt;安値!AF159,安値!AG159&lt;安値!AE159,安値!AG159&lt;安値!AH159,安値!AG159&lt;安値!AI159),28,""))</f>
      </c>
      <c r="AC159" s="684">
        <f>IF(終値!A159="","",IF(AND(高値!G159&gt;高値!F159,高値!G159&gt;高値!E159,高値!G159&gt;高値!H159,高値!G159&gt;高値!I159),2,""))</f>
      </c>
      <c r="AD159" s="684">
        <f>IF(終値!A159="","",IF(AND(高値!H159&gt;高値!G159,高値!H159&gt;高値!F159,高値!H159&gt;高値!I159,高値!H159&gt;高値!J159),3,""))</f>
      </c>
      <c r="AE159" s="684">
        <f>IF(終値!A159="","",IF(AND(高値!I159&gt;高値!H159,高値!I159&gt;高値!G159,高値!I159&gt;高値!J159,高値!I159&gt;高値!K159),4,""))</f>
      </c>
      <c r="AF159" s="684">
        <f>IF(終値!A159="","",IF(AND(高値!J159&gt;高値!I159,高値!J159&gt;高値!H159,高値!J159&gt;高値!K159,高値!J159&gt;高値!L159),5,""))</f>
      </c>
      <c r="AG159" s="684">
        <f>IF(終値!A159="","",IF(AND(高値!K159&gt;高値!J159,高値!K159&gt;高値!I159,高値!K159&gt;高値!L159,高値!K159&gt;高値!M159),6,""))</f>
      </c>
      <c r="AH159" s="684">
        <f>IF(終値!A159="","",IF(AND(高値!L159&gt;高値!K159,高値!L159&gt;高値!J159,高値!L159&gt;高値!M159,高値!L159&gt;高値!N159),7,""))</f>
      </c>
      <c r="AI159" s="684">
        <f>IF(終値!A159="","",IF(AND(高値!M159&gt;高値!L159,高値!M159&gt;高値!K159,高値!M159&gt;高値!N159,高値!M159&gt;高値!O159),8,""))</f>
      </c>
      <c r="AJ159" s="684">
        <f>IF(終値!A159="","",IF(AND(高値!N159&gt;高値!M159,高値!N159&gt;高値!L159,高値!N159&gt;高値!O159,高値!N159&gt;高値!P159),9,""))</f>
      </c>
      <c r="AK159" s="684">
        <f>IF(終値!A159="","",IF(AND(高値!O159&gt;高値!N159,高値!O159&gt;高値!M159,高値!O159&gt;高値!P159,高値!O159&gt;高値!Q159),10,""))</f>
      </c>
      <c r="AL159" s="684">
        <f>IF(終値!A159="","",IF(AND(高値!P159&gt;高値!O159,高値!P159&gt;高値!N159,高値!P159&gt;高値!Q159,高値!P159&gt;高値!R159),11,""))</f>
      </c>
      <c r="AM159" s="684">
        <f>IF(終値!A159="","",IF(AND(高値!Q159&gt;高値!P159,高値!Q159&gt;高値!O159,高値!Q159&gt;高値!R159,高値!Q159&gt;高値!S159),12,""))</f>
      </c>
      <c r="AN159" s="684">
        <f>IF(終値!A159="","",IF(AND(高値!R159&gt;高値!Q159,高値!R159&gt;高値!P159,高値!R159&gt;高値!S159,高値!R159&gt;高値!T159),13,""))</f>
      </c>
      <c r="AO159" s="684">
        <f>IF(終値!A159="","",IF(AND(高値!S159&gt;高値!R159,高値!S159&gt;高値!Q159,高値!S159&gt;高値!T159,高値!S159&gt;高値!U159),14,""))</f>
      </c>
      <c r="AP159" s="684">
        <f>IF(終値!A159="","",IF(AND(高値!T159&gt;高値!S159,高値!T159&gt;高値!R159,高値!T159&gt;高値!U159,高値!T159&gt;高値!V159),15,""))</f>
      </c>
      <c r="AQ159" s="684">
        <f>IF(終値!A159="","",IF(AND(高値!U159&gt;高値!T159,高値!U159&gt;高値!S159,高値!U159&gt;高値!V159,高値!U159&gt;高値!W159),16,""))</f>
      </c>
      <c r="AR159" s="684">
        <f>IF(終値!A159="","",IF(AND(高値!V159&gt;高値!U159,高値!V159&gt;高値!T159,高値!V159&gt;高値!W159,高値!V159&gt;高値!X159),17,""))</f>
      </c>
      <c r="AS159" s="684">
        <f>IF(終値!A159="","",IF(AND(高値!W159&gt;高値!V159,高値!W159&gt;高値!U159,高値!W159&gt;高値!X159,高値!W159&gt;高値!Y159),18,""))</f>
      </c>
      <c r="AT159" s="684">
        <f>IF(終値!A159="","",IF(AND(高値!X159&gt;高値!W159,高値!X159&gt;高値!V159,高値!X159&gt;高値!Y159,高値!X159&gt;高値!Z159),19,""))</f>
      </c>
      <c r="AU159" s="684">
        <f>IF(終値!A159="","",IF(AND(高値!Y159&gt;高値!X159,高値!Y159&gt;高値!W159,高値!Y159&gt;高値!Z159,高値!Y159&gt;高値!AA159),20,""))</f>
      </c>
      <c r="AV159" s="684">
        <f>IF(終値!A159="","",IF(AND(高値!Z159&gt;高値!Y159,高値!Z159&gt;高値!X159,高値!Z159&gt;高値!AA159,高値!Z159&gt;高値!AB159),21,""))</f>
      </c>
      <c r="AW159" s="684">
        <f>IF(終値!A159="","",IF(AND(高値!AA159&gt;高値!Z159,高値!AA159&gt;高値!Y159,高値!AA159&gt;高値!AB159,高値!AA159&gt;高値!AC159),22,""))</f>
      </c>
      <c r="AX159" s="684">
        <f>IF(終値!A159="","",IF(AND(高値!AB159&gt;高値!AA159,高値!AB159&gt;高値!Z159,高値!AB159&gt;高値!AC159,高値!AB159&gt;高値!AD159),23,""))</f>
      </c>
      <c r="AY159" s="684">
        <f>IF(終値!A159="","",IF(AND(高値!AC159&gt;高値!AB159,高値!AC159&gt;高値!AA159,高値!AC159&gt;高値!AD159,高値!AC159&gt;高値!AE159),24,""))</f>
      </c>
      <c r="AZ159" s="684">
        <f>IF(終値!A159="","",IF(AND(高値!AD159&gt;高値!AC159,高値!AD159&gt;高値!AB159,高値!AD159&gt;高値!AE159,高値!AD159&gt;高値!AF159),25,""))</f>
      </c>
      <c r="BA159" s="684">
        <f>IF(終値!A159="","",IF(AND(高値!AE159&gt;高値!AD159,高値!AE159&gt;高値!AC159,高値!AE159&gt;高値!AF159,高値!AE159&gt;高値!AG159),26,""))</f>
      </c>
      <c r="BB159" s="684">
        <f>IF(終値!A159="","",IF(AND(高値!AF159&gt;高値!AE159,高値!AF159&gt;高値!AD159,高値!AF159&gt;高値!AG159,高値!AF159&gt;高値!AH159),27,""))</f>
      </c>
      <c r="BC159" s="684">
        <f>IF(終値!A159="","",IF(AND(高値!AG159&gt;高値!AF159,高値!AG159&gt;高値!AE159,高値!AG159&gt;高値!AH159,高値!AG159&gt;高値!AI159),28,""))</f>
      </c>
      <c r="BD159" s="684">
        <f>COUNT($B159:$AB159)</f>
      </c>
      <c r="BE159" s="684">
        <f>IF($BD159&gt;=2,MIN($B159:$AB159),"")</f>
      </c>
      <c r="BF159" s="684">
        <f>IF($BD159&gt;=2,SMALL($B159:$AB159,2),"")</f>
      </c>
      <c r="BG159" s="684">
        <f>IF($BE159="","",INDEX(安値!$E159:$CZ159,1,$BE159+1))</f>
      </c>
      <c r="BH159" s="684">
        <f>IF($BF159="","",INDEX(安値!$E159:$CZ159,1,$BF159+1))</f>
      </c>
      <c r="BI159" s="684">
        <f>IF($BF159="","",MAX(INDEX(高値!$E159:$CZ159,1,$BE159+1):INDEX(高値!$E159:$CZ159,1,$BF159+1)))</f>
      </c>
      <c r="BJ159" s="684">
        <f>IF($BF159="","",AVERAGE(INDEX(終値!$E159:$CZ159,1,$BF159+1):INDEX(終値!$E159:$CZ159,1,$BF159+20))-2*STDEVP(INDEX(終値!$E159:$CZ159,1,$BF159+1):INDEX(終値!$E159:$CZ159,1,$BF159+20)))</f>
      </c>
      <c r="BK159" s="684">
        <f>IF($BE159="","",AVERAGE(INDEX(終値!$E159:$CZ159,1,$BE159+1):INDEX(終値!$E159:$CZ159,1,$BE159+20))-2*STDEVP(INDEX(終値!$E159:$CZ159,1,$BE159+1):INDEX(終値!$E159:$CZ159,1,$BE159+20)))</f>
      </c>
      <c r="BL159" s="684">
        <f>COUNT($AC159:$BC159)</f>
      </c>
      <c r="BM159" s="684">
        <f>IF($BL159&gt;=2,MIN($AC159:$BC159),"")</f>
      </c>
      <c r="BN159" s="684">
        <f>IF($BL159&gt;=2,SMALL($AC159:$BC159,2),"")</f>
      </c>
      <c r="BO159" s="684">
        <f>IF($BM159="","",INDEX(高値!$E159:$CZ159,1,$BM159+1))</f>
      </c>
      <c r="BP159" s="684">
        <f>IF($BN159="","",INDEX(高値!$E159:$CZ159,1,$BN159+1))</f>
      </c>
      <c r="BQ159" s="684">
        <f>IF($BN159="","",MIN(INDEX(安値!$E159:$CZ159,1,$BM159+1):INDEX(安値!$E159:$CZ159,1,$BN159+1)))</f>
      </c>
      <c r="BR159" s="684">
        <f>IF($BN159="","",AVERAGE(INDEX(終値!$E159:$CZ159,1,$BN159+1):INDEX(終値!$E159:$CZ159,1,$BN159+20))+2*STDEVP(INDEX(終値!$E159:$CZ159,1,$BN159+1):INDEX(終値!$E159:$CZ159,1,$BN159+20)))</f>
      </c>
      <c r="BS159" s="684">
        <f>IF($BM159="","",AVERAGE(INDEX(終値!$E159:$CZ159,1,$BM159+1):INDEX(終値!$E159:$CZ159,1,$BM159+20))+2*STDEVP(INDEX(終値!$E159:$CZ159,1,$BM159+1):INDEX(終値!$E159:$CZ159,1,$BM159+20)))</f>
      </c>
      <c r="BT159" s="681">
        <f>IFERROR(IF(AND($BD159&gt;=2,ABS($BG159-$BH159)/$BH159&lt;=BB設定!$B$12,$BI159&gt;=MAX($BH159,$BG159)*(1+BB設定!$B$13),終値!E159&gt;$BG159),IF(OR(終値!E159&gt;=$BI159,AND($BH159&lt;$BJ159,$BG159&gt;=$BK159)),"二番底W▲","二番底W形成"),IF(AND($BL159&gt;=2,ABS($BO159-$BP159)/$BP159&lt;=BB設定!$B$12,$BQ159&lt;=MIN($BP159,$BO159)*(1-BB設定!$B$13),終値!E159&lt;$BO159),IF(OR(終値!E159&lt;=$BQ159,AND($BP159&gt;$BR159,$BO159&lt;=$BS159)),"二番天井M▼","二番天井M形成"),"－")),"－")</f>
      </c>
    </row>
    <row r="160">
      <c r="B160" s="684">
        <f>IF(終値!A160="","",IF(AND(安値!G160&lt;安値!F160,安値!G160&lt;安値!E160,安値!G160&lt;安値!H160,安値!G160&lt;安値!I160),2,""))</f>
      </c>
      <c r="C160" s="684">
        <f>IF(終値!A160="","",IF(AND(安値!H160&lt;安値!G160,安値!H160&lt;安値!F160,安値!H160&lt;安値!I160,安値!H160&lt;安値!J160),3,""))</f>
      </c>
      <c r="D160" s="684">
        <f>IF(終値!A160="","",IF(AND(安値!I160&lt;安値!H160,安値!I160&lt;安値!G160,安値!I160&lt;安値!J160,安値!I160&lt;安値!K160),4,""))</f>
      </c>
      <c r="E160" s="684">
        <f>IF(終値!A160="","",IF(AND(安値!J160&lt;安値!I160,安値!J160&lt;安値!H160,安値!J160&lt;安値!K160,安値!J160&lt;安値!L160),5,""))</f>
      </c>
      <c r="F160" s="684">
        <f>IF(終値!A160="","",IF(AND(安値!K160&lt;安値!J160,安値!K160&lt;安値!I160,安値!K160&lt;安値!L160,安値!K160&lt;安値!M160),6,""))</f>
      </c>
      <c r="G160" s="684">
        <f>IF(終値!A160="","",IF(AND(安値!L160&lt;安値!K160,安値!L160&lt;安値!J160,安値!L160&lt;安値!M160,安値!L160&lt;安値!N160),7,""))</f>
      </c>
      <c r="H160" s="684">
        <f>IF(終値!A160="","",IF(AND(安値!M160&lt;安値!L160,安値!M160&lt;安値!K160,安値!M160&lt;安値!N160,安値!M160&lt;安値!O160),8,""))</f>
      </c>
      <c r="I160" s="684">
        <f>IF(終値!A160="","",IF(AND(安値!N160&lt;安値!M160,安値!N160&lt;安値!L160,安値!N160&lt;安値!O160,安値!N160&lt;安値!P160),9,""))</f>
      </c>
      <c r="J160" s="684">
        <f>IF(終値!A160="","",IF(AND(安値!O160&lt;安値!N160,安値!O160&lt;安値!M160,安値!O160&lt;安値!P160,安値!O160&lt;安値!Q160),10,""))</f>
      </c>
      <c r="K160" s="684">
        <f>IF(終値!A160="","",IF(AND(安値!P160&lt;安値!O160,安値!P160&lt;安値!N160,安値!P160&lt;安値!Q160,安値!P160&lt;安値!R160),11,""))</f>
      </c>
      <c r="L160" s="684">
        <f>IF(終値!A160="","",IF(AND(安値!Q160&lt;安値!P160,安値!Q160&lt;安値!O160,安値!Q160&lt;安値!R160,安値!Q160&lt;安値!S160),12,""))</f>
      </c>
      <c r="M160" s="684">
        <f>IF(終値!A160="","",IF(AND(安値!R160&lt;安値!Q160,安値!R160&lt;安値!P160,安値!R160&lt;安値!S160,安値!R160&lt;安値!T160),13,""))</f>
      </c>
      <c r="N160" s="684">
        <f>IF(終値!A160="","",IF(AND(安値!S160&lt;安値!R160,安値!S160&lt;安値!Q160,安値!S160&lt;安値!T160,安値!S160&lt;安値!U160),14,""))</f>
      </c>
      <c r="O160" s="684">
        <f>IF(終値!A160="","",IF(AND(安値!T160&lt;安値!S160,安値!T160&lt;安値!R160,安値!T160&lt;安値!U160,安値!T160&lt;安値!V160),15,""))</f>
      </c>
      <c r="P160" s="684">
        <f>IF(終値!A160="","",IF(AND(安値!U160&lt;安値!T160,安値!U160&lt;安値!S160,安値!U160&lt;安値!V160,安値!U160&lt;安値!W160),16,""))</f>
      </c>
      <c r="Q160" s="684">
        <f>IF(終値!A160="","",IF(AND(安値!V160&lt;安値!U160,安値!V160&lt;安値!T160,安値!V160&lt;安値!W160,安値!V160&lt;安値!X160),17,""))</f>
      </c>
      <c r="R160" s="684">
        <f>IF(終値!A160="","",IF(AND(安値!W160&lt;安値!V160,安値!W160&lt;安値!U160,安値!W160&lt;安値!X160,安値!W160&lt;安値!Y160),18,""))</f>
      </c>
      <c r="S160" s="684">
        <f>IF(終値!A160="","",IF(AND(安値!X160&lt;安値!W160,安値!X160&lt;安値!V160,安値!X160&lt;安値!Y160,安値!X160&lt;安値!Z160),19,""))</f>
      </c>
      <c r="T160" s="684">
        <f>IF(終値!A160="","",IF(AND(安値!Y160&lt;安値!X160,安値!Y160&lt;安値!W160,安値!Y160&lt;安値!Z160,安値!Y160&lt;安値!AA160),20,""))</f>
      </c>
      <c r="U160" s="684">
        <f>IF(終値!A160="","",IF(AND(安値!Z160&lt;安値!Y160,安値!Z160&lt;安値!X160,安値!Z160&lt;安値!AA160,安値!Z160&lt;安値!AB160),21,""))</f>
      </c>
      <c r="V160" s="684">
        <f>IF(終値!A160="","",IF(AND(安値!AA160&lt;安値!Z160,安値!AA160&lt;安値!Y160,安値!AA160&lt;安値!AB160,安値!AA160&lt;安値!AC160),22,""))</f>
      </c>
      <c r="W160" s="684">
        <f>IF(終値!A160="","",IF(AND(安値!AB160&lt;安値!AA160,安値!AB160&lt;安値!Z160,安値!AB160&lt;安値!AC160,安値!AB160&lt;安値!AD160),23,""))</f>
      </c>
      <c r="X160" s="684">
        <f>IF(終値!A160="","",IF(AND(安値!AC160&lt;安値!AB160,安値!AC160&lt;安値!AA160,安値!AC160&lt;安値!AD160,安値!AC160&lt;安値!AE160),24,""))</f>
      </c>
      <c r="Y160" s="684">
        <f>IF(終値!A160="","",IF(AND(安値!AD160&lt;安値!AC160,安値!AD160&lt;安値!AB160,安値!AD160&lt;安値!AE160,安値!AD160&lt;安値!AF160),25,""))</f>
      </c>
      <c r="Z160" s="684">
        <f>IF(終値!A160="","",IF(AND(安値!AE160&lt;安値!AD160,安値!AE160&lt;安値!AC160,安値!AE160&lt;安値!AF160,安値!AE160&lt;安値!AG160),26,""))</f>
      </c>
      <c r="AA160" s="684">
        <f>IF(終値!A160="","",IF(AND(安値!AF160&lt;安値!AE160,安値!AF160&lt;安値!AD160,安値!AF160&lt;安値!AG160,安値!AF160&lt;安値!AH160),27,""))</f>
      </c>
      <c r="AB160" s="684">
        <f>IF(終値!A160="","",IF(AND(安値!AG160&lt;安値!AF160,安値!AG160&lt;安値!AE160,安値!AG160&lt;安値!AH160,安値!AG160&lt;安値!AI160),28,""))</f>
      </c>
      <c r="AC160" s="684">
        <f>IF(終値!A160="","",IF(AND(高値!G160&gt;高値!F160,高値!G160&gt;高値!E160,高値!G160&gt;高値!H160,高値!G160&gt;高値!I160),2,""))</f>
      </c>
      <c r="AD160" s="684">
        <f>IF(終値!A160="","",IF(AND(高値!H160&gt;高値!G160,高値!H160&gt;高値!F160,高値!H160&gt;高値!I160,高値!H160&gt;高値!J160),3,""))</f>
      </c>
      <c r="AE160" s="684">
        <f>IF(終値!A160="","",IF(AND(高値!I160&gt;高値!H160,高値!I160&gt;高値!G160,高値!I160&gt;高値!J160,高値!I160&gt;高値!K160),4,""))</f>
      </c>
      <c r="AF160" s="684">
        <f>IF(終値!A160="","",IF(AND(高値!J160&gt;高値!I160,高値!J160&gt;高値!H160,高値!J160&gt;高値!K160,高値!J160&gt;高値!L160),5,""))</f>
      </c>
      <c r="AG160" s="684">
        <f>IF(終値!A160="","",IF(AND(高値!K160&gt;高値!J160,高値!K160&gt;高値!I160,高値!K160&gt;高値!L160,高値!K160&gt;高値!M160),6,""))</f>
      </c>
      <c r="AH160" s="684">
        <f>IF(終値!A160="","",IF(AND(高値!L160&gt;高値!K160,高値!L160&gt;高値!J160,高値!L160&gt;高値!M160,高値!L160&gt;高値!N160),7,""))</f>
      </c>
      <c r="AI160" s="684">
        <f>IF(終値!A160="","",IF(AND(高値!M160&gt;高値!L160,高値!M160&gt;高値!K160,高値!M160&gt;高値!N160,高値!M160&gt;高値!O160),8,""))</f>
      </c>
      <c r="AJ160" s="684">
        <f>IF(終値!A160="","",IF(AND(高値!N160&gt;高値!M160,高値!N160&gt;高値!L160,高値!N160&gt;高値!O160,高値!N160&gt;高値!P160),9,""))</f>
      </c>
      <c r="AK160" s="684">
        <f>IF(終値!A160="","",IF(AND(高値!O160&gt;高値!N160,高値!O160&gt;高値!M160,高値!O160&gt;高値!P160,高値!O160&gt;高値!Q160),10,""))</f>
      </c>
      <c r="AL160" s="684">
        <f>IF(終値!A160="","",IF(AND(高値!P160&gt;高値!O160,高値!P160&gt;高値!N160,高値!P160&gt;高値!Q160,高値!P160&gt;高値!R160),11,""))</f>
      </c>
      <c r="AM160" s="684">
        <f>IF(終値!A160="","",IF(AND(高値!Q160&gt;高値!P160,高値!Q160&gt;高値!O160,高値!Q160&gt;高値!R160,高値!Q160&gt;高値!S160),12,""))</f>
      </c>
      <c r="AN160" s="684">
        <f>IF(終値!A160="","",IF(AND(高値!R160&gt;高値!Q160,高値!R160&gt;高値!P160,高値!R160&gt;高値!S160,高値!R160&gt;高値!T160),13,""))</f>
      </c>
      <c r="AO160" s="684">
        <f>IF(終値!A160="","",IF(AND(高値!S160&gt;高値!R160,高値!S160&gt;高値!Q160,高値!S160&gt;高値!T160,高値!S160&gt;高値!U160),14,""))</f>
      </c>
      <c r="AP160" s="684">
        <f>IF(終値!A160="","",IF(AND(高値!T160&gt;高値!S160,高値!T160&gt;高値!R160,高値!T160&gt;高値!U160,高値!T160&gt;高値!V160),15,""))</f>
      </c>
      <c r="AQ160" s="684">
        <f>IF(終値!A160="","",IF(AND(高値!U160&gt;高値!T160,高値!U160&gt;高値!S160,高値!U160&gt;高値!V160,高値!U160&gt;高値!W160),16,""))</f>
      </c>
      <c r="AR160" s="684">
        <f>IF(終値!A160="","",IF(AND(高値!V160&gt;高値!U160,高値!V160&gt;高値!T160,高値!V160&gt;高値!W160,高値!V160&gt;高値!X160),17,""))</f>
      </c>
      <c r="AS160" s="684">
        <f>IF(終値!A160="","",IF(AND(高値!W160&gt;高値!V160,高値!W160&gt;高値!U160,高値!W160&gt;高値!X160,高値!W160&gt;高値!Y160),18,""))</f>
      </c>
      <c r="AT160" s="684">
        <f>IF(終値!A160="","",IF(AND(高値!X160&gt;高値!W160,高値!X160&gt;高値!V160,高値!X160&gt;高値!Y160,高値!X160&gt;高値!Z160),19,""))</f>
      </c>
      <c r="AU160" s="684">
        <f>IF(終値!A160="","",IF(AND(高値!Y160&gt;高値!X160,高値!Y160&gt;高値!W160,高値!Y160&gt;高値!Z160,高値!Y160&gt;高値!AA160),20,""))</f>
      </c>
      <c r="AV160" s="684">
        <f>IF(終値!A160="","",IF(AND(高値!Z160&gt;高値!Y160,高値!Z160&gt;高値!X160,高値!Z160&gt;高値!AA160,高値!Z160&gt;高値!AB160),21,""))</f>
      </c>
      <c r="AW160" s="684">
        <f>IF(終値!A160="","",IF(AND(高値!AA160&gt;高値!Z160,高値!AA160&gt;高値!Y160,高値!AA160&gt;高値!AB160,高値!AA160&gt;高値!AC160),22,""))</f>
      </c>
      <c r="AX160" s="684">
        <f>IF(終値!A160="","",IF(AND(高値!AB160&gt;高値!AA160,高値!AB160&gt;高値!Z160,高値!AB160&gt;高値!AC160,高値!AB160&gt;高値!AD160),23,""))</f>
      </c>
      <c r="AY160" s="684">
        <f>IF(終値!A160="","",IF(AND(高値!AC160&gt;高値!AB160,高値!AC160&gt;高値!AA160,高値!AC160&gt;高値!AD160,高値!AC160&gt;高値!AE160),24,""))</f>
      </c>
      <c r="AZ160" s="684">
        <f>IF(終値!A160="","",IF(AND(高値!AD160&gt;高値!AC160,高値!AD160&gt;高値!AB160,高値!AD160&gt;高値!AE160,高値!AD160&gt;高値!AF160),25,""))</f>
      </c>
      <c r="BA160" s="684">
        <f>IF(終値!A160="","",IF(AND(高値!AE160&gt;高値!AD160,高値!AE160&gt;高値!AC160,高値!AE160&gt;高値!AF160,高値!AE160&gt;高値!AG160),26,""))</f>
      </c>
      <c r="BB160" s="684">
        <f>IF(終値!A160="","",IF(AND(高値!AF160&gt;高値!AE160,高値!AF160&gt;高値!AD160,高値!AF160&gt;高値!AG160,高値!AF160&gt;高値!AH160),27,""))</f>
      </c>
      <c r="BC160" s="684">
        <f>IF(終値!A160="","",IF(AND(高値!AG160&gt;高値!AF160,高値!AG160&gt;高値!AE160,高値!AG160&gt;高値!AH160,高値!AG160&gt;高値!AI160),28,""))</f>
      </c>
      <c r="BD160" s="684">
        <f>COUNT($B160:$AB160)</f>
      </c>
      <c r="BE160" s="684">
        <f>IF($BD160&gt;=2,MIN($B160:$AB160),"")</f>
      </c>
      <c r="BF160" s="684">
        <f>IF($BD160&gt;=2,SMALL($B160:$AB160,2),"")</f>
      </c>
      <c r="BG160" s="684">
        <f>IF($BE160="","",INDEX(安値!$E160:$CZ160,1,$BE160+1))</f>
      </c>
      <c r="BH160" s="684">
        <f>IF($BF160="","",INDEX(安値!$E160:$CZ160,1,$BF160+1))</f>
      </c>
      <c r="BI160" s="684">
        <f>IF($BF160="","",MAX(INDEX(高値!$E160:$CZ160,1,$BE160+1):INDEX(高値!$E160:$CZ160,1,$BF160+1)))</f>
      </c>
      <c r="BJ160" s="684">
        <f>IF($BF160="","",AVERAGE(INDEX(終値!$E160:$CZ160,1,$BF160+1):INDEX(終値!$E160:$CZ160,1,$BF160+20))-2*STDEVP(INDEX(終値!$E160:$CZ160,1,$BF160+1):INDEX(終値!$E160:$CZ160,1,$BF160+20)))</f>
      </c>
      <c r="BK160" s="684">
        <f>IF($BE160="","",AVERAGE(INDEX(終値!$E160:$CZ160,1,$BE160+1):INDEX(終値!$E160:$CZ160,1,$BE160+20))-2*STDEVP(INDEX(終値!$E160:$CZ160,1,$BE160+1):INDEX(終値!$E160:$CZ160,1,$BE160+20)))</f>
      </c>
      <c r="BL160" s="684">
        <f>COUNT($AC160:$BC160)</f>
      </c>
      <c r="BM160" s="684">
        <f>IF($BL160&gt;=2,MIN($AC160:$BC160),"")</f>
      </c>
      <c r="BN160" s="684">
        <f>IF($BL160&gt;=2,SMALL($AC160:$BC160,2),"")</f>
      </c>
      <c r="BO160" s="684">
        <f>IF($BM160="","",INDEX(高値!$E160:$CZ160,1,$BM160+1))</f>
      </c>
      <c r="BP160" s="684">
        <f>IF($BN160="","",INDEX(高値!$E160:$CZ160,1,$BN160+1))</f>
      </c>
      <c r="BQ160" s="684">
        <f>IF($BN160="","",MIN(INDEX(安値!$E160:$CZ160,1,$BM160+1):INDEX(安値!$E160:$CZ160,1,$BN160+1)))</f>
      </c>
      <c r="BR160" s="684">
        <f>IF($BN160="","",AVERAGE(INDEX(終値!$E160:$CZ160,1,$BN160+1):INDEX(終値!$E160:$CZ160,1,$BN160+20))+2*STDEVP(INDEX(終値!$E160:$CZ160,1,$BN160+1):INDEX(終値!$E160:$CZ160,1,$BN160+20)))</f>
      </c>
      <c r="BS160" s="684">
        <f>IF($BM160="","",AVERAGE(INDEX(終値!$E160:$CZ160,1,$BM160+1):INDEX(終値!$E160:$CZ160,1,$BM160+20))+2*STDEVP(INDEX(終値!$E160:$CZ160,1,$BM160+1):INDEX(終値!$E160:$CZ160,1,$BM160+20)))</f>
      </c>
      <c r="BT160" s="681">
        <f>IFERROR(IF(AND($BD160&gt;=2,ABS($BG160-$BH160)/$BH160&lt;=BB設定!$B$12,$BI160&gt;=MAX($BH160,$BG160)*(1+BB設定!$B$13),終値!E160&gt;$BG160),IF(OR(終値!E160&gt;=$BI160,AND($BH160&lt;$BJ160,$BG160&gt;=$BK160)),"二番底W▲","二番底W形成"),IF(AND($BL160&gt;=2,ABS($BO160-$BP160)/$BP160&lt;=BB設定!$B$12,$BQ160&lt;=MIN($BP160,$BO160)*(1-BB設定!$B$13),終値!E160&lt;$BO160),IF(OR(終値!E160&lt;=$BQ160,AND($BP160&gt;$BR160,$BO160&lt;=$BS160)),"二番天井M▼","二番天井M形成"),"－")),"－")</f>
      </c>
    </row>
    <row r="161">
      <c r="B161" s="684">
        <f>IF(終値!A161="","",IF(AND(安値!G161&lt;安値!F161,安値!G161&lt;安値!E161,安値!G161&lt;安値!H161,安値!G161&lt;安値!I161),2,""))</f>
      </c>
      <c r="C161" s="684">
        <f>IF(終値!A161="","",IF(AND(安値!H161&lt;安値!G161,安値!H161&lt;安値!F161,安値!H161&lt;安値!I161,安値!H161&lt;安値!J161),3,""))</f>
      </c>
      <c r="D161" s="684">
        <f>IF(終値!A161="","",IF(AND(安値!I161&lt;安値!H161,安値!I161&lt;安値!G161,安値!I161&lt;安値!J161,安値!I161&lt;安値!K161),4,""))</f>
      </c>
      <c r="E161" s="684">
        <f>IF(終値!A161="","",IF(AND(安値!J161&lt;安値!I161,安値!J161&lt;安値!H161,安値!J161&lt;安値!K161,安値!J161&lt;安値!L161),5,""))</f>
      </c>
      <c r="F161" s="684">
        <f>IF(終値!A161="","",IF(AND(安値!K161&lt;安値!J161,安値!K161&lt;安値!I161,安値!K161&lt;安値!L161,安値!K161&lt;安値!M161),6,""))</f>
      </c>
      <c r="G161" s="684">
        <f>IF(終値!A161="","",IF(AND(安値!L161&lt;安値!K161,安値!L161&lt;安値!J161,安値!L161&lt;安値!M161,安値!L161&lt;安値!N161),7,""))</f>
      </c>
      <c r="H161" s="684">
        <f>IF(終値!A161="","",IF(AND(安値!M161&lt;安値!L161,安値!M161&lt;安値!K161,安値!M161&lt;安値!N161,安値!M161&lt;安値!O161),8,""))</f>
      </c>
      <c r="I161" s="684">
        <f>IF(終値!A161="","",IF(AND(安値!N161&lt;安値!M161,安値!N161&lt;安値!L161,安値!N161&lt;安値!O161,安値!N161&lt;安値!P161),9,""))</f>
      </c>
      <c r="J161" s="684">
        <f>IF(終値!A161="","",IF(AND(安値!O161&lt;安値!N161,安値!O161&lt;安値!M161,安値!O161&lt;安値!P161,安値!O161&lt;安値!Q161),10,""))</f>
      </c>
      <c r="K161" s="684">
        <f>IF(終値!A161="","",IF(AND(安値!P161&lt;安値!O161,安値!P161&lt;安値!N161,安値!P161&lt;安値!Q161,安値!P161&lt;安値!R161),11,""))</f>
      </c>
      <c r="L161" s="684">
        <f>IF(終値!A161="","",IF(AND(安値!Q161&lt;安値!P161,安値!Q161&lt;安値!O161,安値!Q161&lt;安値!R161,安値!Q161&lt;安値!S161),12,""))</f>
      </c>
      <c r="M161" s="684">
        <f>IF(終値!A161="","",IF(AND(安値!R161&lt;安値!Q161,安値!R161&lt;安値!P161,安値!R161&lt;安値!S161,安値!R161&lt;安値!T161),13,""))</f>
      </c>
      <c r="N161" s="684">
        <f>IF(終値!A161="","",IF(AND(安値!S161&lt;安値!R161,安値!S161&lt;安値!Q161,安値!S161&lt;安値!T161,安値!S161&lt;安値!U161),14,""))</f>
      </c>
      <c r="O161" s="684">
        <f>IF(終値!A161="","",IF(AND(安値!T161&lt;安値!S161,安値!T161&lt;安値!R161,安値!T161&lt;安値!U161,安値!T161&lt;安値!V161),15,""))</f>
      </c>
      <c r="P161" s="684">
        <f>IF(終値!A161="","",IF(AND(安値!U161&lt;安値!T161,安値!U161&lt;安値!S161,安値!U161&lt;安値!V161,安値!U161&lt;安値!W161),16,""))</f>
      </c>
      <c r="Q161" s="684">
        <f>IF(終値!A161="","",IF(AND(安値!V161&lt;安値!U161,安値!V161&lt;安値!T161,安値!V161&lt;安値!W161,安値!V161&lt;安値!X161),17,""))</f>
      </c>
      <c r="R161" s="684">
        <f>IF(終値!A161="","",IF(AND(安値!W161&lt;安値!V161,安値!W161&lt;安値!U161,安値!W161&lt;安値!X161,安値!W161&lt;安値!Y161),18,""))</f>
      </c>
      <c r="S161" s="684">
        <f>IF(終値!A161="","",IF(AND(安値!X161&lt;安値!W161,安値!X161&lt;安値!V161,安値!X161&lt;安値!Y161,安値!X161&lt;安値!Z161),19,""))</f>
      </c>
      <c r="T161" s="684">
        <f>IF(終値!A161="","",IF(AND(安値!Y161&lt;安値!X161,安値!Y161&lt;安値!W161,安値!Y161&lt;安値!Z161,安値!Y161&lt;安値!AA161),20,""))</f>
      </c>
      <c r="U161" s="684">
        <f>IF(終値!A161="","",IF(AND(安値!Z161&lt;安値!Y161,安値!Z161&lt;安値!X161,安値!Z161&lt;安値!AA161,安値!Z161&lt;安値!AB161),21,""))</f>
      </c>
      <c r="V161" s="684">
        <f>IF(終値!A161="","",IF(AND(安値!AA161&lt;安値!Z161,安値!AA161&lt;安値!Y161,安値!AA161&lt;安値!AB161,安値!AA161&lt;安値!AC161),22,""))</f>
      </c>
      <c r="W161" s="684">
        <f>IF(終値!A161="","",IF(AND(安値!AB161&lt;安値!AA161,安値!AB161&lt;安値!Z161,安値!AB161&lt;安値!AC161,安値!AB161&lt;安値!AD161),23,""))</f>
      </c>
      <c r="X161" s="684">
        <f>IF(終値!A161="","",IF(AND(安値!AC161&lt;安値!AB161,安値!AC161&lt;安値!AA161,安値!AC161&lt;安値!AD161,安値!AC161&lt;安値!AE161),24,""))</f>
      </c>
      <c r="Y161" s="684">
        <f>IF(終値!A161="","",IF(AND(安値!AD161&lt;安値!AC161,安値!AD161&lt;安値!AB161,安値!AD161&lt;安値!AE161,安値!AD161&lt;安値!AF161),25,""))</f>
      </c>
      <c r="Z161" s="684">
        <f>IF(終値!A161="","",IF(AND(安値!AE161&lt;安値!AD161,安値!AE161&lt;安値!AC161,安値!AE161&lt;安値!AF161,安値!AE161&lt;安値!AG161),26,""))</f>
      </c>
      <c r="AA161" s="684">
        <f>IF(終値!A161="","",IF(AND(安値!AF161&lt;安値!AE161,安値!AF161&lt;安値!AD161,安値!AF161&lt;安値!AG161,安値!AF161&lt;安値!AH161),27,""))</f>
      </c>
      <c r="AB161" s="684">
        <f>IF(終値!A161="","",IF(AND(安値!AG161&lt;安値!AF161,安値!AG161&lt;安値!AE161,安値!AG161&lt;安値!AH161,安値!AG161&lt;安値!AI161),28,""))</f>
      </c>
      <c r="AC161" s="684">
        <f>IF(終値!A161="","",IF(AND(高値!G161&gt;高値!F161,高値!G161&gt;高値!E161,高値!G161&gt;高値!H161,高値!G161&gt;高値!I161),2,""))</f>
      </c>
      <c r="AD161" s="684">
        <f>IF(終値!A161="","",IF(AND(高値!H161&gt;高値!G161,高値!H161&gt;高値!F161,高値!H161&gt;高値!I161,高値!H161&gt;高値!J161),3,""))</f>
      </c>
      <c r="AE161" s="684">
        <f>IF(終値!A161="","",IF(AND(高値!I161&gt;高値!H161,高値!I161&gt;高値!G161,高値!I161&gt;高値!J161,高値!I161&gt;高値!K161),4,""))</f>
      </c>
      <c r="AF161" s="684">
        <f>IF(終値!A161="","",IF(AND(高値!J161&gt;高値!I161,高値!J161&gt;高値!H161,高値!J161&gt;高値!K161,高値!J161&gt;高値!L161),5,""))</f>
      </c>
      <c r="AG161" s="684">
        <f>IF(終値!A161="","",IF(AND(高値!K161&gt;高値!J161,高値!K161&gt;高値!I161,高値!K161&gt;高値!L161,高値!K161&gt;高値!M161),6,""))</f>
      </c>
      <c r="AH161" s="684">
        <f>IF(終値!A161="","",IF(AND(高値!L161&gt;高値!K161,高値!L161&gt;高値!J161,高値!L161&gt;高値!M161,高値!L161&gt;高値!N161),7,""))</f>
      </c>
      <c r="AI161" s="684">
        <f>IF(終値!A161="","",IF(AND(高値!M161&gt;高値!L161,高値!M161&gt;高値!K161,高値!M161&gt;高値!N161,高値!M161&gt;高値!O161),8,""))</f>
      </c>
      <c r="AJ161" s="684">
        <f>IF(終値!A161="","",IF(AND(高値!N161&gt;高値!M161,高値!N161&gt;高値!L161,高値!N161&gt;高値!O161,高値!N161&gt;高値!P161),9,""))</f>
      </c>
      <c r="AK161" s="684">
        <f>IF(終値!A161="","",IF(AND(高値!O161&gt;高値!N161,高値!O161&gt;高値!M161,高値!O161&gt;高値!P161,高値!O161&gt;高値!Q161),10,""))</f>
      </c>
      <c r="AL161" s="684">
        <f>IF(終値!A161="","",IF(AND(高値!P161&gt;高値!O161,高値!P161&gt;高値!N161,高値!P161&gt;高値!Q161,高値!P161&gt;高値!R161),11,""))</f>
      </c>
      <c r="AM161" s="684">
        <f>IF(終値!A161="","",IF(AND(高値!Q161&gt;高値!P161,高値!Q161&gt;高値!O161,高値!Q161&gt;高値!R161,高値!Q161&gt;高値!S161),12,""))</f>
      </c>
      <c r="AN161" s="684">
        <f>IF(終値!A161="","",IF(AND(高値!R161&gt;高値!Q161,高値!R161&gt;高値!P161,高値!R161&gt;高値!S161,高値!R161&gt;高値!T161),13,""))</f>
      </c>
      <c r="AO161" s="684">
        <f>IF(終値!A161="","",IF(AND(高値!S161&gt;高値!R161,高値!S161&gt;高値!Q161,高値!S161&gt;高値!T161,高値!S161&gt;高値!U161),14,""))</f>
      </c>
      <c r="AP161" s="684">
        <f>IF(終値!A161="","",IF(AND(高値!T161&gt;高値!S161,高値!T161&gt;高値!R161,高値!T161&gt;高値!U161,高値!T161&gt;高値!V161),15,""))</f>
      </c>
      <c r="AQ161" s="684">
        <f>IF(終値!A161="","",IF(AND(高値!U161&gt;高値!T161,高値!U161&gt;高値!S161,高値!U161&gt;高値!V161,高値!U161&gt;高値!W161),16,""))</f>
      </c>
      <c r="AR161" s="684">
        <f>IF(終値!A161="","",IF(AND(高値!V161&gt;高値!U161,高値!V161&gt;高値!T161,高値!V161&gt;高値!W161,高値!V161&gt;高値!X161),17,""))</f>
      </c>
      <c r="AS161" s="684">
        <f>IF(終値!A161="","",IF(AND(高値!W161&gt;高値!V161,高値!W161&gt;高値!U161,高値!W161&gt;高値!X161,高値!W161&gt;高値!Y161),18,""))</f>
      </c>
      <c r="AT161" s="684">
        <f>IF(終値!A161="","",IF(AND(高値!X161&gt;高値!W161,高値!X161&gt;高値!V161,高値!X161&gt;高値!Y161,高値!X161&gt;高値!Z161),19,""))</f>
      </c>
      <c r="AU161" s="684">
        <f>IF(終値!A161="","",IF(AND(高値!Y161&gt;高値!X161,高値!Y161&gt;高値!W161,高値!Y161&gt;高値!Z161,高値!Y161&gt;高値!AA161),20,""))</f>
      </c>
      <c r="AV161" s="684">
        <f>IF(終値!A161="","",IF(AND(高値!Z161&gt;高値!Y161,高値!Z161&gt;高値!X161,高値!Z161&gt;高値!AA161,高値!Z161&gt;高値!AB161),21,""))</f>
      </c>
      <c r="AW161" s="684">
        <f>IF(終値!A161="","",IF(AND(高値!AA161&gt;高値!Z161,高値!AA161&gt;高値!Y161,高値!AA161&gt;高値!AB161,高値!AA161&gt;高値!AC161),22,""))</f>
      </c>
      <c r="AX161" s="684">
        <f>IF(終値!A161="","",IF(AND(高値!AB161&gt;高値!AA161,高値!AB161&gt;高値!Z161,高値!AB161&gt;高値!AC161,高値!AB161&gt;高値!AD161),23,""))</f>
      </c>
      <c r="AY161" s="684">
        <f>IF(終値!A161="","",IF(AND(高値!AC161&gt;高値!AB161,高値!AC161&gt;高値!AA161,高値!AC161&gt;高値!AD161,高値!AC161&gt;高値!AE161),24,""))</f>
      </c>
      <c r="AZ161" s="684">
        <f>IF(終値!A161="","",IF(AND(高値!AD161&gt;高値!AC161,高値!AD161&gt;高値!AB161,高値!AD161&gt;高値!AE161,高値!AD161&gt;高値!AF161),25,""))</f>
      </c>
      <c r="BA161" s="684">
        <f>IF(終値!A161="","",IF(AND(高値!AE161&gt;高値!AD161,高値!AE161&gt;高値!AC161,高値!AE161&gt;高値!AF161,高値!AE161&gt;高値!AG161),26,""))</f>
      </c>
      <c r="BB161" s="684">
        <f>IF(終値!A161="","",IF(AND(高値!AF161&gt;高値!AE161,高値!AF161&gt;高値!AD161,高値!AF161&gt;高値!AG161,高値!AF161&gt;高値!AH161),27,""))</f>
      </c>
      <c r="BC161" s="684">
        <f>IF(終値!A161="","",IF(AND(高値!AG161&gt;高値!AF161,高値!AG161&gt;高値!AE161,高値!AG161&gt;高値!AH161,高値!AG161&gt;高値!AI161),28,""))</f>
      </c>
      <c r="BD161" s="684">
        <f>COUNT($B161:$AB161)</f>
      </c>
      <c r="BE161" s="684">
        <f>IF($BD161&gt;=2,MIN($B161:$AB161),"")</f>
      </c>
      <c r="BF161" s="684">
        <f>IF($BD161&gt;=2,SMALL($B161:$AB161,2),"")</f>
      </c>
      <c r="BG161" s="684">
        <f>IF($BE161="","",INDEX(安値!$E161:$CZ161,1,$BE161+1))</f>
      </c>
      <c r="BH161" s="684">
        <f>IF($BF161="","",INDEX(安値!$E161:$CZ161,1,$BF161+1))</f>
      </c>
      <c r="BI161" s="684">
        <f>IF($BF161="","",MAX(INDEX(高値!$E161:$CZ161,1,$BE161+1):INDEX(高値!$E161:$CZ161,1,$BF161+1)))</f>
      </c>
      <c r="BJ161" s="684">
        <f>IF($BF161="","",AVERAGE(INDEX(終値!$E161:$CZ161,1,$BF161+1):INDEX(終値!$E161:$CZ161,1,$BF161+20))-2*STDEVP(INDEX(終値!$E161:$CZ161,1,$BF161+1):INDEX(終値!$E161:$CZ161,1,$BF161+20)))</f>
      </c>
      <c r="BK161" s="684">
        <f>IF($BE161="","",AVERAGE(INDEX(終値!$E161:$CZ161,1,$BE161+1):INDEX(終値!$E161:$CZ161,1,$BE161+20))-2*STDEVP(INDEX(終値!$E161:$CZ161,1,$BE161+1):INDEX(終値!$E161:$CZ161,1,$BE161+20)))</f>
      </c>
      <c r="BL161" s="684">
        <f>COUNT($AC161:$BC161)</f>
      </c>
      <c r="BM161" s="684">
        <f>IF($BL161&gt;=2,MIN($AC161:$BC161),"")</f>
      </c>
      <c r="BN161" s="684">
        <f>IF($BL161&gt;=2,SMALL($AC161:$BC161,2),"")</f>
      </c>
      <c r="BO161" s="684">
        <f>IF($BM161="","",INDEX(高値!$E161:$CZ161,1,$BM161+1))</f>
      </c>
      <c r="BP161" s="684">
        <f>IF($BN161="","",INDEX(高値!$E161:$CZ161,1,$BN161+1))</f>
      </c>
      <c r="BQ161" s="684">
        <f>IF($BN161="","",MIN(INDEX(安値!$E161:$CZ161,1,$BM161+1):INDEX(安値!$E161:$CZ161,1,$BN161+1)))</f>
      </c>
      <c r="BR161" s="684">
        <f>IF($BN161="","",AVERAGE(INDEX(終値!$E161:$CZ161,1,$BN161+1):INDEX(終値!$E161:$CZ161,1,$BN161+20))+2*STDEVP(INDEX(終値!$E161:$CZ161,1,$BN161+1):INDEX(終値!$E161:$CZ161,1,$BN161+20)))</f>
      </c>
      <c r="BS161" s="684">
        <f>IF($BM161="","",AVERAGE(INDEX(終値!$E161:$CZ161,1,$BM161+1):INDEX(終値!$E161:$CZ161,1,$BM161+20))+2*STDEVP(INDEX(終値!$E161:$CZ161,1,$BM161+1):INDEX(終値!$E161:$CZ161,1,$BM161+20)))</f>
      </c>
      <c r="BT161" s="681">
        <f>IFERROR(IF(AND($BD161&gt;=2,ABS($BG161-$BH161)/$BH161&lt;=BB設定!$B$12,$BI161&gt;=MAX($BH161,$BG161)*(1+BB設定!$B$13),終値!E161&gt;$BG161),IF(OR(終値!E161&gt;=$BI161,AND($BH161&lt;$BJ161,$BG161&gt;=$BK161)),"二番底W▲","二番底W形成"),IF(AND($BL161&gt;=2,ABS($BO161-$BP161)/$BP161&lt;=BB設定!$B$12,$BQ161&lt;=MIN($BP161,$BO161)*(1-BB設定!$B$13),終値!E161&lt;$BO161),IF(OR(終値!E161&lt;=$BQ161,AND($BP161&gt;$BR161,$BO161&lt;=$BS161)),"二番天井M▼","二番天井M形成"),"－")),"－")</f>
      </c>
    </row>
    <row r="162">
      <c r="B162" s="684">
        <f>IF(終値!A162="","",IF(AND(安値!G162&lt;安値!F162,安値!G162&lt;安値!E162,安値!G162&lt;安値!H162,安値!G162&lt;安値!I162),2,""))</f>
      </c>
      <c r="C162" s="684">
        <f>IF(終値!A162="","",IF(AND(安値!H162&lt;安値!G162,安値!H162&lt;安値!F162,安値!H162&lt;安値!I162,安値!H162&lt;安値!J162),3,""))</f>
      </c>
      <c r="D162" s="684">
        <f>IF(終値!A162="","",IF(AND(安値!I162&lt;安値!H162,安値!I162&lt;安値!G162,安値!I162&lt;安値!J162,安値!I162&lt;安値!K162),4,""))</f>
      </c>
      <c r="E162" s="684">
        <f>IF(終値!A162="","",IF(AND(安値!J162&lt;安値!I162,安値!J162&lt;安値!H162,安値!J162&lt;安値!K162,安値!J162&lt;安値!L162),5,""))</f>
      </c>
      <c r="F162" s="684">
        <f>IF(終値!A162="","",IF(AND(安値!K162&lt;安値!J162,安値!K162&lt;安値!I162,安値!K162&lt;安値!L162,安値!K162&lt;安値!M162),6,""))</f>
      </c>
      <c r="G162" s="684">
        <f>IF(終値!A162="","",IF(AND(安値!L162&lt;安値!K162,安値!L162&lt;安値!J162,安値!L162&lt;安値!M162,安値!L162&lt;安値!N162),7,""))</f>
      </c>
      <c r="H162" s="684">
        <f>IF(終値!A162="","",IF(AND(安値!M162&lt;安値!L162,安値!M162&lt;安値!K162,安値!M162&lt;安値!N162,安値!M162&lt;安値!O162),8,""))</f>
      </c>
      <c r="I162" s="684">
        <f>IF(終値!A162="","",IF(AND(安値!N162&lt;安値!M162,安値!N162&lt;安値!L162,安値!N162&lt;安値!O162,安値!N162&lt;安値!P162),9,""))</f>
      </c>
      <c r="J162" s="684">
        <f>IF(終値!A162="","",IF(AND(安値!O162&lt;安値!N162,安値!O162&lt;安値!M162,安値!O162&lt;安値!P162,安値!O162&lt;安値!Q162),10,""))</f>
      </c>
      <c r="K162" s="684">
        <f>IF(終値!A162="","",IF(AND(安値!P162&lt;安値!O162,安値!P162&lt;安値!N162,安値!P162&lt;安値!Q162,安値!P162&lt;安値!R162),11,""))</f>
      </c>
      <c r="L162" s="684">
        <f>IF(終値!A162="","",IF(AND(安値!Q162&lt;安値!P162,安値!Q162&lt;安値!O162,安値!Q162&lt;安値!R162,安値!Q162&lt;安値!S162),12,""))</f>
      </c>
      <c r="M162" s="684">
        <f>IF(終値!A162="","",IF(AND(安値!R162&lt;安値!Q162,安値!R162&lt;安値!P162,安値!R162&lt;安値!S162,安値!R162&lt;安値!T162),13,""))</f>
      </c>
      <c r="N162" s="684">
        <f>IF(終値!A162="","",IF(AND(安値!S162&lt;安値!R162,安値!S162&lt;安値!Q162,安値!S162&lt;安値!T162,安値!S162&lt;安値!U162),14,""))</f>
      </c>
      <c r="O162" s="684">
        <f>IF(終値!A162="","",IF(AND(安値!T162&lt;安値!S162,安値!T162&lt;安値!R162,安値!T162&lt;安値!U162,安値!T162&lt;安値!V162),15,""))</f>
      </c>
      <c r="P162" s="684">
        <f>IF(終値!A162="","",IF(AND(安値!U162&lt;安値!T162,安値!U162&lt;安値!S162,安値!U162&lt;安値!V162,安値!U162&lt;安値!W162),16,""))</f>
      </c>
      <c r="Q162" s="684">
        <f>IF(終値!A162="","",IF(AND(安値!V162&lt;安値!U162,安値!V162&lt;安値!T162,安値!V162&lt;安値!W162,安値!V162&lt;安値!X162),17,""))</f>
      </c>
      <c r="R162" s="684">
        <f>IF(終値!A162="","",IF(AND(安値!W162&lt;安値!V162,安値!W162&lt;安値!U162,安値!W162&lt;安値!X162,安値!W162&lt;安値!Y162),18,""))</f>
      </c>
      <c r="S162" s="684">
        <f>IF(終値!A162="","",IF(AND(安値!X162&lt;安値!W162,安値!X162&lt;安値!V162,安値!X162&lt;安値!Y162,安値!X162&lt;安値!Z162),19,""))</f>
      </c>
      <c r="T162" s="684">
        <f>IF(終値!A162="","",IF(AND(安値!Y162&lt;安値!X162,安値!Y162&lt;安値!W162,安値!Y162&lt;安値!Z162,安値!Y162&lt;安値!AA162),20,""))</f>
      </c>
      <c r="U162" s="684">
        <f>IF(終値!A162="","",IF(AND(安値!Z162&lt;安値!Y162,安値!Z162&lt;安値!X162,安値!Z162&lt;安値!AA162,安値!Z162&lt;安値!AB162),21,""))</f>
      </c>
      <c r="V162" s="684">
        <f>IF(終値!A162="","",IF(AND(安値!AA162&lt;安値!Z162,安値!AA162&lt;安値!Y162,安値!AA162&lt;安値!AB162,安値!AA162&lt;安値!AC162),22,""))</f>
      </c>
      <c r="W162" s="684">
        <f>IF(終値!A162="","",IF(AND(安値!AB162&lt;安値!AA162,安値!AB162&lt;安値!Z162,安値!AB162&lt;安値!AC162,安値!AB162&lt;安値!AD162),23,""))</f>
      </c>
      <c r="X162" s="684">
        <f>IF(終値!A162="","",IF(AND(安値!AC162&lt;安値!AB162,安値!AC162&lt;安値!AA162,安値!AC162&lt;安値!AD162,安値!AC162&lt;安値!AE162),24,""))</f>
      </c>
      <c r="Y162" s="684">
        <f>IF(終値!A162="","",IF(AND(安値!AD162&lt;安値!AC162,安値!AD162&lt;安値!AB162,安値!AD162&lt;安値!AE162,安値!AD162&lt;安値!AF162),25,""))</f>
      </c>
      <c r="Z162" s="684">
        <f>IF(終値!A162="","",IF(AND(安値!AE162&lt;安値!AD162,安値!AE162&lt;安値!AC162,安値!AE162&lt;安値!AF162,安値!AE162&lt;安値!AG162),26,""))</f>
      </c>
      <c r="AA162" s="684">
        <f>IF(終値!A162="","",IF(AND(安値!AF162&lt;安値!AE162,安値!AF162&lt;安値!AD162,安値!AF162&lt;安値!AG162,安値!AF162&lt;安値!AH162),27,""))</f>
      </c>
      <c r="AB162" s="684">
        <f>IF(終値!A162="","",IF(AND(安値!AG162&lt;安値!AF162,安値!AG162&lt;安値!AE162,安値!AG162&lt;安値!AH162,安値!AG162&lt;安値!AI162),28,""))</f>
      </c>
      <c r="AC162" s="684">
        <f>IF(終値!A162="","",IF(AND(高値!G162&gt;高値!F162,高値!G162&gt;高値!E162,高値!G162&gt;高値!H162,高値!G162&gt;高値!I162),2,""))</f>
      </c>
      <c r="AD162" s="684">
        <f>IF(終値!A162="","",IF(AND(高値!H162&gt;高値!G162,高値!H162&gt;高値!F162,高値!H162&gt;高値!I162,高値!H162&gt;高値!J162),3,""))</f>
      </c>
      <c r="AE162" s="684">
        <f>IF(終値!A162="","",IF(AND(高値!I162&gt;高値!H162,高値!I162&gt;高値!G162,高値!I162&gt;高値!J162,高値!I162&gt;高値!K162),4,""))</f>
      </c>
      <c r="AF162" s="684">
        <f>IF(終値!A162="","",IF(AND(高値!J162&gt;高値!I162,高値!J162&gt;高値!H162,高値!J162&gt;高値!K162,高値!J162&gt;高値!L162),5,""))</f>
      </c>
      <c r="AG162" s="684">
        <f>IF(終値!A162="","",IF(AND(高値!K162&gt;高値!J162,高値!K162&gt;高値!I162,高値!K162&gt;高値!L162,高値!K162&gt;高値!M162),6,""))</f>
      </c>
      <c r="AH162" s="684">
        <f>IF(終値!A162="","",IF(AND(高値!L162&gt;高値!K162,高値!L162&gt;高値!J162,高値!L162&gt;高値!M162,高値!L162&gt;高値!N162),7,""))</f>
      </c>
      <c r="AI162" s="684">
        <f>IF(終値!A162="","",IF(AND(高値!M162&gt;高値!L162,高値!M162&gt;高値!K162,高値!M162&gt;高値!N162,高値!M162&gt;高値!O162),8,""))</f>
      </c>
      <c r="AJ162" s="684">
        <f>IF(終値!A162="","",IF(AND(高値!N162&gt;高値!M162,高値!N162&gt;高値!L162,高値!N162&gt;高値!O162,高値!N162&gt;高値!P162),9,""))</f>
      </c>
      <c r="AK162" s="684">
        <f>IF(終値!A162="","",IF(AND(高値!O162&gt;高値!N162,高値!O162&gt;高値!M162,高値!O162&gt;高値!P162,高値!O162&gt;高値!Q162),10,""))</f>
      </c>
      <c r="AL162" s="684">
        <f>IF(終値!A162="","",IF(AND(高値!P162&gt;高値!O162,高値!P162&gt;高値!N162,高値!P162&gt;高値!Q162,高値!P162&gt;高値!R162),11,""))</f>
      </c>
      <c r="AM162" s="684">
        <f>IF(終値!A162="","",IF(AND(高値!Q162&gt;高値!P162,高値!Q162&gt;高値!O162,高値!Q162&gt;高値!R162,高値!Q162&gt;高値!S162),12,""))</f>
      </c>
      <c r="AN162" s="684">
        <f>IF(終値!A162="","",IF(AND(高値!R162&gt;高値!Q162,高値!R162&gt;高値!P162,高値!R162&gt;高値!S162,高値!R162&gt;高値!T162),13,""))</f>
      </c>
      <c r="AO162" s="684">
        <f>IF(終値!A162="","",IF(AND(高値!S162&gt;高値!R162,高値!S162&gt;高値!Q162,高値!S162&gt;高値!T162,高値!S162&gt;高値!U162),14,""))</f>
      </c>
      <c r="AP162" s="684">
        <f>IF(終値!A162="","",IF(AND(高値!T162&gt;高値!S162,高値!T162&gt;高値!R162,高値!T162&gt;高値!U162,高値!T162&gt;高値!V162),15,""))</f>
      </c>
      <c r="AQ162" s="684">
        <f>IF(終値!A162="","",IF(AND(高値!U162&gt;高値!T162,高値!U162&gt;高値!S162,高値!U162&gt;高値!V162,高値!U162&gt;高値!W162),16,""))</f>
      </c>
      <c r="AR162" s="684">
        <f>IF(終値!A162="","",IF(AND(高値!V162&gt;高値!U162,高値!V162&gt;高値!T162,高値!V162&gt;高値!W162,高値!V162&gt;高値!X162),17,""))</f>
      </c>
      <c r="AS162" s="684">
        <f>IF(終値!A162="","",IF(AND(高値!W162&gt;高値!V162,高値!W162&gt;高値!U162,高値!W162&gt;高値!X162,高値!W162&gt;高値!Y162),18,""))</f>
      </c>
      <c r="AT162" s="684">
        <f>IF(終値!A162="","",IF(AND(高値!X162&gt;高値!W162,高値!X162&gt;高値!V162,高値!X162&gt;高値!Y162,高値!X162&gt;高値!Z162),19,""))</f>
      </c>
      <c r="AU162" s="684">
        <f>IF(終値!A162="","",IF(AND(高値!Y162&gt;高値!X162,高値!Y162&gt;高値!W162,高値!Y162&gt;高値!Z162,高値!Y162&gt;高値!AA162),20,""))</f>
      </c>
      <c r="AV162" s="684">
        <f>IF(終値!A162="","",IF(AND(高値!Z162&gt;高値!Y162,高値!Z162&gt;高値!X162,高値!Z162&gt;高値!AA162,高値!Z162&gt;高値!AB162),21,""))</f>
      </c>
      <c r="AW162" s="684">
        <f>IF(終値!A162="","",IF(AND(高値!AA162&gt;高値!Z162,高値!AA162&gt;高値!Y162,高値!AA162&gt;高値!AB162,高値!AA162&gt;高値!AC162),22,""))</f>
      </c>
      <c r="AX162" s="684">
        <f>IF(終値!A162="","",IF(AND(高値!AB162&gt;高値!AA162,高値!AB162&gt;高値!Z162,高値!AB162&gt;高値!AC162,高値!AB162&gt;高値!AD162),23,""))</f>
      </c>
      <c r="AY162" s="684">
        <f>IF(終値!A162="","",IF(AND(高値!AC162&gt;高値!AB162,高値!AC162&gt;高値!AA162,高値!AC162&gt;高値!AD162,高値!AC162&gt;高値!AE162),24,""))</f>
      </c>
      <c r="AZ162" s="684">
        <f>IF(終値!A162="","",IF(AND(高値!AD162&gt;高値!AC162,高値!AD162&gt;高値!AB162,高値!AD162&gt;高値!AE162,高値!AD162&gt;高値!AF162),25,""))</f>
      </c>
      <c r="BA162" s="684">
        <f>IF(終値!A162="","",IF(AND(高値!AE162&gt;高値!AD162,高値!AE162&gt;高値!AC162,高値!AE162&gt;高値!AF162,高値!AE162&gt;高値!AG162),26,""))</f>
      </c>
      <c r="BB162" s="684">
        <f>IF(終値!A162="","",IF(AND(高値!AF162&gt;高値!AE162,高値!AF162&gt;高値!AD162,高値!AF162&gt;高値!AG162,高値!AF162&gt;高値!AH162),27,""))</f>
      </c>
      <c r="BC162" s="684">
        <f>IF(終値!A162="","",IF(AND(高値!AG162&gt;高値!AF162,高値!AG162&gt;高値!AE162,高値!AG162&gt;高値!AH162,高値!AG162&gt;高値!AI162),28,""))</f>
      </c>
      <c r="BD162" s="684">
        <f>COUNT($B162:$AB162)</f>
      </c>
      <c r="BE162" s="684">
        <f>IF($BD162&gt;=2,MIN($B162:$AB162),"")</f>
      </c>
      <c r="BF162" s="684">
        <f>IF($BD162&gt;=2,SMALL($B162:$AB162,2),"")</f>
      </c>
      <c r="BG162" s="684">
        <f>IF($BE162="","",INDEX(安値!$E162:$CZ162,1,$BE162+1))</f>
      </c>
      <c r="BH162" s="684">
        <f>IF($BF162="","",INDEX(安値!$E162:$CZ162,1,$BF162+1))</f>
      </c>
      <c r="BI162" s="684">
        <f>IF($BF162="","",MAX(INDEX(高値!$E162:$CZ162,1,$BE162+1):INDEX(高値!$E162:$CZ162,1,$BF162+1)))</f>
      </c>
      <c r="BJ162" s="684">
        <f>IF($BF162="","",AVERAGE(INDEX(終値!$E162:$CZ162,1,$BF162+1):INDEX(終値!$E162:$CZ162,1,$BF162+20))-2*STDEVP(INDEX(終値!$E162:$CZ162,1,$BF162+1):INDEX(終値!$E162:$CZ162,1,$BF162+20)))</f>
      </c>
      <c r="BK162" s="684">
        <f>IF($BE162="","",AVERAGE(INDEX(終値!$E162:$CZ162,1,$BE162+1):INDEX(終値!$E162:$CZ162,1,$BE162+20))-2*STDEVP(INDEX(終値!$E162:$CZ162,1,$BE162+1):INDEX(終値!$E162:$CZ162,1,$BE162+20)))</f>
      </c>
      <c r="BL162" s="684">
        <f>COUNT($AC162:$BC162)</f>
      </c>
      <c r="BM162" s="684">
        <f>IF($BL162&gt;=2,MIN($AC162:$BC162),"")</f>
      </c>
      <c r="BN162" s="684">
        <f>IF($BL162&gt;=2,SMALL($AC162:$BC162,2),"")</f>
      </c>
      <c r="BO162" s="684">
        <f>IF($BM162="","",INDEX(高値!$E162:$CZ162,1,$BM162+1))</f>
      </c>
      <c r="BP162" s="684">
        <f>IF($BN162="","",INDEX(高値!$E162:$CZ162,1,$BN162+1))</f>
      </c>
      <c r="BQ162" s="684">
        <f>IF($BN162="","",MIN(INDEX(安値!$E162:$CZ162,1,$BM162+1):INDEX(安値!$E162:$CZ162,1,$BN162+1)))</f>
      </c>
      <c r="BR162" s="684">
        <f>IF($BN162="","",AVERAGE(INDEX(終値!$E162:$CZ162,1,$BN162+1):INDEX(終値!$E162:$CZ162,1,$BN162+20))+2*STDEVP(INDEX(終値!$E162:$CZ162,1,$BN162+1):INDEX(終値!$E162:$CZ162,1,$BN162+20)))</f>
      </c>
      <c r="BS162" s="684">
        <f>IF($BM162="","",AVERAGE(INDEX(終値!$E162:$CZ162,1,$BM162+1):INDEX(終値!$E162:$CZ162,1,$BM162+20))+2*STDEVP(INDEX(終値!$E162:$CZ162,1,$BM162+1):INDEX(終値!$E162:$CZ162,1,$BM162+20)))</f>
      </c>
      <c r="BT162" s="681">
        <f>IFERROR(IF(AND($BD162&gt;=2,ABS($BG162-$BH162)/$BH162&lt;=BB設定!$B$12,$BI162&gt;=MAX($BH162,$BG162)*(1+BB設定!$B$13),終値!E162&gt;$BG162),IF(OR(終値!E162&gt;=$BI162,AND($BH162&lt;$BJ162,$BG162&gt;=$BK162)),"二番底W▲","二番底W形成"),IF(AND($BL162&gt;=2,ABS($BO162-$BP162)/$BP162&lt;=BB設定!$B$12,$BQ162&lt;=MIN($BP162,$BO162)*(1-BB設定!$B$13),終値!E162&lt;$BO162),IF(OR(終値!E162&lt;=$BQ162,AND($BP162&gt;$BR162,$BO162&lt;=$BS162)),"二番天井M▼","二番天井M形成"),"－")),"－")</f>
      </c>
    </row>
    <row r="163">
      <c r="B163" s="684">
        <f>IF(終値!A163="","",IF(AND(安値!G163&lt;安値!F163,安値!G163&lt;安値!E163,安値!G163&lt;安値!H163,安値!G163&lt;安値!I163),2,""))</f>
      </c>
      <c r="C163" s="684">
        <f>IF(終値!A163="","",IF(AND(安値!H163&lt;安値!G163,安値!H163&lt;安値!F163,安値!H163&lt;安値!I163,安値!H163&lt;安値!J163),3,""))</f>
      </c>
      <c r="D163" s="684">
        <f>IF(終値!A163="","",IF(AND(安値!I163&lt;安値!H163,安値!I163&lt;安値!G163,安値!I163&lt;安値!J163,安値!I163&lt;安値!K163),4,""))</f>
      </c>
      <c r="E163" s="684">
        <f>IF(終値!A163="","",IF(AND(安値!J163&lt;安値!I163,安値!J163&lt;安値!H163,安値!J163&lt;安値!K163,安値!J163&lt;安値!L163),5,""))</f>
      </c>
      <c r="F163" s="684">
        <f>IF(終値!A163="","",IF(AND(安値!K163&lt;安値!J163,安値!K163&lt;安値!I163,安値!K163&lt;安値!L163,安値!K163&lt;安値!M163),6,""))</f>
      </c>
      <c r="G163" s="684">
        <f>IF(終値!A163="","",IF(AND(安値!L163&lt;安値!K163,安値!L163&lt;安値!J163,安値!L163&lt;安値!M163,安値!L163&lt;安値!N163),7,""))</f>
      </c>
      <c r="H163" s="684">
        <f>IF(終値!A163="","",IF(AND(安値!M163&lt;安値!L163,安値!M163&lt;安値!K163,安値!M163&lt;安値!N163,安値!M163&lt;安値!O163),8,""))</f>
      </c>
      <c r="I163" s="684">
        <f>IF(終値!A163="","",IF(AND(安値!N163&lt;安値!M163,安値!N163&lt;安値!L163,安値!N163&lt;安値!O163,安値!N163&lt;安値!P163),9,""))</f>
      </c>
      <c r="J163" s="684">
        <f>IF(終値!A163="","",IF(AND(安値!O163&lt;安値!N163,安値!O163&lt;安値!M163,安値!O163&lt;安値!P163,安値!O163&lt;安値!Q163),10,""))</f>
      </c>
      <c r="K163" s="684">
        <f>IF(終値!A163="","",IF(AND(安値!P163&lt;安値!O163,安値!P163&lt;安値!N163,安値!P163&lt;安値!Q163,安値!P163&lt;安値!R163),11,""))</f>
      </c>
      <c r="L163" s="684">
        <f>IF(終値!A163="","",IF(AND(安値!Q163&lt;安値!P163,安値!Q163&lt;安値!O163,安値!Q163&lt;安値!R163,安値!Q163&lt;安値!S163),12,""))</f>
      </c>
      <c r="M163" s="684">
        <f>IF(終値!A163="","",IF(AND(安値!R163&lt;安値!Q163,安値!R163&lt;安値!P163,安値!R163&lt;安値!S163,安値!R163&lt;安値!T163),13,""))</f>
      </c>
      <c r="N163" s="684">
        <f>IF(終値!A163="","",IF(AND(安値!S163&lt;安値!R163,安値!S163&lt;安値!Q163,安値!S163&lt;安値!T163,安値!S163&lt;安値!U163),14,""))</f>
      </c>
      <c r="O163" s="684">
        <f>IF(終値!A163="","",IF(AND(安値!T163&lt;安値!S163,安値!T163&lt;安値!R163,安値!T163&lt;安値!U163,安値!T163&lt;安値!V163),15,""))</f>
      </c>
      <c r="P163" s="684">
        <f>IF(終値!A163="","",IF(AND(安値!U163&lt;安値!T163,安値!U163&lt;安値!S163,安値!U163&lt;安値!V163,安値!U163&lt;安値!W163),16,""))</f>
      </c>
      <c r="Q163" s="684">
        <f>IF(終値!A163="","",IF(AND(安値!V163&lt;安値!U163,安値!V163&lt;安値!T163,安値!V163&lt;安値!W163,安値!V163&lt;安値!X163),17,""))</f>
      </c>
      <c r="R163" s="684">
        <f>IF(終値!A163="","",IF(AND(安値!W163&lt;安値!V163,安値!W163&lt;安値!U163,安値!W163&lt;安値!X163,安値!W163&lt;安値!Y163),18,""))</f>
      </c>
      <c r="S163" s="684">
        <f>IF(終値!A163="","",IF(AND(安値!X163&lt;安値!W163,安値!X163&lt;安値!V163,安値!X163&lt;安値!Y163,安値!X163&lt;安値!Z163),19,""))</f>
      </c>
      <c r="T163" s="684">
        <f>IF(終値!A163="","",IF(AND(安値!Y163&lt;安値!X163,安値!Y163&lt;安値!W163,安値!Y163&lt;安値!Z163,安値!Y163&lt;安値!AA163),20,""))</f>
      </c>
      <c r="U163" s="684">
        <f>IF(終値!A163="","",IF(AND(安値!Z163&lt;安値!Y163,安値!Z163&lt;安値!X163,安値!Z163&lt;安値!AA163,安値!Z163&lt;安値!AB163),21,""))</f>
      </c>
      <c r="V163" s="684">
        <f>IF(終値!A163="","",IF(AND(安値!AA163&lt;安値!Z163,安値!AA163&lt;安値!Y163,安値!AA163&lt;安値!AB163,安値!AA163&lt;安値!AC163),22,""))</f>
      </c>
      <c r="W163" s="684">
        <f>IF(終値!A163="","",IF(AND(安値!AB163&lt;安値!AA163,安値!AB163&lt;安値!Z163,安値!AB163&lt;安値!AC163,安値!AB163&lt;安値!AD163),23,""))</f>
      </c>
      <c r="X163" s="684">
        <f>IF(終値!A163="","",IF(AND(安値!AC163&lt;安値!AB163,安値!AC163&lt;安値!AA163,安値!AC163&lt;安値!AD163,安値!AC163&lt;安値!AE163),24,""))</f>
      </c>
      <c r="Y163" s="684">
        <f>IF(終値!A163="","",IF(AND(安値!AD163&lt;安値!AC163,安値!AD163&lt;安値!AB163,安値!AD163&lt;安値!AE163,安値!AD163&lt;安値!AF163),25,""))</f>
      </c>
      <c r="Z163" s="684">
        <f>IF(終値!A163="","",IF(AND(安値!AE163&lt;安値!AD163,安値!AE163&lt;安値!AC163,安値!AE163&lt;安値!AF163,安値!AE163&lt;安値!AG163),26,""))</f>
      </c>
      <c r="AA163" s="684">
        <f>IF(終値!A163="","",IF(AND(安値!AF163&lt;安値!AE163,安値!AF163&lt;安値!AD163,安値!AF163&lt;安値!AG163,安値!AF163&lt;安値!AH163),27,""))</f>
      </c>
      <c r="AB163" s="684">
        <f>IF(終値!A163="","",IF(AND(安値!AG163&lt;安値!AF163,安値!AG163&lt;安値!AE163,安値!AG163&lt;安値!AH163,安値!AG163&lt;安値!AI163),28,""))</f>
      </c>
      <c r="AC163" s="684">
        <f>IF(終値!A163="","",IF(AND(高値!G163&gt;高値!F163,高値!G163&gt;高値!E163,高値!G163&gt;高値!H163,高値!G163&gt;高値!I163),2,""))</f>
      </c>
      <c r="AD163" s="684">
        <f>IF(終値!A163="","",IF(AND(高値!H163&gt;高値!G163,高値!H163&gt;高値!F163,高値!H163&gt;高値!I163,高値!H163&gt;高値!J163),3,""))</f>
      </c>
      <c r="AE163" s="684">
        <f>IF(終値!A163="","",IF(AND(高値!I163&gt;高値!H163,高値!I163&gt;高値!G163,高値!I163&gt;高値!J163,高値!I163&gt;高値!K163),4,""))</f>
      </c>
      <c r="AF163" s="684">
        <f>IF(終値!A163="","",IF(AND(高値!J163&gt;高値!I163,高値!J163&gt;高値!H163,高値!J163&gt;高値!K163,高値!J163&gt;高値!L163),5,""))</f>
      </c>
      <c r="AG163" s="684">
        <f>IF(終値!A163="","",IF(AND(高値!K163&gt;高値!J163,高値!K163&gt;高値!I163,高値!K163&gt;高値!L163,高値!K163&gt;高値!M163),6,""))</f>
      </c>
      <c r="AH163" s="684">
        <f>IF(終値!A163="","",IF(AND(高値!L163&gt;高値!K163,高値!L163&gt;高値!J163,高値!L163&gt;高値!M163,高値!L163&gt;高値!N163),7,""))</f>
      </c>
      <c r="AI163" s="684">
        <f>IF(終値!A163="","",IF(AND(高値!M163&gt;高値!L163,高値!M163&gt;高値!K163,高値!M163&gt;高値!N163,高値!M163&gt;高値!O163),8,""))</f>
      </c>
      <c r="AJ163" s="684">
        <f>IF(終値!A163="","",IF(AND(高値!N163&gt;高値!M163,高値!N163&gt;高値!L163,高値!N163&gt;高値!O163,高値!N163&gt;高値!P163),9,""))</f>
      </c>
      <c r="AK163" s="684">
        <f>IF(終値!A163="","",IF(AND(高値!O163&gt;高値!N163,高値!O163&gt;高値!M163,高値!O163&gt;高値!P163,高値!O163&gt;高値!Q163),10,""))</f>
      </c>
      <c r="AL163" s="684">
        <f>IF(終値!A163="","",IF(AND(高値!P163&gt;高値!O163,高値!P163&gt;高値!N163,高値!P163&gt;高値!Q163,高値!P163&gt;高値!R163),11,""))</f>
      </c>
      <c r="AM163" s="684">
        <f>IF(終値!A163="","",IF(AND(高値!Q163&gt;高値!P163,高値!Q163&gt;高値!O163,高値!Q163&gt;高値!R163,高値!Q163&gt;高値!S163),12,""))</f>
      </c>
      <c r="AN163" s="684">
        <f>IF(終値!A163="","",IF(AND(高値!R163&gt;高値!Q163,高値!R163&gt;高値!P163,高値!R163&gt;高値!S163,高値!R163&gt;高値!T163),13,""))</f>
      </c>
      <c r="AO163" s="684">
        <f>IF(終値!A163="","",IF(AND(高値!S163&gt;高値!R163,高値!S163&gt;高値!Q163,高値!S163&gt;高値!T163,高値!S163&gt;高値!U163),14,""))</f>
      </c>
      <c r="AP163" s="684">
        <f>IF(終値!A163="","",IF(AND(高値!T163&gt;高値!S163,高値!T163&gt;高値!R163,高値!T163&gt;高値!U163,高値!T163&gt;高値!V163),15,""))</f>
      </c>
      <c r="AQ163" s="684">
        <f>IF(終値!A163="","",IF(AND(高値!U163&gt;高値!T163,高値!U163&gt;高値!S163,高値!U163&gt;高値!V163,高値!U163&gt;高値!W163),16,""))</f>
      </c>
      <c r="AR163" s="684">
        <f>IF(終値!A163="","",IF(AND(高値!V163&gt;高値!U163,高値!V163&gt;高値!T163,高値!V163&gt;高値!W163,高値!V163&gt;高値!X163),17,""))</f>
      </c>
      <c r="AS163" s="684">
        <f>IF(終値!A163="","",IF(AND(高値!W163&gt;高値!V163,高値!W163&gt;高値!U163,高値!W163&gt;高値!X163,高値!W163&gt;高値!Y163),18,""))</f>
      </c>
      <c r="AT163" s="684">
        <f>IF(終値!A163="","",IF(AND(高値!X163&gt;高値!W163,高値!X163&gt;高値!V163,高値!X163&gt;高値!Y163,高値!X163&gt;高値!Z163),19,""))</f>
      </c>
      <c r="AU163" s="684">
        <f>IF(終値!A163="","",IF(AND(高値!Y163&gt;高値!X163,高値!Y163&gt;高値!W163,高値!Y163&gt;高値!Z163,高値!Y163&gt;高値!AA163),20,""))</f>
      </c>
      <c r="AV163" s="684">
        <f>IF(終値!A163="","",IF(AND(高値!Z163&gt;高値!Y163,高値!Z163&gt;高値!X163,高値!Z163&gt;高値!AA163,高値!Z163&gt;高値!AB163),21,""))</f>
      </c>
      <c r="AW163" s="684">
        <f>IF(終値!A163="","",IF(AND(高値!AA163&gt;高値!Z163,高値!AA163&gt;高値!Y163,高値!AA163&gt;高値!AB163,高値!AA163&gt;高値!AC163),22,""))</f>
      </c>
      <c r="AX163" s="684">
        <f>IF(終値!A163="","",IF(AND(高値!AB163&gt;高値!AA163,高値!AB163&gt;高値!Z163,高値!AB163&gt;高値!AC163,高値!AB163&gt;高値!AD163),23,""))</f>
      </c>
      <c r="AY163" s="684">
        <f>IF(終値!A163="","",IF(AND(高値!AC163&gt;高値!AB163,高値!AC163&gt;高値!AA163,高値!AC163&gt;高値!AD163,高値!AC163&gt;高値!AE163),24,""))</f>
      </c>
      <c r="AZ163" s="684">
        <f>IF(終値!A163="","",IF(AND(高値!AD163&gt;高値!AC163,高値!AD163&gt;高値!AB163,高値!AD163&gt;高値!AE163,高値!AD163&gt;高値!AF163),25,""))</f>
      </c>
      <c r="BA163" s="684">
        <f>IF(終値!A163="","",IF(AND(高値!AE163&gt;高値!AD163,高値!AE163&gt;高値!AC163,高値!AE163&gt;高値!AF163,高値!AE163&gt;高値!AG163),26,""))</f>
      </c>
      <c r="BB163" s="684">
        <f>IF(終値!A163="","",IF(AND(高値!AF163&gt;高値!AE163,高値!AF163&gt;高値!AD163,高値!AF163&gt;高値!AG163,高値!AF163&gt;高値!AH163),27,""))</f>
      </c>
      <c r="BC163" s="684">
        <f>IF(終値!A163="","",IF(AND(高値!AG163&gt;高値!AF163,高値!AG163&gt;高値!AE163,高値!AG163&gt;高値!AH163,高値!AG163&gt;高値!AI163),28,""))</f>
      </c>
      <c r="BD163" s="684">
        <f>COUNT($B163:$AB163)</f>
      </c>
      <c r="BE163" s="684">
        <f>IF($BD163&gt;=2,MIN($B163:$AB163),"")</f>
      </c>
      <c r="BF163" s="684">
        <f>IF($BD163&gt;=2,SMALL($B163:$AB163,2),"")</f>
      </c>
      <c r="BG163" s="684">
        <f>IF($BE163="","",INDEX(安値!$E163:$CZ163,1,$BE163+1))</f>
      </c>
      <c r="BH163" s="684">
        <f>IF($BF163="","",INDEX(安値!$E163:$CZ163,1,$BF163+1))</f>
      </c>
      <c r="BI163" s="684">
        <f>IF($BF163="","",MAX(INDEX(高値!$E163:$CZ163,1,$BE163+1):INDEX(高値!$E163:$CZ163,1,$BF163+1)))</f>
      </c>
      <c r="BJ163" s="684">
        <f>IF($BF163="","",AVERAGE(INDEX(終値!$E163:$CZ163,1,$BF163+1):INDEX(終値!$E163:$CZ163,1,$BF163+20))-2*STDEVP(INDEX(終値!$E163:$CZ163,1,$BF163+1):INDEX(終値!$E163:$CZ163,1,$BF163+20)))</f>
      </c>
      <c r="BK163" s="684">
        <f>IF($BE163="","",AVERAGE(INDEX(終値!$E163:$CZ163,1,$BE163+1):INDEX(終値!$E163:$CZ163,1,$BE163+20))-2*STDEVP(INDEX(終値!$E163:$CZ163,1,$BE163+1):INDEX(終値!$E163:$CZ163,1,$BE163+20)))</f>
      </c>
      <c r="BL163" s="684">
        <f>COUNT($AC163:$BC163)</f>
      </c>
      <c r="BM163" s="684">
        <f>IF($BL163&gt;=2,MIN($AC163:$BC163),"")</f>
      </c>
      <c r="BN163" s="684">
        <f>IF($BL163&gt;=2,SMALL($AC163:$BC163,2),"")</f>
      </c>
      <c r="BO163" s="684">
        <f>IF($BM163="","",INDEX(高値!$E163:$CZ163,1,$BM163+1))</f>
      </c>
      <c r="BP163" s="684">
        <f>IF($BN163="","",INDEX(高値!$E163:$CZ163,1,$BN163+1))</f>
      </c>
      <c r="BQ163" s="684">
        <f>IF($BN163="","",MIN(INDEX(安値!$E163:$CZ163,1,$BM163+1):INDEX(安値!$E163:$CZ163,1,$BN163+1)))</f>
      </c>
      <c r="BR163" s="684">
        <f>IF($BN163="","",AVERAGE(INDEX(終値!$E163:$CZ163,1,$BN163+1):INDEX(終値!$E163:$CZ163,1,$BN163+20))+2*STDEVP(INDEX(終値!$E163:$CZ163,1,$BN163+1):INDEX(終値!$E163:$CZ163,1,$BN163+20)))</f>
      </c>
      <c r="BS163" s="684">
        <f>IF($BM163="","",AVERAGE(INDEX(終値!$E163:$CZ163,1,$BM163+1):INDEX(終値!$E163:$CZ163,1,$BM163+20))+2*STDEVP(INDEX(終値!$E163:$CZ163,1,$BM163+1):INDEX(終値!$E163:$CZ163,1,$BM163+20)))</f>
      </c>
      <c r="BT163" s="681">
        <f>IFERROR(IF(AND($BD163&gt;=2,ABS($BG163-$BH163)/$BH163&lt;=BB設定!$B$12,$BI163&gt;=MAX($BH163,$BG163)*(1+BB設定!$B$13),終値!E163&gt;$BG163),IF(OR(終値!E163&gt;=$BI163,AND($BH163&lt;$BJ163,$BG163&gt;=$BK163)),"二番底W▲","二番底W形成"),IF(AND($BL163&gt;=2,ABS($BO163-$BP163)/$BP163&lt;=BB設定!$B$12,$BQ163&lt;=MIN($BP163,$BO163)*(1-BB設定!$B$13),終値!E163&lt;$BO163),IF(OR(終値!E163&lt;=$BQ163,AND($BP163&gt;$BR163,$BO163&lt;=$BS163)),"二番天井M▼","二番天井M形成"),"－")),"－")</f>
      </c>
    </row>
    <row r="164">
      <c r="B164" s="684">
        <f>IF(終値!A164="","",IF(AND(安値!G164&lt;安値!F164,安値!G164&lt;安値!E164,安値!G164&lt;安値!H164,安値!G164&lt;安値!I164),2,""))</f>
      </c>
      <c r="C164" s="684">
        <f>IF(終値!A164="","",IF(AND(安値!H164&lt;安値!G164,安値!H164&lt;安値!F164,安値!H164&lt;安値!I164,安値!H164&lt;安値!J164),3,""))</f>
      </c>
      <c r="D164" s="684">
        <f>IF(終値!A164="","",IF(AND(安値!I164&lt;安値!H164,安値!I164&lt;安値!G164,安値!I164&lt;安値!J164,安値!I164&lt;安値!K164),4,""))</f>
      </c>
      <c r="E164" s="684">
        <f>IF(終値!A164="","",IF(AND(安値!J164&lt;安値!I164,安値!J164&lt;安値!H164,安値!J164&lt;安値!K164,安値!J164&lt;安値!L164),5,""))</f>
      </c>
      <c r="F164" s="684">
        <f>IF(終値!A164="","",IF(AND(安値!K164&lt;安値!J164,安値!K164&lt;安値!I164,安値!K164&lt;安値!L164,安値!K164&lt;安値!M164),6,""))</f>
      </c>
      <c r="G164" s="684">
        <f>IF(終値!A164="","",IF(AND(安値!L164&lt;安値!K164,安値!L164&lt;安値!J164,安値!L164&lt;安値!M164,安値!L164&lt;安値!N164),7,""))</f>
      </c>
      <c r="H164" s="684">
        <f>IF(終値!A164="","",IF(AND(安値!M164&lt;安値!L164,安値!M164&lt;安値!K164,安値!M164&lt;安値!N164,安値!M164&lt;安値!O164),8,""))</f>
      </c>
      <c r="I164" s="684">
        <f>IF(終値!A164="","",IF(AND(安値!N164&lt;安値!M164,安値!N164&lt;安値!L164,安値!N164&lt;安値!O164,安値!N164&lt;安値!P164),9,""))</f>
      </c>
      <c r="J164" s="684">
        <f>IF(終値!A164="","",IF(AND(安値!O164&lt;安値!N164,安値!O164&lt;安値!M164,安値!O164&lt;安値!P164,安値!O164&lt;安値!Q164),10,""))</f>
      </c>
      <c r="K164" s="684">
        <f>IF(終値!A164="","",IF(AND(安値!P164&lt;安値!O164,安値!P164&lt;安値!N164,安値!P164&lt;安値!Q164,安値!P164&lt;安値!R164),11,""))</f>
      </c>
      <c r="L164" s="684">
        <f>IF(終値!A164="","",IF(AND(安値!Q164&lt;安値!P164,安値!Q164&lt;安値!O164,安値!Q164&lt;安値!R164,安値!Q164&lt;安値!S164),12,""))</f>
      </c>
      <c r="M164" s="684">
        <f>IF(終値!A164="","",IF(AND(安値!R164&lt;安値!Q164,安値!R164&lt;安値!P164,安値!R164&lt;安値!S164,安値!R164&lt;安値!T164),13,""))</f>
      </c>
      <c r="N164" s="684">
        <f>IF(終値!A164="","",IF(AND(安値!S164&lt;安値!R164,安値!S164&lt;安値!Q164,安値!S164&lt;安値!T164,安値!S164&lt;安値!U164),14,""))</f>
      </c>
      <c r="O164" s="684">
        <f>IF(終値!A164="","",IF(AND(安値!T164&lt;安値!S164,安値!T164&lt;安値!R164,安値!T164&lt;安値!U164,安値!T164&lt;安値!V164),15,""))</f>
      </c>
      <c r="P164" s="684">
        <f>IF(終値!A164="","",IF(AND(安値!U164&lt;安値!T164,安値!U164&lt;安値!S164,安値!U164&lt;安値!V164,安値!U164&lt;安値!W164),16,""))</f>
      </c>
      <c r="Q164" s="684">
        <f>IF(終値!A164="","",IF(AND(安値!V164&lt;安値!U164,安値!V164&lt;安値!T164,安値!V164&lt;安値!W164,安値!V164&lt;安値!X164),17,""))</f>
      </c>
      <c r="R164" s="684">
        <f>IF(終値!A164="","",IF(AND(安値!W164&lt;安値!V164,安値!W164&lt;安値!U164,安値!W164&lt;安値!X164,安値!W164&lt;安値!Y164),18,""))</f>
      </c>
      <c r="S164" s="684">
        <f>IF(終値!A164="","",IF(AND(安値!X164&lt;安値!W164,安値!X164&lt;安値!V164,安値!X164&lt;安値!Y164,安値!X164&lt;安値!Z164),19,""))</f>
      </c>
      <c r="T164" s="684">
        <f>IF(終値!A164="","",IF(AND(安値!Y164&lt;安値!X164,安値!Y164&lt;安値!W164,安値!Y164&lt;安値!Z164,安値!Y164&lt;安値!AA164),20,""))</f>
      </c>
      <c r="U164" s="684">
        <f>IF(終値!A164="","",IF(AND(安値!Z164&lt;安値!Y164,安値!Z164&lt;安値!X164,安値!Z164&lt;安値!AA164,安値!Z164&lt;安値!AB164),21,""))</f>
      </c>
      <c r="V164" s="684">
        <f>IF(終値!A164="","",IF(AND(安値!AA164&lt;安値!Z164,安値!AA164&lt;安値!Y164,安値!AA164&lt;安値!AB164,安値!AA164&lt;安値!AC164),22,""))</f>
      </c>
      <c r="W164" s="684">
        <f>IF(終値!A164="","",IF(AND(安値!AB164&lt;安値!AA164,安値!AB164&lt;安値!Z164,安値!AB164&lt;安値!AC164,安値!AB164&lt;安値!AD164),23,""))</f>
      </c>
      <c r="X164" s="684">
        <f>IF(終値!A164="","",IF(AND(安値!AC164&lt;安値!AB164,安値!AC164&lt;安値!AA164,安値!AC164&lt;安値!AD164,安値!AC164&lt;安値!AE164),24,""))</f>
      </c>
      <c r="Y164" s="684">
        <f>IF(終値!A164="","",IF(AND(安値!AD164&lt;安値!AC164,安値!AD164&lt;安値!AB164,安値!AD164&lt;安値!AE164,安値!AD164&lt;安値!AF164),25,""))</f>
      </c>
      <c r="Z164" s="684">
        <f>IF(終値!A164="","",IF(AND(安値!AE164&lt;安値!AD164,安値!AE164&lt;安値!AC164,安値!AE164&lt;安値!AF164,安値!AE164&lt;安値!AG164),26,""))</f>
      </c>
      <c r="AA164" s="684">
        <f>IF(終値!A164="","",IF(AND(安値!AF164&lt;安値!AE164,安値!AF164&lt;安値!AD164,安値!AF164&lt;安値!AG164,安値!AF164&lt;安値!AH164),27,""))</f>
      </c>
      <c r="AB164" s="684">
        <f>IF(終値!A164="","",IF(AND(安値!AG164&lt;安値!AF164,安値!AG164&lt;安値!AE164,安値!AG164&lt;安値!AH164,安値!AG164&lt;安値!AI164),28,""))</f>
      </c>
      <c r="AC164" s="684">
        <f>IF(終値!A164="","",IF(AND(高値!G164&gt;高値!F164,高値!G164&gt;高値!E164,高値!G164&gt;高値!H164,高値!G164&gt;高値!I164),2,""))</f>
      </c>
      <c r="AD164" s="684">
        <f>IF(終値!A164="","",IF(AND(高値!H164&gt;高値!G164,高値!H164&gt;高値!F164,高値!H164&gt;高値!I164,高値!H164&gt;高値!J164),3,""))</f>
      </c>
      <c r="AE164" s="684">
        <f>IF(終値!A164="","",IF(AND(高値!I164&gt;高値!H164,高値!I164&gt;高値!G164,高値!I164&gt;高値!J164,高値!I164&gt;高値!K164),4,""))</f>
      </c>
      <c r="AF164" s="684">
        <f>IF(終値!A164="","",IF(AND(高値!J164&gt;高値!I164,高値!J164&gt;高値!H164,高値!J164&gt;高値!K164,高値!J164&gt;高値!L164),5,""))</f>
      </c>
      <c r="AG164" s="684">
        <f>IF(終値!A164="","",IF(AND(高値!K164&gt;高値!J164,高値!K164&gt;高値!I164,高値!K164&gt;高値!L164,高値!K164&gt;高値!M164),6,""))</f>
      </c>
      <c r="AH164" s="684">
        <f>IF(終値!A164="","",IF(AND(高値!L164&gt;高値!K164,高値!L164&gt;高値!J164,高値!L164&gt;高値!M164,高値!L164&gt;高値!N164),7,""))</f>
      </c>
      <c r="AI164" s="684">
        <f>IF(終値!A164="","",IF(AND(高値!M164&gt;高値!L164,高値!M164&gt;高値!K164,高値!M164&gt;高値!N164,高値!M164&gt;高値!O164),8,""))</f>
      </c>
      <c r="AJ164" s="684">
        <f>IF(終値!A164="","",IF(AND(高値!N164&gt;高値!M164,高値!N164&gt;高値!L164,高値!N164&gt;高値!O164,高値!N164&gt;高値!P164),9,""))</f>
      </c>
      <c r="AK164" s="684">
        <f>IF(終値!A164="","",IF(AND(高値!O164&gt;高値!N164,高値!O164&gt;高値!M164,高値!O164&gt;高値!P164,高値!O164&gt;高値!Q164),10,""))</f>
      </c>
      <c r="AL164" s="684">
        <f>IF(終値!A164="","",IF(AND(高値!P164&gt;高値!O164,高値!P164&gt;高値!N164,高値!P164&gt;高値!Q164,高値!P164&gt;高値!R164),11,""))</f>
      </c>
      <c r="AM164" s="684">
        <f>IF(終値!A164="","",IF(AND(高値!Q164&gt;高値!P164,高値!Q164&gt;高値!O164,高値!Q164&gt;高値!R164,高値!Q164&gt;高値!S164),12,""))</f>
      </c>
      <c r="AN164" s="684">
        <f>IF(終値!A164="","",IF(AND(高値!R164&gt;高値!Q164,高値!R164&gt;高値!P164,高値!R164&gt;高値!S164,高値!R164&gt;高値!T164),13,""))</f>
      </c>
      <c r="AO164" s="684">
        <f>IF(終値!A164="","",IF(AND(高値!S164&gt;高値!R164,高値!S164&gt;高値!Q164,高値!S164&gt;高値!T164,高値!S164&gt;高値!U164),14,""))</f>
      </c>
      <c r="AP164" s="684">
        <f>IF(終値!A164="","",IF(AND(高値!T164&gt;高値!S164,高値!T164&gt;高値!R164,高値!T164&gt;高値!U164,高値!T164&gt;高値!V164),15,""))</f>
      </c>
      <c r="AQ164" s="684">
        <f>IF(終値!A164="","",IF(AND(高値!U164&gt;高値!T164,高値!U164&gt;高値!S164,高値!U164&gt;高値!V164,高値!U164&gt;高値!W164),16,""))</f>
      </c>
      <c r="AR164" s="684">
        <f>IF(終値!A164="","",IF(AND(高値!V164&gt;高値!U164,高値!V164&gt;高値!T164,高値!V164&gt;高値!W164,高値!V164&gt;高値!X164),17,""))</f>
      </c>
      <c r="AS164" s="684">
        <f>IF(終値!A164="","",IF(AND(高値!W164&gt;高値!V164,高値!W164&gt;高値!U164,高値!W164&gt;高値!X164,高値!W164&gt;高値!Y164),18,""))</f>
      </c>
      <c r="AT164" s="684">
        <f>IF(終値!A164="","",IF(AND(高値!X164&gt;高値!W164,高値!X164&gt;高値!V164,高値!X164&gt;高値!Y164,高値!X164&gt;高値!Z164),19,""))</f>
      </c>
      <c r="AU164" s="684">
        <f>IF(終値!A164="","",IF(AND(高値!Y164&gt;高値!X164,高値!Y164&gt;高値!W164,高値!Y164&gt;高値!Z164,高値!Y164&gt;高値!AA164),20,""))</f>
      </c>
      <c r="AV164" s="684">
        <f>IF(終値!A164="","",IF(AND(高値!Z164&gt;高値!Y164,高値!Z164&gt;高値!X164,高値!Z164&gt;高値!AA164,高値!Z164&gt;高値!AB164),21,""))</f>
      </c>
      <c r="AW164" s="684">
        <f>IF(終値!A164="","",IF(AND(高値!AA164&gt;高値!Z164,高値!AA164&gt;高値!Y164,高値!AA164&gt;高値!AB164,高値!AA164&gt;高値!AC164),22,""))</f>
      </c>
      <c r="AX164" s="684">
        <f>IF(終値!A164="","",IF(AND(高値!AB164&gt;高値!AA164,高値!AB164&gt;高値!Z164,高値!AB164&gt;高値!AC164,高値!AB164&gt;高値!AD164),23,""))</f>
      </c>
      <c r="AY164" s="684">
        <f>IF(終値!A164="","",IF(AND(高値!AC164&gt;高値!AB164,高値!AC164&gt;高値!AA164,高値!AC164&gt;高値!AD164,高値!AC164&gt;高値!AE164),24,""))</f>
      </c>
      <c r="AZ164" s="684">
        <f>IF(終値!A164="","",IF(AND(高値!AD164&gt;高値!AC164,高値!AD164&gt;高値!AB164,高値!AD164&gt;高値!AE164,高値!AD164&gt;高値!AF164),25,""))</f>
      </c>
      <c r="BA164" s="684">
        <f>IF(終値!A164="","",IF(AND(高値!AE164&gt;高値!AD164,高値!AE164&gt;高値!AC164,高値!AE164&gt;高値!AF164,高値!AE164&gt;高値!AG164),26,""))</f>
      </c>
      <c r="BB164" s="684">
        <f>IF(終値!A164="","",IF(AND(高値!AF164&gt;高値!AE164,高値!AF164&gt;高値!AD164,高値!AF164&gt;高値!AG164,高値!AF164&gt;高値!AH164),27,""))</f>
      </c>
      <c r="BC164" s="684">
        <f>IF(終値!A164="","",IF(AND(高値!AG164&gt;高値!AF164,高値!AG164&gt;高値!AE164,高値!AG164&gt;高値!AH164,高値!AG164&gt;高値!AI164),28,""))</f>
      </c>
      <c r="BD164" s="684">
        <f>COUNT($B164:$AB164)</f>
      </c>
      <c r="BE164" s="684">
        <f>IF($BD164&gt;=2,MIN($B164:$AB164),"")</f>
      </c>
      <c r="BF164" s="684">
        <f>IF($BD164&gt;=2,SMALL($B164:$AB164,2),"")</f>
      </c>
      <c r="BG164" s="684">
        <f>IF($BE164="","",INDEX(安値!$E164:$CZ164,1,$BE164+1))</f>
      </c>
      <c r="BH164" s="684">
        <f>IF($BF164="","",INDEX(安値!$E164:$CZ164,1,$BF164+1))</f>
      </c>
      <c r="BI164" s="684">
        <f>IF($BF164="","",MAX(INDEX(高値!$E164:$CZ164,1,$BE164+1):INDEX(高値!$E164:$CZ164,1,$BF164+1)))</f>
      </c>
      <c r="BJ164" s="684">
        <f>IF($BF164="","",AVERAGE(INDEX(終値!$E164:$CZ164,1,$BF164+1):INDEX(終値!$E164:$CZ164,1,$BF164+20))-2*STDEVP(INDEX(終値!$E164:$CZ164,1,$BF164+1):INDEX(終値!$E164:$CZ164,1,$BF164+20)))</f>
      </c>
      <c r="BK164" s="684">
        <f>IF($BE164="","",AVERAGE(INDEX(終値!$E164:$CZ164,1,$BE164+1):INDEX(終値!$E164:$CZ164,1,$BE164+20))-2*STDEVP(INDEX(終値!$E164:$CZ164,1,$BE164+1):INDEX(終値!$E164:$CZ164,1,$BE164+20)))</f>
      </c>
      <c r="BL164" s="684">
        <f>COUNT($AC164:$BC164)</f>
      </c>
      <c r="BM164" s="684">
        <f>IF($BL164&gt;=2,MIN($AC164:$BC164),"")</f>
      </c>
      <c r="BN164" s="684">
        <f>IF($BL164&gt;=2,SMALL($AC164:$BC164,2),"")</f>
      </c>
      <c r="BO164" s="684">
        <f>IF($BM164="","",INDEX(高値!$E164:$CZ164,1,$BM164+1))</f>
      </c>
      <c r="BP164" s="684">
        <f>IF($BN164="","",INDEX(高値!$E164:$CZ164,1,$BN164+1))</f>
      </c>
      <c r="BQ164" s="684">
        <f>IF($BN164="","",MIN(INDEX(安値!$E164:$CZ164,1,$BM164+1):INDEX(安値!$E164:$CZ164,1,$BN164+1)))</f>
      </c>
      <c r="BR164" s="684">
        <f>IF($BN164="","",AVERAGE(INDEX(終値!$E164:$CZ164,1,$BN164+1):INDEX(終値!$E164:$CZ164,1,$BN164+20))+2*STDEVP(INDEX(終値!$E164:$CZ164,1,$BN164+1):INDEX(終値!$E164:$CZ164,1,$BN164+20)))</f>
      </c>
      <c r="BS164" s="684">
        <f>IF($BM164="","",AVERAGE(INDEX(終値!$E164:$CZ164,1,$BM164+1):INDEX(終値!$E164:$CZ164,1,$BM164+20))+2*STDEVP(INDEX(終値!$E164:$CZ164,1,$BM164+1):INDEX(終値!$E164:$CZ164,1,$BM164+20)))</f>
      </c>
      <c r="BT164" s="681">
        <f>IFERROR(IF(AND($BD164&gt;=2,ABS($BG164-$BH164)/$BH164&lt;=BB設定!$B$12,$BI164&gt;=MAX($BH164,$BG164)*(1+BB設定!$B$13),終値!E164&gt;$BG164),IF(OR(終値!E164&gt;=$BI164,AND($BH164&lt;$BJ164,$BG164&gt;=$BK164)),"二番底W▲","二番底W形成"),IF(AND($BL164&gt;=2,ABS($BO164-$BP164)/$BP164&lt;=BB設定!$B$12,$BQ164&lt;=MIN($BP164,$BO164)*(1-BB設定!$B$13),終値!E164&lt;$BO164),IF(OR(終値!E164&lt;=$BQ164,AND($BP164&gt;$BR164,$BO164&lt;=$BS164)),"二番天井M▼","二番天井M形成"),"－")),"－")</f>
      </c>
    </row>
    <row r="165">
      <c r="B165" s="684">
        <f>IF(終値!A165="","",IF(AND(安値!G165&lt;安値!F165,安値!G165&lt;安値!E165,安値!G165&lt;安値!H165,安値!G165&lt;安値!I165),2,""))</f>
      </c>
      <c r="C165" s="684">
        <f>IF(終値!A165="","",IF(AND(安値!H165&lt;安値!G165,安値!H165&lt;安値!F165,安値!H165&lt;安値!I165,安値!H165&lt;安値!J165),3,""))</f>
      </c>
      <c r="D165" s="684">
        <f>IF(終値!A165="","",IF(AND(安値!I165&lt;安値!H165,安値!I165&lt;安値!G165,安値!I165&lt;安値!J165,安値!I165&lt;安値!K165),4,""))</f>
      </c>
      <c r="E165" s="684">
        <f>IF(終値!A165="","",IF(AND(安値!J165&lt;安値!I165,安値!J165&lt;安値!H165,安値!J165&lt;安値!K165,安値!J165&lt;安値!L165),5,""))</f>
      </c>
      <c r="F165" s="684">
        <f>IF(終値!A165="","",IF(AND(安値!K165&lt;安値!J165,安値!K165&lt;安値!I165,安値!K165&lt;安値!L165,安値!K165&lt;安値!M165),6,""))</f>
      </c>
      <c r="G165" s="684">
        <f>IF(終値!A165="","",IF(AND(安値!L165&lt;安値!K165,安値!L165&lt;安値!J165,安値!L165&lt;安値!M165,安値!L165&lt;安値!N165),7,""))</f>
      </c>
      <c r="H165" s="684">
        <f>IF(終値!A165="","",IF(AND(安値!M165&lt;安値!L165,安値!M165&lt;安値!K165,安値!M165&lt;安値!N165,安値!M165&lt;安値!O165),8,""))</f>
      </c>
      <c r="I165" s="684">
        <f>IF(終値!A165="","",IF(AND(安値!N165&lt;安値!M165,安値!N165&lt;安値!L165,安値!N165&lt;安値!O165,安値!N165&lt;安値!P165),9,""))</f>
      </c>
      <c r="J165" s="684">
        <f>IF(終値!A165="","",IF(AND(安値!O165&lt;安値!N165,安値!O165&lt;安値!M165,安値!O165&lt;安値!P165,安値!O165&lt;安値!Q165),10,""))</f>
      </c>
      <c r="K165" s="684">
        <f>IF(終値!A165="","",IF(AND(安値!P165&lt;安値!O165,安値!P165&lt;安値!N165,安値!P165&lt;安値!Q165,安値!P165&lt;安値!R165),11,""))</f>
      </c>
      <c r="L165" s="684">
        <f>IF(終値!A165="","",IF(AND(安値!Q165&lt;安値!P165,安値!Q165&lt;安値!O165,安値!Q165&lt;安値!R165,安値!Q165&lt;安値!S165),12,""))</f>
      </c>
      <c r="M165" s="684">
        <f>IF(終値!A165="","",IF(AND(安値!R165&lt;安値!Q165,安値!R165&lt;安値!P165,安値!R165&lt;安値!S165,安値!R165&lt;安値!T165),13,""))</f>
      </c>
      <c r="N165" s="684">
        <f>IF(終値!A165="","",IF(AND(安値!S165&lt;安値!R165,安値!S165&lt;安値!Q165,安値!S165&lt;安値!T165,安値!S165&lt;安値!U165),14,""))</f>
      </c>
      <c r="O165" s="684">
        <f>IF(終値!A165="","",IF(AND(安値!T165&lt;安値!S165,安値!T165&lt;安値!R165,安値!T165&lt;安値!U165,安値!T165&lt;安値!V165),15,""))</f>
      </c>
      <c r="P165" s="684">
        <f>IF(終値!A165="","",IF(AND(安値!U165&lt;安値!T165,安値!U165&lt;安値!S165,安値!U165&lt;安値!V165,安値!U165&lt;安値!W165),16,""))</f>
      </c>
      <c r="Q165" s="684">
        <f>IF(終値!A165="","",IF(AND(安値!V165&lt;安値!U165,安値!V165&lt;安値!T165,安値!V165&lt;安値!W165,安値!V165&lt;安値!X165),17,""))</f>
      </c>
      <c r="R165" s="684">
        <f>IF(終値!A165="","",IF(AND(安値!W165&lt;安値!V165,安値!W165&lt;安値!U165,安値!W165&lt;安値!X165,安値!W165&lt;安値!Y165),18,""))</f>
      </c>
      <c r="S165" s="684">
        <f>IF(終値!A165="","",IF(AND(安値!X165&lt;安値!W165,安値!X165&lt;安値!V165,安値!X165&lt;安値!Y165,安値!X165&lt;安値!Z165),19,""))</f>
      </c>
      <c r="T165" s="684">
        <f>IF(終値!A165="","",IF(AND(安値!Y165&lt;安値!X165,安値!Y165&lt;安値!W165,安値!Y165&lt;安値!Z165,安値!Y165&lt;安値!AA165),20,""))</f>
      </c>
      <c r="U165" s="684">
        <f>IF(終値!A165="","",IF(AND(安値!Z165&lt;安値!Y165,安値!Z165&lt;安値!X165,安値!Z165&lt;安値!AA165,安値!Z165&lt;安値!AB165),21,""))</f>
      </c>
      <c r="V165" s="684">
        <f>IF(終値!A165="","",IF(AND(安値!AA165&lt;安値!Z165,安値!AA165&lt;安値!Y165,安値!AA165&lt;安値!AB165,安値!AA165&lt;安値!AC165),22,""))</f>
      </c>
      <c r="W165" s="684">
        <f>IF(終値!A165="","",IF(AND(安値!AB165&lt;安値!AA165,安値!AB165&lt;安値!Z165,安値!AB165&lt;安値!AC165,安値!AB165&lt;安値!AD165),23,""))</f>
      </c>
      <c r="X165" s="684">
        <f>IF(終値!A165="","",IF(AND(安値!AC165&lt;安値!AB165,安値!AC165&lt;安値!AA165,安値!AC165&lt;安値!AD165,安値!AC165&lt;安値!AE165),24,""))</f>
      </c>
      <c r="Y165" s="684">
        <f>IF(終値!A165="","",IF(AND(安値!AD165&lt;安値!AC165,安値!AD165&lt;安値!AB165,安値!AD165&lt;安値!AE165,安値!AD165&lt;安値!AF165),25,""))</f>
      </c>
      <c r="Z165" s="684">
        <f>IF(終値!A165="","",IF(AND(安値!AE165&lt;安値!AD165,安値!AE165&lt;安値!AC165,安値!AE165&lt;安値!AF165,安値!AE165&lt;安値!AG165),26,""))</f>
      </c>
      <c r="AA165" s="684">
        <f>IF(終値!A165="","",IF(AND(安値!AF165&lt;安値!AE165,安値!AF165&lt;安値!AD165,安値!AF165&lt;安値!AG165,安値!AF165&lt;安値!AH165),27,""))</f>
      </c>
      <c r="AB165" s="684">
        <f>IF(終値!A165="","",IF(AND(安値!AG165&lt;安値!AF165,安値!AG165&lt;安値!AE165,安値!AG165&lt;安値!AH165,安値!AG165&lt;安値!AI165),28,""))</f>
      </c>
      <c r="AC165" s="684">
        <f>IF(終値!A165="","",IF(AND(高値!G165&gt;高値!F165,高値!G165&gt;高値!E165,高値!G165&gt;高値!H165,高値!G165&gt;高値!I165),2,""))</f>
      </c>
      <c r="AD165" s="684">
        <f>IF(終値!A165="","",IF(AND(高値!H165&gt;高値!G165,高値!H165&gt;高値!F165,高値!H165&gt;高値!I165,高値!H165&gt;高値!J165),3,""))</f>
      </c>
      <c r="AE165" s="684">
        <f>IF(終値!A165="","",IF(AND(高値!I165&gt;高値!H165,高値!I165&gt;高値!G165,高値!I165&gt;高値!J165,高値!I165&gt;高値!K165),4,""))</f>
      </c>
      <c r="AF165" s="684">
        <f>IF(終値!A165="","",IF(AND(高値!J165&gt;高値!I165,高値!J165&gt;高値!H165,高値!J165&gt;高値!K165,高値!J165&gt;高値!L165),5,""))</f>
      </c>
      <c r="AG165" s="684">
        <f>IF(終値!A165="","",IF(AND(高値!K165&gt;高値!J165,高値!K165&gt;高値!I165,高値!K165&gt;高値!L165,高値!K165&gt;高値!M165),6,""))</f>
      </c>
      <c r="AH165" s="684">
        <f>IF(終値!A165="","",IF(AND(高値!L165&gt;高値!K165,高値!L165&gt;高値!J165,高値!L165&gt;高値!M165,高値!L165&gt;高値!N165),7,""))</f>
      </c>
      <c r="AI165" s="684">
        <f>IF(終値!A165="","",IF(AND(高値!M165&gt;高値!L165,高値!M165&gt;高値!K165,高値!M165&gt;高値!N165,高値!M165&gt;高値!O165),8,""))</f>
      </c>
      <c r="AJ165" s="684">
        <f>IF(終値!A165="","",IF(AND(高値!N165&gt;高値!M165,高値!N165&gt;高値!L165,高値!N165&gt;高値!O165,高値!N165&gt;高値!P165),9,""))</f>
      </c>
      <c r="AK165" s="684">
        <f>IF(終値!A165="","",IF(AND(高値!O165&gt;高値!N165,高値!O165&gt;高値!M165,高値!O165&gt;高値!P165,高値!O165&gt;高値!Q165),10,""))</f>
      </c>
      <c r="AL165" s="684">
        <f>IF(終値!A165="","",IF(AND(高値!P165&gt;高値!O165,高値!P165&gt;高値!N165,高値!P165&gt;高値!Q165,高値!P165&gt;高値!R165),11,""))</f>
      </c>
      <c r="AM165" s="684">
        <f>IF(終値!A165="","",IF(AND(高値!Q165&gt;高値!P165,高値!Q165&gt;高値!O165,高値!Q165&gt;高値!R165,高値!Q165&gt;高値!S165),12,""))</f>
      </c>
      <c r="AN165" s="684">
        <f>IF(終値!A165="","",IF(AND(高値!R165&gt;高値!Q165,高値!R165&gt;高値!P165,高値!R165&gt;高値!S165,高値!R165&gt;高値!T165),13,""))</f>
      </c>
      <c r="AO165" s="684">
        <f>IF(終値!A165="","",IF(AND(高値!S165&gt;高値!R165,高値!S165&gt;高値!Q165,高値!S165&gt;高値!T165,高値!S165&gt;高値!U165),14,""))</f>
      </c>
      <c r="AP165" s="684">
        <f>IF(終値!A165="","",IF(AND(高値!T165&gt;高値!S165,高値!T165&gt;高値!R165,高値!T165&gt;高値!U165,高値!T165&gt;高値!V165),15,""))</f>
      </c>
      <c r="AQ165" s="684">
        <f>IF(終値!A165="","",IF(AND(高値!U165&gt;高値!T165,高値!U165&gt;高値!S165,高値!U165&gt;高値!V165,高値!U165&gt;高値!W165),16,""))</f>
      </c>
      <c r="AR165" s="684">
        <f>IF(終値!A165="","",IF(AND(高値!V165&gt;高値!U165,高値!V165&gt;高値!T165,高値!V165&gt;高値!W165,高値!V165&gt;高値!X165),17,""))</f>
      </c>
      <c r="AS165" s="684">
        <f>IF(終値!A165="","",IF(AND(高値!W165&gt;高値!V165,高値!W165&gt;高値!U165,高値!W165&gt;高値!X165,高値!W165&gt;高値!Y165),18,""))</f>
      </c>
      <c r="AT165" s="684">
        <f>IF(終値!A165="","",IF(AND(高値!X165&gt;高値!W165,高値!X165&gt;高値!V165,高値!X165&gt;高値!Y165,高値!X165&gt;高値!Z165),19,""))</f>
      </c>
      <c r="AU165" s="684">
        <f>IF(終値!A165="","",IF(AND(高値!Y165&gt;高値!X165,高値!Y165&gt;高値!W165,高値!Y165&gt;高値!Z165,高値!Y165&gt;高値!AA165),20,""))</f>
      </c>
      <c r="AV165" s="684">
        <f>IF(終値!A165="","",IF(AND(高値!Z165&gt;高値!Y165,高値!Z165&gt;高値!X165,高値!Z165&gt;高値!AA165,高値!Z165&gt;高値!AB165),21,""))</f>
      </c>
      <c r="AW165" s="684">
        <f>IF(終値!A165="","",IF(AND(高値!AA165&gt;高値!Z165,高値!AA165&gt;高値!Y165,高値!AA165&gt;高値!AB165,高値!AA165&gt;高値!AC165),22,""))</f>
      </c>
      <c r="AX165" s="684">
        <f>IF(終値!A165="","",IF(AND(高値!AB165&gt;高値!AA165,高値!AB165&gt;高値!Z165,高値!AB165&gt;高値!AC165,高値!AB165&gt;高値!AD165),23,""))</f>
      </c>
      <c r="AY165" s="684">
        <f>IF(終値!A165="","",IF(AND(高値!AC165&gt;高値!AB165,高値!AC165&gt;高値!AA165,高値!AC165&gt;高値!AD165,高値!AC165&gt;高値!AE165),24,""))</f>
      </c>
      <c r="AZ165" s="684">
        <f>IF(終値!A165="","",IF(AND(高値!AD165&gt;高値!AC165,高値!AD165&gt;高値!AB165,高値!AD165&gt;高値!AE165,高値!AD165&gt;高値!AF165),25,""))</f>
      </c>
      <c r="BA165" s="684">
        <f>IF(終値!A165="","",IF(AND(高値!AE165&gt;高値!AD165,高値!AE165&gt;高値!AC165,高値!AE165&gt;高値!AF165,高値!AE165&gt;高値!AG165),26,""))</f>
      </c>
      <c r="BB165" s="684">
        <f>IF(終値!A165="","",IF(AND(高値!AF165&gt;高値!AE165,高値!AF165&gt;高値!AD165,高値!AF165&gt;高値!AG165,高値!AF165&gt;高値!AH165),27,""))</f>
      </c>
      <c r="BC165" s="684">
        <f>IF(終値!A165="","",IF(AND(高値!AG165&gt;高値!AF165,高値!AG165&gt;高値!AE165,高値!AG165&gt;高値!AH165,高値!AG165&gt;高値!AI165),28,""))</f>
      </c>
      <c r="BD165" s="684">
        <f>COUNT($B165:$AB165)</f>
      </c>
      <c r="BE165" s="684">
        <f>IF($BD165&gt;=2,MIN($B165:$AB165),"")</f>
      </c>
      <c r="BF165" s="684">
        <f>IF($BD165&gt;=2,SMALL($B165:$AB165,2),"")</f>
      </c>
      <c r="BG165" s="684">
        <f>IF($BE165="","",INDEX(安値!$E165:$CZ165,1,$BE165+1))</f>
      </c>
      <c r="BH165" s="684">
        <f>IF($BF165="","",INDEX(安値!$E165:$CZ165,1,$BF165+1))</f>
      </c>
      <c r="BI165" s="684">
        <f>IF($BF165="","",MAX(INDEX(高値!$E165:$CZ165,1,$BE165+1):INDEX(高値!$E165:$CZ165,1,$BF165+1)))</f>
      </c>
      <c r="BJ165" s="684">
        <f>IF($BF165="","",AVERAGE(INDEX(終値!$E165:$CZ165,1,$BF165+1):INDEX(終値!$E165:$CZ165,1,$BF165+20))-2*STDEVP(INDEX(終値!$E165:$CZ165,1,$BF165+1):INDEX(終値!$E165:$CZ165,1,$BF165+20)))</f>
      </c>
      <c r="BK165" s="684">
        <f>IF($BE165="","",AVERAGE(INDEX(終値!$E165:$CZ165,1,$BE165+1):INDEX(終値!$E165:$CZ165,1,$BE165+20))-2*STDEVP(INDEX(終値!$E165:$CZ165,1,$BE165+1):INDEX(終値!$E165:$CZ165,1,$BE165+20)))</f>
      </c>
      <c r="BL165" s="684">
        <f>COUNT($AC165:$BC165)</f>
      </c>
      <c r="BM165" s="684">
        <f>IF($BL165&gt;=2,MIN($AC165:$BC165),"")</f>
      </c>
      <c r="BN165" s="684">
        <f>IF($BL165&gt;=2,SMALL($AC165:$BC165,2),"")</f>
      </c>
      <c r="BO165" s="684">
        <f>IF($BM165="","",INDEX(高値!$E165:$CZ165,1,$BM165+1))</f>
      </c>
      <c r="BP165" s="684">
        <f>IF($BN165="","",INDEX(高値!$E165:$CZ165,1,$BN165+1))</f>
      </c>
      <c r="BQ165" s="684">
        <f>IF($BN165="","",MIN(INDEX(安値!$E165:$CZ165,1,$BM165+1):INDEX(安値!$E165:$CZ165,1,$BN165+1)))</f>
      </c>
      <c r="BR165" s="684">
        <f>IF($BN165="","",AVERAGE(INDEX(終値!$E165:$CZ165,1,$BN165+1):INDEX(終値!$E165:$CZ165,1,$BN165+20))+2*STDEVP(INDEX(終値!$E165:$CZ165,1,$BN165+1):INDEX(終値!$E165:$CZ165,1,$BN165+20)))</f>
      </c>
      <c r="BS165" s="684">
        <f>IF($BM165="","",AVERAGE(INDEX(終値!$E165:$CZ165,1,$BM165+1):INDEX(終値!$E165:$CZ165,1,$BM165+20))+2*STDEVP(INDEX(終値!$E165:$CZ165,1,$BM165+1):INDEX(終値!$E165:$CZ165,1,$BM165+20)))</f>
      </c>
      <c r="BT165" s="681">
        <f>IFERROR(IF(AND($BD165&gt;=2,ABS($BG165-$BH165)/$BH165&lt;=BB設定!$B$12,$BI165&gt;=MAX($BH165,$BG165)*(1+BB設定!$B$13),終値!E165&gt;$BG165),IF(OR(終値!E165&gt;=$BI165,AND($BH165&lt;$BJ165,$BG165&gt;=$BK165)),"二番底W▲","二番底W形成"),IF(AND($BL165&gt;=2,ABS($BO165-$BP165)/$BP165&lt;=BB設定!$B$12,$BQ165&lt;=MIN($BP165,$BO165)*(1-BB設定!$B$13),終値!E165&lt;$BO165),IF(OR(終値!E165&lt;=$BQ165,AND($BP165&gt;$BR165,$BO165&lt;=$BS165)),"二番天井M▼","二番天井M形成"),"－")),"－")</f>
      </c>
    </row>
    <row r="166">
      <c r="B166" s="684">
        <f>IF(終値!A166="","",IF(AND(安値!G166&lt;安値!F166,安値!G166&lt;安値!E166,安値!G166&lt;安値!H166,安値!G166&lt;安値!I166),2,""))</f>
      </c>
      <c r="C166" s="684">
        <f>IF(終値!A166="","",IF(AND(安値!H166&lt;安値!G166,安値!H166&lt;安値!F166,安値!H166&lt;安値!I166,安値!H166&lt;安値!J166),3,""))</f>
      </c>
      <c r="D166" s="684">
        <f>IF(終値!A166="","",IF(AND(安値!I166&lt;安値!H166,安値!I166&lt;安値!G166,安値!I166&lt;安値!J166,安値!I166&lt;安値!K166),4,""))</f>
      </c>
      <c r="E166" s="684">
        <f>IF(終値!A166="","",IF(AND(安値!J166&lt;安値!I166,安値!J166&lt;安値!H166,安値!J166&lt;安値!K166,安値!J166&lt;安値!L166),5,""))</f>
      </c>
      <c r="F166" s="684">
        <f>IF(終値!A166="","",IF(AND(安値!K166&lt;安値!J166,安値!K166&lt;安値!I166,安値!K166&lt;安値!L166,安値!K166&lt;安値!M166),6,""))</f>
      </c>
      <c r="G166" s="684">
        <f>IF(終値!A166="","",IF(AND(安値!L166&lt;安値!K166,安値!L166&lt;安値!J166,安値!L166&lt;安値!M166,安値!L166&lt;安値!N166),7,""))</f>
      </c>
      <c r="H166" s="684">
        <f>IF(終値!A166="","",IF(AND(安値!M166&lt;安値!L166,安値!M166&lt;安値!K166,安値!M166&lt;安値!N166,安値!M166&lt;安値!O166),8,""))</f>
      </c>
      <c r="I166" s="684">
        <f>IF(終値!A166="","",IF(AND(安値!N166&lt;安値!M166,安値!N166&lt;安値!L166,安値!N166&lt;安値!O166,安値!N166&lt;安値!P166),9,""))</f>
      </c>
      <c r="J166" s="684">
        <f>IF(終値!A166="","",IF(AND(安値!O166&lt;安値!N166,安値!O166&lt;安値!M166,安値!O166&lt;安値!P166,安値!O166&lt;安値!Q166),10,""))</f>
      </c>
      <c r="K166" s="684">
        <f>IF(終値!A166="","",IF(AND(安値!P166&lt;安値!O166,安値!P166&lt;安値!N166,安値!P166&lt;安値!Q166,安値!P166&lt;安値!R166),11,""))</f>
      </c>
      <c r="L166" s="684">
        <f>IF(終値!A166="","",IF(AND(安値!Q166&lt;安値!P166,安値!Q166&lt;安値!O166,安値!Q166&lt;安値!R166,安値!Q166&lt;安値!S166),12,""))</f>
      </c>
      <c r="M166" s="684">
        <f>IF(終値!A166="","",IF(AND(安値!R166&lt;安値!Q166,安値!R166&lt;安値!P166,安値!R166&lt;安値!S166,安値!R166&lt;安値!T166),13,""))</f>
      </c>
      <c r="N166" s="684">
        <f>IF(終値!A166="","",IF(AND(安値!S166&lt;安値!R166,安値!S166&lt;安値!Q166,安値!S166&lt;安値!T166,安値!S166&lt;安値!U166),14,""))</f>
      </c>
      <c r="O166" s="684">
        <f>IF(終値!A166="","",IF(AND(安値!T166&lt;安値!S166,安値!T166&lt;安値!R166,安値!T166&lt;安値!U166,安値!T166&lt;安値!V166),15,""))</f>
      </c>
      <c r="P166" s="684">
        <f>IF(終値!A166="","",IF(AND(安値!U166&lt;安値!T166,安値!U166&lt;安値!S166,安値!U166&lt;安値!V166,安値!U166&lt;安値!W166),16,""))</f>
      </c>
      <c r="Q166" s="684">
        <f>IF(終値!A166="","",IF(AND(安値!V166&lt;安値!U166,安値!V166&lt;安値!T166,安値!V166&lt;安値!W166,安値!V166&lt;安値!X166),17,""))</f>
      </c>
      <c r="R166" s="684">
        <f>IF(終値!A166="","",IF(AND(安値!W166&lt;安値!V166,安値!W166&lt;安値!U166,安値!W166&lt;安値!X166,安値!W166&lt;安値!Y166),18,""))</f>
      </c>
      <c r="S166" s="684">
        <f>IF(終値!A166="","",IF(AND(安値!X166&lt;安値!W166,安値!X166&lt;安値!V166,安値!X166&lt;安値!Y166,安値!X166&lt;安値!Z166),19,""))</f>
      </c>
      <c r="T166" s="684">
        <f>IF(終値!A166="","",IF(AND(安値!Y166&lt;安値!X166,安値!Y166&lt;安値!W166,安値!Y166&lt;安値!Z166,安値!Y166&lt;安値!AA166),20,""))</f>
      </c>
      <c r="U166" s="684">
        <f>IF(終値!A166="","",IF(AND(安値!Z166&lt;安値!Y166,安値!Z166&lt;安値!X166,安値!Z166&lt;安値!AA166,安値!Z166&lt;安値!AB166),21,""))</f>
      </c>
      <c r="V166" s="684">
        <f>IF(終値!A166="","",IF(AND(安値!AA166&lt;安値!Z166,安値!AA166&lt;安値!Y166,安値!AA166&lt;安値!AB166,安値!AA166&lt;安値!AC166),22,""))</f>
      </c>
      <c r="W166" s="684">
        <f>IF(終値!A166="","",IF(AND(安値!AB166&lt;安値!AA166,安値!AB166&lt;安値!Z166,安値!AB166&lt;安値!AC166,安値!AB166&lt;安値!AD166),23,""))</f>
      </c>
      <c r="X166" s="684">
        <f>IF(終値!A166="","",IF(AND(安値!AC166&lt;安値!AB166,安値!AC166&lt;安値!AA166,安値!AC166&lt;安値!AD166,安値!AC166&lt;安値!AE166),24,""))</f>
      </c>
      <c r="Y166" s="684">
        <f>IF(終値!A166="","",IF(AND(安値!AD166&lt;安値!AC166,安値!AD166&lt;安値!AB166,安値!AD166&lt;安値!AE166,安値!AD166&lt;安値!AF166),25,""))</f>
      </c>
      <c r="Z166" s="684">
        <f>IF(終値!A166="","",IF(AND(安値!AE166&lt;安値!AD166,安値!AE166&lt;安値!AC166,安値!AE166&lt;安値!AF166,安値!AE166&lt;安値!AG166),26,""))</f>
      </c>
      <c r="AA166" s="684">
        <f>IF(終値!A166="","",IF(AND(安値!AF166&lt;安値!AE166,安値!AF166&lt;安値!AD166,安値!AF166&lt;安値!AG166,安値!AF166&lt;安値!AH166),27,""))</f>
      </c>
      <c r="AB166" s="684">
        <f>IF(終値!A166="","",IF(AND(安値!AG166&lt;安値!AF166,安値!AG166&lt;安値!AE166,安値!AG166&lt;安値!AH166,安値!AG166&lt;安値!AI166),28,""))</f>
      </c>
      <c r="AC166" s="684">
        <f>IF(終値!A166="","",IF(AND(高値!G166&gt;高値!F166,高値!G166&gt;高値!E166,高値!G166&gt;高値!H166,高値!G166&gt;高値!I166),2,""))</f>
      </c>
      <c r="AD166" s="684">
        <f>IF(終値!A166="","",IF(AND(高値!H166&gt;高値!G166,高値!H166&gt;高値!F166,高値!H166&gt;高値!I166,高値!H166&gt;高値!J166),3,""))</f>
      </c>
      <c r="AE166" s="684">
        <f>IF(終値!A166="","",IF(AND(高値!I166&gt;高値!H166,高値!I166&gt;高値!G166,高値!I166&gt;高値!J166,高値!I166&gt;高値!K166),4,""))</f>
      </c>
      <c r="AF166" s="684">
        <f>IF(終値!A166="","",IF(AND(高値!J166&gt;高値!I166,高値!J166&gt;高値!H166,高値!J166&gt;高値!K166,高値!J166&gt;高値!L166),5,""))</f>
      </c>
      <c r="AG166" s="684">
        <f>IF(終値!A166="","",IF(AND(高値!K166&gt;高値!J166,高値!K166&gt;高値!I166,高値!K166&gt;高値!L166,高値!K166&gt;高値!M166),6,""))</f>
      </c>
      <c r="AH166" s="684">
        <f>IF(終値!A166="","",IF(AND(高値!L166&gt;高値!K166,高値!L166&gt;高値!J166,高値!L166&gt;高値!M166,高値!L166&gt;高値!N166),7,""))</f>
      </c>
      <c r="AI166" s="684">
        <f>IF(終値!A166="","",IF(AND(高値!M166&gt;高値!L166,高値!M166&gt;高値!K166,高値!M166&gt;高値!N166,高値!M166&gt;高値!O166),8,""))</f>
      </c>
      <c r="AJ166" s="684">
        <f>IF(終値!A166="","",IF(AND(高値!N166&gt;高値!M166,高値!N166&gt;高値!L166,高値!N166&gt;高値!O166,高値!N166&gt;高値!P166),9,""))</f>
      </c>
      <c r="AK166" s="684">
        <f>IF(終値!A166="","",IF(AND(高値!O166&gt;高値!N166,高値!O166&gt;高値!M166,高値!O166&gt;高値!P166,高値!O166&gt;高値!Q166),10,""))</f>
      </c>
      <c r="AL166" s="684">
        <f>IF(終値!A166="","",IF(AND(高値!P166&gt;高値!O166,高値!P166&gt;高値!N166,高値!P166&gt;高値!Q166,高値!P166&gt;高値!R166),11,""))</f>
      </c>
      <c r="AM166" s="684">
        <f>IF(終値!A166="","",IF(AND(高値!Q166&gt;高値!P166,高値!Q166&gt;高値!O166,高値!Q166&gt;高値!R166,高値!Q166&gt;高値!S166),12,""))</f>
      </c>
      <c r="AN166" s="684">
        <f>IF(終値!A166="","",IF(AND(高値!R166&gt;高値!Q166,高値!R166&gt;高値!P166,高値!R166&gt;高値!S166,高値!R166&gt;高値!T166),13,""))</f>
      </c>
      <c r="AO166" s="684">
        <f>IF(終値!A166="","",IF(AND(高値!S166&gt;高値!R166,高値!S166&gt;高値!Q166,高値!S166&gt;高値!T166,高値!S166&gt;高値!U166),14,""))</f>
      </c>
      <c r="AP166" s="684">
        <f>IF(終値!A166="","",IF(AND(高値!T166&gt;高値!S166,高値!T166&gt;高値!R166,高値!T166&gt;高値!U166,高値!T166&gt;高値!V166),15,""))</f>
      </c>
      <c r="AQ166" s="684">
        <f>IF(終値!A166="","",IF(AND(高値!U166&gt;高値!T166,高値!U166&gt;高値!S166,高値!U166&gt;高値!V166,高値!U166&gt;高値!W166),16,""))</f>
      </c>
      <c r="AR166" s="684">
        <f>IF(終値!A166="","",IF(AND(高値!V166&gt;高値!U166,高値!V166&gt;高値!T166,高値!V166&gt;高値!W166,高値!V166&gt;高値!X166),17,""))</f>
      </c>
      <c r="AS166" s="684">
        <f>IF(終値!A166="","",IF(AND(高値!W166&gt;高値!V166,高値!W166&gt;高値!U166,高値!W166&gt;高値!X166,高値!W166&gt;高値!Y166),18,""))</f>
      </c>
      <c r="AT166" s="684">
        <f>IF(終値!A166="","",IF(AND(高値!X166&gt;高値!W166,高値!X166&gt;高値!V166,高値!X166&gt;高値!Y166,高値!X166&gt;高値!Z166),19,""))</f>
      </c>
      <c r="AU166" s="684">
        <f>IF(終値!A166="","",IF(AND(高値!Y166&gt;高値!X166,高値!Y166&gt;高値!W166,高値!Y166&gt;高値!Z166,高値!Y166&gt;高値!AA166),20,""))</f>
      </c>
      <c r="AV166" s="684">
        <f>IF(終値!A166="","",IF(AND(高値!Z166&gt;高値!Y166,高値!Z166&gt;高値!X166,高値!Z166&gt;高値!AA166,高値!Z166&gt;高値!AB166),21,""))</f>
      </c>
      <c r="AW166" s="684">
        <f>IF(終値!A166="","",IF(AND(高値!AA166&gt;高値!Z166,高値!AA166&gt;高値!Y166,高値!AA166&gt;高値!AB166,高値!AA166&gt;高値!AC166),22,""))</f>
      </c>
      <c r="AX166" s="684">
        <f>IF(終値!A166="","",IF(AND(高値!AB166&gt;高値!AA166,高値!AB166&gt;高値!Z166,高値!AB166&gt;高値!AC166,高値!AB166&gt;高値!AD166),23,""))</f>
      </c>
      <c r="AY166" s="684">
        <f>IF(終値!A166="","",IF(AND(高値!AC166&gt;高値!AB166,高値!AC166&gt;高値!AA166,高値!AC166&gt;高値!AD166,高値!AC166&gt;高値!AE166),24,""))</f>
      </c>
      <c r="AZ166" s="684">
        <f>IF(終値!A166="","",IF(AND(高値!AD166&gt;高値!AC166,高値!AD166&gt;高値!AB166,高値!AD166&gt;高値!AE166,高値!AD166&gt;高値!AF166),25,""))</f>
      </c>
      <c r="BA166" s="684">
        <f>IF(終値!A166="","",IF(AND(高値!AE166&gt;高値!AD166,高値!AE166&gt;高値!AC166,高値!AE166&gt;高値!AF166,高値!AE166&gt;高値!AG166),26,""))</f>
      </c>
      <c r="BB166" s="684">
        <f>IF(終値!A166="","",IF(AND(高値!AF166&gt;高値!AE166,高値!AF166&gt;高値!AD166,高値!AF166&gt;高値!AG166,高値!AF166&gt;高値!AH166),27,""))</f>
      </c>
      <c r="BC166" s="684">
        <f>IF(終値!A166="","",IF(AND(高値!AG166&gt;高値!AF166,高値!AG166&gt;高値!AE166,高値!AG166&gt;高値!AH166,高値!AG166&gt;高値!AI166),28,""))</f>
      </c>
      <c r="BD166" s="684">
        <f>COUNT($B166:$AB166)</f>
      </c>
      <c r="BE166" s="684">
        <f>IF($BD166&gt;=2,MIN($B166:$AB166),"")</f>
      </c>
      <c r="BF166" s="684">
        <f>IF($BD166&gt;=2,SMALL($B166:$AB166,2),"")</f>
      </c>
      <c r="BG166" s="684">
        <f>IF($BE166="","",INDEX(安値!$E166:$CZ166,1,$BE166+1))</f>
      </c>
      <c r="BH166" s="684">
        <f>IF($BF166="","",INDEX(安値!$E166:$CZ166,1,$BF166+1))</f>
      </c>
      <c r="BI166" s="684">
        <f>IF($BF166="","",MAX(INDEX(高値!$E166:$CZ166,1,$BE166+1):INDEX(高値!$E166:$CZ166,1,$BF166+1)))</f>
      </c>
      <c r="BJ166" s="684">
        <f>IF($BF166="","",AVERAGE(INDEX(終値!$E166:$CZ166,1,$BF166+1):INDEX(終値!$E166:$CZ166,1,$BF166+20))-2*STDEVP(INDEX(終値!$E166:$CZ166,1,$BF166+1):INDEX(終値!$E166:$CZ166,1,$BF166+20)))</f>
      </c>
      <c r="BK166" s="684">
        <f>IF($BE166="","",AVERAGE(INDEX(終値!$E166:$CZ166,1,$BE166+1):INDEX(終値!$E166:$CZ166,1,$BE166+20))-2*STDEVP(INDEX(終値!$E166:$CZ166,1,$BE166+1):INDEX(終値!$E166:$CZ166,1,$BE166+20)))</f>
      </c>
      <c r="BL166" s="684">
        <f>COUNT($AC166:$BC166)</f>
      </c>
      <c r="BM166" s="684">
        <f>IF($BL166&gt;=2,MIN($AC166:$BC166),"")</f>
      </c>
      <c r="BN166" s="684">
        <f>IF($BL166&gt;=2,SMALL($AC166:$BC166,2),"")</f>
      </c>
      <c r="BO166" s="684">
        <f>IF($BM166="","",INDEX(高値!$E166:$CZ166,1,$BM166+1))</f>
      </c>
      <c r="BP166" s="684">
        <f>IF($BN166="","",INDEX(高値!$E166:$CZ166,1,$BN166+1))</f>
      </c>
      <c r="BQ166" s="684">
        <f>IF($BN166="","",MIN(INDEX(安値!$E166:$CZ166,1,$BM166+1):INDEX(安値!$E166:$CZ166,1,$BN166+1)))</f>
      </c>
      <c r="BR166" s="684">
        <f>IF($BN166="","",AVERAGE(INDEX(終値!$E166:$CZ166,1,$BN166+1):INDEX(終値!$E166:$CZ166,1,$BN166+20))+2*STDEVP(INDEX(終値!$E166:$CZ166,1,$BN166+1):INDEX(終値!$E166:$CZ166,1,$BN166+20)))</f>
      </c>
      <c r="BS166" s="684">
        <f>IF($BM166="","",AVERAGE(INDEX(終値!$E166:$CZ166,1,$BM166+1):INDEX(終値!$E166:$CZ166,1,$BM166+20))+2*STDEVP(INDEX(終値!$E166:$CZ166,1,$BM166+1):INDEX(終値!$E166:$CZ166,1,$BM166+20)))</f>
      </c>
      <c r="BT166" s="681">
        <f>IFERROR(IF(AND($BD166&gt;=2,ABS($BG166-$BH166)/$BH166&lt;=BB設定!$B$12,$BI166&gt;=MAX($BH166,$BG166)*(1+BB設定!$B$13),終値!E166&gt;$BG166),IF(OR(終値!E166&gt;=$BI166,AND($BH166&lt;$BJ166,$BG166&gt;=$BK166)),"二番底W▲","二番底W形成"),IF(AND($BL166&gt;=2,ABS($BO166-$BP166)/$BP166&lt;=BB設定!$B$12,$BQ166&lt;=MIN($BP166,$BO166)*(1-BB設定!$B$13),終値!E166&lt;$BO166),IF(OR(終値!E166&lt;=$BQ166,AND($BP166&gt;$BR166,$BO166&lt;=$BS166)),"二番天井M▼","二番天井M形成"),"－")),"－")</f>
      </c>
    </row>
    <row r="167">
      <c r="B167" s="684">
        <f>IF(終値!A167="","",IF(AND(安値!G167&lt;安値!F167,安値!G167&lt;安値!E167,安値!G167&lt;安値!H167,安値!G167&lt;安値!I167),2,""))</f>
      </c>
      <c r="C167" s="684">
        <f>IF(終値!A167="","",IF(AND(安値!H167&lt;安値!G167,安値!H167&lt;安値!F167,安値!H167&lt;安値!I167,安値!H167&lt;安値!J167),3,""))</f>
      </c>
      <c r="D167" s="684">
        <f>IF(終値!A167="","",IF(AND(安値!I167&lt;安値!H167,安値!I167&lt;安値!G167,安値!I167&lt;安値!J167,安値!I167&lt;安値!K167),4,""))</f>
      </c>
      <c r="E167" s="684">
        <f>IF(終値!A167="","",IF(AND(安値!J167&lt;安値!I167,安値!J167&lt;安値!H167,安値!J167&lt;安値!K167,安値!J167&lt;安値!L167),5,""))</f>
      </c>
      <c r="F167" s="684">
        <f>IF(終値!A167="","",IF(AND(安値!K167&lt;安値!J167,安値!K167&lt;安値!I167,安値!K167&lt;安値!L167,安値!K167&lt;安値!M167),6,""))</f>
      </c>
      <c r="G167" s="684">
        <f>IF(終値!A167="","",IF(AND(安値!L167&lt;安値!K167,安値!L167&lt;安値!J167,安値!L167&lt;安値!M167,安値!L167&lt;安値!N167),7,""))</f>
      </c>
      <c r="H167" s="684">
        <f>IF(終値!A167="","",IF(AND(安値!M167&lt;安値!L167,安値!M167&lt;安値!K167,安値!M167&lt;安値!N167,安値!M167&lt;安値!O167),8,""))</f>
      </c>
      <c r="I167" s="684">
        <f>IF(終値!A167="","",IF(AND(安値!N167&lt;安値!M167,安値!N167&lt;安値!L167,安値!N167&lt;安値!O167,安値!N167&lt;安値!P167),9,""))</f>
      </c>
      <c r="J167" s="684">
        <f>IF(終値!A167="","",IF(AND(安値!O167&lt;安値!N167,安値!O167&lt;安値!M167,安値!O167&lt;安値!P167,安値!O167&lt;安値!Q167),10,""))</f>
      </c>
      <c r="K167" s="684">
        <f>IF(終値!A167="","",IF(AND(安値!P167&lt;安値!O167,安値!P167&lt;安値!N167,安値!P167&lt;安値!Q167,安値!P167&lt;安値!R167),11,""))</f>
      </c>
      <c r="L167" s="684">
        <f>IF(終値!A167="","",IF(AND(安値!Q167&lt;安値!P167,安値!Q167&lt;安値!O167,安値!Q167&lt;安値!R167,安値!Q167&lt;安値!S167),12,""))</f>
      </c>
      <c r="M167" s="684">
        <f>IF(終値!A167="","",IF(AND(安値!R167&lt;安値!Q167,安値!R167&lt;安値!P167,安値!R167&lt;安値!S167,安値!R167&lt;安値!T167),13,""))</f>
      </c>
      <c r="N167" s="684">
        <f>IF(終値!A167="","",IF(AND(安値!S167&lt;安値!R167,安値!S167&lt;安値!Q167,安値!S167&lt;安値!T167,安値!S167&lt;安値!U167),14,""))</f>
      </c>
      <c r="O167" s="684">
        <f>IF(終値!A167="","",IF(AND(安値!T167&lt;安値!S167,安値!T167&lt;安値!R167,安値!T167&lt;安値!U167,安値!T167&lt;安値!V167),15,""))</f>
      </c>
      <c r="P167" s="684">
        <f>IF(終値!A167="","",IF(AND(安値!U167&lt;安値!T167,安値!U167&lt;安値!S167,安値!U167&lt;安値!V167,安値!U167&lt;安値!W167),16,""))</f>
      </c>
      <c r="Q167" s="684">
        <f>IF(終値!A167="","",IF(AND(安値!V167&lt;安値!U167,安値!V167&lt;安値!T167,安値!V167&lt;安値!W167,安値!V167&lt;安値!X167),17,""))</f>
      </c>
      <c r="R167" s="684">
        <f>IF(終値!A167="","",IF(AND(安値!W167&lt;安値!V167,安値!W167&lt;安値!U167,安値!W167&lt;安値!X167,安値!W167&lt;安値!Y167),18,""))</f>
      </c>
      <c r="S167" s="684">
        <f>IF(終値!A167="","",IF(AND(安値!X167&lt;安値!W167,安値!X167&lt;安値!V167,安値!X167&lt;安値!Y167,安値!X167&lt;安値!Z167),19,""))</f>
      </c>
      <c r="T167" s="684">
        <f>IF(終値!A167="","",IF(AND(安値!Y167&lt;安値!X167,安値!Y167&lt;安値!W167,安値!Y167&lt;安値!Z167,安値!Y167&lt;安値!AA167),20,""))</f>
      </c>
      <c r="U167" s="684">
        <f>IF(終値!A167="","",IF(AND(安値!Z167&lt;安値!Y167,安値!Z167&lt;安値!X167,安値!Z167&lt;安値!AA167,安値!Z167&lt;安値!AB167),21,""))</f>
      </c>
      <c r="V167" s="684">
        <f>IF(終値!A167="","",IF(AND(安値!AA167&lt;安値!Z167,安値!AA167&lt;安値!Y167,安値!AA167&lt;安値!AB167,安値!AA167&lt;安値!AC167),22,""))</f>
      </c>
      <c r="W167" s="684">
        <f>IF(終値!A167="","",IF(AND(安値!AB167&lt;安値!AA167,安値!AB167&lt;安値!Z167,安値!AB167&lt;安値!AC167,安値!AB167&lt;安値!AD167),23,""))</f>
      </c>
      <c r="X167" s="684">
        <f>IF(終値!A167="","",IF(AND(安値!AC167&lt;安値!AB167,安値!AC167&lt;安値!AA167,安値!AC167&lt;安値!AD167,安値!AC167&lt;安値!AE167),24,""))</f>
      </c>
      <c r="Y167" s="684">
        <f>IF(終値!A167="","",IF(AND(安値!AD167&lt;安値!AC167,安値!AD167&lt;安値!AB167,安値!AD167&lt;安値!AE167,安値!AD167&lt;安値!AF167),25,""))</f>
      </c>
      <c r="Z167" s="684">
        <f>IF(終値!A167="","",IF(AND(安値!AE167&lt;安値!AD167,安値!AE167&lt;安値!AC167,安値!AE167&lt;安値!AF167,安値!AE167&lt;安値!AG167),26,""))</f>
      </c>
      <c r="AA167" s="684">
        <f>IF(終値!A167="","",IF(AND(安値!AF167&lt;安値!AE167,安値!AF167&lt;安値!AD167,安値!AF167&lt;安値!AG167,安値!AF167&lt;安値!AH167),27,""))</f>
      </c>
      <c r="AB167" s="684">
        <f>IF(終値!A167="","",IF(AND(安値!AG167&lt;安値!AF167,安値!AG167&lt;安値!AE167,安値!AG167&lt;安値!AH167,安値!AG167&lt;安値!AI167),28,""))</f>
      </c>
      <c r="AC167" s="684">
        <f>IF(終値!A167="","",IF(AND(高値!G167&gt;高値!F167,高値!G167&gt;高値!E167,高値!G167&gt;高値!H167,高値!G167&gt;高値!I167),2,""))</f>
      </c>
      <c r="AD167" s="684">
        <f>IF(終値!A167="","",IF(AND(高値!H167&gt;高値!G167,高値!H167&gt;高値!F167,高値!H167&gt;高値!I167,高値!H167&gt;高値!J167),3,""))</f>
      </c>
      <c r="AE167" s="684">
        <f>IF(終値!A167="","",IF(AND(高値!I167&gt;高値!H167,高値!I167&gt;高値!G167,高値!I167&gt;高値!J167,高値!I167&gt;高値!K167),4,""))</f>
      </c>
      <c r="AF167" s="684">
        <f>IF(終値!A167="","",IF(AND(高値!J167&gt;高値!I167,高値!J167&gt;高値!H167,高値!J167&gt;高値!K167,高値!J167&gt;高値!L167),5,""))</f>
      </c>
      <c r="AG167" s="684">
        <f>IF(終値!A167="","",IF(AND(高値!K167&gt;高値!J167,高値!K167&gt;高値!I167,高値!K167&gt;高値!L167,高値!K167&gt;高値!M167),6,""))</f>
      </c>
      <c r="AH167" s="684">
        <f>IF(終値!A167="","",IF(AND(高値!L167&gt;高値!K167,高値!L167&gt;高値!J167,高値!L167&gt;高値!M167,高値!L167&gt;高値!N167),7,""))</f>
      </c>
      <c r="AI167" s="684">
        <f>IF(終値!A167="","",IF(AND(高値!M167&gt;高値!L167,高値!M167&gt;高値!K167,高値!M167&gt;高値!N167,高値!M167&gt;高値!O167),8,""))</f>
      </c>
      <c r="AJ167" s="684">
        <f>IF(終値!A167="","",IF(AND(高値!N167&gt;高値!M167,高値!N167&gt;高値!L167,高値!N167&gt;高値!O167,高値!N167&gt;高値!P167),9,""))</f>
      </c>
      <c r="AK167" s="684">
        <f>IF(終値!A167="","",IF(AND(高値!O167&gt;高値!N167,高値!O167&gt;高値!M167,高値!O167&gt;高値!P167,高値!O167&gt;高値!Q167),10,""))</f>
      </c>
      <c r="AL167" s="684">
        <f>IF(終値!A167="","",IF(AND(高値!P167&gt;高値!O167,高値!P167&gt;高値!N167,高値!P167&gt;高値!Q167,高値!P167&gt;高値!R167),11,""))</f>
      </c>
      <c r="AM167" s="684">
        <f>IF(終値!A167="","",IF(AND(高値!Q167&gt;高値!P167,高値!Q167&gt;高値!O167,高値!Q167&gt;高値!R167,高値!Q167&gt;高値!S167),12,""))</f>
      </c>
      <c r="AN167" s="684">
        <f>IF(終値!A167="","",IF(AND(高値!R167&gt;高値!Q167,高値!R167&gt;高値!P167,高値!R167&gt;高値!S167,高値!R167&gt;高値!T167),13,""))</f>
      </c>
      <c r="AO167" s="684">
        <f>IF(終値!A167="","",IF(AND(高値!S167&gt;高値!R167,高値!S167&gt;高値!Q167,高値!S167&gt;高値!T167,高値!S167&gt;高値!U167),14,""))</f>
      </c>
      <c r="AP167" s="684">
        <f>IF(終値!A167="","",IF(AND(高値!T167&gt;高値!S167,高値!T167&gt;高値!R167,高値!T167&gt;高値!U167,高値!T167&gt;高値!V167),15,""))</f>
      </c>
      <c r="AQ167" s="684">
        <f>IF(終値!A167="","",IF(AND(高値!U167&gt;高値!T167,高値!U167&gt;高値!S167,高値!U167&gt;高値!V167,高値!U167&gt;高値!W167),16,""))</f>
      </c>
      <c r="AR167" s="684">
        <f>IF(終値!A167="","",IF(AND(高値!V167&gt;高値!U167,高値!V167&gt;高値!T167,高値!V167&gt;高値!W167,高値!V167&gt;高値!X167),17,""))</f>
      </c>
      <c r="AS167" s="684">
        <f>IF(終値!A167="","",IF(AND(高値!W167&gt;高値!V167,高値!W167&gt;高値!U167,高値!W167&gt;高値!X167,高値!W167&gt;高値!Y167),18,""))</f>
      </c>
      <c r="AT167" s="684">
        <f>IF(終値!A167="","",IF(AND(高値!X167&gt;高値!W167,高値!X167&gt;高値!V167,高値!X167&gt;高値!Y167,高値!X167&gt;高値!Z167),19,""))</f>
      </c>
      <c r="AU167" s="684">
        <f>IF(終値!A167="","",IF(AND(高値!Y167&gt;高値!X167,高値!Y167&gt;高値!W167,高値!Y167&gt;高値!Z167,高値!Y167&gt;高値!AA167),20,""))</f>
      </c>
      <c r="AV167" s="684">
        <f>IF(終値!A167="","",IF(AND(高値!Z167&gt;高値!Y167,高値!Z167&gt;高値!X167,高値!Z167&gt;高値!AA167,高値!Z167&gt;高値!AB167),21,""))</f>
      </c>
      <c r="AW167" s="684">
        <f>IF(終値!A167="","",IF(AND(高値!AA167&gt;高値!Z167,高値!AA167&gt;高値!Y167,高値!AA167&gt;高値!AB167,高値!AA167&gt;高値!AC167),22,""))</f>
      </c>
      <c r="AX167" s="684">
        <f>IF(終値!A167="","",IF(AND(高値!AB167&gt;高値!AA167,高値!AB167&gt;高値!Z167,高値!AB167&gt;高値!AC167,高値!AB167&gt;高値!AD167),23,""))</f>
      </c>
      <c r="AY167" s="684">
        <f>IF(終値!A167="","",IF(AND(高値!AC167&gt;高値!AB167,高値!AC167&gt;高値!AA167,高値!AC167&gt;高値!AD167,高値!AC167&gt;高値!AE167),24,""))</f>
      </c>
      <c r="AZ167" s="684">
        <f>IF(終値!A167="","",IF(AND(高値!AD167&gt;高値!AC167,高値!AD167&gt;高値!AB167,高値!AD167&gt;高値!AE167,高値!AD167&gt;高値!AF167),25,""))</f>
      </c>
      <c r="BA167" s="684">
        <f>IF(終値!A167="","",IF(AND(高値!AE167&gt;高値!AD167,高値!AE167&gt;高値!AC167,高値!AE167&gt;高値!AF167,高値!AE167&gt;高値!AG167),26,""))</f>
      </c>
      <c r="BB167" s="684">
        <f>IF(終値!A167="","",IF(AND(高値!AF167&gt;高値!AE167,高値!AF167&gt;高値!AD167,高値!AF167&gt;高値!AG167,高値!AF167&gt;高値!AH167),27,""))</f>
      </c>
      <c r="BC167" s="684">
        <f>IF(終値!A167="","",IF(AND(高値!AG167&gt;高値!AF167,高値!AG167&gt;高値!AE167,高値!AG167&gt;高値!AH167,高値!AG167&gt;高値!AI167),28,""))</f>
      </c>
      <c r="BD167" s="684">
        <f>COUNT($B167:$AB167)</f>
      </c>
      <c r="BE167" s="684">
        <f>IF($BD167&gt;=2,MIN($B167:$AB167),"")</f>
      </c>
      <c r="BF167" s="684">
        <f>IF($BD167&gt;=2,SMALL($B167:$AB167,2),"")</f>
      </c>
      <c r="BG167" s="684">
        <f>IF($BE167="","",INDEX(安値!$E167:$CZ167,1,$BE167+1))</f>
      </c>
      <c r="BH167" s="684">
        <f>IF($BF167="","",INDEX(安値!$E167:$CZ167,1,$BF167+1))</f>
      </c>
      <c r="BI167" s="684">
        <f>IF($BF167="","",MAX(INDEX(高値!$E167:$CZ167,1,$BE167+1):INDEX(高値!$E167:$CZ167,1,$BF167+1)))</f>
      </c>
      <c r="BJ167" s="684">
        <f>IF($BF167="","",AVERAGE(INDEX(終値!$E167:$CZ167,1,$BF167+1):INDEX(終値!$E167:$CZ167,1,$BF167+20))-2*STDEVP(INDEX(終値!$E167:$CZ167,1,$BF167+1):INDEX(終値!$E167:$CZ167,1,$BF167+20)))</f>
      </c>
      <c r="BK167" s="684">
        <f>IF($BE167="","",AVERAGE(INDEX(終値!$E167:$CZ167,1,$BE167+1):INDEX(終値!$E167:$CZ167,1,$BE167+20))-2*STDEVP(INDEX(終値!$E167:$CZ167,1,$BE167+1):INDEX(終値!$E167:$CZ167,1,$BE167+20)))</f>
      </c>
      <c r="BL167" s="684">
        <f>COUNT($AC167:$BC167)</f>
      </c>
      <c r="BM167" s="684">
        <f>IF($BL167&gt;=2,MIN($AC167:$BC167),"")</f>
      </c>
      <c r="BN167" s="684">
        <f>IF($BL167&gt;=2,SMALL($AC167:$BC167,2),"")</f>
      </c>
      <c r="BO167" s="684">
        <f>IF($BM167="","",INDEX(高値!$E167:$CZ167,1,$BM167+1))</f>
      </c>
      <c r="BP167" s="684">
        <f>IF($BN167="","",INDEX(高値!$E167:$CZ167,1,$BN167+1))</f>
      </c>
      <c r="BQ167" s="684">
        <f>IF($BN167="","",MIN(INDEX(安値!$E167:$CZ167,1,$BM167+1):INDEX(安値!$E167:$CZ167,1,$BN167+1)))</f>
      </c>
      <c r="BR167" s="684">
        <f>IF($BN167="","",AVERAGE(INDEX(終値!$E167:$CZ167,1,$BN167+1):INDEX(終値!$E167:$CZ167,1,$BN167+20))+2*STDEVP(INDEX(終値!$E167:$CZ167,1,$BN167+1):INDEX(終値!$E167:$CZ167,1,$BN167+20)))</f>
      </c>
      <c r="BS167" s="684">
        <f>IF($BM167="","",AVERAGE(INDEX(終値!$E167:$CZ167,1,$BM167+1):INDEX(終値!$E167:$CZ167,1,$BM167+20))+2*STDEVP(INDEX(終値!$E167:$CZ167,1,$BM167+1):INDEX(終値!$E167:$CZ167,1,$BM167+20)))</f>
      </c>
      <c r="BT167" s="681">
        <f>IFERROR(IF(AND($BD167&gt;=2,ABS($BG167-$BH167)/$BH167&lt;=BB設定!$B$12,$BI167&gt;=MAX($BH167,$BG167)*(1+BB設定!$B$13),終値!E167&gt;$BG167),IF(OR(終値!E167&gt;=$BI167,AND($BH167&lt;$BJ167,$BG167&gt;=$BK167)),"二番底W▲","二番底W形成"),IF(AND($BL167&gt;=2,ABS($BO167-$BP167)/$BP167&lt;=BB設定!$B$12,$BQ167&lt;=MIN($BP167,$BO167)*(1-BB設定!$B$13),終値!E167&lt;$BO167),IF(OR(終値!E167&lt;=$BQ167,AND($BP167&gt;$BR167,$BO167&lt;=$BS167)),"二番天井M▼","二番天井M形成"),"－")),"－")</f>
      </c>
    </row>
    <row r="168">
      <c r="B168" s="684">
        <f>IF(終値!A168="","",IF(AND(安値!G168&lt;安値!F168,安値!G168&lt;安値!E168,安値!G168&lt;安値!H168,安値!G168&lt;安値!I168),2,""))</f>
      </c>
      <c r="C168" s="684">
        <f>IF(終値!A168="","",IF(AND(安値!H168&lt;安値!G168,安値!H168&lt;安値!F168,安値!H168&lt;安値!I168,安値!H168&lt;安値!J168),3,""))</f>
      </c>
      <c r="D168" s="684">
        <f>IF(終値!A168="","",IF(AND(安値!I168&lt;安値!H168,安値!I168&lt;安値!G168,安値!I168&lt;安値!J168,安値!I168&lt;安値!K168),4,""))</f>
      </c>
      <c r="E168" s="684">
        <f>IF(終値!A168="","",IF(AND(安値!J168&lt;安値!I168,安値!J168&lt;安値!H168,安値!J168&lt;安値!K168,安値!J168&lt;安値!L168),5,""))</f>
      </c>
      <c r="F168" s="684">
        <f>IF(終値!A168="","",IF(AND(安値!K168&lt;安値!J168,安値!K168&lt;安値!I168,安値!K168&lt;安値!L168,安値!K168&lt;安値!M168),6,""))</f>
      </c>
      <c r="G168" s="684">
        <f>IF(終値!A168="","",IF(AND(安値!L168&lt;安値!K168,安値!L168&lt;安値!J168,安値!L168&lt;安値!M168,安値!L168&lt;安値!N168),7,""))</f>
      </c>
      <c r="H168" s="684">
        <f>IF(終値!A168="","",IF(AND(安値!M168&lt;安値!L168,安値!M168&lt;安値!K168,安値!M168&lt;安値!N168,安値!M168&lt;安値!O168),8,""))</f>
      </c>
      <c r="I168" s="684">
        <f>IF(終値!A168="","",IF(AND(安値!N168&lt;安値!M168,安値!N168&lt;安値!L168,安値!N168&lt;安値!O168,安値!N168&lt;安値!P168),9,""))</f>
      </c>
      <c r="J168" s="684">
        <f>IF(終値!A168="","",IF(AND(安値!O168&lt;安値!N168,安値!O168&lt;安値!M168,安値!O168&lt;安値!P168,安値!O168&lt;安値!Q168),10,""))</f>
      </c>
      <c r="K168" s="684">
        <f>IF(終値!A168="","",IF(AND(安値!P168&lt;安値!O168,安値!P168&lt;安値!N168,安値!P168&lt;安値!Q168,安値!P168&lt;安値!R168),11,""))</f>
      </c>
      <c r="L168" s="684">
        <f>IF(終値!A168="","",IF(AND(安値!Q168&lt;安値!P168,安値!Q168&lt;安値!O168,安値!Q168&lt;安値!R168,安値!Q168&lt;安値!S168),12,""))</f>
      </c>
      <c r="M168" s="684">
        <f>IF(終値!A168="","",IF(AND(安値!R168&lt;安値!Q168,安値!R168&lt;安値!P168,安値!R168&lt;安値!S168,安値!R168&lt;安値!T168),13,""))</f>
      </c>
      <c r="N168" s="684">
        <f>IF(終値!A168="","",IF(AND(安値!S168&lt;安値!R168,安値!S168&lt;安値!Q168,安値!S168&lt;安値!T168,安値!S168&lt;安値!U168),14,""))</f>
      </c>
      <c r="O168" s="684">
        <f>IF(終値!A168="","",IF(AND(安値!T168&lt;安値!S168,安値!T168&lt;安値!R168,安値!T168&lt;安値!U168,安値!T168&lt;安値!V168),15,""))</f>
      </c>
      <c r="P168" s="684">
        <f>IF(終値!A168="","",IF(AND(安値!U168&lt;安値!T168,安値!U168&lt;安値!S168,安値!U168&lt;安値!V168,安値!U168&lt;安値!W168),16,""))</f>
      </c>
      <c r="Q168" s="684">
        <f>IF(終値!A168="","",IF(AND(安値!V168&lt;安値!U168,安値!V168&lt;安値!T168,安値!V168&lt;安値!W168,安値!V168&lt;安値!X168),17,""))</f>
      </c>
      <c r="R168" s="684">
        <f>IF(終値!A168="","",IF(AND(安値!W168&lt;安値!V168,安値!W168&lt;安値!U168,安値!W168&lt;安値!X168,安値!W168&lt;安値!Y168),18,""))</f>
      </c>
      <c r="S168" s="684">
        <f>IF(終値!A168="","",IF(AND(安値!X168&lt;安値!W168,安値!X168&lt;安値!V168,安値!X168&lt;安値!Y168,安値!X168&lt;安値!Z168),19,""))</f>
      </c>
      <c r="T168" s="684">
        <f>IF(終値!A168="","",IF(AND(安値!Y168&lt;安値!X168,安値!Y168&lt;安値!W168,安値!Y168&lt;安値!Z168,安値!Y168&lt;安値!AA168),20,""))</f>
      </c>
      <c r="U168" s="684">
        <f>IF(終値!A168="","",IF(AND(安値!Z168&lt;安値!Y168,安値!Z168&lt;安値!X168,安値!Z168&lt;安値!AA168,安値!Z168&lt;安値!AB168),21,""))</f>
      </c>
      <c r="V168" s="684">
        <f>IF(終値!A168="","",IF(AND(安値!AA168&lt;安値!Z168,安値!AA168&lt;安値!Y168,安値!AA168&lt;安値!AB168,安値!AA168&lt;安値!AC168),22,""))</f>
      </c>
      <c r="W168" s="684">
        <f>IF(終値!A168="","",IF(AND(安値!AB168&lt;安値!AA168,安値!AB168&lt;安値!Z168,安値!AB168&lt;安値!AC168,安値!AB168&lt;安値!AD168),23,""))</f>
      </c>
      <c r="X168" s="684">
        <f>IF(終値!A168="","",IF(AND(安値!AC168&lt;安値!AB168,安値!AC168&lt;安値!AA168,安値!AC168&lt;安値!AD168,安値!AC168&lt;安値!AE168),24,""))</f>
      </c>
      <c r="Y168" s="684">
        <f>IF(終値!A168="","",IF(AND(安値!AD168&lt;安値!AC168,安値!AD168&lt;安値!AB168,安値!AD168&lt;安値!AE168,安値!AD168&lt;安値!AF168),25,""))</f>
      </c>
      <c r="Z168" s="684">
        <f>IF(終値!A168="","",IF(AND(安値!AE168&lt;安値!AD168,安値!AE168&lt;安値!AC168,安値!AE168&lt;安値!AF168,安値!AE168&lt;安値!AG168),26,""))</f>
      </c>
      <c r="AA168" s="684">
        <f>IF(終値!A168="","",IF(AND(安値!AF168&lt;安値!AE168,安値!AF168&lt;安値!AD168,安値!AF168&lt;安値!AG168,安値!AF168&lt;安値!AH168),27,""))</f>
      </c>
      <c r="AB168" s="684">
        <f>IF(終値!A168="","",IF(AND(安値!AG168&lt;安値!AF168,安値!AG168&lt;安値!AE168,安値!AG168&lt;安値!AH168,安値!AG168&lt;安値!AI168),28,""))</f>
      </c>
      <c r="AC168" s="684">
        <f>IF(終値!A168="","",IF(AND(高値!G168&gt;高値!F168,高値!G168&gt;高値!E168,高値!G168&gt;高値!H168,高値!G168&gt;高値!I168),2,""))</f>
      </c>
      <c r="AD168" s="684">
        <f>IF(終値!A168="","",IF(AND(高値!H168&gt;高値!G168,高値!H168&gt;高値!F168,高値!H168&gt;高値!I168,高値!H168&gt;高値!J168),3,""))</f>
      </c>
      <c r="AE168" s="684">
        <f>IF(終値!A168="","",IF(AND(高値!I168&gt;高値!H168,高値!I168&gt;高値!G168,高値!I168&gt;高値!J168,高値!I168&gt;高値!K168),4,""))</f>
      </c>
      <c r="AF168" s="684">
        <f>IF(終値!A168="","",IF(AND(高値!J168&gt;高値!I168,高値!J168&gt;高値!H168,高値!J168&gt;高値!K168,高値!J168&gt;高値!L168),5,""))</f>
      </c>
      <c r="AG168" s="684">
        <f>IF(終値!A168="","",IF(AND(高値!K168&gt;高値!J168,高値!K168&gt;高値!I168,高値!K168&gt;高値!L168,高値!K168&gt;高値!M168),6,""))</f>
      </c>
      <c r="AH168" s="684">
        <f>IF(終値!A168="","",IF(AND(高値!L168&gt;高値!K168,高値!L168&gt;高値!J168,高値!L168&gt;高値!M168,高値!L168&gt;高値!N168),7,""))</f>
      </c>
      <c r="AI168" s="684">
        <f>IF(終値!A168="","",IF(AND(高値!M168&gt;高値!L168,高値!M168&gt;高値!K168,高値!M168&gt;高値!N168,高値!M168&gt;高値!O168),8,""))</f>
      </c>
      <c r="AJ168" s="684">
        <f>IF(終値!A168="","",IF(AND(高値!N168&gt;高値!M168,高値!N168&gt;高値!L168,高値!N168&gt;高値!O168,高値!N168&gt;高値!P168),9,""))</f>
      </c>
      <c r="AK168" s="684">
        <f>IF(終値!A168="","",IF(AND(高値!O168&gt;高値!N168,高値!O168&gt;高値!M168,高値!O168&gt;高値!P168,高値!O168&gt;高値!Q168),10,""))</f>
      </c>
      <c r="AL168" s="684">
        <f>IF(終値!A168="","",IF(AND(高値!P168&gt;高値!O168,高値!P168&gt;高値!N168,高値!P168&gt;高値!Q168,高値!P168&gt;高値!R168),11,""))</f>
      </c>
      <c r="AM168" s="684">
        <f>IF(終値!A168="","",IF(AND(高値!Q168&gt;高値!P168,高値!Q168&gt;高値!O168,高値!Q168&gt;高値!R168,高値!Q168&gt;高値!S168),12,""))</f>
      </c>
      <c r="AN168" s="684">
        <f>IF(終値!A168="","",IF(AND(高値!R168&gt;高値!Q168,高値!R168&gt;高値!P168,高値!R168&gt;高値!S168,高値!R168&gt;高値!T168),13,""))</f>
      </c>
      <c r="AO168" s="684">
        <f>IF(終値!A168="","",IF(AND(高値!S168&gt;高値!R168,高値!S168&gt;高値!Q168,高値!S168&gt;高値!T168,高値!S168&gt;高値!U168),14,""))</f>
      </c>
      <c r="AP168" s="684">
        <f>IF(終値!A168="","",IF(AND(高値!T168&gt;高値!S168,高値!T168&gt;高値!R168,高値!T168&gt;高値!U168,高値!T168&gt;高値!V168),15,""))</f>
      </c>
      <c r="AQ168" s="684">
        <f>IF(終値!A168="","",IF(AND(高値!U168&gt;高値!T168,高値!U168&gt;高値!S168,高値!U168&gt;高値!V168,高値!U168&gt;高値!W168),16,""))</f>
      </c>
      <c r="AR168" s="684">
        <f>IF(終値!A168="","",IF(AND(高値!V168&gt;高値!U168,高値!V168&gt;高値!T168,高値!V168&gt;高値!W168,高値!V168&gt;高値!X168),17,""))</f>
      </c>
      <c r="AS168" s="684">
        <f>IF(終値!A168="","",IF(AND(高値!W168&gt;高値!V168,高値!W168&gt;高値!U168,高値!W168&gt;高値!X168,高値!W168&gt;高値!Y168),18,""))</f>
      </c>
      <c r="AT168" s="684">
        <f>IF(終値!A168="","",IF(AND(高値!X168&gt;高値!W168,高値!X168&gt;高値!V168,高値!X168&gt;高値!Y168,高値!X168&gt;高値!Z168),19,""))</f>
      </c>
      <c r="AU168" s="684">
        <f>IF(終値!A168="","",IF(AND(高値!Y168&gt;高値!X168,高値!Y168&gt;高値!W168,高値!Y168&gt;高値!Z168,高値!Y168&gt;高値!AA168),20,""))</f>
      </c>
      <c r="AV168" s="684">
        <f>IF(終値!A168="","",IF(AND(高値!Z168&gt;高値!Y168,高値!Z168&gt;高値!X168,高値!Z168&gt;高値!AA168,高値!Z168&gt;高値!AB168),21,""))</f>
      </c>
      <c r="AW168" s="684">
        <f>IF(終値!A168="","",IF(AND(高値!AA168&gt;高値!Z168,高値!AA168&gt;高値!Y168,高値!AA168&gt;高値!AB168,高値!AA168&gt;高値!AC168),22,""))</f>
      </c>
      <c r="AX168" s="684">
        <f>IF(終値!A168="","",IF(AND(高値!AB168&gt;高値!AA168,高値!AB168&gt;高値!Z168,高値!AB168&gt;高値!AC168,高値!AB168&gt;高値!AD168),23,""))</f>
      </c>
      <c r="AY168" s="684">
        <f>IF(終値!A168="","",IF(AND(高値!AC168&gt;高値!AB168,高値!AC168&gt;高値!AA168,高値!AC168&gt;高値!AD168,高値!AC168&gt;高値!AE168),24,""))</f>
      </c>
      <c r="AZ168" s="684">
        <f>IF(終値!A168="","",IF(AND(高値!AD168&gt;高値!AC168,高値!AD168&gt;高値!AB168,高値!AD168&gt;高値!AE168,高値!AD168&gt;高値!AF168),25,""))</f>
      </c>
      <c r="BA168" s="684">
        <f>IF(終値!A168="","",IF(AND(高値!AE168&gt;高値!AD168,高値!AE168&gt;高値!AC168,高値!AE168&gt;高値!AF168,高値!AE168&gt;高値!AG168),26,""))</f>
      </c>
      <c r="BB168" s="684">
        <f>IF(終値!A168="","",IF(AND(高値!AF168&gt;高値!AE168,高値!AF168&gt;高値!AD168,高値!AF168&gt;高値!AG168,高値!AF168&gt;高値!AH168),27,""))</f>
      </c>
      <c r="BC168" s="684">
        <f>IF(終値!A168="","",IF(AND(高値!AG168&gt;高値!AF168,高値!AG168&gt;高値!AE168,高値!AG168&gt;高値!AH168,高値!AG168&gt;高値!AI168),28,""))</f>
      </c>
      <c r="BD168" s="684">
        <f>COUNT($B168:$AB168)</f>
      </c>
      <c r="BE168" s="684">
        <f>IF($BD168&gt;=2,MIN($B168:$AB168),"")</f>
      </c>
      <c r="BF168" s="684">
        <f>IF($BD168&gt;=2,SMALL($B168:$AB168,2),"")</f>
      </c>
      <c r="BG168" s="684">
        <f>IF($BE168="","",INDEX(安値!$E168:$CZ168,1,$BE168+1))</f>
      </c>
      <c r="BH168" s="684">
        <f>IF($BF168="","",INDEX(安値!$E168:$CZ168,1,$BF168+1))</f>
      </c>
      <c r="BI168" s="684">
        <f>IF($BF168="","",MAX(INDEX(高値!$E168:$CZ168,1,$BE168+1):INDEX(高値!$E168:$CZ168,1,$BF168+1)))</f>
      </c>
      <c r="BJ168" s="684">
        <f>IF($BF168="","",AVERAGE(INDEX(終値!$E168:$CZ168,1,$BF168+1):INDEX(終値!$E168:$CZ168,1,$BF168+20))-2*STDEVP(INDEX(終値!$E168:$CZ168,1,$BF168+1):INDEX(終値!$E168:$CZ168,1,$BF168+20)))</f>
      </c>
      <c r="BK168" s="684">
        <f>IF($BE168="","",AVERAGE(INDEX(終値!$E168:$CZ168,1,$BE168+1):INDEX(終値!$E168:$CZ168,1,$BE168+20))-2*STDEVP(INDEX(終値!$E168:$CZ168,1,$BE168+1):INDEX(終値!$E168:$CZ168,1,$BE168+20)))</f>
      </c>
      <c r="BL168" s="684">
        <f>COUNT($AC168:$BC168)</f>
      </c>
      <c r="BM168" s="684">
        <f>IF($BL168&gt;=2,MIN($AC168:$BC168),"")</f>
      </c>
      <c r="BN168" s="684">
        <f>IF($BL168&gt;=2,SMALL($AC168:$BC168,2),"")</f>
      </c>
      <c r="BO168" s="684">
        <f>IF($BM168="","",INDEX(高値!$E168:$CZ168,1,$BM168+1))</f>
      </c>
      <c r="BP168" s="684">
        <f>IF($BN168="","",INDEX(高値!$E168:$CZ168,1,$BN168+1))</f>
      </c>
      <c r="BQ168" s="684">
        <f>IF($BN168="","",MIN(INDEX(安値!$E168:$CZ168,1,$BM168+1):INDEX(安値!$E168:$CZ168,1,$BN168+1)))</f>
      </c>
      <c r="BR168" s="684">
        <f>IF($BN168="","",AVERAGE(INDEX(終値!$E168:$CZ168,1,$BN168+1):INDEX(終値!$E168:$CZ168,1,$BN168+20))+2*STDEVP(INDEX(終値!$E168:$CZ168,1,$BN168+1):INDEX(終値!$E168:$CZ168,1,$BN168+20)))</f>
      </c>
      <c r="BS168" s="684">
        <f>IF($BM168="","",AVERAGE(INDEX(終値!$E168:$CZ168,1,$BM168+1):INDEX(終値!$E168:$CZ168,1,$BM168+20))+2*STDEVP(INDEX(終値!$E168:$CZ168,1,$BM168+1):INDEX(終値!$E168:$CZ168,1,$BM168+20)))</f>
      </c>
      <c r="BT168" s="681">
        <f>IFERROR(IF(AND($BD168&gt;=2,ABS($BG168-$BH168)/$BH168&lt;=BB設定!$B$12,$BI168&gt;=MAX($BH168,$BG168)*(1+BB設定!$B$13),終値!E168&gt;$BG168),IF(OR(終値!E168&gt;=$BI168,AND($BH168&lt;$BJ168,$BG168&gt;=$BK168)),"二番底W▲","二番底W形成"),IF(AND($BL168&gt;=2,ABS($BO168-$BP168)/$BP168&lt;=BB設定!$B$12,$BQ168&lt;=MIN($BP168,$BO168)*(1-BB設定!$B$13),終値!E168&lt;$BO168),IF(OR(終値!E168&lt;=$BQ168,AND($BP168&gt;$BR168,$BO168&lt;=$BS168)),"二番天井M▼","二番天井M形成"),"－")),"－")</f>
      </c>
    </row>
    <row r="169">
      <c r="B169" s="684">
        <f>IF(終値!A169="","",IF(AND(安値!G169&lt;安値!F169,安値!G169&lt;安値!E169,安値!G169&lt;安値!H169,安値!G169&lt;安値!I169),2,""))</f>
      </c>
      <c r="C169" s="684">
        <f>IF(終値!A169="","",IF(AND(安値!H169&lt;安値!G169,安値!H169&lt;安値!F169,安値!H169&lt;安値!I169,安値!H169&lt;安値!J169),3,""))</f>
      </c>
      <c r="D169" s="684">
        <f>IF(終値!A169="","",IF(AND(安値!I169&lt;安値!H169,安値!I169&lt;安値!G169,安値!I169&lt;安値!J169,安値!I169&lt;安値!K169),4,""))</f>
      </c>
      <c r="E169" s="684">
        <f>IF(終値!A169="","",IF(AND(安値!J169&lt;安値!I169,安値!J169&lt;安値!H169,安値!J169&lt;安値!K169,安値!J169&lt;安値!L169),5,""))</f>
      </c>
      <c r="F169" s="684">
        <f>IF(終値!A169="","",IF(AND(安値!K169&lt;安値!J169,安値!K169&lt;安値!I169,安値!K169&lt;安値!L169,安値!K169&lt;安値!M169),6,""))</f>
      </c>
      <c r="G169" s="684">
        <f>IF(終値!A169="","",IF(AND(安値!L169&lt;安値!K169,安値!L169&lt;安値!J169,安値!L169&lt;安値!M169,安値!L169&lt;安値!N169),7,""))</f>
      </c>
      <c r="H169" s="684">
        <f>IF(終値!A169="","",IF(AND(安値!M169&lt;安値!L169,安値!M169&lt;安値!K169,安値!M169&lt;安値!N169,安値!M169&lt;安値!O169),8,""))</f>
      </c>
      <c r="I169" s="684">
        <f>IF(終値!A169="","",IF(AND(安値!N169&lt;安値!M169,安値!N169&lt;安値!L169,安値!N169&lt;安値!O169,安値!N169&lt;安値!P169),9,""))</f>
      </c>
      <c r="J169" s="684">
        <f>IF(終値!A169="","",IF(AND(安値!O169&lt;安値!N169,安値!O169&lt;安値!M169,安値!O169&lt;安値!P169,安値!O169&lt;安値!Q169),10,""))</f>
      </c>
      <c r="K169" s="684">
        <f>IF(終値!A169="","",IF(AND(安値!P169&lt;安値!O169,安値!P169&lt;安値!N169,安値!P169&lt;安値!Q169,安値!P169&lt;安値!R169),11,""))</f>
      </c>
      <c r="L169" s="684">
        <f>IF(終値!A169="","",IF(AND(安値!Q169&lt;安値!P169,安値!Q169&lt;安値!O169,安値!Q169&lt;安値!R169,安値!Q169&lt;安値!S169),12,""))</f>
      </c>
      <c r="M169" s="684">
        <f>IF(終値!A169="","",IF(AND(安値!R169&lt;安値!Q169,安値!R169&lt;安値!P169,安値!R169&lt;安値!S169,安値!R169&lt;安値!T169),13,""))</f>
      </c>
      <c r="N169" s="684">
        <f>IF(終値!A169="","",IF(AND(安値!S169&lt;安値!R169,安値!S169&lt;安値!Q169,安値!S169&lt;安値!T169,安値!S169&lt;安値!U169),14,""))</f>
      </c>
      <c r="O169" s="684">
        <f>IF(終値!A169="","",IF(AND(安値!T169&lt;安値!S169,安値!T169&lt;安値!R169,安値!T169&lt;安値!U169,安値!T169&lt;安値!V169),15,""))</f>
      </c>
      <c r="P169" s="684">
        <f>IF(終値!A169="","",IF(AND(安値!U169&lt;安値!T169,安値!U169&lt;安値!S169,安値!U169&lt;安値!V169,安値!U169&lt;安値!W169),16,""))</f>
      </c>
      <c r="Q169" s="684">
        <f>IF(終値!A169="","",IF(AND(安値!V169&lt;安値!U169,安値!V169&lt;安値!T169,安値!V169&lt;安値!W169,安値!V169&lt;安値!X169),17,""))</f>
      </c>
      <c r="R169" s="684">
        <f>IF(終値!A169="","",IF(AND(安値!W169&lt;安値!V169,安値!W169&lt;安値!U169,安値!W169&lt;安値!X169,安値!W169&lt;安値!Y169),18,""))</f>
      </c>
      <c r="S169" s="684">
        <f>IF(終値!A169="","",IF(AND(安値!X169&lt;安値!W169,安値!X169&lt;安値!V169,安値!X169&lt;安値!Y169,安値!X169&lt;安値!Z169),19,""))</f>
      </c>
      <c r="T169" s="684">
        <f>IF(終値!A169="","",IF(AND(安値!Y169&lt;安値!X169,安値!Y169&lt;安値!W169,安値!Y169&lt;安値!Z169,安値!Y169&lt;安値!AA169),20,""))</f>
      </c>
      <c r="U169" s="684">
        <f>IF(終値!A169="","",IF(AND(安値!Z169&lt;安値!Y169,安値!Z169&lt;安値!X169,安値!Z169&lt;安値!AA169,安値!Z169&lt;安値!AB169),21,""))</f>
      </c>
      <c r="V169" s="684">
        <f>IF(終値!A169="","",IF(AND(安値!AA169&lt;安値!Z169,安値!AA169&lt;安値!Y169,安値!AA169&lt;安値!AB169,安値!AA169&lt;安値!AC169),22,""))</f>
      </c>
      <c r="W169" s="684">
        <f>IF(終値!A169="","",IF(AND(安値!AB169&lt;安値!AA169,安値!AB169&lt;安値!Z169,安値!AB169&lt;安値!AC169,安値!AB169&lt;安値!AD169),23,""))</f>
      </c>
      <c r="X169" s="684">
        <f>IF(終値!A169="","",IF(AND(安値!AC169&lt;安値!AB169,安値!AC169&lt;安値!AA169,安値!AC169&lt;安値!AD169,安値!AC169&lt;安値!AE169),24,""))</f>
      </c>
      <c r="Y169" s="684">
        <f>IF(終値!A169="","",IF(AND(安値!AD169&lt;安値!AC169,安値!AD169&lt;安値!AB169,安値!AD169&lt;安値!AE169,安値!AD169&lt;安値!AF169),25,""))</f>
      </c>
      <c r="Z169" s="684">
        <f>IF(終値!A169="","",IF(AND(安値!AE169&lt;安値!AD169,安値!AE169&lt;安値!AC169,安値!AE169&lt;安値!AF169,安値!AE169&lt;安値!AG169),26,""))</f>
      </c>
      <c r="AA169" s="684">
        <f>IF(終値!A169="","",IF(AND(安値!AF169&lt;安値!AE169,安値!AF169&lt;安値!AD169,安値!AF169&lt;安値!AG169,安値!AF169&lt;安値!AH169),27,""))</f>
      </c>
      <c r="AB169" s="684">
        <f>IF(終値!A169="","",IF(AND(安値!AG169&lt;安値!AF169,安値!AG169&lt;安値!AE169,安値!AG169&lt;安値!AH169,安値!AG169&lt;安値!AI169),28,""))</f>
      </c>
      <c r="AC169" s="684">
        <f>IF(終値!A169="","",IF(AND(高値!G169&gt;高値!F169,高値!G169&gt;高値!E169,高値!G169&gt;高値!H169,高値!G169&gt;高値!I169),2,""))</f>
      </c>
      <c r="AD169" s="684">
        <f>IF(終値!A169="","",IF(AND(高値!H169&gt;高値!G169,高値!H169&gt;高値!F169,高値!H169&gt;高値!I169,高値!H169&gt;高値!J169),3,""))</f>
      </c>
      <c r="AE169" s="684">
        <f>IF(終値!A169="","",IF(AND(高値!I169&gt;高値!H169,高値!I169&gt;高値!G169,高値!I169&gt;高値!J169,高値!I169&gt;高値!K169),4,""))</f>
      </c>
      <c r="AF169" s="684">
        <f>IF(終値!A169="","",IF(AND(高値!J169&gt;高値!I169,高値!J169&gt;高値!H169,高値!J169&gt;高値!K169,高値!J169&gt;高値!L169),5,""))</f>
      </c>
      <c r="AG169" s="684">
        <f>IF(終値!A169="","",IF(AND(高値!K169&gt;高値!J169,高値!K169&gt;高値!I169,高値!K169&gt;高値!L169,高値!K169&gt;高値!M169),6,""))</f>
      </c>
      <c r="AH169" s="684">
        <f>IF(終値!A169="","",IF(AND(高値!L169&gt;高値!K169,高値!L169&gt;高値!J169,高値!L169&gt;高値!M169,高値!L169&gt;高値!N169),7,""))</f>
      </c>
      <c r="AI169" s="684">
        <f>IF(終値!A169="","",IF(AND(高値!M169&gt;高値!L169,高値!M169&gt;高値!K169,高値!M169&gt;高値!N169,高値!M169&gt;高値!O169),8,""))</f>
      </c>
      <c r="AJ169" s="684">
        <f>IF(終値!A169="","",IF(AND(高値!N169&gt;高値!M169,高値!N169&gt;高値!L169,高値!N169&gt;高値!O169,高値!N169&gt;高値!P169),9,""))</f>
      </c>
      <c r="AK169" s="684">
        <f>IF(終値!A169="","",IF(AND(高値!O169&gt;高値!N169,高値!O169&gt;高値!M169,高値!O169&gt;高値!P169,高値!O169&gt;高値!Q169),10,""))</f>
      </c>
      <c r="AL169" s="684">
        <f>IF(終値!A169="","",IF(AND(高値!P169&gt;高値!O169,高値!P169&gt;高値!N169,高値!P169&gt;高値!Q169,高値!P169&gt;高値!R169),11,""))</f>
      </c>
      <c r="AM169" s="684">
        <f>IF(終値!A169="","",IF(AND(高値!Q169&gt;高値!P169,高値!Q169&gt;高値!O169,高値!Q169&gt;高値!R169,高値!Q169&gt;高値!S169),12,""))</f>
      </c>
      <c r="AN169" s="684">
        <f>IF(終値!A169="","",IF(AND(高値!R169&gt;高値!Q169,高値!R169&gt;高値!P169,高値!R169&gt;高値!S169,高値!R169&gt;高値!T169),13,""))</f>
      </c>
      <c r="AO169" s="684">
        <f>IF(終値!A169="","",IF(AND(高値!S169&gt;高値!R169,高値!S169&gt;高値!Q169,高値!S169&gt;高値!T169,高値!S169&gt;高値!U169),14,""))</f>
      </c>
      <c r="AP169" s="684">
        <f>IF(終値!A169="","",IF(AND(高値!T169&gt;高値!S169,高値!T169&gt;高値!R169,高値!T169&gt;高値!U169,高値!T169&gt;高値!V169),15,""))</f>
      </c>
      <c r="AQ169" s="684">
        <f>IF(終値!A169="","",IF(AND(高値!U169&gt;高値!T169,高値!U169&gt;高値!S169,高値!U169&gt;高値!V169,高値!U169&gt;高値!W169),16,""))</f>
      </c>
      <c r="AR169" s="684">
        <f>IF(終値!A169="","",IF(AND(高値!V169&gt;高値!U169,高値!V169&gt;高値!T169,高値!V169&gt;高値!W169,高値!V169&gt;高値!X169),17,""))</f>
      </c>
      <c r="AS169" s="684">
        <f>IF(終値!A169="","",IF(AND(高値!W169&gt;高値!V169,高値!W169&gt;高値!U169,高値!W169&gt;高値!X169,高値!W169&gt;高値!Y169),18,""))</f>
      </c>
      <c r="AT169" s="684">
        <f>IF(終値!A169="","",IF(AND(高値!X169&gt;高値!W169,高値!X169&gt;高値!V169,高値!X169&gt;高値!Y169,高値!X169&gt;高値!Z169),19,""))</f>
      </c>
      <c r="AU169" s="684">
        <f>IF(終値!A169="","",IF(AND(高値!Y169&gt;高値!X169,高値!Y169&gt;高値!W169,高値!Y169&gt;高値!Z169,高値!Y169&gt;高値!AA169),20,""))</f>
      </c>
      <c r="AV169" s="684">
        <f>IF(終値!A169="","",IF(AND(高値!Z169&gt;高値!Y169,高値!Z169&gt;高値!X169,高値!Z169&gt;高値!AA169,高値!Z169&gt;高値!AB169),21,""))</f>
      </c>
      <c r="AW169" s="684">
        <f>IF(終値!A169="","",IF(AND(高値!AA169&gt;高値!Z169,高値!AA169&gt;高値!Y169,高値!AA169&gt;高値!AB169,高値!AA169&gt;高値!AC169),22,""))</f>
      </c>
      <c r="AX169" s="684">
        <f>IF(終値!A169="","",IF(AND(高値!AB169&gt;高値!AA169,高値!AB169&gt;高値!Z169,高値!AB169&gt;高値!AC169,高値!AB169&gt;高値!AD169),23,""))</f>
      </c>
      <c r="AY169" s="684">
        <f>IF(終値!A169="","",IF(AND(高値!AC169&gt;高値!AB169,高値!AC169&gt;高値!AA169,高値!AC169&gt;高値!AD169,高値!AC169&gt;高値!AE169),24,""))</f>
      </c>
      <c r="AZ169" s="684">
        <f>IF(終値!A169="","",IF(AND(高値!AD169&gt;高値!AC169,高値!AD169&gt;高値!AB169,高値!AD169&gt;高値!AE169,高値!AD169&gt;高値!AF169),25,""))</f>
      </c>
      <c r="BA169" s="684">
        <f>IF(終値!A169="","",IF(AND(高値!AE169&gt;高値!AD169,高値!AE169&gt;高値!AC169,高値!AE169&gt;高値!AF169,高値!AE169&gt;高値!AG169),26,""))</f>
      </c>
      <c r="BB169" s="684">
        <f>IF(終値!A169="","",IF(AND(高値!AF169&gt;高値!AE169,高値!AF169&gt;高値!AD169,高値!AF169&gt;高値!AG169,高値!AF169&gt;高値!AH169),27,""))</f>
      </c>
      <c r="BC169" s="684">
        <f>IF(終値!A169="","",IF(AND(高値!AG169&gt;高値!AF169,高値!AG169&gt;高値!AE169,高値!AG169&gt;高値!AH169,高値!AG169&gt;高値!AI169),28,""))</f>
      </c>
      <c r="BD169" s="684">
        <f>COUNT($B169:$AB169)</f>
      </c>
      <c r="BE169" s="684">
        <f>IF($BD169&gt;=2,MIN($B169:$AB169),"")</f>
      </c>
      <c r="BF169" s="684">
        <f>IF($BD169&gt;=2,SMALL($B169:$AB169,2),"")</f>
      </c>
      <c r="BG169" s="684">
        <f>IF($BE169="","",INDEX(安値!$E169:$CZ169,1,$BE169+1))</f>
      </c>
      <c r="BH169" s="684">
        <f>IF($BF169="","",INDEX(安値!$E169:$CZ169,1,$BF169+1))</f>
      </c>
      <c r="BI169" s="684">
        <f>IF($BF169="","",MAX(INDEX(高値!$E169:$CZ169,1,$BE169+1):INDEX(高値!$E169:$CZ169,1,$BF169+1)))</f>
      </c>
      <c r="BJ169" s="684">
        <f>IF($BF169="","",AVERAGE(INDEX(終値!$E169:$CZ169,1,$BF169+1):INDEX(終値!$E169:$CZ169,1,$BF169+20))-2*STDEVP(INDEX(終値!$E169:$CZ169,1,$BF169+1):INDEX(終値!$E169:$CZ169,1,$BF169+20)))</f>
      </c>
      <c r="BK169" s="684">
        <f>IF($BE169="","",AVERAGE(INDEX(終値!$E169:$CZ169,1,$BE169+1):INDEX(終値!$E169:$CZ169,1,$BE169+20))-2*STDEVP(INDEX(終値!$E169:$CZ169,1,$BE169+1):INDEX(終値!$E169:$CZ169,1,$BE169+20)))</f>
      </c>
      <c r="BL169" s="684">
        <f>COUNT($AC169:$BC169)</f>
      </c>
      <c r="BM169" s="684">
        <f>IF($BL169&gt;=2,MIN($AC169:$BC169),"")</f>
      </c>
      <c r="BN169" s="684">
        <f>IF($BL169&gt;=2,SMALL($AC169:$BC169,2),"")</f>
      </c>
      <c r="BO169" s="684">
        <f>IF($BM169="","",INDEX(高値!$E169:$CZ169,1,$BM169+1))</f>
      </c>
      <c r="BP169" s="684">
        <f>IF($BN169="","",INDEX(高値!$E169:$CZ169,1,$BN169+1))</f>
      </c>
      <c r="BQ169" s="684">
        <f>IF($BN169="","",MIN(INDEX(安値!$E169:$CZ169,1,$BM169+1):INDEX(安値!$E169:$CZ169,1,$BN169+1)))</f>
      </c>
      <c r="BR169" s="684">
        <f>IF($BN169="","",AVERAGE(INDEX(終値!$E169:$CZ169,1,$BN169+1):INDEX(終値!$E169:$CZ169,1,$BN169+20))+2*STDEVP(INDEX(終値!$E169:$CZ169,1,$BN169+1):INDEX(終値!$E169:$CZ169,1,$BN169+20)))</f>
      </c>
      <c r="BS169" s="684">
        <f>IF($BM169="","",AVERAGE(INDEX(終値!$E169:$CZ169,1,$BM169+1):INDEX(終値!$E169:$CZ169,1,$BM169+20))+2*STDEVP(INDEX(終値!$E169:$CZ169,1,$BM169+1):INDEX(終値!$E169:$CZ169,1,$BM169+20)))</f>
      </c>
      <c r="BT169" s="681">
        <f>IFERROR(IF(AND($BD169&gt;=2,ABS($BG169-$BH169)/$BH169&lt;=BB設定!$B$12,$BI169&gt;=MAX($BH169,$BG169)*(1+BB設定!$B$13),終値!E169&gt;$BG169),IF(OR(終値!E169&gt;=$BI169,AND($BH169&lt;$BJ169,$BG169&gt;=$BK169)),"二番底W▲","二番底W形成"),IF(AND($BL169&gt;=2,ABS($BO169-$BP169)/$BP169&lt;=BB設定!$B$12,$BQ169&lt;=MIN($BP169,$BO169)*(1-BB設定!$B$13),終値!E169&lt;$BO169),IF(OR(終値!E169&lt;=$BQ169,AND($BP169&gt;$BR169,$BO169&lt;=$BS169)),"二番天井M▼","二番天井M形成"),"－")),"－")</f>
      </c>
    </row>
    <row r="170">
      <c r="B170" s="684">
        <f>IF(終値!A170="","",IF(AND(安値!G170&lt;安値!F170,安値!G170&lt;安値!E170,安値!G170&lt;安値!H170,安値!G170&lt;安値!I170),2,""))</f>
      </c>
      <c r="C170" s="684">
        <f>IF(終値!A170="","",IF(AND(安値!H170&lt;安値!G170,安値!H170&lt;安値!F170,安値!H170&lt;安値!I170,安値!H170&lt;安値!J170),3,""))</f>
      </c>
      <c r="D170" s="684">
        <f>IF(終値!A170="","",IF(AND(安値!I170&lt;安値!H170,安値!I170&lt;安値!G170,安値!I170&lt;安値!J170,安値!I170&lt;安値!K170),4,""))</f>
      </c>
      <c r="E170" s="684">
        <f>IF(終値!A170="","",IF(AND(安値!J170&lt;安値!I170,安値!J170&lt;安値!H170,安値!J170&lt;安値!K170,安値!J170&lt;安値!L170),5,""))</f>
      </c>
      <c r="F170" s="684">
        <f>IF(終値!A170="","",IF(AND(安値!K170&lt;安値!J170,安値!K170&lt;安値!I170,安値!K170&lt;安値!L170,安値!K170&lt;安値!M170),6,""))</f>
      </c>
      <c r="G170" s="684">
        <f>IF(終値!A170="","",IF(AND(安値!L170&lt;安値!K170,安値!L170&lt;安値!J170,安値!L170&lt;安値!M170,安値!L170&lt;安値!N170),7,""))</f>
      </c>
      <c r="H170" s="684">
        <f>IF(終値!A170="","",IF(AND(安値!M170&lt;安値!L170,安値!M170&lt;安値!K170,安値!M170&lt;安値!N170,安値!M170&lt;安値!O170),8,""))</f>
      </c>
      <c r="I170" s="684">
        <f>IF(終値!A170="","",IF(AND(安値!N170&lt;安値!M170,安値!N170&lt;安値!L170,安値!N170&lt;安値!O170,安値!N170&lt;安値!P170),9,""))</f>
      </c>
      <c r="J170" s="684">
        <f>IF(終値!A170="","",IF(AND(安値!O170&lt;安値!N170,安値!O170&lt;安値!M170,安値!O170&lt;安値!P170,安値!O170&lt;安値!Q170),10,""))</f>
      </c>
      <c r="K170" s="684">
        <f>IF(終値!A170="","",IF(AND(安値!P170&lt;安値!O170,安値!P170&lt;安値!N170,安値!P170&lt;安値!Q170,安値!P170&lt;安値!R170),11,""))</f>
      </c>
      <c r="L170" s="684">
        <f>IF(終値!A170="","",IF(AND(安値!Q170&lt;安値!P170,安値!Q170&lt;安値!O170,安値!Q170&lt;安値!R170,安値!Q170&lt;安値!S170),12,""))</f>
      </c>
      <c r="M170" s="684">
        <f>IF(終値!A170="","",IF(AND(安値!R170&lt;安値!Q170,安値!R170&lt;安値!P170,安値!R170&lt;安値!S170,安値!R170&lt;安値!T170),13,""))</f>
      </c>
      <c r="N170" s="684">
        <f>IF(終値!A170="","",IF(AND(安値!S170&lt;安値!R170,安値!S170&lt;安値!Q170,安値!S170&lt;安値!T170,安値!S170&lt;安値!U170),14,""))</f>
      </c>
      <c r="O170" s="684">
        <f>IF(終値!A170="","",IF(AND(安値!T170&lt;安値!S170,安値!T170&lt;安値!R170,安値!T170&lt;安値!U170,安値!T170&lt;安値!V170),15,""))</f>
      </c>
      <c r="P170" s="684">
        <f>IF(終値!A170="","",IF(AND(安値!U170&lt;安値!T170,安値!U170&lt;安値!S170,安値!U170&lt;安値!V170,安値!U170&lt;安値!W170),16,""))</f>
      </c>
      <c r="Q170" s="684">
        <f>IF(終値!A170="","",IF(AND(安値!V170&lt;安値!U170,安値!V170&lt;安値!T170,安値!V170&lt;安値!W170,安値!V170&lt;安値!X170),17,""))</f>
      </c>
      <c r="R170" s="684">
        <f>IF(終値!A170="","",IF(AND(安値!W170&lt;安値!V170,安値!W170&lt;安値!U170,安値!W170&lt;安値!X170,安値!W170&lt;安値!Y170),18,""))</f>
      </c>
      <c r="S170" s="684">
        <f>IF(終値!A170="","",IF(AND(安値!X170&lt;安値!W170,安値!X170&lt;安値!V170,安値!X170&lt;安値!Y170,安値!X170&lt;安値!Z170),19,""))</f>
      </c>
      <c r="T170" s="684">
        <f>IF(終値!A170="","",IF(AND(安値!Y170&lt;安値!X170,安値!Y170&lt;安値!W170,安値!Y170&lt;安値!Z170,安値!Y170&lt;安値!AA170),20,""))</f>
      </c>
      <c r="U170" s="684">
        <f>IF(終値!A170="","",IF(AND(安値!Z170&lt;安値!Y170,安値!Z170&lt;安値!X170,安値!Z170&lt;安値!AA170,安値!Z170&lt;安値!AB170),21,""))</f>
      </c>
      <c r="V170" s="684">
        <f>IF(終値!A170="","",IF(AND(安値!AA170&lt;安値!Z170,安値!AA170&lt;安値!Y170,安値!AA170&lt;安値!AB170,安値!AA170&lt;安値!AC170),22,""))</f>
      </c>
      <c r="W170" s="684">
        <f>IF(終値!A170="","",IF(AND(安値!AB170&lt;安値!AA170,安値!AB170&lt;安値!Z170,安値!AB170&lt;安値!AC170,安値!AB170&lt;安値!AD170),23,""))</f>
      </c>
      <c r="X170" s="684">
        <f>IF(終値!A170="","",IF(AND(安値!AC170&lt;安値!AB170,安値!AC170&lt;安値!AA170,安値!AC170&lt;安値!AD170,安値!AC170&lt;安値!AE170),24,""))</f>
      </c>
      <c r="Y170" s="684">
        <f>IF(終値!A170="","",IF(AND(安値!AD170&lt;安値!AC170,安値!AD170&lt;安値!AB170,安値!AD170&lt;安値!AE170,安値!AD170&lt;安値!AF170),25,""))</f>
      </c>
      <c r="Z170" s="684">
        <f>IF(終値!A170="","",IF(AND(安値!AE170&lt;安値!AD170,安値!AE170&lt;安値!AC170,安値!AE170&lt;安値!AF170,安値!AE170&lt;安値!AG170),26,""))</f>
      </c>
      <c r="AA170" s="684">
        <f>IF(終値!A170="","",IF(AND(安値!AF170&lt;安値!AE170,安値!AF170&lt;安値!AD170,安値!AF170&lt;安値!AG170,安値!AF170&lt;安値!AH170),27,""))</f>
      </c>
      <c r="AB170" s="684">
        <f>IF(終値!A170="","",IF(AND(安値!AG170&lt;安値!AF170,安値!AG170&lt;安値!AE170,安値!AG170&lt;安値!AH170,安値!AG170&lt;安値!AI170),28,""))</f>
      </c>
      <c r="AC170" s="684">
        <f>IF(終値!A170="","",IF(AND(高値!G170&gt;高値!F170,高値!G170&gt;高値!E170,高値!G170&gt;高値!H170,高値!G170&gt;高値!I170),2,""))</f>
      </c>
      <c r="AD170" s="684">
        <f>IF(終値!A170="","",IF(AND(高値!H170&gt;高値!G170,高値!H170&gt;高値!F170,高値!H170&gt;高値!I170,高値!H170&gt;高値!J170),3,""))</f>
      </c>
      <c r="AE170" s="684">
        <f>IF(終値!A170="","",IF(AND(高値!I170&gt;高値!H170,高値!I170&gt;高値!G170,高値!I170&gt;高値!J170,高値!I170&gt;高値!K170),4,""))</f>
      </c>
      <c r="AF170" s="684">
        <f>IF(終値!A170="","",IF(AND(高値!J170&gt;高値!I170,高値!J170&gt;高値!H170,高値!J170&gt;高値!K170,高値!J170&gt;高値!L170),5,""))</f>
      </c>
      <c r="AG170" s="684">
        <f>IF(終値!A170="","",IF(AND(高値!K170&gt;高値!J170,高値!K170&gt;高値!I170,高値!K170&gt;高値!L170,高値!K170&gt;高値!M170),6,""))</f>
      </c>
      <c r="AH170" s="684">
        <f>IF(終値!A170="","",IF(AND(高値!L170&gt;高値!K170,高値!L170&gt;高値!J170,高値!L170&gt;高値!M170,高値!L170&gt;高値!N170),7,""))</f>
      </c>
      <c r="AI170" s="684">
        <f>IF(終値!A170="","",IF(AND(高値!M170&gt;高値!L170,高値!M170&gt;高値!K170,高値!M170&gt;高値!N170,高値!M170&gt;高値!O170),8,""))</f>
      </c>
      <c r="AJ170" s="684">
        <f>IF(終値!A170="","",IF(AND(高値!N170&gt;高値!M170,高値!N170&gt;高値!L170,高値!N170&gt;高値!O170,高値!N170&gt;高値!P170),9,""))</f>
      </c>
      <c r="AK170" s="684">
        <f>IF(終値!A170="","",IF(AND(高値!O170&gt;高値!N170,高値!O170&gt;高値!M170,高値!O170&gt;高値!P170,高値!O170&gt;高値!Q170),10,""))</f>
      </c>
      <c r="AL170" s="684">
        <f>IF(終値!A170="","",IF(AND(高値!P170&gt;高値!O170,高値!P170&gt;高値!N170,高値!P170&gt;高値!Q170,高値!P170&gt;高値!R170),11,""))</f>
      </c>
      <c r="AM170" s="684">
        <f>IF(終値!A170="","",IF(AND(高値!Q170&gt;高値!P170,高値!Q170&gt;高値!O170,高値!Q170&gt;高値!R170,高値!Q170&gt;高値!S170),12,""))</f>
      </c>
      <c r="AN170" s="684">
        <f>IF(終値!A170="","",IF(AND(高値!R170&gt;高値!Q170,高値!R170&gt;高値!P170,高値!R170&gt;高値!S170,高値!R170&gt;高値!T170),13,""))</f>
      </c>
      <c r="AO170" s="684">
        <f>IF(終値!A170="","",IF(AND(高値!S170&gt;高値!R170,高値!S170&gt;高値!Q170,高値!S170&gt;高値!T170,高値!S170&gt;高値!U170),14,""))</f>
      </c>
      <c r="AP170" s="684">
        <f>IF(終値!A170="","",IF(AND(高値!T170&gt;高値!S170,高値!T170&gt;高値!R170,高値!T170&gt;高値!U170,高値!T170&gt;高値!V170),15,""))</f>
      </c>
      <c r="AQ170" s="684">
        <f>IF(終値!A170="","",IF(AND(高値!U170&gt;高値!T170,高値!U170&gt;高値!S170,高値!U170&gt;高値!V170,高値!U170&gt;高値!W170),16,""))</f>
      </c>
      <c r="AR170" s="684">
        <f>IF(終値!A170="","",IF(AND(高値!V170&gt;高値!U170,高値!V170&gt;高値!T170,高値!V170&gt;高値!W170,高値!V170&gt;高値!X170),17,""))</f>
      </c>
      <c r="AS170" s="684">
        <f>IF(終値!A170="","",IF(AND(高値!W170&gt;高値!V170,高値!W170&gt;高値!U170,高値!W170&gt;高値!X170,高値!W170&gt;高値!Y170),18,""))</f>
      </c>
      <c r="AT170" s="684">
        <f>IF(終値!A170="","",IF(AND(高値!X170&gt;高値!W170,高値!X170&gt;高値!V170,高値!X170&gt;高値!Y170,高値!X170&gt;高値!Z170),19,""))</f>
      </c>
      <c r="AU170" s="684">
        <f>IF(終値!A170="","",IF(AND(高値!Y170&gt;高値!X170,高値!Y170&gt;高値!W170,高値!Y170&gt;高値!Z170,高値!Y170&gt;高値!AA170),20,""))</f>
      </c>
      <c r="AV170" s="684">
        <f>IF(終値!A170="","",IF(AND(高値!Z170&gt;高値!Y170,高値!Z170&gt;高値!X170,高値!Z170&gt;高値!AA170,高値!Z170&gt;高値!AB170),21,""))</f>
      </c>
      <c r="AW170" s="684">
        <f>IF(終値!A170="","",IF(AND(高値!AA170&gt;高値!Z170,高値!AA170&gt;高値!Y170,高値!AA170&gt;高値!AB170,高値!AA170&gt;高値!AC170),22,""))</f>
      </c>
      <c r="AX170" s="684">
        <f>IF(終値!A170="","",IF(AND(高値!AB170&gt;高値!AA170,高値!AB170&gt;高値!Z170,高値!AB170&gt;高値!AC170,高値!AB170&gt;高値!AD170),23,""))</f>
      </c>
      <c r="AY170" s="684">
        <f>IF(終値!A170="","",IF(AND(高値!AC170&gt;高値!AB170,高値!AC170&gt;高値!AA170,高値!AC170&gt;高値!AD170,高値!AC170&gt;高値!AE170),24,""))</f>
      </c>
      <c r="AZ170" s="684">
        <f>IF(終値!A170="","",IF(AND(高値!AD170&gt;高値!AC170,高値!AD170&gt;高値!AB170,高値!AD170&gt;高値!AE170,高値!AD170&gt;高値!AF170),25,""))</f>
      </c>
      <c r="BA170" s="684">
        <f>IF(終値!A170="","",IF(AND(高値!AE170&gt;高値!AD170,高値!AE170&gt;高値!AC170,高値!AE170&gt;高値!AF170,高値!AE170&gt;高値!AG170),26,""))</f>
      </c>
      <c r="BB170" s="684">
        <f>IF(終値!A170="","",IF(AND(高値!AF170&gt;高値!AE170,高値!AF170&gt;高値!AD170,高値!AF170&gt;高値!AG170,高値!AF170&gt;高値!AH170),27,""))</f>
      </c>
      <c r="BC170" s="684">
        <f>IF(終値!A170="","",IF(AND(高値!AG170&gt;高値!AF170,高値!AG170&gt;高値!AE170,高値!AG170&gt;高値!AH170,高値!AG170&gt;高値!AI170),28,""))</f>
      </c>
      <c r="BD170" s="684">
        <f>COUNT($B170:$AB170)</f>
      </c>
      <c r="BE170" s="684">
        <f>IF($BD170&gt;=2,MIN($B170:$AB170),"")</f>
      </c>
      <c r="BF170" s="684">
        <f>IF($BD170&gt;=2,SMALL($B170:$AB170,2),"")</f>
      </c>
      <c r="BG170" s="684">
        <f>IF($BE170="","",INDEX(安値!$E170:$CZ170,1,$BE170+1))</f>
      </c>
      <c r="BH170" s="684">
        <f>IF($BF170="","",INDEX(安値!$E170:$CZ170,1,$BF170+1))</f>
      </c>
      <c r="BI170" s="684">
        <f>IF($BF170="","",MAX(INDEX(高値!$E170:$CZ170,1,$BE170+1):INDEX(高値!$E170:$CZ170,1,$BF170+1)))</f>
      </c>
      <c r="BJ170" s="684">
        <f>IF($BF170="","",AVERAGE(INDEX(終値!$E170:$CZ170,1,$BF170+1):INDEX(終値!$E170:$CZ170,1,$BF170+20))-2*STDEVP(INDEX(終値!$E170:$CZ170,1,$BF170+1):INDEX(終値!$E170:$CZ170,1,$BF170+20)))</f>
      </c>
      <c r="BK170" s="684">
        <f>IF($BE170="","",AVERAGE(INDEX(終値!$E170:$CZ170,1,$BE170+1):INDEX(終値!$E170:$CZ170,1,$BE170+20))-2*STDEVP(INDEX(終値!$E170:$CZ170,1,$BE170+1):INDEX(終値!$E170:$CZ170,1,$BE170+20)))</f>
      </c>
      <c r="BL170" s="684">
        <f>COUNT($AC170:$BC170)</f>
      </c>
      <c r="BM170" s="684">
        <f>IF($BL170&gt;=2,MIN($AC170:$BC170),"")</f>
      </c>
      <c r="BN170" s="684">
        <f>IF($BL170&gt;=2,SMALL($AC170:$BC170,2),"")</f>
      </c>
      <c r="BO170" s="684">
        <f>IF($BM170="","",INDEX(高値!$E170:$CZ170,1,$BM170+1))</f>
      </c>
      <c r="BP170" s="684">
        <f>IF($BN170="","",INDEX(高値!$E170:$CZ170,1,$BN170+1))</f>
      </c>
      <c r="BQ170" s="684">
        <f>IF($BN170="","",MIN(INDEX(安値!$E170:$CZ170,1,$BM170+1):INDEX(安値!$E170:$CZ170,1,$BN170+1)))</f>
      </c>
      <c r="BR170" s="684">
        <f>IF($BN170="","",AVERAGE(INDEX(終値!$E170:$CZ170,1,$BN170+1):INDEX(終値!$E170:$CZ170,1,$BN170+20))+2*STDEVP(INDEX(終値!$E170:$CZ170,1,$BN170+1):INDEX(終値!$E170:$CZ170,1,$BN170+20)))</f>
      </c>
      <c r="BS170" s="684">
        <f>IF($BM170="","",AVERAGE(INDEX(終値!$E170:$CZ170,1,$BM170+1):INDEX(終値!$E170:$CZ170,1,$BM170+20))+2*STDEVP(INDEX(終値!$E170:$CZ170,1,$BM170+1):INDEX(終値!$E170:$CZ170,1,$BM170+20)))</f>
      </c>
      <c r="BT170" s="681">
        <f>IFERROR(IF(AND($BD170&gt;=2,ABS($BG170-$BH170)/$BH170&lt;=BB設定!$B$12,$BI170&gt;=MAX($BH170,$BG170)*(1+BB設定!$B$13),終値!E170&gt;$BG170),IF(OR(終値!E170&gt;=$BI170,AND($BH170&lt;$BJ170,$BG170&gt;=$BK170)),"二番底W▲","二番底W形成"),IF(AND($BL170&gt;=2,ABS($BO170-$BP170)/$BP170&lt;=BB設定!$B$12,$BQ170&lt;=MIN($BP170,$BO170)*(1-BB設定!$B$13),終値!E170&lt;$BO170),IF(OR(終値!E170&lt;=$BQ170,AND($BP170&gt;$BR170,$BO170&lt;=$BS170)),"二番天井M▼","二番天井M形成"),"－")),"－")</f>
      </c>
    </row>
    <row r="171">
      <c r="B171" s="684">
        <f>IF(終値!A171="","",IF(AND(安値!G171&lt;安値!F171,安値!G171&lt;安値!E171,安値!G171&lt;安値!H171,安値!G171&lt;安値!I171),2,""))</f>
      </c>
      <c r="C171" s="684">
        <f>IF(終値!A171="","",IF(AND(安値!H171&lt;安値!G171,安値!H171&lt;安値!F171,安値!H171&lt;安値!I171,安値!H171&lt;安値!J171),3,""))</f>
      </c>
      <c r="D171" s="684">
        <f>IF(終値!A171="","",IF(AND(安値!I171&lt;安値!H171,安値!I171&lt;安値!G171,安値!I171&lt;安値!J171,安値!I171&lt;安値!K171),4,""))</f>
      </c>
      <c r="E171" s="684">
        <f>IF(終値!A171="","",IF(AND(安値!J171&lt;安値!I171,安値!J171&lt;安値!H171,安値!J171&lt;安値!K171,安値!J171&lt;安値!L171),5,""))</f>
      </c>
      <c r="F171" s="684">
        <f>IF(終値!A171="","",IF(AND(安値!K171&lt;安値!J171,安値!K171&lt;安値!I171,安値!K171&lt;安値!L171,安値!K171&lt;安値!M171),6,""))</f>
      </c>
      <c r="G171" s="684">
        <f>IF(終値!A171="","",IF(AND(安値!L171&lt;安値!K171,安値!L171&lt;安値!J171,安値!L171&lt;安値!M171,安値!L171&lt;安値!N171),7,""))</f>
      </c>
      <c r="H171" s="684">
        <f>IF(終値!A171="","",IF(AND(安値!M171&lt;安値!L171,安値!M171&lt;安値!K171,安値!M171&lt;安値!N171,安値!M171&lt;安値!O171),8,""))</f>
      </c>
      <c r="I171" s="684">
        <f>IF(終値!A171="","",IF(AND(安値!N171&lt;安値!M171,安値!N171&lt;安値!L171,安値!N171&lt;安値!O171,安値!N171&lt;安値!P171),9,""))</f>
      </c>
      <c r="J171" s="684">
        <f>IF(終値!A171="","",IF(AND(安値!O171&lt;安値!N171,安値!O171&lt;安値!M171,安値!O171&lt;安値!P171,安値!O171&lt;安値!Q171),10,""))</f>
      </c>
      <c r="K171" s="684">
        <f>IF(終値!A171="","",IF(AND(安値!P171&lt;安値!O171,安値!P171&lt;安値!N171,安値!P171&lt;安値!Q171,安値!P171&lt;安値!R171),11,""))</f>
      </c>
      <c r="L171" s="684">
        <f>IF(終値!A171="","",IF(AND(安値!Q171&lt;安値!P171,安値!Q171&lt;安値!O171,安値!Q171&lt;安値!R171,安値!Q171&lt;安値!S171),12,""))</f>
      </c>
      <c r="M171" s="684">
        <f>IF(終値!A171="","",IF(AND(安値!R171&lt;安値!Q171,安値!R171&lt;安値!P171,安値!R171&lt;安値!S171,安値!R171&lt;安値!T171),13,""))</f>
      </c>
      <c r="N171" s="684">
        <f>IF(終値!A171="","",IF(AND(安値!S171&lt;安値!R171,安値!S171&lt;安値!Q171,安値!S171&lt;安値!T171,安値!S171&lt;安値!U171),14,""))</f>
      </c>
      <c r="O171" s="684">
        <f>IF(終値!A171="","",IF(AND(安値!T171&lt;安値!S171,安値!T171&lt;安値!R171,安値!T171&lt;安値!U171,安値!T171&lt;安値!V171),15,""))</f>
      </c>
      <c r="P171" s="684">
        <f>IF(終値!A171="","",IF(AND(安値!U171&lt;安値!T171,安値!U171&lt;安値!S171,安値!U171&lt;安値!V171,安値!U171&lt;安値!W171),16,""))</f>
      </c>
      <c r="Q171" s="684">
        <f>IF(終値!A171="","",IF(AND(安値!V171&lt;安値!U171,安値!V171&lt;安値!T171,安値!V171&lt;安値!W171,安値!V171&lt;安値!X171),17,""))</f>
      </c>
      <c r="R171" s="684">
        <f>IF(終値!A171="","",IF(AND(安値!W171&lt;安値!V171,安値!W171&lt;安値!U171,安値!W171&lt;安値!X171,安値!W171&lt;安値!Y171),18,""))</f>
      </c>
      <c r="S171" s="684">
        <f>IF(終値!A171="","",IF(AND(安値!X171&lt;安値!W171,安値!X171&lt;安値!V171,安値!X171&lt;安値!Y171,安値!X171&lt;安値!Z171),19,""))</f>
      </c>
      <c r="T171" s="684">
        <f>IF(終値!A171="","",IF(AND(安値!Y171&lt;安値!X171,安値!Y171&lt;安値!W171,安値!Y171&lt;安値!Z171,安値!Y171&lt;安値!AA171),20,""))</f>
      </c>
      <c r="U171" s="684">
        <f>IF(終値!A171="","",IF(AND(安値!Z171&lt;安値!Y171,安値!Z171&lt;安値!X171,安値!Z171&lt;安値!AA171,安値!Z171&lt;安値!AB171),21,""))</f>
      </c>
      <c r="V171" s="684">
        <f>IF(終値!A171="","",IF(AND(安値!AA171&lt;安値!Z171,安値!AA171&lt;安値!Y171,安値!AA171&lt;安値!AB171,安値!AA171&lt;安値!AC171),22,""))</f>
      </c>
      <c r="W171" s="684">
        <f>IF(終値!A171="","",IF(AND(安値!AB171&lt;安値!AA171,安値!AB171&lt;安値!Z171,安値!AB171&lt;安値!AC171,安値!AB171&lt;安値!AD171),23,""))</f>
      </c>
      <c r="X171" s="684">
        <f>IF(終値!A171="","",IF(AND(安値!AC171&lt;安値!AB171,安値!AC171&lt;安値!AA171,安値!AC171&lt;安値!AD171,安値!AC171&lt;安値!AE171),24,""))</f>
      </c>
      <c r="Y171" s="684">
        <f>IF(終値!A171="","",IF(AND(安値!AD171&lt;安値!AC171,安値!AD171&lt;安値!AB171,安値!AD171&lt;安値!AE171,安値!AD171&lt;安値!AF171),25,""))</f>
      </c>
      <c r="Z171" s="684">
        <f>IF(終値!A171="","",IF(AND(安値!AE171&lt;安値!AD171,安値!AE171&lt;安値!AC171,安値!AE171&lt;安値!AF171,安値!AE171&lt;安値!AG171),26,""))</f>
      </c>
      <c r="AA171" s="684">
        <f>IF(終値!A171="","",IF(AND(安値!AF171&lt;安値!AE171,安値!AF171&lt;安値!AD171,安値!AF171&lt;安値!AG171,安値!AF171&lt;安値!AH171),27,""))</f>
      </c>
      <c r="AB171" s="684">
        <f>IF(終値!A171="","",IF(AND(安値!AG171&lt;安値!AF171,安値!AG171&lt;安値!AE171,安値!AG171&lt;安値!AH171,安値!AG171&lt;安値!AI171),28,""))</f>
      </c>
      <c r="AC171" s="684">
        <f>IF(終値!A171="","",IF(AND(高値!G171&gt;高値!F171,高値!G171&gt;高値!E171,高値!G171&gt;高値!H171,高値!G171&gt;高値!I171),2,""))</f>
      </c>
      <c r="AD171" s="684">
        <f>IF(終値!A171="","",IF(AND(高値!H171&gt;高値!G171,高値!H171&gt;高値!F171,高値!H171&gt;高値!I171,高値!H171&gt;高値!J171),3,""))</f>
      </c>
      <c r="AE171" s="684">
        <f>IF(終値!A171="","",IF(AND(高値!I171&gt;高値!H171,高値!I171&gt;高値!G171,高値!I171&gt;高値!J171,高値!I171&gt;高値!K171),4,""))</f>
      </c>
      <c r="AF171" s="684">
        <f>IF(終値!A171="","",IF(AND(高値!J171&gt;高値!I171,高値!J171&gt;高値!H171,高値!J171&gt;高値!K171,高値!J171&gt;高値!L171),5,""))</f>
      </c>
      <c r="AG171" s="684">
        <f>IF(終値!A171="","",IF(AND(高値!K171&gt;高値!J171,高値!K171&gt;高値!I171,高値!K171&gt;高値!L171,高値!K171&gt;高値!M171),6,""))</f>
      </c>
      <c r="AH171" s="684">
        <f>IF(終値!A171="","",IF(AND(高値!L171&gt;高値!K171,高値!L171&gt;高値!J171,高値!L171&gt;高値!M171,高値!L171&gt;高値!N171),7,""))</f>
      </c>
      <c r="AI171" s="684">
        <f>IF(終値!A171="","",IF(AND(高値!M171&gt;高値!L171,高値!M171&gt;高値!K171,高値!M171&gt;高値!N171,高値!M171&gt;高値!O171),8,""))</f>
      </c>
      <c r="AJ171" s="684">
        <f>IF(終値!A171="","",IF(AND(高値!N171&gt;高値!M171,高値!N171&gt;高値!L171,高値!N171&gt;高値!O171,高値!N171&gt;高値!P171),9,""))</f>
      </c>
      <c r="AK171" s="684">
        <f>IF(終値!A171="","",IF(AND(高値!O171&gt;高値!N171,高値!O171&gt;高値!M171,高値!O171&gt;高値!P171,高値!O171&gt;高値!Q171),10,""))</f>
      </c>
      <c r="AL171" s="684">
        <f>IF(終値!A171="","",IF(AND(高値!P171&gt;高値!O171,高値!P171&gt;高値!N171,高値!P171&gt;高値!Q171,高値!P171&gt;高値!R171),11,""))</f>
      </c>
      <c r="AM171" s="684">
        <f>IF(終値!A171="","",IF(AND(高値!Q171&gt;高値!P171,高値!Q171&gt;高値!O171,高値!Q171&gt;高値!R171,高値!Q171&gt;高値!S171),12,""))</f>
      </c>
      <c r="AN171" s="684">
        <f>IF(終値!A171="","",IF(AND(高値!R171&gt;高値!Q171,高値!R171&gt;高値!P171,高値!R171&gt;高値!S171,高値!R171&gt;高値!T171),13,""))</f>
      </c>
      <c r="AO171" s="684">
        <f>IF(終値!A171="","",IF(AND(高値!S171&gt;高値!R171,高値!S171&gt;高値!Q171,高値!S171&gt;高値!T171,高値!S171&gt;高値!U171),14,""))</f>
      </c>
      <c r="AP171" s="684">
        <f>IF(終値!A171="","",IF(AND(高値!T171&gt;高値!S171,高値!T171&gt;高値!R171,高値!T171&gt;高値!U171,高値!T171&gt;高値!V171),15,""))</f>
      </c>
      <c r="AQ171" s="684">
        <f>IF(終値!A171="","",IF(AND(高値!U171&gt;高値!T171,高値!U171&gt;高値!S171,高値!U171&gt;高値!V171,高値!U171&gt;高値!W171),16,""))</f>
      </c>
      <c r="AR171" s="684">
        <f>IF(終値!A171="","",IF(AND(高値!V171&gt;高値!U171,高値!V171&gt;高値!T171,高値!V171&gt;高値!W171,高値!V171&gt;高値!X171),17,""))</f>
      </c>
      <c r="AS171" s="684">
        <f>IF(終値!A171="","",IF(AND(高値!W171&gt;高値!V171,高値!W171&gt;高値!U171,高値!W171&gt;高値!X171,高値!W171&gt;高値!Y171),18,""))</f>
      </c>
      <c r="AT171" s="684">
        <f>IF(終値!A171="","",IF(AND(高値!X171&gt;高値!W171,高値!X171&gt;高値!V171,高値!X171&gt;高値!Y171,高値!X171&gt;高値!Z171),19,""))</f>
      </c>
      <c r="AU171" s="684">
        <f>IF(終値!A171="","",IF(AND(高値!Y171&gt;高値!X171,高値!Y171&gt;高値!W171,高値!Y171&gt;高値!Z171,高値!Y171&gt;高値!AA171),20,""))</f>
      </c>
      <c r="AV171" s="684">
        <f>IF(終値!A171="","",IF(AND(高値!Z171&gt;高値!Y171,高値!Z171&gt;高値!X171,高値!Z171&gt;高値!AA171,高値!Z171&gt;高値!AB171),21,""))</f>
      </c>
      <c r="AW171" s="684">
        <f>IF(終値!A171="","",IF(AND(高値!AA171&gt;高値!Z171,高値!AA171&gt;高値!Y171,高値!AA171&gt;高値!AB171,高値!AA171&gt;高値!AC171),22,""))</f>
      </c>
      <c r="AX171" s="684">
        <f>IF(終値!A171="","",IF(AND(高値!AB171&gt;高値!AA171,高値!AB171&gt;高値!Z171,高値!AB171&gt;高値!AC171,高値!AB171&gt;高値!AD171),23,""))</f>
      </c>
      <c r="AY171" s="684">
        <f>IF(終値!A171="","",IF(AND(高値!AC171&gt;高値!AB171,高値!AC171&gt;高値!AA171,高値!AC171&gt;高値!AD171,高値!AC171&gt;高値!AE171),24,""))</f>
      </c>
      <c r="AZ171" s="684">
        <f>IF(終値!A171="","",IF(AND(高値!AD171&gt;高値!AC171,高値!AD171&gt;高値!AB171,高値!AD171&gt;高値!AE171,高値!AD171&gt;高値!AF171),25,""))</f>
      </c>
      <c r="BA171" s="684">
        <f>IF(終値!A171="","",IF(AND(高値!AE171&gt;高値!AD171,高値!AE171&gt;高値!AC171,高値!AE171&gt;高値!AF171,高値!AE171&gt;高値!AG171),26,""))</f>
      </c>
      <c r="BB171" s="684">
        <f>IF(終値!A171="","",IF(AND(高値!AF171&gt;高値!AE171,高値!AF171&gt;高値!AD171,高値!AF171&gt;高値!AG171,高値!AF171&gt;高値!AH171),27,""))</f>
      </c>
      <c r="BC171" s="684">
        <f>IF(終値!A171="","",IF(AND(高値!AG171&gt;高値!AF171,高値!AG171&gt;高値!AE171,高値!AG171&gt;高値!AH171,高値!AG171&gt;高値!AI171),28,""))</f>
      </c>
      <c r="BD171" s="684">
        <f>COUNT($B171:$AB171)</f>
      </c>
      <c r="BE171" s="684">
        <f>IF($BD171&gt;=2,MIN($B171:$AB171),"")</f>
      </c>
      <c r="BF171" s="684">
        <f>IF($BD171&gt;=2,SMALL($B171:$AB171,2),"")</f>
      </c>
      <c r="BG171" s="684">
        <f>IF($BE171="","",INDEX(安値!$E171:$CZ171,1,$BE171+1))</f>
      </c>
      <c r="BH171" s="684">
        <f>IF($BF171="","",INDEX(安値!$E171:$CZ171,1,$BF171+1))</f>
      </c>
      <c r="BI171" s="684">
        <f>IF($BF171="","",MAX(INDEX(高値!$E171:$CZ171,1,$BE171+1):INDEX(高値!$E171:$CZ171,1,$BF171+1)))</f>
      </c>
      <c r="BJ171" s="684">
        <f>IF($BF171="","",AVERAGE(INDEX(終値!$E171:$CZ171,1,$BF171+1):INDEX(終値!$E171:$CZ171,1,$BF171+20))-2*STDEVP(INDEX(終値!$E171:$CZ171,1,$BF171+1):INDEX(終値!$E171:$CZ171,1,$BF171+20)))</f>
      </c>
      <c r="BK171" s="684">
        <f>IF($BE171="","",AVERAGE(INDEX(終値!$E171:$CZ171,1,$BE171+1):INDEX(終値!$E171:$CZ171,1,$BE171+20))-2*STDEVP(INDEX(終値!$E171:$CZ171,1,$BE171+1):INDEX(終値!$E171:$CZ171,1,$BE171+20)))</f>
      </c>
      <c r="BL171" s="684">
        <f>COUNT($AC171:$BC171)</f>
      </c>
      <c r="BM171" s="684">
        <f>IF($BL171&gt;=2,MIN($AC171:$BC171),"")</f>
      </c>
      <c r="BN171" s="684">
        <f>IF($BL171&gt;=2,SMALL($AC171:$BC171,2),"")</f>
      </c>
      <c r="BO171" s="684">
        <f>IF($BM171="","",INDEX(高値!$E171:$CZ171,1,$BM171+1))</f>
      </c>
      <c r="BP171" s="684">
        <f>IF($BN171="","",INDEX(高値!$E171:$CZ171,1,$BN171+1))</f>
      </c>
      <c r="BQ171" s="684">
        <f>IF($BN171="","",MIN(INDEX(安値!$E171:$CZ171,1,$BM171+1):INDEX(安値!$E171:$CZ171,1,$BN171+1)))</f>
      </c>
      <c r="BR171" s="684">
        <f>IF($BN171="","",AVERAGE(INDEX(終値!$E171:$CZ171,1,$BN171+1):INDEX(終値!$E171:$CZ171,1,$BN171+20))+2*STDEVP(INDEX(終値!$E171:$CZ171,1,$BN171+1):INDEX(終値!$E171:$CZ171,1,$BN171+20)))</f>
      </c>
      <c r="BS171" s="684">
        <f>IF($BM171="","",AVERAGE(INDEX(終値!$E171:$CZ171,1,$BM171+1):INDEX(終値!$E171:$CZ171,1,$BM171+20))+2*STDEVP(INDEX(終値!$E171:$CZ171,1,$BM171+1):INDEX(終値!$E171:$CZ171,1,$BM171+20)))</f>
      </c>
      <c r="BT171" s="681">
        <f>IFERROR(IF(AND($BD171&gt;=2,ABS($BG171-$BH171)/$BH171&lt;=BB設定!$B$12,$BI171&gt;=MAX($BH171,$BG171)*(1+BB設定!$B$13),終値!E171&gt;$BG171),IF(OR(終値!E171&gt;=$BI171,AND($BH171&lt;$BJ171,$BG171&gt;=$BK171)),"二番底W▲","二番底W形成"),IF(AND($BL171&gt;=2,ABS($BO171-$BP171)/$BP171&lt;=BB設定!$B$12,$BQ171&lt;=MIN($BP171,$BO171)*(1-BB設定!$B$13),終値!E171&lt;$BO171),IF(OR(終値!E171&lt;=$BQ171,AND($BP171&gt;$BR171,$BO171&lt;=$BS171)),"二番天井M▼","二番天井M形成"),"－")),"－")</f>
      </c>
    </row>
    <row r="172">
      <c r="B172" s="684">
        <f>IF(終値!A172="","",IF(AND(安値!G172&lt;安値!F172,安値!G172&lt;安値!E172,安値!G172&lt;安値!H172,安値!G172&lt;安値!I172),2,""))</f>
      </c>
      <c r="C172" s="684">
        <f>IF(終値!A172="","",IF(AND(安値!H172&lt;安値!G172,安値!H172&lt;安値!F172,安値!H172&lt;安値!I172,安値!H172&lt;安値!J172),3,""))</f>
      </c>
      <c r="D172" s="684">
        <f>IF(終値!A172="","",IF(AND(安値!I172&lt;安値!H172,安値!I172&lt;安値!G172,安値!I172&lt;安値!J172,安値!I172&lt;安値!K172),4,""))</f>
      </c>
      <c r="E172" s="684">
        <f>IF(終値!A172="","",IF(AND(安値!J172&lt;安値!I172,安値!J172&lt;安値!H172,安値!J172&lt;安値!K172,安値!J172&lt;安値!L172),5,""))</f>
      </c>
      <c r="F172" s="684">
        <f>IF(終値!A172="","",IF(AND(安値!K172&lt;安値!J172,安値!K172&lt;安値!I172,安値!K172&lt;安値!L172,安値!K172&lt;安値!M172),6,""))</f>
      </c>
      <c r="G172" s="684">
        <f>IF(終値!A172="","",IF(AND(安値!L172&lt;安値!K172,安値!L172&lt;安値!J172,安値!L172&lt;安値!M172,安値!L172&lt;安値!N172),7,""))</f>
      </c>
      <c r="H172" s="684">
        <f>IF(終値!A172="","",IF(AND(安値!M172&lt;安値!L172,安値!M172&lt;安値!K172,安値!M172&lt;安値!N172,安値!M172&lt;安値!O172),8,""))</f>
      </c>
      <c r="I172" s="684">
        <f>IF(終値!A172="","",IF(AND(安値!N172&lt;安値!M172,安値!N172&lt;安値!L172,安値!N172&lt;安値!O172,安値!N172&lt;安値!P172),9,""))</f>
      </c>
      <c r="J172" s="684">
        <f>IF(終値!A172="","",IF(AND(安値!O172&lt;安値!N172,安値!O172&lt;安値!M172,安値!O172&lt;安値!P172,安値!O172&lt;安値!Q172),10,""))</f>
      </c>
      <c r="K172" s="684">
        <f>IF(終値!A172="","",IF(AND(安値!P172&lt;安値!O172,安値!P172&lt;安値!N172,安値!P172&lt;安値!Q172,安値!P172&lt;安値!R172),11,""))</f>
      </c>
      <c r="L172" s="684">
        <f>IF(終値!A172="","",IF(AND(安値!Q172&lt;安値!P172,安値!Q172&lt;安値!O172,安値!Q172&lt;安値!R172,安値!Q172&lt;安値!S172),12,""))</f>
      </c>
      <c r="M172" s="684">
        <f>IF(終値!A172="","",IF(AND(安値!R172&lt;安値!Q172,安値!R172&lt;安値!P172,安値!R172&lt;安値!S172,安値!R172&lt;安値!T172),13,""))</f>
      </c>
      <c r="N172" s="684">
        <f>IF(終値!A172="","",IF(AND(安値!S172&lt;安値!R172,安値!S172&lt;安値!Q172,安値!S172&lt;安値!T172,安値!S172&lt;安値!U172),14,""))</f>
      </c>
      <c r="O172" s="684">
        <f>IF(終値!A172="","",IF(AND(安値!T172&lt;安値!S172,安値!T172&lt;安値!R172,安値!T172&lt;安値!U172,安値!T172&lt;安値!V172),15,""))</f>
      </c>
      <c r="P172" s="684">
        <f>IF(終値!A172="","",IF(AND(安値!U172&lt;安値!T172,安値!U172&lt;安値!S172,安値!U172&lt;安値!V172,安値!U172&lt;安値!W172),16,""))</f>
      </c>
      <c r="Q172" s="684">
        <f>IF(終値!A172="","",IF(AND(安値!V172&lt;安値!U172,安値!V172&lt;安値!T172,安値!V172&lt;安値!W172,安値!V172&lt;安値!X172),17,""))</f>
      </c>
      <c r="R172" s="684">
        <f>IF(終値!A172="","",IF(AND(安値!W172&lt;安値!V172,安値!W172&lt;安値!U172,安値!W172&lt;安値!X172,安値!W172&lt;安値!Y172),18,""))</f>
      </c>
      <c r="S172" s="684">
        <f>IF(終値!A172="","",IF(AND(安値!X172&lt;安値!W172,安値!X172&lt;安値!V172,安値!X172&lt;安値!Y172,安値!X172&lt;安値!Z172),19,""))</f>
      </c>
      <c r="T172" s="684">
        <f>IF(終値!A172="","",IF(AND(安値!Y172&lt;安値!X172,安値!Y172&lt;安値!W172,安値!Y172&lt;安値!Z172,安値!Y172&lt;安値!AA172),20,""))</f>
      </c>
      <c r="U172" s="684">
        <f>IF(終値!A172="","",IF(AND(安値!Z172&lt;安値!Y172,安値!Z172&lt;安値!X172,安値!Z172&lt;安値!AA172,安値!Z172&lt;安値!AB172),21,""))</f>
      </c>
      <c r="V172" s="684">
        <f>IF(終値!A172="","",IF(AND(安値!AA172&lt;安値!Z172,安値!AA172&lt;安値!Y172,安値!AA172&lt;安値!AB172,安値!AA172&lt;安値!AC172),22,""))</f>
      </c>
      <c r="W172" s="684">
        <f>IF(終値!A172="","",IF(AND(安値!AB172&lt;安値!AA172,安値!AB172&lt;安値!Z172,安値!AB172&lt;安値!AC172,安値!AB172&lt;安値!AD172),23,""))</f>
      </c>
      <c r="X172" s="684">
        <f>IF(終値!A172="","",IF(AND(安値!AC172&lt;安値!AB172,安値!AC172&lt;安値!AA172,安値!AC172&lt;安値!AD172,安値!AC172&lt;安値!AE172),24,""))</f>
      </c>
      <c r="Y172" s="684">
        <f>IF(終値!A172="","",IF(AND(安値!AD172&lt;安値!AC172,安値!AD172&lt;安値!AB172,安値!AD172&lt;安値!AE172,安値!AD172&lt;安値!AF172),25,""))</f>
      </c>
      <c r="Z172" s="684">
        <f>IF(終値!A172="","",IF(AND(安値!AE172&lt;安値!AD172,安値!AE172&lt;安値!AC172,安値!AE172&lt;安値!AF172,安値!AE172&lt;安値!AG172),26,""))</f>
      </c>
      <c r="AA172" s="684">
        <f>IF(終値!A172="","",IF(AND(安値!AF172&lt;安値!AE172,安値!AF172&lt;安値!AD172,安値!AF172&lt;安値!AG172,安値!AF172&lt;安値!AH172),27,""))</f>
      </c>
      <c r="AB172" s="684">
        <f>IF(終値!A172="","",IF(AND(安値!AG172&lt;安値!AF172,安値!AG172&lt;安値!AE172,安値!AG172&lt;安値!AH172,安値!AG172&lt;安値!AI172),28,""))</f>
      </c>
      <c r="AC172" s="684">
        <f>IF(終値!A172="","",IF(AND(高値!G172&gt;高値!F172,高値!G172&gt;高値!E172,高値!G172&gt;高値!H172,高値!G172&gt;高値!I172),2,""))</f>
      </c>
      <c r="AD172" s="684">
        <f>IF(終値!A172="","",IF(AND(高値!H172&gt;高値!G172,高値!H172&gt;高値!F172,高値!H172&gt;高値!I172,高値!H172&gt;高値!J172),3,""))</f>
      </c>
      <c r="AE172" s="684">
        <f>IF(終値!A172="","",IF(AND(高値!I172&gt;高値!H172,高値!I172&gt;高値!G172,高値!I172&gt;高値!J172,高値!I172&gt;高値!K172),4,""))</f>
      </c>
      <c r="AF172" s="684">
        <f>IF(終値!A172="","",IF(AND(高値!J172&gt;高値!I172,高値!J172&gt;高値!H172,高値!J172&gt;高値!K172,高値!J172&gt;高値!L172),5,""))</f>
      </c>
      <c r="AG172" s="684">
        <f>IF(終値!A172="","",IF(AND(高値!K172&gt;高値!J172,高値!K172&gt;高値!I172,高値!K172&gt;高値!L172,高値!K172&gt;高値!M172),6,""))</f>
      </c>
      <c r="AH172" s="684">
        <f>IF(終値!A172="","",IF(AND(高値!L172&gt;高値!K172,高値!L172&gt;高値!J172,高値!L172&gt;高値!M172,高値!L172&gt;高値!N172),7,""))</f>
      </c>
      <c r="AI172" s="684">
        <f>IF(終値!A172="","",IF(AND(高値!M172&gt;高値!L172,高値!M172&gt;高値!K172,高値!M172&gt;高値!N172,高値!M172&gt;高値!O172),8,""))</f>
      </c>
      <c r="AJ172" s="684">
        <f>IF(終値!A172="","",IF(AND(高値!N172&gt;高値!M172,高値!N172&gt;高値!L172,高値!N172&gt;高値!O172,高値!N172&gt;高値!P172),9,""))</f>
      </c>
      <c r="AK172" s="684">
        <f>IF(終値!A172="","",IF(AND(高値!O172&gt;高値!N172,高値!O172&gt;高値!M172,高値!O172&gt;高値!P172,高値!O172&gt;高値!Q172),10,""))</f>
      </c>
      <c r="AL172" s="684">
        <f>IF(終値!A172="","",IF(AND(高値!P172&gt;高値!O172,高値!P172&gt;高値!N172,高値!P172&gt;高値!Q172,高値!P172&gt;高値!R172),11,""))</f>
      </c>
      <c r="AM172" s="684">
        <f>IF(終値!A172="","",IF(AND(高値!Q172&gt;高値!P172,高値!Q172&gt;高値!O172,高値!Q172&gt;高値!R172,高値!Q172&gt;高値!S172),12,""))</f>
      </c>
      <c r="AN172" s="684">
        <f>IF(終値!A172="","",IF(AND(高値!R172&gt;高値!Q172,高値!R172&gt;高値!P172,高値!R172&gt;高値!S172,高値!R172&gt;高値!T172),13,""))</f>
      </c>
      <c r="AO172" s="684">
        <f>IF(終値!A172="","",IF(AND(高値!S172&gt;高値!R172,高値!S172&gt;高値!Q172,高値!S172&gt;高値!T172,高値!S172&gt;高値!U172),14,""))</f>
      </c>
      <c r="AP172" s="684">
        <f>IF(終値!A172="","",IF(AND(高値!T172&gt;高値!S172,高値!T172&gt;高値!R172,高値!T172&gt;高値!U172,高値!T172&gt;高値!V172),15,""))</f>
      </c>
      <c r="AQ172" s="684">
        <f>IF(終値!A172="","",IF(AND(高値!U172&gt;高値!T172,高値!U172&gt;高値!S172,高値!U172&gt;高値!V172,高値!U172&gt;高値!W172),16,""))</f>
      </c>
      <c r="AR172" s="684">
        <f>IF(終値!A172="","",IF(AND(高値!V172&gt;高値!U172,高値!V172&gt;高値!T172,高値!V172&gt;高値!W172,高値!V172&gt;高値!X172),17,""))</f>
      </c>
      <c r="AS172" s="684">
        <f>IF(終値!A172="","",IF(AND(高値!W172&gt;高値!V172,高値!W172&gt;高値!U172,高値!W172&gt;高値!X172,高値!W172&gt;高値!Y172),18,""))</f>
      </c>
      <c r="AT172" s="684">
        <f>IF(終値!A172="","",IF(AND(高値!X172&gt;高値!W172,高値!X172&gt;高値!V172,高値!X172&gt;高値!Y172,高値!X172&gt;高値!Z172),19,""))</f>
      </c>
      <c r="AU172" s="684">
        <f>IF(終値!A172="","",IF(AND(高値!Y172&gt;高値!X172,高値!Y172&gt;高値!W172,高値!Y172&gt;高値!Z172,高値!Y172&gt;高値!AA172),20,""))</f>
      </c>
      <c r="AV172" s="684">
        <f>IF(終値!A172="","",IF(AND(高値!Z172&gt;高値!Y172,高値!Z172&gt;高値!X172,高値!Z172&gt;高値!AA172,高値!Z172&gt;高値!AB172),21,""))</f>
      </c>
      <c r="AW172" s="684">
        <f>IF(終値!A172="","",IF(AND(高値!AA172&gt;高値!Z172,高値!AA172&gt;高値!Y172,高値!AA172&gt;高値!AB172,高値!AA172&gt;高値!AC172),22,""))</f>
      </c>
      <c r="AX172" s="684">
        <f>IF(終値!A172="","",IF(AND(高値!AB172&gt;高値!AA172,高値!AB172&gt;高値!Z172,高値!AB172&gt;高値!AC172,高値!AB172&gt;高値!AD172),23,""))</f>
      </c>
      <c r="AY172" s="684">
        <f>IF(終値!A172="","",IF(AND(高値!AC172&gt;高値!AB172,高値!AC172&gt;高値!AA172,高値!AC172&gt;高値!AD172,高値!AC172&gt;高値!AE172),24,""))</f>
      </c>
      <c r="AZ172" s="684">
        <f>IF(終値!A172="","",IF(AND(高値!AD172&gt;高値!AC172,高値!AD172&gt;高値!AB172,高値!AD172&gt;高値!AE172,高値!AD172&gt;高値!AF172),25,""))</f>
      </c>
      <c r="BA172" s="684">
        <f>IF(終値!A172="","",IF(AND(高値!AE172&gt;高値!AD172,高値!AE172&gt;高値!AC172,高値!AE172&gt;高値!AF172,高値!AE172&gt;高値!AG172),26,""))</f>
      </c>
      <c r="BB172" s="684">
        <f>IF(終値!A172="","",IF(AND(高値!AF172&gt;高値!AE172,高値!AF172&gt;高値!AD172,高値!AF172&gt;高値!AG172,高値!AF172&gt;高値!AH172),27,""))</f>
      </c>
      <c r="BC172" s="684">
        <f>IF(終値!A172="","",IF(AND(高値!AG172&gt;高値!AF172,高値!AG172&gt;高値!AE172,高値!AG172&gt;高値!AH172,高値!AG172&gt;高値!AI172),28,""))</f>
      </c>
      <c r="BD172" s="684">
        <f>COUNT($B172:$AB172)</f>
      </c>
      <c r="BE172" s="684">
        <f>IF($BD172&gt;=2,MIN($B172:$AB172),"")</f>
      </c>
      <c r="BF172" s="684">
        <f>IF($BD172&gt;=2,SMALL($B172:$AB172,2),"")</f>
      </c>
      <c r="BG172" s="684">
        <f>IF($BE172="","",INDEX(安値!$E172:$CZ172,1,$BE172+1))</f>
      </c>
      <c r="BH172" s="684">
        <f>IF($BF172="","",INDEX(安値!$E172:$CZ172,1,$BF172+1))</f>
      </c>
      <c r="BI172" s="684">
        <f>IF($BF172="","",MAX(INDEX(高値!$E172:$CZ172,1,$BE172+1):INDEX(高値!$E172:$CZ172,1,$BF172+1)))</f>
      </c>
      <c r="BJ172" s="684">
        <f>IF($BF172="","",AVERAGE(INDEX(終値!$E172:$CZ172,1,$BF172+1):INDEX(終値!$E172:$CZ172,1,$BF172+20))-2*STDEVP(INDEX(終値!$E172:$CZ172,1,$BF172+1):INDEX(終値!$E172:$CZ172,1,$BF172+20)))</f>
      </c>
      <c r="BK172" s="684">
        <f>IF($BE172="","",AVERAGE(INDEX(終値!$E172:$CZ172,1,$BE172+1):INDEX(終値!$E172:$CZ172,1,$BE172+20))-2*STDEVP(INDEX(終値!$E172:$CZ172,1,$BE172+1):INDEX(終値!$E172:$CZ172,1,$BE172+20)))</f>
      </c>
      <c r="BL172" s="684">
        <f>COUNT($AC172:$BC172)</f>
      </c>
      <c r="BM172" s="684">
        <f>IF($BL172&gt;=2,MIN($AC172:$BC172),"")</f>
      </c>
      <c r="BN172" s="684">
        <f>IF($BL172&gt;=2,SMALL($AC172:$BC172,2),"")</f>
      </c>
      <c r="BO172" s="684">
        <f>IF($BM172="","",INDEX(高値!$E172:$CZ172,1,$BM172+1))</f>
      </c>
      <c r="BP172" s="684">
        <f>IF($BN172="","",INDEX(高値!$E172:$CZ172,1,$BN172+1))</f>
      </c>
      <c r="BQ172" s="684">
        <f>IF($BN172="","",MIN(INDEX(安値!$E172:$CZ172,1,$BM172+1):INDEX(安値!$E172:$CZ172,1,$BN172+1)))</f>
      </c>
      <c r="BR172" s="684">
        <f>IF($BN172="","",AVERAGE(INDEX(終値!$E172:$CZ172,1,$BN172+1):INDEX(終値!$E172:$CZ172,1,$BN172+20))+2*STDEVP(INDEX(終値!$E172:$CZ172,1,$BN172+1):INDEX(終値!$E172:$CZ172,1,$BN172+20)))</f>
      </c>
      <c r="BS172" s="684">
        <f>IF($BM172="","",AVERAGE(INDEX(終値!$E172:$CZ172,1,$BM172+1):INDEX(終値!$E172:$CZ172,1,$BM172+20))+2*STDEVP(INDEX(終値!$E172:$CZ172,1,$BM172+1):INDEX(終値!$E172:$CZ172,1,$BM172+20)))</f>
      </c>
      <c r="BT172" s="681">
        <f>IFERROR(IF(AND($BD172&gt;=2,ABS($BG172-$BH172)/$BH172&lt;=BB設定!$B$12,$BI172&gt;=MAX($BH172,$BG172)*(1+BB設定!$B$13),終値!E172&gt;$BG172),IF(OR(終値!E172&gt;=$BI172,AND($BH172&lt;$BJ172,$BG172&gt;=$BK172)),"二番底W▲","二番底W形成"),IF(AND($BL172&gt;=2,ABS($BO172-$BP172)/$BP172&lt;=BB設定!$B$12,$BQ172&lt;=MIN($BP172,$BO172)*(1-BB設定!$B$13),終値!E172&lt;$BO172),IF(OR(終値!E172&lt;=$BQ172,AND($BP172&gt;$BR172,$BO172&lt;=$BS172)),"二番天井M▼","二番天井M形成"),"－")),"－")</f>
      </c>
    </row>
    <row r="173">
      <c r="B173" s="684">
        <f>IF(終値!A173="","",IF(AND(安値!G173&lt;安値!F173,安値!G173&lt;安値!E173,安値!G173&lt;安値!H173,安値!G173&lt;安値!I173),2,""))</f>
      </c>
      <c r="C173" s="684">
        <f>IF(終値!A173="","",IF(AND(安値!H173&lt;安値!G173,安値!H173&lt;安値!F173,安値!H173&lt;安値!I173,安値!H173&lt;安値!J173),3,""))</f>
      </c>
      <c r="D173" s="684">
        <f>IF(終値!A173="","",IF(AND(安値!I173&lt;安値!H173,安値!I173&lt;安値!G173,安値!I173&lt;安値!J173,安値!I173&lt;安値!K173),4,""))</f>
      </c>
      <c r="E173" s="684">
        <f>IF(終値!A173="","",IF(AND(安値!J173&lt;安値!I173,安値!J173&lt;安値!H173,安値!J173&lt;安値!K173,安値!J173&lt;安値!L173),5,""))</f>
      </c>
      <c r="F173" s="684">
        <f>IF(終値!A173="","",IF(AND(安値!K173&lt;安値!J173,安値!K173&lt;安値!I173,安値!K173&lt;安値!L173,安値!K173&lt;安値!M173),6,""))</f>
      </c>
      <c r="G173" s="684">
        <f>IF(終値!A173="","",IF(AND(安値!L173&lt;安値!K173,安値!L173&lt;安値!J173,安値!L173&lt;安値!M173,安値!L173&lt;安値!N173),7,""))</f>
      </c>
      <c r="H173" s="684">
        <f>IF(終値!A173="","",IF(AND(安値!M173&lt;安値!L173,安値!M173&lt;安値!K173,安値!M173&lt;安値!N173,安値!M173&lt;安値!O173),8,""))</f>
      </c>
      <c r="I173" s="684">
        <f>IF(終値!A173="","",IF(AND(安値!N173&lt;安値!M173,安値!N173&lt;安値!L173,安値!N173&lt;安値!O173,安値!N173&lt;安値!P173),9,""))</f>
      </c>
      <c r="J173" s="684">
        <f>IF(終値!A173="","",IF(AND(安値!O173&lt;安値!N173,安値!O173&lt;安値!M173,安値!O173&lt;安値!P173,安値!O173&lt;安値!Q173),10,""))</f>
      </c>
      <c r="K173" s="684">
        <f>IF(終値!A173="","",IF(AND(安値!P173&lt;安値!O173,安値!P173&lt;安値!N173,安値!P173&lt;安値!Q173,安値!P173&lt;安値!R173),11,""))</f>
      </c>
      <c r="L173" s="684">
        <f>IF(終値!A173="","",IF(AND(安値!Q173&lt;安値!P173,安値!Q173&lt;安値!O173,安値!Q173&lt;安値!R173,安値!Q173&lt;安値!S173),12,""))</f>
      </c>
      <c r="M173" s="684">
        <f>IF(終値!A173="","",IF(AND(安値!R173&lt;安値!Q173,安値!R173&lt;安値!P173,安値!R173&lt;安値!S173,安値!R173&lt;安値!T173),13,""))</f>
      </c>
      <c r="N173" s="684">
        <f>IF(終値!A173="","",IF(AND(安値!S173&lt;安値!R173,安値!S173&lt;安値!Q173,安値!S173&lt;安値!T173,安値!S173&lt;安値!U173),14,""))</f>
      </c>
      <c r="O173" s="684">
        <f>IF(終値!A173="","",IF(AND(安値!T173&lt;安値!S173,安値!T173&lt;安値!R173,安値!T173&lt;安値!U173,安値!T173&lt;安値!V173),15,""))</f>
      </c>
      <c r="P173" s="684">
        <f>IF(終値!A173="","",IF(AND(安値!U173&lt;安値!T173,安値!U173&lt;安値!S173,安値!U173&lt;安値!V173,安値!U173&lt;安値!W173),16,""))</f>
      </c>
      <c r="Q173" s="684">
        <f>IF(終値!A173="","",IF(AND(安値!V173&lt;安値!U173,安値!V173&lt;安値!T173,安値!V173&lt;安値!W173,安値!V173&lt;安値!X173),17,""))</f>
      </c>
      <c r="R173" s="684">
        <f>IF(終値!A173="","",IF(AND(安値!W173&lt;安値!V173,安値!W173&lt;安値!U173,安値!W173&lt;安値!X173,安値!W173&lt;安値!Y173),18,""))</f>
      </c>
      <c r="S173" s="684">
        <f>IF(終値!A173="","",IF(AND(安値!X173&lt;安値!W173,安値!X173&lt;安値!V173,安値!X173&lt;安値!Y173,安値!X173&lt;安値!Z173),19,""))</f>
      </c>
      <c r="T173" s="684">
        <f>IF(終値!A173="","",IF(AND(安値!Y173&lt;安値!X173,安値!Y173&lt;安値!W173,安値!Y173&lt;安値!Z173,安値!Y173&lt;安値!AA173),20,""))</f>
      </c>
      <c r="U173" s="684">
        <f>IF(終値!A173="","",IF(AND(安値!Z173&lt;安値!Y173,安値!Z173&lt;安値!X173,安値!Z173&lt;安値!AA173,安値!Z173&lt;安値!AB173),21,""))</f>
      </c>
      <c r="V173" s="684">
        <f>IF(終値!A173="","",IF(AND(安値!AA173&lt;安値!Z173,安値!AA173&lt;安値!Y173,安値!AA173&lt;安値!AB173,安値!AA173&lt;安値!AC173),22,""))</f>
      </c>
      <c r="W173" s="684">
        <f>IF(終値!A173="","",IF(AND(安値!AB173&lt;安値!AA173,安値!AB173&lt;安値!Z173,安値!AB173&lt;安値!AC173,安値!AB173&lt;安値!AD173),23,""))</f>
      </c>
      <c r="X173" s="684">
        <f>IF(終値!A173="","",IF(AND(安値!AC173&lt;安値!AB173,安値!AC173&lt;安値!AA173,安値!AC173&lt;安値!AD173,安値!AC173&lt;安値!AE173),24,""))</f>
      </c>
      <c r="Y173" s="684">
        <f>IF(終値!A173="","",IF(AND(安値!AD173&lt;安値!AC173,安値!AD173&lt;安値!AB173,安値!AD173&lt;安値!AE173,安値!AD173&lt;安値!AF173),25,""))</f>
      </c>
      <c r="Z173" s="684">
        <f>IF(終値!A173="","",IF(AND(安値!AE173&lt;安値!AD173,安値!AE173&lt;安値!AC173,安値!AE173&lt;安値!AF173,安値!AE173&lt;安値!AG173),26,""))</f>
      </c>
      <c r="AA173" s="684">
        <f>IF(終値!A173="","",IF(AND(安値!AF173&lt;安値!AE173,安値!AF173&lt;安値!AD173,安値!AF173&lt;安値!AG173,安値!AF173&lt;安値!AH173),27,""))</f>
      </c>
      <c r="AB173" s="684">
        <f>IF(終値!A173="","",IF(AND(安値!AG173&lt;安値!AF173,安値!AG173&lt;安値!AE173,安値!AG173&lt;安値!AH173,安値!AG173&lt;安値!AI173),28,""))</f>
      </c>
      <c r="AC173" s="684">
        <f>IF(終値!A173="","",IF(AND(高値!G173&gt;高値!F173,高値!G173&gt;高値!E173,高値!G173&gt;高値!H173,高値!G173&gt;高値!I173),2,""))</f>
      </c>
      <c r="AD173" s="684">
        <f>IF(終値!A173="","",IF(AND(高値!H173&gt;高値!G173,高値!H173&gt;高値!F173,高値!H173&gt;高値!I173,高値!H173&gt;高値!J173),3,""))</f>
      </c>
      <c r="AE173" s="684">
        <f>IF(終値!A173="","",IF(AND(高値!I173&gt;高値!H173,高値!I173&gt;高値!G173,高値!I173&gt;高値!J173,高値!I173&gt;高値!K173),4,""))</f>
      </c>
      <c r="AF173" s="684">
        <f>IF(終値!A173="","",IF(AND(高値!J173&gt;高値!I173,高値!J173&gt;高値!H173,高値!J173&gt;高値!K173,高値!J173&gt;高値!L173),5,""))</f>
      </c>
      <c r="AG173" s="684">
        <f>IF(終値!A173="","",IF(AND(高値!K173&gt;高値!J173,高値!K173&gt;高値!I173,高値!K173&gt;高値!L173,高値!K173&gt;高値!M173),6,""))</f>
      </c>
      <c r="AH173" s="684">
        <f>IF(終値!A173="","",IF(AND(高値!L173&gt;高値!K173,高値!L173&gt;高値!J173,高値!L173&gt;高値!M173,高値!L173&gt;高値!N173),7,""))</f>
      </c>
      <c r="AI173" s="684">
        <f>IF(終値!A173="","",IF(AND(高値!M173&gt;高値!L173,高値!M173&gt;高値!K173,高値!M173&gt;高値!N173,高値!M173&gt;高値!O173),8,""))</f>
      </c>
      <c r="AJ173" s="684">
        <f>IF(終値!A173="","",IF(AND(高値!N173&gt;高値!M173,高値!N173&gt;高値!L173,高値!N173&gt;高値!O173,高値!N173&gt;高値!P173),9,""))</f>
      </c>
      <c r="AK173" s="684">
        <f>IF(終値!A173="","",IF(AND(高値!O173&gt;高値!N173,高値!O173&gt;高値!M173,高値!O173&gt;高値!P173,高値!O173&gt;高値!Q173),10,""))</f>
      </c>
      <c r="AL173" s="684">
        <f>IF(終値!A173="","",IF(AND(高値!P173&gt;高値!O173,高値!P173&gt;高値!N173,高値!P173&gt;高値!Q173,高値!P173&gt;高値!R173),11,""))</f>
      </c>
      <c r="AM173" s="684">
        <f>IF(終値!A173="","",IF(AND(高値!Q173&gt;高値!P173,高値!Q173&gt;高値!O173,高値!Q173&gt;高値!R173,高値!Q173&gt;高値!S173),12,""))</f>
      </c>
      <c r="AN173" s="684">
        <f>IF(終値!A173="","",IF(AND(高値!R173&gt;高値!Q173,高値!R173&gt;高値!P173,高値!R173&gt;高値!S173,高値!R173&gt;高値!T173),13,""))</f>
      </c>
      <c r="AO173" s="684">
        <f>IF(終値!A173="","",IF(AND(高値!S173&gt;高値!R173,高値!S173&gt;高値!Q173,高値!S173&gt;高値!T173,高値!S173&gt;高値!U173),14,""))</f>
      </c>
      <c r="AP173" s="684">
        <f>IF(終値!A173="","",IF(AND(高値!T173&gt;高値!S173,高値!T173&gt;高値!R173,高値!T173&gt;高値!U173,高値!T173&gt;高値!V173),15,""))</f>
      </c>
      <c r="AQ173" s="684">
        <f>IF(終値!A173="","",IF(AND(高値!U173&gt;高値!T173,高値!U173&gt;高値!S173,高値!U173&gt;高値!V173,高値!U173&gt;高値!W173),16,""))</f>
      </c>
      <c r="AR173" s="684">
        <f>IF(終値!A173="","",IF(AND(高値!V173&gt;高値!U173,高値!V173&gt;高値!T173,高値!V173&gt;高値!W173,高値!V173&gt;高値!X173),17,""))</f>
      </c>
      <c r="AS173" s="684">
        <f>IF(終値!A173="","",IF(AND(高値!W173&gt;高値!V173,高値!W173&gt;高値!U173,高値!W173&gt;高値!X173,高値!W173&gt;高値!Y173),18,""))</f>
      </c>
      <c r="AT173" s="684">
        <f>IF(終値!A173="","",IF(AND(高値!X173&gt;高値!W173,高値!X173&gt;高値!V173,高値!X173&gt;高値!Y173,高値!X173&gt;高値!Z173),19,""))</f>
      </c>
      <c r="AU173" s="684">
        <f>IF(終値!A173="","",IF(AND(高値!Y173&gt;高値!X173,高値!Y173&gt;高値!W173,高値!Y173&gt;高値!Z173,高値!Y173&gt;高値!AA173),20,""))</f>
      </c>
      <c r="AV173" s="684">
        <f>IF(終値!A173="","",IF(AND(高値!Z173&gt;高値!Y173,高値!Z173&gt;高値!X173,高値!Z173&gt;高値!AA173,高値!Z173&gt;高値!AB173),21,""))</f>
      </c>
      <c r="AW173" s="684">
        <f>IF(終値!A173="","",IF(AND(高値!AA173&gt;高値!Z173,高値!AA173&gt;高値!Y173,高値!AA173&gt;高値!AB173,高値!AA173&gt;高値!AC173),22,""))</f>
      </c>
      <c r="AX173" s="684">
        <f>IF(終値!A173="","",IF(AND(高値!AB173&gt;高値!AA173,高値!AB173&gt;高値!Z173,高値!AB173&gt;高値!AC173,高値!AB173&gt;高値!AD173),23,""))</f>
      </c>
      <c r="AY173" s="684">
        <f>IF(終値!A173="","",IF(AND(高値!AC173&gt;高値!AB173,高値!AC173&gt;高値!AA173,高値!AC173&gt;高値!AD173,高値!AC173&gt;高値!AE173),24,""))</f>
      </c>
      <c r="AZ173" s="684">
        <f>IF(終値!A173="","",IF(AND(高値!AD173&gt;高値!AC173,高値!AD173&gt;高値!AB173,高値!AD173&gt;高値!AE173,高値!AD173&gt;高値!AF173),25,""))</f>
      </c>
      <c r="BA173" s="684">
        <f>IF(終値!A173="","",IF(AND(高値!AE173&gt;高値!AD173,高値!AE173&gt;高値!AC173,高値!AE173&gt;高値!AF173,高値!AE173&gt;高値!AG173),26,""))</f>
      </c>
      <c r="BB173" s="684">
        <f>IF(終値!A173="","",IF(AND(高値!AF173&gt;高値!AE173,高値!AF173&gt;高値!AD173,高値!AF173&gt;高値!AG173,高値!AF173&gt;高値!AH173),27,""))</f>
      </c>
      <c r="BC173" s="684">
        <f>IF(終値!A173="","",IF(AND(高値!AG173&gt;高値!AF173,高値!AG173&gt;高値!AE173,高値!AG173&gt;高値!AH173,高値!AG173&gt;高値!AI173),28,""))</f>
      </c>
      <c r="BD173" s="684">
        <f>COUNT($B173:$AB173)</f>
      </c>
      <c r="BE173" s="684">
        <f>IF($BD173&gt;=2,MIN($B173:$AB173),"")</f>
      </c>
      <c r="BF173" s="684">
        <f>IF($BD173&gt;=2,SMALL($B173:$AB173,2),"")</f>
      </c>
      <c r="BG173" s="684">
        <f>IF($BE173="","",INDEX(安値!$E173:$CZ173,1,$BE173+1))</f>
      </c>
      <c r="BH173" s="684">
        <f>IF($BF173="","",INDEX(安値!$E173:$CZ173,1,$BF173+1))</f>
      </c>
      <c r="BI173" s="684">
        <f>IF($BF173="","",MAX(INDEX(高値!$E173:$CZ173,1,$BE173+1):INDEX(高値!$E173:$CZ173,1,$BF173+1)))</f>
      </c>
      <c r="BJ173" s="684">
        <f>IF($BF173="","",AVERAGE(INDEX(終値!$E173:$CZ173,1,$BF173+1):INDEX(終値!$E173:$CZ173,1,$BF173+20))-2*STDEVP(INDEX(終値!$E173:$CZ173,1,$BF173+1):INDEX(終値!$E173:$CZ173,1,$BF173+20)))</f>
      </c>
      <c r="BK173" s="684">
        <f>IF($BE173="","",AVERAGE(INDEX(終値!$E173:$CZ173,1,$BE173+1):INDEX(終値!$E173:$CZ173,1,$BE173+20))-2*STDEVP(INDEX(終値!$E173:$CZ173,1,$BE173+1):INDEX(終値!$E173:$CZ173,1,$BE173+20)))</f>
      </c>
      <c r="BL173" s="684">
        <f>COUNT($AC173:$BC173)</f>
      </c>
      <c r="BM173" s="684">
        <f>IF($BL173&gt;=2,MIN($AC173:$BC173),"")</f>
      </c>
      <c r="BN173" s="684">
        <f>IF($BL173&gt;=2,SMALL($AC173:$BC173,2),"")</f>
      </c>
      <c r="BO173" s="684">
        <f>IF($BM173="","",INDEX(高値!$E173:$CZ173,1,$BM173+1))</f>
      </c>
      <c r="BP173" s="684">
        <f>IF($BN173="","",INDEX(高値!$E173:$CZ173,1,$BN173+1))</f>
      </c>
      <c r="BQ173" s="684">
        <f>IF($BN173="","",MIN(INDEX(安値!$E173:$CZ173,1,$BM173+1):INDEX(安値!$E173:$CZ173,1,$BN173+1)))</f>
      </c>
      <c r="BR173" s="684">
        <f>IF($BN173="","",AVERAGE(INDEX(終値!$E173:$CZ173,1,$BN173+1):INDEX(終値!$E173:$CZ173,1,$BN173+20))+2*STDEVP(INDEX(終値!$E173:$CZ173,1,$BN173+1):INDEX(終値!$E173:$CZ173,1,$BN173+20)))</f>
      </c>
      <c r="BS173" s="684">
        <f>IF($BM173="","",AVERAGE(INDEX(終値!$E173:$CZ173,1,$BM173+1):INDEX(終値!$E173:$CZ173,1,$BM173+20))+2*STDEVP(INDEX(終値!$E173:$CZ173,1,$BM173+1):INDEX(終値!$E173:$CZ173,1,$BM173+20)))</f>
      </c>
      <c r="BT173" s="681">
        <f>IFERROR(IF(AND($BD173&gt;=2,ABS($BG173-$BH173)/$BH173&lt;=BB設定!$B$12,$BI173&gt;=MAX($BH173,$BG173)*(1+BB設定!$B$13),終値!E173&gt;$BG173),IF(OR(終値!E173&gt;=$BI173,AND($BH173&lt;$BJ173,$BG173&gt;=$BK173)),"二番底W▲","二番底W形成"),IF(AND($BL173&gt;=2,ABS($BO173-$BP173)/$BP173&lt;=BB設定!$B$12,$BQ173&lt;=MIN($BP173,$BO173)*(1-BB設定!$B$13),終値!E173&lt;$BO173),IF(OR(終値!E173&lt;=$BQ173,AND($BP173&gt;$BR173,$BO173&lt;=$BS173)),"二番天井M▼","二番天井M形成"),"－")),"－")</f>
      </c>
    </row>
    <row r="174">
      <c r="B174" s="684">
        <f>IF(終値!A174="","",IF(AND(安値!G174&lt;安値!F174,安値!G174&lt;安値!E174,安値!G174&lt;安値!H174,安値!G174&lt;安値!I174),2,""))</f>
      </c>
      <c r="C174" s="684">
        <f>IF(終値!A174="","",IF(AND(安値!H174&lt;安値!G174,安値!H174&lt;安値!F174,安値!H174&lt;安値!I174,安値!H174&lt;安値!J174),3,""))</f>
      </c>
      <c r="D174" s="684">
        <f>IF(終値!A174="","",IF(AND(安値!I174&lt;安値!H174,安値!I174&lt;安値!G174,安値!I174&lt;安値!J174,安値!I174&lt;安値!K174),4,""))</f>
      </c>
      <c r="E174" s="684">
        <f>IF(終値!A174="","",IF(AND(安値!J174&lt;安値!I174,安値!J174&lt;安値!H174,安値!J174&lt;安値!K174,安値!J174&lt;安値!L174),5,""))</f>
      </c>
      <c r="F174" s="684">
        <f>IF(終値!A174="","",IF(AND(安値!K174&lt;安値!J174,安値!K174&lt;安値!I174,安値!K174&lt;安値!L174,安値!K174&lt;安値!M174),6,""))</f>
      </c>
      <c r="G174" s="684">
        <f>IF(終値!A174="","",IF(AND(安値!L174&lt;安値!K174,安値!L174&lt;安値!J174,安値!L174&lt;安値!M174,安値!L174&lt;安値!N174),7,""))</f>
      </c>
      <c r="H174" s="684">
        <f>IF(終値!A174="","",IF(AND(安値!M174&lt;安値!L174,安値!M174&lt;安値!K174,安値!M174&lt;安値!N174,安値!M174&lt;安値!O174),8,""))</f>
      </c>
      <c r="I174" s="684">
        <f>IF(終値!A174="","",IF(AND(安値!N174&lt;安値!M174,安値!N174&lt;安値!L174,安値!N174&lt;安値!O174,安値!N174&lt;安値!P174),9,""))</f>
      </c>
      <c r="J174" s="684">
        <f>IF(終値!A174="","",IF(AND(安値!O174&lt;安値!N174,安値!O174&lt;安値!M174,安値!O174&lt;安値!P174,安値!O174&lt;安値!Q174),10,""))</f>
      </c>
      <c r="K174" s="684">
        <f>IF(終値!A174="","",IF(AND(安値!P174&lt;安値!O174,安値!P174&lt;安値!N174,安値!P174&lt;安値!Q174,安値!P174&lt;安値!R174),11,""))</f>
      </c>
      <c r="L174" s="684">
        <f>IF(終値!A174="","",IF(AND(安値!Q174&lt;安値!P174,安値!Q174&lt;安値!O174,安値!Q174&lt;安値!R174,安値!Q174&lt;安値!S174),12,""))</f>
      </c>
      <c r="M174" s="684">
        <f>IF(終値!A174="","",IF(AND(安値!R174&lt;安値!Q174,安値!R174&lt;安値!P174,安値!R174&lt;安値!S174,安値!R174&lt;安値!T174),13,""))</f>
      </c>
      <c r="N174" s="684">
        <f>IF(終値!A174="","",IF(AND(安値!S174&lt;安値!R174,安値!S174&lt;安値!Q174,安値!S174&lt;安値!T174,安値!S174&lt;安値!U174),14,""))</f>
      </c>
      <c r="O174" s="684">
        <f>IF(終値!A174="","",IF(AND(安値!T174&lt;安値!S174,安値!T174&lt;安値!R174,安値!T174&lt;安値!U174,安値!T174&lt;安値!V174),15,""))</f>
      </c>
      <c r="P174" s="684">
        <f>IF(終値!A174="","",IF(AND(安値!U174&lt;安値!T174,安値!U174&lt;安値!S174,安値!U174&lt;安値!V174,安値!U174&lt;安値!W174),16,""))</f>
      </c>
      <c r="Q174" s="684">
        <f>IF(終値!A174="","",IF(AND(安値!V174&lt;安値!U174,安値!V174&lt;安値!T174,安値!V174&lt;安値!W174,安値!V174&lt;安値!X174),17,""))</f>
      </c>
      <c r="R174" s="684">
        <f>IF(終値!A174="","",IF(AND(安値!W174&lt;安値!V174,安値!W174&lt;安値!U174,安値!W174&lt;安値!X174,安値!W174&lt;安値!Y174),18,""))</f>
      </c>
      <c r="S174" s="684">
        <f>IF(終値!A174="","",IF(AND(安値!X174&lt;安値!W174,安値!X174&lt;安値!V174,安値!X174&lt;安値!Y174,安値!X174&lt;安値!Z174),19,""))</f>
      </c>
      <c r="T174" s="684">
        <f>IF(終値!A174="","",IF(AND(安値!Y174&lt;安値!X174,安値!Y174&lt;安値!W174,安値!Y174&lt;安値!Z174,安値!Y174&lt;安値!AA174),20,""))</f>
      </c>
      <c r="U174" s="684">
        <f>IF(終値!A174="","",IF(AND(安値!Z174&lt;安値!Y174,安値!Z174&lt;安値!X174,安値!Z174&lt;安値!AA174,安値!Z174&lt;安値!AB174),21,""))</f>
      </c>
      <c r="V174" s="684">
        <f>IF(終値!A174="","",IF(AND(安値!AA174&lt;安値!Z174,安値!AA174&lt;安値!Y174,安値!AA174&lt;安値!AB174,安値!AA174&lt;安値!AC174),22,""))</f>
      </c>
      <c r="W174" s="684">
        <f>IF(終値!A174="","",IF(AND(安値!AB174&lt;安値!AA174,安値!AB174&lt;安値!Z174,安値!AB174&lt;安値!AC174,安値!AB174&lt;安値!AD174),23,""))</f>
      </c>
      <c r="X174" s="684">
        <f>IF(終値!A174="","",IF(AND(安値!AC174&lt;安値!AB174,安値!AC174&lt;安値!AA174,安値!AC174&lt;安値!AD174,安値!AC174&lt;安値!AE174),24,""))</f>
      </c>
      <c r="Y174" s="684">
        <f>IF(終値!A174="","",IF(AND(安値!AD174&lt;安値!AC174,安値!AD174&lt;安値!AB174,安値!AD174&lt;安値!AE174,安値!AD174&lt;安値!AF174),25,""))</f>
      </c>
      <c r="Z174" s="684">
        <f>IF(終値!A174="","",IF(AND(安値!AE174&lt;安値!AD174,安値!AE174&lt;安値!AC174,安値!AE174&lt;安値!AF174,安値!AE174&lt;安値!AG174),26,""))</f>
      </c>
      <c r="AA174" s="684">
        <f>IF(終値!A174="","",IF(AND(安値!AF174&lt;安値!AE174,安値!AF174&lt;安値!AD174,安値!AF174&lt;安値!AG174,安値!AF174&lt;安値!AH174),27,""))</f>
      </c>
      <c r="AB174" s="684">
        <f>IF(終値!A174="","",IF(AND(安値!AG174&lt;安値!AF174,安値!AG174&lt;安値!AE174,安値!AG174&lt;安値!AH174,安値!AG174&lt;安値!AI174),28,""))</f>
      </c>
      <c r="AC174" s="684">
        <f>IF(終値!A174="","",IF(AND(高値!G174&gt;高値!F174,高値!G174&gt;高値!E174,高値!G174&gt;高値!H174,高値!G174&gt;高値!I174),2,""))</f>
      </c>
      <c r="AD174" s="684">
        <f>IF(終値!A174="","",IF(AND(高値!H174&gt;高値!G174,高値!H174&gt;高値!F174,高値!H174&gt;高値!I174,高値!H174&gt;高値!J174),3,""))</f>
      </c>
      <c r="AE174" s="684">
        <f>IF(終値!A174="","",IF(AND(高値!I174&gt;高値!H174,高値!I174&gt;高値!G174,高値!I174&gt;高値!J174,高値!I174&gt;高値!K174),4,""))</f>
      </c>
      <c r="AF174" s="684">
        <f>IF(終値!A174="","",IF(AND(高値!J174&gt;高値!I174,高値!J174&gt;高値!H174,高値!J174&gt;高値!K174,高値!J174&gt;高値!L174),5,""))</f>
      </c>
      <c r="AG174" s="684">
        <f>IF(終値!A174="","",IF(AND(高値!K174&gt;高値!J174,高値!K174&gt;高値!I174,高値!K174&gt;高値!L174,高値!K174&gt;高値!M174),6,""))</f>
      </c>
      <c r="AH174" s="684">
        <f>IF(終値!A174="","",IF(AND(高値!L174&gt;高値!K174,高値!L174&gt;高値!J174,高値!L174&gt;高値!M174,高値!L174&gt;高値!N174),7,""))</f>
      </c>
      <c r="AI174" s="684">
        <f>IF(終値!A174="","",IF(AND(高値!M174&gt;高値!L174,高値!M174&gt;高値!K174,高値!M174&gt;高値!N174,高値!M174&gt;高値!O174),8,""))</f>
      </c>
      <c r="AJ174" s="684">
        <f>IF(終値!A174="","",IF(AND(高値!N174&gt;高値!M174,高値!N174&gt;高値!L174,高値!N174&gt;高値!O174,高値!N174&gt;高値!P174),9,""))</f>
      </c>
      <c r="AK174" s="684">
        <f>IF(終値!A174="","",IF(AND(高値!O174&gt;高値!N174,高値!O174&gt;高値!M174,高値!O174&gt;高値!P174,高値!O174&gt;高値!Q174),10,""))</f>
      </c>
      <c r="AL174" s="684">
        <f>IF(終値!A174="","",IF(AND(高値!P174&gt;高値!O174,高値!P174&gt;高値!N174,高値!P174&gt;高値!Q174,高値!P174&gt;高値!R174),11,""))</f>
      </c>
      <c r="AM174" s="684">
        <f>IF(終値!A174="","",IF(AND(高値!Q174&gt;高値!P174,高値!Q174&gt;高値!O174,高値!Q174&gt;高値!R174,高値!Q174&gt;高値!S174),12,""))</f>
      </c>
      <c r="AN174" s="684">
        <f>IF(終値!A174="","",IF(AND(高値!R174&gt;高値!Q174,高値!R174&gt;高値!P174,高値!R174&gt;高値!S174,高値!R174&gt;高値!T174),13,""))</f>
      </c>
      <c r="AO174" s="684">
        <f>IF(終値!A174="","",IF(AND(高値!S174&gt;高値!R174,高値!S174&gt;高値!Q174,高値!S174&gt;高値!T174,高値!S174&gt;高値!U174),14,""))</f>
      </c>
      <c r="AP174" s="684">
        <f>IF(終値!A174="","",IF(AND(高値!T174&gt;高値!S174,高値!T174&gt;高値!R174,高値!T174&gt;高値!U174,高値!T174&gt;高値!V174),15,""))</f>
      </c>
      <c r="AQ174" s="684">
        <f>IF(終値!A174="","",IF(AND(高値!U174&gt;高値!T174,高値!U174&gt;高値!S174,高値!U174&gt;高値!V174,高値!U174&gt;高値!W174),16,""))</f>
      </c>
      <c r="AR174" s="684">
        <f>IF(終値!A174="","",IF(AND(高値!V174&gt;高値!U174,高値!V174&gt;高値!T174,高値!V174&gt;高値!W174,高値!V174&gt;高値!X174),17,""))</f>
      </c>
      <c r="AS174" s="684">
        <f>IF(終値!A174="","",IF(AND(高値!W174&gt;高値!V174,高値!W174&gt;高値!U174,高値!W174&gt;高値!X174,高値!W174&gt;高値!Y174),18,""))</f>
      </c>
      <c r="AT174" s="684">
        <f>IF(終値!A174="","",IF(AND(高値!X174&gt;高値!W174,高値!X174&gt;高値!V174,高値!X174&gt;高値!Y174,高値!X174&gt;高値!Z174),19,""))</f>
      </c>
      <c r="AU174" s="684">
        <f>IF(終値!A174="","",IF(AND(高値!Y174&gt;高値!X174,高値!Y174&gt;高値!W174,高値!Y174&gt;高値!Z174,高値!Y174&gt;高値!AA174),20,""))</f>
      </c>
      <c r="AV174" s="684">
        <f>IF(終値!A174="","",IF(AND(高値!Z174&gt;高値!Y174,高値!Z174&gt;高値!X174,高値!Z174&gt;高値!AA174,高値!Z174&gt;高値!AB174),21,""))</f>
      </c>
      <c r="AW174" s="684">
        <f>IF(終値!A174="","",IF(AND(高値!AA174&gt;高値!Z174,高値!AA174&gt;高値!Y174,高値!AA174&gt;高値!AB174,高値!AA174&gt;高値!AC174),22,""))</f>
      </c>
      <c r="AX174" s="684">
        <f>IF(終値!A174="","",IF(AND(高値!AB174&gt;高値!AA174,高値!AB174&gt;高値!Z174,高値!AB174&gt;高値!AC174,高値!AB174&gt;高値!AD174),23,""))</f>
      </c>
      <c r="AY174" s="684">
        <f>IF(終値!A174="","",IF(AND(高値!AC174&gt;高値!AB174,高値!AC174&gt;高値!AA174,高値!AC174&gt;高値!AD174,高値!AC174&gt;高値!AE174),24,""))</f>
      </c>
      <c r="AZ174" s="684">
        <f>IF(終値!A174="","",IF(AND(高値!AD174&gt;高値!AC174,高値!AD174&gt;高値!AB174,高値!AD174&gt;高値!AE174,高値!AD174&gt;高値!AF174),25,""))</f>
      </c>
      <c r="BA174" s="684">
        <f>IF(終値!A174="","",IF(AND(高値!AE174&gt;高値!AD174,高値!AE174&gt;高値!AC174,高値!AE174&gt;高値!AF174,高値!AE174&gt;高値!AG174),26,""))</f>
      </c>
      <c r="BB174" s="684">
        <f>IF(終値!A174="","",IF(AND(高値!AF174&gt;高値!AE174,高値!AF174&gt;高値!AD174,高値!AF174&gt;高値!AG174,高値!AF174&gt;高値!AH174),27,""))</f>
      </c>
      <c r="BC174" s="684">
        <f>IF(終値!A174="","",IF(AND(高値!AG174&gt;高値!AF174,高値!AG174&gt;高値!AE174,高値!AG174&gt;高値!AH174,高値!AG174&gt;高値!AI174),28,""))</f>
      </c>
      <c r="BD174" s="684">
        <f>COUNT($B174:$AB174)</f>
      </c>
      <c r="BE174" s="684">
        <f>IF($BD174&gt;=2,MIN($B174:$AB174),"")</f>
      </c>
      <c r="BF174" s="684">
        <f>IF($BD174&gt;=2,SMALL($B174:$AB174,2),"")</f>
      </c>
      <c r="BG174" s="684">
        <f>IF($BE174="","",INDEX(安値!$E174:$CZ174,1,$BE174+1))</f>
      </c>
      <c r="BH174" s="684">
        <f>IF($BF174="","",INDEX(安値!$E174:$CZ174,1,$BF174+1))</f>
      </c>
      <c r="BI174" s="684">
        <f>IF($BF174="","",MAX(INDEX(高値!$E174:$CZ174,1,$BE174+1):INDEX(高値!$E174:$CZ174,1,$BF174+1)))</f>
      </c>
      <c r="BJ174" s="684">
        <f>IF($BF174="","",AVERAGE(INDEX(終値!$E174:$CZ174,1,$BF174+1):INDEX(終値!$E174:$CZ174,1,$BF174+20))-2*STDEVP(INDEX(終値!$E174:$CZ174,1,$BF174+1):INDEX(終値!$E174:$CZ174,1,$BF174+20)))</f>
      </c>
      <c r="BK174" s="684">
        <f>IF($BE174="","",AVERAGE(INDEX(終値!$E174:$CZ174,1,$BE174+1):INDEX(終値!$E174:$CZ174,1,$BE174+20))-2*STDEVP(INDEX(終値!$E174:$CZ174,1,$BE174+1):INDEX(終値!$E174:$CZ174,1,$BE174+20)))</f>
      </c>
      <c r="BL174" s="684">
        <f>COUNT($AC174:$BC174)</f>
      </c>
      <c r="BM174" s="684">
        <f>IF($BL174&gt;=2,MIN($AC174:$BC174),"")</f>
      </c>
      <c r="BN174" s="684">
        <f>IF($BL174&gt;=2,SMALL($AC174:$BC174,2),"")</f>
      </c>
      <c r="BO174" s="684">
        <f>IF($BM174="","",INDEX(高値!$E174:$CZ174,1,$BM174+1))</f>
      </c>
      <c r="BP174" s="684">
        <f>IF($BN174="","",INDEX(高値!$E174:$CZ174,1,$BN174+1))</f>
      </c>
      <c r="BQ174" s="684">
        <f>IF($BN174="","",MIN(INDEX(安値!$E174:$CZ174,1,$BM174+1):INDEX(安値!$E174:$CZ174,1,$BN174+1)))</f>
      </c>
      <c r="BR174" s="684">
        <f>IF($BN174="","",AVERAGE(INDEX(終値!$E174:$CZ174,1,$BN174+1):INDEX(終値!$E174:$CZ174,1,$BN174+20))+2*STDEVP(INDEX(終値!$E174:$CZ174,1,$BN174+1):INDEX(終値!$E174:$CZ174,1,$BN174+20)))</f>
      </c>
      <c r="BS174" s="684">
        <f>IF($BM174="","",AVERAGE(INDEX(終値!$E174:$CZ174,1,$BM174+1):INDEX(終値!$E174:$CZ174,1,$BM174+20))+2*STDEVP(INDEX(終値!$E174:$CZ174,1,$BM174+1):INDEX(終値!$E174:$CZ174,1,$BM174+20)))</f>
      </c>
      <c r="BT174" s="681">
        <f>IFERROR(IF(AND($BD174&gt;=2,ABS($BG174-$BH174)/$BH174&lt;=BB設定!$B$12,$BI174&gt;=MAX($BH174,$BG174)*(1+BB設定!$B$13),終値!E174&gt;$BG174),IF(OR(終値!E174&gt;=$BI174,AND($BH174&lt;$BJ174,$BG174&gt;=$BK174)),"二番底W▲","二番底W形成"),IF(AND($BL174&gt;=2,ABS($BO174-$BP174)/$BP174&lt;=BB設定!$B$12,$BQ174&lt;=MIN($BP174,$BO174)*(1-BB設定!$B$13),終値!E174&lt;$BO174),IF(OR(終値!E174&lt;=$BQ174,AND($BP174&gt;$BR174,$BO174&lt;=$BS174)),"二番天井M▼","二番天井M形成"),"－")),"－")</f>
      </c>
    </row>
    <row r="175">
      <c r="B175" s="684">
        <f>IF(終値!A175="","",IF(AND(安値!G175&lt;安値!F175,安値!G175&lt;安値!E175,安値!G175&lt;安値!H175,安値!G175&lt;安値!I175),2,""))</f>
      </c>
      <c r="C175" s="684">
        <f>IF(終値!A175="","",IF(AND(安値!H175&lt;安値!G175,安値!H175&lt;安値!F175,安値!H175&lt;安値!I175,安値!H175&lt;安値!J175),3,""))</f>
      </c>
      <c r="D175" s="684">
        <f>IF(終値!A175="","",IF(AND(安値!I175&lt;安値!H175,安値!I175&lt;安値!G175,安値!I175&lt;安値!J175,安値!I175&lt;安値!K175),4,""))</f>
      </c>
      <c r="E175" s="684">
        <f>IF(終値!A175="","",IF(AND(安値!J175&lt;安値!I175,安値!J175&lt;安値!H175,安値!J175&lt;安値!K175,安値!J175&lt;安値!L175),5,""))</f>
      </c>
      <c r="F175" s="684">
        <f>IF(終値!A175="","",IF(AND(安値!K175&lt;安値!J175,安値!K175&lt;安値!I175,安値!K175&lt;安値!L175,安値!K175&lt;安値!M175),6,""))</f>
      </c>
      <c r="G175" s="684">
        <f>IF(終値!A175="","",IF(AND(安値!L175&lt;安値!K175,安値!L175&lt;安値!J175,安値!L175&lt;安値!M175,安値!L175&lt;安値!N175),7,""))</f>
      </c>
      <c r="H175" s="684">
        <f>IF(終値!A175="","",IF(AND(安値!M175&lt;安値!L175,安値!M175&lt;安値!K175,安値!M175&lt;安値!N175,安値!M175&lt;安値!O175),8,""))</f>
      </c>
      <c r="I175" s="684">
        <f>IF(終値!A175="","",IF(AND(安値!N175&lt;安値!M175,安値!N175&lt;安値!L175,安値!N175&lt;安値!O175,安値!N175&lt;安値!P175),9,""))</f>
      </c>
      <c r="J175" s="684">
        <f>IF(終値!A175="","",IF(AND(安値!O175&lt;安値!N175,安値!O175&lt;安値!M175,安値!O175&lt;安値!P175,安値!O175&lt;安値!Q175),10,""))</f>
      </c>
      <c r="K175" s="684">
        <f>IF(終値!A175="","",IF(AND(安値!P175&lt;安値!O175,安値!P175&lt;安値!N175,安値!P175&lt;安値!Q175,安値!P175&lt;安値!R175),11,""))</f>
      </c>
      <c r="L175" s="684">
        <f>IF(終値!A175="","",IF(AND(安値!Q175&lt;安値!P175,安値!Q175&lt;安値!O175,安値!Q175&lt;安値!R175,安値!Q175&lt;安値!S175),12,""))</f>
      </c>
      <c r="M175" s="684">
        <f>IF(終値!A175="","",IF(AND(安値!R175&lt;安値!Q175,安値!R175&lt;安値!P175,安値!R175&lt;安値!S175,安値!R175&lt;安値!T175),13,""))</f>
      </c>
      <c r="N175" s="684">
        <f>IF(終値!A175="","",IF(AND(安値!S175&lt;安値!R175,安値!S175&lt;安値!Q175,安値!S175&lt;安値!T175,安値!S175&lt;安値!U175),14,""))</f>
      </c>
      <c r="O175" s="684">
        <f>IF(終値!A175="","",IF(AND(安値!T175&lt;安値!S175,安値!T175&lt;安値!R175,安値!T175&lt;安値!U175,安値!T175&lt;安値!V175),15,""))</f>
      </c>
      <c r="P175" s="684">
        <f>IF(終値!A175="","",IF(AND(安値!U175&lt;安値!T175,安値!U175&lt;安値!S175,安値!U175&lt;安値!V175,安値!U175&lt;安値!W175),16,""))</f>
      </c>
      <c r="Q175" s="684">
        <f>IF(終値!A175="","",IF(AND(安値!V175&lt;安値!U175,安値!V175&lt;安値!T175,安値!V175&lt;安値!W175,安値!V175&lt;安値!X175),17,""))</f>
      </c>
      <c r="R175" s="684">
        <f>IF(終値!A175="","",IF(AND(安値!W175&lt;安値!V175,安値!W175&lt;安値!U175,安値!W175&lt;安値!X175,安値!W175&lt;安値!Y175),18,""))</f>
      </c>
      <c r="S175" s="684">
        <f>IF(終値!A175="","",IF(AND(安値!X175&lt;安値!W175,安値!X175&lt;安値!V175,安値!X175&lt;安値!Y175,安値!X175&lt;安値!Z175),19,""))</f>
      </c>
      <c r="T175" s="684">
        <f>IF(終値!A175="","",IF(AND(安値!Y175&lt;安値!X175,安値!Y175&lt;安値!W175,安値!Y175&lt;安値!Z175,安値!Y175&lt;安値!AA175),20,""))</f>
      </c>
      <c r="U175" s="684">
        <f>IF(終値!A175="","",IF(AND(安値!Z175&lt;安値!Y175,安値!Z175&lt;安値!X175,安値!Z175&lt;安値!AA175,安値!Z175&lt;安値!AB175),21,""))</f>
      </c>
      <c r="V175" s="684">
        <f>IF(終値!A175="","",IF(AND(安値!AA175&lt;安値!Z175,安値!AA175&lt;安値!Y175,安値!AA175&lt;安値!AB175,安値!AA175&lt;安値!AC175),22,""))</f>
      </c>
      <c r="W175" s="684">
        <f>IF(終値!A175="","",IF(AND(安値!AB175&lt;安値!AA175,安値!AB175&lt;安値!Z175,安値!AB175&lt;安値!AC175,安値!AB175&lt;安値!AD175),23,""))</f>
      </c>
      <c r="X175" s="684">
        <f>IF(終値!A175="","",IF(AND(安値!AC175&lt;安値!AB175,安値!AC175&lt;安値!AA175,安値!AC175&lt;安値!AD175,安値!AC175&lt;安値!AE175),24,""))</f>
      </c>
      <c r="Y175" s="684">
        <f>IF(終値!A175="","",IF(AND(安値!AD175&lt;安値!AC175,安値!AD175&lt;安値!AB175,安値!AD175&lt;安値!AE175,安値!AD175&lt;安値!AF175),25,""))</f>
      </c>
      <c r="Z175" s="684">
        <f>IF(終値!A175="","",IF(AND(安値!AE175&lt;安値!AD175,安値!AE175&lt;安値!AC175,安値!AE175&lt;安値!AF175,安値!AE175&lt;安値!AG175),26,""))</f>
      </c>
      <c r="AA175" s="684">
        <f>IF(終値!A175="","",IF(AND(安値!AF175&lt;安値!AE175,安値!AF175&lt;安値!AD175,安値!AF175&lt;安値!AG175,安値!AF175&lt;安値!AH175),27,""))</f>
      </c>
      <c r="AB175" s="684">
        <f>IF(終値!A175="","",IF(AND(安値!AG175&lt;安値!AF175,安値!AG175&lt;安値!AE175,安値!AG175&lt;安値!AH175,安値!AG175&lt;安値!AI175),28,""))</f>
      </c>
      <c r="AC175" s="684">
        <f>IF(終値!A175="","",IF(AND(高値!G175&gt;高値!F175,高値!G175&gt;高値!E175,高値!G175&gt;高値!H175,高値!G175&gt;高値!I175),2,""))</f>
      </c>
      <c r="AD175" s="684">
        <f>IF(終値!A175="","",IF(AND(高値!H175&gt;高値!G175,高値!H175&gt;高値!F175,高値!H175&gt;高値!I175,高値!H175&gt;高値!J175),3,""))</f>
      </c>
      <c r="AE175" s="684">
        <f>IF(終値!A175="","",IF(AND(高値!I175&gt;高値!H175,高値!I175&gt;高値!G175,高値!I175&gt;高値!J175,高値!I175&gt;高値!K175),4,""))</f>
      </c>
      <c r="AF175" s="684">
        <f>IF(終値!A175="","",IF(AND(高値!J175&gt;高値!I175,高値!J175&gt;高値!H175,高値!J175&gt;高値!K175,高値!J175&gt;高値!L175),5,""))</f>
      </c>
      <c r="AG175" s="684">
        <f>IF(終値!A175="","",IF(AND(高値!K175&gt;高値!J175,高値!K175&gt;高値!I175,高値!K175&gt;高値!L175,高値!K175&gt;高値!M175),6,""))</f>
      </c>
      <c r="AH175" s="684">
        <f>IF(終値!A175="","",IF(AND(高値!L175&gt;高値!K175,高値!L175&gt;高値!J175,高値!L175&gt;高値!M175,高値!L175&gt;高値!N175),7,""))</f>
      </c>
      <c r="AI175" s="684">
        <f>IF(終値!A175="","",IF(AND(高値!M175&gt;高値!L175,高値!M175&gt;高値!K175,高値!M175&gt;高値!N175,高値!M175&gt;高値!O175),8,""))</f>
      </c>
      <c r="AJ175" s="684">
        <f>IF(終値!A175="","",IF(AND(高値!N175&gt;高値!M175,高値!N175&gt;高値!L175,高値!N175&gt;高値!O175,高値!N175&gt;高値!P175),9,""))</f>
      </c>
      <c r="AK175" s="684">
        <f>IF(終値!A175="","",IF(AND(高値!O175&gt;高値!N175,高値!O175&gt;高値!M175,高値!O175&gt;高値!P175,高値!O175&gt;高値!Q175),10,""))</f>
      </c>
      <c r="AL175" s="684">
        <f>IF(終値!A175="","",IF(AND(高値!P175&gt;高値!O175,高値!P175&gt;高値!N175,高値!P175&gt;高値!Q175,高値!P175&gt;高値!R175),11,""))</f>
      </c>
      <c r="AM175" s="684">
        <f>IF(終値!A175="","",IF(AND(高値!Q175&gt;高値!P175,高値!Q175&gt;高値!O175,高値!Q175&gt;高値!R175,高値!Q175&gt;高値!S175),12,""))</f>
      </c>
      <c r="AN175" s="684">
        <f>IF(終値!A175="","",IF(AND(高値!R175&gt;高値!Q175,高値!R175&gt;高値!P175,高値!R175&gt;高値!S175,高値!R175&gt;高値!T175),13,""))</f>
      </c>
      <c r="AO175" s="684">
        <f>IF(終値!A175="","",IF(AND(高値!S175&gt;高値!R175,高値!S175&gt;高値!Q175,高値!S175&gt;高値!T175,高値!S175&gt;高値!U175),14,""))</f>
      </c>
      <c r="AP175" s="684">
        <f>IF(終値!A175="","",IF(AND(高値!T175&gt;高値!S175,高値!T175&gt;高値!R175,高値!T175&gt;高値!U175,高値!T175&gt;高値!V175),15,""))</f>
      </c>
      <c r="AQ175" s="684">
        <f>IF(終値!A175="","",IF(AND(高値!U175&gt;高値!T175,高値!U175&gt;高値!S175,高値!U175&gt;高値!V175,高値!U175&gt;高値!W175),16,""))</f>
      </c>
      <c r="AR175" s="684">
        <f>IF(終値!A175="","",IF(AND(高値!V175&gt;高値!U175,高値!V175&gt;高値!T175,高値!V175&gt;高値!W175,高値!V175&gt;高値!X175),17,""))</f>
      </c>
      <c r="AS175" s="684">
        <f>IF(終値!A175="","",IF(AND(高値!W175&gt;高値!V175,高値!W175&gt;高値!U175,高値!W175&gt;高値!X175,高値!W175&gt;高値!Y175),18,""))</f>
      </c>
      <c r="AT175" s="684">
        <f>IF(終値!A175="","",IF(AND(高値!X175&gt;高値!W175,高値!X175&gt;高値!V175,高値!X175&gt;高値!Y175,高値!X175&gt;高値!Z175),19,""))</f>
      </c>
      <c r="AU175" s="684">
        <f>IF(終値!A175="","",IF(AND(高値!Y175&gt;高値!X175,高値!Y175&gt;高値!W175,高値!Y175&gt;高値!Z175,高値!Y175&gt;高値!AA175),20,""))</f>
      </c>
      <c r="AV175" s="684">
        <f>IF(終値!A175="","",IF(AND(高値!Z175&gt;高値!Y175,高値!Z175&gt;高値!X175,高値!Z175&gt;高値!AA175,高値!Z175&gt;高値!AB175),21,""))</f>
      </c>
      <c r="AW175" s="684">
        <f>IF(終値!A175="","",IF(AND(高値!AA175&gt;高値!Z175,高値!AA175&gt;高値!Y175,高値!AA175&gt;高値!AB175,高値!AA175&gt;高値!AC175),22,""))</f>
      </c>
      <c r="AX175" s="684">
        <f>IF(終値!A175="","",IF(AND(高値!AB175&gt;高値!AA175,高値!AB175&gt;高値!Z175,高値!AB175&gt;高値!AC175,高値!AB175&gt;高値!AD175),23,""))</f>
      </c>
      <c r="AY175" s="684">
        <f>IF(終値!A175="","",IF(AND(高値!AC175&gt;高値!AB175,高値!AC175&gt;高値!AA175,高値!AC175&gt;高値!AD175,高値!AC175&gt;高値!AE175),24,""))</f>
      </c>
      <c r="AZ175" s="684">
        <f>IF(終値!A175="","",IF(AND(高値!AD175&gt;高値!AC175,高値!AD175&gt;高値!AB175,高値!AD175&gt;高値!AE175,高値!AD175&gt;高値!AF175),25,""))</f>
      </c>
      <c r="BA175" s="684">
        <f>IF(終値!A175="","",IF(AND(高値!AE175&gt;高値!AD175,高値!AE175&gt;高値!AC175,高値!AE175&gt;高値!AF175,高値!AE175&gt;高値!AG175),26,""))</f>
      </c>
      <c r="BB175" s="684">
        <f>IF(終値!A175="","",IF(AND(高値!AF175&gt;高値!AE175,高値!AF175&gt;高値!AD175,高値!AF175&gt;高値!AG175,高値!AF175&gt;高値!AH175),27,""))</f>
      </c>
      <c r="BC175" s="684">
        <f>IF(終値!A175="","",IF(AND(高値!AG175&gt;高値!AF175,高値!AG175&gt;高値!AE175,高値!AG175&gt;高値!AH175,高値!AG175&gt;高値!AI175),28,""))</f>
      </c>
      <c r="BD175" s="684">
        <f>COUNT($B175:$AB175)</f>
      </c>
      <c r="BE175" s="684">
        <f>IF($BD175&gt;=2,MIN($B175:$AB175),"")</f>
      </c>
      <c r="BF175" s="684">
        <f>IF($BD175&gt;=2,SMALL($B175:$AB175,2),"")</f>
      </c>
      <c r="BG175" s="684">
        <f>IF($BE175="","",INDEX(安値!$E175:$CZ175,1,$BE175+1))</f>
      </c>
      <c r="BH175" s="684">
        <f>IF($BF175="","",INDEX(安値!$E175:$CZ175,1,$BF175+1))</f>
      </c>
      <c r="BI175" s="684">
        <f>IF($BF175="","",MAX(INDEX(高値!$E175:$CZ175,1,$BE175+1):INDEX(高値!$E175:$CZ175,1,$BF175+1)))</f>
      </c>
      <c r="BJ175" s="684">
        <f>IF($BF175="","",AVERAGE(INDEX(終値!$E175:$CZ175,1,$BF175+1):INDEX(終値!$E175:$CZ175,1,$BF175+20))-2*STDEVP(INDEX(終値!$E175:$CZ175,1,$BF175+1):INDEX(終値!$E175:$CZ175,1,$BF175+20)))</f>
      </c>
      <c r="BK175" s="684">
        <f>IF($BE175="","",AVERAGE(INDEX(終値!$E175:$CZ175,1,$BE175+1):INDEX(終値!$E175:$CZ175,1,$BE175+20))-2*STDEVP(INDEX(終値!$E175:$CZ175,1,$BE175+1):INDEX(終値!$E175:$CZ175,1,$BE175+20)))</f>
      </c>
      <c r="BL175" s="684">
        <f>COUNT($AC175:$BC175)</f>
      </c>
      <c r="BM175" s="684">
        <f>IF($BL175&gt;=2,MIN($AC175:$BC175),"")</f>
      </c>
      <c r="BN175" s="684">
        <f>IF($BL175&gt;=2,SMALL($AC175:$BC175,2),"")</f>
      </c>
      <c r="BO175" s="684">
        <f>IF($BM175="","",INDEX(高値!$E175:$CZ175,1,$BM175+1))</f>
      </c>
      <c r="BP175" s="684">
        <f>IF($BN175="","",INDEX(高値!$E175:$CZ175,1,$BN175+1))</f>
      </c>
      <c r="BQ175" s="684">
        <f>IF($BN175="","",MIN(INDEX(安値!$E175:$CZ175,1,$BM175+1):INDEX(安値!$E175:$CZ175,1,$BN175+1)))</f>
      </c>
      <c r="BR175" s="684">
        <f>IF($BN175="","",AVERAGE(INDEX(終値!$E175:$CZ175,1,$BN175+1):INDEX(終値!$E175:$CZ175,1,$BN175+20))+2*STDEVP(INDEX(終値!$E175:$CZ175,1,$BN175+1):INDEX(終値!$E175:$CZ175,1,$BN175+20)))</f>
      </c>
      <c r="BS175" s="684">
        <f>IF($BM175="","",AVERAGE(INDEX(終値!$E175:$CZ175,1,$BM175+1):INDEX(終値!$E175:$CZ175,1,$BM175+20))+2*STDEVP(INDEX(終値!$E175:$CZ175,1,$BM175+1):INDEX(終値!$E175:$CZ175,1,$BM175+20)))</f>
      </c>
      <c r="BT175" s="681">
        <f>IFERROR(IF(AND($BD175&gt;=2,ABS($BG175-$BH175)/$BH175&lt;=BB設定!$B$12,$BI175&gt;=MAX($BH175,$BG175)*(1+BB設定!$B$13),終値!E175&gt;$BG175),IF(OR(終値!E175&gt;=$BI175,AND($BH175&lt;$BJ175,$BG175&gt;=$BK175)),"二番底W▲","二番底W形成"),IF(AND($BL175&gt;=2,ABS($BO175-$BP175)/$BP175&lt;=BB設定!$B$12,$BQ175&lt;=MIN($BP175,$BO175)*(1-BB設定!$B$13),終値!E175&lt;$BO175),IF(OR(終値!E175&lt;=$BQ175,AND($BP175&gt;$BR175,$BO175&lt;=$BS175)),"二番天井M▼","二番天井M形成"),"－")),"－")</f>
      </c>
    </row>
    <row r="176">
      <c r="B176" s="684">
        <f>IF(終値!A176="","",IF(AND(安値!G176&lt;安値!F176,安値!G176&lt;安値!E176,安値!G176&lt;安値!H176,安値!G176&lt;安値!I176),2,""))</f>
      </c>
      <c r="C176" s="684">
        <f>IF(終値!A176="","",IF(AND(安値!H176&lt;安値!G176,安値!H176&lt;安値!F176,安値!H176&lt;安値!I176,安値!H176&lt;安値!J176),3,""))</f>
      </c>
      <c r="D176" s="684">
        <f>IF(終値!A176="","",IF(AND(安値!I176&lt;安値!H176,安値!I176&lt;安値!G176,安値!I176&lt;安値!J176,安値!I176&lt;安値!K176),4,""))</f>
      </c>
      <c r="E176" s="684">
        <f>IF(終値!A176="","",IF(AND(安値!J176&lt;安値!I176,安値!J176&lt;安値!H176,安値!J176&lt;安値!K176,安値!J176&lt;安値!L176),5,""))</f>
      </c>
      <c r="F176" s="684">
        <f>IF(終値!A176="","",IF(AND(安値!K176&lt;安値!J176,安値!K176&lt;安値!I176,安値!K176&lt;安値!L176,安値!K176&lt;安値!M176),6,""))</f>
      </c>
      <c r="G176" s="684">
        <f>IF(終値!A176="","",IF(AND(安値!L176&lt;安値!K176,安値!L176&lt;安値!J176,安値!L176&lt;安値!M176,安値!L176&lt;安値!N176),7,""))</f>
      </c>
      <c r="H176" s="684">
        <f>IF(終値!A176="","",IF(AND(安値!M176&lt;安値!L176,安値!M176&lt;安値!K176,安値!M176&lt;安値!N176,安値!M176&lt;安値!O176),8,""))</f>
      </c>
      <c r="I176" s="684">
        <f>IF(終値!A176="","",IF(AND(安値!N176&lt;安値!M176,安値!N176&lt;安値!L176,安値!N176&lt;安値!O176,安値!N176&lt;安値!P176),9,""))</f>
      </c>
      <c r="J176" s="684">
        <f>IF(終値!A176="","",IF(AND(安値!O176&lt;安値!N176,安値!O176&lt;安値!M176,安値!O176&lt;安値!P176,安値!O176&lt;安値!Q176),10,""))</f>
      </c>
      <c r="K176" s="684">
        <f>IF(終値!A176="","",IF(AND(安値!P176&lt;安値!O176,安値!P176&lt;安値!N176,安値!P176&lt;安値!Q176,安値!P176&lt;安値!R176),11,""))</f>
      </c>
      <c r="L176" s="684">
        <f>IF(終値!A176="","",IF(AND(安値!Q176&lt;安値!P176,安値!Q176&lt;安値!O176,安値!Q176&lt;安値!R176,安値!Q176&lt;安値!S176),12,""))</f>
      </c>
      <c r="M176" s="684">
        <f>IF(終値!A176="","",IF(AND(安値!R176&lt;安値!Q176,安値!R176&lt;安値!P176,安値!R176&lt;安値!S176,安値!R176&lt;安値!T176),13,""))</f>
      </c>
      <c r="N176" s="684">
        <f>IF(終値!A176="","",IF(AND(安値!S176&lt;安値!R176,安値!S176&lt;安値!Q176,安値!S176&lt;安値!T176,安値!S176&lt;安値!U176),14,""))</f>
      </c>
      <c r="O176" s="684">
        <f>IF(終値!A176="","",IF(AND(安値!T176&lt;安値!S176,安値!T176&lt;安値!R176,安値!T176&lt;安値!U176,安値!T176&lt;安値!V176),15,""))</f>
      </c>
      <c r="P176" s="684">
        <f>IF(終値!A176="","",IF(AND(安値!U176&lt;安値!T176,安値!U176&lt;安値!S176,安値!U176&lt;安値!V176,安値!U176&lt;安値!W176),16,""))</f>
      </c>
      <c r="Q176" s="684">
        <f>IF(終値!A176="","",IF(AND(安値!V176&lt;安値!U176,安値!V176&lt;安値!T176,安値!V176&lt;安値!W176,安値!V176&lt;安値!X176),17,""))</f>
      </c>
      <c r="R176" s="684">
        <f>IF(終値!A176="","",IF(AND(安値!W176&lt;安値!V176,安値!W176&lt;安値!U176,安値!W176&lt;安値!X176,安値!W176&lt;安値!Y176),18,""))</f>
      </c>
      <c r="S176" s="684">
        <f>IF(終値!A176="","",IF(AND(安値!X176&lt;安値!W176,安値!X176&lt;安値!V176,安値!X176&lt;安値!Y176,安値!X176&lt;安値!Z176),19,""))</f>
      </c>
      <c r="T176" s="684">
        <f>IF(終値!A176="","",IF(AND(安値!Y176&lt;安値!X176,安値!Y176&lt;安値!W176,安値!Y176&lt;安値!Z176,安値!Y176&lt;安値!AA176),20,""))</f>
      </c>
      <c r="U176" s="684">
        <f>IF(終値!A176="","",IF(AND(安値!Z176&lt;安値!Y176,安値!Z176&lt;安値!X176,安値!Z176&lt;安値!AA176,安値!Z176&lt;安値!AB176),21,""))</f>
      </c>
      <c r="V176" s="684">
        <f>IF(終値!A176="","",IF(AND(安値!AA176&lt;安値!Z176,安値!AA176&lt;安値!Y176,安値!AA176&lt;安値!AB176,安値!AA176&lt;安値!AC176),22,""))</f>
      </c>
      <c r="W176" s="684">
        <f>IF(終値!A176="","",IF(AND(安値!AB176&lt;安値!AA176,安値!AB176&lt;安値!Z176,安値!AB176&lt;安値!AC176,安値!AB176&lt;安値!AD176),23,""))</f>
      </c>
      <c r="X176" s="684">
        <f>IF(終値!A176="","",IF(AND(安値!AC176&lt;安値!AB176,安値!AC176&lt;安値!AA176,安値!AC176&lt;安値!AD176,安値!AC176&lt;安値!AE176),24,""))</f>
      </c>
      <c r="Y176" s="684">
        <f>IF(終値!A176="","",IF(AND(安値!AD176&lt;安値!AC176,安値!AD176&lt;安値!AB176,安値!AD176&lt;安値!AE176,安値!AD176&lt;安値!AF176),25,""))</f>
      </c>
      <c r="Z176" s="684">
        <f>IF(終値!A176="","",IF(AND(安値!AE176&lt;安値!AD176,安値!AE176&lt;安値!AC176,安値!AE176&lt;安値!AF176,安値!AE176&lt;安値!AG176),26,""))</f>
      </c>
      <c r="AA176" s="684">
        <f>IF(終値!A176="","",IF(AND(安値!AF176&lt;安値!AE176,安値!AF176&lt;安値!AD176,安値!AF176&lt;安値!AG176,安値!AF176&lt;安値!AH176),27,""))</f>
      </c>
      <c r="AB176" s="684">
        <f>IF(終値!A176="","",IF(AND(安値!AG176&lt;安値!AF176,安値!AG176&lt;安値!AE176,安値!AG176&lt;安値!AH176,安値!AG176&lt;安値!AI176),28,""))</f>
      </c>
      <c r="AC176" s="684">
        <f>IF(終値!A176="","",IF(AND(高値!G176&gt;高値!F176,高値!G176&gt;高値!E176,高値!G176&gt;高値!H176,高値!G176&gt;高値!I176),2,""))</f>
      </c>
      <c r="AD176" s="684">
        <f>IF(終値!A176="","",IF(AND(高値!H176&gt;高値!G176,高値!H176&gt;高値!F176,高値!H176&gt;高値!I176,高値!H176&gt;高値!J176),3,""))</f>
      </c>
      <c r="AE176" s="684">
        <f>IF(終値!A176="","",IF(AND(高値!I176&gt;高値!H176,高値!I176&gt;高値!G176,高値!I176&gt;高値!J176,高値!I176&gt;高値!K176),4,""))</f>
      </c>
      <c r="AF176" s="684">
        <f>IF(終値!A176="","",IF(AND(高値!J176&gt;高値!I176,高値!J176&gt;高値!H176,高値!J176&gt;高値!K176,高値!J176&gt;高値!L176),5,""))</f>
      </c>
      <c r="AG176" s="684">
        <f>IF(終値!A176="","",IF(AND(高値!K176&gt;高値!J176,高値!K176&gt;高値!I176,高値!K176&gt;高値!L176,高値!K176&gt;高値!M176),6,""))</f>
      </c>
      <c r="AH176" s="684">
        <f>IF(終値!A176="","",IF(AND(高値!L176&gt;高値!K176,高値!L176&gt;高値!J176,高値!L176&gt;高値!M176,高値!L176&gt;高値!N176),7,""))</f>
      </c>
      <c r="AI176" s="684">
        <f>IF(終値!A176="","",IF(AND(高値!M176&gt;高値!L176,高値!M176&gt;高値!K176,高値!M176&gt;高値!N176,高値!M176&gt;高値!O176),8,""))</f>
      </c>
      <c r="AJ176" s="684">
        <f>IF(終値!A176="","",IF(AND(高値!N176&gt;高値!M176,高値!N176&gt;高値!L176,高値!N176&gt;高値!O176,高値!N176&gt;高値!P176),9,""))</f>
      </c>
      <c r="AK176" s="684">
        <f>IF(終値!A176="","",IF(AND(高値!O176&gt;高値!N176,高値!O176&gt;高値!M176,高値!O176&gt;高値!P176,高値!O176&gt;高値!Q176),10,""))</f>
      </c>
      <c r="AL176" s="684">
        <f>IF(終値!A176="","",IF(AND(高値!P176&gt;高値!O176,高値!P176&gt;高値!N176,高値!P176&gt;高値!Q176,高値!P176&gt;高値!R176),11,""))</f>
      </c>
      <c r="AM176" s="684">
        <f>IF(終値!A176="","",IF(AND(高値!Q176&gt;高値!P176,高値!Q176&gt;高値!O176,高値!Q176&gt;高値!R176,高値!Q176&gt;高値!S176),12,""))</f>
      </c>
      <c r="AN176" s="684">
        <f>IF(終値!A176="","",IF(AND(高値!R176&gt;高値!Q176,高値!R176&gt;高値!P176,高値!R176&gt;高値!S176,高値!R176&gt;高値!T176),13,""))</f>
      </c>
      <c r="AO176" s="684">
        <f>IF(終値!A176="","",IF(AND(高値!S176&gt;高値!R176,高値!S176&gt;高値!Q176,高値!S176&gt;高値!T176,高値!S176&gt;高値!U176),14,""))</f>
      </c>
      <c r="AP176" s="684">
        <f>IF(終値!A176="","",IF(AND(高値!T176&gt;高値!S176,高値!T176&gt;高値!R176,高値!T176&gt;高値!U176,高値!T176&gt;高値!V176),15,""))</f>
      </c>
      <c r="AQ176" s="684">
        <f>IF(終値!A176="","",IF(AND(高値!U176&gt;高値!T176,高値!U176&gt;高値!S176,高値!U176&gt;高値!V176,高値!U176&gt;高値!W176),16,""))</f>
      </c>
      <c r="AR176" s="684">
        <f>IF(終値!A176="","",IF(AND(高値!V176&gt;高値!U176,高値!V176&gt;高値!T176,高値!V176&gt;高値!W176,高値!V176&gt;高値!X176),17,""))</f>
      </c>
      <c r="AS176" s="684">
        <f>IF(終値!A176="","",IF(AND(高値!W176&gt;高値!V176,高値!W176&gt;高値!U176,高値!W176&gt;高値!X176,高値!W176&gt;高値!Y176),18,""))</f>
      </c>
      <c r="AT176" s="684">
        <f>IF(終値!A176="","",IF(AND(高値!X176&gt;高値!W176,高値!X176&gt;高値!V176,高値!X176&gt;高値!Y176,高値!X176&gt;高値!Z176),19,""))</f>
      </c>
      <c r="AU176" s="684">
        <f>IF(終値!A176="","",IF(AND(高値!Y176&gt;高値!X176,高値!Y176&gt;高値!W176,高値!Y176&gt;高値!Z176,高値!Y176&gt;高値!AA176),20,""))</f>
      </c>
      <c r="AV176" s="684">
        <f>IF(終値!A176="","",IF(AND(高値!Z176&gt;高値!Y176,高値!Z176&gt;高値!X176,高値!Z176&gt;高値!AA176,高値!Z176&gt;高値!AB176),21,""))</f>
      </c>
      <c r="AW176" s="684">
        <f>IF(終値!A176="","",IF(AND(高値!AA176&gt;高値!Z176,高値!AA176&gt;高値!Y176,高値!AA176&gt;高値!AB176,高値!AA176&gt;高値!AC176),22,""))</f>
      </c>
      <c r="AX176" s="684">
        <f>IF(終値!A176="","",IF(AND(高値!AB176&gt;高値!AA176,高値!AB176&gt;高値!Z176,高値!AB176&gt;高値!AC176,高値!AB176&gt;高値!AD176),23,""))</f>
      </c>
      <c r="AY176" s="684">
        <f>IF(終値!A176="","",IF(AND(高値!AC176&gt;高値!AB176,高値!AC176&gt;高値!AA176,高値!AC176&gt;高値!AD176,高値!AC176&gt;高値!AE176),24,""))</f>
      </c>
      <c r="AZ176" s="684">
        <f>IF(終値!A176="","",IF(AND(高値!AD176&gt;高値!AC176,高値!AD176&gt;高値!AB176,高値!AD176&gt;高値!AE176,高値!AD176&gt;高値!AF176),25,""))</f>
      </c>
      <c r="BA176" s="684">
        <f>IF(終値!A176="","",IF(AND(高値!AE176&gt;高値!AD176,高値!AE176&gt;高値!AC176,高値!AE176&gt;高値!AF176,高値!AE176&gt;高値!AG176),26,""))</f>
      </c>
      <c r="BB176" s="684">
        <f>IF(終値!A176="","",IF(AND(高値!AF176&gt;高値!AE176,高値!AF176&gt;高値!AD176,高値!AF176&gt;高値!AG176,高値!AF176&gt;高値!AH176),27,""))</f>
      </c>
      <c r="BC176" s="684">
        <f>IF(終値!A176="","",IF(AND(高値!AG176&gt;高値!AF176,高値!AG176&gt;高値!AE176,高値!AG176&gt;高値!AH176,高値!AG176&gt;高値!AI176),28,""))</f>
      </c>
      <c r="BD176" s="684">
        <f>COUNT($B176:$AB176)</f>
      </c>
      <c r="BE176" s="684">
        <f>IF($BD176&gt;=2,MIN($B176:$AB176),"")</f>
      </c>
      <c r="BF176" s="684">
        <f>IF($BD176&gt;=2,SMALL($B176:$AB176,2),"")</f>
      </c>
      <c r="BG176" s="684">
        <f>IF($BE176="","",INDEX(安値!$E176:$CZ176,1,$BE176+1))</f>
      </c>
      <c r="BH176" s="684">
        <f>IF($BF176="","",INDEX(安値!$E176:$CZ176,1,$BF176+1))</f>
      </c>
      <c r="BI176" s="684">
        <f>IF($BF176="","",MAX(INDEX(高値!$E176:$CZ176,1,$BE176+1):INDEX(高値!$E176:$CZ176,1,$BF176+1)))</f>
      </c>
      <c r="BJ176" s="684">
        <f>IF($BF176="","",AVERAGE(INDEX(終値!$E176:$CZ176,1,$BF176+1):INDEX(終値!$E176:$CZ176,1,$BF176+20))-2*STDEVP(INDEX(終値!$E176:$CZ176,1,$BF176+1):INDEX(終値!$E176:$CZ176,1,$BF176+20)))</f>
      </c>
      <c r="BK176" s="684">
        <f>IF($BE176="","",AVERAGE(INDEX(終値!$E176:$CZ176,1,$BE176+1):INDEX(終値!$E176:$CZ176,1,$BE176+20))-2*STDEVP(INDEX(終値!$E176:$CZ176,1,$BE176+1):INDEX(終値!$E176:$CZ176,1,$BE176+20)))</f>
      </c>
      <c r="BL176" s="684">
        <f>COUNT($AC176:$BC176)</f>
      </c>
      <c r="BM176" s="684">
        <f>IF($BL176&gt;=2,MIN($AC176:$BC176),"")</f>
      </c>
      <c r="BN176" s="684">
        <f>IF($BL176&gt;=2,SMALL($AC176:$BC176,2),"")</f>
      </c>
      <c r="BO176" s="684">
        <f>IF($BM176="","",INDEX(高値!$E176:$CZ176,1,$BM176+1))</f>
      </c>
      <c r="BP176" s="684">
        <f>IF($BN176="","",INDEX(高値!$E176:$CZ176,1,$BN176+1))</f>
      </c>
      <c r="BQ176" s="684">
        <f>IF($BN176="","",MIN(INDEX(安値!$E176:$CZ176,1,$BM176+1):INDEX(安値!$E176:$CZ176,1,$BN176+1)))</f>
      </c>
      <c r="BR176" s="684">
        <f>IF($BN176="","",AVERAGE(INDEX(終値!$E176:$CZ176,1,$BN176+1):INDEX(終値!$E176:$CZ176,1,$BN176+20))+2*STDEVP(INDEX(終値!$E176:$CZ176,1,$BN176+1):INDEX(終値!$E176:$CZ176,1,$BN176+20)))</f>
      </c>
      <c r="BS176" s="684">
        <f>IF($BM176="","",AVERAGE(INDEX(終値!$E176:$CZ176,1,$BM176+1):INDEX(終値!$E176:$CZ176,1,$BM176+20))+2*STDEVP(INDEX(終値!$E176:$CZ176,1,$BM176+1):INDEX(終値!$E176:$CZ176,1,$BM176+20)))</f>
      </c>
      <c r="BT176" s="681">
        <f>IFERROR(IF(AND($BD176&gt;=2,ABS($BG176-$BH176)/$BH176&lt;=BB設定!$B$12,$BI176&gt;=MAX($BH176,$BG176)*(1+BB設定!$B$13),終値!E176&gt;$BG176),IF(OR(終値!E176&gt;=$BI176,AND($BH176&lt;$BJ176,$BG176&gt;=$BK176)),"二番底W▲","二番底W形成"),IF(AND($BL176&gt;=2,ABS($BO176-$BP176)/$BP176&lt;=BB設定!$B$12,$BQ176&lt;=MIN($BP176,$BO176)*(1-BB設定!$B$13),終値!E176&lt;$BO176),IF(OR(終値!E176&lt;=$BQ176,AND($BP176&gt;$BR176,$BO176&lt;=$BS176)),"二番天井M▼","二番天井M形成"),"－")),"－")</f>
      </c>
    </row>
    <row r="177">
      <c r="B177" s="684">
        <f>IF(終値!A177="","",IF(AND(安値!G177&lt;安値!F177,安値!G177&lt;安値!E177,安値!G177&lt;安値!H177,安値!G177&lt;安値!I177),2,""))</f>
      </c>
      <c r="C177" s="684">
        <f>IF(終値!A177="","",IF(AND(安値!H177&lt;安値!G177,安値!H177&lt;安値!F177,安値!H177&lt;安値!I177,安値!H177&lt;安値!J177),3,""))</f>
      </c>
      <c r="D177" s="684">
        <f>IF(終値!A177="","",IF(AND(安値!I177&lt;安値!H177,安値!I177&lt;安値!G177,安値!I177&lt;安値!J177,安値!I177&lt;安値!K177),4,""))</f>
      </c>
      <c r="E177" s="684">
        <f>IF(終値!A177="","",IF(AND(安値!J177&lt;安値!I177,安値!J177&lt;安値!H177,安値!J177&lt;安値!K177,安値!J177&lt;安値!L177),5,""))</f>
      </c>
      <c r="F177" s="684">
        <f>IF(終値!A177="","",IF(AND(安値!K177&lt;安値!J177,安値!K177&lt;安値!I177,安値!K177&lt;安値!L177,安値!K177&lt;安値!M177),6,""))</f>
      </c>
      <c r="G177" s="684">
        <f>IF(終値!A177="","",IF(AND(安値!L177&lt;安値!K177,安値!L177&lt;安値!J177,安値!L177&lt;安値!M177,安値!L177&lt;安値!N177),7,""))</f>
      </c>
      <c r="H177" s="684">
        <f>IF(終値!A177="","",IF(AND(安値!M177&lt;安値!L177,安値!M177&lt;安値!K177,安値!M177&lt;安値!N177,安値!M177&lt;安値!O177),8,""))</f>
      </c>
      <c r="I177" s="684">
        <f>IF(終値!A177="","",IF(AND(安値!N177&lt;安値!M177,安値!N177&lt;安値!L177,安値!N177&lt;安値!O177,安値!N177&lt;安値!P177),9,""))</f>
      </c>
      <c r="J177" s="684">
        <f>IF(終値!A177="","",IF(AND(安値!O177&lt;安値!N177,安値!O177&lt;安値!M177,安値!O177&lt;安値!P177,安値!O177&lt;安値!Q177),10,""))</f>
      </c>
      <c r="K177" s="684">
        <f>IF(終値!A177="","",IF(AND(安値!P177&lt;安値!O177,安値!P177&lt;安値!N177,安値!P177&lt;安値!Q177,安値!P177&lt;安値!R177),11,""))</f>
      </c>
      <c r="L177" s="684">
        <f>IF(終値!A177="","",IF(AND(安値!Q177&lt;安値!P177,安値!Q177&lt;安値!O177,安値!Q177&lt;安値!R177,安値!Q177&lt;安値!S177),12,""))</f>
      </c>
      <c r="M177" s="684">
        <f>IF(終値!A177="","",IF(AND(安値!R177&lt;安値!Q177,安値!R177&lt;安値!P177,安値!R177&lt;安値!S177,安値!R177&lt;安値!T177),13,""))</f>
      </c>
      <c r="N177" s="684">
        <f>IF(終値!A177="","",IF(AND(安値!S177&lt;安値!R177,安値!S177&lt;安値!Q177,安値!S177&lt;安値!T177,安値!S177&lt;安値!U177),14,""))</f>
      </c>
      <c r="O177" s="684">
        <f>IF(終値!A177="","",IF(AND(安値!T177&lt;安値!S177,安値!T177&lt;安値!R177,安値!T177&lt;安値!U177,安値!T177&lt;安値!V177),15,""))</f>
      </c>
      <c r="P177" s="684">
        <f>IF(終値!A177="","",IF(AND(安値!U177&lt;安値!T177,安値!U177&lt;安値!S177,安値!U177&lt;安値!V177,安値!U177&lt;安値!W177),16,""))</f>
      </c>
      <c r="Q177" s="684">
        <f>IF(終値!A177="","",IF(AND(安値!V177&lt;安値!U177,安値!V177&lt;安値!T177,安値!V177&lt;安値!W177,安値!V177&lt;安値!X177),17,""))</f>
      </c>
      <c r="R177" s="684">
        <f>IF(終値!A177="","",IF(AND(安値!W177&lt;安値!V177,安値!W177&lt;安値!U177,安値!W177&lt;安値!X177,安値!W177&lt;安値!Y177),18,""))</f>
      </c>
      <c r="S177" s="684">
        <f>IF(終値!A177="","",IF(AND(安値!X177&lt;安値!W177,安値!X177&lt;安値!V177,安値!X177&lt;安値!Y177,安値!X177&lt;安値!Z177),19,""))</f>
      </c>
      <c r="T177" s="684">
        <f>IF(終値!A177="","",IF(AND(安値!Y177&lt;安値!X177,安値!Y177&lt;安値!W177,安値!Y177&lt;安値!Z177,安値!Y177&lt;安値!AA177),20,""))</f>
      </c>
      <c r="U177" s="684">
        <f>IF(終値!A177="","",IF(AND(安値!Z177&lt;安値!Y177,安値!Z177&lt;安値!X177,安値!Z177&lt;安値!AA177,安値!Z177&lt;安値!AB177),21,""))</f>
      </c>
      <c r="V177" s="684">
        <f>IF(終値!A177="","",IF(AND(安値!AA177&lt;安値!Z177,安値!AA177&lt;安値!Y177,安値!AA177&lt;安値!AB177,安値!AA177&lt;安値!AC177),22,""))</f>
      </c>
      <c r="W177" s="684">
        <f>IF(終値!A177="","",IF(AND(安値!AB177&lt;安値!AA177,安値!AB177&lt;安値!Z177,安値!AB177&lt;安値!AC177,安値!AB177&lt;安値!AD177),23,""))</f>
      </c>
      <c r="X177" s="684">
        <f>IF(終値!A177="","",IF(AND(安値!AC177&lt;安値!AB177,安値!AC177&lt;安値!AA177,安値!AC177&lt;安値!AD177,安値!AC177&lt;安値!AE177),24,""))</f>
      </c>
      <c r="Y177" s="684">
        <f>IF(終値!A177="","",IF(AND(安値!AD177&lt;安値!AC177,安値!AD177&lt;安値!AB177,安値!AD177&lt;安値!AE177,安値!AD177&lt;安値!AF177),25,""))</f>
      </c>
      <c r="Z177" s="684">
        <f>IF(終値!A177="","",IF(AND(安値!AE177&lt;安値!AD177,安値!AE177&lt;安値!AC177,安値!AE177&lt;安値!AF177,安値!AE177&lt;安値!AG177),26,""))</f>
      </c>
      <c r="AA177" s="684">
        <f>IF(終値!A177="","",IF(AND(安値!AF177&lt;安値!AE177,安値!AF177&lt;安値!AD177,安値!AF177&lt;安値!AG177,安値!AF177&lt;安値!AH177),27,""))</f>
      </c>
      <c r="AB177" s="684">
        <f>IF(終値!A177="","",IF(AND(安値!AG177&lt;安値!AF177,安値!AG177&lt;安値!AE177,安値!AG177&lt;安値!AH177,安値!AG177&lt;安値!AI177),28,""))</f>
      </c>
      <c r="AC177" s="684">
        <f>IF(終値!A177="","",IF(AND(高値!G177&gt;高値!F177,高値!G177&gt;高値!E177,高値!G177&gt;高値!H177,高値!G177&gt;高値!I177),2,""))</f>
      </c>
      <c r="AD177" s="684">
        <f>IF(終値!A177="","",IF(AND(高値!H177&gt;高値!G177,高値!H177&gt;高値!F177,高値!H177&gt;高値!I177,高値!H177&gt;高値!J177),3,""))</f>
      </c>
      <c r="AE177" s="684">
        <f>IF(終値!A177="","",IF(AND(高値!I177&gt;高値!H177,高値!I177&gt;高値!G177,高値!I177&gt;高値!J177,高値!I177&gt;高値!K177),4,""))</f>
      </c>
      <c r="AF177" s="684">
        <f>IF(終値!A177="","",IF(AND(高値!J177&gt;高値!I177,高値!J177&gt;高値!H177,高値!J177&gt;高値!K177,高値!J177&gt;高値!L177),5,""))</f>
      </c>
      <c r="AG177" s="684">
        <f>IF(終値!A177="","",IF(AND(高値!K177&gt;高値!J177,高値!K177&gt;高値!I177,高値!K177&gt;高値!L177,高値!K177&gt;高値!M177),6,""))</f>
      </c>
      <c r="AH177" s="684">
        <f>IF(終値!A177="","",IF(AND(高値!L177&gt;高値!K177,高値!L177&gt;高値!J177,高値!L177&gt;高値!M177,高値!L177&gt;高値!N177),7,""))</f>
      </c>
      <c r="AI177" s="684">
        <f>IF(終値!A177="","",IF(AND(高値!M177&gt;高値!L177,高値!M177&gt;高値!K177,高値!M177&gt;高値!N177,高値!M177&gt;高値!O177),8,""))</f>
      </c>
      <c r="AJ177" s="684">
        <f>IF(終値!A177="","",IF(AND(高値!N177&gt;高値!M177,高値!N177&gt;高値!L177,高値!N177&gt;高値!O177,高値!N177&gt;高値!P177),9,""))</f>
      </c>
      <c r="AK177" s="684">
        <f>IF(終値!A177="","",IF(AND(高値!O177&gt;高値!N177,高値!O177&gt;高値!M177,高値!O177&gt;高値!P177,高値!O177&gt;高値!Q177),10,""))</f>
      </c>
      <c r="AL177" s="684">
        <f>IF(終値!A177="","",IF(AND(高値!P177&gt;高値!O177,高値!P177&gt;高値!N177,高値!P177&gt;高値!Q177,高値!P177&gt;高値!R177),11,""))</f>
      </c>
      <c r="AM177" s="684">
        <f>IF(終値!A177="","",IF(AND(高値!Q177&gt;高値!P177,高値!Q177&gt;高値!O177,高値!Q177&gt;高値!R177,高値!Q177&gt;高値!S177),12,""))</f>
      </c>
      <c r="AN177" s="684">
        <f>IF(終値!A177="","",IF(AND(高値!R177&gt;高値!Q177,高値!R177&gt;高値!P177,高値!R177&gt;高値!S177,高値!R177&gt;高値!T177),13,""))</f>
      </c>
      <c r="AO177" s="684">
        <f>IF(終値!A177="","",IF(AND(高値!S177&gt;高値!R177,高値!S177&gt;高値!Q177,高値!S177&gt;高値!T177,高値!S177&gt;高値!U177),14,""))</f>
      </c>
      <c r="AP177" s="684">
        <f>IF(終値!A177="","",IF(AND(高値!T177&gt;高値!S177,高値!T177&gt;高値!R177,高値!T177&gt;高値!U177,高値!T177&gt;高値!V177),15,""))</f>
      </c>
      <c r="AQ177" s="684">
        <f>IF(終値!A177="","",IF(AND(高値!U177&gt;高値!T177,高値!U177&gt;高値!S177,高値!U177&gt;高値!V177,高値!U177&gt;高値!W177),16,""))</f>
      </c>
      <c r="AR177" s="684">
        <f>IF(終値!A177="","",IF(AND(高値!V177&gt;高値!U177,高値!V177&gt;高値!T177,高値!V177&gt;高値!W177,高値!V177&gt;高値!X177),17,""))</f>
      </c>
      <c r="AS177" s="684">
        <f>IF(終値!A177="","",IF(AND(高値!W177&gt;高値!V177,高値!W177&gt;高値!U177,高値!W177&gt;高値!X177,高値!W177&gt;高値!Y177),18,""))</f>
      </c>
      <c r="AT177" s="684">
        <f>IF(終値!A177="","",IF(AND(高値!X177&gt;高値!W177,高値!X177&gt;高値!V177,高値!X177&gt;高値!Y177,高値!X177&gt;高値!Z177),19,""))</f>
      </c>
      <c r="AU177" s="684">
        <f>IF(終値!A177="","",IF(AND(高値!Y177&gt;高値!X177,高値!Y177&gt;高値!W177,高値!Y177&gt;高値!Z177,高値!Y177&gt;高値!AA177),20,""))</f>
      </c>
      <c r="AV177" s="684">
        <f>IF(終値!A177="","",IF(AND(高値!Z177&gt;高値!Y177,高値!Z177&gt;高値!X177,高値!Z177&gt;高値!AA177,高値!Z177&gt;高値!AB177),21,""))</f>
      </c>
      <c r="AW177" s="684">
        <f>IF(終値!A177="","",IF(AND(高値!AA177&gt;高値!Z177,高値!AA177&gt;高値!Y177,高値!AA177&gt;高値!AB177,高値!AA177&gt;高値!AC177),22,""))</f>
      </c>
      <c r="AX177" s="684">
        <f>IF(終値!A177="","",IF(AND(高値!AB177&gt;高値!AA177,高値!AB177&gt;高値!Z177,高値!AB177&gt;高値!AC177,高値!AB177&gt;高値!AD177),23,""))</f>
      </c>
      <c r="AY177" s="684">
        <f>IF(終値!A177="","",IF(AND(高値!AC177&gt;高値!AB177,高値!AC177&gt;高値!AA177,高値!AC177&gt;高値!AD177,高値!AC177&gt;高値!AE177),24,""))</f>
      </c>
      <c r="AZ177" s="684">
        <f>IF(終値!A177="","",IF(AND(高値!AD177&gt;高値!AC177,高値!AD177&gt;高値!AB177,高値!AD177&gt;高値!AE177,高値!AD177&gt;高値!AF177),25,""))</f>
      </c>
      <c r="BA177" s="684">
        <f>IF(終値!A177="","",IF(AND(高値!AE177&gt;高値!AD177,高値!AE177&gt;高値!AC177,高値!AE177&gt;高値!AF177,高値!AE177&gt;高値!AG177),26,""))</f>
      </c>
      <c r="BB177" s="684">
        <f>IF(終値!A177="","",IF(AND(高値!AF177&gt;高値!AE177,高値!AF177&gt;高値!AD177,高値!AF177&gt;高値!AG177,高値!AF177&gt;高値!AH177),27,""))</f>
      </c>
      <c r="BC177" s="684">
        <f>IF(終値!A177="","",IF(AND(高値!AG177&gt;高値!AF177,高値!AG177&gt;高値!AE177,高値!AG177&gt;高値!AH177,高値!AG177&gt;高値!AI177),28,""))</f>
      </c>
      <c r="BD177" s="684">
        <f>COUNT($B177:$AB177)</f>
      </c>
      <c r="BE177" s="684">
        <f>IF($BD177&gt;=2,MIN($B177:$AB177),"")</f>
      </c>
      <c r="BF177" s="684">
        <f>IF($BD177&gt;=2,SMALL($B177:$AB177,2),"")</f>
      </c>
      <c r="BG177" s="684">
        <f>IF($BE177="","",INDEX(安値!$E177:$CZ177,1,$BE177+1))</f>
      </c>
      <c r="BH177" s="684">
        <f>IF($BF177="","",INDEX(安値!$E177:$CZ177,1,$BF177+1))</f>
      </c>
      <c r="BI177" s="684">
        <f>IF($BF177="","",MAX(INDEX(高値!$E177:$CZ177,1,$BE177+1):INDEX(高値!$E177:$CZ177,1,$BF177+1)))</f>
      </c>
      <c r="BJ177" s="684">
        <f>IF($BF177="","",AVERAGE(INDEX(終値!$E177:$CZ177,1,$BF177+1):INDEX(終値!$E177:$CZ177,1,$BF177+20))-2*STDEVP(INDEX(終値!$E177:$CZ177,1,$BF177+1):INDEX(終値!$E177:$CZ177,1,$BF177+20)))</f>
      </c>
      <c r="BK177" s="684">
        <f>IF($BE177="","",AVERAGE(INDEX(終値!$E177:$CZ177,1,$BE177+1):INDEX(終値!$E177:$CZ177,1,$BE177+20))-2*STDEVP(INDEX(終値!$E177:$CZ177,1,$BE177+1):INDEX(終値!$E177:$CZ177,1,$BE177+20)))</f>
      </c>
      <c r="BL177" s="684">
        <f>COUNT($AC177:$BC177)</f>
      </c>
      <c r="BM177" s="684">
        <f>IF($BL177&gt;=2,MIN($AC177:$BC177),"")</f>
      </c>
      <c r="BN177" s="684">
        <f>IF($BL177&gt;=2,SMALL($AC177:$BC177,2),"")</f>
      </c>
      <c r="BO177" s="684">
        <f>IF($BM177="","",INDEX(高値!$E177:$CZ177,1,$BM177+1))</f>
      </c>
      <c r="BP177" s="684">
        <f>IF($BN177="","",INDEX(高値!$E177:$CZ177,1,$BN177+1))</f>
      </c>
      <c r="BQ177" s="684">
        <f>IF($BN177="","",MIN(INDEX(安値!$E177:$CZ177,1,$BM177+1):INDEX(安値!$E177:$CZ177,1,$BN177+1)))</f>
      </c>
      <c r="BR177" s="684">
        <f>IF($BN177="","",AVERAGE(INDEX(終値!$E177:$CZ177,1,$BN177+1):INDEX(終値!$E177:$CZ177,1,$BN177+20))+2*STDEVP(INDEX(終値!$E177:$CZ177,1,$BN177+1):INDEX(終値!$E177:$CZ177,1,$BN177+20)))</f>
      </c>
      <c r="BS177" s="684">
        <f>IF($BM177="","",AVERAGE(INDEX(終値!$E177:$CZ177,1,$BM177+1):INDEX(終値!$E177:$CZ177,1,$BM177+20))+2*STDEVP(INDEX(終値!$E177:$CZ177,1,$BM177+1):INDEX(終値!$E177:$CZ177,1,$BM177+20)))</f>
      </c>
      <c r="BT177" s="681">
        <f>IFERROR(IF(AND($BD177&gt;=2,ABS($BG177-$BH177)/$BH177&lt;=BB設定!$B$12,$BI177&gt;=MAX($BH177,$BG177)*(1+BB設定!$B$13),終値!E177&gt;$BG177),IF(OR(終値!E177&gt;=$BI177,AND($BH177&lt;$BJ177,$BG177&gt;=$BK177)),"二番底W▲","二番底W形成"),IF(AND($BL177&gt;=2,ABS($BO177-$BP177)/$BP177&lt;=BB設定!$B$12,$BQ177&lt;=MIN($BP177,$BO177)*(1-BB設定!$B$13),終値!E177&lt;$BO177),IF(OR(終値!E177&lt;=$BQ177,AND($BP177&gt;$BR177,$BO177&lt;=$BS177)),"二番天井M▼","二番天井M形成"),"－")),"－")</f>
      </c>
    </row>
    <row r="178">
      <c r="B178" s="684">
        <f>IF(終値!A178="","",IF(AND(安値!G178&lt;安値!F178,安値!G178&lt;安値!E178,安値!G178&lt;安値!H178,安値!G178&lt;安値!I178),2,""))</f>
      </c>
      <c r="C178" s="684">
        <f>IF(終値!A178="","",IF(AND(安値!H178&lt;安値!G178,安値!H178&lt;安値!F178,安値!H178&lt;安値!I178,安値!H178&lt;安値!J178),3,""))</f>
      </c>
      <c r="D178" s="684">
        <f>IF(終値!A178="","",IF(AND(安値!I178&lt;安値!H178,安値!I178&lt;安値!G178,安値!I178&lt;安値!J178,安値!I178&lt;安値!K178),4,""))</f>
      </c>
      <c r="E178" s="684">
        <f>IF(終値!A178="","",IF(AND(安値!J178&lt;安値!I178,安値!J178&lt;安値!H178,安値!J178&lt;安値!K178,安値!J178&lt;安値!L178),5,""))</f>
      </c>
      <c r="F178" s="684">
        <f>IF(終値!A178="","",IF(AND(安値!K178&lt;安値!J178,安値!K178&lt;安値!I178,安値!K178&lt;安値!L178,安値!K178&lt;安値!M178),6,""))</f>
      </c>
      <c r="G178" s="684">
        <f>IF(終値!A178="","",IF(AND(安値!L178&lt;安値!K178,安値!L178&lt;安値!J178,安値!L178&lt;安値!M178,安値!L178&lt;安値!N178),7,""))</f>
      </c>
      <c r="H178" s="684">
        <f>IF(終値!A178="","",IF(AND(安値!M178&lt;安値!L178,安値!M178&lt;安値!K178,安値!M178&lt;安値!N178,安値!M178&lt;安値!O178),8,""))</f>
      </c>
      <c r="I178" s="684">
        <f>IF(終値!A178="","",IF(AND(安値!N178&lt;安値!M178,安値!N178&lt;安値!L178,安値!N178&lt;安値!O178,安値!N178&lt;安値!P178),9,""))</f>
      </c>
      <c r="J178" s="684">
        <f>IF(終値!A178="","",IF(AND(安値!O178&lt;安値!N178,安値!O178&lt;安値!M178,安値!O178&lt;安値!P178,安値!O178&lt;安値!Q178),10,""))</f>
      </c>
      <c r="K178" s="684">
        <f>IF(終値!A178="","",IF(AND(安値!P178&lt;安値!O178,安値!P178&lt;安値!N178,安値!P178&lt;安値!Q178,安値!P178&lt;安値!R178),11,""))</f>
      </c>
      <c r="L178" s="684">
        <f>IF(終値!A178="","",IF(AND(安値!Q178&lt;安値!P178,安値!Q178&lt;安値!O178,安値!Q178&lt;安値!R178,安値!Q178&lt;安値!S178),12,""))</f>
      </c>
      <c r="M178" s="684">
        <f>IF(終値!A178="","",IF(AND(安値!R178&lt;安値!Q178,安値!R178&lt;安値!P178,安値!R178&lt;安値!S178,安値!R178&lt;安値!T178),13,""))</f>
      </c>
      <c r="N178" s="684">
        <f>IF(終値!A178="","",IF(AND(安値!S178&lt;安値!R178,安値!S178&lt;安値!Q178,安値!S178&lt;安値!T178,安値!S178&lt;安値!U178),14,""))</f>
      </c>
      <c r="O178" s="684">
        <f>IF(終値!A178="","",IF(AND(安値!T178&lt;安値!S178,安値!T178&lt;安値!R178,安値!T178&lt;安値!U178,安値!T178&lt;安値!V178),15,""))</f>
      </c>
      <c r="P178" s="684">
        <f>IF(終値!A178="","",IF(AND(安値!U178&lt;安値!T178,安値!U178&lt;安値!S178,安値!U178&lt;安値!V178,安値!U178&lt;安値!W178),16,""))</f>
      </c>
      <c r="Q178" s="684">
        <f>IF(終値!A178="","",IF(AND(安値!V178&lt;安値!U178,安値!V178&lt;安値!T178,安値!V178&lt;安値!W178,安値!V178&lt;安値!X178),17,""))</f>
      </c>
      <c r="R178" s="684">
        <f>IF(終値!A178="","",IF(AND(安値!W178&lt;安値!V178,安値!W178&lt;安値!U178,安値!W178&lt;安値!X178,安値!W178&lt;安値!Y178),18,""))</f>
      </c>
      <c r="S178" s="684">
        <f>IF(終値!A178="","",IF(AND(安値!X178&lt;安値!W178,安値!X178&lt;安値!V178,安値!X178&lt;安値!Y178,安値!X178&lt;安値!Z178),19,""))</f>
      </c>
      <c r="T178" s="684">
        <f>IF(終値!A178="","",IF(AND(安値!Y178&lt;安値!X178,安値!Y178&lt;安値!W178,安値!Y178&lt;安値!Z178,安値!Y178&lt;安値!AA178),20,""))</f>
      </c>
      <c r="U178" s="684">
        <f>IF(終値!A178="","",IF(AND(安値!Z178&lt;安値!Y178,安値!Z178&lt;安値!X178,安値!Z178&lt;安値!AA178,安値!Z178&lt;安値!AB178),21,""))</f>
      </c>
      <c r="V178" s="684">
        <f>IF(終値!A178="","",IF(AND(安値!AA178&lt;安値!Z178,安値!AA178&lt;安値!Y178,安値!AA178&lt;安値!AB178,安値!AA178&lt;安値!AC178),22,""))</f>
      </c>
      <c r="W178" s="684">
        <f>IF(終値!A178="","",IF(AND(安値!AB178&lt;安値!AA178,安値!AB178&lt;安値!Z178,安値!AB178&lt;安値!AC178,安値!AB178&lt;安値!AD178),23,""))</f>
      </c>
      <c r="X178" s="684">
        <f>IF(終値!A178="","",IF(AND(安値!AC178&lt;安値!AB178,安値!AC178&lt;安値!AA178,安値!AC178&lt;安値!AD178,安値!AC178&lt;安値!AE178),24,""))</f>
      </c>
      <c r="Y178" s="684">
        <f>IF(終値!A178="","",IF(AND(安値!AD178&lt;安値!AC178,安値!AD178&lt;安値!AB178,安値!AD178&lt;安値!AE178,安値!AD178&lt;安値!AF178),25,""))</f>
      </c>
      <c r="Z178" s="684">
        <f>IF(終値!A178="","",IF(AND(安値!AE178&lt;安値!AD178,安値!AE178&lt;安値!AC178,安値!AE178&lt;安値!AF178,安値!AE178&lt;安値!AG178),26,""))</f>
      </c>
      <c r="AA178" s="684">
        <f>IF(終値!A178="","",IF(AND(安値!AF178&lt;安値!AE178,安値!AF178&lt;安値!AD178,安値!AF178&lt;安値!AG178,安値!AF178&lt;安値!AH178),27,""))</f>
      </c>
      <c r="AB178" s="684">
        <f>IF(終値!A178="","",IF(AND(安値!AG178&lt;安値!AF178,安値!AG178&lt;安値!AE178,安値!AG178&lt;安値!AH178,安値!AG178&lt;安値!AI178),28,""))</f>
      </c>
      <c r="AC178" s="684">
        <f>IF(終値!A178="","",IF(AND(高値!G178&gt;高値!F178,高値!G178&gt;高値!E178,高値!G178&gt;高値!H178,高値!G178&gt;高値!I178),2,""))</f>
      </c>
      <c r="AD178" s="684">
        <f>IF(終値!A178="","",IF(AND(高値!H178&gt;高値!G178,高値!H178&gt;高値!F178,高値!H178&gt;高値!I178,高値!H178&gt;高値!J178),3,""))</f>
      </c>
      <c r="AE178" s="684">
        <f>IF(終値!A178="","",IF(AND(高値!I178&gt;高値!H178,高値!I178&gt;高値!G178,高値!I178&gt;高値!J178,高値!I178&gt;高値!K178),4,""))</f>
      </c>
      <c r="AF178" s="684">
        <f>IF(終値!A178="","",IF(AND(高値!J178&gt;高値!I178,高値!J178&gt;高値!H178,高値!J178&gt;高値!K178,高値!J178&gt;高値!L178),5,""))</f>
      </c>
      <c r="AG178" s="684">
        <f>IF(終値!A178="","",IF(AND(高値!K178&gt;高値!J178,高値!K178&gt;高値!I178,高値!K178&gt;高値!L178,高値!K178&gt;高値!M178),6,""))</f>
      </c>
      <c r="AH178" s="684">
        <f>IF(終値!A178="","",IF(AND(高値!L178&gt;高値!K178,高値!L178&gt;高値!J178,高値!L178&gt;高値!M178,高値!L178&gt;高値!N178),7,""))</f>
      </c>
      <c r="AI178" s="684">
        <f>IF(終値!A178="","",IF(AND(高値!M178&gt;高値!L178,高値!M178&gt;高値!K178,高値!M178&gt;高値!N178,高値!M178&gt;高値!O178),8,""))</f>
      </c>
      <c r="AJ178" s="684">
        <f>IF(終値!A178="","",IF(AND(高値!N178&gt;高値!M178,高値!N178&gt;高値!L178,高値!N178&gt;高値!O178,高値!N178&gt;高値!P178),9,""))</f>
      </c>
      <c r="AK178" s="684">
        <f>IF(終値!A178="","",IF(AND(高値!O178&gt;高値!N178,高値!O178&gt;高値!M178,高値!O178&gt;高値!P178,高値!O178&gt;高値!Q178),10,""))</f>
      </c>
      <c r="AL178" s="684">
        <f>IF(終値!A178="","",IF(AND(高値!P178&gt;高値!O178,高値!P178&gt;高値!N178,高値!P178&gt;高値!Q178,高値!P178&gt;高値!R178),11,""))</f>
      </c>
      <c r="AM178" s="684">
        <f>IF(終値!A178="","",IF(AND(高値!Q178&gt;高値!P178,高値!Q178&gt;高値!O178,高値!Q178&gt;高値!R178,高値!Q178&gt;高値!S178),12,""))</f>
      </c>
      <c r="AN178" s="684">
        <f>IF(終値!A178="","",IF(AND(高値!R178&gt;高値!Q178,高値!R178&gt;高値!P178,高値!R178&gt;高値!S178,高値!R178&gt;高値!T178),13,""))</f>
      </c>
      <c r="AO178" s="684">
        <f>IF(終値!A178="","",IF(AND(高値!S178&gt;高値!R178,高値!S178&gt;高値!Q178,高値!S178&gt;高値!T178,高値!S178&gt;高値!U178),14,""))</f>
      </c>
      <c r="AP178" s="684">
        <f>IF(終値!A178="","",IF(AND(高値!T178&gt;高値!S178,高値!T178&gt;高値!R178,高値!T178&gt;高値!U178,高値!T178&gt;高値!V178),15,""))</f>
      </c>
      <c r="AQ178" s="684">
        <f>IF(終値!A178="","",IF(AND(高値!U178&gt;高値!T178,高値!U178&gt;高値!S178,高値!U178&gt;高値!V178,高値!U178&gt;高値!W178),16,""))</f>
      </c>
      <c r="AR178" s="684">
        <f>IF(終値!A178="","",IF(AND(高値!V178&gt;高値!U178,高値!V178&gt;高値!T178,高値!V178&gt;高値!W178,高値!V178&gt;高値!X178),17,""))</f>
      </c>
      <c r="AS178" s="684">
        <f>IF(終値!A178="","",IF(AND(高値!W178&gt;高値!V178,高値!W178&gt;高値!U178,高値!W178&gt;高値!X178,高値!W178&gt;高値!Y178),18,""))</f>
      </c>
      <c r="AT178" s="684">
        <f>IF(終値!A178="","",IF(AND(高値!X178&gt;高値!W178,高値!X178&gt;高値!V178,高値!X178&gt;高値!Y178,高値!X178&gt;高値!Z178),19,""))</f>
      </c>
      <c r="AU178" s="684">
        <f>IF(終値!A178="","",IF(AND(高値!Y178&gt;高値!X178,高値!Y178&gt;高値!W178,高値!Y178&gt;高値!Z178,高値!Y178&gt;高値!AA178),20,""))</f>
      </c>
      <c r="AV178" s="684">
        <f>IF(終値!A178="","",IF(AND(高値!Z178&gt;高値!Y178,高値!Z178&gt;高値!X178,高値!Z178&gt;高値!AA178,高値!Z178&gt;高値!AB178),21,""))</f>
      </c>
      <c r="AW178" s="684">
        <f>IF(終値!A178="","",IF(AND(高値!AA178&gt;高値!Z178,高値!AA178&gt;高値!Y178,高値!AA178&gt;高値!AB178,高値!AA178&gt;高値!AC178),22,""))</f>
      </c>
      <c r="AX178" s="684">
        <f>IF(終値!A178="","",IF(AND(高値!AB178&gt;高値!AA178,高値!AB178&gt;高値!Z178,高値!AB178&gt;高値!AC178,高値!AB178&gt;高値!AD178),23,""))</f>
      </c>
      <c r="AY178" s="684">
        <f>IF(終値!A178="","",IF(AND(高値!AC178&gt;高値!AB178,高値!AC178&gt;高値!AA178,高値!AC178&gt;高値!AD178,高値!AC178&gt;高値!AE178),24,""))</f>
      </c>
      <c r="AZ178" s="684">
        <f>IF(終値!A178="","",IF(AND(高値!AD178&gt;高値!AC178,高値!AD178&gt;高値!AB178,高値!AD178&gt;高値!AE178,高値!AD178&gt;高値!AF178),25,""))</f>
      </c>
      <c r="BA178" s="684">
        <f>IF(終値!A178="","",IF(AND(高値!AE178&gt;高値!AD178,高値!AE178&gt;高値!AC178,高値!AE178&gt;高値!AF178,高値!AE178&gt;高値!AG178),26,""))</f>
      </c>
      <c r="BB178" s="684">
        <f>IF(終値!A178="","",IF(AND(高値!AF178&gt;高値!AE178,高値!AF178&gt;高値!AD178,高値!AF178&gt;高値!AG178,高値!AF178&gt;高値!AH178),27,""))</f>
      </c>
      <c r="BC178" s="684">
        <f>IF(終値!A178="","",IF(AND(高値!AG178&gt;高値!AF178,高値!AG178&gt;高値!AE178,高値!AG178&gt;高値!AH178,高値!AG178&gt;高値!AI178),28,""))</f>
      </c>
      <c r="BD178" s="684">
        <f>COUNT($B178:$AB178)</f>
      </c>
      <c r="BE178" s="684">
        <f>IF($BD178&gt;=2,MIN($B178:$AB178),"")</f>
      </c>
      <c r="BF178" s="684">
        <f>IF($BD178&gt;=2,SMALL($B178:$AB178,2),"")</f>
      </c>
      <c r="BG178" s="684">
        <f>IF($BE178="","",INDEX(安値!$E178:$CZ178,1,$BE178+1))</f>
      </c>
      <c r="BH178" s="684">
        <f>IF($BF178="","",INDEX(安値!$E178:$CZ178,1,$BF178+1))</f>
      </c>
      <c r="BI178" s="684">
        <f>IF($BF178="","",MAX(INDEX(高値!$E178:$CZ178,1,$BE178+1):INDEX(高値!$E178:$CZ178,1,$BF178+1)))</f>
      </c>
      <c r="BJ178" s="684">
        <f>IF($BF178="","",AVERAGE(INDEX(終値!$E178:$CZ178,1,$BF178+1):INDEX(終値!$E178:$CZ178,1,$BF178+20))-2*STDEVP(INDEX(終値!$E178:$CZ178,1,$BF178+1):INDEX(終値!$E178:$CZ178,1,$BF178+20)))</f>
      </c>
      <c r="BK178" s="684">
        <f>IF($BE178="","",AVERAGE(INDEX(終値!$E178:$CZ178,1,$BE178+1):INDEX(終値!$E178:$CZ178,1,$BE178+20))-2*STDEVP(INDEX(終値!$E178:$CZ178,1,$BE178+1):INDEX(終値!$E178:$CZ178,1,$BE178+20)))</f>
      </c>
      <c r="BL178" s="684">
        <f>COUNT($AC178:$BC178)</f>
      </c>
      <c r="BM178" s="684">
        <f>IF($BL178&gt;=2,MIN($AC178:$BC178),"")</f>
      </c>
      <c r="BN178" s="684">
        <f>IF($BL178&gt;=2,SMALL($AC178:$BC178,2),"")</f>
      </c>
      <c r="BO178" s="684">
        <f>IF($BM178="","",INDEX(高値!$E178:$CZ178,1,$BM178+1))</f>
      </c>
      <c r="BP178" s="684">
        <f>IF($BN178="","",INDEX(高値!$E178:$CZ178,1,$BN178+1))</f>
      </c>
      <c r="BQ178" s="684">
        <f>IF($BN178="","",MIN(INDEX(安値!$E178:$CZ178,1,$BM178+1):INDEX(安値!$E178:$CZ178,1,$BN178+1)))</f>
      </c>
      <c r="BR178" s="684">
        <f>IF($BN178="","",AVERAGE(INDEX(終値!$E178:$CZ178,1,$BN178+1):INDEX(終値!$E178:$CZ178,1,$BN178+20))+2*STDEVP(INDEX(終値!$E178:$CZ178,1,$BN178+1):INDEX(終値!$E178:$CZ178,1,$BN178+20)))</f>
      </c>
      <c r="BS178" s="684">
        <f>IF($BM178="","",AVERAGE(INDEX(終値!$E178:$CZ178,1,$BM178+1):INDEX(終値!$E178:$CZ178,1,$BM178+20))+2*STDEVP(INDEX(終値!$E178:$CZ178,1,$BM178+1):INDEX(終値!$E178:$CZ178,1,$BM178+20)))</f>
      </c>
      <c r="BT178" s="681">
        <f>IFERROR(IF(AND($BD178&gt;=2,ABS($BG178-$BH178)/$BH178&lt;=BB設定!$B$12,$BI178&gt;=MAX($BH178,$BG178)*(1+BB設定!$B$13),終値!E178&gt;$BG178),IF(OR(終値!E178&gt;=$BI178,AND($BH178&lt;$BJ178,$BG178&gt;=$BK178)),"二番底W▲","二番底W形成"),IF(AND($BL178&gt;=2,ABS($BO178-$BP178)/$BP178&lt;=BB設定!$B$12,$BQ178&lt;=MIN($BP178,$BO178)*(1-BB設定!$B$13),終値!E178&lt;$BO178),IF(OR(終値!E178&lt;=$BQ178,AND($BP178&gt;$BR178,$BO178&lt;=$BS178)),"二番天井M▼","二番天井M形成"),"－")),"－")</f>
      </c>
    </row>
    <row r="179">
      <c r="B179" s="684">
        <f>IF(終値!A179="","",IF(AND(安値!G179&lt;安値!F179,安値!G179&lt;安値!E179,安値!G179&lt;安値!H179,安値!G179&lt;安値!I179),2,""))</f>
      </c>
      <c r="C179" s="684">
        <f>IF(終値!A179="","",IF(AND(安値!H179&lt;安値!G179,安値!H179&lt;安値!F179,安値!H179&lt;安値!I179,安値!H179&lt;安値!J179),3,""))</f>
      </c>
      <c r="D179" s="684">
        <f>IF(終値!A179="","",IF(AND(安値!I179&lt;安値!H179,安値!I179&lt;安値!G179,安値!I179&lt;安値!J179,安値!I179&lt;安値!K179),4,""))</f>
      </c>
      <c r="E179" s="684">
        <f>IF(終値!A179="","",IF(AND(安値!J179&lt;安値!I179,安値!J179&lt;安値!H179,安値!J179&lt;安値!K179,安値!J179&lt;安値!L179),5,""))</f>
      </c>
      <c r="F179" s="684">
        <f>IF(終値!A179="","",IF(AND(安値!K179&lt;安値!J179,安値!K179&lt;安値!I179,安値!K179&lt;安値!L179,安値!K179&lt;安値!M179),6,""))</f>
      </c>
      <c r="G179" s="684">
        <f>IF(終値!A179="","",IF(AND(安値!L179&lt;安値!K179,安値!L179&lt;安値!J179,安値!L179&lt;安値!M179,安値!L179&lt;安値!N179),7,""))</f>
      </c>
      <c r="H179" s="684">
        <f>IF(終値!A179="","",IF(AND(安値!M179&lt;安値!L179,安値!M179&lt;安値!K179,安値!M179&lt;安値!N179,安値!M179&lt;安値!O179),8,""))</f>
      </c>
      <c r="I179" s="684">
        <f>IF(終値!A179="","",IF(AND(安値!N179&lt;安値!M179,安値!N179&lt;安値!L179,安値!N179&lt;安値!O179,安値!N179&lt;安値!P179),9,""))</f>
      </c>
      <c r="J179" s="684">
        <f>IF(終値!A179="","",IF(AND(安値!O179&lt;安値!N179,安値!O179&lt;安値!M179,安値!O179&lt;安値!P179,安値!O179&lt;安値!Q179),10,""))</f>
      </c>
      <c r="K179" s="684">
        <f>IF(終値!A179="","",IF(AND(安値!P179&lt;安値!O179,安値!P179&lt;安値!N179,安値!P179&lt;安値!Q179,安値!P179&lt;安値!R179),11,""))</f>
      </c>
      <c r="L179" s="684">
        <f>IF(終値!A179="","",IF(AND(安値!Q179&lt;安値!P179,安値!Q179&lt;安値!O179,安値!Q179&lt;安値!R179,安値!Q179&lt;安値!S179),12,""))</f>
      </c>
      <c r="M179" s="684">
        <f>IF(終値!A179="","",IF(AND(安値!R179&lt;安値!Q179,安値!R179&lt;安値!P179,安値!R179&lt;安値!S179,安値!R179&lt;安値!T179),13,""))</f>
      </c>
      <c r="N179" s="684">
        <f>IF(終値!A179="","",IF(AND(安値!S179&lt;安値!R179,安値!S179&lt;安値!Q179,安値!S179&lt;安値!T179,安値!S179&lt;安値!U179),14,""))</f>
      </c>
      <c r="O179" s="684">
        <f>IF(終値!A179="","",IF(AND(安値!T179&lt;安値!S179,安値!T179&lt;安値!R179,安値!T179&lt;安値!U179,安値!T179&lt;安値!V179),15,""))</f>
      </c>
      <c r="P179" s="684">
        <f>IF(終値!A179="","",IF(AND(安値!U179&lt;安値!T179,安値!U179&lt;安値!S179,安値!U179&lt;安値!V179,安値!U179&lt;安値!W179),16,""))</f>
      </c>
      <c r="Q179" s="684">
        <f>IF(終値!A179="","",IF(AND(安値!V179&lt;安値!U179,安値!V179&lt;安値!T179,安値!V179&lt;安値!W179,安値!V179&lt;安値!X179),17,""))</f>
      </c>
      <c r="R179" s="684">
        <f>IF(終値!A179="","",IF(AND(安値!W179&lt;安値!V179,安値!W179&lt;安値!U179,安値!W179&lt;安値!X179,安値!W179&lt;安値!Y179),18,""))</f>
      </c>
      <c r="S179" s="684">
        <f>IF(終値!A179="","",IF(AND(安値!X179&lt;安値!W179,安値!X179&lt;安値!V179,安値!X179&lt;安値!Y179,安値!X179&lt;安値!Z179),19,""))</f>
      </c>
      <c r="T179" s="684">
        <f>IF(終値!A179="","",IF(AND(安値!Y179&lt;安値!X179,安値!Y179&lt;安値!W179,安値!Y179&lt;安値!Z179,安値!Y179&lt;安値!AA179),20,""))</f>
      </c>
      <c r="U179" s="684">
        <f>IF(終値!A179="","",IF(AND(安値!Z179&lt;安値!Y179,安値!Z179&lt;安値!X179,安値!Z179&lt;安値!AA179,安値!Z179&lt;安値!AB179),21,""))</f>
      </c>
      <c r="V179" s="684">
        <f>IF(終値!A179="","",IF(AND(安値!AA179&lt;安値!Z179,安値!AA179&lt;安値!Y179,安値!AA179&lt;安値!AB179,安値!AA179&lt;安値!AC179),22,""))</f>
      </c>
      <c r="W179" s="684">
        <f>IF(終値!A179="","",IF(AND(安値!AB179&lt;安値!AA179,安値!AB179&lt;安値!Z179,安値!AB179&lt;安値!AC179,安値!AB179&lt;安値!AD179),23,""))</f>
      </c>
      <c r="X179" s="684">
        <f>IF(終値!A179="","",IF(AND(安値!AC179&lt;安値!AB179,安値!AC179&lt;安値!AA179,安値!AC179&lt;安値!AD179,安値!AC179&lt;安値!AE179),24,""))</f>
      </c>
      <c r="Y179" s="684">
        <f>IF(終値!A179="","",IF(AND(安値!AD179&lt;安値!AC179,安値!AD179&lt;安値!AB179,安値!AD179&lt;安値!AE179,安値!AD179&lt;安値!AF179),25,""))</f>
      </c>
      <c r="Z179" s="684">
        <f>IF(終値!A179="","",IF(AND(安値!AE179&lt;安値!AD179,安値!AE179&lt;安値!AC179,安値!AE179&lt;安値!AF179,安値!AE179&lt;安値!AG179),26,""))</f>
      </c>
      <c r="AA179" s="684">
        <f>IF(終値!A179="","",IF(AND(安値!AF179&lt;安値!AE179,安値!AF179&lt;安値!AD179,安値!AF179&lt;安値!AG179,安値!AF179&lt;安値!AH179),27,""))</f>
      </c>
      <c r="AB179" s="684">
        <f>IF(終値!A179="","",IF(AND(安値!AG179&lt;安値!AF179,安値!AG179&lt;安値!AE179,安値!AG179&lt;安値!AH179,安値!AG179&lt;安値!AI179),28,""))</f>
      </c>
      <c r="AC179" s="684">
        <f>IF(終値!A179="","",IF(AND(高値!G179&gt;高値!F179,高値!G179&gt;高値!E179,高値!G179&gt;高値!H179,高値!G179&gt;高値!I179),2,""))</f>
      </c>
      <c r="AD179" s="684">
        <f>IF(終値!A179="","",IF(AND(高値!H179&gt;高値!G179,高値!H179&gt;高値!F179,高値!H179&gt;高値!I179,高値!H179&gt;高値!J179),3,""))</f>
      </c>
      <c r="AE179" s="684">
        <f>IF(終値!A179="","",IF(AND(高値!I179&gt;高値!H179,高値!I179&gt;高値!G179,高値!I179&gt;高値!J179,高値!I179&gt;高値!K179),4,""))</f>
      </c>
      <c r="AF179" s="684">
        <f>IF(終値!A179="","",IF(AND(高値!J179&gt;高値!I179,高値!J179&gt;高値!H179,高値!J179&gt;高値!K179,高値!J179&gt;高値!L179),5,""))</f>
      </c>
      <c r="AG179" s="684">
        <f>IF(終値!A179="","",IF(AND(高値!K179&gt;高値!J179,高値!K179&gt;高値!I179,高値!K179&gt;高値!L179,高値!K179&gt;高値!M179),6,""))</f>
      </c>
      <c r="AH179" s="684">
        <f>IF(終値!A179="","",IF(AND(高値!L179&gt;高値!K179,高値!L179&gt;高値!J179,高値!L179&gt;高値!M179,高値!L179&gt;高値!N179),7,""))</f>
      </c>
      <c r="AI179" s="684">
        <f>IF(終値!A179="","",IF(AND(高値!M179&gt;高値!L179,高値!M179&gt;高値!K179,高値!M179&gt;高値!N179,高値!M179&gt;高値!O179),8,""))</f>
      </c>
      <c r="AJ179" s="684">
        <f>IF(終値!A179="","",IF(AND(高値!N179&gt;高値!M179,高値!N179&gt;高値!L179,高値!N179&gt;高値!O179,高値!N179&gt;高値!P179),9,""))</f>
      </c>
      <c r="AK179" s="684">
        <f>IF(終値!A179="","",IF(AND(高値!O179&gt;高値!N179,高値!O179&gt;高値!M179,高値!O179&gt;高値!P179,高値!O179&gt;高値!Q179),10,""))</f>
      </c>
      <c r="AL179" s="684">
        <f>IF(終値!A179="","",IF(AND(高値!P179&gt;高値!O179,高値!P179&gt;高値!N179,高値!P179&gt;高値!Q179,高値!P179&gt;高値!R179),11,""))</f>
      </c>
      <c r="AM179" s="684">
        <f>IF(終値!A179="","",IF(AND(高値!Q179&gt;高値!P179,高値!Q179&gt;高値!O179,高値!Q179&gt;高値!R179,高値!Q179&gt;高値!S179),12,""))</f>
      </c>
      <c r="AN179" s="684">
        <f>IF(終値!A179="","",IF(AND(高値!R179&gt;高値!Q179,高値!R179&gt;高値!P179,高値!R179&gt;高値!S179,高値!R179&gt;高値!T179),13,""))</f>
      </c>
      <c r="AO179" s="684">
        <f>IF(終値!A179="","",IF(AND(高値!S179&gt;高値!R179,高値!S179&gt;高値!Q179,高値!S179&gt;高値!T179,高値!S179&gt;高値!U179),14,""))</f>
      </c>
      <c r="AP179" s="684">
        <f>IF(終値!A179="","",IF(AND(高値!T179&gt;高値!S179,高値!T179&gt;高値!R179,高値!T179&gt;高値!U179,高値!T179&gt;高値!V179),15,""))</f>
      </c>
      <c r="AQ179" s="684">
        <f>IF(終値!A179="","",IF(AND(高値!U179&gt;高値!T179,高値!U179&gt;高値!S179,高値!U179&gt;高値!V179,高値!U179&gt;高値!W179),16,""))</f>
      </c>
      <c r="AR179" s="684">
        <f>IF(終値!A179="","",IF(AND(高値!V179&gt;高値!U179,高値!V179&gt;高値!T179,高値!V179&gt;高値!W179,高値!V179&gt;高値!X179),17,""))</f>
      </c>
      <c r="AS179" s="684">
        <f>IF(終値!A179="","",IF(AND(高値!W179&gt;高値!V179,高値!W179&gt;高値!U179,高値!W179&gt;高値!X179,高値!W179&gt;高値!Y179),18,""))</f>
      </c>
      <c r="AT179" s="684">
        <f>IF(終値!A179="","",IF(AND(高値!X179&gt;高値!W179,高値!X179&gt;高値!V179,高値!X179&gt;高値!Y179,高値!X179&gt;高値!Z179),19,""))</f>
      </c>
      <c r="AU179" s="684">
        <f>IF(終値!A179="","",IF(AND(高値!Y179&gt;高値!X179,高値!Y179&gt;高値!W179,高値!Y179&gt;高値!Z179,高値!Y179&gt;高値!AA179),20,""))</f>
      </c>
      <c r="AV179" s="684">
        <f>IF(終値!A179="","",IF(AND(高値!Z179&gt;高値!Y179,高値!Z179&gt;高値!X179,高値!Z179&gt;高値!AA179,高値!Z179&gt;高値!AB179),21,""))</f>
      </c>
      <c r="AW179" s="684">
        <f>IF(終値!A179="","",IF(AND(高値!AA179&gt;高値!Z179,高値!AA179&gt;高値!Y179,高値!AA179&gt;高値!AB179,高値!AA179&gt;高値!AC179),22,""))</f>
      </c>
      <c r="AX179" s="684">
        <f>IF(終値!A179="","",IF(AND(高値!AB179&gt;高値!AA179,高値!AB179&gt;高値!Z179,高値!AB179&gt;高値!AC179,高値!AB179&gt;高値!AD179),23,""))</f>
      </c>
      <c r="AY179" s="684">
        <f>IF(終値!A179="","",IF(AND(高値!AC179&gt;高値!AB179,高値!AC179&gt;高値!AA179,高値!AC179&gt;高値!AD179,高値!AC179&gt;高値!AE179),24,""))</f>
      </c>
      <c r="AZ179" s="684">
        <f>IF(終値!A179="","",IF(AND(高値!AD179&gt;高値!AC179,高値!AD179&gt;高値!AB179,高値!AD179&gt;高値!AE179,高値!AD179&gt;高値!AF179),25,""))</f>
      </c>
      <c r="BA179" s="684">
        <f>IF(終値!A179="","",IF(AND(高値!AE179&gt;高値!AD179,高値!AE179&gt;高値!AC179,高値!AE179&gt;高値!AF179,高値!AE179&gt;高値!AG179),26,""))</f>
      </c>
      <c r="BB179" s="684">
        <f>IF(終値!A179="","",IF(AND(高値!AF179&gt;高値!AE179,高値!AF179&gt;高値!AD179,高値!AF179&gt;高値!AG179,高値!AF179&gt;高値!AH179),27,""))</f>
      </c>
      <c r="BC179" s="684">
        <f>IF(終値!A179="","",IF(AND(高値!AG179&gt;高値!AF179,高値!AG179&gt;高値!AE179,高値!AG179&gt;高値!AH179,高値!AG179&gt;高値!AI179),28,""))</f>
      </c>
      <c r="BD179" s="684">
        <f>COUNT($B179:$AB179)</f>
      </c>
      <c r="BE179" s="684">
        <f>IF($BD179&gt;=2,MIN($B179:$AB179),"")</f>
      </c>
      <c r="BF179" s="684">
        <f>IF($BD179&gt;=2,SMALL($B179:$AB179,2),"")</f>
      </c>
      <c r="BG179" s="684">
        <f>IF($BE179="","",INDEX(安値!$E179:$CZ179,1,$BE179+1))</f>
      </c>
      <c r="BH179" s="684">
        <f>IF($BF179="","",INDEX(安値!$E179:$CZ179,1,$BF179+1))</f>
      </c>
      <c r="BI179" s="684">
        <f>IF($BF179="","",MAX(INDEX(高値!$E179:$CZ179,1,$BE179+1):INDEX(高値!$E179:$CZ179,1,$BF179+1)))</f>
      </c>
      <c r="BJ179" s="684">
        <f>IF($BF179="","",AVERAGE(INDEX(終値!$E179:$CZ179,1,$BF179+1):INDEX(終値!$E179:$CZ179,1,$BF179+20))-2*STDEVP(INDEX(終値!$E179:$CZ179,1,$BF179+1):INDEX(終値!$E179:$CZ179,1,$BF179+20)))</f>
      </c>
      <c r="BK179" s="684">
        <f>IF($BE179="","",AVERAGE(INDEX(終値!$E179:$CZ179,1,$BE179+1):INDEX(終値!$E179:$CZ179,1,$BE179+20))-2*STDEVP(INDEX(終値!$E179:$CZ179,1,$BE179+1):INDEX(終値!$E179:$CZ179,1,$BE179+20)))</f>
      </c>
      <c r="BL179" s="684">
        <f>COUNT($AC179:$BC179)</f>
      </c>
      <c r="BM179" s="684">
        <f>IF($BL179&gt;=2,MIN($AC179:$BC179),"")</f>
      </c>
      <c r="BN179" s="684">
        <f>IF($BL179&gt;=2,SMALL($AC179:$BC179,2),"")</f>
      </c>
      <c r="BO179" s="684">
        <f>IF($BM179="","",INDEX(高値!$E179:$CZ179,1,$BM179+1))</f>
      </c>
      <c r="BP179" s="684">
        <f>IF($BN179="","",INDEX(高値!$E179:$CZ179,1,$BN179+1))</f>
      </c>
      <c r="BQ179" s="684">
        <f>IF($BN179="","",MIN(INDEX(安値!$E179:$CZ179,1,$BM179+1):INDEX(安値!$E179:$CZ179,1,$BN179+1)))</f>
      </c>
      <c r="BR179" s="684">
        <f>IF($BN179="","",AVERAGE(INDEX(終値!$E179:$CZ179,1,$BN179+1):INDEX(終値!$E179:$CZ179,1,$BN179+20))+2*STDEVP(INDEX(終値!$E179:$CZ179,1,$BN179+1):INDEX(終値!$E179:$CZ179,1,$BN179+20)))</f>
      </c>
      <c r="BS179" s="684">
        <f>IF($BM179="","",AVERAGE(INDEX(終値!$E179:$CZ179,1,$BM179+1):INDEX(終値!$E179:$CZ179,1,$BM179+20))+2*STDEVP(INDEX(終値!$E179:$CZ179,1,$BM179+1):INDEX(終値!$E179:$CZ179,1,$BM179+20)))</f>
      </c>
      <c r="BT179" s="681">
        <f>IFERROR(IF(AND($BD179&gt;=2,ABS($BG179-$BH179)/$BH179&lt;=BB設定!$B$12,$BI179&gt;=MAX($BH179,$BG179)*(1+BB設定!$B$13),終値!E179&gt;$BG179),IF(OR(終値!E179&gt;=$BI179,AND($BH179&lt;$BJ179,$BG179&gt;=$BK179)),"二番底W▲","二番底W形成"),IF(AND($BL179&gt;=2,ABS($BO179-$BP179)/$BP179&lt;=BB設定!$B$12,$BQ179&lt;=MIN($BP179,$BO179)*(1-BB設定!$B$13),終値!E179&lt;$BO179),IF(OR(終値!E179&lt;=$BQ179,AND($BP179&gt;$BR179,$BO179&lt;=$BS179)),"二番天井M▼","二番天井M形成"),"－")),"－")</f>
      </c>
    </row>
    <row r="180">
      <c r="B180" s="684">
        <f>IF(終値!A180="","",IF(AND(安値!G180&lt;安値!F180,安値!G180&lt;安値!E180,安値!G180&lt;安値!H180,安値!G180&lt;安値!I180),2,""))</f>
      </c>
      <c r="C180" s="684">
        <f>IF(終値!A180="","",IF(AND(安値!H180&lt;安値!G180,安値!H180&lt;安値!F180,安値!H180&lt;安値!I180,安値!H180&lt;安値!J180),3,""))</f>
      </c>
      <c r="D180" s="684">
        <f>IF(終値!A180="","",IF(AND(安値!I180&lt;安値!H180,安値!I180&lt;安値!G180,安値!I180&lt;安値!J180,安値!I180&lt;安値!K180),4,""))</f>
      </c>
      <c r="E180" s="684">
        <f>IF(終値!A180="","",IF(AND(安値!J180&lt;安値!I180,安値!J180&lt;安値!H180,安値!J180&lt;安値!K180,安値!J180&lt;安値!L180),5,""))</f>
      </c>
      <c r="F180" s="684">
        <f>IF(終値!A180="","",IF(AND(安値!K180&lt;安値!J180,安値!K180&lt;安値!I180,安値!K180&lt;安値!L180,安値!K180&lt;安値!M180),6,""))</f>
      </c>
      <c r="G180" s="684">
        <f>IF(終値!A180="","",IF(AND(安値!L180&lt;安値!K180,安値!L180&lt;安値!J180,安値!L180&lt;安値!M180,安値!L180&lt;安値!N180),7,""))</f>
      </c>
      <c r="H180" s="684">
        <f>IF(終値!A180="","",IF(AND(安値!M180&lt;安値!L180,安値!M180&lt;安値!K180,安値!M180&lt;安値!N180,安値!M180&lt;安値!O180),8,""))</f>
      </c>
      <c r="I180" s="684">
        <f>IF(終値!A180="","",IF(AND(安値!N180&lt;安値!M180,安値!N180&lt;安値!L180,安値!N180&lt;安値!O180,安値!N180&lt;安値!P180),9,""))</f>
      </c>
      <c r="J180" s="684">
        <f>IF(終値!A180="","",IF(AND(安値!O180&lt;安値!N180,安値!O180&lt;安値!M180,安値!O180&lt;安値!P180,安値!O180&lt;安値!Q180),10,""))</f>
      </c>
      <c r="K180" s="684">
        <f>IF(終値!A180="","",IF(AND(安値!P180&lt;安値!O180,安値!P180&lt;安値!N180,安値!P180&lt;安値!Q180,安値!P180&lt;安値!R180),11,""))</f>
      </c>
      <c r="L180" s="684">
        <f>IF(終値!A180="","",IF(AND(安値!Q180&lt;安値!P180,安値!Q180&lt;安値!O180,安値!Q180&lt;安値!R180,安値!Q180&lt;安値!S180),12,""))</f>
      </c>
      <c r="M180" s="684">
        <f>IF(終値!A180="","",IF(AND(安値!R180&lt;安値!Q180,安値!R180&lt;安値!P180,安値!R180&lt;安値!S180,安値!R180&lt;安値!T180),13,""))</f>
      </c>
      <c r="N180" s="684">
        <f>IF(終値!A180="","",IF(AND(安値!S180&lt;安値!R180,安値!S180&lt;安値!Q180,安値!S180&lt;安値!T180,安値!S180&lt;安値!U180),14,""))</f>
      </c>
      <c r="O180" s="684">
        <f>IF(終値!A180="","",IF(AND(安値!T180&lt;安値!S180,安値!T180&lt;安値!R180,安値!T180&lt;安値!U180,安値!T180&lt;安値!V180),15,""))</f>
      </c>
      <c r="P180" s="684">
        <f>IF(終値!A180="","",IF(AND(安値!U180&lt;安値!T180,安値!U180&lt;安値!S180,安値!U180&lt;安値!V180,安値!U180&lt;安値!W180),16,""))</f>
      </c>
      <c r="Q180" s="684">
        <f>IF(終値!A180="","",IF(AND(安値!V180&lt;安値!U180,安値!V180&lt;安値!T180,安値!V180&lt;安値!W180,安値!V180&lt;安値!X180),17,""))</f>
      </c>
      <c r="R180" s="684">
        <f>IF(終値!A180="","",IF(AND(安値!W180&lt;安値!V180,安値!W180&lt;安値!U180,安値!W180&lt;安値!X180,安値!W180&lt;安値!Y180),18,""))</f>
      </c>
      <c r="S180" s="684">
        <f>IF(終値!A180="","",IF(AND(安値!X180&lt;安値!W180,安値!X180&lt;安値!V180,安値!X180&lt;安値!Y180,安値!X180&lt;安値!Z180),19,""))</f>
      </c>
      <c r="T180" s="684">
        <f>IF(終値!A180="","",IF(AND(安値!Y180&lt;安値!X180,安値!Y180&lt;安値!W180,安値!Y180&lt;安値!Z180,安値!Y180&lt;安値!AA180),20,""))</f>
      </c>
      <c r="U180" s="684">
        <f>IF(終値!A180="","",IF(AND(安値!Z180&lt;安値!Y180,安値!Z180&lt;安値!X180,安値!Z180&lt;安値!AA180,安値!Z180&lt;安値!AB180),21,""))</f>
      </c>
      <c r="V180" s="684">
        <f>IF(終値!A180="","",IF(AND(安値!AA180&lt;安値!Z180,安値!AA180&lt;安値!Y180,安値!AA180&lt;安値!AB180,安値!AA180&lt;安値!AC180),22,""))</f>
      </c>
      <c r="W180" s="684">
        <f>IF(終値!A180="","",IF(AND(安値!AB180&lt;安値!AA180,安値!AB180&lt;安値!Z180,安値!AB180&lt;安値!AC180,安値!AB180&lt;安値!AD180),23,""))</f>
      </c>
      <c r="X180" s="684">
        <f>IF(終値!A180="","",IF(AND(安値!AC180&lt;安値!AB180,安値!AC180&lt;安値!AA180,安値!AC180&lt;安値!AD180,安値!AC180&lt;安値!AE180),24,""))</f>
      </c>
      <c r="Y180" s="684">
        <f>IF(終値!A180="","",IF(AND(安値!AD180&lt;安値!AC180,安値!AD180&lt;安値!AB180,安値!AD180&lt;安値!AE180,安値!AD180&lt;安値!AF180),25,""))</f>
      </c>
      <c r="Z180" s="684">
        <f>IF(終値!A180="","",IF(AND(安値!AE180&lt;安値!AD180,安値!AE180&lt;安値!AC180,安値!AE180&lt;安値!AF180,安値!AE180&lt;安値!AG180),26,""))</f>
      </c>
      <c r="AA180" s="684">
        <f>IF(終値!A180="","",IF(AND(安値!AF180&lt;安値!AE180,安値!AF180&lt;安値!AD180,安値!AF180&lt;安値!AG180,安値!AF180&lt;安値!AH180),27,""))</f>
      </c>
      <c r="AB180" s="684">
        <f>IF(終値!A180="","",IF(AND(安値!AG180&lt;安値!AF180,安値!AG180&lt;安値!AE180,安値!AG180&lt;安値!AH180,安値!AG180&lt;安値!AI180),28,""))</f>
      </c>
      <c r="AC180" s="684">
        <f>IF(終値!A180="","",IF(AND(高値!G180&gt;高値!F180,高値!G180&gt;高値!E180,高値!G180&gt;高値!H180,高値!G180&gt;高値!I180),2,""))</f>
      </c>
      <c r="AD180" s="684">
        <f>IF(終値!A180="","",IF(AND(高値!H180&gt;高値!G180,高値!H180&gt;高値!F180,高値!H180&gt;高値!I180,高値!H180&gt;高値!J180),3,""))</f>
      </c>
      <c r="AE180" s="684">
        <f>IF(終値!A180="","",IF(AND(高値!I180&gt;高値!H180,高値!I180&gt;高値!G180,高値!I180&gt;高値!J180,高値!I180&gt;高値!K180),4,""))</f>
      </c>
      <c r="AF180" s="684">
        <f>IF(終値!A180="","",IF(AND(高値!J180&gt;高値!I180,高値!J180&gt;高値!H180,高値!J180&gt;高値!K180,高値!J180&gt;高値!L180),5,""))</f>
      </c>
      <c r="AG180" s="684">
        <f>IF(終値!A180="","",IF(AND(高値!K180&gt;高値!J180,高値!K180&gt;高値!I180,高値!K180&gt;高値!L180,高値!K180&gt;高値!M180),6,""))</f>
      </c>
      <c r="AH180" s="684">
        <f>IF(終値!A180="","",IF(AND(高値!L180&gt;高値!K180,高値!L180&gt;高値!J180,高値!L180&gt;高値!M180,高値!L180&gt;高値!N180),7,""))</f>
      </c>
      <c r="AI180" s="684">
        <f>IF(終値!A180="","",IF(AND(高値!M180&gt;高値!L180,高値!M180&gt;高値!K180,高値!M180&gt;高値!N180,高値!M180&gt;高値!O180),8,""))</f>
      </c>
      <c r="AJ180" s="684">
        <f>IF(終値!A180="","",IF(AND(高値!N180&gt;高値!M180,高値!N180&gt;高値!L180,高値!N180&gt;高値!O180,高値!N180&gt;高値!P180),9,""))</f>
      </c>
      <c r="AK180" s="684">
        <f>IF(終値!A180="","",IF(AND(高値!O180&gt;高値!N180,高値!O180&gt;高値!M180,高値!O180&gt;高値!P180,高値!O180&gt;高値!Q180),10,""))</f>
      </c>
      <c r="AL180" s="684">
        <f>IF(終値!A180="","",IF(AND(高値!P180&gt;高値!O180,高値!P180&gt;高値!N180,高値!P180&gt;高値!Q180,高値!P180&gt;高値!R180),11,""))</f>
      </c>
      <c r="AM180" s="684">
        <f>IF(終値!A180="","",IF(AND(高値!Q180&gt;高値!P180,高値!Q180&gt;高値!O180,高値!Q180&gt;高値!R180,高値!Q180&gt;高値!S180),12,""))</f>
      </c>
      <c r="AN180" s="684">
        <f>IF(終値!A180="","",IF(AND(高値!R180&gt;高値!Q180,高値!R180&gt;高値!P180,高値!R180&gt;高値!S180,高値!R180&gt;高値!T180),13,""))</f>
      </c>
      <c r="AO180" s="684">
        <f>IF(終値!A180="","",IF(AND(高値!S180&gt;高値!R180,高値!S180&gt;高値!Q180,高値!S180&gt;高値!T180,高値!S180&gt;高値!U180),14,""))</f>
      </c>
      <c r="AP180" s="684">
        <f>IF(終値!A180="","",IF(AND(高値!T180&gt;高値!S180,高値!T180&gt;高値!R180,高値!T180&gt;高値!U180,高値!T180&gt;高値!V180),15,""))</f>
      </c>
      <c r="AQ180" s="684">
        <f>IF(終値!A180="","",IF(AND(高値!U180&gt;高値!T180,高値!U180&gt;高値!S180,高値!U180&gt;高値!V180,高値!U180&gt;高値!W180),16,""))</f>
      </c>
      <c r="AR180" s="684">
        <f>IF(終値!A180="","",IF(AND(高値!V180&gt;高値!U180,高値!V180&gt;高値!T180,高値!V180&gt;高値!W180,高値!V180&gt;高値!X180),17,""))</f>
      </c>
      <c r="AS180" s="684">
        <f>IF(終値!A180="","",IF(AND(高値!W180&gt;高値!V180,高値!W180&gt;高値!U180,高値!W180&gt;高値!X180,高値!W180&gt;高値!Y180),18,""))</f>
      </c>
      <c r="AT180" s="684">
        <f>IF(終値!A180="","",IF(AND(高値!X180&gt;高値!W180,高値!X180&gt;高値!V180,高値!X180&gt;高値!Y180,高値!X180&gt;高値!Z180),19,""))</f>
      </c>
      <c r="AU180" s="684">
        <f>IF(終値!A180="","",IF(AND(高値!Y180&gt;高値!X180,高値!Y180&gt;高値!W180,高値!Y180&gt;高値!Z180,高値!Y180&gt;高値!AA180),20,""))</f>
      </c>
      <c r="AV180" s="684">
        <f>IF(終値!A180="","",IF(AND(高値!Z180&gt;高値!Y180,高値!Z180&gt;高値!X180,高値!Z180&gt;高値!AA180,高値!Z180&gt;高値!AB180),21,""))</f>
      </c>
      <c r="AW180" s="684">
        <f>IF(終値!A180="","",IF(AND(高値!AA180&gt;高値!Z180,高値!AA180&gt;高値!Y180,高値!AA180&gt;高値!AB180,高値!AA180&gt;高値!AC180),22,""))</f>
      </c>
      <c r="AX180" s="684">
        <f>IF(終値!A180="","",IF(AND(高値!AB180&gt;高値!AA180,高値!AB180&gt;高値!Z180,高値!AB180&gt;高値!AC180,高値!AB180&gt;高値!AD180),23,""))</f>
      </c>
      <c r="AY180" s="684">
        <f>IF(終値!A180="","",IF(AND(高値!AC180&gt;高値!AB180,高値!AC180&gt;高値!AA180,高値!AC180&gt;高値!AD180,高値!AC180&gt;高値!AE180),24,""))</f>
      </c>
      <c r="AZ180" s="684">
        <f>IF(終値!A180="","",IF(AND(高値!AD180&gt;高値!AC180,高値!AD180&gt;高値!AB180,高値!AD180&gt;高値!AE180,高値!AD180&gt;高値!AF180),25,""))</f>
      </c>
      <c r="BA180" s="684">
        <f>IF(終値!A180="","",IF(AND(高値!AE180&gt;高値!AD180,高値!AE180&gt;高値!AC180,高値!AE180&gt;高値!AF180,高値!AE180&gt;高値!AG180),26,""))</f>
      </c>
      <c r="BB180" s="684">
        <f>IF(終値!A180="","",IF(AND(高値!AF180&gt;高値!AE180,高値!AF180&gt;高値!AD180,高値!AF180&gt;高値!AG180,高値!AF180&gt;高値!AH180),27,""))</f>
      </c>
      <c r="BC180" s="684">
        <f>IF(終値!A180="","",IF(AND(高値!AG180&gt;高値!AF180,高値!AG180&gt;高値!AE180,高値!AG180&gt;高値!AH180,高値!AG180&gt;高値!AI180),28,""))</f>
      </c>
      <c r="BD180" s="684">
        <f>COUNT($B180:$AB180)</f>
      </c>
      <c r="BE180" s="684">
        <f>IF($BD180&gt;=2,MIN($B180:$AB180),"")</f>
      </c>
      <c r="BF180" s="684">
        <f>IF($BD180&gt;=2,SMALL($B180:$AB180,2),"")</f>
      </c>
      <c r="BG180" s="684">
        <f>IF($BE180="","",INDEX(安値!$E180:$CZ180,1,$BE180+1))</f>
      </c>
      <c r="BH180" s="684">
        <f>IF($BF180="","",INDEX(安値!$E180:$CZ180,1,$BF180+1))</f>
      </c>
      <c r="BI180" s="684">
        <f>IF($BF180="","",MAX(INDEX(高値!$E180:$CZ180,1,$BE180+1):INDEX(高値!$E180:$CZ180,1,$BF180+1)))</f>
      </c>
      <c r="BJ180" s="684">
        <f>IF($BF180="","",AVERAGE(INDEX(終値!$E180:$CZ180,1,$BF180+1):INDEX(終値!$E180:$CZ180,1,$BF180+20))-2*STDEVP(INDEX(終値!$E180:$CZ180,1,$BF180+1):INDEX(終値!$E180:$CZ180,1,$BF180+20)))</f>
      </c>
      <c r="BK180" s="684">
        <f>IF($BE180="","",AVERAGE(INDEX(終値!$E180:$CZ180,1,$BE180+1):INDEX(終値!$E180:$CZ180,1,$BE180+20))-2*STDEVP(INDEX(終値!$E180:$CZ180,1,$BE180+1):INDEX(終値!$E180:$CZ180,1,$BE180+20)))</f>
      </c>
      <c r="BL180" s="684">
        <f>COUNT($AC180:$BC180)</f>
      </c>
      <c r="BM180" s="684">
        <f>IF($BL180&gt;=2,MIN($AC180:$BC180),"")</f>
      </c>
      <c r="BN180" s="684">
        <f>IF($BL180&gt;=2,SMALL($AC180:$BC180,2),"")</f>
      </c>
      <c r="BO180" s="684">
        <f>IF($BM180="","",INDEX(高値!$E180:$CZ180,1,$BM180+1))</f>
      </c>
      <c r="BP180" s="684">
        <f>IF($BN180="","",INDEX(高値!$E180:$CZ180,1,$BN180+1))</f>
      </c>
      <c r="BQ180" s="684">
        <f>IF($BN180="","",MIN(INDEX(安値!$E180:$CZ180,1,$BM180+1):INDEX(安値!$E180:$CZ180,1,$BN180+1)))</f>
      </c>
      <c r="BR180" s="684">
        <f>IF($BN180="","",AVERAGE(INDEX(終値!$E180:$CZ180,1,$BN180+1):INDEX(終値!$E180:$CZ180,1,$BN180+20))+2*STDEVP(INDEX(終値!$E180:$CZ180,1,$BN180+1):INDEX(終値!$E180:$CZ180,1,$BN180+20)))</f>
      </c>
      <c r="BS180" s="684">
        <f>IF($BM180="","",AVERAGE(INDEX(終値!$E180:$CZ180,1,$BM180+1):INDEX(終値!$E180:$CZ180,1,$BM180+20))+2*STDEVP(INDEX(終値!$E180:$CZ180,1,$BM180+1):INDEX(終値!$E180:$CZ180,1,$BM180+20)))</f>
      </c>
      <c r="BT180" s="681">
        <f>IFERROR(IF(AND($BD180&gt;=2,ABS($BG180-$BH180)/$BH180&lt;=BB設定!$B$12,$BI180&gt;=MAX($BH180,$BG180)*(1+BB設定!$B$13),終値!E180&gt;$BG180),IF(OR(終値!E180&gt;=$BI180,AND($BH180&lt;$BJ180,$BG180&gt;=$BK180)),"二番底W▲","二番底W形成"),IF(AND($BL180&gt;=2,ABS($BO180-$BP180)/$BP180&lt;=BB設定!$B$12,$BQ180&lt;=MIN($BP180,$BO180)*(1-BB設定!$B$13),終値!E180&lt;$BO180),IF(OR(終値!E180&lt;=$BQ180,AND($BP180&gt;$BR180,$BO180&lt;=$BS180)),"二番天井M▼","二番天井M形成"),"－")),"－")</f>
      </c>
    </row>
    <row r="181">
      <c r="B181" s="684">
        <f>IF(終値!A181="","",IF(AND(安値!G181&lt;安値!F181,安値!G181&lt;安値!E181,安値!G181&lt;安値!H181,安値!G181&lt;安値!I181),2,""))</f>
      </c>
      <c r="C181" s="684">
        <f>IF(終値!A181="","",IF(AND(安値!H181&lt;安値!G181,安値!H181&lt;安値!F181,安値!H181&lt;安値!I181,安値!H181&lt;安値!J181),3,""))</f>
      </c>
      <c r="D181" s="684">
        <f>IF(終値!A181="","",IF(AND(安値!I181&lt;安値!H181,安値!I181&lt;安値!G181,安値!I181&lt;安値!J181,安値!I181&lt;安値!K181),4,""))</f>
      </c>
      <c r="E181" s="684">
        <f>IF(終値!A181="","",IF(AND(安値!J181&lt;安値!I181,安値!J181&lt;安値!H181,安値!J181&lt;安値!K181,安値!J181&lt;安値!L181),5,""))</f>
      </c>
      <c r="F181" s="684">
        <f>IF(終値!A181="","",IF(AND(安値!K181&lt;安値!J181,安値!K181&lt;安値!I181,安値!K181&lt;安値!L181,安値!K181&lt;安値!M181),6,""))</f>
      </c>
      <c r="G181" s="684">
        <f>IF(終値!A181="","",IF(AND(安値!L181&lt;安値!K181,安値!L181&lt;安値!J181,安値!L181&lt;安値!M181,安値!L181&lt;安値!N181),7,""))</f>
      </c>
      <c r="H181" s="684">
        <f>IF(終値!A181="","",IF(AND(安値!M181&lt;安値!L181,安値!M181&lt;安値!K181,安値!M181&lt;安値!N181,安値!M181&lt;安値!O181),8,""))</f>
      </c>
      <c r="I181" s="684">
        <f>IF(終値!A181="","",IF(AND(安値!N181&lt;安値!M181,安値!N181&lt;安値!L181,安値!N181&lt;安値!O181,安値!N181&lt;安値!P181),9,""))</f>
      </c>
      <c r="J181" s="684">
        <f>IF(終値!A181="","",IF(AND(安値!O181&lt;安値!N181,安値!O181&lt;安値!M181,安値!O181&lt;安値!P181,安値!O181&lt;安値!Q181),10,""))</f>
      </c>
      <c r="K181" s="684">
        <f>IF(終値!A181="","",IF(AND(安値!P181&lt;安値!O181,安値!P181&lt;安値!N181,安値!P181&lt;安値!Q181,安値!P181&lt;安値!R181),11,""))</f>
      </c>
      <c r="L181" s="684">
        <f>IF(終値!A181="","",IF(AND(安値!Q181&lt;安値!P181,安値!Q181&lt;安値!O181,安値!Q181&lt;安値!R181,安値!Q181&lt;安値!S181),12,""))</f>
      </c>
      <c r="M181" s="684">
        <f>IF(終値!A181="","",IF(AND(安値!R181&lt;安値!Q181,安値!R181&lt;安値!P181,安値!R181&lt;安値!S181,安値!R181&lt;安値!T181),13,""))</f>
      </c>
      <c r="N181" s="684">
        <f>IF(終値!A181="","",IF(AND(安値!S181&lt;安値!R181,安値!S181&lt;安値!Q181,安値!S181&lt;安値!T181,安値!S181&lt;安値!U181),14,""))</f>
      </c>
      <c r="O181" s="684">
        <f>IF(終値!A181="","",IF(AND(安値!T181&lt;安値!S181,安値!T181&lt;安値!R181,安値!T181&lt;安値!U181,安値!T181&lt;安値!V181),15,""))</f>
      </c>
      <c r="P181" s="684">
        <f>IF(終値!A181="","",IF(AND(安値!U181&lt;安値!T181,安値!U181&lt;安値!S181,安値!U181&lt;安値!V181,安値!U181&lt;安値!W181),16,""))</f>
      </c>
      <c r="Q181" s="684">
        <f>IF(終値!A181="","",IF(AND(安値!V181&lt;安値!U181,安値!V181&lt;安値!T181,安値!V181&lt;安値!W181,安値!V181&lt;安値!X181),17,""))</f>
      </c>
      <c r="R181" s="684">
        <f>IF(終値!A181="","",IF(AND(安値!W181&lt;安値!V181,安値!W181&lt;安値!U181,安値!W181&lt;安値!X181,安値!W181&lt;安値!Y181),18,""))</f>
      </c>
      <c r="S181" s="684">
        <f>IF(終値!A181="","",IF(AND(安値!X181&lt;安値!W181,安値!X181&lt;安値!V181,安値!X181&lt;安値!Y181,安値!X181&lt;安値!Z181),19,""))</f>
      </c>
      <c r="T181" s="684">
        <f>IF(終値!A181="","",IF(AND(安値!Y181&lt;安値!X181,安値!Y181&lt;安値!W181,安値!Y181&lt;安値!Z181,安値!Y181&lt;安値!AA181),20,""))</f>
      </c>
      <c r="U181" s="684">
        <f>IF(終値!A181="","",IF(AND(安値!Z181&lt;安値!Y181,安値!Z181&lt;安値!X181,安値!Z181&lt;安値!AA181,安値!Z181&lt;安値!AB181),21,""))</f>
      </c>
      <c r="V181" s="684">
        <f>IF(終値!A181="","",IF(AND(安値!AA181&lt;安値!Z181,安値!AA181&lt;安値!Y181,安値!AA181&lt;安値!AB181,安値!AA181&lt;安値!AC181),22,""))</f>
      </c>
      <c r="W181" s="684">
        <f>IF(終値!A181="","",IF(AND(安値!AB181&lt;安値!AA181,安値!AB181&lt;安値!Z181,安値!AB181&lt;安値!AC181,安値!AB181&lt;安値!AD181),23,""))</f>
      </c>
      <c r="X181" s="684">
        <f>IF(終値!A181="","",IF(AND(安値!AC181&lt;安値!AB181,安値!AC181&lt;安値!AA181,安値!AC181&lt;安値!AD181,安値!AC181&lt;安値!AE181),24,""))</f>
      </c>
      <c r="Y181" s="684">
        <f>IF(終値!A181="","",IF(AND(安値!AD181&lt;安値!AC181,安値!AD181&lt;安値!AB181,安値!AD181&lt;安値!AE181,安値!AD181&lt;安値!AF181),25,""))</f>
      </c>
      <c r="Z181" s="684">
        <f>IF(終値!A181="","",IF(AND(安値!AE181&lt;安値!AD181,安値!AE181&lt;安値!AC181,安値!AE181&lt;安値!AF181,安値!AE181&lt;安値!AG181),26,""))</f>
      </c>
      <c r="AA181" s="684">
        <f>IF(終値!A181="","",IF(AND(安値!AF181&lt;安値!AE181,安値!AF181&lt;安値!AD181,安値!AF181&lt;安値!AG181,安値!AF181&lt;安値!AH181),27,""))</f>
      </c>
      <c r="AB181" s="684">
        <f>IF(終値!A181="","",IF(AND(安値!AG181&lt;安値!AF181,安値!AG181&lt;安値!AE181,安値!AG181&lt;安値!AH181,安値!AG181&lt;安値!AI181),28,""))</f>
      </c>
      <c r="AC181" s="684">
        <f>IF(終値!A181="","",IF(AND(高値!G181&gt;高値!F181,高値!G181&gt;高値!E181,高値!G181&gt;高値!H181,高値!G181&gt;高値!I181),2,""))</f>
      </c>
      <c r="AD181" s="684">
        <f>IF(終値!A181="","",IF(AND(高値!H181&gt;高値!G181,高値!H181&gt;高値!F181,高値!H181&gt;高値!I181,高値!H181&gt;高値!J181),3,""))</f>
      </c>
      <c r="AE181" s="684">
        <f>IF(終値!A181="","",IF(AND(高値!I181&gt;高値!H181,高値!I181&gt;高値!G181,高値!I181&gt;高値!J181,高値!I181&gt;高値!K181),4,""))</f>
      </c>
      <c r="AF181" s="684">
        <f>IF(終値!A181="","",IF(AND(高値!J181&gt;高値!I181,高値!J181&gt;高値!H181,高値!J181&gt;高値!K181,高値!J181&gt;高値!L181),5,""))</f>
      </c>
      <c r="AG181" s="684">
        <f>IF(終値!A181="","",IF(AND(高値!K181&gt;高値!J181,高値!K181&gt;高値!I181,高値!K181&gt;高値!L181,高値!K181&gt;高値!M181),6,""))</f>
      </c>
      <c r="AH181" s="684">
        <f>IF(終値!A181="","",IF(AND(高値!L181&gt;高値!K181,高値!L181&gt;高値!J181,高値!L181&gt;高値!M181,高値!L181&gt;高値!N181),7,""))</f>
      </c>
      <c r="AI181" s="684">
        <f>IF(終値!A181="","",IF(AND(高値!M181&gt;高値!L181,高値!M181&gt;高値!K181,高値!M181&gt;高値!N181,高値!M181&gt;高値!O181),8,""))</f>
      </c>
      <c r="AJ181" s="684">
        <f>IF(終値!A181="","",IF(AND(高値!N181&gt;高値!M181,高値!N181&gt;高値!L181,高値!N181&gt;高値!O181,高値!N181&gt;高値!P181),9,""))</f>
      </c>
      <c r="AK181" s="684">
        <f>IF(終値!A181="","",IF(AND(高値!O181&gt;高値!N181,高値!O181&gt;高値!M181,高値!O181&gt;高値!P181,高値!O181&gt;高値!Q181),10,""))</f>
      </c>
      <c r="AL181" s="684">
        <f>IF(終値!A181="","",IF(AND(高値!P181&gt;高値!O181,高値!P181&gt;高値!N181,高値!P181&gt;高値!Q181,高値!P181&gt;高値!R181),11,""))</f>
      </c>
      <c r="AM181" s="684">
        <f>IF(終値!A181="","",IF(AND(高値!Q181&gt;高値!P181,高値!Q181&gt;高値!O181,高値!Q181&gt;高値!R181,高値!Q181&gt;高値!S181),12,""))</f>
      </c>
      <c r="AN181" s="684">
        <f>IF(終値!A181="","",IF(AND(高値!R181&gt;高値!Q181,高値!R181&gt;高値!P181,高値!R181&gt;高値!S181,高値!R181&gt;高値!T181),13,""))</f>
      </c>
      <c r="AO181" s="684">
        <f>IF(終値!A181="","",IF(AND(高値!S181&gt;高値!R181,高値!S181&gt;高値!Q181,高値!S181&gt;高値!T181,高値!S181&gt;高値!U181),14,""))</f>
      </c>
      <c r="AP181" s="684">
        <f>IF(終値!A181="","",IF(AND(高値!T181&gt;高値!S181,高値!T181&gt;高値!R181,高値!T181&gt;高値!U181,高値!T181&gt;高値!V181),15,""))</f>
      </c>
      <c r="AQ181" s="684">
        <f>IF(終値!A181="","",IF(AND(高値!U181&gt;高値!T181,高値!U181&gt;高値!S181,高値!U181&gt;高値!V181,高値!U181&gt;高値!W181),16,""))</f>
      </c>
      <c r="AR181" s="684">
        <f>IF(終値!A181="","",IF(AND(高値!V181&gt;高値!U181,高値!V181&gt;高値!T181,高値!V181&gt;高値!W181,高値!V181&gt;高値!X181),17,""))</f>
      </c>
      <c r="AS181" s="684">
        <f>IF(終値!A181="","",IF(AND(高値!W181&gt;高値!V181,高値!W181&gt;高値!U181,高値!W181&gt;高値!X181,高値!W181&gt;高値!Y181),18,""))</f>
      </c>
      <c r="AT181" s="684">
        <f>IF(終値!A181="","",IF(AND(高値!X181&gt;高値!W181,高値!X181&gt;高値!V181,高値!X181&gt;高値!Y181,高値!X181&gt;高値!Z181),19,""))</f>
      </c>
      <c r="AU181" s="684">
        <f>IF(終値!A181="","",IF(AND(高値!Y181&gt;高値!X181,高値!Y181&gt;高値!W181,高値!Y181&gt;高値!Z181,高値!Y181&gt;高値!AA181),20,""))</f>
      </c>
      <c r="AV181" s="684">
        <f>IF(終値!A181="","",IF(AND(高値!Z181&gt;高値!Y181,高値!Z181&gt;高値!X181,高値!Z181&gt;高値!AA181,高値!Z181&gt;高値!AB181),21,""))</f>
      </c>
      <c r="AW181" s="684">
        <f>IF(終値!A181="","",IF(AND(高値!AA181&gt;高値!Z181,高値!AA181&gt;高値!Y181,高値!AA181&gt;高値!AB181,高値!AA181&gt;高値!AC181),22,""))</f>
      </c>
      <c r="AX181" s="684">
        <f>IF(終値!A181="","",IF(AND(高値!AB181&gt;高値!AA181,高値!AB181&gt;高値!Z181,高値!AB181&gt;高値!AC181,高値!AB181&gt;高値!AD181),23,""))</f>
      </c>
      <c r="AY181" s="684">
        <f>IF(終値!A181="","",IF(AND(高値!AC181&gt;高値!AB181,高値!AC181&gt;高値!AA181,高値!AC181&gt;高値!AD181,高値!AC181&gt;高値!AE181),24,""))</f>
      </c>
      <c r="AZ181" s="684">
        <f>IF(終値!A181="","",IF(AND(高値!AD181&gt;高値!AC181,高値!AD181&gt;高値!AB181,高値!AD181&gt;高値!AE181,高値!AD181&gt;高値!AF181),25,""))</f>
      </c>
      <c r="BA181" s="684">
        <f>IF(終値!A181="","",IF(AND(高値!AE181&gt;高値!AD181,高値!AE181&gt;高値!AC181,高値!AE181&gt;高値!AF181,高値!AE181&gt;高値!AG181),26,""))</f>
      </c>
      <c r="BB181" s="684">
        <f>IF(終値!A181="","",IF(AND(高値!AF181&gt;高値!AE181,高値!AF181&gt;高値!AD181,高値!AF181&gt;高値!AG181,高値!AF181&gt;高値!AH181),27,""))</f>
      </c>
      <c r="BC181" s="684">
        <f>IF(終値!A181="","",IF(AND(高値!AG181&gt;高値!AF181,高値!AG181&gt;高値!AE181,高値!AG181&gt;高値!AH181,高値!AG181&gt;高値!AI181),28,""))</f>
      </c>
      <c r="BD181" s="684">
        <f>COUNT($B181:$AB181)</f>
      </c>
      <c r="BE181" s="684">
        <f>IF($BD181&gt;=2,MIN($B181:$AB181),"")</f>
      </c>
      <c r="BF181" s="684">
        <f>IF($BD181&gt;=2,SMALL($B181:$AB181,2),"")</f>
      </c>
      <c r="BG181" s="684">
        <f>IF($BE181="","",INDEX(安値!$E181:$CZ181,1,$BE181+1))</f>
      </c>
      <c r="BH181" s="684">
        <f>IF($BF181="","",INDEX(安値!$E181:$CZ181,1,$BF181+1))</f>
      </c>
      <c r="BI181" s="684">
        <f>IF($BF181="","",MAX(INDEX(高値!$E181:$CZ181,1,$BE181+1):INDEX(高値!$E181:$CZ181,1,$BF181+1)))</f>
      </c>
      <c r="BJ181" s="684">
        <f>IF($BF181="","",AVERAGE(INDEX(終値!$E181:$CZ181,1,$BF181+1):INDEX(終値!$E181:$CZ181,1,$BF181+20))-2*STDEVP(INDEX(終値!$E181:$CZ181,1,$BF181+1):INDEX(終値!$E181:$CZ181,1,$BF181+20)))</f>
      </c>
      <c r="BK181" s="684">
        <f>IF($BE181="","",AVERAGE(INDEX(終値!$E181:$CZ181,1,$BE181+1):INDEX(終値!$E181:$CZ181,1,$BE181+20))-2*STDEVP(INDEX(終値!$E181:$CZ181,1,$BE181+1):INDEX(終値!$E181:$CZ181,1,$BE181+20)))</f>
      </c>
      <c r="BL181" s="684">
        <f>COUNT($AC181:$BC181)</f>
      </c>
      <c r="BM181" s="684">
        <f>IF($BL181&gt;=2,MIN($AC181:$BC181),"")</f>
      </c>
      <c r="BN181" s="684">
        <f>IF($BL181&gt;=2,SMALL($AC181:$BC181,2),"")</f>
      </c>
      <c r="BO181" s="684">
        <f>IF($BM181="","",INDEX(高値!$E181:$CZ181,1,$BM181+1))</f>
      </c>
      <c r="BP181" s="684">
        <f>IF($BN181="","",INDEX(高値!$E181:$CZ181,1,$BN181+1))</f>
      </c>
      <c r="BQ181" s="684">
        <f>IF($BN181="","",MIN(INDEX(安値!$E181:$CZ181,1,$BM181+1):INDEX(安値!$E181:$CZ181,1,$BN181+1)))</f>
      </c>
      <c r="BR181" s="684">
        <f>IF($BN181="","",AVERAGE(INDEX(終値!$E181:$CZ181,1,$BN181+1):INDEX(終値!$E181:$CZ181,1,$BN181+20))+2*STDEVP(INDEX(終値!$E181:$CZ181,1,$BN181+1):INDEX(終値!$E181:$CZ181,1,$BN181+20)))</f>
      </c>
      <c r="BS181" s="684">
        <f>IF($BM181="","",AVERAGE(INDEX(終値!$E181:$CZ181,1,$BM181+1):INDEX(終値!$E181:$CZ181,1,$BM181+20))+2*STDEVP(INDEX(終値!$E181:$CZ181,1,$BM181+1):INDEX(終値!$E181:$CZ181,1,$BM181+20)))</f>
      </c>
      <c r="BT181" s="681">
        <f>IFERROR(IF(AND($BD181&gt;=2,ABS($BG181-$BH181)/$BH181&lt;=BB設定!$B$12,$BI181&gt;=MAX($BH181,$BG181)*(1+BB設定!$B$13),終値!E181&gt;$BG181),IF(OR(終値!E181&gt;=$BI181,AND($BH181&lt;$BJ181,$BG181&gt;=$BK181)),"二番底W▲","二番底W形成"),IF(AND($BL181&gt;=2,ABS($BO181-$BP181)/$BP181&lt;=BB設定!$B$12,$BQ181&lt;=MIN($BP181,$BO181)*(1-BB設定!$B$13),終値!E181&lt;$BO181),IF(OR(終値!E181&lt;=$BQ181,AND($BP181&gt;$BR181,$BO181&lt;=$BS181)),"二番天井M▼","二番天井M形成"),"－")),"－")</f>
      </c>
    </row>
    <row r="182">
      <c r="B182" s="684">
        <f>IF(終値!A182="","",IF(AND(安値!G182&lt;安値!F182,安値!G182&lt;安値!E182,安値!G182&lt;安値!H182,安値!G182&lt;安値!I182),2,""))</f>
      </c>
      <c r="C182" s="684">
        <f>IF(終値!A182="","",IF(AND(安値!H182&lt;安値!G182,安値!H182&lt;安値!F182,安値!H182&lt;安値!I182,安値!H182&lt;安値!J182),3,""))</f>
      </c>
      <c r="D182" s="684">
        <f>IF(終値!A182="","",IF(AND(安値!I182&lt;安値!H182,安値!I182&lt;安値!G182,安値!I182&lt;安値!J182,安値!I182&lt;安値!K182),4,""))</f>
      </c>
      <c r="E182" s="684">
        <f>IF(終値!A182="","",IF(AND(安値!J182&lt;安値!I182,安値!J182&lt;安値!H182,安値!J182&lt;安値!K182,安値!J182&lt;安値!L182),5,""))</f>
      </c>
      <c r="F182" s="684">
        <f>IF(終値!A182="","",IF(AND(安値!K182&lt;安値!J182,安値!K182&lt;安値!I182,安値!K182&lt;安値!L182,安値!K182&lt;安値!M182),6,""))</f>
      </c>
      <c r="G182" s="684">
        <f>IF(終値!A182="","",IF(AND(安値!L182&lt;安値!K182,安値!L182&lt;安値!J182,安値!L182&lt;安値!M182,安値!L182&lt;安値!N182),7,""))</f>
      </c>
      <c r="H182" s="684">
        <f>IF(終値!A182="","",IF(AND(安値!M182&lt;安値!L182,安値!M182&lt;安値!K182,安値!M182&lt;安値!N182,安値!M182&lt;安値!O182),8,""))</f>
      </c>
      <c r="I182" s="684">
        <f>IF(終値!A182="","",IF(AND(安値!N182&lt;安値!M182,安値!N182&lt;安値!L182,安値!N182&lt;安値!O182,安値!N182&lt;安値!P182),9,""))</f>
      </c>
      <c r="J182" s="684">
        <f>IF(終値!A182="","",IF(AND(安値!O182&lt;安値!N182,安値!O182&lt;安値!M182,安値!O182&lt;安値!P182,安値!O182&lt;安値!Q182),10,""))</f>
      </c>
      <c r="K182" s="684">
        <f>IF(終値!A182="","",IF(AND(安値!P182&lt;安値!O182,安値!P182&lt;安値!N182,安値!P182&lt;安値!Q182,安値!P182&lt;安値!R182),11,""))</f>
      </c>
      <c r="L182" s="684">
        <f>IF(終値!A182="","",IF(AND(安値!Q182&lt;安値!P182,安値!Q182&lt;安値!O182,安値!Q182&lt;安値!R182,安値!Q182&lt;安値!S182),12,""))</f>
      </c>
      <c r="M182" s="684">
        <f>IF(終値!A182="","",IF(AND(安値!R182&lt;安値!Q182,安値!R182&lt;安値!P182,安値!R182&lt;安値!S182,安値!R182&lt;安値!T182),13,""))</f>
      </c>
      <c r="N182" s="684">
        <f>IF(終値!A182="","",IF(AND(安値!S182&lt;安値!R182,安値!S182&lt;安値!Q182,安値!S182&lt;安値!T182,安値!S182&lt;安値!U182),14,""))</f>
      </c>
      <c r="O182" s="684">
        <f>IF(終値!A182="","",IF(AND(安値!T182&lt;安値!S182,安値!T182&lt;安値!R182,安値!T182&lt;安値!U182,安値!T182&lt;安値!V182),15,""))</f>
      </c>
      <c r="P182" s="684">
        <f>IF(終値!A182="","",IF(AND(安値!U182&lt;安値!T182,安値!U182&lt;安値!S182,安値!U182&lt;安値!V182,安値!U182&lt;安値!W182),16,""))</f>
      </c>
      <c r="Q182" s="684">
        <f>IF(終値!A182="","",IF(AND(安値!V182&lt;安値!U182,安値!V182&lt;安値!T182,安値!V182&lt;安値!W182,安値!V182&lt;安値!X182),17,""))</f>
      </c>
      <c r="R182" s="684">
        <f>IF(終値!A182="","",IF(AND(安値!W182&lt;安値!V182,安値!W182&lt;安値!U182,安値!W182&lt;安値!X182,安値!W182&lt;安値!Y182),18,""))</f>
      </c>
      <c r="S182" s="684">
        <f>IF(終値!A182="","",IF(AND(安値!X182&lt;安値!W182,安値!X182&lt;安値!V182,安値!X182&lt;安値!Y182,安値!X182&lt;安値!Z182),19,""))</f>
      </c>
      <c r="T182" s="684">
        <f>IF(終値!A182="","",IF(AND(安値!Y182&lt;安値!X182,安値!Y182&lt;安値!W182,安値!Y182&lt;安値!Z182,安値!Y182&lt;安値!AA182),20,""))</f>
      </c>
      <c r="U182" s="684">
        <f>IF(終値!A182="","",IF(AND(安値!Z182&lt;安値!Y182,安値!Z182&lt;安値!X182,安値!Z182&lt;安値!AA182,安値!Z182&lt;安値!AB182),21,""))</f>
      </c>
      <c r="V182" s="684">
        <f>IF(終値!A182="","",IF(AND(安値!AA182&lt;安値!Z182,安値!AA182&lt;安値!Y182,安値!AA182&lt;安値!AB182,安値!AA182&lt;安値!AC182),22,""))</f>
      </c>
      <c r="W182" s="684">
        <f>IF(終値!A182="","",IF(AND(安値!AB182&lt;安値!AA182,安値!AB182&lt;安値!Z182,安値!AB182&lt;安値!AC182,安値!AB182&lt;安値!AD182),23,""))</f>
      </c>
      <c r="X182" s="684">
        <f>IF(終値!A182="","",IF(AND(安値!AC182&lt;安値!AB182,安値!AC182&lt;安値!AA182,安値!AC182&lt;安値!AD182,安値!AC182&lt;安値!AE182),24,""))</f>
      </c>
      <c r="Y182" s="684">
        <f>IF(終値!A182="","",IF(AND(安値!AD182&lt;安値!AC182,安値!AD182&lt;安値!AB182,安値!AD182&lt;安値!AE182,安値!AD182&lt;安値!AF182),25,""))</f>
      </c>
      <c r="Z182" s="684">
        <f>IF(終値!A182="","",IF(AND(安値!AE182&lt;安値!AD182,安値!AE182&lt;安値!AC182,安値!AE182&lt;安値!AF182,安値!AE182&lt;安値!AG182),26,""))</f>
      </c>
      <c r="AA182" s="684">
        <f>IF(終値!A182="","",IF(AND(安値!AF182&lt;安値!AE182,安値!AF182&lt;安値!AD182,安値!AF182&lt;安値!AG182,安値!AF182&lt;安値!AH182),27,""))</f>
      </c>
      <c r="AB182" s="684">
        <f>IF(終値!A182="","",IF(AND(安値!AG182&lt;安値!AF182,安値!AG182&lt;安値!AE182,安値!AG182&lt;安値!AH182,安値!AG182&lt;安値!AI182),28,""))</f>
      </c>
      <c r="AC182" s="684">
        <f>IF(終値!A182="","",IF(AND(高値!G182&gt;高値!F182,高値!G182&gt;高値!E182,高値!G182&gt;高値!H182,高値!G182&gt;高値!I182),2,""))</f>
      </c>
      <c r="AD182" s="684">
        <f>IF(終値!A182="","",IF(AND(高値!H182&gt;高値!G182,高値!H182&gt;高値!F182,高値!H182&gt;高値!I182,高値!H182&gt;高値!J182),3,""))</f>
      </c>
      <c r="AE182" s="684">
        <f>IF(終値!A182="","",IF(AND(高値!I182&gt;高値!H182,高値!I182&gt;高値!G182,高値!I182&gt;高値!J182,高値!I182&gt;高値!K182),4,""))</f>
      </c>
      <c r="AF182" s="684">
        <f>IF(終値!A182="","",IF(AND(高値!J182&gt;高値!I182,高値!J182&gt;高値!H182,高値!J182&gt;高値!K182,高値!J182&gt;高値!L182),5,""))</f>
      </c>
      <c r="AG182" s="684">
        <f>IF(終値!A182="","",IF(AND(高値!K182&gt;高値!J182,高値!K182&gt;高値!I182,高値!K182&gt;高値!L182,高値!K182&gt;高値!M182),6,""))</f>
      </c>
      <c r="AH182" s="684">
        <f>IF(終値!A182="","",IF(AND(高値!L182&gt;高値!K182,高値!L182&gt;高値!J182,高値!L182&gt;高値!M182,高値!L182&gt;高値!N182),7,""))</f>
      </c>
      <c r="AI182" s="684">
        <f>IF(終値!A182="","",IF(AND(高値!M182&gt;高値!L182,高値!M182&gt;高値!K182,高値!M182&gt;高値!N182,高値!M182&gt;高値!O182),8,""))</f>
      </c>
      <c r="AJ182" s="684">
        <f>IF(終値!A182="","",IF(AND(高値!N182&gt;高値!M182,高値!N182&gt;高値!L182,高値!N182&gt;高値!O182,高値!N182&gt;高値!P182),9,""))</f>
      </c>
      <c r="AK182" s="684">
        <f>IF(終値!A182="","",IF(AND(高値!O182&gt;高値!N182,高値!O182&gt;高値!M182,高値!O182&gt;高値!P182,高値!O182&gt;高値!Q182),10,""))</f>
      </c>
      <c r="AL182" s="684">
        <f>IF(終値!A182="","",IF(AND(高値!P182&gt;高値!O182,高値!P182&gt;高値!N182,高値!P182&gt;高値!Q182,高値!P182&gt;高値!R182),11,""))</f>
      </c>
      <c r="AM182" s="684">
        <f>IF(終値!A182="","",IF(AND(高値!Q182&gt;高値!P182,高値!Q182&gt;高値!O182,高値!Q182&gt;高値!R182,高値!Q182&gt;高値!S182),12,""))</f>
      </c>
      <c r="AN182" s="684">
        <f>IF(終値!A182="","",IF(AND(高値!R182&gt;高値!Q182,高値!R182&gt;高値!P182,高値!R182&gt;高値!S182,高値!R182&gt;高値!T182),13,""))</f>
      </c>
      <c r="AO182" s="684">
        <f>IF(終値!A182="","",IF(AND(高値!S182&gt;高値!R182,高値!S182&gt;高値!Q182,高値!S182&gt;高値!T182,高値!S182&gt;高値!U182),14,""))</f>
      </c>
      <c r="AP182" s="684">
        <f>IF(終値!A182="","",IF(AND(高値!T182&gt;高値!S182,高値!T182&gt;高値!R182,高値!T182&gt;高値!U182,高値!T182&gt;高値!V182),15,""))</f>
      </c>
      <c r="AQ182" s="684">
        <f>IF(終値!A182="","",IF(AND(高値!U182&gt;高値!T182,高値!U182&gt;高値!S182,高値!U182&gt;高値!V182,高値!U182&gt;高値!W182),16,""))</f>
      </c>
      <c r="AR182" s="684">
        <f>IF(終値!A182="","",IF(AND(高値!V182&gt;高値!U182,高値!V182&gt;高値!T182,高値!V182&gt;高値!W182,高値!V182&gt;高値!X182),17,""))</f>
      </c>
      <c r="AS182" s="684">
        <f>IF(終値!A182="","",IF(AND(高値!W182&gt;高値!V182,高値!W182&gt;高値!U182,高値!W182&gt;高値!X182,高値!W182&gt;高値!Y182),18,""))</f>
      </c>
      <c r="AT182" s="684">
        <f>IF(終値!A182="","",IF(AND(高値!X182&gt;高値!W182,高値!X182&gt;高値!V182,高値!X182&gt;高値!Y182,高値!X182&gt;高値!Z182),19,""))</f>
      </c>
      <c r="AU182" s="684">
        <f>IF(終値!A182="","",IF(AND(高値!Y182&gt;高値!X182,高値!Y182&gt;高値!W182,高値!Y182&gt;高値!Z182,高値!Y182&gt;高値!AA182),20,""))</f>
      </c>
      <c r="AV182" s="684">
        <f>IF(終値!A182="","",IF(AND(高値!Z182&gt;高値!Y182,高値!Z182&gt;高値!X182,高値!Z182&gt;高値!AA182,高値!Z182&gt;高値!AB182),21,""))</f>
      </c>
      <c r="AW182" s="684">
        <f>IF(終値!A182="","",IF(AND(高値!AA182&gt;高値!Z182,高値!AA182&gt;高値!Y182,高値!AA182&gt;高値!AB182,高値!AA182&gt;高値!AC182),22,""))</f>
      </c>
      <c r="AX182" s="684">
        <f>IF(終値!A182="","",IF(AND(高値!AB182&gt;高値!AA182,高値!AB182&gt;高値!Z182,高値!AB182&gt;高値!AC182,高値!AB182&gt;高値!AD182),23,""))</f>
      </c>
      <c r="AY182" s="684">
        <f>IF(終値!A182="","",IF(AND(高値!AC182&gt;高値!AB182,高値!AC182&gt;高値!AA182,高値!AC182&gt;高値!AD182,高値!AC182&gt;高値!AE182),24,""))</f>
      </c>
      <c r="AZ182" s="684">
        <f>IF(終値!A182="","",IF(AND(高値!AD182&gt;高値!AC182,高値!AD182&gt;高値!AB182,高値!AD182&gt;高値!AE182,高値!AD182&gt;高値!AF182),25,""))</f>
      </c>
      <c r="BA182" s="684">
        <f>IF(終値!A182="","",IF(AND(高値!AE182&gt;高値!AD182,高値!AE182&gt;高値!AC182,高値!AE182&gt;高値!AF182,高値!AE182&gt;高値!AG182),26,""))</f>
      </c>
      <c r="BB182" s="684">
        <f>IF(終値!A182="","",IF(AND(高値!AF182&gt;高値!AE182,高値!AF182&gt;高値!AD182,高値!AF182&gt;高値!AG182,高値!AF182&gt;高値!AH182),27,""))</f>
      </c>
      <c r="BC182" s="684">
        <f>IF(終値!A182="","",IF(AND(高値!AG182&gt;高値!AF182,高値!AG182&gt;高値!AE182,高値!AG182&gt;高値!AH182,高値!AG182&gt;高値!AI182),28,""))</f>
      </c>
      <c r="BD182" s="684">
        <f>COUNT($B182:$AB182)</f>
      </c>
      <c r="BE182" s="684">
        <f>IF($BD182&gt;=2,MIN($B182:$AB182),"")</f>
      </c>
      <c r="BF182" s="684">
        <f>IF($BD182&gt;=2,SMALL($B182:$AB182,2),"")</f>
      </c>
      <c r="BG182" s="684">
        <f>IF($BE182="","",INDEX(安値!$E182:$CZ182,1,$BE182+1))</f>
      </c>
      <c r="BH182" s="684">
        <f>IF($BF182="","",INDEX(安値!$E182:$CZ182,1,$BF182+1))</f>
      </c>
      <c r="BI182" s="684">
        <f>IF($BF182="","",MAX(INDEX(高値!$E182:$CZ182,1,$BE182+1):INDEX(高値!$E182:$CZ182,1,$BF182+1)))</f>
      </c>
      <c r="BJ182" s="684">
        <f>IF($BF182="","",AVERAGE(INDEX(終値!$E182:$CZ182,1,$BF182+1):INDEX(終値!$E182:$CZ182,1,$BF182+20))-2*STDEVP(INDEX(終値!$E182:$CZ182,1,$BF182+1):INDEX(終値!$E182:$CZ182,1,$BF182+20)))</f>
      </c>
      <c r="BK182" s="684">
        <f>IF($BE182="","",AVERAGE(INDEX(終値!$E182:$CZ182,1,$BE182+1):INDEX(終値!$E182:$CZ182,1,$BE182+20))-2*STDEVP(INDEX(終値!$E182:$CZ182,1,$BE182+1):INDEX(終値!$E182:$CZ182,1,$BE182+20)))</f>
      </c>
      <c r="BL182" s="684">
        <f>COUNT($AC182:$BC182)</f>
      </c>
      <c r="BM182" s="684">
        <f>IF($BL182&gt;=2,MIN($AC182:$BC182),"")</f>
      </c>
      <c r="BN182" s="684">
        <f>IF($BL182&gt;=2,SMALL($AC182:$BC182,2),"")</f>
      </c>
      <c r="BO182" s="684">
        <f>IF($BM182="","",INDEX(高値!$E182:$CZ182,1,$BM182+1))</f>
      </c>
      <c r="BP182" s="684">
        <f>IF($BN182="","",INDEX(高値!$E182:$CZ182,1,$BN182+1))</f>
      </c>
      <c r="BQ182" s="684">
        <f>IF($BN182="","",MIN(INDEX(安値!$E182:$CZ182,1,$BM182+1):INDEX(安値!$E182:$CZ182,1,$BN182+1)))</f>
      </c>
      <c r="BR182" s="684">
        <f>IF($BN182="","",AVERAGE(INDEX(終値!$E182:$CZ182,1,$BN182+1):INDEX(終値!$E182:$CZ182,1,$BN182+20))+2*STDEVP(INDEX(終値!$E182:$CZ182,1,$BN182+1):INDEX(終値!$E182:$CZ182,1,$BN182+20)))</f>
      </c>
      <c r="BS182" s="684">
        <f>IF($BM182="","",AVERAGE(INDEX(終値!$E182:$CZ182,1,$BM182+1):INDEX(終値!$E182:$CZ182,1,$BM182+20))+2*STDEVP(INDEX(終値!$E182:$CZ182,1,$BM182+1):INDEX(終値!$E182:$CZ182,1,$BM182+20)))</f>
      </c>
      <c r="BT182" s="681">
        <f>IFERROR(IF(AND($BD182&gt;=2,ABS($BG182-$BH182)/$BH182&lt;=BB設定!$B$12,$BI182&gt;=MAX($BH182,$BG182)*(1+BB設定!$B$13),終値!E182&gt;$BG182),IF(OR(終値!E182&gt;=$BI182,AND($BH182&lt;$BJ182,$BG182&gt;=$BK182)),"二番底W▲","二番底W形成"),IF(AND($BL182&gt;=2,ABS($BO182-$BP182)/$BP182&lt;=BB設定!$B$12,$BQ182&lt;=MIN($BP182,$BO182)*(1-BB設定!$B$13),終値!E182&lt;$BO182),IF(OR(終値!E182&lt;=$BQ182,AND($BP182&gt;$BR182,$BO182&lt;=$BS182)),"二番天井M▼","二番天井M形成"),"－")),"－")</f>
      </c>
    </row>
    <row r="183">
      <c r="B183" s="684">
        <f>IF(終値!A183="","",IF(AND(安値!G183&lt;安値!F183,安値!G183&lt;安値!E183,安値!G183&lt;安値!H183,安値!G183&lt;安値!I183),2,""))</f>
      </c>
      <c r="C183" s="684">
        <f>IF(終値!A183="","",IF(AND(安値!H183&lt;安値!G183,安値!H183&lt;安値!F183,安値!H183&lt;安値!I183,安値!H183&lt;安値!J183),3,""))</f>
      </c>
      <c r="D183" s="684">
        <f>IF(終値!A183="","",IF(AND(安値!I183&lt;安値!H183,安値!I183&lt;安値!G183,安値!I183&lt;安値!J183,安値!I183&lt;安値!K183),4,""))</f>
      </c>
      <c r="E183" s="684">
        <f>IF(終値!A183="","",IF(AND(安値!J183&lt;安値!I183,安値!J183&lt;安値!H183,安値!J183&lt;安値!K183,安値!J183&lt;安値!L183),5,""))</f>
      </c>
      <c r="F183" s="684">
        <f>IF(終値!A183="","",IF(AND(安値!K183&lt;安値!J183,安値!K183&lt;安値!I183,安値!K183&lt;安値!L183,安値!K183&lt;安値!M183),6,""))</f>
      </c>
      <c r="G183" s="684">
        <f>IF(終値!A183="","",IF(AND(安値!L183&lt;安値!K183,安値!L183&lt;安値!J183,安値!L183&lt;安値!M183,安値!L183&lt;安値!N183),7,""))</f>
      </c>
      <c r="H183" s="684">
        <f>IF(終値!A183="","",IF(AND(安値!M183&lt;安値!L183,安値!M183&lt;安値!K183,安値!M183&lt;安値!N183,安値!M183&lt;安値!O183),8,""))</f>
      </c>
      <c r="I183" s="684">
        <f>IF(終値!A183="","",IF(AND(安値!N183&lt;安値!M183,安値!N183&lt;安値!L183,安値!N183&lt;安値!O183,安値!N183&lt;安値!P183),9,""))</f>
      </c>
      <c r="J183" s="684">
        <f>IF(終値!A183="","",IF(AND(安値!O183&lt;安値!N183,安値!O183&lt;安値!M183,安値!O183&lt;安値!P183,安値!O183&lt;安値!Q183),10,""))</f>
      </c>
      <c r="K183" s="684">
        <f>IF(終値!A183="","",IF(AND(安値!P183&lt;安値!O183,安値!P183&lt;安値!N183,安値!P183&lt;安値!Q183,安値!P183&lt;安値!R183),11,""))</f>
      </c>
      <c r="L183" s="684">
        <f>IF(終値!A183="","",IF(AND(安値!Q183&lt;安値!P183,安値!Q183&lt;安値!O183,安値!Q183&lt;安値!R183,安値!Q183&lt;安値!S183),12,""))</f>
      </c>
      <c r="M183" s="684">
        <f>IF(終値!A183="","",IF(AND(安値!R183&lt;安値!Q183,安値!R183&lt;安値!P183,安値!R183&lt;安値!S183,安値!R183&lt;安値!T183),13,""))</f>
      </c>
      <c r="N183" s="684">
        <f>IF(終値!A183="","",IF(AND(安値!S183&lt;安値!R183,安値!S183&lt;安値!Q183,安値!S183&lt;安値!T183,安値!S183&lt;安値!U183),14,""))</f>
      </c>
      <c r="O183" s="684">
        <f>IF(終値!A183="","",IF(AND(安値!T183&lt;安値!S183,安値!T183&lt;安値!R183,安値!T183&lt;安値!U183,安値!T183&lt;安値!V183),15,""))</f>
      </c>
      <c r="P183" s="684">
        <f>IF(終値!A183="","",IF(AND(安値!U183&lt;安値!T183,安値!U183&lt;安値!S183,安値!U183&lt;安値!V183,安値!U183&lt;安値!W183),16,""))</f>
      </c>
      <c r="Q183" s="684">
        <f>IF(終値!A183="","",IF(AND(安値!V183&lt;安値!U183,安値!V183&lt;安値!T183,安値!V183&lt;安値!W183,安値!V183&lt;安値!X183),17,""))</f>
      </c>
      <c r="R183" s="684">
        <f>IF(終値!A183="","",IF(AND(安値!W183&lt;安値!V183,安値!W183&lt;安値!U183,安値!W183&lt;安値!X183,安値!W183&lt;安値!Y183),18,""))</f>
      </c>
      <c r="S183" s="684">
        <f>IF(終値!A183="","",IF(AND(安値!X183&lt;安値!W183,安値!X183&lt;安値!V183,安値!X183&lt;安値!Y183,安値!X183&lt;安値!Z183),19,""))</f>
      </c>
      <c r="T183" s="684">
        <f>IF(終値!A183="","",IF(AND(安値!Y183&lt;安値!X183,安値!Y183&lt;安値!W183,安値!Y183&lt;安値!Z183,安値!Y183&lt;安値!AA183),20,""))</f>
      </c>
      <c r="U183" s="684">
        <f>IF(終値!A183="","",IF(AND(安値!Z183&lt;安値!Y183,安値!Z183&lt;安値!X183,安値!Z183&lt;安値!AA183,安値!Z183&lt;安値!AB183),21,""))</f>
      </c>
      <c r="V183" s="684">
        <f>IF(終値!A183="","",IF(AND(安値!AA183&lt;安値!Z183,安値!AA183&lt;安値!Y183,安値!AA183&lt;安値!AB183,安値!AA183&lt;安値!AC183),22,""))</f>
      </c>
      <c r="W183" s="684">
        <f>IF(終値!A183="","",IF(AND(安値!AB183&lt;安値!AA183,安値!AB183&lt;安値!Z183,安値!AB183&lt;安値!AC183,安値!AB183&lt;安値!AD183),23,""))</f>
      </c>
      <c r="X183" s="684">
        <f>IF(終値!A183="","",IF(AND(安値!AC183&lt;安値!AB183,安値!AC183&lt;安値!AA183,安値!AC183&lt;安値!AD183,安値!AC183&lt;安値!AE183),24,""))</f>
      </c>
      <c r="Y183" s="684">
        <f>IF(終値!A183="","",IF(AND(安値!AD183&lt;安値!AC183,安値!AD183&lt;安値!AB183,安値!AD183&lt;安値!AE183,安値!AD183&lt;安値!AF183),25,""))</f>
      </c>
      <c r="Z183" s="684">
        <f>IF(終値!A183="","",IF(AND(安値!AE183&lt;安値!AD183,安値!AE183&lt;安値!AC183,安値!AE183&lt;安値!AF183,安値!AE183&lt;安値!AG183),26,""))</f>
      </c>
      <c r="AA183" s="684">
        <f>IF(終値!A183="","",IF(AND(安値!AF183&lt;安値!AE183,安値!AF183&lt;安値!AD183,安値!AF183&lt;安値!AG183,安値!AF183&lt;安値!AH183),27,""))</f>
      </c>
      <c r="AB183" s="684">
        <f>IF(終値!A183="","",IF(AND(安値!AG183&lt;安値!AF183,安値!AG183&lt;安値!AE183,安値!AG183&lt;安値!AH183,安値!AG183&lt;安値!AI183),28,""))</f>
      </c>
      <c r="AC183" s="684">
        <f>IF(終値!A183="","",IF(AND(高値!G183&gt;高値!F183,高値!G183&gt;高値!E183,高値!G183&gt;高値!H183,高値!G183&gt;高値!I183),2,""))</f>
      </c>
      <c r="AD183" s="684">
        <f>IF(終値!A183="","",IF(AND(高値!H183&gt;高値!G183,高値!H183&gt;高値!F183,高値!H183&gt;高値!I183,高値!H183&gt;高値!J183),3,""))</f>
      </c>
      <c r="AE183" s="684">
        <f>IF(終値!A183="","",IF(AND(高値!I183&gt;高値!H183,高値!I183&gt;高値!G183,高値!I183&gt;高値!J183,高値!I183&gt;高値!K183),4,""))</f>
      </c>
      <c r="AF183" s="684">
        <f>IF(終値!A183="","",IF(AND(高値!J183&gt;高値!I183,高値!J183&gt;高値!H183,高値!J183&gt;高値!K183,高値!J183&gt;高値!L183),5,""))</f>
      </c>
      <c r="AG183" s="684">
        <f>IF(終値!A183="","",IF(AND(高値!K183&gt;高値!J183,高値!K183&gt;高値!I183,高値!K183&gt;高値!L183,高値!K183&gt;高値!M183),6,""))</f>
      </c>
      <c r="AH183" s="684">
        <f>IF(終値!A183="","",IF(AND(高値!L183&gt;高値!K183,高値!L183&gt;高値!J183,高値!L183&gt;高値!M183,高値!L183&gt;高値!N183),7,""))</f>
      </c>
      <c r="AI183" s="684">
        <f>IF(終値!A183="","",IF(AND(高値!M183&gt;高値!L183,高値!M183&gt;高値!K183,高値!M183&gt;高値!N183,高値!M183&gt;高値!O183),8,""))</f>
      </c>
      <c r="AJ183" s="684">
        <f>IF(終値!A183="","",IF(AND(高値!N183&gt;高値!M183,高値!N183&gt;高値!L183,高値!N183&gt;高値!O183,高値!N183&gt;高値!P183),9,""))</f>
      </c>
      <c r="AK183" s="684">
        <f>IF(終値!A183="","",IF(AND(高値!O183&gt;高値!N183,高値!O183&gt;高値!M183,高値!O183&gt;高値!P183,高値!O183&gt;高値!Q183),10,""))</f>
      </c>
      <c r="AL183" s="684">
        <f>IF(終値!A183="","",IF(AND(高値!P183&gt;高値!O183,高値!P183&gt;高値!N183,高値!P183&gt;高値!Q183,高値!P183&gt;高値!R183),11,""))</f>
      </c>
      <c r="AM183" s="684">
        <f>IF(終値!A183="","",IF(AND(高値!Q183&gt;高値!P183,高値!Q183&gt;高値!O183,高値!Q183&gt;高値!R183,高値!Q183&gt;高値!S183),12,""))</f>
      </c>
      <c r="AN183" s="684">
        <f>IF(終値!A183="","",IF(AND(高値!R183&gt;高値!Q183,高値!R183&gt;高値!P183,高値!R183&gt;高値!S183,高値!R183&gt;高値!T183),13,""))</f>
      </c>
      <c r="AO183" s="684">
        <f>IF(終値!A183="","",IF(AND(高値!S183&gt;高値!R183,高値!S183&gt;高値!Q183,高値!S183&gt;高値!T183,高値!S183&gt;高値!U183),14,""))</f>
      </c>
      <c r="AP183" s="684">
        <f>IF(終値!A183="","",IF(AND(高値!T183&gt;高値!S183,高値!T183&gt;高値!R183,高値!T183&gt;高値!U183,高値!T183&gt;高値!V183),15,""))</f>
      </c>
      <c r="AQ183" s="684">
        <f>IF(終値!A183="","",IF(AND(高値!U183&gt;高値!T183,高値!U183&gt;高値!S183,高値!U183&gt;高値!V183,高値!U183&gt;高値!W183),16,""))</f>
      </c>
      <c r="AR183" s="684">
        <f>IF(終値!A183="","",IF(AND(高値!V183&gt;高値!U183,高値!V183&gt;高値!T183,高値!V183&gt;高値!W183,高値!V183&gt;高値!X183),17,""))</f>
      </c>
      <c r="AS183" s="684">
        <f>IF(終値!A183="","",IF(AND(高値!W183&gt;高値!V183,高値!W183&gt;高値!U183,高値!W183&gt;高値!X183,高値!W183&gt;高値!Y183),18,""))</f>
      </c>
      <c r="AT183" s="684">
        <f>IF(終値!A183="","",IF(AND(高値!X183&gt;高値!W183,高値!X183&gt;高値!V183,高値!X183&gt;高値!Y183,高値!X183&gt;高値!Z183),19,""))</f>
      </c>
      <c r="AU183" s="684">
        <f>IF(終値!A183="","",IF(AND(高値!Y183&gt;高値!X183,高値!Y183&gt;高値!W183,高値!Y183&gt;高値!Z183,高値!Y183&gt;高値!AA183),20,""))</f>
      </c>
      <c r="AV183" s="684">
        <f>IF(終値!A183="","",IF(AND(高値!Z183&gt;高値!Y183,高値!Z183&gt;高値!X183,高値!Z183&gt;高値!AA183,高値!Z183&gt;高値!AB183),21,""))</f>
      </c>
      <c r="AW183" s="684">
        <f>IF(終値!A183="","",IF(AND(高値!AA183&gt;高値!Z183,高値!AA183&gt;高値!Y183,高値!AA183&gt;高値!AB183,高値!AA183&gt;高値!AC183),22,""))</f>
      </c>
      <c r="AX183" s="684">
        <f>IF(終値!A183="","",IF(AND(高値!AB183&gt;高値!AA183,高値!AB183&gt;高値!Z183,高値!AB183&gt;高値!AC183,高値!AB183&gt;高値!AD183),23,""))</f>
      </c>
      <c r="AY183" s="684">
        <f>IF(終値!A183="","",IF(AND(高値!AC183&gt;高値!AB183,高値!AC183&gt;高値!AA183,高値!AC183&gt;高値!AD183,高値!AC183&gt;高値!AE183),24,""))</f>
      </c>
      <c r="AZ183" s="684">
        <f>IF(終値!A183="","",IF(AND(高値!AD183&gt;高値!AC183,高値!AD183&gt;高値!AB183,高値!AD183&gt;高値!AE183,高値!AD183&gt;高値!AF183),25,""))</f>
      </c>
      <c r="BA183" s="684">
        <f>IF(終値!A183="","",IF(AND(高値!AE183&gt;高値!AD183,高値!AE183&gt;高値!AC183,高値!AE183&gt;高値!AF183,高値!AE183&gt;高値!AG183),26,""))</f>
      </c>
      <c r="BB183" s="684">
        <f>IF(終値!A183="","",IF(AND(高値!AF183&gt;高値!AE183,高値!AF183&gt;高値!AD183,高値!AF183&gt;高値!AG183,高値!AF183&gt;高値!AH183),27,""))</f>
      </c>
      <c r="BC183" s="684">
        <f>IF(終値!A183="","",IF(AND(高値!AG183&gt;高値!AF183,高値!AG183&gt;高値!AE183,高値!AG183&gt;高値!AH183,高値!AG183&gt;高値!AI183),28,""))</f>
      </c>
      <c r="BD183" s="684">
        <f>COUNT($B183:$AB183)</f>
      </c>
      <c r="BE183" s="684">
        <f>IF($BD183&gt;=2,MIN($B183:$AB183),"")</f>
      </c>
      <c r="BF183" s="684">
        <f>IF($BD183&gt;=2,SMALL($B183:$AB183,2),"")</f>
      </c>
      <c r="BG183" s="684">
        <f>IF($BE183="","",INDEX(安値!$E183:$CZ183,1,$BE183+1))</f>
      </c>
      <c r="BH183" s="684">
        <f>IF($BF183="","",INDEX(安値!$E183:$CZ183,1,$BF183+1))</f>
      </c>
      <c r="BI183" s="684">
        <f>IF($BF183="","",MAX(INDEX(高値!$E183:$CZ183,1,$BE183+1):INDEX(高値!$E183:$CZ183,1,$BF183+1)))</f>
      </c>
      <c r="BJ183" s="684">
        <f>IF($BF183="","",AVERAGE(INDEX(終値!$E183:$CZ183,1,$BF183+1):INDEX(終値!$E183:$CZ183,1,$BF183+20))-2*STDEVP(INDEX(終値!$E183:$CZ183,1,$BF183+1):INDEX(終値!$E183:$CZ183,1,$BF183+20)))</f>
      </c>
      <c r="BK183" s="684">
        <f>IF($BE183="","",AVERAGE(INDEX(終値!$E183:$CZ183,1,$BE183+1):INDEX(終値!$E183:$CZ183,1,$BE183+20))-2*STDEVP(INDEX(終値!$E183:$CZ183,1,$BE183+1):INDEX(終値!$E183:$CZ183,1,$BE183+20)))</f>
      </c>
      <c r="BL183" s="684">
        <f>COUNT($AC183:$BC183)</f>
      </c>
      <c r="BM183" s="684">
        <f>IF($BL183&gt;=2,MIN($AC183:$BC183),"")</f>
      </c>
      <c r="BN183" s="684">
        <f>IF($BL183&gt;=2,SMALL($AC183:$BC183,2),"")</f>
      </c>
      <c r="BO183" s="684">
        <f>IF($BM183="","",INDEX(高値!$E183:$CZ183,1,$BM183+1))</f>
      </c>
      <c r="BP183" s="684">
        <f>IF($BN183="","",INDEX(高値!$E183:$CZ183,1,$BN183+1))</f>
      </c>
      <c r="BQ183" s="684">
        <f>IF($BN183="","",MIN(INDEX(安値!$E183:$CZ183,1,$BM183+1):INDEX(安値!$E183:$CZ183,1,$BN183+1)))</f>
      </c>
      <c r="BR183" s="684">
        <f>IF($BN183="","",AVERAGE(INDEX(終値!$E183:$CZ183,1,$BN183+1):INDEX(終値!$E183:$CZ183,1,$BN183+20))+2*STDEVP(INDEX(終値!$E183:$CZ183,1,$BN183+1):INDEX(終値!$E183:$CZ183,1,$BN183+20)))</f>
      </c>
      <c r="BS183" s="684">
        <f>IF($BM183="","",AVERAGE(INDEX(終値!$E183:$CZ183,1,$BM183+1):INDEX(終値!$E183:$CZ183,1,$BM183+20))+2*STDEVP(INDEX(終値!$E183:$CZ183,1,$BM183+1):INDEX(終値!$E183:$CZ183,1,$BM183+20)))</f>
      </c>
      <c r="BT183" s="681">
        <f>IFERROR(IF(AND($BD183&gt;=2,ABS($BG183-$BH183)/$BH183&lt;=BB設定!$B$12,$BI183&gt;=MAX($BH183,$BG183)*(1+BB設定!$B$13),終値!E183&gt;$BG183),IF(OR(終値!E183&gt;=$BI183,AND($BH183&lt;$BJ183,$BG183&gt;=$BK183)),"二番底W▲","二番底W形成"),IF(AND($BL183&gt;=2,ABS($BO183-$BP183)/$BP183&lt;=BB設定!$B$12,$BQ183&lt;=MIN($BP183,$BO183)*(1-BB設定!$B$13),終値!E183&lt;$BO183),IF(OR(終値!E183&lt;=$BQ183,AND($BP183&gt;$BR183,$BO183&lt;=$BS183)),"二番天井M▼","二番天井M形成"),"－")),"－")</f>
      </c>
    </row>
    <row r="184">
      <c r="B184" s="684">
        <f>IF(終値!A184="","",IF(AND(安値!G184&lt;安値!F184,安値!G184&lt;安値!E184,安値!G184&lt;安値!H184,安値!G184&lt;安値!I184),2,""))</f>
      </c>
      <c r="C184" s="684">
        <f>IF(終値!A184="","",IF(AND(安値!H184&lt;安値!G184,安値!H184&lt;安値!F184,安値!H184&lt;安値!I184,安値!H184&lt;安値!J184),3,""))</f>
      </c>
      <c r="D184" s="684">
        <f>IF(終値!A184="","",IF(AND(安値!I184&lt;安値!H184,安値!I184&lt;安値!G184,安値!I184&lt;安値!J184,安値!I184&lt;安値!K184),4,""))</f>
      </c>
      <c r="E184" s="684">
        <f>IF(終値!A184="","",IF(AND(安値!J184&lt;安値!I184,安値!J184&lt;安値!H184,安値!J184&lt;安値!K184,安値!J184&lt;安値!L184),5,""))</f>
      </c>
      <c r="F184" s="684">
        <f>IF(終値!A184="","",IF(AND(安値!K184&lt;安値!J184,安値!K184&lt;安値!I184,安値!K184&lt;安値!L184,安値!K184&lt;安値!M184),6,""))</f>
      </c>
      <c r="G184" s="684">
        <f>IF(終値!A184="","",IF(AND(安値!L184&lt;安値!K184,安値!L184&lt;安値!J184,安値!L184&lt;安値!M184,安値!L184&lt;安値!N184),7,""))</f>
      </c>
      <c r="H184" s="684">
        <f>IF(終値!A184="","",IF(AND(安値!M184&lt;安値!L184,安値!M184&lt;安値!K184,安値!M184&lt;安値!N184,安値!M184&lt;安値!O184),8,""))</f>
      </c>
      <c r="I184" s="684">
        <f>IF(終値!A184="","",IF(AND(安値!N184&lt;安値!M184,安値!N184&lt;安値!L184,安値!N184&lt;安値!O184,安値!N184&lt;安値!P184),9,""))</f>
      </c>
      <c r="J184" s="684">
        <f>IF(終値!A184="","",IF(AND(安値!O184&lt;安値!N184,安値!O184&lt;安値!M184,安値!O184&lt;安値!P184,安値!O184&lt;安値!Q184),10,""))</f>
      </c>
      <c r="K184" s="684">
        <f>IF(終値!A184="","",IF(AND(安値!P184&lt;安値!O184,安値!P184&lt;安値!N184,安値!P184&lt;安値!Q184,安値!P184&lt;安値!R184),11,""))</f>
      </c>
      <c r="L184" s="684">
        <f>IF(終値!A184="","",IF(AND(安値!Q184&lt;安値!P184,安値!Q184&lt;安値!O184,安値!Q184&lt;安値!R184,安値!Q184&lt;安値!S184),12,""))</f>
      </c>
      <c r="M184" s="684">
        <f>IF(終値!A184="","",IF(AND(安値!R184&lt;安値!Q184,安値!R184&lt;安値!P184,安値!R184&lt;安値!S184,安値!R184&lt;安値!T184),13,""))</f>
      </c>
      <c r="N184" s="684">
        <f>IF(終値!A184="","",IF(AND(安値!S184&lt;安値!R184,安値!S184&lt;安値!Q184,安値!S184&lt;安値!T184,安値!S184&lt;安値!U184),14,""))</f>
      </c>
      <c r="O184" s="684">
        <f>IF(終値!A184="","",IF(AND(安値!T184&lt;安値!S184,安値!T184&lt;安値!R184,安値!T184&lt;安値!U184,安値!T184&lt;安値!V184),15,""))</f>
      </c>
      <c r="P184" s="684">
        <f>IF(終値!A184="","",IF(AND(安値!U184&lt;安値!T184,安値!U184&lt;安値!S184,安値!U184&lt;安値!V184,安値!U184&lt;安値!W184),16,""))</f>
      </c>
      <c r="Q184" s="684">
        <f>IF(終値!A184="","",IF(AND(安値!V184&lt;安値!U184,安値!V184&lt;安値!T184,安値!V184&lt;安値!W184,安値!V184&lt;安値!X184),17,""))</f>
      </c>
      <c r="R184" s="684">
        <f>IF(終値!A184="","",IF(AND(安値!W184&lt;安値!V184,安値!W184&lt;安値!U184,安値!W184&lt;安値!X184,安値!W184&lt;安値!Y184),18,""))</f>
      </c>
      <c r="S184" s="684">
        <f>IF(終値!A184="","",IF(AND(安値!X184&lt;安値!W184,安値!X184&lt;安値!V184,安値!X184&lt;安値!Y184,安値!X184&lt;安値!Z184),19,""))</f>
      </c>
      <c r="T184" s="684">
        <f>IF(終値!A184="","",IF(AND(安値!Y184&lt;安値!X184,安値!Y184&lt;安値!W184,安値!Y184&lt;安値!Z184,安値!Y184&lt;安値!AA184),20,""))</f>
      </c>
      <c r="U184" s="684">
        <f>IF(終値!A184="","",IF(AND(安値!Z184&lt;安値!Y184,安値!Z184&lt;安値!X184,安値!Z184&lt;安値!AA184,安値!Z184&lt;安値!AB184),21,""))</f>
      </c>
      <c r="V184" s="684">
        <f>IF(終値!A184="","",IF(AND(安値!AA184&lt;安値!Z184,安値!AA184&lt;安値!Y184,安値!AA184&lt;安値!AB184,安値!AA184&lt;安値!AC184),22,""))</f>
      </c>
      <c r="W184" s="684">
        <f>IF(終値!A184="","",IF(AND(安値!AB184&lt;安値!AA184,安値!AB184&lt;安値!Z184,安値!AB184&lt;安値!AC184,安値!AB184&lt;安値!AD184),23,""))</f>
      </c>
      <c r="X184" s="684">
        <f>IF(終値!A184="","",IF(AND(安値!AC184&lt;安値!AB184,安値!AC184&lt;安値!AA184,安値!AC184&lt;安値!AD184,安値!AC184&lt;安値!AE184),24,""))</f>
      </c>
      <c r="Y184" s="684">
        <f>IF(終値!A184="","",IF(AND(安値!AD184&lt;安値!AC184,安値!AD184&lt;安値!AB184,安値!AD184&lt;安値!AE184,安値!AD184&lt;安値!AF184),25,""))</f>
      </c>
      <c r="Z184" s="684">
        <f>IF(終値!A184="","",IF(AND(安値!AE184&lt;安値!AD184,安値!AE184&lt;安値!AC184,安値!AE184&lt;安値!AF184,安値!AE184&lt;安値!AG184),26,""))</f>
      </c>
      <c r="AA184" s="684">
        <f>IF(終値!A184="","",IF(AND(安値!AF184&lt;安値!AE184,安値!AF184&lt;安値!AD184,安値!AF184&lt;安値!AG184,安値!AF184&lt;安値!AH184),27,""))</f>
      </c>
      <c r="AB184" s="684">
        <f>IF(終値!A184="","",IF(AND(安値!AG184&lt;安値!AF184,安値!AG184&lt;安値!AE184,安値!AG184&lt;安値!AH184,安値!AG184&lt;安値!AI184),28,""))</f>
      </c>
      <c r="AC184" s="684">
        <f>IF(終値!A184="","",IF(AND(高値!G184&gt;高値!F184,高値!G184&gt;高値!E184,高値!G184&gt;高値!H184,高値!G184&gt;高値!I184),2,""))</f>
      </c>
      <c r="AD184" s="684">
        <f>IF(終値!A184="","",IF(AND(高値!H184&gt;高値!G184,高値!H184&gt;高値!F184,高値!H184&gt;高値!I184,高値!H184&gt;高値!J184),3,""))</f>
      </c>
      <c r="AE184" s="684">
        <f>IF(終値!A184="","",IF(AND(高値!I184&gt;高値!H184,高値!I184&gt;高値!G184,高値!I184&gt;高値!J184,高値!I184&gt;高値!K184),4,""))</f>
      </c>
      <c r="AF184" s="684">
        <f>IF(終値!A184="","",IF(AND(高値!J184&gt;高値!I184,高値!J184&gt;高値!H184,高値!J184&gt;高値!K184,高値!J184&gt;高値!L184),5,""))</f>
      </c>
      <c r="AG184" s="684">
        <f>IF(終値!A184="","",IF(AND(高値!K184&gt;高値!J184,高値!K184&gt;高値!I184,高値!K184&gt;高値!L184,高値!K184&gt;高値!M184),6,""))</f>
      </c>
      <c r="AH184" s="684">
        <f>IF(終値!A184="","",IF(AND(高値!L184&gt;高値!K184,高値!L184&gt;高値!J184,高値!L184&gt;高値!M184,高値!L184&gt;高値!N184),7,""))</f>
      </c>
      <c r="AI184" s="684">
        <f>IF(終値!A184="","",IF(AND(高値!M184&gt;高値!L184,高値!M184&gt;高値!K184,高値!M184&gt;高値!N184,高値!M184&gt;高値!O184),8,""))</f>
      </c>
      <c r="AJ184" s="684">
        <f>IF(終値!A184="","",IF(AND(高値!N184&gt;高値!M184,高値!N184&gt;高値!L184,高値!N184&gt;高値!O184,高値!N184&gt;高値!P184),9,""))</f>
      </c>
      <c r="AK184" s="684">
        <f>IF(終値!A184="","",IF(AND(高値!O184&gt;高値!N184,高値!O184&gt;高値!M184,高値!O184&gt;高値!P184,高値!O184&gt;高値!Q184),10,""))</f>
      </c>
      <c r="AL184" s="684">
        <f>IF(終値!A184="","",IF(AND(高値!P184&gt;高値!O184,高値!P184&gt;高値!N184,高値!P184&gt;高値!Q184,高値!P184&gt;高値!R184),11,""))</f>
      </c>
      <c r="AM184" s="684">
        <f>IF(終値!A184="","",IF(AND(高値!Q184&gt;高値!P184,高値!Q184&gt;高値!O184,高値!Q184&gt;高値!R184,高値!Q184&gt;高値!S184),12,""))</f>
      </c>
      <c r="AN184" s="684">
        <f>IF(終値!A184="","",IF(AND(高値!R184&gt;高値!Q184,高値!R184&gt;高値!P184,高値!R184&gt;高値!S184,高値!R184&gt;高値!T184),13,""))</f>
      </c>
      <c r="AO184" s="684">
        <f>IF(終値!A184="","",IF(AND(高値!S184&gt;高値!R184,高値!S184&gt;高値!Q184,高値!S184&gt;高値!T184,高値!S184&gt;高値!U184),14,""))</f>
      </c>
      <c r="AP184" s="684">
        <f>IF(終値!A184="","",IF(AND(高値!T184&gt;高値!S184,高値!T184&gt;高値!R184,高値!T184&gt;高値!U184,高値!T184&gt;高値!V184),15,""))</f>
      </c>
      <c r="AQ184" s="684">
        <f>IF(終値!A184="","",IF(AND(高値!U184&gt;高値!T184,高値!U184&gt;高値!S184,高値!U184&gt;高値!V184,高値!U184&gt;高値!W184),16,""))</f>
      </c>
      <c r="AR184" s="684">
        <f>IF(終値!A184="","",IF(AND(高値!V184&gt;高値!U184,高値!V184&gt;高値!T184,高値!V184&gt;高値!W184,高値!V184&gt;高値!X184),17,""))</f>
      </c>
      <c r="AS184" s="684">
        <f>IF(終値!A184="","",IF(AND(高値!W184&gt;高値!V184,高値!W184&gt;高値!U184,高値!W184&gt;高値!X184,高値!W184&gt;高値!Y184),18,""))</f>
      </c>
      <c r="AT184" s="684">
        <f>IF(終値!A184="","",IF(AND(高値!X184&gt;高値!W184,高値!X184&gt;高値!V184,高値!X184&gt;高値!Y184,高値!X184&gt;高値!Z184),19,""))</f>
      </c>
      <c r="AU184" s="684">
        <f>IF(終値!A184="","",IF(AND(高値!Y184&gt;高値!X184,高値!Y184&gt;高値!W184,高値!Y184&gt;高値!Z184,高値!Y184&gt;高値!AA184),20,""))</f>
      </c>
      <c r="AV184" s="684">
        <f>IF(終値!A184="","",IF(AND(高値!Z184&gt;高値!Y184,高値!Z184&gt;高値!X184,高値!Z184&gt;高値!AA184,高値!Z184&gt;高値!AB184),21,""))</f>
      </c>
      <c r="AW184" s="684">
        <f>IF(終値!A184="","",IF(AND(高値!AA184&gt;高値!Z184,高値!AA184&gt;高値!Y184,高値!AA184&gt;高値!AB184,高値!AA184&gt;高値!AC184),22,""))</f>
      </c>
      <c r="AX184" s="684">
        <f>IF(終値!A184="","",IF(AND(高値!AB184&gt;高値!AA184,高値!AB184&gt;高値!Z184,高値!AB184&gt;高値!AC184,高値!AB184&gt;高値!AD184),23,""))</f>
      </c>
      <c r="AY184" s="684">
        <f>IF(終値!A184="","",IF(AND(高値!AC184&gt;高値!AB184,高値!AC184&gt;高値!AA184,高値!AC184&gt;高値!AD184,高値!AC184&gt;高値!AE184),24,""))</f>
      </c>
      <c r="AZ184" s="684">
        <f>IF(終値!A184="","",IF(AND(高値!AD184&gt;高値!AC184,高値!AD184&gt;高値!AB184,高値!AD184&gt;高値!AE184,高値!AD184&gt;高値!AF184),25,""))</f>
      </c>
      <c r="BA184" s="684">
        <f>IF(終値!A184="","",IF(AND(高値!AE184&gt;高値!AD184,高値!AE184&gt;高値!AC184,高値!AE184&gt;高値!AF184,高値!AE184&gt;高値!AG184),26,""))</f>
      </c>
      <c r="BB184" s="684">
        <f>IF(終値!A184="","",IF(AND(高値!AF184&gt;高値!AE184,高値!AF184&gt;高値!AD184,高値!AF184&gt;高値!AG184,高値!AF184&gt;高値!AH184),27,""))</f>
      </c>
      <c r="BC184" s="684">
        <f>IF(終値!A184="","",IF(AND(高値!AG184&gt;高値!AF184,高値!AG184&gt;高値!AE184,高値!AG184&gt;高値!AH184,高値!AG184&gt;高値!AI184),28,""))</f>
      </c>
      <c r="BD184" s="684">
        <f>COUNT($B184:$AB184)</f>
      </c>
      <c r="BE184" s="684">
        <f>IF($BD184&gt;=2,MIN($B184:$AB184),"")</f>
      </c>
      <c r="BF184" s="684">
        <f>IF($BD184&gt;=2,SMALL($B184:$AB184,2),"")</f>
      </c>
      <c r="BG184" s="684">
        <f>IF($BE184="","",INDEX(安値!$E184:$CZ184,1,$BE184+1))</f>
      </c>
      <c r="BH184" s="684">
        <f>IF($BF184="","",INDEX(安値!$E184:$CZ184,1,$BF184+1))</f>
      </c>
      <c r="BI184" s="684">
        <f>IF($BF184="","",MAX(INDEX(高値!$E184:$CZ184,1,$BE184+1):INDEX(高値!$E184:$CZ184,1,$BF184+1)))</f>
      </c>
      <c r="BJ184" s="684">
        <f>IF($BF184="","",AVERAGE(INDEX(終値!$E184:$CZ184,1,$BF184+1):INDEX(終値!$E184:$CZ184,1,$BF184+20))-2*STDEVP(INDEX(終値!$E184:$CZ184,1,$BF184+1):INDEX(終値!$E184:$CZ184,1,$BF184+20)))</f>
      </c>
      <c r="BK184" s="684">
        <f>IF($BE184="","",AVERAGE(INDEX(終値!$E184:$CZ184,1,$BE184+1):INDEX(終値!$E184:$CZ184,1,$BE184+20))-2*STDEVP(INDEX(終値!$E184:$CZ184,1,$BE184+1):INDEX(終値!$E184:$CZ184,1,$BE184+20)))</f>
      </c>
      <c r="BL184" s="684">
        <f>COUNT($AC184:$BC184)</f>
      </c>
      <c r="BM184" s="684">
        <f>IF($BL184&gt;=2,MIN($AC184:$BC184),"")</f>
      </c>
      <c r="BN184" s="684">
        <f>IF($BL184&gt;=2,SMALL($AC184:$BC184,2),"")</f>
      </c>
      <c r="BO184" s="684">
        <f>IF($BM184="","",INDEX(高値!$E184:$CZ184,1,$BM184+1))</f>
      </c>
      <c r="BP184" s="684">
        <f>IF($BN184="","",INDEX(高値!$E184:$CZ184,1,$BN184+1))</f>
      </c>
      <c r="BQ184" s="684">
        <f>IF($BN184="","",MIN(INDEX(安値!$E184:$CZ184,1,$BM184+1):INDEX(安値!$E184:$CZ184,1,$BN184+1)))</f>
      </c>
      <c r="BR184" s="684">
        <f>IF($BN184="","",AVERAGE(INDEX(終値!$E184:$CZ184,1,$BN184+1):INDEX(終値!$E184:$CZ184,1,$BN184+20))+2*STDEVP(INDEX(終値!$E184:$CZ184,1,$BN184+1):INDEX(終値!$E184:$CZ184,1,$BN184+20)))</f>
      </c>
      <c r="BS184" s="684">
        <f>IF($BM184="","",AVERAGE(INDEX(終値!$E184:$CZ184,1,$BM184+1):INDEX(終値!$E184:$CZ184,1,$BM184+20))+2*STDEVP(INDEX(終値!$E184:$CZ184,1,$BM184+1):INDEX(終値!$E184:$CZ184,1,$BM184+20)))</f>
      </c>
      <c r="BT184" s="681">
        <f>IFERROR(IF(AND($BD184&gt;=2,ABS($BG184-$BH184)/$BH184&lt;=BB設定!$B$12,$BI184&gt;=MAX($BH184,$BG184)*(1+BB設定!$B$13),終値!E184&gt;$BG184),IF(OR(終値!E184&gt;=$BI184,AND($BH184&lt;$BJ184,$BG184&gt;=$BK184)),"二番底W▲","二番底W形成"),IF(AND($BL184&gt;=2,ABS($BO184-$BP184)/$BP184&lt;=BB設定!$B$12,$BQ184&lt;=MIN($BP184,$BO184)*(1-BB設定!$B$13),終値!E184&lt;$BO184),IF(OR(終値!E184&lt;=$BQ184,AND($BP184&gt;$BR184,$BO184&lt;=$BS184)),"二番天井M▼","二番天井M形成"),"－")),"－")</f>
      </c>
    </row>
    <row r="185">
      <c r="B185" s="684">
        <f>IF(終値!A185="","",IF(AND(安値!G185&lt;安値!F185,安値!G185&lt;安値!E185,安値!G185&lt;安値!H185,安値!G185&lt;安値!I185),2,""))</f>
      </c>
      <c r="C185" s="684">
        <f>IF(終値!A185="","",IF(AND(安値!H185&lt;安値!G185,安値!H185&lt;安値!F185,安値!H185&lt;安値!I185,安値!H185&lt;安値!J185),3,""))</f>
      </c>
      <c r="D185" s="684">
        <f>IF(終値!A185="","",IF(AND(安値!I185&lt;安値!H185,安値!I185&lt;安値!G185,安値!I185&lt;安値!J185,安値!I185&lt;安値!K185),4,""))</f>
      </c>
      <c r="E185" s="684">
        <f>IF(終値!A185="","",IF(AND(安値!J185&lt;安値!I185,安値!J185&lt;安値!H185,安値!J185&lt;安値!K185,安値!J185&lt;安値!L185),5,""))</f>
      </c>
      <c r="F185" s="684">
        <f>IF(終値!A185="","",IF(AND(安値!K185&lt;安値!J185,安値!K185&lt;安値!I185,安値!K185&lt;安値!L185,安値!K185&lt;安値!M185),6,""))</f>
      </c>
      <c r="G185" s="684">
        <f>IF(終値!A185="","",IF(AND(安値!L185&lt;安値!K185,安値!L185&lt;安値!J185,安値!L185&lt;安値!M185,安値!L185&lt;安値!N185),7,""))</f>
      </c>
      <c r="H185" s="684">
        <f>IF(終値!A185="","",IF(AND(安値!M185&lt;安値!L185,安値!M185&lt;安値!K185,安値!M185&lt;安値!N185,安値!M185&lt;安値!O185),8,""))</f>
      </c>
      <c r="I185" s="684">
        <f>IF(終値!A185="","",IF(AND(安値!N185&lt;安値!M185,安値!N185&lt;安値!L185,安値!N185&lt;安値!O185,安値!N185&lt;安値!P185),9,""))</f>
      </c>
      <c r="J185" s="684">
        <f>IF(終値!A185="","",IF(AND(安値!O185&lt;安値!N185,安値!O185&lt;安値!M185,安値!O185&lt;安値!P185,安値!O185&lt;安値!Q185),10,""))</f>
      </c>
      <c r="K185" s="684">
        <f>IF(終値!A185="","",IF(AND(安値!P185&lt;安値!O185,安値!P185&lt;安値!N185,安値!P185&lt;安値!Q185,安値!P185&lt;安値!R185),11,""))</f>
      </c>
      <c r="L185" s="684">
        <f>IF(終値!A185="","",IF(AND(安値!Q185&lt;安値!P185,安値!Q185&lt;安値!O185,安値!Q185&lt;安値!R185,安値!Q185&lt;安値!S185),12,""))</f>
      </c>
      <c r="M185" s="684">
        <f>IF(終値!A185="","",IF(AND(安値!R185&lt;安値!Q185,安値!R185&lt;安値!P185,安値!R185&lt;安値!S185,安値!R185&lt;安値!T185),13,""))</f>
      </c>
      <c r="N185" s="684">
        <f>IF(終値!A185="","",IF(AND(安値!S185&lt;安値!R185,安値!S185&lt;安値!Q185,安値!S185&lt;安値!T185,安値!S185&lt;安値!U185),14,""))</f>
      </c>
      <c r="O185" s="684">
        <f>IF(終値!A185="","",IF(AND(安値!T185&lt;安値!S185,安値!T185&lt;安値!R185,安値!T185&lt;安値!U185,安値!T185&lt;安値!V185),15,""))</f>
      </c>
      <c r="P185" s="684">
        <f>IF(終値!A185="","",IF(AND(安値!U185&lt;安値!T185,安値!U185&lt;安値!S185,安値!U185&lt;安値!V185,安値!U185&lt;安値!W185),16,""))</f>
      </c>
      <c r="Q185" s="684">
        <f>IF(終値!A185="","",IF(AND(安値!V185&lt;安値!U185,安値!V185&lt;安値!T185,安値!V185&lt;安値!W185,安値!V185&lt;安値!X185),17,""))</f>
      </c>
      <c r="R185" s="684">
        <f>IF(終値!A185="","",IF(AND(安値!W185&lt;安値!V185,安値!W185&lt;安値!U185,安値!W185&lt;安値!X185,安値!W185&lt;安値!Y185),18,""))</f>
      </c>
      <c r="S185" s="684">
        <f>IF(終値!A185="","",IF(AND(安値!X185&lt;安値!W185,安値!X185&lt;安値!V185,安値!X185&lt;安値!Y185,安値!X185&lt;安値!Z185),19,""))</f>
      </c>
      <c r="T185" s="684">
        <f>IF(終値!A185="","",IF(AND(安値!Y185&lt;安値!X185,安値!Y185&lt;安値!W185,安値!Y185&lt;安値!Z185,安値!Y185&lt;安値!AA185),20,""))</f>
      </c>
      <c r="U185" s="684">
        <f>IF(終値!A185="","",IF(AND(安値!Z185&lt;安値!Y185,安値!Z185&lt;安値!X185,安値!Z185&lt;安値!AA185,安値!Z185&lt;安値!AB185),21,""))</f>
      </c>
      <c r="V185" s="684">
        <f>IF(終値!A185="","",IF(AND(安値!AA185&lt;安値!Z185,安値!AA185&lt;安値!Y185,安値!AA185&lt;安値!AB185,安値!AA185&lt;安値!AC185),22,""))</f>
      </c>
      <c r="W185" s="684">
        <f>IF(終値!A185="","",IF(AND(安値!AB185&lt;安値!AA185,安値!AB185&lt;安値!Z185,安値!AB185&lt;安値!AC185,安値!AB185&lt;安値!AD185),23,""))</f>
      </c>
      <c r="X185" s="684">
        <f>IF(終値!A185="","",IF(AND(安値!AC185&lt;安値!AB185,安値!AC185&lt;安値!AA185,安値!AC185&lt;安値!AD185,安値!AC185&lt;安値!AE185),24,""))</f>
      </c>
      <c r="Y185" s="684">
        <f>IF(終値!A185="","",IF(AND(安値!AD185&lt;安値!AC185,安値!AD185&lt;安値!AB185,安値!AD185&lt;安値!AE185,安値!AD185&lt;安値!AF185),25,""))</f>
      </c>
      <c r="Z185" s="684">
        <f>IF(終値!A185="","",IF(AND(安値!AE185&lt;安値!AD185,安値!AE185&lt;安値!AC185,安値!AE185&lt;安値!AF185,安値!AE185&lt;安値!AG185),26,""))</f>
      </c>
      <c r="AA185" s="684">
        <f>IF(終値!A185="","",IF(AND(安値!AF185&lt;安値!AE185,安値!AF185&lt;安値!AD185,安値!AF185&lt;安値!AG185,安値!AF185&lt;安値!AH185),27,""))</f>
      </c>
      <c r="AB185" s="684">
        <f>IF(終値!A185="","",IF(AND(安値!AG185&lt;安値!AF185,安値!AG185&lt;安値!AE185,安値!AG185&lt;安値!AH185,安値!AG185&lt;安値!AI185),28,""))</f>
      </c>
      <c r="AC185" s="684">
        <f>IF(終値!A185="","",IF(AND(高値!G185&gt;高値!F185,高値!G185&gt;高値!E185,高値!G185&gt;高値!H185,高値!G185&gt;高値!I185),2,""))</f>
      </c>
      <c r="AD185" s="684">
        <f>IF(終値!A185="","",IF(AND(高値!H185&gt;高値!G185,高値!H185&gt;高値!F185,高値!H185&gt;高値!I185,高値!H185&gt;高値!J185),3,""))</f>
      </c>
      <c r="AE185" s="684">
        <f>IF(終値!A185="","",IF(AND(高値!I185&gt;高値!H185,高値!I185&gt;高値!G185,高値!I185&gt;高値!J185,高値!I185&gt;高値!K185),4,""))</f>
      </c>
      <c r="AF185" s="684">
        <f>IF(終値!A185="","",IF(AND(高値!J185&gt;高値!I185,高値!J185&gt;高値!H185,高値!J185&gt;高値!K185,高値!J185&gt;高値!L185),5,""))</f>
      </c>
      <c r="AG185" s="684">
        <f>IF(終値!A185="","",IF(AND(高値!K185&gt;高値!J185,高値!K185&gt;高値!I185,高値!K185&gt;高値!L185,高値!K185&gt;高値!M185),6,""))</f>
      </c>
      <c r="AH185" s="684">
        <f>IF(終値!A185="","",IF(AND(高値!L185&gt;高値!K185,高値!L185&gt;高値!J185,高値!L185&gt;高値!M185,高値!L185&gt;高値!N185),7,""))</f>
      </c>
      <c r="AI185" s="684">
        <f>IF(終値!A185="","",IF(AND(高値!M185&gt;高値!L185,高値!M185&gt;高値!K185,高値!M185&gt;高値!N185,高値!M185&gt;高値!O185),8,""))</f>
      </c>
      <c r="AJ185" s="684">
        <f>IF(終値!A185="","",IF(AND(高値!N185&gt;高値!M185,高値!N185&gt;高値!L185,高値!N185&gt;高値!O185,高値!N185&gt;高値!P185),9,""))</f>
      </c>
      <c r="AK185" s="684">
        <f>IF(終値!A185="","",IF(AND(高値!O185&gt;高値!N185,高値!O185&gt;高値!M185,高値!O185&gt;高値!P185,高値!O185&gt;高値!Q185),10,""))</f>
      </c>
      <c r="AL185" s="684">
        <f>IF(終値!A185="","",IF(AND(高値!P185&gt;高値!O185,高値!P185&gt;高値!N185,高値!P185&gt;高値!Q185,高値!P185&gt;高値!R185),11,""))</f>
      </c>
      <c r="AM185" s="684">
        <f>IF(終値!A185="","",IF(AND(高値!Q185&gt;高値!P185,高値!Q185&gt;高値!O185,高値!Q185&gt;高値!R185,高値!Q185&gt;高値!S185),12,""))</f>
      </c>
      <c r="AN185" s="684">
        <f>IF(終値!A185="","",IF(AND(高値!R185&gt;高値!Q185,高値!R185&gt;高値!P185,高値!R185&gt;高値!S185,高値!R185&gt;高値!T185),13,""))</f>
      </c>
      <c r="AO185" s="684">
        <f>IF(終値!A185="","",IF(AND(高値!S185&gt;高値!R185,高値!S185&gt;高値!Q185,高値!S185&gt;高値!T185,高値!S185&gt;高値!U185),14,""))</f>
      </c>
      <c r="AP185" s="684">
        <f>IF(終値!A185="","",IF(AND(高値!T185&gt;高値!S185,高値!T185&gt;高値!R185,高値!T185&gt;高値!U185,高値!T185&gt;高値!V185),15,""))</f>
      </c>
      <c r="AQ185" s="684">
        <f>IF(終値!A185="","",IF(AND(高値!U185&gt;高値!T185,高値!U185&gt;高値!S185,高値!U185&gt;高値!V185,高値!U185&gt;高値!W185),16,""))</f>
      </c>
      <c r="AR185" s="684">
        <f>IF(終値!A185="","",IF(AND(高値!V185&gt;高値!U185,高値!V185&gt;高値!T185,高値!V185&gt;高値!W185,高値!V185&gt;高値!X185),17,""))</f>
      </c>
      <c r="AS185" s="684">
        <f>IF(終値!A185="","",IF(AND(高値!W185&gt;高値!V185,高値!W185&gt;高値!U185,高値!W185&gt;高値!X185,高値!W185&gt;高値!Y185),18,""))</f>
      </c>
      <c r="AT185" s="684">
        <f>IF(終値!A185="","",IF(AND(高値!X185&gt;高値!W185,高値!X185&gt;高値!V185,高値!X185&gt;高値!Y185,高値!X185&gt;高値!Z185),19,""))</f>
      </c>
      <c r="AU185" s="684">
        <f>IF(終値!A185="","",IF(AND(高値!Y185&gt;高値!X185,高値!Y185&gt;高値!W185,高値!Y185&gt;高値!Z185,高値!Y185&gt;高値!AA185),20,""))</f>
      </c>
      <c r="AV185" s="684">
        <f>IF(終値!A185="","",IF(AND(高値!Z185&gt;高値!Y185,高値!Z185&gt;高値!X185,高値!Z185&gt;高値!AA185,高値!Z185&gt;高値!AB185),21,""))</f>
      </c>
      <c r="AW185" s="684">
        <f>IF(終値!A185="","",IF(AND(高値!AA185&gt;高値!Z185,高値!AA185&gt;高値!Y185,高値!AA185&gt;高値!AB185,高値!AA185&gt;高値!AC185),22,""))</f>
      </c>
      <c r="AX185" s="684">
        <f>IF(終値!A185="","",IF(AND(高値!AB185&gt;高値!AA185,高値!AB185&gt;高値!Z185,高値!AB185&gt;高値!AC185,高値!AB185&gt;高値!AD185),23,""))</f>
      </c>
      <c r="AY185" s="684">
        <f>IF(終値!A185="","",IF(AND(高値!AC185&gt;高値!AB185,高値!AC185&gt;高値!AA185,高値!AC185&gt;高値!AD185,高値!AC185&gt;高値!AE185),24,""))</f>
      </c>
      <c r="AZ185" s="684">
        <f>IF(終値!A185="","",IF(AND(高値!AD185&gt;高値!AC185,高値!AD185&gt;高値!AB185,高値!AD185&gt;高値!AE185,高値!AD185&gt;高値!AF185),25,""))</f>
      </c>
      <c r="BA185" s="684">
        <f>IF(終値!A185="","",IF(AND(高値!AE185&gt;高値!AD185,高値!AE185&gt;高値!AC185,高値!AE185&gt;高値!AF185,高値!AE185&gt;高値!AG185),26,""))</f>
      </c>
      <c r="BB185" s="684">
        <f>IF(終値!A185="","",IF(AND(高値!AF185&gt;高値!AE185,高値!AF185&gt;高値!AD185,高値!AF185&gt;高値!AG185,高値!AF185&gt;高値!AH185),27,""))</f>
      </c>
      <c r="BC185" s="684">
        <f>IF(終値!A185="","",IF(AND(高値!AG185&gt;高値!AF185,高値!AG185&gt;高値!AE185,高値!AG185&gt;高値!AH185,高値!AG185&gt;高値!AI185),28,""))</f>
      </c>
      <c r="BD185" s="684">
        <f>COUNT($B185:$AB185)</f>
      </c>
      <c r="BE185" s="684">
        <f>IF($BD185&gt;=2,MIN($B185:$AB185),"")</f>
      </c>
      <c r="BF185" s="684">
        <f>IF($BD185&gt;=2,SMALL($B185:$AB185,2),"")</f>
      </c>
      <c r="BG185" s="684">
        <f>IF($BE185="","",INDEX(安値!$E185:$CZ185,1,$BE185+1))</f>
      </c>
      <c r="BH185" s="684">
        <f>IF($BF185="","",INDEX(安値!$E185:$CZ185,1,$BF185+1))</f>
      </c>
      <c r="BI185" s="684">
        <f>IF($BF185="","",MAX(INDEX(高値!$E185:$CZ185,1,$BE185+1):INDEX(高値!$E185:$CZ185,1,$BF185+1)))</f>
      </c>
      <c r="BJ185" s="684">
        <f>IF($BF185="","",AVERAGE(INDEX(終値!$E185:$CZ185,1,$BF185+1):INDEX(終値!$E185:$CZ185,1,$BF185+20))-2*STDEVP(INDEX(終値!$E185:$CZ185,1,$BF185+1):INDEX(終値!$E185:$CZ185,1,$BF185+20)))</f>
      </c>
      <c r="BK185" s="684">
        <f>IF($BE185="","",AVERAGE(INDEX(終値!$E185:$CZ185,1,$BE185+1):INDEX(終値!$E185:$CZ185,1,$BE185+20))-2*STDEVP(INDEX(終値!$E185:$CZ185,1,$BE185+1):INDEX(終値!$E185:$CZ185,1,$BE185+20)))</f>
      </c>
      <c r="BL185" s="684">
        <f>COUNT($AC185:$BC185)</f>
      </c>
      <c r="BM185" s="684">
        <f>IF($BL185&gt;=2,MIN($AC185:$BC185),"")</f>
      </c>
      <c r="BN185" s="684">
        <f>IF($BL185&gt;=2,SMALL($AC185:$BC185,2),"")</f>
      </c>
      <c r="BO185" s="684">
        <f>IF($BM185="","",INDEX(高値!$E185:$CZ185,1,$BM185+1))</f>
      </c>
      <c r="BP185" s="684">
        <f>IF($BN185="","",INDEX(高値!$E185:$CZ185,1,$BN185+1))</f>
      </c>
      <c r="BQ185" s="684">
        <f>IF($BN185="","",MIN(INDEX(安値!$E185:$CZ185,1,$BM185+1):INDEX(安値!$E185:$CZ185,1,$BN185+1)))</f>
      </c>
      <c r="BR185" s="684">
        <f>IF($BN185="","",AVERAGE(INDEX(終値!$E185:$CZ185,1,$BN185+1):INDEX(終値!$E185:$CZ185,1,$BN185+20))+2*STDEVP(INDEX(終値!$E185:$CZ185,1,$BN185+1):INDEX(終値!$E185:$CZ185,1,$BN185+20)))</f>
      </c>
      <c r="BS185" s="684">
        <f>IF($BM185="","",AVERAGE(INDEX(終値!$E185:$CZ185,1,$BM185+1):INDEX(終値!$E185:$CZ185,1,$BM185+20))+2*STDEVP(INDEX(終値!$E185:$CZ185,1,$BM185+1):INDEX(終値!$E185:$CZ185,1,$BM185+20)))</f>
      </c>
      <c r="BT185" s="681">
        <f>IFERROR(IF(AND($BD185&gt;=2,ABS($BG185-$BH185)/$BH185&lt;=BB設定!$B$12,$BI185&gt;=MAX($BH185,$BG185)*(1+BB設定!$B$13),終値!E185&gt;$BG185),IF(OR(終値!E185&gt;=$BI185,AND($BH185&lt;$BJ185,$BG185&gt;=$BK185)),"二番底W▲","二番底W形成"),IF(AND($BL185&gt;=2,ABS($BO185-$BP185)/$BP185&lt;=BB設定!$B$12,$BQ185&lt;=MIN($BP185,$BO185)*(1-BB設定!$B$13),終値!E185&lt;$BO185),IF(OR(終値!E185&lt;=$BQ185,AND($BP185&gt;$BR185,$BO185&lt;=$BS185)),"二番天井M▼","二番天井M形成"),"－")),"－")</f>
      </c>
    </row>
    <row r="186">
      <c r="B186" s="684">
        <f>IF(終値!A186="","",IF(AND(安値!G186&lt;安値!F186,安値!G186&lt;安値!E186,安値!G186&lt;安値!H186,安値!G186&lt;安値!I186),2,""))</f>
      </c>
      <c r="C186" s="684">
        <f>IF(終値!A186="","",IF(AND(安値!H186&lt;安値!G186,安値!H186&lt;安値!F186,安値!H186&lt;安値!I186,安値!H186&lt;安値!J186),3,""))</f>
      </c>
      <c r="D186" s="684">
        <f>IF(終値!A186="","",IF(AND(安値!I186&lt;安値!H186,安値!I186&lt;安値!G186,安値!I186&lt;安値!J186,安値!I186&lt;安値!K186),4,""))</f>
      </c>
      <c r="E186" s="684">
        <f>IF(終値!A186="","",IF(AND(安値!J186&lt;安値!I186,安値!J186&lt;安値!H186,安値!J186&lt;安値!K186,安値!J186&lt;安値!L186),5,""))</f>
      </c>
      <c r="F186" s="684">
        <f>IF(終値!A186="","",IF(AND(安値!K186&lt;安値!J186,安値!K186&lt;安値!I186,安値!K186&lt;安値!L186,安値!K186&lt;安値!M186),6,""))</f>
      </c>
      <c r="G186" s="684">
        <f>IF(終値!A186="","",IF(AND(安値!L186&lt;安値!K186,安値!L186&lt;安値!J186,安値!L186&lt;安値!M186,安値!L186&lt;安値!N186),7,""))</f>
      </c>
      <c r="H186" s="684">
        <f>IF(終値!A186="","",IF(AND(安値!M186&lt;安値!L186,安値!M186&lt;安値!K186,安値!M186&lt;安値!N186,安値!M186&lt;安値!O186),8,""))</f>
      </c>
      <c r="I186" s="684">
        <f>IF(終値!A186="","",IF(AND(安値!N186&lt;安値!M186,安値!N186&lt;安値!L186,安値!N186&lt;安値!O186,安値!N186&lt;安値!P186),9,""))</f>
      </c>
      <c r="J186" s="684">
        <f>IF(終値!A186="","",IF(AND(安値!O186&lt;安値!N186,安値!O186&lt;安値!M186,安値!O186&lt;安値!P186,安値!O186&lt;安値!Q186),10,""))</f>
      </c>
      <c r="K186" s="684">
        <f>IF(終値!A186="","",IF(AND(安値!P186&lt;安値!O186,安値!P186&lt;安値!N186,安値!P186&lt;安値!Q186,安値!P186&lt;安値!R186),11,""))</f>
      </c>
      <c r="L186" s="684">
        <f>IF(終値!A186="","",IF(AND(安値!Q186&lt;安値!P186,安値!Q186&lt;安値!O186,安値!Q186&lt;安値!R186,安値!Q186&lt;安値!S186),12,""))</f>
      </c>
      <c r="M186" s="684">
        <f>IF(終値!A186="","",IF(AND(安値!R186&lt;安値!Q186,安値!R186&lt;安値!P186,安値!R186&lt;安値!S186,安値!R186&lt;安値!T186),13,""))</f>
      </c>
      <c r="N186" s="684">
        <f>IF(終値!A186="","",IF(AND(安値!S186&lt;安値!R186,安値!S186&lt;安値!Q186,安値!S186&lt;安値!T186,安値!S186&lt;安値!U186),14,""))</f>
      </c>
      <c r="O186" s="684">
        <f>IF(終値!A186="","",IF(AND(安値!T186&lt;安値!S186,安値!T186&lt;安値!R186,安値!T186&lt;安値!U186,安値!T186&lt;安値!V186),15,""))</f>
      </c>
      <c r="P186" s="684">
        <f>IF(終値!A186="","",IF(AND(安値!U186&lt;安値!T186,安値!U186&lt;安値!S186,安値!U186&lt;安値!V186,安値!U186&lt;安値!W186),16,""))</f>
      </c>
      <c r="Q186" s="684">
        <f>IF(終値!A186="","",IF(AND(安値!V186&lt;安値!U186,安値!V186&lt;安値!T186,安値!V186&lt;安値!W186,安値!V186&lt;安値!X186),17,""))</f>
      </c>
      <c r="R186" s="684">
        <f>IF(終値!A186="","",IF(AND(安値!W186&lt;安値!V186,安値!W186&lt;安値!U186,安値!W186&lt;安値!X186,安値!W186&lt;安値!Y186),18,""))</f>
      </c>
      <c r="S186" s="684">
        <f>IF(終値!A186="","",IF(AND(安値!X186&lt;安値!W186,安値!X186&lt;安値!V186,安値!X186&lt;安値!Y186,安値!X186&lt;安値!Z186),19,""))</f>
      </c>
      <c r="T186" s="684">
        <f>IF(終値!A186="","",IF(AND(安値!Y186&lt;安値!X186,安値!Y186&lt;安値!W186,安値!Y186&lt;安値!Z186,安値!Y186&lt;安値!AA186),20,""))</f>
      </c>
      <c r="U186" s="684">
        <f>IF(終値!A186="","",IF(AND(安値!Z186&lt;安値!Y186,安値!Z186&lt;安値!X186,安値!Z186&lt;安値!AA186,安値!Z186&lt;安値!AB186),21,""))</f>
      </c>
      <c r="V186" s="684">
        <f>IF(終値!A186="","",IF(AND(安値!AA186&lt;安値!Z186,安値!AA186&lt;安値!Y186,安値!AA186&lt;安値!AB186,安値!AA186&lt;安値!AC186),22,""))</f>
      </c>
      <c r="W186" s="684">
        <f>IF(終値!A186="","",IF(AND(安値!AB186&lt;安値!AA186,安値!AB186&lt;安値!Z186,安値!AB186&lt;安値!AC186,安値!AB186&lt;安値!AD186),23,""))</f>
      </c>
      <c r="X186" s="684">
        <f>IF(終値!A186="","",IF(AND(安値!AC186&lt;安値!AB186,安値!AC186&lt;安値!AA186,安値!AC186&lt;安値!AD186,安値!AC186&lt;安値!AE186),24,""))</f>
      </c>
      <c r="Y186" s="684">
        <f>IF(終値!A186="","",IF(AND(安値!AD186&lt;安値!AC186,安値!AD186&lt;安値!AB186,安値!AD186&lt;安値!AE186,安値!AD186&lt;安値!AF186),25,""))</f>
      </c>
      <c r="Z186" s="684">
        <f>IF(終値!A186="","",IF(AND(安値!AE186&lt;安値!AD186,安値!AE186&lt;安値!AC186,安値!AE186&lt;安値!AF186,安値!AE186&lt;安値!AG186),26,""))</f>
      </c>
      <c r="AA186" s="684">
        <f>IF(終値!A186="","",IF(AND(安値!AF186&lt;安値!AE186,安値!AF186&lt;安値!AD186,安値!AF186&lt;安値!AG186,安値!AF186&lt;安値!AH186),27,""))</f>
      </c>
      <c r="AB186" s="684">
        <f>IF(終値!A186="","",IF(AND(安値!AG186&lt;安値!AF186,安値!AG186&lt;安値!AE186,安値!AG186&lt;安値!AH186,安値!AG186&lt;安値!AI186),28,""))</f>
      </c>
      <c r="AC186" s="684">
        <f>IF(終値!A186="","",IF(AND(高値!G186&gt;高値!F186,高値!G186&gt;高値!E186,高値!G186&gt;高値!H186,高値!G186&gt;高値!I186),2,""))</f>
      </c>
      <c r="AD186" s="684">
        <f>IF(終値!A186="","",IF(AND(高値!H186&gt;高値!G186,高値!H186&gt;高値!F186,高値!H186&gt;高値!I186,高値!H186&gt;高値!J186),3,""))</f>
      </c>
      <c r="AE186" s="684">
        <f>IF(終値!A186="","",IF(AND(高値!I186&gt;高値!H186,高値!I186&gt;高値!G186,高値!I186&gt;高値!J186,高値!I186&gt;高値!K186),4,""))</f>
      </c>
      <c r="AF186" s="684">
        <f>IF(終値!A186="","",IF(AND(高値!J186&gt;高値!I186,高値!J186&gt;高値!H186,高値!J186&gt;高値!K186,高値!J186&gt;高値!L186),5,""))</f>
      </c>
      <c r="AG186" s="684">
        <f>IF(終値!A186="","",IF(AND(高値!K186&gt;高値!J186,高値!K186&gt;高値!I186,高値!K186&gt;高値!L186,高値!K186&gt;高値!M186),6,""))</f>
      </c>
      <c r="AH186" s="684">
        <f>IF(終値!A186="","",IF(AND(高値!L186&gt;高値!K186,高値!L186&gt;高値!J186,高値!L186&gt;高値!M186,高値!L186&gt;高値!N186),7,""))</f>
      </c>
      <c r="AI186" s="684">
        <f>IF(終値!A186="","",IF(AND(高値!M186&gt;高値!L186,高値!M186&gt;高値!K186,高値!M186&gt;高値!N186,高値!M186&gt;高値!O186),8,""))</f>
      </c>
      <c r="AJ186" s="684">
        <f>IF(終値!A186="","",IF(AND(高値!N186&gt;高値!M186,高値!N186&gt;高値!L186,高値!N186&gt;高値!O186,高値!N186&gt;高値!P186),9,""))</f>
      </c>
      <c r="AK186" s="684">
        <f>IF(終値!A186="","",IF(AND(高値!O186&gt;高値!N186,高値!O186&gt;高値!M186,高値!O186&gt;高値!P186,高値!O186&gt;高値!Q186),10,""))</f>
      </c>
      <c r="AL186" s="684">
        <f>IF(終値!A186="","",IF(AND(高値!P186&gt;高値!O186,高値!P186&gt;高値!N186,高値!P186&gt;高値!Q186,高値!P186&gt;高値!R186),11,""))</f>
      </c>
      <c r="AM186" s="684">
        <f>IF(終値!A186="","",IF(AND(高値!Q186&gt;高値!P186,高値!Q186&gt;高値!O186,高値!Q186&gt;高値!R186,高値!Q186&gt;高値!S186),12,""))</f>
      </c>
      <c r="AN186" s="684">
        <f>IF(終値!A186="","",IF(AND(高値!R186&gt;高値!Q186,高値!R186&gt;高値!P186,高値!R186&gt;高値!S186,高値!R186&gt;高値!T186),13,""))</f>
      </c>
      <c r="AO186" s="684">
        <f>IF(終値!A186="","",IF(AND(高値!S186&gt;高値!R186,高値!S186&gt;高値!Q186,高値!S186&gt;高値!T186,高値!S186&gt;高値!U186),14,""))</f>
      </c>
      <c r="AP186" s="684">
        <f>IF(終値!A186="","",IF(AND(高値!T186&gt;高値!S186,高値!T186&gt;高値!R186,高値!T186&gt;高値!U186,高値!T186&gt;高値!V186),15,""))</f>
      </c>
      <c r="AQ186" s="684">
        <f>IF(終値!A186="","",IF(AND(高値!U186&gt;高値!T186,高値!U186&gt;高値!S186,高値!U186&gt;高値!V186,高値!U186&gt;高値!W186),16,""))</f>
      </c>
      <c r="AR186" s="684">
        <f>IF(終値!A186="","",IF(AND(高値!V186&gt;高値!U186,高値!V186&gt;高値!T186,高値!V186&gt;高値!W186,高値!V186&gt;高値!X186),17,""))</f>
      </c>
      <c r="AS186" s="684">
        <f>IF(終値!A186="","",IF(AND(高値!W186&gt;高値!V186,高値!W186&gt;高値!U186,高値!W186&gt;高値!X186,高値!W186&gt;高値!Y186),18,""))</f>
      </c>
      <c r="AT186" s="684">
        <f>IF(終値!A186="","",IF(AND(高値!X186&gt;高値!W186,高値!X186&gt;高値!V186,高値!X186&gt;高値!Y186,高値!X186&gt;高値!Z186),19,""))</f>
      </c>
      <c r="AU186" s="684">
        <f>IF(終値!A186="","",IF(AND(高値!Y186&gt;高値!X186,高値!Y186&gt;高値!W186,高値!Y186&gt;高値!Z186,高値!Y186&gt;高値!AA186),20,""))</f>
      </c>
      <c r="AV186" s="684">
        <f>IF(終値!A186="","",IF(AND(高値!Z186&gt;高値!Y186,高値!Z186&gt;高値!X186,高値!Z186&gt;高値!AA186,高値!Z186&gt;高値!AB186),21,""))</f>
      </c>
      <c r="AW186" s="684">
        <f>IF(終値!A186="","",IF(AND(高値!AA186&gt;高値!Z186,高値!AA186&gt;高値!Y186,高値!AA186&gt;高値!AB186,高値!AA186&gt;高値!AC186),22,""))</f>
      </c>
      <c r="AX186" s="684">
        <f>IF(終値!A186="","",IF(AND(高値!AB186&gt;高値!AA186,高値!AB186&gt;高値!Z186,高値!AB186&gt;高値!AC186,高値!AB186&gt;高値!AD186),23,""))</f>
      </c>
      <c r="AY186" s="684">
        <f>IF(終値!A186="","",IF(AND(高値!AC186&gt;高値!AB186,高値!AC186&gt;高値!AA186,高値!AC186&gt;高値!AD186,高値!AC186&gt;高値!AE186),24,""))</f>
      </c>
      <c r="AZ186" s="684">
        <f>IF(終値!A186="","",IF(AND(高値!AD186&gt;高値!AC186,高値!AD186&gt;高値!AB186,高値!AD186&gt;高値!AE186,高値!AD186&gt;高値!AF186),25,""))</f>
      </c>
      <c r="BA186" s="684">
        <f>IF(終値!A186="","",IF(AND(高値!AE186&gt;高値!AD186,高値!AE186&gt;高値!AC186,高値!AE186&gt;高値!AF186,高値!AE186&gt;高値!AG186),26,""))</f>
      </c>
      <c r="BB186" s="684">
        <f>IF(終値!A186="","",IF(AND(高値!AF186&gt;高値!AE186,高値!AF186&gt;高値!AD186,高値!AF186&gt;高値!AG186,高値!AF186&gt;高値!AH186),27,""))</f>
      </c>
      <c r="BC186" s="684">
        <f>IF(終値!A186="","",IF(AND(高値!AG186&gt;高値!AF186,高値!AG186&gt;高値!AE186,高値!AG186&gt;高値!AH186,高値!AG186&gt;高値!AI186),28,""))</f>
      </c>
      <c r="BD186" s="684">
        <f>COUNT($B186:$AB186)</f>
      </c>
      <c r="BE186" s="684">
        <f>IF($BD186&gt;=2,MIN($B186:$AB186),"")</f>
      </c>
      <c r="BF186" s="684">
        <f>IF($BD186&gt;=2,SMALL($B186:$AB186,2),"")</f>
      </c>
      <c r="BG186" s="684">
        <f>IF($BE186="","",INDEX(安値!$E186:$CZ186,1,$BE186+1))</f>
      </c>
      <c r="BH186" s="684">
        <f>IF($BF186="","",INDEX(安値!$E186:$CZ186,1,$BF186+1))</f>
      </c>
      <c r="BI186" s="684">
        <f>IF($BF186="","",MAX(INDEX(高値!$E186:$CZ186,1,$BE186+1):INDEX(高値!$E186:$CZ186,1,$BF186+1)))</f>
      </c>
      <c r="BJ186" s="684">
        <f>IF($BF186="","",AVERAGE(INDEX(終値!$E186:$CZ186,1,$BF186+1):INDEX(終値!$E186:$CZ186,1,$BF186+20))-2*STDEVP(INDEX(終値!$E186:$CZ186,1,$BF186+1):INDEX(終値!$E186:$CZ186,1,$BF186+20)))</f>
      </c>
      <c r="BK186" s="684">
        <f>IF($BE186="","",AVERAGE(INDEX(終値!$E186:$CZ186,1,$BE186+1):INDEX(終値!$E186:$CZ186,1,$BE186+20))-2*STDEVP(INDEX(終値!$E186:$CZ186,1,$BE186+1):INDEX(終値!$E186:$CZ186,1,$BE186+20)))</f>
      </c>
      <c r="BL186" s="684">
        <f>COUNT($AC186:$BC186)</f>
      </c>
      <c r="BM186" s="684">
        <f>IF($BL186&gt;=2,MIN($AC186:$BC186),"")</f>
      </c>
      <c r="BN186" s="684">
        <f>IF($BL186&gt;=2,SMALL($AC186:$BC186,2),"")</f>
      </c>
      <c r="BO186" s="684">
        <f>IF($BM186="","",INDEX(高値!$E186:$CZ186,1,$BM186+1))</f>
      </c>
      <c r="BP186" s="684">
        <f>IF($BN186="","",INDEX(高値!$E186:$CZ186,1,$BN186+1))</f>
      </c>
      <c r="BQ186" s="684">
        <f>IF($BN186="","",MIN(INDEX(安値!$E186:$CZ186,1,$BM186+1):INDEX(安値!$E186:$CZ186,1,$BN186+1)))</f>
      </c>
      <c r="BR186" s="684">
        <f>IF($BN186="","",AVERAGE(INDEX(終値!$E186:$CZ186,1,$BN186+1):INDEX(終値!$E186:$CZ186,1,$BN186+20))+2*STDEVP(INDEX(終値!$E186:$CZ186,1,$BN186+1):INDEX(終値!$E186:$CZ186,1,$BN186+20)))</f>
      </c>
      <c r="BS186" s="684">
        <f>IF($BM186="","",AVERAGE(INDEX(終値!$E186:$CZ186,1,$BM186+1):INDEX(終値!$E186:$CZ186,1,$BM186+20))+2*STDEVP(INDEX(終値!$E186:$CZ186,1,$BM186+1):INDEX(終値!$E186:$CZ186,1,$BM186+20)))</f>
      </c>
      <c r="BT186" s="681">
        <f>IFERROR(IF(AND($BD186&gt;=2,ABS($BG186-$BH186)/$BH186&lt;=BB設定!$B$12,$BI186&gt;=MAX($BH186,$BG186)*(1+BB設定!$B$13),終値!E186&gt;$BG186),IF(OR(終値!E186&gt;=$BI186,AND($BH186&lt;$BJ186,$BG186&gt;=$BK186)),"二番底W▲","二番底W形成"),IF(AND($BL186&gt;=2,ABS($BO186-$BP186)/$BP186&lt;=BB設定!$B$12,$BQ186&lt;=MIN($BP186,$BO186)*(1-BB設定!$B$13),終値!E186&lt;$BO186),IF(OR(終値!E186&lt;=$BQ186,AND($BP186&gt;$BR186,$BO186&lt;=$BS186)),"二番天井M▼","二番天井M形成"),"－")),"－")</f>
      </c>
    </row>
    <row r="187">
      <c r="B187" s="684">
        <f>IF(終値!A187="","",IF(AND(安値!G187&lt;安値!F187,安値!G187&lt;安値!E187,安値!G187&lt;安値!H187,安値!G187&lt;安値!I187),2,""))</f>
      </c>
      <c r="C187" s="684">
        <f>IF(終値!A187="","",IF(AND(安値!H187&lt;安値!G187,安値!H187&lt;安値!F187,安値!H187&lt;安値!I187,安値!H187&lt;安値!J187),3,""))</f>
      </c>
      <c r="D187" s="684">
        <f>IF(終値!A187="","",IF(AND(安値!I187&lt;安値!H187,安値!I187&lt;安値!G187,安値!I187&lt;安値!J187,安値!I187&lt;安値!K187),4,""))</f>
      </c>
      <c r="E187" s="684">
        <f>IF(終値!A187="","",IF(AND(安値!J187&lt;安値!I187,安値!J187&lt;安値!H187,安値!J187&lt;安値!K187,安値!J187&lt;安値!L187),5,""))</f>
      </c>
      <c r="F187" s="684">
        <f>IF(終値!A187="","",IF(AND(安値!K187&lt;安値!J187,安値!K187&lt;安値!I187,安値!K187&lt;安値!L187,安値!K187&lt;安値!M187),6,""))</f>
      </c>
      <c r="G187" s="684">
        <f>IF(終値!A187="","",IF(AND(安値!L187&lt;安値!K187,安値!L187&lt;安値!J187,安値!L187&lt;安値!M187,安値!L187&lt;安値!N187),7,""))</f>
      </c>
      <c r="H187" s="684">
        <f>IF(終値!A187="","",IF(AND(安値!M187&lt;安値!L187,安値!M187&lt;安値!K187,安値!M187&lt;安値!N187,安値!M187&lt;安値!O187),8,""))</f>
      </c>
      <c r="I187" s="684">
        <f>IF(終値!A187="","",IF(AND(安値!N187&lt;安値!M187,安値!N187&lt;安値!L187,安値!N187&lt;安値!O187,安値!N187&lt;安値!P187),9,""))</f>
      </c>
      <c r="J187" s="684">
        <f>IF(終値!A187="","",IF(AND(安値!O187&lt;安値!N187,安値!O187&lt;安値!M187,安値!O187&lt;安値!P187,安値!O187&lt;安値!Q187),10,""))</f>
      </c>
      <c r="K187" s="684">
        <f>IF(終値!A187="","",IF(AND(安値!P187&lt;安値!O187,安値!P187&lt;安値!N187,安値!P187&lt;安値!Q187,安値!P187&lt;安値!R187),11,""))</f>
      </c>
      <c r="L187" s="684">
        <f>IF(終値!A187="","",IF(AND(安値!Q187&lt;安値!P187,安値!Q187&lt;安値!O187,安値!Q187&lt;安値!R187,安値!Q187&lt;安値!S187),12,""))</f>
      </c>
      <c r="M187" s="684">
        <f>IF(終値!A187="","",IF(AND(安値!R187&lt;安値!Q187,安値!R187&lt;安値!P187,安値!R187&lt;安値!S187,安値!R187&lt;安値!T187),13,""))</f>
      </c>
      <c r="N187" s="684">
        <f>IF(終値!A187="","",IF(AND(安値!S187&lt;安値!R187,安値!S187&lt;安値!Q187,安値!S187&lt;安値!T187,安値!S187&lt;安値!U187),14,""))</f>
      </c>
      <c r="O187" s="684">
        <f>IF(終値!A187="","",IF(AND(安値!T187&lt;安値!S187,安値!T187&lt;安値!R187,安値!T187&lt;安値!U187,安値!T187&lt;安値!V187),15,""))</f>
      </c>
      <c r="P187" s="684">
        <f>IF(終値!A187="","",IF(AND(安値!U187&lt;安値!T187,安値!U187&lt;安値!S187,安値!U187&lt;安値!V187,安値!U187&lt;安値!W187),16,""))</f>
      </c>
      <c r="Q187" s="684">
        <f>IF(終値!A187="","",IF(AND(安値!V187&lt;安値!U187,安値!V187&lt;安値!T187,安値!V187&lt;安値!W187,安値!V187&lt;安値!X187),17,""))</f>
      </c>
      <c r="R187" s="684">
        <f>IF(終値!A187="","",IF(AND(安値!W187&lt;安値!V187,安値!W187&lt;安値!U187,安値!W187&lt;安値!X187,安値!W187&lt;安値!Y187),18,""))</f>
      </c>
      <c r="S187" s="684">
        <f>IF(終値!A187="","",IF(AND(安値!X187&lt;安値!W187,安値!X187&lt;安値!V187,安値!X187&lt;安値!Y187,安値!X187&lt;安値!Z187),19,""))</f>
      </c>
      <c r="T187" s="684">
        <f>IF(終値!A187="","",IF(AND(安値!Y187&lt;安値!X187,安値!Y187&lt;安値!W187,安値!Y187&lt;安値!Z187,安値!Y187&lt;安値!AA187),20,""))</f>
      </c>
      <c r="U187" s="684">
        <f>IF(終値!A187="","",IF(AND(安値!Z187&lt;安値!Y187,安値!Z187&lt;安値!X187,安値!Z187&lt;安値!AA187,安値!Z187&lt;安値!AB187),21,""))</f>
      </c>
      <c r="V187" s="684">
        <f>IF(終値!A187="","",IF(AND(安値!AA187&lt;安値!Z187,安値!AA187&lt;安値!Y187,安値!AA187&lt;安値!AB187,安値!AA187&lt;安値!AC187),22,""))</f>
      </c>
      <c r="W187" s="684">
        <f>IF(終値!A187="","",IF(AND(安値!AB187&lt;安値!AA187,安値!AB187&lt;安値!Z187,安値!AB187&lt;安値!AC187,安値!AB187&lt;安値!AD187),23,""))</f>
      </c>
      <c r="X187" s="684">
        <f>IF(終値!A187="","",IF(AND(安値!AC187&lt;安値!AB187,安値!AC187&lt;安値!AA187,安値!AC187&lt;安値!AD187,安値!AC187&lt;安値!AE187),24,""))</f>
      </c>
      <c r="Y187" s="684">
        <f>IF(終値!A187="","",IF(AND(安値!AD187&lt;安値!AC187,安値!AD187&lt;安値!AB187,安値!AD187&lt;安値!AE187,安値!AD187&lt;安値!AF187),25,""))</f>
      </c>
      <c r="Z187" s="684">
        <f>IF(終値!A187="","",IF(AND(安値!AE187&lt;安値!AD187,安値!AE187&lt;安値!AC187,安値!AE187&lt;安値!AF187,安値!AE187&lt;安値!AG187),26,""))</f>
      </c>
      <c r="AA187" s="684">
        <f>IF(終値!A187="","",IF(AND(安値!AF187&lt;安値!AE187,安値!AF187&lt;安値!AD187,安値!AF187&lt;安値!AG187,安値!AF187&lt;安値!AH187),27,""))</f>
      </c>
      <c r="AB187" s="684">
        <f>IF(終値!A187="","",IF(AND(安値!AG187&lt;安値!AF187,安値!AG187&lt;安値!AE187,安値!AG187&lt;安値!AH187,安値!AG187&lt;安値!AI187),28,""))</f>
      </c>
      <c r="AC187" s="684">
        <f>IF(終値!A187="","",IF(AND(高値!G187&gt;高値!F187,高値!G187&gt;高値!E187,高値!G187&gt;高値!H187,高値!G187&gt;高値!I187),2,""))</f>
      </c>
      <c r="AD187" s="684">
        <f>IF(終値!A187="","",IF(AND(高値!H187&gt;高値!G187,高値!H187&gt;高値!F187,高値!H187&gt;高値!I187,高値!H187&gt;高値!J187),3,""))</f>
      </c>
      <c r="AE187" s="684">
        <f>IF(終値!A187="","",IF(AND(高値!I187&gt;高値!H187,高値!I187&gt;高値!G187,高値!I187&gt;高値!J187,高値!I187&gt;高値!K187),4,""))</f>
      </c>
      <c r="AF187" s="684">
        <f>IF(終値!A187="","",IF(AND(高値!J187&gt;高値!I187,高値!J187&gt;高値!H187,高値!J187&gt;高値!K187,高値!J187&gt;高値!L187),5,""))</f>
      </c>
      <c r="AG187" s="684">
        <f>IF(終値!A187="","",IF(AND(高値!K187&gt;高値!J187,高値!K187&gt;高値!I187,高値!K187&gt;高値!L187,高値!K187&gt;高値!M187),6,""))</f>
      </c>
      <c r="AH187" s="684">
        <f>IF(終値!A187="","",IF(AND(高値!L187&gt;高値!K187,高値!L187&gt;高値!J187,高値!L187&gt;高値!M187,高値!L187&gt;高値!N187),7,""))</f>
      </c>
      <c r="AI187" s="684">
        <f>IF(終値!A187="","",IF(AND(高値!M187&gt;高値!L187,高値!M187&gt;高値!K187,高値!M187&gt;高値!N187,高値!M187&gt;高値!O187),8,""))</f>
      </c>
      <c r="AJ187" s="684">
        <f>IF(終値!A187="","",IF(AND(高値!N187&gt;高値!M187,高値!N187&gt;高値!L187,高値!N187&gt;高値!O187,高値!N187&gt;高値!P187),9,""))</f>
      </c>
      <c r="AK187" s="684">
        <f>IF(終値!A187="","",IF(AND(高値!O187&gt;高値!N187,高値!O187&gt;高値!M187,高値!O187&gt;高値!P187,高値!O187&gt;高値!Q187),10,""))</f>
      </c>
      <c r="AL187" s="684">
        <f>IF(終値!A187="","",IF(AND(高値!P187&gt;高値!O187,高値!P187&gt;高値!N187,高値!P187&gt;高値!Q187,高値!P187&gt;高値!R187),11,""))</f>
      </c>
      <c r="AM187" s="684">
        <f>IF(終値!A187="","",IF(AND(高値!Q187&gt;高値!P187,高値!Q187&gt;高値!O187,高値!Q187&gt;高値!R187,高値!Q187&gt;高値!S187),12,""))</f>
      </c>
      <c r="AN187" s="684">
        <f>IF(終値!A187="","",IF(AND(高値!R187&gt;高値!Q187,高値!R187&gt;高値!P187,高値!R187&gt;高値!S187,高値!R187&gt;高値!T187),13,""))</f>
      </c>
      <c r="AO187" s="684">
        <f>IF(終値!A187="","",IF(AND(高値!S187&gt;高値!R187,高値!S187&gt;高値!Q187,高値!S187&gt;高値!T187,高値!S187&gt;高値!U187),14,""))</f>
      </c>
      <c r="AP187" s="684">
        <f>IF(終値!A187="","",IF(AND(高値!T187&gt;高値!S187,高値!T187&gt;高値!R187,高値!T187&gt;高値!U187,高値!T187&gt;高値!V187),15,""))</f>
      </c>
      <c r="AQ187" s="684">
        <f>IF(終値!A187="","",IF(AND(高値!U187&gt;高値!T187,高値!U187&gt;高値!S187,高値!U187&gt;高値!V187,高値!U187&gt;高値!W187),16,""))</f>
      </c>
      <c r="AR187" s="684">
        <f>IF(終値!A187="","",IF(AND(高値!V187&gt;高値!U187,高値!V187&gt;高値!T187,高値!V187&gt;高値!W187,高値!V187&gt;高値!X187),17,""))</f>
      </c>
      <c r="AS187" s="684">
        <f>IF(終値!A187="","",IF(AND(高値!W187&gt;高値!V187,高値!W187&gt;高値!U187,高値!W187&gt;高値!X187,高値!W187&gt;高値!Y187),18,""))</f>
      </c>
      <c r="AT187" s="684">
        <f>IF(終値!A187="","",IF(AND(高値!X187&gt;高値!W187,高値!X187&gt;高値!V187,高値!X187&gt;高値!Y187,高値!X187&gt;高値!Z187),19,""))</f>
      </c>
      <c r="AU187" s="684">
        <f>IF(終値!A187="","",IF(AND(高値!Y187&gt;高値!X187,高値!Y187&gt;高値!W187,高値!Y187&gt;高値!Z187,高値!Y187&gt;高値!AA187),20,""))</f>
      </c>
      <c r="AV187" s="684">
        <f>IF(終値!A187="","",IF(AND(高値!Z187&gt;高値!Y187,高値!Z187&gt;高値!X187,高値!Z187&gt;高値!AA187,高値!Z187&gt;高値!AB187),21,""))</f>
      </c>
      <c r="AW187" s="684">
        <f>IF(終値!A187="","",IF(AND(高値!AA187&gt;高値!Z187,高値!AA187&gt;高値!Y187,高値!AA187&gt;高値!AB187,高値!AA187&gt;高値!AC187),22,""))</f>
      </c>
      <c r="AX187" s="684">
        <f>IF(終値!A187="","",IF(AND(高値!AB187&gt;高値!AA187,高値!AB187&gt;高値!Z187,高値!AB187&gt;高値!AC187,高値!AB187&gt;高値!AD187),23,""))</f>
      </c>
      <c r="AY187" s="684">
        <f>IF(終値!A187="","",IF(AND(高値!AC187&gt;高値!AB187,高値!AC187&gt;高値!AA187,高値!AC187&gt;高値!AD187,高値!AC187&gt;高値!AE187),24,""))</f>
      </c>
      <c r="AZ187" s="684">
        <f>IF(終値!A187="","",IF(AND(高値!AD187&gt;高値!AC187,高値!AD187&gt;高値!AB187,高値!AD187&gt;高値!AE187,高値!AD187&gt;高値!AF187),25,""))</f>
      </c>
      <c r="BA187" s="684">
        <f>IF(終値!A187="","",IF(AND(高値!AE187&gt;高値!AD187,高値!AE187&gt;高値!AC187,高値!AE187&gt;高値!AF187,高値!AE187&gt;高値!AG187),26,""))</f>
      </c>
      <c r="BB187" s="684">
        <f>IF(終値!A187="","",IF(AND(高値!AF187&gt;高値!AE187,高値!AF187&gt;高値!AD187,高値!AF187&gt;高値!AG187,高値!AF187&gt;高値!AH187),27,""))</f>
      </c>
      <c r="BC187" s="684">
        <f>IF(終値!A187="","",IF(AND(高値!AG187&gt;高値!AF187,高値!AG187&gt;高値!AE187,高値!AG187&gt;高値!AH187,高値!AG187&gt;高値!AI187),28,""))</f>
      </c>
      <c r="BD187" s="684">
        <f>COUNT($B187:$AB187)</f>
      </c>
      <c r="BE187" s="684">
        <f>IF($BD187&gt;=2,MIN($B187:$AB187),"")</f>
      </c>
      <c r="BF187" s="684">
        <f>IF($BD187&gt;=2,SMALL($B187:$AB187,2),"")</f>
      </c>
      <c r="BG187" s="684">
        <f>IF($BE187="","",INDEX(安値!$E187:$CZ187,1,$BE187+1))</f>
      </c>
      <c r="BH187" s="684">
        <f>IF($BF187="","",INDEX(安値!$E187:$CZ187,1,$BF187+1))</f>
      </c>
      <c r="BI187" s="684">
        <f>IF($BF187="","",MAX(INDEX(高値!$E187:$CZ187,1,$BE187+1):INDEX(高値!$E187:$CZ187,1,$BF187+1)))</f>
      </c>
      <c r="BJ187" s="684">
        <f>IF($BF187="","",AVERAGE(INDEX(終値!$E187:$CZ187,1,$BF187+1):INDEX(終値!$E187:$CZ187,1,$BF187+20))-2*STDEVP(INDEX(終値!$E187:$CZ187,1,$BF187+1):INDEX(終値!$E187:$CZ187,1,$BF187+20)))</f>
      </c>
      <c r="BK187" s="684">
        <f>IF($BE187="","",AVERAGE(INDEX(終値!$E187:$CZ187,1,$BE187+1):INDEX(終値!$E187:$CZ187,1,$BE187+20))-2*STDEVP(INDEX(終値!$E187:$CZ187,1,$BE187+1):INDEX(終値!$E187:$CZ187,1,$BE187+20)))</f>
      </c>
      <c r="BL187" s="684">
        <f>COUNT($AC187:$BC187)</f>
      </c>
      <c r="BM187" s="684">
        <f>IF($BL187&gt;=2,MIN($AC187:$BC187),"")</f>
      </c>
      <c r="BN187" s="684">
        <f>IF($BL187&gt;=2,SMALL($AC187:$BC187,2),"")</f>
      </c>
      <c r="BO187" s="684">
        <f>IF($BM187="","",INDEX(高値!$E187:$CZ187,1,$BM187+1))</f>
      </c>
      <c r="BP187" s="684">
        <f>IF($BN187="","",INDEX(高値!$E187:$CZ187,1,$BN187+1))</f>
      </c>
      <c r="BQ187" s="684">
        <f>IF($BN187="","",MIN(INDEX(安値!$E187:$CZ187,1,$BM187+1):INDEX(安値!$E187:$CZ187,1,$BN187+1)))</f>
      </c>
      <c r="BR187" s="684">
        <f>IF($BN187="","",AVERAGE(INDEX(終値!$E187:$CZ187,1,$BN187+1):INDEX(終値!$E187:$CZ187,1,$BN187+20))+2*STDEVP(INDEX(終値!$E187:$CZ187,1,$BN187+1):INDEX(終値!$E187:$CZ187,1,$BN187+20)))</f>
      </c>
      <c r="BS187" s="684">
        <f>IF($BM187="","",AVERAGE(INDEX(終値!$E187:$CZ187,1,$BM187+1):INDEX(終値!$E187:$CZ187,1,$BM187+20))+2*STDEVP(INDEX(終値!$E187:$CZ187,1,$BM187+1):INDEX(終値!$E187:$CZ187,1,$BM187+20)))</f>
      </c>
      <c r="BT187" s="681">
        <f>IFERROR(IF(AND($BD187&gt;=2,ABS($BG187-$BH187)/$BH187&lt;=BB設定!$B$12,$BI187&gt;=MAX($BH187,$BG187)*(1+BB設定!$B$13),終値!E187&gt;$BG187),IF(OR(終値!E187&gt;=$BI187,AND($BH187&lt;$BJ187,$BG187&gt;=$BK187)),"二番底W▲","二番底W形成"),IF(AND($BL187&gt;=2,ABS($BO187-$BP187)/$BP187&lt;=BB設定!$B$12,$BQ187&lt;=MIN($BP187,$BO187)*(1-BB設定!$B$13),終値!E187&lt;$BO187),IF(OR(終値!E187&lt;=$BQ187,AND($BP187&gt;$BR187,$BO187&lt;=$BS187)),"二番天井M▼","二番天井M形成"),"－")),"－")</f>
      </c>
    </row>
    <row r="188">
      <c r="B188" s="684">
        <f>IF(終値!A188="","",IF(AND(安値!G188&lt;安値!F188,安値!G188&lt;安値!E188,安値!G188&lt;安値!H188,安値!G188&lt;安値!I188),2,""))</f>
      </c>
      <c r="C188" s="684">
        <f>IF(終値!A188="","",IF(AND(安値!H188&lt;安値!G188,安値!H188&lt;安値!F188,安値!H188&lt;安値!I188,安値!H188&lt;安値!J188),3,""))</f>
      </c>
      <c r="D188" s="684">
        <f>IF(終値!A188="","",IF(AND(安値!I188&lt;安値!H188,安値!I188&lt;安値!G188,安値!I188&lt;安値!J188,安値!I188&lt;安値!K188),4,""))</f>
      </c>
      <c r="E188" s="684">
        <f>IF(終値!A188="","",IF(AND(安値!J188&lt;安値!I188,安値!J188&lt;安値!H188,安値!J188&lt;安値!K188,安値!J188&lt;安値!L188),5,""))</f>
      </c>
      <c r="F188" s="684">
        <f>IF(終値!A188="","",IF(AND(安値!K188&lt;安値!J188,安値!K188&lt;安値!I188,安値!K188&lt;安値!L188,安値!K188&lt;安値!M188),6,""))</f>
      </c>
      <c r="G188" s="684">
        <f>IF(終値!A188="","",IF(AND(安値!L188&lt;安値!K188,安値!L188&lt;安値!J188,安値!L188&lt;安値!M188,安値!L188&lt;安値!N188),7,""))</f>
      </c>
      <c r="H188" s="684">
        <f>IF(終値!A188="","",IF(AND(安値!M188&lt;安値!L188,安値!M188&lt;安値!K188,安値!M188&lt;安値!N188,安値!M188&lt;安値!O188),8,""))</f>
      </c>
      <c r="I188" s="684">
        <f>IF(終値!A188="","",IF(AND(安値!N188&lt;安値!M188,安値!N188&lt;安値!L188,安値!N188&lt;安値!O188,安値!N188&lt;安値!P188),9,""))</f>
      </c>
      <c r="J188" s="684">
        <f>IF(終値!A188="","",IF(AND(安値!O188&lt;安値!N188,安値!O188&lt;安値!M188,安値!O188&lt;安値!P188,安値!O188&lt;安値!Q188),10,""))</f>
      </c>
      <c r="K188" s="684">
        <f>IF(終値!A188="","",IF(AND(安値!P188&lt;安値!O188,安値!P188&lt;安値!N188,安値!P188&lt;安値!Q188,安値!P188&lt;安値!R188),11,""))</f>
      </c>
      <c r="L188" s="684">
        <f>IF(終値!A188="","",IF(AND(安値!Q188&lt;安値!P188,安値!Q188&lt;安値!O188,安値!Q188&lt;安値!R188,安値!Q188&lt;安値!S188),12,""))</f>
      </c>
      <c r="M188" s="684">
        <f>IF(終値!A188="","",IF(AND(安値!R188&lt;安値!Q188,安値!R188&lt;安値!P188,安値!R188&lt;安値!S188,安値!R188&lt;安値!T188),13,""))</f>
      </c>
      <c r="N188" s="684">
        <f>IF(終値!A188="","",IF(AND(安値!S188&lt;安値!R188,安値!S188&lt;安値!Q188,安値!S188&lt;安値!T188,安値!S188&lt;安値!U188),14,""))</f>
      </c>
      <c r="O188" s="684">
        <f>IF(終値!A188="","",IF(AND(安値!T188&lt;安値!S188,安値!T188&lt;安値!R188,安値!T188&lt;安値!U188,安値!T188&lt;安値!V188),15,""))</f>
      </c>
      <c r="P188" s="684">
        <f>IF(終値!A188="","",IF(AND(安値!U188&lt;安値!T188,安値!U188&lt;安値!S188,安値!U188&lt;安値!V188,安値!U188&lt;安値!W188),16,""))</f>
      </c>
      <c r="Q188" s="684">
        <f>IF(終値!A188="","",IF(AND(安値!V188&lt;安値!U188,安値!V188&lt;安値!T188,安値!V188&lt;安値!W188,安値!V188&lt;安値!X188),17,""))</f>
      </c>
      <c r="R188" s="684">
        <f>IF(終値!A188="","",IF(AND(安値!W188&lt;安値!V188,安値!W188&lt;安値!U188,安値!W188&lt;安値!X188,安値!W188&lt;安値!Y188),18,""))</f>
      </c>
      <c r="S188" s="684">
        <f>IF(終値!A188="","",IF(AND(安値!X188&lt;安値!W188,安値!X188&lt;安値!V188,安値!X188&lt;安値!Y188,安値!X188&lt;安値!Z188),19,""))</f>
      </c>
      <c r="T188" s="684">
        <f>IF(終値!A188="","",IF(AND(安値!Y188&lt;安値!X188,安値!Y188&lt;安値!W188,安値!Y188&lt;安値!Z188,安値!Y188&lt;安値!AA188),20,""))</f>
      </c>
      <c r="U188" s="684">
        <f>IF(終値!A188="","",IF(AND(安値!Z188&lt;安値!Y188,安値!Z188&lt;安値!X188,安値!Z188&lt;安値!AA188,安値!Z188&lt;安値!AB188),21,""))</f>
      </c>
      <c r="V188" s="684">
        <f>IF(終値!A188="","",IF(AND(安値!AA188&lt;安値!Z188,安値!AA188&lt;安値!Y188,安値!AA188&lt;安値!AB188,安値!AA188&lt;安値!AC188),22,""))</f>
      </c>
      <c r="W188" s="684">
        <f>IF(終値!A188="","",IF(AND(安値!AB188&lt;安値!AA188,安値!AB188&lt;安値!Z188,安値!AB188&lt;安値!AC188,安値!AB188&lt;安値!AD188),23,""))</f>
      </c>
      <c r="X188" s="684">
        <f>IF(終値!A188="","",IF(AND(安値!AC188&lt;安値!AB188,安値!AC188&lt;安値!AA188,安値!AC188&lt;安値!AD188,安値!AC188&lt;安値!AE188),24,""))</f>
      </c>
      <c r="Y188" s="684">
        <f>IF(終値!A188="","",IF(AND(安値!AD188&lt;安値!AC188,安値!AD188&lt;安値!AB188,安値!AD188&lt;安値!AE188,安値!AD188&lt;安値!AF188),25,""))</f>
      </c>
      <c r="Z188" s="684">
        <f>IF(終値!A188="","",IF(AND(安値!AE188&lt;安値!AD188,安値!AE188&lt;安値!AC188,安値!AE188&lt;安値!AF188,安値!AE188&lt;安値!AG188),26,""))</f>
      </c>
      <c r="AA188" s="684">
        <f>IF(終値!A188="","",IF(AND(安値!AF188&lt;安値!AE188,安値!AF188&lt;安値!AD188,安値!AF188&lt;安値!AG188,安値!AF188&lt;安値!AH188),27,""))</f>
      </c>
      <c r="AB188" s="684">
        <f>IF(終値!A188="","",IF(AND(安値!AG188&lt;安値!AF188,安値!AG188&lt;安値!AE188,安値!AG188&lt;安値!AH188,安値!AG188&lt;安値!AI188),28,""))</f>
      </c>
      <c r="AC188" s="684">
        <f>IF(終値!A188="","",IF(AND(高値!G188&gt;高値!F188,高値!G188&gt;高値!E188,高値!G188&gt;高値!H188,高値!G188&gt;高値!I188),2,""))</f>
      </c>
      <c r="AD188" s="684">
        <f>IF(終値!A188="","",IF(AND(高値!H188&gt;高値!G188,高値!H188&gt;高値!F188,高値!H188&gt;高値!I188,高値!H188&gt;高値!J188),3,""))</f>
      </c>
      <c r="AE188" s="684">
        <f>IF(終値!A188="","",IF(AND(高値!I188&gt;高値!H188,高値!I188&gt;高値!G188,高値!I188&gt;高値!J188,高値!I188&gt;高値!K188),4,""))</f>
      </c>
      <c r="AF188" s="684">
        <f>IF(終値!A188="","",IF(AND(高値!J188&gt;高値!I188,高値!J188&gt;高値!H188,高値!J188&gt;高値!K188,高値!J188&gt;高値!L188),5,""))</f>
      </c>
      <c r="AG188" s="684">
        <f>IF(終値!A188="","",IF(AND(高値!K188&gt;高値!J188,高値!K188&gt;高値!I188,高値!K188&gt;高値!L188,高値!K188&gt;高値!M188),6,""))</f>
      </c>
      <c r="AH188" s="684">
        <f>IF(終値!A188="","",IF(AND(高値!L188&gt;高値!K188,高値!L188&gt;高値!J188,高値!L188&gt;高値!M188,高値!L188&gt;高値!N188),7,""))</f>
      </c>
      <c r="AI188" s="684">
        <f>IF(終値!A188="","",IF(AND(高値!M188&gt;高値!L188,高値!M188&gt;高値!K188,高値!M188&gt;高値!N188,高値!M188&gt;高値!O188),8,""))</f>
      </c>
      <c r="AJ188" s="684">
        <f>IF(終値!A188="","",IF(AND(高値!N188&gt;高値!M188,高値!N188&gt;高値!L188,高値!N188&gt;高値!O188,高値!N188&gt;高値!P188),9,""))</f>
      </c>
      <c r="AK188" s="684">
        <f>IF(終値!A188="","",IF(AND(高値!O188&gt;高値!N188,高値!O188&gt;高値!M188,高値!O188&gt;高値!P188,高値!O188&gt;高値!Q188),10,""))</f>
      </c>
      <c r="AL188" s="684">
        <f>IF(終値!A188="","",IF(AND(高値!P188&gt;高値!O188,高値!P188&gt;高値!N188,高値!P188&gt;高値!Q188,高値!P188&gt;高値!R188),11,""))</f>
      </c>
      <c r="AM188" s="684">
        <f>IF(終値!A188="","",IF(AND(高値!Q188&gt;高値!P188,高値!Q188&gt;高値!O188,高値!Q188&gt;高値!R188,高値!Q188&gt;高値!S188),12,""))</f>
      </c>
      <c r="AN188" s="684">
        <f>IF(終値!A188="","",IF(AND(高値!R188&gt;高値!Q188,高値!R188&gt;高値!P188,高値!R188&gt;高値!S188,高値!R188&gt;高値!T188),13,""))</f>
      </c>
      <c r="AO188" s="684">
        <f>IF(終値!A188="","",IF(AND(高値!S188&gt;高値!R188,高値!S188&gt;高値!Q188,高値!S188&gt;高値!T188,高値!S188&gt;高値!U188),14,""))</f>
      </c>
      <c r="AP188" s="684">
        <f>IF(終値!A188="","",IF(AND(高値!T188&gt;高値!S188,高値!T188&gt;高値!R188,高値!T188&gt;高値!U188,高値!T188&gt;高値!V188),15,""))</f>
      </c>
      <c r="AQ188" s="684">
        <f>IF(終値!A188="","",IF(AND(高値!U188&gt;高値!T188,高値!U188&gt;高値!S188,高値!U188&gt;高値!V188,高値!U188&gt;高値!W188),16,""))</f>
      </c>
      <c r="AR188" s="684">
        <f>IF(終値!A188="","",IF(AND(高値!V188&gt;高値!U188,高値!V188&gt;高値!T188,高値!V188&gt;高値!W188,高値!V188&gt;高値!X188),17,""))</f>
      </c>
      <c r="AS188" s="684">
        <f>IF(終値!A188="","",IF(AND(高値!W188&gt;高値!V188,高値!W188&gt;高値!U188,高値!W188&gt;高値!X188,高値!W188&gt;高値!Y188),18,""))</f>
      </c>
      <c r="AT188" s="684">
        <f>IF(終値!A188="","",IF(AND(高値!X188&gt;高値!W188,高値!X188&gt;高値!V188,高値!X188&gt;高値!Y188,高値!X188&gt;高値!Z188),19,""))</f>
      </c>
      <c r="AU188" s="684">
        <f>IF(終値!A188="","",IF(AND(高値!Y188&gt;高値!X188,高値!Y188&gt;高値!W188,高値!Y188&gt;高値!Z188,高値!Y188&gt;高値!AA188),20,""))</f>
      </c>
      <c r="AV188" s="684">
        <f>IF(終値!A188="","",IF(AND(高値!Z188&gt;高値!Y188,高値!Z188&gt;高値!X188,高値!Z188&gt;高値!AA188,高値!Z188&gt;高値!AB188),21,""))</f>
      </c>
      <c r="AW188" s="684">
        <f>IF(終値!A188="","",IF(AND(高値!AA188&gt;高値!Z188,高値!AA188&gt;高値!Y188,高値!AA188&gt;高値!AB188,高値!AA188&gt;高値!AC188),22,""))</f>
      </c>
      <c r="AX188" s="684">
        <f>IF(終値!A188="","",IF(AND(高値!AB188&gt;高値!AA188,高値!AB188&gt;高値!Z188,高値!AB188&gt;高値!AC188,高値!AB188&gt;高値!AD188),23,""))</f>
      </c>
      <c r="AY188" s="684">
        <f>IF(終値!A188="","",IF(AND(高値!AC188&gt;高値!AB188,高値!AC188&gt;高値!AA188,高値!AC188&gt;高値!AD188,高値!AC188&gt;高値!AE188),24,""))</f>
      </c>
      <c r="AZ188" s="684">
        <f>IF(終値!A188="","",IF(AND(高値!AD188&gt;高値!AC188,高値!AD188&gt;高値!AB188,高値!AD188&gt;高値!AE188,高値!AD188&gt;高値!AF188),25,""))</f>
      </c>
      <c r="BA188" s="684">
        <f>IF(終値!A188="","",IF(AND(高値!AE188&gt;高値!AD188,高値!AE188&gt;高値!AC188,高値!AE188&gt;高値!AF188,高値!AE188&gt;高値!AG188),26,""))</f>
      </c>
      <c r="BB188" s="684">
        <f>IF(終値!A188="","",IF(AND(高値!AF188&gt;高値!AE188,高値!AF188&gt;高値!AD188,高値!AF188&gt;高値!AG188,高値!AF188&gt;高値!AH188),27,""))</f>
      </c>
      <c r="BC188" s="684">
        <f>IF(終値!A188="","",IF(AND(高値!AG188&gt;高値!AF188,高値!AG188&gt;高値!AE188,高値!AG188&gt;高値!AH188,高値!AG188&gt;高値!AI188),28,""))</f>
      </c>
      <c r="BD188" s="684">
        <f>COUNT($B188:$AB188)</f>
      </c>
      <c r="BE188" s="684">
        <f>IF($BD188&gt;=2,MIN($B188:$AB188),"")</f>
      </c>
      <c r="BF188" s="684">
        <f>IF($BD188&gt;=2,SMALL($B188:$AB188,2),"")</f>
      </c>
      <c r="BG188" s="684">
        <f>IF($BE188="","",INDEX(安値!$E188:$CZ188,1,$BE188+1))</f>
      </c>
      <c r="BH188" s="684">
        <f>IF($BF188="","",INDEX(安値!$E188:$CZ188,1,$BF188+1))</f>
      </c>
      <c r="BI188" s="684">
        <f>IF($BF188="","",MAX(INDEX(高値!$E188:$CZ188,1,$BE188+1):INDEX(高値!$E188:$CZ188,1,$BF188+1)))</f>
      </c>
      <c r="BJ188" s="684">
        <f>IF($BF188="","",AVERAGE(INDEX(終値!$E188:$CZ188,1,$BF188+1):INDEX(終値!$E188:$CZ188,1,$BF188+20))-2*STDEVP(INDEX(終値!$E188:$CZ188,1,$BF188+1):INDEX(終値!$E188:$CZ188,1,$BF188+20)))</f>
      </c>
      <c r="BK188" s="684">
        <f>IF($BE188="","",AVERAGE(INDEX(終値!$E188:$CZ188,1,$BE188+1):INDEX(終値!$E188:$CZ188,1,$BE188+20))-2*STDEVP(INDEX(終値!$E188:$CZ188,1,$BE188+1):INDEX(終値!$E188:$CZ188,1,$BE188+20)))</f>
      </c>
      <c r="BL188" s="684">
        <f>COUNT($AC188:$BC188)</f>
      </c>
      <c r="BM188" s="684">
        <f>IF($BL188&gt;=2,MIN($AC188:$BC188),"")</f>
      </c>
      <c r="BN188" s="684">
        <f>IF($BL188&gt;=2,SMALL($AC188:$BC188,2),"")</f>
      </c>
      <c r="BO188" s="684">
        <f>IF($BM188="","",INDEX(高値!$E188:$CZ188,1,$BM188+1))</f>
      </c>
      <c r="BP188" s="684">
        <f>IF($BN188="","",INDEX(高値!$E188:$CZ188,1,$BN188+1))</f>
      </c>
      <c r="BQ188" s="684">
        <f>IF($BN188="","",MIN(INDEX(安値!$E188:$CZ188,1,$BM188+1):INDEX(安値!$E188:$CZ188,1,$BN188+1)))</f>
      </c>
      <c r="BR188" s="684">
        <f>IF($BN188="","",AVERAGE(INDEX(終値!$E188:$CZ188,1,$BN188+1):INDEX(終値!$E188:$CZ188,1,$BN188+20))+2*STDEVP(INDEX(終値!$E188:$CZ188,1,$BN188+1):INDEX(終値!$E188:$CZ188,1,$BN188+20)))</f>
      </c>
      <c r="BS188" s="684">
        <f>IF($BM188="","",AVERAGE(INDEX(終値!$E188:$CZ188,1,$BM188+1):INDEX(終値!$E188:$CZ188,1,$BM188+20))+2*STDEVP(INDEX(終値!$E188:$CZ188,1,$BM188+1):INDEX(終値!$E188:$CZ188,1,$BM188+20)))</f>
      </c>
      <c r="BT188" s="681">
        <f>IFERROR(IF(AND($BD188&gt;=2,ABS($BG188-$BH188)/$BH188&lt;=BB設定!$B$12,$BI188&gt;=MAX($BH188,$BG188)*(1+BB設定!$B$13),終値!E188&gt;$BG188),IF(OR(終値!E188&gt;=$BI188,AND($BH188&lt;$BJ188,$BG188&gt;=$BK188)),"二番底W▲","二番底W形成"),IF(AND($BL188&gt;=2,ABS($BO188-$BP188)/$BP188&lt;=BB設定!$B$12,$BQ188&lt;=MIN($BP188,$BO188)*(1-BB設定!$B$13),終値!E188&lt;$BO188),IF(OR(終値!E188&lt;=$BQ188,AND($BP188&gt;$BR188,$BO188&lt;=$BS188)),"二番天井M▼","二番天井M形成"),"－")),"－")</f>
      </c>
    </row>
    <row r="189">
      <c r="B189" s="684">
        <f>IF(終値!A189="","",IF(AND(安値!G189&lt;安値!F189,安値!G189&lt;安値!E189,安値!G189&lt;安値!H189,安値!G189&lt;安値!I189),2,""))</f>
      </c>
      <c r="C189" s="684">
        <f>IF(終値!A189="","",IF(AND(安値!H189&lt;安値!G189,安値!H189&lt;安値!F189,安値!H189&lt;安値!I189,安値!H189&lt;安値!J189),3,""))</f>
      </c>
      <c r="D189" s="684">
        <f>IF(終値!A189="","",IF(AND(安値!I189&lt;安値!H189,安値!I189&lt;安値!G189,安値!I189&lt;安値!J189,安値!I189&lt;安値!K189),4,""))</f>
      </c>
      <c r="E189" s="684">
        <f>IF(終値!A189="","",IF(AND(安値!J189&lt;安値!I189,安値!J189&lt;安値!H189,安値!J189&lt;安値!K189,安値!J189&lt;安値!L189),5,""))</f>
      </c>
      <c r="F189" s="684">
        <f>IF(終値!A189="","",IF(AND(安値!K189&lt;安値!J189,安値!K189&lt;安値!I189,安値!K189&lt;安値!L189,安値!K189&lt;安値!M189),6,""))</f>
      </c>
      <c r="G189" s="684">
        <f>IF(終値!A189="","",IF(AND(安値!L189&lt;安値!K189,安値!L189&lt;安値!J189,安値!L189&lt;安値!M189,安値!L189&lt;安値!N189),7,""))</f>
      </c>
      <c r="H189" s="684">
        <f>IF(終値!A189="","",IF(AND(安値!M189&lt;安値!L189,安値!M189&lt;安値!K189,安値!M189&lt;安値!N189,安値!M189&lt;安値!O189),8,""))</f>
      </c>
      <c r="I189" s="684">
        <f>IF(終値!A189="","",IF(AND(安値!N189&lt;安値!M189,安値!N189&lt;安値!L189,安値!N189&lt;安値!O189,安値!N189&lt;安値!P189),9,""))</f>
      </c>
      <c r="J189" s="684">
        <f>IF(終値!A189="","",IF(AND(安値!O189&lt;安値!N189,安値!O189&lt;安値!M189,安値!O189&lt;安値!P189,安値!O189&lt;安値!Q189),10,""))</f>
      </c>
      <c r="K189" s="684">
        <f>IF(終値!A189="","",IF(AND(安値!P189&lt;安値!O189,安値!P189&lt;安値!N189,安値!P189&lt;安値!Q189,安値!P189&lt;安値!R189),11,""))</f>
      </c>
      <c r="L189" s="684">
        <f>IF(終値!A189="","",IF(AND(安値!Q189&lt;安値!P189,安値!Q189&lt;安値!O189,安値!Q189&lt;安値!R189,安値!Q189&lt;安値!S189),12,""))</f>
      </c>
      <c r="M189" s="684">
        <f>IF(終値!A189="","",IF(AND(安値!R189&lt;安値!Q189,安値!R189&lt;安値!P189,安値!R189&lt;安値!S189,安値!R189&lt;安値!T189),13,""))</f>
      </c>
      <c r="N189" s="684">
        <f>IF(終値!A189="","",IF(AND(安値!S189&lt;安値!R189,安値!S189&lt;安値!Q189,安値!S189&lt;安値!T189,安値!S189&lt;安値!U189),14,""))</f>
      </c>
      <c r="O189" s="684">
        <f>IF(終値!A189="","",IF(AND(安値!T189&lt;安値!S189,安値!T189&lt;安値!R189,安値!T189&lt;安値!U189,安値!T189&lt;安値!V189),15,""))</f>
      </c>
      <c r="P189" s="684">
        <f>IF(終値!A189="","",IF(AND(安値!U189&lt;安値!T189,安値!U189&lt;安値!S189,安値!U189&lt;安値!V189,安値!U189&lt;安値!W189),16,""))</f>
      </c>
      <c r="Q189" s="684">
        <f>IF(終値!A189="","",IF(AND(安値!V189&lt;安値!U189,安値!V189&lt;安値!T189,安値!V189&lt;安値!W189,安値!V189&lt;安値!X189),17,""))</f>
      </c>
      <c r="R189" s="684">
        <f>IF(終値!A189="","",IF(AND(安値!W189&lt;安値!V189,安値!W189&lt;安値!U189,安値!W189&lt;安値!X189,安値!W189&lt;安値!Y189),18,""))</f>
      </c>
      <c r="S189" s="684">
        <f>IF(終値!A189="","",IF(AND(安値!X189&lt;安値!W189,安値!X189&lt;安値!V189,安値!X189&lt;安値!Y189,安値!X189&lt;安値!Z189),19,""))</f>
      </c>
      <c r="T189" s="684">
        <f>IF(終値!A189="","",IF(AND(安値!Y189&lt;安値!X189,安値!Y189&lt;安値!W189,安値!Y189&lt;安値!Z189,安値!Y189&lt;安値!AA189),20,""))</f>
      </c>
      <c r="U189" s="684">
        <f>IF(終値!A189="","",IF(AND(安値!Z189&lt;安値!Y189,安値!Z189&lt;安値!X189,安値!Z189&lt;安値!AA189,安値!Z189&lt;安値!AB189),21,""))</f>
      </c>
      <c r="V189" s="684">
        <f>IF(終値!A189="","",IF(AND(安値!AA189&lt;安値!Z189,安値!AA189&lt;安値!Y189,安値!AA189&lt;安値!AB189,安値!AA189&lt;安値!AC189),22,""))</f>
      </c>
      <c r="W189" s="684">
        <f>IF(終値!A189="","",IF(AND(安値!AB189&lt;安値!AA189,安値!AB189&lt;安値!Z189,安値!AB189&lt;安値!AC189,安値!AB189&lt;安値!AD189),23,""))</f>
      </c>
      <c r="X189" s="684">
        <f>IF(終値!A189="","",IF(AND(安値!AC189&lt;安値!AB189,安値!AC189&lt;安値!AA189,安値!AC189&lt;安値!AD189,安値!AC189&lt;安値!AE189),24,""))</f>
      </c>
      <c r="Y189" s="684">
        <f>IF(終値!A189="","",IF(AND(安値!AD189&lt;安値!AC189,安値!AD189&lt;安値!AB189,安値!AD189&lt;安値!AE189,安値!AD189&lt;安値!AF189),25,""))</f>
      </c>
      <c r="Z189" s="684">
        <f>IF(終値!A189="","",IF(AND(安値!AE189&lt;安値!AD189,安値!AE189&lt;安値!AC189,安値!AE189&lt;安値!AF189,安値!AE189&lt;安値!AG189),26,""))</f>
      </c>
      <c r="AA189" s="684">
        <f>IF(終値!A189="","",IF(AND(安値!AF189&lt;安値!AE189,安値!AF189&lt;安値!AD189,安値!AF189&lt;安値!AG189,安値!AF189&lt;安値!AH189),27,""))</f>
      </c>
      <c r="AB189" s="684">
        <f>IF(終値!A189="","",IF(AND(安値!AG189&lt;安値!AF189,安値!AG189&lt;安値!AE189,安値!AG189&lt;安値!AH189,安値!AG189&lt;安値!AI189),28,""))</f>
      </c>
      <c r="AC189" s="684">
        <f>IF(終値!A189="","",IF(AND(高値!G189&gt;高値!F189,高値!G189&gt;高値!E189,高値!G189&gt;高値!H189,高値!G189&gt;高値!I189),2,""))</f>
      </c>
      <c r="AD189" s="684">
        <f>IF(終値!A189="","",IF(AND(高値!H189&gt;高値!G189,高値!H189&gt;高値!F189,高値!H189&gt;高値!I189,高値!H189&gt;高値!J189),3,""))</f>
      </c>
      <c r="AE189" s="684">
        <f>IF(終値!A189="","",IF(AND(高値!I189&gt;高値!H189,高値!I189&gt;高値!G189,高値!I189&gt;高値!J189,高値!I189&gt;高値!K189),4,""))</f>
      </c>
      <c r="AF189" s="684">
        <f>IF(終値!A189="","",IF(AND(高値!J189&gt;高値!I189,高値!J189&gt;高値!H189,高値!J189&gt;高値!K189,高値!J189&gt;高値!L189),5,""))</f>
      </c>
      <c r="AG189" s="684">
        <f>IF(終値!A189="","",IF(AND(高値!K189&gt;高値!J189,高値!K189&gt;高値!I189,高値!K189&gt;高値!L189,高値!K189&gt;高値!M189),6,""))</f>
      </c>
      <c r="AH189" s="684">
        <f>IF(終値!A189="","",IF(AND(高値!L189&gt;高値!K189,高値!L189&gt;高値!J189,高値!L189&gt;高値!M189,高値!L189&gt;高値!N189),7,""))</f>
      </c>
      <c r="AI189" s="684">
        <f>IF(終値!A189="","",IF(AND(高値!M189&gt;高値!L189,高値!M189&gt;高値!K189,高値!M189&gt;高値!N189,高値!M189&gt;高値!O189),8,""))</f>
      </c>
      <c r="AJ189" s="684">
        <f>IF(終値!A189="","",IF(AND(高値!N189&gt;高値!M189,高値!N189&gt;高値!L189,高値!N189&gt;高値!O189,高値!N189&gt;高値!P189),9,""))</f>
      </c>
      <c r="AK189" s="684">
        <f>IF(終値!A189="","",IF(AND(高値!O189&gt;高値!N189,高値!O189&gt;高値!M189,高値!O189&gt;高値!P189,高値!O189&gt;高値!Q189),10,""))</f>
      </c>
      <c r="AL189" s="684">
        <f>IF(終値!A189="","",IF(AND(高値!P189&gt;高値!O189,高値!P189&gt;高値!N189,高値!P189&gt;高値!Q189,高値!P189&gt;高値!R189),11,""))</f>
      </c>
      <c r="AM189" s="684">
        <f>IF(終値!A189="","",IF(AND(高値!Q189&gt;高値!P189,高値!Q189&gt;高値!O189,高値!Q189&gt;高値!R189,高値!Q189&gt;高値!S189),12,""))</f>
      </c>
      <c r="AN189" s="684">
        <f>IF(終値!A189="","",IF(AND(高値!R189&gt;高値!Q189,高値!R189&gt;高値!P189,高値!R189&gt;高値!S189,高値!R189&gt;高値!T189),13,""))</f>
      </c>
      <c r="AO189" s="684">
        <f>IF(終値!A189="","",IF(AND(高値!S189&gt;高値!R189,高値!S189&gt;高値!Q189,高値!S189&gt;高値!T189,高値!S189&gt;高値!U189),14,""))</f>
      </c>
      <c r="AP189" s="684">
        <f>IF(終値!A189="","",IF(AND(高値!T189&gt;高値!S189,高値!T189&gt;高値!R189,高値!T189&gt;高値!U189,高値!T189&gt;高値!V189),15,""))</f>
      </c>
      <c r="AQ189" s="684">
        <f>IF(終値!A189="","",IF(AND(高値!U189&gt;高値!T189,高値!U189&gt;高値!S189,高値!U189&gt;高値!V189,高値!U189&gt;高値!W189),16,""))</f>
      </c>
      <c r="AR189" s="684">
        <f>IF(終値!A189="","",IF(AND(高値!V189&gt;高値!U189,高値!V189&gt;高値!T189,高値!V189&gt;高値!W189,高値!V189&gt;高値!X189),17,""))</f>
      </c>
      <c r="AS189" s="684">
        <f>IF(終値!A189="","",IF(AND(高値!W189&gt;高値!V189,高値!W189&gt;高値!U189,高値!W189&gt;高値!X189,高値!W189&gt;高値!Y189),18,""))</f>
      </c>
      <c r="AT189" s="684">
        <f>IF(終値!A189="","",IF(AND(高値!X189&gt;高値!W189,高値!X189&gt;高値!V189,高値!X189&gt;高値!Y189,高値!X189&gt;高値!Z189),19,""))</f>
      </c>
      <c r="AU189" s="684">
        <f>IF(終値!A189="","",IF(AND(高値!Y189&gt;高値!X189,高値!Y189&gt;高値!W189,高値!Y189&gt;高値!Z189,高値!Y189&gt;高値!AA189),20,""))</f>
      </c>
      <c r="AV189" s="684">
        <f>IF(終値!A189="","",IF(AND(高値!Z189&gt;高値!Y189,高値!Z189&gt;高値!X189,高値!Z189&gt;高値!AA189,高値!Z189&gt;高値!AB189),21,""))</f>
      </c>
      <c r="AW189" s="684">
        <f>IF(終値!A189="","",IF(AND(高値!AA189&gt;高値!Z189,高値!AA189&gt;高値!Y189,高値!AA189&gt;高値!AB189,高値!AA189&gt;高値!AC189),22,""))</f>
      </c>
      <c r="AX189" s="684">
        <f>IF(終値!A189="","",IF(AND(高値!AB189&gt;高値!AA189,高値!AB189&gt;高値!Z189,高値!AB189&gt;高値!AC189,高値!AB189&gt;高値!AD189),23,""))</f>
      </c>
      <c r="AY189" s="684">
        <f>IF(終値!A189="","",IF(AND(高値!AC189&gt;高値!AB189,高値!AC189&gt;高値!AA189,高値!AC189&gt;高値!AD189,高値!AC189&gt;高値!AE189),24,""))</f>
      </c>
      <c r="AZ189" s="684">
        <f>IF(終値!A189="","",IF(AND(高値!AD189&gt;高値!AC189,高値!AD189&gt;高値!AB189,高値!AD189&gt;高値!AE189,高値!AD189&gt;高値!AF189),25,""))</f>
      </c>
      <c r="BA189" s="684">
        <f>IF(終値!A189="","",IF(AND(高値!AE189&gt;高値!AD189,高値!AE189&gt;高値!AC189,高値!AE189&gt;高値!AF189,高値!AE189&gt;高値!AG189),26,""))</f>
      </c>
      <c r="BB189" s="684">
        <f>IF(終値!A189="","",IF(AND(高値!AF189&gt;高値!AE189,高値!AF189&gt;高値!AD189,高値!AF189&gt;高値!AG189,高値!AF189&gt;高値!AH189),27,""))</f>
      </c>
      <c r="BC189" s="684">
        <f>IF(終値!A189="","",IF(AND(高値!AG189&gt;高値!AF189,高値!AG189&gt;高値!AE189,高値!AG189&gt;高値!AH189,高値!AG189&gt;高値!AI189),28,""))</f>
      </c>
      <c r="BD189" s="684">
        <f>COUNT($B189:$AB189)</f>
      </c>
      <c r="BE189" s="684">
        <f>IF($BD189&gt;=2,MIN($B189:$AB189),"")</f>
      </c>
      <c r="BF189" s="684">
        <f>IF($BD189&gt;=2,SMALL($B189:$AB189,2),"")</f>
      </c>
      <c r="BG189" s="684">
        <f>IF($BE189="","",INDEX(安値!$E189:$CZ189,1,$BE189+1))</f>
      </c>
      <c r="BH189" s="684">
        <f>IF($BF189="","",INDEX(安値!$E189:$CZ189,1,$BF189+1))</f>
      </c>
      <c r="BI189" s="684">
        <f>IF($BF189="","",MAX(INDEX(高値!$E189:$CZ189,1,$BE189+1):INDEX(高値!$E189:$CZ189,1,$BF189+1)))</f>
      </c>
      <c r="BJ189" s="684">
        <f>IF($BF189="","",AVERAGE(INDEX(終値!$E189:$CZ189,1,$BF189+1):INDEX(終値!$E189:$CZ189,1,$BF189+20))-2*STDEVP(INDEX(終値!$E189:$CZ189,1,$BF189+1):INDEX(終値!$E189:$CZ189,1,$BF189+20)))</f>
      </c>
      <c r="BK189" s="684">
        <f>IF($BE189="","",AVERAGE(INDEX(終値!$E189:$CZ189,1,$BE189+1):INDEX(終値!$E189:$CZ189,1,$BE189+20))-2*STDEVP(INDEX(終値!$E189:$CZ189,1,$BE189+1):INDEX(終値!$E189:$CZ189,1,$BE189+20)))</f>
      </c>
      <c r="BL189" s="684">
        <f>COUNT($AC189:$BC189)</f>
      </c>
      <c r="BM189" s="684">
        <f>IF($BL189&gt;=2,MIN($AC189:$BC189),"")</f>
      </c>
      <c r="BN189" s="684">
        <f>IF($BL189&gt;=2,SMALL($AC189:$BC189,2),"")</f>
      </c>
      <c r="BO189" s="684">
        <f>IF($BM189="","",INDEX(高値!$E189:$CZ189,1,$BM189+1))</f>
      </c>
      <c r="BP189" s="684">
        <f>IF($BN189="","",INDEX(高値!$E189:$CZ189,1,$BN189+1))</f>
      </c>
      <c r="BQ189" s="684">
        <f>IF($BN189="","",MIN(INDEX(安値!$E189:$CZ189,1,$BM189+1):INDEX(安値!$E189:$CZ189,1,$BN189+1)))</f>
      </c>
      <c r="BR189" s="684">
        <f>IF($BN189="","",AVERAGE(INDEX(終値!$E189:$CZ189,1,$BN189+1):INDEX(終値!$E189:$CZ189,1,$BN189+20))+2*STDEVP(INDEX(終値!$E189:$CZ189,1,$BN189+1):INDEX(終値!$E189:$CZ189,1,$BN189+20)))</f>
      </c>
      <c r="BS189" s="684">
        <f>IF($BM189="","",AVERAGE(INDEX(終値!$E189:$CZ189,1,$BM189+1):INDEX(終値!$E189:$CZ189,1,$BM189+20))+2*STDEVP(INDEX(終値!$E189:$CZ189,1,$BM189+1):INDEX(終値!$E189:$CZ189,1,$BM189+20)))</f>
      </c>
      <c r="BT189" s="681">
        <f>IFERROR(IF(AND($BD189&gt;=2,ABS($BG189-$BH189)/$BH189&lt;=BB設定!$B$12,$BI189&gt;=MAX($BH189,$BG189)*(1+BB設定!$B$13),終値!E189&gt;$BG189),IF(OR(終値!E189&gt;=$BI189,AND($BH189&lt;$BJ189,$BG189&gt;=$BK189)),"二番底W▲","二番底W形成"),IF(AND($BL189&gt;=2,ABS($BO189-$BP189)/$BP189&lt;=BB設定!$B$12,$BQ189&lt;=MIN($BP189,$BO189)*(1-BB設定!$B$13),終値!E189&lt;$BO189),IF(OR(終値!E189&lt;=$BQ189,AND($BP189&gt;$BR189,$BO189&lt;=$BS189)),"二番天井M▼","二番天井M形成"),"－")),"－")</f>
      </c>
    </row>
    <row r="190">
      <c r="B190" s="684">
        <f>IF(終値!A190="","",IF(AND(安値!G190&lt;安値!F190,安値!G190&lt;安値!E190,安値!G190&lt;安値!H190,安値!G190&lt;安値!I190),2,""))</f>
      </c>
      <c r="C190" s="684">
        <f>IF(終値!A190="","",IF(AND(安値!H190&lt;安値!G190,安値!H190&lt;安値!F190,安値!H190&lt;安値!I190,安値!H190&lt;安値!J190),3,""))</f>
      </c>
      <c r="D190" s="684">
        <f>IF(終値!A190="","",IF(AND(安値!I190&lt;安値!H190,安値!I190&lt;安値!G190,安値!I190&lt;安値!J190,安値!I190&lt;安値!K190),4,""))</f>
      </c>
      <c r="E190" s="684">
        <f>IF(終値!A190="","",IF(AND(安値!J190&lt;安値!I190,安値!J190&lt;安値!H190,安値!J190&lt;安値!K190,安値!J190&lt;安値!L190),5,""))</f>
      </c>
      <c r="F190" s="684">
        <f>IF(終値!A190="","",IF(AND(安値!K190&lt;安値!J190,安値!K190&lt;安値!I190,安値!K190&lt;安値!L190,安値!K190&lt;安値!M190),6,""))</f>
      </c>
      <c r="G190" s="684">
        <f>IF(終値!A190="","",IF(AND(安値!L190&lt;安値!K190,安値!L190&lt;安値!J190,安値!L190&lt;安値!M190,安値!L190&lt;安値!N190),7,""))</f>
      </c>
      <c r="H190" s="684">
        <f>IF(終値!A190="","",IF(AND(安値!M190&lt;安値!L190,安値!M190&lt;安値!K190,安値!M190&lt;安値!N190,安値!M190&lt;安値!O190),8,""))</f>
      </c>
      <c r="I190" s="684">
        <f>IF(終値!A190="","",IF(AND(安値!N190&lt;安値!M190,安値!N190&lt;安値!L190,安値!N190&lt;安値!O190,安値!N190&lt;安値!P190),9,""))</f>
      </c>
      <c r="J190" s="684">
        <f>IF(終値!A190="","",IF(AND(安値!O190&lt;安値!N190,安値!O190&lt;安値!M190,安値!O190&lt;安値!P190,安値!O190&lt;安値!Q190),10,""))</f>
      </c>
      <c r="K190" s="684">
        <f>IF(終値!A190="","",IF(AND(安値!P190&lt;安値!O190,安値!P190&lt;安値!N190,安値!P190&lt;安値!Q190,安値!P190&lt;安値!R190),11,""))</f>
      </c>
      <c r="L190" s="684">
        <f>IF(終値!A190="","",IF(AND(安値!Q190&lt;安値!P190,安値!Q190&lt;安値!O190,安値!Q190&lt;安値!R190,安値!Q190&lt;安値!S190),12,""))</f>
      </c>
      <c r="M190" s="684">
        <f>IF(終値!A190="","",IF(AND(安値!R190&lt;安値!Q190,安値!R190&lt;安値!P190,安値!R190&lt;安値!S190,安値!R190&lt;安値!T190),13,""))</f>
      </c>
      <c r="N190" s="684">
        <f>IF(終値!A190="","",IF(AND(安値!S190&lt;安値!R190,安値!S190&lt;安値!Q190,安値!S190&lt;安値!T190,安値!S190&lt;安値!U190),14,""))</f>
      </c>
      <c r="O190" s="684">
        <f>IF(終値!A190="","",IF(AND(安値!T190&lt;安値!S190,安値!T190&lt;安値!R190,安値!T190&lt;安値!U190,安値!T190&lt;安値!V190),15,""))</f>
      </c>
      <c r="P190" s="684">
        <f>IF(終値!A190="","",IF(AND(安値!U190&lt;安値!T190,安値!U190&lt;安値!S190,安値!U190&lt;安値!V190,安値!U190&lt;安値!W190),16,""))</f>
      </c>
      <c r="Q190" s="684">
        <f>IF(終値!A190="","",IF(AND(安値!V190&lt;安値!U190,安値!V190&lt;安値!T190,安値!V190&lt;安値!W190,安値!V190&lt;安値!X190),17,""))</f>
      </c>
      <c r="R190" s="684">
        <f>IF(終値!A190="","",IF(AND(安値!W190&lt;安値!V190,安値!W190&lt;安値!U190,安値!W190&lt;安値!X190,安値!W190&lt;安値!Y190),18,""))</f>
      </c>
      <c r="S190" s="684">
        <f>IF(終値!A190="","",IF(AND(安値!X190&lt;安値!W190,安値!X190&lt;安値!V190,安値!X190&lt;安値!Y190,安値!X190&lt;安値!Z190),19,""))</f>
      </c>
      <c r="T190" s="684">
        <f>IF(終値!A190="","",IF(AND(安値!Y190&lt;安値!X190,安値!Y190&lt;安値!W190,安値!Y190&lt;安値!Z190,安値!Y190&lt;安値!AA190),20,""))</f>
      </c>
      <c r="U190" s="684">
        <f>IF(終値!A190="","",IF(AND(安値!Z190&lt;安値!Y190,安値!Z190&lt;安値!X190,安値!Z190&lt;安値!AA190,安値!Z190&lt;安値!AB190),21,""))</f>
      </c>
      <c r="V190" s="684">
        <f>IF(終値!A190="","",IF(AND(安値!AA190&lt;安値!Z190,安値!AA190&lt;安値!Y190,安値!AA190&lt;安値!AB190,安値!AA190&lt;安値!AC190),22,""))</f>
      </c>
      <c r="W190" s="684">
        <f>IF(終値!A190="","",IF(AND(安値!AB190&lt;安値!AA190,安値!AB190&lt;安値!Z190,安値!AB190&lt;安値!AC190,安値!AB190&lt;安値!AD190),23,""))</f>
      </c>
      <c r="X190" s="684">
        <f>IF(終値!A190="","",IF(AND(安値!AC190&lt;安値!AB190,安値!AC190&lt;安値!AA190,安値!AC190&lt;安値!AD190,安値!AC190&lt;安値!AE190),24,""))</f>
      </c>
      <c r="Y190" s="684">
        <f>IF(終値!A190="","",IF(AND(安値!AD190&lt;安値!AC190,安値!AD190&lt;安値!AB190,安値!AD190&lt;安値!AE190,安値!AD190&lt;安値!AF190),25,""))</f>
      </c>
      <c r="Z190" s="684">
        <f>IF(終値!A190="","",IF(AND(安値!AE190&lt;安値!AD190,安値!AE190&lt;安値!AC190,安値!AE190&lt;安値!AF190,安値!AE190&lt;安値!AG190),26,""))</f>
      </c>
      <c r="AA190" s="684">
        <f>IF(終値!A190="","",IF(AND(安値!AF190&lt;安値!AE190,安値!AF190&lt;安値!AD190,安値!AF190&lt;安値!AG190,安値!AF190&lt;安値!AH190),27,""))</f>
      </c>
      <c r="AB190" s="684">
        <f>IF(終値!A190="","",IF(AND(安値!AG190&lt;安値!AF190,安値!AG190&lt;安値!AE190,安値!AG190&lt;安値!AH190,安値!AG190&lt;安値!AI190),28,""))</f>
      </c>
      <c r="AC190" s="684">
        <f>IF(終値!A190="","",IF(AND(高値!G190&gt;高値!F190,高値!G190&gt;高値!E190,高値!G190&gt;高値!H190,高値!G190&gt;高値!I190),2,""))</f>
      </c>
      <c r="AD190" s="684">
        <f>IF(終値!A190="","",IF(AND(高値!H190&gt;高値!G190,高値!H190&gt;高値!F190,高値!H190&gt;高値!I190,高値!H190&gt;高値!J190),3,""))</f>
      </c>
      <c r="AE190" s="684">
        <f>IF(終値!A190="","",IF(AND(高値!I190&gt;高値!H190,高値!I190&gt;高値!G190,高値!I190&gt;高値!J190,高値!I190&gt;高値!K190),4,""))</f>
      </c>
      <c r="AF190" s="684">
        <f>IF(終値!A190="","",IF(AND(高値!J190&gt;高値!I190,高値!J190&gt;高値!H190,高値!J190&gt;高値!K190,高値!J190&gt;高値!L190),5,""))</f>
      </c>
      <c r="AG190" s="684">
        <f>IF(終値!A190="","",IF(AND(高値!K190&gt;高値!J190,高値!K190&gt;高値!I190,高値!K190&gt;高値!L190,高値!K190&gt;高値!M190),6,""))</f>
      </c>
      <c r="AH190" s="684">
        <f>IF(終値!A190="","",IF(AND(高値!L190&gt;高値!K190,高値!L190&gt;高値!J190,高値!L190&gt;高値!M190,高値!L190&gt;高値!N190),7,""))</f>
      </c>
      <c r="AI190" s="684">
        <f>IF(終値!A190="","",IF(AND(高値!M190&gt;高値!L190,高値!M190&gt;高値!K190,高値!M190&gt;高値!N190,高値!M190&gt;高値!O190),8,""))</f>
      </c>
      <c r="AJ190" s="684">
        <f>IF(終値!A190="","",IF(AND(高値!N190&gt;高値!M190,高値!N190&gt;高値!L190,高値!N190&gt;高値!O190,高値!N190&gt;高値!P190),9,""))</f>
      </c>
      <c r="AK190" s="684">
        <f>IF(終値!A190="","",IF(AND(高値!O190&gt;高値!N190,高値!O190&gt;高値!M190,高値!O190&gt;高値!P190,高値!O190&gt;高値!Q190),10,""))</f>
      </c>
      <c r="AL190" s="684">
        <f>IF(終値!A190="","",IF(AND(高値!P190&gt;高値!O190,高値!P190&gt;高値!N190,高値!P190&gt;高値!Q190,高値!P190&gt;高値!R190),11,""))</f>
      </c>
      <c r="AM190" s="684">
        <f>IF(終値!A190="","",IF(AND(高値!Q190&gt;高値!P190,高値!Q190&gt;高値!O190,高値!Q190&gt;高値!R190,高値!Q190&gt;高値!S190),12,""))</f>
      </c>
      <c r="AN190" s="684">
        <f>IF(終値!A190="","",IF(AND(高値!R190&gt;高値!Q190,高値!R190&gt;高値!P190,高値!R190&gt;高値!S190,高値!R190&gt;高値!T190),13,""))</f>
      </c>
      <c r="AO190" s="684">
        <f>IF(終値!A190="","",IF(AND(高値!S190&gt;高値!R190,高値!S190&gt;高値!Q190,高値!S190&gt;高値!T190,高値!S190&gt;高値!U190),14,""))</f>
      </c>
      <c r="AP190" s="684">
        <f>IF(終値!A190="","",IF(AND(高値!T190&gt;高値!S190,高値!T190&gt;高値!R190,高値!T190&gt;高値!U190,高値!T190&gt;高値!V190),15,""))</f>
      </c>
      <c r="AQ190" s="684">
        <f>IF(終値!A190="","",IF(AND(高値!U190&gt;高値!T190,高値!U190&gt;高値!S190,高値!U190&gt;高値!V190,高値!U190&gt;高値!W190),16,""))</f>
      </c>
      <c r="AR190" s="684">
        <f>IF(終値!A190="","",IF(AND(高値!V190&gt;高値!U190,高値!V190&gt;高値!T190,高値!V190&gt;高値!W190,高値!V190&gt;高値!X190),17,""))</f>
      </c>
      <c r="AS190" s="684">
        <f>IF(終値!A190="","",IF(AND(高値!W190&gt;高値!V190,高値!W190&gt;高値!U190,高値!W190&gt;高値!X190,高値!W190&gt;高値!Y190),18,""))</f>
      </c>
      <c r="AT190" s="684">
        <f>IF(終値!A190="","",IF(AND(高値!X190&gt;高値!W190,高値!X190&gt;高値!V190,高値!X190&gt;高値!Y190,高値!X190&gt;高値!Z190),19,""))</f>
      </c>
      <c r="AU190" s="684">
        <f>IF(終値!A190="","",IF(AND(高値!Y190&gt;高値!X190,高値!Y190&gt;高値!W190,高値!Y190&gt;高値!Z190,高値!Y190&gt;高値!AA190),20,""))</f>
      </c>
      <c r="AV190" s="684">
        <f>IF(終値!A190="","",IF(AND(高値!Z190&gt;高値!Y190,高値!Z190&gt;高値!X190,高値!Z190&gt;高値!AA190,高値!Z190&gt;高値!AB190),21,""))</f>
      </c>
      <c r="AW190" s="684">
        <f>IF(終値!A190="","",IF(AND(高値!AA190&gt;高値!Z190,高値!AA190&gt;高値!Y190,高値!AA190&gt;高値!AB190,高値!AA190&gt;高値!AC190),22,""))</f>
      </c>
      <c r="AX190" s="684">
        <f>IF(終値!A190="","",IF(AND(高値!AB190&gt;高値!AA190,高値!AB190&gt;高値!Z190,高値!AB190&gt;高値!AC190,高値!AB190&gt;高値!AD190),23,""))</f>
      </c>
      <c r="AY190" s="684">
        <f>IF(終値!A190="","",IF(AND(高値!AC190&gt;高値!AB190,高値!AC190&gt;高値!AA190,高値!AC190&gt;高値!AD190,高値!AC190&gt;高値!AE190),24,""))</f>
      </c>
      <c r="AZ190" s="684">
        <f>IF(終値!A190="","",IF(AND(高値!AD190&gt;高値!AC190,高値!AD190&gt;高値!AB190,高値!AD190&gt;高値!AE190,高値!AD190&gt;高値!AF190),25,""))</f>
      </c>
      <c r="BA190" s="684">
        <f>IF(終値!A190="","",IF(AND(高値!AE190&gt;高値!AD190,高値!AE190&gt;高値!AC190,高値!AE190&gt;高値!AF190,高値!AE190&gt;高値!AG190),26,""))</f>
      </c>
      <c r="BB190" s="684">
        <f>IF(終値!A190="","",IF(AND(高値!AF190&gt;高値!AE190,高値!AF190&gt;高値!AD190,高値!AF190&gt;高値!AG190,高値!AF190&gt;高値!AH190),27,""))</f>
      </c>
      <c r="BC190" s="684">
        <f>IF(終値!A190="","",IF(AND(高値!AG190&gt;高値!AF190,高値!AG190&gt;高値!AE190,高値!AG190&gt;高値!AH190,高値!AG190&gt;高値!AI190),28,""))</f>
      </c>
      <c r="BD190" s="684">
        <f>COUNT($B190:$AB190)</f>
      </c>
      <c r="BE190" s="684">
        <f>IF($BD190&gt;=2,MIN($B190:$AB190),"")</f>
      </c>
      <c r="BF190" s="684">
        <f>IF($BD190&gt;=2,SMALL($B190:$AB190,2),"")</f>
      </c>
      <c r="BG190" s="684">
        <f>IF($BE190="","",INDEX(安値!$E190:$CZ190,1,$BE190+1))</f>
      </c>
      <c r="BH190" s="684">
        <f>IF($BF190="","",INDEX(安値!$E190:$CZ190,1,$BF190+1))</f>
      </c>
      <c r="BI190" s="684">
        <f>IF($BF190="","",MAX(INDEX(高値!$E190:$CZ190,1,$BE190+1):INDEX(高値!$E190:$CZ190,1,$BF190+1)))</f>
      </c>
      <c r="BJ190" s="684">
        <f>IF($BF190="","",AVERAGE(INDEX(終値!$E190:$CZ190,1,$BF190+1):INDEX(終値!$E190:$CZ190,1,$BF190+20))-2*STDEVP(INDEX(終値!$E190:$CZ190,1,$BF190+1):INDEX(終値!$E190:$CZ190,1,$BF190+20)))</f>
      </c>
      <c r="BK190" s="684">
        <f>IF($BE190="","",AVERAGE(INDEX(終値!$E190:$CZ190,1,$BE190+1):INDEX(終値!$E190:$CZ190,1,$BE190+20))-2*STDEVP(INDEX(終値!$E190:$CZ190,1,$BE190+1):INDEX(終値!$E190:$CZ190,1,$BE190+20)))</f>
      </c>
      <c r="BL190" s="684">
        <f>COUNT($AC190:$BC190)</f>
      </c>
      <c r="BM190" s="684">
        <f>IF($BL190&gt;=2,MIN($AC190:$BC190),"")</f>
      </c>
      <c r="BN190" s="684">
        <f>IF($BL190&gt;=2,SMALL($AC190:$BC190,2),"")</f>
      </c>
      <c r="BO190" s="684">
        <f>IF($BM190="","",INDEX(高値!$E190:$CZ190,1,$BM190+1))</f>
      </c>
      <c r="BP190" s="684">
        <f>IF($BN190="","",INDEX(高値!$E190:$CZ190,1,$BN190+1))</f>
      </c>
      <c r="BQ190" s="684">
        <f>IF($BN190="","",MIN(INDEX(安値!$E190:$CZ190,1,$BM190+1):INDEX(安値!$E190:$CZ190,1,$BN190+1)))</f>
      </c>
      <c r="BR190" s="684">
        <f>IF($BN190="","",AVERAGE(INDEX(終値!$E190:$CZ190,1,$BN190+1):INDEX(終値!$E190:$CZ190,1,$BN190+20))+2*STDEVP(INDEX(終値!$E190:$CZ190,1,$BN190+1):INDEX(終値!$E190:$CZ190,1,$BN190+20)))</f>
      </c>
      <c r="BS190" s="684">
        <f>IF($BM190="","",AVERAGE(INDEX(終値!$E190:$CZ190,1,$BM190+1):INDEX(終値!$E190:$CZ190,1,$BM190+20))+2*STDEVP(INDEX(終値!$E190:$CZ190,1,$BM190+1):INDEX(終値!$E190:$CZ190,1,$BM190+20)))</f>
      </c>
      <c r="BT190" s="681">
        <f>IFERROR(IF(AND($BD190&gt;=2,ABS($BG190-$BH190)/$BH190&lt;=BB設定!$B$12,$BI190&gt;=MAX($BH190,$BG190)*(1+BB設定!$B$13),終値!E190&gt;$BG190),IF(OR(終値!E190&gt;=$BI190,AND($BH190&lt;$BJ190,$BG190&gt;=$BK190)),"二番底W▲","二番底W形成"),IF(AND($BL190&gt;=2,ABS($BO190-$BP190)/$BP190&lt;=BB設定!$B$12,$BQ190&lt;=MIN($BP190,$BO190)*(1-BB設定!$B$13),終値!E190&lt;$BO190),IF(OR(終値!E190&lt;=$BQ190,AND($BP190&gt;$BR190,$BO190&lt;=$BS190)),"二番天井M▼","二番天井M形成"),"－")),"－")</f>
      </c>
    </row>
    <row r="191">
      <c r="B191" s="684">
        <f>IF(終値!A191="","",IF(AND(安値!G191&lt;安値!F191,安値!G191&lt;安値!E191,安値!G191&lt;安値!H191,安値!G191&lt;安値!I191),2,""))</f>
      </c>
      <c r="C191" s="684">
        <f>IF(終値!A191="","",IF(AND(安値!H191&lt;安値!G191,安値!H191&lt;安値!F191,安値!H191&lt;安値!I191,安値!H191&lt;安値!J191),3,""))</f>
      </c>
      <c r="D191" s="684">
        <f>IF(終値!A191="","",IF(AND(安値!I191&lt;安値!H191,安値!I191&lt;安値!G191,安値!I191&lt;安値!J191,安値!I191&lt;安値!K191),4,""))</f>
      </c>
      <c r="E191" s="684">
        <f>IF(終値!A191="","",IF(AND(安値!J191&lt;安値!I191,安値!J191&lt;安値!H191,安値!J191&lt;安値!K191,安値!J191&lt;安値!L191),5,""))</f>
      </c>
      <c r="F191" s="684">
        <f>IF(終値!A191="","",IF(AND(安値!K191&lt;安値!J191,安値!K191&lt;安値!I191,安値!K191&lt;安値!L191,安値!K191&lt;安値!M191),6,""))</f>
      </c>
      <c r="G191" s="684">
        <f>IF(終値!A191="","",IF(AND(安値!L191&lt;安値!K191,安値!L191&lt;安値!J191,安値!L191&lt;安値!M191,安値!L191&lt;安値!N191),7,""))</f>
      </c>
      <c r="H191" s="684">
        <f>IF(終値!A191="","",IF(AND(安値!M191&lt;安値!L191,安値!M191&lt;安値!K191,安値!M191&lt;安値!N191,安値!M191&lt;安値!O191),8,""))</f>
      </c>
      <c r="I191" s="684">
        <f>IF(終値!A191="","",IF(AND(安値!N191&lt;安値!M191,安値!N191&lt;安値!L191,安値!N191&lt;安値!O191,安値!N191&lt;安値!P191),9,""))</f>
      </c>
      <c r="J191" s="684">
        <f>IF(終値!A191="","",IF(AND(安値!O191&lt;安値!N191,安値!O191&lt;安値!M191,安値!O191&lt;安値!P191,安値!O191&lt;安値!Q191),10,""))</f>
      </c>
      <c r="K191" s="684">
        <f>IF(終値!A191="","",IF(AND(安値!P191&lt;安値!O191,安値!P191&lt;安値!N191,安値!P191&lt;安値!Q191,安値!P191&lt;安値!R191),11,""))</f>
      </c>
      <c r="L191" s="684">
        <f>IF(終値!A191="","",IF(AND(安値!Q191&lt;安値!P191,安値!Q191&lt;安値!O191,安値!Q191&lt;安値!R191,安値!Q191&lt;安値!S191),12,""))</f>
      </c>
      <c r="M191" s="684">
        <f>IF(終値!A191="","",IF(AND(安値!R191&lt;安値!Q191,安値!R191&lt;安値!P191,安値!R191&lt;安値!S191,安値!R191&lt;安値!T191),13,""))</f>
      </c>
      <c r="N191" s="684">
        <f>IF(終値!A191="","",IF(AND(安値!S191&lt;安値!R191,安値!S191&lt;安値!Q191,安値!S191&lt;安値!T191,安値!S191&lt;安値!U191),14,""))</f>
      </c>
      <c r="O191" s="684">
        <f>IF(終値!A191="","",IF(AND(安値!T191&lt;安値!S191,安値!T191&lt;安値!R191,安値!T191&lt;安値!U191,安値!T191&lt;安値!V191),15,""))</f>
      </c>
      <c r="P191" s="684">
        <f>IF(終値!A191="","",IF(AND(安値!U191&lt;安値!T191,安値!U191&lt;安値!S191,安値!U191&lt;安値!V191,安値!U191&lt;安値!W191),16,""))</f>
      </c>
      <c r="Q191" s="684">
        <f>IF(終値!A191="","",IF(AND(安値!V191&lt;安値!U191,安値!V191&lt;安値!T191,安値!V191&lt;安値!W191,安値!V191&lt;安値!X191),17,""))</f>
      </c>
      <c r="R191" s="684">
        <f>IF(終値!A191="","",IF(AND(安値!W191&lt;安値!V191,安値!W191&lt;安値!U191,安値!W191&lt;安値!X191,安値!W191&lt;安値!Y191),18,""))</f>
      </c>
      <c r="S191" s="684">
        <f>IF(終値!A191="","",IF(AND(安値!X191&lt;安値!W191,安値!X191&lt;安値!V191,安値!X191&lt;安値!Y191,安値!X191&lt;安値!Z191),19,""))</f>
      </c>
      <c r="T191" s="684">
        <f>IF(終値!A191="","",IF(AND(安値!Y191&lt;安値!X191,安値!Y191&lt;安値!W191,安値!Y191&lt;安値!Z191,安値!Y191&lt;安値!AA191),20,""))</f>
      </c>
      <c r="U191" s="684">
        <f>IF(終値!A191="","",IF(AND(安値!Z191&lt;安値!Y191,安値!Z191&lt;安値!X191,安値!Z191&lt;安値!AA191,安値!Z191&lt;安値!AB191),21,""))</f>
      </c>
      <c r="V191" s="684">
        <f>IF(終値!A191="","",IF(AND(安値!AA191&lt;安値!Z191,安値!AA191&lt;安値!Y191,安値!AA191&lt;安値!AB191,安値!AA191&lt;安値!AC191),22,""))</f>
      </c>
      <c r="W191" s="684">
        <f>IF(終値!A191="","",IF(AND(安値!AB191&lt;安値!AA191,安値!AB191&lt;安値!Z191,安値!AB191&lt;安値!AC191,安値!AB191&lt;安値!AD191),23,""))</f>
      </c>
      <c r="X191" s="684">
        <f>IF(終値!A191="","",IF(AND(安値!AC191&lt;安値!AB191,安値!AC191&lt;安値!AA191,安値!AC191&lt;安値!AD191,安値!AC191&lt;安値!AE191),24,""))</f>
      </c>
      <c r="Y191" s="684">
        <f>IF(終値!A191="","",IF(AND(安値!AD191&lt;安値!AC191,安値!AD191&lt;安値!AB191,安値!AD191&lt;安値!AE191,安値!AD191&lt;安値!AF191),25,""))</f>
      </c>
      <c r="Z191" s="684">
        <f>IF(終値!A191="","",IF(AND(安値!AE191&lt;安値!AD191,安値!AE191&lt;安値!AC191,安値!AE191&lt;安値!AF191,安値!AE191&lt;安値!AG191),26,""))</f>
      </c>
      <c r="AA191" s="684">
        <f>IF(終値!A191="","",IF(AND(安値!AF191&lt;安値!AE191,安値!AF191&lt;安値!AD191,安値!AF191&lt;安値!AG191,安値!AF191&lt;安値!AH191),27,""))</f>
      </c>
      <c r="AB191" s="684">
        <f>IF(終値!A191="","",IF(AND(安値!AG191&lt;安値!AF191,安値!AG191&lt;安値!AE191,安値!AG191&lt;安値!AH191,安値!AG191&lt;安値!AI191),28,""))</f>
      </c>
      <c r="AC191" s="684">
        <f>IF(終値!A191="","",IF(AND(高値!G191&gt;高値!F191,高値!G191&gt;高値!E191,高値!G191&gt;高値!H191,高値!G191&gt;高値!I191),2,""))</f>
      </c>
      <c r="AD191" s="684">
        <f>IF(終値!A191="","",IF(AND(高値!H191&gt;高値!G191,高値!H191&gt;高値!F191,高値!H191&gt;高値!I191,高値!H191&gt;高値!J191),3,""))</f>
      </c>
      <c r="AE191" s="684">
        <f>IF(終値!A191="","",IF(AND(高値!I191&gt;高値!H191,高値!I191&gt;高値!G191,高値!I191&gt;高値!J191,高値!I191&gt;高値!K191),4,""))</f>
      </c>
      <c r="AF191" s="684">
        <f>IF(終値!A191="","",IF(AND(高値!J191&gt;高値!I191,高値!J191&gt;高値!H191,高値!J191&gt;高値!K191,高値!J191&gt;高値!L191),5,""))</f>
      </c>
      <c r="AG191" s="684">
        <f>IF(終値!A191="","",IF(AND(高値!K191&gt;高値!J191,高値!K191&gt;高値!I191,高値!K191&gt;高値!L191,高値!K191&gt;高値!M191),6,""))</f>
      </c>
      <c r="AH191" s="684">
        <f>IF(終値!A191="","",IF(AND(高値!L191&gt;高値!K191,高値!L191&gt;高値!J191,高値!L191&gt;高値!M191,高値!L191&gt;高値!N191),7,""))</f>
      </c>
      <c r="AI191" s="684">
        <f>IF(終値!A191="","",IF(AND(高値!M191&gt;高値!L191,高値!M191&gt;高値!K191,高値!M191&gt;高値!N191,高値!M191&gt;高値!O191),8,""))</f>
      </c>
      <c r="AJ191" s="684">
        <f>IF(終値!A191="","",IF(AND(高値!N191&gt;高値!M191,高値!N191&gt;高値!L191,高値!N191&gt;高値!O191,高値!N191&gt;高値!P191),9,""))</f>
      </c>
      <c r="AK191" s="684">
        <f>IF(終値!A191="","",IF(AND(高値!O191&gt;高値!N191,高値!O191&gt;高値!M191,高値!O191&gt;高値!P191,高値!O191&gt;高値!Q191),10,""))</f>
      </c>
      <c r="AL191" s="684">
        <f>IF(終値!A191="","",IF(AND(高値!P191&gt;高値!O191,高値!P191&gt;高値!N191,高値!P191&gt;高値!Q191,高値!P191&gt;高値!R191),11,""))</f>
      </c>
      <c r="AM191" s="684">
        <f>IF(終値!A191="","",IF(AND(高値!Q191&gt;高値!P191,高値!Q191&gt;高値!O191,高値!Q191&gt;高値!R191,高値!Q191&gt;高値!S191),12,""))</f>
      </c>
      <c r="AN191" s="684">
        <f>IF(終値!A191="","",IF(AND(高値!R191&gt;高値!Q191,高値!R191&gt;高値!P191,高値!R191&gt;高値!S191,高値!R191&gt;高値!T191),13,""))</f>
      </c>
      <c r="AO191" s="684">
        <f>IF(終値!A191="","",IF(AND(高値!S191&gt;高値!R191,高値!S191&gt;高値!Q191,高値!S191&gt;高値!T191,高値!S191&gt;高値!U191),14,""))</f>
      </c>
      <c r="AP191" s="684">
        <f>IF(終値!A191="","",IF(AND(高値!T191&gt;高値!S191,高値!T191&gt;高値!R191,高値!T191&gt;高値!U191,高値!T191&gt;高値!V191),15,""))</f>
      </c>
      <c r="AQ191" s="684">
        <f>IF(終値!A191="","",IF(AND(高値!U191&gt;高値!T191,高値!U191&gt;高値!S191,高値!U191&gt;高値!V191,高値!U191&gt;高値!W191),16,""))</f>
      </c>
      <c r="AR191" s="684">
        <f>IF(終値!A191="","",IF(AND(高値!V191&gt;高値!U191,高値!V191&gt;高値!T191,高値!V191&gt;高値!W191,高値!V191&gt;高値!X191),17,""))</f>
      </c>
      <c r="AS191" s="684">
        <f>IF(終値!A191="","",IF(AND(高値!W191&gt;高値!V191,高値!W191&gt;高値!U191,高値!W191&gt;高値!X191,高値!W191&gt;高値!Y191),18,""))</f>
      </c>
      <c r="AT191" s="684">
        <f>IF(終値!A191="","",IF(AND(高値!X191&gt;高値!W191,高値!X191&gt;高値!V191,高値!X191&gt;高値!Y191,高値!X191&gt;高値!Z191),19,""))</f>
      </c>
      <c r="AU191" s="684">
        <f>IF(終値!A191="","",IF(AND(高値!Y191&gt;高値!X191,高値!Y191&gt;高値!W191,高値!Y191&gt;高値!Z191,高値!Y191&gt;高値!AA191),20,""))</f>
      </c>
      <c r="AV191" s="684">
        <f>IF(終値!A191="","",IF(AND(高値!Z191&gt;高値!Y191,高値!Z191&gt;高値!X191,高値!Z191&gt;高値!AA191,高値!Z191&gt;高値!AB191),21,""))</f>
      </c>
      <c r="AW191" s="684">
        <f>IF(終値!A191="","",IF(AND(高値!AA191&gt;高値!Z191,高値!AA191&gt;高値!Y191,高値!AA191&gt;高値!AB191,高値!AA191&gt;高値!AC191),22,""))</f>
      </c>
      <c r="AX191" s="684">
        <f>IF(終値!A191="","",IF(AND(高値!AB191&gt;高値!AA191,高値!AB191&gt;高値!Z191,高値!AB191&gt;高値!AC191,高値!AB191&gt;高値!AD191),23,""))</f>
      </c>
      <c r="AY191" s="684">
        <f>IF(終値!A191="","",IF(AND(高値!AC191&gt;高値!AB191,高値!AC191&gt;高値!AA191,高値!AC191&gt;高値!AD191,高値!AC191&gt;高値!AE191),24,""))</f>
      </c>
      <c r="AZ191" s="684">
        <f>IF(終値!A191="","",IF(AND(高値!AD191&gt;高値!AC191,高値!AD191&gt;高値!AB191,高値!AD191&gt;高値!AE191,高値!AD191&gt;高値!AF191),25,""))</f>
      </c>
      <c r="BA191" s="684">
        <f>IF(終値!A191="","",IF(AND(高値!AE191&gt;高値!AD191,高値!AE191&gt;高値!AC191,高値!AE191&gt;高値!AF191,高値!AE191&gt;高値!AG191),26,""))</f>
      </c>
      <c r="BB191" s="684">
        <f>IF(終値!A191="","",IF(AND(高値!AF191&gt;高値!AE191,高値!AF191&gt;高値!AD191,高値!AF191&gt;高値!AG191,高値!AF191&gt;高値!AH191),27,""))</f>
      </c>
      <c r="BC191" s="684">
        <f>IF(終値!A191="","",IF(AND(高値!AG191&gt;高値!AF191,高値!AG191&gt;高値!AE191,高値!AG191&gt;高値!AH191,高値!AG191&gt;高値!AI191),28,""))</f>
      </c>
      <c r="BD191" s="684">
        <f>COUNT($B191:$AB191)</f>
      </c>
      <c r="BE191" s="684">
        <f>IF($BD191&gt;=2,MIN($B191:$AB191),"")</f>
      </c>
      <c r="BF191" s="684">
        <f>IF($BD191&gt;=2,SMALL($B191:$AB191,2),"")</f>
      </c>
      <c r="BG191" s="684">
        <f>IF($BE191="","",INDEX(安値!$E191:$CZ191,1,$BE191+1))</f>
      </c>
      <c r="BH191" s="684">
        <f>IF($BF191="","",INDEX(安値!$E191:$CZ191,1,$BF191+1))</f>
      </c>
      <c r="BI191" s="684">
        <f>IF($BF191="","",MAX(INDEX(高値!$E191:$CZ191,1,$BE191+1):INDEX(高値!$E191:$CZ191,1,$BF191+1)))</f>
      </c>
      <c r="BJ191" s="684">
        <f>IF($BF191="","",AVERAGE(INDEX(終値!$E191:$CZ191,1,$BF191+1):INDEX(終値!$E191:$CZ191,1,$BF191+20))-2*STDEVP(INDEX(終値!$E191:$CZ191,1,$BF191+1):INDEX(終値!$E191:$CZ191,1,$BF191+20)))</f>
      </c>
      <c r="BK191" s="684">
        <f>IF($BE191="","",AVERAGE(INDEX(終値!$E191:$CZ191,1,$BE191+1):INDEX(終値!$E191:$CZ191,1,$BE191+20))-2*STDEVP(INDEX(終値!$E191:$CZ191,1,$BE191+1):INDEX(終値!$E191:$CZ191,1,$BE191+20)))</f>
      </c>
      <c r="BL191" s="684">
        <f>COUNT($AC191:$BC191)</f>
      </c>
      <c r="BM191" s="684">
        <f>IF($BL191&gt;=2,MIN($AC191:$BC191),"")</f>
      </c>
      <c r="BN191" s="684">
        <f>IF($BL191&gt;=2,SMALL($AC191:$BC191,2),"")</f>
      </c>
      <c r="BO191" s="684">
        <f>IF($BM191="","",INDEX(高値!$E191:$CZ191,1,$BM191+1))</f>
      </c>
      <c r="BP191" s="684">
        <f>IF($BN191="","",INDEX(高値!$E191:$CZ191,1,$BN191+1))</f>
      </c>
      <c r="BQ191" s="684">
        <f>IF($BN191="","",MIN(INDEX(安値!$E191:$CZ191,1,$BM191+1):INDEX(安値!$E191:$CZ191,1,$BN191+1)))</f>
      </c>
      <c r="BR191" s="684">
        <f>IF($BN191="","",AVERAGE(INDEX(終値!$E191:$CZ191,1,$BN191+1):INDEX(終値!$E191:$CZ191,1,$BN191+20))+2*STDEVP(INDEX(終値!$E191:$CZ191,1,$BN191+1):INDEX(終値!$E191:$CZ191,1,$BN191+20)))</f>
      </c>
      <c r="BS191" s="684">
        <f>IF($BM191="","",AVERAGE(INDEX(終値!$E191:$CZ191,1,$BM191+1):INDEX(終値!$E191:$CZ191,1,$BM191+20))+2*STDEVP(INDEX(終値!$E191:$CZ191,1,$BM191+1):INDEX(終値!$E191:$CZ191,1,$BM191+20)))</f>
      </c>
      <c r="BT191" s="681">
        <f>IFERROR(IF(AND($BD191&gt;=2,ABS($BG191-$BH191)/$BH191&lt;=BB設定!$B$12,$BI191&gt;=MAX($BH191,$BG191)*(1+BB設定!$B$13),終値!E191&gt;$BG191),IF(OR(終値!E191&gt;=$BI191,AND($BH191&lt;$BJ191,$BG191&gt;=$BK191)),"二番底W▲","二番底W形成"),IF(AND($BL191&gt;=2,ABS($BO191-$BP191)/$BP191&lt;=BB設定!$B$12,$BQ191&lt;=MIN($BP191,$BO191)*(1-BB設定!$B$13),終値!E191&lt;$BO191),IF(OR(終値!E191&lt;=$BQ191,AND($BP191&gt;$BR191,$BO191&lt;=$BS191)),"二番天井M▼","二番天井M形成"),"－")),"－")</f>
      </c>
    </row>
    <row r="192">
      <c r="B192" s="684">
        <f>IF(終値!A192="","",IF(AND(安値!G192&lt;安値!F192,安値!G192&lt;安値!E192,安値!G192&lt;安値!H192,安値!G192&lt;安値!I192),2,""))</f>
      </c>
      <c r="C192" s="684">
        <f>IF(終値!A192="","",IF(AND(安値!H192&lt;安値!G192,安値!H192&lt;安値!F192,安値!H192&lt;安値!I192,安値!H192&lt;安値!J192),3,""))</f>
      </c>
      <c r="D192" s="684">
        <f>IF(終値!A192="","",IF(AND(安値!I192&lt;安値!H192,安値!I192&lt;安値!G192,安値!I192&lt;安値!J192,安値!I192&lt;安値!K192),4,""))</f>
      </c>
      <c r="E192" s="684">
        <f>IF(終値!A192="","",IF(AND(安値!J192&lt;安値!I192,安値!J192&lt;安値!H192,安値!J192&lt;安値!K192,安値!J192&lt;安値!L192),5,""))</f>
      </c>
      <c r="F192" s="684">
        <f>IF(終値!A192="","",IF(AND(安値!K192&lt;安値!J192,安値!K192&lt;安値!I192,安値!K192&lt;安値!L192,安値!K192&lt;安値!M192),6,""))</f>
      </c>
      <c r="G192" s="684">
        <f>IF(終値!A192="","",IF(AND(安値!L192&lt;安値!K192,安値!L192&lt;安値!J192,安値!L192&lt;安値!M192,安値!L192&lt;安値!N192),7,""))</f>
      </c>
      <c r="H192" s="684">
        <f>IF(終値!A192="","",IF(AND(安値!M192&lt;安値!L192,安値!M192&lt;安値!K192,安値!M192&lt;安値!N192,安値!M192&lt;安値!O192),8,""))</f>
      </c>
      <c r="I192" s="684">
        <f>IF(終値!A192="","",IF(AND(安値!N192&lt;安値!M192,安値!N192&lt;安値!L192,安値!N192&lt;安値!O192,安値!N192&lt;安値!P192),9,""))</f>
      </c>
      <c r="J192" s="684">
        <f>IF(終値!A192="","",IF(AND(安値!O192&lt;安値!N192,安値!O192&lt;安値!M192,安値!O192&lt;安値!P192,安値!O192&lt;安値!Q192),10,""))</f>
      </c>
      <c r="K192" s="684">
        <f>IF(終値!A192="","",IF(AND(安値!P192&lt;安値!O192,安値!P192&lt;安値!N192,安値!P192&lt;安値!Q192,安値!P192&lt;安値!R192),11,""))</f>
      </c>
      <c r="L192" s="684">
        <f>IF(終値!A192="","",IF(AND(安値!Q192&lt;安値!P192,安値!Q192&lt;安値!O192,安値!Q192&lt;安値!R192,安値!Q192&lt;安値!S192),12,""))</f>
      </c>
      <c r="M192" s="684">
        <f>IF(終値!A192="","",IF(AND(安値!R192&lt;安値!Q192,安値!R192&lt;安値!P192,安値!R192&lt;安値!S192,安値!R192&lt;安値!T192),13,""))</f>
      </c>
      <c r="N192" s="684">
        <f>IF(終値!A192="","",IF(AND(安値!S192&lt;安値!R192,安値!S192&lt;安値!Q192,安値!S192&lt;安値!T192,安値!S192&lt;安値!U192),14,""))</f>
      </c>
      <c r="O192" s="684">
        <f>IF(終値!A192="","",IF(AND(安値!T192&lt;安値!S192,安値!T192&lt;安値!R192,安値!T192&lt;安値!U192,安値!T192&lt;安値!V192),15,""))</f>
      </c>
      <c r="P192" s="684">
        <f>IF(終値!A192="","",IF(AND(安値!U192&lt;安値!T192,安値!U192&lt;安値!S192,安値!U192&lt;安値!V192,安値!U192&lt;安値!W192),16,""))</f>
      </c>
      <c r="Q192" s="684">
        <f>IF(終値!A192="","",IF(AND(安値!V192&lt;安値!U192,安値!V192&lt;安値!T192,安値!V192&lt;安値!W192,安値!V192&lt;安値!X192),17,""))</f>
      </c>
      <c r="R192" s="684">
        <f>IF(終値!A192="","",IF(AND(安値!W192&lt;安値!V192,安値!W192&lt;安値!U192,安値!W192&lt;安値!X192,安値!W192&lt;安値!Y192),18,""))</f>
      </c>
      <c r="S192" s="684">
        <f>IF(終値!A192="","",IF(AND(安値!X192&lt;安値!W192,安値!X192&lt;安値!V192,安値!X192&lt;安値!Y192,安値!X192&lt;安値!Z192),19,""))</f>
      </c>
      <c r="T192" s="684">
        <f>IF(終値!A192="","",IF(AND(安値!Y192&lt;安値!X192,安値!Y192&lt;安値!W192,安値!Y192&lt;安値!Z192,安値!Y192&lt;安値!AA192),20,""))</f>
      </c>
      <c r="U192" s="684">
        <f>IF(終値!A192="","",IF(AND(安値!Z192&lt;安値!Y192,安値!Z192&lt;安値!X192,安値!Z192&lt;安値!AA192,安値!Z192&lt;安値!AB192),21,""))</f>
      </c>
      <c r="V192" s="684">
        <f>IF(終値!A192="","",IF(AND(安値!AA192&lt;安値!Z192,安値!AA192&lt;安値!Y192,安値!AA192&lt;安値!AB192,安値!AA192&lt;安値!AC192),22,""))</f>
      </c>
      <c r="W192" s="684">
        <f>IF(終値!A192="","",IF(AND(安値!AB192&lt;安値!AA192,安値!AB192&lt;安値!Z192,安値!AB192&lt;安値!AC192,安値!AB192&lt;安値!AD192),23,""))</f>
      </c>
      <c r="X192" s="684">
        <f>IF(終値!A192="","",IF(AND(安値!AC192&lt;安値!AB192,安値!AC192&lt;安値!AA192,安値!AC192&lt;安値!AD192,安値!AC192&lt;安値!AE192),24,""))</f>
      </c>
      <c r="Y192" s="684">
        <f>IF(終値!A192="","",IF(AND(安値!AD192&lt;安値!AC192,安値!AD192&lt;安値!AB192,安値!AD192&lt;安値!AE192,安値!AD192&lt;安値!AF192),25,""))</f>
      </c>
      <c r="Z192" s="684">
        <f>IF(終値!A192="","",IF(AND(安値!AE192&lt;安値!AD192,安値!AE192&lt;安値!AC192,安値!AE192&lt;安値!AF192,安値!AE192&lt;安値!AG192),26,""))</f>
      </c>
      <c r="AA192" s="684">
        <f>IF(終値!A192="","",IF(AND(安値!AF192&lt;安値!AE192,安値!AF192&lt;安値!AD192,安値!AF192&lt;安値!AG192,安値!AF192&lt;安値!AH192),27,""))</f>
      </c>
      <c r="AB192" s="684">
        <f>IF(終値!A192="","",IF(AND(安値!AG192&lt;安値!AF192,安値!AG192&lt;安値!AE192,安値!AG192&lt;安値!AH192,安値!AG192&lt;安値!AI192),28,""))</f>
      </c>
      <c r="AC192" s="684">
        <f>IF(終値!A192="","",IF(AND(高値!G192&gt;高値!F192,高値!G192&gt;高値!E192,高値!G192&gt;高値!H192,高値!G192&gt;高値!I192),2,""))</f>
      </c>
      <c r="AD192" s="684">
        <f>IF(終値!A192="","",IF(AND(高値!H192&gt;高値!G192,高値!H192&gt;高値!F192,高値!H192&gt;高値!I192,高値!H192&gt;高値!J192),3,""))</f>
      </c>
      <c r="AE192" s="684">
        <f>IF(終値!A192="","",IF(AND(高値!I192&gt;高値!H192,高値!I192&gt;高値!G192,高値!I192&gt;高値!J192,高値!I192&gt;高値!K192),4,""))</f>
      </c>
      <c r="AF192" s="684">
        <f>IF(終値!A192="","",IF(AND(高値!J192&gt;高値!I192,高値!J192&gt;高値!H192,高値!J192&gt;高値!K192,高値!J192&gt;高値!L192),5,""))</f>
      </c>
      <c r="AG192" s="684">
        <f>IF(終値!A192="","",IF(AND(高値!K192&gt;高値!J192,高値!K192&gt;高値!I192,高値!K192&gt;高値!L192,高値!K192&gt;高値!M192),6,""))</f>
      </c>
      <c r="AH192" s="684">
        <f>IF(終値!A192="","",IF(AND(高値!L192&gt;高値!K192,高値!L192&gt;高値!J192,高値!L192&gt;高値!M192,高値!L192&gt;高値!N192),7,""))</f>
      </c>
      <c r="AI192" s="684">
        <f>IF(終値!A192="","",IF(AND(高値!M192&gt;高値!L192,高値!M192&gt;高値!K192,高値!M192&gt;高値!N192,高値!M192&gt;高値!O192),8,""))</f>
      </c>
      <c r="AJ192" s="684">
        <f>IF(終値!A192="","",IF(AND(高値!N192&gt;高値!M192,高値!N192&gt;高値!L192,高値!N192&gt;高値!O192,高値!N192&gt;高値!P192),9,""))</f>
      </c>
      <c r="AK192" s="684">
        <f>IF(終値!A192="","",IF(AND(高値!O192&gt;高値!N192,高値!O192&gt;高値!M192,高値!O192&gt;高値!P192,高値!O192&gt;高値!Q192),10,""))</f>
      </c>
      <c r="AL192" s="684">
        <f>IF(終値!A192="","",IF(AND(高値!P192&gt;高値!O192,高値!P192&gt;高値!N192,高値!P192&gt;高値!Q192,高値!P192&gt;高値!R192),11,""))</f>
      </c>
      <c r="AM192" s="684">
        <f>IF(終値!A192="","",IF(AND(高値!Q192&gt;高値!P192,高値!Q192&gt;高値!O192,高値!Q192&gt;高値!R192,高値!Q192&gt;高値!S192),12,""))</f>
      </c>
      <c r="AN192" s="684">
        <f>IF(終値!A192="","",IF(AND(高値!R192&gt;高値!Q192,高値!R192&gt;高値!P192,高値!R192&gt;高値!S192,高値!R192&gt;高値!T192),13,""))</f>
      </c>
      <c r="AO192" s="684">
        <f>IF(終値!A192="","",IF(AND(高値!S192&gt;高値!R192,高値!S192&gt;高値!Q192,高値!S192&gt;高値!T192,高値!S192&gt;高値!U192),14,""))</f>
      </c>
      <c r="AP192" s="684">
        <f>IF(終値!A192="","",IF(AND(高値!T192&gt;高値!S192,高値!T192&gt;高値!R192,高値!T192&gt;高値!U192,高値!T192&gt;高値!V192),15,""))</f>
      </c>
      <c r="AQ192" s="684">
        <f>IF(終値!A192="","",IF(AND(高値!U192&gt;高値!T192,高値!U192&gt;高値!S192,高値!U192&gt;高値!V192,高値!U192&gt;高値!W192),16,""))</f>
      </c>
      <c r="AR192" s="684">
        <f>IF(終値!A192="","",IF(AND(高値!V192&gt;高値!U192,高値!V192&gt;高値!T192,高値!V192&gt;高値!W192,高値!V192&gt;高値!X192),17,""))</f>
      </c>
      <c r="AS192" s="684">
        <f>IF(終値!A192="","",IF(AND(高値!W192&gt;高値!V192,高値!W192&gt;高値!U192,高値!W192&gt;高値!X192,高値!W192&gt;高値!Y192),18,""))</f>
      </c>
      <c r="AT192" s="684">
        <f>IF(終値!A192="","",IF(AND(高値!X192&gt;高値!W192,高値!X192&gt;高値!V192,高値!X192&gt;高値!Y192,高値!X192&gt;高値!Z192),19,""))</f>
      </c>
      <c r="AU192" s="684">
        <f>IF(終値!A192="","",IF(AND(高値!Y192&gt;高値!X192,高値!Y192&gt;高値!W192,高値!Y192&gt;高値!Z192,高値!Y192&gt;高値!AA192),20,""))</f>
      </c>
      <c r="AV192" s="684">
        <f>IF(終値!A192="","",IF(AND(高値!Z192&gt;高値!Y192,高値!Z192&gt;高値!X192,高値!Z192&gt;高値!AA192,高値!Z192&gt;高値!AB192),21,""))</f>
      </c>
      <c r="AW192" s="684">
        <f>IF(終値!A192="","",IF(AND(高値!AA192&gt;高値!Z192,高値!AA192&gt;高値!Y192,高値!AA192&gt;高値!AB192,高値!AA192&gt;高値!AC192),22,""))</f>
      </c>
      <c r="AX192" s="684">
        <f>IF(終値!A192="","",IF(AND(高値!AB192&gt;高値!AA192,高値!AB192&gt;高値!Z192,高値!AB192&gt;高値!AC192,高値!AB192&gt;高値!AD192),23,""))</f>
      </c>
      <c r="AY192" s="684">
        <f>IF(終値!A192="","",IF(AND(高値!AC192&gt;高値!AB192,高値!AC192&gt;高値!AA192,高値!AC192&gt;高値!AD192,高値!AC192&gt;高値!AE192),24,""))</f>
      </c>
      <c r="AZ192" s="684">
        <f>IF(終値!A192="","",IF(AND(高値!AD192&gt;高値!AC192,高値!AD192&gt;高値!AB192,高値!AD192&gt;高値!AE192,高値!AD192&gt;高値!AF192),25,""))</f>
      </c>
      <c r="BA192" s="684">
        <f>IF(終値!A192="","",IF(AND(高値!AE192&gt;高値!AD192,高値!AE192&gt;高値!AC192,高値!AE192&gt;高値!AF192,高値!AE192&gt;高値!AG192),26,""))</f>
      </c>
      <c r="BB192" s="684">
        <f>IF(終値!A192="","",IF(AND(高値!AF192&gt;高値!AE192,高値!AF192&gt;高値!AD192,高値!AF192&gt;高値!AG192,高値!AF192&gt;高値!AH192),27,""))</f>
      </c>
      <c r="BC192" s="684">
        <f>IF(終値!A192="","",IF(AND(高値!AG192&gt;高値!AF192,高値!AG192&gt;高値!AE192,高値!AG192&gt;高値!AH192,高値!AG192&gt;高値!AI192),28,""))</f>
      </c>
      <c r="BD192" s="684">
        <f>COUNT($B192:$AB192)</f>
      </c>
      <c r="BE192" s="684">
        <f>IF($BD192&gt;=2,MIN($B192:$AB192),"")</f>
      </c>
      <c r="BF192" s="684">
        <f>IF($BD192&gt;=2,SMALL($B192:$AB192,2),"")</f>
      </c>
      <c r="BG192" s="684">
        <f>IF($BE192="","",INDEX(安値!$E192:$CZ192,1,$BE192+1))</f>
      </c>
      <c r="BH192" s="684">
        <f>IF($BF192="","",INDEX(安値!$E192:$CZ192,1,$BF192+1))</f>
      </c>
      <c r="BI192" s="684">
        <f>IF($BF192="","",MAX(INDEX(高値!$E192:$CZ192,1,$BE192+1):INDEX(高値!$E192:$CZ192,1,$BF192+1)))</f>
      </c>
      <c r="BJ192" s="684">
        <f>IF($BF192="","",AVERAGE(INDEX(終値!$E192:$CZ192,1,$BF192+1):INDEX(終値!$E192:$CZ192,1,$BF192+20))-2*STDEVP(INDEX(終値!$E192:$CZ192,1,$BF192+1):INDEX(終値!$E192:$CZ192,1,$BF192+20)))</f>
      </c>
      <c r="BK192" s="684">
        <f>IF($BE192="","",AVERAGE(INDEX(終値!$E192:$CZ192,1,$BE192+1):INDEX(終値!$E192:$CZ192,1,$BE192+20))-2*STDEVP(INDEX(終値!$E192:$CZ192,1,$BE192+1):INDEX(終値!$E192:$CZ192,1,$BE192+20)))</f>
      </c>
      <c r="BL192" s="684">
        <f>COUNT($AC192:$BC192)</f>
      </c>
      <c r="BM192" s="684">
        <f>IF($BL192&gt;=2,MIN($AC192:$BC192),"")</f>
      </c>
      <c r="BN192" s="684">
        <f>IF($BL192&gt;=2,SMALL($AC192:$BC192,2),"")</f>
      </c>
      <c r="BO192" s="684">
        <f>IF($BM192="","",INDEX(高値!$E192:$CZ192,1,$BM192+1))</f>
      </c>
      <c r="BP192" s="684">
        <f>IF($BN192="","",INDEX(高値!$E192:$CZ192,1,$BN192+1))</f>
      </c>
      <c r="BQ192" s="684">
        <f>IF($BN192="","",MIN(INDEX(安値!$E192:$CZ192,1,$BM192+1):INDEX(安値!$E192:$CZ192,1,$BN192+1)))</f>
      </c>
      <c r="BR192" s="684">
        <f>IF($BN192="","",AVERAGE(INDEX(終値!$E192:$CZ192,1,$BN192+1):INDEX(終値!$E192:$CZ192,1,$BN192+20))+2*STDEVP(INDEX(終値!$E192:$CZ192,1,$BN192+1):INDEX(終値!$E192:$CZ192,1,$BN192+20)))</f>
      </c>
      <c r="BS192" s="684">
        <f>IF($BM192="","",AVERAGE(INDEX(終値!$E192:$CZ192,1,$BM192+1):INDEX(終値!$E192:$CZ192,1,$BM192+20))+2*STDEVP(INDEX(終値!$E192:$CZ192,1,$BM192+1):INDEX(終値!$E192:$CZ192,1,$BM192+20)))</f>
      </c>
      <c r="BT192" s="681">
        <f>IFERROR(IF(AND($BD192&gt;=2,ABS($BG192-$BH192)/$BH192&lt;=BB設定!$B$12,$BI192&gt;=MAX($BH192,$BG192)*(1+BB設定!$B$13),終値!E192&gt;$BG192),IF(OR(終値!E192&gt;=$BI192,AND($BH192&lt;$BJ192,$BG192&gt;=$BK192)),"二番底W▲","二番底W形成"),IF(AND($BL192&gt;=2,ABS($BO192-$BP192)/$BP192&lt;=BB設定!$B$12,$BQ192&lt;=MIN($BP192,$BO192)*(1-BB設定!$B$13),終値!E192&lt;$BO192),IF(OR(終値!E192&lt;=$BQ192,AND($BP192&gt;$BR192,$BO192&lt;=$BS192)),"二番天井M▼","二番天井M形成"),"－")),"－")</f>
      </c>
    </row>
    <row r="193">
      <c r="B193" s="684">
        <f>IF(終値!A193="","",IF(AND(安値!G193&lt;安値!F193,安値!G193&lt;安値!E193,安値!G193&lt;安値!H193,安値!G193&lt;安値!I193),2,""))</f>
      </c>
      <c r="C193" s="684">
        <f>IF(終値!A193="","",IF(AND(安値!H193&lt;安値!G193,安値!H193&lt;安値!F193,安値!H193&lt;安値!I193,安値!H193&lt;安値!J193),3,""))</f>
      </c>
      <c r="D193" s="684">
        <f>IF(終値!A193="","",IF(AND(安値!I193&lt;安値!H193,安値!I193&lt;安値!G193,安値!I193&lt;安値!J193,安値!I193&lt;安値!K193),4,""))</f>
      </c>
      <c r="E193" s="684">
        <f>IF(終値!A193="","",IF(AND(安値!J193&lt;安値!I193,安値!J193&lt;安値!H193,安値!J193&lt;安値!K193,安値!J193&lt;安値!L193),5,""))</f>
      </c>
      <c r="F193" s="684">
        <f>IF(終値!A193="","",IF(AND(安値!K193&lt;安値!J193,安値!K193&lt;安値!I193,安値!K193&lt;安値!L193,安値!K193&lt;安値!M193),6,""))</f>
      </c>
      <c r="G193" s="684">
        <f>IF(終値!A193="","",IF(AND(安値!L193&lt;安値!K193,安値!L193&lt;安値!J193,安値!L193&lt;安値!M193,安値!L193&lt;安値!N193),7,""))</f>
      </c>
      <c r="H193" s="684">
        <f>IF(終値!A193="","",IF(AND(安値!M193&lt;安値!L193,安値!M193&lt;安値!K193,安値!M193&lt;安値!N193,安値!M193&lt;安値!O193),8,""))</f>
      </c>
      <c r="I193" s="684">
        <f>IF(終値!A193="","",IF(AND(安値!N193&lt;安値!M193,安値!N193&lt;安値!L193,安値!N193&lt;安値!O193,安値!N193&lt;安値!P193),9,""))</f>
      </c>
      <c r="J193" s="684">
        <f>IF(終値!A193="","",IF(AND(安値!O193&lt;安値!N193,安値!O193&lt;安値!M193,安値!O193&lt;安値!P193,安値!O193&lt;安値!Q193),10,""))</f>
      </c>
      <c r="K193" s="684">
        <f>IF(終値!A193="","",IF(AND(安値!P193&lt;安値!O193,安値!P193&lt;安値!N193,安値!P193&lt;安値!Q193,安値!P193&lt;安値!R193),11,""))</f>
      </c>
      <c r="L193" s="684">
        <f>IF(終値!A193="","",IF(AND(安値!Q193&lt;安値!P193,安値!Q193&lt;安値!O193,安値!Q193&lt;安値!R193,安値!Q193&lt;安値!S193),12,""))</f>
      </c>
      <c r="M193" s="684">
        <f>IF(終値!A193="","",IF(AND(安値!R193&lt;安値!Q193,安値!R193&lt;安値!P193,安値!R193&lt;安値!S193,安値!R193&lt;安値!T193),13,""))</f>
      </c>
      <c r="N193" s="684">
        <f>IF(終値!A193="","",IF(AND(安値!S193&lt;安値!R193,安値!S193&lt;安値!Q193,安値!S193&lt;安値!T193,安値!S193&lt;安値!U193),14,""))</f>
      </c>
      <c r="O193" s="684">
        <f>IF(終値!A193="","",IF(AND(安値!T193&lt;安値!S193,安値!T193&lt;安値!R193,安値!T193&lt;安値!U193,安値!T193&lt;安値!V193),15,""))</f>
      </c>
      <c r="P193" s="684">
        <f>IF(終値!A193="","",IF(AND(安値!U193&lt;安値!T193,安値!U193&lt;安値!S193,安値!U193&lt;安値!V193,安値!U193&lt;安値!W193),16,""))</f>
      </c>
      <c r="Q193" s="684">
        <f>IF(終値!A193="","",IF(AND(安値!V193&lt;安値!U193,安値!V193&lt;安値!T193,安値!V193&lt;安値!W193,安値!V193&lt;安値!X193),17,""))</f>
      </c>
      <c r="R193" s="684">
        <f>IF(終値!A193="","",IF(AND(安値!W193&lt;安値!V193,安値!W193&lt;安値!U193,安値!W193&lt;安値!X193,安値!W193&lt;安値!Y193),18,""))</f>
      </c>
      <c r="S193" s="684">
        <f>IF(終値!A193="","",IF(AND(安値!X193&lt;安値!W193,安値!X193&lt;安値!V193,安値!X193&lt;安値!Y193,安値!X193&lt;安値!Z193),19,""))</f>
      </c>
      <c r="T193" s="684">
        <f>IF(終値!A193="","",IF(AND(安値!Y193&lt;安値!X193,安値!Y193&lt;安値!W193,安値!Y193&lt;安値!Z193,安値!Y193&lt;安値!AA193),20,""))</f>
      </c>
      <c r="U193" s="684">
        <f>IF(終値!A193="","",IF(AND(安値!Z193&lt;安値!Y193,安値!Z193&lt;安値!X193,安値!Z193&lt;安値!AA193,安値!Z193&lt;安値!AB193),21,""))</f>
      </c>
      <c r="V193" s="684">
        <f>IF(終値!A193="","",IF(AND(安値!AA193&lt;安値!Z193,安値!AA193&lt;安値!Y193,安値!AA193&lt;安値!AB193,安値!AA193&lt;安値!AC193),22,""))</f>
      </c>
      <c r="W193" s="684">
        <f>IF(終値!A193="","",IF(AND(安値!AB193&lt;安値!AA193,安値!AB193&lt;安値!Z193,安値!AB193&lt;安値!AC193,安値!AB193&lt;安値!AD193),23,""))</f>
      </c>
      <c r="X193" s="684">
        <f>IF(終値!A193="","",IF(AND(安値!AC193&lt;安値!AB193,安値!AC193&lt;安値!AA193,安値!AC193&lt;安値!AD193,安値!AC193&lt;安値!AE193),24,""))</f>
      </c>
      <c r="Y193" s="684">
        <f>IF(終値!A193="","",IF(AND(安値!AD193&lt;安値!AC193,安値!AD193&lt;安値!AB193,安値!AD193&lt;安値!AE193,安値!AD193&lt;安値!AF193),25,""))</f>
      </c>
      <c r="Z193" s="684">
        <f>IF(終値!A193="","",IF(AND(安値!AE193&lt;安値!AD193,安値!AE193&lt;安値!AC193,安値!AE193&lt;安値!AF193,安値!AE193&lt;安値!AG193),26,""))</f>
      </c>
      <c r="AA193" s="684">
        <f>IF(終値!A193="","",IF(AND(安値!AF193&lt;安値!AE193,安値!AF193&lt;安値!AD193,安値!AF193&lt;安値!AG193,安値!AF193&lt;安値!AH193),27,""))</f>
      </c>
      <c r="AB193" s="684">
        <f>IF(終値!A193="","",IF(AND(安値!AG193&lt;安値!AF193,安値!AG193&lt;安値!AE193,安値!AG193&lt;安値!AH193,安値!AG193&lt;安値!AI193),28,""))</f>
      </c>
      <c r="AC193" s="684">
        <f>IF(終値!A193="","",IF(AND(高値!G193&gt;高値!F193,高値!G193&gt;高値!E193,高値!G193&gt;高値!H193,高値!G193&gt;高値!I193),2,""))</f>
      </c>
      <c r="AD193" s="684">
        <f>IF(終値!A193="","",IF(AND(高値!H193&gt;高値!G193,高値!H193&gt;高値!F193,高値!H193&gt;高値!I193,高値!H193&gt;高値!J193),3,""))</f>
      </c>
      <c r="AE193" s="684">
        <f>IF(終値!A193="","",IF(AND(高値!I193&gt;高値!H193,高値!I193&gt;高値!G193,高値!I193&gt;高値!J193,高値!I193&gt;高値!K193),4,""))</f>
      </c>
      <c r="AF193" s="684">
        <f>IF(終値!A193="","",IF(AND(高値!J193&gt;高値!I193,高値!J193&gt;高値!H193,高値!J193&gt;高値!K193,高値!J193&gt;高値!L193),5,""))</f>
      </c>
      <c r="AG193" s="684">
        <f>IF(終値!A193="","",IF(AND(高値!K193&gt;高値!J193,高値!K193&gt;高値!I193,高値!K193&gt;高値!L193,高値!K193&gt;高値!M193),6,""))</f>
      </c>
      <c r="AH193" s="684">
        <f>IF(終値!A193="","",IF(AND(高値!L193&gt;高値!K193,高値!L193&gt;高値!J193,高値!L193&gt;高値!M193,高値!L193&gt;高値!N193),7,""))</f>
      </c>
      <c r="AI193" s="684">
        <f>IF(終値!A193="","",IF(AND(高値!M193&gt;高値!L193,高値!M193&gt;高値!K193,高値!M193&gt;高値!N193,高値!M193&gt;高値!O193),8,""))</f>
      </c>
      <c r="AJ193" s="684">
        <f>IF(終値!A193="","",IF(AND(高値!N193&gt;高値!M193,高値!N193&gt;高値!L193,高値!N193&gt;高値!O193,高値!N193&gt;高値!P193),9,""))</f>
      </c>
      <c r="AK193" s="684">
        <f>IF(終値!A193="","",IF(AND(高値!O193&gt;高値!N193,高値!O193&gt;高値!M193,高値!O193&gt;高値!P193,高値!O193&gt;高値!Q193),10,""))</f>
      </c>
      <c r="AL193" s="684">
        <f>IF(終値!A193="","",IF(AND(高値!P193&gt;高値!O193,高値!P193&gt;高値!N193,高値!P193&gt;高値!Q193,高値!P193&gt;高値!R193),11,""))</f>
      </c>
      <c r="AM193" s="684">
        <f>IF(終値!A193="","",IF(AND(高値!Q193&gt;高値!P193,高値!Q193&gt;高値!O193,高値!Q193&gt;高値!R193,高値!Q193&gt;高値!S193),12,""))</f>
      </c>
      <c r="AN193" s="684">
        <f>IF(終値!A193="","",IF(AND(高値!R193&gt;高値!Q193,高値!R193&gt;高値!P193,高値!R193&gt;高値!S193,高値!R193&gt;高値!T193),13,""))</f>
      </c>
      <c r="AO193" s="684">
        <f>IF(終値!A193="","",IF(AND(高値!S193&gt;高値!R193,高値!S193&gt;高値!Q193,高値!S193&gt;高値!T193,高値!S193&gt;高値!U193),14,""))</f>
      </c>
      <c r="AP193" s="684">
        <f>IF(終値!A193="","",IF(AND(高値!T193&gt;高値!S193,高値!T193&gt;高値!R193,高値!T193&gt;高値!U193,高値!T193&gt;高値!V193),15,""))</f>
      </c>
      <c r="AQ193" s="684">
        <f>IF(終値!A193="","",IF(AND(高値!U193&gt;高値!T193,高値!U193&gt;高値!S193,高値!U193&gt;高値!V193,高値!U193&gt;高値!W193),16,""))</f>
      </c>
      <c r="AR193" s="684">
        <f>IF(終値!A193="","",IF(AND(高値!V193&gt;高値!U193,高値!V193&gt;高値!T193,高値!V193&gt;高値!W193,高値!V193&gt;高値!X193),17,""))</f>
      </c>
      <c r="AS193" s="684">
        <f>IF(終値!A193="","",IF(AND(高値!W193&gt;高値!V193,高値!W193&gt;高値!U193,高値!W193&gt;高値!X193,高値!W193&gt;高値!Y193),18,""))</f>
      </c>
      <c r="AT193" s="684">
        <f>IF(終値!A193="","",IF(AND(高値!X193&gt;高値!W193,高値!X193&gt;高値!V193,高値!X193&gt;高値!Y193,高値!X193&gt;高値!Z193),19,""))</f>
      </c>
      <c r="AU193" s="684">
        <f>IF(終値!A193="","",IF(AND(高値!Y193&gt;高値!X193,高値!Y193&gt;高値!W193,高値!Y193&gt;高値!Z193,高値!Y193&gt;高値!AA193),20,""))</f>
      </c>
      <c r="AV193" s="684">
        <f>IF(終値!A193="","",IF(AND(高値!Z193&gt;高値!Y193,高値!Z193&gt;高値!X193,高値!Z193&gt;高値!AA193,高値!Z193&gt;高値!AB193),21,""))</f>
      </c>
      <c r="AW193" s="684">
        <f>IF(終値!A193="","",IF(AND(高値!AA193&gt;高値!Z193,高値!AA193&gt;高値!Y193,高値!AA193&gt;高値!AB193,高値!AA193&gt;高値!AC193),22,""))</f>
      </c>
      <c r="AX193" s="684">
        <f>IF(終値!A193="","",IF(AND(高値!AB193&gt;高値!AA193,高値!AB193&gt;高値!Z193,高値!AB193&gt;高値!AC193,高値!AB193&gt;高値!AD193),23,""))</f>
      </c>
      <c r="AY193" s="684">
        <f>IF(終値!A193="","",IF(AND(高値!AC193&gt;高値!AB193,高値!AC193&gt;高値!AA193,高値!AC193&gt;高値!AD193,高値!AC193&gt;高値!AE193),24,""))</f>
      </c>
      <c r="AZ193" s="684">
        <f>IF(終値!A193="","",IF(AND(高値!AD193&gt;高値!AC193,高値!AD193&gt;高値!AB193,高値!AD193&gt;高値!AE193,高値!AD193&gt;高値!AF193),25,""))</f>
      </c>
      <c r="BA193" s="684">
        <f>IF(終値!A193="","",IF(AND(高値!AE193&gt;高値!AD193,高値!AE193&gt;高値!AC193,高値!AE193&gt;高値!AF193,高値!AE193&gt;高値!AG193),26,""))</f>
      </c>
      <c r="BB193" s="684">
        <f>IF(終値!A193="","",IF(AND(高値!AF193&gt;高値!AE193,高値!AF193&gt;高値!AD193,高値!AF193&gt;高値!AG193,高値!AF193&gt;高値!AH193),27,""))</f>
      </c>
      <c r="BC193" s="684">
        <f>IF(終値!A193="","",IF(AND(高値!AG193&gt;高値!AF193,高値!AG193&gt;高値!AE193,高値!AG193&gt;高値!AH193,高値!AG193&gt;高値!AI193),28,""))</f>
      </c>
      <c r="BD193" s="684">
        <f>COUNT($B193:$AB193)</f>
      </c>
      <c r="BE193" s="684">
        <f>IF($BD193&gt;=2,MIN($B193:$AB193),"")</f>
      </c>
      <c r="BF193" s="684">
        <f>IF($BD193&gt;=2,SMALL($B193:$AB193,2),"")</f>
      </c>
      <c r="BG193" s="684">
        <f>IF($BE193="","",INDEX(安値!$E193:$CZ193,1,$BE193+1))</f>
      </c>
      <c r="BH193" s="684">
        <f>IF($BF193="","",INDEX(安値!$E193:$CZ193,1,$BF193+1))</f>
      </c>
      <c r="BI193" s="684">
        <f>IF($BF193="","",MAX(INDEX(高値!$E193:$CZ193,1,$BE193+1):INDEX(高値!$E193:$CZ193,1,$BF193+1)))</f>
      </c>
      <c r="BJ193" s="684">
        <f>IF($BF193="","",AVERAGE(INDEX(終値!$E193:$CZ193,1,$BF193+1):INDEX(終値!$E193:$CZ193,1,$BF193+20))-2*STDEVP(INDEX(終値!$E193:$CZ193,1,$BF193+1):INDEX(終値!$E193:$CZ193,1,$BF193+20)))</f>
      </c>
      <c r="BK193" s="684">
        <f>IF($BE193="","",AVERAGE(INDEX(終値!$E193:$CZ193,1,$BE193+1):INDEX(終値!$E193:$CZ193,1,$BE193+20))-2*STDEVP(INDEX(終値!$E193:$CZ193,1,$BE193+1):INDEX(終値!$E193:$CZ193,1,$BE193+20)))</f>
      </c>
      <c r="BL193" s="684">
        <f>COUNT($AC193:$BC193)</f>
      </c>
      <c r="BM193" s="684">
        <f>IF($BL193&gt;=2,MIN($AC193:$BC193),"")</f>
      </c>
      <c r="BN193" s="684">
        <f>IF($BL193&gt;=2,SMALL($AC193:$BC193,2),"")</f>
      </c>
      <c r="BO193" s="684">
        <f>IF($BM193="","",INDEX(高値!$E193:$CZ193,1,$BM193+1))</f>
      </c>
      <c r="BP193" s="684">
        <f>IF($BN193="","",INDEX(高値!$E193:$CZ193,1,$BN193+1))</f>
      </c>
      <c r="BQ193" s="684">
        <f>IF($BN193="","",MIN(INDEX(安値!$E193:$CZ193,1,$BM193+1):INDEX(安値!$E193:$CZ193,1,$BN193+1)))</f>
      </c>
      <c r="BR193" s="684">
        <f>IF($BN193="","",AVERAGE(INDEX(終値!$E193:$CZ193,1,$BN193+1):INDEX(終値!$E193:$CZ193,1,$BN193+20))+2*STDEVP(INDEX(終値!$E193:$CZ193,1,$BN193+1):INDEX(終値!$E193:$CZ193,1,$BN193+20)))</f>
      </c>
      <c r="BS193" s="684">
        <f>IF($BM193="","",AVERAGE(INDEX(終値!$E193:$CZ193,1,$BM193+1):INDEX(終値!$E193:$CZ193,1,$BM193+20))+2*STDEVP(INDEX(終値!$E193:$CZ193,1,$BM193+1):INDEX(終値!$E193:$CZ193,1,$BM193+20)))</f>
      </c>
      <c r="BT193" s="681">
        <f>IFERROR(IF(AND($BD193&gt;=2,ABS($BG193-$BH193)/$BH193&lt;=BB設定!$B$12,$BI193&gt;=MAX($BH193,$BG193)*(1+BB設定!$B$13),終値!E193&gt;$BG193),IF(OR(終値!E193&gt;=$BI193,AND($BH193&lt;$BJ193,$BG193&gt;=$BK193)),"二番底W▲","二番底W形成"),IF(AND($BL193&gt;=2,ABS($BO193-$BP193)/$BP193&lt;=BB設定!$B$12,$BQ193&lt;=MIN($BP193,$BO193)*(1-BB設定!$B$13),終値!E193&lt;$BO193),IF(OR(終値!E193&lt;=$BQ193,AND($BP193&gt;$BR193,$BO193&lt;=$BS193)),"二番天井M▼","二番天井M形成"),"－")),"－")</f>
      </c>
    </row>
    <row r="194">
      <c r="B194" s="684">
        <f>IF(終値!A194="","",IF(AND(安値!G194&lt;安値!F194,安値!G194&lt;安値!E194,安値!G194&lt;安値!H194,安値!G194&lt;安値!I194),2,""))</f>
      </c>
      <c r="C194" s="684">
        <f>IF(終値!A194="","",IF(AND(安値!H194&lt;安値!G194,安値!H194&lt;安値!F194,安値!H194&lt;安値!I194,安値!H194&lt;安値!J194),3,""))</f>
      </c>
      <c r="D194" s="684">
        <f>IF(終値!A194="","",IF(AND(安値!I194&lt;安値!H194,安値!I194&lt;安値!G194,安値!I194&lt;安値!J194,安値!I194&lt;安値!K194),4,""))</f>
      </c>
      <c r="E194" s="684">
        <f>IF(終値!A194="","",IF(AND(安値!J194&lt;安値!I194,安値!J194&lt;安値!H194,安値!J194&lt;安値!K194,安値!J194&lt;安値!L194),5,""))</f>
      </c>
      <c r="F194" s="684">
        <f>IF(終値!A194="","",IF(AND(安値!K194&lt;安値!J194,安値!K194&lt;安値!I194,安値!K194&lt;安値!L194,安値!K194&lt;安値!M194),6,""))</f>
      </c>
      <c r="G194" s="684">
        <f>IF(終値!A194="","",IF(AND(安値!L194&lt;安値!K194,安値!L194&lt;安値!J194,安値!L194&lt;安値!M194,安値!L194&lt;安値!N194),7,""))</f>
      </c>
      <c r="H194" s="684">
        <f>IF(終値!A194="","",IF(AND(安値!M194&lt;安値!L194,安値!M194&lt;安値!K194,安値!M194&lt;安値!N194,安値!M194&lt;安値!O194),8,""))</f>
      </c>
      <c r="I194" s="684">
        <f>IF(終値!A194="","",IF(AND(安値!N194&lt;安値!M194,安値!N194&lt;安値!L194,安値!N194&lt;安値!O194,安値!N194&lt;安値!P194),9,""))</f>
      </c>
      <c r="J194" s="684">
        <f>IF(終値!A194="","",IF(AND(安値!O194&lt;安値!N194,安値!O194&lt;安値!M194,安値!O194&lt;安値!P194,安値!O194&lt;安値!Q194),10,""))</f>
      </c>
      <c r="K194" s="684">
        <f>IF(終値!A194="","",IF(AND(安値!P194&lt;安値!O194,安値!P194&lt;安値!N194,安値!P194&lt;安値!Q194,安値!P194&lt;安値!R194),11,""))</f>
      </c>
      <c r="L194" s="684">
        <f>IF(終値!A194="","",IF(AND(安値!Q194&lt;安値!P194,安値!Q194&lt;安値!O194,安値!Q194&lt;安値!R194,安値!Q194&lt;安値!S194),12,""))</f>
      </c>
      <c r="M194" s="684">
        <f>IF(終値!A194="","",IF(AND(安値!R194&lt;安値!Q194,安値!R194&lt;安値!P194,安値!R194&lt;安値!S194,安値!R194&lt;安値!T194),13,""))</f>
      </c>
      <c r="N194" s="684">
        <f>IF(終値!A194="","",IF(AND(安値!S194&lt;安値!R194,安値!S194&lt;安値!Q194,安値!S194&lt;安値!T194,安値!S194&lt;安値!U194),14,""))</f>
      </c>
      <c r="O194" s="684">
        <f>IF(終値!A194="","",IF(AND(安値!T194&lt;安値!S194,安値!T194&lt;安値!R194,安値!T194&lt;安値!U194,安値!T194&lt;安値!V194),15,""))</f>
      </c>
      <c r="P194" s="684">
        <f>IF(終値!A194="","",IF(AND(安値!U194&lt;安値!T194,安値!U194&lt;安値!S194,安値!U194&lt;安値!V194,安値!U194&lt;安値!W194),16,""))</f>
      </c>
      <c r="Q194" s="684">
        <f>IF(終値!A194="","",IF(AND(安値!V194&lt;安値!U194,安値!V194&lt;安値!T194,安値!V194&lt;安値!W194,安値!V194&lt;安値!X194),17,""))</f>
      </c>
      <c r="R194" s="684">
        <f>IF(終値!A194="","",IF(AND(安値!W194&lt;安値!V194,安値!W194&lt;安値!U194,安値!W194&lt;安値!X194,安値!W194&lt;安値!Y194),18,""))</f>
      </c>
      <c r="S194" s="684">
        <f>IF(終値!A194="","",IF(AND(安値!X194&lt;安値!W194,安値!X194&lt;安値!V194,安値!X194&lt;安値!Y194,安値!X194&lt;安値!Z194),19,""))</f>
      </c>
      <c r="T194" s="684">
        <f>IF(終値!A194="","",IF(AND(安値!Y194&lt;安値!X194,安値!Y194&lt;安値!W194,安値!Y194&lt;安値!Z194,安値!Y194&lt;安値!AA194),20,""))</f>
      </c>
      <c r="U194" s="684">
        <f>IF(終値!A194="","",IF(AND(安値!Z194&lt;安値!Y194,安値!Z194&lt;安値!X194,安値!Z194&lt;安値!AA194,安値!Z194&lt;安値!AB194),21,""))</f>
      </c>
      <c r="V194" s="684">
        <f>IF(終値!A194="","",IF(AND(安値!AA194&lt;安値!Z194,安値!AA194&lt;安値!Y194,安値!AA194&lt;安値!AB194,安値!AA194&lt;安値!AC194),22,""))</f>
      </c>
      <c r="W194" s="684">
        <f>IF(終値!A194="","",IF(AND(安値!AB194&lt;安値!AA194,安値!AB194&lt;安値!Z194,安値!AB194&lt;安値!AC194,安値!AB194&lt;安値!AD194),23,""))</f>
      </c>
      <c r="X194" s="684">
        <f>IF(終値!A194="","",IF(AND(安値!AC194&lt;安値!AB194,安値!AC194&lt;安値!AA194,安値!AC194&lt;安値!AD194,安値!AC194&lt;安値!AE194),24,""))</f>
      </c>
      <c r="Y194" s="684">
        <f>IF(終値!A194="","",IF(AND(安値!AD194&lt;安値!AC194,安値!AD194&lt;安値!AB194,安値!AD194&lt;安値!AE194,安値!AD194&lt;安値!AF194),25,""))</f>
      </c>
      <c r="Z194" s="684">
        <f>IF(終値!A194="","",IF(AND(安値!AE194&lt;安値!AD194,安値!AE194&lt;安値!AC194,安値!AE194&lt;安値!AF194,安値!AE194&lt;安値!AG194),26,""))</f>
      </c>
      <c r="AA194" s="684">
        <f>IF(終値!A194="","",IF(AND(安値!AF194&lt;安値!AE194,安値!AF194&lt;安値!AD194,安値!AF194&lt;安値!AG194,安値!AF194&lt;安値!AH194),27,""))</f>
      </c>
      <c r="AB194" s="684">
        <f>IF(終値!A194="","",IF(AND(安値!AG194&lt;安値!AF194,安値!AG194&lt;安値!AE194,安値!AG194&lt;安値!AH194,安値!AG194&lt;安値!AI194),28,""))</f>
      </c>
      <c r="AC194" s="684">
        <f>IF(終値!A194="","",IF(AND(高値!G194&gt;高値!F194,高値!G194&gt;高値!E194,高値!G194&gt;高値!H194,高値!G194&gt;高値!I194),2,""))</f>
      </c>
      <c r="AD194" s="684">
        <f>IF(終値!A194="","",IF(AND(高値!H194&gt;高値!G194,高値!H194&gt;高値!F194,高値!H194&gt;高値!I194,高値!H194&gt;高値!J194),3,""))</f>
      </c>
      <c r="AE194" s="684">
        <f>IF(終値!A194="","",IF(AND(高値!I194&gt;高値!H194,高値!I194&gt;高値!G194,高値!I194&gt;高値!J194,高値!I194&gt;高値!K194),4,""))</f>
      </c>
      <c r="AF194" s="684">
        <f>IF(終値!A194="","",IF(AND(高値!J194&gt;高値!I194,高値!J194&gt;高値!H194,高値!J194&gt;高値!K194,高値!J194&gt;高値!L194),5,""))</f>
      </c>
      <c r="AG194" s="684">
        <f>IF(終値!A194="","",IF(AND(高値!K194&gt;高値!J194,高値!K194&gt;高値!I194,高値!K194&gt;高値!L194,高値!K194&gt;高値!M194),6,""))</f>
      </c>
      <c r="AH194" s="684">
        <f>IF(終値!A194="","",IF(AND(高値!L194&gt;高値!K194,高値!L194&gt;高値!J194,高値!L194&gt;高値!M194,高値!L194&gt;高値!N194),7,""))</f>
      </c>
      <c r="AI194" s="684">
        <f>IF(終値!A194="","",IF(AND(高値!M194&gt;高値!L194,高値!M194&gt;高値!K194,高値!M194&gt;高値!N194,高値!M194&gt;高値!O194),8,""))</f>
      </c>
      <c r="AJ194" s="684">
        <f>IF(終値!A194="","",IF(AND(高値!N194&gt;高値!M194,高値!N194&gt;高値!L194,高値!N194&gt;高値!O194,高値!N194&gt;高値!P194),9,""))</f>
      </c>
      <c r="AK194" s="684">
        <f>IF(終値!A194="","",IF(AND(高値!O194&gt;高値!N194,高値!O194&gt;高値!M194,高値!O194&gt;高値!P194,高値!O194&gt;高値!Q194),10,""))</f>
      </c>
      <c r="AL194" s="684">
        <f>IF(終値!A194="","",IF(AND(高値!P194&gt;高値!O194,高値!P194&gt;高値!N194,高値!P194&gt;高値!Q194,高値!P194&gt;高値!R194),11,""))</f>
      </c>
      <c r="AM194" s="684">
        <f>IF(終値!A194="","",IF(AND(高値!Q194&gt;高値!P194,高値!Q194&gt;高値!O194,高値!Q194&gt;高値!R194,高値!Q194&gt;高値!S194),12,""))</f>
      </c>
      <c r="AN194" s="684">
        <f>IF(終値!A194="","",IF(AND(高値!R194&gt;高値!Q194,高値!R194&gt;高値!P194,高値!R194&gt;高値!S194,高値!R194&gt;高値!T194),13,""))</f>
      </c>
      <c r="AO194" s="684">
        <f>IF(終値!A194="","",IF(AND(高値!S194&gt;高値!R194,高値!S194&gt;高値!Q194,高値!S194&gt;高値!T194,高値!S194&gt;高値!U194),14,""))</f>
      </c>
      <c r="AP194" s="684">
        <f>IF(終値!A194="","",IF(AND(高値!T194&gt;高値!S194,高値!T194&gt;高値!R194,高値!T194&gt;高値!U194,高値!T194&gt;高値!V194),15,""))</f>
      </c>
      <c r="AQ194" s="684">
        <f>IF(終値!A194="","",IF(AND(高値!U194&gt;高値!T194,高値!U194&gt;高値!S194,高値!U194&gt;高値!V194,高値!U194&gt;高値!W194),16,""))</f>
      </c>
      <c r="AR194" s="684">
        <f>IF(終値!A194="","",IF(AND(高値!V194&gt;高値!U194,高値!V194&gt;高値!T194,高値!V194&gt;高値!W194,高値!V194&gt;高値!X194),17,""))</f>
      </c>
      <c r="AS194" s="684">
        <f>IF(終値!A194="","",IF(AND(高値!W194&gt;高値!V194,高値!W194&gt;高値!U194,高値!W194&gt;高値!X194,高値!W194&gt;高値!Y194),18,""))</f>
      </c>
      <c r="AT194" s="684">
        <f>IF(終値!A194="","",IF(AND(高値!X194&gt;高値!W194,高値!X194&gt;高値!V194,高値!X194&gt;高値!Y194,高値!X194&gt;高値!Z194),19,""))</f>
      </c>
      <c r="AU194" s="684">
        <f>IF(終値!A194="","",IF(AND(高値!Y194&gt;高値!X194,高値!Y194&gt;高値!W194,高値!Y194&gt;高値!Z194,高値!Y194&gt;高値!AA194),20,""))</f>
      </c>
      <c r="AV194" s="684">
        <f>IF(終値!A194="","",IF(AND(高値!Z194&gt;高値!Y194,高値!Z194&gt;高値!X194,高値!Z194&gt;高値!AA194,高値!Z194&gt;高値!AB194),21,""))</f>
      </c>
      <c r="AW194" s="684">
        <f>IF(終値!A194="","",IF(AND(高値!AA194&gt;高値!Z194,高値!AA194&gt;高値!Y194,高値!AA194&gt;高値!AB194,高値!AA194&gt;高値!AC194),22,""))</f>
      </c>
      <c r="AX194" s="684">
        <f>IF(終値!A194="","",IF(AND(高値!AB194&gt;高値!AA194,高値!AB194&gt;高値!Z194,高値!AB194&gt;高値!AC194,高値!AB194&gt;高値!AD194),23,""))</f>
      </c>
      <c r="AY194" s="684">
        <f>IF(終値!A194="","",IF(AND(高値!AC194&gt;高値!AB194,高値!AC194&gt;高値!AA194,高値!AC194&gt;高値!AD194,高値!AC194&gt;高値!AE194),24,""))</f>
      </c>
      <c r="AZ194" s="684">
        <f>IF(終値!A194="","",IF(AND(高値!AD194&gt;高値!AC194,高値!AD194&gt;高値!AB194,高値!AD194&gt;高値!AE194,高値!AD194&gt;高値!AF194),25,""))</f>
      </c>
      <c r="BA194" s="684">
        <f>IF(終値!A194="","",IF(AND(高値!AE194&gt;高値!AD194,高値!AE194&gt;高値!AC194,高値!AE194&gt;高値!AF194,高値!AE194&gt;高値!AG194),26,""))</f>
      </c>
      <c r="BB194" s="684">
        <f>IF(終値!A194="","",IF(AND(高値!AF194&gt;高値!AE194,高値!AF194&gt;高値!AD194,高値!AF194&gt;高値!AG194,高値!AF194&gt;高値!AH194),27,""))</f>
      </c>
      <c r="BC194" s="684">
        <f>IF(終値!A194="","",IF(AND(高値!AG194&gt;高値!AF194,高値!AG194&gt;高値!AE194,高値!AG194&gt;高値!AH194,高値!AG194&gt;高値!AI194),28,""))</f>
      </c>
      <c r="BD194" s="684">
        <f>COUNT($B194:$AB194)</f>
      </c>
      <c r="BE194" s="684">
        <f>IF($BD194&gt;=2,MIN($B194:$AB194),"")</f>
      </c>
      <c r="BF194" s="684">
        <f>IF($BD194&gt;=2,SMALL($B194:$AB194,2),"")</f>
      </c>
      <c r="BG194" s="684">
        <f>IF($BE194="","",INDEX(安値!$E194:$CZ194,1,$BE194+1))</f>
      </c>
      <c r="BH194" s="684">
        <f>IF($BF194="","",INDEX(安値!$E194:$CZ194,1,$BF194+1))</f>
      </c>
      <c r="BI194" s="684">
        <f>IF($BF194="","",MAX(INDEX(高値!$E194:$CZ194,1,$BE194+1):INDEX(高値!$E194:$CZ194,1,$BF194+1)))</f>
      </c>
      <c r="BJ194" s="684">
        <f>IF($BF194="","",AVERAGE(INDEX(終値!$E194:$CZ194,1,$BF194+1):INDEX(終値!$E194:$CZ194,1,$BF194+20))-2*STDEVP(INDEX(終値!$E194:$CZ194,1,$BF194+1):INDEX(終値!$E194:$CZ194,1,$BF194+20)))</f>
      </c>
      <c r="BK194" s="684">
        <f>IF($BE194="","",AVERAGE(INDEX(終値!$E194:$CZ194,1,$BE194+1):INDEX(終値!$E194:$CZ194,1,$BE194+20))-2*STDEVP(INDEX(終値!$E194:$CZ194,1,$BE194+1):INDEX(終値!$E194:$CZ194,1,$BE194+20)))</f>
      </c>
      <c r="BL194" s="684">
        <f>COUNT($AC194:$BC194)</f>
      </c>
      <c r="BM194" s="684">
        <f>IF($BL194&gt;=2,MIN($AC194:$BC194),"")</f>
      </c>
      <c r="BN194" s="684">
        <f>IF($BL194&gt;=2,SMALL($AC194:$BC194,2),"")</f>
      </c>
      <c r="BO194" s="684">
        <f>IF($BM194="","",INDEX(高値!$E194:$CZ194,1,$BM194+1))</f>
      </c>
      <c r="BP194" s="684">
        <f>IF($BN194="","",INDEX(高値!$E194:$CZ194,1,$BN194+1))</f>
      </c>
      <c r="BQ194" s="684">
        <f>IF($BN194="","",MIN(INDEX(安値!$E194:$CZ194,1,$BM194+1):INDEX(安値!$E194:$CZ194,1,$BN194+1)))</f>
      </c>
      <c r="BR194" s="684">
        <f>IF($BN194="","",AVERAGE(INDEX(終値!$E194:$CZ194,1,$BN194+1):INDEX(終値!$E194:$CZ194,1,$BN194+20))+2*STDEVP(INDEX(終値!$E194:$CZ194,1,$BN194+1):INDEX(終値!$E194:$CZ194,1,$BN194+20)))</f>
      </c>
      <c r="BS194" s="684">
        <f>IF($BM194="","",AVERAGE(INDEX(終値!$E194:$CZ194,1,$BM194+1):INDEX(終値!$E194:$CZ194,1,$BM194+20))+2*STDEVP(INDEX(終値!$E194:$CZ194,1,$BM194+1):INDEX(終値!$E194:$CZ194,1,$BM194+20)))</f>
      </c>
      <c r="BT194" s="681">
        <f>IFERROR(IF(AND($BD194&gt;=2,ABS($BG194-$BH194)/$BH194&lt;=BB設定!$B$12,$BI194&gt;=MAX($BH194,$BG194)*(1+BB設定!$B$13),終値!E194&gt;$BG194),IF(OR(終値!E194&gt;=$BI194,AND($BH194&lt;$BJ194,$BG194&gt;=$BK194)),"二番底W▲","二番底W形成"),IF(AND($BL194&gt;=2,ABS($BO194-$BP194)/$BP194&lt;=BB設定!$B$12,$BQ194&lt;=MIN($BP194,$BO194)*(1-BB設定!$B$13),終値!E194&lt;$BO194),IF(OR(終値!E194&lt;=$BQ194,AND($BP194&gt;$BR194,$BO194&lt;=$BS194)),"二番天井M▼","二番天井M形成"),"－")),"－")</f>
      </c>
    </row>
    <row r="195">
      <c r="B195" s="684">
        <f>IF(終値!A195="","",IF(AND(安値!G195&lt;安値!F195,安値!G195&lt;安値!E195,安値!G195&lt;安値!H195,安値!G195&lt;安値!I195),2,""))</f>
      </c>
      <c r="C195" s="684">
        <f>IF(終値!A195="","",IF(AND(安値!H195&lt;安値!G195,安値!H195&lt;安値!F195,安値!H195&lt;安値!I195,安値!H195&lt;安値!J195),3,""))</f>
      </c>
      <c r="D195" s="684">
        <f>IF(終値!A195="","",IF(AND(安値!I195&lt;安値!H195,安値!I195&lt;安値!G195,安値!I195&lt;安値!J195,安値!I195&lt;安値!K195),4,""))</f>
      </c>
      <c r="E195" s="684">
        <f>IF(終値!A195="","",IF(AND(安値!J195&lt;安値!I195,安値!J195&lt;安値!H195,安値!J195&lt;安値!K195,安値!J195&lt;安値!L195),5,""))</f>
      </c>
      <c r="F195" s="684">
        <f>IF(終値!A195="","",IF(AND(安値!K195&lt;安値!J195,安値!K195&lt;安値!I195,安値!K195&lt;安値!L195,安値!K195&lt;安値!M195),6,""))</f>
      </c>
      <c r="G195" s="684">
        <f>IF(終値!A195="","",IF(AND(安値!L195&lt;安値!K195,安値!L195&lt;安値!J195,安値!L195&lt;安値!M195,安値!L195&lt;安値!N195),7,""))</f>
      </c>
      <c r="H195" s="684">
        <f>IF(終値!A195="","",IF(AND(安値!M195&lt;安値!L195,安値!M195&lt;安値!K195,安値!M195&lt;安値!N195,安値!M195&lt;安値!O195),8,""))</f>
      </c>
      <c r="I195" s="684">
        <f>IF(終値!A195="","",IF(AND(安値!N195&lt;安値!M195,安値!N195&lt;安値!L195,安値!N195&lt;安値!O195,安値!N195&lt;安値!P195),9,""))</f>
      </c>
      <c r="J195" s="684">
        <f>IF(終値!A195="","",IF(AND(安値!O195&lt;安値!N195,安値!O195&lt;安値!M195,安値!O195&lt;安値!P195,安値!O195&lt;安値!Q195),10,""))</f>
      </c>
      <c r="K195" s="684">
        <f>IF(終値!A195="","",IF(AND(安値!P195&lt;安値!O195,安値!P195&lt;安値!N195,安値!P195&lt;安値!Q195,安値!P195&lt;安値!R195),11,""))</f>
      </c>
      <c r="L195" s="684">
        <f>IF(終値!A195="","",IF(AND(安値!Q195&lt;安値!P195,安値!Q195&lt;安値!O195,安値!Q195&lt;安値!R195,安値!Q195&lt;安値!S195),12,""))</f>
      </c>
      <c r="M195" s="684">
        <f>IF(終値!A195="","",IF(AND(安値!R195&lt;安値!Q195,安値!R195&lt;安値!P195,安値!R195&lt;安値!S195,安値!R195&lt;安値!T195),13,""))</f>
      </c>
      <c r="N195" s="684">
        <f>IF(終値!A195="","",IF(AND(安値!S195&lt;安値!R195,安値!S195&lt;安値!Q195,安値!S195&lt;安値!T195,安値!S195&lt;安値!U195),14,""))</f>
      </c>
      <c r="O195" s="684">
        <f>IF(終値!A195="","",IF(AND(安値!T195&lt;安値!S195,安値!T195&lt;安値!R195,安値!T195&lt;安値!U195,安値!T195&lt;安値!V195),15,""))</f>
      </c>
      <c r="P195" s="684">
        <f>IF(終値!A195="","",IF(AND(安値!U195&lt;安値!T195,安値!U195&lt;安値!S195,安値!U195&lt;安値!V195,安値!U195&lt;安値!W195),16,""))</f>
      </c>
      <c r="Q195" s="684">
        <f>IF(終値!A195="","",IF(AND(安値!V195&lt;安値!U195,安値!V195&lt;安値!T195,安値!V195&lt;安値!W195,安値!V195&lt;安値!X195),17,""))</f>
      </c>
      <c r="R195" s="684">
        <f>IF(終値!A195="","",IF(AND(安値!W195&lt;安値!V195,安値!W195&lt;安値!U195,安値!W195&lt;安値!X195,安値!W195&lt;安値!Y195),18,""))</f>
      </c>
      <c r="S195" s="684">
        <f>IF(終値!A195="","",IF(AND(安値!X195&lt;安値!W195,安値!X195&lt;安値!V195,安値!X195&lt;安値!Y195,安値!X195&lt;安値!Z195),19,""))</f>
      </c>
      <c r="T195" s="684">
        <f>IF(終値!A195="","",IF(AND(安値!Y195&lt;安値!X195,安値!Y195&lt;安値!W195,安値!Y195&lt;安値!Z195,安値!Y195&lt;安値!AA195),20,""))</f>
      </c>
      <c r="U195" s="684">
        <f>IF(終値!A195="","",IF(AND(安値!Z195&lt;安値!Y195,安値!Z195&lt;安値!X195,安値!Z195&lt;安値!AA195,安値!Z195&lt;安値!AB195),21,""))</f>
      </c>
      <c r="V195" s="684">
        <f>IF(終値!A195="","",IF(AND(安値!AA195&lt;安値!Z195,安値!AA195&lt;安値!Y195,安値!AA195&lt;安値!AB195,安値!AA195&lt;安値!AC195),22,""))</f>
      </c>
      <c r="W195" s="684">
        <f>IF(終値!A195="","",IF(AND(安値!AB195&lt;安値!AA195,安値!AB195&lt;安値!Z195,安値!AB195&lt;安値!AC195,安値!AB195&lt;安値!AD195),23,""))</f>
      </c>
      <c r="X195" s="684">
        <f>IF(終値!A195="","",IF(AND(安値!AC195&lt;安値!AB195,安値!AC195&lt;安値!AA195,安値!AC195&lt;安値!AD195,安値!AC195&lt;安値!AE195),24,""))</f>
      </c>
      <c r="Y195" s="684">
        <f>IF(終値!A195="","",IF(AND(安値!AD195&lt;安値!AC195,安値!AD195&lt;安値!AB195,安値!AD195&lt;安値!AE195,安値!AD195&lt;安値!AF195),25,""))</f>
      </c>
      <c r="Z195" s="684">
        <f>IF(終値!A195="","",IF(AND(安値!AE195&lt;安値!AD195,安値!AE195&lt;安値!AC195,安値!AE195&lt;安値!AF195,安値!AE195&lt;安値!AG195),26,""))</f>
      </c>
      <c r="AA195" s="684">
        <f>IF(終値!A195="","",IF(AND(安値!AF195&lt;安値!AE195,安値!AF195&lt;安値!AD195,安値!AF195&lt;安値!AG195,安値!AF195&lt;安値!AH195),27,""))</f>
      </c>
      <c r="AB195" s="684">
        <f>IF(終値!A195="","",IF(AND(安値!AG195&lt;安値!AF195,安値!AG195&lt;安値!AE195,安値!AG195&lt;安値!AH195,安値!AG195&lt;安値!AI195),28,""))</f>
      </c>
      <c r="AC195" s="684">
        <f>IF(終値!A195="","",IF(AND(高値!G195&gt;高値!F195,高値!G195&gt;高値!E195,高値!G195&gt;高値!H195,高値!G195&gt;高値!I195),2,""))</f>
      </c>
      <c r="AD195" s="684">
        <f>IF(終値!A195="","",IF(AND(高値!H195&gt;高値!G195,高値!H195&gt;高値!F195,高値!H195&gt;高値!I195,高値!H195&gt;高値!J195),3,""))</f>
      </c>
      <c r="AE195" s="684">
        <f>IF(終値!A195="","",IF(AND(高値!I195&gt;高値!H195,高値!I195&gt;高値!G195,高値!I195&gt;高値!J195,高値!I195&gt;高値!K195),4,""))</f>
      </c>
      <c r="AF195" s="684">
        <f>IF(終値!A195="","",IF(AND(高値!J195&gt;高値!I195,高値!J195&gt;高値!H195,高値!J195&gt;高値!K195,高値!J195&gt;高値!L195),5,""))</f>
      </c>
      <c r="AG195" s="684">
        <f>IF(終値!A195="","",IF(AND(高値!K195&gt;高値!J195,高値!K195&gt;高値!I195,高値!K195&gt;高値!L195,高値!K195&gt;高値!M195),6,""))</f>
      </c>
      <c r="AH195" s="684">
        <f>IF(終値!A195="","",IF(AND(高値!L195&gt;高値!K195,高値!L195&gt;高値!J195,高値!L195&gt;高値!M195,高値!L195&gt;高値!N195),7,""))</f>
      </c>
      <c r="AI195" s="684">
        <f>IF(終値!A195="","",IF(AND(高値!M195&gt;高値!L195,高値!M195&gt;高値!K195,高値!M195&gt;高値!N195,高値!M195&gt;高値!O195),8,""))</f>
      </c>
      <c r="AJ195" s="684">
        <f>IF(終値!A195="","",IF(AND(高値!N195&gt;高値!M195,高値!N195&gt;高値!L195,高値!N195&gt;高値!O195,高値!N195&gt;高値!P195),9,""))</f>
      </c>
      <c r="AK195" s="684">
        <f>IF(終値!A195="","",IF(AND(高値!O195&gt;高値!N195,高値!O195&gt;高値!M195,高値!O195&gt;高値!P195,高値!O195&gt;高値!Q195),10,""))</f>
      </c>
      <c r="AL195" s="684">
        <f>IF(終値!A195="","",IF(AND(高値!P195&gt;高値!O195,高値!P195&gt;高値!N195,高値!P195&gt;高値!Q195,高値!P195&gt;高値!R195),11,""))</f>
      </c>
      <c r="AM195" s="684">
        <f>IF(終値!A195="","",IF(AND(高値!Q195&gt;高値!P195,高値!Q195&gt;高値!O195,高値!Q195&gt;高値!R195,高値!Q195&gt;高値!S195),12,""))</f>
      </c>
      <c r="AN195" s="684">
        <f>IF(終値!A195="","",IF(AND(高値!R195&gt;高値!Q195,高値!R195&gt;高値!P195,高値!R195&gt;高値!S195,高値!R195&gt;高値!T195),13,""))</f>
      </c>
      <c r="AO195" s="684">
        <f>IF(終値!A195="","",IF(AND(高値!S195&gt;高値!R195,高値!S195&gt;高値!Q195,高値!S195&gt;高値!T195,高値!S195&gt;高値!U195),14,""))</f>
      </c>
      <c r="AP195" s="684">
        <f>IF(終値!A195="","",IF(AND(高値!T195&gt;高値!S195,高値!T195&gt;高値!R195,高値!T195&gt;高値!U195,高値!T195&gt;高値!V195),15,""))</f>
      </c>
      <c r="AQ195" s="684">
        <f>IF(終値!A195="","",IF(AND(高値!U195&gt;高値!T195,高値!U195&gt;高値!S195,高値!U195&gt;高値!V195,高値!U195&gt;高値!W195),16,""))</f>
      </c>
      <c r="AR195" s="684">
        <f>IF(終値!A195="","",IF(AND(高値!V195&gt;高値!U195,高値!V195&gt;高値!T195,高値!V195&gt;高値!W195,高値!V195&gt;高値!X195),17,""))</f>
      </c>
      <c r="AS195" s="684">
        <f>IF(終値!A195="","",IF(AND(高値!W195&gt;高値!V195,高値!W195&gt;高値!U195,高値!W195&gt;高値!X195,高値!W195&gt;高値!Y195),18,""))</f>
      </c>
      <c r="AT195" s="684">
        <f>IF(終値!A195="","",IF(AND(高値!X195&gt;高値!W195,高値!X195&gt;高値!V195,高値!X195&gt;高値!Y195,高値!X195&gt;高値!Z195),19,""))</f>
      </c>
      <c r="AU195" s="684">
        <f>IF(終値!A195="","",IF(AND(高値!Y195&gt;高値!X195,高値!Y195&gt;高値!W195,高値!Y195&gt;高値!Z195,高値!Y195&gt;高値!AA195),20,""))</f>
      </c>
      <c r="AV195" s="684">
        <f>IF(終値!A195="","",IF(AND(高値!Z195&gt;高値!Y195,高値!Z195&gt;高値!X195,高値!Z195&gt;高値!AA195,高値!Z195&gt;高値!AB195),21,""))</f>
      </c>
      <c r="AW195" s="684">
        <f>IF(終値!A195="","",IF(AND(高値!AA195&gt;高値!Z195,高値!AA195&gt;高値!Y195,高値!AA195&gt;高値!AB195,高値!AA195&gt;高値!AC195),22,""))</f>
      </c>
      <c r="AX195" s="684">
        <f>IF(終値!A195="","",IF(AND(高値!AB195&gt;高値!AA195,高値!AB195&gt;高値!Z195,高値!AB195&gt;高値!AC195,高値!AB195&gt;高値!AD195),23,""))</f>
      </c>
      <c r="AY195" s="684">
        <f>IF(終値!A195="","",IF(AND(高値!AC195&gt;高値!AB195,高値!AC195&gt;高値!AA195,高値!AC195&gt;高値!AD195,高値!AC195&gt;高値!AE195),24,""))</f>
      </c>
      <c r="AZ195" s="684">
        <f>IF(終値!A195="","",IF(AND(高値!AD195&gt;高値!AC195,高値!AD195&gt;高値!AB195,高値!AD195&gt;高値!AE195,高値!AD195&gt;高値!AF195),25,""))</f>
      </c>
      <c r="BA195" s="684">
        <f>IF(終値!A195="","",IF(AND(高値!AE195&gt;高値!AD195,高値!AE195&gt;高値!AC195,高値!AE195&gt;高値!AF195,高値!AE195&gt;高値!AG195),26,""))</f>
      </c>
      <c r="BB195" s="684">
        <f>IF(終値!A195="","",IF(AND(高値!AF195&gt;高値!AE195,高値!AF195&gt;高値!AD195,高値!AF195&gt;高値!AG195,高値!AF195&gt;高値!AH195),27,""))</f>
      </c>
      <c r="BC195" s="684">
        <f>IF(終値!A195="","",IF(AND(高値!AG195&gt;高値!AF195,高値!AG195&gt;高値!AE195,高値!AG195&gt;高値!AH195,高値!AG195&gt;高値!AI195),28,""))</f>
      </c>
      <c r="BD195" s="684">
        <f>COUNT($B195:$AB195)</f>
      </c>
      <c r="BE195" s="684">
        <f>IF($BD195&gt;=2,MIN($B195:$AB195),"")</f>
      </c>
      <c r="BF195" s="684">
        <f>IF($BD195&gt;=2,SMALL($B195:$AB195,2),"")</f>
      </c>
      <c r="BG195" s="684">
        <f>IF($BE195="","",INDEX(安値!$E195:$CZ195,1,$BE195+1))</f>
      </c>
      <c r="BH195" s="684">
        <f>IF($BF195="","",INDEX(安値!$E195:$CZ195,1,$BF195+1))</f>
      </c>
      <c r="BI195" s="684">
        <f>IF($BF195="","",MAX(INDEX(高値!$E195:$CZ195,1,$BE195+1):INDEX(高値!$E195:$CZ195,1,$BF195+1)))</f>
      </c>
      <c r="BJ195" s="684">
        <f>IF($BF195="","",AVERAGE(INDEX(終値!$E195:$CZ195,1,$BF195+1):INDEX(終値!$E195:$CZ195,1,$BF195+20))-2*STDEVP(INDEX(終値!$E195:$CZ195,1,$BF195+1):INDEX(終値!$E195:$CZ195,1,$BF195+20)))</f>
      </c>
      <c r="BK195" s="684">
        <f>IF($BE195="","",AVERAGE(INDEX(終値!$E195:$CZ195,1,$BE195+1):INDEX(終値!$E195:$CZ195,1,$BE195+20))-2*STDEVP(INDEX(終値!$E195:$CZ195,1,$BE195+1):INDEX(終値!$E195:$CZ195,1,$BE195+20)))</f>
      </c>
      <c r="BL195" s="684">
        <f>COUNT($AC195:$BC195)</f>
      </c>
      <c r="BM195" s="684">
        <f>IF($BL195&gt;=2,MIN($AC195:$BC195),"")</f>
      </c>
      <c r="BN195" s="684">
        <f>IF($BL195&gt;=2,SMALL($AC195:$BC195,2),"")</f>
      </c>
      <c r="BO195" s="684">
        <f>IF($BM195="","",INDEX(高値!$E195:$CZ195,1,$BM195+1))</f>
      </c>
      <c r="BP195" s="684">
        <f>IF($BN195="","",INDEX(高値!$E195:$CZ195,1,$BN195+1))</f>
      </c>
      <c r="BQ195" s="684">
        <f>IF($BN195="","",MIN(INDEX(安値!$E195:$CZ195,1,$BM195+1):INDEX(安値!$E195:$CZ195,1,$BN195+1)))</f>
      </c>
      <c r="BR195" s="684">
        <f>IF($BN195="","",AVERAGE(INDEX(終値!$E195:$CZ195,1,$BN195+1):INDEX(終値!$E195:$CZ195,1,$BN195+20))+2*STDEVP(INDEX(終値!$E195:$CZ195,1,$BN195+1):INDEX(終値!$E195:$CZ195,1,$BN195+20)))</f>
      </c>
      <c r="BS195" s="684">
        <f>IF($BM195="","",AVERAGE(INDEX(終値!$E195:$CZ195,1,$BM195+1):INDEX(終値!$E195:$CZ195,1,$BM195+20))+2*STDEVP(INDEX(終値!$E195:$CZ195,1,$BM195+1):INDEX(終値!$E195:$CZ195,1,$BM195+20)))</f>
      </c>
      <c r="BT195" s="681">
        <f>IFERROR(IF(AND($BD195&gt;=2,ABS($BG195-$BH195)/$BH195&lt;=BB設定!$B$12,$BI195&gt;=MAX($BH195,$BG195)*(1+BB設定!$B$13),終値!E195&gt;$BG195),IF(OR(終値!E195&gt;=$BI195,AND($BH195&lt;$BJ195,$BG195&gt;=$BK195)),"二番底W▲","二番底W形成"),IF(AND($BL195&gt;=2,ABS($BO195-$BP195)/$BP195&lt;=BB設定!$B$12,$BQ195&lt;=MIN($BP195,$BO195)*(1-BB設定!$B$13),終値!E195&lt;$BO195),IF(OR(終値!E195&lt;=$BQ195,AND($BP195&gt;$BR195,$BO195&lt;=$BS195)),"二番天井M▼","二番天井M形成"),"－")),"－")</f>
      </c>
    </row>
    <row r="196">
      <c r="B196" s="684">
        <f>IF(終値!A196="","",IF(AND(安値!G196&lt;安値!F196,安値!G196&lt;安値!E196,安値!G196&lt;安値!H196,安値!G196&lt;安値!I196),2,""))</f>
      </c>
      <c r="C196" s="684">
        <f>IF(終値!A196="","",IF(AND(安値!H196&lt;安値!G196,安値!H196&lt;安値!F196,安値!H196&lt;安値!I196,安値!H196&lt;安値!J196),3,""))</f>
      </c>
      <c r="D196" s="684">
        <f>IF(終値!A196="","",IF(AND(安値!I196&lt;安値!H196,安値!I196&lt;安値!G196,安値!I196&lt;安値!J196,安値!I196&lt;安値!K196),4,""))</f>
      </c>
      <c r="E196" s="684">
        <f>IF(終値!A196="","",IF(AND(安値!J196&lt;安値!I196,安値!J196&lt;安値!H196,安値!J196&lt;安値!K196,安値!J196&lt;安値!L196),5,""))</f>
      </c>
      <c r="F196" s="684">
        <f>IF(終値!A196="","",IF(AND(安値!K196&lt;安値!J196,安値!K196&lt;安値!I196,安値!K196&lt;安値!L196,安値!K196&lt;安値!M196),6,""))</f>
      </c>
      <c r="G196" s="684">
        <f>IF(終値!A196="","",IF(AND(安値!L196&lt;安値!K196,安値!L196&lt;安値!J196,安値!L196&lt;安値!M196,安値!L196&lt;安値!N196),7,""))</f>
      </c>
      <c r="H196" s="684">
        <f>IF(終値!A196="","",IF(AND(安値!M196&lt;安値!L196,安値!M196&lt;安値!K196,安値!M196&lt;安値!N196,安値!M196&lt;安値!O196),8,""))</f>
      </c>
      <c r="I196" s="684">
        <f>IF(終値!A196="","",IF(AND(安値!N196&lt;安値!M196,安値!N196&lt;安値!L196,安値!N196&lt;安値!O196,安値!N196&lt;安値!P196),9,""))</f>
      </c>
      <c r="J196" s="684">
        <f>IF(終値!A196="","",IF(AND(安値!O196&lt;安値!N196,安値!O196&lt;安値!M196,安値!O196&lt;安値!P196,安値!O196&lt;安値!Q196),10,""))</f>
      </c>
      <c r="K196" s="684">
        <f>IF(終値!A196="","",IF(AND(安値!P196&lt;安値!O196,安値!P196&lt;安値!N196,安値!P196&lt;安値!Q196,安値!P196&lt;安値!R196),11,""))</f>
      </c>
      <c r="L196" s="684">
        <f>IF(終値!A196="","",IF(AND(安値!Q196&lt;安値!P196,安値!Q196&lt;安値!O196,安値!Q196&lt;安値!R196,安値!Q196&lt;安値!S196),12,""))</f>
      </c>
      <c r="M196" s="684">
        <f>IF(終値!A196="","",IF(AND(安値!R196&lt;安値!Q196,安値!R196&lt;安値!P196,安値!R196&lt;安値!S196,安値!R196&lt;安値!T196),13,""))</f>
      </c>
      <c r="N196" s="684">
        <f>IF(終値!A196="","",IF(AND(安値!S196&lt;安値!R196,安値!S196&lt;安値!Q196,安値!S196&lt;安値!T196,安値!S196&lt;安値!U196),14,""))</f>
      </c>
      <c r="O196" s="684">
        <f>IF(終値!A196="","",IF(AND(安値!T196&lt;安値!S196,安値!T196&lt;安値!R196,安値!T196&lt;安値!U196,安値!T196&lt;安値!V196),15,""))</f>
      </c>
      <c r="P196" s="684">
        <f>IF(終値!A196="","",IF(AND(安値!U196&lt;安値!T196,安値!U196&lt;安値!S196,安値!U196&lt;安値!V196,安値!U196&lt;安値!W196),16,""))</f>
      </c>
      <c r="Q196" s="684">
        <f>IF(終値!A196="","",IF(AND(安値!V196&lt;安値!U196,安値!V196&lt;安値!T196,安値!V196&lt;安値!W196,安値!V196&lt;安値!X196),17,""))</f>
      </c>
      <c r="R196" s="684">
        <f>IF(終値!A196="","",IF(AND(安値!W196&lt;安値!V196,安値!W196&lt;安値!U196,安値!W196&lt;安値!X196,安値!W196&lt;安値!Y196),18,""))</f>
      </c>
      <c r="S196" s="684">
        <f>IF(終値!A196="","",IF(AND(安値!X196&lt;安値!W196,安値!X196&lt;安値!V196,安値!X196&lt;安値!Y196,安値!X196&lt;安値!Z196),19,""))</f>
      </c>
      <c r="T196" s="684">
        <f>IF(終値!A196="","",IF(AND(安値!Y196&lt;安値!X196,安値!Y196&lt;安値!W196,安値!Y196&lt;安値!Z196,安値!Y196&lt;安値!AA196),20,""))</f>
      </c>
      <c r="U196" s="684">
        <f>IF(終値!A196="","",IF(AND(安値!Z196&lt;安値!Y196,安値!Z196&lt;安値!X196,安値!Z196&lt;安値!AA196,安値!Z196&lt;安値!AB196),21,""))</f>
      </c>
      <c r="V196" s="684">
        <f>IF(終値!A196="","",IF(AND(安値!AA196&lt;安値!Z196,安値!AA196&lt;安値!Y196,安値!AA196&lt;安値!AB196,安値!AA196&lt;安値!AC196),22,""))</f>
      </c>
      <c r="W196" s="684">
        <f>IF(終値!A196="","",IF(AND(安値!AB196&lt;安値!AA196,安値!AB196&lt;安値!Z196,安値!AB196&lt;安値!AC196,安値!AB196&lt;安値!AD196),23,""))</f>
      </c>
      <c r="X196" s="684">
        <f>IF(終値!A196="","",IF(AND(安値!AC196&lt;安値!AB196,安値!AC196&lt;安値!AA196,安値!AC196&lt;安値!AD196,安値!AC196&lt;安値!AE196),24,""))</f>
      </c>
      <c r="Y196" s="684">
        <f>IF(終値!A196="","",IF(AND(安値!AD196&lt;安値!AC196,安値!AD196&lt;安値!AB196,安値!AD196&lt;安値!AE196,安値!AD196&lt;安値!AF196),25,""))</f>
      </c>
      <c r="Z196" s="684">
        <f>IF(終値!A196="","",IF(AND(安値!AE196&lt;安値!AD196,安値!AE196&lt;安値!AC196,安値!AE196&lt;安値!AF196,安値!AE196&lt;安値!AG196),26,""))</f>
      </c>
      <c r="AA196" s="684">
        <f>IF(終値!A196="","",IF(AND(安値!AF196&lt;安値!AE196,安値!AF196&lt;安値!AD196,安値!AF196&lt;安値!AG196,安値!AF196&lt;安値!AH196),27,""))</f>
      </c>
      <c r="AB196" s="684">
        <f>IF(終値!A196="","",IF(AND(安値!AG196&lt;安値!AF196,安値!AG196&lt;安値!AE196,安値!AG196&lt;安値!AH196,安値!AG196&lt;安値!AI196),28,""))</f>
      </c>
      <c r="AC196" s="684">
        <f>IF(終値!A196="","",IF(AND(高値!G196&gt;高値!F196,高値!G196&gt;高値!E196,高値!G196&gt;高値!H196,高値!G196&gt;高値!I196),2,""))</f>
      </c>
      <c r="AD196" s="684">
        <f>IF(終値!A196="","",IF(AND(高値!H196&gt;高値!G196,高値!H196&gt;高値!F196,高値!H196&gt;高値!I196,高値!H196&gt;高値!J196),3,""))</f>
      </c>
      <c r="AE196" s="684">
        <f>IF(終値!A196="","",IF(AND(高値!I196&gt;高値!H196,高値!I196&gt;高値!G196,高値!I196&gt;高値!J196,高値!I196&gt;高値!K196),4,""))</f>
      </c>
      <c r="AF196" s="684">
        <f>IF(終値!A196="","",IF(AND(高値!J196&gt;高値!I196,高値!J196&gt;高値!H196,高値!J196&gt;高値!K196,高値!J196&gt;高値!L196),5,""))</f>
      </c>
      <c r="AG196" s="684">
        <f>IF(終値!A196="","",IF(AND(高値!K196&gt;高値!J196,高値!K196&gt;高値!I196,高値!K196&gt;高値!L196,高値!K196&gt;高値!M196),6,""))</f>
      </c>
      <c r="AH196" s="684">
        <f>IF(終値!A196="","",IF(AND(高値!L196&gt;高値!K196,高値!L196&gt;高値!J196,高値!L196&gt;高値!M196,高値!L196&gt;高値!N196),7,""))</f>
      </c>
      <c r="AI196" s="684">
        <f>IF(終値!A196="","",IF(AND(高値!M196&gt;高値!L196,高値!M196&gt;高値!K196,高値!M196&gt;高値!N196,高値!M196&gt;高値!O196),8,""))</f>
      </c>
      <c r="AJ196" s="684">
        <f>IF(終値!A196="","",IF(AND(高値!N196&gt;高値!M196,高値!N196&gt;高値!L196,高値!N196&gt;高値!O196,高値!N196&gt;高値!P196),9,""))</f>
      </c>
      <c r="AK196" s="684">
        <f>IF(終値!A196="","",IF(AND(高値!O196&gt;高値!N196,高値!O196&gt;高値!M196,高値!O196&gt;高値!P196,高値!O196&gt;高値!Q196),10,""))</f>
      </c>
      <c r="AL196" s="684">
        <f>IF(終値!A196="","",IF(AND(高値!P196&gt;高値!O196,高値!P196&gt;高値!N196,高値!P196&gt;高値!Q196,高値!P196&gt;高値!R196),11,""))</f>
      </c>
      <c r="AM196" s="684">
        <f>IF(終値!A196="","",IF(AND(高値!Q196&gt;高値!P196,高値!Q196&gt;高値!O196,高値!Q196&gt;高値!R196,高値!Q196&gt;高値!S196),12,""))</f>
      </c>
      <c r="AN196" s="684">
        <f>IF(終値!A196="","",IF(AND(高値!R196&gt;高値!Q196,高値!R196&gt;高値!P196,高値!R196&gt;高値!S196,高値!R196&gt;高値!T196),13,""))</f>
      </c>
      <c r="AO196" s="684">
        <f>IF(終値!A196="","",IF(AND(高値!S196&gt;高値!R196,高値!S196&gt;高値!Q196,高値!S196&gt;高値!T196,高値!S196&gt;高値!U196),14,""))</f>
      </c>
      <c r="AP196" s="684">
        <f>IF(終値!A196="","",IF(AND(高値!T196&gt;高値!S196,高値!T196&gt;高値!R196,高値!T196&gt;高値!U196,高値!T196&gt;高値!V196),15,""))</f>
      </c>
      <c r="AQ196" s="684">
        <f>IF(終値!A196="","",IF(AND(高値!U196&gt;高値!T196,高値!U196&gt;高値!S196,高値!U196&gt;高値!V196,高値!U196&gt;高値!W196),16,""))</f>
      </c>
      <c r="AR196" s="684">
        <f>IF(終値!A196="","",IF(AND(高値!V196&gt;高値!U196,高値!V196&gt;高値!T196,高値!V196&gt;高値!W196,高値!V196&gt;高値!X196),17,""))</f>
      </c>
      <c r="AS196" s="684">
        <f>IF(終値!A196="","",IF(AND(高値!W196&gt;高値!V196,高値!W196&gt;高値!U196,高値!W196&gt;高値!X196,高値!W196&gt;高値!Y196),18,""))</f>
      </c>
      <c r="AT196" s="684">
        <f>IF(終値!A196="","",IF(AND(高値!X196&gt;高値!W196,高値!X196&gt;高値!V196,高値!X196&gt;高値!Y196,高値!X196&gt;高値!Z196),19,""))</f>
      </c>
      <c r="AU196" s="684">
        <f>IF(終値!A196="","",IF(AND(高値!Y196&gt;高値!X196,高値!Y196&gt;高値!W196,高値!Y196&gt;高値!Z196,高値!Y196&gt;高値!AA196),20,""))</f>
      </c>
      <c r="AV196" s="684">
        <f>IF(終値!A196="","",IF(AND(高値!Z196&gt;高値!Y196,高値!Z196&gt;高値!X196,高値!Z196&gt;高値!AA196,高値!Z196&gt;高値!AB196),21,""))</f>
      </c>
      <c r="AW196" s="684">
        <f>IF(終値!A196="","",IF(AND(高値!AA196&gt;高値!Z196,高値!AA196&gt;高値!Y196,高値!AA196&gt;高値!AB196,高値!AA196&gt;高値!AC196),22,""))</f>
      </c>
      <c r="AX196" s="684">
        <f>IF(終値!A196="","",IF(AND(高値!AB196&gt;高値!AA196,高値!AB196&gt;高値!Z196,高値!AB196&gt;高値!AC196,高値!AB196&gt;高値!AD196),23,""))</f>
      </c>
      <c r="AY196" s="684">
        <f>IF(終値!A196="","",IF(AND(高値!AC196&gt;高値!AB196,高値!AC196&gt;高値!AA196,高値!AC196&gt;高値!AD196,高値!AC196&gt;高値!AE196),24,""))</f>
      </c>
      <c r="AZ196" s="684">
        <f>IF(終値!A196="","",IF(AND(高値!AD196&gt;高値!AC196,高値!AD196&gt;高値!AB196,高値!AD196&gt;高値!AE196,高値!AD196&gt;高値!AF196),25,""))</f>
      </c>
      <c r="BA196" s="684">
        <f>IF(終値!A196="","",IF(AND(高値!AE196&gt;高値!AD196,高値!AE196&gt;高値!AC196,高値!AE196&gt;高値!AF196,高値!AE196&gt;高値!AG196),26,""))</f>
      </c>
      <c r="BB196" s="684">
        <f>IF(終値!A196="","",IF(AND(高値!AF196&gt;高値!AE196,高値!AF196&gt;高値!AD196,高値!AF196&gt;高値!AG196,高値!AF196&gt;高値!AH196),27,""))</f>
      </c>
      <c r="BC196" s="684">
        <f>IF(終値!A196="","",IF(AND(高値!AG196&gt;高値!AF196,高値!AG196&gt;高値!AE196,高値!AG196&gt;高値!AH196,高値!AG196&gt;高値!AI196),28,""))</f>
      </c>
      <c r="BD196" s="684">
        <f>COUNT($B196:$AB196)</f>
      </c>
      <c r="BE196" s="684">
        <f>IF($BD196&gt;=2,MIN($B196:$AB196),"")</f>
      </c>
      <c r="BF196" s="684">
        <f>IF($BD196&gt;=2,SMALL($B196:$AB196,2),"")</f>
      </c>
      <c r="BG196" s="684">
        <f>IF($BE196="","",INDEX(安値!$E196:$CZ196,1,$BE196+1))</f>
      </c>
      <c r="BH196" s="684">
        <f>IF($BF196="","",INDEX(安値!$E196:$CZ196,1,$BF196+1))</f>
      </c>
      <c r="BI196" s="684">
        <f>IF($BF196="","",MAX(INDEX(高値!$E196:$CZ196,1,$BE196+1):INDEX(高値!$E196:$CZ196,1,$BF196+1)))</f>
      </c>
      <c r="BJ196" s="684">
        <f>IF($BF196="","",AVERAGE(INDEX(終値!$E196:$CZ196,1,$BF196+1):INDEX(終値!$E196:$CZ196,1,$BF196+20))-2*STDEVP(INDEX(終値!$E196:$CZ196,1,$BF196+1):INDEX(終値!$E196:$CZ196,1,$BF196+20)))</f>
      </c>
      <c r="BK196" s="684">
        <f>IF($BE196="","",AVERAGE(INDEX(終値!$E196:$CZ196,1,$BE196+1):INDEX(終値!$E196:$CZ196,1,$BE196+20))-2*STDEVP(INDEX(終値!$E196:$CZ196,1,$BE196+1):INDEX(終値!$E196:$CZ196,1,$BE196+20)))</f>
      </c>
      <c r="BL196" s="684">
        <f>COUNT($AC196:$BC196)</f>
      </c>
      <c r="BM196" s="684">
        <f>IF($BL196&gt;=2,MIN($AC196:$BC196),"")</f>
      </c>
      <c r="BN196" s="684">
        <f>IF($BL196&gt;=2,SMALL($AC196:$BC196,2),"")</f>
      </c>
      <c r="BO196" s="684">
        <f>IF($BM196="","",INDEX(高値!$E196:$CZ196,1,$BM196+1))</f>
      </c>
      <c r="BP196" s="684">
        <f>IF($BN196="","",INDEX(高値!$E196:$CZ196,1,$BN196+1))</f>
      </c>
      <c r="BQ196" s="684">
        <f>IF($BN196="","",MIN(INDEX(安値!$E196:$CZ196,1,$BM196+1):INDEX(安値!$E196:$CZ196,1,$BN196+1)))</f>
      </c>
      <c r="BR196" s="684">
        <f>IF($BN196="","",AVERAGE(INDEX(終値!$E196:$CZ196,1,$BN196+1):INDEX(終値!$E196:$CZ196,1,$BN196+20))+2*STDEVP(INDEX(終値!$E196:$CZ196,1,$BN196+1):INDEX(終値!$E196:$CZ196,1,$BN196+20)))</f>
      </c>
      <c r="BS196" s="684">
        <f>IF($BM196="","",AVERAGE(INDEX(終値!$E196:$CZ196,1,$BM196+1):INDEX(終値!$E196:$CZ196,1,$BM196+20))+2*STDEVP(INDEX(終値!$E196:$CZ196,1,$BM196+1):INDEX(終値!$E196:$CZ196,1,$BM196+20)))</f>
      </c>
      <c r="BT196" s="681">
        <f>IFERROR(IF(AND($BD196&gt;=2,ABS($BG196-$BH196)/$BH196&lt;=BB設定!$B$12,$BI196&gt;=MAX($BH196,$BG196)*(1+BB設定!$B$13),終値!E196&gt;$BG196),IF(OR(終値!E196&gt;=$BI196,AND($BH196&lt;$BJ196,$BG196&gt;=$BK196)),"二番底W▲","二番底W形成"),IF(AND($BL196&gt;=2,ABS($BO196-$BP196)/$BP196&lt;=BB設定!$B$12,$BQ196&lt;=MIN($BP196,$BO196)*(1-BB設定!$B$13),終値!E196&lt;$BO196),IF(OR(終値!E196&lt;=$BQ196,AND($BP196&gt;$BR196,$BO196&lt;=$BS196)),"二番天井M▼","二番天井M形成"),"－")),"－")</f>
      </c>
    </row>
    <row r="197">
      <c r="B197" s="684">
        <f>IF(終値!A197="","",IF(AND(安値!G197&lt;安値!F197,安値!G197&lt;安値!E197,安値!G197&lt;安値!H197,安値!G197&lt;安値!I197),2,""))</f>
      </c>
      <c r="C197" s="684">
        <f>IF(終値!A197="","",IF(AND(安値!H197&lt;安値!G197,安値!H197&lt;安値!F197,安値!H197&lt;安値!I197,安値!H197&lt;安値!J197),3,""))</f>
      </c>
      <c r="D197" s="684">
        <f>IF(終値!A197="","",IF(AND(安値!I197&lt;安値!H197,安値!I197&lt;安値!G197,安値!I197&lt;安値!J197,安値!I197&lt;安値!K197),4,""))</f>
      </c>
      <c r="E197" s="684">
        <f>IF(終値!A197="","",IF(AND(安値!J197&lt;安値!I197,安値!J197&lt;安値!H197,安値!J197&lt;安値!K197,安値!J197&lt;安値!L197),5,""))</f>
      </c>
      <c r="F197" s="684">
        <f>IF(終値!A197="","",IF(AND(安値!K197&lt;安値!J197,安値!K197&lt;安値!I197,安値!K197&lt;安値!L197,安値!K197&lt;安値!M197),6,""))</f>
      </c>
      <c r="G197" s="684">
        <f>IF(終値!A197="","",IF(AND(安値!L197&lt;安値!K197,安値!L197&lt;安値!J197,安値!L197&lt;安値!M197,安値!L197&lt;安値!N197),7,""))</f>
      </c>
      <c r="H197" s="684">
        <f>IF(終値!A197="","",IF(AND(安値!M197&lt;安値!L197,安値!M197&lt;安値!K197,安値!M197&lt;安値!N197,安値!M197&lt;安値!O197),8,""))</f>
      </c>
      <c r="I197" s="684">
        <f>IF(終値!A197="","",IF(AND(安値!N197&lt;安値!M197,安値!N197&lt;安値!L197,安値!N197&lt;安値!O197,安値!N197&lt;安値!P197),9,""))</f>
      </c>
      <c r="J197" s="684">
        <f>IF(終値!A197="","",IF(AND(安値!O197&lt;安値!N197,安値!O197&lt;安値!M197,安値!O197&lt;安値!P197,安値!O197&lt;安値!Q197),10,""))</f>
      </c>
      <c r="K197" s="684">
        <f>IF(終値!A197="","",IF(AND(安値!P197&lt;安値!O197,安値!P197&lt;安値!N197,安値!P197&lt;安値!Q197,安値!P197&lt;安値!R197),11,""))</f>
      </c>
      <c r="L197" s="684">
        <f>IF(終値!A197="","",IF(AND(安値!Q197&lt;安値!P197,安値!Q197&lt;安値!O197,安値!Q197&lt;安値!R197,安値!Q197&lt;安値!S197),12,""))</f>
      </c>
      <c r="M197" s="684">
        <f>IF(終値!A197="","",IF(AND(安値!R197&lt;安値!Q197,安値!R197&lt;安値!P197,安値!R197&lt;安値!S197,安値!R197&lt;安値!T197),13,""))</f>
      </c>
      <c r="N197" s="684">
        <f>IF(終値!A197="","",IF(AND(安値!S197&lt;安値!R197,安値!S197&lt;安値!Q197,安値!S197&lt;安値!T197,安値!S197&lt;安値!U197),14,""))</f>
      </c>
      <c r="O197" s="684">
        <f>IF(終値!A197="","",IF(AND(安値!T197&lt;安値!S197,安値!T197&lt;安値!R197,安値!T197&lt;安値!U197,安値!T197&lt;安値!V197),15,""))</f>
      </c>
      <c r="P197" s="684">
        <f>IF(終値!A197="","",IF(AND(安値!U197&lt;安値!T197,安値!U197&lt;安値!S197,安値!U197&lt;安値!V197,安値!U197&lt;安値!W197),16,""))</f>
      </c>
      <c r="Q197" s="684">
        <f>IF(終値!A197="","",IF(AND(安値!V197&lt;安値!U197,安値!V197&lt;安値!T197,安値!V197&lt;安値!W197,安値!V197&lt;安値!X197),17,""))</f>
      </c>
      <c r="R197" s="684">
        <f>IF(終値!A197="","",IF(AND(安値!W197&lt;安値!V197,安値!W197&lt;安値!U197,安値!W197&lt;安値!X197,安値!W197&lt;安値!Y197),18,""))</f>
      </c>
      <c r="S197" s="684">
        <f>IF(終値!A197="","",IF(AND(安値!X197&lt;安値!W197,安値!X197&lt;安値!V197,安値!X197&lt;安値!Y197,安値!X197&lt;安値!Z197),19,""))</f>
      </c>
      <c r="T197" s="684">
        <f>IF(終値!A197="","",IF(AND(安値!Y197&lt;安値!X197,安値!Y197&lt;安値!W197,安値!Y197&lt;安値!Z197,安値!Y197&lt;安値!AA197),20,""))</f>
      </c>
      <c r="U197" s="684">
        <f>IF(終値!A197="","",IF(AND(安値!Z197&lt;安値!Y197,安値!Z197&lt;安値!X197,安値!Z197&lt;安値!AA197,安値!Z197&lt;安値!AB197),21,""))</f>
      </c>
      <c r="V197" s="684">
        <f>IF(終値!A197="","",IF(AND(安値!AA197&lt;安値!Z197,安値!AA197&lt;安値!Y197,安値!AA197&lt;安値!AB197,安値!AA197&lt;安値!AC197),22,""))</f>
      </c>
      <c r="W197" s="684">
        <f>IF(終値!A197="","",IF(AND(安値!AB197&lt;安値!AA197,安値!AB197&lt;安値!Z197,安値!AB197&lt;安値!AC197,安値!AB197&lt;安値!AD197),23,""))</f>
      </c>
      <c r="X197" s="684">
        <f>IF(終値!A197="","",IF(AND(安値!AC197&lt;安値!AB197,安値!AC197&lt;安値!AA197,安値!AC197&lt;安値!AD197,安値!AC197&lt;安値!AE197),24,""))</f>
      </c>
      <c r="Y197" s="684">
        <f>IF(終値!A197="","",IF(AND(安値!AD197&lt;安値!AC197,安値!AD197&lt;安値!AB197,安値!AD197&lt;安値!AE197,安値!AD197&lt;安値!AF197),25,""))</f>
      </c>
      <c r="Z197" s="684">
        <f>IF(終値!A197="","",IF(AND(安値!AE197&lt;安値!AD197,安値!AE197&lt;安値!AC197,安値!AE197&lt;安値!AF197,安値!AE197&lt;安値!AG197),26,""))</f>
      </c>
      <c r="AA197" s="684">
        <f>IF(終値!A197="","",IF(AND(安値!AF197&lt;安値!AE197,安値!AF197&lt;安値!AD197,安値!AF197&lt;安値!AG197,安値!AF197&lt;安値!AH197),27,""))</f>
      </c>
      <c r="AB197" s="684">
        <f>IF(終値!A197="","",IF(AND(安値!AG197&lt;安値!AF197,安値!AG197&lt;安値!AE197,安値!AG197&lt;安値!AH197,安値!AG197&lt;安値!AI197),28,""))</f>
      </c>
      <c r="AC197" s="684">
        <f>IF(終値!A197="","",IF(AND(高値!G197&gt;高値!F197,高値!G197&gt;高値!E197,高値!G197&gt;高値!H197,高値!G197&gt;高値!I197),2,""))</f>
      </c>
      <c r="AD197" s="684">
        <f>IF(終値!A197="","",IF(AND(高値!H197&gt;高値!G197,高値!H197&gt;高値!F197,高値!H197&gt;高値!I197,高値!H197&gt;高値!J197),3,""))</f>
      </c>
      <c r="AE197" s="684">
        <f>IF(終値!A197="","",IF(AND(高値!I197&gt;高値!H197,高値!I197&gt;高値!G197,高値!I197&gt;高値!J197,高値!I197&gt;高値!K197),4,""))</f>
      </c>
      <c r="AF197" s="684">
        <f>IF(終値!A197="","",IF(AND(高値!J197&gt;高値!I197,高値!J197&gt;高値!H197,高値!J197&gt;高値!K197,高値!J197&gt;高値!L197),5,""))</f>
      </c>
      <c r="AG197" s="684">
        <f>IF(終値!A197="","",IF(AND(高値!K197&gt;高値!J197,高値!K197&gt;高値!I197,高値!K197&gt;高値!L197,高値!K197&gt;高値!M197),6,""))</f>
      </c>
      <c r="AH197" s="684">
        <f>IF(終値!A197="","",IF(AND(高値!L197&gt;高値!K197,高値!L197&gt;高値!J197,高値!L197&gt;高値!M197,高値!L197&gt;高値!N197),7,""))</f>
      </c>
      <c r="AI197" s="684">
        <f>IF(終値!A197="","",IF(AND(高値!M197&gt;高値!L197,高値!M197&gt;高値!K197,高値!M197&gt;高値!N197,高値!M197&gt;高値!O197),8,""))</f>
      </c>
      <c r="AJ197" s="684">
        <f>IF(終値!A197="","",IF(AND(高値!N197&gt;高値!M197,高値!N197&gt;高値!L197,高値!N197&gt;高値!O197,高値!N197&gt;高値!P197),9,""))</f>
      </c>
      <c r="AK197" s="684">
        <f>IF(終値!A197="","",IF(AND(高値!O197&gt;高値!N197,高値!O197&gt;高値!M197,高値!O197&gt;高値!P197,高値!O197&gt;高値!Q197),10,""))</f>
      </c>
      <c r="AL197" s="684">
        <f>IF(終値!A197="","",IF(AND(高値!P197&gt;高値!O197,高値!P197&gt;高値!N197,高値!P197&gt;高値!Q197,高値!P197&gt;高値!R197),11,""))</f>
      </c>
      <c r="AM197" s="684">
        <f>IF(終値!A197="","",IF(AND(高値!Q197&gt;高値!P197,高値!Q197&gt;高値!O197,高値!Q197&gt;高値!R197,高値!Q197&gt;高値!S197),12,""))</f>
      </c>
      <c r="AN197" s="684">
        <f>IF(終値!A197="","",IF(AND(高値!R197&gt;高値!Q197,高値!R197&gt;高値!P197,高値!R197&gt;高値!S197,高値!R197&gt;高値!T197),13,""))</f>
      </c>
      <c r="AO197" s="684">
        <f>IF(終値!A197="","",IF(AND(高値!S197&gt;高値!R197,高値!S197&gt;高値!Q197,高値!S197&gt;高値!T197,高値!S197&gt;高値!U197),14,""))</f>
      </c>
      <c r="AP197" s="684">
        <f>IF(終値!A197="","",IF(AND(高値!T197&gt;高値!S197,高値!T197&gt;高値!R197,高値!T197&gt;高値!U197,高値!T197&gt;高値!V197),15,""))</f>
      </c>
      <c r="AQ197" s="684">
        <f>IF(終値!A197="","",IF(AND(高値!U197&gt;高値!T197,高値!U197&gt;高値!S197,高値!U197&gt;高値!V197,高値!U197&gt;高値!W197),16,""))</f>
      </c>
      <c r="AR197" s="684">
        <f>IF(終値!A197="","",IF(AND(高値!V197&gt;高値!U197,高値!V197&gt;高値!T197,高値!V197&gt;高値!W197,高値!V197&gt;高値!X197),17,""))</f>
      </c>
      <c r="AS197" s="684">
        <f>IF(終値!A197="","",IF(AND(高値!W197&gt;高値!V197,高値!W197&gt;高値!U197,高値!W197&gt;高値!X197,高値!W197&gt;高値!Y197),18,""))</f>
      </c>
      <c r="AT197" s="684">
        <f>IF(終値!A197="","",IF(AND(高値!X197&gt;高値!W197,高値!X197&gt;高値!V197,高値!X197&gt;高値!Y197,高値!X197&gt;高値!Z197),19,""))</f>
      </c>
      <c r="AU197" s="684">
        <f>IF(終値!A197="","",IF(AND(高値!Y197&gt;高値!X197,高値!Y197&gt;高値!W197,高値!Y197&gt;高値!Z197,高値!Y197&gt;高値!AA197),20,""))</f>
      </c>
      <c r="AV197" s="684">
        <f>IF(終値!A197="","",IF(AND(高値!Z197&gt;高値!Y197,高値!Z197&gt;高値!X197,高値!Z197&gt;高値!AA197,高値!Z197&gt;高値!AB197),21,""))</f>
      </c>
      <c r="AW197" s="684">
        <f>IF(終値!A197="","",IF(AND(高値!AA197&gt;高値!Z197,高値!AA197&gt;高値!Y197,高値!AA197&gt;高値!AB197,高値!AA197&gt;高値!AC197),22,""))</f>
      </c>
      <c r="AX197" s="684">
        <f>IF(終値!A197="","",IF(AND(高値!AB197&gt;高値!AA197,高値!AB197&gt;高値!Z197,高値!AB197&gt;高値!AC197,高値!AB197&gt;高値!AD197),23,""))</f>
      </c>
      <c r="AY197" s="684">
        <f>IF(終値!A197="","",IF(AND(高値!AC197&gt;高値!AB197,高値!AC197&gt;高値!AA197,高値!AC197&gt;高値!AD197,高値!AC197&gt;高値!AE197),24,""))</f>
      </c>
      <c r="AZ197" s="684">
        <f>IF(終値!A197="","",IF(AND(高値!AD197&gt;高値!AC197,高値!AD197&gt;高値!AB197,高値!AD197&gt;高値!AE197,高値!AD197&gt;高値!AF197),25,""))</f>
      </c>
      <c r="BA197" s="684">
        <f>IF(終値!A197="","",IF(AND(高値!AE197&gt;高値!AD197,高値!AE197&gt;高値!AC197,高値!AE197&gt;高値!AF197,高値!AE197&gt;高値!AG197),26,""))</f>
      </c>
      <c r="BB197" s="684">
        <f>IF(終値!A197="","",IF(AND(高値!AF197&gt;高値!AE197,高値!AF197&gt;高値!AD197,高値!AF197&gt;高値!AG197,高値!AF197&gt;高値!AH197),27,""))</f>
      </c>
      <c r="BC197" s="684">
        <f>IF(終値!A197="","",IF(AND(高値!AG197&gt;高値!AF197,高値!AG197&gt;高値!AE197,高値!AG197&gt;高値!AH197,高値!AG197&gt;高値!AI197),28,""))</f>
      </c>
      <c r="BD197" s="684">
        <f>COUNT($B197:$AB197)</f>
      </c>
      <c r="BE197" s="684">
        <f>IF($BD197&gt;=2,MIN($B197:$AB197),"")</f>
      </c>
      <c r="BF197" s="684">
        <f>IF($BD197&gt;=2,SMALL($B197:$AB197,2),"")</f>
      </c>
      <c r="BG197" s="684">
        <f>IF($BE197="","",INDEX(安値!$E197:$CZ197,1,$BE197+1))</f>
      </c>
      <c r="BH197" s="684">
        <f>IF($BF197="","",INDEX(安値!$E197:$CZ197,1,$BF197+1))</f>
      </c>
      <c r="BI197" s="684">
        <f>IF($BF197="","",MAX(INDEX(高値!$E197:$CZ197,1,$BE197+1):INDEX(高値!$E197:$CZ197,1,$BF197+1)))</f>
      </c>
      <c r="BJ197" s="684">
        <f>IF($BF197="","",AVERAGE(INDEX(終値!$E197:$CZ197,1,$BF197+1):INDEX(終値!$E197:$CZ197,1,$BF197+20))-2*STDEVP(INDEX(終値!$E197:$CZ197,1,$BF197+1):INDEX(終値!$E197:$CZ197,1,$BF197+20)))</f>
      </c>
      <c r="BK197" s="684">
        <f>IF($BE197="","",AVERAGE(INDEX(終値!$E197:$CZ197,1,$BE197+1):INDEX(終値!$E197:$CZ197,1,$BE197+20))-2*STDEVP(INDEX(終値!$E197:$CZ197,1,$BE197+1):INDEX(終値!$E197:$CZ197,1,$BE197+20)))</f>
      </c>
      <c r="BL197" s="684">
        <f>COUNT($AC197:$BC197)</f>
      </c>
      <c r="BM197" s="684">
        <f>IF($BL197&gt;=2,MIN($AC197:$BC197),"")</f>
      </c>
      <c r="BN197" s="684">
        <f>IF($BL197&gt;=2,SMALL($AC197:$BC197,2),"")</f>
      </c>
      <c r="BO197" s="684">
        <f>IF($BM197="","",INDEX(高値!$E197:$CZ197,1,$BM197+1))</f>
      </c>
      <c r="BP197" s="684">
        <f>IF($BN197="","",INDEX(高値!$E197:$CZ197,1,$BN197+1))</f>
      </c>
      <c r="BQ197" s="684">
        <f>IF($BN197="","",MIN(INDEX(安値!$E197:$CZ197,1,$BM197+1):INDEX(安値!$E197:$CZ197,1,$BN197+1)))</f>
      </c>
      <c r="BR197" s="684">
        <f>IF($BN197="","",AVERAGE(INDEX(終値!$E197:$CZ197,1,$BN197+1):INDEX(終値!$E197:$CZ197,1,$BN197+20))+2*STDEVP(INDEX(終値!$E197:$CZ197,1,$BN197+1):INDEX(終値!$E197:$CZ197,1,$BN197+20)))</f>
      </c>
      <c r="BS197" s="684">
        <f>IF($BM197="","",AVERAGE(INDEX(終値!$E197:$CZ197,1,$BM197+1):INDEX(終値!$E197:$CZ197,1,$BM197+20))+2*STDEVP(INDEX(終値!$E197:$CZ197,1,$BM197+1):INDEX(終値!$E197:$CZ197,1,$BM197+20)))</f>
      </c>
      <c r="BT197" s="681">
        <f>IFERROR(IF(AND($BD197&gt;=2,ABS($BG197-$BH197)/$BH197&lt;=BB設定!$B$12,$BI197&gt;=MAX($BH197,$BG197)*(1+BB設定!$B$13),終値!E197&gt;$BG197),IF(OR(終値!E197&gt;=$BI197,AND($BH197&lt;$BJ197,$BG197&gt;=$BK197)),"二番底W▲","二番底W形成"),IF(AND($BL197&gt;=2,ABS($BO197-$BP197)/$BP197&lt;=BB設定!$B$12,$BQ197&lt;=MIN($BP197,$BO197)*(1-BB設定!$B$13),終値!E197&lt;$BO197),IF(OR(終値!E197&lt;=$BQ197,AND($BP197&gt;$BR197,$BO197&lt;=$BS197)),"二番天井M▼","二番天井M形成"),"－")),"－")</f>
      </c>
    </row>
    <row r="198">
      <c r="B198" s="684">
        <f>IF(終値!A198="","",IF(AND(安値!G198&lt;安値!F198,安値!G198&lt;安値!E198,安値!G198&lt;安値!H198,安値!G198&lt;安値!I198),2,""))</f>
      </c>
      <c r="C198" s="684">
        <f>IF(終値!A198="","",IF(AND(安値!H198&lt;安値!G198,安値!H198&lt;安値!F198,安値!H198&lt;安値!I198,安値!H198&lt;安値!J198),3,""))</f>
      </c>
      <c r="D198" s="684">
        <f>IF(終値!A198="","",IF(AND(安値!I198&lt;安値!H198,安値!I198&lt;安値!G198,安値!I198&lt;安値!J198,安値!I198&lt;安値!K198),4,""))</f>
      </c>
      <c r="E198" s="684">
        <f>IF(終値!A198="","",IF(AND(安値!J198&lt;安値!I198,安値!J198&lt;安値!H198,安値!J198&lt;安値!K198,安値!J198&lt;安値!L198),5,""))</f>
      </c>
      <c r="F198" s="684">
        <f>IF(終値!A198="","",IF(AND(安値!K198&lt;安値!J198,安値!K198&lt;安値!I198,安値!K198&lt;安値!L198,安値!K198&lt;安値!M198),6,""))</f>
      </c>
      <c r="G198" s="684">
        <f>IF(終値!A198="","",IF(AND(安値!L198&lt;安値!K198,安値!L198&lt;安値!J198,安値!L198&lt;安値!M198,安値!L198&lt;安値!N198),7,""))</f>
      </c>
      <c r="H198" s="684">
        <f>IF(終値!A198="","",IF(AND(安値!M198&lt;安値!L198,安値!M198&lt;安値!K198,安値!M198&lt;安値!N198,安値!M198&lt;安値!O198),8,""))</f>
      </c>
      <c r="I198" s="684">
        <f>IF(終値!A198="","",IF(AND(安値!N198&lt;安値!M198,安値!N198&lt;安値!L198,安値!N198&lt;安値!O198,安値!N198&lt;安値!P198),9,""))</f>
      </c>
      <c r="J198" s="684">
        <f>IF(終値!A198="","",IF(AND(安値!O198&lt;安値!N198,安値!O198&lt;安値!M198,安値!O198&lt;安値!P198,安値!O198&lt;安値!Q198),10,""))</f>
      </c>
      <c r="K198" s="684">
        <f>IF(終値!A198="","",IF(AND(安値!P198&lt;安値!O198,安値!P198&lt;安値!N198,安値!P198&lt;安値!Q198,安値!P198&lt;安値!R198),11,""))</f>
      </c>
      <c r="L198" s="684">
        <f>IF(終値!A198="","",IF(AND(安値!Q198&lt;安値!P198,安値!Q198&lt;安値!O198,安値!Q198&lt;安値!R198,安値!Q198&lt;安値!S198),12,""))</f>
      </c>
      <c r="M198" s="684">
        <f>IF(終値!A198="","",IF(AND(安値!R198&lt;安値!Q198,安値!R198&lt;安値!P198,安値!R198&lt;安値!S198,安値!R198&lt;安値!T198),13,""))</f>
      </c>
      <c r="N198" s="684">
        <f>IF(終値!A198="","",IF(AND(安値!S198&lt;安値!R198,安値!S198&lt;安値!Q198,安値!S198&lt;安値!T198,安値!S198&lt;安値!U198),14,""))</f>
      </c>
      <c r="O198" s="684">
        <f>IF(終値!A198="","",IF(AND(安値!T198&lt;安値!S198,安値!T198&lt;安値!R198,安値!T198&lt;安値!U198,安値!T198&lt;安値!V198),15,""))</f>
      </c>
      <c r="P198" s="684">
        <f>IF(終値!A198="","",IF(AND(安値!U198&lt;安値!T198,安値!U198&lt;安値!S198,安値!U198&lt;安値!V198,安値!U198&lt;安値!W198),16,""))</f>
      </c>
      <c r="Q198" s="684">
        <f>IF(終値!A198="","",IF(AND(安値!V198&lt;安値!U198,安値!V198&lt;安値!T198,安値!V198&lt;安値!W198,安値!V198&lt;安値!X198),17,""))</f>
      </c>
      <c r="R198" s="684">
        <f>IF(終値!A198="","",IF(AND(安値!W198&lt;安値!V198,安値!W198&lt;安値!U198,安値!W198&lt;安値!X198,安値!W198&lt;安値!Y198),18,""))</f>
      </c>
      <c r="S198" s="684">
        <f>IF(終値!A198="","",IF(AND(安値!X198&lt;安値!W198,安値!X198&lt;安値!V198,安値!X198&lt;安値!Y198,安値!X198&lt;安値!Z198),19,""))</f>
      </c>
      <c r="T198" s="684">
        <f>IF(終値!A198="","",IF(AND(安値!Y198&lt;安値!X198,安値!Y198&lt;安値!W198,安値!Y198&lt;安値!Z198,安値!Y198&lt;安値!AA198),20,""))</f>
      </c>
      <c r="U198" s="684">
        <f>IF(終値!A198="","",IF(AND(安値!Z198&lt;安値!Y198,安値!Z198&lt;安値!X198,安値!Z198&lt;安値!AA198,安値!Z198&lt;安値!AB198),21,""))</f>
      </c>
      <c r="V198" s="684">
        <f>IF(終値!A198="","",IF(AND(安値!AA198&lt;安値!Z198,安値!AA198&lt;安値!Y198,安値!AA198&lt;安値!AB198,安値!AA198&lt;安値!AC198),22,""))</f>
      </c>
      <c r="W198" s="684">
        <f>IF(終値!A198="","",IF(AND(安値!AB198&lt;安値!AA198,安値!AB198&lt;安値!Z198,安値!AB198&lt;安値!AC198,安値!AB198&lt;安値!AD198),23,""))</f>
      </c>
      <c r="X198" s="684">
        <f>IF(終値!A198="","",IF(AND(安値!AC198&lt;安値!AB198,安値!AC198&lt;安値!AA198,安値!AC198&lt;安値!AD198,安値!AC198&lt;安値!AE198),24,""))</f>
      </c>
      <c r="Y198" s="684">
        <f>IF(終値!A198="","",IF(AND(安値!AD198&lt;安値!AC198,安値!AD198&lt;安値!AB198,安値!AD198&lt;安値!AE198,安値!AD198&lt;安値!AF198),25,""))</f>
      </c>
      <c r="Z198" s="684">
        <f>IF(終値!A198="","",IF(AND(安値!AE198&lt;安値!AD198,安値!AE198&lt;安値!AC198,安値!AE198&lt;安値!AF198,安値!AE198&lt;安値!AG198),26,""))</f>
      </c>
      <c r="AA198" s="684">
        <f>IF(終値!A198="","",IF(AND(安値!AF198&lt;安値!AE198,安値!AF198&lt;安値!AD198,安値!AF198&lt;安値!AG198,安値!AF198&lt;安値!AH198),27,""))</f>
      </c>
      <c r="AB198" s="684">
        <f>IF(終値!A198="","",IF(AND(安値!AG198&lt;安値!AF198,安値!AG198&lt;安値!AE198,安値!AG198&lt;安値!AH198,安値!AG198&lt;安値!AI198),28,""))</f>
      </c>
      <c r="AC198" s="684">
        <f>IF(終値!A198="","",IF(AND(高値!G198&gt;高値!F198,高値!G198&gt;高値!E198,高値!G198&gt;高値!H198,高値!G198&gt;高値!I198),2,""))</f>
      </c>
      <c r="AD198" s="684">
        <f>IF(終値!A198="","",IF(AND(高値!H198&gt;高値!G198,高値!H198&gt;高値!F198,高値!H198&gt;高値!I198,高値!H198&gt;高値!J198),3,""))</f>
      </c>
      <c r="AE198" s="684">
        <f>IF(終値!A198="","",IF(AND(高値!I198&gt;高値!H198,高値!I198&gt;高値!G198,高値!I198&gt;高値!J198,高値!I198&gt;高値!K198),4,""))</f>
      </c>
      <c r="AF198" s="684">
        <f>IF(終値!A198="","",IF(AND(高値!J198&gt;高値!I198,高値!J198&gt;高値!H198,高値!J198&gt;高値!K198,高値!J198&gt;高値!L198),5,""))</f>
      </c>
      <c r="AG198" s="684">
        <f>IF(終値!A198="","",IF(AND(高値!K198&gt;高値!J198,高値!K198&gt;高値!I198,高値!K198&gt;高値!L198,高値!K198&gt;高値!M198),6,""))</f>
      </c>
      <c r="AH198" s="684">
        <f>IF(終値!A198="","",IF(AND(高値!L198&gt;高値!K198,高値!L198&gt;高値!J198,高値!L198&gt;高値!M198,高値!L198&gt;高値!N198),7,""))</f>
      </c>
      <c r="AI198" s="684">
        <f>IF(終値!A198="","",IF(AND(高値!M198&gt;高値!L198,高値!M198&gt;高値!K198,高値!M198&gt;高値!N198,高値!M198&gt;高値!O198),8,""))</f>
      </c>
      <c r="AJ198" s="684">
        <f>IF(終値!A198="","",IF(AND(高値!N198&gt;高値!M198,高値!N198&gt;高値!L198,高値!N198&gt;高値!O198,高値!N198&gt;高値!P198),9,""))</f>
      </c>
      <c r="AK198" s="684">
        <f>IF(終値!A198="","",IF(AND(高値!O198&gt;高値!N198,高値!O198&gt;高値!M198,高値!O198&gt;高値!P198,高値!O198&gt;高値!Q198),10,""))</f>
      </c>
      <c r="AL198" s="684">
        <f>IF(終値!A198="","",IF(AND(高値!P198&gt;高値!O198,高値!P198&gt;高値!N198,高値!P198&gt;高値!Q198,高値!P198&gt;高値!R198),11,""))</f>
      </c>
      <c r="AM198" s="684">
        <f>IF(終値!A198="","",IF(AND(高値!Q198&gt;高値!P198,高値!Q198&gt;高値!O198,高値!Q198&gt;高値!R198,高値!Q198&gt;高値!S198),12,""))</f>
      </c>
      <c r="AN198" s="684">
        <f>IF(終値!A198="","",IF(AND(高値!R198&gt;高値!Q198,高値!R198&gt;高値!P198,高値!R198&gt;高値!S198,高値!R198&gt;高値!T198),13,""))</f>
      </c>
      <c r="AO198" s="684">
        <f>IF(終値!A198="","",IF(AND(高値!S198&gt;高値!R198,高値!S198&gt;高値!Q198,高値!S198&gt;高値!T198,高値!S198&gt;高値!U198),14,""))</f>
      </c>
      <c r="AP198" s="684">
        <f>IF(終値!A198="","",IF(AND(高値!T198&gt;高値!S198,高値!T198&gt;高値!R198,高値!T198&gt;高値!U198,高値!T198&gt;高値!V198),15,""))</f>
      </c>
      <c r="AQ198" s="684">
        <f>IF(終値!A198="","",IF(AND(高値!U198&gt;高値!T198,高値!U198&gt;高値!S198,高値!U198&gt;高値!V198,高値!U198&gt;高値!W198),16,""))</f>
      </c>
      <c r="AR198" s="684">
        <f>IF(終値!A198="","",IF(AND(高値!V198&gt;高値!U198,高値!V198&gt;高値!T198,高値!V198&gt;高値!W198,高値!V198&gt;高値!X198),17,""))</f>
      </c>
      <c r="AS198" s="684">
        <f>IF(終値!A198="","",IF(AND(高値!W198&gt;高値!V198,高値!W198&gt;高値!U198,高値!W198&gt;高値!X198,高値!W198&gt;高値!Y198),18,""))</f>
      </c>
      <c r="AT198" s="684">
        <f>IF(終値!A198="","",IF(AND(高値!X198&gt;高値!W198,高値!X198&gt;高値!V198,高値!X198&gt;高値!Y198,高値!X198&gt;高値!Z198),19,""))</f>
      </c>
      <c r="AU198" s="684">
        <f>IF(終値!A198="","",IF(AND(高値!Y198&gt;高値!X198,高値!Y198&gt;高値!W198,高値!Y198&gt;高値!Z198,高値!Y198&gt;高値!AA198),20,""))</f>
      </c>
      <c r="AV198" s="684">
        <f>IF(終値!A198="","",IF(AND(高値!Z198&gt;高値!Y198,高値!Z198&gt;高値!X198,高値!Z198&gt;高値!AA198,高値!Z198&gt;高値!AB198),21,""))</f>
      </c>
      <c r="AW198" s="684">
        <f>IF(終値!A198="","",IF(AND(高値!AA198&gt;高値!Z198,高値!AA198&gt;高値!Y198,高値!AA198&gt;高値!AB198,高値!AA198&gt;高値!AC198),22,""))</f>
      </c>
      <c r="AX198" s="684">
        <f>IF(終値!A198="","",IF(AND(高値!AB198&gt;高値!AA198,高値!AB198&gt;高値!Z198,高値!AB198&gt;高値!AC198,高値!AB198&gt;高値!AD198),23,""))</f>
      </c>
      <c r="AY198" s="684">
        <f>IF(終値!A198="","",IF(AND(高値!AC198&gt;高値!AB198,高値!AC198&gt;高値!AA198,高値!AC198&gt;高値!AD198,高値!AC198&gt;高値!AE198),24,""))</f>
      </c>
      <c r="AZ198" s="684">
        <f>IF(終値!A198="","",IF(AND(高値!AD198&gt;高値!AC198,高値!AD198&gt;高値!AB198,高値!AD198&gt;高値!AE198,高値!AD198&gt;高値!AF198),25,""))</f>
      </c>
      <c r="BA198" s="684">
        <f>IF(終値!A198="","",IF(AND(高値!AE198&gt;高値!AD198,高値!AE198&gt;高値!AC198,高値!AE198&gt;高値!AF198,高値!AE198&gt;高値!AG198),26,""))</f>
      </c>
      <c r="BB198" s="684">
        <f>IF(終値!A198="","",IF(AND(高値!AF198&gt;高値!AE198,高値!AF198&gt;高値!AD198,高値!AF198&gt;高値!AG198,高値!AF198&gt;高値!AH198),27,""))</f>
      </c>
      <c r="BC198" s="684">
        <f>IF(終値!A198="","",IF(AND(高値!AG198&gt;高値!AF198,高値!AG198&gt;高値!AE198,高値!AG198&gt;高値!AH198,高値!AG198&gt;高値!AI198),28,""))</f>
      </c>
      <c r="BD198" s="684">
        <f>COUNT($B198:$AB198)</f>
      </c>
      <c r="BE198" s="684">
        <f>IF($BD198&gt;=2,MIN($B198:$AB198),"")</f>
      </c>
      <c r="BF198" s="684">
        <f>IF($BD198&gt;=2,SMALL($B198:$AB198,2),"")</f>
      </c>
      <c r="BG198" s="684">
        <f>IF($BE198="","",INDEX(安値!$E198:$CZ198,1,$BE198+1))</f>
      </c>
      <c r="BH198" s="684">
        <f>IF($BF198="","",INDEX(安値!$E198:$CZ198,1,$BF198+1))</f>
      </c>
      <c r="BI198" s="684">
        <f>IF($BF198="","",MAX(INDEX(高値!$E198:$CZ198,1,$BE198+1):INDEX(高値!$E198:$CZ198,1,$BF198+1)))</f>
      </c>
      <c r="BJ198" s="684">
        <f>IF($BF198="","",AVERAGE(INDEX(終値!$E198:$CZ198,1,$BF198+1):INDEX(終値!$E198:$CZ198,1,$BF198+20))-2*STDEVP(INDEX(終値!$E198:$CZ198,1,$BF198+1):INDEX(終値!$E198:$CZ198,1,$BF198+20)))</f>
      </c>
      <c r="BK198" s="684">
        <f>IF($BE198="","",AVERAGE(INDEX(終値!$E198:$CZ198,1,$BE198+1):INDEX(終値!$E198:$CZ198,1,$BE198+20))-2*STDEVP(INDEX(終値!$E198:$CZ198,1,$BE198+1):INDEX(終値!$E198:$CZ198,1,$BE198+20)))</f>
      </c>
      <c r="BL198" s="684">
        <f>COUNT($AC198:$BC198)</f>
      </c>
      <c r="BM198" s="684">
        <f>IF($BL198&gt;=2,MIN($AC198:$BC198),"")</f>
      </c>
      <c r="BN198" s="684">
        <f>IF($BL198&gt;=2,SMALL($AC198:$BC198,2),"")</f>
      </c>
      <c r="BO198" s="684">
        <f>IF($BM198="","",INDEX(高値!$E198:$CZ198,1,$BM198+1))</f>
      </c>
      <c r="BP198" s="684">
        <f>IF($BN198="","",INDEX(高値!$E198:$CZ198,1,$BN198+1))</f>
      </c>
      <c r="BQ198" s="684">
        <f>IF($BN198="","",MIN(INDEX(安値!$E198:$CZ198,1,$BM198+1):INDEX(安値!$E198:$CZ198,1,$BN198+1)))</f>
      </c>
      <c r="BR198" s="684">
        <f>IF($BN198="","",AVERAGE(INDEX(終値!$E198:$CZ198,1,$BN198+1):INDEX(終値!$E198:$CZ198,1,$BN198+20))+2*STDEVP(INDEX(終値!$E198:$CZ198,1,$BN198+1):INDEX(終値!$E198:$CZ198,1,$BN198+20)))</f>
      </c>
      <c r="BS198" s="684">
        <f>IF($BM198="","",AVERAGE(INDEX(終値!$E198:$CZ198,1,$BM198+1):INDEX(終値!$E198:$CZ198,1,$BM198+20))+2*STDEVP(INDEX(終値!$E198:$CZ198,1,$BM198+1):INDEX(終値!$E198:$CZ198,1,$BM198+20)))</f>
      </c>
      <c r="BT198" s="681">
        <f>IFERROR(IF(AND($BD198&gt;=2,ABS($BG198-$BH198)/$BH198&lt;=BB設定!$B$12,$BI198&gt;=MAX($BH198,$BG198)*(1+BB設定!$B$13),終値!E198&gt;$BG198),IF(OR(終値!E198&gt;=$BI198,AND($BH198&lt;$BJ198,$BG198&gt;=$BK198)),"二番底W▲","二番底W形成"),IF(AND($BL198&gt;=2,ABS($BO198-$BP198)/$BP198&lt;=BB設定!$B$12,$BQ198&lt;=MIN($BP198,$BO198)*(1-BB設定!$B$13),終値!E198&lt;$BO198),IF(OR(終値!E198&lt;=$BQ198,AND($BP198&gt;$BR198,$BO198&lt;=$BS198)),"二番天井M▼","二番天井M形成"),"－")),"－")</f>
      </c>
    </row>
    <row r="199">
      <c r="B199" s="684">
        <f>IF(終値!A199="","",IF(AND(安値!G199&lt;安値!F199,安値!G199&lt;安値!E199,安値!G199&lt;安値!H199,安値!G199&lt;安値!I199),2,""))</f>
      </c>
      <c r="C199" s="684">
        <f>IF(終値!A199="","",IF(AND(安値!H199&lt;安値!G199,安値!H199&lt;安値!F199,安値!H199&lt;安値!I199,安値!H199&lt;安値!J199),3,""))</f>
      </c>
      <c r="D199" s="684">
        <f>IF(終値!A199="","",IF(AND(安値!I199&lt;安値!H199,安値!I199&lt;安値!G199,安値!I199&lt;安値!J199,安値!I199&lt;安値!K199),4,""))</f>
      </c>
      <c r="E199" s="684">
        <f>IF(終値!A199="","",IF(AND(安値!J199&lt;安値!I199,安値!J199&lt;安値!H199,安値!J199&lt;安値!K199,安値!J199&lt;安値!L199),5,""))</f>
      </c>
      <c r="F199" s="684">
        <f>IF(終値!A199="","",IF(AND(安値!K199&lt;安値!J199,安値!K199&lt;安値!I199,安値!K199&lt;安値!L199,安値!K199&lt;安値!M199),6,""))</f>
      </c>
      <c r="G199" s="684">
        <f>IF(終値!A199="","",IF(AND(安値!L199&lt;安値!K199,安値!L199&lt;安値!J199,安値!L199&lt;安値!M199,安値!L199&lt;安値!N199),7,""))</f>
      </c>
      <c r="H199" s="684">
        <f>IF(終値!A199="","",IF(AND(安値!M199&lt;安値!L199,安値!M199&lt;安値!K199,安値!M199&lt;安値!N199,安値!M199&lt;安値!O199),8,""))</f>
      </c>
      <c r="I199" s="684">
        <f>IF(終値!A199="","",IF(AND(安値!N199&lt;安値!M199,安値!N199&lt;安値!L199,安値!N199&lt;安値!O199,安値!N199&lt;安値!P199),9,""))</f>
      </c>
      <c r="J199" s="684">
        <f>IF(終値!A199="","",IF(AND(安値!O199&lt;安値!N199,安値!O199&lt;安値!M199,安値!O199&lt;安値!P199,安値!O199&lt;安値!Q199),10,""))</f>
      </c>
      <c r="K199" s="684">
        <f>IF(終値!A199="","",IF(AND(安値!P199&lt;安値!O199,安値!P199&lt;安値!N199,安値!P199&lt;安値!Q199,安値!P199&lt;安値!R199),11,""))</f>
      </c>
      <c r="L199" s="684">
        <f>IF(終値!A199="","",IF(AND(安値!Q199&lt;安値!P199,安値!Q199&lt;安値!O199,安値!Q199&lt;安値!R199,安値!Q199&lt;安値!S199),12,""))</f>
      </c>
      <c r="M199" s="684">
        <f>IF(終値!A199="","",IF(AND(安値!R199&lt;安値!Q199,安値!R199&lt;安値!P199,安値!R199&lt;安値!S199,安値!R199&lt;安値!T199),13,""))</f>
      </c>
      <c r="N199" s="684">
        <f>IF(終値!A199="","",IF(AND(安値!S199&lt;安値!R199,安値!S199&lt;安値!Q199,安値!S199&lt;安値!T199,安値!S199&lt;安値!U199),14,""))</f>
      </c>
      <c r="O199" s="684">
        <f>IF(終値!A199="","",IF(AND(安値!T199&lt;安値!S199,安値!T199&lt;安値!R199,安値!T199&lt;安値!U199,安値!T199&lt;安値!V199),15,""))</f>
      </c>
      <c r="P199" s="684">
        <f>IF(終値!A199="","",IF(AND(安値!U199&lt;安値!T199,安値!U199&lt;安値!S199,安値!U199&lt;安値!V199,安値!U199&lt;安値!W199),16,""))</f>
      </c>
      <c r="Q199" s="684">
        <f>IF(終値!A199="","",IF(AND(安値!V199&lt;安値!U199,安値!V199&lt;安値!T199,安値!V199&lt;安値!W199,安値!V199&lt;安値!X199),17,""))</f>
      </c>
      <c r="R199" s="684">
        <f>IF(終値!A199="","",IF(AND(安値!W199&lt;安値!V199,安値!W199&lt;安値!U199,安値!W199&lt;安値!X199,安値!W199&lt;安値!Y199),18,""))</f>
      </c>
      <c r="S199" s="684">
        <f>IF(終値!A199="","",IF(AND(安値!X199&lt;安値!W199,安値!X199&lt;安値!V199,安値!X199&lt;安値!Y199,安値!X199&lt;安値!Z199),19,""))</f>
      </c>
      <c r="T199" s="684">
        <f>IF(終値!A199="","",IF(AND(安値!Y199&lt;安値!X199,安値!Y199&lt;安値!W199,安値!Y199&lt;安値!Z199,安値!Y199&lt;安値!AA199),20,""))</f>
      </c>
      <c r="U199" s="684">
        <f>IF(終値!A199="","",IF(AND(安値!Z199&lt;安値!Y199,安値!Z199&lt;安値!X199,安値!Z199&lt;安値!AA199,安値!Z199&lt;安値!AB199),21,""))</f>
      </c>
      <c r="V199" s="684">
        <f>IF(終値!A199="","",IF(AND(安値!AA199&lt;安値!Z199,安値!AA199&lt;安値!Y199,安値!AA199&lt;安値!AB199,安値!AA199&lt;安値!AC199),22,""))</f>
      </c>
      <c r="W199" s="684">
        <f>IF(終値!A199="","",IF(AND(安値!AB199&lt;安値!AA199,安値!AB199&lt;安値!Z199,安値!AB199&lt;安値!AC199,安値!AB199&lt;安値!AD199),23,""))</f>
      </c>
      <c r="X199" s="684">
        <f>IF(終値!A199="","",IF(AND(安値!AC199&lt;安値!AB199,安値!AC199&lt;安値!AA199,安値!AC199&lt;安値!AD199,安値!AC199&lt;安値!AE199),24,""))</f>
      </c>
      <c r="Y199" s="684">
        <f>IF(終値!A199="","",IF(AND(安値!AD199&lt;安値!AC199,安値!AD199&lt;安値!AB199,安値!AD199&lt;安値!AE199,安値!AD199&lt;安値!AF199),25,""))</f>
      </c>
      <c r="Z199" s="684">
        <f>IF(終値!A199="","",IF(AND(安値!AE199&lt;安値!AD199,安値!AE199&lt;安値!AC199,安値!AE199&lt;安値!AF199,安値!AE199&lt;安値!AG199),26,""))</f>
      </c>
      <c r="AA199" s="684">
        <f>IF(終値!A199="","",IF(AND(安値!AF199&lt;安値!AE199,安値!AF199&lt;安値!AD199,安値!AF199&lt;安値!AG199,安値!AF199&lt;安値!AH199),27,""))</f>
      </c>
      <c r="AB199" s="684">
        <f>IF(終値!A199="","",IF(AND(安値!AG199&lt;安値!AF199,安値!AG199&lt;安値!AE199,安値!AG199&lt;安値!AH199,安値!AG199&lt;安値!AI199),28,""))</f>
      </c>
      <c r="AC199" s="684">
        <f>IF(終値!A199="","",IF(AND(高値!G199&gt;高値!F199,高値!G199&gt;高値!E199,高値!G199&gt;高値!H199,高値!G199&gt;高値!I199),2,""))</f>
      </c>
      <c r="AD199" s="684">
        <f>IF(終値!A199="","",IF(AND(高値!H199&gt;高値!G199,高値!H199&gt;高値!F199,高値!H199&gt;高値!I199,高値!H199&gt;高値!J199),3,""))</f>
      </c>
      <c r="AE199" s="684">
        <f>IF(終値!A199="","",IF(AND(高値!I199&gt;高値!H199,高値!I199&gt;高値!G199,高値!I199&gt;高値!J199,高値!I199&gt;高値!K199),4,""))</f>
      </c>
      <c r="AF199" s="684">
        <f>IF(終値!A199="","",IF(AND(高値!J199&gt;高値!I199,高値!J199&gt;高値!H199,高値!J199&gt;高値!K199,高値!J199&gt;高値!L199),5,""))</f>
      </c>
      <c r="AG199" s="684">
        <f>IF(終値!A199="","",IF(AND(高値!K199&gt;高値!J199,高値!K199&gt;高値!I199,高値!K199&gt;高値!L199,高値!K199&gt;高値!M199),6,""))</f>
      </c>
      <c r="AH199" s="684">
        <f>IF(終値!A199="","",IF(AND(高値!L199&gt;高値!K199,高値!L199&gt;高値!J199,高値!L199&gt;高値!M199,高値!L199&gt;高値!N199),7,""))</f>
      </c>
      <c r="AI199" s="684">
        <f>IF(終値!A199="","",IF(AND(高値!M199&gt;高値!L199,高値!M199&gt;高値!K199,高値!M199&gt;高値!N199,高値!M199&gt;高値!O199),8,""))</f>
      </c>
      <c r="AJ199" s="684">
        <f>IF(終値!A199="","",IF(AND(高値!N199&gt;高値!M199,高値!N199&gt;高値!L199,高値!N199&gt;高値!O199,高値!N199&gt;高値!P199),9,""))</f>
      </c>
      <c r="AK199" s="684">
        <f>IF(終値!A199="","",IF(AND(高値!O199&gt;高値!N199,高値!O199&gt;高値!M199,高値!O199&gt;高値!P199,高値!O199&gt;高値!Q199),10,""))</f>
      </c>
      <c r="AL199" s="684">
        <f>IF(終値!A199="","",IF(AND(高値!P199&gt;高値!O199,高値!P199&gt;高値!N199,高値!P199&gt;高値!Q199,高値!P199&gt;高値!R199),11,""))</f>
      </c>
      <c r="AM199" s="684">
        <f>IF(終値!A199="","",IF(AND(高値!Q199&gt;高値!P199,高値!Q199&gt;高値!O199,高値!Q199&gt;高値!R199,高値!Q199&gt;高値!S199),12,""))</f>
      </c>
      <c r="AN199" s="684">
        <f>IF(終値!A199="","",IF(AND(高値!R199&gt;高値!Q199,高値!R199&gt;高値!P199,高値!R199&gt;高値!S199,高値!R199&gt;高値!T199),13,""))</f>
      </c>
      <c r="AO199" s="684">
        <f>IF(終値!A199="","",IF(AND(高値!S199&gt;高値!R199,高値!S199&gt;高値!Q199,高値!S199&gt;高値!T199,高値!S199&gt;高値!U199),14,""))</f>
      </c>
      <c r="AP199" s="684">
        <f>IF(終値!A199="","",IF(AND(高値!T199&gt;高値!S199,高値!T199&gt;高値!R199,高値!T199&gt;高値!U199,高値!T199&gt;高値!V199),15,""))</f>
      </c>
      <c r="AQ199" s="684">
        <f>IF(終値!A199="","",IF(AND(高値!U199&gt;高値!T199,高値!U199&gt;高値!S199,高値!U199&gt;高値!V199,高値!U199&gt;高値!W199),16,""))</f>
      </c>
      <c r="AR199" s="684">
        <f>IF(終値!A199="","",IF(AND(高値!V199&gt;高値!U199,高値!V199&gt;高値!T199,高値!V199&gt;高値!W199,高値!V199&gt;高値!X199),17,""))</f>
      </c>
      <c r="AS199" s="684">
        <f>IF(終値!A199="","",IF(AND(高値!W199&gt;高値!V199,高値!W199&gt;高値!U199,高値!W199&gt;高値!X199,高値!W199&gt;高値!Y199),18,""))</f>
      </c>
      <c r="AT199" s="684">
        <f>IF(終値!A199="","",IF(AND(高値!X199&gt;高値!W199,高値!X199&gt;高値!V199,高値!X199&gt;高値!Y199,高値!X199&gt;高値!Z199),19,""))</f>
      </c>
      <c r="AU199" s="684">
        <f>IF(終値!A199="","",IF(AND(高値!Y199&gt;高値!X199,高値!Y199&gt;高値!W199,高値!Y199&gt;高値!Z199,高値!Y199&gt;高値!AA199),20,""))</f>
      </c>
      <c r="AV199" s="684">
        <f>IF(終値!A199="","",IF(AND(高値!Z199&gt;高値!Y199,高値!Z199&gt;高値!X199,高値!Z199&gt;高値!AA199,高値!Z199&gt;高値!AB199),21,""))</f>
      </c>
      <c r="AW199" s="684">
        <f>IF(終値!A199="","",IF(AND(高値!AA199&gt;高値!Z199,高値!AA199&gt;高値!Y199,高値!AA199&gt;高値!AB199,高値!AA199&gt;高値!AC199),22,""))</f>
      </c>
      <c r="AX199" s="684">
        <f>IF(終値!A199="","",IF(AND(高値!AB199&gt;高値!AA199,高値!AB199&gt;高値!Z199,高値!AB199&gt;高値!AC199,高値!AB199&gt;高値!AD199),23,""))</f>
      </c>
      <c r="AY199" s="684">
        <f>IF(終値!A199="","",IF(AND(高値!AC199&gt;高値!AB199,高値!AC199&gt;高値!AA199,高値!AC199&gt;高値!AD199,高値!AC199&gt;高値!AE199),24,""))</f>
      </c>
      <c r="AZ199" s="684">
        <f>IF(終値!A199="","",IF(AND(高値!AD199&gt;高値!AC199,高値!AD199&gt;高値!AB199,高値!AD199&gt;高値!AE199,高値!AD199&gt;高値!AF199),25,""))</f>
      </c>
      <c r="BA199" s="684">
        <f>IF(終値!A199="","",IF(AND(高値!AE199&gt;高値!AD199,高値!AE199&gt;高値!AC199,高値!AE199&gt;高値!AF199,高値!AE199&gt;高値!AG199),26,""))</f>
      </c>
      <c r="BB199" s="684">
        <f>IF(終値!A199="","",IF(AND(高値!AF199&gt;高値!AE199,高値!AF199&gt;高値!AD199,高値!AF199&gt;高値!AG199,高値!AF199&gt;高値!AH199),27,""))</f>
      </c>
      <c r="BC199" s="684">
        <f>IF(終値!A199="","",IF(AND(高値!AG199&gt;高値!AF199,高値!AG199&gt;高値!AE199,高値!AG199&gt;高値!AH199,高値!AG199&gt;高値!AI199),28,""))</f>
      </c>
      <c r="BD199" s="684">
        <f>COUNT($B199:$AB199)</f>
      </c>
      <c r="BE199" s="684">
        <f>IF($BD199&gt;=2,MIN($B199:$AB199),"")</f>
      </c>
      <c r="BF199" s="684">
        <f>IF($BD199&gt;=2,SMALL($B199:$AB199,2),"")</f>
      </c>
      <c r="BG199" s="684">
        <f>IF($BE199="","",INDEX(安値!$E199:$CZ199,1,$BE199+1))</f>
      </c>
      <c r="BH199" s="684">
        <f>IF($BF199="","",INDEX(安値!$E199:$CZ199,1,$BF199+1))</f>
      </c>
      <c r="BI199" s="684">
        <f>IF($BF199="","",MAX(INDEX(高値!$E199:$CZ199,1,$BE199+1):INDEX(高値!$E199:$CZ199,1,$BF199+1)))</f>
      </c>
      <c r="BJ199" s="684">
        <f>IF($BF199="","",AVERAGE(INDEX(終値!$E199:$CZ199,1,$BF199+1):INDEX(終値!$E199:$CZ199,1,$BF199+20))-2*STDEVP(INDEX(終値!$E199:$CZ199,1,$BF199+1):INDEX(終値!$E199:$CZ199,1,$BF199+20)))</f>
      </c>
      <c r="BK199" s="684">
        <f>IF($BE199="","",AVERAGE(INDEX(終値!$E199:$CZ199,1,$BE199+1):INDEX(終値!$E199:$CZ199,1,$BE199+20))-2*STDEVP(INDEX(終値!$E199:$CZ199,1,$BE199+1):INDEX(終値!$E199:$CZ199,1,$BE199+20)))</f>
      </c>
      <c r="BL199" s="684">
        <f>COUNT($AC199:$BC199)</f>
      </c>
      <c r="BM199" s="684">
        <f>IF($BL199&gt;=2,MIN($AC199:$BC199),"")</f>
      </c>
      <c r="BN199" s="684">
        <f>IF($BL199&gt;=2,SMALL($AC199:$BC199,2),"")</f>
      </c>
      <c r="BO199" s="684">
        <f>IF($BM199="","",INDEX(高値!$E199:$CZ199,1,$BM199+1))</f>
      </c>
      <c r="BP199" s="684">
        <f>IF($BN199="","",INDEX(高値!$E199:$CZ199,1,$BN199+1))</f>
      </c>
      <c r="BQ199" s="684">
        <f>IF($BN199="","",MIN(INDEX(安値!$E199:$CZ199,1,$BM199+1):INDEX(安値!$E199:$CZ199,1,$BN199+1)))</f>
      </c>
      <c r="BR199" s="684">
        <f>IF($BN199="","",AVERAGE(INDEX(終値!$E199:$CZ199,1,$BN199+1):INDEX(終値!$E199:$CZ199,1,$BN199+20))+2*STDEVP(INDEX(終値!$E199:$CZ199,1,$BN199+1):INDEX(終値!$E199:$CZ199,1,$BN199+20)))</f>
      </c>
      <c r="BS199" s="684">
        <f>IF($BM199="","",AVERAGE(INDEX(終値!$E199:$CZ199,1,$BM199+1):INDEX(終値!$E199:$CZ199,1,$BM199+20))+2*STDEVP(INDEX(終値!$E199:$CZ199,1,$BM199+1):INDEX(終値!$E199:$CZ199,1,$BM199+20)))</f>
      </c>
      <c r="BT199" s="681">
        <f>IFERROR(IF(AND($BD199&gt;=2,ABS($BG199-$BH199)/$BH199&lt;=BB設定!$B$12,$BI199&gt;=MAX($BH199,$BG199)*(1+BB設定!$B$13),終値!E199&gt;$BG199),IF(OR(終値!E199&gt;=$BI199,AND($BH199&lt;$BJ199,$BG199&gt;=$BK199)),"二番底W▲","二番底W形成"),IF(AND($BL199&gt;=2,ABS($BO199-$BP199)/$BP199&lt;=BB設定!$B$12,$BQ199&lt;=MIN($BP199,$BO199)*(1-BB設定!$B$13),終値!E199&lt;$BO199),IF(OR(終値!E199&lt;=$BQ199,AND($BP199&gt;$BR199,$BO199&lt;=$BS199)),"二番天井M▼","二番天井M形成"),"－")),"－")</f>
      </c>
    </row>
    <row r="200">
      <c r="B200" s="684">
        <f>IF(終値!A200="","",IF(AND(安値!G200&lt;安値!F200,安値!G200&lt;安値!E200,安値!G200&lt;安値!H200,安値!G200&lt;安値!I200),2,""))</f>
      </c>
      <c r="C200" s="684">
        <f>IF(終値!A200="","",IF(AND(安値!H200&lt;安値!G200,安値!H200&lt;安値!F200,安値!H200&lt;安値!I200,安値!H200&lt;安値!J200),3,""))</f>
      </c>
      <c r="D200" s="684">
        <f>IF(終値!A200="","",IF(AND(安値!I200&lt;安値!H200,安値!I200&lt;安値!G200,安値!I200&lt;安値!J200,安値!I200&lt;安値!K200),4,""))</f>
      </c>
      <c r="E200" s="684">
        <f>IF(終値!A200="","",IF(AND(安値!J200&lt;安値!I200,安値!J200&lt;安値!H200,安値!J200&lt;安値!K200,安値!J200&lt;安値!L200),5,""))</f>
      </c>
      <c r="F200" s="684">
        <f>IF(終値!A200="","",IF(AND(安値!K200&lt;安値!J200,安値!K200&lt;安値!I200,安値!K200&lt;安値!L200,安値!K200&lt;安値!M200),6,""))</f>
      </c>
      <c r="G200" s="684">
        <f>IF(終値!A200="","",IF(AND(安値!L200&lt;安値!K200,安値!L200&lt;安値!J200,安値!L200&lt;安値!M200,安値!L200&lt;安値!N200),7,""))</f>
      </c>
      <c r="H200" s="684">
        <f>IF(終値!A200="","",IF(AND(安値!M200&lt;安値!L200,安値!M200&lt;安値!K200,安値!M200&lt;安値!N200,安値!M200&lt;安値!O200),8,""))</f>
      </c>
      <c r="I200" s="684">
        <f>IF(終値!A200="","",IF(AND(安値!N200&lt;安値!M200,安値!N200&lt;安値!L200,安値!N200&lt;安値!O200,安値!N200&lt;安値!P200),9,""))</f>
      </c>
      <c r="J200" s="684">
        <f>IF(終値!A200="","",IF(AND(安値!O200&lt;安値!N200,安値!O200&lt;安値!M200,安値!O200&lt;安値!P200,安値!O200&lt;安値!Q200),10,""))</f>
      </c>
      <c r="K200" s="684">
        <f>IF(終値!A200="","",IF(AND(安値!P200&lt;安値!O200,安値!P200&lt;安値!N200,安値!P200&lt;安値!Q200,安値!P200&lt;安値!R200),11,""))</f>
      </c>
      <c r="L200" s="684">
        <f>IF(終値!A200="","",IF(AND(安値!Q200&lt;安値!P200,安値!Q200&lt;安値!O200,安値!Q200&lt;安値!R200,安値!Q200&lt;安値!S200),12,""))</f>
      </c>
      <c r="M200" s="684">
        <f>IF(終値!A200="","",IF(AND(安値!R200&lt;安値!Q200,安値!R200&lt;安値!P200,安値!R200&lt;安値!S200,安値!R200&lt;安値!T200),13,""))</f>
      </c>
      <c r="N200" s="684">
        <f>IF(終値!A200="","",IF(AND(安値!S200&lt;安値!R200,安値!S200&lt;安値!Q200,安値!S200&lt;安値!T200,安値!S200&lt;安値!U200),14,""))</f>
      </c>
      <c r="O200" s="684">
        <f>IF(終値!A200="","",IF(AND(安値!T200&lt;安値!S200,安値!T200&lt;安値!R200,安値!T200&lt;安値!U200,安値!T200&lt;安値!V200),15,""))</f>
      </c>
      <c r="P200" s="684">
        <f>IF(終値!A200="","",IF(AND(安値!U200&lt;安値!T200,安値!U200&lt;安値!S200,安値!U200&lt;安値!V200,安値!U200&lt;安値!W200),16,""))</f>
      </c>
      <c r="Q200" s="684">
        <f>IF(終値!A200="","",IF(AND(安値!V200&lt;安値!U200,安値!V200&lt;安値!T200,安値!V200&lt;安値!W200,安値!V200&lt;安値!X200),17,""))</f>
      </c>
      <c r="R200" s="684">
        <f>IF(終値!A200="","",IF(AND(安値!W200&lt;安値!V200,安値!W200&lt;安値!U200,安値!W200&lt;安値!X200,安値!W200&lt;安値!Y200),18,""))</f>
      </c>
      <c r="S200" s="684">
        <f>IF(終値!A200="","",IF(AND(安値!X200&lt;安値!W200,安値!X200&lt;安値!V200,安値!X200&lt;安値!Y200,安値!X200&lt;安値!Z200),19,""))</f>
      </c>
      <c r="T200" s="684">
        <f>IF(終値!A200="","",IF(AND(安値!Y200&lt;安値!X200,安値!Y200&lt;安値!W200,安値!Y200&lt;安値!Z200,安値!Y200&lt;安値!AA200),20,""))</f>
      </c>
      <c r="U200" s="684">
        <f>IF(終値!A200="","",IF(AND(安値!Z200&lt;安値!Y200,安値!Z200&lt;安値!X200,安値!Z200&lt;安値!AA200,安値!Z200&lt;安値!AB200),21,""))</f>
      </c>
      <c r="V200" s="684">
        <f>IF(終値!A200="","",IF(AND(安値!AA200&lt;安値!Z200,安値!AA200&lt;安値!Y200,安値!AA200&lt;安値!AB200,安値!AA200&lt;安値!AC200),22,""))</f>
      </c>
      <c r="W200" s="684">
        <f>IF(終値!A200="","",IF(AND(安値!AB200&lt;安値!AA200,安値!AB200&lt;安値!Z200,安値!AB200&lt;安値!AC200,安値!AB200&lt;安値!AD200),23,""))</f>
      </c>
      <c r="X200" s="684">
        <f>IF(終値!A200="","",IF(AND(安値!AC200&lt;安値!AB200,安値!AC200&lt;安値!AA200,安値!AC200&lt;安値!AD200,安値!AC200&lt;安値!AE200),24,""))</f>
      </c>
      <c r="Y200" s="684">
        <f>IF(終値!A200="","",IF(AND(安値!AD200&lt;安値!AC200,安値!AD200&lt;安値!AB200,安値!AD200&lt;安値!AE200,安値!AD200&lt;安値!AF200),25,""))</f>
      </c>
      <c r="Z200" s="684">
        <f>IF(終値!A200="","",IF(AND(安値!AE200&lt;安値!AD200,安値!AE200&lt;安値!AC200,安値!AE200&lt;安値!AF200,安値!AE200&lt;安値!AG200),26,""))</f>
      </c>
      <c r="AA200" s="684">
        <f>IF(終値!A200="","",IF(AND(安値!AF200&lt;安値!AE200,安値!AF200&lt;安値!AD200,安値!AF200&lt;安値!AG200,安値!AF200&lt;安値!AH200),27,""))</f>
      </c>
      <c r="AB200" s="684">
        <f>IF(終値!A200="","",IF(AND(安値!AG200&lt;安値!AF200,安値!AG200&lt;安値!AE200,安値!AG200&lt;安値!AH200,安値!AG200&lt;安値!AI200),28,""))</f>
      </c>
      <c r="AC200" s="684">
        <f>IF(終値!A200="","",IF(AND(高値!G200&gt;高値!F200,高値!G200&gt;高値!E200,高値!G200&gt;高値!H200,高値!G200&gt;高値!I200),2,""))</f>
      </c>
      <c r="AD200" s="684">
        <f>IF(終値!A200="","",IF(AND(高値!H200&gt;高値!G200,高値!H200&gt;高値!F200,高値!H200&gt;高値!I200,高値!H200&gt;高値!J200),3,""))</f>
      </c>
      <c r="AE200" s="684">
        <f>IF(終値!A200="","",IF(AND(高値!I200&gt;高値!H200,高値!I200&gt;高値!G200,高値!I200&gt;高値!J200,高値!I200&gt;高値!K200),4,""))</f>
      </c>
      <c r="AF200" s="684">
        <f>IF(終値!A200="","",IF(AND(高値!J200&gt;高値!I200,高値!J200&gt;高値!H200,高値!J200&gt;高値!K200,高値!J200&gt;高値!L200),5,""))</f>
      </c>
      <c r="AG200" s="684">
        <f>IF(終値!A200="","",IF(AND(高値!K200&gt;高値!J200,高値!K200&gt;高値!I200,高値!K200&gt;高値!L200,高値!K200&gt;高値!M200),6,""))</f>
      </c>
      <c r="AH200" s="684">
        <f>IF(終値!A200="","",IF(AND(高値!L200&gt;高値!K200,高値!L200&gt;高値!J200,高値!L200&gt;高値!M200,高値!L200&gt;高値!N200),7,""))</f>
      </c>
      <c r="AI200" s="684">
        <f>IF(終値!A200="","",IF(AND(高値!M200&gt;高値!L200,高値!M200&gt;高値!K200,高値!M200&gt;高値!N200,高値!M200&gt;高値!O200),8,""))</f>
      </c>
      <c r="AJ200" s="684">
        <f>IF(終値!A200="","",IF(AND(高値!N200&gt;高値!M200,高値!N200&gt;高値!L200,高値!N200&gt;高値!O200,高値!N200&gt;高値!P200),9,""))</f>
      </c>
      <c r="AK200" s="684">
        <f>IF(終値!A200="","",IF(AND(高値!O200&gt;高値!N200,高値!O200&gt;高値!M200,高値!O200&gt;高値!P200,高値!O200&gt;高値!Q200),10,""))</f>
      </c>
      <c r="AL200" s="684">
        <f>IF(終値!A200="","",IF(AND(高値!P200&gt;高値!O200,高値!P200&gt;高値!N200,高値!P200&gt;高値!Q200,高値!P200&gt;高値!R200),11,""))</f>
      </c>
      <c r="AM200" s="684">
        <f>IF(終値!A200="","",IF(AND(高値!Q200&gt;高値!P200,高値!Q200&gt;高値!O200,高値!Q200&gt;高値!R200,高値!Q200&gt;高値!S200),12,""))</f>
      </c>
      <c r="AN200" s="684">
        <f>IF(終値!A200="","",IF(AND(高値!R200&gt;高値!Q200,高値!R200&gt;高値!P200,高値!R200&gt;高値!S200,高値!R200&gt;高値!T200),13,""))</f>
      </c>
      <c r="AO200" s="684">
        <f>IF(終値!A200="","",IF(AND(高値!S200&gt;高値!R200,高値!S200&gt;高値!Q200,高値!S200&gt;高値!T200,高値!S200&gt;高値!U200),14,""))</f>
      </c>
      <c r="AP200" s="684">
        <f>IF(終値!A200="","",IF(AND(高値!T200&gt;高値!S200,高値!T200&gt;高値!R200,高値!T200&gt;高値!U200,高値!T200&gt;高値!V200),15,""))</f>
      </c>
      <c r="AQ200" s="684">
        <f>IF(終値!A200="","",IF(AND(高値!U200&gt;高値!T200,高値!U200&gt;高値!S200,高値!U200&gt;高値!V200,高値!U200&gt;高値!W200),16,""))</f>
      </c>
      <c r="AR200" s="684">
        <f>IF(終値!A200="","",IF(AND(高値!V200&gt;高値!U200,高値!V200&gt;高値!T200,高値!V200&gt;高値!W200,高値!V200&gt;高値!X200),17,""))</f>
      </c>
      <c r="AS200" s="684">
        <f>IF(終値!A200="","",IF(AND(高値!W200&gt;高値!V200,高値!W200&gt;高値!U200,高値!W200&gt;高値!X200,高値!W200&gt;高値!Y200),18,""))</f>
      </c>
      <c r="AT200" s="684">
        <f>IF(終値!A200="","",IF(AND(高値!X200&gt;高値!W200,高値!X200&gt;高値!V200,高値!X200&gt;高値!Y200,高値!X200&gt;高値!Z200),19,""))</f>
      </c>
      <c r="AU200" s="684">
        <f>IF(終値!A200="","",IF(AND(高値!Y200&gt;高値!X200,高値!Y200&gt;高値!W200,高値!Y200&gt;高値!Z200,高値!Y200&gt;高値!AA200),20,""))</f>
      </c>
      <c r="AV200" s="684">
        <f>IF(終値!A200="","",IF(AND(高値!Z200&gt;高値!Y200,高値!Z200&gt;高値!X200,高値!Z200&gt;高値!AA200,高値!Z200&gt;高値!AB200),21,""))</f>
      </c>
      <c r="AW200" s="684">
        <f>IF(終値!A200="","",IF(AND(高値!AA200&gt;高値!Z200,高値!AA200&gt;高値!Y200,高値!AA200&gt;高値!AB200,高値!AA200&gt;高値!AC200),22,""))</f>
      </c>
      <c r="AX200" s="684">
        <f>IF(終値!A200="","",IF(AND(高値!AB200&gt;高値!AA200,高値!AB200&gt;高値!Z200,高値!AB200&gt;高値!AC200,高値!AB200&gt;高値!AD200),23,""))</f>
      </c>
      <c r="AY200" s="684">
        <f>IF(終値!A200="","",IF(AND(高値!AC200&gt;高値!AB200,高値!AC200&gt;高値!AA200,高値!AC200&gt;高値!AD200,高値!AC200&gt;高値!AE200),24,""))</f>
      </c>
      <c r="AZ200" s="684">
        <f>IF(終値!A200="","",IF(AND(高値!AD200&gt;高値!AC200,高値!AD200&gt;高値!AB200,高値!AD200&gt;高値!AE200,高値!AD200&gt;高値!AF200),25,""))</f>
      </c>
      <c r="BA200" s="684">
        <f>IF(終値!A200="","",IF(AND(高値!AE200&gt;高値!AD200,高値!AE200&gt;高値!AC200,高値!AE200&gt;高値!AF200,高値!AE200&gt;高値!AG200),26,""))</f>
      </c>
      <c r="BB200" s="684">
        <f>IF(終値!A200="","",IF(AND(高値!AF200&gt;高値!AE200,高値!AF200&gt;高値!AD200,高値!AF200&gt;高値!AG200,高値!AF200&gt;高値!AH200),27,""))</f>
      </c>
      <c r="BC200" s="684">
        <f>IF(終値!A200="","",IF(AND(高値!AG200&gt;高値!AF200,高値!AG200&gt;高値!AE200,高値!AG200&gt;高値!AH200,高値!AG200&gt;高値!AI200),28,""))</f>
      </c>
      <c r="BD200" s="684">
        <f>COUNT($B200:$AB200)</f>
      </c>
      <c r="BE200" s="684">
        <f>IF($BD200&gt;=2,MIN($B200:$AB200),"")</f>
      </c>
      <c r="BF200" s="684">
        <f>IF($BD200&gt;=2,SMALL($B200:$AB200,2),"")</f>
      </c>
      <c r="BG200" s="684">
        <f>IF($BE200="","",INDEX(安値!$E200:$CZ200,1,$BE200+1))</f>
      </c>
      <c r="BH200" s="684">
        <f>IF($BF200="","",INDEX(安値!$E200:$CZ200,1,$BF200+1))</f>
      </c>
      <c r="BI200" s="684">
        <f>IF($BF200="","",MAX(INDEX(高値!$E200:$CZ200,1,$BE200+1):INDEX(高値!$E200:$CZ200,1,$BF200+1)))</f>
      </c>
      <c r="BJ200" s="684">
        <f>IF($BF200="","",AVERAGE(INDEX(終値!$E200:$CZ200,1,$BF200+1):INDEX(終値!$E200:$CZ200,1,$BF200+20))-2*STDEVP(INDEX(終値!$E200:$CZ200,1,$BF200+1):INDEX(終値!$E200:$CZ200,1,$BF200+20)))</f>
      </c>
      <c r="BK200" s="684">
        <f>IF($BE200="","",AVERAGE(INDEX(終値!$E200:$CZ200,1,$BE200+1):INDEX(終値!$E200:$CZ200,1,$BE200+20))-2*STDEVP(INDEX(終値!$E200:$CZ200,1,$BE200+1):INDEX(終値!$E200:$CZ200,1,$BE200+20)))</f>
      </c>
      <c r="BL200" s="684">
        <f>COUNT($AC200:$BC200)</f>
      </c>
      <c r="BM200" s="684">
        <f>IF($BL200&gt;=2,MIN($AC200:$BC200),"")</f>
      </c>
      <c r="BN200" s="684">
        <f>IF($BL200&gt;=2,SMALL($AC200:$BC200,2),"")</f>
      </c>
      <c r="BO200" s="684">
        <f>IF($BM200="","",INDEX(高値!$E200:$CZ200,1,$BM200+1))</f>
      </c>
      <c r="BP200" s="684">
        <f>IF($BN200="","",INDEX(高値!$E200:$CZ200,1,$BN200+1))</f>
      </c>
      <c r="BQ200" s="684">
        <f>IF($BN200="","",MIN(INDEX(安値!$E200:$CZ200,1,$BM200+1):INDEX(安値!$E200:$CZ200,1,$BN200+1)))</f>
      </c>
      <c r="BR200" s="684">
        <f>IF($BN200="","",AVERAGE(INDEX(終値!$E200:$CZ200,1,$BN200+1):INDEX(終値!$E200:$CZ200,1,$BN200+20))+2*STDEVP(INDEX(終値!$E200:$CZ200,1,$BN200+1):INDEX(終値!$E200:$CZ200,1,$BN200+20)))</f>
      </c>
      <c r="BS200" s="684">
        <f>IF($BM200="","",AVERAGE(INDEX(終値!$E200:$CZ200,1,$BM200+1):INDEX(終値!$E200:$CZ200,1,$BM200+20))+2*STDEVP(INDEX(終値!$E200:$CZ200,1,$BM200+1):INDEX(終値!$E200:$CZ200,1,$BM200+20)))</f>
      </c>
      <c r="BT200" s="681">
        <f>IFERROR(IF(AND($BD200&gt;=2,ABS($BG200-$BH200)/$BH200&lt;=BB設定!$B$12,$BI200&gt;=MAX($BH200,$BG200)*(1+BB設定!$B$13),終値!E200&gt;$BG200),IF(OR(終値!E200&gt;=$BI200,AND($BH200&lt;$BJ200,$BG200&gt;=$BK200)),"二番底W▲","二番底W形成"),IF(AND($BL200&gt;=2,ABS($BO200-$BP200)/$BP200&lt;=BB設定!$B$12,$BQ200&lt;=MIN($BP200,$BO200)*(1-BB設定!$B$13),終値!E200&lt;$BO200),IF(OR(終値!E200&lt;=$BQ200,AND($BP200&gt;$BR200,$BO200&lt;=$BS200)),"二番天井M▼","二番天井M形成"),"－")),"－")</f>
      </c>
    </row>
    <row r="201">
      <c r="B201" s="684">
        <f>IF(終値!A201="","",IF(AND(安値!G201&lt;安値!F201,安値!G201&lt;安値!E201,安値!G201&lt;安値!H201,安値!G201&lt;安値!I201),2,""))</f>
      </c>
      <c r="C201" s="684">
        <f>IF(終値!A201="","",IF(AND(安値!H201&lt;安値!G201,安値!H201&lt;安値!F201,安値!H201&lt;安値!I201,安値!H201&lt;安値!J201),3,""))</f>
      </c>
      <c r="D201" s="684">
        <f>IF(終値!A201="","",IF(AND(安値!I201&lt;安値!H201,安値!I201&lt;安値!G201,安値!I201&lt;安値!J201,安値!I201&lt;安値!K201),4,""))</f>
      </c>
      <c r="E201" s="684">
        <f>IF(終値!A201="","",IF(AND(安値!J201&lt;安値!I201,安値!J201&lt;安値!H201,安値!J201&lt;安値!K201,安値!J201&lt;安値!L201),5,""))</f>
      </c>
      <c r="F201" s="684">
        <f>IF(終値!A201="","",IF(AND(安値!K201&lt;安値!J201,安値!K201&lt;安値!I201,安値!K201&lt;安値!L201,安値!K201&lt;安値!M201),6,""))</f>
      </c>
      <c r="G201" s="684">
        <f>IF(終値!A201="","",IF(AND(安値!L201&lt;安値!K201,安値!L201&lt;安値!J201,安値!L201&lt;安値!M201,安値!L201&lt;安値!N201),7,""))</f>
      </c>
      <c r="H201" s="684">
        <f>IF(終値!A201="","",IF(AND(安値!M201&lt;安値!L201,安値!M201&lt;安値!K201,安値!M201&lt;安値!N201,安値!M201&lt;安値!O201),8,""))</f>
      </c>
      <c r="I201" s="684">
        <f>IF(終値!A201="","",IF(AND(安値!N201&lt;安値!M201,安値!N201&lt;安値!L201,安値!N201&lt;安値!O201,安値!N201&lt;安値!P201),9,""))</f>
      </c>
      <c r="J201" s="684">
        <f>IF(終値!A201="","",IF(AND(安値!O201&lt;安値!N201,安値!O201&lt;安値!M201,安値!O201&lt;安値!P201,安値!O201&lt;安値!Q201),10,""))</f>
      </c>
      <c r="K201" s="684">
        <f>IF(終値!A201="","",IF(AND(安値!P201&lt;安値!O201,安値!P201&lt;安値!N201,安値!P201&lt;安値!Q201,安値!P201&lt;安値!R201),11,""))</f>
      </c>
      <c r="L201" s="684">
        <f>IF(終値!A201="","",IF(AND(安値!Q201&lt;安値!P201,安値!Q201&lt;安値!O201,安値!Q201&lt;安値!R201,安値!Q201&lt;安値!S201),12,""))</f>
      </c>
      <c r="M201" s="684">
        <f>IF(終値!A201="","",IF(AND(安値!R201&lt;安値!Q201,安値!R201&lt;安値!P201,安値!R201&lt;安値!S201,安値!R201&lt;安値!T201),13,""))</f>
      </c>
      <c r="N201" s="684">
        <f>IF(終値!A201="","",IF(AND(安値!S201&lt;安値!R201,安値!S201&lt;安値!Q201,安値!S201&lt;安値!T201,安値!S201&lt;安値!U201),14,""))</f>
      </c>
      <c r="O201" s="684">
        <f>IF(終値!A201="","",IF(AND(安値!T201&lt;安値!S201,安値!T201&lt;安値!R201,安値!T201&lt;安値!U201,安値!T201&lt;安値!V201),15,""))</f>
      </c>
      <c r="P201" s="684">
        <f>IF(終値!A201="","",IF(AND(安値!U201&lt;安値!T201,安値!U201&lt;安値!S201,安値!U201&lt;安値!V201,安値!U201&lt;安値!W201),16,""))</f>
      </c>
      <c r="Q201" s="684">
        <f>IF(終値!A201="","",IF(AND(安値!V201&lt;安値!U201,安値!V201&lt;安値!T201,安値!V201&lt;安値!W201,安値!V201&lt;安値!X201),17,""))</f>
      </c>
      <c r="R201" s="684">
        <f>IF(終値!A201="","",IF(AND(安値!W201&lt;安値!V201,安値!W201&lt;安値!U201,安値!W201&lt;安値!X201,安値!W201&lt;安値!Y201),18,""))</f>
      </c>
      <c r="S201" s="684">
        <f>IF(終値!A201="","",IF(AND(安値!X201&lt;安値!W201,安値!X201&lt;安値!V201,安値!X201&lt;安値!Y201,安値!X201&lt;安値!Z201),19,""))</f>
      </c>
      <c r="T201" s="684">
        <f>IF(終値!A201="","",IF(AND(安値!Y201&lt;安値!X201,安値!Y201&lt;安値!W201,安値!Y201&lt;安値!Z201,安値!Y201&lt;安値!AA201),20,""))</f>
      </c>
      <c r="U201" s="684">
        <f>IF(終値!A201="","",IF(AND(安値!Z201&lt;安値!Y201,安値!Z201&lt;安値!X201,安値!Z201&lt;安値!AA201,安値!Z201&lt;安値!AB201),21,""))</f>
      </c>
      <c r="V201" s="684">
        <f>IF(終値!A201="","",IF(AND(安値!AA201&lt;安値!Z201,安値!AA201&lt;安値!Y201,安値!AA201&lt;安値!AB201,安値!AA201&lt;安値!AC201),22,""))</f>
      </c>
      <c r="W201" s="684">
        <f>IF(終値!A201="","",IF(AND(安値!AB201&lt;安値!AA201,安値!AB201&lt;安値!Z201,安値!AB201&lt;安値!AC201,安値!AB201&lt;安値!AD201),23,""))</f>
      </c>
      <c r="X201" s="684">
        <f>IF(終値!A201="","",IF(AND(安値!AC201&lt;安値!AB201,安値!AC201&lt;安値!AA201,安値!AC201&lt;安値!AD201,安値!AC201&lt;安値!AE201),24,""))</f>
      </c>
      <c r="Y201" s="684">
        <f>IF(終値!A201="","",IF(AND(安値!AD201&lt;安値!AC201,安値!AD201&lt;安値!AB201,安値!AD201&lt;安値!AE201,安値!AD201&lt;安値!AF201),25,""))</f>
      </c>
      <c r="Z201" s="684">
        <f>IF(終値!A201="","",IF(AND(安値!AE201&lt;安値!AD201,安値!AE201&lt;安値!AC201,安値!AE201&lt;安値!AF201,安値!AE201&lt;安値!AG201),26,""))</f>
      </c>
      <c r="AA201" s="684">
        <f>IF(終値!A201="","",IF(AND(安値!AF201&lt;安値!AE201,安値!AF201&lt;安値!AD201,安値!AF201&lt;安値!AG201,安値!AF201&lt;安値!AH201),27,""))</f>
      </c>
      <c r="AB201" s="684">
        <f>IF(終値!A201="","",IF(AND(安値!AG201&lt;安値!AF201,安値!AG201&lt;安値!AE201,安値!AG201&lt;安値!AH201,安値!AG201&lt;安値!AI201),28,""))</f>
      </c>
      <c r="AC201" s="684">
        <f>IF(終値!A201="","",IF(AND(高値!G201&gt;高値!F201,高値!G201&gt;高値!E201,高値!G201&gt;高値!H201,高値!G201&gt;高値!I201),2,""))</f>
      </c>
      <c r="AD201" s="684">
        <f>IF(終値!A201="","",IF(AND(高値!H201&gt;高値!G201,高値!H201&gt;高値!F201,高値!H201&gt;高値!I201,高値!H201&gt;高値!J201),3,""))</f>
      </c>
      <c r="AE201" s="684">
        <f>IF(終値!A201="","",IF(AND(高値!I201&gt;高値!H201,高値!I201&gt;高値!G201,高値!I201&gt;高値!J201,高値!I201&gt;高値!K201),4,""))</f>
      </c>
      <c r="AF201" s="684">
        <f>IF(終値!A201="","",IF(AND(高値!J201&gt;高値!I201,高値!J201&gt;高値!H201,高値!J201&gt;高値!K201,高値!J201&gt;高値!L201),5,""))</f>
      </c>
      <c r="AG201" s="684">
        <f>IF(終値!A201="","",IF(AND(高値!K201&gt;高値!J201,高値!K201&gt;高値!I201,高値!K201&gt;高値!L201,高値!K201&gt;高値!M201),6,""))</f>
      </c>
      <c r="AH201" s="684">
        <f>IF(終値!A201="","",IF(AND(高値!L201&gt;高値!K201,高値!L201&gt;高値!J201,高値!L201&gt;高値!M201,高値!L201&gt;高値!N201),7,""))</f>
      </c>
      <c r="AI201" s="684">
        <f>IF(終値!A201="","",IF(AND(高値!M201&gt;高値!L201,高値!M201&gt;高値!K201,高値!M201&gt;高値!N201,高値!M201&gt;高値!O201),8,""))</f>
      </c>
      <c r="AJ201" s="684">
        <f>IF(終値!A201="","",IF(AND(高値!N201&gt;高値!M201,高値!N201&gt;高値!L201,高値!N201&gt;高値!O201,高値!N201&gt;高値!P201),9,""))</f>
      </c>
      <c r="AK201" s="684">
        <f>IF(終値!A201="","",IF(AND(高値!O201&gt;高値!N201,高値!O201&gt;高値!M201,高値!O201&gt;高値!P201,高値!O201&gt;高値!Q201),10,""))</f>
      </c>
      <c r="AL201" s="684">
        <f>IF(終値!A201="","",IF(AND(高値!P201&gt;高値!O201,高値!P201&gt;高値!N201,高値!P201&gt;高値!Q201,高値!P201&gt;高値!R201),11,""))</f>
      </c>
      <c r="AM201" s="684">
        <f>IF(終値!A201="","",IF(AND(高値!Q201&gt;高値!P201,高値!Q201&gt;高値!O201,高値!Q201&gt;高値!R201,高値!Q201&gt;高値!S201),12,""))</f>
      </c>
      <c r="AN201" s="684">
        <f>IF(終値!A201="","",IF(AND(高値!R201&gt;高値!Q201,高値!R201&gt;高値!P201,高値!R201&gt;高値!S201,高値!R201&gt;高値!T201),13,""))</f>
      </c>
      <c r="AO201" s="684">
        <f>IF(終値!A201="","",IF(AND(高値!S201&gt;高値!R201,高値!S201&gt;高値!Q201,高値!S201&gt;高値!T201,高値!S201&gt;高値!U201),14,""))</f>
      </c>
      <c r="AP201" s="684">
        <f>IF(終値!A201="","",IF(AND(高値!T201&gt;高値!S201,高値!T201&gt;高値!R201,高値!T201&gt;高値!U201,高値!T201&gt;高値!V201),15,""))</f>
      </c>
      <c r="AQ201" s="684">
        <f>IF(終値!A201="","",IF(AND(高値!U201&gt;高値!T201,高値!U201&gt;高値!S201,高値!U201&gt;高値!V201,高値!U201&gt;高値!W201),16,""))</f>
      </c>
      <c r="AR201" s="684">
        <f>IF(終値!A201="","",IF(AND(高値!V201&gt;高値!U201,高値!V201&gt;高値!T201,高値!V201&gt;高値!W201,高値!V201&gt;高値!X201),17,""))</f>
      </c>
      <c r="AS201" s="684">
        <f>IF(終値!A201="","",IF(AND(高値!W201&gt;高値!V201,高値!W201&gt;高値!U201,高値!W201&gt;高値!X201,高値!W201&gt;高値!Y201),18,""))</f>
      </c>
      <c r="AT201" s="684">
        <f>IF(終値!A201="","",IF(AND(高値!X201&gt;高値!W201,高値!X201&gt;高値!V201,高値!X201&gt;高値!Y201,高値!X201&gt;高値!Z201),19,""))</f>
      </c>
      <c r="AU201" s="684">
        <f>IF(終値!A201="","",IF(AND(高値!Y201&gt;高値!X201,高値!Y201&gt;高値!W201,高値!Y201&gt;高値!Z201,高値!Y201&gt;高値!AA201),20,""))</f>
      </c>
      <c r="AV201" s="684">
        <f>IF(終値!A201="","",IF(AND(高値!Z201&gt;高値!Y201,高値!Z201&gt;高値!X201,高値!Z201&gt;高値!AA201,高値!Z201&gt;高値!AB201),21,""))</f>
      </c>
      <c r="AW201" s="684">
        <f>IF(終値!A201="","",IF(AND(高値!AA201&gt;高値!Z201,高値!AA201&gt;高値!Y201,高値!AA201&gt;高値!AB201,高値!AA201&gt;高値!AC201),22,""))</f>
      </c>
      <c r="AX201" s="684">
        <f>IF(終値!A201="","",IF(AND(高値!AB201&gt;高値!AA201,高値!AB201&gt;高値!Z201,高値!AB201&gt;高値!AC201,高値!AB201&gt;高値!AD201),23,""))</f>
      </c>
      <c r="AY201" s="684">
        <f>IF(終値!A201="","",IF(AND(高値!AC201&gt;高値!AB201,高値!AC201&gt;高値!AA201,高値!AC201&gt;高値!AD201,高値!AC201&gt;高値!AE201),24,""))</f>
      </c>
      <c r="AZ201" s="684">
        <f>IF(終値!A201="","",IF(AND(高値!AD201&gt;高値!AC201,高値!AD201&gt;高値!AB201,高値!AD201&gt;高値!AE201,高値!AD201&gt;高値!AF201),25,""))</f>
      </c>
      <c r="BA201" s="684">
        <f>IF(終値!A201="","",IF(AND(高値!AE201&gt;高値!AD201,高値!AE201&gt;高値!AC201,高値!AE201&gt;高値!AF201,高値!AE201&gt;高値!AG201),26,""))</f>
      </c>
      <c r="BB201" s="684">
        <f>IF(終値!A201="","",IF(AND(高値!AF201&gt;高値!AE201,高値!AF201&gt;高値!AD201,高値!AF201&gt;高値!AG201,高値!AF201&gt;高値!AH201),27,""))</f>
      </c>
      <c r="BC201" s="684">
        <f>IF(終値!A201="","",IF(AND(高値!AG201&gt;高値!AF201,高値!AG201&gt;高値!AE201,高値!AG201&gt;高値!AH201,高値!AG201&gt;高値!AI201),28,""))</f>
      </c>
      <c r="BD201" s="684">
        <f>COUNT($B201:$AB201)</f>
      </c>
      <c r="BE201" s="684">
        <f>IF($BD201&gt;=2,MIN($B201:$AB201),"")</f>
      </c>
      <c r="BF201" s="684">
        <f>IF($BD201&gt;=2,SMALL($B201:$AB201,2),"")</f>
      </c>
      <c r="BG201" s="684">
        <f>IF($BE201="","",INDEX(安値!$E201:$CZ201,1,$BE201+1))</f>
      </c>
      <c r="BH201" s="684">
        <f>IF($BF201="","",INDEX(安値!$E201:$CZ201,1,$BF201+1))</f>
      </c>
      <c r="BI201" s="684">
        <f>IF($BF201="","",MAX(INDEX(高値!$E201:$CZ201,1,$BE201+1):INDEX(高値!$E201:$CZ201,1,$BF201+1)))</f>
      </c>
      <c r="BJ201" s="684">
        <f>IF($BF201="","",AVERAGE(INDEX(終値!$E201:$CZ201,1,$BF201+1):INDEX(終値!$E201:$CZ201,1,$BF201+20))-2*STDEVP(INDEX(終値!$E201:$CZ201,1,$BF201+1):INDEX(終値!$E201:$CZ201,1,$BF201+20)))</f>
      </c>
      <c r="BK201" s="684">
        <f>IF($BE201="","",AVERAGE(INDEX(終値!$E201:$CZ201,1,$BE201+1):INDEX(終値!$E201:$CZ201,1,$BE201+20))-2*STDEVP(INDEX(終値!$E201:$CZ201,1,$BE201+1):INDEX(終値!$E201:$CZ201,1,$BE201+20)))</f>
      </c>
      <c r="BL201" s="684">
        <f>COUNT($AC201:$BC201)</f>
      </c>
      <c r="BM201" s="684">
        <f>IF($BL201&gt;=2,MIN($AC201:$BC201),"")</f>
      </c>
      <c r="BN201" s="684">
        <f>IF($BL201&gt;=2,SMALL($AC201:$BC201,2),"")</f>
      </c>
      <c r="BO201" s="684">
        <f>IF($BM201="","",INDEX(高値!$E201:$CZ201,1,$BM201+1))</f>
      </c>
      <c r="BP201" s="684">
        <f>IF($BN201="","",INDEX(高値!$E201:$CZ201,1,$BN201+1))</f>
      </c>
      <c r="BQ201" s="684">
        <f>IF($BN201="","",MIN(INDEX(安値!$E201:$CZ201,1,$BM201+1):INDEX(安値!$E201:$CZ201,1,$BN201+1)))</f>
      </c>
      <c r="BR201" s="684">
        <f>IF($BN201="","",AVERAGE(INDEX(終値!$E201:$CZ201,1,$BN201+1):INDEX(終値!$E201:$CZ201,1,$BN201+20))+2*STDEVP(INDEX(終値!$E201:$CZ201,1,$BN201+1):INDEX(終値!$E201:$CZ201,1,$BN201+20)))</f>
      </c>
      <c r="BS201" s="684">
        <f>IF($BM201="","",AVERAGE(INDEX(終値!$E201:$CZ201,1,$BM201+1):INDEX(終値!$E201:$CZ201,1,$BM201+20))+2*STDEVP(INDEX(終値!$E201:$CZ201,1,$BM201+1):INDEX(終値!$E201:$CZ201,1,$BM201+20)))</f>
      </c>
      <c r="BT201" s="681">
        <f>IFERROR(IF(AND($BD201&gt;=2,ABS($BG201-$BH201)/$BH201&lt;=BB設定!$B$12,$BI201&gt;=MAX($BH201,$BG201)*(1+BB設定!$B$13),終値!E201&gt;$BG201),IF(OR(終値!E201&gt;=$BI201,AND($BH201&lt;$BJ201,$BG201&gt;=$BK201)),"二番底W▲","二番底W形成"),IF(AND($BL201&gt;=2,ABS($BO201-$BP201)/$BP201&lt;=BB設定!$B$12,$BQ201&lt;=MIN($BP201,$BO201)*(1-BB設定!$B$13),終値!E201&lt;$BO201),IF(OR(終値!E201&lt;=$BQ201,AND($BP201&gt;$BR201,$BO201&lt;=$BS201)),"二番天井M▼","二番天井M形成"),"－")),"－")</f>
      </c>
    </row>
    <row r="202">
      <c r="B202" s="684">
        <f>IF(終値!A202="","",IF(AND(安値!G202&lt;安値!F202,安値!G202&lt;安値!E202,安値!G202&lt;安値!H202,安値!G202&lt;安値!I202),2,""))</f>
      </c>
      <c r="C202" s="684">
        <f>IF(終値!A202="","",IF(AND(安値!H202&lt;安値!G202,安値!H202&lt;安値!F202,安値!H202&lt;安値!I202,安値!H202&lt;安値!J202),3,""))</f>
      </c>
      <c r="D202" s="684">
        <f>IF(終値!A202="","",IF(AND(安値!I202&lt;安値!H202,安値!I202&lt;安値!G202,安値!I202&lt;安値!J202,安値!I202&lt;安値!K202),4,""))</f>
      </c>
      <c r="E202" s="684">
        <f>IF(終値!A202="","",IF(AND(安値!J202&lt;安値!I202,安値!J202&lt;安値!H202,安値!J202&lt;安値!K202,安値!J202&lt;安値!L202),5,""))</f>
      </c>
      <c r="F202" s="684">
        <f>IF(終値!A202="","",IF(AND(安値!K202&lt;安値!J202,安値!K202&lt;安値!I202,安値!K202&lt;安値!L202,安値!K202&lt;安値!M202),6,""))</f>
      </c>
      <c r="G202" s="684">
        <f>IF(終値!A202="","",IF(AND(安値!L202&lt;安値!K202,安値!L202&lt;安値!J202,安値!L202&lt;安値!M202,安値!L202&lt;安値!N202),7,""))</f>
      </c>
      <c r="H202" s="684">
        <f>IF(終値!A202="","",IF(AND(安値!M202&lt;安値!L202,安値!M202&lt;安値!K202,安値!M202&lt;安値!N202,安値!M202&lt;安値!O202),8,""))</f>
      </c>
      <c r="I202" s="684">
        <f>IF(終値!A202="","",IF(AND(安値!N202&lt;安値!M202,安値!N202&lt;安値!L202,安値!N202&lt;安値!O202,安値!N202&lt;安値!P202),9,""))</f>
      </c>
      <c r="J202" s="684">
        <f>IF(終値!A202="","",IF(AND(安値!O202&lt;安値!N202,安値!O202&lt;安値!M202,安値!O202&lt;安値!P202,安値!O202&lt;安値!Q202),10,""))</f>
      </c>
      <c r="K202" s="684">
        <f>IF(終値!A202="","",IF(AND(安値!P202&lt;安値!O202,安値!P202&lt;安値!N202,安値!P202&lt;安値!Q202,安値!P202&lt;安値!R202),11,""))</f>
      </c>
      <c r="L202" s="684">
        <f>IF(終値!A202="","",IF(AND(安値!Q202&lt;安値!P202,安値!Q202&lt;安値!O202,安値!Q202&lt;安値!R202,安値!Q202&lt;安値!S202),12,""))</f>
      </c>
      <c r="M202" s="684">
        <f>IF(終値!A202="","",IF(AND(安値!R202&lt;安値!Q202,安値!R202&lt;安値!P202,安値!R202&lt;安値!S202,安値!R202&lt;安値!T202),13,""))</f>
      </c>
      <c r="N202" s="684">
        <f>IF(終値!A202="","",IF(AND(安値!S202&lt;安値!R202,安値!S202&lt;安値!Q202,安値!S202&lt;安値!T202,安値!S202&lt;安値!U202),14,""))</f>
      </c>
      <c r="O202" s="684">
        <f>IF(終値!A202="","",IF(AND(安値!T202&lt;安値!S202,安値!T202&lt;安値!R202,安値!T202&lt;安値!U202,安値!T202&lt;安値!V202),15,""))</f>
      </c>
      <c r="P202" s="684">
        <f>IF(終値!A202="","",IF(AND(安値!U202&lt;安値!T202,安値!U202&lt;安値!S202,安値!U202&lt;安値!V202,安値!U202&lt;安値!W202),16,""))</f>
      </c>
      <c r="Q202" s="684">
        <f>IF(終値!A202="","",IF(AND(安値!V202&lt;安値!U202,安値!V202&lt;安値!T202,安値!V202&lt;安値!W202,安値!V202&lt;安値!X202),17,""))</f>
      </c>
      <c r="R202" s="684">
        <f>IF(終値!A202="","",IF(AND(安値!W202&lt;安値!V202,安値!W202&lt;安値!U202,安値!W202&lt;安値!X202,安値!W202&lt;安値!Y202),18,""))</f>
      </c>
      <c r="S202" s="684">
        <f>IF(終値!A202="","",IF(AND(安値!X202&lt;安値!W202,安値!X202&lt;安値!V202,安値!X202&lt;安値!Y202,安値!X202&lt;安値!Z202),19,""))</f>
      </c>
      <c r="T202" s="684">
        <f>IF(終値!A202="","",IF(AND(安値!Y202&lt;安値!X202,安値!Y202&lt;安値!W202,安値!Y202&lt;安値!Z202,安値!Y202&lt;安値!AA202),20,""))</f>
      </c>
      <c r="U202" s="684">
        <f>IF(終値!A202="","",IF(AND(安値!Z202&lt;安値!Y202,安値!Z202&lt;安値!X202,安値!Z202&lt;安値!AA202,安値!Z202&lt;安値!AB202),21,""))</f>
      </c>
      <c r="V202" s="684">
        <f>IF(終値!A202="","",IF(AND(安値!AA202&lt;安値!Z202,安値!AA202&lt;安値!Y202,安値!AA202&lt;安値!AB202,安値!AA202&lt;安値!AC202),22,""))</f>
      </c>
      <c r="W202" s="684">
        <f>IF(終値!A202="","",IF(AND(安値!AB202&lt;安値!AA202,安値!AB202&lt;安値!Z202,安値!AB202&lt;安値!AC202,安値!AB202&lt;安値!AD202),23,""))</f>
      </c>
      <c r="X202" s="684">
        <f>IF(終値!A202="","",IF(AND(安値!AC202&lt;安値!AB202,安値!AC202&lt;安値!AA202,安値!AC202&lt;安値!AD202,安値!AC202&lt;安値!AE202),24,""))</f>
      </c>
      <c r="Y202" s="684">
        <f>IF(終値!A202="","",IF(AND(安値!AD202&lt;安値!AC202,安値!AD202&lt;安値!AB202,安値!AD202&lt;安値!AE202,安値!AD202&lt;安値!AF202),25,""))</f>
      </c>
      <c r="Z202" s="684">
        <f>IF(終値!A202="","",IF(AND(安値!AE202&lt;安値!AD202,安値!AE202&lt;安値!AC202,安値!AE202&lt;安値!AF202,安値!AE202&lt;安値!AG202),26,""))</f>
      </c>
      <c r="AA202" s="684">
        <f>IF(終値!A202="","",IF(AND(安値!AF202&lt;安値!AE202,安値!AF202&lt;安値!AD202,安値!AF202&lt;安値!AG202,安値!AF202&lt;安値!AH202),27,""))</f>
      </c>
      <c r="AB202" s="684">
        <f>IF(終値!A202="","",IF(AND(安値!AG202&lt;安値!AF202,安値!AG202&lt;安値!AE202,安値!AG202&lt;安値!AH202,安値!AG202&lt;安値!AI202),28,""))</f>
      </c>
      <c r="AC202" s="684">
        <f>IF(終値!A202="","",IF(AND(高値!G202&gt;高値!F202,高値!G202&gt;高値!E202,高値!G202&gt;高値!H202,高値!G202&gt;高値!I202),2,""))</f>
      </c>
      <c r="AD202" s="684">
        <f>IF(終値!A202="","",IF(AND(高値!H202&gt;高値!G202,高値!H202&gt;高値!F202,高値!H202&gt;高値!I202,高値!H202&gt;高値!J202),3,""))</f>
      </c>
      <c r="AE202" s="684">
        <f>IF(終値!A202="","",IF(AND(高値!I202&gt;高値!H202,高値!I202&gt;高値!G202,高値!I202&gt;高値!J202,高値!I202&gt;高値!K202),4,""))</f>
      </c>
      <c r="AF202" s="684">
        <f>IF(終値!A202="","",IF(AND(高値!J202&gt;高値!I202,高値!J202&gt;高値!H202,高値!J202&gt;高値!K202,高値!J202&gt;高値!L202),5,""))</f>
      </c>
      <c r="AG202" s="684">
        <f>IF(終値!A202="","",IF(AND(高値!K202&gt;高値!J202,高値!K202&gt;高値!I202,高値!K202&gt;高値!L202,高値!K202&gt;高値!M202),6,""))</f>
      </c>
      <c r="AH202" s="684">
        <f>IF(終値!A202="","",IF(AND(高値!L202&gt;高値!K202,高値!L202&gt;高値!J202,高値!L202&gt;高値!M202,高値!L202&gt;高値!N202),7,""))</f>
      </c>
      <c r="AI202" s="684">
        <f>IF(終値!A202="","",IF(AND(高値!M202&gt;高値!L202,高値!M202&gt;高値!K202,高値!M202&gt;高値!N202,高値!M202&gt;高値!O202),8,""))</f>
      </c>
      <c r="AJ202" s="684">
        <f>IF(終値!A202="","",IF(AND(高値!N202&gt;高値!M202,高値!N202&gt;高値!L202,高値!N202&gt;高値!O202,高値!N202&gt;高値!P202),9,""))</f>
      </c>
      <c r="AK202" s="684">
        <f>IF(終値!A202="","",IF(AND(高値!O202&gt;高値!N202,高値!O202&gt;高値!M202,高値!O202&gt;高値!P202,高値!O202&gt;高値!Q202),10,""))</f>
      </c>
      <c r="AL202" s="684">
        <f>IF(終値!A202="","",IF(AND(高値!P202&gt;高値!O202,高値!P202&gt;高値!N202,高値!P202&gt;高値!Q202,高値!P202&gt;高値!R202),11,""))</f>
      </c>
      <c r="AM202" s="684">
        <f>IF(終値!A202="","",IF(AND(高値!Q202&gt;高値!P202,高値!Q202&gt;高値!O202,高値!Q202&gt;高値!R202,高値!Q202&gt;高値!S202),12,""))</f>
      </c>
      <c r="AN202" s="684">
        <f>IF(終値!A202="","",IF(AND(高値!R202&gt;高値!Q202,高値!R202&gt;高値!P202,高値!R202&gt;高値!S202,高値!R202&gt;高値!T202),13,""))</f>
      </c>
      <c r="AO202" s="684">
        <f>IF(終値!A202="","",IF(AND(高値!S202&gt;高値!R202,高値!S202&gt;高値!Q202,高値!S202&gt;高値!T202,高値!S202&gt;高値!U202),14,""))</f>
      </c>
      <c r="AP202" s="684">
        <f>IF(終値!A202="","",IF(AND(高値!T202&gt;高値!S202,高値!T202&gt;高値!R202,高値!T202&gt;高値!U202,高値!T202&gt;高値!V202),15,""))</f>
      </c>
      <c r="AQ202" s="684">
        <f>IF(終値!A202="","",IF(AND(高値!U202&gt;高値!T202,高値!U202&gt;高値!S202,高値!U202&gt;高値!V202,高値!U202&gt;高値!W202),16,""))</f>
      </c>
      <c r="AR202" s="684">
        <f>IF(終値!A202="","",IF(AND(高値!V202&gt;高値!U202,高値!V202&gt;高値!T202,高値!V202&gt;高値!W202,高値!V202&gt;高値!X202),17,""))</f>
      </c>
      <c r="AS202" s="684">
        <f>IF(終値!A202="","",IF(AND(高値!W202&gt;高値!V202,高値!W202&gt;高値!U202,高値!W202&gt;高値!X202,高値!W202&gt;高値!Y202),18,""))</f>
      </c>
      <c r="AT202" s="684">
        <f>IF(終値!A202="","",IF(AND(高値!X202&gt;高値!W202,高値!X202&gt;高値!V202,高値!X202&gt;高値!Y202,高値!X202&gt;高値!Z202),19,""))</f>
      </c>
      <c r="AU202" s="684">
        <f>IF(終値!A202="","",IF(AND(高値!Y202&gt;高値!X202,高値!Y202&gt;高値!W202,高値!Y202&gt;高値!Z202,高値!Y202&gt;高値!AA202),20,""))</f>
      </c>
      <c r="AV202" s="684">
        <f>IF(終値!A202="","",IF(AND(高値!Z202&gt;高値!Y202,高値!Z202&gt;高値!X202,高値!Z202&gt;高値!AA202,高値!Z202&gt;高値!AB202),21,""))</f>
      </c>
      <c r="AW202" s="684">
        <f>IF(終値!A202="","",IF(AND(高値!AA202&gt;高値!Z202,高値!AA202&gt;高値!Y202,高値!AA202&gt;高値!AB202,高値!AA202&gt;高値!AC202),22,""))</f>
      </c>
      <c r="AX202" s="684">
        <f>IF(終値!A202="","",IF(AND(高値!AB202&gt;高値!AA202,高値!AB202&gt;高値!Z202,高値!AB202&gt;高値!AC202,高値!AB202&gt;高値!AD202),23,""))</f>
      </c>
      <c r="AY202" s="684">
        <f>IF(終値!A202="","",IF(AND(高値!AC202&gt;高値!AB202,高値!AC202&gt;高値!AA202,高値!AC202&gt;高値!AD202,高値!AC202&gt;高値!AE202),24,""))</f>
      </c>
      <c r="AZ202" s="684">
        <f>IF(終値!A202="","",IF(AND(高値!AD202&gt;高値!AC202,高値!AD202&gt;高値!AB202,高値!AD202&gt;高値!AE202,高値!AD202&gt;高値!AF202),25,""))</f>
      </c>
      <c r="BA202" s="684">
        <f>IF(終値!A202="","",IF(AND(高値!AE202&gt;高値!AD202,高値!AE202&gt;高値!AC202,高値!AE202&gt;高値!AF202,高値!AE202&gt;高値!AG202),26,""))</f>
      </c>
      <c r="BB202" s="684">
        <f>IF(終値!A202="","",IF(AND(高値!AF202&gt;高値!AE202,高値!AF202&gt;高値!AD202,高値!AF202&gt;高値!AG202,高値!AF202&gt;高値!AH202),27,""))</f>
      </c>
      <c r="BC202" s="684">
        <f>IF(終値!A202="","",IF(AND(高値!AG202&gt;高値!AF202,高値!AG202&gt;高値!AE202,高値!AG202&gt;高値!AH202,高値!AG202&gt;高値!AI202),28,""))</f>
      </c>
      <c r="BD202" s="684">
        <f>COUNT($B202:$AB202)</f>
      </c>
      <c r="BE202" s="684">
        <f>IF($BD202&gt;=2,MIN($B202:$AB202),"")</f>
      </c>
      <c r="BF202" s="684">
        <f>IF($BD202&gt;=2,SMALL($B202:$AB202,2),"")</f>
      </c>
      <c r="BG202" s="684">
        <f>IF($BE202="","",INDEX(安値!$E202:$CZ202,1,$BE202+1))</f>
      </c>
      <c r="BH202" s="684">
        <f>IF($BF202="","",INDEX(安値!$E202:$CZ202,1,$BF202+1))</f>
      </c>
      <c r="BI202" s="684">
        <f>IF($BF202="","",MAX(INDEX(高値!$E202:$CZ202,1,$BE202+1):INDEX(高値!$E202:$CZ202,1,$BF202+1)))</f>
      </c>
      <c r="BJ202" s="684">
        <f>IF($BF202="","",AVERAGE(INDEX(終値!$E202:$CZ202,1,$BF202+1):INDEX(終値!$E202:$CZ202,1,$BF202+20))-2*STDEVP(INDEX(終値!$E202:$CZ202,1,$BF202+1):INDEX(終値!$E202:$CZ202,1,$BF202+20)))</f>
      </c>
      <c r="BK202" s="684">
        <f>IF($BE202="","",AVERAGE(INDEX(終値!$E202:$CZ202,1,$BE202+1):INDEX(終値!$E202:$CZ202,1,$BE202+20))-2*STDEVP(INDEX(終値!$E202:$CZ202,1,$BE202+1):INDEX(終値!$E202:$CZ202,1,$BE202+20)))</f>
      </c>
      <c r="BL202" s="684">
        <f>COUNT($AC202:$BC202)</f>
      </c>
      <c r="BM202" s="684">
        <f>IF($BL202&gt;=2,MIN($AC202:$BC202),"")</f>
      </c>
      <c r="BN202" s="684">
        <f>IF($BL202&gt;=2,SMALL($AC202:$BC202,2),"")</f>
      </c>
      <c r="BO202" s="684">
        <f>IF($BM202="","",INDEX(高値!$E202:$CZ202,1,$BM202+1))</f>
      </c>
      <c r="BP202" s="684">
        <f>IF($BN202="","",INDEX(高値!$E202:$CZ202,1,$BN202+1))</f>
      </c>
      <c r="BQ202" s="684">
        <f>IF($BN202="","",MIN(INDEX(安値!$E202:$CZ202,1,$BM202+1):INDEX(安値!$E202:$CZ202,1,$BN202+1)))</f>
      </c>
      <c r="BR202" s="684">
        <f>IF($BN202="","",AVERAGE(INDEX(終値!$E202:$CZ202,1,$BN202+1):INDEX(終値!$E202:$CZ202,1,$BN202+20))+2*STDEVP(INDEX(終値!$E202:$CZ202,1,$BN202+1):INDEX(終値!$E202:$CZ202,1,$BN202+20)))</f>
      </c>
      <c r="BS202" s="684">
        <f>IF($BM202="","",AVERAGE(INDEX(終値!$E202:$CZ202,1,$BM202+1):INDEX(終値!$E202:$CZ202,1,$BM202+20))+2*STDEVP(INDEX(終値!$E202:$CZ202,1,$BM202+1):INDEX(終値!$E202:$CZ202,1,$BM202+20)))</f>
      </c>
      <c r="BT202" s="681">
        <f>IFERROR(IF(AND($BD202&gt;=2,ABS($BG202-$BH202)/$BH202&lt;=BB設定!$B$12,$BI202&gt;=MAX($BH202,$BG202)*(1+BB設定!$B$13),終値!E202&gt;$BG202),IF(OR(終値!E202&gt;=$BI202,AND($BH202&lt;$BJ202,$BG202&gt;=$BK202)),"二番底W▲","二番底W形成"),IF(AND($BL202&gt;=2,ABS($BO202-$BP202)/$BP202&lt;=BB設定!$B$12,$BQ202&lt;=MIN($BP202,$BO202)*(1-BB設定!$B$13),終値!E202&lt;$BO202),IF(OR(終値!E202&lt;=$BQ202,AND($BP202&gt;$BR202,$BO202&lt;=$BS202)),"二番天井M▼","二番天井M形成"),"－")),"－")</f>
      </c>
    </row>
    <row r="203">
      <c r="B203" s="684">
        <f>IF(終値!A203="","",IF(AND(安値!G203&lt;安値!F203,安値!G203&lt;安値!E203,安値!G203&lt;安値!H203,安値!G203&lt;安値!I203),2,""))</f>
      </c>
      <c r="C203" s="684">
        <f>IF(終値!A203="","",IF(AND(安値!H203&lt;安値!G203,安値!H203&lt;安値!F203,安値!H203&lt;安値!I203,安値!H203&lt;安値!J203),3,""))</f>
      </c>
      <c r="D203" s="684">
        <f>IF(終値!A203="","",IF(AND(安値!I203&lt;安値!H203,安値!I203&lt;安値!G203,安値!I203&lt;安値!J203,安値!I203&lt;安値!K203),4,""))</f>
      </c>
      <c r="E203" s="684">
        <f>IF(終値!A203="","",IF(AND(安値!J203&lt;安値!I203,安値!J203&lt;安値!H203,安値!J203&lt;安値!K203,安値!J203&lt;安値!L203),5,""))</f>
      </c>
      <c r="F203" s="684">
        <f>IF(終値!A203="","",IF(AND(安値!K203&lt;安値!J203,安値!K203&lt;安値!I203,安値!K203&lt;安値!L203,安値!K203&lt;安値!M203),6,""))</f>
      </c>
      <c r="G203" s="684">
        <f>IF(終値!A203="","",IF(AND(安値!L203&lt;安値!K203,安値!L203&lt;安値!J203,安値!L203&lt;安値!M203,安値!L203&lt;安値!N203),7,""))</f>
      </c>
      <c r="H203" s="684">
        <f>IF(終値!A203="","",IF(AND(安値!M203&lt;安値!L203,安値!M203&lt;安値!K203,安値!M203&lt;安値!N203,安値!M203&lt;安値!O203),8,""))</f>
      </c>
      <c r="I203" s="684">
        <f>IF(終値!A203="","",IF(AND(安値!N203&lt;安値!M203,安値!N203&lt;安値!L203,安値!N203&lt;安値!O203,安値!N203&lt;安値!P203),9,""))</f>
      </c>
      <c r="J203" s="684">
        <f>IF(終値!A203="","",IF(AND(安値!O203&lt;安値!N203,安値!O203&lt;安値!M203,安値!O203&lt;安値!P203,安値!O203&lt;安値!Q203),10,""))</f>
      </c>
      <c r="K203" s="684">
        <f>IF(終値!A203="","",IF(AND(安値!P203&lt;安値!O203,安値!P203&lt;安値!N203,安値!P203&lt;安値!Q203,安値!P203&lt;安値!R203),11,""))</f>
      </c>
      <c r="L203" s="684">
        <f>IF(終値!A203="","",IF(AND(安値!Q203&lt;安値!P203,安値!Q203&lt;安値!O203,安値!Q203&lt;安値!R203,安値!Q203&lt;安値!S203),12,""))</f>
      </c>
      <c r="M203" s="684">
        <f>IF(終値!A203="","",IF(AND(安値!R203&lt;安値!Q203,安値!R203&lt;安値!P203,安値!R203&lt;安値!S203,安値!R203&lt;安値!T203),13,""))</f>
      </c>
      <c r="N203" s="684">
        <f>IF(終値!A203="","",IF(AND(安値!S203&lt;安値!R203,安値!S203&lt;安値!Q203,安値!S203&lt;安値!T203,安値!S203&lt;安値!U203),14,""))</f>
      </c>
      <c r="O203" s="684">
        <f>IF(終値!A203="","",IF(AND(安値!T203&lt;安値!S203,安値!T203&lt;安値!R203,安値!T203&lt;安値!U203,安値!T203&lt;安値!V203),15,""))</f>
      </c>
      <c r="P203" s="684">
        <f>IF(終値!A203="","",IF(AND(安値!U203&lt;安値!T203,安値!U203&lt;安値!S203,安値!U203&lt;安値!V203,安値!U203&lt;安値!W203),16,""))</f>
      </c>
      <c r="Q203" s="684">
        <f>IF(終値!A203="","",IF(AND(安値!V203&lt;安値!U203,安値!V203&lt;安値!T203,安値!V203&lt;安値!W203,安値!V203&lt;安値!X203),17,""))</f>
      </c>
      <c r="R203" s="684">
        <f>IF(終値!A203="","",IF(AND(安値!W203&lt;安値!V203,安値!W203&lt;安値!U203,安値!W203&lt;安値!X203,安値!W203&lt;安値!Y203),18,""))</f>
      </c>
      <c r="S203" s="684">
        <f>IF(終値!A203="","",IF(AND(安値!X203&lt;安値!W203,安値!X203&lt;安値!V203,安値!X203&lt;安値!Y203,安値!X203&lt;安値!Z203),19,""))</f>
      </c>
      <c r="T203" s="684">
        <f>IF(終値!A203="","",IF(AND(安値!Y203&lt;安値!X203,安値!Y203&lt;安値!W203,安値!Y203&lt;安値!Z203,安値!Y203&lt;安値!AA203),20,""))</f>
      </c>
      <c r="U203" s="684">
        <f>IF(終値!A203="","",IF(AND(安値!Z203&lt;安値!Y203,安値!Z203&lt;安値!X203,安値!Z203&lt;安値!AA203,安値!Z203&lt;安値!AB203),21,""))</f>
      </c>
      <c r="V203" s="684">
        <f>IF(終値!A203="","",IF(AND(安値!AA203&lt;安値!Z203,安値!AA203&lt;安値!Y203,安値!AA203&lt;安値!AB203,安値!AA203&lt;安値!AC203),22,""))</f>
      </c>
      <c r="W203" s="684">
        <f>IF(終値!A203="","",IF(AND(安値!AB203&lt;安値!AA203,安値!AB203&lt;安値!Z203,安値!AB203&lt;安値!AC203,安値!AB203&lt;安値!AD203),23,""))</f>
      </c>
      <c r="X203" s="684">
        <f>IF(終値!A203="","",IF(AND(安値!AC203&lt;安値!AB203,安値!AC203&lt;安値!AA203,安値!AC203&lt;安値!AD203,安値!AC203&lt;安値!AE203),24,""))</f>
      </c>
      <c r="Y203" s="684">
        <f>IF(終値!A203="","",IF(AND(安値!AD203&lt;安値!AC203,安値!AD203&lt;安値!AB203,安値!AD203&lt;安値!AE203,安値!AD203&lt;安値!AF203),25,""))</f>
      </c>
      <c r="Z203" s="684">
        <f>IF(終値!A203="","",IF(AND(安値!AE203&lt;安値!AD203,安値!AE203&lt;安値!AC203,安値!AE203&lt;安値!AF203,安値!AE203&lt;安値!AG203),26,""))</f>
      </c>
      <c r="AA203" s="684">
        <f>IF(終値!A203="","",IF(AND(安値!AF203&lt;安値!AE203,安値!AF203&lt;安値!AD203,安値!AF203&lt;安値!AG203,安値!AF203&lt;安値!AH203),27,""))</f>
      </c>
      <c r="AB203" s="684">
        <f>IF(終値!A203="","",IF(AND(安値!AG203&lt;安値!AF203,安値!AG203&lt;安値!AE203,安値!AG203&lt;安値!AH203,安値!AG203&lt;安値!AI203),28,""))</f>
      </c>
      <c r="AC203" s="684">
        <f>IF(終値!A203="","",IF(AND(高値!G203&gt;高値!F203,高値!G203&gt;高値!E203,高値!G203&gt;高値!H203,高値!G203&gt;高値!I203),2,""))</f>
      </c>
      <c r="AD203" s="684">
        <f>IF(終値!A203="","",IF(AND(高値!H203&gt;高値!G203,高値!H203&gt;高値!F203,高値!H203&gt;高値!I203,高値!H203&gt;高値!J203),3,""))</f>
      </c>
      <c r="AE203" s="684">
        <f>IF(終値!A203="","",IF(AND(高値!I203&gt;高値!H203,高値!I203&gt;高値!G203,高値!I203&gt;高値!J203,高値!I203&gt;高値!K203),4,""))</f>
      </c>
      <c r="AF203" s="684">
        <f>IF(終値!A203="","",IF(AND(高値!J203&gt;高値!I203,高値!J203&gt;高値!H203,高値!J203&gt;高値!K203,高値!J203&gt;高値!L203),5,""))</f>
      </c>
      <c r="AG203" s="684">
        <f>IF(終値!A203="","",IF(AND(高値!K203&gt;高値!J203,高値!K203&gt;高値!I203,高値!K203&gt;高値!L203,高値!K203&gt;高値!M203),6,""))</f>
      </c>
      <c r="AH203" s="684">
        <f>IF(終値!A203="","",IF(AND(高値!L203&gt;高値!K203,高値!L203&gt;高値!J203,高値!L203&gt;高値!M203,高値!L203&gt;高値!N203),7,""))</f>
      </c>
      <c r="AI203" s="684">
        <f>IF(終値!A203="","",IF(AND(高値!M203&gt;高値!L203,高値!M203&gt;高値!K203,高値!M203&gt;高値!N203,高値!M203&gt;高値!O203),8,""))</f>
      </c>
      <c r="AJ203" s="684">
        <f>IF(終値!A203="","",IF(AND(高値!N203&gt;高値!M203,高値!N203&gt;高値!L203,高値!N203&gt;高値!O203,高値!N203&gt;高値!P203),9,""))</f>
      </c>
      <c r="AK203" s="684">
        <f>IF(終値!A203="","",IF(AND(高値!O203&gt;高値!N203,高値!O203&gt;高値!M203,高値!O203&gt;高値!P203,高値!O203&gt;高値!Q203),10,""))</f>
      </c>
      <c r="AL203" s="684">
        <f>IF(終値!A203="","",IF(AND(高値!P203&gt;高値!O203,高値!P203&gt;高値!N203,高値!P203&gt;高値!Q203,高値!P203&gt;高値!R203),11,""))</f>
      </c>
      <c r="AM203" s="684">
        <f>IF(終値!A203="","",IF(AND(高値!Q203&gt;高値!P203,高値!Q203&gt;高値!O203,高値!Q203&gt;高値!R203,高値!Q203&gt;高値!S203),12,""))</f>
      </c>
      <c r="AN203" s="684">
        <f>IF(終値!A203="","",IF(AND(高値!R203&gt;高値!Q203,高値!R203&gt;高値!P203,高値!R203&gt;高値!S203,高値!R203&gt;高値!T203),13,""))</f>
      </c>
      <c r="AO203" s="684">
        <f>IF(終値!A203="","",IF(AND(高値!S203&gt;高値!R203,高値!S203&gt;高値!Q203,高値!S203&gt;高値!T203,高値!S203&gt;高値!U203),14,""))</f>
      </c>
      <c r="AP203" s="684">
        <f>IF(終値!A203="","",IF(AND(高値!T203&gt;高値!S203,高値!T203&gt;高値!R203,高値!T203&gt;高値!U203,高値!T203&gt;高値!V203),15,""))</f>
      </c>
      <c r="AQ203" s="684">
        <f>IF(終値!A203="","",IF(AND(高値!U203&gt;高値!T203,高値!U203&gt;高値!S203,高値!U203&gt;高値!V203,高値!U203&gt;高値!W203),16,""))</f>
      </c>
      <c r="AR203" s="684">
        <f>IF(終値!A203="","",IF(AND(高値!V203&gt;高値!U203,高値!V203&gt;高値!T203,高値!V203&gt;高値!W203,高値!V203&gt;高値!X203),17,""))</f>
      </c>
      <c r="AS203" s="684">
        <f>IF(終値!A203="","",IF(AND(高値!W203&gt;高値!V203,高値!W203&gt;高値!U203,高値!W203&gt;高値!X203,高値!W203&gt;高値!Y203),18,""))</f>
      </c>
      <c r="AT203" s="684">
        <f>IF(終値!A203="","",IF(AND(高値!X203&gt;高値!W203,高値!X203&gt;高値!V203,高値!X203&gt;高値!Y203,高値!X203&gt;高値!Z203),19,""))</f>
      </c>
      <c r="AU203" s="684">
        <f>IF(終値!A203="","",IF(AND(高値!Y203&gt;高値!X203,高値!Y203&gt;高値!W203,高値!Y203&gt;高値!Z203,高値!Y203&gt;高値!AA203),20,""))</f>
      </c>
      <c r="AV203" s="684">
        <f>IF(終値!A203="","",IF(AND(高値!Z203&gt;高値!Y203,高値!Z203&gt;高値!X203,高値!Z203&gt;高値!AA203,高値!Z203&gt;高値!AB203),21,""))</f>
      </c>
      <c r="AW203" s="684">
        <f>IF(終値!A203="","",IF(AND(高値!AA203&gt;高値!Z203,高値!AA203&gt;高値!Y203,高値!AA203&gt;高値!AB203,高値!AA203&gt;高値!AC203),22,""))</f>
      </c>
      <c r="AX203" s="684">
        <f>IF(終値!A203="","",IF(AND(高値!AB203&gt;高値!AA203,高値!AB203&gt;高値!Z203,高値!AB203&gt;高値!AC203,高値!AB203&gt;高値!AD203),23,""))</f>
      </c>
      <c r="AY203" s="684">
        <f>IF(終値!A203="","",IF(AND(高値!AC203&gt;高値!AB203,高値!AC203&gt;高値!AA203,高値!AC203&gt;高値!AD203,高値!AC203&gt;高値!AE203),24,""))</f>
      </c>
      <c r="AZ203" s="684">
        <f>IF(終値!A203="","",IF(AND(高値!AD203&gt;高値!AC203,高値!AD203&gt;高値!AB203,高値!AD203&gt;高値!AE203,高値!AD203&gt;高値!AF203),25,""))</f>
      </c>
      <c r="BA203" s="684">
        <f>IF(終値!A203="","",IF(AND(高値!AE203&gt;高値!AD203,高値!AE203&gt;高値!AC203,高値!AE203&gt;高値!AF203,高値!AE203&gt;高値!AG203),26,""))</f>
      </c>
      <c r="BB203" s="684">
        <f>IF(終値!A203="","",IF(AND(高値!AF203&gt;高値!AE203,高値!AF203&gt;高値!AD203,高値!AF203&gt;高値!AG203,高値!AF203&gt;高値!AH203),27,""))</f>
      </c>
      <c r="BC203" s="684">
        <f>IF(終値!A203="","",IF(AND(高値!AG203&gt;高値!AF203,高値!AG203&gt;高値!AE203,高値!AG203&gt;高値!AH203,高値!AG203&gt;高値!AI203),28,""))</f>
      </c>
      <c r="BD203" s="684">
        <f>COUNT($B203:$AB203)</f>
      </c>
      <c r="BE203" s="684">
        <f>IF($BD203&gt;=2,MIN($B203:$AB203),"")</f>
      </c>
      <c r="BF203" s="684">
        <f>IF($BD203&gt;=2,SMALL($B203:$AB203,2),"")</f>
      </c>
      <c r="BG203" s="684">
        <f>IF($BE203="","",INDEX(安値!$E203:$CZ203,1,$BE203+1))</f>
      </c>
      <c r="BH203" s="684">
        <f>IF($BF203="","",INDEX(安値!$E203:$CZ203,1,$BF203+1))</f>
      </c>
      <c r="BI203" s="684">
        <f>IF($BF203="","",MAX(INDEX(高値!$E203:$CZ203,1,$BE203+1):INDEX(高値!$E203:$CZ203,1,$BF203+1)))</f>
      </c>
      <c r="BJ203" s="684">
        <f>IF($BF203="","",AVERAGE(INDEX(終値!$E203:$CZ203,1,$BF203+1):INDEX(終値!$E203:$CZ203,1,$BF203+20))-2*STDEVP(INDEX(終値!$E203:$CZ203,1,$BF203+1):INDEX(終値!$E203:$CZ203,1,$BF203+20)))</f>
      </c>
      <c r="BK203" s="684">
        <f>IF($BE203="","",AVERAGE(INDEX(終値!$E203:$CZ203,1,$BE203+1):INDEX(終値!$E203:$CZ203,1,$BE203+20))-2*STDEVP(INDEX(終値!$E203:$CZ203,1,$BE203+1):INDEX(終値!$E203:$CZ203,1,$BE203+20)))</f>
      </c>
      <c r="BL203" s="684">
        <f>COUNT($AC203:$BC203)</f>
      </c>
      <c r="BM203" s="684">
        <f>IF($BL203&gt;=2,MIN($AC203:$BC203),"")</f>
      </c>
      <c r="BN203" s="684">
        <f>IF($BL203&gt;=2,SMALL($AC203:$BC203,2),"")</f>
      </c>
      <c r="BO203" s="684">
        <f>IF($BM203="","",INDEX(高値!$E203:$CZ203,1,$BM203+1))</f>
      </c>
      <c r="BP203" s="684">
        <f>IF($BN203="","",INDEX(高値!$E203:$CZ203,1,$BN203+1))</f>
      </c>
      <c r="BQ203" s="684">
        <f>IF($BN203="","",MIN(INDEX(安値!$E203:$CZ203,1,$BM203+1):INDEX(安値!$E203:$CZ203,1,$BN203+1)))</f>
      </c>
      <c r="BR203" s="684">
        <f>IF($BN203="","",AVERAGE(INDEX(終値!$E203:$CZ203,1,$BN203+1):INDEX(終値!$E203:$CZ203,1,$BN203+20))+2*STDEVP(INDEX(終値!$E203:$CZ203,1,$BN203+1):INDEX(終値!$E203:$CZ203,1,$BN203+20)))</f>
      </c>
      <c r="BS203" s="684">
        <f>IF($BM203="","",AVERAGE(INDEX(終値!$E203:$CZ203,1,$BM203+1):INDEX(終値!$E203:$CZ203,1,$BM203+20))+2*STDEVP(INDEX(終値!$E203:$CZ203,1,$BM203+1):INDEX(終値!$E203:$CZ203,1,$BM203+20)))</f>
      </c>
      <c r="BT203" s="681">
        <f>IFERROR(IF(AND($BD203&gt;=2,ABS($BG203-$BH203)/$BH203&lt;=BB設定!$B$12,$BI203&gt;=MAX($BH203,$BG203)*(1+BB設定!$B$13),終値!E203&gt;$BG203),IF(OR(終値!E203&gt;=$BI203,AND($BH203&lt;$BJ203,$BG203&gt;=$BK203)),"二番底W▲","二番底W形成"),IF(AND($BL203&gt;=2,ABS($BO203-$BP203)/$BP203&lt;=BB設定!$B$12,$BQ203&lt;=MIN($BP203,$BO203)*(1-BB設定!$B$13),終値!E203&lt;$BO203),IF(OR(終値!E203&lt;=$BQ203,AND($BP203&gt;$BR203,$BO203&lt;=$BS203)),"二番天井M▼","二番天井M形成"),"－")),"－")</f>
      </c>
    </row>
    <row r="204">
      <c r="B204" s="684">
        <f>IF(終値!A204="","",IF(AND(安値!G204&lt;安値!F204,安値!G204&lt;安値!E204,安値!G204&lt;安値!H204,安値!G204&lt;安値!I204),2,""))</f>
      </c>
      <c r="C204" s="684">
        <f>IF(終値!A204="","",IF(AND(安値!H204&lt;安値!G204,安値!H204&lt;安値!F204,安値!H204&lt;安値!I204,安値!H204&lt;安値!J204),3,""))</f>
      </c>
      <c r="D204" s="684">
        <f>IF(終値!A204="","",IF(AND(安値!I204&lt;安値!H204,安値!I204&lt;安値!G204,安値!I204&lt;安値!J204,安値!I204&lt;安値!K204),4,""))</f>
      </c>
      <c r="E204" s="684">
        <f>IF(終値!A204="","",IF(AND(安値!J204&lt;安値!I204,安値!J204&lt;安値!H204,安値!J204&lt;安値!K204,安値!J204&lt;安値!L204),5,""))</f>
      </c>
      <c r="F204" s="684">
        <f>IF(終値!A204="","",IF(AND(安値!K204&lt;安値!J204,安値!K204&lt;安値!I204,安値!K204&lt;安値!L204,安値!K204&lt;安値!M204),6,""))</f>
      </c>
      <c r="G204" s="684">
        <f>IF(終値!A204="","",IF(AND(安値!L204&lt;安値!K204,安値!L204&lt;安値!J204,安値!L204&lt;安値!M204,安値!L204&lt;安値!N204),7,""))</f>
      </c>
      <c r="H204" s="684">
        <f>IF(終値!A204="","",IF(AND(安値!M204&lt;安値!L204,安値!M204&lt;安値!K204,安値!M204&lt;安値!N204,安値!M204&lt;安値!O204),8,""))</f>
      </c>
      <c r="I204" s="684">
        <f>IF(終値!A204="","",IF(AND(安値!N204&lt;安値!M204,安値!N204&lt;安値!L204,安値!N204&lt;安値!O204,安値!N204&lt;安値!P204),9,""))</f>
      </c>
      <c r="J204" s="684">
        <f>IF(終値!A204="","",IF(AND(安値!O204&lt;安値!N204,安値!O204&lt;安値!M204,安値!O204&lt;安値!P204,安値!O204&lt;安値!Q204),10,""))</f>
      </c>
      <c r="K204" s="684">
        <f>IF(終値!A204="","",IF(AND(安値!P204&lt;安値!O204,安値!P204&lt;安値!N204,安値!P204&lt;安値!Q204,安値!P204&lt;安値!R204),11,""))</f>
      </c>
      <c r="L204" s="684">
        <f>IF(終値!A204="","",IF(AND(安値!Q204&lt;安値!P204,安値!Q204&lt;安値!O204,安値!Q204&lt;安値!R204,安値!Q204&lt;安値!S204),12,""))</f>
      </c>
      <c r="M204" s="684">
        <f>IF(終値!A204="","",IF(AND(安値!R204&lt;安値!Q204,安値!R204&lt;安値!P204,安値!R204&lt;安値!S204,安値!R204&lt;安値!T204),13,""))</f>
      </c>
      <c r="N204" s="684">
        <f>IF(終値!A204="","",IF(AND(安値!S204&lt;安値!R204,安値!S204&lt;安値!Q204,安値!S204&lt;安値!T204,安値!S204&lt;安値!U204),14,""))</f>
      </c>
      <c r="O204" s="684">
        <f>IF(終値!A204="","",IF(AND(安値!T204&lt;安値!S204,安値!T204&lt;安値!R204,安値!T204&lt;安値!U204,安値!T204&lt;安値!V204),15,""))</f>
      </c>
      <c r="P204" s="684">
        <f>IF(終値!A204="","",IF(AND(安値!U204&lt;安値!T204,安値!U204&lt;安値!S204,安値!U204&lt;安値!V204,安値!U204&lt;安値!W204),16,""))</f>
      </c>
      <c r="Q204" s="684">
        <f>IF(終値!A204="","",IF(AND(安値!V204&lt;安値!U204,安値!V204&lt;安値!T204,安値!V204&lt;安値!W204,安値!V204&lt;安値!X204),17,""))</f>
      </c>
      <c r="R204" s="684">
        <f>IF(終値!A204="","",IF(AND(安値!W204&lt;安値!V204,安値!W204&lt;安値!U204,安値!W204&lt;安値!X204,安値!W204&lt;安値!Y204),18,""))</f>
      </c>
      <c r="S204" s="684">
        <f>IF(終値!A204="","",IF(AND(安値!X204&lt;安値!W204,安値!X204&lt;安値!V204,安値!X204&lt;安値!Y204,安値!X204&lt;安値!Z204),19,""))</f>
      </c>
      <c r="T204" s="684">
        <f>IF(終値!A204="","",IF(AND(安値!Y204&lt;安値!X204,安値!Y204&lt;安値!W204,安値!Y204&lt;安値!Z204,安値!Y204&lt;安値!AA204),20,""))</f>
      </c>
      <c r="U204" s="684">
        <f>IF(終値!A204="","",IF(AND(安値!Z204&lt;安値!Y204,安値!Z204&lt;安値!X204,安値!Z204&lt;安値!AA204,安値!Z204&lt;安値!AB204),21,""))</f>
      </c>
      <c r="V204" s="684">
        <f>IF(終値!A204="","",IF(AND(安値!AA204&lt;安値!Z204,安値!AA204&lt;安値!Y204,安値!AA204&lt;安値!AB204,安値!AA204&lt;安値!AC204),22,""))</f>
      </c>
      <c r="W204" s="684">
        <f>IF(終値!A204="","",IF(AND(安値!AB204&lt;安値!AA204,安値!AB204&lt;安値!Z204,安値!AB204&lt;安値!AC204,安値!AB204&lt;安値!AD204),23,""))</f>
      </c>
      <c r="X204" s="684">
        <f>IF(終値!A204="","",IF(AND(安値!AC204&lt;安値!AB204,安値!AC204&lt;安値!AA204,安値!AC204&lt;安値!AD204,安値!AC204&lt;安値!AE204),24,""))</f>
      </c>
      <c r="Y204" s="684">
        <f>IF(終値!A204="","",IF(AND(安値!AD204&lt;安値!AC204,安値!AD204&lt;安値!AB204,安値!AD204&lt;安値!AE204,安値!AD204&lt;安値!AF204),25,""))</f>
      </c>
      <c r="Z204" s="684">
        <f>IF(終値!A204="","",IF(AND(安値!AE204&lt;安値!AD204,安値!AE204&lt;安値!AC204,安値!AE204&lt;安値!AF204,安値!AE204&lt;安値!AG204),26,""))</f>
      </c>
      <c r="AA204" s="684">
        <f>IF(終値!A204="","",IF(AND(安値!AF204&lt;安値!AE204,安値!AF204&lt;安値!AD204,安値!AF204&lt;安値!AG204,安値!AF204&lt;安値!AH204),27,""))</f>
      </c>
      <c r="AB204" s="684">
        <f>IF(終値!A204="","",IF(AND(安値!AG204&lt;安値!AF204,安値!AG204&lt;安値!AE204,安値!AG204&lt;安値!AH204,安値!AG204&lt;安値!AI204),28,""))</f>
      </c>
      <c r="AC204" s="684">
        <f>IF(終値!A204="","",IF(AND(高値!G204&gt;高値!F204,高値!G204&gt;高値!E204,高値!G204&gt;高値!H204,高値!G204&gt;高値!I204),2,""))</f>
      </c>
      <c r="AD204" s="684">
        <f>IF(終値!A204="","",IF(AND(高値!H204&gt;高値!G204,高値!H204&gt;高値!F204,高値!H204&gt;高値!I204,高値!H204&gt;高値!J204),3,""))</f>
      </c>
      <c r="AE204" s="684">
        <f>IF(終値!A204="","",IF(AND(高値!I204&gt;高値!H204,高値!I204&gt;高値!G204,高値!I204&gt;高値!J204,高値!I204&gt;高値!K204),4,""))</f>
      </c>
      <c r="AF204" s="684">
        <f>IF(終値!A204="","",IF(AND(高値!J204&gt;高値!I204,高値!J204&gt;高値!H204,高値!J204&gt;高値!K204,高値!J204&gt;高値!L204),5,""))</f>
      </c>
      <c r="AG204" s="684">
        <f>IF(終値!A204="","",IF(AND(高値!K204&gt;高値!J204,高値!K204&gt;高値!I204,高値!K204&gt;高値!L204,高値!K204&gt;高値!M204),6,""))</f>
      </c>
      <c r="AH204" s="684">
        <f>IF(終値!A204="","",IF(AND(高値!L204&gt;高値!K204,高値!L204&gt;高値!J204,高値!L204&gt;高値!M204,高値!L204&gt;高値!N204),7,""))</f>
      </c>
      <c r="AI204" s="684">
        <f>IF(終値!A204="","",IF(AND(高値!M204&gt;高値!L204,高値!M204&gt;高値!K204,高値!M204&gt;高値!N204,高値!M204&gt;高値!O204),8,""))</f>
      </c>
      <c r="AJ204" s="684">
        <f>IF(終値!A204="","",IF(AND(高値!N204&gt;高値!M204,高値!N204&gt;高値!L204,高値!N204&gt;高値!O204,高値!N204&gt;高値!P204),9,""))</f>
      </c>
      <c r="AK204" s="684">
        <f>IF(終値!A204="","",IF(AND(高値!O204&gt;高値!N204,高値!O204&gt;高値!M204,高値!O204&gt;高値!P204,高値!O204&gt;高値!Q204),10,""))</f>
      </c>
      <c r="AL204" s="684">
        <f>IF(終値!A204="","",IF(AND(高値!P204&gt;高値!O204,高値!P204&gt;高値!N204,高値!P204&gt;高値!Q204,高値!P204&gt;高値!R204),11,""))</f>
      </c>
      <c r="AM204" s="684">
        <f>IF(終値!A204="","",IF(AND(高値!Q204&gt;高値!P204,高値!Q204&gt;高値!O204,高値!Q204&gt;高値!R204,高値!Q204&gt;高値!S204),12,""))</f>
      </c>
      <c r="AN204" s="684">
        <f>IF(終値!A204="","",IF(AND(高値!R204&gt;高値!Q204,高値!R204&gt;高値!P204,高値!R204&gt;高値!S204,高値!R204&gt;高値!T204),13,""))</f>
      </c>
      <c r="AO204" s="684">
        <f>IF(終値!A204="","",IF(AND(高値!S204&gt;高値!R204,高値!S204&gt;高値!Q204,高値!S204&gt;高値!T204,高値!S204&gt;高値!U204),14,""))</f>
      </c>
      <c r="AP204" s="684">
        <f>IF(終値!A204="","",IF(AND(高値!T204&gt;高値!S204,高値!T204&gt;高値!R204,高値!T204&gt;高値!U204,高値!T204&gt;高値!V204),15,""))</f>
      </c>
      <c r="AQ204" s="684">
        <f>IF(終値!A204="","",IF(AND(高値!U204&gt;高値!T204,高値!U204&gt;高値!S204,高値!U204&gt;高値!V204,高値!U204&gt;高値!W204),16,""))</f>
      </c>
      <c r="AR204" s="684">
        <f>IF(終値!A204="","",IF(AND(高値!V204&gt;高値!U204,高値!V204&gt;高値!T204,高値!V204&gt;高値!W204,高値!V204&gt;高値!X204),17,""))</f>
      </c>
      <c r="AS204" s="684">
        <f>IF(終値!A204="","",IF(AND(高値!W204&gt;高値!V204,高値!W204&gt;高値!U204,高値!W204&gt;高値!X204,高値!W204&gt;高値!Y204),18,""))</f>
      </c>
      <c r="AT204" s="684">
        <f>IF(終値!A204="","",IF(AND(高値!X204&gt;高値!W204,高値!X204&gt;高値!V204,高値!X204&gt;高値!Y204,高値!X204&gt;高値!Z204),19,""))</f>
      </c>
      <c r="AU204" s="684">
        <f>IF(終値!A204="","",IF(AND(高値!Y204&gt;高値!X204,高値!Y204&gt;高値!W204,高値!Y204&gt;高値!Z204,高値!Y204&gt;高値!AA204),20,""))</f>
      </c>
      <c r="AV204" s="684">
        <f>IF(終値!A204="","",IF(AND(高値!Z204&gt;高値!Y204,高値!Z204&gt;高値!X204,高値!Z204&gt;高値!AA204,高値!Z204&gt;高値!AB204),21,""))</f>
      </c>
      <c r="AW204" s="684">
        <f>IF(終値!A204="","",IF(AND(高値!AA204&gt;高値!Z204,高値!AA204&gt;高値!Y204,高値!AA204&gt;高値!AB204,高値!AA204&gt;高値!AC204),22,""))</f>
      </c>
      <c r="AX204" s="684">
        <f>IF(終値!A204="","",IF(AND(高値!AB204&gt;高値!AA204,高値!AB204&gt;高値!Z204,高値!AB204&gt;高値!AC204,高値!AB204&gt;高値!AD204),23,""))</f>
      </c>
      <c r="AY204" s="684">
        <f>IF(終値!A204="","",IF(AND(高値!AC204&gt;高値!AB204,高値!AC204&gt;高値!AA204,高値!AC204&gt;高値!AD204,高値!AC204&gt;高値!AE204),24,""))</f>
      </c>
      <c r="AZ204" s="684">
        <f>IF(終値!A204="","",IF(AND(高値!AD204&gt;高値!AC204,高値!AD204&gt;高値!AB204,高値!AD204&gt;高値!AE204,高値!AD204&gt;高値!AF204),25,""))</f>
      </c>
      <c r="BA204" s="684">
        <f>IF(終値!A204="","",IF(AND(高値!AE204&gt;高値!AD204,高値!AE204&gt;高値!AC204,高値!AE204&gt;高値!AF204,高値!AE204&gt;高値!AG204),26,""))</f>
      </c>
      <c r="BB204" s="684">
        <f>IF(終値!A204="","",IF(AND(高値!AF204&gt;高値!AE204,高値!AF204&gt;高値!AD204,高値!AF204&gt;高値!AG204,高値!AF204&gt;高値!AH204),27,""))</f>
      </c>
      <c r="BC204" s="684">
        <f>IF(終値!A204="","",IF(AND(高値!AG204&gt;高値!AF204,高値!AG204&gt;高値!AE204,高値!AG204&gt;高値!AH204,高値!AG204&gt;高値!AI204),28,""))</f>
      </c>
      <c r="BD204" s="684">
        <f>COUNT($B204:$AB204)</f>
      </c>
      <c r="BE204" s="684">
        <f>IF($BD204&gt;=2,MIN($B204:$AB204),"")</f>
      </c>
      <c r="BF204" s="684">
        <f>IF($BD204&gt;=2,SMALL($B204:$AB204,2),"")</f>
      </c>
      <c r="BG204" s="684">
        <f>IF($BE204="","",INDEX(安値!$E204:$CZ204,1,$BE204+1))</f>
      </c>
      <c r="BH204" s="684">
        <f>IF($BF204="","",INDEX(安値!$E204:$CZ204,1,$BF204+1))</f>
      </c>
      <c r="BI204" s="684">
        <f>IF($BF204="","",MAX(INDEX(高値!$E204:$CZ204,1,$BE204+1):INDEX(高値!$E204:$CZ204,1,$BF204+1)))</f>
      </c>
      <c r="BJ204" s="684">
        <f>IF($BF204="","",AVERAGE(INDEX(終値!$E204:$CZ204,1,$BF204+1):INDEX(終値!$E204:$CZ204,1,$BF204+20))-2*STDEVP(INDEX(終値!$E204:$CZ204,1,$BF204+1):INDEX(終値!$E204:$CZ204,1,$BF204+20)))</f>
      </c>
      <c r="BK204" s="684">
        <f>IF($BE204="","",AVERAGE(INDEX(終値!$E204:$CZ204,1,$BE204+1):INDEX(終値!$E204:$CZ204,1,$BE204+20))-2*STDEVP(INDEX(終値!$E204:$CZ204,1,$BE204+1):INDEX(終値!$E204:$CZ204,1,$BE204+20)))</f>
      </c>
      <c r="BL204" s="684">
        <f>COUNT($AC204:$BC204)</f>
      </c>
      <c r="BM204" s="684">
        <f>IF($BL204&gt;=2,MIN($AC204:$BC204),"")</f>
      </c>
      <c r="BN204" s="684">
        <f>IF($BL204&gt;=2,SMALL($AC204:$BC204,2),"")</f>
      </c>
      <c r="BO204" s="684">
        <f>IF($BM204="","",INDEX(高値!$E204:$CZ204,1,$BM204+1))</f>
      </c>
      <c r="BP204" s="684">
        <f>IF($BN204="","",INDEX(高値!$E204:$CZ204,1,$BN204+1))</f>
      </c>
      <c r="BQ204" s="684">
        <f>IF($BN204="","",MIN(INDEX(安値!$E204:$CZ204,1,$BM204+1):INDEX(安値!$E204:$CZ204,1,$BN204+1)))</f>
      </c>
      <c r="BR204" s="684">
        <f>IF($BN204="","",AVERAGE(INDEX(終値!$E204:$CZ204,1,$BN204+1):INDEX(終値!$E204:$CZ204,1,$BN204+20))+2*STDEVP(INDEX(終値!$E204:$CZ204,1,$BN204+1):INDEX(終値!$E204:$CZ204,1,$BN204+20)))</f>
      </c>
      <c r="BS204" s="684">
        <f>IF($BM204="","",AVERAGE(INDEX(終値!$E204:$CZ204,1,$BM204+1):INDEX(終値!$E204:$CZ204,1,$BM204+20))+2*STDEVP(INDEX(終値!$E204:$CZ204,1,$BM204+1):INDEX(終値!$E204:$CZ204,1,$BM204+20)))</f>
      </c>
      <c r="BT204" s="681">
        <f>IFERROR(IF(AND($BD204&gt;=2,ABS($BG204-$BH204)/$BH204&lt;=BB設定!$B$12,$BI204&gt;=MAX($BH204,$BG204)*(1+BB設定!$B$13),終値!E204&gt;$BG204),IF(OR(終値!E204&gt;=$BI204,AND($BH204&lt;$BJ204,$BG204&gt;=$BK204)),"二番底W▲","二番底W形成"),IF(AND($BL204&gt;=2,ABS($BO204-$BP204)/$BP204&lt;=BB設定!$B$12,$BQ204&lt;=MIN($BP204,$BO204)*(1-BB設定!$B$13),終値!E204&lt;$BO204),IF(OR(終値!E204&lt;=$BQ204,AND($BP204&gt;$BR204,$BO204&lt;=$BS204)),"二番天井M▼","二番天井M形成"),"－")),"－")</f>
      </c>
    </row>
    <row r="205">
      <c r="B205" s="684">
        <f>IF(終値!A205="","",IF(AND(安値!G205&lt;安値!F205,安値!G205&lt;安値!E205,安値!G205&lt;安値!H205,安値!G205&lt;安値!I205),2,""))</f>
      </c>
      <c r="C205" s="684">
        <f>IF(終値!A205="","",IF(AND(安値!H205&lt;安値!G205,安値!H205&lt;安値!F205,安値!H205&lt;安値!I205,安値!H205&lt;安値!J205),3,""))</f>
      </c>
      <c r="D205" s="684">
        <f>IF(終値!A205="","",IF(AND(安値!I205&lt;安値!H205,安値!I205&lt;安値!G205,安値!I205&lt;安値!J205,安値!I205&lt;安値!K205),4,""))</f>
      </c>
      <c r="E205" s="684">
        <f>IF(終値!A205="","",IF(AND(安値!J205&lt;安値!I205,安値!J205&lt;安値!H205,安値!J205&lt;安値!K205,安値!J205&lt;安値!L205),5,""))</f>
      </c>
      <c r="F205" s="684">
        <f>IF(終値!A205="","",IF(AND(安値!K205&lt;安値!J205,安値!K205&lt;安値!I205,安値!K205&lt;安値!L205,安値!K205&lt;安値!M205),6,""))</f>
      </c>
      <c r="G205" s="684">
        <f>IF(終値!A205="","",IF(AND(安値!L205&lt;安値!K205,安値!L205&lt;安値!J205,安値!L205&lt;安値!M205,安値!L205&lt;安値!N205),7,""))</f>
      </c>
      <c r="H205" s="684">
        <f>IF(終値!A205="","",IF(AND(安値!M205&lt;安値!L205,安値!M205&lt;安値!K205,安値!M205&lt;安値!N205,安値!M205&lt;安値!O205),8,""))</f>
      </c>
      <c r="I205" s="684">
        <f>IF(終値!A205="","",IF(AND(安値!N205&lt;安値!M205,安値!N205&lt;安値!L205,安値!N205&lt;安値!O205,安値!N205&lt;安値!P205),9,""))</f>
      </c>
      <c r="J205" s="684">
        <f>IF(終値!A205="","",IF(AND(安値!O205&lt;安値!N205,安値!O205&lt;安値!M205,安値!O205&lt;安値!P205,安値!O205&lt;安値!Q205),10,""))</f>
      </c>
      <c r="K205" s="684">
        <f>IF(終値!A205="","",IF(AND(安値!P205&lt;安値!O205,安値!P205&lt;安値!N205,安値!P205&lt;安値!Q205,安値!P205&lt;安値!R205),11,""))</f>
      </c>
      <c r="L205" s="684">
        <f>IF(終値!A205="","",IF(AND(安値!Q205&lt;安値!P205,安値!Q205&lt;安値!O205,安値!Q205&lt;安値!R205,安値!Q205&lt;安値!S205),12,""))</f>
      </c>
      <c r="M205" s="684">
        <f>IF(終値!A205="","",IF(AND(安値!R205&lt;安値!Q205,安値!R205&lt;安値!P205,安値!R205&lt;安値!S205,安値!R205&lt;安値!T205),13,""))</f>
      </c>
      <c r="N205" s="684">
        <f>IF(終値!A205="","",IF(AND(安値!S205&lt;安値!R205,安値!S205&lt;安値!Q205,安値!S205&lt;安値!T205,安値!S205&lt;安値!U205),14,""))</f>
      </c>
      <c r="O205" s="684">
        <f>IF(終値!A205="","",IF(AND(安値!T205&lt;安値!S205,安値!T205&lt;安値!R205,安値!T205&lt;安値!U205,安値!T205&lt;安値!V205),15,""))</f>
      </c>
      <c r="P205" s="684">
        <f>IF(終値!A205="","",IF(AND(安値!U205&lt;安値!T205,安値!U205&lt;安値!S205,安値!U205&lt;安値!V205,安値!U205&lt;安値!W205),16,""))</f>
      </c>
      <c r="Q205" s="684">
        <f>IF(終値!A205="","",IF(AND(安値!V205&lt;安値!U205,安値!V205&lt;安値!T205,安値!V205&lt;安値!W205,安値!V205&lt;安値!X205),17,""))</f>
      </c>
      <c r="R205" s="684">
        <f>IF(終値!A205="","",IF(AND(安値!W205&lt;安値!V205,安値!W205&lt;安値!U205,安値!W205&lt;安値!X205,安値!W205&lt;安値!Y205),18,""))</f>
      </c>
      <c r="S205" s="684">
        <f>IF(終値!A205="","",IF(AND(安値!X205&lt;安値!W205,安値!X205&lt;安値!V205,安値!X205&lt;安値!Y205,安値!X205&lt;安値!Z205),19,""))</f>
      </c>
      <c r="T205" s="684">
        <f>IF(終値!A205="","",IF(AND(安値!Y205&lt;安値!X205,安値!Y205&lt;安値!W205,安値!Y205&lt;安値!Z205,安値!Y205&lt;安値!AA205),20,""))</f>
      </c>
      <c r="U205" s="684">
        <f>IF(終値!A205="","",IF(AND(安値!Z205&lt;安値!Y205,安値!Z205&lt;安値!X205,安値!Z205&lt;安値!AA205,安値!Z205&lt;安値!AB205),21,""))</f>
      </c>
      <c r="V205" s="684">
        <f>IF(終値!A205="","",IF(AND(安値!AA205&lt;安値!Z205,安値!AA205&lt;安値!Y205,安値!AA205&lt;安値!AB205,安値!AA205&lt;安値!AC205),22,""))</f>
      </c>
      <c r="W205" s="684">
        <f>IF(終値!A205="","",IF(AND(安値!AB205&lt;安値!AA205,安値!AB205&lt;安値!Z205,安値!AB205&lt;安値!AC205,安値!AB205&lt;安値!AD205),23,""))</f>
      </c>
      <c r="X205" s="684">
        <f>IF(終値!A205="","",IF(AND(安値!AC205&lt;安値!AB205,安値!AC205&lt;安値!AA205,安値!AC205&lt;安値!AD205,安値!AC205&lt;安値!AE205),24,""))</f>
      </c>
      <c r="Y205" s="684">
        <f>IF(終値!A205="","",IF(AND(安値!AD205&lt;安値!AC205,安値!AD205&lt;安値!AB205,安値!AD205&lt;安値!AE205,安値!AD205&lt;安値!AF205),25,""))</f>
      </c>
      <c r="Z205" s="684">
        <f>IF(終値!A205="","",IF(AND(安値!AE205&lt;安値!AD205,安値!AE205&lt;安値!AC205,安値!AE205&lt;安値!AF205,安値!AE205&lt;安値!AG205),26,""))</f>
      </c>
      <c r="AA205" s="684">
        <f>IF(終値!A205="","",IF(AND(安値!AF205&lt;安値!AE205,安値!AF205&lt;安値!AD205,安値!AF205&lt;安値!AG205,安値!AF205&lt;安値!AH205),27,""))</f>
      </c>
      <c r="AB205" s="684">
        <f>IF(終値!A205="","",IF(AND(安値!AG205&lt;安値!AF205,安値!AG205&lt;安値!AE205,安値!AG205&lt;安値!AH205,安値!AG205&lt;安値!AI205),28,""))</f>
      </c>
      <c r="AC205" s="684">
        <f>IF(終値!A205="","",IF(AND(高値!G205&gt;高値!F205,高値!G205&gt;高値!E205,高値!G205&gt;高値!H205,高値!G205&gt;高値!I205),2,""))</f>
      </c>
      <c r="AD205" s="684">
        <f>IF(終値!A205="","",IF(AND(高値!H205&gt;高値!G205,高値!H205&gt;高値!F205,高値!H205&gt;高値!I205,高値!H205&gt;高値!J205),3,""))</f>
      </c>
      <c r="AE205" s="684">
        <f>IF(終値!A205="","",IF(AND(高値!I205&gt;高値!H205,高値!I205&gt;高値!G205,高値!I205&gt;高値!J205,高値!I205&gt;高値!K205),4,""))</f>
      </c>
      <c r="AF205" s="684">
        <f>IF(終値!A205="","",IF(AND(高値!J205&gt;高値!I205,高値!J205&gt;高値!H205,高値!J205&gt;高値!K205,高値!J205&gt;高値!L205),5,""))</f>
      </c>
      <c r="AG205" s="684">
        <f>IF(終値!A205="","",IF(AND(高値!K205&gt;高値!J205,高値!K205&gt;高値!I205,高値!K205&gt;高値!L205,高値!K205&gt;高値!M205),6,""))</f>
      </c>
      <c r="AH205" s="684">
        <f>IF(終値!A205="","",IF(AND(高値!L205&gt;高値!K205,高値!L205&gt;高値!J205,高値!L205&gt;高値!M205,高値!L205&gt;高値!N205),7,""))</f>
      </c>
      <c r="AI205" s="684">
        <f>IF(終値!A205="","",IF(AND(高値!M205&gt;高値!L205,高値!M205&gt;高値!K205,高値!M205&gt;高値!N205,高値!M205&gt;高値!O205),8,""))</f>
      </c>
      <c r="AJ205" s="684">
        <f>IF(終値!A205="","",IF(AND(高値!N205&gt;高値!M205,高値!N205&gt;高値!L205,高値!N205&gt;高値!O205,高値!N205&gt;高値!P205),9,""))</f>
      </c>
      <c r="AK205" s="684">
        <f>IF(終値!A205="","",IF(AND(高値!O205&gt;高値!N205,高値!O205&gt;高値!M205,高値!O205&gt;高値!P205,高値!O205&gt;高値!Q205),10,""))</f>
      </c>
      <c r="AL205" s="684">
        <f>IF(終値!A205="","",IF(AND(高値!P205&gt;高値!O205,高値!P205&gt;高値!N205,高値!P205&gt;高値!Q205,高値!P205&gt;高値!R205),11,""))</f>
      </c>
      <c r="AM205" s="684">
        <f>IF(終値!A205="","",IF(AND(高値!Q205&gt;高値!P205,高値!Q205&gt;高値!O205,高値!Q205&gt;高値!R205,高値!Q205&gt;高値!S205),12,""))</f>
      </c>
      <c r="AN205" s="684">
        <f>IF(終値!A205="","",IF(AND(高値!R205&gt;高値!Q205,高値!R205&gt;高値!P205,高値!R205&gt;高値!S205,高値!R205&gt;高値!T205),13,""))</f>
      </c>
      <c r="AO205" s="684">
        <f>IF(終値!A205="","",IF(AND(高値!S205&gt;高値!R205,高値!S205&gt;高値!Q205,高値!S205&gt;高値!T205,高値!S205&gt;高値!U205),14,""))</f>
      </c>
      <c r="AP205" s="684">
        <f>IF(終値!A205="","",IF(AND(高値!T205&gt;高値!S205,高値!T205&gt;高値!R205,高値!T205&gt;高値!U205,高値!T205&gt;高値!V205),15,""))</f>
      </c>
      <c r="AQ205" s="684">
        <f>IF(終値!A205="","",IF(AND(高値!U205&gt;高値!T205,高値!U205&gt;高値!S205,高値!U205&gt;高値!V205,高値!U205&gt;高値!W205),16,""))</f>
      </c>
      <c r="AR205" s="684">
        <f>IF(終値!A205="","",IF(AND(高値!V205&gt;高値!U205,高値!V205&gt;高値!T205,高値!V205&gt;高値!W205,高値!V205&gt;高値!X205),17,""))</f>
      </c>
      <c r="AS205" s="684">
        <f>IF(終値!A205="","",IF(AND(高値!W205&gt;高値!V205,高値!W205&gt;高値!U205,高値!W205&gt;高値!X205,高値!W205&gt;高値!Y205),18,""))</f>
      </c>
      <c r="AT205" s="684">
        <f>IF(終値!A205="","",IF(AND(高値!X205&gt;高値!W205,高値!X205&gt;高値!V205,高値!X205&gt;高値!Y205,高値!X205&gt;高値!Z205),19,""))</f>
      </c>
      <c r="AU205" s="684">
        <f>IF(終値!A205="","",IF(AND(高値!Y205&gt;高値!X205,高値!Y205&gt;高値!W205,高値!Y205&gt;高値!Z205,高値!Y205&gt;高値!AA205),20,""))</f>
      </c>
      <c r="AV205" s="684">
        <f>IF(終値!A205="","",IF(AND(高値!Z205&gt;高値!Y205,高値!Z205&gt;高値!X205,高値!Z205&gt;高値!AA205,高値!Z205&gt;高値!AB205),21,""))</f>
      </c>
      <c r="AW205" s="684">
        <f>IF(終値!A205="","",IF(AND(高値!AA205&gt;高値!Z205,高値!AA205&gt;高値!Y205,高値!AA205&gt;高値!AB205,高値!AA205&gt;高値!AC205),22,""))</f>
      </c>
      <c r="AX205" s="684">
        <f>IF(終値!A205="","",IF(AND(高値!AB205&gt;高値!AA205,高値!AB205&gt;高値!Z205,高値!AB205&gt;高値!AC205,高値!AB205&gt;高値!AD205),23,""))</f>
      </c>
      <c r="AY205" s="684">
        <f>IF(終値!A205="","",IF(AND(高値!AC205&gt;高値!AB205,高値!AC205&gt;高値!AA205,高値!AC205&gt;高値!AD205,高値!AC205&gt;高値!AE205),24,""))</f>
      </c>
      <c r="AZ205" s="684">
        <f>IF(終値!A205="","",IF(AND(高値!AD205&gt;高値!AC205,高値!AD205&gt;高値!AB205,高値!AD205&gt;高値!AE205,高値!AD205&gt;高値!AF205),25,""))</f>
      </c>
      <c r="BA205" s="684">
        <f>IF(終値!A205="","",IF(AND(高値!AE205&gt;高値!AD205,高値!AE205&gt;高値!AC205,高値!AE205&gt;高値!AF205,高値!AE205&gt;高値!AG205),26,""))</f>
      </c>
      <c r="BB205" s="684">
        <f>IF(終値!A205="","",IF(AND(高値!AF205&gt;高値!AE205,高値!AF205&gt;高値!AD205,高値!AF205&gt;高値!AG205,高値!AF205&gt;高値!AH205),27,""))</f>
      </c>
      <c r="BC205" s="684">
        <f>IF(終値!A205="","",IF(AND(高値!AG205&gt;高値!AF205,高値!AG205&gt;高値!AE205,高値!AG205&gt;高値!AH205,高値!AG205&gt;高値!AI205),28,""))</f>
      </c>
      <c r="BD205" s="684">
        <f>COUNT($B205:$AB205)</f>
      </c>
      <c r="BE205" s="684">
        <f>IF($BD205&gt;=2,MIN($B205:$AB205),"")</f>
      </c>
      <c r="BF205" s="684">
        <f>IF($BD205&gt;=2,SMALL($B205:$AB205,2),"")</f>
      </c>
      <c r="BG205" s="684">
        <f>IF($BE205="","",INDEX(安値!$E205:$CZ205,1,$BE205+1))</f>
      </c>
      <c r="BH205" s="684">
        <f>IF($BF205="","",INDEX(安値!$E205:$CZ205,1,$BF205+1))</f>
      </c>
      <c r="BI205" s="684">
        <f>IF($BF205="","",MAX(INDEX(高値!$E205:$CZ205,1,$BE205+1):INDEX(高値!$E205:$CZ205,1,$BF205+1)))</f>
      </c>
      <c r="BJ205" s="684">
        <f>IF($BF205="","",AVERAGE(INDEX(終値!$E205:$CZ205,1,$BF205+1):INDEX(終値!$E205:$CZ205,1,$BF205+20))-2*STDEVP(INDEX(終値!$E205:$CZ205,1,$BF205+1):INDEX(終値!$E205:$CZ205,1,$BF205+20)))</f>
      </c>
      <c r="BK205" s="684">
        <f>IF($BE205="","",AVERAGE(INDEX(終値!$E205:$CZ205,1,$BE205+1):INDEX(終値!$E205:$CZ205,1,$BE205+20))-2*STDEVP(INDEX(終値!$E205:$CZ205,1,$BE205+1):INDEX(終値!$E205:$CZ205,1,$BE205+20)))</f>
      </c>
      <c r="BL205" s="684">
        <f>COUNT($AC205:$BC205)</f>
      </c>
      <c r="BM205" s="684">
        <f>IF($BL205&gt;=2,MIN($AC205:$BC205),"")</f>
      </c>
      <c r="BN205" s="684">
        <f>IF($BL205&gt;=2,SMALL($AC205:$BC205,2),"")</f>
      </c>
      <c r="BO205" s="684">
        <f>IF($BM205="","",INDEX(高値!$E205:$CZ205,1,$BM205+1))</f>
      </c>
      <c r="BP205" s="684">
        <f>IF($BN205="","",INDEX(高値!$E205:$CZ205,1,$BN205+1))</f>
      </c>
      <c r="BQ205" s="684">
        <f>IF($BN205="","",MIN(INDEX(安値!$E205:$CZ205,1,$BM205+1):INDEX(安値!$E205:$CZ205,1,$BN205+1)))</f>
      </c>
      <c r="BR205" s="684">
        <f>IF($BN205="","",AVERAGE(INDEX(終値!$E205:$CZ205,1,$BN205+1):INDEX(終値!$E205:$CZ205,1,$BN205+20))+2*STDEVP(INDEX(終値!$E205:$CZ205,1,$BN205+1):INDEX(終値!$E205:$CZ205,1,$BN205+20)))</f>
      </c>
      <c r="BS205" s="684">
        <f>IF($BM205="","",AVERAGE(INDEX(終値!$E205:$CZ205,1,$BM205+1):INDEX(終値!$E205:$CZ205,1,$BM205+20))+2*STDEVP(INDEX(終値!$E205:$CZ205,1,$BM205+1):INDEX(終値!$E205:$CZ205,1,$BM205+20)))</f>
      </c>
      <c r="BT205" s="681">
        <f>IFERROR(IF(AND($BD205&gt;=2,ABS($BG205-$BH205)/$BH205&lt;=BB設定!$B$12,$BI205&gt;=MAX($BH205,$BG205)*(1+BB設定!$B$13),終値!E205&gt;$BG205),IF(OR(終値!E205&gt;=$BI205,AND($BH205&lt;$BJ205,$BG205&gt;=$BK205)),"二番底W▲","二番底W形成"),IF(AND($BL205&gt;=2,ABS($BO205-$BP205)/$BP205&lt;=BB設定!$B$12,$BQ205&lt;=MIN($BP205,$BO205)*(1-BB設定!$B$13),終値!E205&lt;$BO205),IF(OR(終値!E205&lt;=$BQ205,AND($BP205&gt;$BR205,$BO205&lt;=$BS205)),"二番天井M▼","二番天井M形成"),"－")),"－")</f>
      </c>
    </row>
    <row r="206">
      <c r="B206" s="684">
        <f>IF(終値!A206="","",IF(AND(安値!G206&lt;安値!F206,安値!G206&lt;安値!E206,安値!G206&lt;安値!H206,安値!G206&lt;安値!I206),2,""))</f>
      </c>
      <c r="C206" s="684">
        <f>IF(終値!A206="","",IF(AND(安値!H206&lt;安値!G206,安値!H206&lt;安値!F206,安値!H206&lt;安値!I206,安値!H206&lt;安値!J206),3,""))</f>
      </c>
      <c r="D206" s="684">
        <f>IF(終値!A206="","",IF(AND(安値!I206&lt;安値!H206,安値!I206&lt;安値!G206,安値!I206&lt;安値!J206,安値!I206&lt;安値!K206),4,""))</f>
      </c>
      <c r="E206" s="684">
        <f>IF(終値!A206="","",IF(AND(安値!J206&lt;安値!I206,安値!J206&lt;安値!H206,安値!J206&lt;安値!K206,安値!J206&lt;安値!L206),5,""))</f>
      </c>
      <c r="F206" s="684">
        <f>IF(終値!A206="","",IF(AND(安値!K206&lt;安値!J206,安値!K206&lt;安値!I206,安値!K206&lt;安値!L206,安値!K206&lt;安値!M206),6,""))</f>
      </c>
      <c r="G206" s="684">
        <f>IF(終値!A206="","",IF(AND(安値!L206&lt;安値!K206,安値!L206&lt;安値!J206,安値!L206&lt;安値!M206,安値!L206&lt;安値!N206),7,""))</f>
      </c>
      <c r="H206" s="684">
        <f>IF(終値!A206="","",IF(AND(安値!M206&lt;安値!L206,安値!M206&lt;安値!K206,安値!M206&lt;安値!N206,安値!M206&lt;安値!O206),8,""))</f>
      </c>
      <c r="I206" s="684">
        <f>IF(終値!A206="","",IF(AND(安値!N206&lt;安値!M206,安値!N206&lt;安値!L206,安値!N206&lt;安値!O206,安値!N206&lt;安値!P206),9,""))</f>
      </c>
      <c r="J206" s="684">
        <f>IF(終値!A206="","",IF(AND(安値!O206&lt;安値!N206,安値!O206&lt;安値!M206,安値!O206&lt;安値!P206,安値!O206&lt;安値!Q206),10,""))</f>
      </c>
      <c r="K206" s="684">
        <f>IF(終値!A206="","",IF(AND(安値!P206&lt;安値!O206,安値!P206&lt;安値!N206,安値!P206&lt;安値!Q206,安値!P206&lt;安値!R206),11,""))</f>
      </c>
      <c r="L206" s="684">
        <f>IF(終値!A206="","",IF(AND(安値!Q206&lt;安値!P206,安値!Q206&lt;安値!O206,安値!Q206&lt;安値!R206,安値!Q206&lt;安値!S206),12,""))</f>
      </c>
      <c r="M206" s="684">
        <f>IF(終値!A206="","",IF(AND(安値!R206&lt;安値!Q206,安値!R206&lt;安値!P206,安値!R206&lt;安値!S206,安値!R206&lt;安値!T206),13,""))</f>
      </c>
      <c r="N206" s="684">
        <f>IF(終値!A206="","",IF(AND(安値!S206&lt;安値!R206,安値!S206&lt;安値!Q206,安値!S206&lt;安値!T206,安値!S206&lt;安値!U206),14,""))</f>
      </c>
      <c r="O206" s="684">
        <f>IF(終値!A206="","",IF(AND(安値!T206&lt;安値!S206,安値!T206&lt;安値!R206,安値!T206&lt;安値!U206,安値!T206&lt;安値!V206),15,""))</f>
      </c>
      <c r="P206" s="684">
        <f>IF(終値!A206="","",IF(AND(安値!U206&lt;安値!T206,安値!U206&lt;安値!S206,安値!U206&lt;安値!V206,安値!U206&lt;安値!W206),16,""))</f>
      </c>
      <c r="Q206" s="684">
        <f>IF(終値!A206="","",IF(AND(安値!V206&lt;安値!U206,安値!V206&lt;安値!T206,安値!V206&lt;安値!W206,安値!V206&lt;安値!X206),17,""))</f>
      </c>
      <c r="R206" s="684">
        <f>IF(終値!A206="","",IF(AND(安値!W206&lt;安値!V206,安値!W206&lt;安値!U206,安値!W206&lt;安値!X206,安値!W206&lt;安値!Y206),18,""))</f>
      </c>
      <c r="S206" s="684">
        <f>IF(終値!A206="","",IF(AND(安値!X206&lt;安値!W206,安値!X206&lt;安値!V206,安値!X206&lt;安値!Y206,安値!X206&lt;安値!Z206),19,""))</f>
      </c>
      <c r="T206" s="684">
        <f>IF(終値!A206="","",IF(AND(安値!Y206&lt;安値!X206,安値!Y206&lt;安値!W206,安値!Y206&lt;安値!Z206,安値!Y206&lt;安値!AA206),20,""))</f>
      </c>
      <c r="U206" s="684">
        <f>IF(終値!A206="","",IF(AND(安値!Z206&lt;安値!Y206,安値!Z206&lt;安値!X206,安値!Z206&lt;安値!AA206,安値!Z206&lt;安値!AB206),21,""))</f>
      </c>
      <c r="V206" s="684">
        <f>IF(終値!A206="","",IF(AND(安値!AA206&lt;安値!Z206,安値!AA206&lt;安値!Y206,安値!AA206&lt;安値!AB206,安値!AA206&lt;安値!AC206),22,""))</f>
      </c>
      <c r="W206" s="684">
        <f>IF(終値!A206="","",IF(AND(安値!AB206&lt;安値!AA206,安値!AB206&lt;安値!Z206,安値!AB206&lt;安値!AC206,安値!AB206&lt;安値!AD206),23,""))</f>
      </c>
      <c r="X206" s="684">
        <f>IF(終値!A206="","",IF(AND(安値!AC206&lt;安値!AB206,安値!AC206&lt;安値!AA206,安値!AC206&lt;安値!AD206,安値!AC206&lt;安値!AE206),24,""))</f>
      </c>
      <c r="Y206" s="684">
        <f>IF(終値!A206="","",IF(AND(安値!AD206&lt;安値!AC206,安値!AD206&lt;安値!AB206,安値!AD206&lt;安値!AE206,安値!AD206&lt;安値!AF206),25,""))</f>
      </c>
      <c r="Z206" s="684">
        <f>IF(終値!A206="","",IF(AND(安値!AE206&lt;安値!AD206,安値!AE206&lt;安値!AC206,安値!AE206&lt;安値!AF206,安値!AE206&lt;安値!AG206),26,""))</f>
      </c>
      <c r="AA206" s="684">
        <f>IF(終値!A206="","",IF(AND(安値!AF206&lt;安値!AE206,安値!AF206&lt;安値!AD206,安値!AF206&lt;安値!AG206,安値!AF206&lt;安値!AH206),27,""))</f>
      </c>
      <c r="AB206" s="684">
        <f>IF(終値!A206="","",IF(AND(安値!AG206&lt;安値!AF206,安値!AG206&lt;安値!AE206,安値!AG206&lt;安値!AH206,安値!AG206&lt;安値!AI206),28,""))</f>
      </c>
      <c r="AC206" s="684">
        <f>IF(終値!A206="","",IF(AND(高値!G206&gt;高値!F206,高値!G206&gt;高値!E206,高値!G206&gt;高値!H206,高値!G206&gt;高値!I206),2,""))</f>
      </c>
      <c r="AD206" s="684">
        <f>IF(終値!A206="","",IF(AND(高値!H206&gt;高値!G206,高値!H206&gt;高値!F206,高値!H206&gt;高値!I206,高値!H206&gt;高値!J206),3,""))</f>
      </c>
      <c r="AE206" s="684">
        <f>IF(終値!A206="","",IF(AND(高値!I206&gt;高値!H206,高値!I206&gt;高値!G206,高値!I206&gt;高値!J206,高値!I206&gt;高値!K206),4,""))</f>
      </c>
      <c r="AF206" s="684">
        <f>IF(終値!A206="","",IF(AND(高値!J206&gt;高値!I206,高値!J206&gt;高値!H206,高値!J206&gt;高値!K206,高値!J206&gt;高値!L206),5,""))</f>
      </c>
      <c r="AG206" s="684">
        <f>IF(終値!A206="","",IF(AND(高値!K206&gt;高値!J206,高値!K206&gt;高値!I206,高値!K206&gt;高値!L206,高値!K206&gt;高値!M206),6,""))</f>
      </c>
      <c r="AH206" s="684">
        <f>IF(終値!A206="","",IF(AND(高値!L206&gt;高値!K206,高値!L206&gt;高値!J206,高値!L206&gt;高値!M206,高値!L206&gt;高値!N206),7,""))</f>
      </c>
      <c r="AI206" s="684">
        <f>IF(終値!A206="","",IF(AND(高値!M206&gt;高値!L206,高値!M206&gt;高値!K206,高値!M206&gt;高値!N206,高値!M206&gt;高値!O206),8,""))</f>
      </c>
      <c r="AJ206" s="684">
        <f>IF(終値!A206="","",IF(AND(高値!N206&gt;高値!M206,高値!N206&gt;高値!L206,高値!N206&gt;高値!O206,高値!N206&gt;高値!P206),9,""))</f>
      </c>
      <c r="AK206" s="684">
        <f>IF(終値!A206="","",IF(AND(高値!O206&gt;高値!N206,高値!O206&gt;高値!M206,高値!O206&gt;高値!P206,高値!O206&gt;高値!Q206),10,""))</f>
      </c>
      <c r="AL206" s="684">
        <f>IF(終値!A206="","",IF(AND(高値!P206&gt;高値!O206,高値!P206&gt;高値!N206,高値!P206&gt;高値!Q206,高値!P206&gt;高値!R206),11,""))</f>
      </c>
      <c r="AM206" s="684">
        <f>IF(終値!A206="","",IF(AND(高値!Q206&gt;高値!P206,高値!Q206&gt;高値!O206,高値!Q206&gt;高値!R206,高値!Q206&gt;高値!S206),12,""))</f>
      </c>
      <c r="AN206" s="684">
        <f>IF(終値!A206="","",IF(AND(高値!R206&gt;高値!Q206,高値!R206&gt;高値!P206,高値!R206&gt;高値!S206,高値!R206&gt;高値!T206),13,""))</f>
      </c>
      <c r="AO206" s="684">
        <f>IF(終値!A206="","",IF(AND(高値!S206&gt;高値!R206,高値!S206&gt;高値!Q206,高値!S206&gt;高値!T206,高値!S206&gt;高値!U206),14,""))</f>
      </c>
      <c r="AP206" s="684">
        <f>IF(終値!A206="","",IF(AND(高値!T206&gt;高値!S206,高値!T206&gt;高値!R206,高値!T206&gt;高値!U206,高値!T206&gt;高値!V206),15,""))</f>
      </c>
      <c r="AQ206" s="684">
        <f>IF(終値!A206="","",IF(AND(高値!U206&gt;高値!T206,高値!U206&gt;高値!S206,高値!U206&gt;高値!V206,高値!U206&gt;高値!W206),16,""))</f>
      </c>
      <c r="AR206" s="684">
        <f>IF(終値!A206="","",IF(AND(高値!V206&gt;高値!U206,高値!V206&gt;高値!T206,高値!V206&gt;高値!W206,高値!V206&gt;高値!X206),17,""))</f>
      </c>
      <c r="AS206" s="684">
        <f>IF(終値!A206="","",IF(AND(高値!W206&gt;高値!V206,高値!W206&gt;高値!U206,高値!W206&gt;高値!X206,高値!W206&gt;高値!Y206),18,""))</f>
      </c>
      <c r="AT206" s="684">
        <f>IF(終値!A206="","",IF(AND(高値!X206&gt;高値!W206,高値!X206&gt;高値!V206,高値!X206&gt;高値!Y206,高値!X206&gt;高値!Z206),19,""))</f>
      </c>
      <c r="AU206" s="684">
        <f>IF(終値!A206="","",IF(AND(高値!Y206&gt;高値!X206,高値!Y206&gt;高値!W206,高値!Y206&gt;高値!Z206,高値!Y206&gt;高値!AA206),20,""))</f>
      </c>
      <c r="AV206" s="684">
        <f>IF(終値!A206="","",IF(AND(高値!Z206&gt;高値!Y206,高値!Z206&gt;高値!X206,高値!Z206&gt;高値!AA206,高値!Z206&gt;高値!AB206),21,""))</f>
      </c>
      <c r="AW206" s="684">
        <f>IF(終値!A206="","",IF(AND(高値!AA206&gt;高値!Z206,高値!AA206&gt;高値!Y206,高値!AA206&gt;高値!AB206,高値!AA206&gt;高値!AC206),22,""))</f>
      </c>
      <c r="AX206" s="684">
        <f>IF(終値!A206="","",IF(AND(高値!AB206&gt;高値!AA206,高値!AB206&gt;高値!Z206,高値!AB206&gt;高値!AC206,高値!AB206&gt;高値!AD206),23,""))</f>
      </c>
      <c r="AY206" s="684">
        <f>IF(終値!A206="","",IF(AND(高値!AC206&gt;高値!AB206,高値!AC206&gt;高値!AA206,高値!AC206&gt;高値!AD206,高値!AC206&gt;高値!AE206),24,""))</f>
      </c>
      <c r="AZ206" s="684">
        <f>IF(終値!A206="","",IF(AND(高値!AD206&gt;高値!AC206,高値!AD206&gt;高値!AB206,高値!AD206&gt;高値!AE206,高値!AD206&gt;高値!AF206),25,""))</f>
      </c>
      <c r="BA206" s="684">
        <f>IF(終値!A206="","",IF(AND(高値!AE206&gt;高値!AD206,高値!AE206&gt;高値!AC206,高値!AE206&gt;高値!AF206,高値!AE206&gt;高値!AG206),26,""))</f>
      </c>
      <c r="BB206" s="684">
        <f>IF(終値!A206="","",IF(AND(高値!AF206&gt;高値!AE206,高値!AF206&gt;高値!AD206,高値!AF206&gt;高値!AG206,高値!AF206&gt;高値!AH206),27,""))</f>
      </c>
      <c r="BC206" s="684">
        <f>IF(終値!A206="","",IF(AND(高値!AG206&gt;高値!AF206,高値!AG206&gt;高値!AE206,高値!AG206&gt;高値!AH206,高値!AG206&gt;高値!AI206),28,""))</f>
      </c>
      <c r="BD206" s="684">
        <f>COUNT($B206:$AB206)</f>
      </c>
      <c r="BE206" s="684">
        <f>IF($BD206&gt;=2,MIN($B206:$AB206),"")</f>
      </c>
      <c r="BF206" s="684">
        <f>IF($BD206&gt;=2,SMALL($B206:$AB206,2),"")</f>
      </c>
      <c r="BG206" s="684">
        <f>IF($BE206="","",INDEX(安値!$E206:$CZ206,1,$BE206+1))</f>
      </c>
      <c r="BH206" s="684">
        <f>IF($BF206="","",INDEX(安値!$E206:$CZ206,1,$BF206+1))</f>
      </c>
      <c r="BI206" s="684">
        <f>IF($BF206="","",MAX(INDEX(高値!$E206:$CZ206,1,$BE206+1):INDEX(高値!$E206:$CZ206,1,$BF206+1)))</f>
      </c>
      <c r="BJ206" s="684">
        <f>IF($BF206="","",AVERAGE(INDEX(終値!$E206:$CZ206,1,$BF206+1):INDEX(終値!$E206:$CZ206,1,$BF206+20))-2*STDEVP(INDEX(終値!$E206:$CZ206,1,$BF206+1):INDEX(終値!$E206:$CZ206,1,$BF206+20)))</f>
      </c>
      <c r="BK206" s="684">
        <f>IF($BE206="","",AVERAGE(INDEX(終値!$E206:$CZ206,1,$BE206+1):INDEX(終値!$E206:$CZ206,1,$BE206+20))-2*STDEVP(INDEX(終値!$E206:$CZ206,1,$BE206+1):INDEX(終値!$E206:$CZ206,1,$BE206+20)))</f>
      </c>
      <c r="BL206" s="684">
        <f>COUNT($AC206:$BC206)</f>
      </c>
      <c r="BM206" s="684">
        <f>IF($BL206&gt;=2,MIN($AC206:$BC206),"")</f>
      </c>
      <c r="BN206" s="684">
        <f>IF($BL206&gt;=2,SMALL($AC206:$BC206,2),"")</f>
      </c>
      <c r="BO206" s="684">
        <f>IF($BM206="","",INDEX(高値!$E206:$CZ206,1,$BM206+1))</f>
      </c>
      <c r="BP206" s="684">
        <f>IF($BN206="","",INDEX(高値!$E206:$CZ206,1,$BN206+1))</f>
      </c>
      <c r="BQ206" s="684">
        <f>IF($BN206="","",MIN(INDEX(安値!$E206:$CZ206,1,$BM206+1):INDEX(安値!$E206:$CZ206,1,$BN206+1)))</f>
      </c>
      <c r="BR206" s="684">
        <f>IF($BN206="","",AVERAGE(INDEX(終値!$E206:$CZ206,1,$BN206+1):INDEX(終値!$E206:$CZ206,1,$BN206+20))+2*STDEVP(INDEX(終値!$E206:$CZ206,1,$BN206+1):INDEX(終値!$E206:$CZ206,1,$BN206+20)))</f>
      </c>
      <c r="BS206" s="684">
        <f>IF($BM206="","",AVERAGE(INDEX(終値!$E206:$CZ206,1,$BM206+1):INDEX(終値!$E206:$CZ206,1,$BM206+20))+2*STDEVP(INDEX(終値!$E206:$CZ206,1,$BM206+1):INDEX(終値!$E206:$CZ206,1,$BM206+20)))</f>
      </c>
      <c r="BT206" s="681">
        <f>IFERROR(IF(AND($BD206&gt;=2,ABS($BG206-$BH206)/$BH206&lt;=BB設定!$B$12,$BI206&gt;=MAX($BH206,$BG206)*(1+BB設定!$B$13),終値!E206&gt;$BG206),IF(OR(終値!E206&gt;=$BI206,AND($BH206&lt;$BJ206,$BG206&gt;=$BK206)),"二番底W▲","二番底W形成"),IF(AND($BL206&gt;=2,ABS($BO206-$BP206)/$BP206&lt;=BB設定!$B$12,$BQ206&lt;=MIN($BP206,$BO206)*(1-BB設定!$B$13),終値!E206&lt;$BO206),IF(OR(終値!E206&lt;=$BQ206,AND($BP206&gt;$BR206,$BO206&lt;=$BS206)),"二番天井M▼","二番天井M形成"),"－")),"－")</f>
      </c>
    </row>
    <row r="207">
      <c r="B207" s="684">
        <f>IF(終値!A207="","",IF(AND(安値!G207&lt;安値!F207,安値!G207&lt;安値!E207,安値!G207&lt;安値!H207,安値!G207&lt;安値!I207),2,""))</f>
      </c>
      <c r="C207" s="684">
        <f>IF(終値!A207="","",IF(AND(安値!H207&lt;安値!G207,安値!H207&lt;安値!F207,安値!H207&lt;安値!I207,安値!H207&lt;安値!J207),3,""))</f>
      </c>
      <c r="D207" s="684">
        <f>IF(終値!A207="","",IF(AND(安値!I207&lt;安値!H207,安値!I207&lt;安値!G207,安値!I207&lt;安値!J207,安値!I207&lt;安値!K207),4,""))</f>
      </c>
      <c r="E207" s="684">
        <f>IF(終値!A207="","",IF(AND(安値!J207&lt;安値!I207,安値!J207&lt;安値!H207,安値!J207&lt;安値!K207,安値!J207&lt;安値!L207),5,""))</f>
      </c>
      <c r="F207" s="684">
        <f>IF(終値!A207="","",IF(AND(安値!K207&lt;安値!J207,安値!K207&lt;安値!I207,安値!K207&lt;安値!L207,安値!K207&lt;安値!M207),6,""))</f>
      </c>
      <c r="G207" s="684">
        <f>IF(終値!A207="","",IF(AND(安値!L207&lt;安値!K207,安値!L207&lt;安値!J207,安値!L207&lt;安値!M207,安値!L207&lt;安値!N207),7,""))</f>
      </c>
      <c r="H207" s="684">
        <f>IF(終値!A207="","",IF(AND(安値!M207&lt;安値!L207,安値!M207&lt;安値!K207,安値!M207&lt;安値!N207,安値!M207&lt;安値!O207),8,""))</f>
      </c>
      <c r="I207" s="684">
        <f>IF(終値!A207="","",IF(AND(安値!N207&lt;安値!M207,安値!N207&lt;安値!L207,安値!N207&lt;安値!O207,安値!N207&lt;安値!P207),9,""))</f>
      </c>
      <c r="J207" s="684">
        <f>IF(終値!A207="","",IF(AND(安値!O207&lt;安値!N207,安値!O207&lt;安値!M207,安値!O207&lt;安値!P207,安値!O207&lt;安値!Q207),10,""))</f>
      </c>
      <c r="K207" s="684">
        <f>IF(終値!A207="","",IF(AND(安値!P207&lt;安値!O207,安値!P207&lt;安値!N207,安値!P207&lt;安値!Q207,安値!P207&lt;安値!R207),11,""))</f>
      </c>
      <c r="L207" s="684">
        <f>IF(終値!A207="","",IF(AND(安値!Q207&lt;安値!P207,安値!Q207&lt;安値!O207,安値!Q207&lt;安値!R207,安値!Q207&lt;安値!S207),12,""))</f>
      </c>
      <c r="M207" s="684">
        <f>IF(終値!A207="","",IF(AND(安値!R207&lt;安値!Q207,安値!R207&lt;安値!P207,安値!R207&lt;安値!S207,安値!R207&lt;安値!T207),13,""))</f>
      </c>
      <c r="N207" s="684">
        <f>IF(終値!A207="","",IF(AND(安値!S207&lt;安値!R207,安値!S207&lt;安値!Q207,安値!S207&lt;安値!T207,安値!S207&lt;安値!U207),14,""))</f>
      </c>
      <c r="O207" s="684">
        <f>IF(終値!A207="","",IF(AND(安値!T207&lt;安値!S207,安値!T207&lt;安値!R207,安値!T207&lt;安値!U207,安値!T207&lt;安値!V207),15,""))</f>
      </c>
      <c r="P207" s="684">
        <f>IF(終値!A207="","",IF(AND(安値!U207&lt;安値!T207,安値!U207&lt;安値!S207,安値!U207&lt;安値!V207,安値!U207&lt;安値!W207),16,""))</f>
      </c>
      <c r="Q207" s="684">
        <f>IF(終値!A207="","",IF(AND(安値!V207&lt;安値!U207,安値!V207&lt;安値!T207,安値!V207&lt;安値!W207,安値!V207&lt;安値!X207),17,""))</f>
      </c>
      <c r="R207" s="684">
        <f>IF(終値!A207="","",IF(AND(安値!W207&lt;安値!V207,安値!W207&lt;安値!U207,安値!W207&lt;安値!X207,安値!W207&lt;安値!Y207),18,""))</f>
      </c>
      <c r="S207" s="684">
        <f>IF(終値!A207="","",IF(AND(安値!X207&lt;安値!W207,安値!X207&lt;安値!V207,安値!X207&lt;安値!Y207,安値!X207&lt;安値!Z207),19,""))</f>
      </c>
      <c r="T207" s="684">
        <f>IF(終値!A207="","",IF(AND(安値!Y207&lt;安値!X207,安値!Y207&lt;安値!W207,安値!Y207&lt;安値!Z207,安値!Y207&lt;安値!AA207),20,""))</f>
      </c>
      <c r="U207" s="684">
        <f>IF(終値!A207="","",IF(AND(安値!Z207&lt;安値!Y207,安値!Z207&lt;安値!X207,安値!Z207&lt;安値!AA207,安値!Z207&lt;安値!AB207),21,""))</f>
      </c>
      <c r="V207" s="684">
        <f>IF(終値!A207="","",IF(AND(安値!AA207&lt;安値!Z207,安値!AA207&lt;安値!Y207,安値!AA207&lt;安値!AB207,安値!AA207&lt;安値!AC207),22,""))</f>
      </c>
      <c r="W207" s="684">
        <f>IF(終値!A207="","",IF(AND(安値!AB207&lt;安値!AA207,安値!AB207&lt;安値!Z207,安値!AB207&lt;安値!AC207,安値!AB207&lt;安値!AD207),23,""))</f>
      </c>
      <c r="X207" s="684">
        <f>IF(終値!A207="","",IF(AND(安値!AC207&lt;安値!AB207,安値!AC207&lt;安値!AA207,安値!AC207&lt;安値!AD207,安値!AC207&lt;安値!AE207),24,""))</f>
      </c>
      <c r="Y207" s="684">
        <f>IF(終値!A207="","",IF(AND(安値!AD207&lt;安値!AC207,安値!AD207&lt;安値!AB207,安値!AD207&lt;安値!AE207,安値!AD207&lt;安値!AF207),25,""))</f>
      </c>
      <c r="Z207" s="684">
        <f>IF(終値!A207="","",IF(AND(安値!AE207&lt;安値!AD207,安値!AE207&lt;安値!AC207,安値!AE207&lt;安値!AF207,安値!AE207&lt;安値!AG207),26,""))</f>
      </c>
      <c r="AA207" s="684">
        <f>IF(終値!A207="","",IF(AND(安値!AF207&lt;安値!AE207,安値!AF207&lt;安値!AD207,安値!AF207&lt;安値!AG207,安値!AF207&lt;安値!AH207),27,""))</f>
      </c>
      <c r="AB207" s="684">
        <f>IF(終値!A207="","",IF(AND(安値!AG207&lt;安値!AF207,安値!AG207&lt;安値!AE207,安値!AG207&lt;安値!AH207,安値!AG207&lt;安値!AI207),28,""))</f>
      </c>
      <c r="AC207" s="684">
        <f>IF(終値!A207="","",IF(AND(高値!G207&gt;高値!F207,高値!G207&gt;高値!E207,高値!G207&gt;高値!H207,高値!G207&gt;高値!I207),2,""))</f>
      </c>
      <c r="AD207" s="684">
        <f>IF(終値!A207="","",IF(AND(高値!H207&gt;高値!G207,高値!H207&gt;高値!F207,高値!H207&gt;高値!I207,高値!H207&gt;高値!J207),3,""))</f>
      </c>
      <c r="AE207" s="684">
        <f>IF(終値!A207="","",IF(AND(高値!I207&gt;高値!H207,高値!I207&gt;高値!G207,高値!I207&gt;高値!J207,高値!I207&gt;高値!K207),4,""))</f>
      </c>
      <c r="AF207" s="684">
        <f>IF(終値!A207="","",IF(AND(高値!J207&gt;高値!I207,高値!J207&gt;高値!H207,高値!J207&gt;高値!K207,高値!J207&gt;高値!L207),5,""))</f>
      </c>
      <c r="AG207" s="684">
        <f>IF(終値!A207="","",IF(AND(高値!K207&gt;高値!J207,高値!K207&gt;高値!I207,高値!K207&gt;高値!L207,高値!K207&gt;高値!M207),6,""))</f>
      </c>
      <c r="AH207" s="684">
        <f>IF(終値!A207="","",IF(AND(高値!L207&gt;高値!K207,高値!L207&gt;高値!J207,高値!L207&gt;高値!M207,高値!L207&gt;高値!N207),7,""))</f>
      </c>
      <c r="AI207" s="684">
        <f>IF(終値!A207="","",IF(AND(高値!M207&gt;高値!L207,高値!M207&gt;高値!K207,高値!M207&gt;高値!N207,高値!M207&gt;高値!O207),8,""))</f>
      </c>
      <c r="AJ207" s="684">
        <f>IF(終値!A207="","",IF(AND(高値!N207&gt;高値!M207,高値!N207&gt;高値!L207,高値!N207&gt;高値!O207,高値!N207&gt;高値!P207),9,""))</f>
      </c>
      <c r="AK207" s="684">
        <f>IF(終値!A207="","",IF(AND(高値!O207&gt;高値!N207,高値!O207&gt;高値!M207,高値!O207&gt;高値!P207,高値!O207&gt;高値!Q207),10,""))</f>
      </c>
      <c r="AL207" s="684">
        <f>IF(終値!A207="","",IF(AND(高値!P207&gt;高値!O207,高値!P207&gt;高値!N207,高値!P207&gt;高値!Q207,高値!P207&gt;高値!R207),11,""))</f>
      </c>
      <c r="AM207" s="684">
        <f>IF(終値!A207="","",IF(AND(高値!Q207&gt;高値!P207,高値!Q207&gt;高値!O207,高値!Q207&gt;高値!R207,高値!Q207&gt;高値!S207),12,""))</f>
      </c>
      <c r="AN207" s="684">
        <f>IF(終値!A207="","",IF(AND(高値!R207&gt;高値!Q207,高値!R207&gt;高値!P207,高値!R207&gt;高値!S207,高値!R207&gt;高値!T207),13,""))</f>
      </c>
      <c r="AO207" s="684">
        <f>IF(終値!A207="","",IF(AND(高値!S207&gt;高値!R207,高値!S207&gt;高値!Q207,高値!S207&gt;高値!T207,高値!S207&gt;高値!U207),14,""))</f>
      </c>
      <c r="AP207" s="684">
        <f>IF(終値!A207="","",IF(AND(高値!T207&gt;高値!S207,高値!T207&gt;高値!R207,高値!T207&gt;高値!U207,高値!T207&gt;高値!V207),15,""))</f>
      </c>
      <c r="AQ207" s="684">
        <f>IF(終値!A207="","",IF(AND(高値!U207&gt;高値!T207,高値!U207&gt;高値!S207,高値!U207&gt;高値!V207,高値!U207&gt;高値!W207),16,""))</f>
      </c>
      <c r="AR207" s="684">
        <f>IF(終値!A207="","",IF(AND(高値!V207&gt;高値!U207,高値!V207&gt;高値!T207,高値!V207&gt;高値!W207,高値!V207&gt;高値!X207),17,""))</f>
      </c>
      <c r="AS207" s="684">
        <f>IF(終値!A207="","",IF(AND(高値!W207&gt;高値!V207,高値!W207&gt;高値!U207,高値!W207&gt;高値!X207,高値!W207&gt;高値!Y207),18,""))</f>
      </c>
      <c r="AT207" s="684">
        <f>IF(終値!A207="","",IF(AND(高値!X207&gt;高値!W207,高値!X207&gt;高値!V207,高値!X207&gt;高値!Y207,高値!X207&gt;高値!Z207),19,""))</f>
      </c>
      <c r="AU207" s="684">
        <f>IF(終値!A207="","",IF(AND(高値!Y207&gt;高値!X207,高値!Y207&gt;高値!W207,高値!Y207&gt;高値!Z207,高値!Y207&gt;高値!AA207),20,""))</f>
      </c>
      <c r="AV207" s="684">
        <f>IF(終値!A207="","",IF(AND(高値!Z207&gt;高値!Y207,高値!Z207&gt;高値!X207,高値!Z207&gt;高値!AA207,高値!Z207&gt;高値!AB207),21,""))</f>
      </c>
      <c r="AW207" s="684">
        <f>IF(終値!A207="","",IF(AND(高値!AA207&gt;高値!Z207,高値!AA207&gt;高値!Y207,高値!AA207&gt;高値!AB207,高値!AA207&gt;高値!AC207),22,""))</f>
      </c>
      <c r="AX207" s="684">
        <f>IF(終値!A207="","",IF(AND(高値!AB207&gt;高値!AA207,高値!AB207&gt;高値!Z207,高値!AB207&gt;高値!AC207,高値!AB207&gt;高値!AD207),23,""))</f>
      </c>
      <c r="AY207" s="684">
        <f>IF(終値!A207="","",IF(AND(高値!AC207&gt;高値!AB207,高値!AC207&gt;高値!AA207,高値!AC207&gt;高値!AD207,高値!AC207&gt;高値!AE207),24,""))</f>
      </c>
      <c r="AZ207" s="684">
        <f>IF(終値!A207="","",IF(AND(高値!AD207&gt;高値!AC207,高値!AD207&gt;高値!AB207,高値!AD207&gt;高値!AE207,高値!AD207&gt;高値!AF207),25,""))</f>
      </c>
      <c r="BA207" s="684">
        <f>IF(終値!A207="","",IF(AND(高値!AE207&gt;高値!AD207,高値!AE207&gt;高値!AC207,高値!AE207&gt;高値!AF207,高値!AE207&gt;高値!AG207),26,""))</f>
      </c>
      <c r="BB207" s="684">
        <f>IF(終値!A207="","",IF(AND(高値!AF207&gt;高値!AE207,高値!AF207&gt;高値!AD207,高値!AF207&gt;高値!AG207,高値!AF207&gt;高値!AH207),27,""))</f>
      </c>
      <c r="BC207" s="684">
        <f>IF(終値!A207="","",IF(AND(高値!AG207&gt;高値!AF207,高値!AG207&gt;高値!AE207,高値!AG207&gt;高値!AH207,高値!AG207&gt;高値!AI207),28,""))</f>
      </c>
      <c r="BD207" s="684">
        <f>COUNT($B207:$AB207)</f>
      </c>
      <c r="BE207" s="684">
        <f>IF($BD207&gt;=2,MIN($B207:$AB207),"")</f>
      </c>
      <c r="BF207" s="684">
        <f>IF($BD207&gt;=2,SMALL($B207:$AB207,2),"")</f>
      </c>
      <c r="BG207" s="684">
        <f>IF($BE207="","",INDEX(安値!$E207:$CZ207,1,$BE207+1))</f>
      </c>
      <c r="BH207" s="684">
        <f>IF($BF207="","",INDEX(安値!$E207:$CZ207,1,$BF207+1))</f>
      </c>
      <c r="BI207" s="684">
        <f>IF($BF207="","",MAX(INDEX(高値!$E207:$CZ207,1,$BE207+1):INDEX(高値!$E207:$CZ207,1,$BF207+1)))</f>
      </c>
      <c r="BJ207" s="684">
        <f>IF($BF207="","",AVERAGE(INDEX(終値!$E207:$CZ207,1,$BF207+1):INDEX(終値!$E207:$CZ207,1,$BF207+20))-2*STDEVP(INDEX(終値!$E207:$CZ207,1,$BF207+1):INDEX(終値!$E207:$CZ207,1,$BF207+20)))</f>
      </c>
      <c r="BK207" s="684">
        <f>IF($BE207="","",AVERAGE(INDEX(終値!$E207:$CZ207,1,$BE207+1):INDEX(終値!$E207:$CZ207,1,$BE207+20))-2*STDEVP(INDEX(終値!$E207:$CZ207,1,$BE207+1):INDEX(終値!$E207:$CZ207,1,$BE207+20)))</f>
      </c>
      <c r="BL207" s="684">
        <f>COUNT($AC207:$BC207)</f>
      </c>
      <c r="BM207" s="684">
        <f>IF($BL207&gt;=2,MIN($AC207:$BC207),"")</f>
      </c>
      <c r="BN207" s="684">
        <f>IF($BL207&gt;=2,SMALL($AC207:$BC207,2),"")</f>
      </c>
      <c r="BO207" s="684">
        <f>IF($BM207="","",INDEX(高値!$E207:$CZ207,1,$BM207+1))</f>
      </c>
      <c r="BP207" s="684">
        <f>IF($BN207="","",INDEX(高値!$E207:$CZ207,1,$BN207+1))</f>
      </c>
      <c r="BQ207" s="684">
        <f>IF($BN207="","",MIN(INDEX(安値!$E207:$CZ207,1,$BM207+1):INDEX(安値!$E207:$CZ207,1,$BN207+1)))</f>
      </c>
      <c r="BR207" s="684">
        <f>IF($BN207="","",AVERAGE(INDEX(終値!$E207:$CZ207,1,$BN207+1):INDEX(終値!$E207:$CZ207,1,$BN207+20))+2*STDEVP(INDEX(終値!$E207:$CZ207,1,$BN207+1):INDEX(終値!$E207:$CZ207,1,$BN207+20)))</f>
      </c>
      <c r="BS207" s="684">
        <f>IF($BM207="","",AVERAGE(INDEX(終値!$E207:$CZ207,1,$BM207+1):INDEX(終値!$E207:$CZ207,1,$BM207+20))+2*STDEVP(INDEX(終値!$E207:$CZ207,1,$BM207+1):INDEX(終値!$E207:$CZ207,1,$BM207+20)))</f>
      </c>
      <c r="BT207" s="681">
        <f>IFERROR(IF(AND($BD207&gt;=2,ABS($BG207-$BH207)/$BH207&lt;=BB設定!$B$12,$BI207&gt;=MAX($BH207,$BG207)*(1+BB設定!$B$13),終値!E207&gt;$BG207),IF(OR(終値!E207&gt;=$BI207,AND($BH207&lt;$BJ207,$BG207&gt;=$BK207)),"二番底W▲","二番底W形成"),IF(AND($BL207&gt;=2,ABS($BO207-$BP207)/$BP207&lt;=BB設定!$B$12,$BQ207&lt;=MIN($BP207,$BO207)*(1-BB設定!$B$13),終値!E207&lt;$BO207),IF(OR(終値!E207&lt;=$BQ207,AND($BP207&gt;$BR207,$BO207&lt;=$BS207)),"二番天井M▼","二番天井M形成"),"－")),"－")</f>
      </c>
    </row>
    <row r="208">
      <c r="B208" s="684">
        <f>IF(終値!A208="","",IF(AND(安値!G208&lt;安値!F208,安値!G208&lt;安値!E208,安値!G208&lt;安値!H208,安値!G208&lt;安値!I208),2,""))</f>
      </c>
      <c r="C208" s="684">
        <f>IF(終値!A208="","",IF(AND(安値!H208&lt;安値!G208,安値!H208&lt;安値!F208,安値!H208&lt;安値!I208,安値!H208&lt;安値!J208),3,""))</f>
      </c>
      <c r="D208" s="684">
        <f>IF(終値!A208="","",IF(AND(安値!I208&lt;安値!H208,安値!I208&lt;安値!G208,安値!I208&lt;安値!J208,安値!I208&lt;安値!K208),4,""))</f>
      </c>
      <c r="E208" s="684">
        <f>IF(終値!A208="","",IF(AND(安値!J208&lt;安値!I208,安値!J208&lt;安値!H208,安値!J208&lt;安値!K208,安値!J208&lt;安値!L208),5,""))</f>
      </c>
      <c r="F208" s="684">
        <f>IF(終値!A208="","",IF(AND(安値!K208&lt;安値!J208,安値!K208&lt;安値!I208,安値!K208&lt;安値!L208,安値!K208&lt;安値!M208),6,""))</f>
      </c>
      <c r="G208" s="684">
        <f>IF(終値!A208="","",IF(AND(安値!L208&lt;安値!K208,安値!L208&lt;安値!J208,安値!L208&lt;安値!M208,安値!L208&lt;安値!N208),7,""))</f>
      </c>
      <c r="H208" s="684">
        <f>IF(終値!A208="","",IF(AND(安値!M208&lt;安値!L208,安値!M208&lt;安値!K208,安値!M208&lt;安値!N208,安値!M208&lt;安値!O208),8,""))</f>
      </c>
      <c r="I208" s="684">
        <f>IF(終値!A208="","",IF(AND(安値!N208&lt;安値!M208,安値!N208&lt;安値!L208,安値!N208&lt;安値!O208,安値!N208&lt;安値!P208),9,""))</f>
      </c>
      <c r="J208" s="684">
        <f>IF(終値!A208="","",IF(AND(安値!O208&lt;安値!N208,安値!O208&lt;安値!M208,安値!O208&lt;安値!P208,安値!O208&lt;安値!Q208),10,""))</f>
      </c>
      <c r="K208" s="684">
        <f>IF(終値!A208="","",IF(AND(安値!P208&lt;安値!O208,安値!P208&lt;安値!N208,安値!P208&lt;安値!Q208,安値!P208&lt;安値!R208),11,""))</f>
      </c>
      <c r="L208" s="684">
        <f>IF(終値!A208="","",IF(AND(安値!Q208&lt;安値!P208,安値!Q208&lt;安値!O208,安値!Q208&lt;安値!R208,安値!Q208&lt;安値!S208),12,""))</f>
      </c>
      <c r="M208" s="684">
        <f>IF(終値!A208="","",IF(AND(安値!R208&lt;安値!Q208,安値!R208&lt;安値!P208,安値!R208&lt;安値!S208,安値!R208&lt;安値!T208),13,""))</f>
      </c>
      <c r="N208" s="684">
        <f>IF(終値!A208="","",IF(AND(安値!S208&lt;安値!R208,安値!S208&lt;安値!Q208,安値!S208&lt;安値!T208,安値!S208&lt;安値!U208),14,""))</f>
      </c>
      <c r="O208" s="684">
        <f>IF(終値!A208="","",IF(AND(安値!T208&lt;安値!S208,安値!T208&lt;安値!R208,安値!T208&lt;安値!U208,安値!T208&lt;安値!V208),15,""))</f>
      </c>
      <c r="P208" s="684">
        <f>IF(終値!A208="","",IF(AND(安値!U208&lt;安値!T208,安値!U208&lt;安値!S208,安値!U208&lt;安値!V208,安値!U208&lt;安値!W208),16,""))</f>
      </c>
      <c r="Q208" s="684">
        <f>IF(終値!A208="","",IF(AND(安値!V208&lt;安値!U208,安値!V208&lt;安値!T208,安値!V208&lt;安値!W208,安値!V208&lt;安値!X208),17,""))</f>
      </c>
      <c r="R208" s="684">
        <f>IF(終値!A208="","",IF(AND(安値!W208&lt;安値!V208,安値!W208&lt;安値!U208,安値!W208&lt;安値!X208,安値!W208&lt;安値!Y208),18,""))</f>
      </c>
      <c r="S208" s="684">
        <f>IF(終値!A208="","",IF(AND(安値!X208&lt;安値!W208,安値!X208&lt;安値!V208,安値!X208&lt;安値!Y208,安値!X208&lt;安値!Z208),19,""))</f>
      </c>
      <c r="T208" s="684">
        <f>IF(終値!A208="","",IF(AND(安値!Y208&lt;安値!X208,安値!Y208&lt;安値!W208,安値!Y208&lt;安値!Z208,安値!Y208&lt;安値!AA208),20,""))</f>
      </c>
      <c r="U208" s="684">
        <f>IF(終値!A208="","",IF(AND(安値!Z208&lt;安値!Y208,安値!Z208&lt;安値!X208,安値!Z208&lt;安値!AA208,安値!Z208&lt;安値!AB208),21,""))</f>
      </c>
      <c r="V208" s="684">
        <f>IF(終値!A208="","",IF(AND(安値!AA208&lt;安値!Z208,安値!AA208&lt;安値!Y208,安値!AA208&lt;安値!AB208,安値!AA208&lt;安値!AC208),22,""))</f>
      </c>
      <c r="W208" s="684">
        <f>IF(終値!A208="","",IF(AND(安値!AB208&lt;安値!AA208,安値!AB208&lt;安値!Z208,安値!AB208&lt;安値!AC208,安値!AB208&lt;安値!AD208),23,""))</f>
      </c>
      <c r="X208" s="684">
        <f>IF(終値!A208="","",IF(AND(安値!AC208&lt;安値!AB208,安値!AC208&lt;安値!AA208,安値!AC208&lt;安値!AD208,安値!AC208&lt;安値!AE208),24,""))</f>
      </c>
      <c r="Y208" s="684">
        <f>IF(終値!A208="","",IF(AND(安値!AD208&lt;安値!AC208,安値!AD208&lt;安値!AB208,安値!AD208&lt;安値!AE208,安値!AD208&lt;安値!AF208),25,""))</f>
      </c>
      <c r="Z208" s="684">
        <f>IF(終値!A208="","",IF(AND(安値!AE208&lt;安値!AD208,安値!AE208&lt;安値!AC208,安値!AE208&lt;安値!AF208,安値!AE208&lt;安値!AG208),26,""))</f>
      </c>
      <c r="AA208" s="684">
        <f>IF(終値!A208="","",IF(AND(安値!AF208&lt;安値!AE208,安値!AF208&lt;安値!AD208,安値!AF208&lt;安値!AG208,安値!AF208&lt;安値!AH208),27,""))</f>
      </c>
      <c r="AB208" s="684">
        <f>IF(終値!A208="","",IF(AND(安値!AG208&lt;安値!AF208,安値!AG208&lt;安値!AE208,安値!AG208&lt;安値!AH208,安値!AG208&lt;安値!AI208),28,""))</f>
      </c>
      <c r="AC208" s="684">
        <f>IF(終値!A208="","",IF(AND(高値!G208&gt;高値!F208,高値!G208&gt;高値!E208,高値!G208&gt;高値!H208,高値!G208&gt;高値!I208),2,""))</f>
      </c>
      <c r="AD208" s="684">
        <f>IF(終値!A208="","",IF(AND(高値!H208&gt;高値!G208,高値!H208&gt;高値!F208,高値!H208&gt;高値!I208,高値!H208&gt;高値!J208),3,""))</f>
      </c>
      <c r="AE208" s="684">
        <f>IF(終値!A208="","",IF(AND(高値!I208&gt;高値!H208,高値!I208&gt;高値!G208,高値!I208&gt;高値!J208,高値!I208&gt;高値!K208),4,""))</f>
      </c>
      <c r="AF208" s="684">
        <f>IF(終値!A208="","",IF(AND(高値!J208&gt;高値!I208,高値!J208&gt;高値!H208,高値!J208&gt;高値!K208,高値!J208&gt;高値!L208),5,""))</f>
      </c>
      <c r="AG208" s="684">
        <f>IF(終値!A208="","",IF(AND(高値!K208&gt;高値!J208,高値!K208&gt;高値!I208,高値!K208&gt;高値!L208,高値!K208&gt;高値!M208),6,""))</f>
      </c>
      <c r="AH208" s="684">
        <f>IF(終値!A208="","",IF(AND(高値!L208&gt;高値!K208,高値!L208&gt;高値!J208,高値!L208&gt;高値!M208,高値!L208&gt;高値!N208),7,""))</f>
      </c>
      <c r="AI208" s="684">
        <f>IF(終値!A208="","",IF(AND(高値!M208&gt;高値!L208,高値!M208&gt;高値!K208,高値!M208&gt;高値!N208,高値!M208&gt;高値!O208),8,""))</f>
      </c>
      <c r="AJ208" s="684">
        <f>IF(終値!A208="","",IF(AND(高値!N208&gt;高値!M208,高値!N208&gt;高値!L208,高値!N208&gt;高値!O208,高値!N208&gt;高値!P208),9,""))</f>
      </c>
      <c r="AK208" s="684">
        <f>IF(終値!A208="","",IF(AND(高値!O208&gt;高値!N208,高値!O208&gt;高値!M208,高値!O208&gt;高値!P208,高値!O208&gt;高値!Q208),10,""))</f>
      </c>
      <c r="AL208" s="684">
        <f>IF(終値!A208="","",IF(AND(高値!P208&gt;高値!O208,高値!P208&gt;高値!N208,高値!P208&gt;高値!Q208,高値!P208&gt;高値!R208),11,""))</f>
      </c>
      <c r="AM208" s="684">
        <f>IF(終値!A208="","",IF(AND(高値!Q208&gt;高値!P208,高値!Q208&gt;高値!O208,高値!Q208&gt;高値!R208,高値!Q208&gt;高値!S208),12,""))</f>
      </c>
      <c r="AN208" s="684">
        <f>IF(終値!A208="","",IF(AND(高値!R208&gt;高値!Q208,高値!R208&gt;高値!P208,高値!R208&gt;高値!S208,高値!R208&gt;高値!T208),13,""))</f>
      </c>
      <c r="AO208" s="684">
        <f>IF(終値!A208="","",IF(AND(高値!S208&gt;高値!R208,高値!S208&gt;高値!Q208,高値!S208&gt;高値!T208,高値!S208&gt;高値!U208),14,""))</f>
      </c>
      <c r="AP208" s="684">
        <f>IF(終値!A208="","",IF(AND(高値!T208&gt;高値!S208,高値!T208&gt;高値!R208,高値!T208&gt;高値!U208,高値!T208&gt;高値!V208),15,""))</f>
      </c>
      <c r="AQ208" s="684">
        <f>IF(終値!A208="","",IF(AND(高値!U208&gt;高値!T208,高値!U208&gt;高値!S208,高値!U208&gt;高値!V208,高値!U208&gt;高値!W208),16,""))</f>
      </c>
      <c r="AR208" s="684">
        <f>IF(終値!A208="","",IF(AND(高値!V208&gt;高値!U208,高値!V208&gt;高値!T208,高値!V208&gt;高値!W208,高値!V208&gt;高値!X208),17,""))</f>
      </c>
      <c r="AS208" s="684">
        <f>IF(終値!A208="","",IF(AND(高値!W208&gt;高値!V208,高値!W208&gt;高値!U208,高値!W208&gt;高値!X208,高値!W208&gt;高値!Y208),18,""))</f>
      </c>
      <c r="AT208" s="684">
        <f>IF(終値!A208="","",IF(AND(高値!X208&gt;高値!W208,高値!X208&gt;高値!V208,高値!X208&gt;高値!Y208,高値!X208&gt;高値!Z208),19,""))</f>
      </c>
      <c r="AU208" s="684">
        <f>IF(終値!A208="","",IF(AND(高値!Y208&gt;高値!X208,高値!Y208&gt;高値!W208,高値!Y208&gt;高値!Z208,高値!Y208&gt;高値!AA208),20,""))</f>
      </c>
      <c r="AV208" s="684">
        <f>IF(終値!A208="","",IF(AND(高値!Z208&gt;高値!Y208,高値!Z208&gt;高値!X208,高値!Z208&gt;高値!AA208,高値!Z208&gt;高値!AB208),21,""))</f>
      </c>
      <c r="AW208" s="684">
        <f>IF(終値!A208="","",IF(AND(高値!AA208&gt;高値!Z208,高値!AA208&gt;高値!Y208,高値!AA208&gt;高値!AB208,高値!AA208&gt;高値!AC208),22,""))</f>
      </c>
      <c r="AX208" s="684">
        <f>IF(終値!A208="","",IF(AND(高値!AB208&gt;高値!AA208,高値!AB208&gt;高値!Z208,高値!AB208&gt;高値!AC208,高値!AB208&gt;高値!AD208),23,""))</f>
      </c>
      <c r="AY208" s="684">
        <f>IF(終値!A208="","",IF(AND(高値!AC208&gt;高値!AB208,高値!AC208&gt;高値!AA208,高値!AC208&gt;高値!AD208,高値!AC208&gt;高値!AE208),24,""))</f>
      </c>
      <c r="AZ208" s="684">
        <f>IF(終値!A208="","",IF(AND(高値!AD208&gt;高値!AC208,高値!AD208&gt;高値!AB208,高値!AD208&gt;高値!AE208,高値!AD208&gt;高値!AF208),25,""))</f>
      </c>
      <c r="BA208" s="684">
        <f>IF(終値!A208="","",IF(AND(高値!AE208&gt;高値!AD208,高値!AE208&gt;高値!AC208,高値!AE208&gt;高値!AF208,高値!AE208&gt;高値!AG208),26,""))</f>
      </c>
      <c r="BB208" s="684">
        <f>IF(終値!A208="","",IF(AND(高値!AF208&gt;高値!AE208,高値!AF208&gt;高値!AD208,高値!AF208&gt;高値!AG208,高値!AF208&gt;高値!AH208),27,""))</f>
      </c>
      <c r="BC208" s="684">
        <f>IF(終値!A208="","",IF(AND(高値!AG208&gt;高値!AF208,高値!AG208&gt;高値!AE208,高値!AG208&gt;高値!AH208,高値!AG208&gt;高値!AI208),28,""))</f>
      </c>
      <c r="BD208" s="684">
        <f>COUNT($B208:$AB208)</f>
      </c>
      <c r="BE208" s="684">
        <f>IF($BD208&gt;=2,MIN($B208:$AB208),"")</f>
      </c>
      <c r="BF208" s="684">
        <f>IF($BD208&gt;=2,SMALL($B208:$AB208,2),"")</f>
      </c>
      <c r="BG208" s="684">
        <f>IF($BE208="","",INDEX(安値!$E208:$CZ208,1,$BE208+1))</f>
      </c>
      <c r="BH208" s="684">
        <f>IF($BF208="","",INDEX(安値!$E208:$CZ208,1,$BF208+1))</f>
      </c>
      <c r="BI208" s="684">
        <f>IF($BF208="","",MAX(INDEX(高値!$E208:$CZ208,1,$BE208+1):INDEX(高値!$E208:$CZ208,1,$BF208+1)))</f>
      </c>
      <c r="BJ208" s="684">
        <f>IF($BF208="","",AVERAGE(INDEX(終値!$E208:$CZ208,1,$BF208+1):INDEX(終値!$E208:$CZ208,1,$BF208+20))-2*STDEVP(INDEX(終値!$E208:$CZ208,1,$BF208+1):INDEX(終値!$E208:$CZ208,1,$BF208+20)))</f>
      </c>
      <c r="BK208" s="684">
        <f>IF($BE208="","",AVERAGE(INDEX(終値!$E208:$CZ208,1,$BE208+1):INDEX(終値!$E208:$CZ208,1,$BE208+20))-2*STDEVP(INDEX(終値!$E208:$CZ208,1,$BE208+1):INDEX(終値!$E208:$CZ208,1,$BE208+20)))</f>
      </c>
      <c r="BL208" s="684">
        <f>COUNT($AC208:$BC208)</f>
      </c>
      <c r="BM208" s="684">
        <f>IF($BL208&gt;=2,MIN($AC208:$BC208),"")</f>
      </c>
      <c r="BN208" s="684">
        <f>IF($BL208&gt;=2,SMALL($AC208:$BC208,2),"")</f>
      </c>
      <c r="BO208" s="684">
        <f>IF($BM208="","",INDEX(高値!$E208:$CZ208,1,$BM208+1))</f>
      </c>
      <c r="BP208" s="684">
        <f>IF($BN208="","",INDEX(高値!$E208:$CZ208,1,$BN208+1))</f>
      </c>
      <c r="BQ208" s="684">
        <f>IF($BN208="","",MIN(INDEX(安値!$E208:$CZ208,1,$BM208+1):INDEX(安値!$E208:$CZ208,1,$BN208+1)))</f>
      </c>
      <c r="BR208" s="684">
        <f>IF($BN208="","",AVERAGE(INDEX(終値!$E208:$CZ208,1,$BN208+1):INDEX(終値!$E208:$CZ208,1,$BN208+20))+2*STDEVP(INDEX(終値!$E208:$CZ208,1,$BN208+1):INDEX(終値!$E208:$CZ208,1,$BN208+20)))</f>
      </c>
      <c r="BS208" s="684">
        <f>IF($BM208="","",AVERAGE(INDEX(終値!$E208:$CZ208,1,$BM208+1):INDEX(終値!$E208:$CZ208,1,$BM208+20))+2*STDEVP(INDEX(終値!$E208:$CZ208,1,$BM208+1):INDEX(終値!$E208:$CZ208,1,$BM208+20)))</f>
      </c>
      <c r="BT208" s="681">
        <f>IFERROR(IF(AND($BD208&gt;=2,ABS($BG208-$BH208)/$BH208&lt;=BB設定!$B$12,$BI208&gt;=MAX($BH208,$BG208)*(1+BB設定!$B$13),終値!E208&gt;$BG208),IF(OR(終値!E208&gt;=$BI208,AND($BH208&lt;$BJ208,$BG208&gt;=$BK208)),"二番底W▲","二番底W形成"),IF(AND($BL208&gt;=2,ABS($BO208-$BP208)/$BP208&lt;=BB設定!$B$12,$BQ208&lt;=MIN($BP208,$BO208)*(1-BB設定!$B$13),終値!E208&lt;$BO208),IF(OR(終値!E208&lt;=$BQ208,AND($BP208&gt;$BR208,$BO208&lt;=$BS208)),"二番天井M▼","二番天井M形成"),"－")),"－")</f>
      </c>
    </row>
    <row r="209">
      <c r="B209" s="684">
        <f>IF(終値!A209="","",IF(AND(安値!G209&lt;安値!F209,安値!G209&lt;安値!E209,安値!G209&lt;安値!H209,安値!G209&lt;安値!I209),2,""))</f>
      </c>
      <c r="C209" s="684">
        <f>IF(終値!A209="","",IF(AND(安値!H209&lt;安値!G209,安値!H209&lt;安値!F209,安値!H209&lt;安値!I209,安値!H209&lt;安値!J209),3,""))</f>
      </c>
      <c r="D209" s="684">
        <f>IF(終値!A209="","",IF(AND(安値!I209&lt;安値!H209,安値!I209&lt;安値!G209,安値!I209&lt;安値!J209,安値!I209&lt;安値!K209),4,""))</f>
      </c>
      <c r="E209" s="684">
        <f>IF(終値!A209="","",IF(AND(安値!J209&lt;安値!I209,安値!J209&lt;安値!H209,安値!J209&lt;安値!K209,安値!J209&lt;安値!L209),5,""))</f>
      </c>
      <c r="F209" s="684">
        <f>IF(終値!A209="","",IF(AND(安値!K209&lt;安値!J209,安値!K209&lt;安値!I209,安値!K209&lt;安値!L209,安値!K209&lt;安値!M209),6,""))</f>
      </c>
      <c r="G209" s="684">
        <f>IF(終値!A209="","",IF(AND(安値!L209&lt;安値!K209,安値!L209&lt;安値!J209,安値!L209&lt;安値!M209,安値!L209&lt;安値!N209),7,""))</f>
      </c>
      <c r="H209" s="684">
        <f>IF(終値!A209="","",IF(AND(安値!M209&lt;安値!L209,安値!M209&lt;安値!K209,安値!M209&lt;安値!N209,安値!M209&lt;安値!O209),8,""))</f>
      </c>
      <c r="I209" s="684">
        <f>IF(終値!A209="","",IF(AND(安値!N209&lt;安値!M209,安値!N209&lt;安値!L209,安値!N209&lt;安値!O209,安値!N209&lt;安値!P209),9,""))</f>
      </c>
      <c r="J209" s="684">
        <f>IF(終値!A209="","",IF(AND(安値!O209&lt;安値!N209,安値!O209&lt;安値!M209,安値!O209&lt;安値!P209,安値!O209&lt;安値!Q209),10,""))</f>
      </c>
      <c r="K209" s="684">
        <f>IF(終値!A209="","",IF(AND(安値!P209&lt;安値!O209,安値!P209&lt;安値!N209,安値!P209&lt;安値!Q209,安値!P209&lt;安値!R209),11,""))</f>
      </c>
      <c r="L209" s="684">
        <f>IF(終値!A209="","",IF(AND(安値!Q209&lt;安値!P209,安値!Q209&lt;安値!O209,安値!Q209&lt;安値!R209,安値!Q209&lt;安値!S209),12,""))</f>
      </c>
      <c r="M209" s="684">
        <f>IF(終値!A209="","",IF(AND(安値!R209&lt;安値!Q209,安値!R209&lt;安値!P209,安値!R209&lt;安値!S209,安値!R209&lt;安値!T209),13,""))</f>
      </c>
      <c r="N209" s="684">
        <f>IF(終値!A209="","",IF(AND(安値!S209&lt;安値!R209,安値!S209&lt;安値!Q209,安値!S209&lt;安値!T209,安値!S209&lt;安値!U209),14,""))</f>
      </c>
      <c r="O209" s="684">
        <f>IF(終値!A209="","",IF(AND(安値!T209&lt;安値!S209,安値!T209&lt;安値!R209,安値!T209&lt;安値!U209,安値!T209&lt;安値!V209),15,""))</f>
      </c>
      <c r="P209" s="684">
        <f>IF(終値!A209="","",IF(AND(安値!U209&lt;安値!T209,安値!U209&lt;安値!S209,安値!U209&lt;安値!V209,安値!U209&lt;安値!W209),16,""))</f>
      </c>
      <c r="Q209" s="684">
        <f>IF(終値!A209="","",IF(AND(安値!V209&lt;安値!U209,安値!V209&lt;安値!T209,安値!V209&lt;安値!W209,安値!V209&lt;安値!X209),17,""))</f>
      </c>
      <c r="R209" s="684">
        <f>IF(終値!A209="","",IF(AND(安値!W209&lt;安値!V209,安値!W209&lt;安値!U209,安値!W209&lt;安値!X209,安値!W209&lt;安値!Y209),18,""))</f>
      </c>
      <c r="S209" s="684">
        <f>IF(終値!A209="","",IF(AND(安値!X209&lt;安値!W209,安値!X209&lt;安値!V209,安値!X209&lt;安値!Y209,安値!X209&lt;安値!Z209),19,""))</f>
      </c>
      <c r="T209" s="684">
        <f>IF(終値!A209="","",IF(AND(安値!Y209&lt;安値!X209,安値!Y209&lt;安値!W209,安値!Y209&lt;安値!Z209,安値!Y209&lt;安値!AA209),20,""))</f>
      </c>
      <c r="U209" s="684">
        <f>IF(終値!A209="","",IF(AND(安値!Z209&lt;安値!Y209,安値!Z209&lt;安値!X209,安値!Z209&lt;安値!AA209,安値!Z209&lt;安値!AB209),21,""))</f>
      </c>
      <c r="V209" s="684">
        <f>IF(終値!A209="","",IF(AND(安値!AA209&lt;安値!Z209,安値!AA209&lt;安値!Y209,安値!AA209&lt;安値!AB209,安値!AA209&lt;安値!AC209),22,""))</f>
      </c>
      <c r="W209" s="684">
        <f>IF(終値!A209="","",IF(AND(安値!AB209&lt;安値!AA209,安値!AB209&lt;安値!Z209,安値!AB209&lt;安値!AC209,安値!AB209&lt;安値!AD209),23,""))</f>
      </c>
      <c r="X209" s="684">
        <f>IF(終値!A209="","",IF(AND(安値!AC209&lt;安値!AB209,安値!AC209&lt;安値!AA209,安値!AC209&lt;安値!AD209,安値!AC209&lt;安値!AE209),24,""))</f>
      </c>
      <c r="Y209" s="684">
        <f>IF(終値!A209="","",IF(AND(安値!AD209&lt;安値!AC209,安値!AD209&lt;安値!AB209,安値!AD209&lt;安値!AE209,安値!AD209&lt;安値!AF209),25,""))</f>
      </c>
      <c r="Z209" s="684">
        <f>IF(終値!A209="","",IF(AND(安値!AE209&lt;安値!AD209,安値!AE209&lt;安値!AC209,安値!AE209&lt;安値!AF209,安値!AE209&lt;安値!AG209),26,""))</f>
      </c>
      <c r="AA209" s="684">
        <f>IF(終値!A209="","",IF(AND(安値!AF209&lt;安値!AE209,安値!AF209&lt;安値!AD209,安値!AF209&lt;安値!AG209,安値!AF209&lt;安値!AH209),27,""))</f>
      </c>
      <c r="AB209" s="684">
        <f>IF(終値!A209="","",IF(AND(安値!AG209&lt;安値!AF209,安値!AG209&lt;安値!AE209,安値!AG209&lt;安値!AH209,安値!AG209&lt;安値!AI209),28,""))</f>
      </c>
      <c r="AC209" s="684">
        <f>IF(終値!A209="","",IF(AND(高値!G209&gt;高値!F209,高値!G209&gt;高値!E209,高値!G209&gt;高値!H209,高値!G209&gt;高値!I209),2,""))</f>
      </c>
      <c r="AD209" s="684">
        <f>IF(終値!A209="","",IF(AND(高値!H209&gt;高値!G209,高値!H209&gt;高値!F209,高値!H209&gt;高値!I209,高値!H209&gt;高値!J209),3,""))</f>
      </c>
      <c r="AE209" s="684">
        <f>IF(終値!A209="","",IF(AND(高値!I209&gt;高値!H209,高値!I209&gt;高値!G209,高値!I209&gt;高値!J209,高値!I209&gt;高値!K209),4,""))</f>
      </c>
      <c r="AF209" s="684">
        <f>IF(終値!A209="","",IF(AND(高値!J209&gt;高値!I209,高値!J209&gt;高値!H209,高値!J209&gt;高値!K209,高値!J209&gt;高値!L209),5,""))</f>
      </c>
      <c r="AG209" s="684">
        <f>IF(終値!A209="","",IF(AND(高値!K209&gt;高値!J209,高値!K209&gt;高値!I209,高値!K209&gt;高値!L209,高値!K209&gt;高値!M209),6,""))</f>
      </c>
      <c r="AH209" s="684">
        <f>IF(終値!A209="","",IF(AND(高値!L209&gt;高値!K209,高値!L209&gt;高値!J209,高値!L209&gt;高値!M209,高値!L209&gt;高値!N209),7,""))</f>
      </c>
      <c r="AI209" s="684">
        <f>IF(終値!A209="","",IF(AND(高値!M209&gt;高値!L209,高値!M209&gt;高値!K209,高値!M209&gt;高値!N209,高値!M209&gt;高値!O209),8,""))</f>
      </c>
      <c r="AJ209" s="684">
        <f>IF(終値!A209="","",IF(AND(高値!N209&gt;高値!M209,高値!N209&gt;高値!L209,高値!N209&gt;高値!O209,高値!N209&gt;高値!P209),9,""))</f>
      </c>
      <c r="AK209" s="684">
        <f>IF(終値!A209="","",IF(AND(高値!O209&gt;高値!N209,高値!O209&gt;高値!M209,高値!O209&gt;高値!P209,高値!O209&gt;高値!Q209),10,""))</f>
      </c>
      <c r="AL209" s="684">
        <f>IF(終値!A209="","",IF(AND(高値!P209&gt;高値!O209,高値!P209&gt;高値!N209,高値!P209&gt;高値!Q209,高値!P209&gt;高値!R209),11,""))</f>
      </c>
      <c r="AM209" s="684">
        <f>IF(終値!A209="","",IF(AND(高値!Q209&gt;高値!P209,高値!Q209&gt;高値!O209,高値!Q209&gt;高値!R209,高値!Q209&gt;高値!S209),12,""))</f>
      </c>
      <c r="AN209" s="684">
        <f>IF(終値!A209="","",IF(AND(高値!R209&gt;高値!Q209,高値!R209&gt;高値!P209,高値!R209&gt;高値!S209,高値!R209&gt;高値!T209),13,""))</f>
      </c>
      <c r="AO209" s="684">
        <f>IF(終値!A209="","",IF(AND(高値!S209&gt;高値!R209,高値!S209&gt;高値!Q209,高値!S209&gt;高値!T209,高値!S209&gt;高値!U209),14,""))</f>
      </c>
      <c r="AP209" s="684">
        <f>IF(終値!A209="","",IF(AND(高値!T209&gt;高値!S209,高値!T209&gt;高値!R209,高値!T209&gt;高値!U209,高値!T209&gt;高値!V209),15,""))</f>
      </c>
      <c r="AQ209" s="684">
        <f>IF(終値!A209="","",IF(AND(高値!U209&gt;高値!T209,高値!U209&gt;高値!S209,高値!U209&gt;高値!V209,高値!U209&gt;高値!W209),16,""))</f>
      </c>
      <c r="AR209" s="684">
        <f>IF(終値!A209="","",IF(AND(高値!V209&gt;高値!U209,高値!V209&gt;高値!T209,高値!V209&gt;高値!W209,高値!V209&gt;高値!X209),17,""))</f>
      </c>
      <c r="AS209" s="684">
        <f>IF(終値!A209="","",IF(AND(高値!W209&gt;高値!V209,高値!W209&gt;高値!U209,高値!W209&gt;高値!X209,高値!W209&gt;高値!Y209),18,""))</f>
      </c>
      <c r="AT209" s="684">
        <f>IF(終値!A209="","",IF(AND(高値!X209&gt;高値!W209,高値!X209&gt;高値!V209,高値!X209&gt;高値!Y209,高値!X209&gt;高値!Z209),19,""))</f>
      </c>
      <c r="AU209" s="684">
        <f>IF(終値!A209="","",IF(AND(高値!Y209&gt;高値!X209,高値!Y209&gt;高値!W209,高値!Y209&gt;高値!Z209,高値!Y209&gt;高値!AA209),20,""))</f>
      </c>
      <c r="AV209" s="684">
        <f>IF(終値!A209="","",IF(AND(高値!Z209&gt;高値!Y209,高値!Z209&gt;高値!X209,高値!Z209&gt;高値!AA209,高値!Z209&gt;高値!AB209),21,""))</f>
      </c>
      <c r="AW209" s="684">
        <f>IF(終値!A209="","",IF(AND(高値!AA209&gt;高値!Z209,高値!AA209&gt;高値!Y209,高値!AA209&gt;高値!AB209,高値!AA209&gt;高値!AC209),22,""))</f>
      </c>
      <c r="AX209" s="684">
        <f>IF(終値!A209="","",IF(AND(高値!AB209&gt;高値!AA209,高値!AB209&gt;高値!Z209,高値!AB209&gt;高値!AC209,高値!AB209&gt;高値!AD209),23,""))</f>
      </c>
      <c r="AY209" s="684">
        <f>IF(終値!A209="","",IF(AND(高値!AC209&gt;高値!AB209,高値!AC209&gt;高値!AA209,高値!AC209&gt;高値!AD209,高値!AC209&gt;高値!AE209),24,""))</f>
      </c>
      <c r="AZ209" s="684">
        <f>IF(終値!A209="","",IF(AND(高値!AD209&gt;高値!AC209,高値!AD209&gt;高値!AB209,高値!AD209&gt;高値!AE209,高値!AD209&gt;高値!AF209),25,""))</f>
      </c>
      <c r="BA209" s="684">
        <f>IF(終値!A209="","",IF(AND(高値!AE209&gt;高値!AD209,高値!AE209&gt;高値!AC209,高値!AE209&gt;高値!AF209,高値!AE209&gt;高値!AG209),26,""))</f>
      </c>
      <c r="BB209" s="684">
        <f>IF(終値!A209="","",IF(AND(高値!AF209&gt;高値!AE209,高値!AF209&gt;高値!AD209,高値!AF209&gt;高値!AG209,高値!AF209&gt;高値!AH209),27,""))</f>
      </c>
      <c r="BC209" s="684">
        <f>IF(終値!A209="","",IF(AND(高値!AG209&gt;高値!AF209,高値!AG209&gt;高値!AE209,高値!AG209&gt;高値!AH209,高値!AG209&gt;高値!AI209),28,""))</f>
      </c>
      <c r="BD209" s="684">
        <f>COUNT($B209:$AB209)</f>
      </c>
      <c r="BE209" s="684">
        <f>IF($BD209&gt;=2,MIN($B209:$AB209),"")</f>
      </c>
      <c r="BF209" s="684">
        <f>IF($BD209&gt;=2,SMALL($B209:$AB209,2),"")</f>
      </c>
      <c r="BG209" s="684">
        <f>IF($BE209="","",INDEX(安値!$E209:$CZ209,1,$BE209+1))</f>
      </c>
      <c r="BH209" s="684">
        <f>IF($BF209="","",INDEX(安値!$E209:$CZ209,1,$BF209+1))</f>
      </c>
      <c r="BI209" s="684">
        <f>IF($BF209="","",MAX(INDEX(高値!$E209:$CZ209,1,$BE209+1):INDEX(高値!$E209:$CZ209,1,$BF209+1)))</f>
      </c>
      <c r="BJ209" s="684">
        <f>IF($BF209="","",AVERAGE(INDEX(終値!$E209:$CZ209,1,$BF209+1):INDEX(終値!$E209:$CZ209,1,$BF209+20))-2*STDEVP(INDEX(終値!$E209:$CZ209,1,$BF209+1):INDEX(終値!$E209:$CZ209,1,$BF209+20)))</f>
      </c>
      <c r="BK209" s="684">
        <f>IF($BE209="","",AVERAGE(INDEX(終値!$E209:$CZ209,1,$BE209+1):INDEX(終値!$E209:$CZ209,1,$BE209+20))-2*STDEVP(INDEX(終値!$E209:$CZ209,1,$BE209+1):INDEX(終値!$E209:$CZ209,1,$BE209+20)))</f>
      </c>
      <c r="BL209" s="684">
        <f>COUNT($AC209:$BC209)</f>
      </c>
      <c r="BM209" s="684">
        <f>IF($BL209&gt;=2,MIN($AC209:$BC209),"")</f>
      </c>
      <c r="BN209" s="684">
        <f>IF($BL209&gt;=2,SMALL($AC209:$BC209,2),"")</f>
      </c>
      <c r="BO209" s="684">
        <f>IF($BM209="","",INDEX(高値!$E209:$CZ209,1,$BM209+1))</f>
      </c>
      <c r="BP209" s="684">
        <f>IF($BN209="","",INDEX(高値!$E209:$CZ209,1,$BN209+1))</f>
      </c>
      <c r="BQ209" s="684">
        <f>IF($BN209="","",MIN(INDEX(安値!$E209:$CZ209,1,$BM209+1):INDEX(安値!$E209:$CZ209,1,$BN209+1)))</f>
      </c>
      <c r="BR209" s="684">
        <f>IF($BN209="","",AVERAGE(INDEX(終値!$E209:$CZ209,1,$BN209+1):INDEX(終値!$E209:$CZ209,1,$BN209+20))+2*STDEVP(INDEX(終値!$E209:$CZ209,1,$BN209+1):INDEX(終値!$E209:$CZ209,1,$BN209+20)))</f>
      </c>
      <c r="BS209" s="684">
        <f>IF($BM209="","",AVERAGE(INDEX(終値!$E209:$CZ209,1,$BM209+1):INDEX(終値!$E209:$CZ209,1,$BM209+20))+2*STDEVP(INDEX(終値!$E209:$CZ209,1,$BM209+1):INDEX(終値!$E209:$CZ209,1,$BM209+20)))</f>
      </c>
      <c r="BT209" s="681">
        <f>IFERROR(IF(AND($BD209&gt;=2,ABS($BG209-$BH209)/$BH209&lt;=BB設定!$B$12,$BI209&gt;=MAX($BH209,$BG209)*(1+BB設定!$B$13),終値!E209&gt;$BG209),IF(OR(終値!E209&gt;=$BI209,AND($BH209&lt;$BJ209,$BG209&gt;=$BK209)),"二番底W▲","二番底W形成"),IF(AND($BL209&gt;=2,ABS($BO209-$BP209)/$BP209&lt;=BB設定!$B$12,$BQ209&lt;=MIN($BP209,$BO209)*(1-BB設定!$B$13),終値!E209&lt;$BO209),IF(OR(終値!E209&lt;=$BQ209,AND($BP209&gt;$BR209,$BO209&lt;=$BS209)),"二番天井M▼","二番天井M形成"),"－")),"－")</f>
      </c>
    </row>
    <row r="210">
      <c r="B210" s="684">
        <f>IF(終値!A210="","",IF(AND(安値!G210&lt;安値!F210,安値!G210&lt;安値!E210,安値!G210&lt;安値!H210,安値!G210&lt;安値!I210),2,""))</f>
      </c>
      <c r="C210" s="684">
        <f>IF(終値!A210="","",IF(AND(安値!H210&lt;安値!G210,安値!H210&lt;安値!F210,安値!H210&lt;安値!I210,安値!H210&lt;安値!J210),3,""))</f>
      </c>
      <c r="D210" s="684">
        <f>IF(終値!A210="","",IF(AND(安値!I210&lt;安値!H210,安値!I210&lt;安値!G210,安値!I210&lt;安値!J210,安値!I210&lt;安値!K210),4,""))</f>
      </c>
      <c r="E210" s="684">
        <f>IF(終値!A210="","",IF(AND(安値!J210&lt;安値!I210,安値!J210&lt;安値!H210,安値!J210&lt;安値!K210,安値!J210&lt;安値!L210),5,""))</f>
      </c>
      <c r="F210" s="684">
        <f>IF(終値!A210="","",IF(AND(安値!K210&lt;安値!J210,安値!K210&lt;安値!I210,安値!K210&lt;安値!L210,安値!K210&lt;安値!M210),6,""))</f>
      </c>
      <c r="G210" s="684">
        <f>IF(終値!A210="","",IF(AND(安値!L210&lt;安値!K210,安値!L210&lt;安値!J210,安値!L210&lt;安値!M210,安値!L210&lt;安値!N210),7,""))</f>
      </c>
      <c r="H210" s="684">
        <f>IF(終値!A210="","",IF(AND(安値!M210&lt;安値!L210,安値!M210&lt;安値!K210,安値!M210&lt;安値!N210,安値!M210&lt;安値!O210),8,""))</f>
      </c>
      <c r="I210" s="684">
        <f>IF(終値!A210="","",IF(AND(安値!N210&lt;安値!M210,安値!N210&lt;安値!L210,安値!N210&lt;安値!O210,安値!N210&lt;安値!P210),9,""))</f>
      </c>
      <c r="J210" s="684">
        <f>IF(終値!A210="","",IF(AND(安値!O210&lt;安値!N210,安値!O210&lt;安値!M210,安値!O210&lt;安値!P210,安値!O210&lt;安値!Q210),10,""))</f>
      </c>
      <c r="K210" s="684">
        <f>IF(終値!A210="","",IF(AND(安値!P210&lt;安値!O210,安値!P210&lt;安値!N210,安値!P210&lt;安値!Q210,安値!P210&lt;安値!R210),11,""))</f>
      </c>
      <c r="L210" s="684">
        <f>IF(終値!A210="","",IF(AND(安値!Q210&lt;安値!P210,安値!Q210&lt;安値!O210,安値!Q210&lt;安値!R210,安値!Q210&lt;安値!S210),12,""))</f>
      </c>
      <c r="M210" s="684">
        <f>IF(終値!A210="","",IF(AND(安値!R210&lt;安値!Q210,安値!R210&lt;安値!P210,安値!R210&lt;安値!S210,安値!R210&lt;安値!T210),13,""))</f>
      </c>
      <c r="N210" s="684">
        <f>IF(終値!A210="","",IF(AND(安値!S210&lt;安値!R210,安値!S210&lt;安値!Q210,安値!S210&lt;安値!T210,安値!S210&lt;安値!U210),14,""))</f>
      </c>
      <c r="O210" s="684">
        <f>IF(終値!A210="","",IF(AND(安値!T210&lt;安値!S210,安値!T210&lt;安値!R210,安値!T210&lt;安値!U210,安値!T210&lt;安値!V210),15,""))</f>
      </c>
      <c r="P210" s="684">
        <f>IF(終値!A210="","",IF(AND(安値!U210&lt;安値!T210,安値!U210&lt;安値!S210,安値!U210&lt;安値!V210,安値!U210&lt;安値!W210),16,""))</f>
      </c>
      <c r="Q210" s="684">
        <f>IF(終値!A210="","",IF(AND(安値!V210&lt;安値!U210,安値!V210&lt;安値!T210,安値!V210&lt;安値!W210,安値!V210&lt;安値!X210),17,""))</f>
      </c>
      <c r="R210" s="684">
        <f>IF(終値!A210="","",IF(AND(安値!W210&lt;安値!V210,安値!W210&lt;安値!U210,安値!W210&lt;安値!X210,安値!W210&lt;安値!Y210),18,""))</f>
      </c>
      <c r="S210" s="684">
        <f>IF(終値!A210="","",IF(AND(安値!X210&lt;安値!W210,安値!X210&lt;安値!V210,安値!X210&lt;安値!Y210,安値!X210&lt;安値!Z210),19,""))</f>
      </c>
      <c r="T210" s="684">
        <f>IF(終値!A210="","",IF(AND(安値!Y210&lt;安値!X210,安値!Y210&lt;安値!W210,安値!Y210&lt;安値!Z210,安値!Y210&lt;安値!AA210),20,""))</f>
      </c>
      <c r="U210" s="684">
        <f>IF(終値!A210="","",IF(AND(安値!Z210&lt;安値!Y210,安値!Z210&lt;安値!X210,安値!Z210&lt;安値!AA210,安値!Z210&lt;安値!AB210),21,""))</f>
      </c>
      <c r="V210" s="684">
        <f>IF(終値!A210="","",IF(AND(安値!AA210&lt;安値!Z210,安値!AA210&lt;安値!Y210,安値!AA210&lt;安値!AB210,安値!AA210&lt;安値!AC210),22,""))</f>
      </c>
      <c r="W210" s="684">
        <f>IF(終値!A210="","",IF(AND(安値!AB210&lt;安値!AA210,安値!AB210&lt;安値!Z210,安値!AB210&lt;安値!AC210,安値!AB210&lt;安値!AD210),23,""))</f>
      </c>
      <c r="X210" s="684">
        <f>IF(終値!A210="","",IF(AND(安値!AC210&lt;安値!AB210,安値!AC210&lt;安値!AA210,安値!AC210&lt;安値!AD210,安値!AC210&lt;安値!AE210),24,""))</f>
      </c>
      <c r="Y210" s="684">
        <f>IF(終値!A210="","",IF(AND(安値!AD210&lt;安値!AC210,安値!AD210&lt;安値!AB210,安値!AD210&lt;安値!AE210,安値!AD210&lt;安値!AF210),25,""))</f>
      </c>
      <c r="Z210" s="684">
        <f>IF(終値!A210="","",IF(AND(安値!AE210&lt;安値!AD210,安値!AE210&lt;安値!AC210,安値!AE210&lt;安値!AF210,安値!AE210&lt;安値!AG210),26,""))</f>
      </c>
      <c r="AA210" s="684">
        <f>IF(終値!A210="","",IF(AND(安値!AF210&lt;安値!AE210,安値!AF210&lt;安値!AD210,安値!AF210&lt;安値!AG210,安値!AF210&lt;安値!AH210),27,""))</f>
      </c>
      <c r="AB210" s="684">
        <f>IF(終値!A210="","",IF(AND(安値!AG210&lt;安値!AF210,安値!AG210&lt;安値!AE210,安値!AG210&lt;安値!AH210,安値!AG210&lt;安値!AI210),28,""))</f>
      </c>
      <c r="AC210" s="684">
        <f>IF(終値!A210="","",IF(AND(高値!G210&gt;高値!F210,高値!G210&gt;高値!E210,高値!G210&gt;高値!H210,高値!G210&gt;高値!I210),2,""))</f>
      </c>
      <c r="AD210" s="684">
        <f>IF(終値!A210="","",IF(AND(高値!H210&gt;高値!G210,高値!H210&gt;高値!F210,高値!H210&gt;高値!I210,高値!H210&gt;高値!J210),3,""))</f>
      </c>
      <c r="AE210" s="684">
        <f>IF(終値!A210="","",IF(AND(高値!I210&gt;高値!H210,高値!I210&gt;高値!G210,高値!I210&gt;高値!J210,高値!I210&gt;高値!K210),4,""))</f>
      </c>
      <c r="AF210" s="684">
        <f>IF(終値!A210="","",IF(AND(高値!J210&gt;高値!I210,高値!J210&gt;高値!H210,高値!J210&gt;高値!K210,高値!J210&gt;高値!L210),5,""))</f>
      </c>
      <c r="AG210" s="684">
        <f>IF(終値!A210="","",IF(AND(高値!K210&gt;高値!J210,高値!K210&gt;高値!I210,高値!K210&gt;高値!L210,高値!K210&gt;高値!M210),6,""))</f>
      </c>
      <c r="AH210" s="684">
        <f>IF(終値!A210="","",IF(AND(高値!L210&gt;高値!K210,高値!L210&gt;高値!J210,高値!L210&gt;高値!M210,高値!L210&gt;高値!N210),7,""))</f>
      </c>
      <c r="AI210" s="684">
        <f>IF(終値!A210="","",IF(AND(高値!M210&gt;高値!L210,高値!M210&gt;高値!K210,高値!M210&gt;高値!N210,高値!M210&gt;高値!O210),8,""))</f>
      </c>
      <c r="AJ210" s="684">
        <f>IF(終値!A210="","",IF(AND(高値!N210&gt;高値!M210,高値!N210&gt;高値!L210,高値!N210&gt;高値!O210,高値!N210&gt;高値!P210),9,""))</f>
      </c>
      <c r="AK210" s="684">
        <f>IF(終値!A210="","",IF(AND(高値!O210&gt;高値!N210,高値!O210&gt;高値!M210,高値!O210&gt;高値!P210,高値!O210&gt;高値!Q210),10,""))</f>
      </c>
      <c r="AL210" s="684">
        <f>IF(終値!A210="","",IF(AND(高値!P210&gt;高値!O210,高値!P210&gt;高値!N210,高値!P210&gt;高値!Q210,高値!P210&gt;高値!R210),11,""))</f>
      </c>
      <c r="AM210" s="684">
        <f>IF(終値!A210="","",IF(AND(高値!Q210&gt;高値!P210,高値!Q210&gt;高値!O210,高値!Q210&gt;高値!R210,高値!Q210&gt;高値!S210),12,""))</f>
      </c>
      <c r="AN210" s="684">
        <f>IF(終値!A210="","",IF(AND(高値!R210&gt;高値!Q210,高値!R210&gt;高値!P210,高値!R210&gt;高値!S210,高値!R210&gt;高値!T210),13,""))</f>
      </c>
      <c r="AO210" s="684">
        <f>IF(終値!A210="","",IF(AND(高値!S210&gt;高値!R210,高値!S210&gt;高値!Q210,高値!S210&gt;高値!T210,高値!S210&gt;高値!U210),14,""))</f>
      </c>
      <c r="AP210" s="684">
        <f>IF(終値!A210="","",IF(AND(高値!T210&gt;高値!S210,高値!T210&gt;高値!R210,高値!T210&gt;高値!U210,高値!T210&gt;高値!V210),15,""))</f>
      </c>
      <c r="AQ210" s="684">
        <f>IF(終値!A210="","",IF(AND(高値!U210&gt;高値!T210,高値!U210&gt;高値!S210,高値!U210&gt;高値!V210,高値!U210&gt;高値!W210),16,""))</f>
      </c>
      <c r="AR210" s="684">
        <f>IF(終値!A210="","",IF(AND(高値!V210&gt;高値!U210,高値!V210&gt;高値!T210,高値!V210&gt;高値!W210,高値!V210&gt;高値!X210),17,""))</f>
      </c>
      <c r="AS210" s="684">
        <f>IF(終値!A210="","",IF(AND(高値!W210&gt;高値!V210,高値!W210&gt;高値!U210,高値!W210&gt;高値!X210,高値!W210&gt;高値!Y210),18,""))</f>
      </c>
      <c r="AT210" s="684">
        <f>IF(終値!A210="","",IF(AND(高値!X210&gt;高値!W210,高値!X210&gt;高値!V210,高値!X210&gt;高値!Y210,高値!X210&gt;高値!Z210),19,""))</f>
      </c>
      <c r="AU210" s="684">
        <f>IF(終値!A210="","",IF(AND(高値!Y210&gt;高値!X210,高値!Y210&gt;高値!W210,高値!Y210&gt;高値!Z210,高値!Y210&gt;高値!AA210),20,""))</f>
      </c>
      <c r="AV210" s="684">
        <f>IF(終値!A210="","",IF(AND(高値!Z210&gt;高値!Y210,高値!Z210&gt;高値!X210,高値!Z210&gt;高値!AA210,高値!Z210&gt;高値!AB210),21,""))</f>
      </c>
      <c r="AW210" s="684">
        <f>IF(終値!A210="","",IF(AND(高値!AA210&gt;高値!Z210,高値!AA210&gt;高値!Y210,高値!AA210&gt;高値!AB210,高値!AA210&gt;高値!AC210),22,""))</f>
      </c>
      <c r="AX210" s="684">
        <f>IF(終値!A210="","",IF(AND(高値!AB210&gt;高値!AA210,高値!AB210&gt;高値!Z210,高値!AB210&gt;高値!AC210,高値!AB210&gt;高値!AD210),23,""))</f>
      </c>
      <c r="AY210" s="684">
        <f>IF(終値!A210="","",IF(AND(高値!AC210&gt;高値!AB210,高値!AC210&gt;高値!AA210,高値!AC210&gt;高値!AD210,高値!AC210&gt;高値!AE210),24,""))</f>
      </c>
      <c r="AZ210" s="684">
        <f>IF(終値!A210="","",IF(AND(高値!AD210&gt;高値!AC210,高値!AD210&gt;高値!AB210,高値!AD210&gt;高値!AE210,高値!AD210&gt;高値!AF210),25,""))</f>
      </c>
      <c r="BA210" s="684">
        <f>IF(終値!A210="","",IF(AND(高値!AE210&gt;高値!AD210,高値!AE210&gt;高値!AC210,高値!AE210&gt;高値!AF210,高値!AE210&gt;高値!AG210),26,""))</f>
      </c>
      <c r="BB210" s="684">
        <f>IF(終値!A210="","",IF(AND(高値!AF210&gt;高値!AE210,高値!AF210&gt;高値!AD210,高値!AF210&gt;高値!AG210,高値!AF210&gt;高値!AH210),27,""))</f>
      </c>
      <c r="BC210" s="684">
        <f>IF(終値!A210="","",IF(AND(高値!AG210&gt;高値!AF210,高値!AG210&gt;高値!AE210,高値!AG210&gt;高値!AH210,高値!AG210&gt;高値!AI210),28,""))</f>
      </c>
      <c r="BD210" s="684">
        <f>COUNT($B210:$AB210)</f>
      </c>
      <c r="BE210" s="684">
        <f>IF($BD210&gt;=2,MIN($B210:$AB210),"")</f>
      </c>
      <c r="BF210" s="684">
        <f>IF($BD210&gt;=2,SMALL($B210:$AB210,2),"")</f>
      </c>
      <c r="BG210" s="684">
        <f>IF($BE210="","",INDEX(安値!$E210:$CZ210,1,$BE210+1))</f>
      </c>
      <c r="BH210" s="684">
        <f>IF($BF210="","",INDEX(安値!$E210:$CZ210,1,$BF210+1))</f>
      </c>
      <c r="BI210" s="684">
        <f>IF($BF210="","",MAX(INDEX(高値!$E210:$CZ210,1,$BE210+1):INDEX(高値!$E210:$CZ210,1,$BF210+1)))</f>
      </c>
      <c r="BJ210" s="684">
        <f>IF($BF210="","",AVERAGE(INDEX(終値!$E210:$CZ210,1,$BF210+1):INDEX(終値!$E210:$CZ210,1,$BF210+20))-2*STDEVP(INDEX(終値!$E210:$CZ210,1,$BF210+1):INDEX(終値!$E210:$CZ210,1,$BF210+20)))</f>
      </c>
      <c r="BK210" s="684">
        <f>IF($BE210="","",AVERAGE(INDEX(終値!$E210:$CZ210,1,$BE210+1):INDEX(終値!$E210:$CZ210,1,$BE210+20))-2*STDEVP(INDEX(終値!$E210:$CZ210,1,$BE210+1):INDEX(終値!$E210:$CZ210,1,$BE210+20)))</f>
      </c>
      <c r="BL210" s="684">
        <f>COUNT($AC210:$BC210)</f>
      </c>
      <c r="BM210" s="684">
        <f>IF($BL210&gt;=2,MIN($AC210:$BC210),"")</f>
      </c>
      <c r="BN210" s="684">
        <f>IF($BL210&gt;=2,SMALL($AC210:$BC210,2),"")</f>
      </c>
      <c r="BO210" s="684">
        <f>IF($BM210="","",INDEX(高値!$E210:$CZ210,1,$BM210+1))</f>
      </c>
      <c r="BP210" s="684">
        <f>IF($BN210="","",INDEX(高値!$E210:$CZ210,1,$BN210+1))</f>
      </c>
      <c r="BQ210" s="684">
        <f>IF($BN210="","",MIN(INDEX(安値!$E210:$CZ210,1,$BM210+1):INDEX(安値!$E210:$CZ210,1,$BN210+1)))</f>
      </c>
      <c r="BR210" s="684">
        <f>IF($BN210="","",AVERAGE(INDEX(終値!$E210:$CZ210,1,$BN210+1):INDEX(終値!$E210:$CZ210,1,$BN210+20))+2*STDEVP(INDEX(終値!$E210:$CZ210,1,$BN210+1):INDEX(終値!$E210:$CZ210,1,$BN210+20)))</f>
      </c>
      <c r="BS210" s="684">
        <f>IF($BM210="","",AVERAGE(INDEX(終値!$E210:$CZ210,1,$BM210+1):INDEX(終値!$E210:$CZ210,1,$BM210+20))+2*STDEVP(INDEX(終値!$E210:$CZ210,1,$BM210+1):INDEX(終値!$E210:$CZ210,1,$BM210+20)))</f>
      </c>
      <c r="BT210" s="681">
        <f>IFERROR(IF(AND($BD210&gt;=2,ABS($BG210-$BH210)/$BH210&lt;=BB設定!$B$12,$BI210&gt;=MAX($BH210,$BG210)*(1+BB設定!$B$13),終値!E210&gt;$BG210),IF(OR(終値!E210&gt;=$BI210,AND($BH210&lt;$BJ210,$BG210&gt;=$BK210)),"二番底W▲","二番底W形成"),IF(AND($BL210&gt;=2,ABS($BO210-$BP210)/$BP210&lt;=BB設定!$B$12,$BQ210&lt;=MIN($BP210,$BO210)*(1-BB設定!$B$13),終値!E210&lt;$BO210),IF(OR(終値!E210&lt;=$BQ210,AND($BP210&gt;$BR210,$BO210&lt;=$BS210)),"二番天井M▼","二番天井M形成"),"－")),"－")</f>
      </c>
    </row>
    <row r="211">
      <c r="B211" s="684">
        <f>IF(終値!A211="","",IF(AND(安値!G211&lt;安値!F211,安値!G211&lt;安値!E211,安値!G211&lt;安値!H211,安値!G211&lt;安値!I211),2,""))</f>
      </c>
      <c r="C211" s="684">
        <f>IF(終値!A211="","",IF(AND(安値!H211&lt;安値!G211,安値!H211&lt;安値!F211,安値!H211&lt;安値!I211,安値!H211&lt;安値!J211),3,""))</f>
      </c>
      <c r="D211" s="684">
        <f>IF(終値!A211="","",IF(AND(安値!I211&lt;安値!H211,安値!I211&lt;安値!G211,安値!I211&lt;安値!J211,安値!I211&lt;安値!K211),4,""))</f>
      </c>
      <c r="E211" s="684">
        <f>IF(終値!A211="","",IF(AND(安値!J211&lt;安値!I211,安値!J211&lt;安値!H211,安値!J211&lt;安値!K211,安値!J211&lt;安値!L211),5,""))</f>
      </c>
      <c r="F211" s="684">
        <f>IF(終値!A211="","",IF(AND(安値!K211&lt;安値!J211,安値!K211&lt;安値!I211,安値!K211&lt;安値!L211,安値!K211&lt;安値!M211),6,""))</f>
      </c>
      <c r="G211" s="684">
        <f>IF(終値!A211="","",IF(AND(安値!L211&lt;安値!K211,安値!L211&lt;安値!J211,安値!L211&lt;安値!M211,安値!L211&lt;安値!N211),7,""))</f>
      </c>
      <c r="H211" s="684">
        <f>IF(終値!A211="","",IF(AND(安値!M211&lt;安値!L211,安値!M211&lt;安値!K211,安値!M211&lt;安値!N211,安値!M211&lt;安値!O211),8,""))</f>
      </c>
      <c r="I211" s="684">
        <f>IF(終値!A211="","",IF(AND(安値!N211&lt;安値!M211,安値!N211&lt;安値!L211,安値!N211&lt;安値!O211,安値!N211&lt;安値!P211),9,""))</f>
      </c>
      <c r="J211" s="684">
        <f>IF(終値!A211="","",IF(AND(安値!O211&lt;安値!N211,安値!O211&lt;安値!M211,安値!O211&lt;安値!P211,安値!O211&lt;安値!Q211),10,""))</f>
      </c>
      <c r="K211" s="684">
        <f>IF(終値!A211="","",IF(AND(安値!P211&lt;安値!O211,安値!P211&lt;安値!N211,安値!P211&lt;安値!Q211,安値!P211&lt;安値!R211),11,""))</f>
      </c>
      <c r="L211" s="684">
        <f>IF(終値!A211="","",IF(AND(安値!Q211&lt;安値!P211,安値!Q211&lt;安値!O211,安値!Q211&lt;安値!R211,安値!Q211&lt;安値!S211),12,""))</f>
      </c>
      <c r="M211" s="684">
        <f>IF(終値!A211="","",IF(AND(安値!R211&lt;安値!Q211,安値!R211&lt;安値!P211,安値!R211&lt;安値!S211,安値!R211&lt;安値!T211),13,""))</f>
      </c>
      <c r="N211" s="684">
        <f>IF(終値!A211="","",IF(AND(安値!S211&lt;安値!R211,安値!S211&lt;安値!Q211,安値!S211&lt;安値!T211,安値!S211&lt;安値!U211),14,""))</f>
      </c>
      <c r="O211" s="684">
        <f>IF(終値!A211="","",IF(AND(安値!T211&lt;安値!S211,安値!T211&lt;安値!R211,安値!T211&lt;安値!U211,安値!T211&lt;安値!V211),15,""))</f>
      </c>
      <c r="P211" s="684">
        <f>IF(終値!A211="","",IF(AND(安値!U211&lt;安値!T211,安値!U211&lt;安値!S211,安値!U211&lt;安値!V211,安値!U211&lt;安値!W211),16,""))</f>
      </c>
      <c r="Q211" s="684">
        <f>IF(終値!A211="","",IF(AND(安値!V211&lt;安値!U211,安値!V211&lt;安値!T211,安値!V211&lt;安値!W211,安値!V211&lt;安値!X211),17,""))</f>
      </c>
      <c r="R211" s="684">
        <f>IF(終値!A211="","",IF(AND(安値!W211&lt;安値!V211,安値!W211&lt;安値!U211,安値!W211&lt;安値!X211,安値!W211&lt;安値!Y211),18,""))</f>
      </c>
      <c r="S211" s="684">
        <f>IF(終値!A211="","",IF(AND(安値!X211&lt;安値!W211,安値!X211&lt;安値!V211,安値!X211&lt;安値!Y211,安値!X211&lt;安値!Z211),19,""))</f>
      </c>
      <c r="T211" s="684">
        <f>IF(終値!A211="","",IF(AND(安値!Y211&lt;安値!X211,安値!Y211&lt;安値!W211,安値!Y211&lt;安値!Z211,安値!Y211&lt;安値!AA211),20,""))</f>
      </c>
      <c r="U211" s="684">
        <f>IF(終値!A211="","",IF(AND(安値!Z211&lt;安値!Y211,安値!Z211&lt;安値!X211,安値!Z211&lt;安値!AA211,安値!Z211&lt;安値!AB211),21,""))</f>
      </c>
      <c r="V211" s="684">
        <f>IF(終値!A211="","",IF(AND(安値!AA211&lt;安値!Z211,安値!AA211&lt;安値!Y211,安値!AA211&lt;安値!AB211,安値!AA211&lt;安値!AC211),22,""))</f>
      </c>
      <c r="W211" s="684">
        <f>IF(終値!A211="","",IF(AND(安値!AB211&lt;安値!AA211,安値!AB211&lt;安値!Z211,安値!AB211&lt;安値!AC211,安値!AB211&lt;安値!AD211),23,""))</f>
      </c>
      <c r="X211" s="684">
        <f>IF(終値!A211="","",IF(AND(安値!AC211&lt;安値!AB211,安値!AC211&lt;安値!AA211,安値!AC211&lt;安値!AD211,安値!AC211&lt;安値!AE211),24,""))</f>
      </c>
      <c r="Y211" s="684">
        <f>IF(終値!A211="","",IF(AND(安値!AD211&lt;安値!AC211,安値!AD211&lt;安値!AB211,安値!AD211&lt;安値!AE211,安値!AD211&lt;安値!AF211),25,""))</f>
      </c>
      <c r="Z211" s="684">
        <f>IF(終値!A211="","",IF(AND(安値!AE211&lt;安値!AD211,安値!AE211&lt;安値!AC211,安値!AE211&lt;安値!AF211,安値!AE211&lt;安値!AG211),26,""))</f>
      </c>
      <c r="AA211" s="684">
        <f>IF(終値!A211="","",IF(AND(安値!AF211&lt;安値!AE211,安値!AF211&lt;安値!AD211,安値!AF211&lt;安値!AG211,安値!AF211&lt;安値!AH211),27,""))</f>
      </c>
      <c r="AB211" s="684">
        <f>IF(終値!A211="","",IF(AND(安値!AG211&lt;安値!AF211,安値!AG211&lt;安値!AE211,安値!AG211&lt;安値!AH211,安値!AG211&lt;安値!AI211),28,""))</f>
      </c>
      <c r="AC211" s="684">
        <f>IF(終値!A211="","",IF(AND(高値!G211&gt;高値!F211,高値!G211&gt;高値!E211,高値!G211&gt;高値!H211,高値!G211&gt;高値!I211),2,""))</f>
      </c>
      <c r="AD211" s="684">
        <f>IF(終値!A211="","",IF(AND(高値!H211&gt;高値!G211,高値!H211&gt;高値!F211,高値!H211&gt;高値!I211,高値!H211&gt;高値!J211),3,""))</f>
      </c>
      <c r="AE211" s="684">
        <f>IF(終値!A211="","",IF(AND(高値!I211&gt;高値!H211,高値!I211&gt;高値!G211,高値!I211&gt;高値!J211,高値!I211&gt;高値!K211),4,""))</f>
      </c>
      <c r="AF211" s="684">
        <f>IF(終値!A211="","",IF(AND(高値!J211&gt;高値!I211,高値!J211&gt;高値!H211,高値!J211&gt;高値!K211,高値!J211&gt;高値!L211),5,""))</f>
      </c>
      <c r="AG211" s="684">
        <f>IF(終値!A211="","",IF(AND(高値!K211&gt;高値!J211,高値!K211&gt;高値!I211,高値!K211&gt;高値!L211,高値!K211&gt;高値!M211),6,""))</f>
      </c>
      <c r="AH211" s="684">
        <f>IF(終値!A211="","",IF(AND(高値!L211&gt;高値!K211,高値!L211&gt;高値!J211,高値!L211&gt;高値!M211,高値!L211&gt;高値!N211),7,""))</f>
      </c>
      <c r="AI211" s="684">
        <f>IF(終値!A211="","",IF(AND(高値!M211&gt;高値!L211,高値!M211&gt;高値!K211,高値!M211&gt;高値!N211,高値!M211&gt;高値!O211),8,""))</f>
      </c>
      <c r="AJ211" s="684">
        <f>IF(終値!A211="","",IF(AND(高値!N211&gt;高値!M211,高値!N211&gt;高値!L211,高値!N211&gt;高値!O211,高値!N211&gt;高値!P211),9,""))</f>
      </c>
      <c r="AK211" s="684">
        <f>IF(終値!A211="","",IF(AND(高値!O211&gt;高値!N211,高値!O211&gt;高値!M211,高値!O211&gt;高値!P211,高値!O211&gt;高値!Q211),10,""))</f>
      </c>
      <c r="AL211" s="684">
        <f>IF(終値!A211="","",IF(AND(高値!P211&gt;高値!O211,高値!P211&gt;高値!N211,高値!P211&gt;高値!Q211,高値!P211&gt;高値!R211),11,""))</f>
      </c>
      <c r="AM211" s="684">
        <f>IF(終値!A211="","",IF(AND(高値!Q211&gt;高値!P211,高値!Q211&gt;高値!O211,高値!Q211&gt;高値!R211,高値!Q211&gt;高値!S211),12,""))</f>
      </c>
      <c r="AN211" s="684">
        <f>IF(終値!A211="","",IF(AND(高値!R211&gt;高値!Q211,高値!R211&gt;高値!P211,高値!R211&gt;高値!S211,高値!R211&gt;高値!T211),13,""))</f>
      </c>
      <c r="AO211" s="684">
        <f>IF(終値!A211="","",IF(AND(高値!S211&gt;高値!R211,高値!S211&gt;高値!Q211,高値!S211&gt;高値!T211,高値!S211&gt;高値!U211),14,""))</f>
      </c>
      <c r="AP211" s="684">
        <f>IF(終値!A211="","",IF(AND(高値!T211&gt;高値!S211,高値!T211&gt;高値!R211,高値!T211&gt;高値!U211,高値!T211&gt;高値!V211),15,""))</f>
      </c>
      <c r="AQ211" s="684">
        <f>IF(終値!A211="","",IF(AND(高値!U211&gt;高値!T211,高値!U211&gt;高値!S211,高値!U211&gt;高値!V211,高値!U211&gt;高値!W211),16,""))</f>
      </c>
      <c r="AR211" s="684">
        <f>IF(終値!A211="","",IF(AND(高値!V211&gt;高値!U211,高値!V211&gt;高値!T211,高値!V211&gt;高値!W211,高値!V211&gt;高値!X211),17,""))</f>
      </c>
      <c r="AS211" s="684">
        <f>IF(終値!A211="","",IF(AND(高値!W211&gt;高値!V211,高値!W211&gt;高値!U211,高値!W211&gt;高値!X211,高値!W211&gt;高値!Y211),18,""))</f>
      </c>
      <c r="AT211" s="684">
        <f>IF(終値!A211="","",IF(AND(高値!X211&gt;高値!W211,高値!X211&gt;高値!V211,高値!X211&gt;高値!Y211,高値!X211&gt;高値!Z211),19,""))</f>
      </c>
      <c r="AU211" s="684">
        <f>IF(終値!A211="","",IF(AND(高値!Y211&gt;高値!X211,高値!Y211&gt;高値!W211,高値!Y211&gt;高値!Z211,高値!Y211&gt;高値!AA211),20,""))</f>
      </c>
      <c r="AV211" s="684">
        <f>IF(終値!A211="","",IF(AND(高値!Z211&gt;高値!Y211,高値!Z211&gt;高値!X211,高値!Z211&gt;高値!AA211,高値!Z211&gt;高値!AB211),21,""))</f>
      </c>
      <c r="AW211" s="684">
        <f>IF(終値!A211="","",IF(AND(高値!AA211&gt;高値!Z211,高値!AA211&gt;高値!Y211,高値!AA211&gt;高値!AB211,高値!AA211&gt;高値!AC211),22,""))</f>
      </c>
      <c r="AX211" s="684">
        <f>IF(終値!A211="","",IF(AND(高値!AB211&gt;高値!AA211,高値!AB211&gt;高値!Z211,高値!AB211&gt;高値!AC211,高値!AB211&gt;高値!AD211),23,""))</f>
      </c>
      <c r="AY211" s="684">
        <f>IF(終値!A211="","",IF(AND(高値!AC211&gt;高値!AB211,高値!AC211&gt;高値!AA211,高値!AC211&gt;高値!AD211,高値!AC211&gt;高値!AE211),24,""))</f>
      </c>
      <c r="AZ211" s="684">
        <f>IF(終値!A211="","",IF(AND(高値!AD211&gt;高値!AC211,高値!AD211&gt;高値!AB211,高値!AD211&gt;高値!AE211,高値!AD211&gt;高値!AF211),25,""))</f>
      </c>
      <c r="BA211" s="684">
        <f>IF(終値!A211="","",IF(AND(高値!AE211&gt;高値!AD211,高値!AE211&gt;高値!AC211,高値!AE211&gt;高値!AF211,高値!AE211&gt;高値!AG211),26,""))</f>
      </c>
      <c r="BB211" s="684">
        <f>IF(終値!A211="","",IF(AND(高値!AF211&gt;高値!AE211,高値!AF211&gt;高値!AD211,高値!AF211&gt;高値!AG211,高値!AF211&gt;高値!AH211),27,""))</f>
      </c>
      <c r="BC211" s="684">
        <f>IF(終値!A211="","",IF(AND(高値!AG211&gt;高値!AF211,高値!AG211&gt;高値!AE211,高値!AG211&gt;高値!AH211,高値!AG211&gt;高値!AI211),28,""))</f>
      </c>
      <c r="BD211" s="684">
        <f>COUNT($B211:$AB211)</f>
      </c>
      <c r="BE211" s="684">
        <f>IF($BD211&gt;=2,MIN($B211:$AB211),"")</f>
      </c>
      <c r="BF211" s="684">
        <f>IF($BD211&gt;=2,SMALL($B211:$AB211,2),"")</f>
      </c>
      <c r="BG211" s="684">
        <f>IF($BE211="","",INDEX(安値!$E211:$CZ211,1,$BE211+1))</f>
      </c>
      <c r="BH211" s="684">
        <f>IF($BF211="","",INDEX(安値!$E211:$CZ211,1,$BF211+1))</f>
      </c>
      <c r="BI211" s="684">
        <f>IF($BF211="","",MAX(INDEX(高値!$E211:$CZ211,1,$BE211+1):INDEX(高値!$E211:$CZ211,1,$BF211+1)))</f>
      </c>
      <c r="BJ211" s="684">
        <f>IF($BF211="","",AVERAGE(INDEX(終値!$E211:$CZ211,1,$BF211+1):INDEX(終値!$E211:$CZ211,1,$BF211+20))-2*STDEVP(INDEX(終値!$E211:$CZ211,1,$BF211+1):INDEX(終値!$E211:$CZ211,1,$BF211+20)))</f>
      </c>
      <c r="BK211" s="684">
        <f>IF($BE211="","",AVERAGE(INDEX(終値!$E211:$CZ211,1,$BE211+1):INDEX(終値!$E211:$CZ211,1,$BE211+20))-2*STDEVP(INDEX(終値!$E211:$CZ211,1,$BE211+1):INDEX(終値!$E211:$CZ211,1,$BE211+20)))</f>
      </c>
      <c r="BL211" s="684">
        <f>COUNT($AC211:$BC211)</f>
      </c>
      <c r="BM211" s="684">
        <f>IF($BL211&gt;=2,MIN($AC211:$BC211),"")</f>
      </c>
      <c r="BN211" s="684">
        <f>IF($BL211&gt;=2,SMALL($AC211:$BC211,2),"")</f>
      </c>
      <c r="BO211" s="684">
        <f>IF($BM211="","",INDEX(高値!$E211:$CZ211,1,$BM211+1))</f>
      </c>
      <c r="BP211" s="684">
        <f>IF($BN211="","",INDEX(高値!$E211:$CZ211,1,$BN211+1))</f>
      </c>
      <c r="BQ211" s="684">
        <f>IF($BN211="","",MIN(INDEX(安値!$E211:$CZ211,1,$BM211+1):INDEX(安値!$E211:$CZ211,1,$BN211+1)))</f>
      </c>
      <c r="BR211" s="684">
        <f>IF($BN211="","",AVERAGE(INDEX(終値!$E211:$CZ211,1,$BN211+1):INDEX(終値!$E211:$CZ211,1,$BN211+20))+2*STDEVP(INDEX(終値!$E211:$CZ211,1,$BN211+1):INDEX(終値!$E211:$CZ211,1,$BN211+20)))</f>
      </c>
      <c r="BS211" s="684">
        <f>IF($BM211="","",AVERAGE(INDEX(終値!$E211:$CZ211,1,$BM211+1):INDEX(終値!$E211:$CZ211,1,$BM211+20))+2*STDEVP(INDEX(終値!$E211:$CZ211,1,$BM211+1):INDEX(終値!$E211:$CZ211,1,$BM211+20)))</f>
      </c>
      <c r="BT211" s="681">
        <f>IFERROR(IF(AND($BD211&gt;=2,ABS($BG211-$BH211)/$BH211&lt;=BB設定!$B$12,$BI211&gt;=MAX($BH211,$BG211)*(1+BB設定!$B$13),終値!E211&gt;$BG211),IF(OR(終値!E211&gt;=$BI211,AND($BH211&lt;$BJ211,$BG211&gt;=$BK211)),"二番底W▲","二番底W形成"),IF(AND($BL211&gt;=2,ABS($BO211-$BP211)/$BP211&lt;=BB設定!$B$12,$BQ211&lt;=MIN($BP211,$BO211)*(1-BB設定!$B$13),終値!E211&lt;$BO211),IF(OR(終値!E211&lt;=$BQ211,AND($BP211&gt;$BR211,$BO211&lt;=$BS211)),"二番天井M▼","二番天井M形成"),"－")),"－")</f>
      </c>
    </row>
    <row r="212">
      <c r="B212" s="684">
        <f>IF(終値!A212="","",IF(AND(安値!G212&lt;安値!F212,安値!G212&lt;安値!E212,安値!G212&lt;安値!H212,安値!G212&lt;安値!I212),2,""))</f>
      </c>
      <c r="C212" s="684">
        <f>IF(終値!A212="","",IF(AND(安値!H212&lt;安値!G212,安値!H212&lt;安値!F212,安値!H212&lt;安値!I212,安値!H212&lt;安値!J212),3,""))</f>
      </c>
      <c r="D212" s="684">
        <f>IF(終値!A212="","",IF(AND(安値!I212&lt;安値!H212,安値!I212&lt;安値!G212,安値!I212&lt;安値!J212,安値!I212&lt;安値!K212),4,""))</f>
      </c>
      <c r="E212" s="684">
        <f>IF(終値!A212="","",IF(AND(安値!J212&lt;安値!I212,安値!J212&lt;安値!H212,安値!J212&lt;安値!K212,安値!J212&lt;安値!L212),5,""))</f>
      </c>
      <c r="F212" s="684">
        <f>IF(終値!A212="","",IF(AND(安値!K212&lt;安値!J212,安値!K212&lt;安値!I212,安値!K212&lt;安値!L212,安値!K212&lt;安値!M212),6,""))</f>
      </c>
      <c r="G212" s="684">
        <f>IF(終値!A212="","",IF(AND(安値!L212&lt;安値!K212,安値!L212&lt;安値!J212,安値!L212&lt;安値!M212,安値!L212&lt;安値!N212),7,""))</f>
      </c>
      <c r="H212" s="684">
        <f>IF(終値!A212="","",IF(AND(安値!M212&lt;安値!L212,安値!M212&lt;安値!K212,安値!M212&lt;安値!N212,安値!M212&lt;安値!O212),8,""))</f>
      </c>
      <c r="I212" s="684">
        <f>IF(終値!A212="","",IF(AND(安値!N212&lt;安値!M212,安値!N212&lt;安値!L212,安値!N212&lt;安値!O212,安値!N212&lt;安値!P212),9,""))</f>
      </c>
      <c r="J212" s="684">
        <f>IF(終値!A212="","",IF(AND(安値!O212&lt;安値!N212,安値!O212&lt;安値!M212,安値!O212&lt;安値!P212,安値!O212&lt;安値!Q212),10,""))</f>
      </c>
      <c r="K212" s="684">
        <f>IF(終値!A212="","",IF(AND(安値!P212&lt;安値!O212,安値!P212&lt;安値!N212,安値!P212&lt;安値!Q212,安値!P212&lt;安値!R212),11,""))</f>
      </c>
      <c r="L212" s="684">
        <f>IF(終値!A212="","",IF(AND(安値!Q212&lt;安値!P212,安値!Q212&lt;安値!O212,安値!Q212&lt;安値!R212,安値!Q212&lt;安値!S212),12,""))</f>
      </c>
      <c r="M212" s="684">
        <f>IF(終値!A212="","",IF(AND(安値!R212&lt;安値!Q212,安値!R212&lt;安値!P212,安値!R212&lt;安値!S212,安値!R212&lt;安値!T212),13,""))</f>
      </c>
      <c r="N212" s="684">
        <f>IF(終値!A212="","",IF(AND(安値!S212&lt;安値!R212,安値!S212&lt;安値!Q212,安値!S212&lt;安値!T212,安値!S212&lt;安値!U212),14,""))</f>
      </c>
      <c r="O212" s="684">
        <f>IF(終値!A212="","",IF(AND(安値!T212&lt;安値!S212,安値!T212&lt;安値!R212,安値!T212&lt;安値!U212,安値!T212&lt;安値!V212),15,""))</f>
      </c>
      <c r="P212" s="684">
        <f>IF(終値!A212="","",IF(AND(安値!U212&lt;安値!T212,安値!U212&lt;安値!S212,安値!U212&lt;安値!V212,安値!U212&lt;安値!W212),16,""))</f>
      </c>
      <c r="Q212" s="684">
        <f>IF(終値!A212="","",IF(AND(安値!V212&lt;安値!U212,安値!V212&lt;安値!T212,安値!V212&lt;安値!W212,安値!V212&lt;安値!X212),17,""))</f>
      </c>
      <c r="R212" s="684">
        <f>IF(終値!A212="","",IF(AND(安値!W212&lt;安値!V212,安値!W212&lt;安値!U212,安値!W212&lt;安値!X212,安値!W212&lt;安値!Y212),18,""))</f>
      </c>
      <c r="S212" s="684">
        <f>IF(終値!A212="","",IF(AND(安値!X212&lt;安値!W212,安値!X212&lt;安値!V212,安値!X212&lt;安値!Y212,安値!X212&lt;安値!Z212),19,""))</f>
      </c>
      <c r="T212" s="684">
        <f>IF(終値!A212="","",IF(AND(安値!Y212&lt;安値!X212,安値!Y212&lt;安値!W212,安値!Y212&lt;安値!Z212,安値!Y212&lt;安値!AA212),20,""))</f>
      </c>
      <c r="U212" s="684">
        <f>IF(終値!A212="","",IF(AND(安値!Z212&lt;安値!Y212,安値!Z212&lt;安値!X212,安値!Z212&lt;安値!AA212,安値!Z212&lt;安値!AB212),21,""))</f>
      </c>
      <c r="V212" s="684">
        <f>IF(終値!A212="","",IF(AND(安値!AA212&lt;安値!Z212,安値!AA212&lt;安値!Y212,安値!AA212&lt;安値!AB212,安値!AA212&lt;安値!AC212),22,""))</f>
      </c>
      <c r="W212" s="684">
        <f>IF(終値!A212="","",IF(AND(安値!AB212&lt;安値!AA212,安値!AB212&lt;安値!Z212,安値!AB212&lt;安値!AC212,安値!AB212&lt;安値!AD212),23,""))</f>
      </c>
      <c r="X212" s="684">
        <f>IF(終値!A212="","",IF(AND(安値!AC212&lt;安値!AB212,安値!AC212&lt;安値!AA212,安値!AC212&lt;安値!AD212,安値!AC212&lt;安値!AE212),24,""))</f>
      </c>
      <c r="Y212" s="684">
        <f>IF(終値!A212="","",IF(AND(安値!AD212&lt;安値!AC212,安値!AD212&lt;安値!AB212,安値!AD212&lt;安値!AE212,安値!AD212&lt;安値!AF212),25,""))</f>
      </c>
      <c r="Z212" s="684">
        <f>IF(終値!A212="","",IF(AND(安値!AE212&lt;安値!AD212,安値!AE212&lt;安値!AC212,安値!AE212&lt;安値!AF212,安値!AE212&lt;安値!AG212),26,""))</f>
      </c>
      <c r="AA212" s="684">
        <f>IF(終値!A212="","",IF(AND(安値!AF212&lt;安値!AE212,安値!AF212&lt;安値!AD212,安値!AF212&lt;安値!AG212,安値!AF212&lt;安値!AH212),27,""))</f>
      </c>
      <c r="AB212" s="684">
        <f>IF(終値!A212="","",IF(AND(安値!AG212&lt;安値!AF212,安値!AG212&lt;安値!AE212,安値!AG212&lt;安値!AH212,安値!AG212&lt;安値!AI212),28,""))</f>
      </c>
      <c r="AC212" s="684">
        <f>IF(終値!A212="","",IF(AND(高値!G212&gt;高値!F212,高値!G212&gt;高値!E212,高値!G212&gt;高値!H212,高値!G212&gt;高値!I212),2,""))</f>
      </c>
      <c r="AD212" s="684">
        <f>IF(終値!A212="","",IF(AND(高値!H212&gt;高値!G212,高値!H212&gt;高値!F212,高値!H212&gt;高値!I212,高値!H212&gt;高値!J212),3,""))</f>
      </c>
      <c r="AE212" s="684">
        <f>IF(終値!A212="","",IF(AND(高値!I212&gt;高値!H212,高値!I212&gt;高値!G212,高値!I212&gt;高値!J212,高値!I212&gt;高値!K212),4,""))</f>
      </c>
      <c r="AF212" s="684">
        <f>IF(終値!A212="","",IF(AND(高値!J212&gt;高値!I212,高値!J212&gt;高値!H212,高値!J212&gt;高値!K212,高値!J212&gt;高値!L212),5,""))</f>
      </c>
      <c r="AG212" s="684">
        <f>IF(終値!A212="","",IF(AND(高値!K212&gt;高値!J212,高値!K212&gt;高値!I212,高値!K212&gt;高値!L212,高値!K212&gt;高値!M212),6,""))</f>
      </c>
      <c r="AH212" s="684">
        <f>IF(終値!A212="","",IF(AND(高値!L212&gt;高値!K212,高値!L212&gt;高値!J212,高値!L212&gt;高値!M212,高値!L212&gt;高値!N212),7,""))</f>
      </c>
      <c r="AI212" s="684">
        <f>IF(終値!A212="","",IF(AND(高値!M212&gt;高値!L212,高値!M212&gt;高値!K212,高値!M212&gt;高値!N212,高値!M212&gt;高値!O212),8,""))</f>
      </c>
      <c r="AJ212" s="684">
        <f>IF(終値!A212="","",IF(AND(高値!N212&gt;高値!M212,高値!N212&gt;高値!L212,高値!N212&gt;高値!O212,高値!N212&gt;高値!P212),9,""))</f>
      </c>
      <c r="AK212" s="684">
        <f>IF(終値!A212="","",IF(AND(高値!O212&gt;高値!N212,高値!O212&gt;高値!M212,高値!O212&gt;高値!P212,高値!O212&gt;高値!Q212),10,""))</f>
      </c>
      <c r="AL212" s="684">
        <f>IF(終値!A212="","",IF(AND(高値!P212&gt;高値!O212,高値!P212&gt;高値!N212,高値!P212&gt;高値!Q212,高値!P212&gt;高値!R212),11,""))</f>
      </c>
      <c r="AM212" s="684">
        <f>IF(終値!A212="","",IF(AND(高値!Q212&gt;高値!P212,高値!Q212&gt;高値!O212,高値!Q212&gt;高値!R212,高値!Q212&gt;高値!S212),12,""))</f>
      </c>
      <c r="AN212" s="684">
        <f>IF(終値!A212="","",IF(AND(高値!R212&gt;高値!Q212,高値!R212&gt;高値!P212,高値!R212&gt;高値!S212,高値!R212&gt;高値!T212),13,""))</f>
      </c>
      <c r="AO212" s="684">
        <f>IF(終値!A212="","",IF(AND(高値!S212&gt;高値!R212,高値!S212&gt;高値!Q212,高値!S212&gt;高値!T212,高値!S212&gt;高値!U212),14,""))</f>
      </c>
      <c r="AP212" s="684">
        <f>IF(終値!A212="","",IF(AND(高値!T212&gt;高値!S212,高値!T212&gt;高値!R212,高値!T212&gt;高値!U212,高値!T212&gt;高値!V212),15,""))</f>
      </c>
      <c r="AQ212" s="684">
        <f>IF(終値!A212="","",IF(AND(高値!U212&gt;高値!T212,高値!U212&gt;高値!S212,高値!U212&gt;高値!V212,高値!U212&gt;高値!W212),16,""))</f>
      </c>
      <c r="AR212" s="684">
        <f>IF(終値!A212="","",IF(AND(高値!V212&gt;高値!U212,高値!V212&gt;高値!T212,高値!V212&gt;高値!W212,高値!V212&gt;高値!X212),17,""))</f>
      </c>
      <c r="AS212" s="684">
        <f>IF(終値!A212="","",IF(AND(高値!W212&gt;高値!V212,高値!W212&gt;高値!U212,高値!W212&gt;高値!X212,高値!W212&gt;高値!Y212),18,""))</f>
      </c>
      <c r="AT212" s="684">
        <f>IF(終値!A212="","",IF(AND(高値!X212&gt;高値!W212,高値!X212&gt;高値!V212,高値!X212&gt;高値!Y212,高値!X212&gt;高値!Z212),19,""))</f>
      </c>
      <c r="AU212" s="684">
        <f>IF(終値!A212="","",IF(AND(高値!Y212&gt;高値!X212,高値!Y212&gt;高値!W212,高値!Y212&gt;高値!Z212,高値!Y212&gt;高値!AA212),20,""))</f>
      </c>
      <c r="AV212" s="684">
        <f>IF(終値!A212="","",IF(AND(高値!Z212&gt;高値!Y212,高値!Z212&gt;高値!X212,高値!Z212&gt;高値!AA212,高値!Z212&gt;高値!AB212),21,""))</f>
      </c>
      <c r="AW212" s="684">
        <f>IF(終値!A212="","",IF(AND(高値!AA212&gt;高値!Z212,高値!AA212&gt;高値!Y212,高値!AA212&gt;高値!AB212,高値!AA212&gt;高値!AC212),22,""))</f>
      </c>
      <c r="AX212" s="684">
        <f>IF(終値!A212="","",IF(AND(高値!AB212&gt;高値!AA212,高値!AB212&gt;高値!Z212,高値!AB212&gt;高値!AC212,高値!AB212&gt;高値!AD212),23,""))</f>
      </c>
      <c r="AY212" s="684">
        <f>IF(終値!A212="","",IF(AND(高値!AC212&gt;高値!AB212,高値!AC212&gt;高値!AA212,高値!AC212&gt;高値!AD212,高値!AC212&gt;高値!AE212),24,""))</f>
      </c>
      <c r="AZ212" s="684">
        <f>IF(終値!A212="","",IF(AND(高値!AD212&gt;高値!AC212,高値!AD212&gt;高値!AB212,高値!AD212&gt;高値!AE212,高値!AD212&gt;高値!AF212),25,""))</f>
      </c>
      <c r="BA212" s="684">
        <f>IF(終値!A212="","",IF(AND(高値!AE212&gt;高値!AD212,高値!AE212&gt;高値!AC212,高値!AE212&gt;高値!AF212,高値!AE212&gt;高値!AG212),26,""))</f>
      </c>
      <c r="BB212" s="684">
        <f>IF(終値!A212="","",IF(AND(高値!AF212&gt;高値!AE212,高値!AF212&gt;高値!AD212,高値!AF212&gt;高値!AG212,高値!AF212&gt;高値!AH212),27,""))</f>
      </c>
      <c r="BC212" s="684">
        <f>IF(終値!A212="","",IF(AND(高値!AG212&gt;高値!AF212,高値!AG212&gt;高値!AE212,高値!AG212&gt;高値!AH212,高値!AG212&gt;高値!AI212),28,""))</f>
      </c>
      <c r="BD212" s="684">
        <f>COUNT($B212:$AB212)</f>
      </c>
      <c r="BE212" s="684">
        <f>IF($BD212&gt;=2,MIN($B212:$AB212),"")</f>
      </c>
      <c r="BF212" s="684">
        <f>IF($BD212&gt;=2,SMALL($B212:$AB212,2),"")</f>
      </c>
      <c r="BG212" s="684">
        <f>IF($BE212="","",INDEX(安値!$E212:$CZ212,1,$BE212+1))</f>
      </c>
      <c r="BH212" s="684">
        <f>IF($BF212="","",INDEX(安値!$E212:$CZ212,1,$BF212+1))</f>
      </c>
      <c r="BI212" s="684">
        <f>IF($BF212="","",MAX(INDEX(高値!$E212:$CZ212,1,$BE212+1):INDEX(高値!$E212:$CZ212,1,$BF212+1)))</f>
      </c>
      <c r="BJ212" s="684">
        <f>IF($BF212="","",AVERAGE(INDEX(終値!$E212:$CZ212,1,$BF212+1):INDEX(終値!$E212:$CZ212,1,$BF212+20))-2*STDEVP(INDEX(終値!$E212:$CZ212,1,$BF212+1):INDEX(終値!$E212:$CZ212,1,$BF212+20)))</f>
      </c>
      <c r="BK212" s="684">
        <f>IF($BE212="","",AVERAGE(INDEX(終値!$E212:$CZ212,1,$BE212+1):INDEX(終値!$E212:$CZ212,1,$BE212+20))-2*STDEVP(INDEX(終値!$E212:$CZ212,1,$BE212+1):INDEX(終値!$E212:$CZ212,1,$BE212+20)))</f>
      </c>
      <c r="BL212" s="684">
        <f>COUNT($AC212:$BC212)</f>
      </c>
      <c r="BM212" s="684">
        <f>IF($BL212&gt;=2,MIN($AC212:$BC212),"")</f>
      </c>
      <c r="BN212" s="684">
        <f>IF($BL212&gt;=2,SMALL($AC212:$BC212,2),"")</f>
      </c>
      <c r="BO212" s="684">
        <f>IF($BM212="","",INDEX(高値!$E212:$CZ212,1,$BM212+1))</f>
      </c>
      <c r="BP212" s="684">
        <f>IF($BN212="","",INDEX(高値!$E212:$CZ212,1,$BN212+1))</f>
      </c>
      <c r="BQ212" s="684">
        <f>IF($BN212="","",MIN(INDEX(安値!$E212:$CZ212,1,$BM212+1):INDEX(安値!$E212:$CZ212,1,$BN212+1)))</f>
      </c>
      <c r="BR212" s="684">
        <f>IF($BN212="","",AVERAGE(INDEX(終値!$E212:$CZ212,1,$BN212+1):INDEX(終値!$E212:$CZ212,1,$BN212+20))+2*STDEVP(INDEX(終値!$E212:$CZ212,1,$BN212+1):INDEX(終値!$E212:$CZ212,1,$BN212+20)))</f>
      </c>
      <c r="BS212" s="684">
        <f>IF($BM212="","",AVERAGE(INDEX(終値!$E212:$CZ212,1,$BM212+1):INDEX(終値!$E212:$CZ212,1,$BM212+20))+2*STDEVP(INDEX(終値!$E212:$CZ212,1,$BM212+1):INDEX(終値!$E212:$CZ212,1,$BM212+20)))</f>
      </c>
      <c r="BT212" s="681">
        <f>IFERROR(IF(AND($BD212&gt;=2,ABS($BG212-$BH212)/$BH212&lt;=BB設定!$B$12,$BI212&gt;=MAX($BH212,$BG212)*(1+BB設定!$B$13),終値!E212&gt;$BG212),IF(OR(終値!E212&gt;=$BI212,AND($BH212&lt;$BJ212,$BG212&gt;=$BK212)),"二番底W▲","二番底W形成"),IF(AND($BL212&gt;=2,ABS($BO212-$BP212)/$BP212&lt;=BB設定!$B$12,$BQ212&lt;=MIN($BP212,$BO212)*(1-BB設定!$B$13),終値!E212&lt;$BO212),IF(OR(終値!E212&lt;=$BQ212,AND($BP212&gt;$BR212,$BO212&lt;=$BS212)),"二番天井M▼","二番天井M形成"),"－")),"－")</f>
      </c>
    </row>
    <row r="213">
      <c r="B213" s="684">
        <f>IF(終値!A213="","",IF(AND(安値!G213&lt;安値!F213,安値!G213&lt;安値!E213,安値!G213&lt;安値!H213,安値!G213&lt;安値!I213),2,""))</f>
      </c>
      <c r="C213" s="684">
        <f>IF(終値!A213="","",IF(AND(安値!H213&lt;安値!G213,安値!H213&lt;安値!F213,安値!H213&lt;安値!I213,安値!H213&lt;安値!J213),3,""))</f>
      </c>
      <c r="D213" s="684">
        <f>IF(終値!A213="","",IF(AND(安値!I213&lt;安値!H213,安値!I213&lt;安値!G213,安値!I213&lt;安値!J213,安値!I213&lt;安値!K213),4,""))</f>
      </c>
      <c r="E213" s="684">
        <f>IF(終値!A213="","",IF(AND(安値!J213&lt;安値!I213,安値!J213&lt;安値!H213,安値!J213&lt;安値!K213,安値!J213&lt;安値!L213),5,""))</f>
      </c>
      <c r="F213" s="684">
        <f>IF(終値!A213="","",IF(AND(安値!K213&lt;安値!J213,安値!K213&lt;安値!I213,安値!K213&lt;安値!L213,安値!K213&lt;安値!M213),6,""))</f>
      </c>
      <c r="G213" s="684">
        <f>IF(終値!A213="","",IF(AND(安値!L213&lt;安値!K213,安値!L213&lt;安値!J213,安値!L213&lt;安値!M213,安値!L213&lt;安値!N213),7,""))</f>
      </c>
      <c r="H213" s="684">
        <f>IF(終値!A213="","",IF(AND(安値!M213&lt;安値!L213,安値!M213&lt;安値!K213,安値!M213&lt;安値!N213,安値!M213&lt;安値!O213),8,""))</f>
      </c>
      <c r="I213" s="684">
        <f>IF(終値!A213="","",IF(AND(安値!N213&lt;安値!M213,安値!N213&lt;安値!L213,安値!N213&lt;安値!O213,安値!N213&lt;安値!P213),9,""))</f>
      </c>
      <c r="J213" s="684">
        <f>IF(終値!A213="","",IF(AND(安値!O213&lt;安値!N213,安値!O213&lt;安値!M213,安値!O213&lt;安値!P213,安値!O213&lt;安値!Q213),10,""))</f>
      </c>
      <c r="K213" s="684">
        <f>IF(終値!A213="","",IF(AND(安値!P213&lt;安値!O213,安値!P213&lt;安値!N213,安値!P213&lt;安値!Q213,安値!P213&lt;安値!R213),11,""))</f>
      </c>
      <c r="L213" s="684">
        <f>IF(終値!A213="","",IF(AND(安値!Q213&lt;安値!P213,安値!Q213&lt;安値!O213,安値!Q213&lt;安値!R213,安値!Q213&lt;安値!S213),12,""))</f>
      </c>
      <c r="M213" s="684">
        <f>IF(終値!A213="","",IF(AND(安値!R213&lt;安値!Q213,安値!R213&lt;安値!P213,安値!R213&lt;安値!S213,安値!R213&lt;安値!T213),13,""))</f>
      </c>
      <c r="N213" s="684">
        <f>IF(終値!A213="","",IF(AND(安値!S213&lt;安値!R213,安値!S213&lt;安値!Q213,安値!S213&lt;安値!T213,安値!S213&lt;安値!U213),14,""))</f>
      </c>
      <c r="O213" s="684">
        <f>IF(終値!A213="","",IF(AND(安値!T213&lt;安値!S213,安値!T213&lt;安値!R213,安値!T213&lt;安値!U213,安値!T213&lt;安値!V213),15,""))</f>
      </c>
      <c r="P213" s="684">
        <f>IF(終値!A213="","",IF(AND(安値!U213&lt;安値!T213,安値!U213&lt;安値!S213,安値!U213&lt;安値!V213,安値!U213&lt;安値!W213),16,""))</f>
      </c>
      <c r="Q213" s="684">
        <f>IF(終値!A213="","",IF(AND(安値!V213&lt;安値!U213,安値!V213&lt;安値!T213,安値!V213&lt;安値!W213,安値!V213&lt;安値!X213),17,""))</f>
      </c>
      <c r="R213" s="684">
        <f>IF(終値!A213="","",IF(AND(安値!W213&lt;安値!V213,安値!W213&lt;安値!U213,安値!W213&lt;安値!X213,安値!W213&lt;安値!Y213),18,""))</f>
      </c>
      <c r="S213" s="684">
        <f>IF(終値!A213="","",IF(AND(安値!X213&lt;安値!W213,安値!X213&lt;安値!V213,安値!X213&lt;安値!Y213,安値!X213&lt;安値!Z213),19,""))</f>
      </c>
      <c r="T213" s="684">
        <f>IF(終値!A213="","",IF(AND(安値!Y213&lt;安値!X213,安値!Y213&lt;安値!W213,安値!Y213&lt;安値!Z213,安値!Y213&lt;安値!AA213),20,""))</f>
      </c>
      <c r="U213" s="684">
        <f>IF(終値!A213="","",IF(AND(安値!Z213&lt;安値!Y213,安値!Z213&lt;安値!X213,安値!Z213&lt;安値!AA213,安値!Z213&lt;安値!AB213),21,""))</f>
      </c>
      <c r="V213" s="684">
        <f>IF(終値!A213="","",IF(AND(安値!AA213&lt;安値!Z213,安値!AA213&lt;安値!Y213,安値!AA213&lt;安値!AB213,安値!AA213&lt;安値!AC213),22,""))</f>
      </c>
      <c r="W213" s="684">
        <f>IF(終値!A213="","",IF(AND(安値!AB213&lt;安値!AA213,安値!AB213&lt;安値!Z213,安値!AB213&lt;安値!AC213,安値!AB213&lt;安値!AD213),23,""))</f>
      </c>
      <c r="X213" s="684">
        <f>IF(終値!A213="","",IF(AND(安値!AC213&lt;安値!AB213,安値!AC213&lt;安値!AA213,安値!AC213&lt;安値!AD213,安値!AC213&lt;安値!AE213),24,""))</f>
      </c>
      <c r="Y213" s="684">
        <f>IF(終値!A213="","",IF(AND(安値!AD213&lt;安値!AC213,安値!AD213&lt;安値!AB213,安値!AD213&lt;安値!AE213,安値!AD213&lt;安値!AF213),25,""))</f>
      </c>
      <c r="Z213" s="684">
        <f>IF(終値!A213="","",IF(AND(安値!AE213&lt;安値!AD213,安値!AE213&lt;安値!AC213,安値!AE213&lt;安値!AF213,安値!AE213&lt;安値!AG213),26,""))</f>
      </c>
      <c r="AA213" s="684">
        <f>IF(終値!A213="","",IF(AND(安値!AF213&lt;安値!AE213,安値!AF213&lt;安値!AD213,安値!AF213&lt;安値!AG213,安値!AF213&lt;安値!AH213),27,""))</f>
      </c>
      <c r="AB213" s="684">
        <f>IF(終値!A213="","",IF(AND(安値!AG213&lt;安値!AF213,安値!AG213&lt;安値!AE213,安値!AG213&lt;安値!AH213,安値!AG213&lt;安値!AI213),28,""))</f>
      </c>
      <c r="AC213" s="684">
        <f>IF(終値!A213="","",IF(AND(高値!G213&gt;高値!F213,高値!G213&gt;高値!E213,高値!G213&gt;高値!H213,高値!G213&gt;高値!I213),2,""))</f>
      </c>
      <c r="AD213" s="684">
        <f>IF(終値!A213="","",IF(AND(高値!H213&gt;高値!G213,高値!H213&gt;高値!F213,高値!H213&gt;高値!I213,高値!H213&gt;高値!J213),3,""))</f>
      </c>
      <c r="AE213" s="684">
        <f>IF(終値!A213="","",IF(AND(高値!I213&gt;高値!H213,高値!I213&gt;高値!G213,高値!I213&gt;高値!J213,高値!I213&gt;高値!K213),4,""))</f>
      </c>
      <c r="AF213" s="684">
        <f>IF(終値!A213="","",IF(AND(高値!J213&gt;高値!I213,高値!J213&gt;高値!H213,高値!J213&gt;高値!K213,高値!J213&gt;高値!L213),5,""))</f>
      </c>
      <c r="AG213" s="684">
        <f>IF(終値!A213="","",IF(AND(高値!K213&gt;高値!J213,高値!K213&gt;高値!I213,高値!K213&gt;高値!L213,高値!K213&gt;高値!M213),6,""))</f>
      </c>
      <c r="AH213" s="684">
        <f>IF(終値!A213="","",IF(AND(高値!L213&gt;高値!K213,高値!L213&gt;高値!J213,高値!L213&gt;高値!M213,高値!L213&gt;高値!N213),7,""))</f>
      </c>
      <c r="AI213" s="684">
        <f>IF(終値!A213="","",IF(AND(高値!M213&gt;高値!L213,高値!M213&gt;高値!K213,高値!M213&gt;高値!N213,高値!M213&gt;高値!O213),8,""))</f>
      </c>
      <c r="AJ213" s="684">
        <f>IF(終値!A213="","",IF(AND(高値!N213&gt;高値!M213,高値!N213&gt;高値!L213,高値!N213&gt;高値!O213,高値!N213&gt;高値!P213),9,""))</f>
      </c>
      <c r="AK213" s="684">
        <f>IF(終値!A213="","",IF(AND(高値!O213&gt;高値!N213,高値!O213&gt;高値!M213,高値!O213&gt;高値!P213,高値!O213&gt;高値!Q213),10,""))</f>
      </c>
      <c r="AL213" s="684">
        <f>IF(終値!A213="","",IF(AND(高値!P213&gt;高値!O213,高値!P213&gt;高値!N213,高値!P213&gt;高値!Q213,高値!P213&gt;高値!R213),11,""))</f>
      </c>
      <c r="AM213" s="684">
        <f>IF(終値!A213="","",IF(AND(高値!Q213&gt;高値!P213,高値!Q213&gt;高値!O213,高値!Q213&gt;高値!R213,高値!Q213&gt;高値!S213),12,""))</f>
      </c>
      <c r="AN213" s="684">
        <f>IF(終値!A213="","",IF(AND(高値!R213&gt;高値!Q213,高値!R213&gt;高値!P213,高値!R213&gt;高値!S213,高値!R213&gt;高値!T213),13,""))</f>
      </c>
      <c r="AO213" s="684">
        <f>IF(終値!A213="","",IF(AND(高値!S213&gt;高値!R213,高値!S213&gt;高値!Q213,高値!S213&gt;高値!T213,高値!S213&gt;高値!U213),14,""))</f>
      </c>
      <c r="AP213" s="684">
        <f>IF(終値!A213="","",IF(AND(高値!T213&gt;高値!S213,高値!T213&gt;高値!R213,高値!T213&gt;高値!U213,高値!T213&gt;高値!V213),15,""))</f>
      </c>
      <c r="AQ213" s="684">
        <f>IF(終値!A213="","",IF(AND(高値!U213&gt;高値!T213,高値!U213&gt;高値!S213,高値!U213&gt;高値!V213,高値!U213&gt;高値!W213),16,""))</f>
      </c>
      <c r="AR213" s="684">
        <f>IF(終値!A213="","",IF(AND(高値!V213&gt;高値!U213,高値!V213&gt;高値!T213,高値!V213&gt;高値!W213,高値!V213&gt;高値!X213),17,""))</f>
      </c>
      <c r="AS213" s="684">
        <f>IF(終値!A213="","",IF(AND(高値!W213&gt;高値!V213,高値!W213&gt;高値!U213,高値!W213&gt;高値!X213,高値!W213&gt;高値!Y213),18,""))</f>
      </c>
      <c r="AT213" s="684">
        <f>IF(終値!A213="","",IF(AND(高値!X213&gt;高値!W213,高値!X213&gt;高値!V213,高値!X213&gt;高値!Y213,高値!X213&gt;高値!Z213),19,""))</f>
      </c>
      <c r="AU213" s="684">
        <f>IF(終値!A213="","",IF(AND(高値!Y213&gt;高値!X213,高値!Y213&gt;高値!W213,高値!Y213&gt;高値!Z213,高値!Y213&gt;高値!AA213),20,""))</f>
      </c>
      <c r="AV213" s="684">
        <f>IF(終値!A213="","",IF(AND(高値!Z213&gt;高値!Y213,高値!Z213&gt;高値!X213,高値!Z213&gt;高値!AA213,高値!Z213&gt;高値!AB213),21,""))</f>
      </c>
      <c r="AW213" s="684">
        <f>IF(終値!A213="","",IF(AND(高値!AA213&gt;高値!Z213,高値!AA213&gt;高値!Y213,高値!AA213&gt;高値!AB213,高値!AA213&gt;高値!AC213),22,""))</f>
      </c>
      <c r="AX213" s="684">
        <f>IF(終値!A213="","",IF(AND(高値!AB213&gt;高値!AA213,高値!AB213&gt;高値!Z213,高値!AB213&gt;高値!AC213,高値!AB213&gt;高値!AD213),23,""))</f>
      </c>
      <c r="AY213" s="684">
        <f>IF(終値!A213="","",IF(AND(高値!AC213&gt;高値!AB213,高値!AC213&gt;高値!AA213,高値!AC213&gt;高値!AD213,高値!AC213&gt;高値!AE213),24,""))</f>
      </c>
      <c r="AZ213" s="684">
        <f>IF(終値!A213="","",IF(AND(高値!AD213&gt;高値!AC213,高値!AD213&gt;高値!AB213,高値!AD213&gt;高値!AE213,高値!AD213&gt;高値!AF213),25,""))</f>
      </c>
      <c r="BA213" s="684">
        <f>IF(終値!A213="","",IF(AND(高値!AE213&gt;高値!AD213,高値!AE213&gt;高値!AC213,高値!AE213&gt;高値!AF213,高値!AE213&gt;高値!AG213),26,""))</f>
      </c>
      <c r="BB213" s="684">
        <f>IF(終値!A213="","",IF(AND(高値!AF213&gt;高値!AE213,高値!AF213&gt;高値!AD213,高値!AF213&gt;高値!AG213,高値!AF213&gt;高値!AH213),27,""))</f>
      </c>
      <c r="BC213" s="684">
        <f>IF(終値!A213="","",IF(AND(高値!AG213&gt;高値!AF213,高値!AG213&gt;高値!AE213,高値!AG213&gt;高値!AH213,高値!AG213&gt;高値!AI213),28,""))</f>
      </c>
      <c r="BD213" s="684">
        <f>COUNT($B213:$AB213)</f>
      </c>
      <c r="BE213" s="684">
        <f>IF($BD213&gt;=2,MIN($B213:$AB213),"")</f>
      </c>
      <c r="BF213" s="684">
        <f>IF($BD213&gt;=2,SMALL($B213:$AB213,2),"")</f>
      </c>
      <c r="BG213" s="684">
        <f>IF($BE213="","",INDEX(安値!$E213:$CZ213,1,$BE213+1))</f>
      </c>
      <c r="BH213" s="684">
        <f>IF($BF213="","",INDEX(安値!$E213:$CZ213,1,$BF213+1))</f>
      </c>
      <c r="BI213" s="684">
        <f>IF($BF213="","",MAX(INDEX(高値!$E213:$CZ213,1,$BE213+1):INDEX(高値!$E213:$CZ213,1,$BF213+1)))</f>
      </c>
      <c r="BJ213" s="684">
        <f>IF($BF213="","",AVERAGE(INDEX(終値!$E213:$CZ213,1,$BF213+1):INDEX(終値!$E213:$CZ213,1,$BF213+20))-2*STDEVP(INDEX(終値!$E213:$CZ213,1,$BF213+1):INDEX(終値!$E213:$CZ213,1,$BF213+20)))</f>
      </c>
      <c r="BK213" s="684">
        <f>IF($BE213="","",AVERAGE(INDEX(終値!$E213:$CZ213,1,$BE213+1):INDEX(終値!$E213:$CZ213,1,$BE213+20))-2*STDEVP(INDEX(終値!$E213:$CZ213,1,$BE213+1):INDEX(終値!$E213:$CZ213,1,$BE213+20)))</f>
      </c>
      <c r="BL213" s="684">
        <f>COUNT($AC213:$BC213)</f>
      </c>
      <c r="BM213" s="684">
        <f>IF($BL213&gt;=2,MIN($AC213:$BC213),"")</f>
      </c>
      <c r="BN213" s="684">
        <f>IF($BL213&gt;=2,SMALL($AC213:$BC213,2),"")</f>
      </c>
      <c r="BO213" s="684">
        <f>IF($BM213="","",INDEX(高値!$E213:$CZ213,1,$BM213+1))</f>
      </c>
      <c r="BP213" s="684">
        <f>IF($BN213="","",INDEX(高値!$E213:$CZ213,1,$BN213+1))</f>
      </c>
      <c r="BQ213" s="684">
        <f>IF($BN213="","",MIN(INDEX(安値!$E213:$CZ213,1,$BM213+1):INDEX(安値!$E213:$CZ213,1,$BN213+1)))</f>
      </c>
      <c r="BR213" s="684">
        <f>IF($BN213="","",AVERAGE(INDEX(終値!$E213:$CZ213,1,$BN213+1):INDEX(終値!$E213:$CZ213,1,$BN213+20))+2*STDEVP(INDEX(終値!$E213:$CZ213,1,$BN213+1):INDEX(終値!$E213:$CZ213,1,$BN213+20)))</f>
      </c>
      <c r="BS213" s="684">
        <f>IF($BM213="","",AVERAGE(INDEX(終値!$E213:$CZ213,1,$BM213+1):INDEX(終値!$E213:$CZ213,1,$BM213+20))+2*STDEVP(INDEX(終値!$E213:$CZ213,1,$BM213+1):INDEX(終値!$E213:$CZ213,1,$BM213+20)))</f>
      </c>
      <c r="BT213" s="681">
        <f>IFERROR(IF(AND($BD213&gt;=2,ABS($BG213-$BH213)/$BH213&lt;=BB設定!$B$12,$BI213&gt;=MAX($BH213,$BG213)*(1+BB設定!$B$13),終値!E213&gt;$BG213),IF(OR(終値!E213&gt;=$BI213,AND($BH213&lt;$BJ213,$BG213&gt;=$BK213)),"二番底W▲","二番底W形成"),IF(AND($BL213&gt;=2,ABS($BO213-$BP213)/$BP213&lt;=BB設定!$B$12,$BQ213&lt;=MIN($BP213,$BO213)*(1-BB設定!$B$13),終値!E213&lt;$BO213),IF(OR(終値!E213&lt;=$BQ213,AND($BP213&gt;$BR213,$BO213&lt;=$BS213)),"二番天井M▼","二番天井M形成"),"－")),"－")</f>
      </c>
    </row>
    <row r="214">
      <c r="B214" s="684">
        <f>IF(終値!A214="","",IF(AND(安値!G214&lt;安値!F214,安値!G214&lt;安値!E214,安値!G214&lt;安値!H214,安値!G214&lt;安値!I214),2,""))</f>
      </c>
      <c r="C214" s="684">
        <f>IF(終値!A214="","",IF(AND(安値!H214&lt;安値!G214,安値!H214&lt;安値!F214,安値!H214&lt;安値!I214,安値!H214&lt;安値!J214),3,""))</f>
      </c>
      <c r="D214" s="684">
        <f>IF(終値!A214="","",IF(AND(安値!I214&lt;安値!H214,安値!I214&lt;安値!G214,安値!I214&lt;安値!J214,安値!I214&lt;安値!K214),4,""))</f>
      </c>
      <c r="E214" s="684">
        <f>IF(終値!A214="","",IF(AND(安値!J214&lt;安値!I214,安値!J214&lt;安値!H214,安値!J214&lt;安値!K214,安値!J214&lt;安値!L214),5,""))</f>
      </c>
      <c r="F214" s="684">
        <f>IF(終値!A214="","",IF(AND(安値!K214&lt;安値!J214,安値!K214&lt;安値!I214,安値!K214&lt;安値!L214,安値!K214&lt;安値!M214),6,""))</f>
      </c>
      <c r="G214" s="684">
        <f>IF(終値!A214="","",IF(AND(安値!L214&lt;安値!K214,安値!L214&lt;安値!J214,安値!L214&lt;安値!M214,安値!L214&lt;安値!N214),7,""))</f>
      </c>
      <c r="H214" s="684">
        <f>IF(終値!A214="","",IF(AND(安値!M214&lt;安値!L214,安値!M214&lt;安値!K214,安値!M214&lt;安値!N214,安値!M214&lt;安値!O214),8,""))</f>
      </c>
      <c r="I214" s="684">
        <f>IF(終値!A214="","",IF(AND(安値!N214&lt;安値!M214,安値!N214&lt;安値!L214,安値!N214&lt;安値!O214,安値!N214&lt;安値!P214),9,""))</f>
      </c>
      <c r="J214" s="684">
        <f>IF(終値!A214="","",IF(AND(安値!O214&lt;安値!N214,安値!O214&lt;安値!M214,安値!O214&lt;安値!P214,安値!O214&lt;安値!Q214),10,""))</f>
      </c>
      <c r="K214" s="684">
        <f>IF(終値!A214="","",IF(AND(安値!P214&lt;安値!O214,安値!P214&lt;安値!N214,安値!P214&lt;安値!Q214,安値!P214&lt;安値!R214),11,""))</f>
      </c>
      <c r="L214" s="684">
        <f>IF(終値!A214="","",IF(AND(安値!Q214&lt;安値!P214,安値!Q214&lt;安値!O214,安値!Q214&lt;安値!R214,安値!Q214&lt;安値!S214),12,""))</f>
      </c>
      <c r="M214" s="684">
        <f>IF(終値!A214="","",IF(AND(安値!R214&lt;安値!Q214,安値!R214&lt;安値!P214,安値!R214&lt;安値!S214,安値!R214&lt;安値!T214),13,""))</f>
      </c>
      <c r="N214" s="684">
        <f>IF(終値!A214="","",IF(AND(安値!S214&lt;安値!R214,安値!S214&lt;安値!Q214,安値!S214&lt;安値!T214,安値!S214&lt;安値!U214),14,""))</f>
      </c>
      <c r="O214" s="684">
        <f>IF(終値!A214="","",IF(AND(安値!T214&lt;安値!S214,安値!T214&lt;安値!R214,安値!T214&lt;安値!U214,安値!T214&lt;安値!V214),15,""))</f>
      </c>
      <c r="P214" s="684">
        <f>IF(終値!A214="","",IF(AND(安値!U214&lt;安値!T214,安値!U214&lt;安値!S214,安値!U214&lt;安値!V214,安値!U214&lt;安値!W214),16,""))</f>
      </c>
      <c r="Q214" s="684">
        <f>IF(終値!A214="","",IF(AND(安値!V214&lt;安値!U214,安値!V214&lt;安値!T214,安値!V214&lt;安値!W214,安値!V214&lt;安値!X214),17,""))</f>
      </c>
      <c r="R214" s="684">
        <f>IF(終値!A214="","",IF(AND(安値!W214&lt;安値!V214,安値!W214&lt;安値!U214,安値!W214&lt;安値!X214,安値!W214&lt;安値!Y214),18,""))</f>
      </c>
      <c r="S214" s="684">
        <f>IF(終値!A214="","",IF(AND(安値!X214&lt;安値!W214,安値!X214&lt;安値!V214,安値!X214&lt;安値!Y214,安値!X214&lt;安値!Z214),19,""))</f>
      </c>
      <c r="T214" s="684">
        <f>IF(終値!A214="","",IF(AND(安値!Y214&lt;安値!X214,安値!Y214&lt;安値!W214,安値!Y214&lt;安値!Z214,安値!Y214&lt;安値!AA214),20,""))</f>
      </c>
      <c r="U214" s="684">
        <f>IF(終値!A214="","",IF(AND(安値!Z214&lt;安値!Y214,安値!Z214&lt;安値!X214,安値!Z214&lt;安値!AA214,安値!Z214&lt;安値!AB214),21,""))</f>
      </c>
      <c r="V214" s="684">
        <f>IF(終値!A214="","",IF(AND(安値!AA214&lt;安値!Z214,安値!AA214&lt;安値!Y214,安値!AA214&lt;安値!AB214,安値!AA214&lt;安値!AC214),22,""))</f>
      </c>
      <c r="W214" s="684">
        <f>IF(終値!A214="","",IF(AND(安値!AB214&lt;安値!AA214,安値!AB214&lt;安値!Z214,安値!AB214&lt;安値!AC214,安値!AB214&lt;安値!AD214),23,""))</f>
      </c>
      <c r="X214" s="684">
        <f>IF(終値!A214="","",IF(AND(安値!AC214&lt;安値!AB214,安値!AC214&lt;安値!AA214,安値!AC214&lt;安値!AD214,安値!AC214&lt;安値!AE214),24,""))</f>
      </c>
      <c r="Y214" s="684">
        <f>IF(終値!A214="","",IF(AND(安値!AD214&lt;安値!AC214,安値!AD214&lt;安値!AB214,安値!AD214&lt;安値!AE214,安値!AD214&lt;安値!AF214),25,""))</f>
      </c>
      <c r="Z214" s="684">
        <f>IF(終値!A214="","",IF(AND(安値!AE214&lt;安値!AD214,安値!AE214&lt;安値!AC214,安値!AE214&lt;安値!AF214,安値!AE214&lt;安値!AG214),26,""))</f>
      </c>
      <c r="AA214" s="684">
        <f>IF(終値!A214="","",IF(AND(安値!AF214&lt;安値!AE214,安値!AF214&lt;安値!AD214,安値!AF214&lt;安値!AG214,安値!AF214&lt;安値!AH214),27,""))</f>
      </c>
      <c r="AB214" s="684">
        <f>IF(終値!A214="","",IF(AND(安値!AG214&lt;安値!AF214,安値!AG214&lt;安値!AE214,安値!AG214&lt;安値!AH214,安値!AG214&lt;安値!AI214),28,""))</f>
      </c>
      <c r="AC214" s="684">
        <f>IF(終値!A214="","",IF(AND(高値!G214&gt;高値!F214,高値!G214&gt;高値!E214,高値!G214&gt;高値!H214,高値!G214&gt;高値!I214),2,""))</f>
      </c>
      <c r="AD214" s="684">
        <f>IF(終値!A214="","",IF(AND(高値!H214&gt;高値!G214,高値!H214&gt;高値!F214,高値!H214&gt;高値!I214,高値!H214&gt;高値!J214),3,""))</f>
      </c>
      <c r="AE214" s="684">
        <f>IF(終値!A214="","",IF(AND(高値!I214&gt;高値!H214,高値!I214&gt;高値!G214,高値!I214&gt;高値!J214,高値!I214&gt;高値!K214),4,""))</f>
      </c>
      <c r="AF214" s="684">
        <f>IF(終値!A214="","",IF(AND(高値!J214&gt;高値!I214,高値!J214&gt;高値!H214,高値!J214&gt;高値!K214,高値!J214&gt;高値!L214),5,""))</f>
      </c>
      <c r="AG214" s="684">
        <f>IF(終値!A214="","",IF(AND(高値!K214&gt;高値!J214,高値!K214&gt;高値!I214,高値!K214&gt;高値!L214,高値!K214&gt;高値!M214),6,""))</f>
      </c>
      <c r="AH214" s="684">
        <f>IF(終値!A214="","",IF(AND(高値!L214&gt;高値!K214,高値!L214&gt;高値!J214,高値!L214&gt;高値!M214,高値!L214&gt;高値!N214),7,""))</f>
      </c>
      <c r="AI214" s="684">
        <f>IF(終値!A214="","",IF(AND(高値!M214&gt;高値!L214,高値!M214&gt;高値!K214,高値!M214&gt;高値!N214,高値!M214&gt;高値!O214),8,""))</f>
      </c>
      <c r="AJ214" s="684">
        <f>IF(終値!A214="","",IF(AND(高値!N214&gt;高値!M214,高値!N214&gt;高値!L214,高値!N214&gt;高値!O214,高値!N214&gt;高値!P214),9,""))</f>
      </c>
      <c r="AK214" s="684">
        <f>IF(終値!A214="","",IF(AND(高値!O214&gt;高値!N214,高値!O214&gt;高値!M214,高値!O214&gt;高値!P214,高値!O214&gt;高値!Q214),10,""))</f>
      </c>
      <c r="AL214" s="684">
        <f>IF(終値!A214="","",IF(AND(高値!P214&gt;高値!O214,高値!P214&gt;高値!N214,高値!P214&gt;高値!Q214,高値!P214&gt;高値!R214),11,""))</f>
      </c>
      <c r="AM214" s="684">
        <f>IF(終値!A214="","",IF(AND(高値!Q214&gt;高値!P214,高値!Q214&gt;高値!O214,高値!Q214&gt;高値!R214,高値!Q214&gt;高値!S214),12,""))</f>
      </c>
      <c r="AN214" s="684">
        <f>IF(終値!A214="","",IF(AND(高値!R214&gt;高値!Q214,高値!R214&gt;高値!P214,高値!R214&gt;高値!S214,高値!R214&gt;高値!T214),13,""))</f>
      </c>
      <c r="AO214" s="684">
        <f>IF(終値!A214="","",IF(AND(高値!S214&gt;高値!R214,高値!S214&gt;高値!Q214,高値!S214&gt;高値!T214,高値!S214&gt;高値!U214),14,""))</f>
      </c>
      <c r="AP214" s="684">
        <f>IF(終値!A214="","",IF(AND(高値!T214&gt;高値!S214,高値!T214&gt;高値!R214,高値!T214&gt;高値!U214,高値!T214&gt;高値!V214),15,""))</f>
      </c>
      <c r="AQ214" s="684">
        <f>IF(終値!A214="","",IF(AND(高値!U214&gt;高値!T214,高値!U214&gt;高値!S214,高値!U214&gt;高値!V214,高値!U214&gt;高値!W214),16,""))</f>
      </c>
      <c r="AR214" s="684">
        <f>IF(終値!A214="","",IF(AND(高値!V214&gt;高値!U214,高値!V214&gt;高値!T214,高値!V214&gt;高値!W214,高値!V214&gt;高値!X214),17,""))</f>
      </c>
      <c r="AS214" s="684">
        <f>IF(終値!A214="","",IF(AND(高値!W214&gt;高値!V214,高値!W214&gt;高値!U214,高値!W214&gt;高値!X214,高値!W214&gt;高値!Y214),18,""))</f>
      </c>
      <c r="AT214" s="684">
        <f>IF(終値!A214="","",IF(AND(高値!X214&gt;高値!W214,高値!X214&gt;高値!V214,高値!X214&gt;高値!Y214,高値!X214&gt;高値!Z214),19,""))</f>
      </c>
      <c r="AU214" s="684">
        <f>IF(終値!A214="","",IF(AND(高値!Y214&gt;高値!X214,高値!Y214&gt;高値!W214,高値!Y214&gt;高値!Z214,高値!Y214&gt;高値!AA214),20,""))</f>
      </c>
      <c r="AV214" s="684">
        <f>IF(終値!A214="","",IF(AND(高値!Z214&gt;高値!Y214,高値!Z214&gt;高値!X214,高値!Z214&gt;高値!AA214,高値!Z214&gt;高値!AB214),21,""))</f>
      </c>
      <c r="AW214" s="684">
        <f>IF(終値!A214="","",IF(AND(高値!AA214&gt;高値!Z214,高値!AA214&gt;高値!Y214,高値!AA214&gt;高値!AB214,高値!AA214&gt;高値!AC214),22,""))</f>
      </c>
      <c r="AX214" s="684">
        <f>IF(終値!A214="","",IF(AND(高値!AB214&gt;高値!AA214,高値!AB214&gt;高値!Z214,高値!AB214&gt;高値!AC214,高値!AB214&gt;高値!AD214),23,""))</f>
      </c>
      <c r="AY214" s="684">
        <f>IF(終値!A214="","",IF(AND(高値!AC214&gt;高値!AB214,高値!AC214&gt;高値!AA214,高値!AC214&gt;高値!AD214,高値!AC214&gt;高値!AE214),24,""))</f>
      </c>
      <c r="AZ214" s="684">
        <f>IF(終値!A214="","",IF(AND(高値!AD214&gt;高値!AC214,高値!AD214&gt;高値!AB214,高値!AD214&gt;高値!AE214,高値!AD214&gt;高値!AF214),25,""))</f>
      </c>
      <c r="BA214" s="684">
        <f>IF(終値!A214="","",IF(AND(高値!AE214&gt;高値!AD214,高値!AE214&gt;高値!AC214,高値!AE214&gt;高値!AF214,高値!AE214&gt;高値!AG214),26,""))</f>
      </c>
      <c r="BB214" s="684">
        <f>IF(終値!A214="","",IF(AND(高値!AF214&gt;高値!AE214,高値!AF214&gt;高値!AD214,高値!AF214&gt;高値!AG214,高値!AF214&gt;高値!AH214),27,""))</f>
      </c>
      <c r="BC214" s="684">
        <f>IF(終値!A214="","",IF(AND(高値!AG214&gt;高値!AF214,高値!AG214&gt;高値!AE214,高値!AG214&gt;高値!AH214,高値!AG214&gt;高値!AI214),28,""))</f>
      </c>
      <c r="BD214" s="684">
        <f>COUNT($B214:$AB214)</f>
      </c>
      <c r="BE214" s="684">
        <f>IF($BD214&gt;=2,MIN($B214:$AB214),"")</f>
      </c>
      <c r="BF214" s="684">
        <f>IF($BD214&gt;=2,SMALL($B214:$AB214,2),"")</f>
      </c>
      <c r="BG214" s="684">
        <f>IF($BE214="","",INDEX(安値!$E214:$CZ214,1,$BE214+1))</f>
      </c>
      <c r="BH214" s="684">
        <f>IF($BF214="","",INDEX(安値!$E214:$CZ214,1,$BF214+1))</f>
      </c>
      <c r="BI214" s="684">
        <f>IF($BF214="","",MAX(INDEX(高値!$E214:$CZ214,1,$BE214+1):INDEX(高値!$E214:$CZ214,1,$BF214+1)))</f>
      </c>
      <c r="BJ214" s="684">
        <f>IF($BF214="","",AVERAGE(INDEX(終値!$E214:$CZ214,1,$BF214+1):INDEX(終値!$E214:$CZ214,1,$BF214+20))-2*STDEVP(INDEX(終値!$E214:$CZ214,1,$BF214+1):INDEX(終値!$E214:$CZ214,1,$BF214+20)))</f>
      </c>
      <c r="BK214" s="684">
        <f>IF($BE214="","",AVERAGE(INDEX(終値!$E214:$CZ214,1,$BE214+1):INDEX(終値!$E214:$CZ214,1,$BE214+20))-2*STDEVP(INDEX(終値!$E214:$CZ214,1,$BE214+1):INDEX(終値!$E214:$CZ214,1,$BE214+20)))</f>
      </c>
      <c r="BL214" s="684">
        <f>COUNT($AC214:$BC214)</f>
      </c>
      <c r="BM214" s="684">
        <f>IF($BL214&gt;=2,MIN($AC214:$BC214),"")</f>
      </c>
      <c r="BN214" s="684">
        <f>IF($BL214&gt;=2,SMALL($AC214:$BC214,2),"")</f>
      </c>
      <c r="BO214" s="684">
        <f>IF($BM214="","",INDEX(高値!$E214:$CZ214,1,$BM214+1))</f>
      </c>
      <c r="BP214" s="684">
        <f>IF($BN214="","",INDEX(高値!$E214:$CZ214,1,$BN214+1))</f>
      </c>
      <c r="BQ214" s="684">
        <f>IF($BN214="","",MIN(INDEX(安値!$E214:$CZ214,1,$BM214+1):INDEX(安値!$E214:$CZ214,1,$BN214+1)))</f>
      </c>
      <c r="BR214" s="684">
        <f>IF($BN214="","",AVERAGE(INDEX(終値!$E214:$CZ214,1,$BN214+1):INDEX(終値!$E214:$CZ214,1,$BN214+20))+2*STDEVP(INDEX(終値!$E214:$CZ214,1,$BN214+1):INDEX(終値!$E214:$CZ214,1,$BN214+20)))</f>
      </c>
      <c r="BS214" s="684">
        <f>IF($BM214="","",AVERAGE(INDEX(終値!$E214:$CZ214,1,$BM214+1):INDEX(終値!$E214:$CZ214,1,$BM214+20))+2*STDEVP(INDEX(終値!$E214:$CZ214,1,$BM214+1):INDEX(終値!$E214:$CZ214,1,$BM214+20)))</f>
      </c>
      <c r="BT214" s="681">
        <f>IFERROR(IF(AND($BD214&gt;=2,ABS($BG214-$BH214)/$BH214&lt;=BB設定!$B$12,$BI214&gt;=MAX($BH214,$BG214)*(1+BB設定!$B$13),終値!E214&gt;$BG214),IF(OR(終値!E214&gt;=$BI214,AND($BH214&lt;$BJ214,$BG214&gt;=$BK214)),"二番底W▲","二番底W形成"),IF(AND($BL214&gt;=2,ABS($BO214-$BP214)/$BP214&lt;=BB設定!$B$12,$BQ214&lt;=MIN($BP214,$BO214)*(1-BB設定!$B$13),終値!E214&lt;$BO214),IF(OR(終値!E214&lt;=$BQ214,AND($BP214&gt;$BR214,$BO214&lt;=$BS214)),"二番天井M▼","二番天井M形成"),"－")),"－")</f>
      </c>
    </row>
    <row r="215">
      <c r="B215" s="684">
        <f>IF(終値!A215="","",IF(AND(安値!G215&lt;安値!F215,安値!G215&lt;安値!E215,安値!G215&lt;安値!H215,安値!G215&lt;安値!I215),2,""))</f>
      </c>
      <c r="C215" s="684">
        <f>IF(終値!A215="","",IF(AND(安値!H215&lt;安値!G215,安値!H215&lt;安値!F215,安値!H215&lt;安値!I215,安値!H215&lt;安値!J215),3,""))</f>
      </c>
      <c r="D215" s="684">
        <f>IF(終値!A215="","",IF(AND(安値!I215&lt;安値!H215,安値!I215&lt;安値!G215,安値!I215&lt;安値!J215,安値!I215&lt;安値!K215),4,""))</f>
      </c>
      <c r="E215" s="684">
        <f>IF(終値!A215="","",IF(AND(安値!J215&lt;安値!I215,安値!J215&lt;安値!H215,安値!J215&lt;安値!K215,安値!J215&lt;安値!L215),5,""))</f>
      </c>
      <c r="F215" s="684">
        <f>IF(終値!A215="","",IF(AND(安値!K215&lt;安値!J215,安値!K215&lt;安値!I215,安値!K215&lt;安値!L215,安値!K215&lt;安値!M215),6,""))</f>
      </c>
      <c r="G215" s="684">
        <f>IF(終値!A215="","",IF(AND(安値!L215&lt;安値!K215,安値!L215&lt;安値!J215,安値!L215&lt;安値!M215,安値!L215&lt;安値!N215),7,""))</f>
      </c>
      <c r="H215" s="684">
        <f>IF(終値!A215="","",IF(AND(安値!M215&lt;安値!L215,安値!M215&lt;安値!K215,安値!M215&lt;安値!N215,安値!M215&lt;安値!O215),8,""))</f>
      </c>
      <c r="I215" s="684">
        <f>IF(終値!A215="","",IF(AND(安値!N215&lt;安値!M215,安値!N215&lt;安値!L215,安値!N215&lt;安値!O215,安値!N215&lt;安値!P215),9,""))</f>
      </c>
      <c r="J215" s="684">
        <f>IF(終値!A215="","",IF(AND(安値!O215&lt;安値!N215,安値!O215&lt;安値!M215,安値!O215&lt;安値!P215,安値!O215&lt;安値!Q215),10,""))</f>
      </c>
      <c r="K215" s="684">
        <f>IF(終値!A215="","",IF(AND(安値!P215&lt;安値!O215,安値!P215&lt;安値!N215,安値!P215&lt;安値!Q215,安値!P215&lt;安値!R215),11,""))</f>
      </c>
      <c r="L215" s="684">
        <f>IF(終値!A215="","",IF(AND(安値!Q215&lt;安値!P215,安値!Q215&lt;安値!O215,安値!Q215&lt;安値!R215,安値!Q215&lt;安値!S215),12,""))</f>
      </c>
      <c r="M215" s="684">
        <f>IF(終値!A215="","",IF(AND(安値!R215&lt;安値!Q215,安値!R215&lt;安値!P215,安値!R215&lt;安値!S215,安値!R215&lt;安値!T215),13,""))</f>
      </c>
      <c r="N215" s="684">
        <f>IF(終値!A215="","",IF(AND(安値!S215&lt;安値!R215,安値!S215&lt;安値!Q215,安値!S215&lt;安値!T215,安値!S215&lt;安値!U215),14,""))</f>
      </c>
      <c r="O215" s="684">
        <f>IF(終値!A215="","",IF(AND(安値!T215&lt;安値!S215,安値!T215&lt;安値!R215,安値!T215&lt;安値!U215,安値!T215&lt;安値!V215),15,""))</f>
      </c>
      <c r="P215" s="684">
        <f>IF(終値!A215="","",IF(AND(安値!U215&lt;安値!T215,安値!U215&lt;安値!S215,安値!U215&lt;安値!V215,安値!U215&lt;安値!W215),16,""))</f>
      </c>
      <c r="Q215" s="684">
        <f>IF(終値!A215="","",IF(AND(安値!V215&lt;安値!U215,安値!V215&lt;安値!T215,安値!V215&lt;安値!W215,安値!V215&lt;安値!X215),17,""))</f>
      </c>
      <c r="R215" s="684">
        <f>IF(終値!A215="","",IF(AND(安値!W215&lt;安値!V215,安値!W215&lt;安値!U215,安値!W215&lt;安値!X215,安値!W215&lt;安値!Y215),18,""))</f>
      </c>
      <c r="S215" s="684">
        <f>IF(終値!A215="","",IF(AND(安値!X215&lt;安値!W215,安値!X215&lt;安値!V215,安値!X215&lt;安値!Y215,安値!X215&lt;安値!Z215),19,""))</f>
      </c>
      <c r="T215" s="684">
        <f>IF(終値!A215="","",IF(AND(安値!Y215&lt;安値!X215,安値!Y215&lt;安値!W215,安値!Y215&lt;安値!Z215,安値!Y215&lt;安値!AA215),20,""))</f>
      </c>
      <c r="U215" s="684">
        <f>IF(終値!A215="","",IF(AND(安値!Z215&lt;安値!Y215,安値!Z215&lt;安値!X215,安値!Z215&lt;安値!AA215,安値!Z215&lt;安値!AB215),21,""))</f>
      </c>
      <c r="V215" s="684">
        <f>IF(終値!A215="","",IF(AND(安値!AA215&lt;安値!Z215,安値!AA215&lt;安値!Y215,安値!AA215&lt;安値!AB215,安値!AA215&lt;安値!AC215),22,""))</f>
      </c>
      <c r="W215" s="684">
        <f>IF(終値!A215="","",IF(AND(安値!AB215&lt;安値!AA215,安値!AB215&lt;安値!Z215,安値!AB215&lt;安値!AC215,安値!AB215&lt;安値!AD215),23,""))</f>
      </c>
      <c r="X215" s="684">
        <f>IF(終値!A215="","",IF(AND(安値!AC215&lt;安値!AB215,安値!AC215&lt;安値!AA215,安値!AC215&lt;安値!AD215,安値!AC215&lt;安値!AE215),24,""))</f>
      </c>
      <c r="Y215" s="684">
        <f>IF(終値!A215="","",IF(AND(安値!AD215&lt;安値!AC215,安値!AD215&lt;安値!AB215,安値!AD215&lt;安値!AE215,安値!AD215&lt;安値!AF215),25,""))</f>
      </c>
      <c r="Z215" s="684">
        <f>IF(終値!A215="","",IF(AND(安値!AE215&lt;安値!AD215,安値!AE215&lt;安値!AC215,安値!AE215&lt;安値!AF215,安値!AE215&lt;安値!AG215),26,""))</f>
      </c>
      <c r="AA215" s="684">
        <f>IF(終値!A215="","",IF(AND(安値!AF215&lt;安値!AE215,安値!AF215&lt;安値!AD215,安値!AF215&lt;安値!AG215,安値!AF215&lt;安値!AH215),27,""))</f>
      </c>
      <c r="AB215" s="684">
        <f>IF(終値!A215="","",IF(AND(安値!AG215&lt;安値!AF215,安値!AG215&lt;安値!AE215,安値!AG215&lt;安値!AH215,安値!AG215&lt;安値!AI215),28,""))</f>
      </c>
      <c r="AC215" s="684">
        <f>IF(終値!A215="","",IF(AND(高値!G215&gt;高値!F215,高値!G215&gt;高値!E215,高値!G215&gt;高値!H215,高値!G215&gt;高値!I215),2,""))</f>
      </c>
      <c r="AD215" s="684">
        <f>IF(終値!A215="","",IF(AND(高値!H215&gt;高値!G215,高値!H215&gt;高値!F215,高値!H215&gt;高値!I215,高値!H215&gt;高値!J215),3,""))</f>
      </c>
      <c r="AE215" s="684">
        <f>IF(終値!A215="","",IF(AND(高値!I215&gt;高値!H215,高値!I215&gt;高値!G215,高値!I215&gt;高値!J215,高値!I215&gt;高値!K215),4,""))</f>
      </c>
      <c r="AF215" s="684">
        <f>IF(終値!A215="","",IF(AND(高値!J215&gt;高値!I215,高値!J215&gt;高値!H215,高値!J215&gt;高値!K215,高値!J215&gt;高値!L215),5,""))</f>
      </c>
      <c r="AG215" s="684">
        <f>IF(終値!A215="","",IF(AND(高値!K215&gt;高値!J215,高値!K215&gt;高値!I215,高値!K215&gt;高値!L215,高値!K215&gt;高値!M215),6,""))</f>
      </c>
      <c r="AH215" s="684">
        <f>IF(終値!A215="","",IF(AND(高値!L215&gt;高値!K215,高値!L215&gt;高値!J215,高値!L215&gt;高値!M215,高値!L215&gt;高値!N215),7,""))</f>
      </c>
      <c r="AI215" s="684">
        <f>IF(終値!A215="","",IF(AND(高値!M215&gt;高値!L215,高値!M215&gt;高値!K215,高値!M215&gt;高値!N215,高値!M215&gt;高値!O215),8,""))</f>
      </c>
      <c r="AJ215" s="684">
        <f>IF(終値!A215="","",IF(AND(高値!N215&gt;高値!M215,高値!N215&gt;高値!L215,高値!N215&gt;高値!O215,高値!N215&gt;高値!P215),9,""))</f>
      </c>
      <c r="AK215" s="684">
        <f>IF(終値!A215="","",IF(AND(高値!O215&gt;高値!N215,高値!O215&gt;高値!M215,高値!O215&gt;高値!P215,高値!O215&gt;高値!Q215),10,""))</f>
      </c>
      <c r="AL215" s="684">
        <f>IF(終値!A215="","",IF(AND(高値!P215&gt;高値!O215,高値!P215&gt;高値!N215,高値!P215&gt;高値!Q215,高値!P215&gt;高値!R215),11,""))</f>
      </c>
      <c r="AM215" s="684">
        <f>IF(終値!A215="","",IF(AND(高値!Q215&gt;高値!P215,高値!Q215&gt;高値!O215,高値!Q215&gt;高値!R215,高値!Q215&gt;高値!S215),12,""))</f>
      </c>
      <c r="AN215" s="684">
        <f>IF(終値!A215="","",IF(AND(高値!R215&gt;高値!Q215,高値!R215&gt;高値!P215,高値!R215&gt;高値!S215,高値!R215&gt;高値!T215),13,""))</f>
      </c>
      <c r="AO215" s="684">
        <f>IF(終値!A215="","",IF(AND(高値!S215&gt;高値!R215,高値!S215&gt;高値!Q215,高値!S215&gt;高値!T215,高値!S215&gt;高値!U215),14,""))</f>
      </c>
      <c r="AP215" s="684">
        <f>IF(終値!A215="","",IF(AND(高値!T215&gt;高値!S215,高値!T215&gt;高値!R215,高値!T215&gt;高値!U215,高値!T215&gt;高値!V215),15,""))</f>
      </c>
      <c r="AQ215" s="684">
        <f>IF(終値!A215="","",IF(AND(高値!U215&gt;高値!T215,高値!U215&gt;高値!S215,高値!U215&gt;高値!V215,高値!U215&gt;高値!W215),16,""))</f>
      </c>
      <c r="AR215" s="684">
        <f>IF(終値!A215="","",IF(AND(高値!V215&gt;高値!U215,高値!V215&gt;高値!T215,高値!V215&gt;高値!W215,高値!V215&gt;高値!X215),17,""))</f>
      </c>
      <c r="AS215" s="684">
        <f>IF(終値!A215="","",IF(AND(高値!W215&gt;高値!V215,高値!W215&gt;高値!U215,高値!W215&gt;高値!X215,高値!W215&gt;高値!Y215),18,""))</f>
      </c>
      <c r="AT215" s="684">
        <f>IF(終値!A215="","",IF(AND(高値!X215&gt;高値!W215,高値!X215&gt;高値!V215,高値!X215&gt;高値!Y215,高値!X215&gt;高値!Z215),19,""))</f>
      </c>
      <c r="AU215" s="684">
        <f>IF(終値!A215="","",IF(AND(高値!Y215&gt;高値!X215,高値!Y215&gt;高値!W215,高値!Y215&gt;高値!Z215,高値!Y215&gt;高値!AA215),20,""))</f>
      </c>
      <c r="AV215" s="684">
        <f>IF(終値!A215="","",IF(AND(高値!Z215&gt;高値!Y215,高値!Z215&gt;高値!X215,高値!Z215&gt;高値!AA215,高値!Z215&gt;高値!AB215),21,""))</f>
      </c>
      <c r="AW215" s="684">
        <f>IF(終値!A215="","",IF(AND(高値!AA215&gt;高値!Z215,高値!AA215&gt;高値!Y215,高値!AA215&gt;高値!AB215,高値!AA215&gt;高値!AC215),22,""))</f>
      </c>
      <c r="AX215" s="684">
        <f>IF(終値!A215="","",IF(AND(高値!AB215&gt;高値!AA215,高値!AB215&gt;高値!Z215,高値!AB215&gt;高値!AC215,高値!AB215&gt;高値!AD215),23,""))</f>
      </c>
      <c r="AY215" s="684">
        <f>IF(終値!A215="","",IF(AND(高値!AC215&gt;高値!AB215,高値!AC215&gt;高値!AA215,高値!AC215&gt;高値!AD215,高値!AC215&gt;高値!AE215),24,""))</f>
      </c>
      <c r="AZ215" s="684">
        <f>IF(終値!A215="","",IF(AND(高値!AD215&gt;高値!AC215,高値!AD215&gt;高値!AB215,高値!AD215&gt;高値!AE215,高値!AD215&gt;高値!AF215),25,""))</f>
      </c>
      <c r="BA215" s="684">
        <f>IF(終値!A215="","",IF(AND(高値!AE215&gt;高値!AD215,高値!AE215&gt;高値!AC215,高値!AE215&gt;高値!AF215,高値!AE215&gt;高値!AG215),26,""))</f>
      </c>
      <c r="BB215" s="684">
        <f>IF(終値!A215="","",IF(AND(高値!AF215&gt;高値!AE215,高値!AF215&gt;高値!AD215,高値!AF215&gt;高値!AG215,高値!AF215&gt;高値!AH215),27,""))</f>
      </c>
      <c r="BC215" s="684">
        <f>IF(終値!A215="","",IF(AND(高値!AG215&gt;高値!AF215,高値!AG215&gt;高値!AE215,高値!AG215&gt;高値!AH215,高値!AG215&gt;高値!AI215),28,""))</f>
      </c>
      <c r="BD215" s="684">
        <f>COUNT($B215:$AB215)</f>
      </c>
      <c r="BE215" s="684">
        <f>IF($BD215&gt;=2,MIN($B215:$AB215),"")</f>
      </c>
      <c r="BF215" s="684">
        <f>IF($BD215&gt;=2,SMALL($B215:$AB215,2),"")</f>
      </c>
      <c r="BG215" s="684">
        <f>IF($BE215="","",INDEX(安値!$E215:$CZ215,1,$BE215+1))</f>
      </c>
      <c r="BH215" s="684">
        <f>IF($BF215="","",INDEX(安値!$E215:$CZ215,1,$BF215+1))</f>
      </c>
      <c r="BI215" s="684">
        <f>IF($BF215="","",MAX(INDEX(高値!$E215:$CZ215,1,$BE215+1):INDEX(高値!$E215:$CZ215,1,$BF215+1)))</f>
      </c>
      <c r="BJ215" s="684">
        <f>IF($BF215="","",AVERAGE(INDEX(終値!$E215:$CZ215,1,$BF215+1):INDEX(終値!$E215:$CZ215,1,$BF215+20))-2*STDEVP(INDEX(終値!$E215:$CZ215,1,$BF215+1):INDEX(終値!$E215:$CZ215,1,$BF215+20)))</f>
      </c>
      <c r="BK215" s="684">
        <f>IF($BE215="","",AVERAGE(INDEX(終値!$E215:$CZ215,1,$BE215+1):INDEX(終値!$E215:$CZ215,1,$BE215+20))-2*STDEVP(INDEX(終値!$E215:$CZ215,1,$BE215+1):INDEX(終値!$E215:$CZ215,1,$BE215+20)))</f>
      </c>
      <c r="BL215" s="684">
        <f>COUNT($AC215:$BC215)</f>
      </c>
      <c r="BM215" s="684">
        <f>IF($BL215&gt;=2,MIN($AC215:$BC215),"")</f>
      </c>
      <c r="BN215" s="684">
        <f>IF($BL215&gt;=2,SMALL($AC215:$BC215,2),"")</f>
      </c>
      <c r="BO215" s="684">
        <f>IF($BM215="","",INDEX(高値!$E215:$CZ215,1,$BM215+1))</f>
      </c>
      <c r="BP215" s="684">
        <f>IF($BN215="","",INDEX(高値!$E215:$CZ215,1,$BN215+1))</f>
      </c>
      <c r="BQ215" s="684">
        <f>IF($BN215="","",MIN(INDEX(安値!$E215:$CZ215,1,$BM215+1):INDEX(安値!$E215:$CZ215,1,$BN215+1)))</f>
      </c>
      <c r="BR215" s="684">
        <f>IF($BN215="","",AVERAGE(INDEX(終値!$E215:$CZ215,1,$BN215+1):INDEX(終値!$E215:$CZ215,1,$BN215+20))+2*STDEVP(INDEX(終値!$E215:$CZ215,1,$BN215+1):INDEX(終値!$E215:$CZ215,1,$BN215+20)))</f>
      </c>
      <c r="BS215" s="684">
        <f>IF($BM215="","",AVERAGE(INDEX(終値!$E215:$CZ215,1,$BM215+1):INDEX(終値!$E215:$CZ215,1,$BM215+20))+2*STDEVP(INDEX(終値!$E215:$CZ215,1,$BM215+1):INDEX(終値!$E215:$CZ215,1,$BM215+20)))</f>
      </c>
      <c r="BT215" s="681">
        <f>IFERROR(IF(AND($BD215&gt;=2,ABS($BG215-$BH215)/$BH215&lt;=BB設定!$B$12,$BI215&gt;=MAX($BH215,$BG215)*(1+BB設定!$B$13),終値!E215&gt;$BG215),IF(OR(終値!E215&gt;=$BI215,AND($BH215&lt;$BJ215,$BG215&gt;=$BK215)),"二番底W▲","二番底W形成"),IF(AND($BL215&gt;=2,ABS($BO215-$BP215)/$BP215&lt;=BB設定!$B$12,$BQ215&lt;=MIN($BP215,$BO215)*(1-BB設定!$B$13),終値!E215&lt;$BO215),IF(OR(終値!E215&lt;=$BQ215,AND($BP215&gt;$BR215,$BO215&lt;=$BS215)),"二番天井M▼","二番天井M形成"),"－")),"－")</f>
      </c>
    </row>
    <row r="216">
      <c r="B216" s="684">
        <f>IF(終値!A216="","",IF(AND(安値!G216&lt;安値!F216,安値!G216&lt;安値!E216,安値!G216&lt;安値!H216,安値!G216&lt;安値!I216),2,""))</f>
      </c>
      <c r="C216" s="684">
        <f>IF(終値!A216="","",IF(AND(安値!H216&lt;安値!G216,安値!H216&lt;安値!F216,安値!H216&lt;安値!I216,安値!H216&lt;安値!J216),3,""))</f>
      </c>
      <c r="D216" s="684">
        <f>IF(終値!A216="","",IF(AND(安値!I216&lt;安値!H216,安値!I216&lt;安値!G216,安値!I216&lt;安値!J216,安値!I216&lt;安値!K216),4,""))</f>
      </c>
      <c r="E216" s="684">
        <f>IF(終値!A216="","",IF(AND(安値!J216&lt;安値!I216,安値!J216&lt;安値!H216,安値!J216&lt;安値!K216,安値!J216&lt;安値!L216),5,""))</f>
      </c>
      <c r="F216" s="684">
        <f>IF(終値!A216="","",IF(AND(安値!K216&lt;安値!J216,安値!K216&lt;安値!I216,安値!K216&lt;安値!L216,安値!K216&lt;安値!M216),6,""))</f>
      </c>
      <c r="G216" s="684">
        <f>IF(終値!A216="","",IF(AND(安値!L216&lt;安値!K216,安値!L216&lt;安値!J216,安値!L216&lt;安値!M216,安値!L216&lt;安値!N216),7,""))</f>
      </c>
      <c r="H216" s="684">
        <f>IF(終値!A216="","",IF(AND(安値!M216&lt;安値!L216,安値!M216&lt;安値!K216,安値!M216&lt;安値!N216,安値!M216&lt;安値!O216),8,""))</f>
      </c>
      <c r="I216" s="684">
        <f>IF(終値!A216="","",IF(AND(安値!N216&lt;安値!M216,安値!N216&lt;安値!L216,安値!N216&lt;安値!O216,安値!N216&lt;安値!P216),9,""))</f>
      </c>
      <c r="J216" s="684">
        <f>IF(終値!A216="","",IF(AND(安値!O216&lt;安値!N216,安値!O216&lt;安値!M216,安値!O216&lt;安値!P216,安値!O216&lt;安値!Q216),10,""))</f>
      </c>
      <c r="K216" s="684">
        <f>IF(終値!A216="","",IF(AND(安値!P216&lt;安値!O216,安値!P216&lt;安値!N216,安値!P216&lt;安値!Q216,安値!P216&lt;安値!R216),11,""))</f>
      </c>
      <c r="L216" s="684">
        <f>IF(終値!A216="","",IF(AND(安値!Q216&lt;安値!P216,安値!Q216&lt;安値!O216,安値!Q216&lt;安値!R216,安値!Q216&lt;安値!S216),12,""))</f>
      </c>
      <c r="M216" s="684">
        <f>IF(終値!A216="","",IF(AND(安値!R216&lt;安値!Q216,安値!R216&lt;安値!P216,安値!R216&lt;安値!S216,安値!R216&lt;安値!T216),13,""))</f>
      </c>
      <c r="N216" s="684">
        <f>IF(終値!A216="","",IF(AND(安値!S216&lt;安値!R216,安値!S216&lt;安値!Q216,安値!S216&lt;安値!T216,安値!S216&lt;安値!U216),14,""))</f>
      </c>
      <c r="O216" s="684">
        <f>IF(終値!A216="","",IF(AND(安値!T216&lt;安値!S216,安値!T216&lt;安値!R216,安値!T216&lt;安値!U216,安値!T216&lt;安値!V216),15,""))</f>
      </c>
      <c r="P216" s="684">
        <f>IF(終値!A216="","",IF(AND(安値!U216&lt;安値!T216,安値!U216&lt;安値!S216,安値!U216&lt;安値!V216,安値!U216&lt;安値!W216),16,""))</f>
      </c>
      <c r="Q216" s="684">
        <f>IF(終値!A216="","",IF(AND(安値!V216&lt;安値!U216,安値!V216&lt;安値!T216,安値!V216&lt;安値!W216,安値!V216&lt;安値!X216),17,""))</f>
      </c>
      <c r="R216" s="684">
        <f>IF(終値!A216="","",IF(AND(安値!W216&lt;安値!V216,安値!W216&lt;安値!U216,安値!W216&lt;安値!X216,安値!W216&lt;安値!Y216),18,""))</f>
      </c>
      <c r="S216" s="684">
        <f>IF(終値!A216="","",IF(AND(安値!X216&lt;安値!W216,安値!X216&lt;安値!V216,安値!X216&lt;安値!Y216,安値!X216&lt;安値!Z216),19,""))</f>
      </c>
      <c r="T216" s="684">
        <f>IF(終値!A216="","",IF(AND(安値!Y216&lt;安値!X216,安値!Y216&lt;安値!W216,安値!Y216&lt;安値!Z216,安値!Y216&lt;安値!AA216),20,""))</f>
      </c>
      <c r="U216" s="684">
        <f>IF(終値!A216="","",IF(AND(安値!Z216&lt;安値!Y216,安値!Z216&lt;安値!X216,安値!Z216&lt;安値!AA216,安値!Z216&lt;安値!AB216),21,""))</f>
      </c>
      <c r="V216" s="684">
        <f>IF(終値!A216="","",IF(AND(安値!AA216&lt;安値!Z216,安値!AA216&lt;安値!Y216,安値!AA216&lt;安値!AB216,安値!AA216&lt;安値!AC216),22,""))</f>
      </c>
      <c r="W216" s="684">
        <f>IF(終値!A216="","",IF(AND(安値!AB216&lt;安値!AA216,安値!AB216&lt;安値!Z216,安値!AB216&lt;安値!AC216,安値!AB216&lt;安値!AD216),23,""))</f>
      </c>
      <c r="X216" s="684">
        <f>IF(終値!A216="","",IF(AND(安値!AC216&lt;安値!AB216,安値!AC216&lt;安値!AA216,安値!AC216&lt;安値!AD216,安値!AC216&lt;安値!AE216),24,""))</f>
      </c>
      <c r="Y216" s="684">
        <f>IF(終値!A216="","",IF(AND(安値!AD216&lt;安値!AC216,安値!AD216&lt;安値!AB216,安値!AD216&lt;安値!AE216,安値!AD216&lt;安値!AF216),25,""))</f>
      </c>
      <c r="Z216" s="684">
        <f>IF(終値!A216="","",IF(AND(安値!AE216&lt;安値!AD216,安値!AE216&lt;安値!AC216,安値!AE216&lt;安値!AF216,安値!AE216&lt;安値!AG216),26,""))</f>
      </c>
      <c r="AA216" s="684">
        <f>IF(終値!A216="","",IF(AND(安値!AF216&lt;安値!AE216,安値!AF216&lt;安値!AD216,安値!AF216&lt;安値!AG216,安値!AF216&lt;安値!AH216),27,""))</f>
      </c>
      <c r="AB216" s="684">
        <f>IF(終値!A216="","",IF(AND(安値!AG216&lt;安値!AF216,安値!AG216&lt;安値!AE216,安値!AG216&lt;安値!AH216,安値!AG216&lt;安値!AI216),28,""))</f>
      </c>
      <c r="AC216" s="684">
        <f>IF(終値!A216="","",IF(AND(高値!G216&gt;高値!F216,高値!G216&gt;高値!E216,高値!G216&gt;高値!H216,高値!G216&gt;高値!I216),2,""))</f>
      </c>
      <c r="AD216" s="684">
        <f>IF(終値!A216="","",IF(AND(高値!H216&gt;高値!G216,高値!H216&gt;高値!F216,高値!H216&gt;高値!I216,高値!H216&gt;高値!J216),3,""))</f>
      </c>
      <c r="AE216" s="684">
        <f>IF(終値!A216="","",IF(AND(高値!I216&gt;高値!H216,高値!I216&gt;高値!G216,高値!I216&gt;高値!J216,高値!I216&gt;高値!K216),4,""))</f>
      </c>
      <c r="AF216" s="684">
        <f>IF(終値!A216="","",IF(AND(高値!J216&gt;高値!I216,高値!J216&gt;高値!H216,高値!J216&gt;高値!K216,高値!J216&gt;高値!L216),5,""))</f>
      </c>
      <c r="AG216" s="684">
        <f>IF(終値!A216="","",IF(AND(高値!K216&gt;高値!J216,高値!K216&gt;高値!I216,高値!K216&gt;高値!L216,高値!K216&gt;高値!M216),6,""))</f>
      </c>
      <c r="AH216" s="684">
        <f>IF(終値!A216="","",IF(AND(高値!L216&gt;高値!K216,高値!L216&gt;高値!J216,高値!L216&gt;高値!M216,高値!L216&gt;高値!N216),7,""))</f>
      </c>
      <c r="AI216" s="684">
        <f>IF(終値!A216="","",IF(AND(高値!M216&gt;高値!L216,高値!M216&gt;高値!K216,高値!M216&gt;高値!N216,高値!M216&gt;高値!O216),8,""))</f>
      </c>
      <c r="AJ216" s="684">
        <f>IF(終値!A216="","",IF(AND(高値!N216&gt;高値!M216,高値!N216&gt;高値!L216,高値!N216&gt;高値!O216,高値!N216&gt;高値!P216),9,""))</f>
      </c>
      <c r="AK216" s="684">
        <f>IF(終値!A216="","",IF(AND(高値!O216&gt;高値!N216,高値!O216&gt;高値!M216,高値!O216&gt;高値!P216,高値!O216&gt;高値!Q216),10,""))</f>
      </c>
      <c r="AL216" s="684">
        <f>IF(終値!A216="","",IF(AND(高値!P216&gt;高値!O216,高値!P216&gt;高値!N216,高値!P216&gt;高値!Q216,高値!P216&gt;高値!R216),11,""))</f>
      </c>
      <c r="AM216" s="684">
        <f>IF(終値!A216="","",IF(AND(高値!Q216&gt;高値!P216,高値!Q216&gt;高値!O216,高値!Q216&gt;高値!R216,高値!Q216&gt;高値!S216),12,""))</f>
      </c>
      <c r="AN216" s="684">
        <f>IF(終値!A216="","",IF(AND(高値!R216&gt;高値!Q216,高値!R216&gt;高値!P216,高値!R216&gt;高値!S216,高値!R216&gt;高値!T216),13,""))</f>
      </c>
      <c r="AO216" s="684">
        <f>IF(終値!A216="","",IF(AND(高値!S216&gt;高値!R216,高値!S216&gt;高値!Q216,高値!S216&gt;高値!T216,高値!S216&gt;高値!U216),14,""))</f>
      </c>
      <c r="AP216" s="684">
        <f>IF(終値!A216="","",IF(AND(高値!T216&gt;高値!S216,高値!T216&gt;高値!R216,高値!T216&gt;高値!U216,高値!T216&gt;高値!V216),15,""))</f>
      </c>
      <c r="AQ216" s="684">
        <f>IF(終値!A216="","",IF(AND(高値!U216&gt;高値!T216,高値!U216&gt;高値!S216,高値!U216&gt;高値!V216,高値!U216&gt;高値!W216),16,""))</f>
      </c>
      <c r="AR216" s="684">
        <f>IF(終値!A216="","",IF(AND(高値!V216&gt;高値!U216,高値!V216&gt;高値!T216,高値!V216&gt;高値!W216,高値!V216&gt;高値!X216),17,""))</f>
      </c>
      <c r="AS216" s="684">
        <f>IF(終値!A216="","",IF(AND(高値!W216&gt;高値!V216,高値!W216&gt;高値!U216,高値!W216&gt;高値!X216,高値!W216&gt;高値!Y216),18,""))</f>
      </c>
      <c r="AT216" s="684">
        <f>IF(終値!A216="","",IF(AND(高値!X216&gt;高値!W216,高値!X216&gt;高値!V216,高値!X216&gt;高値!Y216,高値!X216&gt;高値!Z216),19,""))</f>
      </c>
      <c r="AU216" s="684">
        <f>IF(終値!A216="","",IF(AND(高値!Y216&gt;高値!X216,高値!Y216&gt;高値!W216,高値!Y216&gt;高値!Z216,高値!Y216&gt;高値!AA216),20,""))</f>
      </c>
      <c r="AV216" s="684">
        <f>IF(終値!A216="","",IF(AND(高値!Z216&gt;高値!Y216,高値!Z216&gt;高値!X216,高値!Z216&gt;高値!AA216,高値!Z216&gt;高値!AB216),21,""))</f>
      </c>
      <c r="AW216" s="684">
        <f>IF(終値!A216="","",IF(AND(高値!AA216&gt;高値!Z216,高値!AA216&gt;高値!Y216,高値!AA216&gt;高値!AB216,高値!AA216&gt;高値!AC216),22,""))</f>
      </c>
      <c r="AX216" s="684">
        <f>IF(終値!A216="","",IF(AND(高値!AB216&gt;高値!AA216,高値!AB216&gt;高値!Z216,高値!AB216&gt;高値!AC216,高値!AB216&gt;高値!AD216),23,""))</f>
      </c>
      <c r="AY216" s="684">
        <f>IF(終値!A216="","",IF(AND(高値!AC216&gt;高値!AB216,高値!AC216&gt;高値!AA216,高値!AC216&gt;高値!AD216,高値!AC216&gt;高値!AE216),24,""))</f>
      </c>
      <c r="AZ216" s="684">
        <f>IF(終値!A216="","",IF(AND(高値!AD216&gt;高値!AC216,高値!AD216&gt;高値!AB216,高値!AD216&gt;高値!AE216,高値!AD216&gt;高値!AF216),25,""))</f>
      </c>
      <c r="BA216" s="684">
        <f>IF(終値!A216="","",IF(AND(高値!AE216&gt;高値!AD216,高値!AE216&gt;高値!AC216,高値!AE216&gt;高値!AF216,高値!AE216&gt;高値!AG216),26,""))</f>
      </c>
      <c r="BB216" s="684">
        <f>IF(終値!A216="","",IF(AND(高値!AF216&gt;高値!AE216,高値!AF216&gt;高値!AD216,高値!AF216&gt;高値!AG216,高値!AF216&gt;高値!AH216),27,""))</f>
      </c>
      <c r="BC216" s="684">
        <f>IF(終値!A216="","",IF(AND(高値!AG216&gt;高値!AF216,高値!AG216&gt;高値!AE216,高値!AG216&gt;高値!AH216,高値!AG216&gt;高値!AI216),28,""))</f>
      </c>
      <c r="BD216" s="684">
        <f>COUNT($B216:$AB216)</f>
      </c>
      <c r="BE216" s="684">
        <f>IF($BD216&gt;=2,MIN($B216:$AB216),"")</f>
      </c>
      <c r="BF216" s="684">
        <f>IF($BD216&gt;=2,SMALL($B216:$AB216,2),"")</f>
      </c>
      <c r="BG216" s="684">
        <f>IF($BE216="","",INDEX(安値!$E216:$CZ216,1,$BE216+1))</f>
      </c>
      <c r="BH216" s="684">
        <f>IF($BF216="","",INDEX(安値!$E216:$CZ216,1,$BF216+1))</f>
      </c>
      <c r="BI216" s="684">
        <f>IF($BF216="","",MAX(INDEX(高値!$E216:$CZ216,1,$BE216+1):INDEX(高値!$E216:$CZ216,1,$BF216+1)))</f>
      </c>
      <c r="BJ216" s="684">
        <f>IF($BF216="","",AVERAGE(INDEX(終値!$E216:$CZ216,1,$BF216+1):INDEX(終値!$E216:$CZ216,1,$BF216+20))-2*STDEVP(INDEX(終値!$E216:$CZ216,1,$BF216+1):INDEX(終値!$E216:$CZ216,1,$BF216+20)))</f>
      </c>
      <c r="BK216" s="684">
        <f>IF($BE216="","",AVERAGE(INDEX(終値!$E216:$CZ216,1,$BE216+1):INDEX(終値!$E216:$CZ216,1,$BE216+20))-2*STDEVP(INDEX(終値!$E216:$CZ216,1,$BE216+1):INDEX(終値!$E216:$CZ216,1,$BE216+20)))</f>
      </c>
      <c r="BL216" s="684">
        <f>COUNT($AC216:$BC216)</f>
      </c>
      <c r="BM216" s="684">
        <f>IF($BL216&gt;=2,MIN($AC216:$BC216),"")</f>
      </c>
      <c r="BN216" s="684">
        <f>IF($BL216&gt;=2,SMALL($AC216:$BC216,2),"")</f>
      </c>
      <c r="BO216" s="684">
        <f>IF($BM216="","",INDEX(高値!$E216:$CZ216,1,$BM216+1))</f>
      </c>
      <c r="BP216" s="684">
        <f>IF($BN216="","",INDEX(高値!$E216:$CZ216,1,$BN216+1))</f>
      </c>
      <c r="BQ216" s="684">
        <f>IF($BN216="","",MIN(INDEX(安値!$E216:$CZ216,1,$BM216+1):INDEX(安値!$E216:$CZ216,1,$BN216+1)))</f>
      </c>
      <c r="BR216" s="684">
        <f>IF($BN216="","",AVERAGE(INDEX(終値!$E216:$CZ216,1,$BN216+1):INDEX(終値!$E216:$CZ216,1,$BN216+20))+2*STDEVP(INDEX(終値!$E216:$CZ216,1,$BN216+1):INDEX(終値!$E216:$CZ216,1,$BN216+20)))</f>
      </c>
      <c r="BS216" s="684">
        <f>IF($BM216="","",AVERAGE(INDEX(終値!$E216:$CZ216,1,$BM216+1):INDEX(終値!$E216:$CZ216,1,$BM216+20))+2*STDEVP(INDEX(終値!$E216:$CZ216,1,$BM216+1):INDEX(終値!$E216:$CZ216,1,$BM216+20)))</f>
      </c>
      <c r="BT216" s="681">
        <f>IFERROR(IF(AND($BD216&gt;=2,ABS($BG216-$BH216)/$BH216&lt;=BB設定!$B$12,$BI216&gt;=MAX($BH216,$BG216)*(1+BB設定!$B$13),終値!E216&gt;$BG216),IF(OR(終値!E216&gt;=$BI216,AND($BH216&lt;$BJ216,$BG216&gt;=$BK216)),"二番底W▲","二番底W形成"),IF(AND($BL216&gt;=2,ABS($BO216-$BP216)/$BP216&lt;=BB設定!$B$12,$BQ216&lt;=MIN($BP216,$BO216)*(1-BB設定!$B$13),終値!E216&lt;$BO216),IF(OR(終値!E216&lt;=$BQ216,AND($BP216&gt;$BR216,$BO216&lt;=$BS216)),"二番天井M▼","二番天井M形成"),"－")),"－")</f>
      </c>
    </row>
    <row r="217">
      <c r="B217" s="684">
        <f>IF(終値!A217="","",IF(AND(安値!G217&lt;安値!F217,安値!G217&lt;安値!E217,安値!G217&lt;安値!H217,安値!G217&lt;安値!I217),2,""))</f>
      </c>
      <c r="C217" s="684">
        <f>IF(終値!A217="","",IF(AND(安値!H217&lt;安値!G217,安値!H217&lt;安値!F217,安値!H217&lt;安値!I217,安値!H217&lt;安値!J217),3,""))</f>
      </c>
      <c r="D217" s="684">
        <f>IF(終値!A217="","",IF(AND(安値!I217&lt;安値!H217,安値!I217&lt;安値!G217,安値!I217&lt;安値!J217,安値!I217&lt;安値!K217),4,""))</f>
      </c>
      <c r="E217" s="684">
        <f>IF(終値!A217="","",IF(AND(安値!J217&lt;安値!I217,安値!J217&lt;安値!H217,安値!J217&lt;安値!K217,安値!J217&lt;安値!L217),5,""))</f>
      </c>
      <c r="F217" s="684">
        <f>IF(終値!A217="","",IF(AND(安値!K217&lt;安値!J217,安値!K217&lt;安値!I217,安値!K217&lt;安値!L217,安値!K217&lt;安値!M217),6,""))</f>
      </c>
      <c r="G217" s="684">
        <f>IF(終値!A217="","",IF(AND(安値!L217&lt;安値!K217,安値!L217&lt;安値!J217,安値!L217&lt;安値!M217,安値!L217&lt;安値!N217),7,""))</f>
      </c>
      <c r="H217" s="684">
        <f>IF(終値!A217="","",IF(AND(安値!M217&lt;安値!L217,安値!M217&lt;安値!K217,安値!M217&lt;安値!N217,安値!M217&lt;安値!O217),8,""))</f>
      </c>
      <c r="I217" s="684">
        <f>IF(終値!A217="","",IF(AND(安値!N217&lt;安値!M217,安値!N217&lt;安値!L217,安値!N217&lt;安値!O217,安値!N217&lt;安値!P217),9,""))</f>
      </c>
      <c r="J217" s="684">
        <f>IF(終値!A217="","",IF(AND(安値!O217&lt;安値!N217,安値!O217&lt;安値!M217,安値!O217&lt;安値!P217,安値!O217&lt;安値!Q217),10,""))</f>
      </c>
      <c r="K217" s="684">
        <f>IF(終値!A217="","",IF(AND(安値!P217&lt;安値!O217,安値!P217&lt;安値!N217,安値!P217&lt;安値!Q217,安値!P217&lt;安値!R217),11,""))</f>
      </c>
      <c r="L217" s="684">
        <f>IF(終値!A217="","",IF(AND(安値!Q217&lt;安値!P217,安値!Q217&lt;安値!O217,安値!Q217&lt;安値!R217,安値!Q217&lt;安値!S217),12,""))</f>
      </c>
      <c r="M217" s="684">
        <f>IF(終値!A217="","",IF(AND(安値!R217&lt;安値!Q217,安値!R217&lt;安値!P217,安値!R217&lt;安値!S217,安値!R217&lt;安値!T217),13,""))</f>
      </c>
      <c r="N217" s="684">
        <f>IF(終値!A217="","",IF(AND(安値!S217&lt;安値!R217,安値!S217&lt;安値!Q217,安値!S217&lt;安値!T217,安値!S217&lt;安値!U217),14,""))</f>
      </c>
      <c r="O217" s="684">
        <f>IF(終値!A217="","",IF(AND(安値!T217&lt;安値!S217,安値!T217&lt;安値!R217,安値!T217&lt;安値!U217,安値!T217&lt;安値!V217),15,""))</f>
      </c>
      <c r="P217" s="684">
        <f>IF(終値!A217="","",IF(AND(安値!U217&lt;安値!T217,安値!U217&lt;安値!S217,安値!U217&lt;安値!V217,安値!U217&lt;安値!W217),16,""))</f>
      </c>
      <c r="Q217" s="684">
        <f>IF(終値!A217="","",IF(AND(安値!V217&lt;安値!U217,安値!V217&lt;安値!T217,安値!V217&lt;安値!W217,安値!V217&lt;安値!X217),17,""))</f>
      </c>
      <c r="R217" s="684">
        <f>IF(終値!A217="","",IF(AND(安値!W217&lt;安値!V217,安値!W217&lt;安値!U217,安値!W217&lt;安値!X217,安値!W217&lt;安値!Y217),18,""))</f>
      </c>
      <c r="S217" s="684">
        <f>IF(終値!A217="","",IF(AND(安値!X217&lt;安値!W217,安値!X217&lt;安値!V217,安値!X217&lt;安値!Y217,安値!X217&lt;安値!Z217),19,""))</f>
      </c>
      <c r="T217" s="684">
        <f>IF(終値!A217="","",IF(AND(安値!Y217&lt;安値!X217,安値!Y217&lt;安値!W217,安値!Y217&lt;安値!Z217,安値!Y217&lt;安値!AA217),20,""))</f>
      </c>
      <c r="U217" s="684">
        <f>IF(終値!A217="","",IF(AND(安値!Z217&lt;安値!Y217,安値!Z217&lt;安値!X217,安値!Z217&lt;安値!AA217,安値!Z217&lt;安値!AB217),21,""))</f>
      </c>
      <c r="V217" s="684">
        <f>IF(終値!A217="","",IF(AND(安値!AA217&lt;安値!Z217,安値!AA217&lt;安値!Y217,安値!AA217&lt;安値!AB217,安値!AA217&lt;安値!AC217),22,""))</f>
      </c>
      <c r="W217" s="684">
        <f>IF(終値!A217="","",IF(AND(安値!AB217&lt;安値!AA217,安値!AB217&lt;安値!Z217,安値!AB217&lt;安値!AC217,安値!AB217&lt;安値!AD217),23,""))</f>
      </c>
      <c r="X217" s="684">
        <f>IF(終値!A217="","",IF(AND(安値!AC217&lt;安値!AB217,安値!AC217&lt;安値!AA217,安値!AC217&lt;安値!AD217,安値!AC217&lt;安値!AE217),24,""))</f>
      </c>
      <c r="Y217" s="684">
        <f>IF(終値!A217="","",IF(AND(安値!AD217&lt;安値!AC217,安値!AD217&lt;安値!AB217,安値!AD217&lt;安値!AE217,安値!AD217&lt;安値!AF217),25,""))</f>
      </c>
      <c r="Z217" s="684">
        <f>IF(終値!A217="","",IF(AND(安値!AE217&lt;安値!AD217,安値!AE217&lt;安値!AC217,安値!AE217&lt;安値!AF217,安値!AE217&lt;安値!AG217),26,""))</f>
      </c>
      <c r="AA217" s="684">
        <f>IF(終値!A217="","",IF(AND(安値!AF217&lt;安値!AE217,安値!AF217&lt;安値!AD217,安値!AF217&lt;安値!AG217,安値!AF217&lt;安値!AH217),27,""))</f>
      </c>
      <c r="AB217" s="684">
        <f>IF(終値!A217="","",IF(AND(安値!AG217&lt;安値!AF217,安値!AG217&lt;安値!AE217,安値!AG217&lt;安値!AH217,安値!AG217&lt;安値!AI217),28,""))</f>
      </c>
      <c r="AC217" s="684">
        <f>IF(終値!A217="","",IF(AND(高値!G217&gt;高値!F217,高値!G217&gt;高値!E217,高値!G217&gt;高値!H217,高値!G217&gt;高値!I217),2,""))</f>
      </c>
      <c r="AD217" s="684">
        <f>IF(終値!A217="","",IF(AND(高値!H217&gt;高値!G217,高値!H217&gt;高値!F217,高値!H217&gt;高値!I217,高値!H217&gt;高値!J217),3,""))</f>
      </c>
      <c r="AE217" s="684">
        <f>IF(終値!A217="","",IF(AND(高値!I217&gt;高値!H217,高値!I217&gt;高値!G217,高値!I217&gt;高値!J217,高値!I217&gt;高値!K217),4,""))</f>
      </c>
      <c r="AF217" s="684">
        <f>IF(終値!A217="","",IF(AND(高値!J217&gt;高値!I217,高値!J217&gt;高値!H217,高値!J217&gt;高値!K217,高値!J217&gt;高値!L217),5,""))</f>
      </c>
      <c r="AG217" s="684">
        <f>IF(終値!A217="","",IF(AND(高値!K217&gt;高値!J217,高値!K217&gt;高値!I217,高値!K217&gt;高値!L217,高値!K217&gt;高値!M217),6,""))</f>
      </c>
      <c r="AH217" s="684">
        <f>IF(終値!A217="","",IF(AND(高値!L217&gt;高値!K217,高値!L217&gt;高値!J217,高値!L217&gt;高値!M217,高値!L217&gt;高値!N217),7,""))</f>
      </c>
      <c r="AI217" s="684">
        <f>IF(終値!A217="","",IF(AND(高値!M217&gt;高値!L217,高値!M217&gt;高値!K217,高値!M217&gt;高値!N217,高値!M217&gt;高値!O217),8,""))</f>
      </c>
      <c r="AJ217" s="684">
        <f>IF(終値!A217="","",IF(AND(高値!N217&gt;高値!M217,高値!N217&gt;高値!L217,高値!N217&gt;高値!O217,高値!N217&gt;高値!P217),9,""))</f>
      </c>
      <c r="AK217" s="684">
        <f>IF(終値!A217="","",IF(AND(高値!O217&gt;高値!N217,高値!O217&gt;高値!M217,高値!O217&gt;高値!P217,高値!O217&gt;高値!Q217),10,""))</f>
      </c>
      <c r="AL217" s="684">
        <f>IF(終値!A217="","",IF(AND(高値!P217&gt;高値!O217,高値!P217&gt;高値!N217,高値!P217&gt;高値!Q217,高値!P217&gt;高値!R217),11,""))</f>
      </c>
      <c r="AM217" s="684">
        <f>IF(終値!A217="","",IF(AND(高値!Q217&gt;高値!P217,高値!Q217&gt;高値!O217,高値!Q217&gt;高値!R217,高値!Q217&gt;高値!S217),12,""))</f>
      </c>
      <c r="AN217" s="684">
        <f>IF(終値!A217="","",IF(AND(高値!R217&gt;高値!Q217,高値!R217&gt;高値!P217,高値!R217&gt;高値!S217,高値!R217&gt;高値!T217),13,""))</f>
      </c>
      <c r="AO217" s="684">
        <f>IF(終値!A217="","",IF(AND(高値!S217&gt;高値!R217,高値!S217&gt;高値!Q217,高値!S217&gt;高値!T217,高値!S217&gt;高値!U217),14,""))</f>
      </c>
      <c r="AP217" s="684">
        <f>IF(終値!A217="","",IF(AND(高値!T217&gt;高値!S217,高値!T217&gt;高値!R217,高値!T217&gt;高値!U217,高値!T217&gt;高値!V217),15,""))</f>
      </c>
      <c r="AQ217" s="684">
        <f>IF(終値!A217="","",IF(AND(高値!U217&gt;高値!T217,高値!U217&gt;高値!S217,高値!U217&gt;高値!V217,高値!U217&gt;高値!W217),16,""))</f>
      </c>
      <c r="AR217" s="684">
        <f>IF(終値!A217="","",IF(AND(高値!V217&gt;高値!U217,高値!V217&gt;高値!T217,高値!V217&gt;高値!W217,高値!V217&gt;高値!X217),17,""))</f>
      </c>
      <c r="AS217" s="684">
        <f>IF(終値!A217="","",IF(AND(高値!W217&gt;高値!V217,高値!W217&gt;高値!U217,高値!W217&gt;高値!X217,高値!W217&gt;高値!Y217),18,""))</f>
      </c>
      <c r="AT217" s="684">
        <f>IF(終値!A217="","",IF(AND(高値!X217&gt;高値!W217,高値!X217&gt;高値!V217,高値!X217&gt;高値!Y217,高値!X217&gt;高値!Z217),19,""))</f>
      </c>
      <c r="AU217" s="684">
        <f>IF(終値!A217="","",IF(AND(高値!Y217&gt;高値!X217,高値!Y217&gt;高値!W217,高値!Y217&gt;高値!Z217,高値!Y217&gt;高値!AA217),20,""))</f>
      </c>
      <c r="AV217" s="684">
        <f>IF(終値!A217="","",IF(AND(高値!Z217&gt;高値!Y217,高値!Z217&gt;高値!X217,高値!Z217&gt;高値!AA217,高値!Z217&gt;高値!AB217),21,""))</f>
      </c>
      <c r="AW217" s="684">
        <f>IF(終値!A217="","",IF(AND(高値!AA217&gt;高値!Z217,高値!AA217&gt;高値!Y217,高値!AA217&gt;高値!AB217,高値!AA217&gt;高値!AC217),22,""))</f>
      </c>
      <c r="AX217" s="684">
        <f>IF(終値!A217="","",IF(AND(高値!AB217&gt;高値!AA217,高値!AB217&gt;高値!Z217,高値!AB217&gt;高値!AC217,高値!AB217&gt;高値!AD217),23,""))</f>
      </c>
      <c r="AY217" s="684">
        <f>IF(終値!A217="","",IF(AND(高値!AC217&gt;高値!AB217,高値!AC217&gt;高値!AA217,高値!AC217&gt;高値!AD217,高値!AC217&gt;高値!AE217),24,""))</f>
      </c>
      <c r="AZ217" s="684">
        <f>IF(終値!A217="","",IF(AND(高値!AD217&gt;高値!AC217,高値!AD217&gt;高値!AB217,高値!AD217&gt;高値!AE217,高値!AD217&gt;高値!AF217),25,""))</f>
      </c>
      <c r="BA217" s="684">
        <f>IF(終値!A217="","",IF(AND(高値!AE217&gt;高値!AD217,高値!AE217&gt;高値!AC217,高値!AE217&gt;高値!AF217,高値!AE217&gt;高値!AG217),26,""))</f>
      </c>
      <c r="BB217" s="684">
        <f>IF(終値!A217="","",IF(AND(高値!AF217&gt;高値!AE217,高値!AF217&gt;高値!AD217,高値!AF217&gt;高値!AG217,高値!AF217&gt;高値!AH217),27,""))</f>
      </c>
      <c r="BC217" s="684">
        <f>IF(終値!A217="","",IF(AND(高値!AG217&gt;高値!AF217,高値!AG217&gt;高値!AE217,高値!AG217&gt;高値!AH217,高値!AG217&gt;高値!AI217),28,""))</f>
      </c>
      <c r="BD217" s="684">
        <f>COUNT($B217:$AB217)</f>
      </c>
      <c r="BE217" s="684">
        <f>IF($BD217&gt;=2,MIN($B217:$AB217),"")</f>
      </c>
      <c r="BF217" s="684">
        <f>IF($BD217&gt;=2,SMALL($B217:$AB217,2),"")</f>
      </c>
      <c r="BG217" s="684">
        <f>IF($BE217="","",INDEX(安値!$E217:$CZ217,1,$BE217+1))</f>
      </c>
      <c r="BH217" s="684">
        <f>IF($BF217="","",INDEX(安値!$E217:$CZ217,1,$BF217+1))</f>
      </c>
      <c r="BI217" s="684">
        <f>IF($BF217="","",MAX(INDEX(高値!$E217:$CZ217,1,$BE217+1):INDEX(高値!$E217:$CZ217,1,$BF217+1)))</f>
      </c>
      <c r="BJ217" s="684">
        <f>IF($BF217="","",AVERAGE(INDEX(終値!$E217:$CZ217,1,$BF217+1):INDEX(終値!$E217:$CZ217,1,$BF217+20))-2*STDEVP(INDEX(終値!$E217:$CZ217,1,$BF217+1):INDEX(終値!$E217:$CZ217,1,$BF217+20)))</f>
      </c>
      <c r="BK217" s="684">
        <f>IF($BE217="","",AVERAGE(INDEX(終値!$E217:$CZ217,1,$BE217+1):INDEX(終値!$E217:$CZ217,1,$BE217+20))-2*STDEVP(INDEX(終値!$E217:$CZ217,1,$BE217+1):INDEX(終値!$E217:$CZ217,1,$BE217+20)))</f>
      </c>
      <c r="BL217" s="684">
        <f>COUNT($AC217:$BC217)</f>
      </c>
      <c r="BM217" s="684">
        <f>IF($BL217&gt;=2,MIN($AC217:$BC217),"")</f>
      </c>
      <c r="BN217" s="684">
        <f>IF($BL217&gt;=2,SMALL($AC217:$BC217,2),"")</f>
      </c>
      <c r="BO217" s="684">
        <f>IF($BM217="","",INDEX(高値!$E217:$CZ217,1,$BM217+1))</f>
      </c>
      <c r="BP217" s="684">
        <f>IF($BN217="","",INDEX(高値!$E217:$CZ217,1,$BN217+1))</f>
      </c>
      <c r="BQ217" s="684">
        <f>IF($BN217="","",MIN(INDEX(安値!$E217:$CZ217,1,$BM217+1):INDEX(安値!$E217:$CZ217,1,$BN217+1)))</f>
      </c>
      <c r="BR217" s="684">
        <f>IF($BN217="","",AVERAGE(INDEX(終値!$E217:$CZ217,1,$BN217+1):INDEX(終値!$E217:$CZ217,1,$BN217+20))+2*STDEVP(INDEX(終値!$E217:$CZ217,1,$BN217+1):INDEX(終値!$E217:$CZ217,1,$BN217+20)))</f>
      </c>
      <c r="BS217" s="684">
        <f>IF($BM217="","",AVERAGE(INDEX(終値!$E217:$CZ217,1,$BM217+1):INDEX(終値!$E217:$CZ217,1,$BM217+20))+2*STDEVP(INDEX(終値!$E217:$CZ217,1,$BM217+1):INDEX(終値!$E217:$CZ217,1,$BM217+20)))</f>
      </c>
      <c r="BT217" s="681">
        <f>IFERROR(IF(AND($BD217&gt;=2,ABS($BG217-$BH217)/$BH217&lt;=BB設定!$B$12,$BI217&gt;=MAX($BH217,$BG217)*(1+BB設定!$B$13),終値!E217&gt;$BG217),IF(OR(終値!E217&gt;=$BI217,AND($BH217&lt;$BJ217,$BG217&gt;=$BK217)),"二番底W▲","二番底W形成"),IF(AND($BL217&gt;=2,ABS($BO217-$BP217)/$BP217&lt;=BB設定!$B$12,$BQ217&lt;=MIN($BP217,$BO217)*(1-BB設定!$B$13),終値!E217&lt;$BO217),IF(OR(終値!E217&lt;=$BQ217,AND($BP217&gt;$BR217,$BO217&lt;=$BS217)),"二番天井M▼","二番天井M形成"),"－")),"－")</f>
      </c>
    </row>
    <row r="218">
      <c r="B218" s="684">
        <f>IF(終値!A218="","",IF(AND(安値!G218&lt;安値!F218,安値!G218&lt;安値!E218,安値!G218&lt;安値!H218,安値!G218&lt;安値!I218),2,""))</f>
      </c>
      <c r="C218" s="684">
        <f>IF(終値!A218="","",IF(AND(安値!H218&lt;安値!G218,安値!H218&lt;安値!F218,安値!H218&lt;安値!I218,安値!H218&lt;安値!J218),3,""))</f>
      </c>
      <c r="D218" s="684">
        <f>IF(終値!A218="","",IF(AND(安値!I218&lt;安値!H218,安値!I218&lt;安値!G218,安値!I218&lt;安値!J218,安値!I218&lt;安値!K218),4,""))</f>
      </c>
      <c r="E218" s="684">
        <f>IF(終値!A218="","",IF(AND(安値!J218&lt;安値!I218,安値!J218&lt;安値!H218,安値!J218&lt;安値!K218,安値!J218&lt;安値!L218),5,""))</f>
      </c>
      <c r="F218" s="684">
        <f>IF(終値!A218="","",IF(AND(安値!K218&lt;安値!J218,安値!K218&lt;安値!I218,安値!K218&lt;安値!L218,安値!K218&lt;安値!M218),6,""))</f>
      </c>
      <c r="G218" s="684">
        <f>IF(終値!A218="","",IF(AND(安値!L218&lt;安値!K218,安値!L218&lt;安値!J218,安値!L218&lt;安値!M218,安値!L218&lt;安値!N218),7,""))</f>
      </c>
      <c r="H218" s="684">
        <f>IF(終値!A218="","",IF(AND(安値!M218&lt;安値!L218,安値!M218&lt;安値!K218,安値!M218&lt;安値!N218,安値!M218&lt;安値!O218),8,""))</f>
      </c>
      <c r="I218" s="684">
        <f>IF(終値!A218="","",IF(AND(安値!N218&lt;安値!M218,安値!N218&lt;安値!L218,安値!N218&lt;安値!O218,安値!N218&lt;安値!P218),9,""))</f>
      </c>
      <c r="J218" s="684">
        <f>IF(終値!A218="","",IF(AND(安値!O218&lt;安値!N218,安値!O218&lt;安値!M218,安値!O218&lt;安値!P218,安値!O218&lt;安値!Q218),10,""))</f>
      </c>
      <c r="K218" s="684">
        <f>IF(終値!A218="","",IF(AND(安値!P218&lt;安値!O218,安値!P218&lt;安値!N218,安値!P218&lt;安値!Q218,安値!P218&lt;安値!R218),11,""))</f>
      </c>
      <c r="L218" s="684">
        <f>IF(終値!A218="","",IF(AND(安値!Q218&lt;安値!P218,安値!Q218&lt;安値!O218,安値!Q218&lt;安値!R218,安値!Q218&lt;安値!S218),12,""))</f>
      </c>
      <c r="M218" s="684">
        <f>IF(終値!A218="","",IF(AND(安値!R218&lt;安値!Q218,安値!R218&lt;安値!P218,安値!R218&lt;安値!S218,安値!R218&lt;安値!T218),13,""))</f>
      </c>
      <c r="N218" s="684">
        <f>IF(終値!A218="","",IF(AND(安値!S218&lt;安値!R218,安値!S218&lt;安値!Q218,安値!S218&lt;安値!T218,安値!S218&lt;安値!U218),14,""))</f>
      </c>
      <c r="O218" s="684">
        <f>IF(終値!A218="","",IF(AND(安値!T218&lt;安値!S218,安値!T218&lt;安値!R218,安値!T218&lt;安値!U218,安値!T218&lt;安値!V218),15,""))</f>
      </c>
      <c r="P218" s="684">
        <f>IF(終値!A218="","",IF(AND(安値!U218&lt;安値!T218,安値!U218&lt;安値!S218,安値!U218&lt;安値!V218,安値!U218&lt;安値!W218),16,""))</f>
      </c>
      <c r="Q218" s="684">
        <f>IF(終値!A218="","",IF(AND(安値!V218&lt;安値!U218,安値!V218&lt;安値!T218,安値!V218&lt;安値!W218,安値!V218&lt;安値!X218),17,""))</f>
      </c>
      <c r="R218" s="684">
        <f>IF(終値!A218="","",IF(AND(安値!W218&lt;安値!V218,安値!W218&lt;安値!U218,安値!W218&lt;安値!X218,安値!W218&lt;安値!Y218),18,""))</f>
      </c>
      <c r="S218" s="684">
        <f>IF(終値!A218="","",IF(AND(安値!X218&lt;安値!W218,安値!X218&lt;安値!V218,安値!X218&lt;安値!Y218,安値!X218&lt;安値!Z218),19,""))</f>
      </c>
      <c r="T218" s="684">
        <f>IF(終値!A218="","",IF(AND(安値!Y218&lt;安値!X218,安値!Y218&lt;安値!W218,安値!Y218&lt;安値!Z218,安値!Y218&lt;安値!AA218),20,""))</f>
      </c>
      <c r="U218" s="684">
        <f>IF(終値!A218="","",IF(AND(安値!Z218&lt;安値!Y218,安値!Z218&lt;安値!X218,安値!Z218&lt;安値!AA218,安値!Z218&lt;安値!AB218),21,""))</f>
      </c>
      <c r="V218" s="684">
        <f>IF(終値!A218="","",IF(AND(安値!AA218&lt;安値!Z218,安値!AA218&lt;安値!Y218,安値!AA218&lt;安値!AB218,安値!AA218&lt;安値!AC218),22,""))</f>
      </c>
      <c r="W218" s="684">
        <f>IF(終値!A218="","",IF(AND(安値!AB218&lt;安値!AA218,安値!AB218&lt;安値!Z218,安値!AB218&lt;安値!AC218,安値!AB218&lt;安値!AD218),23,""))</f>
      </c>
      <c r="X218" s="684">
        <f>IF(終値!A218="","",IF(AND(安値!AC218&lt;安値!AB218,安値!AC218&lt;安値!AA218,安値!AC218&lt;安値!AD218,安値!AC218&lt;安値!AE218),24,""))</f>
      </c>
      <c r="Y218" s="684">
        <f>IF(終値!A218="","",IF(AND(安値!AD218&lt;安値!AC218,安値!AD218&lt;安値!AB218,安値!AD218&lt;安値!AE218,安値!AD218&lt;安値!AF218),25,""))</f>
      </c>
      <c r="Z218" s="684">
        <f>IF(終値!A218="","",IF(AND(安値!AE218&lt;安値!AD218,安値!AE218&lt;安値!AC218,安値!AE218&lt;安値!AF218,安値!AE218&lt;安値!AG218),26,""))</f>
      </c>
      <c r="AA218" s="684">
        <f>IF(終値!A218="","",IF(AND(安値!AF218&lt;安値!AE218,安値!AF218&lt;安値!AD218,安値!AF218&lt;安値!AG218,安値!AF218&lt;安値!AH218),27,""))</f>
      </c>
      <c r="AB218" s="684">
        <f>IF(終値!A218="","",IF(AND(安値!AG218&lt;安値!AF218,安値!AG218&lt;安値!AE218,安値!AG218&lt;安値!AH218,安値!AG218&lt;安値!AI218),28,""))</f>
      </c>
      <c r="AC218" s="684">
        <f>IF(終値!A218="","",IF(AND(高値!G218&gt;高値!F218,高値!G218&gt;高値!E218,高値!G218&gt;高値!H218,高値!G218&gt;高値!I218),2,""))</f>
      </c>
      <c r="AD218" s="684">
        <f>IF(終値!A218="","",IF(AND(高値!H218&gt;高値!G218,高値!H218&gt;高値!F218,高値!H218&gt;高値!I218,高値!H218&gt;高値!J218),3,""))</f>
      </c>
      <c r="AE218" s="684">
        <f>IF(終値!A218="","",IF(AND(高値!I218&gt;高値!H218,高値!I218&gt;高値!G218,高値!I218&gt;高値!J218,高値!I218&gt;高値!K218),4,""))</f>
      </c>
      <c r="AF218" s="684">
        <f>IF(終値!A218="","",IF(AND(高値!J218&gt;高値!I218,高値!J218&gt;高値!H218,高値!J218&gt;高値!K218,高値!J218&gt;高値!L218),5,""))</f>
      </c>
      <c r="AG218" s="684">
        <f>IF(終値!A218="","",IF(AND(高値!K218&gt;高値!J218,高値!K218&gt;高値!I218,高値!K218&gt;高値!L218,高値!K218&gt;高値!M218),6,""))</f>
      </c>
      <c r="AH218" s="684">
        <f>IF(終値!A218="","",IF(AND(高値!L218&gt;高値!K218,高値!L218&gt;高値!J218,高値!L218&gt;高値!M218,高値!L218&gt;高値!N218),7,""))</f>
      </c>
      <c r="AI218" s="684">
        <f>IF(終値!A218="","",IF(AND(高値!M218&gt;高値!L218,高値!M218&gt;高値!K218,高値!M218&gt;高値!N218,高値!M218&gt;高値!O218),8,""))</f>
      </c>
      <c r="AJ218" s="684">
        <f>IF(終値!A218="","",IF(AND(高値!N218&gt;高値!M218,高値!N218&gt;高値!L218,高値!N218&gt;高値!O218,高値!N218&gt;高値!P218),9,""))</f>
      </c>
      <c r="AK218" s="684">
        <f>IF(終値!A218="","",IF(AND(高値!O218&gt;高値!N218,高値!O218&gt;高値!M218,高値!O218&gt;高値!P218,高値!O218&gt;高値!Q218),10,""))</f>
      </c>
      <c r="AL218" s="684">
        <f>IF(終値!A218="","",IF(AND(高値!P218&gt;高値!O218,高値!P218&gt;高値!N218,高値!P218&gt;高値!Q218,高値!P218&gt;高値!R218),11,""))</f>
      </c>
      <c r="AM218" s="684">
        <f>IF(終値!A218="","",IF(AND(高値!Q218&gt;高値!P218,高値!Q218&gt;高値!O218,高値!Q218&gt;高値!R218,高値!Q218&gt;高値!S218),12,""))</f>
      </c>
      <c r="AN218" s="684">
        <f>IF(終値!A218="","",IF(AND(高値!R218&gt;高値!Q218,高値!R218&gt;高値!P218,高値!R218&gt;高値!S218,高値!R218&gt;高値!T218),13,""))</f>
      </c>
      <c r="AO218" s="684">
        <f>IF(終値!A218="","",IF(AND(高値!S218&gt;高値!R218,高値!S218&gt;高値!Q218,高値!S218&gt;高値!T218,高値!S218&gt;高値!U218),14,""))</f>
      </c>
      <c r="AP218" s="684">
        <f>IF(終値!A218="","",IF(AND(高値!T218&gt;高値!S218,高値!T218&gt;高値!R218,高値!T218&gt;高値!U218,高値!T218&gt;高値!V218),15,""))</f>
      </c>
      <c r="AQ218" s="684">
        <f>IF(終値!A218="","",IF(AND(高値!U218&gt;高値!T218,高値!U218&gt;高値!S218,高値!U218&gt;高値!V218,高値!U218&gt;高値!W218),16,""))</f>
      </c>
      <c r="AR218" s="684">
        <f>IF(終値!A218="","",IF(AND(高値!V218&gt;高値!U218,高値!V218&gt;高値!T218,高値!V218&gt;高値!W218,高値!V218&gt;高値!X218),17,""))</f>
      </c>
      <c r="AS218" s="684">
        <f>IF(終値!A218="","",IF(AND(高値!W218&gt;高値!V218,高値!W218&gt;高値!U218,高値!W218&gt;高値!X218,高値!W218&gt;高値!Y218),18,""))</f>
      </c>
      <c r="AT218" s="684">
        <f>IF(終値!A218="","",IF(AND(高値!X218&gt;高値!W218,高値!X218&gt;高値!V218,高値!X218&gt;高値!Y218,高値!X218&gt;高値!Z218),19,""))</f>
      </c>
      <c r="AU218" s="684">
        <f>IF(終値!A218="","",IF(AND(高値!Y218&gt;高値!X218,高値!Y218&gt;高値!W218,高値!Y218&gt;高値!Z218,高値!Y218&gt;高値!AA218),20,""))</f>
      </c>
      <c r="AV218" s="684">
        <f>IF(終値!A218="","",IF(AND(高値!Z218&gt;高値!Y218,高値!Z218&gt;高値!X218,高値!Z218&gt;高値!AA218,高値!Z218&gt;高値!AB218),21,""))</f>
      </c>
      <c r="AW218" s="684">
        <f>IF(終値!A218="","",IF(AND(高値!AA218&gt;高値!Z218,高値!AA218&gt;高値!Y218,高値!AA218&gt;高値!AB218,高値!AA218&gt;高値!AC218),22,""))</f>
      </c>
      <c r="AX218" s="684">
        <f>IF(終値!A218="","",IF(AND(高値!AB218&gt;高値!AA218,高値!AB218&gt;高値!Z218,高値!AB218&gt;高値!AC218,高値!AB218&gt;高値!AD218),23,""))</f>
      </c>
      <c r="AY218" s="684">
        <f>IF(終値!A218="","",IF(AND(高値!AC218&gt;高値!AB218,高値!AC218&gt;高値!AA218,高値!AC218&gt;高値!AD218,高値!AC218&gt;高値!AE218),24,""))</f>
      </c>
      <c r="AZ218" s="684">
        <f>IF(終値!A218="","",IF(AND(高値!AD218&gt;高値!AC218,高値!AD218&gt;高値!AB218,高値!AD218&gt;高値!AE218,高値!AD218&gt;高値!AF218),25,""))</f>
      </c>
      <c r="BA218" s="684">
        <f>IF(終値!A218="","",IF(AND(高値!AE218&gt;高値!AD218,高値!AE218&gt;高値!AC218,高値!AE218&gt;高値!AF218,高値!AE218&gt;高値!AG218),26,""))</f>
      </c>
      <c r="BB218" s="684">
        <f>IF(終値!A218="","",IF(AND(高値!AF218&gt;高値!AE218,高値!AF218&gt;高値!AD218,高値!AF218&gt;高値!AG218,高値!AF218&gt;高値!AH218),27,""))</f>
      </c>
      <c r="BC218" s="684">
        <f>IF(終値!A218="","",IF(AND(高値!AG218&gt;高値!AF218,高値!AG218&gt;高値!AE218,高値!AG218&gt;高値!AH218,高値!AG218&gt;高値!AI218),28,""))</f>
      </c>
      <c r="BD218" s="684">
        <f>COUNT($B218:$AB218)</f>
      </c>
      <c r="BE218" s="684">
        <f>IF($BD218&gt;=2,MIN($B218:$AB218),"")</f>
      </c>
      <c r="BF218" s="684">
        <f>IF($BD218&gt;=2,SMALL($B218:$AB218,2),"")</f>
      </c>
      <c r="BG218" s="684">
        <f>IF($BE218="","",INDEX(安値!$E218:$CZ218,1,$BE218+1))</f>
      </c>
      <c r="BH218" s="684">
        <f>IF($BF218="","",INDEX(安値!$E218:$CZ218,1,$BF218+1))</f>
      </c>
      <c r="BI218" s="684">
        <f>IF($BF218="","",MAX(INDEX(高値!$E218:$CZ218,1,$BE218+1):INDEX(高値!$E218:$CZ218,1,$BF218+1)))</f>
      </c>
      <c r="BJ218" s="684">
        <f>IF($BF218="","",AVERAGE(INDEX(終値!$E218:$CZ218,1,$BF218+1):INDEX(終値!$E218:$CZ218,1,$BF218+20))-2*STDEVP(INDEX(終値!$E218:$CZ218,1,$BF218+1):INDEX(終値!$E218:$CZ218,1,$BF218+20)))</f>
      </c>
      <c r="BK218" s="684">
        <f>IF($BE218="","",AVERAGE(INDEX(終値!$E218:$CZ218,1,$BE218+1):INDEX(終値!$E218:$CZ218,1,$BE218+20))-2*STDEVP(INDEX(終値!$E218:$CZ218,1,$BE218+1):INDEX(終値!$E218:$CZ218,1,$BE218+20)))</f>
      </c>
      <c r="BL218" s="684">
        <f>COUNT($AC218:$BC218)</f>
      </c>
      <c r="BM218" s="684">
        <f>IF($BL218&gt;=2,MIN($AC218:$BC218),"")</f>
      </c>
      <c r="BN218" s="684">
        <f>IF($BL218&gt;=2,SMALL($AC218:$BC218,2),"")</f>
      </c>
      <c r="BO218" s="684">
        <f>IF($BM218="","",INDEX(高値!$E218:$CZ218,1,$BM218+1))</f>
      </c>
      <c r="BP218" s="684">
        <f>IF($BN218="","",INDEX(高値!$E218:$CZ218,1,$BN218+1))</f>
      </c>
      <c r="BQ218" s="684">
        <f>IF($BN218="","",MIN(INDEX(安値!$E218:$CZ218,1,$BM218+1):INDEX(安値!$E218:$CZ218,1,$BN218+1)))</f>
      </c>
      <c r="BR218" s="684">
        <f>IF($BN218="","",AVERAGE(INDEX(終値!$E218:$CZ218,1,$BN218+1):INDEX(終値!$E218:$CZ218,1,$BN218+20))+2*STDEVP(INDEX(終値!$E218:$CZ218,1,$BN218+1):INDEX(終値!$E218:$CZ218,1,$BN218+20)))</f>
      </c>
      <c r="BS218" s="684">
        <f>IF($BM218="","",AVERAGE(INDEX(終値!$E218:$CZ218,1,$BM218+1):INDEX(終値!$E218:$CZ218,1,$BM218+20))+2*STDEVP(INDEX(終値!$E218:$CZ218,1,$BM218+1):INDEX(終値!$E218:$CZ218,1,$BM218+20)))</f>
      </c>
      <c r="BT218" s="681">
        <f>IFERROR(IF(AND($BD218&gt;=2,ABS($BG218-$BH218)/$BH218&lt;=BB設定!$B$12,$BI218&gt;=MAX($BH218,$BG218)*(1+BB設定!$B$13),終値!E218&gt;$BG218),IF(OR(終値!E218&gt;=$BI218,AND($BH218&lt;$BJ218,$BG218&gt;=$BK218)),"二番底W▲","二番底W形成"),IF(AND($BL218&gt;=2,ABS($BO218-$BP218)/$BP218&lt;=BB設定!$B$12,$BQ218&lt;=MIN($BP218,$BO218)*(1-BB設定!$B$13),終値!E218&lt;$BO218),IF(OR(終値!E218&lt;=$BQ218,AND($BP218&gt;$BR218,$BO218&lt;=$BS218)),"二番天井M▼","二番天井M形成"),"－")),"－")</f>
      </c>
    </row>
    <row r="219">
      <c r="B219" s="684">
        <f>IF(終値!A219="","",IF(AND(安値!G219&lt;安値!F219,安値!G219&lt;安値!E219,安値!G219&lt;安値!H219,安値!G219&lt;安値!I219),2,""))</f>
      </c>
      <c r="C219" s="684">
        <f>IF(終値!A219="","",IF(AND(安値!H219&lt;安値!G219,安値!H219&lt;安値!F219,安値!H219&lt;安値!I219,安値!H219&lt;安値!J219),3,""))</f>
      </c>
      <c r="D219" s="684">
        <f>IF(終値!A219="","",IF(AND(安値!I219&lt;安値!H219,安値!I219&lt;安値!G219,安値!I219&lt;安値!J219,安値!I219&lt;安値!K219),4,""))</f>
      </c>
      <c r="E219" s="684">
        <f>IF(終値!A219="","",IF(AND(安値!J219&lt;安値!I219,安値!J219&lt;安値!H219,安値!J219&lt;安値!K219,安値!J219&lt;安値!L219),5,""))</f>
      </c>
      <c r="F219" s="684">
        <f>IF(終値!A219="","",IF(AND(安値!K219&lt;安値!J219,安値!K219&lt;安値!I219,安値!K219&lt;安値!L219,安値!K219&lt;安値!M219),6,""))</f>
      </c>
      <c r="G219" s="684">
        <f>IF(終値!A219="","",IF(AND(安値!L219&lt;安値!K219,安値!L219&lt;安値!J219,安値!L219&lt;安値!M219,安値!L219&lt;安値!N219),7,""))</f>
      </c>
      <c r="H219" s="684">
        <f>IF(終値!A219="","",IF(AND(安値!M219&lt;安値!L219,安値!M219&lt;安値!K219,安値!M219&lt;安値!N219,安値!M219&lt;安値!O219),8,""))</f>
      </c>
      <c r="I219" s="684">
        <f>IF(終値!A219="","",IF(AND(安値!N219&lt;安値!M219,安値!N219&lt;安値!L219,安値!N219&lt;安値!O219,安値!N219&lt;安値!P219),9,""))</f>
      </c>
      <c r="J219" s="684">
        <f>IF(終値!A219="","",IF(AND(安値!O219&lt;安値!N219,安値!O219&lt;安値!M219,安値!O219&lt;安値!P219,安値!O219&lt;安値!Q219),10,""))</f>
      </c>
      <c r="K219" s="684">
        <f>IF(終値!A219="","",IF(AND(安値!P219&lt;安値!O219,安値!P219&lt;安値!N219,安値!P219&lt;安値!Q219,安値!P219&lt;安値!R219),11,""))</f>
      </c>
      <c r="L219" s="684">
        <f>IF(終値!A219="","",IF(AND(安値!Q219&lt;安値!P219,安値!Q219&lt;安値!O219,安値!Q219&lt;安値!R219,安値!Q219&lt;安値!S219),12,""))</f>
      </c>
      <c r="M219" s="684">
        <f>IF(終値!A219="","",IF(AND(安値!R219&lt;安値!Q219,安値!R219&lt;安値!P219,安値!R219&lt;安値!S219,安値!R219&lt;安値!T219),13,""))</f>
      </c>
      <c r="N219" s="684">
        <f>IF(終値!A219="","",IF(AND(安値!S219&lt;安値!R219,安値!S219&lt;安値!Q219,安値!S219&lt;安値!T219,安値!S219&lt;安値!U219),14,""))</f>
      </c>
      <c r="O219" s="684">
        <f>IF(終値!A219="","",IF(AND(安値!T219&lt;安値!S219,安値!T219&lt;安値!R219,安値!T219&lt;安値!U219,安値!T219&lt;安値!V219),15,""))</f>
      </c>
      <c r="P219" s="684">
        <f>IF(終値!A219="","",IF(AND(安値!U219&lt;安値!T219,安値!U219&lt;安値!S219,安値!U219&lt;安値!V219,安値!U219&lt;安値!W219),16,""))</f>
      </c>
      <c r="Q219" s="684">
        <f>IF(終値!A219="","",IF(AND(安値!V219&lt;安値!U219,安値!V219&lt;安値!T219,安値!V219&lt;安値!W219,安値!V219&lt;安値!X219),17,""))</f>
      </c>
      <c r="R219" s="684">
        <f>IF(終値!A219="","",IF(AND(安値!W219&lt;安値!V219,安値!W219&lt;安値!U219,安値!W219&lt;安値!X219,安値!W219&lt;安値!Y219),18,""))</f>
      </c>
      <c r="S219" s="684">
        <f>IF(終値!A219="","",IF(AND(安値!X219&lt;安値!W219,安値!X219&lt;安値!V219,安値!X219&lt;安値!Y219,安値!X219&lt;安値!Z219),19,""))</f>
      </c>
      <c r="T219" s="684">
        <f>IF(終値!A219="","",IF(AND(安値!Y219&lt;安値!X219,安値!Y219&lt;安値!W219,安値!Y219&lt;安値!Z219,安値!Y219&lt;安値!AA219),20,""))</f>
      </c>
      <c r="U219" s="684">
        <f>IF(終値!A219="","",IF(AND(安値!Z219&lt;安値!Y219,安値!Z219&lt;安値!X219,安値!Z219&lt;安値!AA219,安値!Z219&lt;安値!AB219),21,""))</f>
      </c>
      <c r="V219" s="684">
        <f>IF(終値!A219="","",IF(AND(安値!AA219&lt;安値!Z219,安値!AA219&lt;安値!Y219,安値!AA219&lt;安値!AB219,安値!AA219&lt;安値!AC219),22,""))</f>
      </c>
      <c r="W219" s="684">
        <f>IF(終値!A219="","",IF(AND(安値!AB219&lt;安値!AA219,安値!AB219&lt;安値!Z219,安値!AB219&lt;安値!AC219,安値!AB219&lt;安値!AD219),23,""))</f>
      </c>
      <c r="X219" s="684">
        <f>IF(終値!A219="","",IF(AND(安値!AC219&lt;安値!AB219,安値!AC219&lt;安値!AA219,安値!AC219&lt;安値!AD219,安値!AC219&lt;安値!AE219),24,""))</f>
      </c>
      <c r="Y219" s="684">
        <f>IF(終値!A219="","",IF(AND(安値!AD219&lt;安値!AC219,安値!AD219&lt;安値!AB219,安値!AD219&lt;安値!AE219,安値!AD219&lt;安値!AF219),25,""))</f>
      </c>
      <c r="Z219" s="684">
        <f>IF(終値!A219="","",IF(AND(安値!AE219&lt;安値!AD219,安値!AE219&lt;安値!AC219,安値!AE219&lt;安値!AF219,安値!AE219&lt;安値!AG219),26,""))</f>
      </c>
      <c r="AA219" s="684">
        <f>IF(終値!A219="","",IF(AND(安値!AF219&lt;安値!AE219,安値!AF219&lt;安値!AD219,安値!AF219&lt;安値!AG219,安値!AF219&lt;安値!AH219),27,""))</f>
      </c>
      <c r="AB219" s="684">
        <f>IF(終値!A219="","",IF(AND(安値!AG219&lt;安値!AF219,安値!AG219&lt;安値!AE219,安値!AG219&lt;安値!AH219,安値!AG219&lt;安値!AI219),28,""))</f>
      </c>
      <c r="AC219" s="684">
        <f>IF(終値!A219="","",IF(AND(高値!G219&gt;高値!F219,高値!G219&gt;高値!E219,高値!G219&gt;高値!H219,高値!G219&gt;高値!I219),2,""))</f>
      </c>
      <c r="AD219" s="684">
        <f>IF(終値!A219="","",IF(AND(高値!H219&gt;高値!G219,高値!H219&gt;高値!F219,高値!H219&gt;高値!I219,高値!H219&gt;高値!J219),3,""))</f>
      </c>
      <c r="AE219" s="684">
        <f>IF(終値!A219="","",IF(AND(高値!I219&gt;高値!H219,高値!I219&gt;高値!G219,高値!I219&gt;高値!J219,高値!I219&gt;高値!K219),4,""))</f>
      </c>
      <c r="AF219" s="684">
        <f>IF(終値!A219="","",IF(AND(高値!J219&gt;高値!I219,高値!J219&gt;高値!H219,高値!J219&gt;高値!K219,高値!J219&gt;高値!L219),5,""))</f>
      </c>
      <c r="AG219" s="684">
        <f>IF(終値!A219="","",IF(AND(高値!K219&gt;高値!J219,高値!K219&gt;高値!I219,高値!K219&gt;高値!L219,高値!K219&gt;高値!M219),6,""))</f>
      </c>
      <c r="AH219" s="684">
        <f>IF(終値!A219="","",IF(AND(高値!L219&gt;高値!K219,高値!L219&gt;高値!J219,高値!L219&gt;高値!M219,高値!L219&gt;高値!N219),7,""))</f>
      </c>
      <c r="AI219" s="684">
        <f>IF(終値!A219="","",IF(AND(高値!M219&gt;高値!L219,高値!M219&gt;高値!K219,高値!M219&gt;高値!N219,高値!M219&gt;高値!O219),8,""))</f>
      </c>
      <c r="AJ219" s="684">
        <f>IF(終値!A219="","",IF(AND(高値!N219&gt;高値!M219,高値!N219&gt;高値!L219,高値!N219&gt;高値!O219,高値!N219&gt;高値!P219),9,""))</f>
      </c>
      <c r="AK219" s="684">
        <f>IF(終値!A219="","",IF(AND(高値!O219&gt;高値!N219,高値!O219&gt;高値!M219,高値!O219&gt;高値!P219,高値!O219&gt;高値!Q219),10,""))</f>
      </c>
      <c r="AL219" s="684">
        <f>IF(終値!A219="","",IF(AND(高値!P219&gt;高値!O219,高値!P219&gt;高値!N219,高値!P219&gt;高値!Q219,高値!P219&gt;高値!R219),11,""))</f>
      </c>
      <c r="AM219" s="684">
        <f>IF(終値!A219="","",IF(AND(高値!Q219&gt;高値!P219,高値!Q219&gt;高値!O219,高値!Q219&gt;高値!R219,高値!Q219&gt;高値!S219),12,""))</f>
      </c>
      <c r="AN219" s="684">
        <f>IF(終値!A219="","",IF(AND(高値!R219&gt;高値!Q219,高値!R219&gt;高値!P219,高値!R219&gt;高値!S219,高値!R219&gt;高値!T219),13,""))</f>
      </c>
      <c r="AO219" s="684">
        <f>IF(終値!A219="","",IF(AND(高値!S219&gt;高値!R219,高値!S219&gt;高値!Q219,高値!S219&gt;高値!T219,高値!S219&gt;高値!U219),14,""))</f>
      </c>
      <c r="AP219" s="684">
        <f>IF(終値!A219="","",IF(AND(高値!T219&gt;高値!S219,高値!T219&gt;高値!R219,高値!T219&gt;高値!U219,高値!T219&gt;高値!V219),15,""))</f>
      </c>
      <c r="AQ219" s="684">
        <f>IF(終値!A219="","",IF(AND(高値!U219&gt;高値!T219,高値!U219&gt;高値!S219,高値!U219&gt;高値!V219,高値!U219&gt;高値!W219),16,""))</f>
      </c>
      <c r="AR219" s="684">
        <f>IF(終値!A219="","",IF(AND(高値!V219&gt;高値!U219,高値!V219&gt;高値!T219,高値!V219&gt;高値!W219,高値!V219&gt;高値!X219),17,""))</f>
      </c>
      <c r="AS219" s="684">
        <f>IF(終値!A219="","",IF(AND(高値!W219&gt;高値!V219,高値!W219&gt;高値!U219,高値!W219&gt;高値!X219,高値!W219&gt;高値!Y219),18,""))</f>
      </c>
      <c r="AT219" s="684">
        <f>IF(終値!A219="","",IF(AND(高値!X219&gt;高値!W219,高値!X219&gt;高値!V219,高値!X219&gt;高値!Y219,高値!X219&gt;高値!Z219),19,""))</f>
      </c>
      <c r="AU219" s="684">
        <f>IF(終値!A219="","",IF(AND(高値!Y219&gt;高値!X219,高値!Y219&gt;高値!W219,高値!Y219&gt;高値!Z219,高値!Y219&gt;高値!AA219),20,""))</f>
      </c>
      <c r="AV219" s="684">
        <f>IF(終値!A219="","",IF(AND(高値!Z219&gt;高値!Y219,高値!Z219&gt;高値!X219,高値!Z219&gt;高値!AA219,高値!Z219&gt;高値!AB219),21,""))</f>
      </c>
      <c r="AW219" s="684">
        <f>IF(終値!A219="","",IF(AND(高値!AA219&gt;高値!Z219,高値!AA219&gt;高値!Y219,高値!AA219&gt;高値!AB219,高値!AA219&gt;高値!AC219),22,""))</f>
      </c>
      <c r="AX219" s="684">
        <f>IF(終値!A219="","",IF(AND(高値!AB219&gt;高値!AA219,高値!AB219&gt;高値!Z219,高値!AB219&gt;高値!AC219,高値!AB219&gt;高値!AD219),23,""))</f>
      </c>
      <c r="AY219" s="684">
        <f>IF(終値!A219="","",IF(AND(高値!AC219&gt;高値!AB219,高値!AC219&gt;高値!AA219,高値!AC219&gt;高値!AD219,高値!AC219&gt;高値!AE219),24,""))</f>
      </c>
      <c r="AZ219" s="684">
        <f>IF(終値!A219="","",IF(AND(高値!AD219&gt;高値!AC219,高値!AD219&gt;高値!AB219,高値!AD219&gt;高値!AE219,高値!AD219&gt;高値!AF219),25,""))</f>
      </c>
      <c r="BA219" s="684">
        <f>IF(終値!A219="","",IF(AND(高値!AE219&gt;高値!AD219,高値!AE219&gt;高値!AC219,高値!AE219&gt;高値!AF219,高値!AE219&gt;高値!AG219),26,""))</f>
      </c>
      <c r="BB219" s="684">
        <f>IF(終値!A219="","",IF(AND(高値!AF219&gt;高値!AE219,高値!AF219&gt;高値!AD219,高値!AF219&gt;高値!AG219,高値!AF219&gt;高値!AH219),27,""))</f>
      </c>
      <c r="BC219" s="684">
        <f>IF(終値!A219="","",IF(AND(高値!AG219&gt;高値!AF219,高値!AG219&gt;高値!AE219,高値!AG219&gt;高値!AH219,高値!AG219&gt;高値!AI219),28,""))</f>
      </c>
      <c r="BD219" s="684">
        <f>COUNT($B219:$AB219)</f>
      </c>
      <c r="BE219" s="684">
        <f>IF($BD219&gt;=2,MIN($B219:$AB219),"")</f>
      </c>
      <c r="BF219" s="684">
        <f>IF($BD219&gt;=2,SMALL($B219:$AB219,2),"")</f>
      </c>
      <c r="BG219" s="684">
        <f>IF($BE219="","",INDEX(安値!$E219:$CZ219,1,$BE219+1))</f>
      </c>
      <c r="BH219" s="684">
        <f>IF($BF219="","",INDEX(安値!$E219:$CZ219,1,$BF219+1))</f>
      </c>
      <c r="BI219" s="684">
        <f>IF($BF219="","",MAX(INDEX(高値!$E219:$CZ219,1,$BE219+1):INDEX(高値!$E219:$CZ219,1,$BF219+1)))</f>
      </c>
      <c r="BJ219" s="684">
        <f>IF($BF219="","",AVERAGE(INDEX(終値!$E219:$CZ219,1,$BF219+1):INDEX(終値!$E219:$CZ219,1,$BF219+20))-2*STDEVP(INDEX(終値!$E219:$CZ219,1,$BF219+1):INDEX(終値!$E219:$CZ219,1,$BF219+20)))</f>
      </c>
      <c r="BK219" s="684">
        <f>IF($BE219="","",AVERAGE(INDEX(終値!$E219:$CZ219,1,$BE219+1):INDEX(終値!$E219:$CZ219,1,$BE219+20))-2*STDEVP(INDEX(終値!$E219:$CZ219,1,$BE219+1):INDEX(終値!$E219:$CZ219,1,$BE219+20)))</f>
      </c>
      <c r="BL219" s="684">
        <f>COUNT($AC219:$BC219)</f>
      </c>
      <c r="BM219" s="684">
        <f>IF($BL219&gt;=2,MIN($AC219:$BC219),"")</f>
      </c>
      <c r="BN219" s="684">
        <f>IF($BL219&gt;=2,SMALL($AC219:$BC219,2),"")</f>
      </c>
      <c r="BO219" s="684">
        <f>IF($BM219="","",INDEX(高値!$E219:$CZ219,1,$BM219+1))</f>
      </c>
      <c r="BP219" s="684">
        <f>IF($BN219="","",INDEX(高値!$E219:$CZ219,1,$BN219+1))</f>
      </c>
      <c r="BQ219" s="684">
        <f>IF($BN219="","",MIN(INDEX(安値!$E219:$CZ219,1,$BM219+1):INDEX(安値!$E219:$CZ219,1,$BN219+1)))</f>
      </c>
      <c r="BR219" s="684">
        <f>IF($BN219="","",AVERAGE(INDEX(終値!$E219:$CZ219,1,$BN219+1):INDEX(終値!$E219:$CZ219,1,$BN219+20))+2*STDEVP(INDEX(終値!$E219:$CZ219,1,$BN219+1):INDEX(終値!$E219:$CZ219,1,$BN219+20)))</f>
      </c>
      <c r="BS219" s="684">
        <f>IF($BM219="","",AVERAGE(INDEX(終値!$E219:$CZ219,1,$BM219+1):INDEX(終値!$E219:$CZ219,1,$BM219+20))+2*STDEVP(INDEX(終値!$E219:$CZ219,1,$BM219+1):INDEX(終値!$E219:$CZ219,1,$BM219+20)))</f>
      </c>
      <c r="BT219" s="681">
        <f>IFERROR(IF(AND($BD219&gt;=2,ABS($BG219-$BH219)/$BH219&lt;=BB設定!$B$12,$BI219&gt;=MAX($BH219,$BG219)*(1+BB設定!$B$13),終値!E219&gt;$BG219),IF(OR(終値!E219&gt;=$BI219,AND($BH219&lt;$BJ219,$BG219&gt;=$BK219)),"二番底W▲","二番底W形成"),IF(AND($BL219&gt;=2,ABS($BO219-$BP219)/$BP219&lt;=BB設定!$B$12,$BQ219&lt;=MIN($BP219,$BO219)*(1-BB設定!$B$13),終値!E219&lt;$BO219),IF(OR(終値!E219&lt;=$BQ219,AND($BP219&gt;$BR219,$BO219&lt;=$BS219)),"二番天井M▼","二番天井M形成"),"－")),"－")</f>
      </c>
    </row>
    <row r="220">
      <c r="B220" s="684">
        <f>IF(終値!A220="","",IF(AND(安値!G220&lt;安値!F220,安値!G220&lt;安値!E220,安値!G220&lt;安値!H220,安値!G220&lt;安値!I220),2,""))</f>
      </c>
      <c r="C220" s="684">
        <f>IF(終値!A220="","",IF(AND(安値!H220&lt;安値!G220,安値!H220&lt;安値!F220,安値!H220&lt;安値!I220,安値!H220&lt;安値!J220),3,""))</f>
      </c>
      <c r="D220" s="684">
        <f>IF(終値!A220="","",IF(AND(安値!I220&lt;安値!H220,安値!I220&lt;安値!G220,安値!I220&lt;安値!J220,安値!I220&lt;安値!K220),4,""))</f>
      </c>
      <c r="E220" s="684">
        <f>IF(終値!A220="","",IF(AND(安値!J220&lt;安値!I220,安値!J220&lt;安値!H220,安値!J220&lt;安値!K220,安値!J220&lt;安値!L220),5,""))</f>
      </c>
      <c r="F220" s="684">
        <f>IF(終値!A220="","",IF(AND(安値!K220&lt;安値!J220,安値!K220&lt;安値!I220,安値!K220&lt;安値!L220,安値!K220&lt;安値!M220),6,""))</f>
      </c>
      <c r="G220" s="684">
        <f>IF(終値!A220="","",IF(AND(安値!L220&lt;安値!K220,安値!L220&lt;安値!J220,安値!L220&lt;安値!M220,安値!L220&lt;安値!N220),7,""))</f>
      </c>
      <c r="H220" s="684">
        <f>IF(終値!A220="","",IF(AND(安値!M220&lt;安値!L220,安値!M220&lt;安値!K220,安値!M220&lt;安値!N220,安値!M220&lt;安値!O220),8,""))</f>
      </c>
      <c r="I220" s="684">
        <f>IF(終値!A220="","",IF(AND(安値!N220&lt;安値!M220,安値!N220&lt;安値!L220,安値!N220&lt;安値!O220,安値!N220&lt;安値!P220),9,""))</f>
      </c>
      <c r="J220" s="684">
        <f>IF(終値!A220="","",IF(AND(安値!O220&lt;安値!N220,安値!O220&lt;安値!M220,安値!O220&lt;安値!P220,安値!O220&lt;安値!Q220),10,""))</f>
      </c>
      <c r="K220" s="684">
        <f>IF(終値!A220="","",IF(AND(安値!P220&lt;安値!O220,安値!P220&lt;安値!N220,安値!P220&lt;安値!Q220,安値!P220&lt;安値!R220),11,""))</f>
      </c>
      <c r="L220" s="684">
        <f>IF(終値!A220="","",IF(AND(安値!Q220&lt;安値!P220,安値!Q220&lt;安値!O220,安値!Q220&lt;安値!R220,安値!Q220&lt;安値!S220),12,""))</f>
      </c>
      <c r="M220" s="684">
        <f>IF(終値!A220="","",IF(AND(安値!R220&lt;安値!Q220,安値!R220&lt;安値!P220,安値!R220&lt;安値!S220,安値!R220&lt;安値!T220),13,""))</f>
      </c>
      <c r="N220" s="684">
        <f>IF(終値!A220="","",IF(AND(安値!S220&lt;安値!R220,安値!S220&lt;安値!Q220,安値!S220&lt;安値!T220,安値!S220&lt;安値!U220),14,""))</f>
      </c>
      <c r="O220" s="684">
        <f>IF(終値!A220="","",IF(AND(安値!T220&lt;安値!S220,安値!T220&lt;安値!R220,安値!T220&lt;安値!U220,安値!T220&lt;安値!V220),15,""))</f>
      </c>
      <c r="P220" s="684">
        <f>IF(終値!A220="","",IF(AND(安値!U220&lt;安値!T220,安値!U220&lt;安値!S220,安値!U220&lt;安値!V220,安値!U220&lt;安値!W220),16,""))</f>
      </c>
      <c r="Q220" s="684">
        <f>IF(終値!A220="","",IF(AND(安値!V220&lt;安値!U220,安値!V220&lt;安値!T220,安値!V220&lt;安値!W220,安値!V220&lt;安値!X220),17,""))</f>
      </c>
      <c r="R220" s="684">
        <f>IF(終値!A220="","",IF(AND(安値!W220&lt;安値!V220,安値!W220&lt;安値!U220,安値!W220&lt;安値!X220,安値!W220&lt;安値!Y220),18,""))</f>
      </c>
      <c r="S220" s="684">
        <f>IF(終値!A220="","",IF(AND(安値!X220&lt;安値!W220,安値!X220&lt;安値!V220,安値!X220&lt;安値!Y220,安値!X220&lt;安値!Z220),19,""))</f>
      </c>
      <c r="T220" s="684">
        <f>IF(終値!A220="","",IF(AND(安値!Y220&lt;安値!X220,安値!Y220&lt;安値!W220,安値!Y220&lt;安値!Z220,安値!Y220&lt;安値!AA220),20,""))</f>
      </c>
      <c r="U220" s="684">
        <f>IF(終値!A220="","",IF(AND(安値!Z220&lt;安値!Y220,安値!Z220&lt;安値!X220,安値!Z220&lt;安値!AA220,安値!Z220&lt;安値!AB220),21,""))</f>
      </c>
      <c r="V220" s="684">
        <f>IF(終値!A220="","",IF(AND(安値!AA220&lt;安値!Z220,安値!AA220&lt;安値!Y220,安値!AA220&lt;安値!AB220,安値!AA220&lt;安値!AC220),22,""))</f>
      </c>
      <c r="W220" s="684">
        <f>IF(終値!A220="","",IF(AND(安値!AB220&lt;安値!AA220,安値!AB220&lt;安値!Z220,安値!AB220&lt;安値!AC220,安値!AB220&lt;安値!AD220),23,""))</f>
      </c>
      <c r="X220" s="684">
        <f>IF(終値!A220="","",IF(AND(安値!AC220&lt;安値!AB220,安値!AC220&lt;安値!AA220,安値!AC220&lt;安値!AD220,安値!AC220&lt;安値!AE220),24,""))</f>
      </c>
      <c r="Y220" s="684">
        <f>IF(終値!A220="","",IF(AND(安値!AD220&lt;安値!AC220,安値!AD220&lt;安値!AB220,安値!AD220&lt;安値!AE220,安値!AD220&lt;安値!AF220),25,""))</f>
      </c>
      <c r="Z220" s="684">
        <f>IF(終値!A220="","",IF(AND(安値!AE220&lt;安値!AD220,安値!AE220&lt;安値!AC220,安値!AE220&lt;安値!AF220,安値!AE220&lt;安値!AG220),26,""))</f>
      </c>
      <c r="AA220" s="684">
        <f>IF(終値!A220="","",IF(AND(安値!AF220&lt;安値!AE220,安値!AF220&lt;安値!AD220,安値!AF220&lt;安値!AG220,安値!AF220&lt;安値!AH220),27,""))</f>
      </c>
      <c r="AB220" s="684">
        <f>IF(終値!A220="","",IF(AND(安値!AG220&lt;安値!AF220,安値!AG220&lt;安値!AE220,安値!AG220&lt;安値!AH220,安値!AG220&lt;安値!AI220),28,""))</f>
      </c>
      <c r="AC220" s="684">
        <f>IF(終値!A220="","",IF(AND(高値!G220&gt;高値!F220,高値!G220&gt;高値!E220,高値!G220&gt;高値!H220,高値!G220&gt;高値!I220),2,""))</f>
      </c>
      <c r="AD220" s="684">
        <f>IF(終値!A220="","",IF(AND(高値!H220&gt;高値!G220,高値!H220&gt;高値!F220,高値!H220&gt;高値!I220,高値!H220&gt;高値!J220),3,""))</f>
      </c>
      <c r="AE220" s="684">
        <f>IF(終値!A220="","",IF(AND(高値!I220&gt;高値!H220,高値!I220&gt;高値!G220,高値!I220&gt;高値!J220,高値!I220&gt;高値!K220),4,""))</f>
      </c>
      <c r="AF220" s="684">
        <f>IF(終値!A220="","",IF(AND(高値!J220&gt;高値!I220,高値!J220&gt;高値!H220,高値!J220&gt;高値!K220,高値!J220&gt;高値!L220),5,""))</f>
      </c>
      <c r="AG220" s="684">
        <f>IF(終値!A220="","",IF(AND(高値!K220&gt;高値!J220,高値!K220&gt;高値!I220,高値!K220&gt;高値!L220,高値!K220&gt;高値!M220),6,""))</f>
      </c>
      <c r="AH220" s="684">
        <f>IF(終値!A220="","",IF(AND(高値!L220&gt;高値!K220,高値!L220&gt;高値!J220,高値!L220&gt;高値!M220,高値!L220&gt;高値!N220),7,""))</f>
      </c>
      <c r="AI220" s="684">
        <f>IF(終値!A220="","",IF(AND(高値!M220&gt;高値!L220,高値!M220&gt;高値!K220,高値!M220&gt;高値!N220,高値!M220&gt;高値!O220),8,""))</f>
      </c>
      <c r="AJ220" s="684">
        <f>IF(終値!A220="","",IF(AND(高値!N220&gt;高値!M220,高値!N220&gt;高値!L220,高値!N220&gt;高値!O220,高値!N220&gt;高値!P220),9,""))</f>
      </c>
      <c r="AK220" s="684">
        <f>IF(終値!A220="","",IF(AND(高値!O220&gt;高値!N220,高値!O220&gt;高値!M220,高値!O220&gt;高値!P220,高値!O220&gt;高値!Q220),10,""))</f>
      </c>
      <c r="AL220" s="684">
        <f>IF(終値!A220="","",IF(AND(高値!P220&gt;高値!O220,高値!P220&gt;高値!N220,高値!P220&gt;高値!Q220,高値!P220&gt;高値!R220),11,""))</f>
      </c>
      <c r="AM220" s="684">
        <f>IF(終値!A220="","",IF(AND(高値!Q220&gt;高値!P220,高値!Q220&gt;高値!O220,高値!Q220&gt;高値!R220,高値!Q220&gt;高値!S220),12,""))</f>
      </c>
      <c r="AN220" s="684">
        <f>IF(終値!A220="","",IF(AND(高値!R220&gt;高値!Q220,高値!R220&gt;高値!P220,高値!R220&gt;高値!S220,高値!R220&gt;高値!T220),13,""))</f>
      </c>
      <c r="AO220" s="684">
        <f>IF(終値!A220="","",IF(AND(高値!S220&gt;高値!R220,高値!S220&gt;高値!Q220,高値!S220&gt;高値!T220,高値!S220&gt;高値!U220),14,""))</f>
      </c>
      <c r="AP220" s="684">
        <f>IF(終値!A220="","",IF(AND(高値!T220&gt;高値!S220,高値!T220&gt;高値!R220,高値!T220&gt;高値!U220,高値!T220&gt;高値!V220),15,""))</f>
      </c>
      <c r="AQ220" s="684">
        <f>IF(終値!A220="","",IF(AND(高値!U220&gt;高値!T220,高値!U220&gt;高値!S220,高値!U220&gt;高値!V220,高値!U220&gt;高値!W220),16,""))</f>
      </c>
      <c r="AR220" s="684">
        <f>IF(終値!A220="","",IF(AND(高値!V220&gt;高値!U220,高値!V220&gt;高値!T220,高値!V220&gt;高値!W220,高値!V220&gt;高値!X220),17,""))</f>
      </c>
      <c r="AS220" s="684">
        <f>IF(終値!A220="","",IF(AND(高値!W220&gt;高値!V220,高値!W220&gt;高値!U220,高値!W220&gt;高値!X220,高値!W220&gt;高値!Y220),18,""))</f>
      </c>
      <c r="AT220" s="684">
        <f>IF(終値!A220="","",IF(AND(高値!X220&gt;高値!W220,高値!X220&gt;高値!V220,高値!X220&gt;高値!Y220,高値!X220&gt;高値!Z220),19,""))</f>
      </c>
      <c r="AU220" s="684">
        <f>IF(終値!A220="","",IF(AND(高値!Y220&gt;高値!X220,高値!Y220&gt;高値!W220,高値!Y220&gt;高値!Z220,高値!Y220&gt;高値!AA220),20,""))</f>
      </c>
      <c r="AV220" s="684">
        <f>IF(終値!A220="","",IF(AND(高値!Z220&gt;高値!Y220,高値!Z220&gt;高値!X220,高値!Z220&gt;高値!AA220,高値!Z220&gt;高値!AB220),21,""))</f>
      </c>
      <c r="AW220" s="684">
        <f>IF(終値!A220="","",IF(AND(高値!AA220&gt;高値!Z220,高値!AA220&gt;高値!Y220,高値!AA220&gt;高値!AB220,高値!AA220&gt;高値!AC220),22,""))</f>
      </c>
      <c r="AX220" s="684">
        <f>IF(終値!A220="","",IF(AND(高値!AB220&gt;高値!AA220,高値!AB220&gt;高値!Z220,高値!AB220&gt;高値!AC220,高値!AB220&gt;高値!AD220),23,""))</f>
      </c>
      <c r="AY220" s="684">
        <f>IF(終値!A220="","",IF(AND(高値!AC220&gt;高値!AB220,高値!AC220&gt;高値!AA220,高値!AC220&gt;高値!AD220,高値!AC220&gt;高値!AE220),24,""))</f>
      </c>
      <c r="AZ220" s="684">
        <f>IF(終値!A220="","",IF(AND(高値!AD220&gt;高値!AC220,高値!AD220&gt;高値!AB220,高値!AD220&gt;高値!AE220,高値!AD220&gt;高値!AF220),25,""))</f>
      </c>
      <c r="BA220" s="684">
        <f>IF(終値!A220="","",IF(AND(高値!AE220&gt;高値!AD220,高値!AE220&gt;高値!AC220,高値!AE220&gt;高値!AF220,高値!AE220&gt;高値!AG220),26,""))</f>
      </c>
      <c r="BB220" s="684">
        <f>IF(終値!A220="","",IF(AND(高値!AF220&gt;高値!AE220,高値!AF220&gt;高値!AD220,高値!AF220&gt;高値!AG220,高値!AF220&gt;高値!AH220),27,""))</f>
      </c>
      <c r="BC220" s="684">
        <f>IF(終値!A220="","",IF(AND(高値!AG220&gt;高値!AF220,高値!AG220&gt;高値!AE220,高値!AG220&gt;高値!AH220,高値!AG220&gt;高値!AI220),28,""))</f>
      </c>
      <c r="BD220" s="684">
        <f>COUNT($B220:$AB220)</f>
      </c>
      <c r="BE220" s="684">
        <f>IF($BD220&gt;=2,MIN($B220:$AB220),"")</f>
      </c>
      <c r="BF220" s="684">
        <f>IF($BD220&gt;=2,SMALL($B220:$AB220,2),"")</f>
      </c>
      <c r="BG220" s="684">
        <f>IF($BE220="","",INDEX(安値!$E220:$CZ220,1,$BE220+1))</f>
      </c>
      <c r="BH220" s="684">
        <f>IF($BF220="","",INDEX(安値!$E220:$CZ220,1,$BF220+1))</f>
      </c>
      <c r="BI220" s="684">
        <f>IF($BF220="","",MAX(INDEX(高値!$E220:$CZ220,1,$BE220+1):INDEX(高値!$E220:$CZ220,1,$BF220+1)))</f>
      </c>
      <c r="BJ220" s="684">
        <f>IF($BF220="","",AVERAGE(INDEX(終値!$E220:$CZ220,1,$BF220+1):INDEX(終値!$E220:$CZ220,1,$BF220+20))-2*STDEVP(INDEX(終値!$E220:$CZ220,1,$BF220+1):INDEX(終値!$E220:$CZ220,1,$BF220+20)))</f>
      </c>
      <c r="BK220" s="684">
        <f>IF($BE220="","",AVERAGE(INDEX(終値!$E220:$CZ220,1,$BE220+1):INDEX(終値!$E220:$CZ220,1,$BE220+20))-2*STDEVP(INDEX(終値!$E220:$CZ220,1,$BE220+1):INDEX(終値!$E220:$CZ220,1,$BE220+20)))</f>
      </c>
      <c r="BL220" s="684">
        <f>COUNT($AC220:$BC220)</f>
      </c>
      <c r="BM220" s="684">
        <f>IF($BL220&gt;=2,MIN($AC220:$BC220),"")</f>
      </c>
      <c r="BN220" s="684">
        <f>IF($BL220&gt;=2,SMALL($AC220:$BC220,2),"")</f>
      </c>
      <c r="BO220" s="684">
        <f>IF($BM220="","",INDEX(高値!$E220:$CZ220,1,$BM220+1))</f>
      </c>
      <c r="BP220" s="684">
        <f>IF($BN220="","",INDEX(高値!$E220:$CZ220,1,$BN220+1))</f>
      </c>
      <c r="BQ220" s="684">
        <f>IF($BN220="","",MIN(INDEX(安値!$E220:$CZ220,1,$BM220+1):INDEX(安値!$E220:$CZ220,1,$BN220+1)))</f>
      </c>
      <c r="BR220" s="684">
        <f>IF($BN220="","",AVERAGE(INDEX(終値!$E220:$CZ220,1,$BN220+1):INDEX(終値!$E220:$CZ220,1,$BN220+20))+2*STDEVP(INDEX(終値!$E220:$CZ220,1,$BN220+1):INDEX(終値!$E220:$CZ220,1,$BN220+20)))</f>
      </c>
      <c r="BS220" s="684">
        <f>IF($BM220="","",AVERAGE(INDEX(終値!$E220:$CZ220,1,$BM220+1):INDEX(終値!$E220:$CZ220,1,$BM220+20))+2*STDEVP(INDEX(終値!$E220:$CZ220,1,$BM220+1):INDEX(終値!$E220:$CZ220,1,$BM220+20)))</f>
      </c>
      <c r="BT220" s="681">
        <f>IFERROR(IF(AND($BD220&gt;=2,ABS($BG220-$BH220)/$BH220&lt;=BB設定!$B$12,$BI220&gt;=MAX($BH220,$BG220)*(1+BB設定!$B$13),終値!E220&gt;$BG220),IF(OR(終値!E220&gt;=$BI220,AND($BH220&lt;$BJ220,$BG220&gt;=$BK220)),"二番底W▲","二番底W形成"),IF(AND($BL220&gt;=2,ABS($BO220-$BP220)/$BP220&lt;=BB設定!$B$12,$BQ220&lt;=MIN($BP220,$BO220)*(1-BB設定!$B$13),終値!E220&lt;$BO220),IF(OR(終値!E220&lt;=$BQ220,AND($BP220&gt;$BR220,$BO220&lt;=$BS220)),"二番天井M▼","二番天井M形成"),"－")),"－")</f>
      </c>
    </row>
    <row r="221">
      <c r="B221" s="684">
        <f>IF(終値!A221="","",IF(AND(安値!G221&lt;安値!F221,安値!G221&lt;安値!E221,安値!G221&lt;安値!H221,安値!G221&lt;安値!I221),2,""))</f>
      </c>
      <c r="C221" s="684">
        <f>IF(終値!A221="","",IF(AND(安値!H221&lt;安値!G221,安値!H221&lt;安値!F221,安値!H221&lt;安値!I221,安値!H221&lt;安値!J221),3,""))</f>
      </c>
      <c r="D221" s="684">
        <f>IF(終値!A221="","",IF(AND(安値!I221&lt;安値!H221,安値!I221&lt;安値!G221,安値!I221&lt;安値!J221,安値!I221&lt;安値!K221),4,""))</f>
      </c>
      <c r="E221" s="684">
        <f>IF(終値!A221="","",IF(AND(安値!J221&lt;安値!I221,安値!J221&lt;安値!H221,安値!J221&lt;安値!K221,安値!J221&lt;安値!L221),5,""))</f>
      </c>
      <c r="F221" s="684">
        <f>IF(終値!A221="","",IF(AND(安値!K221&lt;安値!J221,安値!K221&lt;安値!I221,安値!K221&lt;安値!L221,安値!K221&lt;安値!M221),6,""))</f>
      </c>
      <c r="G221" s="684">
        <f>IF(終値!A221="","",IF(AND(安値!L221&lt;安値!K221,安値!L221&lt;安値!J221,安値!L221&lt;安値!M221,安値!L221&lt;安値!N221),7,""))</f>
      </c>
      <c r="H221" s="684">
        <f>IF(終値!A221="","",IF(AND(安値!M221&lt;安値!L221,安値!M221&lt;安値!K221,安値!M221&lt;安値!N221,安値!M221&lt;安値!O221),8,""))</f>
      </c>
      <c r="I221" s="684">
        <f>IF(終値!A221="","",IF(AND(安値!N221&lt;安値!M221,安値!N221&lt;安値!L221,安値!N221&lt;安値!O221,安値!N221&lt;安値!P221),9,""))</f>
      </c>
      <c r="J221" s="684">
        <f>IF(終値!A221="","",IF(AND(安値!O221&lt;安値!N221,安値!O221&lt;安値!M221,安値!O221&lt;安値!P221,安値!O221&lt;安値!Q221),10,""))</f>
      </c>
      <c r="K221" s="684">
        <f>IF(終値!A221="","",IF(AND(安値!P221&lt;安値!O221,安値!P221&lt;安値!N221,安値!P221&lt;安値!Q221,安値!P221&lt;安値!R221),11,""))</f>
      </c>
      <c r="L221" s="684">
        <f>IF(終値!A221="","",IF(AND(安値!Q221&lt;安値!P221,安値!Q221&lt;安値!O221,安値!Q221&lt;安値!R221,安値!Q221&lt;安値!S221),12,""))</f>
      </c>
      <c r="M221" s="684">
        <f>IF(終値!A221="","",IF(AND(安値!R221&lt;安値!Q221,安値!R221&lt;安値!P221,安値!R221&lt;安値!S221,安値!R221&lt;安値!T221),13,""))</f>
      </c>
      <c r="N221" s="684">
        <f>IF(終値!A221="","",IF(AND(安値!S221&lt;安値!R221,安値!S221&lt;安値!Q221,安値!S221&lt;安値!T221,安値!S221&lt;安値!U221),14,""))</f>
      </c>
      <c r="O221" s="684">
        <f>IF(終値!A221="","",IF(AND(安値!T221&lt;安値!S221,安値!T221&lt;安値!R221,安値!T221&lt;安値!U221,安値!T221&lt;安値!V221),15,""))</f>
      </c>
      <c r="P221" s="684">
        <f>IF(終値!A221="","",IF(AND(安値!U221&lt;安値!T221,安値!U221&lt;安値!S221,安値!U221&lt;安値!V221,安値!U221&lt;安値!W221),16,""))</f>
      </c>
      <c r="Q221" s="684">
        <f>IF(終値!A221="","",IF(AND(安値!V221&lt;安値!U221,安値!V221&lt;安値!T221,安値!V221&lt;安値!W221,安値!V221&lt;安値!X221),17,""))</f>
      </c>
      <c r="R221" s="684">
        <f>IF(終値!A221="","",IF(AND(安値!W221&lt;安値!V221,安値!W221&lt;安値!U221,安値!W221&lt;安値!X221,安値!W221&lt;安値!Y221),18,""))</f>
      </c>
      <c r="S221" s="684">
        <f>IF(終値!A221="","",IF(AND(安値!X221&lt;安値!W221,安値!X221&lt;安値!V221,安値!X221&lt;安値!Y221,安値!X221&lt;安値!Z221),19,""))</f>
      </c>
      <c r="T221" s="684">
        <f>IF(終値!A221="","",IF(AND(安値!Y221&lt;安値!X221,安値!Y221&lt;安値!W221,安値!Y221&lt;安値!Z221,安値!Y221&lt;安値!AA221),20,""))</f>
      </c>
      <c r="U221" s="684">
        <f>IF(終値!A221="","",IF(AND(安値!Z221&lt;安値!Y221,安値!Z221&lt;安値!X221,安値!Z221&lt;安値!AA221,安値!Z221&lt;安値!AB221),21,""))</f>
      </c>
      <c r="V221" s="684">
        <f>IF(終値!A221="","",IF(AND(安値!AA221&lt;安値!Z221,安値!AA221&lt;安値!Y221,安値!AA221&lt;安値!AB221,安値!AA221&lt;安値!AC221),22,""))</f>
      </c>
      <c r="W221" s="684">
        <f>IF(終値!A221="","",IF(AND(安値!AB221&lt;安値!AA221,安値!AB221&lt;安値!Z221,安値!AB221&lt;安値!AC221,安値!AB221&lt;安値!AD221),23,""))</f>
      </c>
      <c r="X221" s="684">
        <f>IF(終値!A221="","",IF(AND(安値!AC221&lt;安値!AB221,安値!AC221&lt;安値!AA221,安値!AC221&lt;安値!AD221,安値!AC221&lt;安値!AE221),24,""))</f>
      </c>
      <c r="Y221" s="684">
        <f>IF(終値!A221="","",IF(AND(安値!AD221&lt;安値!AC221,安値!AD221&lt;安値!AB221,安値!AD221&lt;安値!AE221,安値!AD221&lt;安値!AF221),25,""))</f>
      </c>
      <c r="Z221" s="684">
        <f>IF(終値!A221="","",IF(AND(安値!AE221&lt;安値!AD221,安値!AE221&lt;安値!AC221,安値!AE221&lt;安値!AF221,安値!AE221&lt;安値!AG221),26,""))</f>
      </c>
      <c r="AA221" s="684">
        <f>IF(終値!A221="","",IF(AND(安値!AF221&lt;安値!AE221,安値!AF221&lt;安値!AD221,安値!AF221&lt;安値!AG221,安値!AF221&lt;安値!AH221),27,""))</f>
      </c>
      <c r="AB221" s="684">
        <f>IF(終値!A221="","",IF(AND(安値!AG221&lt;安値!AF221,安値!AG221&lt;安値!AE221,安値!AG221&lt;安値!AH221,安値!AG221&lt;安値!AI221),28,""))</f>
      </c>
      <c r="AC221" s="684">
        <f>IF(終値!A221="","",IF(AND(高値!G221&gt;高値!F221,高値!G221&gt;高値!E221,高値!G221&gt;高値!H221,高値!G221&gt;高値!I221),2,""))</f>
      </c>
      <c r="AD221" s="684">
        <f>IF(終値!A221="","",IF(AND(高値!H221&gt;高値!G221,高値!H221&gt;高値!F221,高値!H221&gt;高値!I221,高値!H221&gt;高値!J221),3,""))</f>
      </c>
      <c r="AE221" s="684">
        <f>IF(終値!A221="","",IF(AND(高値!I221&gt;高値!H221,高値!I221&gt;高値!G221,高値!I221&gt;高値!J221,高値!I221&gt;高値!K221),4,""))</f>
      </c>
      <c r="AF221" s="684">
        <f>IF(終値!A221="","",IF(AND(高値!J221&gt;高値!I221,高値!J221&gt;高値!H221,高値!J221&gt;高値!K221,高値!J221&gt;高値!L221),5,""))</f>
      </c>
      <c r="AG221" s="684">
        <f>IF(終値!A221="","",IF(AND(高値!K221&gt;高値!J221,高値!K221&gt;高値!I221,高値!K221&gt;高値!L221,高値!K221&gt;高値!M221),6,""))</f>
      </c>
      <c r="AH221" s="684">
        <f>IF(終値!A221="","",IF(AND(高値!L221&gt;高値!K221,高値!L221&gt;高値!J221,高値!L221&gt;高値!M221,高値!L221&gt;高値!N221),7,""))</f>
      </c>
      <c r="AI221" s="684">
        <f>IF(終値!A221="","",IF(AND(高値!M221&gt;高値!L221,高値!M221&gt;高値!K221,高値!M221&gt;高値!N221,高値!M221&gt;高値!O221),8,""))</f>
      </c>
      <c r="AJ221" s="684">
        <f>IF(終値!A221="","",IF(AND(高値!N221&gt;高値!M221,高値!N221&gt;高値!L221,高値!N221&gt;高値!O221,高値!N221&gt;高値!P221),9,""))</f>
      </c>
      <c r="AK221" s="684">
        <f>IF(終値!A221="","",IF(AND(高値!O221&gt;高値!N221,高値!O221&gt;高値!M221,高値!O221&gt;高値!P221,高値!O221&gt;高値!Q221),10,""))</f>
      </c>
      <c r="AL221" s="684">
        <f>IF(終値!A221="","",IF(AND(高値!P221&gt;高値!O221,高値!P221&gt;高値!N221,高値!P221&gt;高値!Q221,高値!P221&gt;高値!R221),11,""))</f>
      </c>
      <c r="AM221" s="684">
        <f>IF(終値!A221="","",IF(AND(高値!Q221&gt;高値!P221,高値!Q221&gt;高値!O221,高値!Q221&gt;高値!R221,高値!Q221&gt;高値!S221),12,""))</f>
      </c>
      <c r="AN221" s="684">
        <f>IF(終値!A221="","",IF(AND(高値!R221&gt;高値!Q221,高値!R221&gt;高値!P221,高値!R221&gt;高値!S221,高値!R221&gt;高値!T221),13,""))</f>
      </c>
      <c r="AO221" s="684">
        <f>IF(終値!A221="","",IF(AND(高値!S221&gt;高値!R221,高値!S221&gt;高値!Q221,高値!S221&gt;高値!T221,高値!S221&gt;高値!U221),14,""))</f>
      </c>
      <c r="AP221" s="684">
        <f>IF(終値!A221="","",IF(AND(高値!T221&gt;高値!S221,高値!T221&gt;高値!R221,高値!T221&gt;高値!U221,高値!T221&gt;高値!V221),15,""))</f>
      </c>
      <c r="AQ221" s="684">
        <f>IF(終値!A221="","",IF(AND(高値!U221&gt;高値!T221,高値!U221&gt;高値!S221,高値!U221&gt;高値!V221,高値!U221&gt;高値!W221),16,""))</f>
      </c>
      <c r="AR221" s="684">
        <f>IF(終値!A221="","",IF(AND(高値!V221&gt;高値!U221,高値!V221&gt;高値!T221,高値!V221&gt;高値!W221,高値!V221&gt;高値!X221),17,""))</f>
      </c>
      <c r="AS221" s="684">
        <f>IF(終値!A221="","",IF(AND(高値!W221&gt;高値!V221,高値!W221&gt;高値!U221,高値!W221&gt;高値!X221,高値!W221&gt;高値!Y221),18,""))</f>
      </c>
      <c r="AT221" s="684">
        <f>IF(終値!A221="","",IF(AND(高値!X221&gt;高値!W221,高値!X221&gt;高値!V221,高値!X221&gt;高値!Y221,高値!X221&gt;高値!Z221),19,""))</f>
      </c>
      <c r="AU221" s="684">
        <f>IF(終値!A221="","",IF(AND(高値!Y221&gt;高値!X221,高値!Y221&gt;高値!W221,高値!Y221&gt;高値!Z221,高値!Y221&gt;高値!AA221),20,""))</f>
      </c>
      <c r="AV221" s="684">
        <f>IF(終値!A221="","",IF(AND(高値!Z221&gt;高値!Y221,高値!Z221&gt;高値!X221,高値!Z221&gt;高値!AA221,高値!Z221&gt;高値!AB221),21,""))</f>
      </c>
      <c r="AW221" s="684">
        <f>IF(終値!A221="","",IF(AND(高値!AA221&gt;高値!Z221,高値!AA221&gt;高値!Y221,高値!AA221&gt;高値!AB221,高値!AA221&gt;高値!AC221),22,""))</f>
      </c>
      <c r="AX221" s="684">
        <f>IF(終値!A221="","",IF(AND(高値!AB221&gt;高値!AA221,高値!AB221&gt;高値!Z221,高値!AB221&gt;高値!AC221,高値!AB221&gt;高値!AD221),23,""))</f>
      </c>
      <c r="AY221" s="684">
        <f>IF(終値!A221="","",IF(AND(高値!AC221&gt;高値!AB221,高値!AC221&gt;高値!AA221,高値!AC221&gt;高値!AD221,高値!AC221&gt;高値!AE221),24,""))</f>
      </c>
      <c r="AZ221" s="684">
        <f>IF(終値!A221="","",IF(AND(高値!AD221&gt;高値!AC221,高値!AD221&gt;高値!AB221,高値!AD221&gt;高値!AE221,高値!AD221&gt;高値!AF221),25,""))</f>
      </c>
      <c r="BA221" s="684">
        <f>IF(終値!A221="","",IF(AND(高値!AE221&gt;高値!AD221,高値!AE221&gt;高値!AC221,高値!AE221&gt;高値!AF221,高値!AE221&gt;高値!AG221),26,""))</f>
      </c>
      <c r="BB221" s="684">
        <f>IF(終値!A221="","",IF(AND(高値!AF221&gt;高値!AE221,高値!AF221&gt;高値!AD221,高値!AF221&gt;高値!AG221,高値!AF221&gt;高値!AH221),27,""))</f>
      </c>
      <c r="BC221" s="684">
        <f>IF(終値!A221="","",IF(AND(高値!AG221&gt;高値!AF221,高値!AG221&gt;高値!AE221,高値!AG221&gt;高値!AH221,高値!AG221&gt;高値!AI221),28,""))</f>
      </c>
      <c r="BD221" s="684">
        <f>COUNT($B221:$AB221)</f>
      </c>
      <c r="BE221" s="684">
        <f>IF($BD221&gt;=2,MIN($B221:$AB221),"")</f>
      </c>
      <c r="BF221" s="684">
        <f>IF($BD221&gt;=2,SMALL($B221:$AB221,2),"")</f>
      </c>
      <c r="BG221" s="684">
        <f>IF($BE221="","",INDEX(安値!$E221:$CZ221,1,$BE221+1))</f>
      </c>
      <c r="BH221" s="684">
        <f>IF($BF221="","",INDEX(安値!$E221:$CZ221,1,$BF221+1))</f>
      </c>
      <c r="BI221" s="684">
        <f>IF($BF221="","",MAX(INDEX(高値!$E221:$CZ221,1,$BE221+1):INDEX(高値!$E221:$CZ221,1,$BF221+1)))</f>
      </c>
      <c r="BJ221" s="684">
        <f>IF($BF221="","",AVERAGE(INDEX(終値!$E221:$CZ221,1,$BF221+1):INDEX(終値!$E221:$CZ221,1,$BF221+20))-2*STDEVP(INDEX(終値!$E221:$CZ221,1,$BF221+1):INDEX(終値!$E221:$CZ221,1,$BF221+20)))</f>
      </c>
      <c r="BK221" s="684">
        <f>IF($BE221="","",AVERAGE(INDEX(終値!$E221:$CZ221,1,$BE221+1):INDEX(終値!$E221:$CZ221,1,$BE221+20))-2*STDEVP(INDEX(終値!$E221:$CZ221,1,$BE221+1):INDEX(終値!$E221:$CZ221,1,$BE221+20)))</f>
      </c>
      <c r="BL221" s="684">
        <f>COUNT($AC221:$BC221)</f>
      </c>
      <c r="BM221" s="684">
        <f>IF($BL221&gt;=2,MIN($AC221:$BC221),"")</f>
      </c>
      <c r="BN221" s="684">
        <f>IF($BL221&gt;=2,SMALL($AC221:$BC221,2),"")</f>
      </c>
      <c r="BO221" s="684">
        <f>IF($BM221="","",INDEX(高値!$E221:$CZ221,1,$BM221+1))</f>
      </c>
      <c r="BP221" s="684">
        <f>IF($BN221="","",INDEX(高値!$E221:$CZ221,1,$BN221+1))</f>
      </c>
      <c r="BQ221" s="684">
        <f>IF($BN221="","",MIN(INDEX(安値!$E221:$CZ221,1,$BM221+1):INDEX(安値!$E221:$CZ221,1,$BN221+1)))</f>
      </c>
      <c r="BR221" s="684">
        <f>IF($BN221="","",AVERAGE(INDEX(終値!$E221:$CZ221,1,$BN221+1):INDEX(終値!$E221:$CZ221,1,$BN221+20))+2*STDEVP(INDEX(終値!$E221:$CZ221,1,$BN221+1):INDEX(終値!$E221:$CZ221,1,$BN221+20)))</f>
      </c>
      <c r="BS221" s="684">
        <f>IF($BM221="","",AVERAGE(INDEX(終値!$E221:$CZ221,1,$BM221+1):INDEX(終値!$E221:$CZ221,1,$BM221+20))+2*STDEVP(INDEX(終値!$E221:$CZ221,1,$BM221+1):INDEX(終値!$E221:$CZ221,1,$BM221+20)))</f>
      </c>
      <c r="BT221" s="681">
        <f>IFERROR(IF(AND($BD221&gt;=2,ABS($BG221-$BH221)/$BH221&lt;=BB設定!$B$12,$BI221&gt;=MAX($BH221,$BG221)*(1+BB設定!$B$13),終値!E221&gt;$BG221),IF(OR(終値!E221&gt;=$BI221,AND($BH221&lt;$BJ221,$BG221&gt;=$BK221)),"二番底W▲","二番底W形成"),IF(AND($BL221&gt;=2,ABS($BO221-$BP221)/$BP221&lt;=BB設定!$B$12,$BQ221&lt;=MIN($BP221,$BO221)*(1-BB設定!$B$13),終値!E221&lt;$BO221),IF(OR(終値!E221&lt;=$BQ221,AND($BP221&gt;$BR221,$BO221&lt;=$BS221)),"二番天井M▼","二番天井M形成"),"－")),"－")</f>
      </c>
    </row>
    <row r="222">
      <c r="B222" s="684">
        <f>IF(終値!A222="","",IF(AND(安値!G222&lt;安値!F222,安値!G222&lt;安値!E222,安値!G222&lt;安値!H222,安値!G222&lt;安値!I222),2,""))</f>
      </c>
      <c r="C222" s="684">
        <f>IF(終値!A222="","",IF(AND(安値!H222&lt;安値!G222,安値!H222&lt;安値!F222,安値!H222&lt;安値!I222,安値!H222&lt;安値!J222),3,""))</f>
      </c>
      <c r="D222" s="684">
        <f>IF(終値!A222="","",IF(AND(安値!I222&lt;安値!H222,安値!I222&lt;安値!G222,安値!I222&lt;安値!J222,安値!I222&lt;安値!K222),4,""))</f>
      </c>
      <c r="E222" s="684">
        <f>IF(終値!A222="","",IF(AND(安値!J222&lt;安値!I222,安値!J222&lt;安値!H222,安値!J222&lt;安値!K222,安値!J222&lt;安値!L222),5,""))</f>
      </c>
      <c r="F222" s="684">
        <f>IF(終値!A222="","",IF(AND(安値!K222&lt;安値!J222,安値!K222&lt;安値!I222,安値!K222&lt;安値!L222,安値!K222&lt;安値!M222),6,""))</f>
      </c>
      <c r="G222" s="684">
        <f>IF(終値!A222="","",IF(AND(安値!L222&lt;安値!K222,安値!L222&lt;安値!J222,安値!L222&lt;安値!M222,安値!L222&lt;安値!N222),7,""))</f>
      </c>
      <c r="H222" s="684">
        <f>IF(終値!A222="","",IF(AND(安値!M222&lt;安値!L222,安値!M222&lt;安値!K222,安値!M222&lt;安値!N222,安値!M222&lt;安値!O222),8,""))</f>
      </c>
      <c r="I222" s="684">
        <f>IF(終値!A222="","",IF(AND(安値!N222&lt;安値!M222,安値!N222&lt;安値!L222,安値!N222&lt;安値!O222,安値!N222&lt;安値!P222),9,""))</f>
      </c>
      <c r="J222" s="684">
        <f>IF(終値!A222="","",IF(AND(安値!O222&lt;安値!N222,安値!O222&lt;安値!M222,安値!O222&lt;安値!P222,安値!O222&lt;安値!Q222),10,""))</f>
      </c>
      <c r="K222" s="684">
        <f>IF(終値!A222="","",IF(AND(安値!P222&lt;安値!O222,安値!P222&lt;安値!N222,安値!P222&lt;安値!Q222,安値!P222&lt;安値!R222),11,""))</f>
      </c>
      <c r="L222" s="684">
        <f>IF(終値!A222="","",IF(AND(安値!Q222&lt;安値!P222,安値!Q222&lt;安値!O222,安値!Q222&lt;安値!R222,安値!Q222&lt;安値!S222),12,""))</f>
      </c>
      <c r="M222" s="684">
        <f>IF(終値!A222="","",IF(AND(安値!R222&lt;安値!Q222,安値!R222&lt;安値!P222,安値!R222&lt;安値!S222,安値!R222&lt;安値!T222),13,""))</f>
      </c>
      <c r="N222" s="684">
        <f>IF(終値!A222="","",IF(AND(安値!S222&lt;安値!R222,安値!S222&lt;安値!Q222,安値!S222&lt;安値!T222,安値!S222&lt;安値!U222),14,""))</f>
      </c>
      <c r="O222" s="684">
        <f>IF(終値!A222="","",IF(AND(安値!T222&lt;安値!S222,安値!T222&lt;安値!R222,安値!T222&lt;安値!U222,安値!T222&lt;安値!V222),15,""))</f>
      </c>
      <c r="P222" s="684">
        <f>IF(終値!A222="","",IF(AND(安値!U222&lt;安値!T222,安値!U222&lt;安値!S222,安値!U222&lt;安値!V222,安値!U222&lt;安値!W222),16,""))</f>
      </c>
      <c r="Q222" s="684">
        <f>IF(終値!A222="","",IF(AND(安値!V222&lt;安値!U222,安値!V222&lt;安値!T222,安値!V222&lt;安値!W222,安値!V222&lt;安値!X222),17,""))</f>
      </c>
      <c r="R222" s="684">
        <f>IF(終値!A222="","",IF(AND(安値!W222&lt;安値!V222,安値!W222&lt;安値!U222,安値!W222&lt;安値!X222,安値!W222&lt;安値!Y222),18,""))</f>
      </c>
      <c r="S222" s="684">
        <f>IF(終値!A222="","",IF(AND(安値!X222&lt;安値!W222,安値!X222&lt;安値!V222,安値!X222&lt;安値!Y222,安値!X222&lt;安値!Z222),19,""))</f>
      </c>
      <c r="T222" s="684">
        <f>IF(終値!A222="","",IF(AND(安値!Y222&lt;安値!X222,安値!Y222&lt;安値!W222,安値!Y222&lt;安値!Z222,安値!Y222&lt;安値!AA222),20,""))</f>
      </c>
      <c r="U222" s="684">
        <f>IF(終値!A222="","",IF(AND(安値!Z222&lt;安値!Y222,安値!Z222&lt;安値!X222,安値!Z222&lt;安値!AA222,安値!Z222&lt;安値!AB222),21,""))</f>
      </c>
      <c r="V222" s="684">
        <f>IF(終値!A222="","",IF(AND(安値!AA222&lt;安値!Z222,安値!AA222&lt;安値!Y222,安値!AA222&lt;安値!AB222,安値!AA222&lt;安値!AC222),22,""))</f>
      </c>
      <c r="W222" s="684">
        <f>IF(終値!A222="","",IF(AND(安値!AB222&lt;安値!AA222,安値!AB222&lt;安値!Z222,安値!AB222&lt;安値!AC222,安値!AB222&lt;安値!AD222),23,""))</f>
      </c>
      <c r="X222" s="684">
        <f>IF(終値!A222="","",IF(AND(安値!AC222&lt;安値!AB222,安値!AC222&lt;安値!AA222,安値!AC222&lt;安値!AD222,安値!AC222&lt;安値!AE222),24,""))</f>
      </c>
      <c r="Y222" s="684">
        <f>IF(終値!A222="","",IF(AND(安値!AD222&lt;安値!AC222,安値!AD222&lt;安値!AB222,安値!AD222&lt;安値!AE222,安値!AD222&lt;安値!AF222),25,""))</f>
      </c>
      <c r="Z222" s="684">
        <f>IF(終値!A222="","",IF(AND(安値!AE222&lt;安値!AD222,安値!AE222&lt;安値!AC222,安値!AE222&lt;安値!AF222,安値!AE222&lt;安値!AG222),26,""))</f>
      </c>
      <c r="AA222" s="684">
        <f>IF(終値!A222="","",IF(AND(安値!AF222&lt;安値!AE222,安値!AF222&lt;安値!AD222,安値!AF222&lt;安値!AG222,安値!AF222&lt;安値!AH222),27,""))</f>
      </c>
      <c r="AB222" s="684">
        <f>IF(終値!A222="","",IF(AND(安値!AG222&lt;安値!AF222,安値!AG222&lt;安値!AE222,安値!AG222&lt;安値!AH222,安値!AG222&lt;安値!AI222),28,""))</f>
      </c>
      <c r="AC222" s="684">
        <f>IF(終値!A222="","",IF(AND(高値!G222&gt;高値!F222,高値!G222&gt;高値!E222,高値!G222&gt;高値!H222,高値!G222&gt;高値!I222),2,""))</f>
      </c>
      <c r="AD222" s="684">
        <f>IF(終値!A222="","",IF(AND(高値!H222&gt;高値!G222,高値!H222&gt;高値!F222,高値!H222&gt;高値!I222,高値!H222&gt;高値!J222),3,""))</f>
      </c>
      <c r="AE222" s="684">
        <f>IF(終値!A222="","",IF(AND(高値!I222&gt;高値!H222,高値!I222&gt;高値!G222,高値!I222&gt;高値!J222,高値!I222&gt;高値!K222),4,""))</f>
      </c>
      <c r="AF222" s="684">
        <f>IF(終値!A222="","",IF(AND(高値!J222&gt;高値!I222,高値!J222&gt;高値!H222,高値!J222&gt;高値!K222,高値!J222&gt;高値!L222),5,""))</f>
      </c>
      <c r="AG222" s="684">
        <f>IF(終値!A222="","",IF(AND(高値!K222&gt;高値!J222,高値!K222&gt;高値!I222,高値!K222&gt;高値!L222,高値!K222&gt;高値!M222),6,""))</f>
      </c>
      <c r="AH222" s="684">
        <f>IF(終値!A222="","",IF(AND(高値!L222&gt;高値!K222,高値!L222&gt;高値!J222,高値!L222&gt;高値!M222,高値!L222&gt;高値!N222),7,""))</f>
      </c>
      <c r="AI222" s="684">
        <f>IF(終値!A222="","",IF(AND(高値!M222&gt;高値!L222,高値!M222&gt;高値!K222,高値!M222&gt;高値!N222,高値!M222&gt;高値!O222),8,""))</f>
      </c>
      <c r="AJ222" s="684">
        <f>IF(終値!A222="","",IF(AND(高値!N222&gt;高値!M222,高値!N222&gt;高値!L222,高値!N222&gt;高値!O222,高値!N222&gt;高値!P222),9,""))</f>
      </c>
      <c r="AK222" s="684">
        <f>IF(終値!A222="","",IF(AND(高値!O222&gt;高値!N222,高値!O222&gt;高値!M222,高値!O222&gt;高値!P222,高値!O222&gt;高値!Q222),10,""))</f>
      </c>
      <c r="AL222" s="684">
        <f>IF(終値!A222="","",IF(AND(高値!P222&gt;高値!O222,高値!P222&gt;高値!N222,高値!P222&gt;高値!Q222,高値!P222&gt;高値!R222),11,""))</f>
      </c>
      <c r="AM222" s="684">
        <f>IF(終値!A222="","",IF(AND(高値!Q222&gt;高値!P222,高値!Q222&gt;高値!O222,高値!Q222&gt;高値!R222,高値!Q222&gt;高値!S222),12,""))</f>
      </c>
      <c r="AN222" s="684">
        <f>IF(終値!A222="","",IF(AND(高値!R222&gt;高値!Q222,高値!R222&gt;高値!P222,高値!R222&gt;高値!S222,高値!R222&gt;高値!T222),13,""))</f>
      </c>
      <c r="AO222" s="684">
        <f>IF(終値!A222="","",IF(AND(高値!S222&gt;高値!R222,高値!S222&gt;高値!Q222,高値!S222&gt;高値!T222,高値!S222&gt;高値!U222),14,""))</f>
      </c>
      <c r="AP222" s="684">
        <f>IF(終値!A222="","",IF(AND(高値!T222&gt;高値!S222,高値!T222&gt;高値!R222,高値!T222&gt;高値!U222,高値!T222&gt;高値!V222),15,""))</f>
      </c>
      <c r="AQ222" s="684">
        <f>IF(終値!A222="","",IF(AND(高値!U222&gt;高値!T222,高値!U222&gt;高値!S222,高値!U222&gt;高値!V222,高値!U222&gt;高値!W222),16,""))</f>
      </c>
      <c r="AR222" s="684">
        <f>IF(終値!A222="","",IF(AND(高値!V222&gt;高値!U222,高値!V222&gt;高値!T222,高値!V222&gt;高値!W222,高値!V222&gt;高値!X222),17,""))</f>
      </c>
      <c r="AS222" s="684">
        <f>IF(終値!A222="","",IF(AND(高値!W222&gt;高値!V222,高値!W222&gt;高値!U222,高値!W222&gt;高値!X222,高値!W222&gt;高値!Y222),18,""))</f>
      </c>
      <c r="AT222" s="684">
        <f>IF(終値!A222="","",IF(AND(高値!X222&gt;高値!W222,高値!X222&gt;高値!V222,高値!X222&gt;高値!Y222,高値!X222&gt;高値!Z222),19,""))</f>
      </c>
      <c r="AU222" s="684">
        <f>IF(終値!A222="","",IF(AND(高値!Y222&gt;高値!X222,高値!Y222&gt;高値!W222,高値!Y222&gt;高値!Z222,高値!Y222&gt;高値!AA222),20,""))</f>
      </c>
      <c r="AV222" s="684">
        <f>IF(終値!A222="","",IF(AND(高値!Z222&gt;高値!Y222,高値!Z222&gt;高値!X222,高値!Z222&gt;高値!AA222,高値!Z222&gt;高値!AB222),21,""))</f>
      </c>
      <c r="AW222" s="684">
        <f>IF(終値!A222="","",IF(AND(高値!AA222&gt;高値!Z222,高値!AA222&gt;高値!Y222,高値!AA222&gt;高値!AB222,高値!AA222&gt;高値!AC222),22,""))</f>
      </c>
      <c r="AX222" s="684">
        <f>IF(終値!A222="","",IF(AND(高値!AB222&gt;高値!AA222,高値!AB222&gt;高値!Z222,高値!AB222&gt;高値!AC222,高値!AB222&gt;高値!AD222),23,""))</f>
      </c>
      <c r="AY222" s="684">
        <f>IF(終値!A222="","",IF(AND(高値!AC222&gt;高値!AB222,高値!AC222&gt;高値!AA222,高値!AC222&gt;高値!AD222,高値!AC222&gt;高値!AE222),24,""))</f>
      </c>
      <c r="AZ222" s="684">
        <f>IF(終値!A222="","",IF(AND(高値!AD222&gt;高値!AC222,高値!AD222&gt;高値!AB222,高値!AD222&gt;高値!AE222,高値!AD222&gt;高値!AF222),25,""))</f>
      </c>
      <c r="BA222" s="684">
        <f>IF(終値!A222="","",IF(AND(高値!AE222&gt;高値!AD222,高値!AE222&gt;高値!AC222,高値!AE222&gt;高値!AF222,高値!AE222&gt;高値!AG222),26,""))</f>
      </c>
      <c r="BB222" s="684">
        <f>IF(終値!A222="","",IF(AND(高値!AF222&gt;高値!AE222,高値!AF222&gt;高値!AD222,高値!AF222&gt;高値!AG222,高値!AF222&gt;高値!AH222),27,""))</f>
      </c>
      <c r="BC222" s="684">
        <f>IF(終値!A222="","",IF(AND(高値!AG222&gt;高値!AF222,高値!AG222&gt;高値!AE222,高値!AG222&gt;高値!AH222,高値!AG222&gt;高値!AI222),28,""))</f>
      </c>
      <c r="BD222" s="684">
        <f>COUNT($B222:$AB222)</f>
      </c>
      <c r="BE222" s="684">
        <f>IF($BD222&gt;=2,MIN($B222:$AB222),"")</f>
      </c>
      <c r="BF222" s="684">
        <f>IF($BD222&gt;=2,SMALL($B222:$AB222,2),"")</f>
      </c>
      <c r="BG222" s="684">
        <f>IF($BE222="","",INDEX(安値!$E222:$CZ222,1,$BE222+1))</f>
      </c>
      <c r="BH222" s="684">
        <f>IF($BF222="","",INDEX(安値!$E222:$CZ222,1,$BF222+1))</f>
      </c>
      <c r="BI222" s="684">
        <f>IF($BF222="","",MAX(INDEX(高値!$E222:$CZ222,1,$BE222+1):INDEX(高値!$E222:$CZ222,1,$BF222+1)))</f>
      </c>
      <c r="BJ222" s="684">
        <f>IF($BF222="","",AVERAGE(INDEX(終値!$E222:$CZ222,1,$BF222+1):INDEX(終値!$E222:$CZ222,1,$BF222+20))-2*STDEVP(INDEX(終値!$E222:$CZ222,1,$BF222+1):INDEX(終値!$E222:$CZ222,1,$BF222+20)))</f>
      </c>
      <c r="BK222" s="684">
        <f>IF($BE222="","",AVERAGE(INDEX(終値!$E222:$CZ222,1,$BE222+1):INDEX(終値!$E222:$CZ222,1,$BE222+20))-2*STDEVP(INDEX(終値!$E222:$CZ222,1,$BE222+1):INDEX(終値!$E222:$CZ222,1,$BE222+20)))</f>
      </c>
      <c r="BL222" s="684">
        <f>COUNT($AC222:$BC222)</f>
      </c>
      <c r="BM222" s="684">
        <f>IF($BL222&gt;=2,MIN($AC222:$BC222),"")</f>
      </c>
      <c r="BN222" s="684">
        <f>IF($BL222&gt;=2,SMALL($AC222:$BC222,2),"")</f>
      </c>
      <c r="BO222" s="684">
        <f>IF($BM222="","",INDEX(高値!$E222:$CZ222,1,$BM222+1))</f>
      </c>
      <c r="BP222" s="684">
        <f>IF($BN222="","",INDEX(高値!$E222:$CZ222,1,$BN222+1))</f>
      </c>
      <c r="BQ222" s="684">
        <f>IF($BN222="","",MIN(INDEX(安値!$E222:$CZ222,1,$BM222+1):INDEX(安値!$E222:$CZ222,1,$BN222+1)))</f>
      </c>
      <c r="BR222" s="684">
        <f>IF($BN222="","",AVERAGE(INDEX(終値!$E222:$CZ222,1,$BN222+1):INDEX(終値!$E222:$CZ222,1,$BN222+20))+2*STDEVP(INDEX(終値!$E222:$CZ222,1,$BN222+1):INDEX(終値!$E222:$CZ222,1,$BN222+20)))</f>
      </c>
      <c r="BS222" s="684">
        <f>IF($BM222="","",AVERAGE(INDEX(終値!$E222:$CZ222,1,$BM222+1):INDEX(終値!$E222:$CZ222,1,$BM222+20))+2*STDEVP(INDEX(終値!$E222:$CZ222,1,$BM222+1):INDEX(終値!$E222:$CZ222,1,$BM222+20)))</f>
      </c>
      <c r="BT222" s="681">
        <f>IFERROR(IF(AND($BD222&gt;=2,ABS($BG222-$BH222)/$BH222&lt;=BB設定!$B$12,$BI222&gt;=MAX($BH222,$BG222)*(1+BB設定!$B$13),終値!E222&gt;$BG222),IF(OR(終値!E222&gt;=$BI222,AND($BH222&lt;$BJ222,$BG222&gt;=$BK222)),"二番底W▲","二番底W形成"),IF(AND($BL222&gt;=2,ABS($BO222-$BP222)/$BP222&lt;=BB設定!$B$12,$BQ222&lt;=MIN($BP222,$BO222)*(1-BB設定!$B$13),終値!E222&lt;$BO222),IF(OR(終値!E222&lt;=$BQ222,AND($BP222&gt;$BR222,$BO222&lt;=$BS222)),"二番天井M▼","二番天井M形成"),"－")),"－")</f>
      </c>
    </row>
    <row r="223">
      <c r="B223" s="684">
        <f>IF(終値!A223="","",IF(AND(安値!G223&lt;安値!F223,安値!G223&lt;安値!E223,安値!G223&lt;安値!H223,安値!G223&lt;安値!I223),2,""))</f>
      </c>
      <c r="C223" s="684">
        <f>IF(終値!A223="","",IF(AND(安値!H223&lt;安値!G223,安値!H223&lt;安値!F223,安値!H223&lt;安値!I223,安値!H223&lt;安値!J223),3,""))</f>
      </c>
      <c r="D223" s="684">
        <f>IF(終値!A223="","",IF(AND(安値!I223&lt;安値!H223,安値!I223&lt;安値!G223,安値!I223&lt;安値!J223,安値!I223&lt;安値!K223),4,""))</f>
      </c>
      <c r="E223" s="684">
        <f>IF(終値!A223="","",IF(AND(安値!J223&lt;安値!I223,安値!J223&lt;安値!H223,安値!J223&lt;安値!K223,安値!J223&lt;安値!L223),5,""))</f>
      </c>
      <c r="F223" s="684">
        <f>IF(終値!A223="","",IF(AND(安値!K223&lt;安値!J223,安値!K223&lt;安値!I223,安値!K223&lt;安値!L223,安値!K223&lt;安値!M223),6,""))</f>
      </c>
      <c r="G223" s="684">
        <f>IF(終値!A223="","",IF(AND(安値!L223&lt;安値!K223,安値!L223&lt;安値!J223,安値!L223&lt;安値!M223,安値!L223&lt;安値!N223),7,""))</f>
      </c>
      <c r="H223" s="684">
        <f>IF(終値!A223="","",IF(AND(安値!M223&lt;安値!L223,安値!M223&lt;安値!K223,安値!M223&lt;安値!N223,安値!M223&lt;安値!O223),8,""))</f>
      </c>
      <c r="I223" s="684">
        <f>IF(終値!A223="","",IF(AND(安値!N223&lt;安値!M223,安値!N223&lt;安値!L223,安値!N223&lt;安値!O223,安値!N223&lt;安値!P223),9,""))</f>
      </c>
      <c r="J223" s="684">
        <f>IF(終値!A223="","",IF(AND(安値!O223&lt;安値!N223,安値!O223&lt;安値!M223,安値!O223&lt;安値!P223,安値!O223&lt;安値!Q223),10,""))</f>
      </c>
      <c r="K223" s="684">
        <f>IF(終値!A223="","",IF(AND(安値!P223&lt;安値!O223,安値!P223&lt;安値!N223,安値!P223&lt;安値!Q223,安値!P223&lt;安値!R223),11,""))</f>
      </c>
      <c r="L223" s="684">
        <f>IF(終値!A223="","",IF(AND(安値!Q223&lt;安値!P223,安値!Q223&lt;安値!O223,安値!Q223&lt;安値!R223,安値!Q223&lt;安値!S223),12,""))</f>
      </c>
      <c r="M223" s="684">
        <f>IF(終値!A223="","",IF(AND(安値!R223&lt;安値!Q223,安値!R223&lt;安値!P223,安値!R223&lt;安値!S223,安値!R223&lt;安値!T223),13,""))</f>
      </c>
      <c r="N223" s="684">
        <f>IF(終値!A223="","",IF(AND(安値!S223&lt;安値!R223,安値!S223&lt;安値!Q223,安値!S223&lt;安値!T223,安値!S223&lt;安値!U223),14,""))</f>
      </c>
      <c r="O223" s="684">
        <f>IF(終値!A223="","",IF(AND(安値!T223&lt;安値!S223,安値!T223&lt;安値!R223,安値!T223&lt;安値!U223,安値!T223&lt;安値!V223),15,""))</f>
      </c>
      <c r="P223" s="684">
        <f>IF(終値!A223="","",IF(AND(安値!U223&lt;安値!T223,安値!U223&lt;安値!S223,安値!U223&lt;安値!V223,安値!U223&lt;安値!W223),16,""))</f>
      </c>
      <c r="Q223" s="684">
        <f>IF(終値!A223="","",IF(AND(安値!V223&lt;安値!U223,安値!V223&lt;安値!T223,安値!V223&lt;安値!W223,安値!V223&lt;安値!X223),17,""))</f>
      </c>
      <c r="R223" s="684">
        <f>IF(終値!A223="","",IF(AND(安値!W223&lt;安値!V223,安値!W223&lt;安値!U223,安値!W223&lt;安値!X223,安値!W223&lt;安値!Y223),18,""))</f>
      </c>
      <c r="S223" s="684">
        <f>IF(終値!A223="","",IF(AND(安値!X223&lt;安値!W223,安値!X223&lt;安値!V223,安値!X223&lt;安値!Y223,安値!X223&lt;安値!Z223),19,""))</f>
      </c>
      <c r="T223" s="684">
        <f>IF(終値!A223="","",IF(AND(安値!Y223&lt;安値!X223,安値!Y223&lt;安値!W223,安値!Y223&lt;安値!Z223,安値!Y223&lt;安値!AA223),20,""))</f>
      </c>
      <c r="U223" s="684">
        <f>IF(終値!A223="","",IF(AND(安値!Z223&lt;安値!Y223,安値!Z223&lt;安値!X223,安値!Z223&lt;安値!AA223,安値!Z223&lt;安値!AB223),21,""))</f>
      </c>
      <c r="V223" s="684">
        <f>IF(終値!A223="","",IF(AND(安値!AA223&lt;安値!Z223,安値!AA223&lt;安値!Y223,安値!AA223&lt;安値!AB223,安値!AA223&lt;安値!AC223),22,""))</f>
      </c>
      <c r="W223" s="684">
        <f>IF(終値!A223="","",IF(AND(安値!AB223&lt;安値!AA223,安値!AB223&lt;安値!Z223,安値!AB223&lt;安値!AC223,安値!AB223&lt;安値!AD223),23,""))</f>
      </c>
      <c r="X223" s="684">
        <f>IF(終値!A223="","",IF(AND(安値!AC223&lt;安値!AB223,安値!AC223&lt;安値!AA223,安値!AC223&lt;安値!AD223,安値!AC223&lt;安値!AE223),24,""))</f>
      </c>
      <c r="Y223" s="684">
        <f>IF(終値!A223="","",IF(AND(安値!AD223&lt;安値!AC223,安値!AD223&lt;安値!AB223,安値!AD223&lt;安値!AE223,安値!AD223&lt;安値!AF223),25,""))</f>
      </c>
      <c r="Z223" s="684">
        <f>IF(終値!A223="","",IF(AND(安値!AE223&lt;安値!AD223,安値!AE223&lt;安値!AC223,安値!AE223&lt;安値!AF223,安値!AE223&lt;安値!AG223),26,""))</f>
      </c>
      <c r="AA223" s="684">
        <f>IF(終値!A223="","",IF(AND(安値!AF223&lt;安値!AE223,安値!AF223&lt;安値!AD223,安値!AF223&lt;安値!AG223,安値!AF223&lt;安値!AH223),27,""))</f>
      </c>
      <c r="AB223" s="684">
        <f>IF(終値!A223="","",IF(AND(安値!AG223&lt;安値!AF223,安値!AG223&lt;安値!AE223,安値!AG223&lt;安値!AH223,安値!AG223&lt;安値!AI223),28,""))</f>
      </c>
      <c r="AC223" s="684">
        <f>IF(終値!A223="","",IF(AND(高値!G223&gt;高値!F223,高値!G223&gt;高値!E223,高値!G223&gt;高値!H223,高値!G223&gt;高値!I223),2,""))</f>
      </c>
      <c r="AD223" s="684">
        <f>IF(終値!A223="","",IF(AND(高値!H223&gt;高値!G223,高値!H223&gt;高値!F223,高値!H223&gt;高値!I223,高値!H223&gt;高値!J223),3,""))</f>
      </c>
      <c r="AE223" s="684">
        <f>IF(終値!A223="","",IF(AND(高値!I223&gt;高値!H223,高値!I223&gt;高値!G223,高値!I223&gt;高値!J223,高値!I223&gt;高値!K223),4,""))</f>
      </c>
      <c r="AF223" s="684">
        <f>IF(終値!A223="","",IF(AND(高値!J223&gt;高値!I223,高値!J223&gt;高値!H223,高値!J223&gt;高値!K223,高値!J223&gt;高値!L223),5,""))</f>
      </c>
      <c r="AG223" s="684">
        <f>IF(終値!A223="","",IF(AND(高値!K223&gt;高値!J223,高値!K223&gt;高値!I223,高値!K223&gt;高値!L223,高値!K223&gt;高値!M223),6,""))</f>
      </c>
      <c r="AH223" s="684">
        <f>IF(終値!A223="","",IF(AND(高値!L223&gt;高値!K223,高値!L223&gt;高値!J223,高値!L223&gt;高値!M223,高値!L223&gt;高値!N223),7,""))</f>
      </c>
      <c r="AI223" s="684">
        <f>IF(終値!A223="","",IF(AND(高値!M223&gt;高値!L223,高値!M223&gt;高値!K223,高値!M223&gt;高値!N223,高値!M223&gt;高値!O223),8,""))</f>
      </c>
      <c r="AJ223" s="684">
        <f>IF(終値!A223="","",IF(AND(高値!N223&gt;高値!M223,高値!N223&gt;高値!L223,高値!N223&gt;高値!O223,高値!N223&gt;高値!P223),9,""))</f>
      </c>
      <c r="AK223" s="684">
        <f>IF(終値!A223="","",IF(AND(高値!O223&gt;高値!N223,高値!O223&gt;高値!M223,高値!O223&gt;高値!P223,高値!O223&gt;高値!Q223),10,""))</f>
      </c>
      <c r="AL223" s="684">
        <f>IF(終値!A223="","",IF(AND(高値!P223&gt;高値!O223,高値!P223&gt;高値!N223,高値!P223&gt;高値!Q223,高値!P223&gt;高値!R223),11,""))</f>
      </c>
      <c r="AM223" s="684">
        <f>IF(終値!A223="","",IF(AND(高値!Q223&gt;高値!P223,高値!Q223&gt;高値!O223,高値!Q223&gt;高値!R223,高値!Q223&gt;高値!S223),12,""))</f>
      </c>
      <c r="AN223" s="684">
        <f>IF(終値!A223="","",IF(AND(高値!R223&gt;高値!Q223,高値!R223&gt;高値!P223,高値!R223&gt;高値!S223,高値!R223&gt;高値!T223),13,""))</f>
      </c>
      <c r="AO223" s="684">
        <f>IF(終値!A223="","",IF(AND(高値!S223&gt;高値!R223,高値!S223&gt;高値!Q223,高値!S223&gt;高値!T223,高値!S223&gt;高値!U223),14,""))</f>
      </c>
      <c r="AP223" s="684">
        <f>IF(終値!A223="","",IF(AND(高値!T223&gt;高値!S223,高値!T223&gt;高値!R223,高値!T223&gt;高値!U223,高値!T223&gt;高値!V223),15,""))</f>
      </c>
      <c r="AQ223" s="684">
        <f>IF(終値!A223="","",IF(AND(高値!U223&gt;高値!T223,高値!U223&gt;高値!S223,高値!U223&gt;高値!V223,高値!U223&gt;高値!W223),16,""))</f>
      </c>
      <c r="AR223" s="684">
        <f>IF(終値!A223="","",IF(AND(高値!V223&gt;高値!U223,高値!V223&gt;高値!T223,高値!V223&gt;高値!W223,高値!V223&gt;高値!X223),17,""))</f>
      </c>
      <c r="AS223" s="684">
        <f>IF(終値!A223="","",IF(AND(高値!W223&gt;高値!V223,高値!W223&gt;高値!U223,高値!W223&gt;高値!X223,高値!W223&gt;高値!Y223),18,""))</f>
      </c>
      <c r="AT223" s="684">
        <f>IF(終値!A223="","",IF(AND(高値!X223&gt;高値!W223,高値!X223&gt;高値!V223,高値!X223&gt;高値!Y223,高値!X223&gt;高値!Z223),19,""))</f>
      </c>
      <c r="AU223" s="684">
        <f>IF(終値!A223="","",IF(AND(高値!Y223&gt;高値!X223,高値!Y223&gt;高値!W223,高値!Y223&gt;高値!Z223,高値!Y223&gt;高値!AA223),20,""))</f>
      </c>
      <c r="AV223" s="684">
        <f>IF(終値!A223="","",IF(AND(高値!Z223&gt;高値!Y223,高値!Z223&gt;高値!X223,高値!Z223&gt;高値!AA223,高値!Z223&gt;高値!AB223),21,""))</f>
      </c>
      <c r="AW223" s="684">
        <f>IF(終値!A223="","",IF(AND(高値!AA223&gt;高値!Z223,高値!AA223&gt;高値!Y223,高値!AA223&gt;高値!AB223,高値!AA223&gt;高値!AC223),22,""))</f>
      </c>
      <c r="AX223" s="684">
        <f>IF(終値!A223="","",IF(AND(高値!AB223&gt;高値!AA223,高値!AB223&gt;高値!Z223,高値!AB223&gt;高値!AC223,高値!AB223&gt;高値!AD223),23,""))</f>
      </c>
      <c r="AY223" s="684">
        <f>IF(終値!A223="","",IF(AND(高値!AC223&gt;高値!AB223,高値!AC223&gt;高値!AA223,高値!AC223&gt;高値!AD223,高値!AC223&gt;高値!AE223),24,""))</f>
      </c>
      <c r="AZ223" s="684">
        <f>IF(終値!A223="","",IF(AND(高値!AD223&gt;高値!AC223,高値!AD223&gt;高値!AB223,高値!AD223&gt;高値!AE223,高値!AD223&gt;高値!AF223),25,""))</f>
      </c>
      <c r="BA223" s="684">
        <f>IF(終値!A223="","",IF(AND(高値!AE223&gt;高値!AD223,高値!AE223&gt;高値!AC223,高値!AE223&gt;高値!AF223,高値!AE223&gt;高値!AG223),26,""))</f>
      </c>
      <c r="BB223" s="684">
        <f>IF(終値!A223="","",IF(AND(高値!AF223&gt;高値!AE223,高値!AF223&gt;高値!AD223,高値!AF223&gt;高値!AG223,高値!AF223&gt;高値!AH223),27,""))</f>
      </c>
      <c r="BC223" s="684">
        <f>IF(終値!A223="","",IF(AND(高値!AG223&gt;高値!AF223,高値!AG223&gt;高値!AE223,高値!AG223&gt;高値!AH223,高値!AG223&gt;高値!AI223),28,""))</f>
      </c>
      <c r="BD223" s="684">
        <f>COUNT($B223:$AB223)</f>
      </c>
      <c r="BE223" s="684">
        <f>IF($BD223&gt;=2,MIN($B223:$AB223),"")</f>
      </c>
      <c r="BF223" s="684">
        <f>IF($BD223&gt;=2,SMALL($B223:$AB223,2),"")</f>
      </c>
      <c r="BG223" s="684">
        <f>IF($BE223="","",INDEX(安値!$E223:$CZ223,1,$BE223+1))</f>
      </c>
      <c r="BH223" s="684">
        <f>IF($BF223="","",INDEX(安値!$E223:$CZ223,1,$BF223+1))</f>
      </c>
      <c r="BI223" s="684">
        <f>IF($BF223="","",MAX(INDEX(高値!$E223:$CZ223,1,$BE223+1):INDEX(高値!$E223:$CZ223,1,$BF223+1)))</f>
      </c>
      <c r="BJ223" s="684">
        <f>IF($BF223="","",AVERAGE(INDEX(終値!$E223:$CZ223,1,$BF223+1):INDEX(終値!$E223:$CZ223,1,$BF223+20))-2*STDEVP(INDEX(終値!$E223:$CZ223,1,$BF223+1):INDEX(終値!$E223:$CZ223,1,$BF223+20)))</f>
      </c>
      <c r="BK223" s="684">
        <f>IF($BE223="","",AVERAGE(INDEX(終値!$E223:$CZ223,1,$BE223+1):INDEX(終値!$E223:$CZ223,1,$BE223+20))-2*STDEVP(INDEX(終値!$E223:$CZ223,1,$BE223+1):INDEX(終値!$E223:$CZ223,1,$BE223+20)))</f>
      </c>
      <c r="BL223" s="684">
        <f>COUNT($AC223:$BC223)</f>
      </c>
      <c r="BM223" s="684">
        <f>IF($BL223&gt;=2,MIN($AC223:$BC223),"")</f>
      </c>
      <c r="BN223" s="684">
        <f>IF($BL223&gt;=2,SMALL($AC223:$BC223,2),"")</f>
      </c>
      <c r="BO223" s="684">
        <f>IF($BM223="","",INDEX(高値!$E223:$CZ223,1,$BM223+1))</f>
      </c>
      <c r="BP223" s="684">
        <f>IF($BN223="","",INDEX(高値!$E223:$CZ223,1,$BN223+1))</f>
      </c>
      <c r="BQ223" s="684">
        <f>IF($BN223="","",MIN(INDEX(安値!$E223:$CZ223,1,$BM223+1):INDEX(安値!$E223:$CZ223,1,$BN223+1)))</f>
      </c>
      <c r="BR223" s="684">
        <f>IF($BN223="","",AVERAGE(INDEX(終値!$E223:$CZ223,1,$BN223+1):INDEX(終値!$E223:$CZ223,1,$BN223+20))+2*STDEVP(INDEX(終値!$E223:$CZ223,1,$BN223+1):INDEX(終値!$E223:$CZ223,1,$BN223+20)))</f>
      </c>
      <c r="BS223" s="684">
        <f>IF($BM223="","",AVERAGE(INDEX(終値!$E223:$CZ223,1,$BM223+1):INDEX(終値!$E223:$CZ223,1,$BM223+20))+2*STDEVP(INDEX(終値!$E223:$CZ223,1,$BM223+1):INDEX(終値!$E223:$CZ223,1,$BM223+20)))</f>
      </c>
      <c r="BT223" s="681">
        <f>IFERROR(IF(AND($BD223&gt;=2,ABS($BG223-$BH223)/$BH223&lt;=BB設定!$B$12,$BI223&gt;=MAX($BH223,$BG223)*(1+BB設定!$B$13),終値!E223&gt;$BG223),IF(OR(終値!E223&gt;=$BI223,AND($BH223&lt;$BJ223,$BG223&gt;=$BK223)),"二番底W▲","二番底W形成"),IF(AND($BL223&gt;=2,ABS($BO223-$BP223)/$BP223&lt;=BB設定!$B$12,$BQ223&lt;=MIN($BP223,$BO223)*(1-BB設定!$B$13),終値!E223&lt;$BO223),IF(OR(終値!E223&lt;=$BQ223,AND($BP223&gt;$BR223,$BO223&lt;=$BS223)),"二番天井M▼","二番天井M形成"),"－")),"－")</f>
      </c>
    </row>
    <row r="224">
      <c r="B224" s="684">
        <f>IF(終値!A224="","",IF(AND(安値!G224&lt;安値!F224,安値!G224&lt;安値!E224,安値!G224&lt;安値!H224,安値!G224&lt;安値!I224),2,""))</f>
      </c>
      <c r="C224" s="684">
        <f>IF(終値!A224="","",IF(AND(安値!H224&lt;安値!G224,安値!H224&lt;安値!F224,安値!H224&lt;安値!I224,安値!H224&lt;安値!J224),3,""))</f>
      </c>
      <c r="D224" s="684">
        <f>IF(終値!A224="","",IF(AND(安値!I224&lt;安値!H224,安値!I224&lt;安値!G224,安値!I224&lt;安値!J224,安値!I224&lt;安値!K224),4,""))</f>
      </c>
      <c r="E224" s="684">
        <f>IF(終値!A224="","",IF(AND(安値!J224&lt;安値!I224,安値!J224&lt;安値!H224,安値!J224&lt;安値!K224,安値!J224&lt;安値!L224),5,""))</f>
      </c>
      <c r="F224" s="684">
        <f>IF(終値!A224="","",IF(AND(安値!K224&lt;安値!J224,安値!K224&lt;安値!I224,安値!K224&lt;安値!L224,安値!K224&lt;安値!M224),6,""))</f>
      </c>
      <c r="G224" s="684">
        <f>IF(終値!A224="","",IF(AND(安値!L224&lt;安値!K224,安値!L224&lt;安値!J224,安値!L224&lt;安値!M224,安値!L224&lt;安値!N224),7,""))</f>
      </c>
      <c r="H224" s="684">
        <f>IF(終値!A224="","",IF(AND(安値!M224&lt;安値!L224,安値!M224&lt;安値!K224,安値!M224&lt;安値!N224,安値!M224&lt;安値!O224),8,""))</f>
      </c>
      <c r="I224" s="684">
        <f>IF(終値!A224="","",IF(AND(安値!N224&lt;安値!M224,安値!N224&lt;安値!L224,安値!N224&lt;安値!O224,安値!N224&lt;安値!P224),9,""))</f>
      </c>
      <c r="J224" s="684">
        <f>IF(終値!A224="","",IF(AND(安値!O224&lt;安値!N224,安値!O224&lt;安値!M224,安値!O224&lt;安値!P224,安値!O224&lt;安値!Q224),10,""))</f>
      </c>
      <c r="K224" s="684">
        <f>IF(終値!A224="","",IF(AND(安値!P224&lt;安値!O224,安値!P224&lt;安値!N224,安値!P224&lt;安値!Q224,安値!P224&lt;安値!R224),11,""))</f>
      </c>
      <c r="L224" s="684">
        <f>IF(終値!A224="","",IF(AND(安値!Q224&lt;安値!P224,安値!Q224&lt;安値!O224,安値!Q224&lt;安値!R224,安値!Q224&lt;安値!S224),12,""))</f>
      </c>
      <c r="M224" s="684">
        <f>IF(終値!A224="","",IF(AND(安値!R224&lt;安値!Q224,安値!R224&lt;安値!P224,安値!R224&lt;安値!S224,安値!R224&lt;安値!T224),13,""))</f>
      </c>
      <c r="N224" s="684">
        <f>IF(終値!A224="","",IF(AND(安値!S224&lt;安値!R224,安値!S224&lt;安値!Q224,安値!S224&lt;安値!T224,安値!S224&lt;安値!U224),14,""))</f>
      </c>
      <c r="O224" s="684">
        <f>IF(終値!A224="","",IF(AND(安値!T224&lt;安値!S224,安値!T224&lt;安値!R224,安値!T224&lt;安値!U224,安値!T224&lt;安値!V224),15,""))</f>
      </c>
      <c r="P224" s="684">
        <f>IF(終値!A224="","",IF(AND(安値!U224&lt;安値!T224,安値!U224&lt;安値!S224,安値!U224&lt;安値!V224,安値!U224&lt;安値!W224),16,""))</f>
      </c>
      <c r="Q224" s="684">
        <f>IF(終値!A224="","",IF(AND(安値!V224&lt;安値!U224,安値!V224&lt;安値!T224,安値!V224&lt;安値!W224,安値!V224&lt;安値!X224),17,""))</f>
      </c>
      <c r="R224" s="684">
        <f>IF(終値!A224="","",IF(AND(安値!W224&lt;安値!V224,安値!W224&lt;安値!U224,安値!W224&lt;安値!X224,安値!W224&lt;安値!Y224),18,""))</f>
      </c>
      <c r="S224" s="684">
        <f>IF(終値!A224="","",IF(AND(安値!X224&lt;安値!W224,安値!X224&lt;安値!V224,安値!X224&lt;安値!Y224,安値!X224&lt;安値!Z224),19,""))</f>
      </c>
      <c r="T224" s="684">
        <f>IF(終値!A224="","",IF(AND(安値!Y224&lt;安値!X224,安値!Y224&lt;安値!W224,安値!Y224&lt;安値!Z224,安値!Y224&lt;安値!AA224),20,""))</f>
      </c>
      <c r="U224" s="684">
        <f>IF(終値!A224="","",IF(AND(安値!Z224&lt;安値!Y224,安値!Z224&lt;安値!X224,安値!Z224&lt;安値!AA224,安値!Z224&lt;安値!AB224),21,""))</f>
      </c>
      <c r="V224" s="684">
        <f>IF(終値!A224="","",IF(AND(安値!AA224&lt;安値!Z224,安値!AA224&lt;安値!Y224,安値!AA224&lt;安値!AB224,安値!AA224&lt;安値!AC224),22,""))</f>
      </c>
      <c r="W224" s="684">
        <f>IF(終値!A224="","",IF(AND(安値!AB224&lt;安値!AA224,安値!AB224&lt;安値!Z224,安値!AB224&lt;安値!AC224,安値!AB224&lt;安値!AD224),23,""))</f>
      </c>
      <c r="X224" s="684">
        <f>IF(終値!A224="","",IF(AND(安値!AC224&lt;安値!AB224,安値!AC224&lt;安値!AA224,安値!AC224&lt;安値!AD224,安値!AC224&lt;安値!AE224),24,""))</f>
      </c>
      <c r="Y224" s="684">
        <f>IF(終値!A224="","",IF(AND(安値!AD224&lt;安値!AC224,安値!AD224&lt;安値!AB224,安値!AD224&lt;安値!AE224,安値!AD224&lt;安値!AF224),25,""))</f>
      </c>
      <c r="Z224" s="684">
        <f>IF(終値!A224="","",IF(AND(安値!AE224&lt;安値!AD224,安値!AE224&lt;安値!AC224,安値!AE224&lt;安値!AF224,安値!AE224&lt;安値!AG224),26,""))</f>
      </c>
      <c r="AA224" s="684">
        <f>IF(終値!A224="","",IF(AND(安値!AF224&lt;安値!AE224,安値!AF224&lt;安値!AD224,安値!AF224&lt;安値!AG224,安値!AF224&lt;安値!AH224),27,""))</f>
      </c>
      <c r="AB224" s="684">
        <f>IF(終値!A224="","",IF(AND(安値!AG224&lt;安値!AF224,安値!AG224&lt;安値!AE224,安値!AG224&lt;安値!AH224,安値!AG224&lt;安値!AI224),28,""))</f>
      </c>
      <c r="AC224" s="684">
        <f>IF(終値!A224="","",IF(AND(高値!G224&gt;高値!F224,高値!G224&gt;高値!E224,高値!G224&gt;高値!H224,高値!G224&gt;高値!I224),2,""))</f>
      </c>
      <c r="AD224" s="684">
        <f>IF(終値!A224="","",IF(AND(高値!H224&gt;高値!G224,高値!H224&gt;高値!F224,高値!H224&gt;高値!I224,高値!H224&gt;高値!J224),3,""))</f>
      </c>
      <c r="AE224" s="684">
        <f>IF(終値!A224="","",IF(AND(高値!I224&gt;高値!H224,高値!I224&gt;高値!G224,高値!I224&gt;高値!J224,高値!I224&gt;高値!K224),4,""))</f>
      </c>
      <c r="AF224" s="684">
        <f>IF(終値!A224="","",IF(AND(高値!J224&gt;高値!I224,高値!J224&gt;高値!H224,高値!J224&gt;高値!K224,高値!J224&gt;高値!L224),5,""))</f>
      </c>
      <c r="AG224" s="684">
        <f>IF(終値!A224="","",IF(AND(高値!K224&gt;高値!J224,高値!K224&gt;高値!I224,高値!K224&gt;高値!L224,高値!K224&gt;高値!M224),6,""))</f>
      </c>
      <c r="AH224" s="684">
        <f>IF(終値!A224="","",IF(AND(高値!L224&gt;高値!K224,高値!L224&gt;高値!J224,高値!L224&gt;高値!M224,高値!L224&gt;高値!N224),7,""))</f>
      </c>
      <c r="AI224" s="684">
        <f>IF(終値!A224="","",IF(AND(高値!M224&gt;高値!L224,高値!M224&gt;高値!K224,高値!M224&gt;高値!N224,高値!M224&gt;高値!O224),8,""))</f>
      </c>
      <c r="AJ224" s="684">
        <f>IF(終値!A224="","",IF(AND(高値!N224&gt;高値!M224,高値!N224&gt;高値!L224,高値!N224&gt;高値!O224,高値!N224&gt;高値!P224),9,""))</f>
      </c>
      <c r="AK224" s="684">
        <f>IF(終値!A224="","",IF(AND(高値!O224&gt;高値!N224,高値!O224&gt;高値!M224,高値!O224&gt;高値!P224,高値!O224&gt;高値!Q224),10,""))</f>
      </c>
      <c r="AL224" s="684">
        <f>IF(終値!A224="","",IF(AND(高値!P224&gt;高値!O224,高値!P224&gt;高値!N224,高値!P224&gt;高値!Q224,高値!P224&gt;高値!R224),11,""))</f>
      </c>
      <c r="AM224" s="684">
        <f>IF(終値!A224="","",IF(AND(高値!Q224&gt;高値!P224,高値!Q224&gt;高値!O224,高値!Q224&gt;高値!R224,高値!Q224&gt;高値!S224),12,""))</f>
      </c>
      <c r="AN224" s="684">
        <f>IF(終値!A224="","",IF(AND(高値!R224&gt;高値!Q224,高値!R224&gt;高値!P224,高値!R224&gt;高値!S224,高値!R224&gt;高値!T224),13,""))</f>
      </c>
      <c r="AO224" s="684">
        <f>IF(終値!A224="","",IF(AND(高値!S224&gt;高値!R224,高値!S224&gt;高値!Q224,高値!S224&gt;高値!T224,高値!S224&gt;高値!U224),14,""))</f>
      </c>
      <c r="AP224" s="684">
        <f>IF(終値!A224="","",IF(AND(高値!T224&gt;高値!S224,高値!T224&gt;高値!R224,高値!T224&gt;高値!U224,高値!T224&gt;高値!V224),15,""))</f>
      </c>
      <c r="AQ224" s="684">
        <f>IF(終値!A224="","",IF(AND(高値!U224&gt;高値!T224,高値!U224&gt;高値!S224,高値!U224&gt;高値!V224,高値!U224&gt;高値!W224),16,""))</f>
      </c>
      <c r="AR224" s="684">
        <f>IF(終値!A224="","",IF(AND(高値!V224&gt;高値!U224,高値!V224&gt;高値!T224,高値!V224&gt;高値!W224,高値!V224&gt;高値!X224),17,""))</f>
      </c>
      <c r="AS224" s="684">
        <f>IF(終値!A224="","",IF(AND(高値!W224&gt;高値!V224,高値!W224&gt;高値!U224,高値!W224&gt;高値!X224,高値!W224&gt;高値!Y224),18,""))</f>
      </c>
      <c r="AT224" s="684">
        <f>IF(終値!A224="","",IF(AND(高値!X224&gt;高値!W224,高値!X224&gt;高値!V224,高値!X224&gt;高値!Y224,高値!X224&gt;高値!Z224),19,""))</f>
      </c>
      <c r="AU224" s="684">
        <f>IF(終値!A224="","",IF(AND(高値!Y224&gt;高値!X224,高値!Y224&gt;高値!W224,高値!Y224&gt;高値!Z224,高値!Y224&gt;高値!AA224),20,""))</f>
      </c>
      <c r="AV224" s="684">
        <f>IF(終値!A224="","",IF(AND(高値!Z224&gt;高値!Y224,高値!Z224&gt;高値!X224,高値!Z224&gt;高値!AA224,高値!Z224&gt;高値!AB224),21,""))</f>
      </c>
      <c r="AW224" s="684">
        <f>IF(終値!A224="","",IF(AND(高値!AA224&gt;高値!Z224,高値!AA224&gt;高値!Y224,高値!AA224&gt;高値!AB224,高値!AA224&gt;高値!AC224),22,""))</f>
      </c>
      <c r="AX224" s="684">
        <f>IF(終値!A224="","",IF(AND(高値!AB224&gt;高値!AA224,高値!AB224&gt;高値!Z224,高値!AB224&gt;高値!AC224,高値!AB224&gt;高値!AD224),23,""))</f>
      </c>
      <c r="AY224" s="684">
        <f>IF(終値!A224="","",IF(AND(高値!AC224&gt;高値!AB224,高値!AC224&gt;高値!AA224,高値!AC224&gt;高値!AD224,高値!AC224&gt;高値!AE224),24,""))</f>
      </c>
      <c r="AZ224" s="684">
        <f>IF(終値!A224="","",IF(AND(高値!AD224&gt;高値!AC224,高値!AD224&gt;高値!AB224,高値!AD224&gt;高値!AE224,高値!AD224&gt;高値!AF224),25,""))</f>
      </c>
      <c r="BA224" s="684">
        <f>IF(終値!A224="","",IF(AND(高値!AE224&gt;高値!AD224,高値!AE224&gt;高値!AC224,高値!AE224&gt;高値!AF224,高値!AE224&gt;高値!AG224),26,""))</f>
      </c>
      <c r="BB224" s="684">
        <f>IF(終値!A224="","",IF(AND(高値!AF224&gt;高値!AE224,高値!AF224&gt;高値!AD224,高値!AF224&gt;高値!AG224,高値!AF224&gt;高値!AH224),27,""))</f>
      </c>
      <c r="BC224" s="684">
        <f>IF(終値!A224="","",IF(AND(高値!AG224&gt;高値!AF224,高値!AG224&gt;高値!AE224,高値!AG224&gt;高値!AH224,高値!AG224&gt;高値!AI224),28,""))</f>
      </c>
      <c r="BD224" s="684">
        <f>COUNT($B224:$AB224)</f>
      </c>
      <c r="BE224" s="684">
        <f>IF($BD224&gt;=2,MIN($B224:$AB224),"")</f>
      </c>
      <c r="BF224" s="684">
        <f>IF($BD224&gt;=2,SMALL($B224:$AB224,2),"")</f>
      </c>
      <c r="BG224" s="684">
        <f>IF($BE224="","",INDEX(安値!$E224:$CZ224,1,$BE224+1))</f>
      </c>
      <c r="BH224" s="684">
        <f>IF($BF224="","",INDEX(安値!$E224:$CZ224,1,$BF224+1))</f>
      </c>
      <c r="BI224" s="684">
        <f>IF($BF224="","",MAX(INDEX(高値!$E224:$CZ224,1,$BE224+1):INDEX(高値!$E224:$CZ224,1,$BF224+1)))</f>
      </c>
      <c r="BJ224" s="684">
        <f>IF($BF224="","",AVERAGE(INDEX(終値!$E224:$CZ224,1,$BF224+1):INDEX(終値!$E224:$CZ224,1,$BF224+20))-2*STDEVP(INDEX(終値!$E224:$CZ224,1,$BF224+1):INDEX(終値!$E224:$CZ224,1,$BF224+20)))</f>
      </c>
      <c r="BK224" s="684">
        <f>IF($BE224="","",AVERAGE(INDEX(終値!$E224:$CZ224,1,$BE224+1):INDEX(終値!$E224:$CZ224,1,$BE224+20))-2*STDEVP(INDEX(終値!$E224:$CZ224,1,$BE224+1):INDEX(終値!$E224:$CZ224,1,$BE224+20)))</f>
      </c>
      <c r="BL224" s="684">
        <f>COUNT($AC224:$BC224)</f>
      </c>
      <c r="BM224" s="684">
        <f>IF($BL224&gt;=2,MIN($AC224:$BC224),"")</f>
      </c>
      <c r="BN224" s="684">
        <f>IF($BL224&gt;=2,SMALL($AC224:$BC224,2),"")</f>
      </c>
      <c r="BO224" s="684">
        <f>IF($BM224="","",INDEX(高値!$E224:$CZ224,1,$BM224+1))</f>
      </c>
      <c r="BP224" s="684">
        <f>IF($BN224="","",INDEX(高値!$E224:$CZ224,1,$BN224+1))</f>
      </c>
      <c r="BQ224" s="684">
        <f>IF($BN224="","",MIN(INDEX(安値!$E224:$CZ224,1,$BM224+1):INDEX(安値!$E224:$CZ224,1,$BN224+1)))</f>
      </c>
      <c r="BR224" s="684">
        <f>IF($BN224="","",AVERAGE(INDEX(終値!$E224:$CZ224,1,$BN224+1):INDEX(終値!$E224:$CZ224,1,$BN224+20))+2*STDEVP(INDEX(終値!$E224:$CZ224,1,$BN224+1):INDEX(終値!$E224:$CZ224,1,$BN224+20)))</f>
      </c>
      <c r="BS224" s="684">
        <f>IF($BM224="","",AVERAGE(INDEX(終値!$E224:$CZ224,1,$BM224+1):INDEX(終値!$E224:$CZ224,1,$BM224+20))+2*STDEVP(INDEX(終値!$E224:$CZ224,1,$BM224+1):INDEX(終値!$E224:$CZ224,1,$BM224+20)))</f>
      </c>
      <c r="BT224" s="681">
        <f>IFERROR(IF(AND($BD224&gt;=2,ABS($BG224-$BH224)/$BH224&lt;=BB設定!$B$12,$BI224&gt;=MAX($BH224,$BG224)*(1+BB設定!$B$13),終値!E224&gt;$BG224),IF(OR(終値!E224&gt;=$BI224,AND($BH224&lt;$BJ224,$BG224&gt;=$BK224)),"二番底W▲","二番底W形成"),IF(AND($BL224&gt;=2,ABS($BO224-$BP224)/$BP224&lt;=BB設定!$B$12,$BQ224&lt;=MIN($BP224,$BO224)*(1-BB設定!$B$13),終値!E224&lt;$BO224),IF(OR(終値!E224&lt;=$BQ224,AND($BP224&gt;$BR224,$BO224&lt;=$BS224)),"二番天井M▼","二番天井M形成"),"－")),"－")</f>
      </c>
    </row>
    <row r="225">
      <c r="B225" s="684">
        <f>IF(終値!A225="","",IF(AND(安値!G225&lt;安値!F225,安値!G225&lt;安値!E225,安値!G225&lt;安値!H225,安値!G225&lt;安値!I225),2,""))</f>
      </c>
      <c r="C225" s="684">
        <f>IF(終値!A225="","",IF(AND(安値!H225&lt;安値!G225,安値!H225&lt;安値!F225,安値!H225&lt;安値!I225,安値!H225&lt;安値!J225),3,""))</f>
      </c>
      <c r="D225" s="684">
        <f>IF(終値!A225="","",IF(AND(安値!I225&lt;安値!H225,安値!I225&lt;安値!G225,安値!I225&lt;安値!J225,安値!I225&lt;安値!K225),4,""))</f>
      </c>
      <c r="E225" s="684">
        <f>IF(終値!A225="","",IF(AND(安値!J225&lt;安値!I225,安値!J225&lt;安値!H225,安値!J225&lt;安値!K225,安値!J225&lt;安値!L225),5,""))</f>
      </c>
      <c r="F225" s="684">
        <f>IF(終値!A225="","",IF(AND(安値!K225&lt;安値!J225,安値!K225&lt;安値!I225,安値!K225&lt;安値!L225,安値!K225&lt;安値!M225),6,""))</f>
      </c>
      <c r="G225" s="684">
        <f>IF(終値!A225="","",IF(AND(安値!L225&lt;安値!K225,安値!L225&lt;安値!J225,安値!L225&lt;安値!M225,安値!L225&lt;安値!N225),7,""))</f>
      </c>
      <c r="H225" s="684">
        <f>IF(終値!A225="","",IF(AND(安値!M225&lt;安値!L225,安値!M225&lt;安値!K225,安値!M225&lt;安値!N225,安値!M225&lt;安値!O225),8,""))</f>
      </c>
      <c r="I225" s="684">
        <f>IF(終値!A225="","",IF(AND(安値!N225&lt;安値!M225,安値!N225&lt;安値!L225,安値!N225&lt;安値!O225,安値!N225&lt;安値!P225),9,""))</f>
      </c>
      <c r="J225" s="684">
        <f>IF(終値!A225="","",IF(AND(安値!O225&lt;安値!N225,安値!O225&lt;安値!M225,安値!O225&lt;安値!P225,安値!O225&lt;安値!Q225),10,""))</f>
      </c>
      <c r="K225" s="684">
        <f>IF(終値!A225="","",IF(AND(安値!P225&lt;安値!O225,安値!P225&lt;安値!N225,安値!P225&lt;安値!Q225,安値!P225&lt;安値!R225),11,""))</f>
      </c>
      <c r="L225" s="684">
        <f>IF(終値!A225="","",IF(AND(安値!Q225&lt;安値!P225,安値!Q225&lt;安値!O225,安値!Q225&lt;安値!R225,安値!Q225&lt;安値!S225),12,""))</f>
      </c>
      <c r="M225" s="684">
        <f>IF(終値!A225="","",IF(AND(安値!R225&lt;安値!Q225,安値!R225&lt;安値!P225,安値!R225&lt;安値!S225,安値!R225&lt;安値!T225),13,""))</f>
      </c>
      <c r="N225" s="684">
        <f>IF(終値!A225="","",IF(AND(安値!S225&lt;安値!R225,安値!S225&lt;安値!Q225,安値!S225&lt;安値!T225,安値!S225&lt;安値!U225),14,""))</f>
      </c>
      <c r="O225" s="684">
        <f>IF(終値!A225="","",IF(AND(安値!T225&lt;安値!S225,安値!T225&lt;安値!R225,安値!T225&lt;安値!U225,安値!T225&lt;安値!V225),15,""))</f>
      </c>
      <c r="P225" s="684">
        <f>IF(終値!A225="","",IF(AND(安値!U225&lt;安値!T225,安値!U225&lt;安値!S225,安値!U225&lt;安値!V225,安値!U225&lt;安値!W225),16,""))</f>
      </c>
      <c r="Q225" s="684">
        <f>IF(終値!A225="","",IF(AND(安値!V225&lt;安値!U225,安値!V225&lt;安値!T225,安値!V225&lt;安値!W225,安値!V225&lt;安値!X225),17,""))</f>
      </c>
      <c r="R225" s="684">
        <f>IF(終値!A225="","",IF(AND(安値!W225&lt;安値!V225,安値!W225&lt;安値!U225,安値!W225&lt;安値!X225,安値!W225&lt;安値!Y225),18,""))</f>
      </c>
      <c r="S225" s="684">
        <f>IF(終値!A225="","",IF(AND(安値!X225&lt;安値!W225,安値!X225&lt;安値!V225,安値!X225&lt;安値!Y225,安値!X225&lt;安値!Z225),19,""))</f>
      </c>
      <c r="T225" s="684">
        <f>IF(終値!A225="","",IF(AND(安値!Y225&lt;安値!X225,安値!Y225&lt;安値!W225,安値!Y225&lt;安値!Z225,安値!Y225&lt;安値!AA225),20,""))</f>
      </c>
      <c r="U225" s="684">
        <f>IF(終値!A225="","",IF(AND(安値!Z225&lt;安値!Y225,安値!Z225&lt;安値!X225,安値!Z225&lt;安値!AA225,安値!Z225&lt;安値!AB225),21,""))</f>
      </c>
      <c r="V225" s="684">
        <f>IF(終値!A225="","",IF(AND(安値!AA225&lt;安値!Z225,安値!AA225&lt;安値!Y225,安値!AA225&lt;安値!AB225,安値!AA225&lt;安値!AC225),22,""))</f>
      </c>
      <c r="W225" s="684">
        <f>IF(終値!A225="","",IF(AND(安値!AB225&lt;安値!AA225,安値!AB225&lt;安値!Z225,安値!AB225&lt;安値!AC225,安値!AB225&lt;安値!AD225),23,""))</f>
      </c>
      <c r="X225" s="684">
        <f>IF(終値!A225="","",IF(AND(安値!AC225&lt;安値!AB225,安値!AC225&lt;安値!AA225,安値!AC225&lt;安値!AD225,安値!AC225&lt;安値!AE225),24,""))</f>
      </c>
      <c r="Y225" s="684">
        <f>IF(終値!A225="","",IF(AND(安値!AD225&lt;安値!AC225,安値!AD225&lt;安値!AB225,安値!AD225&lt;安値!AE225,安値!AD225&lt;安値!AF225),25,""))</f>
      </c>
      <c r="Z225" s="684">
        <f>IF(終値!A225="","",IF(AND(安値!AE225&lt;安値!AD225,安値!AE225&lt;安値!AC225,安値!AE225&lt;安値!AF225,安値!AE225&lt;安値!AG225),26,""))</f>
      </c>
      <c r="AA225" s="684">
        <f>IF(終値!A225="","",IF(AND(安値!AF225&lt;安値!AE225,安値!AF225&lt;安値!AD225,安値!AF225&lt;安値!AG225,安値!AF225&lt;安値!AH225),27,""))</f>
      </c>
      <c r="AB225" s="684">
        <f>IF(終値!A225="","",IF(AND(安値!AG225&lt;安値!AF225,安値!AG225&lt;安値!AE225,安値!AG225&lt;安値!AH225,安値!AG225&lt;安値!AI225),28,""))</f>
      </c>
      <c r="AC225" s="684">
        <f>IF(終値!A225="","",IF(AND(高値!G225&gt;高値!F225,高値!G225&gt;高値!E225,高値!G225&gt;高値!H225,高値!G225&gt;高値!I225),2,""))</f>
      </c>
      <c r="AD225" s="684">
        <f>IF(終値!A225="","",IF(AND(高値!H225&gt;高値!G225,高値!H225&gt;高値!F225,高値!H225&gt;高値!I225,高値!H225&gt;高値!J225),3,""))</f>
      </c>
      <c r="AE225" s="684">
        <f>IF(終値!A225="","",IF(AND(高値!I225&gt;高値!H225,高値!I225&gt;高値!G225,高値!I225&gt;高値!J225,高値!I225&gt;高値!K225),4,""))</f>
      </c>
      <c r="AF225" s="684">
        <f>IF(終値!A225="","",IF(AND(高値!J225&gt;高値!I225,高値!J225&gt;高値!H225,高値!J225&gt;高値!K225,高値!J225&gt;高値!L225),5,""))</f>
      </c>
      <c r="AG225" s="684">
        <f>IF(終値!A225="","",IF(AND(高値!K225&gt;高値!J225,高値!K225&gt;高値!I225,高値!K225&gt;高値!L225,高値!K225&gt;高値!M225),6,""))</f>
      </c>
      <c r="AH225" s="684">
        <f>IF(終値!A225="","",IF(AND(高値!L225&gt;高値!K225,高値!L225&gt;高値!J225,高値!L225&gt;高値!M225,高値!L225&gt;高値!N225),7,""))</f>
      </c>
      <c r="AI225" s="684">
        <f>IF(終値!A225="","",IF(AND(高値!M225&gt;高値!L225,高値!M225&gt;高値!K225,高値!M225&gt;高値!N225,高値!M225&gt;高値!O225),8,""))</f>
      </c>
      <c r="AJ225" s="684">
        <f>IF(終値!A225="","",IF(AND(高値!N225&gt;高値!M225,高値!N225&gt;高値!L225,高値!N225&gt;高値!O225,高値!N225&gt;高値!P225),9,""))</f>
      </c>
      <c r="AK225" s="684">
        <f>IF(終値!A225="","",IF(AND(高値!O225&gt;高値!N225,高値!O225&gt;高値!M225,高値!O225&gt;高値!P225,高値!O225&gt;高値!Q225),10,""))</f>
      </c>
      <c r="AL225" s="684">
        <f>IF(終値!A225="","",IF(AND(高値!P225&gt;高値!O225,高値!P225&gt;高値!N225,高値!P225&gt;高値!Q225,高値!P225&gt;高値!R225),11,""))</f>
      </c>
      <c r="AM225" s="684">
        <f>IF(終値!A225="","",IF(AND(高値!Q225&gt;高値!P225,高値!Q225&gt;高値!O225,高値!Q225&gt;高値!R225,高値!Q225&gt;高値!S225),12,""))</f>
      </c>
      <c r="AN225" s="684">
        <f>IF(終値!A225="","",IF(AND(高値!R225&gt;高値!Q225,高値!R225&gt;高値!P225,高値!R225&gt;高値!S225,高値!R225&gt;高値!T225),13,""))</f>
      </c>
      <c r="AO225" s="684">
        <f>IF(終値!A225="","",IF(AND(高値!S225&gt;高値!R225,高値!S225&gt;高値!Q225,高値!S225&gt;高値!T225,高値!S225&gt;高値!U225),14,""))</f>
      </c>
      <c r="AP225" s="684">
        <f>IF(終値!A225="","",IF(AND(高値!T225&gt;高値!S225,高値!T225&gt;高値!R225,高値!T225&gt;高値!U225,高値!T225&gt;高値!V225),15,""))</f>
      </c>
      <c r="AQ225" s="684">
        <f>IF(終値!A225="","",IF(AND(高値!U225&gt;高値!T225,高値!U225&gt;高値!S225,高値!U225&gt;高値!V225,高値!U225&gt;高値!W225),16,""))</f>
      </c>
      <c r="AR225" s="684">
        <f>IF(終値!A225="","",IF(AND(高値!V225&gt;高値!U225,高値!V225&gt;高値!T225,高値!V225&gt;高値!W225,高値!V225&gt;高値!X225),17,""))</f>
      </c>
      <c r="AS225" s="684">
        <f>IF(終値!A225="","",IF(AND(高値!W225&gt;高値!V225,高値!W225&gt;高値!U225,高値!W225&gt;高値!X225,高値!W225&gt;高値!Y225),18,""))</f>
      </c>
      <c r="AT225" s="684">
        <f>IF(終値!A225="","",IF(AND(高値!X225&gt;高値!W225,高値!X225&gt;高値!V225,高値!X225&gt;高値!Y225,高値!X225&gt;高値!Z225),19,""))</f>
      </c>
      <c r="AU225" s="684">
        <f>IF(終値!A225="","",IF(AND(高値!Y225&gt;高値!X225,高値!Y225&gt;高値!W225,高値!Y225&gt;高値!Z225,高値!Y225&gt;高値!AA225),20,""))</f>
      </c>
      <c r="AV225" s="684">
        <f>IF(終値!A225="","",IF(AND(高値!Z225&gt;高値!Y225,高値!Z225&gt;高値!X225,高値!Z225&gt;高値!AA225,高値!Z225&gt;高値!AB225),21,""))</f>
      </c>
      <c r="AW225" s="684">
        <f>IF(終値!A225="","",IF(AND(高値!AA225&gt;高値!Z225,高値!AA225&gt;高値!Y225,高値!AA225&gt;高値!AB225,高値!AA225&gt;高値!AC225),22,""))</f>
      </c>
      <c r="AX225" s="684">
        <f>IF(終値!A225="","",IF(AND(高値!AB225&gt;高値!AA225,高値!AB225&gt;高値!Z225,高値!AB225&gt;高値!AC225,高値!AB225&gt;高値!AD225),23,""))</f>
      </c>
      <c r="AY225" s="684">
        <f>IF(終値!A225="","",IF(AND(高値!AC225&gt;高値!AB225,高値!AC225&gt;高値!AA225,高値!AC225&gt;高値!AD225,高値!AC225&gt;高値!AE225),24,""))</f>
      </c>
      <c r="AZ225" s="684">
        <f>IF(終値!A225="","",IF(AND(高値!AD225&gt;高値!AC225,高値!AD225&gt;高値!AB225,高値!AD225&gt;高値!AE225,高値!AD225&gt;高値!AF225),25,""))</f>
      </c>
      <c r="BA225" s="684">
        <f>IF(終値!A225="","",IF(AND(高値!AE225&gt;高値!AD225,高値!AE225&gt;高値!AC225,高値!AE225&gt;高値!AF225,高値!AE225&gt;高値!AG225),26,""))</f>
      </c>
      <c r="BB225" s="684">
        <f>IF(終値!A225="","",IF(AND(高値!AF225&gt;高値!AE225,高値!AF225&gt;高値!AD225,高値!AF225&gt;高値!AG225,高値!AF225&gt;高値!AH225),27,""))</f>
      </c>
      <c r="BC225" s="684">
        <f>IF(終値!A225="","",IF(AND(高値!AG225&gt;高値!AF225,高値!AG225&gt;高値!AE225,高値!AG225&gt;高値!AH225,高値!AG225&gt;高値!AI225),28,""))</f>
      </c>
      <c r="BD225" s="684">
        <f>COUNT($B225:$AB225)</f>
      </c>
      <c r="BE225" s="684">
        <f>IF($BD225&gt;=2,MIN($B225:$AB225),"")</f>
      </c>
      <c r="BF225" s="684">
        <f>IF($BD225&gt;=2,SMALL($B225:$AB225,2),"")</f>
      </c>
      <c r="BG225" s="684">
        <f>IF($BE225="","",INDEX(安値!$E225:$CZ225,1,$BE225+1))</f>
      </c>
      <c r="BH225" s="684">
        <f>IF($BF225="","",INDEX(安値!$E225:$CZ225,1,$BF225+1))</f>
      </c>
      <c r="BI225" s="684">
        <f>IF($BF225="","",MAX(INDEX(高値!$E225:$CZ225,1,$BE225+1):INDEX(高値!$E225:$CZ225,1,$BF225+1)))</f>
      </c>
      <c r="BJ225" s="684">
        <f>IF($BF225="","",AVERAGE(INDEX(終値!$E225:$CZ225,1,$BF225+1):INDEX(終値!$E225:$CZ225,1,$BF225+20))-2*STDEVP(INDEX(終値!$E225:$CZ225,1,$BF225+1):INDEX(終値!$E225:$CZ225,1,$BF225+20)))</f>
      </c>
      <c r="BK225" s="684">
        <f>IF($BE225="","",AVERAGE(INDEX(終値!$E225:$CZ225,1,$BE225+1):INDEX(終値!$E225:$CZ225,1,$BE225+20))-2*STDEVP(INDEX(終値!$E225:$CZ225,1,$BE225+1):INDEX(終値!$E225:$CZ225,1,$BE225+20)))</f>
      </c>
      <c r="BL225" s="684">
        <f>COUNT($AC225:$BC225)</f>
      </c>
      <c r="BM225" s="684">
        <f>IF($BL225&gt;=2,MIN($AC225:$BC225),"")</f>
      </c>
      <c r="BN225" s="684">
        <f>IF($BL225&gt;=2,SMALL($AC225:$BC225,2),"")</f>
      </c>
      <c r="BO225" s="684">
        <f>IF($BM225="","",INDEX(高値!$E225:$CZ225,1,$BM225+1))</f>
      </c>
      <c r="BP225" s="684">
        <f>IF($BN225="","",INDEX(高値!$E225:$CZ225,1,$BN225+1))</f>
      </c>
      <c r="BQ225" s="684">
        <f>IF($BN225="","",MIN(INDEX(安値!$E225:$CZ225,1,$BM225+1):INDEX(安値!$E225:$CZ225,1,$BN225+1)))</f>
      </c>
      <c r="BR225" s="684">
        <f>IF($BN225="","",AVERAGE(INDEX(終値!$E225:$CZ225,1,$BN225+1):INDEX(終値!$E225:$CZ225,1,$BN225+20))+2*STDEVP(INDEX(終値!$E225:$CZ225,1,$BN225+1):INDEX(終値!$E225:$CZ225,1,$BN225+20)))</f>
      </c>
      <c r="BS225" s="684">
        <f>IF($BM225="","",AVERAGE(INDEX(終値!$E225:$CZ225,1,$BM225+1):INDEX(終値!$E225:$CZ225,1,$BM225+20))+2*STDEVP(INDEX(終値!$E225:$CZ225,1,$BM225+1):INDEX(終値!$E225:$CZ225,1,$BM225+20)))</f>
      </c>
      <c r="BT225" s="681">
        <f>IFERROR(IF(AND($BD225&gt;=2,ABS($BG225-$BH225)/$BH225&lt;=BB設定!$B$12,$BI225&gt;=MAX($BH225,$BG225)*(1+BB設定!$B$13),終値!E225&gt;$BG225),IF(OR(終値!E225&gt;=$BI225,AND($BH225&lt;$BJ225,$BG225&gt;=$BK225)),"二番底W▲","二番底W形成"),IF(AND($BL225&gt;=2,ABS($BO225-$BP225)/$BP225&lt;=BB設定!$B$12,$BQ225&lt;=MIN($BP225,$BO225)*(1-BB設定!$B$13),終値!E225&lt;$BO225),IF(OR(終値!E225&lt;=$BQ225,AND($BP225&gt;$BR225,$BO225&lt;=$BS225)),"二番天井M▼","二番天井M形成"),"－")),"－")</f>
      </c>
    </row>
    <row r="226">
      <c r="B226" s="684">
        <f>IF(終値!A226="","",IF(AND(安値!G226&lt;安値!F226,安値!G226&lt;安値!E226,安値!G226&lt;安値!H226,安値!G226&lt;安値!I226),2,""))</f>
      </c>
      <c r="C226" s="684">
        <f>IF(終値!A226="","",IF(AND(安値!H226&lt;安値!G226,安値!H226&lt;安値!F226,安値!H226&lt;安値!I226,安値!H226&lt;安値!J226),3,""))</f>
      </c>
      <c r="D226" s="684">
        <f>IF(終値!A226="","",IF(AND(安値!I226&lt;安値!H226,安値!I226&lt;安値!G226,安値!I226&lt;安値!J226,安値!I226&lt;安値!K226),4,""))</f>
      </c>
      <c r="E226" s="684">
        <f>IF(終値!A226="","",IF(AND(安値!J226&lt;安値!I226,安値!J226&lt;安値!H226,安値!J226&lt;安値!K226,安値!J226&lt;安値!L226),5,""))</f>
      </c>
      <c r="F226" s="684">
        <f>IF(終値!A226="","",IF(AND(安値!K226&lt;安値!J226,安値!K226&lt;安値!I226,安値!K226&lt;安値!L226,安値!K226&lt;安値!M226),6,""))</f>
      </c>
      <c r="G226" s="684">
        <f>IF(終値!A226="","",IF(AND(安値!L226&lt;安値!K226,安値!L226&lt;安値!J226,安値!L226&lt;安値!M226,安値!L226&lt;安値!N226),7,""))</f>
      </c>
      <c r="H226" s="684">
        <f>IF(終値!A226="","",IF(AND(安値!M226&lt;安値!L226,安値!M226&lt;安値!K226,安値!M226&lt;安値!N226,安値!M226&lt;安値!O226),8,""))</f>
      </c>
      <c r="I226" s="684">
        <f>IF(終値!A226="","",IF(AND(安値!N226&lt;安値!M226,安値!N226&lt;安値!L226,安値!N226&lt;安値!O226,安値!N226&lt;安値!P226),9,""))</f>
      </c>
      <c r="J226" s="684">
        <f>IF(終値!A226="","",IF(AND(安値!O226&lt;安値!N226,安値!O226&lt;安値!M226,安値!O226&lt;安値!P226,安値!O226&lt;安値!Q226),10,""))</f>
      </c>
      <c r="K226" s="684">
        <f>IF(終値!A226="","",IF(AND(安値!P226&lt;安値!O226,安値!P226&lt;安値!N226,安値!P226&lt;安値!Q226,安値!P226&lt;安値!R226),11,""))</f>
      </c>
      <c r="L226" s="684">
        <f>IF(終値!A226="","",IF(AND(安値!Q226&lt;安値!P226,安値!Q226&lt;安値!O226,安値!Q226&lt;安値!R226,安値!Q226&lt;安値!S226),12,""))</f>
      </c>
      <c r="M226" s="684">
        <f>IF(終値!A226="","",IF(AND(安値!R226&lt;安値!Q226,安値!R226&lt;安値!P226,安値!R226&lt;安値!S226,安値!R226&lt;安値!T226),13,""))</f>
      </c>
      <c r="N226" s="684">
        <f>IF(終値!A226="","",IF(AND(安値!S226&lt;安値!R226,安値!S226&lt;安値!Q226,安値!S226&lt;安値!T226,安値!S226&lt;安値!U226),14,""))</f>
      </c>
      <c r="O226" s="684">
        <f>IF(終値!A226="","",IF(AND(安値!T226&lt;安値!S226,安値!T226&lt;安値!R226,安値!T226&lt;安値!U226,安値!T226&lt;安値!V226),15,""))</f>
      </c>
      <c r="P226" s="684">
        <f>IF(終値!A226="","",IF(AND(安値!U226&lt;安値!T226,安値!U226&lt;安値!S226,安値!U226&lt;安値!V226,安値!U226&lt;安値!W226),16,""))</f>
      </c>
      <c r="Q226" s="684">
        <f>IF(終値!A226="","",IF(AND(安値!V226&lt;安値!U226,安値!V226&lt;安値!T226,安値!V226&lt;安値!W226,安値!V226&lt;安値!X226),17,""))</f>
      </c>
      <c r="R226" s="684">
        <f>IF(終値!A226="","",IF(AND(安値!W226&lt;安値!V226,安値!W226&lt;安値!U226,安値!W226&lt;安値!X226,安値!W226&lt;安値!Y226),18,""))</f>
      </c>
      <c r="S226" s="684">
        <f>IF(終値!A226="","",IF(AND(安値!X226&lt;安値!W226,安値!X226&lt;安値!V226,安値!X226&lt;安値!Y226,安値!X226&lt;安値!Z226),19,""))</f>
      </c>
      <c r="T226" s="684">
        <f>IF(終値!A226="","",IF(AND(安値!Y226&lt;安値!X226,安値!Y226&lt;安値!W226,安値!Y226&lt;安値!Z226,安値!Y226&lt;安値!AA226),20,""))</f>
      </c>
      <c r="U226" s="684">
        <f>IF(終値!A226="","",IF(AND(安値!Z226&lt;安値!Y226,安値!Z226&lt;安値!X226,安値!Z226&lt;安値!AA226,安値!Z226&lt;安値!AB226),21,""))</f>
      </c>
      <c r="V226" s="684">
        <f>IF(終値!A226="","",IF(AND(安値!AA226&lt;安値!Z226,安値!AA226&lt;安値!Y226,安値!AA226&lt;安値!AB226,安値!AA226&lt;安値!AC226),22,""))</f>
      </c>
      <c r="W226" s="684">
        <f>IF(終値!A226="","",IF(AND(安値!AB226&lt;安値!AA226,安値!AB226&lt;安値!Z226,安値!AB226&lt;安値!AC226,安値!AB226&lt;安値!AD226),23,""))</f>
      </c>
      <c r="X226" s="684">
        <f>IF(終値!A226="","",IF(AND(安値!AC226&lt;安値!AB226,安値!AC226&lt;安値!AA226,安値!AC226&lt;安値!AD226,安値!AC226&lt;安値!AE226),24,""))</f>
      </c>
      <c r="Y226" s="684">
        <f>IF(終値!A226="","",IF(AND(安値!AD226&lt;安値!AC226,安値!AD226&lt;安値!AB226,安値!AD226&lt;安値!AE226,安値!AD226&lt;安値!AF226),25,""))</f>
      </c>
      <c r="Z226" s="684">
        <f>IF(終値!A226="","",IF(AND(安値!AE226&lt;安値!AD226,安値!AE226&lt;安値!AC226,安値!AE226&lt;安値!AF226,安値!AE226&lt;安値!AG226),26,""))</f>
      </c>
      <c r="AA226" s="684">
        <f>IF(終値!A226="","",IF(AND(安値!AF226&lt;安値!AE226,安値!AF226&lt;安値!AD226,安値!AF226&lt;安値!AG226,安値!AF226&lt;安値!AH226),27,""))</f>
      </c>
      <c r="AB226" s="684">
        <f>IF(終値!A226="","",IF(AND(安値!AG226&lt;安値!AF226,安値!AG226&lt;安値!AE226,安値!AG226&lt;安値!AH226,安値!AG226&lt;安値!AI226),28,""))</f>
      </c>
      <c r="AC226" s="684">
        <f>IF(終値!A226="","",IF(AND(高値!G226&gt;高値!F226,高値!G226&gt;高値!E226,高値!G226&gt;高値!H226,高値!G226&gt;高値!I226),2,""))</f>
      </c>
      <c r="AD226" s="684">
        <f>IF(終値!A226="","",IF(AND(高値!H226&gt;高値!G226,高値!H226&gt;高値!F226,高値!H226&gt;高値!I226,高値!H226&gt;高値!J226),3,""))</f>
      </c>
      <c r="AE226" s="684">
        <f>IF(終値!A226="","",IF(AND(高値!I226&gt;高値!H226,高値!I226&gt;高値!G226,高値!I226&gt;高値!J226,高値!I226&gt;高値!K226),4,""))</f>
      </c>
      <c r="AF226" s="684">
        <f>IF(終値!A226="","",IF(AND(高値!J226&gt;高値!I226,高値!J226&gt;高値!H226,高値!J226&gt;高値!K226,高値!J226&gt;高値!L226),5,""))</f>
      </c>
      <c r="AG226" s="684">
        <f>IF(終値!A226="","",IF(AND(高値!K226&gt;高値!J226,高値!K226&gt;高値!I226,高値!K226&gt;高値!L226,高値!K226&gt;高値!M226),6,""))</f>
      </c>
      <c r="AH226" s="684">
        <f>IF(終値!A226="","",IF(AND(高値!L226&gt;高値!K226,高値!L226&gt;高値!J226,高値!L226&gt;高値!M226,高値!L226&gt;高値!N226),7,""))</f>
      </c>
      <c r="AI226" s="684">
        <f>IF(終値!A226="","",IF(AND(高値!M226&gt;高値!L226,高値!M226&gt;高値!K226,高値!M226&gt;高値!N226,高値!M226&gt;高値!O226),8,""))</f>
      </c>
      <c r="AJ226" s="684">
        <f>IF(終値!A226="","",IF(AND(高値!N226&gt;高値!M226,高値!N226&gt;高値!L226,高値!N226&gt;高値!O226,高値!N226&gt;高値!P226),9,""))</f>
      </c>
      <c r="AK226" s="684">
        <f>IF(終値!A226="","",IF(AND(高値!O226&gt;高値!N226,高値!O226&gt;高値!M226,高値!O226&gt;高値!P226,高値!O226&gt;高値!Q226),10,""))</f>
      </c>
      <c r="AL226" s="684">
        <f>IF(終値!A226="","",IF(AND(高値!P226&gt;高値!O226,高値!P226&gt;高値!N226,高値!P226&gt;高値!Q226,高値!P226&gt;高値!R226),11,""))</f>
      </c>
      <c r="AM226" s="684">
        <f>IF(終値!A226="","",IF(AND(高値!Q226&gt;高値!P226,高値!Q226&gt;高値!O226,高値!Q226&gt;高値!R226,高値!Q226&gt;高値!S226),12,""))</f>
      </c>
      <c r="AN226" s="684">
        <f>IF(終値!A226="","",IF(AND(高値!R226&gt;高値!Q226,高値!R226&gt;高値!P226,高値!R226&gt;高値!S226,高値!R226&gt;高値!T226),13,""))</f>
      </c>
      <c r="AO226" s="684">
        <f>IF(終値!A226="","",IF(AND(高値!S226&gt;高値!R226,高値!S226&gt;高値!Q226,高値!S226&gt;高値!T226,高値!S226&gt;高値!U226),14,""))</f>
      </c>
      <c r="AP226" s="684">
        <f>IF(終値!A226="","",IF(AND(高値!T226&gt;高値!S226,高値!T226&gt;高値!R226,高値!T226&gt;高値!U226,高値!T226&gt;高値!V226),15,""))</f>
      </c>
      <c r="AQ226" s="684">
        <f>IF(終値!A226="","",IF(AND(高値!U226&gt;高値!T226,高値!U226&gt;高値!S226,高値!U226&gt;高値!V226,高値!U226&gt;高値!W226),16,""))</f>
      </c>
      <c r="AR226" s="684">
        <f>IF(終値!A226="","",IF(AND(高値!V226&gt;高値!U226,高値!V226&gt;高値!T226,高値!V226&gt;高値!W226,高値!V226&gt;高値!X226),17,""))</f>
      </c>
      <c r="AS226" s="684">
        <f>IF(終値!A226="","",IF(AND(高値!W226&gt;高値!V226,高値!W226&gt;高値!U226,高値!W226&gt;高値!X226,高値!W226&gt;高値!Y226),18,""))</f>
      </c>
      <c r="AT226" s="684">
        <f>IF(終値!A226="","",IF(AND(高値!X226&gt;高値!W226,高値!X226&gt;高値!V226,高値!X226&gt;高値!Y226,高値!X226&gt;高値!Z226),19,""))</f>
      </c>
      <c r="AU226" s="684">
        <f>IF(終値!A226="","",IF(AND(高値!Y226&gt;高値!X226,高値!Y226&gt;高値!W226,高値!Y226&gt;高値!Z226,高値!Y226&gt;高値!AA226),20,""))</f>
      </c>
      <c r="AV226" s="684">
        <f>IF(終値!A226="","",IF(AND(高値!Z226&gt;高値!Y226,高値!Z226&gt;高値!X226,高値!Z226&gt;高値!AA226,高値!Z226&gt;高値!AB226),21,""))</f>
      </c>
      <c r="AW226" s="684">
        <f>IF(終値!A226="","",IF(AND(高値!AA226&gt;高値!Z226,高値!AA226&gt;高値!Y226,高値!AA226&gt;高値!AB226,高値!AA226&gt;高値!AC226),22,""))</f>
      </c>
      <c r="AX226" s="684">
        <f>IF(終値!A226="","",IF(AND(高値!AB226&gt;高値!AA226,高値!AB226&gt;高値!Z226,高値!AB226&gt;高値!AC226,高値!AB226&gt;高値!AD226),23,""))</f>
      </c>
      <c r="AY226" s="684">
        <f>IF(終値!A226="","",IF(AND(高値!AC226&gt;高値!AB226,高値!AC226&gt;高値!AA226,高値!AC226&gt;高値!AD226,高値!AC226&gt;高値!AE226),24,""))</f>
      </c>
      <c r="AZ226" s="684">
        <f>IF(終値!A226="","",IF(AND(高値!AD226&gt;高値!AC226,高値!AD226&gt;高値!AB226,高値!AD226&gt;高値!AE226,高値!AD226&gt;高値!AF226),25,""))</f>
      </c>
      <c r="BA226" s="684">
        <f>IF(終値!A226="","",IF(AND(高値!AE226&gt;高値!AD226,高値!AE226&gt;高値!AC226,高値!AE226&gt;高値!AF226,高値!AE226&gt;高値!AG226),26,""))</f>
      </c>
      <c r="BB226" s="684">
        <f>IF(終値!A226="","",IF(AND(高値!AF226&gt;高値!AE226,高値!AF226&gt;高値!AD226,高値!AF226&gt;高値!AG226,高値!AF226&gt;高値!AH226),27,""))</f>
      </c>
      <c r="BC226" s="684">
        <f>IF(終値!A226="","",IF(AND(高値!AG226&gt;高値!AF226,高値!AG226&gt;高値!AE226,高値!AG226&gt;高値!AH226,高値!AG226&gt;高値!AI226),28,""))</f>
      </c>
      <c r="BD226" s="684">
        <f>COUNT($B226:$AB226)</f>
      </c>
      <c r="BE226" s="684">
        <f>IF($BD226&gt;=2,MIN($B226:$AB226),"")</f>
      </c>
      <c r="BF226" s="684">
        <f>IF($BD226&gt;=2,SMALL($B226:$AB226,2),"")</f>
      </c>
      <c r="BG226" s="684">
        <f>IF($BE226="","",INDEX(安値!$E226:$CZ226,1,$BE226+1))</f>
      </c>
      <c r="BH226" s="684">
        <f>IF($BF226="","",INDEX(安値!$E226:$CZ226,1,$BF226+1))</f>
      </c>
      <c r="BI226" s="684">
        <f>IF($BF226="","",MAX(INDEX(高値!$E226:$CZ226,1,$BE226+1):INDEX(高値!$E226:$CZ226,1,$BF226+1)))</f>
      </c>
      <c r="BJ226" s="684">
        <f>IF($BF226="","",AVERAGE(INDEX(終値!$E226:$CZ226,1,$BF226+1):INDEX(終値!$E226:$CZ226,1,$BF226+20))-2*STDEVP(INDEX(終値!$E226:$CZ226,1,$BF226+1):INDEX(終値!$E226:$CZ226,1,$BF226+20)))</f>
      </c>
      <c r="BK226" s="684">
        <f>IF($BE226="","",AVERAGE(INDEX(終値!$E226:$CZ226,1,$BE226+1):INDEX(終値!$E226:$CZ226,1,$BE226+20))-2*STDEVP(INDEX(終値!$E226:$CZ226,1,$BE226+1):INDEX(終値!$E226:$CZ226,1,$BE226+20)))</f>
      </c>
      <c r="BL226" s="684">
        <f>COUNT($AC226:$BC226)</f>
      </c>
      <c r="BM226" s="684">
        <f>IF($BL226&gt;=2,MIN($AC226:$BC226),"")</f>
      </c>
      <c r="BN226" s="684">
        <f>IF($BL226&gt;=2,SMALL($AC226:$BC226,2),"")</f>
      </c>
      <c r="BO226" s="684">
        <f>IF($BM226="","",INDEX(高値!$E226:$CZ226,1,$BM226+1))</f>
      </c>
      <c r="BP226" s="684">
        <f>IF($BN226="","",INDEX(高値!$E226:$CZ226,1,$BN226+1))</f>
      </c>
      <c r="BQ226" s="684">
        <f>IF($BN226="","",MIN(INDEX(安値!$E226:$CZ226,1,$BM226+1):INDEX(安値!$E226:$CZ226,1,$BN226+1)))</f>
      </c>
      <c r="BR226" s="684">
        <f>IF($BN226="","",AVERAGE(INDEX(終値!$E226:$CZ226,1,$BN226+1):INDEX(終値!$E226:$CZ226,1,$BN226+20))+2*STDEVP(INDEX(終値!$E226:$CZ226,1,$BN226+1):INDEX(終値!$E226:$CZ226,1,$BN226+20)))</f>
      </c>
      <c r="BS226" s="684">
        <f>IF($BM226="","",AVERAGE(INDEX(終値!$E226:$CZ226,1,$BM226+1):INDEX(終値!$E226:$CZ226,1,$BM226+20))+2*STDEVP(INDEX(終値!$E226:$CZ226,1,$BM226+1):INDEX(終値!$E226:$CZ226,1,$BM226+20)))</f>
      </c>
      <c r="BT226" s="681">
        <f>IFERROR(IF(AND($BD226&gt;=2,ABS($BG226-$BH226)/$BH226&lt;=BB設定!$B$12,$BI226&gt;=MAX($BH226,$BG226)*(1+BB設定!$B$13),終値!E226&gt;$BG226),IF(OR(終値!E226&gt;=$BI226,AND($BH226&lt;$BJ226,$BG226&gt;=$BK226)),"二番底W▲","二番底W形成"),IF(AND($BL226&gt;=2,ABS($BO226-$BP226)/$BP226&lt;=BB設定!$B$12,$BQ226&lt;=MIN($BP226,$BO226)*(1-BB設定!$B$13),終値!E226&lt;$BO226),IF(OR(終値!E226&lt;=$BQ226,AND($BP226&gt;$BR226,$BO226&lt;=$BS226)),"二番天井M▼","二番天井M形成"),"－")),"－")</f>
      </c>
    </row>
    <row r="227">
      <c r="B227" s="684">
        <f>IF(終値!A227="","",IF(AND(安値!G227&lt;安値!F227,安値!G227&lt;安値!E227,安値!G227&lt;安値!H227,安値!G227&lt;安値!I227),2,""))</f>
      </c>
      <c r="C227" s="684">
        <f>IF(終値!A227="","",IF(AND(安値!H227&lt;安値!G227,安値!H227&lt;安値!F227,安値!H227&lt;安値!I227,安値!H227&lt;安値!J227),3,""))</f>
      </c>
      <c r="D227" s="684">
        <f>IF(終値!A227="","",IF(AND(安値!I227&lt;安値!H227,安値!I227&lt;安値!G227,安値!I227&lt;安値!J227,安値!I227&lt;安値!K227),4,""))</f>
      </c>
      <c r="E227" s="684">
        <f>IF(終値!A227="","",IF(AND(安値!J227&lt;安値!I227,安値!J227&lt;安値!H227,安値!J227&lt;安値!K227,安値!J227&lt;安値!L227),5,""))</f>
      </c>
      <c r="F227" s="684">
        <f>IF(終値!A227="","",IF(AND(安値!K227&lt;安値!J227,安値!K227&lt;安値!I227,安値!K227&lt;安値!L227,安値!K227&lt;安値!M227),6,""))</f>
      </c>
      <c r="G227" s="684">
        <f>IF(終値!A227="","",IF(AND(安値!L227&lt;安値!K227,安値!L227&lt;安値!J227,安値!L227&lt;安値!M227,安値!L227&lt;安値!N227),7,""))</f>
      </c>
      <c r="H227" s="684">
        <f>IF(終値!A227="","",IF(AND(安値!M227&lt;安値!L227,安値!M227&lt;安値!K227,安値!M227&lt;安値!N227,安値!M227&lt;安値!O227),8,""))</f>
      </c>
      <c r="I227" s="684">
        <f>IF(終値!A227="","",IF(AND(安値!N227&lt;安値!M227,安値!N227&lt;安値!L227,安値!N227&lt;安値!O227,安値!N227&lt;安値!P227),9,""))</f>
      </c>
      <c r="J227" s="684">
        <f>IF(終値!A227="","",IF(AND(安値!O227&lt;安値!N227,安値!O227&lt;安値!M227,安値!O227&lt;安値!P227,安値!O227&lt;安値!Q227),10,""))</f>
      </c>
      <c r="K227" s="684">
        <f>IF(終値!A227="","",IF(AND(安値!P227&lt;安値!O227,安値!P227&lt;安値!N227,安値!P227&lt;安値!Q227,安値!P227&lt;安値!R227),11,""))</f>
      </c>
      <c r="L227" s="684">
        <f>IF(終値!A227="","",IF(AND(安値!Q227&lt;安値!P227,安値!Q227&lt;安値!O227,安値!Q227&lt;安値!R227,安値!Q227&lt;安値!S227),12,""))</f>
      </c>
      <c r="M227" s="684">
        <f>IF(終値!A227="","",IF(AND(安値!R227&lt;安値!Q227,安値!R227&lt;安値!P227,安値!R227&lt;安値!S227,安値!R227&lt;安値!T227),13,""))</f>
      </c>
      <c r="N227" s="684">
        <f>IF(終値!A227="","",IF(AND(安値!S227&lt;安値!R227,安値!S227&lt;安値!Q227,安値!S227&lt;安値!T227,安値!S227&lt;安値!U227),14,""))</f>
      </c>
      <c r="O227" s="684">
        <f>IF(終値!A227="","",IF(AND(安値!T227&lt;安値!S227,安値!T227&lt;安値!R227,安値!T227&lt;安値!U227,安値!T227&lt;安値!V227),15,""))</f>
      </c>
      <c r="P227" s="684">
        <f>IF(終値!A227="","",IF(AND(安値!U227&lt;安値!T227,安値!U227&lt;安値!S227,安値!U227&lt;安値!V227,安値!U227&lt;安値!W227),16,""))</f>
      </c>
      <c r="Q227" s="684">
        <f>IF(終値!A227="","",IF(AND(安値!V227&lt;安値!U227,安値!V227&lt;安値!T227,安値!V227&lt;安値!W227,安値!V227&lt;安値!X227),17,""))</f>
      </c>
      <c r="R227" s="684">
        <f>IF(終値!A227="","",IF(AND(安値!W227&lt;安値!V227,安値!W227&lt;安値!U227,安値!W227&lt;安値!X227,安値!W227&lt;安値!Y227),18,""))</f>
      </c>
      <c r="S227" s="684">
        <f>IF(終値!A227="","",IF(AND(安値!X227&lt;安値!W227,安値!X227&lt;安値!V227,安値!X227&lt;安値!Y227,安値!X227&lt;安値!Z227),19,""))</f>
      </c>
      <c r="T227" s="684">
        <f>IF(終値!A227="","",IF(AND(安値!Y227&lt;安値!X227,安値!Y227&lt;安値!W227,安値!Y227&lt;安値!Z227,安値!Y227&lt;安値!AA227),20,""))</f>
      </c>
      <c r="U227" s="684">
        <f>IF(終値!A227="","",IF(AND(安値!Z227&lt;安値!Y227,安値!Z227&lt;安値!X227,安値!Z227&lt;安値!AA227,安値!Z227&lt;安値!AB227),21,""))</f>
      </c>
      <c r="V227" s="684">
        <f>IF(終値!A227="","",IF(AND(安値!AA227&lt;安値!Z227,安値!AA227&lt;安値!Y227,安値!AA227&lt;安値!AB227,安値!AA227&lt;安値!AC227),22,""))</f>
      </c>
      <c r="W227" s="684">
        <f>IF(終値!A227="","",IF(AND(安値!AB227&lt;安値!AA227,安値!AB227&lt;安値!Z227,安値!AB227&lt;安値!AC227,安値!AB227&lt;安値!AD227),23,""))</f>
      </c>
      <c r="X227" s="684">
        <f>IF(終値!A227="","",IF(AND(安値!AC227&lt;安値!AB227,安値!AC227&lt;安値!AA227,安値!AC227&lt;安値!AD227,安値!AC227&lt;安値!AE227),24,""))</f>
      </c>
      <c r="Y227" s="684">
        <f>IF(終値!A227="","",IF(AND(安値!AD227&lt;安値!AC227,安値!AD227&lt;安値!AB227,安値!AD227&lt;安値!AE227,安値!AD227&lt;安値!AF227),25,""))</f>
      </c>
      <c r="Z227" s="684">
        <f>IF(終値!A227="","",IF(AND(安値!AE227&lt;安値!AD227,安値!AE227&lt;安値!AC227,安値!AE227&lt;安値!AF227,安値!AE227&lt;安値!AG227),26,""))</f>
      </c>
      <c r="AA227" s="684">
        <f>IF(終値!A227="","",IF(AND(安値!AF227&lt;安値!AE227,安値!AF227&lt;安値!AD227,安値!AF227&lt;安値!AG227,安値!AF227&lt;安値!AH227),27,""))</f>
      </c>
      <c r="AB227" s="684">
        <f>IF(終値!A227="","",IF(AND(安値!AG227&lt;安値!AF227,安値!AG227&lt;安値!AE227,安値!AG227&lt;安値!AH227,安値!AG227&lt;安値!AI227),28,""))</f>
      </c>
      <c r="AC227" s="684">
        <f>IF(終値!A227="","",IF(AND(高値!G227&gt;高値!F227,高値!G227&gt;高値!E227,高値!G227&gt;高値!H227,高値!G227&gt;高値!I227),2,""))</f>
      </c>
      <c r="AD227" s="684">
        <f>IF(終値!A227="","",IF(AND(高値!H227&gt;高値!G227,高値!H227&gt;高値!F227,高値!H227&gt;高値!I227,高値!H227&gt;高値!J227),3,""))</f>
      </c>
      <c r="AE227" s="684">
        <f>IF(終値!A227="","",IF(AND(高値!I227&gt;高値!H227,高値!I227&gt;高値!G227,高値!I227&gt;高値!J227,高値!I227&gt;高値!K227),4,""))</f>
      </c>
      <c r="AF227" s="684">
        <f>IF(終値!A227="","",IF(AND(高値!J227&gt;高値!I227,高値!J227&gt;高値!H227,高値!J227&gt;高値!K227,高値!J227&gt;高値!L227),5,""))</f>
      </c>
      <c r="AG227" s="684">
        <f>IF(終値!A227="","",IF(AND(高値!K227&gt;高値!J227,高値!K227&gt;高値!I227,高値!K227&gt;高値!L227,高値!K227&gt;高値!M227),6,""))</f>
      </c>
      <c r="AH227" s="684">
        <f>IF(終値!A227="","",IF(AND(高値!L227&gt;高値!K227,高値!L227&gt;高値!J227,高値!L227&gt;高値!M227,高値!L227&gt;高値!N227),7,""))</f>
      </c>
      <c r="AI227" s="684">
        <f>IF(終値!A227="","",IF(AND(高値!M227&gt;高値!L227,高値!M227&gt;高値!K227,高値!M227&gt;高値!N227,高値!M227&gt;高値!O227),8,""))</f>
      </c>
      <c r="AJ227" s="684">
        <f>IF(終値!A227="","",IF(AND(高値!N227&gt;高値!M227,高値!N227&gt;高値!L227,高値!N227&gt;高値!O227,高値!N227&gt;高値!P227),9,""))</f>
      </c>
      <c r="AK227" s="684">
        <f>IF(終値!A227="","",IF(AND(高値!O227&gt;高値!N227,高値!O227&gt;高値!M227,高値!O227&gt;高値!P227,高値!O227&gt;高値!Q227),10,""))</f>
      </c>
      <c r="AL227" s="684">
        <f>IF(終値!A227="","",IF(AND(高値!P227&gt;高値!O227,高値!P227&gt;高値!N227,高値!P227&gt;高値!Q227,高値!P227&gt;高値!R227),11,""))</f>
      </c>
      <c r="AM227" s="684">
        <f>IF(終値!A227="","",IF(AND(高値!Q227&gt;高値!P227,高値!Q227&gt;高値!O227,高値!Q227&gt;高値!R227,高値!Q227&gt;高値!S227),12,""))</f>
      </c>
      <c r="AN227" s="684">
        <f>IF(終値!A227="","",IF(AND(高値!R227&gt;高値!Q227,高値!R227&gt;高値!P227,高値!R227&gt;高値!S227,高値!R227&gt;高値!T227),13,""))</f>
      </c>
      <c r="AO227" s="684">
        <f>IF(終値!A227="","",IF(AND(高値!S227&gt;高値!R227,高値!S227&gt;高値!Q227,高値!S227&gt;高値!T227,高値!S227&gt;高値!U227),14,""))</f>
      </c>
      <c r="AP227" s="684">
        <f>IF(終値!A227="","",IF(AND(高値!T227&gt;高値!S227,高値!T227&gt;高値!R227,高値!T227&gt;高値!U227,高値!T227&gt;高値!V227),15,""))</f>
      </c>
      <c r="AQ227" s="684">
        <f>IF(終値!A227="","",IF(AND(高値!U227&gt;高値!T227,高値!U227&gt;高値!S227,高値!U227&gt;高値!V227,高値!U227&gt;高値!W227),16,""))</f>
      </c>
      <c r="AR227" s="684">
        <f>IF(終値!A227="","",IF(AND(高値!V227&gt;高値!U227,高値!V227&gt;高値!T227,高値!V227&gt;高値!W227,高値!V227&gt;高値!X227),17,""))</f>
      </c>
      <c r="AS227" s="684">
        <f>IF(終値!A227="","",IF(AND(高値!W227&gt;高値!V227,高値!W227&gt;高値!U227,高値!W227&gt;高値!X227,高値!W227&gt;高値!Y227),18,""))</f>
      </c>
      <c r="AT227" s="684">
        <f>IF(終値!A227="","",IF(AND(高値!X227&gt;高値!W227,高値!X227&gt;高値!V227,高値!X227&gt;高値!Y227,高値!X227&gt;高値!Z227),19,""))</f>
      </c>
      <c r="AU227" s="684">
        <f>IF(終値!A227="","",IF(AND(高値!Y227&gt;高値!X227,高値!Y227&gt;高値!W227,高値!Y227&gt;高値!Z227,高値!Y227&gt;高値!AA227),20,""))</f>
      </c>
      <c r="AV227" s="684">
        <f>IF(終値!A227="","",IF(AND(高値!Z227&gt;高値!Y227,高値!Z227&gt;高値!X227,高値!Z227&gt;高値!AA227,高値!Z227&gt;高値!AB227),21,""))</f>
      </c>
      <c r="AW227" s="684">
        <f>IF(終値!A227="","",IF(AND(高値!AA227&gt;高値!Z227,高値!AA227&gt;高値!Y227,高値!AA227&gt;高値!AB227,高値!AA227&gt;高値!AC227),22,""))</f>
      </c>
      <c r="AX227" s="684">
        <f>IF(終値!A227="","",IF(AND(高値!AB227&gt;高値!AA227,高値!AB227&gt;高値!Z227,高値!AB227&gt;高値!AC227,高値!AB227&gt;高値!AD227),23,""))</f>
      </c>
      <c r="AY227" s="684">
        <f>IF(終値!A227="","",IF(AND(高値!AC227&gt;高値!AB227,高値!AC227&gt;高値!AA227,高値!AC227&gt;高値!AD227,高値!AC227&gt;高値!AE227),24,""))</f>
      </c>
      <c r="AZ227" s="684">
        <f>IF(終値!A227="","",IF(AND(高値!AD227&gt;高値!AC227,高値!AD227&gt;高値!AB227,高値!AD227&gt;高値!AE227,高値!AD227&gt;高値!AF227),25,""))</f>
      </c>
      <c r="BA227" s="684">
        <f>IF(終値!A227="","",IF(AND(高値!AE227&gt;高値!AD227,高値!AE227&gt;高値!AC227,高値!AE227&gt;高値!AF227,高値!AE227&gt;高値!AG227),26,""))</f>
      </c>
      <c r="BB227" s="684">
        <f>IF(終値!A227="","",IF(AND(高値!AF227&gt;高値!AE227,高値!AF227&gt;高値!AD227,高値!AF227&gt;高値!AG227,高値!AF227&gt;高値!AH227),27,""))</f>
      </c>
      <c r="BC227" s="684">
        <f>IF(終値!A227="","",IF(AND(高値!AG227&gt;高値!AF227,高値!AG227&gt;高値!AE227,高値!AG227&gt;高値!AH227,高値!AG227&gt;高値!AI227),28,""))</f>
      </c>
      <c r="BD227" s="684">
        <f>COUNT($B227:$AB227)</f>
      </c>
      <c r="BE227" s="684">
        <f>IF($BD227&gt;=2,MIN($B227:$AB227),"")</f>
      </c>
      <c r="BF227" s="684">
        <f>IF($BD227&gt;=2,SMALL($B227:$AB227,2),"")</f>
      </c>
      <c r="BG227" s="684">
        <f>IF($BE227="","",INDEX(安値!$E227:$CZ227,1,$BE227+1))</f>
      </c>
      <c r="BH227" s="684">
        <f>IF($BF227="","",INDEX(安値!$E227:$CZ227,1,$BF227+1))</f>
      </c>
      <c r="BI227" s="684">
        <f>IF($BF227="","",MAX(INDEX(高値!$E227:$CZ227,1,$BE227+1):INDEX(高値!$E227:$CZ227,1,$BF227+1)))</f>
      </c>
      <c r="BJ227" s="684">
        <f>IF($BF227="","",AVERAGE(INDEX(終値!$E227:$CZ227,1,$BF227+1):INDEX(終値!$E227:$CZ227,1,$BF227+20))-2*STDEVP(INDEX(終値!$E227:$CZ227,1,$BF227+1):INDEX(終値!$E227:$CZ227,1,$BF227+20)))</f>
      </c>
      <c r="BK227" s="684">
        <f>IF($BE227="","",AVERAGE(INDEX(終値!$E227:$CZ227,1,$BE227+1):INDEX(終値!$E227:$CZ227,1,$BE227+20))-2*STDEVP(INDEX(終値!$E227:$CZ227,1,$BE227+1):INDEX(終値!$E227:$CZ227,1,$BE227+20)))</f>
      </c>
      <c r="BL227" s="684">
        <f>COUNT($AC227:$BC227)</f>
      </c>
      <c r="BM227" s="684">
        <f>IF($BL227&gt;=2,MIN($AC227:$BC227),"")</f>
      </c>
      <c r="BN227" s="684">
        <f>IF($BL227&gt;=2,SMALL($AC227:$BC227,2),"")</f>
      </c>
      <c r="BO227" s="684">
        <f>IF($BM227="","",INDEX(高値!$E227:$CZ227,1,$BM227+1))</f>
      </c>
      <c r="BP227" s="684">
        <f>IF($BN227="","",INDEX(高値!$E227:$CZ227,1,$BN227+1))</f>
      </c>
      <c r="BQ227" s="684">
        <f>IF($BN227="","",MIN(INDEX(安値!$E227:$CZ227,1,$BM227+1):INDEX(安値!$E227:$CZ227,1,$BN227+1)))</f>
      </c>
      <c r="BR227" s="684">
        <f>IF($BN227="","",AVERAGE(INDEX(終値!$E227:$CZ227,1,$BN227+1):INDEX(終値!$E227:$CZ227,1,$BN227+20))+2*STDEVP(INDEX(終値!$E227:$CZ227,1,$BN227+1):INDEX(終値!$E227:$CZ227,1,$BN227+20)))</f>
      </c>
      <c r="BS227" s="684">
        <f>IF($BM227="","",AVERAGE(INDEX(終値!$E227:$CZ227,1,$BM227+1):INDEX(終値!$E227:$CZ227,1,$BM227+20))+2*STDEVP(INDEX(終値!$E227:$CZ227,1,$BM227+1):INDEX(終値!$E227:$CZ227,1,$BM227+20)))</f>
      </c>
      <c r="BT227" s="681">
        <f>IFERROR(IF(AND($BD227&gt;=2,ABS($BG227-$BH227)/$BH227&lt;=BB設定!$B$12,$BI227&gt;=MAX($BH227,$BG227)*(1+BB設定!$B$13),終値!E227&gt;$BG227),IF(OR(終値!E227&gt;=$BI227,AND($BH227&lt;$BJ227,$BG227&gt;=$BK227)),"二番底W▲","二番底W形成"),IF(AND($BL227&gt;=2,ABS($BO227-$BP227)/$BP227&lt;=BB設定!$B$12,$BQ227&lt;=MIN($BP227,$BO227)*(1-BB設定!$B$13),終値!E227&lt;$BO227),IF(OR(終値!E227&lt;=$BQ227,AND($BP227&gt;$BR227,$BO227&lt;=$BS227)),"二番天井M▼","二番天井M形成"),"－")),"－")</f>
      </c>
    </row>
    <row r="228">
      <c r="B228" s="684">
        <f>IF(終値!A228="","",IF(AND(安値!G228&lt;安値!F228,安値!G228&lt;安値!E228,安値!G228&lt;安値!H228,安値!G228&lt;安値!I228),2,""))</f>
      </c>
      <c r="C228" s="684">
        <f>IF(終値!A228="","",IF(AND(安値!H228&lt;安値!G228,安値!H228&lt;安値!F228,安値!H228&lt;安値!I228,安値!H228&lt;安値!J228),3,""))</f>
      </c>
      <c r="D228" s="684">
        <f>IF(終値!A228="","",IF(AND(安値!I228&lt;安値!H228,安値!I228&lt;安値!G228,安値!I228&lt;安値!J228,安値!I228&lt;安値!K228),4,""))</f>
      </c>
      <c r="E228" s="684">
        <f>IF(終値!A228="","",IF(AND(安値!J228&lt;安値!I228,安値!J228&lt;安値!H228,安値!J228&lt;安値!K228,安値!J228&lt;安値!L228),5,""))</f>
      </c>
      <c r="F228" s="684">
        <f>IF(終値!A228="","",IF(AND(安値!K228&lt;安値!J228,安値!K228&lt;安値!I228,安値!K228&lt;安値!L228,安値!K228&lt;安値!M228),6,""))</f>
      </c>
      <c r="G228" s="684">
        <f>IF(終値!A228="","",IF(AND(安値!L228&lt;安値!K228,安値!L228&lt;安値!J228,安値!L228&lt;安値!M228,安値!L228&lt;安値!N228),7,""))</f>
      </c>
      <c r="H228" s="684">
        <f>IF(終値!A228="","",IF(AND(安値!M228&lt;安値!L228,安値!M228&lt;安値!K228,安値!M228&lt;安値!N228,安値!M228&lt;安値!O228),8,""))</f>
      </c>
      <c r="I228" s="684">
        <f>IF(終値!A228="","",IF(AND(安値!N228&lt;安値!M228,安値!N228&lt;安値!L228,安値!N228&lt;安値!O228,安値!N228&lt;安値!P228),9,""))</f>
      </c>
      <c r="J228" s="684">
        <f>IF(終値!A228="","",IF(AND(安値!O228&lt;安値!N228,安値!O228&lt;安値!M228,安値!O228&lt;安値!P228,安値!O228&lt;安値!Q228),10,""))</f>
      </c>
      <c r="K228" s="684">
        <f>IF(終値!A228="","",IF(AND(安値!P228&lt;安値!O228,安値!P228&lt;安値!N228,安値!P228&lt;安値!Q228,安値!P228&lt;安値!R228),11,""))</f>
      </c>
      <c r="L228" s="684">
        <f>IF(終値!A228="","",IF(AND(安値!Q228&lt;安値!P228,安値!Q228&lt;安値!O228,安値!Q228&lt;安値!R228,安値!Q228&lt;安値!S228),12,""))</f>
      </c>
      <c r="M228" s="684">
        <f>IF(終値!A228="","",IF(AND(安値!R228&lt;安値!Q228,安値!R228&lt;安値!P228,安値!R228&lt;安値!S228,安値!R228&lt;安値!T228),13,""))</f>
      </c>
      <c r="N228" s="684">
        <f>IF(終値!A228="","",IF(AND(安値!S228&lt;安値!R228,安値!S228&lt;安値!Q228,安値!S228&lt;安値!T228,安値!S228&lt;安値!U228),14,""))</f>
      </c>
      <c r="O228" s="684">
        <f>IF(終値!A228="","",IF(AND(安値!T228&lt;安値!S228,安値!T228&lt;安値!R228,安値!T228&lt;安値!U228,安値!T228&lt;安値!V228),15,""))</f>
      </c>
      <c r="P228" s="684">
        <f>IF(終値!A228="","",IF(AND(安値!U228&lt;安値!T228,安値!U228&lt;安値!S228,安値!U228&lt;安値!V228,安値!U228&lt;安値!W228),16,""))</f>
      </c>
      <c r="Q228" s="684">
        <f>IF(終値!A228="","",IF(AND(安値!V228&lt;安値!U228,安値!V228&lt;安値!T228,安値!V228&lt;安値!W228,安値!V228&lt;安値!X228),17,""))</f>
      </c>
      <c r="R228" s="684">
        <f>IF(終値!A228="","",IF(AND(安値!W228&lt;安値!V228,安値!W228&lt;安値!U228,安値!W228&lt;安値!X228,安値!W228&lt;安値!Y228),18,""))</f>
      </c>
      <c r="S228" s="684">
        <f>IF(終値!A228="","",IF(AND(安値!X228&lt;安値!W228,安値!X228&lt;安値!V228,安値!X228&lt;安値!Y228,安値!X228&lt;安値!Z228),19,""))</f>
      </c>
      <c r="T228" s="684">
        <f>IF(終値!A228="","",IF(AND(安値!Y228&lt;安値!X228,安値!Y228&lt;安値!W228,安値!Y228&lt;安値!Z228,安値!Y228&lt;安値!AA228),20,""))</f>
      </c>
      <c r="U228" s="684">
        <f>IF(終値!A228="","",IF(AND(安値!Z228&lt;安値!Y228,安値!Z228&lt;安値!X228,安値!Z228&lt;安値!AA228,安値!Z228&lt;安値!AB228),21,""))</f>
      </c>
      <c r="V228" s="684">
        <f>IF(終値!A228="","",IF(AND(安値!AA228&lt;安値!Z228,安値!AA228&lt;安値!Y228,安値!AA228&lt;安値!AB228,安値!AA228&lt;安値!AC228),22,""))</f>
      </c>
      <c r="W228" s="684">
        <f>IF(終値!A228="","",IF(AND(安値!AB228&lt;安値!AA228,安値!AB228&lt;安値!Z228,安値!AB228&lt;安値!AC228,安値!AB228&lt;安値!AD228),23,""))</f>
      </c>
      <c r="X228" s="684">
        <f>IF(終値!A228="","",IF(AND(安値!AC228&lt;安値!AB228,安値!AC228&lt;安値!AA228,安値!AC228&lt;安値!AD228,安値!AC228&lt;安値!AE228),24,""))</f>
      </c>
      <c r="Y228" s="684">
        <f>IF(終値!A228="","",IF(AND(安値!AD228&lt;安値!AC228,安値!AD228&lt;安値!AB228,安値!AD228&lt;安値!AE228,安値!AD228&lt;安値!AF228),25,""))</f>
      </c>
      <c r="Z228" s="684">
        <f>IF(終値!A228="","",IF(AND(安値!AE228&lt;安値!AD228,安値!AE228&lt;安値!AC228,安値!AE228&lt;安値!AF228,安値!AE228&lt;安値!AG228),26,""))</f>
      </c>
      <c r="AA228" s="684">
        <f>IF(終値!A228="","",IF(AND(安値!AF228&lt;安値!AE228,安値!AF228&lt;安値!AD228,安値!AF228&lt;安値!AG228,安値!AF228&lt;安値!AH228),27,""))</f>
      </c>
      <c r="AB228" s="684">
        <f>IF(終値!A228="","",IF(AND(安値!AG228&lt;安値!AF228,安値!AG228&lt;安値!AE228,安値!AG228&lt;安値!AH228,安値!AG228&lt;安値!AI228),28,""))</f>
      </c>
      <c r="AC228" s="684">
        <f>IF(終値!A228="","",IF(AND(高値!G228&gt;高値!F228,高値!G228&gt;高値!E228,高値!G228&gt;高値!H228,高値!G228&gt;高値!I228),2,""))</f>
      </c>
      <c r="AD228" s="684">
        <f>IF(終値!A228="","",IF(AND(高値!H228&gt;高値!G228,高値!H228&gt;高値!F228,高値!H228&gt;高値!I228,高値!H228&gt;高値!J228),3,""))</f>
      </c>
      <c r="AE228" s="684">
        <f>IF(終値!A228="","",IF(AND(高値!I228&gt;高値!H228,高値!I228&gt;高値!G228,高値!I228&gt;高値!J228,高値!I228&gt;高値!K228),4,""))</f>
      </c>
      <c r="AF228" s="684">
        <f>IF(終値!A228="","",IF(AND(高値!J228&gt;高値!I228,高値!J228&gt;高値!H228,高値!J228&gt;高値!K228,高値!J228&gt;高値!L228),5,""))</f>
      </c>
      <c r="AG228" s="684">
        <f>IF(終値!A228="","",IF(AND(高値!K228&gt;高値!J228,高値!K228&gt;高値!I228,高値!K228&gt;高値!L228,高値!K228&gt;高値!M228),6,""))</f>
      </c>
      <c r="AH228" s="684">
        <f>IF(終値!A228="","",IF(AND(高値!L228&gt;高値!K228,高値!L228&gt;高値!J228,高値!L228&gt;高値!M228,高値!L228&gt;高値!N228),7,""))</f>
      </c>
      <c r="AI228" s="684">
        <f>IF(終値!A228="","",IF(AND(高値!M228&gt;高値!L228,高値!M228&gt;高値!K228,高値!M228&gt;高値!N228,高値!M228&gt;高値!O228),8,""))</f>
      </c>
      <c r="AJ228" s="684">
        <f>IF(終値!A228="","",IF(AND(高値!N228&gt;高値!M228,高値!N228&gt;高値!L228,高値!N228&gt;高値!O228,高値!N228&gt;高値!P228),9,""))</f>
      </c>
      <c r="AK228" s="684">
        <f>IF(終値!A228="","",IF(AND(高値!O228&gt;高値!N228,高値!O228&gt;高値!M228,高値!O228&gt;高値!P228,高値!O228&gt;高値!Q228),10,""))</f>
      </c>
      <c r="AL228" s="684">
        <f>IF(終値!A228="","",IF(AND(高値!P228&gt;高値!O228,高値!P228&gt;高値!N228,高値!P228&gt;高値!Q228,高値!P228&gt;高値!R228),11,""))</f>
      </c>
      <c r="AM228" s="684">
        <f>IF(終値!A228="","",IF(AND(高値!Q228&gt;高値!P228,高値!Q228&gt;高値!O228,高値!Q228&gt;高値!R228,高値!Q228&gt;高値!S228),12,""))</f>
      </c>
      <c r="AN228" s="684">
        <f>IF(終値!A228="","",IF(AND(高値!R228&gt;高値!Q228,高値!R228&gt;高値!P228,高値!R228&gt;高値!S228,高値!R228&gt;高値!T228),13,""))</f>
      </c>
      <c r="AO228" s="684">
        <f>IF(終値!A228="","",IF(AND(高値!S228&gt;高値!R228,高値!S228&gt;高値!Q228,高値!S228&gt;高値!T228,高値!S228&gt;高値!U228),14,""))</f>
      </c>
      <c r="AP228" s="684">
        <f>IF(終値!A228="","",IF(AND(高値!T228&gt;高値!S228,高値!T228&gt;高値!R228,高値!T228&gt;高値!U228,高値!T228&gt;高値!V228),15,""))</f>
      </c>
      <c r="AQ228" s="684">
        <f>IF(終値!A228="","",IF(AND(高値!U228&gt;高値!T228,高値!U228&gt;高値!S228,高値!U228&gt;高値!V228,高値!U228&gt;高値!W228),16,""))</f>
      </c>
      <c r="AR228" s="684">
        <f>IF(終値!A228="","",IF(AND(高値!V228&gt;高値!U228,高値!V228&gt;高値!T228,高値!V228&gt;高値!W228,高値!V228&gt;高値!X228),17,""))</f>
      </c>
      <c r="AS228" s="684">
        <f>IF(終値!A228="","",IF(AND(高値!W228&gt;高値!V228,高値!W228&gt;高値!U228,高値!W228&gt;高値!X228,高値!W228&gt;高値!Y228),18,""))</f>
      </c>
      <c r="AT228" s="684">
        <f>IF(終値!A228="","",IF(AND(高値!X228&gt;高値!W228,高値!X228&gt;高値!V228,高値!X228&gt;高値!Y228,高値!X228&gt;高値!Z228),19,""))</f>
      </c>
      <c r="AU228" s="684">
        <f>IF(終値!A228="","",IF(AND(高値!Y228&gt;高値!X228,高値!Y228&gt;高値!W228,高値!Y228&gt;高値!Z228,高値!Y228&gt;高値!AA228),20,""))</f>
      </c>
      <c r="AV228" s="684">
        <f>IF(終値!A228="","",IF(AND(高値!Z228&gt;高値!Y228,高値!Z228&gt;高値!X228,高値!Z228&gt;高値!AA228,高値!Z228&gt;高値!AB228),21,""))</f>
      </c>
      <c r="AW228" s="684">
        <f>IF(終値!A228="","",IF(AND(高値!AA228&gt;高値!Z228,高値!AA228&gt;高値!Y228,高値!AA228&gt;高値!AB228,高値!AA228&gt;高値!AC228),22,""))</f>
      </c>
      <c r="AX228" s="684">
        <f>IF(終値!A228="","",IF(AND(高値!AB228&gt;高値!AA228,高値!AB228&gt;高値!Z228,高値!AB228&gt;高値!AC228,高値!AB228&gt;高値!AD228),23,""))</f>
      </c>
      <c r="AY228" s="684">
        <f>IF(終値!A228="","",IF(AND(高値!AC228&gt;高値!AB228,高値!AC228&gt;高値!AA228,高値!AC228&gt;高値!AD228,高値!AC228&gt;高値!AE228),24,""))</f>
      </c>
      <c r="AZ228" s="684">
        <f>IF(終値!A228="","",IF(AND(高値!AD228&gt;高値!AC228,高値!AD228&gt;高値!AB228,高値!AD228&gt;高値!AE228,高値!AD228&gt;高値!AF228),25,""))</f>
      </c>
      <c r="BA228" s="684">
        <f>IF(終値!A228="","",IF(AND(高値!AE228&gt;高値!AD228,高値!AE228&gt;高値!AC228,高値!AE228&gt;高値!AF228,高値!AE228&gt;高値!AG228),26,""))</f>
      </c>
      <c r="BB228" s="684">
        <f>IF(終値!A228="","",IF(AND(高値!AF228&gt;高値!AE228,高値!AF228&gt;高値!AD228,高値!AF228&gt;高値!AG228,高値!AF228&gt;高値!AH228),27,""))</f>
      </c>
      <c r="BC228" s="684">
        <f>IF(終値!A228="","",IF(AND(高値!AG228&gt;高値!AF228,高値!AG228&gt;高値!AE228,高値!AG228&gt;高値!AH228,高値!AG228&gt;高値!AI228),28,""))</f>
      </c>
      <c r="BD228" s="684">
        <f>COUNT($B228:$AB228)</f>
      </c>
      <c r="BE228" s="684">
        <f>IF($BD228&gt;=2,MIN($B228:$AB228),"")</f>
      </c>
      <c r="BF228" s="684">
        <f>IF($BD228&gt;=2,SMALL($B228:$AB228,2),"")</f>
      </c>
      <c r="BG228" s="684">
        <f>IF($BE228="","",INDEX(安値!$E228:$CZ228,1,$BE228+1))</f>
      </c>
      <c r="BH228" s="684">
        <f>IF($BF228="","",INDEX(安値!$E228:$CZ228,1,$BF228+1))</f>
      </c>
      <c r="BI228" s="684">
        <f>IF($BF228="","",MAX(INDEX(高値!$E228:$CZ228,1,$BE228+1):INDEX(高値!$E228:$CZ228,1,$BF228+1)))</f>
      </c>
      <c r="BJ228" s="684">
        <f>IF($BF228="","",AVERAGE(INDEX(終値!$E228:$CZ228,1,$BF228+1):INDEX(終値!$E228:$CZ228,1,$BF228+20))-2*STDEVP(INDEX(終値!$E228:$CZ228,1,$BF228+1):INDEX(終値!$E228:$CZ228,1,$BF228+20)))</f>
      </c>
      <c r="BK228" s="684">
        <f>IF($BE228="","",AVERAGE(INDEX(終値!$E228:$CZ228,1,$BE228+1):INDEX(終値!$E228:$CZ228,1,$BE228+20))-2*STDEVP(INDEX(終値!$E228:$CZ228,1,$BE228+1):INDEX(終値!$E228:$CZ228,1,$BE228+20)))</f>
      </c>
      <c r="BL228" s="684">
        <f>COUNT($AC228:$BC228)</f>
      </c>
      <c r="BM228" s="684">
        <f>IF($BL228&gt;=2,MIN($AC228:$BC228),"")</f>
      </c>
      <c r="BN228" s="684">
        <f>IF($BL228&gt;=2,SMALL($AC228:$BC228,2),"")</f>
      </c>
      <c r="BO228" s="684">
        <f>IF($BM228="","",INDEX(高値!$E228:$CZ228,1,$BM228+1))</f>
      </c>
      <c r="BP228" s="684">
        <f>IF($BN228="","",INDEX(高値!$E228:$CZ228,1,$BN228+1))</f>
      </c>
      <c r="BQ228" s="684">
        <f>IF($BN228="","",MIN(INDEX(安値!$E228:$CZ228,1,$BM228+1):INDEX(安値!$E228:$CZ228,1,$BN228+1)))</f>
      </c>
      <c r="BR228" s="684">
        <f>IF($BN228="","",AVERAGE(INDEX(終値!$E228:$CZ228,1,$BN228+1):INDEX(終値!$E228:$CZ228,1,$BN228+20))+2*STDEVP(INDEX(終値!$E228:$CZ228,1,$BN228+1):INDEX(終値!$E228:$CZ228,1,$BN228+20)))</f>
      </c>
      <c r="BS228" s="684">
        <f>IF($BM228="","",AVERAGE(INDEX(終値!$E228:$CZ228,1,$BM228+1):INDEX(終値!$E228:$CZ228,1,$BM228+20))+2*STDEVP(INDEX(終値!$E228:$CZ228,1,$BM228+1):INDEX(終値!$E228:$CZ228,1,$BM228+20)))</f>
      </c>
      <c r="BT228" s="681">
        <f>IFERROR(IF(AND($BD228&gt;=2,ABS($BG228-$BH228)/$BH228&lt;=BB設定!$B$12,$BI228&gt;=MAX($BH228,$BG228)*(1+BB設定!$B$13),終値!E228&gt;$BG228),IF(OR(終値!E228&gt;=$BI228,AND($BH228&lt;$BJ228,$BG228&gt;=$BK228)),"二番底W▲","二番底W形成"),IF(AND($BL228&gt;=2,ABS($BO228-$BP228)/$BP228&lt;=BB設定!$B$12,$BQ228&lt;=MIN($BP228,$BO228)*(1-BB設定!$B$13),終値!E228&lt;$BO228),IF(OR(終値!E228&lt;=$BQ228,AND($BP228&gt;$BR228,$BO228&lt;=$BS228)),"二番天井M▼","二番天井M形成"),"－")),"－")</f>
      </c>
    </row>
    <row r="229">
      <c r="B229" s="684">
        <f>IF(終値!A229="","",IF(AND(安値!G229&lt;安値!F229,安値!G229&lt;安値!E229,安値!G229&lt;安値!H229,安値!G229&lt;安値!I229),2,""))</f>
      </c>
      <c r="C229" s="684">
        <f>IF(終値!A229="","",IF(AND(安値!H229&lt;安値!G229,安値!H229&lt;安値!F229,安値!H229&lt;安値!I229,安値!H229&lt;安値!J229),3,""))</f>
      </c>
      <c r="D229" s="684">
        <f>IF(終値!A229="","",IF(AND(安値!I229&lt;安値!H229,安値!I229&lt;安値!G229,安値!I229&lt;安値!J229,安値!I229&lt;安値!K229),4,""))</f>
      </c>
      <c r="E229" s="684">
        <f>IF(終値!A229="","",IF(AND(安値!J229&lt;安値!I229,安値!J229&lt;安値!H229,安値!J229&lt;安値!K229,安値!J229&lt;安値!L229),5,""))</f>
      </c>
      <c r="F229" s="684">
        <f>IF(終値!A229="","",IF(AND(安値!K229&lt;安値!J229,安値!K229&lt;安値!I229,安値!K229&lt;安値!L229,安値!K229&lt;安値!M229),6,""))</f>
      </c>
      <c r="G229" s="684">
        <f>IF(終値!A229="","",IF(AND(安値!L229&lt;安値!K229,安値!L229&lt;安値!J229,安値!L229&lt;安値!M229,安値!L229&lt;安値!N229),7,""))</f>
      </c>
      <c r="H229" s="684">
        <f>IF(終値!A229="","",IF(AND(安値!M229&lt;安値!L229,安値!M229&lt;安値!K229,安値!M229&lt;安値!N229,安値!M229&lt;安値!O229),8,""))</f>
      </c>
      <c r="I229" s="684">
        <f>IF(終値!A229="","",IF(AND(安値!N229&lt;安値!M229,安値!N229&lt;安値!L229,安値!N229&lt;安値!O229,安値!N229&lt;安値!P229),9,""))</f>
      </c>
      <c r="J229" s="684">
        <f>IF(終値!A229="","",IF(AND(安値!O229&lt;安値!N229,安値!O229&lt;安値!M229,安値!O229&lt;安値!P229,安値!O229&lt;安値!Q229),10,""))</f>
      </c>
      <c r="K229" s="684">
        <f>IF(終値!A229="","",IF(AND(安値!P229&lt;安値!O229,安値!P229&lt;安値!N229,安値!P229&lt;安値!Q229,安値!P229&lt;安値!R229),11,""))</f>
      </c>
      <c r="L229" s="684">
        <f>IF(終値!A229="","",IF(AND(安値!Q229&lt;安値!P229,安値!Q229&lt;安値!O229,安値!Q229&lt;安値!R229,安値!Q229&lt;安値!S229),12,""))</f>
      </c>
      <c r="M229" s="684">
        <f>IF(終値!A229="","",IF(AND(安値!R229&lt;安値!Q229,安値!R229&lt;安値!P229,安値!R229&lt;安値!S229,安値!R229&lt;安値!T229),13,""))</f>
      </c>
      <c r="N229" s="684">
        <f>IF(終値!A229="","",IF(AND(安値!S229&lt;安値!R229,安値!S229&lt;安値!Q229,安値!S229&lt;安値!T229,安値!S229&lt;安値!U229),14,""))</f>
      </c>
      <c r="O229" s="684">
        <f>IF(終値!A229="","",IF(AND(安値!T229&lt;安値!S229,安値!T229&lt;安値!R229,安値!T229&lt;安値!U229,安値!T229&lt;安値!V229),15,""))</f>
      </c>
      <c r="P229" s="684">
        <f>IF(終値!A229="","",IF(AND(安値!U229&lt;安値!T229,安値!U229&lt;安値!S229,安値!U229&lt;安値!V229,安値!U229&lt;安値!W229),16,""))</f>
      </c>
      <c r="Q229" s="684">
        <f>IF(終値!A229="","",IF(AND(安値!V229&lt;安値!U229,安値!V229&lt;安値!T229,安値!V229&lt;安値!W229,安値!V229&lt;安値!X229),17,""))</f>
      </c>
      <c r="R229" s="684">
        <f>IF(終値!A229="","",IF(AND(安値!W229&lt;安値!V229,安値!W229&lt;安値!U229,安値!W229&lt;安値!X229,安値!W229&lt;安値!Y229),18,""))</f>
      </c>
      <c r="S229" s="684">
        <f>IF(終値!A229="","",IF(AND(安値!X229&lt;安値!W229,安値!X229&lt;安値!V229,安値!X229&lt;安値!Y229,安値!X229&lt;安値!Z229),19,""))</f>
      </c>
      <c r="T229" s="684">
        <f>IF(終値!A229="","",IF(AND(安値!Y229&lt;安値!X229,安値!Y229&lt;安値!W229,安値!Y229&lt;安値!Z229,安値!Y229&lt;安値!AA229),20,""))</f>
      </c>
      <c r="U229" s="684">
        <f>IF(終値!A229="","",IF(AND(安値!Z229&lt;安値!Y229,安値!Z229&lt;安値!X229,安値!Z229&lt;安値!AA229,安値!Z229&lt;安値!AB229),21,""))</f>
      </c>
      <c r="V229" s="684">
        <f>IF(終値!A229="","",IF(AND(安値!AA229&lt;安値!Z229,安値!AA229&lt;安値!Y229,安値!AA229&lt;安値!AB229,安値!AA229&lt;安値!AC229),22,""))</f>
      </c>
      <c r="W229" s="684">
        <f>IF(終値!A229="","",IF(AND(安値!AB229&lt;安値!AA229,安値!AB229&lt;安値!Z229,安値!AB229&lt;安値!AC229,安値!AB229&lt;安値!AD229),23,""))</f>
      </c>
      <c r="X229" s="684">
        <f>IF(終値!A229="","",IF(AND(安値!AC229&lt;安値!AB229,安値!AC229&lt;安値!AA229,安値!AC229&lt;安値!AD229,安値!AC229&lt;安値!AE229),24,""))</f>
      </c>
      <c r="Y229" s="684">
        <f>IF(終値!A229="","",IF(AND(安値!AD229&lt;安値!AC229,安値!AD229&lt;安値!AB229,安値!AD229&lt;安値!AE229,安値!AD229&lt;安値!AF229),25,""))</f>
      </c>
      <c r="Z229" s="684">
        <f>IF(終値!A229="","",IF(AND(安値!AE229&lt;安値!AD229,安値!AE229&lt;安値!AC229,安値!AE229&lt;安値!AF229,安値!AE229&lt;安値!AG229),26,""))</f>
      </c>
      <c r="AA229" s="684">
        <f>IF(終値!A229="","",IF(AND(安値!AF229&lt;安値!AE229,安値!AF229&lt;安値!AD229,安値!AF229&lt;安値!AG229,安値!AF229&lt;安値!AH229),27,""))</f>
      </c>
      <c r="AB229" s="684">
        <f>IF(終値!A229="","",IF(AND(安値!AG229&lt;安値!AF229,安値!AG229&lt;安値!AE229,安値!AG229&lt;安値!AH229,安値!AG229&lt;安値!AI229),28,""))</f>
      </c>
      <c r="AC229" s="684">
        <f>IF(終値!A229="","",IF(AND(高値!G229&gt;高値!F229,高値!G229&gt;高値!E229,高値!G229&gt;高値!H229,高値!G229&gt;高値!I229),2,""))</f>
      </c>
      <c r="AD229" s="684">
        <f>IF(終値!A229="","",IF(AND(高値!H229&gt;高値!G229,高値!H229&gt;高値!F229,高値!H229&gt;高値!I229,高値!H229&gt;高値!J229),3,""))</f>
      </c>
      <c r="AE229" s="684">
        <f>IF(終値!A229="","",IF(AND(高値!I229&gt;高値!H229,高値!I229&gt;高値!G229,高値!I229&gt;高値!J229,高値!I229&gt;高値!K229),4,""))</f>
      </c>
      <c r="AF229" s="684">
        <f>IF(終値!A229="","",IF(AND(高値!J229&gt;高値!I229,高値!J229&gt;高値!H229,高値!J229&gt;高値!K229,高値!J229&gt;高値!L229),5,""))</f>
      </c>
      <c r="AG229" s="684">
        <f>IF(終値!A229="","",IF(AND(高値!K229&gt;高値!J229,高値!K229&gt;高値!I229,高値!K229&gt;高値!L229,高値!K229&gt;高値!M229),6,""))</f>
      </c>
      <c r="AH229" s="684">
        <f>IF(終値!A229="","",IF(AND(高値!L229&gt;高値!K229,高値!L229&gt;高値!J229,高値!L229&gt;高値!M229,高値!L229&gt;高値!N229),7,""))</f>
      </c>
      <c r="AI229" s="684">
        <f>IF(終値!A229="","",IF(AND(高値!M229&gt;高値!L229,高値!M229&gt;高値!K229,高値!M229&gt;高値!N229,高値!M229&gt;高値!O229),8,""))</f>
      </c>
      <c r="AJ229" s="684">
        <f>IF(終値!A229="","",IF(AND(高値!N229&gt;高値!M229,高値!N229&gt;高値!L229,高値!N229&gt;高値!O229,高値!N229&gt;高値!P229),9,""))</f>
      </c>
      <c r="AK229" s="684">
        <f>IF(終値!A229="","",IF(AND(高値!O229&gt;高値!N229,高値!O229&gt;高値!M229,高値!O229&gt;高値!P229,高値!O229&gt;高値!Q229),10,""))</f>
      </c>
      <c r="AL229" s="684">
        <f>IF(終値!A229="","",IF(AND(高値!P229&gt;高値!O229,高値!P229&gt;高値!N229,高値!P229&gt;高値!Q229,高値!P229&gt;高値!R229),11,""))</f>
      </c>
      <c r="AM229" s="684">
        <f>IF(終値!A229="","",IF(AND(高値!Q229&gt;高値!P229,高値!Q229&gt;高値!O229,高値!Q229&gt;高値!R229,高値!Q229&gt;高値!S229),12,""))</f>
      </c>
      <c r="AN229" s="684">
        <f>IF(終値!A229="","",IF(AND(高値!R229&gt;高値!Q229,高値!R229&gt;高値!P229,高値!R229&gt;高値!S229,高値!R229&gt;高値!T229),13,""))</f>
      </c>
      <c r="AO229" s="684">
        <f>IF(終値!A229="","",IF(AND(高値!S229&gt;高値!R229,高値!S229&gt;高値!Q229,高値!S229&gt;高値!T229,高値!S229&gt;高値!U229),14,""))</f>
      </c>
      <c r="AP229" s="684">
        <f>IF(終値!A229="","",IF(AND(高値!T229&gt;高値!S229,高値!T229&gt;高値!R229,高値!T229&gt;高値!U229,高値!T229&gt;高値!V229),15,""))</f>
      </c>
      <c r="AQ229" s="684">
        <f>IF(終値!A229="","",IF(AND(高値!U229&gt;高値!T229,高値!U229&gt;高値!S229,高値!U229&gt;高値!V229,高値!U229&gt;高値!W229),16,""))</f>
      </c>
      <c r="AR229" s="684">
        <f>IF(終値!A229="","",IF(AND(高値!V229&gt;高値!U229,高値!V229&gt;高値!T229,高値!V229&gt;高値!W229,高値!V229&gt;高値!X229),17,""))</f>
      </c>
      <c r="AS229" s="684">
        <f>IF(終値!A229="","",IF(AND(高値!W229&gt;高値!V229,高値!W229&gt;高値!U229,高値!W229&gt;高値!X229,高値!W229&gt;高値!Y229),18,""))</f>
      </c>
      <c r="AT229" s="684">
        <f>IF(終値!A229="","",IF(AND(高値!X229&gt;高値!W229,高値!X229&gt;高値!V229,高値!X229&gt;高値!Y229,高値!X229&gt;高値!Z229),19,""))</f>
      </c>
      <c r="AU229" s="684">
        <f>IF(終値!A229="","",IF(AND(高値!Y229&gt;高値!X229,高値!Y229&gt;高値!W229,高値!Y229&gt;高値!Z229,高値!Y229&gt;高値!AA229),20,""))</f>
      </c>
      <c r="AV229" s="684">
        <f>IF(終値!A229="","",IF(AND(高値!Z229&gt;高値!Y229,高値!Z229&gt;高値!X229,高値!Z229&gt;高値!AA229,高値!Z229&gt;高値!AB229),21,""))</f>
      </c>
      <c r="AW229" s="684">
        <f>IF(終値!A229="","",IF(AND(高値!AA229&gt;高値!Z229,高値!AA229&gt;高値!Y229,高値!AA229&gt;高値!AB229,高値!AA229&gt;高値!AC229),22,""))</f>
      </c>
      <c r="AX229" s="684">
        <f>IF(終値!A229="","",IF(AND(高値!AB229&gt;高値!AA229,高値!AB229&gt;高値!Z229,高値!AB229&gt;高値!AC229,高値!AB229&gt;高値!AD229),23,""))</f>
      </c>
      <c r="AY229" s="684">
        <f>IF(終値!A229="","",IF(AND(高値!AC229&gt;高値!AB229,高値!AC229&gt;高値!AA229,高値!AC229&gt;高値!AD229,高値!AC229&gt;高値!AE229),24,""))</f>
      </c>
      <c r="AZ229" s="684">
        <f>IF(終値!A229="","",IF(AND(高値!AD229&gt;高値!AC229,高値!AD229&gt;高値!AB229,高値!AD229&gt;高値!AE229,高値!AD229&gt;高値!AF229),25,""))</f>
      </c>
      <c r="BA229" s="684">
        <f>IF(終値!A229="","",IF(AND(高値!AE229&gt;高値!AD229,高値!AE229&gt;高値!AC229,高値!AE229&gt;高値!AF229,高値!AE229&gt;高値!AG229),26,""))</f>
      </c>
      <c r="BB229" s="684">
        <f>IF(終値!A229="","",IF(AND(高値!AF229&gt;高値!AE229,高値!AF229&gt;高値!AD229,高値!AF229&gt;高値!AG229,高値!AF229&gt;高値!AH229),27,""))</f>
      </c>
      <c r="BC229" s="684">
        <f>IF(終値!A229="","",IF(AND(高値!AG229&gt;高値!AF229,高値!AG229&gt;高値!AE229,高値!AG229&gt;高値!AH229,高値!AG229&gt;高値!AI229),28,""))</f>
      </c>
      <c r="BD229" s="684">
        <f>COUNT($B229:$AB229)</f>
      </c>
      <c r="BE229" s="684">
        <f>IF($BD229&gt;=2,MIN($B229:$AB229),"")</f>
      </c>
      <c r="BF229" s="684">
        <f>IF($BD229&gt;=2,SMALL($B229:$AB229,2),"")</f>
      </c>
      <c r="BG229" s="684">
        <f>IF($BE229="","",INDEX(安値!$E229:$CZ229,1,$BE229+1))</f>
      </c>
      <c r="BH229" s="684">
        <f>IF($BF229="","",INDEX(安値!$E229:$CZ229,1,$BF229+1))</f>
      </c>
      <c r="BI229" s="684">
        <f>IF($BF229="","",MAX(INDEX(高値!$E229:$CZ229,1,$BE229+1):INDEX(高値!$E229:$CZ229,1,$BF229+1)))</f>
      </c>
      <c r="BJ229" s="684">
        <f>IF($BF229="","",AVERAGE(INDEX(終値!$E229:$CZ229,1,$BF229+1):INDEX(終値!$E229:$CZ229,1,$BF229+20))-2*STDEVP(INDEX(終値!$E229:$CZ229,1,$BF229+1):INDEX(終値!$E229:$CZ229,1,$BF229+20)))</f>
      </c>
      <c r="BK229" s="684">
        <f>IF($BE229="","",AVERAGE(INDEX(終値!$E229:$CZ229,1,$BE229+1):INDEX(終値!$E229:$CZ229,1,$BE229+20))-2*STDEVP(INDEX(終値!$E229:$CZ229,1,$BE229+1):INDEX(終値!$E229:$CZ229,1,$BE229+20)))</f>
      </c>
      <c r="BL229" s="684">
        <f>COUNT($AC229:$BC229)</f>
      </c>
      <c r="BM229" s="684">
        <f>IF($BL229&gt;=2,MIN($AC229:$BC229),"")</f>
      </c>
      <c r="BN229" s="684">
        <f>IF($BL229&gt;=2,SMALL($AC229:$BC229,2),"")</f>
      </c>
      <c r="BO229" s="684">
        <f>IF($BM229="","",INDEX(高値!$E229:$CZ229,1,$BM229+1))</f>
      </c>
      <c r="BP229" s="684">
        <f>IF($BN229="","",INDEX(高値!$E229:$CZ229,1,$BN229+1))</f>
      </c>
      <c r="BQ229" s="684">
        <f>IF($BN229="","",MIN(INDEX(安値!$E229:$CZ229,1,$BM229+1):INDEX(安値!$E229:$CZ229,1,$BN229+1)))</f>
      </c>
      <c r="BR229" s="684">
        <f>IF($BN229="","",AVERAGE(INDEX(終値!$E229:$CZ229,1,$BN229+1):INDEX(終値!$E229:$CZ229,1,$BN229+20))+2*STDEVP(INDEX(終値!$E229:$CZ229,1,$BN229+1):INDEX(終値!$E229:$CZ229,1,$BN229+20)))</f>
      </c>
      <c r="BS229" s="684">
        <f>IF($BM229="","",AVERAGE(INDEX(終値!$E229:$CZ229,1,$BM229+1):INDEX(終値!$E229:$CZ229,1,$BM229+20))+2*STDEVP(INDEX(終値!$E229:$CZ229,1,$BM229+1):INDEX(終値!$E229:$CZ229,1,$BM229+20)))</f>
      </c>
      <c r="BT229" s="681">
        <f>IFERROR(IF(AND($BD229&gt;=2,ABS($BG229-$BH229)/$BH229&lt;=BB設定!$B$12,$BI229&gt;=MAX($BH229,$BG229)*(1+BB設定!$B$13),終値!E229&gt;$BG229),IF(OR(終値!E229&gt;=$BI229,AND($BH229&lt;$BJ229,$BG229&gt;=$BK229)),"二番底W▲","二番底W形成"),IF(AND($BL229&gt;=2,ABS($BO229-$BP229)/$BP229&lt;=BB設定!$B$12,$BQ229&lt;=MIN($BP229,$BO229)*(1-BB設定!$B$13),終値!E229&lt;$BO229),IF(OR(終値!E229&lt;=$BQ229,AND($BP229&gt;$BR229,$BO229&lt;=$BS229)),"二番天井M▼","二番天井M形成"),"－")),"－")</f>
      </c>
    </row>
    <row r="230">
      <c r="B230" s="684">
        <f>IF(終値!A230="","",IF(AND(安値!G230&lt;安値!F230,安値!G230&lt;安値!E230,安値!G230&lt;安値!H230,安値!G230&lt;安値!I230),2,""))</f>
      </c>
      <c r="C230" s="684">
        <f>IF(終値!A230="","",IF(AND(安値!H230&lt;安値!G230,安値!H230&lt;安値!F230,安値!H230&lt;安値!I230,安値!H230&lt;安値!J230),3,""))</f>
      </c>
      <c r="D230" s="684">
        <f>IF(終値!A230="","",IF(AND(安値!I230&lt;安値!H230,安値!I230&lt;安値!G230,安値!I230&lt;安値!J230,安値!I230&lt;安値!K230),4,""))</f>
      </c>
      <c r="E230" s="684">
        <f>IF(終値!A230="","",IF(AND(安値!J230&lt;安値!I230,安値!J230&lt;安値!H230,安値!J230&lt;安値!K230,安値!J230&lt;安値!L230),5,""))</f>
      </c>
      <c r="F230" s="684">
        <f>IF(終値!A230="","",IF(AND(安値!K230&lt;安値!J230,安値!K230&lt;安値!I230,安値!K230&lt;安値!L230,安値!K230&lt;安値!M230),6,""))</f>
      </c>
      <c r="G230" s="684">
        <f>IF(終値!A230="","",IF(AND(安値!L230&lt;安値!K230,安値!L230&lt;安値!J230,安値!L230&lt;安値!M230,安値!L230&lt;安値!N230),7,""))</f>
      </c>
      <c r="H230" s="684">
        <f>IF(終値!A230="","",IF(AND(安値!M230&lt;安値!L230,安値!M230&lt;安値!K230,安値!M230&lt;安値!N230,安値!M230&lt;安値!O230),8,""))</f>
      </c>
      <c r="I230" s="684">
        <f>IF(終値!A230="","",IF(AND(安値!N230&lt;安値!M230,安値!N230&lt;安値!L230,安値!N230&lt;安値!O230,安値!N230&lt;安値!P230),9,""))</f>
      </c>
      <c r="J230" s="684">
        <f>IF(終値!A230="","",IF(AND(安値!O230&lt;安値!N230,安値!O230&lt;安値!M230,安値!O230&lt;安値!P230,安値!O230&lt;安値!Q230),10,""))</f>
      </c>
      <c r="K230" s="684">
        <f>IF(終値!A230="","",IF(AND(安値!P230&lt;安値!O230,安値!P230&lt;安値!N230,安値!P230&lt;安値!Q230,安値!P230&lt;安値!R230),11,""))</f>
      </c>
      <c r="L230" s="684">
        <f>IF(終値!A230="","",IF(AND(安値!Q230&lt;安値!P230,安値!Q230&lt;安値!O230,安値!Q230&lt;安値!R230,安値!Q230&lt;安値!S230),12,""))</f>
      </c>
      <c r="M230" s="684">
        <f>IF(終値!A230="","",IF(AND(安値!R230&lt;安値!Q230,安値!R230&lt;安値!P230,安値!R230&lt;安値!S230,安値!R230&lt;安値!T230),13,""))</f>
      </c>
      <c r="N230" s="684">
        <f>IF(終値!A230="","",IF(AND(安値!S230&lt;安値!R230,安値!S230&lt;安値!Q230,安値!S230&lt;安値!T230,安値!S230&lt;安値!U230),14,""))</f>
      </c>
      <c r="O230" s="684">
        <f>IF(終値!A230="","",IF(AND(安値!T230&lt;安値!S230,安値!T230&lt;安値!R230,安値!T230&lt;安値!U230,安値!T230&lt;安値!V230),15,""))</f>
      </c>
      <c r="P230" s="684">
        <f>IF(終値!A230="","",IF(AND(安値!U230&lt;安値!T230,安値!U230&lt;安値!S230,安値!U230&lt;安値!V230,安値!U230&lt;安値!W230),16,""))</f>
      </c>
      <c r="Q230" s="684">
        <f>IF(終値!A230="","",IF(AND(安値!V230&lt;安値!U230,安値!V230&lt;安値!T230,安値!V230&lt;安値!W230,安値!V230&lt;安値!X230),17,""))</f>
      </c>
      <c r="R230" s="684">
        <f>IF(終値!A230="","",IF(AND(安値!W230&lt;安値!V230,安値!W230&lt;安値!U230,安値!W230&lt;安値!X230,安値!W230&lt;安値!Y230),18,""))</f>
      </c>
      <c r="S230" s="684">
        <f>IF(終値!A230="","",IF(AND(安値!X230&lt;安値!W230,安値!X230&lt;安値!V230,安値!X230&lt;安値!Y230,安値!X230&lt;安値!Z230),19,""))</f>
      </c>
      <c r="T230" s="684">
        <f>IF(終値!A230="","",IF(AND(安値!Y230&lt;安値!X230,安値!Y230&lt;安値!W230,安値!Y230&lt;安値!Z230,安値!Y230&lt;安値!AA230),20,""))</f>
      </c>
      <c r="U230" s="684">
        <f>IF(終値!A230="","",IF(AND(安値!Z230&lt;安値!Y230,安値!Z230&lt;安値!X230,安値!Z230&lt;安値!AA230,安値!Z230&lt;安値!AB230),21,""))</f>
      </c>
      <c r="V230" s="684">
        <f>IF(終値!A230="","",IF(AND(安値!AA230&lt;安値!Z230,安値!AA230&lt;安値!Y230,安値!AA230&lt;安値!AB230,安値!AA230&lt;安値!AC230),22,""))</f>
      </c>
      <c r="W230" s="684">
        <f>IF(終値!A230="","",IF(AND(安値!AB230&lt;安値!AA230,安値!AB230&lt;安値!Z230,安値!AB230&lt;安値!AC230,安値!AB230&lt;安値!AD230),23,""))</f>
      </c>
      <c r="X230" s="684">
        <f>IF(終値!A230="","",IF(AND(安値!AC230&lt;安値!AB230,安値!AC230&lt;安値!AA230,安値!AC230&lt;安値!AD230,安値!AC230&lt;安値!AE230),24,""))</f>
      </c>
      <c r="Y230" s="684">
        <f>IF(終値!A230="","",IF(AND(安値!AD230&lt;安値!AC230,安値!AD230&lt;安値!AB230,安値!AD230&lt;安値!AE230,安値!AD230&lt;安値!AF230),25,""))</f>
      </c>
      <c r="Z230" s="684">
        <f>IF(終値!A230="","",IF(AND(安値!AE230&lt;安値!AD230,安値!AE230&lt;安値!AC230,安値!AE230&lt;安値!AF230,安値!AE230&lt;安値!AG230),26,""))</f>
      </c>
      <c r="AA230" s="684">
        <f>IF(終値!A230="","",IF(AND(安値!AF230&lt;安値!AE230,安値!AF230&lt;安値!AD230,安値!AF230&lt;安値!AG230,安値!AF230&lt;安値!AH230),27,""))</f>
      </c>
      <c r="AB230" s="684">
        <f>IF(終値!A230="","",IF(AND(安値!AG230&lt;安値!AF230,安値!AG230&lt;安値!AE230,安値!AG230&lt;安値!AH230,安値!AG230&lt;安値!AI230),28,""))</f>
      </c>
      <c r="AC230" s="684">
        <f>IF(終値!A230="","",IF(AND(高値!G230&gt;高値!F230,高値!G230&gt;高値!E230,高値!G230&gt;高値!H230,高値!G230&gt;高値!I230),2,""))</f>
      </c>
      <c r="AD230" s="684">
        <f>IF(終値!A230="","",IF(AND(高値!H230&gt;高値!G230,高値!H230&gt;高値!F230,高値!H230&gt;高値!I230,高値!H230&gt;高値!J230),3,""))</f>
      </c>
      <c r="AE230" s="684">
        <f>IF(終値!A230="","",IF(AND(高値!I230&gt;高値!H230,高値!I230&gt;高値!G230,高値!I230&gt;高値!J230,高値!I230&gt;高値!K230),4,""))</f>
      </c>
      <c r="AF230" s="684">
        <f>IF(終値!A230="","",IF(AND(高値!J230&gt;高値!I230,高値!J230&gt;高値!H230,高値!J230&gt;高値!K230,高値!J230&gt;高値!L230),5,""))</f>
      </c>
      <c r="AG230" s="684">
        <f>IF(終値!A230="","",IF(AND(高値!K230&gt;高値!J230,高値!K230&gt;高値!I230,高値!K230&gt;高値!L230,高値!K230&gt;高値!M230),6,""))</f>
      </c>
      <c r="AH230" s="684">
        <f>IF(終値!A230="","",IF(AND(高値!L230&gt;高値!K230,高値!L230&gt;高値!J230,高値!L230&gt;高値!M230,高値!L230&gt;高値!N230),7,""))</f>
      </c>
      <c r="AI230" s="684">
        <f>IF(終値!A230="","",IF(AND(高値!M230&gt;高値!L230,高値!M230&gt;高値!K230,高値!M230&gt;高値!N230,高値!M230&gt;高値!O230),8,""))</f>
      </c>
      <c r="AJ230" s="684">
        <f>IF(終値!A230="","",IF(AND(高値!N230&gt;高値!M230,高値!N230&gt;高値!L230,高値!N230&gt;高値!O230,高値!N230&gt;高値!P230),9,""))</f>
      </c>
      <c r="AK230" s="684">
        <f>IF(終値!A230="","",IF(AND(高値!O230&gt;高値!N230,高値!O230&gt;高値!M230,高値!O230&gt;高値!P230,高値!O230&gt;高値!Q230),10,""))</f>
      </c>
      <c r="AL230" s="684">
        <f>IF(終値!A230="","",IF(AND(高値!P230&gt;高値!O230,高値!P230&gt;高値!N230,高値!P230&gt;高値!Q230,高値!P230&gt;高値!R230),11,""))</f>
      </c>
      <c r="AM230" s="684">
        <f>IF(終値!A230="","",IF(AND(高値!Q230&gt;高値!P230,高値!Q230&gt;高値!O230,高値!Q230&gt;高値!R230,高値!Q230&gt;高値!S230),12,""))</f>
      </c>
      <c r="AN230" s="684">
        <f>IF(終値!A230="","",IF(AND(高値!R230&gt;高値!Q230,高値!R230&gt;高値!P230,高値!R230&gt;高値!S230,高値!R230&gt;高値!T230),13,""))</f>
      </c>
      <c r="AO230" s="684">
        <f>IF(終値!A230="","",IF(AND(高値!S230&gt;高値!R230,高値!S230&gt;高値!Q230,高値!S230&gt;高値!T230,高値!S230&gt;高値!U230),14,""))</f>
      </c>
      <c r="AP230" s="684">
        <f>IF(終値!A230="","",IF(AND(高値!T230&gt;高値!S230,高値!T230&gt;高値!R230,高値!T230&gt;高値!U230,高値!T230&gt;高値!V230),15,""))</f>
      </c>
      <c r="AQ230" s="684">
        <f>IF(終値!A230="","",IF(AND(高値!U230&gt;高値!T230,高値!U230&gt;高値!S230,高値!U230&gt;高値!V230,高値!U230&gt;高値!W230),16,""))</f>
      </c>
      <c r="AR230" s="684">
        <f>IF(終値!A230="","",IF(AND(高値!V230&gt;高値!U230,高値!V230&gt;高値!T230,高値!V230&gt;高値!W230,高値!V230&gt;高値!X230),17,""))</f>
      </c>
      <c r="AS230" s="684">
        <f>IF(終値!A230="","",IF(AND(高値!W230&gt;高値!V230,高値!W230&gt;高値!U230,高値!W230&gt;高値!X230,高値!W230&gt;高値!Y230),18,""))</f>
      </c>
      <c r="AT230" s="684">
        <f>IF(終値!A230="","",IF(AND(高値!X230&gt;高値!W230,高値!X230&gt;高値!V230,高値!X230&gt;高値!Y230,高値!X230&gt;高値!Z230),19,""))</f>
      </c>
      <c r="AU230" s="684">
        <f>IF(終値!A230="","",IF(AND(高値!Y230&gt;高値!X230,高値!Y230&gt;高値!W230,高値!Y230&gt;高値!Z230,高値!Y230&gt;高値!AA230),20,""))</f>
      </c>
      <c r="AV230" s="684">
        <f>IF(終値!A230="","",IF(AND(高値!Z230&gt;高値!Y230,高値!Z230&gt;高値!X230,高値!Z230&gt;高値!AA230,高値!Z230&gt;高値!AB230),21,""))</f>
      </c>
      <c r="AW230" s="684">
        <f>IF(終値!A230="","",IF(AND(高値!AA230&gt;高値!Z230,高値!AA230&gt;高値!Y230,高値!AA230&gt;高値!AB230,高値!AA230&gt;高値!AC230),22,""))</f>
      </c>
      <c r="AX230" s="684">
        <f>IF(終値!A230="","",IF(AND(高値!AB230&gt;高値!AA230,高値!AB230&gt;高値!Z230,高値!AB230&gt;高値!AC230,高値!AB230&gt;高値!AD230),23,""))</f>
      </c>
      <c r="AY230" s="684">
        <f>IF(終値!A230="","",IF(AND(高値!AC230&gt;高値!AB230,高値!AC230&gt;高値!AA230,高値!AC230&gt;高値!AD230,高値!AC230&gt;高値!AE230),24,""))</f>
      </c>
      <c r="AZ230" s="684">
        <f>IF(終値!A230="","",IF(AND(高値!AD230&gt;高値!AC230,高値!AD230&gt;高値!AB230,高値!AD230&gt;高値!AE230,高値!AD230&gt;高値!AF230),25,""))</f>
      </c>
      <c r="BA230" s="684">
        <f>IF(終値!A230="","",IF(AND(高値!AE230&gt;高値!AD230,高値!AE230&gt;高値!AC230,高値!AE230&gt;高値!AF230,高値!AE230&gt;高値!AG230),26,""))</f>
      </c>
      <c r="BB230" s="684">
        <f>IF(終値!A230="","",IF(AND(高値!AF230&gt;高値!AE230,高値!AF230&gt;高値!AD230,高値!AF230&gt;高値!AG230,高値!AF230&gt;高値!AH230),27,""))</f>
      </c>
      <c r="BC230" s="684">
        <f>IF(終値!A230="","",IF(AND(高値!AG230&gt;高値!AF230,高値!AG230&gt;高値!AE230,高値!AG230&gt;高値!AH230,高値!AG230&gt;高値!AI230),28,""))</f>
      </c>
      <c r="BD230" s="684">
        <f>COUNT($B230:$AB230)</f>
      </c>
      <c r="BE230" s="684">
        <f>IF($BD230&gt;=2,MIN($B230:$AB230),"")</f>
      </c>
      <c r="BF230" s="684">
        <f>IF($BD230&gt;=2,SMALL($B230:$AB230,2),"")</f>
      </c>
      <c r="BG230" s="684">
        <f>IF($BE230="","",INDEX(安値!$E230:$CZ230,1,$BE230+1))</f>
      </c>
      <c r="BH230" s="684">
        <f>IF($BF230="","",INDEX(安値!$E230:$CZ230,1,$BF230+1))</f>
      </c>
      <c r="BI230" s="684">
        <f>IF($BF230="","",MAX(INDEX(高値!$E230:$CZ230,1,$BE230+1):INDEX(高値!$E230:$CZ230,1,$BF230+1)))</f>
      </c>
      <c r="BJ230" s="684">
        <f>IF($BF230="","",AVERAGE(INDEX(終値!$E230:$CZ230,1,$BF230+1):INDEX(終値!$E230:$CZ230,1,$BF230+20))-2*STDEVP(INDEX(終値!$E230:$CZ230,1,$BF230+1):INDEX(終値!$E230:$CZ230,1,$BF230+20)))</f>
      </c>
      <c r="BK230" s="684">
        <f>IF($BE230="","",AVERAGE(INDEX(終値!$E230:$CZ230,1,$BE230+1):INDEX(終値!$E230:$CZ230,1,$BE230+20))-2*STDEVP(INDEX(終値!$E230:$CZ230,1,$BE230+1):INDEX(終値!$E230:$CZ230,1,$BE230+20)))</f>
      </c>
      <c r="BL230" s="684">
        <f>COUNT($AC230:$BC230)</f>
      </c>
      <c r="BM230" s="684">
        <f>IF($BL230&gt;=2,MIN($AC230:$BC230),"")</f>
      </c>
      <c r="BN230" s="684">
        <f>IF($BL230&gt;=2,SMALL($AC230:$BC230,2),"")</f>
      </c>
      <c r="BO230" s="684">
        <f>IF($BM230="","",INDEX(高値!$E230:$CZ230,1,$BM230+1))</f>
      </c>
      <c r="BP230" s="684">
        <f>IF($BN230="","",INDEX(高値!$E230:$CZ230,1,$BN230+1))</f>
      </c>
      <c r="BQ230" s="684">
        <f>IF($BN230="","",MIN(INDEX(安値!$E230:$CZ230,1,$BM230+1):INDEX(安値!$E230:$CZ230,1,$BN230+1)))</f>
      </c>
      <c r="BR230" s="684">
        <f>IF($BN230="","",AVERAGE(INDEX(終値!$E230:$CZ230,1,$BN230+1):INDEX(終値!$E230:$CZ230,1,$BN230+20))+2*STDEVP(INDEX(終値!$E230:$CZ230,1,$BN230+1):INDEX(終値!$E230:$CZ230,1,$BN230+20)))</f>
      </c>
      <c r="BS230" s="684">
        <f>IF($BM230="","",AVERAGE(INDEX(終値!$E230:$CZ230,1,$BM230+1):INDEX(終値!$E230:$CZ230,1,$BM230+20))+2*STDEVP(INDEX(終値!$E230:$CZ230,1,$BM230+1):INDEX(終値!$E230:$CZ230,1,$BM230+20)))</f>
      </c>
      <c r="BT230" s="681">
        <f>IFERROR(IF(AND($BD230&gt;=2,ABS($BG230-$BH230)/$BH230&lt;=BB設定!$B$12,$BI230&gt;=MAX($BH230,$BG230)*(1+BB設定!$B$13),終値!E230&gt;$BG230),IF(OR(終値!E230&gt;=$BI230,AND($BH230&lt;$BJ230,$BG230&gt;=$BK230)),"二番底W▲","二番底W形成"),IF(AND($BL230&gt;=2,ABS($BO230-$BP230)/$BP230&lt;=BB設定!$B$12,$BQ230&lt;=MIN($BP230,$BO230)*(1-BB設定!$B$13),終値!E230&lt;$BO230),IF(OR(終値!E230&lt;=$BQ230,AND($BP230&gt;$BR230,$BO230&lt;=$BS230)),"二番天井M▼","二番天井M形成"),"－")),"－")</f>
      </c>
    </row>
    <row r="231">
      <c r="B231" s="684">
        <f>IF(終値!A231="","",IF(AND(安値!G231&lt;安値!F231,安値!G231&lt;安値!E231,安値!G231&lt;安値!H231,安値!G231&lt;安値!I231),2,""))</f>
      </c>
      <c r="C231" s="684">
        <f>IF(終値!A231="","",IF(AND(安値!H231&lt;安値!G231,安値!H231&lt;安値!F231,安値!H231&lt;安値!I231,安値!H231&lt;安値!J231),3,""))</f>
      </c>
      <c r="D231" s="684">
        <f>IF(終値!A231="","",IF(AND(安値!I231&lt;安値!H231,安値!I231&lt;安値!G231,安値!I231&lt;安値!J231,安値!I231&lt;安値!K231),4,""))</f>
      </c>
      <c r="E231" s="684">
        <f>IF(終値!A231="","",IF(AND(安値!J231&lt;安値!I231,安値!J231&lt;安値!H231,安値!J231&lt;安値!K231,安値!J231&lt;安値!L231),5,""))</f>
      </c>
      <c r="F231" s="684">
        <f>IF(終値!A231="","",IF(AND(安値!K231&lt;安値!J231,安値!K231&lt;安値!I231,安値!K231&lt;安値!L231,安値!K231&lt;安値!M231),6,""))</f>
      </c>
      <c r="G231" s="684">
        <f>IF(終値!A231="","",IF(AND(安値!L231&lt;安値!K231,安値!L231&lt;安値!J231,安値!L231&lt;安値!M231,安値!L231&lt;安値!N231),7,""))</f>
      </c>
      <c r="H231" s="684">
        <f>IF(終値!A231="","",IF(AND(安値!M231&lt;安値!L231,安値!M231&lt;安値!K231,安値!M231&lt;安値!N231,安値!M231&lt;安値!O231),8,""))</f>
      </c>
      <c r="I231" s="684">
        <f>IF(終値!A231="","",IF(AND(安値!N231&lt;安値!M231,安値!N231&lt;安値!L231,安値!N231&lt;安値!O231,安値!N231&lt;安値!P231),9,""))</f>
      </c>
      <c r="J231" s="684">
        <f>IF(終値!A231="","",IF(AND(安値!O231&lt;安値!N231,安値!O231&lt;安値!M231,安値!O231&lt;安値!P231,安値!O231&lt;安値!Q231),10,""))</f>
      </c>
      <c r="K231" s="684">
        <f>IF(終値!A231="","",IF(AND(安値!P231&lt;安値!O231,安値!P231&lt;安値!N231,安値!P231&lt;安値!Q231,安値!P231&lt;安値!R231),11,""))</f>
      </c>
      <c r="L231" s="684">
        <f>IF(終値!A231="","",IF(AND(安値!Q231&lt;安値!P231,安値!Q231&lt;安値!O231,安値!Q231&lt;安値!R231,安値!Q231&lt;安値!S231),12,""))</f>
      </c>
      <c r="M231" s="684">
        <f>IF(終値!A231="","",IF(AND(安値!R231&lt;安値!Q231,安値!R231&lt;安値!P231,安値!R231&lt;安値!S231,安値!R231&lt;安値!T231),13,""))</f>
      </c>
      <c r="N231" s="684">
        <f>IF(終値!A231="","",IF(AND(安値!S231&lt;安値!R231,安値!S231&lt;安値!Q231,安値!S231&lt;安値!T231,安値!S231&lt;安値!U231),14,""))</f>
      </c>
      <c r="O231" s="684">
        <f>IF(終値!A231="","",IF(AND(安値!T231&lt;安値!S231,安値!T231&lt;安値!R231,安値!T231&lt;安値!U231,安値!T231&lt;安値!V231),15,""))</f>
      </c>
      <c r="P231" s="684">
        <f>IF(終値!A231="","",IF(AND(安値!U231&lt;安値!T231,安値!U231&lt;安値!S231,安値!U231&lt;安値!V231,安値!U231&lt;安値!W231),16,""))</f>
      </c>
      <c r="Q231" s="684">
        <f>IF(終値!A231="","",IF(AND(安値!V231&lt;安値!U231,安値!V231&lt;安値!T231,安値!V231&lt;安値!W231,安値!V231&lt;安値!X231),17,""))</f>
      </c>
      <c r="R231" s="684">
        <f>IF(終値!A231="","",IF(AND(安値!W231&lt;安値!V231,安値!W231&lt;安値!U231,安値!W231&lt;安値!X231,安値!W231&lt;安値!Y231),18,""))</f>
      </c>
      <c r="S231" s="684">
        <f>IF(終値!A231="","",IF(AND(安値!X231&lt;安値!W231,安値!X231&lt;安値!V231,安値!X231&lt;安値!Y231,安値!X231&lt;安値!Z231),19,""))</f>
      </c>
      <c r="T231" s="684">
        <f>IF(終値!A231="","",IF(AND(安値!Y231&lt;安値!X231,安値!Y231&lt;安値!W231,安値!Y231&lt;安値!Z231,安値!Y231&lt;安値!AA231),20,""))</f>
      </c>
      <c r="U231" s="684">
        <f>IF(終値!A231="","",IF(AND(安値!Z231&lt;安値!Y231,安値!Z231&lt;安値!X231,安値!Z231&lt;安値!AA231,安値!Z231&lt;安値!AB231),21,""))</f>
      </c>
      <c r="V231" s="684">
        <f>IF(終値!A231="","",IF(AND(安値!AA231&lt;安値!Z231,安値!AA231&lt;安値!Y231,安値!AA231&lt;安値!AB231,安値!AA231&lt;安値!AC231),22,""))</f>
      </c>
      <c r="W231" s="684">
        <f>IF(終値!A231="","",IF(AND(安値!AB231&lt;安値!AA231,安値!AB231&lt;安値!Z231,安値!AB231&lt;安値!AC231,安値!AB231&lt;安値!AD231),23,""))</f>
      </c>
      <c r="X231" s="684">
        <f>IF(終値!A231="","",IF(AND(安値!AC231&lt;安値!AB231,安値!AC231&lt;安値!AA231,安値!AC231&lt;安値!AD231,安値!AC231&lt;安値!AE231),24,""))</f>
      </c>
      <c r="Y231" s="684">
        <f>IF(終値!A231="","",IF(AND(安値!AD231&lt;安値!AC231,安値!AD231&lt;安値!AB231,安値!AD231&lt;安値!AE231,安値!AD231&lt;安値!AF231),25,""))</f>
      </c>
      <c r="Z231" s="684">
        <f>IF(終値!A231="","",IF(AND(安値!AE231&lt;安値!AD231,安値!AE231&lt;安値!AC231,安値!AE231&lt;安値!AF231,安値!AE231&lt;安値!AG231),26,""))</f>
      </c>
      <c r="AA231" s="684">
        <f>IF(終値!A231="","",IF(AND(安値!AF231&lt;安値!AE231,安値!AF231&lt;安値!AD231,安値!AF231&lt;安値!AG231,安値!AF231&lt;安値!AH231),27,""))</f>
      </c>
      <c r="AB231" s="684">
        <f>IF(終値!A231="","",IF(AND(安値!AG231&lt;安値!AF231,安値!AG231&lt;安値!AE231,安値!AG231&lt;安値!AH231,安値!AG231&lt;安値!AI231),28,""))</f>
      </c>
      <c r="AC231" s="684">
        <f>IF(終値!A231="","",IF(AND(高値!G231&gt;高値!F231,高値!G231&gt;高値!E231,高値!G231&gt;高値!H231,高値!G231&gt;高値!I231),2,""))</f>
      </c>
      <c r="AD231" s="684">
        <f>IF(終値!A231="","",IF(AND(高値!H231&gt;高値!G231,高値!H231&gt;高値!F231,高値!H231&gt;高値!I231,高値!H231&gt;高値!J231),3,""))</f>
      </c>
      <c r="AE231" s="684">
        <f>IF(終値!A231="","",IF(AND(高値!I231&gt;高値!H231,高値!I231&gt;高値!G231,高値!I231&gt;高値!J231,高値!I231&gt;高値!K231),4,""))</f>
      </c>
      <c r="AF231" s="684">
        <f>IF(終値!A231="","",IF(AND(高値!J231&gt;高値!I231,高値!J231&gt;高値!H231,高値!J231&gt;高値!K231,高値!J231&gt;高値!L231),5,""))</f>
      </c>
      <c r="AG231" s="684">
        <f>IF(終値!A231="","",IF(AND(高値!K231&gt;高値!J231,高値!K231&gt;高値!I231,高値!K231&gt;高値!L231,高値!K231&gt;高値!M231),6,""))</f>
      </c>
      <c r="AH231" s="684">
        <f>IF(終値!A231="","",IF(AND(高値!L231&gt;高値!K231,高値!L231&gt;高値!J231,高値!L231&gt;高値!M231,高値!L231&gt;高値!N231),7,""))</f>
      </c>
      <c r="AI231" s="684">
        <f>IF(終値!A231="","",IF(AND(高値!M231&gt;高値!L231,高値!M231&gt;高値!K231,高値!M231&gt;高値!N231,高値!M231&gt;高値!O231),8,""))</f>
      </c>
      <c r="AJ231" s="684">
        <f>IF(終値!A231="","",IF(AND(高値!N231&gt;高値!M231,高値!N231&gt;高値!L231,高値!N231&gt;高値!O231,高値!N231&gt;高値!P231),9,""))</f>
      </c>
      <c r="AK231" s="684">
        <f>IF(終値!A231="","",IF(AND(高値!O231&gt;高値!N231,高値!O231&gt;高値!M231,高値!O231&gt;高値!P231,高値!O231&gt;高値!Q231),10,""))</f>
      </c>
      <c r="AL231" s="684">
        <f>IF(終値!A231="","",IF(AND(高値!P231&gt;高値!O231,高値!P231&gt;高値!N231,高値!P231&gt;高値!Q231,高値!P231&gt;高値!R231),11,""))</f>
      </c>
      <c r="AM231" s="684">
        <f>IF(終値!A231="","",IF(AND(高値!Q231&gt;高値!P231,高値!Q231&gt;高値!O231,高値!Q231&gt;高値!R231,高値!Q231&gt;高値!S231),12,""))</f>
      </c>
      <c r="AN231" s="684">
        <f>IF(終値!A231="","",IF(AND(高値!R231&gt;高値!Q231,高値!R231&gt;高値!P231,高値!R231&gt;高値!S231,高値!R231&gt;高値!T231),13,""))</f>
      </c>
      <c r="AO231" s="684">
        <f>IF(終値!A231="","",IF(AND(高値!S231&gt;高値!R231,高値!S231&gt;高値!Q231,高値!S231&gt;高値!T231,高値!S231&gt;高値!U231),14,""))</f>
      </c>
      <c r="AP231" s="684">
        <f>IF(終値!A231="","",IF(AND(高値!T231&gt;高値!S231,高値!T231&gt;高値!R231,高値!T231&gt;高値!U231,高値!T231&gt;高値!V231),15,""))</f>
      </c>
      <c r="AQ231" s="684">
        <f>IF(終値!A231="","",IF(AND(高値!U231&gt;高値!T231,高値!U231&gt;高値!S231,高値!U231&gt;高値!V231,高値!U231&gt;高値!W231),16,""))</f>
      </c>
      <c r="AR231" s="684">
        <f>IF(終値!A231="","",IF(AND(高値!V231&gt;高値!U231,高値!V231&gt;高値!T231,高値!V231&gt;高値!W231,高値!V231&gt;高値!X231),17,""))</f>
      </c>
      <c r="AS231" s="684">
        <f>IF(終値!A231="","",IF(AND(高値!W231&gt;高値!V231,高値!W231&gt;高値!U231,高値!W231&gt;高値!X231,高値!W231&gt;高値!Y231),18,""))</f>
      </c>
      <c r="AT231" s="684">
        <f>IF(終値!A231="","",IF(AND(高値!X231&gt;高値!W231,高値!X231&gt;高値!V231,高値!X231&gt;高値!Y231,高値!X231&gt;高値!Z231),19,""))</f>
      </c>
      <c r="AU231" s="684">
        <f>IF(終値!A231="","",IF(AND(高値!Y231&gt;高値!X231,高値!Y231&gt;高値!W231,高値!Y231&gt;高値!Z231,高値!Y231&gt;高値!AA231),20,""))</f>
      </c>
      <c r="AV231" s="684">
        <f>IF(終値!A231="","",IF(AND(高値!Z231&gt;高値!Y231,高値!Z231&gt;高値!X231,高値!Z231&gt;高値!AA231,高値!Z231&gt;高値!AB231),21,""))</f>
      </c>
      <c r="AW231" s="684">
        <f>IF(終値!A231="","",IF(AND(高値!AA231&gt;高値!Z231,高値!AA231&gt;高値!Y231,高値!AA231&gt;高値!AB231,高値!AA231&gt;高値!AC231),22,""))</f>
      </c>
      <c r="AX231" s="684">
        <f>IF(終値!A231="","",IF(AND(高値!AB231&gt;高値!AA231,高値!AB231&gt;高値!Z231,高値!AB231&gt;高値!AC231,高値!AB231&gt;高値!AD231),23,""))</f>
      </c>
      <c r="AY231" s="684">
        <f>IF(終値!A231="","",IF(AND(高値!AC231&gt;高値!AB231,高値!AC231&gt;高値!AA231,高値!AC231&gt;高値!AD231,高値!AC231&gt;高値!AE231),24,""))</f>
      </c>
      <c r="AZ231" s="684">
        <f>IF(終値!A231="","",IF(AND(高値!AD231&gt;高値!AC231,高値!AD231&gt;高値!AB231,高値!AD231&gt;高値!AE231,高値!AD231&gt;高値!AF231),25,""))</f>
      </c>
      <c r="BA231" s="684">
        <f>IF(終値!A231="","",IF(AND(高値!AE231&gt;高値!AD231,高値!AE231&gt;高値!AC231,高値!AE231&gt;高値!AF231,高値!AE231&gt;高値!AG231),26,""))</f>
      </c>
      <c r="BB231" s="684">
        <f>IF(終値!A231="","",IF(AND(高値!AF231&gt;高値!AE231,高値!AF231&gt;高値!AD231,高値!AF231&gt;高値!AG231,高値!AF231&gt;高値!AH231),27,""))</f>
      </c>
      <c r="BC231" s="684">
        <f>IF(終値!A231="","",IF(AND(高値!AG231&gt;高値!AF231,高値!AG231&gt;高値!AE231,高値!AG231&gt;高値!AH231,高値!AG231&gt;高値!AI231),28,""))</f>
      </c>
      <c r="BD231" s="684">
        <f>COUNT($B231:$AB231)</f>
      </c>
      <c r="BE231" s="684">
        <f>IF($BD231&gt;=2,MIN($B231:$AB231),"")</f>
      </c>
      <c r="BF231" s="684">
        <f>IF($BD231&gt;=2,SMALL($B231:$AB231,2),"")</f>
      </c>
      <c r="BG231" s="684">
        <f>IF($BE231="","",INDEX(安値!$E231:$CZ231,1,$BE231+1))</f>
      </c>
      <c r="BH231" s="684">
        <f>IF($BF231="","",INDEX(安値!$E231:$CZ231,1,$BF231+1))</f>
      </c>
      <c r="BI231" s="684">
        <f>IF($BF231="","",MAX(INDEX(高値!$E231:$CZ231,1,$BE231+1):INDEX(高値!$E231:$CZ231,1,$BF231+1)))</f>
      </c>
      <c r="BJ231" s="684">
        <f>IF($BF231="","",AVERAGE(INDEX(終値!$E231:$CZ231,1,$BF231+1):INDEX(終値!$E231:$CZ231,1,$BF231+20))-2*STDEVP(INDEX(終値!$E231:$CZ231,1,$BF231+1):INDEX(終値!$E231:$CZ231,1,$BF231+20)))</f>
      </c>
      <c r="BK231" s="684">
        <f>IF($BE231="","",AVERAGE(INDEX(終値!$E231:$CZ231,1,$BE231+1):INDEX(終値!$E231:$CZ231,1,$BE231+20))-2*STDEVP(INDEX(終値!$E231:$CZ231,1,$BE231+1):INDEX(終値!$E231:$CZ231,1,$BE231+20)))</f>
      </c>
      <c r="BL231" s="684">
        <f>COUNT($AC231:$BC231)</f>
      </c>
      <c r="BM231" s="684">
        <f>IF($BL231&gt;=2,MIN($AC231:$BC231),"")</f>
      </c>
      <c r="BN231" s="684">
        <f>IF($BL231&gt;=2,SMALL($AC231:$BC231,2),"")</f>
      </c>
      <c r="BO231" s="684">
        <f>IF($BM231="","",INDEX(高値!$E231:$CZ231,1,$BM231+1))</f>
      </c>
      <c r="BP231" s="684">
        <f>IF($BN231="","",INDEX(高値!$E231:$CZ231,1,$BN231+1))</f>
      </c>
      <c r="BQ231" s="684">
        <f>IF($BN231="","",MIN(INDEX(安値!$E231:$CZ231,1,$BM231+1):INDEX(安値!$E231:$CZ231,1,$BN231+1)))</f>
      </c>
      <c r="BR231" s="684">
        <f>IF($BN231="","",AVERAGE(INDEX(終値!$E231:$CZ231,1,$BN231+1):INDEX(終値!$E231:$CZ231,1,$BN231+20))+2*STDEVP(INDEX(終値!$E231:$CZ231,1,$BN231+1):INDEX(終値!$E231:$CZ231,1,$BN231+20)))</f>
      </c>
      <c r="BS231" s="684">
        <f>IF($BM231="","",AVERAGE(INDEX(終値!$E231:$CZ231,1,$BM231+1):INDEX(終値!$E231:$CZ231,1,$BM231+20))+2*STDEVP(INDEX(終値!$E231:$CZ231,1,$BM231+1):INDEX(終値!$E231:$CZ231,1,$BM231+20)))</f>
      </c>
      <c r="BT231" s="681">
        <f>IFERROR(IF(AND($BD231&gt;=2,ABS($BG231-$BH231)/$BH231&lt;=BB設定!$B$12,$BI231&gt;=MAX($BH231,$BG231)*(1+BB設定!$B$13),終値!E231&gt;$BG231),IF(OR(終値!E231&gt;=$BI231,AND($BH231&lt;$BJ231,$BG231&gt;=$BK231)),"二番底W▲","二番底W形成"),IF(AND($BL231&gt;=2,ABS($BO231-$BP231)/$BP231&lt;=BB設定!$B$12,$BQ231&lt;=MIN($BP231,$BO231)*(1-BB設定!$B$13),終値!E231&lt;$BO231),IF(OR(終値!E231&lt;=$BQ231,AND($BP231&gt;$BR231,$BO231&lt;=$BS231)),"二番天井M▼","二番天井M形成"),"－")),"－")</f>
      </c>
    </row>
    <row r="232">
      <c r="B232" s="684">
        <f>IF(終値!A232="","",IF(AND(安値!G232&lt;安値!F232,安値!G232&lt;安値!E232,安値!G232&lt;安値!H232,安値!G232&lt;安値!I232),2,""))</f>
      </c>
      <c r="C232" s="684">
        <f>IF(終値!A232="","",IF(AND(安値!H232&lt;安値!G232,安値!H232&lt;安値!F232,安値!H232&lt;安値!I232,安値!H232&lt;安値!J232),3,""))</f>
      </c>
      <c r="D232" s="684">
        <f>IF(終値!A232="","",IF(AND(安値!I232&lt;安値!H232,安値!I232&lt;安値!G232,安値!I232&lt;安値!J232,安値!I232&lt;安値!K232),4,""))</f>
      </c>
      <c r="E232" s="684">
        <f>IF(終値!A232="","",IF(AND(安値!J232&lt;安値!I232,安値!J232&lt;安値!H232,安値!J232&lt;安値!K232,安値!J232&lt;安値!L232),5,""))</f>
      </c>
      <c r="F232" s="684">
        <f>IF(終値!A232="","",IF(AND(安値!K232&lt;安値!J232,安値!K232&lt;安値!I232,安値!K232&lt;安値!L232,安値!K232&lt;安値!M232),6,""))</f>
      </c>
      <c r="G232" s="684">
        <f>IF(終値!A232="","",IF(AND(安値!L232&lt;安値!K232,安値!L232&lt;安値!J232,安値!L232&lt;安値!M232,安値!L232&lt;安値!N232),7,""))</f>
      </c>
      <c r="H232" s="684">
        <f>IF(終値!A232="","",IF(AND(安値!M232&lt;安値!L232,安値!M232&lt;安値!K232,安値!M232&lt;安値!N232,安値!M232&lt;安値!O232),8,""))</f>
      </c>
      <c r="I232" s="684">
        <f>IF(終値!A232="","",IF(AND(安値!N232&lt;安値!M232,安値!N232&lt;安値!L232,安値!N232&lt;安値!O232,安値!N232&lt;安値!P232),9,""))</f>
      </c>
      <c r="J232" s="684">
        <f>IF(終値!A232="","",IF(AND(安値!O232&lt;安値!N232,安値!O232&lt;安値!M232,安値!O232&lt;安値!P232,安値!O232&lt;安値!Q232),10,""))</f>
      </c>
      <c r="K232" s="684">
        <f>IF(終値!A232="","",IF(AND(安値!P232&lt;安値!O232,安値!P232&lt;安値!N232,安値!P232&lt;安値!Q232,安値!P232&lt;安値!R232),11,""))</f>
      </c>
      <c r="L232" s="684">
        <f>IF(終値!A232="","",IF(AND(安値!Q232&lt;安値!P232,安値!Q232&lt;安値!O232,安値!Q232&lt;安値!R232,安値!Q232&lt;安値!S232),12,""))</f>
      </c>
      <c r="M232" s="684">
        <f>IF(終値!A232="","",IF(AND(安値!R232&lt;安値!Q232,安値!R232&lt;安値!P232,安値!R232&lt;安値!S232,安値!R232&lt;安値!T232),13,""))</f>
      </c>
      <c r="N232" s="684">
        <f>IF(終値!A232="","",IF(AND(安値!S232&lt;安値!R232,安値!S232&lt;安値!Q232,安値!S232&lt;安値!T232,安値!S232&lt;安値!U232),14,""))</f>
      </c>
      <c r="O232" s="684">
        <f>IF(終値!A232="","",IF(AND(安値!T232&lt;安値!S232,安値!T232&lt;安値!R232,安値!T232&lt;安値!U232,安値!T232&lt;安値!V232),15,""))</f>
      </c>
      <c r="P232" s="684">
        <f>IF(終値!A232="","",IF(AND(安値!U232&lt;安値!T232,安値!U232&lt;安値!S232,安値!U232&lt;安値!V232,安値!U232&lt;安値!W232),16,""))</f>
      </c>
      <c r="Q232" s="684">
        <f>IF(終値!A232="","",IF(AND(安値!V232&lt;安値!U232,安値!V232&lt;安値!T232,安値!V232&lt;安値!W232,安値!V232&lt;安値!X232),17,""))</f>
      </c>
      <c r="R232" s="684">
        <f>IF(終値!A232="","",IF(AND(安値!W232&lt;安値!V232,安値!W232&lt;安値!U232,安値!W232&lt;安値!X232,安値!W232&lt;安値!Y232),18,""))</f>
      </c>
      <c r="S232" s="684">
        <f>IF(終値!A232="","",IF(AND(安値!X232&lt;安値!W232,安値!X232&lt;安値!V232,安値!X232&lt;安値!Y232,安値!X232&lt;安値!Z232),19,""))</f>
      </c>
      <c r="T232" s="684">
        <f>IF(終値!A232="","",IF(AND(安値!Y232&lt;安値!X232,安値!Y232&lt;安値!W232,安値!Y232&lt;安値!Z232,安値!Y232&lt;安値!AA232),20,""))</f>
      </c>
      <c r="U232" s="684">
        <f>IF(終値!A232="","",IF(AND(安値!Z232&lt;安値!Y232,安値!Z232&lt;安値!X232,安値!Z232&lt;安値!AA232,安値!Z232&lt;安値!AB232),21,""))</f>
      </c>
      <c r="V232" s="684">
        <f>IF(終値!A232="","",IF(AND(安値!AA232&lt;安値!Z232,安値!AA232&lt;安値!Y232,安値!AA232&lt;安値!AB232,安値!AA232&lt;安値!AC232),22,""))</f>
      </c>
      <c r="W232" s="684">
        <f>IF(終値!A232="","",IF(AND(安値!AB232&lt;安値!AA232,安値!AB232&lt;安値!Z232,安値!AB232&lt;安値!AC232,安値!AB232&lt;安値!AD232),23,""))</f>
      </c>
      <c r="X232" s="684">
        <f>IF(終値!A232="","",IF(AND(安値!AC232&lt;安値!AB232,安値!AC232&lt;安値!AA232,安値!AC232&lt;安値!AD232,安値!AC232&lt;安値!AE232),24,""))</f>
      </c>
      <c r="Y232" s="684">
        <f>IF(終値!A232="","",IF(AND(安値!AD232&lt;安値!AC232,安値!AD232&lt;安値!AB232,安値!AD232&lt;安値!AE232,安値!AD232&lt;安値!AF232),25,""))</f>
      </c>
      <c r="Z232" s="684">
        <f>IF(終値!A232="","",IF(AND(安値!AE232&lt;安値!AD232,安値!AE232&lt;安値!AC232,安値!AE232&lt;安値!AF232,安値!AE232&lt;安値!AG232),26,""))</f>
      </c>
      <c r="AA232" s="684">
        <f>IF(終値!A232="","",IF(AND(安値!AF232&lt;安値!AE232,安値!AF232&lt;安値!AD232,安値!AF232&lt;安値!AG232,安値!AF232&lt;安値!AH232),27,""))</f>
      </c>
      <c r="AB232" s="684">
        <f>IF(終値!A232="","",IF(AND(安値!AG232&lt;安値!AF232,安値!AG232&lt;安値!AE232,安値!AG232&lt;安値!AH232,安値!AG232&lt;安値!AI232),28,""))</f>
      </c>
      <c r="AC232" s="684">
        <f>IF(終値!A232="","",IF(AND(高値!G232&gt;高値!F232,高値!G232&gt;高値!E232,高値!G232&gt;高値!H232,高値!G232&gt;高値!I232),2,""))</f>
      </c>
      <c r="AD232" s="684">
        <f>IF(終値!A232="","",IF(AND(高値!H232&gt;高値!G232,高値!H232&gt;高値!F232,高値!H232&gt;高値!I232,高値!H232&gt;高値!J232),3,""))</f>
      </c>
      <c r="AE232" s="684">
        <f>IF(終値!A232="","",IF(AND(高値!I232&gt;高値!H232,高値!I232&gt;高値!G232,高値!I232&gt;高値!J232,高値!I232&gt;高値!K232),4,""))</f>
      </c>
      <c r="AF232" s="684">
        <f>IF(終値!A232="","",IF(AND(高値!J232&gt;高値!I232,高値!J232&gt;高値!H232,高値!J232&gt;高値!K232,高値!J232&gt;高値!L232),5,""))</f>
      </c>
      <c r="AG232" s="684">
        <f>IF(終値!A232="","",IF(AND(高値!K232&gt;高値!J232,高値!K232&gt;高値!I232,高値!K232&gt;高値!L232,高値!K232&gt;高値!M232),6,""))</f>
      </c>
      <c r="AH232" s="684">
        <f>IF(終値!A232="","",IF(AND(高値!L232&gt;高値!K232,高値!L232&gt;高値!J232,高値!L232&gt;高値!M232,高値!L232&gt;高値!N232),7,""))</f>
      </c>
      <c r="AI232" s="684">
        <f>IF(終値!A232="","",IF(AND(高値!M232&gt;高値!L232,高値!M232&gt;高値!K232,高値!M232&gt;高値!N232,高値!M232&gt;高値!O232),8,""))</f>
      </c>
      <c r="AJ232" s="684">
        <f>IF(終値!A232="","",IF(AND(高値!N232&gt;高値!M232,高値!N232&gt;高値!L232,高値!N232&gt;高値!O232,高値!N232&gt;高値!P232),9,""))</f>
      </c>
      <c r="AK232" s="684">
        <f>IF(終値!A232="","",IF(AND(高値!O232&gt;高値!N232,高値!O232&gt;高値!M232,高値!O232&gt;高値!P232,高値!O232&gt;高値!Q232),10,""))</f>
      </c>
      <c r="AL232" s="684">
        <f>IF(終値!A232="","",IF(AND(高値!P232&gt;高値!O232,高値!P232&gt;高値!N232,高値!P232&gt;高値!Q232,高値!P232&gt;高値!R232),11,""))</f>
      </c>
      <c r="AM232" s="684">
        <f>IF(終値!A232="","",IF(AND(高値!Q232&gt;高値!P232,高値!Q232&gt;高値!O232,高値!Q232&gt;高値!R232,高値!Q232&gt;高値!S232),12,""))</f>
      </c>
      <c r="AN232" s="684">
        <f>IF(終値!A232="","",IF(AND(高値!R232&gt;高値!Q232,高値!R232&gt;高値!P232,高値!R232&gt;高値!S232,高値!R232&gt;高値!T232),13,""))</f>
      </c>
      <c r="AO232" s="684">
        <f>IF(終値!A232="","",IF(AND(高値!S232&gt;高値!R232,高値!S232&gt;高値!Q232,高値!S232&gt;高値!T232,高値!S232&gt;高値!U232),14,""))</f>
      </c>
      <c r="AP232" s="684">
        <f>IF(終値!A232="","",IF(AND(高値!T232&gt;高値!S232,高値!T232&gt;高値!R232,高値!T232&gt;高値!U232,高値!T232&gt;高値!V232),15,""))</f>
      </c>
      <c r="AQ232" s="684">
        <f>IF(終値!A232="","",IF(AND(高値!U232&gt;高値!T232,高値!U232&gt;高値!S232,高値!U232&gt;高値!V232,高値!U232&gt;高値!W232),16,""))</f>
      </c>
      <c r="AR232" s="684">
        <f>IF(終値!A232="","",IF(AND(高値!V232&gt;高値!U232,高値!V232&gt;高値!T232,高値!V232&gt;高値!W232,高値!V232&gt;高値!X232),17,""))</f>
      </c>
      <c r="AS232" s="684">
        <f>IF(終値!A232="","",IF(AND(高値!W232&gt;高値!V232,高値!W232&gt;高値!U232,高値!W232&gt;高値!X232,高値!W232&gt;高値!Y232),18,""))</f>
      </c>
      <c r="AT232" s="684">
        <f>IF(終値!A232="","",IF(AND(高値!X232&gt;高値!W232,高値!X232&gt;高値!V232,高値!X232&gt;高値!Y232,高値!X232&gt;高値!Z232),19,""))</f>
      </c>
      <c r="AU232" s="684">
        <f>IF(終値!A232="","",IF(AND(高値!Y232&gt;高値!X232,高値!Y232&gt;高値!W232,高値!Y232&gt;高値!Z232,高値!Y232&gt;高値!AA232),20,""))</f>
      </c>
      <c r="AV232" s="684">
        <f>IF(終値!A232="","",IF(AND(高値!Z232&gt;高値!Y232,高値!Z232&gt;高値!X232,高値!Z232&gt;高値!AA232,高値!Z232&gt;高値!AB232),21,""))</f>
      </c>
      <c r="AW232" s="684">
        <f>IF(終値!A232="","",IF(AND(高値!AA232&gt;高値!Z232,高値!AA232&gt;高値!Y232,高値!AA232&gt;高値!AB232,高値!AA232&gt;高値!AC232),22,""))</f>
      </c>
      <c r="AX232" s="684">
        <f>IF(終値!A232="","",IF(AND(高値!AB232&gt;高値!AA232,高値!AB232&gt;高値!Z232,高値!AB232&gt;高値!AC232,高値!AB232&gt;高値!AD232),23,""))</f>
      </c>
      <c r="AY232" s="684">
        <f>IF(終値!A232="","",IF(AND(高値!AC232&gt;高値!AB232,高値!AC232&gt;高値!AA232,高値!AC232&gt;高値!AD232,高値!AC232&gt;高値!AE232),24,""))</f>
      </c>
      <c r="AZ232" s="684">
        <f>IF(終値!A232="","",IF(AND(高値!AD232&gt;高値!AC232,高値!AD232&gt;高値!AB232,高値!AD232&gt;高値!AE232,高値!AD232&gt;高値!AF232),25,""))</f>
      </c>
      <c r="BA232" s="684">
        <f>IF(終値!A232="","",IF(AND(高値!AE232&gt;高値!AD232,高値!AE232&gt;高値!AC232,高値!AE232&gt;高値!AF232,高値!AE232&gt;高値!AG232),26,""))</f>
      </c>
      <c r="BB232" s="684">
        <f>IF(終値!A232="","",IF(AND(高値!AF232&gt;高値!AE232,高値!AF232&gt;高値!AD232,高値!AF232&gt;高値!AG232,高値!AF232&gt;高値!AH232),27,""))</f>
      </c>
      <c r="BC232" s="684">
        <f>IF(終値!A232="","",IF(AND(高値!AG232&gt;高値!AF232,高値!AG232&gt;高値!AE232,高値!AG232&gt;高値!AH232,高値!AG232&gt;高値!AI232),28,""))</f>
      </c>
      <c r="BD232" s="684">
        <f>COUNT($B232:$AB232)</f>
      </c>
      <c r="BE232" s="684">
        <f>IF($BD232&gt;=2,MIN($B232:$AB232),"")</f>
      </c>
      <c r="BF232" s="684">
        <f>IF($BD232&gt;=2,SMALL($B232:$AB232,2),"")</f>
      </c>
      <c r="BG232" s="684">
        <f>IF($BE232="","",INDEX(安値!$E232:$CZ232,1,$BE232+1))</f>
      </c>
      <c r="BH232" s="684">
        <f>IF($BF232="","",INDEX(安値!$E232:$CZ232,1,$BF232+1))</f>
      </c>
      <c r="BI232" s="684">
        <f>IF($BF232="","",MAX(INDEX(高値!$E232:$CZ232,1,$BE232+1):INDEX(高値!$E232:$CZ232,1,$BF232+1)))</f>
      </c>
      <c r="BJ232" s="684">
        <f>IF($BF232="","",AVERAGE(INDEX(終値!$E232:$CZ232,1,$BF232+1):INDEX(終値!$E232:$CZ232,1,$BF232+20))-2*STDEVP(INDEX(終値!$E232:$CZ232,1,$BF232+1):INDEX(終値!$E232:$CZ232,1,$BF232+20)))</f>
      </c>
      <c r="BK232" s="684">
        <f>IF($BE232="","",AVERAGE(INDEX(終値!$E232:$CZ232,1,$BE232+1):INDEX(終値!$E232:$CZ232,1,$BE232+20))-2*STDEVP(INDEX(終値!$E232:$CZ232,1,$BE232+1):INDEX(終値!$E232:$CZ232,1,$BE232+20)))</f>
      </c>
      <c r="BL232" s="684">
        <f>COUNT($AC232:$BC232)</f>
      </c>
      <c r="BM232" s="684">
        <f>IF($BL232&gt;=2,MIN($AC232:$BC232),"")</f>
      </c>
      <c r="BN232" s="684">
        <f>IF($BL232&gt;=2,SMALL($AC232:$BC232,2),"")</f>
      </c>
      <c r="BO232" s="684">
        <f>IF($BM232="","",INDEX(高値!$E232:$CZ232,1,$BM232+1))</f>
      </c>
      <c r="BP232" s="684">
        <f>IF($BN232="","",INDEX(高値!$E232:$CZ232,1,$BN232+1))</f>
      </c>
      <c r="BQ232" s="684">
        <f>IF($BN232="","",MIN(INDEX(安値!$E232:$CZ232,1,$BM232+1):INDEX(安値!$E232:$CZ232,1,$BN232+1)))</f>
      </c>
      <c r="BR232" s="684">
        <f>IF($BN232="","",AVERAGE(INDEX(終値!$E232:$CZ232,1,$BN232+1):INDEX(終値!$E232:$CZ232,1,$BN232+20))+2*STDEVP(INDEX(終値!$E232:$CZ232,1,$BN232+1):INDEX(終値!$E232:$CZ232,1,$BN232+20)))</f>
      </c>
      <c r="BS232" s="684">
        <f>IF($BM232="","",AVERAGE(INDEX(終値!$E232:$CZ232,1,$BM232+1):INDEX(終値!$E232:$CZ232,1,$BM232+20))+2*STDEVP(INDEX(終値!$E232:$CZ232,1,$BM232+1):INDEX(終値!$E232:$CZ232,1,$BM232+20)))</f>
      </c>
      <c r="BT232" s="681">
        <f>IFERROR(IF(AND($BD232&gt;=2,ABS($BG232-$BH232)/$BH232&lt;=BB設定!$B$12,$BI232&gt;=MAX($BH232,$BG232)*(1+BB設定!$B$13),終値!E232&gt;$BG232),IF(OR(終値!E232&gt;=$BI232,AND($BH232&lt;$BJ232,$BG232&gt;=$BK232)),"二番底W▲","二番底W形成"),IF(AND($BL232&gt;=2,ABS($BO232-$BP232)/$BP232&lt;=BB設定!$B$12,$BQ232&lt;=MIN($BP232,$BO232)*(1-BB設定!$B$13),終値!E232&lt;$BO232),IF(OR(終値!E232&lt;=$BQ232,AND($BP232&gt;$BR232,$BO232&lt;=$BS232)),"二番天井M▼","二番天井M形成"),"－")),"－")</f>
      </c>
    </row>
    <row r="233">
      <c r="B233" s="684">
        <f>IF(終値!A233="","",IF(AND(安値!G233&lt;安値!F233,安値!G233&lt;安値!E233,安値!G233&lt;安値!H233,安値!G233&lt;安値!I233),2,""))</f>
      </c>
      <c r="C233" s="684">
        <f>IF(終値!A233="","",IF(AND(安値!H233&lt;安値!G233,安値!H233&lt;安値!F233,安値!H233&lt;安値!I233,安値!H233&lt;安値!J233),3,""))</f>
      </c>
      <c r="D233" s="684">
        <f>IF(終値!A233="","",IF(AND(安値!I233&lt;安値!H233,安値!I233&lt;安値!G233,安値!I233&lt;安値!J233,安値!I233&lt;安値!K233),4,""))</f>
      </c>
      <c r="E233" s="684">
        <f>IF(終値!A233="","",IF(AND(安値!J233&lt;安値!I233,安値!J233&lt;安値!H233,安値!J233&lt;安値!K233,安値!J233&lt;安値!L233),5,""))</f>
      </c>
      <c r="F233" s="684">
        <f>IF(終値!A233="","",IF(AND(安値!K233&lt;安値!J233,安値!K233&lt;安値!I233,安値!K233&lt;安値!L233,安値!K233&lt;安値!M233),6,""))</f>
      </c>
      <c r="G233" s="684">
        <f>IF(終値!A233="","",IF(AND(安値!L233&lt;安値!K233,安値!L233&lt;安値!J233,安値!L233&lt;安値!M233,安値!L233&lt;安値!N233),7,""))</f>
      </c>
      <c r="H233" s="684">
        <f>IF(終値!A233="","",IF(AND(安値!M233&lt;安値!L233,安値!M233&lt;安値!K233,安値!M233&lt;安値!N233,安値!M233&lt;安値!O233),8,""))</f>
      </c>
      <c r="I233" s="684">
        <f>IF(終値!A233="","",IF(AND(安値!N233&lt;安値!M233,安値!N233&lt;安値!L233,安値!N233&lt;安値!O233,安値!N233&lt;安値!P233),9,""))</f>
      </c>
      <c r="J233" s="684">
        <f>IF(終値!A233="","",IF(AND(安値!O233&lt;安値!N233,安値!O233&lt;安値!M233,安値!O233&lt;安値!P233,安値!O233&lt;安値!Q233),10,""))</f>
      </c>
      <c r="K233" s="684">
        <f>IF(終値!A233="","",IF(AND(安値!P233&lt;安値!O233,安値!P233&lt;安値!N233,安値!P233&lt;安値!Q233,安値!P233&lt;安値!R233),11,""))</f>
      </c>
      <c r="L233" s="684">
        <f>IF(終値!A233="","",IF(AND(安値!Q233&lt;安値!P233,安値!Q233&lt;安値!O233,安値!Q233&lt;安値!R233,安値!Q233&lt;安値!S233),12,""))</f>
      </c>
      <c r="M233" s="684">
        <f>IF(終値!A233="","",IF(AND(安値!R233&lt;安値!Q233,安値!R233&lt;安値!P233,安値!R233&lt;安値!S233,安値!R233&lt;安値!T233),13,""))</f>
      </c>
      <c r="N233" s="684">
        <f>IF(終値!A233="","",IF(AND(安値!S233&lt;安値!R233,安値!S233&lt;安値!Q233,安値!S233&lt;安値!T233,安値!S233&lt;安値!U233),14,""))</f>
      </c>
      <c r="O233" s="684">
        <f>IF(終値!A233="","",IF(AND(安値!T233&lt;安値!S233,安値!T233&lt;安値!R233,安値!T233&lt;安値!U233,安値!T233&lt;安値!V233),15,""))</f>
      </c>
      <c r="P233" s="684">
        <f>IF(終値!A233="","",IF(AND(安値!U233&lt;安値!T233,安値!U233&lt;安値!S233,安値!U233&lt;安値!V233,安値!U233&lt;安値!W233),16,""))</f>
      </c>
      <c r="Q233" s="684">
        <f>IF(終値!A233="","",IF(AND(安値!V233&lt;安値!U233,安値!V233&lt;安値!T233,安値!V233&lt;安値!W233,安値!V233&lt;安値!X233),17,""))</f>
      </c>
      <c r="R233" s="684">
        <f>IF(終値!A233="","",IF(AND(安値!W233&lt;安値!V233,安値!W233&lt;安値!U233,安値!W233&lt;安値!X233,安値!W233&lt;安値!Y233),18,""))</f>
      </c>
      <c r="S233" s="684">
        <f>IF(終値!A233="","",IF(AND(安値!X233&lt;安値!W233,安値!X233&lt;安値!V233,安値!X233&lt;安値!Y233,安値!X233&lt;安値!Z233),19,""))</f>
      </c>
      <c r="T233" s="684">
        <f>IF(終値!A233="","",IF(AND(安値!Y233&lt;安値!X233,安値!Y233&lt;安値!W233,安値!Y233&lt;安値!Z233,安値!Y233&lt;安値!AA233),20,""))</f>
      </c>
      <c r="U233" s="684">
        <f>IF(終値!A233="","",IF(AND(安値!Z233&lt;安値!Y233,安値!Z233&lt;安値!X233,安値!Z233&lt;安値!AA233,安値!Z233&lt;安値!AB233),21,""))</f>
      </c>
      <c r="V233" s="684">
        <f>IF(終値!A233="","",IF(AND(安値!AA233&lt;安値!Z233,安値!AA233&lt;安値!Y233,安値!AA233&lt;安値!AB233,安値!AA233&lt;安値!AC233),22,""))</f>
      </c>
      <c r="W233" s="684">
        <f>IF(終値!A233="","",IF(AND(安値!AB233&lt;安値!AA233,安値!AB233&lt;安値!Z233,安値!AB233&lt;安値!AC233,安値!AB233&lt;安値!AD233),23,""))</f>
      </c>
      <c r="X233" s="684">
        <f>IF(終値!A233="","",IF(AND(安値!AC233&lt;安値!AB233,安値!AC233&lt;安値!AA233,安値!AC233&lt;安値!AD233,安値!AC233&lt;安値!AE233),24,""))</f>
      </c>
      <c r="Y233" s="684">
        <f>IF(終値!A233="","",IF(AND(安値!AD233&lt;安値!AC233,安値!AD233&lt;安値!AB233,安値!AD233&lt;安値!AE233,安値!AD233&lt;安値!AF233),25,""))</f>
      </c>
      <c r="Z233" s="684">
        <f>IF(終値!A233="","",IF(AND(安値!AE233&lt;安値!AD233,安値!AE233&lt;安値!AC233,安値!AE233&lt;安値!AF233,安値!AE233&lt;安値!AG233),26,""))</f>
      </c>
      <c r="AA233" s="684">
        <f>IF(終値!A233="","",IF(AND(安値!AF233&lt;安値!AE233,安値!AF233&lt;安値!AD233,安値!AF233&lt;安値!AG233,安値!AF233&lt;安値!AH233),27,""))</f>
      </c>
      <c r="AB233" s="684">
        <f>IF(終値!A233="","",IF(AND(安値!AG233&lt;安値!AF233,安値!AG233&lt;安値!AE233,安値!AG233&lt;安値!AH233,安値!AG233&lt;安値!AI233),28,""))</f>
      </c>
      <c r="AC233" s="684">
        <f>IF(終値!A233="","",IF(AND(高値!G233&gt;高値!F233,高値!G233&gt;高値!E233,高値!G233&gt;高値!H233,高値!G233&gt;高値!I233),2,""))</f>
      </c>
      <c r="AD233" s="684">
        <f>IF(終値!A233="","",IF(AND(高値!H233&gt;高値!G233,高値!H233&gt;高値!F233,高値!H233&gt;高値!I233,高値!H233&gt;高値!J233),3,""))</f>
      </c>
      <c r="AE233" s="684">
        <f>IF(終値!A233="","",IF(AND(高値!I233&gt;高値!H233,高値!I233&gt;高値!G233,高値!I233&gt;高値!J233,高値!I233&gt;高値!K233),4,""))</f>
      </c>
      <c r="AF233" s="684">
        <f>IF(終値!A233="","",IF(AND(高値!J233&gt;高値!I233,高値!J233&gt;高値!H233,高値!J233&gt;高値!K233,高値!J233&gt;高値!L233),5,""))</f>
      </c>
      <c r="AG233" s="684">
        <f>IF(終値!A233="","",IF(AND(高値!K233&gt;高値!J233,高値!K233&gt;高値!I233,高値!K233&gt;高値!L233,高値!K233&gt;高値!M233),6,""))</f>
      </c>
      <c r="AH233" s="684">
        <f>IF(終値!A233="","",IF(AND(高値!L233&gt;高値!K233,高値!L233&gt;高値!J233,高値!L233&gt;高値!M233,高値!L233&gt;高値!N233),7,""))</f>
      </c>
      <c r="AI233" s="684">
        <f>IF(終値!A233="","",IF(AND(高値!M233&gt;高値!L233,高値!M233&gt;高値!K233,高値!M233&gt;高値!N233,高値!M233&gt;高値!O233),8,""))</f>
      </c>
      <c r="AJ233" s="684">
        <f>IF(終値!A233="","",IF(AND(高値!N233&gt;高値!M233,高値!N233&gt;高値!L233,高値!N233&gt;高値!O233,高値!N233&gt;高値!P233),9,""))</f>
      </c>
      <c r="AK233" s="684">
        <f>IF(終値!A233="","",IF(AND(高値!O233&gt;高値!N233,高値!O233&gt;高値!M233,高値!O233&gt;高値!P233,高値!O233&gt;高値!Q233),10,""))</f>
      </c>
      <c r="AL233" s="684">
        <f>IF(終値!A233="","",IF(AND(高値!P233&gt;高値!O233,高値!P233&gt;高値!N233,高値!P233&gt;高値!Q233,高値!P233&gt;高値!R233),11,""))</f>
      </c>
      <c r="AM233" s="684">
        <f>IF(終値!A233="","",IF(AND(高値!Q233&gt;高値!P233,高値!Q233&gt;高値!O233,高値!Q233&gt;高値!R233,高値!Q233&gt;高値!S233),12,""))</f>
      </c>
      <c r="AN233" s="684">
        <f>IF(終値!A233="","",IF(AND(高値!R233&gt;高値!Q233,高値!R233&gt;高値!P233,高値!R233&gt;高値!S233,高値!R233&gt;高値!T233),13,""))</f>
      </c>
      <c r="AO233" s="684">
        <f>IF(終値!A233="","",IF(AND(高値!S233&gt;高値!R233,高値!S233&gt;高値!Q233,高値!S233&gt;高値!T233,高値!S233&gt;高値!U233),14,""))</f>
      </c>
      <c r="AP233" s="684">
        <f>IF(終値!A233="","",IF(AND(高値!T233&gt;高値!S233,高値!T233&gt;高値!R233,高値!T233&gt;高値!U233,高値!T233&gt;高値!V233),15,""))</f>
      </c>
      <c r="AQ233" s="684">
        <f>IF(終値!A233="","",IF(AND(高値!U233&gt;高値!T233,高値!U233&gt;高値!S233,高値!U233&gt;高値!V233,高値!U233&gt;高値!W233),16,""))</f>
      </c>
      <c r="AR233" s="684">
        <f>IF(終値!A233="","",IF(AND(高値!V233&gt;高値!U233,高値!V233&gt;高値!T233,高値!V233&gt;高値!W233,高値!V233&gt;高値!X233),17,""))</f>
      </c>
      <c r="AS233" s="684">
        <f>IF(終値!A233="","",IF(AND(高値!W233&gt;高値!V233,高値!W233&gt;高値!U233,高値!W233&gt;高値!X233,高値!W233&gt;高値!Y233),18,""))</f>
      </c>
      <c r="AT233" s="684">
        <f>IF(終値!A233="","",IF(AND(高値!X233&gt;高値!W233,高値!X233&gt;高値!V233,高値!X233&gt;高値!Y233,高値!X233&gt;高値!Z233),19,""))</f>
      </c>
      <c r="AU233" s="684">
        <f>IF(終値!A233="","",IF(AND(高値!Y233&gt;高値!X233,高値!Y233&gt;高値!W233,高値!Y233&gt;高値!Z233,高値!Y233&gt;高値!AA233),20,""))</f>
      </c>
      <c r="AV233" s="684">
        <f>IF(終値!A233="","",IF(AND(高値!Z233&gt;高値!Y233,高値!Z233&gt;高値!X233,高値!Z233&gt;高値!AA233,高値!Z233&gt;高値!AB233),21,""))</f>
      </c>
      <c r="AW233" s="684">
        <f>IF(終値!A233="","",IF(AND(高値!AA233&gt;高値!Z233,高値!AA233&gt;高値!Y233,高値!AA233&gt;高値!AB233,高値!AA233&gt;高値!AC233),22,""))</f>
      </c>
      <c r="AX233" s="684">
        <f>IF(終値!A233="","",IF(AND(高値!AB233&gt;高値!AA233,高値!AB233&gt;高値!Z233,高値!AB233&gt;高値!AC233,高値!AB233&gt;高値!AD233),23,""))</f>
      </c>
      <c r="AY233" s="684">
        <f>IF(終値!A233="","",IF(AND(高値!AC233&gt;高値!AB233,高値!AC233&gt;高値!AA233,高値!AC233&gt;高値!AD233,高値!AC233&gt;高値!AE233),24,""))</f>
      </c>
      <c r="AZ233" s="684">
        <f>IF(終値!A233="","",IF(AND(高値!AD233&gt;高値!AC233,高値!AD233&gt;高値!AB233,高値!AD233&gt;高値!AE233,高値!AD233&gt;高値!AF233),25,""))</f>
      </c>
      <c r="BA233" s="684">
        <f>IF(終値!A233="","",IF(AND(高値!AE233&gt;高値!AD233,高値!AE233&gt;高値!AC233,高値!AE233&gt;高値!AF233,高値!AE233&gt;高値!AG233),26,""))</f>
      </c>
      <c r="BB233" s="684">
        <f>IF(終値!A233="","",IF(AND(高値!AF233&gt;高値!AE233,高値!AF233&gt;高値!AD233,高値!AF233&gt;高値!AG233,高値!AF233&gt;高値!AH233),27,""))</f>
      </c>
      <c r="BC233" s="684">
        <f>IF(終値!A233="","",IF(AND(高値!AG233&gt;高値!AF233,高値!AG233&gt;高値!AE233,高値!AG233&gt;高値!AH233,高値!AG233&gt;高値!AI233),28,""))</f>
      </c>
      <c r="BD233" s="684">
        <f>COUNT($B233:$AB233)</f>
      </c>
      <c r="BE233" s="684">
        <f>IF($BD233&gt;=2,MIN($B233:$AB233),"")</f>
      </c>
      <c r="BF233" s="684">
        <f>IF($BD233&gt;=2,SMALL($B233:$AB233,2),"")</f>
      </c>
      <c r="BG233" s="684">
        <f>IF($BE233="","",INDEX(安値!$E233:$CZ233,1,$BE233+1))</f>
      </c>
      <c r="BH233" s="684">
        <f>IF($BF233="","",INDEX(安値!$E233:$CZ233,1,$BF233+1))</f>
      </c>
      <c r="BI233" s="684">
        <f>IF($BF233="","",MAX(INDEX(高値!$E233:$CZ233,1,$BE233+1):INDEX(高値!$E233:$CZ233,1,$BF233+1)))</f>
      </c>
      <c r="BJ233" s="684">
        <f>IF($BF233="","",AVERAGE(INDEX(終値!$E233:$CZ233,1,$BF233+1):INDEX(終値!$E233:$CZ233,1,$BF233+20))-2*STDEVP(INDEX(終値!$E233:$CZ233,1,$BF233+1):INDEX(終値!$E233:$CZ233,1,$BF233+20)))</f>
      </c>
      <c r="BK233" s="684">
        <f>IF($BE233="","",AVERAGE(INDEX(終値!$E233:$CZ233,1,$BE233+1):INDEX(終値!$E233:$CZ233,1,$BE233+20))-2*STDEVP(INDEX(終値!$E233:$CZ233,1,$BE233+1):INDEX(終値!$E233:$CZ233,1,$BE233+20)))</f>
      </c>
      <c r="BL233" s="684">
        <f>COUNT($AC233:$BC233)</f>
      </c>
      <c r="BM233" s="684">
        <f>IF($BL233&gt;=2,MIN($AC233:$BC233),"")</f>
      </c>
      <c r="BN233" s="684">
        <f>IF($BL233&gt;=2,SMALL($AC233:$BC233,2),"")</f>
      </c>
      <c r="BO233" s="684">
        <f>IF($BM233="","",INDEX(高値!$E233:$CZ233,1,$BM233+1))</f>
      </c>
      <c r="BP233" s="684">
        <f>IF($BN233="","",INDEX(高値!$E233:$CZ233,1,$BN233+1))</f>
      </c>
      <c r="BQ233" s="684">
        <f>IF($BN233="","",MIN(INDEX(安値!$E233:$CZ233,1,$BM233+1):INDEX(安値!$E233:$CZ233,1,$BN233+1)))</f>
      </c>
      <c r="BR233" s="684">
        <f>IF($BN233="","",AVERAGE(INDEX(終値!$E233:$CZ233,1,$BN233+1):INDEX(終値!$E233:$CZ233,1,$BN233+20))+2*STDEVP(INDEX(終値!$E233:$CZ233,1,$BN233+1):INDEX(終値!$E233:$CZ233,1,$BN233+20)))</f>
      </c>
      <c r="BS233" s="684">
        <f>IF($BM233="","",AVERAGE(INDEX(終値!$E233:$CZ233,1,$BM233+1):INDEX(終値!$E233:$CZ233,1,$BM233+20))+2*STDEVP(INDEX(終値!$E233:$CZ233,1,$BM233+1):INDEX(終値!$E233:$CZ233,1,$BM233+20)))</f>
      </c>
      <c r="BT233" s="681">
        <f>IFERROR(IF(AND($BD233&gt;=2,ABS($BG233-$BH233)/$BH233&lt;=BB設定!$B$12,$BI233&gt;=MAX($BH233,$BG233)*(1+BB設定!$B$13),終値!E233&gt;$BG233),IF(OR(終値!E233&gt;=$BI233,AND($BH233&lt;$BJ233,$BG233&gt;=$BK233)),"二番底W▲","二番底W形成"),IF(AND($BL233&gt;=2,ABS($BO233-$BP233)/$BP233&lt;=BB設定!$B$12,$BQ233&lt;=MIN($BP233,$BO233)*(1-BB設定!$B$13),終値!E233&lt;$BO233),IF(OR(終値!E233&lt;=$BQ233,AND($BP233&gt;$BR233,$BO233&lt;=$BS233)),"二番天井M▼","二番天井M形成"),"－")),"－")</f>
      </c>
    </row>
    <row r="234">
      <c r="B234" s="684">
        <f>IF(終値!A234="","",IF(AND(安値!G234&lt;安値!F234,安値!G234&lt;安値!E234,安値!G234&lt;安値!H234,安値!G234&lt;安値!I234),2,""))</f>
      </c>
      <c r="C234" s="684">
        <f>IF(終値!A234="","",IF(AND(安値!H234&lt;安値!G234,安値!H234&lt;安値!F234,安値!H234&lt;安値!I234,安値!H234&lt;安値!J234),3,""))</f>
      </c>
      <c r="D234" s="684">
        <f>IF(終値!A234="","",IF(AND(安値!I234&lt;安値!H234,安値!I234&lt;安値!G234,安値!I234&lt;安値!J234,安値!I234&lt;安値!K234),4,""))</f>
      </c>
      <c r="E234" s="684">
        <f>IF(終値!A234="","",IF(AND(安値!J234&lt;安値!I234,安値!J234&lt;安値!H234,安値!J234&lt;安値!K234,安値!J234&lt;安値!L234),5,""))</f>
      </c>
      <c r="F234" s="684">
        <f>IF(終値!A234="","",IF(AND(安値!K234&lt;安値!J234,安値!K234&lt;安値!I234,安値!K234&lt;安値!L234,安値!K234&lt;安値!M234),6,""))</f>
      </c>
      <c r="G234" s="684">
        <f>IF(終値!A234="","",IF(AND(安値!L234&lt;安値!K234,安値!L234&lt;安値!J234,安値!L234&lt;安値!M234,安値!L234&lt;安値!N234),7,""))</f>
      </c>
      <c r="H234" s="684">
        <f>IF(終値!A234="","",IF(AND(安値!M234&lt;安値!L234,安値!M234&lt;安値!K234,安値!M234&lt;安値!N234,安値!M234&lt;安値!O234),8,""))</f>
      </c>
      <c r="I234" s="684">
        <f>IF(終値!A234="","",IF(AND(安値!N234&lt;安値!M234,安値!N234&lt;安値!L234,安値!N234&lt;安値!O234,安値!N234&lt;安値!P234),9,""))</f>
      </c>
      <c r="J234" s="684">
        <f>IF(終値!A234="","",IF(AND(安値!O234&lt;安値!N234,安値!O234&lt;安値!M234,安値!O234&lt;安値!P234,安値!O234&lt;安値!Q234),10,""))</f>
      </c>
      <c r="K234" s="684">
        <f>IF(終値!A234="","",IF(AND(安値!P234&lt;安値!O234,安値!P234&lt;安値!N234,安値!P234&lt;安値!Q234,安値!P234&lt;安値!R234),11,""))</f>
      </c>
      <c r="L234" s="684">
        <f>IF(終値!A234="","",IF(AND(安値!Q234&lt;安値!P234,安値!Q234&lt;安値!O234,安値!Q234&lt;安値!R234,安値!Q234&lt;安値!S234),12,""))</f>
      </c>
      <c r="M234" s="684">
        <f>IF(終値!A234="","",IF(AND(安値!R234&lt;安値!Q234,安値!R234&lt;安値!P234,安値!R234&lt;安値!S234,安値!R234&lt;安値!T234),13,""))</f>
      </c>
      <c r="N234" s="684">
        <f>IF(終値!A234="","",IF(AND(安値!S234&lt;安値!R234,安値!S234&lt;安値!Q234,安値!S234&lt;安値!T234,安値!S234&lt;安値!U234),14,""))</f>
      </c>
      <c r="O234" s="684">
        <f>IF(終値!A234="","",IF(AND(安値!T234&lt;安値!S234,安値!T234&lt;安値!R234,安値!T234&lt;安値!U234,安値!T234&lt;安値!V234),15,""))</f>
      </c>
      <c r="P234" s="684">
        <f>IF(終値!A234="","",IF(AND(安値!U234&lt;安値!T234,安値!U234&lt;安値!S234,安値!U234&lt;安値!V234,安値!U234&lt;安値!W234),16,""))</f>
      </c>
      <c r="Q234" s="684">
        <f>IF(終値!A234="","",IF(AND(安値!V234&lt;安値!U234,安値!V234&lt;安値!T234,安値!V234&lt;安値!W234,安値!V234&lt;安値!X234),17,""))</f>
      </c>
      <c r="R234" s="684">
        <f>IF(終値!A234="","",IF(AND(安値!W234&lt;安値!V234,安値!W234&lt;安値!U234,安値!W234&lt;安値!X234,安値!W234&lt;安値!Y234),18,""))</f>
      </c>
      <c r="S234" s="684">
        <f>IF(終値!A234="","",IF(AND(安値!X234&lt;安値!W234,安値!X234&lt;安値!V234,安値!X234&lt;安値!Y234,安値!X234&lt;安値!Z234),19,""))</f>
      </c>
      <c r="T234" s="684">
        <f>IF(終値!A234="","",IF(AND(安値!Y234&lt;安値!X234,安値!Y234&lt;安値!W234,安値!Y234&lt;安値!Z234,安値!Y234&lt;安値!AA234),20,""))</f>
      </c>
      <c r="U234" s="684">
        <f>IF(終値!A234="","",IF(AND(安値!Z234&lt;安値!Y234,安値!Z234&lt;安値!X234,安値!Z234&lt;安値!AA234,安値!Z234&lt;安値!AB234),21,""))</f>
      </c>
      <c r="V234" s="684">
        <f>IF(終値!A234="","",IF(AND(安値!AA234&lt;安値!Z234,安値!AA234&lt;安値!Y234,安値!AA234&lt;安値!AB234,安値!AA234&lt;安値!AC234),22,""))</f>
      </c>
      <c r="W234" s="684">
        <f>IF(終値!A234="","",IF(AND(安値!AB234&lt;安値!AA234,安値!AB234&lt;安値!Z234,安値!AB234&lt;安値!AC234,安値!AB234&lt;安値!AD234),23,""))</f>
      </c>
      <c r="X234" s="684">
        <f>IF(終値!A234="","",IF(AND(安値!AC234&lt;安値!AB234,安値!AC234&lt;安値!AA234,安値!AC234&lt;安値!AD234,安値!AC234&lt;安値!AE234),24,""))</f>
      </c>
      <c r="Y234" s="684">
        <f>IF(終値!A234="","",IF(AND(安値!AD234&lt;安値!AC234,安値!AD234&lt;安値!AB234,安値!AD234&lt;安値!AE234,安値!AD234&lt;安値!AF234),25,""))</f>
      </c>
      <c r="Z234" s="684">
        <f>IF(終値!A234="","",IF(AND(安値!AE234&lt;安値!AD234,安値!AE234&lt;安値!AC234,安値!AE234&lt;安値!AF234,安値!AE234&lt;安値!AG234),26,""))</f>
      </c>
      <c r="AA234" s="684">
        <f>IF(終値!A234="","",IF(AND(安値!AF234&lt;安値!AE234,安値!AF234&lt;安値!AD234,安値!AF234&lt;安値!AG234,安値!AF234&lt;安値!AH234),27,""))</f>
      </c>
      <c r="AB234" s="684">
        <f>IF(終値!A234="","",IF(AND(安値!AG234&lt;安値!AF234,安値!AG234&lt;安値!AE234,安値!AG234&lt;安値!AH234,安値!AG234&lt;安値!AI234),28,""))</f>
      </c>
      <c r="AC234" s="684">
        <f>IF(終値!A234="","",IF(AND(高値!G234&gt;高値!F234,高値!G234&gt;高値!E234,高値!G234&gt;高値!H234,高値!G234&gt;高値!I234),2,""))</f>
      </c>
      <c r="AD234" s="684">
        <f>IF(終値!A234="","",IF(AND(高値!H234&gt;高値!G234,高値!H234&gt;高値!F234,高値!H234&gt;高値!I234,高値!H234&gt;高値!J234),3,""))</f>
      </c>
      <c r="AE234" s="684">
        <f>IF(終値!A234="","",IF(AND(高値!I234&gt;高値!H234,高値!I234&gt;高値!G234,高値!I234&gt;高値!J234,高値!I234&gt;高値!K234),4,""))</f>
      </c>
      <c r="AF234" s="684">
        <f>IF(終値!A234="","",IF(AND(高値!J234&gt;高値!I234,高値!J234&gt;高値!H234,高値!J234&gt;高値!K234,高値!J234&gt;高値!L234),5,""))</f>
      </c>
      <c r="AG234" s="684">
        <f>IF(終値!A234="","",IF(AND(高値!K234&gt;高値!J234,高値!K234&gt;高値!I234,高値!K234&gt;高値!L234,高値!K234&gt;高値!M234),6,""))</f>
      </c>
      <c r="AH234" s="684">
        <f>IF(終値!A234="","",IF(AND(高値!L234&gt;高値!K234,高値!L234&gt;高値!J234,高値!L234&gt;高値!M234,高値!L234&gt;高値!N234),7,""))</f>
      </c>
      <c r="AI234" s="684">
        <f>IF(終値!A234="","",IF(AND(高値!M234&gt;高値!L234,高値!M234&gt;高値!K234,高値!M234&gt;高値!N234,高値!M234&gt;高値!O234),8,""))</f>
      </c>
      <c r="AJ234" s="684">
        <f>IF(終値!A234="","",IF(AND(高値!N234&gt;高値!M234,高値!N234&gt;高値!L234,高値!N234&gt;高値!O234,高値!N234&gt;高値!P234),9,""))</f>
      </c>
      <c r="AK234" s="684">
        <f>IF(終値!A234="","",IF(AND(高値!O234&gt;高値!N234,高値!O234&gt;高値!M234,高値!O234&gt;高値!P234,高値!O234&gt;高値!Q234),10,""))</f>
      </c>
      <c r="AL234" s="684">
        <f>IF(終値!A234="","",IF(AND(高値!P234&gt;高値!O234,高値!P234&gt;高値!N234,高値!P234&gt;高値!Q234,高値!P234&gt;高値!R234),11,""))</f>
      </c>
      <c r="AM234" s="684">
        <f>IF(終値!A234="","",IF(AND(高値!Q234&gt;高値!P234,高値!Q234&gt;高値!O234,高値!Q234&gt;高値!R234,高値!Q234&gt;高値!S234),12,""))</f>
      </c>
      <c r="AN234" s="684">
        <f>IF(終値!A234="","",IF(AND(高値!R234&gt;高値!Q234,高値!R234&gt;高値!P234,高値!R234&gt;高値!S234,高値!R234&gt;高値!T234),13,""))</f>
      </c>
      <c r="AO234" s="684">
        <f>IF(終値!A234="","",IF(AND(高値!S234&gt;高値!R234,高値!S234&gt;高値!Q234,高値!S234&gt;高値!T234,高値!S234&gt;高値!U234),14,""))</f>
      </c>
      <c r="AP234" s="684">
        <f>IF(終値!A234="","",IF(AND(高値!T234&gt;高値!S234,高値!T234&gt;高値!R234,高値!T234&gt;高値!U234,高値!T234&gt;高値!V234),15,""))</f>
      </c>
      <c r="AQ234" s="684">
        <f>IF(終値!A234="","",IF(AND(高値!U234&gt;高値!T234,高値!U234&gt;高値!S234,高値!U234&gt;高値!V234,高値!U234&gt;高値!W234),16,""))</f>
      </c>
      <c r="AR234" s="684">
        <f>IF(終値!A234="","",IF(AND(高値!V234&gt;高値!U234,高値!V234&gt;高値!T234,高値!V234&gt;高値!W234,高値!V234&gt;高値!X234),17,""))</f>
      </c>
      <c r="AS234" s="684">
        <f>IF(終値!A234="","",IF(AND(高値!W234&gt;高値!V234,高値!W234&gt;高値!U234,高値!W234&gt;高値!X234,高値!W234&gt;高値!Y234),18,""))</f>
      </c>
      <c r="AT234" s="684">
        <f>IF(終値!A234="","",IF(AND(高値!X234&gt;高値!W234,高値!X234&gt;高値!V234,高値!X234&gt;高値!Y234,高値!X234&gt;高値!Z234),19,""))</f>
      </c>
      <c r="AU234" s="684">
        <f>IF(終値!A234="","",IF(AND(高値!Y234&gt;高値!X234,高値!Y234&gt;高値!W234,高値!Y234&gt;高値!Z234,高値!Y234&gt;高値!AA234),20,""))</f>
      </c>
      <c r="AV234" s="684">
        <f>IF(終値!A234="","",IF(AND(高値!Z234&gt;高値!Y234,高値!Z234&gt;高値!X234,高値!Z234&gt;高値!AA234,高値!Z234&gt;高値!AB234),21,""))</f>
      </c>
      <c r="AW234" s="684">
        <f>IF(終値!A234="","",IF(AND(高値!AA234&gt;高値!Z234,高値!AA234&gt;高値!Y234,高値!AA234&gt;高値!AB234,高値!AA234&gt;高値!AC234),22,""))</f>
      </c>
      <c r="AX234" s="684">
        <f>IF(終値!A234="","",IF(AND(高値!AB234&gt;高値!AA234,高値!AB234&gt;高値!Z234,高値!AB234&gt;高値!AC234,高値!AB234&gt;高値!AD234),23,""))</f>
      </c>
      <c r="AY234" s="684">
        <f>IF(終値!A234="","",IF(AND(高値!AC234&gt;高値!AB234,高値!AC234&gt;高値!AA234,高値!AC234&gt;高値!AD234,高値!AC234&gt;高値!AE234),24,""))</f>
      </c>
      <c r="AZ234" s="684">
        <f>IF(終値!A234="","",IF(AND(高値!AD234&gt;高値!AC234,高値!AD234&gt;高値!AB234,高値!AD234&gt;高値!AE234,高値!AD234&gt;高値!AF234),25,""))</f>
      </c>
      <c r="BA234" s="684">
        <f>IF(終値!A234="","",IF(AND(高値!AE234&gt;高値!AD234,高値!AE234&gt;高値!AC234,高値!AE234&gt;高値!AF234,高値!AE234&gt;高値!AG234),26,""))</f>
      </c>
      <c r="BB234" s="684">
        <f>IF(終値!A234="","",IF(AND(高値!AF234&gt;高値!AE234,高値!AF234&gt;高値!AD234,高値!AF234&gt;高値!AG234,高値!AF234&gt;高値!AH234),27,""))</f>
      </c>
      <c r="BC234" s="684">
        <f>IF(終値!A234="","",IF(AND(高値!AG234&gt;高値!AF234,高値!AG234&gt;高値!AE234,高値!AG234&gt;高値!AH234,高値!AG234&gt;高値!AI234),28,""))</f>
      </c>
      <c r="BD234" s="684">
        <f>COUNT($B234:$AB234)</f>
      </c>
      <c r="BE234" s="684">
        <f>IF($BD234&gt;=2,MIN($B234:$AB234),"")</f>
      </c>
      <c r="BF234" s="684">
        <f>IF($BD234&gt;=2,SMALL($B234:$AB234,2),"")</f>
      </c>
      <c r="BG234" s="684">
        <f>IF($BE234="","",INDEX(安値!$E234:$CZ234,1,$BE234+1))</f>
      </c>
      <c r="BH234" s="684">
        <f>IF($BF234="","",INDEX(安値!$E234:$CZ234,1,$BF234+1))</f>
      </c>
      <c r="BI234" s="684">
        <f>IF($BF234="","",MAX(INDEX(高値!$E234:$CZ234,1,$BE234+1):INDEX(高値!$E234:$CZ234,1,$BF234+1)))</f>
      </c>
      <c r="BJ234" s="684">
        <f>IF($BF234="","",AVERAGE(INDEX(終値!$E234:$CZ234,1,$BF234+1):INDEX(終値!$E234:$CZ234,1,$BF234+20))-2*STDEVP(INDEX(終値!$E234:$CZ234,1,$BF234+1):INDEX(終値!$E234:$CZ234,1,$BF234+20)))</f>
      </c>
      <c r="BK234" s="684">
        <f>IF($BE234="","",AVERAGE(INDEX(終値!$E234:$CZ234,1,$BE234+1):INDEX(終値!$E234:$CZ234,1,$BE234+20))-2*STDEVP(INDEX(終値!$E234:$CZ234,1,$BE234+1):INDEX(終値!$E234:$CZ234,1,$BE234+20)))</f>
      </c>
      <c r="BL234" s="684">
        <f>COUNT($AC234:$BC234)</f>
      </c>
      <c r="BM234" s="684">
        <f>IF($BL234&gt;=2,MIN($AC234:$BC234),"")</f>
      </c>
      <c r="BN234" s="684">
        <f>IF($BL234&gt;=2,SMALL($AC234:$BC234,2),"")</f>
      </c>
      <c r="BO234" s="684">
        <f>IF($BM234="","",INDEX(高値!$E234:$CZ234,1,$BM234+1))</f>
      </c>
      <c r="BP234" s="684">
        <f>IF($BN234="","",INDEX(高値!$E234:$CZ234,1,$BN234+1))</f>
      </c>
      <c r="BQ234" s="684">
        <f>IF($BN234="","",MIN(INDEX(安値!$E234:$CZ234,1,$BM234+1):INDEX(安値!$E234:$CZ234,1,$BN234+1)))</f>
      </c>
      <c r="BR234" s="684">
        <f>IF($BN234="","",AVERAGE(INDEX(終値!$E234:$CZ234,1,$BN234+1):INDEX(終値!$E234:$CZ234,1,$BN234+20))+2*STDEVP(INDEX(終値!$E234:$CZ234,1,$BN234+1):INDEX(終値!$E234:$CZ234,1,$BN234+20)))</f>
      </c>
      <c r="BS234" s="684">
        <f>IF($BM234="","",AVERAGE(INDEX(終値!$E234:$CZ234,1,$BM234+1):INDEX(終値!$E234:$CZ234,1,$BM234+20))+2*STDEVP(INDEX(終値!$E234:$CZ234,1,$BM234+1):INDEX(終値!$E234:$CZ234,1,$BM234+20)))</f>
      </c>
      <c r="BT234" s="681">
        <f>IFERROR(IF(AND($BD234&gt;=2,ABS($BG234-$BH234)/$BH234&lt;=BB設定!$B$12,$BI234&gt;=MAX($BH234,$BG234)*(1+BB設定!$B$13),終値!E234&gt;$BG234),IF(OR(終値!E234&gt;=$BI234,AND($BH234&lt;$BJ234,$BG234&gt;=$BK234)),"二番底W▲","二番底W形成"),IF(AND($BL234&gt;=2,ABS($BO234-$BP234)/$BP234&lt;=BB設定!$B$12,$BQ234&lt;=MIN($BP234,$BO234)*(1-BB設定!$B$13),終値!E234&lt;$BO234),IF(OR(終値!E234&lt;=$BQ234,AND($BP234&gt;$BR234,$BO234&lt;=$BS234)),"二番天井M▼","二番天井M形成"),"－")),"－")</f>
      </c>
    </row>
    <row r="235">
      <c r="B235" s="684">
        <f>IF(終値!A235="","",IF(AND(安値!G235&lt;安値!F235,安値!G235&lt;安値!E235,安値!G235&lt;安値!H235,安値!G235&lt;安値!I235),2,""))</f>
      </c>
      <c r="C235" s="684">
        <f>IF(終値!A235="","",IF(AND(安値!H235&lt;安値!G235,安値!H235&lt;安値!F235,安値!H235&lt;安値!I235,安値!H235&lt;安値!J235),3,""))</f>
      </c>
      <c r="D235" s="684">
        <f>IF(終値!A235="","",IF(AND(安値!I235&lt;安値!H235,安値!I235&lt;安値!G235,安値!I235&lt;安値!J235,安値!I235&lt;安値!K235),4,""))</f>
      </c>
      <c r="E235" s="684">
        <f>IF(終値!A235="","",IF(AND(安値!J235&lt;安値!I235,安値!J235&lt;安値!H235,安値!J235&lt;安値!K235,安値!J235&lt;安値!L235),5,""))</f>
      </c>
      <c r="F235" s="684">
        <f>IF(終値!A235="","",IF(AND(安値!K235&lt;安値!J235,安値!K235&lt;安値!I235,安値!K235&lt;安値!L235,安値!K235&lt;安値!M235),6,""))</f>
      </c>
      <c r="G235" s="684">
        <f>IF(終値!A235="","",IF(AND(安値!L235&lt;安値!K235,安値!L235&lt;安値!J235,安値!L235&lt;安値!M235,安値!L235&lt;安値!N235),7,""))</f>
      </c>
      <c r="H235" s="684">
        <f>IF(終値!A235="","",IF(AND(安値!M235&lt;安値!L235,安値!M235&lt;安値!K235,安値!M235&lt;安値!N235,安値!M235&lt;安値!O235),8,""))</f>
      </c>
      <c r="I235" s="684">
        <f>IF(終値!A235="","",IF(AND(安値!N235&lt;安値!M235,安値!N235&lt;安値!L235,安値!N235&lt;安値!O235,安値!N235&lt;安値!P235),9,""))</f>
      </c>
      <c r="J235" s="684">
        <f>IF(終値!A235="","",IF(AND(安値!O235&lt;安値!N235,安値!O235&lt;安値!M235,安値!O235&lt;安値!P235,安値!O235&lt;安値!Q235),10,""))</f>
      </c>
      <c r="K235" s="684">
        <f>IF(終値!A235="","",IF(AND(安値!P235&lt;安値!O235,安値!P235&lt;安値!N235,安値!P235&lt;安値!Q235,安値!P235&lt;安値!R235),11,""))</f>
      </c>
      <c r="L235" s="684">
        <f>IF(終値!A235="","",IF(AND(安値!Q235&lt;安値!P235,安値!Q235&lt;安値!O235,安値!Q235&lt;安値!R235,安値!Q235&lt;安値!S235),12,""))</f>
      </c>
      <c r="M235" s="684">
        <f>IF(終値!A235="","",IF(AND(安値!R235&lt;安値!Q235,安値!R235&lt;安値!P235,安値!R235&lt;安値!S235,安値!R235&lt;安値!T235),13,""))</f>
      </c>
      <c r="N235" s="684">
        <f>IF(終値!A235="","",IF(AND(安値!S235&lt;安値!R235,安値!S235&lt;安値!Q235,安値!S235&lt;安値!T235,安値!S235&lt;安値!U235),14,""))</f>
      </c>
      <c r="O235" s="684">
        <f>IF(終値!A235="","",IF(AND(安値!T235&lt;安値!S235,安値!T235&lt;安値!R235,安値!T235&lt;安値!U235,安値!T235&lt;安値!V235),15,""))</f>
      </c>
      <c r="P235" s="684">
        <f>IF(終値!A235="","",IF(AND(安値!U235&lt;安値!T235,安値!U235&lt;安値!S235,安値!U235&lt;安値!V235,安値!U235&lt;安値!W235),16,""))</f>
      </c>
      <c r="Q235" s="684">
        <f>IF(終値!A235="","",IF(AND(安値!V235&lt;安値!U235,安値!V235&lt;安値!T235,安値!V235&lt;安値!W235,安値!V235&lt;安値!X235),17,""))</f>
      </c>
      <c r="R235" s="684">
        <f>IF(終値!A235="","",IF(AND(安値!W235&lt;安値!V235,安値!W235&lt;安値!U235,安値!W235&lt;安値!X235,安値!W235&lt;安値!Y235),18,""))</f>
      </c>
      <c r="S235" s="684">
        <f>IF(終値!A235="","",IF(AND(安値!X235&lt;安値!W235,安値!X235&lt;安値!V235,安値!X235&lt;安値!Y235,安値!X235&lt;安値!Z235),19,""))</f>
      </c>
      <c r="T235" s="684">
        <f>IF(終値!A235="","",IF(AND(安値!Y235&lt;安値!X235,安値!Y235&lt;安値!W235,安値!Y235&lt;安値!Z235,安値!Y235&lt;安値!AA235),20,""))</f>
      </c>
      <c r="U235" s="684">
        <f>IF(終値!A235="","",IF(AND(安値!Z235&lt;安値!Y235,安値!Z235&lt;安値!X235,安値!Z235&lt;安値!AA235,安値!Z235&lt;安値!AB235),21,""))</f>
      </c>
      <c r="V235" s="684">
        <f>IF(終値!A235="","",IF(AND(安値!AA235&lt;安値!Z235,安値!AA235&lt;安値!Y235,安値!AA235&lt;安値!AB235,安値!AA235&lt;安値!AC235),22,""))</f>
      </c>
      <c r="W235" s="684">
        <f>IF(終値!A235="","",IF(AND(安値!AB235&lt;安値!AA235,安値!AB235&lt;安値!Z235,安値!AB235&lt;安値!AC235,安値!AB235&lt;安値!AD235),23,""))</f>
      </c>
      <c r="X235" s="684">
        <f>IF(終値!A235="","",IF(AND(安値!AC235&lt;安値!AB235,安値!AC235&lt;安値!AA235,安値!AC235&lt;安値!AD235,安値!AC235&lt;安値!AE235),24,""))</f>
      </c>
      <c r="Y235" s="684">
        <f>IF(終値!A235="","",IF(AND(安値!AD235&lt;安値!AC235,安値!AD235&lt;安値!AB235,安値!AD235&lt;安値!AE235,安値!AD235&lt;安値!AF235),25,""))</f>
      </c>
      <c r="Z235" s="684">
        <f>IF(終値!A235="","",IF(AND(安値!AE235&lt;安値!AD235,安値!AE235&lt;安値!AC235,安値!AE235&lt;安値!AF235,安値!AE235&lt;安値!AG235),26,""))</f>
      </c>
      <c r="AA235" s="684">
        <f>IF(終値!A235="","",IF(AND(安値!AF235&lt;安値!AE235,安値!AF235&lt;安値!AD235,安値!AF235&lt;安値!AG235,安値!AF235&lt;安値!AH235),27,""))</f>
      </c>
      <c r="AB235" s="684">
        <f>IF(終値!A235="","",IF(AND(安値!AG235&lt;安値!AF235,安値!AG235&lt;安値!AE235,安値!AG235&lt;安値!AH235,安値!AG235&lt;安値!AI235),28,""))</f>
      </c>
      <c r="AC235" s="684">
        <f>IF(終値!A235="","",IF(AND(高値!G235&gt;高値!F235,高値!G235&gt;高値!E235,高値!G235&gt;高値!H235,高値!G235&gt;高値!I235),2,""))</f>
      </c>
      <c r="AD235" s="684">
        <f>IF(終値!A235="","",IF(AND(高値!H235&gt;高値!G235,高値!H235&gt;高値!F235,高値!H235&gt;高値!I235,高値!H235&gt;高値!J235),3,""))</f>
      </c>
      <c r="AE235" s="684">
        <f>IF(終値!A235="","",IF(AND(高値!I235&gt;高値!H235,高値!I235&gt;高値!G235,高値!I235&gt;高値!J235,高値!I235&gt;高値!K235),4,""))</f>
      </c>
      <c r="AF235" s="684">
        <f>IF(終値!A235="","",IF(AND(高値!J235&gt;高値!I235,高値!J235&gt;高値!H235,高値!J235&gt;高値!K235,高値!J235&gt;高値!L235),5,""))</f>
      </c>
      <c r="AG235" s="684">
        <f>IF(終値!A235="","",IF(AND(高値!K235&gt;高値!J235,高値!K235&gt;高値!I235,高値!K235&gt;高値!L235,高値!K235&gt;高値!M235),6,""))</f>
      </c>
      <c r="AH235" s="684">
        <f>IF(終値!A235="","",IF(AND(高値!L235&gt;高値!K235,高値!L235&gt;高値!J235,高値!L235&gt;高値!M235,高値!L235&gt;高値!N235),7,""))</f>
      </c>
      <c r="AI235" s="684">
        <f>IF(終値!A235="","",IF(AND(高値!M235&gt;高値!L235,高値!M235&gt;高値!K235,高値!M235&gt;高値!N235,高値!M235&gt;高値!O235),8,""))</f>
      </c>
      <c r="AJ235" s="684">
        <f>IF(終値!A235="","",IF(AND(高値!N235&gt;高値!M235,高値!N235&gt;高値!L235,高値!N235&gt;高値!O235,高値!N235&gt;高値!P235),9,""))</f>
      </c>
      <c r="AK235" s="684">
        <f>IF(終値!A235="","",IF(AND(高値!O235&gt;高値!N235,高値!O235&gt;高値!M235,高値!O235&gt;高値!P235,高値!O235&gt;高値!Q235),10,""))</f>
      </c>
      <c r="AL235" s="684">
        <f>IF(終値!A235="","",IF(AND(高値!P235&gt;高値!O235,高値!P235&gt;高値!N235,高値!P235&gt;高値!Q235,高値!P235&gt;高値!R235),11,""))</f>
      </c>
      <c r="AM235" s="684">
        <f>IF(終値!A235="","",IF(AND(高値!Q235&gt;高値!P235,高値!Q235&gt;高値!O235,高値!Q235&gt;高値!R235,高値!Q235&gt;高値!S235),12,""))</f>
      </c>
      <c r="AN235" s="684">
        <f>IF(終値!A235="","",IF(AND(高値!R235&gt;高値!Q235,高値!R235&gt;高値!P235,高値!R235&gt;高値!S235,高値!R235&gt;高値!T235),13,""))</f>
      </c>
      <c r="AO235" s="684">
        <f>IF(終値!A235="","",IF(AND(高値!S235&gt;高値!R235,高値!S235&gt;高値!Q235,高値!S235&gt;高値!T235,高値!S235&gt;高値!U235),14,""))</f>
      </c>
      <c r="AP235" s="684">
        <f>IF(終値!A235="","",IF(AND(高値!T235&gt;高値!S235,高値!T235&gt;高値!R235,高値!T235&gt;高値!U235,高値!T235&gt;高値!V235),15,""))</f>
      </c>
      <c r="AQ235" s="684">
        <f>IF(終値!A235="","",IF(AND(高値!U235&gt;高値!T235,高値!U235&gt;高値!S235,高値!U235&gt;高値!V235,高値!U235&gt;高値!W235),16,""))</f>
      </c>
      <c r="AR235" s="684">
        <f>IF(終値!A235="","",IF(AND(高値!V235&gt;高値!U235,高値!V235&gt;高値!T235,高値!V235&gt;高値!W235,高値!V235&gt;高値!X235),17,""))</f>
      </c>
      <c r="AS235" s="684">
        <f>IF(終値!A235="","",IF(AND(高値!W235&gt;高値!V235,高値!W235&gt;高値!U235,高値!W235&gt;高値!X235,高値!W235&gt;高値!Y235),18,""))</f>
      </c>
      <c r="AT235" s="684">
        <f>IF(終値!A235="","",IF(AND(高値!X235&gt;高値!W235,高値!X235&gt;高値!V235,高値!X235&gt;高値!Y235,高値!X235&gt;高値!Z235),19,""))</f>
      </c>
      <c r="AU235" s="684">
        <f>IF(終値!A235="","",IF(AND(高値!Y235&gt;高値!X235,高値!Y235&gt;高値!W235,高値!Y235&gt;高値!Z235,高値!Y235&gt;高値!AA235),20,""))</f>
      </c>
      <c r="AV235" s="684">
        <f>IF(終値!A235="","",IF(AND(高値!Z235&gt;高値!Y235,高値!Z235&gt;高値!X235,高値!Z235&gt;高値!AA235,高値!Z235&gt;高値!AB235),21,""))</f>
      </c>
      <c r="AW235" s="684">
        <f>IF(終値!A235="","",IF(AND(高値!AA235&gt;高値!Z235,高値!AA235&gt;高値!Y235,高値!AA235&gt;高値!AB235,高値!AA235&gt;高値!AC235),22,""))</f>
      </c>
      <c r="AX235" s="684">
        <f>IF(終値!A235="","",IF(AND(高値!AB235&gt;高値!AA235,高値!AB235&gt;高値!Z235,高値!AB235&gt;高値!AC235,高値!AB235&gt;高値!AD235),23,""))</f>
      </c>
      <c r="AY235" s="684">
        <f>IF(終値!A235="","",IF(AND(高値!AC235&gt;高値!AB235,高値!AC235&gt;高値!AA235,高値!AC235&gt;高値!AD235,高値!AC235&gt;高値!AE235),24,""))</f>
      </c>
      <c r="AZ235" s="684">
        <f>IF(終値!A235="","",IF(AND(高値!AD235&gt;高値!AC235,高値!AD235&gt;高値!AB235,高値!AD235&gt;高値!AE235,高値!AD235&gt;高値!AF235),25,""))</f>
      </c>
      <c r="BA235" s="684">
        <f>IF(終値!A235="","",IF(AND(高値!AE235&gt;高値!AD235,高値!AE235&gt;高値!AC235,高値!AE235&gt;高値!AF235,高値!AE235&gt;高値!AG235),26,""))</f>
      </c>
      <c r="BB235" s="684">
        <f>IF(終値!A235="","",IF(AND(高値!AF235&gt;高値!AE235,高値!AF235&gt;高値!AD235,高値!AF235&gt;高値!AG235,高値!AF235&gt;高値!AH235),27,""))</f>
      </c>
      <c r="BC235" s="684">
        <f>IF(終値!A235="","",IF(AND(高値!AG235&gt;高値!AF235,高値!AG235&gt;高値!AE235,高値!AG235&gt;高値!AH235,高値!AG235&gt;高値!AI235),28,""))</f>
      </c>
      <c r="BD235" s="684">
        <f>COUNT($B235:$AB235)</f>
      </c>
      <c r="BE235" s="684">
        <f>IF($BD235&gt;=2,MIN($B235:$AB235),"")</f>
      </c>
      <c r="BF235" s="684">
        <f>IF($BD235&gt;=2,SMALL($B235:$AB235,2),"")</f>
      </c>
      <c r="BG235" s="684">
        <f>IF($BE235="","",INDEX(安値!$E235:$CZ235,1,$BE235+1))</f>
      </c>
      <c r="BH235" s="684">
        <f>IF($BF235="","",INDEX(安値!$E235:$CZ235,1,$BF235+1))</f>
      </c>
      <c r="BI235" s="684">
        <f>IF($BF235="","",MAX(INDEX(高値!$E235:$CZ235,1,$BE235+1):INDEX(高値!$E235:$CZ235,1,$BF235+1)))</f>
      </c>
      <c r="BJ235" s="684">
        <f>IF($BF235="","",AVERAGE(INDEX(終値!$E235:$CZ235,1,$BF235+1):INDEX(終値!$E235:$CZ235,1,$BF235+20))-2*STDEVP(INDEX(終値!$E235:$CZ235,1,$BF235+1):INDEX(終値!$E235:$CZ235,1,$BF235+20)))</f>
      </c>
      <c r="BK235" s="684">
        <f>IF($BE235="","",AVERAGE(INDEX(終値!$E235:$CZ235,1,$BE235+1):INDEX(終値!$E235:$CZ235,1,$BE235+20))-2*STDEVP(INDEX(終値!$E235:$CZ235,1,$BE235+1):INDEX(終値!$E235:$CZ235,1,$BE235+20)))</f>
      </c>
      <c r="BL235" s="684">
        <f>COUNT($AC235:$BC235)</f>
      </c>
      <c r="BM235" s="684">
        <f>IF($BL235&gt;=2,MIN($AC235:$BC235),"")</f>
      </c>
      <c r="BN235" s="684">
        <f>IF($BL235&gt;=2,SMALL($AC235:$BC235,2),"")</f>
      </c>
      <c r="BO235" s="684">
        <f>IF($BM235="","",INDEX(高値!$E235:$CZ235,1,$BM235+1))</f>
      </c>
      <c r="BP235" s="684">
        <f>IF($BN235="","",INDEX(高値!$E235:$CZ235,1,$BN235+1))</f>
      </c>
      <c r="BQ235" s="684">
        <f>IF($BN235="","",MIN(INDEX(安値!$E235:$CZ235,1,$BM235+1):INDEX(安値!$E235:$CZ235,1,$BN235+1)))</f>
      </c>
      <c r="BR235" s="684">
        <f>IF($BN235="","",AVERAGE(INDEX(終値!$E235:$CZ235,1,$BN235+1):INDEX(終値!$E235:$CZ235,1,$BN235+20))+2*STDEVP(INDEX(終値!$E235:$CZ235,1,$BN235+1):INDEX(終値!$E235:$CZ235,1,$BN235+20)))</f>
      </c>
      <c r="BS235" s="684">
        <f>IF($BM235="","",AVERAGE(INDEX(終値!$E235:$CZ235,1,$BM235+1):INDEX(終値!$E235:$CZ235,1,$BM235+20))+2*STDEVP(INDEX(終値!$E235:$CZ235,1,$BM235+1):INDEX(終値!$E235:$CZ235,1,$BM235+20)))</f>
      </c>
      <c r="BT235" s="681">
        <f>IFERROR(IF(AND($BD235&gt;=2,ABS($BG235-$BH235)/$BH235&lt;=BB設定!$B$12,$BI235&gt;=MAX($BH235,$BG235)*(1+BB設定!$B$13),終値!E235&gt;$BG235),IF(OR(終値!E235&gt;=$BI235,AND($BH235&lt;$BJ235,$BG235&gt;=$BK235)),"二番底W▲","二番底W形成"),IF(AND($BL235&gt;=2,ABS($BO235-$BP235)/$BP235&lt;=BB設定!$B$12,$BQ235&lt;=MIN($BP235,$BO235)*(1-BB設定!$B$13),終値!E235&lt;$BO235),IF(OR(終値!E235&lt;=$BQ235,AND($BP235&gt;$BR235,$BO235&lt;=$BS235)),"二番天井M▼","二番天井M形成"),"－")),"－")</f>
      </c>
    </row>
    <row r="236">
      <c r="B236" s="684">
        <f>IF(終値!A236="","",IF(AND(安値!G236&lt;安値!F236,安値!G236&lt;安値!E236,安値!G236&lt;安値!H236,安値!G236&lt;安値!I236),2,""))</f>
      </c>
      <c r="C236" s="684">
        <f>IF(終値!A236="","",IF(AND(安値!H236&lt;安値!G236,安値!H236&lt;安値!F236,安値!H236&lt;安値!I236,安値!H236&lt;安値!J236),3,""))</f>
      </c>
      <c r="D236" s="684">
        <f>IF(終値!A236="","",IF(AND(安値!I236&lt;安値!H236,安値!I236&lt;安値!G236,安値!I236&lt;安値!J236,安値!I236&lt;安値!K236),4,""))</f>
      </c>
      <c r="E236" s="684">
        <f>IF(終値!A236="","",IF(AND(安値!J236&lt;安値!I236,安値!J236&lt;安値!H236,安値!J236&lt;安値!K236,安値!J236&lt;安値!L236),5,""))</f>
      </c>
      <c r="F236" s="684">
        <f>IF(終値!A236="","",IF(AND(安値!K236&lt;安値!J236,安値!K236&lt;安値!I236,安値!K236&lt;安値!L236,安値!K236&lt;安値!M236),6,""))</f>
      </c>
      <c r="G236" s="684">
        <f>IF(終値!A236="","",IF(AND(安値!L236&lt;安値!K236,安値!L236&lt;安値!J236,安値!L236&lt;安値!M236,安値!L236&lt;安値!N236),7,""))</f>
      </c>
      <c r="H236" s="684">
        <f>IF(終値!A236="","",IF(AND(安値!M236&lt;安値!L236,安値!M236&lt;安値!K236,安値!M236&lt;安値!N236,安値!M236&lt;安値!O236),8,""))</f>
      </c>
      <c r="I236" s="684">
        <f>IF(終値!A236="","",IF(AND(安値!N236&lt;安値!M236,安値!N236&lt;安値!L236,安値!N236&lt;安値!O236,安値!N236&lt;安値!P236),9,""))</f>
      </c>
      <c r="J236" s="684">
        <f>IF(終値!A236="","",IF(AND(安値!O236&lt;安値!N236,安値!O236&lt;安値!M236,安値!O236&lt;安値!P236,安値!O236&lt;安値!Q236),10,""))</f>
      </c>
      <c r="K236" s="684">
        <f>IF(終値!A236="","",IF(AND(安値!P236&lt;安値!O236,安値!P236&lt;安値!N236,安値!P236&lt;安値!Q236,安値!P236&lt;安値!R236),11,""))</f>
      </c>
      <c r="L236" s="684">
        <f>IF(終値!A236="","",IF(AND(安値!Q236&lt;安値!P236,安値!Q236&lt;安値!O236,安値!Q236&lt;安値!R236,安値!Q236&lt;安値!S236),12,""))</f>
      </c>
      <c r="M236" s="684">
        <f>IF(終値!A236="","",IF(AND(安値!R236&lt;安値!Q236,安値!R236&lt;安値!P236,安値!R236&lt;安値!S236,安値!R236&lt;安値!T236),13,""))</f>
      </c>
      <c r="N236" s="684">
        <f>IF(終値!A236="","",IF(AND(安値!S236&lt;安値!R236,安値!S236&lt;安値!Q236,安値!S236&lt;安値!T236,安値!S236&lt;安値!U236),14,""))</f>
      </c>
      <c r="O236" s="684">
        <f>IF(終値!A236="","",IF(AND(安値!T236&lt;安値!S236,安値!T236&lt;安値!R236,安値!T236&lt;安値!U236,安値!T236&lt;安値!V236),15,""))</f>
      </c>
      <c r="P236" s="684">
        <f>IF(終値!A236="","",IF(AND(安値!U236&lt;安値!T236,安値!U236&lt;安値!S236,安値!U236&lt;安値!V236,安値!U236&lt;安値!W236),16,""))</f>
      </c>
      <c r="Q236" s="684">
        <f>IF(終値!A236="","",IF(AND(安値!V236&lt;安値!U236,安値!V236&lt;安値!T236,安値!V236&lt;安値!W236,安値!V236&lt;安値!X236),17,""))</f>
      </c>
      <c r="R236" s="684">
        <f>IF(終値!A236="","",IF(AND(安値!W236&lt;安値!V236,安値!W236&lt;安値!U236,安値!W236&lt;安値!X236,安値!W236&lt;安値!Y236),18,""))</f>
      </c>
      <c r="S236" s="684">
        <f>IF(終値!A236="","",IF(AND(安値!X236&lt;安値!W236,安値!X236&lt;安値!V236,安値!X236&lt;安値!Y236,安値!X236&lt;安値!Z236),19,""))</f>
      </c>
      <c r="T236" s="684">
        <f>IF(終値!A236="","",IF(AND(安値!Y236&lt;安値!X236,安値!Y236&lt;安値!W236,安値!Y236&lt;安値!Z236,安値!Y236&lt;安値!AA236),20,""))</f>
      </c>
      <c r="U236" s="684">
        <f>IF(終値!A236="","",IF(AND(安値!Z236&lt;安値!Y236,安値!Z236&lt;安値!X236,安値!Z236&lt;安値!AA236,安値!Z236&lt;安値!AB236),21,""))</f>
      </c>
      <c r="V236" s="684">
        <f>IF(終値!A236="","",IF(AND(安値!AA236&lt;安値!Z236,安値!AA236&lt;安値!Y236,安値!AA236&lt;安値!AB236,安値!AA236&lt;安値!AC236),22,""))</f>
      </c>
      <c r="W236" s="684">
        <f>IF(終値!A236="","",IF(AND(安値!AB236&lt;安値!AA236,安値!AB236&lt;安値!Z236,安値!AB236&lt;安値!AC236,安値!AB236&lt;安値!AD236),23,""))</f>
      </c>
      <c r="X236" s="684">
        <f>IF(終値!A236="","",IF(AND(安値!AC236&lt;安値!AB236,安値!AC236&lt;安値!AA236,安値!AC236&lt;安値!AD236,安値!AC236&lt;安値!AE236),24,""))</f>
      </c>
      <c r="Y236" s="684">
        <f>IF(終値!A236="","",IF(AND(安値!AD236&lt;安値!AC236,安値!AD236&lt;安値!AB236,安値!AD236&lt;安値!AE236,安値!AD236&lt;安値!AF236),25,""))</f>
      </c>
      <c r="Z236" s="684">
        <f>IF(終値!A236="","",IF(AND(安値!AE236&lt;安値!AD236,安値!AE236&lt;安値!AC236,安値!AE236&lt;安値!AF236,安値!AE236&lt;安値!AG236),26,""))</f>
      </c>
      <c r="AA236" s="684">
        <f>IF(終値!A236="","",IF(AND(安値!AF236&lt;安値!AE236,安値!AF236&lt;安値!AD236,安値!AF236&lt;安値!AG236,安値!AF236&lt;安値!AH236),27,""))</f>
      </c>
      <c r="AB236" s="684">
        <f>IF(終値!A236="","",IF(AND(安値!AG236&lt;安値!AF236,安値!AG236&lt;安値!AE236,安値!AG236&lt;安値!AH236,安値!AG236&lt;安値!AI236),28,""))</f>
      </c>
      <c r="AC236" s="684">
        <f>IF(終値!A236="","",IF(AND(高値!G236&gt;高値!F236,高値!G236&gt;高値!E236,高値!G236&gt;高値!H236,高値!G236&gt;高値!I236),2,""))</f>
      </c>
      <c r="AD236" s="684">
        <f>IF(終値!A236="","",IF(AND(高値!H236&gt;高値!G236,高値!H236&gt;高値!F236,高値!H236&gt;高値!I236,高値!H236&gt;高値!J236),3,""))</f>
      </c>
      <c r="AE236" s="684">
        <f>IF(終値!A236="","",IF(AND(高値!I236&gt;高値!H236,高値!I236&gt;高値!G236,高値!I236&gt;高値!J236,高値!I236&gt;高値!K236),4,""))</f>
      </c>
      <c r="AF236" s="684">
        <f>IF(終値!A236="","",IF(AND(高値!J236&gt;高値!I236,高値!J236&gt;高値!H236,高値!J236&gt;高値!K236,高値!J236&gt;高値!L236),5,""))</f>
      </c>
      <c r="AG236" s="684">
        <f>IF(終値!A236="","",IF(AND(高値!K236&gt;高値!J236,高値!K236&gt;高値!I236,高値!K236&gt;高値!L236,高値!K236&gt;高値!M236),6,""))</f>
      </c>
      <c r="AH236" s="684">
        <f>IF(終値!A236="","",IF(AND(高値!L236&gt;高値!K236,高値!L236&gt;高値!J236,高値!L236&gt;高値!M236,高値!L236&gt;高値!N236),7,""))</f>
      </c>
      <c r="AI236" s="684">
        <f>IF(終値!A236="","",IF(AND(高値!M236&gt;高値!L236,高値!M236&gt;高値!K236,高値!M236&gt;高値!N236,高値!M236&gt;高値!O236),8,""))</f>
      </c>
      <c r="AJ236" s="684">
        <f>IF(終値!A236="","",IF(AND(高値!N236&gt;高値!M236,高値!N236&gt;高値!L236,高値!N236&gt;高値!O236,高値!N236&gt;高値!P236),9,""))</f>
      </c>
      <c r="AK236" s="684">
        <f>IF(終値!A236="","",IF(AND(高値!O236&gt;高値!N236,高値!O236&gt;高値!M236,高値!O236&gt;高値!P236,高値!O236&gt;高値!Q236),10,""))</f>
      </c>
      <c r="AL236" s="684">
        <f>IF(終値!A236="","",IF(AND(高値!P236&gt;高値!O236,高値!P236&gt;高値!N236,高値!P236&gt;高値!Q236,高値!P236&gt;高値!R236),11,""))</f>
      </c>
      <c r="AM236" s="684">
        <f>IF(終値!A236="","",IF(AND(高値!Q236&gt;高値!P236,高値!Q236&gt;高値!O236,高値!Q236&gt;高値!R236,高値!Q236&gt;高値!S236),12,""))</f>
      </c>
      <c r="AN236" s="684">
        <f>IF(終値!A236="","",IF(AND(高値!R236&gt;高値!Q236,高値!R236&gt;高値!P236,高値!R236&gt;高値!S236,高値!R236&gt;高値!T236),13,""))</f>
      </c>
      <c r="AO236" s="684">
        <f>IF(終値!A236="","",IF(AND(高値!S236&gt;高値!R236,高値!S236&gt;高値!Q236,高値!S236&gt;高値!T236,高値!S236&gt;高値!U236),14,""))</f>
      </c>
      <c r="AP236" s="684">
        <f>IF(終値!A236="","",IF(AND(高値!T236&gt;高値!S236,高値!T236&gt;高値!R236,高値!T236&gt;高値!U236,高値!T236&gt;高値!V236),15,""))</f>
      </c>
      <c r="AQ236" s="684">
        <f>IF(終値!A236="","",IF(AND(高値!U236&gt;高値!T236,高値!U236&gt;高値!S236,高値!U236&gt;高値!V236,高値!U236&gt;高値!W236),16,""))</f>
      </c>
      <c r="AR236" s="684">
        <f>IF(終値!A236="","",IF(AND(高値!V236&gt;高値!U236,高値!V236&gt;高値!T236,高値!V236&gt;高値!W236,高値!V236&gt;高値!X236),17,""))</f>
      </c>
      <c r="AS236" s="684">
        <f>IF(終値!A236="","",IF(AND(高値!W236&gt;高値!V236,高値!W236&gt;高値!U236,高値!W236&gt;高値!X236,高値!W236&gt;高値!Y236),18,""))</f>
      </c>
      <c r="AT236" s="684">
        <f>IF(終値!A236="","",IF(AND(高値!X236&gt;高値!W236,高値!X236&gt;高値!V236,高値!X236&gt;高値!Y236,高値!X236&gt;高値!Z236),19,""))</f>
      </c>
      <c r="AU236" s="684">
        <f>IF(終値!A236="","",IF(AND(高値!Y236&gt;高値!X236,高値!Y236&gt;高値!W236,高値!Y236&gt;高値!Z236,高値!Y236&gt;高値!AA236),20,""))</f>
      </c>
      <c r="AV236" s="684">
        <f>IF(終値!A236="","",IF(AND(高値!Z236&gt;高値!Y236,高値!Z236&gt;高値!X236,高値!Z236&gt;高値!AA236,高値!Z236&gt;高値!AB236),21,""))</f>
      </c>
      <c r="AW236" s="684">
        <f>IF(終値!A236="","",IF(AND(高値!AA236&gt;高値!Z236,高値!AA236&gt;高値!Y236,高値!AA236&gt;高値!AB236,高値!AA236&gt;高値!AC236),22,""))</f>
      </c>
      <c r="AX236" s="684">
        <f>IF(終値!A236="","",IF(AND(高値!AB236&gt;高値!AA236,高値!AB236&gt;高値!Z236,高値!AB236&gt;高値!AC236,高値!AB236&gt;高値!AD236),23,""))</f>
      </c>
      <c r="AY236" s="684">
        <f>IF(終値!A236="","",IF(AND(高値!AC236&gt;高値!AB236,高値!AC236&gt;高値!AA236,高値!AC236&gt;高値!AD236,高値!AC236&gt;高値!AE236),24,""))</f>
      </c>
      <c r="AZ236" s="684">
        <f>IF(終値!A236="","",IF(AND(高値!AD236&gt;高値!AC236,高値!AD236&gt;高値!AB236,高値!AD236&gt;高値!AE236,高値!AD236&gt;高値!AF236),25,""))</f>
      </c>
      <c r="BA236" s="684">
        <f>IF(終値!A236="","",IF(AND(高値!AE236&gt;高値!AD236,高値!AE236&gt;高値!AC236,高値!AE236&gt;高値!AF236,高値!AE236&gt;高値!AG236),26,""))</f>
      </c>
      <c r="BB236" s="684">
        <f>IF(終値!A236="","",IF(AND(高値!AF236&gt;高値!AE236,高値!AF236&gt;高値!AD236,高値!AF236&gt;高値!AG236,高値!AF236&gt;高値!AH236),27,""))</f>
      </c>
      <c r="BC236" s="684">
        <f>IF(終値!A236="","",IF(AND(高値!AG236&gt;高値!AF236,高値!AG236&gt;高値!AE236,高値!AG236&gt;高値!AH236,高値!AG236&gt;高値!AI236),28,""))</f>
      </c>
      <c r="BD236" s="684">
        <f>COUNT($B236:$AB236)</f>
      </c>
      <c r="BE236" s="684">
        <f>IF($BD236&gt;=2,MIN($B236:$AB236),"")</f>
      </c>
      <c r="BF236" s="684">
        <f>IF($BD236&gt;=2,SMALL($B236:$AB236,2),"")</f>
      </c>
      <c r="BG236" s="684">
        <f>IF($BE236="","",INDEX(安値!$E236:$CZ236,1,$BE236+1))</f>
      </c>
      <c r="BH236" s="684">
        <f>IF($BF236="","",INDEX(安値!$E236:$CZ236,1,$BF236+1))</f>
      </c>
      <c r="BI236" s="684">
        <f>IF($BF236="","",MAX(INDEX(高値!$E236:$CZ236,1,$BE236+1):INDEX(高値!$E236:$CZ236,1,$BF236+1)))</f>
      </c>
      <c r="BJ236" s="684">
        <f>IF($BF236="","",AVERAGE(INDEX(終値!$E236:$CZ236,1,$BF236+1):INDEX(終値!$E236:$CZ236,1,$BF236+20))-2*STDEVP(INDEX(終値!$E236:$CZ236,1,$BF236+1):INDEX(終値!$E236:$CZ236,1,$BF236+20)))</f>
      </c>
      <c r="BK236" s="684">
        <f>IF($BE236="","",AVERAGE(INDEX(終値!$E236:$CZ236,1,$BE236+1):INDEX(終値!$E236:$CZ236,1,$BE236+20))-2*STDEVP(INDEX(終値!$E236:$CZ236,1,$BE236+1):INDEX(終値!$E236:$CZ236,1,$BE236+20)))</f>
      </c>
      <c r="BL236" s="684">
        <f>COUNT($AC236:$BC236)</f>
      </c>
      <c r="BM236" s="684">
        <f>IF($BL236&gt;=2,MIN($AC236:$BC236),"")</f>
      </c>
      <c r="BN236" s="684">
        <f>IF($BL236&gt;=2,SMALL($AC236:$BC236,2),"")</f>
      </c>
      <c r="BO236" s="684">
        <f>IF($BM236="","",INDEX(高値!$E236:$CZ236,1,$BM236+1))</f>
      </c>
      <c r="BP236" s="684">
        <f>IF($BN236="","",INDEX(高値!$E236:$CZ236,1,$BN236+1))</f>
      </c>
      <c r="BQ236" s="684">
        <f>IF($BN236="","",MIN(INDEX(安値!$E236:$CZ236,1,$BM236+1):INDEX(安値!$E236:$CZ236,1,$BN236+1)))</f>
      </c>
      <c r="BR236" s="684">
        <f>IF($BN236="","",AVERAGE(INDEX(終値!$E236:$CZ236,1,$BN236+1):INDEX(終値!$E236:$CZ236,1,$BN236+20))+2*STDEVP(INDEX(終値!$E236:$CZ236,1,$BN236+1):INDEX(終値!$E236:$CZ236,1,$BN236+20)))</f>
      </c>
      <c r="BS236" s="684">
        <f>IF($BM236="","",AVERAGE(INDEX(終値!$E236:$CZ236,1,$BM236+1):INDEX(終値!$E236:$CZ236,1,$BM236+20))+2*STDEVP(INDEX(終値!$E236:$CZ236,1,$BM236+1):INDEX(終値!$E236:$CZ236,1,$BM236+20)))</f>
      </c>
      <c r="BT236" s="681">
        <f>IFERROR(IF(AND($BD236&gt;=2,ABS($BG236-$BH236)/$BH236&lt;=BB設定!$B$12,$BI236&gt;=MAX($BH236,$BG236)*(1+BB設定!$B$13),終値!E236&gt;$BG236),IF(OR(終値!E236&gt;=$BI236,AND($BH236&lt;$BJ236,$BG236&gt;=$BK236)),"二番底W▲","二番底W形成"),IF(AND($BL236&gt;=2,ABS($BO236-$BP236)/$BP236&lt;=BB設定!$B$12,$BQ236&lt;=MIN($BP236,$BO236)*(1-BB設定!$B$13),終値!E236&lt;$BO236),IF(OR(終値!E236&lt;=$BQ236,AND($BP236&gt;$BR236,$BO236&lt;=$BS236)),"二番天井M▼","二番天井M形成"),"－")),"－")</f>
      </c>
    </row>
    <row r="237">
      <c r="B237" s="684">
        <f>IF(終値!A237="","",IF(AND(安値!G237&lt;安値!F237,安値!G237&lt;安値!E237,安値!G237&lt;安値!H237,安値!G237&lt;安値!I237),2,""))</f>
      </c>
      <c r="C237" s="684">
        <f>IF(終値!A237="","",IF(AND(安値!H237&lt;安値!G237,安値!H237&lt;安値!F237,安値!H237&lt;安値!I237,安値!H237&lt;安値!J237),3,""))</f>
      </c>
      <c r="D237" s="684">
        <f>IF(終値!A237="","",IF(AND(安値!I237&lt;安値!H237,安値!I237&lt;安値!G237,安値!I237&lt;安値!J237,安値!I237&lt;安値!K237),4,""))</f>
      </c>
      <c r="E237" s="684">
        <f>IF(終値!A237="","",IF(AND(安値!J237&lt;安値!I237,安値!J237&lt;安値!H237,安値!J237&lt;安値!K237,安値!J237&lt;安値!L237),5,""))</f>
      </c>
      <c r="F237" s="684">
        <f>IF(終値!A237="","",IF(AND(安値!K237&lt;安値!J237,安値!K237&lt;安値!I237,安値!K237&lt;安値!L237,安値!K237&lt;安値!M237),6,""))</f>
      </c>
      <c r="G237" s="684">
        <f>IF(終値!A237="","",IF(AND(安値!L237&lt;安値!K237,安値!L237&lt;安値!J237,安値!L237&lt;安値!M237,安値!L237&lt;安値!N237),7,""))</f>
      </c>
      <c r="H237" s="684">
        <f>IF(終値!A237="","",IF(AND(安値!M237&lt;安値!L237,安値!M237&lt;安値!K237,安値!M237&lt;安値!N237,安値!M237&lt;安値!O237),8,""))</f>
      </c>
      <c r="I237" s="684">
        <f>IF(終値!A237="","",IF(AND(安値!N237&lt;安値!M237,安値!N237&lt;安値!L237,安値!N237&lt;安値!O237,安値!N237&lt;安値!P237),9,""))</f>
      </c>
      <c r="J237" s="684">
        <f>IF(終値!A237="","",IF(AND(安値!O237&lt;安値!N237,安値!O237&lt;安値!M237,安値!O237&lt;安値!P237,安値!O237&lt;安値!Q237),10,""))</f>
      </c>
      <c r="K237" s="684">
        <f>IF(終値!A237="","",IF(AND(安値!P237&lt;安値!O237,安値!P237&lt;安値!N237,安値!P237&lt;安値!Q237,安値!P237&lt;安値!R237),11,""))</f>
      </c>
      <c r="L237" s="684">
        <f>IF(終値!A237="","",IF(AND(安値!Q237&lt;安値!P237,安値!Q237&lt;安値!O237,安値!Q237&lt;安値!R237,安値!Q237&lt;安値!S237),12,""))</f>
      </c>
      <c r="M237" s="684">
        <f>IF(終値!A237="","",IF(AND(安値!R237&lt;安値!Q237,安値!R237&lt;安値!P237,安値!R237&lt;安値!S237,安値!R237&lt;安値!T237),13,""))</f>
      </c>
      <c r="N237" s="684">
        <f>IF(終値!A237="","",IF(AND(安値!S237&lt;安値!R237,安値!S237&lt;安値!Q237,安値!S237&lt;安値!T237,安値!S237&lt;安値!U237),14,""))</f>
      </c>
      <c r="O237" s="684">
        <f>IF(終値!A237="","",IF(AND(安値!T237&lt;安値!S237,安値!T237&lt;安値!R237,安値!T237&lt;安値!U237,安値!T237&lt;安値!V237),15,""))</f>
      </c>
      <c r="P237" s="684">
        <f>IF(終値!A237="","",IF(AND(安値!U237&lt;安値!T237,安値!U237&lt;安値!S237,安値!U237&lt;安値!V237,安値!U237&lt;安値!W237),16,""))</f>
      </c>
      <c r="Q237" s="684">
        <f>IF(終値!A237="","",IF(AND(安値!V237&lt;安値!U237,安値!V237&lt;安値!T237,安値!V237&lt;安値!W237,安値!V237&lt;安値!X237),17,""))</f>
      </c>
      <c r="R237" s="684">
        <f>IF(終値!A237="","",IF(AND(安値!W237&lt;安値!V237,安値!W237&lt;安値!U237,安値!W237&lt;安値!X237,安値!W237&lt;安値!Y237),18,""))</f>
      </c>
      <c r="S237" s="684">
        <f>IF(終値!A237="","",IF(AND(安値!X237&lt;安値!W237,安値!X237&lt;安値!V237,安値!X237&lt;安値!Y237,安値!X237&lt;安値!Z237),19,""))</f>
      </c>
      <c r="T237" s="684">
        <f>IF(終値!A237="","",IF(AND(安値!Y237&lt;安値!X237,安値!Y237&lt;安値!W237,安値!Y237&lt;安値!Z237,安値!Y237&lt;安値!AA237),20,""))</f>
      </c>
      <c r="U237" s="684">
        <f>IF(終値!A237="","",IF(AND(安値!Z237&lt;安値!Y237,安値!Z237&lt;安値!X237,安値!Z237&lt;安値!AA237,安値!Z237&lt;安値!AB237),21,""))</f>
      </c>
      <c r="V237" s="684">
        <f>IF(終値!A237="","",IF(AND(安値!AA237&lt;安値!Z237,安値!AA237&lt;安値!Y237,安値!AA237&lt;安値!AB237,安値!AA237&lt;安値!AC237),22,""))</f>
      </c>
      <c r="W237" s="684">
        <f>IF(終値!A237="","",IF(AND(安値!AB237&lt;安値!AA237,安値!AB237&lt;安値!Z237,安値!AB237&lt;安値!AC237,安値!AB237&lt;安値!AD237),23,""))</f>
      </c>
      <c r="X237" s="684">
        <f>IF(終値!A237="","",IF(AND(安値!AC237&lt;安値!AB237,安値!AC237&lt;安値!AA237,安値!AC237&lt;安値!AD237,安値!AC237&lt;安値!AE237),24,""))</f>
      </c>
      <c r="Y237" s="684">
        <f>IF(終値!A237="","",IF(AND(安値!AD237&lt;安値!AC237,安値!AD237&lt;安値!AB237,安値!AD237&lt;安値!AE237,安値!AD237&lt;安値!AF237),25,""))</f>
      </c>
      <c r="Z237" s="684">
        <f>IF(終値!A237="","",IF(AND(安値!AE237&lt;安値!AD237,安値!AE237&lt;安値!AC237,安値!AE237&lt;安値!AF237,安値!AE237&lt;安値!AG237),26,""))</f>
      </c>
      <c r="AA237" s="684">
        <f>IF(終値!A237="","",IF(AND(安値!AF237&lt;安値!AE237,安値!AF237&lt;安値!AD237,安値!AF237&lt;安値!AG237,安値!AF237&lt;安値!AH237),27,""))</f>
      </c>
      <c r="AB237" s="684">
        <f>IF(終値!A237="","",IF(AND(安値!AG237&lt;安値!AF237,安値!AG237&lt;安値!AE237,安値!AG237&lt;安値!AH237,安値!AG237&lt;安値!AI237),28,""))</f>
      </c>
      <c r="AC237" s="684">
        <f>IF(終値!A237="","",IF(AND(高値!G237&gt;高値!F237,高値!G237&gt;高値!E237,高値!G237&gt;高値!H237,高値!G237&gt;高値!I237),2,""))</f>
      </c>
      <c r="AD237" s="684">
        <f>IF(終値!A237="","",IF(AND(高値!H237&gt;高値!G237,高値!H237&gt;高値!F237,高値!H237&gt;高値!I237,高値!H237&gt;高値!J237),3,""))</f>
      </c>
      <c r="AE237" s="684">
        <f>IF(終値!A237="","",IF(AND(高値!I237&gt;高値!H237,高値!I237&gt;高値!G237,高値!I237&gt;高値!J237,高値!I237&gt;高値!K237),4,""))</f>
      </c>
      <c r="AF237" s="684">
        <f>IF(終値!A237="","",IF(AND(高値!J237&gt;高値!I237,高値!J237&gt;高値!H237,高値!J237&gt;高値!K237,高値!J237&gt;高値!L237),5,""))</f>
      </c>
      <c r="AG237" s="684">
        <f>IF(終値!A237="","",IF(AND(高値!K237&gt;高値!J237,高値!K237&gt;高値!I237,高値!K237&gt;高値!L237,高値!K237&gt;高値!M237),6,""))</f>
      </c>
      <c r="AH237" s="684">
        <f>IF(終値!A237="","",IF(AND(高値!L237&gt;高値!K237,高値!L237&gt;高値!J237,高値!L237&gt;高値!M237,高値!L237&gt;高値!N237),7,""))</f>
      </c>
      <c r="AI237" s="684">
        <f>IF(終値!A237="","",IF(AND(高値!M237&gt;高値!L237,高値!M237&gt;高値!K237,高値!M237&gt;高値!N237,高値!M237&gt;高値!O237),8,""))</f>
      </c>
      <c r="AJ237" s="684">
        <f>IF(終値!A237="","",IF(AND(高値!N237&gt;高値!M237,高値!N237&gt;高値!L237,高値!N237&gt;高値!O237,高値!N237&gt;高値!P237),9,""))</f>
      </c>
      <c r="AK237" s="684">
        <f>IF(終値!A237="","",IF(AND(高値!O237&gt;高値!N237,高値!O237&gt;高値!M237,高値!O237&gt;高値!P237,高値!O237&gt;高値!Q237),10,""))</f>
      </c>
      <c r="AL237" s="684">
        <f>IF(終値!A237="","",IF(AND(高値!P237&gt;高値!O237,高値!P237&gt;高値!N237,高値!P237&gt;高値!Q237,高値!P237&gt;高値!R237),11,""))</f>
      </c>
      <c r="AM237" s="684">
        <f>IF(終値!A237="","",IF(AND(高値!Q237&gt;高値!P237,高値!Q237&gt;高値!O237,高値!Q237&gt;高値!R237,高値!Q237&gt;高値!S237),12,""))</f>
      </c>
      <c r="AN237" s="684">
        <f>IF(終値!A237="","",IF(AND(高値!R237&gt;高値!Q237,高値!R237&gt;高値!P237,高値!R237&gt;高値!S237,高値!R237&gt;高値!T237),13,""))</f>
      </c>
      <c r="AO237" s="684">
        <f>IF(終値!A237="","",IF(AND(高値!S237&gt;高値!R237,高値!S237&gt;高値!Q237,高値!S237&gt;高値!T237,高値!S237&gt;高値!U237),14,""))</f>
      </c>
      <c r="AP237" s="684">
        <f>IF(終値!A237="","",IF(AND(高値!T237&gt;高値!S237,高値!T237&gt;高値!R237,高値!T237&gt;高値!U237,高値!T237&gt;高値!V237),15,""))</f>
      </c>
      <c r="AQ237" s="684">
        <f>IF(終値!A237="","",IF(AND(高値!U237&gt;高値!T237,高値!U237&gt;高値!S237,高値!U237&gt;高値!V237,高値!U237&gt;高値!W237),16,""))</f>
      </c>
      <c r="AR237" s="684">
        <f>IF(終値!A237="","",IF(AND(高値!V237&gt;高値!U237,高値!V237&gt;高値!T237,高値!V237&gt;高値!W237,高値!V237&gt;高値!X237),17,""))</f>
      </c>
      <c r="AS237" s="684">
        <f>IF(終値!A237="","",IF(AND(高値!W237&gt;高値!V237,高値!W237&gt;高値!U237,高値!W237&gt;高値!X237,高値!W237&gt;高値!Y237),18,""))</f>
      </c>
      <c r="AT237" s="684">
        <f>IF(終値!A237="","",IF(AND(高値!X237&gt;高値!W237,高値!X237&gt;高値!V237,高値!X237&gt;高値!Y237,高値!X237&gt;高値!Z237),19,""))</f>
      </c>
      <c r="AU237" s="684">
        <f>IF(終値!A237="","",IF(AND(高値!Y237&gt;高値!X237,高値!Y237&gt;高値!W237,高値!Y237&gt;高値!Z237,高値!Y237&gt;高値!AA237),20,""))</f>
      </c>
      <c r="AV237" s="684">
        <f>IF(終値!A237="","",IF(AND(高値!Z237&gt;高値!Y237,高値!Z237&gt;高値!X237,高値!Z237&gt;高値!AA237,高値!Z237&gt;高値!AB237),21,""))</f>
      </c>
      <c r="AW237" s="684">
        <f>IF(終値!A237="","",IF(AND(高値!AA237&gt;高値!Z237,高値!AA237&gt;高値!Y237,高値!AA237&gt;高値!AB237,高値!AA237&gt;高値!AC237),22,""))</f>
      </c>
      <c r="AX237" s="684">
        <f>IF(終値!A237="","",IF(AND(高値!AB237&gt;高値!AA237,高値!AB237&gt;高値!Z237,高値!AB237&gt;高値!AC237,高値!AB237&gt;高値!AD237),23,""))</f>
      </c>
      <c r="AY237" s="684">
        <f>IF(終値!A237="","",IF(AND(高値!AC237&gt;高値!AB237,高値!AC237&gt;高値!AA237,高値!AC237&gt;高値!AD237,高値!AC237&gt;高値!AE237),24,""))</f>
      </c>
      <c r="AZ237" s="684">
        <f>IF(終値!A237="","",IF(AND(高値!AD237&gt;高値!AC237,高値!AD237&gt;高値!AB237,高値!AD237&gt;高値!AE237,高値!AD237&gt;高値!AF237),25,""))</f>
      </c>
      <c r="BA237" s="684">
        <f>IF(終値!A237="","",IF(AND(高値!AE237&gt;高値!AD237,高値!AE237&gt;高値!AC237,高値!AE237&gt;高値!AF237,高値!AE237&gt;高値!AG237),26,""))</f>
      </c>
      <c r="BB237" s="684">
        <f>IF(終値!A237="","",IF(AND(高値!AF237&gt;高値!AE237,高値!AF237&gt;高値!AD237,高値!AF237&gt;高値!AG237,高値!AF237&gt;高値!AH237),27,""))</f>
      </c>
      <c r="BC237" s="684">
        <f>IF(終値!A237="","",IF(AND(高値!AG237&gt;高値!AF237,高値!AG237&gt;高値!AE237,高値!AG237&gt;高値!AH237,高値!AG237&gt;高値!AI237),28,""))</f>
      </c>
      <c r="BD237" s="684">
        <f>COUNT($B237:$AB237)</f>
      </c>
      <c r="BE237" s="684">
        <f>IF($BD237&gt;=2,MIN($B237:$AB237),"")</f>
      </c>
      <c r="BF237" s="684">
        <f>IF($BD237&gt;=2,SMALL($B237:$AB237,2),"")</f>
      </c>
      <c r="BG237" s="684">
        <f>IF($BE237="","",INDEX(安値!$E237:$CZ237,1,$BE237+1))</f>
      </c>
      <c r="BH237" s="684">
        <f>IF($BF237="","",INDEX(安値!$E237:$CZ237,1,$BF237+1))</f>
      </c>
      <c r="BI237" s="684">
        <f>IF($BF237="","",MAX(INDEX(高値!$E237:$CZ237,1,$BE237+1):INDEX(高値!$E237:$CZ237,1,$BF237+1)))</f>
      </c>
      <c r="BJ237" s="684">
        <f>IF($BF237="","",AVERAGE(INDEX(終値!$E237:$CZ237,1,$BF237+1):INDEX(終値!$E237:$CZ237,1,$BF237+20))-2*STDEVP(INDEX(終値!$E237:$CZ237,1,$BF237+1):INDEX(終値!$E237:$CZ237,1,$BF237+20)))</f>
      </c>
      <c r="BK237" s="684">
        <f>IF($BE237="","",AVERAGE(INDEX(終値!$E237:$CZ237,1,$BE237+1):INDEX(終値!$E237:$CZ237,1,$BE237+20))-2*STDEVP(INDEX(終値!$E237:$CZ237,1,$BE237+1):INDEX(終値!$E237:$CZ237,1,$BE237+20)))</f>
      </c>
      <c r="BL237" s="684">
        <f>COUNT($AC237:$BC237)</f>
      </c>
      <c r="BM237" s="684">
        <f>IF($BL237&gt;=2,MIN($AC237:$BC237),"")</f>
      </c>
      <c r="BN237" s="684">
        <f>IF($BL237&gt;=2,SMALL($AC237:$BC237,2),"")</f>
      </c>
      <c r="BO237" s="684">
        <f>IF($BM237="","",INDEX(高値!$E237:$CZ237,1,$BM237+1))</f>
      </c>
      <c r="BP237" s="684">
        <f>IF($BN237="","",INDEX(高値!$E237:$CZ237,1,$BN237+1))</f>
      </c>
      <c r="BQ237" s="684">
        <f>IF($BN237="","",MIN(INDEX(安値!$E237:$CZ237,1,$BM237+1):INDEX(安値!$E237:$CZ237,1,$BN237+1)))</f>
      </c>
      <c r="BR237" s="684">
        <f>IF($BN237="","",AVERAGE(INDEX(終値!$E237:$CZ237,1,$BN237+1):INDEX(終値!$E237:$CZ237,1,$BN237+20))+2*STDEVP(INDEX(終値!$E237:$CZ237,1,$BN237+1):INDEX(終値!$E237:$CZ237,1,$BN237+20)))</f>
      </c>
      <c r="BS237" s="684">
        <f>IF($BM237="","",AVERAGE(INDEX(終値!$E237:$CZ237,1,$BM237+1):INDEX(終値!$E237:$CZ237,1,$BM237+20))+2*STDEVP(INDEX(終値!$E237:$CZ237,1,$BM237+1):INDEX(終値!$E237:$CZ237,1,$BM237+20)))</f>
      </c>
      <c r="BT237" s="681">
        <f>IFERROR(IF(AND($BD237&gt;=2,ABS($BG237-$BH237)/$BH237&lt;=BB設定!$B$12,$BI237&gt;=MAX($BH237,$BG237)*(1+BB設定!$B$13),終値!E237&gt;$BG237),IF(OR(終値!E237&gt;=$BI237,AND($BH237&lt;$BJ237,$BG237&gt;=$BK237)),"二番底W▲","二番底W形成"),IF(AND($BL237&gt;=2,ABS($BO237-$BP237)/$BP237&lt;=BB設定!$B$12,$BQ237&lt;=MIN($BP237,$BO237)*(1-BB設定!$B$13),終値!E237&lt;$BO237),IF(OR(終値!E237&lt;=$BQ237,AND($BP237&gt;$BR237,$BO237&lt;=$BS237)),"二番天井M▼","二番天井M形成"),"－")),"－")</f>
      </c>
    </row>
    <row r="238">
      <c r="B238" s="684">
        <f>IF(終値!A238="","",IF(AND(安値!G238&lt;安値!F238,安値!G238&lt;安値!E238,安値!G238&lt;安値!H238,安値!G238&lt;安値!I238),2,""))</f>
      </c>
      <c r="C238" s="684">
        <f>IF(終値!A238="","",IF(AND(安値!H238&lt;安値!G238,安値!H238&lt;安値!F238,安値!H238&lt;安値!I238,安値!H238&lt;安値!J238),3,""))</f>
      </c>
      <c r="D238" s="684">
        <f>IF(終値!A238="","",IF(AND(安値!I238&lt;安値!H238,安値!I238&lt;安値!G238,安値!I238&lt;安値!J238,安値!I238&lt;安値!K238),4,""))</f>
      </c>
      <c r="E238" s="684">
        <f>IF(終値!A238="","",IF(AND(安値!J238&lt;安値!I238,安値!J238&lt;安値!H238,安値!J238&lt;安値!K238,安値!J238&lt;安値!L238),5,""))</f>
      </c>
      <c r="F238" s="684">
        <f>IF(終値!A238="","",IF(AND(安値!K238&lt;安値!J238,安値!K238&lt;安値!I238,安値!K238&lt;安値!L238,安値!K238&lt;安値!M238),6,""))</f>
      </c>
      <c r="G238" s="684">
        <f>IF(終値!A238="","",IF(AND(安値!L238&lt;安値!K238,安値!L238&lt;安値!J238,安値!L238&lt;安値!M238,安値!L238&lt;安値!N238),7,""))</f>
      </c>
      <c r="H238" s="684">
        <f>IF(終値!A238="","",IF(AND(安値!M238&lt;安値!L238,安値!M238&lt;安値!K238,安値!M238&lt;安値!N238,安値!M238&lt;安値!O238),8,""))</f>
      </c>
      <c r="I238" s="684">
        <f>IF(終値!A238="","",IF(AND(安値!N238&lt;安値!M238,安値!N238&lt;安値!L238,安値!N238&lt;安値!O238,安値!N238&lt;安値!P238),9,""))</f>
      </c>
      <c r="J238" s="684">
        <f>IF(終値!A238="","",IF(AND(安値!O238&lt;安値!N238,安値!O238&lt;安値!M238,安値!O238&lt;安値!P238,安値!O238&lt;安値!Q238),10,""))</f>
      </c>
      <c r="K238" s="684">
        <f>IF(終値!A238="","",IF(AND(安値!P238&lt;安値!O238,安値!P238&lt;安値!N238,安値!P238&lt;安値!Q238,安値!P238&lt;安値!R238),11,""))</f>
      </c>
      <c r="L238" s="684">
        <f>IF(終値!A238="","",IF(AND(安値!Q238&lt;安値!P238,安値!Q238&lt;安値!O238,安値!Q238&lt;安値!R238,安値!Q238&lt;安値!S238),12,""))</f>
      </c>
      <c r="M238" s="684">
        <f>IF(終値!A238="","",IF(AND(安値!R238&lt;安値!Q238,安値!R238&lt;安値!P238,安値!R238&lt;安値!S238,安値!R238&lt;安値!T238),13,""))</f>
      </c>
      <c r="N238" s="684">
        <f>IF(終値!A238="","",IF(AND(安値!S238&lt;安値!R238,安値!S238&lt;安値!Q238,安値!S238&lt;安値!T238,安値!S238&lt;安値!U238),14,""))</f>
      </c>
      <c r="O238" s="684">
        <f>IF(終値!A238="","",IF(AND(安値!T238&lt;安値!S238,安値!T238&lt;安値!R238,安値!T238&lt;安値!U238,安値!T238&lt;安値!V238),15,""))</f>
      </c>
      <c r="P238" s="684">
        <f>IF(終値!A238="","",IF(AND(安値!U238&lt;安値!T238,安値!U238&lt;安値!S238,安値!U238&lt;安値!V238,安値!U238&lt;安値!W238),16,""))</f>
      </c>
      <c r="Q238" s="684">
        <f>IF(終値!A238="","",IF(AND(安値!V238&lt;安値!U238,安値!V238&lt;安値!T238,安値!V238&lt;安値!W238,安値!V238&lt;安値!X238),17,""))</f>
      </c>
      <c r="R238" s="684">
        <f>IF(終値!A238="","",IF(AND(安値!W238&lt;安値!V238,安値!W238&lt;安値!U238,安値!W238&lt;安値!X238,安値!W238&lt;安値!Y238),18,""))</f>
      </c>
      <c r="S238" s="684">
        <f>IF(終値!A238="","",IF(AND(安値!X238&lt;安値!W238,安値!X238&lt;安値!V238,安値!X238&lt;安値!Y238,安値!X238&lt;安値!Z238),19,""))</f>
      </c>
      <c r="T238" s="684">
        <f>IF(終値!A238="","",IF(AND(安値!Y238&lt;安値!X238,安値!Y238&lt;安値!W238,安値!Y238&lt;安値!Z238,安値!Y238&lt;安値!AA238),20,""))</f>
      </c>
      <c r="U238" s="684">
        <f>IF(終値!A238="","",IF(AND(安値!Z238&lt;安値!Y238,安値!Z238&lt;安値!X238,安値!Z238&lt;安値!AA238,安値!Z238&lt;安値!AB238),21,""))</f>
      </c>
      <c r="V238" s="684">
        <f>IF(終値!A238="","",IF(AND(安値!AA238&lt;安値!Z238,安値!AA238&lt;安値!Y238,安値!AA238&lt;安値!AB238,安値!AA238&lt;安値!AC238),22,""))</f>
      </c>
      <c r="W238" s="684">
        <f>IF(終値!A238="","",IF(AND(安値!AB238&lt;安値!AA238,安値!AB238&lt;安値!Z238,安値!AB238&lt;安値!AC238,安値!AB238&lt;安値!AD238),23,""))</f>
      </c>
      <c r="X238" s="684">
        <f>IF(終値!A238="","",IF(AND(安値!AC238&lt;安値!AB238,安値!AC238&lt;安値!AA238,安値!AC238&lt;安値!AD238,安値!AC238&lt;安値!AE238),24,""))</f>
      </c>
      <c r="Y238" s="684">
        <f>IF(終値!A238="","",IF(AND(安値!AD238&lt;安値!AC238,安値!AD238&lt;安値!AB238,安値!AD238&lt;安値!AE238,安値!AD238&lt;安値!AF238),25,""))</f>
      </c>
      <c r="Z238" s="684">
        <f>IF(終値!A238="","",IF(AND(安値!AE238&lt;安値!AD238,安値!AE238&lt;安値!AC238,安値!AE238&lt;安値!AF238,安値!AE238&lt;安値!AG238),26,""))</f>
      </c>
      <c r="AA238" s="684">
        <f>IF(終値!A238="","",IF(AND(安値!AF238&lt;安値!AE238,安値!AF238&lt;安値!AD238,安値!AF238&lt;安値!AG238,安値!AF238&lt;安値!AH238),27,""))</f>
      </c>
      <c r="AB238" s="684">
        <f>IF(終値!A238="","",IF(AND(安値!AG238&lt;安値!AF238,安値!AG238&lt;安値!AE238,安値!AG238&lt;安値!AH238,安値!AG238&lt;安値!AI238),28,""))</f>
      </c>
      <c r="AC238" s="684">
        <f>IF(終値!A238="","",IF(AND(高値!G238&gt;高値!F238,高値!G238&gt;高値!E238,高値!G238&gt;高値!H238,高値!G238&gt;高値!I238),2,""))</f>
      </c>
      <c r="AD238" s="684">
        <f>IF(終値!A238="","",IF(AND(高値!H238&gt;高値!G238,高値!H238&gt;高値!F238,高値!H238&gt;高値!I238,高値!H238&gt;高値!J238),3,""))</f>
      </c>
      <c r="AE238" s="684">
        <f>IF(終値!A238="","",IF(AND(高値!I238&gt;高値!H238,高値!I238&gt;高値!G238,高値!I238&gt;高値!J238,高値!I238&gt;高値!K238),4,""))</f>
      </c>
      <c r="AF238" s="684">
        <f>IF(終値!A238="","",IF(AND(高値!J238&gt;高値!I238,高値!J238&gt;高値!H238,高値!J238&gt;高値!K238,高値!J238&gt;高値!L238),5,""))</f>
      </c>
      <c r="AG238" s="684">
        <f>IF(終値!A238="","",IF(AND(高値!K238&gt;高値!J238,高値!K238&gt;高値!I238,高値!K238&gt;高値!L238,高値!K238&gt;高値!M238),6,""))</f>
      </c>
      <c r="AH238" s="684">
        <f>IF(終値!A238="","",IF(AND(高値!L238&gt;高値!K238,高値!L238&gt;高値!J238,高値!L238&gt;高値!M238,高値!L238&gt;高値!N238),7,""))</f>
      </c>
      <c r="AI238" s="684">
        <f>IF(終値!A238="","",IF(AND(高値!M238&gt;高値!L238,高値!M238&gt;高値!K238,高値!M238&gt;高値!N238,高値!M238&gt;高値!O238),8,""))</f>
      </c>
      <c r="AJ238" s="684">
        <f>IF(終値!A238="","",IF(AND(高値!N238&gt;高値!M238,高値!N238&gt;高値!L238,高値!N238&gt;高値!O238,高値!N238&gt;高値!P238),9,""))</f>
      </c>
      <c r="AK238" s="684">
        <f>IF(終値!A238="","",IF(AND(高値!O238&gt;高値!N238,高値!O238&gt;高値!M238,高値!O238&gt;高値!P238,高値!O238&gt;高値!Q238),10,""))</f>
      </c>
      <c r="AL238" s="684">
        <f>IF(終値!A238="","",IF(AND(高値!P238&gt;高値!O238,高値!P238&gt;高値!N238,高値!P238&gt;高値!Q238,高値!P238&gt;高値!R238),11,""))</f>
      </c>
      <c r="AM238" s="684">
        <f>IF(終値!A238="","",IF(AND(高値!Q238&gt;高値!P238,高値!Q238&gt;高値!O238,高値!Q238&gt;高値!R238,高値!Q238&gt;高値!S238),12,""))</f>
      </c>
      <c r="AN238" s="684">
        <f>IF(終値!A238="","",IF(AND(高値!R238&gt;高値!Q238,高値!R238&gt;高値!P238,高値!R238&gt;高値!S238,高値!R238&gt;高値!T238),13,""))</f>
      </c>
      <c r="AO238" s="684">
        <f>IF(終値!A238="","",IF(AND(高値!S238&gt;高値!R238,高値!S238&gt;高値!Q238,高値!S238&gt;高値!T238,高値!S238&gt;高値!U238),14,""))</f>
      </c>
      <c r="AP238" s="684">
        <f>IF(終値!A238="","",IF(AND(高値!T238&gt;高値!S238,高値!T238&gt;高値!R238,高値!T238&gt;高値!U238,高値!T238&gt;高値!V238),15,""))</f>
      </c>
      <c r="AQ238" s="684">
        <f>IF(終値!A238="","",IF(AND(高値!U238&gt;高値!T238,高値!U238&gt;高値!S238,高値!U238&gt;高値!V238,高値!U238&gt;高値!W238),16,""))</f>
      </c>
      <c r="AR238" s="684">
        <f>IF(終値!A238="","",IF(AND(高値!V238&gt;高値!U238,高値!V238&gt;高値!T238,高値!V238&gt;高値!W238,高値!V238&gt;高値!X238),17,""))</f>
      </c>
      <c r="AS238" s="684">
        <f>IF(終値!A238="","",IF(AND(高値!W238&gt;高値!V238,高値!W238&gt;高値!U238,高値!W238&gt;高値!X238,高値!W238&gt;高値!Y238),18,""))</f>
      </c>
      <c r="AT238" s="684">
        <f>IF(終値!A238="","",IF(AND(高値!X238&gt;高値!W238,高値!X238&gt;高値!V238,高値!X238&gt;高値!Y238,高値!X238&gt;高値!Z238),19,""))</f>
      </c>
      <c r="AU238" s="684">
        <f>IF(終値!A238="","",IF(AND(高値!Y238&gt;高値!X238,高値!Y238&gt;高値!W238,高値!Y238&gt;高値!Z238,高値!Y238&gt;高値!AA238),20,""))</f>
      </c>
      <c r="AV238" s="684">
        <f>IF(終値!A238="","",IF(AND(高値!Z238&gt;高値!Y238,高値!Z238&gt;高値!X238,高値!Z238&gt;高値!AA238,高値!Z238&gt;高値!AB238),21,""))</f>
      </c>
      <c r="AW238" s="684">
        <f>IF(終値!A238="","",IF(AND(高値!AA238&gt;高値!Z238,高値!AA238&gt;高値!Y238,高値!AA238&gt;高値!AB238,高値!AA238&gt;高値!AC238),22,""))</f>
      </c>
      <c r="AX238" s="684">
        <f>IF(終値!A238="","",IF(AND(高値!AB238&gt;高値!AA238,高値!AB238&gt;高値!Z238,高値!AB238&gt;高値!AC238,高値!AB238&gt;高値!AD238),23,""))</f>
      </c>
      <c r="AY238" s="684">
        <f>IF(終値!A238="","",IF(AND(高値!AC238&gt;高値!AB238,高値!AC238&gt;高値!AA238,高値!AC238&gt;高値!AD238,高値!AC238&gt;高値!AE238),24,""))</f>
      </c>
      <c r="AZ238" s="684">
        <f>IF(終値!A238="","",IF(AND(高値!AD238&gt;高値!AC238,高値!AD238&gt;高値!AB238,高値!AD238&gt;高値!AE238,高値!AD238&gt;高値!AF238),25,""))</f>
      </c>
      <c r="BA238" s="684">
        <f>IF(終値!A238="","",IF(AND(高値!AE238&gt;高値!AD238,高値!AE238&gt;高値!AC238,高値!AE238&gt;高値!AF238,高値!AE238&gt;高値!AG238),26,""))</f>
      </c>
      <c r="BB238" s="684">
        <f>IF(終値!A238="","",IF(AND(高値!AF238&gt;高値!AE238,高値!AF238&gt;高値!AD238,高値!AF238&gt;高値!AG238,高値!AF238&gt;高値!AH238),27,""))</f>
      </c>
      <c r="BC238" s="684">
        <f>IF(終値!A238="","",IF(AND(高値!AG238&gt;高値!AF238,高値!AG238&gt;高値!AE238,高値!AG238&gt;高値!AH238,高値!AG238&gt;高値!AI238),28,""))</f>
      </c>
      <c r="BD238" s="684">
        <f>COUNT($B238:$AB238)</f>
      </c>
      <c r="BE238" s="684">
        <f>IF($BD238&gt;=2,MIN($B238:$AB238),"")</f>
      </c>
      <c r="BF238" s="684">
        <f>IF($BD238&gt;=2,SMALL($B238:$AB238,2),"")</f>
      </c>
      <c r="BG238" s="684">
        <f>IF($BE238="","",INDEX(安値!$E238:$CZ238,1,$BE238+1))</f>
      </c>
      <c r="BH238" s="684">
        <f>IF($BF238="","",INDEX(安値!$E238:$CZ238,1,$BF238+1))</f>
      </c>
      <c r="BI238" s="684">
        <f>IF($BF238="","",MAX(INDEX(高値!$E238:$CZ238,1,$BE238+1):INDEX(高値!$E238:$CZ238,1,$BF238+1)))</f>
      </c>
      <c r="BJ238" s="684">
        <f>IF($BF238="","",AVERAGE(INDEX(終値!$E238:$CZ238,1,$BF238+1):INDEX(終値!$E238:$CZ238,1,$BF238+20))-2*STDEVP(INDEX(終値!$E238:$CZ238,1,$BF238+1):INDEX(終値!$E238:$CZ238,1,$BF238+20)))</f>
      </c>
      <c r="BK238" s="684">
        <f>IF($BE238="","",AVERAGE(INDEX(終値!$E238:$CZ238,1,$BE238+1):INDEX(終値!$E238:$CZ238,1,$BE238+20))-2*STDEVP(INDEX(終値!$E238:$CZ238,1,$BE238+1):INDEX(終値!$E238:$CZ238,1,$BE238+20)))</f>
      </c>
      <c r="BL238" s="684">
        <f>COUNT($AC238:$BC238)</f>
      </c>
      <c r="BM238" s="684">
        <f>IF($BL238&gt;=2,MIN($AC238:$BC238),"")</f>
      </c>
      <c r="BN238" s="684">
        <f>IF($BL238&gt;=2,SMALL($AC238:$BC238,2),"")</f>
      </c>
      <c r="BO238" s="684">
        <f>IF($BM238="","",INDEX(高値!$E238:$CZ238,1,$BM238+1))</f>
      </c>
      <c r="BP238" s="684">
        <f>IF($BN238="","",INDEX(高値!$E238:$CZ238,1,$BN238+1))</f>
      </c>
      <c r="BQ238" s="684">
        <f>IF($BN238="","",MIN(INDEX(安値!$E238:$CZ238,1,$BM238+1):INDEX(安値!$E238:$CZ238,1,$BN238+1)))</f>
      </c>
      <c r="BR238" s="684">
        <f>IF($BN238="","",AVERAGE(INDEX(終値!$E238:$CZ238,1,$BN238+1):INDEX(終値!$E238:$CZ238,1,$BN238+20))+2*STDEVP(INDEX(終値!$E238:$CZ238,1,$BN238+1):INDEX(終値!$E238:$CZ238,1,$BN238+20)))</f>
      </c>
      <c r="BS238" s="684">
        <f>IF($BM238="","",AVERAGE(INDEX(終値!$E238:$CZ238,1,$BM238+1):INDEX(終値!$E238:$CZ238,1,$BM238+20))+2*STDEVP(INDEX(終値!$E238:$CZ238,1,$BM238+1):INDEX(終値!$E238:$CZ238,1,$BM238+20)))</f>
      </c>
      <c r="BT238" s="681">
        <f>IFERROR(IF(AND($BD238&gt;=2,ABS($BG238-$BH238)/$BH238&lt;=BB設定!$B$12,$BI238&gt;=MAX($BH238,$BG238)*(1+BB設定!$B$13),終値!E238&gt;$BG238),IF(OR(終値!E238&gt;=$BI238,AND($BH238&lt;$BJ238,$BG238&gt;=$BK238)),"二番底W▲","二番底W形成"),IF(AND($BL238&gt;=2,ABS($BO238-$BP238)/$BP238&lt;=BB設定!$B$12,$BQ238&lt;=MIN($BP238,$BO238)*(1-BB設定!$B$13),終値!E238&lt;$BO238),IF(OR(終値!E238&lt;=$BQ238,AND($BP238&gt;$BR238,$BO238&lt;=$BS238)),"二番天井M▼","二番天井M形成"),"－")),"－")</f>
      </c>
    </row>
    <row r="239">
      <c r="B239" s="684">
        <f>IF(終値!A239="","",IF(AND(安値!G239&lt;安値!F239,安値!G239&lt;安値!E239,安値!G239&lt;安値!H239,安値!G239&lt;安値!I239),2,""))</f>
      </c>
      <c r="C239" s="684">
        <f>IF(終値!A239="","",IF(AND(安値!H239&lt;安値!G239,安値!H239&lt;安値!F239,安値!H239&lt;安値!I239,安値!H239&lt;安値!J239),3,""))</f>
      </c>
      <c r="D239" s="684">
        <f>IF(終値!A239="","",IF(AND(安値!I239&lt;安値!H239,安値!I239&lt;安値!G239,安値!I239&lt;安値!J239,安値!I239&lt;安値!K239),4,""))</f>
      </c>
      <c r="E239" s="684">
        <f>IF(終値!A239="","",IF(AND(安値!J239&lt;安値!I239,安値!J239&lt;安値!H239,安値!J239&lt;安値!K239,安値!J239&lt;安値!L239),5,""))</f>
      </c>
      <c r="F239" s="684">
        <f>IF(終値!A239="","",IF(AND(安値!K239&lt;安値!J239,安値!K239&lt;安値!I239,安値!K239&lt;安値!L239,安値!K239&lt;安値!M239),6,""))</f>
      </c>
      <c r="G239" s="684">
        <f>IF(終値!A239="","",IF(AND(安値!L239&lt;安値!K239,安値!L239&lt;安値!J239,安値!L239&lt;安値!M239,安値!L239&lt;安値!N239),7,""))</f>
      </c>
      <c r="H239" s="684">
        <f>IF(終値!A239="","",IF(AND(安値!M239&lt;安値!L239,安値!M239&lt;安値!K239,安値!M239&lt;安値!N239,安値!M239&lt;安値!O239),8,""))</f>
      </c>
      <c r="I239" s="684">
        <f>IF(終値!A239="","",IF(AND(安値!N239&lt;安値!M239,安値!N239&lt;安値!L239,安値!N239&lt;安値!O239,安値!N239&lt;安値!P239),9,""))</f>
      </c>
      <c r="J239" s="684">
        <f>IF(終値!A239="","",IF(AND(安値!O239&lt;安値!N239,安値!O239&lt;安値!M239,安値!O239&lt;安値!P239,安値!O239&lt;安値!Q239),10,""))</f>
      </c>
      <c r="K239" s="684">
        <f>IF(終値!A239="","",IF(AND(安値!P239&lt;安値!O239,安値!P239&lt;安値!N239,安値!P239&lt;安値!Q239,安値!P239&lt;安値!R239),11,""))</f>
      </c>
      <c r="L239" s="684">
        <f>IF(終値!A239="","",IF(AND(安値!Q239&lt;安値!P239,安値!Q239&lt;安値!O239,安値!Q239&lt;安値!R239,安値!Q239&lt;安値!S239),12,""))</f>
      </c>
      <c r="M239" s="684">
        <f>IF(終値!A239="","",IF(AND(安値!R239&lt;安値!Q239,安値!R239&lt;安値!P239,安値!R239&lt;安値!S239,安値!R239&lt;安値!T239),13,""))</f>
      </c>
      <c r="N239" s="684">
        <f>IF(終値!A239="","",IF(AND(安値!S239&lt;安値!R239,安値!S239&lt;安値!Q239,安値!S239&lt;安値!T239,安値!S239&lt;安値!U239),14,""))</f>
      </c>
      <c r="O239" s="684">
        <f>IF(終値!A239="","",IF(AND(安値!T239&lt;安値!S239,安値!T239&lt;安値!R239,安値!T239&lt;安値!U239,安値!T239&lt;安値!V239),15,""))</f>
      </c>
      <c r="P239" s="684">
        <f>IF(終値!A239="","",IF(AND(安値!U239&lt;安値!T239,安値!U239&lt;安値!S239,安値!U239&lt;安値!V239,安値!U239&lt;安値!W239),16,""))</f>
      </c>
      <c r="Q239" s="684">
        <f>IF(終値!A239="","",IF(AND(安値!V239&lt;安値!U239,安値!V239&lt;安値!T239,安値!V239&lt;安値!W239,安値!V239&lt;安値!X239),17,""))</f>
      </c>
      <c r="R239" s="684">
        <f>IF(終値!A239="","",IF(AND(安値!W239&lt;安値!V239,安値!W239&lt;安値!U239,安値!W239&lt;安値!X239,安値!W239&lt;安値!Y239),18,""))</f>
      </c>
      <c r="S239" s="684">
        <f>IF(終値!A239="","",IF(AND(安値!X239&lt;安値!W239,安値!X239&lt;安値!V239,安値!X239&lt;安値!Y239,安値!X239&lt;安値!Z239),19,""))</f>
      </c>
      <c r="T239" s="684">
        <f>IF(終値!A239="","",IF(AND(安値!Y239&lt;安値!X239,安値!Y239&lt;安値!W239,安値!Y239&lt;安値!Z239,安値!Y239&lt;安値!AA239),20,""))</f>
      </c>
      <c r="U239" s="684">
        <f>IF(終値!A239="","",IF(AND(安値!Z239&lt;安値!Y239,安値!Z239&lt;安値!X239,安値!Z239&lt;安値!AA239,安値!Z239&lt;安値!AB239),21,""))</f>
      </c>
      <c r="V239" s="684">
        <f>IF(終値!A239="","",IF(AND(安値!AA239&lt;安値!Z239,安値!AA239&lt;安値!Y239,安値!AA239&lt;安値!AB239,安値!AA239&lt;安値!AC239),22,""))</f>
      </c>
      <c r="W239" s="684">
        <f>IF(終値!A239="","",IF(AND(安値!AB239&lt;安値!AA239,安値!AB239&lt;安値!Z239,安値!AB239&lt;安値!AC239,安値!AB239&lt;安値!AD239),23,""))</f>
      </c>
      <c r="X239" s="684">
        <f>IF(終値!A239="","",IF(AND(安値!AC239&lt;安値!AB239,安値!AC239&lt;安値!AA239,安値!AC239&lt;安値!AD239,安値!AC239&lt;安値!AE239),24,""))</f>
      </c>
      <c r="Y239" s="684">
        <f>IF(終値!A239="","",IF(AND(安値!AD239&lt;安値!AC239,安値!AD239&lt;安値!AB239,安値!AD239&lt;安値!AE239,安値!AD239&lt;安値!AF239),25,""))</f>
      </c>
      <c r="Z239" s="684">
        <f>IF(終値!A239="","",IF(AND(安値!AE239&lt;安値!AD239,安値!AE239&lt;安値!AC239,安値!AE239&lt;安値!AF239,安値!AE239&lt;安値!AG239),26,""))</f>
      </c>
      <c r="AA239" s="684">
        <f>IF(終値!A239="","",IF(AND(安値!AF239&lt;安値!AE239,安値!AF239&lt;安値!AD239,安値!AF239&lt;安値!AG239,安値!AF239&lt;安値!AH239),27,""))</f>
      </c>
      <c r="AB239" s="684">
        <f>IF(終値!A239="","",IF(AND(安値!AG239&lt;安値!AF239,安値!AG239&lt;安値!AE239,安値!AG239&lt;安値!AH239,安値!AG239&lt;安値!AI239),28,""))</f>
      </c>
      <c r="AC239" s="684">
        <f>IF(終値!A239="","",IF(AND(高値!G239&gt;高値!F239,高値!G239&gt;高値!E239,高値!G239&gt;高値!H239,高値!G239&gt;高値!I239),2,""))</f>
      </c>
      <c r="AD239" s="684">
        <f>IF(終値!A239="","",IF(AND(高値!H239&gt;高値!G239,高値!H239&gt;高値!F239,高値!H239&gt;高値!I239,高値!H239&gt;高値!J239),3,""))</f>
      </c>
      <c r="AE239" s="684">
        <f>IF(終値!A239="","",IF(AND(高値!I239&gt;高値!H239,高値!I239&gt;高値!G239,高値!I239&gt;高値!J239,高値!I239&gt;高値!K239),4,""))</f>
      </c>
      <c r="AF239" s="684">
        <f>IF(終値!A239="","",IF(AND(高値!J239&gt;高値!I239,高値!J239&gt;高値!H239,高値!J239&gt;高値!K239,高値!J239&gt;高値!L239),5,""))</f>
      </c>
      <c r="AG239" s="684">
        <f>IF(終値!A239="","",IF(AND(高値!K239&gt;高値!J239,高値!K239&gt;高値!I239,高値!K239&gt;高値!L239,高値!K239&gt;高値!M239),6,""))</f>
      </c>
      <c r="AH239" s="684">
        <f>IF(終値!A239="","",IF(AND(高値!L239&gt;高値!K239,高値!L239&gt;高値!J239,高値!L239&gt;高値!M239,高値!L239&gt;高値!N239),7,""))</f>
      </c>
      <c r="AI239" s="684">
        <f>IF(終値!A239="","",IF(AND(高値!M239&gt;高値!L239,高値!M239&gt;高値!K239,高値!M239&gt;高値!N239,高値!M239&gt;高値!O239),8,""))</f>
      </c>
      <c r="AJ239" s="684">
        <f>IF(終値!A239="","",IF(AND(高値!N239&gt;高値!M239,高値!N239&gt;高値!L239,高値!N239&gt;高値!O239,高値!N239&gt;高値!P239),9,""))</f>
      </c>
      <c r="AK239" s="684">
        <f>IF(終値!A239="","",IF(AND(高値!O239&gt;高値!N239,高値!O239&gt;高値!M239,高値!O239&gt;高値!P239,高値!O239&gt;高値!Q239),10,""))</f>
      </c>
      <c r="AL239" s="684">
        <f>IF(終値!A239="","",IF(AND(高値!P239&gt;高値!O239,高値!P239&gt;高値!N239,高値!P239&gt;高値!Q239,高値!P239&gt;高値!R239),11,""))</f>
      </c>
      <c r="AM239" s="684">
        <f>IF(終値!A239="","",IF(AND(高値!Q239&gt;高値!P239,高値!Q239&gt;高値!O239,高値!Q239&gt;高値!R239,高値!Q239&gt;高値!S239),12,""))</f>
      </c>
      <c r="AN239" s="684">
        <f>IF(終値!A239="","",IF(AND(高値!R239&gt;高値!Q239,高値!R239&gt;高値!P239,高値!R239&gt;高値!S239,高値!R239&gt;高値!T239),13,""))</f>
      </c>
      <c r="AO239" s="684">
        <f>IF(終値!A239="","",IF(AND(高値!S239&gt;高値!R239,高値!S239&gt;高値!Q239,高値!S239&gt;高値!T239,高値!S239&gt;高値!U239),14,""))</f>
      </c>
      <c r="AP239" s="684">
        <f>IF(終値!A239="","",IF(AND(高値!T239&gt;高値!S239,高値!T239&gt;高値!R239,高値!T239&gt;高値!U239,高値!T239&gt;高値!V239),15,""))</f>
      </c>
      <c r="AQ239" s="684">
        <f>IF(終値!A239="","",IF(AND(高値!U239&gt;高値!T239,高値!U239&gt;高値!S239,高値!U239&gt;高値!V239,高値!U239&gt;高値!W239),16,""))</f>
      </c>
      <c r="AR239" s="684">
        <f>IF(終値!A239="","",IF(AND(高値!V239&gt;高値!U239,高値!V239&gt;高値!T239,高値!V239&gt;高値!W239,高値!V239&gt;高値!X239),17,""))</f>
      </c>
      <c r="AS239" s="684">
        <f>IF(終値!A239="","",IF(AND(高値!W239&gt;高値!V239,高値!W239&gt;高値!U239,高値!W239&gt;高値!X239,高値!W239&gt;高値!Y239),18,""))</f>
      </c>
      <c r="AT239" s="684">
        <f>IF(終値!A239="","",IF(AND(高値!X239&gt;高値!W239,高値!X239&gt;高値!V239,高値!X239&gt;高値!Y239,高値!X239&gt;高値!Z239),19,""))</f>
      </c>
      <c r="AU239" s="684">
        <f>IF(終値!A239="","",IF(AND(高値!Y239&gt;高値!X239,高値!Y239&gt;高値!W239,高値!Y239&gt;高値!Z239,高値!Y239&gt;高値!AA239),20,""))</f>
      </c>
      <c r="AV239" s="684">
        <f>IF(終値!A239="","",IF(AND(高値!Z239&gt;高値!Y239,高値!Z239&gt;高値!X239,高値!Z239&gt;高値!AA239,高値!Z239&gt;高値!AB239),21,""))</f>
      </c>
      <c r="AW239" s="684">
        <f>IF(終値!A239="","",IF(AND(高値!AA239&gt;高値!Z239,高値!AA239&gt;高値!Y239,高値!AA239&gt;高値!AB239,高値!AA239&gt;高値!AC239),22,""))</f>
      </c>
      <c r="AX239" s="684">
        <f>IF(終値!A239="","",IF(AND(高値!AB239&gt;高値!AA239,高値!AB239&gt;高値!Z239,高値!AB239&gt;高値!AC239,高値!AB239&gt;高値!AD239),23,""))</f>
      </c>
      <c r="AY239" s="684">
        <f>IF(終値!A239="","",IF(AND(高値!AC239&gt;高値!AB239,高値!AC239&gt;高値!AA239,高値!AC239&gt;高値!AD239,高値!AC239&gt;高値!AE239),24,""))</f>
      </c>
      <c r="AZ239" s="684">
        <f>IF(終値!A239="","",IF(AND(高値!AD239&gt;高値!AC239,高値!AD239&gt;高値!AB239,高値!AD239&gt;高値!AE239,高値!AD239&gt;高値!AF239),25,""))</f>
      </c>
      <c r="BA239" s="684">
        <f>IF(終値!A239="","",IF(AND(高値!AE239&gt;高値!AD239,高値!AE239&gt;高値!AC239,高値!AE239&gt;高値!AF239,高値!AE239&gt;高値!AG239),26,""))</f>
      </c>
      <c r="BB239" s="684">
        <f>IF(終値!A239="","",IF(AND(高値!AF239&gt;高値!AE239,高値!AF239&gt;高値!AD239,高値!AF239&gt;高値!AG239,高値!AF239&gt;高値!AH239),27,""))</f>
      </c>
      <c r="BC239" s="684">
        <f>IF(終値!A239="","",IF(AND(高値!AG239&gt;高値!AF239,高値!AG239&gt;高値!AE239,高値!AG239&gt;高値!AH239,高値!AG239&gt;高値!AI239),28,""))</f>
      </c>
      <c r="BD239" s="684">
        <f>COUNT($B239:$AB239)</f>
      </c>
      <c r="BE239" s="684">
        <f>IF($BD239&gt;=2,MIN($B239:$AB239),"")</f>
      </c>
      <c r="BF239" s="684">
        <f>IF($BD239&gt;=2,SMALL($B239:$AB239,2),"")</f>
      </c>
      <c r="BG239" s="684">
        <f>IF($BE239="","",INDEX(安値!$E239:$CZ239,1,$BE239+1))</f>
      </c>
      <c r="BH239" s="684">
        <f>IF($BF239="","",INDEX(安値!$E239:$CZ239,1,$BF239+1))</f>
      </c>
      <c r="BI239" s="684">
        <f>IF($BF239="","",MAX(INDEX(高値!$E239:$CZ239,1,$BE239+1):INDEX(高値!$E239:$CZ239,1,$BF239+1)))</f>
      </c>
      <c r="BJ239" s="684">
        <f>IF($BF239="","",AVERAGE(INDEX(終値!$E239:$CZ239,1,$BF239+1):INDEX(終値!$E239:$CZ239,1,$BF239+20))-2*STDEVP(INDEX(終値!$E239:$CZ239,1,$BF239+1):INDEX(終値!$E239:$CZ239,1,$BF239+20)))</f>
      </c>
      <c r="BK239" s="684">
        <f>IF($BE239="","",AVERAGE(INDEX(終値!$E239:$CZ239,1,$BE239+1):INDEX(終値!$E239:$CZ239,1,$BE239+20))-2*STDEVP(INDEX(終値!$E239:$CZ239,1,$BE239+1):INDEX(終値!$E239:$CZ239,1,$BE239+20)))</f>
      </c>
      <c r="BL239" s="684">
        <f>COUNT($AC239:$BC239)</f>
      </c>
      <c r="BM239" s="684">
        <f>IF($BL239&gt;=2,MIN($AC239:$BC239),"")</f>
      </c>
      <c r="BN239" s="684">
        <f>IF($BL239&gt;=2,SMALL($AC239:$BC239,2),"")</f>
      </c>
      <c r="BO239" s="684">
        <f>IF($BM239="","",INDEX(高値!$E239:$CZ239,1,$BM239+1))</f>
      </c>
      <c r="BP239" s="684">
        <f>IF($BN239="","",INDEX(高値!$E239:$CZ239,1,$BN239+1))</f>
      </c>
      <c r="BQ239" s="684">
        <f>IF($BN239="","",MIN(INDEX(安値!$E239:$CZ239,1,$BM239+1):INDEX(安値!$E239:$CZ239,1,$BN239+1)))</f>
      </c>
      <c r="BR239" s="684">
        <f>IF($BN239="","",AVERAGE(INDEX(終値!$E239:$CZ239,1,$BN239+1):INDEX(終値!$E239:$CZ239,1,$BN239+20))+2*STDEVP(INDEX(終値!$E239:$CZ239,1,$BN239+1):INDEX(終値!$E239:$CZ239,1,$BN239+20)))</f>
      </c>
      <c r="BS239" s="684">
        <f>IF($BM239="","",AVERAGE(INDEX(終値!$E239:$CZ239,1,$BM239+1):INDEX(終値!$E239:$CZ239,1,$BM239+20))+2*STDEVP(INDEX(終値!$E239:$CZ239,1,$BM239+1):INDEX(終値!$E239:$CZ239,1,$BM239+20)))</f>
      </c>
      <c r="BT239" s="681">
        <f>IFERROR(IF(AND($BD239&gt;=2,ABS($BG239-$BH239)/$BH239&lt;=BB設定!$B$12,$BI239&gt;=MAX($BH239,$BG239)*(1+BB設定!$B$13),終値!E239&gt;$BG239),IF(OR(終値!E239&gt;=$BI239,AND($BH239&lt;$BJ239,$BG239&gt;=$BK239)),"二番底W▲","二番底W形成"),IF(AND($BL239&gt;=2,ABS($BO239-$BP239)/$BP239&lt;=BB設定!$B$12,$BQ239&lt;=MIN($BP239,$BO239)*(1-BB設定!$B$13),終値!E239&lt;$BO239),IF(OR(終値!E239&lt;=$BQ239,AND($BP239&gt;$BR239,$BO239&lt;=$BS239)),"二番天井M▼","二番天井M形成"),"－")),"－")</f>
      </c>
    </row>
    <row r="240">
      <c r="B240" s="684">
        <f>IF(終値!A240="","",IF(AND(安値!G240&lt;安値!F240,安値!G240&lt;安値!E240,安値!G240&lt;安値!H240,安値!G240&lt;安値!I240),2,""))</f>
      </c>
      <c r="C240" s="684">
        <f>IF(終値!A240="","",IF(AND(安値!H240&lt;安値!G240,安値!H240&lt;安値!F240,安値!H240&lt;安値!I240,安値!H240&lt;安値!J240),3,""))</f>
      </c>
      <c r="D240" s="684">
        <f>IF(終値!A240="","",IF(AND(安値!I240&lt;安値!H240,安値!I240&lt;安値!G240,安値!I240&lt;安値!J240,安値!I240&lt;安値!K240),4,""))</f>
      </c>
      <c r="E240" s="684">
        <f>IF(終値!A240="","",IF(AND(安値!J240&lt;安値!I240,安値!J240&lt;安値!H240,安値!J240&lt;安値!K240,安値!J240&lt;安値!L240),5,""))</f>
      </c>
      <c r="F240" s="684">
        <f>IF(終値!A240="","",IF(AND(安値!K240&lt;安値!J240,安値!K240&lt;安値!I240,安値!K240&lt;安値!L240,安値!K240&lt;安値!M240),6,""))</f>
      </c>
      <c r="G240" s="684">
        <f>IF(終値!A240="","",IF(AND(安値!L240&lt;安値!K240,安値!L240&lt;安値!J240,安値!L240&lt;安値!M240,安値!L240&lt;安値!N240),7,""))</f>
      </c>
      <c r="H240" s="684">
        <f>IF(終値!A240="","",IF(AND(安値!M240&lt;安値!L240,安値!M240&lt;安値!K240,安値!M240&lt;安値!N240,安値!M240&lt;安値!O240),8,""))</f>
      </c>
      <c r="I240" s="684">
        <f>IF(終値!A240="","",IF(AND(安値!N240&lt;安値!M240,安値!N240&lt;安値!L240,安値!N240&lt;安値!O240,安値!N240&lt;安値!P240),9,""))</f>
      </c>
      <c r="J240" s="684">
        <f>IF(終値!A240="","",IF(AND(安値!O240&lt;安値!N240,安値!O240&lt;安値!M240,安値!O240&lt;安値!P240,安値!O240&lt;安値!Q240),10,""))</f>
      </c>
      <c r="K240" s="684">
        <f>IF(終値!A240="","",IF(AND(安値!P240&lt;安値!O240,安値!P240&lt;安値!N240,安値!P240&lt;安値!Q240,安値!P240&lt;安値!R240),11,""))</f>
      </c>
      <c r="L240" s="684">
        <f>IF(終値!A240="","",IF(AND(安値!Q240&lt;安値!P240,安値!Q240&lt;安値!O240,安値!Q240&lt;安値!R240,安値!Q240&lt;安値!S240),12,""))</f>
      </c>
      <c r="M240" s="684">
        <f>IF(終値!A240="","",IF(AND(安値!R240&lt;安値!Q240,安値!R240&lt;安値!P240,安値!R240&lt;安値!S240,安値!R240&lt;安値!T240),13,""))</f>
      </c>
      <c r="N240" s="684">
        <f>IF(終値!A240="","",IF(AND(安値!S240&lt;安値!R240,安値!S240&lt;安値!Q240,安値!S240&lt;安値!T240,安値!S240&lt;安値!U240),14,""))</f>
      </c>
      <c r="O240" s="684">
        <f>IF(終値!A240="","",IF(AND(安値!T240&lt;安値!S240,安値!T240&lt;安値!R240,安値!T240&lt;安値!U240,安値!T240&lt;安値!V240),15,""))</f>
      </c>
      <c r="P240" s="684">
        <f>IF(終値!A240="","",IF(AND(安値!U240&lt;安値!T240,安値!U240&lt;安値!S240,安値!U240&lt;安値!V240,安値!U240&lt;安値!W240),16,""))</f>
      </c>
      <c r="Q240" s="684">
        <f>IF(終値!A240="","",IF(AND(安値!V240&lt;安値!U240,安値!V240&lt;安値!T240,安値!V240&lt;安値!W240,安値!V240&lt;安値!X240),17,""))</f>
      </c>
      <c r="R240" s="684">
        <f>IF(終値!A240="","",IF(AND(安値!W240&lt;安値!V240,安値!W240&lt;安値!U240,安値!W240&lt;安値!X240,安値!W240&lt;安値!Y240),18,""))</f>
      </c>
      <c r="S240" s="684">
        <f>IF(終値!A240="","",IF(AND(安値!X240&lt;安値!W240,安値!X240&lt;安値!V240,安値!X240&lt;安値!Y240,安値!X240&lt;安値!Z240),19,""))</f>
      </c>
      <c r="T240" s="684">
        <f>IF(終値!A240="","",IF(AND(安値!Y240&lt;安値!X240,安値!Y240&lt;安値!W240,安値!Y240&lt;安値!Z240,安値!Y240&lt;安値!AA240),20,""))</f>
      </c>
      <c r="U240" s="684">
        <f>IF(終値!A240="","",IF(AND(安値!Z240&lt;安値!Y240,安値!Z240&lt;安値!X240,安値!Z240&lt;安値!AA240,安値!Z240&lt;安値!AB240),21,""))</f>
      </c>
      <c r="V240" s="684">
        <f>IF(終値!A240="","",IF(AND(安値!AA240&lt;安値!Z240,安値!AA240&lt;安値!Y240,安値!AA240&lt;安値!AB240,安値!AA240&lt;安値!AC240),22,""))</f>
      </c>
      <c r="W240" s="684">
        <f>IF(終値!A240="","",IF(AND(安値!AB240&lt;安値!AA240,安値!AB240&lt;安値!Z240,安値!AB240&lt;安値!AC240,安値!AB240&lt;安値!AD240),23,""))</f>
      </c>
      <c r="X240" s="684">
        <f>IF(終値!A240="","",IF(AND(安値!AC240&lt;安値!AB240,安値!AC240&lt;安値!AA240,安値!AC240&lt;安値!AD240,安値!AC240&lt;安値!AE240),24,""))</f>
      </c>
      <c r="Y240" s="684">
        <f>IF(終値!A240="","",IF(AND(安値!AD240&lt;安値!AC240,安値!AD240&lt;安値!AB240,安値!AD240&lt;安値!AE240,安値!AD240&lt;安値!AF240),25,""))</f>
      </c>
      <c r="Z240" s="684">
        <f>IF(終値!A240="","",IF(AND(安値!AE240&lt;安値!AD240,安値!AE240&lt;安値!AC240,安値!AE240&lt;安値!AF240,安値!AE240&lt;安値!AG240),26,""))</f>
      </c>
      <c r="AA240" s="684">
        <f>IF(終値!A240="","",IF(AND(安値!AF240&lt;安値!AE240,安値!AF240&lt;安値!AD240,安値!AF240&lt;安値!AG240,安値!AF240&lt;安値!AH240),27,""))</f>
      </c>
      <c r="AB240" s="684">
        <f>IF(終値!A240="","",IF(AND(安値!AG240&lt;安値!AF240,安値!AG240&lt;安値!AE240,安値!AG240&lt;安値!AH240,安値!AG240&lt;安値!AI240),28,""))</f>
      </c>
      <c r="AC240" s="684">
        <f>IF(終値!A240="","",IF(AND(高値!G240&gt;高値!F240,高値!G240&gt;高値!E240,高値!G240&gt;高値!H240,高値!G240&gt;高値!I240),2,""))</f>
      </c>
      <c r="AD240" s="684">
        <f>IF(終値!A240="","",IF(AND(高値!H240&gt;高値!G240,高値!H240&gt;高値!F240,高値!H240&gt;高値!I240,高値!H240&gt;高値!J240),3,""))</f>
      </c>
      <c r="AE240" s="684">
        <f>IF(終値!A240="","",IF(AND(高値!I240&gt;高値!H240,高値!I240&gt;高値!G240,高値!I240&gt;高値!J240,高値!I240&gt;高値!K240),4,""))</f>
      </c>
      <c r="AF240" s="684">
        <f>IF(終値!A240="","",IF(AND(高値!J240&gt;高値!I240,高値!J240&gt;高値!H240,高値!J240&gt;高値!K240,高値!J240&gt;高値!L240),5,""))</f>
      </c>
      <c r="AG240" s="684">
        <f>IF(終値!A240="","",IF(AND(高値!K240&gt;高値!J240,高値!K240&gt;高値!I240,高値!K240&gt;高値!L240,高値!K240&gt;高値!M240),6,""))</f>
      </c>
      <c r="AH240" s="684">
        <f>IF(終値!A240="","",IF(AND(高値!L240&gt;高値!K240,高値!L240&gt;高値!J240,高値!L240&gt;高値!M240,高値!L240&gt;高値!N240),7,""))</f>
      </c>
      <c r="AI240" s="684">
        <f>IF(終値!A240="","",IF(AND(高値!M240&gt;高値!L240,高値!M240&gt;高値!K240,高値!M240&gt;高値!N240,高値!M240&gt;高値!O240),8,""))</f>
      </c>
      <c r="AJ240" s="684">
        <f>IF(終値!A240="","",IF(AND(高値!N240&gt;高値!M240,高値!N240&gt;高値!L240,高値!N240&gt;高値!O240,高値!N240&gt;高値!P240),9,""))</f>
      </c>
      <c r="AK240" s="684">
        <f>IF(終値!A240="","",IF(AND(高値!O240&gt;高値!N240,高値!O240&gt;高値!M240,高値!O240&gt;高値!P240,高値!O240&gt;高値!Q240),10,""))</f>
      </c>
      <c r="AL240" s="684">
        <f>IF(終値!A240="","",IF(AND(高値!P240&gt;高値!O240,高値!P240&gt;高値!N240,高値!P240&gt;高値!Q240,高値!P240&gt;高値!R240),11,""))</f>
      </c>
      <c r="AM240" s="684">
        <f>IF(終値!A240="","",IF(AND(高値!Q240&gt;高値!P240,高値!Q240&gt;高値!O240,高値!Q240&gt;高値!R240,高値!Q240&gt;高値!S240),12,""))</f>
      </c>
      <c r="AN240" s="684">
        <f>IF(終値!A240="","",IF(AND(高値!R240&gt;高値!Q240,高値!R240&gt;高値!P240,高値!R240&gt;高値!S240,高値!R240&gt;高値!T240),13,""))</f>
      </c>
      <c r="AO240" s="684">
        <f>IF(終値!A240="","",IF(AND(高値!S240&gt;高値!R240,高値!S240&gt;高値!Q240,高値!S240&gt;高値!T240,高値!S240&gt;高値!U240),14,""))</f>
      </c>
      <c r="AP240" s="684">
        <f>IF(終値!A240="","",IF(AND(高値!T240&gt;高値!S240,高値!T240&gt;高値!R240,高値!T240&gt;高値!U240,高値!T240&gt;高値!V240),15,""))</f>
      </c>
      <c r="AQ240" s="684">
        <f>IF(終値!A240="","",IF(AND(高値!U240&gt;高値!T240,高値!U240&gt;高値!S240,高値!U240&gt;高値!V240,高値!U240&gt;高値!W240),16,""))</f>
      </c>
      <c r="AR240" s="684">
        <f>IF(終値!A240="","",IF(AND(高値!V240&gt;高値!U240,高値!V240&gt;高値!T240,高値!V240&gt;高値!W240,高値!V240&gt;高値!X240),17,""))</f>
      </c>
      <c r="AS240" s="684">
        <f>IF(終値!A240="","",IF(AND(高値!W240&gt;高値!V240,高値!W240&gt;高値!U240,高値!W240&gt;高値!X240,高値!W240&gt;高値!Y240),18,""))</f>
      </c>
      <c r="AT240" s="684">
        <f>IF(終値!A240="","",IF(AND(高値!X240&gt;高値!W240,高値!X240&gt;高値!V240,高値!X240&gt;高値!Y240,高値!X240&gt;高値!Z240),19,""))</f>
      </c>
      <c r="AU240" s="684">
        <f>IF(終値!A240="","",IF(AND(高値!Y240&gt;高値!X240,高値!Y240&gt;高値!W240,高値!Y240&gt;高値!Z240,高値!Y240&gt;高値!AA240),20,""))</f>
      </c>
      <c r="AV240" s="684">
        <f>IF(終値!A240="","",IF(AND(高値!Z240&gt;高値!Y240,高値!Z240&gt;高値!X240,高値!Z240&gt;高値!AA240,高値!Z240&gt;高値!AB240),21,""))</f>
      </c>
      <c r="AW240" s="684">
        <f>IF(終値!A240="","",IF(AND(高値!AA240&gt;高値!Z240,高値!AA240&gt;高値!Y240,高値!AA240&gt;高値!AB240,高値!AA240&gt;高値!AC240),22,""))</f>
      </c>
      <c r="AX240" s="684">
        <f>IF(終値!A240="","",IF(AND(高値!AB240&gt;高値!AA240,高値!AB240&gt;高値!Z240,高値!AB240&gt;高値!AC240,高値!AB240&gt;高値!AD240),23,""))</f>
      </c>
      <c r="AY240" s="684">
        <f>IF(終値!A240="","",IF(AND(高値!AC240&gt;高値!AB240,高値!AC240&gt;高値!AA240,高値!AC240&gt;高値!AD240,高値!AC240&gt;高値!AE240),24,""))</f>
      </c>
      <c r="AZ240" s="684">
        <f>IF(終値!A240="","",IF(AND(高値!AD240&gt;高値!AC240,高値!AD240&gt;高値!AB240,高値!AD240&gt;高値!AE240,高値!AD240&gt;高値!AF240),25,""))</f>
      </c>
      <c r="BA240" s="684">
        <f>IF(終値!A240="","",IF(AND(高値!AE240&gt;高値!AD240,高値!AE240&gt;高値!AC240,高値!AE240&gt;高値!AF240,高値!AE240&gt;高値!AG240),26,""))</f>
      </c>
      <c r="BB240" s="684">
        <f>IF(終値!A240="","",IF(AND(高値!AF240&gt;高値!AE240,高値!AF240&gt;高値!AD240,高値!AF240&gt;高値!AG240,高値!AF240&gt;高値!AH240),27,""))</f>
      </c>
      <c r="BC240" s="684">
        <f>IF(終値!A240="","",IF(AND(高値!AG240&gt;高値!AF240,高値!AG240&gt;高値!AE240,高値!AG240&gt;高値!AH240,高値!AG240&gt;高値!AI240),28,""))</f>
      </c>
      <c r="BD240" s="684">
        <f>COUNT($B240:$AB240)</f>
      </c>
      <c r="BE240" s="684">
        <f>IF($BD240&gt;=2,MIN($B240:$AB240),"")</f>
      </c>
      <c r="BF240" s="684">
        <f>IF($BD240&gt;=2,SMALL($B240:$AB240,2),"")</f>
      </c>
      <c r="BG240" s="684">
        <f>IF($BE240="","",INDEX(安値!$E240:$CZ240,1,$BE240+1))</f>
      </c>
      <c r="BH240" s="684">
        <f>IF($BF240="","",INDEX(安値!$E240:$CZ240,1,$BF240+1))</f>
      </c>
      <c r="BI240" s="684">
        <f>IF($BF240="","",MAX(INDEX(高値!$E240:$CZ240,1,$BE240+1):INDEX(高値!$E240:$CZ240,1,$BF240+1)))</f>
      </c>
      <c r="BJ240" s="684">
        <f>IF($BF240="","",AVERAGE(INDEX(終値!$E240:$CZ240,1,$BF240+1):INDEX(終値!$E240:$CZ240,1,$BF240+20))-2*STDEVP(INDEX(終値!$E240:$CZ240,1,$BF240+1):INDEX(終値!$E240:$CZ240,1,$BF240+20)))</f>
      </c>
      <c r="BK240" s="684">
        <f>IF($BE240="","",AVERAGE(INDEX(終値!$E240:$CZ240,1,$BE240+1):INDEX(終値!$E240:$CZ240,1,$BE240+20))-2*STDEVP(INDEX(終値!$E240:$CZ240,1,$BE240+1):INDEX(終値!$E240:$CZ240,1,$BE240+20)))</f>
      </c>
      <c r="BL240" s="684">
        <f>COUNT($AC240:$BC240)</f>
      </c>
      <c r="BM240" s="684">
        <f>IF($BL240&gt;=2,MIN($AC240:$BC240),"")</f>
      </c>
      <c r="BN240" s="684">
        <f>IF($BL240&gt;=2,SMALL($AC240:$BC240,2),"")</f>
      </c>
      <c r="BO240" s="684">
        <f>IF($BM240="","",INDEX(高値!$E240:$CZ240,1,$BM240+1))</f>
      </c>
      <c r="BP240" s="684">
        <f>IF($BN240="","",INDEX(高値!$E240:$CZ240,1,$BN240+1))</f>
      </c>
      <c r="BQ240" s="684">
        <f>IF($BN240="","",MIN(INDEX(安値!$E240:$CZ240,1,$BM240+1):INDEX(安値!$E240:$CZ240,1,$BN240+1)))</f>
      </c>
      <c r="BR240" s="684">
        <f>IF($BN240="","",AVERAGE(INDEX(終値!$E240:$CZ240,1,$BN240+1):INDEX(終値!$E240:$CZ240,1,$BN240+20))+2*STDEVP(INDEX(終値!$E240:$CZ240,1,$BN240+1):INDEX(終値!$E240:$CZ240,1,$BN240+20)))</f>
      </c>
      <c r="BS240" s="684">
        <f>IF($BM240="","",AVERAGE(INDEX(終値!$E240:$CZ240,1,$BM240+1):INDEX(終値!$E240:$CZ240,1,$BM240+20))+2*STDEVP(INDEX(終値!$E240:$CZ240,1,$BM240+1):INDEX(終値!$E240:$CZ240,1,$BM240+20)))</f>
      </c>
      <c r="BT240" s="681">
        <f>IFERROR(IF(AND($BD240&gt;=2,ABS($BG240-$BH240)/$BH240&lt;=BB設定!$B$12,$BI240&gt;=MAX($BH240,$BG240)*(1+BB設定!$B$13),終値!E240&gt;$BG240),IF(OR(終値!E240&gt;=$BI240,AND($BH240&lt;$BJ240,$BG240&gt;=$BK240)),"二番底W▲","二番底W形成"),IF(AND($BL240&gt;=2,ABS($BO240-$BP240)/$BP240&lt;=BB設定!$B$12,$BQ240&lt;=MIN($BP240,$BO240)*(1-BB設定!$B$13),終値!E240&lt;$BO240),IF(OR(終値!E240&lt;=$BQ240,AND($BP240&gt;$BR240,$BO240&lt;=$BS240)),"二番天井M▼","二番天井M形成"),"－")),"－")</f>
      </c>
    </row>
    <row r="241">
      <c r="B241" s="684">
        <f>IF(終値!A241="","",IF(AND(安値!G241&lt;安値!F241,安値!G241&lt;安値!E241,安値!G241&lt;安値!H241,安値!G241&lt;安値!I241),2,""))</f>
      </c>
      <c r="C241" s="684">
        <f>IF(終値!A241="","",IF(AND(安値!H241&lt;安値!G241,安値!H241&lt;安値!F241,安値!H241&lt;安値!I241,安値!H241&lt;安値!J241),3,""))</f>
      </c>
      <c r="D241" s="684">
        <f>IF(終値!A241="","",IF(AND(安値!I241&lt;安値!H241,安値!I241&lt;安値!G241,安値!I241&lt;安値!J241,安値!I241&lt;安値!K241),4,""))</f>
      </c>
      <c r="E241" s="684">
        <f>IF(終値!A241="","",IF(AND(安値!J241&lt;安値!I241,安値!J241&lt;安値!H241,安値!J241&lt;安値!K241,安値!J241&lt;安値!L241),5,""))</f>
      </c>
      <c r="F241" s="684">
        <f>IF(終値!A241="","",IF(AND(安値!K241&lt;安値!J241,安値!K241&lt;安値!I241,安値!K241&lt;安値!L241,安値!K241&lt;安値!M241),6,""))</f>
      </c>
      <c r="G241" s="684">
        <f>IF(終値!A241="","",IF(AND(安値!L241&lt;安値!K241,安値!L241&lt;安値!J241,安値!L241&lt;安値!M241,安値!L241&lt;安値!N241),7,""))</f>
      </c>
      <c r="H241" s="684">
        <f>IF(終値!A241="","",IF(AND(安値!M241&lt;安値!L241,安値!M241&lt;安値!K241,安値!M241&lt;安値!N241,安値!M241&lt;安値!O241),8,""))</f>
      </c>
      <c r="I241" s="684">
        <f>IF(終値!A241="","",IF(AND(安値!N241&lt;安値!M241,安値!N241&lt;安値!L241,安値!N241&lt;安値!O241,安値!N241&lt;安値!P241),9,""))</f>
      </c>
      <c r="J241" s="684">
        <f>IF(終値!A241="","",IF(AND(安値!O241&lt;安値!N241,安値!O241&lt;安値!M241,安値!O241&lt;安値!P241,安値!O241&lt;安値!Q241),10,""))</f>
      </c>
      <c r="K241" s="684">
        <f>IF(終値!A241="","",IF(AND(安値!P241&lt;安値!O241,安値!P241&lt;安値!N241,安値!P241&lt;安値!Q241,安値!P241&lt;安値!R241),11,""))</f>
      </c>
      <c r="L241" s="684">
        <f>IF(終値!A241="","",IF(AND(安値!Q241&lt;安値!P241,安値!Q241&lt;安値!O241,安値!Q241&lt;安値!R241,安値!Q241&lt;安値!S241),12,""))</f>
      </c>
      <c r="M241" s="684">
        <f>IF(終値!A241="","",IF(AND(安値!R241&lt;安値!Q241,安値!R241&lt;安値!P241,安値!R241&lt;安値!S241,安値!R241&lt;安値!T241),13,""))</f>
      </c>
      <c r="N241" s="684">
        <f>IF(終値!A241="","",IF(AND(安値!S241&lt;安値!R241,安値!S241&lt;安値!Q241,安値!S241&lt;安値!T241,安値!S241&lt;安値!U241),14,""))</f>
      </c>
      <c r="O241" s="684">
        <f>IF(終値!A241="","",IF(AND(安値!T241&lt;安値!S241,安値!T241&lt;安値!R241,安値!T241&lt;安値!U241,安値!T241&lt;安値!V241),15,""))</f>
      </c>
      <c r="P241" s="684">
        <f>IF(終値!A241="","",IF(AND(安値!U241&lt;安値!T241,安値!U241&lt;安値!S241,安値!U241&lt;安値!V241,安値!U241&lt;安値!W241),16,""))</f>
      </c>
      <c r="Q241" s="684">
        <f>IF(終値!A241="","",IF(AND(安値!V241&lt;安値!U241,安値!V241&lt;安値!T241,安値!V241&lt;安値!W241,安値!V241&lt;安値!X241),17,""))</f>
      </c>
      <c r="R241" s="684">
        <f>IF(終値!A241="","",IF(AND(安値!W241&lt;安値!V241,安値!W241&lt;安値!U241,安値!W241&lt;安値!X241,安値!W241&lt;安値!Y241),18,""))</f>
      </c>
      <c r="S241" s="684">
        <f>IF(終値!A241="","",IF(AND(安値!X241&lt;安値!W241,安値!X241&lt;安値!V241,安値!X241&lt;安値!Y241,安値!X241&lt;安値!Z241),19,""))</f>
      </c>
      <c r="T241" s="684">
        <f>IF(終値!A241="","",IF(AND(安値!Y241&lt;安値!X241,安値!Y241&lt;安値!W241,安値!Y241&lt;安値!Z241,安値!Y241&lt;安値!AA241),20,""))</f>
      </c>
      <c r="U241" s="684">
        <f>IF(終値!A241="","",IF(AND(安値!Z241&lt;安値!Y241,安値!Z241&lt;安値!X241,安値!Z241&lt;安値!AA241,安値!Z241&lt;安値!AB241),21,""))</f>
      </c>
      <c r="V241" s="684">
        <f>IF(終値!A241="","",IF(AND(安値!AA241&lt;安値!Z241,安値!AA241&lt;安値!Y241,安値!AA241&lt;安値!AB241,安値!AA241&lt;安値!AC241),22,""))</f>
      </c>
      <c r="W241" s="684">
        <f>IF(終値!A241="","",IF(AND(安値!AB241&lt;安値!AA241,安値!AB241&lt;安値!Z241,安値!AB241&lt;安値!AC241,安値!AB241&lt;安値!AD241),23,""))</f>
      </c>
      <c r="X241" s="684">
        <f>IF(終値!A241="","",IF(AND(安値!AC241&lt;安値!AB241,安値!AC241&lt;安値!AA241,安値!AC241&lt;安値!AD241,安値!AC241&lt;安値!AE241),24,""))</f>
      </c>
      <c r="Y241" s="684">
        <f>IF(終値!A241="","",IF(AND(安値!AD241&lt;安値!AC241,安値!AD241&lt;安値!AB241,安値!AD241&lt;安値!AE241,安値!AD241&lt;安値!AF241),25,""))</f>
      </c>
      <c r="Z241" s="684">
        <f>IF(終値!A241="","",IF(AND(安値!AE241&lt;安値!AD241,安値!AE241&lt;安値!AC241,安値!AE241&lt;安値!AF241,安値!AE241&lt;安値!AG241),26,""))</f>
      </c>
      <c r="AA241" s="684">
        <f>IF(終値!A241="","",IF(AND(安値!AF241&lt;安値!AE241,安値!AF241&lt;安値!AD241,安値!AF241&lt;安値!AG241,安値!AF241&lt;安値!AH241),27,""))</f>
      </c>
      <c r="AB241" s="684">
        <f>IF(終値!A241="","",IF(AND(安値!AG241&lt;安値!AF241,安値!AG241&lt;安値!AE241,安値!AG241&lt;安値!AH241,安値!AG241&lt;安値!AI241),28,""))</f>
      </c>
      <c r="AC241" s="684">
        <f>IF(終値!A241="","",IF(AND(高値!G241&gt;高値!F241,高値!G241&gt;高値!E241,高値!G241&gt;高値!H241,高値!G241&gt;高値!I241),2,""))</f>
      </c>
      <c r="AD241" s="684">
        <f>IF(終値!A241="","",IF(AND(高値!H241&gt;高値!G241,高値!H241&gt;高値!F241,高値!H241&gt;高値!I241,高値!H241&gt;高値!J241),3,""))</f>
      </c>
      <c r="AE241" s="684">
        <f>IF(終値!A241="","",IF(AND(高値!I241&gt;高値!H241,高値!I241&gt;高値!G241,高値!I241&gt;高値!J241,高値!I241&gt;高値!K241),4,""))</f>
      </c>
      <c r="AF241" s="684">
        <f>IF(終値!A241="","",IF(AND(高値!J241&gt;高値!I241,高値!J241&gt;高値!H241,高値!J241&gt;高値!K241,高値!J241&gt;高値!L241),5,""))</f>
      </c>
      <c r="AG241" s="684">
        <f>IF(終値!A241="","",IF(AND(高値!K241&gt;高値!J241,高値!K241&gt;高値!I241,高値!K241&gt;高値!L241,高値!K241&gt;高値!M241),6,""))</f>
      </c>
      <c r="AH241" s="684">
        <f>IF(終値!A241="","",IF(AND(高値!L241&gt;高値!K241,高値!L241&gt;高値!J241,高値!L241&gt;高値!M241,高値!L241&gt;高値!N241),7,""))</f>
      </c>
      <c r="AI241" s="684">
        <f>IF(終値!A241="","",IF(AND(高値!M241&gt;高値!L241,高値!M241&gt;高値!K241,高値!M241&gt;高値!N241,高値!M241&gt;高値!O241),8,""))</f>
      </c>
      <c r="AJ241" s="684">
        <f>IF(終値!A241="","",IF(AND(高値!N241&gt;高値!M241,高値!N241&gt;高値!L241,高値!N241&gt;高値!O241,高値!N241&gt;高値!P241),9,""))</f>
      </c>
      <c r="AK241" s="684">
        <f>IF(終値!A241="","",IF(AND(高値!O241&gt;高値!N241,高値!O241&gt;高値!M241,高値!O241&gt;高値!P241,高値!O241&gt;高値!Q241),10,""))</f>
      </c>
      <c r="AL241" s="684">
        <f>IF(終値!A241="","",IF(AND(高値!P241&gt;高値!O241,高値!P241&gt;高値!N241,高値!P241&gt;高値!Q241,高値!P241&gt;高値!R241),11,""))</f>
      </c>
      <c r="AM241" s="684">
        <f>IF(終値!A241="","",IF(AND(高値!Q241&gt;高値!P241,高値!Q241&gt;高値!O241,高値!Q241&gt;高値!R241,高値!Q241&gt;高値!S241),12,""))</f>
      </c>
      <c r="AN241" s="684">
        <f>IF(終値!A241="","",IF(AND(高値!R241&gt;高値!Q241,高値!R241&gt;高値!P241,高値!R241&gt;高値!S241,高値!R241&gt;高値!T241),13,""))</f>
      </c>
      <c r="AO241" s="684">
        <f>IF(終値!A241="","",IF(AND(高値!S241&gt;高値!R241,高値!S241&gt;高値!Q241,高値!S241&gt;高値!T241,高値!S241&gt;高値!U241),14,""))</f>
      </c>
      <c r="AP241" s="684">
        <f>IF(終値!A241="","",IF(AND(高値!T241&gt;高値!S241,高値!T241&gt;高値!R241,高値!T241&gt;高値!U241,高値!T241&gt;高値!V241),15,""))</f>
      </c>
      <c r="AQ241" s="684">
        <f>IF(終値!A241="","",IF(AND(高値!U241&gt;高値!T241,高値!U241&gt;高値!S241,高値!U241&gt;高値!V241,高値!U241&gt;高値!W241),16,""))</f>
      </c>
      <c r="AR241" s="684">
        <f>IF(終値!A241="","",IF(AND(高値!V241&gt;高値!U241,高値!V241&gt;高値!T241,高値!V241&gt;高値!W241,高値!V241&gt;高値!X241),17,""))</f>
      </c>
      <c r="AS241" s="684">
        <f>IF(終値!A241="","",IF(AND(高値!W241&gt;高値!V241,高値!W241&gt;高値!U241,高値!W241&gt;高値!X241,高値!W241&gt;高値!Y241),18,""))</f>
      </c>
      <c r="AT241" s="684">
        <f>IF(終値!A241="","",IF(AND(高値!X241&gt;高値!W241,高値!X241&gt;高値!V241,高値!X241&gt;高値!Y241,高値!X241&gt;高値!Z241),19,""))</f>
      </c>
      <c r="AU241" s="684">
        <f>IF(終値!A241="","",IF(AND(高値!Y241&gt;高値!X241,高値!Y241&gt;高値!W241,高値!Y241&gt;高値!Z241,高値!Y241&gt;高値!AA241),20,""))</f>
      </c>
      <c r="AV241" s="684">
        <f>IF(終値!A241="","",IF(AND(高値!Z241&gt;高値!Y241,高値!Z241&gt;高値!X241,高値!Z241&gt;高値!AA241,高値!Z241&gt;高値!AB241),21,""))</f>
      </c>
      <c r="AW241" s="684">
        <f>IF(終値!A241="","",IF(AND(高値!AA241&gt;高値!Z241,高値!AA241&gt;高値!Y241,高値!AA241&gt;高値!AB241,高値!AA241&gt;高値!AC241),22,""))</f>
      </c>
      <c r="AX241" s="684">
        <f>IF(終値!A241="","",IF(AND(高値!AB241&gt;高値!AA241,高値!AB241&gt;高値!Z241,高値!AB241&gt;高値!AC241,高値!AB241&gt;高値!AD241),23,""))</f>
      </c>
      <c r="AY241" s="684">
        <f>IF(終値!A241="","",IF(AND(高値!AC241&gt;高値!AB241,高値!AC241&gt;高値!AA241,高値!AC241&gt;高値!AD241,高値!AC241&gt;高値!AE241),24,""))</f>
      </c>
      <c r="AZ241" s="684">
        <f>IF(終値!A241="","",IF(AND(高値!AD241&gt;高値!AC241,高値!AD241&gt;高値!AB241,高値!AD241&gt;高値!AE241,高値!AD241&gt;高値!AF241),25,""))</f>
      </c>
      <c r="BA241" s="684">
        <f>IF(終値!A241="","",IF(AND(高値!AE241&gt;高値!AD241,高値!AE241&gt;高値!AC241,高値!AE241&gt;高値!AF241,高値!AE241&gt;高値!AG241),26,""))</f>
      </c>
      <c r="BB241" s="684">
        <f>IF(終値!A241="","",IF(AND(高値!AF241&gt;高値!AE241,高値!AF241&gt;高値!AD241,高値!AF241&gt;高値!AG241,高値!AF241&gt;高値!AH241),27,""))</f>
      </c>
      <c r="BC241" s="684">
        <f>IF(終値!A241="","",IF(AND(高値!AG241&gt;高値!AF241,高値!AG241&gt;高値!AE241,高値!AG241&gt;高値!AH241,高値!AG241&gt;高値!AI241),28,""))</f>
      </c>
      <c r="BD241" s="684">
        <f>COUNT($B241:$AB241)</f>
      </c>
      <c r="BE241" s="684">
        <f>IF($BD241&gt;=2,MIN($B241:$AB241),"")</f>
      </c>
      <c r="BF241" s="684">
        <f>IF($BD241&gt;=2,SMALL($B241:$AB241,2),"")</f>
      </c>
      <c r="BG241" s="684">
        <f>IF($BE241="","",INDEX(安値!$E241:$CZ241,1,$BE241+1))</f>
      </c>
      <c r="BH241" s="684">
        <f>IF($BF241="","",INDEX(安値!$E241:$CZ241,1,$BF241+1))</f>
      </c>
      <c r="BI241" s="684">
        <f>IF($BF241="","",MAX(INDEX(高値!$E241:$CZ241,1,$BE241+1):INDEX(高値!$E241:$CZ241,1,$BF241+1)))</f>
      </c>
      <c r="BJ241" s="684">
        <f>IF($BF241="","",AVERAGE(INDEX(終値!$E241:$CZ241,1,$BF241+1):INDEX(終値!$E241:$CZ241,1,$BF241+20))-2*STDEVP(INDEX(終値!$E241:$CZ241,1,$BF241+1):INDEX(終値!$E241:$CZ241,1,$BF241+20)))</f>
      </c>
      <c r="BK241" s="684">
        <f>IF($BE241="","",AVERAGE(INDEX(終値!$E241:$CZ241,1,$BE241+1):INDEX(終値!$E241:$CZ241,1,$BE241+20))-2*STDEVP(INDEX(終値!$E241:$CZ241,1,$BE241+1):INDEX(終値!$E241:$CZ241,1,$BE241+20)))</f>
      </c>
      <c r="BL241" s="684">
        <f>COUNT($AC241:$BC241)</f>
      </c>
      <c r="BM241" s="684">
        <f>IF($BL241&gt;=2,MIN($AC241:$BC241),"")</f>
      </c>
      <c r="BN241" s="684">
        <f>IF($BL241&gt;=2,SMALL($AC241:$BC241,2),"")</f>
      </c>
      <c r="BO241" s="684">
        <f>IF($BM241="","",INDEX(高値!$E241:$CZ241,1,$BM241+1))</f>
      </c>
      <c r="BP241" s="684">
        <f>IF($BN241="","",INDEX(高値!$E241:$CZ241,1,$BN241+1))</f>
      </c>
      <c r="BQ241" s="684">
        <f>IF($BN241="","",MIN(INDEX(安値!$E241:$CZ241,1,$BM241+1):INDEX(安値!$E241:$CZ241,1,$BN241+1)))</f>
      </c>
      <c r="BR241" s="684">
        <f>IF($BN241="","",AVERAGE(INDEX(終値!$E241:$CZ241,1,$BN241+1):INDEX(終値!$E241:$CZ241,1,$BN241+20))+2*STDEVP(INDEX(終値!$E241:$CZ241,1,$BN241+1):INDEX(終値!$E241:$CZ241,1,$BN241+20)))</f>
      </c>
      <c r="BS241" s="684">
        <f>IF($BM241="","",AVERAGE(INDEX(終値!$E241:$CZ241,1,$BM241+1):INDEX(終値!$E241:$CZ241,1,$BM241+20))+2*STDEVP(INDEX(終値!$E241:$CZ241,1,$BM241+1):INDEX(終値!$E241:$CZ241,1,$BM241+20)))</f>
      </c>
      <c r="BT241" s="681">
        <f>IFERROR(IF(AND($BD241&gt;=2,ABS($BG241-$BH241)/$BH241&lt;=BB設定!$B$12,$BI241&gt;=MAX($BH241,$BG241)*(1+BB設定!$B$13),終値!E241&gt;$BG241),IF(OR(終値!E241&gt;=$BI241,AND($BH241&lt;$BJ241,$BG241&gt;=$BK241)),"二番底W▲","二番底W形成"),IF(AND($BL241&gt;=2,ABS($BO241-$BP241)/$BP241&lt;=BB設定!$B$12,$BQ241&lt;=MIN($BP241,$BO241)*(1-BB設定!$B$13),終値!E241&lt;$BO241),IF(OR(終値!E241&lt;=$BQ241,AND($BP241&gt;$BR241,$BO241&lt;=$BS241)),"二番天井M▼","二番天井M形成"),"－")),"－")</f>
      </c>
    </row>
    <row r="242">
      <c r="B242" s="684">
        <f>IF(終値!A242="","",IF(AND(安値!G242&lt;安値!F242,安値!G242&lt;安値!E242,安値!G242&lt;安値!H242,安値!G242&lt;安値!I242),2,""))</f>
      </c>
      <c r="C242" s="684">
        <f>IF(終値!A242="","",IF(AND(安値!H242&lt;安値!G242,安値!H242&lt;安値!F242,安値!H242&lt;安値!I242,安値!H242&lt;安値!J242),3,""))</f>
      </c>
      <c r="D242" s="684">
        <f>IF(終値!A242="","",IF(AND(安値!I242&lt;安値!H242,安値!I242&lt;安値!G242,安値!I242&lt;安値!J242,安値!I242&lt;安値!K242),4,""))</f>
      </c>
      <c r="E242" s="684">
        <f>IF(終値!A242="","",IF(AND(安値!J242&lt;安値!I242,安値!J242&lt;安値!H242,安値!J242&lt;安値!K242,安値!J242&lt;安値!L242),5,""))</f>
      </c>
      <c r="F242" s="684">
        <f>IF(終値!A242="","",IF(AND(安値!K242&lt;安値!J242,安値!K242&lt;安値!I242,安値!K242&lt;安値!L242,安値!K242&lt;安値!M242),6,""))</f>
      </c>
      <c r="G242" s="684">
        <f>IF(終値!A242="","",IF(AND(安値!L242&lt;安値!K242,安値!L242&lt;安値!J242,安値!L242&lt;安値!M242,安値!L242&lt;安値!N242),7,""))</f>
      </c>
      <c r="H242" s="684">
        <f>IF(終値!A242="","",IF(AND(安値!M242&lt;安値!L242,安値!M242&lt;安値!K242,安値!M242&lt;安値!N242,安値!M242&lt;安値!O242),8,""))</f>
      </c>
      <c r="I242" s="684">
        <f>IF(終値!A242="","",IF(AND(安値!N242&lt;安値!M242,安値!N242&lt;安値!L242,安値!N242&lt;安値!O242,安値!N242&lt;安値!P242),9,""))</f>
      </c>
      <c r="J242" s="684">
        <f>IF(終値!A242="","",IF(AND(安値!O242&lt;安値!N242,安値!O242&lt;安値!M242,安値!O242&lt;安値!P242,安値!O242&lt;安値!Q242),10,""))</f>
      </c>
      <c r="K242" s="684">
        <f>IF(終値!A242="","",IF(AND(安値!P242&lt;安値!O242,安値!P242&lt;安値!N242,安値!P242&lt;安値!Q242,安値!P242&lt;安値!R242),11,""))</f>
      </c>
      <c r="L242" s="684">
        <f>IF(終値!A242="","",IF(AND(安値!Q242&lt;安値!P242,安値!Q242&lt;安値!O242,安値!Q242&lt;安値!R242,安値!Q242&lt;安値!S242),12,""))</f>
      </c>
      <c r="M242" s="684">
        <f>IF(終値!A242="","",IF(AND(安値!R242&lt;安値!Q242,安値!R242&lt;安値!P242,安値!R242&lt;安値!S242,安値!R242&lt;安値!T242),13,""))</f>
      </c>
      <c r="N242" s="684">
        <f>IF(終値!A242="","",IF(AND(安値!S242&lt;安値!R242,安値!S242&lt;安値!Q242,安値!S242&lt;安値!T242,安値!S242&lt;安値!U242),14,""))</f>
      </c>
      <c r="O242" s="684">
        <f>IF(終値!A242="","",IF(AND(安値!T242&lt;安値!S242,安値!T242&lt;安値!R242,安値!T242&lt;安値!U242,安値!T242&lt;安値!V242),15,""))</f>
      </c>
      <c r="P242" s="684">
        <f>IF(終値!A242="","",IF(AND(安値!U242&lt;安値!T242,安値!U242&lt;安値!S242,安値!U242&lt;安値!V242,安値!U242&lt;安値!W242),16,""))</f>
      </c>
      <c r="Q242" s="684">
        <f>IF(終値!A242="","",IF(AND(安値!V242&lt;安値!U242,安値!V242&lt;安値!T242,安値!V242&lt;安値!W242,安値!V242&lt;安値!X242),17,""))</f>
      </c>
      <c r="R242" s="684">
        <f>IF(終値!A242="","",IF(AND(安値!W242&lt;安値!V242,安値!W242&lt;安値!U242,安値!W242&lt;安値!X242,安値!W242&lt;安値!Y242),18,""))</f>
      </c>
      <c r="S242" s="684">
        <f>IF(終値!A242="","",IF(AND(安値!X242&lt;安値!W242,安値!X242&lt;安値!V242,安値!X242&lt;安値!Y242,安値!X242&lt;安値!Z242),19,""))</f>
      </c>
      <c r="T242" s="684">
        <f>IF(終値!A242="","",IF(AND(安値!Y242&lt;安値!X242,安値!Y242&lt;安値!W242,安値!Y242&lt;安値!Z242,安値!Y242&lt;安値!AA242),20,""))</f>
      </c>
      <c r="U242" s="684">
        <f>IF(終値!A242="","",IF(AND(安値!Z242&lt;安値!Y242,安値!Z242&lt;安値!X242,安値!Z242&lt;安値!AA242,安値!Z242&lt;安値!AB242),21,""))</f>
      </c>
      <c r="V242" s="684">
        <f>IF(終値!A242="","",IF(AND(安値!AA242&lt;安値!Z242,安値!AA242&lt;安値!Y242,安値!AA242&lt;安値!AB242,安値!AA242&lt;安値!AC242),22,""))</f>
      </c>
      <c r="W242" s="684">
        <f>IF(終値!A242="","",IF(AND(安値!AB242&lt;安値!AA242,安値!AB242&lt;安値!Z242,安値!AB242&lt;安値!AC242,安値!AB242&lt;安値!AD242),23,""))</f>
      </c>
      <c r="X242" s="684">
        <f>IF(終値!A242="","",IF(AND(安値!AC242&lt;安値!AB242,安値!AC242&lt;安値!AA242,安値!AC242&lt;安値!AD242,安値!AC242&lt;安値!AE242),24,""))</f>
      </c>
      <c r="Y242" s="684">
        <f>IF(終値!A242="","",IF(AND(安値!AD242&lt;安値!AC242,安値!AD242&lt;安値!AB242,安値!AD242&lt;安値!AE242,安値!AD242&lt;安値!AF242),25,""))</f>
      </c>
      <c r="Z242" s="684">
        <f>IF(終値!A242="","",IF(AND(安値!AE242&lt;安値!AD242,安値!AE242&lt;安値!AC242,安値!AE242&lt;安値!AF242,安値!AE242&lt;安値!AG242),26,""))</f>
      </c>
      <c r="AA242" s="684">
        <f>IF(終値!A242="","",IF(AND(安値!AF242&lt;安値!AE242,安値!AF242&lt;安値!AD242,安値!AF242&lt;安値!AG242,安値!AF242&lt;安値!AH242),27,""))</f>
      </c>
      <c r="AB242" s="684">
        <f>IF(終値!A242="","",IF(AND(安値!AG242&lt;安値!AF242,安値!AG242&lt;安値!AE242,安値!AG242&lt;安値!AH242,安値!AG242&lt;安値!AI242),28,""))</f>
      </c>
      <c r="AC242" s="684">
        <f>IF(終値!A242="","",IF(AND(高値!G242&gt;高値!F242,高値!G242&gt;高値!E242,高値!G242&gt;高値!H242,高値!G242&gt;高値!I242),2,""))</f>
      </c>
      <c r="AD242" s="684">
        <f>IF(終値!A242="","",IF(AND(高値!H242&gt;高値!G242,高値!H242&gt;高値!F242,高値!H242&gt;高値!I242,高値!H242&gt;高値!J242),3,""))</f>
      </c>
      <c r="AE242" s="684">
        <f>IF(終値!A242="","",IF(AND(高値!I242&gt;高値!H242,高値!I242&gt;高値!G242,高値!I242&gt;高値!J242,高値!I242&gt;高値!K242),4,""))</f>
      </c>
      <c r="AF242" s="684">
        <f>IF(終値!A242="","",IF(AND(高値!J242&gt;高値!I242,高値!J242&gt;高値!H242,高値!J242&gt;高値!K242,高値!J242&gt;高値!L242),5,""))</f>
      </c>
      <c r="AG242" s="684">
        <f>IF(終値!A242="","",IF(AND(高値!K242&gt;高値!J242,高値!K242&gt;高値!I242,高値!K242&gt;高値!L242,高値!K242&gt;高値!M242),6,""))</f>
      </c>
      <c r="AH242" s="684">
        <f>IF(終値!A242="","",IF(AND(高値!L242&gt;高値!K242,高値!L242&gt;高値!J242,高値!L242&gt;高値!M242,高値!L242&gt;高値!N242),7,""))</f>
      </c>
      <c r="AI242" s="684">
        <f>IF(終値!A242="","",IF(AND(高値!M242&gt;高値!L242,高値!M242&gt;高値!K242,高値!M242&gt;高値!N242,高値!M242&gt;高値!O242),8,""))</f>
      </c>
      <c r="AJ242" s="684">
        <f>IF(終値!A242="","",IF(AND(高値!N242&gt;高値!M242,高値!N242&gt;高値!L242,高値!N242&gt;高値!O242,高値!N242&gt;高値!P242),9,""))</f>
      </c>
      <c r="AK242" s="684">
        <f>IF(終値!A242="","",IF(AND(高値!O242&gt;高値!N242,高値!O242&gt;高値!M242,高値!O242&gt;高値!P242,高値!O242&gt;高値!Q242),10,""))</f>
      </c>
      <c r="AL242" s="684">
        <f>IF(終値!A242="","",IF(AND(高値!P242&gt;高値!O242,高値!P242&gt;高値!N242,高値!P242&gt;高値!Q242,高値!P242&gt;高値!R242),11,""))</f>
      </c>
      <c r="AM242" s="684">
        <f>IF(終値!A242="","",IF(AND(高値!Q242&gt;高値!P242,高値!Q242&gt;高値!O242,高値!Q242&gt;高値!R242,高値!Q242&gt;高値!S242),12,""))</f>
      </c>
      <c r="AN242" s="684">
        <f>IF(終値!A242="","",IF(AND(高値!R242&gt;高値!Q242,高値!R242&gt;高値!P242,高値!R242&gt;高値!S242,高値!R242&gt;高値!T242),13,""))</f>
      </c>
      <c r="AO242" s="684">
        <f>IF(終値!A242="","",IF(AND(高値!S242&gt;高値!R242,高値!S242&gt;高値!Q242,高値!S242&gt;高値!T242,高値!S242&gt;高値!U242),14,""))</f>
      </c>
      <c r="AP242" s="684">
        <f>IF(終値!A242="","",IF(AND(高値!T242&gt;高値!S242,高値!T242&gt;高値!R242,高値!T242&gt;高値!U242,高値!T242&gt;高値!V242),15,""))</f>
      </c>
      <c r="AQ242" s="684">
        <f>IF(終値!A242="","",IF(AND(高値!U242&gt;高値!T242,高値!U242&gt;高値!S242,高値!U242&gt;高値!V242,高値!U242&gt;高値!W242),16,""))</f>
      </c>
      <c r="AR242" s="684">
        <f>IF(終値!A242="","",IF(AND(高値!V242&gt;高値!U242,高値!V242&gt;高値!T242,高値!V242&gt;高値!W242,高値!V242&gt;高値!X242),17,""))</f>
      </c>
      <c r="AS242" s="684">
        <f>IF(終値!A242="","",IF(AND(高値!W242&gt;高値!V242,高値!W242&gt;高値!U242,高値!W242&gt;高値!X242,高値!W242&gt;高値!Y242),18,""))</f>
      </c>
      <c r="AT242" s="684">
        <f>IF(終値!A242="","",IF(AND(高値!X242&gt;高値!W242,高値!X242&gt;高値!V242,高値!X242&gt;高値!Y242,高値!X242&gt;高値!Z242),19,""))</f>
      </c>
      <c r="AU242" s="684">
        <f>IF(終値!A242="","",IF(AND(高値!Y242&gt;高値!X242,高値!Y242&gt;高値!W242,高値!Y242&gt;高値!Z242,高値!Y242&gt;高値!AA242),20,""))</f>
      </c>
      <c r="AV242" s="684">
        <f>IF(終値!A242="","",IF(AND(高値!Z242&gt;高値!Y242,高値!Z242&gt;高値!X242,高値!Z242&gt;高値!AA242,高値!Z242&gt;高値!AB242),21,""))</f>
      </c>
      <c r="AW242" s="684">
        <f>IF(終値!A242="","",IF(AND(高値!AA242&gt;高値!Z242,高値!AA242&gt;高値!Y242,高値!AA242&gt;高値!AB242,高値!AA242&gt;高値!AC242),22,""))</f>
      </c>
      <c r="AX242" s="684">
        <f>IF(終値!A242="","",IF(AND(高値!AB242&gt;高値!AA242,高値!AB242&gt;高値!Z242,高値!AB242&gt;高値!AC242,高値!AB242&gt;高値!AD242),23,""))</f>
      </c>
      <c r="AY242" s="684">
        <f>IF(終値!A242="","",IF(AND(高値!AC242&gt;高値!AB242,高値!AC242&gt;高値!AA242,高値!AC242&gt;高値!AD242,高値!AC242&gt;高値!AE242),24,""))</f>
      </c>
      <c r="AZ242" s="684">
        <f>IF(終値!A242="","",IF(AND(高値!AD242&gt;高値!AC242,高値!AD242&gt;高値!AB242,高値!AD242&gt;高値!AE242,高値!AD242&gt;高値!AF242),25,""))</f>
      </c>
      <c r="BA242" s="684">
        <f>IF(終値!A242="","",IF(AND(高値!AE242&gt;高値!AD242,高値!AE242&gt;高値!AC242,高値!AE242&gt;高値!AF242,高値!AE242&gt;高値!AG242),26,""))</f>
      </c>
      <c r="BB242" s="684">
        <f>IF(終値!A242="","",IF(AND(高値!AF242&gt;高値!AE242,高値!AF242&gt;高値!AD242,高値!AF242&gt;高値!AG242,高値!AF242&gt;高値!AH242),27,""))</f>
      </c>
      <c r="BC242" s="684">
        <f>IF(終値!A242="","",IF(AND(高値!AG242&gt;高値!AF242,高値!AG242&gt;高値!AE242,高値!AG242&gt;高値!AH242,高値!AG242&gt;高値!AI242),28,""))</f>
      </c>
      <c r="BD242" s="684">
        <f>COUNT($B242:$AB242)</f>
      </c>
      <c r="BE242" s="684">
        <f>IF($BD242&gt;=2,MIN($B242:$AB242),"")</f>
      </c>
      <c r="BF242" s="684">
        <f>IF($BD242&gt;=2,SMALL($B242:$AB242,2),"")</f>
      </c>
      <c r="BG242" s="684">
        <f>IF($BE242="","",INDEX(安値!$E242:$CZ242,1,$BE242+1))</f>
      </c>
      <c r="BH242" s="684">
        <f>IF($BF242="","",INDEX(安値!$E242:$CZ242,1,$BF242+1))</f>
      </c>
      <c r="BI242" s="684">
        <f>IF($BF242="","",MAX(INDEX(高値!$E242:$CZ242,1,$BE242+1):INDEX(高値!$E242:$CZ242,1,$BF242+1)))</f>
      </c>
      <c r="BJ242" s="684">
        <f>IF($BF242="","",AVERAGE(INDEX(終値!$E242:$CZ242,1,$BF242+1):INDEX(終値!$E242:$CZ242,1,$BF242+20))-2*STDEVP(INDEX(終値!$E242:$CZ242,1,$BF242+1):INDEX(終値!$E242:$CZ242,1,$BF242+20)))</f>
      </c>
      <c r="BK242" s="684">
        <f>IF($BE242="","",AVERAGE(INDEX(終値!$E242:$CZ242,1,$BE242+1):INDEX(終値!$E242:$CZ242,1,$BE242+20))-2*STDEVP(INDEX(終値!$E242:$CZ242,1,$BE242+1):INDEX(終値!$E242:$CZ242,1,$BE242+20)))</f>
      </c>
      <c r="BL242" s="684">
        <f>COUNT($AC242:$BC242)</f>
      </c>
      <c r="BM242" s="684">
        <f>IF($BL242&gt;=2,MIN($AC242:$BC242),"")</f>
      </c>
      <c r="BN242" s="684">
        <f>IF($BL242&gt;=2,SMALL($AC242:$BC242,2),"")</f>
      </c>
      <c r="BO242" s="684">
        <f>IF($BM242="","",INDEX(高値!$E242:$CZ242,1,$BM242+1))</f>
      </c>
      <c r="BP242" s="684">
        <f>IF($BN242="","",INDEX(高値!$E242:$CZ242,1,$BN242+1))</f>
      </c>
      <c r="BQ242" s="684">
        <f>IF($BN242="","",MIN(INDEX(安値!$E242:$CZ242,1,$BM242+1):INDEX(安値!$E242:$CZ242,1,$BN242+1)))</f>
      </c>
      <c r="BR242" s="684">
        <f>IF($BN242="","",AVERAGE(INDEX(終値!$E242:$CZ242,1,$BN242+1):INDEX(終値!$E242:$CZ242,1,$BN242+20))+2*STDEVP(INDEX(終値!$E242:$CZ242,1,$BN242+1):INDEX(終値!$E242:$CZ242,1,$BN242+20)))</f>
      </c>
      <c r="BS242" s="684">
        <f>IF($BM242="","",AVERAGE(INDEX(終値!$E242:$CZ242,1,$BM242+1):INDEX(終値!$E242:$CZ242,1,$BM242+20))+2*STDEVP(INDEX(終値!$E242:$CZ242,1,$BM242+1):INDEX(終値!$E242:$CZ242,1,$BM242+20)))</f>
      </c>
      <c r="BT242" s="681">
        <f>IFERROR(IF(AND($BD242&gt;=2,ABS($BG242-$BH242)/$BH242&lt;=BB設定!$B$12,$BI242&gt;=MAX($BH242,$BG242)*(1+BB設定!$B$13),終値!E242&gt;$BG242),IF(OR(終値!E242&gt;=$BI242,AND($BH242&lt;$BJ242,$BG242&gt;=$BK242)),"二番底W▲","二番底W形成"),IF(AND($BL242&gt;=2,ABS($BO242-$BP242)/$BP242&lt;=BB設定!$B$12,$BQ242&lt;=MIN($BP242,$BO242)*(1-BB設定!$B$13),終値!E242&lt;$BO242),IF(OR(終値!E242&lt;=$BQ242,AND($BP242&gt;$BR242,$BO242&lt;=$BS242)),"二番天井M▼","二番天井M形成"),"－")),"－")</f>
      </c>
    </row>
    <row r="243">
      <c r="B243" s="684">
        <f>IF(終値!A243="","",IF(AND(安値!G243&lt;安値!F243,安値!G243&lt;安値!E243,安値!G243&lt;安値!H243,安値!G243&lt;安値!I243),2,""))</f>
      </c>
      <c r="C243" s="684">
        <f>IF(終値!A243="","",IF(AND(安値!H243&lt;安値!G243,安値!H243&lt;安値!F243,安値!H243&lt;安値!I243,安値!H243&lt;安値!J243),3,""))</f>
      </c>
      <c r="D243" s="684">
        <f>IF(終値!A243="","",IF(AND(安値!I243&lt;安値!H243,安値!I243&lt;安値!G243,安値!I243&lt;安値!J243,安値!I243&lt;安値!K243),4,""))</f>
      </c>
      <c r="E243" s="684">
        <f>IF(終値!A243="","",IF(AND(安値!J243&lt;安値!I243,安値!J243&lt;安値!H243,安値!J243&lt;安値!K243,安値!J243&lt;安値!L243),5,""))</f>
      </c>
      <c r="F243" s="684">
        <f>IF(終値!A243="","",IF(AND(安値!K243&lt;安値!J243,安値!K243&lt;安値!I243,安値!K243&lt;安値!L243,安値!K243&lt;安値!M243),6,""))</f>
      </c>
      <c r="G243" s="684">
        <f>IF(終値!A243="","",IF(AND(安値!L243&lt;安値!K243,安値!L243&lt;安値!J243,安値!L243&lt;安値!M243,安値!L243&lt;安値!N243),7,""))</f>
      </c>
      <c r="H243" s="684">
        <f>IF(終値!A243="","",IF(AND(安値!M243&lt;安値!L243,安値!M243&lt;安値!K243,安値!M243&lt;安値!N243,安値!M243&lt;安値!O243),8,""))</f>
      </c>
      <c r="I243" s="684">
        <f>IF(終値!A243="","",IF(AND(安値!N243&lt;安値!M243,安値!N243&lt;安値!L243,安値!N243&lt;安値!O243,安値!N243&lt;安値!P243),9,""))</f>
      </c>
      <c r="J243" s="684">
        <f>IF(終値!A243="","",IF(AND(安値!O243&lt;安値!N243,安値!O243&lt;安値!M243,安値!O243&lt;安値!P243,安値!O243&lt;安値!Q243),10,""))</f>
      </c>
      <c r="K243" s="684">
        <f>IF(終値!A243="","",IF(AND(安値!P243&lt;安値!O243,安値!P243&lt;安値!N243,安値!P243&lt;安値!Q243,安値!P243&lt;安値!R243),11,""))</f>
      </c>
      <c r="L243" s="684">
        <f>IF(終値!A243="","",IF(AND(安値!Q243&lt;安値!P243,安値!Q243&lt;安値!O243,安値!Q243&lt;安値!R243,安値!Q243&lt;安値!S243),12,""))</f>
      </c>
      <c r="M243" s="684">
        <f>IF(終値!A243="","",IF(AND(安値!R243&lt;安値!Q243,安値!R243&lt;安値!P243,安値!R243&lt;安値!S243,安値!R243&lt;安値!T243),13,""))</f>
      </c>
      <c r="N243" s="684">
        <f>IF(終値!A243="","",IF(AND(安値!S243&lt;安値!R243,安値!S243&lt;安値!Q243,安値!S243&lt;安値!T243,安値!S243&lt;安値!U243),14,""))</f>
      </c>
      <c r="O243" s="684">
        <f>IF(終値!A243="","",IF(AND(安値!T243&lt;安値!S243,安値!T243&lt;安値!R243,安値!T243&lt;安値!U243,安値!T243&lt;安値!V243),15,""))</f>
      </c>
      <c r="P243" s="684">
        <f>IF(終値!A243="","",IF(AND(安値!U243&lt;安値!T243,安値!U243&lt;安値!S243,安値!U243&lt;安値!V243,安値!U243&lt;安値!W243),16,""))</f>
      </c>
      <c r="Q243" s="684">
        <f>IF(終値!A243="","",IF(AND(安値!V243&lt;安値!U243,安値!V243&lt;安値!T243,安値!V243&lt;安値!W243,安値!V243&lt;安値!X243),17,""))</f>
      </c>
      <c r="R243" s="684">
        <f>IF(終値!A243="","",IF(AND(安値!W243&lt;安値!V243,安値!W243&lt;安値!U243,安値!W243&lt;安値!X243,安値!W243&lt;安値!Y243),18,""))</f>
      </c>
      <c r="S243" s="684">
        <f>IF(終値!A243="","",IF(AND(安値!X243&lt;安値!W243,安値!X243&lt;安値!V243,安値!X243&lt;安値!Y243,安値!X243&lt;安値!Z243),19,""))</f>
      </c>
      <c r="T243" s="684">
        <f>IF(終値!A243="","",IF(AND(安値!Y243&lt;安値!X243,安値!Y243&lt;安値!W243,安値!Y243&lt;安値!Z243,安値!Y243&lt;安値!AA243),20,""))</f>
      </c>
      <c r="U243" s="684">
        <f>IF(終値!A243="","",IF(AND(安値!Z243&lt;安値!Y243,安値!Z243&lt;安値!X243,安値!Z243&lt;安値!AA243,安値!Z243&lt;安値!AB243),21,""))</f>
      </c>
      <c r="V243" s="684">
        <f>IF(終値!A243="","",IF(AND(安値!AA243&lt;安値!Z243,安値!AA243&lt;安値!Y243,安値!AA243&lt;安値!AB243,安値!AA243&lt;安値!AC243),22,""))</f>
      </c>
      <c r="W243" s="684">
        <f>IF(終値!A243="","",IF(AND(安値!AB243&lt;安値!AA243,安値!AB243&lt;安値!Z243,安値!AB243&lt;安値!AC243,安値!AB243&lt;安値!AD243),23,""))</f>
      </c>
      <c r="X243" s="684">
        <f>IF(終値!A243="","",IF(AND(安値!AC243&lt;安値!AB243,安値!AC243&lt;安値!AA243,安値!AC243&lt;安値!AD243,安値!AC243&lt;安値!AE243),24,""))</f>
      </c>
      <c r="Y243" s="684">
        <f>IF(終値!A243="","",IF(AND(安値!AD243&lt;安値!AC243,安値!AD243&lt;安値!AB243,安値!AD243&lt;安値!AE243,安値!AD243&lt;安値!AF243),25,""))</f>
      </c>
      <c r="Z243" s="684">
        <f>IF(終値!A243="","",IF(AND(安値!AE243&lt;安値!AD243,安値!AE243&lt;安値!AC243,安値!AE243&lt;安値!AF243,安値!AE243&lt;安値!AG243),26,""))</f>
      </c>
      <c r="AA243" s="684">
        <f>IF(終値!A243="","",IF(AND(安値!AF243&lt;安値!AE243,安値!AF243&lt;安値!AD243,安値!AF243&lt;安値!AG243,安値!AF243&lt;安値!AH243),27,""))</f>
      </c>
      <c r="AB243" s="684">
        <f>IF(終値!A243="","",IF(AND(安値!AG243&lt;安値!AF243,安値!AG243&lt;安値!AE243,安値!AG243&lt;安値!AH243,安値!AG243&lt;安値!AI243),28,""))</f>
      </c>
      <c r="AC243" s="684">
        <f>IF(終値!A243="","",IF(AND(高値!G243&gt;高値!F243,高値!G243&gt;高値!E243,高値!G243&gt;高値!H243,高値!G243&gt;高値!I243),2,""))</f>
      </c>
      <c r="AD243" s="684">
        <f>IF(終値!A243="","",IF(AND(高値!H243&gt;高値!G243,高値!H243&gt;高値!F243,高値!H243&gt;高値!I243,高値!H243&gt;高値!J243),3,""))</f>
      </c>
      <c r="AE243" s="684">
        <f>IF(終値!A243="","",IF(AND(高値!I243&gt;高値!H243,高値!I243&gt;高値!G243,高値!I243&gt;高値!J243,高値!I243&gt;高値!K243),4,""))</f>
      </c>
      <c r="AF243" s="684">
        <f>IF(終値!A243="","",IF(AND(高値!J243&gt;高値!I243,高値!J243&gt;高値!H243,高値!J243&gt;高値!K243,高値!J243&gt;高値!L243),5,""))</f>
      </c>
      <c r="AG243" s="684">
        <f>IF(終値!A243="","",IF(AND(高値!K243&gt;高値!J243,高値!K243&gt;高値!I243,高値!K243&gt;高値!L243,高値!K243&gt;高値!M243),6,""))</f>
      </c>
      <c r="AH243" s="684">
        <f>IF(終値!A243="","",IF(AND(高値!L243&gt;高値!K243,高値!L243&gt;高値!J243,高値!L243&gt;高値!M243,高値!L243&gt;高値!N243),7,""))</f>
      </c>
      <c r="AI243" s="684">
        <f>IF(終値!A243="","",IF(AND(高値!M243&gt;高値!L243,高値!M243&gt;高値!K243,高値!M243&gt;高値!N243,高値!M243&gt;高値!O243),8,""))</f>
      </c>
      <c r="AJ243" s="684">
        <f>IF(終値!A243="","",IF(AND(高値!N243&gt;高値!M243,高値!N243&gt;高値!L243,高値!N243&gt;高値!O243,高値!N243&gt;高値!P243),9,""))</f>
      </c>
      <c r="AK243" s="684">
        <f>IF(終値!A243="","",IF(AND(高値!O243&gt;高値!N243,高値!O243&gt;高値!M243,高値!O243&gt;高値!P243,高値!O243&gt;高値!Q243),10,""))</f>
      </c>
      <c r="AL243" s="684">
        <f>IF(終値!A243="","",IF(AND(高値!P243&gt;高値!O243,高値!P243&gt;高値!N243,高値!P243&gt;高値!Q243,高値!P243&gt;高値!R243),11,""))</f>
      </c>
      <c r="AM243" s="684">
        <f>IF(終値!A243="","",IF(AND(高値!Q243&gt;高値!P243,高値!Q243&gt;高値!O243,高値!Q243&gt;高値!R243,高値!Q243&gt;高値!S243),12,""))</f>
      </c>
      <c r="AN243" s="684">
        <f>IF(終値!A243="","",IF(AND(高値!R243&gt;高値!Q243,高値!R243&gt;高値!P243,高値!R243&gt;高値!S243,高値!R243&gt;高値!T243),13,""))</f>
      </c>
      <c r="AO243" s="684">
        <f>IF(終値!A243="","",IF(AND(高値!S243&gt;高値!R243,高値!S243&gt;高値!Q243,高値!S243&gt;高値!T243,高値!S243&gt;高値!U243),14,""))</f>
      </c>
      <c r="AP243" s="684">
        <f>IF(終値!A243="","",IF(AND(高値!T243&gt;高値!S243,高値!T243&gt;高値!R243,高値!T243&gt;高値!U243,高値!T243&gt;高値!V243),15,""))</f>
      </c>
      <c r="AQ243" s="684">
        <f>IF(終値!A243="","",IF(AND(高値!U243&gt;高値!T243,高値!U243&gt;高値!S243,高値!U243&gt;高値!V243,高値!U243&gt;高値!W243),16,""))</f>
      </c>
      <c r="AR243" s="684">
        <f>IF(終値!A243="","",IF(AND(高値!V243&gt;高値!U243,高値!V243&gt;高値!T243,高値!V243&gt;高値!W243,高値!V243&gt;高値!X243),17,""))</f>
      </c>
      <c r="AS243" s="684">
        <f>IF(終値!A243="","",IF(AND(高値!W243&gt;高値!V243,高値!W243&gt;高値!U243,高値!W243&gt;高値!X243,高値!W243&gt;高値!Y243),18,""))</f>
      </c>
      <c r="AT243" s="684">
        <f>IF(終値!A243="","",IF(AND(高値!X243&gt;高値!W243,高値!X243&gt;高値!V243,高値!X243&gt;高値!Y243,高値!X243&gt;高値!Z243),19,""))</f>
      </c>
      <c r="AU243" s="684">
        <f>IF(終値!A243="","",IF(AND(高値!Y243&gt;高値!X243,高値!Y243&gt;高値!W243,高値!Y243&gt;高値!Z243,高値!Y243&gt;高値!AA243),20,""))</f>
      </c>
      <c r="AV243" s="684">
        <f>IF(終値!A243="","",IF(AND(高値!Z243&gt;高値!Y243,高値!Z243&gt;高値!X243,高値!Z243&gt;高値!AA243,高値!Z243&gt;高値!AB243),21,""))</f>
      </c>
      <c r="AW243" s="684">
        <f>IF(終値!A243="","",IF(AND(高値!AA243&gt;高値!Z243,高値!AA243&gt;高値!Y243,高値!AA243&gt;高値!AB243,高値!AA243&gt;高値!AC243),22,""))</f>
      </c>
      <c r="AX243" s="684">
        <f>IF(終値!A243="","",IF(AND(高値!AB243&gt;高値!AA243,高値!AB243&gt;高値!Z243,高値!AB243&gt;高値!AC243,高値!AB243&gt;高値!AD243),23,""))</f>
      </c>
      <c r="AY243" s="684">
        <f>IF(終値!A243="","",IF(AND(高値!AC243&gt;高値!AB243,高値!AC243&gt;高値!AA243,高値!AC243&gt;高値!AD243,高値!AC243&gt;高値!AE243),24,""))</f>
      </c>
      <c r="AZ243" s="684">
        <f>IF(終値!A243="","",IF(AND(高値!AD243&gt;高値!AC243,高値!AD243&gt;高値!AB243,高値!AD243&gt;高値!AE243,高値!AD243&gt;高値!AF243),25,""))</f>
      </c>
      <c r="BA243" s="684">
        <f>IF(終値!A243="","",IF(AND(高値!AE243&gt;高値!AD243,高値!AE243&gt;高値!AC243,高値!AE243&gt;高値!AF243,高値!AE243&gt;高値!AG243),26,""))</f>
      </c>
      <c r="BB243" s="684">
        <f>IF(終値!A243="","",IF(AND(高値!AF243&gt;高値!AE243,高値!AF243&gt;高値!AD243,高値!AF243&gt;高値!AG243,高値!AF243&gt;高値!AH243),27,""))</f>
      </c>
      <c r="BC243" s="684">
        <f>IF(終値!A243="","",IF(AND(高値!AG243&gt;高値!AF243,高値!AG243&gt;高値!AE243,高値!AG243&gt;高値!AH243,高値!AG243&gt;高値!AI243),28,""))</f>
      </c>
      <c r="BD243" s="684">
        <f>COUNT($B243:$AB243)</f>
      </c>
      <c r="BE243" s="684">
        <f>IF($BD243&gt;=2,MIN($B243:$AB243),"")</f>
      </c>
      <c r="BF243" s="684">
        <f>IF($BD243&gt;=2,SMALL($B243:$AB243,2),"")</f>
      </c>
      <c r="BG243" s="684">
        <f>IF($BE243="","",INDEX(安値!$E243:$CZ243,1,$BE243+1))</f>
      </c>
      <c r="BH243" s="684">
        <f>IF($BF243="","",INDEX(安値!$E243:$CZ243,1,$BF243+1))</f>
      </c>
      <c r="BI243" s="684">
        <f>IF($BF243="","",MAX(INDEX(高値!$E243:$CZ243,1,$BE243+1):INDEX(高値!$E243:$CZ243,1,$BF243+1)))</f>
      </c>
      <c r="BJ243" s="684">
        <f>IF($BF243="","",AVERAGE(INDEX(終値!$E243:$CZ243,1,$BF243+1):INDEX(終値!$E243:$CZ243,1,$BF243+20))-2*STDEVP(INDEX(終値!$E243:$CZ243,1,$BF243+1):INDEX(終値!$E243:$CZ243,1,$BF243+20)))</f>
      </c>
      <c r="BK243" s="684">
        <f>IF($BE243="","",AVERAGE(INDEX(終値!$E243:$CZ243,1,$BE243+1):INDEX(終値!$E243:$CZ243,1,$BE243+20))-2*STDEVP(INDEX(終値!$E243:$CZ243,1,$BE243+1):INDEX(終値!$E243:$CZ243,1,$BE243+20)))</f>
      </c>
      <c r="BL243" s="684">
        <f>COUNT($AC243:$BC243)</f>
      </c>
      <c r="BM243" s="684">
        <f>IF($BL243&gt;=2,MIN($AC243:$BC243),"")</f>
      </c>
      <c r="BN243" s="684">
        <f>IF($BL243&gt;=2,SMALL($AC243:$BC243,2),"")</f>
      </c>
      <c r="BO243" s="684">
        <f>IF($BM243="","",INDEX(高値!$E243:$CZ243,1,$BM243+1))</f>
      </c>
      <c r="BP243" s="684">
        <f>IF($BN243="","",INDEX(高値!$E243:$CZ243,1,$BN243+1))</f>
      </c>
      <c r="BQ243" s="684">
        <f>IF($BN243="","",MIN(INDEX(安値!$E243:$CZ243,1,$BM243+1):INDEX(安値!$E243:$CZ243,1,$BN243+1)))</f>
      </c>
      <c r="BR243" s="684">
        <f>IF($BN243="","",AVERAGE(INDEX(終値!$E243:$CZ243,1,$BN243+1):INDEX(終値!$E243:$CZ243,1,$BN243+20))+2*STDEVP(INDEX(終値!$E243:$CZ243,1,$BN243+1):INDEX(終値!$E243:$CZ243,1,$BN243+20)))</f>
      </c>
      <c r="BS243" s="684">
        <f>IF($BM243="","",AVERAGE(INDEX(終値!$E243:$CZ243,1,$BM243+1):INDEX(終値!$E243:$CZ243,1,$BM243+20))+2*STDEVP(INDEX(終値!$E243:$CZ243,1,$BM243+1):INDEX(終値!$E243:$CZ243,1,$BM243+20)))</f>
      </c>
      <c r="BT243" s="681">
        <f>IFERROR(IF(AND($BD243&gt;=2,ABS($BG243-$BH243)/$BH243&lt;=BB設定!$B$12,$BI243&gt;=MAX($BH243,$BG243)*(1+BB設定!$B$13),終値!E243&gt;$BG243),IF(OR(終値!E243&gt;=$BI243,AND($BH243&lt;$BJ243,$BG243&gt;=$BK243)),"二番底W▲","二番底W形成"),IF(AND($BL243&gt;=2,ABS($BO243-$BP243)/$BP243&lt;=BB設定!$B$12,$BQ243&lt;=MIN($BP243,$BO243)*(1-BB設定!$B$13),終値!E243&lt;$BO243),IF(OR(終値!E243&lt;=$BQ243,AND($BP243&gt;$BR243,$BO243&lt;=$BS243)),"二番天井M▼","二番天井M形成"),"－")),"－")</f>
      </c>
    </row>
    <row r="244">
      <c r="B244" s="684">
        <f>IF(終値!A244="","",IF(AND(安値!G244&lt;安値!F244,安値!G244&lt;安値!E244,安値!G244&lt;安値!H244,安値!G244&lt;安値!I244),2,""))</f>
      </c>
      <c r="C244" s="684">
        <f>IF(終値!A244="","",IF(AND(安値!H244&lt;安値!G244,安値!H244&lt;安値!F244,安値!H244&lt;安値!I244,安値!H244&lt;安値!J244),3,""))</f>
      </c>
      <c r="D244" s="684">
        <f>IF(終値!A244="","",IF(AND(安値!I244&lt;安値!H244,安値!I244&lt;安値!G244,安値!I244&lt;安値!J244,安値!I244&lt;安値!K244),4,""))</f>
      </c>
      <c r="E244" s="684">
        <f>IF(終値!A244="","",IF(AND(安値!J244&lt;安値!I244,安値!J244&lt;安値!H244,安値!J244&lt;安値!K244,安値!J244&lt;安値!L244),5,""))</f>
      </c>
      <c r="F244" s="684">
        <f>IF(終値!A244="","",IF(AND(安値!K244&lt;安値!J244,安値!K244&lt;安値!I244,安値!K244&lt;安値!L244,安値!K244&lt;安値!M244),6,""))</f>
      </c>
      <c r="G244" s="684">
        <f>IF(終値!A244="","",IF(AND(安値!L244&lt;安値!K244,安値!L244&lt;安値!J244,安値!L244&lt;安値!M244,安値!L244&lt;安値!N244),7,""))</f>
      </c>
      <c r="H244" s="684">
        <f>IF(終値!A244="","",IF(AND(安値!M244&lt;安値!L244,安値!M244&lt;安値!K244,安値!M244&lt;安値!N244,安値!M244&lt;安値!O244),8,""))</f>
      </c>
      <c r="I244" s="684">
        <f>IF(終値!A244="","",IF(AND(安値!N244&lt;安値!M244,安値!N244&lt;安値!L244,安値!N244&lt;安値!O244,安値!N244&lt;安値!P244),9,""))</f>
      </c>
      <c r="J244" s="684">
        <f>IF(終値!A244="","",IF(AND(安値!O244&lt;安値!N244,安値!O244&lt;安値!M244,安値!O244&lt;安値!P244,安値!O244&lt;安値!Q244),10,""))</f>
      </c>
      <c r="K244" s="684">
        <f>IF(終値!A244="","",IF(AND(安値!P244&lt;安値!O244,安値!P244&lt;安値!N244,安値!P244&lt;安値!Q244,安値!P244&lt;安値!R244),11,""))</f>
      </c>
      <c r="L244" s="684">
        <f>IF(終値!A244="","",IF(AND(安値!Q244&lt;安値!P244,安値!Q244&lt;安値!O244,安値!Q244&lt;安値!R244,安値!Q244&lt;安値!S244),12,""))</f>
      </c>
      <c r="M244" s="684">
        <f>IF(終値!A244="","",IF(AND(安値!R244&lt;安値!Q244,安値!R244&lt;安値!P244,安値!R244&lt;安値!S244,安値!R244&lt;安値!T244),13,""))</f>
      </c>
      <c r="N244" s="684">
        <f>IF(終値!A244="","",IF(AND(安値!S244&lt;安値!R244,安値!S244&lt;安値!Q244,安値!S244&lt;安値!T244,安値!S244&lt;安値!U244),14,""))</f>
      </c>
      <c r="O244" s="684">
        <f>IF(終値!A244="","",IF(AND(安値!T244&lt;安値!S244,安値!T244&lt;安値!R244,安値!T244&lt;安値!U244,安値!T244&lt;安値!V244),15,""))</f>
      </c>
      <c r="P244" s="684">
        <f>IF(終値!A244="","",IF(AND(安値!U244&lt;安値!T244,安値!U244&lt;安値!S244,安値!U244&lt;安値!V244,安値!U244&lt;安値!W244),16,""))</f>
      </c>
      <c r="Q244" s="684">
        <f>IF(終値!A244="","",IF(AND(安値!V244&lt;安値!U244,安値!V244&lt;安値!T244,安値!V244&lt;安値!W244,安値!V244&lt;安値!X244),17,""))</f>
      </c>
      <c r="R244" s="684">
        <f>IF(終値!A244="","",IF(AND(安値!W244&lt;安値!V244,安値!W244&lt;安値!U244,安値!W244&lt;安値!X244,安値!W244&lt;安値!Y244),18,""))</f>
      </c>
      <c r="S244" s="684">
        <f>IF(終値!A244="","",IF(AND(安値!X244&lt;安値!W244,安値!X244&lt;安値!V244,安値!X244&lt;安値!Y244,安値!X244&lt;安値!Z244),19,""))</f>
      </c>
      <c r="T244" s="684">
        <f>IF(終値!A244="","",IF(AND(安値!Y244&lt;安値!X244,安値!Y244&lt;安値!W244,安値!Y244&lt;安値!Z244,安値!Y244&lt;安値!AA244),20,""))</f>
      </c>
      <c r="U244" s="684">
        <f>IF(終値!A244="","",IF(AND(安値!Z244&lt;安値!Y244,安値!Z244&lt;安値!X244,安値!Z244&lt;安値!AA244,安値!Z244&lt;安値!AB244),21,""))</f>
      </c>
      <c r="V244" s="684">
        <f>IF(終値!A244="","",IF(AND(安値!AA244&lt;安値!Z244,安値!AA244&lt;安値!Y244,安値!AA244&lt;安値!AB244,安値!AA244&lt;安値!AC244),22,""))</f>
      </c>
      <c r="W244" s="684">
        <f>IF(終値!A244="","",IF(AND(安値!AB244&lt;安値!AA244,安値!AB244&lt;安値!Z244,安値!AB244&lt;安値!AC244,安値!AB244&lt;安値!AD244),23,""))</f>
      </c>
      <c r="X244" s="684">
        <f>IF(終値!A244="","",IF(AND(安値!AC244&lt;安値!AB244,安値!AC244&lt;安値!AA244,安値!AC244&lt;安値!AD244,安値!AC244&lt;安値!AE244),24,""))</f>
      </c>
      <c r="Y244" s="684">
        <f>IF(終値!A244="","",IF(AND(安値!AD244&lt;安値!AC244,安値!AD244&lt;安値!AB244,安値!AD244&lt;安値!AE244,安値!AD244&lt;安値!AF244),25,""))</f>
      </c>
      <c r="Z244" s="684">
        <f>IF(終値!A244="","",IF(AND(安値!AE244&lt;安値!AD244,安値!AE244&lt;安値!AC244,安値!AE244&lt;安値!AF244,安値!AE244&lt;安値!AG244),26,""))</f>
      </c>
      <c r="AA244" s="684">
        <f>IF(終値!A244="","",IF(AND(安値!AF244&lt;安値!AE244,安値!AF244&lt;安値!AD244,安値!AF244&lt;安値!AG244,安値!AF244&lt;安値!AH244),27,""))</f>
      </c>
      <c r="AB244" s="684">
        <f>IF(終値!A244="","",IF(AND(安値!AG244&lt;安値!AF244,安値!AG244&lt;安値!AE244,安値!AG244&lt;安値!AH244,安値!AG244&lt;安値!AI244),28,""))</f>
      </c>
      <c r="AC244" s="684">
        <f>IF(終値!A244="","",IF(AND(高値!G244&gt;高値!F244,高値!G244&gt;高値!E244,高値!G244&gt;高値!H244,高値!G244&gt;高値!I244),2,""))</f>
      </c>
      <c r="AD244" s="684">
        <f>IF(終値!A244="","",IF(AND(高値!H244&gt;高値!G244,高値!H244&gt;高値!F244,高値!H244&gt;高値!I244,高値!H244&gt;高値!J244),3,""))</f>
      </c>
      <c r="AE244" s="684">
        <f>IF(終値!A244="","",IF(AND(高値!I244&gt;高値!H244,高値!I244&gt;高値!G244,高値!I244&gt;高値!J244,高値!I244&gt;高値!K244),4,""))</f>
      </c>
      <c r="AF244" s="684">
        <f>IF(終値!A244="","",IF(AND(高値!J244&gt;高値!I244,高値!J244&gt;高値!H244,高値!J244&gt;高値!K244,高値!J244&gt;高値!L244),5,""))</f>
      </c>
      <c r="AG244" s="684">
        <f>IF(終値!A244="","",IF(AND(高値!K244&gt;高値!J244,高値!K244&gt;高値!I244,高値!K244&gt;高値!L244,高値!K244&gt;高値!M244),6,""))</f>
      </c>
      <c r="AH244" s="684">
        <f>IF(終値!A244="","",IF(AND(高値!L244&gt;高値!K244,高値!L244&gt;高値!J244,高値!L244&gt;高値!M244,高値!L244&gt;高値!N244),7,""))</f>
      </c>
      <c r="AI244" s="684">
        <f>IF(終値!A244="","",IF(AND(高値!M244&gt;高値!L244,高値!M244&gt;高値!K244,高値!M244&gt;高値!N244,高値!M244&gt;高値!O244),8,""))</f>
      </c>
      <c r="AJ244" s="684">
        <f>IF(終値!A244="","",IF(AND(高値!N244&gt;高値!M244,高値!N244&gt;高値!L244,高値!N244&gt;高値!O244,高値!N244&gt;高値!P244),9,""))</f>
      </c>
      <c r="AK244" s="684">
        <f>IF(終値!A244="","",IF(AND(高値!O244&gt;高値!N244,高値!O244&gt;高値!M244,高値!O244&gt;高値!P244,高値!O244&gt;高値!Q244),10,""))</f>
      </c>
      <c r="AL244" s="684">
        <f>IF(終値!A244="","",IF(AND(高値!P244&gt;高値!O244,高値!P244&gt;高値!N244,高値!P244&gt;高値!Q244,高値!P244&gt;高値!R244),11,""))</f>
      </c>
      <c r="AM244" s="684">
        <f>IF(終値!A244="","",IF(AND(高値!Q244&gt;高値!P244,高値!Q244&gt;高値!O244,高値!Q244&gt;高値!R244,高値!Q244&gt;高値!S244),12,""))</f>
      </c>
      <c r="AN244" s="684">
        <f>IF(終値!A244="","",IF(AND(高値!R244&gt;高値!Q244,高値!R244&gt;高値!P244,高値!R244&gt;高値!S244,高値!R244&gt;高値!T244),13,""))</f>
      </c>
      <c r="AO244" s="684">
        <f>IF(終値!A244="","",IF(AND(高値!S244&gt;高値!R244,高値!S244&gt;高値!Q244,高値!S244&gt;高値!T244,高値!S244&gt;高値!U244),14,""))</f>
      </c>
      <c r="AP244" s="684">
        <f>IF(終値!A244="","",IF(AND(高値!T244&gt;高値!S244,高値!T244&gt;高値!R244,高値!T244&gt;高値!U244,高値!T244&gt;高値!V244),15,""))</f>
      </c>
      <c r="AQ244" s="684">
        <f>IF(終値!A244="","",IF(AND(高値!U244&gt;高値!T244,高値!U244&gt;高値!S244,高値!U244&gt;高値!V244,高値!U244&gt;高値!W244),16,""))</f>
      </c>
      <c r="AR244" s="684">
        <f>IF(終値!A244="","",IF(AND(高値!V244&gt;高値!U244,高値!V244&gt;高値!T244,高値!V244&gt;高値!W244,高値!V244&gt;高値!X244),17,""))</f>
      </c>
      <c r="AS244" s="684">
        <f>IF(終値!A244="","",IF(AND(高値!W244&gt;高値!V244,高値!W244&gt;高値!U244,高値!W244&gt;高値!X244,高値!W244&gt;高値!Y244),18,""))</f>
      </c>
      <c r="AT244" s="684">
        <f>IF(終値!A244="","",IF(AND(高値!X244&gt;高値!W244,高値!X244&gt;高値!V244,高値!X244&gt;高値!Y244,高値!X244&gt;高値!Z244),19,""))</f>
      </c>
      <c r="AU244" s="684">
        <f>IF(終値!A244="","",IF(AND(高値!Y244&gt;高値!X244,高値!Y244&gt;高値!W244,高値!Y244&gt;高値!Z244,高値!Y244&gt;高値!AA244),20,""))</f>
      </c>
      <c r="AV244" s="684">
        <f>IF(終値!A244="","",IF(AND(高値!Z244&gt;高値!Y244,高値!Z244&gt;高値!X244,高値!Z244&gt;高値!AA244,高値!Z244&gt;高値!AB244),21,""))</f>
      </c>
      <c r="AW244" s="684">
        <f>IF(終値!A244="","",IF(AND(高値!AA244&gt;高値!Z244,高値!AA244&gt;高値!Y244,高値!AA244&gt;高値!AB244,高値!AA244&gt;高値!AC244),22,""))</f>
      </c>
      <c r="AX244" s="684">
        <f>IF(終値!A244="","",IF(AND(高値!AB244&gt;高値!AA244,高値!AB244&gt;高値!Z244,高値!AB244&gt;高値!AC244,高値!AB244&gt;高値!AD244),23,""))</f>
      </c>
      <c r="AY244" s="684">
        <f>IF(終値!A244="","",IF(AND(高値!AC244&gt;高値!AB244,高値!AC244&gt;高値!AA244,高値!AC244&gt;高値!AD244,高値!AC244&gt;高値!AE244),24,""))</f>
      </c>
      <c r="AZ244" s="684">
        <f>IF(終値!A244="","",IF(AND(高値!AD244&gt;高値!AC244,高値!AD244&gt;高値!AB244,高値!AD244&gt;高値!AE244,高値!AD244&gt;高値!AF244),25,""))</f>
      </c>
      <c r="BA244" s="684">
        <f>IF(終値!A244="","",IF(AND(高値!AE244&gt;高値!AD244,高値!AE244&gt;高値!AC244,高値!AE244&gt;高値!AF244,高値!AE244&gt;高値!AG244),26,""))</f>
      </c>
      <c r="BB244" s="684">
        <f>IF(終値!A244="","",IF(AND(高値!AF244&gt;高値!AE244,高値!AF244&gt;高値!AD244,高値!AF244&gt;高値!AG244,高値!AF244&gt;高値!AH244),27,""))</f>
      </c>
      <c r="BC244" s="684">
        <f>IF(終値!A244="","",IF(AND(高値!AG244&gt;高値!AF244,高値!AG244&gt;高値!AE244,高値!AG244&gt;高値!AH244,高値!AG244&gt;高値!AI244),28,""))</f>
      </c>
      <c r="BD244" s="684">
        <f>COUNT($B244:$AB244)</f>
      </c>
      <c r="BE244" s="684">
        <f>IF($BD244&gt;=2,MIN($B244:$AB244),"")</f>
      </c>
      <c r="BF244" s="684">
        <f>IF($BD244&gt;=2,SMALL($B244:$AB244,2),"")</f>
      </c>
      <c r="BG244" s="684">
        <f>IF($BE244="","",INDEX(安値!$E244:$CZ244,1,$BE244+1))</f>
      </c>
      <c r="BH244" s="684">
        <f>IF($BF244="","",INDEX(安値!$E244:$CZ244,1,$BF244+1))</f>
      </c>
      <c r="BI244" s="684">
        <f>IF($BF244="","",MAX(INDEX(高値!$E244:$CZ244,1,$BE244+1):INDEX(高値!$E244:$CZ244,1,$BF244+1)))</f>
      </c>
      <c r="BJ244" s="684">
        <f>IF($BF244="","",AVERAGE(INDEX(終値!$E244:$CZ244,1,$BF244+1):INDEX(終値!$E244:$CZ244,1,$BF244+20))-2*STDEVP(INDEX(終値!$E244:$CZ244,1,$BF244+1):INDEX(終値!$E244:$CZ244,1,$BF244+20)))</f>
      </c>
      <c r="BK244" s="684">
        <f>IF($BE244="","",AVERAGE(INDEX(終値!$E244:$CZ244,1,$BE244+1):INDEX(終値!$E244:$CZ244,1,$BE244+20))-2*STDEVP(INDEX(終値!$E244:$CZ244,1,$BE244+1):INDEX(終値!$E244:$CZ244,1,$BE244+20)))</f>
      </c>
      <c r="BL244" s="684">
        <f>COUNT($AC244:$BC244)</f>
      </c>
      <c r="BM244" s="684">
        <f>IF($BL244&gt;=2,MIN($AC244:$BC244),"")</f>
      </c>
      <c r="BN244" s="684">
        <f>IF($BL244&gt;=2,SMALL($AC244:$BC244,2),"")</f>
      </c>
      <c r="BO244" s="684">
        <f>IF($BM244="","",INDEX(高値!$E244:$CZ244,1,$BM244+1))</f>
      </c>
      <c r="BP244" s="684">
        <f>IF($BN244="","",INDEX(高値!$E244:$CZ244,1,$BN244+1))</f>
      </c>
      <c r="BQ244" s="684">
        <f>IF($BN244="","",MIN(INDEX(安値!$E244:$CZ244,1,$BM244+1):INDEX(安値!$E244:$CZ244,1,$BN244+1)))</f>
      </c>
      <c r="BR244" s="684">
        <f>IF($BN244="","",AVERAGE(INDEX(終値!$E244:$CZ244,1,$BN244+1):INDEX(終値!$E244:$CZ244,1,$BN244+20))+2*STDEVP(INDEX(終値!$E244:$CZ244,1,$BN244+1):INDEX(終値!$E244:$CZ244,1,$BN244+20)))</f>
      </c>
      <c r="BS244" s="684">
        <f>IF($BM244="","",AVERAGE(INDEX(終値!$E244:$CZ244,1,$BM244+1):INDEX(終値!$E244:$CZ244,1,$BM244+20))+2*STDEVP(INDEX(終値!$E244:$CZ244,1,$BM244+1):INDEX(終値!$E244:$CZ244,1,$BM244+20)))</f>
      </c>
      <c r="BT244" s="681">
        <f>IFERROR(IF(AND($BD244&gt;=2,ABS($BG244-$BH244)/$BH244&lt;=BB設定!$B$12,$BI244&gt;=MAX($BH244,$BG244)*(1+BB設定!$B$13),終値!E244&gt;$BG244),IF(OR(終値!E244&gt;=$BI244,AND($BH244&lt;$BJ244,$BG244&gt;=$BK244)),"二番底W▲","二番底W形成"),IF(AND($BL244&gt;=2,ABS($BO244-$BP244)/$BP244&lt;=BB設定!$B$12,$BQ244&lt;=MIN($BP244,$BO244)*(1-BB設定!$B$13),終値!E244&lt;$BO244),IF(OR(終値!E244&lt;=$BQ244,AND($BP244&gt;$BR244,$BO244&lt;=$BS244)),"二番天井M▼","二番天井M形成"),"－")),"－")</f>
      </c>
    </row>
    <row r="245">
      <c r="B245" s="684">
        <f>IF(終値!A245="","",IF(AND(安値!G245&lt;安値!F245,安値!G245&lt;安値!E245,安値!G245&lt;安値!H245,安値!G245&lt;安値!I245),2,""))</f>
      </c>
      <c r="C245" s="684">
        <f>IF(終値!A245="","",IF(AND(安値!H245&lt;安値!G245,安値!H245&lt;安値!F245,安値!H245&lt;安値!I245,安値!H245&lt;安値!J245),3,""))</f>
      </c>
      <c r="D245" s="684">
        <f>IF(終値!A245="","",IF(AND(安値!I245&lt;安値!H245,安値!I245&lt;安値!G245,安値!I245&lt;安値!J245,安値!I245&lt;安値!K245),4,""))</f>
      </c>
      <c r="E245" s="684">
        <f>IF(終値!A245="","",IF(AND(安値!J245&lt;安値!I245,安値!J245&lt;安値!H245,安値!J245&lt;安値!K245,安値!J245&lt;安値!L245),5,""))</f>
      </c>
      <c r="F245" s="684">
        <f>IF(終値!A245="","",IF(AND(安値!K245&lt;安値!J245,安値!K245&lt;安値!I245,安値!K245&lt;安値!L245,安値!K245&lt;安値!M245),6,""))</f>
      </c>
      <c r="G245" s="684">
        <f>IF(終値!A245="","",IF(AND(安値!L245&lt;安値!K245,安値!L245&lt;安値!J245,安値!L245&lt;安値!M245,安値!L245&lt;安値!N245),7,""))</f>
      </c>
      <c r="H245" s="684">
        <f>IF(終値!A245="","",IF(AND(安値!M245&lt;安値!L245,安値!M245&lt;安値!K245,安値!M245&lt;安値!N245,安値!M245&lt;安値!O245),8,""))</f>
      </c>
      <c r="I245" s="684">
        <f>IF(終値!A245="","",IF(AND(安値!N245&lt;安値!M245,安値!N245&lt;安値!L245,安値!N245&lt;安値!O245,安値!N245&lt;安値!P245),9,""))</f>
      </c>
      <c r="J245" s="684">
        <f>IF(終値!A245="","",IF(AND(安値!O245&lt;安値!N245,安値!O245&lt;安値!M245,安値!O245&lt;安値!P245,安値!O245&lt;安値!Q245),10,""))</f>
      </c>
      <c r="K245" s="684">
        <f>IF(終値!A245="","",IF(AND(安値!P245&lt;安値!O245,安値!P245&lt;安値!N245,安値!P245&lt;安値!Q245,安値!P245&lt;安値!R245),11,""))</f>
      </c>
      <c r="L245" s="684">
        <f>IF(終値!A245="","",IF(AND(安値!Q245&lt;安値!P245,安値!Q245&lt;安値!O245,安値!Q245&lt;安値!R245,安値!Q245&lt;安値!S245),12,""))</f>
      </c>
      <c r="M245" s="684">
        <f>IF(終値!A245="","",IF(AND(安値!R245&lt;安値!Q245,安値!R245&lt;安値!P245,安値!R245&lt;安値!S245,安値!R245&lt;安値!T245),13,""))</f>
      </c>
      <c r="N245" s="684">
        <f>IF(終値!A245="","",IF(AND(安値!S245&lt;安値!R245,安値!S245&lt;安値!Q245,安値!S245&lt;安値!T245,安値!S245&lt;安値!U245),14,""))</f>
      </c>
      <c r="O245" s="684">
        <f>IF(終値!A245="","",IF(AND(安値!T245&lt;安値!S245,安値!T245&lt;安値!R245,安値!T245&lt;安値!U245,安値!T245&lt;安値!V245),15,""))</f>
      </c>
      <c r="P245" s="684">
        <f>IF(終値!A245="","",IF(AND(安値!U245&lt;安値!T245,安値!U245&lt;安値!S245,安値!U245&lt;安値!V245,安値!U245&lt;安値!W245),16,""))</f>
      </c>
      <c r="Q245" s="684">
        <f>IF(終値!A245="","",IF(AND(安値!V245&lt;安値!U245,安値!V245&lt;安値!T245,安値!V245&lt;安値!W245,安値!V245&lt;安値!X245),17,""))</f>
      </c>
      <c r="R245" s="684">
        <f>IF(終値!A245="","",IF(AND(安値!W245&lt;安値!V245,安値!W245&lt;安値!U245,安値!W245&lt;安値!X245,安値!W245&lt;安値!Y245),18,""))</f>
      </c>
      <c r="S245" s="684">
        <f>IF(終値!A245="","",IF(AND(安値!X245&lt;安値!W245,安値!X245&lt;安値!V245,安値!X245&lt;安値!Y245,安値!X245&lt;安値!Z245),19,""))</f>
      </c>
      <c r="T245" s="684">
        <f>IF(終値!A245="","",IF(AND(安値!Y245&lt;安値!X245,安値!Y245&lt;安値!W245,安値!Y245&lt;安値!Z245,安値!Y245&lt;安値!AA245),20,""))</f>
      </c>
      <c r="U245" s="684">
        <f>IF(終値!A245="","",IF(AND(安値!Z245&lt;安値!Y245,安値!Z245&lt;安値!X245,安値!Z245&lt;安値!AA245,安値!Z245&lt;安値!AB245),21,""))</f>
      </c>
      <c r="V245" s="684">
        <f>IF(終値!A245="","",IF(AND(安値!AA245&lt;安値!Z245,安値!AA245&lt;安値!Y245,安値!AA245&lt;安値!AB245,安値!AA245&lt;安値!AC245),22,""))</f>
      </c>
      <c r="W245" s="684">
        <f>IF(終値!A245="","",IF(AND(安値!AB245&lt;安値!AA245,安値!AB245&lt;安値!Z245,安値!AB245&lt;安値!AC245,安値!AB245&lt;安値!AD245),23,""))</f>
      </c>
      <c r="X245" s="684">
        <f>IF(終値!A245="","",IF(AND(安値!AC245&lt;安値!AB245,安値!AC245&lt;安値!AA245,安値!AC245&lt;安値!AD245,安値!AC245&lt;安値!AE245),24,""))</f>
      </c>
      <c r="Y245" s="684">
        <f>IF(終値!A245="","",IF(AND(安値!AD245&lt;安値!AC245,安値!AD245&lt;安値!AB245,安値!AD245&lt;安値!AE245,安値!AD245&lt;安値!AF245),25,""))</f>
      </c>
      <c r="Z245" s="684">
        <f>IF(終値!A245="","",IF(AND(安値!AE245&lt;安値!AD245,安値!AE245&lt;安値!AC245,安値!AE245&lt;安値!AF245,安値!AE245&lt;安値!AG245),26,""))</f>
      </c>
      <c r="AA245" s="684">
        <f>IF(終値!A245="","",IF(AND(安値!AF245&lt;安値!AE245,安値!AF245&lt;安値!AD245,安値!AF245&lt;安値!AG245,安値!AF245&lt;安値!AH245),27,""))</f>
      </c>
      <c r="AB245" s="684">
        <f>IF(終値!A245="","",IF(AND(安値!AG245&lt;安値!AF245,安値!AG245&lt;安値!AE245,安値!AG245&lt;安値!AH245,安値!AG245&lt;安値!AI245),28,""))</f>
      </c>
      <c r="AC245" s="684">
        <f>IF(終値!A245="","",IF(AND(高値!G245&gt;高値!F245,高値!G245&gt;高値!E245,高値!G245&gt;高値!H245,高値!G245&gt;高値!I245),2,""))</f>
      </c>
      <c r="AD245" s="684">
        <f>IF(終値!A245="","",IF(AND(高値!H245&gt;高値!G245,高値!H245&gt;高値!F245,高値!H245&gt;高値!I245,高値!H245&gt;高値!J245),3,""))</f>
      </c>
      <c r="AE245" s="684">
        <f>IF(終値!A245="","",IF(AND(高値!I245&gt;高値!H245,高値!I245&gt;高値!G245,高値!I245&gt;高値!J245,高値!I245&gt;高値!K245),4,""))</f>
      </c>
      <c r="AF245" s="684">
        <f>IF(終値!A245="","",IF(AND(高値!J245&gt;高値!I245,高値!J245&gt;高値!H245,高値!J245&gt;高値!K245,高値!J245&gt;高値!L245),5,""))</f>
      </c>
      <c r="AG245" s="684">
        <f>IF(終値!A245="","",IF(AND(高値!K245&gt;高値!J245,高値!K245&gt;高値!I245,高値!K245&gt;高値!L245,高値!K245&gt;高値!M245),6,""))</f>
      </c>
      <c r="AH245" s="684">
        <f>IF(終値!A245="","",IF(AND(高値!L245&gt;高値!K245,高値!L245&gt;高値!J245,高値!L245&gt;高値!M245,高値!L245&gt;高値!N245),7,""))</f>
      </c>
      <c r="AI245" s="684">
        <f>IF(終値!A245="","",IF(AND(高値!M245&gt;高値!L245,高値!M245&gt;高値!K245,高値!M245&gt;高値!N245,高値!M245&gt;高値!O245),8,""))</f>
      </c>
      <c r="AJ245" s="684">
        <f>IF(終値!A245="","",IF(AND(高値!N245&gt;高値!M245,高値!N245&gt;高値!L245,高値!N245&gt;高値!O245,高値!N245&gt;高値!P245),9,""))</f>
      </c>
      <c r="AK245" s="684">
        <f>IF(終値!A245="","",IF(AND(高値!O245&gt;高値!N245,高値!O245&gt;高値!M245,高値!O245&gt;高値!P245,高値!O245&gt;高値!Q245),10,""))</f>
      </c>
      <c r="AL245" s="684">
        <f>IF(終値!A245="","",IF(AND(高値!P245&gt;高値!O245,高値!P245&gt;高値!N245,高値!P245&gt;高値!Q245,高値!P245&gt;高値!R245),11,""))</f>
      </c>
      <c r="AM245" s="684">
        <f>IF(終値!A245="","",IF(AND(高値!Q245&gt;高値!P245,高値!Q245&gt;高値!O245,高値!Q245&gt;高値!R245,高値!Q245&gt;高値!S245),12,""))</f>
      </c>
      <c r="AN245" s="684">
        <f>IF(終値!A245="","",IF(AND(高値!R245&gt;高値!Q245,高値!R245&gt;高値!P245,高値!R245&gt;高値!S245,高値!R245&gt;高値!T245),13,""))</f>
      </c>
      <c r="AO245" s="684">
        <f>IF(終値!A245="","",IF(AND(高値!S245&gt;高値!R245,高値!S245&gt;高値!Q245,高値!S245&gt;高値!T245,高値!S245&gt;高値!U245),14,""))</f>
      </c>
      <c r="AP245" s="684">
        <f>IF(終値!A245="","",IF(AND(高値!T245&gt;高値!S245,高値!T245&gt;高値!R245,高値!T245&gt;高値!U245,高値!T245&gt;高値!V245),15,""))</f>
      </c>
      <c r="AQ245" s="684">
        <f>IF(終値!A245="","",IF(AND(高値!U245&gt;高値!T245,高値!U245&gt;高値!S245,高値!U245&gt;高値!V245,高値!U245&gt;高値!W245),16,""))</f>
      </c>
      <c r="AR245" s="684">
        <f>IF(終値!A245="","",IF(AND(高値!V245&gt;高値!U245,高値!V245&gt;高値!T245,高値!V245&gt;高値!W245,高値!V245&gt;高値!X245),17,""))</f>
      </c>
      <c r="AS245" s="684">
        <f>IF(終値!A245="","",IF(AND(高値!W245&gt;高値!V245,高値!W245&gt;高値!U245,高値!W245&gt;高値!X245,高値!W245&gt;高値!Y245),18,""))</f>
      </c>
      <c r="AT245" s="684">
        <f>IF(終値!A245="","",IF(AND(高値!X245&gt;高値!W245,高値!X245&gt;高値!V245,高値!X245&gt;高値!Y245,高値!X245&gt;高値!Z245),19,""))</f>
      </c>
      <c r="AU245" s="684">
        <f>IF(終値!A245="","",IF(AND(高値!Y245&gt;高値!X245,高値!Y245&gt;高値!W245,高値!Y245&gt;高値!Z245,高値!Y245&gt;高値!AA245),20,""))</f>
      </c>
      <c r="AV245" s="684">
        <f>IF(終値!A245="","",IF(AND(高値!Z245&gt;高値!Y245,高値!Z245&gt;高値!X245,高値!Z245&gt;高値!AA245,高値!Z245&gt;高値!AB245),21,""))</f>
      </c>
      <c r="AW245" s="684">
        <f>IF(終値!A245="","",IF(AND(高値!AA245&gt;高値!Z245,高値!AA245&gt;高値!Y245,高値!AA245&gt;高値!AB245,高値!AA245&gt;高値!AC245),22,""))</f>
      </c>
      <c r="AX245" s="684">
        <f>IF(終値!A245="","",IF(AND(高値!AB245&gt;高値!AA245,高値!AB245&gt;高値!Z245,高値!AB245&gt;高値!AC245,高値!AB245&gt;高値!AD245),23,""))</f>
      </c>
      <c r="AY245" s="684">
        <f>IF(終値!A245="","",IF(AND(高値!AC245&gt;高値!AB245,高値!AC245&gt;高値!AA245,高値!AC245&gt;高値!AD245,高値!AC245&gt;高値!AE245),24,""))</f>
      </c>
      <c r="AZ245" s="684">
        <f>IF(終値!A245="","",IF(AND(高値!AD245&gt;高値!AC245,高値!AD245&gt;高値!AB245,高値!AD245&gt;高値!AE245,高値!AD245&gt;高値!AF245),25,""))</f>
      </c>
      <c r="BA245" s="684">
        <f>IF(終値!A245="","",IF(AND(高値!AE245&gt;高値!AD245,高値!AE245&gt;高値!AC245,高値!AE245&gt;高値!AF245,高値!AE245&gt;高値!AG245),26,""))</f>
      </c>
      <c r="BB245" s="684">
        <f>IF(終値!A245="","",IF(AND(高値!AF245&gt;高値!AE245,高値!AF245&gt;高値!AD245,高値!AF245&gt;高値!AG245,高値!AF245&gt;高値!AH245),27,""))</f>
      </c>
      <c r="BC245" s="684">
        <f>IF(終値!A245="","",IF(AND(高値!AG245&gt;高値!AF245,高値!AG245&gt;高値!AE245,高値!AG245&gt;高値!AH245,高値!AG245&gt;高値!AI245),28,""))</f>
      </c>
      <c r="BD245" s="684">
        <f>COUNT($B245:$AB245)</f>
      </c>
      <c r="BE245" s="684">
        <f>IF($BD245&gt;=2,MIN($B245:$AB245),"")</f>
      </c>
      <c r="BF245" s="684">
        <f>IF($BD245&gt;=2,SMALL($B245:$AB245,2),"")</f>
      </c>
      <c r="BG245" s="684">
        <f>IF($BE245="","",INDEX(安値!$E245:$CZ245,1,$BE245+1))</f>
      </c>
      <c r="BH245" s="684">
        <f>IF($BF245="","",INDEX(安値!$E245:$CZ245,1,$BF245+1))</f>
      </c>
      <c r="BI245" s="684">
        <f>IF($BF245="","",MAX(INDEX(高値!$E245:$CZ245,1,$BE245+1):INDEX(高値!$E245:$CZ245,1,$BF245+1)))</f>
      </c>
      <c r="BJ245" s="684">
        <f>IF($BF245="","",AVERAGE(INDEX(終値!$E245:$CZ245,1,$BF245+1):INDEX(終値!$E245:$CZ245,1,$BF245+20))-2*STDEVP(INDEX(終値!$E245:$CZ245,1,$BF245+1):INDEX(終値!$E245:$CZ245,1,$BF245+20)))</f>
      </c>
      <c r="BK245" s="684">
        <f>IF($BE245="","",AVERAGE(INDEX(終値!$E245:$CZ245,1,$BE245+1):INDEX(終値!$E245:$CZ245,1,$BE245+20))-2*STDEVP(INDEX(終値!$E245:$CZ245,1,$BE245+1):INDEX(終値!$E245:$CZ245,1,$BE245+20)))</f>
      </c>
      <c r="BL245" s="684">
        <f>COUNT($AC245:$BC245)</f>
      </c>
      <c r="BM245" s="684">
        <f>IF($BL245&gt;=2,MIN($AC245:$BC245),"")</f>
      </c>
      <c r="BN245" s="684">
        <f>IF($BL245&gt;=2,SMALL($AC245:$BC245,2),"")</f>
      </c>
      <c r="BO245" s="684">
        <f>IF($BM245="","",INDEX(高値!$E245:$CZ245,1,$BM245+1))</f>
      </c>
      <c r="BP245" s="684">
        <f>IF($BN245="","",INDEX(高値!$E245:$CZ245,1,$BN245+1))</f>
      </c>
      <c r="BQ245" s="684">
        <f>IF($BN245="","",MIN(INDEX(安値!$E245:$CZ245,1,$BM245+1):INDEX(安値!$E245:$CZ245,1,$BN245+1)))</f>
      </c>
      <c r="BR245" s="684">
        <f>IF($BN245="","",AVERAGE(INDEX(終値!$E245:$CZ245,1,$BN245+1):INDEX(終値!$E245:$CZ245,1,$BN245+20))+2*STDEVP(INDEX(終値!$E245:$CZ245,1,$BN245+1):INDEX(終値!$E245:$CZ245,1,$BN245+20)))</f>
      </c>
      <c r="BS245" s="684">
        <f>IF($BM245="","",AVERAGE(INDEX(終値!$E245:$CZ245,1,$BM245+1):INDEX(終値!$E245:$CZ245,1,$BM245+20))+2*STDEVP(INDEX(終値!$E245:$CZ245,1,$BM245+1):INDEX(終値!$E245:$CZ245,1,$BM245+20)))</f>
      </c>
      <c r="BT245" s="681">
        <f>IFERROR(IF(AND($BD245&gt;=2,ABS($BG245-$BH245)/$BH245&lt;=BB設定!$B$12,$BI245&gt;=MAX($BH245,$BG245)*(1+BB設定!$B$13),終値!E245&gt;$BG245),IF(OR(終値!E245&gt;=$BI245,AND($BH245&lt;$BJ245,$BG245&gt;=$BK245)),"二番底W▲","二番底W形成"),IF(AND($BL245&gt;=2,ABS($BO245-$BP245)/$BP245&lt;=BB設定!$B$12,$BQ245&lt;=MIN($BP245,$BO245)*(1-BB設定!$B$13),終値!E245&lt;$BO245),IF(OR(終値!E245&lt;=$BQ245,AND($BP245&gt;$BR245,$BO245&lt;=$BS245)),"二番天井M▼","二番天井M形成"),"－")),"－")</f>
      </c>
    </row>
    <row r="246">
      <c r="B246" s="684">
        <f>IF(終値!A246="","",IF(AND(安値!G246&lt;安値!F246,安値!G246&lt;安値!E246,安値!G246&lt;安値!H246,安値!G246&lt;安値!I246),2,""))</f>
      </c>
      <c r="C246" s="684">
        <f>IF(終値!A246="","",IF(AND(安値!H246&lt;安値!G246,安値!H246&lt;安値!F246,安値!H246&lt;安値!I246,安値!H246&lt;安値!J246),3,""))</f>
      </c>
      <c r="D246" s="684">
        <f>IF(終値!A246="","",IF(AND(安値!I246&lt;安値!H246,安値!I246&lt;安値!G246,安値!I246&lt;安値!J246,安値!I246&lt;安値!K246),4,""))</f>
      </c>
      <c r="E246" s="684">
        <f>IF(終値!A246="","",IF(AND(安値!J246&lt;安値!I246,安値!J246&lt;安値!H246,安値!J246&lt;安値!K246,安値!J246&lt;安値!L246),5,""))</f>
      </c>
      <c r="F246" s="684">
        <f>IF(終値!A246="","",IF(AND(安値!K246&lt;安値!J246,安値!K246&lt;安値!I246,安値!K246&lt;安値!L246,安値!K246&lt;安値!M246),6,""))</f>
      </c>
      <c r="G246" s="684">
        <f>IF(終値!A246="","",IF(AND(安値!L246&lt;安値!K246,安値!L246&lt;安値!J246,安値!L246&lt;安値!M246,安値!L246&lt;安値!N246),7,""))</f>
      </c>
      <c r="H246" s="684">
        <f>IF(終値!A246="","",IF(AND(安値!M246&lt;安値!L246,安値!M246&lt;安値!K246,安値!M246&lt;安値!N246,安値!M246&lt;安値!O246),8,""))</f>
      </c>
      <c r="I246" s="684">
        <f>IF(終値!A246="","",IF(AND(安値!N246&lt;安値!M246,安値!N246&lt;安値!L246,安値!N246&lt;安値!O246,安値!N246&lt;安値!P246),9,""))</f>
      </c>
      <c r="J246" s="684">
        <f>IF(終値!A246="","",IF(AND(安値!O246&lt;安値!N246,安値!O246&lt;安値!M246,安値!O246&lt;安値!P246,安値!O246&lt;安値!Q246),10,""))</f>
      </c>
      <c r="K246" s="684">
        <f>IF(終値!A246="","",IF(AND(安値!P246&lt;安値!O246,安値!P246&lt;安値!N246,安値!P246&lt;安値!Q246,安値!P246&lt;安値!R246),11,""))</f>
      </c>
      <c r="L246" s="684">
        <f>IF(終値!A246="","",IF(AND(安値!Q246&lt;安値!P246,安値!Q246&lt;安値!O246,安値!Q246&lt;安値!R246,安値!Q246&lt;安値!S246),12,""))</f>
      </c>
      <c r="M246" s="684">
        <f>IF(終値!A246="","",IF(AND(安値!R246&lt;安値!Q246,安値!R246&lt;安値!P246,安値!R246&lt;安値!S246,安値!R246&lt;安値!T246),13,""))</f>
      </c>
      <c r="N246" s="684">
        <f>IF(終値!A246="","",IF(AND(安値!S246&lt;安値!R246,安値!S246&lt;安値!Q246,安値!S246&lt;安値!T246,安値!S246&lt;安値!U246),14,""))</f>
      </c>
      <c r="O246" s="684">
        <f>IF(終値!A246="","",IF(AND(安値!T246&lt;安値!S246,安値!T246&lt;安値!R246,安値!T246&lt;安値!U246,安値!T246&lt;安値!V246),15,""))</f>
      </c>
      <c r="P246" s="684">
        <f>IF(終値!A246="","",IF(AND(安値!U246&lt;安値!T246,安値!U246&lt;安値!S246,安値!U246&lt;安値!V246,安値!U246&lt;安値!W246),16,""))</f>
      </c>
      <c r="Q246" s="684">
        <f>IF(終値!A246="","",IF(AND(安値!V246&lt;安値!U246,安値!V246&lt;安値!T246,安値!V246&lt;安値!W246,安値!V246&lt;安値!X246),17,""))</f>
      </c>
      <c r="R246" s="684">
        <f>IF(終値!A246="","",IF(AND(安値!W246&lt;安値!V246,安値!W246&lt;安値!U246,安値!W246&lt;安値!X246,安値!W246&lt;安値!Y246),18,""))</f>
      </c>
      <c r="S246" s="684">
        <f>IF(終値!A246="","",IF(AND(安値!X246&lt;安値!W246,安値!X246&lt;安値!V246,安値!X246&lt;安値!Y246,安値!X246&lt;安値!Z246),19,""))</f>
      </c>
      <c r="T246" s="684">
        <f>IF(終値!A246="","",IF(AND(安値!Y246&lt;安値!X246,安値!Y246&lt;安値!W246,安値!Y246&lt;安値!Z246,安値!Y246&lt;安値!AA246),20,""))</f>
      </c>
      <c r="U246" s="684">
        <f>IF(終値!A246="","",IF(AND(安値!Z246&lt;安値!Y246,安値!Z246&lt;安値!X246,安値!Z246&lt;安値!AA246,安値!Z246&lt;安値!AB246),21,""))</f>
      </c>
      <c r="V246" s="684">
        <f>IF(終値!A246="","",IF(AND(安値!AA246&lt;安値!Z246,安値!AA246&lt;安値!Y246,安値!AA246&lt;安値!AB246,安値!AA246&lt;安値!AC246),22,""))</f>
      </c>
      <c r="W246" s="684">
        <f>IF(終値!A246="","",IF(AND(安値!AB246&lt;安値!AA246,安値!AB246&lt;安値!Z246,安値!AB246&lt;安値!AC246,安値!AB246&lt;安値!AD246),23,""))</f>
      </c>
      <c r="X246" s="684">
        <f>IF(終値!A246="","",IF(AND(安値!AC246&lt;安値!AB246,安値!AC246&lt;安値!AA246,安値!AC246&lt;安値!AD246,安値!AC246&lt;安値!AE246),24,""))</f>
      </c>
      <c r="Y246" s="684">
        <f>IF(終値!A246="","",IF(AND(安値!AD246&lt;安値!AC246,安値!AD246&lt;安値!AB246,安値!AD246&lt;安値!AE246,安値!AD246&lt;安値!AF246),25,""))</f>
      </c>
      <c r="Z246" s="684">
        <f>IF(終値!A246="","",IF(AND(安値!AE246&lt;安値!AD246,安値!AE246&lt;安値!AC246,安値!AE246&lt;安値!AF246,安値!AE246&lt;安値!AG246),26,""))</f>
      </c>
      <c r="AA246" s="684">
        <f>IF(終値!A246="","",IF(AND(安値!AF246&lt;安値!AE246,安値!AF246&lt;安値!AD246,安値!AF246&lt;安値!AG246,安値!AF246&lt;安値!AH246),27,""))</f>
      </c>
      <c r="AB246" s="684">
        <f>IF(終値!A246="","",IF(AND(安値!AG246&lt;安値!AF246,安値!AG246&lt;安値!AE246,安値!AG246&lt;安値!AH246,安値!AG246&lt;安値!AI246),28,""))</f>
      </c>
      <c r="AC246" s="684">
        <f>IF(終値!A246="","",IF(AND(高値!G246&gt;高値!F246,高値!G246&gt;高値!E246,高値!G246&gt;高値!H246,高値!G246&gt;高値!I246),2,""))</f>
      </c>
      <c r="AD246" s="684">
        <f>IF(終値!A246="","",IF(AND(高値!H246&gt;高値!G246,高値!H246&gt;高値!F246,高値!H246&gt;高値!I246,高値!H246&gt;高値!J246),3,""))</f>
      </c>
      <c r="AE246" s="684">
        <f>IF(終値!A246="","",IF(AND(高値!I246&gt;高値!H246,高値!I246&gt;高値!G246,高値!I246&gt;高値!J246,高値!I246&gt;高値!K246),4,""))</f>
      </c>
      <c r="AF246" s="684">
        <f>IF(終値!A246="","",IF(AND(高値!J246&gt;高値!I246,高値!J246&gt;高値!H246,高値!J246&gt;高値!K246,高値!J246&gt;高値!L246),5,""))</f>
      </c>
      <c r="AG246" s="684">
        <f>IF(終値!A246="","",IF(AND(高値!K246&gt;高値!J246,高値!K246&gt;高値!I246,高値!K246&gt;高値!L246,高値!K246&gt;高値!M246),6,""))</f>
      </c>
      <c r="AH246" s="684">
        <f>IF(終値!A246="","",IF(AND(高値!L246&gt;高値!K246,高値!L246&gt;高値!J246,高値!L246&gt;高値!M246,高値!L246&gt;高値!N246),7,""))</f>
      </c>
      <c r="AI246" s="684">
        <f>IF(終値!A246="","",IF(AND(高値!M246&gt;高値!L246,高値!M246&gt;高値!K246,高値!M246&gt;高値!N246,高値!M246&gt;高値!O246),8,""))</f>
      </c>
      <c r="AJ246" s="684">
        <f>IF(終値!A246="","",IF(AND(高値!N246&gt;高値!M246,高値!N246&gt;高値!L246,高値!N246&gt;高値!O246,高値!N246&gt;高値!P246),9,""))</f>
      </c>
      <c r="AK246" s="684">
        <f>IF(終値!A246="","",IF(AND(高値!O246&gt;高値!N246,高値!O246&gt;高値!M246,高値!O246&gt;高値!P246,高値!O246&gt;高値!Q246),10,""))</f>
      </c>
      <c r="AL246" s="684">
        <f>IF(終値!A246="","",IF(AND(高値!P246&gt;高値!O246,高値!P246&gt;高値!N246,高値!P246&gt;高値!Q246,高値!P246&gt;高値!R246),11,""))</f>
      </c>
      <c r="AM246" s="684">
        <f>IF(終値!A246="","",IF(AND(高値!Q246&gt;高値!P246,高値!Q246&gt;高値!O246,高値!Q246&gt;高値!R246,高値!Q246&gt;高値!S246),12,""))</f>
      </c>
      <c r="AN246" s="684">
        <f>IF(終値!A246="","",IF(AND(高値!R246&gt;高値!Q246,高値!R246&gt;高値!P246,高値!R246&gt;高値!S246,高値!R246&gt;高値!T246),13,""))</f>
      </c>
      <c r="AO246" s="684">
        <f>IF(終値!A246="","",IF(AND(高値!S246&gt;高値!R246,高値!S246&gt;高値!Q246,高値!S246&gt;高値!T246,高値!S246&gt;高値!U246),14,""))</f>
      </c>
      <c r="AP246" s="684">
        <f>IF(終値!A246="","",IF(AND(高値!T246&gt;高値!S246,高値!T246&gt;高値!R246,高値!T246&gt;高値!U246,高値!T246&gt;高値!V246),15,""))</f>
      </c>
      <c r="AQ246" s="684">
        <f>IF(終値!A246="","",IF(AND(高値!U246&gt;高値!T246,高値!U246&gt;高値!S246,高値!U246&gt;高値!V246,高値!U246&gt;高値!W246),16,""))</f>
      </c>
      <c r="AR246" s="684">
        <f>IF(終値!A246="","",IF(AND(高値!V246&gt;高値!U246,高値!V246&gt;高値!T246,高値!V246&gt;高値!W246,高値!V246&gt;高値!X246),17,""))</f>
      </c>
      <c r="AS246" s="684">
        <f>IF(終値!A246="","",IF(AND(高値!W246&gt;高値!V246,高値!W246&gt;高値!U246,高値!W246&gt;高値!X246,高値!W246&gt;高値!Y246),18,""))</f>
      </c>
      <c r="AT246" s="684">
        <f>IF(終値!A246="","",IF(AND(高値!X246&gt;高値!W246,高値!X246&gt;高値!V246,高値!X246&gt;高値!Y246,高値!X246&gt;高値!Z246),19,""))</f>
      </c>
      <c r="AU246" s="684">
        <f>IF(終値!A246="","",IF(AND(高値!Y246&gt;高値!X246,高値!Y246&gt;高値!W246,高値!Y246&gt;高値!Z246,高値!Y246&gt;高値!AA246),20,""))</f>
      </c>
      <c r="AV246" s="684">
        <f>IF(終値!A246="","",IF(AND(高値!Z246&gt;高値!Y246,高値!Z246&gt;高値!X246,高値!Z246&gt;高値!AA246,高値!Z246&gt;高値!AB246),21,""))</f>
      </c>
      <c r="AW246" s="684">
        <f>IF(終値!A246="","",IF(AND(高値!AA246&gt;高値!Z246,高値!AA246&gt;高値!Y246,高値!AA246&gt;高値!AB246,高値!AA246&gt;高値!AC246),22,""))</f>
      </c>
      <c r="AX246" s="684">
        <f>IF(終値!A246="","",IF(AND(高値!AB246&gt;高値!AA246,高値!AB246&gt;高値!Z246,高値!AB246&gt;高値!AC246,高値!AB246&gt;高値!AD246),23,""))</f>
      </c>
      <c r="AY246" s="684">
        <f>IF(終値!A246="","",IF(AND(高値!AC246&gt;高値!AB246,高値!AC246&gt;高値!AA246,高値!AC246&gt;高値!AD246,高値!AC246&gt;高値!AE246),24,""))</f>
      </c>
      <c r="AZ246" s="684">
        <f>IF(終値!A246="","",IF(AND(高値!AD246&gt;高値!AC246,高値!AD246&gt;高値!AB246,高値!AD246&gt;高値!AE246,高値!AD246&gt;高値!AF246),25,""))</f>
      </c>
      <c r="BA246" s="684">
        <f>IF(終値!A246="","",IF(AND(高値!AE246&gt;高値!AD246,高値!AE246&gt;高値!AC246,高値!AE246&gt;高値!AF246,高値!AE246&gt;高値!AG246),26,""))</f>
      </c>
      <c r="BB246" s="684">
        <f>IF(終値!A246="","",IF(AND(高値!AF246&gt;高値!AE246,高値!AF246&gt;高値!AD246,高値!AF246&gt;高値!AG246,高値!AF246&gt;高値!AH246),27,""))</f>
      </c>
      <c r="BC246" s="684">
        <f>IF(終値!A246="","",IF(AND(高値!AG246&gt;高値!AF246,高値!AG246&gt;高値!AE246,高値!AG246&gt;高値!AH246,高値!AG246&gt;高値!AI246),28,""))</f>
      </c>
      <c r="BD246" s="684">
        <f>COUNT($B246:$AB246)</f>
      </c>
      <c r="BE246" s="684">
        <f>IF($BD246&gt;=2,MIN($B246:$AB246),"")</f>
      </c>
      <c r="BF246" s="684">
        <f>IF($BD246&gt;=2,SMALL($B246:$AB246,2),"")</f>
      </c>
      <c r="BG246" s="684">
        <f>IF($BE246="","",INDEX(安値!$E246:$CZ246,1,$BE246+1))</f>
      </c>
      <c r="BH246" s="684">
        <f>IF($BF246="","",INDEX(安値!$E246:$CZ246,1,$BF246+1))</f>
      </c>
      <c r="BI246" s="684">
        <f>IF($BF246="","",MAX(INDEX(高値!$E246:$CZ246,1,$BE246+1):INDEX(高値!$E246:$CZ246,1,$BF246+1)))</f>
      </c>
      <c r="BJ246" s="684">
        <f>IF($BF246="","",AVERAGE(INDEX(終値!$E246:$CZ246,1,$BF246+1):INDEX(終値!$E246:$CZ246,1,$BF246+20))-2*STDEVP(INDEX(終値!$E246:$CZ246,1,$BF246+1):INDEX(終値!$E246:$CZ246,1,$BF246+20)))</f>
      </c>
      <c r="BK246" s="684">
        <f>IF($BE246="","",AVERAGE(INDEX(終値!$E246:$CZ246,1,$BE246+1):INDEX(終値!$E246:$CZ246,1,$BE246+20))-2*STDEVP(INDEX(終値!$E246:$CZ246,1,$BE246+1):INDEX(終値!$E246:$CZ246,1,$BE246+20)))</f>
      </c>
      <c r="BL246" s="684">
        <f>COUNT($AC246:$BC246)</f>
      </c>
      <c r="BM246" s="684">
        <f>IF($BL246&gt;=2,MIN($AC246:$BC246),"")</f>
      </c>
      <c r="BN246" s="684">
        <f>IF($BL246&gt;=2,SMALL($AC246:$BC246,2),"")</f>
      </c>
      <c r="BO246" s="684">
        <f>IF($BM246="","",INDEX(高値!$E246:$CZ246,1,$BM246+1))</f>
      </c>
      <c r="BP246" s="684">
        <f>IF($BN246="","",INDEX(高値!$E246:$CZ246,1,$BN246+1))</f>
      </c>
      <c r="BQ246" s="684">
        <f>IF($BN246="","",MIN(INDEX(安値!$E246:$CZ246,1,$BM246+1):INDEX(安値!$E246:$CZ246,1,$BN246+1)))</f>
      </c>
      <c r="BR246" s="684">
        <f>IF($BN246="","",AVERAGE(INDEX(終値!$E246:$CZ246,1,$BN246+1):INDEX(終値!$E246:$CZ246,1,$BN246+20))+2*STDEVP(INDEX(終値!$E246:$CZ246,1,$BN246+1):INDEX(終値!$E246:$CZ246,1,$BN246+20)))</f>
      </c>
      <c r="BS246" s="684">
        <f>IF($BM246="","",AVERAGE(INDEX(終値!$E246:$CZ246,1,$BM246+1):INDEX(終値!$E246:$CZ246,1,$BM246+20))+2*STDEVP(INDEX(終値!$E246:$CZ246,1,$BM246+1):INDEX(終値!$E246:$CZ246,1,$BM246+20)))</f>
      </c>
      <c r="BT246" s="681">
        <f>IFERROR(IF(AND($BD246&gt;=2,ABS($BG246-$BH246)/$BH246&lt;=BB設定!$B$12,$BI246&gt;=MAX($BH246,$BG246)*(1+BB設定!$B$13),終値!E246&gt;$BG246),IF(OR(終値!E246&gt;=$BI246,AND($BH246&lt;$BJ246,$BG246&gt;=$BK246)),"二番底W▲","二番底W形成"),IF(AND($BL246&gt;=2,ABS($BO246-$BP246)/$BP246&lt;=BB設定!$B$12,$BQ246&lt;=MIN($BP246,$BO246)*(1-BB設定!$B$13),終値!E246&lt;$BO246),IF(OR(終値!E246&lt;=$BQ246,AND($BP246&gt;$BR246,$BO246&lt;=$BS246)),"二番天井M▼","二番天井M形成"),"－")),"－")</f>
      </c>
    </row>
    <row r="247">
      <c r="B247" s="684">
        <f>IF(終値!A247="","",IF(AND(安値!G247&lt;安値!F247,安値!G247&lt;安値!E247,安値!G247&lt;安値!H247,安値!G247&lt;安値!I247),2,""))</f>
      </c>
      <c r="C247" s="684">
        <f>IF(終値!A247="","",IF(AND(安値!H247&lt;安値!G247,安値!H247&lt;安値!F247,安値!H247&lt;安値!I247,安値!H247&lt;安値!J247),3,""))</f>
      </c>
      <c r="D247" s="684">
        <f>IF(終値!A247="","",IF(AND(安値!I247&lt;安値!H247,安値!I247&lt;安値!G247,安値!I247&lt;安値!J247,安値!I247&lt;安値!K247),4,""))</f>
      </c>
      <c r="E247" s="684">
        <f>IF(終値!A247="","",IF(AND(安値!J247&lt;安値!I247,安値!J247&lt;安値!H247,安値!J247&lt;安値!K247,安値!J247&lt;安値!L247),5,""))</f>
      </c>
      <c r="F247" s="684">
        <f>IF(終値!A247="","",IF(AND(安値!K247&lt;安値!J247,安値!K247&lt;安値!I247,安値!K247&lt;安値!L247,安値!K247&lt;安値!M247),6,""))</f>
      </c>
      <c r="G247" s="684">
        <f>IF(終値!A247="","",IF(AND(安値!L247&lt;安値!K247,安値!L247&lt;安値!J247,安値!L247&lt;安値!M247,安値!L247&lt;安値!N247),7,""))</f>
      </c>
      <c r="H247" s="684">
        <f>IF(終値!A247="","",IF(AND(安値!M247&lt;安値!L247,安値!M247&lt;安値!K247,安値!M247&lt;安値!N247,安値!M247&lt;安値!O247),8,""))</f>
      </c>
      <c r="I247" s="684">
        <f>IF(終値!A247="","",IF(AND(安値!N247&lt;安値!M247,安値!N247&lt;安値!L247,安値!N247&lt;安値!O247,安値!N247&lt;安値!P247),9,""))</f>
      </c>
      <c r="J247" s="684">
        <f>IF(終値!A247="","",IF(AND(安値!O247&lt;安値!N247,安値!O247&lt;安値!M247,安値!O247&lt;安値!P247,安値!O247&lt;安値!Q247),10,""))</f>
      </c>
      <c r="K247" s="684">
        <f>IF(終値!A247="","",IF(AND(安値!P247&lt;安値!O247,安値!P247&lt;安値!N247,安値!P247&lt;安値!Q247,安値!P247&lt;安値!R247),11,""))</f>
      </c>
      <c r="L247" s="684">
        <f>IF(終値!A247="","",IF(AND(安値!Q247&lt;安値!P247,安値!Q247&lt;安値!O247,安値!Q247&lt;安値!R247,安値!Q247&lt;安値!S247),12,""))</f>
      </c>
      <c r="M247" s="684">
        <f>IF(終値!A247="","",IF(AND(安値!R247&lt;安値!Q247,安値!R247&lt;安値!P247,安値!R247&lt;安値!S247,安値!R247&lt;安値!T247),13,""))</f>
      </c>
      <c r="N247" s="684">
        <f>IF(終値!A247="","",IF(AND(安値!S247&lt;安値!R247,安値!S247&lt;安値!Q247,安値!S247&lt;安値!T247,安値!S247&lt;安値!U247),14,""))</f>
      </c>
      <c r="O247" s="684">
        <f>IF(終値!A247="","",IF(AND(安値!T247&lt;安値!S247,安値!T247&lt;安値!R247,安値!T247&lt;安値!U247,安値!T247&lt;安値!V247),15,""))</f>
      </c>
      <c r="P247" s="684">
        <f>IF(終値!A247="","",IF(AND(安値!U247&lt;安値!T247,安値!U247&lt;安値!S247,安値!U247&lt;安値!V247,安値!U247&lt;安値!W247),16,""))</f>
      </c>
      <c r="Q247" s="684">
        <f>IF(終値!A247="","",IF(AND(安値!V247&lt;安値!U247,安値!V247&lt;安値!T247,安値!V247&lt;安値!W247,安値!V247&lt;安値!X247),17,""))</f>
      </c>
      <c r="R247" s="684">
        <f>IF(終値!A247="","",IF(AND(安値!W247&lt;安値!V247,安値!W247&lt;安値!U247,安値!W247&lt;安値!X247,安値!W247&lt;安値!Y247),18,""))</f>
      </c>
      <c r="S247" s="684">
        <f>IF(終値!A247="","",IF(AND(安値!X247&lt;安値!W247,安値!X247&lt;安値!V247,安値!X247&lt;安値!Y247,安値!X247&lt;安値!Z247),19,""))</f>
      </c>
      <c r="T247" s="684">
        <f>IF(終値!A247="","",IF(AND(安値!Y247&lt;安値!X247,安値!Y247&lt;安値!W247,安値!Y247&lt;安値!Z247,安値!Y247&lt;安値!AA247),20,""))</f>
      </c>
      <c r="U247" s="684">
        <f>IF(終値!A247="","",IF(AND(安値!Z247&lt;安値!Y247,安値!Z247&lt;安値!X247,安値!Z247&lt;安値!AA247,安値!Z247&lt;安値!AB247),21,""))</f>
      </c>
      <c r="V247" s="684">
        <f>IF(終値!A247="","",IF(AND(安値!AA247&lt;安値!Z247,安値!AA247&lt;安値!Y247,安値!AA247&lt;安値!AB247,安値!AA247&lt;安値!AC247),22,""))</f>
      </c>
      <c r="W247" s="684">
        <f>IF(終値!A247="","",IF(AND(安値!AB247&lt;安値!AA247,安値!AB247&lt;安値!Z247,安値!AB247&lt;安値!AC247,安値!AB247&lt;安値!AD247),23,""))</f>
      </c>
      <c r="X247" s="684">
        <f>IF(終値!A247="","",IF(AND(安値!AC247&lt;安値!AB247,安値!AC247&lt;安値!AA247,安値!AC247&lt;安値!AD247,安値!AC247&lt;安値!AE247),24,""))</f>
      </c>
      <c r="Y247" s="684">
        <f>IF(終値!A247="","",IF(AND(安値!AD247&lt;安値!AC247,安値!AD247&lt;安値!AB247,安値!AD247&lt;安値!AE247,安値!AD247&lt;安値!AF247),25,""))</f>
      </c>
      <c r="Z247" s="684">
        <f>IF(終値!A247="","",IF(AND(安値!AE247&lt;安値!AD247,安値!AE247&lt;安値!AC247,安値!AE247&lt;安値!AF247,安値!AE247&lt;安値!AG247),26,""))</f>
      </c>
      <c r="AA247" s="684">
        <f>IF(終値!A247="","",IF(AND(安値!AF247&lt;安値!AE247,安値!AF247&lt;安値!AD247,安値!AF247&lt;安値!AG247,安値!AF247&lt;安値!AH247),27,""))</f>
      </c>
      <c r="AB247" s="684">
        <f>IF(終値!A247="","",IF(AND(安値!AG247&lt;安値!AF247,安値!AG247&lt;安値!AE247,安値!AG247&lt;安値!AH247,安値!AG247&lt;安値!AI247),28,""))</f>
      </c>
      <c r="AC247" s="684">
        <f>IF(終値!A247="","",IF(AND(高値!G247&gt;高値!F247,高値!G247&gt;高値!E247,高値!G247&gt;高値!H247,高値!G247&gt;高値!I247),2,""))</f>
      </c>
      <c r="AD247" s="684">
        <f>IF(終値!A247="","",IF(AND(高値!H247&gt;高値!G247,高値!H247&gt;高値!F247,高値!H247&gt;高値!I247,高値!H247&gt;高値!J247),3,""))</f>
      </c>
      <c r="AE247" s="684">
        <f>IF(終値!A247="","",IF(AND(高値!I247&gt;高値!H247,高値!I247&gt;高値!G247,高値!I247&gt;高値!J247,高値!I247&gt;高値!K247),4,""))</f>
      </c>
      <c r="AF247" s="684">
        <f>IF(終値!A247="","",IF(AND(高値!J247&gt;高値!I247,高値!J247&gt;高値!H247,高値!J247&gt;高値!K247,高値!J247&gt;高値!L247),5,""))</f>
      </c>
      <c r="AG247" s="684">
        <f>IF(終値!A247="","",IF(AND(高値!K247&gt;高値!J247,高値!K247&gt;高値!I247,高値!K247&gt;高値!L247,高値!K247&gt;高値!M247),6,""))</f>
      </c>
      <c r="AH247" s="684">
        <f>IF(終値!A247="","",IF(AND(高値!L247&gt;高値!K247,高値!L247&gt;高値!J247,高値!L247&gt;高値!M247,高値!L247&gt;高値!N247),7,""))</f>
      </c>
      <c r="AI247" s="684">
        <f>IF(終値!A247="","",IF(AND(高値!M247&gt;高値!L247,高値!M247&gt;高値!K247,高値!M247&gt;高値!N247,高値!M247&gt;高値!O247),8,""))</f>
      </c>
      <c r="AJ247" s="684">
        <f>IF(終値!A247="","",IF(AND(高値!N247&gt;高値!M247,高値!N247&gt;高値!L247,高値!N247&gt;高値!O247,高値!N247&gt;高値!P247),9,""))</f>
      </c>
      <c r="AK247" s="684">
        <f>IF(終値!A247="","",IF(AND(高値!O247&gt;高値!N247,高値!O247&gt;高値!M247,高値!O247&gt;高値!P247,高値!O247&gt;高値!Q247),10,""))</f>
      </c>
      <c r="AL247" s="684">
        <f>IF(終値!A247="","",IF(AND(高値!P247&gt;高値!O247,高値!P247&gt;高値!N247,高値!P247&gt;高値!Q247,高値!P247&gt;高値!R247),11,""))</f>
      </c>
      <c r="AM247" s="684">
        <f>IF(終値!A247="","",IF(AND(高値!Q247&gt;高値!P247,高値!Q247&gt;高値!O247,高値!Q247&gt;高値!R247,高値!Q247&gt;高値!S247),12,""))</f>
      </c>
      <c r="AN247" s="684">
        <f>IF(終値!A247="","",IF(AND(高値!R247&gt;高値!Q247,高値!R247&gt;高値!P247,高値!R247&gt;高値!S247,高値!R247&gt;高値!T247),13,""))</f>
      </c>
      <c r="AO247" s="684">
        <f>IF(終値!A247="","",IF(AND(高値!S247&gt;高値!R247,高値!S247&gt;高値!Q247,高値!S247&gt;高値!T247,高値!S247&gt;高値!U247),14,""))</f>
      </c>
      <c r="AP247" s="684">
        <f>IF(終値!A247="","",IF(AND(高値!T247&gt;高値!S247,高値!T247&gt;高値!R247,高値!T247&gt;高値!U247,高値!T247&gt;高値!V247),15,""))</f>
      </c>
      <c r="AQ247" s="684">
        <f>IF(終値!A247="","",IF(AND(高値!U247&gt;高値!T247,高値!U247&gt;高値!S247,高値!U247&gt;高値!V247,高値!U247&gt;高値!W247),16,""))</f>
      </c>
      <c r="AR247" s="684">
        <f>IF(終値!A247="","",IF(AND(高値!V247&gt;高値!U247,高値!V247&gt;高値!T247,高値!V247&gt;高値!W247,高値!V247&gt;高値!X247),17,""))</f>
      </c>
      <c r="AS247" s="684">
        <f>IF(終値!A247="","",IF(AND(高値!W247&gt;高値!V247,高値!W247&gt;高値!U247,高値!W247&gt;高値!X247,高値!W247&gt;高値!Y247),18,""))</f>
      </c>
      <c r="AT247" s="684">
        <f>IF(終値!A247="","",IF(AND(高値!X247&gt;高値!W247,高値!X247&gt;高値!V247,高値!X247&gt;高値!Y247,高値!X247&gt;高値!Z247),19,""))</f>
      </c>
      <c r="AU247" s="684">
        <f>IF(終値!A247="","",IF(AND(高値!Y247&gt;高値!X247,高値!Y247&gt;高値!W247,高値!Y247&gt;高値!Z247,高値!Y247&gt;高値!AA247),20,""))</f>
      </c>
      <c r="AV247" s="684">
        <f>IF(終値!A247="","",IF(AND(高値!Z247&gt;高値!Y247,高値!Z247&gt;高値!X247,高値!Z247&gt;高値!AA247,高値!Z247&gt;高値!AB247),21,""))</f>
      </c>
      <c r="AW247" s="684">
        <f>IF(終値!A247="","",IF(AND(高値!AA247&gt;高値!Z247,高値!AA247&gt;高値!Y247,高値!AA247&gt;高値!AB247,高値!AA247&gt;高値!AC247),22,""))</f>
      </c>
      <c r="AX247" s="684">
        <f>IF(終値!A247="","",IF(AND(高値!AB247&gt;高値!AA247,高値!AB247&gt;高値!Z247,高値!AB247&gt;高値!AC247,高値!AB247&gt;高値!AD247),23,""))</f>
      </c>
      <c r="AY247" s="684">
        <f>IF(終値!A247="","",IF(AND(高値!AC247&gt;高値!AB247,高値!AC247&gt;高値!AA247,高値!AC247&gt;高値!AD247,高値!AC247&gt;高値!AE247),24,""))</f>
      </c>
      <c r="AZ247" s="684">
        <f>IF(終値!A247="","",IF(AND(高値!AD247&gt;高値!AC247,高値!AD247&gt;高値!AB247,高値!AD247&gt;高値!AE247,高値!AD247&gt;高値!AF247),25,""))</f>
      </c>
      <c r="BA247" s="684">
        <f>IF(終値!A247="","",IF(AND(高値!AE247&gt;高値!AD247,高値!AE247&gt;高値!AC247,高値!AE247&gt;高値!AF247,高値!AE247&gt;高値!AG247),26,""))</f>
      </c>
      <c r="BB247" s="684">
        <f>IF(終値!A247="","",IF(AND(高値!AF247&gt;高値!AE247,高値!AF247&gt;高値!AD247,高値!AF247&gt;高値!AG247,高値!AF247&gt;高値!AH247),27,""))</f>
      </c>
      <c r="BC247" s="684">
        <f>IF(終値!A247="","",IF(AND(高値!AG247&gt;高値!AF247,高値!AG247&gt;高値!AE247,高値!AG247&gt;高値!AH247,高値!AG247&gt;高値!AI247),28,""))</f>
      </c>
      <c r="BD247" s="684">
        <f>COUNT($B247:$AB247)</f>
      </c>
      <c r="BE247" s="684">
        <f>IF($BD247&gt;=2,MIN($B247:$AB247),"")</f>
      </c>
      <c r="BF247" s="684">
        <f>IF($BD247&gt;=2,SMALL($B247:$AB247,2),"")</f>
      </c>
      <c r="BG247" s="684">
        <f>IF($BE247="","",INDEX(安値!$E247:$CZ247,1,$BE247+1))</f>
      </c>
      <c r="BH247" s="684">
        <f>IF($BF247="","",INDEX(安値!$E247:$CZ247,1,$BF247+1))</f>
      </c>
      <c r="BI247" s="684">
        <f>IF($BF247="","",MAX(INDEX(高値!$E247:$CZ247,1,$BE247+1):INDEX(高値!$E247:$CZ247,1,$BF247+1)))</f>
      </c>
      <c r="BJ247" s="684">
        <f>IF($BF247="","",AVERAGE(INDEX(終値!$E247:$CZ247,1,$BF247+1):INDEX(終値!$E247:$CZ247,1,$BF247+20))-2*STDEVP(INDEX(終値!$E247:$CZ247,1,$BF247+1):INDEX(終値!$E247:$CZ247,1,$BF247+20)))</f>
      </c>
      <c r="BK247" s="684">
        <f>IF($BE247="","",AVERAGE(INDEX(終値!$E247:$CZ247,1,$BE247+1):INDEX(終値!$E247:$CZ247,1,$BE247+20))-2*STDEVP(INDEX(終値!$E247:$CZ247,1,$BE247+1):INDEX(終値!$E247:$CZ247,1,$BE247+20)))</f>
      </c>
      <c r="BL247" s="684">
        <f>COUNT($AC247:$BC247)</f>
      </c>
      <c r="BM247" s="684">
        <f>IF($BL247&gt;=2,MIN($AC247:$BC247),"")</f>
      </c>
      <c r="BN247" s="684">
        <f>IF($BL247&gt;=2,SMALL($AC247:$BC247,2),"")</f>
      </c>
      <c r="BO247" s="684">
        <f>IF($BM247="","",INDEX(高値!$E247:$CZ247,1,$BM247+1))</f>
      </c>
      <c r="BP247" s="684">
        <f>IF($BN247="","",INDEX(高値!$E247:$CZ247,1,$BN247+1))</f>
      </c>
      <c r="BQ247" s="684">
        <f>IF($BN247="","",MIN(INDEX(安値!$E247:$CZ247,1,$BM247+1):INDEX(安値!$E247:$CZ247,1,$BN247+1)))</f>
      </c>
      <c r="BR247" s="684">
        <f>IF($BN247="","",AVERAGE(INDEX(終値!$E247:$CZ247,1,$BN247+1):INDEX(終値!$E247:$CZ247,1,$BN247+20))+2*STDEVP(INDEX(終値!$E247:$CZ247,1,$BN247+1):INDEX(終値!$E247:$CZ247,1,$BN247+20)))</f>
      </c>
      <c r="BS247" s="684">
        <f>IF($BM247="","",AVERAGE(INDEX(終値!$E247:$CZ247,1,$BM247+1):INDEX(終値!$E247:$CZ247,1,$BM247+20))+2*STDEVP(INDEX(終値!$E247:$CZ247,1,$BM247+1):INDEX(終値!$E247:$CZ247,1,$BM247+20)))</f>
      </c>
      <c r="BT247" s="681">
        <f>IFERROR(IF(AND($BD247&gt;=2,ABS($BG247-$BH247)/$BH247&lt;=BB設定!$B$12,$BI247&gt;=MAX($BH247,$BG247)*(1+BB設定!$B$13),終値!E247&gt;$BG247),IF(OR(終値!E247&gt;=$BI247,AND($BH247&lt;$BJ247,$BG247&gt;=$BK247)),"二番底W▲","二番底W形成"),IF(AND($BL247&gt;=2,ABS($BO247-$BP247)/$BP247&lt;=BB設定!$B$12,$BQ247&lt;=MIN($BP247,$BO247)*(1-BB設定!$B$13),終値!E247&lt;$BO247),IF(OR(終値!E247&lt;=$BQ247,AND($BP247&gt;$BR247,$BO247&lt;=$BS247)),"二番天井M▼","二番天井M形成"),"－")),"－")</f>
      </c>
    </row>
    <row r="248">
      <c r="B248" s="684">
        <f>IF(終値!A248="","",IF(AND(安値!G248&lt;安値!F248,安値!G248&lt;安値!E248,安値!G248&lt;安値!H248,安値!G248&lt;安値!I248),2,""))</f>
      </c>
      <c r="C248" s="684">
        <f>IF(終値!A248="","",IF(AND(安値!H248&lt;安値!G248,安値!H248&lt;安値!F248,安値!H248&lt;安値!I248,安値!H248&lt;安値!J248),3,""))</f>
      </c>
      <c r="D248" s="684">
        <f>IF(終値!A248="","",IF(AND(安値!I248&lt;安値!H248,安値!I248&lt;安値!G248,安値!I248&lt;安値!J248,安値!I248&lt;安値!K248),4,""))</f>
      </c>
      <c r="E248" s="684">
        <f>IF(終値!A248="","",IF(AND(安値!J248&lt;安値!I248,安値!J248&lt;安値!H248,安値!J248&lt;安値!K248,安値!J248&lt;安値!L248),5,""))</f>
      </c>
      <c r="F248" s="684">
        <f>IF(終値!A248="","",IF(AND(安値!K248&lt;安値!J248,安値!K248&lt;安値!I248,安値!K248&lt;安値!L248,安値!K248&lt;安値!M248),6,""))</f>
      </c>
      <c r="G248" s="684">
        <f>IF(終値!A248="","",IF(AND(安値!L248&lt;安値!K248,安値!L248&lt;安値!J248,安値!L248&lt;安値!M248,安値!L248&lt;安値!N248),7,""))</f>
      </c>
      <c r="H248" s="684">
        <f>IF(終値!A248="","",IF(AND(安値!M248&lt;安値!L248,安値!M248&lt;安値!K248,安値!M248&lt;安値!N248,安値!M248&lt;安値!O248),8,""))</f>
      </c>
      <c r="I248" s="684">
        <f>IF(終値!A248="","",IF(AND(安値!N248&lt;安値!M248,安値!N248&lt;安値!L248,安値!N248&lt;安値!O248,安値!N248&lt;安値!P248),9,""))</f>
      </c>
      <c r="J248" s="684">
        <f>IF(終値!A248="","",IF(AND(安値!O248&lt;安値!N248,安値!O248&lt;安値!M248,安値!O248&lt;安値!P248,安値!O248&lt;安値!Q248),10,""))</f>
      </c>
      <c r="K248" s="684">
        <f>IF(終値!A248="","",IF(AND(安値!P248&lt;安値!O248,安値!P248&lt;安値!N248,安値!P248&lt;安値!Q248,安値!P248&lt;安値!R248),11,""))</f>
      </c>
      <c r="L248" s="684">
        <f>IF(終値!A248="","",IF(AND(安値!Q248&lt;安値!P248,安値!Q248&lt;安値!O248,安値!Q248&lt;安値!R248,安値!Q248&lt;安値!S248),12,""))</f>
      </c>
      <c r="M248" s="684">
        <f>IF(終値!A248="","",IF(AND(安値!R248&lt;安値!Q248,安値!R248&lt;安値!P248,安値!R248&lt;安値!S248,安値!R248&lt;安値!T248),13,""))</f>
      </c>
      <c r="N248" s="684">
        <f>IF(終値!A248="","",IF(AND(安値!S248&lt;安値!R248,安値!S248&lt;安値!Q248,安値!S248&lt;安値!T248,安値!S248&lt;安値!U248),14,""))</f>
      </c>
      <c r="O248" s="684">
        <f>IF(終値!A248="","",IF(AND(安値!T248&lt;安値!S248,安値!T248&lt;安値!R248,安値!T248&lt;安値!U248,安値!T248&lt;安値!V248),15,""))</f>
      </c>
      <c r="P248" s="684">
        <f>IF(終値!A248="","",IF(AND(安値!U248&lt;安値!T248,安値!U248&lt;安値!S248,安値!U248&lt;安値!V248,安値!U248&lt;安値!W248),16,""))</f>
      </c>
      <c r="Q248" s="684">
        <f>IF(終値!A248="","",IF(AND(安値!V248&lt;安値!U248,安値!V248&lt;安値!T248,安値!V248&lt;安値!W248,安値!V248&lt;安値!X248),17,""))</f>
      </c>
      <c r="R248" s="684">
        <f>IF(終値!A248="","",IF(AND(安値!W248&lt;安値!V248,安値!W248&lt;安値!U248,安値!W248&lt;安値!X248,安値!W248&lt;安値!Y248),18,""))</f>
      </c>
      <c r="S248" s="684">
        <f>IF(終値!A248="","",IF(AND(安値!X248&lt;安値!W248,安値!X248&lt;安値!V248,安値!X248&lt;安値!Y248,安値!X248&lt;安値!Z248),19,""))</f>
      </c>
      <c r="T248" s="684">
        <f>IF(終値!A248="","",IF(AND(安値!Y248&lt;安値!X248,安値!Y248&lt;安値!W248,安値!Y248&lt;安値!Z248,安値!Y248&lt;安値!AA248),20,""))</f>
      </c>
      <c r="U248" s="684">
        <f>IF(終値!A248="","",IF(AND(安値!Z248&lt;安値!Y248,安値!Z248&lt;安値!X248,安値!Z248&lt;安値!AA248,安値!Z248&lt;安値!AB248),21,""))</f>
      </c>
      <c r="V248" s="684">
        <f>IF(終値!A248="","",IF(AND(安値!AA248&lt;安値!Z248,安値!AA248&lt;安値!Y248,安値!AA248&lt;安値!AB248,安値!AA248&lt;安値!AC248),22,""))</f>
      </c>
      <c r="W248" s="684">
        <f>IF(終値!A248="","",IF(AND(安値!AB248&lt;安値!AA248,安値!AB248&lt;安値!Z248,安値!AB248&lt;安値!AC248,安値!AB248&lt;安値!AD248),23,""))</f>
      </c>
      <c r="X248" s="684">
        <f>IF(終値!A248="","",IF(AND(安値!AC248&lt;安値!AB248,安値!AC248&lt;安値!AA248,安値!AC248&lt;安値!AD248,安値!AC248&lt;安値!AE248),24,""))</f>
      </c>
      <c r="Y248" s="684">
        <f>IF(終値!A248="","",IF(AND(安値!AD248&lt;安値!AC248,安値!AD248&lt;安値!AB248,安値!AD248&lt;安値!AE248,安値!AD248&lt;安値!AF248),25,""))</f>
      </c>
      <c r="Z248" s="684">
        <f>IF(終値!A248="","",IF(AND(安値!AE248&lt;安値!AD248,安値!AE248&lt;安値!AC248,安値!AE248&lt;安値!AF248,安値!AE248&lt;安値!AG248),26,""))</f>
      </c>
      <c r="AA248" s="684">
        <f>IF(終値!A248="","",IF(AND(安値!AF248&lt;安値!AE248,安値!AF248&lt;安値!AD248,安値!AF248&lt;安値!AG248,安値!AF248&lt;安値!AH248),27,""))</f>
      </c>
      <c r="AB248" s="684">
        <f>IF(終値!A248="","",IF(AND(安値!AG248&lt;安値!AF248,安値!AG248&lt;安値!AE248,安値!AG248&lt;安値!AH248,安値!AG248&lt;安値!AI248),28,""))</f>
      </c>
      <c r="AC248" s="684">
        <f>IF(終値!A248="","",IF(AND(高値!G248&gt;高値!F248,高値!G248&gt;高値!E248,高値!G248&gt;高値!H248,高値!G248&gt;高値!I248),2,""))</f>
      </c>
      <c r="AD248" s="684">
        <f>IF(終値!A248="","",IF(AND(高値!H248&gt;高値!G248,高値!H248&gt;高値!F248,高値!H248&gt;高値!I248,高値!H248&gt;高値!J248),3,""))</f>
      </c>
      <c r="AE248" s="684">
        <f>IF(終値!A248="","",IF(AND(高値!I248&gt;高値!H248,高値!I248&gt;高値!G248,高値!I248&gt;高値!J248,高値!I248&gt;高値!K248),4,""))</f>
      </c>
      <c r="AF248" s="684">
        <f>IF(終値!A248="","",IF(AND(高値!J248&gt;高値!I248,高値!J248&gt;高値!H248,高値!J248&gt;高値!K248,高値!J248&gt;高値!L248),5,""))</f>
      </c>
      <c r="AG248" s="684">
        <f>IF(終値!A248="","",IF(AND(高値!K248&gt;高値!J248,高値!K248&gt;高値!I248,高値!K248&gt;高値!L248,高値!K248&gt;高値!M248),6,""))</f>
      </c>
      <c r="AH248" s="684">
        <f>IF(終値!A248="","",IF(AND(高値!L248&gt;高値!K248,高値!L248&gt;高値!J248,高値!L248&gt;高値!M248,高値!L248&gt;高値!N248),7,""))</f>
      </c>
      <c r="AI248" s="684">
        <f>IF(終値!A248="","",IF(AND(高値!M248&gt;高値!L248,高値!M248&gt;高値!K248,高値!M248&gt;高値!N248,高値!M248&gt;高値!O248),8,""))</f>
      </c>
      <c r="AJ248" s="684">
        <f>IF(終値!A248="","",IF(AND(高値!N248&gt;高値!M248,高値!N248&gt;高値!L248,高値!N248&gt;高値!O248,高値!N248&gt;高値!P248),9,""))</f>
      </c>
      <c r="AK248" s="684">
        <f>IF(終値!A248="","",IF(AND(高値!O248&gt;高値!N248,高値!O248&gt;高値!M248,高値!O248&gt;高値!P248,高値!O248&gt;高値!Q248),10,""))</f>
      </c>
      <c r="AL248" s="684">
        <f>IF(終値!A248="","",IF(AND(高値!P248&gt;高値!O248,高値!P248&gt;高値!N248,高値!P248&gt;高値!Q248,高値!P248&gt;高値!R248),11,""))</f>
      </c>
      <c r="AM248" s="684">
        <f>IF(終値!A248="","",IF(AND(高値!Q248&gt;高値!P248,高値!Q248&gt;高値!O248,高値!Q248&gt;高値!R248,高値!Q248&gt;高値!S248),12,""))</f>
      </c>
      <c r="AN248" s="684">
        <f>IF(終値!A248="","",IF(AND(高値!R248&gt;高値!Q248,高値!R248&gt;高値!P248,高値!R248&gt;高値!S248,高値!R248&gt;高値!T248),13,""))</f>
      </c>
      <c r="AO248" s="684">
        <f>IF(終値!A248="","",IF(AND(高値!S248&gt;高値!R248,高値!S248&gt;高値!Q248,高値!S248&gt;高値!T248,高値!S248&gt;高値!U248),14,""))</f>
      </c>
      <c r="AP248" s="684">
        <f>IF(終値!A248="","",IF(AND(高値!T248&gt;高値!S248,高値!T248&gt;高値!R248,高値!T248&gt;高値!U248,高値!T248&gt;高値!V248),15,""))</f>
      </c>
      <c r="AQ248" s="684">
        <f>IF(終値!A248="","",IF(AND(高値!U248&gt;高値!T248,高値!U248&gt;高値!S248,高値!U248&gt;高値!V248,高値!U248&gt;高値!W248),16,""))</f>
      </c>
      <c r="AR248" s="684">
        <f>IF(終値!A248="","",IF(AND(高値!V248&gt;高値!U248,高値!V248&gt;高値!T248,高値!V248&gt;高値!W248,高値!V248&gt;高値!X248),17,""))</f>
      </c>
      <c r="AS248" s="684">
        <f>IF(終値!A248="","",IF(AND(高値!W248&gt;高値!V248,高値!W248&gt;高値!U248,高値!W248&gt;高値!X248,高値!W248&gt;高値!Y248),18,""))</f>
      </c>
      <c r="AT248" s="684">
        <f>IF(終値!A248="","",IF(AND(高値!X248&gt;高値!W248,高値!X248&gt;高値!V248,高値!X248&gt;高値!Y248,高値!X248&gt;高値!Z248),19,""))</f>
      </c>
      <c r="AU248" s="684">
        <f>IF(終値!A248="","",IF(AND(高値!Y248&gt;高値!X248,高値!Y248&gt;高値!W248,高値!Y248&gt;高値!Z248,高値!Y248&gt;高値!AA248),20,""))</f>
      </c>
      <c r="AV248" s="684">
        <f>IF(終値!A248="","",IF(AND(高値!Z248&gt;高値!Y248,高値!Z248&gt;高値!X248,高値!Z248&gt;高値!AA248,高値!Z248&gt;高値!AB248),21,""))</f>
      </c>
      <c r="AW248" s="684">
        <f>IF(終値!A248="","",IF(AND(高値!AA248&gt;高値!Z248,高値!AA248&gt;高値!Y248,高値!AA248&gt;高値!AB248,高値!AA248&gt;高値!AC248),22,""))</f>
      </c>
      <c r="AX248" s="684">
        <f>IF(終値!A248="","",IF(AND(高値!AB248&gt;高値!AA248,高値!AB248&gt;高値!Z248,高値!AB248&gt;高値!AC248,高値!AB248&gt;高値!AD248),23,""))</f>
      </c>
      <c r="AY248" s="684">
        <f>IF(終値!A248="","",IF(AND(高値!AC248&gt;高値!AB248,高値!AC248&gt;高値!AA248,高値!AC248&gt;高値!AD248,高値!AC248&gt;高値!AE248),24,""))</f>
      </c>
      <c r="AZ248" s="684">
        <f>IF(終値!A248="","",IF(AND(高値!AD248&gt;高値!AC248,高値!AD248&gt;高値!AB248,高値!AD248&gt;高値!AE248,高値!AD248&gt;高値!AF248),25,""))</f>
      </c>
      <c r="BA248" s="684">
        <f>IF(終値!A248="","",IF(AND(高値!AE248&gt;高値!AD248,高値!AE248&gt;高値!AC248,高値!AE248&gt;高値!AF248,高値!AE248&gt;高値!AG248),26,""))</f>
      </c>
      <c r="BB248" s="684">
        <f>IF(終値!A248="","",IF(AND(高値!AF248&gt;高値!AE248,高値!AF248&gt;高値!AD248,高値!AF248&gt;高値!AG248,高値!AF248&gt;高値!AH248),27,""))</f>
      </c>
      <c r="BC248" s="684">
        <f>IF(終値!A248="","",IF(AND(高値!AG248&gt;高値!AF248,高値!AG248&gt;高値!AE248,高値!AG248&gt;高値!AH248,高値!AG248&gt;高値!AI248),28,""))</f>
      </c>
      <c r="BD248" s="684">
        <f>COUNT($B248:$AB248)</f>
      </c>
      <c r="BE248" s="684">
        <f>IF($BD248&gt;=2,MIN($B248:$AB248),"")</f>
      </c>
      <c r="BF248" s="684">
        <f>IF($BD248&gt;=2,SMALL($B248:$AB248,2),"")</f>
      </c>
      <c r="BG248" s="684">
        <f>IF($BE248="","",INDEX(安値!$E248:$CZ248,1,$BE248+1))</f>
      </c>
      <c r="BH248" s="684">
        <f>IF($BF248="","",INDEX(安値!$E248:$CZ248,1,$BF248+1))</f>
      </c>
      <c r="BI248" s="684">
        <f>IF($BF248="","",MAX(INDEX(高値!$E248:$CZ248,1,$BE248+1):INDEX(高値!$E248:$CZ248,1,$BF248+1)))</f>
      </c>
      <c r="BJ248" s="684">
        <f>IF($BF248="","",AVERAGE(INDEX(終値!$E248:$CZ248,1,$BF248+1):INDEX(終値!$E248:$CZ248,1,$BF248+20))-2*STDEVP(INDEX(終値!$E248:$CZ248,1,$BF248+1):INDEX(終値!$E248:$CZ248,1,$BF248+20)))</f>
      </c>
      <c r="BK248" s="684">
        <f>IF($BE248="","",AVERAGE(INDEX(終値!$E248:$CZ248,1,$BE248+1):INDEX(終値!$E248:$CZ248,1,$BE248+20))-2*STDEVP(INDEX(終値!$E248:$CZ248,1,$BE248+1):INDEX(終値!$E248:$CZ248,1,$BE248+20)))</f>
      </c>
      <c r="BL248" s="684">
        <f>COUNT($AC248:$BC248)</f>
      </c>
      <c r="BM248" s="684">
        <f>IF($BL248&gt;=2,MIN($AC248:$BC248),"")</f>
      </c>
      <c r="BN248" s="684">
        <f>IF($BL248&gt;=2,SMALL($AC248:$BC248,2),"")</f>
      </c>
      <c r="BO248" s="684">
        <f>IF($BM248="","",INDEX(高値!$E248:$CZ248,1,$BM248+1))</f>
      </c>
      <c r="BP248" s="684">
        <f>IF($BN248="","",INDEX(高値!$E248:$CZ248,1,$BN248+1))</f>
      </c>
      <c r="BQ248" s="684">
        <f>IF($BN248="","",MIN(INDEX(安値!$E248:$CZ248,1,$BM248+1):INDEX(安値!$E248:$CZ248,1,$BN248+1)))</f>
      </c>
      <c r="BR248" s="684">
        <f>IF($BN248="","",AVERAGE(INDEX(終値!$E248:$CZ248,1,$BN248+1):INDEX(終値!$E248:$CZ248,1,$BN248+20))+2*STDEVP(INDEX(終値!$E248:$CZ248,1,$BN248+1):INDEX(終値!$E248:$CZ248,1,$BN248+20)))</f>
      </c>
      <c r="BS248" s="684">
        <f>IF($BM248="","",AVERAGE(INDEX(終値!$E248:$CZ248,1,$BM248+1):INDEX(終値!$E248:$CZ248,1,$BM248+20))+2*STDEVP(INDEX(終値!$E248:$CZ248,1,$BM248+1):INDEX(終値!$E248:$CZ248,1,$BM248+20)))</f>
      </c>
      <c r="BT248" s="681">
        <f>IFERROR(IF(AND($BD248&gt;=2,ABS($BG248-$BH248)/$BH248&lt;=BB設定!$B$12,$BI248&gt;=MAX($BH248,$BG248)*(1+BB設定!$B$13),終値!E248&gt;$BG248),IF(OR(終値!E248&gt;=$BI248,AND($BH248&lt;$BJ248,$BG248&gt;=$BK248)),"二番底W▲","二番底W形成"),IF(AND($BL248&gt;=2,ABS($BO248-$BP248)/$BP248&lt;=BB設定!$B$12,$BQ248&lt;=MIN($BP248,$BO248)*(1-BB設定!$B$13),終値!E248&lt;$BO248),IF(OR(終値!E248&lt;=$BQ248,AND($BP248&gt;$BR248,$BO248&lt;=$BS248)),"二番天井M▼","二番天井M形成"),"－")),"－")</f>
      </c>
    </row>
    <row r="249">
      <c r="B249" s="684">
        <f>IF(終値!A249="","",IF(AND(安値!G249&lt;安値!F249,安値!G249&lt;安値!E249,安値!G249&lt;安値!H249,安値!G249&lt;安値!I249),2,""))</f>
      </c>
      <c r="C249" s="684">
        <f>IF(終値!A249="","",IF(AND(安値!H249&lt;安値!G249,安値!H249&lt;安値!F249,安値!H249&lt;安値!I249,安値!H249&lt;安値!J249),3,""))</f>
      </c>
      <c r="D249" s="684">
        <f>IF(終値!A249="","",IF(AND(安値!I249&lt;安値!H249,安値!I249&lt;安値!G249,安値!I249&lt;安値!J249,安値!I249&lt;安値!K249),4,""))</f>
      </c>
      <c r="E249" s="684">
        <f>IF(終値!A249="","",IF(AND(安値!J249&lt;安値!I249,安値!J249&lt;安値!H249,安値!J249&lt;安値!K249,安値!J249&lt;安値!L249),5,""))</f>
      </c>
      <c r="F249" s="684">
        <f>IF(終値!A249="","",IF(AND(安値!K249&lt;安値!J249,安値!K249&lt;安値!I249,安値!K249&lt;安値!L249,安値!K249&lt;安値!M249),6,""))</f>
      </c>
      <c r="G249" s="684">
        <f>IF(終値!A249="","",IF(AND(安値!L249&lt;安値!K249,安値!L249&lt;安値!J249,安値!L249&lt;安値!M249,安値!L249&lt;安値!N249),7,""))</f>
      </c>
      <c r="H249" s="684">
        <f>IF(終値!A249="","",IF(AND(安値!M249&lt;安値!L249,安値!M249&lt;安値!K249,安値!M249&lt;安値!N249,安値!M249&lt;安値!O249),8,""))</f>
      </c>
      <c r="I249" s="684">
        <f>IF(終値!A249="","",IF(AND(安値!N249&lt;安値!M249,安値!N249&lt;安値!L249,安値!N249&lt;安値!O249,安値!N249&lt;安値!P249),9,""))</f>
      </c>
      <c r="J249" s="684">
        <f>IF(終値!A249="","",IF(AND(安値!O249&lt;安値!N249,安値!O249&lt;安値!M249,安値!O249&lt;安値!P249,安値!O249&lt;安値!Q249),10,""))</f>
      </c>
      <c r="K249" s="684">
        <f>IF(終値!A249="","",IF(AND(安値!P249&lt;安値!O249,安値!P249&lt;安値!N249,安値!P249&lt;安値!Q249,安値!P249&lt;安値!R249),11,""))</f>
      </c>
      <c r="L249" s="684">
        <f>IF(終値!A249="","",IF(AND(安値!Q249&lt;安値!P249,安値!Q249&lt;安値!O249,安値!Q249&lt;安値!R249,安値!Q249&lt;安値!S249),12,""))</f>
      </c>
      <c r="M249" s="684">
        <f>IF(終値!A249="","",IF(AND(安値!R249&lt;安値!Q249,安値!R249&lt;安値!P249,安値!R249&lt;安値!S249,安値!R249&lt;安値!T249),13,""))</f>
      </c>
      <c r="N249" s="684">
        <f>IF(終値!A249="","",IF(AND(安値!S249&lt;安値!R249,安値!S249&lt;安値!Q249,安値!S249&lt;安値!T249,安値!S249&lt;安値!U249),14,""))</f>
      </c>
      <c r="O249" s="684">
        <f>IF(終値!A249="","",IF(AND(安値!T249&lt;安値!S249,安値!T249&lt;安値!R249,安値!T249&lt;安値!U249,安値!T249&lt;安値!V249),15,""))</f>
      </c>
      <c r="P249" s="684">
        <f>IF(終値!A249="","",IF(AND(安値!U249&lt;安値!T249,安値!U249&lt;安値!S249,安値!U249&lt;安値!V249,安値!U249&lt;安値!W249),16,""))</f>
      </c>
      <c r="Q249" s="684">
        <f>IF(終値!A249="","",IF(AND(安値!V249&lt;安値!U249,安値!V249&lt;安値!T249,安値!V249&lt;安値!W249,安値!V249&lt;安値!X249),17,""))</f>
      </c>
      <c r="R249" s="684">
        <f>IF(終値!A249="","",IF(AND(安値!W249&lt;安値!V249,安値!W249&lt;安値!U249,安値!W249&lt;安値!X249,安値!W249&lt;安値!Y249),18,""))</f>
      </c>
      <c r="S249" s="684">
        <f>IF(終値!A249="","",IF(AND(安値!X249&lt;安値!W249,安値!X249&lt;安値!V249,安値!X249&lt;安値!Y249,安値!X249&lt;安値!Z249),19,""))</f>
      </c>
      <c r="T249" s="684">
        <f>IF(終値!A249="","",IF(AND(安値!Y249&lt;安値!X249,安値!Y249&lt;安値!W249,安値!Y249&lt;安値!Z249,安値!Y249&lt;安値!AA249),20,""))</f>
      </c>
      <c r="U249" s="684">
        <f>IF(終値!A249="","",IF(AND(安値!Z249&lt;安値!Y249,安値!Z249&lt;安値!X249,安値!Z249&lt;安値!AA249,安値!Z249&lt;安値!AB249),21,""))</f>
      </c>
      <c r="V249" s="684">
        <f>IF(終値!A249="","",IF(AND(安値!AA249&lt;安値!Z249,安値!AA249&lt;安値!Y249,安値!AA249&lt;安値!AB249,安値!AA249&lt;安値!AC249),22,""))</f>
      </c>
      <c r="W249" s="684">
        <f>IF(終値!A249="","",IF(AND(安値!AB249&lt;安値!AA249,安値!AB249&lt;安値!Z249,安値!AB249&lt;安値!AC249,安値!AB249&lt;安値!AD249),23,""))</f>
      </c>
      <c r="X249" s="684">
        <f>IF(終値!A249="","",IF(AND(安値!AC249&lt;安値!AB249,安値!AC249&lt;安値!AA249,安値!AC249&lt;安値!AD249,安値!AC249&lt;安値!AE249),24,""))</f>
      </c>
      <c r="Y249" s="684">
        <f>IF(終値!A249="","",IF(AND(安値!AD249&lt;安値!AC249,安値!AD249&lt;安値!AB249,安値!AD249&lt;安値!AE249,安値!AD249&lt;安値!AF249),25,""))</f>
      </c>
      <c r="Z249" s="684">
        <f>IF(終値!A249="","",IF(AND(安値!AE249&lt;安値!AD249,安値!AE249&lt;安値!AC249,安値!AE249&lt;安値!AF249,安値!AE249&lt;安値!AG249),26,""))</f>
      </c>
      <c r="AA249" s="684">
        <f>IF(終値!A249="","",IF(AND(安値!AF249&lt;安値!AE249,安値!AF249&lt;安値!AD249,安値!AF249&lt;安値!AG249,安値!AF249&lt;安値!AH249),27,""))</f>
      </c>
      <c r="AB249" s="684">
        <f>IF(終値!A249="","",IF(AND(安値!AG249&lt;安値!AF249,安値!AG249&lt;安値!AE249,安値!AG249&lt;安値!AH249,安値!AG249&lt;安値!AI249),28,""))</f>
      </c>
      <c r="AC249" s="684">
        <f>IF(終値!A249="","",IF(AND(高値!G249&gt;高値!F249,高値!G249&gt;高値!E249,高値!G249&gt;高値!H249,高値!G249&gt;高値!I249),2,""))</f>
      </c>
      <c r="AD249" s="684">
        <f>IF(終値!A249="","",IF(AND(高値!H249&gt;高値!G249,高値!H249&gt;高値!F249,高値!H249&gt;高値!I249,高値!H249&gt;高値!J249),3,""))</f>
      </c>
      <c r="AE249" s="684">
        <f>IF(終値!A249="","",IF(AND(高値!I249&gt;高値!H249,高値!I249&gt;高値!G249,高値!I249&gt;高値!J249,高値!I249&gt;高値!K249),4,""))</f>
      </c>
      <c r="AF249" s="684">
        <f>IF(終値!A249="","",IF(AND(高値!J249&gt;高値!I249,高値!J249&gt;高値!H249,高値!J249&gt;高値!K249,高値!J249&gt;高値!L249),5,""))</f>
      </c>
      <c r="AG249" s="684">
        <f>IF(終値!A249="","",IF(AND(高値!K249&gt;高値!J249,高値!K249&gt;高値!I249,高値!K249&gt;高値!L249,高値!K249&gt;高値!M249),6,""))</f>
      </c>
      <c r="AH249" s="684">
        <f>IF(終値!A249="","",IF(AND(高値!L249&gt;高値!K249,高値!L249&gt;高値!J249,高値!L249&gt;高値!M249,高値!L249&gt;高値!N249),7,""))</f>
      </c>
      <c r="AI249" s="684">
        <f>IF(終値!A249="","",IF(AND(高値!M249&gt;高値!L249,高値!M249&gt;高値!K249,高値!M249&gt;高値!N249,高値!M249&gt;高値!O249),8,""))</f>
      </c>
      <c r="AJ249" s="684">
        <f>IF(終値!A249="","",IF(AND(高値!N249&gt;高値!M249,高値!N249&gt;高値!L249,高値!N249&gt;高値!O249,高値!N249&gt;高値!P249),9,""))</f>
      </c>
      <c r="AK249" s="684">
        <f>IF(終値!A249="","",IF(AND(高値!O249&gt;高値!N249,高値!O249&gt;高値!M249,高値!O249&gt;高値!P249,高値!O249&gt;高値!Q249),10,""))</f>
      </c>
      <c r="AL249" s="684">
        <f>IF(終値!A249="","",IF(AND(高値!P249&gt;高値!O249,高値!P249&gt;高値!N249,高値!P249&gt;高値!Q249,高値!P249&gt;高値!R249),11,""))</f>
      </c>
      <c r="AM249" s="684">
        <f>IF(終値!A249="","",IF(AND(高値!Q249&gt;高値!P249,高値!Q249&gt;高値!O249,高値!Q249&gt;高値!R249,高値!Q249&gt;高値!S249),12,""))</f>
      </c>
      <c r="AN249" s="684">
        <f>IF(終値!A249="","",IF(AND(高値!R249&gt;高値!Q249,高値!R249&gt;高値!P249,高値!R249&gt;高値!S249,高値!R249&gt;高値!T249),13,""))</f>
      </c>
      <c r="AO249" s="684">
        <f>IF(終値!A249="","",IF(AND(高値!S249&gt;高値!R249,高値!S249&gt;高値!Q249,高値!S249&gt;高値!T249,高値!S249&gt;高値!U249),14,""))</f>
      </c>
      <c r="AP249" s="684">
        <f>IF(終値!A249="","",IF(AND(高値!T249&gt;高値!S249,高値!T249&gt;高値!R249,高値!T249&gt;高値!U249,高値!T249&gt;高値!V249),15,""))</f>
      </c>
      <c r="AQ249" s="684">
        <f>IF(終値!A249="","",IF(AND(高値!U249&gt;高値!T249,高値!U249&gt;高値!S249,高値!U249&gt;高値!V249,高値!U249&gt;高値!W249),16,""))</f>
      </c>
      <c r="AR249" s="684">
        <f>IF(終値!A249="","",IF(AND(高値!V249&gt;高値!U249,高値!V249&gt;高値!T249,高値!V249&gt;高値!W249,高値!V249&gt;高値!X249),17,""))</f>
      </c>
      <c r="AS249" s="684">
        <f>IF(終値!A249="","",IF(AND(高値!W249&gt;高値!V249,高値!W249&gt;高値!U249,高値!W249&gt;高値!X249,高値!W249&gt;高値!Y249),18,""))</f>
      </c>
      <c r="AT249" s="684">
        <f>IF(終値!A249="","",IF(AND(高値!X249&gt;高値!W249,高値!X249&gt;高値!V249,高値!X249&gt;高値!Y249,高値!X249&gt;高値!Z249),19,""))</f>
      </c>
      <c r="AU249" s="684">
        <f>IF(終値!A249="","",IF(AND(高値!Y249&gt;高値!X249,高値!Y249&gt;高値!W249,高値!Y249&gt;高値!Z249,高値!Y249&gt;高値!AA249),20,""))</f>
      </c>
      <c r="AV249" s="684">
        <f>IF(終値!A249="","",IF(AND(高値!Z249&gt;高値!Y249,高値!Z249&gt;高値!X249,高値!Z249&gt;高値!AA249,高値!Z249&gt;高値!AB249),21,""))</f>
      </c>
      <c r="AW249" s="684">
        <f>IF(終値!A249="","",IF(AND(高値!AA249&gt;高値!Z249,高値!AA249&gt;高値!Y249,高値!AA249&gt;高値!AB249,高値!AA249&gt;高値!AC249),22,""))</f>
      </c>
      <c r="AX249" s="684">
        <f>IF(終値!A249="","",IF(AND(高値!AB249&gt;高値!AA249,高値!AB249&gt;高値!Z249,高値!AB249&gt;高値!AC249,高値!AB249&gt;高値!AD249),23,""))</f>
      </c>
      <c r="AY249" s="684">
        <f>IF(終値!A249="","",IF(AND(高値!AC249&gt;高値!AB249,高値!AC249&gt;高値!AA249,高値!AC249&gt;高値!AD249,高値!AC249&gt;高値!AE249),24,""))</f>
      </c>
      <c r="AZ249" s="684">
        <f>IF(終値!A249="","",IF(AND(高値!AD249&gt;高値!AC249,高値!AD249&gt;高値!AB249,高値!AD249&gt;高値!AE249,高値!AD249&gt;高値!AF249),25,""))</f>
      </c>
      <c r="BA249" s="684">
        <f>IF(終値!A249="","",IF(AND(高値!AE249&gt;高値!AD249,高値!AE249&gt;高値!AC249,高値!AE249&gt;高値!AF249,高値!AE249&gt;高値!AG249),26,""))</f>
      </c>
      <c r="BB249" s="684">
        <f>IF(終値!A249="","",IF(AND(高値!AF249&gt;高値!AE249,高値!AF249&gt;高値!AD249,高値!AF249&gt;高値!AG249,高値!AF249&gt;高値!AH249),27,""))</f>
      </c>
      <c r="BC249" s="684">
        <f>IF(終値!A249="","",IF(AND(高値!AG249&gt;高値!AF249,高値!AG249&gt;高値!AE249,高値!AG249&gt;高値!AH249,高値!AG249&gt;高値!AI249),28,""))</f>
      </c>
      <c r="BD249" s="684">
        <f>COUNT($B249:$AB249)</f>
      </c>
      <c r="BE249" s="684">
        <f>IF($BD249&gt;=2,MIN($B249:$AB249),"")</f>
      </c>
      <c r="BF249" s="684">
        <f>IF($BD249&gt;=2,SMALL($B249:$AB249,2),"")</f>
      </c>
      <c r="BG249" s="684">
        <f>IF($BE249="","",INDEX(安値!$E249:$CZ249,1,$BE249+1))</f>
      </c>
      <c r="BH249" s="684">
        <f>IF($BF249="","",INDEX(安値!$E249:$CZ249,1,$BF249+1))</f>
      </c>
      <c r="BI249" s="684">
        <f>IF($BF249="","",MAX(INDEX(高値!$E249:$CZ249,1,$BE249+1):INDEX(高値!$E249:$CZ249,1,$BF249+1)))</f>
      </c>
      <c r="BJ249" s="684">
        <f>IF($BF249="","",AVERAGE(INDEX(終値!$E249:$CZ249,1,$BF249+1):INDEX(終値!$E249:$CZ249,1,$BF249+20))-2*STDEVP(INDEX(終値!$E249:$CZ249,1,$BF249+1):INDEX(終値!$E249:$CZ249,1,$BF249+20)))</f>
      </c>
      <c r="BK249" s="684">
        <f>IF($BE249="","",AVERAGE(INDEX(終値!$E249:$CZ249,1,$BE249+1):INDEX(終値!$E249:$CZ249,1,$BE249+20))-2*STDEVP(INDEX(終値!$E249:$CZ249,1,$BE249+1):INDEX(終値!$E249:$CZ249,1,$BE249+20)))</f>
      </c>
      <c r="BL249" s="684">
        <f>COUNT($AC249:$BC249)</f>
      </c>
      <c r="BM249" s="684">
        <f>IF($BL249&gt;=2,MIN($AC249:$BC249),"")</f>
      </c>
      <c r="BN249" s="684">
        <f>IF($BL249&gt;=2,SMALL($AC249:$BC249,2),"")</f>
      </c>
      <c r="BO249" s="684">
        <f>IF($BM249="","",INDEX(高値!$E249:$CZ249,1,$BM249+1))</f>
      </c>
      <c r="BP249" s="684">
        <f>IF($BN249="","",INDEX(高値!$E249:$CZ249,1,$BN249+1))</f>
      </c>
      <c r="BQ249" s="684">
        <f>IF($BN249="","",MIN(INDEX(安値!$E249:$CZ249,1,$BM249+1):INDEX(安値!$E249:$CZ249,1,$BN249+1)))</f>
      </c>
      <c r="BR249" s="684">
        <f>IF($BN249="","",AVERAGE(INDEX(終値!$E249:$CZ249,1,$BN249+1):INDEX(終値!$E249:$CZ249,1,$BN249+20))+2*STDEVP(INDEX(終値!$E249:$CZ249,1,$BN249+1):INDEX(終値!$E249:$CZ249,1,$BN249+20)))</f>
      </c>
      <c r="BS249" s="684">
        <f>IF($BM249="","",AVERAGE(INDEX(終値!$E249:$CZ249,1,$BM249+1):INDEX(終値!$E249:$CZ249,1,$BM249+20))+2*STDEVP(INDEX(終値!$E249:$CZ249,1,$BM249+1):INDEX(終値!$E249:$CZ249,1,$BM249+20)))</f>
      </c>
      <c r="BT249" s="681">
        <f>IFERROR(IF(AND($BD249&gt;=2,ABS($BG249-$BH249)/$BH249&lt;=BB設定!$B$12,$BI249&gt;=MAX($BH249,$BG249)*(1+BB設定!$B$13),終値!E249&gt;$BG249),IF(OR(終値!E249&gt;=$BI249,AND($BH249&lt;$BJ249,$BG249&gt;=$BK249)),"二番底W▲","二番底W形成"),IF(AND($BL249&gt;=2,ABS($BO249-$BP249)/$BP249&lt;=BB設定!$B$12,$BQ249&lt;=MIN($BP249,$BO249)*(1-BB設定!$B$13),終値!E249&lt;$BO249),IF(OR(終値!E249&lt;=$BQ249,AND($BP249&gt;$BR249,$BO249&lt;=$BS249)),"二番天井M▼","二番天井M形成"),"－")),"－")</f>
      </c>
    </row>
    <row r="250">
      <c r="B250" s="684">
        <f>IF(終値!A250="","",IF(AND(安値!G250&lt;安値!F250,安値!G250&lt;安値!E250,安値!G250&lt;安値!H250,安値!G250&lt;安値!I250),2,""))</f>
      </c>
      <c r="C250" s="684">
        <f>IF(終値!A250="","",IF(AND(安値!H250&lt;安値!G250,安値!H250&lt;安値!F250,安値!H250&lt;安値!I250,安値!H250&lt;安値!J250),3,""))</f>
      </c>
      <c r="D250" s="684">
        <f>IF(終値!A250="","",IF(AND(安値!I250&lt;安値!H250,安値!I250&lt;安値!G250,安値!I250&lt;安値!J250,安値!I250&lt;安値!K250),4,""))</f>
      </c>
      <c r="E250" s="684">
        <f>IF(終値!A250="","",IF(AND(安値!J250&lt;安値!I250,安値!J250&lt;安値!H250,安値!J250&lt;安値!K250,安値!J250&lt;安値!L250),5,""))</f>
      </c>
      <c r="F250" s="684">
        <f>IF(終値!A250="","",IF(AND(安値!K250&lt;安値!J250,安値!K250&lt;安値!I250,安値!K250&lt;安値!L250,安値!K250&lt;安値!M250),6,""))</f>
      </c>
      <c r="G250" s="684">
        <f>IF(終値!A250="","",IF(AND(安値!L250&lt;安値!K250,安値!L250&lt;安値!J250,安値!L250&lt;安値!M250,安値!L250&lt;安値!N250),7,""))</f>
      </c>
      <c r="H250" s="684">
        <f>IF(終値!A250="","",IF(AND(安値!M250&lt;安値!L250,安値!M250&lt;安値!K250,安値!M250&lt;安値!N250,安値!M250&lt;安値!O250),8,""))</f>
      </c>
      <c r="I250" s="684">
        <f>IF(終値!A250="","",IF(AND(安値!N250&lt;安値!M250,安値!N250&lt;安値!L250,安値!N250&lt;安値!O250,安値!N250&lt;安値!P250),9,""))</f>
      </c>
      <c r="J250" s="684">
        <f>IF(終値!A250="","",IF(AND(安値!O250&lt;安値!N250,安値!O250&lt;安値!M250,安値!O250&lt;安値!P250,安値!O250&lt;安値!Q250),10,""))</f>
      </c>
      <c r="K250" s="684">
        <f>IF(終値!A250="","",IF(AND(安値!P250&lt;安値!O250,安値!P250&lt;安値!N250,安値!P250&lt;安値!Q250,安値!P250&lt;安値!R250),11,""))</f>
      </c>
      <c r="L250" s="684">
        <f>IF(終値!A250="","",IF(AND(安値!Q250&lt;安値!P250,安値!Q250&lt;安値!O250,安値!Q250&lt;安値!R250,安値!Q250&lt;安値!S250),12,""))</f>
      </c>
      <c r="M250" s="684">
        <f>IF(終値!A250="","",IF(AND(安値!R250&lt;安値!Q250,安値!R250&lt;安値!P250,安値!R250&lt;安値!S250,安値!R250&lt;安値!T250),13,""))</f>
      </c>
      <c r="N250" s="684">
        <f>IF(終値!A250="","",IF(AND(安値!S250&lt;安値!R250,安値!S250&lt;安値!Q250,安値!S250&lt;安値!T250,安値!S250&lt;安値!U250),14,""))</f>
      </c>
      <c r="O250" s="684">
        <f>IF(終値!A250="","",IF(AND(安値!T250&lt;安値!S250,安値!T250&lt;安値!R250,安値!T250&lt;安値!U250,安値!T250&lt;安値!V250),15,""))</f>
      </c>
      <c r="P250" s="684">
        <f>IF(終値!A250="","",IF(AND(安値!U250&lt;安値!T250,安値!U250&lt;安値!S250,安値!U250&lt;安値!V250,安値!U250&lt;安値!W250),16,""))</f>
      </c>
      <c r="Q250" s="684">
        <f>IF(終値!A250="","",IF(AND(安値!V250&lt;安値!U250,安値!V250&lt;安値!T250,安値!V250&lt;安値!W250,安値!V250&lt;安値!X250),17,""))</f>
      </c>
      <c r="R250" s="684">
        <f>IF(終値!A250="","",IF(AND(安値!W250&lt;安値!V250,安値!W250&lt;安値!U250,安値!W250&lt;安値!X250,安値!W250&lt;安値!Y250),18,""))</f>
      </c>
      <c r="S250" s="684">
        <f>IF(終値!A250="","",IF(AND(安値!X250&lt;安値!W250,安値!X250&lt;安値!V250,安値!X250&lt;安値!Y250,安値!X250&lt;安値!Z250),19,""))</f>
      </c>
      <c r="T250" s="684">
        <f>IF(終値!A250="","",IF(AND(安値!Y250&lt;安値!X250,安値!Y250&lt;安値!W250,安値!Y250&lt;安値!Z250,安値!Y250&lt;安値!AA250),20,""))</f>
      </c>
      <c r="U250" s="684">
        <f>IF(終値!A250="","",IF(AND(安値!Z250&lt;安値!Y250,安値!Z250&lt;安値!X250,安値!Z250&lt;安値!AA250,安値!Z250&lt;安値!AB250),21,""))</f>
      </c>
      <c r="V250" s="684">
        <f>IF(終値!A250="","",IF(AND(安値!AA250&lt;安値!Z250,安値!AA250&lt;安値!Y250,安値!AA250&lt;安値!AB250,安値!AA250&lt;安値!AC250),22,""))</f>
      </c>
      <c r="W250" s="684">
        <f>IF(終値!A250="","",IF(AND(安値!AB250&lt;安値!AA250,安値!AB250&lt;安値!Z250,安値!AB250&lt;安値!AC250,安値!AB250&lt;安値!AD250),23,""))</f>
      </c>
      <c r="X250" s="684">
        <f>IF(終値!A250="","",IF(AND(安値!AC250&lt;安値!AB250,安値!AC250&lt;安値!AA250,安値!AC250&lt;安値!AD250,安値!AC250&lt;安値!AE250),24,""))</f>
      </c>
      <c r="Y250" s="684">
        <f>IF(終値!A250="","",IF(AND(安値!AD250&lt;安値!AC250,安値!AD250&lt;安値!AB250,安値!AD250&lt;安値!AE250,安値!AD250&lt;安値!AF250),25,""))</f>
      </c>
      <c r="Z250" s="684">
        <f>IF(終値!A250="","",IF(AND(安値!AE250&lt;安値!AD250,安値!AE250&lt;安値!AC250,安値!AE250&lt;安値!AF250,安値!AE250&lt;安値!AG250),26,""))</f>
      </c>
      <c r="AA250" s="684">
        <f>IF(終値!A250="","",IF(AND(安値!AF250&lt;安値!AE250,安値!AF250&lt;安値!AD250,安値!AF250&lt;安値!AG250,安値!AF250&lt;安値!AH250),27,""))</f>
      </c>
      <c r="AB250" s="684">
        <f>IF(終値!A250="","",IF(AND(安値!AG250&lt;安値!AF250,安値!AG250&lt;安値!AE250,安値!AG250&lt;安値!AH250,安値!AG250&lt;安値!AI250),28,""))</f>
      </c>
      <c r="AC250" s="684">
        <f>IF(終値!A250="","",IF(AND(高値!G250&gt;高値!F250,高値!G250&gt;高値!E250,高値!G250&gt;高値!H250,高値!G250&gt;高値!I250),2,""))</f>
      </c>
      <c r="AD250" s="684">
        <f>IF(終値!A250="","",IF(AND(高値!H250&gt;高値!G250,高値!H250&gt;高値!F250,高値!H250&gt;高値!I250,高値!H250&gt;高値!J250),3,""))</f>
      </c>
      <c r="AE250" s="684">
        <f>IF(終値!A250="","",IF(AND(高値!I250&gt;高値!H250,高値!I250&gt;高値!G250,高値!I250&gt;高値!J250,高値!I250&gt;高値!K250),4,""))</f>
      </c>
      <c r="AF250" s="684">
        <f>IF(終値!A250="","",IF(AND(高値!J250&gt;高値!I250,高値!J250&gt;高値!H250,高値!J250&gt;高値!K250,高値!J250&gt;高値!L250),5,""))</f>
      </c>
      <c r="AG250" s="684">
        <f>IF(終値!A250="","",IF(AND(高値!K250&gt;高値!J250,高値!K250&gt;高値!I250,高値!K250&gt;高値!L250,高値!K250&gt;高値!M250),6,""))</f>
      </c>
      <c r="AH250" s="684">
        <f>IF(終値!A250="","",IF(AND(高値!L250&gt;高値!K250,高値!L250&gt;高値!J250,高値!L250&gt;高値!M250,高値!L250&gt;高値!N250),7,""))</f>
      </c>
      <c r="AI250" s="684">
        <f>IF(終値!A250="","",IF(AND(高値!M250&gt;高値!L250,高値!M250&gt;高値!K250,高値!M250&gt;高値!N250,高値!M250&gt;高値!O250),8,""))</f>
      </c>
      <c r="AJ250" s="684">
        <f>IF(終値!A250="","",IF(AND(高値!N250&gt;高値!M250,高値!N250&gt;高値!L250,高値!N250&gt;高値!O250,高値!N250&gt;高値!P250),9,""))</f>
      </c>
      <c r="AK250" s="684">
        <f>IF(終値!A250="","",IF(AND(高値!O250&gt;高値!N250,高値!O250&gt;高値!M250,高値!O250&gt;高値!P250,高値!O250&gt;高値!Q250),10,""))</f>
      </c>
      <c r="AL250" s="684">
        <f>IF(終値!A250="","",IF(AND(高値!P250&gt;高値!O250,高値!P250&gt;高値!N250,高値!P250&gt;高値!Q250,高値!P250&gt;高値!R250),11,""))</f>
      </c>
      <c r="AM250" s="684">
        <f>IF(終値!A250="","",IF(AND(高値!Q250&gt;高値!P250,高値!Q250&gt;高値!O250,高値!Q250&gt;高値!R250,高値!Q250&gt;高値!S250),12,""))</f>
      </c>
      <c r="AN250" s="684">
        <f>IF(終値!A250="","",IF(AND(高値!R250&gt;高値!Q250,高値!R250&gt;高値!P250,高値!R250&gt;高値!S250,高値!R250&gt;高値!T250),13,""))</f>
      </c>
      <c r="AO250" s="684">
        <f>IF(終値!A250="","",IF(AND(高値!S250&gt;高値!R250,高値!S250&gt;高値!Q250,高値!S250&gt;高値!T250,高値!S250&gt;高値!U250),14,""))</f>
      </c>
      <c r="AP250" s="684">
        <f>IF(終値!A250="","",IF(AND(高値!T250&gt;高値!S250,高値!T250&gt;高値!R250,高値!T250&gt;高値!U250,高値!T250&gt;高値!V250),15,""))</f>
      </c>
      <c r="AQ250" s="684">
        <f>IF(終値!A250="","",IF(AND(高値!U250&gt;高値!T250,高値!U250&gt;高値!S250,高値!U250&gt;高値!V250,高値!U250&gt;高値!W250),16,""))</f>
      </c>
      <c r="AR250" s="684">
        <f>IF(終値!A250="","",IF(AND(高値!V250&gt;高値!U250,高値!V250&gt;高値!T250,高値!V250&gt;高値!W250,高値!V250&gt;高値!X250),17,""))</f>
      </c>
      <c r="AS250" s="684">
        <f>IF(終値!A250="","",IF(AND(高値!W250&gt;高値!V250,高値!W250&gt;高値!U250,高値!W250&gt;高値!X250,高値!W250&gt;高値!Y250),18,""))</f>
      </c>
      <c r="AT250" s="684">
        <f>IF(終値!A250="","",IF(AND(高値!X250&gt;高値!W250,高値!X250&gt;高値!V250,高値!X250&gt;高値!Y250,高値!X250&gt;高値!Z250),19,""))</f>
      </c>
      <c r="AU250" s="684">
        <f>IF(終値!A250="","",IF(AND(高値!Y250&gt;高値!X250,高値!Y250&gt;高値!W250,高値!Y250&gt;高値!Z250,高値!Y250&gt;高値!AA250),20,""))</f>
      </c>
      <c r="AV250" s="684">
        <f>IF(終値!A250="","",IF(AND(高値!Z250&gt;高値!Y250,高値!Z250&gt;高値!X250,高値!Z250&gt;高値!AA250,高値!Z250&gt;高値!AB250),21,""))</f>
      </c>
      <c r="AW250" s="684">
        <f>IF(終値!A250="","",IF(AND(高値!AA250&gt;高値!Z250,高値!AA250&gt;高値!Y250,高値!AA250&gt;高値!AB250,高値!AA250&gt;高値!AC250),22,""))</f>
      </c>
      <c r="AX250" s="684">
        <f>IF(終値!A250="","",IF(AND(高値!AB250&gt;高値!AA250,高値!AB250&gt;高値!Z250,高値!AB250&gt;高値!AC250,高値!AB250&gt;高値!AD250),23,""))</f>
      </c>
      <c r="AY250" s="684">
        <f>IF(終値!A250="","",IF(AND(高値!AC250&gt;高値!AB250,高値!AC250&gt;高値!AA250,高値!AC250&gt;高値!AD250,高値!AC250&gt;高値!AE250),24,""))</f>
      </c>
      <c r="AZ250" s="684">
        <f>IF(終値!A250="","",IF(AND(高値!AD250&gt;高値!AC250,高値!AD250&gt;高値!AB250,高値!AD250&gt;高値!AE250,高値!AD250&gt;高値!AF250),25,""))</f>
      </c>
      <c r="BA250" s="684">
        <f>IF(終値!A250="","",IF(AND(高値!AE250&gt;高値!AD250,高値!AE250&gt;高値!AC250,高値!AE250&gt;高値!AF250,高値!AE250&gt;高値!AG250),26,""))</f>
      </c>
      <c r="BB250" s="684">
        <f>IF(終値!A250="","",IF(AND(高値!AF250&gt;高値!AE250,高値!AF250&gt;高値!AD250,高値!AF250&gt;高値!AG250,高値!AF250&gt;高値!AH250),27,""))</f>
      </c>
      <c r="BC250" s="684">
        <f>IF(終値!A250="","",IF(AND(高値!AG250&gt;高値!AF250,高値!AG250&gt;高値!AE250,高値!AG250&gt;高値!AH250,高値!AG250&gt;高値!AI250),28,""))</f>
      </c>
      <c r="BD250" s="684">
        <f>COUNT($B250:$AB250)</f>
      </c>
      <c r="BE250" s="684">
        <f>IF($BD250&gt;=2,MIN($B250:$AB250),"")</f>
      </c>
      <c r="BF250" s="684">
        <f>IF($BD250&gt;=2,SMALL($B250:$AB250,2),"")</f>
      </c>
      <c r="BG250" s="684">
        <f>IF($BE250="","",INDEX(安値!$E250:$CZ250,1,$BE250+1))</f>
      </c>
      <c r="BH250" s="684">
        <f>IF($BF250="","",INDEX(安値!$E250:$CZ250,1,$BF250+1))</f>
      </c>
      <c r="BI250" s="684">
        <f>IF($BF250="","",MAX(INDEX(高値!$E250:$CZ250,1,$BE250+1):INDEX(高値!$E250:$CZ250,1,$BF250+1)))</f>
      </c>
      <c r="BJ250" s="684">
        <f>IF($BF250="","",AVERAGE(INDEX(終値!$E250:$CZ250,1,$BF250+1):INDEX(終値!$E250:$CZ250,1,$BF250+20))-2*STDEVP(INDEX(終値!$E250:$CZ250,1,$BF250+1):INDEX(終値!$E250:$CZ250,1,$BF250+20)))</f>
      </c>
      <c r="BK250" s="684">
        <f>IF($BE250="","",AVERAGE(INDEX(終値!$E250:$CZ250,1,$BE250+1):INDEX(終値!$E250:$CZ250,1,$BE250+20))-2*STDEVP(INDEX(終値!$E250:$CZ250,1,$BE250+1):INDEX(終値!$E250:$CZ250,1,$BE250+20)))</f>
      </c>
      <c r="BL250" s="684">
        <f>COUNT($AC250:$BC250)</f>
      </c>
      <c r="BM250" s="684">
        <f>IF($BL250&gt;=2,MIN($AC250:$BC250),"")</f>
      </c>
      <c r="BN250" s="684">
        <f>IF($BL250&gt;=2,SMALL($AC250:$BC250,2),"")</f>
      </c>
      <c r="BO250" s="684">
        <f>IF($BM250="","",INDEX(高値!$E250:$CZ250,1,$BM250+1))</f>
      </c>
      <c r="BP250" s="684">
        <f>IF($BN250="","",INDEX(高値!$E250:$CZ250,1,$BN250+1))</f>
      </c>
      <c r="BQ250" s="684">
        <f>IF($BN250="","",MIN(INDEX(安値!$E250:$CZ250,1,$BM250+1):INDEX(安値!$E250:$CZ250,1,$BN250+1)))</f>
      </c>
      <c r="BR250" s="684">
        <f>IF($BN250="","",AVERAGE(INDEX(終値!$E250:$CZ250,1,$BN250+1):INDEX(終値!$E250:$CZ250,1,$BN250+20))+2*STDEVP(INDEX(終値!$E250:$CZ250,1,$BN250+1):INDEX(終値!$E250:$CZ250,1,$BN250+20)))</f>
      </c>
      <c r="BS250" s="684">
        <f>IF($BM250="","",AVERAGE(INDEX(終値!$E250:$CZ250,1,$BM250+1):INDEX(終値!$E250:$CZ250,1,$BM250+20))+2*STDEVP(INDEX(終値!$E250:$CZ250,1,$BM250+1):INDEX(終値!$E250:$CZ250,1,$BM250+20)))</f>
      </c>
      <c r="BT250" s="681">
        <f>IFERROR(IF(AND($BD250&gt;=2,ABS($BG250-$BH250)/$BH250&lt;=BB設定!$B$12,$BI250&gt;=MAX($BH250,$BG250)*(1+BB設定!$B$13),終値!E250&gt;$BG250),IF(OR(終値!E250&gt;=$BI250,AND($BH250&lt;$BJ250,$BG250&gt;=$BK250)),"二番底W▲","二番底W形成"),IF(AND($BL250&gt;=2,ABS($BO250-$BP250)/$BP250&lt;=BB設定!$B$12,$BQ250&lt;=MIN($BP250,$BO250)*(1-BB設定!$B$13),終値!E250&lt;$BO250),IF(OR(終値!E250&lt;=$BQ250,AND($BP250&gt;$BR250,$BO250&lt;=$BS250)),"二番天井M▼","二番天井M形成"),"－")),"－")</f>
      </c>
    </row>
    <row r="251">
      <c r="B251" s="684">
        <f>IF(終値!A251="","",IF(AND(安値!G251&lt;安値!F251,安値!G251&lt;安値!E251,安値!G251&lt;安値!H251,安値!G251&lt;安値!I251),2,""))</f>
      </c>
      <c r="C251" s="684">
        <f>IF(終値!A251="","",IF(AND(安値!H251&lt;安値!G251,安値!H251&lt;安値!F251,安値!H251&lt;安値!I251,安値!H251&lt;安値!J251),3,""))</f>
      </c>
      <c r="D251" s="684">
        <f>IF(終値!A251="","",IF(AND(安値!I251&lt;安値!H251,安値!I251&lt;安値!G251,安値!I251&lt;安値!J251,安値!I251&lt;安値!K251),4,""))</f>
      </c>
      <c r="E251" s="684">
        <f>IF(終値!A251="","",IF(AND(安値!J251&lt;安値!I251,安値!J251&lt;安値!H251,安値!J251&lt;安値!K251,安値!J251&lt;安値!L251),5,""))</f>
      </c>
      <c r="F251" s="684">
        <f>IF(終値!A251="","",IF(AND(安値!K251&lt;安値!J251,安値!K251&lt;安値!I251,安値!K251&lt;安値!L251,安値!K251&lt;安値!M251),6,""))</f>
      </c>
      <c r="G251" s="684">
        <f>IF(終値!A251="","",IF(AND(安値!L251&lt;安値!K251,安値!L251&lt;安値!J251,安値!L251&lt;安値!M251,安値!L251&lt;安値!N251),7,""))</f>
      </c>
      <c r="H251" s="684">
        <f>IF(終値!A251="","",IF(AND(安値!M251&lt;安値!L251,安値!M251&lt;安値!K251,安値!M251&lt;安値!N251,安値!M251&lt;安値!O251),8,""))</f>
      </c>
      <c r="I251" s="684">
        <f>IF(終値!A251="","",IF(AND(安値!N251&lt;安値!M251,安値!N251&lt;安値!L251,安値!N251&lt;安値!O251,安値!N251&lt;安値!P251),9,""))</f>
      </c>
      <c r="J251" s="684">
        <f>IF(終値!A251="","",IF(AND(安値!O251&lt;安値!N251,安値!O251&lt;安値!M251,安値!O251&lt;安値!P251,安値!O251&lt;安値!Q251),10,""))</f>
      </c>
      <c r="K251" s="684">
        <f>IF(終値!A251="","",IF(AND(安値!P251&lt;安値!O251,安値!P251&lt;安値!N251,安値!P251&lt;安値!Q251,安値!P251&lt;安値!R251),11,""))</f>
      </c>
      <c r="L251" s="684">
        <f>IF(終値!A251="","",IF(AND(安値!Q251&lt;安値!P251,安値!Q251&lt;安値!O251,安値!Q251&lt;安値!R251,安値!Q251&lt;安値!S251),12,""))</f>
      </c>
      <c r="M251" s="684">
        <f>IF(終値!A251="","",IF(AND(安値!R251&lt;安値!Q251,安値!R251&lt;安値!P251,安値!R251&lt;安値!S251,安値!R251&lt;安値!T251),13,""))</f>
      </c>
      <c r="N251" s="684">
        <f>IF(終値!A251="","",IF(AND(安値!S251&lt;安値!R251,安値!S251&lt;安値!Q251,安値!S251&lt;安値!T251,安値!S251&lt;安値!U251),14,""))</f>
      </c>
      <c r="O251" s="684">
        <f>IF(終値!A251="","",IF(AND(安値!T251&lt;安値!S251,安値!T251&lt;安値!R251,安値!T251&lt;安値!U251,安値!T251&lt;安値!V251),15,""))</f>
      </c>
      <c r="P251" s="684">
        <f>IF(終値!A251="","",IF(AND(安値!U251&lt;安値!T251,安値!U251&lt;安値!S251,安値!U251&lt;安値!V251,安値!U251&lt;安値!W251),16,""))</f>
      </c>
      <c r="Q251" s="684">
        <f>IF(終値!A251="","",IF(AND(安値!V251&lt;安値!U251,安値!V251&lt;安値!T251,安値!V251&lt;安値!W251,安値!V251&lt;安値!X251),17,""))</f>
      </c>
      <c r="R251" s="684">
        <f>IF(終値!A251="","",IF(AND(安値!W251&lt;安値!V251,安値!W251&lt;安値!U251,安値!W251&lt;安値!X251,安値!W251&lt;安値!Y251),18,""))</f>
      </c>
      <c r="S251" s="684">
        <f>IF(終値!A251="","",IF(AND(安値!X251&lt;安値!W251,安値!X251&lt;安値!V251,安値!X251&lt;安値!Y251,安値!X251&lt;安値!Z251),19,""))</f>
      </c>
      <c r="T251" s="684">
        <f>IF(終値!A251="","",IF(AND(安値!Y251&lt;安値!X251,安値!Y251&lt;安値!W251,安値!Y251&lt;安値!Z251,安値!Y251&lt;安値!AA251),20,""))</f>
      </c>
      <c r="U251" s="684">
        <f>IF(終値!A251="","",IF(AND(安値!Z251&lt;安値!Y251,安値!Z251&lt;安値!X251,安値!Z251&lt;安値!AA251,安値!Z251&lt;安値!AB251),21,""))</f>
      </c>
      <c r="V251" s="684">
        <f>IF(終値!A251="","",IF(AND(安値!AA251&lt;安値!Z251,安値!AA251&lt;安値!Y251,安値!AA251&lt;安値!AB251,安値!AA251&lt;安値!AC251),22,""))</f>
      </c>
      <c r="W251" s="684">
        <f>IF(終値!A251="","",IF(AND(安値!AB251&lt;安値!AA251,安値!AB251&lt;安値!Z251,安値!AB251&lt;安値!AC251,安値!AB251&lt;安値!AD251),23,""))</f>
      </c>
      <c r="X251" s="684">
        <f>IF(終値!A251="","",IF(AND(安値!AC251&lt;安値!AB251,安値!AC251&lt;安値!AA251,安値!AC251&lt;安値!AD251,安値!AC251&lt;安値!AE251),24,""))</f>
      </c>
      <c r="Y251" s="684">
        <f>IF(終値!A251="","",IF(AND(安値!AD251&lt;安値!AC251,安値!AD251&lt;安値!AB251,安値!AD251&lt;安値!AE251,安値!AD251&lt;安値!AF251),25,""))</f>
      </c>
      <c r="Z251" s="684">
        <f>IF(終値!A251="","",IF(AND(安値!AE251&lt;安値!AD251,安値!AE251&lt;安値!AC251,安値!AE251&lt;安値!AF251,安値!AE251&lt;安値!AG251),26,""))</f>
      </c>
      <c r="AA251" s="684">
        <f>IF(終値!A251="","",IF(AND(安値!AF251&lt;安値!AE251,安値!AF251&lt;安値!AD251,安値!AF251&lt;安値!AG251,安値!AF251&lt;安値!AH251),27,""))</f>
      </c>
      <c r="AB251" s="684">
        <f>IF(終値!A251="","",IF(AND(安値!AG251&lt;安値!AF251,安値!AG251&lt;安値!AE251,安値!AG251&lt;安値!AH251,安値!AG251&lt;安値!AI251),28,""))</f>
      </c>
      <c r="AC251" s="684">
        <f>IF(終値!A251="","",IF(AND(高値!G251&gt;高値!F251,高値!G251&gt;高値!E251,高値!G251&gt;高値!H251,高値!G251&gt;高値!I251),2,""))</f>
      </c>
      <c r="AD251" s="684">
        <f>IF(終値!A251="","",IF(AND(高値!H251&gt;高値!G251,高値!H251&gt;高値!F251,高値!H251&gt;高値!I251,高値!H251&gt;高値!J251),3,""))</f>
      </c>
      <c r="AE251" s="684">
        <f>IF(終値!A251="","",IF(AND(高値!I251&gt;高値!H251,高値!I251&gt;高値!G251,高値!I251&gt;高値!J251,高値!I251&gt;高値!K251),4,""))</f>
      </c>
      <c r="AF251" s="684">
        <f>IF(終値!A251="","",IF(AND(高値!J251&gt;高値!I251,高値!J251&gt;高値!H251,高値!J251&gt;高値!K251,高値!J251&gt;高値!L251),5,""))</f>
      </c>
      <c r="AG251" s="684">
        <f>IF(終値!A251="","",IF(AND(高値!K251&gt;高値!J251,高値!K251&gt;高値!I251,高値!K251&gt;高値!L251,高値!K251&gt;高値!M251),6,""))</f>
      </c>
      <c r="AH251" s="684">
        <f>IF(終値!A251="","",IF(AND(高値!L251&gt;高値!K251,高値!L251&gt;高値!J251,高値!L251&gt;高値!M251,高値!L251&gt;高値!N251),7,""))</f>
      </c>
      <c r="AI251" s="684">
        <f>IF(終値!A251="","",IF(AND(高値!M251&gt;高値!L251,高値!M251&gt;高値!K251,高値!M251&gt;高値!N251,高値!M251&gt;高値!O251),8,""))</f>
      </c>
      <c r="AJ251" s="684">
        <f>IF(終値!A251="","",IF(AND(高値!N251&gt;高値!M251,高値!N251&gt;高値!L251,高値!N251&gt;高値!O251,高値!N251&gt;高値!P251),9,""))</f>
      </c>
      <c r="AK251" s="684">
        <f>IF(終値!A251="","",IF(AND(高値!O251&gt;高値!N251,高値!O251&gt;高値!M251,高値!O251&gt;高値!P251,高値!O251&gt;高値!Q251),10,""))</f>
      </c>
      <c r="AL251" s="684">
        <f>IF(終値!A251="","",IF(AND(高値!P251&gt;高値!O251,高値!P251&gt;高値!N251,高値!P251&gt;高値!Q251,高値!P251&gt;高値!R251),11,""))</f>
      </c>
      <c r="AM251" s="684">
        <f>IF(終値!A251="","",IF(AND(高値!Q251&gt;高値!P251,高値!Q251&gt;高値!O251,高値!Q251&gt;高値!R251,高値!Q251&gt;高値!S251),12,""))</f>
      </c>
      <c r="AN251" s="684">
        <f>IF(終値!A251="","",IF(AND(高値!R251&gt;高値!Q251,高値!R251&gt;高値!P251,高値!R251&gt;高値!S251,高値!R251&gt;高値!T251),13,""))</f>
      </c>
      <c r="AO251" s="684">
        <f>IF(終値!A251="","",IF(AND(高値!S251&gt;高値!R251,高値!S251&gt;高値!Q251,高値!S251&gt;高値!T251,高値!S251&gt;高値!U251),14,""))</f>
      </c>
      <c r="AP251" s="684">
        <f>IF(終値!A251="","",IF(AND(高値!T251&gt;高値!S251,高値!T251&gt;高値!R251,高値!T251&gt;高値!U251,高値!T251&gt;高値!V251),15,""))</f>
      </c>
      <c r="AQ251" s="684">
        <f>IF(終値!A251="","",IF(AND(高値!U251&gt;高値!T251,高値!U251&gt;高値!S251,高値!U251&gt;高値!V251,高値!U251&gt;高値!W251),16,""))</f>
      </c>
      <c r="AR251" s="684">
        <f>IF(終値!A251="","",IF(AND(高値!V251&gt;高値!U251,高値!V251&gt;高値!T251,高値!V251&gt;高値!W251,高値!V251&gt;高値!X251),17,""))</f>
      </c>
      <c r="AS251" s="684">
        <f>IF(終値!A251="","",IF(AND(高値!W251&gt;高値!V251,高値!W251&gt;高値!U251,高値!W251&gt;高値!X251,高値!W251&gt;高値!Y251),18,""))</f>
      </c>
      <c r="AT251" s="684">
        <f>IF(終値!A251="","",IF(AND(高値!X251&gt;高値!W251,高値!X251&gt;高値!V251,高値!X251&gt;高値!Y251,高値!X251&gt;高値!Z251),19,""))</f>
      </c>
      <c r="AU251" s="684">
        <f>IF(終値!A251="","",IF(AND(高値!Y251&gt;高値!X251,高値!Y251&gt;高値!W251,高値!Y251&gt;高値!Z251,高値!Y251&gt;高値!AA251),20,""))</f>
      </c>
      <c r="AV251" s="684">
        <f>IF(終値!A251="","",IF(AND(高値!Z251&gt;高値!Y251,高値!Z251&gt;高値!X251,高値!Z251&gt;高値!AA251,高値!Z251&gt;高値!AB251),21,""))</f>
      </c>
      <c r="AW251" s="684">
        <f>IF(終値!A251="","",IF(AND(高値!AA251&gt;高値!Z251,高値!AA251&gt;高値!Y251,高値!AA251&gt;高値!AB251,高値!AA251&gt;高値!AC251),22,""))</f>
      </c>
      <c r="AX251" s="684">
        <f>IF(終値!A251="","",IF(AND(高値!AB251&gt;高値!AA251,高値!AB251&gt;高値!Z251,高値!AB251&gt;高値!AC251,高値!AB251&gt;高値!AD251),23,""))</f>
      </c>
      <c r="AY251" s="684">
        <f>IF(終値!A251="","",IF(AND(高値!AC251&gt;高値!AB251,高値!AC251&gt;高値!AA251,高値!AC251&gt;高値!AD251,高値!AC251&gt;高値!AE251),24,""))</f>
      </c>
      <c r="AZ251" s="684">
        <f>IF(終値!A251="","",IF(AND(高値!AD251&gt;高値!AC251,高値!AD251&gt;高値!AB251,高値!AD251&gt;高値!AE251,高値!AD251&gt;高値!AF251),25,""))</f>
      </c>
      <c r="BA251" s="684">
        <f>IF(終値!A251="","",IF(AND(高値!AE251&gt;高値!AD251,高値!AE251&gt;高値!AC251,高値!AE251&gt;高値!AF251,高値!AE251&gt;高値!AG251),26,""))</f>
      </c>
      <c r="BB251" s="684">
        <f>IF(終値!A251="","",IF(AND(高値!AF251&gt;高値!AE251,高値!AF251&gt;高値!AD251,高値!AF251&gt;高値!AG251,高値!AF251&gt;高値!AH251),27,""))</f>
      </c>
      <c r="BC251" s="684">
        <f>IF(終値!A251="","",IF(AND(高値!AG251&gt;高値!AF251,高値!AG251&gt;高値!AE251,高値!AG251&gt;高値!AH251,高値!AG251&gt;高値!AI251),28,""))</f>
      </c>
      <c r="BD251" s="684">
        <f>COUNT($B251:$AB251)</f>
      </c>
      <c r="BE251" s="684">
        <f>IF($BD251&gt;=2,MIN($B251:$AB251),"")</f>
      </c>
      <c r="BF251" s="684">
        <f>IF($BD251&gt;=2,SMALL($B251:$AB251,2),"")</f>
      </c>
      <c r="BG251" s="684">
        <f>IF($BE251="","",INDEX(安値!$E251:$CZ251,1,$BE251+1))</f>
      </c>
      <c r="BH251" s="684">
        <f>IF($BF251="","",INDEX(安値!$E251:$CZ251,1,$BF251+1))</f>
      </c>
      <c r="BI251" s="684">
        <f>IF($BF251="","",MAX(INDEX(高値!$E251:$CZ251,1,$BE251+1):INDEX(高値!$E251:$CZ251,1,$BF251+1)))</f>
      </c>
      <c r="BJ251" s="684">
        <f>IF($BF251="","",AVERAGE(INDEX(終値!$E251:$CZ251,1,$BF251+1):INDEX(終値!$E251:$CZ251,1,$BF251+20))-2*STDEVP(INDEX(終値!$E251:$CZ251,1,$BF251+1):INDEX(終値!$E251:$CZ251,1,$BF251+20)))</f>
      </c>
      <c r="BK251" s="684">
        <f>IF($BE251="","",AVERAGE(INDEX(終値!$E251:$CZ251,1,$BE251+1):INDEX(終値!$E251:$CZ251,1,$BE251+20))-2*STDEVP(INDEX(終値!$E251:$CZ251,1,$BE251+1):INDEX(終値!$E251:$CZ251,1,$BE251+20)))</f>
      </c>
      <c r="BL251" s="684">
        <f>COUNT($AC251:$BC251)</f>
      </c>
      <c r="BM251" s="684">
        <f>IF($BL251&gt;=2,MIN($AC251:$BC251),"")</f>
      </c>
      <c r="BN251" s="684">
        <f>IF($BL251&gt;=2,SMALL($AC251:$BC251,2),"")</f>
      </c>
      <c r="BO251" s="684">
        <f>IF($BM251="","",INDEX(高値!$E251:$CZ251,1,$BM251+1))</f>
      </c>
      <c r="BP251" s="684">
        <f>IF($BN251="","",INDEX(高値!$E251:$CZ251,1,$BN251+1))</f>
      </c>
      <c r="BQ251" s="684">
        <f>IF($BN251="","",MIN(INDEX(安値!$E251:$CZ251,1,$BM251+1):INDEX(安値!$E251:$CZ251,1,$BN251+1)))</f>
      </c>
      <c r="BR251" s="684">
        <f>IF($BN251="","",AVERAGE(INDEX(終値!$E251:$CZ251,1,$BN251+1):INDEX(終値!$E251:$CZ251,1,$BN251+20))+2*STDEVP(INDEX(終値!$E251:$CZ251,1,$BN251+1):INDEX(終値!$E251:$CZ251,1,$BN251+20)))</f>
      </c>
      <c r="BS251" s="684">
        <f>IF($BM251="","",AVERAGE(INDEX(終値!$E251:$CZ251,1,$BM251+1):INDEX(終値!$E251:$CZ251,1,$BM251+20))+2*STDEVP(INDEX(終値!$E251:$CZ251,1,$BM251+1):INDEX(終値!$E251:$CZ251,1,$BM251+20)))</f>
      </c>
      <c r="BT251" s="681">
        <f>IFERROR(IF(AND($BD251&gt;=2,ABS($BG251-$BH251)/$BH251&lt;=BB設定!$B$12,$BI251&gt;=MAX($BH251,$BG251)*(1+BB設定!$B$13),終値!E251&gt;$BG251),IF(OR(終値!E251&gt;=$BI251,AND($BH251&lt;$BJ251,$BG251&gt;=$BK251)),"二番底W▲","二番底W形成"),IF(AND($BL251&gt;=2,ABS($BO251-$BP251)/$BP251&lt;=BB設定!$B$12,$BQ251&lt;=MIN($BP251,$BO251)*(1-BB設定!$B$13),終値!E251&lt;$BO251),IF(OR(終値!E251&lt;=$BQ251,AND($BP251&gt;$BR251,$BO251&lt;=$BS251)),"二番天井M▼","二番天井M形成"),"－")),"－")</f>
      </c>
    </row>
    <row r="252">
      <c r="B252" s="684">
        <f>IF(終値!A252="","",IF(AND(安値!G252&lt;安値!F252,安値!G252&lt;安値!E252,安値!G252&lt;安値!H252,安値!G252&lt;安値!I252),2,""))</f>
      </c>
      <c r="C252" s="684">
        <f>IF(終値!A252="","",IF(AND(安値!H252&lt;安値!G252,安値!H252&lt;安値!F252,安値!H252&lt;安値!I252,安値!H252&lt;安値!J252),3,""))</f>
      </c>
      <c r="D252" s="684">
        <f>IF(終値!A252="","",IF(AND(安値!I252&lt;安値!H252,安値!I252&lt;安値!G252,安値!I252&lt;安値!J252,安値!I252&lt;安値!K252),4,""))</f>
      </c>
      <c r="E252" s="684">
        <f>IF(終値!A252="","",IF(AND(安値!J252&lt;安値!I252,安値!J252&lt;安値!H252,安値!J252&lt;安値!K252,安値!J252&lt;安値!L252),5,""))</f>
      </c>
      <c r="F252" s="684">
        <f>IF(終値!A252="","",IF(AND(安値!K252&lt;安値!J252,安値!K252&lt;安値!I252,安値!K252&lt;安値!L252,安値!K252&lt;安値!M252),6,""))</f>
      </c>
      <c r="G252" s="684">
        <f>IF(終値!A252="","",IF(AND(安値!L252&lt;安値!K252,安値!L252&lt;安値!J252,安値!L252&lt;安値!M252,安値!L252&lt;安値!N252),7,""))</f>
      </c>
      <c r="H252" s="684">
        <f>IF(終値!A252="","",IF(AND(安値!M252&lt;安値!L252,安値!M252&lt;安値!K252,安値!M252&lt;安値!N252,安値!M252&lt;安値!O252),8,""))</f>
      </c>
      <c r="I252" s="684">
        <f>IF(終値!A252="","",IF(AND(安値!N252&lt;安値!M252,安値!N252&lt;安値!L252,安値!N252&lt;安値!O252,安値!N252&lt;安値!P252),9,""))</f>
      </c>
      <c r="J252" s="684">
        <f>IF(終値!A252="","",IF(AND(安値!O252&lt;安値!N252,安値!O252&lt;安値!M252,安値!O252&lt;安値!P252,安値!O252&lt;安値!Q252),10,""))</f>
      </c>
      <c r="K252" s="684">
        <f>IF(終値!A252="","",IF(AND(安値!P252&lt;安値!O252,安値!P252&lt;安値!N252,安値!P252&lt;安値!Q252,安値!P252&lt;安値!R252),11,""))</f>
      </c>
      <c r="L252" s="684">
        <f>IF(終値!A252="","",IF(AND(安値!Q252&lt;安値!P252,安値!Q252&lt;安値!O252,安値!Q252&lt;安値!R252,安値!Q252&lt;安値!S252),12,""))</f>
      </c>
      <c r="M252" s="684">
        <f>IF(終値!A252="","",IF(AND(安値!R252&lt;安値!Q252,安値!R252&lt;安値!P252,安値!R252&lt;安値!S252,安値!R252&lt;安値!T252),13,""))</f>
      </c>
      <c r="N252" s="684">
        <f>IF(終値!A252="","",IF(AND(安値!S252&lt;安値!R252,安値!S252&lt;安値!Q252,安値!S252&lt;安値!T252,安値!S252&lt;安値!U252),14,""))</f>
      </c>
      <c r="O252" s="684">
        <f>IF(終値!A252="","",IF(AND(安値!T252&lt;安値!S252,安値!T252&lt;安値!R252,安値!T252&lt;安値!U252,安値!T252&lt;安値!V252),15,""))</f>
      </c>
      <c r="P252" s="684">
        <f>IF(終値!A252="","",IF(AND(安値!U252&lt;安値!T252,安値!U252&lt;安値!S252,安値!U252&lt;安値!V252,安値!U252&lt;安値!W252),16,""))</f>
      </c>
      <c r="Q252" s="684">
        <f>IF(終値!A252="","",IF(AND(安値!V252&lt;安値!U252,安値!V252&lt;安値!T252,安値!V252&lt;安値!W252,安値!V252&lt;安値!X252),17,""))</f>
      </c>
      <c r="R252" s="684">
        <f>IF(終値!A252="","",IF(AND(安値!W252&lt;安値!V252,安値!W252&lt;安値!U252,安値!W252&lt;安値!X252,安値!W252&lt;安値!Y252),18,""))</f>
      </c>
      <c r="S252" s="684">
        <f>IF(終値!A252="","",IF(AND(安値!X252&lt;安値!W252,安値!X252&lt;安値!V252,安値!X252&lt;安値!Y252,安値!X252&lt;安値!Z252),19,""))</f>
      </c>
      <c r="T252" s="684">
        <f>IF(終値!A252="","",IF(AND(安値!Y252&lt;安値!X252,安値!Y252&lt;安値!W252,安値!Y252&lt;安値!Z252,安値!Y252&lt;安値!AA252),20,""))</f>
      </c>
      <c r="U252" s="684">
        <f>IF(終値!A252="","",IF(AND(安値!Z252&lt;安値!Y252,安値!Z252&lt;安値!X252,安値!Z252&lt;安値!AA252,安値!Z252&lt;安値!AB252),21,""))</f>
      </c>
      <c r="V252" s="684">
        <f>IF(終値!A252="","",IF(AND(安値!AA252&lt;安値!Z252,安値!AA252&lt;安値!Y252,安値!AA252&lt;安値!AB252,安値!AA252&lt;安値!AC252),22,""))</f>
      </c>
      <c r="W252" s="684">
        <f>IF(終値!A252="","",IF(AND(安値!AB252&lt;安値!AA252,安値!AB252&lt;安値!Z252,安値!AB252&lt;安値!AC252,安値!AB252&lt;安値!AD252),23,""))</f>
      </c>
      <c r="X252" s="684">
        <f>IF(終値!A252="","",IF(AND(安値!AC252&lt;安値!AB252,安値!AC252&lt;安値!AA252,安値!AC252&lt;安値!AD252,安値!AC252&lt;安値!AE252),24,""))</f>
      </c>
      <c r="Y252" s="684">
        <f>IF(終値!A252="","",IF(AND(安値!AD252&lt;安値!AC252,安値!AD252&lt;安値!AB252,安値!AD252&lt;安値!AE252,安値!AD252&lt;安値!AF252),25,""))</f>
      </c>
      <c r="Z252" s="684">
        <f>IF(終値!A252="","",IF(AND(安値!AE252&lt;安値!AD252,安値!AE252&lt;安値!AC252,安値!AE252&lt;安値!AF252,安値!AE252&lt;安値!AG252),26,""))</f>
      </c>
      <c r="AA252" s="684">
        <f>IF(終値!A252="","",IF(AND(安値!AF252&lt;安値!AE252,安値!AF252&lt;安値!AD252,安値!AF252&lt;安値!AG252,安値!AF252&lt;安値!AH252),27,""))</f>
      </c>
      <c r="AB252" s="684">
        <f>IF(終値!A252="","",IF(AND(安値!AG252&lt;安値!AF252,安値!AG252&lt;安値!AE252,安値!AG252&lt;安値!AH252,安値!AG252&lt;安値!AI252),28,""))</f>
      </c>
      <c r="AC252" s="684">
        <f>IF(終値!A252="","",IF(AND(高値!G252&gt;高値!F252,高値!G252&gt;高値!E252,高値!G252&gt;高値!H252,高値!G252&gt;高値!I252),2,""))</f>
      </c>
      <c r="AD252" s="684">
        <f>IF(終値!A252="","",IF(AND(高値!H252&gt;高値!G252,高値!H252&gt;高値!F252,高値!H252&gt;高値!I252,高値!H252&gt;高値!J252),3,""))</f>
      </c>
      <c r="AE252" s="684">
        <f>IF(終値!A252="","",IF(AND(高値!I252&gt;高値!H252,高値!I252&gt;高値!G252,高値!I252&gt;高値!J252,高値!I252&gt;高値!K252),4,""))</f>
      </c>
      <c r="AF252" s="684">
        <f>IF(終値!A252="","",IF(AND(高値!J252&gt;高値!I252,高値!J252&gt;高値!H252,高値!J252&gt;高値!K252,高値!J252&gt;高値!L252),5,""))</f>
      </c>
      <c r="AG252" s="684">
        <f>IF(終値!A252="","",IF(AND(高値!K252&gt;高値!J252,高値!K252&gt;高値!I252,高値!K252&gt;高値!L252,高値!K252&gt;高値!M252),6,""))</f>
      </c>
      <c r="AH252" s="684">
        <f>IF(終値!A252="","",IF(AND(高値!L252&gt;高値!K252,高値!L252&gt;高値!J252,高値!L252&gt;高値!M252,高値!L252&gt;高値!N252),7,""))</f>
      </c>
      <c r="AI252" s="684">
        <f>IF(終値!A252="","",IF(AND(高値!M252&gt;高値!L252,高値!M252&gt;高値!K252,高値!M252&gt;高値!N252,高値!M252&gt;高値!O252),8,""))</f>
      </c>
      <c r="AJ252" s="684">
        <f>IF(終値!A252="","",IF(AND(高値!N252&gt;高値!M252,高値!N252&gt;高値!L252,高値!N252&gt;高値!O252,高値!N252&gt;高値!P252),9,""))</f>
      </c>
      <c r="AK252" s="684">
        <f>IF(終値!A252="","",IF(AND(高値!O252&gt;高値!N252,高値!O252&gt;高値!M252,高値!O252&gt;高値!P252,高値!O252&gt;高値!Q252),10,""))</f>
      </c>
      <c r="AL252" s="684">
        <f>IF(終値!A252="","",IF(AND(高値!P252&gt;高値!O252,高値!P252&gt;高値!N252,高値!P252&gt;高値!Q252,高値!P252&gt;高値!R252),11,""))</f>
      </c>
      <c r="AM252" s="684">
        <f>IF(終値!A252="","",IF(AND(高値!Q252&gt;高値!P252,高値!Q252&gt;高値!O252,高値!Q252&gt;高値!R252,高値!Q252&gt;高値!S252),12,""))</f>
      </c>
      <c r="AN252" s="684">
        <f>IF(終値!A252="","",IF(AND(高値!R252&gt;高値!Q252,高値!R252&gt;高値!P252,高値!R252&gt;高値!S252,高値!R252&gt;高値!T252),13,""))</f>
      </c>
      <c r="AO252" s="684">
        <f>IF(終値!A252="","",IF(AND(高値!S252&gt;高値!R252,高値!S252&gt;高値!Q252,高値!S252&gt;高値!T252,高値!S252&gt;高値!U252),14,""))</f>
      </c>
      <c r="AP252" s="684">
        <f>IF(終値!A252="","",IF(AND(高値!T252&gt;高値!S252,高値!T252&gt;高値!R252,高値!T252&gt;高値!U252,高値!T252&gt;高値!V252),15,""))</f>
      </c>
      <c r="AQ252" s="684">
        <f>IF(終値!A252="","",IF(AND(高値!U252&gt;高値!T252,高値!U252&gt;高値!S252,高値!U252&gt;高値!V252,高値!U252&gt;高値!W252),16,""))</f>
      </c>
      <c r="AR252" s="684">
        <f>IF(終値!A252="","",IF(AND(高値!V252&gt;高値!U252,高値!V252&gt;高値!T252,高値!V252&gt;高値!W252,高値!V252&gt;高値!X252),17,""))</f>
      </c>
      <c r="AS252" s="684">
        <f>IF(終値!A252="","",IF(AND(高値!W252&gt;高値!V252,高値!W252&gt;高値!U252,高値!W252&gt;高値!X252,高値!W252&gt;高値!Y252),18,""))</f>
      </c>
      <c r="AT252" s="684">
        <f>IF(終値!A252="","",IF(AND(高値!X252&gt;高値!W252,高値!X252&gt;高値!V252,高値!X252&gt;高値!Y252,高値!X252&gt;高値!Z252),19,""))</f>
      </c>
      <c r="AU252" s="684">
        <f>IF(終値!A252="","",IF(AND(高値!Y252&gt;高値!X252,高値!Y252&gt;高値!W252,高値!Y252&gt;高値!Z252,高値!Y252&gt;高値!AA252),20,""))</f>
      </c>
      <c r="AV252" s="684">
        <f>IF(終値!A252="","",IF(AND(高値!Z252&gt;高値!Y252,高値!Z252&gt;高値!X252,高値!Z252&gt;高値!AA252,高値!Z252&gt;高値!AB252),21,""))</f>
      </c>
      <c r="AW252" s="684">
        <f>IF(終値!A252="","",IF(AND(高値!AA252&gt;高値!Z252,高値!AA252&gt;高値!Y252,高値!AA252&gt;高値!AB252,高値!AA252&gt;高値!AC252),22,""))</f>
      </c>
      <c r="AX252" s="684">
        <f>IF(終値!A252="","",IF(AND(高値!AB252&gt;高値!AA252,高値!AB252&gt;高値!Z252,高値!AB252&gt;高値!AC252,高値!AB252&gt;高値!AD252),23,""))</f>
      </c>
      <c r="AY252" s="684">
        <f>IF(終値!A252="","",IF(AND(高値!AC252&gt;高値!AB252,高値!AC252&gt;高値!AA252,高値!AC252&gt;高値!AD252,高値!AC252&gt;高値!AE252),24,""))</f>
      </c>
      <c r="AZ252" s="684">
        <f>IF(終値!A252="","",IF(AND(高値!AD252&gt;高値!AC252,高値!AD252&gt;高値!AB252,高値!AD252&gt;高値!AE252,高値!AD252&gt;高値!AF252),25,""))</f>
      </c>
      <c r="BA252" s="684">
        <f>IF(終値!A252="","",IF(AND(高値!AE252&gt;高値!AD252,高値!AE252&gt;高値!AC252,高値!AE252&gt;高値!AF252,高値!AE252&gt;高値!AG252),26,""))</f>
      </c>
      <c r="BB252" s="684">
        <f>IF(終値!A252="","",IF(AND(高値!AF252&gt;高値!AE252,高値!AF252&gt;高値!AD252,高値!AF252&gt;高値!AG252,高値!AF252&gt;高値!AH252),27,""))</f>
      </c>
      <c r="BC252" s="684">
        <f>IF(終値!A252="","",IF(AND(高値!AG252&gt;高値!AF252,高値!AG252&gt;高値!AE252,高値!AG252&gt;高値!AH252,高値!AG252&gt;高値!AI252),28,""))</f>
      </c>
      <c r="BD252" s="684">
        <f>COUNT($B252:$AB252)</f>
      </c>
      <c r="BE252" s="684">
        <f>IF($BD252&gt;=2,MIN($B252:$AB252),"")</f>
      </c>
      <c r="BF252" s="684">
        <f>IF($BD252&gt;=2,SMALL($B252:$AB252,2),"")</f>
      </c>
      <c r="BG252" s="684">
        <f>IF($BE252="","",INDEX(安値!$E252:$CZ252,1,$BE252+1))</f>
      </c>
      <c r="BH252" s="684">
        <f>IF($BF252="","",INDEX(安値!$E252:$CZ252,1,$BF252+1))</f>
      </c>
      <c r="BI252" s="684">
        <f>IF($BF252="","",MAX(INDEX(高値!$E252:$CZ252,1,$BE252+1):INDEX(高値!$E252:$CZ252,1,$BF252+1)))</f>
      </c>
      <c r="BJ252" s="684">
        <f>IF($BF252="","",AVERAGE(INDEX(終値!$E252:$CZ252,1,$BF252+1):INDEX(終値!$E252:$CZ252,1,$BF252+20))-2*STDEVP(INDEX(終値!$E252:$CZ252,1,$BF252+1):INDEX(終値!$E252:$CZ252,1,$BF252+20)))</f>
      </c>
      <c r="BK252" s="684">
        <f>IF($BE252="","",AVERAGE(INDEX(終値!$E252:$CZ252,1,$BE252+1):INDEX(終値!$E252:$CZ252,1,$BE252+20))-2*STDEVP(INDEX(終値!$E252:$CZ252,1,$BE252+1):INDEX(終値!$E252:$CZ252,1,$BE252+20)))</f>
      </c>
      <c r="BL252" s="684">
        <f>COUNT($AC252:$BC252)</f>
      </c>
      <c r="BM252" s="684">
        <f>IF($BL252&gt;=2,MIN($AC252:$BC252),"")</f>
      </c>
      <c r="BN252" s="684">
        <f>IF($BL252&gt;=2,SMALL($AC252:$BC252,2),"")</f>
      </c>
      <c r="BO252" s="684">
        <f>IF($BM252="","",INDEX(高値!$E252:$CZ252,1,$BM252+1))</f>
      </c>
      <c r="BP252" s="684">
        <f>IF($BN252="","",INDEX(高値!$E252:$CZ252,1,$BN252+1))</f>
      </c>
      <c r="BQ252" s="684">
        <f>IF($BN252="","",MIN(INDEX(安値!$E252:$CZ252,1,$BM252+1):INDEX(安値!$E252:$CZ252,1,$BN252+1)))</f>
      </c>
      <c r="BR252" s="684">
        <f>IF($BN252="","",AVERAGE(INDEX(終値!$E252:$CZ252,1,$BN252+1):INDEX(終値!$E252:$CZ252,1,$BN252+20))+2*STDEVP(INDEX(終値!$E252:$CZ252,1,$BN252+1):INDEX(終値!$E252:$CZ252,1,$BN252+20)))</f>
      </c>
      <c r="BS252" s="684">
        <f>IF($BM252="","",AVERAGE(INDEX(終値!$E252:$CZ252,1,$BM252+1):INDEX(終値!$E252:$CZ252,1,$BM252+20))+2*STDEVP(INDEX(終値!$E252:$CZ252,1,$BM252+1):INDEX(終値!$E252:$CZ252,1,$BM252+20)))</f>
      </c>
      <c r="BT252" s="681">
        <f>IFERROR(IF(AND($BD252&gt;=2,ABS($BG252-$BH252)/$BH252&lt;=BB設定!$B$12,$BI252&gt;=MAX($BH252,$BG252)*(1+BB設定!$B$13),終値!E252&gt;$BG252),IF(OR(終値!E252&gt;=$BI252,AND($BH252&lt;$BJ252,$BG252&gt;=$BK252)),"二番底W▲","二番底W形成"),IF(AND($BL252&gt;=2,ABS($BO252-$BP252)/$BP252&lt;=BB設定!$B$12,$BQ252&lt;=MIN($BP252,$BO252)*(1-BB設定!$B$13),終値!E252&lt;$BO252),IF(OR(終値!E252&lt;=$BQ252,AND($BP252&gt;$BR252,$BO252&lt;=$BS252)),"二番天井M▼","二番天井M形成"),"－")),"－")</f>
      </c>
    </row>
    <row r="253">
      <c r="B253" s="684">
        <f>IF(終値!A253="","",IF(AND(安値!G253&lt;安値!F253,安値!G253&lt;安値!E253,安値!G253&lt;安値!H253,安値!G253&lt;安値!I253),2,""))</f>
      </c>
      <c r="C253" s="684">
        <f>IF(終値!A253="","",IF(AND(安値!H253&lt;安値!G253,安値!H253&lt;安値!F253,安値!H253&lt;安値!I253,安値!H253&lt;安値!J253),3,""))</f>
      </c>
      <c r="D253" s="684">
        <f>IF(終値!A253="","",IF(AND(安値!I253&lt;安値!H253,安値!I253&lt;安値!G253,安値!I253&lt;安値!J253,安値!I253&lt;安値!K253),4,""))</f>
      </c>
      <c r="E253" s="684">
        <f>IF(終値!A253="","",IF(AND(安値!J253&lt;安値!I253,安値!J253&lt;安値!H253,安値!J253&lt;安値!K253,安値!J253&lt;安値!L253),5,""))</f>
      </c>
      <c r="F253" s="684">
        <f>IF(終値!A253="","",IF(AND(安値!K253&lt;安値!J253,安値!K253&lt;安値!I253,安値!K253&lt;安値!L253,安値!K253&lt;安値!M253),6,""))</f>
      </c>
      <c r="G253" s="684">
        <f>IF(終値!A253="","",IF(AND(安値!L253&lt;安値!K253,安値!L253&lt;安値!J253,安値!L253&lt;安値!M253,安値!L253&lt;安値!N253),7,""))</f>
      </c>
      <c r="H253" s="684">
        <f>IF(終値!A253="","",IF(AND(安値!M253&lt;安値!L253,安値!M253&lt;安値!K253,安値!M253&lt;安値!N253,安値!M253&lt;安値!O253),8,""))</f>
      </c>
      <c r="I253" s="684">
        <f>IF(終値!A253="","",IF(AND(安値!N253&lt;安値!M253,安値!N253&lt;安値!L253,安値!N253&lt;安値!O253,安値!N253&lt;安値!P253),9,""))</f>
      </c>
      <c r="J253" s="684">
        <f>IF(終値!A253="","",IF(AND(安値!O253&lt;安値!N253,安値!O253&lt;安値!M253,安値!O253&lt;安値!P253,安値!O253&lt;安値!Q253),10,""))</f>
      </c>
      <c r="K253" s="684">
        <f>IF(終値!A253="","",IF(AND(安値!P253&lt;安値!O253,安値!P253&lt;安値!N253,安値!P253&lt;安値!Q253,安値!P253&lt;安値!R253),11,""))</f>
      </c>
      <c r="L253" s="684">
        <f>IF(終値!A253="","",IF(AND(安値!Q253&lt;安値!P253,安値!Q253&lt;安値!O253,安値!Q253&lt;安値!R253,安値!Q253&lt;安値!S253),12,""))</f>
      </c>
      <c r="M253" s="684">
        <f>IF(終値!A253="","",IF(AND(安値!R253&lt;安値!Q253,安値!R253&lt;安値!P253,安値!R253&lt;安値!S253,安値!R253&lt;安値!T253),13,""))</f>
      </c>
      <c r="N253" s="684">
        <f>IF(終値!A253="","",IF(AND(安値!S253&lt;安値!R253,安値!S253&lt;安値!Q253,安値!S253&lt;安値!T253,安値!S253&lt;安値!U253),14,""))</f>
      </c>
      <c r="O253" s="684">
        <f>IF(終値!A253="","",IF(AND(安値!T253&lt;安値!S253,安値!T253&lt;安値!R253,安値!T253&lt;安値!U253,安値!T253&lt;安値!V253),15,""))</f>
      </c>
      <c r="P253" s="684">
        <f>IF(終値!A253="","",IF(AND(安値!U253&lt;安値!T253,安値!U253&lt;安値!S253,安値!U253&lt;安値!V253,安値!U253&lt;安値!W253),16,""))</f>
      </c>
      <c r="Q253" s="684">
        <f>IF(終値!A253="","",IF(AND(安値!V253&lt;安値!U253,安値!V253&lt;安値!T253,安値!V253&lt;安値!W253,安値!V253&lt;安値!X253),17,""))</f>
      </c>
      <c r="R253" s="684">
        <f>IF(終値!A253="","",IF(AND(安値!W253&lt;安値!V253,安値!W253&lt;安値!U253,安値!W253&lt;安値!X253,安値!W253&lt;安値!Y253),18,""))</f>
      </c>
      <c r="S253" s="684">
        <f>IF(終値!A253="","",IF(AND(安値!X253&lt;安値!W253,安値!X253&lt;安値!V253,安値!X253&lt;安値!Y253,安値!X253&lt;安値!Z253),19,""))</f>
      </c>
      <c r="T253" s="684">
        <f>IF(終値!A253="","",IF(AND(安値!Y253&lt;安値!X253,安値!Y253&lt;安値!W253,安値!Y253&lt;安値!Z253,安値!Y253&lt;安値!AA253),20,""))</f>
      </c>
      <c r="U253" s="684">
        <f>IF(終値!A253="","",IF(AND(安値!Z253&lt;安値!Y253,安値!Z253&lt;安値!X253,安値!Z253&lt;安値!AA253,安値!Z253&lt;安値!AB253),21,""))</f>
      </c>
      <c r="V253" s="684">
        <f>IF(終値!A253="","",IF(AND(安値!AA253&lt;安値!Z253,安値!AA253&lt;安値!Y253,安値!AA253&lt;安値!AB253,安値!AA253&lt;安値!AC253),22,""))</f>
      </c>
      <c r="W253" s="684">
        <f>IF(終値!A253="","",IF(AND(安値!AB253&lt;安値!AA253,安値!AB253&lt;安値!Z253,安値!AB253&lt;安値!AC253,安値!AB253&lt;安値!AD253),23,""))</f>
      </c>
      <c r="X253" s="684">
        <f>IF(終値!A253="","",IF(AND(安値!AC253&lt;安値!AB253,安値!AC253&lt;安値!AA253,安値!AC253&lt;安値!AD253,安値!AC253&lt;安値!AE253),24,""))</f>
      </c>
      <c r="Y253" s="684">
        <f>IF(終値!A253="","",IF(AND(安値!AD253&lt;安値!AC253,安値!AD253&lt;安値!AB253,安値!AD253&lt;安値!AE253,安値!AD253&lt;安値!AF253),25,""))</f>
      </c>
      <c r="Z253" s="684">
        <f>IF(終値!A253="","",IF(AND(安値!AE253&lt;安値!AD253,安値!AE253&lt;安値!AC253,安値!AE253&lt;安値!AF253,安値!AE253&lt;安値!AG253),26,""))</f>
      </c>
      <c r="AA253" s="684">
        <f>IF(終値!A253="","",IF(AND(安値!AF253&lt;安値!AE253,安値!AF253&lt;安値!AD253,安値!AF253&lt;安値!AG253,安値!AF253&lt;安値!AH253),27,""))</f>
      </c>
      <c r="AB253" s="684">
        <f>IF(終値!A253="","",IF(AND(安値!AG253&lt;安値!AF253,安値!AG253&lt;安値!AE253,安値!AG253&lt;安値!AH253,安値!AG253&lt;安値!AI253),28,""))</f>
      </c>
      <c r="AC253" s="684">
        <f>IF(終値!A253="","",IF(AND(高値!G253&gt;高値!F253,高値!G253&gt;高値!E253,高値!G253&gt;高値!H253,高値!G253&gt;高値!I253),2,""))</f>
      </c>
      <c r="AD253" s="684">
        <f>IF(終値!A253="","",IF(AND(高値!H253&gt;高値!G253,高値!H253&gt;高値!F253,高値!H253&gt;高値!I253,高値!H253&gt;高値!J253),3,""))</f>
      </c>
      <c r="AE253" s="684">
        <f>IF(終値!A253="","",IF(AND(高値!I253&gt;高値!H253,高値!I253&gt;高値!G253,高値!I253&gt;高値!J253,高値!I253&gt;高値!K253),4,""))</f>
      </c>
      <c r="AF253" s="684">
        <f>IF(終値!A253="","",IF(AND(高値!J253&gt;高値!I253,高値!J253&gt;高値!H253,高値!J253&gt;高値!K253,高値!J253&gt;高値!L253),5,""))</f>
      </c>
      <c r="AG253" s="684">
        <f>IF(終値!A253="","",IF(AND(高値!K253&gt;高値!J253,高値!K253&gt;高値!I253,高値!K253&gt;高値!L253,高値!K253&gt;高値!M253),6,""))</f>
      </c>
      <c r="AH253" s="684">
        <f>IF(終値!A253="","",IF(AND(高値!L253&gt;高値!K253,高値!L253&gt;高値!J253,高値!L253&gt;高値!M253,高値!L253&gt;高値!N253),7,""))</f>
      </c>
      <c r="AI253" s="684">
        <f>IF(終値!A253="","",IF(AND(高値!M253&gt;高値!L253,高値!M253&gt;高値!K253,高値!M253&gt;高値!N253,高値!M253&gt;高値!O253),8,""))</f>
      </c>
      <c r="AJ253" s="684">
        <f>IF(終値!A253="","",IF(AND(高値!N253&gt;高値!M253,高値!N253&gt;高値!L253,高値!N253&gt;高値!O253,高値!N253&gt;高値!P253),9,""))</f>
      </c>
      <c r="AK253" s="684">
        <f>IF(終値!A253="","",IF(AND(高値!O253&gt;高値!N253,高値!O253&gt;高値!M253,高値!O253&gt;高値!P253,高値!O253&gt;高値!Q253),10,""))</f>
      </c>
      <c r="AL253" s="684">
        <f>IF(終値!A253="","",IF(AND(高値!P253&gt;高値!O253,高値!P253&gt;高値!N253,高値!P253&gt;高値!Q253,高値!P253&gt;高値!R253),11,""))</f>
      </c>
      <c r="AM253" s="684">
        <f>IF(終値!A253="","",IF(AND(高値!Q253&gt;高値!P253,高値!Q253&gt;高値!O253,高値!Q253&gt;高値!R253,高値!Q253&gt;高値!S253),12,""))</f>
      </c>
      <c r="AN253" s="684">
        <f>IF(終値!A253="","",IF(AND(高値!R253&gt;高値!Q253,高値!R253&gt;高値!P253,高値!R253&gt;高値!S253,高値!R253&gt;高値!T253),13,""))</f>
      </c>
      <c r="AO253" s="684">
        <f>IF(終値!A253="","",IF(AND(高値!S253&gt;高値!R253,高値!S253&gt;高値!Q253,高値!S253&gt;高値!T253,高値!S253&gt;高値!U253),14,""))</f>
      </c>
      <c r="AP253" s="684">
        <f>IF(終値!A253="","",IF(AND(高値!T253&gt;高値!S253,高値!T253&gt;高値!R253,高値!T253&gt;高値!U253,高値!T253&gt;高値!V253),15,""))</f>
      </c>
      <c r="AQ253" s="684">
        <f>IF(終値!A253="","",IF(AND(高値!U253&gt;高値!T253,高値!U253&gt;高値!S253,高値!U253&gt;高値!V253,高値!U253&gt;高値!W253),16,""))</f>
      </c>
      <c r="AR253" s="684">
        <f>IF(終値!A253="","",IF(AND(高値!V253&gt;高値!U253,高値!V253&gt;高値!T253,高値!V253&gt;高値!W253,高値!V253&gt;高値!X253),17,""))</f>
      </c>
      <c r="AS253" s="684">
        <f>IF(終値!A253="","",IF(AND(高値!W253&gt;高値!V253,高値!W253&gt;高値!U253,高値!W253&gt;高値!X253,高値!W253&gt;高値!Y253),18,""))</f>
      </c>
      <c r="AT253" s="684">
        <f>IF(終値!A253="","",IF(AND(高値!X253&gt;高値!W253,高値!X253&gt;高値!V253,高値!X253&gt;高値!Y253,高値!X253&gt;高値!Z253),19,""))</f>
      </c>
      <c r="AU253" s="684">
        <f>IF(終値!A253="","",IF(AND(高値!Y253&gt;高値!X253,高値!Y253&gt;高値!W253,高値!Y253&gt;高値!Z253,高値!Y253&gt;高値!AA253),20,""))</f>
      </c>
      <c r="AV253" s="684">
        <f>IF(終値!A253="","",IF(AND(高値!Z253&gt;高値!Y253,高値!Z253&gt;高値!X253,高値!Z253&gt;高値!AA253,高値!Z253&gt;高値!AB253),21,""))</f>
      </c>
      <c r="AW253" s="684">
        <f>IF(終値!A253="","",IF(AND(高値!AA253&gt;高値!Z253,高値!AA253&gt;高値!Y253,高値!AA253&gt;高値!AB253,高値!AA253&gt;高値!AC253),22,""))</f>
      </c>
      <c r="AX253" s="684">
        <f>IF(終値!A253="","",IF(AND(高値!AB253&gt;高値!AA253,高値!AB253&gt;高値!Z253,高値!AB253&gt;高値!AC253,高値!AB253&gt;高値!AD253),23,""))</f>
      </c>
      <c r="AY253" s="684">
        <f>IF(終値!A253="","",IF(AND(高値!AC253&gt;高値!AB253,高値!AC253&gt;高値!AA253,高値!AC253&gt;高値!AD253,高値!AC253&gt;高値!AE253),24,""))</f>
      </c>
      <c r="AZ253" s="684">
        <f>IF(終値!A253="","",IF(AND(高値!AD253&gt;高値!AC253,高値!AD253&gt;高値!AB253,高値!AD253&gt;高値!AE253,高値!AD253&gt;高値!AF253),25,""))</f>
      </c>
      <c r="BA253" s="684">
        <f>IF(終値!A253="","",IF(AND(高値!AE253&gt;高値!AD253,高値!AE253&gt;高値!AC253,高値!AE253&gt;高値!AF253,高値!AE253&gt;高値!AG253),26,""))</f>
      </c>
      <c r="BB253" s="684">
        <f>IF(終値!A253="","",IF(AND(高値!AF253&gt;高値!AE253,高値!AF253&gt;高値!AD253,高値!AF253&gt;高値!AG253,高値!AF253&gt;高値!AH253),27,""))</f>
      </c>
      <c r="BC253" s="684">
        <f>IF(終値!A253="","",IF(AND(高値!AG253&gt;高値!AF253,高値!AG253&gt;高値!AE253,高値!AG253&gt;高値!AH253,高値!AG253&gt;高値!AI253),28,""))</f>
      </c>
      <c r="BD253" s="684">
        <f>COUNT($B253:$AB253)</f>
      </c>
      <c r="BE253" s="684">
        <f>IF($BD253&gt;=2,MIN($B253:$AB253),"")</f>
      </c>
      <c r="BF253" s="684">
        <f>IF($BD253&gt;=2,SMALL($B253:$AB253,2),"")</f>
      </c>
      <c r="BG253" s="684">
        <f>IF($BE253="","",INDEX(安値!$E253:$CZ253,1,$BE253+1))</f>
      </c>
      <c r="BH253" s="684">
        <f>IF($BF253="","",INDEX(安値!$E253:$CZ253,1,$BF253+1))</f>
      </c>
      <c r="BI253" s="684">
        <f>IF($BF253="","",MAX(INDEX(高値!$E253:$CZ253,1,$BE253+1):INDEX(高値!$E253:$CZ253,1,$BF253+1)))</f>
      </c>
      <c r="BJ253" s="684">
        <f>IF($BF253="","",AVERAGE(INDEX(終値!$E253:$CZ253,1,$BF253+1):INDEX(終値!$E253:$CZ253,1,$BF253+20))-2*STDEVP(INDEX(終値!$E253:$CZ253,1,$BF253+1):INDEX(終値!$E253:$CZ253,1,$BF253+20)))</f>
      </c>
      <c r="BK253" s="684">
        <f>IF($BE253="","",AVERAGE(INDEX(終値!$E253:$CZ253,1,$BE253+1):INDEX(終値!$E253:$CZ253,1,$BE253+20))-2*STDEVP(INDEX(終値!$E253:$CZ253,1,$BE253+1):INDEX(終値!$E253:$CZ253,1,$BE253+20)))</f>
      </c>
      <c r="BL253" s="684">
        <f>COUNT($AC253:$BC253)</f>
      </c>
      <c r="BM253" s="684">
        <f>IF($BL253&gt;=2,MIN($AC253:$BC253),"")</f>
      </c>
      <c r="BN253" s="684">
        <f>IF($BL253&gt;=2,SMALL($AC253:$BC253,2),"")</f>
      </c>
      <c r="BO253" s="684">
        <f>IF($BM253="","",INDEX(高値!$E253:$CZ253,1,$BM253+1))</f>
      </c>
      <c r="BP253" s="684">
        <f>IF($BN253="","",INDEX(高値!$E253:$CZ253,1,$BN253+1))</f>
      </c>
      <c r="BQ253" s="684">
        <f>IF($BN253="","",MIN(INDEX(安値!$E253:$CZ253,1,$BM253+1):INDEX(安値!$E253:$CZ253,1,$BN253+1)))</f>
      </c>
      <c r="BR253" s="684">
        <f>IF($BN253="","",AVERAGE(INDEX(終値!$E253:$CZ253,1,$BN253+1):INDEX(終値!$E253:$CZ253,1,$BN253+20))+2*STDEVP(INDEX(終値!$E253:$CZ253,1,$BN253+1):INDEX(終値!$E253:$CZ253,1,$BN253+20)))</f>
      </c>
      <c r="BS253" s="684">
        <f>IF($BM253="","",AVERAGE(INDEX(終値!$E253:$CZ253,1,$BM253+1):INDEX(終値!$E253:$CZ253,1,$BM253+20))+2*STDEVP(INDEX(終値!$E253:$CZ253,1,$BM253+1):INDEX(終値!$E253:$CZ253,1,$BM253+20)))</f>
      </c>
      <c r="BT253" s="681">
        <f>IFERROR(IF(AND($BD253&gt;=2,ABS($BG253-$BH253)/$BH253&lt;=BB設定!$B$12,$BI253&gt;=MAX($BH253,$BG253)*(1+BB設定!$B$13),終値!E253&gt;$BG253),IF(OR(終値!E253&gt;=$BI253,AND($BH253&lt;$BJ253,$BG253&gt;=$BK253)),"二番底W▲","二番底W形成"),IF(AND($BL253&gt;=2,ABS($BO253-$BP253)/$BP253&lt;=BB設定!$B$12,$BQ253&lt;=MIN($BP253,$BO253)*(1-BB設定!$B$13),終値!E253&lt;$BO253),IF(OR(終値!E253&lt;=$BQ253,AND($BP253&gt;$BR253,$BO253&lt;=$BS253)),"二番天井M▼","二番天井M形成"),"－")),"－")</f>
      </c>
    </row>
    <row r="254">
      <c r="B254" s="684">
        <f>IF(終値!A254="","",IF(AND(安値!G254&lt;安値!F254,安値!G254&lt;安値!E254,安値!G254&lt;安値!H254,安値!G254&lt;安値!I254),2,""))</f>
      </c>
      <c r="C254" s="684">
        <f>IF(終値!A254="","",IF(AND(安値!H254&lt;安値!G254,安値!H254&lt;安値!F254,安値!H254&lt;安値!I254,安値!H254&lt;安値!J254),3,""))</f>
      </c>
      <c r="D254" s="684">
        <f>IF(終値!A254="","",IF(AND(安値!I254&lt;安値!H254,安値!I254&lt;安値!G254,安値!I254&lt;安値!J254,安値!I254&lt;安値!K254),4,""))</f>
      </c>
      <c r="E254" s="684">
        <f>IF(終値!A254="","",IF(AND(安値!J254&lt;安値!I254,安値!J254&lt;安値!H254,安値!J254&lt;安値!K254,安値!J254&lt;安値!L254),5,""))</f>
      </c>
      <c r="F254" s="684">
        <f>IF(終値!A254="","",IF(AND(安値!K254&lt;安値!J254,安値!K254&lt;安値!I254,安値!K254&lt;安値!L254,安値!K254&lt;安値!M254),6,""))</f>
      </c>
      <c r="G254" s="684">
        <f>IF(終値!A254="","",IF(AND(安値!L254&lt;安値!K254,安値!L254&lt;安値!J254,安値!L254&lt;安値!M254,安値!L254&lt;安値!N254),7,""))</f>
      </c>
      <c r="H254" s="684">
        <f>IF(終値!A254="","",IF(AND(安値!M254&lt;安値!L254,安値!M254&lt;安値!K254,安値!M254&lt;安値!N254,安値!M254&lt;安値!O254),8,""))</f>
      </c>
      <c r="I254" s="684">
        <f>IF(終値!A254="","",IF(AND(安値!N254&lt;安値!M254,安値!N254&lt;安値!L254,安値!N254&lt;安値!O254,安値!N254&lt;安値!P254),9,""))</f>
      </c>
      <c r="J254" s="684">
        <f>IF(終値!A254="","",IF(AND(安値!O254&lt;安値!N254,安値!O254&lt;安値!M254,安値!O254&lt;安値!P254,安値!O254&lt;安値!Q254),10,""))</f>
      </c>
      <c r="K254" s="684">
        <f>IF(終値!A254="","",IF(AND(安値!P254&lt;安値!O254,安値!P254&lt;安値!N254,安値!P254&lt;安値!Q254,安値!P254&lt;安値!R254),11,""))</f>
      </c>
      <c r="L254" s="684">
        <f>IF(終値!A254="","",IF(AND(安値!Q254&lt;安値!P254,安値!Q254&lt;安値!O254,安値!Q254&lt;安値!R254,安値!Q254&lt;安値!S254),12,""))</f>
      </c>
      <c r="M254" s="684">
        <f>IF(終値!A254="","",IF(AND(安値!R254&lt;安値!Q254,安値!R254&lt;安値!P254,安値!R254&lt;安値!S254,安値!R254&lt;安値!T254),13,""))</f>
      </c>
      <c r="N254" s="684">
        <f>IF(終値!A254="","",IF(AND(安値!S254&lt;安値!R254,安値!S254&lt;安値!Q254,安値!S254&lt;安値!T254,安値!S254&lt;安値!U254),14,""))</f>
      </c>
      <c r="O254" s="684">
        <f>IF(終値!A254="","",IF(AND(安値!T254&lt;安値!S254,安値!T254&lt;安値!R254,安値!T254&lt;安値!U254,安値!T254&lt;安値!V254),15,""))</f>
      </c>
      <c r="P254" s="684">
        <f>IF(終値!A254="","",IF(AND(安値!U254&lt;安値!T254,安値!U254&lt;安値!S254,安値!U254&lt;安値!V254,安値!U254&lt;安値!W254),16,""))</f>
      </c>
      <c r="Q254" s="684">
        <f>IF(終値!A254="","",IF(AND(安値!V254&lt;安値!U254,安値!V254&lt;安値!T254,安値!V254&lt;安値!W254,安値!V254&lt;安値!X254),17,""))</f>
      </c>
      <c r="R254" s="684">
        <f>IF(終値!A254="","",IF(AND(安値!W254&lt;安値!V254,安値!W254&lt;安値!U254,安値!W254&lt;安値!X254,安値!W254&lt;安値!Y254),18,""))</f>
      </c>
      <c r="S254" s="684">
        <f>IF(終値!A254="","",IF(AND(安値!X254&lt;安値!W254,安値!X254&lt;安値!V254,安値!X254&lt;安値!Y254,安値!X254&lt;安値!Z254),19,""))</f>
      </c>
      <c r="T254" s="684">
        <f>IF(終値!A254="","",IF(AND(安値!Y254&lt;安値!X254,安値!Y254&lt;安値!W254,安値!Y254&lt;安値!Z254,安値!Y254&lt;安値!AA254),20,""))</f>
      </c>
      <c r="U254" s="684">
        <f>IF(終値!A254="","",IF(AND(安値!Z254&lt;安値!Y254,安値!Z254&lt;安値!X254,安値!Z254&lt;安値!AA254,安値!Z254&lt;安値!AB254),21,""))</f>
      </c>
      <c r="V254" s="684">
        <f>IF(終値!A254="","",IF(AND(安値!AA254&lt;安値!Z254,安値!AA254&lt;安値!Y254,安値!AA254&lt;安値!AB254,安値!AA254&lt;安値!AC254),22,""))</f>
      </c>
      <c r="W254" s="684">
        <f>IF(終値!A254="","",IF(AND(安値!AB254&lt;安値!AA254,安値!AB254&lt;安値!Z254,安値!AB254&lt;安値!AC254,安値!AB254&lt;安値!AD254),23,""))</f>
      </c>
      <c r="X254" s="684">
        <f>IF(終値!A254="","",IF(AND(安値!AC254&lt;安値!AB254,安値!AC254&lt;安値!AA254,安値!AC254&lt;安値!AD254,安値!AC254&lt;安値!AE254),24,""))</f>
      </c>
      <c r="Y254" s="684">
        <f>IF(終値!A254="","",IF(AND(安値!AD254&lt;安値!AC254,安値!AD254&lt;安値!AB254,安値!AD254&lt;安値!AE254,安値!AD254&lt;安値!AF254),25,""))</f>
      </c>
      <c r="Z254" s="684">
        <f>IF(終値!A254="","",IF(AND(安値!AE254&lt;安値!AD254,安値!AE254&lt;安値!AC254,安値!AE254&lt;安値!AF254,安値!AE254&lt;安値!AG254),26,""))</f>
      </c>
      <c r="AA254" s="684">
        <f>IF(終値!A254="","",IF(AND(安値!AF254&lt;安値!AE254,安値!AF254&lt;安値!AD254,安値!AF254&lt;安値!AG254,安値!AF254&lt;安値!AH254),27,""))</f>
      </c>
      <c r="AB254" s="684">
        <f>IF(終値!A254="","",IF(AND(安値!AG254&lt;安値!AF254,安値!AG254&lt;安値!AE254,安値!AG254&lt;安値!AH254,安値!AG254&lt;安値!AI254),28,""))</f>
      </c>
      <c r="AC254" s="684">
        <f>IF(終値!A254="","",IF(AND(高値!G254&gt;高値!F254,高値!G254&gt;高値!E254,高値!G254&gt;高値!H254,高値!G254&gt;高値!I254),2,""))</f>
      </c>
      <c r="AD254" s="684">
        <f>IF(終値!A254="","",IF(AND(高値!H254&gt;高値!G254,高値!H254&gt;高値!F254,高値!H254&gt;高値!I254,高値!H254&gt;高値!J254),3,""))</f>
      </c>
      <c r="AE254" s="684">
        <f>IF(終値!A254="","",IF(AND(高値!I254&gt;高値!H254,高値!I254&gt;高値!G254,高値!I254&gt;高値!J254,高値!I254&gt;高値!K254),4,""))</f>
      </c>
      <c r="AF254" s="684">
        <f>IF(終値!A254="","",IF(AND(高値!J254&gt;高値!I254,高値!J254&gt;高値!H254,高値!J254&gt;高値!K254,高値!J254&gt;高値!L254),5,""))</f>
      </c>
      <c r="AG254" s="684">
        <f>IF(終値!A254="","",IF(AND(高値!K254&gt;高値!J254,高値!K254&gt;高値!I254,高値!K254&gt;高値!L254,高値!K254&gt;高値!M254),6,""))</f>
      </c>
      <c r="AH254" s="684">
        <f>IF(終値!A254="","",IF(AND(高値!L254&gt;高値!K254,高値!L254&gt;高値!J254,高値!L254&gt;高値!M254,高値!L254&gt;高値!N254),7,""))</f>
      </c>
      <c r="AI254" s="684">
        <f>IF(終値!A254="","",IF(AND(高値!M254&gt;高値!L254,高値!M254&gt;高値!K254,高値!M254&gt;高値!N254,高値!M254&gt;高値!O254),8,""))</f>
      </c>
      <c r="AJ254" s="684">
        <f>IF(終値!A254="","",IF(AND(高値!N254&gt;高値!M254,高値!N254&gt;高値!L254,高値!N254&gt;高値!O254,高値!N254&gt;高値!P254),9,""))</f>
      </c>
      <c r="AK254" s="684">
        <f>IF(終値!A254="","",IF(AND(高値!O254&gt;高値!N254,高値!O254&gt;高値!M254,高値!O254&gt;高値!P254,高値!O254&gt;高値!Q254),10,""))</f>
      </c>
      <c r="AL254" s="684">
        <f>IF(終値!A254="","",IF(AND(高値!P254&gt;高値!O254,高値!P254&gt;高値!N254,高値!P254&gt;高値!Q254,高値!P254&gt;高値!R254),11,""))</f>
      </c>
      <c r="AM254" s="684">
        <f>IF(終値!A254="","",IF(AND(高値!Q254&gt;高値!P254,高値!Q254&gt;高値!O254,高値!Q254&gt;高値!R254,高値!Q254&gt;高値!S254),12,""))</f>
      </c>
      <c r="AN254" s="684">
        <f>IF(終値!A254="","",IF(AND(高値!R254&gt;高値!Q254,高値!R254&gt;高値!P254,高値!R254&gt;高値!S254,高値!R254&gt;高値!T254),13,""))</f>
      </c>
      <c r="AO254" s="684">
        <f>IF(終値!A254="","",IF(AND(高値!S254&gt;高値!R254,高値!S254&gt;高値!Q254,高値!S254&gt;高値!T254,高値!S254&gt;高値!U254),14,""))</f>
      </c>
      <c r="AP254" s="684">
        <f>IF(終値!A254="","",IF(AND(高値!T254&gt;高値!S254,高値!T254&gt;高値!R254,高値!T254&gt;高値!U254,高値!T254&gt;高値!V254),15,""))</f>
      </c>
      <c r="AQ254" s="684">
        <f>IF(終値!A254="","",IF(AND(高値!U254&gt;高値!T254,高値!U254&gt;高値!S254,高値!U254&gt;高値!V254,高値!U254&gt;高値!W254),16,""))</f>
      </c>
      <c r="AR254" s="684">
        <f>IF(終値!A254="","",IF(AND(高値!V254&gt;高値!U254,高値!V254&gt;高値!T254,高値!V254&gt;高値!W254,高値!V254&gt;高値!X254),17,""))</f>
      </c>
      <c r="AS254" s="684">
        <f>IF(終値!A254="","",IF(AND(高値!W254&gt;高値!V254,高値!W254&gt;高値!U254,高値!W254&gt;高値!X254,高値!W254&gt;高値!Y254),18,""))</f>
      </c>
      <c r="AT254" s="684">
        <f>IF(終値!A254="","",IF(AND(高値!X254&gt;高値!W254,高値!X254&gt;高値!V254,高値!X254&gt;高値!Y254,高値!X254&gt;高値!Z254),19,""))</f>
      </c>
      <c r="AU254" s="684">
        <f>IF(終値!A254="","",IF(AND(高値!Y254&gt;高値!X254,高値!Y254&gt;高値!W254,高値!Y254&gt;高値!Z254,高値!Y254&gt;高値!AA254),20,""))</f>
      </c>
      <c r="AV254" s="684">
        <f>IF(終値!A254="","",IF(AND(高値!Z254&gt;高値!Y254,高値!Z254&gt;高値!X254,高値!Z254&gt;高値!AA254,高値!Z254&gt;高値!AB254),21,""))</f>
      </c>
      <c r="AW254" s="684">
        <f>IF(終値!A254="","",IF(AND(高値!AA254&gt;高値!Z254,高値!AA254&gt;高値!Y254,高値!AA254&gt;高値!AB254,高値!AA254&gt;高値!AC254),22,""))</f>
      </c>
      <c r="AX254" s="684">
        <f>IF(終値!A254="","",IF(AND(高値!AB254&gt;高値!AA254,高値!AB254&gt;高値!Z254,高値!AB254&gt;高値!AC254,高値!AB254&gt;高値!AD254),23,""))</f>
      </c>
      <c r="AY254" s="684">
        <f>IF(終値!A254="","",IF(AND(高値!AC254&gt;高値!AB254,高値!AC254&gt;高値!AA254,高値!AC254&gt;高値!AD254,高値!AC254&gt;高値!AE254),24,""))</f>
      </c>
      <c r="AZ254" s="684">
        <f>IF(終値!A254="","",IF(AND(高値!AD254&gt;高値!AC254,高値!AD254&gt;高値!AB254,高値!AD254&gt;高値!AE254,高値!AD254&gt;高値!AF254),25,""))</f>
      </c>
      <c r="BA254" s="684">
        <f>IF(終値!A254="","",IF(AND(高値!AE254&gt;高値!AD254,高値!AE254&gt;高値!AC254,高値!AE254&gt;高値!AF254,高値!AE254&gt;高値!AG254),26,""))</f>
      </c>
      <c r="BB254" s="684">
        <f>IF(終値!A254="","",IF(AND(高値!AF254&gt;高値!AE254,高値!AF254&gt;高値!AD254,高値!AF254&gt;高値!AG254,高値!AF254&gt;高値!AH254),27,""))</f>
      </c>
      <c r="BC254" s="684">
        <f>IF(終値!A254="","",IF(AND(高値!AG254&gt;高値!AF254,高値!AG254&gt;高値!AE254,高値!AG254&gt;高値!AH254,高値!AG254&gt;高値!AI254),28,""))</f>
      </c>
      <c r="BD254" s="684">
        <f>COUNT($B254:$AB254)</f>
      </c>
      <c r="BE254" s="684">
        <f>IF($BD254&gt;=2,MIN($B254:$AB254),"")</f>
      </c>
      <c r="BF254" s="684">
        <f>IF($BD254&gt;=2,SMALL($B254:$AB254,2),"")</f>
      </c>
      <c r="BG254" s="684">
        <f>IF($BE254="","",INDEX(安値!$E254:$CZ254,1,$BE254+1))</f>
      </c>
      <c r="BH254" s="684">
        <f>IF($BF254="","",INDEX(安値!$E254:$CZ254,1,$BF254+1))</f>
      </c>
      <c r="BI254" s="684">
        <f>IF($BF254="","",MAX(INDEX(高値!$E254:$CZ254,1,$BE254+1):INDEX(高値!$E254:$CZ254,1,$BF254+1)))</f>
      </c>
      <c r="BJ254" s="684">
        <f>IF($BF254="","",AVERAGE(INDEX(終値!$E254:$CZ254,1,$BF254+1):INDEX(終値!$E254:$CZ254,1,$BF254+20))-2*STDEVP(INDEX(終値!$E254:$CZ254,1,$BF254+1):INDEX(終値!$E254:$CZ254,1,$BF254+20)))</f>
      </c>
      <c r="BK254" s="684">
        <f>IF($BE254="","",AVERAGE(INDEX(終値!$E254:$CZ254,1,$BE254+1):INDEX(終値!$E254:$CZ254,1,$BE254+20))-2*STDEVP(INDEX(終値!$E254:$CZ254,1,$BE254+1):INDEX(終値!$E254:$CZ254,1,$BE254+20)))</f>
      </c>
      <c r="BL254" s="684">
        <f>COUNT($AC254:$BC254)</f>
      </c>
      <c r="BM254" s="684">
        <f>IF($BL254&gt;=2,MIN($AC254:$BC254),"")</f>
      </c>
      <c r="BN254" s="684">
        <f>IF($BL254&gt;=2,SMALL($AC254:$BC254,2),"")</f>
      </c>
      <c r="BO254" s="684">
        <f>IF($BM254="","",INDEX(高値!$E254:$CZ254,1,$BM254+1))</f>
      </c>
      <c r="BP254" s="684">
        <f>IF($BN254="","",INDEX(高値!$E254:$CZ254,1,$BN254+1))</f>
      </c>
      <c r="BQ254" s="684">
        <f>IF($BN254="","",MIN(INDEX(安値!$E254:$CZ254,1,$BM254+1):INDEX(安値!$E254:$CZ254,1,$BN254+1)))</f>
      </c>
      <c r="BR254" s="684">
        <f>IF($BN254="","",AVERAGE(INDEX(終値!$E254:$CZ254,1,$BN254+1):INDEX(終値!$E254:$CZ254,1,$BN254+20))+2*STDEVP(INDEX(終値!$E254:$CZ254,1,$BN254+1):INDEX(終値!$E254:$CZ254,1,$BN254+20)))</f>
      </c>
      <c r="BS254" s="684">
        <f>IF($BM254="","",AVERAGE(INDEX(終値!$E254:$CZ254,1,$BM254+1):INDEX(終値!$E254:$CZ254,1,$BM254+20))+2*STDEVP(INDEX(終値!$E254:$CZ254,1,$BM254+1):INDEX(終値!$E254:$CZ254,1,$BM254+20)))</f>
      </c>
      <c r="BT254" s="681">
        <f>IFERROR(IF(AND($BD254&gt;=2,ABS($BG254-$BH254)/$BH254&lt;=BB設定!$B$12,$BI254&gt;=MAX($BH254,$BG254)*(1+BB設定!$B$13),終値!E254&gt;$BG254),IF(OR(終値!E254&gt;=$BI254,AND($BH254&lt;$BJ254,$BG254&gt;=$BK254)),"二番底W▲","二番底W形成"),IF(AND($BL254&gt;=2,ABS($BO254-$BP254)/$BP254&lt;=BB設定!$B$12,$BQ254&lt;=MIN($BP254,$BO254)*(1-BB設定!$B$13),終値!E254&lt;$BO254),IF(OR(終値!E254&lt;=$BQ254,AND($BP254&gt;$BR254,$BO254&lt;=$BS254)),"二番天井M▼","二番天井M形成"),"－")),"－")</f>
      </c>
    </row>
    <row r="255">
      <c r="B255" s="684">
        <f>IF(終値!A255="","",IF(AND(安値!G255&lt;安値!F255,安値!G255&lt;安値!E255,安値!G255&lt;安値!H255,安値!G255&lt;安値!I255),2,""))</f>
      </c>
      <c r="C255" s="684">
        <f>IF(終値!A255="","",IF(AND(安値!H255&lt;安値!G255,安値!H255&lt;安値!F255,安値!H255&lt;安値!I255,安値!H255&lt;安値!J255),3,""))</f>
      </c>
      <c r="D255" s="684">
        <f>IF(終値!A255="","",IF(AND(安値!I255&lt;安値!H255,安値!I255&lt;安値!G255,安値!I255&lt;安値!J255,安値!I255&lt;安値!K255),4,""))</f>
      </c>
      <c r="E255" s="684">
        <f>IF(終値!A255="","",IF(AND(安値!J255&lt;安値!I255,安値!J255&lt;安値!H255,安値!J255&lt;安値!K255,安値!J255&lt;安値!L255),5,""))</f>
      </c>
      <c r="F255" s="684">
        <f>IF(終値!A255="","",IF(AND(安値!K255&lt;安値!J255,安値!K255&lt;安値!I255,安値!K255&lt;安値!L255,安値!K255&lt;安値!M255),6,""))</f>
      </c>
      <c r="G255" s="684">
        <f>IF(終値!A255="","",IF(AND(安値!L255&lt;安値!K255,安値!L255&lt;安値!J255,安値!L255&lt;安値!M255,安値!L255&lt;安値!N255),7,""))</f>
      </c>
      <c r="H255" s="684">
        <f>IF(終値!A255="","",IF(AND(安値!M255&lt;安値!L255,安値!M255&lt;安値!K255,安値!M255&lt;安値!N255,安値!M255&lt;安値!O255),8,""))</f>
      </c>
      <c r="I255" s="684">
        <f>IF(終値!A255="","",IF(AND(安値!N255&lt;安値!M255,安値!N255&lt;安値!L255,安値!N255&lt;安値!O255,安値!N255&lt;安値!P255),9,""))</f>
      </c>
      <c r="J255" s="684">
        <f>IF(終値!A255="","",IF(AND(安値!O255&lt;安値!N255,安値!O255&lt;安値!M255,安値!O255&lt;安値!P255,安値!O255&lt;安値!Q255),10,""))</f>
      </c>
      <c r="K255" s="684">
        <f>IF(終値!A255="","",IF(AND(安値!P255&lt;安値!O255,安値!P255&lt;安値!N255,安値!P255&lt;安値!Q255,安値!P255&lt;安値!R255),11,""))</f>
      </c>
      <c r="L255" s="684">
        <f>IF(終値!A255="","",IF(AND(安値!Q255&lt;安値!P255,安値!Q255&lt;安値!O255,安値!Q255&lt;安値!R255,安値!Q255&lt;安値!S255),12,""))</f>
      </c>
      <c r="M255" s="684">
        <f>IF(終値!A255="","",IF(AND(安値!R255&lt;安値!Q255,安値!R255&lt;安値!P255,安値!R255&lt;安値!S255,安値!R255&lt;安値!T255),13,""))</f>
      </c>
      <c r="N255" s="684">
        <f>IF(終値!A255="","",IF(AND(安値!S255&lt;安値!R255,安値!S255&lt;安値!Q255,安値!S255&lt;安値!T255,安値!S255&lt;安値!U255),14,""))</f>
      </c>
      <c r="O255" s="684">
        <f>IF(終値!A255="","",IF(AND(安値!T255&lt;安値!S255,安値!T255&lt;安値!R255,安値!T255&lt;安値!U255,安値!T255&lt;安値!V255),15,""))</f>
      </c>
      <c r="P255" s="684">
        <f>IF(終値!A255="","",IF(AND(安値!U255&lt;安値!T255,安値!U255&lt;安値!S255,安値!U255&lt;安値!V255,安値!U255&lt;安値!W255),16,""))</f>
      </c>
      <c r="Q255" s="684">
        <f>IF(終値!A255="","",IF(AND(安値!V255&lt;安値!U255,安値!V255&lt;安値!T255,安値!V255&lt;安値!W255,安値!V255&lt;安値!X255),17,""))</f>
      </c>
      <c r="R255" s="684">
        <f>IF(終値!A255="","",IF(AND(安値!W255&lt;安値!V255,安値!W255&lt;安値!U255,安値!W255&lt;安値!X255,安値!W255&lt;安値!Y255),18,""))</f>
      </c>
      <c r="S255" s="684">
        <f>IF(終値!A255="","",IF(AND(安値!X255&lt;安値!W255,安値!X255&lt;安値!V255,安値!X255&lt;安値!Y255,安値!X255&lt;安値!Z255),19,""))</f>
      </c>
      <c r="T255" s="684">
        <f>IF(終値!A255="","",IF(AND(安値!Y255&lt;安値!X255,安値!Y255&lt;安値!W255,安値!Y255&lt;安値!Z255,安値!Y255&lt;安値!AA255),20,""))</f>
      </c>
      <c r="U255" s="684">
        <f>IF(終値!A255="","",IF(AND(安値!Z255&lt;安値!Y255,安値!Z255&lt;安値!X255,安値!Z255&lt;安値!AA255,安値!Z255&lt;安値!AB255),21,""))</f>
      </c>
      <c r="V255" s="684">
        <f>IF(終値!A255="","",IF(AND(安値!AA255&lt;安値!Z255,安値!AA255&lt;安値!Y255,安値!AA255&lt;安値!AB255,安値!AA255&lt;安値!AC255),22,""))</f>
      </c>
      <c r="W255" s="684">
        <f>IF(終値!A255="","",IF(AND(安値!AB255&lt;安値!AA255,安値!AB255&lt;安値!Z255,安値!AB255&lt;安値!AC255,安値!AB255&lt;安値!AD255),23,""))</f>
      </c>
      <c r="X255" s="684">
        <f>IF(終値!A255="","",IF(AND(安値!AC255&lt;安値!AB255,安値!AC255&lt;安値!AA255,安値!AC255&lt;安値!AD255,安値!AC255&lt;安値!AE255),24,""))</f>
      </c>
      <c r="Y255" s="684">
        <f>IF(終値!A255="","",IF(AND(安値!AD255&lt;安値!AC255,安値!AD255&lt;安値!AB255,安値!AD255&lt;安値!AE255,安値!AD255&lt;安値!AF255),25,""))</f>
      </c>
      <c r="Z255" s="684">
        <f>IF(終値!A255="","",IF(AND(安値!AE255&lt;安値!AD255,安値!AE255&lt;安値!AC255,安値!AE255&lt;安値!AF255,安値!AE255&lt;安値!AG255),26,""))</f>
      </c>
      <c r="AA255" s="684">
        <f>IF(終値!A255="","",IF(AND(安値!AF255&lt;安値!AE255,安値!AF255&lt;安値!AD255,安値!AF255&lt;安値!AG255,安値!AF255&lt;安値!AH255),27,""))</f>
      </c>
      <c r="AB255" s="684">
        <f>IF(終値!A255="","",IF(AND(安値!AG255&lt;安値!AF255,安値!AG255&lt;安値!AE255,安値!AG255&lt;安値!AH255,安値!AG255&lt;安値!AI255),28,""))</f>
      </c>
      <c r="AC255" s="684">
        <f>IF(終値!A255="","",IF(AND(高値!G255&gt;高値!F255,高値!G255&gt;高値!E255,高値!G255&gt;高値!H255,高値!G255&gt;高値!I255),2,""))</f>
      </c>
      <c r="AD255" s="684">
        <f>IF(終値!A255="","",IF(AND(高値!H255&gt;高値!G255,高値!H255&gt;高値!F255,高値!H255&gt;高値!I255,高値!H255&gt;高値!J255),3,""))</f>
      </c>
      <c r="AE255" s="684">
        <f>IF(終値!A255="","",IF(AND(高値!I255&gt;高値!H255,高値!I255&gt;高値!G255,高値!I255&gt;高値!J255,高値!I255&gt;高値!K255),4,""))</f>
      </c>
      <c r="AF255" s="684">
        <f>IF(終値!A255="","",IF(AND(高値!J255&gt;高値!I255,高値!J255&gt;高値!H255,高値!J255&gt;高値!K255,高値!J255&gt;高値!L255),5,""))</f>
      </c>
      <c r="AG255" s="684">
        <f>IF(終値!A255="","",IF(AND(高値!K255&gt;高値!J255,高値!K255&gt;高値!I255,高値!K255&gt;高値!L255,高値!K255&gt;高値!M255),6,""))</f>
      </c>
      <c r="AH255" s="684">
        <f>IF(終値!A255="","",IF(AND(高値!L255&gt;高値!K255,高値!L255&gt;高値!J255,高値!L255&gt;高値!M255,高値!L255&gt;高値!N255),7,""))</f>
      </c>
      <c r="AI255" s="684">
        <f>IF(終値!A255="","",IF(AND(高値!M255&gt;高値!L255,高値!M255&gt;高値!K255,高値!M255&gt;高値!N255,高値!M255&gt;高値!O255),8,""))</f>
      </c>
      <c r="AJ255" s="684">
        <f>IF(終値!A255="","",IF(AND(高値!N255&gt;高値!M255,高値!N255&gt;高値!L255,高値!N255&gt;高値!O255,高値!N255&gt;高値!P255),9,""))</f>
      </c>
      <c r="AK255" s="684">
        <f>IF(終値!A255="","",IF(AND(高値!O255&gt;高値!N255,高値!O255&gt;高値!M255,高値!O255&gt;高値!P255,高値!O255&gt;高値!Q255),10,""))</f>
      </c>
      <c r="AL255" s="684">
        <f>IF(終値!A255="","",IF(AND(高値!P255&gt;高値!O255,高値!P255&gt;高値!N255,高値!P255&gt;高値!Q255,高値!P255&gt;高値!R255),11,""))</f>
      </c>
      <c r="AM255" s="684">
        <f>IF(終値!A255="","",IF(AND(高値!Q255&gt;高値!P255,高値!Q255&gt;高値!O255,高値!Q255&gt;高値!R255,高値!Q255&gt;高値!S255),12,""))</f>
      </c>
      <c r="AN255" s="684">
        <f>IF(終値!A255="","",IF(AND(高値!R255&gt;高値!Q255,高値!R255&gt;高値!P255,高値!R255&gt;高値!S255,高値!R255&gt;高値!T255),13,""))</f>
      </c>
      <c r="AO255" s="684">
        <f>IF(終値!A255="","",IF(AND(高値!S255&gt;高値!R255,高値!S255&gt;高値!Q255,高値!S255&gt;高値!T255,高値!S255&gt;高値!U255),14,""))</f>
      </c>
      <c r="AP255" s="684">
        <f>IF(終値!A255="","",IF(AND(高値!T255&gt;高値!S255,高値!T255&gt;高値!R255,高値!T255&gt;高値!U255,高値!T255&gt;高値!V255),15,""))</f>
      </c>
      <c r="AQ255" s="684">
        <f>IF(終値!A255="","",IF(AND(高値!U255&gt;高値!T255,高値!U255&gt;高値!S255,高値!U255&gt;高値!V255,高値!U255&gt;高値!W255),16,""))</f>
      </c>
      <c r="AR255" s="684">
        <f>IF(終値!A255="","",IF(AND(高値!V255&gt;高値!U255,高値!V255&gt;高値!T255,高値!V255&gt;高値!W255,高値!V255&gt;高値!X255),17,""))</f>
      </c>
      <c r="AS255" s="684">
        <f>IF(終値!A255="","",IF(AND(高値!W255&gt;高値!V255,高値!W255&gt;高値!U255,高値!W255&gt;高値!X255,高値!W255&gt;高値!Y255),18,""))</f>
      </c>
      <c r="AT255" s="684">
        <f>IF(終値!A255="","",IF(AND(高値!X255&gt;高値!W255,高値!X255&gt;高値!V255,高値!X255&gt;高値!Y255,高値!X255&gt;高値!Z255),19,""))</f>
      </c>
      <c r="AU255" s="684">
        <f>IF(終値!A255="","",IF(AND(高値!Y255&gt;高値!X255,高値!Y255&gt;高値!W255,高値!Y255&gt;高値!Z255,高値!Y255&gt;高値!AA255),20,""))</f>
      </c>
      <c r="AV255" s="684">
        <f>IF(終値!A255="","",IF(AND(高値!Z255&gt;高値!Y255,高値!Z255&gt;高値!X255,高値!Z255&gt;高値!AA255,高値!Z255&gt;高値!AB255),21,""))</f>
      </c>
      <c r="AW255" s="684">
        <f>IF(終値!A255="","",IF(AND(高値!AA255&gt;高値!Z255,高値!AA255&gt;高値!Y255,高値!AA255&gt;高値!AB255,高値!AA255&gt;高値!AC255),22,""))</f>
      </c>
      <c r="AX255" s="684">
        <f>IF(終値!A255="","",IF(AND(高値!AB255&gt;高値!AA255,高値!AB255&gt;高値!Z255,高値!AB255&gt;高値!AC255,高値!AB255&gt;高値!AD255),23,""))</f>
      </c>
      <c r="AY255" s="684">
        <f>IF(終値!A255="","",IF(AND(高値!AC255&gt;高値!AB255,高値!AC255&gt;高値!AA255,高値!AC255&gt;高値!AD255,高値!AC255&gt;高値!AE255),24,""))</f>
      </c>
      <c r="AZ255" s="684">
        <f>IF(終値!A255="","",IF(AND(高値!AD255&gt;高値!AC255,高値!AD255&gt;高値!AB255,高値!AD255&gt;高値!AE255,高値!AD255&gt;高値!AF255),25,""))</f>
      </c>
      <c r="BA255" s="684">
        <f>IF(終値!A255="","",IF(AND(高値!AE255&gt;高値!AD255,高値!AE255&gt;高値!AC255,高値!AE255&gt;高値!AF255,高値!AE255&gt;高値!AG255),26,""))</f>
      </c>
      <c r="BB255" s="684">
        <f>IF(終値!A255="","",IF(AND(高値!AF255&gt;高値!AE255,高値!AF255&gt;高値!AD255,高値!AF255&gt;高値!AG255,高値!AF255&gt;高値!AH255),27,""))</f>
      </c>
      <c r="BC255" s="684">
        <f>IF(終値!A255="","",IF(AND(高値!AG255&gt;高値!AF255,高値!AG255&gt;高値!AE255,高値!AG255&gt;高値!AH255,高値!AG255&gt;高値!AI255),28,""))</f>
      </c>
      <c r="BD255" s="684">
        <f>COUNT($B255:$AB255)</f>
      </c>
      <c r="BE255" s="684">
        <f>IF($BD255&gt;=2,MIN($B255:$AB255),"")</f>
      </c>
      <c r="BF255" s="684">
        <f>IF($BD255&gt;=2,SMALL($B255:$AB255,2),"")</f>
      </c>
      <c r="BG255" s="684">
        <f>IF($BE255="","",INDEX(安値!$E255:$CZ255,1,$BE255+1))</f>
      </c>
      <c r="BH255" s="684">
        <f>IF($BF255="","",INDEX(安値!$E255:$CZ255,1,$BF255+1))</f>
      </c>
      <c r="BI255" s="684">
        <f>IF($BF255="","",MAX(INDEX(高値!$E255:$CZ255,1,$BE255+1):INDEX(高値!$E255:$CZ255,1,$BF255+1)))</f>
      </c>
      <c r="BJ255" s="684">
        <f>IF($BF255="","",AVERAGE(INDEX(終値!$E255:$CZ255,1,$BF255+1):INDEX(終値!$E255:$CZ255,1,$BF255+20))-2*STDEVP(INDEX(終値!$E255:$CZ255,1,$BF255+1):INDEX(終値!$E255:$CZ255,1,$BF255+20)))</f>
      </c>
      <c r="BK255" s="684">
        <f>IF($BE255="","",AVERAGE(INDEX(終値!$E255:$CZ255,1,$BE255+1):INDEX(終値!$E255:$CZ255,1,$BE255+20))-2*STDEVP(INDEX(終値!$E255:$CZ255,1,$BE255+1):INDEX(終値!$E255:$CZ255,1,$BE255+20)))</f>
      </c>
      <c r="BL255" s="684">
        <f>COUNT($AC255:$BC255)</f>
      </c>
      <c r="BM255" s="684">
        <f>IF($BL255&gt;=2,MIN($AC255:$BC255),"")</f>
      </c>
      <c r="BN255" s="684">
        <f>IF($BL255&gt;=2,SMALL($AC255:$BC255,2),"")</f>
      </c>
      <c r="BO255" s="684">
        <f>IF($BM255="","",INDEX(高値!$E255:$CZ255,1,$BM255+1))</f>
      </c>
      <c r="BP255" s="684">
        <f>IF($BN255="","",INDEX(高値!$E255:$CZ255,1,$BN255+1))</f>
      </c>
      <c r="BQ255" s="684">
        <f>IF($BN255="","",MIN(INDEX(安値!$E255:$CZ255,1,$BM255+1):INDEX(安値!$E255:$CZ255,1,$BN255+1)))</f>
      </c>
      <c r="BR255" s="684">
        <f>IF($BN255="","",AVERAGE(INDEX(終値!$E255:$CZ255,1,$BN255+1):INDEX(終値!$E255:$CZ255,1,$BN255+20))+2*STDEVP(INDEX(終値!$E255:$CZ255,1,$BN255+1):INDEX(終値!$E255:$CZ255,1,$BN255+20)))</f>
      </c>
      <c r="BS255" s="684">
        <f>IF($BM255="","",AVERAGE(INDEX(終値!$E255:$CZ255,1,$BM255+1):INDEX(終値!$E255:$CZ255,1,$BM255+20))+2*STDEVP(INDEX(終値!$E255:$CZ255,1,$BM255+1):INDEX(終値!$E255:$CZ255,1,$BM255+20)))</f>
      </c>
      <c r="BT255" s="681">
        <f>IFERROR(IF(AND($BD255&gt;=2,ABS($BG255-$BH255)/$BH255&lt;=BB設定!$B$12,$BI255&gt;=MAX($BH255,$BG255)*(1+BB設定!$B$13),終値!E255&gt;$BG255),IF(OR(終値!E255&gt;=$BI255,AND($BH255&lt;$BJ255,$BG255&gt;=$BK255)),"二番底W▲","二番底W形成"),IF(AND($BL255&gt;=2,ABS($BO255-$BP255)/$BP255&lt;=BB設定!$B$12,$BQ255&lt;=MIN($BP255,$BO255)*(1-BB設定!$B$13),終値!E255&lt;$BO255),IF(OR(終値!E255&lt;=$BQ255,AND($BP255&gt;$BR255,$BO255&lt;=$BS255)),"二番天井M▼","二番天井M形成"),"－")),"－")</f>
      </c>
    </row>
    <row r="256">
      <c r="B256" s="684">
        <f>IF(終値!A256="","",IF(AND(安値!G256&lt;安値!F256,安値!G256&lt;安値!E256,安値!G256&lt;安値!H256,安値!G256&lt;安値!I256),2,""))</f>
      </c>
      <c r="C256" s="684">
        <f>IF(終値!A256="","",IF(AND(安値!H256&lt;安値!G256,安値!H256&lt;安値!F256,安値!H256&lt;安値!I256,安値!H256&lt;安値!J256),3,""))</f>
      </c>
      <c r="D256" s="684">
        <f>IF(終値!A256="","",IF(AND(安値!I256&lt;安値!H256,安値!I256&lt;安値!G256,安値!I256&lt;安値!J256,安値!I256&lt;安値!K256),4,""))</f>
      </c>
      <c r="E256" s="684">
        <f>IF(終値!A256="","",IF(AND(安値!J256&lt;安値!I256,安値!J256&lt;安値!H256,安値!J256&lt;安値!K256,安値!J256&lt;安値!L256),5,""))</f>
      </c>
      <c r="F256" s="684">
        <f>IF(終値!A256="","",IF(AND(安値!K256&lt;安値!J256,安値!K256&lt;安値!I256,安値!K256&lt;安値!L256,安値!K256&lt;安値!M256),6,""))</f>
      </c>
      <c r="G256" s="684">
        <f>IF(終値!A256="","",IF(AND(安値!L256&lt;安値!K256,安値!L256&lt;安値!J256,安値!L256&lt;安値!M256,安値!L256&lt;安値!N256),7,""))</f>
      </c>
      <c r="H256" s="684">
        <f>IF(終値!A256="","",IF(AND(安値!M256&lt;安値!L256,安値!M256&lt;安値!K256,安値!M256&lt;安値!N256,安値!M256&lt;安値!O256),8,""))</f>
      </c>
      <c r="I256" s="684">
        <f>IF(終値!A256="","",IF(AND(安値!N256&lt;安値!M256,安値!N256&lt;安値!L256,安値!N256&lt;安値!O256,安値!N256&lt;安値!P256),9,""))</f>
      </c>
      <c r="J256" s="684">
        <f>IF(終値!A256="","",IF(AND(安値!O256&lt;安値!N256,安値!O256&lt;安値!M256,安値!O256&lt;安値!P256,安値!O256&lt;安値!Q256),10,""))</f>
      </c>
      <c r="K256" s="684">
        <f>IF(終値!A256="","",IF(AND(安値!P256&lt;安値!O256,安値!P256&lt;安値!N256,安値!P256&lt;安値!Q256,安値!P256&lt;安値!R256),11,""))</f>
      </c>
      <c r="L256" s="684">
        <f>IF(終値!A256="","",IF(AND(安値!Q256&lt;安値!P256,安値!Q256&lt;安値!O256,安値!Q256&lt;安値!R256,安値!Q256&lt;安値!S256),12,""))</f>
      </c>
      <c r="M256" s="684">
        <f>IF(終値!A256="","",IF(AND(安値!R256&lt;安値!Q256,安値!R256&lt;安値!P256,安値!R256&lt;安値!S256,安値!R256&lt;安値!T256),13,""))</f>
      </c>
      <c r="N256" s="684">
        <f>IF(終値!A256="","",IF(AND(安値!S256&lt;安値!R256,安値!S256&lt;安値!Q256,安値!S256&lt;安値!T256,安値!S256&lt;安値!U256),14,""))</f>
      </c>
      <c r="O256" s="684">
        <f>IF(終値!A256="","",IF(AND(安値!T256&lt;安値!S256,安値!T256&lt;安値!R256,安値!T256&lt;安値!U256,安値!T256&lt;安値!V256),15,""))</f>
      </c>
      <c r="P256" s="684">
        <f>IF(終値!A256="","",IF(AND(安値!U256&lt;安値!T256,安値!U256&lt;安値!S256,安値!U256&lt;安値!V256,安値!U256&lt;安値!W256),16,""))</f>
      </c>
      <c r="Q256" s="684">
        <f>IF(終値!A256="","",IF(AND(安値!V256&lt;安値!U256,安値!V256&lt;安値!T256,安値!V256&lt;安値!W256,安値!V256&lt;安値!X256),17,""))</f>
      </c>
      <c r="R256" s="684">
        <f>IF(終値!A256="","",IF(AND(安値!W256&lt;安値!V256,安値!W256&lt;安値!U256,安値!W256&lt;安値!X256,安値!W256&lt;安値!Y256),18,""))</f>
      </c>
      <c r="S256" s="684">
        <f>IF(終値!A256="","",IF(AND(安値!X256&lt;安値!W256,安値!X256&lt;安値!V256,安値!X256&lt;安値!Y256,安値!X256&lt;安値!Z256),19,""))</f>
      </c>
      <c r="T256" s="684">
        <f>IF(終値!A256="","",IF(AND(安値!Y256&lt;安値!X256,安値!Y256&lt;安値!W256,安値!Y256&lt;安値!Z256,安値!Y256&lt;安値!AA256),20,""))</f>
      </c>
      <c r="U256" s="684">
        <f>IF(終値!A256="","",IF(AND(安値!Z256&lt;安値!Y256,安値!Z256&lt;安値!X256,安値!Z256&lt;安値!AA256,安値!Z256&lt;安値!AB256),21,""))</f>
      </c>
      <c r="V256" s="684">
        <f>IF(終値!A256="","",IF(AND(安値!AA256&lt;安値!Z256,安値!AA256&lt;安値!Y256,安値!AA256&lt;安値!AB256,安値!AA256&lt;安値!AC256),22,""))</f>
      </c>
      <c r="W256" s="684">
        <f>IF(終値!A256="","",IF(AND(安値!AB256&lt;安値!AA256,安値!AB256&lt;安値!Z256,安値!AB256&lt;安値!AC256,安値!AB256&lt;安値!AD256),23,""))</f>
      </c>
      <c r="X256" s="684">
        <f>IF(終値!A256="","",IF(AND(安値!AC256&lt;安値!AB256,安値!AC256&lt;安値!AA256,安値!AC256&lt;安値!AD256,安値!AC256&lt;安値!AE256),24,""))</f>
      </c>
      <c r="Y256" s="684">
        <f>IF(終値!A256="","",IF(AND(安値!AD256&lt;安値!AC256,安値!AD256&lt;安値!AB256,安値!AD256&lt;安値!AE256,安値!AD256&lt;安値!AF256),25,""))</f>
      </c>
      <c r="Z256" s="684">
        <f>IF(終値!A256="","",IF(AND(安値!AE256&lt;安値!AD256,安値!AE256&lt;安値!AC256,安値!AE256&lt;安値!AF256,安値!AE256&lt;安値!AG256),26,""))</f>
      </c>
      <c r="AA256" s="684">
        <f>IF(終値!A256="","",IF(AND(安値!AF256&lt;安値!AE256,安値!AF256&lt;安値!AD256,安値!AF256&lt;安値!AG256,安値!AF256&lt;安値!AH256),27,""))</f>
      </c>
      <c r="AB256" s="684">
        <f>IF(終値!A256="","",IF(AND(安値!AG256&lt;安値!AF256,安値!AG256&lt;安値!AE256,安値!AG256&lt;安値!AH256,安値!AG256&lt;安値!AI256),28,""))</f>
      </c>
      <c r="AC256" s="684">
        <f>IF(終値!A256="","",IF(AND(高値!G256&gt;高値!F256,高値!G256&gt;高値!E256,高値!G256&gt;高値!H256,高値!G256&gt;高値!I256),2,""))</f>
      </c>
      <c r="AD256" s="684">
        <f>IF(終値!A256="","",IF(AND(高値!H256&gt;高値!G256,高値!H256&gt;高値!F256,高値!H256&gt;高値!I256,高値!H256&gt;高値!J256),3,""))</f>
      </c>
      <c r="AE256" s="684">
        <f>IF(終値!A256="","",IF(AND(高値!I256&gt;高値!H256,高値!I256&gt;高値!G256,高値!I256&gt;高値!J256,高値!I256&gt;高値!K256),4,""))</f>
      </c>
      <c r="AF256" s="684">
        <f>IF(終値!A256="","",IF(AND(高値!J256&gt;高値!I256,高値!J256&gt;高値!H256,高値!J256&gt;高値!K256,高値!J256&gt;高値!L256),5,""))</f>
      </c>
      <c r="AG256" s="684">
        <f>IF(終値!A256="","",IF(AND(高値!K256&gt;高値!J256,高値!K256&gt;高値!I256,高値!K256&gt;高値!L256,高値!K256&gt;高値!M256),6,""))</f>
      </c>
      <c r="AH256" s="684">
        <f>IF(終値!A256="","",IF(AND(高値!L256&gt;高値!K256,高値!L256&gt;高値!J256,高値!L256&gt;高値!M256,高値!L256&gt;高値!N256),7,""))</f>
      </c>
      <c r="AI256" s="684">
        <f>IF(終値!A256="","",IF(AND(高値!M256&gt;高値!L256,高値!M256&gt;高値!K256,高値!M256&gt;高値!N256,高値!M256&gt;高値!O256),8,""))</f>
      </c>
      <c r="AJ256" s="684">
        <f>IF(終値!A256="","",IF(AND(高値!N256&gt;高値!M256,高値!N256&gt;高値!L256,高値!N256&gt;高値!O256,高値!N256&gt;高値!P256),9,""))</f>
      </c>
      <c r="AK256" s="684">
        <f>IF(終値!A256="","",IF(AND(高値!O256&gt;高値!N256,高値!O256&gt;高値!M256,高値!O256&gt;高値!P256,高値!O256&gt;高値!Q256),10,""))</f>
      </c>
      <c r="AL256" s="684">
        <f>IF(終値!A256="","",IF(AND(高値!P256&gt;高値!O256,高値!P256&gt;高値!N256,高値!P256&gt;高値!Q256,高値!P256&gt;高値!R256),11,""))</f>
      </c>
      <c r="AM256" s="684">
        <f>IF(終値!A256="","",IF(AND(高値!Q256&gt;高値!P256,高値!Q256&gt;高値!O256,高値!Q256&gt;高値!R256,高値!Q256&gt;高値!S256),12,""))</f>
      </c>
      <c r="AN256" s="684">
        <f>IF(終値!A256="","",IF(AND(高値!R256&gt;高値!Q256,高値!R256&gt;高値!P256,高値!R256&gt;高値!S256,高値!R256&gt;高値!T256),13,""))</f>
      </c>
      <c r="AO256" s="684">
        <f>IF(終値!A256="","",IF(AND(高値!S256&gt;高値!R256,高値!S256&gt;高値!Q256,高値!S256&gt;高値!T256,高値!S256&gt;高値!U256),14,""))</f>
      </c>
      <c r="AP256" s="684">
        <f>IF(終値!A256="","",IF(AND(高値!T256&gt;高値!S256,高値!T256&gt;高値!R256,高値!T256&gt;高値!U256,高値!T256&gt;高値!V256),15,""))</f>
      </c>
      <c r="AQ256" s="684">
        <f>IF(終値!A256="","",IF(AND(高値!U256&gt;高値!T256,高値!U256&gt;高値!S256,高値!U256&gt;高値!V256,高値!U256&gt;高値!W256),16,""))</f>
      </c>
      <c r="AR256" s="684">
        <f>IF(終値!A256="","",IF(AND(高値!V256&gt;高値!U256,高値!V256&gt;高値!T256,高値!V256&gt;高値!W256,高値!V256&gt;高値!X256),17,""))</f>
      </c>
      <c r="AS256" s="684">
        <f>IF(終値!A256="","",IF(AND(高値!W256&gt;高値!V256,高値!W256&gt;高値!U256,高値!W256&gt;高値!X256,高値!W256&gt;高値!Y256),18,""))</f>
      </c>
      <c r="AT256" s="684">
        <f>IF(終値!A256="","",IF(AND(高値!X256&gt;高値!W256,高値!X256&gt;高値!V256,高値!X256&gt;高値!Y256,高値!X256&gt;高値!Z256),19,""))</f>
      </c>
      <c r="AU256" s="684">
        <f>IF(終値!A256="","",IF(AND(高値!Y256&gt;高値!X256,高値!Y256&gt;高値!W256,高値!Y256&gt;高値!Z256,高値!Y256&gt;高値!AA256),20,""))</f>
      </c>
      <c r="AV256" s="684">
        <f>IF(終値!A256="","",IF(AND(高値!Z256&gt;高値!Y256,高値!Z256&gt;高値!X256,高値!Z256&gt;高値!AA256,高値!Z256&gt;高値!AB256),21,""))</f>
      </c>
      <c r="AW256" s="684">
        <f>IF(終値!A256="","",IF(AND(高値!AA256&gt;高値!Z256,高値!AA256&gt;高値!Y256,高値!AA256&gt;高値!AB256,高値!AA256&gt;高値!AC256),22,""))</f>
      </c>
      <c r="AX256" s="684">
        <f>IF(終値!A256="","",IF(AND(高値!AB256&gt;高値!AA256,高値!AB256&gt;高値!Z256,高値!AB256&gt;高値!AC256,高値!AB256&gt;高値!AD256),23,""))</f>
      </c>
      <c r="AY256" s="684">
        <f>IF(終値!A256="","",IF(AND(高値!AC256&gt;高値!AB256,高値!AC256&gt;高値!AA256,高値!AC256&gt;高値!AD256,高値!AC256&gt;高値!AE256),24,""))</f>
      </c>
      <c r="AZ256" s="684">
        <f>IF(終値!A256="","",IF(AND(高値!AD256&gt;高値!AC256,高値!AD256&gt;高値!AB256,高値!AD256&gt;高値!AE256,高値!AD256&gt;高値!AF256),25,""))</f>
      </c>
      <c r="BA256" s="684">
        <f>IF(終値!A256="","",IF(AND(高値!AE256&gt;高値!AD256,高値!AE256&gt;高値!AC256,高値!AE256&gt;高値!AF256,高値!AE256&gt;高値!AG256),26,""))</f>
      </c>
      <c r="BB256" s="684">
        <f>IF(終値!A256="","",IF(AND(高値!AF256&gt;高値!AE256,高値!AF256&gt;高値!AD256,高値!AF256&gt;高値!AG256,高値!AF256&gt;高値!AH256),27,""))</f>
      </c>
      <c r="BC256" s="684">
        <f>IF(終値!A256="","",IF(AND(高値!AG256&gt;高値!AF256,高値!AG256&gt;高値!AE256,高値!AG256&gt;高値!AH256,高値!AG256&gt;高値!AI256),28,""))</f>
      </c>
      <c r="BD256" s="684">
        <f>COUNT($B256:$AB256)</f>
      </c>
      <c r="BE256" s="684">
        <f>IF($BD256&gt;=2,MIN($B256:$AB256),"")</f>
      </c>
      <c r="BF256" s="684">
        <f>IF($BD256&gt;=2,SMALL($B256:$AB256,2),"")</f>
      </c>
      <c r="BG256" s="684">
        <f>IF($BE256="","",INDEX(安値!$E256:$CZ256,1,$BE256+1))</f>
      </c>
      <c r="BH256" s="684">
        <f>IF($BF256="","",INDEX(安値!$E256:$CZ256,1,$BF256+1))</f>
      </c>
      <c r="BI256" s="684">
        <f>IF($BF256="","",MAX(INDEX(高値!$E256:$CZ256,1,$BE256+1):INDEX(高値!$E256:$CZ256,1,$BF256+1)))</f>
      </c>
      <c r="BJ256" s="684">
        <f>IF($BF256="","",AVERAGE(INDEX(終値!$E256:$CZ256,1,$BF256+1):INDEX(終値!$E256:$CZ256,1,$BF256+20))-2*STDEVP(INDEX(終値!$E256:$CZ256,1,$BF256+1):INDEX(終値!$E256:$CZ256,1,$BF256+20)))</f>
      </c>
      <c r="BK256" s="684">
        <f>IF($BE256="","",AVERAGE(INDEX(終値!$E256:$CZ256,1,$BE256+1):INDEX(終値!$E256:$CZ256,1,$BE256+20))-2*STDEVP(INDEX(終値!$E256:$CZ256,1,$BE256+1):INDEX(終値!$E256:$CZ256,1,$BE256+20)))</f>
      </c>
      <c r="BL256" s="684">
        <f>COUNT($AC256:$BC256)</f>
      </c>
      <c r="BM256" s="684">
        <f>IF($BL256&gt;=2,MIN($AC256:$BC256),"")</f>
      </c>
      <c r="BN256" s="684">
        <f>IF($BL256&gt;=2,SMALL($AC256:$BC256,2),"")</f>
      </c>
      <c r="BO256" s="684">
        <f>IF($BM256="","",INDEX(高値!$E256:$CZ256,1,$BM256+1))</f>
      </c>
      <c r="BP256" s="684">
        <f>IF($BN256="","",INDEX(高値!$E256:$CZ256,1,$BN256+1))</f>
      </c>
      <c r="BQ256" s="684">
        <f>IF($BN256="","",MIN(INDEX(安値!$E256:$CZ256,1,$BM256+1):INDEX(安値!$E256:$CZ256,1,$BN256+1)))</f>
      </c>
      <c r="BR256" s="684">
        <f>IF($BN256="","",AVERAGE(INDEX(終値!$E256:$CZ256,1,$BN256+1):INDEX(終値!$E256:$CZ256,1,$BN256+20))+2*STDEVP(INDEX(終値!$E256:$CZ256,1,$BN256+1):INDEX(終値!$E256:$CZ256,1,$BN256+20)))</f>
      </c>
      <c r="BS256" s="684">
        <f>IF($BM256="","",AVERAGE(INDEX(終値!$E256:$CZ256,1,$BM256+1):INDEX(終値!$E256:$CZ256,1,$BM256+20))+2*STDEVP(INDEX(終値!$E256:$CZ256,1,$BM256+1):INDEX(終値!$E256:$CZ256,1,$BM256+20)))</f>
      </c>
      <c r="BT256" s="681">
        <f>IFERROR(IF(AND($BD256&gt;=2,ABS($BG256-$BH256)/$BH256&lt;=BB設定!$B$12,$BI256&gt;=MAX($BH256,$BG256)*(1+BB設定!$B$13),終値!E256&gt;$BG256),IF(OR(終値!E256&gt;=$BI256,AND($BH256&lt;$BJ256,$BG256&gt;=$BK256)),"二番底W▲","二番底W形成"),IF(AND($BL256&gt;=2,ABS($BO256-$BP256)/$BP256&lt;=BB設定!$B$12,$BQ256&lt;=MIN($BP256,$BO256)*(1-BB設定!$B$13),終値!E256&lt;$BO256),IF(OR(終値!E256&lt;=$BQ256,AND($BP256&gt;$BR256,$BO256&lt;=$BS256)),"二番天井M▼","二番天井M形成"),"－")),"－")</f>
      </c>
    </row>
    <row r="257">
      <c r="B257" s="684">
        <f>IF(終値!A257="","",IF(AND(安値!G257&lt;安値!F257,安値!G257&lt;安値!E257,安値!G257&lt;安値!H257,安値!G257&lt;安値!I257),2,""))</f>
      </c>
      <c r="C257" s="684">
        <f>IF(終値!A257="","",IF(AND(安値!H257&lt;安値!G257,安値!H257&lt;安値!F257,安値!H257&lt;安値!I257,安値!H257&lt;安値!J257),3,""))</f>
      </c>
      <c r="D257" s="684">
        <f>IF(終値!A257="","",IF(AND(安値!I257&lt;安値!H257,安値!I257&lt;安値!G257,安値!I257&lt;安値!J257,安値!I257&lt;安値!K257),4,""))</f>
      </c>
      <c r="E257" s="684">
        <f>IF(終値!A257="","",IF(AND(安値!J257&lt;安値!I257,安値!J257&lt;安値!H257,安値!J257&lt;安値!K257,安値!J257&lt;安値!L257),5,""))</f>
      </c>
      <c r="F257" s="684">
        <f>IF(終値!A257="","",IF(AND(安値!K257&lt;安値!J257,安値!K257&lt;安値!I257,安値!K257&lt;安値!L257,安値!K257&lt;安値!M257),6,""))</f>
      </c>
      <c r="G257" s="684">
        <f>IF(終値!A257="","",IF(AND(安値!L257&lt;安値!K257,安値!L257&lt;安値!J257,安値!L257&lt;安値!M257,安値!L257&lt;安値!N257),7,""))</f>
      </c>
      <c r="H257" s="684">
        <f>IF(終値!A257="","",IF(AND(安値!M257&lt;安値!L257,安値!M257&lt;安値!K257,安値!M257&lt;安値!N257,安値!M257&lt;安値!O257),8,""))</f>
      </c>
      <c r="I257" s="684">
        <f>IF(終値!A257="","",IF(AND(安値!N257&lt;安値!M257,安値!N257&lt;安値!L257,安値!N257&lt;安値!O257,安値!N257&lt;安値!P257),9,""))</f>
      </c>
      <c r="J257" s="684">
        <f>IF(終値!A257="","",IF(AND(安値!O257&lt;安値!N257,安値!O257&lt;安値!M257,安値!O257&lt;安値!P257,安値!O257&lt;安値!Q257),10,""))</f>
      </c>
      <c r="K257" s="684">
        <f>IF(終値!A257="","",IF(AND(安値!P257&lt;安値!O257,安値!P257&lt;安値!N257,安値!P257&lt;安値!Q257,安値!P257&lt;安値!R257),11,""))</f>
      </c>
      <c r="L257" s="684">
        <f>IF(終値!A257="","",IF(AND(安値!Q257&lt;安値!P257,安値!Q257&lt;安値!O257,安値!Q257&lt;安値!R257,安値!Q257&lt;安値!S257),12,""))</f>
      </c>
      <c r="M257" s="684">
        <f>IF(終値!A257="","",IF(AND(安値!R257&lt;安値!Q257,安値!R257&lt;安値!P257,安値!R257&lt;安値!S257,安値!R257&lt;安値!T257),13,""))</f>
      </c>
      <c r="N257" s="684">
        <f>IF(終値!A257="","",IF(AND(安値!S257&lt;安値!R257,安値!S257&lt;安値!Q257,安値!S257&lt;安値!T257,安値!S257&lt;安値!U257),14,""))</f>
      </c>
      <c r="O257" s="684">
        <f>IF(終値!A257="","",IF(AND(安値!T257&lt;安値!S257,安値!T257&lt;安値!R257,安値!T257&lt;安値!U257,安値!T257&lt;安値!V257),15,""))</f>
      </c>
      <c r="P257" s="684">
        <f>IF(終値!A257="","",IF(AND(安値!U257&lt;安値!T257,安値!U257&lt;安値!S257,安値!U257&lt;安値!V257,安値!U257&lt;安値!W257),16,""))</f>
      </c>
      <c r="Q257" s="684">
        <f>IF(終値!A257="","",IF(AND(安値!V257&lt;安値!U257,安値!V257&lt;安値!T257,安値!V257&lt;安値!W257,安値!V257&lt;安値!X257),17,""))</f>
      </c>
      <c r="R257" s="684">
        <f>IF(終値!A257="","",IF(AND(安値!W257&lt;安値!V257,安値!W257&lt;安値!U257,安値!W257&lt;安値!X257,安値!W257&lt;安値!Y257),18,""))</f>
      </c>
      <c r="S257" s="684">
        <f>IF(終値!A257="","",IF(AND(安値!X257&lt;安値!W257,安値!X257&lt;安値!V257,安値!X257&lt;安値!Y257,安値!X257&lt;安値!Z257),19,""))</f>
      </c>
      <c r="T257" s="684">
        <f>IF(終値!A257="","",IF(AND(安値!Y257&lt;安値!X257,安値!Y257&lt;安値!W257,安値!Y257&lt;安値!Z257,安値!Y257&lt;安値!AA257),20,""))</f>
      </c>
      <c r="U257" s="684">
        <f>IF(終値!A257="","",IF(AND(安値!Z257&lt;安値!Y257,安値!Z257&lt;安値!X257,安値!Z257&lt;安値!AA257,安値!Z257&lt;安値!AB257),21,""))</f>
      </c>
      <c r="V257" s="684">
        <f>IF(終値!A257="","",IF(AND(安値!AA257&lt;安値!Z257,安値!AA257&lt;安値!Y257,安値!AA257&lt;安値!AB257,安値!AA257&lt;安値!AC257),22,""))</f>
      </c>
      <c r="W257" s="684">
        <f>IF(終値!A257="","",IF(AND(安値!AB257&lt;安値!AA257,安値!AB257&lt;安値!Z257,安値!AB257&lt;安値!AC257,安値!AB257&lt;安値!AD257),23,""))</f>
      </c>
      <c r="X257" s="684">
        <f>IF(終値!A257="","",IF(AND(安値!AC257&lt;安値!AB257,安値!AC257&lt;安値!AA257,安値!AC257&lt;安値!AD257,安値!AC257&lt;安値!AE257),24,""))</f>
      </c>
      <c r="Y257" s="684">
        <f>IF(終値!A257="","",IF(AND(安値!AD257&lt;安値!AC257,安値!AD257&lt;安値!AB257,安値!AD257&lt;安値!AE257,安値!AD257&lt;安値!AF257),25,""))</f>
      </c>
      <c r="Z257" s="684">
        <f>IF(終値!A257="","",IF(AND(安値!AE257&lt;安値!AD257,安値!AE257&lt;安値!AC257,安値!AE257&lt;安値!AF257,安値!AE257&lt;安値!AG257),26,""))</f>
      </c>
      <c r="AA257" s="684">
        <f>IF(終値!A257="","",IF(AND(安値!AF257&lt;安値!AE257,安値!AF257&lt;安値!AD257,安値!AF257&lt;安値!AG257,安値!AF257&lt;安値!AH257),27,""))</f>
      </c>
      <c r="AB257" s="684">
        <f>IF(終値!A257="","",IF(AND(安値!AG257&lt;安値!AF257,安値!AG257&lt;安値!AE257,安値!AG257&lt;安値!AH257,安値!AG257&lt;安値!AI257),28,""))</f>
      </c>
      <c r="AC257" s="684">
        <f>IF(終値!A257="","",IF(AND(高値!G257&gt;高値!F257,高値!G257&gt;高値!E257,高値!G257&gt;高値!H257,高値!G257&gt;高値!I257),2,""))</f>
      </c>
      <c r="AD257" s="684">
        <f>IF(終値!A257="","",IF(AND(高値!H257&gt;高値!G257,高値!H257&gt;高値!F257,高値!H257&gt;高値!I257,高値!H257&gt;高値!J257),3,""))</f>
      </c>
      <c r="AE257" s="684">
        <f>IF(終値!A257="","",IF(AND(高値!I257&gt;高値!H257,高値!I257&gt;高値!G257,高値!I257&gt;高値!J257,高値!I257&gt;高値!K257),4,""))</f>
      </c>
      <c r="AF257" s="684">
        <f>IF(終値!A257="","",IF(AND(高値!J257&gt;高値!I257,高値!J257&gt;高値!H257,高値!J257&gt;高値!K257,高値!J257&gt;高値!L257),5,""))</f>
      </c>
      <c r="AG257" s="684">
        <f>IF(終値!A257="","",IF(AND(高値!K257&gt;高値!J257,高値!K257&gt;高値!I257,高値!K257&gt;高値!L257,高値!K257&gt;高値!M257),6,""))</f>
      </c>
      <c r="AH257" s="684">
        <f>IF(終値!A257="","",IF(AND(高値!L257&gt;高値!K257,高値!L257&gt;高値!J257,高値!L257&gt;高値!M257,高値!L257&gt;高値!N257),7,""))</f>
      </c>
      <c r="AI257" s="684">
        <f>IF(終値!A257="","",IF(AND(高値!M257&gt;高値!L257,高値!M257&gt;高値!K257,高値!M257&gt;高値!N257,高値!M257&gt;高値!O257),8,""))</f>
      </c>
      <c r="AJ257" s="684">
        <f>IF(終値!A257="","",IF(AND(高値!N257&gt;高値!M257,高値!N257&gt;高値!L257,高値!N257&gt;高値!O257,高値!N257&gt;高値!P257),9,""))</f>
      </c>
      <c r="AK257" s="684">
        <f>IF(終値!A257="","",IF(AND(高値!O257&gt;高値!N257,高値!O257&gt;高値!M257,高値!O257&gt;高値!P257,高値!O257&gt;高値!Q257),10,""))</f>
      </c>
      <c r="AL257" s="684">
        <f>IF(終値!A257="","",IF(AND(高値!P257&gt;高値!O257,高値!P257&gt;高値!N257,高値!P257&gt;高値!Q257,高値!P257&gt;高値!R257),11,""))</f>
      </c>
      <c r="AM257" s="684">
        <f>IF(終値!A257="","",IF(AND(高値!Q257&gt;高値!P257,高値!Q257&gt;高値!O257,高値!Q257&gt;高値!R257,高値!Q257&gt;高値!S257),12,""))</f>
      </c>
      <c r="AN257" s="684">
        <f>IF(終値!A257="","",IF(AND(高値!R257&gt;高値!Q257,高値!R257&gt;高値!P257,高値!R257&gt;高値!S257,高値!R257&gt;高値!T257),13,""))</f>
      </c>
      <c r="AO257" s="684">
        <f>IF(終値!A257="","",IF(AND(高値!S257&gt;高値!R257,高値!S257&gt;高値!Q257,高値!S257&gt;高値!T257,高値!S257&gt;高値!U257),14,""))</f>
      </c>
      <c r="AP257" s="684">
        <f>IF(終値!A257="","",IF(AND(高値!T257&gt;高値!S257,高値!T257&gt;高値!R257,高値!T257&gt;高値!U257,高値!T257&gt;高値!V257),15,""))</f>
      </c>
      <c r="AQ257" s="684">
        <f>IF(終値!A257="","",IF(AND(高値!U257&gt;高値!T257,高値!U257&gt;高値!S257,高値!U257&gt;高値!V257,高値!U257&gt;高値!W257),16,""))</f>
      </c>
      <c r="AR257" s="684">
        <f>IF(終値!A257="","",IF(AND(高値!V257&gt;高値!U257,高値!V257&gt;高値!T257,高値!V257&gt;高値!W257,高値!V257&gt;高値!X257),17,""))</f>
      </c>
      <c r="AS257" s="684">
        <f>IF(終値!A257="","",IF(AND(高値!W257&gt;高値!V257,高値!W257&gt;高値!U257,高値!W257&gt;高値!X257,高値!W257&gt;高値!Y257),18,""))</f>
      </c>
      <c r="AT257" s="684">
        <f>IF(終値!A257="","",IF(AND(高値!X257&gt;高値!W257,高値!X257&gt;高値!V257,高値!X257&gt;高値!Y257,高値!X257&gt;高値!Z257),19,""))</f>
      </c>
      <c r="AU257" s="684">
        <f>IF(終値!A257="","",IF(AND(高値!Y257&gt;高値!X257,高値!Y257&gt;高値!W257,高値!Y257&gt;高値!Z257,高値!Y257&gt;高値!AA257),20,""))</f>
      </c>
      <c r="AV257" s="684">
        <f>IF(終値!A257="","",IF(AND(高値!Z257&gt;高値!Y257,高値!Z257&gt;高値!X257,高値!Z257&gt;高値!AA257,高値!Z257&gt;高値!AB257),21,""))</f>
      </c>
      <c r="AW257" s="684">
        <f>IF(終値!A257="","",IF(AND(高値!AA257&gt;高値!Z257,高値!AA257&gt;高値!Y257,高値!AA257&gt;高値!AB257,高値!AA257&gt;高値!AC257),22,""))</f>
      </c>
      <c r="AX257" s="684">
        <f>IF(終値!A257="","",IF(AND(高値!AB257&gt;高値!AA257,高値!AB257&gt;高値!Z257,高値!AB257&gt;高値!AC257,高値!AB257&gt;高値!AD257),23,""))</f>
      </c>
      <c r="AY257" s="684">
        <f>IF(終値!A257="","",IF(AND(高値!AC257&gt;高値!AB257,高値!AC257&gt;高値!AA257,高値!AC257&gt;高値!AD257,高値!AC257&gt;高値!AE257),24,""))</f>
      </c>
      <c r="AZ257" s="684">
        <f>IF(終値!A257="","",IF(AND(高値!AD257&gt;高値!AC257,高値!AD257&gt;高値!AB257,高値!AD257&gt;高値!AE257,高値!AD257&gt;高値!AF257),25,""))</f>
      </c>
      <c r="BA257" s="684">
        <f>IF(終値!A257="","",IF(AND(高値!AE257&gt;高値!AD257,高値!AE257&gt;高値!AC257,高値!AE257&gt;高値!AF257,高値!AE257&gt;高値!AG257),26,""))</f>
      </c>
      <c r="BB257" s="684">
        <f>IF(終値!A257="","",IF(AND(高値!AF257&gt;高値!AE257,高値!AF257&gt;高値!AD257,高値!AF257&gt;高値!AG257,高値!AF257&gt;高値!AH257),27,""))</f>
      </c>
      <c r="BC257" s="684">
        <f>IF(終値!A257="","",IF(AND(高値!AG257&gt;高値!AF257,高値!AG257&gt;高値!AE257,高値!AG257&gt;高値!AH257,高値!AG257&gt;高値!AI257),28,""))</f>
      </c>
      <c r="BD257" s="684">
        <f>COUNT($B257:$AB257)</f>
      </c>
      <c r="BE257" s="684">
        <f>IF($BD257&gt;=2,MIN($B257:$AB257),"")</f>
      </c>
      <c r="BF257" s="684">
        <f>IF($BD257&gt;=2,SMALL($B257:$AB257,2),"")</f>
      </c>
      <c r="BG257" s="684">
        <f>IF($BE257="","",INDEX(安値!$E257:$CZ257,1,$BE257+1))</f>
      </c>
      <c r="BH257" s="684">
        <f>IF($BF257="","",INDEX(安値!$E257:$CZ257,1,$BF257+1))</f>
      </c>
      <c r="BI257" s="684">
        <f>IF($BF257="","",MAX(INDEX(高値!$E257:$CZ257,1,$BE257+1):INDEX(高値!$E257:$CZ257,1,$BF257+1)))</f>
      </c>
      <c r="BJ257" s="684">
        <f>IF($BF257="","",AVERAGE(INDEX(終値!$E257:$CZ257,1,$BF257+1):INDEX(終値!$E257:$CZ257,1,$BF257+20))-2*STDEVP(INDEX(終値!$E257:$CZ257,1,$BF257+1):INDEX(終値!$E257:$CZ257,1,$BF257+20)))</f>
      </c>
      <c r="BK257" s="684">
        <f>IF($BE257="","",AVERAGE(INDEX(終値!$E257:$CZ257,1,$BE257+1):INDEX(終値!$E257:$CZ257,1,$BE257+20))-2*STDEVP(INDEX(終値!$E257:$CZ257,1,$BE257+1):INDEX(終値!$E257:$CZ257,1,$BE257+20)))</f>
      </c>
      <c r="BL257" s="684">
        <f>COUNT($AC257:$BC257)</f>
      </c>
      <c r="BM257" s="684">
        <f>IF($BL257&gt;=2,MIN($AC257:$BC257),"")</f>
      </c>
      <c r="BN257" s="684">
        <f>IF($BL257&gt;=2,SMALL($AC257:$BC257,2),"")</f>
      </c>
      <c r="BO257" s="684">
        <f>IF($BM257="","",INDEX(高値!$E257:$CZ257,1,$BM257+1))</f>
      </c>
      <c r="BP257" s="684">
        <f>IF($BN257="","",INDEX(高値!$E257:$CZ257,1,$BN257+1))</f>
      </c>
      <c r="BQ257" s="684">
        <f>IF($BN257="","",MIN(INDEX(安値!$E257:$CZ257,1,$BM257+1):INDEX(安値!$E257:$CZ257,1,$BN257+1)))</f>
      </c>
      <c r="BR257" s="684">
        <f>IF($BN257="","",AVERAGE(INDEX(終値!$E257:$CZ257,1,$BN257+1):INDEX(終値!$E257:$CZ257,1,$BN257+20))+2*STDEVP(INDEX(終値!$E257:$CZ257,1,$BN257+1):INDEX(終値!$E257:$CZ257,1,$BN257+20)))</f>
      </c>
      <c r="BS257" s="684">
        <f>IF($BM257="","",AVERAGE(INDEX(終値!$E257:$CZ257,1,$BM257+1):INDEX(終値!$E257:$CZ257,1,$BM257+20))+2*STDEVP(INDEX(終値!$E257:$CZ257,1,$BM257+1):INDEX(終値!$E257:$CZ257,1,$BM257+20)))</f>
      </c>
      <c r="BT257" s="681">
        <f>IFERROR(IF(AND($BD257&gt;=2,ABS($BG257-$BH257)/$BH257&lt;=BB設定!$B$12,$BI257&gt;=MAX($BH257,$BG257)*(1+BB設定!$B$13),終値!E257&gt;$BG257),IF(OR(終値!E257&gt;=$BI257,AND($BH257&lt;$BJ257,$BG257&gt;=$BK257)),"二番底W▲","二番底W形成"),IF(AND($BL257&gt;=2,ABS($BO257-$BP257)/$BP257&lt;=BB設定!$B$12,$BQ257&lt;=MIN($BP257,$BO257)*(1-BB設定!$B$13),終値!E257&lt;$BO257),IF(OR(終値!E257&lt;=$BQ257,AND($BP257&gt;$BR257,$BO257&lt;=$BS257)),"二番天井M▼","二番天井M形成"),"－")),"－")</f>
      </c>
    </row>
    <row r="258">
      <c r="B258" s="684">
        <f>IF(終値!A258="","",IF(AND(安値!G258&lt;安値!F258,安値!G258&lt;安値!E258,安値!G258&lt;安値!H258,安値!G258&lt;安値!I258),2,""))</f>
      </c>
      <c r="C258" s="684">
        <f>IF(終値!A258="","",IF(AND(安値!H258&lt;安値!G258,安値!H258&lt;安値!F258,安値!H258&lt;安値!I258,安値!H258&lt;安値!J258),3,""))</f>
      </c>
      <c r="D258" s="684">
        <f>IF(終値!A258="","",IF(AND(安値!I258&lt;安値!H258,安値!I258&lt;安値!G258,安値!I258&lt;安値!J258,安値!I258&lt;安値!K258),4,""))</f>
      </c>
      <c r="E258" s="684">
        <f>IF(終値!A258="","",IF(AND(安値!J258&lt;安値!I258,安値!J258&lt;安値!H258,安値!J258&lt;安値!K258,安値!J258&lt;安値!L258),5,""))</f>
      </c>
      <c r="F258" s="684">
        <f>IF(終値!A258="","",IF(AND(安値!K258&lt;安値!J258,安値!K258&lt;安値!I258,安値!K258&lt;安値!L258,安値!K258&lt;安値!M258),6,""))</f>
      </c>
      <c r="G258" s="684">
        <f>IF(終値!A258="","",IF(AND(安値!L258&lt;安値!K258,安値!L258&lt;安値!J258,安値!L258&lt;安値!M258,安値!L258&lt;安値!N258),7,""))</f>
      </c>
      <c r="H258" s="684">
        <f>IF(終値!A258="","",IF(AND(安値!M258&lt;安値!L258,安値!M258&lt;安値!K258,安値!M258&lt;安値!N258,安値!M258&lt;安値!O258),8,""))</f>
      </c>
      <c r="I258" s="684">
        <f>IF(終値!A258="","",IF(AND(安値!N258&lt;安値!M258,安値!N258&lt;安値!L258,安値!N258&lt;安値!O258,安値!N258&lt;安値!P258),9,""))</f>
      </c>
      <c r="J258" s="684">
        <f>IF(終値!A258="","",IF(AND(安値!O258&lt;安値!N258,安値!O258&lt;安値!M258,安値!O258&lt;安値!P258,安値!O258&lt;安値!Q258),10,""))</f>
      </c>
      <c r="K258" s="684">
        <f>IF(終値!A258="","",IF(AND(安値!P258&lt;安値!O258,安値!P258&lt;安値!N258,安値!P258&lt;安値!Q258,安値!P258&lt;安値!R258),11,""))</f>
      </c>
      <c r="L258" s="684">
        <f>IF(終値!A258="","",IF(AND(安値!Q258&lt;安値!P258,安値!Q258&lt;安値!O258,安値!Q258&lt;安値!R258,安値!Q258&lt;安値!S258),12,""))</f>
      </c>
      <c r="M258" s="684">
        <f>IF(終値!A258="","",IF(AND(安値!R258&lt;安値!Q258,安値!R258&lt;安値!P258,安値!R258&lt;安値!S258,安値!R258&lt;安値!T258),13,""))</f>
      </c>
      <c r="N258" s="684">
        <f>IF(終値!A258="","",IF(AND(安値!S258&lt;安値!R258,安値!S258&lt;安値!Q258,安値!S258&lt;安値!T258,安値!S258&lt;安値!U258),14,""))</f>
      </c>
      <c r="O258" s="684">
        <f>IF(終値!A258="","",IF(AND(安値!T258&lt;安値!S258,安値!T258&lt;安値!R258,安値!T258&lt;安値!U258,安値!T258&lt;安値!V258),15,""))</f>
      </c>
      <c r="P258" s="684">
        <f>IF(終値!A258="","",IF(AND(安値!U258&lt;安値!T258,安値!U258&lt;安値!S258,安値!U258&lt;安値!V258,安値!U258&lt;安値!W258),16,""))</f>
      </c>
      <c r="Q258" s="684">
        <f>IF(終値!A258="","",IF(AND(安値!V258&lt;安値!U258,安値!V258&lt;安値!T258,安値!V258&lt;安値!W258,安値!V258&lt;安値!X258),17,""))</f>
      </c>
      <c r="R258" s="684">
        <f>IF(終値!A258="","",IF(AND(安値!W258&lt;安値!V258,安値!W258&lt;安値!U258,安値!W258&lt;安値!X258,安値!W258&lt;安値!Y258),18,""))</f>
      </c>
      <c r="S258" s="684">
        <f>IF(終値!A258="","",IF(AND(安値!X258&lt;安値!W258,安値!X258&lt;安値!V258,安値!X258&lt;安値!Y258,安値!X258&lt;安値!Z258),19,""))</f>
      </c>
      <c r="T258" s="684">
        <f>IF(終値!A258="","",IF(AND(安値!Y258&lt;安値!X258,安値!Y258&lt;安値!W258,安値!Y258&lt;安値!Z258,安値!Y258&lt;安値!AA258),20,""))</f>
      </c>
      <c r="U258" s="684">
        <f>IF(終値!A258="","",IF(AND(安値!Z258&lt;安値!Y258,安値!Z258&lt;安値!X258,安値!Z258&lt;安値!AA258,安値!Z258&lt;安値!AB258),21,""))</f>
      </c>
      <c r="V258" s="684">
        <f>IF(終値!A258="","",IF(AND(安値!AA258&lt;安値!Z258,安値!AA258&lt;安値!Y258,安値!AA258&lt;安値!AB258,安値!AA258&lt;安値!AC258),22,""))</f>
      </c>
      <c r="W258" s="684">
        <f>IF(終値!A258="","",IF(AND(安値!AB258&lt;安値!AA258,安値!AB258&lt;安値!Z258,安値!AB258&lt;安値!AC258,安値!AB258&lt;安値!AD258),23,""))</f>
      </c>
      <c r="X258" s="684">
        <f>IF(終値!A258="","",IF(AND(安値!AC258&lt;安値!AB258,安値!AC258&lt;安値!AA258,安値!AC258&lt;安値!AD258,安値!AC258&lt;安値!AE258),24,""))</f>
      </c>
      <c r="Y258" s="684">
        <f>IF(終値!A258="","",IF(AND(安値!AD258&lt;安値!AC258,安値!AD258&lt;安値!AB258,安値!AD258&lt;安値!AE258,安値!AD258&lt;安値!AF258),25,""))</f>
      </c>
      <c r="Z258" s="684">
        <f>IF(終値!A258="","",IF(AND(安値!AE258&lt;安値!AD258,安値!AE258&lt;安値!AC258,安値!AE258&lt;安値!AF258,安値!AE258&lt;安値!AG258),26,""))</f>
      </c>
      <c r="AA258" s="684">
        <f>IF(終値!A258="","",IF(AND(安値!AF258&lt;安値!AE258,安値!AF258&lt;安値!AD258,安値!AF258&lt;安値!AG258,安値!AF258&lt;安値!AH258),27,""))</f>
      </c>
      <c r="AB258" s="684">
        <f>IF(終値!A258="","",IF(AND(安値!AG258&lt;安値!AF258,安値!AG258&lt;安値!AE258,安値!AG258&lt;安値!AH258,安値!AG258&lt;安値!AI258),28,""))</f>
      </c>
      <c r="AC258" s="684">
        <f>IF(終値!A258="","",IF(AND(高値!G258&gt;高値!F258,高値!G258&gt;高値!E258,高値!G258&gt;高値!H258,高値!G258&gt;高値!I258),2,""))</f>
      </c>
      <c r="AD258" s="684">
        <f>IF(終値!A258="","",IF(AND(高値!H258&gt;高値!G258,高値!H258&gt;高値!F258,高値!H258&gt;高値!I258,高値!H258&gt;高値!J258),3,""))</f>
      </c>
      <c r="AE258" s="684">
        <f>IF(終値!A258="","",IF(AND(高値!I258&gt;高値!H258,高値!I258&gt;高値!G258,高値!I258&gt;高値!J258,高値!I258&gt;高値!K258),4,""))</f>
      </c>
      <c r="AF258" s="684">
        <f>IF(終値!A258="","",IF(AND(高値!J258&gt;高値!I258,高値!J258&gt;高値!H258,高値!J258&gt;高値!K258,高値!J258&gt;高値!L258),5,""))</f>
      </c>
      <c r="AG258" s="684">
        <f>IF(終値!A258="","",IF(AND(高値!K258&gt;高値!J258,高値!K258&gt;高値!I258,高値!K258&gt;高値!L258,高値!K258&gt;高値!M258),6,""))</f>
      </c>
      <c r="AH258" s="684">
        <f>IF(終値!A258="","",IF(AND(高値!L258&gt;高値!K258,高値!L258&gt;高値!J258,高値!L258&gt;高値!M258,高値!L258&gt;高値!N258),7,""))</f>
      </c>
      <c r="AI258" s="684">
        <f>IF(終値!A258="","",IF(AND(高値!M258&gt;高値!L258,高値!M258&gt;高値!K258,高値!M258&gt;高値!N258,高値!M258&gt;高値!O258),8,""))</f>
      </c>
      <c r="AJ258" s="684">
        <f>IF(終値!A258="","",IF(AND(高値!N258&gt;高値!M258,高値!N258&gt;高値!L258,高値!N258&gt;高値!O258,高値!N258&gt;高値!P258),9,""))</f>
      </c>
      <c r="AK258" s="684">
        <f>IF(終値!A258="","",IF(AND(高値!O258&gt;高値!N258,高値!O258&gt;高値!M258,高値!O258&gt;高値!P258,高値!O258&gt;高値!Q258),10,""))</f>
      </c>
      <c r="AL258" s="684">
        <f>IF(終値!A258="","",IF(AND(高値!P258&gt;高値!O258,高値!P258&gt;高値!N258,高値!P258&gt;高値!Q258,高値!P258&gt;高値!R258),11,""))</f>
      </c>
      <c r="AM258" s="684">
        <f>IF(終値!A258="","",IF(AND(高値!Q258&gt;高値!P258,高値!Q258&gt;高値!O258,高値!Q258&gt;高値!R258,高値!Q258&gt;高値!S258),12,""))</f>
      </c>
      <c r="AN258" s="684">
        <f>IF(終値!A258="","",IF(AND(高値!R258&gt;高値!Q258,高値!R258&gt;高値!P258,高値!R258&gt;高値!S258,高値!R258&gt;高値!T258),13,""))</f>
      </c>
      <c r="AO258" s="684">
        <f>IF(終値!A258="","",IF(AND(高値!S258&gt;高値!R258,高値!S258&gt;高値!Q258,高値!S258&gt;高値!T258,高値!S258&gt;高値!U258),14,""))</f>
      </c>
      <c r="AP258" s="684">
        <f>IF(終値!A258="","",IF(AND(高値!T258&gt;高値!S258,高値!T258&gt;高値!R258,高値!T258&gt;高値!U258,高値!T258&gt;高値!V258),15,""))</f>
      </c>
      <c r="AQ258" s="684">
        <f>IF(終値!A258="","",IF(AND(高値!U258&gt;高値!T258,高値!U258&gt;高値!S258,高値!U258&gt;高値!V258,高値!U258&gt;高値!W258),16,""))</f>
      </c>
      <c r="AR258" s="684">
        <f>IF(終値!A258="","",IF(AND(高値!V258&gt;高値!U258,高値!V258&gt;高値!T258,高値!V258&gt;高値!W258,高値!V258&gt;高値!X258),17,""))</f>
      </c>
      <c r="AS258" s="684">
        <f>IF(終値!A258="","",IF(AND(高値!W258&gt;高値!V258,高値!W258&gt;高値!U258,高値!W258&gt;高値!X258,高値!W258&gt;高値!Y258),18,""))</f>
      </c>
      <c r="AT258" s="684">
        <f>IF(終値!A258="","",IF(AND(高値!X258&gt;高値!W258,高値!X258&gt;高値!V258,高値!X258&gt;高値!Y258,高値!X258&gt;高値!Z258),19,""))</f>
      </c>
      <c r="AU258" s="684">
        <f>IF(終値!A258="","",IF(AND(高値!Y258&gt;高値!X258,高値!Y258&gt;高値!W258,高値!Y258&gt;高値!Z258,高値!Y258&gt;高値!AA258),20,""))</f>
      </c>
      <c r="AV258" s="684">
        <f>IF(終値!A258="","",IF(AND(高値!Z258&gt;高値!Y258,高値!Z258&gt;高値!X258,高値!Z258&gt;高値!AA258,高値!Z258&gt;高値!AB258),21,""))</f>
      </c>
      <c r="AW258" s="684">
        <f>IF(終値!A258="","",IF(AND(高値!AA258&gt;高値!Z258,高値!AA258&gt;高値!Y258,高値!AA258&gt;高値!AB258,高値!AA258&gt;高値!AC258),22,""))</f>
      </c>
      <c r="AX258" s="684">
        <f>IF(終値!A258="","",IF(AND(高値!AB258&gt;高値!AA258,高値!AB258&gt;高値!Z258,高値!AB258&gt;高値!AC258,高値!AB258&gt;高値!AD258),23,""))</f>
      </c>
      <c r="AY258" s="684">
        <f>IF(終値!A258="","",IF(AND(高値!AC258&gt;高値!AB258,高値!AC258&gt;高値!AA258,高値!AC258&gt;高値!AD258,高値!AC258&gt;高値!AE258),24,""))</f>
      </c>
      <c r="AZ258" s="684">
        <f>IF(終値!A258="","",IF(AND(高値!AD258&gt;高値!AC258,高値!AD258&gt;高値!AB258,高値!AD258&gt;高値!AE258,高値!AD258&gt;高値!AF258),25,""))</f>
      </c>
      <c r="BA258" s="684">
        <f>IF(終値!A258="","",IF(AND(高値!AE258&gt;高値!AD258,高値!AE258&gt;高値!AC258,高値!AE258&gt;高値!AF258,高値!AE258&gt;高値!AG258),26,""))</f>
      </c>
      <c r="BB258" s="684">
        <f>IF(終値!A258="","",IF(AND(高値!AF258&gt;高値!AE258,高値!AF258&gt;高値!AD258,高値!AF258&gt;高値!AG258,高値!AF258&gt;高値!AH258),27,""))</f>
      </c>
      <c r="BC258" s="684">
        <f>IF(終値!A258="","",IF(AND(高値!AG258&gt;高値!AF258,高値!AG258&gt;高値!AE258,高値!AG258&gt;高値!AH258,高値!AG258&gt;高値!AI258),28,""))</f>
      </c>
      <c r="BD258" s="684">
        <f>COUNT($B258:$AB258)</f>
      </c>
      <c r="BE258" s="684">
        <f>IF($BD258&gt;=2,MIN($B258:$AB258),"")</f>
      </c>
      <c r="BF258" s="684">
        <f>IF($BD258&gt;=2,SMALL($B258:$AB258,2),"")</f>
      </c>
      <c r="BG258" s="684">
        <f>IF($BE258="","",INDEX(安値!$E258:$CZ258,1,$BE258+1))</f>
      </c>
      <c r="BH258" s="684">
        <f>IF($BF258="","",INDEX(安値!$E258:$CZ258,1,$BF258+1))</f>
      </c>
      <c r="BI258" s="684">
        <f>IF($BF258="","",MAX(INDEX(高値!$E258:$CZ258,1,$BE258+1):INDEX(高値!$E258:$CZ258,1,$BF258+1)))</f>
      </c>
      <c r="BJ258" s="684">
        <f>IF($BF258="","",AVERAGE(INDEX(終値!$E258:$CZ258,1,$BF258+1):INDEX(終値!$E258:$CZ258,1,$BF258+20))-2*STDEVP(INDEX(終値!$E258:$CZ258,1,$BF258+1):INDEX(終値!$E258:$CZ258,1,$BF258+20)))</f>
      </c>
      <c r="BK258" s="684">
        <f>IF($BE258="","",AVERAGE(INDEX(終値!$E258:$CZ258,1,$BE258+1):INDEX(終値!$E258:$CZ258,1,$BE258+20))-2*STDEVP(INDEX(終値!$E258:$CZ258,1,$BE258+1):INDEX(終値!$E258:$CZ258,1,$BE258+20)))</f>
      </c>
      <c r="BL258" s="684">
        <f>COUNT($AC258:$BC258)</f>
      </c>
      <c r="BM258" s="684">
        <f>IF($BL258&gt;=2,MIN($AC258:$BC258),"")</f>
      </c>
      <c r="BN258" s="684">
        <f>IF($BL258&gt;=2,SMALL($AC258:$BC258,2),"")</f>
      </c>
      <c r="BO258" s="684">
        <f>IF($BM258="","",INDEX(高値!$E258:$CZ258,1,$BM258+1))</f>
      </c>
      <c r="BP258" s="684">
        <f>IF($BN258="","",INDEX(高値!$E258:$CZ258,1,$BN258+1))</f>
      </c>
      <c r="BQ258" s="684">
        <f>IF($BN258="","",MIN(INDEX(安値!$E258:$CZ258,1,$BM258+1):INDEX(安値!$E258:$CZ258,1,$BN258+1)))</f>
      </c>
      <c r="BR258" s="684">
        <f>IF($BN258="","",AVERAGE(INDEX(終値!$E258:$CZ258,1,$BN258+1):INDEX(終値!$E258:$CZ258,1,$BN258+20))+2*STDEVP(INDEX(終値!$E258:$CZ258,1,$BN258+1):INDEX(終値!$E258:$CZ258,1,$BN258+20)))</f>
      </c>
      <c r="BS258" s="684">
        <f>IF($BM258="","",AVERAGE(INDEX(終値!$E258:$CZ258,1,$BM258+1):INDEX(終値!$E258:$CZ258,1,$BM258+20))+2*STDEVP(INDEX(終値!$E258:$CZ258,1,$BM258+1):INDEX(終値!$E258:$CZ258,1,$BM258+20)))</f>
      </c>
      <c r="BT258" s="681">
        <f>IFERROR(IF(AND($BD258&gt;=2,ABS($BG258-$BH258)/$BH258&lt;=BB設定!$B$12,$BI258&gt;=MAX($BH258,$BG258)*(1+BB設定!$B$13),終値!E258&gt;$BG258),IF(OR(終値!E258&gt;=$BI258,AND($BH258&lt;$BJ258,$BG258&gt;=$BK258)),"二番底W▲","二番底W形成"),IF(AND($BL258&gt;=2,ABS($BO258-$BP258)/$BP258&lt;=BB設定!$B$12,$BQ258&lt;=MIN($BP258,$BO258)*(1-BB設定!$B$13),終値!E258&lt;$BO258),IF(OR(終値!E258&lt;=$BQ258,AND($BP258&gt;$BR258,$BO258&lt;=$BS258)),"二番天井M▼","二番天井M形成"),"－")),"－")</f>
      </c>
    </row>
    <row r="259">
      <c r="B259" s="684">
        <f>IF(終値!A259="","",IF(AND(安値!G259&lt;安値!F259,安値!G259&lt;安値!E259,安値!G259&lt;安値!H259,安値!G259&lt;安値!I259),2,""))</f>
      </c>
      <c r="C259" s="684">
        <f>IF(終値!A259="","",IF(AND(安値!H259&lt;安値!G259,安値!H259&lt;安値!F259,安値!H259&lt;安値!I259,安値!H259&lt;安値!J259),3,""))</f>
      </c>
      <c r="D259" s="684">
        <f>IF(終値!A259="","",IF(AND(安値!I259&lt;安値!H259,安値!I259&lt;安値!G259,安値!I259&lt;安値!J259,安値!I259&lt;安値!K259),4,""))</f>
      </c>
      <c r="E259" s="684">
        <f>IF(終値!A259="","",IF(AND(安値!J259&lt;安値!I259,安値!J259&lt;安値!H259,安値!J259&lt;安値!K259,安値!J259&lt;安値!L259),5,""))</f>
      </c>
      <c r="F259" s="684">
        <f>IF(終値!A259="","",IF(AND(安値!K259&lt;安値!J259,安値!K259&lt;安値!I259,安値!K259&lt;安値!L259,安値!K259&lt;安値!M259),6,""))</f>
      </c>
      <c r="G259" s="684">
        <f>IF(終値!A259="","",IF(AND(安値!L259&lt;安値!K259,安値!L259&lt;安値!J259,安値!L259&lt;安値!M259,安値!L259&lt;安値!N259),7,""))</f>
      </c>
      <c r="H259" s="684">
        <f>IF(終値!A259="","",IF(AND(安値!M259&lt;安値!L259,安値!M259&lt;安値!K259,安値!M259&lt;安値!N259,安値!M259&lt;安値!O259),8,""))</f>
      </c>
      <c r="I259" s="684">
        <f>IF(終値!A259="","",IF(AND(安値!N259&lt;安値!M259,安値!N259&lt;安値!L259,安値!N259&lt;安値!O259,安値!N259&lt;安値!P259),9,""))</f>
      </c>
      <c r="J259" s="684">
        <f>IF(終値!A259="","",IF(AND(安値!O259&lt;安値!N259,安値!O259&lt;安値!M259,安値!O259&lt;安値!P259,安値!O259&lt;安値!Q259),10,""))</f>
      </c>
      <c r="K259" s="684">
        <f>IF(終値!A259="","",IF(AND(安値!P259&lt;安値!O259,安値!P259&lt;安値!N259,安値!P259&lt;安値!Q259,安値!P259&lt;安値!R259),11,""))</f>
      </c>
      <c r="L259" s="684">
        <f>IF(終値!A259="","",IF(AND(安値!Q259&lt;安値!P259,安値!Q259&lt;安値!O259,安値!Q259&lt;安値!R259,安値!Q259&lt;安値!S259),12,""))</f>
      </c>
      <c r="M259" s="684">
        <f>IF(終値!A259="","",IF(AND(安値!R259&lt;安値!Q259,安値!R259&lt;安値!P259,安値!R259&lt;安値!S259,安値!R259&lt;安値!T259),13,""))</f>
      </c>
      <c r="N259" s="684">
        <f>IF(終値!A259="","",IF(AND(安値!S259&lt;安値!R259,安値!S259&lt;安値!Q259,安値!S259&lt;安値!T259,安値!S259&lt;安値!U259),14,""))</f>
      </c>
      <c r="O259" s="684">
        <f>IF(終値!A259="","",IF(AND(安値!T259&lt;安値!S259,安値!T259&lt;安値!R259,安値!T259&lt;安値!U259,安値!T259&lt;安値!V259),15,""))</f>
      </c>
      <c r="P259" s="684">
        <f>IF(終値!A259="","",IF(AND(安値!U259&lt;安値!T259,安値!U259&lt;安値!S259,安値!U259&lt;安値!V259,安値!U259&lt;安値!W259),16,""))</f>
      </c>
      <c r="Q259" s="684">
        <f>IF(終値!A259="","",IF(AND(安値!V259&lt;安値!U259,安値!V259&lt;安値!T259,安値!V259&lt;安値!W259,安値!V259&lt;安値!X259),17,""))</f>
      </c>
      <c r="R259" s="684">
        <f>IF(終値!A259="","",IF(AND(安値!W259&lt;安値!V259,安値!W259&lt;安値!U259,安値!W259&lt;安値!X259,安値!W259&lt;安値!Y259),18,""))</f>
      </c>
      <c r="S259" s="684">
        <f>IF(終値!A259="","",IF(AND(安値!X259&lt;安値!W259,安値!X259&lt;安値!V259,安値!X259&lt;安値!Y259,安値!X259&lt;安値!Z259),19,""))</f>
      </c>
      <c r="T259" s="684">
        <f>IF(終値!A259="","",IF(AND(安値!Y259&lt;安値!X259,安値!Y259&lt;安値!W259,安値!Y259&lt;安値!Z259,安値!Y259&lt;安値!AA259),20,""))</f>
      </c>
      <c r="U259" s="684">
        <f>IF(終値!A259="","",IF(AND(安値!Z259&lt;安値!Y259,安値!Z259&lt;安値!X259,安値!Z259&lt;安値!AA259,安値!Z259&lt;安値!AB259),21,""))</f>
      </c>
      <c r="V259" s="684">
        <f>IF(終値!A259="","",IF(AND(安値!AA259&lt;安値!Z259,安値!AA259&lt;安値!Y259,安値!AA259&lt;安値!AB259,安値!AA259&lt;安値!AC259),22,""))</f>
      </c>
      <c r="W259" s="684">
        <f>IF(終値!A259="","",IF(AND(安値!AB259&lt;安値!AA259,安値!AB259&lt;安値!Z259,安値!AB259&lt;安値!AC259,安値!AB259&lt;安値!AD259),23,""))</f>
      </c>
      <c r="X259" s="684">
        <f>IF(終値!A259="","",IF(AND(安値!AC259&lt;安値!AB259,安値!AC259&lt;安値!AA259,安値!AC259&lt;安値!AD259,安値!AC259&lt;安値!AE259),24,""))</f>
      </c>
      <c r="Y259" s="684">
        <f>IF(終値!A259="","",IF(AND(安値!AD259&lt;安値!AC259,安値!AD259&lt;安値!AB259,安値!AD259&lt;安値!AE259,安値!AD259&lt;安値!AF259),25,""))</f>
      </c>
      <c r="Z259" s="684">
        <f>IF(終値!A259="","",IF(AND(安値!AE259&lt;安値!AD259,安値!AE259&lt;安値!AC259,安値!AE259&lt;安値!AF259,安値!AE259&lt;安値!AG259),26,""))</f>
      </c>
      <c r="AA259" s="684">
        <f>IF(終値!A259="","",IF(AND(安値!AF259&lt;安値!AE259,安値!AF259&lt;安値!AD259,安値!AF259&lt;安値!AG259,安値!AF259&lt;安値!AH259),27,""))</f>
      </c>
      <c r="AB259" s="684">
        <f>IF(終値!A259="","",IF(AND(安値!AG259&lt;安値!AF259,安値!AG259&lt;安値!AE259,安値!AG259&lt;安値!AH259,安値!AG259&lt;安値!AI259),28,""))</f>
      </c>
      <c r="AC259" s="684">
        <f>IF(終値!A259="","",IF(AND(高値!G259&gt;高値!F259,高値!G259&gt;高値!E259,高値!G259&gt;高値!H259,高値!G259&gt;高値!I259),2,""))</f>
      </c>
      <c r="AD259" s="684">
        <f>IF(終値!A259="","",IF(AND(高値!H259&gt;高値!G259,高値!H259&gt;高値!F259,高値!H259&gt;高値!I259,高値!H259&gt;高値!J259),3,""))</f>
      </c>
      <c r="AE259" s="684">
        <f>IF(終値!A259="","",IF(AND(高値!I259&gt;高値!H259,高値!I259&gt;高値!G259,高値!I259&gt;高値!J259,高値!I259&gt;高値!K259),4,""))</f>
      </c>
      <c r="AF259" s="684">
        <f>IF(終値!A259="","",IF(AND(高値!J259&gt;高値!I259,高値!J259&gt;高値!H259,高値!J259&gt;高値!K259,高値!J259&gt;高値!L259),5,""))</f>
      </c>
      <c r="AG259" s="684">
        <f>IF(終値!A259="","",IF(AND(高値!K259&gt;高値!J259,高値!K259&gt;高値!I259,高値!K259&gt;高値!L259,高値!K259&gt;高値!M259),6,""))</f>
      </c>
      <c r="AH259" s="684">
        <f>IF(終値!A259="","",IF(AND(高値!L259&gt;高値!K259,高値!L259&gt;高値!J259,高値!L259&gt;高値!M259,高値!L259&gt;高値!N259),7,""))</f>
      </c>
      <c r="AI259" s="684">
        <f>IF(終値!A259="","",IF(AND(高値!M259&gt;高値!L259,高値!M259&gt;高値!K259,高値!M259&gt;高値!N259,高値!M259&gt;高値!O259),8,""))</f>
      </c>
      <c r="AJ259" s="684">
        <f>IF(終値!A259="","",IF(AND(高値!N259&gt;高値!M259,高値!N259&gt;高値!L259,高値!N259&gt;高値!O259,高値!N259&gt;高値!P259),9,""))</f>
      </c>
      <c r="AK259" s="684">
        <f>IF(終値!A259="","",IF(AND(高値!O259&gt;高値!N259,高値!O259&gt;高値!M259,高値!O259&gt;高値!P259,高値!O259&gt;高値!Q259),10,""))</f>
      </c>
      <c r="AL259" s="684">
        <f>IF(終値!A259="","",IF(AND(高値!P259&gt;高値!O259,高値!P259&gt;高値!N259,高値!P259&gt;高値!Q259,高値!P259&gt;高値!R259),11,""))</f>
      </c>
      <c r="AM259" s="684">
        <f>IF(終値!A259="","",IF(AND(高値!Q259&gt;高値!P259,高値!Q259&gt;高値!O259,高値!Q259&gt;高値!R259,高値!Q259&gt;高値!S259),12,""))</f>
      </c>
      <c r="AN259" s="684">
        <f>IF(終値!A259="","",IF(AND(高値!R259&gt;高値!Q259,高値!R259&gt;高値!P259,高値!R259&gt;高値!S259,高値!R259&gt;高値!T259),13,""))</f>
      </c>
      <c r="AO259" s="684">
        <f>IF(終値!A259="","",IF(AND(高値!S259&gt;高値!R259,高値!S259&gt;高値!Q259,高値!S259&gt;高値!T259,高値!S259&gt;高値!U259),14,""))</f>
      </c>
      <c r="AP259" s="684">
        <f>IF(終値!A259="","",IF(AND(高値!T259&gt;高値!S259,高値!T259&gt;高値!R259,高値!T259&gt;高値!U259,高値!T259&gt;高値!V259),15,""))</f>
      </c>
      <c r="AQ259" s="684">
        <f>IF(終値!A259="","",IF(AND(高値!U259&gt;高値!T259,高値!U259&gt;高値!S259,高値!U259&gt;高値!V259,高値!U259&gt;高値!W259),16,""))</f>
      </c>
      <c r="AR259" s="684">
        <f>IF(終値!A259="","",IF(AND(高値!V259&gt;高値!U259,高値!V259&gt;高値!T259,高値!V259&gt;高値!W259,高値!V259&gt;高値!X259),17,""))</f>
      </c>
      <c r="AS259" s="684">
        <f>IF(終値!A259="","",IF(AND(高値!W259&gt;高値!V259,高値!W259&gt;高値!U259,高値!W259&gt;高値!X259,高値!W259&gt;高値!Y259),18,""))</f>
      </c>
      <c r="AT259" s="684">
        <f>IF(終値!A259="","",IF(AND(高値!X259&gt;高値!W259,高値!X259&gt;高値!V259,高値!X259&gt;高値!Y259,高値!X259&gt;高値!Z259),19,""))</f>
      </c>
      <c r="AU259" s="684">
        <f>IF(終値!A259="","",IF(AND(高値!Y259&gt;高値!X259,高値!Y259&gt;高値!W259,高値!Y259&gt;高値!Z259,高値!Y259&gt;高値!AA259),20,""))</f>
      </c>
      <c r="AV259" s="684">
        <f>IF(終値!A259="","",IF(AND(高値!Z259&gt;高値!Y259,高値!Z259&gt;高値!X259,高値!Z259&gt;高値!AA259,高値!Z259&gt;高値!AB259),21,""))</f>
      </c>
      <c r="AW259" s="684">
        <f>IF(終値!A259="","",IF(AND(高値!AA259&gt;高値!Z259,高値!AA259&gt;高値!Y259,高値!AA259&gt;高値!AB259,高値!AA259&gt;高値!AC259),22,""))</f>
      </c>
      <c r="AX259" s="684">
        <f>IF(終値!A259="","",IF(AND(高値!AB259&gt;高値!AA259,高値!AB259&gt;高値!Z259,高値!AB259&gt;高値!AC259,高値!AB259&gt;高値!AD259),23,""))</f>
      </c>
      <c r="AY259" s="684">
        <f>IF(終値!A259="","",IF(AND(高値!AC259&gt;高値!AB259,高値!AC259&gt;高値!AA259,高値!AC259&gt;高値!AD259,高値!AC259&gt;高値!AE259),24,""))</f>
      </c>
      <c r="AZ259" s="684">
        <f>IF(終値!A259="","",IF(AND(高値!AD259&gt;高値!AC259,高値!AD259&gt;高値!AB259,高値!AD259&gt;高値!AE259,高値!AD259&gt;高値!AF259),25,""))</f>
      </c>
      <c r="BA259" s="684">
        <f>IF(終値!A259="","",IF(AND(高値!AE259&gt;高値!AD259,高値!AE259&gt;高値!AC259,高値!AE259&gt;高値!AF259,高値!AE259&gt;高値!AG259),26,""))</f>
      </c>
      <c r="BB259" s="684">
        <f>IF(終値!A259="","",IF(AND(高値!AF259&gt;高値!AE259,高値!AF259&gt;高値!AD259,高値!AF259&gt;高値!AG259,高値!AF259&gt;高値!AH259),27,""))</f>
      </c>
      <c r="BC259" s="684">
        <f>IF(終値!A259="","",IF(AND(高値!AG259&gt;高値!AF259,高値!AG259&gt;高値!AE259,高値!AG259&gt;高値!AH259,高値!AG259&gt;高値!AI259),28,""))</f>
      </c>
      <c r="BD259" s="684">
        <f>COUNT($B259:$AB259)</f>
      </c>
      <c r="BE259" s="684">
        <f>IF($BD259&gt;=2,MIN($B259:$AB259),"")</f>
      </c>
      <c r="BF259" s="684">
        <f>IF($BD259&gt;=2,SMALL($B259:$AB259,2),"")</f>
      </c>
      <c r="BG259" s="684">
        <f>IF($BE259="","",INDEX(安値!$E259:$CZ259,1,$BE259+1))</f>
      </c>
      <c r="BH259" s="684">
        <f>IF($BF259="","",INDEX(安値!$E259:$CZ259,1,$BF259+1))</f>
      </c>
      <c r="BI259" s="684">
        <f>IF($BF259="","",MAX(INDEX(高値!$E259:$CZ259,1,$BE259+1):INDEX(高値!$E259:$CZ259,1,$BF259+1)))</f>
      </c>
      <c r="BJ259" s="684">
        <f>IF($BF259="","",AVERAGE(INDEX(終値!$E259:$CZ259,1,$BF259+1):INDEX(終値!$E259:$CZ259,1,$BF259+20))-2*STDEVP(INDEX(終値!$E259:$CZ259,1,$BF259+1):INDEX(終値!$E259:$CZ259,1,$BF259+20)))</f>
      </c>
      <c r="BK259" s="684">
        <f>IF($BE259="","",AVERAGE(INDEX(終値!$E259:$CZ259,1,$BE259+1):INDEX(終値!$E259:$CZ259,1,$BE259+20))-2*STDEVP(INDEX(終値!$E259:$CZ259,1,$BE259+1):INDEX(終値!$E259:$CZ259,1,$BE259+20)))</f>
      </c>
      <c r="BL259" s="684">
        <f>COUNT($AC259:$BC259)</f>
      </c>
      <c r="BM259" s="684">
        <f>IF($BL259&gt;=2,MIN($AC259:$BC259),"")</f>
      </c>
      <c r="BN259" s="684">
        <f>IF($BL259&gt;=2,SMALL($AC259:$BC259,2),"")</f>
      </c>
      <c r="BO259" s="684">
        <f>IF($BM259="","",INDEX(高値!$E259:$CZ259,1,$BM259+1))</f>
      </c>
      <c r="BP259" s="684">
        <f>IF($BN259="","",INDEX(高値!$E259:$CZ259,1,$BN259+1))</f>
      </c>
      <c r="BQ259" s="684">
        <f>IF($BN259="","",MIN(INDEX(安値!$E259:$CZ259,1,$BM259+1):INDEX(安値!$E259:$CZ259,1,$BN259+1)))</f>
      </c>
      <c r="BR259" s="684">
        <f>IF($BN259="","",AVERAGE(INDEX(終値!$E259:$CZ259,1,$BN259+1):INDEX(終値!$E259:$CZ259,1,$BN259+20))+2*STDEVP(INDEX(終値!$E259:$CZ259,1,$BN259+1):INDEX(終値!$E259:$CZ259,1,$BN259+20)))</f>
      </c>
      <c r="BS259" s="684">
        <f>IF($BM259="","",AVERAGE(INDEX(終値!$E259:$CZ259,1,$BM259+1):INDEX(終値!$E259:$CZ259,1,$BM259+20))+2*STDEVP(INDEX(終値!$E259:$CZ259,1,$BM259+1):INDEX(終値!$E259:$CZ259,1,$BM259+20)))</f>
      </c>
      <c r="BT259" s="681">
        <f>IFERROR(IF(AND($BD259&gt;=2,ABS($BG259-$BH259)/$BH259&lt;=BB設定!$B$12,$BI259&gt;=MAX($BH259,$BG259)*(1+BB設定!$B$13),終値!E259&gt;$BG259),IF(OR(終値!E259&gt;=$BI259,AND($BH259&lt;$BJ259,$BG259&gt;=$BK259)),"二番底W▲","二番底W形成"),IF(AND($BL259&gt;=2,ABS($BO259-$BP259)/$BP259&lt;=BB設定!$B$12,$BQ259&lt;=MIN($BP259,$BO259)*(1-BB設定!$B$13),終値!E259&lt;$BO259),IF(OR(終値!E259&lt;=$BQ259,AND($BP259&gt;$BR259,$BO259&lt;=$BS259)),"二番天井M▼","二番天井M形成"),"－")),"－")</f>
      </c>
    </row>
    <row r="260">
      <c r="B260" s="684">
        <f>IF(終値!A260="","",IF(AND(安値!G260&lt;安値!F260,安値!G260&lt;安値!E260,安値!G260&lt;安値!H260,安値!G260&lt;安値!I260),2,""))</f>
      </c>
      <c r="C260" s="684">
        <f>IF(終値!A260="","",IF(AND(安値!H260&lt;安値!G260,安値!H260&lt;安値!F260,安値!H260&lt;安値!I260,安値!H260&lt;安値!J260),3,""))</f>
      </c>
      <c r="D260" s="684">
        <f>IF(終値!A260="","",IF(AND(安値!I260&lt;安値!H260,安値!I260&lt;安値!G260,安値!I260&lt;安値!J260,安値!I260&lt;安値!K260),4,""))</f>
      </c>
      <c r="E260" s="684">
        <f>IF(終値!A260="","",IF(AND(安値!J260&lt;安値!I260,安値!J260&lt;安値!H260,安値!J260&lt;安値!K260,安値!J260&lt;安値!L260),5,""))</f>
      </c>
      <c r="F260" s="684">
        <f>IF(終値!A260="","",IF(AND(安値!K260&lt;安値!J260,安値!K260&lt;安値!I260,安値!K260&lt;安値!L260,安値!K260&lt;安値!M260),6,""))</f>
      </c>
      <c r="G260" s="684">
        <f>IF(終値!A260="","",IF(AND(安値!L260&lt;安値!K260,安値!L260&lt;安値!J260,安値!L260&lt;安値!M260,安値!L260&lt;安値!N260),7,""))</f>
      </c>
      <c r="H260" s="684">
        <f>IF(終値!A260="","",IF(AND(安値!M260&lt;安値!L260,安値!M260&lt;安値!K260,安値!M260&lt;安値!N260,安値!M260&lt;安値!O260),8,""))</f>
      </c>
      <c r="I260" s="684">
        <f>IF(終値!A260="","",IF(AND(安値!N260&lt;安値!M260,安値!N260&lt;安値!L260,安値!N260&lt;安値!O260,安値!N260&lt;安値!P260),9,""))</f>
      </c>
      <c r="J260" s="684">
        <f>IF(終値!A260="","",IF(AND(安値!O260&lt;安値!N260,安値!O260&lt;安値!M260,安値!O260&lt;安値!P260,安値!O260&lt;安値!Q260),10,""))</f>
      </c>
      <c r="K260" s="684">
        <f>IF(終値!A260="","",IF(AND(安値!P260&lt;安値!O260,安値!P260&lt;安値!N260,安値!P260&lt;安値!Q260,安値!P260&lt;安値!R260),11,""))</f>
      </c>
      <c r="L260" s="684">
        <f>IF(終値!A260="","",IF(AND(安値!Q260&lt;安値!P260,安値!Q260&lt;安値!O260,安値!Q260&lt;安値!R260,安値!Q260&lt;安値!S260),12,""))</f>
      </c>
      <c r="M260" s="684">
        <f>IF(終値!A260="","",IF(AND(安値!R260&lt;安値!Q260,安値!R260&lt;安値!P260,安値!R260&lt;安値!S260,安値!R260&lt;安値!T260),13,""))</f>
      </c>
      <c r="N260" s="684">
        <f>IF(終値!A260="","",IF(AND(安値!S260&lt;安値!R260,安値!S260&lt;安値!Q260,安値!S260&lt;安値!T260,安値!S260&lt;安値!U260),14,""))</f>
      </c>
      <c r="O260" s="684">
        <f>IF(終値!A260="","",IF(AND(安値!T260&lt;安値!S260,安値!T260&lt;安値!R260,安値!T260&lt;安値!U260,安値!T260&lt;安値!V260),15,""))</f>
      </c>
      <c r="P260" s="684">
        <f>IF(終値!A260="","",IF(AND(安値!U260&lt;安値!T260,安値!U260&lt;安値!S260,安値!U260&lt;安値!V260,安値!U260&lt;安値!W260),16,""))</f>
      </c>
      <c r="Q260" s="684">
        <f>IF(終値!A260="","",IF(AND(安値!V260&lt;安値!U260,安値!V260&lt;安値!T260,安値!V260&lt;安値!W260,安値!V260&lt;安値!X260),17,""))</f>
      </c>
      <c r="R260" s="684">
        <f>IF(終値!A260="","",IF(AND(安値!W260&lt;安値!V260,安値!W260&lt;安値!U260,安値!W260&lt;安値!X260,安値!W260&lt;安値!Y260),18,""))</f>
      </c>
      <c r="S260" s="684">
        <f>IF(終値!A260="","",IF(AND(安値!X260&lt;安値!W260,安値!X260&lt;安値!V260,安値!X260&lt;安値!Y260,安値!X260&lt;安値!Z260),19,""))</f>
      </c>
      <c r="T260" s="684">
        <f>IF(終値!A260="","",IF(AND(安値!Y260&lt;安値!X260,安値!Y260&lt;安値!W260,安値!Y260&lt;安値!Z260,安値!Y260&lt;安値!AA260),20,""))</f>
      </c>
      <c r="U260" s="684">
        <f>IF(終値!A260="","",IF(AND(安値!Z260&lt;安値!Y260,安値!Z260&lt;安値!X260,安値!Z260&lt;安値!AA260,安値!Z260&lt;安値!AB260),21,""))</f>
      </c>
      <c r="V260" s="684">
        <f>IF(終値!A260="","",IF(AND(安値!AA260&lt;安値!Z260,安値!AA260&lt;安値!Y260,安値!AA260&lt;安値!AB260,安値!AA260&lt;安値!AC260),22,""))</f>
      </c>
      <c r="W260" s="684">
        <f>IF(終値!A260="","",IF(AND(安値!AB260&lt;安値!AA260,安値!AB260&lt;安値!Z260,安値!AB260&lt;安値!AC260,安値!AB260&lt;安値!AD260),23,""))</f>
      </c>
      <c r="X260" s="684">
        <f>IF(終値!A260="","",IF(AND(安値!AC260&lt;安値!AB260,安値!AC260&lt;安値!AA260,安値!AC260&lt;安値!AD260,安値!AC260&lt;安値!AE260),24,""))</f>
      </c>
      <c r="Y260" s="684">
        <f>IF(終値!A260="","",IF(AND(安値!AD260&lt;安値!AC260,安値!AD260&lt;安値!AB260,安値!AD260&lt;安値!AE260,安値!AD260&lt;安値!AF260),25,""))</f>
      </c>
      <c r="Z260" s="684">
        <f>IF(終値!A260="","",IF(AND(安値!AE260&lt;安値!AD260,安値!AE260&lt;安値!AC260,安値!AE260&lt;安値!AF260,安値!AE260&lt;安値!AG260),26,""))</f>
      </c>
      <c r="AA260" s="684">
        <f>IF(終値!A260="","",IF(AND(安値!AF260&lt;安値!AE260,安値!AF260&lt;安値!AD260,安値!AF260&lt;安値!AG260,安値!AF260&lt;安値!AH260),27,""))</f>
      </c>
      <c r="AB260" s="684">
        <f>IF(終値!A260="","",IF(AND(安値!AG260&lt;安値!AF260,安値!AG260&lt;安値!AE260,安値!AG260&lt;安値!AH260,安値!AG260&lt;安値!AI260),28,""))</f>
      </c>
      <c r="AC260" s="684">
        <f>IF(終値!A260="","",IF(AND(高値!G260&gt;高値!F260,高値!G260&gt;高値!E260,高値!G260&gt;高値!H260,高値!G260&gt;高値!I260),2,""))</f>
      </c>
      <c r="AD260" s="684">
        <f>IF(終値!A260="","",IF(AND(高値!H260&gt;高値!G260,高値!H260&gt;高値!F260,高値!H260&gt;高値!I260,高値!H260&gt;高値!J260),3,""))</f>
      </c>
      <c r="AE260" s="684">
        <f>IF(終値!A260="","",IF(AND(高値!I260&gt;高値!H260,高値!I260&gt;高値!G260,高値!I260&gt;高値!J260,高値!I260&gt;高値!K260),4,""))</f>
      </c>
      <c r="AF260" s="684">
        <f>IF(終値!A260="","",IF(AND(高値!J260&gt;高値!I260,高値!J260&gt;高値!H260,高値!J260&gt;高値!K260,高値!J260&gt;高値!L260),5,""))</f>
      </c>
      <c r="AG260" s="684">
        <f>IF(終値!A260="","",IF(AND(高値!K260&gt;高値!J260,高値!K260&gt;高値!I260,高値!K260&gt;高値!L260,高値!K260&gt;高値!M260),6,""))</f>
      </c>
      <c r="AH260" s="684">
        <f>IF(終値!A260="","",IF(AND(高値!L260&gt;高値!K260,高値!L260&gt;高値!J260,高値!L260&gt;高値!M260,高値!L260&gt;高値!N260),7,""))</f>
      </c>
      <c r="AI260" s="684">
        <f>IF(終値!A260="","",IF(AND(高値!M260&gt;高値!L260,高値!M260&gt;高値!K260,高値!M260&gt;高値!N260,高値!M260&gt;高値!O260),8,""))</f>
      </c>
      <c r="AJ260" s="684">
        <f>IF(終値!A260="","",IF(AND(高値!N260&gt;高値!M260,高値!N260&gt;高値!L260,高値!N260&gt;高値!O260,高値!N260&gt;高値!P260),9,""))</f>
      </c>
      <c r="AK260" s="684">
        <f>IF(終値!A260="","",IF(AND(高値!O260&gt;高値!N260,高値!O260&gt;高値!M260,高値!O260&gt;高値!P260,高値!O260&gt;高値!Q260),10,""))</f>
      </c>
      <c r="AL260" s="684">
        <f>IF(終値!A260="","",IF(AND(高値!P260&gt;高値!O260,高値!P260&gt;高値!N260,高値!P260&gt;高値!Q260,高値!P260&gt;高値!R260),11,""))</f>
      </c>
      <c r="AM260" s="684">
        <f>IF(終値!A260="","",IF(AND(高値!Q260&gt;高値!P260,高値!Q260&gt;高値!O260,高値!Q260&gt;高値!R260,高値!Q260&gt;高値!S260),12,""))</f>
      </c>
      <c r="AN260" s="684">
        <f>IF(終値!A260="","",IF(AND(高値!R260&gt;高値!Q260,高値!R260&gt;高値!P260,高値!R260&gt;高値!S260,高値!R260&gt;高値!T260),13,""))</f>
      </c>
      <c r="AO260" s="684">
        <f>IF(終値!A260="","",IF(AND(高値!S260&gt;高値!R260,高値!S260&gt;高値!Q260,高値!S260&gt;高値!T260,高値!S260&gt;高値!U260),14,""))</f>
      </c>
      <c r="AP260" s="684">
        <f>IF(終値!A260="","",IF(AND(高値!T260&gt;高値!S260,高値!T260&gt;高値!R260,高値!T260&gt;高値!U260,高値!T260&gt;高値!V260),15,""))</f>
      </c>
      <c r="AQ260" s="684">
        <f>IF(終値!A260="","",IF(AND(高値!U260&gt;高値!T260,高値!U260&gt;高値!S260,高値!U260&gt;高値!V260,高値!U260&gt;高値!W260),16,""))</f>
      </c>
      <c r="AR260" s="684">
        <f>IF(終値!A260="","",IF(AND(高値!V260&gt;高値!U260,高値!V260&gt;高値!T260,高値!V260&gt;高値!W260,高値!V260&gt;高値!X260),17,""))</f>
      </c>
      <c r="AS260" s="684">
        <f>IF(終値!A260="","",IF(AND(高値!W260&gt;高値!V260,高値!W260&gt;高値!U260,高値!W260&gt;高値!X260,高値!W260&gt;高値!Y260),18,""))</f>
      </c>
      <c r="AT260" s="684">
        <f>IF(終値!A260="","",IF(AND(高値!X260&gt;高値!W260,高値!X260&gt;高値!V260,高値!X260&gt;高値!Y260,高値!X260&gt;高値!Z260),19,""))</f>
      </c>
      <c r="AU260" s="684">
        <f>IF(終値!A260="","",IF(AND(高値!Y260&gt;高値!X260,高値!Y260&gt;高値!W260,高値!Y260&gt;高値!Z260,高値!Y260&gt;高値!AA260),20,""))</f>
      </c>
      <c r="AV260" s="684">
        <f>IF(終値!A260="","",IF(AND(高値!Z260&gt;高値!Y260,高値!Z260&gt;高値!X260,高値!Z260&gt;高値!AA260,高値!Z260&gt;高値!AB260),21,""))</f>
      </c>
      <c r="AW260" s="684">
        <f>IF(終値!A260="","",IF(AND(高値!AA260&gt;高値!Z260,高値!AA260&gt;高値!Y260,高値!AA260&gt;高値!AB260,高値!AA260&gt;高値!AC260),22,""))</f>
      </c>
      <c r="AX260" s="684">
        <f>IF(終値!A260="","",IF(AND(高値!AB260&gt;高値!AA260,高値!AB260&gt;高値!Z260,高値!AB260&gt;高値!AC260,高値!AB260&gt;高値!AD260),23,""))</f>
      </c>
      <c r="AY260" s="684">
        <f>IF(終値!A260="","",IF(AND(高値!AC260&gt;高値!AB260,高値!AC260&gt;高値!AA260,高値!AC260&gt;高値!AD260,高値!AC260&gt;高値!AE260),24,""))</f>
      </c>
      <c r="AZ260" s="684">
        <f>IF(終値!A260="","",IF(AND(高値!AD260&gt;高値!AC260,高値!AD260&gt;高値!AB260,高値!AD260&gt;高値!AE260,高値!AD260&gt;高値!AF260),25,""))</f>
      </c>
      <c r="BA260" s="684">
        <f>IF(終値!A260="","",IF(AND(高値!AE260&gt;高値!AD260,高値!AE260&gt;高値!AC260,高値!AE260&gt;高値!AF260,高値!AE260&gt;高値!AG260),26,""))</f>
      </c>
      <c r="BB260" s="684">
        <f>IF(終値!A260="","",IF(AND(高値!AF260&gt;高値!AE260,高値!AF260&gt;高値!AD260,高値!AF260&gt;高値!AG260,高値!AF260&gt;高値!AH260),27,""))</f>
      </c>
      <c r="BC260" s="684">
        <f>IF(終値!A260="","",IF(AND(高値!AG260&gt;高値!AF260,高値!AG260&gt;高値!AE260,高値!AG260&gt;高値!AH260,高値!AG260&gt;高値!AI260),28,""))</f>
      </c>
      <c r="BD260" s="684">
        <f>COUNT($B260:$AB260)</f>
      </c>
      <c r="BE260" s="684">
        <f>IF($BD260&gt;=2,MIN($B260:$AB260),"")</f>
      </c>
      <c r="BF260" s="684">
        <f>IF($BD260&gt;=2,SMALL($B260:$AB260,2),"")</f>
      </c>
      <c r="BG260" s="684">
        <f>IF($BE260="","",INDEX(安値!$E260:$CZ260,1,$BE260+1))</f>
      </c>
      <c r="BH260" s="684">
        <f>IF($BF260="","",INDEX(安値!$E260:$CZ260,1,$BF260+1))</f>
      </c>
      <c r="BI260" s="684">
        <f>IF($BF260="","",MAX(INDEX(高値!$E260:$CZ260,1,$BE260+1):INDEX(高値!$E260:$CZ260,1,$BF260+1)))</f>
      </c>
      <c r="BJ260" s="684">
        <f>IF($BF260="","",AVERAGE(INDEX(終値!$E260:$CZ260,1,$BF260+1):INDEX(終値!$E260:$CZ260,1,$BF260+20))-2*STDEVP(INDEX(終値!$E260:$CZ260,1,$BF260+1):INDEX(終値!$E260:$CZ260,1,$BF260+20)))</f>
      </c>
      <c r="BK260" s="684">
        <f>IF($BE260="","",AVERAGE(INDEX(終値!$E260:$CZ260,1,$BE260+1):INDEX(終値!$E260:$CZ260,1,$BE260+20))-2*STDEVP(INDEX(終値!$E260:$CZ260,1,$BE260+1):INDEX(終値!$E260:$CZ260,1,$BE260+20)))</f>
      </c>
      <c r="BL260" s="684">
        <f>COUNT($AC260:$BC260)</f>
      </c>
      <c r="BM260" s="684">
        <f>IF($BL260&gt;=2,MIN($AC260:$BC260),"")</f>
      </c>
      <c r="BN260" s="684">
        <f>IF($BL260&gt;=2,SMALL($AC260:$BC260,2),"")</f>
      </c>
      <c r="BO260" s="684">
        <f>IF($BM260="","",INDEX(高値!$E260:$CZ260,1,$BM260+1))</f>
      </c>
      <c r="BP260" s="684">
        <f>IF($BN260="","",INDEX(高値!$E260:$CZ260,1,$BN260+1))</f>
      </c>
      <c r="BQ260" s="684">
        <f>IF($BN260="","",MIN(INDEX(安値!$E260:$CZ260,1,$BM260+1):INDEX(安値!$E260:$CZ260,1,$BN260+1)))</f>
      </c>
      <c r="BR260" s="684">
        <f>IF($BN260="","",AVERAGE(INDEX(終値!$E260:$CZ260,1,$BN260+1):INDEX(終値!$E260:$CZ260,1,$BN260+20))+2*STDEVP(INDEX(終値!$E260:$CZ260,1,$BN260+1):INDEX(終値!$E260:$CZ260,1,$BN260+20)))</f>
      </c>
      <c r="BS260" s="684">
        <f>IF($BM260="","",AVERAGE(INDEX(終値!$E260:$CZ260,1,$BM260+1):INDEX(終値!$E260:$CZ260,1,$BM260+20))+2*STDEVP(INDEX(終値!$E260:$CZ260,1,$BM260+1):INDEX(終値!$E260:$CZ260,1,$BM260+20)))</f>
      </c>
      <c r="BT260" s="681">
        <f>IFERROR(IF(AND($BD260&gt;=2,ABS($BG260-$BH260)/$BH260&lt;=BB設定!$B$12,$BI260&gt;=MAX($BH260,$BG260)*(1+BB設定!$B$13),終値!E260&gt;$BG260),IF(OR(終値!E260&gt;=$BI260,AND($BH260&lt;$BJ260,$BG260&gt;=$BK260)),"二番底W▲","二番底W形成"),IF(AND($BL260&gt;=2,ABS($BO260-$BP260)/$BP260&lt;=BB設定!$B$12,$BQ260&lt;=MIN($BP260,$BO260)*(1-BB設定!$B$13),終値!E260&lt;$BO260),IF(OR(終値!E260&lt;=$BQ260,AND($BP260&gt;$BR260,$BO260&lt;=$BS260)),"二番天井M▼","二番天井M形成"),"－")),"－")</f>
      </c>
    </row>
    <row r="261">
      <c r="B261" s="684">
        <f>IF(終値!A261="","",IF(AND(安値!G261&lt;安値!F261,安値!G261&lt;安値!E261,安値!G261&lt;安値!H261,安値!G261&lt;安値!I261),2,""))</f>
      </c>
      <c r="C261" s="684">
        <f>IF(終値!A261="","",IF(AND(安値!H261&lt;安値!G261,安値!H261&lt;安値!F261,安値!H261&lt;安値!I261,安値!H261&lt;安値!J261),3,""))</f>
      </c>
      <c r="D261" s="684">
        <f>IF(終値!A261="","",IF(AND(安値!I261&lt;安値!H261,安値!I261&lt;安値!G261,安値!I261&lt;安値!J261,安値!I261&lt;安値!K261),4,""))</f>
      </c>
      <c r="E261" s="684">
        <f>IF(終値!A261="","",IF(AND(安値!J261&lt;安値!I261,安値!J261&lt;安値!H261,安値!J261&lt;安値!K261,安値!J261&lt;安値!L261),5,""))</f>
      </c>
      <c r="F261" s="684">
        <f>IF(終値!A261="","",IF(AND(安値!K261&lt;安値!J261,安値!K261&lt;安値!I261,安値!K261&lt;安値!L261,安値!K261&lt;安値!M261),6,""))</f>
      </c>
      <c r="G261" s="684">
        <f>IF(終値!A261="","",IF(AND(安値!L261&lt;安値!K261,安値!L261&lt;安値!J261,安値!L261&lt;安値!M261,安値!L261&lt;安値!N261),7,""))</f>
      </c>
      <c r="H261" s="684">
        <f>IF(終値!A261="","",IF(AND(安値!M261&lt;安値!L261,安値!M261&lt;安値!K261,安値!M261&lt;安値!N261,安値!M261&lt;安値!O261),8,""))</f>
      </c>
      <c r="I261" s="684">
        <f>IF(終値!A261="","",IF(AND(安値!N261&lt;安値!M261,安値!N261&lt;安値!L261,安値!N261&lt;安値!O261,安値!N261&lt;安値!P261),9,""))</f>
      </c>
      <c r="J261" s="684">
        <f>IF(終値!A261="","",IF(AND(安値!O261&lt;安値!N261,安値!O261&lt;安値!M261,安値!O261&lt;安値!P261,安値!O261&lt;安値!Q261),10,""))</f>
      </c>
      <c r="K261" s="684">
        <f>IF(終値!A261="","",IF(AND(安値!P261&lt;安値!O261,安値!P261&lt;安値!N261,安値!P261&lt;安値!Q261,安値!P261&lt;安値!R261),11,""))</f>
      </c>
      <c r="L261" s="684">
        <f>IF(終値!A261="","",IF(AND(安値!Q261&lt;安値!P261,安値!Q261&lt;安値!O261,安値!Q261&lt;安値!R261,安値!Q261&lt;安値!S261),12,""))</f>
      </c>
      <c r="M261" s="684">
        <f>IF(終値!A261="","",IF(AND(安値!R261&lt;安値!Q261,安値!R261&lt;安値!P261,安値!R261&lt;安値!S261,安値!R261&lt;安値!T261),13,""))</f>
      </c>
      <c r="N261" s="684">
        <f>IF(終値!A261="","",IF(AND(安値!S261&lt;安値!R261,安値!S261&lt;安値!Q261,安値!S261&lt;安値!T261,安値!S261&lt;安値!U261),14,""))</f>
      </c>
      <c r="O261" s="684">
        <f>IF(終値!A261="","",IF(AND(安値!T261&lt;安値!S261,安値!T261&lt;安値!R261,安値!T261&lt;安値!U261,安値!T261&lt;安値!V261),15,""))</f>
      </c>
      <c r="P261" s="684">
        <f>IF(終値!A261="","",IF(AND(安値!U261&lt;安値!T261,安値!U261&lt;安値!S261,安値!U261&lt;安値!V261,安値!U261&lt;安値!W261),16,""))</f>
      </c>
      <c r="Q261" s="684">
        <f>IF(終値!A261="","",IF(AND(安値!V261&lt;安値!U261,安値!V261&lt;安値!T261,安値!V261&lt;安値!W261,安値!V261&lt;安値!X261),17,""))</f>
      </c>
      <c r="R261" s="684">
        <f>IF(終値!A261="","",IF(AND(安値!W261&lt;安値!V261,安値!W261&lt;安値!U261,安値!W261&lt;安値!X261,安値!W261&lt;安値!Y261),18,""))</f>
      </c>
      <c r="S261" s="684">
        <f>IF(終値!A261="","",IF(AND(安値!X261&lt;安値!W261,安値!X261&lt;安値!V261,安値!X261&lt;安値!Y261,安値!X261&lt;安値!Z261),19,""))</f>
      </c>
      <c r="T261" s="684">
        <f>IF(終値!A261="","",IF(AND(安値!Y261&lt;安値!X261,安値!Y261&lt;安値!W261,安値!Y261&lt;安値!Z261,安値!Y261&lt;安値!AA261),20,""))</f>
      </c>
      <c r="U261" s="684">
        <f>IF(終値!A261="","",IF(AND(安値!Z261&lt;安値!Y261,安値!Z261&lt;安値!X261,安値!Z261&lt;安値!AA261,安値!Z261&lt;安値!AB261),21,""))</f>
      </c>
      <c r="V261" s="684">
        <f>IF(終値!A261="","",IF(AND(安値!AA261&lt;安値!Z261,安値!AA261&lt;安値!Y261,安値!AA261&lt;安値!AB261,安値!AA261&lt;安値!AC261),22,""))</f>
      </c>
      <c r="W261" s="684">
        <f>IF(終値!A261="","",IF(AND(安値!AB261&lt;安値!AA261,安値!AB261&lt;安値!Z261,安値!AB261&lt;安値!AC261,安値!AB261&lt;安値!AD261),23,""))</f>
      </c>
      <c r="X261" s="684">
        <f>IF(終値!A261="","",IF(AND(安値!AC261&lt;安値!AB261,安値!AC261&lt;安値!AA261,安値!AC261&lt;安値!AD261,安値!AC261&lt;安値!AE261),24,""))</f>
      </c>
      <c r="Y261" s="684">
        <f>IF(終値!A261="","",IF(AND(安値!AD261&lt;安値!AC261,安値!AD261&lt;安値!AB261,安値!AD261&lt;安値!AE261,安値!AD261&lt;安値!AF261),25,""))</f>
      </c>
      <c r="Z261" s="684">
        <f>IF(終値!A261="","",IF(AND(安値!AE261&lt;安値!AD261,安値!AE261&lt;安値!AC261,安値!AE261&lt;安値!AF261,安値!AE261&lt;安値!AG261),26,""))</f>
      </c>
      <c r="AA261" s="684">
        <f>IF(終値!A261="","",IF(AND(安値!AF261&lt;安値!AE261,安値!AF261&lt;安値!AD261,安値!AF261&lt;安値!AG261,安値!AF261&lt;安値!AH261),27,""))</f>
      </c>
      <c r="AB261" s="684">
        <f>IF(終値!A261="","",IF(AND(安値!AG261&lt;安値!AF261,安値!AG261&lt;安値!AE261,安値!AG261&lt;安値!AH261,安値!AG261&lt;安値!AI261),28,""))</f>
      </c>
      <c r="AC261" s="684">
        <f>IF(終値!A261="","",IF(AND(高値!G261&gt;高値!F261,高値!G261&gt;高値!E261,高値!G261&gt;高値!H261,高値!G261&gt;高値!I261),2,""))</f>
      </c>
      <c r="AD261" s="684">
        <f>IF(終値!A261="","",IF(AND(高値!H261&gt;高値!G261,高値!H261&gt;高値!F261,高値!H261&gt;高値!I261,高値!H261&gt;高値!J261),3,""))</f>
      </c>
      <c r="AE261" s="684">
        <f>IF(終値!A261="","",IF(AND(高値!I261&gt;高値!H261,高値!I261&gt;高値!G261,高値!I261&gt;高値!J261,高値!I261&gt;高値!K261),4,""))</f>
      </c>
      <c r="AF261" s="684">
        <f>IF(終値!A261="","",IF(AND(高値!J261&gt;高値!I261,高値!J261&gt;高値!H261,高値!J261&gt;高値!K261,高値!J261&gt;高値!L261),5,""))</f>
      </c>
      <c r="AG261" s="684">
        <f>IF(終値!A261="","",IF(AND(高値!K261&gt;高値!J261,高値!K261&gt;高値!I261,高値!K261&gt;高値!L261,高値!K261&gt;高値!M261),6,""))</f>
      </c>
      <c r="AH261" s="684">
        <f>IF(終値!A261="","",IF(AND(高値!L261&gt;高値!K261,高値!L261&gt;高値!J261,高値!L261&gt;高値!M261,高値!L261&gt;高値!N261),7,""))</f>
      </c>
      <c r="AI261" s="684">
        <f>IF(終値!A261="","",IF(AND(高値!M261&gt;高値!L261,高値!M261&gt;高値!K261,高値!M261&gt;高値!N261,高値!M261&gt;高値!O261),8,""))</f>
      </c>
      <c r="AJ261" s="684">
        <f>IF(終値!A261="","",IF(AND(高値!N261&gt;高値!M261,高値!N261&gt;高値!L261,高値!N261&gt;高値!O261,高値!N261&gt;高値!P261),9,""))</f>
      </c>
      <c r="AK261" s="684">
        <f>IF(終値!A261="","",IF(AND(高値!O261&gt;高値!N261,高値!O261&gt;高値!M261,高値!O261&gt;高値!P261,高値!O261&gt;高値!Q261),10,""))</f>
      </c>
      <c r="AL261" s="684">
        <f>IF(終値!A261="","",IF(AND(高値!P261&gt;高値!O261,高値!P261&gt;高値!N261,高値!P261&gt;高値!Q261,高値!P261&gt;高値!R261),11,""))</f>
      </c>
      <c r="AM261" s="684">
        <f>IF(終値!A261="","",IF(AND(高値!Q261&gt;高値!P261,高値!Q261&gt;高値!O261,高値!Q261&gt;高値!R261,高値!Q261&gt;高値!S261),12,""))</f>
      </c>
      <c r="AN261" s="684">
        <f>IF(終値!A261="","",IF(AND(高値!R261&gt;高値!Q261,高値!R261&gt;高値!P261,高値!R261&gt;高値!S261,高値!R261&gt;高値!T261),13,""))</f>
      </c>
      <c r="AO261" s="684">
        <f>IF(終値!A261="","",IF(AND(高値!S261&gt;高値!R261,高値!S261&gt;高値!Q261,高値!S261&gt;高値!T261,高値!S261&gt;高値!U261),14,""))</f>
      </c>
      <c r="AP261" s="684">
        <f>IF(終値!A261="","",IF(AND(高値!T261&gt;高値!S261,高値!T261&gt;高値!R261,高値!T261&gt;高値!U261,高値!T261&gt;高値!V261),15,""))</f>
      </c>
      <c r="AQ261" s="684">
        <f>IF(終値!A261="","",IF(AND(高値!U261&gt;高値!T261,高値!U261&gt;高値!S261,高値!U261&gt;高値!V261,高値!U261&gt;高値!W261),16,""))</f>
      </c>
      <c r="AR261" s="684">
        <f>IF(終値!A261="","",IF(AND(高値!V261&gt;高値!U261,高値!V261&gt;高値!T261,高値!V261&gt;高値!W261,高値!V261&gt;高値!X261),17,""))</f>
      </c>
      <c r="AS261" s="684">
        <f>IF(終値!A261="","",IF(AND(高値!W261&gt;高値!V261,高値!W261&gt;高値!U261,高値!W261&gt;高値!X261,高値!W261&gt;高値!Y261),18,""))</f>
      </c>
      <c r="AT261" s="684">
        <f>IF(終値!A261="","",IF(AND(高値!X261&gt;高値!W261,高値!X261&gt;高値!V261,高値!X261&gt;高値!Y261,高値!X261&gt;高値!Z261),19,""))</f>
      </c>
      <c r="AU261" s="684">
        <f>IF(終値!A261="","",IF(AND(高値!Y261&gt;高値!X261,高値!Y261&gt;高値!W261,高値!Y261&gt;高値!Z261,高値!Y261&gt;高値!AA261),20,""))</f>
      </c>
      <c r="AV261" s="684">
        <f>IF(終値!A261="","",IF(AND(高値!Z261&gt;高値!Y261,高値!Z261&gt;高値!X261,高値!Z261&gt;高値!AA261,高値!Z261&gt;高値!AB261),21,""))</f>
      </c>
      <c r="AW261" s="684">
        <f>IF(終値!A261="","",IF(AND(高値!AA261&gt;高値!Z261,高値!AA261&gt;高値!Y261,高値!AA261&gt;高値!AB261,高値!AA261&gt;高値!AC261),22,""))</f>
      </c>
      <c r="AX261" s="684">
        <f>IF(終値!A261="","",IF(AND(高値!AB261&gt;高値!AA261,高値!AB261&gt;高値!Z261,高値!AB261&gt;高値!AC261,高値!AB261&gt;高値!AD261),23,""))</f>
      </c>
      <c r="AY261" s="684">
        <f>IF(終値!A261="","",IF(AND(高値!AC261&gt;高値!AB261,高値!AC261&gt;高値!AA261,高値!AC261&gt;高値!AD261,高値!AC261&gt;高値!AE261),24,""))</f>
      </c>
      <c r="AZ261" s="684">
        <f>IF(終値!A261="","",IF(AND(高値!AD261&gt;高値!AC261,高値!AD261&gt;高値!AB261,高値!AD261&gt;高値!AE261,高値!AD261&gt;高値!AF261),25,""))</f>
      </c>
      <c r="BA261" s="684">
        <f>IF(終値!A261="","",IF(AND(高値!AE261&gt;高値!AD261,高値!AE261&gt;高値!AC261,高値!AE261&gt;高値!AF261,高値!AE261&gt;高値!AG261),26,""))</f>
      </c>
      <c r="BB261" s="684">
        <f>IF(終値!A261="","",IF(AND(高値!AF261&gt;高値!AE261,高値!AF261&gt;高値!AD261,高値!AF261&gt;高値!AG261,高値!AF261&gt;高値!AH261),27,""))</f>
      </c>
      <c r="BC261" s="684">
        <f>IF(終値!A261="","",IF(AND(高値!AG261&gt;高値!AF261,高値!AG261&gt;高値!AE261,高値!AG261&gt;高値!AH261,高値!AG261&gt;高値!AI261),28,""))</f>
      </c>
      <c r="BD261" s="684">
        <f>COUNT($B261:$AB261)</f>
      </c>
      <c r="BE261" s="684">
        <f>IF($BD261&gt;=2,MIN($B261:$AB261),"")</f>
      </c>
      <c r="BF261" s="684">
        <f>IF($BD261&gt;=2,SMALL($B261:$AB261,2),"")</f>
      </c>
      <c r="BG261" s="684">
        <f>IF($BE261="","",INDEX(安値!$E261:$CZ261,1,$BE261+1))</f>
      </c>
      <c r="BH261" s="684">
        <f>IF($BF261="","",INDEX(安値!$E261:$CZ261,1,$BF261+1))</f>
      </c>
      <c r="BI261" s="684">
        <f>IF($BF261="","",MAX(INDEX(高値!$E261:$CZ261,1,$BE261+1):INDEX(高値!$E261:$CZ261,1,$BF261+1)))</f>
      </c>
      <c r="BJ261" s="684">
        <f>IF($BF261="","",AVERAGE(INDEX(終値!$E261:$CZ261,1,$BF261+1):INDEX(終値!$E261:$CZ261,1,$BF261+20))-2*STDEVP(INDEX(終値!$E261:$CZ261,1,$BF261+1):INDEX(終値!$E261:$CZ261,1,$BF261+20)))</f>
      </c>
      <c r="BK261" s="684">
        <f>IF($BE261="","",AVERAGE(INDEX(終値!$E261:$CZ261,1,$BE261+1):INDEX(終値!$E261:$CZ261,1,$BE261+20))-2*STDEVP(INDEX(終値!$E261:$CZ261,1,$BE261+1):INDEX(終値!$E261:$CZ261,1,$BE261+20)))</f>
      </c>
      <c r="BL261" s="684">
        <f>COUNT($AC261:$BC261)</f>
      </c>
      <c r="BM261" s="684">
        <f>IF($BL261&gt;=2,MIN($AC261:$BC261),"")</f>
      </c>
      <c r="BN261" s="684">
        <f>IF($BL261&gt;=2,SMALL($AC261:$BC261,2),"")</f>
      </c>
      <c r="BO261" s="684">
        <f>IF($BM261="","",INDEX(高値!$E261:$CZ261,1,$BM261+1))</f>
      </c>
      <c r="BP261" s="684">
        <f>IF($BN261="","",INDEX(高値!$E261:$CZ261,1,$BN261+1))</f>
      </c>
      <c r="BQ261" s="684">
        <f>IF($BN261="","",MIN(INDEX(安値!$E261:$CZ261,1,$BM261+1):INDEX(安値!$E261:$CZ261,1,$BN261+1)))</f>
      </c>
      <c r="BR261" s="684">
        <f>IF($BN261="","",AVERAGE(INDEX(終値!$E261:$CZ261,1,$BN261+1):INDEX(終値!$E261:$CZ261,1,$BN261+20))+2*STDEVP(INDEX(終値!$E261:$CZ261,1,$BN261+1):INDEX(終値!$E261:$CZ261,1,$BN261+20)))</f>
      </c>
      <c r="BS261" s="684">
        <f>IF($BM261="","",AVERAGE(INDEX(終値!$E261:$CZ261,1,$BM261+1):INDEX(終値!$E261:$CZ261,1,$BM261+20))+2*STDEVP(INDEX(終値!$E261:$CZ261,1,$BM261+1):INDEX(終値!$E261:$CZ261,1,$BM261+20)))</f>
      </c>
      <c r="BT261" s="681">
        <f>IFERROR(IF(AND($BD261&gt;=2,ABS($BG261-$BH261)/$BH261&lt;=BB設定!$B$12,$BI261&gt;=MAX($BH261,$BG261)*(1+BB設定!$B$13),終値!E261&gt;$BG261),IF(OR(終値!E261&gt;=$BI261,AND($BH261&lt;$BJ261,$BG261&gt;=$BK261)),"二番底W▲","二番底W形成"),IF(AND($BL261&gt;=2,ABS($BO261-$BP261)/$BP261&lt;=BB設定!$B$12,$BQ261&lt;=MIN($BP261,$BO261)*(1-BB設定!$B$13),終値!E261&lt;$BO261),IF(OR(終値!E261&lt;=$BQ261,AND($BP261&gt;$BR261,$BO261&lt;=$BS261)),"二番天井M▼","二番天井M形成"),"－")),"－")</f>
      </c>
    </row>
    <row r="262">
      <c r="B262" s="684">
        <f>IF(終値!A262="","",IF(AND(安値!G262&lt;安値!F262,安値!G262&lt;安値!E262,安値!G262&lt;安値!H262,安値!G262&lt;安値!I262),2,""))</f>
      </c>
      <c r="C262" s="684">
        <f>IF(終値!A262="","",IF(AND(安値!H262&lt;安値!G262,安値!H262&lt;安値!F262,安値!H262&lt;安値!I262,安値!H262&lt;安値!J262),3,""))</f>
      </c>
      <c r="D262" s="684">
        <f>IF(終値!A262="","",IF(AND(安値!I262&lt;安値!H262,安値!I262&lt;安値!G262,安値!I262&lt;安値!J262,安値!I262&lt;安値!K262),4,""))</f>
      </c>
      <c r="E262" s="684">
        <f>IF(終値!A262="","",IF(AND(安値!J262&lt;安値!I262,安値!J262&lt;安値!H262,安値!J262&lt;安値!K262,安値!J262&lt;安値!L262),5,""))</f>
      </c>
      <c r="F262" s="684">
        <f>IF(終値!A262="","",IF(AND(安値!K262&lt;安値!J262,安値!K262&lt;安値!I262,安値!K262&lt;安値!L262,安値!K262&lt;安値!M262),6,""))</f>
      </c>
      <c r="G262" s="684">
        <f>IF(終値!A262="","",IF(AND(安値!L262&lt;安値!K262,安値!L262&lt;安値!J262,安値!L262&lt;安値!M262,安値!L262&lt;安値!N262),7,""))</f>
      </c>
      <c r="H262" s="684">
        <f>IF(終値!A262="","",IF(AND(安値!M262&lt;安値!L262,安値!M262&lt;安値!K262,安値!M262&lt;安値!N262,安値!M262&lt;安値!O262),8,""))</f>
      </c>
      <c r="I262" s="684">
        <f>IF(終値!A262="","",IF(AND(安値!N262&lt;安値!M262,安値!N262&lt;安値!L262,安値!N262&lt;安値!O262,安値!N262&lt;安値!P262),9,""))</f>
      </c>
      <c r="J262" s="684">
        <f>IF(終値!A262="","",IF(AND(安値!O262&lt;安値!N262,安値!O262&lt;安値!M262,安値!O262&lt;安値!P262,安値!O262&lt;安値!Q262),10,""))</f>
      </c>
      <c r="K262" s="684">
        <f>IF(終値!A262="","",IF(AND(安値!P262&lt;安値!O262,安値!P262&lt;安値!N262,安値!P262&lt;安値!Q262,安値!P262&lt;安値!R262),11,""))</f>
      </c>
      <c r="L262" s="684">
        <f>IF(終値!A262="","",IF(AND(安値!Q262&lt;安値!P262,安値!Q262&lt;安値!O262,安値!Q262&lt;安値!R262,安値!Q262&lt;安値!S262),12,""))</f>
      </c>
      <c r="M262" s="684">
        <f>IF(終値!A262="","",IF(AND(安値!R262&lt;安値!Q262,安値!R262&lt;安値!P262,安値!R262&lt;安値!S262,安値!R262&lt;安値!T262),13,""))</f>
      </c>
      <c r="N262" s="684">
        <f>IF(終値!A262="","",IF(AND(安値!S262&lt;安値!R262,安値!S262&lt;安値!Q262,安値!S262&lt;安値!T262,安値!S262&lt;安値!U262),14,""))</f>
      </c>
      <c r="O262" s="684">
        <f>IF(終値!A262="","",IF(AND(安値!T262&lt;安値!S262,安値!T262&lt;安値!R262,安値!T262&lt;安値!U262,安値!T262&lt;安値!V262),15,""))</f>
      </c>
      <c r="P262" s="684">
        <f>IF(終値!A262="","",IF(AND(安値!U262&lt;安値!T262,安値!U262&lt;安値!S262,安値!U262&lt;安値!V262,安値!U262&lt;安値!W262),16,""))</f>
      </c>
      <c r="Q262" s="684">
        <f>IF(終値!A262="","",IF(AND(安値!V262&lt;安値!U262,安値!V262&lt;安値!T262,安値!V262&lt;安値!W262,安値!V262&lt;安値!X262),17,""))</f>
      </c>
      <c r="R262" s="684">
        <f>IF(終値!A262="","",IF(AND(安値!W262&lt;安値!V262,安値!W262&lt;安値!U262,安値!W262&lt;安値!X262,安値!W262&lt;安値!Y262),18,""))</f>
      </c>
      <c r="S262" s="684">
        <f>IF(終値!A262="","",IF(AND(安値!X262&lt;安値!W262,安値!X262&lt;安値!V262,安値!X262&lt;安値!Y262,安値!X262&lt;安値!Z262),19,""))</f>
      </c>
      <c r="T262" s="684">
        <f>IF(終値!A262="","",IF(AND(安値!Y262&lt;安値!X262,安値!Y262&lt;安値!W262,安値!Y262&lt;安値!Z262,安値!Y262&lt;安値!AA262),20,""))</f>
      </c>
      <c r="U262" s="684">
        <f>IF(終値!A262="","",IF(AND(安値!Z262&lt;安値!Y262,安値!Z262&lt;安値!X262,安値!Z262&lt;安値!AA262,安値!Z262&lt;安値!AB262),21,""))</f>
      </c>
      <c r="V262" s="684">
        <f>IF(終値!A262="","",IF(AND(安値!AA262&lt;安値!Z262,安値!AA262&lt;安値!Y262,安値!AA262&lt;安値!AB262,安値!AA262&lt;安値!AC262),22,""))</f>
      </c>
      <c r="W262" s="684">
        <f>IF(終値!A262="","",IF(AND(安値!AB262&lt;安値!AA262,安値!AB262&lt;安値!Z262,安値!AB262&lt;安値!AC262,安値!AB262&lt;安値!AD262),23,""))</f>
      </c>
      <c r="X262" s="684">
        <f>IF(終値!A262="","",IF(AND(安値!AC262&lt;安値!AB262,安値!AC262&lt;安値!AA262,安値!AC262&lt;安値!AD262,安値!AC262&lt;安値!AE262),24,""))</f>
      </c>
      <c r="Y262" s="684">
        <f>IF(終値!A262="","",IF(AND(安値!AD262&lt;安値!AC262,安値!AD262&lt;安値!AB262,安値!AD262&lt;安値!AE262,安値!AD262&lt;安値!AF262),25,""))</f>
      </c>
      <c r="Z262" s="684">
        <f>IF(終値!A262="","",IF(AND(安値!AE262&lt;安値!AD262,安値!AE262&lt;安値!AC262,安値!AE262&lt;安値!AF262,安値!AE262&lt;安値!AG262),26,""))</f>
      </c>
      <c r="AA262" s="684">
        <f>IF(終値!A262="","",IF(AND(安値!AF262&lt;安値!AE262,安値!AF262&lt;安値!AD262,安値!AF262&lt;安値!AG262,安値!AF262&lt;安値!AH262),27,""))</f>
      </c>
      <c r="AB262" s="684">
        <f>IF(終値!A262="","",IF(AND(安値!AG262&lt;安値!AF262,安値!AG262&lt;安値!AE262,安値!AG262&lt;安値!AH262,安値!AG262&lt;安値!AI262),28,""))</f>
      </c>
      <c r="AC262" s="684">
        <f>IF(終値!A262="","",IF(AND(高値!G262&gt;高値!F262,高値!G262&gt;高値!E262,高値!G262&gt;高値!H262,高値!G262&gt;高値!I262),2,""))</f>
      </c>
      <c r="AD262" s="684">
        <f>IF(終値!A262="","",IF(AND(高値!H262&gt;高値!G262,高値!H262&gt;高値!F262,高値!H262&gt;高値!I262,高値!H262&gt;高値!J262),3,""))</f>
      </c>
      <c r="AE262" s="684">
        <f>IF(終値!A262="","",IF(AND(高値!I262&gt;高値!H262,高値!I262&gt;高値!G262,高値!I262&gt;高値!J262,高値!I262&gt;高値!K262),4,""))</f>
      </c>
      <c r="AF262" s="684">
        <f>IF(終値!A262="","",IF(AND(高値!J262&gt;高値!I262,高値!J262&gt;高値!H262,高値!J262&gt;高値!K262,高値!J262&gt;高値!L262),5,""))</f>
      </c>
      <c r="AG262" s="684">
        <f>IF(終値!A262="","",IF(AND(高値!K262&gt;高値!J262,高値!K262&gt;高値!I262,高値!K262&gt;高値!L262,高値!K262&gt;高値!M262),6,""))</f>
      </c>
      <c r="AH262" s="684">
        <f>IF(終値!A262="","",IF(AND(高値!L262&gt;高値!K262,高値!L262&gt;高値!J262,高値!L262&gt;高値!M262,高値!L262&gt;高値!N262),7,""))</f>
      </c>
      <c r="AI262" s="684">
        <f>IF(終値!A262="","",IF(AND(高値!M262&gt;高値!L262,高値!M262&gt;高値!K262,高値!M262&gt;高値!N262,高値!M262&gt;高値!O262),8,""))</f>
      </c>
      <c r="AJ262" s="684">
        <f>IF(終値!A262="","",IF(AND(高値!N262&gt;高値!M262,高値!N262&gt;高値!L262,高値!N262&gt;高値!O262,高値!N262&gt;高値!P262),9,""))</f>
      </c>
      <c r="AK262" s="684">
        <f>IF(終値!A262="","",IF(AND(高値!O262&gt;高値!N262,高値!O262&gt;高値!M262,高値!O262&gt;高値!P262,高値!O262&gt;高値!Q262),10,""))</f>
      </c>
      <c r="AL262" s="684">
        <f>IF(終値!A262="","",IF(AND(高値!P262&gt;高値!O262,高値!P262&gt;高値!N262,高値!P262&gt;高値!Q262,高値!P262&gt;高値!R262),11,""))</f>
      </c>
      <c r="AM262" s="684">
        <f>IF(終値!A262="","",IF(AND(高値!Q262&gt;高値!P262,高値!Q262&gt;高値!O262,高値!Q262&gt;高値!R262,高値!Q262&gt;高値!S262),12,""))</f>
      </c>
      <c r="AN262" s="684">
        <f>IF(終値!A262="","",IF(AND(高値!R262&gt;高値!Q262,高値!R262&gt;高値!P262,高値!R262&gt;高値!S262,高値!R262&gt;高値!T262),13,""))</f>
      </c>
      <c r="AO262" s="684">
        <f>IF(終値!A262="","",IF(AND(高値!S262&gt;高値!R262,高値!S262&gt;高値!Q262,高値!S262&gt;高値!T262,高値!S262&gt;高値!U262),14,""))</f>
      </c>
      <c r="AP262" s="684">
        <f>IF(終値!A262="","",IF(AND(高値!T262&gt;高値!S262,高値!T262&gt;高値!R262,高値!T262&gt;高値!U262,高値!T262&gt;高値!V262),15,""))</f>
      </c>
      <c r="AQ262" s="684">
        <f>IF(終値!A262="","",IF(AND(高値!U262&gt;高値!T262,高値!U262&gt;高値!S262,高値!U262&gt;高値!V262,高値!U262&gt;高値!W262),16,""))</f>
      </c>
      <c r="AR262" s="684">
        <f>IF(終値!A262="","",IF(AND(高値!V262&gt;高値!U262,高値!V262&gt;高値!T262,高値!V262&gt;高値!W262,高値!V262&gt;高値!X262),17,""))</f>
      </c>
      <c r="AS262" s="684">
        <f>IF(終値!A262="","",IF(AND(高値!W262&gt;高値!V262,高値!W262&gt;高値!U262,高値!W262&gt;高値!X262,高値!W262&gt;高値!Y262),18,""))</f>
      </c>
      <c r="AT262" s="684">
        <f>IF(終値!A262="","",IF(AND(高値!X262&gt;高値!W262,高値!X262&gt;高値!V262,高値!X262&gt;高値!Y262,高値!X262&gt;高値!Z262),19,""))</f>
      </c>
      <c r="AU262" s="684">
        <f>IF(終値!A262="","",IF(AND(高値!Y262&gt;高値!X262,高値!Y262&gt;高値!W262,高値!Y262&gt;高値!Z262,高値!Y262&gt;高値!AA262),20,""))</f>
      </c>
      <c r="AV262" s="684">
        <f>IF(終値!A262="","",IF(AND(高値!Z262&gt;高値!Y262,高値!Z262&gt;高値!X262,高値!Z262&gt;高値!AA262,高値!Z262&gt;高値!AB262),21,""))</f>
      </c>
      <c r="AW262" s="684">
        <f>IF(終値!A262="","",IF(AND(高値!AA262&gt;高値!Z262,高値!AA262&gt;高値!Y262,高値!AA262&gt;高値!AB262,高値!AA262&gt;高値!AC262),22,""))</f>
      </c>
      <c r="AX262" s="684">
        <f>IF(終値!A262="","",IF(AND(高値!AB262&gt;高値!AA262,高値!AB262&gt;高値!Z262,高値!AB262&gt;高値!AC262,高値!AB262&gt;高値!AD262),23,""))</f>
      </c>
      <c r="AY262" s="684">
        <f>IF(終値!A262="","",IF(AND(高値!AC262&gt;高値!AB262,高値!AC262&gt;高値!AA262,高値!AC262&gt;高値!AD262,高値!AC262&gt;高値!AE262),24,""))</f>
      </c>
      <c r="AZ262" s="684">
        <f>IF(終値!A262="","",IF(AND(高値!AD262&gt;高値!AC262,高値!AD262&gt;高値!AB262,高値!AD262&gt;高値!AE262,高値!AD262&gt;高値!AF262),25,""))</f>
      </c>
      <c r="BA262" s="684">
        <f>IF(終値!A262="","",IF(AND(高値!AE262&gt;高値!AD262,高値!AE262&gt;高値!AC262,高値!AE262&gt;高値!AF262,高値!AE262&gt;高値!AG262),26,""))</f>
      </c>
      <c r="BB262" s="684">
        <f>IF(終値!A262="","",IF(AND(高値!AF262&gt;高値!AE262,高値!AF262&gt;高値!AD262,高値!AF262&gt;高値!AG262,高値!AF262&gt;高値!AH262),27,""))</f>
      </c>
      <c r="BC262" s="684">
        <f>IF(終値!A262="","",IF(AND(高値!AG262&gt;高値!AF262,高値!AG262&gt;高値!AE262,高値!AG262&gt;高値!AH262,高値!AG262&gt;高値!AI262),28,""))</f>
      </c>
      <c r="BD262" s="684">
        <f>COUNT($B262:$AB262)</f>
      </c>
      <c r="BE262" s="684">
        <f>IF($BD262&gt;=2,MIN($B262:$AB262),"")</f>
      </c>
      <c r="BF262" s="684">
        <f>IF($BD262&gt;=2,SMALL($B262:$AB262,2),"")</f>
      </c>
      <c r="BG262" s="684">
        <f>IF($BE262="","",INDEX(安値!$E262:$CZ262,1,$BE262+1))</f>
      </c>
      <c r="BH262" s="684">
        <f>IF($BF262="","",INDEX(安値!$E262:$CZ262,1,$BF262+1))</f>
      </c>
      <c r="BI262" s="684">
        <f>IF($BF262="","",MAX(INDEX(高値!$E262:$CZ262,1,$BE262+1):INDEX(高値!$E262:$CZ262,1,$BF262+1)))</f>
      </c>
      <c r="BJ262" s="684">
        <f>IF($BF262="","",AVERAGE(INDEX(終値!$E262:$CZ262,1,$BF262+1):INDEX(終値!$E262:$CZ262,1,$BF262+20))-2*STDEVP(INDEX(終値!$E262:$CZ262,1,$BF262+1):INDEX(終値!$E262:$CZ262,1,$BF262+20)))</f>
      </c>
      <c r="BK262" s="684">
        <f>IF($BE262="","",AVERAGE(INDEX(終値!$E262:$CZ262,1,$BE262+1):INDEX(終値!$E262:$CZ262,1,$BE262+20))-2*STDEVP(INDEX(終値!$E262:$CZ262,1,$BE262+1):INDEX(終値!$E262:$CZ262,1,$BE262+20)))</f>
      </c>
      <c r="BL262" s="684">
        <f>COUNT($AC262:$BC262)</f>
      </c>
      <c r="BM262" s="684">
        <f>IF($BL262&gt;=2,MIN($AC262:$BC262),"")</f>
      </c>
      <c r="BN262" s="684">
        <f>IF($BL262&gt;=2,SMALL($AC262:$BC262,2),"")</f>
      </c>
      <c r="BO262" s="684">
        <f>IF($BM262="","",INDEX(高値!$E262:$CZ262,1,$BM262+1))</f>
      </c>
      <c r="BP262" s="684">
        <f>IF($BN262="","",INDEX(高値!$E262:$CZ262,1,$BN262+1))</f>
      </c>
      <c r="BQ262" s="684">
        <f>IF($BN262="","",MIN(INDEX(安値!$E262:$CZ262,1,$BM262+1):INDEX(安値!$E262:$CZ262,1,$BN262+1)))</f>
      </c>
      <c r="BR262" s="684">
        <f>IF($BN262="","",AVERAGE(INDEX(終値!$E262:$CZ262,1,$BN262+1):INDEX(終値!$E262:$CZ262,1,$BN262+20))+2*STDEVP(INDEX(終値!$E262:$CZ262,1,$BN262+1):INDEX(終値!$E262:$CZ262,1,$BN262+20)))</f>
      </c>
      <c r="BS262" s="684">
        <f>IF($BM262="","",AVERAGE(INDEX(終値!$E262:$CZ262,1,$BM262+1):INDEX(終値!$E262:$CZ262,1,$BM262+20))+2*STDEVP(INDEX(終値!$E262:$CZ262,1,$BM262+1):INDEX(終値!$E262:$CZ262,1,$BM262+20)))</f>
      </c>
      <c r="BT262" s="681">
        <f>IFERROR(IF(AND($BD262&gt;=2,ABS($BG262-$BH262)/$BH262&lt;=BB設定!$B$12,$BI262&gt;=MAX($BH262,$BG262)*(1+BB設定!$B$13),終値!E262&gt;$BG262),IF(OR(終値!E262&gt;=$BI262,AND($BH262&lt;$BJ262,$BG262&gt;=$BK262)),"二番底W▲","二番底W形成"),IF(AND($BL262&gt;=2,ABS($BO262-$BP262)/$BP262&lt;=BB設定!$B$12,$BQ262&lt;=MIN($BP262,$BO262)*(1-BB設定!$B$13),終値!E262&lt;$BO262),IF(OR(終値!E262&lt;=$BQ262,AND($BP262&gt;$BR262,$BO262&lt;=$BS262)),"二番天井M▼","二番天井M形成"),"－")),"－")</f>
      </c>
    </row>
    <row r="263">
      <c r="B263" s="684">
        <f>IF(終値!A263="","",IF(AND(安値!G263&lt;安値!F263,安値!G263&lt;安値!E263,安値!G263&lt;安値!H263,安値!G263&lt;安値!I263),2,""))</f>
      </c>
      <c r="C263" s="684">
        <f>IF(終値!A263="","",IF(AND(安値!H263&lt;安値!G263,安値!H263&lt;安値!F263,安値!H263&lt;安値!I263,安値!H263&lt;安値!J263),3,""))</f>
      </c>
      <c r="D263" s="684">
        <f>IF(終値!A263="","",IF(AND(安値!I263&lt;安値!H263,安値!I263&lt;安値!G263,安値!I263&lt;安値!J263,安値!I263&lt;安値!K263),4,""))</f>
      </c>
      <c r="E263" s="684">
        <f>IF(終値!A263="","",IF(AND(安値!J263&lt;安値!I263,安値!J263&lt;安値!H263,安値!J263&lt;安値!K263,安値!J263&lt;安値!L263),5,""))</f>
      </c>
      <c r="F263" s="684">
        <f>IF(終値!A263="","",IF(AND(安値!K263&lt;安値!J263,安値!K263&lt;安値!I263,安値!K263&lt;安値!L263,安値!K263&lt;安値!M263),6,""))</f>
      </c>
      <c r="G263" s="684">
        <f>IF(終値!A263="","",IF(AND(安値!L263&lt;安値!K263,安値!L263&lt;安値!J263,安値!L263&lt;安値!M263,安値!L263&lt;安値!N263),7,""))</f>
      </c>
      <c r="H263" s="684">
        <f>IF(終値!A263="","",IF(AND(安値!M263&lt;安値!L263,安値!M263&lt;安値!K263,安値!M263&lt;安値!N263,安値!M263&lt;安値!O263),8,""))</f>
      </c>
      <c r="I263" s="684">
        <f>IF(終値!A263="","",IF(AND(安値!N263&lt;安値!M263,安値!N263&lt;安値!L263,安値!N263&lt;安値!O263,安値!N263&lt;安値!P263),9,""))</f>
      </c>
      <c r="J263" s="684">
        <f>IF(終値!A263="","",IF(AND(安値!O263&lt;安値!N263,安値!O263&lt;安値!M263,安値!O263&lt;安値!P263,安値!O263&lt;安値!Q263),10,""))</f>
      </c>
      <c r="K263" s="684">
        <f>IF(終値!A263="","",IF(AND(安値!P263&lt;安値!O263,安値!P263&lt;安値!N263,安値!P263&lt;安値!Q263,安値!P263&lt;安値!R263),11,""))</f>
      </c>
      <c r="L263" s="684">
        <f>IF(終値!A263="","",IF(AND(安値!Q263&lt;安値!P263,安値!Q263&lt;安値!O263,安値!Q263&lt;安値!R263,安値!Q263&lt;安値!S263),12,""))</f>
      </c>
      <c r="M263" s="684">
        <f>IF(終値!A263="","",IF(AND(安値!R263&lt;安値!Q263,安値!R263&lt;安値!P263,安値!R263&lt;安値!S263,安値!R263&lt;安値!T263),13,""))</f>
      </c>
      <c r="N263" s="684">
        <f>IF(終値!A263="","",IF(AND(安値!S263&lt;安値!R263,安値!S263&lt;安値!Q263,安値!S263&lt;安値!T263,安値!S263&lt;安値!U263),14,""))</f>
      </c>
      <c r="O263" s="684">
        <f>IF(終値!A263="","",IF(AND(安値!T263&lt;安値!S263,安値!T263&lt;安値!R263,安値!T263&lt;安値!U263,安値!T263&lt;安値!V263),15,""))</f>
      </c>
      <c r="P263" s="684">
        <f>IF(終値!A263="","",IF(AND(安値!U263&lt;安値!T263,安値!U263&lt;安値!S263,安値!U263&lt;安値!V263,安値!U263&lt;安値!W263),16,""))</f>
      </c>
      <c r="Q263" s="684">
        <f>IF(終値!A263="","",IF(AND(安値!V263&lt;安値!U263,安値!V263&lt;安値!T263,安値!V263&lt;安値!W263,安値!V263&lt;安値!X263),17,""))</f>
      </c>
      <c r="R263" s="684">
        <f>IF(終値!A263="","",IF(AND(安値!W263&lt;安値!V263,安値!W263&lt;安値!U263,安値!W263&lt;安値!X263,安値!W263&lt;安値!Y263),18,""))</f>
      </c>
      <c r="S263" s="684">
        <f>IF(終値!A263="","",IF(AND(安値!X263&lt;安値!W263,安値!X263&lt;安値!V263,安値!X263&lt;安値!Y263,安値!X263&lt;安値!Z263),19,""))</f>
      </c>
      <c r="T263" s="684">
        <f>IF(終値!A263="","",IF(AND(安値!Y263&lt;安値!X263,安値!Y263&lt;安値!W263,安値!Y263&lt;安値!Z263,安値!Y263&lt;安値!AA263),20,""))</f>
      </c>
      <c r="U263" s="684">
        <f>IF(終値!A263="","",IF(AND(安値!Z263&lt;安値!Y263,安値!Z263&lt;安値!X263,安値!Z263&lt;安値!AA263,安値!Z263&lt;安値!AB263),21,""))</f>
      </c>
      <c r="V263" s="684">
        <f>IF(終値!A263="","",IF(AND(安値!AA263&lt;安値!Z263,安値!AA263&lt;安値!Y263,安値!AA263&lt;安値!AB263,安値!AA263&lt;安値!AC263),22,""))</f>
      </c>
      <c r="W263" s="684">
        <f>IF(終値!A263="","",IF(AND(安値!AB263&lt;安値!AA263,安値!AB263&lt;安値!Z263,安値!AB263&lt;安値!AC263,安値!AB263&lt;安値!AD263),23,""))</f>
      </c>
      <c r="X263" s="684">
        <f>IF(終値!A263="","",IF(AND(安値!AC263&lt;安値!AB263,安値!AC263&lt;安値!AA263,安値!AC263&lt;安値!AD263,安値!AC263&lt;安値!AE263),24,""))</f>
      </c>
      <c r="Y263" s="684">
        <f>IF(終値!A263="","",IF(AND(安値!AD263&lt;安値!AC263,安値!AD263&lt;安値!AB263,安値!AD263&lt;安値!AE263,安値!AD263&lt;安値!AF263),25,""))</f>
      </c>
      <c r="Z263" s="684">
        <f>IF(終値!A263="","",IF(AND(安値!AE263&lt;安値!AD263,安値!AE263&lt;安値!AC263,安値!AE263&lt;安値!AF263,安値!AE263&lt;安値!AG263),26,""))</f>
      </c>
      <c r="AA263" s="684">
        <f>IF(終値!A263="","",IF(AND(安値!AF263&lt;安値!AE263,安値!AF263&lt;安値!AD263,安値!AF263&lt;安値!AG263,安値!AF263&lt;安値!AH263),27,""))</f>
      </c>
      <c r="AB263" s="684">
        <f>IF(終値!A263="","",IF(AND(安値!AG263&lt;安値!AF263,安値!AG263&lt;安値!AE263,安値!AG263&lt;安値!AH263,安値!AG263&lt;安値!AI263),28,""))</f>
      </c>
      <c r="AC263" s="684">
        <f>IF(終値!A263="","",IF(AND(高値!G263&gt;高値!F263,高値!G263&gt;高値!E263,高値!G263&gt;高値!H263,高値!G263&gt;高値!I263),2,""))</f>
      </c>
      <c r="AD263" s="684">
        <f>IF(終値!A263="","",IF(AND(高値!H263&gt;高値!G263,高値!H263&gt;高値!F263,高値!H263&gt;高値!I263,高値!H263&gt;高値!J263),3,""))</f>
      </c>
      <c r="AE263" s="684">
        <f>IF(終値!A263="","",IF(AND(高値!I263&gt;高値!H263,高値!I263&gt;高値!G263,高値!I263&gt;高値!J263,高値!I263&gt;高値!K263),4,""))</f>
      </c>
      <c r="AF263" s="684">
        <f>IF(終値!A263="","",IF(AND(高値!J263&gt;高値!I263,高値!J263&gt;高値!H263,高値!J263&gt;高値!K263,高値!J263&gt;高値!L263),5,""))</f>
      </c>
      <c r="AG263" s="684">
        <f>IF(終値!A263="","",IF(AND(高値!K263&gt;高値!J263,高値!K263&gt;高値!I263,高値!K263&gt;高値!L263,高値!K263&gt;高値!M263),6,""))</f>
      </c>
      <c r="AH263" s="684">
        <f>IF(終値!A263="","",IF(AND(高値!L263&gt;高値!K263,高値!L263&gt;高値!J263,高値!L263&gt;高値!M263,高値!L263&gt;高値!N263),7,""))</f>
      </c>
      <c r="AI263" s="684">
        <f>IF(終値!A263="","",IF(AND(高値!M263&gt;高値!L263,高値!M263&gt;高値!K263,高値!M263&gt;高値!N263,高値!M263&gt;高値!O263),8,""))</f>
      </c>
      <c r="AJ263" s="684">
        <f>IF(終値!A263="","",IF(AND(高値!N263&gt;高値!M263,高値!N263&gt;高値!L263,高値!N263&gt;高値!O263,高値!N263&gt;高値!P263),9,""))</f>
      </c>
      <c r="AK263" s="684">
        <f>IF(終値!A263="","",IF(AND(高値!O263&gt;高値!N263,高値!O263&gt;高値!M263,高値!O263&gt;高値!P263,高値!O263&gt;高値!Q263),10,""))</f>
      </c>
      <c r="AL263" s="684">
        <f>IF(終値!A263="","",IF(AND(高値!P263&gt;高値!O263,高値!P263&gt;高値!N263,高値!P263&gt;高値!Q263,高値!P263&gt;高値!R263),11,""))</f>
      </c>
      <c r="AM263" s="684">
        <f>IF(終値!A263="","",IF(AND(高値!Q263&gt;高値!P263,高値!Q263&gt;高値!O263,高値!Q263&gt;高値!R263,高値!Q263&gt;高値!S263),12,""))</f>
      </c>
      <c r="AN263" s="684">
        <f>IF(終値!A263="","",IF(AND(高値!R263&gt;高値!Q263,高値!R263&gt;高値!P263,高値!R263&gt;高値!S263,高値!R263&gt;高値!T263),13,""))</f>
      </c>
      <c r="AO263" s="684">
        <f>IF(終値!A263="","",IF(AND(高値!S263&gt;高値!R263,高値!S263&gt;高値!Q263,高値!S263&gt;高値!T263,高値!S263&gt;高値!U263),14,""))</f>
      </c>
      <c r="AP263" s="684">
        <f>IF(終値!A263="","",IF(AND(高値!T263&gt;高値!S263,高値!T263&gt;高値!R263,高値!T263&gt;高値!U263,高値!T263&gt;高値!V263),15,""))</f>
      </c>
      <c r="AQ263" s="684">
        <f>IF(終値!A263="","",IF(AND(高値!U263&gt;高値!T263,高値!U263&gt;高値!S263,高値!U263&gt;高値!V263,高値!U263&gt;高値!W263),16,""))</f>
      </c>
      <c r="AR263" s="684">
        <f>IF(終値!A263="","",IF(AND(高値!V263&gt;高値!U263,高値!V263&gt;高値!T263,高値!V263&gt;高値!W263,高値!V263&gt;高値!X263),17,""))</f>
      </c>
      <c r="AS263" s="684">
        <f>IF(終値!A263="","",IF(AND(高値!W263&gt;高値!V263,高値!W263&gt;高値!U263,高値!W263&gt;高値!X263,高値!W263&gt;高値!Y263),18,""))</f>
      </c>
      <c r="AT263" s="684">
        <f>IF(終値!A263="","",IF(AND(高値!X263&gt;高値!W263,高値!X263&gt;高値!V263,高値!X263&gt;高値!Y263,高値!X263&gt;高値!Z263),19,""))</f>
      </c>
      <c r="AU263" s="684">
        <f>IF(終値!A263="","",IF(AND(高値!Y263&gt;高値!X263,高値!Y263&gt;高値!W263,高値!Y263&gt;高値!Z263,高値!Y263&gt;高値!AA263),20,""))</f>
      </c>
      <c r="AV263" s="684">
        <f>IF(終値!A263="","",IF(AND(高値!Z263&gt;高値!Y263,高値!Z263&gt;高値!X263,高値!Z263&gt;高値!AA263,高値!Z263&gt;高値!AB263),21,""))</f>
      </c>
      <c r="AW263" s="684">
        <f>IF(終値!A263="","",IF(AND(高値!AA263&gt;高値!Z263,高値!AA263&gt;高値!Y263,高値!AA263&gt;高値!AB263,高値!AA263&gt;高値!AC263),22,""))</f>
      </c>
      <c r="AX263" s="684">
        <f>IF(終値!A263="","",IF(AND(高値!AB263&gt;高値!AA263,高値!AB263&gt;高値!Z263,高値!AB263&gt;高値!AC263,高値!AB263&gt;高値!AD263),23,""))</f>
      </c>
      <c r="AY263" s="684">
        <f>IF(終値!A263="","",IF(AND(高値!AC263&gt;高値!AB263,高値!AC263&gt;高値!AA263,高値!AC263&gt;高値!AD263,高値!AC263&gt;高値!AE263),24,""))</f>
      </c>
      <c r="AZ263" s="684">
        <f>IF(終値!A263="","",IF(AND(高値!AD263&gt;高値!AC263,高値!AD263&gt;高値!AB263,高値!AD263&gt;高値!AE263,高値!AD263&gt;高値!AF263),25,""))</f>
      </c>
      <c r="BA263" s="684">
        <f>IF(終値!A263="","",IF(AND(高値!AE263&gt;高値!AD263,高値!AE263&gt;高値!AC263,高値!AE263&gt;高値!AF263,高値!AE263&gt;高値!AG263),26,""))</f>
      </c>
      <c r="BB263" s="684">
        <f>IF(終値!A263="","",IF(AND(高値!AF263&gt;高値!AE263,高値!AF263&gt;高値!AD263,高値!AF263&gt;高値!AG263,高値!AF263&gt;高値!AH263),27,""))</f>
      </c>
      <c r="BC263" s="684">
        <f>IF(終値!A263="","",IF(AND(高値!AG263&gt;高値!AF263,高値!AG263&gt;高値!AE263,高値!AG263&gt;高値!AH263,高値!AG263&gt;高値!AI263),28,""))</f>
      </c>
      <c r="BD263" s="684">
        <f>COUNT($B263:$AB263)</f>
      </c>
      <c r="BE263" s="684">
        <f>IF($BD263&gt;=2,MIN($B263:$AB263),"")</f>
      </c>
      <c r="BF263" s="684">
        <f>IF($BD263&gt;=2,SMALL($B263:$AB263,2),"")</f>
      </c>
      <c r="BG263" s="684">
        <f>IF($BE263="","",INDEX(安値!$E263:$CZ263,1,$BE263+1))</f>
      </c>
      <c r="BH263" s="684">
        <f>IF($BF263="","",INDEX(安値!$E263:$CZ263,1,$BF263+1))</f>
      </c>
      <c r="BI263" s="684">
        <f>IF($BF263="","",MAX(INDEX(高値!$E263:$CZ263,1,$BE263+1):INDEX(高値!$E263:$CZ263,1,$BF263+1)))</f>
      </c>
      <c r="BJ263" s="684">
        <f>IF($BF263="","",AVERAGE(INDEX(終値!$E263:$CZ263,1,$BF263+1):INDEX(終値!$E263:$CZ263,1,$BF263+20))-2*STDEVP(INDEX(終値!$E263:$CZ263,1,$BF263+1):INDEX(終値!$E263:$CZ263,1,$BF263+20)))</f>
      </c>
      <c r="BK263" s="684">
        <f>IF($BE263="","",AVERAGE(INDEX(終値!$E263:$CZ263,1,$BE263+1):INDEX(終値!$E263:$CZ263,1,$BE263+20))-2*STDEVP(INDEX(終値!$E263:$CZ263,1,$BE263+1):INDEX(終値!$E263:$CZ263,1,$BE263+20)))</f>
      </c>
      <c r="BL263" s="684">
        <f>COUNT($AC263:$BC263)</f>
      </c>
      <c r="BM263" s="684">
        <f>IF($BL263&gt;=2,MIN($AC263:$BC263),"")</f>
      </c>
      <c r="BN263" s="684">
        <f>IF($BL263&gt;=2,SMALL($AC263:$BC263,2),"")</f>
      </c>
      <c r="BO263" s="684">
        <f>IF($BM263="","",INDEX(高値!$E263:$CZ263,1,$BM263+1))</f>
      </c>
      <c r="BP263" s="684">
        <f>IF($BN263="","",INDEX(高値!$E263:$CZ263,1,$BN263+1))</f>
      </c>
      <c r="BQ263" s="684">
        <f>IF($BN263="","",MIN(INDEX(安値!$E263:$CZ263,1,$BM263+1):INDEX(安値!$E263:$CZ263,1,$BN263+1)))</f>
      </c>
      <c r="BR263" s="684">
        <f>IF($BN263="","",AVERAGE(INDEX(終値!$E263:$CZ263,1,$BN263+1):INDEX(終値!$E263:$CZ263,1,$BN263+20))+2*STDEVP(INDEX(終値!$E263:$CZ263,1,$BN263+1):INDEX(終値!$E263:$CZ263,1,$BN263+20)))</f>
      </c>
      <c r="BS263" s="684">
        <f>IF($BM263="","",AVERAGE(INDEX(終値!$E263:$CZ263,1,$BM263+1):INDEX(終値!$E263:$CZ263,1,$BM263+20))+2*STDEVP(INDEX(終値!$E263:$CZ263,1,$BM263+1):INDEX(終値!$E263:$CZ263,1,$BM263+20)))</f>
      </c>
      <c r="BT263" s="681">
        <f>IFERROR(IF(AND($BD263&gt;=2,ABS($BG263-$BH263)/$BH263&lt;=BB設定!$B$12,$BI263&gt;=MAX($BH263,$BG263)*(1+BB設定!$B$13),終値!E263&gt;$BG263),IF(OR(終値!E263&gt;=$BI263,AND($BH263&lt;$BJ263,$BG263&gt;=$BK263)),"二番底W▲","二番底W形成"),IF(AND($BL263&gt;=2,ABS($BO263-$BP263)/$BP263&lt;=BB設定!$B$12,$BQ263&lt;=MIN($BP263,$BO263)*(1-BB設定!$B$13),終値!E263&lt;$BO263),IF(OR(終値!E263&lt;=$BQ263,AND($BP263&gt;$BR263,$BO263&lt;=$BS263)),"二番天井M▼","二番天井M形成"),"－")),"－")</f>
      </c>
    </row>
    <row r="264">
      <c r="B264" s="684">
        <f>IF(終値!A264="","",IF(AND(安値!G264&lt;安値!F264,安値!G264&lt;安値!E264,安値!G264&lt;安値!H264,安値!G264&lt;安値!I264),2,""))</f>
      </c>
      <c r="C264" s="684">
        <f>IF(終値!A264="","",IF(AND(安値!H264&lt;安値!G264,安値!H264&lt;安値!F264,安値!H264&lt;安値!I264,安値!H264&lt;安値!J264),3,""))</f>
      </c>
      <c r="D264" s="684">
        <f>IF(終値!A264="","",IF(AND(安値!I264&lt;安値!H264,安値!I264&lt;安値!G264,安値!I264&lt;安値!J264,安値!I264&lt;安値!K264),4,""))</f>
      </c>
      <c r="E264" s="684">
        <f>IF(終値!A264="","",IF(AND(安値!J264&lt;安値!I264,安値!J264&lt;安値!H264,安値!J264&lt;安値!K264,安値!J264&lt;安値!L264),5,""))</f>
      </c>
      <c r="F264" s="684">
        <f>IF(終値!A264="","",IF(AND(安値!K264&lt;安値!J264,安値!K264&lt;安値!I264,安値!K264&lt;安値!L264,安値!K264&lt;安値!M264),6,""))</f>
      </c>
      <c r="G264" s="684">
        <f>IF(終値!A264="","",IF(AND(安値!L264&lt;安値!K264,安値!L264&lt;安値!J264,安値!L264&lt;安値!M264,安値!L264&lt;安値!N264),7,""))</f>
      </c>
      <c r="H264" s="684">
        <f>IF(終値!A264="","",IF(AND(安値!M264&lt;安値!L264,安値!M264&lt;安値!K264,安値!M264&lt;安値!N264,安値!M264&lt;安値!O264),8,""))</f>
      </c>
      <c r="I264" s="684">
        <f>IF(終値!A264="","",IF(AND(安値!N264&lt;安値!M264,安値!N264&lt;安値!L264,安値!N264&lt;安値!O264,安値!N264&lt;安値!P264),9,""))</f>
      </c>
      <c r="J264" s="684">
        <f>IF(終値!A264="","",IF(AND(安値!O264&lt;安値!N264,安値!O264&lt;安値!M264,安値!O264&lt;安値!P264,安値!O264&lt;安値!Q264),10,""))</f>
      </c>
      <c r="K264" s="684">
        <f>IF(終値!A264="","",IF(AND(安値!P264&lt;安値!O264,安値!P264&lt;安値!N264,安値!P264&lt;安値!Q264,安値!P264&lt;安値!R264),11,""))</f>
      </c>
      <c r="L264" s="684">
        <f>IF(終値!A264="","",IF(AND(安値!Q264&lt;安値!P264,安値!Q264&lt;安値!O264,安値!Q264&lt;安値!R264,安値!Q264&lt;安値!S264),12,""))</f>
      </c>
      <c r="M264" s="684">
        <f>IF(終値!A264="","",IF(AND(安値!R264&lt;安値!Q264,安値!R264&lt;安値!P264,安値!R264&lt;安値!S264,安値!R264&lt;安値!T264),13,""))</f>
      </c>
      <c r="N264" s="684">
        <f>IF(終値!A264="","",IF(AND(安値!S264&lt;安値!R264,安値!S264&lt;安値!Q264,安値!S264&lt;安値!T264,安値!S264&lt;安値!U264),14,""))</f>
      </c>
      <c r="O264" s="684">
        <f>IF(終値!A264="","",IF(AND(安値!T264&lt;安値!S264,安値!T264&lt;安値!R264,安値!T264&lt;安値!U264,安値!T264&lt;安値!V264),15,""))</f>
      </c>
      <c r="P264" s="684">
        <f>IF(終値!A264="","",IF(AND(安値!U264&lt;安値!T264,安値!U264&lt;安値!S264,安値!U264&lt;安値!V264,安値!U264&lt;安値!W264),16,""))</f>
      </c>
      <c r="Q264" s="684">
        <f>IF(終値!A264="","",IF(AND(安値!V264&lt;安値!U264,安値!V264&lt;安値!T264,安値!V264&lt;安値!W264,安値!V264&lt;安値!X264),17,""))</f>
      </c>
      <c r="R264" s="684">
        <f>IF(終値!A264="","",IF(AND(安値!W264&lt;安値!V264,安値!W264&lt;安値!U264,安値!W264&lt;安値!X264,安値!W264&lt;安値!Y264),18,""))</f>
      </c>
      <c r="S264" s="684">
        <f>IF(終値!A264="","",IF(AND(安値!X264&lt;安値!W264,安値!X264&lt;安値!V264,安値!X264&lt;安値!Y264,安値!X264&lt;安値!Z264),19,""))</f>
      </c>
      <c r="T264" s="684">
        <f>IF(終値!A264="","",IF(AND(安値!Y264&lt;安値!X264,安値!Y264&lt;安値!W264,安値!Y264&lt;安値!Z264,安値!Y264&lt;安値!AA264),20,""))</f>
      </c>
      <c r="U264" s="684">
        <f>IF(終値!A264="","",IF(AND(安値!Z264&lt;安値!Y264,安値!Z264&lt;安値!X264,安値!Z264&lt;安値!AA264,安値!Z264&lt;安値!AB264),21,""))</f>
      </c>
      <c r="V264" s="684">
        <f>IF(終値!A264="","",IF(AND(安値!AA264&lt;安値!Z264,安値!AA264&lt;安値!Y264,安値!AA264&lt;安値!AB264,安値!AA264&lt;安値!AC264),22,""))</f>
      </c>
      <c r="W264" s="684">
        <f>IF(終値!A264="","",IF(AND(安値!AB264&lt;安値!AA264,安値!AB264&lt;安値!Z264,安値!AB264&lt;安値!AC264,安値!AB264&lt;安値!AD264),23,""))</f>
      </c>
      <c r="X264" s="684">
        <f>IF(終値!A264="","",IF(AND(安値!AC264&lt;安値!AB264,安値!AC264&lt;安値!AA264,安値!AC264&lt;安値!AD264,安値!AC264&lt;安値!AE264),24,""))</f>
      </c>
      <c r="Y264" s="684">
        <f>IF(終値!A264="","",IF(AND(安値!AD264&lt;安値!AC264,安値!AD264&lt;安値!AB264,安値!AD264&lt;安値!AE264,安値!AD264&lt;安値!AF264),25,""))</f>
      </c>
      <c r="Z264" s="684">
        <f>IF(終値!A264="","",IF(AND(安値!AE264&lt;安値!AD264,安値!AE264&lt;安値!AC264,安値!AE264&lt;安値!AF264,安値!AE264&lt;安値!AG264),26,""))</f>
      </c>
      <c r="AA264" s="684">
        <f>IF(終値!A264="","",IF(AND(安値!AF264&lt;安値!AE264,安値!AF264&lt;安値!AD264,安値!AF264&lt;安値!AG264,安値!AF264&lt;安値!AH264),27,""))</f>
      </c>
      <c r="AB264" s="684">
        <f>IF(終値!A264="","",IF(AND(安値!AG264&lt;安値!AF264,安値!AG264&lt;安値!AE264,安値!AG264&lt;安値!AH264,安値!AG264&lt;安値!AI264),28,""))</f>
      </c>
      <c r="AC264" s="684">
        <f>IF(終値!A264="","",IF(AND(高値!G264&gt;高値!F264,高値!G264&gt;高値!E264,高値!G264&gt;高値!H264,高値!G264&gt;高値!I264),2,""))</f>
      </c>
      <c r="AD264" s="684">
        <f>IF(終値!A264="","",IF(AND(高値!H264&gt;高値!G264,高値!H264&gt;高値!F264,高値!H264&gt;高値!I264,高値!H264&gt;高値!J264),3,""))</f>
      </c>
      <c r="AE264" s="684">
        <f>IF(終値!A264="","",IF(AND(高値!I264&gt;高値!H264,高値!I264&gt;高値!G264,高値!I264&gt;高値!J264,高値!I264&gt;高値!K264),4,""))</f>
      </c>
      <c r="AF264" s="684">
        <f>IF(終値!A264="","",IF(AND(高値!J264&gt;高値!I264,高値!J264&gt;高値!H264,高値!J264&gt;高値!K264,高値!J264&gt;高値!L264),5,""))</f>
      </c>
      <c r="AG264" s="684">
        <f>IF(終値!A264="","",IF(AND(高値!K264&gt;高値!J264,高値!K264&gt;高値!I264,高値!K264&gt;高値!L264,高値!K264&gt;高値!M264),6,""))</f>
      </c>
      <c r="AH264" s="684">
        <f>IF(終値!A264="","",IF(AND(高値!L264&gt;高値!K264,高値!L264&gt;高値!J264,高値!L264&gt;高値!M264,高値!L264&gt;高値!N264),7,""))</f>
      </c>
      <c r="AI264" s="684">
        <f>IF(終値!A264="","",IF(AND(高値!M264&gt;高値!L264,高値!M264&gt;高値!K264,高値!M264&gt;高値!N264,高値!M264&gt;高値!O264),8,""))</f>
      </c>
      <c r="AJ264" s="684">
        <f>IF(終値!A264="","",IF(AND(高値!N264&gt;高値!M264,高値!N264&gt;高値!L264,高値!N264&gt;高値!O264,高値!N264&gt;高値!P264),9,""))</f>
      </c>
      <c r="AK264" s="684">
        <f>IF(終値!A264="","",IF(AND(高値!O264&gt;高値!N264,高値!O264&gt;高値!M264,高値!O264&gt;高値!P264,高値!O264&gt;高値!Q264),10,""))</f>
      </c>
      <c r="AL264" s="684">
        <f>IF(終値!A264="","",IF(AND(高値!P264&gt;高値!O264,高値!P264&gt;高値!N264,高値!P264&gt;高値!Q264,高値!P264&gt;高値!R264),11,""))</f>
      </c>
      <c r="AM264" s="684">
        <f>IF(終値!A264="","",IF(AND(高値!Q264&gt;高値!P264,高値!Q264&gt;高値!O264,高値!Q264&gt;高値!R264,高値!Q264&gt;高値!S264),12,""))</f>
      </c>
      <c r="AN264" s="684">
        <f>IF(終値!A264="","",IF(AND(高値!R264&gt;高値!Q264,高値!R264&gt;高値!P264,高値!R264&gt;高値!S264,高値!R264&gt;高値!T264),13,""))</f>
      </c>
      <c r="AO264" s="684">
        <f>IF(終値!A264="","",IF(AND(高値!S264&gt;高値!R264,高値!S264&gt;高値!Q264,高値!S264&gt;高値!T264,高値!S264&gt;高値!U264),14,""))</f>
      </c>
      <c r="AP264" s="684">
        <f>IF(終値!A264="","",IF(AND(高値!T264&gt;高値!S264,高値!T264&gt;高値!R264,高値!T264&gt;高値!U264,高値!T264&gt;高値!V264),15,""))</f>
      </c>
      <c r="AQ264" s="684">
        <f>IF(終値!A264="","",IF(AND(高値!U264&gt;高値!T264,高値!U264&gt;高値!S264,高値!U264&gt;高値!V264,高値!U264&gt;高値!W264),16,""))</f>
      </c>
      <c r="AR264" s="684">
        <f>IF(終値!A264="","",IF(AND(高値!V264&gt;高値!U264,高値!V264&gt;高値!T264,高値!V264&gt;高値!W264,高値!V264&gt;高値!X264),17,""))</f>
      </c>
      <c r="AS264" s="684">
        <f>IF(終値!A264="","",IF(AND(高値!W264&gt;高値!V264,高値!W264&gt;高値!U264,高値!W264&gt;高値!X264,高値!W264&gt;高値!Y264),18,""))</f>
      </c>
      <c r="AT264" s="684">
        <f>IF(終値!A264="","",IF(AND(高値!X264&gt;高値!W264,高値!X264&gt;高値!V264,高値!X264&gt;高値!Y264,高値!X264&gt;高値!Z264),19,""))</f>
      </c>
      <c r="AU264" s="684">
        <f>IF(終値!A264="","",IF(AND(高値!Y264&gt;高値!X264,高値!Y264&gt;高値!W264,高値!Y264&gt;高値!Z264,高値!Y264&gt;高値!AA264),20,""))</f>
      </c>
      <c r="AV264" s="684">
        <f>IF(終値!A264="","",IF(AND(高値!Z264&gt;高値!Y264,高値!Z264&gt;高値!X264,高値!Z264&gt;高値!AA264,高値!Z264&gt;高値!AB264),21,""))</f>
      </c>
      <c r="AW264" s="684">
        <f>IF(終値!A264="","",IF(AND(高値!AA264&gt;高値!Z264,高値!AA264&gt;高値!Y264,高値!AA264&gt;高値!AB264,高値!AA264&gt;高値!AC264),22,""))</f>
      </c>
      <c r="AX264" s="684">
        <f>IF(終値!A264="","",IF(AND(高値!AB264&gt;高値!AA264,高値!AB264&gt;高値!Z264,高値!AB264&gt;高値!AC264,高値!AB264&gt;高値!AD264),23,""))</f>
      </c>
      <c r="AY264" s="684">
        <f>IF(終値!A264="","",IF(AND(高値!AC264&gt;高値!AB264,高値!AC264&gt;高値!AA264,高値!AC264&gt;高値!AD264,高値!AC264&gt;高値!AE264),24,""))</f>
      </c>
      <c r="AZ264" s="684">
        <f>IF(終値!A264="","",IF(AND(高値!AD264&gt;高値!AC264,高値!AD264&gt;高値!AB264,高値!AD264&gt;高値!AE264,高値!AD264&gt;高値!AF264),25,""))</f>
      </c>
      <c r="BA264" s="684">
        <f>IF(終値!A264="","",IF(AND(高値!AE264&gt;高値!AD264,高値!AE264&gt;高値!AC264,高値!AE264&gt;高値!AF264,高値!AE264&gt;高値!AG264),26,""))</f>
      </c>
      <c r="BB264" s="684">
        <f>IF(終値!A264="","",IF(AND(高値!AF264&gt;高値!AE264,高値!AF264&gt;高値!AD264,高値!AF264&gt;高値!AG264,高値!AF264&gt;高値!AH264),27,""))</f>
      </c>
      <c r="BC264" s="684">
        <f>IF(終値!A264="","",IF(AND(高値!AG264&gt;高値!AF264,高値!AG264&gt;高値!AE264,高値!AG264&gt;高値!AH264,高値!AG264&gt;高値!AI264),28,""))</f>
      </c>
      <c r="BD264" s="684">
        <f>COUNT($B264:$AB264)</f>
      </c>
      <c r="BE264" s="684">
        <f>IF($BD264&gt;=2,MIN($B264:$AB264),"")</f>
      </c>
      <c r="BF264" s="684">
        <f>IF($BD264&gt;=2,SMALL($B264:$AB264,2),"")</f>
      </c>
      <c r="BG264" s="684">
        <f>IF($BE264="","",INDEX(安値!$E264:$CZ264,1,$BE264+1))</f>
      </c>
      <c r="BH264" s="684">
        <f>IF($BF264="","",INDEX(安値!$E264:$CZ264,1,$BF264+1))</f>
      </c>
      <c r="BI264" s="684">
        <f>IF($BF264="","",MAX(INDEX(高値!$E264:$CZ264,1,$BE264+1):INDEX(高値!$E264:$CZ264,1,$BF264+1)))</f>
      </c>
      <c r="BJ264" s="684">
        <f>IF($BF264="","",AVERAGE(INDEX(終値!$E264:$CZ264,1,$BF264+1):INDEX(終値!$E264:$CZ264,1,$BF264+20))-2*STDEVP(INDEX(終値!$E264:$CZ264,1,$BF264+1):INDEX(終値!$E264:$CZ264,1,$BF264+20)))</f>
      </c>
      <c r="BK264" s="684">
        <f>IF($BE264="","",AVERAGE(INDEX(終値!$E264:$CZ264,1,$BE264+1):INDEX(終値!$E264:$CZ264,1,$BE264+20))-2*STDEVP(INDEX(終値!$E264:$CZ264,1,$BE264+1):INDEX(終値!$E264:$CZ264,1,$BE264+20)))</f>
      </c>
      <c r="BL264" s="684">
        <f>COUNT($AC264:$BC264)</f>
      </c>
      <c r="BM264" s="684">
        <f>IF($BL264&gt;=2,MIN($AC264:$BC264),"")</f>
      </c>
      <c r="BN264" s="684">
        <f>IF($BL264&gt;=2,SMALL($AC264:$BC264,2),"")</f>
      </c>
      <c r="BO264" s="684">
        <f>IF($BM264="","",INDEX(高値!$E264:$CZ264,1,$BM264+1))</f>
      </c>
      <c r="BP264" s="684">
        <f>IF($BN264="","",INDEX(高値!$E264:$CZ264,1,$BN264+1))</f>
      </c>
      <c r="BQ264" s="684">
        <f>IF($BN264="","",MIN(INDEX(安値!$E264:$CZ264,1,$BM264+1):INDEX(安値!$E264:$CZ264,1,$BN264+1)))</f>
      </c>
      <c r="BR264" s="684">
        <f>IF($BN264="","",AVERAGE(INDEX(終値!$E264:$CZ264,1,$BN264+1):INDEX(終値!$E264:$CZ264,1,$BN264+20))+2*STDEVP(INDEX(終値!$E264:$CZ264,1,$BN264+1):INDEX(終値!$E264:$CZ264,1,$BN264+20)))</f>
      </c>
      <c r="BS264" s="684">
        <f>IF($BM264="","",AVERAGE(INDEX(終値!$E264:$CZ264,1,$BM264+1):INDEX(終値!$E264:$CZ264,1,$BM264+20))+2*STDEVP(INDEX(終値!$E264:$CZ264,1,$BM264+1):INDEX(終値!$E264:$CZ264,1,$BM264+20)))</f>
      </c>
      <c r="BT264" s="681">
        <f>IFERROR(IF(AND($BD264&gt;=2,ABS($BG264-$BH264)/$BH264&lt;=BB設定!$B$12,$BI264&gt;=MAX($BH264,$BG264)*(1+BB設定!$B$13),終値!E264&gt;$BG264),IF(OR(終値!E264&gt;=$BI264,AND($BH264&lt;$BJ264,$BG264&gt;=$BK264)),"二番底W▲","二番底W形成"),IF(AND($BL264&gt;=2,ABS($BO264-$BP264)/$BP264&lt;=BB設定!$B$12,$BQ264&lt;=MIN($BP264,$BO264)*(1-BB設定!$B$13),終値!E264&lt;$BO264),IF(OR(終値!E264&lt;=$BQ264,AND($BP264&gt;$BR264,$BO264&lt;=$BS264)),"二番天井M▼","二番天井M形成"),"－")),"－")</f>
      </c>
    </row>
    <row r="265">
      <c r="B265" s="684">
        <f>IF(終値!A265="","",IF(AND(安値!G265&lt;安値!F265,安値!G265&lt;安値!E265,安値!G265&lt;安値!H265,安値!G265&lt;安値!I265),2,""))</f>
      </c>
      <c r="C265" s="684">
        <f>IF(終値!A265="","",IF(AND(安値!H265&lt;安値!G265,安値!H265&lt;安値!F265,安値!H265&lt;安値!I265,安値!H265&lt;安値!J265),3,""))</f>
      </c>
      <c r="D265" s="684">
        <f>IF(終値!A265="","",IF(AND(安値!I265&lt;安値!H265,安値!I265&lt;安値!G265,安値!I265&lt;安値!J265,安値!I265&lt;安値!K265),4,""))</f>
      </c>
      <c r="E265" s="684">
        <f>IF(終値!A265="","",IF(AND(安値!J265&lt;安値!I265,安値!J265&lt;安値!H265,安値!J265&lt;安値!K265,安値!J265&lt;安値!L265),5,""))</f>
      </c>
      <c r="F265" s="684">
        <f>IF(終値!A265="","",IF(AND(安値!K265&lt;安値!J265,安値!K265&lt;安値!I265,安値!K265&lt;安値!L265,安値!K265&lt;安値!M265),6,""))</f>
      </c>
      <c r="G265" s="684">
        <f>IF(終値!A265="","",IF(AND(安値!L265&lt;安値!K265,安値!L265&lt;安値!J265,安値!L265&lt;安値!M265,安値!L265&lt;安値!N265),7,""))</f>
      </c>
      <c r="H265" s="684">
        <f>IF(終値!A265="","",IF(AND(安値!M265&lt;安値!L265,安値!M265&lt;安値!K265,安値!M265&lt;安値!N265,安値!M265&lt;安値!O265),8,""))</f>
      </c>
      <c r="I265" s="684">
        <f>IF(終値!A265="","",IF(AND(安値!N265&lt;安値!M265,安値!N265&lt;安値!L265,安値!N265&lt;安値!O265,安値!N265&lt;安値!P265),9,""))</f>
      </c>
      <c r="J265" s="684">
        <f>IF(終値!A265="","",IF(AND(安値!O265&lt;安値!N265,安値!O265&lt;安値!M265,安値!O265&lt;安値!P265,安値!O265&lt;安値!Q265),10,""))</f>
      </c>
      <c r="K265" s="684">
        <f>IF(終値!A265="","",IF(AND(安値!P265&lt;安値!O265,安値!P265&lt;安値!N265,安値!P265&lt;安値!Q265,安値!P265&lt;安値!R265),11,""))</f>
      </c>
      <c r="L265" s="684">
        <f>IF(終値!A265="","",IF(AND(安値!Q265&lt;安値!P265,安値!Q265&lt;安値!O265,安値!Q265&lt;安値!R265,安値!Q265&lt;安値!S265),12,""))</f>
      </c>
      <c r="M265" s="684">
        <f>IF(終値!A265="","",IF(AND(安値!R265&lt;安値!Q265,安値!R265&lt;安値!P265,安値!R265&lt;安値!S265,安値!R265&lt;安値!T265),13,""))</f>
      </c>
      <c r="N265" s="684">
        <f>IF(終値!A265="","",IF(AND(安値!S265&lt;安値!R265,安値!S265&lt;安値!Q265,安値!S265&lt;安値!T265,安値!S265&lt;安値!U265),14,""))</f>
      </c>
      <c r="O265" s="684">
        <f>IF(終値!A265="","",IF(AND(安値!T265&lt;安値!S265,安値!T265&lt;安値!R265,安値!T265&lt;安値!U265,安値!T265&lt;安値!V265),15,""))</f>
      </c>
      <c r="P265" s="684">
        <f>IF(終値!A265="","",IF(AND(安値!U265&lt;安値!T265,安値!U265&lt;安値!S265,安値!U265&lt;安値!V265,安値!U265&lt;安値!W265),16,""))</f>
      </c>
      <c r="Q265" s="684">
        <f>IF(終値!A265="","",IF(AND(安値!V265&lt;安値!U265,安値!V265&lt;安値!T265,安値!V265&lt;安値!W265,安値!V265&lt;安値!X265),17,""))</f>
      </c>
      <c r="R265" s="684">
        <f>IF(終値!A265="","",IF(AND(安値!W265&lt;安値!V265,安値!W265&lt;安値!U265,安値!W265&lt;安値!X265,安値!W265&lt;安値!Y265),18,""))</f>
      </c>
      <c r="S265" s="684">
        <f>IF(終値!A265="","",IF(AND(安値!X265&lt;安値!W265,安値!X265&lt;安値!V265,安値!X265&lt;安値!Y265,安値!X265&lt;安値!Z265),19,""))</f>
      </c>
      <c r="T265" s="684">
        <f>IF(終値!A265="","",IF(AND(安値!Y265&lt;安値!X265,安値!Y265&lt;安値!W265,安値!Y265&lt;安値!Z265,安値!Y265&lt;安値!AA265),20,""))</f>
      </c>
      <c r="U265" s="684">
        <f>IF(終値!A265="","",IF(AND(安値!Z265&lt;安値!Y265,安値!Z265&lt;安値!X265,安値!Z265&lt;安値!AA265,安値!Z265&lt;安値!AB265),21,""))</f>
      </c>
      <c r="V265" s="684">
        <f>IF(終値!A265="","",IF(AND(安値!AA265&lt;安値!Z265,安値!AA265&lt;安値!Y265,安値!AA265&lt;安値!AB265,安値!AA265&lt;安値!AC265),22,""))</f>
      </c>
      <c r="W265" s="684">
        <f>IF(終値!A265="","",IF(AND(安値!AB265&lt;安値!AA265,安値!AB265&lt;安値!Z265,安値!AB265&lt;安値!AC265,安値!AB265&lt;安値!AD265),23,""))</f>
      </c>
      <c r="X265" s="684">
        <f>IF(終値!A265="","",IF(AND(安値!AC265&lt;安値!AB265,安値!AC265&lt;安値!AA265,安値!AC265&lt;安値!AD265,安値!AC265&lt;安値!AE265),24,""))</f>
      </c>
      <c r="Y265" s="684">
        <f>IF(終値!A265="","",IF(AND(安値!AD265&lt;安値!AC265,安値!AD265&lt;安値!AB265,安値!AD265&lt;安値!AE265,安値!AD265&lt;安値!AF265),25,""))</f>
      </c>
      <c r="Z265" s="684">
        <f>IF(終値!A265="","",IF(AND(安値!AE265&lt;安値!AD265,安値!AE265&lt;安値!AC265,安値!AE265&lt;安値!AF265,安値!AE265&lt;安値!AG265),26,""))</f>
      </c>
      <c r="AA265" s="684">
        <f>IF(終値!A265="","",IF(AND(安値!AF265&lt;安値!AE265,安値!AF265&lt;安値!AD265,安値!AF265&lt;安値!AG265,安値!AF265&lt;安値!AH265),27,""))</f>
      </c>
      <c r="AB265" s="684">
        <f>IF(終値!A265="","",IF(AND(安値!AG265&lt;安値!AF265,安値!AG265&lt;安値!AE265,安値!AG265&lt;安値!AH265,安値!AG265&lt;安値!AI265),28,""))</f>
      </c>
      <c r="AC265" s="684">
        <f>IF(終値!A265="","",IF(AND(高値!G265&gt;高値!F265,高値!G265&gt;高値!E265,高値!G265&gt;高値!H265,高値!G265&gt;高値!I265),2,""))</f>
      </c>
      <c r="AD265" s="684">
        <f>IF(終値!A265="","",IF(AND(高値!H265&gt;高値!G265,高値!H265&gt;高値!F265,高値!H265&gt;高値!I265,高値!H265&gt;高値!J265),3,""))</f>
      </c>
      <c r="AE265" s="684">
        <f>IF(終値!A265="","",IF(AND(高値!I265&gt;高値!H265,高値!I265&gt;高値!G265,高値!I265&gt;高値!J265,高値!I265&gt;高値!K265),4,""))</f>
      </c>
      <c r="AF265" s="684">
        <f>IF(終値!A265="","",IF(AND(高値!J265&gt;高値!I265,高値!J265&gt;高値!H265,高値!J265&gt;高値!K265,高値!J265&gt;高値!L265),5,""))</f>
      </c>
      <c r="AG265" s="684">
        <f>IF(終値!A265="","",IF(AND(高値!K265&gt;高値!J265,高値!K265&gt;高値!I265,高値!K265&gt;高値!L265,高値!K265&gt;高値!M265),6,""))</f>
      </c>
      <c r="AH265" s="684">
        <f>IF(終値!A265="","",IF(AND(高値!L265&gt;高値!K265,高値!L265&gt;高値!J265,高値!L265&gt;高値!M265,高値!L265&gt;高値!N265),7,""))</f>
      </c>
      <c r="AI265" s="684">
        <f>IF(終値!A265="","",IF(AND(高値!M265&gt;高値!L265,高値!M265&gt;高値!K265,高値!M265&gt;高値!N265,高値!M265&gt;高値!O265),8,""))</f>
      </c>
      <c r="AJ265" s="684">
        <f>IF(終値!A265="","",IF(AND(高値!N265&gt;高値!M265,高値!N265&gt;高値!L265,高値!N265&gt;高値!O265,高値!N265&gt;高値!P265),9,""))</f>
      </c>
      <c r="AK265" s="684">
        <f>IF(終値!A265="","",IF(AND(高値!O265&gt;高値!N265,高値!O265&gt;高値!M265,高値!O265&gt;高値!P265,高値!O265&gt;高値!Q265),10,""))</f>
      </c>
      <c r="AL265" s="684">
        <f>IF(終値!A265="","",IF(AND(高値!P265&gt;高値!O265,高値!P265&gt;高値!N265,高値!P265&gt;高値!Q265,高値!P265&gt;高値!R265),11,""))</f>
      </c>
      <c r="AM265" s="684">
        <f>IF(終値!A265="","",IF(AND(高値!Q265&gt;高値!P265,高値!Q265&gt;高値!O265,高値!Q265&gt;高値!R265,高値!Q265&gt;高値!S265),12,""))</f>
      </c>
      <c r="AN265" s="684">
        <f>IF(終値!A265="","",IF(AND(高値!R265&gt;高値!Q265,高値!R265&gt;高値!P265,高値!R265&gt;高値!S265,高値!R265&gt;高値!T265),13,""))</f>
      </c>
      <c r="AO265" s="684">
        <f>IF(終値!A265="","",IF(AND(高値!S265&gt;高値!R265,高値!S265&gt;高値!Q265,高値!S265&gt;高値!T265,高値!S265&gt;高値!U265),14,""))</f>
      </c>
      <c r="AP265" s="684">
        <f>IF(終値!A265="","",IF(AND(高値!T265&gt;高値!S265,高値!T265&gt;高値!R265,高値!T265&gt;高値!U265,高値!T265&gt;高値!V265),15,""))</f>
      </c>
      <c r="AQ265" s="684">
        <f>IF(終値!A265="","",IF(AND(高値!U265&gt;高値!T265,高値!U265&gt;高値!S265,高値!U265&gt;高値!V265,高値!U265&gt;高値!W265),16,""))</f>
      </c>
      <c r="AR265" s="684">
        <f>IF(終値!A265="","",IF(AND(高値!V265&gt;高値!U265,高値!V265&gt;高値!T265,高値!V265&gt;高値!W265,高値!V265&gt;高値!X265),17,""))</f>
      </c>
      <c r="AS265" s="684">
        <f>IF(終値!A265="","",IF(AND(高値!W265&gt;高値!V265,高値!W265&gt;高値!U265,高値!W265&gt;高値!X265,高値!W265&gt;高値!Y265),18,""))</f>
      </c>
      <c r="AT265" s="684">
        <f>IF(終値!A265="","",IF(AND(高値!X265&gt;高値!W265,高値!X265&gt;高値!V265,高値!X265&gt;高値!Y265,高値!X265&gt;高値!Z265),19,""))</f>
      </c>
      <c r="AU265" s="684">
        <f>IF(終値!A265="","",IF(AND(高値!Y265&gt;高値!X265,高値!Y265&gt;高値!W265,高値!Y265&gt;高値!Z265,高値!Y265&gt;高値!AA265),20,""))</f>
      </c>
      <c r="AV265" s="684">
        <f>IF(終値!A265="","",IF(AND(高値!Z265&gt;高値!Y265,高値!Z265&gt;高値!X265,高値!Z265&gt;高値!AA265,高値!Z265&gt;高値!AB265),21,""))</f>
      </c>
      <c r="AW265" s="684">
        <f>IF(終値!A265="","",IF(AND(高値!AA265&gt;高値!Z265,高値!AA265&gt;高値!Y265,高値!AA265&gt;高値!AB265,高値!AA265&gt;高値!AC265),22,""))</f>
      </c>
      <c r="AX265" s="684">
        <f>IF(終値!A265="","",IF(AND(高値!AB265&gt;高値!AA265,高値!AB265&gt;高値!Z265,高値!AB265&gt;高値!AC265,高値!AB265&gt;高値!AD265),23,""))</f>
      </c>
      <c r="AY265" s="684">
        <f>IF(終値!A265="","",IF(AND(高値!AC265&gt;高値!AB265,高値!AC265&gt;高値!AA265,高値!AC265&gt;高値!AD265,高値!AC265&gt;高値!AE265),24,""))</f>
      </c>
      <c r="AZ265" s="684">
        <f>IF(終値!A265="","",IF(AND(高値!AD265&gt;高値!AC265,高値!AD265&gt;高値!AB265,高値!AD265&gt;高値!AE265,高値!AD265&gt;高値!AF265),25,""))</f>
      </c>
      <c r="BA265" s="684">
        <f>IF(終値!A265="","",IF(AND(高値!AE265&gt;高値!AD265,高値!AE265&gt;高値!AC265,高値!AE265&gt;高値!AF265,高値!AE265&gt;高値!AG265),26,""))</f>
      </c>
      <c r="BB265" s="684">
        <f>IF(終値!A265="","",IF(AND(高値!AF265&gt;高値!AE265,高値!AF265&gt;高値!AD265,高値!AF265&gt;高値!AG265,高値!AF265&gt;高値!AH265),27,""))</f>
      </c>
      <c r="BC265" s="684">
        <f>IF(終値!A265="","",IF(AND(高値!AG265&gt;高値!AF265,高値!AG265&gt;高値!AE265,高値!AG265&gt;高値!AH265,高値!AG265&gt;高値!AI265),28,""))</f>
      </c>
      <c r="BD265" s="684">
        <f>COUNT($B265:$AB265)</f>
      </c>
      <c r="BE265" s="684">
        <f>IF($BD265&gt;=2,MIN($B265:$AB265),"")</f>
      </c>
      <c r="BF265" s="684">
        <f>IF($BD265&gt;=2,SMALL($B265:$AB265,2),"")</f>
      </c>
      <c r="BG265" s="684">
        <f>IF($BE265="","",INDEX(安値!$E265:$CZ265,1,$BE265+1))</f>
      </c>
      <c r="BH265" s="684">
        <f>IF($BF265="","",INDEX(安値!$E265:$CZ265,1,$BF265+1))</f>
      </c>
      <c r="BI265" s="684">
        <f>IF($BF265="","",MAX(INDEX(高値!$E265:$CZ265,1,$BE265+1):INDEX(高値!$E265:$CZ265,1,$BF265+1)))</f>
      </c>
      <c r="BJ265" s="684">
        <f>IF($BF265="","",AVERAGE(INDEX(終値!$E265:$CZ265,1,$BF265+1):INDEX(終値!$E265:$CZ265,1,$BF265+20))-2*STDEVP(INDEX(終値!$E265:$CZ265,1,$BF265+1):INDEX(終値!$E265:$CZ265,1,$BF265+20)))</f>
      </c>
      <c r="BK265" s="684">
        <f>IF($BE265="","",AVERAGE(INDEX(終値!$E265:$CZ265,1,$BE265+1):INDEX(終値!$E265:$CZ265,1,$BE265+20))-2*STDEVP(INDEX(終値!$E265:$CZ265,1,$BE265+1):INDEX(終値!$E265:$CZ265,1,$BE265+20)))</f>
      </c>
      <c r="BL265" s="684">
        <f>COUNT($AC265:$BC265)</f>
      </c>
      <c r="BM265" s="684">
        <f>IF($BL265&gt;=2,MIN($AC265:$BC265),"")</f>
      </c>
      <c r="BN265" s="684">
        <f>IF($BL265&gt;=2,SMALL($AC265:$BC265,2),"")</f>
      </c>
      <c r="BO265" s="684">
        <f>IF($BM265="","",INDEX(高値!$E265:$CZ265,1,$BM265+1))</f>
      </c>
      <c r="BP265" s="684">
        <f>IF($BN265="","",INDEX(高値!$E265:$CZ265,1,$BN265+1))</f>
      </c>
      <c r="BQ265" s="684">
        <f>IF($BN265="","",MIN(INDEX(安値!$E265:$CZ265,1,$BM265+1):INDEX(安値!$E265:$CZ265,1,$BN265+1)))</f>
      </c>
      <c r="BR265" s="684">
        <f>IF($BN265="","",AVERAGE(INDEX(終値!$E265:$CZ265,1,$BN265+1):INDEX(終値!$E265:$CZ265,1,$BN265+20))+2*STDEVP(INDEX(終値!$E265:$CZ265,1,$BN265+1):INDEX(終値!$E265:$CZ265,1,$BN265+20)))</f>
      </c>
      <c r="BS265" s="684">
        <f>IF($BM265="","",AVERAGE(INDEX(終値!$E265:$CZ265,1,$BM265+1):INDEX(終値!$E265:$CZ265,1,$BM265+20))+2*STDEVP(INDEX(終値!$E265:$CZ265,1,$BM265+1):INDEX(終値!$E265:$CZ265,1,$BM265+20)))</f>
      </c>
      <c r="BT265" s="681">
        <f>IFERROR(IF(AND($BD265&gt;=2,ABS($BG265-$BH265)/$BH265&lt;=BB設定!$B$12,$BI265&gt;=MAX($BH265,$BG265)*(1+BB設定!$B$13),終値!E265&gt;$BG265),IF(OR(終値!E265&gt;=$BI265,AND($BH265&lt;$BJ265,$BG265&gt;=$BK265)),"二番底W▲","二番底W形成"),IF(AND($BL265&gt;=2,ABS($BO265-$BP265)/$BP265&lt;=BB設定!$B$12,$BQ265&lt;=MIN($BP265,$BO265)*(1-BB設定!$B$13),終値!E265&lt;$BO265),IF(OR(終値!E265&lt;=$BQ265,AND($BP265&gt;$BR265,$BO265&lt;=$BS265)),"二番天井M▼","二番天井M形成"),"－")),"－")</f>
      </c>
    </row>
    <row r="266">
      <c r="B266" s="684">
        <f>IF(終値!A266="","",IF(AND(安値!G266&lt;安値!F266,安値!G266&lt;安値!E266,安値!G266&lt;安値!H266,安値!G266&lt;安値!I266),2,""))</f>
      </c>
      <c r="C266" s="684">
        <f>IF(終値!A266="","",IF(AND(安値!H266&lt;安値!G266,安値!H266&lt;安値!F266,安値!H266&lt;安値!I266,安値!H266&lt;安値!J266),3,""))</f>
      </c>
      <c r="D266" s="684">
        <f>IF(終値!A266="","",IF(AND(安値!I266&lt;安値!H266,安値!I266&lt;安値!G266,安値!I266&lt;安値!J266,安値!I266&lt;安値!K266),4,""))</f>
      </c>
      <c r="E266" s="684">
        <f>IF(終値!A266="","",IF(AND(安値!J266&lt;安値!I266,安値!J266&lt;安値!H266,安値!J266&lt;安値!K266,安値!J266&lt;安値!L266),5,""))</f>
      </c>
      <c r="F266" s="684">
        <f>IF(終値!A266="","",IF(AND(安値!K266&lt;安値!J266,安値!K266&lt;安値!I266,安値!K266&lt;安値!L266,安値!K266&lt;安値!M266),6,""))</f>
      </c>
      <c r="G266" s="684">
        <f>IF(終値!A266="","",IF(AND(安値!L266&lt;安値!K266,安値!L266&lt;安値!J266,安値!L266&lt;安値!M266,安値!L266&lt;安値!N266),7,""))</f>
      </c>
      <c r="H266" s="684">
        <f>IF(終値!A266="","",IF(AND(安値!M266&lt;安値!L266,安値!M266&lt;安値!K266,安値!M266&lt;安値!N266,安値!M266&lt;安値!O266),8,""))</f>
      </c>
      <c r="I266" s="684">
        <f>IF(終値!A266="","",IF(AND(安値!N266&lt;安値!M266,安値!N266&lt;安値!L266,安値!N266&lt;安値!O266,安値!N266&lt;安値!P266),9,""))</f>
      </c>
      <c r="J266" s="684">
        <f>IF(終値!A266="","",IF(AND(安値!O266&lt;安値!N266,安値!O266&lt;安値!M266,安値!O266&lt;安値!P266,安値!O266&lt;安値!Q266),10,""))</f>
      </c>
      <c r="K266" s="684">
        <f>IF(終値!A266="","",IF(AND(安値!P266&lt;安値!O266,安値!P266&lt;安値!N266,安値!P266&lt;安値!Q266,安値!P266&lt;安値!R266),11,""))</f>
      </c>
      <c r="L266" s="684">
        <f>IF(終値!A266="","",IF(AND(安値!Q266&lt;安値!P266,安値!Q266&lt;安値!O266,安値!Q266&lt;安値!R266,安値!Q266&lt;安値!S266),12,""))</f>
      </c>
      <c r="M266" s="684">
        <f>IF(終値!A266="","",IF(AND(安値!R266&lt;安値!Q266,安値!R266&lt;安値!P266,安値!R266&lt;安値!S266,安値!R266&lt;安値!T266),13,""))</f>
      </c>
      <c r="N266" s="684">
        <f>IF(終値!A266="","",IF(AND(安値!S266&lt;安値!R266,安値!S266&lt;安値!Q266,安値!S266&lt;安値!T266,安値!S266&lt;安値!U266),14,""))</f>
      </c>
      <c r="O266" s="684">
        <f>IF(終値!A266="","",IF(AND(安値!T266&lt;安値!S266,安値!T266&lt;安値!R266,安値!T266&lt;安値!U266,安値!T266&lt;安値!V266),15,""))</f>
      </c>
      <c r="P266" s="684">
        <f>IF(終値!A266="","",IF(AND(安値!U266&lt;安値!T266,安値!U266&lt;安値!S266,安値!U266&lt;安値!V266,安値!U266&lt;安値!W266),16,""))</f>
      </c>
      <c r="Q266" s="684">
        <f>IF(終値!A266="","",IF(AND(安値!V266&lt;安値!U266,安値!V266&lt;安値!T266,安値!V266&lt;安値!W266,安値!V266&lt;安値!X266),17,""))</f>
      </c>
      <c r="R266" s="684">
        <f>IF(終値!A266="","",IF(AND(安値!W266&lt;安値!V266,安値!W266&lt;安値!U266,安値!W266&lt;安値!X266,安値!W266&lt;安値!Y266),18,""))</f>
      </c>
      <c r="S266" s="684">
        <f>IF(終値!A266="","",IF(AND(安値!X266&lt;安値!W266,安値!X266&lt;安値!V266,安値!X266&lt;安値!Y266,安値!X266&lt;安値!Z266),19,""))</f>
      </c>
      <c r="T266" s="684">
        <f>IF(終値!A266="","",IF(AND(安値!Y266&lt;安値!X266,安値!Y266&lt;安値!W266,安値!Y266&lt;安値!Z266,安値!Y266&lt;安値!AA266),20,""))</f>
      </c>
      <c r="U266" s="684">
        <f>IF(終値!A266="","",IF(AND(安値!Z266&lt;安値!Y266,安値!Z266&lt;安値!X266,安値!Z266&lt;安値!AA266,安値!Z266&lt;安値!AB266),21,""))</f>
      </c>
      <c r="V266" s="684">
        <f>IF(終値!A266="","",IF(AND(安値!AA266&lt;安値!Z266,安値!AA266&lt;安値!Y266,安値!AA266&lt;安値!AB266,安値!AA266&lt;安値!AC266),22,""))</f>
      </c>
      <c r="W266" s="684">
        <f>IF(終値!A266="","",IF(AND(安値!AB266&lt;安値!AA266,安値!AB266&lt;安値!Z266,安値!AB266&lt;安値!AC266,安値!AB266&lt;安値!AD266),23,""))</f>
      </c>
      <c r="X266" s="684">
        <f>IF(終値!A266="","",IF(AND(安値!AC266&lt;安値!AB266,安値!AC266&lt;安値!AA266,安値!AC266&lt;安値!AD266,安値!AC266&lt;安値!AE266),24,""))</f>
      </c>
      <c r="Y266" s="684">
        <f>IF(終値!A266="","",IF(AND(安値!AD266&lt;安値!AC266,安値!AD266&lt;安値!AB266,安値!AD266&lt;安値!AE266,安値!AD266&lt;安値!AF266),25,""))</f>
      </c>
      <c r="Z266" s="684">
        <f>IF(終値!A266="","",IF(AND(安値!AE266&lt;安値!AD266,安値!AE266&lt;安値!AC266,安値!AE266&lt;安値!AF266,安値!AE266&lt;安値!AG266),26,""))</f>
      </c>
      <c r="AA266" s="684">
        <f>IF(終値!A266="","",IF(AND(安値!AF266&lt;安値!AE266,安値!AF266&lt;安値!AD266,安値!AF266&lt;安値!AG266,安値!AF266&lt;安値!AH266),27,""))</f>
      </c>
      <c r="AB266" s="684">
        <f>IF(終値!A266="","",IF(AND(安値!AG266&lt;安値!AF266,安値!AG266&lt;安値!AE266,安値!AG266&lt;安値!AH266,安値!AG266&lt;安値!AI266),28,""))</f>
      </c>
      <c r="AC266" s="684">
        <f>IF(終値!A266="","",IF(AND(高値!G266&gt;高値!F266,高値!G266&gt;高値!E266,高値!G266&gt;高値!H266,高値!G266&gt;高値!I266),2,""))</f>
      </c>
      <c r="AD266" s="684">
        <f>IF(終値!A266="","",IF(AND(高値!H266&gt;高値!G266,高値!H266&gt;高値!F266,高値!H266&gt;高値!I266,高値!H266&gt;高値!J266),3,""))</f>
      </c>
      <c r="AE266" s="684">
        <f>IF(終値!A266="","",IF(AND(高値!I266&gt;高値!H266,高値!I266&gt;高値!G266,高値!I266&gt;高値!J266,高値!I266&gt;高値!K266),4,""))</f>
      </c>
      <c r="AF266" s="684">
        <f>IF(終値!A266="","",IF(AND(高値!J266&gt;高値!I266,高値!J266&gt;高値!H266,高値!J266&gt;高値!K266,高値!J266&gt;高値!L266),5,""))</f>
      </c>
      <c r="AG266" s="684">
        <f>IF(終値!A266="","",IF(AND(高値!K266&gt;高値!J266,高値!K266&gt;高値!I266,高値!K266&gt;高値!L266,高値!K266&gt;高値!M266),6,""))</f>
      </c>
      <c r="AH266" s="684">
        <f>IF(終値!A266="","",IF(AND(高値!L266&gt;高値!K266,高値!L266&gt;高値!J266,高値!L266&gt;高値!M266,高値!L266&gt;高値!N266),7,""))</f>
      </c>
      <c r="AI266" s="684">
        <f>IF(終値!A266="","",IF(AND(高値!M266&gt;高値!L266,高値!M266&gt;高値!K266,高値!M266&gt;高値!N266,高値!M266&gt;高値!O266),8,""))</f>
      </c>
      <c r="AJ266" s="684">
        <f>IF(終値!A266="","",IF(AND(高値!N266&gt;高値!M266,高値!N266&gt;高値!L266,高値!N266&gt;高値!O266,高値!N266&gt;高値!P266),9,""))</f>
      </c>
      <c r="AK266" s="684">
        <f>IF(終値!A266="","",IF(AND(高値!O266&gt;高値!N266,高値!O266&gt;高値!M266,高値!O266&gt;高値!P266,高値!O266&gt;高値!Q266),10,""))</f>
      </c>
      <c r="AL266" s="684">
        <f>IF(終値!A266="","",IF(AND(高値!P266&gt;高値!O266,高値!P266&gt;高値!N266,高値!P266&gt;高値!Q266,高値!P266&gt;高値!R266),11,""))</f>
      </c>
      <c r="AM266" s="684">
        <f>IF(終値!A266="","",IF(AND(高値!Q266&gt;高値!P266,高値!Q266&gt;高値!O266,高値!Q266&gt;高値!R266,高値!Q266&gt;高値!S266),12,""))</f>
      </c>
      <c r="AN266" s="684">
        <f>IF(終値!A266="","",IF(AND(高値!R266&gt;高値!Q266,高値!R266&gt;高値!P266,高値!R266&gt;高値!S266,高値!R266&gt;高値!T266),13,""))</f>
      </c>
      <c r="AO266" s="684">
        <f>IF(終値!A266="","",IF(AND(高値!S266&gt;高値!R266,高値!S266&gt;高値!Q266,高値!S266&gt;高値!T266,高値!S266&gt;高値!U266),14,""))</f>
      </c>
      <c r="AP266" s="684">
        <f>IF(終値!A266="","",IF(AND(高値!T266&gt;高値!S266,高値!T266&gt;高値!R266,高値!T266&gt;高値!U266,高値!T266&gt;高値!V266),15,""))</f>
      </c>
      <c r="AQ266" s="684">
        <f>IF(終値!A266="","",IF(AND(高値!U266&gt;高値!T266,高値!U266&gt;高値!S266,高値!U266&gt;高値!V266,高値!U266&gt;高値!W266),16,""))</f>
      </c>
      <c r="AR266" s="684">
        <f>IF(終値!A266="","",IF(AND(高値!V266&gt;高値!U266,高値!V266&gt;高値!T266,高値!V266&gt;高値!W266,高値!V266&gt;高値!X266),17,""))</f>
      </c>
      <c r="AS266" s="684">
        <f>IF(終値!A266="","",IF(AND(高値!W266&gt;高値!V266,高値!W266&gt;高値!U266,高値!W266&gt;高値!X266,高値!W266&gt;高値!Y266),18,""))</f>
      </c>
      <c r="AT266" s="684">
        <f>IF(終値!A266="","",IF(AND(高値!X266&gt;高値!W266,高値!X266&gt;高値!V266,高値!X266&gt;高値!Y266,高値!X266&gt;高値!Z266),19,""))</f>
      </c>
      <c r="AU266" s="684">
        <f>IF(終値!A266="","",IF(AND(高値!Y266&gt;高値!X266,高値!Y266&gt;高値!W266,高値!Y266&gt;高値!Z266,高値!Y266&gt;高値!AA266),20,""))</f>
      </c>
      <c r="AV266" s="684">
        <f>IF(終値!A266="","",IF(AND(高値!Z266&gt;高値!Y266,高値!Z266&gt;高値!X266,高値!Z266&gt;高値!AA266,高値!Z266&gt;高値!AB266),21,""))</f>
      </c>
      <c r="AW266" s="684">
        <f>IF(終値!A266="","",IF(AND(高値!AA266&gt;高値!Z266,高値!AA266&gt;高値!Y266,高値!AA266&gt;高値!AB266,高値!AA266&gt;高値!AC266),22,""))</f>
      </c>
      <c r="AX266" s="684">
        <f>IF(終値!A266="","",IF(AND(高値!AB266&gt;高値!AA266,高値!AB266&gt;高値!Z266,高値!AB266&gt;高値!AC266,高値!AB266&gt;高値!AD266),23,""))</f>
      </c>
      <c r="AY266" s="684">
        <f>IF(終値!A266="","",IF(AND(高値!AC266&gt;高値!AB266,高値!AC266&gt;高値!AA266,高値!AC266&gt;高値!AD266,高値!AC266&gt;高値!AE266),24,""))</f>
      </c>
      <c r="AZ266" s="684">
        <f>IF(終値!A266="","",IF(AND(高値!AD266&gt;高値!AC266,高値!AD266&gt;高値!AB266,高値!AD266&gt;高値!AE266,高値!AD266&gt;高値!AF266),25,""))</f>
      </c>
      <c r="BA266" s="684">
        <f>IF(終値!A266="","",IF(AND(高値!AE266&gt;高値!AD266,高値!AE266&gt;高値!AC266,高値!AE266&gt;高値!AF266,高値!AE266&gt;高値!AG266),26,""))</f>
      </c>
      <c r="BB266" s="684">
        <f>IF(終値!A266="","",IF(AND(高値!AF266&gt;高値!AE266,高値!AF266&gt;高値!AD266,高値!AF266&gt;高値!AG266,高値!AF266&gt;高値!AH266),27,""))</f>
      </c>
      <c r="BC266" s="684">
        <f>IF(終値!A266="","",IF(AND(高値!AG266&gt;高値!AF266,高値!AG266&gt;高値!AE266,高値!AG266&gt;高値!AH266,高値!AG266&gt;高値!AI266),28,""))</f>
      </c>
      <c r="BD266" s="684">
        <f>COUNT($B266:$AB266)</f>
      </c>
      <c r="BE266" s="684">
        <f>IF($BD266&gt;=2,MIN($B266:$AB266),"")</f>
      </c>
      <c r="BF266" s="684">
        <f>IF($BD266&gt;=2,SMALL($B266:$AB266,2),"")</f>
      </c>
      <c r="BG266" s="684">
        <f>IF($BE266="","",INDEX(安値!$E266:$CZ266,1,$BE266+1))</f>
      </c>
      <c r="BH266" s="684">
        <f>IF($BF266="","",INDEX(安値!$E266:$CZ266,1,$BF266+1))</f>
      </c>
      <c r="BI266" s="684">
        <f>IF($BF266="","",MAX(INDEX(高値!$E266:$CZ266,1,$BE266+1):INDEX(高値!$E266:$CZ266,1,$BF266+1)))</f>
      </c>
      <c r="BJ266" s="684">
        <f>IF($BF266="","",AVERAGE(INDEX(終値!$E266:$CZ266,1,$BF266+1):INDEX(終値!$E266:$CZ266,1,$BF266+20))-2*STDEVP(INDEX(終値!$E266:$CZ266,1,$BF266+1):INDEX(終値!$E266:$CZ266,1,$BF266+20)))</f>
      </c>
      <c r="BK266" s="684">
        <f>IF($BE266="","",AVERAGE(INDEX(終値!$E266:$CZ266,1,$BE266+1):INDEX(終値!$E266:$CZ266,1,$BE266+20))-2*STDEVP(INDEX(終値!$E266:$CZ266,1,$BE266+1):INDEX(終値!$E266:$CZ266,1,$BE266+20)))</f>
      </c>
      <c r="BL266" s="684">
        <f>COUNT($AC266:$BC266)</f>
      </c>
      <c r="BM266" s="684">
        <f>IF($BL266&gt;=2,MIN($AC266:$BC266),"")</f>
      </c>
      <c r="BN266" s="684">
        <f>IF($BL266&gt;=2,SMALL($AC266:$BC266,2),"")</f>
      </c>
      <c r="BO266" s="684">
        <f>IF($BM266="","",INDEX(高値!$E266:$CZ266,1,$BM266+1))</f>
      </c>
      <c r="BP266" s="684">
        <f>IF($BN266="","",INDEX(高値!$E266:$CZ266,1,$BN266+1))</f>
      </c>
      <c r="BQ266" s="684">
        <f>IF($BN266="","",MIN(INDEX(安値!$E266:$CZ266,1,$BM266+1):INDEX(安値!$E266:$CZ266,1,$BN266+1)))</f>
      </c>
      <c r="BR266" s="684">
        <f>IF($BN266="","",AVERAGE(INDEX(終値!$E266:$CZ266,1,$BN266+1):INDEX(終値!$E266:$CZ266,1,$BN266+20))+2*STDEVP(INDEX(終値!$E266:$CZ266,1,$BN266+1):INDEX(終値!$E266:$CZ266,1,$BN266+20)))</f>
      </c>
      <c r="BS266" s="684">
        <f>IF($BM266="","",AVERAGE(INDEX(終値!$E266:$CZ266,1,$BM266+1):INDEX(終値!$E266:$CZ266,1,$BM266+20))+2*STDEVP(INDEX(終値!$E266:$CZ266,1,$BM266+1):INDEX(終値!$E266:$CZ266,1,$BM266+20)))</f>
      </c>
      <c r="BT266" s="681">
        <f>IFERROR(IF(AND($BD266&gt;=2,ABS($BG266-$BH266)/$BH266&lt;=BB設定!$B$12,$BI266&gt;=MAX($BH266,$BG266)*(1+BB設定!$B$13),終値!E266&gt;$BG266),IF(OR(終値!E266&gt;=$BI266,AND($BH266&lt;$BJ266,$BG266&gt;=$BK266)),"二番底W▲","二番底W形成"),IF(AND($BL266&gt;=2,ABS($BO266-$BP266)/$BP266&lt;=BB設定!$B$12,$BQ266&lt;=MIN($BP266,$BO266)*(1-BB設定!$B$13),終値!E266&lt;$BO266),IF(OR(終値!E266&lt;=$BQ266,AND($BP266&gt;$BR266,$BO266&lt;=$BS266)),"二番天井M▼","二番天井M形成"),"－")),"－")</f>
      </c>
    </row>
    <row r="267">
      <c r="B267" s="684">
        <f>IF(終値!A267="","",IF(AND(安値!G267&lt;安値!F267,安値!G267&lt;安値!E267,安値!G267&lt;安値!H267,安値!G267&lt;安値!I267),2,""))</f>
      </c>
      <c r="C267" s="684">
        <f>IF(終値!A267="","",IF(AND(安値!H267&lt;安値!G267,安値!H267&lt;安値!F267,安値!H267&lt;安値!I267,安値!H267&lt;安値!J267),3,""))</f>
      </c>
      <c r="D267" s="684">
        <f>IF(終値!A267="","",IF(AND(安値!I267&lt;安値!H267,安値!I267&lt;安値!G267,安値!I267&lt;安値!J267,安値!I267&lt;安値!K267),4,""))</f>
      </c>
      <c r="E267" s="684">
        <f>IF(終値!A267="","",IF(AND(安値!J267&lt;安値!I267,安値!J267&lt;安値!H267,安値!J267&lt;安値!K267,安値!J267&lt;安値!L267),5,""))</f>
      </c>
      <c r="F267" s="684">
        <f>IF(終値!A267="","",IF(AND(安値!K267&lt;安値!J267,安値!K267&lt;安値!I267,安値!K267&lt;安値!L267,安値!K267&lt;安値!M267),6,""))</f>
      </c>
      <c r="G267" s="684">
        <f>IF(終値!A267="","",IF(AND(安値!L267&lt;安値!K267,安値!L267&lt;安値!J267,安値!L267&lt;安値!M267,安値!L267&lt;安値!N267),7,""))</f>
      </c>
      <c r="H267" s="684">
        <f>IF(終値!A267="","",IF(AND(安値!M267&lt;安値!L267,安値!M267&lt;安値!K267,安値!M267&lt;安値!N267,安値!M267&lt;安値!O267),8,""))</f>
      </c>
      <c r="I267" s="684">
        <f>IF(終値!A267="","",IF(AND(安値!N267&lt;安値!M267,安値!N267&lt;安値!L267,安値!N267&lt;安値!O267,安値!N267&lt;安値!P267),9,""))</f>
      </c>
      <c r="J267" s="684">
        <f>IF(終値!A267="","",IF(AND(安値!O267&lt;安値!N267,安値!O267&lt;安値!M267,安値!O267&lt;安値!P267,安値!O267&lt;安値!Q267),10,""))</f>
      </c>
      <c r="K267" s="684">
        <f>IF(終値!A267="","",IF(AND(安値!P267&lt;安値!O267,安値!P267&lt;安値!N267,安値!P267&lt;安値!Q267,安値!P267&lt;安値!R267),11,""))</f>
      </c>
      <c r="L267" s="684">
        <f>IF(終値!A267="","",IF(AND(安値!Q267&lt;安値!P267,安値!Q267&lt;安値!O267,安値!Q267&lt;安値!R267,安値!Q267&lt;安値!S267),12,""))</f>
      </c>
      <c r="M267" s="684">
        <f>IF(終値!A267="","",IF(AND(安値!R267&lt;安値!Q267,安値!R267&lt;安値!P267,安値!R267&lt;安値!S267,安値!R267&lt;安値!T267),13,""))</f>
      </c>
      <c r="N267" s="684">
        <f>IF(終値!A267="","",IF(AND(安値!S267&lt;安値!R267,安値!S267&lt;安値!Q267,安値!S267&lt;安値!T267,安値!S267&lt;安値!U267),14,""))</f>
      </c>
      <c r="O267" s="684">
        <f>IF(終値!A267="","",IF(AND(安値!T267&lt;安値!S267,安値!T267&lt;安値!R267,安値!T267&lt;安値!U267,安値!T267&lt;安値!V267),15,""))</f>
      </c>
      <c r="P267" s="684">
        <f>IF(終値!A267="","",IF(AND(安値!U267&lt;安値!T267,安値!U267&lt;安値!S267,安値!U267&lt;安値!V267,安値!U267&lt;安値!W267),16,""))</f>
      </c>
      <c r="Q267" s="684">
        <f>IF(終値!A267="","",IF(AND(安値!V267&lt;安値!U267,安値!V267&lt;安値!T267,安値!V267&lt;安値!W267,安値!V267&lt;安値!X267),17,""))</f>
      </c>
      <c r="R267" s="684">
        <f>IF(終値!A267="","",IF(AND(安値!W267&lt;安値!V267,安値!W267&lt;安値!U267,安値!W267&lt;安値!X267,安値!W267&lt;安値!Y267),18,""))</f>
      </c>
      <c r="S267" s="684">
        <f>IF(終値!A267="","",IF(AND(安値!X267&lt;安値!W267,安値!X267&lt;安値!V267,安値!X267&lt;安値!Y267,安値!X267&lt;安値!Z267),19,""))</f>
      </c>
      <c r="T267" s="684">
        <f>IF(終値!A267="","",IF(AND(安値!Y267&lt;安値!X267,安値!Y267&lt;安値!W267,安値!Y267&lt;安値!Z267,安値!Y267&lt;安値!AA267),20,""))</f>
      </c>
      <c r="U267" s="684">
        <f>IF(終値!A267="","",IF(AND(安値!Z267&lt;安値!Y267,安値!Z267&lt;安値!X267,安値!Z267&lt;安値!AA267,安値!Z267&lt;安値!AB267),21,""))</f>
      </c>
      <c r="V267" s="684">
        <f>IF(終値!A267="","",IF(AND(安値!AA267&lt;安値!Z267,安値!AA267&lt;安値!Y267,安値!AA267&lt;安値!AB267,安値!AA267&lt;安値!AC267),22,""))</f>
      </c>
      <c r="W267" s="684">
        <f>IF(終値!A267="","",IF(AND(安値!AB267&lt;安値!AA267,安値!AB267&lt;安値!Z267,安値!AB267&lt;安値!AC267,安値!AB267&lt;安値!AD267),23,""))</f>
      </c>
      <c r="X267" s="684">
        <f>IF(終値!A267="","",IF(AND(安値!AC267&lt;安値!AB267,安値!AC267&lt;安値!AA267,安値!AC267&lt;安値!AD267,安値!AC267&lt;安値!AE267),24,""))</f>
      </c>
      <c r="Y267" s="684">
        <f>IF(終値!A267="","",IF(AND(安値!AD267&lt;安値!AC267,安値!AD267&lt;安値!AB267,安値!AD267&lt;安値!AE267,安値!AD267&lt;安値!AF267),25,""))</f>
      </c>
      <c r="Z267" s="684">
        <f>IF(終値!A267="","",IF(AND(安値!AE267&lt;安値!AD267,安値!AE267&lt;安値!AC267,安値!AE267&lt;安値!AF267,安値!AE267&lt;安値!AG267),26,""))</f>
      </c>
      <c r="AA267" s="684">
        <f>IF(終値!A267="","",IF(AND(安値!AF267&lt;安値!AE267,安値!AF267&lt;安値!AD267,安値!AF267&lt;安値!AG267,安値!AF267&lt;安値!AH267),27,""))</f>
      </c>
      <c r="AB267" s="684">
        <f>IF(終値!A267="","",IF(AND(安値!AG267&lt;安値!AF267,安値!AG267&lt;安値!AE267,安値!AG267&lt;安値!AH267,安値!AG267&lt;安値!AI267),28,""))</f>
      </c>
      <c r="AC267" s="684">
        <f>IF(終値!A267="","",IF(AND(高値!G267&gt;高値!F267,高値!G267&gt;高値!E267,高値!G267&gt;高値!H267,高値!G267&gt;高値!I267),2,""))</f>
      </c>
      <c r="AD267" s="684">
        <f>IF(終値!A267="","",IF(AND(高値!H267&gt;高値!G267,高値!H267&gt;高値!F267,高値!H267&gt;高値!I267,高値!H267&gt;高値!J267),3,""))</f>
      </c>
      <c r="AE267" s="684">
        <f>IF(終値!A267="","",IF(AND(高値!I267&gt;高値!H267,高値!I267&gt;高値!G267,高値!I267&gt;高値!J267,高値!I267&gt;高値!K267),4,""))</f>
      </c>
      <c r="AF267" s="684">
        <f>IF(終値!A267="","",IF(AND(高値!J267&gt;高値!I267,高値!J267&gt;高値!H267,高値!J267&gt;高値!K267,高値!J267&gt;高値!L267),5,""))</f>
      </c>
      <c r="AG267" s="684">
        <f>IF(終値!A267="","",IF(AND(高値!K267&gt;高値!J267,高値!K267&gt;高値!I267,高値!K267&gt;高値!L267,高値!K267&gt;高値!M267),6,""))</f>
      </c>
      <c r="AH267" s="684">
        <f>IF(終値!A267="","",IF(AND(高値!L267&gt;高値!K267,高値!L267&gt;高値!J267,高値!L267&gt;高値!M267,高値!L267&gt;高値!N267),7,""))</f>
      </c>
      <c r="AI267" s="684">
        <f>IF(終値!A267="","",IF(AND(高値!M267&gt;高値!L267,高値!M267&gt;高値!K267,高値!M267&gt;高値!N267,高値!M267&gt;高値!O267),8,""))</f>
      </c>
      <c r="AJ267" s="684">
        <f>IF(終値!A267="","",IF(AND(高値!N267&gt;高値!M267,高値!N267&gt;高値!L267,高値!N267&gt;高値!O267,高値!N267&gt;高値!P267),9,""))</f>
      </c>
      <c r="AK267" s="684">
        <f>IF(終値!A267="","",IF(AND(高値!O267&gt;高値!N267,高値!O267&gt;高値!M267,高値!O267&gt;高値!P267,高値!O267&gt;高値!Q267),10,""))</f>
      </c>
      <c r="AL267" s="684">
        <f>IF(終値!A267="","",IF(AND(高値!P267&gt;高値!O267,高値!P267&gt;高値!N267,高値!P267&gt;高値!Q267,高値!P267&gt;高値!R267),11,""))</f>
      </c>
      <c r="AM267" s="684">
        <f>IF(終値!A267="","",IF(AND(高値!Q267&gt;高値!P267,高値!Q267&gt;高値!O267,高値!Q267&gt;高値!R267,高値!Q267&gt;高値!S267),12,""))</f>
      </c>
      <c r="AN267" s="684">
        <f>IF(終値!A267="","",IF(AND(高値!R267&gt;高値!Q267,高値!R267&gt;高値!P267,高値!R267&gt;高値!S267,高値!R267&gt;高値!T267),13,""))</f>
      </c>
      <c r="AO267" s="684">
        <f>IF(終値!A267="","",IF(AND(高値!S267&gt;高値!R267,高値!S267&gt;高値!Q267,高値!S267&gt;高値!T267,高値!S267&gt;高値!U267),14,""))</f>
      </c>
      <c r="AP267" s="684">
        <f>IF(終値!A267="","",IF(AND(高値!T267&gt;高値!S267,高値!T267&gt;高値!R267,高値!T267&gt;高値!U267,高値!T267&gt;高値!V267),15,""))</f>
      </c>
      <c r="AQ267" s="684">
        <f>IF(終値!A267="","",IF(AND(高値!U267&gt;高値!T267,高値!U267&gt;高値!S267,高値!U267&gt;高値!V267,高値!U267&gt;高値!W267),16,""))</f>
      </c>
      <c r="AR267" s="684">
        <f>IF(終値!A267="","",IF(AND(高値!V267&gt;高値!U267,高値!V267&gt;高値!T267,高値!V267&gt;高値!W267,高値!V267&gt;高値!X267),17,""))</f>
      </c>
      <c r="AS267" s="684">
        <f>IF(終値!A267="","",IF(AND(高値!W267&gt;高値!V267,高値!W267&gt;高値!U267,高値!W267&gt;高値!X267,高値!W267&gt;高値!Y267),18,""))</f>
      </c>
      <c r="AT267" s="684">
        <f>IF(終値!A267="","",IF(AND(高値!X267&gt;高値!W267,高値!X267&gt;高値!V267,高値!X267&gt;高値!Y267,高値!X267&gt;高値!Z267),19,""))</f>
      </c>
      <c r="AU267" s="684">
        <f>IF(終値!A267="","",IF(AND(高値!Y267&gt;高値!X267,高値!Y267&gt;高値!W267,高値!Y267&gt;高値!Z267,高値!Y267&gt;高値!AA267),20,""))</f>
      </c>
      <c r="AV267" s="684">
        <f>IF(終値!A267="","",IF(AND(高値!Z267&gt;高値!Y267,高値!Z267&gt;高値!X267,高値!Z267&gt;高値!AA267,高値!Z267&gt;高値!AB267),21,""))</f>
      </c>
      <c r="AW267" s="684">
        <f>IF(終値!A267="","",IF(AND(高値!AA267&gt;高値!Z267,高値!AA267&gt;高値!Y267,高値!AA267&gt;高値!AB267,高値!AA267&gt;高値!AC267),22,""))</f>
      </c>
      <c r="AX267" s="684">
        <f>IF(終値!A267="","",IF(AND(高値!AB267&gt;高値!AA267,高値!AB267&gt;高値!Z267,高値!AB267&gt;高値!AC267,高値!AB267&gt;高値!AD267),23,""))</f>
      </c>
      <c r="AY267" s="684">
        <f>IF(終値!A267="","",IF(AND(高値!AC267&gt;高値!AB267,高値!AC267&gt;高値!AA267,高値!AC267&gt;高値!AD267,高値!AC267&gt;高値!AE267),24,""))</f>
      </c>
      <c r="AZ267" s="684">
        <f>IF(終値!A267="","",IF(AND(高値!AD267&gt;高値!AC267,高値!AD267&gt;高値!AB267,高値!AD267&gt;高値!AE267,高値!AD267&gt;高値!AF267),25,""))</f>
      </c>
      <c r="BA267" s="684">
        <f>IF(終値!A267="","",IF(AND(高値!AE267&gt;高値!AD267,高値!AE267&gt;高値!AC267,高値!AE267&gt;高値!AF267,高値!AE267&gt;高値!AG267),26,""))</f>
      </c>
      <c r="BB267" s="684">
        <f>IF(終値!A267="","",IF(AND(高値!AF267&gt;高値!AE267,高値!AF267&gt;高値!AD267,高値!AF267&gt;高値!AG267,高値!AF267&gt;高値!AH267),27,""))</f>
      </c>
      <c r="BC267" s="684">
        <f>IF(終値!A267="","",IF(AND(高値!AG267&gt;高値!AF267,高値!AG267&gt;高値!AE267,高値!AG267&gt;高値!AH267,高値!AG267&gt;高値!AI267),28,""))</f>
      </c>
      <c r="BD267" s="684">
        <f>COUNT($B267:$AB267)</f>
      </c>
      <c r="BE267" s="684">
        <f>IF($BD267&gt;=2,MIN($B267:$AB267),"")</f>
      </c>
      <c r="BF267" s="684">
        <f>IF($BD267&gt;=2,SMALL($B267:$AB267,2),"")</f>
      </c>
      <c r="BG267" s="684">
        <f>IF($BE267="","",INDEX(安値!$E267:$CZ267,1,$BE267+1))</f>
      </c>
      <c r="BH267" s="684">
        <f>IF($BF267="","",INDEX(安値!$E267:$CZ267,1,$BF267+1))</f>
      </c>
      <c r="BI267" s="684">
        <f>IF($BF267="","",MAX(INDEX(高値!$E267:$CZ267,1,$BE267+1):INDEX(高値!$E267:$CZ267,1,$BF267+1)))</f>
      </c>
      <c r="BJ267" s="684">
        <f>IF($BF267="","",AVERAGE(INDEX(終値!$E267:$CZ267,1,$BF267+1):INDEX(終値!$E267:$CZ267,1,$BF267+20))-2*STDEVP(INDEX(終値!$E267:$CZ267,1,$BF267+1):INDEX(終値!$E267:$CZ267,1,$BF267+20)))</f>
      </c>
      <c r="BK267" s="684">
        <f>IF($BE267="","",AVERAGE(INDEX(終値!$E267:$CZ267,1,$BE267+1):INDEX(終値!$E267:$CZ267,1,$BE267+20))-2*STDEVP(INDEX(終値!$E267:$CZ267,1,$BE267+1):INDEX(終値!$E267:$CZ267,1,$BE267+20)))</f>
      </c>
      <c r="BL267" s="684">
        <f>COUNT($AC267:$BC267)</f>
      </c>
      <c r="BM267" s="684">
        <f>IF($BL267&gt;=2,MIN($AC267:$BC267),"")</f>
      </c>
      <c r="BN267" s="684">
        <f>IF($BL267&gt;=2,SMALL($AC267:$BC267,2),"")</f>
      </c>
      <c r="BO267" s="684">
        <f>IF($BM267="","",INDEX(高値!$E267:$CZ267,1,$BM267+1))</f>
      </c>
      <c r="BP267" s="684">
        <f>IF($BN267="","",INDEX(高値!$E267:$CZ267,1,$BN267+1))</f>
      </c>
      <c r="BQ267" s="684">
        <f>IF($BN267="","",MIN(INDEX(安値!$E267:$CZ267,1,$BM267+1):INDEX(安値!$E267:$CZ267,1,$BN267+1)))</f>
      </c>
      <c r="BR267" s="684">
        <f>IF($BN267="","",AVERAGE(INDEX(終値!$E267:$CZ267,1,$BN267+1):INDEX(終値!$E267:$CZ267,1,$BN267+20))+2*STDEVP(INDEX(終値!$E267:$CZ267,1,$BN267+1):INDEX(終値!$E267:$CZ267,1,$BN267+20)))</f>
      </c>
      <c r="BS267" s="684">
        <f>IF($BM267="","",AVERAGE(INDEX(終値!$E267:$CZ267,1,$BM267+1):INDEX(終値!$E267:$CZ267,1,$BM267+20))+2*STDEVP(INDEX(終値!$E267:$CZ267,1,$BM267+1):INDEX(終値!$E267:$CZ267,1,$BM267+20)))</f>
      </c>
      <c r="BT267" s="681">
        <f>IFERROR(IF(AND($BD267&gt;=2,ABS($BG267-$BH267)/$BH267&lt;=BB設定!$B$12,$BI267&gt;=MAX($BH267,$BG267)*(1+BB設定!$B$13),終値!E267&gt;$BG267),IF(OR(終値!E267&gt;=$BI267,AND($BH267&lt;$BJ267,$BG267&gt;=$BK267)),"二番底W▲","二番底W形成"),IF(AND($BL267&gt;=2,ABS($BO267-$BP267)/$BP267&lt;=BB設定!$B$12,$BQ267&lt;=MIN($BP267,$BO267)*(1-BB設定!$B$13),終値!E267&lt;$BO267),IF(OR(終値!E267&lt;=$BQ267,AND($BP267&gt;$BR267,$BO267&lt;=$BS267)),"二番天井M▼","二番天井M形成"),"－")),"－")</f>
      </c>
    </row>
    <row r="268">
      <c r="B268" s="684">
        <f>IF(終値!A268="","",IF(AND(安値!G268&lt;安値!F268,安値!G268&lt;安値!E268,安値!G268&lt;安値!H268,安値!G268&lt;安値!I268),2,""))</f>
      </c>
      <c r="C268" s="684">
        <f>IF(終値!A268="","",IF(AND(安値!H268&lt;安値!G268,安値!H268&lt;安値!F268,安値!H268&lt;安値!I268,安値!H268&lt;安値!J268),3,""))</f>
      </c>
      <c r="D268" s="684">
        <f>IF(終値!A268="","",IF(AND(安値!I268&lt;安値!H268,安値!I268&lt;安値!G268,安値!I268&lt;安値!J268,安値!I268&lt;安値!K268),4,""))</f>
      </c>
      <c r="E268" s="684">
        <f>IF(終値!A268="","",IF(AND(安値!J268&lt;安値!I268,安値!J268&lt;安値!H268,安値!J268&lt;安値!K268,安値!J268&lt;安値!L268),5,""))</f>
      </c>
      <c r="F268" s="684">
        <f>IF(終値!A268="","",IF(AND(安値!K268&lt;安値!J268,安値!K268&lt;安値!I268,安値!K268&lt;安値!L268,安値!K268&lt;安値!M268),6,""))</f>
      </c>
      <c r="G268" s="684">
        <f>IF(終値!A268="","",IF(AND(安値!L268&lt;安値!K268,安値!L268&lt;安値!J268,安値!L268&lt;安値!M268,安値!L268&lt;安値!N268),7,""))</f>
      </c>
      <c r="H268" s="684">
        <f>IF(終値!A268="","",IF(AND(安値!M268&lt;安値!L268,安値!M268&lt;安値!K268,安値!M268&lt;安値!N268,安値!M268&lt;安値!O268),8,""))</f>
      </c>
      <c r="I268" s="684">
        <f>IF(終値!A268="","",IF(AND(安値!N268&lt;安値!M268,安値!N268&lt;安値!L268,安値!N268&lt;安値!O268,安値!N268&lt;安値!P268),9,""))</f>
      </c>
      <c r="J268" s="684">
        <f>IF(終値!A268="","",IF(AND(安値!O268&lt;安値!N268,安値!O268&lt;安値!M268,安値!O268&lt;安値!P268,安値!O268&lt;安値!Q268),10,""))</f>
      </c>
      <c r="K268" s="684">
        <f>IF(終値!A268="","",IF(AND(安値!P268&lt;安値!O268,安値!P268&lt;安値!N268,安値!P268&lt;安値!Q268,安値!P268&lt;安値!R268),11,""))</f>
      </c>
      <c r="L268" s="684">
        <f>IF(終値!A268="","",IF(AND(安値!Q268&lt;安値!P268,安値!Q268&lt;安値!O268,安値!Q268&lt;安値!R268,安値!Q268&lt;安値!S268),12,""))</f>
      </c>
      <c r="M268" s="684">
        <f>IF(終値!A268="","",IF(AND(安値!R268&lt;安値!Q268,安値!R268&lt;安値!P268,安値!R268&lt;安値!S268,安値!R268&lt;安値!T268),13,""))</f>
      </c>
      <c r="N268" s="684">
        <f>IF(終値!A268="","",IF(AND(安値!S268&lt;安値!R268,安値!S268&lt;安値!Q268,安値!S268&lt;安値!T268,安値!S268&lt;安値!U268),14,""))</f>
      </c>
      <c r="O268" s="684">
        <f>IF(終値!A268="","",IF(AND(安値!T268&lt;安値!S268,安値!T268&lt;安値!R268,安値!T268&lt;安値!U268,安値!T268&lt;安値!V268),15,""))</f>
      </c>
      <c r="P268" s="684">
        <f>IF(終値!A268="","",IF(AND(安値!U268&lt;安値!T268,安値!U268&lt;安値!S268,安値!U268&lt;安値!V268,安値!U268&lt;安値!W268),16,""))</f>
      </c>
      <c r="Q268" s="684">
        <f>IF(終値!A268="","",IF(AND(安値!V268&lt;安値!U268,安値!V268&lt;安値!T268,安値!V268&lt;安値!W268,安値!V268&lt;安値!X268),17,""))</f>
      </c>
      <c r="R268" s="684">
        <f>IF(終値!A268="","",IF(AND(安値!W268&lt;安値!V268,安値!W268&lt;安値!U268,安値!W268&lt;安値!X268,安値!W268&lt;安値!Y268),18,""))</f>
      </c>
      <c r="S268" s="684">
        <f>IF(終値!A268="","",IF(AND(安値!X268&lt;安値!W268,安値!X268&lt;安値!V268,安値!X268&lt;安値!Y268,安値!X268&lt;安値!Z268),19,""))</f>
      </c>
      <c r="T268" s="684">
        <f>IF(終値!A268="","",IF(AND(安値!Y268&lt;安値!X268,安値!Y268&lt;安値!W268,安値!Y268&lt;安値!Z268,安値!Y268&lt;安値!AA268),20,""))</f>
      </c>
      <c r="U268" s="684">
        <f>IF(終値!A268="","",IF(AND(安値!Z268&lt;安値!Y268,安値!Z268&lt;安値!X268,安値!Z268&lt;安値!AA268,安値!Z268&lt;安値!AB268),21,""))</f>
      </c>
      <c r="V268" s="684">
        <f>IF(終値!A268="","",IF(AND(安値!AA268&lt;安値!Z268,安値!AA268&lt;安値!Y268,安値!AA268&lt;安値!AB268,安値!AA268&lt;安値!AC268),22,""))</f>
      </c>
      <c r="W268" s="684">
        <f>IF(終値!A268="","",IF(AND(安値!AB268&lt;安値!AA268,安値!AB268&lt;安値!Z268,安値!AB268&lt;安値!AC268,安値!AB268&lt;安値!AD268),23,""))</f>
      </c>
      <c r="X268" s="684">
        <f>IF(終値!A268="","",IF(AND(安値!AC268&lt;安値!AB268,安値!AC268&lt;安値!AA268,安値!AC268&lt;安値!AD268,安値!AC268&lt;安値!AE268),24,""))</f>
      </c>
      <c r="Y268" s="684">
        <f>IF(終値!A268="","",IF(AND(安値!AD268&lt;安値!AC268,安値!AD268&lt;安値!AB268,安値!AD268&lt;安値!AE268,安値!AD268&lt;安値!AF268),25,""))</f>
      </c>
      <c r="Z268" s="684">
        <f>IF(終値!A268="","",IF(AND(安値!AE268&lt;安値!AD268,安値!AE268&lt;安値!AC268,安値!AE268&lt;安値!AF268,安値!AE268&lt;安値!AG268),26,""))</f>
      </c>
      <c r="AA268" s="684">
        <f>IF(終値!A268="","",IF(AND(安値!AF268&lt;安値!AE268,安値!AF268&lt;安値!AD268,安値!AF268&lt;安値!AG268,安値!AF268&lt;安値!AH268),27,""))</f>
      </c>
      <c r="AB268" s="684">
        <f>IF(終値!A268="","",IF(AND(安値!AG268&lt;安値!AF268,安値!AG268&lt;安値!AE268,安値!AG268&lt;安値!AH268,安値!AG268&lt;安値!AI268),28,""))</f>
      </c>
      <c r="AC268" s="684">
        <f>IF(終値!A268="","",IF(AND(高値!G268&gt;高値!F268,高値!G268&gt;高値!E268,高値!G268&gt;高値!H268,高値!G268&gt;高値!I268),2,""))</f>
      </c>
      <c r="AD268" s="684">
        <f>IF(終値!A268="","",IF(AND(高値!H268&gt;高値!G268,高値!H268&gt;高値!F268,高値!H268&gt;高値!I268,高値!H268&gt;高値!J268),3,""))</f>
      </c>
      <c r="AE268" s="684">
        <f>IF(終値!A268="","",IF(AND(高値!I268&gt;高値!H268,高値!I268&gt;高値!G268,高値!I268&gt;高値!J268,高値!I268&gt;高値!K268),4,""))</f>
      </c>
      <c r="AF268" s="684">
        <f>IF(終値!A268="","",IF(AND(高値!J268&gt;高値!I268,高値!J268&gt;高値!H268,高値!J268&gt;高値!K268,高値!J268&gt;高値!L268),5,""))</f>
      </c>
      <c r="AG268" s="684">
        <f>IF(終値!A268="","",IF(AND(高値!K268&gt;高値!J268,高値!K268&gt;高値!I268,高値!K268&gt;高値!L268,高値!K268&gt;高値!M268),6,""))</f>
      </c>
      <c r="AH268" s="684">
        <f>IF(終値!A268="","",IF(AND(高値!L268&gt;高値!K268,高値!L268&gt;高値!J268,高値!L268&gt;高値!M268,高値!L268&gt;高値!N268),7,""))</f>
      </c>
      <c r="AI268" s="684">
        <f>IF(終値!A268="","",IF(AND(高値!M268&gt;高値!L268,高値!M268&gt;高値!K268,高値!M268&gt;高値!N268,高値!M268&gt;高値!O268),8,""))</f>
      </c>
      <c r="AJ268" s="684">
        <f>IF(終値!A268="","",IF(AND(高値!N268&gt;高値!M268,高値!N268&gt;高値!L268,高値!N268&gt;高値!O268,高値!N268&gt;高値!P268),9,""))</f>
      </c>
      <c r="AK268" s="684">
        <f>IF(終値!A268="","",IF(AND(高値!O268&gt;高値!N268,高値!O268&gt;高値!M268,高値!O268&gt;高値!P268,高値!O268&gt;高値!Q268),10,""))</f>
      </c>
      <c r="AL268" s="684">
        <f>IF(終値!A268="","",IF(AND(高値!P268&gt;高値!O268,高値!P268&gt;高値!N268,高値!P268&gt;高値!Q268,高値!P268&gt;高値!R268),11,""))</f>
      </c>
      <c r="AM268" s="684">
        <f>IF(終値!A268="","",IF(AND(高値!Q268&gt;高値!P268,高値!Q268&gt;高値!O268,高値!Q268&gt;高値!R268,高値!Q268&gt;高値!S268),12,""))</f>
      </c>
      <c r="AN268" s="684">
        <f>IF(終値!A268="","",IF(AND(高値!R268&gt;高値!Q268,高値!R268&gt;高値!P268,高値!R268&gt;高値!S268,高値!R268&gt;高値!T268),13,""))</f>
      </c>
      <c r="AO268" s="684">
        <f>IF(終値!A268="","",IF(AND(高値!S268&gt;高値!R268,高値!S268&gt;高値!Q268,高値!S268&gt;高値!T268,高値!S268&gt;高値!U268),14,""))</f>
      </c>
      <c r="AP268" s="684">
        <f>IF(終値!A268="","",IF(AND(高値!T268&gt;高値!S268,高値!T268&gt;高値!R268,高値!T268&gt;高値!U268,高値!T268&gt;高値!V268),15,""))</f>
      </c>
      <c r="AQ268" s="684">
        <f>IF(終値!A268="","",IF(AND(高値!U268&gt;高値!T268,高値!U268&gt;高値!S268,高値!U268&gt;高値!V268,高値!U268&gt;高値!W268),16,""))</f>
      </c>
      <c r="AR268" s="684">
        <f>IF(終値!A268="","",IF(AND(高値!V268&gt;高値!U268,高値!V268&gt;高値!T268,高値!V268&gt;高値!W268,高値!V268&gt;高値!X268),17,""))</f>
      </c>
      <c r="AS268" s="684">
        <f>IF(終値!A268="","",IF(AND(高値!W268&gt;高値!V268,高値!W268&gt;高値!U268,高値!W268&gt;高値!X268,高値!W268&gt;高値!Y268),18,""))</f>
      </c>
      <c r="AT268" s="684">
        <f>IF(終値!A268="","",IF(AND(高値!X268&gt;高値!W268,高値!X268&gt;高値!V268,高値!X268&gt;高値!Y268,高値!X268&gt;高値!Z268),19,""))</f>
      </c>
      <c r="AU268" s="684">
        <f>IF(終値!A268="","",IF(AND(高値!Y268&gt;高値!X268,高値!Y268&gt;高値!W268,高値!Y268&gt;高値!Z268,高値!Y268&gt;高値!AA268),20,""))</f>
      </c>
      <c r="AV268" s="684">
        <f>IF(終値!A268="","",IF(AND(高値!Z268&gt;高値!Y268,高値!Z268&gt;高値!X268,高値!Z268&gt;高値!AA268,高値!Z268&gt;高値!AB268),21,""))</f>
      </c>
      <c r="AW268" s="684">
        <f>IF(終値!A268="","",IF(AND(高値!AA268&gt;高値!Z268,高値!AA268&gt;高値!Y268,高値!AA268&gt;高値!AB268,高値!AA268&gt;高値!AC268),22,""))</f>
      </c>
      <c r="AX268" s="684">
        <f>IF(終値!A268="","",IF(AND(高値!AB268&gt;高値!AA268,高値!AB268&gt;高値!Z268,高値!AB268&gt;高値!AC268,高値!AB268&gt;高値!AD268),23,""))</f>
      </c>
      <c r="AY268" s="684">
        <f>IF(終値!A268="","",IF(AND(高値!AC268&gt;高値!AB268,高値!AC268&gt;高値!AA268,高値!AC268&gt;高値!AD268,高値!AC268&gt;高値!AE268),24,""))</f>
      </c>
      <c r="AZ268" s="684">
        <f>IF(終値!A268="","",IF(AND(高値!AD268&gt;高値!AC268,高値!AD268&gt;高値!AB268,高値!AD268&gt;高値!AE268,高値!AD268&gt;高値!AF268),25,""))</f>
      </c>
      <c r="BA268" s="684">
        <f>IF(終値!A268="","",IF(AND(高値!AE268&gt;高値!AD268,高値!AE268&gt;高値!AC268,高値!AE268&gt;高値!AF268,高値!AE268&gt;高値!AG268),26,""))</f>
      </c>
      <c r="BB268" s="684">
        <f>IF(終値!A268="","",IF(AND(高値!AF268&gt;高値!AE268,高値!AF268&gt;高値!AD268,高値!AF268&gt;高値!AG268,高値!AF268&gt;高値!AH268),27,""))</f>
      </c>
      <c r="BC268" s="684">
        <f>IF(終値!A268="","",IF(AND(高値!AG268&gt;高値!AF268,高値!AG268&gt;高値!AE268,高値!AG268&gt;高値!AH268,高値!AG268&gt;高値!AI268),28,""))</f>
      </c>
      <c r="BD268" s="684">
        <f>COUNT($B268:$AB268)</f>
      </c>
      <c r="BE268" s="684">
        <f>IF($BD268&gt;=2,MIN($B268:$AB268),"")</f>
      </c>
      <c r="BF268" s="684">
        <f>IF($BD268&gt;=2,SMALL($B268:$AB268,2),"")</f>
      </c>
      <c r="BG268" s="684">
        <f>IF($BE268="","",INDEX(安値!$E268:$CZ268,1,$BE268+1))</f>
      </c>
      <c r="BH268" s="684">
        <f>IF($BF268="","",INDEX(安値!$E268:$CZ268,1,$BF268+1))</f>
      </c>
      <c r="BI268" s="684">
        <f>IF($BF268="","",MAX(INDEX(高値!$E268:$CZ268,1,$BE268+1):INDEX(高値!$E268:$CZ268,1,$BF268+1)))</f>
      </c>
      <c r="BJ268" s="684">
        <f>IF($BF268="","",AVERAGE(INDEX(終値!$E268:$CZ268,1,$BF268+1):INDEX(終値!$E268:$CZ268,1,$BF268+20))-2*STDEVP(INDEX(終値!$E268:$CZ268,1,$BF268+1):INDEX(終値!$E268:$CZ268,1,$BF268+20)))</f>
      </c>
      <c r="BK268" s="684">
        <f>IF($BE268="","",AVERAGE(INDEX(終値!$E268:$CZ268,1,$BE268+1):INDEX(終値!$E268:$CZ268,1,$BE268+20))-2*STDEVP(INDEX(終値!$E268:$CZ268,1,$BE268+1):INDEX(終値!$E268:$CZ268,1,$BE268+20)))</f>
      </c>
      <c r="BL268" s="684">
        <f>COUNT($AC268:$BC268)</f>
      </c>
      <c r="BM268" s="684">
        <f>IF($BL268&gt;=2,MIN($AC268:$BC268),"")</f>
      </c>
      <c r="BN268" s="684">
        <f>IF($BL268&gt;=2,SMALL($AC268:$BC268,2),"")</f>
      </c>
      <c r="BO268" s="684">
        <f>IF($BM268="","",INDEX(高値!$E268:$CZ268,1,$BM268+1))</f>
      </c>
      <c r="BP268" s="684">
        <f>IF($BN268="","",INDEX(高値!$E268:$CZ268,1,$BN268+1))</f>
      </c>
      <c r="BQ268" s="684">
        <f>IF($BN268="","",MIN(INDEX(安値!$E268:$CZ268,1,$BM268+1):INDEX(安値!$E268:$CZ268,1,$BN268+1)))</f>
      </c>
      <c r="BR268" s="684">
        <f>IF($BN268="","",AVERAGE(INDEX(終値!$E268:$CZ268,1,$BN268+1):INDEX(終値!$E268:$CZ268,1,$BN268+20))+2*STDEVP(INDEX(終値!$E268:$CZ268,1,$BN268+1):INDEX(終値!$E268:$CZ268,1,$BN268+20)))</f>
      </c>
      <c r="BS268" s="684">
        <f>IF($BM268="","",AVERAGE(INDEX(終値!$E268:$CZ268,1,$BM268+1):INDEX(終値!$E268:$CZ268,1,$BM268+20))+2*STDEVP(INDEX(終値!$E268:$CZ268,1,$BM268+1):INDEX(終値!$E268:$CZ268,1,$BM268+20)))</f>
      </c>
      <c r="BT268" s="681">
        <f>IFERROR(IF(AND($BD268&gt;=2,ABS($BG268-$BH268)/$BH268&lt;=BB設定!$B$12,$BI268&gt;=MAX($BH268,$BG268)*(1+BB設定!$B$13),終値!E268&gt;$BG268),IF(OR(終値!E268&gt;=$BI268,AND($BH268&lt;$BJ268,$BG268&gt;=$BK268)),"二番底W▲","二番底W形成"),IF(AND($BL268&gt;=2,ABS($BO268-$BP268)/$BP268&lt;=BB設定!$B$12,$BQ268&lt;=MIN($BP268,$BO268)*(1-BB設定!$B$13),終値!E268&lt;$BO268),IF(OR(終値!E268&lt;=$BQ268,AND($BP268&gt;$BR268,$BO268&lt;=$BS268)),"二番天井M▼","二番天井M形成"),"－")),"－")</f>
      </c>
    </row>
    <row r="269">
      <c r="B269" s="684">
        <f>IF(終値!A269="","",IF(AND(安値!G269&lt;安値!F269,安値!G269&lt;安値!E269,安値!G269&lt;安値!H269,安値!G269&lt;安値!I269),2,""))</f>
      </c>
      <c r="C269" s="684">
        <f>IF(終値!A269="","",IF(AND(安値!H269&lt;安値!G269,安値!H269&lt;安値!F269,安値!H269&lt;安値!I269,安値!H269&lt;安値!J269),3,""))</f>
      </c>
      <c r="D269" s="684">
        <f>IF(終値!A269="","",IF(AND(安値!I269&lt;安値!H269,安値!I269&lt;安値!G269,安値!I269&lt;安値!J269,安値!I269&lt;安値!K269),4,""))</f>
      </c>
      <c r="E269" s="684">
        <f>IF(終値!A269="","",IF(AND(安値!J269&lt;安値!I269,安値!J269&lt;安値!H269,安値!J269&lt;安値!K269,安値!J269&lt;安値!L269),5,""))</f>
      </c>
      <c r="F269" s="684">
        <f>IF(終値!A269="","",IF(AND(安値!K269&lt;安値!J269,安値!K269&lt;安値!I269,安値!K269&lt;安値!L269,安値!K269&lt;安値!M269),6,""))</f>
      </c>
      <c r="G269" s="684">
        <f>IF(終値!A269="","",IF(AND(安値!L269&lt;安値!K269,安値!L269&lt;安値!J269,安値!L269&lt;安値!M269,安値!L269&lt;安値!N269),7,""))</f>
      </c>
      <c r="H269" s="684">
        <f>IF(終値!A269="","",IF(AND(安値!M269&lt;安値!L269,安値!M269&lt;安値!K269,安値!M269&lt;安値!N269,安値!M269&lt;安値!O269),8,""))</f>
      </c>
      <c r="I269" s="684">
        <f>IF(終値!A269="","",IF(AND(安値!N269&lt;安値!M269,安値!N269&lt;安値!L269,安値!N269&lt;安値!O269,安値!N269&lt;安値!P269),9,""))</f>
      </c>
      <c r="J269" s="684">
        <f>IF(終値!A269="","",IF(AND(安値!O269&lt;安値!N269,安値!O269&lt;安値!M269,安値!O269&lt;安値!P269,安値!O269&lt;安値!Q269),10,""))</f>
      </c>
      <c r="K269" s="684">
        <f>IF(終値!A269="","",IF(AND(安値!P269&lt;安値!O269,安値!P269&lt;安値!N269,安値!P269&lt;安値!Q269,安値!P269&lt;安値!R269),11,""))</f>
      </c>
      <c r="L269" s="684">
        <f>IF(終値!A269="","",IF(AND(安値!Q269&lt;安値!P269,安値!Q269&lt;安値!O269,安値!Q269&lt;安値!R269,安値!Q269&lt;安値!S269),12,""))</f>
      </c>
      <c r="M269" s="684">
        <f>IF(終値!A269="","",IF(AND(安値!R269&lt;安値!Q269,安値!R269&lt;安値!P269,安値!R269&lt;安値!S269,安値!R269&lt;安値!T269),13,""))</f>
      </c>
      <c r="N269" s="684">
        <f>IF(終値!A269="","",IF(AND(安値!S269&lt;安値!R269,安値!S269&lt;安値!Q269,安値!S269&lt;安値!T269,安値!S269&lt;安値!U269),14,""))</f>
      </c>
      <c r="O269" s="684">
        <f>IF(終値!A269="","",IF(AND(安値!T269&lt;安値!S269,安値!T269&lt;安値!R269,安値!T269&lt;安値!U269,安値!T269&lt;安値!V269),15,""))</f>
      </c>
      <c r="P269" s="684">
        <f>IF(終値!A269="","",IF(AND(安値!U269&lt;安値!T269,安値!U269&lt;安値!S269,安値!U269&lt;安値!V269,安値!U269&lt;安値!W269),16,""))</f>
      </c>
      <c r="Q269" s="684">
        <f>IF(終値!A269="","",IF(AND(安値!V269&lt;安値!U269,安値!V269&lt;安値!T269,安値!V269&lt;安値!W269,安値!V269&lt;安値!X269),17,""))</f>
      </c>
      <c r="R269" s="684">
        <f>IF(終値!A269="","",IF(AND(安値!W269&lt;安値!V269,安値!W269&lt;安値!U269,安値!W269&lt;安値!X269,安値!W269&lt;安値!Y269),18,""))</f>
      </c>
      <c r="S269" s="684">
        <f>IF(終値!A269="","",IF(AND(安値!X269&lt;安値!W269,安値!X269&lt;安値!V269,安値!X269&lt;安値!Y269,安値!X269&lt;安値!Z269),19,""))</f>
      </c>
      <c r="T269" s="684">
        <f>IF(終値!A269="","",IF(AND(安値!Y269&lt;安値!X269,安値!Y269&lt;安値!W269,安値!Y269&lt;安値!Z269,安値!Y269&lt;安値!AA269),20,""))</f>
      </c>
      <c r="U269" s="684">
        <f>IF(終値!A269="","",IF(AND(安値!Z269&lt;安値!Y269,安値!Z269&lt;安値!X269,安値!Z269&lt;安値!AA269,安値!Z269&lt;安値!AB269),21,""))</f>
      </c>
      <c r="V269" s="684">
        <f>IF(終値!A269="","",IF(AND(安値!AA269&lt;安値!Z269,安値!AA269&lt;安値!Y269,安値!AA269&lt;安値!AB269,安値!AA269&lt;安値!AC269),22,""))</f>
      </c>
      <c r="W269" s="684">
        <f>IF(終値!A269="","",IF(AND(安値!AB269&lt;安値!AA269,安値!AB269&lt;安値!Z269,安値!AB269&lt;安値!AC269,安値!AB269&lt;安値!AD269),23,""))</f>
      </c>
      <c r="X269" s="684">
        <f>IF(終値!A269="","",IF(AND(安値!AC269&lt;安値!AB269,安値!AC269&lt;安値!AA269,安値!AC269&lt;安値!AD269,安値!AC269&lt;安値!AE269),24,""))</f>
      </c>
      <c r="Y269" s="684">
        <f>IF(終値!A269="","",IF(AND(安値!AD269&lt;安値!AC269,安値!AD269&lt;安値!AB269,安値!AD269&lt;安値!AE269,安値!AD269&lt;安値!AF269),25,""))</f>
      </c>
      <c r="Z269" s="684">
        <f>IF(終値!A269="","",IF(AND(安値!AE269&lt;安値!AD269,安値!AE269&lt;安値!AC269,安値!AE269&lt;安値!AF269,安値!AE269&lt;安値!AG269),26,""))</f>
      </c>
      <c r="AA269" s="684">
        <f>IF(終値!A269="","",IF(AND(安値!AF269&lt;安値!AE269,安値!AF269&lt;安値!AD269,安値!AF269&lt;安値!AG269,安値!AF269&lt;安値!AH269),27,""))</f>
      </c>
      <c r="AB269" s="684">
        <f>IF(終値!A269="","",IF(AND(安値!AG269&lt;安値!AF269,安値!AG269&lt;安値!AE269,安値!AG269&lt;安値!AH269,安値!AG269&lt;安値!AI269),28,""))</f>
      </c>
      <c r="AC269" s="684">
        <f>IF(終値!A269="","",IF(AND(高値!G269&gt;高値!F269,高値!G269&gt;高値!E269,高値!G269&gt;高値!H269,高値!G269&gt;高値!I269),2,""))</f>
      </c>
      <c r="AD269" s="684">
        <f>IF(終値!A269="","",IF(AND(高値!H269&gt;高値!G269,高値!H269&gt;高値!F269,高値!H269&gt;高値!I269,高値!H269&gt;高値!J269),3,""))</f>
      </c>
      <c r="AE269" s="684">
        <f>IF(終値!A269="","",IF(AND(高値!I269&gt;高値!H269,高値!I269&gt;高値!G269,高値!I269&gt;高値!J269,高値!I269&gt;高値!K269),4,""))</f>
      </c>
      <c r="AF269" s="684">
        <f>IF(終値!A269="","",IF(AND(高値!J269&gt;高値!I269,高値!J269&gt;高値!H269,高値!J269&gt;高値!K269,高値!J269&gt;高値!L269),5,""))</f>
      </c>
      <c r="AG269" s="684">
        <f>IF(終値!A269="","",IF(AND(高値!K269&gt;高値!J269,高値!K269&gt;高値!I269,高値!K269&gt;高値!L269,高値!K269&gt;高値!M269),6,""))</f>
      </c>
      <c r="AH269" s="684">
        <f>IF(終値!A269="","",IF(AND(高値!L269&gt;高値!K269,高値!L269&gt;高値!J269,高値!L269&gt;高値!M269,高値!L269&gt;高値!N269),7,""))</f>
      </c>
      <c r="AI269" s="684">
        <f>IF(終値!A269="","",IF(AND(高値!M269&gt;高値!L269,高値!M269&gt;高値!K269,高値!M269&gt;高値!N269,高値!M269&gt;高値!O269),8,""))</f>
      </c>
      <c r="AJ269" s="684">
        <f>IF(終値!A269="","",IF(AND(高値!N269&gt;高値!M269,高値!N269&gt;高値!L269,高値!N269&gt;高値!O269,高値!N269&gt;高値!P269),9,""))</f>
      </c>
      <c r="AK269" s="684">
        <f>IF(終値!A269="","",IF(AND(高値!O269&gt;高値!N269,高値!O269&gt;高値!M269,高値!O269&gt;高値!P269,高値!O269&gt;高値!Q269),10,""))</f>
      </c>
      <c r="AL269" s="684">
        <f>IF(終値!A269="","",IF(AND(高値!P269&gt;高値!O269,高値!P269&gt;高値!N269,高値!P269&gt;高値!Q269,高値!P269&gt;高値!R269),11,""))</f>
      </c>
      <c r="AM269" s="684">
        <f>IF(終値!A269="","",IF(AND(高値!Q269&gt;高値!P269,高値!Q269&gt;高値!O269,高値!Q269&gt;高値!R269,高値!Q269&gt;高値!S269),12,""))</f>
      </c>
      <c r="AN269" s="684">
        <f>IF(終値!A269="","",IF(AND(高値!R269&gt;高値!Q269,高値!R269&gt;高値!P269,高値!R269&gt;高値!S269,高値!R269&gt;高値!T269),13,""))</f>
      </c>
      <c r="AO269" s="684">
        <f>IF(終値!A269="","",IF(AND(高値!S269&gt;高値!R269,高値!S269&gt;高値!Q269,高値!S269&gt;高値!T269,高値!S269&gt;高値!U269),14,""))</f>
      </c>
      <c r="AP269" s="684">
        <f>IF(終値!A269="","",IF(AND(高値!T269&gt;高値!S269,高値!T269&gt;高値!R269,高値!T269&gt;高値!U269,高値!T269&gt;高値!V269),15,""))</f>
      </c>
      <c r="AQ269" s="684">
        <f>IF(終値!A269="","",IF(AND(高値!U269&gt;高値!T269,高値!U269&gt;高値!S269,高値!U269&gt;高値!V269,高値!U269&gt;高値!W269),16,""))</f>
      </c>
      <c r="AR269" s="684">
        <f>IF(終値!A269="","",IF(AND(高値!V269&gt;高値!U269,高値!V269&gt;高値!T269,高値!V269&gt;高値!W269,高値!V269&gt;高値!X269),17,""))</f>
      </c>
      <c r="AS269" s="684">
        <f>IF(終値!A269="","",IF(AND(高値!W269&gt;高値!V269,高値!W269&gt;高値!U269,高値!W269&gt;高値!X269,高値!W269&gt;高値!Y269),18,""))</f>
      </c>
      <c r="AT269" s="684">
        <f>IF(終値!A269="","",IF(AND(高値!X269&gt;高値!W269,高値!X269&gt;高値!V269,高値!X269&gt;高値!Y269,高値!X269&gt;高値!Z269),19,""))</f>
      </c>
      <c r="AU269" s="684">
        <f>IF(終値!A269="","",IF(AND(高値!Y269&gt;高値!X269,高値!Y269&gt;高値!W269,高値!Y269&gt;高値!Z269,高値!Y269&gt;高値!AA269),20,""))</f>
      </c>
      <c r="AV269" s="684">
        <f>IF(終値!A269="","",IF(AND(高値!Z269&gt;高値!Y269,高値!Z269&gt;高値!X269,高値!Z269&gt;高値!AA269,高値!Z269&gt;高値!AB269),21,""))</f>
      </c>
      <c r="AW269" s="684">
        <f>IF(終値!A269="","",IF(AND(高値!AA269&gt;高値!Z269,高値!AA269&gt;高値!Y269,高値!AA269&gt;高値!AB269,高値!AA269&gt;高値!AC269),22,""))</f>
      </c>
      <c r="AX269" s="684">
        <f>IF(終値!A269="","",IF(AND(高値!AB269&gt;高値!AA269,高値!AB269&gt;高値!Z269,高値!AB269&gt;高値!AC269,高値!AB269&gt;高値!AD269),23,""))</f>
      </c>
      <c r="AY269" s="684">
        <f>IF(終値!A269="","",IF(AND(高値!AC269&gt;高値!AB269,高値!AC269&gt;高値!AA269,高値!AC269&gt;高値!AD269,高値!AC269&gt;高値!AE269),24,""))</f>
      </c>
      <c r="AZ269" s="684">
        <f>IF(終値!A269="","",IF(AND(高値!AD269&gt;高値!AC269,高値!AD269&gt;高値!AB269,高値!AD269&gt;高値!AE269,高値!AD269&gt;高値!AF269),25,""))</f>
      </c>
      <c r="BA269" s="684">
        <f>IF(終値!A269="","",IF(AND(高値!AE269&gt;高値!AD269,高値!AE269&gt;高値!AC269,高値!AE269&gt;高値!AF269,高値!AE269&gt;高値!AG269),26,""))</f>
      </c>
      <c r="BB269" s="684">
        <f>IF(終値!A269="","",IF(AND(高値!AF269&gt;高値!AE269,高値!AF269&gt;高値!AD269,高値!AF269&gt;高値!AG269,高値!AF269&gt;高値!AH269),27,""))</f>
      </c>
      <c r="BC269" s="684">
        <f>IF(終値!A269="","",IF(AND(高値!AG269&gt;高値!AF269,高値!AG269&gt;高値!AE269,高値!AG269&gt;高値!AH269,高値!AG269&gt;高値!AI269),28,""))</f>
      </c>
      <c r="BD269" s="684">
        <f>COUNT($B269:$AB269)</f>
      </c>
      <c r="BE269" s="684">
        <f>IF($BD269&gt;=2,MIN($B269:$AB269),"")</f>
      </c>
      <c r="BF269" s="684">
        <f>IF($BD269&gt;=2,SMALL($B269:$AB269,2),"")</f>
      </c>
      <c r="BG269" s="684">
        <f>IF($BE269="","",INDEX(安値!$E269:$CZ269,1,$BE269+1))</f>
      </c>
      <c r="BH269" s="684">
        <f>IF($BF269="","",INDEX(安値!$E269:$CZ269,1,$BF269+1))</f>
      </c>
      <c r="BI269" s="684">
        <f>IF($BF269="","",MAX(INDEX(高値!$E269:$CZ269,1,$BE269+1):INDEX(高値!$E269:$CZ269,1,$BF269+1)))</f>
      </c>
      <c r="BJ269" s="684">
        <f>IF($BF269="","",AVERAGE(INDEX(終値!$E269:$CZ269,1,$BF269+1):INDEX(終値!$E269:$CZ269,1,$BF269+20))-2*STDEVP(INDEX(終値!$E269:$CZ269,1,$BF269+1):INDEX(終値!$E269:$CZ269,1,$BF269+20)))</f>
      </c>
      <c r="BK269" s="684">
        <f>IF($BE269="","",AVERAGE(INDEX(終値!$E269:$CZ269,1,$BE269+1):INDEX(終値!$E269:$CZ269,1,$BE269+20))-2*STDEVP(INDEX(終値!$E269:$CZ269,1,$BE269+1):INDEX(終値!$E269:$CZ269,1,$BE269+20)))</f>
      </c>
      <c r="BL269" s="684">
        <f>COUNT($AC269:$BC269)</f>
      </c>
      <c r="BM269" s="684">
        <f>IF($BL269&gt;=2,MIN($AC269:$BC269),"")</f>
      </c>
      <c r="BN269" s="684">
        <f>IF($BL269&gt;=2,SMALL($AC269:$BC269,2),"")</f>
      </c>
      <c r="BO269" s="684">
        <f>IF($BM269="","",INDEX(高値!$E269:$CZ269,1,$BM269+1))</f>
      </c>
      <c r="BP269" s="684">
        <f>IF($BN269="","",INDEX(高値!$E269:$CZ269,1,$BN269+1))</f>
      </c>
      <c r="BQ269" s="684">
        <f>IF($BN269="","",MIN(INDEX(安値!$E269:$CZ269,1,$BM269+1):INDEX(安値!$E269:$CZ269,1,$BN269+1)))</f>
      </c>
      <c r="BR269" s="684">
        <f>IF($BN269="","",AVERAGE(INDEX(終値!$E269:$CZ269,1,$BN269+1):INDEX(終値!$E269:$CZ269,1,$BN269+20))+2*STDEVP(INDEX(終値!$E269:$CZ269,1,$BN269+1):INDEX(終値!$E269:$CZ269,1,$BN269+20)))</f>
      </c>
      <c r="BS269" s="684">
        <f>IF($BM269="","",AVERAGE(INDEX(終値!$E269:$CZ269,1,$BM269+1):INDEX(終値!$E269:$CZ269,1,$BM269+20))+2*STDEVP(INDEX(終値!$E269:$CZ269,1,$BM269+1):INDEX(終値!$E269:$CZ269,1,$BM269+20)))</f>
      </c>
      <c r="BT269" s="681">
        <f>IFERROR(IF(AND($BD269&gt;=2,ABS($BG269-$BH269)/$BH269&lt;=BB設定!$B$12,$BI269&gt;=MAX($BH269,$BG269)*(1+BB設定!$B$13),終値!E269&gt;$BG269),IF(OR(終値!E269&gt;=$BI269,AND($BH269&lt;$BJ269,$BG269&gt;=$BK269)),"二番底W▲","二番底W形成"),IF(AND($BL269&gt;=2,ABS($BO269-$BP269)/$BP269&lt;=BB設定!$B$12,$BQ269&lt;=MIN($BP269,$BO269)*(1-BB設定!$B$13),終値!E269&lt;$BO269),IF(OR(終値!E269&lt;=$BQ269,AND($BP269&gt;$BR269,$BO269&lt;=$BS269)),"二番天井M▼","二番天井M形成"),"－")),"－")</f>
      </c>
    </row>
    <row r="270">
      <c r="B270" s="684">
        <f>IF(終値!A270="","",IF(AND(安値!G270&lt;安値!F270,安値!G270&lt;安値!E270,安値!G270&lt;安値!H270,安値!G270&lt;安値!I270),2,""))</f>
      </c>
      <c r="C270" s="684">
        <f>IF(終値!A270="","",IF(AND(安値!H270&lt;安値!G270,安値!H270&lt;安値!F270,安値!H270&lt;安値!I270,安値!H270&lt;安値!J270),3,""))</f>
      </c>
      <c r="D270" s="684">
        <f>IF(終値!A270="","",IF(AND(安値!I270&lt;安値!H270,安値!I270&lt;安値!G270,安値!I270&lt;安値!J270,安値!I270&lt;安値!K270),4,""))</f>
      </c>
      <c r="E270" s="684">
        <f>IF(終値!A270="","",IF(AND(安値!J270&lt;安値!I270,安値!J270&lt;安値!H270,安値!J270&lt;安値!K270,安値!J270&lt;安値!L270),5,""))</f>
      </c>
      <c r="F270" s="684">
        <f>IF(終値!A270="","",IF(AND(安値!K270&lt;安値!J270,安値!K270&lt;安値!I270,安値!K270&lt;安値!L270,安値!K270&lt;安値!M270),6,""))</f>
      </c>
      <c r="G270" s="684">
        <f>IF(終値!A270="","",IF(AND(安値!L270&lt;安値!K270,安値!L270&lt;安値!J270,安値!L270&lt;安値!M270,安値!L270&lt;安値!N270),7,""))</f>
      </c>
      <c r="H270" s="684">
        <f>IF(終値!A270="","",IF(AND(安値!M270&lt;安値!L270,安値!M270&lt;安値!K270,安値!M270&lt;安値!N270,安値!M270&lt;安値!O270),8,""))</f>
      </c>
      <c r="I270" s="684">
        <f>IF(終値!A270="","",IF(AND(安値!N270&lt;安値!M270,安値!N270&lt;安値!L270,安値!N270&lt;安値!O270,安値!N270&lt;安値!P270),9,""))</f>
      </c>
      <c r="J270" s="684">
        <f>IF(終値!A270="","",IF(AND(安値!O270&lt;安値!N270,安値!O270&lt;安値!M270,安値!O270&lt;安値!P270,安値!O270&lt;安値!Q270),10,""))</f>
      </c>
      <c r="K270" s="684">
        <f>IF(終値!A270="","",IF(AND(安値!P270&lt;安値!O270,安値!P270&lt;安値!N270,安値!P270&lt;安値!Q270,安値!P270&lt;安値!R270),11,""))</f>
      </c>
      <c r="L270" s="684">
        <f>IF(終値!A270="","",IF(AND(安値!Q270&lt;安値!P270,安値!Q270&lt;安値!O270,安値!Q270&lt;安値!R270,安値!Q270&lt;安値!S270),12,""))</f>
      </c>
      <c r="M270" s="684">
        <f>IF(終値!A270="","",IF(AND(安値!R270&lt;安値!Q270,安値!R270&lt;安値!P270,安値!R270&lt;安値!S270,安値!R270&lt;安値!T270),13,""))</f>
      </c>
      <c r="N270" s="684">
        <f>IF(終値!A270="","",IF(AND(安値!S270&lt;安値!R270,安値!S270&lt;安値!Q270,安値!S270&lt;安値!T270,安値!S270&lt;安値!U270),14,""))</f>
      </c>
      <c r="O270" s="684">
        <f>IF(終値!A270="","",IF(AND(安値!T270&lt;安値!S270,安値!T270&lt;安値!R270,安値!T270&lt;安値!U270,安値!T270&lt;安値!V270),15,""))</f>
      </c>
      <c r="P270" s="684">
        <f>IF(終値!A270="","",IF(AND(安値!U270&lt;安値!T270,安値!U270&lt;安値!S270,安値!U270&lt;安値!V270,安値!U270&lt;安値!W270),16,""))</f>
      </c>
      <c r="Q270" s="684">
        <f>IF(終値!A270="","",IF(AND(安値!V270&lt;安値!U270,安値!V270&lt;安値!T270,安値!V270&lt;安値!W270,安値!V270&lt;安値!X270),17,""))</f>
      </c>
      <c r="R270" s="684">
        <f>IF(終値!A270="","",IF(AND(安値!W270&lt;安値!V270,安値!W270&lt;安値!U270,安値!W270&lt;安値!X270,安値!W270&lt;安値!Y270),18,""))</f>
      </c>
      <c r="S270" s="684">
        <f>IF(終値!A270="","",IF(AND(安値!X270&lt;安値!W270,安値!X270&lt;安値!V270,安値!X270&lt;安値!Y270,安値!X270&lt;安値!Z270),19,""))</f>
      </c>
      <c r="T270" s="684">
        <f>IF(終値!A270="","",IF(AND(安値!Y270&lt;安値!X270,安値!Y270&lt;安値!W270,安値!Y270&lt;安値!Z270,安値!Y270&lt;安値!AA270),20,""))</f>
      </c>
      <c r="U270" s="684">
        <f>IF(終値!A270="","",IF(AND(安値!Z270&lt;安値!Y270,安値!Z270&lt;安値!X270,安値!Z270&lt;安値!AA270,安値!Z270&lt;安値!AB270),21,""))</f>
      </c>
      <c r="V270" s="684">
        <f>IF(終値!A270="","",IF(AND(安値!AA270&lt;安値!Z270,安値!AA270&lt;安値!Y270,安値!AA270&lt;安値!AB270,安値!AA270&lt;安値!AC270),22,""))</f>
      </c>
      <c r="W270" s="684">
        <f>IF(終値!A270="","",IF(AND(安値!AB270&lt;安値!AA270,安値!AB270&lt;安値!Z270,安値!AB270&lt;安値!AC270,安値!AB270&lt;安値!AD270),23,""))</f>
      </c>
      <c r="X270" s="684">
        <f>IF(終値!A270="","",IF(AND(安値!AC270&lt;安値!AB270,安値!AC270&lt;安値!AA270,安値!AC270&lt;安値!AD270,安値!AC270&lt;安値!AE270),24,""))</f>
      </c>
      <c r="Y270" s="684">
        <f>IF(終値!A270="","",IF(AND(安値!AD270&lt;安値!AC270,安値!AD270&lt;安値!AB270,安値!AD270&lt;安値!AE270,安値!AD270&lt;安値!AF270),25,""))</f>
      </c>
      <c r="Z270" s="684">
        <f>IF(終値!A270="","",IF(AND(安値!AE270&lt;安値!AD270,安値!AE270&lt;安値!AC270,安値!AE270&lt;安値!AF270,安値!AE270&lt;安値!AG270),26,""))</f>
      </c>
      <c r="AA270" s="684">
        <f>IF(終値!A270="","",IF(AND(安値!AF270&lt;安値!AE270,安値!AF270&lt;安値!AD270,安値!AF270&lt;安値!AG270,安値!AF270&lt;安値!AH270),27,""))</f>
      </c>
      <c r="AB270" s="684">
        <f>IF(終値!A270="","",IF(AND(安値!AG270&lt;安値!AF270,安値!AG270&lt;安値!AE270,安値!AG270&lt;安値!AH270,安値!AG270&lt;安値!AI270),28,""))</f>
      </c>
      <c r="AC270" s="684">
        <f>IF(終値!A270="","",IF(AND(高値!G270&gt;高値!F270,高値!G270&gt;高値!E270,高値!G270&gt;高値!H270,高値!G270&gt;高値!I270),2,""))</f>
      </c>
      <c r="AD270" s="684">
        <f>IF(終値!A270="","",IF(AND(高値!H270&gt;高値!G270,高値!H270&gt;高値!F270,高値!H270&gt;高値!I270,高値!H270&gt;高値!J270),3,""))</f>
      </c>
      <c r="AE270" s="684">
        <f>IF(終値!A270="","",IF(AND(高値!I270&gt;高値!H270,高値!I270&gt;高値!G270,高値!I270&gt;高値!J270,高値!I270&gt;高値!K270),4,""))</f>
      </c>
      <c r="AF270" s="684">
        <f>IF(終値!A270="","",IF(AND(高値!J270&gt;高値!I270,高値!J270&gt;高値!H270,高値!J270&gt;高値!K270,高値!J270&gt;高値!L270),5,""))</f>
      </c>
      <c r="AG270" s="684">
        <f>IF(終値!A270="","",IF(AND(高値!K270&gt;高値!J270,高値!K270&gt;高値!I270,高値!K270&gt;高値!L270,高値!K270&gt;高値!M270),6,""))</f>
      </c>
      <c r="AH270" s="684">
        <f>IF(終値!A270="","",IF(AND(高値!L270&gt;高値!K270,高値!L270&gt;高値!J270,高値!L270&gt;高値!M270,高値!L270&gt;高値!N270),7,""))</f>
      </c>
      <c r="AI270" s="684">
        <f>IF(終値!A270="","",IF(AND(高値!M270&gt;高値!L270,高値!M270&gt;高値!K270,高値!M270&gt;高値!N270,高値!M270&gt;高値!O270),8,""))</f>
      </c>
      <c r="AJ270" s="684">
        <f>IF(終値!A270="","",IF(AND(高値!N270&gt;高値!M270,高値!N270&gt;高値!L270,高値!N270&gt;高値!O270,高値!N270&gt;高値!P270),9,""))</f>
      </c>
      <c r="AK270" s="684">
        <f>IF(終値!A270="","",IF(AND(高値!O270&gt;高値!N270,高値!O270&gt;高値!M270,高値!O270&gt;高値!P270,高値!O270&gt;高値!Q270),10,""))</f>
      </c>
      <c r="AL270" s="684">
        <f>IF(終値!A270="","",IF(AND(高値!P270&gt;高値!O270,高値!P270&gt;高値!N270,高値!P270&gt;高値!Q270,高値!P270&gt;高値!R270),11,""))</f>
      </c>
      <c r="AM270" s="684">
        <f>IF(終値!A270="","",IF(AND(高値!Q270&gt;高値!P270,高値!Q270&gt;高値!O270,高値!Q270&gt;高値!R270,高値!Q270&gt;高値!S270),12,""))</f>
      </c>
      <c r="AN270" s="684">
        <f>IF(終値!A270="","",IF(AND(高値!R270&gt;高値!Q270,高値!R270&gt;高値!P270,高値!R270&gt;高値!S270,高値!R270&gt;高値!T270),13,""))</f>
      </c>
      <c r="AO270" s="684">
        <f>IF(終値!A270="","",IF(AND(高値!S270&gt;高値!R270,高値!S270&gt;高値!Q270,高値!S270&gt;高値!T270,高値!S270&gt;高値!U270),14,""))</f>
      </c>
      <c r="AP270" s="684">
        <f>IF(終値!A270="","",IF(AND(高値!T270&gt;高値!S270,高値!T270&gt;高値!R270,高値!T270&gt;高値!U270,高値!T270&gt;高値!V270),15,""))</f>
      </c>
      <c r="AQ270" s="684">
        <f>IF(終値!A270="","",IF(AND(高値!U270&gt;高値!T270,高値!U270&gt;高値!S270,高値!U270&gt;高値!V270,高値!U270&gt;高値!W270),16,""))</f>
      </c>
      <c r="AR270" s="684">
        <f>IF(終値!A270="","",IF(AND(高値!V270&gt;高値!U270,高値!V270&gt;高値!T270,高値!V270&gt;高値!W270,高値!V270&gt;高値!X270),17,""))</f>
      </c>
      <c r="AS270" s="684">
        <f>IF(終値!A270="","",IF(AND(高値!W270&gt;高値!V270,高値!W270&gt;高値!U270,高値!W270&gt;高値!X270,高値!W270&gt;高値!Y270),18,""))</f>
      </c>
      <c r="AT270" s="684">
        <f>IF(終値!A270="","",IF(AND(高値!X270&gt;高値!W270,高値!X270&gt;高値!V270,高値!X270&gt;高値!Y270,高値!X270&gt;高値!Z270),19,""))</f>
      </c>
      <c r="AU270" s="684">
        <f>IF(終値!A270="","",IF(AND(高値!Y270&gt;高値!X270,高値!Y270&gt;高値!W270,高値!Y270&gt;高値!Z270,高値!Y270&gt;高値!AA270),20,""))</f>
      </c>
      <c r="AV270" s="684">
        <f>IF(終値!A270="","",IF(AND(高値!Z270&gt;高値!Y270,高値!Z270&gt;高値!X270,高値!Z270&gt;高値!AA270,高値!Z270&gt;高値!AB270),21,""))</f>
      </c>
      <c r="AW270" s="684">
        <f>IF(終値!A270="","",IF(AND(高値!AA270&gt;高値!Z270,高値!AA270&gt;高値!Y270,高値!AA270&gt;高値!AB270,高値!AA270&gt;高値!AC270),22,""))</f>
      </c>
      <c r="AX270" s="684">
        <f>IF(終値!A270="","",IF(AND(高値!AB270&gt;高値!AA270,高値!AB270&gt;高値!Z270,高値!AB270&gt;高値!AC270,高値!AB270&gt;高値!AD270),23,""))</f>
      </c>
      <c r="AY270" s="684">
        <f>IF(終値!A270="","",IF(AND(高値!AC270&gt;高値!AB270,高値!AC270&gt;高値!AA270,高値!AC270&gt;高値!AD270,高値!AC270&gt;高値!AE270),24,""))</f>
      </c>
      <c r="AZ270" s="684">
        <f>IF(終値!A270="","",IF(AND(高値!AD270&gt;高値!AC270,高値!AD270&gt;高値!AB270,高値!AD270&gt;高値!AE270,高値!AD270&gt;高値!AF270),25,""))</f>
      </c>
      <c r="BA270" s="684">
        <f>IF(終値!A270="","",IF(AND(高値!AE270&gt;高値!AD270,高値!AE270&gt;高値!AC270,高値!AE270&gt;高値!AF270,高値!AE270&gt;高値!AG270),26,""))</f>
      </c>
      <c r="BB270" s="684">
        <f>IF(終値!A270="","",IF(AND(高値!AF270&gt;高値!AE270,高値!AF270&gt;高値!AD270,高値!AF270&gt;高値!AG270,高値!AF270&gt;高値!AH270),27,""))</f>
      </c>
      <c r="BC270" s="684">
        <f>IF(終値!A270="","",IF(AND(高値!AG270&gt;高値!AF270,高値!AG270&gt;高値!AE270,高値!AG270&gt;高値!AH270,高値!AG270&gt;高値!AI270),28,""))</f>
      </c>
      <c r="BD270" s="684">
        <f>COUNT($B270:$AB270)</f>
      </c>
      <c r="BE270" s="684">
        <f>IF($BD270&gt;=2,MIN($B270:$AB270),"")</f>
      </c>
      <c r="BF270" s="684">
        <f>IF($BD270&gt;=2,SMALL($B270:$AB270,2),"")</f>
      </c>
      <c r="BG270" s="684">
        <f>IF($BE270="","",INDEX(安値!$E270:$CZ270,1,$BE270+1))</f>
      </c>
      <c r="BH270" s="684">
        <f>IF($BF270="","",INDEX(安値!$E270:$CZ270,1,$BF270+1))</f>
      </c>
      <c r="BI270" s="684">
        <f>IF($BF270="","",MAX(INDEX(高値!$E270:$CZ270,1,$BE270+1):INDEX(高値!$E270:$CZ270,1,$BF270+1)))</f>
      </c>
      <c r="BJ270" s="684">
        <f>IF($BF270="","",AVERAGE(INDEX(終値!$E270:$CZ270,1,$BF270+1):INDEX(終値!$E270:$CZ270,1,$BF270+20))-2*STDEVP(INDEX(終値!$E270:$CZ270,1,$BF270+1):INDEX(終値!$E270:$CZ270,1,$BF270+20)))</f>
      </c>
      <c r="BK270" s="684">
        <f>IF($BE270="","",AVERAGE(INDEX(終値!$E270:$CZ270,1,$BE270+1):INDEX(終値!$E270:$CZ270,1,$BE270+20))-2*STDEVP(INDEX(終値!$E270:$CZ270,1,$BE270+1):INDEX(終値!$E270:$CZ270,1,$BE270+20)))</f>
      </c>
      <c r="BL270" s="684">
        <f>COUNT($AC270:$BC270)</f>
      </c>
      <c r="BM270" s="684">
        <f>IF($BL270&gt;=2,MIN($AC270:$BC270),"")</f>
      </c>
      <c r="BN270" s="684">
        <f>IF($BL270&gt;=2,SMALL($AC270:$BC270,2),"")</f>
      </c>
      <c r="BO270" s="684">
        <f>IF($BM270="","",INDEX(高値!$E270:$CZ270,1,$BM270+1))</f>
      </c>
      <c r="BP270" s="684">
        <f>IF($BN270="","",INDEX(高値!$E270:$CZ270,1,$BN270+1))</f>
      </c>
      <c r="BQ270" s="684">
        <f>IF($BN270="","",MIN(INDEX(安値!$E270:$CZ270,1,$BM270+1):INDEX(安値!$E270:$CZ270,1,$BN270+1)))</f>
      </c>
      <c r="BR270" s="684">
        <f>IF($BN270="","",AVERAGE(INDEX(終値!$E270:$CZ270,1,$BN270+1):INDEX(終値!$E270:$CZ270,1,$BN270+20))+2*STDEVP(INDEX(終値!$E270:$CZ270,1,$BN270+1):INDEX(終値!$E270:$CZ270,1,$BN270+20)))</f>
      </c>
      <c r="BS270" s="684">
        <f>IF($BM270="","",AVERAGE(INDEX(終値!$E270:$CZ270,1,$BM270+1):INDEX(終値!$E270:$CZ270,1,$BM270+20))+2*STDEVP(INDEX(終値!$E270:$CZ270,1,$BM270+1):INDEX(終値!$E270:$CZ270,1,$BM270+20)))</f>
      </c>
      <c r="BT270" s="681">
        <f>IFERROR(IF(AND($BD270&gt;=2,ABS($BG270-$BH270)/$BH270&lt;=BB設定!$B$12,$BI270&gt;=MAX($BH270,$BG270)*(1+BB設定!$B$13),終値!E270&gt;$BG270),IF(OR(終値!E270&gt;=$BI270,AND($BH270&lt;$BJ270,$BG270&gt;=$BK270)),"二番底W▲","二番底W形成"),IF(AND($BL270&gt;=2,ABS($BO270-$BP270)/$BP270&lt;=BB設定!$B$12,$BQ270&lt;=MIN($BP270,$BO270)*(1-BB設定!$B$13),終値!E270&lt;$BO270),IF(OR(終値!E270&lt;=$BQ270,AND($BP270&gt;$BR270,$BO270&lt;=$BS270)),"二番天井M▼","二番天井M形成"),"－")),"－")</f>
      </c>
    </row>
    <row r="271">
      <c r="B271" s="684">
        <f>IF(終値!A271="","",IF(AND(安値!G271&lt;安値!F271,安値!G271&lt;安値!E271,安値!G271&lt;安値!H271,安値!G271&lt;安値!I271),2,""))</f>
      </c>
      <c r="C271" s="684">
        <f>IF(終値!A271="","",IF(AND(安値!H271&lt;安値!G271,安値!H271&lt;安値!F271,安値!H271&lt;安値!I271,安値!H271&lt;安値!J271),3,""))</f>
      </c>
      <c r="D271" s="684">
        <f>IF(終値!A271="","",IF(AND(安値!I271&lt;安値!H271,安値!I271&lt;安値!G271,安値!I271&lt;安値!J271,安値!I271&lt;安値!K271),4,""))</f>
      </c>
      <c r="E271" s="684">
        <f>IF(終値!A271="","",IF(AND(安値!J271&lt;安値!I271,安値!J271&lt;安値!H271,安値!J271&lt;安値!K271,安値!J271&lt;安値!L271),5,""))</f>
      </c>
      <c r="F271" s="684">
        <f>IF(終値!A271="","",IF(AND(安値!K271&lt;安値!J271,安値!K271&lt;安値!I271,安値!K271&lt;安値!L271,安値!K271&lt;安値!M271),6,""))</f>
      </c>
      <c r="G271" s="684">
        <f>IF(終値!A271="","",IF(AND(安値!L271&lt;安値!K271,安値!L271&lt;安値!J271,安値!L271&lt;安値!M271,安値!L271&lt;安値!N271),7,""))</f>
      </c>
      <c r="H271" s="684">
        <f>IF(終値!A271="","",IF(AND(安値!M271&lt;安値!L271,安値!M271&lt;安値!K271,安値!M271&lt;安値!N271,安値!M271&lt;安値!O271),8,""))</f>
      </c>
      <c r="I271" s="684">
        <f>IF(終値!A271="","",IF(AND(安値!N271&lt;安値!M271,安値!N271&lt;安値!L271,安値!N271&lt;安値!O271,安値!N271&lt;安値!P271),9,""))</f>
      </c>
      <c r="J271" s="684">
        <f>IF(終値!A271="","",IF(AND(安値!O271&lt;安値!N271,安値!O271&lt;安値!M271,安値!O271&lt;安値!P271,安値!O271&lt;安値!Q271),10,""))</f>
      </c>
      <c r="K271" s="684">
        <f>IF(終値!A271="","",IF(AND(安値!P271&lt;安値!O271,安値!P271&lt;安値!N271,安値!P271&lt;安値!Q271,安値!P271&lt;安値!R271),11,""))</f>
      </c>
      <c r="L271" s="684">
        <f>IF(終値!A271="","",IF(AND(安値!Q271&lt;安値!P271,安値!Q271&lt;安値!O271,安値!Q271&lt;安値!R271,安値!Q271&lt;安値!S271),12,""))</f>
      </c>
      <c r="M271" s="684">
        <f>IF(終値!A271="","",IF(AND(安値!R271&lt;安値!Q271,安値!R271&lt;安値!P271,安値!R271&lt;安値!S271,安値!R271&lt;安値!T271),13,""))</f>
      </c>
      <c r="N271" s="684">
        <f>IF(終値!A271="","",IF(AND(安値!S271&lt;安値!R271,安値!S271&lt;安値!Q271,安値!S271&lt;安値!T271,安値!S271&lt;安値!U271),14,""))</f>
      </c>
      <c r="O271" s="684">
        <f>IF(終値!A271="","",IF(AND(安値!T271&lt;安値!S271,安値!T271&lt;安値!R271,安値!T271&lt;安値!U271,安値!T271&lt;安値!V271),15,""))</f>
      </c>
      <c r="P271" s="684">
        <f>IF(終値!A271="","",IF(AND(安値!U271&lt;安値!T271,安値!U271&lt;安値!S271,安値!U271&lt;安値!V271,安値!U271&lt;安値!W271),16,""))</f>
      </c>
      <c r="Q271" s="684">
        <f>IF(終値!A271="","",IF(AND(安値!V271&lt;安値!U271,安値!V271&lt;安値!T271,安値!V271&lt;安値!W271,安値!V271&lt;安値!X271),17,""))</f>
      </c>
      <c r="R271" s="684">
        <f>IF(終値!A271="","",IF(AND(安値!W271&lt;安値!V271,安値!W271&lt;安値!U271,安値!W271&lt;安値!X271,安値!W271&lt;安値!Y271),18,""))</f>
      </c>
      <c r="S271" s="684">
        <f>IF(終値!A271="","",IF(AND(安値!X271&lt;安値!W271,安値!X271&lt;安値!V271,安値!X271&lt;安値!Y271,安値!X271&lt;安値!Z271),19,""))</f>
      </c>
      <c r="T271" s="684">
        <f>IF(終値!A271="","",IF(AND(安値!Y271&lt;安値!X271,安値!Y271&lt;安値!W271,安値!Y271&lt;安値!Z271,安値!Y271&lt;安値!AA271),20,""))</f>
      </c>
      <c r="U271" s="684">
        <f>IF(終値!A271="","",IF(AND(安値!Z271&lt;安値!Y271,安値!Z271&lt;安値!X271,安値!Z271&lt;安値!AA271,安値!Z271&lt;安値!AB271),21,""))</f>
      </c>
      <c r="V271" s="684">
        <f>IF(終値!A271="","",IF(AND(安値!AA271&lt;安値!Z271,安値!AA271&lt;安値!Y271,安値!AA271&lt;安値!AB271,安値!AA271&lt;安値!AC271),22,""))</f>
      </c>
      <c r="W271" s="684">
        <f>IF(終値!A271="","",IF(AND(安値!AB271&lt;安値!AA271,安値!AB271&lt;安値!Z271,安値!AB271&lt;安値!AC271,安値!AB271&lt;安値!AD271),23,""))</f>
      </c>
      <c r="X271" s="684">
        <f>IF(終値!A271="","",IF(AND(安値!AC271&lt;安値!AB271,安値!AC271&lt;安値!AA271,安値!AC271&lt;安値!AD271,安値!AC271&lt;安値!AE271),24,""))</f>
      </c>
      <c r="Y271" s="684">
        <f>IF(終値!A271="","",IF(AND(安値!AD271&lt;安値!AC271,安値!AD271&lt;安値!AB271,安値!AD271&lt;安値!AE271,安値!AD271&lt;安値!AF271),25,""))</f>
      </c>
      <c r="Z271" s="684">
        <f>IF(終値!A271="","",IF(AND(安値!AE271&lt;安値!AD271,安値!AE271&lt;安値!AC271,安値!AE271&lt;安値!AF271,安値!AE271&lt;安値!AG271),26,""))</f>
      </c>
      <c r="AA271" s="684">
        <f>IF(終値!A271="","",IF(AND(安値!AF271&lt;安値!AE271,安値!AF271&lt;安値!AD271,安値!AF271&lt;安値!AG271,安値!AF271&lt;安値!AH271),27,""))</f>
      </c>
      <c r="AB271" s="684">
        <f>IF(終値!A271="","",IF(AND(安値!AG271&lt;安値!AF271,安値!AG271&lt;安値!AE271,安値!AG271&lt;安値!AH271,安値!AG271&lt;安値!AI271),28,""))</f>
      </c>
      <c r="AC271" s="684">
        <f>IF(終値!A271="","",IF(AND(高値!G271&gt;高値!F271,高値!G271&gt;高値!E271,高値!G271&gt;高値!H271,高値!G271&gt;高値!I271),2,""))</f>
      </c>
      <c r="AD271" s="684">
        <f>IF(終値!A271="","",IF(AND(高値!H271&gt;高値!G271,高値!H271&gt;高値!F271,高値!H271&gt;高値!I271,高値!H271&gt;高値!J271),3,""))</f>
      </c>
      <c r="AE271" s="684">
        <f>IF(終値!A271="","",IF(AND(高値!I271&gt;高値!H271,高値!I271&gt;高値!G271,高値!I271&gt;高値!J271,高値!I271&gt;高値!K271),4,""))</f>
      </c>
      <c r="AF271" s="684">
        <f>IF(終値!A271="","",IF(AND(高値!J271&gt;高値!I271,高値!J271&gt;高値!H271,高値!J271&gt;高値!K271,高値!J271&gt;高値!L271),5,""))</f>
      </c>
      <c r="AG271" s="684">
        <f>IF(終値!A271="","",IF(AND(高値!K271&gt;高値!J271,高値!K271&gt;高値!I271,高値!K271&gt;高値!L271,高値!K271&gt;高値!M271),6,""))</f>
      </c>
      <c r="AH271" s="684">
        <f>IF(終値!A271="","",IF(AND(高値!L271&gt;高値!K271,高値!L271&gt;高値!J271,高値!L271&gt;高値!M271,高値!L271&gt;高値!N271),7,""))</f>
      </c>
      <c r="AI271" s="684">
        <f>IF(終値!A271="","",IF(AND(高値!M271&gt;高値!L271,高値!M271&gt;高値!K271,高値!M271&gt;高値!N271,高値!M271&gt;高値!O271),8,""))</f>
      </c>
      <c r="AJ271" s="684">
        <f>IF(終値!A271="","",IF(AND(高値!N271&gt;高値!M271,高値!N271&gt;高値!L271,高値!N271&gt;高値!O271,高値!N271&gt;高値!P271),9,""))</f>
      </c>
      <c r="AK271" s="684">
        <f>IF(終値!A271="","",IF(AND(高値!O271&gt;高値!N271,高値!O271&gt;高値!M271,高値!O271&gt;高値!P271,高値!O271&gt;高値!Q271),10,""))</f>
      </c>
      <c r="AL271" s="684">
        <f>IF(終値!A271="","",IF(AND(高値!P271&gt;高値!O271,高値!P271&gt;高値!N271,高値!P271&gt;高値!Q271,高値!P271&gt;高値!R271),11,""))</f>
      </c>
      <c r="AM271" s="684">
        <f>IF(終値!A271="","",IF(AND(高値!Q271&gt;高値!P271,高値!Q271&gt;高値!O271,高値!Q271&gt;高値!R271,高値!Q271&gt;高値!S271),12,""))</f>
      </c>
      <c r="AN271" s="684">
        <f>IF(終値!A271="","",IF(AND(高値!R271&gt;高値!Q271,高値!R271&gt;高値!P271,高値!R271&gt;高値!S271,高値!R271&gt;高値!T271),13,""))</f>
      </c>
      <c r="AO271" s="684">
        <f>IF(終値!A271="","",IF(AND(高値!S271&gt;高値!R271,高値!S271&gt;高値!Q271,高値!S271&gt;高値!T271,高値!S271&gt;高値!U271),14,""))</f>
      </c>
      <c r="AP271" s="684">
        <f>IF(終値!A271="","",IF(AND(高値!T271&gt;高値!S271,高値!T271&gt;高値!R271,高値!T271&gt;高値!U271,高値!T271&gt;高値!V271),15,""))</f>
      </c>
      <c r="AQ271" s="684">
        <f>IF(終値!A271="","",IF(AND(高値!U271&gt;高値!T271,高値!U271&gt;高値!S271,高値!U271&gt;高値!V271,高値!U271&gt;高値!W271),16,""))</f>
      </c>
      <c r="AR271" s="684">
        <f>IF(終値!A271="","",IF(AND(高値!V271&gt;高値!U271,高値!V271&gt;高値!T271,高値!V271&gt;高値!W271,高値!V271&gt;高値!X271),17,""))</f>
      </c>
      <c r="AS271" s="684">
        <f>IF(終値!A271="","",IF(AND(高値!W271&gt;高値!V271,高値!W271&gt;高値!U271,高値!W271&gt;高値!X271,高値!W271&gt;高値!Y271),18,""))</f>
      </c>
      <c r="AT271" s="684">
        <f>IF(終値!A271="","",IF(AND(高値!X271&gt;高値!W271,高値!X271&gt;高値!V271,高値!X271&gt;高値!Y271,高値!X271&gt;高値!Z271),19,""))</f>
      </c>
      <c r="AU271" s="684">
        <f>IF(終値!A271="","",IF(AND(高値!Y271&gt;高値!X271,高値!Y271&gt;高値!W271,高値!Y271&gt;高値!Z271,高値!Y271&gt;高値!AA271),20,""))</f>
      </c>
      <c r="AV271" s="684">
        <f>IF(終値!A271="","",IF(AND(高値!Z271&gt;高値!Y271,高値!Z271&gt;高値!X271,高値!Z271&gt;高値!AA271,高値!Z271&gt;高値!AB271),21,""))</f>
      </c>
      <c r="AW271" s="684">
        <f>IF(終値!A271="","",IF(AND(高値!AA271&gt;高値!Z271,高値!AA271&gt;高値!Y271,高値!AA271&gt;高値!AB271,高値!AA271&gt;高値!AC271),22,""))</f>
      </c>
      <c r="AX271" s="684">
        <f>IF(終値!A271="","",IF(AND(高値!AB271&gt;高値!AA271,高値!AB271&gt;高値!Z271,高値!AB271&gt;高値!AC271,高値!AB271&gt;高値!AD271),23,""))</f>
      </c>
      <c r="AY271" s="684">
        <f>IF(終値!A271="","",IF(AND(高値!AC271&gt;高値!AB271,高値!AC271&gt;高値!AA271,高値!AC271&gt;高値!AD271,高値!AC271&gt;高値!AE271),24,""))</f>
      </c>
      <c r="AZ271" s="684">
        <f>IF(終値!A271="","",IF(AND(高値!AD271&gt;高値!AC271,高値!AD271&gt;高値!AB271,高値!AD271&gt;高値!AE271,高値!AD271&gt;高値!AF271),25,""))</f>
      </c>
      <c r="BA271" s="684">
        <f>IF(終値!A271="","",IF(AND(高値!AE271&gt;高値!AD271,高値!AE271&gt;高値!AC271,高値!AE271&gt;高値!AF271,高値!AE271&gt;高値!AG271),26,""))</f>
      </c>
      <c r="BB271" s="684">
        <f>IF(終値!A271="","",IF(AND(高値!AF271&gt;高値!AE271,高値!AF271&gt;高値!AD271,高値!AF271&gt;高値!AG271,高値!AF271&gt;高値!AH271),27,""))</f>
      </c>
      <c r="BC271" s="684">
        <f>IF(終値!A271="","",IF(AND(高値!AG271&gt;高値!AF271,高値!AG271&gt;高値!AE271,高値!AG271&gt;高値!AH271,高値!AG271&gt;高値!AI271),28,""))</f>
      </c>
      <c r="BD271" s="684">
        <f>COUNT($B271:$AB271)</f>
      </c>
      <c r="BE271" s="684">
        <f>IF($BD271&gt;=2,MIN($B271:$AB271),"")</f>
      </c>
      <c r="BF271" s="684">
        <f>IF($BD271&gt;=2,SMALL($B271:$AB271,2),"")</f>
      </c>
      <c r="BG271" s="684">
        <f>IF($BE271="","",INDEX(安値!$E271:$CZ271,1,$BE271+1))</f>
      </c>
      <c r="BH271" s="684">
        <f>IF($BF271="","",INDEX(安値!$E271:$CZ271,1,$BF271+1))</f>
      </c>
      <c r="BI271" s="684">
        <f>IF($BF271="","",MAX(INDEX(高値!$E271:$CZ271,1,$BE271+1):INDEX(高値!$E271:$CZ271,1,$BF271+1)))</f>
      </c>
      <c r="BJ271" s="684">
        <f>IF($BF271="","",AVERAGE(INDEX(終値!$E271:$CZ271,1,$BF271+1):INDEX(終値!$E271:$CZ271,1,$BF271+20))-2*STDEVP(INDEX(終値!$E271:$CZ271,1,$BF271+1):INDEX(終値!$E271:$CZ271,1,$BF271+20)))</f>
      </c>
      <c r="BK271" s="684">
        <f>IF($BE271="","",AVERAGE(INDEX(終値!$E271:$CZ271,1,$BE271+1):INDEX(終値!$E271:$CZ271,1,$BE271+20))-2*STDEVP(INDEX(終値!$E271:$CZ271,1,$BE271+1):INDEX(終値!$E271:$CZ271,1,$BE271+20)))</f>
      </c>
      <c r="BL271" s="684">
        <f>COUNT($AC271:$BC271)</f>
      </c>
      <c r="BM271" s="684">
        <f>IF($BL271&gt;=2,MIN($AC271:$BC271),"")</f>
      </c>
      <c r="BN271" s="684">
        <f>IF($BL271&gt;=2,SMALL($AC271:$BC271,2),"")</f>
      </c>
      <c r="BO271" s="684">
        <f>IF($BM271="","",INDEX(高値!$E271:$CZ271,1,$BM271+1))</f>
      </c>
      <c r="BP271" s="684">
        <f>IF($BN271="","",INDEX(高値!$E271:$CZ271,1,$BN271+1))</f>
      </c>
      <c r="BQ271" s="684">
        <f>IF($BN271="","",MIN(INDEX(安値!$E271:$CZ271,1,$BM271+1):INDEX(安値!$E271:$CZ271,1,$BN271+1)))</f>
      </c>
      <c r="BR271" s="684">
        <f>IF($BN271="","",AVERAGE(INDEX(終値!$E271:$CZ271,1,$BN271+1):INDEX(終値!$E271:$CZ271,1,$BN271+20))+2*STDEVP(INDEX(終値!$E271:$CZ271,1,$BN271+1):INDEX(終値!$E271:$CZ271,1,$BN271+20)))</f>
      </c>
      <c r="BS271" s="684">
        <f>IF($BM271="","",AVERAGE(INDEX(終値!$E271:$CZ271,1,$BM271+1):INDEX(終値!$E271:$CZ271,1,$BM271+20))+2*STDEVP(INDEX(終値!$E271:$CZ271,1,$BM271+1):INDEX(終値!$E271:$CZ271,1,$BM271+20)))</f>
      </c>
      <c r="BT271" s="681">
        <f>IFERROR(IF(AND($BD271&gt;=2,ABS($BG271-$BH271)/$BH271&lt;=BB設定!$B$12,$BI271&gt;=MAX($BH271,$BG271)*(1+BB設定!$B$13),終値!E271&gt;$BG271),IF(OR(終値!E271&gt;=$BI271,AND($BH271&lt;$BJ271,$BG271&gt;=$BK271)),"二番底W▲","二番底W形成"),IF(AND($BL271&gt;=2,ABS($BO271-$BP271)/$BP271&lt;=BB設定!$B$12,$BQ271&lt;=MIN($BP271,$BO271)*(1-BB設定!$B$13),終値!E271&lt;$BO271),IF(OR(終値!E271&lt;=$BQ271,AND($BP271&gt;$BR271,$BO271&lt;=$BS271)),"二番天井M▼","二番天井M形成"),"－")),"－")</f>
      </c>
    </row>
    <row r="272">
      <c r="B272" s="684">
        <f>IF(終値!A272="","",IF(AND(安値!G272&lt;安値!F272,安値!G272&lt;安値!E272,安値!G272&lt;安値!H272,安値!G272&lt;安値!I272),2,""))</f>
      </c>
      <c r="C272" s="684">
        <f>IF(終値!A272="","",IF(AND(安値!H272&lt;安値!G272,安値!H272&lt;安値!F272,安値!H272&lt;安値!I272,安値!H272&lt;安値!J272),3,""))</f>
      </c>
      <c r="D272" s="684">
        <f>IF(終値!A272="","",IF(AND(安値!I272&lt;安値!H272,安値!I272&lt;安値!G272,安値!I272&lt;安値!J272,安値!I272&lt;安値!K272),4,""))</f>
      </c>
      <c r="E272" s="684">
        <f>IF(終値!A272="","",IF(AND(安値!J272&lt;安値!I272,安値!J272&lt;安値!H272,安値!J272&lt;安値!K272,安値!J272&lt;安値!L272),5,""))</f>
      </c>
      <c r="F272" s="684">
        <f>IF(終値!A272="","",IF(AND(安値!K272&lt;安値!J272,安値!K272&lt;安値!I272,安値!K272&lt;安値!L272,安値!K272&lt;安値!M272),6,""))</f>
      </c>
      <c r="G272" s="684">
        <f>IF(終値!A272="","",IF(AND(安値!L272&lt;安値!K272,安値!L272&lt;安値!J272,安値!L272&lt;安値!M272,安値!L272&lt;安値!N272),7,""))</f>
      </c>
      <c r="H272" s="684">
        <f>IF(終値!A272="","",IF(AND(安値!M272&lt;安値!L272,安値!M272&lt;安値!K272,安値!M272&lt;安値!N272,安値!M272&lt;安値!O272),8,""))</f>
      </c>
      <c r="I272" s="684">
        <f>IF(終値!A272="","",IF(AND(安値!N272&lt;安値!M272,安値!N272&lt;安値!L272,安値!N272&lt;安値!O272,安値!N272&lt;安値!P272),9,""))</f>
      </c>
      <c r="J272" s="684">
        <f>IF(終値!A272="","",IF(AND(安値!O272&lt;安値!N272,安値!O272&lt;安値!M272,安値!O272&lt;安値!P272,安値!O272&lt;安値!Q272),10,""))</f>
      </c>
      <c r="K272" s="684">
        <f>IF(終値!A272="","",IF(AND(安値!P272&lt;安値!O272,安値!P272&lt;安値!N272,安値!P272&lt;安値!Q272,安値!P272&lt;安値!R272),11,""))</f>
      </c>
      <c r="L272" s="684">
        <f>IF(終値!A272="","",IF(AND(安値!Q272&lt;安値!P272,安値!Q272&lt;安値!O272,安値!Q272&lt;安値!R272,安値!Q272&lt;安値!S272),12,""))</f>
      </c>
      <c r="M272" s="684">
        <f>IF(終値!A272="","",IF(AND(安値!R272&lt;安値!Q272,安値!R272&lt;安値!P272,安値!R272&lt;安値!S272,安値!R272&lt;安値!T272),13,""))</f>
      </c>
      <c r="N272" s="684">
        <f>IF(終値!A272="","",IF(AND(安値!S272&lt;安値!R272,安値!S272&lt;安値!Q272,安値!S272&lt;安値!T272,安値!S272&lt;安値!U272),14,""))</f>
      </c>
      <c r="O272" s="684">
        <f>IF(終値!A272="","",IF(AND(安値!T272&lt;安値!S272,安値!T272&lt;安値!R272,安値!T272&lt;安値!U272,安値!T272&lt;安値!V272),15,""))</f>
      </c>
      <c r="P272" s="684">
        <f>IF(終値!A272="","",IF(AND(安値!U272&lt;安値!T272,安値!U272&lt;安値!S272,安値!U272&lt;安値!V272,安値!U272&lt;安値!W272),16,""))</f>
      </c>
      <c r="Q272" s="684">
        <f>IF(終値!A272="","",IF(AND(安値!V272&lt;安値!U272,安値!V272&lt;安値!T272,安値!V272&lt;安値!W272,安値!V272&lt;安値!X272),17,""))</f>
      </c>
      <c r="R272" s="684">
        <f>IF(終値!A272="","",IF(AND(安値!W272&lt;安値!V272,安値!W272&lt;安値!U272,安値!W272&lt;安値!X272,安値!W272&lt;安値!Y272),18,""))</f>
      </c>
      <c r="S272" s="684">
        <f>IF(終値!A272="","",IF(AND(安値!X272&lt;安値!W272,安値!X272&lt;安値!V272,安値!X272&lt;安値!Y272,安値!X272&lt;安値!Z272),19,""))</f>
      </c>
      <c r="T272" s="684">
        <f>IF(終値!A272="","",IF(AND(安値!Y272&lt;安値!X272,安値!Y272&lt;安値!W272,安値!Y272&lt;安値!Z272,安値!Y272&lt;安値!AA272),20,""))</f>
      </c>
      <c r="U272" s="684">
        <f>IF(終値!A272="","",IF(AND(安値!Z272&lt;安値!Y272,安値!Z272&lt;安値!X272,安値!Z272&lt;安値!AA272,安値!Z272&lt;安値!AB272),21,""))</f>
      </c>
      <c r="V272" s="684">
        <f>IF(終値!A272="","",IF(AND(安値!AA272&lt;安値!Z272,安値!AA272&lt;安値!Y272,安値!AA272&lt;安値!AB272,安値!AA272&lt;安値!AC272),22,""))</f>
      </c>
      <c r="W272" s="684">
        <f>IF(終値!A272="","",IF(AND(安値!AB272&lt;安値!AA272,安値!AB272&lt;安値!Z272,安値!AB272&lt;安値!AC272,安値!AB272&lt;安値!AD272),23,""))</f>
      </c>
      <c r="X272" s="684">
        <f>IF(終値!A272="","",IF(AND(安値!AC272&lt;安値!AB272,安値!AC272&lt;安値!AA272,安値!AC272&lt;安値!AD272,安値!AC272&lt;安値!AE272),24,""))</f>
      </c>
      <c r="Y272" s="684">
        <f>IF(終値!A272="","",IF(AND(安値!AD272&lt;安値!AC272,安値!AD272&lt;安値!AB272,安値!AD272&lt;安値!AE272,安値!AD272&lt;安値!AF272),25,""))</f>
      </c>
      <c r="Z272" s="684">
        <f>IF(終値!A272="","",IF(AND(安値!AE272&lt;安値!AD272,安値!AE272&lt;安値!AC272,安値!AE272&lt;安値!AF272,安値!AE272&lt;安値!AG272),26,""))</f>
      </c>
      <c r="AA272" s="684">
        <f>IF(終値!A272="","",IF(AND(安値!AF272&lt;安値!AE272,安値!AF272&lt;安値!AD272,安値!AF272&lt;安値!AG272,安値!AF272&lt;安値!AH272),27,""))</f>
      </c>
      <c r="AB272" s="684">
        <f>IF(終値!A272="","",IF(AND(安値!AG272&lt;安値!AF272,安値!AG272&lt;安値!AE272,安値!AG272&lt;安値!AH272,安値!AG272&lt;安値!AI272),28,""))</f>
      </c>
      <c r="AC272" s="684">
        <f>IF(終値!A272="","",IF(AND(高値!G272&gt;高値!F272,高値!G272&gt;高値!E272,高値!G272&gt;高値!H272,高値!G272&gt;高値!I272),2,""))</f>
      </c>
      <c r="AD272" s="684">
        <f>IF(終値!A272="","",IF(AND(高値!H272&gt;高値!G272,高値!H272&gt;高値!F272,高値!H272&gt;高値!I272,高値!H272&gt;高値!J272),3,""))</f>
      </c>
      <c r="AE272" s="684">
        <f>IF(終値!A272="","",IF(AND(高値!I272&gt;高値!H272,高値!I272&gt;高値!G272,高値!I272&gt;高値!J272,高値!I272&gt;高値!K272),4,""))</f>
      </c>
      <c r="AF272" s="684">
        <f>IF(終値!A272="","",IF(AND(高値!J272&gt;高値!I272,高値!J272&gt;高値!H272,高値!J272&gt;高値!K272,高値!J272&gt;高値!L272),5,""))</f>
      </c>
      <c r="AG272" s="684">
        <f>IF(終値!A272="","",IF(AND(高値!K272&gt;高値!J272,高値!K272&gt;高値!I272,高値!K272&gt;高値!L272,高値!K272&gt;高値!M272),6,""))</f>
      </c>
      <c r="AH272" s="684">
        <f>IF(終値!A272="","",IF(AND(高値!L272&gt;高値!K272,高値!L272&gt;高値!J272,高値!L272&gt;高値!M272,高値!L272&gt;高値!N272),7,""))</f>
      </c>
      <c r="AI272" s="684">
        <f>IF(終値!A272="","",IF(AND(高値!M272&gt;高値!L272,高値!M272&gt;高値!K272,高値!M272&gt;高値!N272,高値!M272&gt;高値!O272),8,""))</f>
      </c>
      <c r="AJ272" s="684">
        <f>IF(終値!A272="","",IF(AND(高値!N272&gt;高値!M272,高値!N272&gt;高値!L272,高値!N272&gt;高値!O272,高値!N272&gt;高値!P272),9,""))</f>
      </c>
      <c r="AK272" s="684">
        <f>IF(終値!A272="","",IF(AND(高値!O272&gt;高値!N272,高値!O272&gt;高値!M272,高値!O272&gt;高値!P272,高値!O272&gt;高値!Q272),10,""))</f>
      </c>
      <c r="AL272" s="684">
        <f>IF(終値!A272="","",IF(AND(高値!P272&gt;高値!O272,高値!P272&gt;高値!N272,高値!P272&gt;高値!Q272,高値!P272&gt;高値!R272),11,""))</f>
      </c>
      <c r="AM272" s="684">
        <f>IF(終値!A272="","",IF(AND(高値!Q272&gt;高値!P272,高値!Q272&gt;高値!O272,高値!Q272&gt;高値!R272,高値!Q272&gt;高値!S272),12,""))</f>
      </c>
      <c r="AN272" s="684">
        <f>IF(終値!A272="","",IF(AND(高値!R272&gt;高値!Q272,高値!R272&gt;高値!P272,高値!R272&gt;高値!S272,高値!R272&gt;高値!T272),13,""))</f>
      </c>
      <c r="AO272" s="684">
        <f>IF(終値!A272="","",IF(AND(高値!S272&gt;高値!R272,高値!S272&gt;高値!Q272,高値!S272&gt;高値!T272,高値!S272&gt;高値!U272),14,""))</f>
      </c>
      <c r="AP272" s="684">
        <f>IF(終値!A272="","",IF(AND(高値!T272&gt;高値!S272,高値!T272&gt;高値!R272,高値!T272&gt;高値!U272,高値!T272&gt;高値!V272),15,""))</f>
      </c>
      <c r="AQ272" s="684">
        <f>IF(終値!A272="","",IF(AND(高値!U272&gt;高値!T272,高値!U272&gt;高値!S272,高値!U272&gt;高値!V272,高値!U272&gt;高値!W272),16,""))</f>
      </c>
      <c r="AR272" s="684">
        <f>IF(終値!A272="","",IF(AND(高値!V272&gt;高値!U272,高値!V272&gt;高値!T272,高値!V272&gt;高値!W272,高値!V272&gt;高値!X272),17,""))</f>
      </c>
      <c r="AS272" s="684">
        <f>IF(終値!A272="","",IF(AND(高値!W272&gt;高値!V272,高値!W272&gt;高値!U272,高値!W272&gt;高値!X272,高値!W272&gt;高値!Y272),18,""))</f>
      </c>
      <c r="AT272" s="684">
        <f>IF(終値!A272="","",IF(AND(高値!X272&gt;高値!W272,高値!X272&gt;高値!V272,高値!X272&gt;高値!Y272,高値!X272&gt;高値!Z272),19,""))</f>
      </c>
      <c r="AU272" s="684">
        <f>IF(終値!A272="","",IF(AND(高値!Y272&gt;高値!X272,高値!Y272&gt;高値!W272,高値!Y272&gt;高値!Z272,高値!Y272&gt;高値!AA272),20,""))</f>
      </c>
      <c r="AV272" s="684">
        <f>IF(終値!A272="","",IF(AND(高値!Z272&gt;高値!Y272,高値!Z272&gt;高値!X272,高値!Z272&gt;高値!AA272,高値!Z272&gt;高値!AB272),21,""))</f>
      </c>
      <c r="AW272" s="684">
        <f>IF(終値!A272="","",IF(AND(高値!AA272&gt;高値!Z272,高値!AA272&gt;高値!Y272,高値!AA272&gt;高値!AB272,高値!AA272&gt;高値!AC272),22,""))</f>
      </c>
      <c r="AX272" s="684">
        <f>IF(終値!A272="","",IF(AND(高値!AB272&gt;高値!AA272,高値!AB272&gt;高値!Z272,高値!AB272&gt;高値!AC272,高値!AB272&gt;高値!AD272),23,""))</f>
      </c>
      <c r="AY272" s="684">
        <f>IF(終値!A272="","",IF(AND(高値!AC272&gt;高値!AB272,高値!AC272&gt;高値!AA272,高値!AC272&gt;高値!AD272,高値!AC272&gt;高値!AE272),24,""))</f>
      </c>
      <c r="AZ272" s="684">
        <f>IF(終値!A272="","",IF(AND(高値!AD272&gt;高値!AC272,高値!AD272&gt;高値!AB272,高値!AD272&gt;高値!AE272,高値!AD272&gt;高値!AF272),25,""))</f>
      </c>
      <c r="BA272" s="684">
        <f>IF(終値!A272="","",IF(AND(高値!AE272&gt;高値!AD272,高値!AE272&gt;高値!AC272,高値!AE272&gt;高値!AF272,高値!AE272&gt;高値!AG272),26,""))</f>
      </c>
      <c r="BB272" s="684">
        <f>IF(終値!A272="","",IF(AND(高値!AF272&gt;高値!AE272,高値!AF272&gt;高値!AD272,高値!AF272&gt;高値!AG272,高値!AF272&gt;高値!AH272),27,""))</f>
      </c>
      <c r="BC272" s="684">
        <f>IF(終値!A272="","",IF(AND(高値!AG272&gt;高値!AF272,高値!AG272&gt;高値!AE272,高値!AG272&gt;高値!AH272,高値!AG272&gt;高値!AI272),28,""))</f>
      </c>
      <c r="BD272" s="684">
        <f>COUNT($B272:$AB272)</f>
      </c>
      <c r="BE272" s="684">
        <f>IF($BD272&gt;=2,MIN($B272:$AB272),"")</f>
      </c>
      <c r="BF272" s="684">
        <f>IF($BD272&gt;=2,SMALL($B272:$AB272,2),"")</f>
      </c>
      <c r="BG272" s="684">
        <f>IF($BE272="","",INDEX(安値!$E272:$CZ272,1,$BE272+1))</f>
      </c>
      <c r="BH272" s="684">
        <f>IF($BF272="","",INDEX(安値!$E272:$CZ272,1,$BF272+1))</f>
      </c>
      <c r="BI272" s="684">
        <f>IF($BF272="","",MAX(INDEX(高値!$E272:$CZ272,1,$BE272+1):INDEX(高値!$E272:$CZ272,1,$BF272+1)))</f>
      </c>
      <c r="BJ272" s="684">
        <f>IF($BF272="","",AVERAGE(INDEX(終値!$E272:$CZ272,1,$BF272+1):INDEX(終値!$E272:$CZ272,1,$BF272+20))-2*STDEVP(INDEX(終値!$E272:$CZ272,1,$BF272+1):INDEX(終値!$E272:$CZ272,1,$BF272+20)))</f>
      </c>
      <c r="BK272" s="684">
        <f>IF($BE272="","",AVERAGE(INDEX(終値!$E272:$CZ272,1,$BE272+1):INDEX(終値!$E272:$CZ272,1,$BE272+20))-2*STDEVP(INDEX(終値!$E272:$CZ272,1,$BE272+1):INDEX(終値!$E272:$CZ272,1,$BE272+20)))</f>
      </c>
      <c r="BL272" s="684">
        <f>COUNT($AC272:$BC272)</f>
      </c>
      <c r="BM272" s="684">
        <f>IF($BL272&gt;=2,MIN($AC272:$BC272),"")</f>
      </c>
      <c r="BN272" s="684">
        <f>IF($BL272&gt;=2,SMALL($AC272:$BC272,2),"")</f>
      </c>
      <c r="BO272" s="684">
        <f>IF($BM272="","",INDEX(高値!$E272:$CZ272,1,$BM272+1))</f>
      </c>
      <c r="BP272" s="684">
        <f>IF($BN272="","",INDEX(高値!$E272:$CZ272,1,$BN272+1))</f>
      </c>
      <c r="BQ272" s="684">
        <f>IF($BN272="","",MIN(INDEX(安値!$E272:$CZ272,1,$BM272+1):INDEX(安値!$E272:$CZ272,1,$BN272+1)))</f>
      </c>
      <c r="BR272" s="684">
        <f>IF($BN272="","",AVERAGE(INDEX(終値!$E272:$CZ272,1,$BN272+1):INDEX(終値!$E272:$CZ272,1,$BN272+20))+2*STDEVP(INDEX(終値!$E272:$CZ272,1,$BN272+1):INDEX(終値!$E272:$CZ272,1,$BN272+20)))</f>
      </c>
      <c r="BS272" s="684">
        <f>IF($BM272="","",AVERAGE(INDEX(終値!$E272:$CZ272,1,$BM272+1):INDEX(終値!$E272:$CZ272,1,$BM272+20))+2*STDEVP(INDEX(終値!$E272:$CZ272,1,$BM272+1):INDEX(終値!$E272:$CZ272,1,$BM272+20)))</f>
      </c>
      <c r="BT272" s="681">
        <f>IFERROR(IF(AND($BD272&gt;=2,ABS($BG272-$BH272)/$BH272&lt;=BB設定!$B$12,$BI272&gt;=MAX($BH272,$BG272)*(1+BB設定!$B$13),終値!E272&gt;$BG272),IF(OR(終値!E272&gt;=$BI272,AND($BH272&lt;$BJ272,$BG272&gt;=$BK272)),"二番底W▲","二番底W形成"),IF(AND($BL272&gt;=2,ABS($BO272-$BP272)/$BP272&lt;=BB設定!$B$12,$BQ272&lt;=MIN($BP272,$BO272)*(1-BB設定!$B$13),終値!E272&lt;$BO272),IF(OR(終値!E272&lt;=$BQ272,AND($BP272&gt;$BR272,$BO272&lt;=$BS272)),"二番天井M▼","二番天井M形成"),"－")),"－")</f>
      </c>
    </row>
    <row r="273">
      <c r="B273" s="684">
        <f>IF(終値!A273="","",IF(AND(安値!G273&lt;安値!F273,安値!G273&lt;安値!E273,安値!G273&lt;安値!H273,安値!G273&lt;安値!I273),2,""))</f>
      </c>
      <c r="C273" s="684">
        <f>IF(終値!A273="","",IF(AND(安値!H273&lt;安値!G273,安値!H273&lt;安値!F273,安値!H273&lt;安値!I273,安値!H273&lt;安値!J273),3,""))</f>
      </c>
      <c r="D273" s="684">
        <f>IF(終値!A273="","",IF(AND(安値!I273&lt;安値!H273,安値!I273&lt;安値!G273,安値!I273&lt;安値!J273,安値!I273&lt;安値!K273),4,""))</f>
      </c>
      <c r="E273" s="684">
        <f>IF(終値!A273="","",IF(AND(安値!J273&lt;安値!I273,安値!J273&lt;安値!H273,安値!J273&lt;安値!K273,安値!J273&lt;安値!L273),5,""))</f>
      </c>
      <c r="F273" s="684">
        <f>IF(終値!A273="","",IF(AND(安値!K273&lt;安値!J273,安値!K273&lt;安値!I273,安値!K273&lt;安値!L273,安値!K273&lt;安値!M273),6,""))</f>
      </c>
      <c r="G273" s="684">
        <f>IF(終値!A273="","",IF(AND(安値!L273&lt;安値!K273,安値!L273&lt;安値!J273,安値!L273&lt;安値!M273,安値!L273&lt;安値!N273),7,""))</f>
      </c>
      <c r="H273" s="684">
        <f>IF(終値!A273="","",IF(AND(安値!M273&lt;安値!L273,安値!M273&lt;安値!K273,安値!M273&lt;安値!N273,安値!M273&lt;安値!O273),8,""))</f>
      </c>
      <c r="I273" s="684">
        <f>IF(終値!A273="","",IF(AND(安値!N273&lt;安値!M273,安値!N273&lt;安値!L273,安値!N273&lt;安値!O273,安値!N273&lt;安値!P273),9,""))</f>
      </c>
      <c r="J273" s="684">
        <f>IF(終値!A273="","",IF(AND(安値!O273&lt;安値!N273,安値!O273&lt;安値!M273,安値!O273&lt;安値!P273,安値!O273&lt;安値!Q273),10,""))</f>
      </c>
      <c r="K273" s="684">
        <f>IF(終値!A273="","",IF(AND(安値!P273&lt;安値!O273,安値!P273&lt;安値!N273,安値!P273&lt;安値!Q273,安値!P273&lt;安値!R273),11,""))</f>
      </c>
      <c r="L273" s="684">
        <f>IF(終値!A273="","",IF(AND(安値!Q273&lt;安値!P273,安値!Q273&lt;安値!O273,安値!Q273&lt;安値!R273,安値!Q273&lt;安値!S273),12,""))</f>
      </c>
      <c r="M273" s="684">
        <f>IF(終値!A273="","",IF(AND(安値!R273&lt;安値!Q273,安値!R273&lt;安値!P273,安値!R273&lt;安値!S273,安値!R273&lt;安値!T273),13,""))</f>
      </c>
      <c r="N273" s="684">
        <f>IF(終値!A273="","",IF(AND(安値!S273&lt;安値!R273,安値!S273&lt;安値!Q273,安値!S273&lt;安値!T273,安値!S273&lt;安値!U273),14,""))</f>
      </c>
      <c r="O273" s="684">
        <f>IF(終値!A273="","",IF(AND(安値!T273&lt;安値!S273,安値!T273&lt;安値!R273,安値!T273&lt;安値!U273,安値!T273&lt;安値!V273),15,""))</f>
      </c>
      <c r="P273" s="684">
        <f>IF(終値!A273="","",IF(AND(安値!U273&lt;安値!T273,安値!U273&lt;安値!S273,安値!U273&lt;安値!V273,安値!U273&lt;安値!W273),16,""))</f>
      </c>
      <c r="Q273" s="684">
        <f>IF(終値!A273="","",IF(AND(安値!V273&lt;安値!U273,安値!V273&lt;安値!T273,安値!V273&lt;安値!W273,安値!V273&lt;安値!X273),17,""))</f>
      </c>
      <c r="R273" s="684">
        <f>IF(終値!A273="","",IF(AND(安値!W273&lt;安値!V273,安値!W273&lt;安値!U273,安値!W273&lt;安値!X273,安値!W273&lt;安値!Y273),18,""))</f>
      </c>
      <c r="S273" s="684">
        <f>IF(終値!A273="","",IF(AND(安値!X273&lt;安値!W273,安値!X273&lt;安値!V273,安値!X273&lt;安値!Y273,安値!X273&lt;安値!Z273),19,""))</f>
      </c>
      <c r="T273" s="684">
        <f>IF(終値!A273="","",IF(AND(安値!Y273&lt;安値!X273,安値!Y273&lt;安値!W273,安値!Y273&lt;安値!Z273,安値!Y273&lt;安値!AA273),20,""))</f>
      </c>
      <c r="U273" s="684">
        <f>IF(終値!A273="","",IF(AND(安値!Z273&lt;安値!Y273,安値!Z273&lt;安値!X273,安値!Z273&lt;安値!AA273,安値!Z273&lt;安値!AB273),21,""))</f>
      </c>
      <c r="V273" s="684">
        <f>IF(終値!A273="","",IF(AND(安値!AA273&lt;安値!Z273,安値!AA273&lt;安値!Y273,安値!AA273&lt;安値!AB273,安値!AA273&lt;安値!AC273),22,""))</f>
      </c>
      <c r="W273" s="684">
        <f>IF(終値!A273="","",IF(AND(安値!AB273&lt;安値!AA273,安値!AB273&lt;安値!Z273,安値!AB273&lt;安値!AC273,安値!AB273&lt;安値!AD273),23,""))</f>
      </c>
      <c r="X273" s="684">
        <f>IF(終値!A273="","",IF(AND(安値!AC273&lt;安値!AB273,安値!AC273&lt;安値!AA273,安値!AC273&lt;安値!AD273,安値!AC273&lt;安値!AE273),24,""))</f>
      </c>
      <c r="Y273" s="684">
        <f>IF(終値!A273="","",IF(AND(安値!AD273&lt;安値!AC273,安値!AD273&lt;安値!AB273,安値!AD273&lt;安値!AE273,安値!AD273&lt;安値!AF273),25,""))</f>
      </c>
      <c r="Z273" s="684">
        <f>IF(終値!A273="","",IF(AND(安値!AE273&lt;安値!AD273,安値!AE273&lt;安値!AC273,安値!AE273&lt;安値!AF273,安値!AE273&lt;安値!AG273),26,""))</f>
      </c>
      <c r="AA273" s="684">
        <f>IF(終値!A273="","",IF(AND(安値!AF273&lt;安値!AE273,安値!AF273&lt;安値!AD273,安値!AF273&lt;安値!AG273,安値!AF273&lt;安値!AH273),27,""))</f>
      </c>
      <c r="AB273" s="684">
        <f>IF(終値!A273="","",IF(AND(安値!AG273&lt;安値!AF273,安値!AG273&lt;安値!AE273,安値!AG273&lt;安値!AH273,安値!AG273&lt;安値!AI273),28,""))</f>
      </c>
      <c r="AC273" s="684">
        <f>IF(終値!A273="","",IF(AND(高値!G273&gt;高値!F273,高値!G273&gt;高値!E273,高値!G273&gt;高値!H273,高値!G273&gt;高値!I273),2,""))</f>
      </c>
      <c r="AD273" s="684">
        <f>IF(終値!A273="","",IF(AND(高値!H273&gt;高値!G273,高値!H273&gt;高値!F273,高値!H273&gt;高値!I273,高値!H273&gt;高値!J273),3,""))</f>
      </c>
      <c r="AE273" s="684">
        <f>IF(終値!A273="","",IF(AND(高値!I273&gt;高値!H273,高値!I273&gt;高値!G273,高値!I273&gt;高値!J273,高値!I273&gt;高値!K273),4,""))</f>
      </c>
      <c r="AF273" s="684">
        <f>IF(終値!A273="","",IF(AND(高値!J273&gt;高値!I273,高値!J273&gt;高値!H273,高値!J273&gt;高値!K273,高値!J273&gt;高値!L273),5,""))</f>
      </c>
      <c r="AG273" s="684">
        <f>IF(終値!A273="","",IF(AND(高値!K273&gt;高値!J273,高値!K273&gt;高値!I273,高値!K273&gt;高値!L273,高値!K273&gt;高値!M273),6,""))</f>
      </c>
      <c r="AH273" s="684">
        <f>IF(終値!A273="","",IF(AND(高値!L273&gt;高値!K273,高値!L273&gt;高値!J273,高値!L273&gt;高値!M273,高値!L273&gt;高値!N273),7,""))</f>
      </c>
      <c r="AI273" s="684">
        <f>IF(終値!A273="","",IF(AND(高値!M273&gt;高値!L273,高値!M273&gt;高値!K273,高値!M273&gt;高値!N273,高値!M273&gt;高値!O273),8,""))</f>
      </c>
      <c r="AJ273" s="684">
        <f>IF(終値!A273="","",IF(AND(高値!N273&gt;高値!M273,高値!N273&gt;高値!L273,高値!N273&gt;高値!O273,高値!N273&gt;高値!P273),9,""))</f>
      </c>
      <c r="AK273" s="684">
        <f>IF(終値!A273="","",IF(AND(高値!O273&gt;高値!N273,高値!O273&gt;高値!M273,高値!O273&gt;高値!P273,高値!O273&gt;高値!Q273),10,""))</f>
      </c>
      <c r="AL273" s="684">
        <f>IF(終値!A273="","",IF(AND(高値!P273&gt;高値!O273,高値!P273&gt;高値!N273,高値!P273&gt;高値!Q273,高値!P273&gt;高値!R273),11,""))</f>
      </c>
      <c r="AM273" s="684">
        <f>IF(終値!A273="","",IF(AND(高値!Q273&gt;高値!P273,高値!Q273&gt;高値!O273,高値!Q273&gt;高値!R273,高値!Q273&gt;高値!S273),12,""))</f>
      </c>
      <c r="AN273" s="684">
        <f>IF(終値!A273="","",IF(AND(高値!R273&gt;高値!Q273,高値!R273&gt;高値!P273,高値!R273&gt;高値!S273,高値!R273&gt;高値!T273),13,""))</f>
      </c>
      <c r="AO273" s="684">
        <f>IF(終値!A273="","",IF(AND(高値!S273&gt;高値!R273,高値!S273&gt;高値!Q273,高値!S273&gt;高値!T273,高値!S273&gt;高値!U273),14,""))</f>
      </c>
      <c r="AP273" s="684">
        <f>IF(終値!A273="","",IF(AND(高値!T273&gt;高値!S273,高値!T273&gt;高値!R273,高値!T273&gt;高値!U273,高値!T273&gt;高値!V273),15,""))</f>
      </c>
      <c r="AQ273" s="684">
        <f>IF(終値!A273="","",IF(AND(高値!U273&gt;高値!T273,高値!U273&gt;高値!S273,高値!U273&gt;高値!V273,高値!U273&gt;高値!W273),16,""))</f>
      </c>
      <c r="AR273" s="684">
        <f>IF(終値!A273="","",IF(AND(高値!V273&gt;高値!U273,高値!V273&gt;高値!T273,高値!V273&gt;高値!W273,高値!V273&gt;高値!X273),17,""))</f>
      </c>
      <c r="AS273" s="684">
        <f>IF(終値!A273="","",IF(AND(高値!W273&gt;高値!V273,高値!W273&gt;高値!U273,高値!W273&gt;高値!X273,高値!W273&gt;高値!Y273),18,""))</f>
      </c>
      <c r="AT273" s="684">
        <f>IF(終値!A273="","",IF(AND(高値!X273&gt;高値!W273,高値!X273&gt;高値!V273,高値!X273&gt;高値!Y273,高値!X273&gt;高値!Z273),19,""))</f>
      </c>
      <c r="AU273" s="684">
        <f>IF(終値!A273="","",IF(AND(高値!Y273&gt;高値!X273,高値!Y273&gt;高値!W273,高値!Y273&gt;高値!Z273,高値!Y273&gt;高値!AA273),20,""))</f>
      </c>
      <c r="AV273" s="684">
        <f>IF(終値!A273="","",IF(AND(高値!Z273&gt;高値!Y273,高値!Z273&gt;高値!X273,高値!Z273&gt;高値!AA273,高値!Z273&gt;高値!AB273),21,""))</f>
      </c>
      <c r="AW273" s="684">
        <f>IF(終値!A273="","",IF(AND(高値!AA273&gt;高値!Z273,高値!AA273&gt;高値!Y273,高値!AA273&gt;高値!AB273,高値!AA273&gt;高値!AC273),22,""))</f>
      </c>
      <c r="AX273" s="684">
        <f>IF(終値!A273="","",IF(AND(高値!AB273&gt;高値!AA273,高値!AB273&gt;高値!Z273,高値!AB273&gt;高値!AC273,高値!AB273&gt;高値!AD273),23,""))</f>
      </c>
      <c r="AY273" s="684">
        <f>IF(終値!A273="","",IF(AND(高値!AC273&gt;高値!AB273,高値!AC273&gt;高値!AA273,高値!AC273&gt;高値!AD273,高値!AC273&gt;高値!AE273),24,""))</f>
      </c>
      <c r="AZ273" s="684">
        <f>IF(終値!A273="","",IF(AND(高値!AD273&gt;高値!AC273,高値!AD273&gt;高値!AB273,高値!AD273&gt;高値!AE273,高値!AD273&gt;高値!AF273),25,""))</f>
      </c>
      <c r="BA273" s="684">
        <f>IF(終値!A273="","",IF(AND(高値!AE273&gt;高値!AD273,高値!AE273&gt;高値!AC273,高値!AE273&gt;高値!AF273,高値!AE273&gt;高値!AG273),26,""))</f>
      </c>
      <c r="BB273" s="684">
        <f>IF(終値!A273="","",IF(AND(高値!AF273&gt;高値!AE273,高値!AF273&gt;高値!AD273,高値!AF273&gt;高値!AG273,高値!AF273&gt;高値!AH273),27,""))</f>
      </c>
      <c r="BC273" s="684">
        <f>IF(終値!A273="","",IF(AND(高値!AG273&gt;高値!AF273,高値!AG273&gt;高値!AE273,高値!AG273&gt;高値!AH273,高値!AG273&gt;高値!AI273),28,""))</f>
      </c>
      <c r="BD273" s="684">
        <f>COUNT($B273:$AB273)</f>
      </c>
      <c r="BE273" s="684">
        <f>IF($BD273&gt;=2,MIN($B273:$AB273),"")</f>
      </c>
      <c r="BF273" s="684">
        <f>IF($BD273&gt;=2,SMALL($B273:$AB273,2),"")</f>
      </c>
      <c r="BG273" s="684">
        <f>IF($BE273="","",INDEX(安値!$E273:$CZ273,1,$BE273+1))</f>
      </c>
      <c r="BH273" s="684">
        <f>IF($BF273="","",INDEX(安値!$E273:$CZ273,1,$BF273+1))</f>
      </c>
      <c r="BI273" s="684">
        <f>IF($BF273="","",MAX(INDEX(高値!$E273:$CZ273,1,$BE273+1):INDEX(高値!$E273:$CZ273,1,$BF273+1)))</f>
      </c>
      <c r="BJ273" s="684">
        <f>IF($BF273="","",AVERAGE(INDEX(終値!$E273:$CZ273,1,$BF273+1):INDEX(終値!$E273:$CZ273,1,$BF273+20))-2*STDEVP(INDEX(終値!$E273:$CZ273,1,$BF273+1):INDEX(終値!$E273:$CZ273,1,$BF273+20)))</f>
      </c>
      <c r="BK273" s="684">
        <f>IF($BE273="","",AVERAGE(INDEX(終値!$E273:$CZ273,1,$BE273+1):INDEX(終値!$E273:$CZ273,1,$BE273+20))-2*STDEVP(INDEX(終値!$E273:$CZ273,1,$BE273+1):INDEX(終値!$E273:$CZ273,1,$BE273+20)))</f>
      </c>
      <c r="BL273" s="684">
        <f>COUNT($AC273:$BC273)</f>
      </c>
      <c r="BM273" s="684">
        <f>IF($BL273&gt;=2,MIN($AC273:$BC273),"")</f>
      </c>
      <c r="BN273" s="684">
        <f>IF($BL273&gt;=2,SMALL($AC273:$BC273,2),"")</f>
      </c>
      <c r="BO273" s="684">
        <f>IF($BM273="","",INDEX(高値!$E273:$CZ273,1,$BM273+1))</f>
      </c>
      <c r="BP273" s="684">
        <f>IF($BN273="","",INDEX(高値!$E273:$CZ273,1,$BN273+1))</f>
      </c>
      <c r="BQ273" s="684">
        <f>IF($BN273="","",MIN(INDEX(安値!$E273:$CZ273,1,$BM273+1):INDEX(安値!$E273:$CZ273,1,$BN273+1)))</f>
      </c>
      <c r="BR273" s="684">
        <f>IF($BN273="","",AVERAGE(INDEX(終値!$E273:$CZ273,1,$BN273+1):INDEX(終値!$E273:$CZ273,1,$BN273+20))+2*STDEVP(INDEX(終値!$E273:$CZ273,1,$BN273+1):INDEX(終値!$E273:$CZ273,1,$BN273+20)))</f>
      </c>
      <c r="BS273" s="684">
        <f>IF($BM273="","",AVERAGE(INDEX(終値!$E273:$CZ273,1,$BM273+1):INDEX(終値!$E273:$CZ273,1,$BM273+20))+2*STDEVP(INDEX(終値!$E273:$CZ273,1,$BM273+1):INDEX(終値!$E273:$CZ273,1,$BM273+20)))</f>
      </c>
      <c r="BT273" s="681">
        <f>IFERROR(IF(AND($BD273&gt;=2,ABS($BG273-$BH273)/$BH273&lt;=BB設定!$B$12,$BI273&gt;=MAX($BH273,$BG273)*(1+BB設定!$B$13),終値!E273&gt;$BG273),IF(OR(終値!E273&gt;=$BI273,AND($BH273&lt;$BJ273,$BG273&gt;=$BK273)),"二番底W▲","二番底W形成"),IF(AND($BL273&gt;=2,ABS($BO273-$BP273)/$BP273&lt;=BB設定!$B$12,$BQ273&lt;=MIN($BP273,$BO273)*(1-BB設定!$B$13),終値!E273&lt;$BO273),IF(OR(終値!E273&lt;=$BQ273,AND($BP273&gt;$BR273,$BO273&lt;=$BS273)),"二番天井M▼","二番天井M形成"),"－")),"－")</f>
      </c>
    </row>
    <row r="274">
      <c r="B274" s="684">
        <f>IF(終値!A274="","",IF(AND(安値!G274&lt;安値!F274,安値!G274&lt;安値!E274,安値!G274&lt;安値!H274,安値!G274&lt;安値!I274),2,""))</f>
      </c>
      <c r="C274" s="684">
        <f>IF(終値!A274="","",IF(AND(安値!H274&lt;安値!G274,安値!H274&lt;安値!F274,安値!H274&lt;安値!I274,安値!H274&lt;安値!J274),3,""))</f>
      </c>
      <c r="D274" s="684">
        <f>IF(終値!A274="","",IF(AND(安値!I274&lt;安値!H274,安値!I274&lt;安値!G274,安値!I274&lt;安値!J274,安値!I274&lt;安値!K274),4,""))</f>
      </c>
      <c r="E274" s="684">
        <f>IF(終値!A274="","",IF(AND(安値!J274&lt;安値!I274,安値!J274&lt;安値!H274,安値!J274&lt;安値!K274,安値!J274&lt;安値!L274),5,""))</f>
      </c>
      <c r="F274" s="684">
        <f>IF(終値!A274="","",IF(AND(安値!K274&lt;安値!J274,安値!K274&lt;安値!I274,安値!K274&lt;安値!L274,安値!K274&lt;安値!M274),6,""))</f>
      </c>
      <c r="G274" s="684">
        <f>IF(終値!A274="","",IF(AND(安値!L274&lt;安値!K274,安値!L274&lt;安値!J274,安値!L274&lt;安値!M274,安値!L274&lt;安値!N274),7,""))</f>
      </c>
      <c r="H274" s="684">
        <f>IF(終値!A274="","",IF(AND(安値!M274&lt;安値!L274,安値!M274&lt;安値!K274,安値!M274&lt;安値!N274,安値!M274&lt;安値!O274),8,""))</f>
      </c>
      <c r="I274" s="684">
        <f>IF(終値!A274="","",IF(AND(安値!N274&lt;安値!M274,安値!N274&lt;安値!L274,安値!N274&lt;安値!O274,安値!N274&lt;安値!P274),9,""))</f>
      </c>
      <c r="J274" s="684">
        <f>IF(終値!A274="","",IF(AND(安値!O274&lt;安値!N274,安値!O274&lt;安値!M274,安値!O274&lt;安値!P274,安値!O274&lt;安値!Q274),10,""))</f>
      </c>
      <c r="K274" s="684">
        <f>IF(終値!A274="","",IF(AND(安値!P274&lt;安値!O274,安値!P274&lt;安値!N274,安値!P274&lt;安値!Q274,安値!P274&lt;安値!R274),11,""))</f>
      </c>
      <c r="L274" s="684">
        <f>IF(終値!A274="","",IF(AND(安値!Q274&lt;安値!P274,安値!Q274&lt;安値!O274,安値!Q274&lt;安値!R274,安値!Q274&lt;安値!S274),12,""))</f>
      </c>
      <c r="M274" s="684">
        <f>IF(終値!A274="","",IF(AND(安値!R274&lt;安値!Q274,安値!R274&lt;安値!P274,安値!R274&lt;安値!S274,安値!R274&lt;安値!T274),13,""))</f>
      </c>
      <c r="N274" s="684">
        <f>IF(終値!A274="","",IF(AND(安値!S274&lt;安値!R274,安値!S274&lt;安値!Q274,安値!S274&lt;安値!T274,安値!S274&lt;安値!U274),14,""))</f>
      </c>
      <c r="O274" s="684">
        <f>IF(終値!A274="","",IF(AND(安値!T274&lt;安値!S274,安値!T274&lt;安値!R274,安値!T274&lt;安値!U274,安値!T274&lt;安値!V274),15,""))</f>
      </c>
      <c r="P274" s="684">
        <f>IF(終値!A274="","",IF(AND(安値!U274&lt;安値!T274,安値!U274&lt;安値!S274,安値!U274&lt;安値!V274,安値!U274&lt;安値!W274),16,""))</f>
      </c>
      <c r="Q274" s="684">
        <f>IF(終値!A274="","",IF(AND(安値!V274&lt;安値!U274,安値!V274&lt;安値!T274,安値!V274&lt;安値!W274,安値!V274&lt;安値!X274),17,""))</f>
      </c>
      <c r="R274" s="684">
        <f>IF(終値!A274="","",IF(AND(安値!W274&lt;安値!V274,安値!W274&lt;安値!U274,安値!W274&lt;安値!X274,安値!W274&lt;安値!Y274),18,""))</f>
      </c>
      <c r="S274" s="684">
        <f>IF(終値!A274="","",IF(AND(安値!X274&lt;安値!W274,安値!X274&lt;安値!V274,安値!X274&lt;安値!Y274,安値!X274&lt;安値!Z274),19,""))</f>
      </c>
      <c r="T274" s="684">
        <f>IF(終値!A274="","",IF(AND(安値!Y274&lt;安値!X274,安値!Y274&lt;安値!W274,安値!Y274&lt;安値!Z274,安値!Y274&lt;安値!AA274),20,""))</f>
      </c>
      <c r="U274" s="684">
        <f>IF(終値!A274="","",IF(AND(安値!Z274&lt;安値!Y274,安値!Z274&lt;安値!X274,安値!Z274&lt;安値!AA274,安値!Z274&lt;安値!AB274),21,""))</f>
      </c>
      <c r="V274" s="684">
        <f>IF(終値!A274="","",IF(AND(安値!AA274&lt;安値!Z274,安値!AA274&lt;安値!Y274,安値!AA274&lt;安値!AB274,安値!AA274&lt;安値!AC274),22,""))</f>
      </c>
      <c r="W274" s="684">
        <f>IF(終値!A274="","",IF(AND(安値!AB274&lt;安値!AA274,安値!AB274&lt;安値!Z274,安値!AB274&lt;安値!AC274,安値!AB274&lt;安値!AD274),23,""))</f>
      </c>
      <c r="X274" s="684">
        <f>IF(終値!A274="","",IF(AND(安値!AC274&lt;安値!AB274,安値!AC274&lt;安値!AA274,安値!AC274&lt;安値!AD274,安値!AC274&lt;安値!AE274),24,""))</f>
      </c>
      <c r="Y274" s="684">
        <f>IF(終値!A274="","",IF(AND(安値!AD274&lt;安値!AC274,安値!AD274&lt;安値!AB274,安値!AD274&lt;安値!AE274,安値!AD274&lt;安値!AF274),25,""))</f>
      </c>
      <c r="Z274" s="684">
        <f>IF(終値!A274="","",IF(AND(安値!AE274&lt;安値!AD274,安値!AE274&lt;安値!AC274,安値!AE274&lt;安値!AF274,安値!AE274&lt;安値!AG274),26,""))</f>
      </c>
      <c r="AA274" s="684">
        <f>IF(終値!A274="","",IF(AND(安値!AF274&lt;安値!AE274,安値!AF274&lt;安値!AD274,安値!AF274&lt;安値!AG274,安値!AF274&lt;安値!AH274),27,""))</f>
      </c>
      <c r="AB274" s="684">
        <f>IF(終値!A274="","",IF(AND(安値!AG274&lt;安値!AF274,安値!AG274&lt;安値!AE274,安値!AG274&lt;安値!AH274,安値!AG274&lt;安値!AI274),28,""))</f>
      </c>
      <c r="AC274" s="684">
        <f>IF(終値!A274="","",IF(AND(高値!G274&gt;高値!F274,高値!G274&gt;高値!E274,高値!G274&gt;高値!H274,高値!G274&gt;高値!I274),2,""))</f>
      </c>
      <c r="AD274" s="684">
        <f>IF(終値!A274="","",IF(AND(高値!H274&gt;高値!G274,高値!H274&gt;高値!F274,高値!H274&gt;高値!I274,高値!H274&gt;高値!J274),3,""))</f>
      </c>
      <c r="AE274" s="684">
        <f>IF(終値!A274="","",IF(AND(高値!I274&gt;高値!H274,高値!I274&gt;高値!G274,高値!I274&gt;高値!J274,高値!I274&gt;高値!K274),4,""))</f>
      </c>
      <c r="AF274" s="684">
        <f>IF(終値!A274="","",IF(AND(高値!J274&gt;高値!I274,高値!J274&gt;高値!H274,高値!J274&gt;高値!K274,高値!J274&gt;高値!L274),5,""))</f>
      </c>
      <c r="AG274" s="684">
        <f>IF(終値!A274="","",IF(AND(高値!K274&gt;高値!J274,高値!K274&gt;高値!I274,高値!K274&gt;高値!L274,高値!K274&gt;高値!M274),6,""))</f>
      </c>
      <c r="AH274" s="684">
        <f>IF(終値!A274="","",IF(AND(高値!L274&gt;高値!K274,高値!L274&gt;高値!J274,高値!L274&gt;高値!M274,高値!L274&gt;高値!N274),7,""))</f>
      </c>
      <c r="AI274" s="684">
        <f>IF(終値!A274="","",IF(AND(高値!M274&gt;高値!L274,高値!M274&gt;高値!K274,高値!M274&gt;高値!N274,高値!M274&gt;高値!O274),8,""))</f>
      </c>
      <c r="AJ274" s="684">
        <f>IF(終値!A274="","",IF(AND(高値!N274&gt;高値!M274,高値!N274&gt;高値!L274,高値!N274&gt;高値!O274,高値!N274&gt;高値!P274),9,""))</f>
      </c>
      <c r="AK274" s="684">
        <f>IF(終値!A274="","",IF(AND(高値!O274&gt;高値!N274,高値!O274&gt;高値!M274,高値!O274&gt;高値!P274,高値!O274&gt;高値!Q274),10,""))</f>
      </c>
      <c r="AL274" s="684">
        <f>IF(終値!A274="","",IF(AND(高値!P274&gt;高値!O274,高値!P274&gt;高値!N274,高値!P274&gt;高値!Q274,高値!P274&gt;高値!R274),11,""))</f>
      </c>
      <c r="AM274" s="684">
        <f>IF(終値!A274="","",IF(AND(高値!Q274&gt;高値!P274,高値!Q274&gt;高値!O274,高値!Q274&gt;高値!R274,高値!Q274&gt;高値!S274),12,""))</f>
      </c>
      <c r="AN274" s="684">
        <f>IF(終値!A274="","",IF(AND(高値!R274&gt;高値!Q274,高値!R274&gt;高値!P274,高値!R274&gt;高値!S274,高値!R274&gt;高値!T274),13,""))</f>
      </c>
      <c r="AO274" s="684">
        <f>IF(終値!A274="","",IF(AND(高値!S274&gt;高値!R274,高値!S274&gt;高値!Q274,高値!S274&gt;高値!T274,高値!S274&gt;高値!U274),14,""))</f>
      </c>
      <c r="AP274" s="684">
        <f>IF(終値!A274="","",IF(AND(高値!T274&gt;高値!S274,高値!T274&gt;高値!R274,高値!T274&gt;高値!U274,高値!T274&gt;高値!V274),15,""))</f>
      </c>
      <c r="AQ274" s="684">
        <f>IF(終値!A274="","",IF(AND(高値!U274&gt;高値!T274,高値!U274&gt;高値!S274,高値!U274&gt;高値!V274,高値!U274&gt;高値!W274),16,""))</f>
      </c>
      <c r="AR274" s="684">
        <f>IF(終値!A274="","",IF(AND(高値!V274&gt;高値!U274,高値!V274&gt;高値!T274,高値!V274&gt;高値!W274,高値!V274&gt;高値!X274),17,""))</f>
      </c>
      <c r="AS274" s="684">
        <f>IF(終値!A274="","",IF(AND(高値!W274&gt;高値!V274,高値!W274&gt;高値!U274,高値!W274&gt;高値!X274,高値!W274&gt;高値!Y274),18,""))</f>
      </c>
      <c r="AT274" s="684">
        <f>IF(終値!A274="","",IF(AND(高値!X274&gt;高値!W274,高値!X274&gt;高値!V274,高値!X274&gt;高値!Y274,高値!X274&gt;高値!Z274),19,""))</f>
      </c>
      <c r="AU274" s="684">
        <f>IF(終値!A274="","",IF(AND(高値!Y274&gt;高値!X274,高値!Y274&gt;高値!W274,高値!Y274&gt;高値!Z274,高値!Y274&gt;高値!AA274),20,""))</f>
      </c>
      <c r="AV274" s="684">
        <f>IF(終値!A274="","",IF(AND(高値!Z274&gt;高値!Y274,高値!Z274&gt;高値!X274,高値!Z274&gt;高値!AA274,高値!Z274&gt;高値!AB274),21,""))</f>
      </c>
      <c r="AW274" s="684">
        <f>IF(終値!A274="","",IF(AND(高値!AA274&gt;高値!Z274,高値!AA274&gt;高値!Y274,高値!AA274&gt;高値!AB274,高値!AA274&gt;高値!AC274),22,""))</f>
      </c>
      <c r="AX274" s="684">
        <f>IF(終値!A274="","",IF(AND(高値!AB274&gt;高値!AA274,高値!AB274&gt;高値!Z274,高値!AB274&gt;高値!AC274,高値!AB274&gt;高値!AD274),23,""))</f>
      </c>
      <c r="AY274" s="684">
        <f>IF(終値!A274="","",IF(AND(高値!AC274&gt;高値!AB274,高値!AC274&gt;高値!AA274,高値!AC274&gt;高値!AD274,高値!AC274&gt;高値!AE274),24,""))</f>
      </c>
      <c r="AZ274" s="684">
        <f>IF(終値!A274="","",IF(AND(高値!AD274&gt;高値!AC274,高値!AD274&gt;高値!AB274,高値!AD274&gt;高値!AE274,高値!AD274&gt;高値!AF274),25,""))</f>
      </c>
      <c r="BA274" s="684">
        <f>IF(終値!A274="","",IF(AND(高値!AE274&gt;高値!AD274,高値!AE274&gt;高値!AC274,高値!AE274&gt;高値!AF274,高値!AE274&gt;高値!AG274),26,""))</f>
      </c>
      <c r="BB274" s="684">
        <f>IF(終値!A274="","",IF(AND(高値!AF274&gt;高値!AE274,高値!AF274&gt;高値!AD274,高値!AF274&gt;高値!AG274,高値!AF274&gt;高値!AH274),27,""))</f>
      </c>
      <c r="BC274" s="684">
        <f>IF(終値!A274="","",IF(AND(高値!AG274&gt;高値!AF274,高値!AG274&gt;高値!AE274,高値!AG274&gt;高値!AH274,高値!AG274&gt;高値!AI274),28,""))</f>
      </c>
      <c r="BD274" s="684">
        <f>COUNT($B274:$AB274)</f>
      </c>
      <c r="BE274" s="684">
        <f>IF($BD274&gt;=2,MIN($B274:$AB274),"")</f>
      </c>
      <c r="BF274" s="684">
        <f>IF($BD274&gt;=2,SMALL($B274:$AB274,2),"")</f>
      </c>
      <c r="BG274" s="684">
        <f>IF($BE274="","",INDEX(安値!$E274:$CZ274,1,$BE274+1))</f>
      </c>
      <c r="BH274" s="684">
        <f>IF($BF274="","",INDEX(安値!$E274:$CZ274,1,$BF274+1))</f>
      </c>
      <c r="BI274" s="684">
        <f>IF($BF274="","",MAX(INDEX(高値!$E274:$CZ274,1,$BE274+1):INDEX(高値!$E274:$CZ274,1,$BF274+1)))</f>
      </c>
      <c r="BJ274" s="684">
        <f>IF($BF274="","",AVERAGE(INDEX(終値!$E274:$CZ274,1,$BF274+1):INDEX(終値!$E274:$CZ274,1,$BF274+20))-2*STDEVP(INDEX(終値!$E274:$CZ274,1,$BF274+1):INDEX(終値!$E274:$CZ274,1,$BF274+20)))</f>
      </c>
      <c r="BK274" s="684">
        <f>IF($BE274="","",AVERAGE(INDEX(終値!$E274:$CZ274,1,$BE274+1):INDEX(終値!$E274:$CZ274,1,$BE274+20))-2*STDEVP(INDEX(終値!$E274:$CZ274,1,$BE274+1):INDEX(終値!$E274:$CZ274,1,$BE274+20)))</f>
      </c>
      <c r="BL274" s="684">
        <f>COUNT($AC274:$BC274)</f>
      </c>
      <c r="BM274" s="684">
        <f>IF($BL274&gt;=2,MIN($AC274:$BC274),"")</f>
      </c>
      <c r="BN274" s="684">
        <f>IF($BL274&gt;=2,SMALL($AC274:$BC274,2),"")</f>
      </c>
      <c r="BO274" s="684">
        <f>IF($BM274="","",INDEX(高値!$E274:$CZ274,1,$BM274+1))</f>
      </c>
      <c r="BP274" s="684">
        <f>IF($BN274="","",INDEX(高値!$E274:$CZ274,1,$BN274+1))</f>
      </c>
      <c r="BQ274" s="684">
        <f>IF($BN274="","",MIN(INDEX(安値!$E274:$CZ274,1,$BM274+1):INDEX(安値!$E274:$CZ274,1,$BN274+1)))</f>
      </c>
      <c r="BR274" s="684">
        <f>IF($BN274="","",AVERAGE(INDEX(終値!$E274:$CZ274,1,$BN274+1):INDEX(終値!$E274:$CZ274,1,$BN274+20))+2*STDEVP(INDEX(終値!$E274:$CZ274,1,$BN274+1):INDEX(終値!$E274:$CZ274,1,$BN274+20)))</f>
      </c>
      <c r="BS274" s="684">
        <f>IF($BM274="","",AVERAGE(INDEX(終値!$E274:$CZ274,1,$BM274+1):INDEX(終値!$E274:$CZ274,1,$BM274+20))+2*STDEVP(INDEX(終値!$E274:$CZ274,1,$BM274+1):INDEX(終値!$E274:$CZ274,1,$BM274+20)))</f>
      </c>
      <c r="BT274" s="681">
        <f>IFERROR(IF(AND($BD274&gt;=2,ABS($BG274-$BH274)/$BH274&lt;=BB設定!$B$12,$BI274&gt;=MAX($BH274,$BG274)*(1+BB設定!$B$13),終値!E274&gt;$BG274),IF(OR(終値!E274&gt;=$BI274,AND($BH274&lt;$BJ274,$BG274&gt;=$BK274)),"二番底W▲","二番底W形成"),IF(AND($BL274&gt;=2,ABS($BO274-$BP274)/$BP274&lt;=BB設定!$B$12,$BQ274&lt;=MIN($BP274,$BO274)*(1-BB設定!$B$13),終値!E274&lt;$BO274),IF(OR(終値!E274&lt;=$BQ274,AND($BP274&gt;$BR274,$BO274&lt;=$BS274)),"二番天井M▼","二番天井M形成"),"－")),"－")</f>
      </c>
    </row>
    <row r="275">
      <c r="B275" s="684">
        <f>IF(終値!A275="","",IF(AND(安値!G275&lt;安値!F275,安値!G275&lt;安値!E275,安値!G275&lt;安値!H275,安値!G275&lt;安値!I275),2,""))</f>
      </c>
      <c r="C275" s="684">
        <f>IF(終値!A275="","",IF(AND(安値!H275&lt;安値!G275,安値!H275&lt;安値!F275,安値!H275&lt;安値!I275,安値!H275&lt;安値!J275),3,""))</f>
      </c>
      <c r="D275" s="684">
        <f>IF(終値!A275="","",IF(AND(安値!I275&lt;安値!H275,安値!I275&lt;安値!G275,安値!I275&lt;安値!J275,安値!I275&lt;安値!K275),4,""))</f>
      </c>
      <c r="E275" s="684">
        <f>IF(終値!A275="","",IF(AND(安値!J275&lt;安値!I275,安値!J275&lt;安値!H275,安値!J275&lt;安値!K275,安値!J275&lt;安値!L275),5,""))</f>
      </c>
      <c r="F275" s="684">
        <f>IF(終値!A275="","",IF(AND(安値!K275&lt;安値!J275,安値!K275&lt;安値!I275,安値!K275&lt;安値!L275,安値!K275&lt;安値!M275),6,""))</f>
      </c>
      <c r="G275" s="684">
        <f>IF(終値!A275="","",IF(AND(安値!L275&lt;安値!K275,安値!L275&lt;安値!J275,安値!L275&lt;安値!M275,安値!L275&lt;安値!N275),7,""))</f>
      </c>
      <c r="H275" s="684">
        <f>IF(終値!A275="","",IF(AND(安値!M275&lt;安値!L275,安値!M275&lt;安値!K275,安値!M275&lt;安値!N275,安値!M275&lt;安値!O275),8,""))</f>
      </c>
      <c r="I275" s="684">
        <f>IF(終値!A275="","",IF(AND(安値!N275&lt;安値!M275,安値!N275&lt;安値!L275,安値!N275&lt;安値!O275,安値!N275&lt;安値!P275),9,""))</f>
      </c>
      <c r="J275" s="684">
        <f>IF(終値!A275="","",IF(AND(安値!O275&lt;安値!N275,安値!O275&lt;安値!M275,安値!O275&lt;安値!P275,安値!O275&lt;安値!Q275),10,""))</f>
      </c>
      <c r="K275" s="684">
        <f>IF(終値!A275="","",IF(AND(安値!P275&lt;安値!O275,安値!P275&lt;安値!N275,安値!P275&lt;安値!Q275,安値!P275&lt;安値!R275),11,""))</f>
      </c>
      <c r="L275" s="684">
        <f>IF(終値!A275="","",IF(AND(安値!Q275&lt;安値!P275,安値!Q275&lt;安値!O275,安値!Q275&lt;安値!R275,安値!Q275&lt;安値!S275),12,""))</f>
      </c>
      <c r="M275" s="684">
        <f>IF(終値!A275="","",IF(AND(安値!R275&lt;安値!Q275,安値!R275&lt;安値!P275,安値!R275&lt;安値!S275,安値!R275&lt;安値!T275),13,""))</f>
      </c>
      <c r="N275" s="684">
        <f>IF(終値!A275="","",IF(AND(安値!S275&lt;安値!R275,安値!S275&lt;安値!Q275,安値!S275&lt;安値!T275,安値!S275&lt;安値!U275),14,""))</f>
      </c>
      <c r="O275" s="684">
        <f>IF(終値!A275="","",IF(AND(安値!T275&lt;安値!S275,安値!T275&lt;安値!R275,安値!T275&lt;安値!U275,安値!T275&lt;安値!V275),15,""))</f>
      </c>
      <c r="P275" s="684">
        <f>IF(終値!A275="","",IF(AND(安値!U275&lt;安値!T275,安値!U275&lt;安値!S275,安値!U275&lt;安値!V275,安値!U275&lt;安値!W275),16,""))</f>
      </c>
      <c r="Q275" s="684">
        <f>IF(終値!A275="","",IF(AND(安値!V275&lt;安値!U275,安値!V275&lt;安値!T275,安値!V275&lt;安値!W275,安値!V275&lt;安値!X275),17,""))</f>
      </c>
      <c r="R275" s="684">
        <f>IF(終値!A275="","",IF(AND(安値!W275&lt;安値!V275,安値!W275&lt;安値!U275,安値!W275&lt;安値!X275,安値!W275&lt;安値!Y275),18,""))</f>
      </c>
      <c r="S275" s="684">
        <f>IF(終値!A275="","",IF(AND(安値!X275&lt;安値!W275,安値!X275&lt;安値!V275,安値!X275&lt;安値!Y275,安値!X275&lt;安値!Z275),19,""))</f>
      </c>
      <c r="T275" s="684">
        <f>IF(終値!A275="","",IF(AND(安値!Y275&lt;安値!X275,安値!Y275&lt;安値!W275,安値!Y275&lt;安値!Z275,安値!Y275&lt;安値!AA275),20,""))</f>
      </c>
      <c r="U275" s="684">
        <f>IF(終値!A275="","",IF(AND(安値!Z275&lt;安値!Y275,安値!Z275&lt;安値!X275,安値!Z275&lt;安値!AA275,安値!Z275&lt;安値!AB275),21,""))</f>
      </c>
      <c r="V275" s="684">
        <f>IF(終値!A275="","",IF(AND(安値!AA275&lt;安値!Z275,安値!AA275&lt;安値!Y275,安値!AA275&lt;安値!AB275,安値!AA275&lt;安値!AC275),22,""))</f>
      </c>
      <c r="W275" s="684">
        <f>IF(終値!A275="","",IF(AND(安値!AB275&lt;安値!AA275,安値!AB275&lt;安値!Z275,安値!AB275&lt;安値!AC275,安値!AB275&lt;安値!AD275),23,""))</f>
      </c>
      <c r="X275" s="684">
        <f>IF(終値!A275="","",IF(AND(安値!AC275&lt;安値!AB275,安値!AC275&lt;安値!AA275,安値!AC275&lt;安値!AD275,安値!AC275&lt;安値!AE275),24,""))</f>
      </c>
      <c r="Y275" s="684">
        <f>IF(終値!A275="","",IF(AND(安値!AD275&lt;安値!AC275,安値!AD275&lt;安値!AB275,安値!AD275&lt;安値!AE275,安値!AD275&lt;安値!AF275),25,""))</f>
      </c>
      <c r="Z275" s="684">
        <f>IF(終値!A275="","",IF(AND(安値!AE275&lt;安値!AD275,安値!AE275&lt;安値!AC275,安値!AE275&lt;安値!AF275,安値!AE275&lt;安値!AG275),26,""))</f>
      </c>
      <c r="AA275" s="684">
        <f>IF(終値!A275="","",IF(AND(安値!AF275&lt;安値!AE275,安値!AF275&lt;安値!AD275,安値!AF275&lt;安値!AG275,安値!AF275&lt;安値!AH275),27,""))</f>
      </c>
      <c r="AB275" s="684">
        <f>IF(終値!A275="","",IF(AND(安値!AG275&lt;安値!AF275,安値!AG275&lt;安値!AE275,安値!AG275&lt;安値!AH275,安値!AG275&lt;安値!AI275),28,""))</f>
      </c>
      <c r="AC275" s="684">
        <f>IF(終値!A275="","",IF(AND(高値!G275&gt;高値!F275,高値!G275&gt;高値!E275,高値!G275&gt;高値!H275,高値!G275&gt;高値!I275),2,""))</f>
      </c>
      <c r="AD275" s="684">
        <f>IF(終値!A275="","",IF(AND(高値!H275&gt;高値!G275,高値!H275&gt;高値!F275,高値!H275&gt;高値!I275,高値!H275&gt;高値!J275),3,""))</f>
      </c>
      <c r="AE275" s="684">
        <f>IF(終値!A275="","",IF(AND(高値!I275&gt;高値!H275,高値!I275&gt;高値!G275,高値!I275&gt;高値!J275,高値!I275&gt;高値!K275),4,""))</f>
      </c>
      <c r="AF275" s="684">
        <f>IF(終値!A275="","",IF(AND(高値!J275&gt;高値!I275,高値!J275&gt;高値!H275,高値!J275&gt;高値!K275,高値!J275&gt;高値!L275),5,""))</f>
      </c>
      <c r="AG275" s="684">
        <f>IF(終値!A275="","",IF(AND(高値!K275&gt;高値!J275,高値!K275&gt;高値!I275,高値!K275&gt;高値!L275,高値!K275&gt;高値!M275),6,""))</f>
      </c>
      <c r="AH275" s="684">
        <f>IF(終値!A275="","",IF(AND(高値!L275&gt;高値!K275,高値!L275&gt;高値!J275,高値!L275&gt;高値!M275,高値!L275&gt;高値!N275),7,""))</f>
      </c>
      <c r="AI275" s="684">
        <f>IF(終値!A275="","",IF(AND(高値!M275&gt;高値!L275,高値!M275&gt;高値!K275,高値!M275&gt;高値!N275,高値!M275&gt;高値!O275),8,""))</f>
      </c>
      <c r="AJ275" s="684">
        <f>IF(終値!A275="","",IF(AND(高値!N275&gt;高値!M275,高値!N275&gt;高値!L275,高値!N275&gt;高値!O275,高値!N275&gt;高値!P275),9,""))</f>
      </c>
      <c r="AK275" s="684">
        <f>IF(終値!A275="","",IF(AND(高値!O275&gt;高値!N275,高値!O275&gt;高値!M275,高値!O275&gt;高値!P275,高値!O275&gt;高値!Q275),10,""))</f>
      </c>
      <c r="AL275" s="684">
        <f>IF(終値!A275="","",IF(AND(高値!P275&gt;高値!O275,高値!P275&gt;高値!N275,高値!P275&gt;高値!Q275,高値!P275&gt;高値!R275),11,""))</f>
      </c>
      <c r="AM275" s="684">
        <f>IF(終値!A275="","",IF(AND(高値!Q275&gt;高値!P275,高値!Q275&gt;高値!O275,高値!Q275&gt;高値!R275,高値!Q275&gt;高値!S275),12,""))</f>
      </c>
      <c r="AN275" s="684">
        <f>IF(終値!A275="","",IF(AND(高値!R275&gt;高値!Q275,高値!R275&gt;高値!P275,高値!R275&gt;高値!S275,高値!R275&gt;高値!T275),13,""))</f>
      </c>
      <c r="AO275" s="684">
        <f>IF(終値!A275="","",IF(AND(高値!S275&gt;高値!R275,高値!S275&gt;高値!Q275,高値!S275&gt;高値!T275,高値!S275&gt;高値!U275),14,""))</f>
      </c>
      <c r="AP275" s="684">
        <f>IF(終値!A275="","",IF(AND(高値!T275&gt;高値!S275,高値!T275&gt;高値!R275,高値!T275&gt;高値!U275,高値!T275&gt;高値!V275),15,""))</f>
      </c>
      <c r="AQ275" s="684">
        <f>IF(終値!A275="","",IF(AND(高値!U275&gt;高値!T275,高値!U275&gt;高値!S275,高値!U275&gt;高値!V275,高値!U275&gt;高値!W275),16,""))</f>
      </c>
      <c r="AR275" s="684">
        <f>IF(終値!A275="","",IF(AND(高値!V275&gt;高値!U275,高値!V275&gt;高値!T275,高値!V275&gt;高値!W275,高値!V275&gt;高値!X275),17,""))</f>
      </c>
      <c r="AS275" s="684">
        <f>IF(終値!A275="","",IF(AND(高値!W275&gt;高値!V275,高値!W275&gt;高値!U275,高値!W275&gt;高値!X275,高値!W275&gt;高値!Y275),18,""))</f>
      </c>
      <c r="AT275" s="684">
        <f>IF(終値!A275="","",IF(AND(高値!X275&gt;高値!W275,高値!X275&gt;高値!V275,高値!X275&gt;高値!Y275,高値!X275&gt;高値!Z275),19,""))</f>
      </c>
      <c r="AU275" s="684">
        <f>IF(終値!A275="","",IF(AND(高値!Y275&gt;高値!X275,高値!Y275&gt;高値!W275,高値!Y275&gt;高値!Z275,高値!Y275&gt;高値!AA275),20,""))</f>
      </c>
      <c r="AV275" s="684">
        <f>IF(終値!A275="","",IF(AND(高値!Z275&gt;高値!Y275,高値!Z275&gt;高値!X275,高値!Z275&gt;高値!AA275,高値!Z275&gt;高値!AB275),21,""))</f>
      </c>
      <c r="AW275" s="684">
        <f>IF(終値!A275="","",IF(AND(高値!AA275&gt;高値!Z275,高値!AA275&gt;高値!Y275,高値!AA275&gt;高値!AB275,高値!AA275&gt;高値!AC275),22,""))</f>
      </c>
      <c r="AX275" s="684">
        <f>IF(終値!A275="","",IF(AND(高値!AB275&gt;高値!AA275,高値!AB275&gt;高値!Z275,高値!AB275&gt;高値!AC275,高値!AB275&gt;高値!AD275),23,""))</f>
      </c>
      <c r="AY275" s="684">
        <f>IF(終値!A275="","",IF(AND(高値!AC275&gt;高値!AB275,高値!AC275&gt;高値!AA275,高値!AC275&gt;高値!AD275,高値!AC275&gt;高値!AE275),24,""))</f>
      </c>
      <c r="AZ275" s="684">
        <f>IF(終値!A275="","",IF(AND(高値!AD275&gt;高値!AC275,高値!AD275&gt;高値!AB275,高値!AD275&gt;高値!AE275,高値!AD275&gt;高値!AF275),25,""))</f>
      </c>
      <c r="BA275" s="684">
        <f>IF(終値!A275="","",IF(AND(高値!AE275&gt;高値!AD275,高値!AE275&gt;高値!AC275,高値!AE275&gt;高値!AF275,高値!AE275&gt;高値!AG275),26,""))</f>
      </c>
      <c r="BB275" s="684">
        <f>IF(終値!A275="","",IF(AND(高値!AF275&gt;高値!AE275,高値!AF275&gt;高値!AD275,高値!AF275&gt;高値!AG275,高値!AF275&gt;高値!AH275),27,""))</f>
      </c>
      <c r="BC275" s="684">
        <f>IF(終値!A275="","",IF(AND(高値!AG275&gt;高値!AF275,高値!AG275&gt;高値!AE275,高値!AG275&gt;高値!AH275,高値!AG275&gt;高値!AI275),28,""))</f>
      </c>
      <c r="BD275" s="684">
        <f>COUNT($B275:$AB275)</f>
      </c>
      <c r="BE275" s="684">
        <f>IF($BD275&gt;=2,MIN($B275:$AB275),"")</f>
      </c>
      <c r="BF275" s="684">
        <f>IF($BD275&gt;=2,SMALL($B275:$AB275,2),"")</f>
      </c>
      <c r="BG275" s="684">
        <f>IF($BE275="","",INDEX(安値!$E275:$CZ275,1,$BE275+1))</f>
      </c>
      <c r="BH275" s="684">
        <f>IF($BF275="","",INDEX(安値!$E275:$CZ275,1,$BF275+1))</f>
      </c>
      <c r="BI275" s="684">
        <f>IF($BF275="","",MAX(INDEX(高値!$E275:$CZ275,1,$BE275+1):INDEX(高値!$E275:$CZ275,1,$BF275+1)))</f>
      </c>
      <c r="BJ275" s="684">
        <f>IF($BF275="","",AVERAGE(INDEX(終値!$E275:$CZ275,1,$BF275+1):INDEX(終値!$E275:$CZ275,1,$BF275+20))-2*STDEVP(INDEX(終値!$E275:$CZ275,1,$BF275+1):INDEX(終値!$E275:$CZ275,1,$BF275+20)))</f>
      </c>
      <c r="BK275" s="684">
        <f>IF($BE275="","",AVERAGE(INDEX(終値!$E275:$CZ275,1,$BE275+1):INDEX(終値!$E275:$CZ275,1,$BE275+20))-2*STDEVP(INDEX(終値!$E275:$CZ275,1,$BE275+1):INDEX(終値!$E275:$CZ275,1,$BE275+20)))</f>
      </c>
      <c r="BL275" s="684">
        <f>COUNT($AC275:$BC275)</f>
      </c>
      <c r="BM275" s="684">
        <f>IF($BL275&gt;=2,MIN($AC275:$BC275),"")</f>
      </c>
      <c r="BN275" s="684">
        <f>IF($BL275&gt;=2,SMALL($AC275:$BC275,2),"")</f>
      </c>
      <c r="BO275" s="684">
        <f>IF($BM275="","",INDEX(高値!$E275:$CZ275,1,$BM275+1))</f>
      </c>
      <c r="BP275" s="684">
        <f>IF($BN275="","",INDEX(高値!$E275:$CZ275,1,$BN275+1))</f>
      </c>
      <c r="BQ275" s="684">
        <f>IF($BN275="","",MIN(INDEX(安値!$E275:$CZ275,1,$BM275+1):INDEX(安値!$E275:$CZ275,1,$BN275+1)))</f>
      </c>
      <c r="BR275" s="684">
        <f>IF($BN275="","",AVERAGE(INDEX(終値!$E275:$CZ275,1,$BN275+1):INDEX(終値!$E275:$CZ275,1,$BN275+20))+2*STDEVP(INDEX(終値!$E275:$CZ275,1,$BN275+1):INDEX(終値!$E275:$CZ275,1,$BN275+20)))</f>
      </c>
      <c r="BS275" s="684">
        <f>IF($BM275="","",AVERAGE(INDEX(終値!$E275:$CZ275,1,$BM275+1):INDEX(終値!$E275:$CZ275,1,$BM275+20))+2*STDEVP(INDEX(終値!$E275:$CZ275,1,$BM275+1):INDEX(終値!$E275:$CZ275,1,$BM275+20)))</f>
      </c>
      <c r="BT275" s="681">
        <f>IFERROR(IF(AND($BD275&gt;=2,ABS($BG275-$BH275)/$BH275&lt;=BB設定!$B$12,$BI275&gt;=MAX($BH275,$BG275)*(1+BB設定!$B$13),終値!E275&gt;$BG275),IF(OR(終値!E275&gt;=$BI275,AND($BH275&lt;$BJ275,$BG275&gt;=$BK275)),"二番底W▲","二番底W形成"),IF(AND($BL275&gt;=2,ABS($BO275-$BP275)/$BP275&lt;=BB設定!$B$12,$BQ275&lt;=MIN($BP275,$BO275)*(1-BB設定!$B$13),終値!E275&lt;$BO275),IF(OR(終値!E275&lt;=$BQ275,AND($BP275&gt;$BR275,$BO275&lt;=$BS275)),"二番天井M▼","二番天井M形成"),"－")),"－")</f>
      </c>
    </row>
    <row r="276">
      <c r="B276" s="684">
        <f>IF(終値!A276="","",IF(AND(安値!G276&lt;安値!F276,安値!G276&lt;安値!E276,安値!G276&lt;安値!H276,安値!G276&lt;安値!I276),2,""))</f>
      </c>
      <c r="C276" s="684">
        <f>IF(終値!A276="","",IF(AND(安値!H276&lt;安値!G276,安値!H276&lt;安値!F276,安値!H276&lt;安値!I276,安値!H276&lt;安値!J276),3,""))</f>
      </c>
      <c r="D276" s="684">
        <f>IF(終値!A276="","",IF(AND(安値!I276&lt;安値!H276,安値!I276&lt;安値!G276,安値!I276&lt;安値!J276,安値!I276&lt;安値!K276),4,""))</f>
      </c>
      <c r="E276" s="684">
        <f>IF(終値!A276="","",IF(AND(安値!J276&lt;安値!I276,安値!J276&lt;安値!H276,安値!J276&lt;安値!K276,安値!J276&lt;安値!L276),5,""))</f>
      </c>
      <c r="F276" s="684">
        <f>IF(終値!A276="","",IF(AND(安値!K276&lt;安値!J276,安値!K276&lt;安値!I276,安値!K276&lt;安値!L276,安値!K276&lt;安値!M276),6,""))</f>
      </c>
      <c r="G276" s="684">
        <f>IF(終値!A276="","",IF(AND(安値!L276&lt;安値!K276,安値!L276&lt;安値!J276,安値!L276&lt;安値!M276,安値!L276&lt;安値!N276),7,""))</f>
      </c>
      <c r="H276" s="684">
        <f>IF(終値!A276="","",IF(AND(安値!M276&lt;安値!L276,安値!M276&lt;安値!K276,安値!M276&lt;安値!N276,安値!M276&lt;安値!O276),8,""))</f>
      </c>
      <c r="I276" s="684">
        <f>IF(終値!A276="","",IF(AND(安値!N276&lt;安値!M276,安値!N276&lt;安値!L276,安値!N276&lt;安値!O276,安値!N276&lt;安値!P276),9,""))</f>
      </c>
      <c r="J276" s="684">
        <f>IF(終値!A276="","",IF(AND(安値!O276&lt;安値!N276,安値!O276&lt;安値!M276,安値!O276&lt;安値!P276,安値!O276&lt;安値!Q276),10,""))</f>
      </c>
      <c r="K276" s="684">
        <f>IF(終値!A276="","",IF(AND(安値!P276&lt;安値!O276,安値!P276&lt;安値!N276,安値!P276&lt;安値!Q276,安値!P276&lt;安値!R276),11,""))</f>
      </c>
      <c r="L276" s="684">
        <f>IF(終値!A276="","",IF(AND(安値!Q276&lt;安値!P276,安値!Q276&lt;安値!O276,安値!Q276&lt;安値!R276,安値!Q276&lt;安値!S276),12,""))</f>
      </c>
      <c r="M276" s="684">
        <f>IF(終値!A276="","",IF(AND(安値!R276&lt;安値!Q276,安値!R276&lt;安値!P276,安値!R276&lt;安値!S276,安値!R276&lt;安値!T276),13,""))</f>
      </c>
      <c r="N276" s="684">
        <f>IF(終値!A276="","",IF(AND(安値!S276&lt;安値!R276,安値!S276&lt;安値!Q276,安値!S276&lt;安値!T276,安値!S276&lt;安値!U276),14,""))</f>
      </c>
      <c r="O276" s="684">
        <f>IF(終値!A276="","",IF(AND(安値!T276&lt;安値!S276,安値!T276&lt;安値!R276,安値!T276&lt;安値!U276,安値!T276&lt;安値!V276),15,""))</f>
      </c>
      <c r="P276" s="684">
        <f>IF(終値!A276="","",IF(AND(安値!U276&lt;安値!T276,安値!U276&lt;安値!S276,安値!U276&lt;安値!V276,安値!U276&lt;安値!W276),16,""))</f>
      </c>
      <c r="Q276" s="684">
        <f>IF(終値!A276="","",IF(AND(安値!V276&lt;安値!U276,安値!V276&lt;安値!T276,安値!V276&lt;安値!W276,安値!V276&lt;安値!X276),17,""))</f>
      </c>
      <c r="R276" s="684">
        <f>IF(終値!A276="","",IF(AND(安値!W276&lt;安値!V276,安値!W276&lt;安値!U276,安値!W276&lt;安値!X276,安値!W276&lt;安値!Y276),18,""))</f>
      </c>
      <c r="S276" s="684">
        <f>IF(終値!A276="","",IF(AND(安値!X276&lt;安値!W276,安値!X276&lt;安値!V276,安値!X276&lt;安値!Y276,安値!X276&lt;安値!Z276),19,""))</f>
      </c>
      <c r="T276" s="684">
        <f>IF(終値!A276="","",IF(AND(安値!Y276&lt;安値!X276,安値!Y276&lt;安値!W276,安値!Y276&lt;安値!Z276,安値!Y276&lt;安値!AA276),20,""))</f>
      </c>
      <c r="U276" s="684">
        <f>IF(終値!A276="","",IF(AND(安値!Z276&lt;安値!Y276,安値!Z276&lt;安値!X276,安値!Z276&lt;安値!AA276,安値!Z276&lt;安値!AB276),21,""))</f>
      </c>
      <c r="V276" s="684">
        <f>IF(終値!A276="","",IF(AND(安値!AA276&lt;安値!Z276,安値!AA276&lt;安値!Y276,安値!AA276&lt;安値!AB276,安値!AA276&lt;安値!AC276),22,""))</f>
      </c>
      <c r="W276" s="684">
        <f>IF(終値!A276="","",IF(AND(安値!AB276&lt;安値!AA276,安値!AB276&lt;安値!Z276,安値!AB276&lt;安値!AC276,安値!AB276&lt;安値!AD276),23,""))</f>
      </c>
      <c r="X276" s="684">
        <f>IF(終値!A276="","",IF(AND(安値!AC276&lt;安値!AB276,安値!AC276&lt;安値!AA276,安値!AC276&lt;安値!AD276,安値!AC276&lt;安値!AE276),24,""))</f>
      </c>
      <c r="Y276" s="684">
        <f>IF(終値!A276="","",IF(AND(安値!AD276&lt;安値!AC276,安値!AD276&lt;安値!AB276,安値!AD276&lt;安値!AE276,安値!AD276&lt;安値!AF276),25,""))</f>
      </c>
      <c r="Z276" s="684">
        <f>IF(終値!A276="","",IF(AND(安値!AE276&lt;安値!AD276,安値!AE276&lt;安値!AC276,安値!AE276&lt;安値!AF276,安値!AE276&lt;安値!AG276),26,""))</f>
      </c>
      <c r="AA276" s="684">
        <f>IF(終値!A276="","",IF(AND(安値!AF276&lt;安値!AE276,安値!AF276&lt;安値!AD276,安値!AF276&lt;安値!AG276,安値!AF276&lt;安値!AH276),27,""))</f>
      </c>
      <c r="AB276" s="684">
        <f>IF(終値!A276="","",IF(AND(安値!AG276&lt;安値!AF276,安値!AG276&lt;安値!AE276,安値!AG276&lt;安値!AH276,安値!AG276&lt;安値!AI276),28,""))</f>
      </c>
      <c r="AC276" s="684">
        <f>IF(終値!A276="","",IF(AND(高値!G276&gt;高値!F276,高値!G276&gt;高値!E276,高値!G276&gt;高値!H276,高値!G276&gt;高値!I276),2,""))</f>
      </c>
      <c r="AD276" s="684">
        <f>IF(終値!A276="","",IF(AND(高値!H276&gt;高値!G276,高値!H276&gt;高値!F276,高値!H276&gt;高値!I276,高値!H276&gt;高値!J276),3,""))</f>
      </c>
      <c r="AE276" s="684">
        <f>IF(終値!A276="","",IF(AND(高値!I276&gt;高値!H276,高値!I276&gt;高値!G276,高値!I276&gt;高値!J276,高値!I276&gt;高値!K276),4,""))</f>
      </c>
      <c r="AF276" s="684">
        <f>IF(終値!A276="","",IF(AND(高値!J276&gt;高値!I276,高値!J276&gt;高値!H276,高値!J276&gt;高値!K276,高値!J276&gt;高値!L276),5,""))</f>
      </c>
      <c r="AG276" s="684">
        <f>IF(終値!A276="","",IF(AND(高値!K276&gt;高値!J276,高値!K276&gt;高値!I276,高値!K276&gt;高値!L276,高値!K276&gt;高値!M276),6,""))</f>
      </c>
      <c r="AH276" s="684">
        <f>IF(終値!A276="","",IF(AND(高値!L276&gt;高値!K276,高値!L276&gt;高値!J276,高値!L276&gt;高値!M276,高値!L276&gt;高値!N276),7,""))</f>
      </c>
      <c r="AI276" s="684">
        <f>IF(終値!A276="","",IF(AND(高値!M276&gt;高値!L276,高値!M276&gt;高値!K276,高値!M276&gt;高値!N276,高値!M276&gt;高値!O276),8,""))</f>
      </c>
      <c r="AJ276" s="684">
        <f>IF(終値!A276="","",IF(AND(高値!N276&gt;高値!M276,高値!N276&gt;高値!L276,高値!N276&gt;高値!O276,高値!N276&gt;高値!P276),9,""))</f>
      </c>
      <c r="AK276" s="684">
        <f>IF(終値!A276="","",IF(AND(高値!O276&gt;高値!N276,高値!O276&gt;高値!M276,高値!O276&gt;高値!P276,高値!O276&gt;高値!Q276),10,""))</f>
      </c>
      <c r="AL276" s="684">
        <f>IF(終値!A276="","",IF(AND(高値!P276&gt;高値!O276,高値!P276&gt;高値!N276,高値!P276&gt;高値!Q276,高値!P276&gt;高値!R276),11,""))</f>
      </c>
      <c r="AM276" s="684">
        <f>IF(終値!A276="","",IF(AND(高値!Q276&gt;高値!P276,高値!Q276&gt;高値!O276,高値!Q276&gt;高値!R276,高値!Q276&gt;高値!S276),12,""))</f>
      </c>
      <c r="AN276" s="684">
        <f>IF(終値!A276="","",IF(AND(高値!R276&gt;高値!Q276,高値!R276&gt;高値!P276,高値!R276&gt;高値!S276,高値!R276&gt;高値!T276),13,""))</f>
      </c>
      <c r="AO276" s="684">
        <f>IF(終値!A276="","",IF(AND(高値!S276&gt;高値!R276,高値!S276&gt;高値!Q276,高値!S276&gt;高値!T276,高値!S276&gt;高値!U276),14,""))</f>
      </c>
      <c r="AP276" s="684">
        <f>IF(終値!A276="","",IF(AND(高値!T276&gt;高値!S276,高値!T276&gt;高値!R276,高値!T276&gt;高値!U276,高値!T276&gt;高値!V276),15,""))</f>
      </c>
      <c r="AQ276" s="684">
        <f>IF(終値!A276="","",IF(AND(高値!U276&gt;高値!T276,高値!U276&gt;高値!S276,高値!U276&gt;高値!V276,高値!U276&gt;高値!W276),16,""))</f>
      </c>
      <c r="AR276" s="684">
        <f>IF(終値!A276="","",IF(AND(高値!V276&gt;高値!U276,高値!V276&gt;高値!T276,高値!V276&gt;高値!W276,高値!V276&gt;高値!X276),17,""))</f>
      </c>
      <c r="AS276" s="684">
        <f>IF(終値!A276="","",IF(AND(高値!W276&gt;高値!V276,高値!W276&gt;高値!U276,高値!W276&gt;高値!X276,高値!W276&gt;高値!Y276),18,""))</f>
      </c>
      <c r="AT276" s="684">
        <f>IF(終値!A276="","",IF(AND(高値!X276&gt;高値!W276,高値!X276&gt;高値!V276,高値!X276&gt;高値!Y276,高値!X276&gt;高値!Z276),19,""))</f>
      </c>
      <c r="AU276" s="684">
        <f>IF(終値!A276="","",IF(AND(高値!Y276&gt;高値!X276,高値!Y276&gt;高値!W276,高値!Y276&gt;高値!Z276,高値!Y276&gt;高値!AA276),20,""))</f>
      </c>
      <c r="AV276" s="684">
        <f>IF(終値!A276="","",IF(AND(高値!Z276&gt;高値!Y276,高値!Z276&gt;高値!X276,高値!Z276&gt;高値!AA276,高値!Z276&gt;高値!AB276),21,""))</f>
      </c>
      <c r="AW276" s="684">
        <f>IF(終値!A276="","",IF(AND(高値!AA276&gt;高値!Z276,高値!AA276&gt;高値!Y276,高値!AA276&gt;高値!AB276,高値!AA276&gt;高値!AC276),22,""))</f>
      </c>
      <c r="AX276" s="684">
        <f>IF(終値!A276="","",IF(AND(高値!AB276&gt;高値!AA276,高値!AB276&gt;高値!Z276,高値!AB276&gt;高値!AC276,高値!AB276&gt;高値!AD276),23,""))</f>
      </c>
      <c r="AY276" s="684">
        <f>IF(終値!A276="","",IF(AND(高値!AC276&gt;高値!AB276,高値!AC276&gt;高値!AA276,高値!AC276&gt;高値!AD276,高値!AC276&gt;高値!AE276),24,""))</f>
      </c>
      <c r="AZ276" s="684">
        <f>IF(終値!A276="","",IF(AND(高値!AD276&gt;高値!AC276,高値!AD276&gt;高値!AB276,高値!AD276&gt;高値!AE276,高値!AD276&gt;高値!AF276),25,""))</f>
      </c>
      <c r="BA276" s="684">
        <f>IF(終値!A276="","",IF(AND(高値!AE276&gt;高値!AD276,高値!AE276&gt;高値!AC276,高値!AE276&gt;高値!AF276,高値!AE276&gt;高値!AG276),26,""))</f>
      </c>
      <c r="BB276" s="684">
        <f>IF(終値!A276="","",IF(AND(高値!AF276&gt;高値!AE276,高値!AF276&gt;高値!AD276,高値!AF276&gt;高値!AG276,高値!AF276&gt;高値!AH276),27,""))</f>
      </c>
      <c r="BC276" s="684">
        <f>IF(終値!A276="","",IF(AND(高値!AG276&gt;高値!AF276,高値!AG276&gt;高値!AE276,高値!AG276&gt;高値!AH276,高値!AG276&gt;高値!AI276),28,""))</f>
      </c>
      <c r="BD276" s="684">
        <f>COUNT($B276:$AB276)</f>
      </c>
      <c r="BE276" s="684">
        <f>IF($BD276&gt;=2,MIN($B276:$AB276),"")</f>
      </c>
      <c r="BF276" s="684">
        <f>IF($BD276&gt;=2,SMALL($B276:$AB276,2),"")</f>
      </c>
      <c r="BG276" s="684">
        <f>IF($BE276="","",INDEX(安値!$E276:$CZ276,1,$BE276+1))</f>
      </c>
      <c r="BH276" s="684">
        <f>IF($BF276="","",INDEX(安値!$E276:$CZ276,1,$BF276+1))</f>
      </c>
      <c r="BI276" s="684">
        <f>IF($BF276="","",MAX(INDEX(高値!$E276:$CZ276,1,$BE276+1):INDEX(高値!$E276:$CZ276,1,$BF276+1)))</f>
      </c>
      <c r="BJ276" s="684">
        <f>IF($BF276="","",AVERAGE(INDEX(終値!$E276:$CZ276,1,$BF276+1):INDEX(終値!$E276:$CZ276,1,$BF276+20))-2*STDEVP(INDEX(終値!$E276:$CZ276,1,$BF276+1):INDEX(終値!$E276:$CZ276,1,$BF276+20)))</f>
      </c>
      <c r="BK276" s="684">
        <f>IF($BE276="","",AVERAGE(INDEX(終値!$E276:$CZ276,1,$BE276+1):INDEX(終値!$E276:$CZ276,1,$BE276+20))-2*STDEVP(INDEX(終値!$E276:$CZ276,1,$BE276+1):INDEX(終値!$E276:$CZ276,1,$BE276+20)))</f>
      </c>
      <c r="BL276" s="684">
        <f>COUNT($AC276:$BC276)</f>
      </c>
      <c r="BM276" s="684">
        <f>IF($BL276&gt;=2,MIN($AC276:$BC276),"")</f>
      </c>
      <c r="BN276" s="684">
        <f>IF($BL276&gt;=2,SMALL($AC276:$BC276,2),"")</f>
      </c>
      <c r="BO276" s="684">
        <f>IF($BM276="","",INDEX(高値!$E276:$CZ276,1,$BM276+1))</f>
      </c>
      <c r="BP276" s="684">
        <f>IF($BN276="","",INDEX(高値!$E276:$CZ276,1,$BN276+1))</f>
      </c>
      <c r="BQ276" s="684">
        <f>IF($BN276="","",MIN(INDEX(安値!$E276:$CZ276,1,$BM276+1):INDEX(安値!$E276:$CZ276,1,$BN276+1)))</f>
      </c>
      <c r="BR276" s="684">
        <f>IF($BN276="","",AVERAGE(INDEX(終値!$E276:$CZ276,1,$BN276+1):INDEX(終値!$E276:$CZ276,1,$BN276+20))+2*STDEVP(INDEX(終値!$E276:$CZ276,1,$BN276+1):INDEX(終値!$E276:$CZ276,1,$BN276+20)))</f>
      </c>
      <c r="BS276" s="684">
        <f>IF($BM276="","",AVERAGE(INDEX(終値!$E276:$CZ276,1,$BM276+1):INDEX(終値!$E276:$CZ276,1,$BM276+20))+2*STDEVP(INDEX(終値!$E276:$CZ276,1,$BM276+1):INDEX(終値!$E276:$CZ276,1,$BM276+20)))</f>
      </c>
      <c r="BT276" s="681">
        <f>IFERROR(IF(AND($BD276&gt;=2,ABS($BG276-$BH276)/$BH276&lt;=BB設定!$B$12,$BI276&gt;=MAX($BH276,$BG276)*(1+BB設定!$B$13),終値!E276&gt;$BG276),IF(OR(終値!E276&gt;=$BI276,AND($BH276&lt;$BJ276,$BG276&gt;=$BK276)),"二番底W▲","二番底W形成"),IF(AND($BL276&gt;=2,ABS($BO276-$BP276)/$BP276&lt;=BB設定!$B$12,$BQ276&lt;=MIN($BP276,$BO276)*(1-BB設定!$B$13),終値!E276&lt;$BO276),IF(OR(終値!E276&lt;=$BQ276,AND($BP276&gt;$BR276,$BO276&lt;=$BS276)),"二番天井M▼","二番天井M形成"),"－")),"－")</f>
      </c>
    </row>
    <row r="277">
      <c r="B277" s="684">
        <f>IF(終値!A277="","",IF(AND(安値!G277&lt;安値!F277,安値!G277&lt;安値!E277,安値!G277&lt;安値!H277,安値!G277&lt;安値!I277),2,""))</f>
      </c>
      <c r="C277" s="684">
        <f>IF(終値!A277="","",IF(AND(安値!H277&lt;安値!G277,安値!H277&lt;安値!F277,安値!H277&lt;安値!I277,安値!H277&lt;安値!J277),3,""))</f>
      </c>
      <c r="D277" s="684">
        <f>IF(終値!A277="","",IF(AND(安値!I277&lt;安値!H277,安値!I277&lt;安値!G277,安値!I277&lt;安値!J277,安値!I277&lt;安値!K277),4,""))</f>
      </c>
      <c r="E277" s="684">
        <f>IF(終値!A277="","",IF(AND(安値!J277&lt;安値!I277,安値!J277&lt;安値!H277,安値!J277&lt;安値!K277,安値!J277&lt;安値!L277),5,""))</f>
      </c>
      <c r="F277" s="684">
        <f>IF(終値!A277="","",IF(AND(安値!K277&lt;安値!J277,安値!K277&lt;安値!I277,安値!K277&lt;安値!L277,安値!K277&lt;安値!M277),6,""))</f>
      </c>
      <c r="G277" s="684">
        <f>IF(終値!A277="","",IF(AND(安値!L277&lt;安値!K277,安値!L277&lt;安値!J277,安値!L277&lt;安値!M277,安値!L277&lt;安値!N277),7,""))</f>
      </c>
      <c r="H277" s="684">
        <f>IF(終値!A277="","",IF(AND(安値!M277&lt;安値!L277,安値!M277&lt;安値!K277,安値!M277&lt;安値!N277,安値!M277&lt;安値!O277),8,""))</f>
      </c>
      <c r="I277" s="684">
        <f>IF(終値!A277="","",IF(AND(安値!N277&lt;安値!M277,安値!N277&lt;安値!L277,安値!N277&lt;安値!O277,安値!N277&lt;安値!P277),9,""))</f>
      </c>
      <c r="J277" s="684">
        <f>IF(終値!A277="","",IF(AND(安値!O277&lt;安値!N277,安値!O277&lt;安値!M277,安値!O277&lt;安値!P277,安値!O277&lt;安値!Q277),10,""))</f>
      </c>
      <c r="K277" s="684">
        <f>IF(終値!A277="","",IF(AND(安値!P277&lt;安値!O277,安値!P277&lt;安値!N277,安値!P277&lt;安値!Q277,安値!P277&lt;安値!R277),11,""))</f>
      </c>
      <c r="L277" s="684">
        <f>IF(終値!A277="","",IF(AND(安値!Q277&lt;安値!P277,安値!Q277&lt;安値!O277,安値!Q277&lt;安値!R277,安値!Q277&lt;安値!S277),12,""))</f>
      </c>
      <c r="M277" s="684">
        <f>IF(終値!A277="","",IF(AND(安値!R277&lt;安値!Q277,安値!R277&lt;安値!P277,安値!R277&lt;安値!S277,安値!R277&lt;安値!T277),13,""))</f>
      </c>
      <c r="N277" s="684">
        <f>IF(終値!A277="","",IF(AND(安値!S277&lt;安値!R277,安値!S277&lt;安値!Q277,安値!S277&lt;安値!T277,安値!S277&lt;安値!U277),14,""))</f>
      </c>
      <c r="O277" s="684">
        <f>IF(終値!A277="","",IF(AND(安値!T277&lt;安値!S277,安値!T277&lt;安値!R277,安値!T277&lt;安値!U277,安値!T277&lt;安値!V277),15,""))</f>
      </c>
      <c r="P277" s="684">
        <f>IF(終値!A277="","",IF(AND(安値!U277&lt;安値!T277,安値!U277&lt;安値!S277,安値!U277&lt;安値!V277,安値!U277&lt;安値!W277),16,""))</f>
      </c>
      <c r="Q277" s="684">
        <f>IF(終値!A277="","",IF(AND(安値!V277&lt;安値!U277,安値!V277&lt;安値!T277,安値!V277&lt;安値!W277,安値!V277&lt;安値!X277),17,""))</f>
      </c>
      <c r="R277" s="684">
        <f>IF(終値!A277="","",IF(AND(安値!W277&lt;安値!V277,安値!W277&lt;安値!U277,安値!W277&lt;安値!X277,安値!W277&lt;安値!Y277),18,""))</f>
      </c>
      <c r="S277" s="684">
        <f>IF(終値!A277="","",IF(AND(安値!X277&lt;安値!W277,安値!X277&lt;安値!V277,安値!X277&lt;安値!Y277,安値!X277&lt;安値!Z277),19,""))</f>
      </c>
      <c r="T277" s="684">
        <f>IF(終値!A277="","",IF(AND(安値!Y277&lt;安値!X277,安値!Y277&lt;安値!W277,安値!Y277&lt;安値!Z277,安値!Y277&lt;安値!AA277),20,""))</f>
      </c>
      <c r="U277" s="684">
        <f>IF(終値!A277="","",IF(AND(安値!Z277&lt;安値!Y277,安値!Z277&lt;安値!X277,安値!Z277&lt;安値!AA277,安値!Z277&lt;安値!AB277),21,""))</f>
      </c>
      <c r="V277" s="684">
        <f>IF(終値!A277="","",IF(AND(安値!AA277&lt;安値!Z277,安値!AA277&lt;安値!Y277,安値!AA277&lt;安値!AB277,安値!AA277&lt;安値!AC277),22,""))</f>
      </c>
      <c r="W277" s="684">
        <f>IF(終値!A277="","",IF(AND(安値!AB277&lt;安値!AA277,安値!AB277&lt;安値!Z277,安値!AB277&lt;安値!AC277,安値!AB277&lt;安値!AD277),23,""))</f>
      </c>
      <c r="X277" s="684">
        <f>IF(終値!A277="","",IF(AND(安値!AC277&lt;安値!AB277,安値!AC277&lt;安値!AA277,安値!AC277&lt;安値!AD277,安値!AC277&lt;安値!AE277),24,""))</f>
      </c>
      <c r="Y277" s="684">
        <f>IF(終値!A277="","",IF(AND(安値!AD277&lt;安値!AC277,安値!AD277&lt;安値!AB277,安値!AD277&lt;安値!AE277,安値!AD277&lt;安値!AF277),25,""))</f>
      </c>
      <c r="Z277" s="684">
        <f>IF(終値!A277="","",IF(AND(安値!AE277&lt;安値!AD277,安値!AE277&lt;安値!AC277,安値!AE277&lt;安値!AF277,安値!AE277&lt;安値!AG277),26,""))</f>
      </c>
      <c r="AA277" s="684">
        <f>IF(終値!A277="","",IF(AND(安値!AF277&lt;安値!AE277,安値!AF277&lt;安値!AD277,安値!AF277&lt;安値!AG277,安値!AF277&lt;安値!AH277),27,""))</f>
      </c>
      <c r="AB277" s="684">
        <f>IF(終値!A277="","",IF(AND(安値!AG277&lt;安値!AF277,安値!AG277&lt;安値!AE277,安値!AG277&lt;安値!AH277,安値!AG277&lt;安値!AI277),28,""))</f>
      </c>
      <c r="AC277" s="684">
        <f>IF(終値!A277="","",IF(AND(高値!G277&gt;高値!F277,高値!G277&gt;高値!E277,高値!G277&gt;高値!H277,高値!G277&gt;高値!I277),2,""))</f>
      </c>
      <c r="AD277" s="684">
        <f>IF(終値!A277="","",IF(AND(高値!H277&gt;高値!G277,高値!H277&gt;高値!F277,高値!H277&gt;高値!I277,高値!H277&gt;高値!J277),3,""))</f>
      </c>
      <c r="AE277" s="684">
        <f>IF(終値!A277="","",IF(AND(高値!I277&gt;高値!H277,高値!I277&gt;高値!G277,高値!I277&gt;高値!J277,高値!I277&gt;高値!K277),4,""))</f>
      </c>
      <c r="AF277" s="684">
        <f>IF(終値!A277="","",IF(AND(高値!J277&gt;高値!I277,高値!J277&gt;高値!H277,高値!J277&gt;高値!K277,高値!J277&gt;高値!L277),5,""))</f>
      </c>
      <c r="AG277" s="684">
        <f>IF(終値!A277="","",IF(AND(高値!K277&gt;高値!J277,高値!K277&gt;高値!I277,高値!K277&gt;高値!L277,高値!K277&gt;高値!M277),6,""))</f>
      </c>
      <c r="AH277" s="684">
        <f>IF(終値!A277="","",IF(AND(高値!L277&gt;高値!K277,高値!L277&gt;高値!J277,高値!L277&gt;高値!M277,高値!L277&gt;高値!N277),7,""))</f>
      </c>
      <c r="AI277" s="684">
        <f>IF(終値!A277="","",IF(AND(高値!M277&gt;高値!L277,高値!M277&gt;高値!K277,高値!M277&gt;高値!N277,高値!M277&gt;高値!O277),8,""))</f>
      </c>
      <c r="AJ277" s="684">
        <f>IF(終値!A277="","",IF(AND(高値!N277&gt;高値!M277,高値!N277&gt;高値!L277,高値!N277&gt;高値!O277,高値!N277&gt;高値!P277),9,""))</f>
      </c>
      <c r="AK277" s="684">
        <f>IF(終値!A277="","",IF(AND(高値!O277&gt;高値!N277,高値!O277&gt;高値!M277,高値!O277&gt;高値!P277,高値!O277&gt;高値!Q277),10,""))</f>
      </c>
      <c r="AL277" s="684">
        <f>IF(終値!A277="","",IF(AND(高値!P277&gt;高値!O277,高値!P277&gt;高値!N277,高値!P277&gt;高値!Q277,高値!P277&gt;高値!R277),11,""))</f>
      </c>
      <c r="AM277" s="684">
        <f>IF(終値!A277="","",IF(AND(高値!Q277&gt;高値!P277,高値!Q277&gt;高値!O277,高値!Q277&gt;高値!R277,高値!Q277&gt;高値!S277),12,""))</f>
      </c>
      <c r="AN277" s="684">
        <f>IF(終値!A277="","",IF(AND(高値!R277&gt;高値!Q277,高値!R277&gt;高値!P277,高値!R277&gt;高値!S277,高値!R277&gt;高値!T277),13,""))</f>
      </c>
      <c r="AO277" s="684">
        <f>IF(終値!A277="","",IF(AND(高値!S277&gt;高値!R277,高値!S277&gt;高値!Q277,高値!S277&gt;高値!T277,高値!S277&gt;高値!U277),14,""))</f>
      </c>
      <c r="AP277" s="684">
        <f>IF(終値!A277="","",IF(AND(高値!T277&gt;高値!S277,高値!T277&gt;高値!R277,高値!T277&gt;高値!U277,高値!T277&gt;高値!V277),15,""))</f>
      </c>
      <c r="AQ277" s="684">
        <f>IF(終値!A277="","",IF(AND(高値!U277&gt;高値!T277,高値!U277&gt;高値!S277,高値!U277&gt;高値!V277,高値!U277&gt;高値!W277),16,""))</f>
      </c>
      <c r="AR277" s="684">
        <f>IF(終値!A277="","",IF(AND(高値!V277&gt;高値!U277,高値!V277&gt;高値!T277,高値!V277&gt;高値!W277,高値!V277&gt;高値!X277),17,""))</f>
      </c>
      <c r="AS277" s="684">
        <f>IF(終値!A277="","",IF(AND(高値!W277&gt;高値!V277,高値!W277&gt;高値!U277,高値!W277&gt;高値!X277,高値!W277&gt;高値!Y277),18,""))</f>
      </c>
      <c r="AT277" s="684">
        <f>IF(終値!A277="","",IF(AND(高値!X277&gt;高値!W277,高値!X277&gt;高値!V277,高値!X277&gt;高値!Y277,高値!X277&gt;高値!Z277),19,""))</f>
      </c>
      <c r="AU277" s="684">
        <f>IF(終値!A277="","",IF(AND(高値!Y277&gt;高値!X277,高値!Y277&gt;高値!W277,高値!Y277&gt;高値!Z277,高値!Y277&gt;高値!AA277),20,""))</f>
      </c>
      <c r="AV277" s="684">
        <f>IF(終値!A277="","",IF(AND(高値!Z277&gt;高値!Y277,高値!Z277&gt;高値!X277,高値!Z277&gt;高値!AA277,高値!Z277&gt;高値!AB277),21,""))</f>
      </c>
      <c r="AW277" s="684">
        <f>IF(終値!A277="","",IF(AND(高値!AA277&gt;高値!Z277,高値!AA277&gt;高値!Y277,高値!AA277&gt;高値!AB277,高値!AA277&gt;高値!AC277),22,""))</f>
      </c>
      <c r="AX277" s="684">
        <f>IF(終値!A277="","",IF(AND(高値!AB277&gt;高値!AA277,高値!AB277&gt;高値!Z277,高値!AB277&gt;高値!AC277,高値!AB277&gt;高値!AD277),23,""))</f>
      </c>
      <c r="AY277" s="684">
        <f>IF(終値!A277="","",IF(AND(高値!AC277&gt;高値!AB277,高値!AC277&gt;高値!AA277,高値!AC277&gt;高値!AD277,高値!AC277&gt;高値!AE277),24,""))</f>
      </c>
      <c r="AZ277" s="684">
        <f>IF(終値!A277="","",IF(AND(高値!AD277&gt;高値!AC277,高値!AD277&gt;高値!AB277,高値!AD277&gt;高値!AE277,高値!AD277&gt;高値!AF277),25,""))</f>
      </c>
      <c r="BA277" s="684">
        <f>IF(終値!A277="","",IF(AND(高値!AE277&gt;高値!AD277,高値!AE277&gt;高値!AC277,高値!AE277&gt;高値!AF277,高値!AE277&gt;高値!AG277),26,""))</f>
      </c>
      <c r="BB277" s="684">
        <f>IF(終値!A277="","",IF(AND(高値!AF277&gt;高値!AE277,高値!AF277&gt;高値!AD277,高値!AF277&gt;高値!AG277,高値!AF277&gt;高値!AH277),27,""))</f>
      </c>
      <c r="BC277" s="684">
        <f>IF(終値!A277="","",IF(AND(高値!AG277&gt;高値!AF277,高値!AG277&gt;高値!AE277,高値!AG277&gt;高値!AH277,高値!AG277&gt;高値!AI277),28,""))</f>
      </c>
      <c r="BD277" s="684">
        <f>COUNT($B277:$AB277)</f>
      </c>
      <c r="BE277" s="684">
        <f>IF($BD277&gt;=2,MIN($B277:$AB277),"")</f>
      </c>
      <c r="BF277" s="684">
        <f>IF($BD277&gt;=2,SMALL($B277:$AB277,2),"")</f>
      </c>
      <c r="BG277" s="684">
        <f>IF($BE277="","",INDEX(安値!$E277:$CZ277,1,$BE277+1))</f>
      </c>
      <c r="BH277" s="684">
        <f>IF($BF277="","",INDEX(安値!$E277:$CZ277,1,$BF277+1))</f>
      </c>
      <c r="BI277" s="684">
        <f>IF($BF277="","",MAX(INDEX(高値!$E277:$CZ277,1,$BE277+1):INDEX(高値!$E277:$CZ277,1,$BF277+1)))</f>
      </c>
      <c r="BJ277" s="684">
        <f>IF($BF277="","",AVERAGE(INDEX(終値!$E277:$CZ277,1,$BF277+1):INDEX(終値!$E277:$CZ277,1,$BF277+20))-2*STDEVP(INDEX(終値!$E277:$CZ277,1,$BF277+1):INDEX(終値!$E277:$CZ277,1,$BF277+20)))</f>
      </c>
      <c r="BK277" s="684">
        <f>IF($BE277="","",AVERAGE(INDEX(終値!$E277:$CZ277,1,$BE277+1):INDEX(終値!$E277:$CZ277,1,$BE277+20))-2*STDEVP(INDEX(終値!$E277:$CZ277,1,$BE277+1):INDEX(終値!$E277:$CZ277,1,$BE277+20)))</f>
      </c>
      <c r="BL277" s="684">
        <f>COUNT($AC277:$BC277)</f>
      </c>
      <c r="BM277" s="684">
        <f>IF($BL277&gt;=2,MIN($AC277:$BC277),"")</f>
      </c>
      <c r="BN277" s="684">
        <f>IF($BL277&gt;=2,SMALL($AC277:$BC277,2),"")</f>
      </c>
      <c r="BO277" s="684">
        <f>IF($BM277="","",INDEX(高値!$E277:$CZ277,1,$BM277+1))</f>
      </c>
      <c r="BP277" s="684">
        <f>IF($BN277="","",INDEX(高値!$E277:$CZ277,1,$BN277+1))</f>
      </c>
      <c r="BQ277" s="684">
        <f>IF($BN277="","",MIN(INDEX(安値!$E277:$CZ277,1,$BM277+1):INDEX(安値!$E277:$CZ277,1,$BN277+1)))</f>
      </c>
      <c r="BR277" s="684">
        <f>IF($BN277="","",AVERAGE(INDEX(終値!$E277:$CZ277,1,$BN277+1):INDEX(終値!$E277:$CZ277,1,$BN277+20))+2*STDEVP(INDEX(終値!$E277:$CZ277,1,$BN277+1):INDEX(終値!$E277:$CZ277,1,$BN277+20)))</f>
      </c>
      <c r="BS277" s="684">
        <f>IF($BM277="","",AVERAGE(INDEX(終値!$E277:$CZ277,1,$BM277+1):INDEX(終値!$E277:$CZ277,1,$BM277+20))+2*STDEVP(INDEX(終値!$E277:$CZ277,1,$BM277+1):INDEX(終値!$E277:$CZ277,1,$BM277+20)))</f>
      </c>
      <c r="BT277" s="681">
        <f>IFERROR(IF(AND($BD277&gt;=2,ABS($BG277-$BH277)/$BH277&lt;=BB設定!$B$12,$BI277&gt;=MAX($BH277,$BG277)*(1+BB設定!$B$13),終値!E277&gt;$BG277),IF(OR(終値!E277&gt;=$BI277,AND($BH277&lt;$BJ277,$BG277&gt;=$BK277)),"二番底W▲","二番底W形成"),IF(AND($BL277&gt;=2,ABS($BO277-$BP277)/$BP277&lt;=BB設定!$B$12,$BQ277&lt;=MIN($BP277,$BO277)*(1-BB設定!$B$13),終値!E277&lt;$BO277),IF(OR(終値!E277&lt;=$BQ277,AND($BP277&gt;$BR277,$BO277&lt;=$BS277)),"二番天井M▼","二番天井M形成"),"－")),"－")</f>
      </c>
    </row>
    <row r="278">
      <c r="B278" s="684">
        <f>IF(終値!A278="","",IF(AND(安値!G278&lt;安値!F278,安値!G278&lt;安値!E278,安値!G278&lt;安値!H278,安値!G278&lt;安値!I278),2,""))</f>
      </c>
      <c r="C278" s="684">
        <f>IF(終値!A278="","",IF(AND(安値!H278&lt;安値!G278,安値!H278&lt;安値!F278,安値!H278&lt;安値!I278,安値!H278&lt;安値!J278),3,""))</f>
      </c>
      <c r="D278" s="684">
        <f>IF(終値!A278="","",IF(AND(安値!I278&lt;安値!H278,安値!I278&lt;安値!G278,安値!I278&lt;安値!J278,安値!I278&lt;安値!K278),4,""))</f>
      </c>
      <c r="E278" s="684">
        <f>IF(終値!A278="","",IF(AND(安値!J278&lt;安値!I278,安値!J278&lt;安値!H278,安値!J278&lt;安値!K278,安値!J278&lt;安値!L278),5,""))</f>
      </c>
      <c r="F278" s="684">
        <f>IF(終値!A278="","",IF(AND(安値!K278&lt;安値!J278,安値!K278&lt;安値!I278,安値!K278&lt;安値!L278,安値!K278&lt;安値!M278),6,""))</f>
      </c>
      <c r="G278" s="684">
        <f>IF(終値!A278="","",IF(AND(安値!L278&lt;安値!K278,安値!L278&lt;安値!J278,安値!L278&lt;安値!M278,安値!L278&lt;安値!N278),7,""))</f>
      </c>
      <c r="H278" s="684">
        <f>IF(終値!A278="","",IF(AND(安値!M278&lt;安値!L278,安値!M278&lt;安値!K278,安値!M278&lt;安値!N278,安値!M278&lt;安値!O278),8,""))</f>
      </c>
      <c r="I278" s="684">
        <f>IF(終値!A278="","",IF(AND(安値!N278&lt;安値!M278,安値!N278&lt;安値!L278,安値!N278&lt;安値!O278,安値!N278&lt;安値!P278),9,""))</f>
      </c>
      <c r="J278" s="684">
        <f>IF(終値!A278="","",IF(AND(安値!O278&lt;安値!N278,安値!O278&lt;安値!M278,安値!O278&lt;安値!P278,安値!O278&lt;安値!Q278),10,""))</f>
      </c>
      <c r="K278" s="684">
        <f>IF(終値!A278="","",IF(AND(安値!P278&lt;安値!O278,安値!P278&lt;安値!N278,安値!P278&lt;安値!Q278,安値!P278&lt;安値!R278),11,""))</f>
      </c>
      <c r="L278" s="684">
        <f>IF(終値!A278="","",IF(AND(安値!Q278&lt;安値!P278,安値!Q278&lt;安値!O278,安値!Q278&lt;安値!R278,安値!Q278&lt;安値!S278),12,""))</f>
      </c>
      <c r="M278" s="684">
        <f>IF(終値!A278="","",IF(AND(安値!R278&lt;安値!Q278,安値!R278&lt;安値!P278,安値!R278&lt;安値!S278,安値!R278&lt;安値!T278),13,""))</f>
      </c>
      <c r="N278" s="684">
        <f>IF(終値!A278="","",IF(AND(安値!S278&lt;安値!R278,安値!S278&lt;安値!Q278,安値!S278&lt;安値!T278,安値!S278&lt;安値!U278),14,""))</f>
      </c>
      <c r="O278" s="684">
        <f>IF(終値!A278="","",IF(AND(安値!T278&lt;安値!S278,安値!T278&lt;安値!R278,安値!T278&lt;安値!U278,安値!T278&lt;安値!V278),15,""))</f>
      </c>
      <c r="P278" s="684">
        <f>IF(終値!A278="","",IF(AND(安値!U278&lt;安値!T278,安値!U278&lt;安値!S278,安値!U278&lt;安値!V278,安値!U278&lt;安値!W278),16,""))</f>
      </c>
      <c r="Q278" s="684">
        <f>IF(終値!A278="","",IF(AND(安値!V278&lt;安値!U278,安値!V278&lt;安値!T278,安値!V278&lt;安値!W278,安値!V278&lt;安値!X278),17,""))</f>
      </c>
      <c r="R278" s="684">
        <f>IF(終値!A278="","",IF(AND(安値!W278&lt;安値!V278,安値!W278&lt;安値!U278,安値!W278&lt;安値!X278,安値!W278&lt;安値!Y278),18,""))</f>
      </c>
      <c r="S278" s="684">
        <f>IF(終値!A278="","",IF(AND(安値!X278&lt;安値!W278,安値!X278&lt;安値!V278,安値!X278&lt;安値!Y278,安値!X278&lt;安値!Z278),19,""))</f>
      </c>
      <c r="T278" s="684">
        <f>IF(終値!A278="","",IF(AND(安値!Y278&lt;安値!X278,安値!Y278&lt;安値!W278,安値!Y278&lt;安値!Z278,安値!Y278&lt;安値!AA278),20,""))</f>
      </c>
      <c r="U278" s="684">
        <f>IF(終値!A278="","",IF(AND(安値!Z278&lt;安値!Y278,安値!Z278&lt;安値!X278,安値!Z278&lt;安値!AA278,安値!Z278&lt;安値!AB278),21,""))</f>
      </c>
      <c r="V278" s="684">
        <f>IF(終値!A278="","",IF(AND(安値!AA278&lt;安値!Z278,安値!AA278&lt;安値!Y278,安値!AA278&lt;安値!AB278,安値!AA278&lt;安値!AC278),22,""))</f>
      </c>
      <c r="W278" s="684">
        <f>IF(終値!A278="","",IF(AND(安値!AB278&lt;安値!AA278,安値!AB278&lt;安値!Z278,安値!AB278&lt;安値!AC278,安値!AB278&lt;安値!AD278),23,""))</f>
      </c>
      <c r="X278" s="684">
        <f>IF(終値!A278="","",IF(AND(安値!AC278&lt;安値!AB278,安値!AC278&lt;安値!AA278,安値!AC278&lt;安値!AD278,安値!AC278&lt;安値!AE278),24,""))</f>
      </c>
      <c r="Y278" s="684">
        <f>IF(終値!A278="","",IF(AND(安値!AD278&lt;安値!AC278,安値!AD278&lt;安値!AB278,安値!AD278&lt;安値!AE278,安値!AD278&lt;安値!AF278),25,""))</f>
      </c>
      <c r="Z278" s="684">
        <f>IF(終値!A278="","",IF(AND(安値!AE278&lt;安値!AD278,安値!AE278&lt;安値!AC278,安値!AE278&lt;安値!AF278,安値!AE278&lt;安値!AG278),26,""))</f>
      </c>
      <c r="AA278" s="684">
        <f>IF(終値!A278="","",IF(AND(安値!AF278&lt;安値!AE278,安値!AF278&lt;安値!AD278,安値!AF278&lt;安値!AG278,安値!AF278&lt;安値!AH278),27,""))</f>
      </c>
      <c r="AB278" s="684">
        <f>IF(終値!A278="","",IF(AND(安値!AG278&lt;安値!AF278,安値!AG278&lt;安値!AE278,安値!AG278&lt;安値!AH278,安値!AG278&lt;安値!AI278),28,""))</f>
      </c>
      <c r="AC278" s="684">
        <f>IF(終値!A278="","",IF(AND(高値!G278&gt;高値!F278,高値!G278&gt;高値!E278,高値!G278&gt;高値!H278,高値!G278&gt;高値!I278),2,""))</f>
      </c>
      <c r="AD278" s="684">
        <f>IF(終値!A278="","",IF(AND(高値!H278&gt;高値!G278,高値!H278&gt;高値!F278,高値!H278&gt;高値!I278,高値!H278&gt;高値!J278),3,""))</f>
      </c>
      <c r="AE278" s="684">
        <f>IF(終値!A278="","",IF(AND(高値!I278&gt;高値!H278,高値!I278&gt;高値!G278,高値!I278&gt;高値!J278,高値!I278&gt;高値!K278),4,""))</f>
      </c>
      <c r="AF278" s="684">
        <f>IF(終値!A278="","",IF(AND(高値!J278&gt;高値!I278,高値!J278&gt;高値!H278,高値!J278&gt;高値!K278,高値!J278&gt;高値!L278),5,""))</f>
      </c>
      <c r="AG278" s="684">
        <f>IF(終値!A278="","",IF(AND(高値!K278&gt;高値!J278,高値!K278&gt;高値!I278,高値!K278&gt;高値!L278,高値!K278&gt;高値!M278),6,""))</f>
      </c>
      <c r="AH278" s="684">
        <f>IF(終値!A278="","",IF(AND(高値!L278&gt;高値!K278,高値!L278&gt;高値!J278,高値!L278&gt;高値!M278,高値!L278&gt;高値!N278),7,""))</f>
      </c>
      <c r="AI278" s="684">
        <f>IF(終値!A278="","",IF(AND(高値!M278&gt;高値!L278,高値!M278&gt;高値!K278,高値!M278&gt;高値!N278,高値!M278&gt;高値!O278),8,""))</f>
      </c>
      <c r="AJ278" s="684">
        <f>IF(終値!A278="","",IF(AND(高値!N278&gt;高値!M278,高値!N278&gt;高値!L278,高値!N278&gt;高値!O278,高値!N278&gt;高値!P278),9,""))</f>
      </c>
      <c r="AK278" s="684">
        <f>IF(終値!A278="","",IF(AND(高値!O278&gt;高値!N278,高値!O278&gt;高値!M278,高値!O278&gt;高値!P278,高値!O278&gt;高値!Q278),10,""))</f>
      </c>
      <c r="AL278" s="684">
        <f>IF(終値!A278="","",IF(AND(高値!P278&gt;高値!O278,高値!P278&gt;高値!N278,高値!P278&gt;高値!Q278,高値!P278&gt;高値!R278),11,""))</f>
      </c>
      <c r="AM278" s="684">
        <f>IF(終値!A278="","",IF(AND(高値!Q278&gt;高値!P278,高値!Q278&gt;高値!O278,高値!Q278&gt;高値!R278,高値!Q278&gt;高値!S278),12,""))</f>
      </c>
      <c r="AN278" s="684">
        <f>IF(終値!A278="","",IF(AND(高値!R278&gt;高値!Q278,高値!R278&gt;高値!P278,高値!R278&gt;高値!S278,高値!R278&gt;高値!T278),13,""))</f>
      </c>
      <c r="AO278" s="684">
        <f>IF(終値!A278="","",IF(AND(高値!S278&gt;高値!R278,高値!S278&gt;高値!Q278,高値!S278&gt;高値!T278,高値!S278&gt;高値!U278),14,""))</f>
      </c>
      <c r="AP278" s="684">
        <f>IF(終値!A278="","",IF(AND(高値!T278&gt;高値!S278,高値!T278&gt;高値!R278,高値!T278&gt;高値!U278,高値!T278&gt;高値!V278),15,""))</f>
      </c>
      <c r="AQ278" s="684">
        <f>IF(終値!A278="","",IF(AND(高値!U278&gt;高値!T278,高値!U278&gt;高値!S278,高値!U278&gt;高値!V278,高値!U278&gt;高値!W278),16,""))</f>
      </c>
      <c r="AR278" s="684">
        <f>IF(終値!A278="","",IF(AND(高値!V278&gt;高値!U278,高値!V278&gt;高値!T278,高値!V278&gt;高値!W278,高値!V278&gt;高値!X278),17,""))</f>
      </c>
      <c r="AS278" s="684">
        <f>IF(終値!A278="","",IF(AND(高値!W278&gt;高値!V278,高値!W278&gt;高値!U278,高値!W278&gt;高値!X278,高値!W278&gt;高値!Y278),18,""))</f>
      </c>
      <c r="AT278" s="684">
        <f>IF(終値!A278="","",IF(AND(高値!X278&gt;高値!W278,高値!X278&gt;高値!V278,高値!X278&gt;高値!Y278,高値!X278&gt;高値!Z278),19,""))</f>
      </c>
      <c r="AU278" s="684">
        <f>IF(終値!A278="","",IF(AND(高値!Y278&gt;高値!X278,高値!Y278&gt;高値!W278,高値!Y278&gt;高値!Z278,高値!Y278&gt;高値!AA278),20,""))</f>
      </c>
      <c r="AV278" s="684">
        <f>IF(終値!A278="","",IF(AND(高値!Z278&gt;高値!Y278,高値!Z278&gt;高値!X278,高値!Z278&gt;高値!AA278,高値!Z278&gt;高値!AB278),21,""))</f>
      </c>
      <c r="AW278" s="684">
        <f>IF(終値!A278="","",IF(AND(高値!AA278&gt;高値!Z278,高値!AA278&gt;高値!Y278,高値!AA278&gt;高値!AB278,高値!AA278&gt;高値!AC278),22,""))</f>
      </c>
      <c r="AX278" s="684">
        <f>IF(終値!A278="","",IF(AND(高値!AB278&gt;高値!AA278,高値!AB278&gt;高値!Z278,高値!AB278&gt;高値!AC278,高値!AB278&gt;高値!AD278),23,""))</f>
      </c>
      <c r="AY278" s="684">
        <f>IF(終値!A278="","",IF(AND(高値!AC278&gt;高値!AB278,高値!AC278&gt;高値!AA278,高値!AC278&gt;高値!AD278,高値!AC278&gt;高値!AE278),24,""))</f>
      </c>
      <c r="AZ278" s="684">
        <f>IF(終値!A278="","",IF(AND(高値!AD278&gt;高値!AC278,高値!AD278&gt;高値!AB278,高値!AD278&gt;高値!AE278,高値!AD278&gt;高値!AF278),25,""))</f>
      </c>
      <c r="BA278" s="684">
        <f>IF(終値!A278="","",IF(AND(高値!AE278&gt;高値!AD278,高値!AE278&gt;高値!AC278,高値!AE278&gt;高値!AF278,高値!AE278&gt;高値!AG278),26,""))</f>
      </c>
      <c r="BB278" s="684">
        <f>IF(終値!A278="","",IF(AND(高値!AF278&gt;高値!AE278,高値!AF278&gt;高値!AD278,高値!AF278&gt;高値!AG278,高値!AF278&gt;高値!AH278),27,""))</f>
      </c>
      <c r="BC278" s="684">
        <f>IF(終値!A278="","",IF(AND(高値!AG278&gt;高値!AF278,高値!AG278&gt;高値!AE278,高値!AG278&gt;高値!AH278,高値!AG278&gt;高値!AI278),28,""))</f>
      </c>
      <c r="BD278" s="684">
        <f>COUNT($B278:$AB278)</f>
      </c>
      <c r="BE278" s="684">
        <f>IF($BD278&gt;=2,MIN($B278:$AB278),"")</f>
      </c>
      <c r="BF278" s="684">
        <f>IF($BD278&gt;=2,SMALL($B278:$AB278,2),"")</f>
      </c>
      <c r="BG278" s="684">
        <f>IF($BE278="","",INDEX(安値!$E278:$CZ278,1,$BE278+1))</f>
      </c>
      <c r="BH278" s="684">
        <f>IF($BF278="","",INDEX(安値!$E278:$CZ278,1,$BF278+1))</f>
      </c>
      <c r="BI278" s="684">
        <f>IF($BF278="","",MAX(INDEX(高値!$E278:$CZ278,1,$BE278+1):INDEX(高値!$E278:$CZ278,1,$BF278+1)))</f>
      </c>
      <c r="BJ278" s="684">
        <f>IF($BF278="","",AVERAGE(INDEX(終値!$E278:$CZ278,1,$BF278+1):INDEX(終値!$E278:$CZ278,1,$BF278+20))-2*STDEVP(INDEX(終値!$E278:$CZ278,1,$BF278+1):INDEX(終値!$E278:$CZ278,1,$BF278+20)))</f>
      </c>
      <c r="BK278" s="684">
        <f>IF($BE278="","",AVERAGE(INDEX(終値!$E278:$CZ278,1,$BE278+1):INDEX(終値!$E278:$CZ278,1,$BE278+20))-2*STDEVP(INDEX(終値!$E278:$CZ278,1,$BE278+1):INDEX(終値!$E278:$CZ278,1,$BE278+20)))</f>
      </c>
      <c r="BL278" s="684">
        <f>COUNT($AC278:$BC278)</f>
      </c>
      <c r="BM278" s="684">
        <f>IF($BL278&gt;=2,MIN($AC278:$BC278),"")</f>
      </c>
      <c r="BN278" s="684">
        <f>IF($BL278&gt;=2,SMALL($AC278:$BC278,2),"")</f>
      </c>
      <c r="BO278" s="684">
        <f>IF($BM278="","",INDEX(高値!$E278:$CZ278,1,$BM278+1))</f>
      </c>
      <c r="BP278" s="684">
        <f>IF($BN278="","",INDEX(高値!$E278:$CZ278,1,$BN278+1))</f>
      </c>
      <c r="BQ278" s="684">
        <f>IF($BN278="","",MIN(INDEX(安値!$E278:$CZ278,1,$BM278+1):INDEX(安値!$E278:$CZ278,1,$BN278+1)))</f>
      </c>
      <c r="BR278" s="684">
        <f>IF($BN278="","",AVERAGE(INDEX(終値!$E278:$CZ278,1,$BN278+1):INDEX(終値!$E278:$CZ278,1,$BN278+20))+2*STDEVP(INDEX(終値!$E278:$CZ278,1,$BN278+1):INDEX(終値!$E278:$CZ278,1,$BN278+20)))</f>
      </c>
      <c r="BS278" s="684">
        <f>IF($BM278="","",AVERAGE(INDEX(終値!$E278:$CZ278,1,$BM278+1):INDEX(終値!$E278:$CZ278,1,$BM278+20))+2*STDEVP(INDEX(終値!$E278:$CZ278,1,$BM278+1):INDEX(終値!$E278:$CZ278,1,$BM278+20)))</f>
      </c>
      <c r="BT278" s="681">
        <f>IFERROR(IF(AND($BD278&gt;=2,ABS($BG278-$BH278)/$BH278&lt;=BB設定!$B$12,$BI278&gt;=MAX($BH278,$BG278)*(1+BB設定!$B$13),終値!E278&gt;$BG278),IF(OR(終値!E278&gt;=$BI278,AND($BH278&lt;$BJ278,$BG278&gt;=$BK278)),"二番底W▲","二番底W形成"),IF(AND($BL278&gt;=2,ABS($BO278-$BP278)/$BP278&lt;=BB設定!$B$12,$BQ278&lt;=MIN($BP278,$BO278)*(1-BB設定!$B$13),終値!E278&lt;$BO278),IF(OR(終値!E278&lt;=$BQ278,AND($BP278&gt;$BR278,$BO278&lt;=$BS278)),"二番天井M▼","二番天井M形成"),"－")),"－")</f>
      </c>
    </row>
    <row r="279">
      <c r="B279" s="684">
        <f>IF(終値!A279="","",IF(AND(安値!G279&lt;安値!F279,安値!G279&lt;安値!E279,安値!G279&lt;安値!H279,安値!G279&lt;安値!I279),2,""))</f>
      </c>
      <c r="C279" s="684">
        <f>IF(終値!A279="","",IF(AND(安値!H279&lt;安値!G279,安値!H279&lt;安値!F279,安値!H279&lt;安値!I279,安値!H279&lt;安値!J279),3,""))</f>
      </c>
      <c r="D279" s="684">
        <f>IF(終値!A279="","",IF(AND(安値!I279&lt;安値!H279,安値!I279&lt;安値!G279,安値!I279&lt;安値!J279,安値!I279&lt;安値!K279),4,""))</f>
      </c>
      <c r="E279" s="684">
        <f>IF(終値!A279="","",IF(AND(安値!J279&lt;安値!I279,安値!J279&lt;安値!H279,安値!J279&lt;安値!K279,安値!J279&lt;安値!L279),5,""))</f>
      </c>
      <c r="F279" s="684">
        <f>IF(終値!A279="","",IF(AND(安値!K279&lt;安値!J279,安値!K279&lt;安値!I279,安値!K279&lt;安値!L279,安値!K279&lt;安値!M279),6,""))</f>
      </c>
      <c r="G279" s="684">
        <f>IF(終値!A279="","",IF(AND(安値!L279&lt;安値!K279,安値!L279&lt;安値!J279,安値!L279&lt;安値!M279,安値!L279&lt;安値!N279),7,""))</f>
      </c>
      <c r="H279" s="684">
        <f>IF(終値!A279="","",IF(AND(安値!M279&lt;安値!L279,安値!M279&lt;安値!K279,安値!M279&lt;安値!N279,安値!M279&lt;安値!O279),8,""))</f>
      </c>
      <c r="I279" s="684">
        <f>IF(終値!A279="","",IF(AND(安値!N279&lt;安値!M279,安値!N279&lt;安値!L279,安値!N279&lt;安値!O279,安値!N279&lt;安値!P279),9,""))</f>
      </c>
      <c r="J279" s="684">
        <f>IF(終値!A279="","",IF(AND(安値!O279&lt;安値!N279,安値!O279&lt;安値!M279,安値!O279&lt;安値!P279,安値!O279&lt;安値!Q279),10,""))</f>
      </c>
      <c r="K279" s="684">
        <f>IF(終値!A279="","",IF(AND(安値!P279&lt;安値!O279,安値!P279&lt;安値!N279,安値!P279&lt;安値!Q279,安値!P279&lt;安値!R279),11,""))</f>
      </c>
      <c r="L279" s="684">
        <f>IF(終値!A279="","",IF(AND(安値!Q279&lt;安値!P279,安値!Q279&lt;安値!O279,安値!Q279&lt;安値!R279,安値!Q279&lt;安値!S279),12,""))</f>
      </c>
      <c r="M279" s="684">
        <f>IF(終値!A279="","",IF(AND(安値!R279&lt;安値!Q279,安値!R279&lt;安値!P279,安値!R279&lt;安値!S279,安値!R279&lt;安値!T279),13,""))</f>
      </c>
      <c r="N279" s="684">
        <f>IF(終値!A279="","",IF(AND(安値!S279&lt;安値!R279,安値!S279&lt;安値!Q279,安値!S279&lt;安値!T279,安値!S279&lt;安値!U279),14,""))</f>
      </c>
      <c r="O279" s="684">
        <f>IF(終値!A279="","",IF(AND(安値!T279&lt;安値!S279,安値!T279&lt;安値!R279,安値!T279&lt;安値!U279,安値!T279&lt;安値!V279),15,""))</f>
      </c>
      <c r="P279" s="684">
        <f>IF(終値!A279="","",IF(AND(安値!U279&lt;安値!T279,安値!U279&lt;安値!S279,安値!U279&lt;安値!V279,安値!U279&lt;安値!W279),16,""))</f>
      </c>
      <c r="Q279" s="684">
        <f>IF(終値!A279="","",IF(AND(安値!V279&lt;安値!U279,安値!V279&lt;安値!T279,安値!V279&lt;安値!W279,安値!V279&lt;安値!X279),17,""))</f>
      </c>
      <c r="R279" s="684">
        <f>IF(終値!A279="","",IF(AND(安値!W279&lt;安値!V279,安値!W279&lt;安値!U279,安値!W279&lt;安値!X279,安値!W279&lt;安値!Y279),18,""))</f>
      </c>
      <c r="S279" s="684">
        <f>IF(終値!A279="","",IF(AND(安値!X279&lt;安値!W279,安値!X279&lt;安値!V279,安値!X279&lt;安値!Y279,安値!X279&lt;安値!Z279),19,""))</f>
      </c>
      <c r="T279" s="684">
        <f>IF(終値!A279="","",IF(AND(安値!Y279&lt;安値!X279,安値!Y279&lt;安値!W279,安値!Y279&lt;安値!Z279,安値!Y279&lt;安値!AA279),20,""))</f>
      </c>
      <c r="U279" s="684">
        <f>IF(終値!A279="","",IF(AND(安値!Z279&lt;安値!Y279,安値!Z279&lt;安値!X279,安値!Z279&lt;安値!AA279,安値!Z279&lt;安値!AB279),21,""))</f>
      </c>
      <c r="V279" s="684">
        <f>IF(終値!A279="","",IF(AND(安値!AA279&lt;安値!Z279,安値!AA279&lt;安値!Y279,安値!AA279&lt;安値!AB279,安値!AA279&lt;安値!AC279),22,""))</f>
      </c>
      <c r="W279" s="684">
        <f>IF(終値!A279="","",IF(AND(安値!AB279&lt;安値!AA279,安値!AB279&lt;安値!Z279,安値!AB279&lt;安値!AC279,安値!AB279&lt;安値!AD279),23,""))</f>
      </c>
      <c r="X279" s="684">
        <f>IF(終値!A279="","",IF(AND(安値!AC279&lt;安値!AB279,安値!AC279&lt;安値!AA279,安値!AC279&lt;安値!AD279,安値!AC279&lt;安値!AE279),24,""))</f>
      </c>
      <c r="Y279" s="684">
        <f>IF(終値!A279="","",IF(AND(安値!AD279&lt;安値!AC279,安値!AD279&lt;安値!AB279,安値!AD279&lt;安値!AE279,安値!AD279&lt;安値!AF279),25,""))</f>
      </c>
      <c r="Z279" s="684">
        <f>IF(終値!A279="","",IF(AND(安値!AE279&lt;安値!AD279,安値!AE279&lt;安値!AC279,安値!AE279&lt;安値!AF279,安値!AE279&lt;安値!AG279),26,""))</f>
      </c>
      <c r="AA279" s="684">
        <f>IF(終値!A279="","",IF(AND(安値!AF279&lt;安値!AE279,安値!AF279&lt;安値!AD279,安値!AF279&lt;安値!AG279,安値!AF279&lt;安値!AH279),27,""))</f>
      </c>
      <c r="AB279" s="684">
        <f>IF(終値!A279="","",IF(AND(安値!AG279&lt;安値!AF279,安値!AG279&lt;安値!AE279,安値!AG279&lt;安値!AH279,安値!AG279&lt;安値!AI279),28,""))</f>
      </c>
      <c r="AC279" s="684">
        <f>IF(終値!A279="","",IF(AND(高値!G279&gt;高値!F279,高値!G279&gt;高値!E279,高値!G279&gt;高値!H279,高値!G279&gt;高値!I279),2,""))</f>
      </c>
      <c r="AD279" s="684">
        <f>IF(終値!A279="","",IF(AND(高値!H279&gt;高値!G279,高値!H279&gt;高値!F279,高値!H279&gt;高値!I279,高値!H279&gt;高値!J279),3,""))</f>
      </c>
      <c r="AE279" s="684">
        <f>IF(終値!A279="","",IF(AND(高値!I279&gt;高値!H279,高値!I279&gt;高値!G279,高値!I279&gt;高値!J279,高値!I279&gt;高値!K279),4,""))</f>
      </c>
      <c r="AF279" s="684">
        <f>IF(終値!A279="","",IF(AND(高値!J279&gt;高値!I279,高値!J279&gt;高値!H279,高値!J279&gt;高値!K279,高値!J279&gt;高値!L279),5,""))</f>
      </c>
      <c r="AG279" s="684">
        <f>IF(終値!A279="","",IF(AND(高値!K279&gt;高値!J279,高値!K279&gt;高値!I279,高値!K279&gt;高値!L279,高値!K279&gt;高値!M279),6,""))</f>
      </c>
      <c r="AH279" s="684">
        <f>IF(終値!A279="","",IF(AND(高値!L279&gt;高値!K279,高値!L279&gt;高値!J279,高値!L279&gt;高値!M279,高値!L279&gt;高値!N279),7,""))</f>
      </c>
      <c r="AI279" s="684">
        <f>IF(終値!A279="","",IF(AND(高値!M279&gt;高値!L279,高値!M279&gt;高値!K279,高値!M279&gt;高値!N279,高値!M279&gt;高値!O279),8,""))</f>
      </c>
      <c r="AJ279" s="684">
        <f>IF(終値!A279="","",IF(AND(高値!N279&gt;高値!M279,高値!N279&gt;高値!L279,高値!N279&gt;高値!O279,高値!N279&gt;高値!P279),9,""))</f>
      </c>
      <c r="AK279" s="684">
        <f>IF(終値!A279="","",IF(AND(高値!O279&gt;高値!N279,高値!O279&gt;高値!M279,高値!O279&gt;高値!P279,高値!O279&gt;高値!Q279),10,""))</f>
      </c>
      <c r="AL279" s="684">
        <f>IF(終値!A279="","",IF(AND(高値!P279&gt;高値!O279,高値!P279&gt;高値!N279,高値!P279&gt;高値!Q279,高値!P279&gt;高値!R279),11,""))</f>
      </c>
      <c r="AM279" s="684">
        <f>IF(終値!A279="","",IF(AND(高値!Q279&gt;高値!P279,高値!Q279&gt;高値!O279,高値!Q279&gt;高値!R279,高値!Q279&gt;高値!S279),12,""))</f>
      </c>
      <c r="AN279" s="684">
        <f>IF(終値!A279="","",IF(AND(高値!R279&gt;高値!Q279,高値!R279&gt;高値!P279,高値!R279&gt;高値!S279,高値!R279&gt;高値!T279),13,""))</f>
      </c>
      <c r="AO279" s="684">
        <f>IF(終値!A279="","",IF(AND(高値!S279&gt;高値!R279,高値!S279&gt;高値!Q279,高値!S279&gt;高値!T279,高値!S279&gt;高値!U279),14,""))</f>
      </c>
      <c r="AP279" s="684">
        <f>IF(終値!A279="","",IF(AND(高値!T279&gt;高値!S279,高値!T279&gt;高値!R279,高値!T279&gt;高値!U279,高値!T279&gt;高値!V279),15,""))</f>
      </c>
      <c r="AQ279" s="684">
        <f>IF(終値!A279="","",IF(AND(高値!U279&gt;高値!T279,高値!U279&gt;高値!S279,高値!U279&gt;高値!V279,高値!U279&gt;高値!W279),16,""))</f>
      </c>
      <c r="AR279" s="684">
        <f>IF(終値!A279="","",IF(AND(高値!V279&gt;高値!U279,高値!V279&gt;高値!T279,高値!V279&gt;高値!W279,高値!V279&gt;高値!X279),17,""))</f>
      </c>
      <c r="AS279" s="684">
        <f>IF(終値!A279="","",IF(AND(高値!W279&gt;高値!V279,高値!W279&gt;高値!U279,高値!W279&gt;高値!X279,高値!W279&gt;高値!Y279),18,""))</f>
      </c>
      <c r="AT279" s="684">
        <f>IF(終値!A279="","",IF(AND(高値!X279&gt;高値!W279,高値!X279&gt;高値!V279,高値!X279&gt;高値!Y279,高値!X279&gt;高値!Z279),19,""))</f>
      </c>
      <c r="AU279" s="684">
        <f>IF(終値!A279="","",IF(AND(高値!Y279&gt;高値!X279,高値!Y279&gt;高値!W279,高値!Y279&gt;高値!Z279,高値!Y279&gt;高値!AA279),20,""))</f>
      </c>
      <c r="AV279" s="684">
        <f>IF(終値!A279="","",IF(AND(高値!Z279&gt;高値!Y279,高値!Z279&gt;高値!X279,高値!Z279&gt;高値!AA279,高値!Z279&gt;高値!AB279),21,""))</f>
      </c>
      <c r="AW279" s="684">
        <f>IF(終値!A279="","",IF(AND(高値!AA279&gt;高値!Z279,高値!AA279&gt;高値!Y279,高値!AA279&gt;高値!AB279,高値!AA279&gt;高値!AC279),22,""))</f>
      </c>
      <c r="AX279" s="684">
        <f>IF(終値!A279="","",IF(AND(高値!AB279&gt;高値!AA279,高値!AB279&gt;高値!Z279,高値!AB279&gt;高値!AC279,高値!AB279&gt;高値!AD279),23,""))</f>
      </c>
      <c r="AY279" s="684">
        <f>IF(終値!A279="","",IF(AND(高値!AC279&gt;高値!AB279,高値!AC279&gt;高値!AA279,高値!AC279&gt;高値!AD279,高値!AC279&gt;高値!AE279),24,""))</f>
      </c>
      <c r="AZ279" s="684">
        <f>IF(終値!A279="","",IF(AND(高値!AD279&gt;高値!AC279,高値!AD279&gt;高値!AB279,高値!AD279&gt;高値!AE279,高値!AD279&gt;高値!AF279),25,""))</f>
      </c>
      <c r="BA279" s="684">
        <f>IF(終値!A279="","",IF(AND(高値!AE279&gt;高値!AD279,高値!AE279&gt;高値!AC279,高値!AE279&gt;高値!AF279,高値!AE279&gt;高値!AG279),26,""))</f>
      </c>
      <c r="BB279" s="684">
        <f>IF(終値!A279="","",IF(AND(高値!AF279&gt;高値!AE279,高値!AF279&gt;高値!AD279,高値!AF279&gt;高値!AG279,高値!AF279&gt;高値!AH279),27,""))</f>
      </c>
      <c r="BC279" s="684">
        <f>IF(終値!A279="","",IF(AND(高値!AG279&gt;高値!AF279,高値!AG279&gt;高値!AE279,高値!AG279&gt;高値!AH279,高値!AG279&gt;高値!AI279),28,""))</f>
      </c>
      <c r="BD279" s="684">
        <f>COUNT($B279:$AB279)</f>
      </c>
      <c r="BE279" s="684">
        <f>IF($BD279&gt;=2,MIN($B279:$AB279),"")</f>
      </c>
      <c r="BF279" s="684">
        <f>IF($BD279&gt;=2,SMALL($B279:$AB279,2),"")</f>
      </c>
      <c r="BG279" s="684">
        <f>IF($BE279="","",INDEX(安値!$E279:$CZ279,1,$BE279+1))</f>
      </c>
      <c r="BH279" s="684">
        <f>IF($BF279="","",INDEX(安値!$E279:$CZ279,1,$BF279+1))</f>
      </c>
      <c r="BI279" s="684">
        <f>IF($BF279="","",MAX(INDEX(高値!$E279:$CZ279,1,$BE279+1):INDEX(高値!$E279:$CZ279,1,$BF279+1)))</f>
      </c>
      <c r="BJ279" s="684">
        <f>IF($BF279="","",AVERAGE(INDEX(終値!$E279:$CZ279,1,$BF279+1):INDEX(終値!$E279:$CZ279,1,$BF279+20))-2*STDEVP(INDEX(終値!$E279:$CZ279,1,$BF279+1):INDEX(終値!$E279:$CZ279,1,$BF279+20)))</f>
      </c>
      <c r="BK279" s="684">
        <f>IF($BE279="","",AVERAGE(INDEX(終値!$E279:$CZ279,1,$BE279+1):INDEX(終値!$E279:$CZ279,1,$BE279+20))-2*STDEVP(INDEX(終値!$E279:$CZ279,1,$BE279+1):INDEX(終値!$E279:$CZ279,1,$BE279+20)))</f>
      </c>
      <c r="BL279" s="684">
        <f>COUNT($AC279:$BC279)</f>
      </c>
      <c r="BM279" s="684">
        <f>IF($BL279&gt;=2,MIN($AC279:$BC279),"")</f>
      </c>
      <c r="BN279" s="684">
        <f>IF($BL279&gt;=2,SMALL($AC279:$BC279,2),"")</f>
      </c>
      <c r="BO279" s="684">
        <f>IF($BM279="","",INDEX(高値!$E279:$CZ279,1,$BM279+1))</f>
      </c>
      <c r="BP279" s="684">
        <f>IF($BN279="","",INDEX(高値!$E279:$CZ279,1,$BN279+1))</f>
      </c>
      <c r="BQ279" s="684">
        <f>IF($BN279="","",MIN(INDEX(安値!$E279:$CZ279,1,$BM279+1):INDEX(安値!$E279:$CZ279,1,$BN279+1)))</f>
      </c>
      <c r="BR279" s="684">
        <f>IF($BN279="","",AVERAGE(INDEX(終値!$E279:$CZ279,1,$BN279+1):INDEX(終値!$E279:$CZ279,1,$BN279+20))+2*STDEVP(INDEX(終値!$E279:$CZ279,1,$BN279+1):INDEX(終値!$E279:$CZ279,1,$BN279+20)))</f>
      </c>
      <c r="BS279" s="684">
        <f>IF($BM279="","",AVERAGE(INDEX(終値!$E279:$CZ279,1,$BM279+1):INDEX(終値!$E279:$CZ279,1,$BM279+20))+2*STDEVP(INDEX(終値!$E279:$CZ279,1,$BM279+1):INDEX(終値!$E279:$CZ279,1,$BM279+20)))</f>
      </c>
      <c r="BT279" s="681">
        <f>IFERROR(IF(AND($BD279&gt;=2,ABS($BG279-$BH279)/$BH279&lt;=BB設定!$B$12,$BI279&gt;=MAX($BH279,$BG279)*(1+BB設定!$B$13),終値!E279&gt;$BG279),IF(OR(終値!E279&gt;=$BI279,AND($BH279&lt;$BJ279,$BG279&gt;=$BK279)),"二番底W▲","二番底W形成"),IF(AND($BL279&gt;=2,ABS($BO279-$BP279)/$BP279&lt;=BB設定!$B$12,$BQ279&lt;=MIN($BP279,$BO279)*(1-BB設定!$B$13),終値!E279&lt;$BO279),IF(OR(終値!E279&lt;=$BQ279,AND($BP279&gt;$BR279,$BO279&lt;=$BS279)),"二番天井M▼","二番天井M形成"),"－")),"－")</f>
      </c>
    </row>
    <row r="280">
      <c r="B280" s="684">
        <f>IF(終値!A280="","",IF(AND(安値!G280&lt;安値!F280,安値!G280&lt;安値!E280,安値!G280&lt;安値!H280,安値!G280&lt;安値!I280),2,""))</f>
      </c>
      <c r="C280" s="684">
        <f>IF(終値!A280="","",IF(AND(安値!H280&lt;安値!G280,安値!H280&lt;安値!F280,安値!H280&lt;安値!I280,安値!H280&lt;安値!J280),3,""))</f>
      </c>
      <c r="D280" s="684">
        <f>IF(終値!A280="","",IF(AND(安値!I280&lt;安値!H280,安値!I280&lt;安値!G280,安値!I280&lt;安値!J280,安値!I280&lt;安値!K280),4,""))</f>
      </c>
      <c r="E280" s="684">
        <f>IF(終値!A280="","",IF(AND(安値!J280&lt;安値!I280,安値!J280&lt;安値!H280,安値!J280&lt;安値!K280,安値!J280&lt;安値!L280),5,""))</f>
      </c>
      <c r="F280" s="684">
        <f>IF(終値!A280="","",IF(AND(安値!K280&lt;安値!J280,安値!K280&lt;安値!I280,安値!K280&lt;安値!L280,安値!K280&lt;安値!M280),6,""))</f>
      </c>
      <c r="G280" s="684">
        <f>IF(終値!A280="","",IF(AND(安値!L280&lt;安値!K280,安値!L280&lt;安値!J280,安値!L280&lt;安値!M280,安値!L280&lt;安値!N280),7,""))</f>
      </c>
      <c r="H280" s="684">
        <f>IF(終値!A280="","",IF(AND(安値!M280&lt;安値!L280,安値!M280&lt;安値!K280,安値!M280&lt;安値!N280,安値!M280&lt;安値!O280),8,""))</f>
      </c>
      <c r="I280" s="684">
        <f>IF(終値!A280="","",IF(AND(安値!N280&lt;安値!M280,安値!N280&lt;安値!L280,安値!N280&lt;安値!O280,安値!N280&lt;安値!P280),9,""))</f>
      </c>
      <c r="J280" s="684">
        <f>IF(終値!A280="","",IF(AND(安値!O280&lt;安値!N280,安値!O280&lt;安値!M280,安値!O280&lt;安値!P280,安値!O280&lt;安値!Q280),10,""))</f>
      </c>
      <c r="K280" s="684">
        <f>IF(終値!A280="","",IF(AND(安値!P280&lt;安値!O280,安値!P280&lt;安値!N280,安値!P280&lt;安値!Q280,安値!P280&lt;安値!R280),11,""))</f>
      </c>
      <c r="L280" s="684">
        <f>IF(終値!A280="","",IF(AND(安値!Q280&lt;安値!P280,安値!Q280&lt;安値!O280,安値!Q280&lt;安値!R280,安値!Q280&lt;安値!S280),12,""))</f>
      </c>
      <c r="M280" s="684">
        <f>IF(終値!A280="","",IF(AND(安値!R280&lt;安値!Q280,安値!R280&lt;安値!P280,安値!R280&lt;安値!S280,安値!R280&lt;安値!T280),13,""))</f>
      </c>
      <c r="N280" s="684">
        <f>IF(終値!A280="","",IF(AND(安値!S280&lt;安値!R280,安値!S280&lt;安値!Q280,安値!S280&lt;安値!T280,安値!S280&lt;安値!U280),14,""))</f>
      </c>
      <c r="O280" s="684">
        <f>IF(終値!A280="","",IF(AND(安値!T280&lt;安値!S280,安値!T280&lt;安値!R280,安値!T280&lt;安値!U280,安値!T280&lt;安値!V280),15,""))</f>
      </c>
      <c r="P280" s="684">
        <f>IF(終値!A280="","",IF(AND(安値!U280&lt;安値!T280,安値!U280&lt;安値!S280,安値!U280&lt;安値!V280,安値!U280&lt;安値!W280),16,""))</f>
      </c>
      <c r="Q280" s="684">
        <f>IF(終値!A280="","",IF(AND(安値!V280&lt;安値!U280,安値!V280&lt;安値!T280,安値!V280&lt;安値!W280,安値!V280&lt;安値!X280),17,""))</f>
      </c>
      <c r="R280" s="684">
        <f>IF(終値!A280="","",IF(AND(安値!W280&lt;安値!V280,安値!W280&lt;安値!U280,安値!W280&lt;安値!X280,安値!W280&lt;安値!Y280),18,""))</f>
      </c>
      <c r="S280" s="684">
        <f>IF(終値!A280="","",IF(AND(安値!X280&lt;安値!W280,安値!X280&lt;安値!V280,安値!X280&lt;安値!Y280,安値!X280&lt;安値!Z280),19,""))</f>
      </c>
      <c r="T280" s="684">
        <f>IF(終値!A280="","",IF(AND(安値!Y280&lt;安値!X280,安値!Y280&lt;安値!W280,安値!Y280&lt;安値!Z280,安値!Y280&lt;安値!AA280),20,""))</f>
      </c>
      <c r="U280" s="684">
        <f>IF(終値!A280="","",IF(AND(安値!Z280&lt;安値!Y280,安値!Z280&lt;安値!X280,安値!Z280&lt;安値!AA280,安値!Z280&lt;安値!AB280),21,""))</f>
      </c>
      <c r="V280" s="684">
        <f>IF(終値!A280="","",IF(AND(安値!AA280&lt;安値!Z280,安値!AA280&lt;安値!Y280,安値!AA280&lt;安値!AB280,安値!AA280&lt;安値!AC280),22,""))</f>
      </c>
      <c r="W280" s="684">
        <f>IF(終値!A280="","",IF(AND(安値!AB280&lt;安値!AA280,安値!AB280&lt;安値!Z280,安値!AB280&lt;安値!AC280,安値!AB280&lt;安値!AD280),23,""))</f>
      </c>
      <c r="X280" s="684">
        <f>IF(終値!A280="","",IF(AND(安値!AC280&lt;安値!AB280,安値!AC280&lt;安値!AA280,安値!AC280&lt;安値!AD280,安値!AC280&lt;安値!AE280),24,""))</f>
      </c>
      <c r="Y280" s="684">
        <f>IF(終値!A280="","",IF(AND(安値!AD280&lt;安値!AC280,安値!AD280&lt;安値!AB280,安値!AD280&lt;安値!AE280,安値!AD280&lt;安値!AF280),25,""))</f>
      </c>
      <c r="Z280" s="684">
        <f>IF(終値!A280="","",IF(AND(安値!AE280&lt;安値!AD280,安値!AE280&lt;安値!AC280,安値!AE280&lt;安値!AF280,安値!AE280&lt;安値!AG280),26,""))</f>
      </c>
      <c r="AA280" s="684">
        <f>IF(終値!A280="","",IF(AND(安値!AF280&lt;安値!AE280,安値!AF280&lt;安値!AD280,安値!AF280&lt;安値!AG280,安値!AF280&lt;安値!AH280),27,""))</f>
      </c>
      <c r="AB280" s="684">
        <f>IF(終値!A280="","",IF(AND(安値!AG280&lt;安値!AF280,安値!AG280&lt;安値!AE280,安値!AG280&lt;安値!AH280,安値!AG280&lt;安値!AI280),28,""))</f>
      </c>
      <c r="AC280" s="684">
        <f>IF(終値!A280="","",IF(AND(高値!G280&gt;高値!F280,高値!G280&gt;高値!E280,高値!G280&gt;高値!H280,高値!G280&gt;高値!I280),2,""))</f>
      </c>
      <c r="AD280" s="684">
        <f>IF(終値!A280="","",IF(AND(高値!H280&gt;高値!G280,高値!H280&gt;高値!F280,高値!H280&gt;高値!I280,高値!H280&gt;高値!J280),3,""))</f>
      </c>
      <c r="AE280" s="684">
        <f>IF(終値!A280="","",IF(AND(高値!I280&gt;高値!H280,高値!I280&gt;高値!G280,高値!I280&gt;高値!J280,高値!I280&gt;高値!K280),4,""))</f>
      </c>
      <c r="AF280" s="684">
        <f>IF(終値!A280="","",IF(AND(高値!J280&gt;高値!I280,高値!J280&gt;高値!H280,高値!J280&gt;高値!K280,高値!J280&gt;高値!L280),5,""))</f>
      </c>
      <c r="AG280" s="684">
        <f>IF(終値!A280="","",IF(AND(高値!K280&gt;高値!J280,高値!K280&gt;高値!I280,高値!K280&gt;高値!L280,高値!K280&gt;高値!M280),6,""))</f>
      </c>
      <c r="AH280" s="684">
        <f>IF(終値!A280="","",IF(AND(高値!L280&gt;高値!K280,高値!L280&gt;高値!J280,高値!L280&gt;高値!M280,高値!L280&gt;高値!N280),7,""))</f>
      </c>
      <c r="AI280" s="684">
        <f>IF(終値!A280="","",IF(AND(高値!M280&gt;高値!L280,高値!M280&gt;高値!K280,高値!M280&gt;高値!N280,高値!M280&gt;高値!O280),8,""))</f>
      </c>
      <c r="AJ280" s="684">
        <f>IF(終値!A280="","",IF(AND(高値!N280&gt;高値!M280,高値!N280&gt;高値!L280,高値!N280&gt;高値!O280,高値!N280&gt;高値!P280),9,""))</f>
      </c>
      <c r="AK280" s="684">
        <f>IF(終値!A280="","",IF(AND(高値!O280&gt;高値!N280,高値!O280&gt;高値!M280,高値!O280&gt;高値!P280,高値!O280&gt;高値!Q280),10,""))</f>
      </c>
      <c r="AL280" s="684">
        <f>IF(終値!A280="","",IF(AND(高値!P280&gt;高値!O280,高値!P280&gt;高値!N280,高値!P280&gt;高値!Q280,高値!P280&gt;高値!R280),11,""))</f>
      </c>
      <c r="AM280" s="684">
        <f>IF(終値!A280="","",IF(AND(高値!Q280&gt;高値!P280,高値!Q280&gt;高値!O280,高値!Q280&gt;高値!R280,高値!Q280&gt;高値!S280),12,""))</f>
      </c>
      <c r="AN280" s="684">
        <f>IF(終値!A280="","",IF(AND(高値!R280&gt;高値!Q280,高値!R280&gt;高値!P280,高値!R280&gt;高値!S280,高値!R280&gt;高値!T280),13,""))</f>
      </c>
      <c r="AO280" s="684">
        <f>IF(終値!A280="","",IF(AND(高値!S280&gt;高値!R280,高値!S280&gt;高値!Q280,高値!S280&gt;高値!T280,高値!S280&gt;高値!U280),14,""))</f>
      </c>
      <c r="AP280" s="684">
        <f>IF(終値!A280="","",IF(AND(高値!T280&gt;高値!S280,高値!T280&gt;高値!R280,高値!T280&gt;高値!U280,高値!T280&gt;高値!V280),15,""))</f>
      </c>
      <c r="AQ280" s="684">
        <f>IF(終値!A280="","",IF(AND(高値!U280&gt;高値!T280,高値!U280&gt;高値!S280,高値!U280&gt;高値!V280,高値!U280&gt;高値!W280),16,""))</f>
      </c>
      <c r="AR280" s="684">
        <f>IF(終値!A280="","",IF(AND(高値!V280&gt;高値!U280,高値!V280&gt;高値!T280,高値!V280&gt;高値!W280,高値!V280&gt;高値!X280),17,""))</f>
      </c>
      <c r="AS280" s="684">
        <f>IF(終値!A280="","",IF(AND(高値!W280&gt;高値!V280,高値!W280&gt;高値!U280,高値!W280&gt;高値!X280,高値!W280&gt;高値!Y280),18,""))</f>
      </c>
      <c r="AT280" s="684">
        <f>IF(終値!A280="","",IF(AND(高値!X280&gt;高値!W280,高値!X280&gt;高値!V280,高値!X280&gt;高値!Y280,高値!X280&gt;高値!Z280),19,""))</f>
      </c>
      <c r="AU280" s="684">
        <f>IF(終値!A280="","",IF(AND(高値!Y280&gt;高値!X280,高値!Y280&gt;高値!W280,高値!Y280&gt;高値!Z280,高値!Y280&gt;高値!AA280),20,""))</f>
      </c>
      <c r="AV280" s="684">
        <f>IF(終値!A280="","",IF(AND(高値!Z280&gt;高値!Y280,高値!Z280&gt;高値!X280,高値!Z280&gt;高値!AA280,高値!Z280&gt;高値!AB280),21,""))</f>
      </c>
      <c r="AW280" s="684">
        <f>IF(終値!A280="","",IF(AND(高値!AA280&gt;高値!Z280,高値!AA280&gt;高値!Y280,高値!AA280&gt;高値!AB280,高値!AA280&gt;高値!AC280),22,""))</f>
      </c>
      <c r="AX280" s="684">
        <f>IF(終値!A280="","",IF(AND(高値!AB280&gt;高値!AA280,高値!AB280&gt;高値!Z280,高値!AB280&gt;高値!AC280,高値!AB280&gt;高値!AD280),23,""))</f>
      </c>
      <c r="AY280" s="684">
        <f>IF(終値!A280="","",IF(AND(高値!AC280&gt;高値!AB280,高値!AC280&gt;高値!AA280,高値!AC280&gt;高値!AD280,高値!AC280&gt;高値!AE280),24,""))</f>
      </c>
      <c r="AZ280" s="684">
        <f>IF(終値!A280="","",IF(AND(高値!AD280&gt;高値!AC280,高値!AD280&gt;高値!AB280,高値!AD280&gt;高値!AE280,高値!AD280&gt;高値!AF280),25,""))</f>
      </c>
      <c r="BA280" s="684">
        <f>IF(終値!A280="","",IF(AND(高値!AE280&gt;高値!AD280,高値!AE280&gt;高値!AC280,高値!AE280&gt;高値!AF280,高値!AE280&gt;高値!AG280),26,""))</f>
      </c>
      <c r="BB280" s="684">
        <f>IF(終値!A280="","",IF(AND(高値!AF280&gt;高値!AE280,高値!AF280&gt;高値!AD280,高値!AF280&gt;高値!AG280,高値!AF280&gt;高値!AH280),27,""))</f>
      </c>
      <c r="BC280" s="684">
        <f>IF(終値!A280="","",IF(AND(高値!AG280&gt;高値!AF280,高値!AG280&gt;高値!AE280,高値!AG280&gt;高値!AH280,高値!AG280&gt;高値!AI280),28,""))</f>
      </c>
      <c r="BD280" s="684">
        <f>COUNT($B280:$AB280)</f>
      </c>
      <c r="BE280" s="684">
        <f>IF($BD280&gt;=2,MIN($B280:$AB280),"")</f>
      </c>
      <c r="BF280" s="684">
        <f>IF($BD280&gt;=2,SMALL($B280:$AB280,2),"")</f>
      </c>
      <c r="BG280" s="684">
        <f>IF($BE280="","",INDEX(安値!$E280:$CZ280,1,$BE280+1))</f>
      </c>
      <c r="BH280" s="684">
        <f>IF($BF280="","",INDEX(安値!$E280:$CZ280,1,$BF280+1))</f>
      </c>
      <c r="BI280" s="684">
        <f>IF($BF280="","",MAX(INDEX(高値!$E280:$CZ280,1,$BE280+1):INDEX(高値!$E280:$CZ280,1,$BF280+1)))</f>
      </c>
      <c r="BJ280" s="684">
        <f>IF($BF280="","",AVERAGE(INDEX(終値!$E280:$CZ280,1,$BF280+1):INDEX(終値!$E280:$CZ280,1,$BF280+20))-2*STDEVP(INDEX(終値!$E280:$CZ280,1,$BF280+1):INDEX(終値!$E280:$CZ280,1,$BF280+20)))</f>
      </c>
      <c r="BK280" s="684">
        <f>IF($BE280="","",AVERAGE(INDEX(終値!$E280:$CZ280,1,$BE280+1):INDEX(終値!$E280:$CZ280,1,$BE280+20))-2*STDEVP(INDEX(終値!$E280:$CZ280,1,$BE280+1):INDEX(終値!$E280:$CZ280,1,$BE280+20)))</f>
      </c>
      <c r="BL280" s="684">
        <f>COUNT($AC280:$BC280)</f>
      </c>
      <c r="BM280" s="684">
        <f>IF($BL280&gt;=2,MIN($AC280:$BC280),"")</f>
      </c>
      <c r="BN280" s="684">
        <f>IF($BL280&gt;=2,SMALL($AC280:$BC280,2),"")</f>
      </c>
      <c r="BO280" s="684">
        <f>IF($BM280="","",INDEX(高値!$E280:$CZ280,1,$BM280+1))</f>
      </c>
      <c r="BP280" s="684">
        <f>IF($BN280="","",INDEX(高値!$E280:$CZ280,1,$BN280+1))</f>
      </c>
      <c r="BQ280" s="684">
        <f>IF($BN280="","",MIN(INDEX(安値!$E280:$CZ280,1,$BM280+1):INDEX(安値!$E280:$CZ280,1,$BN280+1)))</f>
      </c>
      <c r="BR280" s="684">
        <f>IF($BN280="","",AVERAGE(INDEX(終値!$E280:$CZ280,1,$BN280+1):INDEX(終値!$E280:$CZ280,1,$BN280+20))+2*STDEVP(INDEX(終値!$E280:$CZ280,1,$BN280+1):INDEX(終値!$E280:$CZ280,1,$BN280+20)))</f>
      </c>
      <c r="BS280" s="684">
        <f>IF($BM280="","",AVERAGE(INDEX(終値!$E280:$CZ280,1,$BM280+1):INDEX(終値!$E280:$CZ280,1,$BM280+20))+2*STDEVP(INDEX(終値!$E280:$CZ280,1,$BM280+1):INDEX(終値!$E280:$CZ280,1,$BM280+20)))</f>
      </c>
      <c r="BT280" s="681">
        <f>IFERROR(IF(AND($BD280&gt;=2,ABS($BG280-$BH280)/$BH280&lt;=BB設定!$B$12,$BI280&gt;=MAX($BH280,$BG280)*(1+BB設定!$B$13),終値!E280&gt;$BG280),IF(OR(終値!E280&gt;=$BI280,AND($BH280&lt;$BJ280,$BG280&gt;=$BK280)),"二番底W▲","二番底W形成"),IF(AND($BL280&gt;=2,ABS($BO280-$BP280)/$BP280&lt;=BB設定!$B$12,$BQ280&lt;=MIN($BP280,$BO280)*(1-BB設定!$B$13),終値!E280&lt;$BO280),IF(OR(終値!E280&lt;=$BQ280,AND($BP280&gt;$BR280,$BO280&lt;=$BS280)),"二番天井M▼","二番天井M形成"),"－")),"－")</f>
      </c>
    </row>
    <row r="281">
      <c r="B281" s="684">
        <f>IF(終値!A281="","",IF(AND(安値!G281&lt;安値!F281,安値!G281&lt;安値!E281,安値!G281&lt;安値!H281,安値!G281&lt;安値!I281),2,""))</f>
      </c>
      <c r="C281" s="684">
        <f>IF(終値!A281="","",IF(AND(安値!H281&lt;安値!G281,安値!H281&lt;安値!F281,安値!H281&lt;安値!I281,安値!H281&lt;安値!J281),3,""))</f>
      </c>
      <c r="D281" s="684">
        <f>IF(終値!A281="","",IF(AND(安値!I281&lt;安値!H281,安値!I281&lt;安値!G281,安値!I281&lt;安値!J281,安値!I281&lt;安値!K281),4,""))</f>
      </c>
      <c r="E281" s="684">
        <f>IF(終値!A281="","",IF(AND(安値!J281&lt;安値!I281,安値!J281&lt;安値!H281,安値!J281&lt;安値!K281,安値!J281&lt;安値!L281),5,""))</f>
      </c>
      <c r="F281" s="684">
        <f>IF(終値!A281="","",IF(AND(安値!K281&lt;安値!J281,安値!K281&lt;安値!I281,安値!K281&lt;安値!L281,安値!K281&lt;安値!M281),6,""))</f>
      </c>
      <c r="G281" s="684">
        <f>IF(終値!A281="","",IF(AND(安値!L281&lt;安値!K281,安値!L281&lt;安値!J281,安値!L281&lt;安値!M281,安値!L281&lt;安値!N281),7,""))</f>
      </c>
      <c r="H281" s="684">
        <f>IF(終値!A281="","",IF(AND(安値!M281&lt;安値!L281,安値!M281&lt;安値!K281,安値!M281&lt;安値!N281,安値!M281&lt;安値!O281),8,""))</f>
      </c>
      <c r="I281" s="684">
        <f>IF(終値!A281="","",IF(AND(安値!N281&lt;安値!M281,安値!N281&lt;安値!L281,安値!N281&lt;安値!O281,安値!N281&lt;安値!P281),9,""))</f>
      </c>
      <c r="J281" s="684">
        <f>IF(終値!A281="","",IF(AND(安値!O281&lt;安値!N281,安値!O281&lt;安値!M281,安値!O281&lt;安値!P281,安値!O281&lt;安値!Q281),10,""))</f>
      </c>
      <c r="K281" s="684">
        <f>IF(終値!A281="","",IF(AND(安値!P281&lt;安値!O281,安値!P281&lt;安値!N281,安値!P281&lt;安値!Q281,安値!P281&lt;安値!R281),11,""))</f>
      </c>
      <c r="L281" s="684">
        <f>IF(終値!A281="","",IF(AND(安値!Q281&lt;安値!P281,安値!Q281&lt;安値!O281,安値!Q281&lt;安値!R281,安値!Q281&lt;安値!S281),12,""))</f>
      </c>
      <c r="M281" s="684">
        <f>IF(終値!A281="","",IF(AND(安値!R281&lt;安値!Q281,安値!R281&lt;安値!P281,安値!R281&lt;安値!S281,安値!R281&lt;安値!T281),13,""))</f>
      </c>
      <c r="N281" s="684">
        <f>IF(終値!A281="","",IF(AND(安値!S281&lt;安値!R281,安値!S281&lt;安値!Q281,安値!S281&lt;安値!T281,安値!S281&lt;安値!U281),14,""))</f>
      </c>
      <c r="O281" s="684">
        <f>IF(終値!A281="","",IF(AND(安値!T281&lt;安値!S281,安値!T281&lt;安値!R281,安値!T281&lt;安値!U281,安値!T281&lt;安値!V281),15,""))</f>
      </c>
      <c r="P281" s="684">
        <f>IF(終値!A281="","",IF(AND(安値!U281&lt;安値!T281,安値!U281&lt;安値!S281,安値!U281&lt;安値!V281,安値!U281&lt;安値!W281),16,""))</f>
      </c>
      <c r="Q281" s="684">
        <f>IF(終値!A281="","",IF(AND(安値!V281&lt;安値!U281,安値!V281&lt;安値!T281,安値!V281&lt;安値!W281,安値!V281&lt;安値!X281),17,""))</f>
      </c>
      <c r="R281" s="684">
        <f>IF(終値!A281="","",IF(AND(安値!W281&lt;安値!V281,安値!W281&lt;安値!U281,安値!W281&lt;安値!X281,安値!W281&lt;安値!Y281),18,""))</f>
      </c>
      <c r="S281" s="684">
        <f>IF(終値!A281="","",IF(AND(安値!X281&lt;安値!W281,安値!X281&lt;安値!V281,安値!X281&lt;安値!Y281,安値!X281&lt;安値!Z281),19,""))</f>
      </c>
      <c r="T281" s="684">
        <f>IF(終値!A281="","",IF(AND(安値!Y281&lt;安値!X281,安値!Y281&lt;安値!W281,安値!Y281&lt;安値!Z281,安値!Y281&lt;安値!AA281),20,""))</f>
      </c>
      <c r="U281" s="684">
        <f>IF(終値!A281="","",IF(AND(安値!Z281&lt;安値!Y281,安値!Z281&lt;安値!X281,安値!Z281&lt;安値!AA281,安値!Z281&lt;安値!AB281),21,""))</f>
      </c>
      <c r="V281" s="684">
        <f>IF(終値!A281="","",IF(AND(安値!AA281&lt;安値!Z281,安値!AA281&lt;安値!Y281,安値!AA281&lt;安値!AB281,安値!AA281&lt;安値!AC281),22,""))</f>
      </c>
      <c r="W281" s="684">
        <f>IF(終値!A281="","",IF(AND(安値!AB281&lt;安値!AA281,安値!AB281&lt;安値!Z281,安値!AB281&lt;安値!AC281,安値!AB281&lt;安値!AD281),23,""))</f>
      </c>
      <c r="X281" s="684">
        <f>IF(終値!A281="","",IF(AND(安値!AC281&lt;安値!AB281,安値!AC281&lt;安値!AA281,安値!AC281&lt;安値!AD281,安値!AC281&lt;安値!AE281),24,""))</f>
      </c>
      <c r="Y281" s="684">
        <f>IF(終値!A281="","",IF(AND(安値!AD281&lt;安値!AC281,安値!AD281&lt;安値!AB281,安値!AD281&lt;安値!AE281,安値!AD281&lt;安値!AF281),25,""))</f>
      </c>
      <c r="Z281" s="684">
        <f>IF(終値!A281="","",IF(AND(安値!AE281&lt;安値!AD281,安値!AE281&lt;安値!AC281,安値!AE281&lt;安値!AF281,安値!AE281&lt;安値!AG281),26,""))</f>
      </c>
      <c r="AA281" s="684">
        <f>IF(終値!A281="","",IF(AND(安値!AF281&lt;安値!AE281,安値!AF281&lt;安値!AD281,安値!AF281&lt;安値!AG281,安値!AF281&lt;安値!AH281),27,""))</f>
      </c>
      <c r="AB281" s="684">
        <f>IF(終値!A281="","",IF(AND(安値!AG281&lt;安値!AF281,安値!AG281&lt;安値!AE281,安値!AG281&lt;安値!AH281,安値!AG281&lt;安値!AI281),28,""))</f>
      </c>
      <c r="AC281" s="684">
        <f>IF(終値!A281="","",IF(AND(高値!G281&gt;高値!F281,高値!G281&gt;高値!E281,高値!G281&gt;高値!H281,高値!G281&gt;高値!I281),2,""))</f>
      </c>
      <c r="AD281" s="684">
        <f>IF(終値!A281="","",IF(AND(高値!H281&gt;高値!G281,高値!H281&gt;高値!F281,高値!H281&gt;高値!I281,高値!H281&gt;高値!J281),3,""))</f>
      </c>
      <c r="AE281" s="684">
        <f>IF(終値!A281="","",IF(AND(高値!I281&gt;高値!H281,高値!I281&gt;高値!G281,高値!I281&gt;高値!J281,高値!I281&gt;高値!K281),4,""))</f>
      </c>
      <c r="AF281" s="684">
        <f>IF(終値!A281="","",IF(AND(高値!J281&gt;高値!I281,高値!J281&gt;高値!H281,高値!J281&gt;高値!K281,高値!J281&gt;高値!L281),5,""))</f>
      </c>
      <c r="AG281" s="684">
        <f>IF(終値!A281="","",IF(AND(高値!K281&gt;高値!J281,高値!K281&gt;高値!I281,高値!K281&gt;高値!L281,高値!K281&gt;高値!M281),6,""))</f>
      </c>
      <c r="AH281" s="684">
        <f>IF(終値!A281="","",IF(AND(高値!L281&gt;高値!K281,高値!L281&gt;高値!J281,高値!L281&gt;高値!M281,高値!L281&gt;高値!N281),7,""))</f>
      </c>
      <c r="AI281" s="684">
        <f>IF(終値!A281="","",IF(AND(高値!M281&gt;高値!L281,高値!M281&gt;高値!K281,高値!M281&gt;高値!N281,高値!M281&gt;高値!O281),8,""))</f>
      </c>
      <c r="AJ281" s="684">
        <f>IF(終値!A281="","",IF(AND(高値!N281&gt;高値!M281,高値!N281&gt;高値!L281,高値!N281&gt;高値!O281,高値!N281&gt;高値!P281),9,""))</f>
      </c>
      <c r="AK281" s="684">
        <f>IF(終値!A281="","",IF(AND(高値!O281&gt;高値!N281,高値!O281&gt;高値!M281,高値!O281&gt;高値!P281,高値!O281&gt;高値!Q281),10,""))</f>
      </c>
      <c r="AL281" s="684">
        <f>IF(終値!A281="","",IF(AND(高値!P281&gt;高値!O281,高値!P281&gt;高値!N281,高値!P281&gt;高値!Q281,高値!P281&gt;高値!R281),11,""))</f>
      </c>
      <c r="AM281" s="684">
        <f>IF(終値!A281="","",IF(AND(高値!Q281&gt;高値!P281,高値!Q281&gt;高値!O281,高値!Q281&gt;高値!R281,高値!Q281&gt;高値!S281),12,""))</f>
      </c>
      <c r="AN281" s="684">
        <f>IF(終値!A281="","",IF(AND(高値!R281&gt;高値!Q281,高値!R281&gt;高値!P281,高値!R281&gt;高値!S281,高値!R281&gt;高値!T281),13,""))</f>
      </c>
      <c r="AO281" s="684">
        <f>IF(終値!A281="","",IF(AND(高値!S281&gt;高値!R281,高値!S281&gt;高値!Q281,高値!S281&gt;高値!T281,高値!S281&gt;高値!U281),14,""))</f>
      </c>
      <c r="AP281" s="684">
        <f>IF(終値!A281="","",IF(AND(高値!T281&gt;高値!S281,高値!T281&gt;高値!R281,高値!T281&gt;高値!U281,高値!T281&gt;高値!V281),15,""))</f>
      </c>
      <c r="AQ281" s="684">
        <f>IF(終値!A281="","",IF(AND(高値!U281&gt;高値!T281,高値!U281&gt;高値!S281,高値!U281&gt;高値!V281,高値!U281&gt;高値!W281),16,""))</f>
      </c>
      <c r="AR281" s="684">
        <f>IF(終値!A281="","",IF(AND(高値!V281&gt;高値!U281,高値!V281&gt;高値!T281,高値!V281&gt;高値!W281,高値!V281&gt;高値!X281),17,""))</f>
      </c>
      <c r="AS281" s="684">
        <f>IF(終値!A281="","",IF(AND(高値!W281&gt;高値!V281,高値!W281&gt;高値!U281,高値!W281&gt;高値!X281,高値!W281&gt;高値!Y281),18,""))</f>
      </c>
      <c r="AT281" s="684">
        <f>IF(終値!A281="","",IF(AND(高値!X281&gt;高値!W281,高値!X281&gt;高値!V281,高値!X281&gt;高値!Y281,高値!X281&gt;高値!Z281),19,""))</f>
      </c>
      <c r="AU281" s="684">
        <f>IF(終値!A281="","",IF(AND(高値!Y281&gt;高値!X281,高値!Y281&gt;高値!W281,高値!Y281&gt;高値!Z281,高値!Y281&gt;高値!AA281),20,""))</f>
      </c>
      <c r="AV281" s="684">
        <f>IF(終値!A281="","",IF(AND(高値!Z281&gt;高値!Y281,高値!Z281&gt;高値!X281,高値!Z281&gt;高値!AA281,高値!Z281&gt;高値!AB281),21,""))</f>
      </c>
      <c r="AW281" s="684">
        <f>IF(終値!A281="","",IF(AND(高値!AA281&gt;高値!Z281,高値!AA281&gt;高値!Y281,高値!AA281&gt;高値!AB281,高値!AA281&gt;高値!AC281),22,""))</f>
      </c>
      <c r="AX281" s="684">
        <f>IF(終値!A281="","",IF(AND(高値!AB281&gt;高値!AA281,高値!AB281&gt;高値!Z281,高値!AB281&gt;高値!AC281,高値!AB281&gt;高値!AD281),23,""))</f>
      </c>
      <c r="AY281" s="684">
        <f>IF(終値!A281="","",IF(AND(高値!AC281&gt;高値!AB281,高値!AC281&gt;高値!AA281,高値!AC281&gt;高値!AD281,高値!AC281&gt;高値!AE281),24,""))</f>
      </c>
      <c r="AZ281" s="684">
        <f>IF(終値!A281="","",IF(AND(高値!AD281&gt;高値!AC281,高値!AD281&gt;高値!AB281,高値!AD281&gt;高値!AE281,高値!AD281&gt;高値!AF281),25,""))</f>
      </c>
      <c r="BA281" s="684">
        <f>IF(終値!A281="","",IF(AND(高値!AE281&gt;高値!AD281,高値!AE281&gt;高値!AC281,高値!AE281&gt;高値!AF281,高値!AE281&gt;高値!AG281),26,""))</f>
      </c>
      <c r="BB281" s="684">
        <f>IF(終値!A281="","",IF(AND(高値!AF281&gt;高値!AE281,高値!AF281&gt;高値!AD281,高値!AF281&gt;高値!AG281,高値!AF281&gt;高値!AH281),27,""))</f>
      </c>
      <c r="BC281" s="684">
        <f>IF(終値!A281="","",IF(AND(高値!AG281&gt;高値!AF281,高値!AG281&gt;高値!AE281,高値!AG281&gt;高値!AH281,高値!AG281&gt;高値!AI281),28,""))</f>
      </c>
      <c r="BD281" s="684">
        <f>COUNT($B281:$AB281)</f>
      </c>
      <c r="BE281" s="684">
        <f>IF($BD281&gt;=2,MIN($B281:$AB281),"")</f>
      </c>
      <c r="BF281" s="684">
        <f>IF($BD281&gt;=2,SMALL($B281:$AB281,2),"")</f>
      </c>
      <c r="BG281" s="684">
        <f>IF($BE281="","",INDEX(安値!$E281:$CZ281,1,$BE281+1))</f>
      </c>
      <c r="BH281" s="684">
        <f>IF($BF281="","",INDEX(安値!$E281:$CZ281,1,$BF281+1))</f>
      </c>
      <c r="BI281" s="684">
        <f>IF($BF281="","",MAX(INDEX(高値!$E281:$CZ281,1,$BE281+1):INDEX(高値!$E281:$CZ281,1,$BF281+1)))</f>
      </c>
      <c r="BJ281" s="684">
        <f>IF($BF281="","",AVERAGE(INDEX(終値!$E281:$CZ281,1,$BF281+1):INDEX(終値!$E281:$CZ281,1,$BF281+20))-2*STDEVP(INDEX(終値!$E281:$CZ281,1,$BF281+1):INDEX(終値!$E281:$CZ281,1,$BF281+20)))</f>
      </c>
      <c r="BK281" s="684">
        <f>IF($BE281="","",AVERAGE(INDEX(終値!$E281:$CZ281,1,$BE281+1):INDEX(終値!$E281:$CZ281,1,$BE281+20))-2*STDEVP(INDEX(終値!$E281:$CZ281,1,$BE281+1):INDEX(終値!$E281:$CZ281,1,$BE281+20)))</f>
      </c>
      <c r="BL281" s="684">
        <f>COUNT($AC281:$BC281)</f>
      </c>
      <c r="BM281" s="684">
        <f>IF($BL281&gt;=2,MIN($AC281:$BC281),"")</f>
      </c>
      <c r="BN281" s="684">
        <f>IF($BL281&gt;=2,SMALL($AC281:$BC281,2),"")</f>
      </c>
      <c r="BO281" s="684">
        <f>IF($BM281="","",INDEX(高値!$E281:$CZ281,1,$BM281+1))</f>
      </c>
      <c r="BP281" s="684">
        <f>IF($BN281="","",INDEX(高値!$E281:$CZ281,1,$BN281+1))</f>
      </c>
      <c r="BQ281" s="684">
        <f>IF($BN281="","",MIN(INDEX(安値!$E281:$CZ281,1,$BM281+1):INDEX(安値!$E281:$CZ281,1,$BN281+1)))</f>
      </c>
      <c r="BR281" s="684">
        <f>IF($BN281="","",AVERAGE(INDEX(終値!$E281:$CZ281,1,$BN281+1):INDEX(終値!$E281:$CZ281,1,$BN281+20))+2*STDEVP(INDEX(終値!$E281:$CZ281,1,$BN281+1):INDEX(終値!$E281:$CZ281,1,$BN281+20)))</f>
      </c>
      <c r="BS281" s="684">
        <f>IF($BM281="","",AVERAGE(INDEX(終値!$E281:$CZ281,1,$BM281+1):INDEX(終値!$E281:$CZ281,1,$BM281+20))+2*STDEVP(INDEX(終値!$E281:$CZ281,1,$BM281+1):INDEX(終値!$E281:$CZ281,1,$BM281+20)))</f>
      </c>
      <c r="BT281" s="681">
        <f>IFERROR(IF(AND($BD281&gt;=2,ABS($BG281-$BH281)/$BH281&lt;=BB設定!$B$12,$BI281&gt;=MAX($BH281,$BG281)*(1+BB設定!$B$13),終値!E281&gt;$BG281),IF(OR(終値!E281&gt;=$BI281,AND($BH281&lt;$BJ281,$BG281&gt;=$BK281)),"二番底W▲","二番底W形成"),IF(AND($BL281&gt;=2,ABS($BO281-$BP281)/$BP281&lt;=BB設定!$B$12,$BQ281&lt;=MIN($BP281,$BO281)*(1-BB設定!$B$13),終値!E281&lt;$BO281),IF(OR(終値!E281&lt;=$BQ281,AND($BP281&gt;$BR281,$BO281&lt;=$BS281)),"二番天井M▼","二番天井M形成"),"－")),"－")</f>
      </c>
    </row>
    <row r="282">
      <c r="B282" s="684">
        <f>IF(終値!A282="","",IF(AND(安値!G282&lt;安値!F282,安値!G282&lt;安値!E282,安値!G282&lt;安値!H282,安値!G282&lt;安値!I282),2,""))</f>
      </c>
      <c r="C282" s="684">
        <f>IF(終値!A282="","",IF(AND(安値!H282&lt;安値!G282,安値!H282&lt;安値!F282,安値!H282&lt;安値!I282,安値!H282&lt;安値!J282),3,""))</f>
      </c>
      <c r="D282" s="684">
        <f>IF(終値!A282="","",IF(AND(安値!I282&lt;安値!H282,安値!I282&lt;安値!G282,安値!I282&lt;安値!J282,安値!I282&lt;安値!K282),4,""))</f>
      </c>
      <c r="E282" s="684">
        <f>IF(終値!A282="","",IF(AND(安値!J282&lt;安値!I282,安値!J282&lt;安値!H282,安値!J282&lt;安値!K282,安値!J282&lt;安値!L282),5,""))</f>
      </c>
      <c r="F282" s="684">
        <f>IF(終値!A282="","",IF(AND(安値!K282&lt;安値!J282,安値!K282&lt;安値!I282,安値!K282&lt;安値!L282,安値!K282&lt;安値!M282),6,""))</f>
      </c>
      <c r="G282" s="684">
        <f>IF(終値!A282="","",IF(AND(安値!L282&lt;安値!K282,安値!L282&lt;安値!J282,安値!L282&lt;安値!M282,安値!L282&lt;安値!N282),7,""))</f>
      </c>
      <c r="H282" s="684">
        <f>IF(終値!A282="","",IF(AND(安値!M282&lt;安値!L282,安値!M282&lt;安値!K282,安値!M282&lt;安値!N282,安値!M282&lt;安値!O282),8,""))</f>
      </c>
      <c r="I282" s="684">
        <f>IF(終値!A282="","",IF(AND(安値!N282&lt;安値!M282,安値!N282&lt;安値!L282,安値!N282&lt;安値!O282,安値!N282&lt;安値!P282),9,""))</f>
      </c>
      <c r="J282" s="684">
        <f>IF(終値!A282="","",IF(AND(安値!O282&lt;安値!N282,安値!O282&lt;安値!M282,安値!O282&lt;安値!P282,安値!O282&lt;安値!Q282),10,""))</f>
      </c>
      <c r="K282" s="684">
        <f>IF(終値!A282="","",IF(AND(安値!P282&lt;安値!O282,安値!P282&lt;安値!N282,安値!P282&lt;安値!Q282,安値!P282&lt;安値!R282),11,""))</f>
      </c>
      <c r="L282" s="684">
        <f>IF(終値!A282="","",IF(AND(安値!Q282&lt;安値!P282,安値!Q282&lt;安値!O282,安値!Q282&lt;安値!R282,安値!Q282&lt;安値!S282),12,""))</f>
      </c>
      <c r="M282" s="684">
        <f>IF(終値!A282="","",IF(AND(安値!R282&lt;安値!Q282,安値!R282&lt;安値!P282,安値!R282&lt;安値!S282,安値!R282&lt;安値!T282),13,""))</f>
      </c>
      <c r="N282" s="684">
        <f>IF(終値!A282="","",IF(AND(安値!S282&lt;安値!R282,安値!S282&lt;安値!Q282,安値!S282&lt;安値!T282,安値!S282&lt;安値!U282),14,""))</f>
      </c>
      <c r="O282" s="684">
        <f>IF(終値!A282="","",IF(AND(安値!T282&lt;安値!S282,安値!T282&lt;安値!R282,安値!T282&lt;安値!U282,安値!T282&lt;安値!V282),15,""))</f>
      </c>
      <c r="P282" s="684">
        <f>IF(終値!A282="","",IF(AND(安値!U282&lt;安値!T282,安値!U282&lt;安値!S282,安値!U282&lt;安値!V282,安値!U282&lt;安値!W282),16,""))</f>
      </c>
      <c r="Q282" s="684">
        <f>IF(終値!A282="","",IF(AND(安値!V282&lt;安値!U282,安値!V282&lt;安値!T282,安値!V282&lt;安値!W282,安値!V282&lt;安値!X282),17,""))</f>
      </c>
      <c r="R282" s="684">
        <f>IF(終値!A282="","",IF(AND(安値!W282&lt;安値!V282,安値!W282&lt;安値!U282,安値!W282&lt;安値!X282,安値!W282&lt;安値!Y282),18,""))</f>
      </c>
      <c r="S282" s="684">
        <f>IF(終値!A282="","",IF(AND(安値!X282&lt;安値!W282,安値!X282&lt;安値!V282,安値!X282&lt;安値!Y282,安値!X282&lt;安値!Z282),19,""))</f>
      </c>
      <c r="T282" s="684">
        <f>IF(終値!A282="","",IF(AND(安値!Y282&lt;安値!X282,安値!Y282&lt;安値!W282,安値!Y282&lt;安値!Z282,安値!Y282&lt;安値!AA282),20,""))</f>
      </c>
      <c r="U282" s="684">
        <f>IF(終値!A282="","",IF(AND(安値!Z282&lt;安値!Y282,安値!Z282&lt;安値!X282,安値!Z282&lt;安値!AA282,安値!Z282&lt;安値!AB282),21,""))</f>
      </c>
      <c r="V282" s="684">
        <f>IF(終値!A282="","",IF(AND(安値!AA282&lt;安値!Z282,安値!AA282&lt;安値!Y282,安値!AA282&lt;安値!AB282,安値!AA282&lt;安値!AC282),22,""))</f>
      </c>
      <c r="W282" s="684">
        <f>IF(終値!A282="","",IF(AND(安値!AB282&lt;安値!AA282,安値!AB282&lt;安値!Z282,安値!AB282&lt;安値!AC282,安値!AB282&lt;安値!AD282),23,""))</f>
      </c>
      <c r="X282" s="684">
        <f>IF(終値!A282="","",IF(AND(安値!AC282&lt;安値!AB282,安値!AC282&lt;安値!AA282,安値!AC282&lt;安値!AD282,安値!AC282&lt;安値!AE282),24,""))</f>
      </c>
      <c r="Y282" s="684">
        <f>IF(終値!A282="","",IF(AND(安値!AD282&lt;安値!AC282,安値!AD282&lt;安値!AB282,安値!AD282&lt;安値!AE282,安値!AD282&lt;安値!AF282),25,""))</f>
      </c>
      <c r="Z282" s="684">
        <f>IF(終値!A282="","",IF(AND(安値!AE282&lt;安値!AD282,安値!AE282&lt;安値!AC282,安値!AE282&lt;安値!AF282,安値!AE282&lt;安値!AG282),26,""))</f>
      </c>
      <c r="AA282" s="684">
        <f>IF(終値!A282="","",IF(AND(安値!AF282&lt;安値!AE282,安値!AF282&lt;安値!AD282,安値!AF282&lt;安値!AG282,安値!AF282&lt;安値!AH282),27,""))</f>
      </c>
      <c r="AB282" s="684">
        <f>IF(終値!A282="","",IF(AND(安値!AG282&lt;安値!AF282,安値!AG282&lt;安値!AE282,安値!AG282&lt;安値!AH282,安値!AG282&lt;安値!AI282),28,""))</f>
      </c>
      <c r="AC282" s="684">
        <f>IF(終値!A282="","",IF(AND(高値!G282&gt;高値!F282,高値!G282&gt;高値!E282,高値!G282&gt;高値!H282,高値!G282&gt;高値!I282),2,""))</f>
      </c>
      <c r="AD282" s="684">
        <f>IF(終値!A282="","",IF(AND(高値!H282&gt;高値!G282,高値!H282&gt;高値!F282,高値!H282&gt;高値!I282,高値!H282&gt;高値!J282),3,""))</f>
      </c>
      <c r="AE282" s="684">
        <f>IF(終値!A282="","",IF(AND(高値!I282&gt;高値!H282,高値!I282&gt;高値!G282,高値!I282&gt;高値!J282,高値!I282&gt;高値!K282),4,""))</f>
      </c>
      <c r="AF282" s="684">
        <f>IF(終値!A282="","",IF(AND(高値!J282&gt;高値!I282,高値!J282&gt;高値!H282,高値!J282&gt;高値!K282,高値!J282&gt;高値!L282),5,""))</f>
      </c>
      <c r="AG282" s="684">
        <f>IF(終値!A282="","",IF(AND(高値!K282&gt;高値!J282,高値!K282&gt;高値!I282,高値!K282&gt;高値!L282,高値!K282&gt;高値!M282),6,""))</f>
      </c>
      <c r="AH282" s="684">
        <f>IF(終値!A282="","",IF(AND(高値!L282&gt;高値!K282,高値!L282&gt;高値!J282,高値!L282&gt;高値!M282,高値!L282&gt;高値!N282),7,""))</f>
      </c>
      <c r="AI282" s="684">
        <f>IF(終値!A282="","",IF(AND(高値!M282&gt;高値!L282,高値!M282&gt;高値!K282,高値!M282&gt;高値!N282,高値!M282&gt;高値!O282),8,""))</f>
      </c>
      <c r="AJ282" s="684">
        <f>IF(終値!A282="","",IF(AND(高値!N282&gt;高値!M282,高値!N282&gt;高値!L282,高値!N282&gt;高値!O282,高値!N282&gt;高値!P282),9,""))</f>
      </c>
      <c r="AK282" s="684">
        <f>IF(終値!A282="","",IF(AND(高値!O282&gt;高値!N282,高値!O282&gt;高値!M282,高値!O282&gt;高値!P282,高値!O282&gt;高値!Q282),10,""))</f>
      </c>
      <c r="AL282" s="684">
        <f>IF(終値!A282="","",IF(AND(高値!P282&gt;高値!O282,高値!P282&gt;高値!N282,高値!P282&gt;高値!Q282,高値!P282&gt;高値!R282),11,""))</f>
      </c>
      <c r="AM282" s="684">
        <f>IF(終値!A282="","",IF(AND(高値!Q282&gt;高値!P282,高値!Q282&gt;高値!O282,高値!Q282&gt;高値!R282,高値!Q282&gt;高値!S282),12,""))</f>
      </c>
      <c r="AN282" s="684">
        <f>IF(終値!A282="","",IF(AND(高値!R282&gt;高値!Q282,高値!R282&gt;高値!P282,高値!R282&gt;高値!S282,高値!R282&gt;高値!T282),13,""))</f>
      </c>
      <c r="AO282" s="684">
        <f>IF(終値!A282="","",IF(AND(高値!S282&gt;高値!R282,高値!S282&gt;高値!Q282,高値!S282&gt;高値!T282,高値!S282&gt;高値!U282),14,""))</f>
      </c>
      <c r="AP282" s="684">
        <f>IF(終値!A282="","",IF(AND(高値!T282&gt;高値!S282,高値!T282&gt;高値!R282,高値!T282&gt;高値!U282,高値!T282&gt;高値!V282),15,""))</f>
      </c>
      <c r="AQ282" s="684">
        <f>IF(終値!A282="","",IF(AND(高値!U282&gt;高値!T282,高値!U282&gt;高値!S282,高値!U282&gt;高値!V282,高値!U282&gt;高値!W282),16,""))</f>
      </c>
      <c r="AR282" s="684">
        <f>IF(終値!A282="","",IF(AND(高値!V282&gt;高値!U282,高値!V282&gt;高値!T282,高値!V282&gt;高値!W282,高値!V282&gt;高値!X282),17,""))</f>
      </c>
      <c r="AS282" s="684">
        <f>IF(終値!A282="","",IF(AND(高値!W282&gt;高値!V282,高値!W282&gt;高値!U282,高値!W282&gt;高値!X282,高値!W282&gt;高値!Y282),18,""))</f>
      </c>
      <c r="AT282" s="684">
        <f>IF(終値!A282="","",IF(AND(高値!X282&gt;高値!W282,高値!X282&gt;高値!V282,高値!X282&gt;高値!Y282,高値!X282&gt;高値!Z282),19,""))</f>
      </c>
      <c r="AU282" s="684">
        <f>IF(終値!A282="","",IF(AND(高値!Y282&gt;高値!X282,高値!Y282&gt;高値!W282,高値!Y282&gt;高値!Z282,高値!Y282&gt;高値!AA282),20,""))</f>
      </c>
      <c r="AV282" s="684">
        <f>IF(終値!A282="","",IF(AND(高値!Z282&gt;高値!Y282,高値!Z282&gt;高値!X282,高値!Z282&gt;高値!AA282,高値!Z282&gt;高値!AB282),21,""))</f>
      </c>
      <c r="AW282" s="684">
        <f>IF(終値!A282="","",IF(AND(高値!AA282&gt;高値!Z282,高値!AA282&gt;高値!Y282,高値!AA282&gt;高値!AB282,高値!AA282&gt;高値!AC282),22,""))</f>
      </c>
      <c r="AX282" s="684">
        <f>IF(終値!A282="","",IF(AND(高値!AB282&gt;高値!AA282,高値!AB282&gt;高値!Z282,高値!AB282&gt;高値!AC282,高値!AB282&gt;高値!AD282),23,""))</f>
      </c>
      <c r="AY282" s="684">
        <f>IF(終値!A282="","",IF(AND(高値!AC282&gt;高値!AB282,高値!AC282&gt;高値!AA282,高値!AC282&gt;高値!AD282,高値!AC282&gt;高値!AE282),24,""))</f>
      </c>
      <c r="AZ282" s="684">
        <f>IF(終値!A282="","",IF(AND(高値!AD282&gt;高値!AC282,高値!AD282&gt;高値!AB282,高値!AD282&gt;高値!AE282,高値!AD282&gt;高値!AF282),25,""))</f>
      </c>
      <c r="BA282" s="684">
        <f>IF(終値!A282="","",IF(AND(高値!AE282&gt;高値!AD282,高値!AE282&gt;高値!AC282,高値!AE282&gt;高値!AF282,高値!AE282&gt;高値!AG282),26,""))</f>
      </c>
      <c r="BB282" s="684">
        <f>IF(終値!A282="","",IF(AND(高値!AF282&gt;高値!AE282,高値!AF282&gt;高値!AD282,高値!AF282&gt;高値!AG282,高値!AF282&gt;高値!AH282),27,""))</f>
      </c>
      <c r="BC282" s="684">
        <f>IF(終値!A282="","",IF(AND(高値!AG282&gt;高値!AF282,高値!AG282&gt;高値!AE282,高値!AG282&gt;高値!AH282,高値!AG282&gt;高値!AI282),28,""))</f>
      </c>
      <c r="BD282" s="684">
        <f>COUNT($B282:$AB282)</f>
      </c>
      <c r="BE282" s="684">
        <f>IF($BD282&gt;=2,MIN($B282:$AB282),"")</f>
      </c>
      <c r="BF282" s="684">
        <f>IF($BD282&gt;=2,SMALL($B282:$AB282,2),"")</f>
      </c>
      <c r="BG282" s="684">
        <f>IF($BE282="","",INDEX(安値!$E282:$CZ282,1,$BE282+1))</f>
      </c>
      <c r="BH282" s="684">
        <f>IF($BF282="","",INDEX(安値!$E282:$CZ282,1,$BF282+1))</f>
      </c>
      <c r="BI282" s="684">
        <f>IF($BF282="","",MAX(INDEX(高値!$E282:$CZ282,1,$BE282+1):INDEX(高値!$E282:$CZ282,1,$BF282+1)))</f>
      </c>
      <c r="BJ282" s="684">
        <f>IF($BF282="","",AVERAGE(INDEX(終値!$E282:$CZ282,1,$BF282+1):INDEX(終値!$E282:$CZ282,1,$BF282+20))-2*STDEVP(INDEX(終値!$E282:$CZ282,1,$BF282+1):INDEX(終値!$E282:$CZ282,1,$BF282+20)))</f>
      </c>
      <c r="BK282" s="684">
        <f>IF($BE282="","",AVERAGE(INDEX(終値!$E282:$CZ282,1,$BE282+1):INDEX(終値!$E282:$CZ282,1,$BE282+20))-2*STDEVP(INDEX(終値!$E282:$CZ282,1,$BE282+1):INDEX(終値!$E282:$CZ282,1,$BE282+20)))</f>
      </c>
      <c r="BL282" s="684">
        <f>COUNT($AC282:$BC282)</f>
      </c>
      <c r="BM282" s="684">
        <f>IF($BL282&gt;=2,MIN($AC282:$BC282),"")</f>
      </c>
      <c r="BN282" s="684">
        <f>IF($BL282&gt;=2,SMALL($AC282:$BC282,2),"")</f>
      </c>
      <c r="BO282" s="684">
        <f>IF($BM282="","",INDEX(高値!$E282:$CZ282,1,$BM282+1))</f>
      </c>
      <c r="BP282" s="684">
        <f>IF($BN282="","",INDEX(高値!$E282:$CZ282,1,$BN282+1))</f>
      </c>
      <c r="BQ282" s="684">
        <f>IF($BN282="","",MIN(INDEX(安値!$E282:$CZ282,1,$BM282+1):INDEX(安値!$E282:$CZ282,1,$BN282+1)))</f>
      </c>
      <c r="BR282" s="684">
        <f>IF($BN282="","",AVERAGE(INDEX(終値!$E282:$CZ282,1,$BN282+1):INDEX(終値!$E282:$CZ282,1,$BN282+20))+2*STDEVP(INDEX(終値!$E282:$CZ282,1,$BN282+1):INDEX(終値!$E282:$CZ282,1,$BN282+20)))</f>
      </c>
      <c r="BS282" s="684">
        <f>IF($BM282="","",AVERAGE(INDEX(終値!$E282:$CZ282,1,$BM282+1):INDEX(終値!$E282:$CZ282,1,$BM282+20))+2*STDEVP(INDEX(終値!$E282:$CZ282,1,$BM282+1):INDEX(終値!$E282:$CZ282,1,$BM282+20)))</f>
      </c>
      <c r="BT282" s="681">
        <f>IFERROR(IF(AND($BD282&gt;=2,ABS($BG282-$BH282)/$BH282&lt;=BB設定!$B$12,$BI282&gt;=MAX($BH282,$BG282)*(1+BB設定!$B$13),終値!E282&gt;$BG282),IF(OR(終値!E282&gt;=$BI282,AND($BH282&lt;$BJ282,$BG282&gt;=$BK282)),"二番底W▲","二番底W形成"),IF(AND($BL282&gt;=2,ABS($BO282-$BP282)/$BP282&lt;=BB設定!$B$12,$BQ282&lt;=MIN($BP282,$BO282)*(1-BB設定!$B$13),終値!E282&lt;$BO282),IF(OR(終値!E282&lt;=$BQ282,AND($BP282&gt;$BR282,$BO282&lt;=$BS282)),"二番天井M▼","二番天井M形成"),"－")),"－")</f>
      </c>
    </row>
    <row r="283">
      <c r="B283" s="684">
        <f>IF(終値!A283="","",IF(AND(安値!G283&lt;安値!F283,安値!G283&lt;安値!E283,安値!G283&lt;安値!H283,安値!G283&lt;安値!I283),2,""))</f>
      </c>
      <c r="C283" s="684">
        <f>IF(終値!A283="","",IF(AND(安値!H283&lt;安値!G283,安値!H283&lt;安値!F283,安値!H283&lt;安値!I283,安値!H283&lt;安値!J283),3,""))</f>
      </c>
      <c r="D283" s="684">
        <f>IF(終値!A283="","",IF(AND(安値!I283&lt;安値!H283,安値!I283&lt;安値!G283,安値!I283&lt;安値!J283,安値!I283&lt;安値!K283),4,""))</f>
      </c>
      <c r="E283" s="684">
        <f>IF(終値!A283="","",IF(AND(安値!J283&lt;安値!I283,安値!J283&lt;安値!H283,安値!J283&lt;安値!K283,安値!J283&lt;安値!L283),5,""))</f>
      </c>
      <c r="F283" s="684">
        <f>IF(終値!A283="","",IF(AND(安値!K283&lt;安値!J283,安値!K283&lt;安値!I283,安値!K283&lt;安値!L283,安値!K283&lt;安値!M283),6,""))</f>
      </c>
      <c r="G283" s="684">
        <f>IF(終値!A283="","",IF(AND(安値!L283&lt;安値!K283,安値!L283&lt;安値!J283,安値!L283&lt;安値!M283,安値!L283&lt;安値!N283),7,""))</f>
      </c>
      <c r="H283" s="684">
        <f>IF(終値!A283="","",IF(AND(安値!M283&lt;安値!L283,安値!M283&lt;安値!K283,安値!M283&lt;安値!N283,安値!M283&lt;安値!O283),8,""))</f>
      </c>
      <c r="I283" s="684">
        <f>IF(終値!A283="","",IF(AND(安値!N283&lt;安値!M283,安値!N283&lt;安値!L283,安値!N283&lt;安値!O283,安値!N283&lt;安値!P283),9,""))</f>
      </c>
      <c r="J283" s="684">
        <f>IF(終値!A283="","",IF(AND(安値!O283&lt;安値!N283,安値!O283&lt;安値!M283,安値!O283&lt;安値!P283,安値!O283&lt;安値!Q283),10,""))</f>
      </c>
      <c r="K283" s="684">
        <f>IF(終値!A283="","",IF(AND(安値!P283&lt;安値!O283,安値!P283&lt;安値!N283,安値!P283&lt;安値!Q283,安値!P283&lt;安値!R283),11,""))</f>
      </c>
      <c r="L283" s="684">
        <f>IF(終値!A283="","",IF(AND(安値!Q283&lt;安値!P283,安値!Q283&lt;安値!O283,安値!Q283&lt;安値!R283,安値!Q283&lt;安値!S283),12,""))</f>
      </c>
      <c r="M283" s="684">
        <f>IF(終値!A283="","",IF(AND(安値!R283&lt;安値!Q283,安値!R283&lt;安値!P283,安値!R283&lt;安値!S283,安値!R283&lt;安値!T283),13,""))</f>
      </c>
      <c r="N283" s="684">
        <f>IF(終値!A283="","",IF(AND(安値!S283&lt;安値!R283,安値!S283&lt;安値!Q283,安値!S283&lt;安値!T283,安値!S283&lt;安値!U283),14,""))</f>
      </c>
      <c r="O283" s="684">
        <f>IF(終値!A283="","",IF(AND(安値!T283&lt;安値!S283,安値!T283&lt;安値!R283,安値!T283&lt;安値!U283,安値!T283&lt;安値!V283),15,""))</f>
      </c>
      <c r="P283" s="684">
        <f>IF(終値!A283="","",IF(AND(安値!U283&lt;安値!T283,安値!U283&lt;安値!S283,安値!U283&lt;安値!V283,安値!U283&lt;安値!W283),16,""))</f>
      </c>
      <c r="Q283" s="684">
        <f>IF(終値!A283="","",IF(AND(安値!V283&lt;安値!U283,安値!V283&lt;安値!T283,安値!V283&lt;安値!W283,安値!V283&lt;安値!X283),17,""))</f>
      </c>
      <c r="R283" s="684">
        <f>IF(終値!A283="","",IF(AND(安値!W283&lt;安値!V283,安値!W283&lt;安値!U283,安値!W283&lt;安値!X283,安値!W283&lt;安値!Y283),18,""))</f>
      </c>
      <c r="S283" s="684">
        <f>IF(終値!A283="","",IF(AND(安値!X283&lt;安値!W283,安値!X283&lt;安値!V283,安値!X283&lt;安値!Y283,安値!X283&lt;安値!Z283),19,""))</f>
      </c>
      <c r="T283" s="684">
        <f>IF(終値!A283="","",IF(AND(安値!Y283&lt;安値!X283,安値!Y283&lt;安値!W283,安値!Y283&lt;安値!Z283,安値!Y283&lt;安値!AA283),20,""))</f>
      </c>
      <c r="U283" s="684">
        <f>IF(終値!A283="","",IF(AND(安値!Z283&lt;安値!Y283,安値!Z283&lt;安値!X283,安値!Z283&lt;安値!AA283,安値!Z283&lt;安値!AB283),21,""))</f>
      </c>
      <c r="V283" s="684">
        <f>IF(終値!A283="","",IF(AND(安値!AA283&lt;安値!Z283,安値!AA283&lt;安値!Y283,安値!AA283&lt;安値!AB283,安値!AA283&lt;安値!AC283),22,""))</f>
      </c>
      <c r="W283" s="684">
        <f>IF(終値!A283="","",IF(AND(安値!AB283&lt;安値!AA283,安値!AB283&lt;安値!Z283,安値!AB283&lt;安値!AC283,安値!AB283&lt;安値!AD283),23,""))</f>
      </c>
      <c r="X283" s="684">
        <f>IF(終値!A283="","",IF(AND(安値!AC283&lt;安値!AB283,安値!AC283&lt;安値!AA283,安値!AC283&lt;安値!AD283,安値!AC283&lt;安値!AE283),24,""))</f>
      </c>
      <c r="Y283" s="684">
        <f>IF(終値!A283="","",IF(AND(安値!AD283&lt;安値!AC283,安値!AD283&lt;安値!AB283,安値!AD283&lt;安値!AE283,安値!AD283&lt;安値!AF283),25,""))</f>
      </c>
      <c r="Z283" s="684">
        <f>IF(終値!A283="","",IF(AND(安値!AE283&lt;安値!AD283,安値!AE283&lt;安値!AC283,安値!AE283&lt;安値!AF283,安値!AE283&lt;安値!AG283),26,""))</f>
      </c>
      <c r="AA283" s="684">
        <f>IF(終値!A283="","",IF(AND(安値!AF283&lt;安値!AE283,安値!AF283&lt;安値!AD283,安値!AF283&lt;安値!AG283,安値!AF283&lt;安値!AH283),27,""))</f>
      </c>
      <c r="AB283" s="684">
        <f>IF(終値!A283="","",IF(AND(安値!AG283&lt;安値!AF283,安値!AG283&lt;安値!AE283,安値!AG283&lt;安値!AH283,安値!AG283&lt;安値!AI283),28,""))</f>
      </c>
      <c r="AC283" s="684">
        <f>IF(終値!A283="","",IF(AND(高値!G283&gt;高値!F283,高値!G283&gt;高値!E283,高値!G283&gt;高値!H283,高値!G283&gt;高値!I283),2,""))</f>
      </c>
      <c r="AD283" s="684">
        <f>IF(終値!A283="","",IF(AND(高値!H283&gt;高値!G283,高値!H283&gt;高値!F283,高値!H283&gt;高値!I283,高値!H283&gt;高値!J283),3,""))</f>
      </c>
      <c r="AE283" s="684">
        <f>IF(終値!A283="","",IF(AND(高値!I283&gt;高値!H283,高値!I283&gt;高値!G283,高値!I283&gt;高値!J283,高値!I283&gt;高値!K283),4,""))</f>
      </c>
      <c r="AF283" s="684">
        <f>IF(終値!A283="","",IF(AND(高値!J283&gt;高値!I283,高値!J283&gt;高値!H283,高値!J283&gt;高値!K283,高値!J283&gt;高値!L283),5,""))</f>
      </c>
      <c r="AG283" s="684">
        <f>IF(終値!A283="","",IF(AND(高値!K283&gt;高値!J283,高値!K283&gt;高値!I283,高値!K283&gt;高値!L283,高値!K283&gt;高値!M283),6,""))</f>
      </c>
      <c r="AH283" s="684">
        <f>IF(終値!A283="","",IF(AND(高値!L283&gt;高値!K283,高値!L283&gt;高値!J283,高値!L283&gt;高値!M283,高値!L283&gt;高値!N283),7,""))</f>
      </c>
      <c r="AI283" s="684">
        <f>IF(終値!A283="","",IF(AND(高値!M283&gt;高値!L283,高値!M283&gt;高値!K283,高値!M283&gt;高値!N283,高値!M283&gt;高値!O283),8,""))</f>
      </c>
      <c r="AJ283" s="684">
        <f>IF(終値!A283="","",IF(AND(高値!N283&gt;高値!M283,高値!N283&gt;高値!L283,高値!N283&gt;高値!O283,高値!N283&gt;高値!P283),9,""))</f>
      </c>
      <c r="AK283" s="684">
        <f>IF(終値!A283="","",IF(AND(高値!O283&gt;高値!N283,高値!O283&gt;高値!M283,高値!O283&gt;高値!P283,高値!O283&gt;高値!Q283),10,""))</f>
      </c>
      <c r="AL283" s="684">
        <f>IF(終値!A283="","",IF(AND(高値!P283&gt;高値!O283,高値!P283&gt;高値!N283,高値!P283&gt;高値!Q283,高値!P283&gt;高値!R283),11,""))</f>
      </c>
      <c r="AM283" s="684">
        <f>IF(終値!A283="","",IF(AND(高値!Q283&gt;高値!P283,高値!Q283&gt;高値!O283,高値!Q283&gt;高値!R283,高値!Q283&gt;高値!S283),12,""))</f>
      </c>
      <c r="AN283" s="684">
        <f>IF(終値!A283="","",IF(AND(高値!R283&gt;高値!Q283,高値!R283&gt;高値!P283,高値!R283&gt;高値!S283,高値!R283&gt;高値!T283),13,""))</f>
      </c>
      <c r="AO283" s="684">
        <f>IF(終値!A283="","",IF(AND(高値!S283&gt;高値!R283,高値!S283&gt;高値!Q283,高値!S283&gt;高値!T283,高値!S283&gt;高値!U283),14,""))</f>
      </c>
      <c r="AP283" s="684">
        <f>IF(終値!A283="","",IF(AND(高値!T283&gt;高値!S283,高値!T283&gt;高値!R283,高値!T283&gt;高値!U283,高値!T283&gt;高値!V283),15,""))</f>
      </c>
      <c r="AQ283" s="684">
        <f>IF(終値!A283="","",IF(AND(高値!U283&gt;高値!T283,高値!U283&gt;高値!S283,高値!U283&gt;高値!V283,高値!U283&gt;高値!W283),16,""))</f>
      </c>
      <c r="AR283" s="684">
        <f>IF(終値!A283="","",IF(AND(高値!V283&gt;高値!U283,高値!V283&gt;高値!T283,高値!V283&gt;高値!W283,高値!V283&gt;高値!X283),17,""))</f>
      </c>
      <c r="AS283" s="684">
        <f>IF(終値!A283="","",IF(AND(高値!W283&gt;高値!V283,高値!W283&gt;高値!U283,高値!W283&gt;高値!X283,高値!W283&gt;高値!Y283),18,""))</f>
      </c>
      <c r="AT283" s="684">
        <f>IF(終値!A283="","",IF(AND(高値!X283&gt;高値!W283,高値!X283&gt;高値!V283,高値!X283&gt;高値!Y283,高値!X283&gt;高値!Z283),19,""))</f>
      </c>
      <c r="AU283" s="684">
        <f>IF(終値!A283="","",IF(AND(高値!Y283&gt;高値!X283,高値!Y283&gt;高値!W283,高値!Y283&gt;高値!Z283,高値!Y283&gt;高値!AA283),20,""))</f>
      </c>
      <c r="AV283" s="684">
        <f>IF(終値!A283="","",IF(AND(高値!Z283&gt;高値!Y283,高値!Z283&gt;高値!X283,高値!Z283&gt;高値!AA283,高値!Z283&gt;高値!AB283),21,""))</f>
      </c>
      <c r="AW283" s="684">
        <f>IF(終値!A283="","",IF(AND(高値!AA283&gt;高値!Z283,高値!AA283&gt;高値!Y283,高値!AA283&gt;高値!AB283,高値!AA283&gt;高値!AC283),22,""))</f>
      </c>
      <c r="AX283" s="684">
        <f>IF(終値!A283="","",IF(AND(高値!AB283&gt;高値!AA283,高値!AB283&gt;高値!Z283,高値!AB283&gt;高値!AC283,高値!AB283&gt;高値!AD283),23,""))</f>
      </c>
      <c r="AY283" s="684">
        <f>IF(終値!A283="","",IF(AND(高値!AC283&gt;高値!AB283,高値!AC283&gt;高値!AA283,高値!AC283&gt;高値!AD283,高値!AC283&gt;高値!AE283),24,""))</f>
      </c>
      <c r="AZ283" s="684">
        <f>IF(終値!A283="","",IF(AND(高値!AD283&gt;高値!AC283,高値!AD283&gt;高値!AB283,高値!AD283&gt;高値!AE283,高値!AD283&gt;高値!AF283),25,""))</f>
      </c>
      <c r="BA283" s="684">
        <f>IF(終値!A283="","",IF(AND(高値!AE283&gt;高値!AD283,高値!AE283&gt;高値!AC283,高値!AE283&gt;高値!AF283,高値!AE283&gt;高値!AG283),26,""))</f>
      </c>
      <c r="BB283" s="684">
        <f>IF(終値!A283="","",IF(AND(高値!AF283&gt;高値!AE283,高値!AF283&gt;高値!AD283,高値!AF283&gt;高値!AG283,高値!AF283&gt;高値!AH283),27,""))</f>
      </c>
      <c r="BC283" s="684">
        <f>IF(終値!A283="","",IF(AND(高値!AG283&gt;高値!AF283,高値!AG283&gt;高値!AE283,高値!AG283&gt;高値!AH283,高値!AG283&gt;高値!AI283),28,""))</f>
      </c>
      <c r="BD283" s="684">
        <f>COUNT($B283:$AB283)</f>
      </c>
      <c r="BE283" s="684">
        <f>IF($BD283&gt;=2,MIN($B283:$AB283),"")</f>
      </c>
      <c r="BF283" s="684">
        <f>IF($BD283&gt;=2,SMALL($B283:$AB283,2),"")</f>
      </c>
      <c r="BG283" s="684">
        <f>IF($BE283="","",INDEX(安値!$E283:$CZ283,1,$BE283+1))</f>
      </c>
      <c r="BH283" s="684">
        <f>IF($BF283="","",INDEX(安値!$E283:$CZ283,1,$BF283+1))</f>
      </c>
      <c r="BI283" s="684">
        <f>IF($BF283="","",MAX(INDEX(高値!$E283:$CZ283,1,$BE283+1):INDEX(高値!$E283:$CZ283,1,$BF283+1)))</f>
      </c>
      <c r="BJ283" s="684">
        <f>IF($BF283="","",AVERAGE(INDEX(終値!$E283:$CZ283,1,$BF283+1):INDEX(終値!$E283:$CZ283,1,$BF283+20))-2*STDEVP(INDEX(終値!$E283:$CZ283,1,$BF283+1):INDEX(終値!$E283:$CZ283,1,$BF283+20)))</f>
      </c>
      <c r="BK283" s="684">
        <f>IF($BE283="","",AVERAGE(INDEX(終値!$E283:$CZ283,1,$BE283+1):INDEX(終値!$E283:$CZ283,1,$BE283+20))-2*STDEVP(INDEX(終値!$E283:$CZ283,1,$BE283+1):INDEX(終値!$E283:$CZ283,1,$BE283+20)))</f>
      </c>
      <c r="BL283" s="684">
        <f>COUNT($AC283:$BC283)</f>
      </c>
      <c r="BM283" s="684">
        <f>IF($BL283&gt;=2,MIN($AC283:$BC283),"")</f>
      </c>
      <c r="BN283" s="684">
        <f>IF($BL283&gt;=2,SMALL($AC283:$BC283,2),"")</f>
      </c>
      <c r="BO283" s="684">
        <f>IF($BM283="","",INDEX(高値!$E283:$CZ283,1,$BM283+1))</f>
      </c>
      <c r="BP283" s="684">
        <f>IF($BN283="","",INDEX(高値!$E283:$CZ283,1,$BN283+1))</f>
      </c>
      <c r="BQ283" s="684">
        <f>IF($BN283="","",MIN(INDEX(安値!$E283:$CZ283,1,$BM283+1):INDEX(安値!$E283:$CZ283,1,$BN283+1)))</f>
      </c>
      <c r="BR283" s="684">
        <f>IF($BN283="","",AVERAGE(INDEX(終値!$E283:$CZ283,1,$BN283+1):INDEX(終値!$E283:$CZ283,1,$BN283+20))+2*STDEVP(INDEX(終値!$E283:$CZ283,1,$BN283+1):INDEX(終値!$E283:$CZ283,1,$BN283+20)))</f>
      </c>
      <c r="BS283" s="684">
        <f>IF($BM283="","",AVERAGE(INDEX(終値!$E283:$CZ283,1,$BM283+1):INDEX(終値!$E283:$CZ283,1,$BM283+20))+2*STDEVP(INDEX(終値!$E283:$CZ283,1,$BM283+1):INDEX(終値!$E283:$CZ283,1,$BM283+20)))</f>
      </c>
      <c r="BT283" s="681">
        <f>IFERROR(IF(AND($BD283&gt;=2,ABS($BG283-$BH283)/$BH283&lt;=BB設定!$B$12,$BI283&gt;=MAX($BH283,$BG283)*(1+BB設定!$B$13),終値!E283&gt;$BG283),IF(OR(終値!E283&gt;=$BI283,AND($BH283&lt;$BJ283,$BG283&gt;=$BK283)),"二番底W▲","二番底W形成"),IF(AND($BL283&gt;=2,ABS($BO283-$BP283)/$BP283&lt;=BB設定!$B$12,$BQ283&lt;=MIN($BP283,$BO283)*(1-BB設定!$B$13),終値!E283&lt;$BO283),IF(OR(終値!E283&lt;=$BQ283,AND($BP283&gt;$BR283,$BO283&lt;=$BS283)),"二番天井M▼","二番天井M形成"),"－")),"－")</f>
      </c>
    </row>
    <row r="284">
      <c r="B284" s="684">
        <f>IF(終値!A284="","",IF(AND(安値!G284&lt;安値!F284,安値!G284&lt;安値!E284,安値!G284&lt;安値!H284,安値!G284&lt;安値!I284),2,""))</f>
      </c>
      <c r="C284" s="684">
        <f>IF(終値!A284="","",IF(AND(安値!H284&lt;安値!G284,安値!H284&lt;安値!F284,安値!H284&lt;安値!I284,安値!H284&lt;安値!J284),3,""))</f>
      </c>
      <c r="D284" s="684">
        <f>IF(終値!A284="","",IF(AND(安値!I284&lt;安値!H284,安値!I284&lt;安値!G284,安値!I284&lt;安値!J284,安値!I284&lt;安値!K284),4,""))</f>
      </c>
      <c r="E284" s="684">
        <f>IF(終値!A284="","",IF(AND(安値!J284&lt;安値!I284,安値!J284&lt;安値!H284,安値!J284&lt;安値!K284,安値!J284&lt;安値!L284),5,""))</f>
      </c>
      <c r="F284" s="684">
        <f>IF(終値!A284="","",IF(AND(安値!K284&lt;安値!J284,安値!K284&lt;安値!I284,安値!K284&lt;安値!L284,安値!K284&lt;安値!M284),6,""))</f>
      </c>
      <c r="G284" s="684">
        <f>IF(終値!A284="","",IF(AND(安値!L284&lt;安値!K284,安値!L284&lt;安値!J284,安値!L284&lt;安値!M284,安値!L284&lt;安値!N284),7,""))</f>
      </c>
      <c r="H284" s="684">
        <f>IF(終値!A284="","",IF(AND(安値!M284&lt;安値!L284,安値!M284&lt;安値!K284,安値!M284&lt;安値!N284,安値!M284&lt;安値!O284),8,""))</f>
      </c>
      <c r="I284" s="684">
        <f>IF(終値!A284="","",IF(AND(安値!N284&lt;安値!M284,安値!N284&lt;安値!L284,安値!N284&lt;安値!O284,安値!N284&lt;安値!P284),9,""))</f>
      </c>
      <c r="J284" s="684">
        <f>IF(終値!A284="","",IF(AND(安値!O284&lt;安値!N284,安値!O284&lt;安値!M284,安値!O284&lt;安値!P284,安値!O284&lt;安値!Q284),10,""))</f>
      </c>
      <c r="K284" s="684">
        <f>IF(終値!A284="","",IF(AND(安値!P284&lt;安値!O284,安値!P284&lt;安値!N284,安値!P284&lt;安値!Q284,安値!P284&lt;安値!R284),11,""))</f>
      </c>
      <c r="L284" s="684">
        <f>IF(終値!A284="","",IF(AND(安値!Q284&lt;安値!P284,安値!Q284&lt;安値!O284,安値!Q284&lt;安値!R284,安値!Q284&lt;安値!S284),12,""))</f>
      </c>
      <c r="M284" s="684">
        <f>IF(終値!A284="","",IF(AND(安値!R284&lt;安値!Q284,安値!R284&lt;安値!P284,安値!R284&lt;安値!S284,安値!R284&lt;安値!T284),13,""))</f>
      </c>
      <c r="N284" s="684">
        <f>IF(終値!A284="","",IF(AND(安値!S284&lt;安値!R284,安値!S284&lt;安値!Q284,安値!S284&lt;安値!T284,安値!S284&lt;安値!U284),14,""))</f>
      </c>
      <c r="O284" s="684">
        <f>IF(終値!A284="","",IF(AND(安値!T284&lt;安値!S284,安値!T284&lt;安値!R284,安値!T284&lt;安値!U284,安値!T284&lt;安値!V284),15,""))</f>
      </c>
      <c r="P284" s="684">
        <f>IF(終値!A284="","",IF(AND(安値!U284&lt;安値!T284,安値!U284&lt;安値!S284,安値!U284&lt;安値!V284,安値!U284&lt;安値!W284),16,""))</f>
      </c>
      <c r="Q284" s="684">
        <f>IF(終値!A284="","",IF(AND(安値!V284&lt;安値!U284,安値!V284&lt;安値!T284,安値!V284&lt;安値!W284,安値!V284&lt;安値!X284),17,""))</f>
      </c>
      <c r="R284" s="684">
        <f>IF(終値!A284="","",IF(AND(安値!W284&lt;安値!V284,安値!W284&lt;安値!U284,安値!W284&lt;安値!X284,安値!W284&lt;安値!Y284),18,""))</f>
      </c>
      <c r="S284" s="684">
        <f>IF(終値!A284="","",IF(AND(安値!X284&lt;安値!W284,安値!X284&lt;安値!V284,安値!X284&lt;安値!Y284,安値!X284&lt;安値!Z284),19,""))</f>
      </c>
      <c r="T284" s="684">
        <f>IF(終値!A284="","",IF(AND(安値!Y284&lt;安値!X284,安値!Y284&lt;安値!W284,安値!Y284&lt;安値!Z284,安値!Y284&lt;安値!AA284),20,""))</f>
      </c>
      <c r="U284" s="684">
        <f>IF(終値!A284="","",IF(AND(安値!Z284&lt;安値!Y284,安値!Z284&lt;安値!X284,安値!Z284&lt;安値!AA284,安値!Z284&lt;安値!AB284),21,""))</f>
      </c>
      <c r="V284" s="684">
        <f>IF(終値!A284="","",IF(AND(安値!AA284&lt;安値!Z284,安値!AA284&lt;安値!Y284,安値!AA284&lt;安値!AB284,安値!AA284&lt;安値!AC284),22,""))</f>
      </c>
      <c r="W284" s="684">
        <f>IF(終値!A284="","",IF(AND(安値!AB284&lt;安値!AA284,安値!AB284&lt;安値!Z284,安値!AB284&lt;安値!AC284,安値!AB284&lt;安値!AD284),23,""))</f>
      </c>
      <c r="X284" s="684">
        <f>IF(終値!A284="","",IF(AND(安値!AC284&lt;安値!AB284,安値!AC284&lt;安値!AA284,安値!AC284&lt;安値!AD284,安値!AC284&lt;安値!AE284),24,""))</f>
      </c>
      <c r="Y284" s="684">
        <f>IF(終値!A284="","",IF(AND(安値!AD284&lt;安値!AC284,安値!AD284&lt;安値!AB284,安値!AD284&lt;安値!AE284,安値!AD284&lt;安値!AF284),25,""))</f>
      </c>
      <c r="Z284" s="684">
        <f>IF(終値!A284="","",IF(AND(安値!AE284&lt;安値!AD284,安値!AE284&lt;安値!AC284,安値!AE284&lt;安値!AF284,安値!AE284&lt;安値!AG284),26,""))</f>
      </c>
      <c r="AA284" s="684">
        <f>IF(終値!A284="","",IF(AND(安値!AF284&lt;安値!AE284,安値!AF284&lt;安値!AD284,安値!AF284&lt;安値!AG284,安値!AF284&lt;安値!AH284),27,""))</f>
      </c>
      <c r="AB284" s="684">
        <f>IF(終値!A284="","",IF(AND(安値!AG284&lt;安値!AF284,安値!AG284&lt;安値!AE284,安値!AG284&lt;安値!AH284,安値!AG284&lt;安値!AI284),28,""))</f>
      </c>
      <c r="AC284" s="684">
        <f>IF(終値!A284="","",IF(AND(高値!G284&gt;高値!F284,高値!G284&gt;高値!E284,高値!G284&gt;高値!H284,高値!G284&gt;高値!I284),2,""))</f>
      </c>
      <c r="AD284" s="684">
        <f>IF(終値!A284="","",IF(AND(高値!H284&gt;高値!G284,高値!H284&gt;高値!F284,高値!H284&gt;高値!I284,高値!H284&gt;高値!J284),3,""))</f>
      </c>
      <c r="AE284" s="684">
        <f>IF(終値!A284="","",IF(AND(高値!I284&gt;高値!H284,高値!I284&gt;高値!G284,高値!I284&gt;高値!J284,高値!I284&gt;高値!K284),4,""))</f>
      </c>
      <c r="AF284" s="684">
        <f>IF(終値!A284="","",IF(AND(高値!J284&gt;高値!I284,高値!J284&gt;高値!H284,高値!J284&gt;高値!K284,高値!J284&gt;高値!L284),5,""))</f>
      </c>
      <c r="AG284" s="684">
        <f>IF(終値!A284="","",IF(AND(高値!K284&gt;高値!J284,高値!K284&gt;高値!I284,高値!K284&gt;高値!L284,高値!K284&gt;高値!M284),6,""))</f>
      </c>
      <c r="AH284" s="684">
        <f>IF(終値!A284="","",IF(AND(高値!L284&gt;高値!K284,高値!L284&gt;高値!J284,高値!L284&gt;高値!M284,高値!L284&gt;高値!N284),7,""))</f>
      </c>
      <c r="AI284" s="684">
        <f>IF(終値!A284="","",IF(AND(高値!M284&gt;高値!L284,高値!M284&gt;高値!K284,高値!M284&gt;高値!N284,高値!M284&gt;高値!O284),8,""))</f>
      </c>
      <c r="AJ284" s="684">
        <f>IF(終値!A284="","",IF(AND(高値!N284&gt;高値!M284,高値!N284&gt;高値!L284,高値!N284&gt;高値!O284,高値!N284&gt;高値!P284),9,""))</f>
      </c>
      <c r="AK284" s="684">
        <f>IF(終値!A284="","",IF(AND(高値!O284&gt;高値!N284,高値!O284&gt;高値!M284,高値!O284&gt;高値!P284,高値!O284&gt;高値!Q284),10,""))</f>
      </c>
      <c r="AL284" s="684">
        <f>IF(終値!A284="","",IF(AND(高値!P284&gt;高値!O284,高値!P284&gt;高値!N284,高値!P284&gt;高値!Q284,高値!P284&gt;高値!R284),11,""))</f>
      </c>
      <c r="AM284" s="684">
        <f>IF(終値!A284="","",IF(AND(高値!Q284&gt;高値!P284,高値!Q284&gt;高値!O284,高値!Q284&gt;高値!R284,高値!Q284&gt;高値!S284),12,""))</f>
      </c>
      <c r="AN284" s="684">
        <f>IF(終値!A284="","",IF(AND(高値!R284&gt;高値!Q284,高値!R284&gt;高値!P284,高値!R284&gt;高値!S284,高値!R284&gt;高値!T284),13,""))</f>
      </c>
      <c r="AO284" s="684">
        <f>IF(終値!A284="","",IF(AND(高値!S284&gt;高値!R284,高値!S284&gt;高値!Q284,高値!S284&gt;高値!T284,高値!S284&gt;高値!U284),14,""))</f>
      </c>
      <c r="AP284" s="684">
        <f>IF(終値!A284="","",IF(AND(高値!T284&gt;高値!S284,高値!T284&gt;高値!R284,高値!T284&gt;高値!U284,高値!T284&gt;高値!V284),15,""))</f>
      </c>
      <c r="AQ284" s="684">
        <f>IF(終値!A284="","",IF(AND(高値!U284&gt;高値!T284,高値!U284&gt;高値!S284,高値!U284&gt;高値!V284,高値!U284&gt;高値!W284),16,""))</f>
      </c>
      <c r="AR284" s="684">
        <f>IF(終値!A284="","",IF(AND(高値!V284&gt;高値!U284,高値!V284&gt;高値!T284,高値!V284&gt;高値!W284,高値!V284&gt;高値!X284),17,""))</f>
      </c>
      <c r="AS284" s="684">
        <f>IF(終値!A284="","",IF(AND(高値!W284&gt;高値!V284,高値!W284&gt;高値!U284,高値!W284&gt;高値!X284,高値!W284&gt;高値!Y284),18,""))</f>
      </c>
      <c r="AT284" s="684">
        <f>IF(終値!A284="","",IF(AND(高値!X284&gt;高値!W284,高値!X284&gt;高値!V284,高値!X284&gt;高値!Y284,高値!X284&gt;高値!Z284),19,""))</f>
      </c>
      <c r="AU284" s="684">
        <f>IF(終値!A284="","",IF(AND(高値!Y284&gt;高値!X284,高値!Y284&gt;高値!W284,高値!Y284&gt;高値!Z284,高値!Y284&gt;高値!AA284),20,""))</f>
      </c>
      <c r="AV284" s="684">
        <f>IF(終値!A284="","",IF(AND(高値!Z284&gt;高値!Y284,高値!Z284&gt;高値!X284,高値!Z284&gt;高値!AA284,高値!Z284&gt;高値!AB284),21,""))</f>
      </c>
      <c r="AW284" s="684">
        <f>IF(終値!A284="","",IF(AND(高値!AA284&gt;高値!Z284,高値!AA284&gt;高値!Y284,高値!AA284&gt;高値!AB284,高値!AA284&gt;高値!AC284),22,""))</f>
      </c>
      <c r="AX284" s="684">
        <f>IF(終値!A284="","",IF(AND(高値!AB284&gt;高値!AA284,高値!AB284&gt;高値!Z284,高値!AB284&gt;高値!AC284,高値!AB284&gt;高値!AD284),23,""))</f>
      </c>
      <c r="AY284" s="684">
        <f>IF(終値!A284="","",IF(AND(高値!AC284&gt;高値!AB284,高値!AC284&gt;高値!AA284,高値!AC284&gt;高値!AD284,高値!AC284&gt;高値!AE284),24,""))</f>
      </c>
      <c r="AZ284" s="684">
        <f>IF(終値!A284="","",IF(AND(高値!AD284&gt;高値!AC284,高値!AD284&gt;高値!AB284,高値!AD284&gt;高値!AE284,高値!AD284&gt;高値!AF284),25,""))</f>
      </c>
      <c r="BA284" s="684">
        <f>IF(終値!A284="","",IF(AND(高値!AE284&gt;高値!AD284,高値!AE284&gt;高値!AC284,高値!AE284&gt;高値!AF284,高値!AE284&gt;高値!AG284),26,""))</f>
      </c>
      <c r="BB284" s="684">
        <f>IF(終値!A284="","",IF(AND(高値!AF284&gt;高値!AE284,高値!AF284&gt;高値!AD284,高値!AF284&gt;高値!AG284,高値!AF284&gt;高値!AH284),27,""))</f>
      </c>
      <c r="BC284" s="684">
        <f>IF(終値!A284="","",IF(AND(高値!AG284&gt;高値!AF284,高値!AG284&gt;高値!AE284,高値!AG284&gt;高値!AH284,高値!AG284&gt;高値!AI284),28,""))</f>
      </c>
      <c r="BD284" s="684">
        <f>COUNT($B284:$AB284)</f>
      </c>
      <c r="BE284" s="684">
        <f>IF($BD284&gt;=2,MIN($B284:$AB284),"")</f>
      </c>
      <c r="BF284" s="684">
        <f>IF($BD284&gt;=2,SMALL($B284:$AB284,2),"")</f>
      </c>
      <c r="BG284" s="684">
        <f>IF($BE284="","",INDEX(安値!$E284:$CZ284,1,$BE284+1))</f>
      </c>
      <c r="BH284" s="684">
        <f>IF($BF284="","",INDEX(安値!$E284:$CZ284,1,$BF284+1))</f>
      </c>
      <c r="BI284" s="684">
        <f>IF($BF284="","",MAX(INDEX(高値!$E284:$CZ284,1,$BE284+1):INDEX(高値!$E284:$CZ284,1,$BF284+1)))</f>
      </c>
      <c r="BJ284" s="684">
        <f>IF($BF284="","",AVERAGE(INDEX(終値!$E284:$CZ284,1,$BF284+1):INDEX(終値!$E284:$CZ284,1,$BF284+20))-2*STDEVP(INDEX(終値!$E284:$CZ284,1,$BF284+1):INDEX(終値!$E284:$CZ284,1,$BF284+20)))</f>
      </c>
      <c r="BK284" s="684">
        <f>IF($BE284="","",AVERAGE(INDEX(終値!$E284:$CZ284,1,$BE284+1):INDEX(終値!$E284:$CZ284,1,$BE284+20))-2*STDEVP(INDEX(終値!$E284:$CZ284,1,$BE284+1):INDEX(終値!$E284:$CZ284,1,$BE284+20)))</f>
      </c>
      <c r="BL284" s="684">
        <f>COUNT($AC284:$BC284)</f>
      </c>
      <c r="BM284" s="684">
        <f>IF($BL284&gt;=2,MIN($AC284:$BC284),"")</f>
      </c>
      <c r="BN284" s="684">
        <f>IF($BL284&gt;=2,SMALL($AC284:$BC284,2),"")</f>
      </c>
      <c r="BO284" s="684">
        <f>IF($BM284="","",INDEX(高値!$E284:$CZ284,1,$BM284+1))</f>
      </c>
      <c r="BP284" s="684">
        <f>IF($BN284="","",INDEX(高値!$E284:$CZ284,1,$BN284+1))</f>
      </c>
      <c r="BQ284" s="684">
        <f>IF($BN284="","",MIN(INDEX(安値!$E284:$CZ284,1,$BM284+1):INDEX(安値!$E284:$CZ284,1,$BN284+1)))</f>
      </c>
      <c r="BR284" s="684">
        <f>IF($BN284="","",AVERAGE(INDEX(終値!$E284:$CZ284,1,$BN284+1):INDEX(終値!$E284:$CZ284,1,$BN284+20))+2*STDEVP(INDEX(終値!$E284:$CZ284,1,$BN284+1):INDEX(終値!$E284:$CZ284,1,$BN284+20)))</f>
      </c>
      <c r="BS284" s="684">
        <f>IF($BM284="","",AVERAGE(INDEX(終値!$E284:$CZ284,1,$BM284+1):INDEX(終値!$E284:$CZ284,1,$BM284+20))+2*STDEVP(INDEX(終値!$E284:$CZ284,1,$BM284+1):INDEX(終値!$E284:$CZ284,1,$BM284+20)))</f>
      </c>
      <c r="BT284" s="681">
        <f>IFERROR(IF(AND($BD284&gt;=2,ABS($BG284-$BH284)/$BH284&lt;=BB設定!$B$12,$BI284&gt;=MAX($BH284,$BG284)*(1+BB設定!$B$13),終値!E284&gt;$BG284),IF(OR(終値!E284&gt;=$BI284,AND($BH284&lt;$BJ284,$BG284&gt;=$BK284)),"二番底W▲","二番底W形成"),IF(AND($BL284&gt;=2,ABS($BO284-$BP284)/$BP284&lt;=BB設定!$B$12,$BQ284&lt;=MIN($BP284,$BO284)*(1-BB設定!$B$13),終値!E284&lt;$BO284),IF(OR(終値!E284&lt;=$BQ284,AND($BP284&gt;$BR284,$BO284&lt;=$BS284)),"二番天井M▼","二番天井M形成"),"－")),"－")</f>
      </c>
    </row>
    <row r="285">
      <c r="B285" s="684">
        <f>IF(終値!A285="","",IF(AND(安値!G285&lt;安値!F285,安値!G285&lt;安値!E285,安値!G285&lt;安値!H285,安値!G285&lt;安値!I285),2,""))</f>
      </c>
      <c r="C285" s="684">
        <f>IF(終値!A285="","",IF(AND(安値!H285&lt;安値!G285,安値!H285&lt;安値!F285,安値!H285&lt;安値!I285,安値!H285&lt;安値!J285),3,""))</f>
      </c>
      <c r="D285" s="684">
        <f>IF(終値!A285="","",IF(AND(安値!I285&lt;安値!H285,安値!I285&lt;安値!G285,安値!I285&lt;安値!J285,安値!I285&lt;安値!K285),4,""))</f>
      </c>
      <c r="E285" s="684">
        <f>IF(終値!A285="","",IF(AND(安値!J285&lt;安値!I285,安値!J285&lt;安値!H285,安値!J285&lt;安値!K285,安値!J285&lt;安値!L285),5,""))</f>
      </c>
      <c r="F285" s="684">
        <f>IF(終値!A285="","",IF(AND(安値!K285&lt;安値!J285,安値!K285&lt;安値!I285,安値!K285&lt;安値!L285,安値!K285&lt;安値!M285),6,""))</f>
      </c>
      <c r="G285" s="684">
        <f>IF(終値!A285="","",IF(AND(安値!L285&lt;安値!K285,安値!L285&lt;安値!J285,安値!L285&lt;安値!M285,安値!L285&lt;安値!N285),7,""))</f>
      </c>
      <c r="H285" s="684">
        <f>IF(終値!A285="","",IF(AND(安値!M285&lt;安値!L285,安値!M285&lt;安値!K285,安値!M285&lt;安値!N285,安値!M285&lt;安値!O285),8,""))</f>
      </c>
      <c r="I285" s="684">
        <f>IF(終値!A285="","",IF(AND(安値!N285&lt;安値!M285,安値!N285&lt;安値!L285,安値!N285&lt;安値!O285,安値!N285&lt;安値!P285),9,""))</f>
      </c>
      <c r="J285" s="684">
        <f>IF(終値!A285="","",IF(AND(安値!O285&lt;安値!N285,安値!O285&lt;安値!M285,安値!O285&lt;安値!P285,安値!O285&lt;安値!Q285),10,""))</f>
      </c>
      <c r="K285" s="684">
        <f>IF(終値!A285="","",IF(AND(安値!P285&lt;安値!O285,安値!P285&lt;安値!N285,安値!P285&lt;安値!Q285,安値!P285&lt;安値!R285),11,""))</f>
      </c>
      <c r="L285" s="684">
        <f>IF(終値!A285="","",IF(AND(安値!Q285&lt;安値!P285,安値!Q285&lt;安値!O285,安値!Q285&lt;安値!R285,安値!Q285&lt;安値!S285),12,""))</f>
      </c>
      <c r="M285" s="684">
        <f>IF(終値!A285="","",IF(AND(安値!R285&lt;安値!Q285,安値!R285&lt;安値!P285,安値!R285&lt;安値!S285,安値!R285&lt;安値!T285),13,""))</f>
      </c>
      <c r="N285" s="684">
        <f>IF(終値!A285="","",IF(AND(安値!S285&lt;安値!R285,安値!S285&lt;安値!Q285,安値!S285&lt;安値!T285,安値!S285&lt;安値!U285),14,""))</f>
      </c>
      <c r="O285" s="684">
        <f>IF(終値!A285="","",IF(AND(安値!T285&lt;安値!S285,安値!T285&lt;安値!R285,安値!T285&lt;安値!U285,安値!T285&lt;安値!V285),15,""))</f>
      </c>
      <c r="P285" s="684">
        <f>IF(終値!A285="","",IF(AND(安値!U285&lt;安値!T285,安値!U285&lt;安値!S285,安値!U285&lt;安値!V285,安値!U285&lt;安値!W285),16,""))</f>
      </c>
      <c r="Q285" s="684">
        <f>IF(終値!A285="","",IF(AND(安値!V285&lt;安値!U285,安値!V285&lt;安値!T285,安値!V285&lt;安値!W285,安値!V285&lt;安値!X285),17,""))</f>
      </c>
      <c r="R285" s="684">
        <f>IF(終値!A285="","",IF(AND(安値!W285&lt;安値!V285,安値!W285&lt;安値!U285,安値!W285&lt;安値!X285,安値!W285&lt;安値!Y285),18,""))</f>
      </c>
      <c r="S285" s="684">
        <f>IF(終値!A285="","",IF(AND(安値!X285&lt;安値!W285,安値!X285&lt;安値!V285,安値!X285&lt;安値!Y285,安値!X285&lt;安値!Z285),19,""))</f>
      </c>
      <c r="T285" s="684">
        <f>IF(終値!A285="","",IF(AND(安値!Y285&lt;安値!X285,安値!Y285&lt;安値!W285,安値!Y285&lt;安値!Z285,安値!Y285&lt;安値!AA285),20,""))</f>
      </c>
      <c r="U285" s="684">
        <f>IF(終値!A285="","",IF(AND(安値!Z285&lt;安値!Y285,安値!Z285&lt;安値!X285,安値!Z285&lt;安値!AA285,安値!Z285&lt;安値!AB285),21,""))</f>
      </c>
      <c r="V285" s="684">
        <f>IF(終値!A285="","",IF(AND(安値!AA285&lt;安値!Z285,安値!AA285&lt;安値!Y285,安値!AA285&lt;安値!AB285,安値!AA285&lt;安値!AC285),22,""))</f>
      </c>
      <c r="W285" s="684">
        <f>IF(終値!A285="","",IF(AND(安値!AB285&lt;安値!AA285,安値!AB285&lt;安値!Z285,安値!AB285&lt;安値!AC285,安値!AB285&lt;安値!AD285),23,""))</f>
      </c>
      <c r="X285" s="684">
        <f>IF(終値!A285="","",IF(AND(安値!AC285&lt;安値!AB285,安値!AC285&lt;安値!AA285,安値!AC285&lt;安値!AD285,安値!AC285&lt;安値!AE285),24,""))</f>
      </c>
      <c r="Y285" s="684">
        <f>IF(終値!A285="","",IF(AND(安値!AD285&lt;安値!AC285,安値!AD285&lt;安値!AB285,安値!AD285&lt;安値!AE285,安値!AD285&lt;安値!AF285),25,""))</f>
      </c>
      <c r="Z285" s="684">
        <f>IF(終値!A285="","",IF(AND(安値!AE285&lt;安値!AD285,安値!AE285&lt;安値!AC285,安値!AE285&lt;安値!AF285,安値!AE285&lt;安値!AG285),26,""))</f>
      </c>
      <c r="AA285" s="684">
        <f>IF(終値!A285="","",IF(AND(安値!AF285&lt;安値!AE285,安値!AF285&lt;安値!AD285,安値!AF285&lt;安値!AG285,安値!AF285&lt;安値!AH285),27,""))</f>
      </c>
      <c r="AB285" s="684">
        <f>IF(終値!A285="","",IF(AND(安値!AG285&lt;安値!AF285,安値!AG285&lt;安値!AE285,安値!AG285&lt;安値!AH285,安値!AG285&lt;安値!AI285),28,""))</f>
      </c>
      <c r="AC285" s="684">
        <f>IF(終値!A285="","",IF(AND(高値!G285&gt;高値!F285,高値!G285&gt;高値!E285,高値!G285&gt;高値!H285,高値!G285&gt;高値!I285),2,""))</f>
      </c>
      <c r="AD285" s="684">
        <f>IF(終値!A285="","",IF(AND(高値!H285&gt;高値!G285,高値!H285&gt;高値!F285,高値!H285&gt;高値!I285,高値!H285&gt;高値!J285),3,""))</f>
      </c>
      <c r="AE285" s="684">
        <f>IF(終値!A285="","",IF(AND(高値!I285&gt;高値!H285,高値!I285&gt;高値!G285,高値!I285&gt;高値!J285,高値!I285&gt;高値!K285),4,""))</f>
      </c>
      <c r="AF285" s="684">
        <f>IF(終値!A285="","",IF(AND(高値!J285&gt;高値!I285,高値!J285&gt;高値!H285,高値!J285&gt;高値!K285,高値!J285&gt;高値!L285),5,""))</f>
      </c>
      <c r="AG285" s="684">
        <f>IF(終値!A285="","",IF(AND(高値!K285&gt;高値!J285,高値!K285&gt;高値!I285,高値!K285&gt;高値!L285,高値!K285&gt;高値!M285),6,""))</f>
      </c>
      <c r="AH285" s="684">
        <f>IF(終値!A285="","",IF(AND(高値!L285&gt;高値!K285,高値!L285&gt;高値!J285,高値!L285&gt;高値!M285,高値!L285&gt;高値!N285),7,""))</f>
      </c>
      <c r="AI285" s="684">
        <f>IF(終値!A285="","",IF(AND(高値!M285&gt;高値!L285,高値!M285&gt;高値!K285,高値!M285&gt;高値!N285,高値!M285&gt;高値!O285),8,""))</f>
      </c>
      <c r="AJ285" s="684">
        <f>IF(終値!A285="","",IF(AND(高値!N285&gt;高値!M285,高値!N285&gt;高値!L285,高値!N285&gt;高値!O285,高値!N285&gt;高値!P285),9,""))</f>
      </c>
      <c r="AK285" s="684">
        <f>IF(終値!A285="","",IF(AND(高値!O285&gt;高値!N285,高値!O285&gt;高値!M285,高値!O285&gt;高値!P285,高値!O285&gt;高値!Q285),10,""))</f>
      </c>
      <c r="AL285" s="684">
        <f>IF(終値!A285="","",IF(AND(高値!P285&gt;高値!O285,高値!P285&gt;高値!N285,高値!P285&gt;高値!Q285,高値!P285&gt;高値!R285),11,""))</f>
      </c>
      <c r="AM285" s="684">
        <f>IF(終値!A285="","",IF(AND(高値!Q285&gt;高値!P285,高値!Q285&gt;高値!O285,高値!Q285&gt;高値!R285,高値!Q285&gt;高値!S285),12,""))</f>
      </c>
      <c r="AN285" s="684">
        <f>IF(終値!A285="","",IF(AND(高値!R285&gt;高値!Q285,高値!R285&gt;高値!P285,高値!R285&gt;高値!S285,高値!R285&gt;高値!T285),13,""))</f>
      </c>
      <c r="AO285" s="684">
        <f>IF(終値!A285="","",IF(AND(高値!S285&gt;高値!R285,高値!S285&gt;高値!Q285,高値!S285&gt;高値!T285,高値!S285&gt;高値!U285),14,""))</f>
      </c>
      <c r="AP285" s="684">
        <f>IF(終値!A285="","",IF(AND(高値!T285&gt;高値!S285,高値!T285&gt;高値!R285,高値!T285&gt;高値!U285,高値!T285&gt;高値!V285),15,""))</f>
      </c>
      <c r="AQ285" s="684">
        <f>IF(終値!A285="","",IF(AND(高値!U285&gt;高値!T285,高値!U285&gt;高値!S285,高値!U285&gt;高値!V285,高値!U285&gt;高値!W285),16,""))</f>
      </c>
      <c r="AR285" s="684">
        <f>IF(終値!A285="","",IF(AND(高値!V285&gt;高値!U285,高値!V285&gt;高値!T285,高値!V285&gt;高値!W285,高値!V285&gt;高値!X285),17,""))</f>
      </c>
      <c r="AS285" s="684">
        <f>IF(終値!A285="","",IF(AND(高値!W285&gt;高値!V285,高値!W285&gt;高値!U285,高値!W285&gt;高値!X285,高値!W285&gt;高値!Y285),18,""))</f>
      </c>
      <c r="AT285" s="684">
        <f>IF(終値!A285="","",IF(AND(高値!X285&gt;高値!W285,高値!X285&gt;高値!V285,高値!X285&gt;高値!Y285,高値!X285&gt;高値!Z285),19,""))</f>
      </c>
      <c r="AU285" s="684">
        <f>IF(終値!A285="","",IF(AND(高値!Y285&gt;高値!X285,高値!Y285&gt;高値!W285,高値!Y285&gt;高値!Z285,高値!Y285&gt;高値!AA285),20,""))</f>
      </c>
      <c r="AV285" s="684">
        <f>IF(終値!A285="","",IF(AND(高値!Z285&gt;高値!Y285,高値!Z285&gt;高値!X285,高値!Z285&gt;高値!AA285,高値!Z285&gt;高値!AB285),21,""))</f>
      </c>
      <c r="AW285" s="684">
        <f>IF(終値!A285="","",IF(AND(高値!AA285&gt;高値!Z285,高値!AA285&gt;高値!Y285,高値!AA285&gt;高値!AB285,高値!AA285&gt;高値!AC285),22,""))</f>
      </c>
      <c r="AX285" s="684">
        <f>IF(終値!A285="","",IF(AND(高値!AB285&gt;高値!AA285,高値!AB285&gt;高値!Z285,高値!AB285&gt;高値!AC285,高値!AB285&gt;高値!AD285),23,""))</f>
      </c>
      <c r="AY285" s="684">
        <f>IF(終値!A285="","",IF(AND(高値!AC285&gt;高値!AB285,高値!AC285&gt;高値!AA285,高値!AC285&gt;高値!AD285,高値!AC285&gt;高値!AE285),24,""))</f>
      </c>
      <c r="AZ285" s="684">
        <f>IF(終値!A285="","",IF(AND(高値!AD285&gt;高値!AC285,高値!AD285&gt;高値!AB285,高値!AD285&gt;高値!AE285,高値!AD285&gt;高値!AF285),25,""))</f>
      </c>
      <c r="BA285" s="684">
        <f>IF(終値!A285="","",IF(AND(高値!AE285&gt;高値!AD285,高値!AE285&gt;高値!AC285,高値!AE285&gt;高値!AF285,高値!AE285&gt;高値!AG285),26,""))</f>
      </c>
      <c r="BB285" s="684">
        <f>IF(終値!A285="","",IF(AND(高値!AF285&gt;高値!AE285,高値!AF285&gt;高値!AD285,高値!AF285&gt;高値!AG285,高値!AF285&gt;高値!AH285),27,""))</f>
      </c>
      <c r="BC285" s="684">
        <f>IF(終値!A285="","",IF(AND(高値!AG285&gt;高値!AF285,高値!AG285&gt;高値!AE285,高値!AG285&gt;高値!AH285,高値!AG285&gt;高値!AI285),28,""))</f>
      </c>
      <c r="BD285" s="684">
        <f>COUNT($B285:$AB285)</f>
      </c>
      <c r="BE285" s="684">
        <f>IF($BD285&gt;=2,MIN($B285:$AB285),"")</f>
      </c>
      <c r="BF285" s="684">
        <f>IF($BD285&gt;=2,SMALL($B285:$AB285,2),"")</f>
      </c>
      <c r="BG285" s="684">
        <f>IF($BE285="","",INDEX(安値!$E285:$CZ285,1,$BE285+1))</f>
      </c>
      <c r="BH285" s="684">
        <f>IF($BF285="","",INDEX(安値!$E285:$CZ285,1,$BF285+1))</f>
      </c>
      <c r="BI285" s="684">
        <f>IF($BF285="","",MAX(INDEX(高値!$E285:$CZ285,1,$BE285+1):INDEX(高値!$E285:$CZ285,1,$BF285+1)))</f>
      </c>
      <c r="BJ285" s="684">
        <f>IF($BF285="","",AVERAGE(INDEX(終値!$E285:$CZ285,1,$BF285+1):INDEX(終値!$E285:$CZ285,1,$BF285+20))-2*STDEVP(INDEX(終値!$E285:$CZ285,1,$BF285+1):INDEX(終値!$E285:$CZ285,1,$BF285+20)))</f>
      </c>
      <c r="BK285" s="684">
        <f>IF($BE285="","",AVERAGE(INDEX(終値!$E285:$CZ285,1,$BE285+1):INDEX(終値!$E285:$CZ285,1,$BE285+20))-2*STDEVP(INDEX(終値!$E285:$CZ285,1,$BE285+1):INDEX(終値!$E285:$CZ285,1,$BE285+20)))</f>
      </c>
      <c r="BL285" s="684">
        <f>COUNT($AC285:$BC285)</f>
      </c>
      <c r="BM285" s="684">
        <f>IF($BL285&gt;=2,MIN($AC285:$BC285),"")</f>
      </c>
      <c r="BN285" s="684">
        <f>IF($BL285&gt;=2,SMALL($AC285:$BC285,2),"")</f>
      </c>
      <c r="BO285" s="684">
        <f>IF($BM285="","",INDEX(高値!$E285:$CZ285,1,$BM285+1))</f>
      </c>
      <c r="BP285" s="684">
        <f>IF($BN285="","",INDEX(高値!$E285:$CZ285,1,$BN285+1))</f>
      </c>
      <c r="BQ285" s="684">
        <f>IF($BN285="","",MIN(INDEX(安値!$E285:$CZ285,1,$BM285+1):INDEX(安値!$E285:$CZ285,1,$BN285+1)))</f>
      </c>
      <c r="BR285" s="684">
        <f>IF($BN285="","",AVERAGE(INDEX(終値!$E285:$CZ285,1,$BN285+1):INDEX(終値!$E285:$CZ285,1,$BN285+20))+2*STDEVP(INDEX(終値!$E285:$CZ285,1,$BN285+1):INDEX(終値!$E285:$CZ285,1,$BN285+20)))</f>
      </c>
      <c r="BS285" s="684">
        <f>IF($BM285="","",AVERAGE(INDEX(終値!$E285:$CZ285,1,$BM285+1):INDEX(終値!$E285:$CZ285,1,$BM285+20))+2*STDEVP(INDEX(終値!$E285:$CZ285,1,$BM285+1):INDEX(終値!$E285:$CZ285,1,$BM285+20)))</f>
      </c>
      <c r="BT285" s="681">
        <f>IFERROR(IF(AND($BD285&gt;=2,ABS($BG285-$BH285)/$BH285&lt;=BB設定!$B$12,$BI285&gt;=MAX($BH285,$BG285)*(1+BB設定!$B$13),終値!E285&gt;$BG285),IF(OR(終値!E285&gt;=$BI285,AND($BH285&lt;$BJ285,$BG285&gt;=$BK285)),"二番底W▲","二番底W形成"),IF(AND($BL285&gt;=2,ABS($BO285-$BP285)/$BP285&lt;=BB設定!$B$12,$BQ285&lt;=MIN($BP285,$BO285)*(1-BB設定!$B$13),終値!E285&lt;$BO285),IF(OR(終値!E285&lt;=$BQ285,AND($BP285&gt;$BR285,$BO285&lt;=$BS285)),"二番天井M▼","二番天井M形成"),"－")),"－")</f>
      </c>
    </row>
    <row r="286">
      <c r="B286" s="684">
        <f>IF(終値!A286="","",IF(AND(安値!G286&lt;安値!F286,安値!G286&lt;安値!E286,安値!G286&lt;安値!H286,安値!G286&lt;安値!I286),2,""))</f>
      </c>
      <c r="C286" s="684">
        <f>IF(終値!A286="","",IF(AND(安値!H286&lt;安値!G286,安値!H286&lt;安値!F286,安値!H286&lt;安値!I286,安値!H286&lt;安値!J286),3,""))</f>
      </c>
      <c r="D286" s="684">
        <f>IF(終値!A286="","",IF(AND(安値!I286&lt;安値!H286,安値!I286&lt;安値!G286,安値!I286&lt;安値!J286,安値!I286&lt;安値!K286),4,""))</f>
      </c>
      <c r="E286" s="684">
        <f>IF(終値!A286="","",IF(AND(安値!J286&lt;安値!I286,安値!J286&lt;安値!H286,安値!J286&lt;安値!K286,安値!J286&lt;安値!L286),5,""))</f>
      </c>
      <c r="F286" s="684">
        <f>IF(終値!A286="","",IF(AND(安値!K286&lt;安値!J286,安値!K286&lt;安値!I286,安値!K286&lt;安値!L286,安値!K286&lt;安値!M286),6,""))</f>
      </c>
      <c r="G286" s="684">
        <f>IF(終値!A286="","",IF(AND(安値!L286&lt;安値!K286,安値!L286&lt;安値!J286,安値!L286&lt;安値!M286,安値!L286&lt;安値!N286),7,""))</f>
      </c>
      <c r="H286" s="684">
        <f>IF(終値!A286="","",IF(AND(安値!M286&lt;安値!L286,安値!M286&lt;安値!K286,安値!M286&lt;安値!N286,安値!M286&lt;安値!O286),8,""))</f>
      </c>
      <c r="I286" s="684">
        <f>IF(終値!A286="","",IF(AND(安値!N286&lt;安値!M286,安値!N286&lt;安値!L286,安値!N286&lt;安値!O286,安値!N286&lt;安値!P286),9,""))</f>
      </c>
      <c r="J286" s="684">
        <f>IF(終値!A286="","",IF(AND(安値!O286&lt;安値!N286,安値!O286&lt;安値!M286,安値!O286&lt;安値!P286,安値!O286&lt;安値!Q286),10,""))</f>
      </c>
      <c r="K286" s="684">
        <f>IF(終値!A286="","",IF(AND(安値!P286&lt;安値!O286,安値!P286&lt;安値!N286,安値!P286&lt;安値!Q286,安値!P286&lt;安値!R286),11,""))</f>
      </c>
      <c r="L286" s="684">
        <f>IF(終値!A286="","",IF(AND(安値!Q286&lt;安値!P286,安値!Q286&lt;安値!O286,安値!Q286&lt;安値!R286,安値!Q286&lt;安値!S286),12,""))</f>
      </c>
      <c r="M286" s="684">
        <f>IF(終値!A286="","",IF(AND(安値!R286&lt;安値!Q286,安値!R286&lt;安値!P286,安値!R286&lt;安値!S286,安値!R286&lt;安値!T286),13,""))</f>
      </c>
      <c r="N286" s="684">
        <f>IF(終値!A286="","",IF(AND(安値!S286&lt;安値!R286,安値!S286&lt;安値!Q286,安値!S286&lt;安値!T286,安値!S286&lt;安値!U286),14,""))</f>
      </c>
      <c r="O286" s="684">
        <f>IF(終値!A286="","",IF(AND(安値!T286&lt;安値!S286,安値!T286&lt;安値!R286,安値!T286&lt;安値!U286,安値!T286&lt;安値!V286),15,""))</f>
      </c>
      <c r="P286" s="684">
        <f>IF(終値!A286="","",IF(AND(安値!U286&lt;安値!T286,安値!U286&lt;安値!S286,安値!U286&lt;安値!V286,安値!U286&lt;安値!W286),16,""))</f>
      </c>
      <c r="Q286" s="684">
        <f>IF(終値!A286="","",IF(AND(安値!V286&lt;安値!U286,安値!V286&lt;安値!T286,安値!V286&lt;安値!W286,安値!V286&lt;安値!X286),17,""))</f>
      </c>
      <c r="R286" s="684">
        <f>IF(終値!A286="","",IF(AND(安値!W286&lt;安値!V286,安値!W286&lt;安値!U286,安値!W286&lt;安値!X286,安値!W286&lt;安値!Y286),18,""))</f>
      </c>
      <c r="S286" s="684">
        <f>IF(終値!A286="","",IF(AND(安値!X286&lt;安値!W286,安値!X286&lt;安値!V286,安値!X286&lt;安値!Y286,安値!X286&lt;安値!Z286),19,""))</f>
      </c>
      <c r="T286" s="684">
        <f>IF(終値!A286="","",IF(AND(安値!Y286&lt;安値!X286,安値!Y286&lt;安値!W286,安値!Y286&lt;安値!Z286,安値!Y286&lt;安値!AA286),20,""))</f>
      </c>
      <c r="U286" s="684">
        <f>IF(終値!A286="","",IF(AND(安値!Z286&lt;安値!Y286,安値!Z286&lt;安値!X286,安値!Z286&lt;安値!AA286,安値!Z286&lt;安値!AB286),21,""))</f>
      </c>
      <c r="V286" s="684">
        <f>IF(終値!A286="","",IF(AND(安値!AA286&lt;安値!Z286,安値!AA286&lt;安値!Y286,安値!AA286&lt;安値!AB286,安値!AA286&lt;安値!AC286),22,""))</f>
      </c>
      <c r="W286" s="684">
        <f>IF(終値!A286="","",IF(AND(安値!AB286&lt;安値!AA286,安値!AB286&lt;安値!Z286,安値!AB286&lt;安値!AC286,安値!AB286&lt;安値!AD286),23,""))</f>
      </c>
      <c r="X286" s="684">
        <f>IF(終値!A286="","",IF(AND(安値!AC286&lt;安値!AB286,安値!AC286&lt;安値!AA286,安値!AC286&lt;安値!AD286,安値!AC286&lt;安値!AE286),24,""))</f>
      </c>
      <c r="Y286" s="684">
        <f>IF(終値!A286="","",IF(AND(安値!AD286&lt;安値!AC286,安値!AD286&lt;安値!AB286,安値!AD286&lt;安値!AE286,安値!AD286&lt;安値!AF286),25,""))</f>
      </c>
      <c r="Z286" s="684">
        <f>IF(終値!A286="","",IF(AND(安値!AE286&lt;安値!AD286,安値!AE286&lt;安値!AC286,安値!AE286&lt;安値!AF286,安値!AE286&lt;安値!AG286),26,""))</f>
      </c>
      <c r="AA286" s="684">
        <f>IF(終値!A286="","",IF(AND(安値!AF286&lt;安値!AE286,安値!AF286&lt;安値!AD286,安値!AF286&lt;安値!AG286,安値!AF286&lt;安値!AH286),27,""))</f>
      </c>
      <c r="AB286" s="684">
        <f>IF(終値!A286="","",IF(AND(安値!AG286&lt;安値!AF286,安値!AG286&lt;安値!AE286,安値!AG286&lt;安値!AH286,安値!AG286&lt;安値!AI286),28,""))</f>
      </c>
      <c r="AC286" s="684">
        <f>IF(終値!A286="","",IF(AND(高値!G286&gt;高値!F286,高値!G286&gt;高値!E286,高値!G286&gt;高値!H286,高値!G286&gt;高値!I286),2,""))</f>
      </c>
      <c r="AD286" s="684">
        <f>IF(終値!A286="","",IF(AND(高値!H286&gt;高値!G286,高値!H286&gt;高値!F286,高値!H286&gt;高値!I286,高値!H286&gt;高値!J286),3,""))</f>
      </c>
      <c r="AE286" s="684">
        <f>IF(終値!A286="","",IF(AND(高値!I286&gt;高値!H286,高値!I286&gt;高値!G286,高値!I286&gt;高値!J286,高値!I286&gt;高値!K286),4,""))</f>
      </c>
      <c r="AF286" s="684">
        <f>IF(終値!A286="","",IF(AND(高値!J286&gt;高値!I286,高値!J286&gt;高値!H286,高値!J286&gt;高値!K286,高値!J286&gt;高値!L286),5,""))</f>
      </c>
      <c r="AG286" s="684">
        <f>IF(終値!A286="","",IF(AND(高値!K286&gt;高値!J286,高値!K286&gt;高値!I286,高値!K286&gt;高値!L286,高値!K286&gt;高値!M286),6,""))</f>
      </c>
      <c r="AH286" s="684">
        <f>IF(終値!A286="","",IF(AND(高値!L286&gt;高値!K286,高値!L286&gt;高値!J286,高値!L286&gt;高値!M286,高値!L286&gt;高値!N286),7,""))</f>
      </c>
      <c r="AI286" s="684">
        <f>IF(終値!A286="","",IF(AND(高値!M286&gt;高値!L286,高値!M286&gt;高値!K286,高値!M286&gt;高値!N286,高値!M286&gt;高値!O286),8,""))</f>
      </c>
      <c r="AJ286" s="684">
        <f>IF(終値!A286="","",IF(AND(高値!N286&gt;高値!M286,高値!N286&gt;高値!L286,高値!N286&gt;高値!O286,高値!N286&gt;高値!P286),9,""))</f>
      </c>
      <c r="AK286" s="684">
        <f>IF(終値!A286="","",IF(AND(高値!O286&gt;高値!N286,高値!O286&gt;高値!M286,高値!O286&gt;高値!P286,高値!O286&gt;高値!Q286),10,""))</f>
      </c>
      <c r="AL286" s="684">
        <f>IF(終値!A286="","",IF(AND(高値!P286&gt;高値!O286,高値!P286&gt;高値!N286,高値!P286&gt;高値!Q286,高値!P286&gt;高値!R286),11,""))</f>
      </c>
      <c r="AM286" s="684">
        <f>IF(終値!A286="","",IF(AND(高値!Q286&gt;高値!P286,高値!Q286&gt;高値!O286,高値!Q286&gt;高値!R286,高値!Q286&gt;高値!S286),12,""))</f>
      </c>
      <c r="AN286" s="684">
        <f>IF(終値!A286="","",IF(AND(高値!R286&gt;高値!Q286,高値!R286&gt;高値!P286,高値!R286&gt;高値!S286,高値!R286&gt;高値!T286),13,""))</f>
      </c>
      <c r="AO286" s="684">
        <f>IF(終値!A286="","",IF(AND(高値!S286&gt;高値!R286,高値!S286&gt;高値!Q286,高値!S286&gt;高値!T286,高値!S286&gt;高値!U286),14,""))</f>
      </c>
      <c r="AP286" s="684">
        <f>IF(終値!A286="","",IF(AND(高値!T286&gt;高値!S286,高値!T286&gt;高値!R286,高値!T286&gt;高値!U286,高値!T286&gt;高値!V286),15,""))</f>
      </c>
      <c r="AQ286" s="684">
        <f>IF(終値!A286="","",IF(AND(高値!U286&gt;高値!T286,高値!U286&gt;高値!S286,高値!U286&gt;高値!V286,高値!U286&gt;高値!W286),16,""))</f>
      </c>
      <c r="AR286" s="684">
        <f>IF(終値!A286="","",IF(AND(高値!V286&gt;高値!U286,高値!V286&gt;高値!T286,高値!V286&gt;高値!W286,高値!V286&gt;高値!X286),17,""))</f>
      </c>
      <c r="AS286" s="684">
        <f>IF(終値!A286="","",IF(AND(高値!W286&gt;高値!V286,高値!W286&gt;高値!U286,高値!W286&gt;高値!X286,高値!W286&gt;高値!Y286),18,""))</f>
      </c>
      <c r="AT286" s="684">
        <f>IF(終値!A286="","",IF(AND(高値!X286&gt;高値!W286,高値!X286&gt;高値!V286,高値!X286&gt;高値!Y286,高値!X286&gt;高値!Z286),19,""))</f>
      </c>
      <c r="AU286" s="684">
        <f>IF(終値!A286="","",IF(AND(高値!Y286&gt;高値!X286,高値!Y286&gt;高値!W286,高値!Y286&gt;高値!Z286,高値!Y286&gt;高値!AA286),20,""))</f>
      </c>
      <c r="AV286" s="684">
        <f>IF(終値!A286="","",IF(AND(高値!Z286&gt;高値!Y286,高値!Z286&gt;高値!X286,高値!Z286&gt;高値!AA286,高値!Z286&gt;高値!AB286),21,""))</f>
      </c>
      <c r="AW286" s="684">
        <f>IF(終値!A286="","",IF(AND(高値!AA286&gt;高値!Z286,高値!AA286&gt;高値!Y286,高値!AA286&gt;高値!AB286,高値!AA286&gt;高値!AC286),22,""))</f>
      </c>
      <c r="AX286" s="684">
        <f>IF(終値!A286="","",IF(AND(高値!AB286&gt;高値!AA286,高値!AB286&gt;高値!Z286,高値!AB286&gt;高値!AC286,高値!AB286&gt;高値!AD286),23,""))</f>
      </c>
      <c r="AY286" s="684">
        <f>IF(終値!A286="","",IF(AND(高値!AC286&gt;高値!AB286,高値!AC286&gt;高値!AA286,高値!AC286&gt;高値!AD286,高値!AC286&gt;高値!AE286),24,""))</f>
      </c>
      <c r="AZ286" s="684">
        <f>IF(終値!A286="","",IF(AND(高値!AD286&gt;高値!AC286,高値!AD286&gt;高値!AB286,高値!AD286&gt;高値!AE286,高値!AD286&gt;高値!AF286),25,""))</f>
      </c>
      <c r="BA286" s="684">
        <f>IF(終値!A286="","",IF(AND(高値!AE286&gt;高値!AD286,高値!AE286&gt;高値!AC286,高値!AE286&gt;高値!AF286,高値!AE286&gt;高値!AG286),26,""))</f>
      </c>
      <c r="BB286" s="684">
        <f>IF(終値!A286="","",IF(AND(高値!AF286&gt;高値!AE286,高値!AF286&gt;高値!AD286,高値!AF286&gt;高値!AG286,高値!AF286&gt;高値!AH286),27,""))</f>
      </c>
      <c r="BC286" s="684">
        <f>IF(終値!A286="","",IF(AND(高値!AG286&gt;高値!AF286,高値!AG286&gt;高値!AE286,高値!AG286&gt;高値!AH286,高値!AG286&gt;高値!AI286),28,""))</f>
      </c>
      <c r="BD286" s="684">
        <f>COUNT($B286:$AB286)</f>
      </c>
      <c r="BE286" s="684">
        <f>IF($BD286&gt;=2,MIN($B286:$AB286),"")</f>
      </c>
      <c r="BF286" s="684">
        <f>IF($BD286&gt;=2,SMALL($B286:$AB286,2),"")</f>
      </c>
      <c r="BG286" s="684">
        <f>IF($BE286="","",INDEX(安値!$E286:$CZ286,1,$BE286+1))</f>
      </c>
      <c r="BH286" s="684">
        <f>IF($BF286="","",INDEX(安値!$E286:$CZ286,1,$BF286+1))</f>
      </c>
      <c r="BI286" s="684">
        <f>IF($BF286="","",MAX(INDEX(高値!$E286:$CZ286,1,$BE286+1):INDEX(高値!$E286:$CZ286,1,$BF286+1)))</f>
      </c>
      <c r="BJ286" s="684">
        <f>IF($BF286="","",AVERAGE(INDEX(終値!$E286:$CZ286,1,$BF286+1):INDEX(終値!$E286:$CZ286,1,$BF286+20))-2*STDEVP(INDEX(終値!$E286:$CZ286,1,$BF286+1):INDEX(終値!$E286:$CZ286,1,$BF286+20)))</f>
      </c>
      <c r="BK286" s="684">
        <f>IF($BE286="","",AVERAGE(INDEX(終値!$E286:$CZ286,1,$BE286+1):INDEX(終値!$E286:$CZ286,1,$BE286+20))-2*STDEVP(INDEX(終値!$E286:$CZ286,1,$BE286+1):INDEX(終値!$E286:$CZ286,1,$BE286+20)))</f>
      </c>
      <c r="BL286" s="684">
        <f>COUNT($AC286:$BC286)</f>
      </c>
      <c r="BM286" s="684">
        <f>IF($BL286&gt;=2,MIN($AC286:$BC286),"")</f>
      </c>
      <c r="BN286" s="684">
        <f>IF($BL286&gt;=2,SMALL($AC286:$BC286,2),"")</f>
      </c>
      <c r="BO286" s="684">
        <f>IF($BM286="","",INDEX(高値!$E286:$CZ286,1,$BM286+1))</f>
      </c>
      <c r="BP286" s="684">
        <f>IF($BN286="","",INDEX(高値!$E286:$CZ286,1,$BN286+1))</f>
      </c>
      <c r="BQ286" s="684">
        <f>IF($BN286="","",MIN(INDEX(安値!$E286:$CZ286,1,$BM286+1):INDEX(安値!$E286:$CZ286,1,$BN286+1)))</f>
      </c>
      <c r="BR286" s="684">
        <f>IF($BN286="","",AVERAGE(INDEX(終値!$E286:$CZ286,1,$BN286+1):INDEX(終値!$E286:$CZ286,1,$BN286+20))+2*STDEVP(INDEX(終値!$E286:$CZ286,1,$BN286+1):INDEX(終値!$E286:$CZ286,1,$BN286+20)))</f>
      </c>
      <c r="BS286" s="684">
        <f>IF($BM286="","",AVERAGE(INDEX(終値!$E286:$CZ286,1,$BM286+1):INDEX(終値!$E286:$CZ286,1,$BM286+20))+2*STDEVP(INDEX(終値!$E286:$CZ286,1,$BM286+1):INDEX(終値!$E286:$CZ286,1,$BM286+20)))</f>
      </c>
      <c r="BT286" s="681">
        <f>IFERROR(IF(AND($BD286&gt;=2,ABS($BG286-$BH286)/$BH286&lt;=BB設定!$B$12,$BI286&gt;=MAX($BH286,$BG286)*(1+BB設定!$B$13),終値!E286&gt;$BG286),IF(OR(終値!E286&gt;=$BI286,AND($BH286&lt;$BJ286,$BG286&gt;=$BK286)),"二番底W▲","二番底W形成"),IF(AND($BL286&gt;=2,ABS($BO286-$BP286)/$BP286&lt;=BB設定!$B$12,$BQ286&lt;=MIN($BP286,$BO286)*(1-BB設定!$B$13),終値!E286&lt;$BO286),IF(OR(終値!E286&lt;=$BQ286,AND($BP286&gt;$BR286,$BO286&lt;=$BS286)),"二番天井M▼","二番天井M形成"),"－")),"－")</f>
      </c>
    </row>
    <row r="287">
      <c r="B287" s="684">
        <f>IF(終値!A287="","",IF(AND(安値!G287&lt;安値!F287,安値!G287&lt;安値!E287,安値!G287&lt;安値!H287,安値!G287&lt;安値!I287),2,""))</f>
      </c>
      <c r="C287" s="684">
        <f>IF(終値!A287="","",IF(AND(安値!H287&lt;安値!G287,安値!H287&lt;安値!F287,安値!H287&lt;安値!I287,安値!H287&lt;安値!J287),3,""))</f>
      </c>
      <c r="D287" s="684">
        <f>IF(終値!A287="","",IF(AND(安値!I287&lt;安値!H287,安値!I287&lt;安値!G287,安値!I287&lt;安値!J287,安値!I287&lt;安値!K287),4,""))</f>
      </c>
      <c r="E287" s="684">
        <f>IF(終値!A287="","",IF(AND(安値!J287&lt;安値!I287,安値!J287&lt;安値!H287,安値!J287&lt;安値!K287,安値!J287&lt;安値!L287),5,""))</f>
      </c>
      <c r="F287" s="684">
        <f>IF(終値!A287="","",IF(AND(安値!K287&lt;安値!J287,安値!K287&lt;安値!I287,安値!K287&lt;安値!L287,安値!K287&lt;安値!M287),6,""))</f>
      </c>
      <c r="G287" s="684">
        <f>IF(終値!A287="","",IF(AND(安値!L287&lt;安値!K287,安値!L287&lt;安値!J287,安値!L287&lt;安値!M287,安値!L287&lt;安値!N287),7,""))</f>
      </c>
      <c r="H287" s="684">
        <f>IF(終値!A287="","",IF(AND(安値!M287&lt;安値!L287,安値!M287&lt;安値!K287,安値!M287&lt;安値!N287,安値!M287&lt;安値!O287),8,""))</f>
      </c>
      <c r="I287" s="684">
        <f>IF(終値!A287="","",IF(AND(安値!N287&lt;安値!M287,安値!N287&lt;安値!L287,安値!N287&lt;安値!O287,安値!N287&lt;安値!P287),9,""))</f>
      </c>
      <c r="J287" s="684">
        <f>IF(終値!A287="","",IF(AND(安値!O287&lt;安値!N287,安値!O287&lt;安値!M287,安値!O287&lt;安値!P287,安値!O287&lt;安値!Q287),10,""))</f>
      </c>
      <c r="K287" s="684">
        <f>IF(終値!A287="","",IF(AND(安値!P287&lt;安値!O287,安値!P287&lt;安値!N287,安値!P287&lt;安値!Q287,安値!P287&lt;安値!R287),11,""))</f>
      </c>
      <c r="L287" s="684">
        <f>IF(終値!A287="","",IF(AND(安値!Q287&lt;安値!P287,安値!Q287&lt;安値!O287,安値!Q287&lt;安値!R287,安値!Q287&lt;安値!S287),12,""))</f>
      </c>
      <c r="M287" s="684">
        <f>IF(終値!A287="","",IF(AND(安値!R287&lt;安値!Q287,安値!R287&lt;安値!P287,安値!R287&lt;安値!S287,安値!R287&lt;安値!T287),13,""))</f>
      </c>
      <c r="N287" s="684">
        <f>IF(終値!A287="","",IF(AND(安値!S287&lt;安値!R287,安値!S287&lt;安値!Q287,安値!S287&lt;安値!T287,安値!S287&lt;安値!U287),14,""))</f>
      </c>
      <c r="O287" s="684">
        <f>IF(終値!A287="","",IF(AND(安値!T287&lt;安値!S287,安値!T287&lt;安値!R287,安値!T287&lt;安値!U287,安値!T287&lt;安値!V287),15,""))</f>
      </c>
      <c r="P287" s="684">
        <f>IF(終値!A287="","",IF(AND(安値!U287&lt;安値!T287,安値!U287&lt;安値!S287,安値!U287&lt;安値!V287,安値!U287&lt;安値!W287),16,""))</f>
      </c>
      <c r="Q287" s="684">
        <f>IF(終値!A287="","",IF(AND(安値!V287&lt;安値!U287,安値!V287&lt;安値!T287,安値!V287&lt;安値!W287,安値!V287&lt;安値!X287),17,""))</f>
      </c>
      <c r="R287" s="684">
        <f>IF(終値!A287="","",IF(AND(安値!W287&lt;安値!V287,安値!W287&lt;安値!U287,安値!W287&lt;安値!X287,安値!W287&lt;安値!Y287),18,""))</f>
      </c>
      <c r="S287" s="684">
        <f>IF(終値!A287="","",IF(AND(安値!X287&lt;安値!W287,安値!X287&lt;安値!V287,安値!X287&lt;安値!Y287,安値!X287&lt;安値!Z287),19,""))</f>
      </c>
      <c r="T287" s="684">
        <f>IF(終値!A287="","",IF(AND(安値!Y287&lt;安値!X287,安値!Y287&lt;安値!W287,安値!Y287&lt;安値!Z287,安値!Y287&lt;安値!AA287),20,""))</f>
      </c>
      <c r="U287" s="684">
        <f>IF(終値!A287="","",IF(AND(安値!Z287&lt;安値!Y287,安値!Z287&lt;安値!X287,安値!Z287&lt;安値!AA287,安値!Z287&lt;安値!AB287),21,""))</f>
      </c>
      <c r="V287" s="684">
        <f>IF(終値!A287="","",IF(AND(安値!AA287&lt;安値!Z287,安値!AA287&lt;安値!Y287,安値!AA287&lt;安値!AB287,安値!AA287&lt;安値!AC287),22,""))</f>
      </c>
      <c r="W287" s="684">
        <f>IF(終値!A287="","",IF(AND(安値!AB287&lt;安値!AA287,安値!AB287&lt;安値!Z287,安値!AB287&lt;安値!AC287,安値!AB287&lt;安値!AD287),23,""))</f>
      </c>
      <c r="X287" s="684">
        <f>IF(終値!A287="","",IF(AND(安値!AC287&lt;安値!AB287,安値!AC287&lt;安値!AA287,安値!AC287&lt;安値!AD287,安値!AC287&lt;安値!AE287),24,""))</f>
      </c>
      <c r="Y287" s="684">
        <f>IF(終値!A287="","",IF(AND(安値!AD287&lt;安値!AC287,安値!AD287&lt;安値!AB287,安値!AD287&lt;安値!AE287,安値!AD287&lt;安値!AF287),25,""))</f>
      </c>
      <c r="Z287" s="684">
        <f>IF(終値!A287="","",IF(AND(安値!AE287&lt;安値!AD287,安値!AE287&lt;安値!AC287,安値!AE287&lt;安値!AF287,安値!AE287&lt;安値!AG287),26,""))</f>
      </c>
      <c r="AA287" s="684">
        <f>IF(終値!A287="","",IF(AND(安値!AF287&lt;安値!AE287,安値!AF287&lt;安値!AD287,安値!AF287&lt;安値!AG287,安値!AF287&lt;安値!AH287),27,""))</f>
      </c>
      <c r="AB287" s="684">
        <f>IF(終値!A287="","",IF(AND(安値!AG287&lt;安値!AF287,安値!AG287&lt;安値!AE287,安値!AG287&lt;安値!AH287,安値!AG287&lt;安値!AI287),28,""))</f>
      </c>
      <c r="AC287" s="684">
        <f>IF(終値!A287="","",IF(AND(高値!G287&gt;高値!F287,高値!G287&gt;高値!E287,高値!G287&gt;高値!H287,高値!G287&gt;高値!I287),2,""))</f>
      </c>
      <c r="AD287" s="684">
        <f>IF(終値!A287="","",IF(AND(高値!H287&gt;高値!G287,高値!H287&gt;高値!F287,高値!H287&gt;高値!I287,高値!H287&gt;高値!J287),3,""))</f>
      </c>
      <c r="AE287" s="684">
        <f>IF(終値!A287="","",IF(AND(高値!I287&gt;高値!H287,高値!I287&gt;高値!G287,高値!I287&gt;高値!J287,高値!I287&gt;高値!K287),4,""))</f>
      </c>
      <c r="AF287" s="684">
        <f>IF(終値!A287="","",IF(AND(高値!J287&gt;高値!I287,高値!J287&gt;高値!H287,高値!J287&gt;高値!K287,高値!J287&gt;高値!L287),5,""))</f>
      </c>
      <c r="AG287" s="684">
        <f>IF(終値!A287="","",IF(AND(高値!K287&gt;高値!J287,高値!K287&gt;高値!I287,高値!K287&gt;高値!L287,高値!K287&gt;高値!M287),6,""))</f>
      </c>
      <c r="AH287" s="684">
        <f>IF(終値!A287="","",IF(AND(高値!L287&gt;高値!K287,高値!L287&gt;高値!J287,高値!L287&gt;高値!M287,高値!L287&gt;高値!N287),7,""))</f>
      </c>
      <c r="AI287" s="684">
        <f>IF(終値!A287="","",IF(AND(高値!M287&gt;高値!L287,高値!M287&gt;高値!K287,高値!M287&gt;高値!N287,高値!M287&gt;高値!O287),8,""))</f>
      </c>
      <c r="AJ287" s="684">
        <f>IF(終値!A287="","",IF(AND(高値!N287&gt;高値!M287,高値!N287&gt;高値!L287,高値!N287&gt;高値!O287,高値!N287&gt;高値!P287),9,""))</f>
      </c>
      <c r="AK287" s="684">
        <f>IF(終値!A287="","",IF(AND(高値!O287&gt;高値!N287,高値!O287&gt;高値!M287,高値!O287&gt;高値!P287,高値!O287&gt;高値!Q287),10,""))</f>
      </c>
      <c r="AL287" s="684">
        <f>IF(終値!A287="","",IF(AND(高値!P287&gt;高値!O287,高値!P287&gt;高値!N287,高値!P287&gt;高値!Q287,高値!P287&gt;高値!R287),11,""))</f>
      </c>
      <c r="AM287" s="684">
        <f>IF(終値!A287="","",IF(AND(高値!Q287&gt;高値!P287,高値!Q287&gt;高値!O287,高値!Q287&gt;高値!R287,高値!Q287&gt;高値!S287),12,""))</f>
      </c>
      <c r="AN287" s="684">
        <f>IF(終値!A287="","",IF(AND(高値!R287&gt;高値!Q287,高値!R287&gt;高値!P287,高値!R287&gt;高値!S287,高値!R287&gt;高値!T287),13,""))</f>
      </c>
      <c r="AO287" s="684">
        <f>IF(終値!A287="","",IF(AND(高値!S287&gt;高値!R287,高値!S287&gt;高値!Q287,高値!S287&gt;高値!T287,高値!S287&gt;高値!U287),14,""))</f>
      </c>
      <c r="AP287" s="684">
        <f>IF(終値!A287="","",IF(AND(高値!T287&gt;高値!S287,高値!T287&gt;高値!R287,高値!T287&gt;高値!U287,高値!T287&gt;高値!V287),15,""))</f>
      </c>
      <c r="AQ287" s="684">
        <f>IF(終値!A287="","",IF(AND(高値!U287&gt;高値!T287,高値!U287&gt;高値!S287,高値!U287&gt;高値!V287,高値!U287&gt;高値!W287),16,""))</f>
      </c>
      <c r="AR287" s="684">
        <f>IF(終値!A287="","",IF(AND(高値!V287&gt;高値!U287,高値!V287&gt;高値!T287,高値!V287&gt;高値!W287,高値!V287&gt;高値!X287),17,""))</f>
      </c>
      <c r="AS287" s="684">
        <f>IF(終値!A287="","",IF(AND(高値!W287&gt;高値!V287,高値!W287&gt;高値!U287,高値!W287&gt;高値!X287,高値!W287&gt;高値!Y287),18,""))</f>
      </c>
      <c r="AT287" s="684">
        <f>IF(終値!A287="","",IF(AND(高値!X287&gt;高値!W287,高値!X287&gt;高値!V287,高値!X287&gt;高値!Y287,高値!X287&gt;高値!Z287),19,""))</f>
      </c>
      <c r="AU287" s="684">
        <f>IF(終値!A287="","",IF(AND(高値!Y287&gt;高値!X287,高値!Y287&gt;高値!W287,高値!Y287&gt;高値!Z287,高値!Y287&gt;高値!AA287),20,""))</f>
      </c>
      <c r="AV287" s="684">
        <f>IF(終値!A287="","",IF(AND(高値!Z287&gt;高値!Y287,高値!Z287&gt;高値!X287,高値!Z287&gt;高値!AA287,高値!Z287&gt;高値!AB287),21,""))</f>
      </c>
      <c r="AW287" s="684">
        <f>IF(終値!A287="","",IF(AND(高値!AA287&gt;高値!Z287,高値!AA287&gt;高値!Y287,高値!AA287&gt;高値!AB287,高値!AA287&gt;高値!AC287),22,""))</f>
      </c>
      <c r="AX287" s="684">
        <f>IF(終値!A287="","",IF(AND(高値!AB287&gt;高値!AA287,高値!AB287&gt;高値!Z287,高値!AB287&gt;高値!AC287,高値!AB287&gt;高値!AD287),23,""))</f>
      </c>
      <c r="AY287" s="684">
        <f>IF(終値!A287="","",IF(AND(高値!AC287&gt;高値!AB287,高値!AC287&gt;高値!AA287,高値!AC287&gt;高値!AD287,高値!AC287&gt;高値!AE287),24,""))</f>
      </c>
      <c r="AZ287" s="684">
        <f>IF(終値!A287="","",IF(AND(高値!AD287&gt;高値!AC287,高値!AD287&gt;高値!AB287,高値!AD287&gt;高値!AE287,高値!AD287&gt;高値!AF287),25,""))</f>
      </c>
      <c r="BA287" s="684">
        <f>IF(終値!A287="","",IF(AND(高値!AE287&gt;高値!AD287,高値!AE287&gt;高値!AC287,高値!AE287&gt;高値!AF287,高値!AE287&gt;高値!AG287),26,""))</f>
      </c>
      <c r="BB287" s="684">
        <f>IF(終値!A287="","",IF(AND(高値!AF287&gt;高値!AE287,高値!AF287&gt;高値!AD287,高値!AF287&gt;高値!AG287,高値!AF287&gt;高値!AH287),27,""))</f>
      </c>
      <c r="BC287" s="684">
        <f>IF(終値!A287="","",IF(AND(高値!AG287&gt;高値!AF287,高値!AG287&gt;高値!AE287,高値!AG287&gt;高値!AH287,高値!AG287&gt;高値!AI287),28,""))</f>
      </c>
      <c r="BD287" s="684">
        <f>COUNT($B287:$AB287)</f>
      </c>
      <c r="BE287" s="684">
        <f>IF($BD287&gt;=2,MIN($B287:$AB287),"")</f>
      </c>
      <c r="BF287" s="684">
        <f>IF($BD287&gt;=2,SMALL($B287:$AB287,2),"")</f>
      </c>
      <c r="BG287" s="684">
        <f>IF($BE287="","",INDEX(安値!$E287:$CZ287,1,$BE287+1))</f>
      </c>
      <c r="BH287" s="684">
        <f>IF($BF287="","",INDEX(安値!$E287:$CZ287,1,$BF287+1))</f>
      </c>
      <c r="BI287" s="684">
        <f>IF($BF287="","",MAX(INDEX(高値!$E287:$CZ287,1,$BE287+1):INDEX(高値!$E287:$CZ287,1,$BF287+1)))</f>
      </c>
      <c r="BJ287" s="684">
        <f>IF($BF287="","",AVERAGE(INDEX(終値!$E287:$CZ287,1,$BF287+1):INDEX(終値!$E287:$CZ287,1,$BF287+20))-2*STDEVP(INDEX(終値!$E287:$CZ287,1,$BF287+1):INDEX(終値!$E287:$CZ287,1,$BF287+20)))</f>
      </c>
      <c r="BK287" s="684">
        <f>IF($BE287="","",AVERAGE(INDEX(終値!$E287:$CZ287,1,$BE287+1):INDEX(終値!$E287:$CZ287,1,$BE287+20))-2*STDEVP(INDEX(終値!$E287:$CZ287,1,$BE287+1):INDEX(終値!$E287:$CZ287,1,$BE287+20)))</f>
      </c>
      <c r="BL287" s="684">
        <f>COUNT($AC287:$BC287)</f>
      </c>
      <c r="BM287" s="684">
        <f>IF($BL287&gt;=2,MIN($AC287:$BC287),"")</f>
      </c>
      <c r="BN287" s="684">
        <f>IF($BL287&gt;=2,SMALL($AC287:$BC287,2),"")</f>
      </c>
      <c r="BO287" s="684">
        <f>IF($BM287="","",INDEX(高値!$E287:$CZ287,1,$BM287+1))</f>
      </c>
      <c r="BP287" s="684">
        <f>IF($BN287="","",INDEX(高値!$E287:$CZ287,1,$BN287+1))</f>
      </c>
      <c r="BQ287" s="684">
        <f>IF($BN287="","",MIN(INDEX(安値!$E287:$CZ287,1,$BM287+1):INDEX(安値!$E287:$CZ287,1,$BN287+1)))</f>
      </c>
      <c r="BR287" s="684">
        <f>IF($BN287="","",AVERAGE(INDEX(終値!$E287:$CZ287,1,$BN287+1):INDEX(終値!$E287:$CZ287,1,$BN287+20))+2*STDEVP(INDEX(終値!$E287:$CZ287,1,$BN287+1):INDEX(終値!$E287:$CZ287,1,$BN287+20)))</f>
      </c>
      <c r="BS287" s="684">
        <f>IF($BM287="","",AVERAGE(INDEX(終値!$E287:$CZ287,1,$BM287+1):INDEX(終値!$E287:$CZ287,1,$BM287+20))+2*STDEVP(INDEX(終値!$E287:$CZ287,1,$BM287+1):INDEX(終値!$E287:$CZ287,1,$BM287+20)))</f>
      </c>
      <c r="BT287" s="681">
        <f>IFERROR(IF(AND($BD287&gt;=2,ABS($BG287-$BH287)/$BH287&lt;=BB設定!$B$12,$BI287&gt;=MAX($BH287,$BG287)*(1+BB設定!$B$13),終値!E287&gt;$BG287),IF(OR(終値!E287&gt;=$BI287,AND($BH287&lt;$BJ287,$BG287&gt;=$BK287)),"二番底W▲","二番底W形成"),IF(AND($BL287&gt;=2,ABS($BO287-$BP287)/$BP287&lt;=BB設定!$B$12,$BQ287&lt;=MIN($BP287,$BO287)*(1-BB設定!$B$13),終値!E287&lt;$BO287),IF(OR(終値!E287&lt;=$BQ287,AND($BP287&gt;$BR287,$BO287&lt;=$BS287)),"二番天井M▼","二番天井M形成"),"－")),"－")</f>
      </c>
    </row>
    <row r="288">
      <c r="B288" s="684">
        <f>IF(終値!A288="","",IF(AND(安値!G288&lt;安値!F288,安値!G288&lt;安値!E288,安値!G288&lt;安値!H288,安値!G288&lt;安値!I288),2,""))</f>
      </c>
      <c r="C288" s="684">
        <f>IF(終値!A288="","",IF(AND(安値!H288&lt;安値!G288,安値!H288&lt;安値!F288,安値!H288&lt;安値!I288,安値!H288&lt;安値!J288),3,""))</f>
      </c>
      <c r="D288" s="684">
        <f>IF(終値!A288="","",IF(AND(安値!I288&lt;安値!H288,安値!I288&lt;安値!G288,安値!I288&lt;安値!J288,安値!I288&lt;安値!K288),4,""))</f>
      </c>
      <c r="E288" s="684">
        <f>IF(終値!A288="","",IF(AND(安値!J288&lt;安値!I288,安値!J288&lt;安値!H288,安値!J288&lt;安値!K288,安値!J288&lt;安値!L288),5,""))</f>
      </c>
      <c r="F288" s="684">
        <f>IF(終値!A288="","",IF(AND(安値!K288&lt;安値!J288,安値!K288&lt;安値!I288,安値!K288&lt;安値!L288,安値!K288&lt;安値!M288),6,""))</f>
      </c>
      <c r="G288" s="684">
        <f>IF(終値!A288="","",IF(AND(安値!L288&lt;安値!K288,安値!L288&lt;安値!J288,安値!L288&lt;安値!M288,安値!L288&lt;安値!N288),7,""))</f>
      </c>
      <c r="H288" s="684">
        <f>IF(終値!A288="","",IF(AND(安値!M288&lt;安値!L288,安値!M288&lt;安値!K288,安値!M288&lt;安値!N288,安値!M288&lt;安値!O288),8,""))</f>
      </c>
      <c r="I288" s="684">
        <f>IF(終値!A288="","",IF(AND(安値!N288&lt;安値!M288,安値!N288&lt;安値!L288,安値!N288&lt;安値!O288,安値!N288&lt;安値!P288),9,""))</f>
      </c>
      <c r="J288" s="684">
        <f>IF(終値!A288="","",IF(AND(安値!O288&lt;安値!N288,安値!O288&lt;安値!M288,安値!O288&lt;安値!P288,安値!O288&lt;安値!Q288),10,""))</f>
      </c>
      <c r="K288" s="684">
        <f>IF(終値!A288="","",IF(AND(安値!P288&lt;安値!O288,安値!P288&lt;安値!N288,安値!P288&lt;安値!Q288,安値!P288&lt;安値!R288),11,""))</f>
      </c>
      <c r="L288" s="684">
        <f>IF(終値!A288="","",IF(AND(安値!Q288&lt;安値!P288,安値!Q288&lt;安値!O288,安値!Q288&lt;安値!R288,安値!Q288&lt;安値!S288),12,""))</f>
      </c>
      <c r="M288" s="684">
        <f>IF(終値!A288="","",IF(AND(安値!R288&lt;安値!Q288,安値!R288&lt;安値!P288,安値!R288&lt;安値!S288,安値!R288&lt;安値!T288),13,""))</f>
      </c>
      <c r="N288" s="684">
        <f>IF(終値!A288="","",IF(AND(安値!S288&lt;安値!R288,安値!S288&lt;安値!Q288,安値!S288&lt;安値!T288,安値!S288&lt;安値!U288),14,""))</f>
      </c>
      <c r="O288" s="684">
        <f>IF(終値!A288="","",IF(AND(安値!T288&lt;安値!S288,安値!T288&lt;安値!R288,安値!T288&lt;安値!U288,安値!T288&lt;安値!V288),15,""))</f>
      </c>
      <c r="P288" s="684">
        <f>IF(終値!A288="","",IF(AND(安値!U288&lt;安値!T288,安値!U288&lt;安値!S288,安値!U288&lt;安値!V288,安値!U288&lt;安値!W288),16,""))</f>
      </c>
      <c r="Q288" s="684">
        <f>IF(終値!A288="","",IF(AND(安値!V288&lt;安値!U288,安値!V288&lt;安値!T288,安値!V288&lt;安値!W288,安値!V288&lt;安値!X288),17,""))</f>
      </c>
      <c r="R288" s="684">
        <f>IF(終値!A288="","",IF(AND(安値!W288&lt;安値!V288,安値!W288&lt;安値!U288,安値!W288&lt;安値!X288,安値!W288&lt;安値!Y288),18,""))</f>
      </c>
      <c r="S288" s="684">
        <f>IF(終値!A288="","",IF(AND(安値!X288&lt;安値!W288,安値!X288&lt;安値!V288,安値!X288&lt;安値!Y288,安値!X288&lt;安値!Z288),19,""))</f>
      </c>
      <c r="T288" s="684">
        <f>IF(終値!A288="","",IF(AND(安値!Y288&lt;安値!X288,安値!Y288&lt;安値!W288,安値!Y288&lt;安値!Z288,安値!Y288&lt;安値!AA288),20,""))</f>
      </c>
      <c r="U288" s="684">
        <f>IF(終値!A288="","",IF(AND(安値!Z288&lt;安値!Y288,安値!Z288&lt;安値!X288,安値!Z288&lt;安値!AA288,安値!Z288&lt;安値!AB288),21,""))</f>
      </c>
      <c r="V288" s="684">
        <f>IF(終値!A288="","",IF(AND(安値!AA288&lt;安値!Z288,安値!AA288&lt;安値!Y288,安値!AA288&lt;安値!AB288,安値!AA288&lt;安値!AC288),22,""))</f>
      </c>
      <c r="W288" s="684">
        <f>IF(終値!A288="","",IF(AND(安値!AB288&lt;安値!AA288,安値!AB288&lt;安値!Z288,安値!AB288&lt;安値!AC288,安値!AB288&lt;安値!AD288),23,""))</f>
      </c>
      <c r="X288" s="684">
        <f>IF(終値!A288="","",IF(AND(安値!AC288&lt;安値!AB288,安値!AC288&lt;安値!AA288,安値!AC288&lt;安値!AD288,安値!AC288&lt;安値!AE288),24,""))</f>
      </c>
      <c r="Y288" s="684">
        <f>IF(終値!A288="","",IF(AND(安値!AD288&lt;安値!AC288,安値!AD288&lt;安値!AB288,安値!AD288&lt;安値!AE288,安値!AD288&lt;安値!AF288),25,""))</f>
      </c>
      <c r="Z288" s="684">
        <f>IF(終値!A288="","",IF(AND(安値!AE288&lt;安値!AD288,安値!AE288&lt;安値!AC288,安値!AE288&lt;安値!AF288,安値!AE288&lt;安値!AG288),26,""))</f>
      </c>
      <c r="AA288" s="684">
        <f>IF(終値!A288="","",IF(AND(安値!AF288&lt;安値!AE288,安値!AF288&lt;安値!AD288,安値!AF288&lt;安値!AG288,安値!AF288&lt;安値!AH288),27,""))</f>
      </c>
      <c r="AB288" s="684">
        <f>IF(終値!A288="","",IF(AND(安値!AG288&lt;安値!AF288,安値!AG288&lt;安値!AE288,安値!AG288&lt;安値!AH288,安値!AG288&lt;安値!AI288),28,""))</f>
      </c>
      <c r="AC288" s="684">
        <f>IF(終値!A288="","",IF(AND(高値!G288&gt;高値!F288,高値!G288&gt;高値!E288,高値!G288&gt;高値!H288,高値!G288&gt;高値!I288),2,""))</f>
      </c>
      <c r="AD288" s="684">
        <f>IF(終値!A288="","",IF(AND(高値!H288&gt;高値!G288,高値!H288&gt;高値!F288,高値!H288&gt;高値!I288,高値!H288&gt;高値!J288),3,""))</f>
      </c>
      <c r="AE288" s="684">
        <f>IF(終値!A288="","",IF(AND(高値!I288&gt;高値!H288,高値!I288&gt;高値!G288,高値!I288&gt;高値!J288,高値!I288&gt;高値!K288),4,""))</f>
      </c>
      <c r="AF288" s="684">
        <f>IF(終値!A288="","",IF(AND(高値!J288&gt;高値!I288,高値!J288&gt;高値!H288,高値!J288&gt;高値!K288,高値!J288&gt;高値!L288),5,""))</f>
      </c>
      <c r="AG288" s="684">
        <f>IF(終値!A288="","",IF(AND(高値!K288&gt;高値!J288,高値!K288&gt;高値!I288,高値!K288&gt;高値!L288,高値!K288&gt;高値!M288),6,""))</f>
      </c>
      <c r="AH288" s="684">
        <f>IF(終値!A288="","",IF(AND(高値!L288&gt;高値!K288,高値!L288&gt;高値!J288,高値!L288&gt;高値!M288,高値!L288&gt;高値!N288),7,""))</f>
      </c>
      <c r="AI288" s="684">
        <f>IF(終値!A288="","",IF(AND(高値!M288&gt;高値!L288,高値!M288&gt;高値!K288,高値!M288&gt;高値!N288,高値!M288&gt;高値!O288),8,""))</f>
      </c>
      <c r="AJ288" s="684">
        <f>IF(終値!A288="","",IF(AND(高値!N288&gt;高値!M288,高値!N288&gt;高値!L288,高値!N288&gt;高値!O288,高値!N288&gt;高値!P288),9,""))</f>
      </c>
      <c r="AK288" s="684">
        <f>IF(終値!A288="","",IF(AND(高値!O288&gt;高値!N288,高値!O288&gt;高値!M288,高値!O288&gt;高値!P288,高値!O288&gt;高値!Q288),10,""))</f>
      </c>
      <c r="AL288" s="684">
        <f>IF(終値!A288="","",IF(AND(高値!P288&gt;高値!O288,高値!P288&gt;高値!N288,高値!P288&gt;高値!Q288,高値!P288&gt;高値!R288),11,""))</f>
      </c>
      <c r="AM288" s="684">
        <f>IF(終値!A288="","",IF(AND(高値!Q288&gt;高値!P288,高値!Q288&gt;高値!O288,高値!Q288&gt;高値!R288,高値!Q288&gt;高値!S288),12,""))</f>
      </c>
      <c r="AN288" s="684">
        <f>IF(終値!A288="","",IF(AND(高値!R288&gt;高値!Q288,高値!R288&gt;高値!P288,高値!R288&gt;高値!S288,高値!R288&gt;高値!T288),13,""))</f>
      </c>
      <c r="AO288" s="684">
        <f>IF(終値!A288="","",IF(AND(高値!S288&gt;高値!R288,高値!S288&gt;高値!Q288,高値!S288&gt;高値!T288,高値!S288&gt;高値!U288),14,""))</f>
      </c>
      <c r="AP288" s="684">
        <f>IF(終値!A288="","",IF(AND(高値!T288&gt;高値!S288,高値!T288&gt;高値!R288,高値!T288&gt;高値!U288,高値!T288&gt;高値!V288),15,""))</f>
      </c>
      <c r="AQ288" s="684">
        <f>IF(終値!A288="","",IF(AND(高値!U288&gt;高値!T288,高値!U288&gt;高値!S288,高値!U288&gt;高値!V288,高値!U288&gt;高値!W288),16,""))</f>
      </c>
      <c r="AR288" s="684">
        <f>IF(終値!A288="","",IF(AND(高値!V288&gt;高値!U288,高値!V288&gt;高値!T288,高値!V288&gt;高値!W288,高値!V288&gt;高値!X288),17,""))</f>
      </c>
      <c r="AS288" s="684">
        <f>IF(終値!A288="","",IF(AND(高値!W288&gt;高値!V288,高値!W288&gt;高値!U288,高値!W288&gt;高値!X288,高値!W288&gt;高値!Y288),18,""))</f>
      </c>
      <c r="AT288" s="684">
        <f>IF(終値!A288="","",IF(AND(高値!X288&gt;高値!W288,高値!X288&gt;高値!V288,高値!X288&gt;高値!Y288,高値!X288&gt;高値!Z288),19,""))</f>
      </c>
      <c r="AU288" s="684">
        <f>IF(終値!A288="","",IF(AND(高値!Y288&gt;高値!X288,高値!Y288&gt;高値!W288,高値!Y288&gt;高値!Z288,高値!Y288&gt;高値!AA288),20,""))</f>
      </c>
      <c r="AV288" s="684">
        <f>IF(終値!A288="","",IF(AND(高値!Z288&gt;高値!Y288,高値!Z288&gt;高値!X288,高値!Z288&gt;高値!AA288,高値!Z288&gt;高値!AB288),21,""))</f>
      </c>
      <c r="AW288" s="684">
        <f>IF(終値!A288="","",IF(AND(高値!AA288&gt;高値!Z288,高値!AA288&gt;高値!Y288,高値!AA288&gt;高値!AB288,高値!AA288&gt;高値!AC288),22,""))</f>
      </c>
      <c r="AX288" s="684">
        <f>IF(終値!A288="","",IF(AND(高値!AB288&gt;高値!AA288,高値!AB288&gt;高値!Z288,高値!AB288&gt;高値!AC288,高値!AB288&gt;高値!AD288),23,""))</f>
      </c>
      <c r="AY288" s="684">
        <f>IF(終値!A288="","",IF(AND(高値!AC288&gt;高値!AB288,高値!AC288&gt;高値!AA288,高値!AC288&gt;高値!AD288,高値!AC288&gt;高値!AE288),24,""))</f>
      </c>
      <c r="AZ288" s="684">
        <f>IF(終値!A288="","",IF(AND(高値!AD288&gt;高値!AC288,高値!AD288&gt;高値!AB288,高値!AD288&gt;高値!AE288,高値!AD288&gt;高値!AF288),25,""))</f>
      </c>
      <c r="BA288" s="684">
        <f>IF(終値!A288="","",IF(AND(高値!AE288&gt;高値!AD288,高値!AE288&gt;高値!AC288,高値!AE288&gt;高値!AF288,高値!AE288&gt;高値!AG288),26,""))</f>
      </c>
      <c r="BB288" s="684">
        <f>IF(終値!A288="","",IF(AND(高値!AF288&gt;高値!AE288,高値!AF288&gt;高値!AD288,高値!AF288&gt;高値!AG288,高値!AF288&gt;高値!AH288),27,""))</f>
      </c>
      <c r="BC288" s="684">
        <f>IF(終値!A288="","",IF(AND(高値!AG288&gt;高値!AF288,高値!AG288&gt;高値!AE288,高値!AG288&gt;高値!AH288,高値!AG288&gt;高値!AI288),28,""))</f>
      </c>
      <c r="BD288" s="684">
        <f>COUNT($B288:$AB288)</f>
      </c>
      <c r="BE288" s="684">
        <f>IF($BD288&gt;=2,MIN($B288:$AB288),"")</f>
      </c>
      <c r="BF288" s="684">
        <f>IF($BD288&gt;=2,SMALL($B288:$AB288,2),"")</f>
      </c>
      <c r="BG288" s="684">
        <f>IF($BE288="","",INDEX(安値!$E288:$CZ288,1,$BE288+1))</f>
      </c>
      <c r="BH288" s="684">
        <f>IF($BF288="","",INDEX(安値!$E288:$CZ288,1,$BF288+1))</f>
      </c>
      <c r="BI288" s="684">
        <f>IF($BF288="","",MAX(INDEX(高値!$E288:$CZ288,1,$BE288+1):INDEX(高値!$E288:$CZ288,1,$BF288+1)))</f>
      </c>
      <c r="BJ288" s="684">
        <f>IF($BF288="","",AVERAGE(INDEX(終値!$E288:$CZ288,1,$BF288+1):INDEX(終値!$E288:$CZ288,1,$BF288+20))-2*STDEVP(INDEX(終値!$E288:$CZ288,1,$BF288+1):INDEX(終値!$E288:$CZ288,1,$BF288+20)))</f>
      </c>
      <c r="BK288" s="684">
        <f>IF($BE288="","",AVERAGE(INDEX(終値!$E288:$CZ288,1,$BE288+1):INDEX(終値!$E288:$CZ288,1,$BE288+20))-2*STDEVP(INDEX(終値!$E288:$CZ288,1,$BE288+1):INDEX(終値!$E288:$CZ288,1,$BE288+20)))</f>
      </c>
      <c r="BL288" s="684">
        <f>COUNT($AC288:$BC288)</f>
      </c>
      <c r="BM288" s="684">
        <f>IF($BL288&gt;=2,MIN($AC288:$BC288),"")</f>
      </c>
      <c r="BN288" s="684">
        <f>IF($BL288&gt;=2,SMALL($AC288:$BC288,2),"")</f>
      </c>
      <c r="BO288" s="684">
        <f>IF($BM288="","",INDEX(高値!$E288:$CZ288,1,$BM288+1))</f>
      </c>
      <c r="BP288" s="684">
        <f>IF($BN288="","",INDEX(高値!$E288:$CZ288,1,$BN288+1))</f>
      </c>
      <c r="BQ288" s="684">
        <f>IF($BN288="","",MIN(INDEX(安値!$E288:$CZ288,1,$BM288+1):INDEX(安値!$E288:$CZ288,1,$BN288+1)))</f>
      </c>
      <c r="BR288" s="684">
        <f>IF($BN288="","",AVERAGE(INDEX(終値!$E288:$CZ288,1,$BN288+1):INDEX(終値!$E288:$CZ288,1,$BN288+20))+2*STDEVP(INDEX(終値!$E288:$CZ288,1,$BN288+1):INDEX(終値!$E288:$CZ288,1,$BN288+20)))</f>
      </c>
      <c r="BS288" s="684">
        <f>IF($BM288="","",AVERAGE(INDEX(終値!$E288:$CZ288,1,$BM288+1):INDEX(終値!$E288:$CZ288,1,$BM288+20))+2*STDEVP(INDEX(終値!$E288:$CZ288,1,$BM288+1):INDEX(終値!$E288:$CZ288,1,$BM288+20)))</f>
      </c>
      <c r="BT288" s="681">
        <f>IFERROR(IF(AND($BD288&gt;=2,ABS($BG288-$BH288)/$BH288&lt;=BB設定!$B$12,$BI288&gt;=MAX($BH288,$BG288)*(1+BB設定!$B$13),終値!E288&gt;$BG288),IF(OR(終値!E288&gt;=$BI288,AND($BH288&lt;$BJ288,$BG288&gt;=$BK288)),"二番底W▲","二番底W形成"),IF(AND($BL288&gt;=2,ABS($BO288-$BP288)/$BP288&lt;=BB設定!$B$12,$BQ288&lt;=MIN($BP288,$BO288)*(1-BB設定!$B$13),終値!E288&lt;$BO288),IF(OR(終値!E288&lt;=$BQ288,AND($BP288&gt;$BR288,$BO288&lt;=$BS288)),"二番天井M▼","二番天井M形成"),"－")),"－")</f>
      </c>
    </row>
    <row r="289">
      <c r="B289" s="684">
        <f>IF(終値!A289="","",IF(AND(安値!G289&lt;安値!F289,安値!G289&lt;安値!E289,安値!G289&lt;安値!H289,安値!G289&lt;安値!I289),2,""))</f>
      </c>
      <c r="C289" s="684">
        <f>IF(終値!A289="","",IF(AND(安値!H289&lt;安値!G289,安値!H289&lt;安値!F289,安値!H289&lt;安値!I289,安値!H289&lt;安値!J289),3,""))</f>
      </c>
      <c r="D289" s="684">
        <f>IF(終値!A289="","",IF(AND(安値!I289&lt;安値!H289,安値!I289&lt;安値!G289,安値!I289&lt;安値!J289,安値!I289&lt;安値!K289),4,""))</f>
      </c>
      <c r="E289" s="684">
        <f>IF(終値!A289="","",IF(AND(安値!J289&lt;安値!I289,安値!J289&lt;安値!H289,安値!J289&lt;安値!K289,安値!J289&lt;安値!L289),5,""))</f>
      </c>
      <c r="F289" s="684">
        <f>IF(終値!A289="","",IF(AND(安値!K289&lt;安値!J289,安値!K289&lt;安値!I289,安値!K289&lt;安値!L289,安値!K289&lt;安値!M289),6,""))</f>
      </c>
      <c r="G289" s="684">
        <f>IF(終値!A289="","",IF(AND(安値!L289&lt;安値!K289,安値!L289&lt;安値!J289,安値!L289&lt;安値!M289,安値!L289&lt;安値!N289),7,""))</f>
      </c>
      <c r="H289" s="684">
        <f>IF(終値!A289="","",IF(AND(安値!M289&lt;安値!L289,安値!M289&lt;安値!K289,安値!M289&lt;安値!N289,安値!M289&lt;安値!O289),8,""))</f>
      </c>
      <c r="I289" s="684">
        <f>IF(終値!A289="","",IF(AND(安値!N289&lt;安値!M289,安値!N289&lt;安値!L289,安値!N289&lt;安値!O289,安値!N289&lt;安値!P289),9,""))</f>
      </c>
      <c r="J289" s="684">
        <f>IF(終値!A289="","",IF(AND(安値!O289&lt;安値!N289,安値!O289&lt;安値!M289,安値!O289&lt;安値!P289,安値!O289&lt;安値!Q289),10,""))</f>
      </c>
      <c r="K289" s="684">
        <f>IF(終値!A289="","",IF(AND(安値!P289&lt;安値!O289,安値!P289&lt;安値!N289,安値!P289&lt;安値!Q289,安値!P289&lt;安値!R289),11,""))</f>
      </c>
      <c r="L289" s="684">
        <f>IF(終値!A289="","",IF(AND(安値!Q289&lt;安値!P289,安値!Q289&lt;安値!O289,安値!Q289&lt;安値!R289,安値!Q289&lt;安値!S289),12,""))</f>
      </c>
      <c r="M289" s="684">
        <f>IF(終値!A289="","",IF(AND(安値!R289&lt;安値!Q289,安値!R289&lt;安値!P289,安値!R289&lt;安値!S289,安値!R289&lt;安値!T289),13,""))</f>
      </c>
      <c r="N289" s="684">
        <f>IF(終値!A289="","",IF(AND(安値!S289&lt;安値!R289,安値!S289&lt;安値!Q289,安値!S289&lt;安値!T289,安値!S289&lt;安値!U289),14,""))</f>
      </c>
      <c r="O289" s="684">
        <f>IF(終値!A289="","",IF(AND(安値!T289&lt;安値!S289,安値!T289&lt;安値!R289,安値!T289&lt;安値!U289,安値!T289&lt;安値!V289),15,""))</f>
      </c>
      <c r="P289" s="684">
        <f>IF(終値!A289="","",IF(AND(安値!U289&lt;安値!T289,安値!U289&lt;安値!S289,安値!U289&lt;安値!V289,安値!U289&lt;安値!W289),16,""))</f>
      </c>
      <c r="Q289" s="684">
        <f>IF(終値!A289="","",IF(AND(安値!V289&lt;安値!U289,安値!V289&lt;安値!T289,安値!V289&lt;安値!W289,安値!V289&lt;安値!X289),17,""))</f>
      </c>
      <c r="R289" s="684">
        <f>IF(終値!A289="","",IF(AND(安値!W289&lt;安値!V289,安値!W289&lt;安値!U289,安値!W289&lt;安値!X289,安値!W289&lt;安値!Y289),18,""))</f>
      </c>
      <c r="S289" s="684">
        <f>IF(終値!A289="","",IF(AND(安値!X289&lt;安値!W289,安値!X289&lt;安値!V289,安値!X289&lt;安値!Y289,安値!X289&lt;安値!Z289),19,""))</f>
      </c>
      <c r="T289" s="684">
        <f>IF(終値!A289="","",IF(AND(安値!Y289&lt;安値!X289,安値!Y289&lt;安値!W289,安値!Y289&lt;安値!Z289,安値!Y289&lt;安値!AA289),20,""))</f>
      </c>
      <c r="U289" s="684">
        <f>IF(終値!A289="","",IF(AND(安値!Z289&lt;安値!Y289,安値!Z289&lt;安値!X289,安値!Z289&lt;安値!AA289,安値!Z289&lt;安値!AB289),21,""))</f>
      </c>
      <c r="V289" s="684">
        <f>IF(終値!A289="","",IF(AND(安値!AA289&lt;安値!Z289,安値!AA289&lt;安値!Y289,安値!AA289&lt;安値!AB289,安値!AA289&lt;安値!AC289),22,""))</f>
      </c>
      <c r="W289" s="684">
        <f>IF(終値!A289="","",IF(AND(安値!AB289&lt;安値!AA289,安値!AB289&lt;安値!Z289,安値!AB289&lt;安値!AC289,安値!AB289&lt;安値!AD289),23,""))</f>
      </c>
      <c r="X289" s="684">
        <f>IF(終値!A289="","",IF(AND(安値!AC289&lt;安値!AB289,安値!AC289&lt;安値!AA289,安値!AC289&lt;安値!AD289,安値!AC289&lt;安値!AE289),24,""))</f>
      </c>
      <c r="Y289" s="684">
        <f>IF(終値!A289="","",IF(AND(安値!AD289&lt;安値!AC289,安値!AD289&lt;安値!AB289,安値!AD289&lt;安値!AE289,安値!AD289&lt;安値!AF289),25,""))</f>
      </c>
      <c r="Z289" s="684">
        <f>IF(終値!A289="","",IF(AND(安値!AE289&lt;安値!AD289,安値!AE289&lt;安値!AC289,安値!AE289&lt;安値!AF289,安値!AE289&lt;安値!AG289),26,""))</f>
      </c>
      <c r="AA289" s="684">
        <f>IF(終値!A289="","",IF(AND(安値!AF289&lt;安値!AE289,安値!AF289&lt;安値!AD289,安値!AF289&lt;安値!AG289,安値!AF289&lt;安値!AH289),27,""))</f>
      </c>
      <c r="AB289" s="684">
        <f>IF(終値!A289="","",IF(AND(安値!AG289&lt;安値!AF289,安値!AG289&lt;安値!AE289,安値!AG289&lt;安値!AH289,安値!AG289&lt;安値!AI289),28,""))</f>
      </c>
      <c r="AC289" s="684">
        <f>IF(終値!A289="","",IF(AND(高値!G289&gt;高値!F289,高値!G289&gt;高値!E289,高値!G289&gt;高値!H289,高値!G289&gt;高値!I289),2,""))</f>
      </c>
      <c r="AD289" s="684">
        <f>IF(終値!A289="","",IF(AND(高値!H289&gt;高値!G289,高値!H289&gt;高値!F289,高値!H289&gt;高値!I289,高値!H289&gt;高値!J289),3,""))</f>
      </c>
      <c r="AE289" s="684">
        <f>IF(終値!A289="","",IF(AND(高値!I289&gt;高値!H289,高値!I289&gt;高値!G289,高値!I289&gt;高値!J289,高値!I289&gt;高値!K289),4,""))</f>
      </c>
      <c r="AF289" s="684">
        <f>IF(終値!A289="","",IF(AND(高値!J289&gt;高値!I289,高値!J289&gt;高値!H289,高値!J289&gt;高値!K289,高値!J289&gt;高値!L289),5,""))</f>
      </c>
      <c r="AG289" s="684">
        <f>IF(終値!A289="","",IF(AND(高値!K289&gt;高値!J289,高値!K289&gt;高値!I289,高値!K289&gt;高値!L289,高値!K289&gt;高値!M289),6,""))</f>
      </c>
      <c r="AH289" s="684">
        <f>IF(終値!A289="","",IF(AND(高値!L289&gt;高値!K289,高値!L289&gt;高値!J289,高値!L289&gt;高値!M289,高値!L289&gt;高値!N289),7,""))</f>
      </c>
      <c r="AI289" s="684">
        <f>IF(終値!A289="","",IF(AND(高値!M289&gt;高値!L289,高値!M289&gt;高値!K289,高値!M289&gt;高値!N289,高値!M289&gt;高値!O289),8,""))</f>
      </c>
      <c r="AJ289" s="684">
        <f>IF(終値!A289="","",IF(AND(高値!N289&gt;高値!M289,高値!N289&gt;高値!L289,高値!N289&gt;高値!O289,高値!N289&gt;高値!P289),9,""))</f>
      </c>
      <c r="AK289" s="684">
        <f>IF(終値!A289="","",IF(AND(高値!O289&gt;高値!N289,高値!O289&gt;高値!M289,高値!O289&gt;高値!P289,高値!O289&gt;高値!Q289),10,""))</f>
      </c>
      <c r="AL289" s="684">
        <f>IF(終値!A289="","",IF(AND(高値!P289&gt;高値!O289,高値!P289&gt;高値!N289,高値!P289&gt;高値!Q289,高値!P289&gt;高値!R289),11,""))</f>
      </c>
      <c r="AM289" s="684">
        <f>IF(終値!A289="","",IF(AND(高値!Q289&gt;高値!P289,高値!Q289&gt;高値!O289,高値!Q289&gt;高値!R289,高値!Q289&gt;高値!S289),12,""))</f>
      </c>
      <c r="AN289" s="684">
        <f>IF(終値!A289="","",IF(AND(高値!R289&gt;高値!Q289,高値!R289&gt;高値!P289,高値!R289&gt;高値!S289,高値!R289&gt;高値!T289),13,""))</f>
      </c>
      <c r="AO289" s="684">
        <f>IF(終値!A289="","",IF(AND(高値!S289&gt;高値!R289,高値!S289&gt;高値!Q289,高値!S289&gt;高値!T289,高値!S289&gt;高値!U289),14,""))</f>
      </c>
      <c r="AP289" s="684">
        <f>IF(終値!A289="","",IF(AND(高値!T289&gt;高値!S289,高値!T289&gt;高値!R289,高値!T289&gt;高値!U289,高値!T289&gt;高値!V289),15,""))</f>
      </c>
      <c r="AQ289" s="684">
        <f>IF(終値!A289="","",IF(AND(高値!U289&gt;高値!T289,高値!U289&gt;高値!S289,高値!U289&gt;高値!V289,高値!U289&gt;高値!W289),16,""))</f>
      </c>
      <c r="AR289" s="684">
        <f>IF(終値!A289="","",IF(AND(高値!V289&gt;高値!U289,高値!V289&gt;高値!T289,高値!V289&gt;高値!W289,高値!V289&gt;高値!X289),17,""))</f>
      </c>
      <c r="AS289" s="684">
        <f>IF(終値!A289="","",IF(AND(高値!W289&gt;高値!V289,高値!W289&gt;高値!U289,高値!W289&gt;高値!X289,高値!W289&gt;高値!Y289),18,""))</f>
      </c>
      <c r="AT289" s="684">
        <f>IF(終値!A289="","",IF(AND(高値!X289&gt;高値!W289,高値!X289&gt;高値!V289,高値!X289&gt;高値!Y289,高値!X289&gt;高値!Z289),19,""))</f>
      </c>
      <c r="AU289" s="684">
        <f>IF(終値!A289="","",IF(AND(高値!Y289&gt;高値!X289,高値!Y289&gt;高値!W289,高値!Y289&gt;高値!Z289,高値!Y289&gt;高値!AA289),20,""))</f>
      </c>
      <c r="AV289" s="684">
        <f>IF(終値!A289="","",IF(AND(高値!Z289&gt;高値!Y289,高値!Z289&gt;高値!X289,高値!Z289&gt;高値!AA289,高値!Z289&gt;高値!AB289),21,""))</f>
      </c>
      <c r="AW289" s="684">
        <f>IF(終値!A289="","",IF(AND(高値!AA289&gt;高値!Z289,高値!AA289&gt;高値!Y289,高値!AA289&gt;高値!AB289,高値!AA289&gt;高値!AC289),22,""))</f>
      </c>
      <c r="AX289" s="684">
        <f>IF(終値!A289="","",IF(AND(高値!AB289&gt;高値!AA289,高値!AB289&gt;高値!Z289,高値!AB289&gt;高値!AC289,高値!AB289&gt;高値!AD289),23,""))</f>
      </c>
      <c r="AY289" s="684">
        <f>IF(終値!A289="","",IF(AND(高値!AC289&gt;高値!AB289,高値!AC289&gt;高値!AA289,高値!AC289&gt;高値!AD289,高値!AC289&gt;高値!AE289),24,""))</f>
      </c>
      <c r="AZ289" s="684">
        <f>IF(終値!A289="","",IF(AND(高値!AD289&gt;高値!AC289,高値!AD289&gt;高値!AB289,高値!AD289&gt;高値!AE289,高値!AD289&gt;高値!AF289),25,""))</f>
      </c>
      <c r="BA289" s="684">
        <f>IF(終値!A289="","",IF(AND(高値!AE289&gt;高値!AD289,高値!AE289&gt;高値!AC289,高値!AE289&gt;高値!AF289,高値!AE289&gt;高値!AG289),26,""))</f>
      </c>
      <c r="BB289" s="684">
        <f>IF(終値!A289="","",IF(AND(高値!AF289&gt;高値!AE289,高値!AF289&gt;高値!AD289,高値!AF289&gt;高値!AG289,高値!AF289&gt;高値!AH289),27,""))</f>
      </c>
      <c r="BC289" s="684">
        <f>IF(終値!A289="","",IF(AND(高値!AG289&gt;高値!AF289,高値!AG289&gt;高値!AE289,高値!AG289&gt;高値!AH289,高値!AG289&gt;高値!AI289),28,""))</f>
      </c>
      <c r="BD289" s="684">
        <f>COUNT($B289:$AB289)</f>
      </c>
      <c r="BE289" s="684">
        <f>IF($BD289&gt;=2,MIN($B289:$AB289),"")</f>
      </c>
      <c r="BF289" s="684">
        <f>IF($BD289&gt;=2,SMALL($B289:$AB289,2),"")</f>
      </c>
      <c r="BG289" s="684">
        <f>IF($BE289="","",INDEX(安値!$E289:$CZ289,1,$BE289+1))</f>
      </c>
      <c r="BH289" s="684">
        <f>IF($BF289="","",INDEX(安値!$E289:$CZ289,1,$BF289+1))</f>
      </c>
      <c r="BI289" s="684">
        <f>IF($BF289="","",MAX(INDEX(高値!$E289:$CZ289,1,$BE289+1):INDEX(高値!$E289:$CZ289,1,$BF289+1)))</f>
      </c>
      <c r="BJ289" s="684">
        <f>IF($BF289="","",AVERAGE(INDEX(終値!$E289:$CZ289,1,$BF289+1):INDEX(終値!$E289:$CZ289,1,$BF289+20))-2*STDEVP(INDEX(終値!$E289:$CZ289,1,$BF289+1):INDEX(終値!$E289:$CZ289,1,$BF289+20)))</f>
      </c>
      <c r="BK289" s="684">
        <f>IF($BE289="","",AVERAGE(INDEX(終値!$E289:$CZ289,1,$BE289+1):INDEX(終値!$E289:$CZ289,1,$BE289+20))-2*STDEVP(INDEX(終値!$E289:$CZ289,1,$BE289+1):INDEX(終値!$E289:$CZ289,1,$BE289+20)))</f>
      </c>
      <c r="BL289" s="684">
        <f>COUNT($AC289:$BC289)</f>
      </c>
      <c r="BM289" s="684">
        <f>IF($BL289&gt;=2,MIN($AC289:$BC289),"")</f>
      </c>
      <c r="BN289" s="684">
        <f>IF($BL289&gt;=2,SMALL($AC289:$BC289,2),"")</f>
      </c>
      <c r="BO289" s="684">
        <f>IF($BM289="","",INDEX(高値!$E289:$CZ289,1,$BM289+1))</f>
      </c>
      <c r="BP289" s="684">
        <f>IF($BN289="","",INDEX(高値!$E289:$CZ289,1,$BN289+1))</f>
      </c>
      <c r="BQ289" s="684">
        <f>IF($BN289="","",MIN(INDEX(安値!$E289:$CZ289,1,$BM289+1):INDEX(安値!$E289:$CZ289,1,$BN289+1)))</f>
      </c>
      <c r="BR289" s="684">
        <f>IF($BN289="","",AVERAGE(INDEX(終値!$E289:$CZ289,1,$BN289+1):INDEX(終値!$E289:$CZ289,1,$BN289+20))+2*STDEVP(INDEX(終値!$E289:$CZ289,1,$BN289+1):INDEX(終値!$E289:$CZ289,1,$BN289+20)))</f>
      </c>
      <c r="BS289" s="684">
        <f>IF($BM289="","",AVERAGE(INDEX(終値!$E289:$CZ289,1,$BM289+1):INDEX(終値!$E289:$CZ289,1,$BM289+20))+2*STDEVP(INDEX(終値!$E289:$CZ289,1,$BM289+1):INDEX(終値!$E289:$CZ289,1,$BM289+20)))</f>
      </c>
      <c r="BT289" s="681">
        <f>IFERROR(IF(AND($BD289&gt;=2,ABS($BG289-$BH289)/$BH289&lt;=BB設定!$B$12,$BI289&gt;=MAX($BH289,$BG289)*(1+BB設定!$B$13),終値!E289&gt;$BG289),IF(OR(終値!E289&gt;=$BI289,AND($BH289&lt;$BJ289,$BG289&gt;=$BK289)),"二番底W▲","二番底W形成"),IF(AND($BL289&gt;=2,ABS($BO289-$BP289)/$BP289&lt;=BB設定!$B$12,$BQ289&lt;=MIN($BP289,$BO289)*(1-BB設定!$B$13),終値!E289&lt;$BO289),IF(OR(終値!E289&lt;=$BQ289,AND($BP289&gt;$BR289,$BO289&lt;=$BS289)),"二番天井M▼","二番天井M形成"),"－")),"－")</f>
      </c>
    </row>
    <row r="290">
      <c r="B290" s="684">
        <f>IF(終値!A290="","",IF(AND(安値!G290&lt;安値!F290,安値!G290&lt;安値!E290,安値!G290&lt;安値!H290,安値!G290&lt;安値!I290),2,""))</f>
      </c>
      <c r="C290" s="684">
        <f>IF(終値!A290="","",IF(AND(安値!H290&lt;安値!G290,安値!H290&lt;安値!F290,安値!H290&lt;安値!I290,安値!H290&lt;安値!J290),3,""))</f>
      </c>
      <c r="D290" s="684">
        <f>IF(終値!A290="","",IF(AND(安値!I290&lt;安値!H290,安値!I290&lt;安値!G290,安値!I290&lt;安値!J290,安値!I290&lt;安値!K290),4,""))</f>
      </c>
      <c r="E290" s="684">
        <f>IF(終値!A290="","",IF(AND(安値!J290&lt;安値!I290,安値!J290&lt;安値!H290,安値!J290&lt;安値!K290,安値!J290&lt;安値!L290),5,""))</f>
      </c>
      <c r="F290" s="684">
        <f>IF(終値!A290="","",IF(AND(安値!K290&lt;安値!J290,安値!K290&lt;安値!I290,安値!K290&lt;安値!L290,安値!K290&lt;安値!M290),6,""))</f>
      </c>
      <c r="G290" s="684">
        <f>IF(終値!A290="","",IF(AND(安値!L290&lt;安値!K290,安値!L290&lt;安値!J290,安値!L290&lt;安値!M290,安値!L290&lt;安値!N290),7,""))</f>
      </c>
      <c r="H290" s="684">
        <f>IF(終値!A290="","",IF(AND(安値!M290&lt;安値!L290,安値!M290&lt;安値!K290,安値!M290&lt;安値!N290,安値!M290&lt;安値!O290),8,""))</f>
      </c>
      <c r="I290" s="684">
        <f>IF(終値!A290="","",IF(AND(安値!N290&lt;安値!M290,安値!N290&lt;安値!L290,安値!N290&lt;安値!O290,安値!N290&lt;安値!P290),9,""))</f>
      </c>
      <c r="J290" s="684">
        <f>IF(終値!A290="","",IF(AND(安値!O290&lt;安値!N290,安値!O290&lt;安値!M290,安値!O290&lt;安値!P290,安値!O290&lt;安値!Q290),10,""))</f>
      </c>
      <c r="K290" s="684">
        <f>IF(終値!A290="","",IF(AND(安値!P290&lt;安値!O290,安値!P290&lt;安値!N290,安値!P290&lt;安値!Q290,安値!P290&lt;安値!R290),11,""))</f>
      </c>
      <c r="L290" s="684">
        <f>IF(終値!A290="","",IF(AND(安値!Q290&lt;安値!P290,安値!Q290&lt;安値!O290,安値!Q290&lt;安値!R290,安値!Q290&lt;安値!S290),12,""))</f>
      </c>
      <c r="M290" s="684">
        <f>IF(終値!A290="","",IF(AND(安値!R290&lt;安値!Q290,安値!R290&lt;安値!P290,安値!R290&lt;安値!S290,安値!R290&lt;安値!T290),13,""))</f>
      </c>
      <c r="N290" s="684">
        <f>IF(終値!A290="","",IF(AND(安値!S290&lt;安値!R290,安値!S290&lt;安値!Q290,安値!S290&lt;安値!T290,安値!S290&lt;安値!U290),14,""))</f>
      </c>
      <c r="O290" s="684">
        <f>IF(終値!A290="","",IF(AND(安値!T290&lt;安値!S290,安値!T290&lt;安値!R290,安値!T290&lt;安値!U290,安値!T290&lt;安値!V290),15,""))</f>
      </c>
      <c r="P290" s="684">
        <f>IF(終値!A290="","",IF(AND(安値!U290&lt;安値!T290,安値!U290&lt;安値!S290,安値!U290&lt;安値!V290,安値!U290&lt;安値!W290),16,""))</f>
      </c>
      <c r="Q290" s="684">
        <f>IF(終値!A290="","",IF(AND(安値!V290&lt;安値!U290,安値!V290&lt;安値!T290,安値!V290&lt;安値!W290,安値!V290&lt;安値!X290),17,""))</f>
      </c>
      <c r="R290" s="684">
        <f>IF(終値!A290="","",IF(AND(安値!W290&lt;安値!V290,安値!W290&lt;安値!U290,安値!W290&lt;安値!X290,安値!W290&lt;安値!Y290),18,""))</f>
      </c>
      <c r="S290" s="684">
        <f>IF(終値!A290="","",IF(AND(安値!X290&lt;安値!W290,安値!X290&lt;安値!V290,安値!X290&lt;安値!Y290,安値!X290&lt;安値!Z290),19,""))</f>
      </c>
      <c r="T290" s="684">
        <f>IF(終値!A290="","",IF(AND(安値!Y290&lt;安値!X290,安値!Y290&lt;安値!W290,安値!Y290&lt;安値!Z290,安値!Y290&lt;安値!AA290),20,""))</f>
      </c>
      <c r="U290" s="684">
        <f>IF(終値!A290="","",IF(AND(安値!Z290&lt;安値!Y290,安値!Z290&lt;安値!X290,安値!Z290&lt;安値!AA290,安値!Z290&lt;安値!AB290),21,""))</f>
      </c>
      <c r="V290" s="684">
        <f>IF(終値!A290="","",IF(AND(安値!AA290&lt;安値!Z290,安値!AA290&lt;安値!Y290,安値!AA290&lt;安値!AB290,安値!AA290&lt;安値!AC290),22,""))</f>
      </c>
      <c r="W290" s="684">
        <f>IF(終値!A290="","",IF(AND(安値!AB290&lt;安値!AA290,安値!AB290&lt;安値!Z290,安値!AB290&lt;安値!AC290,安値!AB290&lt;安値!AD290),23,""))</f>
      </c>
      <c r="X290" s="684">
        <f>IF(終値!A290="","",IF(AND(安値!AC290&lt;安値!AB290,安値!AC290&lt;安値!AA290,安値!AC290&lt;安値!AD290,安値!AC290&lt;安値!AE290),24,""))</f>
      </c>
      <c r="Y290" s="684">
        <f>IF(終値!A290="","",IF(AND(安値!AD290&lt;安値!AC290,安値!AD290&lt;安値!AB290,安値!AD290&lt;安値!AE290,安値!AD290&lt;安値!AF290),25,""))</f>
      </c>
      <c r="Z290" s="684">
        <f>IF(終値!A290="","",IF(AND(安値!AE290&lt;安値!AD290,安値!AE290&lt;安値!AC290,安値!AE290&lt;安値!AF290,安値!AE290&lt;安値!AG290),26,""))</f>
      </c>
      <c r="AA290" s="684">
        <f>IF(終値!A290="","",IF(AND(安値!AF290&lt;安値!AE290,安値!AF290&lt;安値!AD290,安値!AF290&lt;安値!AG290,安値!AF290&lt;安値!AH290),27,""))</f>
      </c>
      <c r="AB290" s="684">
        <f>IF(終値!A290="","",IF(AND(安値!AG290&lt;安値!AF290,安値!AG290&lt;安値!AE290,安値!AG290&lt;安値!AH290,安値!AG290&lt;安値!AI290),28,""))</f>
      </c>
      <c r="AC290" s="684">
        <f>IF(終値!A290="","",IF(AND(高値!G290&gt;高値!F290,高値!G290&gt;高値!E290,高値!G290&gt;高値!H290,高値!G290&gt;高値!I290),2,""))</f>
      </c>
      <c r="AD290" s="684">
        <f>IF(終値!A290="","",IF(AND(高値!H290&gt;高値!G290,高値!H290&gt;高値!F290,高値!H290&gt;高値!I290,高値!H290&gt;高値!J290),3,""))</f>
      </c>
      <c r="AE290" s="684">
        <f>IF(終値!A290="","",IF(AND(高値!I290&gt;高値!H290,高値!I290&gt;高値!G290,高値!I290&gt;高値!J290,高値!I290&gt;高値!K290),4,""))</f>
      </c>
      <c r="AF290" s="684">
        <f>IF(終値!A290="","",IF(AND(高値!J290&gt;高値!I290,高値!J290&gt;高値!H290,高値!J290&gt;高値!K290,高値!J290&gt;高値!L290),5,""))</f>
      </c>
      <c r="AG290" s="684">
        <f>IF(終値!A290="","",IF(AND(高値!K290&gt;高値!J290,高値!K290&gt;高値!I290,高値!K290&gt;高値!L290,高値!K290&gt;高値!M290),6,""))</f>
      </c>
      <c r="AH290" s="684">
        <f>IF(終値!A290="","",IF(AND(高値!L290&gt;高値!K290,高値!L290&gt;高値!J290,高値!L290&gt;高値!M290,高値!L290&gt;高値!N290),7,""))</f>
      </c>
      <c r="AI290" s="684">
        <f>IF(終値!A290="","",IF(AND(高値!M290&gt;高値!L290,高値!M290&gt;高値!K290,高値!M290&gt;高値!N290,高値!M290&gt;高値!O290),8,""))</f>
      </c>
      <c r="AJ290" s="684">
        <f>IF(終値!A290="","",IF(AND(高値!N290&gt;高値!M290,高値!N290&gt;高値!L290,高値!N290&gt;高値!O290,高値!N290&gt;高値!P290),9,""))</f>
      </c>
      <c r="AK290" s="684">
        <f>IF(終値!A290="","",IF(AND(高値!O290&gt;高値!N290,高値!O290&gt;高値!M290,高値!O290&gt;高値!P290,高値!O290&gt;高値!Q290),10,""))</f>
      </c>
      <c r="AL290" s="684">
        <f>IF(終値!A290="","",IF(AND(高値!P290&gt;高値!O290,高値!P290&gt;高値!N290,高値!P290&gt;高値!Q290,高値!P290&gt;高値!R290),11,""))</f>
      </c>
      <c r="AM290" s="684">
        <f>IF(終値!A290="","",IF(AND(高値!Q290&gt;高値!P290,高値!Q290&gt;高値!O290,高値!Q290&gt;高値!R290,高値!Q290&gt;高値!S290),12,""))</f>
      </c>
      <c r="AN290" s="684">
        <f>IF(終値!A290="","",IF(AND(高値!R290&gt;高値!Q290,高値!R290&gt;高値!P290,高値!R290&gt;高値!S290,高値!R290&gt;高値!T290),13,""))</f>
      </c>
      <c r="AO290" s="684">
        <f>IF(終値!A290="","",IF(AND(高値!S290&gt;高値!R290,高値!S290&gt;高値!Q290,高値!S290&gt;高値!T290,高値!S290&gt;高値!U290),14,""))</f>
      </c>
      <c r="AP290" s="684">
        <f>IF(終値!A290="","",IF(AND(高値!T290&gt;高値!S290,高値!T290&gt;高値!R290,高値!T290&gt;高値!U290,高値!T290&gt;高値!V290),15,""))</f>
      </c>
      <c r="AQ290" s="684">
        <f>IF(終値!A290="","",IF(AND(高値!U290&gt;高値!T290,高値!U290&gt;高値!S290,高値!U290&gt;高値!V290,高値!U290&gt;高値!W290),16,""))</f>
      </c>
      <c r="AR290" s="684">
        <f>IF(終値!A290="","",IF(AND(高値!V290&gt;高値!U290,高値!V290&gt;高値!T290,高値!V290&gt;高値!W290,高値!V290&gt;高値!X290),17,""))</f>
      </c>
      <c r="AS290" s="684">
        <f>IF(終値!A290="","",IF(AND(高値!W290&gt;高値!V290,高値!W290&gt;高値!U290,高値!W290&gt;高値!X290,高値!W290&gt;高値!Y290),18,""))</f>
      </c>
      <c r="AT290" s="684">
        <f>IF(終値!A290="","",IF(AND(高値!X290&gt;高値!W290,高値!X290&gt;高値!V290,高値!X290&gt;高値!Y290,高値!X290&gt;高値!Z290),19,""))</f>
      </c>
      <c r="AU290" s="684">
        <f>IF(終値!A290="","",IF(AND(高値!Y290&gt;高値!X290,高値!Y290&gt;高値!W290,高値!Y290&gt;高値!Z290,高値!Y290&gt;高値!AA290),20,""))</f>
      </c>
      <c r="AV290" s="684">
        <f>IF(終値!A290="","",IF(AND(高値!Z290&gt;高値!Y290,高値!Z290&gt;高値!X290,高値!Z290&gt;高値!AA290,高値!Z290&gt;高値!AB290),21,""))</f>
      </c>
      <c r="AW290" s="684">
        <f>IF(終値!A290="","",IF(AND(高値!AA290&gt;高値!Z290,高値!AA290&gt;高値!Y290,高値!AA290&gt;高値!AB290,高値!AA290&gt;高値!AC290),22,""))</f>
      </c>
      <c r="AX290" s="684">
        <f>IF(終値!A290="","",IF(AND(高値!AB290&gt;高値!AA290,高値!AB290&gt;高値!Z290,高値!AB290&gt;高値!AC290,高値!AB290&gt;高値!AD290),23,""))</f>
      </c>
      <c r="AY290" s="684">
        <f>IF(終値!A290="","",IF(AND(高値!AC290&gt;高値!AB290,高値!AC290&gt;高値!AA290,高値!AC290&gt;高値!AD290,高値!AC290&gt;高値!AE290),24,""))</f>
      </c>
      <c r="AZ290" s="684">
        <f>IF(終値!A290="","",IF(AND(高値!AD290&gt;高値!AC290,高値!AD290&gt;高値!AB290,高値!AD290&gt;高値!AE290,高値!AD290&gt;高値!AF290),25,""))</f>
      </c>
      <c r="BA290" s="684">
        <f>IF(終値!A290="","",IF(AND(高値!AE290&gt;高値!AD290,高値!AE290&gt;高値!AC290,高値!AE290&gt;高値!AF290,高値!AE290&gt;高値!AG290),26,""))</f>
      </c>
      <c r="BB290" s="684">
        <f>IF(終値!A290="","",IF(AND(高値!AF290&gt;高値!AE290,高値!AF290&gt;高値!AD290,高値!AF290&gt;高値!AG290,高値!AF290&gt;高値!AH290),27,""))</f>
      </c>
      <c r="BC290" s="684">
        <f>IF(終値!A290="","",IF(AND(高値!AG290&gt;高値!AF290,高値!AG290&gt;高値!AE290,高値!AG290&gt;高値!AH290,高値!AG290&gt;高値!AI290),28,""))</f>
      </c>
      <c r="BD290" s="684">
        <f>COUNT($B290:$AB290)</f>
      </c>
      <c r="BE290" s="684">
        <f>IF($BD290&gt;=2,MIN($B290:$AB290),"")</f>
      </c>
      <c r="BF290" s="684">
        <f>IF($BD290&gt;=2,SMALL($B290:$AB290,2),"")</f>
      </c>
      <c r="BG290" s="684">
        <f>IF($BE290="","",INDEX(安値!$E290:$CZ290,1,$BE290+1))</f>
      </c>
      <c r="BH290" s="684">
        <f>IF($BF290="","",INDEX(安値!$E290:$CZ290,1,$BF290+1))</f>
      </c>
      <c r="BI290" s="684">
        <f>IF($BF290="","",MAX(INDEX(高値!$E290:$CZ290,1,$BE290+1):INDEX(高値!$E290:$CZ290,1,$BF290+1)))</f>
      </c>
      <c r="BJ290" s="684">
        <f>IF($BF290="","",AVERAGE(INDEX(終値!$E290:$CZ290,1,$BF290+1):INDEX(終値!$E290:$CZ290,1,$BF290+20))-2*STDEVP(INDEX(終値!$E290:$CZ290,1,$BF290+1):INDEX(終値!$E290:$CZ290,1,$BF290+20)))</f>
      </c>
      <c r="BK290" s="684">
        <f>IF($BE290="","",AVERAGE(INDEX(終値!$E290:$CZ290,1,$BE290+1):INDEX(終値!$E290:$CZ290,1,$BE290+20))-2*STDEVP(INDEX(終値!$E290:$CZ290,1,$BE290+1):INDEX(終値!$E290:$CZ290,1,$BE290+20)))</f>
      </c>
      <c r="BL290" s="684">
        <f>COUNT($AC290:$BC290)</f>
      </c>
      <c r="BM290" s="684">
        <f>IF($BL290&gt;=2,MIN($AC290:$BC290),"")</f>
      </c>
      <c r="BN290" s="684">
        <f>IF($BL290&gt;=2,SMALL($AC290:$BC290,2),"")</f>
      </c>
      <c r="BO290" s="684">
        <f>IF($BM290="","",INDEX(高値!$E290:$CZ290,1,$BM290+1))</f>
      </c>
      <c r="BP290" s="684">
        <f>IF($BN290="","",INDEX(高値!$E290:$CZ290,1,$BN290+1))</f>
      </c>
      <c r="BQ290" s="684">
        <f>IF($BN290="","",MIN(INDEX(安値!$E290:$CZ290,1,$BM290+1):INDEX(安値!$E290:$CZ290,1,$BN290+1)))</f>
      </c>
      <c r="BR290" s="684">
        <f>IF($BN290="","",AVERAGE(INDEX(終値!$E290:$CZ290,1,$BN290+1):INDEX(終値!$E290:$CZ290,1,$BN290+20))+2*STDEVP(INDEX(終値!$E290:$CZ290,1,$BN290+1):INDEX(終値!$E290:$CZ290,1,$BN290+20)))</f>
      </c>
      <c r="BS290" s="684">
        <f>IF($BM290="","",AVERAGE(INDEX(終値!$E290:$CZ290,1,$BM290+1):INDEX(終値!$E290:$CZ290,1,$BM290+20))+2*STDEVP(INDEX(終値!$E290:$CZ290,1,$BM290+1):INDEX(終値!$E290:$CZ290,1,$BM290+20)))</f>
      </c>
      <c r="BT290" s="681">
        <f>IFERROR(IF(AND($BD290&gt;=2,ABS($BG290-$BH290)/$BH290&lt;=BB設定!$B$12,$BI290&gt;=MAX($BH290,$BG290)*(1+BB設定!$B$13),終値!E290&gt;$BG290),IF(OR(終値!E290&gt;=$BI290,AND($BH290&lt;$BJ290,$BG290&gt;=$BK290)),"二番底W▲","二番底W形成"),IF(AND($BL290&gt;=2,ABS($BO290-$BP290)/$BP290&lt;=BB設定!$B$12,$BQ290&lt;=MIN($BP290,$BO290)*(1-BB設定!$B$13),終値!E290&lt;$BO290),IF(OR(終値!E290&lt;=$BQ290,AND($BP290&gt;$BR290,$BO290&lt;=$BS290)),"二番天井M▼","二番天井M形成"),"－")),"－")</f>
      </c>
    </row>
    <row r="291">
      <c r="B291" s="684">
        <f>IF(終値!A291="","",IF(AND(安値!G291&lt;安値!F291,安値!G291&lt;安値!E291,安値!G291&lt;安値!H291,安値!G291&lt;安値!I291),2,""))</f>
      </c>
      <c r="C291" s="684">
        <f>IF(終値!A291="","",IF(AND(安値!H291&lt;安値!G291,安値!H291&lt;安値!F291,安値!H291&lt;安値!I291,安値!H291&lt;安値!J291),3,""))</f>
      </c>
      <c r="D291" s="684">
        <f>IF(終値!A291="","",IF(AND(安値!I291&lt;安値!H291,安値!I291&lt;安値!G291,安値!I291&lt;安値!J291,安値!I291&lt;安値!K291),4,""))</f>
      </c>
      <c r="E291" s="684">
        <f>IF(終値!A291="","",IF(AND(安値!J291&lt;安値!I291,安値!J291&lt;安値!H291,安値!J291&lt;安値!K291,安値!J291&lt;安値!L291),5,""))</f>
      </c>
      <c r="F291" s="684">
        <f>IF(終値!A291="","",IF(AND(安値!K291&lt;安値!J291,安値!K291&lt;安値!I291,安値!K291&lt;安値!L291,安値!K291&lt;安値!M291),6,""))</f>
      </c>
      <c r="G291" s="684">
        <f>IF(終値!A291="","",IF(AND(安値!L291&lt;安値!K291,安値!L291&lt;安値!J291,安値!L291&lt;安値!M291,安値!L291&lt;安値!N291),7,""))</f>
      </c>
      <c r="H291" s="684">
        <f>IF(終値!A291="","",IF(AND(安値!M291&lt;安値!L291,安値!M291&lt;安値!K291,安値!M291&lt;安値!N291,安値!M291&lt;安値!O291),8,""))</f>
      </c>
      <c r="I291" s="684">
        <f>IF(終値!A291="","",IF(AND(安値!N291&lt;安値!M291,安値!N291&lt;安値!L291,安値!N291&lt;安値!O291,安値!N291&lt;安値!P291),9,""))</f>
      </c>
      <c r="J291" s="684">
        <f>IF(終値!A291="","",IF(AND(安値!O291&lt;安値!N291,安値!O291&lt;安値!M291,安値!O291&lt;安値!P291,安値!O291&lt;安値!Q291),10,""))</f>
      </c>
      <c r="K291" s="684">
        <f>IF(終値!A291="","",IF(AND(安値!P291&lt;安値!O291,安値!P291&lt;安値!N291,安値!P291&lt;安値!Q291,安値!P291&lt;安値!R291),11,""))</f>
      </c>
      <c r="L291" s="684">
        <f>IF(終値!A291="","",IF(AND(安値!Q291&lt;安値!P291,安値!Q291&lt;安値!O291,安値!Q291&lt;安値!R291,安値!Q291&lt;安値!S291),12,""))</f>
      </c>
      <c r="M291" s="684">
        <f>IF(終値!A291="","",IF(AND(安値!R291&lt;安値!Q291,安値!R291&lt;安値!P291,安値!R291&lt;安値!S291,安値!R291&lt;安値!T291),13,""))</f>
      </c>
      <c r="N291" s="684">
        <f>IF(終値!A291="","",IF(AND(安値!S291&lt;安値!R291,安値!S291&lt;安値!Q291,安値!S291&lt;安値!T291,安値!S291&lt;安値!U291),14,""))</f>
      </c>
      <c r="O291" s="684">
        <f>IF(終値!A291="","",IF(AND(安値!T291&lt;安値!S291,安値!T291&lt;安値!R291,安値!T291&lt;安値!U291,安値!T291&lt;安値!V291),15,""))</f>
      </c>
      <c r="P291" s="684">
        <f>IF(終値!A291="","",IF(AND(安値!U291&lt;安値!T291,安値!U291&lt;安値!S291,安値!U291&lt;安値!V291,安値!U291&lt;安値!W291),16,""))</f>
      </c>
      <c r="Q291" s="684">
        <f>IF(終値!A291="","",IF(AND(安値!V291&lt;安値!U291,安値!V291&lt;安値!T291,安値!V291&lt;安値!W291,安値!V291&lt;安値!X291),17,""))</f>
      </c>
      <c r="R291" s="684">
        <f>IF(終値!A291="","",IF(AND(安値!W291&lt;安値!V291,安値!W291&lt;安値!U291,安値!W291&lt;安値!X291,安値!W291&lt;安値!Y291),18,""))</f>
      </c>
      <c r="S291" s="684">
        <f>IF(終値!A291="","",IF(AND(安値!X291&lt;安値!W291,安値!X291&lt;安値!V291,安値!X291&lt;安値!Y291,安値!X291&lt;安値!Z291),19,""))</f>
      </c>
      <c r="T291" s="684">
        <f>IF(終値!A291="","",IF(AND(安値!Y291&lt;安値!X291,安値!Y291&lt;安値!W291,安値!Y291&lt;安値!Z291,安値!Y291&lt;安値!AA291),20,""))</f>
      </c>
      <c r="U291" s="684">
        <f>IF(終値!A291="","",IF(AND(安値!Z291&lt;安値!Y291,安値!Z291&lt;安値!X291,安値!Z291&lt;安値!AA291,安値!Z291&lt;安値!AB291),21,""))</f>
      </c>
      <c r="V291" s="684">
        <f>IF(終値!A291="","",IF(AND(安値!AA291&lt;安値!Z291,安値!AA291&lt;安値!Y291,安値!AA291&lt;安値!AB291,安値!AA291&lt;安値!AC291),22,""))</f>
      </c>
      <c r="W291" s="684">
        <f>IF(終値!A291="","",IF(AND(安値!AB291&lt;安値!AA291,安値!AB291&lt;安値!Z291,安値!AB291&lt;安値!AC291,安値!AB291&lt;安値!AD291),23,""))</f>
      </c>
      <c r="X291" s="684">
        <f>IF(終値!A291="","",IF(AND(安値!AC291&lt;安値!AB291,安値!AC291&lt;安値!AA291,安値!AC291&lt;安値!AD291,安値!AC291&lt;安値!AE291),24,""))</f>
      </c>
      <c r="Y291" s="684">
        <f>IF(終値!A291="","",IF(AND(安値!AD291&lt;安値!AC291,安値!AD291&lt;安値!AB291,安値!AD291&lt;安値!AE291,安値!AD291&lt;安値!AF291),25,""))</f>
      </c>
      <c r="Z291" s="684">
        <f>IF(終値!A291="","",IF(AND(安値!AE291&lt;安値!AD291,安値!AE291&lt;安値!AC291,安値!AE291&lt;安値!AF291,安値!AE291&lt;安値!AG291),26,""))</f>
      </c>
      <c r="AA291" s="684">
        <f>IF(終値!A291="","",IF(AND(安値!AF291&lt;安値!AE291,安値!AF291&lt;安値!AD291,安値!AF291&lt;安値!AG291,安値!AF291&lt;安値!AH291),27,""))</f>
      </c>
      <c r="AB291" s="684">
        <f>IF(終値!A291="","",IF(AND(安値!AG291&lt;安値!AF291,安値!AG291&lt;安値!AE291,安値!AG291&lt;安値!AH291,安値!AG291&lt;安値!AI291),28,""))</f>
      </c>
      <c r="AC291" s="684">
        <f>IF(終値!A291="","",IF(AND(高値!G291&gt;高値!F291,高値!G291&gt;高値!E291,高値!G291&gt;高値!H291,高値!G291&gt;高値!I291),2,""))</f>
      </c>
      <c r="AD291" s="684">
        <f>IF(終値!A291="","",IF(AND(高値!H291&gt;高値!G291,高値!H291&gt;高値!F291,高値!H291&gt;高値!I291,高値!H291&gt;高値!J291),3,""))</f>
      </c>
      <c r="AE291" s="684">
        <f>IF(終値!A291="","",IF(AND(高値!I291&gt;高値!H291,高値!I291&gt;高値!G291,高値!I291&gt;高値!J291,高値!I291&gt;高値!K291),4,""))</f>
      </c>
      <c r="AF291" s="684">
        <f>IF(終値!A291="","",IF(AND(高値!J291&gt;高値!I291,高値!J291&gt;高値!H291,高値!J291&gt;高値!K291,高値!J291&gt;高値!L291),5,""))</f>
      </c>
      <c r="AG291" s="684">
        <f>IF(終値!A291="","",IF(AND(高値!K291&gt;高値!J291,高値!K291&gt;高値!I291,高値!K291&gt;高値!L291,高値!K291&gt;高値!M291),6,""))</f>
      </c>
      <c r="AH291" s="684">
        <f>IF(終値!A291="","",IF(AND(高値!L291&gt;高値!K291,高値!L291&gt;高値!J291,高値!L291&gt;高値!M291,高値!L291&gt;高値!N291),7,""))</f>
      </c>
      <c r="AI291" s="684">
        <f>IF(終値!A291="","",IF(AND(高値!M291&gt;高値!L291,高値!M291&gt;高値!K291,高値!M291&gt;高値!N291,高値!M291&gt;高値!O291),8,""))</f>
      </c>
      <c r="AJ291" s="684">
        <f>IF(終値!A291="","",IF(AND(高値!N291&gt;高値!M291,高値!N291&gt;高値!L291,高値!N291&gt;高値!O291,高値!N291&gt;高値!P291),9,""))</f>
      </c>
      <c r="AK291" s="684">
        <f>IF(終値!A291="","",IF(AND(高値!O291&gt;高値!N291,高値!O291&gt;高値!M291,高値!O291&gt;高値!P291,高値!O291&gt;高値!Q291),10,""))</f>
      </c>
      <c r="AL291" s="684">
        <f>IF(終値!A291="","",IF(AND(高値!P291&gt;高値!O291,高値!P291&gt;高値!N291,高値!P291&gt;高値!Q291,高値!P291&gt;高値!R291),11,""))</f>
      </c>
      <c r="AM291" s="684">
        <f>IF(終値!A291="","",IF(AND(高値!Q291&gt;高値!P291,高値!Q291&gt;高値!O291,高値!Q291&gt;高値!R291,高値!Q291&gt;高値!S291),12,""))</f>
      </c>
      <c r="AN291" s="684">
        <f>IF(終値!A291="","",IF(AND(高値!R291&gt;高値!Q291,高値!R291&gt;高値!P291,高値!R291&gt;高値!S291,高値!R291&gt;高値!T291),13,""))</f>
      </c>
      <c r="AO291" s="684">
        <f>IF(終値!A291="","",IF(AND(高値!S291&gt;高値!R291,高値!S291&gt;高値!Q291,高値!S291&gt;高値!T291,高値!S291&gt;高値!U291),14,""))</f>
      </c>
      <c r="AP291" s="684">
        <f>IF(終値!A291="","",IF(AND(高値!T291&gt;高値!S291,高値!T291&gt;高値!R291,高値!T291&gt;高値!U291,高値!T291&gt;高値!V291),15,""))</f>
      </c>
      <c r="AQ291" s="684">
        <f>IF(終値!A291="","",IF(AND(高値!U291&gt;高値!T291,高値!U291&gt;高値!S291,高値!U291&gt;高値!V291,高値!U291&gt;高値!W291),16,""))</f>
      </c>
      <c r="AR291" s="684">
        <f>IF(終値!A291="","",IF(AND(高値!V291&gt;高値!U291,高値!V291&gt;高値!T291,高値!V291&gt;高値!W291,高値!V291&gt;高値!X291),17,""))</f>
      </c>
      <c r="AS291" s="684">
        <f>IF(終値!A291="","",IF(AND(高値!W291&gt;高値!V291,高値!W291&gt;高値!U291,高値!W291&gt;高値!X291,高値!W291&gt;高値!Y291),18,""))</f>
      </c>
      <c r="AT291" s="684">
        <f>IF(終値!A291="","",IF(AND(高値!X291&gt;高値!W291,高値!X291&gt;高値!V291,高値!X291&gt;高値!Y291,高値!X291&gt;高値!Z291),19,""))</f>
      </c>
      <c r="AU291" s="684">
        <f>IF(終値!A291="","",IF(AND(高値!Y291&gt;高値!X291,高値!Y291&gt;高値!W291,高値!Y291&gt;高値!Z291,高値!Y291&gt;高値!AA291),20,""))</f>
      </c>
      <c r="AV291" s="684">
        <f>IF(終値!A291="","",IF(AND(高値!Z291&gt;高値!Y291,高値!Z291&gt;高値!X291,高値!Z291&gt;高値!AA291,高値!Z291&gt;高値!AB291),21,""))</f>
      </c>
      <c r="AW291" s="684">
        <f>IF(終値!A291="","",IF(AND(高値!AA291&gt;高値!Z291,高値!AA291&gt;高値!Y291,高値!AA291&gt;高値!AB291,高値!AA291&gt;高値!AC291),22,""))</f>
      </c>
      <c r="AX291" s="684">
        <f>IF(終値!A291="","",IF(AND(高値!AB291&gt;高値!AA291,高値!AB291&gt;高値!Z291,高値!AB291&gt;高値!AC291,高値!AB291&gt;高値!AD291),23,""))</f>
      </c>
      <c r="AY291" s="684">
        <f>IF(終値!A291="","",IF(AND(高値!AC291&gt;高値!AB291,高値!AC291&gt;高値!AA291,高値!AC291&gt;高値!AD291,高値!AC291&gt;高値!AE291),24,""))</f>
      </c>
      <c r="AZ291" s="684">
        <f>IF(終値!A291="","",IF(AND(高値!AD291&gt;高値!AC291,高値!AD291&gt;高値!AB291,高値!AD291&gt;高値!AE291,高値!AD291&gt;高値!AF291),25,""))</f>
      </c>
      <c r="BA291" s="684">
        <f>IF(終値!A291="","",IF(AND(高値!AE291&gt;高値!AD291,高値!AE291&gt;高値!AC291,高値!AE291&gt;高値!AF291,高値!AE291&gt;高値!AG291),26,""))</f>
      </c>
      <c r="BB291" s="684">
        <f>IF(終値!A291="","",IF(AND(高値!AF291&gt;高値!AE291,高値!AF291&gt;高値!AD291,高値!AF291&gt;高値!AG291,高値!AF291&gt;高値!AH291),27,""))</f>
      </c>
      <c r="BC291" s="684">
        <f>IF(終値!A291="","",IF(AND(高値!AG291&gt;高値!AF291,高値!AG291&gt;高値!AE291,高値!AG291&gt;高値!AH291,高値!AG291&gt;高値!AI291),28,""))</f>
      </c>
      <c r="BD291" s="684">
        <f>COUNT($B291:$AB291)</f>
      </c>
      <c r="BE291" s="684">
        <f>IF($BD291&gt;=2,MIN($B291:$AB291),"")</f>
      </c>
      <c r="BF291" s="684">
        <f>IF($BD291&gt;=2,SMALL($B291:$AB291,2),"")</f>
      </c>
      <c r="BG291" s="684">
        <f>IF($BE291="","",INDEX(安値!$E291:$CZ291,1,$BE291+1))</f>
      </c>
      <c r="BH291" s="684">
        <f>IF($BF291="","",INDEX(安値!$E291:$CZ291,1,$BF291+1))</f>
      </c>
      <c r="BI291" s="684">
        <f>IF($BF291="","",MAX(INDEX(高値!$E291:$CZ291,1,$BE291+1):INDEX(高値!$E291:$CZ291,1,$BF291+1)))</f>
      </c>
      <c r="BJ291" s="684">
        <f>IF($BF291="","",AVERAGE(INDEX(終値!$E291:$CZ291,1,$BF291+1):INDEX(終値!$E291:$CZ291,1,$BF291+20))-2*STDEVP(INDEX(終値!$E291:$CZ291,1,$BF291+1):INDEX(終値!$E291:$CZ291,1,$BF291+20)))</f>
      </c>
      <c r="BK291" s="684">
        <f>IF($BE291="","",AVERAGE(INDEX(終値!$E291:$CZ291,1,$BE291+1):INDEX(終値!$E291:$CZ291,1,$BE291+20))-2*STDEVP(INDEX(終値!$E291:$CZ291,1,$BE291+1):INDEX(終値!$E291:$CZ291,1,$BE291+20)))</f>
      </c>
      <c r="BL291" s="684">
        <f>COUNT($AC291:$BC291)</f>
      </c>
      <c r="BM291" s="684">
        <f>IF($BL291&gt;=2,MIN($AC291:$BC291),"")</f>
      </c>
      <c r="BN291" s="684">
        <f>IF($BL291&gt;=2,SMALL($AC291:$BC291,2),"")</f>
      </c>
      <c r="BO291" s="684">
        <f>IF($BM291="","",INDEX(高値!$E291:$CZ291,1,$BM291+1))</f>
      </c>
      <c r="BP291" s="684">
        <f>IF($BN291="","",INDEX(高値!$E291:$CZ291,1,$BN291+1))</f>
      </c>
      <c r="BQ291" s="684">
        <f>IF($BN291="","",MIN(INDEX(安値!$E291:$CZ291,1,$BM291+1):INDEX(安値!$E291:$CZ291,1,$BN291+1)))</f>
      </c>
      <c r="BR291" s="684">
        <f>IF($BN291="","",AVERAGE(INDEX(終値!$E291:$CZ291,1,$BN291+1):INDEX(終値!$E291:$CZ291,1,$BN291+20))+2*STDEVP(INDEX(終値!$E291:$CZ291,1,$BN291+1):INDEX(終値!$E291:$CZ291,1,$BN291+20)))</f>
      </c>
      <c r="BS291" s="684">
        <f>IF($BM291="","",AVERAGE(INDEX(終値!$E291:$CZ291,1,$BM291+1):INDEX(終値!$E291:$CZ291,1,$BM291+20))+2*STDEVP(INDEX(終値!$E291:$CZ291,1,$BM291+1):INDEX(終値!$E291:$CZ291,1,$BM291+20)))</f>
      </c>
      <c r="BT291" s="681">
        <f>IFERROR(IF(AND($BD291&gt;=2,ABS($BG291-$BH291)/$BH291&lt;=BB設定!$B$12,$BI291&gt;=MAX($BH291,$BG291)*(1+BB設定!$B$13),終値!E291&gt;$BG291),IF(OR(終値!E291&gt;=$BI291,AND($BH291&lt;$BJ291,$BG291&gt;=$BK291)),"二番底W▲","二番底W形成"),IF(AND($BL291&gt;=2,ABS($BO291-$BP291)/$BP291&lt;=BB設定!$B$12,$BQ291&lt;=MIN($BP291,$BO291)*(1-BB設定!$B$13),終値!E291&lt;$BO291),IF(OR(終値!E291&lt;=$BQ291,AND($BP291&gt;$BR291,$BO291&lt;=$BS291)),"二番天井M▼","二番天井M形成"),"－")),"－")</f>
      </c>
    </row>
    <row r="292">
      <c r="B292" s="684">
        <f>IF(終値!A292="","",IF(AND(安値!G292&lt;安値!F292,安値!G292&lt;安値!E292,安値!G292&lt;安値!H292,安値!G292&lt;安値!I292),2,""))</f>
      </c>
      <c r="C292" s="684">
        <f>IF(終値!A292="","",IF(AND(安値!H292&lt;安値!G292,安値!H292&lt;安値!F292,安値!H292&lt;安値!I292,安値!H292&lt;安値!J292),3,""))</f>
      </c>
      <c r="D292" s="684">
        <f>IF(終値!A292="","",IF(AND(安値!I292&lt;安値!H292,安値!I292&lt;安値!G292,安値!I292&lt;安値!J292,安値!I292&lt;安値!K292),4,""))</f>
      </c>
      <c r="E292" s="684">
        <f>IF(終値!A292="","",IF(AND(安値!J292&lt;安値!I292,安値!J292&lt;安値!H292,安値!J292&lt;安値!K292,安値!J292&lt;安値!L292),5,""))</f>
      </c>
      <c r="F292" s="684">
        <f>IF(終値!A292="","",IF(AND(安値!K292&lt;安値!J292,安値!K292&lt;安値!I292,安値!K292&lt;安値!L292,安値!K292&lt;安値!M292),6,""))</f>
      </c>
      <c r="G292" s="684">
        <f>IF(終値!A292="","",IF(AND(安値!L292&lt;安値!K292,安値!L292&lt;安値!J292,安値!L292&lt;安値!M292,安値!L292&lt;安値!N292),7,""))</f>
      </c>
      <c r="H292" s="684">
        <f>IF(終値!A292="","",IF(AND(安値!M292&lt;安値!L292,安値!M292&lt;安値!K292,安値!M292&lt;安値!N292,安値!M292&lt;安値!O292),8,""))</f>
      </c>
      <c r="I292" s="684">
        <f>IF(終値!A292="","",IF(AND(安値!N292&lt;安値!M292,安値!N292&lt;安値!L292,安値!N292&lt;安値!O292,安値!N292&lt;安値!P292),9,""))</f>
      </c>
      <c r="J292" s="684">
        <f>IF(終値!A292="","",IF(AND(安値!O292&lt;安値!N292,安値!O292&lt;安値!M292,安値!O292&lt;安値!P292,安値!O292&lt;安値!Q292),10,""))</f>
      </c>
      <c r="K292" s="684">
        <f>IF(終値!A292="","",IF(AND(安値!P292&lt;安値!O292,安値!P292&lt;安値!N292,安値!P292&lt;安値!Q292,安値!P292&lt;安値!R292),11,""))</f>
      </c>
      <c r="L292" s="684">
        <f>IF(終値!A292="","",IF(AND(安値!Q292&lt;安値!P292,安値!Q292&lt;安値!O292,安値!Q292&lt;安値!R292,安値!Q292&lt;安値!S292),12,""))</f>
      </c>
      <c r="M292" s="684">
        <f>IF(終値!A292="","",IF(AND(安値!R292&lt;安値!Q292,安値!R292&lt;安値!P292,安値!R292&lt;安値!S292,安値!R292&lt;安値!T292),13,""))</f>
      </c>
      <c r="N292" s="684">
        <f>IF(終値!A292="","",IF(AND(安値!S292&lt;安値!R292,安値!S292&lt;安値!Q292,安値!S292&lt;安値!T292,安値!S292&lt;安値!U292),14,""))</f>
      </c>
      <c r="O292" s="684">
        <f>IF(終値!A292="","",IF(AND(安値!T292&lt;安値!S292,安値!T292&lt;安値!R292,安値!T292&lt;安値!U292,安値!T292&lt;安値!V292),15,""))</f>
      </c>
      <c r="P292" s="684">
        <f>IF(終値!A292="","",IF(AND(安値!U292&lt;安値!T292,安値!U292&lt;安値!S292,安値!U292&lt;安値!V292,安値!U292&lt;安値!W292),16,""))</f>
      </c>
      <c r="Q292" s="684">
        <f>IF(終値!A292="","",IF(AND(安値!V292&lt;安値!U292,安値!V292&lt;安値!T292,安値!V292&lt;安値!W292,安値!V292&lt;安値!X292),17,""))</f>
      </c>
      <c r="R292" s="684">
        <f>IF(終値!A292="","",IF(AND(安値!W292&lt;安値!V292,安値!W292&lt;安値!U292,安値!W292&lt;安値!X292,安値!W292&lt;安値!Y292),18,""))</f>
      </c>
      <c r="S292" s="684">
        <f>IF(終値!A292="","",IF(AND(安値!X292&lt;安値!W292,安値!X292&lt;安値!V292,安値!X292&lt;安値!Y292,安値!X292&lt;安値!Z292),19,""))</f>
      </c>
      <c r="T292" s="684">
        <f>IF(終値!A292="","",IF(AND(安値!Y292&lt;安値!X292,安値!Y292&lt;安値!W292,安値!Y292&lt;安値!Z292,安値!Y292&lt;安値!AA292),20,""))</f>
      </c>
      <c r="U292" s="684">
        <f>IF(終値!A292="","",IF(AND(安値!Z292&lt;安値!Y292,安値!Z292&lt;安値!X292,安値!Z292&lt;安値!AA292,安値!Z292&lt;安値!AB292),21,""))</f>
      </c>
      <c r="V292" s="684">
        <f>IF(終値!A292="","",IF(AND(安値!AA292&lt;安値!Z292,安値!AA292&lt;安値!Y292,安値!AA292&lt;安値!AB292,安値!AA292&lt;安値!AC292),22,""))</f>
      </c>
      <c r="W292" s="684">
        <f>IF(終値!A292="","",IF(AND(安値!AB292&lt;安値!AA292,安値!AB292&lt;安値!Z292,安値!AB292&lt;安値!AC292,安値!AB292&lt;安値!AD292),23,""))</f>
      </c>
      <c r="X292" s="684">
        <f>IF(終値!A292="","",IF(AND(安値!AC292&lt;安値!AB292,安値!AC292&lt;安値!AA292,安値!AC292&lt;安値!AD292,安値!AC292&lt;安値!AE292),24,""))</f>
      </c>
      <c r="Y292" s="684">
        <f>IF(終値!A292="","",IF(AND(安値!AD292&lt;安値!AC292,安値!AD292&lt;安値!AB292,安値!AD292&lt;安値!AE292,安値!AD292&lt;安値!AF292),25,""))</f>
      </c>
      <c r="Z292" s="684">
        <f>IF(終値!A292="","",IF(AND(安値!AE292&lt;安値!AD292,安値!AE292&lt;安値!AC292,安値!AE292&lt;安値!AF292,安値!AE292&lt;安値!AG292),26,""))</f>
      </c>
      <c r="AA292" s="684">
        <f>IF(終値!A292="","",IF(AND(安値!AF292&lt;安値!AE292,安値!AF292&lt;安値!AD292,安値!AF292&lt;安値!AG292,安値!AF292&lt;安値!AH292),27,""))</f>
      </c>
      <c r="AB292" s="684">
        <f>IF(終値!A292="","",IF(AND(安値!AG292&lt;安値!AF292,安値!AG292&lt;安値!AE292,安値!AG292&lt;安値!AH292,安値!AG292&lt;安値!AI292),28,""))</f>
      </c>
      <c r="AC292" s="684">
        <f>IF(終値!A292="","",IF(AND(高値!G292&gt;高値!F292,高値!G292&gt;高値!E292,高値!G292&gt;高値!H292,高値!G292&gt;高値!I292),2,""))</f>
      </c>
      <c r="AD292" s="684">
        <f>IF(終値!A292="","",IF(AND(高値!H292&gt;高値!G292,高値!H292&gt;高値!F292,高値!H292&gt;高値!I292,高値!H292&gt;高値!J292),3,""))</f>
      </c>
      <c r="AE292" s="684">
        <f>IF(終値!A292="","",IF(AND(高値!I292&gt;高値!H292,高値!I292&gt;高値!G292,高値!I292&gt;高値!J292,高値!I292&gt;高値!K292),4,""))</f>
      </c>
      <c r="AF292" s="684">
        <f>IF(終値!A292="","",IF(AND(高値!J292&gt;高値!I292,高値!J292&gt;高値!H292,高値!J292&gt;高値!K292,高値!J292&gt;高値!L292),5,""))</f>
      </c>
      <c r="AG292" s="684">
        <f>IF(終値!A292="","",IF(AND(高値!K292&gt;高値!J292,高値!K292&gt;高値!I292,高値!K292&gt;高値!L292,高値!K292&gt;高値!M292),6,""))</f>
      </c>
      <c r="AH292" s="684">
        <f>IF(終値!A292="","",IF(AND(高値!L292&gt;高値!K292,高値!L292&gt;高値!J292,高値!L292&gt;高値!M292,高値!L292&gt;高値!N292),7,""))</f>
      </c>
      <c r="AI292" s="684">
        <f>IF(終値!A292="","",IF(AND(高値!M292&gt;高値!L292,高値!M292&gt;高値!K292,高値!M292&gt;高値!N292,高値!M292&gt;高値!O292),8,""))</f>
      </c>
      <c r="AJ292" s="684">
        <f>IF(終値!A292="","",IF(AND(高値!N292&gt;高値!M292,高値!N292&gt;高値!L292,高値!N292&gt;高値!O292,高値!N292&gt;高値!P292),9,""))</f>
      </c>
      <c r="AK292" s="684">
        <f>IF(終値!A292="","",IF(AND(高値!O292&gt;高値!N292,高値!O292&gt;高値!M292,高値!O292&gt;高値!P292,高値!O292&gt;高値!Q292),10,""))</f>
      </c>
      <c r="AL292" s="684">
        <f>IF(終値!A292="","",IF(AND(高値!P292&gt;高値!O292,高値!P292&gt;高値!N292,高値!P292&gt;高値!Q292,高値!P292&gt;高値!R292),11,""))</f>
      </c>
      <c r="AM292" s="684">
        <f>IF(終値!A292="","",IF(AND(高値!Q292&gt;高値!P292,高値!Q292&gt;高値!O292,高値!Q292&gt;高値!R292,高値!Q292&gt;高値!S292),12,""))</f>
      </c>
      <c r="AN292" s="684">
        <f>IF(終値!A292="","",IF(AND(高値!R292&gt;高値!Q292,高値!R292&gt;高値!P292,高値!R292&gt;高値!S292,高値!R292&gt;高値!T292),13,""))</f>
      </c>
      <c r="AO292" s="684">
        <f>IF(終値!A292="","",IF(AND(高値!S292&gt;高値!R292,高値!S292&gt;高値!Q292,高値!S292&gt;高値!T292,高値!S292&gt;高値!U292),14,""))</f>
      </c>
      <c r="AP292" s="684">
        <f>IF(終値!A292="","",IF(AND(高値!T292&gt;高値!S292,高値!T292&gt;高値!R292,高値!T292&gt;高値!U292,高値!T292&gt;高値!V292),15,""))</f>
      </c>
      <c r="AQ292" s="684">
        <f>IF(終値!A292="","",IF(AND(高値!U292&gt;高値!T292,高値!U292&gt;高値!S292,高値!U292&gt;高値!V292,高値!U292&gt;高値!W292),16,""))</f>
      </c>
      <c r="AR292" s="684">
        <f>IF(終値!A292="","",IF(AND(高値!V292&gt;高値!U292,高値!V292&gt;高値!T292,高値!V292&gt;高値!W292,高値!V292&gt;高値!X292),17,""))</f>
      </c>
      <c r="AS292" s="684">
        <f>IF(終値!A292="","",IF(AND(高値!W292&gt;高値!V292,高値!W292&gt;高値!U292,高値!W292&gt;高値!X292,高値!W292&gt;高値!Y292),18,""))</f>
      </c>
      <c r="AT292" s="684">
        <f>IF(終値!A292="","",IF(AND(高値!X292&gt;高値!W292,高値!X292&gt;高値!V292,高値!X292&gt;高値!Y292,高値!X292&gt;高値!Z292),19,""))</f>
      </c>
      <c r="AU292" s="684">
        <f>IF(終値!A292="","",IF(AND(高値!Y292&gt;高値!X292,高値!Y292&gt;高値!W292,高値!Y292&gt;高値!Z292,高値!Y292&gt;高値!AA292),20,""))</f>
      </c>
      <c r="AV292" s="684">
        <f>IF(終値!A292="","",IF(AND(高値!Z292&gt;高値!Y292,高値!Z292&gt;高値!X292,高値!Z292&gt;高値!AA292,高値!Z292&gt;高値!AB292),21,""))</f>
      </c>
      <c r="AW292" s="684">
        <f>IF(終値!A292="","",IF(AND(高値!AA292&gt;高値!Z292,高値!AA292&gt;高値!Y292,高値!AA292&gt;高値!AB292,高値!AA292&gt;高値!AC292),22,""))</f>
      </c>
      <c r="AX292" s="684">
        <f>IF(終値!A292="","",IF(AND(高値!AB292&gt;高値!AA292,高値!AB292&gt;高値!Z292,高値!AB292&gt;高値!AC292,高値!AB292&gt;高値!AD292),23,""))</f>
      </c>
      <c r="AY292" s="684">
        <f>IF(終値!A292="","",IF(AND(高値!AC292&gt;高値!AB292,高値!AC292&gt;高値!AA292,高値!AC292&gt;高値!AD292,高値!AC292&gt;高値!AE292),24,""))</f>
      </c>
      <c r="AZ292" s="684">
        <f>IF(終値!A292="","",IF(AND(高値!AD292&gt;高値!AC292,高値!AD292&gt;高値!AB292,高値!AD292&gt;高値!AE292,高値!AD292&gt;高値!AF292),25,""))</f>
      </c>
      <c r="BA292" s="684">
        <f>IF(終値!A292="","",IF(AND(高値!AE292&gt;高値!AD292,高値!AE292&gt;高値!AC292,高値!AE292&gt;高値!AF292,高値!AE292&gt;高値!AG292),26,""))</f>
      </c>
      <c r="BB292" s="684">
        <f>IF(終値!A292="","",IF(AND(高値!AF292&gt;高値!AE292,高値!AF292&gt;高値!AD292,高値!AF292&gt;高値!AG292,高値!AF292&gt;高値!AH292),27,""))</f>
      </c>
      <c r="BC292" s="684">
        <f>IF(終値!A292="","",IF(AND(高値!AG292&gt;高値!AF292,高値!AG292&gt;高値!AE292,高値!AG292&gt;高値!AH292,高値!AG292&gt;高値!AI292),28,""))</f>
      </c>
      <c r="BD292" s="684">
        <f>COUNT($B292:$AB292)</f>
      </c>
      <c r="BE292" s="684">
        <f>IF($BD292&gt;=2,MIN($B292:$AB292),"")</f>
      </c>
      <c r="BF292" s="684">
        <f>IF($BD292&gt;=2,SMALL($B292:$AB292,2),"")</f>
      </c>
      <c r="BG292" s="684">
        <f>IF($BE292="","",INDEX(安値!$E292:$CZ292,1,$BE292+1))</f>
      </c>
      <c r="BH292" s="684">
        <f>IF($BF292="","",INDEX(安値!$E292:$CZ292,1,$BF292+1))</f>
      </c>
      <c r="BI292" s="684">
        <f>IF($BF292="","",MAX(INDEX(高値!$E292:$CZ292,1,$BE292+1):INDEX(高値!$E292:$CZ292,1,$BF292+1)))</f>
      </c>
      <c r="BJ292" s="684">
        <f>IF($BF292="","",AVERAGE(INDEX(終値!$E292:$CZ292,1,$BF292+1):INDEX(終値!$E292:$CZ292,1,$BF292+20))-2*STDEVP(INDEX(終値!$E292:$CZ292,1,$BF292+1):INDEX(終値!$E292:$CZ292,1,$BF292+20)))</f>
      </c>
      <c r="BK292" s="684">
        <f>IF($BE292="","",AVERAGE(INDEX(終値!$E292:$CZ292,1,$BE292+1):INDEX(終値!$E292:$CZ292,1,$BE292+20))-2*STDEVP(INDEX(終値!$E292:$CZ292,1,$BE292+1):INDEX(終値!$E292:$CZ292,1,$BE292+20)))</f>
      </c>
      <c r="BL292" s="684">
        <f>COUNT($AC292:$BC292)</f>
      </c>
      <c r="BM292" s="684">
        <f>IF($BL292&gt;=2,MIN($AC292:$BC292),"")</f>
      </c>
      <c r="BN292" s="684">
        <f>IF($BL292&gt;=2,SMALL($AC292:$BC292,2),"")</f>
      </c>
      <c r="BO292" s="684">
        <f>IF($BM292="","",INDEX(高値!$E292:$CZ292,1,$BM292+1))</f>
      </c>
      <c r="BP292" s="684">
        <f>IF($BN292="","",INDEX(高値!$E292:$CZ292,1,$BN292+1))</f>
      </c>
      <c r="BQ292" s="684">
        <f>IF($BN292="","",MIN(INDEX(安値!$E292:$CZ292,1,$BM292+1):INDEX(安値!$E292:$CZ292,1,$BN292+1)))</f>
      </c>
      <c r="BR292" s="684">
        <f>IF($BN292="","",AVERAGE(INDEX(終値!$E292:$CZ292,1,$BN292+1):INDEX(終値!$E292:$CZ292,1,$BN292+20))+2*STDEVP(INDEX(終値!$E292:$CZ292,1,$BN292+1):INDEX(終値!$E292:$CZ292,1,$BN292+20)))</f>
      </c>
      <c r="BS292" s="684">
        <f>IF($BM292="","",AVERAGE(INDEX(終値!$E292:$CZ292,1,$BM292+1):INDEX(終値!$E292:$CZ292,1,$BM292+20))+2*STDEVP(INDEX(終値!$E292:$CZ292,1,$BM292+1):INDEX(終値!$E292:$CZ292,1,$BM292+20)))</f>
      </c>
      <c r="BT292" s="681">
        <f>IFERROR(IF(AND($BD292&gt;=2,ABS($BG292-$BH292)/$BH292&lt;=BB設定!$B$12,$BI292&gt;=MAX($BH292,$BG292)*(1+BB設定!$B$13),終値!E292&gt;$BG292),IF(OR(終値!E292&gt;=$BI292,AND($BH292&lt;$BJ292,$BG292&gt;=$BK292)),"二番底W▲","二番底W形成"),IF(AND($BL292&gt;=2,ABS($BO292-$BP292)/$BP292&lt;=BB設定!$B$12,$BQ292&lt;=MIN($BP292,$BO292)*(1-BB設定!$B$13),終値!E292&lt;$BO292),IF(OR(終値!E292&lt;=$BQ292,AND($BP292&gt;$BR292,$BO292&lt;=$BS292)),"二番天井M▼","二番天井M形成"),"－")),"－")</f>
      </c>
    </row>
    <row r="293">
      <c r="B293" s="684">
        <f>IF(終値!A293="","",IF(AND(安値!G293&lt;安値!F293,安値!G293&lt;安値!E293,安値!G293&lt;安値!H293,安値!G293&lt;安値!I293),2,""))</f>
      </c>
      <c r="C293" s="684">
        <f>IF(終値!A293="","",IF(AND(安値!H293&lt;安値!G293,安値!H293&lt;安値!F293,安値!H293&lt;安値!I293,安値!H293&lt;安値!J293),3,""))</f>
      </c>
      <c r="D293" s="684">
        <f>IF(終値!A293="","",IF(AND(安値!I293&lt;安値!H293,安値!I293&lt;安値!G293,安値!I293&lt;安値!J293,安値!I293&lt;安値!K293),4,""))</f>
      </c>
      <c r="E293" s="684">
        <f>IF(終値!A293="","",IF(AND(安値!J293&lt;安値!I293,安値!J293&lt;安値!H293,安値!J293&lt;安値!K293,安値!J293&lt;安値!L293),5,""))</f>
      </c>
      <c r="F293" s="684">
        <f>IF(終値!A293="","",IF(AND(安値!K293&lt;安値!J293,安値!K293&lt;安値!I293,安値!K293&lt;安値!L293,安値!K293&lt;安値!M293),6,""))</f>
      </c>
      <c r="G293" s="684">
        <f>IF(終値!A293="","",IF(AND(安値!L293&lt;安値!K293,安値!L293&lt;安値!J293,安値!L293&lt;安値!M293,安値!L293&lt;安値!N293),7,""))</f>
      </c>
      <c r="H293" s="684">
        <f>IF(終値!A293="","",IF(AND(安値!M293&lt;安値!L293,安値!M293&lt;安値!K293,安値!M293&lt;安値!N293,安値!M293&lt;安値!O293),8,""))</f>
      </c>
      <c r="I293" s="684">
        <f>IF(終値!A293="","",IF(AND(安値!N293&lt;安値!M293,安値!N293&lt;安値!L293,安値!N293&lt;安値!O293,安値!N293&lt;安値!P293),9,""))</f>
      </c>
      <c r="J293" s="684">
        <f>IF(終値!A293="","",IF(AND(安値!O293&lt;安値!N293,安値!O293&lt;安値!M293,安値!O293&lt;安値!P293,安値!O293&lt;安値!Q293),10,""))</f>
      </c>
      <c r="K293" s="684">
        <f>IF(終値!A293="","",IF(AND(安値!P293&lt;安値!O293,安値!P293&lt;安値!N293,安値!P293&lt;安値!Q293,安値!P293&lt;安値!R293),11,""))</f>
      </c>
      <c r="L293" s="684">
        <f>IF(終値!A293="","",IF(AND(安値!Q293&lt;安値!P293,安値!Q293&lt;安値!O293,安値!Q293&lt;安値!R293,安値!Q293&lt;安値!S293),12,""))</f>
      </c>
      <c r="M293" s="684">
        <f>IF(終値!A293="","",IF(AND(安値!R293&lt;安値!Q293,安値!R293&lt;安値!P293,安値!R293&lt;安値!S293,安値!R293&lt;安値!T293),13,""))</f>
      </c>
      <c r="N293" s="684">
        <f>IF(終値!A293="","",IF(AND(安値!S293&lt;安値!R293,安値!S293&lt;安値!Q293,安値!S293&lt;安値!T293,安値!S293&lt;安値!U293),14,""))</f>
      </c>
      <c r="O293" s="684">
        <f>IF(終値!A293="","",IF(AND(安値!T293&lt;安値!S293,安値!T293&lt;安値!R293,安値!T293&lt;安値!U293,安値!T293&lt;安値!V293),15,""))</f>
      </c>
      <c r="P293" s="684">
        <f>IF(終値!A293="","",IF(AND(安値!U293&lt;安値!T293,安値!U293&lt;安値!S293,安値!U293&lt;安値!V293,安値!U293&lt;安値!W293),16,""))</f>
      </c>
      <c r="Q293" s="684">
        <f>IF(終値!A293="","",IF(AND(安値!V293&lt;安値!U293,安値!V293&lt;安値!T293,安値!V293&lt;安値!W293,安値!V293&lt;安値!X293),17,""))</f>
      </c>
      <c r="R293" s="684">
        <f>IF(終値!A293="","",IF(AND(安値!W293&lt;安値!V293,安値!W293&lt;安値!U293,安値!W293&lt;安値!X293,安値!W293&lt;安値!Y293),18,""))</f>
      </c>
      <c r="S293" s="684">
        <f>IF(終値!A293="","",IF(AND(安値!X293&lt;安値!W293,安値!X293&lt;安値!V293,安値!X293&lt;安値!Y293,安値!X293&lt;安値!Z293),19,""))</f>
      </c>
      <c r="T293" s="684">
        <f>IF(終値!A293="","",IF(AND(安値!Y293&lt;安値!X293,安値!Y293&lt;安値!W293,安値!Y293&lt;安値!Z293,安値!Y293&lt;安値!AA293),20,""))</f>
      </c>
      <c r="U293" s="684">
        <f>IF(終値!A293="","",IF(AND(安値!Z293&lt;安値!Y293,安値!Z293&lt;安値!X293,安値!Z293&lt;安値!AA293,安値!Z293&lt;安値!AB293),21,""))</f>
      </c>
      <c r="V293" s="684">
        <f>IF(終値!A293="","",IF(AND(安値!AA293&lt;安値!Z293,安値!AA293&lt;安値!Y293,安値!AA293&lt;安値!AB293,安値!AA293&lt;安値!AC293),22,""))</f>
      </c>
      <c r="W293" s="684">
        <f>IF(終値!A293="","",IF(AND(安値!AB293&lt;安値!AA293,安値!AB293&lt;安値!Z293,安値!AB293&lt;安値!AC293,安値!AB293&lt;安値!AD293),23,""))</f>
      </c>
      <c r="X293" s="684">
        <f>IF(終値!A293="","",IF(AND(安値!AC293&lt;安値!AB293,安値!AC293&lt;安値!AA293,安値!AC293&lt;安値!AD293,安値!AC293&lt;安値!AE293),24,""))</f>
      </c>
      <c r="Y293" s="684">
        <f>IF(終値!A293="","",IF(AND(安値!AD293&lt;安値!AC293,安値!AD293&lt;安値!AB293,安値!AD293&lt;安値!AE293,安値!AD293&lt;安値!AF293),25,""))</f>
      </c>
      <c r="Z293" s="684">
        <f>IF(終値!A293="","",IF(AND(安値!AE293&lt;安値!AD293,安値!AE293&lt;安値!AC293,安値!AE293&lt;安値!AF293,安値!AE293&lt;安値!AG293),26,""))</f>
      </c>
      <c r="AA293" s="684">
        <f>IF(終値!A293="","",IF(AND(安値!AF293&lt;安値!AE293,安値!AF293&lt;安値!AD293,安値!AF293&lt;安値!AG293,安値!AF293&lt;安値!AH293),27,""))</f>
      </c>
      <c r="AB293" s="684">
        <f>IF(終値!A293="","",IF(AND(安値!AG293&lt;安値!AF293,安値!AG293&lt;安値!AE293,安値!AG293&lt;安値!AH293,安値!AG293&lt;安値!AI293),28,""))</f>
      </c>
      <c r="AC293" s="684">
        <f>IF(終値!A293="","",IF(AND(高値!G293&gt;高値!F293,高値!G293&gt;高値!E293,高値!G293&gt;高値!H293,高値!G293&gt;高値!I293),2,""))</f>
      </c>
      <c r="AD293" s="684">
        <f>IF(終値!A293="","",IF(AND(高値!H293&gt;高値!G293,高値!H293&gt;高値!F293,高値!H293&gt;高値!I293,高値!H293&gt;高値!J293),3,""))</f>
      </c>
      <c r="AE293" s="684">
        <f>IF(終値!A293="","",IF(AND(高値!I293&gt;高値!H293,高値!I293&gt;高値!G293,高値!I293&gt;高値!J293,高値!I293&gt;高値!K293),4,""))</f>
      </c>
      <c r="AF293" s="684">
        <f>IF(終値!A293="","",IF(AND(高値!J293&gt;高値!I293,高値!J293&gt;高値!H293,高値!J293&gt;高値!K293,高値!J293&gt;高値!L293),5,""))</f>
      </c>
      <c r="AG293" s="684">
        <f>IF(終値!A293="","",IF(AND(高値!K293&gt;高値!J293,高値!K293&gt;高値!I293,高値!K293&gt;高値!L293,高値!K293&gt;高値!M293),6,""))</f>
      </c>
      <c r="AH293" s="684">
        <f>IF(終値!A293="","",IF(AND(高値!L293&gt;高値!K293,高値!L293&gt;高値!J293,高値!L293&gt;高値!M293,高値!L293&gt;高値!N293),7,""))</f>
      </c>
      <c r="AI293" s="684">
        <f>IF(終値!A293="","",IF(AND(高値!M293&gt;高値!L293,高値!M293&gt;高値!K293,高値!M293&gt;高値!N293,高値!M293&gt;高値!O293),8,""))</f>
      </c>
      <c r="AJ293" s="684">
        <f>IF(終値!A293="","",IF(AND(高値!N293&gt;高値!M293,高値!N293&gt;高値!L293,高値!N293&gt;高値!O293,高値!N293&gt;高値!P293),9,""))</f>
      </c>
      <c r="AK293" s="684">
        <f>IF(終値!A293="","",IF(AND(高値!O293&gt;高値!N293,高値!O293&gt;高値!M293,高値!O293&gt;高値!P293,高値!O293&gt;高値!Q293),10,""))</f>
      </c>
      <c r="AL293" s="684">
        <f>IF(終値!A293="","",IF(AND(高値!P293&gt;高値!O293,高値!P293&gt;高値!N293,高値!P293&gt;高値!Q293,高値!P293&gt;高値!R293),11,""))</f>
      </c>
      <c r="AM293" s="684">
        <f>IF(終値!A293="","",IF(AND(高値!Q293&gt;高値!P293,高値!Q293&gt;高値!O293,高値!Q293&gt;高値!R293,高値!Q293&gt;高値!S293),12,""))</f>
      </c>
      <c r="AN293" s="684">
        <f>IF(終値!A293="","",IF(AND(高値!R293&gt;高値!Q293,高値!R293&gt;高値!P293,高値!R293&gt;高値!S293,高値!R293&gt;高値!T293),13,""))</f>
      </c>
      <c r="AO293" s="684">
        <f>IF(終値!A293="","",IF(AND(高値!S293&gt;高値!R293,高値!S293&gt;高値!Q293,高値!S293&gt;高値!T293,高値!S293&gt;高値!U293),14,""))</f>
      </c>
      <c r="AP293" s="684">
        <f>IF(終値!A293="","",IF(AND(高値!T293&gt;高値!S293,高値!T293&gt;高値!R293,高値!T293&gt;高値!U293,高値!T293&gt;高値!V293),15,""))</f>
      </c>
      <c r="AQ293" s="684">
        <f>IF(終値!A293="","",IF(AND(高値!U293&gt;高値!T293,高値!U293&gt;高値!S293,高値!U293&gt;高値!V293,高値!U293&gt;高値!W293),16,""))</f>
      </c>
      <c r="AR293" s="684">
        <f>IF(終値!A293="","",IF(AND(高値!V293&gt;高値!U293,高値!V293&gt;高値!T293,高値!V293&gt;高値!W293,高値!V293&gt;高値!X293),17,""))</f>
      </c>
      <c r="AS293" s="684">
        <f>IF(終値!A293="","",IF(AND(高値!W293&gt;高値!V293,高値!W293&gt;高値!U293,高値!W293&gt;高値!X293,高値!W293&gt;高値!Y293),18,""))</f>
      </c>
      <c r="AT293" s="684">
        <f>IF(終値!A293="","",IF(AND(高値!X293&gt;高値!W293,高値!X293&gt;高値!V293,高値!X293&gt;高値!Y293,高値!X293&gt;高値!Z293),19,""))</f>
      </c>
      <c r="AU293" s="684">
        <f>IF(終値!A293="","",IF(AND(高値!Y293&gt;高値!X293,高値!Y293&gt;高値!W293,高値!Y293&gt;高値!Z293,高値!Y293&gt;高値!AA293),20,""))</f>
      </c>
      <c r="AV293" s="684">
        <f>IF(終値!A293="","",IF(AND(高値!Z293&gt;高値!Y293,高値!Z293&gt;高値!X293,高値!Z293&gt;高値!AA293,高値!Z293&gt;高値!AB293),21,""))</f>
      </c>
      <c r="AW293" s="684">
        <f>IF(終値!A293="","",IF(AND(高値!AA293&gt;高値!Z293,高値!AA293&gt;高値!Y293,高値!AA293&gt;高値!AB293,高値!AA293&gt;高値!AC293),22,""))</f>
      </c>
      <c r="AX293" s="684">
        <f>IF(終値!A293="","",IF(AND(高値!AB293&gt;高値!AA293,高値!AB293&gt;高値!Z293,高値!AB293&gt;高値!AC293,高値!AB293&gt;高値!AD293),23,""))</f>
      </c>
      <c r="AY293" s="684">
        <f>IF(終値!A293="","",IF(AND(高値!AC293&gt;高値!AB293,高値!AC293&gt;高値!AA293,高値!AC293&gt;高値!AD293,高値!AC293&gt;高値!AE293),24,""))</f>
      </c>
      <c r="AZ293" s="684">
        <f>IF(終値!A293="","",IF(AND(高値!AD293&gt;高値!AC293,高値!AD293&gt;高値!AB293,高値!AD293&gt;高値!AE293,高値!AD293&gt;高値!AF293),25,""))</f>
      </c>
      <c r="BA293" s="684">
        <f>IF(終値!A293="","",IF(AND(高値!AE293&gt;高値!AD293,高値!AE293&gt;高値!AC293,高値!AE293&gt;高値!AF293,高値!AE293&gt;高値!AG293),26,""))</f>
      </c>
      <c r="BB293" s="684">
        <f>IF(終値!A293="","",IF(AND(高値!AF293&gt;高値!AE293,高値!AF293&gt;高値!AD293,高値!AF293&gt;高値!AG293,高値!AF293&gt;高値!AH293),27,""))</f>
      </c>
      <c r="BC293" s="684">
        <f>IF(終値!A293="","",IF(AND(高値!AG293&gt;高値!AF293,高値!AG293&gt;高値!AE293,高値!AG293&gt;高値!AH293,高値!AG293&gt;高値!AI293),28,""))</f>
      </c>
      <c r="BD293" s="684">
        <f>COUNT($B293:$AB293)</f>
      </c>
      <c r="BE293" s="684">
        <f>IF($BD293&gt;=2,MIN($B293:$AB293),"")</f>
      </c>
      <c r="BF293" s="684">
        <f>IF($BD293&gt;=2,SMALL($B293:$AB293,2),"")</f>
      </c>
      <c r="BG293" s="684">
        <f>IF($BE293="","",INDEX(安値!$E293:$CZ293,1,$BE293+1))</f>
      </c>
      <c r="BH293" s="684">
        <f>IF($BF293="","",INDEX(安値!$E293:$CZ293,1,$BF293+1))</f>
      </c>
      <c r="BI293" s="684">
        <f>IF($BF293="","",MAX(INDEX(高値!$E293:$CZ293,1,$BE293+1):INDEX(高値!$E293:$CZ293,1,$BF293+1)))</f>
      </c>
      <c r="BJ293" s="684">
        <f>IF($BF293="","",AVERAGE(INDEX(終値!$E293:$CZ293,1,$BF293+1):INDEX(終値!$E293:$CZ293,1,$BF293+20))-2*STDEVP(INDEX(終値!$E293:$CZ293,1,$BF293+1):INDEX(終値!$E293:$CZ293,1,$BF293+20)))</f>
      </c>
      <c r="BK293" s="684">
        <f>IF($BE293="","",AVERAGE(INDEX(終値!$E293:$CZ293,1,$BE293+1):INDEX(終値!$E293:$CZ293,1,$BE293+20))-2*STDEVP(INDEX(終値!$E293:$CZ293,1,$BE293+1):INDEX(終値!$E293:$CZ293,1,$BE293+20)))</f>
      </c>
      <c r="BL293" s="684">
        <f>COUNT($AC293:$BC293)</f>
      </c>
      <c r="BM293" s="684">
        <f>IF($BL293&gt;=2,MIN($AC293:$BC293),"")</f>
      </c>
      <c r="BN293" s="684">
        <f>IF($BL293&gt;=2,SMALL($AC293:$BC293,2),"")</f>
      </c>
      <c r="BO293" s="684">
        <f>IF($BM293="","",INDEX(高値!$E293:$CZ293,1,$BM293+1))</f>
      </c>
      <c r="BP293" s="684">
        <f>IF($BN293="","",INDEX(高値!$E293:$CZ293,1,$BN293+1))</f>
      </c>
      <c r="BQ293" s="684">
        <f>IF($BN293="","",MIN(INDEX(安値!$E293:$CZ293,1,$BM293+1):INDEX(安値!$E293:$CZ293,1,$BN293+1)))</f>
      </c>
      <c r="BR293" s="684">
        <f>IF($BN293="","",AVERAGE(INDEX(終値!$E293:$CZ293,1,$BN293+1):INDEX(終値!$E293:$CZ293,1,$BN293+20))+2*STDEVP(INDEX(終値!$E293:$CZ293,1,$BN293+1):INDEX(終値!$E293:$CZ293,1,$BN293+20)))</f>
      </c>
      <c r="BS293" s="684">
        <f>IF($BM293="","",AVERAGE(INDEX(終値!$E293:$CZ293,1,$BM293+1):INDEX(終値!$E293:$CZ293,1,$BM293+20))+2*STDEVP(INDEX(終値!$E293:$CZ293,1,$BM293+1):INDEX(終値!$E293:$CZ293,1,$BM293+20)))</f>
      </c>
      <c r="BT293" s="681">
        <f>IFERROR(IF(AND($BD293&gt;=2,ABS($BG293-$BH293)/$BH293&lt;=BB設定!$B$12,$BI293&gt;=MAX($BH293,$BG293)*(1+BB設定!$B$13),終値!E293&gt;$BG293),IF(OR(終値!E293&gt;=$BI293,AND($BH293&lt;$BJ293,$BG293&gt;=$BK293)),"二番底W▲","二番底W形成"),IF(AND($BL293&gt;=2,ABS($BO293-$BP293)/$BP293&lt;=BB設定!$B$12,$BQ293&lt;=MIN($BP293,$BO293)*(1-BB設定!$B$13),終値!E293&lt;$BO293),IF(OR(終値!E293&lt;=$BQ293,AND($BP293&gt;$BR293,$BO293&lt;=$BS293)),"二番天井M▼","二番天井M形成"),"－")),"－")</f>
      </c>
    </row>
    <row r="294">
      <c r="B294" s="684">
        <f>IF(終値!A294="","",IF(AND(安値!G294&lt;安値!F294,安値!G294&lt;安値!E294,安値!G294&lt;安値!H294,安値!G294&lt;安値!I294),2,""))</f>
      </c>
      <c r="C294" s="684">
        <f>IF(終値!A294="","",IF(AND(安値!H294&lt;安値!G294,安値!H294&lt;安値!F294,安値!H294&lt;安値!I294,安値!H294&lt;安値!J294),3,""))</f>
      </c>
      <c r="D294" s="684">
        <f>IF(終値!A294="","",IF(AND(安値!I294&lt;安値!H294,安値!I294&lt;安値!G294,安値!I294&lt;安値!J294,安値!I294&lt;安値!K294),4,""))</f>
      </c>
      <c r="E294" s="684">
        <f>IF(終値!A294="","",IF(AND(安値!J294&lt;安値!I294,安値!J294&lt;安値!H294,安値!J294&lt;安値!K294,安値!J294&lt;安値!L294),5,""))</f>
      </c>
      <c r="F294" s="684">
        <f>IF(終値!A294="","",IF(AND(安値!K294&lt;安値!J294,安値!K294&lt;安値!I294,安値!K294&lt;安値!L294,安値!K294&lt;安値!M294),6,""))</f>
      </c>
      <c r="G294" s="684">
        <f>IF(終値!A294="","",IF(AND(安値!L294&lt;安値!K294,安値!L294&lt;安値!J294,安値!L294&lt;安値!M294,安値!L294&lt;安値!N294),7,""))</f>
      </c>
      <c r="H294" s="684">
        <f>IF(終値!A294="","",IF(AND(安値!M294&lt;安値!L294,安値!M294&lt;安値!K294,安値!M294&lt;安値!N294,安値!M294&lt;安値!O294),8,""))</f>
      </c>
      <c r="I294" s="684">
        <f>IF(終値!A294="","",IF(AND(安値!N294&lt;安値!M294,安値!N294&lt;安値!L294,安値!N294&lt;安値!O294,安値!N294&lt;安値!P294),9,""))</f>
      </c>
      <c r="J294" s="684">
        <f>IF(終値!A294="","",IF(AND(安値!O294&lt;安値!N294,安値!O294&lt;安値!M294,安値!O294&lt;安値!P294,安値!O294&lt;安値!Q294),10,""))</f>
      </c>
      <c r="K294" s="684">
        <f>IF(終値!A294="","",IF(AND(安値!P294&lt;安値!O294,安値!P294&lt;安値!N294,安値!P294&lt;安値!Q294,安値!P294&lt;安値!R294),11,""))</f>
      </c>
      <c r="L294" s="684">
        <f>IF(終値!A294="","",IF(AND(安値!Q294&lt;安値!P294,安値!Q294&lt;安値!O294,安値!Q294&lt;安値!R294,安値!Q294&lt;安値!S294),12,""))</f>
      </c>
      <c r="M294" s="684">
        <f>IF(終値!A294="","",IF(AND(安値!R294&lt;安値!Q294,安値!R294&lt;安値!P294,安値!R294&lt;安値!S294,安値!R294&lt;安値!T294),13,""))</f>
      </c>
      <c r="N294" s="684">
        <f>IF(終値!A294="","",IF(AND(安値!S294&lt;安値!R294,安値!S294&lt;安値!Q294,安値!S294&lt;安値!T294,安値!S294&lt;安値!U294),14,""))</f>
      </c>
      <c r="O294" s="684">
        <f>IF(終値!A294="","",IF(AND(安値!T294&lt;安値!S294,安値!T294&lt;安値!R294,安値!T294&lt;安値!U294,安値!T294&lt;安値!V294),15,""))</f>
      </c>
      <c r="P294" s="684">
        <f>IF(終値!A294="","",IF(AND(安値!U294&lt;安値!T294,安値!U294&lt;安値!S294,安値!U294&lt;安値!V294,安値!U294&lt;安値!W294),16,""))</f>
      </c>
      <c r="Q294" s="684">
        <f>IF(終値!A294="","",IF(AND(安値!V294&lt;安値!U294,安値!V294&lt;安値!T294,安値!V294&lt;安値!W294,安値!V294&lt;安値!X294),17,""))</f>
      </c>
      <c r="R294" s="684">
        <f>IF(終値!A294="","",IF(AND(安値!W294&lt;安値!V294,安値!W294&lt;安値!U294,安値!W294&lt;安値!X294,安値!W294&lt;安値!Y294),18,""))</f>
      </c>
      <c r="S294" s="684">
        <f>IF(終値!A294="","",IF(AND(安値!X294&lt;安値!W294,安値!X294&lt;安値!V294,安値!X294&lt;安値!Y294,安値!X294&lt;安値!Z294),19,""))</f>
      </c>
      <c r="T294" s="684">
        <f>IF(終値!A294="","",IF(AND(安値!Y294&lt;安値!X294,安値!Y294&lt;安値!W294,安値!Y294&lt;安値!Z294,安値!Y294&lt;安値!AA294),20,""))</f>
      </c>
      <c r="U294" s="684">
        <f>IF(終値!A294="","",IF(AND(安値!Z294&lt;安値!Y294,安値!Z294&lt;安値!X294,安値!Z294&lt;安値!AA294,安値!Z294&lt;安値!AB294),21,""))</f>
      </c>
      <c r="V294" s="684">
        <f>IF(終値!A294="","",IF(AND(安値!AA294&lt;安値!Z294,安値!AA294&lt;安値!Y294,安値!AA294&lt;安値!AB294,安値!AA294&lt;安値!AC294),22,""))</f>
      </c>
      <c r="W294" s="684">
        <f>IF(終値!A294="","",IF(AND(安値!AB294&lt;安値!AA294,安値!AB294&lt;安値!Z294,安値!AB294&lt;安値!AC294,安値!AB294&lt;安値!AD294),23,""))</f>
      </c>
      <c r="X294" s="684">
        <f>IF(終値!A294="","",IF(AND(安値!AC294&lt;安値!AB294,安値!AC294&lt;安値!AA294,安値!AC294&lt;安値!AD294,安値!AC294&lt;安値!AE294),24,""))</f>
      </c>
      <c r="Y294" s="684">
        <f>IF(終値!A294="","",IF(AND(安値!AD294&lt;安値!AC294,安値!AD294&lt;安値!AB294,安値!AD294&lt;安値!AE294,安値!AD294&lt;安値!AF294),25,""))</f>
      </c>
      <c r="Z294" s="684">
        <f>IF(終値!A294="","",IF(AND(安値!AE294&lt;安値!AD294,安値!AE294&lt;安値!AC294,安値!AE294&lt;安値!AF294,安値!AE294&lt;安値!AG294),26,""))</f>
      </c>
      <c r="AA294" s="684">
        <f>IF(終値!A294="","",IF(AND(安値!AF294&lt;安値!AE294,安値!AF294&lt;安値!AD294,安値!AF294&lt;安値!AG294,安値!AF294&lt;安値!AH294),27,""))</f>
      </c>
      <c r="AB294" s="684">
        <f>IF(終値!A294="","",IF(AND(安値!AG294&lt;安値!AF294,安値!AG294&lt;安値!AE294,安値!AG294&lt;安値!AH294,安値!AG294&lt;安値!AI294),28,""))</f>
      </c>
      <c r="AC294" s="684">
        <f>IF(終値!A294="","",IF(AND(高値!G294&gt;高値!F294,高値!G294&gt;高値!E294,高値!G294&gt;高値!H294,高値!G294&gt;高値!I294),2,""))</f>
      </c>
      <c r="AD294" s="684">
        <f>IF(終値!A294="","",IF(AND(高値!H294&gt;高値!G294,高値!H294&gt;高値!F294,高値!H294&gt;高値!I294,高値!H294&gt;高値!J294),3,""))</f>
      </c>
      <c r="AE294" s="684">
        <f>IF(終値!A294="","",IF(AND(高値!I294&gt;高値!H294,高値!I294&gt;高値!G294,高値!I294&gt;高値!J294,高値!I294&gt;高値!K294),4,""))</f>
      </c>
      <c r="AF294" s="684">
        <f>IF(終値!A294="","",IF(AND(高値!J294&gt;高値!I294,高値!J294&gt;高値!H294,高値!J294&gt;高値!K294,高値!J294&gt;高値!L294),5,""))</f>
      </c>
      <c r="AG294" s="684">
        <f>IF(終値!A294="","",IF(AND(高値!K294&gt;高値!J294,高値!K294&gt;高値!I294,高値!K294&gt;高値!L294,高値!K294&gt;高値!M294),6,""))</f>
      </c>
      <c r="AH294" s="684">
        <f>IF(終値!A294="","",IF(AND(高値!L294&gt;高値!K294,高値!L294&gt;高値!J294,高値!L294&gt;高値!M294,高値!L294&gt;高値!N294),7,""))</f>
      </c>
      <c r="AI294" s="684">
        <f>IF(終値!A294="","",IF(AND(高値!M294&gt;高値!L294,高値!M294&gt;高値!K294,高値!M294&gt;高値!N294,高値!M294&gt;高値!O294),8,""))</f>
      </c>
      <c r="AJ294" s="684">
        <f>IF(終値!A294="","",IF(AND(高値!N294&gt;高値!M294,高値!N294&gt;高値!L294,高値!N294&gt;高値!O294,高値!N294&gt;高値!P294),9,""))</f>
      </c>
      <c r="AK294" s="684">
        <f>IF(終値!A294="","",IF(AND(高値!O294&gt;高値!N294,高値!O294&gt;高値!M294,高値!O294&gt;高値!P294,高値!O294&gt;高値!Q294),10,""))</f>
      </c>
      <c r="AL294" s="684">
        <f>IF(終値!A294="","",IF(AND(高値!P294&gt;高値!O294,高値!P294&gt;高値!N294,高値!P294&gt;高値!Q294,高値!P294&gt;高値!R294),11,""))</f>
      </c>
      <c r="AM294" s="684">
        <f>IF(終値!A294="","",IF(AND(高値!Q294&gt;高値!P294,高値!Q294&gt;高値!O294,高値!Q294&gt;高値!R294,高値!Q294&gt;高値!S294),12,""))</f>
      </c>
      <c r="AN294" s="684">
        <f>IF(終値!A294="","",IF(AND(高値!R294&gt;高値!Q294,高値!R294&gt;高値!P294,高値!R294&gt;高値!S294,高値!R294&gt;高値!T294),13,""))</f>
      </c>
      <c r="AO294" s="684">
        <f>IF(終値!A294="","",IF(AND(高値!S294&gt;高値!R294,高値!S294&gt;高値!Q294,高値!S294&gt;高値!T294,高値!S294&gt;高値!U294),14,""))</f>
      </c>
      <c r="AP294" s="684">
        <f>IF(終値!A294="","",IF(AND(高値!T294&gt;高値!S294,高値!T294&gt;高値!R294,高値!T294&gt;高値!U294,高値!T294&gt;高値!V294),15,""))</f>
      </c>
      <c r="AQ294" s="684">
        <f>IF(終値!A294="","",IF(AND(高値!U294&gt;高値!T294,高値!U294&gt;高値!S294,高値!U294&gt;高値!V294,高値!U294&gt;高値!W294),16,""))</f>
      </c>
      <c r="AR294" s="684">
        <f>IF(終値!A294="","",IF(AND(高値!V294&gt;高値!U294,高値!V294&gt;高値!T294,高値!V294&gt;高値!W294,高値!V294&gt;高値!X294),17,""))</f>
      </c>
      <c r="AS294" s="684">
        <f>IF(終値!A294="","",IF(AND(高値!W294&gt;高値!V294,高値!W294&gt;高値!U294,高値!W294&gt;高値!X294,高値!W294&gt;高値!Y294),18,""))</f>
      </c>
      <c r="AT294" s="684">
        <f>IF(終値!A294="","",IF(AND(高値!X294&gt;高値!W294,高値!X294&gt;高値!V294,高値!X294&gt;高値!Y294,高値!X294&gt;高値!Z294),19,""))</f>
      </c>
      <c r="AU294" s="684">
        <f>IF(終値!A294="","",IF(AND(高値!Y294&gt;高値!X294,高値!Y294&gt;高値!W294,高値!Y294&gt;高値!Z294,高値!Y294&gt;高値!AA294),20,""))</f>
      </c>
      <c r="AV294" s="684">
        <f>IF(終値!A294="","",IF(AND(高値!Z294&gt;高値!Y294,高値!Z294&gt;高値!X294,高値!Z294&gt;高値!AA294,高値!Z294&gt;高値!AB294),21,""))</f>
      </c>
      <c r="AW294" s="684">
        <f>IF(終値!A294="","",IF(AND(高値!AA294&gt;高値!Z294,高値!AA294&gt;高値!Y294,高値!AA294&gt;高値!AB294,高値!AA294&gt;高値!AC294),22,""))</f>
      </c>
      <c r="AX294" s="684">
        <f>IF(終値!A294="","",IF(AND(高値!AB294&gt;高値!AA294,高値!AB294&gt;高値!Z294,高値!AB294&gt;高値!AC294,高値!AB294&gt;高値!AD294),23,""))</f>
      </c>
      <c r="AY294" s="684">
        <f>IF(終値!A294="","",IF(AND(高値!AC294&gt;高値!AB294,高値!AC294&gt;高値!AA294,高値!AC294&gt;高値!AD294,高値!AC294&gt;高値!AE294),24,""))</f>
      </c>
      <c r="AZ294" s="684">
        <f>IF(終値!A294="","",IF(AND(高値!AD294&gt;高値!AC294,高値!AD294&gt;高値!AB294,高値!AD294&gt;高値!AE294,高値!AD294&gt;高値!AF294),25,""))</f>
      </c>
      <c r="BA294" s="684">
        <f>IF(終値!A294="","",IF(AND(高値!AE294&gt;高値!AD294,高値!AE294&gt;高値!AC294,高値!AE294&gt;高値!AF294,高値!AE294&gt;高値!AG294),26,""))</f>
      </c>
      <c r="BB294" s="684">
        <f>IF(終値!A294="","",IF(AND(高値!AF294&gt;高値!AE294,高値!AF294&gt;高値!AD294,高値!AF294&gt;高値!AG294,高値!AF294&gt;高値!AH294),27,""))</f>
      </c>
      <c r="BC294" s="684">
        <f>IF(終値!A294="","",IF(AND(高値!AG294&gt;高値!AF294,高値!AG294&gt;高値!AE294,高値!AG294&gt;高値!AH294,高値!AG294&gt;高値!AI294),28,""))</f>
      </c>
      <c r="BD294" s="684">
        <f>COUNT($B294:$AB294)</f>
      </c>
      <c r="BE294" s="684">
        <f>IF($BD294&gt;=2,MIN($B294:$AB294),"")</f>
      </c>
      <c r="BF294" s="684">
        <f>IF($BD294&gt;=2,SMALL($B294:$AB294,2),"")</f>
      </c>
      <c r="BG294" s="684">
        <f>IF($BE294="","",INDEX(安値!$E294:$CZ294,1,$BE294+1))</f>
      </c>
      <c r="BH294" s="684">
        <f>IF($BF294="","",INDEX(安値!$E294:$CZ294,1,$BF294+1))</f>
      </c>
      <c r="BI294" s="684">
        <f>IF($BF294="","",MAX(INDEX(高値!$E294:$CZ294,1,$BE294+1):INDEX(高値!$E294:$CZ294,1,$BF294+1)))</f>
      </c>
      <c r="BJ294" s="684">
        <f>IF($BF294="","",AVERAGE(INDEX(終値!$E294:$CZ294,1,$BF294+1):INDEX(終値!$E294:$CZ294,1,$BF294+20))-2*STDEVP(INDEX(終値!$E294:$CZ294,1,$BF294+1):INDEX(終値!$E294:$CZ294,1,$BF294+20)))</f>
      </c>
      <c r="BK294" s="684">
        <f>IF($BE294="","",AVERAGE(INDEX(終値!$E294:$CZ294,1,$BE294+1):INDEX(終値!$E294:$CZ294,1,$BE294+20))-2*STDEVP(INDEX(終値!$E294:$CZ294,1,$BE294+1):INDEX(終値!$E294:$CZ294,1,$BE294+20)))</f>
      </c>
      <c r="BL294" s="684">
        <f>COUNT($AC294:$BC294)</f>
      </c>
      <c r="BM294" s="684">
        <f>IF($BL294&gt;=2,MIN($AC294:$BC294),"")</f>
      </c>
      <c r="BN294" s="684">
        <f>IF($BL294&gt;=2,SMALL($AC294:$BC294,2),"")</f>
      </c>
      <c r="BO294" s="684">
        <f>IF($BM294="","",INDEX(高値!$E294:$CZ294,1,$BM294+1))</f>
      </c>
      <c r="BP294" s="684">
        <f>IF($BN294="","",INDEX(高値!$E294:$CZ294,1,$BN294+1))</f>
      </c>
      <c r="BQ294" s="684">
        <f>IF($BN294="","",MIN(INDEX(安値!$E294:$CZ294,1,$BM294+1):INDEX(安値!$E294:$CZ294,1,$BN294+1)))</f>
      </c>
      <c r="BR294" s="684">
        <f>IF($BN294="","",AVERAGE(INDEX(終値!$E294:$CZ294,1,$BN294+1):INDEX(終値!$E294:$CZ294,1,$BN294+20))+2*STDEVP(INDEX(終値!$E294:$CZ294,1,$BN294+1):INDEX(終値!$E294:$CZ294,1,$BN294+20)))</f>
      </c>
      <c r="BS294" s="684">
        <f>IF($BM294="","",AVERAGE(INDEX(終値!$E294:$CZ294,1,$BM294+1):INDEX(終値!$E294:$CZ294,1,$BM294+20))+2*STDEVP(INDEX(終値!$E294:$CZ294,1,$BM294+1):INDEX(終値!$E294:$CZ294,1,$BM294+20)))</f>
      </c>
      <c r="BT294" s="681">
        <f>IFERROR(IF(AND($BD294&gt;=2,ABS($BG294-$BH294)/$BH294&lt;=BB設定!$B$12,$BI294&gt;=MAX($BH294,$BG294)*(1+BB設定!$B$13),終値!E294&gt;$BG294),IF(OR(終値!E294&gt;=$BI294,AND($BH294&lt;$BJ294,$BG294&gt;=$BK294)),"二番底W▲","二番底W形成"),IF(AND($BL294&gt;=2,ABS($BO294-$BP294)/$BP294&lt;=BB設定!$B$12,$BQ294&lt;=MIN($BP294,$BO294)*(1-BB設定!$B$13),終値!E294&lt;$BO294),IF(OR(終値!E294&lt;=$BQ294,AND($BP294&gt;$BR294,$BO294&lt;=$BS294)),"二番天井M▼","二番天井M形成"),"－")),"－")</f>
      </c>
    </row>
    <row r="295">
      <c r="B295" s="684">
        <f>IF(終値!A295="","",IF(AND(安値!G295&lt;安値!F295,安値!G295&lt;安値!E295,安値!G295&lt;安値!H295,安値!G295&lt;安値!I295),2,""))</f>
      </c>
      <c r="C295" s="684">
        <f>IF(終値!A295="","",IF(AND(安値!H295&lt;安値!G295,安値!H295&lt;安値!F295,安値!H295&lt;安値!I295,安値!H295&lt;安値!J295),3,""))</f>
      </c>
      <c r="D295" s="684">
        <f>IF(終値!A295="","",IF(AND(安値!I295&lt;安値!H295,安値!I295&lt;安値!G295,安値!I295&lt;安値!J295,安値!I295&lt;安値!K295),4,""))</f>
      </c>
      <c r="E295" s="684">
        <f>IF(終値!A295="","",IF(AND(安値!J295&lt;安値!I295,安値!J295&lt;安値!H295,安値!J295&lt;安値!K295,安値!J295&lt;安値!L295),5,""))</f>
      </c>
      <c r="F295" s="684">
        <f>IF(終値!A295="","",IF(AND(安値!K295&lt;安値!J295,安値!K295&lt;安値!I295,安値!K295&lt;安値!L295,安値!K295&lt;安値!M295),6,""))</f>
      </c>
      <c r="G295" s="684">
        <f>IF(終値!A295="","",IF(AND(安値!L295&lt;安値!K295,安値!L295&lt;安値!J295,安値!L295&lt;安値!M295,安値!L295&lt;安値!N295),7,""))</f>
      </c>
      <c r="H295" s="684">
        <f>IF(終値!A295="","",IF(AND(安値!M295&lt;安値!L295,安値!M295&lt;安値!K295,安値!M295&lt;安値!N295,安値!M295&lt;安値!O295),8,""))</f>
      </c>
      <c r="I295" s="684">
        <f>IF(終値!A295="","",IF(AND(安値!N295&lt;安値!M295,安値!N295&lt;安値!L295,安値!N295&lt;安値!O295,安値!N295&lt;安値!P295),9,""))</f>
      </c>
      <c r="J295" s="684">
        <f>IF(終値!A295="","",IF(AND(安値!O295&lt;安値!N295,安値!O295&lt;安値!M295,安値!O295&lt;安値!P295,安値!O295&lt;安値!Q295),10,""))</f>
      </c>
      <c r="K295" s="684">
        <f>IF(終値!A295="","",IF(AND(安値!P295&lt;安値!O295,安値!P295&lt;安値!N295,安値!P295&lt;安値!Q295,安値!P295&lt;安値!R295),11,""))</f>
      </c>
      <c r="L295" s="684">
        <f>IF(終値!A295="","",IF(AND(安値!Q295&lt;安値!P295,安値!Q295&lt;安値!O295,安値!Q295&lt;安値!R295,安値!Q295&lt;安値!S295),12,""))</f>
      </c>
      <c r="M295" s="684">
        <f>IF(終値!A295="","",IF(AND(安値!R295&lt;安値!Q295,安値!R295&lt;安値!P295,安値!R295&lt;安値!S295,安値!R295&lt;安値!T295),13,""))</f>
      </c>
      <c r="N295" s="684">
        <f>IF(終値!A295="","",IF(AND(安値!S295&lt;安値!R295,安値!S295&lt;安値!Q295,安値!S295&lt;安値!T295,安値!S295&lt;安値!U295),14,""))</f>
      </c>
      <c r="O295" s="684">
        <f>IF(終値!A295="","",IF(AND(安値!T295&lt;安値!S295,安値!T295&lt;安値!R295,安値!T295&lt;安値!U295,安値!T295&lt;安値!V295),15,""))</f>
      </c>
      <c r="P295" s="684">
        <f>IF(終値!A295="","",IF(AND(安値!U295&lt;安値!T295,安値!U295&lt;安値!S295,安値!U295&lt;安値!V295,安値!U295&lt;安値!W295),16,""))</f>
      </c>
      <c r="Q295" s="684">
        <f>IF(終値!A295="","",IF(AND(安値!V295&lt;安値!U295,安値!V295&lt;安値!T295,安値!V295&lt;安値!W295,安値!V295&lt;安値!X295),17,""))</f>
      </c>
      <c r="R295" s="684">
        <f>IF(終値!A295="","",IF(AND(安値!W295&lt;安値!V295,安値!W295&lt;安値!U295,安値!W295&lt;安値!X295,安値!W295&lt;安値!Y295),18,""))</f>
      </c>
      <c r="S295" s="684">
        <f>IF(終値!A295="","",IF(AND(安値!X295&lt;安値!W295,安値!X295&lt;安値!V295,安値!X295&lt;安値!Y295,安値!X295&lt;安値!Z295),19,""))</f>
      </c>
      <c r="T295" s="684">
        <f>IF(終値!A295="","",IF(AND(安値!Y295&lt;安値!X295,安値!Y295&lt;安値!W295,安値!Y295&lt;安値!Z295,安値!Y295&lt;安値!AA295),20,""))</f>
      </c>
      <c r="U295" s="684">
        <f>IF(終値!A295="","",IF(AND(安値!Z295&lt;安値!Y295,安値!Z295&lt;安値!X295,安値!Z295&lt;安値!AA295,安値!Z295&lt;安値!AB295),21,""))</f>
      </c>
      <c r="V295" s="684">
        <f>IF(終値!A295="","",IF(AND(安値!AA295&lt;安値!Z295,安値!AA295&lt;安値!Y295,安値!AA295&lt;安値!AB295,安値!AA295&lt;安値!AC295),22,""))</f>
      </c>
      <c r="W295" s="684">
        <f>IF(終値!A295="","",IF(AND(安値!AB295&lt;安値!AA295,安値!AB295&lt;安値!Z295,安値!AB295&lt;安値!AC295,安値!AB295&lt;安値!AD295),23,""))</f>
      </c>
      <c r="X295" s="684">
        <f>IF(終値!A295="","",IF(AND(安値!AC295&lt;安値!AB295,安値!AC295&lt;安値!AA295,安値!AC295&lt;安値!AD295,安値!AC295&lt;安値!AE295),24,""))</f>
      </c>
      <c r="Y295" s="684">
        <f>IF(終値!A295="","",IF(AND(安値!AD295&lt;安値!AC295,安値!AD295&lt;安値!AB295,安値!AD295&lt;安値!AE295,安値!AD295&lt;安値!AF295),25,""))</f>
      </c>
      <c r="Z295" s="684">
        <f>IF(終値!A295="","",IF(AND(安値!AE295&lt;安値!AD295,安値!AE295&lt;安値!AC295,安値!AE295&lt;安値!AF295,安値!AE295&lt;安値!AG295),26,""))</f>
      </c>
      <c r="AA295" s="684">
        <f>IF(終値!A295="","",IF(AND(安値!AF295&lt;安値!AE295,安値!AF295&lt;安値!AD295,安値!AF295&lt;安値!AG295,安値!AF295&lt;安値!AH295),27,""))</f>
      </c>
      <c r="AB295" s="684">
        <f>IF(終値!A295="","",IF(AND(安値!AG295&lt;安値!AF295,安値!AG295&lt;安値!AE295,安値!AG295&lt;安値!AH295,安値!AG295&lt;安値!AI295),28,""))</f>
      </c>
      <c r="AC295" s="684">
        <f>IF(終値!A295="","",IF(AND(高値!G295&gt;高値!F295,高値!G295&gt;高値!E295,高値!G295&gt;高値!H295,高値!G295&gt;高値!I295),2,""))</f>
      </c>
      <c r="AD295" s="684">
        <f>IF(終値!A295="","",IF(AND(高値!H295&gt;高値!G295,高値!H295&gt;高値!F295,高値!H295&gt;高値!I295,高値!H295&gt;高値!J295),3,""))</f>
      </c>
      <c r="AE295" s="684">
        <f>IF(終値!A295="","",IF(AND(高値!I295&gt;高値!H295,高値!I295&gt;高値!G295,高値!I295&gt;高値!J295,高値!I295&gt;高値!K295),4,""))</f>
      </c>
      <c r="AF295" s="684">
        <f>IF(終値!A295="","",IF(AND(高値!J295&gt;高値!I295,高値!J295&gt;高値!H295,高値!J295&gt;高値!K295,高値!J295&gt;高値!L295),5,""))</f>
      </c>
      <c r="AG295" s="684">
        <f>IF(終値!A295="","",IF(AND(高値!K295&gt;高値!J295,高値!K295&gt;高値!I295,高値!K295&gt;高値!L295,高値!K295&gt;高値!M295),6,""))</f>
      </c>
      <c r="AH295" s="684">
        <f>IF(終値!A295="","",IF(AND(高値!L295&gt;高値!K295,高値!L295&gt;高値!J295,高値!L295&gt;高値!M295,高値!L295&gt;高値!N295),7,""))</f>
      </c>
      <c r="AI295" s="684">
        <f>IF(終値!A295="","",IF(AND(高値!M295&gt;高値!L295,高値!M295&gt;高値!K295,高値!M295&gt;高値!N295,高値!M295&gt;高値!O295),8,""))</f>
      </c>
      <c r="AJ295" s="684">
        <f>IF(終値!A295="","",IF(AND(高値!N295&gt;高値!M295,高値!N295&gt;高値!L295,高値!N295&gt;高値!O295,高値!N295&gt;高値!P295),9,""))</f>
      </c>
      <c r="AK295" s="684">
        <f>IF(終値!A295="","",IF(AND(高値!O295&gt;高値!N295,高値!O295&gt;高値!M295,高値!O295&gt;高値!P295,高値!O295&gt;高値!Q295),10,""))</f>
      </c>
      <c r="AL295" s="684">
        <f>IF(終値!A295="","",IF(AND(高値!P295&gt;高値!O295,高値!P295&gt;高値!N295,高値!P295&gt;高値!Q295,高値!P295&gt;高値!R295),11,""))</f>
      </c>
      <c r="AM295" s="684">
        <f>IF(終値!A295="","",IF(AND(高値!Q295&gt;高値!P295,高値!Q295&gt;高値!O295,高値!Q295&gt;高値!R295,高値!Q295&gt;高値!S295),12,""))</f>
      </c>
      <c r="AN295" s="684">
        <f>IF(終値!A295="","",IF(AND(高値!R295&gt;高値!Q295,高値!R295&gt;高値!P295,高値!R295&gt;高値!S295,高値!R295&gt;高値!T295),13,""))</f>
      </c>
      <c r="AO295" s="684">
        <f>IF(終値!A295="","",IF(AND(高値!S295&gt;高値!R295,高値!S295&gt;高値!Q295,高値!S295&gt;高値!T295,高値!S295&gt;高値!U295),14,""))</f>
      </c>
      <c r="AP295" s="684">
        <f>IF(終値!A295="","",IF(AND(高値!T295&gt;高値!S295,高値!T295&gt;高値!R295,高値!T295&gt;高値!U295,高値!T295&gt;高値!V295),15,""))</f>
      </c>
      <c r="AQ295" s="684">
        <f>IF(終値!A295="","",IF(AND(高値!U295&gt;高値!T295,高値!U295&gt;高値!S295,高値!U295&gt;高値!V295,高値!U295&gt;高値!W295),16,""))</f>
      </c>
      <c r="AR295" s="684">
        <f>IF(終値!A295="","",IF(AND(高値!V295&gt;高値!U295,高値!V295&gt;高値!T295,高値!V295&gt;高値!W295,高値!V295&gt;高値!X295),17,""))</f>
      </c>
      <c r="AS295" s="684">
        <f>IF(終値!A295="","",IF(AND(高値!W295&gt;高値!V295,高値!W295&gt;高値!U295,高値!W295&gt;高値!X295,高値!W295&gt;高値!Y295),18,""))</f>
      </c>
      <c r="AT295" s="684">
        <f>IF(終値!A295="","",IF(AND(高値!X295&gt;高値!W295,高値!X295&gt;高値!V295,高値!X295&gt;高値!Y295,高値!X295&gt;高値!Z295),19,""))</f>
      </c>
      <c r="AU295" s="684">
        <f>IF(終値!A295="","",IF(AND(高値!Y295&gt;高値!X295,高値!Y295&gt;高値!W295,高値!Y295&gt;高値!Z295,高値!Y295&gt;高値!AA295),20,""))</f>
      </c>
      <c r="AV295" s="684">
        <f>IF(終値!A295="","",IF(AND(高値!Z295&gt;高値!Y295,高値!Z295&gt;高値!X295,高値!Z295&gt;高値!AA295,高値!Z295&gt;高値!AB295),21,""))</f>
      </c>
      <c r="AW295" s="684">
        <f>IF(終値!A295="","",IF(AND(高値!AA295&gt;高値!Z295,高値!AA295&gt;高値!Y295,高値!AA295&gt;高値!AB295,高値!AA295&gt;高値!AC295),22,""))</f>
      </c>
      <c r="AX295" s="684">
        <f>IF(終値!A295="","",IF(AND(高値!AB295&gt;高値!AA295,高値!AB295&gt;高値!Z295,高値!AB295&gt;高値!AC295,高値!AB295&gt;高値!AD295),23,""))</f>
      </c>
      <c r="AY295" s="684">
        <f>IF(終値!A295="","",IF(AND(高値!AC295&gt;高値!AB295,高値!AC295&gt;高値!AA295,高値!AC295&gt;高値!AD295,高値!AC295&gt;高値!AE295),24,""))</f>
      </c>
      <c r="AZ295" s="684">
        <f>IF(終値!A295="","",IF(AND(高値!AD295&gt;高値!AC295,高値!AD295&gt;高値!AB295,高値!AD295&gt;高値!AE295,高値!AD295&gt;高値!AF295),25,""))</f>
      </c>
      <c r="BA295" s="684">
        <f>IF(終値!A295="","",IF(AND(高値!AE295&gt;高値!AD295,高値!AE295&gt;高値!AC295,高値!AE295&gt;高値!AF295,高値!AE295&gt;高値!AG295),26,""))</f>
      </c>
      <c r="BB295" s="684">
        <f>IF(終値!A295="","",IF(AND(高値!AF295&gt;高値!AE295,高値!AF295&gt;高値!AD295,高値!AF295&gt;高値!AG295,高値!AF295&gt;高値!AH295),27,""))</f>
      </c>
      <c r="BC295" s="684">
        <f>IF(終値!A295="","",IF(AND(高値!AG295&gt;高値!AF295,高値!AG295&gt;高値!AE295,高値!AG295&gt;高値!AH295,高値!AG295&gt;高値!AI295),28,""))</f>
      </c>
      <c r="BD295" s="684">
        <f>COUNT($B295:$AB295)</f>
      </c>
      <c r="BE295" s="684">
        <f>IF($BD295&gt;=2,MIN($B295:$AB295),"")</f>
      </c>
      <c r="BF295" s="684">
        <f>IF($BD295&gt;=2,SMALL($B295:$AB295,2),"")</f>
      </c>
      <c r="BG295" s="684">
        <f>IF($BE295="","",INDEX(安値!$E295:$CZ295,1,$BE295+1))</f>
      </c>
      <c r="BH295" s="684">
        <f>IF($BF295="","",INDEX(安値!$E295:$CZ295,1,$BF295+1))</f>
      </c>
      <c r="BI295" s="684">
        <f>IF($BF295="","",MAX(INDEX(高値!$E295:$CZ295,1,$BE295+1):INDEX(高値!$E295:$CZ295,1,$BF295+1)))</f>
      </c>
      <c r="BJ295" s="684">
        <f>IF($BF295="","",AVERAGE(INDEX(終値!$E295:$CZ295,1,$BF295+1):INDEX(終値!$E295:$CZ295,1,$BF295+20))-2*STDEVP(INDEX(終値!$E295:$CZ295,1,$BF295+1):INDEX(終値!$E295:$CZ295,1,$BF295+20)))</f>
      </c>
      <c r="BK295" s="684">
        <f>IF($BE295="","",AVERAGE(INDEX(終値!$E295:$CZ295,1,$BE295+1):INDEX(終値!$E295:$CZ295,1,$BE295+20))-2*STDEVP(INDEX(終値!$E295:$CZ295,1,$BE295+1):INDEX(終値!$E295:$CZ295,1,$BE295+20)))</f>
      </c>
      <c r="BL295" s="684">
        <f>COUNT($AC295:$BC295)</f>
      </c>
      <c r="BM295" s="684">
        <f>IF($BL295&gt;=2,MIN($AC295:$BC295),"")</f>
      </c>
      <c r="BN295" s="684">
        <f>IF($BL295&gt;=2,SMALL($AC295:$BC295,2),"")</f>
      </c>
      <c r="BO295" s="684">
        <f>IF($BM295="","",INDEX(高値!$E295:$CZ295,1,$BM295+1))</f>
      </c>
      <c r="BP295" s="684">
        <f>IF($BN295="","",INDEX(高値!$E295:$CZ295,1,$BN295+1))</f>
      </c>
      <c r="BQ295" s="684">
        <f>IF($BN295="","",MIN(INDEX(安値!$E295:$CZ295,1,$BM295+1):INDEX(安値!$E295:$CZ295,1,$BN295+1)))</f>
      </c>
      <c r="BR295" s="684">
        <f>IF($BN295="","",AVERAGE(INDEX(終値!$E295:$CZ295,1,$BN295+1):INDEX(終値!$E295:$CZ295,1,$BN295+20))+2*STDEVP(INDEX(終値!$E295:$CZ295,1,$BN295+1):INDEX(終値!$E295:$CZ295,1,$BN295+20)))</f>
      </c>
      <c r="BS295" s="684">
        <f>IF($BM295="","",AVERAGE(INDEX(終値!$E295:$CZ295,1,$BM295+1):INDEX(終値!$E295:$CZ295,1,$BM295+20))+2*STDEVP(INDEX(終値!$E295:$CZ295,1,$BM295+1):INDEX(終値!$E295:$CZ295,1,$BM295+20)))</f>
      </c>
      <c r="BT295" s="681">
        <f>IFERROR(IF(AND($BD295&gt;=2,ABS($BG295-$BH295)/$BH295&lt;=BB設定!$B$12,$BI295&gt;=MAX($BH295,$BG295)*(1+BB設定!$B$13),終値!E295&gt;$BG295),IF(OR(終値!E295&gt;=$BI295,AND($BH295&lt;$BJ295,$BG295&gt;=$BK295)),"二番底W▲","二番底W形成"),IF(AND($BL295&gt;=2,ABS($BO295-$BP295)/$BP295&lt;=BB設定!$B$12,$BQ295&lt;=MIN($BP295,$BO295)*(1-BB設定!$B$13),終値!E295&lt;$BO295),IF(OR(終値!E295&lt;=$BQ295,AND($BP295&gt;$BR295,$BO295&lt;=$BS295)),"二番天井M▼","二番天井M形成"),"－")),"－")</f>
      </c>
    </row>
    <row r="296">
      <c r="B296" s="684">
        <f>IF(終値!A296="","",IF(AND(安値!G296&lt;安値!F296,安値!G296&lt;安値!E296,安値!G296&lt;安値!H296,安値!G296&lt;安値!I296),2,""))</f>
      </c>
      <c r="C296" s="684">
        <f>IF(終値!A296="","",IF(AND(安値!H296&lt;安値!G296,安値!H296&lt;安値!F296,安値!H296&lt;安値!I296,安値!H296&lt;安値!J296),3,""))</f>
      </c>
      <c r="D296" s="684">
        <f>IF(終値!A296="","",IF(AND(安値!I296&lt;安値!H296,安値!I296&lt;安値!G296,安値!I296&lt;安値!J296,安値!I296&lt;安値!K296),4,""))</f>
      </c>
      <c r="E296" s="684">
        <f>IF(終値!A296="","",IF(AND(安値!J296&lt;安値!I296,安値!J296&lt;安値!H296,安値!J296&lt;安値!K296,安値!J296&lt;安値!L296),5,""))</f>
      </c>
      <c r="F296" s="684">
        <f>IF(終値!A296="","",IF(AND(安値!K296&lt;安値!J296,安値!K296&lt;安値!I296,安値!K296&lt;安値!L296,安値!K296&lt;安値!M296),6,""))</f>
      </c>
      <c r="G296" s="684">
        <f>IF(終値!A296="","",IF(AND(安値!L296&lt;安値!K296,安値!L296&lt;安値!J296,安値!L296&lt;安値!M296,安値!L296&lt;安値!N296),7,""))</f>
      </c>
      <c r="H296" s="684">
        <f>IF(終値!A296="","",IF(AND(安値!M296&lt;安値!L296,安値!M296&lt;安値!K296,安値!M296&lt;安値!N296,安値!M296&lt;安値!O296),8,""))</f>
      </c>
      <c r="I296" s="684">
        <f>IF(終値!A296="","",IF(AND(安値!N296&lt;安値!M296,安値!N296&lt;安値!L296,安値!N296&lt;安値!O296,安値!N296&lt;安値!P296),9,""))</f>
      </c>
      <c r="J296" s="684">
        <f>IF(終値!A296="","",IF(AND(安値!O296&lt;安値!N296,安値!O296&lt;安値!M296,安値!O296&lt;安値!P296,安値!O296&lt;安値!Q296),10,""))</f>
      </c>
      <c r="K296" s="684">
        <f>IF(終値!A296="","",IF(AND(安値!P296&lt;安値!O296,安値!P296&lt;安値!N296,安値!P296&lt;安値!Q296,安値!P296&lt;安値!R296),11,""))</f>
      </c>
      <c r="L296" s="684">
        <f>IF(終値!A296="","",IF(AND(安値!Q296&lt;安値!P296,安値!Q296&lt;安値!O296,安値!Q296&lt;安値!R296,安値!Q296&lt;安値!S296),12,""))</f>
      </c>
      <c r="M296" s="684">
        <f>IF(終値!A296="","",IF(AND(安値!R296&lt;安値!Q296,安値!R296&lt;安値!P296,安値!R296&lt;安値!S296,安値!R296&lt;安値!T296),13,""))</f>
      </c>
      <c r="N296" s="684">
        <f>IF(終値!A296="","",IF(AND(安値!S296&lt;安値!R296,安値!S296&lt;安値!Q296,安値!S296&lt;安値!T296,安値!S296&lt;安値!U296),14,""))</f>
      </c>
      <c r="O296" s="684">
        <f>IF(終値!A296="","",IF(AND(安値!T296&lt;安値!S296,安値!T296&lt;安値!R296,安値!T296&lt;安値!U296,安値!T296&lt;安値!V296),15,""))</f>
      </c>
      <c r="P296" s="684">
        <f>IF(終値!A296="","",IF(AND(安値!U296&lt;安値!T296,安値!U296&lt;安値!S296,安値!U296&lt;安値!V296,安値!U296&lt;安値!W296),16,""))</f>
      </c>
      <c r="Q296" s="684">
        <f>IF(終値!A296="","",IF(AND(安値!V296&lt;安値!U296,安値!V296&lt;安値!T296,安値!V296&lt;安値!W296,安値!V296&lt;安値!X296),17,""))</f>
      </c>
      <c r="R296" s="684">
        <f>IF(終値!A296="","",IF(AND(安値!W296&lt;安値!V296,安値!W296&lt;安値!U296,安値!W296&lt;安値!X296,安値!W296&lt;安値!Y296),18,""))</f>
      </c>
      <c r="S296" s="684">
        <f>IF(終値!A296="","",IF(AND(安値!X296&lt;安値!W296,安値!X296&lt;安値!V296,安値!X296&lt;安値!Y296,安値!X296&lt;安値!Z296),19,""))</f>
      </c>
      <c r="T296" s="684">
        <f>IF(終値!A296="","",IF(AND(安値!Y296&lt;安値!X296,安値!Y296&lt;安値!W296,安値!Y296&lt;安値!Z296,安値!Y296&lt;安値!AA296),20,""))</f>
      </c>
      <c r="U296" s="684">
        <f>IF(終値!A296="","",IF(AND(安値!Z296&lt;安値!Y296,安値!Z296&lt;安値!X296,安値!Z296&lt;安値!AA296,安値!Z296&lt;安値!AB296),21,""))</f>
      </c>
      <c r="V296" s="684">
        <f>IF(終値!A296="","",IF(AND(安値!AA296&lt;安値!Z296,安値!AA296&lt;安値!Y296,安値!AA296&lt;安値!AB296,安値!AA296&lt;安値!AC296),22,""))</f>
      </c>
      <c r="W296" s="684">
        <f>IF(終値!A296="","",IF(AND(安値!AB296&lt;安値!AA296,安値!AB296&lt;安値!Z296,安値!AB296&lt;安値!AC296,安値!AB296&lt;安値!AD296),23,""))</f>
      </c>
      <c r="X296" s="684">
        <f>IF(終値!A296="","",IF(AND(安値!AC296&lt;安値!AB296,安値!AC296&lt;安値!AA296,安値!AC296&lt;安値!AD296,安値!AC296&lt;安値!AE296),24,""))</f>
      </c>
      <c r="Y296" s="684">
        <f>IF(終値!A296="","",IF(AND(安値!AD296&lt;安値!AC296,安値!AD296&lt;安値!AB296,安値!AD296&lt;安値!AE296,安値!AD296&lt;安値!AF296),25,""))</f>
      </c>
      <c r="Z296" s="684">
        <f>IF(終値!A296="","",IF(AND(安値!AE296&lt;安値!AD296,安値!AE296&lt;安値!AC296,安値!AE296&lt;安値!AF296,安値!AE296&lt;安値!AG296),26,""))</f>
      </c>
      <c r="AA296" s="684">
        <f>IF(終値!A296="","",IF(AND(安値!AF296&lt;安値!AE296,安値!AF296&lt;安値!AD296,安値!AF296&lt;安値!AG296,安値!AF296&lt;安値!AH296),27,""))</f>
      </c>
      <c r="AB296" s="684">
        <f>IF(終値!A296="","",IF(AND(安値!AG296&lt;安値!AF296,安値!AG296&lt;安値!AE296,安値!AG296&lt;安値!AH296,安値!AG296&lt;安値!AI296),28,""))</f>
      </c>
      <c r="AC296" s="684">
        <f>IF(終値!A296="","",IF(AND(高値!G296&gt;高値!F296,高値!G296&gt;高値!E296,高値!G296&gt;高値!H296,高値!G296&gt;高値!I296),2,""))</f>
      </c>
      <c r="AD296" s="684">
        <f>IF(終値!A296="","",IF(AND(高値!H296&gt;高値!G296,高値!H296&gt;高値!F296,高値!H296&gt;高値!I296,高値!H296&gt;高値!J296),3,""))</f>
      </c>
      <c r="AE296" s="684">
        <f>IF(終値!A296="","",IF(AND(高値!I296&gt;高値!H296,高値!I296&gt;高値!G296,高値!I296&gt;高値!J296,高値!I296&gt;高値!K296),4,""))</f>
      </c>
      <c r="AF296" s="684">
        <f>IF(終値!A296="","",IF(AND(高値!J296&gt;高値!I296,高値!J296&gt;高値!H296,高値!J296&gt;高値!K296,高値!J296&gt;高値!L296),5,""))</f>
      </c>
      <c r="AG296" s="684">
        <f>IF(終値!A296="","",IF(AND(高値!K296&gt;高値!J296,高値!K296&gt;高値!I296,高値!K296&gt;高値!L296,高値!K296&gt;高値!M296),6,""))</f>
      </c>
      <c r="AH296" s="684">
        <f>IF(終値!A296="","",IF(AND(高値!L296&gt;高値!K296,高値!L296&gt;高値!J296,高値!L296&gt;高値!M296,高値!L296&gt;高値!N296),7,""))</f>
      </c>
      <c r="AI296" s="684">
        <f>IF(終値!A296="","",IF(AND(高値!M296&gt;高値!L296,高値!M296&gt;高値!K296,高値!M296&gt;高値!N296,高値!M296&gt;高値!O296),8,""))</f>
      </c>
      <c r="AJ296" s="684">
        <f>IF(終値!A296="","",IF(AND(高値!N296&gt;高値!M296,高値!N296&gt;高値!L296,高値!N296&gt;高値!O296,高値!N296&gt;高値!P296),9,""))</f>
      </c>
      <c r="AK296" s="684">
        <f>IF(終値!A296="","",IF(AND(高値!O296&gt;高値!N296,高値!O296&gt;高値!M296,高値!O296&gt;高値!P296,高値!O296&gt;高値!Q296),10,""))</f>
      </c>
      <c r="AL296" s="684">
        <f>IF(終値!A296="","",IF(AND(高値!P296&gt;高値!O296,高値!P296&gt;高値!N296,高値!P296&gt;高値!Q296,高値!P296&gt;高値!R296),11,""))</f>
      </c>
      <c r="AM296" s="684">
        <f>IF(終値!A296="","",IF(AND(高値!Q296&gt;高値!P296,高値!Q296&gt;高値!O296,高値!Q296&gt;高値!R296,高値!Q296&gt;高値!S296),12,""))</f>
      </c>
      <c r="AN296" s="684">
        <f>IF(終値!A296="","",IF(AND(高値!R296&gt;高値!Q296,高値!R296&gt;高値!P296,高値!R296&gt;高値!S296,高値!R296&gt;高値!T296),13,""))</f>
      </c>
      <c r="AO296" s="684">
        <f>IF(終値!A296="","",IF(AND(高値!S296&gt;高値!R296,高値!S296&gt;高値!Q296,高値!S296&gt;高値!T296,高値!S296&gt;高値!U296),14,""))</f>
      </c>
      <c r="AP296" s="684">
        <f>IF(終値!A296="","",IF(AND(高値!T296&gt;高値!S296,高値!T296&gt;高値!R296,高値!T296&gt;高値!U296,高値!T296&gt;高値!V296),15,""))</f>
      </c>
      <c r="AQ296" s="684">
        <f>IF(終値!A296="","",IF(AND(高値!U296&gt;高値!T296,高値!U296&gt;高値!S296,高値!U296&gt;高値!V296,高値!U296&gt;高値!W296),16,""))</f>
      </c>
      <c r="AR296" s="684">
        <f>IF(終値!A296="","",IF(AND(高値!V296&gt;高値!U296,高値!V296&gt;高値!T296,高値!V296&gt;高値!W296,高値!V296&gt;高値!X296),17,""))</f>
      </c>
      <c r="AS296" s="684">
        <f>IF(終値!A296="","",IF(AND(高値!W296&gt;高値!V296,高値!W296&gt;高値!U296,高値!W296&gt;高値!X296,高値!W296&gt;高値!Y296),18,""))</f>
      </c>
      <c r="AT296" s="684">
        <f>IF(終値!A296="","",IF(AND(高値!X296&gt;高値!W296,高値!X296&gt;高値!V296,高値!X296&gt;高値!Y296,高値!X296&gt;高値!Z296),19,""))</f>
      </c>
      <c r="AU296" s="684">
        <f>IF(終値!A296="","",IF(AND(高値!Y296&gt;高値!X296,高値!Y296&gt;高値!W296,高値!Y296&gt;高値!Z296,高値!Y296&gt;高値!AA296),20,""))</f>
      </c>
      <c r="AV296" s="684">
        <f>IF(終値!A296="","",IF(AND(高値!Z296&gt;高値!Y296,高値!Z296&gt;高値!X296,高値!Z296&gt;高値!AA296,高値!Z296&gt;高値!AB296),21,""))</f>
      </c>
      <c r="AW296" s="684">
        <f>IF(終値!A296="","",IF(AND(高値!AA296&gt;高値!Z296,高値!AA296&gt;高値!Y296,高値!AA296&gt;高値!AB296,高値!AA296&gt;高値!AC296),22,""))</f>
      </c>
      <c r="AX296" s="684">
        <f>IF(終値!A296="","",IF(AND(高値!AB296&gt;高値!AA296,高値!AB296&gt;高値!Z296,高値!AB296&gt;高値!AC296,高値!AB296&gt;高値!AD296),23,""))</f>
      </c>
      <c r="AY296" s="684">
        <f>IF(終値!A296="","",IF(AND(高値!AC296&gt;高値!AB296,高値!AC296&gt;高値!AA296,高値!AC296&gt;高値!AD296,高値!AC296&gt;高値!AE296),24,""))</f>
      </c>
      <c r="AZ296" s="684">
        <f>IF(終値!A296="","",IF(AND(高値!AD296&gt;高値!AC296,高値!AD296&gt;高値!AB296,高値!AD296&gt;高値!AE296,高値!AD296&gt;高値!AF296),25,""))</f>
      </c>
      <c r="BA296" s="684">
        <f>IF(終値!A296="","",IF(AND(高値!AE296&gt;高値!AD296,高値!AE296&gt;高値!AC296,高値!AE296&gt;高値!AF296,高値!AE296&gt;高値!AG296),26,""))</f>
      </c>
      <c r="BB296" s="684">
        <f>IF(終値!A296="","",IF(AND(高値!AF296&gt;高値!AE296,高値!AF296&gt;高値!AD296,高値!AF296&gt;高値!AG296,高値!AF296&gt;高値!AH296),27,""))</f>
      </c>
      <c r="BC296" s="684">
        <f>IF(終値!A296="","",IF(AND(高値!AG296&gt;高値!AF296,高値!AG296&gt;高値!AE296,高値!AG296&gt;高値!AH296,高値!AG296&gt;高値!AI296),28,""))</f>
      </c>
      <c r="BD296" s="684">
        <f>COUNT($B296:$AB296)</f>
      </c>
      <c r="BE296" s="684">
        <f>IF($BD296&gt;=2,MIN($B296:$AB296),"")</f>
      </c>
      <c r="BF296" s="684">
        <f>IF($BD296&gt;=2,SMALL($B296:$AB296,2),"")</f>
      </c>
      <c r="BG296" s="684">
        <f>IF($BE296="","",INDEX(安値!$E296:$CZ296,1,$BE296+1))</f>
      </c>
      <c r="BH296" s="684">
        <f>IF($BF296="","",INDEX(安値!$E296:$CZ296,1,$BF296+1))</f>
      </c>
      <c r="BI296" s="684">
        <f>IF($BF296="","",MAX(INDEX(高値!$E296:$CZ296,1,$BE296+1):INDEX(高値!$E296:$CZ296,1,$BF296+1)))</f>
      </c>
      <c r="BJ296" s="684">
        <f>IF($BF296="","",AVERAGE(INDEX(終値!$E296:$CZ296,1,$BF296+1):INDEX(終値!$E296:$CZ296,1,$BF296+20))-2*STDEVP(INDEX(終値!$E296:$CZ296,1,$BF296+1):INDEX(終値!$E296:$CZ296,1,$BF296+20)))</f>
      </c>
      <c r="BK296" s="684">
        <f>IF($BE296="","",AVERAGE(INDEX(終値!$E296:$CZ296,1,$BE296+1):INDEX(終値!$E296:$CZ296,1,$BE296+20))-2*STDEVP(INDEX(終値!$E296:$CZ296,1,$BE296+1):INDEX(終値!$E296:$CZ296,1,$BE296+20)))</f>
      </c>
      <c r="BL296" s="684">
        <f>COUNT($AC296:$BC296)</f>
      </c>
      <c r="BM296" s="684">
        <f>IF($BL296&gt;=2,MIN($AC296:$BC296),"")</f>
      </c>
      <c r="BN296" s="684">
        <f>IF($BL296&gt;=2,SMALL($AC296:$BC296,2),"")</f>
      </c>
      <c r="BO296" s="684">
        <f>IF($BM296="","",INDEX(高値!$E296:$CZ296,1,$BM296+1))</f>
      </c>
      <c r="BP296" s="684">
        <f>IF($BN296="","",INDEX(高値!$E296:$CZ296,1,$BN296+1))</f>
      </c>
      <c r="BQ296" s="684">
        <f>IF($BN296="","",MIN(INDEX(安値!$E296:$CZ296,1,$BM296+1):INDEX(安値!$E296:$CZ296,1,$BN296+1)))</f>
      </c>
      <c r="BR296" s="684">
        <f>IF($BN296="","",AVERAGE(INDEX(終値!$E296:$CZ296,1,$BN296+1):INDEX(終値!$E296:$CZ296,1,$BN296+20))+2*STDEVP(INDEX(終値!$E296:$CZ296,1,$BN296+1):INDEX(終値!$E296:$CZ296,1,$BN296+20)))</f>
      </c>
      <c r="BS296" s="684">
        <f>IF($BM296="","",AVERAGE(INDEX(終値!$E296:$CZ296,1,$BM296+1):INDEX(終値!$E296:$CZ296,1,$BM296+20))+2*STDEVP(INDEX(終値!$E296:$CZ296,1,$BM296+1):INDEX(終値!$E296:$CZ296,1,$BM296+20)))</f>
      </c>
      <c r="BT296" s="681">
        <f>IFERROR(IF(AND($BD296&gt;=2,ABS($BG296-$BH296)/$BH296&lt;=BB設定!$B$12,$BI296&gt;=MAX($BH296,$BG296)*(1+BB設定!$B$13),終値!E296&gt;$BG296),IF(OR(終値!E296&gt;=$BI296,AND($BH296&lt;$BJ296,$BG296&gt;=$BK296)),"二番底W▲","二番底W形成"),IF(AND($BL296&gt;=2,ABS($BO296-$BP296)/$BP296&lt;=BB設定!$B$12,$BQ296&lt;=MIN($BP296,$BO296)*(1-BB設定!$B$13),終値!E296&lt;$BO296),IF(OR(終値!E296&lt;=$BQ296,AND($BP296&gt;$BR296,$BO296&lt;=$BS296)),"二番天井M▼","二番天井M形成"),"－")),"－")</f>
      </c>
    </row>
    <row r="297">
      <c r="B297" s="684">
        <f>IF(終値!A297="","",IF(AND(安値!G297&lt;安値!F297,安値!G297&lt;安値!E297,安値!G297&lt;安値!H297,安値!G297&lt;安値!I297),2,""))</f>
      </c>
      <c r="C297" s="684">
        <f>IF(終値!A297="","",IF(AND(安値!H297&lt;安値!G297,安値!H297&lt;安値!F297,安値!H297&lt;安値!I297,安値!H297&lt;安値!J297),3,""))</f>
      </c>
      <c r="D297" s="684">
        <f>IF(終値!A297="","",IF(AND(安値!I297&lt;安値!H297,安値!I297&lt;安値!G297,安値!I297&lt;安値!J297,安値!I297&lt;安値!K297),4,""))</f>
      </c>
      <c r="E297" s="684">
        <f>IF(終値!A297="","",IF(AND(安値!J297&lt;安値!I297,安値!J297&lt;安値!H297,安値!J297&lt;安値!K297,安値!J297&lt;安値!L297),5,""))</f>
      </c>
      <c r="F297" s="684">
        <f>IF(終値!A297="","",IF(AND(安値!K297&lt;安値!J297,安値!K297&lt;安値!I297,安値!K297&lt;安値!L297,安値!K297&lt;安値!M297),6,""))</f>
      </c>
      <c r="G297" s="684">
        <f>IF(終値!A297="","",IF(AND(安値!L297&lt;安値!K297,安値!L297&lt;安値!J297,安値!L297&lt;安値!M297,安値!L297&lt;安値!N297),7,""))</f>
      </c>
      <c r="H297" s="684">
        <f>IF(終値!A297="","",IF(AND(安値!M297&lt;安値!L297,安値!M297&lt;安値!K297,安値!M297&lt;安値!N297,安値!M297&lt;安値!O297),8,""))</f>
      </c>
      <c r="I297" s="684">
        <f>IF(終値!A297="","",IF(AND(安値!N297&lt;安値!M297,安値!N297&lt;安値!L297,安値!N297&lt;安値!O297,安値!N297&lt;安値!P297),9,""))</f>
      </c>
      <c r="J297" s="684">
        <f>IF(終値!A297="","",IF(AND(安値!O297&lt;安値!N297,安値!O297&lt;安値!M297,安値!O297&lt;安値!P297,安値!O297&lt;安値!Q297),10,""))</f>
      </c>
      <c r="K297" s="684">
        <f>IF(終値!A297="","",IF(AND(安値!P297&lt;安値!O297,安値!P297&lt;安値!N297,安値!P297&lt;安値!Q297,安値!P297&lt;安値!R297),11,""))</f>
      </c>
      <c r="L297" s="684">
        <f>IF(終値!A297="","",IF(AND(安値!Q297&lt;安値!P297,安値!Q297&lt;安値!O297,安値!Q297&lt;安値!R297,安値!Q297&lt;安値!S297),12,""))</f>
      </c>
      <c r="M297" s="684">
        <f>IF(終値!A297="","",IF(AND(安値!R297&lt;安値!Q297,安値!R297&lt;安値!P297,安値!R297&lt;安値!S297,安値!R297&lt;安値!T297),13,""))</f>
      </c>
      <c r="N297" s="684">
        <f>IF(終値!A297="","",IF(AND(安値!S297&lt;安値!R297,安値!S297&lt;安値!Q297,安値!S297&lt;安値!T297,安値!S297&lt;安値!U297),14,""))</f>
      </c>
      <c r="O297" s="684">
        <f>IF(終値!A297="","",IF(AND(安値!T297&lt;安値!S297,安値!T297&lt;安値!R297,安値!T297&lt;安値!U297,安値!T297&lt;安値!V297),15,""))</f>
      </c>
      <c r="P297" s="684">
        <f>IF(終値!A297="","",IF(AND(安値!U297&lt;安値!T297,安値!U297&lt;安値!S297,安値!U297&lt;安値!V297,安値!U297&lt;安値!W297),16,""))</f>
      </c>
      <c r="Q297" s="684">
        <f>IF(終値!A297="","",IF(AND(安値!V297&lt;安値!U297,安値!V297&lt;安値!T297,安値!V297&lt;安値!W297,安値!V297&lt;安値!X297),17,""))</f>
      </c>
      <c r="R297" s="684">
        <f>IF(終値!A297="","",IF(AND(安値!W297&lt;安値!V297,安値!W297&lt;安値!U297,安値!W297&lt;安値!X297,安値!W297&lt;安値!Y297),18,""))</f>
      </c>
      <c r="S297" s="684">
        <f>IF(終値!A297="","",IF(AND(安値!X297&lt;安値!W297,安値!X297&lt;安値!V297,安値!X297&lt;安値!Y297,安値!X297&lt;安値!Z297),19,""))</f>
      </c>
      <c r="T297" s="684">
        <f>IF(終値!A297="","",IF(AND(安値!Y297&lt;安値!X297,安値!Y297&lt;安値!W297,安値!Y297&lt;安値!Z297,安値!Y297&lt;安値!AA297),20,""))</f>
      </c>
      <c r="U297" s="684">
        <f>IF(終値!A297="","",IF(AND(安値!Z297&lt;安値!Y297,安値!Z297&lt;安値!X297,安値!Z297&lt;安値!AA297,安値!Z297&lt;安値!AB297),21,""))</f>
      </c>
      <c r="V297" s="684">
        <f>IF(終値!A297="","",IF(AND(安値!AA297&lt;安値!Z297,安値!AA297&lt;安値!Y297,安値!AA297&lt;安値!AB297,安値!AA297&lt;安値!AC297),22,""))</f>
      </c>
      <c r="W297" s="684">
        <f>IF(終値!A297="","",IF(AND(安値!AB297&lt;安値!AA297,安値!AB297&lt;安値!Z297,安値!AB297&lt;安値!AC297,安値!AB297&lt;安値!AD297),23,""))</f>
      </c>
      <c r="X297" s="684">
        <f>IF(終値!A297="","",IF(AND(安値!AC297&lt;安値!AB297,安値!AC297&lt;安値!AA297,安値!AC297&lt;安値!AD297,安値!AC297&lt;安値!AE297),24,""))</f>
      </c>
      <c r="Y297" s="684">
        <f>IF(終値!A297="","",IF(AND(安値!AD297&lt;安値!AC297,安値!AD297&lt;安値!AB297,安値!AD297&lt;安値!AE297,安値!AD297&lt;安値!AF297),25,""))</f>
      </c>
      <c r="Z297" s="684">
        <f>IF(終値!A297="","",IF(AND(安値!AE297&lt;安値!AD297,安値!AE297&lt;安値!AC297,安値!AE297&lt;安値!AF297,安値!AE297&lt;安値!AG297),26,""))</f>
      </c>
      <c r="AA297" s="684">
        <f>IF(終値!A297="","",IF(AND(安値!AF297&lt;安値!AE297,安値!AF297&lt;安値!AD297,安値!AF297&lt;安値!AG297,安値!AF297&lt;安値!AH297),27,""))</f>
      </c>
      <c r="AB297" s="684">
        <f>IF(終値!A297="","",IF(AND(安値!AG297&lt;安値!AF297,安値!AG297&lt;安値!AE297,安値!AG297&lt;安値!AH297,安値!AG297&lt;安値!AI297),28,""))</f>
      </c>
      <c r="AC297" s="684">
        <f>IF(終値!A297="","",IF(AND(高値!G297&gt;高値!F297,高値!G297&gt;高値!E297,高値!G297&gt;高値!H297,高値!G297&gt;高値!I297),2,""))</f>
      </c>
      <c r="AD297" s="684">
        <f>IF(終値!A297="","",IF(AND(高値!H297&gt;高値!G297,高値!H297&gt;高値!F297,高値!H297&gt;高値!I297,高値!H297&gt;高値!J297),3,""))</f>
      </c>
      <c r="AE297" s="684">
        <f>IF(終値!A297="","",IF(AND(高値!I297&gt;高値!H297,高値!I297&gt;高値!G297,高値!I297&gt;高値!J297,高値!I297&gt;高値!K297),4,""))</f>
      </c>
      <c r="AF297" s="684">
        <f>IF(終値!A297="","",IF(AND(高値!J297&gt;高値!I297,高値!J297&gt;高値!H297,高値!J297&gt;高値!K297,高値!J297&gt;高値!L297),5,""))</f>
      </c>
      <c r="AG297" s="684">
        <f>IF(終値!A297="","",IF(AND(高値!K297&gt;高値!J297,高値!K297&gt;高値!I297,高値!K297&gt;高値!L297,高値!K297&gt;高値!M297),6,""))</f>
      </c>
      <c r="AH297" s="684">
        <f>IF(終値!A297="","",IF(AND(高値!L297&gt;高値!K297,高値!L297&gt;高値!J297,高値!L297&gt;高値!M297,高値!L297&gt;高値!N297),7,""))</f>
      </c>
      <c r="AI297" s="684">
        <f>IF(終値!A297="","",IF(AND(高値!M297&gt;高値!L297,高値!M297&gt;高値!K297,高値!M297&gt;高値!N297,高値!M297&gt;高値!O297),8,""))</f>
      </c>
      <c r="AJ297" s="684">
        <f>IF(終値!A297="","",IF(AND(高値!N297&gt;高値!M297,高値!N297&gt;高値!L297,高値!N297&gt;高値!O297,高値!N297&gt;高値!P297),9,""))</f>
      </c>
      <c r="AK297" s="684">
        <f>IF(終値!A297="","",IF(AND(高値!O297&gt;高値!N297,高値!O297&gt;高値!M297,高値!O297&gt;高値!P297,高値!O297&gt;高値!Q297),10,""))</f>
      </c>
      <c r="AL297" s="684">
        <f>IF(終値!A297="","",IF(AND(高値!P297&gt;高値!O297,高値!P297&gt;高値!N297,高値!P297&gt;高値!Q297,高値!P297&gt;高値!R297),11,""))</f>
      </c>
      <c r="AM297" s="684">
        <f>IF(終値!A297="","",IF(AND(高値!Q297&gt;高値!P297,高値!Q297&gt;高値!O297,高値!Q297&gt;高値!R297,高値!Q297&gt;高値!S297),12,""))</f>
      </c>
      <c r="AN297" s="684">
        <f>IF(終値!A297="","",IF(AND(高値!R297&gt;高値!Q297,高値!R297&gt;高値!P297,高値!R297&gt;高値!S297,高値!R297&gt;高値!T297),13,""))</f>
      </c>
      <c r="AO297" s="684">
        <f>IF(終値!A297="","",IF(AND(高値!S297&gt;高値!R297,高値!S297&gt;高値!Q297,高値!S297&gt;高値!T297,高値!S297&gt;高値!U297),14,""))</f>
      </c>
      <c r="AP297" s="684">
        <f>IF(終値!A297="","",IF(AND(高値!T297&gt;高値!S297,高値!T297&gt;高値!R297,高値!T297&gt;高値!U297,高値!T297&gt;高値!V297),15,""))</f>
      </c>
      <c r="AQ297" s="684">
        <f>IF(終値!A297="","",IF(AND(高値!U297&gt;高値!T297,高値!U297&gt;高値!S297,高値!U297&gt;高値!V297,高値!U297&gt;高値!W297),16,""))</f>
      </c>
      <c r="AR297" s="684">
        <f>IF(終値!A297="","",IF(AND(高値!V297&gt;高値!U297,高値!V297&gt;高値!T297,高値!V297&gt;高値!W297,高値!V297&gt;高値!X297),17,""))</f>
      </c>
      <c r="AS297" s="684">
        <f>IF(終値!A297="","",IF(AND(高値!W297&gt;高値!V297,高値!W297&gt;高値!U297,高値!W297&gt;高値!X297,高値!W297&gt;高値!Y297),18,""))</f>
      </c>
      <c r="AT297" s="684">
        <f>IF(終値!A297="","",IF(AND(高値!X297&gt;高値!W297,高値!X297&gt;高値!V297,高値!X297&gt;高値!Y297,高値!X297&gt;高値!Z297),19,""))</f>
      </c>
      <c r="AU297" s="684">
        <f>IF(終値!A297="","",IF(AND(高値!Y297&gt;高値!X297,高値!Y297&gt;高値!W297,高値!Y297&gt;高値!Z297,高値!Y297&gt;高値!AA297),20,""))</f>
      </c>
      <c r="AV297" s="684">
        <f>IF(終値!A297="","",IF(AND(高値!Z297&gt;高値!Y297,高値!Z297&gt;高値!X297,高値!Z297&gt;高値!AA297,高値!Z297&gt;高値!AB297),21,""))</f>
      </c>
      <c r="AW297" s="684">
        <f>IF(終値!A297="","",IF(AND(高値!AA297&gt;高値!Z297,高値!AA297&gt;高値!Y297,高値!AA297&gt;高値!AB297,高値!AA297&gt;高値!AC297),22,""))</f>
      </c>
      <c r="AX297" s="684">
        <f>IF(終値!A297="","",IF(AND(高値!AB297&gt;高値!AA297,高値!AB297&gt;高値!Z297,高値!AB297&gt;高値!AC297,高値!AB297&gt;高値!AD297),23,""))</f>
      </c>
      <c r="AY297" s="684">
        <f>IF(終値!A297="","",IF(AND(高値!AC297&gt;高値!AB297,高値!AC297&gt;高値!AA297,高値!AC297&gt;高値!AD297,高値!AC297&gt;高値!AE297),24,""))</f>
      </c>
      <c r="AZ297" s="684">
        <f>IF(終値!A297="","",IF(AND(高値!AD297&gt;高値!AC297,高値!AD297&gt;高値!AB297,高値!AD297&gt;高値!AE297,高値!AD297&gt;高値!AF297),25,""))</f>
      </c>
      <c r="BA297" s="684">
        <f>IF(終値!A297="","",IF(AND(高値!AE297&gt;高値!AD297,高値!AE297&gt;高値!AC297,高値!AE297&gt;高値!AF297,高値!AE297&gt;高値!AG297),26,""))</f>
      </c>
      <c r="BB297" s="684">
        <f>IF(終値!A297="","",IF(AND(高値!AF297&gt;高値!AE297,高値!AF297&gt;高値!AD297,高値!AF297&gt;高値!AG297,高値!AF297&gt;高値!AH297),27,""))</f>
      </c>
      <c r="BC297" s="684">
        <f>IF(終値!A297="","",IF(AND(高値!AG297&gt;高値!AF297,高値!AG297&gt;高値!AE297,高値!AG297&gt;高値!AH297,高値!AG297&gt;高値!AI297),28,""))</f>
      </c>
      <c r="BD297" s="684">
        <f>COUNT($B297:$AB297)</f>
      </c>
      <c r="BE297" s="684">
        <f>IF($BD297&gt;=2,MIN($B297:$AB297),"")</f>
      </c>
      <c r="BF297" s="684">
        <f>IF($BD297&gt;=2,SMALL($B297:$AB297,2),"")</f>
      </c>
      <c r="BG297" s="684">
        <f>IF($BE297="","",INDEX(安値!$E297:$CZ297,1,$BE297+1))</f>
      </c>
      <c r="BH297" s="684">
        <f>IF($BF297="","",INDEX(安値!$E297:$CZ297,1,$BF297+1))</f>
      </c>
      <c r="BI297" s="684">
        <f>IF($BF297="","",MAX(INDEX(高値!$E297:$CZ297,1,$BE297+1):INDEX(高値!$E297:$CZ297,1,$BF297+1)))</f>
      </c>
      <c r="BJ297" s="684">
        <f>IF($BF297="","",AVERAGE(INDEX(終値!$E297:$CZ297,1,$BF297+1):INDEX(終値!$E297:$CZ297,1,$BF297+20))-2*STDEVP(INDEX(終値!$E297:$CZ297,1,$BF297+1):INDEX(終値!$E297:$CZ297,1,$BF297+20)))</f>
      </c>
      <c r="BK297" s="684">
        <f>IF($BE297="","",AVERAGE(INDEX(終値!$E297:$CZ297,1,$BE297+1):INDEX(終値!$E297:$CZ297,1,$BE297+20))-2*STDEVP(INDEX(終値!$E297:$CZ297,1,$BE297+1):INDEX(終値!$E297:$CZ297,1,$BE297+20)))</f>
      </c>
      <c r="BL297" s="684">
        <f>COUNT($AC297:$BC297)</f>
      </c>
      <c r="BM297" s="684">
        <f>IF($BL297&gt;=2,MIN($AC297:$BC297),"")</f>
      </c>
      <c r="BN297" s="684">
        <f>IF($BL297&gt;=2,SMALL($AC297:$BC297,2),"")</f>
      </c>
      <c r="BO297" s="684">
        <f>IF($BM297="","",INDEX(高値!$E297:$CZ297,1,$BM297+1))</f>
      </c>
      <c r="BP297" s="684">
        <f>IF($BN297="","",INDEX(高値!$E297:$CZ297,1,$BN297+1))</f>
      </c>
      <c r="BQ297" s="684">
        <f>IF($BN297="","",MIN(INDEX(安値!$E297:$CZ297,1,$BM297+1):INDEX(安値!$E297:$CZ297,1,$BN297+1)))</f>
      </c>
      <c r="BR297" s="684">
        <f>IF($BN297="","",AVERAGE(INDEX(終値!$E297:$CZ297,1,$BN297+1):INDEX(終値!$E297:$CZ297,1,$BN297+20))+2*STDEVP(INDEX(終値!$E297:$CZ297,1,$BN297+1):INDEX(終値!$E297:$CZ297,1,$BN297+20)))</f>
      </c>
      <c r="BS297" s="684">
        <f>IF($BM297="","",AVERAGE(INDEX(終値!$E297:$CZ297,1,$BM297+1):INDEX(終値!$E297:$CZ297,1,$BM297+20))+2*STDEVP(INDEX(終値!$E297:$CZ297,1,$BM297+1):INDEX(終値!$E297:$CZ297,1,$BM297+20)))</f>
      </c>
      <c r="BT297" s="681">
        <f>IFERROR(IF(AND($BD297&gt;=2,ABS($BG297-$BH297)/$BH297&lt;=BB設定!$B$12,$BI297&gt;=MAX($BH297,$BG297)*(1+BB設定!$B$13),終値!E297&gt;$BG297),IF(OR(終値!E297&gt;=$BI297,AND($BH297&lt;$BJ297,$BG297&gt;=$BK297)),"二番底W▲","二番底W形成"),IF(AND($BL297&gt;=2,ABS($BO297-$BP297)/$BP297&lt;=BB設定!$B$12,$BQ297&lt;=MIN($BP297,$BO297)*(1-BB設定!$B$13),終値!E297&lt;$BO297),IF(OR(終値!E297&lt;=$BQ297,AND($BP297&gt;$BR297,$BO297&lt;=$BS297)),"二番天井M▼","二番天井M形成"),"－")),"－")</f>
      </c>
    </row>
    <row r="298">
      <c r="B298" s="684">
        <f>IF(終値!A298="","",IF(AND(安値!G298&lt;安値!F298,安値!G298&lt;安値!E298,安値!G298&lt;安値!H298,安値!G298&lt;安値!I298),2,""))</f>
      </c>
      <c r="C298" s="684">
        <f>IF(終値!A298="","",IF(AND(安値!H298&lt;安値!G298,安値!H298&lt;安値!F298,安値!H298&lt;安値!I298,安値!H298&lt;安値!J298),3,""))</f>
      </c>
      <c r="D298" s="684">
        <f>IF(終値!A298="","",IF(AND(安値!I298&lt;安値!H298,安値!I298&lt;安値!G298,安値!I298&lt;安値!J298,安値!I298&lt;安値!K298),4,""))</f>
      </c>
      <c r="E298" s="684">
        <f>IF(終値!A298="","",IF(AND(安値!J298&lt;安値!I298,安値!J298&lt;安値!H298,安値!J298&lt;安値!K298,安値!J298&lt;安値!L298),5,""))</f>
      </c>
      <c r="F298" s="684">
        <f>IF(終値!A298="","",IF(AND(安値!K298&lt;安値!J298,安値!K298&lt;安値!I298,安値!K298&lt;安値!L298,安値!K298&lt;安値!M298),6,""))</f>
      </c>
      <c r="G298" s="684">
        <f>IF(終値!A298="","",IF(AND(安値!L298&lt;安値!K298,安値!L298&lt;安値!J298,安値!L298&lt;安値!M298,安値!L298&lt;安値!N298),7,""))</f>
      </c>
      <c r="H298" s="684">
        <f>IF(終値!A298="","",IF(AND(安値!M298&lt;安値!L298,安値!M298&lt;安値!K298,安値!M298&lt;安値!N298,安値!M298&lt;安値!O298),8,""))</f>
      </c>
      <c r="I298" s="684">
        <f>IF(終値!A298="","",IF(AND(安値!N298&lt;安値!M298,安値!N298&lt;安値!L298,安値!N298&lt;安値!O298,安値!N298&lt;安値!P298),9,""))</f>
      </c>
      <c r="J298" s="684">
        <f>IF(終値!A298="","",IF(AND(安値!O298&lt;安値!N298,安値!O298&lt;安値!M298,安値!O298&lt;安値!P298,安値!O298&lt;安値!Q298),10,""))</f>
      </c>
      <c r="K298" s="684">
        <f>IF(終値!A298="","",IF(AND(安値!P298&lt;安値!O298,安値!P298&lt;安値!N298,安値!P298&lt;安値!Q298,安値!P298&lt;安値!R298),11,""))</f>
      </c>
      <c r="L298" s="684">
        <f>IF(終値!A298="","",IF(AND(安値!Q298&lt;安値!P298,安値!Q298&lt;安値!O298,安値!Q298&lt;安値!R298,安値!Q298&lt;安値!S298),12,""))</f>
      </c>
      <c r="M298" s="684">
        <f>IF(終値!A298="","",IF(AND(安値!R298&lt;安値!Q298,安値!R298&lt;安値!P298,安値!R298&lt;安値!S298,安値!R298&lt;安値!T298),13,""))</f>
      </c>
      <c r="N298" s="684">
        <f>IF(終値!A298="","",IF(AND(安値!S298&lt;安値!R298,安値!S298&lt;安値!Q298,安値!S298&lt;安値!T298,安値!S298&lt;安値!U298),14,""))</f>
      </c>
      <c r="O298" s="684">
        <f>IF(終値!A298="","",IF(AND(安値!T298&lt;安値!S298,安値!T298&lt;安値!R298,安値!T298&lt;安値!U298,安値!T298&lt;安値!V298),15,""))</f>
      </c>
      <c r="P298" s="684">
        <f>IF(終値!A298="","",IF(AND(安値!U298&lt;安値!T298,安値!U298&lt;安値!S298,安値!U298&lt;安値!V298,安値!U298&lt;安値!W298),16,""))</f>
      </c>
      <c r="Q298" s="684">
        <f>IF(終値!A298="","",IF(AND(安値!V298&lt;安値!U298,安値!V298&lt;安値!T298,安値!V298&lt;安値!W298,安値!V298&lt;安値!X298),17,""))</f>
      </c>
      <c r="R298" s="684">
        <f>IF(終値!A298="","",IF(AND(安値!W298&lt;安値!V298,安値!W298&lt;安値!U298,安値!W298&lt;安値!X298,安値!W298&lt;安値!Y298),18,""))</f>
      </c>
      <c r="S298" s="684">
        <f>IF(終値!A298="","",IF(AND(安値!X298&lt;安値!W298,安値!X298&lt;安値!V298,安値!X298&lt;安値!Y298,安値!X298&lt;安値!Z298),19,""))</f>
      </c>
      <c r="T298" s="684">
        <f>IF(終値!A298="","",IF(AND(安値!Y298&lt;安値!X298,安値!Y298&lt;安値!W298,安値!Y298&lt;安値!Z298,安値!Y298&lt;安値!AA298),20,""))</f>
      </c>
      <c r="U298" s="684">
        <f>IF(終値!A298="","",IF(AND(安値!Z298&lt;安値!Y298,安値!Z298&lt;安値!X298,安値!Z298&lt;安値!AA298,安値!Z298&lt;安値!AB298),21,""))</f>
      </c>
      <c r="V298" s="684">
        <f>IF(終値!A298="","",IF(AND(安値!AA298&lt;安値!Z298,安値!AA298&lt;安値!Y298,安値!AA298&lt;安値!AB298,安値!AA298&lt;安値!AC298),22,""))</f>
      </c>
      <c r="W298" s="684">
        <f>IF(終値!A298="","",IF(AND(安値!AB298&lt;安値!AA298,安値!AB298&lt;安値!Z298,安値!AB298&lt;安値!AC298,安値!AB298&lt;安値!AD298),23,""))</f>
      </c>
      <c r="X298" s="684">
        <f>IF(終値!A298="","",IF(AND(安値!AC298&lt;安値!AB298,安値!AC298&lt;安値!AA298,安値!AC298&lt;安値!AD298,安値!AC298&lt;安値!AE298),24,""))</f>
      </c>
      <c r="Y298" s="684">
        <f>IF(終値!A298="","",IF(AND(安値!AD298&lt;安値!AC298,安値!AD298&lt;安値!AB298,安値!AD298&lt;安値!AE298,安値!AD298&lt;安値!AF298),25,""))</f>
      </c>
      <c r="Z298" s="684">
        <f>IF(終値!A298="","",IF(AND(安値!AE298&lt;安値!AD298,安値!AE298&lt;安値!AC298,安値!AE298&lt;安値!AF298,安値!AE298&lt;安値!AG298),26,""))</f>
      </c>
      <c r="AA298" s="684">
        <f>IF(終値!A298="","",IF(AND(安値!AF298&lt;安値!AE298,安値!AF298&lt;安値!AD298,安値!AF298&lt;安値!AG298,安値!AF298&lt;安値!AH298),27,""))</f>
      </c>
      <c r="AB298" s="684">
        <f>IF(終値!A298="","",IF(AND(安値!AG298&lt;安値!AF298,安値!AG298&lt;安値!AE298,安値!AG298&lt;安値!AH298,安値!AG298&lt;安値!AI298),28,""))</f>
      </c>
      <c r="AC298" s="684">
        <f>IF(終値!A298="","",IF(AND(高値!G298&gt;高値!F298,高値!G298&gt;高値!E298,高値!G298&gt;高値!H298,高値!G298&gt;高値!I298),2,""))</f>
      </c>
      <c r="AD298" s="684">
        <f>IF(終値!A298="","",IF(AND(高値!H298&gt;高値!G298,高値!H298&gt;高値!F298,高値!H298&gt;高値!I298,高値!H298&gt;高値!J298),3,""))</f>
      </c>
      <c r="AE298" s="684">
        <f>IF(終値!A298="","",IF(AND(高値!I298&gt;高値!H298,高値!I298&gt;高値!G298,高値!I298&gt;高値!J298,高値!I298&gt;高値!K298),4,""))</f>
      </c>
      <c r="AF298" s="684">
        <f>IF(終値!A298="","",IF(AND(高値!J298&gt;高値!I298,高値!J298&gt;高値!H298,高値!J298&gt;高値!K298,高値!J298&gt;高値!L298),5,""))</f>
      </c>
      <c r="AG298" s="684">
        <f>IF(終値!A298="","",IF(AND(高値!K298&gt;高値!J298,高値!K298&gt;高値!I298,高値!K298&gt;高値!L298,高値!K298&gt;高値!M298),6,""))</f>
      </c>
      <c r="AH298" s="684">
        <f>IF(終値!A298="","",IF(AND(高値!L298&gt;高値!K298,高値!L298&gt;高値!J298,高値!L298&gt;高値!M298,高値!L298&gt;高値!N298),7,""))</f>
      </c>
      <c r="AI298" s="684">
        <f>IF(終値!A298="","",IF(AND(高値!M298&gt;高値!L298,高値!M298&gt;高値!K298,高値!M298&gt;高値!N298,高値!M298&gt;高値!O298),8,""))</f>
      </c>
      <c r="AJ298" s="684">
        <f>IF(終値!A298="","",IF(AND(高値!N298&gt;高値!M298,高値!N298&gt;高値!L298,高値!N298&gt;高値!O298,高値!N298&gt;高値!P298),9,""))</f>
      </c>
      <c r="AK298" s="684">
        <f>IF(終値!A298="","",IF(AND(高値!O298&gt;高値!N298,高値!O298&gt;高値!M298,高値!O298&gt;高値!P298,高値!O298&gt;高値!Q298),10,""))</f>
      </c>
      <c r="AL298" s="684">
        <f>IF(終値!A298="","",IF(AND(高値!P298&gt;高値!O298,高値!P298&gt;高値!N298,高値!P298&gt;高値!Q298,高値!P298&gt;高値!R298),11,""))</f>
      </c>
      <c r="AM298" s="684">
        <f>IF(終値!A298="","",IF(AND(高値!Q298&gt;高値!P298,高値!Q298&gt;高値!O298,高値!Q298&gt;高値!R298,高値!Q298&gt;高値!S298),12,""))</f>
      </c>
      <c r="AN298" s="684">
        <f>IF(終値!A298="","",IF(AND(高値!R298&gt;高値!Q298,高値!R298&gt;高値!P298,高値!R298&gt;高値!S298,高値!R298&gt;高値!T298),13,""))</f>
      </c>
      <c r="AO298" s="684">
        <f>IF(終値!A298="","",IF(AND(高値!S298&gt;高値!R298,高値!S298&gt;高値!Q298,高値!S298&gt;高値!T298,高値!S298&gt;高値!U298),14,""))</f>
      </c>
      <c r="AP298" s="684">
        <f>IF(終値!A298="","",IF(AND(高値!T298&gt;高値!S298,高値!T298&gt;高値!R298,高値!T298&gt;高値!U298,高値!T298&gt;高値!V298),15,""))</f>
      </c>
      <c r="AQ298" s="684">
        <f>IF(終値!A298="","",IF(AND(高値!U298&gt;高値!T298,高値!U298&gt;高値!S298,高値!U298&gt;高値!V298,高値!U298&gt;高値!W298),16,""))</f>
      </c>
      <c r="AR298" s="684">
        <f>IF(終値!A298="","",IF(AND(高値!V298&gt;高値!U298,高値!V298&gt;高値!T298,高値!V298&gt;高値!W298,高値!V298&gt;高値!X298),17,""))</f>
      </c>
      <c r="AS298" s="684">
        <f>IF(終値!A298="","",IF(AND(高値!W298&gt;高値!V298,高値!W298&gt;高値!U298,高値!W298&gt;高値!X298,高値!W298&gt;高値!Y298),18,""))</f>
      </c>
      <c r="AT298" s="684">
        <f>IF(終値!A298="","",IF(AND(高値!X298&gt;高値!W298,高値!X298&gt;高値!V298,高値!X298&gt;高値!Y298,高値!X298&gt;高値!Z298),19,""))</f>
      </c>
      <c r="AU298" s="684">
        <f>IF(終値!A298="","",IF(AND(高値!Y298&gt;高値!X298,高値!Y298&gt;高値!W298,高値!Y298&gt;高値!Z298,高値!Y298&gt;高値!AA298),20,""))</f>
      </c>
      <c r="AV298" s="684">
        <f>IF(終値!A298="","",IF(AND(高値!Z298&gt;高値!Y298,高値!Z298&gt;高値!X298,高値!Z298&gt;高値!AA298,高値!Z298&gt;高値!AB298),21,""))</f>
      </c>
      <c r="AW298" s="684">
        <f>IF(終値!A298="","",IF(AND(高値!AA298&gt;高値!Z298,高値!AA298&gt;高値!Y298,高値!AA298&gt;高値!AB298,高値!AA298&gt;高値!AC298),22,""))</f>
      </c>
      <c r="AX298" s="684">
        <f>IF(終値!A298="","",IF(AND(高値!AB298&gt;高値!AA298,高値!AB298&gt;高値!Z298,高値!AB298&gt;高値!AC298,高値!AB298&gt;高値!AD298),23,""))</f>
      </c>
      <c r="AY298" s="684">
        <f>IF(終値!A298="","",IF(AND(高値!AC298&gt;高値!AB298,高値!AC298&gt;高値!AA298,高値!AC298&gt;高値!AD298,高値!AC298&gt;高値!AE298),24,""))</f>
      </c>
      <c r="AZ298" s="684">
        <f>IF(終値!A298="","",IF(AND(高値!AD298&gt;高値!AC298,高値!AD298&gt;高値!AB298,高値!AD298&gt;高値!AE298,高値!AD298&gt;高値!AF298),25,""))</f>
      </c>
      <c r="BA298" s="684">
        <f>IF(終値!A298="","",IF(AND(高値!AE298&gt;高値!AD298,高値!AE298&gt;高値!AC298,高値!AE298&gt;高値!AF298,高値!AE298&gt;高値!AG298),26,""))</f>
      </c>
      <c r="BB298" s="684">
        <f>IF(終値!A298="","",IF(AND(高値!AF298&gt;高値!AE298,高値!AF298&gt;高値!AD298,高値!AF298&gt;高値!AG298,高値!AF298&gt;高値!AH298),27,""))</f>
      </c>
      <c r="BC298" s="684">
        <f>IF(終値!A298="","",IF(AND(高値!AG298&gt;高値!AF298,高値!AG298&gt;高値!AE298,高値!AG298&gt;高値!AH298,高値!AG298&gt;高値!AI298),28,""))</f>
      </c>
      <c r="BD298" s="684">
        <f>COUNT($B298:$AB298)</f>
      </c>
      <c r="BE298" s="684">
        <f>IF($BD298&gt;=2,MIN($B298:$AB298),"")</f>
      </c>
      <c r="BF298" s="684">
        <f>IF($BD298&gt;=2,SMALL($B298:$AB298,2),"")</f>
      </c>
      <c r="BG298" s="684">
        <f>IF($BE298="","",INDEX(安値!$E298:$CZ298,1,$BE298+1))</f>
      </c>
      <c r="BH298" s="684">
        <f>IF($BF298="","",INDEX(安値!$E298:$CZ298,1,$BF298+1))</f>
      </c>
      <c r="BI298" s="684">
        <f>IF($BF298="","",MAX(INDEX(高値!$E298:$CZ298,1,$BE298+1):INDEX(高値!$E298:$CZ298,1,$BF298+1)))</f>
      </c>
      <c r="BJ298" s="684">
        <f>IF($BF298="","",AVERAGE(INDEX(終値!$E298:$CZ298,1,$BF298+1):INDEX(終値!$E298:$CZ298,1,$BF298+20))-2*STDEVP(INDEX(終値!$E298:$CZ298,1,$BF298+1):INDEX(終値!$E298:$CZ298,1,$BF298+20)))</f>
      </c>
      <c r="BK298" s="684">
        <f>IF($BE298="","",AVERAGE(INDEX(終値!$E298:$CZ298,1,$BE298+1):INDEX(終値!$E298:$CZ298,1,$BE298+20))-2*STDEVP(INDEX(終値!$E298:$CZ298,1,$BE298+1):INDEX(終値!$E298:$CZ298,1,$BE298+20)))</f>
      </c>
      <c r="BL298" s="684">
        <f>COUNT($AC298:$BC298)</f>
      </c>
      <c r="BM298" s="684">
        <f>IF($BL298&gt;=2,MIN($AC298:$BC298),"")</f>
      </c>
      <c r="BN298" s="684">
        <f>IF($BL298&gt;=2,SMALL($AC298:$BC298,2),"")</f>
      </c>
      <c r="BO298" s="684">
        <f>IF($BM298="","",INDEX(高値!$E298:$CZ298,1,$BM298+1))</f>
      </c>
      <c r="BP298" s="684">
        <f>IF($BN298="","",INDEX(高値!$E298:$CZ298,1,$BN298+1))</f>
      </c>
      <c r="BQ298" s="684">
        <f>IF($BN298="","",MIN(INDEX(安値!$E298:$CZ298,1,$BM298+1):INDEX(安値!$E298:$CZ298,1,$BN298+1)))</f>
      </c>
      <c r="BR298" s="684">
        <f>IF($BN298="","",AVERAGE(INDEX(終値!$E298:$CZ298,1,$BN298+1):INDEX(終値!$E298:$CZ298,1,$BN298+20))+2*STDEVP(INDEX(終値!$E298:$CZ298,1,$BN298+1):INDEX(終値!$E298:$CZ298,1,$BN298+20)))</f>
      </c>
      <c r="BS298" s="684">
        <f>IF($BM298="","",AVERAGE(INDEX(終値!$E298:$CZ298,1,$BM298+1):INDEX(終値!$E298:$CZ298,1,$BM298+20))+2*STDEVP(INDEX(終値!$E298:$CZ298,1,$BM298+1):INDEX(終値!$E298:$CZ298,1,$BM298+20)))</f>
      </c>
      <c r="BT298" s="681">
        <f>IFERROR(IF(AND($BD298&gt;=2,ABS($BG298-$BH298)/$BH298&lt;=BB設定!$B$12,$BI298&gt;=MAX($BH298,$BG298)*(1+BB設定!$B$13),終値!E298&gt;$BG298),IF(OR(終値!E298&gt;=$BI298,AND($BH298&lt;$BJ298,$BG298&gt;=$BK298)),"二番底W▲","二番底W形成"),IF(AND($BL298&gt;=2,ABS($BO298-$BP298)/$BP298&lt;=BB設定!$B$12,$BQ298&lt;=MIN($BP298,$BO298)*(1-BB設定!$B$13),終値!E298&lt;$BO298),IF(OR(終値!E298&lt;=$BQ298,AND($BP298&gt;$BR298,$BO298&lt;=$BS298)),"二番天井M▼","二番天井M形成"),"－")),"－")</f>
      </c>
    </row>
    <row r="299">
      <c r="B299" s="684">
        <f>IF(終値!A299="","",IF(AND(安値!G299&lt;安値!F299,安値!G299&lt;安値!E299,安値!G299&lt;安値!H299,安値!G299&lt;安値!I299),2,""))</f>
      </c>
      <c r="C299" s="684">
        <f>IF(終値!A299="","",IF(AND(安値!H299&lt;安値!G299,安値!H299&lt;安値!F299,安値!H299&lt;安値!I299,安値!H299&lt;安値!J299),3,""))</f>
      </c>
      <c r="D299" s="684">
        <f>IF(終値!A299="","",IF(AND(安値!I299&lt;安値!H299,安値!I299&lt;安値!G299,安値!I299&lt;安値!J299,安値!I299&lt;安値!K299),4,""))</f>
      </c>
      <c r="E299" s="684">
        <f>IF(終値!A299="","",IF(AND(安値!J299&lt;安値!I299,安値!J299&lt;安値!H299,安値!J299&lt;安値!K299,安値!J299&lt;安値!L299),5,""))</f>
      </c>
      <c r="F299" s="684">
        <f>IF(終値!A299="","",IF(AND(安値!K299&lt;安値!J299,安値!K299&lt;安値!I299,安値!K299&lt;安値!L299,安値!K299&lt;安値!M299),6,""))</f>
      </c>
      <c r="G299" s="684">
        <f>IF(終値!A299="","",IF(AND(安値!L299&lt;安値!K299,安値!L299&lt;安値!J299,安値!L299&lt;安値!M299,安値!L299&lt;安値!N299),7,""))</f>
      </c>
      <c r="H299" s="684">
        <f>IF(終値!A299="","",IF(AND(安値!M299&lt;安値!L299,安値!M299&lt;安値!K299,安値!M299&lt;安値!N299,安値!M299&lt;安値!O299),8,""))</f>
      </c>
      <c r="I299" s="684">
        <f>IF(終値!A299="","",IF(AND(安値!N299&lt;安値!M299,安値!N299&lt;安値!L299,安値!N299&lt;安値!O299,安値!N299&lt;安値!P299),9,""))</f>
      </c>
      <c r="J299" s="684">
        <f>IF(終値!A299="","",IF(AND(安値!O299&lt;安値!N299,安値!O299&lt;安値!M299,安値!O299&lt;安値!P299,安値!O299&lt;安値!Q299),10,""))</f>
      </c>
      <c r="K299" s="684">
        <f>IF(終値!A299="","",IF(AND(安値!P299&lt;安値!O299,安値!P299&lt;安値!N299,安値!P299&lt;安値!Q299,安値!P299&lt;安値!R299),11,""))</f>
      </c>
      <c r="L299" s="684">
        <f>IF(終値!A299="","",IF(AND(安値!Q299&lt;安値!P299,安値!Q299&lt;安値!O299,安値!Q299&lt;安値!R299,安値!Q299&lt;安値!S299),12,""))</f>
      </c>
      <c r="M299" s="684">
        <f>IF(終値!A299="","",IF(AND(安値!R299&lt;安値!Q299,安値!R299&lt;安値!P299,安値!R299&lt;安値!S299,安値!R299&lt;安値!T299),13,""))</f>
      </c>
      <c r="N299" s="684">
        <f>IF(終値!A299="","",IF(AND(安値!S299&lt;安値!R299,安値!S299&lt;安値!Q299,安値!S299&lt;安値!T299,安値!S299&lt;安値!U299),14,""))</f>
      </c>
      <c r="O299" s="684">
        <f>IF(終値!A299="","",IF(AND(安値!T299&lt;安値!S299,安値!T299&lt;安値!R299,安値!T299&lt;安値!U299,安値!T299&lt;安値!V299),15,""))</f>
      </c>
      <c r="P299" s="684">
        <f>IF(終値!A299="","",IF(AND(安値!U299&lt;安値!T299,安値!U299&lt;安値!S299,安値!U299&lt;安値!V299,安値!U299&lt;安値!W299),16,""))</f>
      </c>
      <c r="Q299" s="684">
        <f>IF(終値!A299="","",IF(AND(安値!V299&lt;安値!U299,安値!V299&lt;安値!T299,安値!V299&lt;安値!W299,安値!V299&lt;安値!X299),17,""))</f>
      </c>
      <c r="R299" s="684">
        <f>IF(終値!A299="","",IF(AND(安値!W299&lt;安値!V299,安値!W299&lt;安値!U299,安値!W299&lt;安値!X299,安値!W299&lt;安値!Y299),18,""))</f>
      </c>
      <c r="S299" s="684">
        <f>IF(終値!A299="","",IF(AND(安値!X299&lt;安値!W299,安値!X299&lt;安値!V299,安値!X299&lt;安値!Y299,安値!X299&lt;安値!Z299),19,""))</f>
      </c>
      <c r="T299" s="684">
        <f>IF(終値!A299="","",IF(AND(安値!Y299&lt;安値!X299,安値!Y299&lt;安値!W299,安値!Y299&lt;安値!Z299,安値!Y299&lt;安値!AA299),20,""))</f>
      </c>
      <c r="U299" s="684">
        <f>IF(終値!A299="","",IF(AND(安値!Z299&lt;安値!Y299,安値!Z299&lt;安値!X299,安値!Z299&lt;安値!AA299,安値!Z299&lt;安値!AB299),21,""))</f>
      </c>
      <c r="V299" s="684">
        <f>IF(終値!A299="","",IF(AND(安値!AA299&lt;安値!Z299,安値!AA299&lt;安値!Y299,安値!AA299&lt;安値!AB299,安値!AA299&lt;安値!AC299),22,""))</f>
      </c>
      <c r="W299" s="684">
        <f>IF(終値!A299="","",IF(AND(安値!AB299&lt;安値!AA299,安値!AB299&lt;安値!Z299,安値!AB299&lt;安値!AC299,安値!AB299&lt;安値!AD299),23,""))</f>
      </c>
      <c r="X299" s="684">
        <f>IF(終値!A299="","",IF(AND(安値!AC299&lt;安値!AB299,安値!AC299&lt;安値!AA299,安値!AC299&lt;安値!AD299,安値!AC299&lt;安値!AE299),24,""))</f>
      </c>
      <c r="Y299" s="684">
        <f>IF(終値!A299="","",IF(AND(安値!AD299&lt;安値!AC299,安値!AD299&lt;安値!AB299,安値!AD299&lt;安値!AE299,安値!AD299&lt;安値!AF299),25,""))</f>
      </c>
      <c r="Z299" s="684">
        <f>IF(終値!A299="","",IF(AND(安値!AE299&lt;安値!AD299,安値!AE299&lt;安値!AC299,安値!AE299&lt;安値!AF299,安値!AE299&lt;安値!AG299),26,""))</f>
      </c>
      <c r="AA299" s="684">
        <f>IF(終値!A299="","",IF(AND(安値!AF299&lt;安値!AE299,安値!AF299&lt;安値!AD299,安値!AF299&lt;安値!AG299,安値!AF299&lt;安値!AH299),27,""))</f>
      </c>
      <c r="AB299" s="684">
        <f>IF(終値!A299="","",IF(AND(安値!AG299&lt;安値!AF299,安値!AG299&lt;安値!AE299,安値!AG299&lt;安値!AH299,安値!AG299&lt;安値!AI299),28,""))</f>
      </c>
      <c r="AC299" s="684">
        <f>IF(終値!A299="","",IF(AND(高値!G299&gt;高値!F299,高値!G299&gt;高値!E299,高値!G299&gt;高値!H299,高値!G299&gt;高値!I299),2,""))</f>
      </c>
      <c r="AD299" s="684">
        <f>IF(終値!A299="","",IF(AND(高値!H299&gt;高値!G299,高値!H299&gt;高値!F299,高値!H299&gt;高値!I299,高値!H299&gt;高値!J299),3,""))</f>
      </c>
      <c r="AE299" s="684">
        <f>IF(終値!A299="","",IF(AND(高値!I299&gt;高値!H299,高値!I299&gt;高値!G299,高値!I299&gt;高値!J299,高値!I299&gt;高値!K299),4,""))</f>
      </c>
      <c r="AF299" s="684">
        <f>IF(終値!A299="","",IF(AND(高値!J299&gt;高値!I299,高値!J299&gt;高値!H299,高値!J299&gt;高値!K299,高値!J299&gt;高値!L299),5,""))</f>
      </c>
      <c r="AG299" s="684">
        <f>IF(終値!A299="","",IF(AND(高値!K299&gt;高値!J299,高値!K299&gt;高値!I299,高値!K299&gt;高値!L299,高値!K299&gt;高値!M299),6,""))</f>
      </c>
      <c r="AH299" s="684">
        <f>IF(終値!A299="","",IF(AND(高値!L299&gt;高値!K299,高値!L299&gt;高値!J299,高値!L299&gt;高値!M299,高値!L299&gt;高値!N299),7,""))</f>
      </c>
      <c r="AI299" s="684">
        <f>IF(終値!A299="","",IF(AND(高値!M299&gt;高値!L299,高値!M299&gt;高値!K299,高値!M299&gt;高値!N299,高値!M299&gt;高値!O299),8,""))</f>
      </c>
      <c r="AJ299" s="684">
        <f>IF(終値!A299="","",IF(AND(高値!N299&gt;高値!M299,高値!N299&gt;高値!L299,高値!N299&gt;高値!O299,高値!N299&gt;高値!P299),9,""))</f>
      </c>
      <c r="AK299" s="684">
        <f>IF(終値!A299="","",IF(AND(高値!O299&gt;高値!N299,高値!O299&gt;高値!M299,高値!O299&gt;高値!P299,高値!O299&gt;高値!Q299),10,""))</f>
      </c>
      <c r="AL299" s="684">
        <f>IF(終値!A299="","",IF(AND(高値!P299&gt;高値!O299,高値!P299&gt;高値!N299,高値!P299&gt;高値!Q299,高値!P299&gt;高値!R299),11,""))</f>
      </c>
      <c r="AM299" s="684">
        <f>IF(終値!A299="","",IF(AND(高値!Q299&gt;高値!P299,高値!Q299&gt;高値!O299,高値!Q299&gt;高値!R299,高値!Q299&gt;高値!S299),12,""))</f>
      </c>
      <c r="AN299" s="684">
        <f>IF(終値!A299="","",IF(AND(高値!R299&gt;高値!Q299,高値!R299&gt;高値!P299,高値!R299&gt;高値!S299,高値!R299&gt;高値!T299),13,""))</f>
      </c>
      <c r="AO299" s="684">
        <f>IF(終値!A299="","",IF(AND(高値!S299&gt;高値!R299,高値!S299&gt;高値!Q299,高値!S299&gt;高値!T299,高値!S299&gt;高値!U299),14,""))</f>
      </c>
      <c r="AP299" s="684">
        <f>IF(終値!A299="","",IF(AND(高値!T299&gt;高値!S299,高値!T299&gt;高値!R299,高値!T299&gt;高値!U299,高値!T299&gt;高値!V299),15,""))</f>
      </c>
      <c r="AQ299" s="684">
        <f>IF(終値!A299="","",IF(AND(高値!U299&gt;高値!T299,高値!U299&gt;高値!S299,高値!U299&gt;高値!V299,高値!U299&gt;高値!W299),16,""))</f>
      </c>
      <c r="AR299" s="684">
        <f>IF(終値!A299="","",IF(AND(高値!V299&gt;高値!U299,高値!V299&gt;高値!T299,高値!V299&gt;高値!W299,高値!V299&gt;高値!X299),17,""))</f>
      </c>
      <c r="AS299" s="684">
        <f>IF(終値!A299="","",IF(AND(高値!W299&gt;高値!V299,高値!W299&gt;高値!U299,高値!W299&gt;高値!X299,高値!W299&gt;高値!Y299),18,""))</f>
      </c>
      <c r="AT299" s="684">
        <f>IF(終値!A299="","",IF(AND(高値!X299&gt;高値!W299,高値!X299&gt;高値!V299,高値!X299&gt;高値!Y299,高値!X299&gt;高値!Z299),19,""))</f>
      </c>
      <c r="AU299" s="684">
        <f>IF(終値!A299="","",IF(AND(高値!Y299&gt;高値!X299,高値!Y299&gt;高値!W299,高値!Y299&gt;高値!Z299,高値!Y299&gt;高値!AA299),20,""))</f>
      </c>
      <c r="AV299" s="684">
        <f>IF(終値!A299="","",IF(AND(高値!Z299&gt;高値!Y299,高値!Z299&gt;高値!X299,高値!Z299&gt;高値!AA299,高値!Z299&gt;高値!AB299),21,""))</f>
      </c>
      <c r="AW299" s="684">
        <f>IF(終値!A299="","",IF(AND(高値!AA299&gt;高値!Z299,高値!AA299&gt;高値!Y299,高値!AA299&gt;高値!AB299,高値!AA299&gt;高値!AC299),22,""))</f>
      </c>
      <c r="AX299" s="684">
        <f>IF(終値!A299="","",IF(AND(高値!AB299&gt;高値!AA299,高値!AB299&gt;高値!Z299,高値!AB299&gt;高値!AC299,高値!AB299&gt;高値!AD299),23,""))</f>
      </c>
      <c r="AY299" s="684">
        <f>IF(終値!A299="","",IF(AND(高値!AC299&gt;高値!AB299,高値!AC299&gt;高値!AA299,高値!AC299&gt;高値!AD299,高値!AC299&gt;高値!AE299),24,""))</f>
      </c>
      <c r="AZ299" s="684">
        <f>IF(終値!A299="","",IF(AND(高値!AD299&gt;高値!AC299,高値!AD299&gt;高値!AB299,高値!AD299&gt;高値!AE299,高値!AD299&gt;高値!AF299),25,""))</f>
      </c>
      <c r="BA299" s="684">
        <f>IF(終値!A299="","",IF(AND(高値!AE299&gt;高値!AD299,高値!AE299&gt;高値!AC299,高値!AE299&gt;高値!AF299,高値!AE299&gt;高値!AG299),26,""))</f>
      </c>
      <c r="BB299" s="684">
        <f>IF(終値!A299="","",IF(AND(高値!AF299&gt;高値!AE299,高値!AF299&gt;高値!AD299,高値!AF299&gt;高値!AG299,高値!AF299&gt;高値!AH299),27,""))</f>
      </c>
      <c r="BC299" s="684">
        <f>IF(終値!A299="","",IF(AND(高値!AG299&gt;高値!AF299,高値!AG299&gt;高値!AE299,高値!AG299&gt;高値!AH299,高値!AG299&gt;高値!AI299),28,""))</f>
      </c>
      <c r="BD299" s="684">
        <f>COUNT($B299:$AB299)</f>
      </c>
      <c r="BE299" s="684">
        <f>IF($BD299&gt;=2,MIN($B299:$AB299),"")</f>
      </c>
      <c r="BF299" s="684">
        <f>IF($BD299&gt;=2,SMALL($B299:$AB299,2),"")</f>
      </c>
      <c r="BG299" s="684">
        <f>IF($BE299="","",INDEX(安値!$E299:$CZ299,1,$BE299+1))</f>
      </c>
      <c r="BH299" s="684">
        <f>IF($BF299="","",INDEX(安値!$E299:$CZ299,1,$BF299+1))</f>
      </c>
      <c r="BI299" s="684">
        <f>IF($BF299="","",MAX(INDEX(高値!$E299:$CZ299,1,$BE299+1):INDEX(高値!$E299:$CZ299,1,$BF299+1)))</f>
      </c>
      <c r="BJ299" s="684">
        <f>IF($BF299="","",AVERAGE(INDEX(終値!$E299:$CZ299,1,$BF299+1):INDEX(終値!$E299:$CZ299,1,$BF299+20))-2*STDEVP(INDEX(終値!$E299:$CZ299,1,$BF299+1):INDEX(終値!$E299:$CZ299,1,$BF299+20)))</f>
      </c>
      <c r="BK299" s="684">
        <f>IF($BE299="","",AVERAGE(INDEX(終値!$E299:$CZ299,1,$BE299+1):INDEX(終値!$E299:$CZ299,1,$BE299+20))-2*STDEVP(INDEX(終値!$E299:$CZ299,1,$BE299+1):INDEX(終値!$E299:$CZ299,1,$BE299+20)))</f>
      </c>
      <c r="BL299" s="684">
        <f>COUNT($AC299:$BC299)</f>
      </c>
      <c r="BM299" s="684">
        <f>IF($BL299&gt;=2,MIN($AC299:$BC299),"")</f>
      </c>
      <c r="BN299" s="684">
        <f>IF($BL299&gt;=2,SMALL($AC299:$BC299,2),"")</f>
      </c>
      <c r="BO299" s="684">
        <f>IF($BM299="","",INDEX(高値!$E299:$CZ299,1,$BM299+1))</f>
      </c>
      <c r="BP299" s="684">
        <f>IF($BN299="","",INDEX(高値!$E299:$CZ299,1,$BN299+1))</f>
      </c>
      <c r="BQ299" s="684">
        <f>IF($BN299="","",MIN(INDEX(安値!$E299:$CZ299,1,$BM299+1):INDEX(安値!$E299:$CZ299,1,$BN299+1)))</f>
      </c>
      <c r="BR299" s="684">
        <f>IF($BN299="","",AVERAGE(INDEX(終値!$E299:$CZ299,1,$BN299+1):INDEX(終値!$E299:$CZ299,1,$BN299+20))+2*STDEVP(INDEX(終値!$E299:$CZ299,1,$BN299+1):INDEX(終値!$E299:$CZ299,1,$BN299+20)))</f>
      </c>
      <c r="BS299" s="684">
        <f>IF($BM299="","",AVERAGE(INDEX(終値!$E299:$CZ299,1,$BM299+1):INDEX(終値!$E299:$CZ299,1,$BM299+20))+2*STDEVP(INDEX(終値!$E299:$CZ299,1,$BM299+1):INDEX(終値!$E299:$CZ299,1,$BM299+20)))</f>
      </c>
      <c r="BT299" s="681">
        <f>IFERROR(IF(AND($BD299&gt;=2,ABS($BG299-$BH299)/$BH299&lt;=BB設定!$B$12,$BI299&gt;=MAX($BH299,$BG299)*(1+BB設定!$B$13),終値!E299&gt;$BG299),IF(OR(終値!E299&gt;=$BI299,AND($BH299&lt;$BJ299,$BG299&gt;=$BK299)),"二番底W▲","二番底W形成"),IF(AND($BL299&gt;=2,ABS($BO299-$BP299)/$BP299&lt;=BB設定!$B$12,$BQ299&lt;=MIN($BP299,$BO299)*(1-BB設定!$B$13),終値!E299&lt;$BO299),IF(OR(終値!E299&lt;=$BQ299,AND($BP299&gt;$BR299,$BO299&lt;=$BS299)),"二番天井M▼","二番天井M形成"),"－")),"－")</f>
      </c>
    </row>
    <row r="300">
      <c r="B300" s="684">
        <f>IF(終値!A300="","",IF(AND(安値!G300&lt;安値!F300,安値!G300&lt;安値!E300,安値!G300&lt;安値!H300,安値!G300&lt;安値!I300),2,""))</f>
      </c>
      <c r="C300" s="684">
        <f>IF(終値!A300="","",IF(AND(安値!H300&lt;安値!G300,安値!H300&lt;安値!F300,安値!H300&lt;安値!I300,安値!H300&lt;安値!J300),3,""))</f>
      </c>
      <c r="D300" s="684">
        <f>IF(終値!A300="","",IF(AND(安値!I300&lt;安値!H300,安値!I300&lt;安値!G300,安値!I300&lt;安値!J300,安値!I300&lt;安値!K300),4,""))</f>
      </c>
      <c r="E300" s="684">
        <f>IF(終値!A300="","",IF(AND(安値!J300&lt;安値!I300,安値!J300&lt;安値!H300,安値!J300&lt;安値!K300,安値!J300&lt;安値!L300),5,""))</f>
      </c>
      <c r="F300" s="684">
        <f>IF(終値!A300="","",IF(AND(安値!K300&lt;安値!J300,安値!K300&lt;安値!I300,安値!K300&lt;安値!L300,安値!K300&lt;安値!M300),6,""))</f>
      </c>
      <c r="G300" s="684">
        <f>IF(終値!A300="","",IF(AND(安値!L300&lt;安値!K300,安値!L300&lt;安値!J300,安値!L300&lt;安値!M300,安値!L300&lt;安値!N300),7,""))</f>
      </c>
      <c r="H300" s="684">
        <f>IF(終値!A300="","",IF(AND(安値!M300&lt;安値!L300,安値!M300&lt;安値!K300,安値!M300&lt;安値!N300,安値!M300&lt;安値!O300),8,""))</f>
      </c>
      <c r="I300" s="684">
        <f>IF(終値!A300="","",IF(AND(安値!N300&lt;安値!M300,安値!N300&lt;安値!L300,安値!N300&lt;安値!O300,安値!N300&lt;安値!P300),9,""))</f>
      </c>
      <c r="J300" s="684">
        <f>IF(終値!A300="","",IF(AND(安値!O300&lt;安値!N300,安値!O300&lt;安値!M300,安値!O300&lt;安値!P300,安値!O300&lt;安値!Q300),10,""))</f>
      </c>
      <c r="K300" s="684">
        <f>IF(終値!A300="","",IF(AND(安値!P300&lt;安値!O300,安値!P300&lt;安値!N300,安値!P300&lt;安値!Q300,安値!P300&lt;安値!R300),11,""))</f>
      </c>
      <c r="L300" s="684">
        <f>IF(終値!A300="","",IF(AND(安値!Q300&lt;安値!P300,安値!Q300&lt;安値!O300,安値!Q300&lt;安値!R300,安値!Q300&lt;安値!S300),12,""))</f>
      </c>
      <c r="M300" s="684">
        <f>IF(終値!A300="","",IF(AND(安値!R300&lt;安値!Q300,安値!R300&lt;安値!P300,安値!R300&lt;安値!S300,安値!R300&lt;安値!T300),13,""))</f>
      </c>
      <c r="N300" s="684">
        <f>IF(終値!A300="","",IF(AND(安値!S300&lt;安値!R300,安値!S300&lt;安値!Q300,安値!S300&lt;安値!T300,安値!S300&lt;安値!U300),14,""))</f>
      </c>
      <c r="O300" s="684">
        <f>IF(終値!A300="","",IF(AND(安値!T300&lt;安値!S300,安値!T300&lt;安値!R300,安値!T300&lt;安値!U300,安値!T300&lt;安値!V300),15,""))</f>
      </c>
      <c r="P300" s="684">
        <f>IF(終値!A300="","",IF(AND(安値!U300&lt;安値!T300,安値!U300&lt;安値!S300,安値!U300&lt;安値!V300,安値!U300&lt;安値!W300),16,""))</f>
      </c>
      <c r="Q300" s="684">
        <f>IF(終値!A300="","",IF(AND(安値!V300&lt;安値!U300,安値!V300&lt;安値!T300,安値!V300&lt;安値!W300,安値!V300&lt;安値!X300),17,""))</f>
      </c>
      <c r="R300" s="684">
        <f>IF(終値!A300="","",IF(AND(安値!W300&lt;安値!V300,安値!W300&lt;安値!U300,安値!W300&lt;安値!X300,安値!W300&lt;安値!Y300),18,""))</f>
      </c>
      <c r="S300" s="684">
        <f>IF(終値!A300="","",IF(AND(安値!X300&lt;安値!W300,安値!X300&lt;安値!V300,安値!X300&lt;安値!Y300,安値!X300&lt;安値!Z300),19,""))</f>
      </c>
      <c r="T300" s="684">
        <f>IF(終値!A300="","",IF(AND(安値!Y300&lt;安値!X300,安値!Y300&lt;安値!W300,安値!Y300&lt;安値!Z300,安値!Y300&lt;安値!AA300),20,""))</f>
      </c>
      <c r="U300" s="684">
        <f>IF(終値!A300="","",IF(AND(安値!Z300&lt;安値!Y300,安値!Z300&lt;安値!X300,安値!Z300&lt;安値!AA300,安値!Z300&lt;安値!AB300),21,""))</f>
      </c>
      <c r="V300" s="684">
        <f>IF(終値!A300="","",IF(AND(安値!AA300&lt;安値!Z300,安値!AA300&lt;安値!Y300,安値!AA300&lt;安値!AB300,安値!AA300&lt;安値!AC300),22,""))</f>
      </c>
      <c r="W300" s="684">
        <f>IF(終値!A300="","",IF(AND(安値!AB300&lt;安値!AA300,安値!AB300&lt;安値!Z300,安値!AB300&lt;安値!AC300,安値!AB300&lt;安値!AD300),23,""))</f>
      </c>
      <c r="X300" s="684">
        <f>IF(終値!A300="","",IF(AND(安値!AC300&lt;安値!AB300,安値!AC300&lt;安値!AA300,安値!AC300&lt;安値!AD300,安値!AC300&lt;安値!AE300),24,""))</f>
      </c>
      <c r="Y300" s="684">
        <f>IF(終値!A300="","",IF(AND(安値!AD300&lt;安値!AC300,安値!AD300&lt;安値!AB300,安値!AD300&lt;安値!AE300,安値!AD300&lt;安値!AF300),25,""))</f>
      </c>
      <c r="Z300" s="684">
        <f>IF(終値!A300="","",IF(AND(安値!AE300&lt;安値!AD300,安値!AE300&lt;安値!AC300,安値!AE300&lt;安値!AF300,安値!AE300&lt;安値!AG300),26,""))</f>
      </c>
      <c r="AA300" s="684">
        <f>IF(終値!A300="","",IF(AND(安値!AF300&lt;安値!AE300,安値!AF300&lt;安値!AD300,安値!AF300&lt;安値!AG300,安値!AF300&lt;安値!AH300),27,""))</f>
      </c>
      <c r="AB300" s="684">
        <f>IF(終値!A300="","",IF(AND(安値!AG300&lt;安値!AF300,安値!AG300&lt;安値!AE300,安値!AG300&lt;安値!AH300,安値!AG300&lt;安値!AI300),28,""))</f>
      </c>
      <c r="AC300" s="684">
        <f>IF(終値!A300="","",IF(AND(高値!G300&gt;高値!F300,高値!G300&gt;高値!E300,高値!G300&gt;高値!H300,高値!G300&gt;高値!I300),2,""))</f>
      </c>
      <c r="AD300" s="684">
        <f>IF(終値!A300="","",IF(AND(高値!H300&gt;高値!G300,高値!H300&gt;高値!F300,高値!H300&gt;高値!I300,高値!H300&gt;高値!J300),3,""))</f>
      </c>
      <c r="AE300" s="684">
        <f>IF(終値!A300="","",IF(AND(高値!I300&gt;高値!H300,高値!I300&gt;高値!G300,高値!I300&gt;高値!J300,高値!I300&gt;高値!K300),4,""))</f>
      </c>
      <c r="AF300" s="684">
        <f>IF(終値!A300="","",IF(AND(高値!J300&gt;高値!I300,高値!J300&gt;高値!H300,高値!J300&gt;高値!K300,高値!J300&gt;高値!L300),5,""))</f>
      </c>
      <c r="AG300" s="684">
        <f>IF(終値!A300="","",IF(AND(高値!K300&gt;高値!J300,高値!K300&gt;高値!I300,高値!K300&gt;高値!L300,高値!K300&gt;高値!M300),6,""))</f>
      </c>
      <c r="AH300" s="684">
        <f>IF(終値!A300="","",IF(AND(高値!L300&gt;高値!K300,高値!L300&gt;高値!J300,高値!L300&gt;高値!M300,高値!L300&gt;高値!N300),7,""))</f>
      </c>
      <c r="AI300" s="684">
        <f>IF(終値!A300="","",IF(AND(高値!M300&gt;高値!L300,高値!M300&gt;高値!K300,高値!M300&gt;高値!N300,高値!M300&gt;高値!O300),8,""))</f>
      </c>
      <c r="AJ300" s="684">
        <f>IF(終値!A300="","",IF(AND(高値!N300&gt;高値!M300,高値!N300&gt;高値!L300,高値!N300&gt;高値!O300,高値!N300&gt;高値!P300),9,""))</f>
      </c>
      <c r="AK300" s="684">
        <f>IF(終値!A300="","",IF(AND(高値!O300&gt;高値!N300,高値!O300&gt;高値!M300,高値!O300&gt;高値!P300,高値!O300&gt;高値!Q300),10,""))</f>
      </c>
      <c r="AL300" s="684">
        <f>IF(終値!A300="","",IF(AND(高値!P300&gt;高値!O300,高値!P300&gt;高値!N300,高値!P300&gt;高値!Q300,高値!P300&gt;高値!R300),11,""))</f>
      </c>
      <c r="AM300" s="684">
        <f>IF(終値!A300="","",IF(AND(高値!Q300&gt;高値!P300,高値!Q300&gt;高値!O300,高値!Q300&gt;高値!R300,高値!Q300&gt;高値!S300),12,""))</f>
      </c>
      <c r="AN300" s="684">
        <f>IF(終値!A300="","",IF(AND(高値!R300&gt;高値!Q300,高値!R300&gt;高値!P300,高値!R300&gt;高値!S300,高値!R300&gt;高値!T300),13,""))</f>
      </c>
      <c r="AO300" s="684">
        <f>IF(終値!A300="","",IF(AND(高値!S300&gt;高値!R300,高値!S300&gt;高値!Q300,高値!S300&gt;高値!T300,高値!S300&gt;高値!U300),14,""))</f>
      </c>
      <c r="AP300" s="684">
        <f>IF(終値!A300="","",IF(AND(高値!T300&gt;高値!S300,高値!T300&gt;高値!R300,高値!T300&gt;高値!U300,高値!T300&gt;高値!V300),15,""))</f>
      </c>
      <c r="AQ300" s="684">
        <f>IF(終値!A300="","",IF(AND(高値!U300&gt;高値!T300,高値!U300&gt;高値!S300,高値!U300&gt;高値!V300,高値!U300&gt;高値!W300),16,""))</f>
      </c>
      <c r="AR300" s="684">
        <f>IF(終値!A300="","",IF(AND(高値!V300&gt;高値!U300,高値!V300&gt;高値!T300,高値!V300&gt;高値!W300,高値!V300&gt;高値!X300),17,""))</f>
      </c>
      <c r="AS300" s="684">
        <f>IF(終値!A300="","",IF(AND(高値!W300&gt;高値!V300,高値!W300&gt;高値!U300,高値!W300&gt;高値!X300,高値!W300&gt;高値!Y300),18,""))</f>
      </c>
      <c r="AT300" s="684">
        <f>IF(終値!A300="","",IF(AND(高値!X300&gt;高値!W300,高値!X300&gt;高値!V300,高値!X300&gt;高値!Y300,高値!X300&gt;高値!Z300),19,""))</f>
      </c>
      <c r="AU300" s="684">
        <f>IF(終値!A300="","",IF(AND(高値!Y300&gt;高値!X300,高値!Y300&gt;高値!W300,高値!Y300&gt;高値!Z300,高値!Y300&gt;高値!AA300),20,""))</f>
      </c>
      <c r="AV300" s="684">
        <f>IF(終値!A300="","",IF(AND(高値!Z300&gt;高値!Y300,高値!Z300&gt;高値!X300,高値!Z300&gt;高値!AA300,高値!Z300&gt;高値!AB300),21,""))</f>
      </c>
      <c r="AW300" s="684">
        <f>IF(終値!A300="","",IF(AND(高値!AA300&gt;高値!Z300,高値!AA300&gt;高値!Y300,高値!AA300&gt;高値!AB300,高値!AA300&gt;高値!AC300),22,""))</f>
      </c>
      <c r="AX300" s="684">
        <f>IF(終値!A300="","",IF(AND(高値!AB300&gt;高値!AA300,高値!AB300&gt;高値!Z300,高値!AB300&gt;高値!AC300,高値!AB300&gt;高値!AD300),23,""))</f>
      </c>
      <c r="AY300" s="684">
        <f>IF(終値!A300="","",IF(AND(高値!AC300&gt;高値!AB300,高値!AC300&gt;高値!AA300,高値!AC300&gt;高値!AD300,高値!AC300&gt;高値!AE300),24,""))</f>
      </c>
      <c r="AZ300" s="684">
        <f>IF(終値!A300="","",IF(AND(高値!AD300&gt;高値!AC300,高値!AD300&gt;高値!AB300,高値!AD300&gt;高値!AE300,高値!AD300&gt;高値!AF300),25,""))</f>
      </c>
      <c r="BA300" s="684">
        <f>IF(終値!A300="","",IF(AND(高値!AE300&gt;高値!AD300,高値!AE300&gt;高値!AC300,高値!AE300&gt;高値!AF300,高値!AE300&gt;高値!AG300),26,""))</f>
      </c>
      <c r="BB300" s="684">
        <f>IF(終値!A300="","",IF(AND(高値!AF300&gt;高値!AE300,高値!AF300&gt;高値!AD300,高値!AF300&gt;高値!AG300,高値!AF300&gt;高値!AH300),27,""))</f>
      </c>
      <c r="BC300" s="684">
        <f>IF(終値!A300="","",IF(AND(高値!AG300&gt;高値!AF300,高値!AG300&gt;高値!AE300,高値!AG300&gt;高値!AH300,高値!AG300&gt;高値!AI300),28,""))</f>
      </c>
      <c r="BD300" s="684">
        <f>COUNT($B300:$AB300)</f>
      </c>
      <c r="BE300" s="684">
        <f>IF($BD300&gt;=2,MIN($B300:$AB300),"")</f>
      </c>
      <c r="BF300" s="684">
        <f>IF($BD300&gt;=2,SMALL($B300:$AB300,2),"")</f>
      </c>
      <c r="BG300" s="684">
        <f>IF($BE300="","",INDEX(安値!$E300:$CZ300,1,$BE300+1))</f>
      </c>
      <c r="BH300" s="684">
        <f>IF($BF300="","",INDEX(安値!$E300:$CZ300,1,$BF300+1))</f>
      </c>
      <c r="BI300" s="684">
        <f>IF($BF300="","",MAX(INDEX(高値!$E300:$CZ300,1,$BE300+1):INDEX(高値!$E300:$CZ300,1,$BF300+1)))</f>
      </c>
      <c r="BJ300" s="684">
        <f>IF($BF300="","",AVERAGE(INDEX(終値!$E300:$CZ300,1,$BF300+1):INDEX(終値!$E300:$CZ300,1,$BF300+20))-2*STDEVP(INDEX(終値!$E300:$CZ300,1,$BF300+1):INDEX(終値!$E300:$CZ300,1,$BF300+20)))</f>
      </c>
      <c r="BK300" s="684">
        <f>IF($BE300="","",AVERAGE(INDEX(終値!$E300:$CZ300,1,$BE300+1):INDEX(終値!$E300:$CZ300,1,$BE300+20))-2*STDEVP(INDEX(終値!$E300:$CZ300,1,$BE300+1):INDEX(終値!$E300:$CZ300,1,$BE300+20)))</f>
      </c>
      <c r="BL300" s="684">
        <f>COUNT($AC300:$BC300)</f>
      </c>
      <c r="BM300" s="684">
        <f>IF($BL300&gt;=2,MIN($AC300:$BC300),"")</f>
      </c>
      <c r="BN300" s="684">
        <f>IF($BL300&gt;=2,SMALL($AC300:$BC300,2),"")</f>
      </c>
      <c r="BO300" s="684">
        <f>IF($BM300="","",INDEX(高値!$E300:$CZ300,1,$BM300+1))</f>
      </c>
      <c r="BP300" s="684">
        <f>IF($BN300="","",INDEX(高値!$E300:$CZ300,1,$BN300+1))</f>
      </c>
      <c r="BQ300" s="684">
        <f>IF($BN300="","",MIN(INDEX(安値!$E300:$CZ300,1,$BM300+1):INDEX(安値!$E300:$CZ300,1,$BN300+1)))</f>
      </c>
      <c r="BR300" s="684">
        <f>IF($BN300="","",AVERAGE(INDEX(終値!$E300:$CZ300,1,$BN300+1):INDEX(終値!$E300:$CZ300,1,$BN300+20))+2*STDEVP(INDEX(終値!$E300:$CZ300,1,$BN300+1):INDEX(終値!$E300:$CZ300,1,$BN300+20)))</f>
      </c>
      <c r="BS300" s="684">
        <f>IF($BM300="","",AVERAGE(INDEX(終値!$E300:$CZ300,1,$BM300+1):INDEX(終値!$E300:$CZ300,1,$BM300+20))+2*STDEVP(INDEX(終値!$E300:$CZ300,1,$BM300+1):INDEX(終値!$E300:$CZ300,1,$BM300+20)))</f>
      </c>
      <c r="BT300" s="681">
        <f>IFERROR(IF(AND($BD300&gt;=2,ABS($BG300-$BH300)/$BH300&lt;=BB設定!$B$12,$BI300&gt;=MAX($BH300,$BG300)*(1+BB設定!$B$13),終値!E300&gt;$BG300),IF(OR(終値!E300&gt;=$BI300,AND($BH300&lt;$BJ300,$BG300&gt;=$BK300)),"二番底W▲","二番底W形成"),IF(AND($BL300&gt;=2,ABS($BO300-$BP300)/$BP300&lt;=BB設定!$B$12,$BQ300&lt;=MIN($BP300,$BO300)*(1-BB設定!$B$13),終値!E300&lt;$BO300),IF(OR(終値!E300&lt;=$BQ300,AND($BP300&gt;$BR300,$BO300&lt;=$BS300)),"二番天井M▼","二番天井M形成"),"－")),"－")</f>
      </c>
    </row>
    <row r="301">
      <c r="B301" s="684">
        <f>IF(終値!A301="","",IF(AND(安値!G301&lt;安値!F301,安値!G301&lt;安値!E301,安値!G301&lt;安値!H301,安値!G301&lt;安値!I301),2,""))</f>
      </c>
      <c r="C301" s="684">
        <f>IF(終値!A301="","",IF(AND(安値!H301&lt;安値!G301,安値!H301&lt;安値!F301,安値!H301&lt;安値!I301,安値!H301&lt;安値!J301),3,""))</f>
      </c>
      <c r="D301" s="684">
        <f>IF(終値!A301="","",IF(AND(安値!I301&lt;安値!H301,安値!I301&lt;安値!G301,安値!I301&lt;安値!J301,安値!I301&lt;安値!K301),4,""))</f>
      </c>
      <c r="E301" s="684">
        <f>IF(終値!A301="","",IF(AND(安値!J301&lt;安値!I301,安値!J301&lt;安値!H301,安値!J301&lt;安値!K301,安値!J301&lt;安値!L301),5,""))</f>
      </c>
      <c r="F301" s="684">
        <f>IF(終値!A301="","",IF(AND(安値!K301&lt;安値!J301,安値!K301&lt;安値!I301,安値!K301&lt;安値!L301,安値!K301&lt;安値!M301),6,""))</f>
      </c>
      <c r="G301" s="684">
        <f>IF(終値!A301="","",IF(AND(安値!L301&lt;安値!K301,安値!L301&lt;安値!J301,安値!L301&lt;安値!M301,安値!L301&lt;安値!N301),7,""))</f>
      </c>
      <c r="H301" s="684">
        <f>IF(終値!A301="","",IF(AND(安値!M301&lt;安値!L301,安値!M301&lt;安値!K301,安値!M301&lt;安値!N301,安値!M301&lt;安値!O301),8,""))</f>
      </c>
      <c r="I301" s="684">
        <f>IF(終値!A301="","",IF(AND(安値!N301&lt;安値!M301,安値!N301&lt;安値!L301,安値!N301&lt;安値!O301,安値!N301&lt;安値!P301),9,""))</f>
      </c>
      <c r="J301" s="684">
        <f>IF(終値!A301="","",IF(AND(安値!O301&lt;安値!N301,安値!O301&lt;安値!M301,安値!O301&lt;安値!P301,安値!O301&lt;安値!Q301),10,""))</f>
      </c>
      <c r="K301" s="684">
        <f>IF(終値!A301="","",IF(AND(安値!P301&lt;安値!O301,安値!P301&lt;安値!N301,安値!P301&lt;安値!Q301,安値!P301&lt;安値!R301),11,""))</f>
      </c>
      <c r="L301" s="684">
        <f>IF(終値!A301="","",IF(AND(安値!Q301&lt;安値!P301,安値!Q301&lt;安値!O301,安値!Q301&lt;安値!R301,安値!Q301&lt;安値!S301),12,""))</f>
      </c>
      <c r="M301" s="684">
        <f>IF(終値!A301="","",IF(AND(安値!R301&lt;安値!Q301,安値!R301&lt;安値!P301,安値!R301&lt;安値!S301,安値!R301&lt;安値!T301),13,""))</f>
      </c>
      <c r="N301" s="684">
        <f>IF(終値!A301="","",IF(AND(安値!S301&lt;安値!R301,安値!S301&lt;安値!Q301,安値!S301&lt;安値!T301,安値!S301&lt;安値!U301),14,""))</f>
      </c>
      <c r="O301" s="684">
        <f>IF(終値!A301="","",IF(AND(安値!T301&lt;安値!S301,安値!T301&lt;安値!R301,安値!T301&lt;安値!U301,安値!T301&lt;安値!V301),15,""))</f>
      </c>
      <c r="P301" s="684">
        <f>IF(終値!A301="","",IF(AND(安値!U301&lt;安値!T301,安値!U301&lt;安値!S301,安値!U301&lt;安値!V301,安値!U301&lt;安値!W301),16,""))</f>
      </c>
      <c r="Q301" s="684">
        <f>IF(終値!A301="","",IF(AND(安値!V301&lt;安値!U301,安値!V301&lt;安値!T301,安値!V301&lt;安値!W301,安値!V301&lt;安値!X301),17,""))</f>
      </c>
      <c r="R301" s="684">
        <f>IF(終値!A301="","",IF(AND(安値!W301&lt;安値!V301,安値!W301&lt;安値!U301,安値!W301&lt;安値!X301,安値!W301&lt;安値!Y301),18,""))</f>
      </c>
      <c r="S301" s="684">
        <f>IF(終値!A301="","",IF(AND(安値!X301&lt;安値!W301,安値!X301&lt;安値!V301,安値!X301&lt;安値!Y301,安値!X301&lt;安値!Z301),19,""))</f>
      </c>
      <c r="T301" s="684">
        <f>IF(終値!A301="","",IF(AND(安値!Y301&lt;安値!X301,安値!Y301&lt;安値!W301,安値!Y301&lt;安値!Z301,安値!Y301&lt;安値!AA301),20,""))</f>
      </c>
      <c r="U301" s="684">
        <f>IF(終値!A301="","",IF(AND(安値!Z301&lt;安値!Y301,安値!Z301&lt;安値!X301,安値!Z301&lt;安値!AA301,安値!Z301&lt;安値!AB301),21,""))</f>
      </c>
      <c r="V301" s="684">
        <f>IF(終値!A301="","",IF(AND(安値!AA301&lt;安値!Z301,安値!AA301&lt;安値!Y301,安値!AA301&lt;安値!AB301,安値!AA301&lt;安値!AC301),22,""))</f>
      </c>
      <c r="W301" s="684">
        <f>IF(終値!A301="","",IF(AND(安値!AB301&lt;安値!AA301,安値!AB301&lt;安値!Z301,安値!AB301&lt;安値!AC301,安値!AB301&lt;安値!AD301),23,""))</f>
      </c>
      <c r="X301" s="684">
        <f>IF(終値!A301="","",IF(AND(安値!AC301&lt;安値!AB301,安値!AC301&lt;安値!AA301,安値!AC301&lt;安値!AD301,安値!AC301&lt;安値!AE301),24,""))</f>
      </c>
      <c r="Y301" s="684">
        <f>IF(終値!A301="","",IF(AND(安値!AD301&lt;安値!AC301,安値!AD301&lt;安値!AB301,安値!AD301&lt;安値!AE301,安値!AD301&lt;安値!AF301),25,""))</f>
      </c>
      <c r="Z301" s="684">
        <f>IF(終値!A301="","",IF(AND(安値!AE301&lt;安値!AD301,安値!AE301&lt;安値!AC301,安値!AE301&lt;安値!AF301,安値!AE301&lt;安値!AG301),26,""))</f>
      </c>
      <c r="AA301" s="684">
        <f>IF(終値!A301="","",IF(AND(安値!AF301&lt;安値!AE301,安値!AF301&lt;安値!AD301,安値!AF301&lt;安値!AG301,安値!AF301&lt;安値!AH301),27,""))</f>
      </c>
      <c r="AB301" s="684">
        <f>IF(終値!A301="","",IF(AND(安値!AG301&lt;安値!AF301,安値!AG301&lt;安値!AE301,安値!AG301&lt;安値!AH301,安値!AG301&lt;安値!AI301),28,""))</f>
      </c>
      <c r="AC301" s="684">
        <f>IF(終値!A301="","",IF(AND(高値!G301&gt;高値!F301,高値!G301&gt;高値!E301,高値!G301&gt;高値!H301,高値!G301&gt;高値!I301),2,""))</f>
      </c>
      <c r="AD301" s="684">
        <f>IF(終値!A301="","",IF(AND(高値!H301&gt;高値!G301,高値!H301&gt;高値!F301,高値!H301&gt;高値!I301,高値!H301&gt;高値!J301),3,""))</f>
      </c>
      <c r="AE301" s="684">
        <f>IF(終値!A301="","",IF(AND(高値!I301&gt;高値!H301,高値!I301&gt;高値!G301,高値!I301&gt;高値!J301,高値!I301&gt;高値!K301),4,""))</f>
      </c>
      <c r="AF301" s="684">
        <f>IF(終値!A301="","",IF(AND(高値!J301&gt;高値!I301,高値!J301&gt;高値!H301,高値!J301&gt;高値!K301,高値!J301&gt;高値!L301),5,""))</f>
      </c>
      <c r="AG301" s="684">
        <f>IF(終値!A301="","",IF(AND(高値!K301&gt;高値!J301,高値!K301&gt;高値!I301,高値!K301&gt;高値!L301,高値!K301&gt;高値!M301),6,""))</f>
      </c>
      <c r="AH301" s="684">
        <f>IF(終値!A301="","",IF(AND(高値!L301&gt;高値!K301,高値!L301&gt;高値!J301,高値!L301&gt;高値!M301,高値!L301&gt;高値!N301),7,""))</f>
      </c>
      <c r="AI301" s="684">
        <f>IF(終値!A301="","",IF(AND(高値!M301&gt;高値!L301,高値!M301&gt;高値!K301,高値!M301&gt;高値!N301,高値!M301&gt;高値!O301),8,""))</f>
      </c>
      <c r="AJ301" s="684">
        <f>IF(終値!A301="","",IF(AND(高値!N301&gt;高値!M301,高値!N301&gt;高値!L301,高値!N301&gt;高値!O301,高値!N301&gt;高値!P301),9,""))</f>
      </c>
      <c r="AK301" s="684">
        <f>IF(終値!A301="","",IF(AND(高値!O301&gt;高値!N301,高値!O301&gt;高値!M301,高値!O301&gt;高値!P301,高値!O301&gt;高値!Q301),10,""))</f>
      </c>
      <c r="AL301" s="684">
        <f>IF(終値!A301="","",IF(AND(高値!P301&gt;高値!O301,高値!P301&gt;高値!N301,高値!P301&gt;高値!Q301,高値!P301&gt;高値!R301),11,""))</f>
      </c>
      <c r="AM301" s="684">
        <f>IF(終値!A301="","",IF(AND(高値!Q301&gt;高値!P301,高値!Q301&gt;高値!O301,高値!Q301&gt;高値!R301,高値!Q301&gt;高値!S301),12,""))</f>
      </c>
      <c r="AN301" s="684">
        <f>IF(終値!A301="","",IF(AND(高値!R301&gt;高値!Q301,高値!R301&gt;高値!P301,高値!R301&gt;高値!S301,高値!R301&gt;高値!T301),13,""))</f>
      </c>
      <c r="AO301" s="684">
        <f>IF(終値!A301="","",IF(AND(高値!S301&gt;高値!R301,高値!S301&gt;高値!Q301,高値!S301&gt;高値!T301,高値!S301&gt;高値!U301),14,""))</f>
      </c>
      <c r="AP301" s="684">
        <f>IF(終値!A301="","",IF(AND(高値!T301&gt;高値!S301,高値!T301&gt;高値!R301,高値!T301&gt;高値!U301,高値!T301&gt;高値!V301),15,""))</f>
      </c>
      <c r="AQ301" s="684">
        <f>IF(終値!A301="","",IF(AND(高値!U301&gt;高値!T301,高値!U301&gt;高値!S301,高値!U301&gt;高値!V301,高値!U301&gt;高値!W301),16,""))</f>
      </c>
      <c r="AR301" s="684">
        <f>IF(終値!A301="","",IF(AND(高値!V301&gt;高値!U301,高値!V301&gt;高値!T301,高値!V301&gt;高値!W301,高値!V301&gt;高値!X301),17,""))</f>
      </c>
      <c r="AS301" s="684">
        <f>IF(終値!A301="","",IF(AND(高値!W301&gt;高値!V301,高値!W301&gt;高値!U301,高値!W301&gt;高値!X301,高値!W301&gt;高値!Y301),18,""))</f>
      </c>
      <c r="AT301" s="684">
        <f>IF(終値!A301="","",IF(AND(高値!X301&gt;高値!W301,高値!X301&gt;高値!V301,高値!X301&gt;高値!Y301,高値!X301&gt;高値!Z301),19,""))</f>
      </c>
      <c r="AU301" s="684">
        <f>IF(終値!A301="","",IF(AND(高値!Y301&gt;高値!X301,高値!Y301&gt;高値!W301,高値!Y301&gt;高値!Z301,高値!Y301&gt;高値!AA301),20,""))</f>
      </c>
      <c r="AV301" s="684">
        <f>IF(終値!A301="","",IF(AND(高値!Z301&gt;高値!Y301,高値!Z301&gt;高値!X301,高値!Z301&gt;高値!AA301,高値!Z301&gt;高値!AB301),21,""))</f>
      </c>
      <c r="AW301" s="684">
        <f>IF(終値!A301="","",IF(AND(高値!AA301&gt;高値!Z301,高値!AA301&gt;高値!Y301,高値!AA301&gt;高値!AB301,高値!AA301&gt;高値!AC301),22,""))</f>
      </c>
      <c r="AX301" s="684">
        <f>IF(終値!A301="","",IF(AND(高値!AB301&gt;高値!AA301,高値!AB301&gt;高値!Z301,高値!AB301&gt;高値!AC301,高値!AB301&gt;高値!AD301),23,""))</f>
      </c>
      <c r="AY301" s="684">
        <f>IF(終値!A301="","",IF(AND(高値!AC301&gt;高値!AB301,高値!AC301&gt;高値!AA301,高値!AC301&gt;高値!AD301,高値!AC301&gt;高値!AE301),24,""))</f>
      </c>
      <c r="AZ301" s="684">
        <f>IF(終値!A301="","",IF(AND(高値!AD301&gt;高値!AC301,高値!AD301&gt;高値!AB301,高値!AD301&gt;高値!AE301,高値!AD301&gt;高値!AF301),25,""))</f>
      </c>
      <c r="BA301" s="684">
        <f>IF(終値!A301="","",IF(AND(高値!AE301&gt;高値!AD301,高値!AE301&gt;高値!AC301,高値!AE301&gt;高値!AF301,高値!AE301&gt;高値!AG301),26,""))</f>
      </c>
      <c r="BB301" s="684">
        <f>IF(終値!A301="","",IF(AND(高値!AF301&gt;高値!AE301,高値!AF301&gt;高値!AD301,高値!AF301&gt;高値!AG301,高値!AF301&gt;高値!AH301),27,""))</f>
      </c>
      <c r="BC301" s="684">
        <f>IF(終値!A301="","",IF(AND(高値!AG301&gt;高値!AF301,高値!AG301&gt;高値!AE301,高値!AG301&gt;高値!AH301,高値!AG301&gt;高値!AI301),28,""))</f>
      </c>
      <c r="BD301" s="684">
        <f>COUNT($B301:$AB301)</f>
      </c>
      <c r="BE301" s="684">
        <f>IF($BD301&gt;=2,MIN($B301:$AB301),"")</f>
      </c>
      <c r="BF301" s="684">
        <f>IF($BD301&gt;=2,SMALL($B301:$AB301,2),"")</f>
      </c>
      <c r="BG301" s="684">
        <f>IF($BE301="","",INDEX(安値!$E301:$CZ301,1,$BE301+1))</f>
      </c>
      <c r="BH301" s="684">
        <f>IF($BF301="","",INDEX(安値!$E301:$CZ301,1,$BF301+1))</f>
      </c>
      <c r="BI301" s="684">
        <f>IF($BF301="","",MAX(INDEX(高値!$E301:$CZ301,1,$BE301+1):INDEX(高値!$E301:$CZ301,1,$BF301+1)))</f>
      </c>
      <c r="BJ301" s="684">
        <f>IF($BF301="","",AVERAGE(INDEX(終値!$E301:$CZ301,1,$BF301+1):INDEX(終値!$E301:$CZ301,1,$BF301+20))-2*STDEVP(INDEX(終値!$E301:$CZ301,1,$BF301+1):INDEX(終値!$E301:$CZ301,1,$BF301+20)))</f>
      </c>
      <c r="BK301" s="684">
        <f>IF($BE301="","",AVERAGE(INDEX(終値!$E301:$CZ301,1,$BE301+1):INDEX(終値!$E301:$CZ301,1,$BE301+20))-2*STDEVP(INDEX(終値!$E301:$CZ301,1,$BE301+1):INDEX(終値!$E301:$CZ301,1,$BE301+20)))</f>
      </c>
      <c r="BL301" s="684">
        <f>COUNT($AC301:$BC301)</f>
      </c>
      <c r="BM301" s="684">
        <f>IF($BL301&gt;=2,MIN($AC301:$BC301),"")</f>
      </c>
      <c r="BN301" s="684">
        <f>IF($BL301&gt;=2,SMALL($AC301:$BC301,2),"")</f>
      </c>
      <c r="BO301" s="684">
        <f>IF($BM301="","",INDEX(高値!$E301:$CZ301,1,$BM301+1))</f>
      </c>
      <c r="BP301" s="684">
        <f>IF($BN301="","",INDEX(高値!$E301:$CZ301,1,$BN301+1))</f>
      </c>
      <c r="BQ301" s="684">
        <f>IF($BN301="","",MIN(INDEX(安値!$E301:$CZ301,1,$BM301+1):INDEX(安値!$E301:$CZ301,1,$BN301+1)))</f>
      </c>
      <c r="BR301" s="684">
        <f>IF($BN301="","",AVERAGE(INDEX(終値!$E301:$CZ301,1,$BN301+1):INDEX(終値!$E301:$CZ301,1,$BN301+20))+2*STDEVP(INDEX(終値!$E301:$CZ301,1,$BN301+1):INDEX(終値!$E301:$CZ301,1,$BN301+20)))</f>
      </c>
      <c r="BS301" s="684">
        <f>IF($BM301="","",AVERAGE(INDEX(終値!$E301:$CZ301,1,$BM301+1):INDEX(終値!$E301:$CZ301,1,$BM301+20))+2*STDEVP(INDEX(終値!$E301:$CZ301,1,$BM301+1):INDEX(終値!$E301:$CZ301,1,$BM301+20)))</f>
      </c>
      <c r="BT301" s="681">
        <f>IFERROR(IF(AND($BD301&gt;=2,ABS($BG301-$BH301)/$BH301&lt;=BB設定!$B$12,$BI301&gt;=MAX($BH301,$BG301)*(1+BB設定!$B$13),終値!E301&gt;$BG301),IF(OR(終値!E301&gt;=$BI301,AND($BH301&lt;$BJ301,$BG301&gt;=$BK301)),"二番底W▲","二番底W形成"),IF(AND($BL301&gt;=2,ABS($BO301-$BP301)/$BP301&lt;=BB設定!$B$12,$BQ301&lt;=MIN($BP301,$BO301)*(1-BB設定!$B$13),終値!E301&lt;$BO301),IF(OR(終値!E301&lt;=$BQ301,AND($BP301&gt;$BR301,$BO301&lt;=$BS301)),"二番天井M▼","二番天井M形成"),"－")),"－")</f>
      </c>
    </row>
    <row r="302">
      <c r="B302" s="684">
        <f>IF(終値!A302="","",IF(AND(安値!G302&lt;安値!F302,安値!G302&lt;安値!E302,安値!G302&lt;安値!H302,安値!G302&lt;安値!I302),2,""))</f>
      </c>
      <c r="C302" s="684">
        <f>IF(終値!A302="","",IF(AND(安値!H302&lt;安値!G302,安値!H302&lt;安値!F302,安値!H302&lt;安値!I302,安値!H302&lt;安値!J302),3,""))</f>
      </c>
      <c r="D302" s="684">
        <f>IF(終値!A302="","",IF(AND(安値!I302&lt;安値!H302,安値!I302&lt;安値!G302,安値!I302&lt;安値!J302,安値!I302&lt;安値!K302),4,""))</f>
      </c>
      <c r="E302" s="684">
        <f>IF(終値!A302="","",IF(AND(安値!J302&lt;安値!I302,安値!J302&lt;安値!H302,安値!J302&lt;安値!K302,安値!J302&lt;安値!L302),5,""))</f>
      </c>
      <c r="F302" s="684">
        <f>IF(終値!A302="","",IF(AND(安値!K302&lt;安値!J302,安値!K302&lt;安値!I302,安値!K302&lt;安値!L302,安値!K302&lt;安値!M302),6,""))</f>
      </c>
      <c r="G302" s="684">
        <f>IF(終値!A302="","",IF(AND(安値!L302&lt;安値!K302,安値!L302&lt;安値!J302,安値!L302&lt;安値!M302,安値!L302&lt;安値!N302),7,""))</f>
      </c>
      <c r="H302" s="684">
        <f>IF(終値!A302="","",IF(AND(安値!M302&lt;安値!L302,安値!M302&lt;安値!K302,安値!M302&lt;安値!N302,安値!M302&lt;安値!O302),8,""))</f>
      </c>
      <c r="I302" s="684">
        <f>IF(終値!A302="","",IF(AND(安値!N302&lt;安値!M302,安値!N302&lt;安値!L302,安値!N302&lt;安値!O302,安値!N302&lt;安値!P302),9,""))</f>
      </c>
      <c r="J302" s="684">
        <f>IF(終値!A302="","",IF(AND(安値!O302&lt;安値!N302,安値!O302&lt;安値!M302,安値!O302&lt;安値!P302,安値!O302&lt;安値!Q302),10,""))</f>
      </c>
      <c r="K302" s="684">
        <f>IF(終値!A302="","",IF(AND(安値!P302&lt;安値!O302,安値!P302&lt;安値!N302,安値!P302&lt;安値!Q302,安値!P302&lt;安値!R302),11,""))</f>
      </c>
      <c r="L302" s="684">
        <f>IF(終値!A302="","",IF(AND(安値!Q302&lt;安値!P302,安値!Q302&lt;安値!O302,安値!Q302&lt;安値!R302,安値!Q302&lt;安値!S302),12,""))</f>
      </c>
      <c r="M302" s="684">
        <f>IF(終値!A302="","",IF(AND(安値!R302&lt;安値!Q302,安値!R302&lt;安値!P302,安値!R302&lt;安値!S302,安値!R302&lt;安値!T302),13,""))</f>
      </c>
      <c r="N302" s="684">
        <f>IF(終値!A302="","",IF(AND(安値!S302&lt;安値!R302,安値!S302&lt;安値!Q302,安値!S302&lt;安値!T302,安値!S302&lt;安値!U302),14,""))</f>
      </c>
      <c r="O302" s="684">
        <f>IF(終値!A302="","",IF(AND(安値!T302&lt;安値!S302,安値!T302&lt;安値!R302,安値!T302&lt;安値!U302,安値!T302&lt;安値!V302),15,""))</f>
      </c>
      <c r="P302" s="684">
        <f>IF(終値!A302="","",IF(AND(安値!U302&lt;安値!T302,安値!U302&lt;安値!S302,安値!U302&lt;安値!V302,安値!U302&lt;安値!W302),16,""))</f>
      </c>
      <c r="Q302" s="684">
        <f>IF(終値!A302="","",IF(AND(安値!V302&lt;安値!U302,安値!V302&lt;安値!T302,安値!V302&lt;安値!W302,安値!V302&lt;安値!X302),17,""))</f>
      </c>
      <c r="R302" s="684">
        <f>IF(終値!A302="","",IF(AND(安値!W302&lt;安値!V302,安値!W302&lt;安値!U302,安値!W302&lt;安値!X302,安値!W302&lt;安値!Y302),18,""))</f>
      </c>
      <c r="S302" s="684">
        <f>IF(終値!A302="","",IF(AND(安値!X302&lt;安値!W302,安値!X302&lt;安値!V302,安値!X302&lt;安値!Y302,安値!X302&lt;安値!Z302),19,""))</f>
      </c>
      <c r="T302" s="684">
        <f>IF(終値!A302="","",IF(AND(安値!Y302&lt;安値!X302,安値!Y302&lt;安値!W302,安値!Y302&lt;安値!Z302,安値!Y302&lt;安値!AA302),20,""))</f>
      </c>
      <c r="U302" s="684">
        <f>IF(終値!A302="","",IF(AND(安値!Z302&lt;安値!Y302,安値!Z302&lt;安値!X302,安値!Z302&lt;安値!AA302,安値!Z302&lt;安値!AB302),21,""))</f>
      </c>
      <c r="V302" s="684">
        <f>IF(終値!A302="","",IF(AND(安値!AA302&lt;安値!Z302,安値!AA302&lt;安値!Y302,安値!AA302&lt;安値!AB302,安値!AA302&lt;安値!AC302),22,""))</f>
      </c>
      <c r="W302" s="684">
        <f>IF(終値!A302="","",IF(AND(安値!AB302&lt;安値!AA302,安値!AB302&lt;安値!Z302,安値!AB302&lt;安値!AC302,安値!AB302&lt;安値!AD302),23,""))</f>
      </c>
      <c r="X302" s="684">
        <f>IF(終値!A302="","",IF(AND(安値!AC302&lt;安値!AB302,安値!AC302&lt;安値!AA302,安値!AC302&lt;安値!AD302,安値!AC302&lt;安値!AE302),24,""))</f>
      </c>
      <c r="Y302" s="684">
        <f>IF(終値!A302="","",IF(AND(安値!AD302&lt;安値!AC302,安値!AD302&lt;安値!AB302,安値!AD302&lt;安値!AE302,安値!AD302&lt;安値!AF302),25,""))</f>
      </c>
      <c r="Z302" s="684">
        <f>IF(終値!A302="","",IF(AND(安値!AE302&lt;安値!AD302,安値!AE302&lt;安値!AC302,安値!AE302&lt;安値!AF302,安値!AE302&lt;安値!AG302),26,""))</f>
      </c>
      <c r="AA302" s="684">
        <f>IF(終値!A302="","",IF(AND(安値!AF302&lt;安値!AE302,安値!AF302&lt;安値!AD302,安値!AF302&lt;安値!AG302,安値!AF302&lt;安値!AH302),27,""))</f>
      </c>
      <c r="AB302" s="684">
        <f>IF(終値!A302="","",IF(AND(安値!AG302&lt;安値!AF302,安値!AG302&lt;安値!AE302,安値!AG302&lt;安値!AH302,安値!AG302&lt;安値!AI302),28,""))</f>
      </c>
      <c r="AC302" s="684">
        <f>IF(終値!A302="","",IF(AND(高値!G302&gt;高値!F302,高値!G302&gt;高値!E302,高値!G302&gt;高値!H302,高値!G302&gt;高値!I302),2,""))</f>
      </c>
      <c r="AD302" s="684">
        <f>IF(終値!A302="","",IF(AND(高値!H302&gt;高値!G302,高値!H302&gt;高値!F302,高値!H302&gt;高値!I302,高値!H302&gt;高値!J302),3,""))</f>
      </c>
      <c r="AE302" s="684">
        <f>IF(終値!A302="","",IF(AND(高値!I302&gt;高値!H302,高値!I302&gt;高値!G302,高値!I302&gt;高値!J302,高値!I302&gt;高値!K302),4,""))</f>
      </c>
      <c r="AF302" s="684">
        <f>IF(終値!A302="","",IF(AND(高値!J302&gt;高値!I302,高値!J302&gt;高値!H302,高値!J302&gt;高値!K302,高値!J302&gt;高値!L302),5,""))</f>
      </c>
      <c r="AG302" s="684">
        <f>IF(終値!A302="","",IF(AND(高値!K302&gt;高値!J302,高値!K302&gt;高値!I302,高値!K302&gt;高値!L302,高値!K302&gt;高値!M302),6,""))</f>
      </c>
      <c r="AH302" s="684">
        <f>IF(終値!A302="","",IF(AND(高値!L302&gt;高値!K302,高値!L302&gt;高値!J302,高値!L302&gt;高値!M302,高値!L302&gt;高値!N302),7,""))</f>
      </c>
      <c r="AI302" s="684">
        <f>IF(終値!A302="","",IF(AND(高値!M302&gt;高値!L302,高値!M302&gt;高値!K302,高値!M302&gt;高値!N302,高値!M302&gt;高値!O302),8,""))</f>
      </c>
      <c r="AJ302" s="684">
        <f>IF(終値!A302="","",IF(AND(高値!N302&gt;高値!M302,高値!N302&gt;高値!L302,高値!N302&gt;高値!O302,高値!N302&gt;高値!P302),9,""))</f>
      </c>
      <c r="AK302" s="684">
        <f>IF(終値!A302="","",IF(AND(高値!O302&gt;高値!N302,高値!O302&gt;高値!M302,高値!O302&gt;高値!P302,高値!O302&gt;高値!Q302),10,""))</f>
      </c>
      <c r="AL302" s="684">
        <f>IF(終値!A302="","",IF(AND(高値!P302&gt;高値!O302,高値!P302&gt;高値!N302,高値!P302&gt;高値!Q302,高値!P302&gt;高値!R302),11,""))</f>
      </c>
      <c r="AM302" s="684">
        <f>IF(終値!A302="","",IF(AND(高値!Q302&gt;高値!P302,高値!Q302&gt;高値!O302,高値!Q302&gt;高値!R302,高値!Q302&gt;高値!S302),12,""))</f>
      </c>
      <c r="AN302" s="684">
        <f>IF(終値!A302="","",IF(AND(高値!R302&gt;高値!Q302,高値!R302&gt;高値!P302,高値!R302&gt;高値!S302,高値!R302&gt;高値!T302),13,""))</f>
      </c>
      <c r="AO302" s="684">
        <f>IF(終値!A302="","",IF(AND(高値!S302&gt;高値!R302,高値!S302&gt;高値!Q302,高値!S302&gt;高値!T302,高値!S302&gt;高値!U302),14,""))</f>
      </c>
      <c r="AP302" s="684">
        <f>IF(終値!A302="","",IF(AND(高値!T302&gt;高値!S302,高値!T302&gt;高値!R302,高値!T302&gt;高値!U302,高値!T302&gt;高値!V302),15,""))</f>
      </c>
      <c r="AQ302" s="684">
        <f>IF(終値!A302="","",IF(AND(高値!U302&gt;高値!T302,高値!U302&gt;高値!S302,高値!U302&gt;高値!V302,高値!U302&gt;高値!W302),16,""))</f>
      </c>
      <c r="AR302" s="684">
        <f>IF(終値!A302="","",IF(AND(高値!V302&gt;高値!U302,高値!V302&gt;高値!T302,高値!V302&gt;高値!W302,高値!V302&gt;高値!X302),17,""))</f>
      </c>
      <c r="AS302" s="684">
        <f>IF(終値!A302="","",IF(AND(高値!W302&gt;高値!V302,高値!W302&gt;高値!U302,高値!W302&gt;高値!X302,高値!W302&gt;高値!Y302),18,""))</f>
      </c>
      <c r="AT302" s="684">
        <f>IF(終値!A302="","",IF(AND(高値!X302&gt;高値!W302,高値!X302&gt;高値!V302,高値!X302&gt;高値!Y302,高値!X302&gt;高値!Z302),19,""))</f>
      </c>
      <c r="AU302" s="684">
        <f>IF(終値!A302="","",IF(AND(高値!Y302&gt;高値!X302,高値!Y302&gt;高値!W302,高値!Y302&gt;高値!Z302,高値!Y302&gt;高値!AA302),20,""))</f>
      </c>
      <c r="AV302" s="684">
        <f>IF(終値!A302="","",IF(AND(高値!Z302&gt;高値!Y302,高値!Z302&gt;高値!X302,高値!Z302&gt;高値!AA302,高値!Z302&gt;高値!AB302),21,""))</f>
      </c>
      <c r="AW302" s="684">
        <f>IF(終値!A302="","",IF(AND(高値!AA302&gt;高値!Z302,高値!AA302&gt;高値!Y302,高値!AA302&gt;高値!AB302,高値!AA302&gt;高値!AC302),22,""))</f>
      </c>
      <c r="AX302" s="684">
        <f>IF(終値!A302="","",IF(AND(高値!AB302&gt;高値!AA302,高値!AB302&gt;高値!Z302,高値!AB302&gt;高値!AC302,高値!AB302&gt;高値!AD302),23,""))</f>
      </c>
      <c r="AY302" s="684">
        <f>IF(終値!A302="","",IF(AND(高値!AC302&gt;高値!AB302,高値!AC302&gt;高値!AA302,高値!AC302&gt;高値!AD302,高値!AC302&gt;高値!AE302),24,""))</f>
      </c>
      <c r="AZ302" s="684">
        <f>IF(終値!A302="","",IF(AND(高値!AD302&gt;高値!AC302,高値!AD302&gt;高値!AB302,高値!AD302&gt;高値!AE302,高値!AD302&gt;高値!AF302),25,""))</f>
      </c>
      <c r="BA302" s="684">
        <f>IF(終値!A302="","",IF(AND(高値!AE302&gt;高値!AD302,高値!AE302&gt;高値!AC302,高値!AE302&gt;高値!AF302,高値!AE302&gt;高値!AG302),26,""))</f>
      </c>
      <c r="BB302" s="684">
        <f>IF(終値!A302="","",IF(AND(高値!AF302&gt;高値!AE302,高値!AF302&gt;高値!AD302,高値!AF302&gt;高値!AG302,高値!AF302&gt;高値!AH302),27,""))</f>
      </c>
      <c r="BC302" s="684">
        <f>IF(終値!A302="","",IF(AND(高値!AG302&gt;高値!AF302,高値!AG302&gt;高値!AE302,高値!AG302&gt;高値!AH302,高値!AG302&gt;高値!AI302),28,""))</f>
      </c>
      <c r="BD302" s="684">
        <f>COUNT($B302:$AB302)</f>
      </c>
      <c r="BE302" s="684">
        <f>IF($BD302&gt;=2,MIN($B302:$AB302),"")</f>
      </c>
      <c r="BF302" s="684">
        <f>IF($BD302&gt;=2,SMALL($B302:$AB302,2),"")</f>
      </c>
      <c r="BG302" s="684">
        <f>IF($BE302="","",INDEX(安値!$E302:$CZ302,1,$BE302+1))</f>
      </c>
      <c r="BH302" s="684">
        <f>IF($BF302="","",INDEX(安値!$E302:$CZ302,1,$BF302+1))</f>
      </c>
      <c r="BI302" s="684">
        <f>IF($BF302="","",MAX(INDEX(高値!$E302:$CZ302,1,$BE302+1):INDEX(高値!$E302:$CZ302,1,$BF302+1)))</f>
      </c>
      <c r="BJ302" s="684">
        <f>IF($BF302="","",AVERAGE(INDEX(終値!$E302:$CZ302,1,$BF302+1):INDEX(終値!$E302:$CZ302,1,$BF302+20))-2*STDEVP(INDEX(終値!$E302:$CZ302,1,$BF302+1):INDEX(終値!$E302:$CZ302,1,$BF302+20)))</f>
      </c>
      <c r="BK302" s="684">
        <f>IF($BE302="","",AVERAGE(INDEX(終値!$E302:$CZ302,1,$BE302+1):INDEX(終値!$E302:$CZ302,1,$BE302+20))-2*STDEVP(INDEX(終値!$E302:$CZ302,1,$BE302+1):INDEX(終値!$E302:$CZ302,1,$BE302+20)))</f>
      </c>
      <c r="BL302" s="684">
        <f>COUNT($AC302:$BC302)</f>
      </c>
      <c r="BM302" s="684">
        <f>IF($BL302&gt;=2,MIN($AC302:$BC302),"")</f>
      </c>
      <c r="BN302" s="684">
        <f>IF($BL302&gt;=2,SMALL($AC302:$BC302,2),"")</f>
      </c>
      <c r="BO302" s="684">
        <f>IF($BM302="","",INDEX(高値!$E302:$CZ302,1,$BM302+1))</f>
      </c>
      <c r="BP302" s="684">
        <f>IF($BN302="","",INDEX(高値!$E302:$CZ302,1,$BN302+1))</f>
      </c>
      <c r="BQ302" s="684">
        <f>IF($BN302="","",MIN(INDEX(安値!$E302:$CZ302,1,$BM302+1):INDEX(安値!$E302:$CZ302,1,$BN302+1)))</f>
      </c>
      <c r="BR302" s="684">
        <f>IF($BN302="","",AVERAGE(INDEX(終値!$E302:$CZ302,1,$BN302+1):INDEX(終値!$E302:$CZ302,1,$BN302+20))+2*STDEVP(INDEX(終値!$E302:$CZ302,1,$BN302+1):INDEX(終値!$E302:$CZ302,1,$BN302+20)))</f>
      </c>
      <c r="BS302" s="684">
        <f>IF($BM302="","",AVERAGE(INDEX(終値!$E302:$CZ302,1,$BM302+1):INDEX(終値!$E302:$CZ302,1,$BM302+20))+2*STDEVP(INDEX(終値!$E302:$CZ302,1,$BM302+1):INDEX(終値!$E302:$CZ302,1,$BM302+20)))</f>
      </c>
      <c r="BT302" s="681">
        <f>IFERROR(IF(AND($BD302&gt;=2,ABS($BG302-$BH302)/$BH302&lt;=BB設定!$B$12,$BI302&gt;=MAX($BH302,$BG302)*(1+BB設定!$B$13),終値!E302&gt;$BG302),IF(OR(終値!E302&gt;=$BI302,AND($BH302&lt;$BJ302,$BG302&gt;=$BK302)),"二番底W▲","二番底W形成"),IF(AND($BL302&gt;=2,ABS($BO302-$BP302)/$BP302&lt;=BB設定!$B$12,$BQ302&lt;=MIN($BP302,$BO302)*(1-BB設定!$B$13),終値!E302&lt;$BO302),IF(OR(終値!E302&lt;=$BQ302,AND($BP302&gt;$BR302,$BO302&lt;=$BS302)),"二番天井M▼","二番天井M形成"),"－")),"－")</f>
      </c>
    </row>
    <row r="303">
      <c r="B303" s="684">
        <f>IF(終値!A303="","",IF(AND(安値!G303&lt;安値!F303,安値!G303&lt;安値!E303,安値!G303&lt;安値!H303,安値!G303&lt;安値!I303),2,""))</f>
      </c>
      <c r="C303" s="684">
        <f>IF(終値!A303="","",IF(AND(安値!H303&lt;安値!G303,安値!H303&lt;安値!F303,安値!H303&lt;安値!I303,安値!H303&lt;安値!J303),3,""))</f>
      </c>
      <c r="D303" s="684">
        <f>IF(終値!A303="","",IF(AND(安値!I303&lt;安値!H303,安値!I303&lt;安値!G303,安値!I303&lt;安値!J303,安値!I303&lt;安値!K303),4,""))</f>
      </c>
      <c r="E303" s="684">
        <f>IF(終値!A303="","",IF(AND(安値!J303&lt;安値!I303,安値!J303&lt;安値!H303,安値!J303&lt;安値!K303,安値!J303&lt;安値!L303),5,""))</f>
      </c>
      <c r="F303" s="684">
        <f>IF(終値!A303="","",IF(AND(安値!K303&lt;安値!J303,安値!K303&lt;安値!I303,安値!K303&lt;安値!L303,安値!K303&lt;安値!M303),6,""))</f>
      </c>
      <c r="G303" s="684">
        <f>IF(終値!A303="","",IF(AND(安値!L303&lt;安値!K303,安値!L303&lt;安値!J303,安値!L303&lt;安値!M303,安値!L303&lt;安値!N303),7,""))</f>
      </c>
      <c r="H303" s="684">
        <f>IF(終値!A303="","",IF(AND(安値!M303&lt;安値!L303,安値!M303&lt;安値!K303,安値!M303&lt;安値!N303,安値!M303&lt;安値!O303),8,""))</f>
      </c>
      <c r="I303" s="684">
        <f>IF(終値!A303="","",IF(AND(安値!N303&lt;安値!M303,安値!N303&lt;安値!L303,安値!N303&lt;安値!O303,安値!N303&lt;安値!P303),9,""))</f>
      </c>
      <c r="J303" s="684">
        <f>IF(終値!A303="","",IF(AND(安値!O303&lt;安値!N303,安値!O303&lt;安値!M303,安値!O303&lt;安値!P303,安値!O303&lt;安値!Q303),10,""))</f>
      </c>
      <c r="K303" s="684">
        <f>IF(終値!A303="","",IF(AND(安値!P303&lt;安値!O303,安値!P303&lt;安値!N303,安値!P303&lt;安値!Q303,安値!P303&lt;安値!R303),11,""))</f>
      </c>
      <c r="L303" s="684">
        <f>IF(終値!A303="","",IF(AND(安値!Q303&lt;安値!P303,安値!Q303&lt;安値!O303,安値!Q303&lt;安値!R303,安値!Q303&lt;安値!S303),12,""))</f>
      </c>
      <c r="M303" s="684">
        <f>IF(終値!A303="","",IF(AND(安値!R303&lt;安値!Q303,安値!R303&lt;安値!P303,安値!R303&lt;安値!S303,安値!R303&lt;安値!T303),13,""))</f>
      </c>
      <c r="N303" s="684">
        <f>IF(終値!A303="","",IF(AND(安値!S303&lt;安値!R303,安値!S303&lt;安値!Q303,安値!S303&lt;安値!T303,安値!S303&lt;安値!U303),14,""))</f>
      </c>
      <c r="O303" s="684">
        <f>IF(終値!A303="","",IF(AND(安値!T303&lt;安値!S303,安値!T303&lt;安値!R303,安値!T303&lt;安値!U303,安値!T303&lt;安値!V303),15,""))</f>
      </c>
      <c r="P303" s="684">
        <f>IF(終値!A303="","",IF(AND(安値!U303&lt;安値!T303,安値!U303&lt;安値!S303,安値!U303&lt;安値!V303,安値!U303&lt;安値!W303),16,""))</f>
      </c>
      <c r="Q303" s="684">
        <f>IF(終値!A303="","",IF(AND(安値!V303&lt;安値!U303,安値!V303&lt;安値!T303,安値!V303&lt;安値!W303,安値!V303&lt;安値!X303),17,""))</f>
      </c>
      <c r="R303" s="684">
        <f>IF(終値!A303="","",IF(AND(安値!W303&lt;安値!V303,安値!W303&lt;安値!U303,安値!W303&lt;安値!X303,安値!W303&lt;安値!Y303),18,""))</f>
      </c>
      <c r="S303" s="684">
        <f>IF(終値!A303="","",IF(AND(安値!X303&lt;安値!W303,安値!X303&lt;安値!V303,安値!X303&lt;安値!Y303,安値!X303&lt;安値!Z303),19,""))</f>
      </c>
      <c r="T303" s="684">
        <f>IF(終値!A303="","",IF(AND(安値!Y303&lt;安値!X303,安値!Y303&lt;安値!W303,安値!Y303&lt;安値!Z303,安値!Y303&lt;安値!AA303),20,""))</f>
      </c>
      <c r="U303" s="684">
        <f>IF(終値!A303="","",IF(AND(安値!Z303&lt;安値!Y303,安値!Z303&lt;安値!X303,安値!Z303&lt;安値!AA303,安値!Z303&lt;安値!AB303),21,""))</f>
      </c>
      <c r="V303" s="684">
        <f>IF(終値!A303="","",IF(AND(安値!AA303&lt;安値!Z303,安値!AA303&lt;安値!Y303,安値!AA303&lt;安値!AB303,安値!AA303&lt;安値!AC303),22,""))</f>
      </c>
      <c r="W303" s="684">
        <f>IF(終値!A303="","",IF(AND(安値!AB303&lt;安値!AA303,安値!AB303&lt;安値!Z303,安値!AB303&lt;安値!AC303,安値!AB303&lt;安値!AD303),23,""))</f>
      </c>
      <c r="X303" s="684">
        <f>IF(終値!A303="","",IF(AND(安値!AC303&lt;安値!AB303,安値!AC303&lt;安値!AA303,安値!AC303&lt;安値!AD303,安値!AC303&lt;安値!AE303),24,""))</f>
      </c>
      <c r="Y303" s="684">
        <f>IF(終値!A303="","",IF(AND(安値!AD303&lt;安値!AC303,安値!AD303&lt;安値!AB303,安値!AD303&lt;安値!AE303,安値!AD303&lt;安値!AF303),25,""))</f>
      </c>
      <c r="Z303" s="684">
        <f>IF(終値!A303="","",IF(AND(安値!AE303&lt;安値!AD303,安値!AE303&lt;安値!AC303,安値!AE303&lt;安値!AF303,安値!AE303&lt;安値!AG303),26,""))</f>
      </c>
      <c r="AA303" s="684">
        <f>IF(終値!A303="","",IF(AND(安値!AF303&lt;安値!AE303,安値!AF303&lt;安値!AD303,安値!AF303&lt;安値!AG303,安値!AF303&lt;安値!AH303),27,""))</f>
      </c>
      <c r="AB303" s="684">
        <f>IF(終値!A303="","",IF(AND(安値!AG303&lt;安値!AF303,安値!AG303&lt;安値!AE303,安値!AG303&lt;安値!AH303,安値!AG303&lt;安値!AI303),28,""))</f>
      </c>
      <c r="AC303" s="684">
        <f>IF(終値!A303="","",IF(AND(高値!G303&gt;高値!F303,高値!G303&gt;高値!E303,高値!G303&gt;高値!H303,高値!G303&gt;高値!I303),2,""))</f>
      </c>
      <c r="AD303" s="684">
        <f>IF(終値!A303="","",IF(AND(高値!H303&gt;高値!G303,高値!H303&gt;高値!F303,高値!H303&gt;高値!I303,高値!H303&gt;高値!J303),3,""))</f>
      </c>
      <c r="AE303" s="684">
        <f>IF(終値!A303="","",IF(AND(高値!I303&gt;高値!H303,高値!I303&gt;高値!G303,高値!I303&gt;高値!J303,高値!I303&gt;高値!K303),4,""))</f>
      </c>
      <c r="AF303" s="684">
        <f>IF(終値!A303="","",IF(AND(高値!J303&gt;高値!I303,高値!J303&gt;高値!H303,高値!J303&gt;高値!K303,高値!J303&gt;高値!L303),5,""))</f>
      </c>
      <c r="AG303" s="684">
        <f>IF(終値!A303="","",IF(AND(高値!K303&gt;高値!J303,高値!K303&gt;高値!I303,高値!K303&gt;高値!L303,高値!K303&gt;高値!M303),6,""))</f>
      </c>
      <c r="AH303" s="684">
        <f>IF(終値!A303="","",IF(AND(高値!L303&gt;高値!K303,高値!L303&gt;高値!J303,高値!L303&gt;高値!M303,高値!L303&gt;高値!N303),7,""))</f>
      </c>
      <c r="AI303" s="684">
        <f>IF(終値!A303="","",IF(AND(高値!M303&gt;高値!L303,高値!M303&gt;高値!K303,高値!M303&gt;高値!N303,高値!M303&gt;高値!O303),8,""))</f>
      </c>
      <c r="AJ303" s="684">
        <f>IF(終値!A303="","",IF(AND(高値!N303&gt;高値!M303,高値!N303&gt;高値!L303,高値!N303&gt;高値!O303,高値!N303&gt;高値!P303),9,""))</f>
      </c>
      <c r="AK303" s="684">
        <f>IF(終値!A303="","",IF(AND(高値!O303&gt;高値!N303,高値!O303&gt;高値!M303,高値!O303&gt;高値!P303,高値!O303&gt;高値!Q303),10,""))</f>
      </c>
      <c r="AL303" s="684">
        <f>IF(終値!A303="","",IF(AND(高値!P303&gt;高値!O303,高値!P303&gt;高値!N303,高値!P303&gt;高値!Q303,高値!P303&gt;高値!R303),11,""))</f>
      </c>
      <c r="AM303" s="684">
        <f>IF(終値!A303="","",IF(AND(高値!Q303&gt;高値!P303,高値!Q303&gt;高値!O303,高値!Q303&gt;高値!R303,高値!Q303&gt;高値!S303),12,""))</f>
      </c>
      <c r="AN303" s="684">
        <f>IF(終値!A303="","",IF(AND(高値!R303&gt;高値!Q303,高値!R303&gt;高値!P303,高値!R303&gt;高値!S303,高値!R303&gt;高値!T303),13,""))</f>
      </c>
      <c r="AO303" s="684">
        <f>IF(終値!A303="","",IF(AND(高値!S303&gt;高値!R303,高値!S303&gt;高値!Q303,高値!S303&gt;高値!T303,高値!S303&gt;高値!U303),14,""))</f>
      </c>
      <c r="AP303" s="684">
        <f>IF(終値!A303="","",IF(AND(高値!T303&gt;高値!S303,高値!T303&gt;高値!R303,高値!T303&gt;高値!U303,高値!T303&gt;高値!V303),15,""))</f>
      </c>
      <c r="AQ303" s="684">
        <f>IF(終値!A303="","",IF(AND(高値!U303&gt;高値!T303,高値!U303&gt;高値!S303,高値!U303&gt;高値!V303,高値!U303&gt;高値!W303),16,""))</f>
      </c>
      <c r="AR303" s="684">
        <f>IF(終値!A303="","",IF(AND(高値!V303&gt;高値!U303,高値!V303&gt;高値!T303,高値!V303&gt;高値!W303,高値!V303&gt;高値!X303),17,""))</f>
      </c>
      <c r="AS303" s="684">
        <f>IF(終値!A303="","",IF(AND(高値!W303&gt;高値!V303,高値!W303&gt;高値!U303,高値!W303&gt;高値!X303,高値!W303&gt;高値!Y303),18,""))</f>
      </c>
      <c r="AT303" s="684">
        <f>IF(終値!A303="","",IF(AND(高値!X303&gt;高値!W303,高値!X303&gt;高値!V303,高値!X303&gt;高値!Y303,高値!X303&gt;高値!Z303),19,""))</f>
      </c>
      <c r="AU303" s="684">
        <f>IF(終値!A303="","",IF(AND(高値!Y303&gt;高値!X303,高値!Y303&gt;高値!W303,高値!Y303&gt;高値!Z303,高値!Y303&gt;高値!AA303),20,""))</f>
      </c>
      <c r="AV303" s="684">
        <f>IF(終値!A303="","",IF(AND(高値!Z303&gt;高値!Y303,高値!Z303&gt;高値!X303,高値!Z303&gt;高値!AA303,高値!Z303&gt;高値!AB303),21,""))</f>
      </c>
      <c r="AW303" s="684">
        <f>IF(終値!A303="","",IF(AND(高値!AA303&gt;高値!Z303,高値!AA303&gt;高値!Y303,高値!AA303&gt;高値!AB303,高値!AA303&gt;高値!AC303),22,""))</f>
      </c>
      <c r="AX303" s="684">
        <f>IF(終値!A303="","",IF(AND(高値!AB303&gt;高値!AA303,高値!AB303&gt;高値!Z303,高値!AB303&gt;高値!AC303,高値!AB303&gt;高値!AD303),23,""))</f>
      </c>
      <c r="AY303" s="684">
        <f>IF(終値!A303="","",IF(AND(高値!AC303&gt;高値!AB303,高値!AC303&gt;高値!AA303,高値!AC303&gt;高値!AD303,高値!AC303&gt;高値!AE303),24,""))</f>
      </c>
      <c r="AZ303" s="684">
        <f>IF(終値!A303="","",IF(AND(高値!AD303&gt;高値!AC303,高値!AD303&gt;高値!AB303,高値!AD303&gt;高値!AE303,高値!AD303&gt;高値!AF303),25,""))</f>
      </c>
      <c r="BA303" s="684">
        <f>IF(終値!A303="","",IF(AND(高値!AE303&gt;高値!AD303,高値!AE303&gt;高値!AC303,高値!AE303&gt;高値!AF303,高値!AE303&gt;高値!AG303),26,""))</f>
      </c>
      <c r="BB303" s="684">
        <f>IF(終値!A303="","",IF(AND(高値!AF303&gt;高値!AE303,高値!AF303&gt;高値!AD303,高値!AF303&gt;高値!AG303,高値!AF303&gt;高値!AH303),27,""))</f>
      </c>
      <c r="BC303" s="684">
        <f>IF(終値!A303="","",IF(AND(高値!AG303&gt;高値!AF303,高値!AG303&gt;高値!AE303,高値!AG303&gt;高値!AH303,高値!AG303&gt;高値!AI303),28,""))</f>
      </c>
      <c r="BD303" s="684">
        <f>COUNT($B303:$AB303)</f>
      </c>
      <c r="BE303" s="684">
        <f>IF($BD303&gt;=2,MIN($B303:$AB303),"")</f>
      </c>
      <c r="BF303" s="684">
        <f>IF($BD303&gt;=2,SMALL($B303:$AB303,2),"")</f>
      </c>
      <c r="BG303" s="684">
        <f>IF($BE303="","",INDEX(安値!$E303:$CZ303,1,$BE303+1))</f>
      </c>
      <c r="BH303" s="684">
        <f>IF($BF303="","",INDEX(安値!$E303:$CZ303,1,$BF303+1))</f>
      </c>
      <c r="BI303" s="684">
        <f>IF($BF303="","",MAX(INDEX(高値!$E303:$CZ303,1,$BE303+1):INDEX(高値!$E303:$CZ303,1,$BF303+1)))</f>
      </c>
      <c r="BJ303" s="684">
        <f>IF($BF303="","",AVERAGE(INDEX(終値!$E303:$CZ303,1,$BF303+1):INDEX(終値!$E303:$CZ303,1,$BF303+20))-2*STDEVP(INDEX(終値!$E303:$CZ303,1,$BF303+1):INDEX(終値!$E303:$CZ303,1,$BF303+20)))</f>
      </c>
      <c r="BK303" s="684">
        <f>IF($BE303="","",AVERAGE(INDEX(終値!$E303:$CZ303,1,$BE303+1):INDEX(終値!$E303:$CZ303,1,$BE303+20))-2*STDEVP(INDEX(終値!$E303:$CZ303,1,$BE303+1):INDEX(終値!$E303:$CZ303,1,$BE303+20)))</f>
      </c>
      <c r="BL303" s="684">
        <f>COUNT($AC303:$BC303)</f>
      </c>
      <c r="BM303" s="684">
        <f>IF($BL303&gt;=2,MIN($AC303:$BC303),"")</f>
      </c>
      <c r="BN303" s="684">
        <f>IF($BL303&gt;=2,SMALL($AC303:$BC303,2),"")</f>
      </c>
      <c r="BO303" s="684">
        <f>IF($BM303="","",INDEX(高値!$E303:$CZ303,1,$BM303+1))</f>
      </c>
      <c r="BP303" s="684">
        <f>IF($BN303="","",INDEX(高値!$E303:$CZ303,1,$BN303+1))</f>
      </c>
      <c r="BQ303" s="684">
        <f>IF($BN303="","",MIN(INDEX(安値!$E303:$CZ303,1,$BM303+1):INDEX(安値!$E303:$CZ303,1,$BN303+1)))</f>
      </c>
      <c r="BR303" s="684">
        <f>IF($BN303="","",AVERAGE(INDEX(終値!$E303:$CZ303,1,$BN303+1):INDEX(終値!$E303:$CZ303,1,$BN303+20))+2*STDEVP(INDEX(終値!$E303:$CZ303,1,$BN303+1):INDEX(終値!$E303:$CZ303,1,$BN303+20)))</f>
      </c>
      <c r="BS303" s="684">
        <f>IF($BM303="","",AVERAGE(INDEX(終値!$E303:$CZ303,1,$BM303+1):INDEX(終値!$E303:$CZ303,1,$BM303+20))+2*STDEVP(INDEX(終値!$E303:$CZ303,1,$BM303+1):INDEX(終値!$E303:$CZ303,1,$BM303+20)))</f>
      </c>
      <c r="BT303" s="681">
        <f>IFERROR(IF(AND($BD303&gt;=2,ABS($BG303-$BH303)/$BH303&lt;=BB設定!$B$12,$BI303&gt;=MAX($BH303,$BG303)*(1+BB設定!$B$13),終値!E303&gt;$BG303),IF(OR(終値!E303&gt;=$BI303,AND($BH303&lt;$BJ303,$BG303&gt;=$BK303)),"二番底W▲","二番底W形成"),IF(AND($BL303&gt;=2,ABS($BO303-$BP303)/$BP303&lt;=BB設定!$B$12,$BQ303&lt;=MIN($BP303,$BO303)*(1-BB設定!$B$13),終値!E303&lt;$BO303),IF(OR(終値!E303&lt;=$BQ303,AND($BP303&gt;$BR303,$BO303&lt;=$BS303)),"二番天井M▼","二番天井M形成"),"－")),"－")</f>
      </c>
    </row>
    <row r="304">
      <c r="B304" s="684">
        <f>IF(終値!A304="","",IF(AND(安値!G304&lt;安値!F304,安値!G304&lt;安値!E304,安値!G304&lt;安値!H304,安値!G304&lt;安値!I304),2,""))</f>
      </c>
      <c r="C304" s="684">
        <f>IF(終値!A304="","",IF(AND(安値!H304&lt;安値!G304,安値!H304&lt;安値!F304,安値!H304&lt;安値!I304,安値!H304&lt;安値!J304),3,""))</f>
      </c>
      <c r="D304" s="684">
        <f>IF(終値!A304="","",IF(AND(安値!I304&lt;安値!H304,安値!I304&lt;安値!G304,安値!I304&lt;安値!J304,安値!I304&lt;安値!K304),4,""))</f>
      </c>
      <c r="E304" s="684">
        <f>IF(終値!A304="","",IF(AND(安値!J304&lt;安値!I304,安値!J304&lt;安値!H304,安値!J304&lt;安値!K304,安値!J304&lt;安値!L304),5,""))</f>
      </c>
      <c r="F304" s="684">
        <f>IF(終値!A304="","",IF(AND(安値!K304&lt;安値!J304,安値!K304&lt;安値!I304,安値!K304&lt;安値!L304,安値!K304&lt;安値!M304),6,""))</f>
      </c>
      <c r="G304" s="684">
        <f>IF(終値!A304="","",IF(AND(安値!L304&lt;安値!K304,安値!L304&lt;安値!J304,安値!L304&lt;安値!M304,安値!L304&lt;安値!N304),7,""))</f>
      </c>
      <c r="H304" s="684">
        <f>IF(終値!A304="","",IF(AND(安値!M304&lt;安値!L304,安値!M304&lt;安値!K304,安値!M304&lt;安値!N304,安値!M304&lt;安値!O304),8,""))</f>
      </c>
      <c r="I304" s="684">
        <f>IF(終値!A304="","",IF(AND(安値!N304&lt;安値!M304,安値!N304&lt;安値!L304,安値!N304&lt;安値!O304,安値!N304&lt;安値!P304),9,""))</f>
      </c>
      <c r="J304" s="684">
        <f>IF(終値!A304="","",IF(AND(安値!O304&lt;安値!N304,安値!O304&lt;安値!M304,安値!O304&lt;安値!P304,安値!O304&lt;安値!Q304),10,""))</f>
      </c>
      <c r="K304" s="684">
        <f>IF(終値!A304="","",IF(AND(安値!P304&lt;安値!O304,安値!P304&lt;安値!N304,安値!P304&lt;安値!Q304,安値!P304&lt;安値!R304),11,""))</f>
      </c>
      <c r="L304" s="684">
        <f>IF(終値!A304="","",IF(AND(安値!Q304&lt;安値!P304,安値!Q304&lt;安値!O304,安値!Q304&lt;安値!R304,安値!Q304&lt;安値!S304),12,""))</f>
      </c>
      <c r="M304" s="684">
        <f>IF(終値!A304="","",IF(AND(安値!R304&lt;安値!Q304,安値!R304&lt;安値!P304,安値!R304&lt;安値!S304,安値!R304&lt;安値!T304),13,""))</f>
      </c>
      <c r="N304" s="684">
        <f>IF(終値!A304="","",IF(AND(安値!S304&lt;安値!R304,安値!S304&lt;安値!Q304,安値!S304&lt;安値!T304,安値!S304&lt;安値!U304),14,""))</f>
      </c>
      <c r="O304" s="684">
        <f>IF(終値!A304="","",IF(AND(安値!T304&lt;安値!S304,安値!T304&lt;安値!R304,安値!T304&lt;安値!U304,安値!T304&lt;安値!V304),15,""))</f>
      </c>
      <c r="P304" s="684">
        <f>IF(終値!A304="","",IF(AND(安値!U304&lt;安値!T304,安値!U304&lt;安値!S304,安値!U304&lt;安値!V304,安値!U304&lt;安値!W304),16,""))</f>
      </c>
      <c r="Q304" s="684">
        <f>IF(終値!A304="","",IF(AND(安値!V304&lt;安値!U304,安値!V304&lt;安値!T304,安値!V304&lt;安値!W304,安値!V304&lt;安値!X304),17,""))</f>
      </c>
      <c r="R304" s="684">
        <f>IF(終値!A304="","",IF(AND(安値!W304&lt;安値!V304,安値!W304&lt;安値!U304,安値!W304&lt;安値!X304,安値!W304&lt;安値!Y304),18,""))</f>
      </c>
      <c r="S304" s="684">
        <f>IF(終値!A304="","",IF(AND(安値!X304&lt;安値!W304,安値!X304&lt;安値!V304,安値!X304&lt;安値!Y304,安値!X304&lt;安値!Z304),19,""))</f>
      </c>
      <c r="T304" s="684">
        <f>IF(終値!A304="","",IF(AND(安値!Y304&lt;安値!X304,安値!Y304&lt;安値!W304,安値!Y304&lt;安値!Z304,安値!Y304&lt;安値!AA304),20,""))</f>
      </c>
      <c r="U304" s="684">
        <f>IF(終値!A304="","",IF(AND(安値!Z304&lt;安値!Y304,安値!Z304&lt;安値!X304,安値!Z304&lt;安値!AA304,安値!Z304&lt;安値!AB304),21,""))</f>
      </c>
      <c r="V304" s="684">
        <f>IF(終値!A304="","",IF(AND(安値!AA304&lt;安値!Z304,安値!AA304&lt;安値!Y304,安値!AA304&lt;安値!AB304,安値!AA304&lt;安値!AC304),22,""))</f>
      </c>
      <c r="W304" s="684">
        <f>IF(終値!A304="","",IF(AND(安値!AB304&lt;安値!AA304,安値!AB304&lt;安値!Z304,安値!AB304&lt;安値!AC304,安値!AB304&lt;安値!AD304),23,""))</f>
      </c>
      <c r="X304" s="684">
        <f>IF(終値!A304="","",IF(AND(安値!AC304&lt;安値!AB304,安値!AC304&lt;安値!AA304,安値!AC304&lt;安値!AD304,安値!AC304&lt;安値!AE304),24,""))</f>
      </c>
      <c r="Y304" s="684">
        <f>IF(終値!A304="","",IF(AND(安値!AD304&lt;安値!AC304,安値!AD304&lt;安値!AB304,安値!AD304&lt;安値!AE304,安値!AD304&lt;安値!AF304),25,""))</f>
      </c>
      <c r="Z304" s="684">
        <f>IF(終値!A304="","",IF(AND(安値!AE304&lt;安値!AD304,安値!AE304&lt;安値!AC304,安値!AE304&lt;安値!AF304,安値!AE304&lt;安値!AG304),26,""))</f>
      </c>
      <c r="AA304" s="684">
        <f>IF(終値!A304="","",IF(AND(安値!AF304&lt;安値!AE304,安値!AF304&lt;安値!AD304,安値!AF304&lt;安値!AG304,安値!AF304&lt;安値!AH304),27,""))</f>
      </c>
      <c r="AB304" s="684">
        <f>IF(終値!A304="","",IF(AND(安値!AG304&lt;安値!AF304,安値!AG304&lt;安値!AE304,安値!AG304&lt;安値!AH304,安値!AG304&lt;安値!AI304),28,""))</f>
      </c>
      <c r="AC304" s="684">
        <f>IF(終値!A304="","",IF(AND(高値!G304&gt;高値!F304,高値!G304&gt;高値!E304,高値!G304&gt;高値!H304,高値!G304&gt;高値!I304),2,""))</f>
      </c>
      <c r="AD304" s="684">
        <f>IF(終値!A304="","",IF(AND(高値!H304&gt;高値!G304,高値!H304&gt;高値!F304,高値!H304&gt;高値!I304,高値!H304&gt;高値!J304),3,""))</f>
      </c>
      <c r="AE304" s="684">
        <f>IF(終値!A304="","",IF(AND(高値!I304&gt;高値!H304,高値!I304&gt;高値!G304,高値!I304&gt;高値!J304,高値!I304&gt;高値!K304),4,""))</f>
      </c>
      <c r="AF304" s="684">
        <f>IF(終値!A304="","",IF(AND(高値!J304&gt;高値!I304,高値!J304&gt;高値!H304,高値!J304&gt;高値!K304,高値!J304&gt;高値!L304),5,""))</f>
      </c>
      <c r="AG304" s="684">
        <f>IF(終値!A304="","",IF(AND(高値!K304&gt;高値!J304,高値!K304&gt;高値!I304,高値!K304&gt;高値!L304,高値!K304&gt;高値!M304),6,""))</f>
      </c>
      <c r="AH304" s="684">
        <f>IF(終値!A304="","",IF(AND(高値!L304&gt;高値!K304,高値!L304&gt;高値!J304,高値!L304&gt;高値!M304,高値!L304&gt;高値!N304),7,""))</f>
      </c>
      <c r="AI304" s="684">
        <f>IF(終値!A304="","",IF(AND(高値!M304&gt;高値!L304,高値!M304&gt;高値!K304,高値!M304&gt;高値!N304,高値!M304&gt;高値!O304),8,""))</f>
      </c>
      <c r="AJ304" s="684">
        <f>IF(終値!A304="","",IF(AND(高値!N304&gt;高値!M304,高値!N304&gt;高値!L304,高値!N304&gt;高値!O304,高値!N304&gt;高値!P304),9,""))</f>
      </c>
      <c r="AK304" s="684">
        <f>IF(終値!A304="","",IF(AND(高値!O304&gt;高値!N304,高値!O304&gt;高値!M304,高値!O304&gt;高値!P304,高値!O304&gt;高値!Q304),10,""))</f>
      </c>
      <c r="AL304" s="684">
        <f>IF(終値!A304="","",IF(AND(高値!P304&gt;高値!O304,高値!P304&gt;高値!N304,高値!P304&gt;高値!Q304,高値!P304&gt;高値!R304),11,""))</f>
      </c>
      <c r="AM304" s="684">
        <f>IF(終値!A304="","",IF(AND(高値!Q304&gt;高値!P304,高値!Q304&gt;高値!O304,高値!Q304&gt;高値!R304,高値!Q304&gt;高値!S304),12,""))</f>
      </c>
      <c r="AN304" s="684">
        <f>IF(終値!A304="","",IF(AND(高値!R304&gt;高値!Q304,高値!R304&gt;高値!P304,高値!R304&gt;高値!S304,高値!R304&gt;高値!T304),13,""))</f>
      </c>
      <c r="AO304" s="684">
        <f>IF(終値!A304="","",IF(AND(高値!S304&gt;高値!R304,高値!S304&gt;高値!Q304,高値!S304&gt;高値!T304,高値!S304&gt;高値!U304),14,""))</f>
      </c>
      <c r="AP304" s="684">
        <f>IF(終値!A304="","",IF(AND(高値!T304&gt;高値!S304,高値!T304&gt;高値!R304,高値!T304&gt;高値!U304,高値!T304&gt;高値!V304),15,""))</f>
      </c>
      <c r="AQ304" s="684">
        <f>IF(終値!A304="","",IF(AND(高値!U304&gt;高値!T304,高値!U304&gt;高値!S304,高値!U304&gt;高値!V304,高値!U304&gt;高値!W304),16,""))</f>
      </c>
      <c r="AR304" s="684">
        <f>IF(終値!A304="","",IF(AND(高値!V304&gt;高値!U304,高値!V304&gt;高値!T304,高値!V304&gt;高値!W304,高値!V304&gt;高値!X304),17,""))</f>
      </c>
      <c r="AS304" s="684">
        <f>IF(終値!A304="","",IF(AND(高値!W304&gt;高値!V304,高値!W304&gt;高値!U304,高値!W304&gt;高値!X304,高値!W304&gt;高値!Y304),18,""))</f>
      </c>
      <c r="AT304" s="684">
        <f>IF(終値!A304="","",IF(AND(高値!X304&gt;高値!W304,高値!X304&gt;高値!V304,高値!X304&gt;高値!Y304,高値!X304&gt;高値!Z304),19,""))</f>
      </c>
      <c r="AU304" s="684">
        <f>IF(終値!A304="","",IF(AND(高値!Y304&gt;高値!X304,高値!Y304&gt;高値!W304,高値!Y304&gt;高値!Z304,高値!Y304&gt;高値!AA304),20,""))</f>
      </c>
      <c r="AV304" s="684">
        <f>IF(終値!A304="","",IF(AND(高値!Z304&gt;高値!Y304,高値!Z304&gt;高値!X304,高値!Z304&gt;高値!AA304,高値!Z304&gt;高値!AB304),21,""))</f>
      </c>
      <c r="AW304" s="684">
        <f>IF(終値!A304="","",IF(AND(高値!AA304&gt;高値!Z304,高値!AA304&gt;高値!Y304,高値!AA304&gt;高値!AB304,高値!AA304&gt;高値!AC304),22,""))</f>
      </c>
      <c r="AX304" s="684">
        <f>IF(終値!A304="","",IF(AND(高値!AB304&gt;高値!AA304,高値!AB304&gt;高値!Z304,高値!AB304&gt;高値!AC304,高値!AB304&gt;高値!AD304),23,""))</f>
      </c>
      <c r="AY304" s="684">
        <f>IF(終値!A304="","",IF(AND(高値!AC304&gt;高値!AB304,高値!AC304&gt;高値!AA304,高値!AC304&gt;高値!AD304,高値!AC304&gt;高値!AE304),24,""))</f>
      </c>
      <c r="AZ304" s="684">
        <f>IF(終値!A304="","",IF(AND(高値!AD304&gt;高値!AC304,高値!AD304&gt;高値!AB304,高値!AD304&gt;高値!AE304,高値!AD304&gt;高値!AF304),25,""))</f>
      </c>
      <c r="BA304" s="684">
        <f>IF(終値!A304="","",IF(AND(高値!AE304&gt;高値!AD304,高値!AE304&gt;高値!AC304,高値!AE304&gt;高値!AF304,高値!AE304&gt;高値!AG304),26,""))</f>
      </c>
      <c r="BB304" s="684">
        <f>IF(終値!A304="","",IF(AND(高値!AF304&gt;高値!AE304,高値!AF304&gt;高値!AD304,高値!AF304&gt;高値!AG304,高値!AF304&gt;高値!AH304),27,""))</f>
      </c>
      <c r="BC304" s="684">
        <f>IF(終値!A304="","",IF(AND(高値!AG304&gt;高値!AF304,高値!AG304&gt;高値!AE304,高値!AG304&gt;高値!AH304,高値!AG304&gt;高値!AI304),28,""))</f>
      </c>
      <c r="BD304" s="684">
        <f>COUNT($B304:$AB304)</f>
      </c>
      <c r="BE304" s="684">
        <f>IF($BD304&gt;=2,MIN($B304:$AB304),"")</f>
      </c>
      <c r="BF304" s="684">
        <f>IF($BD304&gt;=2,SMALL($B304:$AB304,2),"")</f>
      </c>
      <c r="BG304" s="684">
        <f>IF($BE304="","",INDEX(安値!$E304:$CZ304,1,$BE304+1))</f>
      </c>
      <c r="BH304" s="684">
        <f>IF($BF304="","",INDEX(安値!$E304:$CZ304,1,$BF304+1))</f>
      </c>
      <c r="BI304" s="684">
        <f>IF($BF304="","",MAX(INDEX(高値!$E304:$CZ304,1,$BE304+1):INDEX(高値!$E304:$CZ304,1,$BF304+1)))</f>
      </c>
      <c r="BJ304" s="684">
        <f>IF($BF304="","",AVERAGE(INDEX(終値!$E304:$CZ304,1,$BF304+1):INDEX(終値!$E304:$CZ304,1,$BF304+20))-2*STDEVP(INDEX(終値!$E304:$CZ304,1,$BF304+1):INDEX(終値!$E304:$CZ304,1,$BF304+20)))</f>
      </c>
      <c r="BK304" s="684">
        <f>IF($BE304="","",AVERAGE(INDEX(終値!$E304:$CZ304,1,$BE304+1):INDEX(終値!$E304:$CZ304,1,$BE304+20))-2*STDEVP(INDEX(終値!$E304:$CZ304,1,$BE304+1):INDEX(終値!$E304:$CZ304,1,$BE304+20)))</f>
      </c>
      <c r="BL304" s="684">
        <f>COUNT($AC304:$BC304)</f>
      </c>
      <c r="BM304" s="684">
        <f>IF($BL304&gt;=2,MIN($AC304:$BC304),"")</f>
      </c>
      <c r="BN304" s="684">
        <f>IF($BL304&gt;=2,SMALL($AC304:$BC304,2),"")</f>
      </c>
      <c r="BO304" s="684">
        <f>IF($BM304="","",INDEX(高値!$E304:$CZ304,1,$BM304+1))</f>
      </c>
      <c r="BP304" s="684">
        <f>IF($BN304="","",INDEX(高値!$E304:$CZ304,1,$BN304+1))</f>
      </c>
      <c r="BQ304" s="684">
        <f>IF($BN304="","",MIN(INDEX(安値!$E304:$CZ304,1,$BM304+1):INDEX(安値!$E304:$CZ304,1,$BN304+1)))</f>
      </c>
      <c r="BR304" s="684">
        <f>IF($BN304="","",AVERAGE(INDEX(終値!$E304:$CZ304,1,$BN304+1):INDEX(終値!$E304:$CZ304,1,$BN304+20))+2*STDEVP(INDEX(終値!$E304:$CZ304,1,$BN304+1):INDEX(終値!$E304:$CZ304,1,$BN304+20)))</f>
      </c>
      <c r="BS304" s="684">
        <f>IF($BM304="","",AVERAGE(INDEX(終値!$E304:$CZ304,1,$BM304+1):INDEX(終値!$E304:$CZ304,1,$BM304+20))+2*STDEVP(INDEX(終値!$E304:$CZ304,1,$BM304+1):INDEX(終値!$E304:$CZ304,1,$BM304+20)))</f>
      </c>
      <c r="BT304" s="681">
        <f>IFERROR(IF(AND($BD304&gt;=2,ABS($BG304-$BH304)/$BH304&lt;=BB設定!$B$12,$BI304&gt;=MAX($BH304,$BG304)*(1+BB設定!$B$13),終値!E304&gt;$BG304),IF(OR(終値!E304&gt;=$BI304,AND($BH304&lt;$BJ304,$BG304&gt;=$BK304)),"二番底W▲","二番底W形成"),IF(AND($BL304&gt;=2,ABS($BO304-$BP304)/$BP304&lt;=BB設定!$B$12,$BQ304&lt;=MIN($BP304,$BO304)*(1-BB設定!$B$13),終値!E304&lt;$BO304),IF(OR(終値!E304&lt;=$BQ304,AND($BP304&gt;$BR304,$BO304&lt;=$BS304)),"二番天井M▼","二番天井M形成"),"－")),"－")</f>
      </c>
    </row>
    <row r="305">
      <c r="B305" s="684">
        <f>IF(終値!A305="","",IF(AND(安値!G305&lt;安値!F305,安値!G305&lt;安値!E305,安値!G305&lt;安値!H305,安値!G305&lt;安値!I305),2,""))</f>
      </c>
      <c r="C305" s="684">
        <f>IF(終値!A305="","",IF(AND(安値!H305&lt;安値!G305,安値!H305&lt;安値!F305,安値!H305&lt;安値!I305,安値!H305&lt;安値!J305),3,""))</f>
      </c>
      <c r="D305" s="684">
        <f>IF(終値!A305="","",IF(AND(安値!I305&lt;安値!H305,安値!I305&lt;安値!G305,安値!I305&lt;安値!J305,安値!I305&lt;安値!K305),4,""))</f>
      </c>
      <c r="E305" s="684">
        <f>IF(終値!A305="","",IF(AND(安値!J305&lt;安値!I305,安値!J305&lt;安値!H305,安値!J305&lt;安値!K305,安値!J305&lt;安値!L305),5,""))</f>
      </c>
      <c r="F305" s="684">
        <f>IF(終値!A305="","",IF(AND(安値!K305&lt;安値!J305,安値!K305&lt;安値!I305,安値!K305&lt;安値!L305,安値!K305&lt;安値!M305),6,""))</f>
      </c>
      <c r="G305" s="684">
        <f>IF(終値!A305="","",IF(AND(安値!L305&lt;安値!K305,安値!L305&lt;安値!J305,安値!L305&lt;安値!M305,安値!L305&lt;安値!N305),7,""))</f>
      </c>
      <c r="H305" s="684">
        <f>IF(終値!A305="","",IF(AND(安値!M305&lt;安値!L305,安値!M305&lt;安値!K305,安値!M305&lt;安値!N305,安値!M305&lt;安値!O305),8,""))</f>
      </c>
      <c r="I305" s="684">
        <f>IF(終値!A305="","",IF(AND(安値!N305&lt;安値!M305,安値!N305&lt;安値!L305,安値!N305&lt;安値!O305,安値!N305&lt;安値!P305),9,""))</f>
      </c>
      <c r="J305" s="684">
        <f>IF(終値!A305="","",IF(AND(安値!O305&lt;安値!N305,安値!O305&lt;安値!M305,安値!O305&lt;安値!P305,安値!O305&lt;安値!Q305),10,""))</f>
      </c>
      <c r="K305" s="684">
        <f>IF(終値!A305="","",IF(AND(安値!P305&lt;安値!O305,安値!P305&lt;安値!N305,安値!P305&lt;安値!Q305,安値!P305&lt;安値!R305),11,""))</f>
      </c>
      <c r="L305" s="684">
        <f>IF(終値!A305="","",IF(AND(安値!Q305&lt;安値!P305,安値!Q305&lt;安値!O305,安値!Q305&lt;安値!R305,安値!Q305&lt;安値!S305),12,""))</f>
      </c>
      <c r="M305" s="684">
        <f>IF(終値!A305="","",IF(AND(安値!R305&lt;安値!Q305,安値!R305&lt;安値!P305,安値!R305&lt;安値!S305,安値!R305&lt;安値!T305),13,""))</f>
      </c>
      <c r="N305" s="684">
        <f>IF(終値!A305="","",IF(AND(安値!S305&lt;安値!R305,安値!S305&lt;安値!Q305,安値!S305&lt;安値!T305,安値!S305&lt;安値!U305),14,""))</f>
      </c>
      <c r="O305" s="684">
        <f>IF(終値!A305="","",IF(AND(安値!T305&lt;安値!S305,安値!T305&lt;安値!R305,安値!T305&lt;安値!U305,安値!T305&lt;安値!V305),15,""))</f>
      </c>
      <c r="P305" s="684">
        <f>IF(終値!A305="","",IF(AND(安値!U305&lt;安値!T305,安値!U305&lt;安値!S305,安値!U305&lt;安値!V305,安値!U305&lt;安値!W305),16,""))</f>
      </c>
      <c r="Q305" s="684">
        <f>IF(終値!A305="","",IF(AND(安値!V305&lt;安値!U305,安値!V305&lt;安値!T305,安値!V305&lt;安値!W305,安値!V305&lt;安値!X305),17,""))</f>
      </c>
      <c r="R305" s="684">
        <f>IF(終値!A305="","",IF(AND(安値!W305&lt;安値!V305,安値!W305&lt;安値!U305,安値!W305&lt;安値!X305,安値!W305&lt;安値!Y305),18,""))</f>
      </c>
      <c r="S305" s="684">
        <f>IF(終値!A305="","",IF(AND(安値!X305&lt;安値!W305,安値!X305&lt;安値!V305,安値!X305&lt;安値!Y305,安値!X305&lt;安値!Z305),19,""))</f>
      </c>
      <c r="T305" s="684">
        <f>IF(終値!A305="","",IF(AND(安値!Y305&lt;安値!X305,安値!Y305&lt;安値!W305,安値!Y305&lt;安値!Z305,安値!Y305&lt;安値!AA305),20,""))</f>
      </c>
      <c r="U305" s="684">
        <f>IF(終値!A305="","",IF(AND(安値!Z305&lt;安値!Y305,安値!Z305&lt;安値!X305,安値!Z305&lt;安値!AA305,安値!Z305&lt;安値!AB305),21,""))</f>
      </c>
      <c r="V305" s="684">
        <f>IF(終値!A305="","",IF(AND(安値!AA305&lt;安値!Z305,安値!AA305&lt;安値!Y305,安値!AA305&lt;安値!AB305,安値!AA305&lt;安値!AC305),22,""))</f>
      </c>
      <c r="W305" s="684">
        <f>IF(終値!A305="","",IF(AND(安値!AB305&lt;安値!AA305,安値!AB305&lt;安値!Z305,安値!AB305&lt;安値!AC305,安値!AB305&lt;安値!AD305),23,""))</f>
      </c>
      <c r="X305" s="684">
        <f>IF(終値!A305="","",IF(AND(安値!AC305&lt;安値!AB305,安値!AC305&lt;安値!AA305,安値!AC305&lt;安値!AD305,安値!AC305&lt;安値!AE305),24,""))</f>
      </c>
      <c r="Y305" s="684">
        <f>IF(終値!A305="","",IF(AND(安値!AD305&lt;安値!AC305,安値!AD305&lt;安値!AB305,安値!AD305&lt;安値!AE305,安値!AD305&lt;安値!AF305),25,""))</f>
      </c>
      <c r="Z305" s="684">
        <f>IF(終値!A305="","",IF(AND(安値!AE305&lt;安値!AD305,安値!AE305&lt;安値!AC305,安値!AE305&lt;安値!AF305,安値!AE305&lt;安値!AG305),26,""))</f>
      </c>
      <c r="AA305" s="684">
        <f>IF(終値!A305="","",IF(AND(安値!AF305&lt;安値!AE305,安値!AF305&lt;安値!AD305,安値!AF305&lt;安値!AG305,安値!AF305&lt;安値!AH305),27,""))</f>
      </c>
      <c r="AB305" s="684">
        <f>IF(終値!A305="","",IF(AND(安値!AG305&lt;安値!AF305,安値!AG305&lt;安値!AE305,安値!AG305&lt;安値!AH305,安値!AG305&lt;安値!AI305),28,""))</f>
      </c>
      <c r="AC305" s="684">
        <f>IF(終値!A305="","",IF(AND(高値!G305&gt;高値!F305,高値!G305&gt;高値!E305,高値!G305&gt;高値!H305,高値!G305&gt;高値!I305),2,""))</f>
      </c>
      <c r="AD305" s="684">
        <f>IF(終値!A305="","",IF(AND(高値!H305&gt;高値!G305,高値!H305&gt;高値!F305,高値!H305&gt;高値!I305,高値!H305&gt;高値!J305),3,""))</f>
      </c>
      <c r="AE305" s="684">
        <f>IF(終値!A305="","",IF(AND(高値!I305&gt;高値!H305,高値!I305&gt;高値!G305,高値!I305&gt;高値!J305,高値!I305&gt;高値!K305),4,""))</f>
      </c>
      <c r="AF305" s="684">
        <f>IF(終値!A305="","",IF(AND(高値!J305&gt;高値!I305,高値!J305&gt;高値!H305,高値!J305&gt;高値!K305,高値!J305&gt;高値!L305),5,""))</f>
      </c>
      <c r="AG305" s="684">
        <f>IF(終値!A305="","",IF(AND(高値!K305&gt;高値!J305,高値!K305&gt;高値!I305,高値!K305&gt;高値!L305,高値!K305&gt;高値!M305),6,""))</f>
      </c>
      <c r="AH305" s="684">
        <f>IF(終値!A305="","",IF(AND(高値!L305&gt;高値!K305,高値!L305&gt;高値!J305,高値!L305&gt;高値!M305,高値!L305&gt;高値!N305),7,""))</f>
      </c>
      <c r="AI305" s="684">
        <f>IF(終値!A305="","",IF(AND(高値!M305&gt;高値!L305,高値!M305&gt;高値!K305,高値!M305&gt;高値!N305,高値!M305&gt;高値!O305),8,""))</f>
      </c>
      <c r="AJ305" s="684">
        <f>IF(終値!A305="","",IF(AND(高値!N305&gt;高値!M305,高値!N305&gt;高値!L305,高値!N305&gt;高値!O305,高値!N305&gt;高値!P305),9,""))</f>
      </c>
      <c r="AK305" s="684">
        <f>IF(終値!A305="","",IF(AND(高値!O305&gt;高値!N305,高値!O305&gt;高値!M305,高値!O305&gt;高値!P305,高値!O305&gt;高値!Q305),10,""))</f>
      </c>
      <c r="AL305" s="684">
        <f>IF(終値!A305="","",IF(AND(高値!P305&gt;高値!O305,高値!P305&gt;高値!N305,高値!P305&gt;高値!Q305,高値!P305&gt;高値!R305),11,""))</f>
      </c>
      <c r="AM305" s="684">
        <f>IF(終値!A305="","",IF(AND(高値!Q305&gt;高値!P305,高値!Q305&gt;高値!O305,高値!Q305&gt;高値!R305,高値!Q305&gt;高値!S305),12,""))</f>
      </c>
      <c r="AN305" s="684">
        <f>IF(終値!A305="","",IF(AND(高値!R305&gt;高値!Q305,高値!R305&gt;高値!P305,高値!R305&gt;高値!S305,高値!R305&gt;高値!T305),13,""))</f>
      </c>
      <c r="AO305" s="684">
        <f>IF(終値!A305="","",IF(AND(高値!S305&gt;高値!R305,高値!S305&gt;高値!Q305,高値!S305&gt;高値!T305,高値!S305&gt;高値!U305),14,""))</f>
      </c>
      <c r="AP305" s="684">
        <f>IF(終値!A305="","",IF(AND(高値!T305&gt;高値!S305,高値!T305&gt;高値!R305,高値!T305&gt;高値!U305,高値!T305&gt;高値!V305),15,""))</f>
      </c>
      <c r="AQ305" s="684">
        <f>IF(終値!A305="","",IF(AND(高値!U305&gt;高値!T305,高値!U305&gt;高値!S305,高値!U305&gt;高値!V305,高値!U305&gt;高値!W305),16,""))</f>
      </c>
      <c r="AR305" s="684">
        <f>IF(終値!A305="","",IF(AND(高値!V305&gt;高値!U305,高値!V305&gt;高値!T305,高値!V305&gt;高値!W305,高値!V305&gt;高値!X305),17,""))</f>
      </c>
      <c r="AS305" s="684">
        <f>IF(終値!A305="","",IF(AND(高値!W305&gt;高値!V305,高値!W305&gt;高値!U305,高値!W305&gt;高値!X305,高値!W305&gt;高値!Y305),18,""))</f>
      </c>
      <c r="AT305" s="684">
        <f>IF(終値!A305="","",IF(AND(高値!X305&gt;高値!W305,高値!X305&gt;高値!V305,高値!X305&gt;高値!Y305,高値!X305&gt;高値!Z305),19,""))</f>
      </c>
      <c r="AU305" s="684">
        <f>IF(終値!A305="","",IF(AND(高値!Y305&gt;高値!X305,高値!Y305&gt;高値!W305,高値!Y305&gt;高値!Z305,高値!Y305&gt;高値!AA305),20,""))</f>
      </c>
      <c r="AV305" s="684">
        <f>IF(終値!A305="","",IF(AND(高値!Z305&gt;高値!Y305,高値!Z305&gt;高値!X305,高値!Z305&gt;高値!AA305,高値!Z305&gt;高値!AB305),21,""))</f>
      </c>
      <c r="AW305" s="684">
        <f>IF(終値!A305="","",IF(AND(高値!AA305&gt;高値!Z305,高値!AA305&gt;高値!Y305,高値!AA305&gt;高値!AB305,高値!AA305&gt;高値!AC305),22,""))</f>
      </c>
      <c r="AX305" s="684">
        <f>IF(終値!A305="","",IF(AND(高値!AB305&gt;高値!AA305,高値!AB305&gt;高値!Z305,高値!AB305&gt;高値!AC305,高値!AB305&gt;高値!AD305),23,""))</f>
      </c>
      <c r="AY305" s="684">
        <f>IF(終値!A305="","",IF(AND(高値!AC305&gt;高値!AB305,高値!AC305&gt;高値!AA305,高値!AC305&gt;高値!AD305,高値!AC305&gt;高値!AE305),24,""))</f>
      </c>
      <c r="AZ305" s="684">
        <f>IF(終値!A305="","",IF(AND(高値!AD305&gt;高値!AC305,高値!AD305&gt;高値!AB305,高値!AD305&gt;高値!AE305,高値!AD305&gt;高値!AF305),25,""))</f>
      </c>
      <c r="BA305" s="684">
        <f>IF(終値!A305="","",IF(AND(高値!AE305&gt;高値!AD305,高値!AE305&gt;高値!AC305,高値!AE305&gt;高値!AF305,高値!AE305&gt;高値!AG305),26,""))</f>
      </c>
      <c r="BB305" s="684">
        <f>IF(終値!A305="","",IF(AND(高値!AF305&gt;高値!AE305,高値!AF305&gt;高値!AD305,高値!AF305&gt;高値!AG305,高値!AF305&gt;高値!AH305),27,""))</f>
      </c>
      <c r="BC305" s="684">
        <f>IF(終値!A305="","",IF(AND(高値!AG305&gt;高値!AF305,高値!AG305&gt;高値!AE305,高値!AG305&gt;高値!AH305,高値!AG305&gt;高値!AI305),28,""))</f>
      </c>
      <c r="BD305" s="684">
        <f>COUNT($B305:$AB305)</f>
      </c>
      <c r="BE305" s="684">
        <f>IF($BD305&gt;=2,MIN($B305:$AB305),"")</f>
      </c>
      <c r="BF305" s="684">
        <f>IF($BD305&gt;=2,SMALL($B305:$AB305,2),"")</f>
      </c>
      <c r="BG305" s="684">
        <f>IF($BE305="","",INDEX(安値!$E305:$CZ305,1,$BE305+1))</f>
      </c>
      <c r="BH305" s="684">
        <f>IF($BF305="","",INDEX(安値!$E305:$CZ305,1,$BF305+1))</f>
      </c>
      <c r="BI305" s="684">
        <f>IF($BF305="","",MAX(INDEX(高値!$E305:$CZ305,1,$BE305+1):INDEX(高値!$E305:$CZ305,1,$BF305+1)))</f>
      </c>
      <c r="BJ305" s="684">
        <f>IF($BF305="","",AVERAGE(INDEX(終値!$E305:$CZ305,1,$BF305+1):INDEX(終値!$E305:$CZ305,1,$BF305+20))-2*STDEVP(INDEX(終値!$E305:$CZ305,1,$BF305+1):INDEX(終値!$E305:$CZ305,1,$BF305+20)))</f>
      </c>
      <c r="BK305" s="684">
        <f>IF($BE305="","",AVERAGE(INDEX(終値!$E305:$CZ305,1,$BE305+1):INDEX(終値!$E305:$CZ305,1,$BE305+20))-2*STDEVP(INDEX(終値!$E305:$CZ305,1,$BE305+1):INDEX(終値!$E305:$CZ305,1,$BE305+20)))</f>
      </c>
      <c r="BL305" s="684">
        <f>COUNT($AC305:$BC305)</f>
      </c>
      <c r="BM305" s="684">
        <f>IF($BL305&gt;=2,MIN($AC305:$BC305),"")</f>
      </c>
      <c r="BN305" s="684">
        <f>IF($BL305&gt;=2,SMALL($AC305:$BC305,2),"")</f>
      </c>
      <c r="BO305" s="684">
        <f>IF($BM305="","",INDEX(高値!$E305:$CZ305,1,$BM305+1))</f>
      </c>
      <c r="BP305" s="684">
        <f>IF($BN305="","",INDEX(高値!$E305:$CZ305,1,$BN305+1))</f>
      </c>
      <c r="BQ305" s="684">
        <f>IF($BN305="","",MIN(INDEX(安値!$E305:$CZ305,1,$BM305+1):INDEX(安値!$E305:$CZ305,1,$BN305+1)))</f>
      </c>
      <c r="BR305" s="684">
        <f>IF($BN305="","",AVERAGE(INDEX(終値!$E305:$CZ305,1,$BN305+1):INDEX(終値!$E305:$CZ305,1,$BN305+20))+2*STDEVP(INDEX(終値!$E305:$CZ305,1,$BN305+1):INDEX(終値!$E305:$CZ305,1,$BN305+20)))</f>
      </c>
      <c r="BS305" s="684">
        <f>IF($BM305="","",AVERAGE(INDEX(終値!$E305:$CZ305,1,$BM305+1):INDEX(終値!$E305:$CZ305,1,$BM305+20))+2*STDEVP(INDEX(終値!$E305:$CZ305,1,$BM305+1):INDEX(終値!$E305:$CZ305,1,$BM305+20)))</f>
      </c>
      <c r="BT305" s="681">
        <f>IFERROR(IF(AND($BD305&gt;=2,ABS($BG305-$BH305)/$BH305&lt;=BB設定!$B$12,$BI305&gt;=MAX($BH305,$BG305)*(1+BB設定!$B$13),終値!E305&gt;$BG305),IF(OR(終値!E305&gt;=$BI305,AND($BH305&lt;$BJ305,$BG305&gt;=$BK305)),"二番底W▲","二番底W形成"),IF(AND($BL305&gt;=2,ABS($BO305-$BP305)/$BP305&lt;=BB設定!$B$12,$BQ305&lt;=MIN($BP305,$BO305)*(1-BB設定!$B$13),終値!E305&lt;$BO305),IF(OR(終値!E305&lt;=$BQ305,AND($BP305&gt;$BR305,$BO305&lt;=$BS305)),"二番天井M▼","二番天井M形成"),"－")),"－")</f>
      </c>
    </row>
    <row r="306">
      <c r="B306" s="684">
        <f>IF(終値!A306="","",IF(AND(安値!G306&lt;安値!F306,安値!G306&lt;安値!E306,安値!G306&lt;安値!H306,安値!G306&lt;安値!I306),2,""))</f>
      </c>
      <c r="C306" s="684">
        <f>IF(終値!A306="","",IF(AND(安値!H306&lt;安値!G306,安値!H306&lt;安値!F306,安値!H306&lt;安値!I306,安値!H306&lt;安値!J306),3,""))</f>
      </c>
      <c r="D306" s="684">
        <f>IF(終値!A306="","",IF(AND(安値!I306&lt;安値!H306,安値!I306&lt;安値!G306,安値!I306&lt;安値!J306,安値!I306&lt;安値!K306),4,""))</f>
      </c>
      <c r="E306" s="684">
        <f>IF(終値!A306="","",IF(AND(安値!J306&lt;安値!I306,安値!J306&lt;安値!H306,安値!J306&lt;安値!K306,安値!J306&lt;安値!L306),5,""))</f>
      </c>
      <c r="F306" s="684">
        <f>IF(終値!A306="","",IF(AND(安値!K306&lt;安値!J306,安値!K306&lt;安値!I306,安値!K306&lt;安値!L306,安値!K306&lt;安値!M306),6,""))</f>
      </c>
      <c r="G306" s="684">
        <f>IF(終値!A306="","",IF(AND(安値!L306&lt;安値!K306,安値!L306&lt;安値!J306,安値!L306&lt;安値!M306,安値!L306&lt;安値!N306),7,""))</f>
      </c>
      <c r="H306" s="684">
        <f>IF(終値!A306="","",IF(AND(安値!M306&lt;安値!L306,安値!M306&lt;安値!K306,安値!M306&lt;安値!N306,安値!M306&lt;安値!O306),8,""))</f>
      </c>
      <c r="I306" s="684">
        <f>IF(終値!A306="","",IF(AND(安値!N306&lt;安値!M306,安値!N306&lt;安値!L306,安値!N306&lt;安値!O306,安値!N306&lt;安値!P306),9,""))</f>
      </c>
      <c r="J306" s="684">
        <f>IF(終値!A306="","",IF(AND(安値!O306&lt;安値!N306,安値!O306&lt;安値!M306,安値!O306&lt;安値!P306,安値!O306&lt;安値!Q306),10,""))</f>
      </c>
      <c r="K306" s="684">
        <f>IF(終値!A306="","",IF(AND(安値!P306&lt;安値!O306,安値!P306&lt;安値!N306,安値!P306&lt;安値!Q306,安値!P306&lt;安値!R306),11,""))</f>
      </c>
      <c r="L306" s="684">
        <f>IF(終値!A306="","",IF(AND(安値!Q306&lt;安値!P306,安値!Q306&lt;安値!O306,安値!Q306&lt;安値!R306,安値!Q306&lt;安値!S306),12,""))</f>
      </c>
      <c r="M306" s="684">
        <f>IF(終値!A306="","",IF(AND(安値!R306&lt;安値!Q306,安値!R306&lt;安値!P306,安値!R306&lt;安値!S306,安値!R306&lt;安値!T306),13,""))</f>
      </c>
      <c r="N306" s="684">
        <f>IF(終値!A306="","",IF(AND(安値!S306&lt;安値!R306,安値!S306&lt;安値!Q306,安値!S306&lt;安値!T306,安値!S306&lt;安値!U306),14,""))</f>
      </c>
      <c r="O306" s="684">
        <f>IF(終値!A306="","",IF(AND(安値!T306&lt;安値!S306,安値!T306&lt;安値!R306,安値!T306&lt;安値!U306,安値!T306&lt;安値!V306),15,""))</f>
      </c>
      <c r="P306" s="684">
        <f>IF(終値!A306="","",IF(AND(安値!U306&lt;安値!T306,安値!U306&lt;安値!S306,安値!U306&lt;安値!V306,安値!U306&lt;安値!W306),16,""))</f>
      </c>
      <c r="Q306" s="684">
        <f>IF(終値!A306="","",IF(AND(安値!V306&lt;安値!U306,安値!V306&lt;安値!T306,安値!V306&lt;安値!W306,安値!V306&lt;安値!X306),17,""))</f>
      </c>
      <c r="R306" s="684">
        <f>IF(終値!A306="","",IF(AND(安値!W306&lt;安値!V306,安値!W306&lt;安値!U306,安値!W306&lt;安値!X306,安値!W306&lt;安値!Y306),18,""))</f>
      </c>
      <c r="S306" s="684">
        <f>IF(終値!A306="","",IF(AND(安値!X306&lt;安値!W306,安値!X306&lt;安値!V306,安値!X306&lt;安値!Y306,安値!X306&lt;安値!Z306),19,""))</f>
      </c>
      <c r="T306" s="684">
        <f>IF(終値!A306="","",IF(AND(安値!Y306&lt;安値!X306,安値!Y306&lt;安値!W306,安値!Y306&lt;安値!Z306,安値!Y306&lt;安値!AA306),20,""))</f>
      </c>
      <c r="U306" s="684">
        <f>IF(終値!A306="","",IF(AND(安値!Z306&lt;安値!Y306,安値!Z306&lt;安値!X306,安値!Z306&lt;安値!AA306,安値!Z306&lt;安値!AB306),21,""))</f>
      </c>
      <c r="V306" s="684">
        <f>IF(終値!A306="","",IF(AND(安値!AA306&lt;安値!Z306,安値!AA306&lt;安値!Y306,安値!AA306&lt;安値!AB306,安値!AA306&lt;安値!AC306),22,""))</f>
      </c>
      <c r="W306" s="684">
        <f>IF(終値!A306="","",IF(AND(安値!AB306&lt;安値!AA306,安値!AB306&lt;安値!Z306,安値!AB306&lt;安値!AC306,安値!AB306&lt;安値!AD306),23,""))</f>
      </c>
      <c r="X306" s="684">
        <f>IF(終値!A306="","",IF(AND(安値!AC306&lt;安値!AB306,安値!AC306&lt;安値!AA306,安値!AC306&lt;安値!AD306,安値!AC306&lt;安値!AE306),24,""))</f>
      </c>
      <c r="Y306" s="684">
        <f>IF(終値!A306="","",IF(AND(安値!AD306&lt;安値!AC306,安値!AD306&lt;安値!AB306,安値!AD306&lt;安値!AE306,安値!AD306&lt;安値!AF306),25,""))</f>
      </c>
      <c r="Z306" s="684">
        <f>IF(終値!A306="","",IF(AND(安値!AE306&lt;安値!AD306,安値!AE306&lt;安値!AC306,安値!AE306&lt;安値!AF306,安値!AE306&lt;安値!AG306),26,""))</f>
      </c>
      <c r="AA306" s="684">
        <f>IF(終値!A306="","",IF(AND(安値!AF306&lt;安値!AE306,安値!AF306&lt;安値!AD306,安値!AF306&lt;安値!AG306,安値!AF306&lt;安値!AH306),27,""))</f>
      </c>
      <c r="AB306" s="684">
        <f>IF(終値!A306="","",IF(AND(安値!AG306&lt;安値!AF306,安値!AG306&lt;安値!AE306,安値!AG306&lt;安値!AH306,安値!AG306&lt;安値!AI306),28,""))</f>
      </c>
      <c r="AC306" s="684">
        <f>IF(終値!A306="","",IF(AND(高値!G306&gt;高値!F306,高値!G306&gt;高値!E306,高値!G306&gt;高値!H306,高値!G306&gt;高値!I306),2,""))</f>
      </c>
      <c r="AD306" s="684">
        <f>IF(終値!A306="","",IF(AND(高値!H306&gt;高値!G306,高値!H306&gt;高値!F306,高値!H306&gt;高値!I306,高値!H306&gt;高値!J306),3,""))</f>
      </c>
      <c r="AE306" s="684">
        <f>IF(終値!A306="","",IF(AND(高値!I306&gt;高値!H306,高値!I306&gt;高値!G306,高値!I306&gt;高値!J306,高値!I306&gt;高値!K306),4,""))</f>
      </c>
      <c r="AF306" s="684">
        <f>IF(終値!A306="","",IF(AND(高値!J306&gt;高値!I306,高値!J306&gt;高値!H306,高値!J306&gt;高値!K306,高値!J306&gt;高値!L306),5,""))</f>
      </c>
      <c r="AG306" s="684">
        <f>IF(終値!A306="","",IF(AND(高値!K306&gt;高値!J306,高値!K306&gt;高値!I306,高値!K306&gt;高値!L306,高値!K306&gt;高値!M306),6,""))</f>
      </c>
      <c r="AH306" s="684">
        <f>IF(終値!A306="","",IF(AND(高値!L306&gt;高値!K306,高値!L306&gt;高値!J306,高値!L306&gt;高値!M306,高値!L306&gt;高値!N306),7,""))</f>
      </c>
      <c r="AI306" s="684">
        <f>IF(終値!A306="","",IF(AND(高値!M306&gt;高値!L306,高値!M306&gt;高値!K306,高値!M306&gt;高値!N306,高値!M306&gt;高値!O306),8,""))</f>
      </c>
      <c r="AJ306" s="684">
        <f>IF(終値!A306="","",IF(AND(高値!N306&gt;高値!M306,高値!N306&gt;高値!L306,高値!N306&gt;高値!O306,高値!N306&gt;高値!P306),9,""))</f>
      </c>
      <c r="AK306" s="684">
        <f>IF(終値!A306="","",IF(AND(高値!O306&gt;高値!N306,高値!O306&gt;高値!M306,高値!O306&gt;高値!P306,高値!O306&gt;高値!Q306),10,""))</f>
      </c>
      <c r="AL306" s="684">
        <f>IF(終値!A306="","",IF(AND(高値!P306&gt;高値!O306,高値!P306&gt;高値!N306,高値!P306&gt;高値!Q306,高値!P306&gt;高値!R306),11,""))</f>
      </c>
      <c r="AM306" s="684">
        <f>IF(終値!A306="","",IF(AND(高値!Q306&gt;高値!P306,高値!Q306&gt;高値!O306,高値!Q306&gt;高値!R306,高値!Q306&gt;高値!S306),12,""))</f>
      </c>
      <c r="AN306" s="684">
        <f>IF(終値!A306="","",IF(AND(高値!R306&gt;高値!Q306,高値!R306&gt;高値!P306,高値!R306&gt;高値!S306,高値!R306&gt;高値!T306),13,""))</f>
      </c>
      <c r="AO306" s="684">
        <f>IF(終値!A306="","",IF(AND(高値!S306&gt;高値!R306,高値!S306&gt;高値!Q306,高値!S306&gt;高値!T306,高値!S306&gt;高値!U306),14,""))</f>
      </c>
      <c r="AP306" s="684">
        <f>IF(終値!A306="","",IF(AND(高値!T306&gt;高値!S306,高値!T306&gt;高値!R306,高値!T306&gt;高値!U306,高値!T306&gt;高値!V306),15,""))</f>
      </c>
      <c r="AQ306" s="684">
        <f>IF(終値!A306="","",IF(AND(高値!U306&gt;高値!T306,高値!U306&gt;高値!S306,高値!U306&gt;高値!V306,高値!U306&gt;高値!W306),16,""))</f>
      </c>
      <c r="AR306" s="684">
        <f>IF(終値!A306="","",IF(AND(高値!V306&gt;高値!U306,高値!V306&gt;高値!T306,高値!V306&gt;高値!W306,高値!V306&gt;高値!X306),17,""))</f>
      </c>
      <c r="AS306" s="684">
        <f>IF(終値!A306="","",IF(AND(高値!W306&gt;高値!V306,高値!W306&gt;高値!U306,高値!W306&gt;高値!X306,高値!W306&gt;高値!Y306),18,""))</f>
      </c>
      <c r="AT306" s="684">
        <f>IF(終値!A306="","",IF(AND(高値!X306&gt;高値!W306,高値!X306&gt;高値!V306,高値!X306&gt;高値!Y306,高値!X306&gt;高値!Z306),19,""))</f>
      </c>
      <c r="AU306" s="684">
        <f>IF(終値!A306="","",IF(AND(高値!Y306&gt;高値!X306,高値!Y306&gt;高値!W306,高値!Y306&gt;高値!Z306,高値!Y306&gt;高値!AA306),20,""))</f>
      </c>
      <c r="AV306" s="684">
        <f>IF(終値!A306="","",IF(AND(高値!Z306&gt;高値!Y306,高値!Z306&gt;高値!X306,高値!Z306&gt;高値!AA306,高値!Z306&gt;高値!AB306),21,""))</f>
      </c>
      <c r="AW306" s="684">
        <f>IF(終値!A306="","",IF(AND(高値!AA306&gt;高値!Z306,高値!AA306&gt;高値!Y306,高値!AA306&gt;高値!AB306,高値!AA306&gt;高値!AC306),22,""))</f>
      </c>
      <c r="AX306" s="684">
        <f>IF(終値!A306="","",IF(AND(高値!AB306&gt;高値!AA306,高値!AB306&gt;高値!Z306,高値!AB306&gt;高値!AC306,高値!AB306&gt;高値!AD306),23,""))</f>
      </c>
      <c r="AY306" s="684">
        <f>IF(終値!A306="","",IF(AND(高値!AC306&gt;高値!AB306,高値!AC306&gt;高値!AA306,高値!AC306&gt;高値!AD306,高値!AC306&gt;高値!AE306),24,""))</f>
      </c>
      <c r="AZ306" s="684">
        <f>IF(終値!A306="","",IF(AND(高値!AD306&gt;高値!AC306,高値!AD306&gt;高値!AB306,高値!AD306&gt;高値!AE306,高値!AD306&gt;高値!AF306),25,""))</f>
      </c>
      <c r="BA306" s="684">
        <f>IF(終値!A306="","",IF(AND(高値!AE306&gt;高値!AD306,高値!AE306&gt;高値!AC306,高値!AE306&gt;高値!AF306,高値!AE306&gt;高値!AG306),26,""))</f>
      </c>
      <c r="BB306" s="684">
        <f>IF(終値!A306="","",IF(AND(高値!AF306&gt;高値!AE306,高値!AF306&gt;高値!AD306,高値!AF306&gt;高値!AG306,高値!AF306&gt;高値!AH306),27,""))</f>
      </c>
      <c r="BC306" s="684">
        <f>IF(終値!A306="","",IF(AND(高値!AG306&gt;高値!AF306,高値!AG306&gt;高値!AE306,高値!AG306&gt;高値!AH306,高値!AG306&gt;高値!AI306),28,""))</f>
      </c>
      <c r="BD306" s="684">
        <f>COUNT($B306:$AB306)</f>
      </c>
      <c r="BE306" s="684">
        <f>IF($BD306&gt;=2,MIN($B306:$AB306),"")</f>
      </c>
      <c r="BF306" s="684">
        <f>IF($BD306&gt;=2,SMALL($B306:$AB306,2),"")</f>
      </c>
      <c r="BG306" s="684">
        <f>IF($BE306="","",INDEX(安値!$E306:$CZ306,1,$BE306+1))</f>
      </c>
      <c r="BH306" s="684">
        <f>IF($BF306="","",INDEX(安値!$E306:$CZ306,1,$BF306+1))</f>
      </c>
      <c r="BI306" s="684">
        <f>IF($BF306="","",MAX(INDEX(高値!$E306:$CZ306,1,$BE306+1):INDEX(高値!$E306:$CZ306,1,$BF306+1)))</f>
      </c>
      <c r="BJ306" s="684">
        <f>IF($BF306="","",AVERAGE(INDEX(終値!$E306:$CZ306,1,$BF306+1):INDEX(終値!$E306:$CZ306,1,$BF306+20))-2*STDEVP(INDEX(終値!$E306:$CZ306,1,$BF306+1):INDEX(終値!$E306:$CZ306,1,$BF306+20)))</f>
      </c>
      <c r="BK306" s="684">
        <f>IF($BE306="","",AVERAGE(INDEX(終値!$E306:$CZ306,1,$BE306+1):INDEX(終値!$E306:$CZ306,1,$BE306+20))-2*STDEVP(INDEX(終値!$E306:$CZ306,1,$BE306+1):INDEX(終値!$E306:$CZ306,1,$BE306+20)))</f>
      </c>
      <c r="BL306" s="684">
        <f>COUNT($AC306:$BC306)</f>
      </c>
      <c r="BM306" s="684">
        <f>IF($BL306&gt;=2,MIN($AC306:$BC306),"")</f>
      </c>
      <c r="BN306" s="684">
        <f>IF($BL306&gt;=2,SMALL($AC306:$BC306,2),"")</f>
      </c>
      <c r="BO306" s="684">
        <f>IF($BM306="","",INDEX(高値!$E306:$CZ306,1,$BM306+1))</f>
      </c>
      <c r="BP306" s="684">
        <f>IF($BN306="","",INDEX(高値!$E306:$CZ306,1,$BN306+1))</f>
      </c>
      <c r="BQ306" s="684">
        <f>IF($BN306="","",MIN(INDEX(安値!$E306:$CZ306,1,$BM306+1):INDEX(安値!$E306:$CZ306,1,$BN306+1)))</f>
      </c>
      <c r="BR306" s="684">
        <f>IF($BN306="","",AVERAGE(INDEX(終値!$E306:$CZ306,1,$BN306+1):INDEX(終値!$E306:$CZ306,1,$BN306+20))+2*STDEVP(INDEX(終値!$E306:$CZ306,1,$BN306+1):INDEX(終値!$E306:$CZ306,1,$BN306+20)))</f>
      </c>
      <c r="BS306" s="684">
        <f>IF($BM306="","",AVERAGE(INDEX(終値!$E306:$CZ306,1,$BM306+1):INDEX(終値!$E306:$CZ306,1,$BM306+20))+2*STDEVP(INDEX(終値!$E306:$CZ306,1,$BM306+1):INDEX(終値!$E306:$CZ306,1,$BM306+20)))</f>
      </c>
      <c r="BT306" s="681">
        <f>IFERROR(IF(AND($BD306&gt;=2,ABS($BG306-$BH306)/$BH306&lt;=BB設定!$B$12,$BI306&gt;=MAX($BH306,$BG306)*(1+BB設定!$B$13),終値!E306&gt;$BG306),IF(OR(終値!E306&gt;=$BI306,AND($BH306&lt;$BJ306,$BG306&gt;=$BK306)),"二番底W▲","二番底W形成"),IF(AND($BL306&gt;=2,ABS($BO306-$BP306)/$BP306&lt;=BB設定!$B$12,$BQ306&lt;=MIN($BP306,$BO306)*(1-BB設定!$B$13),終値!E306&lt;$BO306),IF(OR(終値!E306&lt;=$BQ306,AND($BP306&gt;$BR306,$BO306&lt;=$BS306)),"二番天井M▼","二番天井M形成"),"－")),"－")</f>
      </c>
    </row>
    <row r="307">
      <c r="B307" s="684">
        <f>IF(終値!A307="","",IF(AND(安値!G307&lt;安値!F307,安値!G307&lt;安値!E307,安値!G307&lt;安値!H307,安値!G307&lt;安値!I307),2,""))</f>
      </c>
      <c r="C307" s="684">
        <f>IF(終値!A307="","",IF(AND(安値!H307&lt;安値!G307,安値!H307&lt;安値!F307,安値!H307&lt;安値!I307,安値!H307&lt;安値!J307),3,""))</f>
      </c>
      <c r="D307" s="684">
        <f>IF(終値!A307="","",IF(AND(安値!I307&lt;安値!H307,安値!I307&lt;安値!G307,安値!I307&lt;安値!J307,安値!I307&lt;安値!K307),4,""))</f>
      </c>
      <c r="E307" s="684">
        <f>IF(終値!A307="","",IF(AND(安値!J307&lt;安値!I307,安値!J307&lt;安値!H307,安値!J307&lt;安値!K307,安値!J307&lt;安値!L307),5,""))</f>
      </c>
      <c r="F307" s="684">
        <f>IF(終値!A307="","",IF(AND(安値!K307&lt;安値!J307,安値!K307&lt;安値!I307,安値!K307&lt;安値!L307,安値!K307&lt;安値!M307),6,""))</f>
      </c>
      <c r="G307" s="684">
        <f>IF(終値!A307="","",IF(AND(安値!L307&lt;安値!K307,安値!L307&lt;安値!J307,安値!L307&lt;安値!M307,安値!L307&lt;安値!N307),7,""))</f>
      </c>
      <c r="H307" s="684">
        <f>IF(終値!A307="","",IF(AND(安値!M307&lt;安値!L307,安値!M307&lt;安値!K307,安値!M307&lt;安値!N307,安値!M307&lt;安値!O307),8,""))</f>
      </c>
      <c r="I307" s="684">
        <f>IF(終値!A307="","",IF(AND(安値!N307&lt;安値!M307,安値!N307&lt;安値!L307,安値!N307&lt;安値!O307,安値!N307&lt;安値!P307),9,""))</f>
      </c>
      <c r="J307" s="684">
        <f>IF(終値!A307="","",IF(AND(安値!O307&lt;安値!N307,安値!O307&lt;安値!M307,安値!O307&lt;安値!P307,安値!O307&lt;安値!Q307),10,""))</f>
      </c>
      <c r="K307" s="684">
        <f>IF(終値!A307="","",IF(AND(安値!P307&lt;安値!O307,安値!P307&lt;安値!N307,安値!P307&lt;安値!Q307,安値!P307&lt;安値!R307),11,""))</f>
      </c>
      <c r="L307" s="684">
        <f>IF(終値!A307="","",IF(AND(安値!Q307&lt;安値!P307,安値!Q307&lt;安値!O307,安値!Q307&lt;安値!R307,安値!Q307&lt;安値!S307),12,""))</f>
      </c>
      <c r="M307" s="684">
        <f>IF(終値!A307="","",IF(AND(安値!R307&lt;安値!Q307,安値!R307&lt;安値!P307,安値!R307&lt;安値!S307,安値!R307&lt;安値!T307),13,""))</f>
      </c>
      <c r="N307" s="684">
        <f>IF(終値!A307="","",IF(AND(安値!S307&lt;安値!R307,安値!S307&lt;安値!Q307,安値!S307&lt;安値!T307,安値!S307&lt;安値!U307),14,""))</f>
      </c>
      <c r="O307" s="684">
        <f>IF(終値!A307="","",IF(AND(安値!T307&lt;安値!S307,安値!T307&lt;安値!R307,安値!T307&lt;安値!U307,安値!T307&lt;安値!V307),15,""))</f>
      </c>
      <c r="P307" s="684">
        <f>IF(終値!A307="","",IF(AND(安値!U307&lt;安値!T307,安値!U307&lt;安値!S307,安値!U307&lt;安値!V307,安値!U307&lt;安値!W307),16,""))</f>
      </c>
      <c r="Q307" s="684">
        <f>IF(終値!A307="","",IF(AND(安値!V307&lt;安値!U307,安値!V307&lt;安値!T307,安値!V307&lt;安値!W307,安値!V307&lt;安値!X307),17,""))</f>
      </c>
      <c r="R307" s="684">
        <f>IF(終値!A307="","",IF(AND(安値!W307&lt;安値!V307,安値!W307&lt;安値!U307,安値!W307&lt;安値!X307,安値!W307&lt;安値!Y307),18,""))</f>
      </c>
      <c r="S307" s="684">
        <f>IF(終値!A307="","",IF(AND(安値!X307&lt;安値!W307,安値!X307&lt;安値!V307,安値!X307&lt;安値!Y307,安値!X307&lt;安値!Z307),19,""))</f>
      </c>
      <c r="T307" s="684">
        <f>IF(終値!A307="","",IF(AND(安値!Y307&lt;安値!X307,安値!Y307&lt;安値!W307,安値!Y307&lt;安値!Z307,安値!Y307&lt;安値!AA307),20,""))</f>
      </c>
      <c r="U307" s="684">
        <f>IF(終値!A307="","",IF(AND(安値!Z307&lt;安値!Y307,安値!Z307&lt;安値!X307,安値!Z307&lt;安値!AA307,安値!Z307&lt;安値!AB307),21,""))</f>
      </c>
      <c r="V307" s="684">
        <f>IF(終値!A307="","",IF(AND(安値!AA307&lt;安値!Z307,安値!AA307&lt;安値!Y307,安値!AA307&lt;安値!AB307,安値!AA307&lt;安値!AC307),22,""))</f>
      </c>
      <c r="W307" s="684">
        <f>IF(終値!A307="","",IF(AND(安値!AB307&lt;安値!AA307,安値!AB307&lt;安値!Z307,安値!AB307&lt;安値!AC307,安値!AB307&lt;安値!AD307),23,""))</f>
      </c>
      <c r="X307" s="684">
        <f>IF(終値!A307="","",IF(AND(安値!AC307&lt;安値!AB307,安値!AC307&lt;安値!AA307,安値!AC307&lt;安値!AD307,安値!AC307&lt;安値!AE307),24,""))</f>
      </c>
      <c r="Y307" s="684">
        <f>IF(終値!A307="","",IF(AND(安値!AD307&lt;安値!AC307,安値!AD307&lt;安値!AB307,安値!AD307&lt;安値!AE307,安値!AD307&lt;安値!AF307),25,""))</f>
      </c>
      <c r="Z307" s="684">
        <f>IF(終値!A307="","",IF(AND(安値!AE307&lt;安値!AD307,安値!AE307&lt;安値!AC307,安値!AE307&lt;安値!AF307,安値!AE307&lt;安値!AG307),26,""))</f>
      </c>
      <c r="AA307" s="684">
        <f>IF(終値!A307="","",IF(AND(安値!AF307&lt;安値!AE307,安値!AF307&lt;安値!AD307,安値!AF307&lt;安値!AG307,安値!AF307&lt;安値!AH307),27,""))</f>
      </c>
      <c r="AB307" s="684">
        <f>IF(終値!A307="","",IF(AND(安値!AG307&lt;安値!AF307,安値!AG307&lt;安値!AE307,安値!AG307&lt;安値!AH307,安値!AG307&lt;安値!AI307),28,""))</f>
      </c>
      <c r="AC307" s="684">
        <f>IF(終値!A307="","",IF(AND(高値!G307&gt;高値!F307,高値!G307&gt;高値!E307,高値!G307&gt;高値!H307,高値!G307&gt;高値!I307),2,""))</f>
      </c>
      <c r="AD307" s="684">
        <f>IF(終値!A307="","",IF(AND(高値!H307&gt;高値!G307,高値!H307&gt;高値!F307,高値!H307&gt;高値!I307,高値!H307&gt;高値!J307),3,""))</f>
      </c>
      <c r="AE307" s="684">
        <f>IF(終値!A307="","",IF(AND(高値!I307&gt;高値!H307,高値!I307&gt;高値!G307,高値!I307&gt;高値!J307,高値!I307&gt;高値!K307),4,""))</f>
      </c>
      <c r="AF307" s="684">
        <f>IF(終値!A307="","",IF(AND(高値!J307&gt;高値!I307,高値!J307&gt;高値!H307,高値!J307&gt;高値!K307,高値!J307&gt;高値!L307),5,""))</f>
      </c>
      <c r="AG307" s="684">
        <f>IF(終値!A307="","",IF(AND(高値!K307&gt;高値!J307,高値!K307&gt;高値!I307,高値!K307&gt;高値!L307,高値!K307&gt;高値!M307),6,""))</f>
      </c>
      <c r="AH307" s="684">
        <f>IF(終値!A307="","",IF(AND(高値!L307&gt;高値!K307,高値!L307&gt;高値!J307,高値!L307&gt;高値!M307,高値!L307&gt;高値!N307),7,""))</f>
      </c>
      <c r="AI307" s="684">
        <f>IF(終値!A307="","",IF(AND(高値!M307&gt;高値!L307,高値!M307&gt;高値!K307,高値!M307&gt;高値!N307,高値!M307&gt;高値!O307),8,""))</f>
      </c>
      <c r="AJ307" s="684">
        <f>IF(終値!A307="","",IF(AND(高値!N307&gt;高値!M307,高値!N307&gt;高値!L307,高値!N307&gt;高値!O307,高値!N307&gt;高値!P307),9,""))</f>
      </c>
      <c r="AK307" s="684">
        <f>IF(終値!A307="","",IF(AND(高値!O307&gt;高値!N307,高値!O307&gt;高値!M307,高値!O307&gt;高値!P307,高値!O307&gt;高値!Q307),10,""))</f>
      </c>
      <c r="AL307" s="684">
        <f>IF(終値!A307="","",IF(AND(高値!P307&gt;高値!O307,高値!P307&gt;高値!N307,高値!P307&gt;高値!Q307,高値!P307&gt;高値!R307),11,""))</f>
      </c>
      <c r="AM307" s="684">
        <f>IF(終値!A307="","",IF(AND(高値!Q307&gt;高値!P307,高値!Q307&gt;高値!O307,高値!Q307&gt;高値!R307,高値!Q307&gt;高値!S307),12,""))</f>
      </c>
      <c r="AN307" s="684">
        <f>IF(終値!A307="","",IF(AND(高値!R307&gt;高値!Q307,高値!R307&gt;高値!P307,高値!R307&gt;高値!S307,高値!R307&gt;高値!T307),13,""))</f>
      </c>
      <c r="AO307" s="684">
        <f>IF(終値!A307="","",IF(AND(高値!S307&gt;高値!R307,高値!S307&gt;高値!Q307,高値!S307&gt;高値!T307,高値!S307&gt;高値!U307),14,""))</f>
      </c>
      <c r="AP307" s="684">
        <f>IF(終値!A307="","",IF(AND(高値!T307&gt;高値!S307,高値!T307&gt;高値!R307,高値!T307&gt;高値!U307,高値!T307&gt;高値!V307),15,""))</f>
      </c>
      <c r="AQ307" s="684">
        <f>IF(終値!A307="","",IF(AND(高値!U307&gt;高値!T307,高値!U307&gt;高値!S307,高値!U307&gt;高値!V307,高値!U307&gt;高値!W307),16,""))</f>
      </c>
      <c r="AR307" s="684">
        <f>IF(終値!A307="","",IF(AND(高値!V307&gt;高値!U307,高値!V307&gt;高値!T307,高値!V307&gt;高値!W307,高値!V307&gt;高値!X307),17,""))</f>
      </c>
      <c r="AS307" s="684">
        <f>IF(終値!A307="","",IF(AND(高値!W307&gt;高値!V307,高値!W307&gt;高値!U307,高値!W307&gt;高値!X307,高値!W307&gt;高値!Y307),18,""))</f>
      </c>
      <c r="AT307" s="684">
        <f>IF(終値!A307="","",IF(AND(高値!X307&gt;高値!W307,高値!X307&gt;高値!V307,高値!X307&gt;高値!Y307,高値!X307&gt;高値!Z307),19,""))</f>
      </c>
      <c r="AU307" s="684">
        <f>IF(終値!A307="","",IF(AND(高値!Y307&gt;高値!X307,高値!Y307&gt;高値!W307,高値!Y307&gt;高値!Z307,高値!Y307&gt;高値!AA307),20,""))</f>
      </c>
      <c r="AV307" s="684">
        <f>IF(終値!A307="","",IF(AND(高値!Z307&gt;高値!Y307,高値!Z307&gt;高値!X307,高値!Z307&gt;高値!AA307,高値!Z307&gt;高値!AB307),21,""))</f>
      </c>
      <c r="AW307" s="684">
        <f>IF(終値!A307="","",IF(AND(高値!AA307&gt;高値!Z307,高値!AA307&gt;高値!Y307,高値!AA307&gt;高値!AB307,高値!AA307&gt;高値!AC307),22,""))</f>
      </c>
      <c r="AX307" s="684">
        <f>IF(終値!A307="","",IF(AND(高値!AB307&gt;高値!AA307,高値!AB307&gt;高値!Z307,高値!AB307&gt;高値!AC307,高値!AB307&gt;高値!AD307),23,""))</f>
      </c>
      <c r="AY307" s="684">
        <f>IF(終値!A307="","",IF(AND(高値!AC307&gt;高値!AB307,高値!AC307&gt;高値!AA307,高値!AC307&gt;高値!AD307,高値!AC307&gt;高値!AE307),24,""))</f>
      </c>
      <c r="AZ307" s="684">
        <f>IF(終値!A307="","",IF(AND(高値!AD307&gt;高値!AC307,高値!AD307&gt;高値!AB307,高値!AD307&gt;高値!AE307,高値!AD307&gt;高値!AF307),25,""))</f>
      </c>
      <c r="BA307" s="684">
        <f>IF(終値!A307="","",IF(AND(高値!AE307&gt;高値!AD307,高値!AE307&gt;高値!AC307,高値!AE307&gt;高値!AF307,高値!AE307&gt;高値!AG307),26,""))</f>
      </c>
      <c r="BB307" s="684">
        <f>IF(終値!A307="","",IF(AND(高値!AF307&gt;高値!AE307,高値!AF307&gt;高値!AD307,高値!AF307&gt;高値!AG307,高値!AF307&gt;高値!AH307),27,""))</f>
      </c>
      <c r="BC307" s="684">
        <f>IF(終値!A307="","",IF(AND(高値!AG307&gt;高値!AF307,高値!AG307&gt;高値!AE307,高値!AG307&gt;高値!AH307,高値!AG307&gt;高値!AI307),28,""))</f>
      </c>
      <c r="BD307" s="684">
        <f>COUNT($B307:$AB307)</f>
      </c>
      <c r="BE307" s="684">
        <f>IF($BD307&gt;=2,MIN($B307:$AB307),"")</f>
      </c>
      <c r="BF307" s="684">
        <f>IF($BD307&gt;=2,SMALL($B307:$AB307,2),"")</f>
      </c>
      <c r="BG307" s="684">
        <f>IF($BE307="","",INDEX(安値!$E307:$CZ307,1,$BE307+1))</f>
      </c>
      <c r="BH307" s="684">
        <f>IF($BF307="","",INDEX(安値!$E307:$CZ307,1,$BF307+1))</f>
      </c>
      <c r="BI307" s="684">
        <f>IF($BF307="","",MAX(INDEX(高値!$E307:$CZ307,1,$BE307+1):INDEX(高値!$E307:$CZ307,1,$BF307+1)))</f>
      </c>
      <c r="BJ307" s="684">
        <f>IF($BF307="","",AVERAGE(INDEX(終値!$E307:$CZ307,1,$BF307+1):INDEX(終値!$E307:$CZ307,1,$BF307+20))-2*STDEVP(INDEX(終値!$E307:$CZ307,1,$BF307+1):INDEX(終値!$E307:$CZ307,1,$BF307+20)))</f>
      </c>
      <c r="BK307" s="684">
        <f>IF($BE307="","",AVERAGE(INDEX(終値!$E307:$CZ307,1,$BE307+1):INDEX(終値!$E307:$CZ307,1,$BE307+20))-2*STDEVP(INDEX(終値!$E307:$CZ307,1,$BE307+1):INDEX(終値!$E307:$CZ307,1,$BE307+20)))</f>
      </c>
      <c r="BL307" s="684">
        <f>COUNT($AC307:$BC307)</f>
      </c>
      <c r="BM307" s="684">
        <f>IF($BL307&gt;=2,MIN($AC307:$BC307),"")</f>
      </c>
      <c r="BN307" s="684">
        <f>IF($BL307&gt;=2,SMALL($AC307:$BC307,2),"")</f>
      </c>
      <c r="BO307" s="684">
        <f>IF($BM307="","",INDEX(高値!$E307:$CZ307,1,$BM307+1))</f>
      </c>
      <c r="BP307" s="684">
        <f>IF($BN307="","",INDEX(高値!$E307:$CZ307,1,$BN307+1))</f>
      </c>
      <c r="BQ307" s="684">
        <f>IF($BN307="","",MIN(INDEX(安値!$E307:$CZ307,1,$BM307+1):INDEX(安値!$E307:$CZ307,1,$BN307+1)))</f>
      </c>
      <c r="BR307" s="684">
        <f>IF($BN307="","",AVERAGE(INDEX(終値!$E307:$CZ307,1,$BN307+1):INDEX(終値!$E307:$CZ307,1,$BN307+20))+2*STDEVP(INDEX(終値!$E307:$CZ307,1,$BN307+1):INDEX(終値!$E307:$CZ307,1,$BN307+20)))</f>
      </c>
      <c r="BS307" s="684">
        <f>IF($BM307="","",AVERAGE(INDEX(終値!$E307:$CZ307,1,$BM307+1):INDEX(終値!$E307:$CZ307,1,$BM307+20))+2*STDEVP(INDEX(終値!$E307:$CZ307,1,$BM307+1):INDEX(終値!$E307:$CZ307,1,$BM307+20)))</f>
      </c>
      <c r="BT307" s="681">
        <f>IFERROR(IF(AND($BD307&gt;=2,ABS($BG307-$BH307)/$BH307&lt;=BB設定!$B$12,$BI307&gt;=MAX($BH307,$BG307)*(1+BB設定!$B$13),終値!E307&gt;$BG307),IF(OR(終値!E307&gt;=$BI307,AND($BH307&lt;$BJ307,$BG307&gt;=$BK307)),"二番底W▲","二番底W形成"),IF(AND($BL307&gt;=2,ABS($BO307-$BP307)/$BP307&lt;=BB設定!$B$12,$BQ307&lt;=MIN($BP307,$BO307)*(1-BB設定!$B$13),終値!E307&lt;$BO307),IF(OR(終値!E307&lt;=$BQ307,AND($BP307&gt;$BR307,$BO307&lt;=$BS307)),"二番天井M▼","二番天井M形成"),"－")),"－")</f>
      </c>
    </row>
    <row r="308">
      <c r="B308" s="684">
        <f>IF(終値!A308="","",IF(AND(安値!G308&lt;安値!F308,安値!G308&lt;安値!E308,安値!G308&lt;安値!H308,安値!G308&lt;安値!I308),2,""))</f>
      </c>
      <c r="C308" s="684">
        <f>IF(終値!A308="","",IF(AND(安値!H308&lt;安値!G308,安値!H308&lt;安値!F308,安値!H308&lt;安値!I308,安値!H308&lt;安値!J308),3,""))</f>
      </c>
      <c r="D308" s="684">
        <f>IF(終値!A308="","",IF(AND(安値!I308&lt;安値!H308,安値!I308&lt;安値!G308,安値!I308&lt;安値!J308,安値!I308&lt;安値!K308),4,""))</f>
      </c>
      <c r="E308" s="684">
        <f>IF(終値!A308="","",IF(AND(安値!J308&lt;安値!I308,安値!J308&lt;安値!H308,安値!J308&lt;安値!K308,安値!J308&lt;安値!L308),5,""))</f>
      </c>
      <c r="F308" s="684">
        <f>IF(終値!A308="","",IF(AND(安値!K308&lt;安値!J308,安値!K308&lt;安値!I308,安値!K308&lt;安値!L308,安値!K308&lt;安値!M308),6,""))</f>
      </c>
      <c r="G308" s="684">
        <f>IF(終値!A308="","",IF(AND(安値!L308&lt;安値!K308,安値!L308&lt;安値!J308,安値!L308&lt;安値!M308,安値!L308&lt;安値!N308),7,""))</f>
      </c>
      <c r="H308" s="684">
        <f>IF(終値!A308="","",IF(AND(安値!M308&lt;安値!L308,安値!M308&lt;安値!K308,安値!M308&lt;安値!N308,安値!M308&lt;安値!O308),8,""))</f>
      </c>
      <c r="I308" s="684">
        <f>IF(終値!A308="","",IF(AND(安値!N308&lt;安値!M308,安値!N308&lt;安値!L308,安値!N308&lt;安値!O308,安値!N308&lt;安値!P308),9,""))</f>
      </c>
      <c r="J308" s="684">
        <f>IF(終値!A308="","",IF(AND(安値!O308&lt;安値!N308,安値!O308&lt;安値!M308,安値!O308&lt;安値!P308,安値!O308&lt;安値!Q308),10,""))</f>
      </c>
      <c r="K308" s="684">
        <f>IF(終値!A308="","",IF(AND(安値!P308&lt;安値!O308,安値!P308&lt;安値!N308,安値!P308&lt;安値!Q308,安値!P308&lt;安値!R308),11,""))</f>
      </c>
      <c r="L308" s="684">
        <f>IF(終値!A308="","",IF(AND(安値!Q308&lt;安値!P308,安値!Q308&lt;安値!O308,安値!Q308&lt;安値!R308,安値!Q308&lt;安値!S308),12,""))</f>
      </c>
      <c r="M308" s="684">
        <f>IF(終値!A308="","",IF(AND(安値!R308&lt;安値!Q308,安値!R308&lt;安値!P308,安値!R308&lt;安値!S308,安値!R308&lt;安値!T308),13,""))</f>
      </c>
      <c r="N308" s="684">
        <f>IF(終値!A308="","",IF(AND(安値!S308&lt;安値!R308,安値!S308&lt;安値!Q308,安値!S308&lt;安値!T308,安値!S308&lt;安値!U308),14,""))</f>
      </c>
      <c r="O308" s="684">
        <f>IF(終値!A308="","",IF(AND(安値!T308&lt;安値!S308,安値!T308&lt;安値!R308,安値!T308&lt;安値!U308,安値!T308&lt;安値!V308),15,""))</f>
      </c>
      <c r="P308" s="684">
        <f>IF(終値!A308="","",IF(AND(安値!U308&lt;安値!T308,安値!U308&lt;安値!S308,安値!U308&lt;安値!V308,安値!U308&lt;安値!W308),16,""))</f>
      </c>
      <c r="Q308" s="684">
        <f>IF(終値!A308="","",IF(AND(安値!V308&lt;安値!U308,安値!V308&lt;安値!T308,安値!V308&lt;安値!W308,安値!V308&lt;安値!X308),17,""))</f>
      </c>
      <c r="R308" s="684">
        <f>IF(終値!A308="","",IF(AND(安値!W308&lt;安値!V308,安値!W308&lt;安値!U308,安値!W308&lt;安値!X308,安値!W308&lt;安値!Y308),18,""))</f>
      </c>
      <c r="S308" s="684">
        <f>IF(終値!A308="","",IF(AND(安値!X308&lt;安値!W308,安値!X308&lt;安値!V308,安値!X308&lt;安値!Y308,安値!X308&lt;安値!Z308),19,""))</f>
      </c>
      <c r="T308" s="684">
        <f>IF(終値!A308="","",IF(AND(安値!Y308&lt;安値!X308,安値!Y308&lt;安値!W308,安値!Y308&lt;安値!Z308,安値!Y308&lt;安値!AA308),20,""))</f>
      </c>
      <c r="U308" s="684">
        <f>IF(終値!A308="","",IF(AND(安値!Z308&lt;安値!Y308,安値!Z308&lt;安値!X308,安値!Z308&lt;安値!AA308,安値!Z308&lt;安値!AB308),21,""))</f>
      </c>
      <c r="V308" s="684">
        <f>IF(終値!A308="","",IF(AND(安値!AA308&lt;安値!Z308,安値!AA308&lt;安値!Y308,安値!AA308&lt;安値!AB308,安値!AA308&lt;安値!AC308),22,""))</f>
      </c>
      <c r="W308" s="684">
        <f>IF(終値!A308="","",IF(AND(安値!AB308&lt;安値!AA308,安値!AB308&lt;安値!Z308,安値!AB308&lt;安値!AC308,安値!AB308&lt;安値!AD308),23,""))</f>
      </c>
      <c r="X308" s="684">
        <f>IF(終値!A308="","",IF(AND(安値!AC308&lt;安値!AB308,安値!AC308&lt;安値!AA308,安値!AC308&lt;安値!AD308,安値!AC308&lt;安値!AE308),24,""))</f>
      </c>
      <c r="Y308" s="684">
        <f>IF(終値!A308="","",IF(AND(安値!AD308&lt;安値!AC308,安値!AD308&lt;安値!AB308,安値!AD308&lt;安値!AE308,安値!AD308&lt;安値!AF308),25,""))</f>
      </c>
      <c r="Z308" s="684">
        <f>IF(終値!A308="","",IF(AND(安値!AE308&lt;安値!AD308,安値!AE308&lt;安値!AC308,安値!AE308&lt;安値!AF308,安値!AE308&lt;安値!AG308),26,""))</f>
      </c>
      <c r="AA308" s="684">
        <f>IF(終値!A308="","",IF(AND(安値!AF308&lt;安値!AE308,安値!AF308&lt;安値!AD308,安値!AF308&lt;安値!AG308,安値!AF308&lt;安値!AH308),27,""))</f>
      </c>
      <c r="AB308" s="684">
        <f>IF(終値!A308="","",IF(AND(安値!AG308&lt;安値!AF308,安値!AG308&lt;安値!AE308,安値!AG308&lt;安値!AH308,安値!AG308&lt;安値!AI308),28,""))</f>
      </c>
      <c r="AC308" s="684">
        <f>IF(終値!A308="","",IF(AND(高値!G308&gt;高値!F308,高値!G308&gt;高値!E308,高値!G308&gt;高値!H308,高値!G308&gt;高値!I308),2,""))</f>
      </c>
      <c r="AD308" s="684">
        <f>IF(終値!A308="","",IF(AND(高値!H308&gt;高値!G308,高値!H308&gt;高値!F308,高値!H308&gt;高値!I308,高値!H308&gt;高値!J308),3,""))</f>
      </c>
      <c r="AE308" s="684">
        <f>IF(終値!A308="","",IF(AND(高値!I308&gt;高値!H308,高値!I308&gt;高値!G308,高値!I308&gt;高値!J308,高値!I308&gt;高値!K308),4,""))</f>
      </c>
      <c r="AF308" s="684">
        <f>IF(終値!A308="","",IF(AND(高値!J308&gt;高値!I308,高値!J308&gt;高値!H308,高値!J308&gt;高値!K308,高値!J308&gt;高値!L308),5,""))</f>
      </c>
      <c r="AG308" s="684">
        <f>IF(終値!A308="","",IF(AND(高値!K308&gt;高値!J308,高値!K308&gt;高値!I308,高値!K308&gt;高値!L308,高値!K308&gt;高値!M308),6,""))</f>
      </c>
      <c r="AH308" s="684">
        <f>IF(終値!A308="","",IF(AND(高値!L308&gt;高値!K308,高値!L308&gt;高値!J308,高値!L308&gt;高値!M308,高値!L308&gt;高値!N308),7,""))</f>
      </c>
      <c r="AI308" s="684">
        <f>IF(終値!A308="","",IF(AND(高値!M308&gt;高値!L308,高値!M308&gt;高値!K308,高値!M308&gt;高値!N308,高値!M308&gt;高値!O308),8,""))</f>
      </c>
      <c r="AJ308" s="684">
        <f>IF(終値!A308="","",IF(AND(高値!N308&gt;高値!M308,高値!N308&gt;高値!L308,高値!N308&gt;高値!O308,高値!N308&gt;高値!P308),9,""))</f>
      </c>
      <c r="AK308" s="684">
        <f>IF(終値!A308="","",IF(AND(高値!O308&gt;高値!N308,高値!O308&gt;高値!M308,高値!O308&gt;高値!P308,高値!O308&gt;高値!Q308),10,""))</f>
      </c>
      <c r="AL308" s="684">
        <f>IF(終値!A308="","",IF(AND(高値!P308&gt;高値!O308,高値!P308&gt;高値!N308,高値!P308&gt;高値!Q308,高値!P308&gt;高値!R308),11,""))</f>
      </c>
      <c r="AM308" s="684">
        <f>IF(終値!A308="","",IF(AND(高値!Q308&gt;高値!P308,高値!Q308&gt;高値!O308,高値!Q308&gt;高値!R308,高値!Q308&gt;高値!S308),12,""))</f>
      </c>
      <c r="AN308" s="684">
        <f>IF(終値!A308="","",IF(AND(高値!R308&gt;高値!Q308,高値!R308&gt;高値!P308,高値!R308&gt;高値!S308,高値!R308&gt;高値!T308),13,""))</f>
      </c>
      <c r="AO308" s="684">
        <f>IF(終値!A308="","",IF(AND(高値!S308&gt;高値!R308,高値!S308&gt;高値!Q308,高値!S308&gt;高値!T308,高値!S308&gt;高値!U308),14,""))</f>
      </c>
      <c r="AP308" s="684">
        <f>IF(終値!A308="","",IF(AND(高値!T308&gt;高値!S308,高値!T308&gt;高値!R308,高値!T308&gt;高値!U308,高値!T308&gt;高値!V308),15,""))</f>
      </c>
      <c r="AQ308" s="684">
        <f>IF(終値!A308="","",IF(AND(高値!U308&gt;高値!T308,高値!U308&gt;高値!S308,高値!U308&gt;高値!V308,高値!U308&gt;高値!W308),16,""))</f>
      </c>
      <c r="AR308" s="684">
        <f>IF(終値!A308="","",IF(AND(高値!V308&gt;高値!U308,高値!V308&gt;高値!T308,高値!V308&gt;高値!W308,高値!V308&gt;高値!X308),17,""))</f>
      </c>
      <c r="AS308" s="684">
        <f>IF(終値!A308="","",IF(AND(高値!W308&gt;高値!V308,高値!W308&gt;高値!U308,高値!W308&gt;高値!X308,高値!W308&gt;高値!Y308),18,""))</f>
      </c>
      <c r="AT308" s="684">
        <f>IF(終値!A308="","",IF(AND(高値!X308&gt;高値!W308,高値!X308&gt;高値!V308,高値!X308&gt;高値!Y308,高値!X308&gt;高値!Z308),19,""))</f>
      </c>
      <c r="AU308" s="684">
        <f>IF(終値!A308="","",IF(AND(高値!Y308&gt;高値!X308,高値!Y308&gt;高値!W308,高値!Y308&gt;高値!Z308,高値!Y308&gt;高値!AA308),20,""))</f>
      </c>
      <c r="AV308" s="684">
        <f>IF(終値!A308="","",IF(AND(高値!Z308&gt;高値!Y308,高値!Z308&gt;高値!X308,高値!Z308&gt;高値!AA308,高値!Z308&gt;高値!AB308),21,""))</f>
      </c>
      <c r="AW308" s="684">
        <f>IF(終値!A308="","",IF(AND(高値!AA308&gt;高値!Z308,高値!AA308&gt;高値!Y308,高値!AA308&gt;高値!AB308,高値!AA308&gt;高値!AC308),22,""))</f>
      </c>
      <c r="AX308" s="684">
        <f>IF(終値!A308="","",IF(AND(高値!AB308&gt;高値!AA308,高値!AB308&gt;高値!Z308,高値!AB308&gt;高値!AC308,高値!AB308&gt;高値!AD308),23,""))</f>
      </c>
      <c r="AY308" s="684">
        <f>IF(終値!A308="","",IF(AND(高値!AC308&gt;高値!AB308,高値!AC308&gt;高値!AA308,高値!AC308&gt;高値!AD308,高値!AC308&gt;高値!AE308),24,""))</f>
      </c>
      <c r="AZ308" s="684">
        <f>IF(終値!A308="","",IF(AND(高値!AD308&gt;高値!AC308,高値!AD308&gt;高値!AB308,高値!AD308&gt;高値!AE308,高値!AD308&gt;高値!AF308),25,""))</f>
      </c>
      <c r="BA308" s="684">
        <f>IF(終値!A308="","",IF(AND(高値!AE308&gt;高値!AD308,高値!AE308&gt;高値!AC308,高値!AE308&gt;高値!AF308,高値!AE308&gt;高値!AG308),26,""))</f>
      </c>
      <c r="BB308" s="684">
        <f>IF(終値!A308="","",IF(AND(高値!AF308&gt;高値!AE308,高値!AF308&gt;高値!AD308,高値!AF308&gt;高値!AG308,高値!AF308&gt;高値!AH308),27,""))</f>
      </c>
      <c r="BC308" s="684">
        <f>IF(終値!A308="","",IF(AND(高値!AG308&gt;高値!AF308,高値!AG308&gt;高値!AE308,高値!AG308&gt;高値!AH308,高値!AG308&gt;高値!AI308),28,""))</f>
      </c>
      <c r="BD308" s="684">
        <f>COUNT($B308:$AB308)</f>
      </c>
      <c r="BE308" s="684">
        <f>IF($BD308&gt;=2,MIN($B308:$AB308),"")</f>
      </c>
      <c r="BF308" s="684">
        <f>IF($BD308&gt;=2,SMALL($B308:$AB308,2),"")</f>
      </c>
      <c r="BG308" s="684">
        <f>IF($BE308="","",INDEX(安値!$E308:$CZ308,1,$BE308+1))</f>
      </c>
      <c r="BH308" s="684">
        <f>IF($BF308="","",INDEX(安値!$E308:$CZ308,1,$BF308+1))</f>
      </c>
      <c r="BI308" s="684">
        <f>IF($BF308="","",MAX(INDEX(高値!$E308:$CZ308,1,$BE308+1):INDEX(高値!$E308:$CZ308,1,$BF308+1)))</f>
      </c>
      <c r="BJ308" s="684">
        <f>IF($BF308="","",AVERAGE(INDEX(終値!$E308:$CZ308,1,$BF308+1):INDEX(終値!$E308:$CZ308,1,$BF308+20))-2*STDEVP(INDEX(終値!$E308:$CZ308,1,$BF308+1):INDEX(終値!$E308:$CZ308,1,$BF308+20)))</f>
      </c>
      <c r="BK308" s="684">
        <f>IF($BE308="","",AVERAGE(INDEX(終値!$E308:$CZ308,1,$BE308+1):INDEX(終値!$E308:$CZ308,1,$BE308+20))-2*STDEVP(INDEX(終値!$E308:$CZ308,1,$BE308+1):INDEX(終値!$E308:$CZ308,1,$BE308+20)))</f>
      </c>
      <c r="BL308" s="684">
        <f>COUNT($AC308:$BC308)</f>
      </c>
      <c r="BM308" s="684">
        <f>IF($BL308&gt;=2,MIN($AC308:$BC308),"")</f>
      </c>
      <c r="BN308" s="684">
        <f>IF($BL308&gt;=2,SMALL($AC308:$BC308,2),"")</f>
      </c>
      <c r="BO308" s="684">
        <f>IF($BM308="","",INDEX(高値!$E308:$CZ308,1,$BM308+1))</f>
      </c>
      <c r="BP308" s="684">
        <f>IF($BN308="","",INDEX(高値!$E308:$CZ308,1,$BN308+1))</f>
      </c>
      <c r="BQ308" s="684">
        <f>IF($BN308="","",MIN(INDEX(安値!$E308:$CZ308,1,$BM308+1):INDEX(安値!$E308:$CZ308,1,$BN308+1)))</f>
      </c>
      <c r="BR308" s="684">
        <f>IF($BN308="","",AVERAGE(INDEX(終値!$E308:$CZ308,1,$BN308+1):INDEX(終値!$E308:$CZ308,1,$BN308+20))+2*STDEVP(INDEX(終値!$E308:$CZ308,1,$BN308+1):INDEX(終値!$E308:$CZ308,1,$BN308+20)))</f>
      </c>
      <c r="BS308" s="684">
        <f>IF($BM308="","",AVERAGE(INDEX(終値!$E308:$CZ308,1,$BM308+1):INDEX(終値!$E308:$CZ308,1,$BM308+20))+2*STDEVP(INDEX(終値!$E308:$CZ308,1,$BM308+1):INDEX(終値!$E308:$CZ308,1,$BM308+20)))</f>
      </c>
      <c r="BT308" s="681">
        <f>IFERROR(IF(AND($BD308&gt;=2,ABS($BG308-$BH308)/$BH308&lt;=BB設定!$B$12,$BI308&gt;=MAX($BH308,$BG308)*(1+BB設定!$B$13),終値!E308&gt;$BG308),IF(OR(終値!E308&gt;=$BI308,AND($BH308&lt;$BJ308,$BG308&gt;=$BK308)),"二番底W▲","二番底W形成"),IF(AND($BL308&gt;=2,ABS($BO308-$BP308)/$BP308&lt;=BB設定!$B$12,$BQ308&lt;=MIN($BP308,$BO308)*(1-BB設定!$B$13),終値!E308&lt;$BO308),IF(OR(終値!E308&lt;=$BQ308,AND($BP308&gt;$BR308,$BO308&lt;=$BS308)),"二番天井M▼","二番天井M形成"),"－")),"－")</f>
      </c>
    </row>
    <row r="309">
      <c r="B309" s="684">
        <f>IF(終値!A309="","",IF(AND(安値!G309&lt;安値!F309,安値!G309&lt;安値!E309,安値!G309&lt;安値!H309,安値!G309&lt;安値!I309),2,""))</f>
      </c>
      <c r="C309" s="684">
        <f>IF(終値!A309="","",IF(AND(安値!H309&lt;安値!G309,安値!H309&lt;安値!F309,安値!H309&lt;安値!I309,安値!H309&lt;安値!J309),3,""))</f>
      </c>
      <c r="D309" s="684">
        <f>IF(終値!A309="","",IF(AND(安値!I309&lt;安値!H309,安値!I309&lt;安値!G309,安値!I309&lt;安値!J309,安値!I309&lt;安値!K309),4,""))</f>
      </c>
      <c r="E309" s="684">
        <f>IF(終値!A309="","",IF(AND(安値!J309&lt;安値!I309,安値!J309&lt;安値!H309,安値!J309&lt;安値!K309,安値!J309&lt;安値!L309),5,""))</f>
      </c>
      <c r="F309" s="684">
        <f>IF(終値!A309="","",IF(AND(安値!K309&lt;安値!J309,安値!K309&lt;安値!I309,安値!K309&lt;安値!L309,安値!K309&lt;安値!M309),6,""))</f>
      </c>
      <c r="G309" s="684">
        <f>IF(終値!A309="","",IF(AND(安値!L309&lt;安値!K309,安値!L309&lt;安値!J309,安値!L309&lt;安値!M309,安値!L309&lt;安値!N309),7,""))</f>
      </c>
      <c r="H309" s="684">
        <f>IF(終値!A309="","",IF(AND(安値!M309&lt;安値!L309,安値!M309&lt;安値!K309,安値!M309&lt;安値!N309,安値!M309&lt;安値!O309),8,""))</f>
      </c>
      <c r="I309" s="684">
        <f>IF(終値!A309="","",IF(AND(安値!N309&lt;安値!M309,安値!N309&lt;安値!L309,安値!N309&lt;安値!O309,安値!N309&lt;安値!P309),9,""))</f>
      </c>
      <c r="J309" s="684">
        <f>IF(終値!A309="","",IF(AND(安値!O309&lt;安値!N309,安値!O309&lt;安値!M309,安値!O309&lt;安値!P309,安値!O309&lt;安値!Q309),10,""))</f>
      </c>
      <c r="K309" s="684">
        <f>IF(終値!A309="","",IF(AND(安値!P309&lt;安値!O309,安値!P309&lt;安値!N309,安値!P309&lt;安値!Q309,安値!P309&lt;安値!R309),11,""))</f>
      </c>
      <c r="L309" s="684">
        <f>IF(終値!A309="","",IF(AND(安値!Q309&lt;安値!P309,安値!Q309&lt;安値!O309,安値!Q309&lt;安値!R309,安値!Q309&lt;安値!S309),12,""))</f>
      </c>
      <c r="M309" s="684">
        <f>IF(終値!A309="","",IF(AND(安値!R309&lt;安値!Q309,安値!R309&lt;安値!P309,安値!R309&lt;安値!S309,安値!R309&lt;安値!T309),13,""))</f>
      </c>
      <c r="N309" s="684">
        <f>IF(終値!A309="","",IF(AND(安値!S309&lt;安値!R309,安値!S309&lt;安値!Q309,安値!S309&lt;安値!T309,安値!S309&lt;安値!U309),14,""))</f>
      </c>
      <c r="O309" s="684">
        <f>IF(終値!A309="","",IF(AND(安値!T309&lt;安値!S309,安値!T309&lt;安値!R309,安値!T309&lt;安値!U309,安値!T309&lt;安値!V309),15,""))</f>
      </c>
      <c r="P309" s="684">
        <f>IF(終値!A309="","",IF(AND(安値!U309&lt;安値!T309,安値!U309&lt;安値!S309,安値!U309&lt;安値!V309,安値!U309&lt;安値!W309),16,""))</f>
      </c>
      <c r="Q309" s="684">
        <f>IF(終値!A309="","",IF(AND(安値!V309&lt;安値!U309,安値!V309&lt;安値!T309,安値!V309&lt;安値!W309,安値!V309&lt;安値!X309),17,""))</f>
      </c>
      <c r="R309" s="684">
        <f>IF(終値!A309="","",IF(AND(安値!W309&lt;安値!V309,安値!W309&lt;安値!U309,安値!W309&lt;安値!X309,安値!W309&lt;安値!Y309),18,""))</f>
      </c>
      <c r="S309" s="684">
        <f>IF(終値!A309="","",IF(AND(安値!X309&lt;安値!W309,安値!X309&lt;安値!V309,安値!X309&lt;安値!Y309,安値!X309&lt;安値!Z309),19,""))</f>
      </c>
      <c r="T309" s="684">
        <f>IF(終値!A309="","",IF(AND(安値!Y309&lt;安値!X309,安値!Y309&lt;安値!W309,安値!Y309&lt;安値!Z309,安値!Y309&lt;安値!AA309),20,""))</f>
      </c>
      <c r="U309" s="684">
        <f>IF(終値!A309="","",IF(AND(安値!Z309&lt;安値!Y309,安値!Z309&lt;安値!X309,安値!Z309&lt;安値!AA309,安値!Z309&lt;安値!AB309),21,""))</f>
      </c>
      <c r="V309" s="684">
        <f>IF(終値!A309="","",IF(AND(安値!AA309&lt;安値!Z309,安値!AA309&lt;安値!Y309,安値!AA309&lt;安値!AB309,安値!AA309&lt;安値!AC309),22,""))</f>
      </c>
      <c r="W309" s="684">
        <f>IF(終値!A309="","",IF(AND(安値!AB309&lt;安値!AA309,安値!AB309&lt;安値!Z309,安値!AB309&lt;安値!AC309,安値!AB309&lt;安値!AD309),23,""))</f>
      </c>
      <c r="X309" s="684">
        <f>IF(終値!A309="","",IF(AND(安値!AC309&lt;安値!AB309,安値!AC309&lt;安値!AA309,安値!AC309&lt;安値!AD309,安値!AC309&lt;安値!AE309),24,""))</f>
      </c>
      <c r="Y309" s="684">
        <f>IF(終値!A309="","",IF(AND(安値!AD309&lt;安値!AC309,安値!AD309&lt;安値!AB309,安値!AD309&lt;安値!AE309,安値!AD309&lt;安値!AF309),25,""))</f>
      </c>
      <c r="Z309" s="684">
        <f>IF(終値!A309="","",IF(AND(安値!AE309&lt;安値!AD309,安値!AE309&lt;安値!AC309,安値!AE309&lt;安値!AF309,安値!AE309&lt;安値!AG309),26,""))</f>
      </c>
      <c r="AA309" s="684">
        <f>IF(終値!A309="","",IF(AND(安値!AF309&lt;安値!AE309,安値!AF309&lt;安値!AD309,安値!AF309&lt;安値!AG309,安値!AF309&lt;安値!AH309),27,""))</f>
      </c>
      <c r="AB309" s="684">
        <f>IF(終値!A309="","",IF(AND(安値!AG309&lt;安値!AF309,安値!AG309&lt;安値!AE309,安値!AG309&lt;安値!AH309,安値!AG309&lt;安値!AI309),28,""))</f>
      </c>
      <c r="AC309" s="684">
        <f>IF(終値!A309="","",IF(AND(高値!G309&gt;高値!F309,高値!G309&gt;高値!E309,高値!G309&gt;高値!H309,高値!G309&gt;高値!I309),2,""))</f>
      </c>
      <c r="AD309" s="684">
        <f>IF(終値!A309="","",IF(AND(高値!H309&gt;高値!G309,高値!H309&gt;高値!F309,高値!H309&gt;高値!I309,高値!H309&gt;高値!J309),3,""))</f>
      </c>
      <c r="AE309" s="684">
        <f>IF(終値!A309="","",IF(AND(高値!I309&gt;高値!H309,高値!I309&gt;高値!G309,高値!I309&gt;高値!J309,高値!I309&gt;高値!K309),4,""))</f>
      </c>
      <c r="AF309" s="684">
        <f>IF(終値!A309="","",IF(AND(高値!J309&gt;高値!I309,高値!J309&gt;高値!H309,高値!J309&gt;高値!K309,高値!J309&gt;高値!L309),5,""))</f>
      </c>
      <c r="AG309" s="684">
        <f>IF(終値!A309="","",IF(AND(高値!K309&gt;高値!J309,高値!K309&gt;高値!I309,高値!K309&gt;高値!L309,高値!K309&gt;高値!M309),6,""))</f>
      </c>
      <c r="AH309" s="684">
        <f>IF(終値!A309="","",IF(AND(高値!L309&gt;高値!K309,高値!L309&gt;高値!J309,高値!L309&gt;高値!M309,高値!L309&gt;高値!N309),7,""))</f>
      </c>
      <c r="AI309" s="684">
        <f>IF(終値!A309="","",IF(AND(高値!M309&gt;高値!L309,高値!M309&gt;高値!K309,高値!M309&gt;高値!N309,高値!M309&gt;高値!O309),8,""))</f>
      </c>
      <c r="AJ309" s="684">
        <f>IF(終値!A309="","",IF(AND(高値!N309&gt;高値!M309,高値!N309&gt;高値!L309,高値!N309&gt;高値!O309,高値!N309&gt;高値!P309),9,""))</f>
      </c>
      <c r="AK309" s="684">
        <f>IF(終値!A309="","",IF(AND(高値!O309&gt;高値!N309,高値!O309&gt;高値!M309,高値!O309&gt;高値!P309,高値!O309&gt;高値!Q309),10,""))</f>
      </c>
      <c r="AL309" s="684">
        <f>IF(終値!A309="","",IF(AND(高値!P309&gt;高値!O309,高値!P309&gt;高値!N309,高値!P309&gt;高値!Q309,高値!P309&gt;高値!R309),11,""))</f>
      </c>
      <c r="AM309" s="684">
        <f>IF(終値!A309="","",IF(AND(高値!Q309&gt;高値!P309,高値!Q309&gt;高値!O309,高値!Q309&gt;高値!R309,高値!Q309&gt;高値!S309),12,""))</f>
      </c>
      <c r="AN309" s="684">
        <f>IF(終値!A309="","",IF(AND(高値!R309&gt;高値!Q309,高値!R309&gt;高値!P309,高値!R309&gt;高値!S309,高値!R309&gt;高値!T309),13,""))</f>
      </c>
      <c r="AO309" s="684">
        <f>IF(終値!A309="","",IF(AND(高値!S309&gt;高値!R309,高値!S309&gt;高値!Q309,高値!S309&gt;高値!T309,高値!S309&gt;高値!U309),14,""))</f>
      </c>
      <c r="AP309" s="684">
        <f>IF(終値!A309="","",IF(AND(高値!T309&gt;高値!S309,高値!T309&gt;高値!R309,高値!T309&gt;高値!U309,高値!T309&gt;高値!V309),15,""))</f>
      </c>
      <c r="AQ309" s="684">
        <f>IF(終値!A309="","",IF(AND(高値!U309&gt;高値!T309,高値!U309&gt;高値!S309,高値!U309&gt;高値!V309,高値!U309&gt;高値!W309),16,""))</f>
      </c>
      <c r="AR309" s="684">
        <f>IF(終値!A309="","",IF(AND(高値!V309&gt;高値!U309,高値!V309&gt;高値!T309,高値!V309&gt;高値!W309,高値!V309&gt;高値!X309),17,""))</f>
      </c>
      <c r="AS309" s="684">
        <f>IF(終値!A309="","",IF(AND(高値!W309&gt;高値!V309,高値!W309&gt;高値!U309,高値!W309&gt;高値!X309,高値!W309&gt;高値!Y309),18,""))</f>
      </c>
      <c r="AT309" s="684">
        <f>IF(終値!A309="","",IF(AND(高値!X309&gt;高値!W309,高値!X309&gt;高値!V309,高値!X309&gt;高値!Y309,高値!X309&gt;高値!Z309),19,""))</f>
      </c>
      <c r="AU309" s="684">
        <f>IF(終値!A309="","",IF(AND(高値!Y309&gt;高値!X309,高値!Y309&gt;高値!W309,高値!Y309&gt;高値!Z309,高値!Y309&gt;高値!AA309),20,""))</f>
      </c>
      <c r="AV309" s="684">
        <f>IF(終値!A309="","",IF(AND(高値!Z309&gt;高値!Y309,高値!Z309&gt;高値!X309,高値!Z309&gt;高値!AA309,高値!Z309&gt;高値!AB309),21,""))</f>
      </c>
      <c r="AW309" s="684">
        <f>IF(終値!A309="","",IF(AND(高値!AA309&gt;高値!Z309,高値!AA309&gt;高値!Y309,高値!AA309&gt;高値!AB309,高値!AA309&gt;高値!AC309),22,""))</f>
      </c>
      <c r="AX309" s="684">
        <f>IF(終値!A309="","",IF(AND(高値!AB309&gt;高値!AA309,高値!AB309&gt;高値!Z309,高値!AB309&gt;高値!AC309,高値!AB309&gt;高値!AD309),23,""))</f>
      </c>
      <c r="AY309" s="684">
        <f>IF(終値!A309="","",IF(AND(高値!AC309&gt;高値!AB309,高値!AC309&gt;高値!AA309,高値!AC309&gt;高値!AD309,高値!AC309&gt;高値!AE309),24,""))</f>
      </c>
      <c r="AZ309" s="684">
        <f>IF(終値!A309="","",IF(AND(高値!AD309&gt;高値!AC309,高値!AD309&gt;高値!AB309,高値!AD309&gt;高値!AE309,高値!AD309&gt;高値!AF309),25,""))</f>
      </c>
      <c r="BA309" s="684">
        <f>IF(終値!A309="","",IF(AND(高値!AE309&gt;高値!AD309,高値!AE309&gt;高値!AC309,高値!AE309&gt;高値!AF309,高値!AE309&gt;高値!AG309),26,""))</f>
      </c>
      <c r="BB309" s="684">
        <f>IF(終値!A309="","",IF(AND(高値!AF309&gt;高値!AE309,高値!AF309&gt;高値!AD309,高値!AF309&gt;高値!AG309,高値!AF309&gt;高値!AH309),27,""))</f>
      </c>
      <c r="BC309" s="684">
        <f>IF(終値!A309="","",IF(AND(高値!AG309&gt;高値!AF309,高値!AG309&gt;高値!AE309,高値!AG309&gt;高値!AH309,高値!AG309&gt;高値!AI309),28,""))</f>
      </c>
      <c r="BD309" s="684">
        <f>COUNT($B309:$AB309)</f>
      </c>
      <c r="BE309" s="684">
        <f>IF($BD309&gt;=2,MIN($B309:$AB309),"")</f>
      </c>
      <c r="BF309" s="684">
        <f>IF($BD309&gt;=2,SMALL($B309:$AB309,2),"")</f>
      </c>
      <c r="BG309" s="684">
        <f>IF($BE309="","",INDEX(安値!$E309:$CZ309,1,$BE309+1))</f>
      </c>
      <c r="BH309" s="684">
        <f>IF($BF309="","",INDEX(安値!$E309:$CZ309,1,$BF309+1))</f>
      </c>
      <c r="BI309" s="684">
        <f>IF($BF309="","",MAX(INDEX(高値!$E309:$CZ309,1,$BE309+1):INDEX(高値!$E309:$CZ309,1,$BF309+1)))</f>
      </c>
      <c r="BJ309" s="684">
        <f>IF($BF309="","",AVERAGE(INDEX(終値!$E309:$CZ309,1,$BF309+1):INDEX(終値!$E309:$CZ309,1,$BF309+20))-2*STDEVP(INDEX(終値!$E309:$CZ309,1,$BF309+1):INDEX(終値!$E309:$CZ309,1,$BF309+20)))</f>
      </c>
      <c r="BK309" s="684">
        <f>IF($BE309="","",AVERAGE(INDEX(終値!$E309:$CZ309,1,$BE309+1):INDEX(終値!$E309:$CZ309,1,$BE309+20))-2*STDEVP(INDEX(終値!$E309:$CZ309,1,$BE309+1):INDEX(終値!$E309:$CZ309,1,$BE309+20)))</f>
      </c>
      <c r="BL309" s="684">
        <f>COUNT($AC309:$BC309)</f>
      </c>
      <c r="BM309" s="684">
        <f>IF($BL309&gt;=2,MIN($AC309:$BC309),"")</f>
      </c>
      <c r="BN309" s="684">
        <f>IF($BL309&gt;=2,SMALL($AC309:$BC309,2),"")</f>
      </c>
      <c r="BO309" s="684">
        <f>IF($BM309="","",INDEX(高値!$E309:$CZ309,1,$BM309+1))</f>
      </c>
      <c r="BP309" s="684">
        <f>IF($BN309="","",INDEX(高値!$E309:$CZ309,1,$BN309+1))</f>
      </c>
      <c r="BQ309" s="684">
        <f>IF($BN309="","",MIN(INDEX(安値!$E309:$CZ309,1,$BM309+1):INDEX(安値!$E309:$CZ309,1,$BN309+1)))</f>
      </c>
      <c r="BR309" s="684">
        <f>IF($BN309="","",AVERAGE(INDEX(終値!$E309:$CZ309,1,$BN309+1):INDEX(終値!$E309:$CZ309,1,$BN309+20))+2*STDEVP(INDEX(終値!$E309:$CZ309,1,$BN309+1):INDEX(終値!$E309:$CZ309,1,$BN309+20)))</f>
      </c>
      <c r="BS309" s="684">
        <f>IF($BM309="","",AVERAGE(INDEX(終値!$E309:$CZ309,1,$BM309+1):INDEX(終値!$E309:$CZ309,1,$BM309+20))+2*STDEVP(INDEX(終値!$E309:$CZ309,1,$BM309+1):INDEX(終値!$E309:$CZ309,1,$BM309+20)))</f>
      </c>
      <c r="BT309" s="681">
        <f>IFERROR(IF(AND($BD309&gt;=2,ABS($BG309-$BH309)/$BH309&lt;=BB設定!$B$12,$BI309&gt;=MAX($BH309,$BG309)*(1+BB設定!$B$13),終値!E309&gt;$BG309),IF(OR(終値!E309&gt;=$BI309,AND($BH309&lt;$BJ309,$BG309&gt;=$BK309)),"二番底W▲","二番底W形成"),IF(AND($BL309&gt;=2,ABS($BO309-$BP309)/$BP309&lt;=BB設定!$B$12,$BQ309&lt;=MIN($BP309,$BO309)*(1-BB設定!$B$13),終値!E309&lt;$BO309),IF(OR(終値!E309&lt;=$BQ309,AND($BP309&gt;$BR309,$BO309&lt;=$BS309)),"二番天井M▼","二番天井M形成"),"－")),"－")</f>
      </c>
    </row>
    <row r="310">
      <c r="B310" s="684">
        <f>IF(終値!A310="","",IF(AND(安値!G310&lt;安値!F310,安値!G310&lt;安値!E310,安値!G310&lt;安値!H310,安値!G310&lt;安値!I310),2,""))</f>
      </c>
      <c r="C310" s="684">
        <f>IF(終値!A310="","",IF(AND(安値!H310&lt;安値!G310,安値!H310&lt;安値!F310,安値!H310&lt;安値!I310,安値!H310&lt;安値!J310),3,""))</f>
      </c>
      <c r="D310" s="684">
        <f>IF(終値!A310="","",IF(AND(安値!I310&lt;安値!H310,安値!I310&lt;安値!G310,安値!I310&lt;安値!J310,安値!I310&lt;安値!K310),4,""))</f>
      </c>
      <c r="E310" s="684">
        <f>IF(終値!A310="","",IF(AND(安値!J310&lt;安値!I310,安値!J310&lt;安値!H310,安値!J310&lt;安値!K310,安値!J310&lt;安値!L310),5,""))</f>
      </c>
      <c r="F310" s="684">
        <f>IF(終値!A310="","",IF(AND(安値!K310&lt;安値!J310,安値!K310&lt;安値!I310,安値!K310&lt;安値!L310,安値!K310&lt;安値!M310),6,""))</f>
      </c>
      <c r="G310" s="684">
        <f>IF(終値!A310="","",IF(AND(安値!L310&lt;安値!K310,安値!L310&lt;安値!J310,安値!L310&lt;安値!M310,安値!L310&lt;安値!N310),7,""))</f>
      </c>
      <c r="H310" s="684">
        <f>IF(終値!A310="","",IF(AND(安値!M310&lt;安値!L310,安値!M310&lt;安値!K310,安値!M310&lt;安値!N310,安値!M310&lt;安値!O310),8,""))</f>
      </c>
      <c r="I310" s="684">
        <f>IF(終値!A310="","",IF(AND(安値!N310&lt;安値!M310,安値!N310&lt;安値!L310,安値!N310&lt;安値!O310,安値!N310&lt;安値!P310),9,""))</f>
      </c>
      <c r="J310" s="684">
        <f>IF(終値!A310="","",IF(AND(安値!O310&lt;安値!N310,安値!O310&lt;安値!M310,安値!O310&lt;安値!P310,安値!O310&lt;安値!Q310),10,""))</f>
      </c>
      <c r="K310" s="684">
        <f>IF(終値!A310="","",IF(AND(安値!P310&lt;安値!O310,安値!P310&lt;安値!N310,安値!P310&lt;安値!Q310,安値!P310&lt;安値!R310),11,""))</f>
      </c>
      <c r="L310" s="684">
        <f>IF(終値!A310="","",IF(AND(安値!Q310&lt;安値!P310,安値!Q310&lt;安値!O310,安値!Q310&lt;安値!R310,安値!Q310&lt;安値!S310),12,""))</f>
      </c>
      <c r="M310" s="684">
        <f>IF(終値!A310="","",IF(AND(安値!R310&lt;安値!Q310,安値!R310&lt;安値!P310,安値!R310&lt;安値!S310,安値!R310&lt;安値!T310),13,""))</f>
      </c>
      <c r="N310" s="684">
        <f>IF(終値!A310="","",IF(AND(安値!S310&lt;安値!R310,安値!S310&lt;安値!Q310,安値!S310&lt;安値!T310,安値!S310&lt;安値!U310),14,""))</f>
      </c>
      <c r="O310" s="684">
        <f>IF(終値!A310="","",IF(AND(安値!T310&lt;安値!S310,安値!T310&lt;安値!R310,安値!T310&lt;安値!U310,安値!T310&lt;安値!V310),15,""))</f>
      </c>
      <c r="P310" s="684">
        <f>IF(終値!A310="","",IF(AND(安値!U310&lt;安値!T310,安値!U310&lt;安値!S310,安値!U310&lt;安値!V310,安値!U310&lt;安値!W310),16,""))</f>
      </c>
      <c r="Q310" s="684">
        <f>IF(終値!A310="","",IF(AND(安値!V310&lt;安値!U310,安値!V310&lt;安値!T310,安値!V310&lt;安値!W310,安値!V310&lt;安値!X310),17,""))</f>
      </c>
      <c r="R310" s="684">
        <f>IF(終値!A310="","",IF(AND(安値!W310&lt;安値!V310,安値!W310&lt;安値!U310,安値!W310&lt;安値!X310,安値!W310&lt;安値!Y310),18,""))</f>
      </c>
      <c r="S310" s="684">
        <f>IF(終値!A310="","",IF(AND(安値!X310&lt;安値!W310,安値!X310&lt;安値!V310,安値!X310&lt;安値!Y310,安値!X310&lt;安値!Z310),19,""))</f>
      </c>
      <c r="T310" s="684">
        <f>IF(終値!A310="","",IF(AND(安値!Y310&lt;安値!X310,安値!Y310&lt;安値!W310,安値!Y310&lt;安値!Z310,安値!Y310&lt;安値!AA310),20,""))</f>
      </c>
      <c r="U310" s="684">
        <f>IF(終値!A310="","",IF(AND(安値!Z310&lt;安値!Y310,安値!Z310&lt;安値!X310,安値!Z310&lt;安値!AA310,安値!Z310&lt;安値!AB310),21,""))</f>
      </c>
      <c r="V310" s="684">
        <f>IF(終値!A310="","",IF(AND(安値!AA310&lt;安値!Z310,安値!AA310&lt;安値!Y310,安値!AA310&lt;安値!AB310,安値!AA310&lt;安値!AC310),22,""))</f>
      </c>
      <c r="W310" s="684">
        <f>IF(終値!A310="","",IF(AND(安値!AB310&lt;安値!AA310,安値!AB310&lt;安値!Z310,安値!AB310&lt;安値!AC310,安値!AB310&lt;安値!AD310),23,""))</f>
      </c>
      <c r="X310" s="684">
        <f>IF(終値!A310="","",IF(AND(安値!AC310&lt;安値!AB310,安値!AC310&lt;安値!AA310,安値!AC310&lt;安値!AD310,安値!AC310&lt;安値!AE310),24,""))</f>
      </c>
      <c r="Y310" s="684">
        <f>IF(終値!A310="","",IF(AND(安値!AD310&lt;安値!AC310,安値!AD310&lt;安値!AB310,安値!AD310&lt;安値!AE310,安値!AD310&lt;安値!AF310),25,""))</f>
      </c>
      <c r="Z310" s="684">
        <f>IF(終値!A310="","",IF(AND(安値!AE310&lt;安値!AD310,安値!AE310&lt;安値!AC310,安値!AE310&lt;安値!AF310,安値!AE310&lt;安値!AG310),26,""))</f>
      </c>
      <c r="AA310" s="684">
        <f>IF(終値!A310="","",IF(AND(安値!AF310&lt;安値!AE310,安値!AF310&lt;安値!AD310,安値!AF310&lt;安値!AG310,安値!AF310&lt;安値!AH310),27,""))</f>
      </c>
      <c r="AB310" s="684">
        <f>IF(終値!A310="","",IF(AND(安値!AG310&lt;安値!AF310,安値!AG310&lt;安値!AE310,安値!AG310&lt;安値!AH310,安値!AG310&lt;安値!AI310),28,""))</f>
      </c>
      <c r="AC310" s="684">
        <f>IF(終値!A310="","",IF(AND(高値!G310&gt;高値!F310,高値!G310&gt;高値!E310,高値!G310&gt;高値!H310,高値!G310&gt;高値!I310),2,""))</f>
      </c>
      <c r="AD310" s="684">
        <f>IF(終値!A310="","",IF(AND(高値!H310&gt;高値!G310,高値!H310&gt;高値!F310,高値!H310&gt;高値!I310,高値!H310&gt;高値!J310),3,""))</f>
      </c>
      <c r="AE310" s="684">
        <f>IF(終値!A310="","",IF(AND(高値!I310&gt;高値!H310,高値!I310&gt;高値!G310,高値!I310&gt;高値!J310,高値!I310&gt;高値!K310),4,""))</f>
      </c>
      <c r="AF310" s="684">
        <f>IF(終値!A310="","",IF(AND(高値!J310&gt;高値!I310,高値!J310&gt;高値!H310,高値!J310&gt;高値!K310,高値!J310&gt;高値!L310),5,""))</f>
      </c>
      <c r="AG310" s="684">
        <f>IF(終値!A310="","",IF(AND(高値!K310&gt;高値!J310,高値!K310&gt;高値!I310,高値!K310&gt;高値!L310,高値!K310&gt;高値!M310),6,""))</f>
      </c>
      <c r="AH310" s="684">
        <f>IF(終値!A310="","",IF(AND(高値!L310&gt;高値!K310,高値!L310&gt;高値!J310,高値!L310&gt;高値!M310,高値!L310&gt;高値!N310),7,""))</f>
      </c>
      <c r="AI310" s="684">
        <f>IF(終値!A310="","",IF(AND(高値!M310&gt;高値!L310,高値!M310&gt;高値!K310,高値!M310&gt;高値!N310,高値!M310&gt;高値!O310),8,""))</f>
      </c>
      <c r="AJ310" s="684">
        <f>IF(終値!A310="","",IF(AND(高値!N310&gt;高値!M310,高値!N310&gt;高値!L310,高値!N310&gt;高値!O310,高値!N310&gt;高値!P310),9,""))</f>
      </c>
      <c r="AK310" s="684">
        <f>IF(終値!A310="","",IF(AND(高値!O310&gt;高値!N310,高値!O310&gt;高値!M310,高値!O310&gt;高値!P310,高値!O310&gt;高値!Q310),10,""))</f>
      </c>
      <c r="AL310" s="684">
        <f>IF(終値!A310="","",IF(AND(高値!P310&gt;高値!O310,高値!P310&gt;高値!N310,高値!P310&gt;高値!Q310,高値!P310&gt;高値!R310),11,""))</f>
      </c>
      <c r="AM310" s="684">
        <f>IF(終値!A310="","",IF(AND(高値!Q310&gt;高値!P310,高値!Q310&gt;高値!O310,高値!Q310&gt;高値!R310,高値!Q310&gt;高値!S310),12,""))</f>
      </c>
      <c r="AN310" s="684">
        <f>IF(終値!A310="","",IF(AND(高値!R310&gt;高値!Q310,高値!R310&gt;高値!P310,高値!R310&gt;高値!S310,高値!R310&gt;高値!T310),13,""))</f>
      </c>
      <c r="AO310" s="684">
        <f>IF(終値!A310="","",IF(AND(高値!S310&gt;高値!R310,高値!S310&gt;高値!Q310,高値!S310&gt;高値!T310,高値!S310&gt;高値!U310),14,""))</f>
      </c>
      <c r="AP310" s="684">
        <f>IF(終値!A310="","",IF(AND(高値!T310&gt;高値!S310,高値!T310&gt;高値!R310,高値!T310&gt;高値!U310,高値!T310&gt;高値!V310),15,""))</f>
      </c>
      <c r="AQ310" s="684">
        <f>IF(終値!A310="","",IF(AND(高値!U310&gt;高値!T310,高値!U310&gt;高値!S310,高値!U310&gt;高値!V310,高値!U310&gt;高値!W310),16,""))</f>
      </c>
      <c r="AR310" s="684">
        <f>IF(終値!A310="","",IF(AND(高値!V310&gt;高値!U310,高値!V310&gt;高値!T310,高値!V310&gt;高値!W310,高値!V310&gt;高値!X310),17,""))</f>
      </c>
      <c r="AS310" s="684">
        <f>IF(終値!A310="","",IF(AND(高値!W310&gt;高値!V310,高値!W310&gt;高値!U310,高値!W310&gt;高値!X310,高値!W310&gt;高値!Y310),18,""))</f>
      </c>
      <c r="AT310" s="684">
        <f>IF(終値!A310="","",IF(AND(高値!X310&gt;高値!W310,高値!X310&gt;高値!V310,高値!X310&gt;高値!Y310,高値!X310&gt;高値!Z310),19,""))</f>
      </c>
      <c r="AU310" s="684">
        <f>IF(終値!A310="","",IF(AND(高値!Y310&gt;高値!X310,高値!Y310&gt;高値!W310,高値!Y310&gt;高値!Z310,高値!Y310&gt;高値!AA310),20,""))</f>
      </c>
      <c r="AV310" s="684">
        <f>IF(終値!A310="","",IF(AND(高値!Z310&gt;高値!Y310,高値!Z310&gt;高値!X310,高値!Z310&gt;高値!AA310,高値!Z310&gt;高値!AB310),21,""))</f>
      </c>
      <c r="AW310" s="684">
        <f>IF(終値!A310="","",IF(AND(高値!AA310&gt;高値!Z310,高値!AA310&gt;高値!Y310,高値!AA310&gt;高値!AB310,高値!AA310&gt;高値!AC310),22,""))</f>
      </c>
      <c r="AX310" s="684">
        <f>IF(終値!A310="","",IF(AND(高値!AB310&gt;高値!AA310,高値!AB310&gt;高値!Z310,高値!AB310&gt;高値!AC310,高値!AB310&gt;高値!AD310),23,""))</f>
      </c>
      <c r="AY310" s="684">
        <f>IF(終値!A310="","",IF(AND(高値!AC310&gt;高値!AB310,高値!AC310&gt;高値!AA310,高値!AC310&gt;高値!AD310,高値!AC310&gt;高値!AE310),24,""))</f>
      </c>
      <c r="AZ310" s="684">
        <f>IF(終値!A310="","",IF(AND(高値!AD310&gt;高値!AC310,高値!AD310&gt;高値!AB310,高値!AD310&gt;高値!AE310,高値!AD310&gt;高値!AF310),25,""))</f>
      </c>
      <c r="BA310" s="684">
        <f>IF(終値!A310="","",IF(AND(高値!AE310&gt;高値!AD310,高値!AE310&gt;高値!AC310,高値!AE310&gt;高値!AF310,高値!AE310&gt;高値!AG310),26,""))</f>
      </c>
      <c r="BB310" s="684">
        <f>IF(終値!A310="","",IF(AND(高値!AF310&gt;高値!AE310,高値!AF310&gt;高値!AD310,高値!AF310&gt;高値!AG310,高値!AF310&gt;高値!AH310),27,""))</f>
      </c>
      <c r="BC310" s="684">
        <f>IF(終値!A310="","",IF(AND(高値!AG310&gt;高値!AF310,高値!AG310&gt;高値!AE310,高値!AG310&gt;高値!AH310,高値!AG310&gt;高値!AI310),28,""))</f>
      </c>
      <c r="BD310" s="684">
        <f>COUNT($B310:$AB310)</f>
      </c>
      <c r="BE310" s="684">
        <f>IF($BD310&gt;=2,MIN($B310:$AB310),"")</f>
      </c>
      <c r="BF310" s="684">
        <f>IF($BD310&gt;=2,SMALL($B310:$AB310,2),"")</f>
      </c>
      <c r="BG310" s="684">
        <f>IF($BE310="","",INDEX(安値!$E310:$CZ310,1,$BE310+1))</f>
      </c>
      <c r="BH310" s="684">
        <f>IF($BF310="","",INDEX(安値!$E310:$CZ310,1,$BF310+1))</f>
      </c>
      <c r="BI310" s="684">
        <f>IF($BF310="","",MAX(INDEX(高値!$E310:$CZ310,1,$BE310+1):INDEX(高値!$E310:$CZ310,1,$BF310+1)))</f>
      </c>
      <c r="BJ310" s="684">
        <f>IF($BF310="","",AVERAGE(INDEX(終値!$E310:$CZ310,1,$BF310+1):INDEX(終値!$E310:$CZ310,1,$BF310+20))-2*STDEVP(INDEX(終値!$E310:$CZ310,1,$BF310+1):INDEX(終値!$E310:$CZ310,1,$BF310+20)))</f>
      </c>
      <c r="BK310" s="684">
        <f>IF($BE310="","",AVERAGE(INDEX(終値!$E310:$CZ310,1,$BE310+1):INDEX(終値!$E310:$CZ310,1,$BE310+20))-2*STDEVP(INDEX(終値!$E310:$CZ310,1,$BE310+1):INDEX(終値!$E310:$CZ310,1,$BE310+20)))</f>
      </c>
      <c r="BL310" s="684">
        <f>COUNT($AC310:$BC310)</f>
      </c>
      <c r="BM310" s="684">
        <f>IF($BL310&gt;=2,MIN($AC310:$BC310),"")</f>
      </c>
      <c r="BN310" s="684">
        <f>IF($BL310&gt;=2,SMALL($AC310:$BC310,2),"")</f>
      </c>
      <c r="BO310" s="684">
        <f>IF($BM310="","",INDEX(高値!$E310:$CZ310,1,$BM310+1))</f>
      </c>
      <c r="BP310" s="684">
        <f>IF($BN310="","",INDEX(高値!$E310:$CZ310,1,$BN310+1))</f>
      </c>
      <c r="BQ310" s="684">
        <f>IF($BN310="","",MIN(INDEX(安値!$E310:$CZ310,1,$BM310+1):INDEX(安値!$E310:$CZ310,1,$BN310+1)))</f>
      </c>
      <c r="BR310" s="684">
        <f>IF($BN310="","",AVERAGE(INDEX(終値!$E310:$CZ310,1,$BN310+1):INDEX(終値!$E310:$CZ310,1,$BN310+20))+2*STDEVP(INDEX(終値!$E310:$CZ310,1,$BN310+1):INDEX(終値!$E310:$CZ310,1,$BN310+20)))</f>
      </c>
      <c r="BS310" s="684">
        <f>IF($BM310="","",AVERAGE(INDEX(終値!$E310:$CZ310,1,$BM310+1):INDEX(終値!$E310:$CZ310,1,$BM310+20))+2*STDEVP(INDEX(終値!$E310:$CZ310,1,$BM310+1):INDEX(終値!$E310:$CZ310,1,$BM310+20)))</f>
      </c>
      <c r="BT310" s="681">
        <f>IFERROR(IF(AND($BD310&gt;=2,ABS($BG310-$BH310)/$BH310&lt;=BB設定!$B$12,$BI310&gt;=MAX($BH310,$BG310)*(1+BB設定!$B$13),終値!E310&gt;$BG310),IF(OR(終値!E310&gt;=$BI310,AND($BH310&lt;$BJ310,$BG310&gt;=$BK310)),"二番底W▲","二番底W形成"),IF(AND($BL310&gt;=2,ABS($BO310-$BP310)/$BP310&lt;=BB設定!$B$12,$BQ310&lt;=MIN($BP310,$BO310)*(1-BB設定!$B$13),終値!E310&lt;$BO310),IF(OR(終値!E310&lt;=$BQ310,AND($BP310&gt;$BR310,$BO310&lt;=$BS310)),"二番天井M▼","二番天井M形成"),"－")),"－")</f>
      </c>
    </row>
    <row r="311">
      <c r="B311" s="684">
        <f>IF(終値!A311="","",IF(AND(安値!G311&lt;安値!F311,安値!G311&lt;安値!E311,安値!G311&lt;安値!H311,安値!G311&lt;安値!I311),2,""))</f>
      </c>
      <c r="C311" s="684">
        <f>IF(終値!A311="","",IF(AND(安値!H311&lt;安値!G311,安値!H311&lt;安値!F311,安値!H311&lt;安値!I311,安値!H311&lt;安値!J311),3,""))</f>
      </c>
      <c r="D311" s="684">
        <f>IF(終値!A311="","",IF(AND(安値!I311&lt;安値!H311,安値!I311&lt;安値!G311,安値!I311&lt;安値!J311,安値!I311&lt;安値!K311),4,""))</f>
      </c>
      <c r="E311" s="684">
        <f>IF(終値!A311="","",IF(AND(安値!J311&lt;安値!I311,安値!J311&lt;安値!H311,安値!J311&lt;安値!K311,安値!J311&lt;安値!L311),5,""))</f>
      </c>
      <c r="F311" s="684">
        <f>IF(終値!A311="","",IF(AND(安値!K311&lt;安値!J311,安値!K311&lt;安値!I311,安値!K311&lt;安値!L311,安値!K311&lt;安値!M311),6,""))</f>
      </c>
      <c r="G311" s="684">
        <f>IF(終値!A311="","",IF(AND(安値!L311&lt;安値!K311,安値!L311&lt;安値!J311,安値!L311&lt;安値!M311,安値!L311&lt;安値!N311),7,""))</f>
      </c>
      <c r="H311" s="684">
        <f>IF(終値!A311="","",IF(AND(安値!M311&lt;安値!L311,安値!M311&lt;安値!K311,安値!M311&lt;安値!N311,安値!M311&lt;安値!O311),8,""))</f>
      </c>
      <c r="I311" s="684">
        <f>IF(終値!A311="","",IF(AND(安値!N311&lt;安値!M311,安値!N311&lt;安値!L311,安値!N311&lt;安値!O311,安値!N311&lt;安値!P311),9,""))</f>
      </c>
      <c r="J311" s="684">
        <f>IF(終値!A311="","",IF(AND(安値!O311&lt;安値!N311,安値!O311&lt;安値!M311,安値!O311&lt;安値!P311,安値!O311&lt;安値!Q311),10,""))</f>
      </c>
      <c r="K311" s="684">
        <f>IF(終値!A311="","",IF(AND(安値!P311&lt;安値!O311,安値!P311&lt;安値!N311,安値!P311&lt;安値!Q311,安値!P311&lt;安値!R311),11,""))</f>
      </c>
      <c r="L311" s="684">
        <f>IF(終値!A311="","",IF(AND(安値!Q311&lt;安値!P311,安値!Q311&lt;安値!O311,安値!Q311&lt;安値!R311,安値!Q311&lt;安値!S311),12,""))</f>
      </c>
      <c r="M311" s="684">
        <f>IF(終値!A311="","",IF(AND(安値!R311&lt;安値!Q311,安値!R311&lt;安値!P311,安値!R311&lt;安値!S311,安値!R311&lt;安値!T311),13,""))</f>
      </c>
      <c r="N311" s="684">
        <f>IF(終値!A311="","",IF(AND(安値!S311&lt;安値!R311,安値!S311&lt;安値!Q311,安値!S311&lt;安値!T311,安値!S311&lt;安値!U311),14,""))</f>
      </c>
      <c r="O311" s="684">
        <f>IF(終値!A311="","",IF(AND(安値!T311&lt;安値!S311,安値!T311&lt;安値!R311,安値!T311&lt;安値!U311,安値!T311&lt;安値!V311),15,""))</f>
      </c>
      <c r="P311" s="684">
        <f>IF(終値!A311="","",IF(AND(安値!U311&lt;安値!T311,安値!U311&lt;安値!S311,安値!U311&lt;安値!V311,安値!U311&lt;安値!W311),16,""))</f>
      </c>
      <c r="Q311" s="684">
        <f>IF(終値!A311="","",IF(AND(安値!V311&lt;安値!U311,安値!V311&lt;安値!T311,安値!V311&lt;安値!W311,安値!V311&lt;安値!X311),17,""))</f>
      </c>
      <c r="R311" s="684">
        <f>IF(終値!A311="","",IF(AND(安値!W311&lt;安値!V311,安値!W311&lt;安値!U311,安値!W311&lt;安値!X311,安値!W311&lt;安値!Y311),18,""))</f>
      </c>
      <c r="S311" s="684">
        <f>IF(終値!A311="","",IF(AND(安値!X311&lt;安値!W311,安値!X311&lt;安値!V311,安値!X311&lt;安値!Y311,安値!X311&lt;安値!Z311),19,""))</f>
      </c>
      <c r="T311" s="684">
        <f>IF(終値!A311="","",IF(AND(安値!Y311&lt;安値!X311,安値!Y311&lt;安値!W311,安値!Y311&lt;安値!Z311,安値!Y311&lt;安値!AA311),20,""))</f>
      </c>
      <c r="U311" s="684">
        <f>IF(終値!A311="","",IF(AND(安値!Z311&lt;安値!Y311,安値!Z311&lt;安値!X311,安値!Z311&lt;安値!AA311,安値!Z311&lt;安値!AB311),21,""))</f>
      </c>
      <c r="V311" s="684">
        <f>IF(終値!A311="","",IF(AND(安値!AA311&lt;安値!Z311,安値!AA311&lt;安値!Y311,安値!AA311&lt;安値!AB311,安値!AA311&lt;安値!AC311),22,""))</f>
      </c>
      <c r="W311" s="684">
        <f>IF(終値!A311="","",IF(AND(安値!AB311&lt;安値!AA311,安値!AB311&lt;安値!Z311,安値!AB311&lt;安値!AC311,安値!AB311&lt;安値!AD311),23,""))</f>
      </c>
      <c r="X311" s="684">
        <f>IF(終値!A311="","",IF(AND(安値!AC311&lt;安値!AB311,安値!AC311&lt;安値!AA311,安値!AC311&lt;安値!AD311,安値!AC311&lt;安値!AE311),24,""))</f>
      </c>
      <c r="Y311" s="684">
        <f>IF(終値!A311="","",IF(AND(安値!AD311&lt;安値!AC311,安値!AD311&lt;安値!AB311,安値!AD311&lt;安値!AE311,安値!AD311&lt;安値!AF311),25,""))</f>
      </c>
      <c r="Z311" s="684">
        <f>IF(終値!A311="","",IF(AND(安値!AE311&lt;安値!AD311,安値!AE311&lt;安値!AC311,安値!AE311&lt;安値!AF311,安値!AE311&lt;安値!AG311),26,""))</f>
      </c>
      <c r="AA311" s="684">
        <f>IF(終値!A311="","",IF(AND(安値!AF311&lt;安値!AE311,安値!AF311&lt;安値!AD311,安値!AF311&lt;安値!AG311,安値!AF311&lt;安値!AH311),27,""))</f>
      </c>
      <c r="AB311" s="684">
        <f>IF(終値!A311="","",IF(AND(安値!AG311&lt;安値!AF311,安値!AG311&lt;安値!AE311,安値!AG311&lt;安値!AH311,安値!AG311&lt;安値!AI311),28,""))</f>
      </c>
      <c r="AC311" s="684">
        <f>IF(終値!A311="","",IF(AND(高値!G311&gt;高値!F311,高値!G311&gt;高値!E311,高値!G311&gt;高値!H311,高値!G311&gt;高値!I311),2,""))</f>
      </c>
      <c r="AD311" s="684">
        <f>IF(終値!A311="","",IF(AND(高値!H311&gt;高値!G311,高値!H311&gt;高値!F311,高値!H311&gt;高値!I311,高値!H311&gt;高値!J311),3,""))</f>
      </c>
      <c r="AE311" s="684">
        <f>IF(終値!A311="","",IF(AND(高値!I311&gt;高値!H311,高値!I311&gt;高値!G311,高値!I311&gt;高値!J311,高値!I311&gt;高値!K311),4,""))</f>
      </c>
      <c r="AF311" s="684">
        <f>IF(終値!A311="","",IF(AND(高値!J311&gt;高値!I311,高値!J311&gt;高値!H311,高値!J311&gt;高値!K311,高値!J311&gt;高値!L311),5,""))</f>
      </c>
      <c r="AG311" s="684">
        <f>IF(終値!A311="","",IF(AND(高値!K311&gt;高値!J311,高値!K311&gt;高値!I311,高値!K311&gt;高値!L311,高値!K311&gt;高値!M311),6,""))</f>
      </c>
      <c r="AH311" s="684">
        <f>IF(終値!A311="","",IF(AND(高値!L311&gt;高値!K311,高値!L311&gt;高値!J311,高値!L311&gt;高値!M311,高値!L311&gt;高値!N311),7,""))</f>
      </c>
      <c r="AI311" s="684">
        <f>IF(終値!A311="","",IF(AND(高値!M311&gt;高値!L311,高値!M311&gt;高値!K311,高値!M311&gt;高値!N311,高値!M311&gt;高値!O311),8,""))</f>
      </c>
      <c r="AJ311" s="684">
        <f>IF(終値!A311="","",IF(AND(高値!N311&gt;高値!M311,高値!N311&gt;高値!L311,高値!N311&gt;高値!O311,高値!N311&gt;高値!P311),9,""))</f>
      </c>
      <c r="AK311" s="684">
        <f>IF(終値!A311="","",IF(AND(高値!O311&gt;高値!N311,高値!O311&gt;高値!M311,高値!O311&gt;高値!P311,高値!O311&gt;高値!Q311),10,""))</f>
      </c>
      <c r="AL311" s="684">
        <f>IF(終値!A311="","",IF(AND(高値!P311&gt;高値!O311,高値!P311&gt;高値!N311,高値!P311&gt;高値!Q311,高値!P311&gt;高値!R311),11,""))</f>
      </c>
      <c r="AM311" s="684">
        <f>IF(終値!A311="","",IF(AND(高値!Q311&gt;高値!P311,高値!Q311&gt;高値!O311,高値!Q311&gt;高値!R311,高値!Q311&gt;高値!S311),12,""))</f>
      </c>
      <c r="AN311" s="684">
        <f>IF(終値!A311="","",IF(AND(高値!R311&gt;高値!Q311,高値!R311&gt;高値!P311,高値!R311&gt;高値!S311,高値!R311&gt;高値!T311),13,""))</f>
      </c>
      <c r="AO311" s="684">
        <f>IF(終値!A311="","",IF(AND(高値!S311&gt;高値!R311,高値!S311&gt;高値!Q311,高値!S311&gt;高値!T311,高値!S311&gt;高値!U311),14,""))</f>
      </c>
      <c r="AP311" s="684">
        <f>IF(終値!A311="","",IF(AND(高値!T311&gt;高値!S311,高値!T311&gt;高値!R311,高値!T311&gt;高値!U311,高値!T311&gt;高値!V311),15,""))</f>
      </c>
      <c r="AQ311" s="684">
        <f>IF(終値!A311="","",IF(AND(高値!U311&gt;高値!T311,高値!U311&gt;高値!S311,高値!U311&gt;高値!V311,高値!U311&gt;高値!W311),16,""))</f>
      </c>
      <c r="AR311" s="684">
        <f>IF(終値!A311="","",IF(AND(高値!V311&gt;高値!U311,高値!V311&gt;高値!T311,高値!V311&gt;高値!W311,高値!V311&gt;高値!X311),17,""))</f>
      </c>
      <c r="AS311" s="684">
        <f>IF(終値!A311="","",IF(AND(高値!W311&gt;高値!V311,高値!W311&gt;高値!U311,高値!W311&gt;高値!X311,高値!W311&gt;高値!Y311),18,""))</f>
      </c>
      <c r="AT311" s="684">
        <f>IF(終値!A311="","",IF(AND(高値!X311&gt;高値!W311,高値!X311&gt;高値!V311,高値!X311&gt;高値!Y311,高値!X311&gt;高値!Z311),19,""))</f>
      </c>
      <c r="AU311" s="684">
        <f>IF(終値!A311="","",IF(AND(高値!Y311&gt;高値!X311,高値!Y311&gt;高値!W311,高値!Y311&gt;高値!Z311,高値!Y311&gt;高値!AA311),20,""))</f>
      </c>
      <c r="AV311" s="684">
        <f>IF(終値!A311="","",IF(AND(高値!Z311&gt;高値!Y311,高値!Z311&gt;高値!X311,高値!Z311&gt;高値!AA311,高値!Z311&gt;高値!AB311),21,""))</f>
      </c>
      <c r="AW311" s="684">
        <f>IF(終値!A311="","",IF(AND(高値!AA311&gt;高値!Z311,高値!AA311&gt;高値!Y311,高値!AA311&gt;高値!AB311,高値!AA311&gt;高値!AC311),22,""))</f>
      </c>
      <c r="AX311" s="684">
        <f>IF(終値!A311="","",IF(AND(高値!AB311&gt;高値!AA311,高値!AB311&gt;高値!Z311,高値!AB311&gt;高値!AC311,高値!AB311&gt;高値!AD311),23,""))</f>
      </c>
      <c r="AY311" s="684">
        <f>IF(終値!A311="","",IF(AND(高値!AC311&gt;高値!AB311,高値!AC311&gt;高値!AA311,高値!AC311&gt;高値!AD311,高値!AC311&gt;高値!AE311),24,""))</f>
      </c>
      <c r="AZ311" s="684">
        <f>IF(終値!A311="","",IF(AND(高値!AD311&gt;高値!AC311,高値!AD311&gt;高値!AB311,高値!AD311&gt;高値!AE311,高値!AD311&gt;高値!AF311),25,""))</f>
      </c>
      <c r="BA311" s="684">
        <f>IF(終値!A311="","",IF(AND(高値!AE311&gt;高値!AD311,高値!AE311&gt;高値!AC311,高値!AE311&gt;高値!AF311,高値!AE311&gt;高値!AG311),26,""))</f>
      </c>
      <c r="BB311" s="684">
        <f>IF(終値!A311="","",IF(AND(高値!AF311&gt;高値!AE311,高値!AF311&gt;高値!AD311,高値!AF311&gt;高値!AG311,高値!AF311&gt;高値!AH311),27,""))</f>
      </c>
      <c r="BC311" s="684">
        <f>IF(終値!A311="","",IF(AND(高値!AG311&gt;高値!AF311,高値!AG311&gt;高値!AE311,高値!AG311&gt;高値!AH311,高値!AG311&gt;高値!AI311),28,""))</f>
      </c>
      <c r="BD311" s="684">
        <f>COUNT($B311:$AB311)</f>
      </c>
      <c r="BE311" s="684">
        <f>IF($BD311&gt;=2,MIN($B311:$AB311),"")</f>
      </c>
      <c r="BF311" s="684">
        <f>IF($BD311&gt;=2,SMALL($B311:$AB311,2),"")</f>
      </c>
      <c r="BG311" s="684">
        <f>IF($BE311="","",INDEX(安値!$E311:$CZ311,1,$BE311+1))</f>
      </c>
      <c r="BH311" s="684">
        <f>IF($BF311="","",INDEX(安値!$E311:$CZ311,1,$BF311+1))</f>
      </c>
      <c r="BI311" s="684">
        <f>IF($BF311="","",MAX(INDEX(高値!$E311:$CZ311,1,$BE311+1):INDEX(高値!$E311:$CZ311,1,$BF311+1)))</f>
      </c>
      <c r="BJ311" s="684">
        <f>IF($BF311="","",AVERAGE(INDEX(終値!$E311:$CZ311,1,$BF311+1):INDEX(終値!$E311:$CZ311,1,$BF311+20))-2*STDEVP(INDEX(終値!$E311:$CZ311,1,$BF311+1):INDEX(終値!$E311:$CZ311,1,$BF311+20)))</f>
      </c>
      <c r="BK311" s="684">
        <f>IF($BE311="","",AVERAGE(INDEX(終値!$E311:$CZ311,1,$BE311+1):INDEX(終値!$E311:$CZ311,1,$BE311+20))-2*STDEVP(INDEX(終値!$E311:$CZ311,1,$BE311+1):INDEX(終値!$E311:$CZ311,1,$BE311+20)))</f>
      </c>
      <c r="BL311" s="684">
        <f>COUNT($AC311:$BC311)</f>
      </c>
      <c r="BM311" s="684">
        <f>IF($BL311&gt;=2,MIN($AC311:$BC311),"")</f>
      </c>
      <c r="BN311" s="684">
        <f>IF($BL311&gt;=2,SMALL($AC311:$BC311,2),"")</f>
      </c>
      <c r="BO311" s="684">
        <f>IF($BM311="","",INDEX(高値!$E311:$CZ311,1,$BM311+1))</f>
      </c>
      <c r="BP311" s="684">
        <f>IF($BN311="","",INDEX(高値!$E311:$CZ311,1,$BN311+1))</f>
      </c>
      <c r="BQ311" s="684">
        <f>IF($BN311="","",MIN(INDEX(安値!$E311:$CZ311,1,$BM311+1):INDEX(安値!$E311:$CZ311,1,$BN311+1)))</f>
      </c>
      <c r="BR311" s="684">
        <f>IF($BN311="","",AVERAGE(INDEX(終値!$E311:$CZ311,1,$BN311+1):INDEX(終値!$E311:$CZ311,1,$BN311+20))+2*STDEVP(INDEX(終値!$E311:$CZ311,1,$BN311+1):INDEX(終値!$E311:$CZ311,1,$BN311+20)))</f>
      </c>
      <c r="BS311" s="684">
        <f>IF($BM311="","",AVERAGE(INDEX(終値!$E311:$CZ311,1,$BM311+1):INDEX(終値!$E311:$CZ311,1,$BM311+20))+2*STDEVP(INDEX(終値!$E311:$CZ311,1,$BM311+1):INDEX(終値!$E311:$CZ311,1,$BM311+20)))</f>
      </c>
      <c r="BT311" s="681">
        <f>IFERROR(IF(AND($BD311&gt;=2,ABS($BG311-$BH311)/$BH311&lt;=BB設定!$B$12,$BI311&gt;=MAX($BH311,$BG311)*(1+BB設定!$B$13),終値!E311&gt;$BG311),IF(OR(終値!E311&gt;=$BI311,AND($BH311&lt;$BJ311,$BG311&gt;=$BK311)),"二番底W▲","二番底W形成"),IF(AND($BL311&gt;=2,ABS($BO311-$BP311)/$BP311&lt;=BB設定!$B$12,$BQ311&lt;=MIN($BP311,$BO311)*(1-BB設定!$B$13),終値!E311&lt;$BO311),IF(OR(終値!E311&lt;=$BQ311,AND($BP311&gt;$BR311,$BO311&lt;=$BS311)),"二番天井M▼","二番天井M形成"),"－")),"－")</f>
      </c>
    </row>
    <row r="312">
      <c r="B312" s="684">
        <f>IF(終値!A312="","",IF(AND(安値!G312&lt;安値!F312,安値!G312&lt;安値!E312,安値!G312&lt;安値!H312,安値!G312&lt;安値!I312),2,""))</f>
      </c>
      <c r="C312" s="684">
        <f>IF(終値!A312="","",IF(AND(安値!H312&lt;安値!G312,安値!H312&lt;安値!F312,安値!H312&lt;安値!I312,安値!H312&lt;安値!J312),3,""))</f>
      </c>
      <c r="D312" s="684">
        <f>IF(終値!A312="","",IF(AND(安値!I312&lt;安値!H312,安値!I312&lt;安値!G312,安値!I312&lt;安値!J312,安値!I312&lt;安値!K312),4,""))</f>
      </c>
      <c r="E312" s="684">
        <f>IF(終値!A312="","",IF(AND(安値!J312&lt;安値!I312,安値!J312&lt;安値!H312,安値!J312&lt;安値!K312,安値!J312&lt;安値!L312),5,""))</f>
      </c>
      <c r="F312" s="684">
        <f>IF(終値!A312="","",IF(AND(安値!K312&lt;安値!J312,安値!K312&lt;安値!I312,安値!K312&lt;安値!L312,安値!K312&lt;安値!M312),6,""))</f>
      </c>
      <c r="G312" s="684">
        <f>IF(終値!A312="","",IF(AND(安値!L312&lt;安値!K312,安値!L312&lt;安値!J312,安値!L312&lt;安値!M312,安値!L312&lt;安値!N312),7,""))</f>
      </c>
      <c r="H312" s="684">
        <f>IF(終値!A312="","",IF(AND(安値!M312&lt;安値!L312,安値!M312&lt;安値!K312,安値!M312&lt;安値!N312,安値!M312&lt;安値!O312),8,""))</f>
      </c>
      <c r="I312" s="684">
        <f>IF(終値!A312="","",IF(AND(安値!N312&lt;安値!M312,安値!N312&lt;安値!L312,安値!N312&lt;安値!O312,安値!N312&lt;安値!P312),9,""))</f>
      </c>
      <c r="J312" s="684">
        <f>IF(終値!A312="","",IF(AND(安値!O312&lt;安値!N312,安値!O312&lt;安値!M312,安値!O312&lt;安値!P312,安値!O312&lt;安値!Q312),10,""))</f>
      </c>
      <c r="K312" s="684">
        <f>IF(終値!A312="","",IF(AND(安値!P312&lt;安値!O312,安値!P312&lt;安値!N312,安値!P312&lt;安値!Q312,安値!P312&lt;安値!R312),11,""))</f>
      </c>
      <c r="L312" s="684">
        <f>IF(終値!A312="","",IF(AND(安値!Q312&lt;安値!P312,安値!Q312&lt;安値!O312,安値!Q312&lt;安値!R312,安値!Q312&lt;安値!S312),12,""))</f>
      </c>
      <c r="M312" s="684">
        <f>IF(終値!A312="","",IF(AND(安値!R312&lt;安値!Q312,安値!R312&lt;安値!P312,安値!R312&lt;安値!S312,安値!R312&lt;安値!T312),13,""))</f>
      </c>
      <c r="N312" s="684">
        <f>IF(終値!A312="","",IF(AND(安値!S312&lt;安値!R312,安値!S312&lt;安値!Q312,安値!S312&lt;安値!T312,安値!S312&lt;安値!U312),14,""))</f>
      </c>
      <c r="O312" s="684">
        <f>IF(終値!A312="","",IF(AND(安値!T312&lt;安値!S312,安値!T312&lt;安値!R312,安値!T312&lt;安値!U312,安値!T312&lt;安値!V312),15,""))</f>
      </c>
      <c r="P312" s="684">
        <f>IF(終値!A312="","",IF(AND(安値!U312&lt;安値!T312,安値!U312&lt;安値!S312,安値!U312&lt;安値!V312,安値!U312&lt;安値!W312),16,""))</f>
      </c>
      <c r="Q312" s="684">
        <f>IF(終値!A312="","",IF(AND(安値!V312&lt;安値!U312,安値!V312&lt;安値!T312,安値!V312&lt;安値!W312,安値!V312&lt;安値!X312),17,""))</f>
      </c>
      <c r="R312" s="684">
        <f>IF(終値!A312="","",IF(AND(安値!W312&lt;安値!V312,安値!W312&lt;安値!U312,安値!W312&lt;安値!X312,安値!W312&lt;安値!Y312),18,""))</f>
      </c>
      <c r="S312" s="684">
        <f>IF(終値!A312="","",IF(AND(安値!X312&lt;安値!W312,安値!X312&lt;安値!V312,安値!X312&lt;安値!Y312,安値!X312&lt;安値!Z312),19,""))</f>
      </c>
      <c r="T312" s="684">
        <f>IF(終値!A312="","",IF(AND(安値!Y312&lt;安値!X312,安値!Y312&lt;安値!W312,安値!Y312&lt;安値!Z312,安値!Y312&lt;安値!AA312),20,""))</f>
      </c>
      <c r="U312" s="684">
        <f>IF(終値!A312="","",IF(AND(安値!Z312&lt;安値!Y312,安値!Z312&lt;安値!X312,安値!Z312&lt;安値!AA312,安値!Z312&lt;安値!AB312),21,""))</f>
      </c>
      <c r="V312" s="684">
        <f>IF(終値!A312="","",IF(AND(安値!AA312&lt;安値!Z312,安値!AA312&lt;安値!Y312,安値!AA312&lt;安値!AB312,安値!AA312&lt;安値!AC312),22,""))</f>
      </c>
      <c r="W312" s="684">
        <f>IF(終値!A312="","",IF(AND(安値!AB312&lt;安値!AA312,安値!AB312&lt;安値!Z312,安値!AB312&lt;安値!AC312,安値!AB312&lt;安値!AD312),23,""))</f>
      </c>
      <c r="X312" s="684">
        <f>IF(終値!A312="","",IF(AND(安値!AC312&lt;安値!AB312,安値!AC312&lt;安値!AA312,安値!AC312&lt;安値!AD312,安値!AC312&lt;安値!AE312),24,""))</f>
      </c>
      <c r="Y312" s="684">
        <f>IF(終値!A312="","",IF(AND(安値!AD312&lt;安値!AC312,安値!AD312&lt;安値!AB312,安値!AD312&lt;安値!AE312,安値!AD312&lt;安値!AF312),25,""))</f>
      </c>
      <c r="Z312" s="684">
        <f>IF(終値!A312="","",IF(AND(安値!AE312&lt;安値!AD312,安値!AE312&lt;安値!AC312,安値!AE312&lt;安値!AF312,安値!AE312&lt;安値!AG312),26,""))</f>
      </c>
      <c r="AA312" s="684">
        <f>IF(終値!A312="","",IF(AND(安値!AF312&lt;安値!AE312,安値!AF312&lt;安値!AD312,安値!AF312&lt;安値!AG312,安値!AF312&lt;安値!AH312),27,""))</f>
      </c>
      <c r="AB312" s="684">
        <f>IF(終値!A312="","",IF(AND(安値!AG312&lt;安値!AF312,安値!AG312&lt;安値!AE312,安値!AG312&lt;安値!AH312,安値!AG312&lt;安値!AI312),28,""))</f>
      </c>
      <c r="AC312" s="684">
        <f>IF(終値!A312="","",IF(AND(高値!G312&gt;高値!F312,高値!G312&gt;高値!E312,高値!G312&gt;高値!H312,高値!G312&gt;高値!I312),2,""))</f>
      </c>
      <c r="AD312" s="684">
        <f>IF(終値!A312="","",IF(AND(高値!H312&gt;高値!G312,高値!H312&gt;高値!F312,高値!H312&gt;高値!I312,高値!H312&gt;高値!J312),3,""))</f>
      </c>
      <c r="AE312" s="684">
        <f>IF(終値!A312="","",IF(AND(高値!I312&gt;高値!H312,高値!I312&gt;高値!G312,高値!I312&gt;高値!J312,高値!I312&gt;高値!K312),4,""))</f>
      </c>
      <c r="AF312" s="684">
        <f>IF(終値!A312="","",IF(AND(高値!J312&gt;高値!I312,高値!J312&gt;高値!H312,高値!J312&gt;高値!K312,高値!J312&gt;高値!L312),5,""))</f>
      </c>
      <c r="AG312" s="684">
        <f>IF(終値!A312="","",IF(AND(高値!K312&gt;高値!J312,高値!K312&gt;高値!I312,高値!K312&gt;高値!L312,高値!K312&gt;高値!M312),6,""))</f>
      </c>
      <c r="AH312" s="684">
        <f>IF(終値!A312="","",IF(AND(高値!L312&gt;高値!K312,高値!L312&gt;高値!J312,高値!L312&gt;高値!M312,高値!L312&gt;高値!N312),7,""))</f>
      </c>
      <c r="AI312" s="684">
        <f>IF(終値!A312="","",IF(AND(高値!M312&gt;高値!L312,高値!M312&gt;高値!K312,高値!M312&gt;高値!N312,高値!M312&gt;高値!O312),8,""))</f>
      </c>
      <c r="AJ312" s="684">
        <f>IF(終値!A312="","",IF(AND(高値!N312&gt;高値!M312,高値!N312&gt;高値!L312,高値!N312&gt;高値!O312,高値!N312&gt;高値!P312),9,""))</f>
      </c>
      <c r="AK312" s="684">
        <f>IF(終値!A312="","",IF(AND(高値!O312&gt;高値!N312,高値!O312&gt;高値!M312,高値!O312&gt;高値!P312,高値!O312&gt;高値!Q312),10,""))</f>
      </c>
      <c r="AL312" s="684">
        <f>IF(終値!A312="","",IF(AND(高値!P312&gt;高値!O312,高値!P312&gt;高値!N312,高値!P312&gt;高値!Q312,高値!P312&gt;高値!R312),11,""))</f>
      </c>
      <c r="AM312" s="684">
        <f>IF(終値!A312="","",IF(AND(高値!Q312&gt;高値!P312,高値!Q312&gt;高値!O312,高値!Q312&gt;高値!R312,高値!Q312&gt;高値!S312),12,""))</f>
      </c>
      <c r="AN312" s="684">
        <f>IF(終値!A312="","",IF(AND(高値!R312&gt;高値!Q312,高値!R312&gt;高値!P312,高値!R312&gt;高値!S312,高値!R312&gt;高値!T312),13,""))</f>
      </c>
      <c r="AO312" s="684">
        <f>IF(終値!A312="","",IF(AND(高値!S312&gt;高値!R312,高値!S312&gt;高値!Q312,高値!S312&gt;高値!T312,高値!S312&gt;高値!U312),14,""))</f>
      </c>
      <c r="AP312" s="684">
        <f>IF(終値!A312="","",IF(AND(高値!T312&gt;高値!S312,高値!T312&gt;高値!R312,高値!T312&gt;高値!U312,高値!T312&gt;高値!V312),15,""))</f>
      </c>
      <c r="AQ312" s="684">
        <f>IF(終値!A312="","",IF(AND(高値!U312&gt;高値!T312,高値!U312&gt;高値!S312,高値!U312&gt;高値!V312,高値!U312&gt;高値!W312),16,""))</f>
      </c>
      <c r="AR312" s="684">
        <f>IF(終値!A312="","",IF(AND(高値!V312&gt;高値!U312,高値!V312&gt;高値!T312,高値!V312&gt;高値!W312,高値!V312&gt;高値!X312),17,""))</f>
      </c>
      <c r="AS312" s="684">
        <f>IF(終値!A312="","",IF(AND(高値!W312&gt;高値!V312,高値!W312&gt;高値!U312,高値!W312&gt;高値!X312,高値!W312&gt;高値!Y312),18,""))</f>
      </c>
      <c r="AT312" s="684">
        <f>IF(終値!A312="","",IF(AND(高値!X312&gt;高値!W312,高値!X312&gt;高値!V312,高値!X312&gt;高値!Y312,高値!X312&gt;高値!Z312),19,""))</f>
      </c>
      <c r="AU312" s="684">
        <f>IF(終値!A312="","",IF(AND(高値!Y312&gt;高値!X312,高値!Y312&gt;高値!W312,高値!Y312&gt;高値!Z312,高値!Y312&gt;高値!AA312),20,""))</f>
      </c>
      <c r="AV312" s="684">
        <f>IF(終値!A312="","",IF(AND(高値!Z312&gt;高値!Y312,高値!Z312&gt;高値!X312,高値!Z312&gt;高値!AA312,高値!Z312&gt;高値!AB312),21,""))</f>
      </c>
      <c r="AW312" s="684">
        <f>IF(終値!A312="","",IF(AND(高値!AA312&gt;高値!Z312,高値!AA312&gt;高値!Y312,高値!AA312&gt;高値!AB312,高値!AA312&gt;高値!AC312),22,""))</f>
      </c>
      <c r="AX312" s="684">
        <f>IF(終値!A312="","",IF(AND(高値!AB312&gt;高値!AA312,高値!AB312&gt;高値!Z312,高値!AB312&gt;高値!AC312,高値!AB312&gt;高値!AD312),23,""))</f>
      </c>
      <c r="AY312" s="684">
        <f>IF(終値!A312="","",IF(AND(高値!AC312&gt;高値!AB312,高値!AC312&gt;高値!AA312,高値!AC312&gt;高値!AD312,高値!AC312&gt;高値!AE312),24,""))</f>
      </c>
      <c r="AZ312" s="684">
        <f>IF(終値!A312="","",IF(AND(高値!AD312&gt;高値!AC312,高値!AD312&gt;高値!AB312,高値!AD312&gt;高値!AE312,高値!AD312&gt;高値!AF312),25,""))</f>
      </c>
      <c r="BA312" s="684">
        <f>IF(終値!A312="","",IF(AND(高値!AE312&gt;高値!AD312,高値!AE312&gt;高値!AC312,高値!AE312&gt;高値!AF312,高値!AE312&gt;高値!AG312),26,""))</f>
      </c>
      <c r="BB312" s="684">
        <f>IF(終値!A312="","",IF(AND(高値!AF312&gt;高値!AE312,高値!AF312&gt;高値!AD312,高値!AF312&gt;高値!AG312,高値!AF312&gt;高値!AH312),27,""))</f>
      </c>
      <c r="BC312" s="684">
        <f>IF(終値!A312="","",IF(AND(高値!AG312&gt;高値!AF312,高値!AG312&gt;高値!AE312,高値!AG312&gt;高値!AH312,高値!AG312&gt;高値!AI312),28,""))</f>
      </c>
      <c r="BD312" s="684">
        <f>COUNT($B312:$AB312)</f>
      </c>
      <c r="BE312" s="684">
        <f>IF($BD312&gt;=2,MIN($B312:$AB312),"")</f>
      </c>
      <c r="BF312" s="684">
        <f>IF($BD312&gt;=2,SMALL($B312:$AB312,2),"")</f>
      </c>
      <c r="BG312" s="684">
        <f>IF($BE312="","",INDEX(安値!$E312:$CZ312,1,$BE312+1))</f>
      </c>
      <c r="BH312" s="684">
        <f>IF($BF312="","",INDEX(安値!$E312:$CZ312,1,$BF312+1))</f>
      </c>
      <c r="BI312" s="684">
        <f>IF($BF312="","",MAX(INDEX(高値!$E312:$CZ312,1,$BE312+1):INDEX(高値!$E312:$CZ312,1,$BF312+1)))</f>
      </c>
      <c r="BJ312" s="684">
        <f>IF($BF312="","",AVERAGE(INDEX(終値!$E312:$CZ312,1,$BF312+1):INDEX(終値!$E312:$CZ312,1,$BF312+20))-2*STDEVP(INDEX(終値!$E312:$CZ312,1,$BF312+1):INDEX(終値!$E312:$CZ312,1,$BF312+20)))</f>
      </c>
      <c r="BK312" s="684">
        <f>IF($BE312="","",AVERAGE(INDEX(終値!$E312:$CZ312,1,$BE312+1):INDEX(終値!$E312:$CZ312,1,$BE312+20))-2*STDEVP(INDEX(終値!$E312:$CZ312,1,$BE312+1):INDEX(終値!$E312:$CZ312,1,$BE312+20)))</f>
      </c>
      <c r="BL312" s="684">
        <f>COUNT($AC312:$BC312)</f>
      </c>
      <c r="BM312" s="684">
        <f>IF($BL312&gt;=2,MIN($AC312:$BC312),"")</f>
      </c>
      <c r="BN312" s="684">
        <f>IF($BL312&gt;=2,SMALL($AC312:$BC312,2),"")</f>
      </c>
      <c r="BO312" s="684">
        <f>IF($BM312="","",INDEX(高値!$E312:$CZ312,1,$BM312+1))</f>
      </c>
      <c r="BP312" s="684">
        <f>IF($BN312="","",INDEX(高値!$E312:$CZ312,1,$BN312+1))</f>
      </c>
      <c r="BQ312" s="684">
        <f>IF($BN312="","",MIN(INDEX(安値!$E312:$CZ312,1,$BM312+1):INDEX(安値!$E312:$CZ312,1,$BN312+1)))</f>
      </c>
      <c r="BR312" s="684">
        <f>IF($BN312="","",AVERAGE(INDEX(終値!$E312:$CZ312,1,$BN312+1):INDEX(終値!$E312:$CZ312,1,$BN312+20))+2*STDEVP(INDEX(終値!$E312:$CZ312,1,$BN312+1):INDEX(終値!$E312:$CZ312,1,$BN312+20)))</f>
      </c>
      <c r="BS312" s="684">
        <f>IF($BM312="","",AVERAGE(INDEX(終値!$E312:$CZ312,1,$BM312+1):INDEX(終値!$E312:$CZ312,1,$BM312+20))+2*STDEVP(INDEX(終値!$E312:$CZ312,1,$BM312+1):INDEX(終値!$E312:$CZ312,1,$BM312+20)))</f>
      </c>
      <c r="BT312" s="681">
        <f>IFERROR(IF(AND($BD312&gt;=2,ABS($BG312-$BH312)/$BH312&lt;=BB設定!$B$12,$BI312&gt;=MAX($BH312,$BG312)*(1+BB設定!$B$13),終値!E312&gt;$BG312),IF(OR(終値!E312&gt;=$BI312,AND($BH312&lt;$BJ312,$BG312&gt;=$BK312)),"二番底W▲","二番底W形成"),IF(AND($BL312&gt;=2,ABS($BO312-$BP312)/$BP312&lt;=BB設定!$B$12,$BQ312&lt;=MIN($BP312,$BO312)*(1-BB設定!$B$13),終値!E312&lt;$BO312),IF(OR(終値!E312&lt;=$BQ312,AND($BP312&gt;$BR312,$BO312&lt;=$BS312)),"二番天井M▼","二番天井M形成"),"－")),"－")</f>
      </c>
    </row>
    <row r="313">
      <c r="B313" s="684">
        <f>IF(終値!A313="","",IF(AND(安値!G313&lt;安値!F313,安値!G313&lt;安値!E313,安値!G313&lt;安値!H313,安値!G313&lt;安値!I313),2,""))</f>
      </c>
      <c r="C313" s="684">
        <f>IF(終値!A313="","",IF(AND(安値!H313&lt;安値!G313,安値!H313&lt;安値!F313,安値!H313&lt;安値!I313,安値!H313&lt;安値!J313),3,""))</f>
      </c>
      <c r="D313" s="684">
        <f>IF(終値!A313="","",IF(AND(安値!I313&lt;安値!H313,安値!I313&lt;安値!G313,安値!I313&lt;安値!J313,安値!I313&lt;安値!K313),4,""))</f>
      </c>
      <c r="E313" s="684">
        <f>IF(終値!A313="","",IF(AND(安値!J313&lt;安値!I313,安値!J313&lt;安値!H313,安値!J313&lt;安値!K313,安値!J313&lt;安値!L313),5,""))</f>
      </c>
      <c r="F313" s="684">
        <f>IF(終値!A313="","",IF(AND(安値!K313&lt;安値!J313,安値!K313&lt;安値!I313,安値!K313&lt;安値!L313,安値!K313&lt;安値!M313),6,""))</f>
      </c>
      <c r="G313" s="684">
        <f>IF(終値!A313="","",IF(AND(安値!L313&lt;安値!K313,安値!L313&lt;安値!J313,安値!L313&lt;安値!M313,安値!L313&lt;安値!N313),7,""))</f>
      </c>
      <c r="H313" s="684">
        <f>IF(終値!A313="","",IF(AND(安値!M313&lt;安値!L313,安値!M313&lt;安値!K313,安値!M313&lt;安値!N313,安値!M313&lt;安値!O313),8,""))</f>
      </c>
      <c r="I313" s="684">
        <f>IF(終値!A313="","",IF(AND(安値!N313&lt;安値!M313,安値!N313&lt;安値!L313,安値!N313&lt;安値!O313,安値!N313&lt;安値!P313),9,""))</f>
      </c>
      <c r="J313" s="684">
        <f>IF(終値!A313="","",IF(AND(安値!O313&lt;安値!N313,安値!O313&lt;安値!M313,安値!O313&lt;安値!P313,安値!O313&lt;安値!Q313),10,""))</f>
      </c>
      <c r="K313" s="684">
        <f>IF(終値!A313="","",IF(AND(安値!P313&lt;安値!O313,安値!P313&lt;安値!N313,安値!P313&lt;安値!Q313,安値!P313&lt;安値!R313),11,""))</f>
      </c>
      <c r="L313" s="684">
        <f>IF(終値!A313="","",IF(AND(安値!Q313&lt;安値!P313,安値!Q313&lt;安値!O313,安値!Q313&lt;安値!R313,安値!Q313&lt;安値!S313),12,""))</f>
      </c>
      <c r="M313" s="684">
        <f>IF(終値!A313="","",IF(AND(安値!R313&lt;安値!Q313,安値!R313&lt;安値!P313,安値!R313&lt;安値!S313,安値!R313&lt;安値!T313),13,""))</f>
      </c>
      <c r="N313" s="684">
        <f>IF(終値!A313="","",IF(AND(安値!S313&lt;安値!R313,安値!S313&lt;安値!Q313,安値!S313&lt;安値!T313,安値!S313&lt;安値!U313),14,""))</f>
      </c>
      <c r="O313" s="684">
        <f>IF(終値!A313="","",IF(AND(安値!T313&lt;安値!S313,安値!T313&lt;安値!R313,安値!T313&lt;安値!U313,安値!T313&lt;安値!V313),15,""))</f>
      </c>
      <c r="P313" s="684">
        <f>IF(終値!A313="","",IF(AND(安値!U313&lt;安値!T313,安値!U313&lt;安値!S313,安値!U313&lt;安値!V313,安値!U313&lt;安値!W313),16,""))</f>
      </c>
      <c r="Q313" s="684">
        <f>IF(終値!A313="","",IF(AND(安値!V313&lt;安値!U313,安値!V313&lt;安値!T313,安値!V313&lt;安値!W313,安値!V313&lt;安値!X313),17,""))</f>
      </c>
      <c r="R313" s="684">
        <f>IF(終値!A313="","",IF(AND(安値!W313&lt;安値!V313,安値!W313&lt;安値!U313,安値!W313&lt;安値!X313,安値!W313&lt;安値!Y313),18,""))</f>
      </c>
      <c r="S313" s="684">
        <f>IF(終値!A313="","",IF(AND(安値!X313&lt;安値!W313,安値!X313&lt;安値!V313,安値!X313&lt;安値!Y313,安値!X313&lt;安値!Z313),19,""))</f>
      </c>
      <c r="T313" s="684">
        <f>IF(終値!A313="","",IF(AND(安値!Y313&lt;安値!X313,安値!Y313&lt;安値!W313,安値!Y313&lt;安値!Z313,安値!Y313&lt;安値!AA313),20,""))</f>
      </c>
      <c r="U313" s="684">
        <f>IF(終値!A313="","",IF(AND(安値!Z313&lt;安値!Y313,安値!Z313&lt;安値!X313,安値!Z313&lt;安値!AA313,安値!Z313&lt;安値!AB313),21,""))</f>
      </c>
      <c r="V313" s="684">
        <f>IF(終値!A313="","",IF(AND(安値!AA313&lt;安値!Z313,安値!AA313&lt;安値!Y313,安値!AA313&lt;安値!AB313,安値!AA313&lt;安値!AC313),22,""))</f>
      </c>
      <c r="W313" s="684">
        <f>IF(終値!A313="","",IF(AND(安値!AB313&lt;安値!AA313,安値!AB313&lt;安値!Z313,安値!AB313&lt;安値!AC313,安値!AB313&lt;安値!AD313),23,""))</f>
      </c>
      <c r="X313" s="684">
        <f>IF(終値!A313="","",IF(AND(安値!AC313&lt;安値!AB313,安値!AC313&lt;安値!AA313,安値!AC313&lt;安値!AD313,安値!AC313&lt;安値!AE313),24,""))</f>
      </c>
      <c r="Y313" s="684">
        <f>IF(終値!A313="","",IF(AND(安値!AD313&lt;安値!AC313,安値!AD313&lt;安値!AB313,安値!AD313&lt;安値!AE313,安値!AD313&lt;安値!AF313),25,""))</f>
      </c>
      <c r="Z313" s="684">
        <f>IF(終値!A313="","",IF(AND(安値!AE313&lt;安値!AD313,安値!AE313&lt;安値!AC313,安値!AE313&lt;安値!AF313,安値!AE313&lt;安値!AG313),26,""))</f>
      </c>
      <c r="AA313" s="684">
        <f>IF(終値!A313="","",IF(AND(安値!AF313&lt;安値!AE313,安値!AF313&lt;安値!AD313,安値!AF313&lt;安値!AG313,安値!AF313&lt;安値!AH313),27,""))</f>
      </c>
      <c r="AB313" s="684">
        <f>IF(終値!A313="","",IF(AND(安値!AG313&lt;安値!AF313,安値!AG313&lt;安値!AE313,安値!AG313&lt;安値!AH313,安値!AG313&lt;安値!AI313),28,""))</f>
      </c>
      <c r="AC313" s="684">
        <f>IF(終値!A313="","",IF(AND(高値!G313&gt;高値!F313,高値!G313&gt;高値!E313,高値!G313&gt;高値!H313,高値!G313&gt;高値!I313),2,""))</f>
      </c>
      <c r="AD313" s="684">
        <f>IF(終値!A313="","",IF(AND(高値!H313&gt;高値!G313,高値!H313&gt;高値!F313,高値!H313&gt;高値!I313,高値!H313&gt;高値!J313),3,""))</f>
      </c>
      <c r="AE313" s="684">
        <f>IF(終値!A313="","",IF(AND(高値!I313&gt;高値!H313,高値!I313&gt;高値!G313,高値!I313&gt;高値!J313,高値!I313&gt;高値!K313),4,""))</f>
      </c>
      <c r="AF313" s="684">
        <f>IF(終値!A313="","",IF(AND(高値!J313&gt;高値!I313,高値!J313&gt;高値!H313,高値!J313&gt;高値!K313,高値!J313&gt;高値!L313),5,""))</f>
      </c>
      <c r="AG313" s="684">
        <f>IF(終値!A313="","",IF(AND(高値!K313&gt;高値!J313,高値!K313&gt;高値!I313,高値!K313&gt;高値!L313,高値!K313&gt;高値!M313),6,""))</f>
      </c>
      <c r="AH313" s="684">
        <f>IF(終値!A313="","",IF(AND(高値!L313&gt;高値!K313,高値!L313&gt;高値!J313,高値!L313&gt;高値!M313,高値!L313&gt;高値!N313),7,""))</f>
      </c>
      <c r="AI313" s="684">
        <f>IF(終値!A313="","",IF(AND(高値!M313&gt;高値!L313,高値!M313&gt;高値!K313,高値!M313&gt;高値!N313,高値!M313&gt;高値!O313),8,""))</f>
      </c>
      <c r="AJ313" s="684">
        <f>IF(終値!A313="","",IF(AND(高値!N313&gt;高値!M313,高値!N313&gt;高値!L313,高値!N313&gt;高値!O313,高値!N313&gt;高値!P313),9,""))</f>
      </c>
      <c r="AK313" s="684">
        <f>IF(終値!A313="","",IF(AND(高値!O313&gt;高値!N313,高値!O313&gt;高値!M313,高値!O313&gt;高値!P313,高値!O313&gt;高値!Q313),10,""))</f>
      </c>
      <c r="AL313" s="684">
        <f>IF(終値!A313="","",IF(AND(高値!P313&gt;高値!O313,高値!P313&gt;高値!N313,高値!P313&gt;高値!Q313,高値!P313&gt;高値!R313),11,""))</f>
      </c>
      <c r="AM313" s="684">
        <f>IF(終値!A313="","",IF(AND(高値!Q313&gt;高値!P313,高値!Q313&gt;高値!O313,高値!Q313&gt;高値!R313,高値!Q313&gt;高値!S313),12,""))</f>
      </c>
      <c r="AN313" s="684">
        <f>IF(終値!A313="","",IF(AND(高値!R313&gt;高値!Q313,高値!R313&gt;高値!P313,高値!R313&gt;高値!S313,高値!R313&gt;高値!T313),13,""))</f>
      </c>
      <c r="AO313" s="684">
        <f>IF(終値!A313="","",IF(AND(高値!S313&gt;高値!R313,高値!S313&gt;高値!Q313,高値!S313&gt;高値!T313,高値!S313&gt;高値!U313),14,""))</f>
      </c>
      <c r="AP313" s="684">
        <f>IF(終値!A313="","",IF(AND(高値!T313&gt;高値!S313,高値!T313&gt;高値!R313,高値!T313&gt;高値!U313,高値!T313&gt;高値!V313),15,""))</f>
      </c>
      <c r="AQ313" s="684">
        <f>IF(終値!A313="","",IF(AND(高値!U313&gt;高値!T313,高値!U313&gt;高値!S313,高値!U313&gt;高値!V313,高値!U313&gt;高値!W313),16,""))</f>
      </c>
      <c r="AR313" s="684">
        <f>IF(終値!A313="","",IF(AND(高値!V313&gt;高値!U313,高値!V313&gt;高値!T313,高値!V313&gt;高値!W313,高値!V313&gt;高値!X313),17,""))</f>
      </c>
      <c r="AS313" s="684">
        <f>IF(終値!A313="","",IF(AND(高値!W313&gt;高値!V313,高値!W313&gt;高値!U313,高値!W313&gt;高値!X313,高値!W313&gt;高値!Y313),18,""))</f>
      </c>
      <c r="AT313" s="684">
        <f>IF(終値!A313="","",IF(AND(高値!X313&gt;高値!W313,高値!X313&gt;高値!V313,高値!X313&gt;高値!Y313,高値!X313&gt;高値!Z313),19,""))</f>
      </c>
      <c r="AU313" s="684">
        <f>IF(終値!A313="","",IF(AND(高値!Y313&gt;高値!X313,高値!Y313&gt;高値!W313,高値!Y313&gt;高値!Z313,高値!Y313&gt;高値!AA313),20,""))</f>
      </c>
      <c r="AV313" s="684">
        <f>IF(終値!A313="","",IF(AND(高値!Z313&gt;高値!Y313,高値!Z313&gt;高値!X313,高値!Z313&gt;高値!AA313,高値!Z313&gt;高値!AB313),21,""))</f>
      </c>
      <c r="AW313" s="684">
        <f>IF(終値!A313="","",IF(AND(高値!AA313&gt;高値!Z313,高値!AA313&gt;高値!Y313,高値!AA313&gt;高値!AB313,高値!AA313&gt;高値!AC313),22,""))</f>
      </c>
      <c r="AX313" s="684">
        <f>IF(終値!A313="","",IF(AND(高値!AB313&gt;高値!AA313,高値!AB313&gt;高値!Z313,高値!AB313&gt;高値!AC313,高値!AB313&gt;高値!AD313),23,""))</f>
      </c>
      <c r="AY313" s="684">
        <f>IF(終値!A313="","",IF(AND(高値!AC313&gt;高値!AB313,高値!AC313&gt;高値!AA313,高値!AC313&gt;高値!AD313,高値!AC313&gt;高値!AE313),24,""))</f>
      </c>
      <c r="AZ313" s="684">
        <f>IF(終値!A313="","",IF(AND(高値!AD313&gt;高値!AC313,高値!AD313&gt;高値!AB313,高値!AD313&gt;高値!AE313,高値!AD313&gt;高値!AF313),25,""))</f>
      </c>
      <c r="BA313" s="684">
        <f>IF(終値!A313="","",IF(AND(高値!AE313&gt;高値!AD313,高値!AE313&gt;高値!AC313,高値!AE313&gt;高値!AF313,高値!AE313&gt;高値!AG313),26,""))</f>
      </c>
      <c r="BB313" s="684">
        <f>IF(終値!A313="","",IF(AND(高値!AF313&gt;高値!AE313,高値!AF313&gt;高値!AD313,高値!AF313&gt;高値!AG313,高値!AF313&gt;高値!AH313),27,""))</f>
      </c>
      <c r="BC313" s="684">
        <f>IF(終値!A313="","",IF(AND(高値!AG313&gt;高値!AF313,高値!AG313&gt;高値!AE313,高値!AG313&gt;高値!AH313,高値!AG313&gt;高値!AI313),28,""))</f>
      </c>
      <c r="BD313" s="684">
        <f>COUNT($B313:$AB313)</f>
      </c>
      <c r="BE313" s="684">
        <f>IF($BD313&gt;=2,MIN($B313:$AB313),"")</f>
      </c>
      <c r="BF313" s="684">
        <f>IF($BD313&gt;=2,SMALL($B313:$AB313,2),"")</f>
      </c>
      <c r="BG313" s="684">
        <f>IF($BE313="","",INDEX(安値!$E313:$CZ313,1,$BE313+1))</f>
      </c>
      <c r="BH313" s="684">
        <f>IF($BF313="","",INDEX(安値!$E313:$CZ313,1,$BF313+1))</f>
      </c>
      <c r="BI313" s="684">
        <f>IF($BF313="","",MAX(INDEX(高値!$E313:$CZ313,1,$BE313+1):INDEX(高値!$E313:$CZ313,1,$BF313+1)))</f>
      </c>
      <c r="BJ313" s="684">
        <f>IF($BF313="","",AVERAGE(INDEX(終値!$E313:$CZ313,1,$BF313+1):INDEX(終値!$E313:$CZ313,1,$BF313+20))-2*STDEVP(INDEX(終値!$E313:$CZ313,1,$BF313+1):INDEX(終値!$E313:$CZ313,1,$BF313+20)))</f>
      </c>
      <c r="BK313" s="684">
        <f>IF($BE313="","",AVERAGE(INDEX(終値!$E313:$CZ313,1,$BE313+1):INDEX(終値!$E313:$CZ313,1,$BE313+20))-2*STDEVP(INDEX(終値!$E313:$CZ313,1,$BE313+1):INDEX(終値!$E313:$CZ313,1,$BE313+20)))</f>
      </c>
      <c r="BL313" s="684">
        <f>COUNT($AC313:$BC313)</f>
      </c>
      <c r="BM313" s="684">
        <f>IF($BL313&gt;=2,MIN($AC313:$BC313),"")</f>
      </c>
      <c r="BN313" s="684">
        <f>IF($BL313&gt;=2,SMALL($AC313:$BC313,2),"")</f>
      </c>
      <c r="BO313" s="684">
        <f>IF($BM313="","",INDEX(高値!$E313:$CZ313,1,$BM313+1))</f>
      </c>
      <c r="BP313" s="684">
        <f>IF($BN313="","",INDEX(高値!$E313:$CZ313,1,$BN313+1))</f>
      </c>
      <c r="BQ313" s="684">
        <f>IF($BN313="","",MIN(INDEX(安値!$E313:$CZ313,1,$BM313+1):INDEX(安値!$E313:$CZ313,1,$BN313+1)))</f>
      </c>
      <c r="BR313" s="684">
        <f>IF($BN313="","",AVERAGE(INDEX(終値!$E313:$CZ313,1,$BN313+1):INDEX(終値!$E313:$CZ313,1,$BN313+20))+2*STDEVP(INDEX(終値!$E313:$CZ313,1,$BN313+1):INDEX(終値!$E313:$CZ313,1,$BN313+20)))</f>
      </c>
      <c r="BS313" s="684">
        <f>IF($BM313="","",AVERAGE(INDEX(終値!$E313:$CZ313,1,$BM313+1):INDEX(終値!$E313:$CZ313,1,$BM313+20))+2*STDEVP(INDEX(終値!$E313:$CZ313,1,$BM313+1):INDEX(終値!$E313:$CZ313,1,$BM313+20)))</f>
      </c>
      <c r="BT313" s="681">
        <f>IFERROR(IF(AND($BD313&gt;=2,ABS($BG313-$BH313)/$BH313&lt;=BB設定!$B$12,$BI313&gt;=MAX($BH313,$BG313)*(1+BB設定!$B$13),終値!E313&gt;$BG313),IF(OR(終値!E313&gt;=$BI313,AND($BH313&lt;$BJ313,$BG313&gt;=$BK313)),"二番底W▲","二番底W形成"),IF(AND($BL313&gt;=2,ABS($BO313-$BP313)/$BP313&lt;=BB設定!$B$12,$BQ313&lt;=MIN($BP313,$BO313)*(1-BB設定!$B$13),終値!E313&lt;$BO313),IF(OR(終値!E313&lt;=$BQ313,AND($BP313&gt;$BR313,$BO313&lt;=$BS313)),"二番天井M▼","二番天井M形成"),"－")),"－")</f>
      </c>
    </row>
    <row r="314">
      <c r="B314" s="684">
        <f>IF(終値!A314="","",IF(AND(安値!G314&lt;安値!F314,安値!G314&lt;安値!E314,安値!G314&lt;安値!H314,安値!G314&lt;安値!I314),2,""))</f>
      </c>
      <c r="C314" s="684">
        <f>IF(終値!A314="","",IF(AND(安値!H314&lt;安値!G314,安値!H314&lt;安値!F314,安値!H314&lt;安値!I314,安値!H314&lt;安値!J314),3,""))</f>
      </c>
      <c r="D314" s="684">
        <f>IF(終値!A314="","",IF(AND(安値!I314&lt;安値!H314,安値!I314&lt;安値!G314,安値!I314&lt;安値!J314,安値!I314&lt;安値!K314),4,""))</f>
      </c>
      <c r="E314" s="684">
        <f>IF(終値!A314="","",IF(AND(安値!J314&lt;安値!I314,安値!J314&lt;安値!H314,安値!J314&lt;安値!K314,安値!J314&lt;安値!L314),5,""))</f>
      </c>
      <c r="F314" s="684">
        <f>IF(終値!A314="","",IF(AND(安値!K314&lt;安値!J314,安値!K314&lt;安値!I314,安値!K314&lt;安値!L314,安値!K314&lt;安値!M314),6,""))</f>
      </c>
      <c r="G314" s="684">
        <f>IF(終値!A314="","",IF(AND(安値!L314&lt;安値!K314,安値!L314&lt;安値!J314,安値!L314&lt;安値!M314,安値!L314&lt;安値!N314),7,""))</f>
      </c>
      <c r="H314" s="684">
        <f>IF(終値!A314="","",IF(AND(安値!M314&lt;安値!L314,安値!M314&lt;安値!K314,安値!M314&lt;安値!N314,安値!M314&lt;安値!O314),8,""))</f>
      </c>
      <c r="I314" s="684">
        <f>IF(終値!A314="","",IF(AND(安値!N314&lt;安値!M314,安値!N314&lt;安値!L314,安値!N314&lt;安値!O314,安値!N314&lt;安値!P314),9,""))</f>
      </c>
      <c r="J314" s="684">
        <f>IF(終値!A314="","",IF(AND(安値!O314&lt;安値!N314,安値!O314&lt;安値!M314,安値!O314&lt;安値!P314,安値!O314&lt;安値!Q314),10,""))</f>
      </c>
      <c r="K314" s="684">
        <f>IF(終値!A314="","",IF(AND(安値!P314&lt;安値!O314,安値!P314&lt;安値!N314,安値!P314&lt;安値!Q314,安値!P314&lt;安値!R314),11,""))</f>
      </c>
      <c r="L314" s="684">
        <f>IF(終値!A314="","",IF(AND(安値!Q314&lt;安値!P314,安値!Q314&lt;安値!O314,安値!Q314&lt;安値!R314,安値!Q314&lt;安値!S314),12,""))</f>
      </c>
      <c r="M314" s="684">
        <f>IF(終値!A314="","",IF(AND(安値!R314&lt;安値!Q314,安値!R314&lt;安値!P314,安値!R314&lt;安値!S314,安値!R314&lt;安値!T314),13,""))</f>
      </c>
      <c r="N314" s="684">
        <f>IF(終値!A314="","",IF(AND(安値!S314&lt;安値!R314,安値!S314&lt;安値!Q314,安値!S314&lt;安値!T314,安値!S314&lt;安値!U314),14,""))</f>
      </c>
      <c r="O314" s="684">
        <f>IF(終値!A314="","",IF(AND(安値!T314&lt;安値!S314,安値!T314&lt;安値!R314,安値!T314&lt;安値!U314,安値!T314&lt;安値!V314),15,""))</f>
      </c>
      <c r="P314" s="684">
        <f>IF(終値!A314="","",IF(AND(安値!U314&lt;安値!T314,安値!U314&lt;安値!S314,安値!U314&lt;安値!V314,安値!U314&lt;安値!W314),16,""))</f>
      </c>
      <c r="Q314" s="684">
        <f>IF(終値!A314="","",IF(AND(安値!V314&lt;安値!U314,安値!V314&lt;安値!T314,安値!V314&lt;安値!W314,安値!V314&lt;安値!X314),17,""))</f>
      </c>
      <c r="R314" s="684">
        <f>IF(終値!A314="","",IF(AND(安値!W314&lt;安値!V314,安値!W314&lt;安値!U314,安値!W314&lt;安値!X314,安値!W314&lt;安値!Y314),18,""))</f>
      </c>
      <c r="S314" s="684">
        <f>IF(終値!A314="","",IF(AND(安値!X314&lt;安値!W314,安値!X314&lt;安値!V314,安値!X314&lt;安値!Y314,安値!X314&lt;安値!Z314),19,""))</f>
      </c>
      <c r="T314" s="684">
        <f>IF(終値!A314="","",IF(AND(安値!Y314&lt;安値!X314,安値!Y314&lt;安値!W314,安値!Y314&lt;安値!Z314,安値!Y314&lt;安値!AA314),20,""))</f>
      </c>
      <c r="U314" s="684">
        <f>IF(終値!A314="","",IF(AND(安値!Z314&lt;安値!Y314,安値!Z314&lt;安値!X314,安値!Z314&lt;安値!AA314,安値!Z314&lt;安値!AB314),21,""))</f>
      </c>
      <c r="V314" s="684">
        <f>IF(終値!A314="","",IF(AND(安値!AA314&lt;安値!Z314,安値!AA314&lt;安値!Y314,安値!AA314&lt;安値!AB314,安値!AA314&lt;安値!AC314),22,""))</f>
      </c>
      <c r="W314" s="684">
        <f>IF(終値!A314="","",IF(AND(安値!AB314&lt;安値!AA314,安値!AB314&lt;安値!Z314,安値!AB314&lt;安値!AC314,安値!AB314&lt;安値!AD314),23,""))</f>
      </c>
      <c r="X314" s="684">
        <f>IF(終値!A314="","",IF(AND(安値!AC314&lt;安値!AB314,安値!AC314&lt;安値!AA314,安値!AC314&lt;安値!AD314,安値!AC314&lt;安値!AE314),24,""))</f>
      </c>
      <c r="Y314" s="684">
        <f>IF(終値!A314="","",IF(AND(安値!AD314&lt;安値!AC314,安値!AD314&lt;安値!AB314,安値!AD314&lt;安値!AE314,安値!AD314&lt;安値!AF314),25,""))</f>
      </c>
      <c r="Z314" s="684">
        <f>IF(終値!A314="","",IF(AND(安値!AE314&lt;安値!AD314,安値!AE314&lt;安値!AC314,安値!AE314&lt;安値!AF314,安値!AE314&lt;安値!AG314),26,""))</f>
      </c>
      <c r="AA314" s="684">
        <f>IF(終値!A314="","",IF(AND(安値!AF314&lt;安値!AE314,安値!AF314&lt;安値!AD314,安値!AF314&lt;安値!AG314,安値!AF314&lt;安値!AH314),27,""))</f>
      </c>
      <c r="AB314" s="684">
        <f>IF(終値!A314="","",IF(AND(安値!AG314&lt;安値!AF314,安値!AG314&lt;安値!AE314,安値!AG314&lt;安値!AH314,安値!AG314&lt;安値!AI314),28,""))</f>
      </c>
      <c r="AC314" s="684">
        <f>IF(終値!A314="","",IF(AND(高値!G314&gt;高値!F314,高値!G314&gt;高値!E314,高値!G314&gt;高値!H314,高値!G314&gt;高値!I314),2,""))</f>
      </c>
      <c r="AD314" s="684">
        <f>IF(終値!A314="","",IF(AND(高値!H314&gt;高値!G314,高値!H314&gt;高値!F314,高値!H314&gt;高値!I314,高値!H314&gt;高値!J314),3,""))</f>
      </c>
      <c r="AE314" s="684">
        <f>IF(終値!A314="","",IF(AND(高値!I314&gt;高値!H314,高値!I314&gt;高値!G314,高値!I314&gt;高値!J314,高値!I314&gt;高値!K314),4,""))</f>
      </c>
      <c r="AF314" s="684">
        <f>IF(終値!A314="","",IF(AND(高値!J314&gt;高値!I314,高値!J314&gt;高値!H314,高値!J314&gt;高値!K314,高値!J314&gt;高値!L314),5,""))</f>
      </c>
      <c r="AG314" s="684">
        <f>IF(終値!A314="","",IF(AND(高値!K314&gt;高値!J314,高値!K314&gt;高値!I314,高値!K314&gt;高値!L314,高値!K314&gt;高値!M314),6,""))</f>
      </c>
      <c r="AH314" s="684">
        <f>IF(終値!A314="","",IF(AND(高値!L314&gt;高値!K314,高値!L314&gt;高値!J314,高値!L314&gt;高値!M314,高値!L314&gt;高値!N314),7,""))</f>
      </c>
      <c r="AI314" s="684">
        <f>IF(終値!A314="","",IF(AND(高値!M314&gt;高値!L314,高値!M314&gt;高値!K314,高値!M314&gt;高値!N314,高値!M314&gt;高値!O314),8,""))</f>
      </c>
      <c r="AJ314" s="684">
        <f>IF(終値!A314="","",IF(AND(高値!N314&gt;高値!M314,高値!N314&gt;高値!L314,高値!N314&gt;高値!O314,高値!N314&gt;高値!P314),9,""))</f>
      </c>
      <c r="AK314" s="684">
        <f>IF(終値!A314="","",IF(AND(高値!O314&gt;高値!N314,高値!O314&gt;高値!M314,高値!O314&gt;高値!P314,高値!O314&gt;高値!Q314),10,""))</f>
      </c>
      <c r="AL314" s="684">
        <f>IF(終値!A314="","",IF(AND(高値!P314&gt;高値!O314,高値!P314&gt;高値!N314,高値!P314&gt;高値!Q314,高値!P314&gt;高値!R314),11,""))</f>
      </c>
      <c r="AM314" s="684">
        <f>IF(終値!A314="","",IF(AND(高値!Q314&gt;高値!P314,高値!Q314&gt;高値!O314,高値!Q314&gt;高値!R314,高値!Q314&gt;高値!S314),12,""))</f>
      </c>
      <c r="AN314" s="684">
        <f>IF(終値!A314="","",IF(AND(高値!R314&gt;高値!Q314,高値!R314&gt;高値!P314,高値!R314&gt;高値!S314,高値!R314&gt;高値!T314),13,""))</f>
      </c>
      <c r="AO314" s="684">
        <f>IF(終値!A314="","",IF(AND(高値!S314&gt;高値!R314,高値!S314&gt;高値!Q314,高値!S314&gt;高値!T314,高値!S314&gt;高値!U314),14,""))</f>
      </c>
      <c r="AP314" s="684">
        <f>IF(終値!A314="","",IF(AND(高値!T314&gt;高値!S314,高値!T314&gt;高値!R314,高値!T314&gt;高値!U314,高値!T314&gt;高値!V314),15,""))</f>
      </c>
      <c r="AQ314" s="684">
        <f>IF(終値!A314="","",IF(AND(高値!U314&gt;高値!T314,高値!U314&gt;高値!S314,高値!U314&gt;高値!V314,高値!U314&gt;高値!W314),16,""))</f>
      </c>
      <c r="AR314" s="684">
        <f>IF(終値!A314="","",IF(AND(高値!V314&gt;高値!U314,高値!V314&gt;高値!T314,高値!V314&gt;高値!W314,高値!V314&gt;高値!X314),17,""))</f>
      </c>
      <c r="AS314" s="684">
        <f>IF(終値!A314="","",IF(AND(高値!W314&gt;高値!V314,高値!W314&gt;高値!U314,高値!W314&gt;高値!X314,高値!W314&gt;高値!Y314),18,""))</f>
      </c>
      <c r="AT314" s="684">
        <f>IF(終値!A314="","",IF(AND(高値!X314&gt;高値!W314,高値!X314&gt;高値!V314,高値!X314&gt;高値!Y314,高値!X314&gt;高値!Z314),19,""))</f>
      </c>
      <c r="AU314" s="684">
        <f>IF(終値!A314="","",IF(AND(高値!Y314&gt;高値!X314,高値!Y314&gt;高値!W314,高値!Y314&gt;高値!Z314,高値!Y314&gt;高値!AA314),20,""))</f>
      </c>
      <c r="AV314" s="684">
        <f>IF(終値!A314="","",IF(AND(高値!Z314&gt;高値!Y314,高値!Z314&gt;高値!X314,高値!Z314&gt;高値!AA314,高値!Z314&gt;高値!AB314),21,""))</f>
      </c>
      <c r="AW314" s="684">
        <f>IF(終値!A314="","",IF(AND(高値!AA314&gt;高値!Z314,高値!AA314&gt;高値!Y314,高値!AA314&gt;高値!AB314,高値!AA314&gt;高値!AC314),22,""))</f>
      </c>
      <c r="AX314" s="684">
        <f>IF(終値!A314="","",IF(AND(高値!AB314&gt;高値!AA314,高値!AB314&gt;高値!Z314,高値!AB314&gt;高値!AC314,高値!AB314&gt;高値!AD314),23,""))</f>
      </c>
      <c r="AY314" s="684">
        <f>IF(終値!A314="","",IF(AND(高値!AC314&gt;高値!AB314,高値!AC314&gt;高値!AA314,高値!AC314&gt;高値!AD314,高値!AC314&gt;高値!AE314),24,""))</f>
      </c>
      <c r="AZ314" s="684">
        <f>IF(終値!A314="","",IF(AND(高値!AD314&gt;高値!AC314,高値!AD314&gt;高値!AB314,高値!AD314&gt;高値!AE314,高値!AD314&gt;高値!AF314),25,""))</f>
      </c>
      <c r="BA314" s="684">
        <f>IF(終値!A314="","",IF(AND(高値!AE314&gt;高値!AD314,高値!AE314&gt;高値!AC314,高値!AE314&gt;高値!AF314,高値!AE314&gt;高値!AG314),26,""))</f>
      </c>
      <c r="BB314" s="684">
        <f>IF(終値!A314="","",IF(AND(高値!AF314&gt;高値!AE314,高値!AF314&gt;高値!AD314,高値!AF314&gt;高値!AG314,高値!AF314&gt;高値!AH314),27,""))</f>
      </c>
      <c r="BC314" s="684">
        <f>IF(終値!A314="","",IF(AND(高値!AG314&gt;高値!AF314,高値!AG314&gt;高値!AE314,高値!AG314&gt;高値!AH314,高値!AG314&gt;高値!AI314),28,""))</f>
      </c>
      <c r="BD314" s="684">
        <f>COUNT($B314:$AB314)</f>
      </c>
      <c r="BE314" s="684">
        <f>IF($BD314&gt;=2,MIN($B314:$AB314),"")</f>
      </c>
      <c r="BF314" s="684">
        <f>IF($BD314&gt;=2,SMALL($B314:$AB314,2),"")</f>
      </c>
      <c r="BG314" s="684">
        <f>IF($BE314="","",INDEX(安値!$E314:$CZ314,1,$BE314+1))</f>
      </c>
      <c r="BH314" s="684">
        <f>IF($BF314="","",INDEX(安値!$E314:$CZ314,1,$BF314+1))</f>
      </c>
      <c r="BI314" s="684">
        <f>IF($BF314="","",MAX(INDEX(高値!$E314:$CZ314,1,$BE314+1):INDEX(高値!$E314:$CZ314,1,$BF314+1)))</f>
      </c>
      <c r="BJ314" s="684">
        <f>IF($BF314="","",AVERAGE(INDEX(終値!$E314:$CZ314,1,$BF314+1):INDEX(終値!$E314:$CZ314,1,$BF314+20))-2*STDEVP(INDEX(終値!$E314:$CZ314,1,$BF314+1):INDEX(終値!$E314:$CZ314,1,$BF314+20)))</f>
      </c>
      <c r="BK314" s="684">
        <f>IF($BE314="","",AVERAGE(INDEX(終値!$E314:$CZ314,1,$BE314+1):INDEX(終値!$E314:$CZ314,1,$BE314+20))-2*STDEVP(INDEX(終値!$E314:$CZ314,1,$BE314+1):INDEX(終値!$E314:$CZ314,1,$BE314+20)))</f>
      </c>
      <c r="BL314" s="684">
        <f>COUNT($AC314:$BC314)</f>
      </c>
      <c r="BM314" s="684">
        <f>IF($BL314&gt;=2,MIN($AC314:$BC314),"")</f>
      </c>
      <c r="BN314" s="684">
        <f>IF($BL314&gt;=2,SMALL($AC314:$BC314,2),"")</f>
      </c>
      <c r="BO314" s="684">
        <f>IF($BM314="","",INDEX(高値!$E314:$CZ314,1,$BM314+1))</f>
      </c>
      <c r="BP314" s="684">
        <f>IF($BN314="","",INDEX(高値!$E314:$CZ314,1,$BN314+1))</f>
      </c>
      <c r="BQ314" s="684">
        <f>IF($BN314="","",MIN(INDEX(安値!$E314:$CZ314,1,$BM314+1):INDEX(安値!$E314:$CZ314,1,$BN314+1)))</f>
      </c>
      <c r="BR314" s="684">
        <f>IF($BN314="","",AVERAGE(INDEX(終値!$E314:$CZ314,1,$BN314+1):INDEX(終値!$E314:$CZ314,1,$BN314+20))+2*STDEVP(INDEX(終値!$E314:$CZ314,1,$BN314+1):INDEX(終値!$E314:$CZ314,1,$BN314+20)))</f>
      </c>
      <c r="BS314" s="684">
        <f>IF($BM314="","",AVERAGE(INDEX(終値!$E314:$CZ314,1,$BM314+1):INDEX(終値!$E314:$CZ314,1,$BM314+20))+2*STDEVP(INDEX(終値!$E314:$CZ314,1,$BM314+1):INDEX(終値!$E314:$CZ314,1,$BM314+20)))</f>
      </c>
      <c r="BT314" s="681">
        <f>IFERROR(IF(AND($BD314&gt;=2,ABS($BG314-$BH314)/$BH314&lt;=BB設定!$B$12,$BI314&gt;=MAX($BH314,$BG314)*(1+BB設定!$B$13),終値!E314&gt;$BG314),IF(OR(終値!E314&gt;=$BI314,AND($BH314&lt;$BJ314,$BG314&gt;=$BK314)),"二番底W▲","二番底W形成"),IF(AND($BL314&gt;=2,ABS($BO314-$BP314)/$BP314&lt;=BB設定!$B$12,$BQ314&lt;=MIN($BP314,$BO314)*(1-BB設定!$B$13),終値!E314&lt;$BO314),IF(OR(終値!E314&lt;=$BQ314,AND($BP314&gt;$BR314,$BO314&lt;=$BS314)),"二番天井M▼","二番天井M形成"),"－")),"－")</f>
      </c>
    </row>
    <row r="315">
      <c r="B315" s="684">
        <f>IF(終値!A315="","",IF(AND(安値!G315&lt;安値!F315,安値!G315&lt;安値!E315,安値!G315&lt;安値!H315,安値!G315&lt;安値!I315),2,""))</f>
      </c>
      <c r="C315" s="684">
        <f>IF(終値!A315="","",IF(AND(安値!H315&lt;安値!G315,安値!H315&lt;安値!F315,安値!H315&lt;安値!I315,安値!H315&lt;安値!J315),3,""))</f>
      </c>
      <c r="D315" s="684">
        <f>IF(終値!A315="","",IF(AND(安値!I315&lt;安値!H315,安値!I315&lt;安値!G315,安値!I315&lt;安値!J315,安値!I315&lt;安値!K315),4,""))</f>
      </c>
      <c r="E315" s="684">
        <f>IF(終値!A315="","",IF(AND(安値!J315&lt;安値!I315,安値!J315&lt;安値!H315,安値!J315&lt;安値!K315,安値!J315&lt;安値!L315),5,""))</f>
      </c>
      <c r="F315" s="684">
        <f>IF(終値!A315="","",IF(AND(安値!K315&lt;安値!J315,安値!K315&lt;安値!I315,安値!K315&lt;安値!L315,安値!K315&lt;安値!M315),6,""))</f>
      </c>
      <c r="G315" s="684">
        <f>IF(終値!A315="","",IF(AND(安値!L315&lt;安値!K315,安値!L315&lt;安値!J315,安値!L315&lt;安値!M315,安値!L315&lt;安値!N315),7,""))</f>
      </c>
      <c r="H315" s="684">
        <f>IF(終値!A315="","",IF(AND(安値!M315&lt;安値!L315,安値!M315&lt;安値!K315,安値!M315&lt;安値!N315,安値!M315&lt;安値!O315),8,""))</f>
      </c>
      <c r="I315" s="684">
        <f>IF(終値!A315="","",IF(AND(安値!N315&lt;安値!M315,安値!N315&lt;安値!L315,安値!N315&lt;安値!O315,安値!N315&lt;安値!P315),9,""))</f>
      </c>
      <c r="J315" s="684">
        <f>IF(終値!A315="","",IF(AND(安値!O315&lt;安値!N315,安値!O315&lt;安値!M315,安値!O315&lt;安値!P315,安値!O315&lt;安値!Q315),10,""))</f>
      </c>
      <c r="K315" s="684">
        <f>IF(終値!A315="","",IF(AND(安値!P315&lt;安値!O315,安値!P315&lt;安値!N315,安値!P315&lt;安値!Q315,安値!P315&lt;安値!R315),11,""))</f>
      </c>
      <c r="L315" s="684">
        <f>IF(終値!A315="","",IF(AND(安値!Q315&lt;安値!P315,安値!Q315&lt;安値!O315,安値!Q315&lt;安値!R315,安値!Q315&lt;安値!S315),12,""))</f>
      </c>
      <c r="M315" s="684">
        <f>IF(終値!A315="","",IF(AND(安値!R315&lt;安値!Q315,安値!R315&lt;安値!P315,安値!R315&lt;安値!S315,安値!R315&lt;安値!T315),13,""))</f>
      </c>
      <c r="N315" s="684">
        <f>IF(終値!A315="","",IF(AND(安値!S315&lt;安値!R315,安値!S315&lt;安値!Q315,安値!S315&lt;安値!T315,安値!S315&lt;安値!U315),14,""))</f>
      </c>
      <c r="O315" s="684">
        <f>IF(終値!A315="","",IF(AND(安値!T315&lt;安値!S315,安値!T315&lt;安値!R315,安値!T315&lt;安値!U315,安値!T315&lt;安値!V315),15,""))</f>
      </c>
      <c r="P315" s="684">
        <f>IF(終値!A315="","",IF(AND(安値!U315&lt;安値!T315,安値!U315&lt;安値!S315,安値!U315&lt;安値!V315,安値!U315&lt;安値!W315),16,""))</f>
      </c>
      <c r="Q315" s="684">
        <f>IF(終値!A315="","",IF(AND(安値!V315&lt;安値!U315,安値!V315&lt;安値!T315,安値!V315&lt;安値!W315,安値!V315&lt;安値!X315),17,""))</f>
      </c>
      <c r="R315" s="684">
        <f>IF(終値!A315="","",IF(AND(安値!W315&lt;安値!V315,安値!W315&lt;安値!U315,安値!W315&lt;安値!X315,安値!W315&lt;安値!Y315),18,""))</f>
      </c>
      <c r="S315" s="684">
        <f>IF(終値!A315="","",IF(AND(安値!X315&lt;安値!W315,安値!X315&lt;安値!V315,安値!X315&lt;安値!Y315,安値!X315&lt;安値!Z315),19,""))</f>
      </c>
      <c r="T315" s="684">
        <f>IF(終値!A315="","",IF(AND(安値!Y315&lt;安値!X315,安値!Y315&lt;安値!W315,安値!Y315&lt;安値!Z315,安値!Y315&lt;安値!AA315),20,""))</f>
      </c>
      <c r="U315" s="684">
        <f>IF(終値!A315="","",IF(AND(安値!Z315&lt;安値!Y315,安値!Z315&lt;安値!X315,安値!Z315&lt;安値!AA315,安値!Z315&lt;安値!AB315),21,""))</f>
      </c>
      <c r="V315" s="684">
        <f>IF(終値!A315="","",IF(AND(安値!AA315&lt;安値!Z315,安値!AA315&lt;安値!Y315,安値!AA315&lt;安値!AB315,安値!AA315&lt;安値!AC315),22,""))</f>
      </c>
      <c r="W315" s="684">
        <f>IF(終値!A315="","",IF(AND(安値!AB315&lt;安値!AA315,安値!AB315&lt;安値!Z315,安値!AB315&lt;安値!AC315,安値!AB315&lt;安値!AD315),23,""))</f>
      </c>
      <c r="X315" s="684">
        <f>IF(終値!A315="","",IF(AND(安値!AC315&lt;安値!AB315,安値!AC315&lt;安値!AA315,安値!AC315&lt;安値!AD315,安値!AC315&lt;安値!AE315),24,""))</f>
      </c>
      <c r="Y315" s="684">
        <f>IF(終値!A315="","",IF(AND(安値!AD315&lt;安値!AC315,安値!AD315&lt;安値!AB315,安値!AD315&lt;安値!AE315,安値!AD315&lt;安値!AF315),25,""))</f>
      </c>
      <c r="Z315" s="684">
        <f>IF(終値!A315="","",IF(AND(安値!AE315&lt;安値!AD315,安値!AE315&lt;安値!AC315,安値!AE315&lt;安値!AF315,安値!AE315&lt;安値!AG315),26,""))</f>
      </c>
      <c r="AA315" s="684">
        <f>IF(終値!A315="","",IF(AND(安値!AF315&lt;安値!AE315,安値!AF315&lt;安値!AD315,安値!AF315&lt;安値!AG315,安値!AF315&lt;安値!AH315),27,""))</f>
      </c>
      <c r="AB315" s="684">
        <f>IF(終値!A315="","",IF(AND(安値!AG315&lt;安値!AF315,安値!AG315&lt;安値!AE315,安値!AG315&lt;安値!AH315,安値!AG315&lt;安値!AI315),28,""))</f>
      </c>
      <c r="AC315" s="684">
        <f>IF(終値!A315="","",IF(AND(高値!G315&gt;高値!F315,高値!G315&gt;高値!E315,高値!G315&gt;高値!H315,高値!G315&gt;高値!I315),2,""))</f>
      </c>
      <c r="AD315" s="684">
        <f>IF(終値!A315="","",IF(AND(高値!H315&gt;高値!G315,高値!H315&gt;高値!F315,高値!H315&gt;高値!I315,高値!H315&gt;高値!J315),3,""))</f>
      </c>
      <c r="AE315" s="684">
        <f>IF(終値!A315="","",IF(AND(高値!I315&gt;高値!H315,高値!I315&gt;高値!G315,高値!I315&gt;高値!J315,高値!I315&gt;高値!K315),4,""))</f>
      </c>
      <c r="AF315" s="684">
        <f>IF(終値!A315="","",IF(AND(高値!J315&gt;高値!I315,高値!J315&gt;高値!H315,高値!J315&gt;高値!K315,高値!J315&gt;高値!L315),5,""))</f>
      </c>
      <c r="AG315" s="684">
        <f>IF(終値!A315="","",IF(AND(高値!K315&gt;高値!J315,高値!K315&gt;高値!I315,高値!K315&gt;高値!L315,高値!K315&gt;高値!M315),6,""))</f>
      </c>
      <c r="AH315" s="684">
        <f>IF(終値!A315="","",IF(AND(高値!L315&gt;高値!K315,高値!L315&gt;高値!J315,高値!L315&gt;高値!M315,高値!L315&gt;高値!N315),7,""))</f>
      </c>
      <c r="AI315" s="684">
        <f>IF(終値!A315="","",IF(AND(高値!M315&gt;高値!L315,高値!M315&gt;高値!K315,高値!M315&gt;高値!N315,高値!M315&gt;高値!O315),8,""))</f>
      </c>
      <c r="AJ315" s="684">
        <f>IF(終値!A315="","",IF(AND(高値!N315&gt;高値!M315,高値!N315&gt;高値!L315,高値!N315&gt;高値!O315,高値!N315&gt;高値!P315),9,""))</f>
      </c>
      <c r="AK315" s="684">
        <f>IF(終値!A315="","",IF(AND(高値!O315&gt;高値!N315,高値!O315&gt;高値!M315,高値!O315&gt;高値!P315,高値!O315&gt;高値!Q315),10,""))</f>
      </c>
      <c r="AL315" s="684">
        <f>IF(終値!A315="","",IF(AND(高値!P315&gt;高値!O315,高値!P315&gt;高値!N315,高値!P315&gt;高値!Q315,高値!P315&gt;高値!R315),11,""))</f>
      </c>
      <c r="AM315" s="684">
        <f>IF(終値!A315="","",IF(AND(高値!Q315&gt;高値!P315,高値!Q315&gt;高値!O315,高値!Q315&gt;高値!R315,高値!Q315&gt;高値!S315),12,""))</f>
      </c>
      <c r="AN315" s="684">
        <f>IF(終値!A315="","",IF(AND(高値!R315&gt;高値!Q315,高値!R315&gt;高値!P315,高値!R315&gt;高値!S315,高値!R315&gt;高値!T315),13,""))</f>
      </c>
      <c r="AO315" s="684">
        <f>IF(終値!A315="","",IF(AND(高値!S315&gt;高値!R315,高値!S315&gt;高値!Q315,高値!S315&gt;高値!T315,高値!S315&gt;高値!U315),14,""))</f>
      </c>
      <c r="AP315" s="684">
        <f>IF(終値!A315="","",IF(AND(高値!T315&gt;高値!S315,高値!T315&gt;高値!R315,高値!T315&gt;高値!U315,高値!T315&gt;高値!V315),15,""))</f>
      </c>
      <c r="AQ315" s="684">
        <f>IF(終値!A315="","",IF(AND(高値!U315&gt;高値!T315,高値!U315&gt;高値!S315,高値!U315&gt;高値!V315,高値!U315&gt;高値!W315),16,""))</f>
      </c>
      <c r="AR315" s="684">
        <f>IF(終値!A315="","",IF(AND(高値!V315&gt;高値!U315,高値!V315&gt;高値!T315,高値!V315&gt;高値!W315,高値!V315&gt;高値!X315),17,""))</f>
      </c>
      <c r="AS315" s="684">
        <f>IF(終値!A315="","",IF(AND(高値!W315&gt;高値!V315,高値!W315&gt;高値!U315,高値!W315&gt;高値!X315,高値!W315&gt;高値!Y315),18,""))</f>
      </c>
      <c r="AT315" s="684">
        <f>IF(終値!A315="","",IF(AND(高値!X315&gt;高値!W315,高値!X315&gt;高値!V315,高値!X315&gt;高値!Y315,高値!X315&gt;高値!Z315),19,""))</f>
      </c>
      <c r="AU315" s="684">
        <f>IF(終値!A315="","",IF(AND(高値!Y315&gt;高値!X315,高値!Y315&gt;高値!W315,高値!Y315&gt;高値!Z315,高値!Y315&gt;高値!AA315),20,""))</f>
      </c>
      <c r="AV315" s="684">
        <f>IF(終値!A315="","",IF(AND(高値!Z315&gt;高値!Y315,高値!Z315&gt;高値!X315,高値!Z315&gt;高値!AA315,高値!Z315&gt;高値!AB315),21,""))</f>
      </c>
      <c r="AW315" s="684">
        <f>IF(終値!A315="","",IF(AND(高値!AA315&gt;高値!Z315,高値!AA315&gt;高値!Y315,高値!AA315&gt;高値!AB315,高値!AA315&gt;高値!AC315),22,""))</f>
      </c>
      <c r="AX315" s="684">
        <f>IF(終値!A315="","",IF(AND(高値!AB315&gt;高値!AA315,高値!AB315&gt;高値!Z315,高値!AB315&gt;高値!AC315,高値!AB315&gt;高値!AD315),23,""))</f>
      </c>
      <c r="AY315" s="684">
        <f>IF(終値!A315="","",IF(AND(高値!AC315&gt;高値!AB315,高値!AC315&gt;高値!AA315,高値!AC315&gt;高値!AD315,高値!AC315&gt;高値!AE315),24,""))</f>
      </c>
      <c r="AZ315" s="684">
        <f>IF(終値!A315="","",IF(AND(高値!AD315&gt;高値!AC315,高値!AD315&gt;高値!AB315,高値!AD315&gt;高値!AE315,高値!AD315&gt;高値!AF315),25,""))</f>
      </c>
      <c r="BA315" s="684">
        <f>IF(終値!A315="","",IF(AND(高値!AE315&gt;高値!AD315,高値!AE315&gt;高値!AC315,高値!AE315&gt;高値!AF315,高値!AE315&gt;高値!AG315),26,""))</f>
      </c>
      <c r="BB315" s="684">
        <f>IF(終値!A315="","",IF(AND(高値!AF315&gt;高値!AE315,高値!AF315&gt;高値!AD315,高値!AF315&gt;高値!AG315,高値!AF315&gt;高値!AH315),27,""))</f>
      </c>
      <c r="BC315" s="684">
        <f>IF(終値!A315="","",IF(AND(高値!AG315&gt;高値!AF315,高値!AG315&gt;高値!AE315,高値!AG315&gt;高値!AH315,高値!AG315&gt;高値!AI315),28,""))</f>
      </c>
      <c r="BD315" s="684">
        <f>COUNT($B315:$AB315)</f>
      </c>
      <c r="BE315" s="684">
        <f>IF($BD315&gt;=2,MIN($B315:$AB315),"")</f>
      </c>
      <c r="BF315" s="684">
        <f>IF($BD315&gt;=2,SMALL($B315:$AB315,2),"")</f>
      </c>
      <c r="BG315" s="684">
        <f>IF($BE315="","",INDEX(安値!$E315:$CZ315,1,$BE315+1))</f>
      </c>
      <c r="BH315" s="684">
        <f>IF($BF315="","",INDEX(安値!$E315:$CZ315,1,$BF315+1))</f>
      </c>
      <c r="BI315" s="684">
        <f>IF($BF315="","",MAX(INDEX(高値!$E315:$CZ315,1,$BE315+1):INDEX(高値!$E315:$CZ315,1,$BF315+1)))</f>
      </c>
      <c r="BJ315" s="684">
        <f>IF($BF315="","",AVERAGE(INDEX(終値!$E315:$CZ315,1,$BF315+1):INDEX(終値!$E315:$CZ315,1,$BF315+20))-2*STDEVP(INDEX(終値!$E315:$CZ315,1,$BF315+1):INDEX(終値!$E315:$CZ315,1,$BF315+20)))</f>
      </c>
      <c r="BK315" s="684">
        <f>IF($BE315="","",AVERAGE(INDEX(終値!$E315:$CZ315,1,$BE315+1):INDEX(終値!$E315:$CZ315,1,$BE315+20))-2*STDEVP(INDEX(終値!$E315:$CZ315,1,$BE315+1):INDEX(終値!$E315:$CZ315,1,$BE315+20)))</f>
      </c>
      <c r="BL315" s="684">
        <f>COUNT($AC315:$BC315)</f>
      </c>
      <c r="BM315" s="684">
        <f>IF($BL315&gt;=2,MIN($AC315:$BC315),"")</f>
      </c>
      <c r="BN315" s="684">
        <f>IF($BL315&gt;=2,SMALL($AC315:$BC315,2),"")</f>
      </c>
      <c r="BO315" s="684">
        <f>IF($BM315="","",INDEX(高値!$E315:$CZ315,1,$BM315+1))</f>
      </c>
      <c r="BP315" s="684">
        <f>IF($BN315="","",INDEX(高値!$E315:$CZ315,1,$BN315+1))</f>
      </c>
      <c r="BQ315" s="684">
        <f>IF($BN315="","",MIN(INDEX(安値!$E315:$CZ315,1,$BM315+1):INDEX(安値!$E315:$CZ315,1,$BN315+1)))</f>
      </c>
      <c r="BR315" s="684">
        <f>IF($BN315="","",AVERAGE(INDEX(終値!$E315:$CZ315,1,$BN315+1):INDEX(終値!$E315:$CZ315,1,$BN315+20))+2*STDEVP(INDEX(終値!$E315:$CZ315,1,$BN315+1):INDEX(終値!$E315:$CZ315,1,$BN315+20)))</f>
      </c>
      <c r="BS315" s="684">
        <f>IF($BM315="","",AVERAGE(INDEX(終値!$E315:$CZ315,1,$BM315+1):INDEX(終値!$E315:$CZ315,1,$BM315+20))+2*STDEVP(INDEX(終値!$E315:$CZ315,1,$BM315+1):INDEX(終値!$E315:$CZ315,1,$BM315+20)))</f>
      </c>
      <c r="BT315" s="681">
        <f>IFERROR(IF(AND($BD315&gt;=2,ABS($BG315-$BH315)/$BH315&lt;=BB設定!$B$12,$BI315&gt;=MAX($BH315,$BG315)*(1+BB設定!$B$13),終値!E315&gt;$BG315),IF(OR(終値!E315&gt;=$BI315,AND($BH315&lt;$BJ315,$BG315&gt;=$BK315)),"二番底W▲","二番底W形成"),IF(AND($BL315&gt;=2,ABS($BO315-$BP315)/$BP315&lt;=BB設定!$B$12,$BQ315&lt;=MIN($BP315,$BO315)*(1-BB設定!$B$13),終値!E315&lt;$BO315),IF(OR(終値!E315&lt;=$BQ315,AND($BP315&gt;$BR315,$BO315&lt;=$BS315)),"二番天井M▼","二番天井M形成"),"－")),"－")</f>
      </c>
    </row>
    <row r="316">
      <c r="B316" s="684">
        <f>IF(終値!A316="","",IF(AND(安値!G316&lt;安値!F316,安値!G316&lt;安値!E316,安値!G316&lt;安値!H316,安値!G316&lt;安値!I316),2,""))</f>
      </c>
      <c r="C316" s="684">
        <f>IF(終値!A316="","",IF(AND(安値!H316&lt;安値!G316,安値!H316&lt;安値!F316,安値!H316&lt;安値!I316,安値!H316&lt;安値!J316),3,""))</f>
      </c>
      <c r="D316" s="684">
        <f>IF(終値!A316="","",IF(AND(安値!I316&lt;安値!H316,安値!I316&lt;安値!G316,安値!I316&lt;安値!J316,安値!I316&lt;安値!K316),4,""))</f>
      </c>
      <c r="E316" s="684">
        <f>IF(終値!A316="","",IF(AND(安値!J316&lt;安値!I316,安値!J316&lt;安値!H316,安値!J316&lt;安値!K316,安値!J316&lt;安値!L316),5,""))</f>
      </c>
      <c r="F316" s="684">
        <f>IF(終値!A316="","",IF(AND(安値!K316&lt;安値!J316,安値!K316&lt;安値!I316,安値!K316&lt;安値!L316,安値!K316&lt;安値!M316),6,""))</f>
      </c>
      <c r="G316" s="684">
        <f>IF(終値!A316="","",IF(AND(安値!L316&lt;安値!K316,安値!L316&lt;安値!J316,安値!L316&lt;安値!M316,安値!L316&lt;安値!N316),7,""))</f>
      </c>
      <c r="H316" s="684">
        <f>IF(終値!A316="","",IF(AND(安値!M316&lt;安値!L316,安値!M316&lt;安値!K316,安値!M316&lt;安値!N316,安値!M316&lt;安値!O316),8,""))</f>
      </c>
      <c r="I316" s="684">
        <f>IF(終値!A316="","",IF(AND(安値!N316&lt;安値!M316,安値!N316&lt;安値!L316,安値!N316&lt;安値!O316,安値!N316&lt;安値!P316),9,""))</f>
      </c>
      <c r="J316" s="684">
        <f>IF(終値!A316="","",IF(AND(安値!O316&lt;安値!N316,安値!O316&lt;安値!M316,安値!O316&lt;安値!P316,安値!O316&lt;安値!Q316),10,""))</f>
      </c>
      <c r="K316" s="684">
        <f>IF(終値!A316="","",IF(AND(安値!P316&lt;安値!O316,安値!P316&lt;安値!N316,安値!P316&lt;安値!Q316,安値!P316&lt;安値!R316),11,""))</f>
      </c>
      <c r="L316" s="684">
        <f>IF(終値!A316="","",IF(AND(安値!Q316&lt;安値!P316,安値!Q316&lt;安値!O316,安値!Q316&lt;安値!R316,安値!Q316&lt;安値!S316),12,""))</f>
      </c>
      <c r="M316" s="684">
        <f>IF(終値!A316="","",IF(AND(安値!R316&lt;安値!Q316,安値!R316&lt;安値!P316,安値!R316&lt;安値!S316,安値!R316&lt;安値!T316),13,""))</f>
      </c>
      <c r="N316" s="684">
        <f>IF(終値!A316="","",IF(AND(安値!S316&lt;安値!R316,安値!S316&lt;安値!Q316,安値!S316&lt;安値!T316,安値!S316&lt;安値!U316),14,""))</f>
      </c>
      <c r="O316" s="684">
        <f>IF(終値!A316="","",IF(AND(安値!T316&lt;安値!S316,安値!T316&lt;安値!R316,安値!T316&lt;安値!U316,安値!T316&lt;安値!V316),15,""))</f>
      </c>
      <c r="P316" s="684">
        <f>IF(終値!A316="","",IF(AND(安値!U316&lt;安値!T316,安値!U316&lt;安値!S316,安値!U316&lt;安値!V316,安値!U316&lt;安値!W316),16,""))</f>
      </c>
      <c r="Q316" s="684">
        <f>IF(終値!A316="","",IF(AND(安値!V316&lt;安値!U316,安値!V316&lt;安値!T316,安値!V316&lt;安値!W316,安値!V316&lt;安値!X316),17,""))</f>
      </c>
      <c r="R316" s="684">
        <f>IF(終値!A316="","",IF(AND(安値!W316&lt;安値!V316,安値!W316&lt;安値!U316,安値!W316&lt;安値!X316,安値!W316&lt;安値!Y316),18,""))</f>
      </c>
      <c r="S316" s="684">
        <f>IF(終値!A316="","",IF(AND(安値!X316&lt;安値!W316,安値!X316&lt;安値!V316,安値!X316&lt;安値!Y316,安値!X316&lt;安値!Z316),19,""))</f>
      </c>
      <c r="T316" s="684">
        <f>IF(終値!A316="","",IF(AND(安値!Y316&lt;安値!X316,安値!Y316&lt;安値!W316,安値!Y316&lt;安値!Z316,安値!Y316&lt;安値!AA316),20,""))</f>
      </c>
      <c r="U316" s="684">
        <f>IF(終値!A316="","",IF(AND(安値!Z316&lt;安値!Y316,安値!Z316&lt;安値!X316,安値!Z316&lt;安値!AA316,安値!Z316&lt;安値!AB316),21,""))</f>
      </c>
      <c r="V316" s="684">
        <f>IF(終値!A316="","",IF(AND(安値!AA316&lt;安値!Z316,安値!AA316&lt;安値!Y316,安値!AA316&lt;安値!AB316,安値!AA316&lt;安値!AC316),22,""))</f>
      </c>
      <c r="W316" s="684">
        <f>IF(終値!A316="","",IF(AND(安値!AB316&lt;安値!AA316,安値!AB316&lt;安値!Z316,安値!AB316&lt;安値!AC316,安値!AB316&lt;安値!AD316),23,""))</f>
      </c>
      <c r="X316" s="684">
        <f>IF(終値!A316="","",IF(AND(安値!AC316&lt;安値!AB316,安値!AC316&lt;安値!AA316,安値!AC316&lt;安値!AD316,安値!AC316&lt;安値!AE316),24,""))</f>
      </c>
      <c r="Y316" s="684">
        <f>IF(終値!A316="","",IF(AND(安値!AD316&lt;安値!AC316,安値!AD316&lt;安値!AB316,安値!AD316&lt;安値!AE316,安値!AD316&lt;安値!AF316),25,""))</f>
      </c>
      <c r="Z316" s="684">
        <f>IF(終値!A316="","",IF(AND(安値!AE316&lt;安値!AD316,安値!AE316&lt;安値!AC316,安値!AE316&lt;安値!AF316,安値!AE316&lt;安値!AG316),26,""))</f>
      </c>
      <c r="AA316" s="684">
        <f>IF(終値!A316="","",IF(AND(安値!AF316&lt;安値!AE316,安値!AF316&lt;安値!AD316,安値!AF316&lt;安値!AG316,安値!AF316&lt;安値!AH316),27,""))</f>
      </c>
      <c r="AB316" s="684">
        <f>IF(終値!A316="","",IF(AND(安値!AG316&lt;安値!AF316,安値!AG316&lt;安値!AE316,安値!AG316&lt;安値!AH316,安値!AG316&lt;安値!AI316),28,""))</f>
      </c>
      <c r="AC316" s="684">
        <f>IF(終値!A316="","",IF(AND(高値!G316&gt;高値!F316,高値!G316&gt;高値!E316,高値!G316&gt;高値!H316,高値!G316&gt;高値!I316),2,""))</f>
      </c>
      <c r="AD316" s="684">
        <f>IF(終値!A316="","",IF(AND(高値!H316&gt;高値!G316,高値!H316&gt;高値!F316,高値!H316&gt;高値!I316,高値!H316&gt;高値!J316),3,""))</f>
      </c>
      <c r="AE316" s="684">
        <f>IF(終値!A316="","",IF(AND(高値!I316&gt;高値!H316,高値!I316&gt;高値!G316,高値!I316&gt;高値!J316,高値!I316&gt;高値!K316),4,""))</f>
      </c>
      <c r="AF316" s="684">
        <f>IF(終値!A316="","",IF(AND(高値!J316&gt;高値!I316,高値!J316&gt;高値!H316,高値!J316&gt;高値!K316,高値!J316&gt;高値!L316),5,""))</f>
      </c>
      <c r="AG316" s="684">
        <f>IF(終値!A316="","",IF(AND(高値!K316&gt;高値!J316,高値!K316&gt;高値!I316,高値!K316&gt;高値!L316,高値!K316&gt;高値!M316),6,""))</f>
      </c>
      <c r="AH316" s="684">
        <f>IF(終値!A316="","",IF(AND(高値!L316&gt;高値!K316,高値!L316&gt;高値!J316,高値!L316&gt;高値!M316,高値!L316&gt;高値!N316),7,""))</f>
      </c>
      <c r="AI316" s="684">
        <f>IF(終値!A316="","",IF(AND(高値!M316&gt;高値!L316,高値!M316&gt;高値!K316,高値!M316&gt;高値!N316,高値!M316&gt;高値!O316),8,""))</f>
      </c>
      <c r="AJ316" s="684">
        <f>IF(終値!A316="","",IF(AND(高値!N316&gt;高値!M316,高値!N316&gt;高値!L316,高値!N316&gt;高値!O316,高値!N316&gt;高値!P316),9,""))</f>
      </c>
      <c r="AK316" s="684">
        <f>IF(終値!A316="","",IF(AND(高値!O316&gt;高値!N316,高値!O316&gt;高値!M316,高値!O316&gt;高値!P316,高値!O316&gt;高値!Q316),10,""))</f>
      </c>
      <c r="AL316" s="684">
        <f>IF(終値!A316="","",IF(AND(高値!P316&gt;高値!O316,高値!P316&gt;高値!N316,高値!P316&gt;高値!Q316,高値!P316&gt;高値!R316),11,""))</f>
      </c>
      <c r="AM316" s="684">
        <f>IF(終値!A316="","",IF(AND(高値!Q316&gt;高値!P316,高値!Q316&gt;高値!O316,高値!Q316&gt;高値!R316,高値!Q316&gt;高値!S316),12,""))</f>
      </c>
      <c r="AN316" s="684">
        <f>IF(終値!A316="","",IF(AND(高値!R316&gt;高値!Q316,高値!R316&gt;高値!P316,高値!R316&gt;高値!S316,高値!R316&gt;高値!T316),13,""))</f>
      </c>
      <c r="AO316" s="684">
        <f>IF(終値!A316="","",IF(AND(高値!S316&gt;高値!R316,高値!S316&gt;高値!Q316,高値!S316&gt;高値!T316,高値!S316&gt;高値!U316),14,""))</f>
      </c>
      <c r="AP316" s="684">
        <f>IF(終値!A316="","",IF(AND(高値!T316&gt;高値!S316,高値!T316&gt;高値!R316,高値!T316&gt;高値!U316,高値!T316&gt;高値!V316),15,""))</f>
      </c>
      <c r="AQ316" s="684">
        <f>IF(終値!A316="","",IF(AND(高値!U316&gt;高値!T316,高値!U316&gt;高値!S316,高値!U316&gt;高値!V316,高値!U316&gt;高値!W316),16,""))</f>
      </c>
      <c r="AR316" s="684">
        <f>IF(終値!A316="","",IF(AND(高値!V316&gt;高値!U316,高値!V316&gt;高値!T316,高値!V316&gt;高値!W316,高値!V316&gt;高値!X316),17,""))</f>
      </c>
      <c r="AS316" s="684">
        <f>IF(終値!A316="","",IF(AND(高値!W316&gt;高値!V316,高値!W316&gt;高値!U316,高値!W316&gt;高値!X316,高値!W316&gt;高値!Y316),18,""))</f>
      </c>
      <c r="AT316" s="684">
        <f>IF(終値!A316="","",IF(AND(高値!X316&gt;高値!W316,高値!X316&gt;高値!V316,高値!X316&gt;高値!Y316,高値!X316&gt;高値!Z316),19,""))</f>
      </c>
      <c r="AU316" s="684">
        <f>IF(終値!A316="","",IF(AND(高値!Y316&gt;高値!X316,高値!Y316&gt;高値!W316,高値!Y316&gt;高値!Z316,高値!Y316&gt;高値!AA316),20,""))</f>
      </c>
      <c r="AV316" s="684">
        <f>IF(終値!A316="","",IF(AND(高値!Z316&gt;高値!Y316,高値!Z316&gt;高値!X316,高値!Z316&gt;高値!AA316,高値!Z316&gt;高値!AB316),21,""))</f>
      </c>
      <c r="AW316" s="684">
        <f>IF(終値!A316="","",IF(AND(高値!AA316&gt;高値!Z316,高値!AA316&gt;高値!Y316,高値!AA316&gt;高値!AB316,高値!AA316&gt;高値!AC316),22,""))</f>
      </c>
      <c r="AX316" s="684">
        <f>IF(終値!A316="","",IF(AND(高値!AB316&gt;高値!AA316,高値!AB316&gt;高値!Z316,高値!AB316&gt;高値!AC316,高値!AB316&gt;高値!AD316),23,""))</f>
      </c>
      <c r="AY316" s="684">
        <f>IF(終値!A316="","",IF(AND(高値!AC316&gt;高値!AB316,高値!AC316&gt;高値!AA316,高値!AC316&gt;高値!AD316,高値!AC316&gt;高値!AE316),24,""))</f>
      </c>
      <c r="AZ316" s="684">
        <f>IF(終値!A316="","",IF(AND(高値!AD316&gt;高値!AC316,高値!AD316&gt;高値!AB316,高値!AD316&gt;高値!AE316,高値!AD316&gt;高値!AF316),25,""))</f>
      </c>
      <c r="BA316" s="684">
        <f>IF(終値!A316="","",IF(AND(高値!AE316&gt;高値!AD316,高値!AE316&gt;高値!AC316,高値!AE316&gt;高値!AF316,高値!AE316&gt;高値!AG316),26,""))</f>
      </c>
      <c r="BB316" s="684">
        <f>IF(終値!A316="","",IF(AND(高値!AF316&gt;高値!AE316,高値!AF316&gt;高値!AD316,高値!AF316&gt;高値!AG316,高値!AF316&gt;高値!AH316),27,""))</f>
      </c>
      <c r="BC316" s="684">
        <f>IF(終値!A316="","",IF(AND(高値!AG316&gt;高値!AF316,高値!AG316&gt;高値!AE316,高値!AG316&gt;高値!AH316,高値!AG316&gt;高値!AI316),28,""))</f>
      </c>
      <c r="BD316" s="684">
        <f>COUNT($B316:$AB316)</f>
      </c>
      <c r="BE316" s="684">
        <f>IF($BD316&gt;=2,MIN($B316:$AB316),"")</f>
      </c>
      <c r="BF316" s="684">
        <f>IF($BD316&gt;=2,SMALL($B316:$AB316,2),"")</f>
      </c>
      <c r="BG316" s="684">
        <f>IF($BE316="","",INDEX(安値!$E316:$CZ316,1,$BE316+1))</f>
      </c>
      <c r="BH316" s="684">
        <f>IF($BF316="","",INDEX(安値!$E316:$CZ316,1,$BF316+1))</f>
      </c>
      <c r="BI316" s="684">
        <f>IF($BF316="","",MAX(INDEX(高値!$E316:$CZ316,1,$BE316+1):INDEX(高値!$E316:$CZ316,1,$BF316+1)))</f>
      </c>
      <c r="BJ316" s="684">
        <f>IF($BF316="","",AVERAGE(INDEX(終値!$E316:$CZ316,1,$BF316+1):INDEX(終値!$E316:$CZ316,1,$BF316+20))-2*STDEVP(INDEX(終値!$E316:$CZ316,1,$BF316+1):INDEX(終値!$E316:$CZ316,1,$BF316+20)))</f>
      </c>
      <c r="BK316" s="684">
        <f>IF($BE316="","",AVERAGE(INDEX(終値!$E316:$CZ316,1,$BE316+1):INDEX(終値!$E316:$CZ316,1,$BE316+20))-2*STDEVP(INDEX(終値!$E316:$CZ316,1,$BE316+1):INDEX(終値!$E316:$CZ316,1,$BE316+20)))</f>
      </c>
      <c r="BL316" s="684">
        <f>COUNT($AC316:$BC316)</f>
      </c>
      <c r="BM316" s="684">
        <f>IF($BL316&gt;=2,MIN($AC316:$BC316),"")</f>
      </c>
      <c r="BN316" s="684">
        <f>IF($BL316&gt;=2,SMALL($AC316:$BC316,2),"")</f>
      </c>
      <c r="BO316" s="684">
        <f>IF($BM316="","",INDEX(高値!$E316:$CZ316,1,$BM316+1))</f>
      </c>
      <c r="BP316" s="684">
        <f>IF($BN316="","",INDEX(高値!$E316:$CZ316,1,$BN316+1))</f>
      </c>
      <c r="BQ316" s="684">
        <f>IF($BN316="","",MIN(INDEX(安値!$E316:$CZ316,1,$BM316+1):INDEX(安値!$E316:$CZ316,1,$BN316+1)))</f>
      </c>
      <c r="BR316" s="684">
        <f>IF($BN316="","",AVERAGE(INDEX(終値!$E316:$CZ316,1,$BN316+1):INDEX(終値!$E316:$CZ316,1,$BN316+20))+2*STDEVP(INDEX(終値!$E316:$CZ316,1,$BN316+1):INDEX(終値!$E316:$CZ316,1,$BN316+20)))</f>
      </c>
      <c r="BS316" s="684">
        <f>IF($BM316="","",AVERAGE(INDEX(終値!$E316:$CZ316,1,$BM316+1):INDEX(終値!$E316:$CZ316,1,$BM316+20))+2*STDEVP(INDEX(終値!$E316:$CZ316,1,$BM316+1):INDEX(終値!$E316:$CZ316,1,$BM316+20)))</f>
      </c>
      <c r="BT316" s="681">
        <f>IFERROR(IF(AND($BD316&gt;=2,ABS($BG316-$BH316)/$BH316&lt;=BB設定!$B$12,$BI316&gt;=MAX($BH316,$BG316)*(1+BB設定!$B$13),終値!E316&gt;$BG316),IF(OR(終値!E316&gt;=$BI316,AND($BH316&lt;$BJ316,$BG316&gt;=$BK316)),"二番底W▲","二番底W形成"),IF(AND($BL316&gt;=2,ABS($BO316-$BP316)/$BP316&lt;=BB設定!$B$12,$BQ316&lt;=MIN($BP316,$BO316)*(1-BB設定!$B$13),終値!E316&lt;$BO316),IF(OR(終値!E316&lt;=$BQ316,AND($BP316&gt;$BR316,$BO316&lt;=$BS316)),"二番天井M▼","二番天井M形成"),"－")),"－")</f>
      </c>
    </row>
    <row r="317">
      <c r="B317" s="684">
        <f>IF(終値!A317="","",IF(AND(安値!G317&lt;安値!F317,安値!G317&lt;安値!E317,安値!G317&lt;安値!H317,安値!G317&lt;安値!I317),2,""))</f>
      </c>
      <c r="C317" s="684">
        <f>IF(終値!A317="","",IF(AND(安値!H317&lt;安値!G317,安値!H317&lt;安値!F317,安値!H317&lt;安値!I317,安値!H317&lt;安値!J317),3,""))</f>
      </c>
      <c r="D317" s="684">
        <f>IF(終値!A317="","",IF(AND(安値!I317&lt;安値!H317,安値!I317&lt;安値!G317,安値!I317&lt;安値!J317,安値!I317&lt;安値!K317),4,""))</f>
      </c>
      <c r="E317" s="684">
        <f>IF(終値!A317="","",IF(AND(安値!J317&lt;安値!I317,安値!J317&lt;安値!H317,安値!J317&lt;安値!K317,安値!J317&lt;安値!L317),5,""))</f>
      </c>
      <c r="F317" s="684">
        <f>IF(終値!A317="","",IF(AND(安値!K317&lt;安値!J317,安値!K317&lt;安値!I317,安値!K317&lt;安値!L317,安値!K317&lt;安値!M317),6,""))</f>
      </c>
      <c r="G317" s="684">
        <f>IF(終値!A317="","",IF(AND(安値!L317&lt;安値!K317,安値!L317&lt;安値!J317,安値!L317&lt;安値!M317,安値!L317&lt;安値!N317),7,""))</f>
      </c>
      <c r="H317" s="684">
        <f>IF(終値!A317="","",IF(AND(安値!M317&lt;安値!L317,安値!M317&lt;安値!K317,安値!M317&lt;安値!N317,安値!M317&lt;安値!O317),8,""))</f>
      </c>
      <c r="I317" s="684">
        <f>IF(終値!A317="","",IF(AND(安値!N317&lt;安値!M317,安値!N317&lt;安値!L317,安値!N317&lt;安値!O317,安値!N317&lt;安値!P317),9,""))</f>
      </c>
      <c r="J317" s="684">
        <f>IF(終値!A317="","",IF(AND(安値!O317&lt;安値!N317,安値!O317&lt;安値!M317,安値!O317&lt;安値!P317,安値!O317&lt;安値!Q317),10,""))</f>
      </c>
      <c r="K317" s="684">
        <f>IF(終値!A317="","",IF(AND(安値!P317&lt;安値!O317,安値!P317&lt;安値!N317,安値!P317&lt;安値!Q317,安値!P317&lt;安値!R317),11,""))</f>
      </c>
      <c r="L317" s="684">
        <f>IF(終値!A317="","",IF(AND(安値!Q317&lt;安値!P317,安値!Q317&lt;安値!O317,安値!Q317&lt;安値!R317,安値!Q317&lt;安値!S317),12,""))</f>
      </c>
      <c r="M317" s="684">
        <f>IF(終値!A317="","",IF(AND(安値!R317&lt;安値!Q317,安値!R317&lt;安値!P317,安値!R317&lt;安値!S317,安値!R317&lt;安値!T317),13,""))</f>
      </c>
      <c r="N317" s="684">
        <f>IF(終値!A317="","",IF(AND(安値!S317&lt;安値!R317,安値!S317&lt;安値!Q317,安値!S317&lt;安値!T317,安値!S317&lt;安値!U317),14,""))</f>
      </c>
      <c r="O317" s="684">
        <f>IF(終値!A317="","",IF(AND(安値!T317&lt;安値!S317,安値!T317&lt;安値!R317,安値!T317&lt;安値!U317,安値!T317&lt;安値!V317),15,""))</f>
      </c>
      <c r="P317" s="684">
        <f>IF(終値!A317="","",IF(AND(安値!U317&lt;安値!T317,安値!U317&lt;安値!S317,安値!U317&lt;安値!V317,安値!U317&lt;安値!W317),16,""))</f>
      </c>
      <c r="Q317" s="684">
        <f>IF(終値!A317="","",IF(AND(安値!V317&lt;安値!U317,安値!V317&lt;安値!T317,安値!V317&lt;安値!W317,安値!V317&lt;安値!X317),17,""))</f>
      </c>
      <c r="R317" s="684">
        <f>IF(終値!A317="","",IF(AND(安値!W317&lt;安値!V317,安値!W317&lt;安値!U317,安値!W317&lt;安値!X317,安値!W317&lt;安値!Y317),18,""))</f>
      </c>
      <c r="S317" s="684">
        <f>IF(終値!A317="","",IF(AND(安値!X317&lt;安値!W317,安値!X317&lt;安値!V317,安値!X317&lt;安値!Y317,安値!X317&lt;安値!Z317),19,""))</f>
      </c>
      <c r="T317" s="684">
        <f>IF(終値!A317="","",IF(AND(安値!Y317&lt;安値!X317,安値!Y317&lt;安値!W317,安値!Y317&lt;安値!Z317,安値!Y317&lt;安値!AA317),20,""))</f>
      </c>
      <c r="U317" s="684">
        <f>IF(終値!A317="","",IF(AND(安値!Z317&lt;安値!Y317,安値!Z317&lt;安値!X317,安値!Z317&lt;安値!AA317,安値!Z317&lt;安値!AB317),21,""))</f>
      </c>
      <c r="V317" s="684">
        <f>IF(終値!A317="","",IF(AND(安値!AA317&lt;安値!Z317,安値!AA317&lt;安値!Y317,安値!AA317&lt;安値!AB317,安値!AA317&lt;安値!AC317),22,""))</f>
      </c>
      <c r="W317" s="684">
        <f>IF(終値!A317="","",IF(AND(安値!AB317&lt;安値!AA317,安値!AB317&lt;安値!Z317,安値!AB317&lt;安値!AC317,安値!AB317&lt;安値!AD317),23,""))</f>
      </c>
      <c r="X317" s="684">
        <f>IF(終値!A317="","",IF(AND(安値!AC317&lt;安値!AB317,安値!AC317&lt;安値!AA317,安値!AC317&lt;安値!AD317,安値!AC317&lt;安値!AE317),24,""))</f>
      </c>
      <c r="Y317" s="684">
        <f>IF(終値!A317="","",IF(AND(安値!AD317&lt;安値!AC317,安値!AD317&lt;安値!AB317,安値!AD317&lt;安値!AE317,安値!AD317&lt;安値!AF317),25,""))</f>
      </c>
      <c r="Z317" s="684">
        <f>IF(終値!A317="","",IF(AND(安値!AE317&lt;安値!AD317,安値!AE317&lt;安値!AC317,安値!AE317&lt;安値!AF317,安値!AE317&lt;安値!AG317),26,""))</f>
      </c>
      <c r="AA317" s="684">
        <f>IF(終値!A317="","",IF(AND(安値!AF317&lt;安値!AE317,安値!AF317&lt;安値!AD317,安値!AF317&lt;安値!AG317,安値!AF317&lt;安値!AH317),27,""))</f>
      </c>
      <c r="AB317" s="684">
        <f>IF(終値!A317="","",IF(AND(安値!AG317&lt;安値!AF317,安値!AG317&lt;安値!AE317,安値!AG317&lt;安値!AH317,安値!AG317&lt;安値!AI317),28,""))</f>
      </c>
      <c r="AC317" s="684">
        <f>IF(終値!A317="","",IF(AND(高値!G317&gt;高値!F317,高値!G317&gt;高値!E317,高値!G317&gt;高値!H317,高値!G317&gt;高値!I317),2,""))</f>
      </c>
      <c r="AD317" s="684">
        <f>IF(終値!A317="","",IF(AND(高値!H317&gt;高値!G317,高値!H317&gt;高値!F317,高値!H317&gt;高値!I317,高値!H317&gt;高値!J317),3,""))</f>
      </c>
      <c r="AE317" s="684">
        <f>IF(終値!A317="","",IF(AND(高値!I317&gt;高値!H317,高値!I317&gt;高値!G317,高値!I317&gt;高値!J317,高値!I317&gt;高値!K317),4,""))</f>
      </c>
      <c r="AF317" s="684">
        <f>IF(終値!A317="","",IF(AND(高値!J317&gt;高値!I317,高値!J317&gt;高値!H317,高値!J317&gt;高値!K317,高値!J317&gt;高値!L317),5,""))</f>
      </c>
      <c r="AG317" s="684">
        <f>IF(終値!A317="","",IF(AND(高値!K317&gt;高値!J317,高値!K317&gt;高値!I317,高値!K317&gt;高値!L317,高値!K317&gt;高値!M317),6,""))</f>
      </c>
      <c r="AH317" s="684">
        <f>IF(終値!A317="","",IF(AND(高値!L317&gt;高値!K317,高値!L317&gt;高値!J317,高値!L317&gt;高値!M317,高値!L317&gt;高値!N317),7,""))</f>
      </c>
      <c r="AI317" s="684">
        <f>IF(終値!A317="","",IF(AND(高値!M317&gt;高値!L317,高値!M317&gt;高値!K317,高値!M317&gt;高値!N317,高値!M317&gt;高値!O317),8,""))</f>
      </c>
      <c r="AJ317" s="684">
        <f>IF(終値!A317="","",IF(AND(高値!N317&gt;高値!M317,高値!N317&gt;高値!L317,高値!N317&gt;高値!O317,高値!N317&gt;高値!P317),9,""))</f>
      </c>
      <c r="AK317" s="684">
        <f>IF(終値!A317="","",IF(AND(高値!O317&gt;高値!N317,高値!O317&gt;高値!M317,高値!O317&gt;高値!P317,高値!O317&gt;高値!Q317),10,""))</f>
      </c>
      <c r="AL317" s="684">
        <f>IF(終値!A317="","",IF(AND(高値!P317&gt;高値!O317,高値!P317&gt;高値!N317,高値!P317&gt;高値!Q317,高値!P317&gt;高値!R317),11,""))</f>
      </c>
      <c r="AM317" s="684">
        <f>IF(終値!A317="","",IF(AND(高値!Q317&gt;高値!P317,高値!Q317&gt;高値!O317,高値!Q317&gt;高値!R317,高値!Q317&gt;高値!S317),12,""))</f>
      </c>
      <c r="AN317" s="684">
        <f>IF(終値!A317="","",IF(AND(高値!R317&gt;高値!Q317,高値!R317&gt;高値!P317,高値!R317&gt;高値!S317,高値!R317&gt;高値!T317),13,""))</f>
      </c>
      <c r="AO317" s="684">
        <f>IF(終値!A317="","",IF(AND(高値!S317&gt;高値!R317,高値!S317&gt;高値!Q317,高値!S317&gt;高値!T317,高値!S317&gt;高値!U317),14,""))</f>
      </c>
      <c r="AP317" s="684">
        <f>IF(終値!A317="","",IF(AND(高値!T317&gt;高値!S317,高値!T317&gt;高値!R317,高値!T317&gt;高値!U317,高値!T317&gt;高値!V317),15,""))</f>
      </c>
      <c r="AQ317" s="684">
        <f>IF(終値!A317="","",IF(AND(高値!U317&gt;高値!T317,高値!U317&gt;高値!S317,高値!U317&gt;高値!V317,高値!U317&gt;高値!W317),16,""))</f>
      </c>
      <c r="AR317" s="684">
        <f>IF(終値!A317="","",IF(AND(高値!V317&gt;高値!U317,高値!V317&gt;高値!T317,高値!V317&gt;高値!W317,高値!V317&gt;高値!X317),17,""))</f>
      </c>
      <c r="AS317" s="684">
        <f>IF(終値!A317="","",IF(AND(高値!W317&gt;高値!V317,高値!W317&gt;高値!U317,高値!W317&gt;高値!X317,高値!W317&gt;高値!Y317),18,""))</f>
      </c>
      <c r="AT317" s="684">
        <f>IF(終値!A317="","",IF(AND(高値!X317&gt;高値!W317,高値!X317&gt;高値!V317,高値!X317&gt;高値!Y317,高値!X317&gt;高値!Z317),19,""))</f>
      </c>
      <c r="AU317" s="684">
        <f>IF(終値!A317="","",IF(AND(高値!Y317&gt;高値!X317,高値!Y317&gt;高値!W317,高値!Y317&gt;高値!Z317,高値!Y317&gt;高値!AA317),20,""))</f>
      </c>
      <c r="AV317" s="684">
        <f>IF(終値!A317="","",IF(AND(高値!Z317&gt;高値!Y317,高値!Z317&gt;高値!X317,高値!Z317&gt;高値!AA317,高値!Z317&gt;高値!AB317),21,""))</f>
      </c>
      <c r="AW317" s="684">
        <f>IF(終値!A317="","",IF(AND(高値!AA317&gt;高値!Z317,高値!AA317&gt;高値!Y317,高値!AA317&gt;高値!AB317,高値!AA317&gt;高値!AC317),22,""))</f>
      </c>
      <c r="AX317" s="684">
        <f>IF(終値!A317="","",IF(AND(高値!AB317&gt;高値!AA317,高値!AB317&gt;高値!Z317,高値!AB317&gt;高値!AC317,高値!AB317&gt;高値!AD317),23,""))</f>
      </c>
      <c r="AY317" s="684">
        <f>IF(終値!A317="","",IF(AND(高値!AC317&gt;高値!AB317,高値!AC317&gt;高値!AA317,高値!AC317&gt;高値!AD317,高値!AC317&gt;高値!AE317),24,""))</f>
      </c>
      <c r="AZ317" s="684">
        <f>IF(終値!A317="","",IF(AND(高値!AD317&gt;高値!AC317,高値!AD317&gt;高値!AB317,高値!AD317&gt;高値!AE317,高値!AD317&gt;高値!AF317),25,""))</f>
      </c>
      <c r="BA317" s="684">
        <f>IF(終値!A317="","",IF(AND(高値!AE317&gt;高値!AD317,高値!AE317&gt;高値!AC317,高値!AE317&gt;高値!AF317,高値!AE317&gt;高値!AG317),26,""))</f>
      </c>
      <c r="BB317" s="684">
        <f>IF(終値!A317="","",IF(AND(高値!AF317&gt;高値!AE317,高値!AF317&gt;高値!AD317,高値!AF317&gt;高値!AG317,高値!AF317&gt;高値!AH317),27,""))</f>
      </c>
      <c r="BC317" s="684">
        <f>IF(終値!A317="","",IF(AND(高値!AG317&gt;高値!AF317,高値!AG317&gt;高値!AE317,高値!AG317&gt;高値!AH317,高値!AG317&gt;高値!AI317),28,""))</f>
      </c>
      <c r="BD317" s="684">
        <f>COUNT($B317:$AB317)</f>
      </c>
      <c r="BE317" s="684">
        <f>IF($BD317&gt;=2,MIN($B317:$AB317),"")</f>
      </c>
      <c r="BF317" s="684">
        <f>IF($BD317&gt;=2,SMALL($B317:$AB317,2),"")</f>
      </c>
      <c r="BG317" s="684">
        <f>IF($BE317="","",INDEX(安値!$E317:$CZ317,1,$BE317+1))</f>
      </c>
      <c r="BH317" s="684">
        <f>IF($BF317="","",INDEX(安値!$E317:$CZ317,1,$BF317+1))</f>
      </c>
      <c r="BI317" s="684">
        <f>IF($BF317="","",MAX(INDEX(高値!$E317:$CZ317,1,$BE317+1):INDEX(高値!$E317:$CZ317,1,$BF317+1)))</f>
      </c>
      <c r="BJ317" s="684">
        <f>IF($BF317="","",AVERAGE(INDEX(終値!$E317:$CZ317,1,$BF317+1):INDEX(終値!$E317:$CZ317,1,$BF317+20))-2*STDEVP(INDEX(終値!$E317:$CZ317,1,$BF317+1):INDEX(終値!$E317:$CZ317,1,$BF317+20)))</f>
      </c>
      <c r="BK317" s="684">
        <f>IF($BE317="","",AVERAGE(INDEX(終値!$E317:$CZ317,1,$BE317+1):INDEX(終値!$E317:$CZ317,1,$BE317+20))-2*STDEVP(INDEX(終値!$E317:$CZ317,1,$BE317+1):INDEX(終値!$E317:$CZ317,1,$BE317+20)))</f>
      </c>
      <c r="BL317" s="684">
        <f>COUNT($AC317:$BC317)</f>
      </c>
      <c r="BM317" s="684">
        <f>IF($BL317&gt;=2,MIN($AC317:$BC317),"")</f>
      </c>
      <c r="BN317" s="684">
        <f>IF($BL317&gt;=2,SMALL($AC317:$BC317,2),"")</f>
      </c>
      <c r="BO317" s="684">
        <f>IF($BM317="","",INDEX(高値!$E317:$CZ317,1,$BM317+1))</f>
      </c>
      <c r="BP317" s="684">
        <f>IF($BN317="","",INDEX(高値!$E317:$CZ317,1,$BN317+1))</f>
      </c>
      <c r="BQ317" s="684">
        <f>IF($BN317="","",MIN(INDEX(安値!$E317:$CZ317,1,$BM317+1):INDEX(安値!$E317:$CZ317,1,$BN317+1)))</f>
      </c>
      <c r="BR317" s="684">
        <f>IF($BN317="","",AVERAGE(INDEX(終値!$E317:$CZ317,1,$BN317+1):INDEX(終値!$E317:$CZ317,1,$BN317+20))+2*STDEVP(INDEX(終値!$E317:$CZ317,1,$BN317+1):INDEX(終値!$E317:$CZ317,1,$BN317+20)))</f>
      </c>
      <c r="BS317" s="684">
        <f>IF($BM317="","",AVERAGE(INDEX(終値!$E317:$CZ317,1,$BM317+1):INDEX(終値!$E317:$CZ317,1,$BM317+20))+2*STDEVP(INDEX(終値!$E317:$CZ317,1,$BM317+1):INDEX(終値!$E317:$CZ317,1,$BM317+20)))</f>
      </c>
      <c r="BT317" s="681">
        <f>IFERROR(IF(AND($BD317&gt;=2,ABS($BG317-$BH317)/$BH317&lt;=BB設定!$B$12,$BI317&gt;=MAX($BH317,$BG317)*(1+BB設定!$B$13),終値!E317&gt;$BG317),IF(OR(終値!E317&gt;=$BI317,AND($BH317&lt;$BJ317,$BG317&gt;=$BK317)),"二番底W▲","二番底W形成"),IF(AND($BL317&gt;=2,ABS($BO317-$BP317)/$BP317&lt;=BB設定!$B$12,$BQ317&lt;=MIN($BP317,$BO317)*(1-BB設定!$B$13),終値!E317&lt;$BO317),IF(OR(終値!E317&lt;=$BQ317,AND($BP317&gt;$BR317,$BO317&lt;=$BS317)),"二番天井M▼","二番天井M形成"),"－")),"－")</f>
      </c>
    </row>
    <row r="318">
      <c r="B318" s="684">
        <f>IF(終値!A318="","",IF(AND(安値!G318&lt;安値!F318,安値!G318&lt;安値!E318,安値!G318&lt;安値!H318,安値!G318&lt;安値!I318),2,""))</f>
      </c>
      <c r="C318" s="684">
        <f>IF(終値!A318="","",IF(AND(安値!H318&lt;安値!G318,安値!H318&lt;安値!F318,安値!H318&lt;安値!I318,安値!H318&lt;安値!J318),3,""))</f>
      </c>
      <c r="D318" s="684">
        <f>IF(終値!A318="","",IF(AND(安値!I318&lt;安値!H318,安値!I318&lt;安値!G318,安値!I318&lt;安値!J318,安値!I318&lt;安値!K318),4,""))</f>
      </c>
      <c r="E318" s="684">
        <f>IF(終値!A318="","",IF(AND(安値!J318&lt;安値!I318,安値!J318&lt;安値!H318,安値!J318&lt;安値!K318,安値!J318&lt;安値!L318),5,""))</f>
      </c>
      <c r="F318" s="684">
        <f>IF(終値!A318="","",IF(AND(安値!K318&lt;安値!J318,安値!K318&lt;安値!I318,安値!K318&lt;安値!L318,安値!K318&lt;安値!M318),6,""))</f>
      </c>
      <c r="G318" s="684">
        <f>IF(終値!A318="","",IF(AND(安値!L318&lt;安値!K318,安値!L318&lt;安値!J318,安値!L318&lt;安値!M318,安値!L318&lt;安値!N318),7,""))</f>
      </c>
      <c r="H318" s="684">
        <f>IF(終値!A318="","",IF(AND(安値!M318&lt;安値!L318,安値!M318&lt;安値!K318,安値!M318&lt;安値!N318,安値!M318&lt;安値!O318),8,""))</f>
      </c>
      <c r="I318" s="684">
        <f>IF(終値!A318="","",IF(AND(安値!N318&lt;安値!M318,安値!N318&lt;安値!L318,安値!N318&lt;安値!O318,安値!N318&lt;安値!P318),9,""))</f>
      </c>
      <c r="J318" s="684">
        <f>IF(終値!A318="","",IF(AND(安値!O318&lt;安値!N318,安値!O318&lt;安値!M318,安値!O318&lt;安値!P318,安値!O318&lt;安値!Q318),10,""))</f>
      </c>
      <c r="K318" s="684">
        <f>IF(終値!A318="","",IF(AND(安値!P318&lt;安値!O318,安値!P318&lt;安値!N318,安値!P318&lt;安値!Q318,安値!P318&lt;安値!R318),11,""))</f>
      </c>
      <c r="L318" s="684">
        <f>IF(終値!A318="","",IF(AND(安値!Q318&lt;安値!P318,安値!Q318&lt;安値!O318,安値!Q318&lt;安値!R318,安値!Q318&lt;安値!S318),12,""))</f>
      </c>
      <c r="M318" s="684">
        <f>IF(終値!A318="","",IF(AND(安値!R318&lt;安値!Q318,安値!R318&lt;安値!P318,安値!R318&lt;安値!S318,安値!R318&lt;安値!T318),13,""))</f>
      </c>
      <c r="N318" s="684">
        <f>IF(終値!A318="","",IF(AND(安値!S318&lt;安値!R318,安値!S318&lt;安値!Q318,安値!S318&lt;安値!T318,安値!S318&lt;安値!U318),14,""))</f>
      </c>
      <c r="O318" s="684">
        <f>IF(終値!A318="","",IF(AND(安値!T318&lt;安値!S318,安値!T318&lt;安値!R318,安値!T318&lt;安値!U318,安値!T318&lt;安値!V318),15,""))</f>
      </c>
      <c r="P318" s="684">
        <f>IF(終値!A318="","",IF(AND(安値!U318&lt;安値!T318,安値!U318&lt;安値!S318,安値!U318&lt;安値!V318,安値!U318&lt;安値!W318),16,""))</f>
      </c>
      <c r="Q318" s="684">
        <f>IF(終値!A318="","",IF(AND(安値!V318&lt;安値!U318,安値!V318&lt;安値!T318,安値!V318&lt;安値!W318,安値!V318&lt;安値!X318),17,""))</f>
      </c>
      <c r="R318" s="684">
        <f>IF(終値!A318="","",IF(AND(安値!W318&lt;安値!V318,安値!W318&lt;安値!U318,安値!W318&lt;安値!X318,安値!W318&lt;安値!Y318),18,""))</f>
      </c>
      <c r="S318" s="684">
        <f>IF(終値!A318="","",IF(AND(安値!X318&lt;安値!W318,安値!X318&lt;安値!V318,安値!X318&lt;安値!Y318,安値!X318&lt;安値!Z318),19,""))</f>
      </c>
      <c r="T318" s="684">
        <f>IF(終値!A318="","",IF(AND(安値!Y318&lt;安値!X318,安値!Y318&lt;安値!W318,安値!Y318&lt;安値!Z318,安値!Y318&lt;安値!AA318),20,""))</f>
      </c>
      <c r="U318" s="684">
        <f>IF(終値!A318="","",IF(AND(安値!Z318&lt;安値!Y318,安値!Z318&lt;安値!X318,安値!Z318&lt;安値!AA318,安値!Z318&lt;安値!AB318),21,""))</f>
      </c>
      <c r="V318" s="684">
        <f>IF(終値!A318="","",IF(AND(安値!AA318&lt;安値!Z318,安値!AA318&lt;安値!Y318,安値!AA318&lt;安値!AB318,安値!AA318&lt;安値!AC318),22,""))</f>
      </c>
      <c r="W318" s="684">
        <f>IF(終値!A318="","",IF(AND(安値!AB318&lt;安値!AA318,安値!AB318&lt;安値!Z318,安値!AB318&lt;安値!AC318,安値!AB318&lt;安値!AD318),23,""))</f>
      </c>
      <c r="X318" s="684">
        <f>IF(終値!A318="","",IF(AND(安値!AC318&lt;安値!AB318,安値!AC318&lt;安値!AA318,安値!AC318&lt;安値!AD318,安値!AC318&lt;安値!AE318),24,""))</f>
      </c>
      <c r="Y318" s="684">
        <f>IF(終値!A318="","",IF(AND(安値!AD318&lt;安値!AC318,安値!AD318&lt;安値!AB318,安値!AD318&lt;安値!AE318,安値!AD318&lt;安値!AF318),25,""))</f>
      </c>
      <c r="Z318" s="684">
        <f>IF(終値!A318="","",IF(AND(安値!AE318&lt;安値!AD318,安値!AE318&lt;安値!AC318,安値!AE318&lt;安値!AF318,安値!AE318&lt;安値!AG318),26,""))</f>
      </c>
      <c r="AA318" s="684">
        <f>IF(終値!A318="","",IF(AND(安値!AF318&lt;安値!AE318,安値!AF318&lt;安値!AD318,安値!AF318&lt;安値!AG318,安値!AF318&lt;安値!AH318),27,""))</f>
      </c>
      <c r="AB318" s="684">
        <f>IF(終値!A318="","",IF(AND(安値!AG318&lt;安値!AF318,安値!AG318&lt;安値!AE318,安値!AG318&lt;安値!AH318,安値!AG318&lt;安値!AI318),28,""))</f>
      </c>
      <c r="AC318" s="684">
        <f>IF(終値!A318="","",IF(AND(高値!G318&gt;高値!F318,高値!G318&gt;高値!E318,高値!G318&gt;高値!H318,高値!G318&gt;高値!I318),2,""))</f>
      </c>
      <c r="AD318" s="684">
        <f>IF(終値!A318="","",IF(AND(高値!H318&gt;高値!G318,高値!H318&gt;高値!F318,高値!H318&gt;高値!I318,高値!H318&gt;高値!J318),3,""))</f>
      </c>
      <c r="AE318" s="684">
        <f>IF(終値!A318="","",IF(AND(高値!I318&gt;高値!H318,高値!I318&gt;高値!G318,高値!I318&gt;高値!J318,高値!I318&gt;高値!K318),4,""))</f>
      </c>
      <c r="AF318" s="684">
        <f>IF(終値!A318="","",IF(AND(高値!J318&gt;高値!I318,高値!J318&gt;高値!H318,高値!J318&gt;高値!K318,高値!J318&gt;高値!L318),5,""))</f>
      </c>
      <c r="AG318" s="684">
        <f>IF(終値!A318="","",IF(AND(高値!K318&gt;高値!J318,高値!K318&gt;高値!I318,高値!K318&gt;高値!L318,高値!K318&gt;高値!M318),6,""))</f>
      </c>
      <c r="AH318" s="684">
        <f>IF(終値!A318="","",IF(AND(高値!L318&gt;高値!K318,高値!L318&gt;高値!J318,高値!L318&gt;高値!M318,高値!L318&gt;高値!N318),7,""))</f>
      </c>
      <c r="AI318" s="684">
        <f>IF(終値!A318="","",IF(AND(高値!M318&gt;高値!L318,高値!M318&gt;高値!K318,高値!M318&gt;高値!N318,高値!M318&gt;高値!O318),8,""))</f>
      </c>
      <c r="AJ318" s="684">
        <f>IF(終値!A318="","",IF(AND(高値!N318&gt;高値!M318,高値!N318&gt;高値!L318,高値!N318&gt;高値!O318,高値!N318&gt;高値!P318),9,""))</f>
      </c>
      <c r="AK318" s="684">
        <f>IF(終値!A318="","",IF(AND(高値!O318&gt;高値!N318,高値!O318&gt;高値!M318,高値!O318&gt;高値!P318,高値!O318&gt;高値!Q318),10,""))</f>
      </c>
      <c r="AL318" s="684">
        <f>IF(終値!A318="","",IF(AND(高値!P318&gt;高値!O318,高値!P318&gt;高値!N318,高値!P318&gt;高値!Q318,高値!P318&gt;高値!R318),11,""))</f>
      </c>
      <c r="AM318" s="684">
        <f>IF(終値!A318="","",IF(AND(高値!Q318&gt;高値!P318,高値!Q318&gt;高値!O318,高値!Q318&gt;高値!R318,高値!Q318&gt;高値!S318),12,""))</f>
      </c>
      <c r="AN318" s="684">
        <f>IF(終値!A318="","",IF(AND(高値!R318&gt;高値!Q318,高値!R318&gt;高値!P318,高値!R318&gt;高値!S318,高値!R318&gt;高値!T318),13,""))</f>
      </c>
      <c r="AO318" s="684">
        <f>IF(終値!A318="","",IF(AND(高値!S318&gt;高値!R318,高値!S318&gt;高値!Q318,高値!S318&gt;高値!T318,高値!S318&gt;高値!U318),14,""))</f>
      </c>
      <c r="AP318" s="684">
        <f>IF(終値!A318="","",IF(AND(高値!T318&gt;高値!S318,高値!T318&gt;高値!R318,高値!T318&gt;高値!U318,高値!T318&gt;高値!V318),15,""))</f>
      </c>
      <c r="AQ318" s="684">
        <f>IF(終値!A318="","",IF(AND(高値!U318&gt;高値!T318,高値!U318&gt;高値!S318,高値!U318&gt;高値!V318,高値!U318&gt;高値!W318),16,""))</f>
      </c>
      <c r="AR318" s="684">
        <f>IF(終値!A318="","",IF(AND(高値!V318&gt;高値!U318,高値!V318&gt;高値!T318,高値!V318&gt;高値!W318,高値!V318&gt;高値!X318),17,""))</f>
      </c>
      <c r="AS318" s="684">
        <f>IF(終値!A318="","",IF(AND(高値!W318&gt;高値!V318,高値!W318&gt;高値!U318,高値!W318&gt;高値!X318,高値!W318&gt;高値!Y318),18,""))</f>
      </c>
      <c r="AT318" s="684">
        <f>IF(終値!A318="","",IF(AND(高値!X318&gt;高値!W318,高値!X318&gt;高値!V318,高値!X318&gt;高値!Y318,高値!X318&gt;高値!Z318),19,""))</f>
      </c>
      <c r="AU318" s="684">
        <f>IF(終値!A318="","",IF(AND(高値!Y318&gt;高値!X318,高値!Y318&gt;高値!W318,高値!Y318&gt;高値!Z318,高値!Y318&gt;高値!AA318),20,""))</f>
      </c>
      <c r="AV318" s="684">
        <f>IF(終値!A318="","",IF(AND(高値!Z318&gt;高値!Y318,高値!Z318&gt;高値!X318,高値!Z318&gt;高値!AA318,高値!Z318&gt;高値!AB318),21,""))</f>
      </c>
      <c r="AW318" s="684">
        <f>IF(終値!A318="","",IF(AND(高値!AA318&gt;高値!Z318,高値!AA318&gt;高値!Y318,高値!AA318&gt;高値!AB318,高値!AA318&gt;高値!AC318),22,""))</f>
      </c>
      <c r="AX318" s="684">
        <f>IF(終値!A318="","",IF(AND(高値!AB318&gt;高値!AA318,高値!AB318&gt;高値!Z318,高値!AB318&gt;高値!AC318,高値!AB318&gt;高値!AD318),23,""))</f>
      </c>
      <c r="AY318" s="684">
        <f>IF(終値!A318="","",IF(AND(高値!AC318&gt;高値!AB318,高値!AC318&gt;高値!AA318,高値!AC318&gt;高値!AD318,高値!AC318&gt;高値!AE318),24,""))</f>
      </c>
      <c r="AZ318" s="684">
        <f>IF(終値!A318="","",IF(AND(高値!AD318&gt;高値!AC318,高値!AD318&gt;高値!AB318,高値!AD318&gt;高値!AE318,高値!AD318&gt;高値!AF318),25,""))</f>
      </c>
      <c r="BA318" s="684">
        <f>IF(終値!A318="","",IF(AND(高値!AE318&gt;高値!AD318,高値!AE318&gt;高値!AC318,高値!AE318&gt;高値!AF318,高値!AE318&gt;高値!AG318),26,""))</f>
      </c>
      <c r="BB318" s="684">
        <f>IF(終値!A318="","",IF(AND(高値!AF318&gt;高値!AE318,高値!AF318&gt;高値!AD318,高値!AF318&gt;高値!AG318,高値!AF318&gt;高値!AH318),27,""))</f>
      </c>
      <c r="BC318" s="684">
        <f>IF(終値!A318="","",IF(AND(高値!AG318&gt;高値!AF318,高値!AG318&gt;高値!AE318,高値!AG318&gt;高値!AH318,高値!AG318&gt;高値!AI318),28,""))</f>
      </c>
      <c r="BD318" s="684">
        <f>COUNT($B318:$AB318)</f>
      </c>
      <c r="BE318" s="684">
        <f>IF($BD318&gt;=2,MIN($B318:$AB318),"")</f>
      </c>
      <c r="BF318" s="684">
        <f>IF($BD318&gt;=2,SMALL($B318:$AB318,2),"")</f>
      </c>
      <c r="BG318" s="684">
        <f>IF($BE318="","",INDEX(安値!$E318:$CZ318,1,$BE318+1))</f>
      </c>
      <c r="BH318" s="684">
        <f>IF($BF318="","",INDEX(安値!$E318:$CZ318,1,$BF318+1))</f>
      </c>
      <c r="BI318" s="684">
        <f>IF($BF318="","",MAX(INDEX(高値!$E318:$CZ318,1,$BE318+1):INDEX(高値!$E318:$CZ318,1,$BF318+1)))</f>
      </c>
      <c r="BJ318" s="684">
        <f>IF($BF318="","",AVERAGE(INDEX(終値!$E318:$CZ318,1,$BF318+1):INDEX(終値!$E318:$CZ318,1,$BF318+20))-2*STDEVP(INDEX(終値!$E318:$CZ318,1,$BF318+1):INDEX(終値!$E318:$CZ318,1,$BF318+20)))</f>
      </c>
      <c r="BK318" s="684">
        <f>IF($BE318="","",AVERAGE(INDEX(終値!$E318:$CZ318,1,$BE318+1):INDEX(終値!$E318:$CZ318,1,$BE318+20))-2*STDEVP(INDEX(終値!$E318:$CZ318,1,$BE318+1):INDEX(終値!$E318:$CZ318,1,$BE318+20)))</f>
      </c>
      <c r="BL318" s="684">
        <f>COUNT($AC318:$BC318)</f>
      </c>
      <c r="BM318" s="684">
        <f>IF($BL318&gt;=2,MIN($AC318:$BC318),"")</f>
      </c>
      <c r="BN318" s="684">
        <f>IF($BL318&gt;=2,SMALL($AC318:$BC318,2),"")</f>
      </c>
      <c r="BO318" s="684">
        <f>IF($BM318="","",INDEX(高値!$E318:$CZ318,1,$BM318+1))</f>
      </c>
      <c r="BP318" s="684">
        <f>IF($BN318="","",INDEX(高値!$E318:$CZ318,1,$BN318+1))</f>
      </c>
      <c r="BQ318" s="684">
        <f>IF($BN318="","",MIN(INDEX(安値!$E318:$CZ318,1,$BM318+1):INDEX(安値!$E318:$CZ318,1,$BN318+1)))</f>
      </c>
      <c r="BR318" s="684">
        <f>IF($BN318="","",AVERAGE(INDEX(終値!$E318:$CZ318,1,$BN318+1):INDEX(終値!$E318:$CZ318,1,$BN318+20))+2*STDEVP(INDEX(終値!$E318:$CZ318,1,$BN318+1):INDEX(終値!$E318:$CZ318,1,$BN318+20)))</f>
      </c>
      <c r="BS318" s="684">
        <f>IF($BM318="","",AVERAGE(INDEX(終値!$E318:$CZ318,1,$BM318+1):INDEX(終値!$E318:$CZ318,1,$BM318+20))+2*STDEVP(INDEX(終値!$E318:$CZ318,1,$BM318+1):INDEX(終値!$E318:$CZ318,1,$BM318+20)))</f>
      </c>
      <c r="BT318" s="681">
        <f>IFERROR(IF(AND($BD318&gt;=2,ABS($BG318-$BH318)/$BH318&lt;=BB設定!$B$12,$BI318&gt;=MAX($BH318,$BG318)*(1+BB設定!$B$13),終値!E318&gt;$BG318),IF(OR(終値!E318&gt;=$BI318,AND($BH318&lt;$BJ318,$BG318&gt;=$BK318)),"二番底W▲","二番底W形成"),IF(AND($BL318&gt;=2,ABS($BO318-$BP318)/$BP318&lt;=BB設定!$B$12,$BQ318&lt;=MIN($BP318,$BO318)*(1-BB設定!$B$13),終値!E318&lt;$BO318),IF(OR(終値!E318&lt;=$BQ318,AND($BP318&gt;$BR318,$BO318&lt;=$BS318)),"二番天井M▼","二番天井M形成"),"－")),"－")</f>
      </c>
    </row>
    <row r="319">
      <c r="B319" s="684">
        <f>IF(終値!A319="","",IF(AND(安値!G319&lt;安値!F319,安値!G319&lt;安値!E319,安値!G319&lt;安値!H319,安値!G319&lt;安値!I319),2,""))</f>
      </c>
      <c r="C319" s="684">
        <f>IF(終値!A319="","",IF(AND(安値!H319&lt;安値!G319,安値!H319&lt;安値!F319,安値!H319&lt;安値!I319,安値!H319&lt;安値!J319),3,""))</f>
      </c>
      <c r="D319" s="684">
        <f>IF(終値!A319="","",IF(AND(安値!I319&lt;安値!H319,安値!I319&lt;安値!G319,安値!I319&lt;安値!J319,安値!I319&lt;安値!K319),4,""))</f>
      </c>
      <c r="E319" s="684">
        <f>IF(終値!A319="","",IF(AND(安値!J319&lt;安値!I319,安値!J319&lt;安値!H319,安値!J319&lt;安値!K319,安値!J319&lt;安値!L319),5,""))</f>
      </c>
      <c r="F319" s="684">
        <f>IF(終値!A319="","",IF(AND(安値!K319&lt;安値!J319,安値!K319&lt;安値!I319,安値!K319&lt;安値!L319,安値!K319&lt;安値!M319),6,""))</f>
      </c>
      <c r="G319" s="684">
        <f>IF(終値!A319="","",IF(AND(安値!L319&lt;安値!K319,安値!L319&lt;安値!J319,安値!L319&lt;安値!M319,安値!L319&lt;安値!N319),7,""))</f>
      </c>
      <c r="H319" s="684">
        <f>IF(終値!A319="","",IF(AND(安値!M319&lt;安値!L319,安値!M319&lt;安値!K319,安値!M319&lt;安値!N319,安値!M319&lt;安値!O319),8,""))</f>
      </c>
      <c r="I319" s="684">
        <f>IF(終値!A319="","",IF(AND(安値!N319&lt;安値!M319,安値!N319&lt;安値!L319,安値!N319&lt;安値!O319,安値!N319&lt;安値!P319),9,""))</f>
      </c>
      <c r="J319" s="684">
        <f>IF(終値!A319="","",IF(AND(安値!O319&lt;安値!N319,安値!O319&lt;安値!M319,安値!O319&lt;安値!P319,安値!O319&lt;安値!Q319),10,""))</f>
      </c>
      <c r="K319" s="684">
        <f>IF(終値!A319="","",IF(AND(安値!P319&lt;安値!O319,安値!P319&lt;安値!N319,安値!P319&lt;安値!Q319,安値!P319&lt;安値!R319),11,""))</f>
      </c>
      <c r="L319" s="684">
        <f>IF(終値!A319="","",IF(AND(安値!Q319&lt;安値!P319,安値!Q319&lt;安値!O319,安値!Q319&lt;安値!R319,安値!Q319&lt;安値!S319),12,""))</f>
      </c>
      <c r="M319" s="684">
        <f>IF(終値!A319="","",IF(AND(安値!R319&lt;安値!Q319,安値!R319&lt;安値!P319,安値!R319&lt;安値!S319,安値!R319&lt;安値!T319),13,""))</f>
      </c>
      <c r="N319" s="684">
        <f>IF(終値!A319="","",IF(AND(安値!S319&lt;安値!R319,安値!S319&lt;安値!Q319,安値!S319&lt;安値!T319,安値!S319&lt;安値!U319),14,""))</f>
      </c>
      <c r="O319" s="684">
        <f>IF(終値!A319="","",IF(AND(安値!T319&lt;安値!S319,安値!T319&lt;安値!R319,安値!T319&lt;安値!U319,安値!T319&lt;安値!V319),15,""))</f>
      </c>
      <c r="P319" s="684">
        <f>IF(終値!A319="","",IF(AND(安値!U319&lt;安値!T319,安値!U319&lt;安値!S319,安値!U319&lt;安値!V319,安値!U319&lt;安値!W319),16,""))</f>
      </c>
      <c r="Q319" s="684">
        <f>IF(終値!A319="","",IF(AND(安値!V319&lt;安値!U319,安値!V319&lt;安値!T319,安値!V319&lt;安値!W319,安値!V319&lt;安値!X319),17,""))</f>
      </c>
      <c r="R319" s="684">
        <f>IF(終値!A319="","",IF(AND(安値!W319&lt;安値!V319,安値!W319&lt;安値!U319,安値!W319&lt;安値!X319,安値!W319&lt;安値!Y319),18,""))</f>
      </c>
      <c r="S319" s="684">
        <f>IF(終値!A319="","",IF(AND(安値!X319&lt;安値!W319,安値!X319&lt;安値!V319,安値!X319&lt;安値!Y319,安値!X319&lt;安値!Z319),19,""))</f>
      </c>
      <c r="T319" s="684">
        <f>IF(終値!A319="","",IF(AND(安値!Y319&lt;安値!X319,安値!Y319&lt;安値!W319,安値!Y319&lt;安値!Z319,安値!Y319&lt;安値!AA319),20,""))</f>
      </c>
      <c r="U319" s="684">
        <f>IF(終値!A319="","",IF(AND(安値!Z319&lt;安値!Y319,安値!Z319&lt;安値!X319,安値!Z319&lt;安値!AA319,安値!Z319&lt;安値!AB319),21,""))</f>
      </c>
      <c r="V319" s="684">
        <f>IF(終値!A319="","",IF(AND(安値!AA319&lt;安値!Z319,安値!AA319&lt;安値!Y319,安値!AA319&lt;安値!AB319,安値!AA319&lt;安値!AC319),22,""))</f>
      </c>
      <c r="W319" s="684">
        <f>IF(終値!A319="","",IF(AND(安値!AB319&lt;安値!AA319,安値!AB319&lt;安値!Z319,安値!AB319&lt;安値!AC319,安値!AB319&lt;安値!AD319),23,""))</f>
      </c>
      <c r="X319" s="684">
        <f>IF(終値!A319="","",IF(AND(安値!AC319&lt;安値!AB319,安値!AC319&lt;安値!AA319,安値!AC319&lt;安値!AD319,安値!AC319&lt;安値!AE319),24,""))</f>
      </c>
      <c r="Y319" s="684">
        <f>IF(終値!A319="","",IF(AND(安値!AD319&lt;安値!AC319,安値!AD319&lt;安値!AB319,安値!AD319&lt;安値!AE319,安値!AD319&lt;安値!AF319),25,""))</f>
      </c>
      <c r="Z319" s="684">
        <f>IF(終値!A319="","",IF(AND(安値!AE319&lt;安値!AD319,安値!AE319&lt;安値!AC319,安値!AE319&lt;安値!AF319,安値!AE319&lt;安値!AG319),26,""))</f>
      </c>
      <c r="AA319" s="684">
        <f>IF(終値!A319="","",IF(AND(安値!AF319&lt;安値!AE319,安値!AF319&lt;安値!AD319,安値!AF319&lt;安値!AG319,安値!AF319&lt;安値!AH319),27,""))</f>
      </c>
      <c r="AB319" s="684">
        <f>IF(終値!A319="","",IF(AND(安値!AG319&lt;安値!AF319,安値!AG319&lt;安値!AE319,安値!AG319&lt;安値!AH319,安値!AG319&lt;安値!AI319),28,""))</f>
      </c>
      <c r="AC319" s="684">
        <f>IF(終値!A319="","",IF(AND(高値!G319&gt;高値!F319,高値!G319&gt;高値!E319,高値!G319&gt;高値!H319,高値!G319&gt;高値!I319),2,""))</f>
      </c>
      <c r="AD319" s="684">
        <f>IF(終値!A319="","",IF(AND(高値!H319&gt;高値!G319,高値!H319&gt;高値!F319,高値!H319&gt;高値!I319,高値!H319&gt;高値!J319),3,""))</f>
      </c>
      <c r="AE319" s="684">
        <f>IF(終値!A319="","",IF(AND(高値!I319&gt;高値!H319,高値!I319&gt;高値!G319,高値!I319&gt;高値!J319,高値!I319&gt;高値!K319),4,""))</f>
      </c>
      <c r="AF319" s="684">
        <f>IF(終値!A319="","",IF(AND(高値!J319&gt;高値!I319,高値!J319&gt;高値!H319,高値!J319&gt;高値!K319,高値!J319&gt;高値!L319),5,""))</f>
      </c>
      <c r="AG319" s="684">
        <f>IF(終値!A319="","",IF(AND(高値!K319&gt;高値!J319,高値!K319&gt;高値!I319,高値!K319&gt;高値!L319,高値!K319&gt;高値!M319),6,""))</f>
      </c>
      <c r="AH319" s="684">
        <f>IF(終値!A319="","",IF(AND(高値!L319&gt;高値!K319,高値!L319&gt;高値!J319,高値!L319&gt;高値!M319,高値!L319&gt;高値!N319),7,""))</f>
      </c>
      <c r="AI319" s="684">
        <f>IF(終値!A319="","",IF(AND(高値!M319&gt;高値!L319,高値!M319&gt;高値!K319,高値!M319&gt;高値!N319,高値!M319&gt;高値!O319),8,""))</f>
      </c>
      <c r="AJ319" s="684">
        <f>IF(終値!A319="","",IF(AND(高値!N319&gt;高値!M319,高値!N319&gt;高値!L319,高値!N319&gt;高値!O319,高値!N319&gt;高値!P319),9,""))</f>
      </c>
      <c r="AK319" s="684">
        <f>IF(終値!A319="","",IF(AND(高値!O319&gt;高値!N319,高値!O319&gt;高値!M319,高値!O319&gt;高値!P319,高値!O319&gt;高値!Q319),10,""))</f>
      </c>
      <c r="AL319" s="684">
        <f>IF(終値!A319="","",IF(AND(高値!P319&gt;高値!O319,高値!P319&gt;高値!N319,高値!P319&gt;高値!Q319,高値!P319&gt;高値!R319),11,""))</f>
      </c>
      <c r="AM319" s="684">
        <f>IF(終値!A319="","",IF(AND(高値!Q319&gt;高値!P319,高値!Q319&gt;高値!O319,高値!Q319&gt;高値!R319,高値!Q319&gt;高値!S319),12,""))</f>
      </c>
      <c r="AN319" s="684">
        <f>IF(終値!A319="","",IF(AND(高値!R319&gt;高値!Q319,高値!R319&gt;高値!P319,高値!R319&gt;高値!S319,高値!R319&gt;高値!T319),13,""))</f>
      </c>
      <c r="AO319" s="684">
        <f>IF(終値!A319="","",IF(AND(高値!S319&gt;高値!R319,高値!S319&gt;高値!Q319,高値!S319&gt;高値!T319,高値!S319&gt;高値!U319),14,""))</f>
      </c>
      <c r="AP319" s="684">
        <f>IF(終値!A319="","",IF(AND(高値!T319&gt;高値!S319,高値!T319&gt;高値!R319,高値!T319&gt;高値!U319,高値!T319&gt;高値!V319),15,""))</f>
      </c>
      <c r="AQ319" s="684">
        <f>IF(終値!A319="","",IF(AND(高値!U319&gt;高値!T319,高値!U319&gt;高値!S319,高値!U319&gt;高値!V319,高値!U319&gt;高値!W319),16,""))</f>
      </c>
      <c r="AR319" s="684">
        <f>IF(終値!A319="","",IF(AND(高値!V319&gt;高値!U319,高値!V319&gt;高値!T319,高値!V319&gt;高値!W319,高値!V319&gt;高値!X319),17,""))</f>
      </c>
      <c r="AS319" s="684">
        <f>IF(終値!A319="","",IF(AND(高値!W319&gt;高値!V319,高値!W319&gt;高値!U319,高値!W319&gt;高値!X319,高値!W319&gt;高値!Y319),18,""))</f>
      </c>
      <c r="AT319" s="684">
        <f>IF(終値!A319="","",IF(AND(高値!X319&gt;高値!W319,高値!X319&gt;高値!V319,高値!X319&gt;高値!Y319,高値!X319&gt;高値!Z319),19,""))</f>
      </c>
      <c r="AU319" s="684">
        <f>IF(終値!A319="","",IF(AND(高値!Y319&gt;高値!X319,高値!Y319&gt;高値!W319,高値!Y319&gt;高値!Z319,高値!Y319&gt;高値!AA319),20,""))</f>
      </c>
      <c r="AV319" s="684">
        <f>IF(終値!A319="","",IF(AND(高値!Z319&gt;高値!Y319,高値!Z319&gt;高値!X319,高値!Z319&gt;高値!AA319,高値!Z319&gt;高値!AB319),21,""))</f>
      </c>
      <c r="AW319" s="684">
        <f>IF(終値!A319="","",IF(AND(高値!AA319&gt;高値!Z319,高値!AA319&gt;高値!Y319,高値!AA319&gt;高値!AB319,高値!AA319&gt;高値!AC319),22,""))</f>
      </c>
      <c r="AX319" s="684">
        <f>IF(終値!A319="","",IF(AND(高値!AB319&gt;高値!AA319,高値!AB319&gt;高値!Z319,高値!AB319&gt;高値!AC319,高値!AB319&gt;高値!AD319),23,""))</f>
      </c>
      <c r="AY319" s="684">
        <f>IF(終値!A319="","",IF(AND(高値!AC319&gt;高値!AB319,高値!AC319&gt;高値!AA319,高値!AC319&gt;高値!AD319,高値!AC319&gt;高値!AE319),24,""))</f>
      </c>
      <c r="AZ319" s="684">
        <f>IF(終値!A319="","",IF(AND(高値!AD319&gt;高値!AC319,高値!AD319&gt;高値!AB319,高値!AD319&gt;高値!AE319,高値!AD319&gt;高値!AF319),25,""))</f>
      </c>
      <c r="BA319" s="684">
        <f>IF(終値!A319="","",IF(AND(高値!AE319&gt;高値!AD319,高値!AE319&gt;高値!AC319,高値!AE319&gt;高値!AF319,高値!AE319&gt;高値!AG319),26,""))</f>
      </c>
      <c r="BB319" s="684">
        <f>IF(終値!A319="","",IF(AND(高値!AF319&gt;高値!AE319,高値!AF319&gt;高値!AD319,高値!AF319&gt;高値!AG319,高値!AF319&gt;高値!AH319),27,""))</f>
      </c>
      <c r="BC319" s="684">
        <f>IF(終値!A319="","",IF(AND(高値!AG319&gt;高値!AF319,高値!AG319&gt;高値!AE319,高値!AG319&gt;高値!AH319,高値!AG319&gt;高値!AI319),28,""))</f>
      </c>
      <c r="BD319" s="684">
        <f>COUNT($B319:$AB319)</f>
      </c>
      <c r="BE319" s="684">
        <f>IF($BD319&gt;=2,MIN($B319:$AB319),"")</f>
      </c>
      <c r="BF319" s="684">
        <f>IF($BD319&gt;=2,SMALL($B319:$AB319,2),"")</f>
      </c>
      <c r="BG319" s="684">
        <f>IF($BE319="","",INDEX(安値!$E319:$CZ319,1,$BE319+1))</f>
      </c>
      <c r="BH319" s="684">
        <f>IF($BF319="","",INDEX(安値!$E319:$CZ319,1,$BF319+1))</f>
      </c>
      <c r="BI319" s="684">
        <f>IF($BF319="","",MAX(INDEX(高値!$E319:$CZ319,1,$BE319+1):INDEX(高値!$E319:$CZ319,1,$BF319+1)))</f>
      </c>
      <c r="BJ319" s="684">
        <f>IF($BF319="","",AVERAGE(INDEX(終値!$E319:$CZ319,1,$BF319+1):INDEX(終値!$E319:$CZ319,1,$BF319+20))-2*STDEVP(INDEX(終値!$E319:$CZ319,1,$BF319+1):INDEX(終値!$E319:$CZ319,1,$BF319+20)))</f>
      </c>
      <c r="BK319" s="684">
        <f>IF($BE319="","",AVERAGE(INDEX(終値!$E319:$CZ319,1,$BE319+1):INDEX(終値!$E319:$CZ319,1,$BE319+20))-2*STDEVP(INDEX(終値!$E319:$CZ319,1,$BE319+1):INDEX(終値!$E319:$CZ319,1,$BE319+20)))</f>
      </c>
      <c r="BL319" s="684">
        <f>COUNT($AC319:$BC319)</f>
      </c>
      <c r="BM319" s="684">
        <f>IF($BL319&gt;=2,MIN($AC319:$BC319),"")</f>
      </c>
      <c r="BN319" s="684">
        <f>IF($BL319&gt;=2,SMALL($AC319:$BC319,2),"")</f>
      </c>
      <c r="BO319" s="684">
        <f>IF($BM319="","",INDEX(高値!$E319:$CZ319,1,$BM319+1))</f>
      </c>
      <c r="BP319" s="684">
        <f>IF($BN319="","",INDEX(高値!$E319:$CZ319,1,$BN319+1))</f>
      </c>
      <c r="BQ319" s="684">
        <f>IF($BN319="","",MIN(INDEX(安値!$E319:$CZ319,1,$BM319+1):INDEX(安値!$E319:$CZ319,1,$BN319+1)))</f>
      </c>
      <c r="BR319" s="684">
        <f>IF($BN319="","",AVERAGE(INDEX(終値!$E319:$CZ319,1,$BN319+1):INDEX(終値!$E319:$CZ319,1,$BN319+20))+2*STDEVP(INDEX(終値!$E319:$CZ319,1,$BN319+1):INDEX(終値!$E319:$CZ319,1,$BN319+20)))</f>
      </c>
      <c r="BS319" s="684">
        <f>IF($BM319="","",AVERAGE(INDEX(終値!$E319:$CZ319,1,$BM319+1):INDEX(終値!$E319:$CZ319,1,$BM319+20))+2*STDEVP(INDEX(終値!$E319:$CZ319,1,$BM319+1):INDEX(終値!$E319:$CZ319,1,$BM319+20)))</f>
      </c>
      <c r="BT319" s="681">
        <f>IFERROR(IF(AND($BD319&gt;=2,ABS($BG319-$BH319)/$BH319&lt;=BB設定!$B$12,$BI319&gt;=MAX($BH319,$BG319)*(1+BB設定!$B$13),終値!E319&gt;$BG319),IF(OR(終値!E319&gt;=$BI319,AND($BH319&lt;$BJ319,$BG319&gt;=$BK319)),"二番底W▲","二番底W形成"),IF(AND($BL319&gt;=2,ABS($BO319-$BP319)/$BP319&lt;=BB設定!$B$12,$BQ319&lt;=MIN($BP319,$BO319)*(1-BB設定!$B$13),終値!E319&lt;$BO319),IF(OR(終値!E319&lt;=$BQ319,AND($BP319&gt;$BR319,$BO319&lt;=$BS319)),"二番天井M▼","二番天井M形成"),"－")),"－")</f>
      </c>
    </row>
    <row r="320">
      <c r="B320" s="684">
        <f>IF(終値!A320="","",IF(AND(安値!G320&lt;安値!F320,安値!G320&lt;安値!E320,安値!G320&lt;安値!H320,安値!G320&lt;安値!I320),2,""))</f>
      </c>
      <c r="C320" s="684">
        <f>IF(終値!A320="","",IF(AND(安値!H320&lt;安値!G320,安値!H320&lt;安値!F320,安値!H320&lt;安値!I320,安値!H320&lt;安値!J320),3,""))</f>
      </c>
      <c r="D320" s="684">
        <f>IF(終値!A320="","",IF(AND(安値!I320&lt;安値!H320,安値!I320&lt;安値!G320,安値!I320&lt;安値!J320,安値!I320&lt;安値!K320),4,""))</f>
      </c>
      <c r="E320" s="684">
        <f>IF(終値!A320="","",IF(AND(安値!J320&lt;安値!I320,安値!J320&lt;安値!H320,安値!J320&lt;安値!K320,安値!J320&lt;安値!L320),5,""))</f>
      </c>
      <c r="F320" s="684">
        <f>IF(終値!A320="","",IF(AND(安値!K320&lt;安値!J320,安値!K320&lt;安値!I320,安値!K320&lt;安値!L320,安値!K320&lt;安値!M320),6,""))</f>
      </c>
      <c r="G320" s="684">
        <f>IF(終値!A320="","",IF(AND(安値!L320&lt;安値!K320,安値!L320&lt;安値!J320,安値!L320&lt;安値!M320,安値!L320&lt;安値!N320),7,""))</f>
      </c>
      <c r="H320" s="684">
        <f>IF(終値!A320="","",IF(AND(安値!M320&lt;安値!L320,安値!M320&lt;安値!K320,安値!M320&lt;安値!N320,安値!M320&lt;安値!O320),8,""))</f>
      </c>
      <c r="I320" s="684">
        <f>IF(終値!A320="","",IF(AND(安値!N320&lt;安値!M320,安値!N320&lt;安値!L320,安値!N320&lt;安値!O320,安値!N320&lt;安値!P320),9,""))</f>
      </c>
      <c r="J320" s="684">
        <f>IF(終値!A320="","",IF(AND(安値!O320&lt;安値!N320,安値!O320&lt;安値!M320,安値!O320&lt;安値!P320,安値!O320&lt;安値!Q320),10,""))</f>
      </c>
      <c r="K320" s="684">
        <f>IF(終値!A320="","",IF(AND(安値!P320&lt;安値!O320,安値!P320&lt;安値!N320,安値!P320&lt;安値!Q320,安値!P320&lt;安値!R320),11,""))</f>
      </c>
      <c r="L320" s="684">
        <f>IF(終値!A320="","",IF(AND(安値!Q320&lt;安値!P320,安値!Q320&lt;安値!O320,安値!Q320&lt;安値!R320,安値!Q320&lt;安値!S320),12,""))</f>
      </c>
      <c r="M320" s="684">
        <f>IF(終値!A320="","",IF(AND(安値!R320&lt;安値!Q320,安値!R320&lt;安値!P320,安値!R320&lt;安値!S320,安値!R320&lt;安値!T320),13,""))</f>
      </c>
      <c r="N320" s="684">
        <f>IF(終値!A320="","",IF(AND(安値!S320&lt;安値!R320,安値!S320&lt;安値!Q320,安値!S320&lt;安値!T320,安値!S320&lt;安値!U320),14,""))</f>
      </c>
      <c r="O320" s="684">
        <f>IF(終値!A320="","",IF(AND(安値!T320&lt;安値!S320,安値!T320&lt;安値!R320,安値!T320&lt;安値!U320,安値!T320&lt;安値!V320),15,""))</f>
      </c>
      <c r="P320" s="684">
        <f>IF(終値!A320="","",IF(AND(安値!U320&lt;安値!T320,安値!U320&lt;安値!S320,安値!U320&lt;安値!V320,安値!U320&lt;安値!W320),16,""))</f>
      </c>
      <c r="Q320" s="684">
        <f>IF(終値!A320="","",IF(AND(安値!V320&lt;安値!U320,安値!V320&lt;安値!T320,安値!V320&lt;安値!W320,安値!V320&lt;安値!X320),17,""))</f>
      </c>
      <c r="R320" s="684">
        <f>IF(終値!A320="","",IF(AND(安値!W320&lt;安値!V320,安値!W320&lt;安値!U320,安値!W320&lt;安値!X320,安値!W320&lt;安値!Y320),18,""))</f>
      </c>
      <c r="S320" s="684">
        <f>IF(終値!A320="","",IF(AND(安値!X320&lt;安値!W320,安値!X320&lt;安値!V320,安値!X320&lt;安値!Y320,安値!X320&lt;安値!Z320),19,""))</f>
      </c>
      <c r="T320" s="684">
        <f>IF(終値!A320="","",IF(AND(安値!Y320&lt;安値!X320,安値!Y320&lt;安値!W320,安値!Y320&lt;安値!Z320,安値!Y320&lt;安値!AA320),20,""))</f>
      </c>
      <c r="U320" s="684">
        <f>IF(終値!A320="","",IF(AND(安値!Z320&lt;安値!Y320,安値!Z320&lt;安値!X320,安値!Z320&lt;安値!AA320,安値!Z320&lt;安値!AB320),21,""))</f>
      </c>
      <c r="V320" s="684">
        <f>IF(終値!A320="","",IF(AND(安値!AA320&lt;安値!Z320,安値!AA320&lt;安値!Y320,安値!AA320&lt;安値!AB320,安値!AA320&lt;安値!AC320),22,""))</f>
      </c>
      <c r="W320" s="684">
        <f>IF(終値!A320="","",IF(AND(安値!AB320&lt;安値!AA320,安値!AB320&lt;安値!Z320,安値!AB320&lt;安値!AC320,安値!AB320&lt;安値!AD320),23,""))</f>
      </c>
      <c r="X320" s="684">
        <f>IF(終値!A320="","",IF(AND(安値!AC320&lt;安値!AB320,安値!AC320&lt;安値!AA320,安値!AC320&lt;安値!AD320,安値!AC320&lt;安値!AE320),24,""))</f>
      </c>
      <c r="Y320" s="684">
        <f>IF(終値!A320="","",IF(AND(安値!AD320&lt;安値!AC320,安値!AD320&lt;安値!AB320,安値!AD320&lt;安値!AE320,安値!AD320&lt;安値!AF320),25,""))</f>
      </c>
      <c r="Z320" s="684">
        <f>IF(終値!A320="","",IF(AND(安値!AE320&lt;安値!AD320,安値!AE320&lt;安値!AC320,安値!AE320&lt;安値!AF320,安値!AE320&lt;安値!AG320),26,""))</f>
      </c>
      <c r="AA320" s="684">
        <f>IF(終値!A320="","",IF(AND(安値!AF320&lt;安値!AE320,安値!AF320&lt;安値!AD320,安値!AF320&lt;安値!AG320,安値!AF320&lt;安値!AH320),27,""))</f>
      </c>
      <c r="AB320" s="684">
        <f>IF(終値!A320="","",IF(AND(安値!AG320&lt;安値!AF320,安値!AG320&lt;安値!AE320,安値!AG320&lt;安値!AH320,安値!AG320&lt;安値!AI320),28,""))</f>
      </c>
      <c r="AC320" s="684">
        <f>IF(終値!A320="","",IF(AND(高値!G320&gt;高値!F320,高値!G320&gt;高値!E320,高値!G320&gt;高値!H320,高値!G320&gt;高値!I320),2,""))</f>
      </c>
      <c r="AD320" s="684">
        <f>IF(終値!A320="","",IF(AND(高値!H320&gt;高値!G320,高値!H320&gt;高値!F320,高値!H320&gt;高値!I320,高値!H320&gt;高値!J320),3,""))</f>
      </c>
      <c r="AE320" s="684">
        <f>IF(終値!A320="","",IF(AND(高値!I320&gt;高値!H320,高値!I320&gt;高値!G320,高値!I320&gt;高値!J320,高値!I320&gt;高値!K320),4,""))</f>
      </c>
      <c r="AF320" s="684">
        <f>IF(終値!A320="","",IF(AND(高値!J320&gt;高値!I320,高値!J320&gt;高値!H320,高値!J320&gt;高値!K320,高値!J320&gt;高値!L320),5,""))</f>
      </c>
      <c r="AG320" s="684">
        <f>IF(終値!A320="","",IF(AND(高値!K320&gt;高値!J320,高値!K320&gt;高値!I320,高値!K320&gt;高値!L320,高値!K320&gt;高値!M320),6,""))</f>
      </c>
      <c r="AH320" s="684">
        <f>IF(終値!A320="","",IF(AND(高値!L320&gt;高値!K320,高値!L320&gt;高値!J320,高値!L320&gt;高値!M320,高値!L320&gt;高値!N320),7,""))</f>
      </c>
      <c r="AI320" s="684">
        <f>IF(終値!A320="","",IF(AND(高値!M320&gt;高値!L320,高値!M320&gt;高値!K320,高値!M320&gt;高値!N320,高値!M320&gt;高値!O320),8,""))</f>
      </c>
      <c r="AJ320" s="684">
        <f>IF(終値!A320="","",IF(AND(高値!N320&gt;高値!M320,高値!N320&gt;高値!L320,高値!N320&gt;高値!O320,高値!N320&gt;高値!P320),9,""))</f>
      </c>
      <c r="AK320" s="684">
        <f>IF(終値!A320="","",IF(AND(高値!O320&gt;高値!N320,高値!O320&gt;高値!M320,高値!O320&gt;高値!P320,高値!O320&gt;高値!Q320),10,""))</f>
      </c>
      <c r="AL320" s="684">
        <f>IF(終値!A320="","",IF(AND(高値!P320&gt;高値!O320,高値!P320&gt;高値!N320,高値!P320&gt;高値!Q320,高値!P320&gt;高値!R320),11,""))</f>
      </c>
      <c r="AM320" s="684">
        <f>IF(終値!A320="","",IF(AND(高値!Q320&gt;高値!P320,高値!Q320&gt;高値!O320,高値!Q320&gt;高値!R320,高値!Q320&gt;高値!S320),12,""))</f>
      </c>
      <c r="AN320" s="684">
        <f>IF(終値!A320="","",IF(AND(高値!R320&gt;高値!Q320,高値!R320&gt;高値!P320,高値!R320&gt;高値!S320,高値!R320&gt;高値!T320),13,""))</f>
      </c>
      <c r="AO320" s="684">
        <f>IF(終値!A320="","",IF(AND(高値!S320&gt;高値!R320,高値!S320&gt;高値!Q320,高値!S320&gt;高値!T320,高値!S320&gt;高値!U320),14,""))</f>
      </c>
      <c r="AP320" s="684">
        <f>IF(終値!A320="","",IF(AND(高値!T320&gt;高値!S320,高値!T320&gt;高値!R320,高値!T320&gt;高値!U320,高値!T320&gt;高値!V320),15,""))</f>
      </c>
      <c r="AQ320" s="684">
        <f>IF(終値!A320="","",IF(AND(高値!U320&gt;高値!T320,高値!U320&gt;高値!S320,高値!U320&gt;高値!V320,高値!U320&gt;高値!W320),16,""))</f>
      </c>
      <c r="AR320" s="684">
        <f>IF(終値!A320="","",IF(AND(高値!V320&gt;高値!U320,高値!V320&gt;高値!T320,高値!V320&gt;高値!W320,高値!V320&gt;高値!X320),17,""))</f>
      </c>
      <c r="AS320" s="684">
        <f>IF(終値!A320="","",IF(AND(高値!W320&gt;高値!V320,高値!W320&gt;高値!U320,高値!W320&gt;高値!X320,高値!W320&gt;高値!Y320),18,""))</f>
      </c>
      <c r="AT320" s="684">
        <f>IF(終値!A320="","",IF(AND(高値!X320&gt;高値!W320,高値!X320&gt;高値!V320,高値!X320&gt;高値!Y320,高値!X320&gt;高値!Z320),19,""))</f>
      </c>
      <c r="AU320" s="684">
        <f>IF(終値!A320="","",IF(AND(高値!Y320&gt;高値!X320,高値!Y320&gt;高値!W320,高値!Y320&gt;高値!Z320,高値!Y320&gt;高値!AA320),20,""))</f>
      </c>
      <c r="AV320" s="684">
        <f>IF(終値!A320="","",IF(AND(高値!Z320&gt;高値!Y320,高値!Z320&gt;高値!X320,高値!Z320&gt;高値!AA320,高値!Z320&gt;高値!AB320),21,""))</f>
      </c>
      <c r="AW320" s="684">
        <f>IF(終値!A320="","",IF(AND(高値!AA320&gt;高値!Z320,高値!AA320&gt;高値!Y320,高値!AA320&gt;高値!AB320,高値!AA320&gt;高値!AC320),22,""))</f>
      </c>
      <c r="AX320" s="684">
        <f>IF(終値!A320="","",IF(AND(高値!AB320&gt;高値!AA320,高値!AB320&gt;高値!Z320,高値!AB320&gt;高値!AC320,高値!AB320&gt;高値!AD320),23,""))</f>
      </c>
      <c r="AY320" s="684">
        <f>IF(終値!A320="","",IF(AND(高値!AC320&gt;高値!AB320,高値!AC320&gt;高値!AA320,高値!AC320&gt;高値!AD320,高値!AC320&gt;高値!AE320),24,""))</f>
      </c>
      <c r="AZ320" s="684">
        <f>IF(終値!A320="","",IF(AND(高値!AD320&gt;高値!AC320,高値!AD320&gt;高値!AB320,高値!AD320&gt;高値!AE320,高値!AD320&gt;高値!AF320),25,""))</f>
      </c>
      <c r="BA320" s="684">
        <f>IF(終値!A320="","",IF(AND(高値!AE320&gt;高値!AD320,高値!AE320&gt;高値!AC320,高値!AE320&gt;高値!AF320,高値!AE320&gt;高値!AG320),26,""))</f>
      </c>
      <c r="BB320" s="684">
        <f>IF(終値!A320="","",IF(AND(高値!AF320&gt;高値!AE320,高値!AF320&gt;高値!AD320,高値!AF320&gt;高値!AG320,高値!AF320&gt;高値!AH320),27,""))</f>
      </c>
      <c r="BC320" s="684">
        <f>IF(終値!A320="","",IF(AND(高値!AG320&gt;高値!AF320,高値!AG320&gt;高値!AE320,高値!AG320&gt;高値!AH320,高値!AG320&gt;高値!AI320),28,""))</f>
      </c>
      <c r="BD320" s="684">
        <f>COUNT($B320:$AB320)</f>
      </c>
      <c r="BE320" s="684">
        <f>IF($BD320&gt;=2,MIN($B320:$AB320),"")</f>
      </c>
      <c r="BF320" s="684">
        <f>IF($BD320&gt;=2,SMALL($B320:$AB320,2),"")</f>
      </c>
      <c r="BG320" s="684">
        <f>IF($BE320="","",INDEX(安値!$E320:$CZ320,1,$BE320+1))</f>
      </c>
      <c r="BH320" s="684">
        <f>IF($BF320="","",INDEX(安値!$E320:$CZ320,1,$BF320+1))</f>
      </c>
      <c r="BI320" s="684">
        <f>IF($BF320="","",MAX(INDEX(高値!$E320:$CZ320,1,$BE320+1):INDEX(高値!$E320:$CZ320,1,$BF320+1)))</f>
      </c>
      <c r="BJ320" s="684">
        <f>IF($BF320="","",AVERAGE(INDEX(終値!$E320:$CZ320,1,$BF320+1):INDEX(終値!$E320:$CZ320,1,$BF320+20))-2*STDEVP(INDEX(終値!$E320:$CZ320,1,$BF320+1):INDEX(終値!$E320:$CZ320,1,$BF320+20)))</f>
      </c>
      <c r="BK320" s="684">
        <f>IF($BE320="","",AVERAGE(INDEX(終値!$E320:$CZ320,1,$BE320+1):INDEX(終値!$E320:$CZ320,1,$BE320+20))-2*STDEVP(INDEX(終値!$E320:$CZ320,1,$BE320+1):INDEX(終値!$E320:$CZ320,1,$BE320+20)))</f>
      </c>
      <c r="BL320" s="684">
        <f>COUNT($AC320:$BC320)</f>
      </c>
      <c r="BM320" s="684">
        <f>IF($BL320&gt;=2,MIN($AC320:$BC320),"")</f>
      </c>
      <c r="BN320" s="684">
        <f>IF($BL320&gt;=2,SMALL($AC320:$BC320,2),"")</f>
      </c>
      <c r="BO320" s="684">
        <f>IF($BM320="","",INDEX(高値!$E320:$CZ320,1,$BM320+1))</f>
      </c>
      <c r="BP320" s="684">
        <f>IF($BN320="","",INDEX(高値!$E320:$CZ320,1,$BN320+1))</f>
      </c>
      <c r="BQ320" s="684">
        <f>IF($BN320="","",MIN(INDEX(安値!$E320:$CZ320,1,$BM320+1):INDEX(安値!$E320:$CZ320,1,$BN320+1)))</f>
      </c>
      <c r="BR320" s="684">
        <f>IF($BN320="","",AVERAGE(INDEX(終値!$E320:$CZ320,1,$BN320+1):INDEX(終値!$E320:$CZ320,1,$BN320+20))+2*STDEVP(INDEX(終値!$E320:$CZ320,1,$BN320+1):INDEX(終値!$E320:$CZ320,1,$BN320+20)))</f>
      </c>
      <c r="BS320" s="684">
        <f>IF($BM320="","",AVERAGE(INDEX(終値!$E320:$CZ320,1,$BM320+1):INDEX(終値!$E320:$CZ320,1,$BM320+20))+2*STDEVP(INDEX(終値!$E320:$CZ320,1,$BM320+1):INDEX(終値!$E320:$CZ320,1,$BM320+20)))</f>
      </c>
      <c r="BT320" s="681">
        <f>IFERROR(IF(AND($BD320&gt;=2,ABS($BG320-$BH320)/$BH320&lt;=BB設定!$B$12,$BI320&gt;=MAX($BH320,$BG320)*(1+BB設定!$B$13),終値!E320&gt;$BG320),IF(OR(終値!E320&gt;=$BI320,AND($BH320&lt;$BJ320,$BG320&gt;=$BK320)),"二番底W▲","二番底W形成"),IF(AND($BL320&gt;=2,ABS($BO320-$BP320)/$BP320&lt;=BB設定!$B$12,$BQ320&lt;=MIN($BP320,$BO320)*(1-BB設定!$B$13),終値!E320&lt;$BO320),IF(OR(終値!E320&lt;=$BQ320,AND($BP320&gt;$BR320,$BO320&lt;=$BS320)),"二番天井M▼","二番天井M形成"),"－")),"－")</f>
      </c>
    </row>
    <row r="321">
      <c r="B321" s="684">
        <f>IF(終値!A321="","",IF(AND(安値!G321&lt;安値!F321,安値!G321&lt;安値!E321,安値!G321&lt;安値!H321,安値!G321&lt;安値!I321),2,""))</f>
      </c>
      <c r="C321" s="684">
        <f>IF(終値!A321="","",IF(AND(安値!H321&lt;安値!G321,安値!H321&lt;安値!F321,安値!H321&lt;安値!I321,安値!H321&lt;安値!J321),3,""))</f>
      </c>
      <c r="D321" s="684">
        <f>IF(終値!A321="","",IF(AND(安値!I321&lt;安値!H321,安値!I321&lt;安値!G321,安値!I321&lt;安値!J321,安値!I321&lt;安値!K321),4,""))</f>
      </c>
      <c r="E321" s="684">
        <f>IF(終値!A321="","",IF(AND(安値!J321&lt;安値!I321,安値!J321&lt;安値!H321,安値!J321&lt;安値!K321,安値!J321&lt;安値!L321),5,""))</f>
      </c>
      <c r="F321" s="684">
        <f>IF(終値!A321="","",IF(AND(安値!K321&lt;安値!J321,安値!K321&lt;安値!I321,安値!K321&lt;安値!L321,安値!K321&lt;安値!M321),6,""))</f>
      </c>
      <c r="G321" s="684">
        <f>IF(終値!A321="","",IF(AND(安値!L321&lt;安値!K321,安値!L321&lt;安値!J321,安値!L321&lt;安値!M321,安値!L321&lt;安値!N321),7,""))</f>
      </c>
      <c r="H321" s="684">
        <f>IF(終値!A321="","",IF(AND(安値!M321&lt;安値!L321,安値!M321&lt;安値!K321,安値!M321&lt;安値!N321,安値!M321&lt;安値!O321),8,""))</f>
      </c>
      <c r="I321" s="684">
        <f>IF(終値!A321="","",IF(AND(安値!N321&lt;安値!M321,安値!N321&lt;安値!L321,安値!N321&lt;安値!O321,安値!N321&lt;安値!P321),9,""))</f>
      </c>
      <c r="J321" s="684">
        <f>IF(終値!A321="","",IF(AND(安値!O321&lt;安値!N321,安値!O321&lt;安値!M321,安値!O321&lt;安値!P321,安値!O321&lt;安値!Q321),10,""))</f>
      </c>
      <c r="K321" s="684">
        <f>IF(終値!A321="","",IF(AND(安値!P321&lt;安値!O321,安値!P321&lt;安値!N321,安値!P321&lt;安値!Q321,安値!P321&lt;安値!R321),11,""))</f>
      </c>
      <c r="L321" s="684">
        <f>IF(終値!A321="","",IF(AND(安値!Q321&lt;安値!P321,安値!Q321&lt;安値!O321,安値!Q321&lt;安値!R321,安値!Q321&lt;安値!S321),12,""))</f>
      </c>
      <c r="M321" s="684">
        <f>IF(終値!A321="","",IF(AND(安値!R321&lt;安値!Q321,安値!R321&lt;安値!P321,安値!R321&lt;安値!S321,安値!R321&lt;安値!T321),13,""))</f>
      </c>
      <c r="N321" s="684">
        <f>IF(終値!A321="","",IF(AND(安値!S321&lt;安値!R321,安値!S321&lt;安値!Q321,安値!S321&lt;安値!T321,安値!S321&lt;安値!U321),14,""))</f>
      </c>
      <c r="O321" s="684">
        <f>IF(終値!A321="","",IF(AND(安値!T321&lt;安値!S321,安値!T321&lt;安値!R321,安値!T321&lt;安値!U321,安値!T321&lt;安値!V321),15,""))</f>
      </c>
      <c r="P321" s="684">
        <f>IF(終値!A321="","",IF(AND(安値!U321&lt;安値!T321,安値!U321&lt;安値!S321,安値!U321&lt;安値!V321,安値!U321&lt;安値!W321),16,""))</f>
      </c>
      <c r="Q321" s="684">
        <f>IF(終値!A321="","",IF(AND(安値!V321&lt;安値!U321,安値!V321&lt;安値!T321,安値!V321&lt;安値!W321,安値!V321&lt;安値!X321),17,""))</f>
      </c>
      <c r="R321" s="684">
        <f>IF(終値!A321="","",IF(AND(安値!W321&lt;安値!V321,安値!W321&lt;安値!U321,安値!W321&lt;安値!X321,安値!W321&lt;安値!Y321),18,""))</f>
      </c>
      <c r="S321" s="684">
        <f>IF(終値!A321="","",IF(AND(安値!X321&lt;安値!W321,安値!X321&lt;安値!V321,安値!X321&lt;安値!Y321,安値!X321&lt;安値!Z321),19,""))</f>
      </c>
      <c r="T321" s="684">
        <f>IF(終値!A321="","",IF(AND(安値!Y321&lt;安値!X321,安値!Y321&lt;安値!W321,安値!Y321&lt;安値!Z321,安値!Y321&lt;安値!AA321),20,""))</f>
      </c>
      <c r="U321" s="684">
        <f>IF(終値!A321="","",IF(AND(安値!Z321&lt;安値!Y321,安値!Z321&lt;安値!X321,安値!Z321&lt;安値!AA321,安値!Z321&lt;安値!AB321),21,""))</f>
      </c>
      <c r="V321" s="684">
        <f>IF(終値!A321="","",IF(AND(安値!AA321&lt;安値!Z321,安値!AA321&lt;安値!Y321,安値!AA321&lt;安値!AB321,安値!AA321&lt;安値!AC321),22,""))</f>
      </c>
      <c r="W321" s="684">
        <f>IF(終値!A321="","",IF(AND(安値!AB321&lt;安値!AA321,安値!AB321&lt;安値!Z321,安値!AB321&lt;安値!AC321,安値!AB321&lt;安値!AD321),23,""))</f>
      </c>
      <c r="X321" s="684">
        <f>IF(終値!A321="","",IF(AND(安値!AC321&lt;安値!AB321,安値!AC321&lt;安値!AA321,安値!AC321&lt;安値!AD321,安値!AC321&lt;安値!AE321),24,""))</f>
      </c>
      <c r="Y321" s="684">
        <f>IF(終値!A321="","",IF(AND(安値!AD321&lt;安値!AC321,安値!AD321&lt;安値!AB321,安値!AD321&lt;安値!AE321,安値!AD321&lt;安値!AF321),25,""))</f>
      </c>
      <c r="Z321" s="684">
        <f>IF(終値!A321="","",IF(AND(安値!AE321&lt;安値!AD321,安値!AE321&lt;安値!AC321,安値!AE321&lt;安値!AF321,安値!AE321&lt;安値!AG321),26,""))</f>
      </c>
      <c r="AA321" s="684">
        <f>IF(終値!A321="","",IF(AND(安値!AF321&lt;安値!AE321,安値!AF321&lt;安値!AD321,安値!AF321&lt;安値!AG321,安値!AF321&lt;安値!AH321),27,""))</f>
      </c>
      <c r="AB321" s="684">
        <f>IF(終値!A321="","",IF(AND(安値!AG321&lt;安値!AF321,安値!AG321&lt;安値!AE321,安値!AG321&lt;安値!AH321,安値!AG321&lt;安値!AI321),28,""))</f>
      </c>
      <c r="AC321" s="684">
        <f>IF(終値!A321="","",IF(AND(高値!G321&gt;高値!F321,高値!G321&gt;高値!E321,高値!G321&gt;高値!H321,高値!G321&gt;高値!I321),2,""))</f>
      </c>
      <c r="AD321" s="684">
        <f>IF(終値!A321="","",IF(AND(高値!H321&gt;高値!G321,高値!H321&gt;高値!F321,高値!H321&gt;高値!I321,高値!H321&gt;高値!J321),3,""))</f>
      </c>
      <c r="AE321" s="684">
        <f>IF(終値!A321="","",IF(AND(高値!I321&gt;高値!H321,高値!I321&gt;高値!G321,高値!I321&gt;高値!J321,高値!I321&gt;高値!K321),4,""))</f>
      </c>
      <c r="AF321" s="684">
        <f>IF(終値!A321="","",IF(AND(高値!J321&gt;高値!I321,高値!J321&gt;高値!H321,高値!J321&gt;高値!K321,高値!J321&gt;高値!L321),5,""))</f>
      </c>
      <c r="AG321" s="684">
        <f>IF(終値!A321="","",IF(AND(高値!K321&gt;高値!J321,高値!K321&gt;高値!I321,高値!K321&gt;高値!L321,高値!K321&gt;高値!M321),6,""))</f>
      </c>
      <c r="AH321" s="684">
        <f>IF(終値!A321="","",IF(AND(高値!L321&gt;高値!K321,高値!L321&gt;高値!J321,高値!L321&gt;高値!M321,高値!L321&gt;高値!N321),7,""))</f>
      </c>
      <c r="AI321" s="684">
        <f>IF(終値!A321="","",IF(AND(高値!M321&gt;高値!L321,高値!M321&gt;高値!K321,高値!M321&gt;高値!N321,高値!M321&gt;高値!O321),8,""))</f>
      </c>
      <c r="AJ321" s="684">
        <f>IF(終値!A321="","",IF(AND(高値!N321&gt;高値!M321,高値!N321&gt;高値!L321,高値!N321&gt;高値!O321,高値!N321&gt;高値!P321),9,""))</f>
      </c>
      <c r="AK321" s="684">
        <f>IF(終値!A321="","",IF(AND(高値!O321&gt;高値!N321,高値!O321&gt;高値!M321,高値!O321&gt;高値!P321,高値!O321&gt;高値!Q321),10,""))</f>
      </c>
      <c r="AL321" s="684">
        <f>IF(終値!A321="","",IF(AND(高値!P321&gt;高値!O321,高値!P321&gt;高値!N321,高値!P321&gt;高値!Q321,高値!P321&gt;高値!R321),11,""))</f>
      </c>
      <c r="AM321" s="684">
        <f>IF(終値!A321="","",IF(AND(高値!Q321&gt;高値!P321,高値!Q321&gt;高値!O321,高値!Q321&gt;高値!R321,高値!Q321&gt;高値!S321),12,""))</f>
      </c>
      <c r="AN321" s="684">
        <f>IF(終値!A321="","",IF(AND(高値!R321&gt;高値!Q321,高値!R321&gt;高値!P321,高値!R321&gt;高値!S321,高値!R321&gt;高値!T321),13,""))</f>
      </c>
      <c r="AO321" s="684">
        <f>IF(終値!A321="","",IF(AND(高値!S321&gt;高値!R321,高値!S321&gt;高値!Q321,高値!S321&gt;高値!T321,高値!S321&gt;高値!U321),14,""))</f>
      </c>
      <c r="AP321" s="684">
        <f>IF(終値!A321="","",IF(AND(高値!T321&gt;高値!S321,高値!T321&gt;高値!R321,高値!T321&gt;高値!U321,高値!T321&gt;高値!V321),15,""))</f>
      </c>
      <c r="AQ321" s="684">
        <f>IF(終値!A321="","",IF(AND(高値!U321&gt;高値!T321,高値!U321&gt;高値!S321,高値!U321&gt;高値!V321,高値!U321&gt;高値!W321),16,""))</f>
      </c>
      <c r="AR321" s="684">
        <f>IF(終値!A321="","",IF(AND(高値!V321&gt;高値!U321,高値!V321&gt;高値!T321,高値!V321&gt;高値!W321,高値!V321&gt;高値!X321),17,""))</f>
      </c>
      <c r="AS321" s="684">
        <f>IF(終値!A321="","",IF(AND(高値!W321&gt;高値!V321,高値!W321&gt;高値!U321,高値!W321&gt;高値!X321,高値!W321&gt;高値!Y321),18,""))</f>
      </c>
      <c r="AT321" s="684">
        <f>IF(終値!A321="","",IF(AND(高値!X321&gt;高値!W321,高値!X321&gt;高値!V321,高値!X321&gt;高値!Y321,高値!X321&gt;高値!Z321),19,""))</f>
      </c>
      <c r="AU321" s="684">
        <f>IF(終値!A321="","",IF(AND(高値!Y321&gt;高値!X321,高値!Y321&gt;高値!W321,高値!Y321&gt;高値!Z321,高値!Y321&gt;高値!AA321),20,""))</f>
      </c>
      <c r="AV321" s="684">
        <f>IF(終値!A321="","",IF(AND(高値!Z321&gt;高値!Y321,高値!Z321&gt;高値!X321,高値!Z321&gt;高値!AA321,高値!Z321&gt;高値!AB321),21,""))</f>
      </c>
      <c r="AW321" s="684">
        <f>IF(終値!A321="","",IF(AND(高値!AA321&gt;高値!Z321,高値!AA321&gt;高値!Y321,高値!AA321&gt;高値!AB321,高値!AA321&gt;高値!AC321),22,""))</f>
      </c>
      <c r="AX321" s="684">
        <f>IF(終値!A321="","",IF(AND(高値!AB321&gt;高値!AA321,高値!AB321&gt;高値!Z321,高値!AB321&gt;高値!AC321,高値!AB321&gt;高値!AD321),23,""))</f>
      </c>
      <c r="AY321" s="684">
        <f>IF(終値!A321="","",IF(AND(高値!AC321&gt;高値!AB321,高値!AC321&gt;高値!AA321,高値!AC321&gt;高値!AD321,高値!AC321&gt;高値!AE321),24,""))</f>
      </c>
      <c r="AZ321" s="684">
        <f>IF(終値!A321="","",IF(AND(高値!AD321&gt;高値!AC321,高値!AD321&gt;高値!AB321,高値!AD321&gt;高値!AE321,高値!AD321&gt;高値!AF321),25,""))</f>
      </c>
      <c r="BA321" s="684">
        <f>IF(終値!A321="","",IF(AND(高値!AE321&gt;高値!AD321,高値!AE321&gt;高値!AC321,高値!AE321&gt;高値!AF321,高値!AE321&gt;高値!AG321),26,""))</f>
      </c>
      <c r="BB321" s="684">
        <f>IF(終値!A321="","",IF(AND(高値!AF321&gt;高値!AE321,高値!AF321&gt;高値!AD321,高値!AF321&gt;高値!AG321,高値!AF321&gt;高値!AH321),27,""))</f>
      </c>
      <c r="BC321" s="684">
        <f>IF(終値!A321="","",IF(AND(高値!AG321&gt;高値!AF321,高値!AG321&gt;高値!AE321,高値!AG321&gt;高値!AH321,高値!AG321&gt;高値!AI321),28,""))</f>
      </c>
      <c r="BD321" s="684">
        <f>COUNT($B321:$AB321)</f>
      </c>
      <c r="BE321" s="684">
        <f>IF($BD321&gt;=2,MIN($B321:$AB321),"")</f>
      </c>
      <c r="BF321" s="684">
        <f>IF($BD321&gt;=2,SMALL($B321:$AB321,2),"")</f>
      </c>
      <c r="BG321" s="684">
        <f>IF($BE321="","",INDEX(安値!$E321:$CZ321,1,$BE321+1))</f>
      </c>
      <c r="BH321" s="684">
        <f>IF($BF321="","",INDEX(安値!$E321:$CZ321,1,$BF321+1))</f>
      </c>
      <c r="BI321" s="684">
        <f>IF($BF321="","",MAX(INDEX(高値!$E321:$CZ321,1,$BE321+1):INDEX(高値!$E321:$CZ321,1,$BF321+1)))</f>
      </c>
      <c r="BJ321" s="684">
        <f>IF($BF321="","",AVERAGE(INDEX(終値!$E321:$CZ321,1,$BF321+1):INDEX(終値!$E321:$CZ321,1,$BF321+20))-2*STDEVP(INDEX(終値!$E321:$CZ321,1,$BF321+1):INDEX(終値!$E321:$CZ321,1,$BF321+20)))</f>
      </c>
      <c r="BK321" s="684">
        <f>IF($BE321="","",AVERAGE(INDEX(終値!$E321:$CZ321,1,$BE321+1):INDEX(終値!$E321:$CZ321,1,$BE321+20))-2*STDEVP(INDEX(終値!$E321:$CZ321,1,$BE321+1):INDEX(終値!$E321:$CZ321,1,$BE321+20)))</f>
      </c>
      <c r="BL321" s="684">
        <f>COUNT($AC321:$BC321)</f>
      </c>
      <c r="BM321" s="684">
        <f>IF($BL321&gt;=2,MIN($AC321:$BC321),"")</f>
      </c>
      <c r="BN321" s="684">
        <f>IF($BL321&gt;=2,SMALL($AC321:$BC321,2),"")</f>
      </c>
      <c r="BO321" s="684">
        <f>IF($BM321="","",INDEX(高値!$E321:$CZ321,1,$BM321+1))</f>
      </c>
      <c r="BP321" s="684">
        <f>IF($BN321="","",INDEX(高値!$E321:$CZ321,1,$BN321+1))</f>
      </c>
      <c r="BQ321" s="684">
        <f>IF($BN321="","",MIN(INDEX(安値!$E321:$CZ321,1,$BM321+1):INDEX(安値!$E321:$CZ321,1,$BN321+1)))</f>
      </c>
      <c r="BR321" s="684">
        <f>IF($BN321="","",AVERAGE(INDEX(終値!$E321:$CZ321,1,$BN321+1):INDEX(終値!$E321:$CZ321,1,$BN321+20))+2*STDEVP(INDEX(終値!$E321:$CZ321,1,$BN321+1):INDEX(終値!$E321:$CZ321,1,$BN321+20)))</f>
      </c>
      <c r="BS321" s="684">
        <f>IF($BM321="","",AVERAGE(INDEX(終値!$E321:$CZ321,1,$BM321+1):INDEX(終値!$E321:$CZ321,1,$BM321+20))+2*STDEVP(INDEX(終値!$E321:$CZ321,1,$BM321+1):INDEX(終値!$E321:$CZ321,1,$BM321+20)))</f>
      </c>
      <c r="BT321" s="681">
        <f>IFERROR(IF(AND($BD321&gt;=2,ABS($BG321-$BH321)/$BH321&lt;=BB設定!$B$12,$BI321&gt;=MAX($BH321,$BG321)*(1+BB設定!$B$13),終値!E321&gt;$BG321),IF(OR(終値!E321&gt;=$BI321,AND($BH321&lt;$BJ321,$BG321&gt;=$BK321)),"二番底W▲","二番底W形成"),IF(AND($BL321&gt;=2,ABS($BO321-$BP321)/$BP321&lt;=BB設定!$B$12,$BQ321&lt;=MIN($BP321,$BO321)*(1-BB設定!$B$13),終値!E321&lt;$BO321),IF(OR(終値!E321&lt;=$BQ321,AND($BP321&gt;$BR321,$BO321&lt;=$BS321)),"二番天井M▼","二番天井M形成"),"－")),"－")</f>
      </c>
    </row>
    <row r="322">
      <c r="B322" s="684">
        <f>IF(終値!A322="","",IF(AND(安値!G322&lt;安値!F322,安値!G322&lt;安値!E322,安値!G322&lt;安値!H322,安値!G322&lt;安値!I322),2,""))</f>
      </c>
      <c r="C322" s="684">
        <f>IF(終値!A322="","",IF(AND(安値!H322&lt;安値!G322,安値!H322&lt;安値!F322,安値!H322&lt;安値!I322,安値!H322&lt;安値!J322),3,""))</f>
      </c>
      <c r="D322" s="684">
        <f>IF(終値!A322="","",IF(AND(安値!I322&lt;安値!H322,安値!I322&lt;安値!G322,安値!I322&lt;安値!J322,安値!I322&lt;安値!K322),4,""))</f>
      </c>
      <c r="E322" s="684">
        <f>IF(終値!A322="","",IF(AND(安値!J322&lt;安値!I322,安値!J322&lt;安値!H322,安値!J322&lt;安値!K322,安値!J322&lt;安値!L322),5,""))</f>
      </c>
      <c r="F322" s="684">
        <f>IF(終値!A322="","",IF(AND(安値!K322&lt;安値!J322,安値!K322&lt;安値!I322,安値!K322&lt;安値!L322,安値!K322&lt;安値!M322),6,""))</f>
      </c>
      <c r="G322" s="684">
        <f>IF(終値!A322="","",IF(AND(安値!L322&lt;安値!K322,安値!L322&lt;安値!J322,安値!L322&lt;安値!M322,安値!L322&lt;安値!N322),7,""))</f>
      </c>
      <c r="H322" s="684">
        <f>IF(終値!A322="","",IF(AND(安値!M322&lt;安値!L322,安値!M322&lt;安値!K322,安値!M322&lt;安値!N322,安値!M322&lt;安値!O322),8,""))</f>
      </c>
      <c r="I322" s="684">
        <f>IF(終値!A322="","",IF(AND(安値!N322&lt;安値!M322,安値!N322&lt;安値!L322,安値!N322&lt;安値!O322,安値!N322&lt;安値!P322),9,""))</f>
      </c>
      <c r="J322" s="684">
        <f>IF(終値!A322="","",IF(AND(安値!O322&lt;安値!N322,安値!O322&lt;安値!M322,安値!O322&lt;安値!P322,安値!O322&lt;安値!Q322),10,""))</f>
      </c>
      <c r="K322" s="684">
        <f>IF(終値!A322="","",IF(AND(安値!P322&lt;安値!O322,安値!P322&lt;安値!N322,安値!P322&lt;安値!Q322,安値!P322&lt;安値!R322),11,""))</f>
      </c>
      <c r="L322" s="684">
        <f>IF(終値!A322="","",IF(AND(安値!Q322&lt;安値!P322,安値!Q322&lt;安値!O322,安値!Q322&lt;安値!R322,安値!Q322&lt;安値!S322),12,""))</f>
      </c>
      <c r="M322" s="684">
        <f>IF(終値!A322="","",IF(AND(安値!R322&lt;安値!Q322,安値!R322&lt;安値!P322,安値!R322&lt;安値!S322,安値!R322&lt;安値!T322),13,""))</f>
      </c>
      <c r="N322" s="684">
        <f>IF(終値!A322="","",IF(AND(安値!S322&lt;安値!R322,安値!S322&lt;安値!Q322,安値!S322&lt;安値!T322,安値!S322&lt;安値!U322),14,""))</f>
      </c>
      <c r="O322" s="684">
        <f>IF(終値!A322="","",IF(AND(安値!T322&lt;安値!S322,安値!T322&lt;安値!R322,安値!T322&lt;安値!U322,安値!T322&lt;安値!V322),15,""))</f>
      </c>
      <c r="P322" s="684">
        <f>IF(終値!A322="","",IF(AND(安値!U322&lt;安値!T322,安値!U322&lt;安値!S322,安値!U322&lt;安値!V322,安値!U322&lt;安値!W322),16,""))</f>
      </c>
      <c r="Q322" s="684">
        <f>IF(終値!A322="","",IF(AND(安値!V322&lt;安値!U322,安値!V322&lt;安値!T322,安値!V322&lt;安値!W322,安値!V322&lt;安値!X322),17,""))</f>
      </c>
      <c r="R322" s="684">
        <f>IF(終値!A322="","",IF(AND(安値!W322&lt;安値!V322,安値!W322&lt;安値!U322,安値!W322&lt;安値!X322,安値!W322&lt;安値!Y322),18,""))</f>
      </c>
      <c r="S322" s="684">
        <f>IF(終値!A322="","",IF(AND(安値!X322&lt;安値!W322,安値!X322&lt;安値!V322,安値!X322&lt;安値!Y322,安値!X322&lt;安値!Z322),19,""))</f>
      </c>
      <c r="T322" s="684">
        <f>IF(終値!A322="","",IF(AND(安値!Y322&lt;安値!X322,安値!Y322&lt;安値!W322,安値!Y322&lt;安値!Z322,安値!Y322&lt;安値!AA322),20,""))</f>
      </c>
      <c r="U322" s="684">
        <f>IF(終値!A322="","",IF(AND(安値!Z322&lt;安値!Y322,安値!Z322&lt;安値!X322,安値!Z322&lt;安値!AA322,安値!Z322&lt;安値!AB322),21,""))</f>
      </c>
      <c r="V322" s="684">
        <f>IF(終値!A322="","",IF(AND(安値!AA322&lt;安値!Z322,安値!AA322&lt;安値!Y322,安値!AA322&lt;安値!AB322,安値!AA322&lt;安値!AC322),22,""))</f>
      </c>
      <c r="W322" s="684">
        <f>IF(終値!A322="","",IF(AND(安値!AB322&lt;安値!AA322,安値!AB322&lt;安値!Z322,安値!AB322&lt;安値!AC322,安値!AB322&lt;安値!AD322),23,""))</f>
      </c>
      <c r="X322" s="684">
        <f>IF(終値!A322="","",IF(AND(安値!AC322&lt;安値!AB322,安値!AC322&lt;安値!AA322,安値!AC322&lt;安値!AD322,安値!AC322&lt;安値!AE322),24,""))</f>
      </c>
      <c r="Y322" s="684">
        <f>IF(終値!A322="","",IF(AND(安値!AD322&lt;安値!AC322,安値!AD322&lt;安値!AB322,安値!AD322&lt;安値!AE322,安値!AD322&lt;安値!AF322),25,""))</f>
      </c>
      <c r="Z322" s="684">
        <f>IF(終値!A322="","",IF(AND(安値!AE322&lt;安値!AD322,安値!AE322&lt;安値!AC322,安値!AE322&lt;安値!AF322,安値!AE322&lt;安値!AG322),26,""))</f>
      </c>
      <c r="AA322" s="684">
        <f>IF(終値!A322="","",IF(AND(安値!AF322&lt;安値!AE322,安値!AF322&lt;安値!AD322,安値!AF322&lt;安値!AG322,安値!AF322&lt;安値!AH322),27,""))</f>
      </c>
      <c r="AB322" s="684">
        <f>IF(終値!A322="","",IF(AND(安値!AG322&lt;安値!AF322,安値!AG322&lt;安値!AE322,安値!AG322&lt;安値!AH322,安値!AG322&lt;安値!AI322),28,""))</f>
      </c>
      <c r="AC322" s="684">
        <f>IF(終値!A322="","",IF(AND(高値!G322&gt;高値!F322,高値!G322&gt;高値!E322,高値!G322&gt;高値!H322,高値!G322&gt;高値!I322),2,""))</f>
      </c>
      <c r="AD322" s="684">
        <f>IF(終値!A322="","",IF(AND(高値!H322&gt;高値!G322,高値!H322&gt;高値!F322,高値!H322&gt;高値!I322,高値!H322&gt;高値!J322),3,""))</f>
      </c>
      <c r="AE322" s="684">
        <f>IF(終値!A322="","",IF(AND(高値!I322&gt;高値!H322,高値!I322&gt;高値!G322,高値!I322&gt;高値!J322,高値!I322&gt;高値!K322),4,""))</f>
      </c>
      <c r="AF322" s="684">
        <f>IF(終値!A322="","",IF(AND(高値!J322&gt;高値!I322,高値!J322&gt;高値!H322,高値!J322&gt;高値!K322,高値!J322&gt;高値!L322),5,""))</f>
      </c>
      <c r="AG322" s="684">
        <f>IF(終値!A322="","",IF(AND(高値!K322&gt;高値!J322,高値!K322&gt;高値!I322,高値!K322&gt;高値!L322,高値!K322&gt;高値!M322),6,""))</f>
      </c>
      <c r="AH322" s="684">
        <f>IF(終値!A322="","",IF(AND(高値!L322&gt;高値!K322,高値!L322&gt;高値!J322,高値!L322&gt;高値!M322,高値!L322&gt;高値!N322),7,""))</f>
      </c>
      <c r="AI322" s="684">
        <f>IF(終値!A322="","",IF(AND(高値!M322&gt;高値!L322,高値!M322&gt;高値!K322,高値!M322&gt;高値!N322,高値!M322&gt;高値!O322),8,""))</f>
      </c>
      <c r="AJ322" s="684">
        <f>IF(終値!A322="","",IF(AND(高値!N322&gt;高値!M322,高値!N322&gt;高値!L322,高値!N322&gt;高値!O322,高値!N322&gt;高値!P322),9,""))</f>
      </c>
      <c r="AK322" s="684">
        <f>IF(終値!A322="","",IF(AND(高値!O322&gt;高値!N322,高値!O322&gt;高値!M322,高値!O322&gt;高値!P322,高値!O322&gt;高値!Q322),10,""))</f>
      </c>
      <c r="AL322" s="684">
        <f>IF(終値!A322="","",IF(AND(高値!P322&gt;高値!O322,高値!P322&gt;高値!N322,高値!P322&gt;高値!Q322,高値!P322&gt;高値!R322),11,""))</f>
      </c>
      <c r="AM322" s="684">
        <f>IF(終値!A322="","",IF(AND(高値!Q322&gt;高値!P322,高値!Q322&gt;高値!O322,高値!Q322&gt;高値!R322,高値!Q322&gt;高値!S322),12,""))</f>
      </c>
      <c r="AN322" s="684">
        <f>IF(終値!A322="","",IF(AND(高値!R322&gt;高値!Q322,高値!R322&gt;高値!P322,高値!R322&gt;高値!S322,高値!R322&gt;高値!T322),13,""))</f>
      </c>
      <c r="AO322" s="684">
        <f>IF(終値!A322="","",IF(AND(高値!S322&gt;高値!R322,高値!S322&gt;高値!Q322,高値!S322&gt;高値!T322,高値!S322&gt;高値!U322),14,""))</f>
      </c>
      <c r="AP322" s="684">
        <f>IF(終値!A322="","",IF(AND(高値!T322&gt;高値!S322,高値!T322&gt;高値!R322,高値!T322&gt;高値!U322,高値!T322&gt;高値!V322),15,""))</f>
      </c>
      <c r="AQ322" s="684">
        <f>IF(終値!A322="","",IF(AND(高値!U322&gt;高値!T322,高値!U322&gt;高値!S322,高値!U322&gt;高値!V322,高値!U322&gt;高値!W322),16,""))</f>
      </c>
      <c r="AR322" s="684">
        <f>IF(終値!A322="","",IF(AND(高値!V322&gt;高値!U322,高値!V322&gt;高値!T322,高値!V322&gt;高値!W322,高値!V322&gt;高値!X322),17,""))</f>
      </c>
      <c r="AS322" s="684">
        <f>IF(終値!A322="","",IF(AND(高値!W322&gt;高値!V322,高値!W322&gt;高値!U322,高値!W322&gt;高値!X322,高値!W322&gt;高値!Y322),18,""))</f>
      </c>
      <c r="AT322" s="684">
        <f>IF(終値!A322="","",IF(AND(高値!X322&gt;高値!W322,高値!X322&gt;高値!V322,高値!X322&gt;高値!Y322,高値!X322&gt;高値!Z322),19,""))</f>
      </c>
      <c r="AU322" s="684">
        <f>IF(終値!A322="","",IF(AND(高値!Y322&gt;高値!X322,高値!Y322&gt;高値!W322,高値!Y322&gt;高値!Z322,高値!Y322&gt;高値!AA322),20,""))</f>
      </c>
      <c r="AV322" s="684">
        <f>IF(終値!A322="","",IF(AND(高値!Z322&gt;高値!Y322,高値!Z322&gt;高値!X322,高値!Z322&gt;高値!AA322,高値!Z322&gt;高値!AB322),21,""))</f>
      </c>
      <c r="AW322" s="684">
        <f>IF(終値!A322="","",IF(AND(高値!AA322&gt;高値!Z322,高値!AA322&gt;高値!Y322,高値!AA322&gt;高値!AB322,高値!AA322&gt;高値!AC322),22,""))</f>
      </c>
      <c r="AX322" s="684">
        <f>IF(終値!A322="","",IF(AND(高値!AB322&gt;高値!AA322,高値!AB322&gt;高値!Z322,高値!AB322&gt;高値!AC322,高値!AB322&gt;高値!AD322),23,""))</f>
      </c>
      <c r="AY322" s="684">
        <f>IF(終値!A322="","",IF(AND(高値!AC322&gt;高値!AB322,高値!AC322&gt;高値!AA322,高値!AC322&gt;高値!AD322,高値!AC322&gt;高値!AE322),24,""))</f>
      </c>
      <c r="AZ322" s="684">
        <f>IF(終値!A322="","",IF(AND(高値!AD322&gt;高値!AC322,高値!AD322&gt;高値!AB322,高値!AD322&gt;高値!AE322,高値!AD322&gt;高値!AF322),25,""))</f>
      </c>
      <c r="BA322" s="684">
        <f>IF(終値!A322="","",IF(AND(高値!AE322&gt;高値!AD322,高値!AE322&gt;高値!AC322,高値!AE322&gt;高値!AF322,高値!AE322&gt;高値!AG322),26,""))</f>
      </c>
      <c r="BB322" s="684">
        <f>IF(終値!A322="","",IF(AND(高値!AF322&gt;高値!AE322,高値!AF322&gt;高値!AD322,高値!AF322&gt;高値!AG322,高値!AF322&gt;高値!AH322),27,""))</f>
      </c>
      <c r="BC322" s="684">
        <f>IF(終値!A322="","",IF(AND(高値!AG322&gt;高値!AF322,高値!AG322&gt;高値!AE322,高値!AG322&gt;高値!AH322,高値!AG322&gt;高値!AI322),28,""))</f>
      </c>
      <c r="BD322" s="684">
        <f>COUNT($B322:$AB322)</f>
      </c>
      <c r="BE322" s="684">
        <f>IF($BD322&gt;=2,MIN($B322:$AB322),"")</f>
      </c>
      <c r="BF322" s="684">
        <f>IF($BD322&gt;=2,SMALL($B322:$AB322,2),"")</f>
      </c>
      <c r="BG322" s="684">
        <f>IF($BE322="","",INDEX(安値!$E322:$CZ322,1,$BE322+1))</f>
      </c>
      <c r="BH322" s="684">
        <f>IF($BF322="","",INDEX(安値!$E322:$CZ322,1,$BF322+1))</f>
      </c>
      <c r="BI322" s="684">
        <f>IF($BF322="","",MAX(INDEX(高値!$E322:$CZ322,1,$BE322+1):INDEX(高値!$E322:$CZ322,1,$BF322+1)))</f>
      </c>
      <c r="BJ322" s="684">
        <f>IF($BF322="","",AVERAGE(INDEX(終値!$E322:$CZ322,1,$BF322+1):INDEX(終値!$E322:$CZ322,1,$BF322+20))-2*STDEVP(INDEX(終値!$E322:$CZ322,1,$BF322+1):INDEX(終値!$E322:$CZ322,1,$BF322+20)))</f>
      </c>
      <c r="BK322" s="684">
        <f>IF($BE322="","",AVERAGE(INDEX(終値!$E322:$CZ322,1,$BE322+1):INDEX(終値!$E322:$CZ322,1,$BE322+20))-2*STDEVP(INDEX(終値!$E322:$CZ322,1,$BE322+1):INDEX(終値!$E322:$CZ322,1,$BE322+20)))</f>
      </c>
      <c r="BL322" s="684">
        <f>COUNT($AC322:$BC322)</f>
      </c>
      <c r="BM322" s="684">
        <f>IF($BL322&gt;=2,MIN($AC322:$BC322),"")</f>
      </c>
      <c r="BN322" s="684">
        <f>IF($BL322&gt;=2,SMALL($AC322:$BC322,2),"")</f>
      </c>
      <c r="BO322" s="684">
        <f>IF($BM322="","",INDEX(高値!$E322:$CZ322,1,$BM322+1))</f>
      </c>
      <c r="BP322" s="684">
        <f>IF($BN322="","",INDEX(高値!$E322:$CZ322,1,$BN322+1))</f>
      </c>
      <c r="BQ322" s="684">
        <f>IF($BN322="","",MIN(INDEX(安値!$E322:$CZ322,1,$BM322+1):INDEX(安値!$E322:$CZ322,1,$BN322+1)))</f>
      </c>
      <c r="BR322" s="684">
        <f>IF($BN322="","",AVERAGE(INDEX(終値!$E322:$CZ322,1,$BN322+1):INDEX(終値!$E322:$CZ322,1,$BN322+20))+2*STDEVP(INDEX(終値!$E322:$CZ322,1,$BN322+1):INDEX(終値!$E322:$CZ322,1,$BN322+20)))</f>
      </c>
      <c r="BS322" s="684">
        <f>IF($BM322="","",AVERAGE(INDEX(終値!$E322:$CZ322,1,$BM322+1):INDEX(終値!$E322:$CZ322,1,$BM322+20))+2*STDEVP(INDEX(終値!$E322:$CZ322,1,$BM322+1):INDEX(終値!$E322:$CZ322,1,$BM322+20)))</f>
      </c>
      <c r="BT322" s="681">
        <f>IFERROR(IF(AND($BD322&gt;=2,ABS($BG322-$BH322)/$BH322&lt;=BB設定!$B$12,$BI322&gt;=MAX($BH322,$BG322)*(1+BB設定!$B$13),終値!E322&gt;$BG322),IF(OR(終値!E322&gt;=$BI322,AND($BH322&lt;$BJ322,$BG322&gt;=$BK322)),"二番底W▲","二番底W形成"),IF(AND($BL322&gt;=2,ABS($BO322-$BP322)/$BP322&lt;=BB設定!$B$12,$BQ322&lt;=MIN($BP322,$BO322)*(1-BB設定!$B$13),終値!E322&lt;$BO322),IF(OR(終値!E322&lt;=$BQ322,AND($BP322&gt;$BR322,$BO322&lt;=$BS322)),"二番天井M▼","二番天井M形成"),"－")),"－")</f>
      </c>
    </row>
    <row r="323">
      <c r="B323" s="684">
        <f>IF(終値!A323="","",IF(AND(安値!G323&lt;安値!F323,安値!G323&lt;安値!E323,安値!G323&lt;安値!H323,安値!G323&lt;安値!I323),2,""))</f>
      </c>
      <c r="C323" s="684">
        <f>IF(終値!A323="","",IF(AND(安値!H323&lt;安値!G323,安値!H323&lt;安値!F323,安値!H323&lt;安値!I323,安値!H323&lt;安値!J323),3,""))</f>
      </c>
      <c r="D323" s="684">
        <f>IF(終値!A323="","",IF(AND(安値!I323&lt;安値!H323,安値!I323&lt;安値!G323,安値!I323&lt;安値!J323,安値!I323&lt;安値!K323),4,""))</f>
      </c>
      <c r="E323" s="684">
        <f>IF(終値!A323="","",IF(AND(安値!J323&lt;安値!I323,安値!J323&lt;安値!H323,安値!J323&lt;安値!K323,安値!J323&lt;安値!L323),5,""))</f>
      </c>
      <c r="F323" s="684">
        <f>IF(終値!A323="","",IF(AND(安値!K323&lt;安値!J323,安値!K323&lt;安値!I323,安値!K323&lt;安値!L323,安値!K323&lt;安値!M323),6,""))</f>
      </c>
      <c r="G323" s="684">
        <f>IF(終値!A323="","",IF(AND(安値!L323&lt;安値!K323,安値!L323&lt;安値!J323,安値!L323&lt;安値!M323,安値!L323&lt;安値!N323),7,""))</f>
      </c>
      <c r="H323" s="684">
        <f>IF(終値!A323="","",IF(AND(安値!M323&lt;安値!L323,安値!M323&lt;安値!K323,安値!M323&lt;安値!N323,安値!M323&lt;安値!O323),8,""))</f>
      </c>
      <c r="I323" s="684">
        <f>IF(終値!A323="","",IF(AND(安値!N323&lt;安値!M323,安値!N323&lt;安値!L323,安値!N323&lt;安値!O323,安値!N323&lt;安値!P323),9,""))</f>
      </c>
      <c r="J323" s="684">
        <f>IF(終値!A323="","",IF(AND(安値!O323&lt;安値!N323,安値!O323&lt;安値!M323,安値!O323&lt;安値!P323,安値!O323&lt;安値!Q323),10,""))</f>
      </c>
      <c r="K323" s="684">
        <f>IF(終値!A323="","",IF(AND(安値!P323&lt;安値!O323,安値!P323&lt;安値!N323,安値!P323&lt;安値!Q323,安値!P323&lt;安値!R323),11,""))</f>
      </c>
      <c r="L323" s="684">
        <f>IF(終値!A323="","",IF(AND(安値!Q323&lt;安値!P323,安値!Q323&lt;安値!O323,安値!Q323&lt;安値!R323,安値!Q323&lt;安値!S323),12,""))</f>
      </c>
      <c r="M323" s="684">
        <f>IF(終値!A323="","",IF(AND(安値!R323&lt;安値!Q323,安値!R323&lt;安値!P323,安値!R323&lt;安値!S323,安値!R323&lt;安値!T323),13,""))</f>
      </c>
      <c r="N323" s="684">
        <f>IF(終値!A323="","",IF(AND(安値!S323&lt;安値!R323,安値!S323&lt;安値!Q323,安値!S323&lt;安値!T323,安値!S323&lt;安値!U323),14,""))</f>
      </c>
      <c r="O323" s="684">
        <f>IF(終値!A323="","",IF(AND(安値!T323&lt;安値!S323,安値!T323&lt;安値!R323,安値!T323&lt;安値!U323,安値!T323&lt;安値!V323),15,""))</f>
      </c>
      <c r="P323" s="684">
        <f>IF(終値!A323="","",IF(AND(安値!U323&lt;安値!T323,安値!U323&lt;安値!S323,安値!U323&lt;安値!V323,安値!U323&lt;安値!W323),16,""))</f>
      </c>
      <c r="Q323" s="684">
        <f>IF(終値!A323="","",IF(AND(安値!V323&lt;安値!U323,安値!V323&lt;安値!T323,安値!V323&lt;安値!W323,安値!V323&lt;安値!X323),17,""))</f>
      </c>
      <c r="R323" s="684">
        <f>IF(終値!A323="","",IF(AND(安値!W323&lt;安値!V323,安値!W323&lt;安値!U323,安値!W323&lt;安値!X323,安値!W323&lt;安値!Y323),18,""))</f>
      </c>
      <c r="S323" s="684">
        <f>IF(終値!A323="","",IF(AND(安値!X323&lt;安値!W323,安値!X323&lt;安値!V323,安値!X323&lt;安値!Y323,安値!X323&lt;安値!Z323),19,""))</f>
      </c>
      <c r="T323" s="684">
        <f>IF(終値!A323="","",IF(AND(安値!Y323&lt;安値!X323,安値!Y323&lt;安値!W323,安値!Y323&lt;安値!Z323,安値!Y323&lt;安値!AA323),20,""))</f>
      </c>
      <c r="U323" s="684">
        <f>IF(終値!A323="","",IF(AND(安値!Z323&lt;安値!Y323,安値!Z323&lt;安値!X323,安値!Z323&lt;安値!AA323,安値!Z323&lt;安値!AB323),21,""))</f>
      </c>
      <c r="V323" s="684">
        <f>IF(終値!A323="","",IF(AND(安値!AA323&lt;安値!Z323,安値!AA323&lt;安値!Y323,安値!AA323&lt;安値!AB323,安値!AA323&lt;安値!AC323),22,""))</f>
      </c>
      <c r="W323" s="684">
        <f>IF(終値!A323="","",IF(AND(安値!AB323&lt;安値!AA323,安値!AB323&lt;安値!Z323,安値!AB323&lt;安値!AC323,安値!AB323&lt;安値!AD323),23,""))</f>
      </c>
      <c r="X323" s="684">
        <f>IF(終値!A323="","",IF(AND(安値!AC323&lt;安値!AB323,安値!AC323&lt;安値!AA323,安値!AC323&lt;安値!AD323,安値!AC323&lt;安値!AE323),24,""))</f>
      </c>
      <c r="Y323" s="684">
        <f>IF(終値!A323="","",IF(AND(安値!AD323&lt;安値!AC323,安値!AD323&lt;安値!AB323,安値!AD323&lt;安値!AE323,安値!AD323&lt;安値!AF323),25,""))</f>
      </c>
      <c r="Z323" s="684">
        <f>IF(終値!A323="","",IF(AND(安値!AE323&lt;安値!AD323,安値!AE323&lt;安値!AC323,安値!AE323&lt;安値!AF323,安値!AE323&lt;安値!AG323),26,""))</f>
      </c>
      <c r="AA323" s="684">
        <f>IF(終値!A323="","",IF(AND(安値!AF323&lt;安値!AE323,安値!AF323&lt;安値!AD323,安値!AF323&lt;安値!AG323,安値!AF323&lt;安値!AH323),27,""))</f>
      </c>
      <c r="AB323" s="684">
        <f>IF(終値!A323="","",IF(AND(安値!AG323&lt;安値!AF323,安値!AG323&lt;安値!AE323,安値!AG323&lt;安値!AH323,安値!AG323&lt;安値!AI323),28,""))</f>
      </c>
      <c r="AC323" s="684">
        <f>IF(終値!A323="","",IF(AND(高値!G323&gt;高値!F323,高値!G323&gt;高値!E323,高値!G323&gt;高値!H323,高値!G323&gt;高値!I323),2,""))</f>
      </c>
      <c r="AD323" s="684">
        <f>IF(終値!A323="","",IF(AND(高値!H323&gt;高値!G323,高値!H323&gt;高値!F323,高値!H323&gt;高値!I323,高値!H323&gt;高値!J323),3,""))</f>
      </c>
      <c r="AE323" s="684">
        <f>IF(終値!A323="","",IF(AND(高値!I323&gt;高値!H323,高値!I323&gt;高値!G323,高値!I323&gt;高値!J323,高値!I323&gt;高値!K323),4,""))</f>
      </c>
      <c r="AF323" s="684">
        <f>IF(終値!A323="","",IF(AND(高値!J323&gt;高値!I323,高値!J323&gt;高値!H323,高値!J323&gt;高値!K323,高値!J323&gt;高値!L323),5,""))</f>
      </c>
      <c r="AG323" s="684">
        <f>IF(終値!A323="","",IF(AND(高値!K323&gt;高値!J323,高値!K323&gt;高値!I323,高値!K323&gt;高値!L323,高値!K323&gt;高値!M323),6,""))</f>
      </c>
      <c r="AH323" s="684">
        <f>IF(終値!A323="","",IF(AND(高値!L323&gt;高値!K323,高値!L323&gt;高値!J323,高値!L323&gt;高値!M323,高値!L323&gt;高値!N323),7,""))</f>
      </c>
      <c r="AI323" s="684">
        <f>IF(終値!A323="","",IF(AND(高値!M323&gt;高値!L323,高値!M323&gt;高値!K323,高値!M323&gt;高値!N323,高値!M323&gt;高値!O323),8,""))</f>
      </c>
      <c r="AJ323" s="684">
        <f>IF(終値!A323="","",IF(AND(高値!N323&gt;高値!M323,高値!N323&gt;高値!L323,高値!N323&gt;高値!O323,高値!N323&gt;高値!P323),9,""))</f>
      </c>
      <c r="AK323" s="684">
        <f>IF(終値!A323="","",IF(AND(高値!O323&gt;高値!N323,高値!O323&gt;高値!M323,高値!O323&gt;高値!P323,高値!O323&gt;高値!Q323),10,""))</f>
      </c>
      <c r="AL323" s="684">
        <f>IF(終値!A323="","",IF(AND(高値!P323&gt;高値!O323,高値!P323&gt;高値!N323,高値!P323&gt;高値!Q323,高値!P323&gt;高値!R323),11,""))</f>
      </c>
      <c r="AM323" s="684">
        <f>IF(終値!A323="","",IF(AND(高値!Q323&gt;高値!P323,高値!Q323&gt;高値!O323,高値!Q323&gt;高値!R323,高値!Q323&gt;高値!S323),12,""))</f>
      </c>
      <c r="AN323" s="684">
        <f>IF(終値!A323="","",IF(AND(高値!R323&gt;高値!Q323,高値!R323&gt;高値!P323,高値!R323&gt;高値!S323,高値!R323&gt;高値!T323),13,""))</f>
      </c>
      <c r="AO323" s="684">
        <f>IF(終値!A323="","",IF(AND(高値!S323&gt;高値!R323,高値!S323&gt;高値!Q323,高値!S323&gt;高値!T323,高値!S323&gt;高値!U323),14,""))</f>
      </c>
      <c r="AP323" s="684">
        <f>IF(終値!A323="","",IF(AND(高値!T323&gt;高値!S323,高値!T323&gt;高値!R323,高値!T323&gt;高値!U323,高値!T323&gt;高値!V323),15,""))</f>
      </c>
      <c r="AQ323" s="684">
        <f>IF(終値!A323="","",IF(AND(高値!U323&gt;高値!T323,高値!U323&gt;高値!S323,高値!U323&gt;高値!V323,高値!U323&gt;高値!W323),16,""))</f>
      </c>
      <c r="AR323" s="684">
        <f>IF(終値!A323="","",IF(AND(高値!V323&gt;高値!U323,高値!V323&gt;高値!T323,高値!V323&gt;高値!W323,高値!V323&gt;高値!X323),17,""))</f>
      </c>
      <c r="AS323" s="684">
        <f>IF(終値!A323="","",IF(AND(高値!W323&gt;高値!V323,高値!W323&gt;高値!U323,高値!W323&gt;高値!X323,高値!W323&gt;高値!Y323),18,""))</f>
      </c>
      <c r="AT323" s="684">
        <f>IF(終値!A323="","",IF(AND(高値!X323&gt;高値!W323,高値!X323&gt;高値!V323,高値!X323&gt;高値!Y323,高値!X323&gt;高値!Z323),19,""))</f>
      </c>
      <c r="AU323" s="684">
        <f>IF(終値!A323="","",IF(AND(高値!Y323&gt;高値!X323,高値!Y323&gt;高値!W323,高値!Y323&gt;高値!Z323,高値!Y323&gt;高値!AA323),20,""))</f>
      </c>
      <c r="AV323" s="684">
        <f>IF(終値!A323="","",IF(AND(高値!Z323&gt;高値!Y323,高値!Z323&gt;高値!X323,高値!Z323&gt;高値!AA323,高値!Z323&gt;高値!AB323),21,""))</f>
      </c>
      <c r="AW323" s="684">
        <f>IF(終値!A323="","",IF(AND(高値!AA323&gt;高値!Z323,高値!AA323&gt;高値!Y323,高値!AA323&gt;高値!AB323,高値!AA323&gt;高値!AC323),22,""))</f>
      </c>
      <c r="AX323" s="684">
        <f>IF(終値!A323="","",IF(AND(高値!AB323&gt;高値!AA323,高値!AB323&gt;高値!Z323,高値!AB323&gt;高値!AC323,高値!AB323&gt;高値!AD323),23,""))</f>
      </c>
      <c r="AY323" s="684">
        <f>IF(終値!A323="","",IF(AND(高値!AC323&gt;高値!AB323,高値!AC323&gt;高値!AA323,高値!AC323&gt;高値!AD323,高値!AC323&gt;高値!AE323),24,""))</f>
      </c>
      <c r="AZ323" s="684">
        <f>IF(終値!A323="","",IF(AND(高値!AD323&gt;高値!AC323,高値!AD323&gt;高値!AB323,高値!AD323&gt;高値!AE323,高値!AD323&gt;高値!AF323),25,""))</f>
      </c>
      <c r="BA323" s="684">
        <f>IF(終値!A323="","",IF(AND(高値!AE323&gt;高値!AD323,高値!AE323&gt;高値!AC323,高値!AE323&gt;高値!AF323,高値!AE323&gt;高値!AG323),26,""))</f>
      </c>
      <c r="BB323" s="684">
        <f>IF(終値!A323="","",IF(AND(高値!AF323&gt;高値!AE323,高値!AF323&gt;高値!AD323,高値!AF323&gt;高値!AG323,高値!AF323&gt;高値!AH323),27,""))</f>
      </c>
      <c r="BC323" s="684">
        <f>IF(終値!A323="","",IF(AND(高値!AG323&gt;高値!AF323,高値!AG323&gt;高値!AE323,高値!AG323&gt;高値!AH323,高値!AG323&gt;高値!AI323),28,""))</f>
      </c>
      <c r="BD323" s="684">
        <f>COUNT($B323:$AB323)</f>
      </c>
      <c r="BE323" s="684">
        <f>IF($BD323&gt;=2,MIN($B323:$AB323),"")</f>
      </c>
      <c r="BF323" s="684">
        <f>IF($BD323&gt;=2,SMALL($B323:$AB323,2),"")</f>
      </c>
      <c r="BG323" s="684">
        <f>IF($BE323="","",INDEX(安値!$E323:$CZ323,1,$BE323+1))</f>
      </c>
      <c r="BH323" s="684">
        <f>IF($BF323="","",INDEX(安値!$E323:$CZ323,1,$BF323+1))</f>
      </c>
      <c r="BI323" s="684">
        <f>IF($BF323="","",MAX(INDEX(高値!$E323:$CZ323,1,$BE323+1):INDEX(高値!$E323:$CZ323,1,$BF323+1)))</f>
      </c>
      <c r="BJ323" s="684">
        <f>IF($BF323="","",AVERAGE(INDEX(終値!$E323:$CZ323,1,$BF323+1):INDEX(終値!$E323:$CZ323,1,$BF323+20))-2*STDEVP(INDEX(終値!$E323:$CZ323,1,$BF323+1):INDEX(終値!$E323:$CZ323,1,$BF323+20)))</f>
      </c>
      <c r="BK323" s="684">
        <f>IF($BE323="","",AVERAGE(INDEX(終値!$E323:$CZ323,1,$BE323+1):INDEX(終値!$E323:$CZ323,1,$BE323+20))-2*STDEVP(INDEX(終値!$E323:$CZ323,1,$BE323+1):INDEX(終値!$E323:$CZ323,1,$BE323+20)))</f>
      </c>
      <c r="BL323" s="684">
        <f>COUNT($AC323:$BC323)</f>
      </c>
      <c r="BM323" s="684">
        <f>IF($BL323&gt;=2,MIN($AC323:$BC323),"")</f>
      </c>
      <c r="BN323" s="684">
        <f>IF($BL323&gt;=2,SMALL($AC323:$BC323,2),"")</f>
      </c>
      <c r="BO323" s="684">
        <f>IF($BM323="","",INDEX(高値!$E323:$CZ323,1,$BM323+1))</f>
      </c>
      <c r="BP323" s="684">
        <f>IF($BN323="","",INDEX(高値!$E323:$CZ323,1,$BN323+1))</f>
      </c>
      <c r="BQ323" s="684">
        <f>IF($BN323="","",MIN(INDEX(安値!$E323:$CZ323,1,$BM323+1):INDEX(安値!$E323:$CZ323,1,$BN323+1)))</f>
      </c>
      <c r="BR323" s="684">
        <f>IF($BN323="","",AVERAGE(INDEX(終値!$E323:$CZ323,1,$BN323+1):INDEX(終値!$E323:$CZ323,1,$BN323+20))+2*STDEVP(INDEX(終値!$E323:$CZ323,1,$BN323+1):INDEX(終値!$E323:$CZ323,1,$BN323+20)))</f>
      </c>
      <c r="BS323" s="684">
        <f>IF($BM323="","",AVERAGE(INDEX(終値!$E323:$CZ323,1,$BM323+1):INDEX(終値!$E323:$CZ323,1,$BM323+20))+2*STDEVP(INDEX(終値!$E323:$CZ323,1,$BM323+1):INDEX(終値!$E323:$CZ323,1,$BM323+20)))</f>
      </c>
      <c r="BT323" s="681">
        <f>IFERROR(IF(AND($BD323&gt;=2,ABS($BG323-$BH323)/$BH323&lt;=BB設定!$B$12,$BI323&gt;=MAX($BH323,$BG323)*(1+BB設定!$B$13),終値!E323&gt;$BG323),IF(OR(終値!E323&gt;=$BI323,AND($BH323&lt;$BJ323,$BG323&gt;=$BK323)),"二番底W▲","二番底W形成"),IF(AND($BL323&gt;=2,ABS($BO323-$BP323)/$BP323&lt;=BB設定!$B$12,$BQ323&lt;=MIN($BP323,$BO323)*(1-BB設定!$B$13),終値!E323&lt;$BO323),IF(OR(終値!E323&lt;=$BQ323,AND($BP323&gt;$BR323,$BO323&lt;=$BS323)),"二番天井M▼","二番天井M形成"),"－")),"－")</f>
      </c>
    </row>
    <row r="324">
      <c r="B324" s="684">
        <f>IF(終値!A324="","",IF(AND(安値!G324&lt;安値!F324,安値!G324&lt;安値!E324,安値!G324&lt;安値!H324,安値!G324&lt;安値!I324),2,""))</f>
      </c>
      <c r="C324" s="684">
        <f>IF(終値!A324="","",IF(AND(安値!H324&lt;安値!G324,安値!H324&lt;安値!F324,安値!H324&lt;安値!I324,安値!H324&lt;安値!J324),3,""))</f>
      </c>
      <c r="D324" s="684">
        <f>IF(終値!A324="","",IF(AND(安値!I324&lt;安値!H324,安値!I324&lt;安値!G324,安値!I324&lt;安値!J324,安値!I324&lt;安値!K324),4,""))</f>
      </c>
      <c r="E324" s="684">
        <f>IF(終値!A324="","",IF(AND(安値!J324&lt;安値!I324,安値!J324&lt;安値!H324,安値!J324&lt;安値!K324,安値!J324&lt;安値!L324),5,""))</f>
      </c>
      <c r="F324" s="684">
        <f>IF(終値!A324="","",IF(AND(安値!K324&lt;安値!J324,安値!K324&lt;安値!I324,安値!K324&lt;安値!L324,安値!K324&lt;安値!M324),6,""))</f>
      </c>
      <c r="G324" s="684">
        <f>IF(終値!A324="","",IF(AND(安値!L324&lt;安値!K324,安値!L324&lt;安値!J324,安値!L324&lt;安値!M324,安値!L324&lt;安値!N324),7,""))</f>
      </c>
      <c r="H324" s="684">
        <f>IF(終値!A324="","",IF(AND(安値!M324&lt;安値!L324,安値!M324&lt;安値!K324,安値!M324&lt;安値!N324,安値!M324&lt;安値!O324),8,""))</f>
      </c>
      <c r="I324" s="684">
        <f>IF(終値!A324="","",IF(AND(安値!N324&lt;安値!M324,安値!N324&lt;安値!L324,安値!N324&lt;安値!O324,安値!N324&lt;安値!P324),9,""))</f>
      </c>
      <c r="J324" s="684">
        <f>IF(終値!A324="","",IF(AND(安値!O324&lt;安値!N324,安値!O324&lt;安値!M324,安値!O324&lt;安値!P324,安値!O324&lt;安値!Q324),10,""))</f>
      </c>
      <c r="K324" s="684">
        <f>IF(終値!A324="","",IF(AND(安値!P324&lt;安値!O324,安値!P324&lt;安値!N324,安値!P324&lt;安値!Q324,安値!P324&lt;安値!R324),11,""))</f>
      </c>
      <c r="L324" s="684">
        <f>IF(終値!A324="","",IF(AND(安値!Q324&lt;安値!P324,安値!Q324&lt;安値!O324,安値!Q324&lt;安値!R324,安値!Q324&lt;安値!S324),12,""))</f>
      </c>
      <c r="M324" s="684">
        <f>IF(終値!A324="","",IF(AND(安値!R324&lt;安値!Q324,安値!R324&lt;安値!P324,安値!R324&lt;安値!S324,安値!R324&lt;安値!T324),13,""))</f>
      </c>
      <c r="N324" s="684">
        <f>IF(終値!A324="","",IF(AND(安値!S324&lt;安値!R324,安値!S324&lt;安値!Q324,安値!S324&lt;安値!T324,安値!S324&lt;安値!U324),14,""))</f>
      </c>
      <c r="O324" s="684">
        <f>IF(終値!A324="","",IF(AND(安値!T324&lt;安値!S324,安値!T324&lt;安値!R324,安値!T324&lt;安値!U324,安値!T324&lt;安値!V324),15,""))</f>
      </c>
      <c r="P324" s="684">
        <f>IF(終値!A324="","",IF(AND(安値!U324&lt;安値!T324,安値!U324&lt;安値!S324,安値!U324&lt;安値!V324,安値!U324&lt;安値!W324),16,""))</f>
      </c>
      <c r="Q324" s="684">
        <f>IF(終値!A324="","",IF(AND(安値!V324&lt;安値!U324,安値!V324&lt;安値!T324,安値!V324&lt;安値!W324,安値!V324&lt;安値!X324),17,""))</f>
      </c>
      <c r="R324" s="684">
        <f>IF(終値!A324="","",IF(AND(安値!W324&lt;安値!V324,安値!W324&lt;安値!U324,安値!W324&lt;安値!X324,安値!W324&lt;安値!Y324),18,""))</f>
      </c>
      <c r="S324" s="684">
        <f>IF(終値!A324="","",IF(AND(安値!X324&lt;安値!W324,安値!X324&lt;安値!V324,安値!X324&lt;安値!Y324,安値!X324&lt;安値!Z324),19,""))</f>
      </c>
      <c r="T324" s="684">
        <f>IF(終値!A324="","",IF(AND(安値!Y324&lt;安値!X324,安値!Y324&lt;安値!W324,安値!Y324&lt;安値!Z324,安値!Y324&lt;安値!AA324),20,""))</f>
      </c>
      <c r="U324" s="684">
        <f>IF(終値!A324="","",IF(AND(安値!Z324&lt;安値!Y324,安値!Z324&lt;安値!X324,安値!Z324&lt;安値!AA324,安値!Z324&lt;安値!AB324),21,""))</f>
      </c>
      <c r="V324" s="684">
        <f>IF(終値!A324="","",IF(AND(安値!AA324&lt;安値!Z324,安値!AA324&lt;安値!Y324,安値!AA324&lt;安値!AB324,安値!AA324&lt;安値!AC324),22,""))</f>
      </c>
      <c r="W324" s="684">
        <f>IF(終値!A324="","",IF(AND(安値!AB324&lt;安値!AA324,安値!AB324&lt;安値!Z324,安値!AB324&lt;安値!AC324,安値!AB324&lt;安値!AD324),23,""))</f>
      </c>
      <c r="X324" s="684">
        <f>IF(終値!A324="","",IF(AND(安値!AC324&lt;安値!AB324,安値!AC324&lt;安値!AA324,安値!AC324&lt;安値!AD324,安値!AC324&lt;安値!AE324),24,""))</f>
      </c>
      <c r="Y324" s="684">
        <f>IF(終値!A324="","",IF(AND(安値!AD324&lt;安値!AC324,安値!AD324&lt;安値!AB324,安値!AD324&lt;安値!AE324,安値!AD324&lt;安値!AF324),25,""))</f>
      </c>
      <c r="Z324" s="684">
        <f>IF(終値!A324="","",IF(AND(安値!AE324&lt;安値!AD324,安値!AE324&lt;安値!AC324,安値!AE324&lt;安値!AF324,安値!AE324&lt;安値!AG324),26,""))</f>
      </c>
      <c r="AA324" s="684">
        <f>IF(終値!A324="","",IF(AND(安値!AF324&lt;安値!AE324,安値!AF324&lt;安値!AD324,安値!AF324&lt;安値!AG324,安値!AF324&lt;安値!AH324),27,""))</f>
      </c>
      <c r="AB324" s="684">
        <f>IF(終値!A324="","",IF(AND(安値!AG324&lt;安値!AF324,安値!AG324&lt;安値!AE324,安値!AG324&lt;安値!AH324,安値!AG324&lt;安値!AI324),28,""))</f>
      </c>
      <c r="AC324" s="684">
        <f>IF(終値!A324="","",IF(AND(高値!G324&gt;高値!F324,高値!G324&gt;高値!E324,高値!G324&gt;高値!H324,高値!G324&gt;高値!I324),2,""))</f>
      </c>
      <c r="AD324" s="684">
        <f>IF(終値!A324="","",IF(AND(高値!H324&gt;高値!G324,高値!H324&gt;高値!F324,高値!H324&gt;高値!I324,高値!H324&gt;高値!J324),3,""))</f>
      </c>
      <c r="AE324" s="684">
        <f>IF(終値!A324="","",IF(AND(高値!I324&gt;高値!H324,高値!I324&gt;高値!G324,高値!I324&gt;高値!J324,高値!I324&gt;高値!K324),4,""))</f>
      </c>
      <c r="AF324" s="684">
        <f>IF(終値!A324="","",IF(AND(高値!J324&gt;高値!I324,高値!J324&gt;高値!H324,高値!J324&gt;高値!K324,高値!J324&gt;高値!L324),5,""))</f>
      </c>
      <c r="AG324" s="684">
        <f>IF(終値!A324="","",IF(AND(高値!K324&gt;高値!J324,高値!K324&gt;高値!I324,高値!K324&gt;高値!L324,高値!K324&gt;高値!M324),6,""))</f>
      </c>
      <c r="AH324" s="684">
        <f>IF(終値!A324="","",IF(AND(高値!L324&gt;高値!K324,高値!L324&gt;高値!J324,高値!L324&gt;高値!M324,高値!L324&gt;高値!N324),7,""))</f>
      </c>
      <c r="AI324" s="684">
        <f>IF(終値!A324="","",IF(AND(高値!M324&gt;高値!L324,高値!M324&gt;高値!K324,高値!M324&gt;高値!N324,高値!M324&gt;高値!O324),8,""))</f>
      </c>
      <c r="AJ324" s="684">
        <f>IF(終値!A324="","",IF(AND(高値!N324&gt;高値!M324,高値!N324&gt;高値!L324,高値!N324&gt;高値!O324,高値!N324&gt;高値!P324),9,""))</f>
      </c>
      <c r="AK324" s="684">
        <f>IF(終値!A324="","",IF(AND(高値!O324&gt;高値!N324,高値!O324&gt;高値!M324,高値!O324&gt;高値!P324,高値!O324&gt;高値!Q324),10,""))</f>
      </c>
      <c r="AL324" s="684">
        <f>IF(終値!A324="","",IF(AND(高値!P324&gt;高値!O324,高値!P324&gt;高値!N324,高値!P324&gt;高値!Q324,高値!P324&gt;高値!R324),11,""))</f>
      </c>
      <c r="AM324" s="684">
        <f>IF(終値!A324="","",IF(AND(高値!Q324&gt;高値!P324,高値!Q324&gt;高値!O324,高値!Q324&gt;高値!R324,高値!Q324&gt;高値!S324),12,""))</f>
      </c>
      <c r="AN324" s="684">
        <f>IF(終値!A324="","",IF(AND(高値!R324&gt;高値!Q324,高値!R324&gt;高値!P324,高値!R324&gt;高値!S324,高値!R324&gt;高値!T324),13,""))</f>
      </c>
      <c r="AO324" s="684">
        <f>IF(終値!A324="","",IF(AND(高値!S324&gt;高値!R324,高値!S324&gt;高値!Q324,高値!S324&gt;高値!T324,高値!S324&gt;高値!U324),14,""))</f>
      </c>
      <c r="AP324" s="684">
        <f>IF(終値!A324="","",IF(AND(高値!T324&gt;高値!S324,高値!T324&gt;高値!R324,高値!T324&gt;高値!U324,高値!T324&gt;高値!V324),15,""))</f>
      </c>
      <c r="AQ324" s="684">
        <f>IF(終値!A324="","",IF(AND(高値!U324&gt;高値!T324,高値!U324&gt;高値!S324,高値!U324&gt;高値!V324,高値!U324&gt;高値!W324),16,""))</f>
      </c>
      <c r="AR324" s="684">
        <f>IF(終値!A324="","",IF(AND(高値!V324&gt;高値!U324,高値!V324&gt;高値!T324,高値!V324&gt;高値!W324,高値!V324&gt;高値!X324),17,""))</f>
      </c>
      <c r="AS324" s="684">
        <f>IF(終値!A324="","",IF(AND(高値!W324&gt;高値!V324,高値!W324&gt;高値!U324,高値!W324&gt;高値!X324,高値!W324&gt;高値!Y324),18,""))</f>
      </c>
      <c r="AT324" s="684">
        <f>IF(終値!A324="","",IF(AND(高値!X324&gt;高値!W324,高値!X324&gt;高値!V324,高値!X324&gt;高値!Y324,高値!X324&gt;高値!Z324),19,""))</f>
      </c>
      <c r="AU324" s="684">
        <f>IF(終値!A324="","",IF(AND(高値!Y324&gt;高値!X324,高値!Y324&gt;高値!W324,高値!Y324&gt;高値!Z324,高値!Y324&gt;高値!AA324),20,""))</f>
      </c>
      <c r="AV324" s="684">
        <f>IF(終値!A324="","",IF(AND(高値!Z324&gt;高値!Y324,高値!Z324&gt;高値!X324,高値!Z324&gt;高値!AA324,高値!Z324&gt;高値!AB324),21,""))</f>
      </c>
      <c r="AW324" s="684">
        <f>IF(終値!A324="","",IF(AND(高値!AA324&gt;高値!Z324,高値!AA324&gt;高値!Y324,高値!AA324&gt;高値!AB324,高値!AA324&gt;高値!AC324),22,""))</f>
      </c>
      <c r="AX324" s="684">
        <f>IF(終値!A324="","",IF(AND(高値!AB324&gt;高値!AA324,高値!AB324&gt;高値!Z324,高値!AB324&gt;高値!AC324,高値!AB324&gt;高値!AD324),23,""))</f>
      </c>
      <c r="AY324" s="684">
        <f>IF(終値!A324="","",IF(AND(高値!AC324&gt;高値!AB324,高値!AC324&gt;高値!AA324,高値!AC324&gt;高値!AD324,高値!AC324&gt;高値!AE324),24,""))</f>
      </c>
      <c r="AZ324" s="684">
        <f>IF(終値!A324="","",IF(AND(高値!AD324&gt;高値!AC324,高値!AD324&gt;高値!AB324,高値!AD324&gt;高値!AE324,高値!AD324&gt;高値!AF324),25,""))</f>
      </c>
      <c r="BA324" s="684">
        <f>IF(終値!A324="","",IF(AND(高値!AE324&gt;高値!AD324,高値!AE324&gt;高値!AC324,高値!AE324&gt;高値!AF324,高値!AE324&gt;高値!AG324),26,""))</f>
      </c>
      <c r="BB324" s="684">
        <f>IF(終値!A324="","",IF(AND(高値!AF324&gt;高値!AE324,高値!AF324&gt;高値!AD324,高値!AF324&gt;高値!AG324,高値!AF324&gt;高値!AH324),27,""))</f>
      </c>
      <c r="BC324" s="684">
        <f>IF(終値!A324="","",IF(AND(高値!AG324&gt;高値!AF324,高値!AG324&gt;高値!AE324,高値!AG324&gt;高値!AH324,高値!AG324&gt;高値!AI324),28,""))</f>
      </c>
      <c r="BD324" s="684">
        <f>COUNT($B324:$AB324)</f>
      </c>
      <c r="BE324" s="684">
        <f>IF($BD324&gt;=2,MIN($B324:$AB324),"")</f>
      </c>
      <c r="BF324" s="684">
        <f>IF($BD324&gt;=2,SMALL($B324:$AB324,2),"")</f>
      </c>
      <c r="BG324" s="684">
        <f>IF($BE324="","",INDEX(安値!$E324:$CZ324,1,$BE324+1))</f>
      </c>
      <c r="BH324" s="684">
        <f>IF($BF324="","",INDEX(安値!$E324:$CZ324,1,$BF324+1))</f>
      </c>
      <c r="BI324" s="684">
        <f>IF($BF324="","",MAX(INDEX(高値!$E324:$CZ324,1,$BE324+1):INDEX(高値!$E324:$CZ324,1,$BF324+1)))</f>
      </c>
      <c r="BJ324" s="684">
        <f>IF($BF324="","",AVERAGE(INDEX(終値!$E324:$CZ324,1,$BF324+1):INDEX(終値!$E324:$CZ324,1,$BF324+20))-2*STDEVP(INDEX(終値!$E324:$CZ324,1,$BF324+1):INDEX(終値!$E324:$CZ324,1,$BF324+20)))</f>
      </c>
      <c r="BK324" s="684">
        <f>IF($BE324="","",AVERAGE(INDEX(終値!$E324:$CZ324,1,$BE324+1):INDEX(終値!$E324:$CZ324,1,$BE324+20))-2*STDEVP(INDEX(終値!$E324:$CZ324,1,$BE324+1):INDEX(終値!$E324:$CZ324,1,$BE324+20)))</f>
      </c>
      <c r="BL324" s="684">
        <f>COUNT($AC324:$BC324)</f>
      </c>
      <c r="BM324" s="684">
        <f>IF($BL324&gt;=2,MIN($AC324:$BC324),"")</f>
      </c>
      <c r="BN324" s="684">
        <f>IF($BL324&gt;=2,SMALL($AC324:$BC324,2),"")</f>
      </c>
      <c r="BO324" s="684">
        <f>IF($BM324="","",INDEX(高値!$E324:$CZ324,1,$BM324+1))</f>
      </c>
      <c r="BP324" s="684">
        <f>IF($BN324="","",INDEX(高値!$E324:$CZ324,1,$BN324+1))</f>
      </c>
      <c r="BQ324" s="684">
        <f>IF($BN324="","",MIN(INDEX(安値!$E324:$CZ324,1,$BM324+1):INDEX(安値!$E324:$CZ324,1,$BN324+1)))</f>
      </c>
      <c r="BR324" s="684">
        <f>IF($BN324="","",AVERAGE(INDEX(終値!$E324:$CZ324,1,$BN324+1):INDEX(終値!$E324:$CZ324,1,$BN324+20))+2*STDEVP(INDEX(終値!$E324:$CZ324,1,$BN324+1):INDEX(終値!$E324:$CZ324,1,$BN324+20)))</f>
      </c>
      <c r="BS324" s="684">
        <f>IF($BM324="","",AVERAGE(INDEX(終値!$E324:$CZ324,1,$BM324+1):INDEX(終値!$E324:$CZ324,1,$BM324+20))+2*STDEVP(INDEX(終値!$E324:$CZ324,1,$BM324+1):INDEX(終値!$E324:$CZ324,1,$BM324+20)))</f>
      </c>
      <c r="BT324" s="681">
        <f>IFERROR(IF(AND($BD324&gt;=2,ABS($BG324-$BH324)/$BH324&lt;=BB設定!$B$12,$BI324&gt;=MAX($BH324,$BG324)*(1+BB設定!$B$13),終値!E324&gt;$BG324),IF(OR(終値!E324&gt;=$BI324,AND($BH324&lt;$BJ324,$BG324&gt;=$BK324)),"二番底W▲","二番底W形成"),IF(AND($BL324&gt;=2,ABS($BO324-$BP324)/$BP324&lt;=BB設定!$B$12,$BQ324&lt;=MIN($BP324,$BO324)*(1-BB設定!$B$13),終値!E324&lt;$BO324),IF(OR(終値!E324&lt;=$BQ324,AND($BP324&gt;$BR324,$BO324&lt;=$BS324)),"二番天井M▼","二番天井M形成"),"－")),"－")</f>
      </c>
    </row>
    <row r="325">
      <c r="B325" s="684">
        <f>IF(終値!A325="","",IF(AND(安値!G325&lt;安値!F325,安値!G325&lt;安値!E325,安値!G325&lt;安値!H325,安値!G325&lt;安値!I325),2,""))</f>
      </c>
      <c r="C325" s="684">
        <f>IF(終値!A325="","",IF(AND(安値!H325&lt;安値!G325,安値!H325&lt;安値!F325,安値!H325&lt;安値!I325,安値!H325&lt;安値!J325),3,""))</f>
      </c>
      <c r="D325" s="684">
        <f>IF(終値!A325="","",IF(AND(安値!I325&lt;安値!H325,安値!I325&lt;安値!G325,安値!I325&lt;安値!J325,安値!I325&lt;安値!K325),4,""))</f>
      </c>
      <c r="E325" s="684">
        <f>IF(終値!A325="","",IF(AND(安値!J325&lt;安値!I325,安値!J325&lt;安値!H325,安値!J325&lt;安値!K325,安値!J325&lt;安値!L325),5,""))</f>
      </c>
      <c r="F325" s="684">
        <f>IF(終値!A325="","",IF(AND(安値!K325&lt;安値!J325,安値!K325&lt;安値!I325,安値!K325&lt;安値!L325,安値!K325&lt;安値!M325),6,""))</f>
      </c>
      <c r="G325" s="684">
        <f>IF(終値!A325="","",IF(AND(安値!L325&lt;安値!K325,安値!L325&lt;安値!J325,安値!L325&lt;安値!M325,安値!L325&lt;安値!N325),7,""))</f>
      </c>
      <c r="H325" s="684">
        <f>IF(終値!A325="","",IF(AND(安値!M325&lt;安値!L325,安値!M325&lt;安値!K325,安値!M325&lt;安値!N325,安値!M325&lt;安値!O325),8,""))</f>
      </c>
      <c r="I325" s="684">
        <f>IF(終値!A325="","",IF(AND(安値!N325&lt;安値!M325,安値!N325&lt;安値!L325,安値!N325&lt;安値!O325,安値!N325&lt;安値!P325),9,""))</f>
      </c>
      <c r="J325" s="684">
        <f>IF(終値!A325="","",IF(AND(安値!O325&lt;安値!N325,安値!O325&lt;安値!M325,安値!O325&lt;安値!P325,安値!O325&lt;安値!Q325),10,""))</f>
      </c>
      <c r="K325" s="684">
        <f>IF(終値!A325="","",IF(AND(安値!P325&lt;安値!O325,安値!P325&lt;安値!N325,安値!P325&lt;安値!Q325,安値!P325&lt;安値!R325),11,""))</f>
      </c>
      <c r="L325" s="684">
        <f>IF(終値!A325="","",IF(AND(安値!Q325&lt;安値!P325,安値!Q325&lt;安値!O325,安値!Q325&lt;安値!R325,安値!Q325&lt;安値!S325),12,""))</f>
      </c>
      <c r="M325" s="684">
        <f>IF(終値!A325="","",IF(AND(安値!R325&lt;安値!Q325,安値!R325&lt;安値!P325,安値!R325&lt;安値!S325,安値!R325&lt;安値!T325),13,""))</f>
      </c>
      <c r="N325" s="684">
        <f>IF(終値!A325="","",IF(AND(安値!S325&lt;安値!R325,安値!S325&lt;安値!Q325,安値!S325&lt;安値!T325,安値!S325&lt;安値!U325),14,""))</f>
      </c>
      <c r="O325" s="684">
        <f>IF(終値!A325="","",IF(AND(安値!T325&lt;安値!S325,安値!T325&lt;安値!R325,安値!T325&lt;安値!U325,安値!T325&lt;安値!V325),15,""))</f>
      </c>
      <c r="P325" s="684">
        <f>IF(終値!A325="","",IF(AND(安値!U325&lt;安値!T325,安値!U325&lt;安値!S325,安値!U325&lt;安値!V325,安値!U325&lt;安値!W325),16,""))</f>
      </c>
      <c r="Q325" s="684">
        <f>IF(終値!A325="","",IF(AND(安値!V325&lt;安値!U325,安値!V325&lt;安値!T325,安値!V325&lt;安値!W325,安値!V325&lt;安値!X325),17,""))</f>
      </c>
      <c r="R325" s="684">
        <f>IF(終値!A325="","",IF(AND(安値!W325&lt;安値!V325,安値!W325&lt;安値!U325,安値!W325&lt;安値!X325,安値!W325&lt;安値!Y325),18,""))</f>
      </c>
      <c r="S325" s="684">
        <f>IF(終値!A325="","",IF(AND(安値!X325&lt;安値!W325,安値!X325&lt;安値!V325,安値!X325&lt;安値!Y325,安値!X325&lt;安値!Z325),19,""))</f>
      </c>
      <c r="T325" s="684">
        <f>IF(終値!A325="","",IF(AND(安値!Y325&lt;安値!X325,安値!Y325&lt;安値!W325,安値!Y325&lt;安値!Z325,安値!Y325&lt;安値!AA325),20,""))</f>
      </c>
      <c r="U325" s="684">
        <f>IF(終値!A325="","",IF(AND(安値!Z325&lt;安値!Y325,安値!Z325&lt;安値!X325,安値!Z325&lt;安値!AA325,安値!Z325&lt;安値!AB325),21,""))</f>
      </c>
      <c r="V325" s="684">
        <f>IF(終値!A325="","",IF(AND(安値!AA325&lt;安値!Z325,安値!AA325&lt;安値!Y325,安値!AA325&lt;安値!AB325,安値!AA325&lt;安値!AC325),22,""))</f>
      </c>
      <c r="W325" s="684">
        <f>IF(終値!A325="","",IF(AND(安値!AB325&lt;安値!AA325,安値!AB325&lt;安値!Z325,安値!AB325&lt;安値!AC325,安値!AB325&lt;安値!AD325),23,""))</f>
      </c>
      <c r="X325" s="684">
        <f>IF(終値!A325="","",IF(AND(安値!AC325&lt;安値!AB325,安値!AC325&lt;安値!AA325,安値!AC325&lt;安値!AD325,安値!AC325&lt;安値!AE325),24,""))</f>
      </c>
      <c r="Y325" s="684">
        <f>IF(終値!A325="","",IF(AND(安値!AD325&lt;安値!AC325,安値!AD325&lt;安値!AB325,安値!AD325&lt;安値!AE325,安値!AD325&lt;安値!AF325),25,""))</f>
      </c>
      <c r="Z325" s="684">
        <f>IF(終値!A325="","",IF(AND(安値!AE325&lt;安値!AD325,安値!AE325&lt;安値!AC325,安値!AE325&lt;安値!AF325,安値!AE325&lt;安値!AG325),26,""))</f>
      </c>
      <c r="AA325" s="684">
        <f>IF(終値!A325="","",IF(AND(安値!AF325&lt;安値!AE325,安値!AF325&lt;安値!AD325,安値!AF325&lt;安値!AG325,安値!AF325&lt;安値!AH325),27,""))</f>
      </c>
      <c r="AB325" s="684">
        <f>IF(終値!A325="","",IF(AND(安値!AG325&lt;安値!AF325,安値!AG325&lt;安値!AE325,安値!AG325&lt;安値!AH325,安値!AG325&lt;安値!AI325),28,""))</f>
      </c>
      <c r="AC325" s="684">
        <f>IF(終値!A325="","",IF(AND(高値!G325&gt;高値!F325,高値!G325&gt;高値!E325,高値!G325&gt;高値!H325,高値!G325&gt;高値!I325),2,""))</f>
      </c>
      <c r="AD325" s="684">
        <f>IF(終値!A325="","",IF(AND(高値!H325&gt;高値!G325,高値!H325&gt;高値!F325,高値!H325&gt;高値!I325,高値!H325&gt;高値!J325),3,""))</f>
      </c>
      <c r="AE325" s="684">
        <f>IF(終値!A325="","",IF(AND(高値!I325&gt;高値!H325,高値!I325&gt;高値!G325,高値!I325&gt;高値!J325,高値!I325&gt;高値!K325),4,""))</f>
      </c>
      <c r="AF325" s="684">
        <f>IF(終値!A325="","",IF(AND(高値!J325&gt;高値!I325,高値!J325&gt;高値!H325,高値!J325&gt;高値!K325,高値!J325&gt;高値!L325),5,""))</f>
      </c>
      <c r="AG325" s="684">
        <f>IF(終値!A325="","",IF(AND(高値!K325&gt;高値!J325,高値!K325&gt;高値!I325,高値!K325&gt;高値!L325,高値!K325&gt;高値!M325),6,""))</f>
      </c>
      <c r="AH325" s="684">
        <f>IF(終値!A325="","",IF(AND(高値!L325&gt;高値!K325,高値!L325&gt;高値!J325,高値!L325&gt;高値!M325,高値!L325&gt;高値!N325),7,""))</f>
      </c>
      <c r="AI325" s="684">
        <f>IF(終値!A325="","",IF(AND(高値!M325&gt;高値!L325,高値!M325&gt;高値!K325,高値!M325&gt;高値!N325,高値!M325&gt;高値!O325),8,""))</f>
      </c>
      <c r="AJ325" s="684">
        <f>IF(終値!A325="","",IF(AND(高値!N325&gt;高値!M325,高値!N325&gt;高値!L325,高値!N325&gt;高値!O325,高値!N325&gt;高値!P325),9,""))</f>
      </c>
      <c r="AK325" s="684">
        <f>IF(終値!A325="","",IF(AND(高値!O325&gt;高値!N325,高値!O325&gt;高値!M325,高値!O325&gt;高値!P325,高値!O325&gt;高値!Q325),10,""))</f>
      </c>
      <c r="AL325" s="684">
        <f>IF(終値!A325="","",IF(AND(高値!P325&gt;高値!O325,高値!P325&gt;高値!N325,高値!P325&gt;高値!Q325,高値!P325&gt;高値!R325),11,""))</f>
      </c>
      <c r="AM325" s="684">
        <f>IF(終値!A325="","",IF(AND(高値!Q325&gt;高値!P325,高値!Q325&gt;高値!O325,高値!Q325&gt;高値!R325,高値!Q325&gt;高値!S325),12,""))</f>
      </c>
      <c r="AN325" s="684">
        <f>IF(終値!A325="","",IF(AND(高値!R325&gt;高値!Q325,高値!R325&gt;高値!P325,高値!R325&gt;高値!S325,高値!R325&gt;高値!T325),13,""))</f>
      </c>
      <c r="AO325" s="684">
        <f>IF(終値!A325="","",IF(AND(高値!S325&gt;高値!R325,高値!S325&gt;高値!Q325,高値!S325&gt;高値!T325,高値!S325&gt;高値!U325),14,""))</f>
      </c>
      <c r="AP325" s="684">
        <f>IF(終値!A325="","",IF(AND(高値!T325&gt;高値!S325,高値!T325&gt;高値!R325,高値!T325&gt;高値!U325,高値!T325&gt;高値!V325),15,""))</f>
      </c>
      <c r="AQ325" s="684">
        <f>IF(終値!A325="","",IF(AND(高値!U325&gt;高値!T325,高値!U325&gt;高値!S325,高値!U325&gt;高値!V325,高値!U325&gt;高値!W325),16,""))</f>
      </c>
      <c r="AR325" s="684">
        <f>IF(終値!A325="","",IF(AND(高値!V325&gt;高値!U325,高値!V325&gt;高値!T325,高値!V325&gt;高値!W325,高値!V325&gt;高値!X325),17,""))</f>
      </c>
      <c r="AS325" s="684">
        <f>IF(終値!A325="","",IF(AND(高値!W325&gt;高値!V325,高値!W325&gt;高値!U325,高値!W325&gt;高値!X325,高値!W325&gt;高値!Y325),18,""))</f>
      </c>
      <c r="AT325" s="684">
        <f>IF(終値!A325="","",IF(AND(高値!X325&gt;高値!W325,高値!X325&gt;高値!V325,高値!X325&gt;高値!Y325,高値!X325&gt;高値!Z325),19,""))</f>
      </c>
      <c r="AU325" s="684">
        <f>IF(終値!A325="","",IF(AND(高値!Y325&gt;高値!X325,高値!Y325&gt;高値!W325,高値!Y325&gt;高値!Z325,高値!Y325&gt;高値!AA325),20,""))</f>
      </c>
      <c r="AV325" s="684">
        <f>IF(終値!A325="","",IF(AND(高値!Z325&gt;高値!Y325,高値!Z325&gt;高値!X325,高値!Z325&gt;高値!AA325,高値!Z325&gt;高値!AB325),21,""))</f>
      </c>
      <c r="AW325" s="684">
        <f>IF(終値!A325="","",IF(AND(高値!AA325&gt;高値!Z325,高値!AA325&gt;高値!Y325,高値!AA325&gt;高値!AB325,高値!AA325&gt;高値!AC325),22,""))</f>
      </c>
      <c r="AX325" s="684">
        <f>IF(終値!A325="","",IF(AND(高値!AB325&gt;高値!AA325,高値!AB325&gt;高値!Z325,高値!AB325&gt;高値!AC325,高値!AB325&gt;高値!AD325),23,""))</f>
      </c>
      <c r="AY325" s="684">
        <f>IF(終値!A325="","",IF(AND(高値!AC325&gt;高値!AB325,高値!AC325&gt;高値!AA325,高値!AC325&gt;高値!AD325,高値!AC325&gt;高値!AE325),24,""))</f>
      </c>
      <c r="AZ325" s="684">
        <f>IF(終値!A325="","",IF(AND(高値!AD325&gt;高値!AC325,高値!AD325&gt;高値!AB325,高値!AD325&gt;高値!AE325,高値!AD325&gt;高値!AF325),25,""))</f>
      </c>
      <c r="BA325" s="684">
        <f>IF(終値!A325="","",IF(AND(高値!AE325&gt;高値!AD325,高値!AE325&gt;高値!AC325,高値!AE325&gt;高値!AF325,高値!AE325&gt;高値!AG325),26,""))</f>
      </c>
      <c r="BB325" s="684">
        <f>IF(終値!A325="","",IF(AND(高値!AF325&gt;高値!AE325,高値!AF325&gt;高値!AD325,高値!AF325&gt;高値!AG325,高値!AF325&gt;高値!AH325),27,""))</f>
      </c>
      <c r="BC325" s="684">
        <f>IF(終値!A325="","",IF(AND(高値!AG325&gt;高値!AF325,高値!AG325&gt;高値!AE325,高値!AG325&gt;高値!AH325,高値!AG325&gt;高値!AI325),28,""))</f>
      </c>
      <c r="BD325" s="684">
        <f>COUNT($B325:$AB325)</f>
      </c>
      <c r="BE325" s="684">
        <f>IF($BD325&gt;=2,MIN($B325:$AB325),"")</f>
      </c>
      <c r="BF325" s="684">
        <f>IF($BD325&gt;=2,SMALL($B325:$AB325,2),"")</f>
      </c>
      <c r="BG325" s="684">
        <f>IF($BE325="","",INDEX(安値!$E325:$CZ325,1,$BE325+1))</f>
      </c>
      <c r="BH325" s="684">
        <f>IF($BF325="","",INDEX(安値!$E325:$CZ325,1,$BF325+1))</f>
      </c>
      <c r="BI325" s="684">
        <f>IF($BF325="","",MAX(INDEX(高値!$E325:$CZ325,1,$BE325+1):INDEX(高値!$E325:$CZ325,1,$BF325+1)))</f>
      </c>
      <c r="BJ325" s="684">
        <f>IF($BF325="","",AVERAGE(INDEX(終値!$E325:$CZ325,1,$BF325+1):INDEX(終値!$E325:$CZ325,1,$BF325+20))-2*STDEVP(INDEX(終値!$E325:$CZ325,1,$BF325+1):INDEX(終値!$E325:$CZ325,1,$BF325+20)))</f>
      </c>
      <c r="BK325" s="684">
        <f>IF($BE325="","",AVERAGE(INDEX(終値!$E325:$CZ325,1,$BE325+1):INDEX(終値!$E325:$CZ325,1,$BE325+20))-2*STDEVP(INDEX(終値!$E325:$CZ325,1,$BE325+1):INDEX(終値!$E325:$CZ325,1,$BE325+20)))</f>
      </c>
      <c r="BL325" s="684">
        <f>COUNT($AC325:$BC325)</f>
      </c>
      <c r="BM325" s="684">
        <f>IF($BL325&gt;=2,MIN($AC325:$BC325),"")</f>
      </c>
      <c r="BN325" s="684">
        <f>IF($BL325&gt;=2,SMALL($AC325:$BC325,2),"")</f>
      </c>
      <c r="BO325" s="684">
        <f>IF($BM325="","",INDEX(高値!$E325:$CZ325,1,$BM325+1))</f>
      </c>
      <c r="BP325" s="684">
        <f>IF($BN325="","",INDEX(高値!$E325:$CZ325,1,$BN325+1))</f>
      </c>
      <c r="BQ325" s="684">
        <f>IF($BN325="","",MIN(INDEX(安値!$E325:$CZ325,1,$BM325+1):INDEX(安値!$E325:$CZ325,1,$BN325+1)))</f>
      </c>
      <c r="BR325" s="684">
        <f>IF($BN325="","",AVERAGE(INDEX(終値!$E325:$CZ325,1,$BN325+1):INDEX(終値!$E325:$CZ325,1,$BN325+20))+2*STDEVP(INDEX(終値!$E325:$CZ325,1,$BN325+1):INDEX(終値!$E325:$CZ325,1,$BN325+20)))</f>
      </c>
      <c r="BS325" s="684">
        <f>IF($BM325="","",AVERAGE(INDEX(終値!$E325:$CZ325,1,$BM325+1):INDEX(終値!$E325:$CZ325,1,$BM325+20))+2*STDEVP(INDEX(終値!$E325:$CZ325,1,$BM325+1):INDEX(終値!$E325:$CZ325,1,$BM325+20)))</f>
      </c>
      <c r="BT325" s="681">
        <f>IFERROR(IF(AND($BD325&gt;=2,ABS($BG325-$BH325)/$BH325&lt;=BB設定!$B$12,$BI325&gt;=MAX($BH325,$BG325)*(1+BB設定!$B$13),終値!E325&gt;$BG325),IF(OR(終値!E325&gt;=$BI325,AND($BH325&lt;$BJ325,$BG325&gt;=$BK325)),"二番底W▲","二番底W形成"),IF(AND($BL325&gt;=2,ABS($BO325-$BP325)/$BP325&lt;=BB設定!$B$12,$BQ325&lt;=MIN($BP325,$BO325)*(1-BB設定!$B$13),終値!E325&lt;$BO325),IF(OR(終値!E325&lt;=$BQ325,AND($BP325&gt;$BR325,$BO325&lt;=$BS325)),"二番天井M▼","二番天井M形成"),"－")),"－")</f>
      </c>
    </row>
    <row r="326">
      <c r="B326" s="684">
        <f>IF(終値!A326="","",IF(AND(安値!G326&lt;安値!F326,安値!G326&lt;安値!E326,安値!G326&lt;安値!H326,安値!G326&lt;安値!I326),2,""))</f>
      </c>
      <c r="C326" s="684">
        <f>IF(終値!A326="","",IF(AND(安値!H326&lt;安値!G326,安値!H326&lt;安値!F326,安値!H326&lt;安値!I326,安値!H326&lt;安値!J326),3,""))</f>
      </c>
      <c r="D326" s="684">
        <f>IF(終値!A326="","",IF(AND(安値!I326&lt;安値!H326,安値!I326&lt;安値!G326,安値!I326&lt;安値!J326,安値!I326&lt;安値!K326),4,""))</f>
      </c>
      <c r="E326" s="684">
        <f>IF(終値!A326="","",IF(AND(安値!J326&lt;安値!I326,安値!J326&lt;安値!H326,安値!J326&lt;安値!K326,安値!J326&lt;安値!L326),5,""))</f>
      </c>
      <c r="F326" s="684">
        <f>IF(終値!A326="","",IF(AND(安値!K326&lt;安値!J326,安値!K326&lt;安値!I326,安値!K326&lt;安値!L326,安値!K326&lt;安値!M326),6,""))</f>
      </c>
      <c r="G326" s="684">
        <f>IF(終値!A326="","",IF(AND(安値!L326&lt;安値!K326,安値!L326&lt;安値!J326,安値!L326&lt;安値!M326,安値!L326&lt;安値!N326),7,""))</f>
      </c>
      <c r="H326" s="684">
        <f>IF(終値!A326="","",IF(AND(安値!M326&lt;安値!L326,安値!M326&lt;安値!K326,安値!M326&lt;安値!N326,安値!M326&lt;安値!O326),8,""))</f>
      </c>
      <c r="I326" s="684">
        <f>IF(終値!A326="","",IF(AND(安値!N326&lt;安値!M326,安値!N326&lt;安値!L326,安値!N326&lt;安値!O326,安値!N326&lt;安値!P326),9,""))</f>
      </c>
      <c r="J326" s="684">
        <f>IF(終値!A326="","",IF(AND(安値!O326&lt;安値!N326,安値!O326&lt;安値!M326,安値!O326&lt;安値!P326,安値!O326&lt;安値!Q326),10,""))</f>
      </c>
      <c r="K326" s="684">
        <f>IF(終値!A326="","",IF(AND(安値!P326&lt;安値!O326,安値!P326&lt;安値!N326,安値!P326&lt;安値!Q326,安値!P326&lt;安値!R326),11,""))</f>
      </c>
      <c r="L326" s="684">
        <f>IF(終値!A326="","",IF(AND(安値!Q326&lt;安値!P326,安値!Q326&lt;安値!O326,安値!Q326&lt;安値!R326,安値!Q326&lt;安値!S326),12,""))</f>
      </c>
      <c r="M326" s="684">
        <f>IF(終値!A326="","",IF(AND(安値!R326&lt;安値!Q326,安値!R326&lt;安値!P326,安値!R326&lt;安値!S326,安値!R326&lt;安値!T326),13,""))</f>
      </c>
      <c r="N326" s="684">
        <f>IF(終値!A326="","",IF(AND(安値!S326&lt;安値!R326,安値!S326&lt;安値!Q326,安値!S326&lt;安値!T326,安値!S326&lt;安値!U326),14,""))</f>
      </c>
      <c r="O326" s="684">
        <f>IF(終値!A326="","",IF(AND(安値!T326&lt;安値!S326,安値!T326&lt;安値!R326,安値!T326&lt;安値!U326,安値!T326&lt;安値!V326),15,""))</f>
      </c>
      <c r="P326" s="684">
        <f>IF(終値!A326="","",IF(AND(安値!U326&lt;安値!T326,安値!U326&lt;安値!S326,安値!U326&lt;安値!V326,安値!U326&lt;安値!W326),16,""))</f>
      </c>
      <c r="Q326" s="684">
        <f>IF(終値!A326="","",IF(AND(安値!V326&lt;安値!U326,安値!V326&lt;安値!T326,安値!V326&lt;安値!W326,安値!V326&lt;安値!X326),17,""))</f>
      </c>
      <c r="R326" s="684">
        <f>IF(終値!A326="","",IF(AND(安値!W326&lt;安値!V326,安値!W326&lt;安値!U326,安値!W326&lt;安値!X326,安値!W326&lt;安値!Y326),18,""))</f>
      </c>
      <c r="S326" s="684">
        <f>IF(終値!A326="","",IF(AND(安値!X326&lt;安値!W326,安値!X326&lt;安値!V326,安値!X326&lt;安値!Y326,安値!X326&lt;安値!Z326),19,""))</f>
      </c>
      <c r="T326" s="684">
        <f>IF(終値!A326="","",IF(AND(安値!Y326&lt;安値!X326,安値!Y326&lt;安値!W326,安値!Y326&lt;安値!Z326,安値!Y326&lt;安値!AA326),20,""))</f>
      </c>
      <c r="U326" s="684">
        <f>IF(終値!A326="","",IF(AND(安値!Z326&lt;安値!Y326,安値!Z326&lt;安値!X326,安値!Z326&lt;安値!AA326,安値!Z326&lt;安値!AB326),21,""))</f>
      </c>
      <c r="V326" s="684">
        <f>IF(終値!A326="","",IF(AND(安値!AA326&lt;安値!Z326,安値!AA326&lt;安値!Y326,安値!AA326&lt;安値!AB326,安値!AA326&lt;安値!AC326),22,""))</f>
      </c>
      <c r="W326" s="684">
        <f>IF(終値!A326="","",IF(AND(安値!AB326&lt;安値!AA326,安値!AB326&lt;安値!Z326,安値!AB326&lt;安値!AC326,安値!AB326&lt;安値!AD326),23,""))</f>
      </c>
      <c r="X326" s="684">
        <f>IF(終値!A326="","",IF(AND(安値!AC326&lt;安値!AB326,安値!AC326&lt;安値!AA326,安値!AC326&lt;安値!AD326,安値!AC326&lt;安値!AE326),24,""))</f>
      </c>
      <c r="Y326" s="684">
        <f>IF(終値!A326="","",IF(AND(安値!AD326&lt;安値!AC326,安値!AD326&lt;安値!AB326,安値!AD326&lt;安値!AE326,安値!AD326&lt;安値!AF326),25,""))</f>
      </c>
      <c r="Z326" s="684">
        <f>IF(終値!A326="","",IF(AND(安値!AE326&lt;安値!AD326,安値!AE326&lt;安値!AC326,安値!AE326&lt;安値!AF326,安値!AE326&lt;安値!AG326),26,""))</f>
      </c>
      <c r="AA326" s="684">
        <f>IF(終値!A326="","",IF(AND(安値!AF326&lt;安値!AE326,安値!AF326&lt;安値!AD326,安値!AF326&lt;安値!AG326,安値!AF326&lt;安値!AH326),27,""))</f>
      </c>
      <c r="AB326" s="684">
        <f>IF(終値!A326="","",IF(AND(安値!AG326&lt;安値!AF326,安値!AG326&lt;安値!AE326,安値!AG326&lt;安値!AH326,安値!AG326&lt;安値!AI326),28,""))</f>
      </c>
      <c r="AC326" s="684">
        <f>IF(終値!A326="","",IF(AND(高値!G326&gt;高値!F326,高値!G326&gt;高値!E326,高値!G326&gt;高値!H326,高値!G326&gt;高値!I326),2,""))</f>
      </c>
      <c r="AD326" s="684">
        <f>IF(終値!A326="","",IF(AND(高値!H326&gt;高値!G326,高値!H326&gt;高値!F326,高値!H326&gt;高値!I326,高値!H326&gt;高値!J326),3,""))</f>
      </c>
      <c r="AE326" s="684">
        <f>IF(終値!A326="","",IF(AND(高値!I326&gt;高値!H326,高値!I326&gt;高値!G326,高値!I326&gt;高値!J326,高値!I326&gt;高値!K326),4,""))</f>
      </c>
      <c r="AF326" s="684">
        <f>IF(終値!A326="","",IF(AND(高値!J326&gt;高値!I326,高値!J326&gt;高値!H326,高値!J326&gt;高値!K326,高値!J326&gt;高値!L326),5,""))</f>
      </c>
      <c r="AG326" s="684">
        <f>IF(終値!A326="","",IF(AND(高値!K326&gt;高値!J326,高値!K326&gt;高値!I326,高値!K326&gt;高値!L326,高値!K326&gt;高値!M326),6,""))</f>
      </c>
      <c r="AH326" s="684">
        <f>IF(終値!A326="","",IF(AND(高値!L326&gt;高値!K326,高値!L326&gt;高値!J326,高値!L326&gt;高値!M326,高値!L326&gt;高値!N326),7,""))</f>
      </c>
      <c r="AI326" s="684">
        <f>IF(終値!A326="","",IF(AND(高値!M326&gt;高値!L326,高値!M326&gt;高値!K326,高値!M326&gt;高値!N326,高値!M326&gt;高値!O326),8,""))</f>
      </c>
      <c r="AJ326" s="684">
        <f>IF(終値!A326="","",IF(AND(高値!N326&gt;高値!M326,高値!N326&gt;高値!L326,高値!N326&gt;高値!O326,高値!N326&gt;高値!P326),9,""))</f>
      </c>
      <c r="AK326" s="684">
        <f>IF(終値!A326="","",IF(AND(高値!O326&gt;高値!N326,高値!O326&gt;高値!M326,高値!O326&gt;高値!P326,高値!O326&gt;高値!Q326),10,""))</f>
      </c>
      <c r="AL326" s="684">
        <f>IF(終値!A326="","",IF(AND(高値!P326&gt;高値!O326,高値!P326&gt;高値!N326,高値!P326&gt;高値!Q326,高値!P326&gt;高値!R326),11,""))</f>
      </c>
      <c r="AM326" s="684">
        <f>IF(終値!A326="","",IF(AND(高値!Q326&gt;高値!P326,高値!Q326&gt;高値!O326,高値!Q326&gt;高値!R326,高値!Q326&gt;高値!S326),12,""))</f>
      </c>
      <c r="AN326" s="684">
        <f>IF(終値!A326="","",IF(AND(高値!R326&gt;高値!Q326,高値!R326&gt;高値!P326,高値!R326&gt;高値!S326,高値!R326&gt;高値!T326),13,""))</f>
      </c>
      <c r="AO326" s="684">
        <f>IF(終値!A326="","",IF(AND(高値!S326&gt;高値!R326,高値!S326&gt;高値!Q326,高値!S326&gt;高値!T326,高値!S326&gt;高値!U326),14,""))</f>
      </c>
      <c r="AP326" s="684">
        <f>IF(終値!A326="","",IF(AND(高値!T326&gt;高値!S326,高値!T326&gt;高値!R326,高値!T326&gt;高値!U326,高値!T326&gt;高値!V326),15,""))</f>
      </c>
      <c r="AQ326" s="684">
        <f>IF(終値!A326="","",IF(AND(高値!U326&gt;高値!T326,高値!U326&gt;高値!S326,高値!U326&gt;高値!V326,高値!U326&gt;高値!W326),16,""))</f>
      </c>
      <c r="AR326" s="684">
        <f>IF(終値!A326="","",IF(AND(高値!V326&gt;高値!U326,高値!V326&gt;高値!T326,高値!V326&gt;高値!W326,高値!V326&gt;高値!X326),17,""))</f>
      </c>
      <c r="AS326" s="684">
        <f>IF(終値!A326="","",IF(AND(高値!W326&gt;高値!V326,高値!W326&gt;高値!U326,高値!W326&gt;高値!X326,高値!W326&gt;高値!Y326),18,""))</f>
      </c>
      <c r="AT326" s="684">
        <f>IF(終値!A326="","",IF(AND(高値!X326&gt;高値!W326,高値!X326&gt;高値!V326,高値!X326&gt;高値!Y326,高値!X326&gt;高値!Z326),19,""))</f>
      </c>
      <c r="AU326" s="684">
        <f>IF(終値!A326="","",IF(AND(高値!Y326&gt;高値!X326,高値!Y326&gt;高値!W326,高値!Y326&gt;高値!Z326,高値!Y326&gt;高値!AA326),20,""))</f>
      </c>
      <c r="AV326" s="684">
        <f>IF(終値!A326="","",IF(AND(高値!Z326&gt;高値!Y326,高値!Z326&gt;高値!X326,高値!Z326&gt;高値!AA326,高値!Z326&gt;高値!AB326),21,""))</f>
      </c>
      <c r="AW326" s="684">
        <f>IF(終値!A326="","",IF(AND(高値!AA326&gt;高値!Z326,高値!AA326&gt;高値!Y326,高値!AA326&gt;高値!AB326,高値!AA326&gt;高値!AC326),22,""))</f>
      </c>
      <c r="AX326" s="684">
        <f>IF(終値!A326="","",IF(AND(高値!AB326&gt;高値!AA326,高値!AB326&gt;高値!Z326,高値!AB326&gt;高値!AC326,高値!AB326&gt;高値!AD326),23,""))</f>
      </c>
      <c r="AY326" s="684">
        <f>IF(終値!A326="","",IF(AND(高値!AC326&gt;高値!AB326,高値!AC326&gt;高値!AA326,高値!AC326&gt;高値!AD326,高値!AC326&gt;高値!AE326),24,""))</f>
      </c>
      <c r="AZ326" s="684">
        <f>IF(終値!A326="","",IF(AND(高値!AD326&gt;高値!AC326,高値!AD326&gt;高値!AB326,高値!AD326&gt;高値!AE326,高値!AD326&gt;高値!AF326),25,""))</f>
      </c>
      <c r="BA326" s="684">
        <f>IF(終値!A326="","",IF(AND(高値!AE326&gt;高値!AD326,高値!AE326&gt;高値!AC326,高値!AE326&gt;高値!AF326,高値!AE326&gt;高値!AG326),26,""))</f>
      </c>
      <c r="BB326" s="684">
        <f>IF(終値!A326="","",IF(AND(高値!AF326&gt;高値!AE326,高値!AF326&gt;高値!AD326,高値!AF326&gt;高値!AG326,高値!AF326&gt;高値!AH326),27,""))</f>
      </c>
      <c r="BC326" s="684">
        <f>IF(終値!A326="","",IF(AND(高値!AG326&gt;高値!AF326,高値!AG326&gt;高値!AE326,高値!AG326&gt;高値!AH326,高値!AG326&gt;高値!AI326),28,""))</f>
      </c>
      <c r="BD326" s="684">
        <f>COUNT($B326:$AB326)</f>
      </c>
      <c r="BE326" s="684">
        <f>IF($BD326&gt;=2,MIN($B326:$AB326),"")</f>
      </c>
      <c r="BF326" s="684">
        <f>IF($BD326&gt;=2,SMALL($B326:$AB326,2),"")</f>
      </c>
      <c r="BG326" s="684">
        <f>IF($BE326="","",INDEX(安値!$E326:$CZ326,1,$BE326+1))</f>
      </c>
      <c r="BH326" s="684">
        <f>IF($BF326="","",INDEX(安値!$E326:$CZ326,1,$BF326+1))</f>
      </c>
      <c r="BI326" s="684">
        <f>IF($BF326="","",MAX(INDEX(高値!$E326:$CZ326,1,$BE326+1):INDEX(高値!$E326:$CZ326,1,$BF326+1)))</f>
      </c>
      <c r="BJ326" s="684">
        <f>IF($BF326="","",AVERAGE(INDEX(終値!$E326:$CZ326,1,$BF326+1):INDEX(終値!$E326:$CZ326,1,$BF326+20))-2*STDEVP(INDEX(終値!$E326:$CZ326,1,$BF326+1):INDEX(終値!$E326:$CZ326,1,$BF326+20)))</f>
      </c>
      <c r="BK326" s="684">
        <f>IF($BE326="","",AVERAGE(INDEX(終値!$E326:$CZ326,1,$BE326+1):INDEX(終値!$E326:$CZ326,1,$BE326+20))-2*STDEVP(INDEX(終値!$E326:$CZ326,1,$BE326+1):INDEX(終値!$E326:$CZ326,1,$BE326+20)))</f>
      </c>
      <c r="BL326" s="684">
        <f>COUNT($AC326:$BC326)</f>
      </c>
      <c r="BM326" s="684">
        <f>IF($BL326&gt;=2,MIN($AC326:$BC326),"")</f>
      </c>
      <c r="BN326" s="684">
        <f>IF($BL326&gt;=2,SMALL($AC326:$BC326,2),"")</f>
      </c>
      <c r="BO326" s="684">
        <f>IF($BM326="","",INDEX(高値!$E326:$CZ326,1,$BM326+1))</f>
      </c>
      <c r="BP326" s="684">
        <f>IF($BN326="","",INDEX(高値!$E326:$CZ326,1,$BN326+1))</f>
      </c>
      <c r="BQ326" s="684">
        <f>IF($BN326="","",MIN(INDEX(安値!$E326:$CZ326,1,$BM326+1):INDEX(安値!$E326:$CZ326,1,$BN326+1)))</f>
      </c>
      <c r="BR326" s="684">
        <f>IF($BN326="","",AVERAGE(INDEX(終値!$E326:$CZ326,1,$BN326+1):INDEX(終値!$E326:$CZ326,1,$BN326+20))+2*STDEVP(INDEX(終値!$E326:$CZ326,1,$BN326+1):INDEX(終値!$E326:$CZ326,1,$BN326+20)))</f>
      </c>
      <c r="BS326" s="684">
        <f>IF($BM326="","",AVERAGE(INDEX(終値!$E326:$CZ326,1,$BM326+1):INDEX(終値!$E326:$CZ326,1,$BM326+20))+2*STDEVP(INDEX(終値!$E326:$CZ326,1,$BM326+1):INDEX(終値!$E326:$CZ326,1,$BM326+20)))</f>
      </c>
      <c r="BT326" s="681">
        <f>IFERROR(IF(AND($BD326&gt;=2,ABS($BG326-$BH326)/$BH326&lt;=BB設定!$B$12,$BI326&gt;=MAX($BH326,$BG326)*(1+BB設定!$B$13),終値!E326&gt;$BG326),IF(OR(終値!E326&gt;=$BI326,AND($BH326&lt;$BJ326,$BG326&gt;=$BK326)),"二番底W▲","二番底W形成"),IF(AND($BL326&gt;=2,ABS($BO326-$BP326)/$BP326&lt;=BB設定!$B$12,$BQ326&lt;=MIN($BP326,$BO326)*(1-BB設定!$B$13),終値!E326&lt;$BO326),IF(OR(終値!E326&lt;=$BQ326,AND($BP326&gt;$BR326,$BO326&lt;=$BS326)),"二番天井M▼","二番天井M形成"),"－")),"－")</f>
      </c>
    </row>
    <row r="327">
      <c r="B327" s="684">
        <f>IF(終値!A327="","",IF(AND(安値!G327&lt;安値!F327,安値!G327&lt;安値!E327,安値!G327&lt;安値!H327,安値!G327&lt;安値!I327),2,""))</f>
      </c>
      <c r="C327" s="684">
        <f>IF(終値!A327="","",IF(AND(安値!H327&lt;安値!G327,安値!H327&lt;安値!F327,安値!H327&lt;安値!I327,安値!H327&lt;安値!J327),3,""))</f>
      </c>
      <c r="D327" s="684">
        <f>IF(終値!A327="","",IF(AND(安値!I327&lt;安値!H327,安値!I327&lt;安値!G327,安値!I327&lt;安値!J327,安値!I327&lt;安値!K327),4,""))</f>
      </c>
      <c r="E327" s="684">
        <f>IF(終値!A327="","",IF(AND(安値!J327&lt;安値!I327,安値!J327&lt;安値!H327,安値!J327&lt;安値!K327,安値!J327&lt;安値!L327),5,""))</f>
      </c>
      <c r="F327" s="684">
        <f>IF(終値!A327="","",IF(AND(安値!K327&lt;安値!J327,安値!K327&lt;安値!I327,安値!K327&lt;安値!L327,安値!K327&lt;安値!M327),6,""))</f>
      </c>
      <c r="G327" s="684">
        <f>IF(終値!A327="","",IF(AND(安値!L327&lt;安値!K327,安値!L327&lt;安値!J327,安値!L327&lt;安値!M327,安値!L327&lt;安値!N327),7,""))</f>
      </c>
      <c r="H327" s="684">
        <f>IF(終値!A327="","",IF(AND(安値!M327&lt;安値!L327,安値!M327&lt;安値!K327,安値!M327&lt;安値!N327,安値!M327&lt;安値!O327),8,""))</f>
      </c>
      <c r="I327" s="684">
        <f>IF(終値!A327="","",IF(AND(安値!N327&lt;安値!M327,安値!N327&lt;安値!L327,安値!N327&lt;安値!O327,安値!N327&lt;安値!P327),9,""))</f>
      </c>
      <c r="J327" s="684">
        <f>IF(終値!A327="","",IF(AND(安値!O327&lt;安値!N327,安値!O327&lt;安値!M327,安値!O327&lt;安値!P327,安値!O327&lt;安値!Q327),10,""))</f>
      </c>
      <c r="K327" s="684">
        <f>IF(終値!A327="","",IF(AND(安値!P327&lt;安値!O327,安値!P327&lt;安値!N327,安値!P327&lt;安値!Q327,安値!P327&lt;安値!R327),11,""))</f>
      </c>
      <c r="L327" s="684">
        <f>IF(終値!A327="","",IF(AND(安値!Q327&lt;安値!P327,安値!Q327&lt;安値!O327,安値!Q327&lt;安値!R327,安値!Q327&lt;安値!S327),12,""))</f>
      </c>
      <c r="M327" s="684">
        <f>IF(終値!A327="","",IF(AND(安値!R327&lt;安値!Q327,安値!R327&lt;安値!P327,安値!R327&lt;安値!S327,安値!R327&lt;安値!T327),13,""))</f>
      </c>
      <c r="N327" s="684">
        <f>IF(終値!A327="","",IF(AND(安値!S327&lt;安値!R327,安値!S327&lt;安値!Q327,安値!S327&lt;安値!T327,安値!S327&lt;安値!U327),14,""))</f>
      </c>
      <c r="O327" s="684">
        <f>IF(終値!A327="","",IF(AND(安値!T327&lt;安値!S327,安値!T327&lt;安値!R327,安値!T327&lt;安値!U327,安値!T327&lt;安値!V327),15,""))</f>
      </c>
      <c r="P327" s="684">
        <f>IF(終値!A327="","",IF(AND(安値!U327&lt;安値!T327,安値!U327&lt;安値!S327,安値!U327&lt;安値!V327,安値!U327&lt;安値!W327),16,""))</f>
      </c>
      <c r="Q327" s="684">
        <f>IF(終値!A327="","",IF(AND(安値!V327&lt;安値!U327,安値!V327&lt;安値!T327,安値!V327&lt;安値!W327,安値!V327&lt;安値!X327),17,""))</f>
      </c>
      <c r="R327" s="684">
        <f>IF(終値!A327="","",IF(AND(安値!W327&lt;安値!V327,安値!W327&lt;安値!U327,安値!W327&lt;安値!X327,安値!W327&lt;安値!Y327),18,""))</f>
      </c>
      <c r="S327" s="684">
        <f>IF(終値!A327="","",IF(AND(安値!X327&lt;安値!W327,安値!X327&lt;安値!V327,安値!X327&lt;安値!Y327,安値!X327&lt;安値!Z327),19,""))</f>
      </c>
      <c r="T327" s="684">
        <f>IF(終値!A327="","",IF(AND(安値!Y327&lt;安値!X327,安値!Y327&lt;安値!W327,安値!Y327&lt;安値!Z327,安値!Y327&lt;安値!AA327),20,""))</f>
      </c>
      <c r="U327" s="684">
        <f>IF(終値!A327="","",IF(AND(安値!Z327&lt;安値!Y327,安値!Z327&lt;安値!X327,安値!Z327&lt;安値!AA327,安値!Z327&lt;安値!AB327),21,""))</f>
      </c>
      <c r="V327" s="684">
        <f>IF(終値!A327="","",IF(AND(安値!AA327&lt;安値!Z327,安値!AA327&lt;安値!Y327,安値!AA327&lt;安値!AB327,安値!AA327&lt;安値!AC327),22,""))</f>
      </c>
      <c r="W327" s="684">
        <f>IF(終値!A327="","",IF(AND(安値!AB327&lt;安値!AA327,安値!AB327&lt;安値!Z327,安値!AB327&lt;安値!AC327,安値!AB327&lt;安値!AD327),23,""))</f>
      </c>
      <c r="X327" s="684">
        <f>IF(終値!A327="","",IF(AND(安値!AC327&lt;安値!AB327,安値!AC327&lt;安値!AA327,安値!AC327&lt;安値!AD327,安値!AC327&lt;安値!AE327),24,""))</f>
      </c>
      <c r="Y327" s="684">
        <f>IF(終値!A327="","",IF(AND(安値!AD327&lt;安値!AC327,安値!AD327&lt;安値!AB327,安値!AD327&lt;安値!AE327,安値!AD327&lt;安値!AF327),25,""))</f>
      </c>
      <c r="Z327" s="684">
        <f>IF(終値!A327="","",IF(AND(安値!AE327&lt;安値!AD327,安値!AE327&lt;安値!AC327,安値!AE327&lt;安値!AF327,安値!AE327&lt;安値!AG327),26,""))</f>
      </c>
      <c r="AA327" s="684">
        <f>IF(終値!A327="","",IF(AND(安値!AF327&lt;安値!AE327,安値!AF327&lt;安値!AD327,安値!AF327&lt;安値!AG327,安値!AF327&lt;安値!AH327),27,""))</f>
      </c>
      <c r="AB327" s="684">
        <f>IF(終値!A327="","",IF(AND(安値!AG327&lt;安値!AF327,安値!AG327&lt;安値!AE327,安値!AG327&lt;安値!AH327,安値!AG327&lt;安値!AI327),28,""))</f>
      </c>
      <c r="AC327" s="684">
        <f>IF(終値!A327="","",IF(AND(高値!G327&gt;高値!F327,高値!G327&gt;高値!E327,高値!G327&gt;高値!H327,高値!G327&gt;高値!I327),2,""))</f>
      </c>
      <c r="AD327" s="684">
        <f>IF(終値!A327="","",IF(AND(高値!H327&gt;高値!G327,高値!H327&gt;高値!F327,高値!H327&gt;高値!I327,高値!H327&gt;高値!J327),3,""))</f>
      </c>
      <c r="AE327" s="684">
        <f>IF(終値!A327="","",IF(AND(高値!I327&gt;高値!H327,高値!I327&gt;高値!G327,高値!I327&gt;高値!J327,高値!I327&gt;高値!K327),4,""))</f>
      </c>
      <c r="AF327" s="684">
        <f>IF(終値!A327="","",IF(AND(高値!J327&gt;高値!I327,高値!J327&gt;高値!H327,高値!J327&gt;高値!K327,高値!J327&gt;高値!L327),5,""))</f>
      </c>
      <c r="AG327" s="684">
        <f>IF(終値!A327="","",IF(AND(高値!K327&gt;高値!J327,高値!K327&gt;高値!I327,高値!K327&gt;高値!L327,高値!K327&gt;高値!M327),6,""))</f>
      </c>
      <c r="AH327" s="684">
        <f>IF(終値!A327="","",IF(AND(高値!L327&gt;高値!K327,高値!L327&gt;高値!J327,高値!L327&gt;高値!M327,高値!L327&gt;高値!N327),7,""))</f>
      </c>
      <c r="AI327" s="684">
        <f>IF(終値!A327="","",IF(AND(高値!M327&gt;高値!L327,高値!M327&gt;高値!K327,高値!M327&gt;高値!N327,高値!M327&gt;高値!O327),8,""))</f>
      </c>
      <c r="AJ327" s="684">
        <f>IF(終値!A327="","",IF(AND(高値!N327&gt;高値!M327,高値!N327&gt;高値!L327,高値!N327&gt;高値!O327,高値!N327&gt;高値!P327),9,""))</f>
      </c>
      <c r="AK327" s="684">
        <f>IF(終値!A327="","",IF(AND(高値!O327&gt;高値!N327,高値!O327&gt;高値!M327,高値!O327&gt;高値!P327,高値!O327&gt;高値!Q327),10,""))</f>
      </c>
      <c r="AL327" s="684">
        <f>IF(終値!A327="","",IF(AND(高値!P327&gt;高値!O327,高値!P327&gt;高値!N327,高値!P327&gt;高値!Q327,高値!P327&gt;高値!R327),11,""))</f>
      </c>
      <c r="AM327" s="684">
        <f>IF(終値!A327="","",IF(AND(高値!Q327&gt;高値!P327,高値!Q327&gt;高値!O327,高値!Q327&gt;高値!R327,高値!Q327&gt;高値!S327),12,""))</f>
      </c>
      <c r="AN327" s="684">
        <f>IF(終値!A327="","",IF(AND(高値!R327&gt;高値!Q327,高値!R327&gt;高値!P327,高値!R327&gt;高値!S327,高値!R327&gt;高値!T327),13,""))</f>
      </c>
      <c r="AO327" s="684">
        <f>IF(終値!A327="","",IF(AND(高値!S327&gt;高値!R327,高値!S327&gt;高値!Q327,高値!S327&gt;高値!T327,高値!S327&gt;高値!U327),14,""))</f>
      </c>
      <c r="AP327" s="684">
        <f>IF(終値!A327="","",IF(AND(高値!T327&gt;高値!S327,高値!T327&gt;高値!R327,高値!T327&gt;高値!U327,高値!T327&gt;高値!V327),15,""))</f>
      </c>
      <c r="AQ327" s="684">
        <f>IF(終値!A327="","",IF(AND(高値!U327&gt;高値!T327,高値!U327&gt;高値!S327,高値!U327&gt;高値!V327,高値!U327&gt;高値!W327),16,""))</f>
      </c>
      <c r="AR327" s="684">
        <f>IF(終値!A327="","",IF(AND(高値!V327&gt;高値!U327,高値!V327&gt;高値!T327,高値!V327&gt;高値!W327,高値!V327&gt;高値!X327),17,""))</f>
      </c>
      <c r="AS327" s="684">
        <f>IF(終値!A327="","",IF(AND(高値!W327&gt;高値!V327,高値!W327&gt;高値!U327,高値!W327&gt;高値!X327,高値!W327&gt;高値!Y327),18,""))</f>
      </c>
      <c r="AT327" s="684">
        <f>IF(終値!A327="","",IF(AND(高値!X327&gt;高値!W327,高値!X327&gt;高値!V327,高値!X327&gt;高値!Y327,高値!X327&gt;高値!Z327),19,""))</f>
      </c>
      <c r="AU327" s="684">
        <f>IF(終値!A327="","",IF(AND(高値!Y327&gt;高値!X327,高値!Y327&gt;高値!W327,高値!Y327&gt;高値!Z327,高値!Y327&gt;高値!AA327),20,""))</f>
      </c>
      <c r="AV327" s="684">
        <f>IF(終値!A327="","",IF(AND(高値!Z327&gt;高値!Y327,高値!Z327&gt;高値!X327,高値!Z327&gt;高値!AA327,高値!Z327&gt;高値!AB327),21,""))</f>
      </c>
      <c r="AW327" s="684">
        <f>IF(終値!A327="","",IF(AND(高値!AA327&gt;高値!Z327,高値!AA327&gt;高値!Y327,高値!AA327&gt;高値!AB327,高値!AA327&gt;高値!AC327),22,""))</f>
      </c>
      <c r="AX327" s="684">
        <f>IF(終値!A327="","",IF(AND(高値!AB327&gt;高値!AA327,高値!AB327&gt;高値!Z327,高値!AB327&gt;高値!AC327,高値!AB327&gt;高値!AD327),23,""))</f>
      </c>
      <c r="AY327" s="684">
        <f>IF(終値!A327="","",IF(AND(高値!AC327&gt;高値!AB327,高値!AC327&gt;高値!AA327,高値!AC327&gt;高値!AD327,高値!AC327&gt;高値!AE327),24,""))</f>
      </c>
      <c r="AZ327" s="684">
        <f>IF(終値!A327="","",IF(AND(高値!AD327&gt;高値!AC327,高値!AD327&gt;高値!AB327,高値!AD327&gt;高値!AE327,高値!AD327&gt;高値!AF327),25,""))</f>
      </c>
      <c r="BA327" s="684">
        <f>IF(終値!A327="","",IF(AND(高値!AE327&gt;高値!AD327,高値!AE327&gt;高値!AC327,高値!AE327&gt;高値!AF327,高値!AE327&gt;高値!AG327),26,""))</f>
      </c>
      <c r="BB327" s="684">
        <f>IF(終値!A327="","",IF(AND(高値!AF327&gt;高値!AE327,高値!AF327&gt;高値!AD327,高値!AF327&gt;高値!AG327,高値!AF327&gt;高値!AH327),27,""))</f>
      </c>
      <c r="BC327" s="684">
        <f>IF(終値!A327="","",IF(AND(高値!AG327&gt;高値!AF327,高値!AG327&gt;高値!AE327,高値!AG327&gt;高値!AH327,高値!AG327&gt;高値!AI327),28,""))</f>
      </c>
      <c r="BD327" s="684">
        <f>COUNT($B327:$AB327)</f>
      </c>
      <c r="BE327" s="684">
        <f>IF($BD327&gt;=2,MIN($B327:$AB327),"")</f>
      </c>
      <c r="BF327" s="684">
        <f>IF($BD327&gt;=2,SMALL($B327:$AB327,2),"")</f>
      </c>
      <c r="BG327" s="684">
        <f>IF($BE327="","",INDEX(安値!$E327:$CZ327,1,$BE327+1))</f>
      </c>
      <c r="BH327" s="684">
        <f>IF($BF327="","",INDEX(安値!$E327:$CZ327,1,$BF327+1))</f>
      </c>
      <c r="BI327" s="684">
        <f>IF($BF327="","",MAX(INDEX(高値!$E327:$CZ327,1,$BE327+1):INDEX(高値!$E327:$CZ327,1,$BF327+1)))</f>
      </c>
      <c r="BJ327" s="684">
        <f>IF($BF327="","",AVERAGE(INDEX(終値!$E327:$CZ327,1,$BF327+1):INDEX(終値!$E327:$CZ327,1,$BF327+20))-2*STDEVP(INDEX(終値!$E327:$CZ327,1,$BF327+1):INDEX(終値!$E327:$CZ327,1,$BF327+20)))</f>
      </c>
      <c r="BK327" s="684">
        <f>IF($BE327="","",AVERAGE(INDEX(終値!$E327:$CZ327,1,$BE327+1):INDEX(終値!$E327:$CZ327,1,$BE327+20))-2*STDEVP(INDEX(終値!$E327:$CZ327,1,$BE327+1):INDEX(終値!$E327:$CZ327,1,$BE327+20)))</f>
      </c>
      <c r="BL327" s="684">
        <f>COUNT($AC327:$BC327)</f>
      </c>
      <c r="BM327" s="684">
        <f>IF($BL327&gt;=2,MIN($AC327:$BC327),"")</f>
      </c>
      <c r="BN327" s="684">
        <f>IF($BL327&gt;=2,SMALL($AC327:$BC327,2),"")</f>
      </c>
      <c r="BO327" s="684">
        <f>IF($BM327="","",INDEX(高値!$E327:$CZ327,1,$BM327+1))</f>
      </c>
      <c r="BP327" s="684">
        <f>IF($BN327="","",INDEX(高値!$E327:$CZ327,1,$BN327+1))</f>
      </c>
      <c r="BQ327" s="684">
        <f>IF($BN327="","",MIN(INDEX(安値!$E327:$CZ327,1,$BM327+1):INDEX(安値!$E327:$CZ327,1,$BN327+1)))</f>
      </c>
      <c r="BR327" s="684">
        <f>IF($BN327="","",AVERAGE(INDEX(終値!$E327:$CZ327,1,$BN327+1):INDEX(終値!$E327:$CZ327,1,$BN327+20))+2*STDEVP(INDEX(終値!$E327:$CZ327,1,$BN327+1):INDEX(終値!$E327:$CZ327,1,$BN327+20)))</f>
      </c>
      <c r="BS327" s="684">
        <f>IF($BM327="","",AVERAGE(INDEX(終値!$E327:$CZ327,1,$BM327+1):INDEX(終値!$E327:$CZ327,1,$BM327+20))+2*STDEVP(INDEX(終値!$E327:$CZ327,1,$BM327+1):INDEX(終値!$E327:$CZ327,1,$BM327+20)))</f>
      </c>
      <c r="BT327" s="681">
        <f>IFERROR(IF(AND($BD327&gt;=2,ABS($BG327-$BH327)/$BH327&lt;=BB設定!$B$12,$BI327&gt;=MAX($BH327,$BG327)*(1+BB設定!$B$13),終値!E327&gt;$BG327),IF(OR(終値!E327&gt;=$BI327,AND($BH327&lt;$BJ327,$BG327&gt;=$BK327)),"二番底W▲","二番底W形成"),IF(AND($BL327&gt;=2,ABS($BO327-$BP327)/$BP327&lt;=BB設定!$B$12,$BQ327&lt;=MIN($BP327,$BO327)*(1-BB設定!$B$13),終値!E327&lt;$BO327),IF(OR(終値!E327&lt;=$BQ327,AND($BP327&gt;$BR327,$BO327&lt;=$BS327)),"二番天井M▼","二番天井M形成"),"－")),"－")</f>
      </c>
    </row>
    <row r="328">
      <c r="B328" s="684">
        <f>IF(終値!A328="","",IF(AND(安値!G328&lt;安値!F328,安値!G328&lt;安値!E328,安値!G328&lt;安値!H328,安値!G328&lt;安値!I328),2,""))</f>
      </c>
      <c r="C328" s="684">
        <f>IF(終値!A328="","",IF(AND(安値!H328&lt;安値!G328,安値!H328&lt;安値!F328,安値!H328&lt;安値!I328,安値!H328&lt;安値!J328),3,""))</f>
      </c>
      <c r="D328" s="684">
        <f>IF(終値!A328="","",IF(AND(安値!I328&lt;安値!H328,安値!I328&lt;安値!G328,安値!I328&lt;安値!J328,安値!I328&lt;安値!K328),4,""))</f>
      </c>
      <c r="E328" s="684">
        <f>IF(終値!A328="","",IF(AND(安値!J328&lt;安値!I328,安値!J328&lt;安値!H328,安値!J328&lt;安値!K328,安値!J328&lt;安値!L328),5,""))</f>
      </c>
      <c r="F328" s="684">
        <f>IF(終値!A328="","",IF(AND(安値!K328&lt;安値!J328,安値!K328&lt;安値!I328,安値!K328&lt;安値!L328,安値!K328&lt;安値!M328),6,""))</f>
      </c>
      <c r="G328" s="684">
        <f>IF(終値!A328="","",IF(AND(安値!L328&lt;安値!K328,安値!L328&lt;安値!J328,安値!L328&lt;安値!M328,安値!L328&lt;安値!N328),7,""))</f>
      </c>
      <c r="H328" s="684">
        <f>IF(終値!A328="","",IF(AND(安値!M328&lt;安値!L328,安値!M328&lt;安値!K328,安値!M328&lt;安値!N328,安値!M328&lt;安値!O328),8,""))</f>
      </c>
      <c r="I328" s="684">
        <f>IF(終値!A328="","",IF(AND(安値!N328&lt;安値!M328,安値!N328&lt;安値!L328,安値!N328&lt;安値!O328,安値!N328&lt;安値!P328),9,""))</f>
      </c>
      <c r="J328" s="684">
        <f>IF(終値!A328="","",IF(AND(安値!O328&lt;安値!N328,安値!O328&lt;安値!M328,安値!O328&lt;安値!P328,安値!O328&lt;安値!Q328),10,""))</f>
      </c>
      <c r="K328" s="684">
        <f>IF(終値!A328="","",IF(AND(安値!P328&lt;安値!O328,安値!P328&lt;安値!N328,安値!P328&lt;安値!Q328,安値!P328&lt;安値!R328),11,""))</f>
      </c>
      <c r="L328" s="684">
        <f>IF(終値!A328="","",IF(AND(安値!Q328&lt;安値!P328,安値!Q328&lt;安値!O328,安値!Q328&lt;安値!R328,安値!Q328&lt;安値!S328),12,""))</f>
      </c>
      <c r="M328" s="684">
        <f>IF(終値!A328="","",IF(AND(安値!R328&lt;安値!Q328,安値!R328&lt;安値!P328,安値!R328&lt;安値!S328,安値!R328&lt;安値!T328),13,""))</f>
      </c>
      <c r="N328" s="684">
        <f>IF(終値!A328="","",IF(AND(安値!S328&lt;安値!R328,安値!S328&lt;安値!Q328,安値!S328&lt;安値!T328,安値!S328&lt;安値!U328),14,""))</f>
      </c>
      <c r="O328" s="684">
        <f>IF(終値!A328="","",IF(AND(安値!T328&lt;安値!S328,安値!T328&lt;安値!R328,安値!T328&lt;安値!U328,安値!T328&lt;安値!V328),15,""))</f>
      </c>
      <c r="P328" s="684">
        <f>IF(終値!A328="","",IF(AND(安値!U328&lt;安値!T328,安値!U328&lt;安値!S328,安値!U328&lt;安値!V328,安値!U328&lt;安値!W328),16,""))</f>
      </c>
      <c r="Q328" s="684">
        <f>IF(終値!A328="","",IF(AND(安値!V328&lt;安値!U328,安値!V328&lt;安値!T328,安値!V328&lt;安値!W328,安値!V328&lt;安値!X328),17,""))</f>
      </c>
      <c r="R328" s="684">
        <f>IF(終値!A328="","",IF(AND(安値!W328&lt;安値!V328,安値!W328&lt;安値!U328,安値!W328&lt;安値!X328,安値!W328&lt;安値!Y328),18,""))</f>
      </c>
      <c r="S328" s="684">
        <f>IF(終値!A328="","",IF(AND(安値!X328&lt;安値!W328,安値!X328&lt;安値!V328,安値!X328&lt;安値!Y328,安値!X328&lt;安値!Z328),19,""))</f>
      </c>
      <c r="T328" s="684">
        <f>IF(終値!A328="","",IF(AND(安値!Y328&lt;安値!X328,安値!Y328&lt;安値!W328,安値!Y328&lt;安値!Z328,安値!Y328&lt;安値!AA328),20,""))</f>
      </c>
      <c r="U328" s="684">
        <f>IF(終値!A328="","",IF(AND(安値!Z328&lt;安値!Y328,安値!Z328&lt;安値!X328,安値!Z328&lt;安値!AA328,安値!Z328&lt;安値!AB328),21,""))</f>
      </c>
      <c r="V328" s="684">
        <f>IF(終値!A328="","",IF(AND(安値!AA328&lt;安値!Z328,安値!AA328&lt;安値!Y328,安値!AA328&lt;安値!AB328,安値!AA328&lt;安値!AC328),22,""))</f>
      </c>
      <c r="W328" s="684">
        <f>IF(終値!A328="","",IF(AND(安値!AB328&lt;安値!AA328,安値!AB328&lt;安値!Z328,安値!AB328&lt;安値!AC328,安値!AB328&lt;安値!AD328),23,""))</f>
      </c>
      <c r="X328" s="684">
        <f>IF(終値!A328="","",IF(AND(安値!AC328&lt;安値!AB328,安値!AC328&lt;安値!AA328,安値!AC328&lt;安値!AD328,安値!AC328&lt;安値!AE328),24,""))</f>
      </c>
      <c r="Y328" s="684">
        <f>IF(終値!A328="","",IF(AND(安値!AD328&lt;安値!AC328,安値!AD328&lt;安値!AB328,安値!AD328&lt;安値!AE328,安値!AD328&lt;安値!AF328),25,""))</f>
      </c>
      <c r="Z328" s="684">
        <f>IF(終値!A328="","",IF(AND(安値!AE328&lt;安値!AD328,安値!AE328&lt;安値!AC328,安値!AE328&lt;安値!AF328,安値!AE328&lt;安値!AG328),26,""))</f>
      </c>
      <c r="AA328" s="684">
        <f>IF(終値!A328="","",IF(AND(安値!AF328&lt;安値!AE328,安値!AF328&lt;安値!AD328,安値!AF328&lt;安値!AG328,安値!AF328&lt;安値!AH328),27,""))</f>
      </c>
      <c r="AB328" s="684">
        <f>IF(終値!A328="","",IF(AND(安値!AG328&lt;安値!AF328,安値!AG328&lt;安値!AE328,安値!AG328&lt;安値!AH328,安値!AG328&lt;安値!AI328),28,""))</f>
      </c>
      <c r="AC328" s="684">
        <f>IF(終値!A328="","",IF(AND(高値!G328&gt;高値!F328,高値!G328&gt;高値!E328,高値!G328&gt;高値!H328,高値!G328&gt;高値!I328),2,""))</f>
      </c>
      <c r="AD328" s="684">
        <f>IF(終値!A328="","",IF(AND(高値!H328&gt;高値!G328,高値!H328&gt;高値!F328,高値!H328&gt;高値!I328,高値!H328&gt;高値!J328),3,""))</f>
      </c>
      <c r="AE328" s="684">
        <f>IF(終値!A328="","",IF(AND(高値!I328&gt;高値!H328,高値!I328&gt;高値!G328,高値!I328&gt;高値!J328,高値!I328&gt;高値!K328),4,""))</f>
      </c>
      <c r="AF328" s="684">
        <f>IF(終値!A328="","",IF(AND(高値!J328&gt;高値!I328,高値!J328&gt;高値!H328,高値!J328&gt;高値!K328,高値!J328&gt;高値!L328),5,""))</f>
      </c>
      <c r="AG328" s="684">
        <f>IF(終値!A328="","",IF(AND(高値!K328&gt;高値!J328,高値!K328&gt;高値!I328,高値!K328&gt;高値!L328,高値!K328&gt;高値!M328),6,""))</f>
      </c>
      <c r="AH328" s="684">
        <f>IF(終値!A328="","",IF(AND(高値!L328&gt;高値!K328,高値!L328&gt;高値!J328,高値!L328&gt;高値!M328,高値!L328&gt;高値!N328),7,""))</f>
      </c>
      <c r="AI328" s="684">
        <f>IF(終値!A328="","",IF(AND(高値!M328&gt;高値!L328,高値!M328&gt;高値!K328,高値!M328&gt;高値!N328,高値!M328&gt;高値!O328),8,""))</f>
      </c>
      <c r="AJ328" s="684">
        <f>IF(終値!A328="","",IF(AND(高値!N328&gt;高値!M328,高値!N328&gt;高値!L328,高値!N328&gt;高値!O328,高値!N328&gt;高値!P328),9,""))</f>
      </c>
      <c r="AK328" s="684">
        <f>IF(終値!A328="","",IF(AND(高値!O328&gt;高値!N328,高値!O328&gt;高値!M328,高値!O328&gt;高値!P328,高値!O328&gt;高値!Q328),10,""))</f>
      </c>
      <c r="AL328" s="684">
        <f>IF(終値!A328="","",IF(AND(高値!P328&gt;高値!O328,高値!P328&gt;高値!N328,高値!P328&gt;高値!Q328,高値!P328&gt;高値!R328),11,""))</f>
      </c>
      <c r="AM328" s="684">
        <f>IF(終値!A328="","",IF(AND(高値!Q328&gt;高値!P328,高値!Q328&gt;高値!O328,高値!Q328&gt;高値!R328,高値!Q328&gt;高値!S328),12,""))</f>
      </c>
      <c r="AN328" s="684">
        <f>IF(終値!A328="","",IF(AND(高値!R328&gt;高値!Q328,高値!R328&gt;高値!P328,高値!R328&gt;高値!S328,高値!R328&gt;高値!T328),13,""))</f>
      </c>
      <c r="AO328" s="684">
        <f>IF(終値!A328="","",IF(AND(高値!S328&gt;高値!R328,高値!S328&gt;高値!Q328,高値!S328&gt;高値!T328,高値!S328&gt;高値!U328),14,""))</f>
      </c>
      <c r="AP328" s="684">
        <f>IF(終値!A328="","",IF(AND(高値!T328&gt;高値!S328,高値!T328&gt;高値!R328,高値!T328&gt;高値!U328,高値!T328&gt;高値!V328),15,""))</f>
      </c>
      <c r="AQ328" s="684">
        <f>IF(終値!A328="","",IF(AND(高値!U328&gt;高値!T328,高値!U328&gt;高値!S328,高値!U328&gt;高値!V328,高値!U328&gt;高値!W328),16,""))</f>
      </c>
      <c r="AR328" s="684">
        <f>IF(終値!A328="","",IF(AND(高値!V328&gt;高値!U328,高値!V328&gt;高値!T328,高値!V328&gt;高値!W328,高値!V328&gt;高値!X328),17,""))</f>
      </c>
      <c r="AS328" s="684">
        <f>IF(終値!A328="","",IF(AND(高値!W328&gt;高値!V328,高値!W328&gt;高値!U328,高値!W328&gt;高値!X328,高値!W328&gt;高値!Y328),18,""))</f>
      </c>
      <c r="AT328" s="684">
        <f>IF(終値!A328="","",IF(AND(高値!X328&gt;高値!W328,高値!X328&gt;高値!V328,高値!X328&gt;高値!Y328,高値!X328&gt;高値!Z328),19,""))</f>
      </c>
      <c r="AU328" s="684">
        <f>IF(終値!A328="","",IF(AND(高値!Y328&gt;高値!X328,高値!Y328&gt;高値!W328,高値!Y328&gt;高値!Z328,高値!Y328&gt;高値!AA328),20,""))</f>
      </c>
      <c r="AV328" s="684">
        <f>IF(終値!A328="","",IF(AND(高値!Z328&gt;高値!Y328,高値!Z328&gt;高値!X328,高値!Z328&gt;高値!AA328,高値!Z328&gt;高値!AB328),21,""))</f>
      </c>
      <c r="AW328" s="684">
        <f>IF(終値!A328="","",IF(AND(高値!AA328&gt;高値!Z328,高値!AA328&gt;高値!Y328,高値!AA328&gt;高値!AB328,高値!AA328&gt;高値!AC328),22,""))</f>
      </c>
      <c r="AX328" s="684">
        <f>IF(終値!A328="","",IF(AND(高値!AB328&gt;高値!AA328,高値!AB328&gt;高値!Z328,高値!AB328&gt;高値!AC328,高値!AB328&gt;高値!AD328),23,""))</f>
      </c>
      <c r="AY328" s="684">
        <f>IF(終値!A328="","",IF(AND(高値!AC328&gt;高値!AB328,高値!AC328&gt;高値!AA328,高値!AC328&gt;高値!AD328,高値!AC328&gt;高値!AE328),24,""))</f>
      </c>
      <c r="AZ328" s="684">
        <f>IF(終値!A328="","",IF(AND(高値!AD328&gt;高値!AC328,高値!AD328&gt;高値!AB328,高値!AD328&gt;高値!AE328,高値!AD328&gt;高値!AF328),25,""))</f>
      </c>
      <c r="BA328" s="684">
        <f>IF(終値!A328="","",IF(AND(高値!AE328&gt;高値!AD328,高値!AE328&gt;高値!AC328,高値!AE328&gt;高値!AF328,高値!AE328&gt;高値!AG328),26,""))</f>
      </c>
      <c r="BB328" s="684">
        <f>IF(終値!A328="","",IF(AND(高値!AF328&gt;高値!AE328,高値!AF328&gt;高値!AD328,高値!AF328&gt;高値!AG328,高値!AF328&gt;高値!AH328),27,""))</f>
      </c>
      <c r="BC328" s="684">
        <f>IF(終値!A328="","",IF(AND(高値!AG328&gt;高値!AF328,高値!AG328&gt;高値!AE328,高値!AG328&gt;高値!AH328,高値!AG328&gt;高値!AI328),28,""))</f>
      </c>
      <c r="BD328" s="684">
        <f>COUNT($B328:$AB328)</f>
      </c>
      <c r="BE328" s="684">
        <f>IF($BD328&gt;=2,MIN($B328:$AB328),"")</f>
      </c>
      <c r="BF328" s="684">
        <f>IF($BD328&gt;=2,SMALL($B328:$AB328,2),"")</f>
      </c>
      <c r="BG328" s="684">
        <f>IF($BE328="","",INDEX(安値!$E328:$CZ328,1,$BE328+1))</f>
      </c>
      <c r="BH328" s="684">
        <f>IF($BF328="","",INDEX(安値!$E328:$CZ328,1,$BF328+1))</f>
      </c>
      <c r="BI328" s="684">
        <f>IF($BF328="","",MAX(INDEX(高値!$E328:$CZ328,1,$BE328+1):INDEX(高値!$E328:$CZ328,1,$BF328+1)))</f>
      </c>
      <c r="BJ328" s="684">
        <f>IF($BF328="","",AVERAGE(INDEX(終値!$E328:$CZ328,1,$BF328+1):INDEX(終値!$E328:$CZ328,1,$BF328+20))-2*STDEVP(INDEX(終値!$E328:$CZ328,1,$BF328+1):INDEX(終値!$E328:$CZ328,1,$BF328+20)))</f>
      </c>
      <c r="BK328" s="684">
        <f>IF($BE328="","",AVERAGE(INDEX(終値!$E328:$CZ328,1,$BE328+1):INDEX(終値!$E328:$CZ328,1,$BE328+20))-2*STDEVP(INDEX(終値!$E328:$CZ328,1,$BE328+1):INDEX(終値!$E328:$CZ328,1,$BE328+20)))</f>
      </c>
      <c r="BL328" s="684">
        <f>COUNT($AC328:$BC328)</f>
      </c>
      <c r="BM328" s="684">
        <f>IF($BL328&gt;=2,MIN($AC328:$BC328),"")</f>
      </c>
      <c r="BN328" s="684">
        <f>IF($BL328&gt;=2,SMALL($AC328:$BC328,2),"")</f>
      </c>
      <c r="BO328" s="684">
        <f>IF($BM328="","",INDEX(高値!$E328:$CZ328,1,$BM328+1))</f>
      </c>
      <c r="BP328" s="684">
        <f>IF($BN328="","",INDEX(高値!$E328:$CZ328,1,$BN328+1))</f>
      </c>
      <c r="BQ328" s="684">
        <f>IF($BN328="","",MIN(INDEX(安値!$E328:$CZ328,1,$BM328+1):INDEX(安値!$E328:$CZ328,1,$BN328+1)))</f>
      </c>
      <c r="BR328" s="684">
        <f>IF($BN328="","",AVERAGE(INDEX(終値!$E328:$CZ328,1,$BN328+1):INDEX(終値!$E328:$CZ328,1,$BN328+20))+2*STDEVP(INDEX(終値!$E328:$CZ328,1,$BN328+1):INDEX(終値!$E328:$CZ328,1,$BN328+20)))</f>
      </c>
      <c r="BS328" s="684">
        <f>IF($BM328="","",AVERAGE(INDEX(終値!$E328:$CZ328,1,$BM328+1):INDEX(終値!$E328:$CZ328,1,$BM328+20))+2*STDEVP(INDEX(終値!$E328:$CZ328,1,$BM328+1):INDEX(終値!$E328:$CZ328,1,$BM328+20)))</f>
      </c>
      <c r="BT328" s="681">
        <f>IFERROR(IF(AND($BD328&gt;=2,ABS($BG328-$BH328)/$BH328&lt;=BB設定!$B$12,$BI328&gt;=MAX($BH328,$BG328)*(1+BB設定!$B$13),終値!E328&gt;$BG328),IF(OR(終値!E328&gt;=$BI328,AND($BH328&lt;$BJ328,$BG328&gt;=$BK328)),"二番底W▲","二番底W形成"),IF(AND($BL328&gt;=2,ABS($BO328-$BP328)/$BP328&lt;=BB設定!$B$12,$BQ328&lt;=MIN($BP328,$BO328)*(1-BB設定!$B$13),終値!E328&lt;$BO328),IF(OR(終値!E328&lt;=$BQ328,AND($BP328&gt;$BR328,$BO328&lt;=$BS328)),"二番天井M▼","二番天井M形成"),"－")),"－")</f>
      </c>
    </row>
    <row r="329">
      <c r="B329" s="684">
        <f>IF(終値!A329="","",IF(AND(安値!G329&lt;安値!F329,安値!G329&lt;安値!E329,安値!G329&lt;安値!H329,安値!G329&lt;安値!I329),2,""))</f>
      </c>
      <c r="C329" s="684">
        <f>IF(終値!A329="","",IF(AND(安値!H329&lt;安値!G329,安値!H329&lt;安値!F329,安値!H329&lt;安値!I329,安値!H329&lt;安値!J329),3,""))</f>
      </c>
      <c r="D329" s="684">
        <f>IF(終値!A329="","",IF(AND(安値!I329&lt;安値!H329,安値!I329&lt;安値!G329,安値!I329&lt;安値!J329,安値!I329&lt;安値!K329),4,""))</f>
      </c>
      <c r="E329" s="684">
        <f>IF(終値!A329="","",IF(AND(安値!J329&lt;安値!I329,安値!J329&lt;安値!H329,安値!J329&lt;安値!K329,安値!J329&lt;安値!L329),5,""))</f>
      </c>
      <c r="F329" s="684">
        <f>IF(終値!A329="","",IF(AND(安値!K329&lt;安値!J329,安値!K329&lt;安値!I329,安値!K329&lt;安値!L329,安値!K329&lt;安値!M329),6,""))</f>
      </c>
      <c r="G329" s="684">
        <f>IF(終値!A329="","",IF(AND(安値!L329&lt;安値!K329,安値!L329&lt;安値!J329,安値!L329&lt;安値!M329,安値!L329&lt;安値!N329),7,""))</f>
      </c>
      <c r="H329" s="684">
        <f>IF(終値!A329="","",IF(AND(安値!M329&lt;安値!L329,安値!M329&lt;安値!K329,安値!M329&lt;安値!N329,安値!M329&lt;安値!O329),8,""))</f>
      </c>
      <c r="I329" s="684">
        <f>IF(終値!A329="","",IF(AND(安値!N329&lt;安値!M329,安値!N329&lt;安値!L329,安値!N329&lt;安値!O329,安値!N329&lt;安値!P329),9,""))</f>
      </c>
      <c r="J329" s="684">
        <f>IF(終値!A329="","",IF(AND(安値!O329&lt;安値!N329,安値!O329&lt;安値!M329,安値!O329&lt;安値!P329,安値!O329&lt;安値!Q329),10,""))</f>
      </c>
      <c r="K329" s="684">
        <f>IF(終値!A329="","",IF(AND(安値!P329&lt;安値!O329,安値!P329&lt;安値!N329,安値!P329&lt;安値!Q329,安値!P329&lt;安値!R329),11,""))</f>
      </c>
      <c r="L329" s="684">
        <f>IF(終値!A329="","",IF(AND(安値!Q329&lt;安値!P329,安値!Q329&lt;安値!O329,安値!Q329&lt;安値!R329,安値!Q329&lt;安値!S329),12,""))</f>
      </c>
      <c r="M329" s="684">
        <f>IF(終値!A329="","",IF(AND(安値!R329&lt;安値!Q329,安値!R329&lt;安値!P329,安値!R329&lt;安値!S329,安値!R329&lt;安値!T329),13,""))</f>
      </c>
      <c r="N329" s="684">
        <f>IF(終値!A329="","",IF(AND(安値!S329&lt;安値!R329,安値!S329&lt;安値!Q329,安値!S329&lt;安値!T329,安値!S329&lt;安値!U329),14,""))</f>
      </c>
      <c r="O329" s="684">
        <f>IF(終値!A329="","",IF(AND(安値!T329&lt;安値!S329,安値!T329&lt;安値!R329,安値!T329&lt;安値!U329,安値!T329&lt;安値!V329),15,""))</f>
      </c>
      <c r="P329" s="684">
        <f>IF(終値!A329="","",IF(AND(安値!U329&lt;安値!T329,安値!U329&lt;安値!S329,安値!U329&lt;安値!V329,安値!U329&lt;安値!W329),16,""))</f>
      </c>
      <c r="Q329" s="684">
        <f>IF(終値!A329="","",IF(AND(安値!V329&lt;安値!U329,安値!V329&lt;安値!T329,安値!V329&lt;安値!W329,安値!V329&lt;安値!X329),17,""))</f>
      </c>
      <c r="R329" s="684">
        <f>IF(終値!A329="","",IF(AND(安値!W329&lt;安値!V329,安値!W329&lt;安値!U329,安値!W329&lt;安値!X329,安値!W329&lt;安値!Y329),18,""))</f>
      </c>
      <c r="S329" s="684">
        <f>IF(終値!A329="","",IF(AND(安値!X329&lt;安値!W329,安値!X329&lt;安値!V329,安値!X329&lt;安値!Y329,安値!X329&lt;安値!Z329),19,""))</f>
      </c>
      <c r="T329" s="684">
        <f>IF(終値!A329="","",IF(AND(安値!Y329&lt;安値!X329,安値!Y329&lt;安値!W329,安値!Y329&lt;安値!Z329,安値!Y329&lt;安値!AA329),20,""))</f>
      </c>
      <c r="U329" s="684">
        <f>IF(終値!A329="","",IF(AND(安値!Z329&lt;安値!Y329,安値!Z329&lt;安値!X329,安値!Z329&lt;安値!AA329,安値!Z329&lt;安値!AB329),21,""))</f>
      </c>
      <c r="V329" s="684">
        <f>IF(終値!A329="","",IF(AND(安値!AA329&lt;安値!Z329,安値!AA329&lt;安値!Y329,安値!AA329&lt;安値!AB329,安値!AA329&lt;安値!AC329),22,""))</f>
      </c>
      <c r="W329" s="684">
        <f>IF(終値!A329="","",IF(AND(安値!AB329&lt;安値!AA329,安値!AB329&lt;安値!Z329,安値!AB329&lt;安値!AC329,安値!AB329&lt;安値!AD329),23,""))</f>
      </c>
      <c r="X329" s="684">
        <f>IF(終値!A329="","",IF(AND(安値!AC329&lt;安値!AB329,安値!AC329&lt;安値!AA329,安値!AC329&lt;安値!AD329,安値!AC329&lt;安値!AE329),24,""))</f>
      </c>
      <c r="Y329" s="684">
        <f>IF(終値!A329="","",IF(AND(安値!AD329&lt;安値!AC329,安値!AD329&lt;安値!AB329,安値!AD329&lt;安値!AE329,安値!AD329&lt;安値!AF329),25,""))</f>
      </c>
      <c r="Z329" s="684">
        <f>IF(終値!A329="","",IF(AND(安値!AE329&lt;安値!AD329,安値!AE329&lt;安値!AC329,安値!AE329&lt;安値!AF329,安値!AE329&lt;安値!AG329),26,""))</f>
      </c>
      <c r="AA329" s="684">
        <f>IF(終値!A329="","",IF(AND(安値!AF329&lt;安値!AE329,安値!AF329&lt;安値!AD329,安値!AF329&lt;安値!AG329,安値!AF329&lt;安値!AH329),27,""))</f>
      </c>
      <c r="AB329" s="684">
        <f>IF(終値!A329="","",IF(AND(安値!AG329&lt;安値!AF329,安値!AG329&lt;安値!AE329,安値!AG329&lt;安値!AH329,安値!AG329&lt;安値!AI329),28,""))</f>
      </c>
      <c r="AC329" s="684">
        <f>IF(終値!A329="","",IF(AND(高値!G329&gt;高値!F329,高値!G329&gt;高値!E329,高値!G329&gt;高値!H329,高値!G329&gt;高値!I329),2,""))</f>
      </c>
      <c r="AD329" s="684">
        <f>IF(終値!A329="","",IF(AND(高値!H329&gt;高値!G329,高値!H329&gt;高値!F329,高値!H329&gt;高値!I329,高値!H329&gt;高値!J329),3,""))</f>
      </c>
      <c r="AE329" s="684">
        <f>IF(終値!A329="","",IF(AND(高値!I329&gt;高値!H329,高値!I329&gt;高値!G329,高値!I329&gt;高値!J329,高値!I329&gt;高値!K329),4,""))</f>
      </c>
      <c r="AF329" s="684">
        <f>IF(終値!A329="","",IF(AND(高値!J329&gt;高値!I329,高値!J329&gt;高値!H329,高値!J329&gt;高値!K329,高値!J329&gt;高値!L329),5,""))</f>
      </c>
      <c r="AG329" s="684">
        <f>IF(終値!A329="","",IF(AND(高値!K329&gt;高値!J329,高値!K329&gt;高値!I329,高値!K329&gt;高値!L329,高値!K329&gt;高値!M329),6,""))</f>
      </c>
      <c r="AH329" s="684">
        <f>IF(終値!A329="","",IF(AND(高値!L329&gt;高値!K329,高値!L329&gt;高値!J329,高値!L329&gt;高値!M329,高値!L329&gt;高値!N329),7,""))</f>
      </c>
      <c r="AI329" s="684">
        <f>IF(終値!A329="","",IF(AND(高値!M329&gt;高値!L329,高値!M329&gt;高値!K329,高値!M329&gt;高値!N329,高値!M329&gt;高値!O329),8,""))</f>
      </c>
      <c r="AJ329" s="684">
        <f>IF(終値!A329="","",IF(AND(高値!N329&gt;高値!M329,高値!N329&gt;高値!L329,高値!N329&gt;高値!O329,高値!N329&gt;高値!P329),9,""))</f>
      </c>
      <c r="AK329" s="684">
        <f>IF(終値!A329="","",IF(AND(高値!O329&gt;高値!N329,高値!O329&gt;高値!M329,高値!O329&gt;高値!P329,高値!O329&gt;高値!Q329),10,""))</f>
      </c>
      <c r="AL329" s="684">
        <f>IF(終値!A329="","",IF(AND(高値!P329&gt;高値!O329,高値!P329&gt;高値!N329,高値!P329&gt;高値!Q329,高値!P329&gt;高値!R329),11,""))</f>
      </c>
      <c r="AM329" s="684">
        <f>IF(終値!A329="","",IF(AND(高値!Q329&gt;高値!P329,高値!Q329&gt;高値!O329,高値!Q329&gt;高値!R329,高値!Q329&gt;高値!S329),12,""))</f>
      </c>
      <c r="AN329" s="684">
        <f>IF(終値!A329="","",IF(AND(高値!R329&gt;高値!Q329,高値!R329&gt;高値!P329,高値!R329&gt;高値!S329,高値!R329&gt;高値!T329),13,""))</f>
      </c>
      <c r="AO329" s="684">
        <f>IF(終値!A329="","",IF(AND(高値!S329&gt;高値!R329,高値!S329&gt;高値!Q329,高値!S329&gt;高値!T329,高値!S329&gt;高値!U329),14,""))</f>
      </c>
      <c r="AP329" s="684">
        <f>IF(終値!A329="","",IF(AND(高値!T329&gt;高値!S329,高値!T329&gt;高値!R329,高値!T329&gt;高値!U329,高値!T329&gt;高値!V329),15,""))</f>
      </c>
      <c r="AQ329" s="684">
        <f>IF(終値!A329="","",IF(AND(高値!U329&gt;高値!T329,高値!U329&gt;高値!S329,高値!U329&gt;高値!V329,高値!U329&gt;高値!W329),16,""))</f>
      </c>
      <c r="AR329" s="684">
        <f>IF(終値!A329="","",IF(AND(高値!V329&gt;高値!U329,高値!V329&gt;高値!T329,高値!V329&gt;高値!W329,高値!V329&gt;高値!X329),17,""))</f>
      </c>
      <c r="AS329" s="684">
        <f>IF(終値!A329="","",IF(AND(高値!W329&gt;高値!V329,高値!W329&gt;高値!U329,高値!W329&gt;高値!X329,高値!W329&gt;高値!Y329),18,""))</f>
      </c>
      <c r="AT329" s="684">
        <f>IF(終値!A329="","",IF(AND(高値!X329&gt;高値!W329,高値!X329&gt;高値!V329,高値!X329&gt;高値!Y329,高値!X329&gt;高値!Z329),19,""))</f>
      </c>
      <c r="AU329" s="684">
        <f>IF(終値!A329="","",IF(AND(高値!Y329&gt;高値!X329,高値!Y329&gt;高値!W329,高値!Y329&gt;高値!Z329,高値!Y329&gt;高値!AA329),20,""))</f>
      </c>
      <c r="AV329" s="684">
        <f>IF(終値!A329="","",IF(AND(高値!Z329&gt;高値!Y329,高値!Z329&gt;高値!X329,高値!Z329&gt;高値!AA329,高値!Z329&gt;高値!AB329),21,""))</f>
      </c>
      <c r="AW329" s="684">
        <f>IF(終値!A329="","",IF(AND(高値!AA329&gt;高値!Z329,高値!AA329&gt;高値!Y329,高値!AA329&gt;高値!AB329,高値!AA329&gt;高値!AC329),22,""))</f>
      </c>
      <c r="AX329" s="684">
        <f>IF(終値!A329="","",IF(AND(高値!AB329&gt;高値!AA329,高値!AB329&gt;高値!Z329,高値!AB329&gt;高値!AC329,高値!AB329&gt;高値!AD329),23,""))</f>
      </c>
      <c r="AY329" s="684">
        <f>IF(終値!A329="","",IF(AND(高値!AC329&gt;高値!AB329,高値!AC329&gt;高値!AA329,高値!AC329&gt;高値!AD329,高値!AC329&gt;高値!AE329),24,""))</f>
      </c>
      <c r="AZ329" s="684">
        <f>IF(終値!A329="","",IF(AND(高値!AD329&gt;高値!AC329,高値!AD329&gt;高値!AB329,高値!AD329&gt;高値!AE329,高値!AD329&gt;高値!AF329),25,""))</f>
      </c>
      <c r="BA329" s="684">
        <f>IF(終値!A329="","",IF(AND(高値!AE329&gt;高値!AD329,高値!AE329&gt;高値!AC329,高値!AE329&gt;高値!AF329,高値!AE329&gt;高値!AG329),26,""))</f>
      </c>
      <c r="BB329" s="684">
        <f>IF(終値!A329="","",IF(AND(高値!AF329&gt;高値!AE329,高値!AF329&gt;高値!AD329,高値!AF329&gt;高値!AG329,高値!AF329&gt;高値!AH329),27,""))</f>
      </c>
      <c r="BC329" s="684">
        <f>IF(終値!A329="","",IF(AND(高値!AG329&gt;高値!AF329,高値!AG329&gt;高値!AE329,高値!AG329&gt;高値!AH329,高値!AG329&gt;高値!AI329),28,""))</f>
      </c>
      <c r="BD329" s="684">
        <f>COUNT($B329:$AB329)</f>
      </c>
      <c r="BE329" s="684">
        <f>IF($BD329&gt;=2,MIN($B329:$AB329),"")</f>
      </c>
      <c r="BF329" s="684">
        <f>IF($BD329&gt;=2,SMALL($B329:$AB329,2),"")</f>
      </c>
      <c r="BG329" s="684">
        <f>IF($BE329="","",INDEX(安値!$E329:$CZ329,1,$BE329+1))</f>
      </c>
      <c r="BH329" s="684">
        <f>IF($BF329="","",INDEX(安値!$E329:$CZ329,1,$BF329+1))</f>
      </c>
      <c r="BI329" s="684">
        <f>IF($BF329="","",MAX(INDEX(高値!$E329:$CZ329,1,$BE329+1):INDEX(高値!$E329:$CZ329,1,$BF329+1)))</f>
      </c>
      <c r="BJ329" s="684">
        <f>IF($BF329="","",AVERAGE(INDEX(終値!$E329:$CZ329,1,$BF329+1):INDEX(終値!$E329:$CZ329,1,$BF329+20))-2*STDEVP(INDEX(終値!$E329:$CZ329,1,$BF329+1):INDEX(終値!$E329:$CZ329,1,$BF329+20)))</f>
      </c>
      <c r="BK329" s="684">
        <f>IF($BE329="","",AVERAGE(INDEX(終値!$E329:$CZ329,1,$BE329+1):INDEX(終値!$E329:$CZ329,1,$BE329+20))-2*STDEVP(INDEX(終値!$E329:$CZ329,1,$BE329+1):INDEX(終値!$E329:$CZ329,1,$BE329+20)))</f>
      </c>
      <c r="BL329" s="684">
        <f>COUNT($AC329:$BC329)</f>
      </c>
      <c r="BM329" s="684">
        <f>IF($BL329&gt;=2,MIN($AC329:$BC329),"")</f>
      </c>
      <c r="BN329" s="684">
        <f>IF($BL329&gt;=2,SMALL($AC329:$BC329,2),"")</f>
      </c>
      <c r="BO329" s="684">
        <f>IF($BM329="","",INDEX(高値!$E329:$CZ329,1,$BM329+1))</f>
      </c>
      <c r="BP329" s="684">
        <f>IF($BN329="","",INDEX(高値!$E329:$CZ329,1,$BN329+1))</f>
      </c>
      <c r="BQ329" s="684">
        <f>IF($BN329="","",MIN(INDEX(安値!$E329:$CZ329,1,$BM329+1):INDEX(安値!$E329:$CZ329,1,$BN329+1)))</f>
      </c>
      <c r="BR329" s="684">
        <f>IF($BN329="","",AVERAGE(INDEX(終値!$E329:$CZ329,1,$BN329+1):INDEX(終値!$E329:$CZ329,1,$BN329+20))+2*STDEVP(INDEX(終値!$E329:$CZ329,1,$BN329+1):INDEX(終値!$E329:$CZ329,1,$BN329+20)))</f>
      </c>
      <c r="BS329" s="684">
        <f>IF($BM329="","",AVERAGE(INDEX(終値!$E329:$CZ329,1,$BM329+1):INDEX(終値!$E329:$CZ329,1,$BM329+20))+2*STDEVP(INDEX(終値!$E329:$CZ329,1,$BM329+1):INDEX(終値!$E329:$CZ329,1,$BM329+20)))</f>
      </c>
      <c r="BT329" s="681">
        <f>IFERROR(IF(AND($BD329&gt;=2,ABS($BG329-$BH329)/$BH329&lt;=BB設定!$B$12,$BI329&gt;=MAX($BH329,$BG329)*(1+BB設定!$B$13),終値!E329&gt;$BG329),IF(OR(終値!E329&gt;=$BI329,AND($BH329&lt;$BJ329,$BG329&gt;=$BK329)),"二番底W▲","二番底W形成"),IF(AND($BL329&gt;=2,ABS($BO329-$BP329)/$BP329&lt;=BB設定!$B$12,$BQ329&lt;=MIN($BP329,$BO329)*(1-BB設定!$B$13),終値!E329&lt;$BO329),IF(OR(終値!E329&lt;=$BQ329,AND($BP329&gt;$BR329,$BO329&lt;=$BS329)),"二番天井M▼","二番天井M形成"),"－")),"－")</f>
      </c>
    </row>
    <row r="330">
      <c r="B330" s="684">
        <f>IF(終値!A330="","",IF(AND(安値!G330&lt;安値!F330,安値!G330&lt;安値!E330,安値!G330&lt;安値!H330,安値!G330&lt;安値!I330),2,""))</f>
      </c>
      <c r="C330" s="684">
        <f>IF(終値!A330="","",IF(AND(安値!H330&lt;安値!G330,安値!H330&lt;安値!F330,安値!H330&lt;安値!I330,安値!H330&lt;安値!J330),3,""))</f>
      </c>
      <c r="D330" s="684">
        <f>IF(終値!A330="","",IF(AND(安値!I330&lt;安値!H330,安値!I330&lt;安値!G330,安値!I330&lt;安値!J330,安値!I330&lt;安値!K330),4,""))</f>
      </c>
      <c r="E330" s="684">
        <f>IF(終値!A330="","",IF(AND(安値!J330&lt;安値!I330,安値!J330&lt;安値!H330,安値!J330&lt;安値!K330,安値!J330&lt;安値!L330),5,""))</f>
      </c>
      <c r="F330" s="684">
        <f>IF(終値!A330="","",IF(AND(安値!K330&lt;安値!J330,安値!K330&lt;安値!I330,安値!K330&lt;安値!L330,安値!K330&lt;安値!M330),6,""))</f>
      </c>
      <c r="G330" s="684">
        <f>IF(終値!A330="","",IF(AND(安値!L330&lt;安値!K330,安値!L330&lt;安値!J330,安値!L330&lt;安値!M330,安値!L330&lt;安値!N330),7,""))</f>
      </c>
      <c r="H330" s="684">
        <f>IF(終値!A330="","",IF(AND(安値!M330&lt;安値!L330,安値!M330&lt;安値!K330,安値!M330&lt;安値!N330,安値!M330&lt;安値!O330),8,""))</f>
      </c>
      <c r="I330" s="684">
        <f>IF(終値!A330="","",IF(AND(安値!N330&lt;安値!M330,安値!N330&lt;安値!L330,安値!N330&lt;安値!O330,安値!N330&lt;安値!P330),9,""))</f>
      </c>
      <c r="J330" s="684">
        <f>IF(終値!A330="","",IF(AND(安値!O330&lt;安値!N330,安値!O330&lt;安値!M330,安値!O330&lt;安値!P330,安値!O330&lt;安値!Q330),10,""))</f>
      </c>
      <c r="K330" s="684">
        <f>IF(終値!A330="","",IF(AND(安値!P330&lt;安値!O330,安値!P330&lt;安値!N330,安値!P330&lt;安値!Q330,安値!P330&lt;安値!R330),11,""))</f>
      </c>
      <c r="L330" s="684">
        <f>IF(終値!A330="","",IF(AND(安値!Q330&lt;安値!P330,安値!Q330&lt;安値!O330,安値!Q330&lt;安値!R330,安値!Q330&lt;安値!S330),12,""))</f>
      </c>
      <c r="M330" s="684">
        <f>IF(終値!A330="","",IF(AND(安値!R330&lt;安値!Q330,安値!R330&lt;安値!P330,安値!R330&lt;安値!S330,安値!R330&lt;安値!T330),13,""))</f>
      </c>
      <c r="N330" s="684">
        <f>IF(終値!A330="","",IF(AND(安値!S330&lt;安値!R330,安値!S330&lt;安値!Q330,安値!S330&lt;安値!T330,安値!S330&lt;安値!U330),14,""))</f>
      </c>
      <c r="O330" s="684">
        <f>IF(終値!A330="","",IF(AND(安値!T330&lt;安値!S330,安値!T330&lt;安値!R330,安値!T330&lt;安値!U330,安値!T330&lt;安値!V330),15,""))</f>
      </c>
      <c r="P330" s="684">
        <f>IF(終値!A330="","",IF(AND(安値!U330&lt;安値!T330,安値!U330&lt;安値!S330,安値!U330&lt;安値!V330,安値!U330&lt;安値!W330),16,""))</f>
      </c>
      <c r="Q330" s="684">
        <f>IF(終値!A330="","",IF(AND(安値!V330&lt;安値!U330,安値!V330&lt;安値!T330,安値!V330&lt;安値!W330,安値!V330&lt;安値!X330),17,""))</f>
      </c>
      <c r="R330" s="684">
        <f>IF(終値!A330="","",IF(AND(安値!W330&lt;安値!V330,安値!W330&lt;安値!U330,安値!W330&lt;安値!X330,安値!W330&lt;安値!Y330),18,""))</f>
      </c>
      <c r="S330" s="684">
        <f>IF(終値!A330="","",IF(AND(安値!X330&lt;安値!W330,安値!X330&lt;安値!V330,安値!X330&lt;安値!Y330,安値!X330&lt;安値!Z330),19,""))</f>
      </c>
      <c r="T330" s="684">
        <f>IF(終値!A330="","",IF(AND(安値!Y330&lt;安値!X330,安値!Y330&lt;安値!W330,安値!Y330&lt;安値!Z330,安値!Y330&lt;安値!AA330),20,""))</f>
      </c>
      <c r="U330" s="684">
        <f>IF(終値!A330="","",IF(AND(安値!Z330&lt;安値!Y330,安値!Z330&lt;安値!X330,安値!Z330&lt;安値!AA330,安値!Z330&lt;安値!AB330),21,""))</f>
      </c>
      <c r="V330" s="684">
        <f>IF(終値!A330="","",IF(AND(安値!AA330&lt;安値!Z330,安値!AA330&lt;安値!Y330,安値!AA330&lt;安値!AB330,安値!AA330&lt;安値!AC330),22,""))</f>
      </c>
      <c r="W330" s="684">
        <f>IF(終値!A330="","",IF(AND(安値!AB330&lt;安値!AA330,安値!AB330&lt;安値!Z330,安値!AB330&lt;安値!AC330,安値!AB330&lt;安値!AD330),23,""))</f>
      </c>
      <c r="X330" s="684">
        <f>IF(終値!A330="","",IF(AND(安値!AC330&lt;安値!AB330,安値!AC330&lt;安値!AA330,安値!AC330&lt;安値!AD330,安値!AC330&lt;安値!AE330),24,""))</f>
      </c>
      <c r="Y330" s="684">
        <f>IF(終値!A330="","",IF(AND(安値!AD330&lt;安値!AC330,安値!AD330&lt;安値!AB330,安値!AD330&lt;安値!AE330,安値!AD330&lt;安値!AF330),25,""))</f>
      </c>
      <c r="Z330" s="684">
        <f>IF(終値!A330="","",IF(AND(安値!AE330&lt;安値!AD330,安値!AE330&lt;安値!AC330,安値!AE330&lt;安値!AF330,安値!AE330&lt;安値!AG330),26,""))</f>
      </c>
      <c r="AA330" s="684">
        <f>IF(終値!A330="","",IF(AND(安値!AF330&lt;安値!AE330,安値!AF330&lt;安値!AD330,安値!AF330&lt;安値!AG330,安値!AF330&lt;安値!AH330),27,""))</f>
      </c>
      <c r="AB330" s="684">
        <f>IF(終値!A330="","",IF(AND(安値!AG330&lt;安値!AF330,安値!AG330&lt;安値!AE330,安値!AG330&lt;安値!AH330,安値!AG330&lt;安値!AI330),28,""))</f>
      </c>
      <c r="AC330" s="684">
        <f>IF(終値!A330="","",IF(AND(高値!G330&gt;高値!F330,高値!G330&gt;高値!E330,高値!G330&gt;高値!H330,高値!G330&gt;高値!I330),2,""))</f>
      </c>
      <c r="AD330" s="684">
        <f>IF(終値!A330="","",IF(AND(高値!H330&gt;高値!G330,高値!H330&gt;高値!F330,高値!H330&gt;高値!I330,高値!H330&gt;高値!J330),3,""))</f>
      </c>
      <c r="AE330" s="684">
        <f>IF(終値!A330="","",IF(AND(高値!I330&gt;高値!H330,高値!I330&gt;高値!G330,高値!I330&gt;高値!J330,高値!I330&gt;高値!K330),4,""))</f>
      </c>
      <c r="AF330" s="684">
        <f>IF(終値!A330="","",IF(AND(高値!J330&gt;高値!I330,高値!J330&gt;高値!H330,高値!J330&gt;高値!K330,高値!J330&gt;高値!L330),5,""))</f>
      </c>
      <c r="AG330" s="684">
        <f>IF(終値!A330="","",IF(AND(高値!K330&gt;高値!J330,高値!K330&gt;高値!I330,高値!K330&gt;高値!L330,高値!K330&gt;高値!M330),6,""))</f>
      </c>
      <c r="AH330" s="684">
        <f>IF(終値!A330="","",IF(AND(高値!L330&gt;高値!K330,高値!L330&gt;高値!J330,高値!L330&gt;高値!M330,高値!L330&gt;高値!N330),7,""))</f>
      </c>
      <c r="AI330" s="684">
        <f>IF(終値!A330="","",IF(AND(高値!M330&gt;高値!L330,高値!M330&gt;高値!K330,高値!M330&gt;高値!N330,高値!M330&gt;高値!O330),8,""))</f>
      </c>
      <c r="AJ330" s="684">
        <f>IF(終値!A330="","",IF(AND(高値!N330&gt;高値!M330,高値!N330&gt;高値!L330,高値!N330&gt;高値!O330,高値!N330&gt;高値!P330),9,""))</f>
      </c>
      <c r="AK330" s="684">
        <f>IF(終値!A330="","",IF(AND(高値!O330&gt;高値!N330,高値!O330&gt;高値!M330,高値!O330&gt;高値!P330,高値!O330&gt;高値!Q330),10,""))</f>
      </c>
      <c r="AL330" s="684">
        <f>IF(終値!A330="","",IF(AND(高値!P330&gt;高値!O330,高値!P330&gt;高値!N330,高値!P330&gt;高値!Q330,高値!P330&gt;高値!R330),11,""))</f>
      </c>
      <c r="AM330" s="684">
        <f>IF(終値!A330="","",IF(AND(高値!Q330&gt;高値!P330,高値!Q330&gt;高値!O330,高値!Q330&gt;高値!R330,高値!Q330&gt;高値!S330),12,""))</f>
      </c>
      <c r="AN330" s="684">
        <f>IF(終値!A330="","",IF(AND(高値!R330&gt;高値!Q330,高値!R330&gt;高値!P330,高値!R330&gt;高値!S330,高値!R330&gt;高値!T330),13,""))</f>
      </c>
      <c r="AO330" s="684">
        <f>IF(終値!A330="","",IF(AND(高値!S330&gt;高値!R330,高値!S330&gt;高値!Q330,高値!S330&gt;高値!T330,高値!S330&gt;高値!U330),14,""))</f>
      </c>
      <c r="AP330" s="684">
        <f>IF(終値!A330="","",IF(AND(高値!T330&gt;高値!S330,高値!T330&gt;高値!R330,高値!T330&gt;高値!U330,高値!T330&gt;高値!V330),15,""))</f>
      </c>
      <c r="AQ330" s="684">
        <f>IF(終値!A330="","",IF(AND(高値!U330&gt;高値!T330,高値!U330&gt;高値!S330,高値!U330&gt;高値!V330,高値!U330&gt;高値!W330),16,""))</f>
      </c>
      <c r="AR330" s="684">
        <f>IF(終値!A330="","",IF(AND(高値!V330&gt;高値!U330,高値!V330&gt;高値!T330,高値!V330&gt;高値!W330,高値!V330&gt;高値!X330),17,""))</f>
      </c>
      <c r="AS330" s="684">
        <f>IF(終値!A330="","",IF(AND(高値!W330&gt;高値!V330,高値!W330&gt;高値!U330,高値!W330&gt;高値!X330,高値!W330&gt;高値!Y330),18,""))</f>
      </c>
      <c r="AT330" s="684">
        <f>IF(終値!A330="","",IF(AND(高値!X330&gt;高値!W330,高値!X330&gt;高値!V330,高値!X330&gt;高値!Y330,高値!X330&gt;高値!Z330),19,""))</f>
      </c>
      <c r="AU330" s="684">
        <f>IF(終値!A330="","",IF(AND(高値!Y330&gt;高値!X330,高値!Y330&gt;高値!W330,高値!Y330&gt;高値!Z330,高値!Y330&gt;高値!AA330),20,""))</f>
      </c>
      <c r="AV330" s="684">
        <f>IF(終値!A330="","",IF(AND(高値!Z330&gt;高値!Y330,高値!Z330&gt;高値!X330,高値!Z330&gt;高値!AA330,高値!Z330&gt;高値!AB330),21,""))</f>
      </c>
      <c r="AW330" s="684">
        <f>IF(終値!A330="","",IF(AND(高値!AA330&gt;高値!Z330,高値!AA330&gt;高値!Y330,高値!AA330&gt;高値!AB330,高値!AA330&gt;高値!AC330),22,""))</f>
      </c>
      <c r="AX330" s="684">
        <f>IF(終値!A330="","",IF(AND(高値!AB330&gt;高値!AA330,高値!AB330&gt;高値!Z330,高値!AB330&gt;高値!AC330,高値!AB330&gt;高値!AD330),23,""))</f>
      </c>
      <c r="AY330" s="684">
        <f>IF(終値!A330="","",IF(AND(高値!AC330&gt;高値!AB330,高値!AC330&gt;高値!AA330,高値!AC330&gt;高値!AD330,高値!AC330&gt;高値!AE330),24,""))</f>
      </c>
      <c r="AZ330" s="684">
        <f>IF(終値!A330="","",IF(AND(高値!AD330&gt;高値!AC330,高値!AD330&gt;高値!AB330,高値!AD330&gt;高値!AE330,高値!AD330&gt;高値!AF330),25,""))</f>
      </c>
      <c r="BA330" s="684">
        <f>IF(終値!A330="","",IF(AND(高値!AE330&gt;高値!AD330,高値!AE330&gt;高値!AC330,高値!AE330&gt;高値!AF330,高値!AE330&gt;高値!AG330),26,""))</f>
      </c>
      <c r="BB330" s="684">
        <f>IF(終値!A330="","",IF(AND(高値!AF330&gt;高値!AE330,高値!AF330&gt;高値!AD330,高値!AF330&gt;高値!AG330,高値!AF330&gt;高値!AH330),27,""))</f>
      </c>
      <c r="BC330" s="684">
        <f>IF(終値!A330="","",IF(AND(高値!AG330&gt;高値!AF330,高値!AG330&gt;高値!AE330,高値!AG330&gt;高値!AH330,高値!AG330&gt;高値!AI330),28,""))</f>
      </c>
      <c r="BD330" s="684">
        <f>COUNT($B330:$AB330)</f>
      </c>
      <c r="BE330" s="684">
        <f>IF($BD330&gt;=2,MIN($B330:$AB330),"")</f>
      </c>
      <c r="BF330" s="684">
        <f>IF($BD330&gt;=2,SMALL($B330:$AB330,2),"")</f>
      </c>
      <c r="BG330" s="684">
        <f>IF($BE330="","",INDEX(安値!$E330:$CZ330,1,$BE330+1))</f>
      </c>
      <c r="BH330" s="684">
        <f>IF($BF330="","",INDEX(安値!$E330:$CZ330,1,$BF330+1))</f>
      </c>
      <c r="BI330" s="684">
        <f>IF($BF330="","",MAX(INDEX(高値!$E330:$CZ330,1,$BE330+1):INDEX(高値!$E330:$CZ330,1,$BF330+1)))</f>
      </c>
      <c r="BJ330" s="684">
        <f>IF($BF330="","",AVERAGE(INDEX(終値!$E330:$CZ330,1,$BF330+1):INDEX(終値!$E330:$CZ330,1,$BF330+20))-2*STDEVP(INDEX(終値!$E330:$CZ330,1,$BF330+1):INDEX(終値!$E330:$CZ330,1,$BF330+20)))</f>
      </c>
      <c r="BK330" s="684">
        <f>IF($BE330="","",AVERAGE(INDEX(終値!$E330:$CZ330,1,$BE330+1):INDEX(終値!$E330:$CZ330,1,$BE330+20))-2*STDEVP(INDEX(終値!$E330:$CZ330,1,$BE330+1):INDEX(終値!$E330:$CZ330,1,$BE330+20)))</f>
      </c>
      <c r="BL330" s="684">
        <f>COUNT($AC330:$BC330)</f>
      </c>
      <c r="BM330" s="684">
        <f>IF($BL330&gt;=2,MIN($AC330:$BC330),"")</f>
      </c>
      <c r="BN330" s="684">
        <f>IF($BL330&gt;=2,SMALL($AC330:$BC330,2),"")</f>
      </c>
      <c r="BO330" s="684">
        <f>IF($BM330="","",INDEX(高値!$E330:$CZ330,1,$BM330+1))</f>
      </c>
      <c r="BP330" s="684">
        <f>IF($BN330="","",INDEX(高値!$E330:$CZ330,1,$BN330+1))</f>
      </c>
      <c r="BQ330" s="684">
        <f>IF($BN330="","",MIN(INDEX(安値!$E330:$CZ330,1,$BM330+1):INDEX(安値!$E330:$CZ330,1,$BN330+1)))</f>
      </c>
      <c r="BR330" s="684">
        <f>IF($BN330="","",AVERAGE(INDEX(終値!$E330:$CZ330,1,$BN330+1):INDEX(終値!$E330:$CZ330,1,$BN330+20))+2*STDEVP(INDEX(終値!$E330:$CZ330,1,$BN330+1):INDEX(終値!$E330:$CZ330,1,$BN330+20)))</f>
      </c>
      <c r="BS330" s="684">
        <f>IF($BM330="","",AVERAGE(INDEX(終値!$E330:$CZ330,1,$BM330+1):INDEX(終値!$E330:$CZ330,1,$BM330+20))+2*STDEVP(INDEX(終値!$E330:$CZ330,1,$BM330+1):INDEX(終値!$E330:$CZ330,1,$BM330+20)))</f>
      </c>
      <c r="BT330" s="681">
        <f>IFERROR(IF(AND($BD330&gt;=2,ABS($BG330-$BH330)/$BH330&lt;=BB設定!$B$12,$BI330&gt;=MAX($BH330,$BG330)*(1+BB設定!$B$13),終値!E330&gt;$BG330),IF(OR(終値!E330&gt;=$BI330,AND($BH330&lt;$BJ330,$BG330&gt;=$BK330)),"二番底W▲","二番底W形成"),IF(AND($BL330&gt;=2,ABS($BO330-$BP330)/$BP330&lt;=BB設定!$B$12,$BQ330&lt;=MIN($BP330,$BO330)*(1-BB設定!$B$13),終値!E330&lt;$BO330),IF(OR(終値!E330&lt;=$BQ330,AND($BP330&gt;$BR330,$BO330&lt;=$BS330)),"二番天井M▼","二番天井M形成"),"－")),"－")</f>
      </c>
    </row>
    <row r="331">
      <c r="B331" s="684">
        <f>IF(終値!A331="","",IF(AND(安値!G331&lt;安値!F331,安値!G331&lt;安値!E331,安値!G331&lt;安値!H331,安値!G331&lt;安値!I331),2,""))</f>
      </c>
      <c r="C331" s="684">
        <f>IF(終値!A331="","",IF(AND(安値!H331&lt;安値!G331,安値!H331&lt;安値!F331,安値!H331&lt;安値!I331,安値!H331&lt;安値!J331),3,""))</f>
      </c>
      <c r="D331" s="684">
        <f>IF(終値!A331="","",IF(AND(安値!I331&lt;安値!H331,安値!I331&lt;安値!G331,安値!I331&lt;安値!J331,安値!I331&lt;安値!K331),4,""))</f>
      </c>
      <c r="E331" s="684">
        <f>IF(終値!A331="","",IF(AND(安値!J331&lt;安値!I331,安値!J331&lt;安値!H331,安値!J331&lt;安値!K331,安値!J331&lt;安値!L331),5,""))</f>
      </c>
      <c r="F331" s="684">
        <f>IF(終値!A331="","",IF(AND(安値!K331&lt;安値!J331,安値!K331&lt;安値!I331,安値!K331&lt;安値!L331,安値!K331&lt;安値!M331),6,""))</f>
      </c>
      <c r="G331" s="684">
        <f>IF(終値!A331="","",IF(AND(安値!L331&lt;安値!K331,安値!L331&lt;安値!J331,安値!L331&lt;安値!M331,安値!L331&lt;安値!N331),7,""))</f>
      </c>
      <c r="H331" s="684">
        <f>IF(終値!A331="","",IF(AND(安値!M331&lt;安値!L331,安値!M331&lt;安値!K331,安値!M331&lt;安値!N331,安値!M331&lt;安値!O331),8,""))</f>
      </c>
      <c r="I331" s="684">
        <f>IF(終値!A331="","",IF(AND(安値!N331&lt;安値!M331,安値!N331&lt;安値!L331,安値!N331&lt;安値!O331,安値!N331&lt;安値!P331),9,""))</f>
      </c>
      <c r="J331" s="684">
        <f>IF(終値!A331="","",IF(AND(安値!O331&lt;安値!N331,安値!O331&lt;安値!M331,安値!O331&lt;安値!P331,安値!O331&lt;安値!Q331),10,""))</f>
      </c>
      <c r="K331" s="684">
        <f>IF(終値!A331="","",IF(AND(安値!P331&lt;安値!O331,安値!P331&lt;安値!N331,安値!P331&lt;安値!Q331,安値!P331&lt;安値!R331),11,""))</f>
      </c>
      <c r="L331" s="684">
        <f>IF(終値!A331="","",IF(AND(安値!Q331&lt;安値!P331,安値!Q331&lt;安値!O331,安値!Q331&lt;安値!R331,安値!Q331&lt;安値!S331),12,""))</f>
      </c>
      <c r="M331" s="684">
        <f>IF(終値!A331="","",IF(AND(安値!R331&lt;安値!Q331,安値!R331&lt;安値!P331,安値!R331&lt;安値!S331,安値!R331&lt;安値!T331),13,""))</f>
      </c>
      <c r="N331" s="684">
        <f>IF(終値!A331="","",IF(AND(安値!S331&lt;安値!R331,安値!S331&lt;安値!Q331,安値!S331&lt;安値!T331,安値!S331&lt;安値!U331),14,""))</f>
      </c>
      <c r="O331" s="684">
        <f>IF(終値!A331="","",IF(AND(安値!T331&lt;安値!S331,安値!T331&lt;安値!R331,安値!T331&lt;安値!U331,安値!T331&lt;安値!V331),15,""))</f>
      </c>
      <c r="P331" s="684">
        <f>IF(終値!A331="","",IF(AND(安値!U331&lt;安値!T331,安値!U331&lt;安値!S331,安値!U331&lt;安値!V331,安値!U331&lt;安値!W331),16,""))</f>
      </c>
      <c r="Q331" s="684">
        <f>IF(終値!A331="","",IF(AND(安値!V331&lt;安値!U331,安値!V331&lt;安値!T331,安値!V331&lt;安値!W331,安値!V331&lt;安値!X331),17,""))</f>
      </c>
      <c r="R331" s="684">
        <f>IF(終値!A331="","",IF(AND(安値!W331&lt;安値!V331,安値!W331&lt;安値!U331,安値!W331&lt;安値!X331,安値!W331&lt;安値!Y331),18,""))</f>
      </c>
      <c r="S331" s="684">
        <f>IF(終値!A331="","",IF(AND(安値!X331&lt;安値!W331,安値!X331&lt;安値!V331,安値!X331&lt;安値!Y331,安値!X331&lt;安値!Z331),19,""))</f>
      </c>
      <c r="T331" s="684">
        <f>IF(終値!A331="","",IF(AND(安値!Y331&lt;安値!X331,安値!Y331&lt;安値!W331,安値!Y331&lt;安値!Z331,安値!Y331&lt;安値!AA331),20,""))</f>
      </c>
      <c r="U331" s="684">
        <f>IF(終値!A331="","",IF(AND(安値!Z331&lt;安値!Y331,安値!Z331&lt;安値!X331,安値!Z331&lt;安値!AA331,安値!Z331&lt;安値!AB331),21,""))</f>
      </c>
      <c r="V331" s="684">
        <f>IF(終値!A331="","",IF(AND(安値!AA331&lt;安値!Z331,安値!AA331&lt;安値!Y331,安値!AA331&lt;安値!AB331,安値!AA331&lt;安値!AC331),22,""))</f>
      </c>
      <c r="W331" s="684">
        <f>IF(終値!A331="","",IF(AND(安値!AB331&lt;安値!AA331,安値!AB331&lt;安値!Z331,安値!AB331&lt;安値!AC331,安値!AB331&lt;安値!AD331),23,""))</f>
      </c>
      <c r="X331" s="684">
        <f>IF(終値!A331="","",IF(AND(安値!AC331&lt;安値!AB331,安値!AC331&lt;安値!AA331,安値!AC331&lt;安値!AD331,安値!AC331&lt;安値!AE331),24,""))</f>
      </c>
      <c r="Y331" s="684">
        <f>IF(終値!A331="","",IF(AND(安値!AD331&lt;安値!AC331,安値!AD331&lt;安値!AB331,安値!AD331&lt;安値!AE331,安値!AD331&lt;安値!AF331),25,""))</f>
      </c>
      <c r="Z331" s="684">
        <f>IF(終値!A331="","",IF(AND(安値!AE331&lt;安値!AD331,安値!AE331&lt;安値!AC331,安値!AE331&lt;安値!AF331,安値!AE331&lt;安値!AG331),26,""))</f>
      </c>
      <c r="AA331" s="684">
        <f>IF(終値!A331="","",IF(AND(安値!AF331&lt;安値!AE331,安値!AF331&lt;安値!AD331,安値!AF331&lt;安値!AG331,安値!AF331&lt;安値!AH331),27,""))</f>
      </c>
      <c r="AB331" s="684">
        <f>IF(終値!A331="","",IF(AND(安値!AG331&lt;安値!AF331,安値!AG331&lt;安値!AE331,安値!AG331&lt;安値!AH331,安値!AG331&lt;安値!AI331),28,""))</f>
      </c>
      <c r="AC331" s="684">
        <f>IF(終値!A331="","",IF(AND(高値!G331&gt;高値!F331,高値!G331&gt;高値!E331,高値!G331&gt;高値!H331,高値!G331&gt;高値!I331),2,""))</f>
      </c>
      <c r="AD331" s="684">
        <f>IF(終値!A331="","",IF(AND(高値!H331&gt;高値!G331,高値!H331&gt;高値!F331,高値!H331&gt;高値!I331,高値!H331&gt;高値!J331),3,""))</f>
      </c>
      <c r="AE331" s="684">
        <f>IF(終値!A331="","",IF(AND(高値!I331&gt;高値!H331,高値!I331&gt;高値!G331,高値!I331&gt;高値!J331,高値!I331&gt;高値!K331),4,""))</f>
      </c>
      <c r="AF331" s="684">
        <f>IF(終値!A331="","",IF(AND(高値!J331&gt;高値!I331,高値!J331&gt;高値!H331,高値!J331&gt;高値!K331,高値!J331&gt;高値!L331),5,""))</f>
      </c>
      <c r="AG331" s="684">
        <f>IF(終値!A331="","",IF(AND(高値!K331&gt;高値!J331,高値!K331&gt;高値!I331,高値!K331&gt;高値!L331,高値!K331&gt;高値!M331),6,""))</f>
      </c>
      <c r="AH331" s="684">
        <f>IF(終値!A331="","",IF(AND(高値!L331&gt;高値!K331,高値!L331&gt;高値!J331,高値!L331&gt;高値!M331,高値!L331&gt;高値!N331),7,""))</f>
      </c>
      <c r="AI331" s="684">
        <f>IF(終値!A331="","",IF(AND(高値!M331&gt;高値!L331,高値!M331&gt;高値!K331,高値!M331&gt;高値!N331,高値!M331&gt;高値!O331),8,""))</f>
      </c>
      <c r="AJ331" s="684">
        <f>IF(終値!A331="","",IF(AND(高値!N331&gt;高値!M331,高値!N331&gt;高値!L331,高値!N331&gt;高値!O331,高値!N331&gt;高値!P331),9,""))</f>
      </c>
      <c r="AK331" s="684">
        <f>IF(終値!A331="","",IF(AND(高値!O331&gt;高値!N331,高値!O331&gt;高値!M331,高値!O331&gt;高値!P331,高値!O331&gt;高値!Q331),10,""))</f>
      </c>
      <c r="AL331" s="684">
        <f>IF(終値!A331="","",IF(AND(高値!P331&gt;高値!O331,高値!P331&gt;高値!N331,高値!P331&gt;高値!Q331,高値!P331&gt;高値!R331),11,""))</f>
      </c>
      <c r="AM331" s="684">
        <f>IF(終値!A331="","",IF(AND(高値!Q331&gt;高値!P331,高値!Q331&gt;高値!O331,高値!Q331&gt;高値!R331,高値!Q331&gt;高値!S331),12,""))</f>
      </c>
      <c r="AN331" s="684">
        <f>IF(終値!A331="","",IF(AND(高値!R331&gt;高値!Q331,高値!R331&gt;高値!P331,高値!R331&gt;高値!S331,高値!R331&gt;高値!T331),13,""))</f>
      </c>
      <c r="AO331" s="684">
        <f>IF(終値!A331="","",IF(AND(高値!S331&gt;高値!R331,高値!S331&gt;高値!Q331,高値!S331&gt;高値!T331,高値!S331&gt;高値!U331),14,""))</f>
      </c>
      <c r="AP331" s="684">
        <f>IF(終値!A331="","",IF(AND(高値!T331&gt;高値!S331,高値!T331&gt;高値!R331,高値!T331&gt;高値!U331,高値!T331&gt;高値!V331),15,""))</f>
      </c>
      <c r="AQ331" s="684">
        <f>IF(終値!A331="","",IF(AND(高値!U331&gt;高値!T331,高値!U331&gt;高値!S331,高値!U331&gt;高値!V331,高値!U331&gt;高値!W331),16,""))</f>
      </c>
      <c r="AR331" s="684">
        <f>IF(終値!A331="","",IF(AND(高値!V331&gt;高値!U331,高値!V331&gt;高値!T331,高値!V331&gt;高値!W331,高値!V331&gt;高値!X331),17,""))</f>
      </c>
      <c r="AS331" s="684">
        <f>IF(終値!A331="","",IF(AND(高値!W331&gt;高値!V331,高値!W331&gt;高値!U331,高値!W331&gt;高値!X331,高値!W331&gt;高値!Y331),18,""))</f>
      </c>
      <c r="AT331" s="684">
        <f>IF(終値!A331="","",IF(AND(高値!X331&gt;高値!W331,高値!X331&gt;高値!V331,高値!X331&gt;高値!Y331,高値!X331&gt;高値!Z331),19,""))</f>
      </c>
      <c r="AU331" s="684">
        <f>IF(終値!A331="","",IF(AND(高値!Y331&gt;高値!X331,高値!Y331&gt;高値!W331,高値!Y331&gt;高値!Z331,高値!Y331&gt;高値!AA331),20,""))</f>
      </c>
      <c r="AV331" s="684">
        <f>IF(終値!A331="","",IF(AND(高値!Z331&gt;高値!Y331,高値!Z331&gt;高値!X331,高値!Z331&gt;高値!AA331,高値!Z331&gt;高値!AB331),21,""))</f>
      </c>
      <c r="AW331" s="684">
        <f>IF(終値!A331="","",IF(AND(高値!AA331&gt;高値!Z331,高値!AA331&gt;高値!Y331,高値!AA331&gt;高値!AB331,高値!AA331&gt;高値!AC331),22,""))</f>
      </c>
      <c r="AX331" s="684">
        <f>IF(終値!A331="","",IF(AND(高値!AB331&gt;高値!AA331,高値!AB331&gt;高値!Z331,高値!AB331&gt;高値!AC331,高値!AB331&gt;高値!AD331),23,""))</f>
      </c>
      <c r="AY331" s="684">
        <f>IF(終値!A331="","",IF(AND(高値!AC331&gt;高値!AB331,高値!AC331&gt;高値!AA331,高値!AC331&gt;高値!AD331,高値!AC331&gt;高値!AE331),24,""))</f>
      </c>
      <c r="AZ331" s="684">
        <f>IF(終値!A331="","",IF(AND(高値!AD331&gt;高値!AC331,高値!AD331&gt;高値!AB331,高値!AD331&gt;高値!AE331,高値!AD331&gt;高値!AF331),25,""))</f>
      </c>
      <c r="BA331" s="684">
        <f>IF(終値!A331="","",IF(AND(高値!AE331&gt;高値!AD331,高値!AE331&gt;高値!AC331,高値!AE331&gt;高値!AF331,高値!AE331&gt;高値!AG331),26,""))</f>
      </c>
      <c r="BB331" s="684">
        <f>IF(終値!A331="","",IF(AND(高値!AF331&gt;高値!AE331,高値!AF331&gt;高値!AD331,高値!AF331&gt;高値!AG331,高値!AF331&gt;高値!AH331),27,""))</f>
      </c>
      <c r="BC331" s="684">
        <f>IF(終値!A331="","",IF(AND(高値!AG331&gt;高値!AF331,高値!AG331&gt;高値!AE331,高値!AG331&gt;高値!AH331,高値!AG331&gt;高値!AI331),28,""))</f>
      </c>
      <c r="BD331" s="684">
        <f>COUNT($B331:$AB331)</f>
      </c>
      <c r="BE331" s="684">
        <f>IF($BD331&gt;=2,MIN($B331:$AB331),"")</f>
      </c>
      <c r="BF331" s="684">
        <f>IF($BD331&gt;=2,SMALL($B331:$AB331,2),"")</f>
      </c>
      <c r="BG331" s="684">
        <f>IF($BE331="","",INDEX(安値!$E331:$CZ331,1,$BE331+1))</f>
      </c>
      <c r="BH331" s="684">
        <f>IF($BF331="","",INDEX(安値!$E331:$CZ331,1,$BF331+1))</f>
      </c>
      <c r="BI331" s="684">
        <f>IF($BF331="","",MAX(INDEX(高値!$E331:$CZ331,1,$BE331+1):INDEX(高値!$E331:$CZ331,1,$BF331+1)))</f>
      </c>
      <c r="BJ331" s="684">
        <f>IF($BF331="","",AVERAGE(INDEX(終値!$E331:$CZ331,1,$BF331+1):INDEX(終値!$E331:$CZ331,1,$BF331+20))-2*STDEVP(INDEX(終値!$E331:$CZ331,1,$BF331+1):INDEX(終値!$E331:$CZ331,1,$BF331+20)))</f>
      </c>
      <c r="BK331" s="684">
        <f>IF($BE331="","",AVERAGE(INDEX(終値!$E331:$CZ331,1,$BE331+1):INDEX(終値!$E331:$CZ331,1,$BE331+20))-2*STDEVP(INDEX(終値!$E331:$CZ331,1,$BE331+1):INDEX(終値!$E331:$CZ331,1,$BE331+20)))</f>
      </c>
      <c r="BL331" s="684">
        <f>COUNT($AC331:$BC331)</f>
      </c>
      <c r="BM331" s="684">
        <f>IF($BL331&gt;=2,MIN($AC331:$BC331),"")</f>
      </c>
      <c r="BN331" s="684">
        <f>IF($BL331&gt;=2,SMALL($AC331:$BC331,2),"")</f>
      </c>
      <c r="BO331" s="684">
        <f>IF($BM331="","",INDEX(高値!$E331:$CZ331,1,$BM331+1))</f>
      </c>
      <c r="BP331" s="684">
        <f>IF($BN331="","",INDEX(高値!$E331:$CZ331,1,$BN331+1))</f>
      </c>
      <c r="BQ331" s="684">
        <f>IF($BN331="","",MIN(INDEX(安値!$E331:$CZ331,1,$BM331+1):INDEX(安値!$E331:$CZ331,1,$BN331+1)))</f>
      </c>
      <c r="BR331" s="684">
        <f>IF($BN331="","",AVERAGE(INDEX(終値!$E331:$CZ331,1,$BN331+1):INDEX(終値!$E331:$CZ331,1,$BN331+20))+2*STDEVP(INDEX(終値!$E331:$CZ331,1,$BN331+1):INDEX(終値!$E331:$CZ331,1,$BN331+20)))</f>
      </c>
      <c r="BS331" s="684">
        <f>IF($BM331="","",AVERAGE(INDEX(終値!$E331:$CZ331,1,$BM331+1):INDEX(終値!$E331:$CZ331,1,$BM331+20))+2*STDEVP(INDEX(終値!$E331:$CZ331,1,$BM331+1):INDEX(終値!$E331:$CZ331,1,$BM331+20)))</f>
      </c>
      <c r="BT331" s="681">
        <f>IFERROR(IF(AND($BD331&gt;=2,ABS($BG331-$BH331)/$BH331&lt;=BB設定!$B$12,$BI331&gt;=MAX($BH331,$BG331)*(1+BB設定!$B$13),終値!E331&gt;$BG331),IF(OR(終値!E331&gt;=$BI331,AND($BH331&lt;$BJ331,$BG331&gt;=$BK331)),"二番底W▲","二番底W形成"),IF(AND($BL331&gt;=2,ABS($BO331-$BP331)/$BP331&lt;=BB設定!$B$12,$BQ331&lt;=MIN($BP331,$BO331)*(1-BB設定!$B$13),終値!E331&lt;$BO331),IF(OR(終値!E331&lt;=$BQ331,AND($BP331&gt;$BR331,$BO331&lt;=$BS331)),"二番天井M▼","二番天井M形成"),"－")),"－")</f>
      </c>
    </row>
    <row r="332">
      <c r="B332" s="684">
        <f>IF(終値!A332="","",IF(AND(安値!G332&lt;安値!F332,安値!G332&lt;安値!E332,安値!G332&lt;安値!H332,安値!G332&lt;安値!I332),2,""))</f>
      </c>
      <c r="C332" s="684">
        <f>IF(終値!A332="","",IF(AND(安値!H332&lt;安値!G332,安値!H332&lt;安値!F332,安値!H332&lt;安値!I332,安値!H332&lt;安値!J332),3,""))</f>
      </c>
      <c r="D332" s="684">
        <f>IF(終値!A332="","",IF(AND(安値!I332&lt;安値!H332,安値!I332&lt;安値!G332,安値!I332&lt;安値!J332,安値!I332&lt;安値!K332),4,""))</f>
      </c>
      <c r="E332" s="684">
        <f>IF(終値!A332="","",IF(AND(安値!J332&lt;安値!I332,安値!J332&lt;安値!H332,安値!J332&lt;安値!K332,安値!J332&lt;安値!L332),5,""))</f>
      </c>
      <c r="F332" s="684">
        <f>IF(終値!A332="","",IF(AND(安値!K332&lt;安値!J332,安値!K332&lt;安値!I332,安値!K332&lt;安値!L332,安値!K332&lt;安値!M332),6,""))</f>
      </c>
      <c r="G332" s="684">
        <f>IF(終値!A332="","",IF(AND(安値!L332&lt;安値!K332,安値!L332&lt;安値!J332,安値!L332&lt;安値!M332,安値!L332&lt;安値!N332),7,""))</f>
      </c>
      <c r="H332" s="684">
        <f>IF(終値!A332="","",IF(AND(安値!M332&lt;安値!L332,安値!M332&lt;安値!K332,安値!M332&lt;安値!N332,安値!M332&lt;安値!O332),8,""))</f>
      </c>
      <c r="I332" s="684">
        <f>IF(終値!A332="","",IF(AND(安値!N332&lt;安値!M332,安値!N332&lt;安値!L332,安値!N332&lt;安値!O332,安値!N332&lt;安値!P332),9,""))</f>
      </c>
      <c r="J332" s="684">
        <f>IF(終値!A332="","",IF(AND(安値!O332&lt;安値!N332,安値!O332&lt;安値!M332,安値!O332&lt;安値!P332,安値!O332&lt;安値!Q332),10,""))</f>
      </c>
      <c r="K332" s="684">
        <f>IF(終値!A332="","",IF(AND(安値!P332&lt;安値!O332,安値!P332&lt;安値!N332,安値!P332&lt;安値!Q332,安値!P332&lt;安値!R332),11,""))</f>
      </c>
      <c r="L332" s="684">
        <f>IF(終値!A332="","",IF(AND(安値!Q332&lt;安値!P332,安値!Q332&lt;安値!O332,安値!Q332&lt;安値!R332,安値!Q332&lt;安値!S332),12,""))</f>
      </c>
      <c r="M332" s="684">
        <f>IF(終値!A332="","",IF(AND(安値!R332&lt;安値!Q332,安値!R332&lt;安値!P332,安値!R332&lt;安値!S332,安値!R332&lt;安値!T332),13,""))</f>
      </c>
      <c r="N332" s="684">
        <f>IF(終値!A332="","",IF(AND(安値!S332&lt;安値!R332,安値!S332&lt;安値!Q332,安値!S332&lt;安値!T332,安値!S332&lt;安値!U332),14,""))</f>
      </c>
      <c r="O332" s="684">
        <f>IF(終値!A332="","",IF(AND(安値!T332&lt;安値!S332,安値!T332&lt;安値!R332,安値!T332&lt;安値!U332,安値!T332&lt;安値!V332),15,""))</f>
      </c>
      <c r="P332" s="684">
        <f>IF(終値!A332="","",IF(AND(安値!U332&lt;安値!T332,安値!U332&lt;安値!S332,安値!U332&lt;安値!V332,安値!U332&lt;安値!W332),16,""))</f>
      </c>
      <c r="Q332" s="684">
        <f>IF(終値!A332="","",IF(AND(安値!V332&lt;安値!U332,安値!V332&lt;安値!T332,安値!V332&lt;安値!W332,安値!V332&lt;安値!X332),17,""))</f>
      </c>
      <c r="R332" s="684">
        <f>IF(終値!A332="","",IF(AND(安値!W332&lt;安値!V332,安値!W332&lt;安値!U332,安値!W332&lt;安値!X332,安値!W332&lt;安値!Y332),18,""))</f>
      </c>
      <c r="S332" s="684">
        <f>IF(終値!A332="","",IF(AND(安値!X332&lt;安値!W332,安値!X332&lt;安値!V332,安値!X332&lt;安値!Y332,安値!X332&lt;安値!Z332),19,""))</f>
      </c>
      <c r="T332" s="684">
        <f>IF(終値!A332="","",IF(AND(安値!Y332&lt;安値!X332,安値!Y332&lt;安値!W332,安値!Y332&lt;安値!Z332,安値!Y332&lt;安値!AA332),20,""))</f>
      </c>
      <c r="U332" s="684">
        <f>IF(終値!A332="","",IF(AND(安値!Z332&lt;安値!Y332,安値!Z332&lt;安値!X332,安値!Z332&lt;安値!AA332,安値!Z332&lt;安値!AB332),21,""))</f>
      </c>
      <c r="V332" s="684">
        <f>IF(終値!A332="","",IF(AND(安値!AA332&lt;安値!Z332,安値!AA332&lt;安値!Y332,安値!AA332&lt;安値!AB332,安値!AA332&lt;安値!AC332),22,""))</f>
      </c>
      <c r="W332" s="684">
        <f>IF(終値!A332="","",IF(AND(安値!AB332&lt;安値!AA332,安値!AB332&lt;安値!Z332,安値!AB332&lt;安値!AC332,安値!AB332&lt;安値!AD332),23,""))</f>
      </c>
      <c r="X332" s="684">
        <f>IF(終値!A332="","",IF(AND(安値!AC332&lt;安値!AB332,安値!AC332&lt;安値!AA332,安値!AC332&lt;安値!AD332,安値!AC332&lt;安値!AE332),24,""))</f>
      </c>
      <c r="Y332" s="684">
        <f>IF(終値!A332="","",IF(AND(安値!AD332&lt;安値!AC332,安値!AD332&lt;安値!AB332,安値!AD332&lt;安値!AE332,安値!AD332&lt;安値!AF332),25,""))</f>
      </c>
      <c r="Z332" s="684">
        <f>IF(終値!A332="","",IF(AND(安値!AE332&lt;安値!AD332,安値!AE332&lt;安値!AC332,安値!AE332&lt;安値!AF332,安値!AE332&lt;安値!AG332),26,""))</f>
      </c>
      <c r="AA332" s="684">
        <f>IF(終値!A332="","",IF(AND(安値!AF332&lt;安値!AE332,安値!AF332&lt;安値!AD332,安値!AF332&lt;安値!AG332,安値!AF332&lt;安値!AH332),27,""))</f>
      </c>
      <c r="AB332" s="684">
        <f>IF(終値!A332="","",IF(AND(安値!AG332&lt;安値!AF332,安値!AG332&lt;安値!AE332,安値!AG332&lt;安値!AH332,安値!AG332&lt;安値!AI332),28,""))</f>
      </c>
      <c r="AC332" s="684">
        <f>IF(終値!A332="","",IF(AND(高値!G332&gt;高値!F332,高値!G332&gt;高値!E332,高値!G332&gt;高値!H332,高値!G332&gt;高値!I332),2,""))</f>
      </c>
      <c r="AD332" s="684">
        <f>IF(終値!A332="","",IF(AND(高値!H332&gt;高値!G332,高値!H332&gt;高値!F332,高値!H332&gt;高値!I332,高値!H332&gt;高値!J332),3,""))</f>
      </c>
      <c r="AE332" s="684">
        <f>IF(終値!A332="","",IF(AND(高値!I332&gt;高値!H332,高値!I332&gt;高値!G332,高値!I332&gt;高値!J332,高値!I332&gt;高値!K332),4,""))</f>
      </c>
      <c r="AF332" s="684">
        <f>IF(終値!A332="","",IF(AND(高値!J332&gt;高値!I332,高値!J332&gt;高値!H332,高値!J332&gt;高値!K332,高値!J332&gt;高値!L332),5,""))</f>
      </c>
      <c r="AG332" s="684">
        <f>IF(終値!A332="","",IF(AND(高値!K332&gt;高値!J332,高値!K332&gt;高値!I332,高値!K332&gt;高値!L332,高値!K332&gt;高値!M332),6,""))</f>
      </c>
      <c r="AH332" s="684">
        <f>IF(終値!A332="","",IF(AND(高値!L332&gt;高値!K332,高値!L332&gt;高値!J332,高値!L332&gt;高値!M332,高値!L332&gt;高値!N332),7,""))</f>
      </c>
      <c r="AI332" s="684">
        <f>IF(終値!A332="","",IF(AND(高値!M332&gt;高値!L332,高値!M332&gt;高値!K332,高値!M332&gt;高値!N332,高値!M332&gt;高値!O332),8,""))</f>
      </c>
      <c r="AJ332" s="684">
        <f>IF(終値!A332="","",IF(AND(高値!N332&gt;高値!M332,高値!N332&gt;高値!L332,高値!N332&gt;高値!O332,高値!N332&gt;高値!P332),9,""))</f>
      </c>
      <c r="AK332" s="684">
        <f>IF(終値!A332="","",IF(AND(高値!O332&gt;高値!N332,高値!O332&gt;高値!M332,高値!O332&gt;高値!P332,高値!O332&gt;高値!Q332),10,""))</f>
      </c>
      <c r="AL332" s="684">
        <f>IF(終値!A332="","",IF(AND(高値!P332&gt;高値!O332,高値!P332&gt;高値!N332,高値!P332&gt;高値!Q332,高値!P332&gt;高値!R332),11,""))</f>
      </c>
      <c r="AM332" s="684">
        <f>IF(終値!A332="","",IF(AND(高値!Q332&gt;高値!P332,高値!Q332&gt;高値!O332,高値!Q332&gt;高値!R332,高値!Q332&gt;高値!S332),12,""))</f>
      </c>
      <c r="AN332" s="684">
        <f>IF(終値!A332="","",IF(AND(高値!R332&gt;高値!Q332,高値!R332&gt;高値!P332,高値!R332&gt;高値!S332,高値!R332&gt;高値!T332),13,""))</f>
      </c>
      <c r="AO332" s="684">
        <f>IF(終値!A332="","",IF(AND(高値!S332&gt;高値!R332,高値!S332&gt;高値!Q332,高値!S332&gt;高値!T332,高値!S332&gt;高値!U332),14,""))</f>
      </c>
      <c r="AP332" s="684">
        <f>IF(終値!A332="","",IF(AND(高値!T332&gt;高値!S332,高値!T332&gt;高値!R332,高値!T332&gt;高値!U332,高値!T332&gt;高値!V332),15,""))</f>
      </c>
      <c r="AQ332" s="684">
        <f>IF(終値!A332="","",IF(AND(高値!U332&gt;高値!T332,高値!U332&gt;高値!S332,高値!U332&gt;高値!V332,高値!U332&gt;高値!W332),16,""))</f>
      </c>
      <c r="AR332" s="684">
        <f>IF(終値!A332="","",IF(AND(高値!V332&gt;高値!U332,高値!V332&gt;高値!T332,高値!V332&gt;高値!W332,高値!V332&gt;高値!X332),17,""))</f>
      </c>
      <c r="AS332" s="684">
        <f>IF(終値!A332="","",IF(AND(高値!W332&gt;高値!V332,高値!W332&gt;高値!U332,高値!W332&gt;高値!X332,高値!W332&gt;高値!Y332),18,""))</f>
      </c>
      <c r="AT332" s="684">
        <f>IF(終値!A332="","",IF(AND(高値!X332&gt;高値!W332,高値!X332&gt;高値!V332,高値!X332&gt;高値!Y332,高値!X332&gt;高値!Z332),19,""))</f>
      </c>
      <c r="AU332" s="684">
        <f>IF(終値!A332="","",IF(AND(高値!Y332&gt;高値!X332,高値!Y332&gt;高値!W332,高値!Y332&gt;高値!Z332,高値!Y332&gt;高値!AA332),20,""))</f>
      </c>
      <c r="AV332" s="684">
        <f>IF(終値!A332="","",IF(AND(高値!Z332&gt;高値!Y332,高値!Z332&gt;高値!X332,高値!Z332&gt;高値!AA332,高値!Z332&gt;高値!AB332),21,""))</f>
      </c>
      <c r="AW332" s="684">
        <f>IF(終値!A332="","",IF(AND(高値!AA332&gt;高値!Z332,高値!AA332&gt;高値!Y332,高値!AA332&gt;高値!AB332,高値!AA332&gt;高値!AC332),22,""))</f>
      </c>
      <c r="AX332" s="684">
        <f>IF(終値!A332="","",IF(AND(高値!AB332&gt;高値!AA332,高値!AB332&gt;高値!Z332,高値!AB332&gt;高値!AC332,高値!AB332&gt;高値!AD332),23,""))</f>
      </c>
      <c r="AY332" s="684">
        <f>IF(終値!A332="","",IF(AND(高値!AC332&gt;高値!AB332,高値!AC332&gt;高値!AA332,高値!AC332&gt;高値!AD332,高値!AC332&gt;高値!AE332),24,""))</f>
      </c>
      <c r="AZ332" s="684">
        <f>IF(終値!A332="","",IF(AND(高値!AD332&gt;高値!AC332,高値!AD332&gt;高値!AB332,高値!AD332&gt;高値!AE332,高値!AD332&gt;高値!AF332),25,""))</f>
      </c>
      <c r="BA332" s="684">
        <f>IF(終値!A332="","",IF(AND(高値!AE332&gt;高値!AD332,高値!AE332&gt;高値!AC332,高値!AE332&gt;高値!AF332,高値!AE332&gt;高値!AG332),26,""))</f>
      </c>
      <c r="BB332" s="684">
        <f>IF(終値!A332="","",IF(AND(高値!AF332&gt;高値!AE332,高値!AF332&gt;高値!AD332,高値!AF332&gt;高値!AG332,高値!AF332&gt;高値!AH332),27,""))</f>
      </c>
      <c r="BC332" s="684">
        <f>IF(終値!A332="","",IF(AND(高値!AG332&gt;高値!AF332,高値!AG332&gt;高値!AE332,高値!AG332&gt;高値!AH332,高値!AG332&gt;高値!AI332),28,""))</f>
      </c>
      <c r="BD332" s="684">
        <f>COUNT($B332:$AB332)</f>
      </c>
      <c r="BE332" s="684">
        <f>IF($BD332&gt;=2,MIN($B332:$AB332),"")</f>
      </c>
      <c r="BF332" s="684">
        <f>IF($BD332&gt;=2,SMALL($B332:$AB332,2),"")</f>
      </c>
      <c r="BG332" s="684">
        <f>IF($BE332="","",INDEX(安値!$E332:$CZ332,1,$BE332+1))</f>
      </c>
      <c r="BH332" s="684">
        <f>IF($BF332="","",INDEX(安値!$E332:$CZ332,1,$BF332+1))</f>
      </c>
      <c r="BI332" s="684">
        <f>IF($BF332="","",MAX(INDEX(高値!$E332:$CZ332,1,$BE332+1):INDEX(高値!$E332:$CZ332,1,$BF332+1)))</f>
      </c>
      <c r="BJ332" s="684">
        <f>IF($BF332="","",AVERAGE(INDEX(終値!$E332:$CZ332,1,$BF332+1):INDEX(終値!$E332:$CZ332,1,$BF332+20))-2*STDEVP(INDEX(終値!$E332:$CZ332,1,$BF332+1):INDEX(終値!$E332:$CZ332,1,$BF332+20)))</f>
      </c>
      <c r="BK332" s="684">
        <f>IF($BE332="","",AVERAGE(INDEX(終値!$E332:$CZ332,1,$BE332+1):INDEX(終値!$E332:$CZ332,1,$BE332+20))-2*STDEVP(INDEX(終値!$E332:$CZ332,1,$BE332+1):INDEX(終値!$E332:$CZ332,1,$BE332+20)))</f>
      </c>
      <c r="BL332" s="684">
        <f>COUNT($AC332:$BC332)</f>
      </c>
      <c r="BM332" s="684">
        <f>IF($BL332&gt;=2,MIN($AC332:$BC332),"")</f>
      </c>
      <c r="BN332" s="684">
        <f>IF($BL332&gt;=2,SMALL($AC332:$BC332,2),"")</f>
      </c>
      <c r="BO332" s="684">
        <f>IF($BM332="","",INDEX(高値!$E332:$CZ332,1,$BM332+1))</f>
      </c>
      <c r="BP332" s="684">
        <f>IF($BN332="","",INDEX(高値!$E332:$CZ332,1,$BN332+1))</f>
      </c>
      <c r="BQ332" s="684">
        <f>IF($BN332="","",MIN(INDEX(安値!$E332:$CZ332,1,$BM332+1):INDEX(安値!$E332:$CZ332,1,$BN332+1)))</f>
      </c>
      <c r="BR332" s="684">
        <f>IF($BN332="","",AVERAGE(INDEX(終値!$E332:$CZ332,1,$BN332+1):INDEX(終値!$E332:$CZ332,1,$BN332+20))+2*STDEVP(INDEX(終値!$E332:$CZ332,1,$BN332+1):INDEX(終値!$E332:$CZ332,1,$BN332+20)))</f>
      </c>
      <c r="BS332" s="684">
        <f>IF($BM332="","",AVERAGE(INDEX(終値!$E332:$CZ332,1,$BM332+1):INDEX(終値!$E332:$CZ332,1,$BM332+20))+2*STDEVP(INDEX(終値!$E332:$CZ332,1,$BM332+1):INDEX(終値!$E332:$CZ332,1,$BM332+20)))</f>
      </c>
      <c r="BT332" s="681">
        <f>IFERROR(IF(AND($BD332&gt;=2,ABS($BG332-$BH332)/$BH332&lt;=BB設定!$B$12,$BI332&gt;=MAX($BH332,$BG332)*(1+BB設定!$B$13),終値!E332&gt;$BG332),IF(OR(終値!E332&gt;=$BI332,AND($BH332&lt;$BJ332,$BG332&gt;=$BK332)),"二番底W▲","二番底W形成"),IF(AND($BL332&gt;=2,ABS($BO332-$BP332)/$BP332&lt;=BB設定!$B$12,$BQ332&lt;=MIN($BP332,$BO332)*(1-BB設定!$B$13),終値!E332&lt;$BO332),IF(OR(終値!E332&lt;=$BQ332,AND($BP332&gt;$BR332,$BO332&lt;=$BS332)),"二番天井M▼","二番天井M形成"),"－")),"－")</f>
      </c>
    </row>
    <row r="333">
      <c r="B333" s="684">
        <f>IF(終値!A333="","",IF(AND(安値!G333&lt;安値!F333,安値!G333&lt;安値!E333,安値!G333&lt;安値!H333,安値!G333&lt;安値!I333),2,""))</f>
      </c>
      <c r="C333" s="684">
        <f>IF(終値!A333="","",IF(AND(安値!H333&lt;安値!G333,安値!H333&lt;安値!F333,安値!H333&lt;安値!I333,安値!H333&lt;安値!J333),3,""))</f>
      </c>
      <c r="D333" s="684">
        <f>IF(終値!A333="","",IF(AND(安値!I333&lt;安値!H333,安値!I333&lt;安値!G333,安値!I333&lt;安値!J333,安値!I333&lt;安値!K333),4,""))</f>
      </c>
      <c r="E333" s="684">
        <f>IF(終値!A333="","",IF(AND(安値!J333&lt;安値!I333,安値!J333&lt;安値!H333,安値!J333&lt;安値!K333,安値!J333&lt;安値!L333),5,""))</f>
      </c>
      <c r="F333" s="684">
        <f>IF(終値!A333="","",IF(AND(安値!K333&lt;安値!J333,安値!K333&lt;安値!I333,安値!K333&lt;安値!L333,安値!K333&lt;安値!M333),6,""))</f>
      </c>
      <c r="G333" s="684">
        <f>IF(終値!A333="","",IF(AND(安値!L333&lt;安値!K333,安値!L333&lt;安値!J333,安値!L333&lt;安値!M333,安値!L333&lt;安値!N333),7,""))</f>
      </c>
      <c r="H333" s="684">
        <f>IF(終値!A333="","",IF(AND(安値!M333&lt;安値!L333,安値!M333&lt;安値!K333,安値!M333&lt;安値!N333,安値!M333&lt;安値!O333),8,""))</f>
      </c>
      <c r="I333" s="684">
        <f>IF(終値!A333="","",IF(AND(安値!N333&lt;安値!M333,安値!N333&lt;安値!L333,安値!N333&lt;安値!O333,安値!N333&lt;安値!P333),9,""))</f>
      </c>
      <c r="J333" s="684">
        <f>IF(終値!A333="","",IF(AND(安値!O333&lt;安値!N333,安値!O333&lt;安値!M333,安値!O333&lt;安値!P333,安値!O333&lt;安値!Q333),10,""))</f>
      </c>
      <c r="K333" s="684">
        <f>IF(終値!A333="","",IF(AND(安値!P333&lt;安値!O333,安値!P333&lt;安値!N333,安値!P333&lt;安値!Q333,安値!P333&lt;安値!R333),11,""))</f>
      </c>
      <c r="L333" s="684">
        <f>IF(終値!A333="","",IF(AND(安値!Q333&lt;安値!P333,安値!Q333&lt;安値!O333,安値!Q333&lt;安値!R333,安値!Q333&lt;安値!S333),12,""))</f>
      </c>
      <c r="M333" s="684">
        <f>IF(終値!A333="","",IF(AND(安値!R333&lt;安値!Q333,安値!R333&lt;安値!P333,安値!R333&lt;安値!S333,安値!R333&lt;安値!T333),13,""))</f>
      </c>
      <c r="N333" s="684">
        <f>IF(終値!A333="","",IF(AND(安値!S333&lt;安値!R333,安値!S333&lt;安値!Q333,安値!S333&lt;安値!T333,安値!S333&lt;安値!U333),14,""))</f>
      </c>
      <c r="O333" s="684">
        <f>IF(終値!A333="","",IF(AND(安値!T333&lt;安値!S333,安値!T333&lt;安値!R333,安値!T333&lt;安値!U333,安値!T333&lt;安値!V333),15,""))</f>
      </c>
      <c r="P333" s="684">
        <f>IF(終値!A333="","",IF(AND(安値!U333&lt;安値!T333,安値!U333&lt;安値!S333,安値!U333&lt;安値!V333,安値!U333&lt;安値!W333),16,""))</f>
      </c>
      <c r="Q333" s="684">
        <f>IF(終値!A333="","",IF(AND(安値!V333&lt;安値!U333,安値!V333&lt;安値!T333,安値!V333&lt;安値!W333,安値!V333&lt;安値!X333),17,""))</f>
      </c>
      <c r="R333" s="684">
        <f>IF(終値!A333="","",IF(AND(安値!W333&lt;安値!V333,安値!W333&lt;安値!U333,安値!W333&lt;安値!X333,安値!W333&lt;安値!Y333),18,""))</f>
      </c>
      <c r="S333" s="684">
        <f>IF(終値!A333="","",IF(AND(安値!X333&lt;安値!W333,安値!X333&lt;安値!V333,安値!X333&lt;安値!Y333,安値!X333&lt;安値!Z333),19,""))</f>
      </c>
      <c r="T333" s="684">
        <f>IF(終値!A333="","",IF(AND(安値!Y333&lt;安値!X333,安値!Y333&lt;安値!W333,安値!Y333&lt;安値!Z333,安値!Y333&lt;安値!AA333),20,""))</f>
      </c>
      <c r="U333" s="684">
        <f>IF(終値!A333="","",IF(AND(安値!Z333&lt;安値!Y333,安値!Z333&lt;安値!X333,安値!Z333&lt;安値!AA333,安値!Z333&lt;安値!AB333),21,""))</f>
      </c>
      <c r="V333" s="684">
        <f>IF(終値!A333="","",IF(AND(安値!AA333&lt;安値!Z333,安値!AA333&lt;安値!Y333,安値!AA333&lt;安値!AB333,安値!AA333&lt;安値!AC333),22,""))</f>
      </c>
      <c r="W333" s="684">
        <f>IF(終値!A333="","",IF(AND(安値!AB333&lt;安値!AA333,安値!AB333&lt;安値!Z333,安値!AB333&lt;安値!AC333,安値!AB333&lt;安値!AD333),23,""))</f>
      </c>
      <c r="X333" s="684">
        <f>IF(終値!A333="","",IF(AND(安値!AC333&lt;安値!AB333,安値!AC333&lt;安値!AA333,安値!AC333&lt;安値!AD333,安値!AC333&lt;安値!AE333),24,""))</f>
      </c>
      <c r="Y333" s="684">
        <f>IF(終値!A333="","",IF(AND(安値!AD333&lt;安値!AC333,安値!AD333&lt;安値!AB333,安値!AD333&lt;安値!AE333,安値!AD333&lt;安値!AF333),25,""))</f>
      </c>
      <c r="Z333" s="684">
        <f>IF(終値!A333="","",IF(AND(安値!AE333&lt;安値!AD333,安値!AE333&lt;安値!AC333,安値!AE333&lt;安値!AF333,安値!AE333&lt;安値!AG333),26,""))</f>
      </c>
      <c r="AA333" s="684">
        <f>IF(終値!A333="","",IF(AND(安値!AF333&lt;安値!AE333,安値!AF333&lt;安値!AD333,安値!AF333&lt;安値!AG333,安値!AF333&lt;安値!AH333),27,""))</f>
      </c>
      <c r="AB333" s="684">
        <f>IF(終値!A333="","",IF(AND(安値!AG333&lt;安値!AF333,安値!AG333&lt;安値!AE333,安値!AG333&lt;安値!AH333,安値!AG333&lt;安値!AI333),28,""))</f>
      </c>
      <c r="AC333" s="684">
        <f>IF(終値!A333="","",IF(AND(高値!G333&gt;高値!F333,高値!G333&gt;高値!E333,高値!G333&gt;高値!H333,高値!G333&gt;高値!I333),2,""))</f>
      </c>
      <c r="AD333" s="684">
        <f>IF(終値!A333="","",IF(AND(高値!H333&gt;高値!G333,高値!H333&gt;高値!F333,高値!H333&gt;高値!I333,高値!H333&gt;高値!J333),3,""))</f>
      </c>
      <c r="AE333" s="684">
        <f>IF(終値!A333="","",IF(AND(高値!I333&gt;高値!H333,高値!I333&gt;高値!G333,高値!I333&gt;高値!J333,高値!I333&gt;高値!K333),4,""))</f>
      </c>
      <c r="AF333" s="684">
        <f>IF(終値!A333="","",IF(AND(高値!J333&gt;高値!I333,高値!J333&gt;高値!H333,高値!J333&gt;高値!K333,高値!J333&gt;高値!L333),5,""))</f>
      </c>
      <c r="AG333" s="684">
        <f>IF(終値!A333="","",IF(AND(高値!K333&gt;高値!J333,高値!K333&gt;高値!I333,高値!K333&gt;高値!L333,高値!K333&gt;高値!M333),6,""))</f>
      </c>
      <c r="AH333" s="684">
        <f>IF(終値!A333="","",IF(AND(高値!L333&gt;高値!K333,高値!L333&gt;高値!J333,高値!L333&gt;高値!M333,高値!L333&gt;高値!N333),7,""))</f>
      </c>
      <c r="AI333" s="684">
        <f>IF(終値!A333="","",IF(AND(高値!M333&gt;高値!L333,高値!M333&gt;高値!K333,高値!M333&gt;高値!N333,高値!M333&gt;高値!O333),8,""))</f>
      </c>
      <c r="AJ333" s="684">
        <f>IF(終値!A333="","",IF(AND(高値!N333&gt;高値!M333,高値!N333&gt;高値!L333,高値!N333&gt;高値!O333,高値!N333&gt;高値!P333),9,""))</f>
      </c>
      <c r="AK333" s="684">
        <f>IF(終値!A333="","",IF(AND(高値!O333&gt;高値!N333,高値!O333&gt;高値!M333,高値!O333&gt;高値!P333,高値!O333&gt;高値!Q333),10,""))</f>
      </c>
      <c r="AL333" s="684">
        <f>IF(終値!A333="","",IF(AND(高値!P333&gt;高値!O333,高値!P333&gt;高値!N333,高値!P333&gt;高値!Q333,高値!P333&gt;高値!R333),11,""))</f>
      </c>
      <c r="AM333" s="684">
        <f>IF(終値!A333="","",IF(AND(高値!Q333&gt;高値!P333,高値!Q333&gt;高値!O333,高値!Q333&gt;高値!R333,高値!Q333&gt;高値!S333),12,""))</f>
      </c>
      <c r="AN333" s="684">
        <f>IF(終値!A333="","",IF(AND(高値!R333&gt;高値!Q333,高値!R333&gt;高値!P333,高値!R333&gt;高値!S333,高値!R333&gt;高値!T333),13,""))</f>
      </c>
      <c r="AO333" s="684">
        <f>IF(終値!A333="","",IF(AND(高値!S333&gt;高値!R333,高値!S333&gt;高値!Q333,高値!S333&gt;高値!T333,高値!S333&gt;高値!U333),14,""))</f>
      </c>
      <c r="AP333" s="684">
        <f>IF(終値!A333="","",IF(AND(高値!T333&gt;高値!S333,高値!T333&gt;高値!R333,高値!T333&gt;高値!U333,高値!T333&gt;高値!V333),15,""))</f>
      </c>
      <c r="AQ333" s="684">
        <f>IF(終値!A333="","",IF(AND(高値!U333&gt;高値!T333,高値!U333&gt;高値!S333,高値!U333&gt;高値!V333,高値!U333&gt;高値!W333),16,""))</f>
      </c>
      <c r="AR333" s="684">
        <f>IF(終値!A333="","",IF(AND(高値!V333&gt;高値!U333,高値!V333&gt;高値!T333,高値!V333&gt;高値!W333,高値!V333&gt;高値!X333),17,""))</f>
      </c>
      <c r="AS333" s="684">
        <f>IF(終値!A333="","",IF(AND(高値!W333&gt;高値!V333,高値!W333&gt;高値!U333,高値!W333&gt;高値!X333,高値!W333&gt;高値!Y333),18,""))</f>
      </c>
      <c r="AT333" s="684">
        <f>IF(終値!A333="","",IF(AND(高値!X333&gt;高値!W333,高値!X333&gt;高値!V333,高値!X333&gt;高値!Y333,高値!X333&gt;高値!Z333),19,""))</f>
      </c>
      <c r="AU333" s="684">
        <f>IF(終値!A333="","",IF(AND(高値!Y333&gt;高値!X333,高値!Y333&gt;高値!W333,高値!Y333&gt;高値!Z333,高値!Y333&gt;高値!AA333),20,""))</f>
      </c>
      <c r="AV333" s="684">
        <f>IF(終値!A333="","",IF(AND(高値!Z333&gt;高値!Y333,高値!Z333&gt;高値!X333,高値!Z333&gt;高値!AA333,高値!Z333&gt;高値!AB333),21,""))</f>
      </c>
      <c r="AW333" s="684">
        <f>IF(終値!A333="","",IF(AND(高値!AA333&gt;高値!Z333,高値!AA333&gt;高値!Y333,高値!AA333&gt;高値!AB333,高値!AA333&gt;高値!AC333),22,""))</f>
      </c>
      <c r="AX333" s="684">
        <f>IF(終値!A333="","",IF(AND(高値!AB333&gt;高値!AA333,高値!AB333&gt;高値!Z333,高値!AB333&gt;高値!AC333,高値!AB333&gt;高値!AD333),23,""))</f>
      </c>
      <c r="AY333" s="684">
        <f>IF(終値!A333="","",IF(AND(高値!AC333&gt;高値!AB333,高値!AC333&gt;高値!AA333,高値!AC333&gt;高値!AD333,高値!AC333&gt;高値!AE333),24,""))</f>
      </c>
      <c r="AZ333" s="684">
        <f>IF(終値!A333="","",IF(AND(高値!AD333&gt;高値!AC333,高値!AD333&gt;高値!AB333,高値!AD333&gt;高値!AE333,高値!AD333&gt;高値!AF333),25,""))</f>
      </c>
      <c r="BA333" s="684">
        <f>IF(終値!A333="","",IF(AND(高値!AE333&gt;高値!AD333,高値!AE333&gt;高値!AC333,高値!AE333&gt;高値!AF333,高値!AE333&gt;高値!AG333),26,""))</f>
      </c>
      <c r="BB333" s="684">
        <f>IF(終値!A333="","",IF(AND(高値!AF333&gt;高値!AE333,高値!AF333&gt;高値!AD333,高値!AF333&gt;高値!AG333,高値!AF333&gt;高値!AH333),27,""))</f>
      </c>
      <c r="BC333" s="684">
        <f>IF(終値!A333="","",IF(AND(高値!AG333&gt;高値!AF333,高値!AG333&gt;高値!AE333,高値!AG333&gt;高値!AH333,高値!AG333&gt;高値!AI333),28,""))</f>
      </c>
      <c r="BD333" s="684">
        <f>COUNT($B333:$AB333)</f>
      </c>
      <c r="BE333" s="684">
        <f>IF($BD333&gt;=2,MIN($B333:$AB333),"")</f>
      </c>
      <c r="BF333" s="684">
        <f>IF($BD333&gt;=2,SMALL($B333:$AB333,2),"")</f>
      </c>
      <c r="BG333" s="684">
        <f>IF($BE333="","",INDEX(安値!$E333:$CZ333,1,$BE333+1))</f>
      </c>
      <c r="BH333" s="684">
        <f>IF($BF333="","",INDEX(安値!$E333:$CZ333,1,$BF333+1))</f>
      </c>
      <c r="BI333" s="684">
        <f>IF($BF333="","",MAX(INDEX(高値!$E333:$CZ333,1,$BE333+1):INDEX(高値!$E333:$CZ333,1,$BF333+1)))</f>
      </c>
      <c r="BJ333" s="684">
        <f>IF($BF333="","",AVERAGE(INDEX(終値!$E333:$CZ333,1,$BF333+1):INDEX(終値!$E333:$CZ333,1,$BF333+20))-2*STDEVP(INDEX(終値!$E333:$CZ333,1,$BF333+1):INDEX(終値!$E333:$CZ333,1,$BF333+20)))</f>
      </c>
      <c r="BK333" s="684">
        <f>IF($BE333="","",AVERAGE(INDEX(終値!$E333:$CZ333,1,$BE333+1):INDEX(終値!$E333:$CZ333,1,$BE333+20))-2*STDEVP(INDEX(終値!$E333:$CZ333,1,$BE333+1):INDEX(終値!$E333:$CZ333,1,$BE333+20)))</f>
      </c>
      <c r="BL333" s="684">
        <f>COUNT($AC333:$BC333)</f>
      </c>
      <c r="BM333" s="684">
        <f>IF($BL333&gt;=2,MIN($AC333:$BC333),"")</f>
      </c>
      <c r="BN333" s="684">
        <f>IF($BL333&gt;=2,SMALL($AC333:$BC333,2),"")</f>
      </c>
      <c r="BO333" s="684">
        <f>IF($BM333="","",INDEX(高値!$E333:$CZ333,1,$BM333+1))</f>
      </c>
      <c r="BP333" s="684">
        <f>IF($BN333="","",INDEX(高値!$E333:$CZ333,1,$BN333+1))</f>
      </c>
      <c r="BQ333" s="684">
        <f>IF($BN333="","",MIN(INDEX(安値!$E333:$CZ333,1,$BM333+1):INDEX(安値!$E333:$CZ333,1,$BN333+1)))</f>
      </c>
      <c r="BR333" s="684">
        <f>IF($BN333="","",AVERAGE(INDEX(終値!$E333:$CZ333,1,$BN333+1):INDEX(終値!$E333:$CZ333,1,$BN333+20))+2*STDEVP(INDEX(終値!$E333:$CZ333,1,$BN333+1):INDEX(終値!$E333:$CZ333,1,$BN333+20)))</f>
      </c>
      <c r="BS333" s="684">
        <f>IF($BM333="","",AVERAGE(INDEX(終値!$E333:$CZ333,1,$BM333+1):INDEX(終値!$E333:$CZ333,1,$BM333+20))+2*STDEVP(INDEX(終値!$E333:$CZ333,1,$BM333+1):INDEX(終値!$E333:$CZ333,1,$BM333+20)))</f>
      </c>
      <c r="BT333" s="681">
        <f>IFERROR(IF(AND($BD333&gt;=2,ABS($BG333-$BH333)/$BH333&lt;=BB設定!$B$12,$BI333&gt;=MAX($BH333,$BG333)*(1+BB設定!$B$13),終値!E333&gt;$BG333),IF(OR(終値!E333&gt;=$BI333,AND($BH333&lt;$BJ333,$BG333&gt;=$BK333)),"二番底W▲","二番底W形成"),IF(AND($BL333&gt;=2,ABS($BO333-$BP333)/$BP333&lt;=BB設定!$B$12,$BQ333&lt;=MIN($BP333,$BO333)*(1-BB設定!$B$13),終値!E333&lt;$BO333),IF(OR(終値!E333&lt;=$BQ333,AND($BP333&gt;$BR333,$BO333&lt;=$BS333)),"二番天井M▼","二番天井M形成"),"－")),"－")</f>
      </c>
    </row>
    <row r="334">
      <c r="B334" s="684">
        <f>IF(終値!A334="","",IF(AND(安値!G334&lt;安値!F334,安値!G334&lt;安値!E334,安値!G334&lt;安値!H334,安値!G334&lt;安値!I334),2,""))</f>
      </c>
      <c r="C334" s="684">
        <f>IF(終値!A334="","",IF(AND(安値!H334&lt;安値!G334,安値!H334&lt;安値!F334,安値!H334&lt;安値!I334,安値!H334&lt;安値!J334),3,""))</f>
      </c>
      <c r="D334" s="684">
        <f>IF(終値!A334="","",IF(AND(安値!I334&lt;安値!H334,安値!I334&lt;安値!G334,安値!I334&lt;安値!J334,安値!I334&lt;安値!K334),4,""))</f>
      </c>
      <c r="E334" s="684">
        <f>IF(終値!A334="","",IF(AND(安値!J334&lt;安値!I334,安値!J334&lt;安値!H334,安値!J334&lt;安値!K334,安値!J334&lt;安値!L334),5,""))</f>
      </c>
      <c r="F334" s="684">
        <f>IF(終値!A334="","",IF(AND(安値!K334&lt;安値!J334,安値!K334&lt;安値!I334,安値!K334&lt;安値!L334,安値!K334&lt;安値!M334),6,""))</f>
      </c>
      <c r="G334" s="684">
        <f>IF(終値!A334="","",IF(AND(安値!L334&lt;安値!K334,安値!L334&lt;安値!J334,安値!L334&lt;安値!M334,安値!L334&lt;安値!N334),7,""))</f>
      </c>
      <c r="H334" s="684">
        <f>IF(終値!A334="","",IF(AND(安値!M334&lt;安値!L334,安値!M334&lt;安値!K334,安値!M334&lt;安値!N334,安値!M334&lt;安値!O334),8,""))</f>
      </c>
      <c r="I334" s="684">
        <f>IF(終値!A334="","",IF(AND(安値!N334&lt;安値!M334,安値!N334&lt;安値!L334,安値!N334&lt;安値!O334,安値!N334&lt;安値!P334),9,""))</f>
      </c>
      <c r="J334" s="684">
        <f>IF(終値!A334="","",IF(AND(安値!O334&lt;安値!N334,安値!O334&lt;安値!M334,安値!O334&lt;安値!P334,安値!O334&lt;安値!Q334),10,""))</f>
      </c>
      <c r="K334" s="684">
        <f>IF(終値!A334="","",IF(AND(安値!P334&lt;安値!O334,安値!P334&lt;安値!N334,安値!P334&lt;安値!Q334,安値!P334&lt;安値!R334),11,""))</f>
      </c>
      <c r="L334" s="684">
        <f>IF(終値!A334="","",IF(AND(安値!Q334&lt;安値!P334,安値!Q334&lt;安値!O334,安値!Q334&lt;安値!R334,安値!Q334&lt;安値!S334),12,""))</f>
      </c>
      <c r="M334" s="684">
        <f>IF(終値!A334="","",IF(AND(安値!R334&lt;安値!Q334,安値!R334&lt;安値!P334,安値!R334&lt;安値!S334,安値!R334&lt;安値!T334),13,""))</f>
      </c>
      <c r="N334" s="684">
        <f>IF(終値!A334="","",IF(AND(安値!S334&lt;安値!R334,安値!S334&lt;安値!Q334,安値!S334&lt;安値!T334,安値!S334&lt;安値!U334),14,""))</f>
      </c>
      <c r="O334" s="684">
        <f>IF(終値!A334="","",IF(AND(安値!T334&lt;安値!S334,安値!T334&lt;安値!R334,安値!T334&lt;安値!U334,安値!T334&lt;安値!V334),15,""))</f>
      </c>
      <c r="P334" s="684">
        <f>IF(終値!A334="","",IF(AND(安値!U334&lt;安値!T334,安値!U334&lt;安値!S334,安値!U334&lt;安値!V334,安値!U334&lt;安値!W334),16,""))</f>
      </c>
      <c r="Q334" s="684">
        <f>IF(終値!A334="","",IF(AND(安値!V334&lt;安値!U334,安値!V334&lt;安値!T334,安値!V334&lt;安値!W334,安値!V334&lt;安値!X334),17,""))</f>
      </c>
      <c r="R334" s="684">
        <f>IF(終値!A334="","",IF(AND(安値!W334&lt;安値!V334,安値!W334&lt;安値!U334,安値!W334&lt;安値!X334,安値!W334&lt;安値!Y334),18,""))</f>
      </c>
      <c r="S334" s="684">
        <f>IF(終値!A334="","",IF(AND(安値!X334&lt;安値!W334,安値!X334&lt;安値!V334,安値!X334&lt;安値!Y334,安値!X334&lt;安値!Z334),19,""))</f>
      </c>
      <c r="T334" s="684">
        <f>IF(終値!A334="","",IF(AND(安値!Y334&lt;安値!X334,安値!Y334&lt;安値!W334,安値!Y334&lt;安値!Z334,安値!Y334&lt;安値!AA334),20,""))</f>
      </c>
      <c r="U334" s="684">
        <f>IF(終値!A334="","",IF(AND(安値!Z334&lt;安値!Y334,安値!Z334&lt;安値!X334,安値!Z334&lt;安値!AA334,安値!Z334&lt;安値!AB334),21,""))</f>
      </c>
      <c r="V334" s="684">
        <f>IF(終値!A334="","",IF(AND(安値!AA334&lt;安値!Z334,安値!AA334&lt;安値!Y334,安値!AA334&lt;安値!AB334,安値!AA334&lt;安値!AC334),22,""))</f>
      </c>
      <c r="W334" s="684">
        <f>IF(終値!A334="","",IF(AND(安値!AB334&lt;安値!AA334,安値!AB334&lt;安値!Z334,安値!AB334&lt;安値!AC334,安値!AB334&lt;安値!AD334),23,""))</f>
      </c>
      <c r="X334" s="684">
        <f>IF(終値!A334="","",IF(AND(安値!AC334&lt;安値!AB334,安値!AC334&lt;安値!AA334,安値!AC334&lt;安値!AD334,安値!AC334&lt;安値!AE334),24,""))</f>
      </c>
      <c r="Y334" s="684">
        <f>IF(終値!A334="","",IF(AND(安値!AD334&lt;安値!AC334,安値!AD334&lt;安値!AB334,安値!AD334&lt;安値!AE334,安値!AD334&lt;安値!AF334),25,""))</f>
      </c>
      <c r="Z334" s="684">
        <f>IF(終値!A334="","",IF(AND(安値!AE334&lt;安値!AD334,安値!AE334&lt;安値!AC334,安値!AE334&lt;安値!AF334,安値!AE334&lt;安値!AG334),26,""))</f>
      </c>
      <c r="AA334" s="684">
        <f>IF(終値!A334="","",IF(AND(安値!AF334&lt;安値!AE334,安値!AF334&lt;安値!AD334,安値!AF334&lt;安値!AG334,安値!AF334&lt;安値!AH334),27,""))</f>
      </c>
      <c r="AB334" s="684">
        <f>IF(終値!A334="","",IF(AND(安値!AG334&lt;安値!AF334,安値!AG334&lt;安値!AE334,安値!AG334&lt;安値!AH334,安値!AG334&lt;安値!AI334),28,""))</f>
      </c>
      <c r="AC334" s="684">
        <f>IF(終値!A334="","",IF(AND(高値!G334&gt;高値!F334,高値!G334&gt;高値!E334,高値!G334&gt;高値!H334,高値!G334&gt;高値!I334),2,""))</f>
      </c>
      <c r="AD334" s="684">
        <f>IF(終値!A334="","",IF(AND(高値!H334&gt;高値!G334,高値!H334&gt;高値!F334,高値!H334&gt;高値!I334,高値!H334&gt;高値!J334),3,""))</f>
      </c>
      <c r="AE334" s="684">
        <f>IF(終値!A334="","",IF(AND(高値!I334&gt;高値!H334,高値!I334&gt;高値!G334,高値!I334&gt;高値!J334,高値!I334&gt;高値!K334),4,""))</f>
      </c>
      <c r="AF334" s="684">
        <f>IF(終値!A334="","",IF(AND(高値!J334&gt;高値!I334,高値!J334&gt;高値!H334,高値!J334&gt;高値!K334,高値!J334&gt;高値!L334),5,""))</f>
      </c>
      <c r="AG334" s="684">
        <f>IF(終値!A334="","",IF(AND(高値!K334&gt;高値!J334,高値!K334&gt;高値!I334,高値!K334&gt;高値!L334,高値!K334&gt;高値!M334),6,""))</f>
      </c>
      <c r="AH334" s="684">
        <f>IF(終値!A334="","",IF(AND(高値!L334&gt;高値!K334,高値!L334&gt;高値!J334,高値!L334&gt;高値!M334,高値!L334&gt;高値!N334),7,""))</f>
      </c>
      <c r="AI334" s="684">
        <f>IF(終値!A334="","",IF(AND(高値!M334&gt;高値!L334,高値!M334&gt;高値!K334,高値!M334&gt;高値!N334,高値!M334&gt;高値!O334),8,""))</f>
      </c>
      <c r="AJ334" s="684">
        <f>IF(終値!A334="","",IF(AND(高値!N334&gt;高値!M334,高値!N334&gt;高値!L334,高値!N334&gt;高値!O334,高値!N334&gt;高値!P334),9,""))</f>
      </c>
      <c r="AK334" s="684">
        <f>IF(終値!A334="","",IF(AND(高値!O334&gt;高値!N334,高値!O334&gt;高値!M334,高値!O334&gt;高値!P334,高値!O334&gt;高値!Q334),10,""))</f>
      </c>
      <c r="AL334" s="684">
        <f>IF(終値!A334="","",IF(AND(高値!P334&gt;高値!O334,高値!P334&gt;高値!N334,高値!P334&gt;高値!Q334,高値!P334&gt;高値!R334),11,""))</f>
      </c>
      <c r="AM334" s="684">
        <f>IF(終値!A334="","",IF(AND(高値!Q334&gt;高値!P334,高値!Q334&gt;高値!O334,高値!Q334&gt;高値!R334,高値!Q334&gt;高値!S334),12,""))</f>
      </c>
      <c r="AN334" s="684">
        <f>IF(終値!A334="","",IF(AND(高値!R334&gt;高値!Q334,高値!R334&gt;高値!P334,高値!R334&gt;高値!S334,高値!R334&gt;高値!T334),13,""))</f>
      </c>
      <c r="AO334" s="684">
        <f>IF(終値!A334="","",IF(AND(高値!S334&gt;高値!R334,高値!S334&gt;高値!Q334,高値!S334&gt;高値!T334,高値!S334&gt;高値!U334),14,""))</f>
      </c>
      <c r="AP334" s="684">
        <f>IF(終値!A334="","",IF(AND(高値!T334&gt;高値!S334,高値!T334&gt;高値!R334,高値!T334&gt;高値!U334,高値!T334&gt;高値!V334),15,""))</f>
      </c>
      <c r="AQ334" s="684">
        <f>IF(終値!A334="","",IF(AND(高値!U334&gt;高値!T334,高値!U334&gt;高値!S334,高値!U334&gt;高値!V334,高値!U334&gt;高値!W334),16,""))</f>
      </c>
      <c r="AR334" s="684">
        <f>IF(終値!A334="","",IF(AND(高値!V334&gt;高値!U334,高値!V334&gt;高値!T334,高値!V334&gt;高値!W334,高値!V334&gt;高値!X334),17,""))</f>
      </c>
      <c r="AS334" s="684">
        <f>IF(終値!A334="","",IF(AND(高値!W334&gt;高値!V334,高値!W334&gt;高値!U334,高値!W334&gt;高値!X334,高値!W334&gt;高値!Y334),18,""))</f>
      </c>
      <c r="AT334" s="684">
        <f>IF(終値!A334="","",IF(AND(高値!X334&gt;高値!W334,高値!X334&gt;高値!V334,高値!X334&gt;高値!Y334,高値!X334&gt;高値!Z334),19,""))</f>
      </c>
      <c r="AU334" s="684">
        <f>IF(終値!A334="","",IF(AND(高値!Y334&gt;高値!X334,高値!Y334&gt;高値!W334,高値!Y334&gt;高値!Z334,高値!Y334&gt;高値!AA334),20,""))</f>
      </c>
      <c r="AV334" s="684">
        <f>IF(終値!A334="","",IF(AND(高値!Z334&gt;高値!Y334,高値!Z334&gt;高値!X334,高値!Z334&gt;高値!AA334,高値!Z334&gt;高値!AB334),21,""))</f>
      </c>
      <c r="AW334" s="684">
        <f>IF(終値!A334="","",IF(AND(高値!AA334&gt;高値!Z334,高値!AA334&gt;高値!Y334,高値!AA334&gt;高値!AB334,高値!AA334&gt;高値!AC334),22,""))</f>
      </c>
      <c r="AX334" s="684">
        <f>IF(終値!A334="","",IF(AND(高値!AB334&gt;高値!AA334,高値!AB334&gt;高値!Z334,高値!AB334&gt;高値!AC334,高値!AB334&gt;高値!AD334),23,""))</f>
      </c>
      <c r="AY334" s="684">
        <f>IF(終値!A334="","",IF(AND(高値!AC334&gt;高値!AB334,高値!AC334&gt;高値!AA334,高値!AC334&gt;高値!AD334,高値!AC334&gt;高値!AE334),24,""))</f>
      </c>
      <c r="AZ334" s="684">
        <f>IF(終値!A334="","",IF(AND(高値!AD334&gt;高値!AC334,高値!AD334&gt;高値!AB334,高値!AD334&gt;高値!AE334,高値!AD334&gt;高値!AF334),25,""))</f>
      </c>
      <c r="BA334" s="684">
        <f>IF(終値!A334="","",IF(AND(高値!AE334&gt;高値!AD334,高値!AE334&gt;高値!AC334,高値!AE334&gt;高値!AF334,高値!AE334&gt;高値!AG334),26,""))</f>
      </c>
      <c r="BB334" s="684">
        <f>IF(終値!A334="","",IF(AND(高値!AF334&gt;高値!AE334,高値!AF334&gt;高値!AD334,高値!AF334&gt;高値!AG334,高値!AF334&gt;高値!AH334),27,""))</f>
      </c>
      <c r="BC334" s="684">
        <f>IF(終値!A334="","",IF(AND(高値!AG334&gt;高値!AF334,高値!AG334&gt;高値!AE334,高値!AG334&gt;高値!AH334,高値!AG334&gt;高値!AI334),28,""))</f>
      </c>
      <c r="BD334" s="684">
        <f>COUNT($B334:$AB334)</f>
      </c>
      <c r="BE334" s="684">
        <f>IF($BD334&gt;=2,MIN($B334:$AB334),"")</f>
      </c>
      <c r="BF334" s="684">
        <f>IF($BD334&gt;=2,SMALL($B334:$AB334,2),"")</f>
      </c>
      <c r="BG334" s="684">
        <f>IF($BE334="","",INDEX(安値!$E334:$CZ334,1,$BE334+1))</f>
      </c>
      <c r="BH334" s="684">
        <f>IF($BF334="","",INDEX(安値!$E334:$CZ334,1,$BF334+1))</f>
      </c>
      <c r="BI334" s="684">
        <f>IF($BF334="","",MAX(INDEX(高値!$E334:$CZ334,1,$BE334+1):INDEX(高値!$E334:$CZ334,1,$BF334+1)))</f>
      </c>
      <c r="BJ334" s="684">
        <f>IF($BF334="","",AVERAGE(INDEX(終値!$E334:$CZ334,1,$BF334+1):INDEX(終値!$E334:$CZ334,1,$BF334+20))-2*STDEVP(INDEX(終値!$E334:$CZ334,1,$BF334+1):INDEX(終値!$E334:$CZ334,1,$BF334+20)))</f>
      </c>
      <c r="BK334" s="684">
        <f>IF($BE334="","",AVERAGE(INDEX(終値!$E334:$CZ334,1,$BE334+1):INDEX(終値!$E334:$CZ334,1,$BE334+20))-2*STDEVP(INDEX(終値!$E334:$CZ334,1,$BE334+1):INDEX(終値!$E334:$CZ334,1,$BE334+20)))</f>
      </c>
      <c r="BL334" s="684">
        <f>COUNT($AC334:$BC334)</f>
      </c>
      <c r="BM334" s="684">
        <f>IF($BL334&gt;=2,MIN($AC334:$BC334),"")</f>
      </c>
      <c r="BN334" s="684">
        <f>IF($BL334&gt;=2,SMALL($AC334:$BC334,2),"")</f>
      </c>
      <c r="BO334" s="684">
        <f>IF($BM334="","",INDEX(高値!$E334:$CZ334,1,$BM334+1))</f>
      </c>
      <c r="BP334" s="684">
        <f>IF($BN334="","",INDEX(高値!$E334:$CZ334,1,$BN334+1))</f>
      </c>
      <c r="BQ334" s="684">
        <f>IF($BN334="","",MIN(INDEX(安値!$E334:$CZ334,1,$BM334+1):INDEX(安値!$E334:$CZ334,1,$BN334+1)))</f>
      </c>
      <c r="BR334" s="684">
        <f>IF($BN334="","",AVERAGE(INDEX(終値!$E334:$CZ334,1,$BN334+1):INDEX(終値!$E334:$CZ334,1,$BN334+20))+2*STDEVP(INDEX(終値!$E334:$CZ334,1,$BN334+1):INDEX(終値!$E334:$CZ334,1,$BN334+20)))</f>
      </c>
      <c r="BS334" s="684">
        <f>IF($BM334="","",AVERAGE(INDEX(終値!$E334:$CZ334,1,$BM334+1):INDEX(終値!$E334:$CZ334,1,$BM334+20))+2*STDEVP(INDEX(終値!$E334:$CZ334,1,$BM334+1):INDEX(終値!$E334:$CZ334,1,$BM334+20)))</f>
      </c>
      <c r="BT334" s="681">
        <f>IFERROR(IF(AND($BD334&gt;=2,ABS($BG334-$BH334)/$BH334&lt;=BB設定!$B$12,$BI334&gt;=MAX($BH334,$BG334)*(1+BB設定!$B$13),終値!E334&gt;$BG334),IF(OR(終値!E334&gt;=$BI334,AND($BH334&lt;$BJ334,$BG334&gt;=$BK334)),"二番底W▲","二番底W形成"),IF(AND($BL334&gt;=2,ABS($BO334-$BP334)/$BP334&lt;=BB設定!$B$12,$BQ334&lt;=MIN($BP334,$BO334)*(1-BB設定!$B$13),終値!E334&lt;$BO334),IF(OR(終値!E334&lt;=$BQ334,AND($BP334&gt;$BR334,$BO334&lt;=$BS334)),"二番天井M▼","二番天井M形成"),"－")),"－")</f>
      </c>
    </row>
    <row r="335">
      <c r="B335" s="684">
        <f>IF(終値!A335="","",IF(AND(安値!G335&lt;安値!F335,安値!G335&lt;安値!E335,安値!G335&lt;安値!H335,安値!G335&lt;安値!I335),2,""))</f>
      </c>
      <c r="C335" s="684">
        <f>IF(終値!A335="","",IF(AND(安値!H335&lt;安値!G335,安値!H335&lt;安値!F335,安値!H335&lt;安値!I335,安値!H335&lt;安値!J335),3,""))</f>
      </c>
      <c r="D335" s="684">
        <f>IF(終値!A335="","",IF(AND(安値!I335&lt;安値!H335,安値!I335&lt;安値!G335,安値!I335&lt;安値!J335,安値!I335&lt;安値!K335),4,""))</f>
      </c>
      <c r="E335" s="684">
        <f>IF(終値!A335="","",IF(AND(安値!J335&lt;安値!I335,安値!J335&lt;安値!H335,安値!J335&lt;安値!K335,安値!J335&lt;安値!L335),5,""))</f>
      </c>
      <c r="F335" s="684">
        <f>IF(終値!A335="","",IF(AND(安値!K335&lt;安値!J335,安値!K335&lt;安値!I335,安値!K335&lt;安値!L335,安値!K335&lt;安値!M335),6,""))</f>
      </c>
      <c r="G335" s="684">
        <f>IF(終値!A335="","",IF(AND(安値!L335&lt;安値!K335,安値!L335&lt;安値!J335,安値!L335&lt;安値!M335,安値!L335&lt;安値!N335),7,""))</f>
      </c>
      <c r="H335" s="684">
        <f>IF(終値!A335="","",IF(AND(安値!M335&lt;安値!L335,安値!M335&lt;安値!K335,安値!M335&lt;安値!N335,安値!M335&lt;安値!O335),8,""))</f>
      </c>
      <c r="I335" s="684">
        <f>IF(終値!A335="","",IF(AND(安値!N335&lt;安値!M335,安値!N335&lt;安値!L335,安値!N335&lt;安値!O335,安値!N335&lt;安値!P335),9,""))</f>
      </c>
      <c r="J335" s="684">
        <f>IF(終値!A335="","",IF(AND(安値!O335&lt;安値!N335,安値!O335&lt;安値!M335,安値!O335&lt;安値!P335,安値!O335&lt;安値!Q335),10,""))</f>
      </c>
      <c r="K335" s="684">
        <f>IF(終値!A335="","",IF(AND(安値!P335&lt;安値!O335,安値!P335&lt;安値!N335,安値!P335&lt;安値!Q335,安値!P335&lt;安値!R335),11,""))</f>
      </c>
      <c r="L335" s="684">
        <f>IF(終値!A335="","",IF(AND(安値!Q335&lt;安値!P335,安値!Q335&lt;安値!O335,安値!Q335&lt;安値!R335,安値!Q335&lt;安値!S335),12,""))</f>
      </c>
      <c r="M335" s="684">
        <f>IF(終値!A335="","",IF(AND(安値!R335&lt;安値!Q335,安値!R335&lt;安値!P335,安値!R335&lt;安値!S335,安値!R335&lt;安値!T335),13,""))</f>
      </c>
      <c r="N335" s="684">
        <f>IF(終値!A335="","",IF(AND(安値!S335&lt;安値!R335,安値!S335&lt;安値!Q335,安値!S335&lt;安値!T335,安値!S335&lt;安値!U335),14,""))</f>
      </c>
      <c r="O335" s="684">
        <f>IF(終値!A335="","",IF(AND(安値!T335&lt;安値!S335,安値!T335&lt;安値!R335,安値!T335&lt;安値!U335,安値!T335&lt;安値!V335),15,""))</f>
      </c>
      <c r="P335" s="684">
        <f>IF(終値!A335="","",IF(AND(安値!U335&lt;安値!T335,安値!U335&lt;安値!S335,安値!U335&lt;安値!V335,安値!U335&lt;安値!W335),16,""))</f>
      </c>
      <c r="Q335" s="684">
        <f>IF(終値!A335="","",IF(AND(安値!V335&lt;安値!U335,安値!V335&lt;安値!T335,安値!V335&lt;安値!W335,安値!V335&lt;安値!X335),17,""))</f>
      </c>
      <c r="R335" s="684">
        <f>IF(終値!A335="","",IF(AND(安値!W335&lt;安値!V335,安値!W335&lt;安値!U335,安値!W335&lt;安値!X335,安値!W335&lt;安値!Y335),18,""))</f>
      </c>
      <c r="S335" s="684">
        <f>IF(終値!A335="","",IF(AND(安値!X335&lt;安値!W335,安値!X335&lt;安値!V335,安値!X335&lt;安値!Y335,安値!X335&lt;安値!Z335),19,""))</f>
      </c>
      <c r="T335" s="684">
        <f>IF(終値!A335="","",IF(AND(安値!Y335&lt;安値!X335,安値!Y335&lt;安値!W335,安値!Y335&lt;安値!Z335,安値!Y335&lt;安値!AA335),20,""))</f>
      </c>
      <c r="U335" s="684">
        <f>IF(終値!A335="","",IF(AND(安値!Z335&lt;安値!Y335,安値!Z335&lt;安値!X335,安値!Z335&lt;安値!AA335,安値!Z335&lt;安値!AB335),21,""))</f>
      </c>
      <c r="V335" s="684">
        <f>IF(終値!A335="","",IF(AND(安値!AA335&lt;安値!Z335,安値!AA335&lt;安値!Y335,安値!AA335&lt;安値!AB335,安値!AA335&lt;安値!AC335),22,""))</f>
      </c>
      <c r="W335" s="684">
        <f>IF(終値!A335="","",IF(AND(安値!AB335&lt;安値!AA335,安値!AB335&lt;安値!Z335,安値!AB335&lt;安値!AC335,安値!AB335&lt;安値!AD335),23,""))</f>
      </c>
      <c r="X335" s="684">
        <f>IF(終値!A335="","",IF(AND(安値!AC335&lt;安値!AB335,安値!AC335&lt;安値!AA335,安値!AC335&lt;安値!AD335,安値!AC335&lt;安値!AE335),24,""))</f>
      </c>
      <c r="Y335" s="684">
        <f>IF(終値!A335="","",IF(AND(安値!AD335&lt;安値!AC335,安値!AD335&lt;安値!AB335,安値!AD335&lt;安値!AE335,安値!AD335&lt;安値!AF335),25,""))</f>
      </c>
      <c r="Z335" s="684">
        <f>IF(終値!A335="","",IF(AND(安値!AE335&lt;安値!AD335,安値!AE335&lt;安値!AC335,安値!AE335&lt;安値!AF335,安値!AE335&lt;安値!AG335),26,""))</f>
      </c>
      <c r="AA335" s="684">
        <f>IF(終値!A335="","",IF(AND(安値!AF335&lt;安値!AE335,安値!AF335&lt;安値!AD335,安値!AF335&lt;安値!AG335,安値!AF335&lt;安値!AH335),27,""))</f>
      </c>
      <c r="AB335" s="684">
        <f>IF(終値!A335="","",IF(AND(安値!AG335&lt;安値!AF335,安値!AG335&lt;安値!AE335,安値!AG335&lt;安値!AH335,安値!AG335&lt;安値!AI335),28,""))</f>
      </c>
      <c r="AC335" s="684">
        <f>IF(終値!A335="","",IF(AND(高値!G335&gt;高値!F335,高値!G335&gt;高値!E335,高値!G335&gt;高値!H335,高値!G335&gt;高値!I335),2,""))</f>
      </c>
      <c r="AD335" s="684">
        <f>IF(終値!A335="","",IF(AND(高値!H335&gt;高値!G335,高値!H335&gt;高値!F335,高値!H335&gt;高値!I335,高値!H335&gt;高値!J335),3,""))</f>
      </c>
      <c r="AE335" s="684">
        <f>IF(終値!A335="","",IF(AND(高値!I335&gt;高値!H335,高値!I335&gt;高値!G335,高値!I335&gt;高値!J335,高値!I335&gt;高値!K335),4,""))</f>
      </c>
      <c r="AF335" s="684">
        <f>IF(終値!A335="","",IF(AND(高値!J335&gt;高値!I335,高値!J335&gt;高値!H335,高値!J335&gt;高値!K335,高値!J335&gt;高値!L335),5,""))</f>
      </c>
      <c r="AG335" s="684">
        <f>IF(終値!A335="","",IF(AND(高値!K335&gt;高値!J335,高値!K335&gt;高値!I335,高値!K335&gt;高値!L335,高値!K335&gt;高値!M335),6,""))</f>
      </c>
      <c r="AH335" s="684">
        <f>IF(終値!A335="","",IF(AND(高値!L335&gt;高値!K335,高値!L335&gt;高値!J335,高値!L335&gt;高値!M335,高値!L335&gt;高値!N335),7,""))</f>
      </c>
      <c r="AI335" s="684">
        <f>IF(終値!A335="","",IF(AND(高値!M335&gt;高値!L335,高値!M335&gt;高値!K335,高値!M335&gt;高値!N335,高値!M335&gt;高値!O335),8,""))</f>
      </c>
      <c r="AJ335" s="684">
        <f>IF(終値!A335="","",IF(AND(高値!N335&gt;高値!M335,高値!N335&gt;高値!L335,高値!N335&gt;高値!O335,高値!N335&gt;高値!P335),9,""))</f>
      </c>
      <c r="AK335" s="684">
        <f>IF(終値!A335="","",IF(AND(高値!O335&gt;高値!N335,高値!O335&gt;高値!M335,高値!O335&gt;高値!P335,高値!O335&gt;高値!Q335),10,""))</f>
      </c>
      <c r="AL335" s="684">
        <f>IF(終値!A335="","",IF(AND(高値!P335&gt;高値!O335,高値!P335&gt;高値!N335,高値!P335&gt;高値!Q335,高値!P335&gt;高値!R335),11,""))</f>
      </c>
      <c r="AM335" s="684">
        <f>IF(終値!A335="","",IF(AND(高値!Q335&gt;高値!P335,高値!Q335&gt;高値!O335,高値!Q335&gt;高値!R335,高値!Q335&gt;高値!S335),12,""))</f>
      </c>
      <c r="AN335" s="684">
        <f>IF(終値!A335="","",IF(AND(高値!R335&gt;高値!Q335,高値!R335&gt;高値!P335,高値!R335&gt;高値!S335,高値!R335&gt;高値!T335),13,""))</f>
      </c>
      <c r="AO335" s="684">
        <f>IF(終値!A335="","",IF(AND(高値!S335&gt;高値!R335,高値!S335&gt;高値!Q335,高値!S335&gt;高値!T335,高値!S335&gt;高値!U335),14,""))</f>
      </c>
      <c r="AP335" s="684">
        <f>IF(終値!A335="","",IF(AND(高値!T335&gt;高値!S335,高値!T335&gt;高値!R335,高値!T335&gt;高値!U335,高値!T335&gt;高値!V335),15,""))</f>
      </c>
      <c r="AQ335" s="684">
        <f>IF(終値!A335="","",IF(AND(高値!U335&gt;高値!T335,高値!U335&gt;高値!S335,高値!U335&gt;高値!V335,高値!U335&gt;高値!W335),16,""))</f>
      </c>
      <c r="AR335" s="684">
        <f>IF(終値!A335="","",IF(AND(高値!V335&gt;高値!U335,高値!V335&gt;高値!T335,高値!V335&gt;高値!W335,高値!V335&gt;高値!X335),17,""))</f>
      </c>
      <c r="AS335" s="684">
        <f>IF(終値!A335="","",IF(AND(高値!W335&gt;高値!V335,高値!W335&gt;高値!U335,高値!W335&gt;高値!X335,高値!W335&gt;高値!Y335),18,""))</f>
      </c>
      <c r="AT335" s="684">
        <f>IF(終値!A335="","",IF(AND(高値!X335&gt;高値!W335,高値!X335&gt;高値!V335,高値!X335&gt;高値!Y335,高値!X335&gt;高値!Z335),19,""))</f>
      </c>
      <c r="AU335" s="684">
        <f>IF(終値!A335="","",IF(AND(高値!Y335&gt;高値!X335,高値!Y335&gt;高値!W335,高値!Y335&gt;高値!Z335,高値!Y335&gt;高値!AA335),20,""))</f>
      </c>
      <c r="AV335" s="684">
        <f>IF(終値!A335="","",IF(AND(高値!Z335&gt;高値!Y335,高値!Z335&gt;高値!X335,高値!Z335&gt;高値!AA335,高値!Z335&gt;高値!AB335),21,""))</f>
      </c>
      <c r="AW335" s="684">
        <f>IF(終値!A335="","",IF(AND(高値!AA335&gt;高値!Z335,高値!AA335&gt;高値!Y335,高値!AA335&gt;高値!AB335,高値!AA335&gt;高値!AC335),22,""))</f>
      </c>
      <c r="AX335" s="684">
        <f>IF(終値!A335="","",IF(AND(高値!AB335&gt;高値!AA335,高値!AB335&gt;高値!Z335,高値!AB335&gt;高値!AC335,高値!AB335&gt;高値!AD335),23,""))</f>
      </c>
      <c r="AY335" s="684">
        <f>IF(終値!A335="","",IF(AND(高値!AC335&gt;高値!AB335,高値!AC335&gt;高値!AA335,高値!AC335&gt;高値!AD335,高値!AC335&gt;高値!AE335),24,""))</f>
      </c>
      <c r="AZ335" s="684">
        <f>IF(終値!A335="","",IF(AND(高値!AD335&gt;高値!AC335,高値!AD335&gt;高値!AB335,高値!AD335&gt;高値!AE335,高値!AD335&gt;高値!AF335),25,""))</f>
      </c>
      <c r="BA335" s="684">
        <f>IF(終値!A335="","",IF(AND(高値!AE335&gt;高値!AD335,高値!AE335&gt;高値!AC335,高値!AE335&gt;高値!AF335,高値!AE335&gt;高値!AG335),26,""))</f>
      </c>
      <c r="BB335" s="684">
        <f>IF(終値!A335="","",IF(AND(高値!AF335&gt;高値!AE335,高値!AF335&gt;高値!AD335,高値!AF335&gt;高値!AG335,高値!AF335&gt;高値!AH335),27,""))</f>
      </c>
      <c r="BC335" s="684">
        <f>IF(終値!A335="","",IF(AND(高値!AG335&gt;高値!AF335,高値!AG335&gt;高値!AE335,高値!AG335&gt;高値!AH335,高値!AG335&gt;高値!AI335),28,""))</f>
      </c>
      <c r="BD335" s="684">
        <f>COUNT($B335:$AB335)</f>
      </c>
      <c r="BE335" s="684">
        <f>IF($BD335&gt;=2,MIN($B335:$AB335),"")</f>
      </c>
      <c r="BF335" s="684">
        <f>IF($BD335&gt;=2,SMALL($B335:$AB335,2),"")</f>
      </c>
      <c r="BG335" s="684">
        <f>IF($BE335="","",INDEX(安値!$E335:$CZ335,1,$BE335+1))</f>
      </c>
      <c r="BH335" s="684">
        <f>IF($BF335="","",INDEX(安値!$E335:$CZ335,1,$BF335+1))</f>
      </c>
      <c r="BI335" s="684">
        <f>IF($BF335="","",MAX(INDEX(高値!$E335:$CZ335,1,$BE335+1):INDEX(高値!$E335:$CZ335,1,$BF335+1)))</f>
      </c>
      <c r="BJ335" s="684">
        <f>IF($BF335="","",AVERAGE(INDEX(終値!$E335:$CZ335,1,$BF335+1):INDEX(終値!$E335:$CZ335,1,$BF335+20))-2*STDEVP(INDEX(終値!$E335:$CZ335,1,$BF335+1):INDEX(終値!$E335:$CZ335,1,$BF335+20)))</f>
      </c>
      <c r="BK335" s="684">
        <f>IF($BE335="","",AVERAGE(INDEX(終値!$E335:$CZ335,1,$BE335+1):INDEX(終値!$E335:$CZ335,1,$BE335+20))-2*STDEVP(INDEX(終値!$E335:$CZ335,1,$BE335+1):INDEX(終値!$E335:$CZ335,1,$BE335+20)))</f>
      </c>
      <c r="BL335" s="684">
        <f>COUNT($AC335:$BC335)</f>
      </c>
      <c r="BM335" s="684">
        <f>IF($BL335&gt;=2,MIN($AC335:$BC335),"")</f>
      </c>
      <c r="BN335" s="684">
        <f>IF($BL335&gt;=2,SMALL($AC335:$BC335,2),"")</f>
      </c>
      <c r="BO335" s="684">
        <f>IF($BM335="","",INDEX(高値!$E335:$CZ335,1,$BM335+1))</f>
      </c>
      <c r="BP335" s="684">
        <f>IF($BN335="","",INDEX(高値!$E335:$CZ335,1,$BN335+1))</f>
      </c>
      <c r="BQ335" s="684">
        <f>IF($BN335="","",MIN(INDEX(安値!$E335:$CZ335,1,$BM335+1):INDEX(安値!$E335:$CZ335,1,$BN335+1)))</f>
      </c>
      <c r="BR335" s="684">
        <f>IF($BN335="","",AVERAGE(INDEX(終値!$E335:$CZ335,1,$BN335+1):INDEX(終値!$E335:$CZ335,1,$BN335+20))+2*STDEVP(INDEX(終値!$E335:$CZ335,1,$BN335+1):INDEX(終値!$E335:$CZ335,1,$BN335+20)))</f>
      </c>
      <c r="BS335" s="684">
        <f>IF($BM335="","",AVERAGE(INDEX(終値!$E335:$CZ335,1,$BM335+1):INDEX(終値!$E335:$CZ335,1,$BM335+20))+2*STDEVP(INDEX(終値!$E335:$CZ335,1,$BM335+1):INDEX(終値!$E335:$CZ335,1,$BM335+20)))</f>
      </c>
      <c r="BT335" s="681">
        <f>IFERROR(IF(AND($BD335&gt;=2,ABS($BG335-$BH335)/$BH335&lt;=BB設定!$B$12,$BI335&gt;=MAX($BH335,$BG335)*(1+BB設定!$B$13),終値!E335&gt;$BG335),IF(OR(終値!E335&gt;=$BI335,AND($BH335&lt;$BJ335,$BG335&gt;=$BK335)),"二番底W▲","二番底W形成"),IF(AND($BL335&gt;=2,ABS($BO335-$BP335)/$BP335&lt;=BB設定!$B$12,$BQ335&lt;=MIN($BP335,$BO335)*(1-BB設定!$B$13),終値!E335&lt;$BO335),IF(OR(終値!E335&lt;=$BQ335,AND($BP335&gt;$BR335,$BO335&lt;=$BS335)),"二番天井M▼","二番天井M形成"),"－")),"－")</f>
      </c>
    </row>
    <row r="336">
      <c r="B336" s="684">
        <f>IF(終値!A336="","",IF(AND(安値!G336&lt;安値!F336,安値!G336&lt;安値!E336,安値!G336&lt;安値!H336,安値!G336&lt;安値!I336),2,""))</f>
      </c>
      <c r="C336" s="684">
        <f>IF(終値!A336="","",IF(AND(安値!H336&lt;安値!G336,安値!H336&lt;安値!F336,安値!H336&lt;安値!I336,安値!H336&lt;安値!J336),3,""))</f>
      </c>
      <c r="D336" s="684">
        <f>IF(終値!A336="","",IF(AND(安値!I336&lt;安値!H336,安値!I336&lt;安値!G336,安値!I336&lt;安値!J336,安値!I336&lt;安値!K336),4,""))</f>
      </c>
      <c r="E336" s="684">
        <f>IF(終値!A336="","",IF(AND(安値!J336&lt;安値!I336,安値!J336&lt;安値!H336,安値!J336&lt;安値!K336,安値!J336&lt;安値!L336),5,""))</f>
      </c>
      <c r="F336" s="684">
        <f>IF(終値!A336="","",IF(AND(安値!K336&lt;安値!J336,安値!K336&lt;安値!I336,安値!K336&lt;安値!L336,安値!K336&lt;安値!M336),6,""))</f>
      </c>
      <c r="G336" s="684">
        <f>IF(終値!A336="","",IF(AND(安値!L336&lt;安値!K336,安値!L336&lt;安値!J336,安値!L336&lt;安値!M336,安値!L336&lt;安値!N336),7,""))</f>
      </c>
      <c r="H336" s="684">
        <f>IF(終値!A336="","",IF(AND(安値!M336&lt;安値!L336,安値!M336&lt;安値!K336,安値!M336&lt;安値!N336,安値!M336&lt;安値!O336),8,""))</f>
      </c>
      <c r="I336" s="684">
        <f>IF(終値!A336="","",IF(AND(安値!N336&lt;安値!M336,安値!N336&lt;安値!L336,安値!N336&lt;安値!O336,安値!N336&lt;安値!P336),9,""))</f>
      </c>
      <c r="J336" s="684">
        <f>IF(終値!A336="","",IF(AND(安値!O336&lt;安値!N336,安値!O336&lt;安値!M336,安値!O336&lt;安値!P336,安値!O336&lt;安値!Q336),10,""))</f>
      </c>
      <c r="K336" s="684">
        <f>IF(終値!A336="","",IF(AND(安値!P336&lt;安値!O336,安値!P336&lt;安値!N336,安値!P336&lt;安値!Q336,安値!P336&lt;安値!R336),11,""))</f>
      </c>
      <c r="L336" s="684">
        <f>IF(終値!A336="","",IF(AND(安値!Q336&lt;安値!P336,安値!Q336&lt;安値!O336,安値!Q336&lt;安値!R336,安値!Q336&lt;安値!S336),12,""))</f>
      </c>
      <c r="M336" s="684">
        <f>IF(終値!A336="","",IF(AND(安値!R336&lt;安値!Q336,安値!R336&lt;安値!P336,安値!R336&lt;安値!S336,安値!R336&lt;安値!T336),13,""))</f>
      </c>
      <c r="N336" s="684">
        <f>IF(終値!A336="","",IF(AND(安値!S336&lt;安値!R336,安値!S336&lt;安値!Q336,安値!S336&lt;安値!T336,安値!S336&lt;安値!U336),14,""))</f>
      </c>
      <c r="O336" s="684">
        <f>IF(終値!A336="","",IF(AND(安値!T336&lt;安値!S336,安値!T336&lt;安値!R336,安値!T336&lt;安値!U336,安値!T336&lt;安値!V336),15,""))</f>
      </c>
      <c r="P336" s="684">
        <f>IF(終値!A336="","",IF(AND(安値!U336&lt;安値!T336,安値!U336&lt;安値!S336,安値!U336&lt;安値!V336,安値!U336&lt;安値!W336),16,""))</f>
      </c>
      <c r="Q336" s="684">
        <f>IF(終値!A336="","",IF(AND(安値!V336&lt;安値!U336,安値!V336&lt;安値!T336,安値!V336&lt;安値!W336,安値!V336&lt;安値!X336),17,""))</f>
      </c>
      <c r="R336" s="684">
        <f>IF(終値!A336="","",IF(AND(安値!W336&lt;安値!V336,安値!W336&lt;安値!U336,安値!W336&lt;安値!X336,安値!W336&lt;安値!Y336),18,""))</f>
      </c>
      <c r="S336" s="684">
        <f>IF(終値!A336="","",IF(AND(安値!X336&lt;安値!W336,安値!X336&lt;安値!V336,安値!X336&lt;安値!Y336,安値!X336&lt;安値!Z336),19,""))</f>
      </c>
      <c r="T336" s="684">
        <f>IF(終値!A336="","",IF(AND(安値!Y336&lt;安値!X336,安値!Y336&lt;安値!W336,安値!Y336&lt;安値!Z336,安値!Y336&lt;安値!AA336),20,""))</f>
      </c>
      <c r="U336" s="684">
        <f>IF(終値!A336="","",IF(AND(安値!Z336&lt;安値!Y336,安値!Z336&lt;安値!X336,安値!Z336&lt;安値!AA336,安値!Z336&lt;安値!AB336),21,""))</f>
      </c>
      <c r="V336" s="684">
        <f>IF(終値!A336="","",IF(AND(安値!AA336&lt;安値!Z336,安値!AA336&lt;安値!Y336,安値!AA336&lt;安値!AB336,安値!AA336&lt;安値!AC336),22,""))</f>
      </c>
      <c r="W336" s="684">
        <f>IF(終値!A336="","",IF(AND(安値!AB336&lt;安値!AA336,安値!AB336&lt;安値!Z336,安値!AB336&lt;安値!AC336,安値!AB336&lt;安値!AD336),23,""))</f>
      </c>
      <c r="X336" s="684">
        <f>IF(終値!A336="","",IF(AND(安値!AC336&lt;安値!AB336,安値!AC336&lt;安値!AA336,安値!AC336&lt;安値!AD336,安値!AC336&lt;安値!AE336),24,""))</f>
      </c>
      <c r="Y336" s="684">
        <f>IF(終値!A336="","",IF(AND(安値!AD336&lt;安値!AC336,安値!AD336&lt;安値!AB336,安値!AD336&lt;安値!AE336,安値!AD336&lt;安値!AF336),25,""))</f>
      </c>
      <c r="Z336" s="684">
        <f>IF(終値!A336="","",IF(AND(安値!AE336&lt;安値!AD336,安値!AE336&lt;安値!AC336,安値!AE336&lt;安値!AF336,安値!AE336&lt;安値!AG336),26,""))</f>
      </c>
      <c r="AA336" s="684">
        <f>IF(終値!A336="","",IF(AND(安値!AF336&lt;安値!AE336,安値!AF336&lt;安値!AD336,安値!AF336&lt;安値!AG336,安値!AF336&lt;安値!AH336),27,""))</f>
      </c>
      <c r="AB336" s="684">
        <f>IF(終値!A336="","",IF(AND(安値!AG336&lt;安値!AF336,安値!AG336&lt;安値!AE336,安値!AG336&lt;安値!AH336,安値!AG336&lt;安値!AI336),28,""))</f>
      </c>
      <c r="AC336" s="684">
        <f>IF(終値!A336="","",IF(AND(高値!G336&gt;高値!F336,高値!G336&gt;高値!E336,高値!G336&gt;高値!H336,高値!G336&gt;高値!I336),2,""))</f>
      </c>
      <c r="AD336" s="684">
        <f>IF(終値!A336="","",IF(AND(高値!H336&gt;高値!G336,高値!H336&gt;高値!F336,高値!H336&gt;高値!I336,高値!H336&gt;高値!J336),3,""))</f>
      </c>
      <c r="AE336" s="684">
        <f>IF(終値!A336="","",IF(AND(高値!I336&gt;高値!H336,高値!I336&gt;高値!G336,高値!I336&gt;高値!J336,高値!I336&gt;高値!K336),4,""))</f>
      </c>
      <c r="AF336" s="684">
        <f>IF(終値!A336="","",IF(AND(高値!J336&gt;高値!I336,高値!J336&gt;高値!H336,高値!J336&gt;高値!K336,高値!J336&gt;高値!L336),5,""))</f>
      </c>
      <c r="AG336" s="684">
        <f>IF(終値!A336="","",IF(AND(高値!K336&gt;高値!J336,高値!K336&gt;高値!I336,高値!K336&gt;高値!L336,高値!K336&gt;高値!M336),6,""))</f>
      </c>
      <c r="AH336" s="684">
        <f>IF(終値!A336="","",IF(AND(高値!L336&gt;高値!K336,高値!L336&gt;高値!J336,高値!L336&gt;高値!M336,高値!L336&gt;高値!N336),7,""))</f>
      </c>
      <c r="AI336" s="684">
        <f>IF(終値!A336="","",IF(AND(高値!M336&gt;高値!L336,高値!M336&gt;高値!K336,高値!M336&gt;高値!N336,高値!M336&gt;高値!O336),8,""))</f>
      </c>
      <c r="AJ336" s="684">
        <f>IF(終値!A336="","",IF(AND(高値!N336&gt;高値!M336,高値!N336&gt;高値!L336,高値!N336&gt;高値!O336,高値!N336&gt;高値!P336),9,""))</f>
      </c>
      <c r="AK336" s="684">
        <f>IF(終値!A336="","",IF(AND(高値!O336&gt;高値!N336,高値!O336&gt;高値!M336,高値!O336&gt;高値!P336,高値!O336&gt;高値!Q336),10,""))</f>
      </c>
      <c r="AL336" s="684">
        <f>IF(終値!A336="","",IF(AND(高値!P336&gt;高値!O336,高値!P336&gt;高値!N336,高値!P336&gt;高値!Q336,高値!P336&gt;高値!R336),11,""))</f>
      </c>
      <c r="AM336" s="684">
        <f>IF(終値!A336="","",IF(AND(高値!Q336&gt;高値!P336,高値!Q336&gt;高値!O336,高値!Q336&gt;高値!R336,高値!Q336&gt;高値!S336),12,""))</f>
      </c>
      <c r="AN336" s="684">
        <f>IF(終値!A336="","",IF(AND(高値!R336&gt;高値!Q336,高値!R336&gt;高値!P336,高値!R336&gt;高値!S336,高値!R336&gt;高値!T336),13,""))</f>
      </c>
      <c r="AO336" s="684">
        <f>IF(終値!A336="","",IF(AND(高値!S336&gt;高値!R336,高値!S336&gt;高値!Q336,高値!S336&gt;高値!T336,高値!S336&gt;高値!U336),14,""))</f>
      </c>
      <c r="AP336" s="684">
        <f>IF(終値!A336="","",IF(AND(高値!T336&gt;高値!S336,高値!T336&gt;高値!R336,高値!T336&gt;高値!U336,高値!T336&gt;高値!V336),15,""))</f>
      </c>
      <c r="AQ336" s="684">
        <f>IF(終値!A336="","",IF(AND(高値!U336&gt;高値!T336,高値!U336&gt;高値!S336,高値!U336&gt;高値!V336,高値!U336&gt;高値!W336),16,""))</f>
      </c>
      <c r="AR336" s="684">
        <f>IF(終値!A336="","",IF(AND(高値!V336&gt;高値!U336,高値!V336&gt;高値!T336,高値!V336&gt;高値!W336,高値!V336&gt;高値!X336),17,""))</f>
      </c>
      <c r="AS336" s="684">
        <f>IF(終値!A336="","",IF(AND(高値!W336&gt;高値!V336,高値!W336&gt;高値!U336,高値!W336&gt;高値!X336,高値!W336&gt;高値!Y336),18,""))</f>
      </c>
      <c r="AT336" s="684">
        <f>IF(終値!A336="","",IF(AND(高値!X336&gt;高値!W336,高値!X336&gt;高値!V336,高値!X336&gt;高値!Y336,高値!X336&gt;高値!Z336),19,""))</f>
      </c>
      <c r="AU336" s="684">
        <f>IF(終値!A336="","",IF(AND(高値!Y336&gt;高値!X336,高値!Y336&gt;高値!W336,高値!Y336&gt;高値!Z336,高値!Y336&gt;高値!AA336),20,""))</f>
      </c>
      <c r="AV336" s="684">
        <f>IF(終値!A336="","",IF(AND(高値!Z336&gt;高値!Y336,高値!Z336&gt;高値!X336,高値!Z336&gt;高値!AA336,高値!Z336&gt;高値!AB336),21,""))</f>
      </c>
      <c r="AW336" s="684">
        <f>IF(終値!A336="","",IF(AND(高値!AA336&gt;高値!Z336,高値!AA336&gt;高値!Y336,高値!AA336&gt;高値!AB336,高値!AA336&gt;高値!AC336),22,""))</f>
      </c>
      <c r="AX336" s="684">
        <f>IF(終値!A336="","",IF(AND(高値!AB336&gt;高値!AA336,高値!AB336&gt;高値!Z336,高値!AB336&gt;高値!AC336,高値!AB336&gt;高値!AD336),23,""))</f>
      </c>
      <c r="AY336" s="684">
        <f>IF(終値!A336="","",IF(AND(高値!AC336&gt;高値!AB336,高値!AC336&gt;高値!AA336,高値!AC336&gt;高値!AD336,高値!AC336&gt;高値!AE336),24,""))</f>
      </c>
      <c r="AZ336" s="684">
        <f>IF(終値!A336="","",IF(AND(高値!AD336&gt;高値!AC336,高値!AD336&gt;高値!AB336,高値!AD336&gt;高値!AE336,高値!AD336&gt;高値!AF336),25,""))</f>
      </c>
      <c r="BA336" s="684">
        <f>IF(終値!A336="","",IF(AND(高値!AE336&gt;高値!AD336,高値!AE336&gt;高値!AC336,高値!AE336&gt;高値!AF336,高値!AE336&gt;高値!AG336),26,""))</f>
      </c>
      <c r="BB336" s="684">
        <f>IF(終値!A336="","",IF(AND(高値!AF336&gt;高値!AE336,高値!AF336&gt;高値!AD336,高値!AF336&gt;高値!AG336,高値!AF336&gt;高値!AH336),27,""))</f>
      </c>
      <c r="BC336" s="684">
        <f>IF(終値!A336="","",IF(AND(高値!AG336&gt;高値!AF336,高値!AG336&gt;高値!AE336,高値!AG336&gt;高値!AH336,高値!AG336&gt;高値!AI336),28,""))</f>
      </c>
      <c r="BD336" s="684">
        <f>COUNT($B336:$AB336)</f>
      </c>
      <c r="BE336" s="684">
        <f>IF($BD336&gt;=2,MIN($B336:$AB336),"")</f>
      </c>
      <c r="BF336" s="684">
        <f>IF($BD336&gt;=2,SMALL($B336:$AB336,2),"")</f>
      </c>
      <c r="BG336" s="684">
        <f>IF($BE336="","",INDEX(安値!$E336:$CZ336,1,$BE336+1))</f>
      </c>
      <c r="BH336" s="684">
        <f>IF($BF336="","",INDEX(安値!$E336:$CZ336,1,$BF336+1))</f>
      </c>
      <c r="BI336" s="684">
        <f>IF($BF336="","",MAX(INDEX(高値!$E336:$CZ336,1,$BE336+1):INDEX(高値!$E336:$CZ336,1,$BF336+1)))</f>
      </c>
      <c r="BJ336" s="684">
        <f>IF($BF336="","",AVERAGE(INDEX(終値!$E336:$CZ336,1,$BF336+1):INDEX(終値!$E336:$CZ336,1,$BF336+20))-2*STDEVP(INDEX(終値!$E336:$CZ336,1,$BF336+1):INDEX(終値!$E336:$CZ336,1,$BF336+20)))</f>
      </c>
      <c r="BK336" s="684">
        <f>IF($BE336="","",AVERAGE(INDEX(終値!$E336:$CZ336,1,$BE336+1):INDEX(終値!$E336:$CZ336,1,$BE336+20))-2*STDEVP(INDEX(終値!$E336:$CZ336,1,$BE336+1):INDEX(終値!$E336:$CZ336,1,$BE336+20)))</f>
      </c>
      <c r="BL336" s="684">
        <f>COUNT($AC336:$BC336)</f>
      </c>
      <c r="BM336" s="684">
        <f>IF($BL336&gt;=2,MIN($AC336:$BC336),"")</f>
      </c>
      <c r="BN336" s="684">
        <f>IF($BL336&gt;=2,SMALL($AC336:$BC336,2),"")</f>
      </c>
      <c r="BO336" s="684">
        <f>IF($BM336="","",INDEX(高値!$E336:$CZ336,1,$BM336+1))</f>
      </c>
      <c r="BP336" s="684">
        <f>IF($BN336="","",INDEX(高値!$E336:$CZ336,1,$BN336+1))</f>
      </c>
      <c r="BQ336" s="684">
        <f>IF($BN336="","",MIN(INDEX(安値!$E336:$CZ336,1,$BM336+1):INDEX(安値!$E336:$CZ336,1,$BN336+1)))</f>
      </c>
      <c r="BR336" s="684">
        <f>IF($BN336="","",AVERAGE(INDEX(終値!$E336:$CZ336,1,$BN336+1):INDEX(終値!$E336:$CZ336,1,$BN336+20))+2*STDEVP(INDEX(終値!$E336:$CZ336,1,$BN336+1):INDEX(終値!$E336:$CZ336,1,$BN336+20)))</f>
      </c>
      <c r="BS336" s="684">
        <f>IF($BM336="","",AVERAGE(INDEX(終値!$E336:$CZ336,1,$BM336+1):INDEX(終値!$E336:$CZ336,1,$BM336+20))+2*STDEVP(INDEX(終値!$E336:$CZ336,1,$BM336+1):INDEX(終値!$E336:$CZ336,1,$BM336+20)))</f>
      </c>
      <c r="BT336" s="681">
        <f>IFERROR(IF(AND($BD336&gt;=2,ABS($BG336-$BH336)/$BH336&lt;=BB設定!$B$12,$BI336&gt;=MAX($BH336,$BG336)*(1+BB設定!$B$13),終値!E336&gt;$BG336),IF(OR(終値!E336&gt;=$BI336,AND($BH336&lt;$BJ336,$BG336&gt;=$BK336)),"二番底W▲","二番底W形成"),IF(AND($BL336&gt;=2,ABS($BO336-$BP336)/$BP336&lt;=BB設定!$B$12,$BQ336&lt;=MIN($BP336,$BO336)*(1-BB設定!$B$13),終値!E336&lt;$BO336),IF(OR(終値!E336&lt;=$BQ336,AND($BP336&gt;$BR336,$BO336&lt;=$BS336)),"二番天井M▼","二番天井M形成"),"－")),"－")</f>
      </c>
    </row>
    <row r="337">
      <c r="B337" s="684">
        <f>IF(終値!A337="","",IF(AND(安値!G337&lt;安値!F337,安値!G337&lt;安値!E337,安値!G337&lt;安値!H337,安値!G337&lt;安値!I337),2,""))</f>
      </c>
      <c r="C337" s="684">
        <f>IF(終値!A337="","",IF(AND(安値!H337&lt;安値!G337,安値!H337&lt;安値!F337,安値!H337&lt;安値!I337,安値!H337&lt;安値!J337),3,""))</f>
      </c>
      <c r="D337" s="684">
        <f>IF(終値!A337="","",IF(AND(安値!I337&lt;安値!H337,安値!I337&lt;安値!G337,安値!I337&lt;安値!J337,安値!I337&lt;安値!K337),4,""))</f>
      </c>
      <c r="E337" s="684">
        <f>IF(終値!A337="","",IF(AND(安値!J337&lt;安値!I337,安値!J337&lt;安値!H337,安値!J337&lt;安値!K337,安値!J337&lt;安値!L337),5,""))</f>
      </c>
      <c r="F337" s="684">
        <f>IF(終値!A337="","",IF(AND(安値!K337&lt;安値!J337,安値!K337&lt;安値!I337,安値!K337&lt;安値!L337,安値!K337&lt;安値!M337),6,""))</f>
      </c>
      <c r="G337" s="684">
        <f>IF(終値!A337="","",IF(AND(安値!L337&lt;安値!K337,安値!L337&lt;安値!J337,安値!L337&lt;安値!M337,安値!L337&lt;安値!N337),7,""))</f>
      </c>
      <c r="H337" s="684">
        <f>IF(終値!A337="","",IF(AND(安値!M337&lt;安値!L337,安値!M337&lt;安値!K337,安値!M337&lt;安値!N337,安値!M337&lt;安値!O337),8,""))</f>
      </c>
      <c r="I337" s="684">
        <f>IF(終値!A337="","",IF(AND(安値!N337&lt;安値!M337,安値!N337&lt;安値!L337,安値!N337&lt;安値!O337,安値!N337&lt;安値!P337),9,""))</f>
      </c>
      <c r="J337" s="684">
        <f>IF(終値!A337="","",IF(AND(安値!O337&lt;安値!N337,安値!O337&lt;安値!M337,安値!O337&lt;安値!P337,安値!O337&lt;安値!Q337),10,""))</f>
      </c>
      <c r="K337" s="684">
        <f>IF(終値!A337="","",IF(AND(安値!P337&lt;安値!O337,安値!P337&lt;安値!N337,安値!P337&lt;安値!Q337,安値!P337&lt;安値!R337),11,""))</f>
      </c>
      <c r="L337" s="684">
        <f>IF(終値!A337="","",IF(AND(安値!Q337&lt;安値!P337,安値!Q337&lt;安値!O337,安値!Q337&lt;安値!R337,安値!Q337&lt;安値!S337),12,""))</f>
      </c>
      <c r="M337" s="684">
        <f>IF(終値!A337="","",IF(AND(安値!R337&lt;安値!Q337,安値!R337&lt;安値!P337,安値!R337&lt;安値!S337,安値!R337&lt;安値!T337),13,""))</f>
      </c>
      <c r="N337" s="684">
        <f>IF(終値!A337="","",IF(AND(安値!S337&lt;安値!R337,安値!S337&lt;安値!Q337,安値!S337&lt;安値!T337,安値!S337&lt;安値!U337),14,""))</f>
      </c>
      <c r="O337" s="684">
        <f>IF(終値!A337="","",IF(AND(安値!T337&lt;安値!S337,安値!T337&lt;安値!R337,安値!T337&lt;安値!U337,安値!T337&lt;安値!V337),15,""))</f>
      </c>
      <c r="P337" s="684">
        <f>IF(終値!A337="","",IF(AND(安値!U337&lt;安値!T337,安値!U337&lt;安値!S337,安値!U337&lt;安値!V337,安値!U337&lt;安値!W337),16,""))</f>
      </c>
      <c r="Q337" s="684">
        <f>IF(終値!A337="","",IF(AND(安値!V337&lt;安値!U337,安値!V337&lt;安値!T337,安値!V337&lt;安値!W337,安値!V337&lt;安値!X337),17,""))</f>
      </c>
      <c r="R337" s="684">
        <f>IF(終値!A337="","",IF(AND(安値!W337&lt;安値!V337,安値!W337&lt;安値!U337,安値!W337&lt;安値!X337,安値!W337&lt;安値!Y337),18,""))</f>
      </c>
      <c r="S337" s="684">
        <f>IF(終値!A337="","",IF(AND(安値!X337&lt;安値!W337,安値!X337&lt;安値!V337,安値!X337&lt;安値!Y337,安値!X337&lt;安値!Z337),19,""))</f>
      </c>
      <c r="T337" s="684">
        <f>IF(終値!A337="","",IF(AND(安値!Y337&lt;安値!X337,安値!Y337&lt;安値!W337,安値!Y337&lt;安値!Z337,安値!Y337&lt;安値!AA337),20,""))</f>
      </c>
      <c r="U337" s="684">
        <f>IF(終値!A337="","",IF(AND(安値!Z337&lt;安値!Y337,安値!Z337&lt;安値!X337,安値!Z337&lt;安値!AA337,安値!Z337&lt;安値!AB337),21,""))</f>
      </c>
      <c r="V337" s="684">
        <f>IF(終値!A337="","",IF(AND(安値!AA337&lt;安値!Z337,安値!AA337&lt;安値!Y337,安値!AA337&lt;安値!AB337,安値!AA337&lt;安値!AC337),22,""))</f>
      </c>
      <c r="W337" s="684">
        <f>IF(終値!A337="","",IF(AND(安値!AB337&lt;安値!AA337,安値!AB337&lt;安値!Z337,安値!AB337&lt;安値!AC337,安値!AB337&lt;安値!AD337),23,""))</f>
      </c>
      <c r="X337" s="684">
        <f>IF(終値!A337="","",IF(AND(安値!AC337&lt;安値!AB337,安値!AC337&lt;安値!AA337,安値!AC337&lt;安値!AD337,安値!AC337&lt;安値!AE337),24,""))</f>
      </c>
      <c r="Y337" s="684">
        <f>IF(終値!A337="","",IF(AND(安値!AD337&lt;安値!AC337,安値!AD337&lt;安値!AB337,安値!AD337&lt;安値!AE337,安値!AD337&lt;安値!AF337),25,""))</f>
      </c>
      <c r="Z337" s="684">
        <f>IF(終値!A337="","",IF(AND(安値!AE337&lt;安値!AD337,安値!AE337&lt;安値!AC337,安値!AE337&lt;安値!AF337,安値!AE337&lt;安値!AG337),26,""))</f>
      </c>
      <c r="AA337" s="684">
        <f>IF(終値!A337="","",IF(AND(安値!AF337&lt;安値!AE337,安値!AF337&lt;安値!AD337,安値!AF337&lt;安値!AG337,安値!AF337&lt;安値!AH337),27,""))</f>
      </c>
      <c r="AB337" s="684">
        <f>IF(終値!A337="","",IF(AND(安値!AG337&lt;安値!AF337,安値!AG337&lt;安値!AE337,安値!AG337&lt;安値!AH337,安値!AG337&lt;安値!AI337),28,""))</f>
      </c>
      <c r="AC337" s="684">
        <f>IF(終値!A337="","",IF(AND(高値!G337&gt;高値!F337,高値!G337&gt;高値!E337,高値!G337&gt;高値!H337,高値!G337&gt;高値!I337),2,""))</f>
      </c>
      <c r="AD337" s="684">
        <f>IF(終値!A337="","",IF(AND(高値!H337&gt;高値!G337,高値!H337&gt;高値!F337,高値!H337&gt;高値!I337,高値!H337&gt;高値!J337),3,""))</f>
      </c>
      <c r="AE337" s="684">
        <f>IF(終値!A337="","",IF(AND(高値!I337&gt;高値!H337,高値!I337&gt;高値!G337,高値!I337&gt;高値!J337,高値!I337&gt;高値!K337),4,""))</f>
      </c>
      <c r="AF337" s="684">
        <f>IF(終値!A337="","",IF(AND(高値!J337&gt;高値!I337,高値!J337&gt;高値!H337,高値!J337&gt;高値!K337,高値!J337&gt;高値!L337),5,""))</f>
      </c>
      <c r="AG337" s="684">
        <f>IF(終値!A337="","",IF(AND(高値!K337&gt;高値!J337,高値!K337&gt;高値!I337,高値!K337&gt;高値!L337,高値!K337&gt;高値!M337),6,""))</f>
      </c>
      <c r="AH337" s="684">
        <f>IF(終値!A337="","",IF(AND(高値!L337&gt;高値!K337,高値!L337&gt;高値!J337,高値!L337&gt;高値!M337,高値!L337&gt;高値!N337),7,""))</f>
      </c>
      <c r="AI337" s="684">
        <f>IF(終値!A337="","",IF(AND(高値!M337&gt;高値!L337,高値!M337&gt;高値!K337,高値!M337&gt;高値!N337,高値!M337&gt;高値!O337),8,""))</f>
      </c>
      <c r="AJ337" s="684">
        <f>IF(終値!A337="","",IF(AND(高値!N337&gt;高値!M337,高値!N337&gt;高値!L337,高値!N337&gt;高値!O337,高値!N337&gt;高値!P337),9,""))</f>
      </c>
      <c r="AK337" s="684">
        <f>IF(終値!A337="","",IF(AND(高値!O337&gt;高値!N337,高値!O337&gt;高値!M337,高値!O337&gt;高値!P337,高値!O337&gt;高値!Q337),10,""))</f>
      </c>
      <c r="AL337" s="684">
        <f>IF(終値!A337="","",IF(AND(高値!P337&gt;高値!O337,高値!P337&gt;高値!N337,高値!P337&gt;高値!Q337,高値!P337&gt;高値!R337),11,""))</f>
      </c>
      <c r="AM337" s="684">
        <f>IF(終値!A337="","",IF(AND(高値!Q337&gt;高値!P337,高値!Q337&gt;高値!O337,高値!Q337&gt;高値!R337,高値!Q337&gt;高値!S337),12,""))</f>
      </c>
      <c r="AN337" s="684">
        <f>IF(終値!A337="","",IF(AND(高値!R337&gt;高値!Q337,高値!R337&gt;高値!P337,高値!R337&gt;高値!S337,高値!R337&gt;高値!T337),13,""))</f>
      </c>
      <c r="AO337" s="684">
        <f>IF(終値!A337="","",IF(AND(高値!S337&gt;高値!R337,高値!S337&gt;高値!Q337,高値!S337&gt;高値!T337,高値!S337&gt;高値!U337),14,""))</f>
      </c>
      <c r="AP337" s="684">
        <f>IF(終値!A337="","",IF(AND(高値!T337&gt;高値!S337,高値!T337&gt;高値!R337,高値!T337&gt;高値!U337,高値!T337&gt;高値!V337),15,""))</f>
      </c>
      <c r="AQ337" s="684">
        <f>IF(終値!A337="","",IF(AND(高値!U337&gt;高値!T337,高値!U337&gt;高値!S337,高値!U337&gt;高値!V337,高値!U337&gt;高値!W337),16,""))</f>
      </c>
      <c r="AR337" s="684">
        <f>IF(終値!A337="","",IF(AND(高値!V337&gt;高値!U337,高値!V337&gt;高値!T337,高値!V337&gt;高値!W337,高値!V337&gt;高値!X337),17,""))</f>
      </c>
      <c r="AS337" s="684">
        <f>IF(終値!A337="","",IF(AND(高値!W337&gt;高値!V337,高値!W337&gt;高値!U337,高値!W337&gt;高値!X337,高値!W337&gt;高値!Y337),18,""))</f>
      </c>
      <c r="AT337" s="684">
        <f>IF(終値!A337="","",IF(AND(高値!X337&gt;高値!W337,高値!X337&gt;高値!V337,高値!X337&gt;高値!Y337,高値!X337&gt;高値!Z337),19,""))</f>
      </c>
      <c r="AU337" s="684">
        <f>IF(終値!A337="","",IF(AND(高値!Y337&gt;高値!X337,高値!Y337&gt;高値!W337,高値!Y337&gt;高値!Z337,高値!Y337&gt;高値!AA337),20,""))</f>
      </c>
      <c r="AV337" s="684">
        <f>IF(終値!A337="","",IF(AND(高値!Z337&gt;高値!Y337,高値!Z337&gt;高値!X337,高値!Z337&gt;高値!AA337,高値!Z337&gt;高値!AB337),21,""))</f>
      </c>
      <c r="AW337" s="684">
        <f>IF(終値!A337="","",IF(AND(高値!AA337&gt;高値!Z337,高値!AA337&gt;高値!Y337,高値!AA337&gt;高値!AB337,高値!AA337&gt;高値!AC337),22,""))</f>
      </c>
      <c r="AX337" s="684">
        <f>IF(終値!A337="","",IF(AND(高値!AB337&gt;高値!AA337,高値!AB337&gt;高値!Z337,高値!AB337&gt;高値!AC337,高値!AB337&gt;高値!AD337),23,""))</f>
      </c>
      <c r="AY337" s="684">
        <f>IF(終値!A337="","",IF(AND(高値!AC337&gt;高値!AB337,高値!AC337&gt;高値!AA337,高値!AC337&gt;高値!AD337,高値!AC337&gt;高値!AE337),24,""))</f>
      </c>
      <c r="AZ337" s="684">
        <f>IF(終値!A337="","",IF(AND(高値!AD337&gt;高値!AC337,高値!AD337&gt;高値!AB337,高値!AD337&gt;高値!AE337,高値!AD337&gt;高値!AF337),25,""))</f>
      </c>
      <c r="BA337" s="684">
        <f>IF(終値!A337="","",IF(AND(高値!AE337&gt;高値!AD337,高値!AE337&gt;高値!AC337,高値!AE337&gt;高値!AF337,高値!AE337&gt;高値!AG337),26,""))</f>
      </c>
      <c r="BB337" s="684">
        <f>IF(終値!A337="","",IF(AND(高値!AF337&gt;高値!AE337,高値!AF337&gt;高値!AD337,高値!AF337&gt;高値!AG337,高値!AF337&gt;高値!AH337),27,""))</f>
      </c>
      <c r="BC337" s="684">
        <f>IF(終値!A337="","",IF(AND(高値!AG337&gt;高値!AF337,高値!AG337&gt;高値!AE337,高値!AG337&gt;高値!AH337,高値!AG337&gt;高値!AI337),28,""))</f>
      </c>
      <c r="BD337" s="684">
        <f>COUNT($B337:$AB337)</f>
      </c>
      <c r="BE337" s="684">
        <f>IF($BD337&gt;=2,MIN($B337:$AB337),"")</f>
      </c>
      <c r="BF337" s="684">
        <f>IF($BD337&gt;=2,SMALL($B337:$AB337,2),"")</f>
      </c>
      <c r="BG337" s="684">
        <f>IF($BE337="","",INDEX(安値!$E337:$CZ337,1,$BE337+1))</f>
      </c>
      <c r="BH337" s="684">
        <f>IF($BF337="","",INDEX(安値!$E337:$CZ337,1,$BF337+1))</f>
      </c>
      <c r="BI337" s="684">
        <f>IF($BF337="","",MAX(INDEX(高値!$E337:$CZ337,1,$BE337+1):INDEX(高値!$E337:$CZ337,1,$BF337+1)))</f>
      </c>
      <c r="BJ337" s="684">
        <f>IF($BF337="","",AVERAGE(INDEX(終値!$E337:$CZ337,1,$BF337+1):INDEX(終値!$E337:$CZ337,1,$BF337+20))-2*STDEVP(INDEX(終値!$E337:$CZ337,1,$BF337+1):INDEX(終値!$E337:$CZ337,1,$BF337+20)))</f>
      </c>
      <c r="BK337" s="684">
        <f>IF($BE337="","",AVERAGE(INDEX(終値!$E337:$CZ337,1,$BE337+1):INDEX(終値!$E337:$CZ337,1,$BE337+20))-2*STDEVP(INDEX(終値!$E337:$CZ337,1,$BE337+1):INDEX(終値!$E337:$CZ337,1,$BE337+20)))</f>
      </c>
      <c r="BL337" s="684">
        <f>COUNT($AC337:$BC337)</f>
      </c>
      <c r="BM337" s="684">
        <f>IF($BL337&gt;=2,MIN($AC337:$BC337),"")</f>
      </c>
      <c r="BN337" s="684">
        <f>IF($BL337&gt;=2,SMALL($AC337:$BC337,2),"")</f>
      </c>
      <c r="BO337" s="684">
        <f>IF($BM337="","",INDEX(高値!$E337:$CZ337,1,$BM337+1))</f>
      </c>
      <c r="BP337" s="684">
        <f>IF($BN337="","",INDEX(高値!$E337:$CZ337,1,$BN337+1))</f>
      </c>
      <c r="BQ337" s="684">
        <f>IF($BN337="","",MIN(INDEX(安値!$E337:$CZ337,1,$BM337+1):INDEX(安値!$E337:$CZ337,1,$BN337+1)))</f>
      </c>
      <c r="BR337" s="684">
        <f>IF($BN337="","",AVERAGE(INDEX(終値!$E337:$CZ337,1,$BN337+1):INDEX(終値!$E337:$CZ337,1,$BN337+20))+2*STDEVP(INDEX(終値!$E337:$CZ337,1,$BN337+1):INDEX(終値!$E337:$CZ337,1,$BN337+20)))</f>
      </c>
      <c r="BS337" s="684">
        <f>IF($BM337="","",AVERAGE(INDEX(終値!$E337:$CZ337,1,$BM337+1):INDEX(終値!$E337:$CZ337,1,$BM337+20))+2*STDEVP(INDEX(終値!$E337:$CZ337,1,$BM337+1):INDEX(終値!$E337:$CZ337,1,$BM337+20)))</f>
      </c>
      <c r="BT337" s="681">
        <f>IFERROR(IF(AND($BD337&gt;=2,ABS($BG337-$BH337)/$BH337&lt;=BB設定!$B$12,$BI337&gt;=MAX($BH337,$BG337)*(1+BB設定!$B$13),終値!E337&gt;$BG337),IF(OR(終値!E337&gt;=$BI337,AND($BH337&lt;$BJ337,$BG337&gt;=$BK337)),"二番底W▲","二番底W形成"),IF(AND($BL337&gt;=2,ABS($BO337-$BP337)/$BP337&lt;=BB設定!$B$12,$BQ337&lt;=MIN($BP337,$BO337)*(1-BB設定!$B$13),終値!E337&lt;$BO337),IF(OR(終値!E337&lt;=$BQ337,AND($BP337&gt;$BR337,$BO337&lt;=$BS337)),"二番天井M▼","二番天井M形成"),"－")),"－")</f>
      </c>
    </row>
    <row r="338">
      <c r="B338" s="684">
        <f>IF(終値!A338="","",IF(AND(安値!G338&lt;安値!F338,安値!G338&lt;安値!E338,安値!G338&lt;安値!H338,安値!G338&lt;安値!I338),2,""))</f>
      </c>
      <c r="C338" s="684">
        <f>IF(終値!A338="","",IF(AND(安値!H338&lt;安値!G338,安値!H338&lt;安値!F338,安値!H338&lt;安値!I338,安値!H338&lt;安値!J338),3,""))</f>
      </c>
      <c r="D338" s="684">
        <f>IF(終値!A338="","",IF(AND(安値!I338&lt;安値!H338,安値!I338&lt;安値!G338,安値!I338&lt;安値!J338,安値!I338&lt;安値!K338),4,""))</f>
      </c>
      <c r="E338" s="684">
        <f>IF(終値!A338="","",IF(AND(安値!J338&lt;安値!I338,安値!J338&lt;安値!H338,安値!J338&lt;安値!K338,安値!J338&lt;安値!L338),5,""))</f>
      </c>
      <c r="F338" s="684">
        <f>IF(終値!A338="","",IF(AND(安値!K338&lt;安値!J338,安値!K338&lt;安値!I338,安値!K338&lt;安値!L338,安値!K338&lt;安値!M338),6,""))</f>
      </c>
      <c r="G338" s="684">
        <f>IF(終値!A338="","",IF(AND(安値!L338&lt;安値!K338,安値!L338&lt;安値!J338,安値!L338&lt;安値!M338,安値!L338&lt;安値!N338),7,""))</f>
      </c>
      <c r="H338" s="684">
        <f>IF(終値!A338="","",IF(AND(安値!M338&lt;安値!L338,安値!M338&lt;安値!K338,安値!M338&lt;安値!N338,安値!M338&lt;安値!O338),8,""))</f>
      </c>
      <c r="I338" s="684">
        <f>IF(終値!A338="","",IF(AND(安値!N338&lt;安値!M338,安値!N338&lt;安値!L338,安値!N338&lt;安値!O338,安値!N338&lt;安値!P338),9,""))</f>
      </c>
      <c r="J338" s="684">
        <f>IF(終値!A338="","",IF(AND(安値!O338&lt;安値!N338,安値!O338&lt;安値!M338,安値!O338&lt;安値!P338,安値!O338&lt;安値!Q338),10,""))</f>
      </c>
      <c r="K338" s="684">
        <f>IF(終値!A338="","",IF(AND(安値!P338&lt;安値!O338,安値!P338&lt;安値!N338,安値!P338&lt;安値!Q338,安値!P338&lt;安値!R338),11,""))</f>
      </c>
      <c r="L338" s="684">
        <f>IF(終値!A338="","",IF(AND(安値!Q338&lt;安値!P338,安値!Q338&lt;安値!O338,安値!Q338&lt;安値!R338,安値!Q338&lt;安値!S338),12,""))</f>
      </c>
      <c r="M338" s="684">
        <f>IF(終値!A338="","",IF(AND(安値!R338&lt;安値!Q338,安値!R338&lt;安値!P338,安値!R338&lt;安値!S338,安値!R338&lt;安値!T338),13,""))</f>
      </c>
      <c r="N338" s="684">
        <f>IF(終値!A338="","",IF(AND(安値!S338&lt;安値!R338,安値!S338&lt;安値!Q338,安値!S338&lt;安値!T338,安値!S338&lt;安値!U338),14,""))</f>
      </c>
      <c r="O338" s="684">
        <f>IF(終値!A338="","",IF(AND(安値!T338&lt;安値!S338,安値!T338&lt;安値!R338,安値!T338&lt;安値!U338,安値!T338&lt;安値!V338),15,""))</f>
      </c>
      <c r="P338" s="684">
        <f>IF(終値!A338="","",IF(AND(安値!U338&lt;安値!T338,安値!U338&lt;安値!S338,安値!U338&lt;安値!V338,安値!U338&lt;安値!W338),16,""))</f>
      </c>
      <c r="Q338" s="684">
        <f>IF(終値!A338="","",IF(AND(安値!V338&lt;安値!U338,安値!V338&lt;安値!T338,安値!V338&lt;安値!W338,安値!V338&lt;安値!X338),17,""))</f>
      </c>
      <c r="R338" s="684">
        <f>IF(終値!A338="","",IF(AND(安値!W338&lt;安値!V338,安値!W338&lt;安値!U338,安値!W338&lt;安値!X338,安値!W338&lt;安値!Y338),18,""))</f>
      </c>
      <c r="S338" s="684">
        <f>IF(終値!A338="","",IF(AND(安値!X338&lt;安値!W338,安値!X338&lt;安値!V338,安値!X338&lt;安値!Y338,安値!X338&lt;安値!Z338),19,""))</f>
      </c>
      <c r="T338" s="684">
        <f>IF(終値!A338="","",IF(AND(安値!Y338&lt;安値!X338,安値!Y338&lt;安値!W338,安値!Y338&lt;安値!Z338,安値!Y338&lt;安値!AA338),20,""))</f>
      </c>
      <c r="U338" s="684">
        <f>IF(終値!A338="","",IF(AND(安値!Z338&lt;安値!Y338,安値!Z338&lt;安値!X338,安値!Z338&lt;安値!AA338,安値!Z338&lt;安値!AB338),21,""))</f>
      </c>
      <c r="V338" s="684">
        <f>IF(終値!A338="","",IF(AND(安値!AA338&lt;安値!Z338,安値!AA338&lt;安値!Y338,安値!AA338&lt;安値!AB338,安値!AA338&lt;安値!AC338),22,""))</f>
      </c>
      <c r="W338" s="684">
        <f>IF(終値!A338="","",IF(AND(安値!AB338&lt;安値!AA338,安値!AB338&lt;安値!Z338,安値!AB338&lt;安値!AC338,安値!AB338&lt;安値!AD338),23,""))</f>
      </c>
      <c r="X338" s="684">
        <f>IF(終値!A338="","",IF(AND(安値!AC338&lt;安値!AB338,安値!AC338&lt;安値!AA338,安値!AC338&lt;安値!AD338,安値!AC338&lt;安値!AE338),24,""))</f>
      </c>
      <c r="Y338" s="684">
        <f>IF(終値!A338="","",IF(AND(安値!AD338&lt;安値!AC338,安値!AD338&lt;安値!AB338,安値!AD338&lt;安値!AE338,安値!AD338&lt;安値!AF338),25,""))</f>
      </c>
      <c r="Z338" s="684">
        <f>IF(終値!A338="","",IF(AND(安値!AE338&lt;安値!AD338,安値!AE338&lt;安値!AC338,安値!AE338&lt;安値!AF338,安値!AE338&lt;安値!AG338),26,""))</f>
      </c>
      <c r="AA338" s="684">
        <f>IF(終値!A338="","",IF(AND(安値!AF338&lt;安値!AE338,安値!AF338&lt;安値!AD338,安値!AF338&lt;安値!AG338,安値!AF338&lt;安値!AH338),27,""))</f>
      </c>
      <c r="AB338" s="684">
        <f>IF(終値!A338="","",IF(AND(安値!AG338&lt;安値!AF338,安値!AG338&lt;安値!AE338,安値!AG338&lt;安値!AH338,安値!AG338&lt;安値!AI338),28,""))</f>
      </c>
      <c r="AC338" s="684">
        <f>IF(終値!A338="","",IF(AND(高値!G338&gt;高値!F338,高値!G338&gt;高値!E338,高値!G338&gt;高値!H338,高値!G338&gt;高値!I338),2,""))</f>
      </c>
      <c r="AD338" s="684">
        <f>IF(終値!A338="","",IF(AND(高値!H338&gt;高値!G338,高値!H338&gt;高値!F338,高値!H338&gt;高値!I338,高値!H338&gt;高値!J338),3,""))</f>
      </c>
      <c r="AE338" s="684">
        <f>IF(終値!A338="","",IF(AND(高値!I338&gt;高値!H338,高値!I338&gt;高値!G338,高値!I338&gt;高値!J338,高値!I338&gt;高値!K338),4,""))</f>
      </c>
      <c r="AF338" s="684">
        <f>IF(終値!A338="","",IF(AND(高値!J338&gt;高値!I338,高値!J338&gt;高値!H338,高値!J338&gt;高値!K338,高値!J338&gt;高値!L338),5,""))</f>
      </c>
      <c r="AG338" s="684">
        <f>IF(終値!A338="","",IF(AND(高値!K338&gt;高値!J338,高値!K338&gt;高値!I338,高値!K338&gt;高値!L338,高値!K338&gt;高値!M338),6,""))</f>
      </c>
      <c r="AH338" s="684">
        <f>IF(終値!A338="","",IF(AND(高値!L338&gt;高値!K338,高値!L338&gt;高値!J338,高値!L338&gt;高値!M338,高値!L338&gt;高値!N338),7,""))</f>
      </c>
      <c r="AI338" s="684">
        <f>IF(終値!A338="","",IF(AND(高値!M338&gt;高値!L338,高値!M338&gt;高値!K338,高値!M338&gt;高値!N338,高値!M338&gt;高値!O338),8,""))</f>
      </c>
      <c r="AJ338" s="684">
        <f>IF(終値!A338="","",IF(AND(高値!N338&gt;高値!M338,高値!N338&gt;高値!L338,高値!N338&gt;高値!O338,高値!N338&gt;高値!P338),9,""))</f>
      </c>
      <c r="AK338" s="684">
        <f>IF(終値!A338="","",IF(AND(高値!O338&gt;高値!N338,高値!O338&gt;高値!M338,高値!O338&gt;高値!P338,高値!O338&gt;高値!Q338),10,""))</f>
      </c>
      <c r="AL338" s="684">
        <f>IF(終値!A338="","",IF(AND(高値!P338&gt;高値!O338,高値!P338&gt;高値!N338,高値!P338&gt;高値!Q338,高値!P338&gt;高値!R338),11,""))</f>
      </c>
      <c r="AM338" s="684">
        <f>IF(終値!A338="","",IF(AND(高値!Q338&gt;高値!P338,高値!Q338&gt;高値!O338,高値!Q338&gt;高値!R338,高値!Q338&gt;高値!S338),12,""))</f>
      </c>
      <c r="AN338" s="684">
        <f>IF(終値!A338="","",IF(AND(高値!R338&gt;高値!Q338,高値!R338&gt;高値!P338,高値!R338&gt;高値!S338,高値!R338&gt;高値!T338),13,""))</f>
      </c>
      <c r="AO338" s="684">
        <f>IF(終値!A338="","",IF(AND(高値!S338&gt;高値!R338,高値!S338&gt;高値!Q338,高値!S338&gt;高値!T338,高値!S338&gt;高値!U338),14,""))</f>
      </c>
      <c r="AP338" s="684">
        <f>IF(終値!A338="","",IF(AND(高値!T338&gt;高値!S338,高値!T338&gt;高値!R338,高値!T338&gt;高値!U338,高値!T338&gt;高値!V338),15,""))</f>
      </c>
      <c r="AQ338" s="684">
        <f>IF(終値!A338="","",IF(AND(高値!U338&gt;高値!T338,高値!U338&gt;高値!S338,高値!U338&gt;高値!V338,高値!U338&gt;高値!W338),16,""))</f>
      </c>
      <c r="AR338" s="684">
        <f>IF(終値!A338="","",IF(AND(高値!V338&gt;高値!U338,高値!V338&gt;高値!T338,高値!V338&gt;高値!W338,高値!V338&gt;高値!X338),17,""))</f>
      </c>
      <c r="AS338" s="684">
        <f>IF(終値!A338="","",IF(AND(高値!W338&gt;高値!V338,高値!W338&gt;高値!U338,高値!W338&gt;高値!X338,高値!W338&gt;高値!Y338),18,""))</f>
      </c>
      <c r="AT338" s="684">
        <f>IF(終値!A338="","",IF(AND(高値!X338&gt;高値!W338,高値!X338&gt;高値!V338,高値!X338&gt;高値!Y338,高値!X338&gt;高値!Z338),19,""))</f>
      </c>
      <c r="AU338" s="684">
        <f>IF(終値!A338="","",IF(AND(高値!Y338&gt;高値!X338,高値!Y338&gt;高値!W338,高値!Y338&gt;高値!Z338,高値!Y338&gt;高値!AA338),20,""))</f>
      </c>
      <c r="AV338" s="684">
        <f>IF(終値!A338="","",IF(AND(高値!Z338&gt;高値!Y338,高値!Z338&gt;高値!X338,高値!Z338&gt;高値!AA338,高値!Z338&gt;高値!AB338),21,""))</f>
      </c>
      <c r="AW338" s="684">
        <f>IF(終値!A338="","",IF(AND(高値!AA338&gt;高値!Z338,高値!AA338&gt;高値!Y338,高値!AA338&gt;高値!AB338,高値!AA338&gt;高値!AC338),22,""))</f>
      </c>
      <c r="AX338" s="684">
        <f>IF(終値!A338="","",IF(AND(高値!AB338&gt;高値!AA338,高値!AB338&gt;高値!Z338,高値!AB338&gt;高値!AC338,高値!AB338&gt;高値!AD338),23,""))</f>
      </c>
      <c r="AY338" s="684">
        <f>IF(終値!A338="","",IF(AND(高値!AC338&gt;高値!AB338,高値!AC338&gt;高値!AA338,高値!AC338&gt;高値!AD338,高値!AC338&gt;高値!AE338),24,""))</f>
      </c>
      <c r="AZ338" s="684">
        <f>IF(終値!A338="","",IF(AND(高値!AD338&gt;高値!AC338,高値!AD338&gt;高値!AB338,高値!AD338&gt;高値!AE338,高値!AD338&gt;高値!AF338),25,""))</f>
      </c>
      <c r="BA338" s="684">
        <f>IF(終値!A338="","",IF(AND(高値!AE338&gt;高値!AD338,高値!AE338&gt;高値!AC338,高値!AE338&gt;高値!AF338,高値!AE338&gt;高値!AG338),26,""))</f>
      </c>
      <c r="BB338" s="684">
        <f>IF(終値!A338="","",IF(AND(高値!AF338&gt;高値!AE338,高値!AF338&gt;高値!AD338,高値!AF338&gt;高値!AG338,高値!AF338&gt;高値!AH338),27,""))</f>
      </c>
      <c r="BC338" s="684">
        <f>IF(終値!A338="","",IF(AND(高値!AG338&gt;高値!AF338,高値!AG338&gt;高値!AE338,高値!AG338&gt;高値!AH338,高値!AG338&gt;高値!AI338),28,""))</f>
      </c>
      <c r="BD338" s="684">
        <f>COUNT($B338:$AB338)</f>
      </c>
      <c r="BE338" s="684">
        <f>IF($BD338&gt;=2,MIN($B338:$AB338),"")</f>
      </c>
      <c r="BF338" s="684">
        <f>IF($BD338&gt;=2,SMALL($B338:$AB338,2),"")</f>
      </c>
      <c r="BG338" s="684">
        <f>IF($BE338="","",INDEX(安値!$E338:$CZ338,1,$BE338+1))</f>
      </c>
      <c r="BH338" s="684">
        <f>IF($BF338="","",INDEX(安値!$E338:$CZ338,1,$BF338+1))</f>
      </c>
      <c r="BI338" s="684">
        <f>IF($BF338="","",MAX(INDEX(高値!$E338:$CZ338,1,$BE338+1):INDEX(高値!$E338:$CZ338,1,$BF338+1)))</f>
      </c>
      <c r="BJ338" s="684">
        <f>IF($BF338="","",AVERAGE(INDEX(終値!$E338:$CZ338,1,$BF338+1):INDEX(終値!$E338:$CZ338,1,$BF338+20))-2*STDEVP(INDEX(終値!$E338:$CZ338,1,$BF338+1):INDEX(終値!$E338:$CZ338,1,$BF338+20)))</f>
      </c>
      <c r="BK338" s="684">
        <f>IF($BE338="","",AVERAGE(INDEX(終値!$E338:$CZ338,1,$BE338+1):INDEX(終値!$E338:$CZ338,1,$BE338+20))-2*STDEVP(INDEX(終値!$E338:$CZ338,1,$BE338+1):INDEX(終値!$E338:$CZ338,1,$BE338+20)))</f>
      </c>
      <c r="BL338" s="684">
        <f>COUNT($AC338:$BC338)</f>
      </c>
      <c r="BM338" s="684">
        <f>IF($BL338&gt;=2,MIN($AC338:$BC338),"")</f>
      </c>
      <c r="BN338" s="684">
        <f>IF($BL338&gt;=2,SMALL($AC338:$BC338,2),"")</f>
      </c>
      <c r="BO338" s="684">
        <f>IF($BM338="","",INDEX(高値!$E338:$CZ338,1,$BM338+1))</f>
      </c>
      <c r="BP338" s="684">
        <f>IF($BN338="","",INDEX(高値!$E338:$CZ338,1,$BN338+1))</f>
      </c>
      <c r="BQ338" s="684">
        <f>IF($BN338="","",MIN(INDEX(安値!$E338:$CZ338,1,$BM338+1):INDEX(安値!$E338:$CZ338,1,$BN338+1)))</f>
      </c>
      <c r="BR338" s="684">
        <f>IF($BN338="","",AVERAGE(INDEX(終値!$E338:$CZ338,1,$BN338+1):INDEX(終値!$E338:$CZ338,1,$BN338+20))+2*STDEVP(INDEX(終値!$E338:$CZ338,1,$BN338+1):INDEX(終値!$E338:$CZ338,1,$BN338+20)))</f>
      </c>
      <c r="BS338" s="684">
        <f>IF($BM338="","",AVERAGE(INDEX(終値!$E338:$CZ338,1,$BM338+1):INDEX(終値!$E338:$CZ338,1,$BM338+20))+2*STDEVP(INDEX(終値!$E338:$CZ338,1,$BM338+1):INDEX(終値!$E338:$CZ338,1,$BM338+20)))</f>
      </c>
      <c r="BT338" s="681">
        <f>IFERROR(IF(AND($BD338&gt;=2,ABS($BG338-$BH338)/$BH338&lt;=BB設定!$B$12,$BI338&gt;=MAX($BH338,$BG338)*(1+BB設定!$B$13),終値!E338&gt;$BG338),IF(OR(終値!E338&gt;=$BI338,AND($BH338&lt;$BJ338,$BG338&gt;=$BK338)),"二番底W▲","二番底W形成"),IF(AND($BL338&gt;=2,ABS($BO338-$BP338)/$BP338&lt;=BB設定!$B$12,$BQ338&lt;=MIN($BP338,$BO338)*(1-BB設定!$B$13),終値!E338&lt;$BO338),IF(OR(終値!E338&lt;=$BQ338,AND($BP338&gt;$BR338,$BO338&lt;=$BS338)),"二番天井M▼","二番天井M形成"),"－")),"－")</f>
      </c>
    </row>
    <row r="339">
      <c r="B339" s="684">
        <f>IF(終値!A339="","",IF(AND(安値!G339&lt;安値!F339,安値!G339&lt;安値!E339,安値!G339&lt;安値!H339,安値!G339&lt;安値!I339),2,""))</f>
      </c>
      <c r="C339" s="684">
        <f>IF(終値!A339="","",IF(AND(安値!H339&lt;安値!G339,安値!H339&lt;安値!F339,安値!H339&lt;安値!I339,安値!H339&lt;安値!J339),3,""))</f>
      </c>
      <c r="D339" s="684">
        <f>IF(終値!A339="","",IF(AND(安値!I339&lt;安値!H339,安値!I339&lt;安値!G339,安値!I339&lt;安値!J339,安値!I339&lt;安値!K339),4,""))</f>
      </c>
      <c r="E339" s="684">
        <f>IF(終値!A339="","",IF(AND(安値!J339&lt;安値!I339,安値!J339&lt;安値!H339,安値!J339&lt;安値!K339,安値!J339&lt;安値!L339),5,""))</f>
      </c>
      <c r="F339" s="684">
        <f>IF(終値!A339="","",IF(AND(安値!K339&lt;安値!J339,安値!K339&lt;安値!I339,安値!K339&lt;安値!L339,安値!K339&lt;安値!M339),6,""))</f>
      </c>
      <c r="G339" s="684">
        <f>IF(終値!A339="","",IF(AND(安値!L339&lt;安値!K339,安値!L339&lt;安値!J339,安値!L339&lt;安値!M339,安値!L339&lt;安値!N339),7,""))</f>
      </c>
      <c r="H339" s="684">
        <f>IF(終値!A339="","",IF(AND(安値!M339&lt;安値!L339,安値!M339&lt;安値!K339,安値!M339&lt;安値!N339,安値!M339&lt;安値!O339),8,""))</f>
      </c>
      <c r="I339" s="684">
        <f>IF(終値!A339="","",IF(AND(安値!N339&lt;安値!M339,安値!N339&lt;安値!L339,安値!N339&lt;安値!O339,安値!N339&lt;安値!P339),9,""))</f>
      </c>
      <c r="J339" s="684">
        <f>IF(終値!A339="","",IF(AND(安値!O339&lt;安値!N339,安値!O339&lt;安値!M339,安値!O339&lt;安値!P339,安値!O339&lt;安値!Q339),10,""))</f>
      </c>
      <c r="K339" s="684">
        <f>IF(終値!A339="","",IF(AND(安値!P339&lt;安値!O339,安値!P339&lt;安値!N339,安値!P339&lt;安値!Q339,安値!P339&lt;安値!R339),11,""))</f>
      </c>
      <c r="L339" s="684">
        <f>IF(終値!A339="","",IF(AND(安値!Q339&lt;安値!P339,安値!Q339&lt;安値!O339,安値!Q339&lt;安値!R339,安値!Q339&lt;安値!S339),12,""))</f>
      </c>
      <c r="M339" s="684">
        <f>IF(終値!A339="","",IF(AND(安値!R339&lt;安値!Q339,安値!R339&lt;安値!P339,安値!R339&lt;安値!S339,安値!R339&lt;安値!T339),13,""))</f>
      </c>
      <c r="N339" s="684">
        <f>IF(終値!A339="","",IF(AND(安値!S339&lt;安値!R339,安値!S339&lt;安値!Q339,安値!S339&lt;安値!T339,安値!S339&lt;安値!U339),14,""))</f>
      </c>
      <c r="O339" s="684">
        <f>IF(終値!A339="","",IF(AND(安値!T339&lt;安値!S339,安値!T339&lt;安値!R339,安値!T339&lt;安値!U339,安値!T339&lt;安値!V339),15,""))</f>
      </c>
      <c r="P339" s="684">
        <f>IF(終値!A339="","",IF(AND(安値!U339&lt;安値!T339,安値!U339&lt;安値!S339,安値!U339&lt;安値!V339,安値!U339&lt;安値!W339),16,""))</f>
      </c>
      <c r="Q339" s="684">
        <f>IF(終値!A339="","",IF(AND(安値!V339&lt;安値!U339,安値!V339&lt;安値!T339,安値!V339&lt;安値!W339,安値!V339&lt;安値!X339),17,""))</f>
      </c>
      <c r="R339" s="684">
        <f>IF(終値!A339="","",IF(AND(安値!W339&lt;安値!V339,安値!W339&lt;安値!U339,安値!W339&lt;安値!X339,安値!W339&lt;安値!Y339),18,""))</f>
      </c>
      <c r="S339" s="684">
        <f>IF(終値!A339="","",IF(AND(安値!X339&lt;安値!W339,安値!X339&lt;安値!V339,安値!X339&lt;安値!Y339,安値!X339&lt;安値!Z339),19,""))</f>
      </c>
      <c r="T339" s="684">
        <f>IF(終値!A339="","",IF(AND(安値!Y339&lt;安値!X339,安値!Y339&lt;安値!W339,安値!Y339&lt;安値!Z339,安値!Y339&lt;安値!AA339),20,""))</f>
      </c>
      <c r="U339" s="684">
        <f>IF(終値!A339="","",IF(AND(安値!Z339&lt;安値!Y339,安値!Z339&lt;安値!X339,安値!Z339&lt;安値!AA339,安値!Z339&lt;安値!AB339),21,""))</f>
      </c>
      <c r="V339" s="684">
        <f>IF(終値!A339="","",IF(AND(安値!AA339&lt;安値!Z339,安値!AA339&lt;安値!Y339,安値!AA339&lt;安値!AB339,安値!AA339&lt;安値!AC339),22,""))</f>
      </c>
      <c r="W339" s="684">
        <f>IF(終値!A339="","",IF(AND(安値!AB339&lt;安値!AA339,安値!AB339&lt;安値!Z339,安値!AB339&lt;安値!AC339,安値!AB339&lt;安値!AD339),23,""))</f>
      </c>
      <c r="X339" s="684">
        <f>IF(終値!A339="","",IF(AND(安値!AC339&lt;安値!AB339,安値!AC339&lt;安値!AA339,安値!AC339&lt;安値!AD339,安値!AC339&lt;安値!AE339),24,""))</f>
      </c>
      <c r="Y339" s="684">
        <f>IF(終値!A339="","",IF(AND(安値!AD339&lt;安値!AC339,安値!AD339&lt;安値!AB339,安値!AD339&lt;安値!AE339,安値!AD339&lt;安値!AF339),25,""))</f>
      </c>
      <c r="Z339" s="684">
        <f>IF(終値!A339="","",IF(AND(安値!AE339&lt;安値!AD339,安値!AE339&lt;安値!AC339,安値!AE339&lt;安値!AF339,安値!AE339&lt;安値!AG339),26,""))</f>
      </c>
      <c r="AA339" s="684">
        <f>IF(終値!A339="","",IF(AND(安値!AF339&lt;安値!AE339,安値!AF339&lt;安値!AD339,安値!AF339&lt;安値!AG339,安値!AF339&lt;安値!AH339),27,""))</f>
      </c>
      <c r="AB339" s="684">
        <f>IF(終値!A339="","",IF(AND(安値!AG339&lt;安値!AF339,安値!AG339&lt;安値!AE339,安値!AG339&lt;安値!AH339,安値!AG339&lt;安値!AI339),28,""))</f>
      </c>
      <c r="AC339" s="684">
        <f>IF(終値!A339="","",IF(AND(高値!G339&gt;高値!F339,高値!G339&gt;高値!E339,高値!G339&gt;高値!H339,高値!G339&gt;高値!I339),2,""))</f>
      </c>
      <c r="AD339" s="684">
        <f>IF(終値!A339="","",IF(AND(高値!H339&gt;高値!G339,高値!H339&gt;高値!F339,高値!H339&gt;高値!I339,高値!H339&gt;高値!J339),3,""))</f>
      </c>
      <c r="AE339" s="684">
        <f>IF(終値!A339="","",IF(AND(高値!I339&gt;高値!H339,高値!I339&gt;高値!G339,高値!I339&gt;高値!J339,高値!I339&gt;高値!K339),4,""))</f>
      </c>
      <c r="AF339" s="684">
        <f>IF(終値!A339="","",IF(AND(高値!J339&gt;高値!I339,高値!J339&gt;高値!H339,高値!J339&gt;高値!K339,高値!J339&gt;高値!L339),5,""))</f>
      </c>
      <c r="AG339" s="684">
        <f>IF(終値!A339="","",IF(AND(高値!K339&gt;高値!J339,高値!K339&gt;高値!I339,高値!K339&gt;高値!L339,高値!K339&gt;高値!M339),6,""))</f>
      </c>
      <c r="AH339" s="684">
        <f>IF(終値!A339="","",IF(AND(高値!L339&gt;高値!K339,高値!L339&gt;高値!J339,高値!L339&gt;高値!M339,高値!L339&gt;高値!N339),7,""))</f>
      </c>
      <c r="AI339" s="684">
        <f>IF(終値!A339="","",IF(AND(高値!M339&gt;高値!L339,高値!M339&gt;高値!K339,高値!M339&gt;高値!N339,高値!M339&gt;高値!O339),8,""))</f>
      </c>
      <c r="AJ339" s="684">
        <f>IF(終値!A339="","",IF(AND(高値!N339&gt;高値!M339,高値!N339&gt;高値!L339,高値!N339&gt;高値!O339,高値!N339&gt;高値!P339),9,""))</f>
      </c>
      <c r="AK339" s="684">
        <f>IF(終値!A339="","",IF(AND(高値!O339&gt;高値!N339,高値!O339&gt;高値!M339,高値!O339&gt;高値!P339,高値!O339&gt;高値!Q339),10,""))</f>
      </c>
      <c r="AL339" s="684">
        <f>IF(終値!A339="","",IF(AND(高値!P339&gt;高値!O339,高値!P339&gt;高値!N339,高値!P339&gt;高値!Q339,高値!P339&gt;高値!R339),11,""))</f>
      </c>
      <c r="AM339" s="684">
        <f>IF(終値!A339="","",IF(AND(高値!Q339&gt;高値!P339,高値!Q339&gt;高値!O339,高値!Q339&gt;高値!R339,高値!Q339&gt;高値!S339),12,""))</f>
      </c>
      <c r="AN339" s="684">
        <f>IF(終値!A339="","",IF(AND(高値!R339&gt;高値!Q339,高値!R339&gt;高値!P339,高値!R339&gt;高値!S339,高値!R339&gt;高値!T339),13,""))</f>
      </c>
      <c r="AO339" s="684">
        <f>IF(終値!A339="","",IF(AND(高値!S339&gt;高値!R339,高値!S339&gt;高値!Q339,高値!S339&gt;高値!T339,高値!S339&gt;高値!U339),14,""))</f>
      </c>
      <c r="AP339" s="684">
        <f>IF(終値!A339="","",IF(AND(高値!T339&gt;高値!S339,高値!T339&gt;高値!R339,高値!T339&gt;高値!U339,高値!T339&gt;高値!V339),15,""))</f>
      </c>
      <c r="AQ339" s="684">
        <f>IF(終値!A339="","",IF(AND(高値!U339&gt;高値!T339,高値!U339&gt;高値!S339,高値!U339&gt;高値!V339,高値!U339&gt;高値!W339),16,""))</f>
      </c>
      <c r="AR339" s="684">
        <f>IF(終値!A339="","",IF(AND(高値!V339&gt;高値!U339,高値!V339&gt;高値!T339,高値!V339&gt;高値!W339,高値!V339&gt;高値!X339),17,""))</f>
      </c>
      <c r="AS339" s="684">
        <f>IF(終値!A339="","",IF(AND(高値!W339&gt;高値!V339,高値!W339&gt;高値!U339,高値!W339&gt;高値!X339,高値!W339&gt;高値!Y339),18,""))</f>
      </c>
      <c r="AT339" s="684">
        <f>IF(終値!A339="","",IF(AND(高値!X339&gt;高値!W339,高値!X339&gt;高値!V339,高値!X339&gt;高値!Y339,高値!X339&gt;高値!Z339),19,""))</f>
      </c>
      <c r="AU339" s="684">
        <f>IF(終値!A339="","",IF(AND(高値!Y339&gt;高値!X339,高値!Y339&gt;高値!W339,高値!Y339&gt;高値!Z339,高値!Y339&gt;高値!AA339),20,""))</f>
      </c>
      <c r="AV339" s="684">
        <f>IF(終値!A339="","",IF(AND(高値!Z339&gt;高値!Y339,高値!Z339&gt;高値!X339,高値!Z339&gt;高値!AA339,高値!Z339&gt;高値!AB339),21,""))</f>
      </c>
      <c r="AW339" s="684">
        <f>IF(終値!A339="","",IF(AND(高値!AA339&gt;高値!Z339,高値!AA339&gt;高値!Y339,高値!AA339&gt;高値!AB339,高値!AA339&gt;高値!AC339),22,""))</f>
      </c>
      <c r="AX339" s="684">
        <f>IF(終値!A339="","",IF(AND(高値!AB339&gt;高値!AA339,高値!AB339&gt;高値!Z339,高値!AB339&gt;高値!AC339,高値!AB339&gt;高値!AD339),23,""))</f>
      </c>
      <c r="AY339" s="684">
        <f>IF(終値!A339="","",IF(AND(高値!AC339&gt;高値!AB339,高値!AC339&gt;高値!AA339,高値!AC339&gt;高値!AD339,高値!AC339&gt;高値!AE339),24,""))</f>
      </c>
      <c r="AZ339" s="684">
        <f>IF(終値!A339="","",IF(AND(高値!AD339&gt;高値!AC339,高値!AD339&gt;高値!AB339,高値!AD339&gt;高値!AE339,高値!AD339&gt;高値!AF339),25,""))</f>
      </c>
      <c r="BA339" s="684">
        <f>IF(終値!A339="","",IF(AND(高値!AE339&gt;高値!AD339,高値!AE339&gt;高値!AC339,高値!AE339&gt;高値!AF339,高値!AE339&gt;高値!AG339),26,""))</f>
      </c>
      <c r="BB339" s="684">
        <f>IF(終値!A339="","",IF(AND(高値!AF339&gt;高値!AE339,高値!AF339&gt;高値!AD339,高値!AF339&gt;高値!AG339,高値!AF339&gt;高値!AH339),27,""))</f>
      </c>
      <c r="BC339" s="684">
        <f>IF(終値!A339="","",IF(AND(高値!AG339&gt;高値!AF339,高値!AG339&gt;高値!AE339,高値!AG339&gt;高値!AH339,高値!AG339&gt;高値!AI339),28,""))</f>
      </c>
      <c r="BD339" s="684">
        <f>COUNT($B339:$AB339)</f>
      </c>
      <c r="BE339" s="684">
        <f>IF($BD339&gt;=2,MIN($B339:$AB339),"")</f>
      </c>
      <c r="BF339" s="684">
        <f>IF($BD339&gt;=2,SMALL($B339:$AB339,2),"")</f>
      </c>
      <c r="BG339" s="684">
        <f>IF($BE339="","",INDEX(安値!$E339:$CZ339,1,$BE339+1))</f>
      </c>
      <c r="BH339" s="684">
        <f>IF($BF339="","",INDEX(安値!$E339:$CZ339,1,$BF339+1))</f>
      </c>
      <c r="BI339" s="684">
        <f>IF($BF339="","",MAX(INDEX(高値!$E339:$CZ339,1,$BE339+1):INDEX(高値!$E339:$CZ339,1,$BF339+1)))</f>
      </c>
      <c r="BJ339" s="684">
        <f>IF($BF339="","",AVERAGE(INDEX(終値!$E339:$CZ339,1,$BF339+1):INDEX(終値!$E339:$CZ339,1,$BF339+20))-2*STDEVP(INDEX(終値!$E339:$CZ339,1,$BF339+1):INDEX(終値!$E339:$CZ339,1,$BF339+20)))</f>
      </c>
      <c r="BK339" s="684">
        <f>IF($BE339="","",AVERAGE(INDEX(終値!$E339:$CZ339,1,$BE339+1):INDEX(終値!$E339:$CZ339,1,$BE339+20))-2*STDEVP(INDEX(終値!$E339:$CZ339,1,$BE339+1):INDEX(終値!$E339:$CZ339,1,$BE339+20)))</f>
      </c>
      <c r="BL339" s="684">
        <f>COUNT($AC339:$BC339)</f>
      </c>
      <c r="BM339" s="684">
        <f>IF($BL339&gt;=2,MIN($AC339:$BC339),"")</f>
      </c>
      <c r="BN339" s="684">
        <f>IF($BL339&gt;=2,SMALL($AC339:$BC339,2),"")</f>
      </c>
      <c r="BO339" s="684">
        <f>IF($BM339="","",INDEX(高値!$E339:$CZ339,1,$BM339+1))</f>
      </c>
      <c r="BP339" s="684">
        <f>IF($BN339="","",INDEX(高値!$E339:$CZ339,1,$BN339+1))</f>
      </c>
      <c r="BQ339" s="684">
        <f>IF($BN339="","",MIN(INDEX(安値!$E339:$CZ339,1,$BM339+1):INDEX(安値!$E339:$CZ339,1,$BN339+1)))</f>
      </c>
      <c r="BR339" s="684">
        <f>IF($BN339="","",AVERAGE(INDEX(終値!$E339:$CZ339,1,$BN339+1):INDEX(終値!$E339:$CZ339,1,$BN339+20))+2*STDEVP(INDEX(終値!$E339:$CZ339,1,$BN339+1):INDEX(終値!$E339:$CZ339,1,$BN339+20)))</f>
      </c>
      <c r="BS339" s="684">
        <f>IF($BM339="","",AVERAGE(INDEX(終値!$E339:$CZ339,1,$BM339+1):INDEX(終値!$E339:$CZ339,1,$BM339+20))+2*STDEVP(INDEX(終値!$E339:$CZ339,1,$BM339+1):INDEX(終値!$E339:$CZ339,1,$BM339+20)))</f>
      </c>
      <c r="BT339" s="681">
        <f>IFERROR(IF(AND($BD339&gt;=2,ABS($BG339-$BH339)/$BH339&lt;=BB設定!$B$12,$BI339&gt;=MAX($BH339,$BG339)*(1+BB設定!$B$13),終値!E339&gt;$BG339),IF(OR(終値!E339&gt;=$BI339,AND($BH339&lt;$BJ339,$BG339&gt;=$BK339)),"二番底W▲","二番底W形成"),IF(AND($BL339&gt;=2,ABS($BO339-$BP339)/$BP339&lt;=BB設定!$B$12,$BQ339&lt;=MIN($BP339,$BO339)*(1-BB設定!$B$13),終値!E339&lt;$BO339),IF(OR(終値!E339&lt;=$BQ339,AND($BP339&gt;$BR339,$BO339&lt;=$BS339)),"二番天井M▼","二番天井M形成"),"－")),"－")</f>
      </c>
    </row>
    <row r="340">
      <c r="B340" s="684">
        <f>IF(終値!A340="","",IF(AND(安値!G340&lt;安値!F340,安値!G340&lt;安値!E340,安値!G340&lt;安値!H340,安値!G340&lt;安値!I340),2,""))</f>
      </c>
      <c r="C340" s="684">
        <f>IF(終値!A340="","",IF(AND(安値!H340&lt;安値!G340,安値!H340&lt;安値!F340,安値!H340&lt;安値!I340,安値!H340&lt;安値!J340),3,""))</f>
      </c>
      <c r="D340" s="684">
        <f>IF(終値!A340="","",IF(AND(安値!I340&lt;安値!H340,安値!I340&lt;安値!G340,安値!I340&lt;安値!J340,安値!I340&lt;安値!K340),4,""))</f>
      </c>
      <c r="E340" s="684">
        <f>IF(終値!A340="","",IF(AND(安値!J340&lt;安値!I340,安値!J340&lt;安値!H340,安値!J340&lt;安値!K340,安値!J340&lt;安値!L340),5,""))</f>
      </c>
      <c r="F340" s="684">
        <f>IF(終値!A340="","",IF(AND(安値!K340&lt;安値!J340,安値!K340&lt;安値!I340,安値!K340&lt;安値!L340,安値!K340&lt;安値!M340),6,""))</f>
      </c>
      <c r="G340" s="684">
        <f>IF(終値!A340="","",IF(AND(安値!L340&lt;安値!K340,安値!L340&lt;安値!J340,安値!L340&lt;安値!M340,安値!L340&lt;安値!N340),7,""))</f>
      </c>
      <c r="H340" s="684">
        <f>IF(終値!A340="","",IF(AND(安値!M340&lt;安値!L340,安値!M340&lt;安値!K340,安値!M340&lt;安値!N340,安値!M340&lt;安値!O340),8,""))</f>
      </c>
      <c r="I340" s="684">
        <f>IF(終値!A340="","",IF(AND(安値!N340&lt;安値!M340,安値!N340&lt;安値!L340,安値!N340&lt;安値!O340,安値!N340&lt;安値!P340),9,""))</f>
      </c>
      <c r="J340" s="684">
        <f>IF(終値!A340="","",IF(AND(安値!O340&lt;安値!N340,安値!O340&lt;安値!M340,安値!O340&lt;安値!P340,安値!O340&lt;安値!Q340),10,""))</f>
      </c>
      <c r="K340" s="684">
        <f>IF(終値!A340="","",IF(AND(安値!P340&lt;安値!O340,安値!P340&lt;安値!N340,安値!P340&lt;安値!Q340,安値!P340&lt;安値!R340),11,""))</f>
      </c>
      <c r="L340" s="684">
        <f>IF(終値!A340="","",IF(AND(安値!Q340&lt;安値!P340,安値!Q340&lt;安値!O340,安値!Q340&lt;安値!R340,安値!Q340&lt;安値!S340),12,""))</f>
      </c>
      <c r="M340" s="684">
        <f>IF(終値!A340="","",IF(AND(安値!R340&lt;安値!Q340,安値!R340&lt;安値!P340,安値!R340&lt;安値!S340,安値!R340&lt;安値!T340),13,""))</f>
      </c>
      <c r="N340" s="684">
        <f>IF(終値!A340="","",IF(AND(安値!S340&lt;安値!R340,安値!S340&lt;安値!Q340,安値!S340&lt;安値!T340,安値!S340&lt;安値!U340),14,""))</f>
      </c>
      <c r="O340" s="684">
        <f>IF(終値!A340="","",IF(AND(安値!T340&lt;安値!S340,安値!T340&lt;安値!R340,安値!T340&lt;安値!U340,安値!T340&lt;安値!V340),15,""))</f>
      </c>
      <c r="P340" s="684">
        <f>IF(終値!A340="","",IF(AND(安値!U340&lt;安値!T340,安値!U340&lt;安値!S340,安値!U340&lt;安値!V340,安値!U340&lt;安値!W340),16,""))</f>
      </c>
      <c r="Q340" s="684">
        <f>IF(終値!A340="","",IF(AND(安値!V340&lt;安値!U340,安値!V340&lt;安値!T340,安値!V340&lt;安値!W340,安値!V340&lt;安値!X340),17,""))</f>
      </c>
      <c r="R340" s="684">
        <f>IF(終値!A340="","",IF(AND(安値!W340&lt;安値!V340,安値!W340&lt;安値!U340,安値!W340&lt;安値!X340,安値!W340&lt;安値!Y340),18,""))</f>
      </c>
      <c r="S340" s="684">
        <f>IF(終値!A340="","",IF(AND(安値!X340&lt;安値!W340,安値!X340&lt;安値!V340,安値!X340&lt;安値!Y340,安値!X340&lt;安値!Z340),19,""))</f>
      </c>
      <c r="T340" s="684">
        <f>IF(終値!A340="","",IF(AND(安値!Y340&lt;安値!X340,安値!Y340&lt;安値!W340,安値!Y340&lt;安値!Z340,安値!Y340&lt;安値!AA340),20,""))</f>
      </c>
      <c r="U340" s="684">
        <f>IF(終値!A340="","",IF(AND(安値!Z340&lt;安値!Y340,安値!Z340&lt;安値!X340,安値!Z340&lt;安値!AA340,安値!Z340&lt;安値!AB340),21,""))</f>
      </c>
      <c r="V340" s="684">
        <f>IF(終値!A340="","",IF(AND(安値!AA340&lt;安値!Z340,安値!AA340&lt;安値!Y340,安値!AA340&lt;安値!AB340,安値!AA340&lt;安値!AC340),22,""))</f>
      </c>
      <c r="W340" s="684">
        <f>IF(終値!A340="","",IF(AND(安値!AB340&lt;安値!AA340,安値!AB340&lt;安値!Z340,安値!AB340&lt;安値!AC340,安値!AB340&lt;安値!AD340),23,""))</f>
      </c>
      <c r="X340" s="684">
        <f>IF(終値!A340="","",IF(AND(安値!AC340&lt;安値!AB340,安値!AC340&lt;安値!AA340,安値!AC340&lt;安値!AD340,安値!AC340&lt;安値!AE340),24,""))</f>
      </c>
      <c r="Y340" s="684">
        <f>IF(終値!A340="","",IF(AND(安値!AD340&lt;安値!AC340,安値!AD340&lt;安値!AB340,安値!AD340&lt;安値!AE340,安値!AD340&lt;安値!AF340),25,""))</f>
      </c>
      <c r="Z340" s="684">
        <f>IF(終値!A340="","",IF(AND(安値!AE340&lt;安値!AD340,安値!AE340&lt;安値!AC340,安値!AE340&lt;安値!AF340,安値!AE340&lt;安値!AG340),26,""))</f>
      </c>
      <c r="AA340" s="684">
        <f>IF(終値!A340="","",IF(AND(安値!AF340&lt;安値!AE340,安値!AF340&lt;安値!AD340,安値!AF340&lt;安値!AG340,安値!AF340&lt;安値!AH340),27,""))</f>
      </c>
      <c r="AB340" s="684">
        <f>IF(終値!A340="","",IF(AND(安値!AG340&lt;安値!AF340,安値!AG340&lt;安値!AE340,安値!AG340&lt;安値!AH340,安値!AG340&lt;安値!AI340),28,""))</f>
      </c>
      <c r="AC340" s="684">
        <f>IF(終値!A340="","",IF(AND(高値!G340&gt;高値!F340,高値!G340&gt;高値!E340,高値!G340&gt;高値!H340,高値!G340&gt;高値!I340),2,""))</f>
      </c>
      <c r="AD340" s="684">
        <f>IF(終値!A340="","",IF(AND(高値!H340&gt;高値!G340,高値!H340&gt;高値!F340,高値!H340&gt;高値!I340,高値!H340&gt;高値!J340),3,""))</f>
      </c>
      <c r="AE340" s="684">
        <f>IF(終値!A340="","",IF(AND(高値!I340&gt;高値!H340,高値!I340&gt;高値!G340,高値!I340&gt;高値!J340,高値!I340&gt;高値!K340),4,""))</f>
      </c>
      <c r="AF340" s="684">
        <f>IF(終値!A340="","",IF(AND(高値!J340&gt;高値!I340,高値!J340&gt;高値!H340,高値!J340&gt;高値!K340,高値!J340&gt;高値!L340),5,""))</f>
      </c>
      <c r="AG340" s="684">
        <f>IF(終値!A340="","",IF(AND(高値!K340&gt;高値!J340,高値!K340&gt;高値!I340,高値!K340&gt;高値!L340,高値!K340&gt;高値!M340),6,""))</f>
      </c>
      <c r="AH340" s="684">
        <f>IF(終値!A340="","",IF(AND(高値!L340&gt;高値!K340,高値!L340&gt;高値!J340,高値!L340&gt;高値!M340,高値!L340&gt;高値!N340),7,""))</f>
      </c>
      <c r="AI340" s="684">
        <f>IF(終値!A340="","",IF(AND(高値!M340&gt;高値!L340,高値!M340&gt;高値!K340,高値!M340&gt;高値!N340,高値!M340&gt;高値!O340),8,""))</f>
      </c>
      <c r="AJ340" s="684">
        <f>IF(終値!A340="","",IF(AND(高値!N340&gt;高値!M340,高値!N340&gt;高値!L340,高値!N340&gt;高値!O340,高値!N340&gt;高値!P340),9,""))</f>
      </c>
      <c r="AK340" s="684">
        <f>IF(終値!A340="","",IF(AND(高値!O340&gt;高値!N340,高値!O340&gt;高値!M340,高値!O340&gt;高値!P340,高値!O340&gt;高値!Q340),10,""))</f>
      </c>
      <c r="AL340" s="684">
        <f>IF(終値!A340="","",IF(AND(高値!P340&gt;高値!O340,高値!P340&gt;高値!N340,高値!P340&gt;高値!Q340,高値!P340&gt;高値!R340),11,""))</f>
      </c>
      <c r="AM340" s="684">
        <f>IF(終値!A340="","",IF(AND(高値!Q340&gt;高値!P340,高値!Q340&gt;高値!O340,高値!Q340&gt;高値!R340,高値!Q340&gt;高値!S340),12,""))</f>
      </c>
      <c r="AN340" s="684">
        <f>IF(終値!A340="","",IF(AND(高値!R340&gt;高値!Q340,高値!R340&gt;高値!P340,高値!R340&gt;高値!S340,高値!R340&gt;高値!T340),13,""))</f>
      </c>
      <c r="AO340" s="684">
        <f>IF(終値!A340="","",IF(AND(高値!S340&gt;高値!R340,高値!S340&gt;高値!Q340,高値!S340&gt;高値!T340,高値!S340&gt;高値!U340),14,""))</f>
      </c>
      <c r="AP340" s="684">
        <f>IF(終値!A340="","",IF(AND(高値!T340&gt;高値!S340,高値!T340&gt;高値!R340,高値!T340&gt;高値!U340,高値!T340&gt;高値!V340),15,""))</f>
      </c>
      <c r="AQ340" s="684">
        <f>IF(終値!A340="","",IF(AND(高値!U340&gt;高値!T340,高値!U340&gt;高値!S340,高値!U340&gt;高値!V340,高値!U340&gt;高値!W340),16,""))</f>
      </c>
      <c r="AR340" s="684">
        <f>IF(終値!A340="","",IF(AND(高値!V340&gt;高値!U340,高値!V340&gt;高値!T340,高値!V340&gt;高値!W340,高値!V340&gt;高値!X340),17,""))</f>
      </c>
      <c r="AS340" s="684">
        <f>IF(終値!A340="","",IF(AND(高値!W340&gt;高値!V340,高値!W340&gt;高値!U340,高値!W340&gt;高値!X340,高値!W340&gt;高値!Y340),18,""))</f>
      </c>
      <c r="AT340" s="684">
        <f>IF(終値!A340="","",IF(AND(高値!X340&gt;高値!W340,高値!X340&gt;高値!V340,高値!X340&gt;高値!Y340,高値!X340&gt;高値!Z340),19,""))</f>
      </c>
      <c r="AU340" s="684">
        <f>IF(終値!A340="","",IF(AND(高値!Y340&gt;高値!X340,高値!Y340&gt;高値!W340,高値!Y340&gt;高値!Z340,高値!Y340&gt;高値!AA340),20,""))</f>
      </c>
      <c r="AV340" s="684">
        <f>IF(終値!A340="","",IF(AND(高値!Z340&gt;高値!Y340,高値!Z340&gt;高値!X340,高値!Z340&gt;高値!AA340,高値!Z340&gt;高値!AB340),21,""))</f>
      </c>
      <c r="AW340" s="684">
        <f>IF(終値!A340="","",IF(AND(高値!AA340&gt;高値!Z340,高値!AA340&gt;高値!Y340,高値!AA340&gt;高値!AB340,高値!AA340&gt;高値!AC340),22,""))</f>
      </c>
      <c r="AX340" s="684">
        <f>IF(終値!A340="","",IF(AND(高値!AB340&gt;高値!AA340,高値!AB340&gt;高値!Z340,高値!AB340&gt;高値!AC340,高値!AB340&gt;高値!AD340),23,""))</f>
      </c>
      <c r="AY340" s="684">
        <f>IF(終値!A340="","",IF(AND(高値!AC340&gt;高値!AB340,高値!AC340&gt;高値!AA340,高値!AC340&gt;高値!AD340,高値!AC340&gt;高値!AE340),24,""))</f>
      </c>
      <c r="AZ340" s="684">
        <f>IF(終値!A340="","",IF(AND(高値!AD340&gt;高値!AC340,高値!AD340&gt;高値!AB340,高値!AD340&gt;高値!AE340,高値!AD340&gt;高値!AF340),25,""))</f>
      </c>
      <c r="BA340" s="684">
        <f>IF(終値!A340="","",IF(AND(高値!AE340&gt;高値!AD340,高値!AE340&gt;高値!AC340,高値!AE340&gt;高値!AF340,高値!AE340&gt;高値!AG340),26,""))</f>
      </c>
      <c r="BB340" s="684">
        <f>IF(終値!A340="","",IF(AND(高値!AF340&gt;高値!AE340,高値!AF340&gt;高値!AD340,高値!AF340&gt;高値!AG340,高値!AF340&gt;高値!AH340),27,""))</f>
      </c>
      <c r="BC340" s="684">
        <f>IF(終値!A340="","",IF(AND(高値!AG340&gt;高値!AF340,高値!AG340&gt;高値!AE340,高値!AG340&gt;高値!AH340,高値!AG340&gt;高値!AI340),28,""))</f>
      </c>
      <c r="BD340" s="684">
        <f>COUNT($B340:$AB340)</f>
      </c>
      <c r="BE340" s="684">
        <f>IF($BD340&gt;=2,MIN($B340:$AB340),"")</f>
      </c>
      <c r="BF340" s="684">
        <f>IF($BD340&gt;=2,SMALL($B340:$AB340,2),"")</f>
      </c>
      <c r="BG340" s="684">
        <f>IF($BE340="","",INDEX(安値!$E340:$CZ340,1,$BE340+1))</f>
      </c>
      <c r="BH340" s="684">
        <f>IF($BF340="","",INDEX(安値!$E340:$CZ340,1,$BF340+1))</f>
      </c>
      <c r="BI340" s="684">
        <f>IF($BF340="","",MAX(INDEX(高値!$E340:$CZ340,1,$BE340+1):INDEX(高値!$E340:$CZ340,1,$BF340+1)))</f>
      </c>
      <c r="BJ340" s="684">
        <f>IF($BF340="","",AVERAGE(INDEX(終値!$E340:$CZ340,1,$BF340+1):INDEX(終値!$E340:$CZ340,1,$BF340+20))-2*STDEVP(INDEX(終値!$E340:$CZ340,1,$BF340+1):INDEX(終値!$E340:$CZ340,1,$BF340+20)))</f>
      </c>
      <c r="BK340" s="684">
        <f>IF($BE340="","",AVERAGE(INDEX(終値!$E340:$CZ340,1,$BE340+1):INDEX(終値!$E340:$CZ340,1,$BE340+20))-2*STDEVP(INDEX(終値!$E340:$CZ340,1,$BE340+1):INDEX(終値!$E340:$CZ340,1,$BE340+20)))</f>
      </c>
      <c r="BL340" s="684">
        <f>COUNT($AC340:$BC340)</f>
      </c>
      <c r="BM340" s="684">
        <f>IF($BL340&gt;=2,MIN($AC340:$BC340),"")</f>
      </c>
      <c r="BN340" s="684">
        <f>IF($BL340&gt;=2,SMALL($AC340:$BC340,2),"")</f>
      </c>
      <c r="BO340" s="684">
        <f>IF($BM340="","",INDEX(高値!$E340:$CZ340,1,$BM340+1))</f>
      </c>
      <c r="BP340" s="684">
        <f>IF($BN340="","",INDEX(高値!$E340:$CZ340,1,$BN340+1))</f>
      </c>
      <c r="BQ340" s="684">
        <f>IF($BN340="","",MIN(INDEX(安値!$E340:$CZ340,1,$BM340+1):INDEX(安値!$E340:$CZ340,1,$BN340+1)))</f>
      </c>
      <c r="BR340" s="684">
        <f>IF($BN340="","",AVERAGE(INDEX(終値!$E340:$CZ340,1,$BN340+1):INDEX(終値!$E340:$CZ340,1,$BN340+20))+2*STDEVP(INDEX(終値!$E340:$CZ340,1,$BN340+1):INDEX(終値!$E340:$CZ340,1,$BN340+20)))</f>
      </c>
      <c r="BS340" s="684">
        <f>IF($BM340="","",AVERAGE(INDEX(終値!$E340:$CZ340,1,$BM340+1):INDEX(終値!$E340:$CZ340,1,$BM340+20))+2*STDEVP(INDEX(終値!$E340:$CZ340,1,$BM340+1):INDEX(終値!$E340:$CZ340,1,$BM340+20)))</f>
      </c>
      <c r="BT340" s="681">
        <f>IFERROR(IF(AND($BD340&gt;=2,ABS($BG340-$BH340)/$BH340&lt;=BB設定!$B$12,$BI340&gt;=MAX($BH340,$BG340)*(1+BB設定!$B$13),終値!E340&gt;$BG340),IF(OR(終値!E340&gt;=$BI340,AND($BH340&lt;$BJ340,$BG340&gt;=$BK340)),"二番底W▲","二番底W形成"),IF(AND($BL340&gt;=2,ABS($BO340-$BP340)/$BP340&lt;=BB設定!$B$12,$BQ340&lt;=MIN($BP340,$BO340)*(1-BB設定!$B$13),終値!E340&lt;$BO340),IF(OR(終値!E340&lt;=$BQ340,AND($BP340&gt;$BR340,$BO340&lt;=$BS340)),"二番天井M▼","二番天井M形成"),"－")),"－")</f>
      </c>
    </row>
    <row r="341">
      <c r="B341" s="684">
        <f>IF(終値!A341="","",IF(AND(安値!G341&lt;安値!F341,安値!G341&lt;安値!E341,安値!G341&lt;安値!H341,安値!G341&lt;安値!I341),2,""))</f>
      </c>
      <c r="C341" s="684">
        <f>IF(終値!A341="","",IF(AND(安値!H341&lt;安値!G341,安値!H341&lt;安値!F341,安値!H341&lt;安値!I341,安値!H341&lt;安値!J341),3,""))</f>
      </c>
      <c r="D341" s="684">
        <f>IF(終値!A341="","",IF(AND(安値!I341&lt;安値!H341,安値!I341&lt;安値!G341,安値!I341&lt;安値!J341,安値!I341&lt;安値!K341),4,""))</f>
      </c>
      <c r="E341" s="684">
        <f>IF(終値!A341="","",IF(AND(安値!J341&lt;安値!I341,安値!J341&lt;安値!H341,安値!J341&lt;安値!K341,安値!J341&lt;安値!L341),5,""))</f>
      </c>
      <c r="F341" s="684">
        <f>IF(終値!A341="","",IF(AND(安値!K341&lt;安値!J341,安値!K341&lt;安値!I341,安値!K341&lt;安値!L341,安値!K341&lt;安値!M341),6,""))</f>
      </c>
      <c r="G341" s="684">
        <f>IF(終値!A341="","",IF(AND(安値!L341&lt;安値!K341,安値!L341&lt;安値!J341,安値!L341&lt;安値!M341,安値!L341&lt;安値!N341),7,""))</f>
      </c>
      <c r="H341" s="684">
        <f>IF(終値!A341="","",IF(AND(安値!M341&lt;安値!L341,安値!M341&lt;安値!K341,安値!M341&lt;安値!N341,安値!M341&lt;安値!O341),8,""))</f>
      </c>
      <c r="I341" s="684">
        <f>IF(終値!A341="","",IF(AND(安値!N341&lt;安値!M341,安値!N341&lt;安値!L341,安値!N341&lt;安値!O341,安値!N341&lt;安値!P341),9,""))</f>
      </c>
      <c r="J341" s="684">
        <f>IF(終値!A341="","",IF(AND(安値!O341&lt;安値!N341,安値!O341&lt;安値!M341,安値!O341&lt;安値!P341,安値!O341&lt;安値!Q341),10,""))</f>
      </c>
      <c r="K341" s="684">
        <f>IF(終値!A341="","",IF(AND(安値!P341&lt;安値!O341,安値!P341&lt;安値!N341,安値!P341&lt;安値!Q341,安値!P341&lt;安値!R341),11,""))</f>
      </c>
      <c r="L341" s="684">
        <f>IF(終値!A341="","",IF(AND(安値!Q341&lt;安値!P341,安値!Q341&lt;安値!O341,安値!Q341&lt;安値!R341,安値!Q341&lt;安値!S341),12,""))</f>
      </c>
      <c r="M341" s="684">
        <f>IF(終値!A341="","",IF(AND(安値!R341&lt;安値!Q341,安値!R341&lt;安値!P341,安値!R341&lt;安値!S341,安値!R341&lt;安値!T341),13,""))</f>
      </c>
      <c r="N341" s="684">
        <f>IF(終値!A341="","",IF(AND(安値!S341&lt;安値!R341,安値!S341&lt;安値!Q341,安値!S341&lt;安値!T341,安値!S341&lt;安値!U341),14,""))</f>
      </c>
      <c r="O341" s="684">
        <f>IF(終値!A341="","",IF(AND(安値!T341&lt;安値!S341,安値!T341&lt;安値!R341,安値!T341&lt;安値!U341,安値!T341&lt;安値!V341),15,""))</f>
      </c>
      <c r="P341" s="684">
        <f>IF(終値!A341="","",IF(AND(安値!U341&lt;安値!T341,安値!U341&lt;安値!S341,安値!U341&lt;安値!V341,安値!U341&lt;安値!W341),16,""))</f>
      </c>
      <c r="Q341" s="684">
        <f>IF(終値!A341="","",IF(AND(安値!V341&lt;安値!U341,安値!V341&lt;安値!T341,安値!V341&lt;安値!W341,安値!V341&lt;安値!X341),17,""))</f>
      </c>
      <c r="R341" s="684">
        <f>IF(終値!A341="","",IF(AND(安値!W341&lt;安値!V341,安値!W341&lt;安値!U341,安値!W341&lt;安値!X341,安値!W341&lt;安値!Y341),18,""))</f>
      </c>
      <c r="S341" s="684">
        <f>IF(終値!A341="","",IF(AND(安値!X341&lt;安値!W341,安値!X341&lt;安値!V341,安値!X341&lt;安値!Y341,安値!X341&lt;安値!Z341),19,""))</f>
      </c>
      <c r="T341" s="684">
        <f>IF(終値!A341="","",IF(AND(安値!Y341&lt;安値!X341,安値!Y341&lt;安値!W341,安値!Y341&lt;安値!Z341,安値!Y341&lt;安値!AA341),20,""))</f>
      </c>
      <c r="U341" s="684">
        <f>IF(終値!A341="","",IF(AND(安値!Z341&lt;安値!Y341,安値!Z341&lt;安値!X341,安値!Z341&lt;安値!AA341,安値!Z341&lt;安値!AB341),21,""))</f>
      </c>
      <c r="V341" s="684">
        <f>IF(終値!A341="","",IF(AND(安値!AA341&lt;安値!Z341,安値!AA341&lt;安値!Y341,安値!AA341&lt;安値!AB341,安値!AA341&lt;安値!AC341),22,""))</f>
      </c>
      <c r="W341" s="684">
        <f>IF(終値!A341="","",IF(AND(安値!AB341&lt;安値!AA341,安値!AB341&lt;安値!Z341,安値!AB341&lt;安値!AC341,安値!AB341&lt;安値!AD341),23,""))</f>
      </c>
      <c r="X341" s="684">
        <f>IF(終値!A341="","",IF(AND(安値!AC341&lt;安値!AB341,安値!AC341&lt;安値!AA341,安値!AC341&lt;安値!AD341,安値!AC341&lt;安値!AE341),24,""))</f>
      </c>
      <c r="Y341" s="684">
        <f>IF(終値!A341="","",IF(AND(安値!AD341&lt;安値!AC341,安値!AD341&lt;安値!AB341,安値!AD341&lt;安値!AE341,安値!AD341&lt;安値!AF341),25,""))</f>
      </c>
      <c r="Z341" s="684">
        <f>IF(終値!A341="","",IF(AND(安値!AE341&lt;安値!AD341,安値!AE341&lt;安値!AC341,安値!AE341&lt;安値!AF341,安値!AE341&lt;安値!AG341),26,""))</f>
      </c>
      <c r="AA341" s="684">
        <f>IF(終値!A341="","",IF(AND(安値!AF341&lt;安値!AE341,安値!AF341&lt;安値!AD341,安値!AF341&lt;安値!AG341,安値!AF341&lt;安値!AH341),27,""))</f>
      </c>
      <c r="AB341" s="684">
        <f>IF(終値!A341="","",IF(AND(安値!AG341&lt;安値!AF341,安値!AG341&lt;安値!AE341,安値!AG341&lt;安値!AH341,安値!AG341&lt;安値!AI341),28,""))</f>
      </c>
      <c r="AC341" s="684">
        <f>IF(終値!A341="","",IF(AND(高値!G341&gt;高値!F341,高値!G341&gt;高値!E341,高値!G341&gt;高値!H341,高値!G341&gt;高値!I341),2,""))</f>
      </c>
      <c r="AD341" s="684">
        <f>IF(終値!A341="","",IF(AND(高値!H341&gt;高値!G341,高値!H341&gt;高値!F341,高値!H341&gt;高値!I341,高値!H341&gt;高値!J341),3,""))</f>
      </c>
      <c r="AE341" s="684">
        <f>IF(終値!A341="","",IF(AND(高値!I341&gt;高値!H341,高値!I341&gt;高値!G341,高値!I341&gt;高値!J341,高値!I341&gt;高値!K341),4,""))</f>
      </c>
      <c r="AF341" s="684">
        <f>IF(終値!A341="","",IF(AND(高値!J341&gt;高値!I341,高値!J341&gt;高値!H341,高値!J341&gt;高値!K341,高値!J341&gt;高値!L341),5,""))</f>
      </c>
      <c r="AG341" s="684">
        <f>IF(終値!A341="","",IF(AND(高値!K341&gt;高値!J341,高値!K341&gt;高値!I341,高値!K341&gt;高値!L341,高値!K341&gt;高値!M341),6,""))</f>
      </c>
      <c r="AH341" s="684">
        <f>IF(終値!A341="","",IF(AND(高値!L341&gt;高値!K341,高値!L341&gt;高値!J341,高値!L341&gt;高値!M341,高値!L341&gt;高値!N341),7,""))</f>
      </c>
      <c r="AI341" s="684">
        <f>IF(終値!A341="","",IF(AND(高値!M341&gt;高値!L341,高値!M341&gt;高値!K341,高値!M341&gt;高値!N341,高値!M341&gt;高値!O341),8,""))</f>
      </c>
      <c r="AJ341" s="684">
        <f>IF(終値!A341="","",IF(AND(高値!N341&gt;高値!M341,高値!N341&gt;高値!L341,高値!N341&gt;高値!O341,高値!N341&gt;高値!P341),9,""))</f>
      </c>
      <c r="AK341" s="684">
        <f>IF(終値!A341="","",IF(AND(高値!O341&gt;高値!N341,高値!O341&gt;高値!M341,高値!O341&gt;高値!P341,高値!O341&gt;高値!Q341),10,""))</f>
      </c>
      <c r="AL341" s="684">
        <f>IF(終値!A341="","",IF(AND(高値!P341&gt;高値!O341,高値!P341&gt;高値!N341,高値!P341&gt;高値!Q341,高値!P341&gt;高値!R341),11,""))</f>
      </c>
      <c r="AM341" s="684">
        <f>IF(終値!A341="","",IF(AND(高値!Q341&gt;高値!P341,高値!Q341&gt;高値!O341,高値!Q341&gt;高値!R341,高値!Q341&gt;高値!S341),12,""))</f>
      </c>
      <c r="AN341" s="684">
        <f>IF(終値!A341="","",IF(AND(高値!R341&gt;高値!Q341,高値!R341&gt;高値!P341,高値!R341&gt;高値!S341,高値!R341&gt;高値!T341),13,""))</f>
      </c>
      <c r="AO341" s="684">
        <f>IF(終値!A341="","",IF(AND(高値!S341&gt;高値!R341,高値!S341&gt;高値!Q341,高値!S341&gt;高値!T341,高値!S341&gt;高値!U341),14,""))</f>
      </c>
      <c r="AP341" s="684">
        <f>IF(終値!A341="","",IF(AND(高値!T341&gt;高値!S341,高値!T341&gt;高値!R341,高値!T341&gt;高値!U341,高値!T341&gt;高値!V341),15,""))</f>
      </c>
      <c r="AQ341" s="684">
        <f>IF(終値!A341="","",IF(AND(高値!U341&gt;高値!T341,高値!U341&gt;高値!S341,高値!U341&gt;高値!V341,高値!U341&gt;高値!W341),16,""))</f>
      </c>
      <c r="AR341" s="684">
        <f>IF(終値!A341="","",IF(AND(高値!V341&gt;高値!U341,高値!V341&gt;高値!T341,高値!V341&gt;高値!W341,高値!V341&gt;高値!X341),17,""))</f>
      </c>
      <c r="AS341" s="684">
        <f>IF(終値!A341="","",IF(AND(高値!W341&gt;高値!V341,高値!W341&gt;高値!U341,高値!W341&gt;高値!X341,高値!W341&gt;高値!Y341),18,""))</f>
      </c>
      <c r="AT341" s="684">
        <f>IF(終値!A341="","",IF(AND(高値!X341&gt;高値!W341,高値!X341&gt;高値!V341,高値!X341&gt;高値!Y341,高値!X341&gt;高値!Z341),19,""))</f>
      </c>
      <c r="AU341" s="684">
        <f>IF(終値!A341="","",IF(AND(高値!Y341&gt;高値!X341,高値!Y341&gt;高値!W341,高値!Y341&gt;高値!Z341,高値!Y341&gt;高値!AA341),20,""))</f>
      </c>
      <c r="AV341" s="684">
        <f>IF(終値!A341="","",IF(AND(高値!Z341&gt;高値!Y341,高値!Z341&gt;高値!X341,高値!Z341&gt;高値!AA341,高値!Z341&gt;高値!AB341),21,""))</f>
      </c>
      <c r="AW341" s="684">
        <f>IF(終値!A341="","",IF(AND(高値!AA341&gt;高値!Z341,高値!AA341&gt;高値!Y341,高値!AA341&gt;高値!AB341,高値!AA341&gt;高値!AC341),22,""))</f>
      </c>
      <c r="AX341" s="684">
        <f>IF(終値!A341="","",IF(AND(高値!AB341&gt;高値!AA341,高値!AB341&gt;高値!Z341,高値!AB341&gt;高値!AC341,高値!AB341&gt;高値!AD341),23,""))</f>
      </c>
      <c r="AY341" s="684">
        <f>IF(終値!A341="","",IF(AND(高値!AC341&gt;高値!AB341,高値!AC341&gt;高値!AA341,高値!AC341&gt;高値!AD341,高値!AC341&gt;高値!AE341),24,""))</f>
      </c>
      <c r="AZ341" s="684">
        <f>IF(終値!A341="","",IF(AND(高値!AD341&gt;高値!AC341,高値!AD341&gt;高値!AB341,高値!AD341&gt;高値!AE341,高値!AD341&gt;高値!AF341),25,""))</f>
      </c>
      <c r="BA341" s="684">
        <f>IF(終値!A341="","",IF(AND(高値!AE341&gt;高値!AD341,高値!AE341&gt;高値!AC341,高値!AE341&gt;高値!AF341,高値!AE341&gt;高値!AG341),26,""))</f>
      </c>
      <c r="BB341" s="684">
        <f>IF(終値!A341="","",IF(AND(高値!AF341&gt;高値!AE341,高値!AF341&gt;高値!AD341,高値!AF341&gt;高値!AG341,高値!AF341&gt;高値!AH341),27,""))</f>
      </c>
      <c r="BC341" s="684">
        <f>IF(終値!A341="","",IF(AND(高値!AG341&gt;高値!AF341,高値!AG341&gt;高値!AE341,高値!AG341&gt;高値!AH341,高値!AG341&gt;高値!AI341),28,""))</f>
      </c>
      <c r="BD341" s="684">
        <f>COUNT($B341:$AB341)</f>
      </c>
      <c r="BE341" s="684">
        <f>IF($BD341&gt;=2,MIN($B341:$AB341),"")</f>
      </c>
      <c r="BF341" s="684">
        <f>IF($BD341&gt;=2,SMALL($B341:$AB341,2),"")</f>
      </c>
      <c r="BG341" s="684">
        <f>IF($BE341="","",INDEX(安値!$E341:$CZ341,1,$BE341+1))</f>
      </c>
      <c r="BH341" s="684">
        <f>IF($BF341="","",INDEX(安値!$E341:$CZ341,1,$BF341+1))</f>
      </c>
      <c r="BI341" s="684">
        <f>IF($BF341="","",MAX(INDEX(高値!$E341:$CZ341,1,$BE341+1):INDEX(高値!$E341:$CZ341,1,$BF341+1)))</f>
      </c>
      <c r="BJ341" s="684">
        <f>IF($BF341="","",AVERAGE(INDEX(終値!$E341:$CZ341,1,$BF341+1):INDEX(終値!$E341:$CZ341,1,$BF341+20))-2*STDEVP(INDEX(終値!$E341:$CZ341,1,$BF341+1):INDEX(終値!$E341:$CZ341,1,$BF341+20)))</f>
      </c>
      <c r="BK341" s="684">
        <f>IF($BE341="","",AVERAGE(INDEX(終値!$E341:$CZ341,1,$BE341+1):INDEX(終値!$E341:$CZ341,1,$BE341+20))-2*STDEVP(INDEX(終値!$E341:$CZ341,1,$BE341+1):INDEX(終値!$E341:$CZ341,1,$BE341+20)))</f>
      </c>
      <c r="BL341" s="684">
        <f>COUNT($AC341:$BC341)</f>
      </c>
      <c r="BM341" s="684">
        <f>IF($BL341&gt;=2,MIN($AC341:$BC341),"")</f>
      </c>
      <c r="BN341" s="684">
        <f>IF($BL341&gt;=2,SMALL($AC341:$BC341,2),"")</f>
      </c>
      <c r="BO341" s="684">
        <f>IF($BM341="","",INDEX(高値!$E341:$CZ341,1,$BM341+1))</f>
      </c>
      <c r="BP341" s="684">
        <f>IF($BN341="","",INDEX(高値!$E341:$CZ341,1,$BN341+1))</f>
      </c>
      <c r="BQ341" s="684">
        <f>IF($BN341="","",MIN(INDEX(安値!$E341:$CZ341,1,$BM341+1):INDEX(安値!$E341:$CZ341,1,$BN341+1)))</f>
      </c>
      <c r="BR341" s="684">
        <f>IF($BN341="","",AVERAGE(INDEX(終値!$E341:$CZ341,1,$BN341+1):INDEX(終値!$E341:$CZ341,1,$BN341+20))+2*STDEVP(INDEX(終値!$E341:$CZ341,1,$BN341+1):INDEX(終値!$E341:$CZ341,1,$BN341+20)))</f>
      </c>
      <c r="BS341" s="684">
        <f>IF($BM341="","",AVERAGE(INDEX(終値!$E341:$CZ341,1,$BM341+1):INDEX(終値!$E341:$CZ341,1,$BM341+20))+2*STDEVP(INDEX(終値!$E341:$CZ341,1,$BM341+1):INDEX(終値!$E341:$CZ341,1,$BM341+20)))</f>
      </c>
      <c r="BT341" s="681">
        <f>IFERROR(IF(AND($BD341&gt;=2,ABS($BG341-$BH341)/$BH341&lt;=BB設定!$B$12,$BI341&gt;=MAX($BH341,$BG341)*(1+BB設定!$B$13),終値!E341&gt;$BG341),IF(OR(終値!E341&gt;=$BI341,AND($BH341&lt;$BJ341,$BG341&gt;=$BK341)),"二番底W▲","二番底W形成"),IF(AND($BL341&gt;=2,ABS($BO341-$BP341)/$BP341&lt;=BB設定!$B$12,$BQ341&lt;=MIN($BP341,$BO341)*(1-BB設定!$B$13),終値!E341&lt;$BO341),IF(OR(終値!E341&lt;=$BQ341,AND($BP341&gt;$BR341,$BO341&lt;=$BS341)),"二番天井M▼","二番天井M形成"),"－")),"－")</f>
      </c>
    </row>
    <row r="342">
      <c r="B342" s="684">
        <f>IF(終値!A342="","",IF(AND(安値!G342&lt;安値!F342,安値!G342&lt;安値!E342,安値!G342&lt;安値!H342,安値!G342&lt;安値!I342),2,""))</f>
      </c>
      <c r="C342" s="684">
        <f>IF(終値!A342="","",IF(AND(安値!H342&lt;安値!G342,安値!H342&lt;安値!F342,安値!H342&lt;安値!I342,安値!H342&lt;安値!J342),3,""))</f>
      </c>
      <c r="D342" s="684">
        <f>IF(終値!A342="","",IF(AND(安値!I342&lt;安値!H342,安値!I342&lt;安値!G342,安値!I342&lt;安値!J342,安値!I342&lt;安値!K342),4,""))</f>
      </c>
      <c r="E342" s="684">
        <f>IF(終値!A342="","",IF(AND(安値!J342&lt;安値!I342,安値!J342&lt;安値!H342,安値!J342&lt;安値!K342,安値!J342&lt;安値!L342),5,""))</f>
      </c>
      <c r="F342" s="684">
        <f>IF(終値!A342="","",IF(AND(安値!K342&lt;安値!J342,安値!K342&lt;安値!I342,安値!K342&lt;安値!L342,安値!K342&lt;安値!M342),6,""))</f>
      </c>
      <c r="G342" s="684">
        <f>IF(終値!A342="","",IF(AND(安値!L342&lt;安値!K342,安値!L342&lt;安値!J342,安値!L342&lt;安値!M342,安値!L342&lt;安値!N342),7,""))</f>
      </c>
      <c r="H342" s="684">
        <f>IF(終値!A342="","",IF(AND(安値!M342&lt;安値!L342,安値!M342&lt;安値!K342,安値!M342&lt;安値!N342,安値!M342&lt;安値!O342),8,""))</f>
      </c>
      <c r="I342" s="684">
        <f>IF(終値!A342="","",IF(AND(安値!N342&lt;安値!M342,安値!N342&lt;安値!L342,安値!N342&lt;安値!O342,安値!N342&lt;安値!P342),9,""))</f>
      </c>
      <c r="J342" s="684">
        <f>IF(終値!A342="","",IF(AND(安値!O342&lt;安値!N342,安値!O342&lt;安値!M342,安値!O342&lt;安値!P342,安値!O342&lt;安値!Q342),10,""))</f>
      </c>
      <c r="K342" s="684">
        <f>IF(終値!A342="","",IF(AND(安値!P342&lt;安値!O342,安値!P342&lt;安値!N342,安値!P342&lt;安値!Q342,安値!P342&lt;安値!R342),11,""))</f>
      </c>
      <c r="L342" s="684">
        <f>IF(終値!A342="","",IF(AND(安値!Q342&lt;安値!P342,安値!Q342&lt;安値!O342,安値!Q342&lt;安値!R342,安値!Q342&lt;安値!S342),12,""))</f>
      </c>
      <c r="M342" s="684">
        <f>IF(終値!A342="","",IF(AND(安値!R342&lt;安値!Q342,安値!R342&lt;安値!P342,安値!R342&lt;安値!S342,安値!R342&lt;安値!T342),13,""))</f>
      </c>
      <c r="N342" s="684">
        <f>IF(終値!A342="","",IF(AND(安値!S342&lt;安値!R342,安値!S342&lt;安値!Q342,安値!S342&lt;安値!T342,安値!S342&lt;安値!U342),14,""))</f>
      </c>
      <c r="O342" s="684">
        <f>IF(終値!A342="","",IF(AND(安値!T342&lt;安値!S342,安値!T342&lt;安値!R342,安値!T342&lt;安値!U342,安値!T342&lt;安値!V342),15,""))</f>
      </c>
      <c r="P342" s="684">
        <f>IF(終値!A342="","",IF(AND(安値!U342&lt;安値!T342,安値!U342&lt;安値!S342,安値!U342&lt;安値!V342,安値!U342&lt;安値!W342),16,""))</f>
      </c>
      <c r="Q342" s="684">
        <f>IF(終値!A342="","",IF(AND(安値!V342&lt;安値!U342,安値!V342&lt;安値!T342,安値!V342&lt;安値!W342,安値!V342&lt;安値!X342),17,""))</f>
      </c>
      <c r="R342" s="684">
        <f>IF(終値!A342="","",IF(AND(安値!W342&lt;安値!V342,安値!W342&lt;安値!U342,安値!W342&lt;安値!X342,安値!W342&lt;安値!Y342),18,""))</f>
      </c>
      <c r="S342" s="684">
        <f>IF(終値!A342="","",IF(AND(安値!X342&lt;安値!W342,安値!X342&lt;安値!V342,安値!X342&lt;安値!Y342,安値!X342&lt;安値!Z342),19,""))</f>
      </c>
      <c r="T342" s="684">
        <f>IF(終値!A342="","",IF(AND(安値!Y342&lt;安値!X342,安値!Y342&lt;安値!W342,安値!Y342&lt;安値!Z342,安値!Y342&lt;安値!AA342),20,""))</f>
      </c>
      <c r="U342" s="684">
        <f>IF(終値!A342="","",IF(AND(安値!Z342&lt;安値!Y342,安値!Z342&lt;安値!X342,安値!Z342&lt;安値!AA342,安値!Z342&lt;安値!AB342),21,""))</f>
      </c>
      <c r="V342" s="684">
        <f>IF(終値!A342="","",IF(AND(安値!AA342&lt;安値!Z342,安値!AA342&lt;安値!Y342,安値!AA342&lt;安値!AB342,安値!AA342&lt;安値!AC342),22,""))</f>
      </c>
      <c r="W342" s="684">
        <f>IF(終値!A342="","",IF(AND(安値!AB342&lt;安値!AA342,安値!AB342&lt;安値!Z342,安値!AB342&lt;安値!AC342,安値!AB342&lt;安値!AD342),23,""))</f>
      </c>
      <c r="X342" s="684">
        <f>IF(終値!A342="","",IF(AND(安値!AC342&lt;安値!AB342,安値!AC342&lt;安値!AA342,安値!AC342&lt;安値!AD342,安値!AC342&lt;安値!AE342),24,""))</f>
      </c>
      <c r="Y342" s="684">
        <f>IF(終値!A342="","",IF(AND(安値!AD342&lt;安値!AC342,安値!AD342&lt;安値!AB342,安値!AD342&lt;安値!AE342,安値!AD342&lt;安値!AF342),25,""))</f>
      </c>
      <c r="Z342" s="684">
        <f>IF(終値!A342="","",IF(AND(安値!AE342&lt;安値!AD342,安値!AE342&lt;安値!AC342,安値!AE342&lt;安値!AF342,安値!AE342&lt;安値!AG342),26,""))</f>
      </c>
      <c r="AA342" s="684">
        <f>IF(終値!A342="","",IF(AND(安値!AF342&lt;安値!AE342,安値!AF342&lt;安値!AD342,安値!AF342&lt;安値!AG342,安値!AF342&lt;安値!AH342),27,""))</f>
      </c>
      <c r="AB342" s="684">
        <f>IF(終値!A342="","",IF(AND(安値!AG342&lt;安値!AF342,安値!AG342&lt;安値!AE342,安値!AG342&lt;安値!AH342,安値!AG342&lt;安値!AI342),28,""))</f>
      </c>
      <c r="AC342" s="684">
        <f>IF(終値!A342="","",IF(AND(高値!G342&gt;高値!F342,高値!G342&gt;高値!E342,高値!G342&gt;高値!H342,高値!G342&gt;高値!I342),2,""))</f>
      </c>
      <c r="AD342" s="684">
        <f>IF(終値!A342="","",IF(AND(高値!H342&gt;高値!G342,高値!H342&gt;高値!F342,高値!H342&gt;高値!I342,高値!H342&gt;高値!J342),3,""))</f>
      </c>
      <c r="AE342" s="684">
        <f>IF(終値!A342="","",IF(AND(高値!I342&gt;高値!H342,高値!I342&gt;高値!G342,高値!I342&gt;高値!J342,高値!I342&gt;高値!K342),4,""))</f>
      </c>
      <c r="AF342" s="684">
        <f>IF(終値!A342="","",IF(AND(高値!J342&gt;高値!I342,高値!J342&gt;高値!H342,高値!J342&gt;高値!K342,高値!J342&gt;高値!L342),5,""))</f>
      </c>
      <c r="AG342" s="684">
        <f>IF(終値!A342="","",IF(AND(高値!K342&gt;高値!J342,高値!K342&gt;高値!I342,高値!K342&gt;高値!L342,高値!K342&gt;高値!M342),6,""))</f>
      </c>
      <c r="AH342" s="684">
        <f>IF(終値!A342="","",IF(AND(高値!L342&gt;高値!K342,高値!L342&gt;高値!J342,高値!L342&gt;高値!M342,高値!L342&gt;高値!N342),7,""))</f>
      </c>
      <c r="AI342" s="684">
        <f>IF(終値!A342="","",IF(AND(高値!M342&gt;高値!L342,高値!M342&gt;高値!K342,高値!M342&gt;高値!N342,高値!M342&gt;高値!O342),8,""))</f>
      </c>
      <c r="AJ342" s="684">
        <f>IF(終値!A342="","",IF(AND(高値!N342&gt;高値!M342,高値!N342&gt;高値!L342,高値!N342&gt;高値!O342,高値!N342&gt;高値!P342),9,""))</f>
      </c>
      <c r="AK342" s="684">
        <f>IF(終値!A342="","",IF(AND(高値!O342&gt;高値!N342,高値!O342&gt;高値!M342,高値!O342&gt;高値!P342,高値!O342&gt;高値!Q342),10,""))</f>
      </c>
      <c r="AL342" s="684">
        <f>IF(終値!A342="","",IF(AND(高値!P342&gt;高値!O342,高値!P342&gt;高値!N342,高値!P342&gt;高値!Q342,高値!P342&gt;高値!R342),11,""))</f>
      </c>
      <c r="AM342" s="684">
        <f>IF(終値!A342="","",IF(AND(高値!Q342&gt;高値!P342,高値!Q342&gt;高値!O342,高値!Q342&gt;高値!R342,高値!Q342&gt;高値!S342),12,""))</f>
      </c>
      <c r="AN342" s="684">
        <f>IF(終値!A342="","",IF(AND(高値!R342&gt;高値!Q342,高値!R342&gt;高値!P342,高値!R342&gt;高値!S342,高値!R342&gt;高値!T342),13,""))</f>
      </c>
      <c r="AO342" s="684">
        <f>IF(終値!A342="","",IF(AND(高値!S342&gt;高値!R342,高値!S342&gt;高値!Q342,高値!S342&gt;高値!T342,高値!S342&gt;高値!U342),14,""))</f>
      </c>
      <c r="AP342" s="684">
        <f>IF(終値!A342="","",IF(AND(高値!T342&gt;高値!S342,高値!T342&gt;高値!R342,高値!T342&gt;高値!U342,高値!T342&gt;高値!V342),15,""))</f>
      </c>
      <c r="AQ342" s="684">
        <f>IF(終値!A342="","",IF(AND(高値!U342&gt;高値!T342,高値!U342&gt;高値!S342,高値!U342&gt;高値!V342,高値!U342&gt;高値!W342),16,""))</f>
      </c>
      <c r="AR342" s="684">
        <f>IF(終値!A342="","",IF(AND(高値!V342&gt;高値!U342,高値!V342&gt;高値!T342,高値!V342&gt;高値!W342,高値!V342&gt;高値!X342),17,""))</f>
      </c>
      <c r="AS342" s="684">
        <f>IF(終値!A342="","",IF(AND(高値!W342&gt;高値!V342,高値!W342&gt;高値!U342,高値!W342&gt;高値!X342,高値!W342&gt;高値!Y342),18,""))</f>
      </c>
      <c r="AT342" s="684">
        <f>IF(終値!A342="","",IF(AND(高値!X342&gt;高値!W342,高値!X342&gt;高値!V342,高値!X342&gt;高値!Y342,高値!X342&gt;高値!Z342),19,""))</f>
      </c>
      <c r="AU342" s="684">
        <f>IF(終値!A342="","",IF(AND(高値!Y342&gt;高値!X342,高値!Y342&gt;高値!W342,高値!Y342&gt;高値!Z342,高値!Y342&gt;高値!AA342),20,""))</f>
      </c>
      <c r="AV342" s="684">
        <f>IF(終値!A342="","",IF(AND(高値!Z342&gt;高値!Y342,高値!Z342&gt;高値!X342,高値!Z342&gt;高値!AA342,高値!Z342&gt;高値!AB342),21,""))</f>
      </c>
      <c r="AW342" s="684">
        <f>IF(終値!A342="","",IF(AND(高値!AA342&gt;高値!Z342,高値!AA342&gt;高値!Y342,高値!AA342&gt;高値!AB342,高値!AA342&gt;高値!AC342),22,""))</f>
      </c>
      <c r="AX342" s="684">
        <f>IF(終値!A342="","",IF(AND(高値!AB342&gt;高値!AA342,高値!AB342&gt;高値!Z342,高値!AB342&gt;高値!AC342,高値!AB342&gt;高値!AD342),23,""))</f>
      </c>
      <c r="AY342" s="684">
        <f>IF(終値!A342="","",IF(AND(高値!AC342&gt;高値!AB342,高値!AC342&gt;高値!AA342,高値!AC342&gt;高値!AD342,高値!AC342&gt;高値!AE342),24,""))</f>
      </c>
      <c r="AZ342" s="684">
        <f>IF(終値!A342="","",IF(AND(高値!AD342&gt;高値!AC342,高値!AD342&gt;高値!AB342,高値!AD342&gt;高値!AE342,高値!AD342&gt;高値!AF342),25,""))</f>
      </c>
      <c r="BA342" s="684">
        <f>IF(終値!A342="","",IF(AND(高値!AE342&gt;高値!AD342,高値!AE342&gt;高値!AC342,高値!AE342&gt;高値!AF342,高値!AE342&gt;高値!AG342),26,""))</f>
      </c>
      <c r="BB342" s="684">
        <f>IF(終値!A342="","",IF(AND(高値!AF342&gt;高値!AE342,高値!AF342&gt;高値!AD342,高値!AF342&gt;高値!AG342,高値!AF342&gt;高値!AH342),27,""))</f>
      </c>
      <c r="BC342" s="684">
        <f>IF(終値!A342="","",IF(AND(高値!AG342&gt;高値!AF342,高値!AG342&gt;高値!AE342,高値!AG342&gt;高値!AH342,高値!AG342&gt;高値!AI342),28,""))</f>
      </c>
      <c r="BD342" s="684">
        <f>COUNT($B342:$AB342)</f>
      </c>
      <c r="BE342" s="684">
        <f>IF($BD342&gt;=2,MIN($B342:$AB342),"")</f>
      </c>
      <c r="BF342" s="684">
        <f>IF($BD342&gt;=2,SMALL($B342:$AB342,2),"")</f>
      </c>
      <c r="BG342" s="684">
        <f>IF($BE342="","",INDEX(安値!$E342:$CZ342,1,$BE342+1))</f>
      </c>
      <c r="BH342" s="684">
        <f>IF($BF342="","",INDEX(安値!$E342:$CZ342,1,$BF342+1))</f>
      </c>
      <c r="BI342" s="684">
        <f>IF($BF342="","",MAX(INDEX(高値!$E342:$CZ342,1,$BE342+1):INDEX(高値!$E342:$CZ342,1,$BF342+1)))</f>
      </c>
      <c r="BJ342" s="684">
        <f>IF($BF342="","",AVERAGE(INDEX(終値!$E342:$CZ342,1,$BF342+1):INDEX(終値!$E342:$CZ342,1,$BF342+20))-2*STDEVP(INDEX(終値!$E342:$CZ342,1,$BF342+1):INDEX(終値!$E342:$CZ342,1,$BF342+20)))</f>
      </c>
      <c r="BK342" s="684">
        <f>IF($BE342="","",AVERAGE(INDEX(終値!$E342:$CZ342,1,$BE342+1):INDEX(終値!$E342:$CZ342,1,$BE342+20))-2*STDEVP(INDEX(終値!$E342:$CZ342,1,$BE342+1):INDEX(終値!$E342:$CZ342,1,$BE342+20)))</f>
      </c>
      <c r="BL342" s="684">
        <f>COUNT($AC342:$BC342)</f>
      </c>
      <c r="BM342" s="684">
        <f>IF($BL342&gt;=2,MIN($AC342:$BC342),"")</f>
      </c>
      <c r="BN342" s="684">
        <f>IF($BL342&gt;=2,SMALL($AC342:$BC342,2),"")</f>
      </c>
      <c r="BO342" s="684">
        <f>IF($BM342="","",INDEX(高値!$E342:$CZ342,1,$BM342+1))</f>
      </c>
      <c r="BP342" s="684">
        <f>IF($BN342="","",INDEX(高値!$E342:$CZ342,1,$BN342+1))</f>
      </c>
      <c r="BQ342" s="684">
        <f>IF($BN342="","",MIN(INDEX(安値!$E342:$CZ342,1,$BM342+1):INDEX(安値!$E342:$CZ342,1,$BN342+1)))</f>
      </c>
      <c r="BR342" s="684">
        <f>IF($BN342="","",AVERAGE(INDEX(終値!$E342:$CZ342,1,$BN342+1):INDEX(終値!$E342:$CZ342,1,$BN342+20))+2*STDEVP(INDEX(終値!$E342:$CZ342,1,$BN342+1):INDEX(終値!$E342:$CZ342,1,$BN342+20)))</f>
      </c>
      <c r="BS342" s="684">
        <f>IF($BM342="","",AVERAGE(INDEX(終値!$E342:$CZ342,1,$BM342+1):INDEX(終値!$E342:$CZ342,1,$BM342+20))+2*STDEVP(INDEX(終値!$E342:$CZ342,1,$BM342+1):INDEX(終値!$E342:$CZ342,1,$BM342+20)))</f>
      </c>
      <c r="BT342" s="681">
        <f>IFERROR(IF(AND($BD342&gt;=2,ABS($BG342-$BH342)/$BH342&lt;=BB設定!$B$12,$BI342&gt;=MAX($BH342,$BG342)*(1+BB設定!$B$13),終値!E342&gt;$BG342),IF(OR(終値!E342&gt;=$BI342,AND($BH342&lt;$BJ342,$BG342&gt;=$BK342)),"二番底W▲","二番底W形成"),IF(AND($BL342&gt;=2,ABS($BO342-$BP342)/$BP342&lt;=BB設定!$B$12,$BQ342&lt;=MIN($BP342,$BO342)*(1-BB設定!$B$13),終値!E342&lt;$BO342),IF(OR(終値!E342&lt;=$BQ342,AND($BP342&gt;$BR342,$BO342&lt;=$BS342)),"二番天井M▼","二番天井M形成"),"－")),"－")</f>
      </c>
    </row>
    <row r="343">
      <c r="B343" s="684">
        <f>IF(終値!A343="","",IF(AND(安値!G343&lt;安値!F343,安値!G343&lt;安値!E343,安値!G343&lt;安値!H343,安値!G343&lt;安値!I343),2,""))</f>
      </c>
      <c r="C343" s="684">
        <f>IF(終値!A343="","",IF(AND(安値!H343&lt;安値!G343,安値!H343&lt;安値!F343,安値!H343&lt;安値!I343,安値!H343&lt;安値!J343),3,""))</f>
      </c>
      <c r="D343" s="684">
        <f>IF(終値!A343="","",IF(AND(安値!I343&lt;安値!H343,安値!I343&lt;安値!G343,安値!I343&lt;安値!J343,安値!I343&lt;安値!K343),4,""))</f>
      </c>
      <c r="E343" s="684">
        <f>IF(終値!A343="","",IF(AND(安値!J343&lt;安値!I343,安値!J343&lt;安値!H343,安値!J343&lt;安値!K343,安値!J343&lt;安値!L343),5,""))</f>
      </c>
      <c r="F343" s="684">
        <f>IF(終値!A343="","",IF(AND(安値!K343&lt;安値!J343,安値!K343&lt;安値!I343,安値!K343&lt;安値!L343,安値!K343&lt;安値!M343),6,""))</f>
      </c>
      <c r="G343" s="684">
        <f>IF(終値!A343="","",IF(AND(安値!L343&lt;安値!K343,安値!L343&lt;安値!J343,安値!L343&lt;安値!M343,安値!L343&lt;安値!N343),7,""))</f>
      </c>
      <c r="H343" s="684">
        <f>IF(終値!A343="","",IF(AND(安値!M343&lt;安値!L343,安値!M343&lt;安値!K343,安値!M343&lt;安値!N343,安値!M343&lt;安値!O343),8,""))</f>
      </c>
      <c r="I343" s="684">
        <f>IF(終値!A343="","",IF(AND(安値!N343&lt;安値!M343,安値!N343&lt;安値!L343,安値!N343&lt;安値!O343,安値!N343&lt;安値!P343),9,""))</f>
      </c>
      <c r="J343" s="684">
        <f>IF(終値!A343="","",IF(AND(安値!O343&lt;安値!N343,安値!O343&lt;安値!M343,安値!O343&lt;安値!P343,安値!O343&lt;安値!Q343),10,""))</f>
      </c>
      <c r="K343" s="684">
        <f>IF(終値!A343="","",IF(AND(安値!P343&lt;安値!O343,安値!P343&lt;安値!N343,安値!P343&lt;安値!Q343,安値!P343&lt;安値!R343),11,""))</f>
      </c>
      <c r="L343" s="684">
        <f>IF(終値!A343="","",IF(AND(安値!Q343&lt;安値!P343,安値!Q343&lt;安値!O343,安値!Q343&lt;安値!R343,安値!Q343&lt;安値!S343),12,""))</f>
      </c>
      <c r="M343" s="684">
        <f>IF(終値!A343="","",IF(AND(安値!R343&lt;安値!Q343,安値!R343&lt;安値!P343,安値!R343&lt;安値!S343,安値!R343&lt;安値!T343),13,""))</f>
      </c>
      <c r="N343" s="684">
        <f>IF(終値!A343="","",IF(AND(安値!S343&lt;安値!R343,安値!S343&lt;安値!Q343,安値!S343&lt;安値!T343,安値!S343&lt;安値!U343),14,""))</f>
      </c>
      <c r="O343" s="684">
        <f>IF(終値!A343="","",IF(AND(安値!T343&lt;安値!S343,安値!T343&lt;安値!R343,安値!T343&lt;安値!U343,安値!T343&lt;安値!V343),15,""))</f>
      </c>
      <c r="P343" s="684">
        <f>IF(終値!A343="","",IF(AND(安値!U343&lt;安値!T343,安値!U343&lt;安値!S343,安値!U343&lt;安値!V343,安値!U343&lt;安値!W343),16,""))</f>
      </c>
      <c r="Q343" s="684">
        <f>IF(終値!A343="","",IF(AND(安値!V343&lt;安値!U343,安値!V343&lt;安値!T343,安値!V343&lt;安値!W343,安値!V343&lt;安値!X343),17,""))</f>
      </c>
      <c r="R343" s="684">
        <f>IF(終値!A343="","",IF(AND(安値!W343&lt;安値!V343,安値!W343&lt;安値!U343,安値!W343&lt;安値!X343,安値!W343&lt;安値!Y343),18,""))</f>
      </c>
      <c r="S343" s="684">
        <f>IF(終値!A343="","",IF(AND(安値!X343&lt;安値!W343,安値!X343&lt;安値!V343,安値!X343&lt;安値!Y343,安値!X343&lt;安値!Z343),19,""))</f>
      </c>
      <c r="T343" s="684">
        <f>IF(終値!A343="","",IF(AND(安値!Y343&lt;安値!X343,安値!Y343&lt;安値!W343,安値!Y343&lt;安値!Z343,安値!Y343&lt;安値!AA343),20,""))</f>
      </c>
      <c r="U343" s="684">
        <f>IF(終値!A343="","",IF(AND(安値!Z343&lt;安値!Y343,安値!Z343&lt;安値!X343,安値!Z343&lt;安値!AA343,安値!Z343&lt;安値!AB343),21,""))</f>
      </c>
      <c r="V343" s="684">
        <f>IF(終値!A343="","",IF(AND(安値!AA343&lt;安値!Z343,安値!AA343&lt;安値!Y343,安値!AA343&lt;安値!AB343,安値!AA343&lt;安値!AC343),22,""))</f>
      </c>
      <c r="W343" s="684">
        <f>IF(終値!A343="","",IF(AND(安値!AB343&lt;安値!AA343,安値!AB343&lt;安値!Z343,安値!AB343&lt;安値!AC343,安値!AB343&lt;安値!AD343),23,""))</f>
      </c>
      <c r="X343" s="684">
        <f>IF(終値!A343="","",IF(AND(安値!AC343&lt;安値!AB343,安値!AC343&lt;安値!AA343,安値!AC343&lt;安値!AD343,安値!AC343&lt;安値!AE343),24,""))</f>
      </c>
      <c r="Y343" s="684">
        <f>IF(終値!A343="","",IF(AND(安値!AD343&lt;安値!AC343,安値!AD343&lt;安値!AB343,安値!AD343&lt;安値!AE343,安値!AD343&lt;安値!AF343),25,""))</f>
      </c>
      <c r="Z343" s="684">
        <f>IF(終値!A343="","",IF(AND(安値!AE343&lt;安値!AD343,安値!AE343&lt;安値!AC343,安値!AE343&lt;安値!AF343,安値!AE343&lt;安値!AG343),26,""))</f>
      </c>
      <c r="AA343" s="684">
        <f>IF(終値!A343="","",IF(AND(安値!AF343&lt;安値!AE343,安値!AF343&lt;安値!AD343,安値!AF343&lt;安値!AG343,安値!AF343&lt;安値!AH343),27,""))</f>
      </c>
      <c r="AB343" s="684">
        <f>IF(終値!A343="","",IF(AND(安値!AG343&lt;安値!AF343,安値!AG343&lt;安値!AE343,安値!AG343&lt;安値!AH343,安値!AG343&lt;安値!AI343),28,""))</f>
      </c>
      <c r="AC343" s="684">
        <f>IF(終値!A343="","",IF(AND(高値!G343&gt;高値!F343,高値!G343&gt;高値!E343,高値!G343&gt;高値!H343,高値!G343&gt;高値!I343),2,""))</f>
      </c>
      <c r="AD343" s="684">
        <f>IF(終値!A343="","",IF(AND(高値!H343&gt;高値!G343,高値!H343&gt;高値!F343,高値!H343&gt;高値!I343,高値!H343&gt;高値!J343),3,""))</f>
      </c>
      <c r="AE343" s="684">
        <f>IF(終値!A343="","",IF(AND(高値!I343&gt;高値!H343,高値!I343&gt;高値!G343,高値!I343&gt;高値!J343,高値!I343&gt;高値!K343),4,""))</f>
      </c>
      <c r="AF343" s="684">
        <f>IF(終値!A343="","",IF(AND(高値!J343&gt;高値!I343,高値!J343&gt;高値!H343,高値!J343&gt;高値!K343,高値!J343&gt;高値!L343),5,""))</f>
      </c>
      <c r="AG343" s="684">
        <f>IF(終値!A343="","",IF(AND(高値!K343&gt;高値!J343,高値!K343&gt;高値!I343,高値!K343&gt;高値!L343,高値!K343&gt;高値!M343),6,""))</f>
      </c>
      <c r="AH343" s="684">
        <f>IF(終値!A343="","",IF(AND(高値!L343&gt;高値!K343,高値!L343&gt;高値!J343,高値!L343&gt;高値!M343,高値!L343&gt;高値!N343),7,""))</f>
      </c>
      <c r="AI343" s="684">
        <f>IF(終値!A343="","",IF(AND(高値!M343&gt;高値!L343,高値!M343&gt;高値!K343,高値!M343&gt;高値!N343,高値!M343&gt;高値!O343),8,""))</f>
      </c>
      <c r="AJ343" s="684">
        <f>IF(終値!A343="","",IF(AND(高値!N343&gt;高値!M343,高値!N343&gt;高値!L343,高値!N343&gt;高値!O343,高値!N343&gt;高値!P343),9,""))</f>
      </c>
      <c r="AK343" s="684">
        <f>IF(終値!A343="","",IF(AND(高値!O343&gt;高値!N343,高値!O343&gt;高値!M343,高値!O343&gt;高値!P343,高値!O343&gt;高値!Q343),10,""))</f>
      </c>
      <c r="AL343" s="684">
        <f>IF(終値!A343="","",IF(AND(高値!P343&gt;高値!O343,高値!P343&gt;高値!N343,高値!P343&gt;高値!Q343,高値!P343&gt;高値!R343),11,""))</f>
      </c>
      <c r="AM343" s="684">
        <f>IF(終値!A343="","",IF(AND(高値!Q343&gt;高値!P343,高値!Q343&gt;高値!O343,高値!Q343&gt;高値!R343,高値!Q343&gt;高値!S343),12,""))</f>
      </c>
      <c r="AN343" s="684">
        <f>IF(終値!A343="","",IF(AND(高値!R343&gt;高値!Q343,高値!R343&gt;高値!P343,高値!R343&gt;高値!S343,高値!R343&gt;高値!T343),13,""))</f>
      </c>
      <c r="AO343" s="684">
        <f>IF(終値!A343="","",IF(AND(高値!S343&gt;高値!R343,高値!S343&gt;高値!Q343,高値!S343&gt;高値!T343,高値!S343&gt;高値!U343),14,""))</f>
      </c>
      <c r="AP343" s="684">
        <f>IF(終値!A343="","",IF(AND(高値!T343&gt;高値!S343,高値!T343&gt;高値!R343,高値!T343&gt;高値!U343,高値!T343&gt;高値!V343),15,""))</f>
      </c>
      <c r="AQ343" s="684">
        <f>IF(終値!A343="","",IF(AND(高値!U343&gt;高値!T343,高値!U343&gt;高値!S343,高値!U343&gt;高値!V343,高値!U343&gt;高値!W343),16,""))</f>
      </c>
      <c r="AR343" s="684">
        <f>IF(終値!A343="","",IF(AND(高値!V343&gt;高値!U343,高値!V343&gt;高値!T343,高値!V343&gt;高値!W343,高値!V343&gt;高値!X343),17,""))</f>
      </c>
      <c r="AS343" s="684">
        <f>IF(終値!A343="","",IF(AND(高値!W343&gt;高値!V343,高値!W343&gt;高値!U343,高値!W343&gt;高値!X343,高値!W343&gt;高値!Y343),18,""))</f>
      </c>
      <c r="AT343" s="684">
        <f>IF(終値!A343="","",IF(AND(高値!X343&gt;高値!W343,高値!X343&gt;高値!V343,高値!X343&gt;高値!Y343,高値!X343&gt;高値!Z343),19,""))</f>
      </c>
      <c r="AU343" s="684">
        <f>IF(終値!A343="","",IF(AND(高値!Y343&gt;高値!X343,高値!Y343&gt;高値!W343,高値!Y343&gt;高値!Z343,高値!Y343&gt;高値!AA343),20,""))</f>
      </c>
      <c r="AV343" s="684">
        <f>IF(終値!A343="","",IF(AND(高値!Z343&gt;高値!Y343,高値!Z343&gt;高値!X343,高値!Z343&gt;高値!AA343,高値!Z343&gt;高値!AB343),21,""))</f>
      </c>
      <c r="AW343" s="684">
        <f>IF(終値!A343="","",IF(AND(高値!AA343&gt;高値!Z343,高値!AA343&gt;高値!Y343,高値!AA343&gt;高値!AB343,高値!AA343&gt;高値!AC343),22,""))</f>
      </c>
      <c r="AX343" s="684">
        <f>IF(終値!A343="","",IF(AND(高値!AB343&gt;高値!AA343,高値!AB343&gt;高値!Z343,高値!AB343&gt;高値!AC343,高値!AB343&gt;高値!AD343),23,""))</f>
      </c>
      <c r="AY343" s="684">
        <f>IF(終値!A343="","",IF(AND(高値!AC343&gt;高値!AB343,高値!AC343&gt;高値!AA343,高値!AC343&gt;高値!AD343,高値!AC343&gt;高値!AE343),24,""))</f>
      </c>
      <c r="AZ343" s="684">
        <f>IF(終値!A343="","",IF(AND(高値!AD343&gt;高値!AC343,高値!AD343&gt;高値!AB343,高値!AD343&gt;高値!AE343,高値!AD343&gt;高値!AF343),25,""))</f>
      </c>
      <c r="BA343" s="684">
        <f>IF(終値!A343="","",IF(AND(高値!AE343&gt;高値!AD343,高値!AE343&gt;高値!AC343,高値!AE343&gt;高値!AF343,高値!AE343&gt;高値!AG343),26,""))</f>
      </c>
      <c r="BB343" s="684">
        <f>IF(終値!A343="","",IF(AND(高値!AF343&gt;高値!AE343,高値!AF343&gt;高値!AD343,高値!AF343&gt;高値!AG343,高値!AF343&gt;高値!AH343),27,""))</f>
      </c>
      <c r="BC343" s="684">
        <f>IF(終値!A343="","",IF(AND(高値!AG343&gt;高値!AF343,高値!AG343&gt;高値!AE343,高値!AG343&gt;高値!AH343,高値!AG343&gt;高値!AI343),28,""))</f>
      </c>
      <c r="BD343" s="684">
        <f>COUNT($B343:$AB343)</f>
      </c>
      <c r="BE343" s="684">
        <f>IF($BD343&gt;=2,MIN($B343:$AB343),"")</f>
      </c>
      <c r="BF343" s="684">
        <f>IF($BD343&gt;=2,SMALL($B343:$AB343,2),"")</f>
      </c>
      <c r="BG343" s="684">
        <f>IF($BE343="","",INDEX(安値!$E343:$CZ343,1,$BE343+1))</f>
      </c>
      <c r="BH343" s="684">
        <f>IF($BF343="","",INDEX(安値!$E343:$CZ343,1,$BF343+1))</f>
      </c>
      <c r="BI343" s="684">
        <f>IF($BF343="","",MAX(INDEX(高値!$E343:$CZ343,1,$BE343+1):INDEX(高値!$E343:$CZ343,1,$BF343+1)))</f>
      </c>
      <c r="BJ343" s="684">
        <f>IF($BF343="","",AVERAGE(INDEX(終値!$E343:$CZ343,1,$BF343+1):INDEX(終値!$E343:$CZ343,1,$BF343+20))-2*STDEVP(INDEX(終値!$E343:$CZ343,1,$BF343+1):INDEX(終値!$E343:$CZ343,1,$BF343+20)))</f>
      </c>
      <c r="BK343" s="684">
        <f>IF($BE343="","",AVERAGE(INDEX(終値!$E343:$CZ343,1,$BE343+1):INDEX(終値!$E343:$CZ343,1,$BE343+20))-2*STDEVP(INDEX(終値!$E343:$CZ343,1,$BE343+1):INDEX(終値!$E343:$CZ343,1,$BE343+20)))</f>
      </c>
      <c r="BL343" s="684">
        <f>COUNT($AC343:$BC343)</f>
      </c>
      <c r="BM343" s="684">
        <f>IF($BL343&gt;=2,MIN($AC343:$BC343),"")</f>
      </c>
      <c r="BN343" s="684">
        <f>IF($BL343&gt;=2,SMALL($AC343:$BC343,2),"")</f>
      </c>
      <c r="BO343" s="684">
        <f>IF($BM343="","",INDEX(高値!$E343:$CZ343,1,$BM343+1))</f>
      </c>
      <c r="BP343" s="684">
        <f>IF($BN343="","",INDEX(高値!$E343:$CZ343,1,$BN343+1))</f>
      </c>
      <c r="BQ343" s="684">
        <f>IF($BN343="","",MIN(INDEX(安値!$E343:$CZ343,1,$BM343+1):INDEX(安値!$E343:$CZ343,1,$BN343+1)))</f>
      </c>
      <c r="BR343" s="684">
        <f>IF($BN343="","",AVERAGE(INDEX(終値!$E343:$CZ343,1,$BN343+1):INDEX(終値!$E343:$CZ343,1,$BN343+20))+2*STDEVP(INDEX(終値!$E343:$CZ343,1,$BN343+1):INDEX(終値!$E343:$CZ343,1,$BN343+20)))</f>
      </c>
      <c r="BS343" s="684">
        <f>IF($BM343="","",AVERAGE(INDEX(終値!$E343:$CZ343,1,$BM343+1):INDEX(終値!$E343:$CZ343,1,$BM343+20))+2*STDEVP(INDEX(終値!$E343:$CZ343,1,$BM343+1):INDEX(終値!$E343:$CZ343,1,$BM343+20)))</f>
      </c>
      <c r="BT343" s="681">
        <f>IFERROR(IF(AND($BD343&gt;=2,ABS($BG343-$BH343)/$BH343&lt;=BB設定!$B$12,$BI343&gt;=MAX($BH343,$BG343)*(1+BB設定!$B$13),終値!E343&gt;$BG343),IF(OR(終値!E343&gt;=$BI343,AND($BH343&lt;$BJ343,$BG343&gt;=$BK343)),"二番底W▲","二番底W形成"),IF(AND($BL343&gt;=2,ABS($BO343-$BP343)/$BP343&lt;=BB設定!$B$12,$BQ343&lt;=MIN($BP343,$BO343)*(1-BB設定!$B$13),終値!E343&lt;$BO343),IF(OR(終値!E343&lt;=$BQ343,AND($BP343&gt;$BR343,$BO343&lt;=$BS343)),"二番天井M▼","二番天井M形成"),"－")),"－")</f>
      </c>
    </row>
    <row r="344">
      <c r="B344" s="684">
        <f>IF(終値!A344="","",IF(AND(安値!G344&lt;安値!F344,安値!G344&lt;安値!E344,安値!G344&lt;安値!H344,安値!G344&lt;安値!I344),2,""))</f>
      </c>
      <c r="C344" s="684">
        <f>IF(終値!A344="","",IF(AND(安値!H344&lt;安値!G344,安値!H344&lt;安値!F344,安値!H344&lt;安値!I344,安値!H344&lt;安値!J344),3,""))</f>
      </c>
      <c r="D344" s="684">
        <f>IF(終値!A344="","",IF(AND(安値!I344&lt;安値!H344,安値!I344&lt;安値!G344,安値!I344&lt;安値!J344,安値!I344&lt;安値!K344),4,""))</f>
      </c>
      <c r="E344" s="684">
        <f>IF(終値!A344="","",IF(AND(安値!J344&lt;安値!I344,安値!J344&lt;安値!H344,安値!J344&lt;安値!K344,安値!J344&lt;安値!L344),5,""))</f>
      </c>
      <c r="F344" s="684">
        <f>IF(終値!A344="","",IF(AND(安値!K344&lt;安値!J344,安値!K344&lt;安値!I344,安値!K344&lt;安値!L344,安値!K344&lt;安値!M344),6,""))</f>
      </c>
      <c r="G344" s="684">
        <f>IF(終値!A344="","",IF(AND(安値!L344&lt;安値!K344,安値!L344&lt;安値!J344,安値!L344&lt;安値!M344,安値!L344&lt;安値!N344),7,""))</f>
      </c>
      <c r="H344" s="684">
        <f>IF(終値!A344="","",IF(AND(安値!M344&lt;安値!L344,安値!M344&lt;安値!K344,安値!M344&lt;安値!N344,安値!M344&lt;安値!O344),8,""))</f>
      </c>
      <c r="I344" s="684">
        <f>IF(終値!A344="","",IF(AND(安値!N344&lt;安値!M344,安値!N344&lt;安値!L344,安値!N344&lt;安値!O344,安値!N344&lt;安値!P344),9,""))</f>
      </c>
      <c r="J344" s="684">
        <f>IF(終値!A344="","",IF(AND(安値!O344&lt;安値!N344,安値!O344&lt;安値!M344,安値!O344&lt;安値!P344,安値!O344&lt;安値!Q344),10,""))</f>
      </c>
      <c r="K344" s="684">
        <f>IF(終値!A344="","",IF(AND(安値!P344&lt;安値!O344,安値!P344&lt;安値!N344,安値!P344&lt;安値!Q344,安値!P344&lt;安値!R344),11,""))</f>
      </c>
      <c r="L344" s="684">
        <f>IF(終値!A344="","",IF(AND(安値!Q344&lt;安値!P344,安値!Q344&lt;安値!O344,安値!Q344&lt;安値!R344,安値!Q344&lt;安値!S344),12,""))</f>
      </c>
      <c r="M344" s="684">
        <f>IF(終値!A344="","",IF(AND(安値!R344&lt;安値!Q344,安値!R344&lt;安値!P344,安値!R344&lt;安値!S344,安値!R344&lt;安値!T344),13,""))</f>
      </c>
      <c r="N344" s="684">
        <f>IF(終値!A344="","",IF(AND(安値!S344&lt;安値!R344,安値!S344&lt;安値!Q344,安値!S344&lt;安値!T344,安値!S344&lt;安値!U344),14,""))</f>
      </c>
      <c r="O344" s="684">
        <f>IF(終値!A344="","",IF(AND(安値!T344&lt;安値!S344,安値!T344&lt;安値!R344,安値!T344&lt;安値!U344,安値!T344&lt;安値!V344),15,""))</f>
      </c>
      <c r="P344" s="684">
        <f>IF(終値!A344="","",IF(AND(安値!U344&lt;安値!T344,安値!U344&lt;安値!S344,安値!U344&lt;安値!V344,安値!U344&lt;安値!W344),16,""))</f>
      </c>
      <c r="Q344" s="684">
        <f>IF(終値!A344="","",IF(AND(安値!V344&lt;安値!U344,安値!V344&lt;安値!T344,安値!V344&lt;安値!W344,安値!V344&lt;安値!X344),17,""))</f>
      </c>
      <c r="R344" s="684">
        <f>IF(終値!A344="","",IF(AND(安値!W344&lt;安値!V344,安値!W344&lt;安値!U344,安値!W344&lt;安値!X344,安値!W344&lt;安値!Y344),18,""))</f>
      </c>
      <c r="S344" s="684">
        <f>IF(終値!A344="","",IF(AND(安値!X344&lt;安値!W344,安値!X344&lt;安値!V344,安値!X344&lt;安値!Y344,安値!X344&lt;安値!Z344),19,""))</f>
      </c>
      <c r="T344" s="684">
        <f>IF(終値!A344="","",IF(AND(安値!Y344&lt;安値!X344,安値!Y344&lt;安値!W344,安値!Y344&lt;安値!Z344,安値!Y344&lt;安値!AA344),20,""))</f>
      </c>
      <c r="U344" s="684">
        <f>IF(終値!A344="","",IF(AND(安値!Z344&lt;安値!Y344,安値!Z344&lt;安値!X344,安値!Z344&lt;安値!AA344,安値!Z344&lt;安値!AB344),21,""))</f>
      </c>
      <c r="V344" s="684">
        <f>IF(終値!A344="","",IF(AND(安値!AA344&lt;安値!Z344,安値!AA344&lt;安値!Y344,安値!AA344&lt;安値!AB344,安値!AA344&lt;安値!AC344),22,""))</f>
      </c>
      <c r="W344" s="684">
        <f>IF(終値!A344="","",IF(AND(安値!AB344&lt;安値!AA344,安値!AB344&lt;安値!Z344,安値!AB344&lt;安値!AC344,安値!AB344&lt;安値!AD344),23,""))</f>
      </c>
      <c r="X344" s="684">
        <f>IF(終値!A344="","",IF(AND(安値!AC344&lt;安値!AB344,安値!AC344&lt;安値!AA344,安値!AC344&lt;安値!AD344,安値!AC344&lt;安値!AE344),24,""))</f>
      </c>
      <c r="Y344" s="684">
        <f>IF(終値!A344="","",IF(AND(安値!AD344&lt;安値!AC344,安値!AD344&lt;安値!AB344,安値!AD344&lt;安値!AE344,安値!AD344&lt;安値!AF344),25,""))</f>
      </c>
      <c r="Z344" s="684">
        <f>IF(終値!A344="","",IF(AND(安値!AE344&lt;安値!AD344,安値!AE344&lt;安値!AC344,安値!AE344&lt;安値!AF344,安値!AE344&lt;安値!AG344),26,""))</f>
      </c>
      <c r="AA344" s="684">
        <f>IF(終値!A344="","",IF(AND(安値!AF344&lt;安値!AE344,安値!AF344&lt;安値!AD344,安値!AF344&lt;安値!AG344,安値!AF344&lt;安値!AH344),27,""))</f>
      </c>
      <c r="AB344" s="684">
        <f>IF(終値!A344="","",IF(AND(安値!AG344&lt;安値!AF344,安値!AG344&lt;安値!AE344,安値!AG344&lt;安値!AH344,安値!AG344&lt;安値!AI344),28,""))</f>
      </c>
      <c r="AC344" s="684">
        <f>IF(終値!A344="","",IF(AND(高値!G344&gt;高値!F344,高値!G344&gt;高値!E344,高値!G344&gt;高値!H344,高値!G344&gt;高値!I344),2,""))</f>
      </c>
      <c r="AD344" s="684">
        <f>IF(終値!A344="","",IF(AND(高値!H344&gt;高値!G344,高値!H344&gt;高値!F344,高値!H344&gt;高値!I344,高値!H344&gt;高値!J344),3,""))</f>
      </c>
      <c r="AE344" s="684">
        <f>IF(終値!A344="","",IF(AND(高値!I344&gt;高値!H344,高値!I344&gt;高値!G344,高値!I344&gt;高値!J344,高値!I344&gt;高値!K344),4,""))</f>
      </c>
      <c r="AF344" s="684">
        <f>IF(終値!A344="","",IF(AND(高値!J344&gt;高値!I344,高値!J344&gt;高値!H344,高値!J344&gt;高値!K344,高値!J344&gt;高値!L344),5,""))</f>
      </c>
      <c r="AG344" s="684">
        <f>IF(終値!A344="","",IF(AND(高値!K344&gt;高値!J344,高値!K344&gt;高値!I344,高値!K344&gt;高値!L344,高値!K344&gt;高値!M344),6,""))</f>
      </c>
      <c r="AH344" s="684">
        <f>IF(終値!A344="","",IF(AND(高値!L344&gt;高値!K344,高値!L344&gt;高値!J344,高値!L344&gt;高値!M344,高値!L344&gt;高値!N344),7,""))</f>
      </c>
      <c r="AI344" s="684">
        <f>IF(終値!A344="","",IF(AND(高値!M344&gt;高値!L344,高値!M344&gt;高値!K344,高値!M344&gt;高値!N344,高値!M344&gt;高値!O344),8,""))</f>
      </c>
      <c r="AJ344" s="684">
        <f>IF(終値!A344="","",IF(AND(高値!N344&gt;高値!M344,高値!N344&gt;高値!L344,高値!N344&gt;高値!O344,高値!N344&gt;高値!P344),9,""))</f>
      </c>
      <c r="AK344" s="684">
        <f>IF(終値!A344="","",IF(AND(高値!O344&gt;高値!N344,高値!O344&gt;高値!M344,高値!O344&gt;高値!P344,高値!O344&gt;高値!Q344),10,""))</f>
      </c>
      <c r="AL344" s="684">
        <f>IF(終値!A344="","",IF(AND(高値!P344&gt;高値!O344,高値!P344&gt;高値!N344,高値!P344&gt;高値!Q344,高値!P344&gt;高値!R344),11,""))</f>
      </c>
      <c r="AM344" s="684">
        <f>IF(終値!A344="","",IF(AND(高値!Q344&gt;高値!P344,高値!Q344&gt;高値!O344,高値!Q344&gt;高値!R344,高値!Q344&gt;高値!S344),12,""))</f>
      </c>
      <c r="AN344" s="684">
        <f>IF(終値!A344="","",IF(AND(高値!R344&gt;高値!Q344,高値!R344&gt;高値!P344,高値!R344&gt;高値!S344,高値!R344&gt;高値!T344),13,""))</f>
      </c>
      <c r="AO344" s="684">
        <f>IF(終値!A344="","",IF(AND(高値!S344&gt;高値!R344,高値!S344&gt;高値!Q344,高値!S344&gt;高値!T344,高値!S344&gt;高値!U344),14,""))</f>
      </c>
      <c r="AP344" s="684">
        <f>IF(終値!A344="","",IF(AND(高値!T344&gt;高値!S344,高値!T344&gt;高値!R344,高値!T344&gt;高値!U344,高値!T344&gt;高値!V344),15,""))</f>
      </c>
      <c r="AQ344" s="684">
        <f>IF(終値!A344="","",IF(AND(高値!U344&gt;高値!T344,高値!U344&gt;高値!S344,高値!U344&gt;高値!V344,高値!U344&gt;高値!W344),16,""))</f>
      </c>
      <c r="AR344" s="684">
        <f>IF(終値!A344="","",IF(AND(高値!V344&gt;高値!U344,高値!V344&gt;高値!T344,高値!V344&gt;高値!W344,高値!V344&gt;高値!X344),17,""))</f>
      </c>
      <c r="AS344" s="684">
        <f>IF(終値!A344="","",IF(AND(高値!W344&gt;高値!V344,高値!W344&gt;高値!U344,高値!W344&gt;高値!X344,高値!W344&gt;高値!Y344),18,""))</f>
      </c>
      <c r="AT344" s="684">
        <f>IF(終値!A344="","",IF(AND(高値!X344&gt;高値!W344,高値!X344&gt;高値!V344,高値!X344&gt;高値!Y344,高値!X344&gt;高値!Z344),19,""))</f>
      </c>
      <c r="AU344" s="684">
        <f>IF(終値!A344="","",IF(AND(高値!Y344&gt;高値!X344,高値!Y344&gt;高値!W344,高値!Y344&gt;高値!Z344,高値!Y344&gt;高値!AA344),20,""))</f>
      </c>
      <c r="AV344" s="684">
        <f>IF(終値!A344="","",IF(AND(高値!Z344&gt;高値!Y344,高値!Z344&gt;高値!X344,高値!Z344&gt;高値!AA344,高値!Z344&gt;高値!AB344),21,""))</f>
      </c>
      <c r="AW344" s="684">
        <f>IF(終値!A344="","",IF(AND(高値!AA344&gt;高値!Z344,高値!AA344&gt;高値!Y344,高値!AA344&gt;高値!AB344,高値!AA344&gt;高値!AC344),22,""))</f>
      </c>
      <c r="AX344" s="684">
        <f>IF(終値!A344="","",IF(AND(高値!AB344&gt;高値!AA344,高値!AB344&gt;高値!Z344,高値!AB344&gt;高値!AC344,高値!AB344&gt;高値!AD344),23,""))</f>
      </c>
      <c r="AY344" s="684">
        <f>IF(終値!A344="","",IF(AND(高値!AC344&gt;高値!AB344,高値!AC344&gt;高値!AA344,高値!AC344&gt;高値!AD344,高値!AC344&gt;高値!AE344),24,""))</f>
      </c>
      <c r="AZ344" s="684">
        <f>IF(終値!A344="","",IF(AND(高値!AD344&gt;高値!AC344,高値!AD344&gt;高値!AB344,高値!AD344&gt;高値!AE344,高値!AD344&gt;高値!AF344),25,""))</f>
      </c>
      <c r="BA344" s="684">
        <f>IF(終値!A344="","",IF(AND(高値!AE344&gt;高値!AD344,高値!AE344&gt;高値!AC344,高値!AE344&gt;高値!AF344,高値!AE344&gt;高値!AG344),26,""))</f>
      </c>
      <c r="BB344" s="684">
        <f>IF(終値!A344="","",IF(AND(高値!AF344&gt;高値!AE344,高値!AF344&gt;高値!AD344,高値!AF344&gt;高値!AG344,高値!AF344&gt;高値!AH344),27,""))</f>
      </c>
      <c r="BC344" s="684">
        <f>IF(終値!A344="","",IF(AND(高値!AG344&gt;高値!AF344,高値!AG344&gt;高値!AE344,高値!AG344&gt;高値!AH344,高値!AG344&gt;高値!AI344),28,""))</f>
      </c>
      <c r="BD344" s="684">
        <f>COUNT($B344:$AB344)</f>
      </c>
      <c r="BE344" s="684">
        <f>IF($BD344&gt;=2,MIN($B344:$AB344),"")</f>
      </c>
      <c r="BF344" s="684">
        <f>IF($BD344&gt;=2,SMALL($B344:$AB344,2),"")</f>
      </c>
      <c r="BG344" s="684">
        <f>IF($BE344="","",INDEX(安値!$E344:$CZ344,1,$BE344+1))</f>
      </c>
      <c r="BH344" s="684">
        <f>IF($BF344="","",INDEX(安値!$E344:$CZ344,1,$BF344+1))</f>
      </c>
      <c r="BI344" s="684">
        <f>IF($BF344="","",MAX(INDEX(高値!$E344:$CZ344,1,$BE344+1):INDEX(高値!$E344:$CZ344,1,$BF344+1)))</f>
      </c>
      <c r="BJ344" s="684">
        <f>IF($BF344="","",AVERAGE(INDEX(終値!$E344:$CZ344,1,$BF344+1):INDEX(終値!$E344:$CZ344,1,$BF344+20))-2*STDEVP(INDEX(終値!$E344:$CZ344,1,$BF344+1):INDEX(終値!$E344:$CZ344,1,$BF344+20)))</f>
      </c>
      <c r="BK344" s="684">
        <f>IF($BE344="","",AVERAGE(INDEX(終値!$E344:$CZ344,1,$BE344+1):INDEX(終値!$E344:$CZ344,1,$BE344+20))-2*STDEVP(INDEX(終値!$E344:$CZ344,1,$BE344+1):INDEX(終値!$E344:$CZ344,1,$BE344+20)))</f>
      </c>
      <c r="BL344" s="684">
        <f>COUNT($AC344:$BC344)</f>
      </c>
      <c r="BM344" s="684">
        <f>IF($BL344&gt;=2,MIN($AC344:$BC344),"")</f>
      </c>
      <c r="BN344" s="684">
        <f>IF($BL344&gt;=2,SMALL($AC344:$BC344,2),"")</f>
      </c>
      <c r="BO344" s="684">
        <f>IF($BM344="","",INDEX(高値!$E344:$CZ344,1,$BM344+1))</f>
      </c>
      <c r="BP344" s="684">
        <f>IF($BN344="","",INDEX(高値!$E344:$CZ344,1,$BN344+1))</f>
      </c>
      <c r="BQ344" s="684">
        <f>IF($BN344="","",MIN(INDEX(安値!$E344:$CZ344,1,$BM344+1):INDEX(安値!$E344:$CZ344,1,$BN344+1)))</f>
      </c>
      <c r="BR344" s="684">
        <f>IF($BN344="","",AVERAGE(INDEX(終値!$E344:$CZ344,1,$BN344+1):INDEX(終値!$E344:$CZ344,1,$BN344+20))+2*STDEVP(INDEX(終値!$E344:$CZ344,1,$BN344+1):INDEX(終値!$E344:$CZ344,1,$BN344+20)))</f>
      </c>
      <c r="BS344" s="684">
        <f>IF($BM344="","",AVERAGE(INDEX(終値!$E344:$CZ344,1,$BM344+1):INDEX(終値!$E344:$CZ344,1,$BM344+20))+2*STDEVP(INDEX(終値!$E344:$CZ344,1,$BM344+1):INDEX(終値!$E344:$CZ344,1,$BM344+20)))</f>
      </c>
      <c r="BT344" s="681">
        <f>IFERROR(IF(AND($BD344&gt;=2,ABS($BG344-$BH344)/$BH344&lt;=BB設定!$B$12,$BI344&gt;=MAX($BH344,$BG344)*(1+BB設定!$B$13),終値!E344&gt;$BG344),IF(OR(終値!E344&gt;=$BI344,AND($BH344&lt;$BJ344,$BG344&gt;=$BK344)),"二番底W▲","二番底W形成"),IF(AND($BL344&gt;=2,ABS($BO344-$BP344)/$BP344&lt;=BB設定!$B$12,$BQ344&lt;=MIN($BP344,$BO344)*(1-BB設定!$B$13),終値!E344&lt;$BO344),IF(OR(終値!E344&lt;=$BQ344,AND($BP344&gt;$BR344,$BO344&lt;=$BS344)),"二番天井M▼","二番天井M形成"),"－")),"－")</f>
      </c>
    </row>
    <row r="345">
      <c r="B345" s="684">
        <f>IF(終値!A345="","",IF(AND(安値!G345&lt;安値!F345,安値!G345&lt;安値!E345,安値!G345&lt;安値!H345,安値!G345&lt;安値!I345),2,""))</f>
      </c>
      <c r="C345" s="684">
        <f>IF(終値!A345="","",IF(AND(安値!H345&lt;安値!G345,安値!H345&lt;安値!F345,安値!H345&lt;安値!I345,安値!H345&lt;安値!J345),3,""))</f>
      </c>
      <c r="D345" s="684">
        <f>IF(終値!A345="","",IF(AND(安値!I345&lt;安値!H345,安値!I345&lt;安値!G345,安値!I345&lt;安値!J345,安値!I345&lt;安値!K345),4,""))</f>
      </c>
      <c r="E345" s="684">
        <f>IF(終値!A345="","",IF(AND(安値!J345&lt;安値!I345,安値!J345&lt;安値!H345,安値!J345&lt;安値!K345,安値!J345&lt;安値!L345),5,""))</f>
      </c>
      <c r="F345" s="684">
        <f>IF(終値!A345="","",IF(AND(安値!K345&lt;安値!J345,安値!K345&lt;安値!I345,安値!K345&lt;安値!L345,安値!K345&lt;安値!M345),6,""))</f>
      </c>
      <c r="G345" s="684">
        <f>IF(終値!A345="","",IF(AND(安値!L345&lt;安値!K345,安値!L345&lt;安値!J345,安値!L345&lt;安値!M345,安値!L345&lt;安値!N345),7,""))</f>
      </c>
      <c r="H345" s="684">
        <f>IF(終値!A345="","",IF(AND(安値!M345&lt;安値!L345,安値!M345&lt;安値!K345,安値!M345&lt;安値!N345,安値!M345&lt;安値!O345),8,""))</f>
      </c>
      <c r="I345" s="684">
        <f>IF(終値!A345="","",IF(AND(安値!N345&lt;安値!M345,安値!N345&lt;安値!L345,安値!N345&lt;安値!O345,安値!N345&lt;安値!P345),9,""))</f>
      </c>
      <c r="J345" s="684">
        <f>IF(終値!A345="","",IF(AND(安値!O345&lt;安値!N345,安値!O345&lt;安値!M345,安値!O345&lt;安値!P345,安値!O345&lt;安値!Q345),10,""))</f>
      </c>
      <c r="K345" s="684">
        <f>IF(終値!A345="","",IF(AND(安値!P345&lt;安値!O345,安値!P345&lt;安値!N345,安値!P345&lt;安値!Q345,安値!P345&lt;安値!R345),11,""))</f>
      </c>
      <c r="L345" s="684">
        <f>IF(終値!A345="","",IF(AND(安値!Q345&lt;安値!P345,安値!Q345&lt;安値!O345,安値!Q345&lt;安値!R345,安値!Q345&lt;安値!S345),12,""))</f>
      </c>
      <c r="M345" s="684">
        <f>IF(終値!A345="","",IF(AND(安値!R345&lt;安値!Q345,安値!R345&lt;安値!P345,安値!R345&lt;安値!S345,安値!R345&lt;安値!T345),13,""))</f>
      </c>
      <c r="N345" s="684">
        <f>IF(終値!A345="","",IF(AND(安値!S345&lt;安値!R345,安値!S345&lt;安値!Q345,安値!S345&lt;安値!T345,安値!S345&lt;安値!U345),14,""))</f>
      </c>
      <c r="O345" s="684">
        <f>IF(終値!A345="","",IF(AND(安値!T345&lt;安値!S345,安値!T345&lt;安値!R345,安値!T345&lt;安値!U345,安値!T345&lt;安値!V345),15,""))</f>
      </c>
      <c r="P345" s="684">
        <f>IF(終値!A345="","",IF(AND(安値!U345&lt;安値!T345,安値!U345&lt;安値!S345,安値!U345&lt;安値!V345,安値!U345&lt;安値!W345),16,""))</f>
      </c>
      <c r="Q345" s="684">
        <f>IF(終値!A345="","",IF(AND(安値!V345&lt;安値!U345,安値!V345&lt;安値!T345,安値!V345&lt;安値!W345,安値!V345&lt;安値!X345),17,""))</f>
      </c>
      <c r="R345" s="684">
        <f>IF(終値!A345="","",IF(AND(安値!W345&lt;安値!V345,安値!W345&lt;安値!U345,安値!W345&lt;安値!X345,安値!W345&lt;安値!Y345),18,""))</f>
      </c>
      <c r="S345" s="684">
        <f>IF(終値!A345="","",IF(AND(安値!X345&lt;安値!W345,安値!X345&lt;安値!V345,安値!X345&lt;安値!Y345,安値!X345&lt;安値!Z345),19,""))</f>
      </c>
      <c r="T345" s="684">
        <f>IF(終値!A345="","",IF(AND(安値!Y345&lt;安値!X345,安値!Y345&lt;安値!W345,安値!Y345&lt;安値!Z345,安値!Y345&lt;安値!AA345),20,""))</f>
      </c>
      <c r="U345" s="684">
        <f>IF(終値!A345="","",IF(AND(安値!Z345&lt;安値!Y345,安値!Z345&lt;安値!X345,安値!Z345&lt;安値!AA345,安値!Z345&lt;安値!AB345),21,""))</f>
      </c>
      <c r="V345" s="684">
        <f>IF(終値!A345="","",IF(AND(安値!AA345&lt;安値!Z345,安値!AA345&lt;安値!Y345,安値!AA345&lt;安値!AB345,安値!AA345&lt;安値!AC345),22,""))</f>
      </c>
      <c r="W345" s="684">
        <f>IF(終値!A345="","",IF(AND(安値!AB345&lt;安値!AA345,安値!AB345&lt;安値!Z345,安値!AB345&lt;安値!AC345,安値!AB345&lt;安値!AD345),23,""))</f>
      </c>
      <c r="X345" s="684">
        <f>IF(終値!A345="","",IF(AND(安値!AC345&lt;安値!AB345,安値!AC345&lt;安値!AA345,安値!AC345&lt;安値!AD345,安値!AC345&lt;安値!AE345),24,""))</f>
      </c>
      <c r="Y345" s="684">
        <f>IF(終値!A345="","",IF(AND(安値!AD345&lt;安値!AC345,安値!AD345&lt;安値!AB345,安値!AD345&lt;安値!AE345,安値!AD345&lt;安値!AF345),25,""))</f>
      </c>
      <c r="Z345" s="684">
        <f>IF(終値!A345="","",IF(AND(安値!AE345&lt;安値!AD345,安値!AE345&lt;安値!AC345,安値!AE345&lt;安値!AF345,安値!AE345&lt;安値!AG345),26,""))</f>
      </c>
      <c r="AA345" s="684">
        <f>IF(終値!A345="","",IF(AND(安値!AF345&lt;安値!AE345,安値!AF345&lt;安値!AD345,安値!AF345&lt;安値!AG345,安値!AF345&lt;安値!AH345),27,""))</f>
      </c>
      <c r="AB345" s="684">
        <f>IF(終値!A345="","",IF(AND(安値!AG345&lt;安値!AF345,安値!AG345&lt;安値!AE345,安値!AG345&lt;安値!AH345,安値!AG345&lt;安値!AI345),28,""))</f>
      </c>
      <c r="AC345" s="684">
        <f>IF(終値!A345="","",IF(AND(高値!G345&gt;高値!F345,高値!G345&gt;高値!E345,高値!G345&gt;高値!H345,高値!G345&gt;高値!I345),2,""))</f>
      </c>
      <c r="AD345" s="684">
        <f>IF(終値!A345="","",IF(AND(高値!H345&gt;高値!G345,高値!H345&gt;高値!F345,高値!H345&gt;高値!I345,高値!H345&gt;高値!J345),3,""))</f>
      </c>
      <c r="AE345" s="684">
        <f>IF(終値!A345="","",IF(AND(高値!I345&gt;高値!H345,高値!I345&gt;高値!G345,高値!I345&gt;高値!J345,高値!I345&gt;高値!K345),4,""))</f>
      </c>
      <c r="AF345" s="684">
        <f>IF(終値!A345="","",IF(AND(高値!J345&gt;高値!I345,高値!J345&gt;高値!H345,高値!J345&gt;高値!K345,高値!J345&gt;高値!L345),5,""))</f>
      </c>
      <c r="AG345" s="684">
        <f>IF(終値!A345="","",IF(AND(高値!K345&gt;高値!J345,高値!K345&gt;高値!I345,高値!K345&gt;高値!L345,高値!K345&gt;高値!M345),6,""))</f>
      </c>
      <c r="AH345" s="684">
        <f>IF(終値!A345="","",IF(AND(高値!L345&gt;高値!K345,高値!L345&gt;高値!J345,高値!L345&gt;高値!M345,高値!L345&gt;高値!N345),7,""))</f>
      </c>
      <c r="AI345" s="684">
        <f>IF(終値!A345="","",IF(AND(高値!M345&gt;高値!L345,高値!M345&gt;高値!K345,高値!M345&gt;高値!N345,高値!M345&gt;高値!O345),8,""))</f>
      </c>
      <c r="AJ345" s="684">
        <f>IF(終値!A345="","",IF(AND(高値!N345&gt;高値!M345,高値!N345&gt;高値!L345,高値!N345&gt;高値!O345,高値!N345&gt;高値!P345),9,""))</f>
      </c>
      <c r="AK345" s="684">
        <f>IF(終値!A345="","",IF(AND(高値!O345&gt;高値!N345,高値!O345&gt;高値!M345,高値!O345&gt;高値!P345,高値!O345&gt;高値!Q345),10,""))</f>
      </c>
      <c r="AL345" s="684">
        <f>IF(終値!A345="","",IF(AND(高値!P345&gt;高値!O345,高値!P345&gt;高値!N345,高値!P345&gt;高値!Q345,高値!P345&gt;高値!R345),11,""))</f>
      </c>
      <c r="AM345" s="684">
        <f>IF(終値!A345="","",IF(AND(高値!Q345&gt;高値!P345,高値!Q345&gt;高値!O345,高値!Q345&gt;高値!R345,高値!Q345&gt;高値!S345),12,""))</f>
      </c>
      <c r="AN345" s="684">
        <f>IF(終値!A345="","",IF(AND(高値!R345&gt;高値!Q345,高値!R345&gt;高値!P345,高値!R345&gt;高値!S345,高値!R345&gt;高値!T345),13,""))</f>
      </c>
      <c r="AO345" s="684">
        <f>IF(終値!A345="","",IF(AND(高値!S345&gt;高値!R345,高値!S345&gt;高値!Q345,高値!S345&gt;高値!T345,高値!S345&gt;高値!U345),14,""))</f>
      </c>
      <c r="AP345" s="684">
        <f>IF(終値!A345="","",IF(AND(高値!T345&gt;高値!S345,高値!T345&gt;高値!R345,高値!T345&gt;高値!U345,高値!T345&gt;高値!V345),15,""))</f>
      </c>
      <c r="AQ345" s="684">
        <f>IF(終値!A345="","",IF(AND(高値!U345&gt;高値!T345,高値!U345&gt;高値!S345,高値!U345&gt;高値!V345,高値!U345&gt;高値!W345),16,""))</f>
      </c>
      <c r="AR345" s="684">
        <f>IF(終値!A345="","",IF(AND(高値!V345&gt;高値!U345,高値!V345&gt;高値!T345,高値!V345&gt;高値!W345,高値!V345&gt;高値!X345),17,""))</f>
      </c>
      <c r="AS345" s="684">
        <f>IF(終値!A345="","",IF(AND(高値!W345&gt;高値!V345,高値!W345&gt;高値!U345,高値!W345&gt;高値!X345,高値!W345&gt;高値!Y345),18,""))</f>
      </c>
      <c r="AT345" s="684">
        <f>IF(終値!A345="","",IF(AND(高値!X345&gt;高値!W345,高値!X345&gt;高値!V345,高値!X345&gt;高値!Y345,高値!X345&gt;高値!Z345),19,""))</f>
      </c>
      <c r="AU345" s="684">
        <f>IF(終値!A345="","",IF(AND(高値!Y345&gt;高値!X345,高値!Y345&gt;高値!W345,高値!Y345&gt;高値!Z345,高値!Y345&gt;高値!AA345),20,""))</f>
      </c>
      <c r="AV345" s="684">
        <f>IF(終値!A345="","",IF(AND(高値!Z345&gt;高値!Y345,高値!Z345&gt;高値!X345,高値!Z345&gt;高値!AA345,高値!Z345&gt;高値!AB345),21,""))</f>
      </c>
      <c r="AW345" s="684">
        <f>IF(終値!A345="","",IF(AND(高値!AA345&gt;高値!Z345,高値!AA345&gt;高値!Y345,高値!AA345&gt;高値!AB345,高値!AA345&gt;高値!AC345),22,""))</f>
      </c>
      <c r="AX345" s="684">
        <f>IF(終値!A345="","",IF(AND(高値!AB345&gt;高値!AA345,高値!AB345&gt;高値!Z345,高値!AB345&gt;高値!AC345,高値!AB345&gt;高値!AD345),23,""))</f>
      </c>
      <c r="AY345" s="684">
        <f>IF(終値!A345="","",IF(AND(高値!AC345&gt;高値!AB345,高値!AC345&gt;高値!AA345,高値!AC345&gt;高値!AD345,高値!AC345&gt;高値!AE345),24,""))</f>
      </c>
      <c r="AZ345" s="684">
        <f>IF(終値!A345="","",IF(AND(高値!AD345&gt;高値!AC345,高値!AD345&gt;高値!AB345,高値!AD345&gt;高値!AE345,高値!AD345&gt;高値!AF345),25,""))</f>
      </c>
      <c r="BA345" s="684">
        <f>IF(終値!A345="","",IF(AND(高値!AE345&gt;高値!AD345,高値!AE345&gt;高値!AC345,高値!AE345&gt;高値!AF345,高値!AE345&gt;高値!AG345),26,""))</f>
      </c>
      <c r="BB345" s="684">
        <f>IF(終値!A345="","",IF(AND(高値!AF345&gt;高値!AE345,高値!AF345&gt;高値!AD345,高値!AF345&gt;高値!AG345,高値!AF345&gt;高値!AH345),27,""))</f>
      </c>
      <c r="BC345" s="684">
        <f>IF(終値!A345="","",IF(AND(高値!AG345&gt;高値!AF345,高値!AG345&gt;高値!AE345,高値!AG345&gt;高値!AH345,高値!AG345&gt;高値!AI345),28,""))</f>
      </c>
      <c r="BD345" s="684">
        <f>COUNT($B345:$AB345)</f>
      </c>
      <c r="BE345" s="684">
        <f>IF($BD345&gt;=2,MIN($B345:$AB345),"")</f>
      </c>
      <c r="BF345" s="684">
        <f>IF($BD345&gt;=2,SMALL($B345:$AB345,2),"")</f>
      </c>
      <c r="BG345" s="684">
        <f>IF($BE345="","",INDEX(安値!$E345:$CZ345,1,$BE345+1))</f>
      </c>
      <c r="BH345" s="684">
        <f>IF($BF345="","",INDEX(安値!$E345:$CZ345,1,$BF345+1))</f>
      </c>
      <c r="BI345" s="684">
        <f>IF($BF345="","",MAX(INDEX(高値!$E345:$CZ345,1,$BE345+1):INDEX(高値!$E345:$CZ345,1,$BF345+1)))</f>
      </c>
      <c r="BJ345" s="684">
        <f>IF($BF345="","",AVERAGE(INDEX(終値!$E345:$CZ345,1,$BF345+1):INDEX(終値!$E345:$CZ345,1,$BF345+20))-2*STDEVP(INDEX(終値!$E345:$CZ345,1,$BF345+1):INDEX(終値!$E345:$CZ345,1,$BF345+20)))</f>
      </c>
      <c r="BK345" s="684">
        <f>IF($BE345="","",AVERAGE(INDEX(終値!$E345:$CZ345,1,$BE345+1):INDEX(終値!$E345:$CZ345,1,$BE345+20))-2*STDEVP(INDEX(終値!$E345:$CZ345,1,$BE345+1):INDEX(終値!$E345:$CZ345,1,$BE345+20)))</f>
      </c>
      <c r="BL345" s="684">
        <f>COUNT($AC345:$BC345)</f>
      </c>
      <c r="BM345" s="684">
        <f>IF($BL345&gt;=2,MIN($AC345:$BC345),"")</f>
      </c>
      <c r="BN345" s="684">
        <f>IF($BL345&gt;=2,SMALL($AC345:$BC345,2),"")</f>
      </c>
      <c r="BO345" s="684">
        <f>IF($BM345="","",INDEX(高値!$E345:$CZ345,1,$BM345+1))</f>
      </c>
      <c r="BP345" s="684">
        <f>IF($BN345="","",INDEX(高値!$E345:$CZ345,1,$BN345+1))</f>
      </c>
      <c r="BQ345" s="684">
        <f>IF($BN345="","",MIN(INDEX(安値!$E345:$CZ345,1,$BM345+1):INDEX(安値!$E345:$CZ345,1,$BN345+1)))</f>
      </c>
      <c r="BR345" s="684">
        <f>IF($BN345="","",AVERAGE(INDEX(終値!$E345:$CZ345,1,$BN345+1):INDEX(終値!$E345:$CZ345,1,$BN345+20))+2*STDEVP(INDEX(終値!$E345:$CZ345,1,$BN345+1):INDEX(終値!$E345:$CZ345,1,$BN345+20)))</f>
      </c>
      <c r="BS345" s="684">
        <f>IF($BM345="","",AVERAGE(INDEX(終値!$E345:$CZ345,1,$BM345+1):INDEX(終値!$E345:$CZ345,1,$BM345+20))+2*STDEVP(INDEX(終値!$E345:$CZ345,1,$BM345+1):INDEX(終値!$E345:$CZ345,1,$BM345+20)))</f>
      </c>
      <c r="BT345" s="681">
        <f>IFERROR(IF(AND($BD345&gt;=2,ABS($BG345-$BH345)/$BH345&lt;=BB設定!$B$12,$BI345&gt;=MAX($BH345,$BG345)*(1+BB設定!$B$13),終値!E345&gt;$BG345),IF(OR(終値!E345&gt;=$BI345,AND($BH345&lt;$BJ345,$BG345&gt;=$BK345)),"二番底W▲","二番底W形成"),IF(AND($BL345&gt;=2,ABS($BO345-$BP345)/$BP345&lt;=BB設定!$B$12,$BQ345&lt;=MIN($BP345,$BO345)*(1-BB設定!$B$13),終値!E345&lt;$BO345),IF(OR(終値!E345&lt;=$BQ345,AND($BP345&gt;$BR345,$BO345&lt;=$BS345)),"二番天井M▼","二番天井M形成"),"－")),"－")</f>
      </c>
    </row>
    <row r="346">
      <c r="B346" s="684">
        <f>IF(終値!A346="","",IF(AND(安値!G346&lt;安値!F346,安値!G346&lt;安値!E346,安値!G346&lt;安値!H346,安値!G346&lt;安値!I346),2,""))</f>
      </c>
      <c r="C346" s="684">
        <f>IF(終値!A346="","",IF(AND(安値!H346&lt;安値!G346,安値!H346&lt;安値!F346,安値!H346&lt;安値!I346,安値!H346&lt;安値!J346),3,""))</f>
      </c>
      <c r="D346" s="684">
        <f>IF(終値!A346="","",IF(AND(安値!I346&lt;安値!H346,安値!I346&lt;安値!G346,安値!I346&lt;安値!J346,安値!I346&lt;安値!K346),4,""))</f>
      </c>
      <c r="E346" s="684">
        <f>IF(終値!A346="","",IF(AND(安値!J346&lt;安値!I346,安値!J346&lt;安値!H346,安値!J346&lt;安値!K346,安値!J346&lt;安値!L346),5,""))</f>
      </c>
      <c r="F346" s="684">
        <f>IF(終値!A346="","",IF(AND(安値!K346&lt;安値!J346,安値!K346&lt;安値!I346,安値!K346&lt;安値!L346,安値!K346&lt;安値!M346),6,""))</f>
      </c>
      <c r="G346" s="684">
        <f>IF(終値!A346="","",IF(AND(安値!L346&lt;安値!K346,安値!L346&lt;安値!J346,安値!L346&lt;安値!M346,安値!L346&lt;安値!N346),7,""))</f>
      </c>
      <c r="H346" s="684">
        <f>IF(終値!A346="","",IF(AND(安値!M346&lt;安値!L346,安値!M346&lt;安値!K346,安値!M346&lt;安値!N346,安値!M346&lt;安値!O346),8,""))</f>
      </c>
      <c r="I346" s="684">
        <f>IF(終値!A346="","",IF(AND(安値!N346&lt;安値!M346,安値!N346&lt;安値!L346,安値!N346&lt;安値!O346,安値!N346&lt;安値!P346),9,""))</f>
      </c>
      <c r="J346" s="684">
        <f>IF(終値!A346="","",IF(AND(安値!O346&lt;安値!N346,安値!O346&lt;安値!M346,安値!O346&lt;安値!P346,安値!O346&lt;安値!Q346),10,""))</f>
      </c>
      <c r="K346" s="684">
        <f>IF(終値!A346="","",IF(AND(安値!P346&lt;安値!O346,安値!P346&lt;安値!N346,安値!P346&lt;安値!Q346,安値!P346&lt;安値!R346),11,""))</f>
      </c>
      <c r="L346" s="684">
        <f>IF(終値!A346="","",IF(AND(安値!Q346&lt;安値!P346,安値!Q346&lt;安値!O346,安値!Q346&lt;安値!R346,安値!Q346&lt;安値!S346),12,""))</f>
      </c>
      <c r="M346" s="684">
        <f>IF(終値!A346="","",IF(AND(安値!R346&lt;安値!Q346,安値!R346&lt;安値!P346,安値!R346&lt;安値!S346,安値!R346&lt;安値!T346),13,""))</f>
      </c>
      <c r="N346" s="684">
        <f>IF(終値!A346="","",IF(AND(安値!S346&lt;安値!R346,安値!S346&lt;安値!Q346,安値!S346&lt;安値!T346,安値!S346&lt;安値!U346),14,""))</f>
      </c>
      <c r="O346" s="684">
        <f>IF(終値!A346="","",IF(AND(安値!T346&lt;安値!S346,安値!T346&lt;安値!R346,安値!T346&lt;安値!U346,安値!T346&lt;安値!V346),15,""))</f>
      </c>
      <c r="P346" s="684">
        <f>IF(終値!A346="","",IF(AND(安値!U346&lt;安値!T346,安値!U346&lt;安値!S346,安値!U346&lt;安値!V346,安値!U346&lt;安値!W346),16,""))</f>
      </c>
      <c r="Q346" s="684">
        <f>IF(終値!A346="","",IF(AND(安値!V346&lt;安値!U346,安値!V346&lt;安値!T346,安値!V346&lt;安値!W346,安値!V346&lt;安値!X346),17,""))</f>
      </c>
      <c r="R346" s="684">
        <f>IF(終値!A346="","",IF(AND(安値!W346&lt;安値!V346,安値!W346&lt;安値!U346,安値!W346&lt;安値!X346,安値!W346&lt;安値!Y346),18,""))</f>
      </c>
      <c r="S346" s="684">
        <f>IF(終値!A346="","",IF(AND(安値!X346&lt;安値!W346,安値!X346&lt;安値!V346,安値!X346&lt;安値!Y346,安値!X346&lt;安値!Z346),19,""))</f>
      </c>
      <c r="T346" s="684">
        <f>IF(終値!A346="","",IF(AND(安値!Y346&lt;安値!X346,安値!Y346&lt;安値!W346,安値!Y346&lt;安値!Z346,安値!Y346&lt;安値!AA346),20,""))</f>
      </c>
      <c r="U346" s="684">
        <f>IF(終値!A346="","",IF(AND(安値!Z346&lt;安値!Y346,安値!Z346&lt;安値!X346,安値!Z346&lt;安値!AA346,安値!Z346&lt;安値!AB346),21,""))</f>
      </c>
      <c r="V346" s="684">
        <f>IF(終値!A346="","",IF(AND(安値!AA346&lt;安値!Z346,安値!AA346&lt;安値!Y346,安値!AA346&lt;安値!AB346,安値!AA346&lt;安値!AC346),22,""))</f>
      </c>
      <c r="W346" s="684">
        <f>IF(終値!A346="","",IF(AND(安値!AB346&lt;安値!AA346,安値!AB346&lt;安値!Z346,安値!AB346&lt;安値!AC346,安値!AB346&lt;安値!AD346),23,""))</f>
      </c>
      <c r="X346" s="684">
        <f>IF(終値!A346="","",IF(AND(安値!AC346&lt;安値!AB346,安値!AC346&lt;安値!AA346,安値!AC346&lt;安値!AD346,安値!AC346&lt;安値!AE346),24,""))</f>
      </c>
      <c r="Y346" s="684">
        <f>IF(終値!A346="","",IF(AND(安値!AD346&lt;安値!AC346,安値!AD346&lt;安値!AB346,安値!AD346&lt;安値!AE346,安値!AD346&lt;安値!AF346),25,""))</f>
      </c>
      <c r="Z346" s="684">
        <f>IF(終値!A346="","",IF(AND(安値!AE346&lt;安値!AD346,安値!AE346&lt;安値!AC346,安値!AE346&lt;安値!AF346,安値!AE346&lt;安値!AG346),26,""))</f>
      </c>
      <c r="AA346" s="684">
        <f>IF(終値!A346="","",IF(AND(安値!AF346&lt;安値!AE346,安値!AF346&lt;安値!AD346,安値!AF346&lt;安値!AG346,安値!AF346&lt;安値!AH346),27,""))</f>
      </c>
      <c r="AB346" s="684">
        <f>IF(終値!A346="","",IF(AND(安値!AG346&lt;安値!AF346,安値!AG346&lt;安値!AE346,安値!AG346&lt;安値!AH346,安値!AG346&lt;安値!AI346),28,""))</f>
      </c>
      <c r="AC346" s="684">
        <f>IF(終値!A346="","",IF(AND(高値!G346&gt;高値!F346,高値!G346&gt;高値!E346,高値!G346&gt;高値!H346,高値!G346&gt;高値!I346),2,""))</f>
      </c>
      <c r="AD346" s="684">
        <f>IF(終値!A346="","",IF(AND(高値!H346&gt;高値!G346,高値!H346&gt;高値!F346,高値!H346&gt;高値!I346,高値!H346&gt;高値!J346),3,""))</f>
      </c>
      <c r="AE346" s="684">
        <f>IF(終値!A346="","",IF(AND(高値!I346&gt;高値!H346,高値!I346&gt;高値!G346,高値!I346&gt;高値!J346,高値!I346&gt;高値!K346),4,""))</f>
      </c>
      <c r="AF346" s="684">
        <f>IF(終値!A346="","",IF(AND(高値!J346&gt;高値!I346,高値!J346&gt;高値!H346,高値!J346&gt;高値!K346,高値!J346&gt;高値!L346),5,""))</f>
      </c>
      <c r="AG346" s="684">
        <f>IF(終値!A346="","",IF(AND(高値!K346&gt;高値!J346,高値!K346&gt;高値!I346,高値!K346&gt;高値!L346,高値!K346&gt;高値!M346),6,""))</f>
      </c>
      <c r="AH346" s="684">
        <f>IF(終値!A346="","",IF(AND(高値!L346&gt;高値!K346,高値!L346&gt;高値!J346,高値!L346&gt;高値!M346,高値!L346&gt;高値!N346),7,""))</f>
      </c>
      <c r="AI346" s="684">
        <f>IF(終値!A346="","",IF(AND(高値!M346&gt;高値!L346,高値!M346&gt;高値!K346,高値!M346&gt;高値!N346,高値!M346&gt;高値!O346),8,""))</f>
      </c>
      <c r="AJ346" s="684">
        <f>IF(終値!A346="","",IF(AND(高値!N346&gt;高値!M346,高値!N346&gt;高値!L346,高値!N346&gt;高値!O346,高値!N346&gt;高値!P346),9,""))</f>
      </c>
      <c r="AK346" s="684">
        <f>IF(終値!A346="","",IF(AND(高値!O346&gt;高値!N346,高値!O346&gt;高値!M346,高値!O346&gt;高値!P346,高値!O346&gt;高値!Q346),10,""))</f>
      </c>
      <c r="AL346" s="684">
        <f>IF(終値!A346="","",IF(AND(高値!P346&gt;高値!O346,高値!P346&gt;高値!N346,高値!P346&gt;高値!Q346,高値!P346&gt;高値!R346),11,""))</f>
      </c>
      <c r="AM346" s="684">
        <f>IF(終値!A346="","",IF(AND(高値!Q346&gt;高値!P346,高値!Q346&gt;高値!O346,高値!Q346&gt;高値!R346,高値!Q346&gt;高値!S346),12,""))</f>
      </c>
      <c r="AN346" s="684">
        <f>IF(終値!A346="","",IF(AND(高値!R346&gt;高値!Q346,高値!R346&gt;高値!P346,高値!R346&gt;高値!S346,高値!R346&gt;高値!T346),13,""))</f>
      </c>
      <c r="AO346" s="684">
        <f>IF(終値!A346="","",IF(AND(高値!S346&gt;高値!R346,高値!S346&gt;高値!Q346,高値!S346&gt;高値!T346,高値!S346&gt;高値!U346),14,""))</f>
      </c>
      <c r="AP346" s="684">
        <f>IF(終値!A346="","",IF(AND(高値!T346&gt;高値!S346,高値!T346&gt;高値!R346,高値!T346&gt;高値!U346,高値!T346&gt;高値!V346),15,""))</f>
      </c>
      <c r="AQ346" s="684">
        <f>IF(終値!A346="","",IF(AND(高値!U346&gt;高値!T346,高値!U346&gt;高値!S346,高値!U346&gt;高値!V346,高値!U346&gt;高値!W346),16,""))</f>
      </c>
      <c r="AR346" s="684">
        <f>IF(終値!A346="","",IF(AND(高値!V346&gt;高値!U346,高値!V346&gt;高値!T346,高値!V346&gt;高値!W346,高値!V346&gt;高値!X346),17,""))</f>
      </c>
      <c r="AS346" s="684">
        <f>IF(終値!A346="","",IF(AND(高値!W346&gt;高値!V346,高値!W346&gt;高値!U346,高値!W346&gt;高値!X346,高値!W346&gt;高値!Y346),18,""))</f>
      </c>
      <c r="AT346" s="684">
        <f>IF(終値!A346="","",IF(AND(高値!X346&gt;高値!W346,高値!X346&gt;高値!V346,高値!X346&gt;高値!Y346,高値!X346&gt;高値!Z346),19,""))</f>
      </c>
      <c r="AU346" s="684">
        <f>IF(終値!A346="","",IF(AND(高値!Y346&gt;高値!X346,高値!Y346&gt;高値!W346,高値!Y346&gt;高値!Z346,高値!Y346&gt;高値!AA346),20,""))</f>
      </c>
      <c r="AV346" s="684">
        <f>IF(終値!A346="","",IF(AND(高値!Z346&gt;高値!Y346,高値!Z346&gt;高値!X346,高値!Z346&gt;高値!AA346,高値!Z346&gt;高値!AB346),21,""))</f>
      </c>
      <c r="AW346" s="684">
        <f>IF(終値!A346="","",IF(AND(高値!AA346&gt;高値!Z346,高値!AA346&gt;高値!Y346,高値!AA346&gt;高値!AB346,高値!AA346&gt;高値!AC346),22,""))</f>
      </c>
      <c r="AX346" s="684">
        <f>IF(終値!A346="","",IF(AND(高値!AB346&gt;高値!AA346,高値!AB346&gt;高値!Z346,高値!AB346&gt;高値!AC346,高値!AB346&gt;高値!AD346),23,""))</f>
      </c>
      <c r="AY346" s="684">
        <f>IF(終値!A346="","",IF(AND(高値!AC346&gt;高値!AB346,高値!AC346&gt;高値!AA346,高値!AC346&gt;高値!AD346,高値!AC346&gt;高値!AE346),24,""))</f>
      </c>
      <c r="AZ346" s="684">
        <f>IF(終値!A346="","",IF(AND(高値!AD346&gt;高値!AC346,高値!AD346&gt;高値!AB346,高値!AD346&gt;高値!AE346,高値!AD346&gt;高値!AF346),25,""))</f>
      </c>
      <c r="BA346" s="684">
        <f>IF(終値!A346="","",IF(AND(高値!AE346&gt;高値!AD346,高値!AE346&gt;高値!AC346,高値!AE346&gt;高値!AF346,高値!AE346&gt;高値!AG346),26,""))</f>
      </c>
      <c r="BB346" s="684">
        <f>IF(終値!A346="","",IF(AND(高値!AF346&gt;高値!AE346,高値!AF346&gt;高値!AD346,高値!AF346&gt;高値!AG346,高値!AF346&gt;高値!AH346),27,""))</f>
      </c>
      <c r="BC346" s="684">
        <f>IF(終値!A346="","",IF(AND(高値!AG346&gt;高値!AF346,高値!AG346&gt;高値!AE346,高値!AG346&gt;高値!AH346,高値!AG346&gt;高値!AI346),28,""))</f>
      </c>
      <c r="BD346" s="684">
        <f>COUNT($B346:$AB346)</f>
      </c>
      <c r="BE346" s="684">
        <f>IF($BD346&gt;=2,MIN($B346:$AB346),"")</f>
      </c>
      <c r="BF346" s="684">
        <f>IF($BD346&gt;=2,SMALL($B346:$AB346,2),"")</f>
      </c>
      <c r="BG346" s="684">
        <f>IF($BE346="","",INDEX(安値!$E346:$CZ346,1,$BE346+1))</f>
      </c>
      <c r="BH346" s="684">
        <f>IF($BF346="","",INDEX(安値!$E346:$CZ346,1,$BF346+1))</f>
      </c>
      <c r="BI346" s="684">
        <f>IF($BF346="","",MAX(INDEX(高値!$E346:$CZ346,1,$BE346+1):INDEX(高値!$E346:$CZ346,1,$BF346+1)))</f>
      </c>
      <c r="BJ346" s="684">
        <f>IF($BF346="","",AVERAGE(INDEX(終値!$E346:$CZ346,1,$BF346+1):INDEX(終値!$E346:$CZ346,1,$BF346+20))-2*STDEVP(INDEX(終値!$E346:$CZ346,1,$BF346+1):INDEX(終値!$E346:$CZ346,1,$BF346+20)))</f>
      </c>
      <c r="BK346" s="684">
        <f>IF($BE346="","",AVERAGE(INDEX(終値!$E346:$CZ346,1,$BE346+1):INDEX(終値!$E346:$CZ346,1,$BE346+20))-2*STDEVP(INDEX(終値!$E346:$CZ346,1,$BE346+1):INDEX(終値!$E346:$CZ346,1,$BE346+20)))</f>
      </c>
      <c r="BL346" s="684">
        <f>COUNT($AC346:$BC346)</f>
      </c>
      <c r="BM346" s="684">
        <f>IF($BL346&gt;=2,MIN($AC346:$BC346),"")</f>
      </c>
      <c r="BN346" s="684">
        <f>IF($BL346&gt;=2,SMALL($AC346:$BC346,2),"")</f>
      </c>
      <c r="BO346" s="684">
        <f>IF($BM346="","",INDEX(高値!$E346:$CZ346,1,$BM346+1))</f>
      </c>
      <c r="BP346" s="684">
        <f>IF($BN346="","",INDEX(高値!$E346:$CZ346,1,$BN346+1))</f>
      </c>
      <c r="BQ346" s="684">
        <f>IF($BN346="","",MIN(INDEX(安値!$E346:$CZ346,1,$BM346+1):INDEX(安値!$E346:$CZ346,1,$BN346+1)))</f>
      </c>
      <c r="BR346" s="684">
        <f>IF($BN346="","",AVERAGE(INDEX(終値!$E346:$CZ346,1,$BN346+1):INDEX(終値!$E346:$CZ346,1,$BN346+20))+2*STDEVP(INDEX(終値!$E346:$CZ346,1,$BN346+1):INDEX(終値!$E346:$CZ346,1,$BN346+20)))</f>
      </c>
      <c r="BS346" s="684">
        <f>IF($BM346="","",AVERAGE(INDEX(終値!$E346:$CZ346,1,$BM346+1):INDEX(終値!$E346:$CZ346,1,$BM346+20))+2*STDEVP(INDEX(終値!$E346:$CZ346,1,$BM346+1):INDEX(終値!$E346:$CZ346,1,$BM346+20)))</f>
      </c>
      <c r="BT346" s="681">
        <f>IFERROR(IF(AND($BD346&gt;=2,ABS($BG346-$BH346)/$BH346&lt;=BB設定!$B$12,$BI346&gt;=MAX($BH346,$BG346)*(1+BB設定!$B$13),終値!E346&gt;$BG346),IF(OR(終値!E346&gt;=$BI346,AND($BH346&lt;$BJ346,$BG346&gt;=$BK346)),"二番底W▲","二番底W形成"),IF(AND($BL346&gt;=2,ABS($BO346-$BP346)/$BP346&lt;=BB設定!$B$12,$BQ346&lt;=MIN($BP346,$BO346)*(1-BB設定!$B$13),終値!E346&lt;$BO346),IF(OR(終値!E346&lt;=$BQ346,AND($BP346&gt;$BR346,$BO346&lt;=$BS346)),"二番天井M▼","二番天井M形成"),"－")),"－")</f>
      </c>
    </row>
    <row r="347">
      <c r="B347" s="684">
        <f>IF(終値!A347="","",IF(AND(安値!G347&lt;安値!F347,安値!G347&lt;安値!E347,安値!G347&lt;安値!H347,安値!G347&lt;安値!I347),2,""))</f>
      </c>
      <c r="C347" s="684">
        <f>IF(終値!A347="","",IF(AND(安値!H347&lt;安値!G347,安値!H347&lt;安値!F347,安値!H347&lt;安値!I347,安値!H347&lt;安値!J347),3,""))</f>
      </c>
      <c r="D347" s="684">
        <f>IF(終値!A347="","",IF(AND(安値!I347&lt;安値!H347,安値!I347&lt;安値!G347,安値!I347&lt;安値!J347,安値!I347&lt;安値!K347),4,""))</f>
      </c>
      <c r="E347" s="684">
        <f>IF(終値!A347="","",IF(AND(安値!J347&lt;安値!I347,安値!J347&lt;安値!H347,安値!J347&lt;安値!K347,安値!J347&lt;安値!L347),5,""))</f>
      </c>
      <c r="F347" s="684">
        <f>IF(終値!A347="","",IF(AND(安値!K347&lt;安値!J347,安値!K347&lt;安値!I347,安値!K347&lt;安値!L347,安値!K347&lt;安値!M347),6,""))</f>
      </c>
      <c r="G347" s="684">
        <f>IF(終値!A347="","",IF(AND(安値!L347&lt;安値!K347,安値!L347&lt;安値!J347,安値!L347&lt;安値!M347,安値!L347&lt;安値!N347),7,""))</f>
      </c>
      <c r="H347" s="684">
        <f>IF(終値!A347="","",IF(AND(安値!M347&lt;安値!L347,安値!M347&lt;安値!K347,安値!M347&lt;安値!N347,安値!M347&lt;安値!O347),8,""))</f>
      </c>
      <c r="I347" s="684">
        <f>IF(終値!A347="","",IF(AND(安値!N347&lt;安値!M347,安値!N347&lt;安値!L347,安値!N347&lt;安値!O347,安値!N347&lt;安値!P347),9,""))</f>
      </c>
      <c r="J347" s="684">
        <f>IF(終値!A347="","",IF(AND(安値!O347&lt;安値!N347,安値!O347&lt;安値!M347,安値!O347&lt;安値!P347,安値!O347&lt;安値!Q347),10,""))</f>
      </c>
      <c r="K347" s="684">
        <f>IF(終値!A347="","",IF(AND(安値!P347&lt;安値!O347,安値!P347&lt;安値!N347,安値!P347&lt;安値!Q347,安値!P347&lt;安値!R347),11,""))</f>
      </c>
      <c r="L347" s="684">
        <f>IF(終値!A347="","",IF(AND(安値!Q347&lt;安値!P347,安値!Q347&lt;安値!O347,安値!Q347&lt;安値!R347,安値!Q347&lt;安値!S347),12,""))</f>
      </c>
      <c r="M347" s="684">
        <f>IF(終値!A347="","",IF(AND(安値!R347&lt;安値!Q347,安値!R347&lt;安値!P347,安値!R347&lt;安値!S347,安値!R347&lt;安値!T347),13,""))</f>
      </c>
      <c r="N347" s="684">
        <f>IF(終値!A347="","",IF(AND(安値!S347&lt;安値!R347,安値!S347&lt;安値!Q347,安値!S347&lt;安値!T347,安値!S347&lt;安値!U347),14,""))</f>
      </c>
      <c r="O347" s="684">
        <f>IF(終値!A347="","",IF(AND(安値!T347&lt;安値!S347,安値!T347&lt;安値!R347,安値!T347&lt;安値!U347,安値!T347&lt;安値!V347),15,""))</f>
      </c>
      <c r="P347" s="684">
        <f>IF(終値!A347="","",IF(AND(安値!U347&lt;安値!T347,安値!U347&lt;安値!S347,安値!U347&lt;安値!V347,安値!U347&lt;安値!W347),16,""))</f>
      </c>
      <c r="Q347" s="684">
        <f>IF(終値!A347="","",IF(AND(安値!V347&lt;安値!U347,安値!V347&lt;安値!T347,安値!V347&lt;安値!W347,安値!V347&lt;安値!X347),17,""))</f>
      </c>
      <c r="R347" s="684">
        <f>IF(終値!A347="","",IF(AND(安値!W347&lt;安値!V347,安値!W347&lt;安値!U347,安値!W347&lt;安値!X347,安値!W347&lt;安値!Y347),18,""))</f>
      </c>
      <c r="S347" s="684">
        <f>IF(終値!A347="","",IF(AND(安値!X347&lt;安値!W347,安値!X347&lt;安値!V347,安値!X347&lt;安値!Y347,安値!X347&lt;安値!Z347),19,""))</f>
      </c>
      <c r="T347" s="684">
        <f>IF(終値!A347="","",IF(AND(安値!Y347&lt;安値!X347,安値!Y347&lt;安値!W347,安値!Y347&lt;安値!Z347,安値!Y347&lt;安値!AA347),20,""))</f>
      </c>
      <c r="U347" s="684">
        <f>IF(終値!A347="","",IF(AND(安値!Z347&lt;安値!Y347,安値!Z347&lt;安値!X347,安値!Z347&lt;安値!AA347,安値!Z347&lt;安値!AB347),21,""))</f>
      </c>
      <c r="V347" s="684">
        <f>IF(終値!A347="","",IF(AND(安値!AA347&lt;安値!Z347,安値!AA347&lt;安値!Y347,安値!AA347&lt;安値!AB347,安値!AA347&lt;安値!AC347),22,""))</f>
      </c>
      <c r="W347" s="684">
        <f>IF(終値!A347="","",IF(AND(安値!AB347&lt;安値!AA347,安値!AB347&lt;安値!Z347,安値!AB347&lt;安値!AC347,安値!AB347&lt;安値!AD347),23,""))</f>
      </c>
      <c r="X347" s="684">
        <f>IF(終値!A347="","",IF(AND(安値!AC347&lt;安値!AB347,安値!AC347&lt;安値!AA347,安値!AC347&lt;安値!AD347,安値!AC347&lt;安値!AE347),24,""))</f>
      </c>
      <c r="Y347" s="684">
        <f>IF(終値!A347="","",IF(AND(安値!AD347&lt;安値!AC347,安値!AD347&lt;安値!AB347,安値!AD347&lt;安値!AE347,安値!AD347&lt;安値!AF347),25,""))</f>
      </c>
      <c r="Z347" s="684">
        <f>IF(終値!A347="","",IF(AND(安値!AE347&lt;安値!AD347,安値!AE347&lt;安値!AC347,安値!AE347&lt;安値!AF347,安値!AE347&lt;安値!AG347),26,""))</f>
      </c>
      <c r="AA347" s="684">
        <f>IF(終値!A347="","",IF(AND(安値!AF347&lt;安値!AE347,安値!AF347&lt;安値!AD347,安値!AF347&lt;安値!AG347,安値!AF347&lt;安値!AH347),27,""))</f>
      </c>
      <c r="AB347" s="684">
        <f>IF(終値!A347="","",IF(AND(安値!AG347&lt;安値!AF347,安値!AG347&lt;安値!AE347,安値!AG347&lt;安値!AH347,安値!AG347&lt;安値!AI347),28,""))</f>
      </c>
      <c r="AC347" s="684">
        <f>IF(終値!A347="","",IF(AND(高値!G347&gt;高値!F347,高値!G347&gt;高値!E347,高値!G347&gt;高値!H347,高値!G347&gt;高値!I347),2,""))</f>
      </c>
      <c r="AD347" s="684">
        <f>IF(終値!A347="","",IF(AND(高値!H347&gt;高値!G347,高値!H347&gt;高値!F347,高値!H347&gt;高値!I347,高値!H347&gt;高値!J347),3,""))</f>
      </c>
      <c r="AE347" s="684">
        <f>IF(終値!A347="","",IF(AND(高値!I347&gt;高値!H347,高値!I347&gt;高値!G347,高値!I347&gt;高値!J347,高値!I347&gt;高値!K347),4,""))</f>
      </c>
      <c r="AF347" s="684">
        <f>IF(終値!A347="","",IF(AND(高値!J347&gt;高値!I347,高値!J347&gt;高値!H347,高値!J347&gt;高値!K347,高値!J347&gt;高値!L347),5,""))</f>
      </c>
      <c r="AG347" s="684">
        <f>IF(終値!A347="","",IF(AND(高値!K347&gt;高値!J347,高値!K347&gt;高値!I347,高値!K347&gt;高値!L347,高値!K347&gt;高値!M347),6,""))</f>
      </c>
      <c r="AH347" s="684">
        <f>IF(終値!A347="","",IF(AND(高値!L347&gt;高値!K347,高値!L347&gt;高値!J347,高値!L347&gt;高値!M347,高値!L347&gt;高値!N347),7,""))</f>
      </c>
      <c r="AI347" s="684">
        <f>IF(終値!A347="","",IF(AND(高値!M347&gt;高値!L347,高値!M347&gt;高値!K347,高値!M347&gt;高値!N347,高値!M347&gt;高値!O347),8,""))</f>
      </c>
      <c r="AJ347" s="684">
        <f>IF(終値!A347="","",IF(AND(高値!N347&gt;高値!M347,高値!N347&gt;高値!L347,高値!N347&gt;高値!O347,高値!N347&gt;高値!P347),9,""))</f>
      </c>
      <c r="AK347" s="684">
        <f>IF(終値!A347="","",IF(AND(高値!O347&gt;高値!N347,高値!O347&gt;高値!M347,高値!O347&gt;高値!P347,高値!O347&gt;高値!Q347),10,""))</f>
      </c>
      <c r="AL347" s="684">
        <f>IF(終値!A347="","",IF(AND(高値!P347&gt;高値!O347,高値!P347&gt;高値!N347,高値!P347&gt;高値!Q347,高値!P347&gt;高値!R347),11,""))</f>
      </c>
      <c r="AM347" s="684">
        <f>IF(終値!A347="","",IF(AND(高値!Q347&gt;高値!P347,高値!Q347&gt;高値!O347,高値!Q347&gt;高値!R347,高値!Q347&gt;高値!S347),12,""))</f>
      </c>
      <c r="AN347" s="684">
        <f>IF(終値!A347="","",IF(AND(高値!R347&gt;高値!Q347,高値!R347&gt;高値!P347,高値!R347&gt;高値!S347,高値!R347&gt;高値!T347),13,""))</f>
      </c>
      <c r="AO347" s="684">
        <f>IF(終値!A347="","",IF(AND(高値!S347&gt;高値!R347,高値!S347&gt;高値!Q347,高値!S347&gt;高値!T347,高値!S347&gt;高値!U347),14,""))</f>
      </c>
      <c r="AP347" s="684">
        <f>IF(終値!A347="","",IF(AND(高値!T347&gt;高値!S347,高値!T347&gt;高値!R347,高値!T347&gt;高値!U347,高値!T347&gt;高値!V347),15,""))</f>
      </c>
      <c r="AQ347" s="684">
        <f>IF(終値!A347="","",IF(AND(高値!U347&gt;高値!T347,高値!U347&gt;高値!S347,高値!U347&gt;高値!V347,高値!U347&gt;高値!W347),16,""))</f>
      </c>
      <c r="AR347" s="684">
        <f>IF(終値!A347="","",IF(AND(高値!V347&gt;高値!U347,高値!V347&gt;高値!T347,高値!V347&gt;高値!W347,高値!V347&gt;高値!X347),17,""))</f>
      </c>
      <c r="AS347" s="684">
        <f>IF(終値!A347="","",IF(AND(高値!W347&gt;高値!V347,高値!W347&gt;高値!U347,高値!W347&gt;高値!X347,高値!W347&gt;高値!Y347),18,""))</f>
      </c>
      <c r="AT347" s="684">
        <f>IF(終値!A347="","",IF(AND(高値!X347&gt;高値!W347,高値!X347&gt;高値!V347,高値!X347&gt;高値!Y347,高値!X347&gt;高値!Z347),19,""))</f>
      </c>
      <c r="AU347" s="684">
        <f>IF(終値!A347="","",IF(AND(高値!Y347&gt;高値!X347,高値!Y347&gt;高値!W347,高値!Y347&gt;高値!Z347,高値!Y347&gt;高値!AA347),20,""))</f>
      </c>
      <c r="AV347" s="684">
        <f>IF(終値!A347="","",IF(AND(高値!Z347&gt;高値!Y347,高値!Z347&gt;高値!X347,高値!Z347&gt;高値!AA347,高値!Z347&gt;高値!AB347),21,""))</f>
      </c>
      <c r="AW347" s="684">
        <f>IF(終値!A347="","",IF(AND(高値!AA347&gt;高値!Z347,高値!AA347&gt;高値!Y347,高値!AA347&gt;高値!AB347,高値!AA347&gt;高値!AC347),22,""))</f>
      </c>
      <c r="AX347" s="684">
        <f>IF(終値!A347="","",IF(AND(高値!AB347&gt;高値!AA347,高値!AB347&gt;高値!Z347,高値!AB347&gt;高値!AC347,高値!AB347&gt;高値!AD347),23,""))</f>
      </c>
      <c r="AY347" s="684">
        <f>IF(終値!A347="","",IF(AND(高値!AC347&gt;高値!AB347,高値!AC347&gt;高値!AA347,高値!AC347&gt;高値!AD347,高値!AC347&gt;高値!AE347),24,""))</f>
      </c>
      <c r="AZ347" s="684">
        <f>IF(終値!A347="","",IF(AND(高値!AD347&gt;高値!AC347,高値!AD347&gt;高値!AB347,高値!AD347&gt;高値!AE347,高値!AD347&gt;高値!AF347),25,""))</f>
      </c>
      <c r="BA347" s="684">
        <f>IF(終値!A347="","",IF(AND(高値!AE347&gt;高値!AD347,高値!AE347&gt;高値!AC347,高値!AE347&gt;高値!AF347,高値!AE347&gt;高値!AG347),26,""))</f>
      </c>
      <c r="BB347" s="684">
        <f>IF(終値!A347="","",IF(AND(高値!AF347&gt;高値!AE347,高値!AF347&gt;高値!AD347,高値!AF347&gt;高値!AG347,高値!AF347&gt;高値!AH347),27,""))</f>
      </c>
      <c r="BC347" s="684">
        <f>IF(終値!A347="","",IF(AND(高値!AG347&gt;高値!AF347,高値!AG347&gt;高値!AE347,高値!AG347&gt;高値!AH347,高値!AG347&gt;高値!AI347),28,""))</f>
      </c>
      <c r="BD347" s="684">
        <f>COUNT($B347:$AB347)</f>
      </c>
      <c r="BE347" s="684">
        <f>IF($BD347&gt;=2,MIN($B347:$AB347),"")</f>
      </c>
      <c r="BF347" s="684">
        <f>IF($BD347&gt;=2,SMALL($B347:$AB347,2),"")</f>
      </c>
      <c r="BG347" s="684">
        <f>IF($BE347="","",INDEX(安値!$E347:$CZ347,1,$BE347+1))</f>
      </c>
      <c r="BH347" s="684">
        <f>IF($BF347="","",INDEX(安値!$E347:$CZ347,1,$BF347+1))</f>
      </c>
      <c r="BI347" s="684">
        <f>IF($BF347="","",MAX(INDEX(高値!$E347:$CZ347,1,$BE347+1):INDEX(高値!$E347:$CZ347,1,$BF347+1)))</f>
      </c>
      <c r="BJ347" s="684">
        <f>IF($BF347="","",AVERAGE(INDEX(終値!$E347:$CZ347,1,$BF347+1):INDEX(終値!$E347:$CZ347,1,$BF347+20))-2*STDEVP(INDEX(終値!$E347:$CZ347,1,$BF347+1):INDEX(終値!$E347:$CZ347,1,$BF347+20)))</f>
      </c>
      <c r="BK347" s="684">
        <f>IF($BE347="","",AVERAGE(INDEX(終値!$E347:$CZ347,1,$BE347+1):INDEX(終値!$E347:$CZ347,1,$BE347+20))-2*STDEVP(INDEX(終値!$E347:$CZ347,1,$BE347+1):INDEX(終値!$E347:$CZ347,1,$BE347+20)))</f>
      </c>
      <c r="BL347" s="684">
        <f>COUNT($AC347:$BC347)</f>
      </c>
      <c r="BM347" s="684">
        <f>IF($BL347&gt;=2,MIN($AC347:$BC347),"")</f>
      </c>
      <c r="BN347" s="684">
        <f>IF($BL347&gt;=2,SMALL($AC347:$BC347,2),"")</f>
      </c>
      <c r="BO347" s="684">
        <f>IF($BM347="","",INDEX(高値!$E347:$CZ347,1,$BM347+1))</f>
      </c>
      <c r="BP347" s="684">
        <f>IF($BN347="","",INDEX(高値!$E347:$CZ347,1,$BN347+1))</f>
      </c>
      <c r="BQ347" s="684">
        <f>IF($BN347="","",MIN(INDEX(安値!$E347:$CZ347,1,$BM347+1):INDEX(安値!$E347:$CZ347,1,$BN347+1)))</f>
      </c>
      <c r="BR347" s="684">
        <f>IF($BN347="","",AVERAGE(INDEX(終値!$E347:$CZ347,1,$BN347+1):INDEX(終値!$E347:$CZ347,1,$BN347+20))+2*STDEVP(INDEX(終値!$E347:$CZ347,1,$BN347+1):INDEX(終値!$E347:$CZ347,1,$BN347+20)))</f>
      </c>
      <c r="BS347" s="684">
        <f>IF($BM347="","",AVERAGE(INDEX(終値!$E347:$CZ347,1,$BM347+1):INDEX(終値!$E347:$CZ347,1,$BM347+20))+2*STDEVP(INDEX(終値!$E347:$CZ347,1,$BM347+1):INDEX(終値!$E347:$CZ347,1,$BM347+20)))</f>
      </c>
      <c r="BT347" s="681">
        <f>IFERROR(IF(AND($BD347&gt;=2,ABS($BG347-$BH347)/$BH347&lt;=BB設定!$B$12,$BI347&gt;=MAX($BH347,$BG347)*(1+BB設定!$B$13),終値!E347&gt;$BG347),IF(OR(終値!E347&gt;=$BI347,AND($BH347&lt;$BJ347,$BG347&gt;=$BK347)),"二番底W▲","二番底W形成"),IF(AND($BL347&gt;=2,ABS($BO347-$BP347)/$BP347&lt;=BB設定!$B$12,$BQ347&lt;=MIN($BP347,$BO347)*(1-BB設定!$B$13),終値!E347&lt;$BO347),IF(OR(終値!E347&lt;=$BQ347,AND($BP347&gt;$BR347,$BO347&lt;=$BS347)),"二番天井M▼","二番天井M形成"),"－")),"－")</f>
      </c>
    </row>
    <row r="348">
      <c r="B348" s="684">
        <f>IF(終値!A348="","",IF(AND(安値!G348&lt;安値!F348,安値!G348&lt;安値!E348,安値!G348&lt;安値!H348,安値!G348&lt;安値!I348),2,""))</f>
      </c>
      <c r="C348" s="684">
        <f>IF(終値!A348="","",IF(AND(安値!H348&lt;安値!G348,安値!H348&lt;安値!F348,安値!H348&lt;安値!I348,安値!H348&lt;安値!J348),3,""))</f>
      </c>
      <c r="D348" s="684">
        <f>IF(終値!A348="","",IF(AND(安値!I348&lt;安値!H348,安値!I348&lt;安値!G348,安値!I348&lt;安値!J348,安値!I348&lt;安値!K348),4,""))</f>
      </c>
      <c r="E348" s="684">
        <f>IF(終値!A348="","",IF(AND(安値!J348&lt;安値!I348,安値!J348&lt;安値!H348,安値!J348&lt;安値!K348,安値!J348&lt;安値!L348),5,""))</f>
      </c>
      <c r="F348" s="684">
        <f>IF(終値!A348="","",IF(AND(安値!K348&lt;安値!J348,安値!K348&lt;安値!I348,安値!K348&lt;安値!L348,安値!K348&lt;安値!M348),6,""))</f>
      </c>
      <c r="G348" s="684">
        <f>IF(終値!A348="","",IF(AND(安値!L348&lt;安値!K348,安値!L348&lt;安値!J348,安値!L348&lt;安値!M348,安値!L348&lt;安値!N348),7,""))</f>
      </c>
      <c r="H348" s="684">
        <f>IF(終値!A348="","",IF(AND(安値!M348&lt;安値!L348,安値!M348&lt;安値!K348,安値!M348&lt;安値!N348,安値!M348&lt;安値!O348),8,""))</f>
      </c>
      <c r="I348" s="684">
        <f>IF(終値!A348="","",IF(AND(安値!N348&lt;安値!M348,安値!N348&lt;安値!L348,安値!N348&lt;安値!O348,安値!N348&lt;安値!P348),9,""))</f>
      </c>
      <c r="J348" s="684">
        <f>IF(終値!A348="","",IF(AND(安値!O348&lt;安値!N348,安値!O348&lt;安値!M348,安値!O348&lt;安値!P348,安値!O348&lt;安値!Q348),10,""))</f>
      </c>
      <c r="K348" s="684">
        <f>IF(終値!A348="","",IF(AND(安値!P348&lt;安値!O348,安値!P348&lt;安値!N348,安値!P348&lt;安値!Q348,安値!P348&lt;安値!R348),11,""))</f>
      </c>
      <c r="L348" s="684">
        <f>IF(終値!A348="","",IF(AND(安値!Q348&lt;安値!P348,安値!Q348&lt;安値!O348,安値!Q348&lt;安値!R348,安値!Q348&lt;安値!S348),12,""))</f>
      </c>
      <c r="M348" s="684">
        <f>IF(終値!A348="","",IF(AND(安値!R348&lt;安値!Q348,安値!R348&lt;安値!P348,安値!R348&lt;安値!S348,安値!R348&lt;安値!T348),13,""))</f>
      </c>
      <c r="N348" s="684">
        <f>IF(終値!A348="","",IF(AND(安値!S348&lt;安値!R348,安値!S348&lt;安値!Q348,安値!S348&lt;安値!T348,安値!S348&lt;安値!U348),14,""))</f>
      </c>
      <c r="O348" s="684">
        <f>IF(終値!A348="","",IF(AND(安値!T348&lt;安値!S348,安値!T348&lt;安値!R348,安値!T348&lt;安値!U348,安値!T348&lt;安値!V348),15,""))</f>
      </c>
      <c r="P348" s="684">
        <f>IF(終値!A348="","",IF(AND(安値!U348&lt;安値!T348,安値!U348&lt;安値!S348,安値!U348&lt;安値!V348,安値!U348&lt;安値!W348),16,""))</f>
      </c>
      <c r="Q348" s="684">
        <f>IF(終値!A348="","",IF(AND(安値!V348&lt;安値!U348,安値!V348&lt;安値!T348,安値!V348&lt;安値!W348,安値!V348&lt;安値!X348),17,""))</f>
      </c>
      <c r="R348" s="684">
        <f>IF(終値!A348="","",IF(AND(安値!W348&lt;安値!V348,安値!W348&lt;安値!U348,安値!W348&lt;安値!X348,安値!W348&lt;安値!Y348),18,""))</f>
      </c>
      <c r="S348" s="684">
        <f>IF(終値!A348="","",IF(AND(安値!X348&lt;安値!W348,安値!X348&lt;安値!V348,安値!X348&lt;安値!Y348,安値!X348&lt;安値!Z348),19,""))</f>
      </c>
      <c r="T348" s="684">
        <f>IF(終値!A348="","",IF(AND(安値!Y348&lt;安値!X348,安値!Y348&lt;安値!W348,安値!Y348&lt;安値!Z348,安値!Y348&lt;安値!AA348),20,""))</f>
      </c>
      <c r="U348" s="684">
        <f>IF(終値!A348="","",IF(AND(安値!Z348&lt;安値!Y348,安値!Z348&lt;安値!X348,安値!Z348&lt;安値!AA348,安値!Z348&lt;安値!AB348),21,""))</f>
      </c>
      <c r="V348" s="684">
        <f>IF(終値!A348="","",IF(AND(安値!AA348&lt;安値!Z348,安値!AA348&lt;安値!Y348,安値!AA348&lt;安値!AB348,安値!AA348&lt;安値!AC348),22,""))</f>
      </c>
      <c r="W348" s="684">
        <f>IF(終値!A348="","",IF(AND(安値!AB348&lt;安値!AA348,安値!AB348&lt;安値!Z348,安値!AB348&lt;安値!AC348,安値!AB348&lt;安値!AD348),23,""))</f>
      </c>
      <c r="X348" s="684">
        <f>IF(終値!A348="","",IF(AND(安値!AC348&lt;安値!AB348,安値!AC348&lt;安値!AA348,安値!AC348&lt;安値!AD348,安値!AC348&lt;安値!AE348),24,""))</f>
      </c>
      <c r="Y348" s="684">
        <f>IF(終値!A348="","",IF(AND(安値!AD348&lt;安値!AC348,安値!AD348&lt;安値!AB348,安値!AD348&lt;安値!AE348,安値!AD348&lt;安値!AF348),25,""))</f>
      </c>
      <c r="Z348" s="684">
        <f>IF(終値!A348="","",IF(AND(安値!AE348&lt;安値!AD348,安値!AE348&lt;安値!AC348,安値!AE348&lt;安値!AF348,安値!AE348&lt;安値!AG348),26,""))</f>
      </c>
      <c r="AA348" s="684">
        <f>IF(終値!A348="","",IF(AND(安値!AF348&lt;安値!AE348,安値!AF348&lt;安値!AD348,安値!AF348&lt;安値!AG348,安値!AF348&lt;安値!AH348),27,""))</f>
      </c>
      <c r="AB348" s="684">
        <f>IF(終値!A348="","",IF(AND(安値!AG348&lt;安値!AF348,安値!AG348&lt;安値!AE348,安値!AG348&lt;安値!AH348,安値!AG348&lt;安値!AI348),28,""))</f>
      </c>
      <c r="AC348" s="684">
        <f>IF(終値!A348="","",IF(AND(高値!G348&gt;高値!F348,高値!G348&gt;高値!E348,高値!G348&gt;高値!H348,高値!G348&gt;高値!I348),2,""))</f>
      </c>
      <c r="AD348" s="684">
        <f>IF(終値!A348="","",IF(AND(高値!H348&gt;高値!G348,高値!H348&gt;高値!F348,高値!H348&gt;高値!I348,高値!H348&gt;高値!J348),3,""))</f>
      </c>
      <c r="AE348" s="684">
        <f>IF(終値!A348="","",IF(AND(高値!I348&gt;高値!H348,高値!I348&gt;高値!G348,高値!I348&gt;高値!J348,高値!I348&gt;高値!K348),4,""))</f>
      </c>
      <c r="AF348" s="684">
        <f>IF(終値!A348="","",IF(AND(高値!J348&gt;高値!I348,高値!J348&gt;高値!H348,高値!J348&gt;高値!K348,高値!J348&gt;高値!L348),5,""))</f>
      </c>
      <c r="AG348" s="684">
        <f>IF(終値!A348="","",IF(AND(高値!K348&gt;高値!J348,高値!K348&gt;高値!I348,高値!K348&gt;高値!L348,高値!K348&gt;高値!M348),6,""))</f>
      </c>
      <c r="AH348" s="684">
        <f>IF(終値!A348="","",IF(AND(高値!L348&gt;高値!K348,高値!L348&gt;高値!J348,高値!L348&gt;高値!M348,高値!L348&gt;高値!N348),7,""))</f>
      </c>
      <c r="AI348" s="684">
        <f>IF(終値!A348="","",IF(AND(高値!M348&gt;高値!L348,高値!M348&gt;高値!K348,高値!M348&gt;高値!N348,高値!M348&gt;高値!O348),8,""))</f>
      </c>
      <c r="AJ348" s="684">
        <f>IF(終値!A348="","",IF(AND(高値!N348&gt;高値!M348,高値!N348&gt;高値!L348,高値!N348&gt;高値!O348,高値!N348&gt;高値!P348),9,""))</f>
      </c>
      <c r="AK348" s="684">
        <f>IF(終値!A348="","",IF(AND(高値!O348&gt;高値!N348,高値!O348&gt;高値!M348,高値!O348&gt;高値!P348,高値!O348&gt;高値!Q348),10,""))</f>
      </c>
      <c r="AL348" s="684">
        <f>IF(終値!A348="","",IF(AND(高値!P348&gt;高値!O348,高値!P348&gt;高値!N348,高値!P348&gt;高値!Q348,高値!P348&gt;高値!R348),11,""))</f>
      </c>
      <c r="AM348" s="684">
        <f>IF(終値!A348="","",IF(AND(高値!Q348&gt;高値!P348,高値!Q348&gt;高値!O348,高値!Q348&gt;高値!R348,高値!Q348&gt;高値!S348),12,""))</f>
      </c>
      <c r="AN348" s="684">
        <f>IF(終値!A348="","",IF(AND(高値!R348&gt;高値!Q348,高値!R348&gt;高値!P348,高値!R348&gt;高値!S348,高値!R348&gt;高値!T348),13,""))</f>
      </c>
      <c r="AO348" s="684">
        <f>IF(終値!A348="","",IF(AND(高値!S348&gt;高値!R348,高値!S348&gt;高値!Q348,高値!S348&gt;高値!T348,高値!S348&gt;高値!U348),14,""))</f>
      </c>
      <c r="AP348" s="684">
        <f>IF(終値!A348="","",IF(AND(高値!T348&gt;高値!S348,高値!T348&gt;高値!R348,高値!T348&gt;高値!U348,高値!T348&gt;高値!V348),15,""))</f>
      </c>
      <c r="AQ348" s="684">
        <f>IF(終値!A348="","",IF(AND(高値!U348&gt;高値!T348,高値!U348&gt;高値!S348,高値!U348&gt;高値!V348,高値!U348&gt;高値!W348),16,""))</f>
      </c>
      <c r="AR348" s="684">
        <f>IF(終値!A348="","",IF(AND(高値!V348&gt;高値!U348,高値!V348&gt;高値!T348,高値!V348&gt;高値!W348,高値!V348&gt;高値!X348),17,""))</f>
      </c>
      <c r="AS348" s="684">
        <f>IF(終値!A348="","",IF(AND(高値!W348&gt;高値!V348,高値!W348&gt;高値!U348,高値!W348&gt;高値!X348,高値!W348&gt;高値!Y348),18,""))</f>
      </c>
      <c r="AT348" s="684">
        <f>IF(終値!A348="","",IF(AND(高値!X348&gt;高値!W348,高値!X348&gt;高値!V348,高値!X348&gt;高値!Y348,高値!X348&gt;高値!Z348),19,""))</f>
      </c>
      <c r="AU348" s="684">
        <f>IF(終値!A348="","",IF(AND(高値!Y348&gt;高値!X348,高値!Y348&gt;高値!W348,高値!Y348&gt;高値!Z348,高値!Y348&gt;高値!AA348),20,""))</f>
      </c>
      <c r="AV348" s="684">
        <f>IF(終値!A348="","",IF(AND(高値!Z348&gt;高値!Y348,高値!Z348&gt;高値!X348,高値!Z348&gt;高値!AA348,高値!Z348&gt;高値!AB348),21,""))</f>
      </c>
      <c r="AW348" s="684">
        <f>IF(終値!A348="","",IF(AND(高値!AA348&gt;高値!Z348,高値!AA348&gt;高値!Y348,高値!AA348&gt;高値!AB348,高値!AA348&gt;高値!AC348),22,""))</f>
      </c>
      <c r="AX348" s="684">
        <f>IF(終値!A348="","",IF(AND(高値!AB348&gt;高値!AA348,高値!AB348&gt;高値!Z348,高値!AB348&gt;高値!AC348,高値!AB348&gt;高値!AD348),23,""))</f>
      </c>
      <c r="AY348" s="684">
        <f>IF(終値!A348="","",IF(AND(高値!AC348&gt;高値!AB348,高値!AC348&gt;高値!AA348,高値!AC348&gt;高値!AD348,高値!AC348&gt;高値!AE348),24,""))</f>
      </c>
      <c r="AZ348" s="684">
        <f>IF(終値!A348="","",IF(AND(高値!AD348&gt;高値!AC348,高値!AD348&gt;高値!AB348,高値!AD348&gt;高値!AE348,高値!AD348&gt;高値!AF348),25,""))</f>
      </c>
      <c r="BA348" s="684">
        <f>IF(終値!A348="","",IF(AND(高値!AE348&gt;高値!AD348,高値!AE348&gt;高値!AC348,高値!AE348&gt;高値!AF348,高値!AE348&gt;高値!AG348),26,""))</f>
      </c>
      <c r="BB348" s="684">
        <f>IF(終値!A348="","",IF(AND(高値!AF348&gt;高値!AE348,高値!AF348&gt;高値!AD348,高値!AF348&gt;高値!AG348,高値!AF348&gt;高値!AH348),27,""))</f>
      </c>
      <c r="BC348" s="684">
        <f>IF(終値!A348="","",IF(AND(高値!AG348&gt;高値!AF348,高値!AG348&gt;高値!AE348,高値!AG348&gt;高値!AH348,高値!AG348&gt;高値!AI348),28,""))</f>
      </c>
      <c r="BD348" s="684">
        <f>COUNT($B348:$AB348)</f>
      </c>
      <c r="BE348" s="684">
        <f>IF($BD348&gt;=2,MIN($B348:$AB348),"")</f>
      </c>
      <c r="BF348" s="684">
        <f>IF($BD348&gt;=2,SMALL($B348:$AB348,2),"")</f>
      </c>
      <c r="BG348" s="684">
        <f>IF($BE348="","",INDEX(安値!$E348:$CZ348,1,$BE348+1))</f>
      </c>
      <c r="BH348" s="684">
        <f>IF($BF348="","",INDEX(安値!$E348:$CZ348,1,$BF348+1))</f>
      </c>
      <c r="BI348" s="684">
        <f>IF($BF348="","",MAX(INDEX(高値!$E348:$CZ348,1,$BE348+1):INDEX(高値!$E348:$CZ348,1,$BF348+1)))</f>
      </c>
      <c r="BJ348" s="684">
        <f>IF($BF348="","",AVERAGE(INDEX(終値!$E348:$CZ348,1,$BF348+1):INDEX(終値!$E348:$CZ348,1,$BF348+20))-2*STDEVP(INDEX(終値!$E348:$CZ348,1,$BF348+1):INDEX(終値!$E348:$CZ348,1,$BF348+20)))</f>
      </c>
      <c r="BK348" s="684">
        <f>IF($BE348="","",AVERAGE(INDEX(終値!$E348:$CZ348,1,$BE348+1):INDEX(終値!$E348:$CZ348,1,$BE348+20))-2*STDEVP(INDEX(終値!$E348:$CZ348,1,$BE348+1):INDEX(終値!$E348:$CZ348,1,$BE348+20)))</f>
      </c>
      <c r="BL348" s="684">
        <f>COUNT($AC348:$BC348)</f>
      </c>
      <c r="BM348" s="684">
        <f>IF($BL348&gt;=2,MIN($AC348:$BC348),"")</f>
      </c>
      <c r="BN348" s="684">
        <f>IF($BL348&gt;=2,SMALL($AC348:$BC348,2),"")</f>
      </c>
      <c r="BO348" s="684">
        <f>IF($BM348="","",INDEX(高値!$E348:$CZ348,1,$BM348+1))</f>
      </c>
      <c r="BP348" s="684">
        <f>IF($BN348="","",INDEX(高値!$E348:$CZ348,1,$BN348+1))</f>
      </c>
      <c r="BQ348" s="684">
        <f>IF($BN348="","",MIN(INDEX(安値!$E348:$CZ348,1,$BM348+1):INDEX(安値!$E348:$CZ348,1,$BN348+1)))</f>
      </c>
      <c r="BR348" s="684">
        <f>IF($BN348="","",AVERAGE(INDEX(終値!$E348:$CZ348,1,$BN348+1):INDEX(終値!$E348:$CZ348,1,$BN348+20))+2*STDEVP(INDEX(終値!$E348:$CZ348,1,$BN348+1):INDEX(終値!$E348:$CZ348,1,$BN348+20)))</f>
      </c>
      <c r="BS348" s="684">
        <f>IF($BM348="","",AVERAGE(INDEX(終値!$E348:$CZ348,1,$BM348+1):INDEX(終値!$E348:$CZ348,1,$BM348+20))+2*STDEVP(INDEX(終値!$E348:$CZ348,1,$BM348+1):INDEX(終値!$E348:$CZ348,1,$BM348+20)))</f>
      </c>
      <c r="BT348" s="681">
        <f>IFERROR(IF(AND($BD348&gt;=2,ABS($BG348-$BH348)/$BH348&lt;=BB設定!$B$12,$BI348&gt;=MAX($BH348,$BG348)*(1+BB設定!$B$13),終値!E348&gt;$BG348),IF(OR(終値!E348&gt;=$BI348,AND($BH348&lt;$BJ348,$BG348&gt;=$BK348)),"二番底W▲","二番底W形成"),IF(AND($BL348&gt;=2,ABS($BO348-$BP348)/$BP348&lt;=BB設定!$B$12,$BQ348&lt;=MIN($BP348,$BO348)*(1-BB設定!$B$13),終値!E348&lt;$BO348),IF(OR(終値!E348&lt;=$BQ348,AND($BP348&gt;$BR348,$BO348&lt;=$BS348)),"二番天井M▼","二番天井M形成"),"－")),"－")</f>
      </c>
    </row>
    <row r="349">
      <c r="B349" s="684">
        <f>IF(終値!A349="","",IF(AND(安値!G349&lt;安値!F349,安値!G349&lt;安値!E349,安値!G349&lt;安値!H349,安値!G349&lt;安値!I349),2,""))</f>
      </c>
      <c r="C349" s="684">
        <f>IF(終値!A349="","",IF(AND(安値!H349&lt;安値!G349,安値!H349&lt;安値!F349,安値!H349&lt;安値!I349,安値!H349&lt;安値!J349),3,""))</f>
      </c>
      <c r="D349" s="684">
        <f>IF(終値!A349="","",IF(AND(安値!I349&lt;安値!H349,安値!I349&lt;安値!G349,安値!I349&lt;安値!J349,安値!I349&lt;安値!K349),4,""))</f>
      </c>
      <c r="E349" s="684">
        <f>IF(終値!A349="","",IF(AND(安値!J349&lt;安値!I349,安値!J349&lt;安値!H349,安値!J349&lt;安値!K349,安値!J349&lt;安値!L349),5,""))</f>
      </c>
      <c r="F349" s="684">
        <f>IF(終値!A349="","",IF(AND(安値!K349&lt;安値!J349,安値!K349&lt;安値!I349,安値!K349&lt;安値!L349,安値!K349&lt;安値!M349),6,""))</f>
      </c>
      <c r="G349" s="684">
        <f>IF(終値!A349="","",IF(AND(安値!L349&lt;安値!K349,安値!L349&lt;安値!J349,安値!L349&lt;安値!M349,安値!L349&lt;安値!N349),7,""))</f>
      </c>
      <c r="H349" s="684">
        <f>IF(終値!A349="","",IF(AND(安値!M349&lt;安値!L349,安値!M349&lt;安値!K349,安値!M349&lt;安値!N349,安値!M349&lt;安値!O349),8,""))</f>
      </c>
      <c r="I349" s="684">
        <f>IF(終値!A349="","",IF(AND(安値!N349&lt;安値!M349,安値!N349&lt;安値!L349,安値!N349&lt;安値!O349,安値!N349&lt;安値!P349),9,""))</f>
      </c>
      <c r="J349" s="684">
        <f>IF(終値!A349="","",IF(AND(安値!O349&lt;安値!N349,安値!O349&lt;安値!M349,安値!O349&lt;安値!P349,安値!O349&lt;安値!Q349),10,""))</f>
      </c>
      <c r="K349" s="684">
        <f>IF(終値!A349="","",IF(AND(安値!P349&lt;安値!O349,安値!P349&lt;安値!N349,安値!P349&lt;安値!Q349,安値!P349&lt;安値!R349),11,""))</f>
      </c>
      <c r="L349" s="684">
        <f>IF(終値!A349="","",IF(AND(安値!Q349&lt;安値!P349,安値!Q349&lt;安値!O349,安値!Q349&lt;安値!R349,安値!Q349&lt;安値!S349),12,""))</f>
      </c>
      <c r="M349" s="684">
        <f>IF(終値!A349="","",IF(AND(安値!R349&lt;安値!Q349,安値!R349&lt;安値!P349,安値!R349&lt;安値!S349,安値!R349&lt;安値!T349),13,""))</f>
      </c>
      <c r="N349" s="684">
        <f>IF(終値!A349="","",IF(AND(安値!S349&lt;安値!R349,安値!S349&lt;安値!Q349,安値!S349&lt;安値!T349,安値!S349&lt;安値!U349),14,""))</f>
      </c>
      <c r="O349" s="684">
        <f>IF(終値!A349="","",IF(AND(安値!T349&lt;安値!S349,安値!T349&lt;安値!R349,安値!T349&lt;安値!U349,安値!T349&lt;安値!V349),15,""))</f>
      </c>
      <c r="P349" s="684">
        <f>IF(終値!A349="","",IF(AND(安値!U349&lt;安値!T349,安値!U349&lt;安値!S349,安値!U349&lt;安値!V349,安値!U349&lt;安値!W349),16,""))</f>
      </c>
      <c r="Q349" s="684">
        <f>IF(終値!A349="","",IF(AND(安値!V349&lt;安値!U349,安値!V349&lt;安値!T349,安値!V349&lt;安値!W349,安値!V349&lt;安値!X349),17,""))</f>
      </c>
      <c r="R349" s="684">
        <f>IF(終値!A349="","",IF(AND(安値!W349&lt;安値!V349,安値!W349&lt;安値!U349,安値!W349&lt;安値!X349,安値!W349&lt;安値!Y349),18,""))</f>
      </c>
      <c r="S349" s="684">
        <f>IF(終値!A349="","",IF(AND(安値!X349&lt;安値!W349,安値!X349&lt;安値!V349,安値!X349&lt;安値!Y349,安値!X349&lt;安値!Z349),19,""))</f>
      </c>
      <c r="T349" s="684">
        <f>IF(終値!A349="","",IF(AND(安値!Y349&lt;安値!X349,安値!Y349&lt;安値!W349,安値!Y349&lt;安値!Z349,安値!Y349&lt;安値!AA349),20,""))</f>
      </c>
      <c r="U349" s="684">
        <f>IF(終値!A349="","",IF(AND(安値!Z349&lt;安値!Y349,安値!Z349&lt;安値!X349,安値!Z349&lt;安値!AA349,安値!Z349&lt;安値!AB349),21,""))</f>
      </c>
      <c r="V349" s="684">
        <f>IF(終値!A349="","",IF(AND(安値!AA349&lt;安値!Z349,安値!AA349&lt;安値!Y349,安値!AA349&lt;安値!AB349,安値!AA349&lt;安値!AC349),22,""))</f>
      </c>
      <c r="W349" s="684">
        <f>IF(終値!A349="","",IF(AND(安値!AB349&lt;安値!AA349,安値!AB349&lt;安値!Z349,安値!AB349&lt;安値!AC349,安値!AB349&lt;安値!AD349),23,""))</f>
      </c>
      <c r="X349" s="684">
        <f>IF(終値!A349="","",IF(AND(安値!AC349&lt;安値!AB349,安値!AC349&lt;安値!AA349,安値!AC349&lt;安値!AD349,安値!AC349&lt;安値!AE349),24,""))</f>
      </c>
      <c r="Y349" s="684">
        <f>IF(終値!A349="","",IF(AND(安値!AD349&lt;安値!AC349,安値!AD349&lt;安値!AB349,安値!AD349&lt;安値!AE349,安値!AD349&lt;安値!AF349),25,""))</f>
      </c>
      <c r="Z349" s="684">
        <f>IF(終値!A349="","",IF(AND(安値!AE349&lt;安値!AD349,安値!AE349&lt;安値!AC349,安値!AE349&lt;安値!AF349,安値!AE349&lt;安値!AG349),26,""))</f>
      </c>
      <c r="AA349" s="684">
        <f>IF(終値!A349="","",IF(AND(安値!AF349&lt;安値!AE349,安値!AF349&lt;安値!AD349,安値!AF349&lt;安値!AG349,安値!AF349&lt;安値!AH349),27,""))</f>
      </c>
      <c r="AB349" s="684">
        <f>IF(終値!A349="","",IF(AND(安値!AG349&lt;安値!AF349,安値!AG349&lt;安値!AE349,安値!AG349&lt;安値!AH349,安値!AG349&lt;安値!AI349),28,""))</f>
      </c>
      <c r="AC349" s="684">
        <f>IF(終値!A349="","",IF(AND(高値!G349&gt;高値!F349,高値!G349&gt;高値!E349,高値!G349&gt;高値!H349,高値!G349&gt;高値!I349),2,""))</f>
      </c>
      <c r="AD349" s="684">
        <f>IF(終値!A349="","",IF(AND(高値!H349&gt;高値!G349,高値!H349&gt;高値!F349,高値!H349&gt;高値!I349,高値!H349&gt;高値!J349),3,""))</f>
      </c>
      <c r="AE349" s="684">
        <f>IF(終値!A349="","",IF(AND(高値!I349&gt;高値!H349,高値!I349&gt;高値!G349,高値!I349&gt;高値!J349,高値!I349&gt;高値!K349),4,""))</f>
      </c>
      <c r="AF349" s="684">
        <f>IF(終値!A349="","",IF(AND(高値!J349&gt;高値!I349,高値!J349&gt;高値!H349,高値!J349&gt;高値!K349,高値!J349&gt;高値!L349),5,""))</f>
      </c>
      <c r="AG349" s="684">
        <f>IF(終値!A349="","",IF(AND(高値!K349&gt;高値!J349,高値!K349&gt;高値!I349,高値!K349&gt;高値!L349,高値!K349&gt;高値!M349),6,""))</f>
      </c>
      <c r="AH349" s="684">
        <f>IF(終値!A349="","",IF(AND(高値!L349&gt;高値!K349,高値!L349&gt;高値!J349,高値!L349&gt;高値!M349,高値!L349&gt;高値!N349),7,""))</f>
      </c>
      <c r="AI349" s="684">
        <f>IF(終値!A349="","",IF(AND(高値!M349&gt;高値!L349,高値!M349&gt;高値!K349,高値!M349&gt;高値!N349,高値!M349&gt;高値!O349),8,""))</f>
      </c>
      <c r="AJ349" s="684">
        <f>IF(終値!A349="","",IF(AND(高値!N349&gt;高値!M349,高値!N349&gt;高値!L349,高値!N349&gt;高値!O349,高値!N349&gt;高値!P349),9,""))</f>
      </c>
      <c r="AK349" s="684">
        <f>IF(終値!A349="","",IF(AND(高値!O349&gt;高値!N349,高値!O349&gt;高値!M349,高値!O349&gt;高値!P349,高値!O349&gt;高値!Q349),10,""))</f>
      </c>
      <c r="AL349" s="684">
        <f>IF(終値!A349="","",IF(AND(高値!P349&gt;高値!O349,高値!P349&gt;高値!N349,高値!P349&gt;高値!Q349,高値!P349&gt;高値!R349),11,""))</f>
      </c>
      <c r="AM349" s="684">
        <f>IF(終値!A349="","",IF(AND(高値!Q349&gt;高値!P349,高値!Q349&gt;高値!O349,高値!Q349&gt;高値!R349,高値!Q349&gt;高値!S349),12,""))</f>
      </c>
      <c r="AN349" s="684">
        <f>IF(終値!A349="","",IF(AND(高値!R349&gt;高値!Q349,高値!R349&gt;高値!P349,高値!R349&gt;高値!S349,高値!R349&gt;高値!T349),13,""))</f>
      </c>
      <c r="AO349" s="684">
        <f>IF(終値!A349="","",IF(AND(高値!S349&gt;高値!R349,高値!S349&gt;高値!Q349,高値!S349&gt;高値!T349,高値!S349&gt;高値!U349),14,""))</f>
      </c>
      <c r="AP349" s="684">
        <f>IF(終値!A349="","",IF(AND(高値!T349&gt;高値!S349,高値!T349&gt;高値!R349,高値!T349&gt;高値!U349,高値!T349&gt;高値!V349),15,""))</f>
      </c>
      <c r="AQ349" s="684">
        <f>IF(終値!A349="","",IF(AND(高値!U349&gt;高値!T349,高値!U349&gt;高値!S349,高値!U349&gt;高値!V349,高値!U349&gt;高値!W349),16,""))</f>
      </c>
      <c r="AR349" s="684">
        <f>IF(終値!A349="","",IF(AND(高値!V349&gt;高値!U349,高値!V349&gt;高値!T349,高値!V349&gt;高値!W349,高値!V349&gt;高値!X349),17,""))</f>
      </c>
      <c r="AS349" s="684">
        <f>IF(終値!A349="","",IF(AND(高値!W349&gt;高値!V349,高値!W349&gt;高値!U349,高値!W349&gt;高値!X349,高値!W349&gt;高値!Y349),18,""))</f>
      </c>
      <c r="AT349" s="684">
        <f>IF(終値!A349="","",IF(AND(高値!X349&gt;高値!W349,高値!X349&gt;高値!V349,高値!X349&gt;高値!Y349,高値!X349&gt;高値!Z349),19,""))</f>
      </c>
      <c r="AU349" s="684">
        <f>IF(終値!A349="","",IF(AND(高値!Y349&gt;高値!X349,高値!Y349&gt;高値!W349,高値!Y349&gt;高値!Z349,高値!Y349&gt;高値!AA349),20,""))</f>
      </c>
      <c r="AV349" s="684">
        <f>IF(終値!A349="","",IF(AND(高値!Z349&gt;高値!Y349,高値!Z349&gt;高値!X349,高値!Z349&gt;高値!AA349,高値!Z349&gt;高値!AB349),21,""))</f>
      </c>
      <c r="AW349" s="684">
        <f>IF(終値!A349="","",IF(AND(高値!AA349&gt;高値!Z349,高値!AA349&gt;高値!Y349,高値!AA349&gt;高値!AB349,高値!AA349&gt;高値!AC349),22,""))</f>
      </c>
      <c r="AX349" s="684">
        <f>IF(終値!A349="","",IF(AND(高値!AB349&gt;高値!AA349,高値!AB349&gt;高値!Z349,高値!AB349&gt;高値!AC349,高値!AB349&gt;高値!AD349),23,""))</f>
      </c>
      <c r="AY349" s="684">
        <f>IF(終値!A349="","",IF(AND(高値!AC349&gt;高値!AB349,高値!AC349&gt;高値!AA349,高値!AC349&gt;高値!AD349,高値!AC349&gt;高値!AE349),24,""))</f>
      </c>
      <c r="AZ349" s="684">
        <f>IF(終値!A349="","",IF(AND(高値!AD349&gt;高値!AC349,高値!AD349&gt;高値!AB349,高値!AD349&gt;高値!AE349,高値!AD349&gt;高値!AF349),25,""))</f>
      </c>
      <c r="BA349" s="684">
        <f>IF(終値!A349="","",IF(AND(高値!AE349&gt;高値!AD349,高値!AE349&gt;高値!AC349,高値!AE349&gt;高値!AF349,高値!AE349&gt;高値!AG349),26,""))</f>
      </c>
      <c r="BB349" s="684">
        <f>IF(終値!A349="","",IF(AND(高値!AF349&gt;高値!AE349,高値!AF349&gt;高値!AD349,高値!AF349&gt;高値!AG349,高値!AF349&gt;高値!AH349),27,""))</f>
      </c>
      <c r="BC349" s="684">
        <f>IF(終値!A349="","",IF(AND(高値!AG349&gt;高値!AF349,高値!AG349&gt;高値!AE349,高値!AG349&gt;高値!AH349,高値!AG349&gt;高値!AI349),28,""))</f>
      </c>
      <c r="BD349" s="684">
        <f>COUNT($B349:$AB349)</f>
      </c>
      <c r="BE349" s="684">
        <f>IF($BD349&gt;=2,MIN($B349:$AB349),"")</f>
      </c>
      <c r="BF349" s="684">
        <f>IF($BD349&gt;=2,SMALL($B349:$AB349,2),"")</f>
      </c>
      <c r="BG349" s="684">
        <f>IF($BE349="","",INDEX(安値!$E349:$CZ349,1,$BE349+1))</f>
      </c>
      <c r="BH349" s="684">
        <f>IF($BF349="","",INDEX(安値!$E349:$CZ349,1,$BF349+1))</f>
      </c>
      <c r="BI349" s="684">
        <f>IF($BF349="","",MAX(INDEX(高値!$E349:$CZ349,1,$BE349+1):INDEX(高値!$E349:$CZ349,1,$BF349+1)))</f>
      </c>
      <c r="BJ349" s="684">
        <f>IF($BF349="","",AVERAGE(INDEX(終値!$E349:$CZ349,1,$BF349+1):INDEX(終値!$E349:$CZ349,1,$BF349+20))-2*STDEVP(INDEX(終値!$E349:$CZ349,1,$BF349+1):INDEX(終値!$E349:$CZ349,1,$BF349+20)))</f>
      </c>
      <c r="BK349" s="684">
        <f>IF($BE349="","",AVERAGE(INDEX(終値!$E349:$CZ349,1,$BE349+1):INDEX(終値!$E349:$CZ349,1,$BE349+20))-2*STDEVP(INDEX(終値!$E349:$CZ349,1,$BE349+1):INDEX(終値!$E349:$CZ349,1,$BE349+20)))</f>
      </c>
      <c r="BL349" s="684">
        <f>COUNT($AC349:$BC349)</f>
      </c>
      <c r="BM349" s="684">
        <f>IF($BL349&gt;=2,MIN($AC349:$BC349),"")</f>
      </c>
      <c r="BN349" s="684">
        <f>IF($BL349&gt;=2,SMALL($AC349:$BC349,2),"")</f>
      </c>
      <c r="BO349" s="684">
        <f>IF($BM349="","",INDEX(高値!$E349:$CZ349,1,$BM349+1))</f>
      </c>
      <c r="BP349" s="684">
        <f>IF($BN349="","",INDEX(高値!$E349:$CZ349,1,$BN349+1))</f>
      </c>
      <c r="BQ349" s="684">
        <f>IF($BN349="","",MIN(INDEX(安値!$E349:$CZ349,1,$BM349+1):INDEX(安値!$E349:$CZ349,1,$BN349+1)))</f>
      </c>
      <c r="BR349" s="684">
        <f>IF($BN349="","",AVERAGE(INDEX(終値!$E349:$CZ349,1,$BN349+1):INDEX(終値!$E349:$CZ349,1,$BN349+20))+2*STDEVP(INDEX(終値!$E349:$CZ349,1,$BN349+1):INDEX(終値!$E349:$CZ349,1,$BN349+20)))</f>
      </c>
      <c r="BS349" s="684">
        <f>IF($BM349="","",AVERAGE(INDEX(終値!$E349:$CZ349,1,$BM349+1):INDEX(終値!$E349:$CZ349,1,$BM349+20))+2*STDEVP(INDEX(終値!$E349:$CZ349,1,$BM349+1):INDEX(終値!$E349:$CZ349,1,$BM349+20)))</f>
      </c>
      <c r="BT349" s="681">
        <f>IFERROR(IF(AND($BD349&gt;=2,ABS($BG349-$BH349)/$BH349&lt;=BB設定!$B$12,$BI349&gt;=MAX($BH349,$BG349)*(1+BB設定!$B$13),終値!E349&gt;$BG349),IF(OR(終値!E349&gt;=$BI349,AND($BH349&lt;$BJ349,$BG349&gt;=$BK349)),"二番底W▲","二番底W形成"),IF(AND($BL349&gt;=2,ABS($BO349-$BP349)/$BP349&lt;=BB設定!$B$12,$BQ349&lt;=MIN($BP349,$BO349)*(1-BB設定!$B$13),終値!E349&lt;$BO349),IF(OR(終値!E349&lt;=$BQ349,AND($BP349&gt;$BR349,$BO349&lt;=$BS349)),"二番天井M▼","二番天井M形成"),"－")),"－")</f>
      </c>
    </row>
    <row r="350">
      <c r="B350" s="684">
        <f>IF(終値!A350="","",IF(AND(安値!G350&lt;安値!F350,安値!G350&lt;安値!E350,安値!G350&lt;安値!H350,安値!G350&lt;安値!I350),2,""))</f>
      </c>
      <c r="C350" s="684">
        <f>IF(終値!A350="","",IF(AND(安値!H350&lt;安値!G350,安値!H350&lt;安値!F350,安値!H350&lt;安値!I350,安値!H350&lt;安値!J350),3,""))</f>
      </c>
      <c r="D350" s="684">
        <f>IF(終値!A350="","",IF(AND(安値!I350&lt;安値!H350,安値!I350&lt;安値!G350,安値!I350&lt;安値!J350,安値!I350&lt;安値!K350),4,""))</f>
      </c>
      <c r="E350" s="684">
        <f>IF(終値!A350="","",IF(AND(安値!J350&lt;安値!I350,安値!J350&lt;安値!H350,安値!J350&lt;安値!K350,安値!J350&lt;安値!L350),5,""))</f>
      </c>
      <c r="F350" s="684">
        <f>IF(終値!A350="","",IF(AND(安値!K350&lt;安値!J350,安値!K350&lt;安値!I350,安値!K350&lt;安値!L350,安値!K350&lt;安値!M350),6,""))</f>
      </c>
      <c r="G350" s="684">
        <f>IF(終値!A350="","",IF(AND(安値!L350&lt;安値!K350,安値!L350&lt;安値!J350,安値!L350&lt;安値!M350,安値!L350&lt;安値!N350),7,""))</f>
      </c>
      <c r="H350" s="684">
        <f>IF(終値!A350="","",IF(AND(安値!M350&lt;安値!L350,安値!M350&lt;安値!K350,安値!M350&lt;安値!N350,安値!M350&lt;安値!O350),8,""))</f>
      </c>
      <c r="I350" s="684">
        <f>IF(終値!A350="","",IF(AND(安値!N350&lt;安値!M350,安値!N350&lt;安値!L350,安値!N350&lt;安値!O350,安値!N350&lt;安値!P350),9,""))</f>
      </c>
      <c r="J350" s="684">
        <f>IF(終値!A350="","",IF(AND(安値!O350&lt;安値!N350,安値!O350&lt;安値!M350,安値!O350&lt;安値!P350,安値!O350&lt;安値!Q350),10,""))</f>
      </c>
      <c r="K350" s="684">
        <f>IF(終値!A350="","",IF(AND(安値!P350&lt;安値!O350,安値!P350&lt;安値!N350,安値!P350&lt;安値!Q350,安値!P350&lt;安値!R350),11,""))</f>
      </c>
      <c r="L350" s="684">
        <f>IF(終値!A350="","",IF(AND(安値!Q350&lt;安値!P350,安値!Q350&lt;安値!O350,安値!Q350&lt;安値!R350,安値!Q350&lt;安値!S350),12,""))</f>
      </c>
      <c r="M350" s="684">
        <f>IF(終値!A350="","",IF(AND(安値!R350&lt;安値!Q350,安値!R350&lt;安値!P350,安値!R350&lt;安値!S350,安値!R350&lt;安値!T350),13,""))</f>
      </c>
      <c r="N350" s="684">
        <f>IF(終値!A350="","",IF(AND(安値!S350&lt;安値!R350,安値!S350&lt;安値!Q350,安値!S350&lt;安値!T350,安値!S350&lt;安値!U350),14,""))</f>
      </c>
      <c r="O350" s="684">
        <f>IF(終値!A350="","",IF(AND(安値!T350&lt;安値!S350,安値!T350&lt;安値!R350,安値!T350&lt;安値!U350,安値!T350&lt;安値!V350),15,""))</f>
      </c>
      <c r="P350" s="684">
        <f>IF(終値!A350="","",IF(AND(安値!U350&lt;安値!T350,安値!U350&lt;安値!S350,安値!U350&lt;安値!V350,安値!U350&lt;安値!W350),16,""))</f>
      </c>
      <c r="Q350" s="684">
        <f>IF(終値!A350="","",IF(AND(安値!V350&lt;安値!U350,安値!V350&lt;安値!T350,安値!V350&lt;安値!W350,安値!V350&lt;安値!X350),17,""))</f>
      </c>
      <c r="R350" s="684">
        <f>IF(終値!A350="","",IF(AND(安値!W350&lt;安値!V350,安値!W350&lt;安値!U350,安値!W350&lt;安値!X350,安値!W350&lt;安値!Y350),18,""))</f>
      </c>
      <c r="S350" s="684">
        <f>IF(終値!A350="","",IF(AND(安値!X350&lt;安値!W350,安値!X350&lt;安値!V350,安値!X350&lt;安値!Y350,安値!X350&lt;安値!Z350),19,""))</f>
      </c>
      <c r="T350" s="684">
        <f>IF(終値!A350="","",IF(AND(安値!Y350&lt;安値!X350,安値!Y350&lt;安値!W350,安値!Y350&lt;安値!Z350,安値!Y350&lt;安値!AA350),20,""))</f>
      </c>
      <c r="U350" s="684">
        <f>IF(終値!A350="","",IF(AND(安値!Z350&lt;安値!Y350,安値!Z350&lt;安値!X350,安値!Z350&lt;安値!AA350,安値!Z350&lt;安値!AB350),21,""))</f>
      </c>
      <c r="V350" s="684">
        <f>IF(終値!A350="","",IF(AND(安値!AA350&lt;安値!Z350,安値!AA350&lt;安値!Y350,安値!AA350&lt;安値!AB350,安値!AA350&lt;安値!AC350),22,""))</f>
      </c>
      <c r="W350" s="684">
        <f>IF(終値!A350="","",IF(AND(安値!AB350&lt;安値!AA350,安値!AB350&lt;安値!Z350,安値!AB350&lt;安値!AC350,安値!AB350&lt;安値!AD350),23,""))</f>
      </c>
      <c r="X350" s="684">
        <f>IF(終値!A350="","",IF(AND(安値!AC350&lt;安値!AB350,安値!AC350&lt;安値!AA350,安値!AC350&lt;安値!AD350,安値!AC350&lt;安値!AE350),24,""))</f>
      </c>
      <c r="Y350" s="684">
        <f>IF(終値!A350="","",IF(AND(安値!AD350&lt;安値!AC350,安値!AD350&lt;安値!AB350,安値!AD350&lt;安値!AE350,安値!AD350&lt;安値!AF350),25,""))</f>
      </c>
      <c r="Z350" s="684">
        <f>IF(終値!A350="","",IF(AND(安値!AE350&lt;安値!AD350,安値!AE350&lt;安値!AC350,安値!AE350&lt;安値!AF350,安値!AE350&lt;安値!AG350),26,""))</f>
      </c>
      <c r="AA350" s="684">
        <f>IF(終値!A350="","",IF(AND(安値!AF350&lt;安値!AE350,安値!AF350&lt;安値!AD350,安値!AF350&lt;安値!AG350,安値!AF350&lt;安値!AH350),27,""))</f>
      </c>
      <c r="AB350" s="684">
        <f>IF(終値!A350="","",IF(AND(安値!AG350&lt;安値!AF350,安値!AG350&lt;安値!AE350,安値!AG350&lt;安値!AH350,安値!AG350&lt;安値!AI350),28,""))</f>
      </c>
      <c r="AC350" s="684">
        <f>IF(終値!A350="","",IF(AND(高値!G350&gt;高値!F350,高値!G350&gt;高値!E350,高値!G350&gt;高値!H350,高値!G350&gt;高値!I350),2,""))</f>
      </c>
      <c r="AD350" s="684">
        <f>IF(終値!A350="","",IF(AND(高値!H350&gt;高値!G350,高値!H350&gt;高値!F350,高値!H350&gt;高値!I350,高値!H350&gt;高値!J350),3,""))</f>
      </c>
      <c r="AE350" s="684">
        <f>IF(終値!A350="","",IF(AND(高値!I350&gt;高値!H350,高値!I350&gt;高値!G350,高値!I350&gt;高値!J350,高値!I350&gt;高値!K350),4,""))</f>
      </c>
      <c r="AF350" s="684">
        <f>IF(終値!A350="","",IF(AND(高値!J350&gt;高値!I350,高値!J350&gt;高値!H350,高値!J350&gt;高値!K350,高値!J350&gt;高値!L350),5,""))</f>
      </c>
      <c r="AG350" s="684">
        <f>IF(終値!A350="","",IF(AND(高値!K350&gt;高値!J350,高値!K350&gt;高値!I350,高値!K350&gt;高値!L350,高値!K350&gt;高値!M350),6,""))</f>
      </c>
      <c r="AH350" s="684">
        <f>IF(終値!A350="","",IF(AND(高値!L350&gt;高値!K350,高値!L350&gt;高値!J350,高値!L350&gt;高値!M350,高値!L350&gt;高値!N350),7,""))</f>
      </c>
      <c r="AI350" s="684">
        <f>IF(終値!A350="","",IF(AND(高値!M350&gt;高値!L350,高値!M350&gt;高値!K350,高値!M350&gt;高値!N350,高値!M350&gt;高値!O350),8,""))</f>
      </c>
      <c r="AJ350" s="684">
        <f>IF(終値!A350="","",IF(AND(高値!N350&gt;高値!M350,高値!N350&gt;高値!L350,高値!N350&gt;高値!O350,高値!N350&gt;高値!P350),9,""))</f>
      </c>
      <c r="AK350" s="684">
        <f>IF(終値!A350="","",IF(AND(高値!O350&gt;高値!N350,高値!O350&gt;高値!M350,高値!O350&gt;高値!P350,高値!O350&gt;高値!Q350),10,""))</f>
      </c>
      <c r="AL350" s="684">
        <f>IF(終値!A350="","",IF(AND(高値!P350&gt;高値!O350,高値!P350&gt;高値!N350,高値!P350&gt;高値!Q350,高値!P350&gt;高値!R350),11,""))</f>
      </c>
      <c r="AM350" s="684">
        <f>IF(終値!A350="","",IF(AND(高値!Q350&gt;高値!P350,高値!Q350&gt;高値!O350,高値!Q350&gt;高値!R350,高値!Q350&gt;高値!S350),12,""))</f>
      </c>
      <c r="AN350" s="684">
        <f>IF(終値!A350="","",IF(AND(高値!R350&gt;高値!Q350,高値!R350&gt;高値!P350,高値!R350&gt;高値!S350,高値!R350&gt;高値!T350),13,""))</f>
      </c>
      <c r="AO350" s="684">
        <f>IF(終値!A350="","",IF(AND(高値!S350&gt;高値!R350,高値!S350&gt;高値!Q350,高値!S350&gt;高値!T350,高値!S350&gt;高値!U350),14,""))</f>
      </c>
      <c r="AP350" s="684">
        <f>IF(終値!A350="","",IF(AND(高値!T350&gt;高値!S350,高値!T350&gt;高値!R350,高値!T350&gt;高値!U350,高値!T350&gt;高値!V350),15,""))</f>
      </c>
      <c r="AQ350" s="684">
        <f>IF(終値!A350="","",IF(AND(高値!U350&gt;高値!T350,高値!U350&gt;高値!S350,高値!U350&gt;高値!V350,高値!U350&gt;高値!W350),16,""))</f>
      </c>
      <c r="AR350" s="684">
        <f>IF(終値!A350="","",IF(AND(高値!V350&gt;高値!U350,高値!V350&gt;高値!T350,高値!V350&gt;高値!W350,高値!V350&gt;高値!X350),17,""))</f>
      </c>
      <c r="AS350" s="684">
        <f>IF(終値!A350="","",IF(AND(高値!W350&gt;高値!V350,高値!W350&gt;高値!U350,高値!W350&gt;高値!X350,高値!W350&gt;高値!Y350),18,""))</f>
      </c>
      <c r="AT350" s="684">
        <f>IF(終値!A350="","",IF(AND(高値!X350&gt;高値!W350,高値!X350&gt;高値!V350,高値!X350&gt;高値!Y350,高値!X350&gt;高値!Z350),19,""))</f>
      </c>
      <c r="AU350" s="684">
        <f>IF(終値!A350="","",IF(AND(高値!Y350&gt;高値!X350,高値!Y350&gt;高値!W350,高値!Y350&gt;高値!Z350,高値!Y350&gt;高値!AA350),20,""))</f>
      </c>
      <c r="AV350" s="684">
        <f>IF(終値!A350="","",IF(AND(高値!Z350&gt;高値!Y350,高値!Z350&gt;高値!X350,高値!Z350&gt;高値!AA350,高値!Z350&gt;高値!AB350),21,""))</f>
      </c>
      <c r="AW350" s="684">
        <f>IF(終値!A350="","",IF(AND(高値!AA350&gt;高値!Z350,高値!AA350&gt;高値!Y350,高値!AA350&gt;高値!AB350,高値!AA350&gt;高値!AC350),22,""))</f>
      </c>
      <c r="AX350" s="684">
        <f>IF(終値!A350="","",IF(AND(高値!AB350&gt;高値!AA350,高値!AB350&gt;高値!Z350,高値!AB350&gt;高値!AC350,高値!AB350&gt;高値!AD350),23,""))</f>
      </c>
      <c r="AY350" s="684">
        <f>IF(終値!A350="","",IF(AND(高値!AC350&gt;高値!AB350,高値!AC350&gt;高値!AA350,高値!AC350&gt;高値!AD350,高値!AC350&gt;高値!AE350),24,""))</f>
      </c>
      <c r="AZ350" s="684">
        <f>IF(終値!A350="","",IF(AND(高値!AD350&gt;高値!AC350,高値!AD350&gt;高値!AB350,高値!AD350&gt;高値!AE350,高値!AD350&gt;高値!AF350),25,""))</f>
      </c>
      <c r="BA350" s="684">
        <f>IF(終値!A350="","",IF(AND(高値!AE350&gt;高値!AD350,高値!AE350&gt;高値!AC350,高値!AE350&gt;高値!AF350,高値!AE350&gt;高値!AG350),26,""))</f>
      </c>
      <c r="BB350" s="684">
        <f>IF(終値!A350="","",IF(AND(高値!AF350&gt;高値!AE350,高値!AF350&gt;高値!AD350,高値!AF350&gt;高値!AG350,高値!AF350&gt;高値!AH350),27,""))</f>
      </c>
      <c r="BC350" s="684">
        <f>IF(終値!A350="","",IF(AND(高値!AG350&gt;高値!AF350,高値!AG350&gt;高値!AE350,高値!AG350&gt;高値!AH350,高値!AG350&gt;高値!AI350),28,""))</f>
      </c>
      <c r="BD350" s="684">
        <f>COUNT($B350:$AB350)</f>
      </c>
      <c r="BE350" s="684">
        <f>IF($BD350&gt;=2,MIN($B350:$AB350),"")</f>
      </c>
      <c r="BF350" s="684">
        <f>IF($BD350&gt;=2,SMALL($B350:$AB350,2),"")</f>
      </c>
      <c r="BG350" s="684">
        <f>IF($BE350="","",INDEX(安値!$E350:$CZ350,1,$BE350+1))</f>
      </c>
      <c r="BH350" s="684">
        <f>IF($BF350="","",INDEX(安値!$E350:$CZ350,1,$BF350+1))</f>
      </c>
      <c r="BI350" s="684">
        <f>IF($BF350="","",MAX(INDEX(高値!$E350:$CZ350,1,$BE350+1):INDEX(高値!$E350:$CZ350,1,$BF350+1)))</f>
      </c>
      <c r="BJ350" s="684">
        <f>IF($BF350="","",AVERAGE(INDEX(終値!$E350:$CZ350,1,$BF350+1):INDEX(終値!$E350:$CZ350,1,$BF350+20))-2*STDEVP(INDEX(終値!$E350:$CZ350,1,$BF350+1):INDEX(終値!$E350:$CZ350,1,$BF350+20)))</f>
      </c>
      <c r="BK350" s="684">
        <f>IF($BE350="","",AVERAGE(INDEX(終値!$E350:$CZ350,1,$BE350+1):INDEX(終値!$E350:$CZ350,1,$BE350+20))-2*STDEVP(INDEX(終値!$E350:$CZ350,1,$BE350+1):INDEX(終値!$E350:$CZ350,1,$BE350+20)))</f>
      </c>
      <c r="BL350" s="684">
        <f>COUNT($AC350:$BC350)</f>
      </c>
      <c r="BM350" s="684">
        <f>IF($BL350&gt;=2,MIN($AC350:$BC350),"")</f>
      </c>
      <c r="BN350" s="684">
        <f>IF($BL350&gt;=2,SMALL($AC350:$BC350,2),"")</f>
      </c>
      <c r="BO350" s="684">
        <f>IF($BM350="","",INDEX(高値!$E350:$CZ350,1,$BM350+1))</f>
      </c>
      <c r="BP350" s="684">
        <f>IF($BN350="","",INDEX(高値!$E350:$CZ350,1,$BN350+1))</f>
      </c>
      <c r="BQ350" s="684">
        <f>IF($BN350="","",MIN(INDEX(安値!$E350:$CZ350,1,$BM350+1):INDEX(安値!$E350:$CZ350,1,$BN350+1)))</f>
      </c>
      <c r="BR350" s="684">
        <f>IF($BN350="","",AVERAGE(INDEX(終値!$E350:$CZ350,1,$BN350+1):INDEX(終値!$E350:$CZ350,1,$BN350+20))+2*STDEVP(INDEX(終値!$E350:$CZ350,1,$BN350+1):INDEX(終値!$E350:$CZ350,1,$BN350+20)))</f>
      </c>
      <c r="BS350" s="684">
        <f>IF($BM350="","",AVERAGE(INDEX(終値!$E350:$CZ350,1,$BM350+1):INDEX(終値!$E350:$CZ350,1,$BM350+20))+2*STDEVP(INDEX(終値!$E350:$CZ350,1,$BM350+1):INDEX(終値!$E350:$CZ350,1,$BM350+20)))</f>
      </c>
      <c r="BT350" s="681">
        <f>IFERROR(IF(AND($BD350&gt;=2,ABS($BG350-$BH350)/$BH350&lt;=BB設定!$B$12,$BI350&gt;=MAX($BH350,$BG350)*(1+BB設定!$B$13),終値!E350&gt;$BG350),IF(OR(終値!E350&gt;=$BI350,AND($BH350&lt;$BJ350,$BG350&gt;=$BK350)),"二番底W▲","二番底W形成"),IF(AND($BL350&gt;=2,ABS($BO350-$BP350)/$BP350&lt;=BB設定!$B$12,$BQ350&lt;=MIN($BP350,$BO350)*(1-BB設定!$B$13),終値!E350&lt;$BO350),IF(OR(終値!E350&lt;=$BQ350,AND($BP350&gt;$BR350,$BO350&lt;=$BS350)),"二番天井M▼","二番天井M形成"),"－")),"－")</f>
      </c>
    </row>
    <row r="351">
      <c r="B351" s="684">
        <f>IF(終値!A351="","",IF(AND(安値!G351&lt;安値!F351,安値!G351&lt;安値!E351,安値!G351&lt;安値!H351,安値!G351&lt;安値!I351),2,""))</f>
      </c>
      <c r="C351" s="684">
        <f>IF(終値!A351="","",IF(AND(安値!H351&lt;安値!G351,安値!H351&lt;安値!F351,安値!H351&lt;安値!I351,安値!H351&lt;安値!J351),3,""))</f>
      </c>
      <c r="D351" s="684">
        <f>IF(終値!A351="","",IF(AND(安値!I351&lt;安値!H351,安値!I351&lt;安値!G351,安値!I351&lt;安値!J351,安値!I351&lt;安値!K351),4,""))</f>
      </c>
      <c r="E351" s="684">
        <f>IF(終値!A351="","",IF(AND(安値!J351&lt;安値!I351,安値!J351&lt;安値!H351,安値!J351&lt;安値!K351,安値!J351&lt;安値!L351),5,""))</f>
      </c>
      <c r="F351" s="684">
        <f>IF(終値!A351="","",IF(AND(安値!K351&lt;安値!J351,安値!K351&lt;安値!I351,安値!K351&lt;安値!L351,安値!K351&lt;安値!M351),6,""))</f>
      </c>
      <c r="G351" s="684">
        <f>IF(終値!A351="","",IF(AND(安値!L351&lt;安値!K351,安値!L351&lt;安値!J351,安値!L351&lt;安値!M351,安値!L351&lt;安値!N351),7,""))</f>
      </c>
      <c r="H351" s="684">
        <f>IF(終値!A351="","",IF(AND(安値!M351&lt;安値!L351,安値!M351&lt;安値!K351,安値!M351&lt;安値!N351,安値!M351&lt;安値!O351),8,""))</f>
      </c>
      <c r="I351" s="684">
        <f>IF(終値!A351="","",IF(AND(安値!N351&lt;安値!M351,安値!N351&lt;安値!L351,安値!N351&lt;安値!O351,安値!N351&lt;安値!P351),9,""))</f>
      </c>
      <c r="J351" s="684">
        <f>IF(終値!A351="","",IF(AND(安値!O351&lt;安値!N351,安値!O351&lt;安値!M351,安値!O351&lt;安値!P351,安値!O351&lt;安値!Q351),10,""))</f>
      </c>
      <c r="K351" s="684">
        <f>IF(終値!A351="","",IF(AND(安値!P351&lt;安値!O351,安値!P351&lt;安値!N351,安値!P351&lt;安値!Q351,安値!P351&lt;安値!R351),11,""))</f>
      </c>
      <c r="L351" s="684">
        <f>IF(終値!A351="","",IF(AND(安値!Q351&lt;安値!P351,安値!Q351&lt;安値!O351,安値!Q351&lt;安値!R351,安値!Q351&lt;安値!S351),12,""))</f>
      </c>
      <c r="M351" s="684">
        <f>IF(終値!A351="","",IF(AND(安値!R351&lt;安値!Q351,安値!R351&lt;安値!P351,安値!R351&lt;安値!S351,安値!R351&lt;安値!T351),13,""))</f>
      </c>
      <c r="N351" s="684">
        <f>IF(終値!A351="","",IF(AND(安値!S351&lt;安値!R351,安値!S351&lt;安値!Q351,安値!S351&lt;安値!T351,安値!S351&lt;安値!U351),14,""))</f>
      </c>
      <c r="O351" s="684">
        <f>IF(終値!A351="","",IF(AND(安値!T351&lt;安値!S351,安値!T351&lt;安値!R351,安値!T351&lt;安値!U351,安値!T351&lt;安値!V351),15,""))</f>
      </c>
      <c r="P351" s="684">
        <f>IF(終値!A351="","",IF(AND(安値!U351&lt;安値!T351,安値!U351&lt;安値!S351,安値!U351&lt;安値!V351,安値!U351&lt;安値!W351),16,""))</f>
      </c>
      <c r="Q351" s="684">
        <f>IF(終値!A351="","",IF(AND(安値!V351&lt;安値!U351,安値!V351&lt;安値!T351,安値!V351&lt;安値!W351,安値!V351&lt;安値!X351),17,""))</f>
      </c>
      <c r="R351" s="684">
        <f>IF(終値!A351="","",IF(AND(安値!W351&lt;安値!V351,安値!W351&lt;安値!U351,安値!W351&lt;安値!X351,安値!W351&lt;安値!Y351),18,""))</f>
      </c>
      <c r="S351" s="684">
        <f>IF(終値!A351="","",IF(AND(安値!X351&lt;安値!W351,安値!X351&lt;安値!V351,安値!X351&lt;安値!Y351,安値!X351&lt;安値!Z351),19,""))</f>
      </c>
      <c r="T351" s="684">
        <f>IF(終値!A351="","",IF(AND(安値!Y351&lt;安値!X351,安値!Y351&lt;安値!W351,安値!Y351&lt;安値!Z351,安値!Y351&lt;安値!AA351),20,""))</f>
      </c>
      <c r="U351" s="684">
        <f>IF(終値!A351="","",IF(AND(安値!Z351&lt;安値!Y351,安値!Z351&lt;安値!X351,安値!Z351&lt;安値!AA351,安値!Z351&lt;安値!AB351),21,""))</f>
      </c>
      <c r="V351" s="684">
        <f>IF(終値!A351="","",IF(AND(安値!AA351&lt;安値!Z351,安値!AA351&lt;安値!Y351,安値!AA351&lt;安値!AB351,安値!AA351&lt;安値!AC351),22,""))</f>
      </c>
      <c r="W351" s="684">
        <f>IF(終値!A351="","",IF(AND(安値!AB351&lt;安値!AA351,安値!AB351&lt;安値!Z351,安値!AB351&lt;安値!AC351,安値!AB351&lt;安値!AD351),23,""))</f>
      </c>
      <c r="X351" s="684">
        <f>IF(終値!A351="","",IF(AND(安値!AC351&lt;安値!AB351,安値!AC351&lt;安値!AA351,安値!AC351&lt;安値!AD351,安値!AC351&lt;安値!AE351),24,""))</f>
      </c>
      <c r="Y351" s="684">
        <f>IF(終値!A351="","",IF(AND(安値!AD351&lt;安値!AC351,安値!AD351&lt;安値!AB351,安値!AD351&lt;安値!AE351,安値!AD351&lt;安値!AF351),25,""))</f>
      </c>
      <c r="Z351" s="684">
        <f>IF(終値!A351="","",IF(AND(安値!AE351&lt;安値!AD351,安値!AE351&lt;安値!AC351,安値!AE351&lt;安値!AF351,安値!AE351&lt;安値!AG351),26,""))</f>
      </c>
      <c r="AA351" s="684">
        <f>IF(終値!A351="","",IF(AND(安値!AF351&lt;安値!AE351,安値!AF351&lt;安値!AD351,安値!AF351&lt;安値!AG351,安値!AF351&lt;安値!AH351),27,""))</f>
      </c>
      <c r="AB351" s="684">
        <f>IF(終値!A351="","",IF(AND(安値!AG351&lt;安値!AF351,安値!AG351&lt;安値!AE351,安値!AG351&lt;安値!AH351,安値!AG351&lt;安値!AI351),28,""))</f>
      </c>
      <c r="AC351" s="684">
        <f>IF(終値!A351="","",IF(AND(高値!G351&gt;高値!F351,高値!G351&gt;高値!E351,高値!G351&gt;高値!H351,高値!G351&gt;高値!I351),2,""))</f>
      </c>
      <c r="AD351" s="684">
        <f>IF(終値!A351="","",IF(AND(高値!H351&gt;高値!G351,高値!H351&gt;高値!F351,高値!H351&gt;高値!I351,高値!H351&gt;高値!J351),3,""))</f>
      </c>
      <c r="AE351" s="684">
        <f>IF(終値!A351="","",IF(AND(高値!I351&gt;高値!H351,高値!I351&gt;高値!G351,高値!I351&gt;高値!J351,高値!I351&gt;高値!K351),4,""))</f>
      </c>
      <c r="AF351" s="684">
        <f>IF(終値!A351="","",IF(AND(高値!J351&gt;高値!I351,高値!J351&gt;高値!H351,高値!J351&gt;高値!K351,高値!J351&gt;高値!L351),5,""))</f>
      </c>
      <c r="AG351" s="684">
        <f>IF(終値!A351="","",IF(AND(高値!K351&gt;高値!J351,高値!K351&gt;高値!I351,高値!K351&gt;高値!L351,高値!K351&gt;高値!M351),6,""))</f>
      </c>
      <c r="AH351" s="684">
        <f>IF(終値!A351="","",IF(AND(高値!L351&gt;高値!K351,高値!L351&gt;高値!J351,高値!L351&gt;高値!M351,高値!L351&gt;高値!N351),7,""))</f>
      </c>
      <c r="AI351" s="684">
        <f>IF(終値!A351="","",IF(AND(高値!M351&gt;高値!L351,高値!M351&gt;高値!K351,高値!M351&gt;高値!N351,高値!M351&gt;高値!O351),8,""))</f>
      </c>
      <c r="AJ351" s="684">
        <f>IF(終値!A351="","",IF(AND(高値!N351&gt;高値!M351,高値!N351&gt;高値!L351,高値!N351&gt;高値!O351,高値!N351&gt;高値!P351),9,""))</f>
      </c>
      <c r="AK351" s="684">
        <f>IF(終値!A351="","",IF(AND(高値!O351&gt;高値!N351,高値!O351&gt;高値!M351,高値!O351&gt;高値!P351,高値!O351&gt;高値!Q351),10,""))</f>
      </c>
      <c r="AL351" s="684">
        <f>IF(終値!A351="","",IF(AND(高値!P351&gt;高値!O351,高値!P351&gt;高値!N351,高値!P351&gt;高値!Q351,高値!P351&gt;高値!R351),11,""))</f>
      </c>
      <c r="AM351" s="684">
        <f>IF(終値!A351="","",IF(AND(高値!Q351&gt;高値!P351,高値!Q351&gt;高値!O351,高値!Q351&gt;高値!R351,高値!Q351&gt;高値!S351),12,""))</f>
      </c>
      <c r="AN351" s="684">
        <f>IF(終値!A351="","",IF(AND(高値!R351&gt;高値!Q351,高値!R351&gt;高値!P351,高値!R351&gt;高値!S351,高値!R351&gt;高値!T351),13,""))</f>
      </c>
      <c r="AO351" s="684">
        <f>IF(終値!A351="","",IF(AND(高値!S351&gt;高値!R351,高値!S351&gt;高値!Q351,高値!S351&gt;高値!T351,高値!S351&gt;高値!U351),14,""))</f>
      </c>
      <c r="AP351" s="684">
        <f>IF(終値!A351="","",IF(AND(高値!T351&gt;高値!S351,高値!T351&gt;高値!R351,高値!T351&gt;高値!U351,高値!T351&gt;高値!V351),15,""))</f>
      </c>
      <c r="AQ351" s="684">
        <f>IF(終値!A351="","",IF(AND(高値!U351&gt;高値!T351,高値!U351&gt;高値!S351,高値!U351&gt;高値!V351,高値!U351&gt;高値!W351),16,""))</f>
      </c>
      <c r="AR351" s="684">
        <f>IF(終値!A351="","",IF(AND(高値!V351&gt;高値!U351,高値!V351&gt;高値!T351,高値!V351&gt;高値!W351,高値!V351&gt;高値!X351),17,""))</f>
      </c>
      <c r="AS351" s="684">
        <f>IF(終値!A351="","",IF(AND(高値!W351&gt;高値!V351,高値!W351&gt;高値!U351,高値!W351&gt;高値!X351,高値!W351&gt;高値!Y351),18,""))</f>
      </c>
      <c r="AT351" s="684">
        <f>IF(終値!A351="","",IF(AND(高値!X351&gt;高値!W351,高値!X351&gt;高値!V351,高値!X351&gt;高値!Y351,高値!X351&gt;高値!Z351),19,""))</f>
      </c>
      <c r="AU351" s="684">
        <f>IF(終値!A351="","",IF(AND(高値!Y351&gt;高値!X351,高値!Y351&gt;高値!W351,高値!Y351&gt;高値!Z351,高値!Y351&gt;高値!AA351),20,""))</f>
      </c>
      <c r="AV351" s="684">
        <f>IF(終値!A351="","",IF(AND(高値!Z351&gt;高値!Y351,高値!Z351&gt;高値!X351,高値!Z351&gt;高値!AA351,高値!Z351&gt;高値!AB351),21,""))</f>
      </c>
      <c r="AW351" s="684">
        <f>IF(終値!A351="","",IF(AND(高値!AA351&gt;高値!Z351,高値!AA351&gt;高値!Y351,高値!AA351&gt;高値!AB351,高値!AA351&gt;高値!AC351),22,""))</f>
      </c>
      <c r="AX351" s="684">
        <f>IF(終値!A351="","",IF(AND(高値!AB351&gt;高値!AA351,高値!AB351&gt;高値!Z351,高値!AB351&gt;高値!AC351,高値!AB351&gt;高値!AD351),23,""))</f>
      </c>
      <c r="AY351" s="684">
        <f>IF(終値!A351="","",IF(AND(高値!AC351&gt;高値!AB351,高値!AC351&gt;高値!AA351,高値!AC351&gt;高値!AD351,高値!AC351&gt;高値!AE351),24,""))</f>
      </c>
      <c r="AZ351" s="684">
        <f>IF(終値!A351="","",IF(AND(高値!AD351&gt;高値!AC351,高値!AD351&gt;高値!AB351,高値!AD351&gt;高値!AE351,高値!AD351&gt;高値!AF351),25,""))</f>
      </c>
      <c r="BA351" s="684">
        <f>IF(終値!A351="","",IF(AND(高値!AE351&gt;高値!AD351,高値!AE351&gt;高値!AC351,高値!AE351&gt;高値!AF351,高値!AE351&gt;高値!AG351),26,""))</f>
      </c>
      <c r="BB351" s="684">
        <f>IF(終値!A351="","",IF(AND(高値!AF351&gt;高値!AE351,高値!AF351&gt;高値!AD351,高値!AF351&gt;高値!AG351,高値!AF351&gt;高値!AH351),27,""))</f>
      </c>
      <c r="BC351" s="684">
        <f>IF(終値!A351="","",IF(AND(高値!AG351&gt;高値!AF351,高値!AG351&gt;高値!AE351,高値!AG351&gt;高値!AH351,高値!AG351&gt;高値!AI351),28,""))</f>
      </c>
      <c r="BD351" s="684">
        <f>COUNT($B351:$AB351)</f>
      </c>
      <c r="BE351" s="684">
        <f>IF($BD351&gt;=2,MIN($B351:$AB351),"")</f>
      </c>
      <c r="BF351" s="684">
        <f>IF($BD351&gt;=2,SMALL($B351:$AB351,2),"")</f>
      </c>
      <c r="BG351" s="684">
        <f>IF($BE351="","",INDEX(安値!$E351:$CZ351,1,$BE351+1))</f>
      </c>
      <c r="BH351" s="684">
        <f>IF($BF351="","",INDEX(安値!$E351:$CZ351,1,$BF351+1))</f>
      </c>
      <c r="BI351" s="684">
        <f>IF($BF351="","",MAX(INDEX(高値!$E351:$CZ351,1,$BE351+1):INDEX(高値!$E351:$CZ351,1,$BF351+1)))</f>
      </c>
      <c r="BJ351" s="684">
        <f>IF($BF351="","",AVERAGE(INDEX(終値!$E351:$CZ351,1,$BF351+1):INDEX(終値!$E351:$CZ351,1,$BF351+20))-2*STDEVP(INDEX(終値!$E351:$CZ351,1,$BF351+1):INDEX(終値!$E351:$CZ351,1,$BF351+20)))</f>
      </c>
      <c r="BK351" s="684">
        <f>IF($BE351="","",AVERAGE(INDEX(終値!$E351:$CZ351,1,$BE351+1):INDEX(終値!$E351:$CZ351,1,$BE351+20))-2*STDEVP(INDEX(終値!$E351:$CZ351,1,$BE351+1):INDEX(終値!$E351:$CZ351,1,$BE351+20)))</f>
      </c>
      <c r="BL351" s="684">
        <f>COUNT($AC351:$BC351)</f>
      </c>
      <c r="BM351" s="684">
        <f>IF($BL351&gt;=2,MIN($AC351:$BC351),"")</f>
      </c>
      <c r="BN351" s="684">
        <f>IF($BL351&gt;=2,SMALL($AC351:$BC351,2),"")</f>
      </c>
      <c r="BO351" s="684">
        <f>IF($BM351="","",INDEX(高値!$E351:$CZ351,1,$BM351+1))</f>
      </c>
      <c r="BP351" s="684">
        <f>IF($BN351="","",INDEX(高値!$E351:$CZ351,1,$BN351+1))</f>
      </c>
      <c r="BQ351" s="684">
        <f>IF($BN351="","",MIN(INDEX(安値!$E351:$CZ351,1,$BM351+1):INDEX(安値!$E351:$CZ351,1,$BN351+1)))</f>
      </c>
      <c r="BR351" s="684">
        <f>IF($BN351="","",AVERAGE(INDEX(終値!$E351:$CZ351,1,$BN351+1):INDEX(終値!$E351:$CZ351,1,$BN351+20))+2*STDEVP(INDEX(終値!$E351:$CZ351,1,$BN351+1):INDEX(終値!$E351:$CZ351,1,$BN351+20)))</f>
      </c>
      <c r="BS351" s="684">
        <f>IF($BM351="","",AVERAGE(INDEX(終値!$E351:$CZ351,1,$BM351+1):INDEX(終値!$E351:$CZ351,1,$BM351+20))+2*STDEVP(INDEX(終値!$E351:$CZ351,1,$BM351+1):INDEX(終値!$E351:$CZ351,1,$BM351+20)))</f>
      </c>
      <c r="BT351" s="681">
        <f>IFERROR(IF(AND($BD351&gt;=2,ABS($BG351-$BH351)/$BH351&lt;=BB設定!$B$12,$BI351&gt;=MAX($BH351,$BG351)*(1+BB設定!$B$13),終値!E351&gt;$BG351),IF(OR(終値!E351&gt;=$BI351,AND($BH351&lt;$BJ351,$BG351&gt;=$BK351)),"二番底W▲","二番底W形成"),IF(AND($BL351&gt;=2,ABS($BO351-$BP351)/$BP351&lt;=BB設定!$B$12,$BQ351&lt;=MIN($BP351,$BO351)*(1-BB設定!$B$13),終値!E351&lt;$BO351),IF(OR(終値!E351&lt;=$BQ351,AND($BP351&gt;$BR351,$BO351&lt;=$BS351)),"二番天井M▼","二番天井M形成"),"－")),"－")</f>
      </c>
    </row>
    <row r="352">
      <c r="B352" s="684">
        <f>IF(終値!A352="","",IF(AND(安値!G352&lt;安値!F352,安値!G352&lt;安値!E352,安値!G352&lt;安値!H352,安値!G352&lt;安値!I352),2,""))</f>
      </c>
      <c r="C352" s="684">
        <f>IF(終値!A352="","",IF(AND(安値!H352&lt;安値!G352,安値!H352&lt;安値!F352,安値!H352&lt;安値!I352,安値!H352&lt;安値!J352),3,""))</f>
      </c>
      <c r="D352" s="684">
        <f>IF(終値!A352="","",IF(AND(安値!I352&lt;安値!H352,安値!I352&lt;安値!G352,安値!I352&lt;安値!J352,安値!I352&lt;安値!K352),4,""))</f>
      </c>
      <c r="E352" s="684">
        <f>IF(終値!A352="","",IF(AND(安値!J352&lt;安値!I352,安値!J352&lt;安値!H352,安値!J352&lt;安値!K352,安値!J352&lt;安値!L352),5,""))</f>
      </c>
      <c r="F352" s="684">
        <f>IF(終値!A352="","",IF(AND(安値!K352&lt;安値!J352,安値!K352&lt;安値!I352,安値!K352&lt;安値!L352,安値!K352&lt;安値!M352),6,""))</f>
      </c>
      <c r="G352" s="684">
        <f>IF(終値!A352="","",IF(AND(安値!L352&lt;安値!K352,安値!L352&lt;安値!J352,安値!L352&lt;安値!M352,安値!L352&lt;安値!N352),7,""))</f>
      </c>
      <c r="H352" s="684">
        <f>IF(終値!A352="","",IF(AND(安値!M352&lt;安値!L352,安値!M352&lt;安値!K352,安値!M352&lt;安値!N352,安値!M352&lt;安値!O352),8,""))</f>
      </c>
      <c r="I352" s="684">
        <f>IF(終値!A352="","",IF(AND(安値!N352&lt;安値!M352,安値!N352&lt;安値!L352,安値!N352&lt;安値!O352,安値!N352&lt;安値!P352),9,""))</f>
      </c>
      <c r="J352" s="684">
        <f>IF(終値!A352="","",IF(AND(安値!O352&lt;安値!N352,安値!O352&lt;安値!M352,安値!O352&lt;安値!P352,安値!O352&lt;安値!Q352),10,""))</f>
      </c>
      <c r="K352" s="684">
        <f>IF(終値!A352="","",IF(AND(安値!P352&lt;安値!O352,安値!P352&lt;安値!N352,安値!P352&lt;安値!Q352,安値!P352&lt;安値!R352),11,""))</f>
      </c>
      <c r="L352" s="684">
        <f>IF(終値!A352="","",IF(AND(安値!Q352&lt;安値!P352,安値!Q352&lt;安値!O352,安値!Q352&lt;安値!R352,安値!Q352&lt;安値!S352),12,""))</f>
      </c>
      <c r="M352" s="684">
        <f>IF(終値!A352="","",IF(AND(安値!R352&lt;安値!Q352,安値!R352&lt;安値!P352,安値!R352&lt;安値!S352,安値!R352&lt;安値!T352),13,""))</f>
      </c>
      <c r="N352" s="684">
        <f>IF(終値!A352="","",IF(AND(安値!S352&lt;安値!R352,安値!S352&lt;安値!Q352,安値!S352&lt;安値!T352,安値!S352&lt;安値!U352),14,""))</f>
      </c>
      <c r="O352" s="684">
        <f>IF(終値!A352="","",IF(AND(安値!T352&lt;安値!S352,安値!T352&lt;安値!R352,安値!T352&lt;安値!U352,安値!T352&lt;安値!V352),15,""))</f>
      </c>
      <c r="P352" s="684">
        <f>IF(終値!A352="","",IF(AND(安値!U352&lt;安値!T352,安値!U352&lt;安値!S352,安値!U352&lt;安値!V352,安値!U352&lt;安値!W352),16,""))</f>
      </c>
      <c r="Q352" s="684">
        <f>IF(終値!A352="","",IF(AND(安値!V352&lt;安値!U352,安値!V352&lt;安値!T352,安値!V352&lt;安値!W352,安値!V352&lt;安値!X352),17,""))</f>
      </c>
      <c r="R352" s="684">
        <f>IF(終値!A352="","",IF(AND(安値!W352&lt;安値!V352,安値!W352&lt;安値!U352,安値!W352&lt;安値!X352,安値!W352&lt;安値!Y352),18,""))</f>
      </c>
      <c r="S352" s="684">
        <f>IF(終値!A352="","",IF(AND(安値!X352&lt;安値!W352,安値!X352&lt;安値!V352,安値!X352&lt;安値!Y352,安値!X352&lt;安値!Z352),19,""))</f>
      </c>
      <c r="T352" s="684">
        <f>IF(終値!A352="","",IF(AND(安値!Y352&lt;安値!X352,安値!Y352&lt;安値!W352,安値!Y352&lt;安値!Z352,安値!Y352&lt;安値!AA352),20,""))</f>
      </c>
      <c r="U352" s="684">
        <f>IF(終値!A352="","",IF(AND(安値!Z352&lt;安値!Y352,安値!Z352&lt;安値!X352,安値!Z352&lt;安値!AA352,安値!Z352&lt;安値!AB352),21,""))</f>
      </c>
      <c r="V352" s="684">
        <f>IF(終値!A352="","",IF(AND(安値!AA352&lt;安値!Z352,安値!AA352&lt;安値!Y352,安値!AA352&lt;安値!AB352,安値!AA352&lt;安値!AC352),22,""))</f>
      </c>
      <c r="W352" s="684">
        <f>IF(終値!A352="","",IF(AND(安値!AB352&lt;安値!AA352,安値!AB352&lt;安値!Z352,安値!AB352&lt;安値!AC352,安値!AB352&lt;安値!AD352),23,""))</f>
      </c>
      <c r="X352" s="684">
        <f>IF(終値!A352="","",IF(AND(安値!AC352&lt;安値!AB352,安値!AC352&lt;安値!AA352,安値!AC352&lt;安値!AD352,安値!AC352&lt;安値!AE352),24,""))</f>
      </c>
      <c r="Y352" s="684">
        <f>IF(終値!A352="","",IF(AND(安値!AD352&lt;安値!AC352,安値!AD352&lt;安値!AB352,安値!AD352&lt;安値!AE352,安値!AD352&lt;安値!AF352),25,""))</f>
      </c>
      <c r="Z352" s="684">
        <f>IF(終値!A352="","",IF(AND(安値!AE352&lt;安値!AD352,安値!AE352&lt;安値!AC352,安値!AE352&lt;安値!AF352,安値!AE352&lt;安値!AG352),26,""))</f>
      </c>
      <c r="AA352" s="684">
        <f>IF(終値!A352="","",IF(AND(安値!AF352&lt;安値!AE352,安値!AF352&lt;安値!AD352,安値!AF352&lt;安値!AG352,安値!AF352&lt;安値!AH352),27,""))</f>
      </c>
      <c r="AB352" s="684">
        <f>IF(終値!A352="","",IF(AND(安値!AG352&lt;安値!AF352,安値!AG352&lt;安値!AE352,安値!AG352&lt;安値!AH352,安値!AG352&lt;安値!AI352),28,""))</f>
      </c>
      <c r="AC352" s="684">
        <f>IF(終値!A352="","",IF(AND(高値!G352&gt;高値!F352,高値!G352&gt;高値!E352,高値!G352&gt;高値!H352,高値!G352&gt;高値!I352),2,""))</f>
      </c>
      <c r="AD352" s="684">
        <f>IF(終値!A352="","",IF(AND(高値!H352&gt;高値!G352,高値!H352&gt;高値!F352,高値!H352&gt;高値!I352,高値!H352&gt;高値!J352),3,""))</f>
      </c>
      <c r="AE352" s="684">
        <f>IF(終値!A352="","",IF(AND(高値!I352&gt;高値!H352,高値!I352&gt;高値!G352,高値!I352&gt;高値!J352,高値!I352&gt;高値!K352),4,""))</f>
      </c>
      <c r="AF352" s="684">
        <f>IF(終値!A352="","",IF(AND(高値!J352&gt;高値!I352,高値!J352&gt;高値!H352,高値!J352&gt;高値!K352,高値!J352&gt;高値!L352),5,""))</f>
      </c>
      <c r="AG352" s="684">
        <f>IF(終値!A352="","",IF(AND(高値!K352&gt;高値!J352,高値!K352&gt;高値!I352,高値!K352&gt;高値!L352,高値!K352&gt;高値!M352),6,""))</f>
      </c>
      <c r="AH352" s="684">
        <f>IF(終値!A352="","",IF(AND(高値!L352&gt;高値!K352,高値!L352&gt;高値!J352,高値!L352&gt;高値!M352,高値!L352&gt;高値!N352),7,""))</f>
      </c>
      <c r="AI352" s="684">
        <f>IF(終値!A352="","",IF(AND(高値!M352&gt;高値!L352,高値!M352&gt;高値!K352,高値!M352&gt;高値!N352,高値!M352&gt;高値!O352),8,""))</f>
      </c>
      <c r="AJ352" s="684">
        <f>IF(終値!A352="","",IF(AND(高値!N352&gt;高値!M352,高値!N352&gt;高値!L352,高値!N352&gt;高値!O352,高値!N352&gt;高値!P352),9,""))</f>
      </c>
      <c r="AK352" s="684">
        <f>IF(終値!A352="","",IF(AND(高値!O352&gt;高値!N352,高値!O352&gt;高値!M352,高値!O352&gt;高値!P352,高値!O352&gt;高値!Q352),10,""))</f>
      </c>
      <c r="AL352" s="684">
        <f>IF(終値!A352="","",IF(AND(高値!P352&gt;高値!O352,高値!P352&gt;高値!N352,高値!P352&gt;高値!Q352,高値!P352&gt;高値!R352),11,""))</f>
      </c>
      <c r="AM352" s="684">
        <f>IF(終値!A352="","",IF(AND(高値!Q352&gt;高値!P352,高値!Q352&gt;高値!O352,高値!Q352&gt;高値!R352,高値!Q352&gt;高値!S352),12,""))</f>
      </c>
      <c r="AN352" s="684">
        <f>IF(終値!A352="","",IF(AND(高値!R352&gt;高値!Q352,高値!R352&gt;高値!P352,高値!R352&gt;高値!S352,高値!R352&gt;高値!T352),13,""))</f>
      </c>
      <c r="AO352" s="684">
        <f>IF(終値!A352="","",IF(AND(高値!S352&gt;高値!R352,高値!S352&gt;高値!Q352,高値!S352&gt;高値!T352,高値!S352&gt;高値!U352),14,""))</f>
      </c>
      <c r="AP352" s="684">
        <f>IF(終値!A352="","",IF(AND(高値!T352&gt;高値!S352,高値!T352&gt;高値!R352,高値!T352&gt;高値!U352,高値!T352&gt;高値!V352),15,""))</f>
      </c>
      <c r="AQ352" s="684">
        <f>IF(終値!A352="","",IF(AND(高値!U352&gt;高値!T352,高値!U352&gt;高値!S352,高値!U352&gt;高値!V352,高値!U352&gt;高値!W352),16,""))</f>
      </c>
      <c r="AR352" s="684">
        <f>IF(終値!A352="","",IF(AND(高値!V352&gt;高値!U352,高値!V352&gt;高値!T352,高値!V352&gt;高値!W352,高値!V352&gt;高値!X352),17,""))</f>
      </c>
      <c r="AS352" s="684">
        <f>IF(終値!A352="","",IF(AND(高値!W352&gt;高値!V352,高値!W352&gt;高値!U352,高値!W352&gt;高値!X352,高値!W352&gt;高値!Y352),18,""))</f>
      </c>
      <c r="AT352" s="684">
        <f>IF(終値!A352="","",IF(AND(高値!X352&gt;高値!W352,高値!X352&gt;高値!V352,高値!X352&gt;高値!Y352,高値!X352&gt;高値!Z352),19,""))</f>
      </c>
      <c r="AU352" s="684">
        <f>IF(終値!A352="","",IF(AND(高値!Y352&gt;高値!X352,高値!Y352&gt;高値!W352,高値!Y352&gt;高値!Z352,高値!Y352&gt;高値!AA352),20,""))</f>
      </c>
      <c r="AV352" s="684">
        <f>IF(終値!A352="","",IF(AND(高値!Z352&gt;高値!Y352,高値!Z352&gt;高値!X352,高値!Z352&gt;高値!AA352,高値!Z352&gt;高値!AB352),21,""))</f>
      </c>
      <c r="AW352" s="684">
        <f>IF(終値!A352="","",IF(AND(高値!AA352&gt;高値!Z352,高値!AA352&gt;高値!Y352,高値!AA352&gt;高値!AB352,高値!AA352&gt;高値!AC352),22,""))</f>
      </c>
      <c r="AX352" s="684">
        <f>IF(終値!A352="","",IF(AND(高値!AB352&gt;高値!AA352,高値!AB352&gt;高値!Z352,高値!AB352&gt;高値!AC352,高値!AB352&gt;高値!AD352),23,""))</f>
      </c>
      <c r="AY352" s="684">
        <f>IF(終値!A352="","",IF(AND(高値!AC352&gt;高値!AB352,高値!AC352&gt;高値!AA352,高値!AC352&gt;高値!AD352,高値!AC352&gt;高値!AE352),24,""))</f>
      </c>
      <c r="AZ352" s="684">
        <f>IF(終値!A352="","",IF(AND(高値!AD352&gt;高値!AC352,高値!AD352&gt;高値!AB352,高値!AD352&gt;高値!AE352,高値!AD352&gt;高値!AF352),25,""))</f>
      </c>
      <c r="BA352" s="684">
        <f>IF(終値!A352="","",IF(AND(高値!AE352&gt;高値!AD352,高値!AE352&gt;高値!AC352,高値!AE352&gt;高値!AF352,高値!AE352&gt;高値!AG352),26,""))</f>
      </c>
      <c r="BB352" s="684">
        <f>IF(終値!A352="","",IF(AND(高値!AF352&gt;高値!AE352,高値!AF352&gt;高値!AD352,高値!AF352&gt;高値!AG352,高値!AF352&gt;高値!AH352),27,""))</f>
      </c>
      <c r="BC352" s="684">
        <f>IF(終値!A352="","",IF(AND(高値!AG352&gt;高値!AF352,高値!AG352&gt;高値!AE352,高値!AG352&gt;高値!AH352,高値!AG352&gt;高値!AI352),28,""))</f>
      </c>
      <c r="BD352" s="684">
        <f>COUNT($B352:$AB352)</f>
      </c>
      <c r="BE352" s="684">
        <f>IF($BD352&gt;=2,MIN($B352:$AB352),"")</f>
      </c>
      <c r="BF352" s="684">
        <f>IF($BD352&gt;=2,SMALL($B352:$AB352,2),"")</f>
      </c>
      <c r="BG352" s="684">
        <f>IF($BE352="","",INDEX(安値!$E352:$CZ352,1,$BE352+1))</f>
      </c>
      <c r="BH352" s="684">
        <f>IF($BF352="","",INDEX(安値!$E352:$CZ352,1,$BF352+1))</f>
      </c>
      <c r="BI352" s="684">
        <f>IF($BF352="","",MAX(INDEX(高値!$E352:$CZ352,1,$BE352+1):INDEX(高値!$E352:$CZ352,1,$BF352+1)))</f>
      </c>
      <c r="BJ352" s="684">
        <f>IF($BF352="","",AVERAGE(INDEX(終値!$E352:$CZ352,1,$BF352+1):INDEX(終値!$E352:$CZ352,1,$BF352+20))-2*STDEVP(INDEX(終値!$E352:$CZ352,1,$BF352+1):INDEX(終値!$E352:$CZ352,1,$BF352+20)))</f>
      </c>
      <c r="BK352" s="684">
        <f>IF($BE352="","",AVERAGE(INDEX(終値!$E352:$CZ352,1,$BE352+1):INDEX(終値!$E352:$CZ352,1,$BE352+20))-2*STDEVP(INDEX(終値!$E352:$CZ352,1,$BE352+1):INDEX(終値!$E352:$CZ352,1,$BE352+20)))</f>
      </c>
      <c r="BL352" s="684">
        <f>COUNT($AC352:$BC352)</f>
      </c>
      <c r="BM352" s="684">
        <f>IF($BL352&gt;=2,MIN($AC352:$BC352),"")</f>
      </c>
      <c r="BN352" s="684">
        <f>IF($BL352&gt;=2,SMALL($AC352:$BC352,2),"")</f>
      </c>
      <c r="BO352" s="684">
        <f>IF($BM352="","",INDEX(高値!$E352:$CZ352,1,$BM352+1))</f>
      </c>
      <c r="BP352" s="684">
        <f>IF($BN352="","",INDEX(高値!$E352:$CZ352,1,$BN352+1))</f>
      </c>
      <c r="BQ352" s="684">
        <f>IF($BN352="","",MIN(INDEX(安値!$E352:$CZ352,1,$BM352+1):INDEX(安値!$E352:$CZ352,1,$BN352+1)))</f>
      </c>
      <c r="BR352" s="684">
        <f>IF($BN352="","",AVERAGE(INDEX(終値!$E352:$CZ352,1,$BN352+1):INDEX(終値!$E352:$CZ352,1,$BN352+20))+2*STDEVP(INDEX(終値!$E352:$CZ352,1,$BN352+1):INDEX(終値!$E352:$CZ352,1,$BN352+20)))</f>
      </c>
      <c r="BS352" s="684">
        <f>IF($BM352="","",AVERAGE(INDEX(終値!$E352:$CZ352,1,$BM352+1):INDEX(終値!$E352:$CZ352,1,$BM352+20))+2*STDEVP(INDEX(終値!$E352:$CZ352,1,$BM352+1):INDEX(終値!$E352:$CZ352,1,$BM352+20)))</f>
      </c>
      <c r="BT352" s="681">
        <f>IFERROR(IF(AND($BD352&gt;=2,ABS($BG352-$BH352)/$BH352&lt;=BB設定!$B$12,$BI352&gt;=MAX($BH352,$BG352)*(1+BB設定!$B$13),終値!E352&gt;$BG352),IF(OR(終値!E352&gt;=$BI352,AND($BH352&lt;$BJ352,$BG352&gt;=$BK352)),"二番底W▲","二番底W形成"),IF(AND($BL352&gt;=2,ABS($BO352-$BP352)/$BP352&lt;=BB設定!$B$12,$BQ352&lt;=MIN($BP352,$BO352)*(1-BB設定!$B$13),終値!E352&lt;$BO352),IF(OR(終値!E352&lt;=$BQ352,AND($BP352&gt;$BR352,$BO352&lt;=$BS352)),"二番天井M▼","二番天井M形成"),"－")),"－")</f>
      </c>
    </row>
    <row r="353">
      <c r="B353" s="684">
        <f>IF(終値!A353="","",IF(AND(安値!G353&lt;安値!F353,安値!G353&lt;安値!E353,安値!G353&lt;安値!H353,安値!G353&lt;安値!I353),2,""))</f>
      </c>
      <c r="C353" s="684">
        <f>IF(終値!A353="","",IF(AND(安値!H353&lt;安値!G353,安値!H353&lt;安値!F353,安値!H353&lt;安値!I353,安値!H353&lt;安値!J353),3,""))</f>
      </c>
      <c r="D353" s="684">
        <f>IF(終値!A353="","",IF(AND(安値!I353&lt;安値!H353,安値!I353&lt;安値!G353,安値!I353&lt;安値!J353,安値!I353&lt;安値!K353),4,""))</f>
      </c>
      <c r="E353" s="684">
        <f>IF(終値!A353="","",IF(AND(安値!J353&lt;安値!I353,安値!J353&lt;安値!H353,安値!J353&lt;安値!K353,安値!J353&lt;安値!L353),5,""))</f>
      </c>
      <c r="F353" s="684">
        <f>IF(終値!A353="","",IF(AND(安値!K353&lt;安値!J353,安値!K353&lt;安値!I353,安値!K353&lt;安値!L353,安値!K353&lt;安値!M353),6,""))</f>
      </c>
      <c r="G353" s="684">
        <f>IF(終値!A353="","",IF(AND(安値!L353&lt;安値!K353,安値!L353&lt;安値!J353,安値!L353&lt;安値!M353,安値!L353&lt;安値!N353),7,""))</f>
      </c>
      <c r="H353" s="684">
        <f>IF(終値!A353="","",IF(AND(安値!M353&lt;安値!L353,安値!M353&lt;安値!K353,安値!M353&lt;安値!N353,安値!M353&lt;安値!O353),8,""))</f>
      </c>
      <c r="I353" s="684">
        <f>IF(終値!A353="","",IF(AND(安値!N353&lt;安値!M353,安値!N353&lt;安値!L353,安値!N353&lt;安値!O353,安値!N353&lt;安値!P353),9,""))</f>
      </c>
      <c r="J353" s="684">
        <f>IF(終値!A353="","",IF(AND(安値!O353&lt;安値!N353,安値!O353&lt;安値!M353,安値!O353&lt;安値!P353,安値!O353&lt;安値!Q353),10,""))</f>
      </c>
      <c r="K353" s="684">
        <f>IF(終値!A353="","",IF(AND(安値!P353&lt;安値!O353,安値!P353&lt;安値!N353,安値!P353&lt;安値!Q353,安値!P353&lt;安値!R353),11,""))</f>
      </c>
      <c r="L353" s="684">
        <f>IF(終値!A353="","",IF(AND(安値!Q353&lt;安値!P353,安値!Q353&lt;安値!O353,安値!Q353&lt;安値!R353,安値!Q353&lt;安値!S353),12,""))</f>
      </c>
      <c r="M353" s="684">
        <f>IF(終値!A353="","",IF(AND(安値!R353&lt;安値!Q353,安値!R353&lt;安値!P353,安値!R353&lt;安値!S353,安値!R353&lt;安値!T353),13,""))</f>
      </c>
      <c r="N353" s="684">
        <f>IF(終値!A353="","",IF(AND(安値!S353&lt;安値!R353,安値!S353&lt;安値!Q353,安値!S353&lt;安値!T353,安値!S353&lt;安値!U353),14,""))</f>
      </c>
      <c r="O353" s="684">
        <f>IF(終値!A353="","",IF(AND(安値!T353&lt;安値!S353,安値!T353&lt;安値!R353,安値!T353&lt;安値!U353,安値!T353&lt;安値!V353),15,""))</f>
      </c>
      <c r="P353" s="684">
        <f>IF(終値!A353="","",IF(AND(安値!U353&lt;安値!T353,安値!U353&lt;安値!S353,安値!U353&lt;安値!V353,安値!U353&lt;安値!W353),16,""))</f>
      </c>
      <c r="Q353" s="684">
        <f>IF(終値!A353="","",IF(AND(安値!V353&lt;安値!U353,安値!V353&lt;安値!T353,安値!V353&lt;安値!W353,安値!V353&lt;安値!X353),17,""))</f>
      </c>
      <c r="R353" s="684">
        <f>IF(終値!A353="","",IF(AND(安値!W353&lt;安値!V353,安値!W353&lt;安値!U353,安値!W353&lt;安値!X353,安値!W353&lt;安値!Y353),18,""))</f>
      </c>
      <c r="S353" s="684">
        <f>IF(終値!A353="","",IF(AND(安値!X353&lt;安値!W353,安値!X353&lt;安値!V353,安値!X353&lt;安値!Y353,安値!X353&lt;安値!Z353),19,""))</f>
      </c>
      <c r="T353" s="684">
        <f>IF(終値!A353="","",IF(AND(安値!Y353&lt;安値!X353,安値!Y353&lt;安値!W353,安値!Y353&lt;安値!Z353,安値!Y353&lt;安値!AA353),20,""))</f>
      </c>
      <c r="U353" s="684">
        <f>IF(終値!A353="","",IF(AND(安値!Z353&lt;安値!Y353,安値!Z353&lt;安値!X353,安値!Z353&lt;安値!AA353,安値!Z353&lt;安値!AB353),21,""))</f>
      </c>
      <c r="V353" s="684">
        <f>IF(終値!A353="","",IF(AND(安値!AA353&lt;安値!Z353,安値!AA353&lt;安値!Y353,安値!AA353&lt;安値!AB353,安値!AA353&lt;安値!AC353),22,""))</f>
      </c>
      <c r="W353" s="684">
        <f>IF(終値!A353="","",IF(AND(安値!AB353&lt;安値!AA353,安値!AB353&lt;安値!Z353,安値!AB353&lt;安値!AC353,安値!AB353&lt;安値!AD353),23,""))</f>
      </c>
      <c r="X353" s="684">
        <f>IF(終値!A353="","",IF(AND(安値!AC353&lt;安値!AB353,安値!AC353&lt;安値!AA353,安値!AC353&lt;安値!AD353,安値!AC353&lt;安値!AE353),24,""))</f>
      </c>
      <c r="Y353" s="684">
        <f>IF(終値!A353="","",IF(AND(安値!AD353&lt;安値!AC353,安値!AD353&lt;安値!AB353,安値!AD353&lt;安値!AE353,安値!AD353&lt;安値!AF353),25,""))</f>
      </c>
      <c r="Z353" s="684">
        <f>IF(終値!A353="","",IF(AND(安値!AE353&lt;安値!AD353,安値!AE353&lt;安値!AC353,安値!AE353&lt;安値!AF353,安値!AE353&lt;安値!AG353),26,""))</f>
      </c>
      <c r="AA353" s="684">
        <f>IF(終値!A353="","",IF(AND(安値!AF353&lt;安値!AE353,安値!AF353&lt;安値!AD353,安値!AF353&lt;安値!AG353,安値!AF353&lt;安値!AH353),27,""))</f>
      </c>
      <c r="AB353" s="684">
        <f>IF(終値!A353="","",IF(AND(安値!AG353&lt;安値!AF353,安値!AG353&lt;安値!AE353,安値!AG353&lt;安値!AH353,安値!AG353&lt;安値!AI353),28,""))</f>
      </c>
      <c r="AC353" s="684">
        <f>IF(終値!A353="","",IF(AND(高値!G353&gt;高値!F353,高値!G353&gt;高値!E353,高値!G353&gt;高値!H353,高値!G353&gt;高値!I353),2,""))</f>
      </c>
      <c r="AD353" s="684">
        <f>IF(終値!A353="","",IF(AND(高値!H353&gt;高値!G353,高値!H353&gt;高値!F353,高値!H353&gt;高値!I353,高値!H353&gt;高値!J353),3,""))</f>
      </c>
      <c r="AE353" s="684">
        <f>IF(終値!A353="","",IF(AND(高値!I353&gt;高値!H353,高値!I353&gt;高値!G353,高値!I353&gt;高値!J353,高値!I353&gt;高値!K353),4,""))</f>
      </c>
      <c r="AF353" s="684">
        <f>IF(終値!A353="","",IF(AND(高値!J353&gt;高値!I353,高値!J353&gt;高値!H353,高値!J353&gt;高値!K353,高値!J353&gt;高値!L353),5,""))</f>
      </c>
      <c r="AG353" s="684">
        <f>IF(終値!A353="","",IF(AND(高値!K353&gt;高値!J353,高値!K353&gt;高値!I353,高値!K353&gt;高値!L353,高値!K353&gt;高値!M353),6,""))</f>
      </c>
      <c r="AH353" s="684">
        <f>IF(終値!A353="","",IF(AND(高値!L353&gt;高値!K353,高値!L353&gt;高値!J353,高値!L353&gt;高値!M353,高値!L353&gt;高値!N353),7,""))</f>
      </c>
      <c r="AI353" s="684">
        <f>IF(終値!A353="","",IF(AND(高値!M353&gt;高値!L353,高値!M353&gt;高値!K353,高値!M353&gt;高値!N353,高値!M353&gt;高値!O353),8,""))</f>
      </c>
      <c r="AJ353" s="684">
        <f>IF(終値!A353="","",IF(AND(高値!N353&gt;高値!M353,高値!N353&gt;高値!L353,高値!N353&gt;高値!O353,高値!N353&gt;高値!P353),9,""))</f>
      </c>
      <c r="AK353" s="684">
        <f>IF(終値!A353="","",IF(AND(高値!O353&gt;高値!N353,高値!O353&gt;高値!M353,高値!O353&gt;高値!P353,高値!O353&gt;高値!Q353),10,""))</f>
      </c>
      <c r="AL353" s="684">
        <f>IF(終値!A353="","",IF(AND(高値!P353&gt;高値!O353,高値!P353&gt;高値!N353,高値!P353&gt;高値!Q353,高値!P353&gt;高値!R353),11,""))</f>
      </c>
      <c r="AM353" s="684">
        <f>IF(終値!A353="","",IF(AND(高値!Q353&gt;高値!P353,高値!Q353&gt;高値!O353,高値!Q353&gt;高値!R353,高値!Q353&gt;高値!S353),12,""))</f>
      </c>
      <c r="AN353" s="684">
        <f>IF(終値!A353="","",IF(AND(高値!R353&gt;高値!Q353,高値!R353&gt;高値!P353,高値!R353&gt;高値!S353,高値!R353&gt;高値!T353),13,""))</f>
      </c>
      <c r="AO353" s="684">
        <f>IF(終値!A353="","",IF(AND(高値!S353&gt;高値!R353,高値!S353&gt;高値!Q353,高値!S353&gt;高値!T353,高値!S353&gt;高値!U353),14,""))</f>
      </c>
      <c r="AP353" s="684">
        <f>IF(終値!A353="","",IF(AND(高値!T353&gt;高値!S353,高値!T353&gt;高値!R353,高値!T353&gt;高値!U353,高値!T353&gt;高値!V353),15,""))</f>
      </c>
      <c r="AQ353" s="684">
        <f>IF(終値!A353="","",IF(AND(高値!U353&gt;高値!T353,高値!U353&gt;高値!S353,高値!U353&gt;高値!V353,高値!U353&gt;高値!W353),16,""))</f>
      </c>
      <c r="AR353" s="684">
        <f>IF(終値!A353="","",IF(AND(高値!V353&gt;高値!U353,高値!V353&gt;高値!T353,高値!V353&gt;高値!W353,高値!V353&gt;高値!X353),17,""))</f>
      </c>
      <c r="AS353" s="684">
        <f>IF(終値!A353="","",IF(AND(高値!W353&gt;高値!V353,高値!W353&gt;高値!U353,高値!W353&gt;高値!X353,高値!W353&gt;高値!Y353),18,""))</f>
      </c>
      <c r="AT353" s="684">
        <f>IF(終値!A353="","",IF(AND(高値!X353&gt;高値!W353,高値!X353&gt;高値!V353,高値!X353&gt;高値!Y353,高値!X353&gt;高値!Z353),19,""))</f>
      </c>
      <c r="AU353" s="684">
        <f>IF(終値!A353="","",IF(AND(高値!Y353&gt;高値!X353,高値!Y353&gt;高値!W353,高値!Y353&gt;高値!Z353,高値!Y353&gt;高値!AA353),20,""))</f>
      </c>
      <c r="AV353" s="684">
        <f>IF(終値!A353="","",IF(AND(高値!Z353&gt;高値!Y353,高値!Z353&gt;高値!X353,高値!Z353&gt;高値!AA353,高値!Z353&gt;高値!AB353),21,""))</f>
      </c>
      <c r="AW353" s="684">
        <f>IF(終値!A353="","",IF(AND(高値!AA353&gt;高値!Z353,高値!AA353&gt;高値!Y353,高値!AA353&gt;高値!AB353,高値!AA353&gt;高値!AC353),22,""))</f>
      </c>
      <c r="AX353" s="684">
        <f>IF(終値!A353="","",IF(AND(高値!AB353&gt;高値!AA353,高値!AB353&gt;高値!Z353,高値!AB353&gt;高値!AC353,高値!AB353&gt;高値!AD353),23,""))</f>
      </c>
      <c r="AY353" s="684">
        <f>IF(終値!A353="","",IF(AND(高値!AC353&gt;高値!AB353,高値!AC353&gt;高値!AA353,高値!AC353&gt;高値!AD353,高値!AC353&gt;高値!AE353),24,""))</f>
      </c>
      <c r="AZ353" s="684">
        <f>IF(終値!A353="","",IF(AND(高値!AD353&gt;高値!AC353,高値!AD353&gt;高値!AB353,高値!AD353&gt;高値!AE353,高値!AD353&gt;高値!AF353),25,""))</f>
      </c>
      <c r="BA353" s="684">
        <f>IF(終値!A353="","",IF(AND(高値!AE353&gt;高値!AD353,高値!AE353&gt;高値!AC353,高値!AE353&gt;高値!AF353,高値!AE353&gt;高値!AG353),26,""))</f>
      </c>
      <c r="BB353" s="684">
        <f>IF(終値!A353="","",IF(AND(高値!AF353&gt;高値!AE353,高値!AF353&gt;高値!AD353,高値!AF353&gt;高値!AG353,高値!AF353&gt;高値!AH353),27,""))</f>
      </c>
      <c r="BC353" s="684">
        <f>IF(終値!A353="","",IF(AND(高値!AG353&gt;高値!AF353,高値!AG353&gt;高値!AE353,高値!AG353&gt;高値!AH353,高値!AG353&gt;高値!AI353),28,""))</f>
      </c>
      <c r="BD353" s="684">
        <f>COUNT($B353:$AB353)</f>
      </c>
      <c r="BE353" s="684">
        <f>IF($BD353&gt;=2,MIN($B353:$AB353),"")</f>
      </c>
      <c r="BF353" s="684">
        <f>IF($BD353&gt;=2,SMALL($B353:$AB353,2),"")</f>
      </c>
      <c r="BG353" s="684">
        <f>IF($BE353="","",INDEX(安値!$E353:$CZ353,1,$BE353+1))</f>
      </c>
      <c r="BH353" s="684">
        <f>IF($BF353="","",INDEX(安値!$E353:$CZ353,1,$BF353+1))</f>
      </c>
      <c r="BI353" s="684">
        <f>IF($BF353="","",MAX(INDEX(高値!$E353:$CZ353,1,$BE353+1):INDEX(高値!$E353:$CZ353,1,$BF353+1)))</f>
      </c>
      <c r="BJ353" s="684">
        <f>IF($BF353="","",AVERAGE(INDEX(終値!$E353:$CZ353,1,$BF353+1):INDEX(終値!$E353:$CZ353,1,$BF353+20))-2*STDEVP(INDEX(終値!$E353:$CZ353,1,$BF353+1):INDEX(終値!$E353:$CZ353,1,$BF353+20)))</f>
      </c>
      <c r="BK353" s="684">
        <f>IF($BE353="","",AVERAGE(INDEX(終値!$E353:$CZ353,1,$BE353+1):INDEX(終値!$E353:$CZ353,1,$BE353+20))-2*STDEVP(INDEX(終値!$E353:$CZ353,1,$BE353+1):INDEX(終値!$E353:$CZ353,1,$BE353+20)))</f>
      </c>
      <c r="BL353" s="684">
        <f>COUNT($AC353:$BC353)</f>
      </c>
      <c r="BM353" s="684">
        <f>IF($BL353&gt;=2,MIN($AC353:$BC353),"")</f>
      </c>
      <c r="BN353" s="684">
        <f>IF($BL353&gt;=2,SMALL($AC353:$BC353,2),"")</f>
      </c>
      <c r="BO353" s="684">
        <f>IF($BM353="","",INDEX(高値!$E353:$CZ353,1,$BM353+1))</f>
      </c>
      <c r="BP353" s="684">
        <f>IF($BN353="","",INDEX(高値!$E353:$CZ353,1,$BN353+1))</f>
      </c>
      <c r="BQ353" s="684">
        <f>IF($BN353="","",MIN(INDEX(安値!$E353:$CZ353,1,$BM353+1):INDEX(安値!$E353:$CZ353,1,$BN353+1)))</f>
      </c>
      <c r="BR353" s="684">
        <f>IF($BN353="","",AVERAGE(INDEX(終値!$E353:$CZ353,1,$BN353+1):INDEX(終値!$E353:$CZ353,1,$BN353+20))+2*STDEVP(INDEX(終値!$E353:$CZ353,1,$BN353+1):INDEX(終値!$E353:$CZ353,1,$BN353+20)))</f>
      </c>
      <c r="BS353" s="684">
        <f>IF($BM353="","",AVERAGE(INDEX(終値!$E353:$CZ353,1,$BM353+1):INDEX(終値!$E353:$CZ353,1,$BM353+20))+2*STDEVP(INDEX(終値!$E353:$CZ353,1,$BM353+1):INDEX(終値!$E353:$CZ353,1,$BM353+20)))</f>
      </c>
      <c r="BT353" s="681">
        <f>IFERROR(IF(AND($BD353&gt;=2,ABS($BG353-$BH353)/$BH353&lt;=BB設定!$B$12,$BI353&gt;=MAX($BH353,$BG353)*(1+BB設定!$B$13),終値!E353&gt;$BG353),IF(OR(終値!E353&gt;=$BI353,AND($BH353&lt;$BJ353,$BG353&gt;=$BK353)),"二番底W▲","二番底W形成"),IF(AND($BL353&gt;=2,ABS($BO353-$BP353)/$BP353&lt;=BB設定!$B$12,$BQ353&lt;=MIN($BP353,$BO353)*(1-BB設定!$B$13),終値!E353&lt;$BO353),IF(OR(終値!E353&lt;=$BQ353,AND($BP353&gt;$BR353,$BO353&lt;=$BS353)),"二番天井M▼","二番天井M形成"),"－")),"－")</f>
      </c>
    </row>
    <row r="354">
      <c r="B354" s="684">
        <f>IF(終値!A354="","",IF(AND(安値!G354&lt;安値!F354,安値!G354&lt;安値!E354,安値!G354&lt;安値!H354,安値!G354&lt;安値!I354),2,""))</f>
      </c>
      <c r="C354" s="684">
        <f>IF(終値!A354="","",IF(AND(安値!H354&lt;安値!G354,安値!H354&lt;安値!F354,安値!H354&lt;安値!I354,安値!H354&lt;安値!J354),3,""))</f>
      </c>
      <c r="D354" s="684">
        <f>IF(終値!A354="","",IF(AND(安値!I354&lt;安値!H354,安値!I354&lt;安値!G354,安値!I354&lt;安値!J354,安値!I354&lt;安値!K354),4,""))</f>
      </c>
      <c r="E354" s="684">
        <f>IF(終値!A354="","",IF(AND(安値!J354&lt;安値!I354,安値!J354&lt;安値!H354,安値!J354&lt;安値!K354,安値!J354&lt;安値!L354),5,""))</f>
      </c>
      <c r="F354" s="684">
        <f>IF(終値!A354="","",IF(AND(安値!K354&lt;安値!J354,安値!K354&lt;安値!I354,安値!K354&lt;安値!L354,安値!K354&lt;安値!M354),6,""))</f>
      </c>
      <c r="G354" s="684">
        <f>IF(終値!A354="","",IF(AND(安値!L354&lt;安値!K354,安値!L354&lt;安値!J354,安値!L354&lt;安値!M354,安値!L354&lt;安値!N354),7,""))</f>
      </c>
      <c r="H354" s="684">
        <f>IF(終値!A354="","",IF(AND(安値!M354&lt;安値!L354,安値!M354&lt;安値!K354,安値!M354&lt;安値!N354,安値!M354&lt;安値!O354),8,""))</f>
      </c>
      <c r="I354" s="684">
        <f>IF(終値!A354="","",IF(AND(安値!N354&lt;安値!M354,安値!N354&lt;安値!L354,安値!N354&lt;安値!O354,安値!N354&lt;安値!P354),9,""))</f>
      </c>
      <c r="J354" s="684">
        <f>IF(終値!A354="","",IF(AND(安値!O354&lt;安値!N354,安値!O354&lt;安値!M354,安値!O354&lt;安値!P354,安値!O354&lt;安値!Q354),10,""))</f>
      </c>
      <c r="K354" s="684">
        <f>IF(終値!A354="","",IF(AND(安値!P354&lt;安値!O354,安値!P354&lt;安値!N354,安値!P354&lt;安値!Q354,安値!P354&lt;安値!R354),11,""))</f>
      </c>
      <c r="L354" s="684">
        <f>IF(終値!A354="","",IF(AND(安値!Q354&lt;安値!P354,安値!Q354&lt;安値!O354,安値!Q354&lt;安値!R354,安値!Q354&lt;安値!S354),12,""))</f>
      </c>
      <c r="M354" s="684">
        <f>IF(終値!A354="","",IF(AND(安値!R354&lt;安値!Q354,安値!R354&lt;安値!P354,安値!R354&lt;安値!S354,安値!R354&lt;安値!T354),13,""))</f>
      </c>
      <c r="N354" s="684">
        <f>IF(終値!A354="","",IF(AND(安値!S354&lt;安値!R354,安値!S354&lt;安値!Q354,安値!S354&lt;安値!T354,安値!S354&lt;安値!U354),14,""))</f>
      </c>
      <c r="O354" s="684">
        <f>IF(終値!A354="","",IF(AND(安値!T354&lt;安値!S354,安値!T354&lt;安値!R354,安値!T354&lt;安値!U354,安値!T354&lt;安値!V354),15,""))</f>
      </c>
      <c r="P354" s="684">
        <f>IF(終値!A354="","",IF(AND(安値!U354&lt;安値!T354,安値!U354&lt;安値!S354,安値!U354&lt;安値!V354,安値!U354&lt;安値!W354),16,""))</f>
      </c>
      <c r="Q354" s="684">
        <f>IF(終値!A354="","",IF(AND(安値!V354&lt;安値!U354,安値!V354&lt;安値!T354,安値!V354&lt;安値!W354,安値!V354&lt;安値!X354),17,""))</f>
      </c>
      <c r="R354" s="684">
        <f>IF(終値!A354="","",IF(AND(安値!W354&lt;安値!V354,安値!W354&lt;安値!U354,安値!W354&lt;安値!X354,安値!W354&lt;安値!Y354),18,""))</f>
      </c>
      <c r="S354" s="684">
        <f>IF(終値!A354="","",IF(AND(安値!X354&lt;安値!W354,安値!X354&lt;安値!V354,安値!X354&lt;安値!Y354,安値!X354&lt;安値!Z354),19,""))</f>
      </c>
      <c r="T354" s="684">
        <f>IF(終値!A354="","",IF(AND(安値!Y354&lt;安値!X354,安値!Y354&lt;安値!W354,安値!Y354&lt;安値!Z354,安値!Y354&lt;安値!AA354),20,""))</f>
      </c>
      <c r="U354" s="684">
        <f>IF(終値!A354="","",IF(AND(安値!Z354&lt;安値!Y354,安値!Z354&lt;安値!X354,安値!Z354&lt;安値!AA354,安値!Z354&lt;安値!AB354),21,""))</f>
      </c>
      <c r="V354" s="684">
        <f>IF(終値!A354="","",IF(AND(安値!AA354&lt;安値!Z354,安値!AA354&lt;安値!Y354,安値!AA354&lt;安値!AB354,安値!AA354&lt;安値!AC354),22,""))</f>
      </c>
      <c r="W354" s="684">
        <f>IF(終値!A354="","",IF(AND(安値!AB354&lt;安値!AA354,安値!AB354&lt;安値!Z354,安値!AB354&lt;安値!AC354,安値!AB354&lt;安値!AD354),23,""))</f>
      </c>
      <c r="X354" s="684">
        <f>IF(終値!A354="","",IF(AND(安値!AC354&lt;安値!AB354,安値!AC354&lt;安値!AA354,安値!AC354&lt;安値!AD354,安値!AC354&lt;安値!AE354),24,""))</f>
      </c>
      <c r="Y354" s="684">
        <f>IF(終値!A354="","",IF(AND(安値!AD354&lt;安値!AC354,安値!AD354&lt;安値!AB354,安値!AD354&lt;安値!AE354,安値!AD354&lt;安値!AF354),25,""))</f>
      </c>
      <c r="Z354" s="684">
        <f>IF(終値!A354="","",IF(AND(安値!AE354&lt;安値!AD354,安値!AE354&lt;安値!AC354,安値!AE354&lt;安値!AF354,安値!AE354&lt;安値!AG354),26,""))</f>
      </c>
      <c r="AA354" s="684">
        <f>IF(終値!A354="","",IF(AND(安値!AF354&lt;安値!AE354,安値!AF354&lt;安値!AD354,安値!AF354&lt;安値!AG354,安値!AF354&lt;安値!AH354),27,""))</f>
      </c>
      <c r="AB354" s="684">
        <f>IF(終値!A354="","",IF(AND(安値!AG354&lt;安値!AF354,安値!AG354&lt;安値!AE354,安値!AG354&lt;安値!AH354,安値!AG354&lt;安値!AI354),28,""))</f>
      </c>
      <c r="AC354" s="684">
        <f>IF(終値!A354="","",IF(AND(高値!G354&gt;高値!F354,高値!G354&gt;高値!E354,高値!G354&gt;高値!H354,高値!G354&gt;高値!I354),2,""))</f>
      </c>
      <c r="AD354" s="684">
        <f>IF(終値!A354="","",IF(AND(高値!H354&gt;高値!G354,高値!H354&gt;高値!F354,高値!H354&gt;高値!I354,高値!H354&gt;高値!J354),3,""))</f>
      </c>
      <c r="AE354" s="684">
        <f>IF(終値!A354="","",IF(AND(高値!I354&gt;高値!H354,高値!I354&gt;高値!G354,高値!I354&gt;高値!J354,高値!I354&gt;高値!K354),4,""))</f>
      </c>
      <c r="AF354" s="684">
        <f>IF(終値!A354="","",IF(AND(高値!J354&gt;高値!I354,高値!J354&gt;高値!H354,高値!J354&gt;高値!K354,高値!J354&gt;高値!L354),5,""))</f>
      </c>
      <c r="AG354" s="684">
        <f>IF(終値!A354="","",IF(AND(高値!K354&gt;高値!J354,高値!K354&gt;高値!I354,高値!K354&gt;高値!L354,高値!K354&gt;高値!M354),6,""))</f>
      </c>
      <c r="AH354" s="684">
        <f>IF(終値!A354="","",IF(AND(高値!L354&gt;高値!K354,高値!L354&gt;高値!J354,高値!L354&gt;高値!M354,高値!L354&gt;高値!N354),7,""))</f>
      </c>
      <c r="AI354" s="684">
        <f>IF(終値!A354="","",IF(AND(高値!M354&gt;高値!L354,高値!M354&gt;高値!K354,高値!M354&gt;高値!N354,高値!M354&gt;高値!O354),8,""))</f>
      </c>
      <c r="AJ354" s="684">
        <f>IF(終値!A354="","",IF(AND(高値!N354&gt;高値!M354,高値!N354&gt;高値!L354,高値!N354&gt;高値!O354,高値!N354&gt;高値!P354),9,""))</f>
      </c>
      <c r="AK354" s="684">
        <f>IF(終値!A354="","",IF(AND(高値!O354&gt;高値!N354,高値!O354&gt;高値!M354,高値!O354&gt;高値!P354,高値!O354&gt;高値!Q354),10,""))</f>
      </c>
      <c r="AL354" s="684">
        <f>IF(終値!A354="","",IF(AND(高値!P354&gt;高値!O354,高値!P354&gt;高値!N354,高値!P354&gt;高値!Q354,高値!P354&gt;高値!R354),11,""))</f>
      </c>
      <c r="AM354" s="684">
        <f>IF(終値!A354="","",IF(AND(高値!Q354&gt;高値!P354,高値!Q354&gt;高値!O354,高値!Q354&gt;高値!R354,高値!Q354&gt;高値!S354),12,""))</f>
      </c>
      <c r="AN354" s="684">
        <f>IF(終値!A354="","",IF(AND(高値!R354&gt;高値!Q354,高値!R354&gt;高値!P354,高値!R354&gt;高値!S354,高値!R354&gt;高値!T354),13,""))</f>
      </c>
      <c r="AO354" s="684">
        <f>IF(終値!A354="","",IF(AND(高値!S354&gt;高値!R354,高値!S354&gt;高値!Q354,高値!S354&gt;高値!T354,高値!S354&gt;高値!U354),14,""))</f>
      </c>
      <c r="AP354" s="684">
        <f>IF(終値!A354="","",IF(AND(高値!T354&gt;高値!S354,高値!T354&gt;高値!R354,高値!T354&gt;高値!U354,高値!T354&gt;高値!V354),15,""))</f>
      </c>
      <c r="AQ354" s="684">
        <f>IF(終値!A354="","",IF(AND(高値!U354&gt;高値!T354,高値!U354&gt;高値!S354,高値!U354&gt;高値!V354,高値!U354&gt;高値!W354),16,""))</f>
      </c>
      <c r="AR354" s="684">
        <f>IF(終値!A354="","",IF(AND(高値!V354&gt;高値!U354,高値!V354&gt;高値!T354,高値!V354&gt;高値!W354,高値!V354&gt;高値!X354),17,""))</f>
      </c>
      <c r="AS354" s="684">
        <f>IF(終値!A354="","",IF(AND(高値!W354&gt;高値!V354,高値!W354&gt;高値!U354,高値!W354&gt;高値!X354,高値!W354&gt;高値!Y354),18,""))</f>
      </c>
      <c r="AT354" s="684">
        <f>IF(終値!A354="","",IF(AND(高値!X354&gt;高値!W354,高値!X354&gt;高値!V354,高値!X354&gt;高値!Y354,高値!X354&gt;高値!Z354),19,""))</f>
      </c>
      <c r="AU354" s="684">
        <f>IF(終値!A354="","",IF(AND(高値!Y354&gt;高値!X354,高値!Y354&gt;高値!W354,高値!Y354&gt;高値!Z354,高値!Y354&gt;高値!AA354),20,""))</f>
      </c>
      <c r="AV354" s="684">
        <f>IF(終値!A354="","",IF(AND(高値!Z354&gt;高値!Y354,高値!Z354&gt;高値!X354,高値!Z354&gt;高値!AA354,高値!Z354&gt;高値!AB354),21,""))</f>
      </c>
      <c r="AW354" s="684">
        <f>IF(終値!A354="","",IF(AND(高値!AA354&gt;高値!Z354,高値!AA354&gt;高値!Y354,高値!AA354&gt;高値!AB354,高値!AA354&gt;高値!AC354),22,""))</f>
      </c>
      <c r="AX354" s="684">
        <f>IF(終値!A354="","",IF(AND(高値!AB354&gt;高値!AA354,高値!AB354&gt;高値!Z354,高値!AB354&gt;高値!AC354,高値!AB354&gt;高値!AD354),23,""))</f>
      </c>
      <c r="AY354" s="684">
        <f>IF(終値!A354="","",IF(AND(高値!AC354&gt;高値!AB354,高値!AC354&gt;高値!AA354,高値!AC354&gt;高値!AD354,高値!AC354&gt;高値!AE354),24,""))</f>
      </c>
      <c r="AZ354" s="684">
        <f>IF(終値!A354="","",IF(AND(高値!AD354&gt;高値!AC354,高値!AD354&gt;高値!AB354,高値!AD354&gt;高値!AE354,高値!AD354&gt;高値!AF354),25,""))</f>
      </c>
      <c r="BA354" s="684">
        <f>IF(終値!A354="","",IF(AND(高値!AE354&gt;高値!AD354,高値!AE354&gt;高値!AC354,高値!AE354&gt;高値!AF354,高値!AE354&gt;高値!AG354),26,""))</f>
      </c>
      <c r="BB354" s="684">
        <f>IF(終値!A354="","",IF(AND(高値!AF354&gt;高値!AE354,高値!AF354&gt;高値!AD354,高値!AF354&gt;高値!AG354,高値!AF354&gt;高値!AH354),27,""))</f>
      </c>
      <c r="BC354" s="684">
        <f>IF(終値!A354="","",IF(AND(高値!AG354&gt;高値!AF354,高値!AG354&gt;高値!AE354,高値!AG354&gt;高値!AH354,高値!AG354&gt;高値!AI354),28,""))</f>
      </c>
      <c r="BD354" s="684">
        <f>COUNT($B354:$AB354)</f>
      </c>
      <c r="BE354" s="684">
        <f>IF($BD354&gt;=2,MIN($B354:$AB354),"")</f>
      </c>
      <c r="BF354" s="684">
        <f>IF($BD354&gt;=2,SMALL($B354:$AB354,2),"")</f>
      </c>
      <c r="BG354" s="684">
        <f>IF($BE354="","",INDEX(安値!$E354:$CZ354,1,$BE354+1))</f>
      </c>
      <c r="BH354" s="684">
        <f>IF($BF354="","",INDEX(安値!$E354:$CZ354,1,$BF354+1))</f>
      </c>
      <c r="BI354" s="684">
        <f>IF($BF354="","",MAX(INDEX(高値!$E354:$CZ354,1,$BE354+1):INDEX(高値!$E354:$CZ354,1,$BF354+1)))</f>
      </c>
      <c r="BJ354" s="684">
        <f>IF($BF354="","",AVERAGE(INDEX(終値!$E354:$CZ354,1,$BF354+1):INDEX(終値!$E354:$CZ354,1,$BF354+20))-2*STDEVP(INDEX(終値!$E354:$CZ354,1,$BF354+1):INDEX(終値!$E354:$CZ354,1,$BF354+20)))</f>
      </c>
      <c r="BK354" s="684">
        <f>IF($BE354="","",AVERAGE(INDEX(終値!$E354:$CZ354,1,$BE354+1):INDEX(終値!$E354:$CZ354,1,$BE354+20))-2*STDEVP(INDEX(終値!$E354:$CZ354,1,$BE354+1):INDEX(終値!$E354:$CZ354,1,$BE354+20)))</f>
      </c>
      <c r="BL354" s="684">
        <f>COUNT($AC354:$BC354)</f>
      </c>
      <c r="BM354" s="684">
        <f>IF($BL354&gt;=2,MIN($AC354:$BC354),"")</f>
      </c>
      <c r="BN354" s="684">
        <f>IF($BL354&gt;=2,SMALL($AC354:$BC354,2),"")</f>
      </c>
      <c r="BO354" s="684">
        <f>IF($BM354="","",INDEX(高値!$E354:$CZ354,1,$BM354+1))</f>
      </c>
      <c r="BP354" s="684">
        <f>IF($BN354="","",INDEX(高値!$E354:$CZ354,1,$BN354+1))</f>
      </c>
      <c r="BQ354" s="684">
        <f>IF($BN354="","",MIN(INDEX(安値!$E354:$CZ354,1,$BM354+1):INDEX(安値!$E354:$CZ354,1,$BN354+1)))</f>
      </c>
      <c r="BR354" s="684">
        <f>IF($BN354="","",AVERAGE(INDEX(終値!$E354:$CZ354,1,$BN354+1):INDEX(終値!$E354:$CZ354,1,$BN354+20))+2*STDEVP(INDEX(終値!$E354:$CZ354,1,$BN354+1):INDEX(終値!$E354:$CZ354,1,$BN354+20)))</f>
      </c>
      <c r="BS354" s="684">
        <f>IF($BM354="","",AVERAGE(INDEX(終値!$E354:$CZ354,1,$BM354+1):INDEX(終値!$E354:$CZ354,1,$BM354+20))+2*STDEVP(INDEX(終値!$E354:$CZ354,1,$BM354+1):INDEX(終値!$E354:$CZ354,1,$BM354+20)))</f>
      </c>
      <c r="BT354" s="681">
        <f>IFERROR(IF(AND($BD354&gt;=2,ABS($BG354-$BH354)/$BH354&lt;=BB設定!$B$12,$BI354&gt;=MAX($BH354,$BG354)*(1+BB設定!$B$13),終値!E354&gt;$BG354),IF(OR(終値!E354&gt;=$BI354,AND($BH354&lt;$BJ354,$BG354&gt;=$BK354)),"二番底W▲","二番底W形成"),IF(AND($BL354&gt;=2,ABS($BO354-$BP354)/$BP354&lt;=BB設定!$B$12,$BQ354&lt;=MIN($BP354,$BO354)*(1-BB設定!$B$13),終値!E354&lt;$BO354),IF(OR(終値!E354&lt;=$BQ354,AND($BP354&gt;$BR354,$BO354&lt;=$BS354)),"二番天井M▼","二番天井M形成"),"－")),"－")</f>
      </c>
    </row>
    <row r="355">
      <c r="B355" s="684">
        <f>IF(終値!A355="","",IF(AND(安値!G355&lt;安値!F355,安値!G355&lt;安値!E355,安値!G355&lt;安値!H355,安値!G355&lt;安値!I355),2,""))</f>
      </c>
      <c r="C355" s="684">
        <f>IF(終値!A355="","",IF(AND(安値!H355&lt;安値!G355,安値!H355&lt;安値!F355,安値!H355&lt;安値!I355,安値!H355&lt;安値!J355),3,""))</f>
      </c>
      <c r="D355" s="684">
        <f>IF(終値!A355="","",IF(AND(安値!I355&lt;安値!H355,安値!I355&lt;安値!G355,安値!I355&lt;安値!J355,安値!I355&lt;安値!K355),4,""))</f>
      </c>
      <c r="E355" s="684">
        <f>IF(終値!A355="","",IF(AND(安値!J355&lt;安値!I355,安値!J355&lt;安値!H355,安値!J355&lt;安値!K355,安値!J355&lt;安値!L355),5,""))</f>
      </c>
      <c r="F355" s="684">
        <f>IF(終値!A355="","",IF(AND(安値!K355&lt;安値!J355,安値!K355&lt;安値!I355,安値!K355&lt;安値!L355,安値!K355&lt;安値!M355),6,""))</f>
      </c>
      <c r="G355" s="684">
        <f>IF(終値!A355="","",IF(AND(安値!L355&lt;安値!K355,安値!L355&lt;安値!J355,安値!L355&lt;安値!M355,安値!L355&lt;安値!N355),7,""))</f>
      </c>
      <c r="H355" s="684">
        <f>IF(終値!A355="","",IF(AND(安値!M355&lt;安値!L355,安値!M355&lt;安値!K355,安値!M355&lt;安値!N355,安値!M355&lt;安値!O355),8,""))</f>
      </c>
      <c r="I355" s="684">
        <f>IF(終値!A355="","",IF(AND(安値!N355&lt;安値!M355,安値!N355&lt;安値!L355,安値!N355&lt;安値!O355,安値!N355&lt;安値!P355),9,""))</f>
      </c>
      <c r="J355" s="684">
        <f>IF(終値!A355="","",IF(AND(安値!O355&lt;安値!N355,安値!O355&lt;安値!M355,安値!O355&lt;安値!P355,安値!O355&lt;安値!Q355),10,""))</f>
      </c>
      <c r="K355" s="684">
        <f>IF(終値!A355="","",IF(AND(安値!P355&lt;安値!O355,安値!P355&lt;安値!N355,安値!P355&lt;安値!Q355,安値!P355&lt;安値!R355),11,""))</f>
      </c>
      <c r="L355" s="684">
        <f>IF(終値!A355="","",IF(AND(安値!Q355&lt;安値!P355,安値!Q355&lt;安値!O355,安値!Q355&lt;安値!R355,安値!Q355&lt;安値!S355),12,""))</f>
      </c>
      <c r="M355" s="684">
        <f>IF(終値!A355="","",IF(AND(安値!R355&lt;安値!Q355,安値!R355&lt;安値!P355,安値!R355&lt;安値!S355,安値!R355&lt;安値!T355),13,""))</f>
      </c>
      <c r="N355" s="684">
        <f>IF(終値!A355="","",IF(AND(安値!S355&lt;安値!R355,安値!S355&lt;安値!Q355,安値!S355&lt;安値!T355,安値!S355&lt;安値!U355),14,""))</f>
      </c>
      <c r="O355" s="684">
        <f>IF(終値!A355="","",IF(AND(安値!T355&lt;安値!S355,安値!T355&lt;安値!R355,安値!T355&lt;安値!U355,安値!T355&lt;安値!V355),15,""))</f>
      </c>
      <c r="P355" s="684">
        <f>IF(終値!A355="","",IF(AND(安値!U355&lt;安値!T355,安値!U355&lt;安値!S355,安値!U355&lt;安値!V355,安値!U355&lt;安値!W355),16,""))</f>
      </c>
      <c r="Q355" s="684">
        <f>IF(終値!A355="","",IF(AND(安値!V355&lt;安値!U355,安値!V355&lt;安値!T355,安値!V355&lt;安値!W355,安値!V355&lt;安値!X355),17,""))</f>
      </c>
      <c r="R355" s="684">
        <f>IF(終値!A355="","",IF(AND(安値!W355&lt;安値!V355,安値!W355&lt;安値!U355,安値!W355&lt;安値!X355,安値!W355&lt;安値!Y355),18,""))</f>
      </c>
      <c r="S355" s="684">
        <f>IF(終値!A355="","",IF(AND(安値!X355&lt;安値!W355,安値!X355&lt;安値!V355,安値!X355&lt;安値!Y355,安値!X355&lt;安値!Z355),19,""))</f>
      </c>
      <c r="T355" s="684">
        <f>IF(終値!A355="","",IF(AND(安値!Y355&lt;安値!X355,安値!Y355&lt;安値!W355,安値!Y355&lt;安値!Z355,安値!Y355&lt;安値!AA355),20,""))</f>
      </c>
      <c r="U355" s="684">
        <f>IF(終値!A355="","",IF(AND(安値!Z355&lt;安値!Y355,安値!Z355&lt;安値!X355,安値!Z355&lt;安値!AA355,安値!Z355&lt;安値!AB355),21,""))</f>
      </c>
      <c r="V355" s="684">
        <f>IF(終値!A355="","",IF(AND(安値!AA355&lt;安値!Z355,安値!AA355&lt;安値!Y355,安値!AA355&lt;安値!AB355,安値!AA355&lt;安値!AC355),22,""))</f>
      </c>
      <c r="W355" s="684">
        <f>IF(終値!A355="","",IF(AND(安値!AB355&lt;安値!AA355,安値!AB355&lt;安値!Z355,安値!AB355&lt;安値!AC355,安値!AB355&lt;安値!AD355),23,""))</f>
      </c>
      <c r="X355" s="684">
        <f>IF(終値!A355="","",IF(AND(安値!AC355&lt;安値!AB355,安値!AC355&lt;安値!AA355,安値!AC355&lt;安値!AD355,安値!AC355&lt;安値!AE355),24,""))</f>
      </c>
      <c r="Y355" s="684">
        <f>IF(終値!A355="","",IF(AND(安値!AD355&lt;安値!AC355,安値!AD355&lt;安値!AB355,安値!AD355&lt;安値!AE355,安値!AD355&lt;安値!AF355),25,""))</f>
      </c>
      <c r="Z355" s="684">
        <f>IF(終値!A355="","",IF(AND(安値!AE355&lt;安値!AD355,安値!AE355&lt;安値!AC355,安値!AE355&lt;安値!AF355,安値!AE355&lt;安値!AG355),26,""))</f>
      </c>
      <c r="AA355" s="684">
        <f>IF(終値!A355="","",IF(AND(安値!AF355&lt;安値!AE355,安値!AF355&lt;安値!AD355,安値!AF355&lt;安値!AG355,安値!AF355&lt;安値!AH355),27,""))</f>
      </c>
      <c r="AB355" s="684">
        <f>IF(終値!A355="","",IF(AND(安値!AG355&lt;安値!AF355,安値!AG355&lt;安値!AE355,安値!AG355&lt;安値!AH355,安値!AG355&lt;安値!AI355),28,""))</f>
      </c>
      <c r="AC355" s="684">
        <f>IF(終値!A355="","",IF(AND(高値!G355&gt;高値!F355,高値!G355&gt;高値!E355,高値!G355&gt;高値!H355,高値!G355&gt;高値!I355),2,""))</f>
      </c>
      <c r="AD355" s="684">
        <f>IF(終値!A355="","",IF(AND(高値!H355&gt;高値!G355,高値!H355&gt;高値!F355,高値!H355&gt;高値!I355,高値!H355&gt;高値!J355),3,""))</f>
      </c>
      <c r="AE355" s="684">
        <f>IF(終値!A355="","",IF(AND(高値!I355&gt;高値!H355,高値!I355&gt;高値!G355,高値!I355&gt;高値!J355,高値!I355&gt;高値!K355),4,""))</f>
      </c>
      <c r="AF355" s="684">
        <f>IF(終値!A355="","",IF(AND(高値!J355&gt;高値!I355,高値!J355&gt;高値!H355,高値!J355&gt;高値!K355,高値!J355&gt;高値!L355),5,""))</f>
      </c>
      <c r="AG355" s="684">
        <f>IF(終値!A355="","",IF(AND(高値!K355&gt;高値!J355,高値!K355&gt;高値!I355,高値!K355&gt;高値!L355,高値!K355&gt;高値!M355),6,""))</f>
      </c>
      <c r="AH355" s="684">
        <f>IF(終値!A355="","",IF(AND(高値!L355&gt;高値!K355,高値!L355&gt;高値!J355,高値!L355&gt;高値!M355,高値!L355&gt;高値!N355),7,""))</f>
      </c>
      <c r="AI355" s="684">
        <f>IF(終値!A355="","",IF(AND(高値!M355&gt;高値!L355,高値!M355&gt;高値!K355,高値!M355&gt;高値!N355,高値!M355&gt;高値!O355),8,""))</f>
      </c>
      <c r="AJ355" s="684">
        <f>IF(終値!A355="","",IF(AND(高値!N355&gt;高値!M355,高値!N355&gt;高値!L355,高値!N355&gt;高値!O355,高値!N355&gt;高値!P355),9,""))</f>
      </c>
      <c r="AK355" s="684">
        <f>IF(終値!A355="","",IF(AND(高値!O355&gt;高値!N355,高値!O355&gt;高値!M355,高値!O355&gt;高値!P355,高値!O355&gt;高値!Q355),10,""))</f>
      </c>
      <c r="AL355" s="684">
        <f>IF(終値!A355="","",IF(AND(高値!P355&gt;高値!O355,高値!P355&gt;高値!N355,高値!P355&gt;高値!Q355,高値!P355&gt;高値!R355),11,""))</f>
      </c>
      <c r="AM355" s="684">
        <f>IF(終値!A355="","",IF(AND(高値!Q355&gt;高値!P355,高値!Q355&gt;高値!O355,高値!Q355&gt;高値!R355,高値!Q355&gt;高値!S355),12,""))</f>
      </c>
      <c r="AN355" s="684">
        <f>IF(終値!A355="","",IF(AND(高値!R355&gt;高値!Q355,高値!R355&gt;高値!P355,高値!R355&gt;高値!S355,高値!R355&gt;高値!T355),13,""))</f>
      </c>
      <c r="AO355" s="684">
        <f>IF(終値!A355="","",IF(AND(高値!S355&gt;高値!R355,高値!S355&gt;高値!Q355,高値!S355&gt;高値!T355,高値!S355&gt;高値!U355),14,""))</f>
      </c>
      <c r="AP355" s="684">
        <f>IF(終値!A355="","",IF(AND(高値!T355&gt;高値!S355,高値!T355&gt;高値!R355,高値!T355&gt;高値!U355,高値!T355&gt;高値!V355),15,""))</f>
      </c>
      <c r="AQ355" s="684">
        <f>IF(終値!A355="","",IF(AND(高値!U355&gt;高値!T355,高値!U355&gt;高値!S355,高値!U355&gt;高値!V355,高値!U355&gt;高値!W355),16,""))</f>
      </c>
      <c r="AR355" s="684">
        <f>IF(終値!A355="","",IF(AND(高値!V355&gt;高値!U355,高値!V355&gt;高値!T355,高値!V355&gt;高値!W355,高値!V355&gt;高値!X355),17,""))</f>
      </c>
      <c r="AS355" s="684">
        <f>IF(終値!A355="","",IF(AND(高値!W355&gt;高値!V355,高値!W355&gt;高値!U355,高値!W355&gt;高値!X355,高値!W355&gt;高値!Y355),18,""))</f>
      </c>
      <c r="AT355" s="684">
        <f>IF(終値!A355="","",IF(AND(高値!X355&gt;高値!W355,高値!X355&gt;高値!V355,高値!X355&gt;高値!Y355,高値!X355&gt;高値!Z355),19,""))</f>
      </c>
      <c r="AU355" s="684">
        <f>IF(終値!A355="","",IF(AND(高値!Y355&gt;高値!X355,高値!Y355&gt;高値!W355,高値!Y355&gt;高値!Z355,高値!Y355&gt;高値!AA355),20,""))</f>
      </c>
      <c r="AV355" s="684">
        <f>IF(終値!A355="","",IF(AND(高値!Z355&gt;高値!Y355,高値!Z355&gt;高値!X355,高値!Z355&gt;高値!AA355,高値!Z355&gt;高値!AB355),21,""))</f>
      </c>
      <c r="AW355" s="684">
        <f>IF(終値!A355="","",IF(AND(高値!AA355&gt;高値!Z355,高値!AA355&gt;高値!Y355,高値!AA355&gt;高値!AB355,高値!AA355&gt;高値!AC355),22,""))</f>
      </c>
      <c r="AX355" s="684">
        <f>IF(終値!A355="","",IF(AND(高値!AB355&gt;高値!AA355,高値!AB355&gt;高値!Z355,高値!AB355&gt;高値!AC355,高値!AB355&gt;高値!AD355),23,""))</f>
      </c>
      <c r="AY355" s="684">
        <f>IF(終値!A355="","",IF(AND(高値!AC355&gt;高値!AB355,高値!AC355&gt;高値!AA355,高値!AC355&gt;高値!AD355,高値!AC355&gt;高値!AE355),24,""))</f>
      </c>
      <c r="AZ355" s="684">
        <f>IF(終値!A355="","",IF(AND(高値!AD355&gt;高値!AC355,高値!AD355&gt;高値!AB355,高値!AD355&gt;高値!AE355,高値!AD355&gt;高値!AF355),25,""))</f>
      </c>
      <c r="BA355" s="684">
        <f>IF(終値!A355="","",IF(AND(高値!AE355&gt;高値!AD355,高値!AE355&gt;高値!AC355,高値!AE355&gt;高値!AF355,高値!AE355&gt;高値!AG355),26,""))</f>
      </c>
      <c r="BB355" s="684">
        <f>IF(終値!A355="","",IF(AND(高値!AF355&gt;高値!AE355,高値!AF355&gt;高値!AD355,高値!AF355&gt;高値!AG355,高値!AF355&gt;高値!AH355),27,""))</f>
      </c>
      <c r="BC355" s="684">
        <f>IF(終値!A355="","",IF(AND(高値!AG355&gt;高値!AF355,高値!AG355&gt;高値!AE355,高値!AG355&gt;高値!AH355,高値!AG355&gt;高値!AI355),28,""))</f>
      </c>
      <c r="BD355" s="684">
        <f>COUNT($B355:$AB355)</f>
      </c>
      <c r="BE355" s="684">
        <f>IF($BD355&gt;=2,MIN($B355:$AB355),"")</f>
      </c>
      <c r="BF355" s="684">
        <f>IF($BD355&gt;=2,SMALL($B355:$AB355,2),"")</f>
      </c>
      <c r="BG355" s="684">
        <f>IF($BE355="","",INDEX(安値!$E355:$CZ355,1,$BE355+1))</f>
      </c>
      <c r="BH355" s="684">
        <f>IF($BF355="","",INDEX(安値!$E355:$CZ355,1,$BF355+1))</f>
      </c>
      <c r="BI355" s="684">
        <f>IF($BF355="","",MAX(INDEX(高値!$E355:$CZ355,1,$BE355+1):INDEX(高値!$E355:$CZ355,1,$BF355+1)))</f>
      </c>
      <c r="BJ355" s="684">
        <f>IF($BF355="","",AVERAGE(INDEX(終値!$E355:$CZ355,1,$BF355+1):INDEX(終値!$E355:$CZ355,1,$BF355+20))-2*STDEVP(INDEX(終値!$E355:$CZ355,1,$BF355+1):INDEX(終値!$E355:$CZ355,1,$BF355+20)))</f>
      </c>
      <c r="BK355" s="684">
        <f>IF($BE355="","",AVERAGE(INDEX(終値!$E355:$CZ355,1,$BE355+1):INDEX(終値!$E355:$CZ355,1,$BE355+20))-2*STDEVP(INDEX(終値!$E355:$CZ355,1,$BE355+1):INDEX(終値!$E355:$CZ355,1,$BE355+20)))</f>
      </c>
      <c r="BL355" s="684">
        <f>COUNT($AC355:$BC355)</f>
      </c>
      <c r="BM355" s="684">
        <f>IF($BL355&gt;=2,MIN($AC355:$BC355),"")</f>
      </c>
      <c r="BN355" s="684">
        <f>IF($BL355&gt;=2,SMALL($AC355:$BC355,2),"")</f>
      </c>
      <c r="BO355" s="684">
        <f>IF($BM355="","",INDEX(高値!$E355:$CZ355,1,$BM355+1))</f>
      </c>
      <c r="BP355" s="684">
        <f>IF($BN355="","",INDEX(高値!$E355:$CZ355,1,$BN355+1))</f>
      </c>
      <c r="BQ355" s="684">
        <f>IF($BN355="","",MIN(INDEX(安値!$E355:$CZ355,1,$BM355+1):INDEX(安値!$E355:$CZ355,1,$BN355+1)))</f>
      </c>
      <c r="BR355" s="684">
        <f>IF($BN355="","",AVERAGE(INDEX(終値!$E355:$CZ355,1,$BN355+1):INDEX(終値!$E355:$CZ355,1,$BN355+20))+2*STDEVP(INDEX(終値!$E355:$CZ355,1,$BN355+1):INDEX(終値!$E355:$CZ355,1,$BN355+20)))</f>
      </c>
      <c r="BS355" s="684">
        <f>IF($BM355="","",AVERAGE(INDEX(終値!$E355:$CZ355,1,$BM355+1):INDEX(終値!$E355:$CZ355,1,$BM355+20))+2*STDEVP(INDEX(終値!$E355:$CZ355,1,$BM355+1):INDEX(終値!$E355:$CZ355,1,$BM355+20)))</f>
      </c>
      <c r="BT355" s="681">
        <f>IFERROR(IF(AND($BD355&gt;=2,ABS($BG355-$BH355)/$BH355&lt;=BB設定!$B$12,$BI355&gt;=MAX($BH355,$BG355)*(1+BB設定!$B$13),終値!E355&gt;$BG355),IF(OR(終値!E355&gt;=$BI355,AND($BH355&lt;$BJ355,$BG355&gt;=$BK355)),"二番底W▲","二番底W形成"),IF(AND($BL355&gt;=2,ABS($BO355-$BP355)/$BP355&lt;=BB設定!$B$12,$BQ355&lt;=MIN($BP355,$BO355)*(1-BB設定!$B$13),終値!E355&lt;$BO355),IF(OR(終値!E355&lt;=$BQ355,AND($BP355&gt;$BR355,$BO355&lt;=$BS355)),"二番天井M▼","二番天井M形成"),"－")),"－")</f>
      </c>
    </row>
    <row r="356">
      <c r="B356" s="684">
        <f>IF(終値!A356="","",IF(AND(安値!G356&lt;安値!F356,安値!G356&lt;安値!E356,安値!G356&lt;安値!H356,安値!G356&lt;安値!I356),2,""))</f>
      </c>
      <c r="C356" s="684">
        <f>IF(終値!A356="","",IF(AND(安値!H356&lt;安値!G356,安値!H356&lt;安値!F356,安値!H356&lt;安値!I356,安値!H356&lt;安値!J356),3,""))</f>
      </c>
      <c r="D356" s="684">
        <f>IF(終値!A356="","",IF(AND(安値!I356&lt;安値!H356,安値!I356&lt;安値!G356,安値!I356&lt;安値!J356,安値!I356&lt;安値!K356),4,""))</f>
      </c>
      <c r="E356" s="684">
        <f>IF(終値!A356="","",IF(AND(安値!J356&lt;安値!I356,安値!J356&lt;安値!H356,安値!J356&lt;安値!K356,安値!J356&lt;安値!L356),5,""))</f>
      </c>
      <c r="F356" s="684">
        <f>IF(終値!A356="","",IF(AND(安値!K356&lt;安値!J356,安値!K356&lt;安値!I356,安値!K356&lt;安値!L356,安値!K356&lt;安値!M356),6,""))</f>
      </c>
      <c r="G356" s="684">
        <f>IF(終値!A356="","",IF(AND(安値!L356&lt;安値!K356,安値!L356&lt;安値!J356,安値!L356&lt;安値!M356,安値!L356&lt;安値!N356),7,""))</f>
      </c>
      <c r="H356" s="684">
        <f>IF(終値!A356="","",IF(AND(安値!M356&lt;安値!L356,安値!M356&lt;安値!K356,安値!M356&lt;安値!N356,安値!M356&lt;安値!O356),8,""))</f>
      </c>
      <c r="I356" s="684">
        <f>IF(終値!A356="","",IF(AND(安値!N356&lt;安値!M356,安値!N356&lt;安値!L356,安値!N356&lt;安値!O356,安値!N356&lt;安値!P356),9,""))</f>
      </c>
      <c r="J356" s="684">
        <f>IF(終値!A356="","",IF(AND(安値!O356&lt;安値!N356,安値!O356&lt;安値!M356,安値!O356&lt;安値!P356,安値!O356&lt;安値!Q356),10,""))</f>
      </c>
      <c r="K356" s="684">
        <f>IF(終値!A356="","",IF(AND(安値!P356&lt;安値!O356,安値!P356&lt;安値!N356,安値!P356&lt;安値!Q356,安値!P356&lt;安値!R356),11,""))</f>
      </c>
      <c r="L356" s="684">
        <f>IF(終値!A356="","",IF(AND(安値!Q356&lt;安値!P356,安値!Q356&lt;安値!O356,安値!Q356&lt;安値!R356,安値!Q356&lt;安値!S356),12,""))</f>
      </c>
      <c r="M356" s="684">
        <f>IF(終値!A356="","",IF(AND(安値!R356&lt;安値!Q356,安値!R356&lt;安値!P356,安値!R356&lt;安値!S356,安値!R356&lt;安値!T356),13,""))</f>
      </c>
      <c r="N356" s="684">
        <f>IF(終値!A356="","",IF(AND(安値!S356&lt;安値!R356,安値!S356&lt;安値!Q356,安値!S356&lt;安値!T356,安値!S356&lt;安値!U356),14,""))</f>
      </c>
      <c r="O356" s="684">
        <f>IF(終値!A356="","",IF(AND(安値!T356&lt;安値!S356,安値!T356&lt;安値!R356,安値!T356&lt;安値!U356,安値!T356&lt;安値!V356),15,""))</f>
      </c>
      <c r="P356" s="684">
        <f>IF(終値!A356="","",IF(AND(安値!U356&lt;安値!T356,安値!U356&lt;安値!S356,安値!U356&lt;安値!V356,安値!U356&lt;安値!W356),16,""))</f>
      </c>
      <c r="Q356" s="684">
        <f>IF(終値!A356="","",IF(AND(安値!V356&lt;安値!U356,安値!V356&lt;安値!T356,安値!V356&lt;安値!W356,安値!V356&lt;安値!X356),17,""))</f>
      </c>
      <c r="R356" s="684">
        <f>IF(終値!A356="","",IF(AND(安値!W356&lt;安値!V356,安値!W356&lt;安値!U356,安値!W356&lt;安値!X356,安値!W356&lt;安値!Y356),18,""))</f>
      </c>
      <c r="S356" s="684">
        <f>IF(終値!A356="","",IF(AND(安値!X356&lt;安値!W356,安値!X356&lt;安値!V356,安値!X356&lt;安値!Y356,安値!X356&lt;安値!Z356),19,""))</f>
      </c>
      <c r="T356" s="684">
        <f>IF(終値!A356="","",IF(AND(安値!Y356&lt;安値!X356,安値!Y356&lt;安値!W356,安値!Y356&lt;安値!Z356,安値!Y356&lt;安値!AA356),20,""))</f>
      </c>
      <c r="U356" s="684">
        <f>IF(終値!A356="","",IF(AND(安値!Z356&lt;安値!Y356,安値!Z356&lt;安値!X356,安値!Z356&lt;安値!AA356,安値!Z356&lt;安値!AB356),21,""))</f>
      </c>
      <c r="V356" s="684">
        <f>IF(終値!A356="","",IF(AND(安値!AA356&lt;安値!Z356,安値!AA356&lt;安値!Y356,安値!AA356&lt;安値!AB356,安値!AA356&lt;安値!AC356),22,""))</f>
      </c>
      <c r="W356" s="684">
        <f>IF(終値!A356="","",IF(AND(安値!AB356&lt;安値!AA356,安値!AB356&lt;安値!Z356,安値!AB356&lt;安値!AC356,安値!AB356&lt;安値!AD356),23,""))</f>
      </c>
      <c r="X356" s="684">
        <f>IF(終値!A356="","",IF(AND(安値!AC356&lt;安値!AB356,安値!AC356&lt;安値!AA356,安値!AC356&lt;安値!AD356,安値!AC356&lt;安値!AE356),24,""))</f>
      </c>
      <c r="Y356" s="684">
        <f>IF(終値!A356="","",IF(AND(安値!AD356&lt;安値!AC356,安値!AD356&lt;安値!AB356,安値!AD356&lt;安値!AE356,安値!AD356&lt;安値!AF356),25,""))</f>
      </c>
      <c r="Z356" s="684">
        <f>IF(終値!A356="","",IF(AND(安値!AE356&lt;安値!AD356,安値!AE356&lt;安値!AC356,安値!AE356&lt;安値!AF356,安値!AE356&lt;安値!AG356),26,""))</f>
      </c>
      <c r="AA356" s="684">
        <f>IF(終値!A356="","",IF(AND(安値!AF356&lt;安値!AE356,安値!AF356&lt;安値!AD356,安値!AF356&lt;安値!AG356,安値!AF356&lt;安値!AH356),27,""))</f>
      </c>
      <c r="AB356" s="684">
        <f>IF(終値!A356="","",IF(AND(安値!AG356&lt;安値!AF356,安値!AG356&lt;安値!AE356,安値!AG356&lt;安値!AH356,安値!AG356&lt;安値!AI356),28,""))</f>
      </c>
      <c r="AC356" s="684">
        <f>IF(終値!A356="","",IF(AND(高値!G356&gt;高値!F356,高値!G356&gt;高値!E356,高値!G356&gt;高値!H356,高値!G356&gt;高値!I356),2,""))</f>
      </c>
      <c r="AD356" s="684">
        <f>IF(終値!A356="","",IF(AND(高値!H356&gt;高値!G356,高値!H356&gt;高値!F356,高値!H356&gt;高値!I356,高値!H356&gt;高値!J356),3,""))</f>
      </c>
      <c r="AE356" s="684">
        <f>IF(終値!A356="","",IF(AND(高値!I356&gt;高値!H356,高値!I356&gt;高値!G356,高値!I356&gt;高値!J356,高値!I356&gt;高値!K356),4,""))</f>
      </c>
      <c r="AF356" s="684">
        <f>IF(終値!A356="","",IF(AND(高値!J356&gt;高値!I356,高値!J356&gt;高値!H356,高値!J356&gt;高値!K356,高値!J356&gt;高値!L356),5,""))</f>
      </c>
      <c r="AG356" s="684">
        <f>IF(終値!A356="","",IF(AND(高値!K356&gt;高値!J356,高値!K356&gt;高値!I356,高値!K356&gt;高値!L356,高値!K356&gt;高値!M356),6,""))</f>
      </c>
      <c r="AH356" s="684">
        <f>IF(終値!A356="","",IF(AND(高値!L356&gt;高値!K356,高値!L356&gt;高値!J356,高値!L356&gt;高値!M356,高値!L356&gt;高値!N356),7,""))</f>
      </c>
      <c r="AI356" s="684">
        <f>IF(終値!A356="","",IF(AND(高値!M356&gt;高値!L356,高値!M356&gt;高値!K356,高値!M356&gt;高値!N356,高値!M356&gt;高値!O356),8,""))</f>
      </c>
      <c r="AJ356" s="684">
        <f>IF(終値!A356="","",IF(AND(高値!N356&gt;高値!M356,高値!N356&gt;高値!L356,高値!N356&gt;高値!O356,高値!N356&gt;高値!P356),9,""))</f>
      </c>
      <c r="AK356" s="684">
        <f>IF(終値!A356="","",IF(AND(高値!O356&gt;高値!N356,高値!O356&gt;高値!M356,高値!O356&gt;高値!P356,高値!O356&gt;高値!Q356),10,""))</f>
      </c>
      <c r="AL356" s="684">
        <f>IF(終値!A356="","",IF(AND(高値!P356&gt;高値!O356,高値!P356&gt;高値!N356,高値!P356&gt;高値!Q356,高値!P356&gt;高値!R356),11,""))</f>
      </c>
      <c r="AM356" s="684">
        <f>IF(終値!A356="","",IF(AND(高値!Q356&gt;高値!P356,高値!Q356&gt;高値!O356,高値!Q356&gt;高値!R356,高値!Q356&gt;高値!S356),12,""))</f>
      </c>
      <c r="AN356" s="684">
        <f>IF(終値!A356="","",IF(AND(高値!R356&gt;高値!Q356,高値!R356&gt;高値!P356,高値!R356&gt;高値!S356,高値!R356&gt;高値!T356),13,""))</f>
      </c>
      <c r="AO356" s="684">
        <f>IF(終値!A356="","",IF(AND(高値!S356&gt;高値!R356,高値!S356&gt;高値!Q356,高値!S356&gt;高値!T356,高値!S356&gt;高値!U356),14,""))</f>
      </c>
      <c r="AP356" s="684">
        <f>IF(終値!A356="","",IF(AND(高値!T356&gt;高値!S356,高値!T356&gt;高値!R356,高値!T356&gt;高値!U356,高値!T356&gt;高値!V356),15,""))</f>
      </c>
      <c r="AQ356" s="684">
        <f>IF(終値!A356="","",IF(AND(高値!U356&gt;高値!T356,高値!U356&gt;高値!S356,高値!U356&gt;高値!V356,高値!U356&gt;高値!W356),16,""))</f>
      </c>
      <c r="AR356" s="684">
        <f>IF(終値!A356="","",IF(AND(高値!V356&gt;高値!U356,高値!V356&gt;高値!T356,高値!V356&gt;高値!W356,高値!V356&gt;高値!X356),17,""))</f>
      </c>
      <c r="AS356" s="684">
        <f>IF(終値!A356="","",IF(AND(高値!W356&gt;高値!V356,高値!W356&gt;高値!U356,高値!W356&gt;高値!X356,高値!W356&gt;高値!Y356),18,""))</f>
      </c>
      <c r="AT356" s="684">
        <f>IF(終値!A356="","",IF(AND(高値!X356&gt;高値!W356,高値!X356&gt;高値!V356,高値!X356&gt;高値!Y356,高値!X356&gt;高値!Z356),19,""))</f>
      </c>
      <c r="AU356" s="684">
        <f>IF(終値!A356="","",IF(AND(高値!Y356&gt;高値!X356,高値!Y356&gt;高値!W356,高値!Y356&gt;高値!Z356,高値!Y356&gt;高値!AA356),20,""))</f>
      </c>
      <c r="AV356" s="684">
        <f>IF(終値!A356="","",IF(AND(高値!Z356&gt;高値!Y356,高値!Z356&gt;高値!X356,高値!Z356&gt;高値!AA356,高値!Z356&gt;高値!AB356),21,""))</f>
      </c>
      <c r="AW356" s="684">
        <f>IF(終値!A356="","",IF(AND(高値!AA356&gt;高値!Z356,高値!AA356&gt;高値!Y356,高値!AA356&gt;高値!AB356,高値!AA356&gt;高値!AC356),22,""))</f>
      </c>
      <c r="AX356" s="684">
        <f>IF(終値!A356="","",IF(AND(高値!AB356&gt;高値!AA356,高値!AB356&gt;高値!Z356,高値!AB356&gt;高値!AC356,高値!AB356&gt;高値!AD356),23,""))</f>
      </c>
      <c r="AY356" s="684">
        <f>IF(終値!A356="","",IF(AND(高値!AC356&gt;高値!AB356,高値!AC356&gt;高値!AA356,高値!AC356&gt;高値!AD356,高値!AC356&gt;高値!AE356),24,""))</f>
      </c>
      <c r="AZ356" s="684">
        <f>IF(終値!A356="","",IF(AND(高値!AD356&gt;高値!AC356,高値!AD356&gt;高値!AB356,高値!AD356&gt;高値!AE356,高値!AD356&gt;高値!AF356),25,""))</f>
      </c>
      <c r="BA356" s="684">
        <f>IF(終値!A356="","",IF(AND(高値!AE356&gt;高値!AD356,高値!AE356&gt;高値!AC356,高値!AE356&gt;高値!AF356,高値!AE356&gt;高値!AG356),26,""))</f>
      </c>
      <c r="BB356" s="684">
        <f>IF(終値!A356="","",IF(AND(高値!AF356&gt;高値!AE356,高値!AF356&gt;高値!AD356,高値!AF356&gt;高値!AG356,高値!AF356&gt;高値!AH356),27,""))</f>
      </c>
      <c r="BC356" s="684">
        <f>IF(終値!A356="","",IF(AND(高値!AG356&gt;高値!AF356,高値!AG356&gt;高値!AE356,高値!AG356&gt;高値!AH356,高値!AG356&gt;高値!AI356),28,""))</f>
      </c>
      <c r="BD356" s="684">
        <f>COUNT($B356:$AB356)</f>
      </c>
      <c r="BE356" s="684">
        <f>IF($BD356&gt;=2,MIN($B356:$AB356),"")</f>
      </c>
      <c r="BF356" s="684">
        <f>IF($BD356&gt;=2,SMALL($B356:$AB356,2),"")</f>
      </c>
      <c r="BG356" s="684">
        <f>IF($BE356="","",INDEX(安値!$E356:$CZ356,1,$BE356+1))</f>
      </c>
      <c r="BH356" s="684">
        <f>IF($BF356="","",INDEX(安値!$E356:$CZ356,1,$BF356+1))</f>
      </c>
      <c r="BI356" s="684">
        <f>IF($BF356="","",MAX(INDEX(高値!$E356:$CZ356,1,$BE356+1):INDEX(高値!$E356:$CZ356,1,$BF356+1)))</f>
      </c>
      <c r="BJ356" s="684">
        <f>IF($BF356="","",AVERAGE(INDEX(終値!$E356:$CZ356,1,$BF356+1):INDEX(終値!$E356:$CZ356,1,$BF356+20))-2*STDEVP(INDEX(終値!$E356:$CZ356,1,$BF356+1):INDEX(終値!$E356:$CZ356,1,$BF356+20)))</f>
      </c>
      <c r="BK356" s="684">
        <f>IF($BE356="","",AVERAGE(INDEX(終値!$E356:$CZ356,1,$BE356+1):INDEX(終値!$E356:$CZ356,1,$BE356+20))-2*STDEVP(INDEX(終値!$E356:$CZ356,1,$BE356+1):INDEX(終値!$E356:$CZ356,1,$BE356+20)))</f>
      </c>
      <c r="BL356" s="684">
        <f>COUNT($AC356:$BC356)</f>
      </c>
      <c r="BM356" s="684">
        <f>IF($BL356&gt;=2,MIN($AC356:$BC356),"")</f>
      </c>
      <c r="BN356" s="684">
        <f>IF($BL356&gt;=2,SMALL($AC356:$BC356,2),"")</f>
      </c>
      <c r="BO356" s="684">
        <f>IF($BM356="","",INDEX(高値!$E356:$CZ356,1,$BM356+1))</f>
      </c>
      <c r="BP356" s="684">
        <f>IF($BN356="","",INDEX(高値!$E356:$CZ356,1,$BN356+1))</f>
      </c>
      <c r="BQ356" s="684">
        <f>IF($BN356="","",MIN(INDEX(安値!$E356:$CZ356,1,$BM356+1):INDEX(安値!$E356:$CZ356,1,$BN356+1)))</f>
      </c>
      <c r="BR356" s="684">
        <f>IF($BN356="","",AVERAGE(INDEX(終値!$E356:$CZ356,1,$BN356+1):INDEX(終値!$E356:$CZ356,1,$BN356+20))+2*STDEVP(INDEX(終値!$E356:$CZ356,1,$BN356+1):INDEX(終値!$E356:$CZ356,1,$BN356+20)))</f>
      </c>
      <c r="BS356" s="684">
        <f>IF($BM356="","",AVERAGE(INDEX(終値!$E356:$CZ356,1,$BM356+1):INDEX(終値!$E356:$CZ356,1,$BM356+20))+2*STDEVP(INDEX(終値!$E356:$CZ356,1,$BM356+1):INDEX(終値!$E356:$CZ356,1,$BM356+20)))</f>
      </c>
      <c r="BT356" s="681">
        <f>IFERROR(IF(AND($BD356&gt;=2,ABS($BG356-$BH356)/$BH356&lt;=BB設定!$B$12,$BI356&gt;=MAX($BH356,$BG356)*(1+BB設定!$B$13),終値!E356&gt;$BG356),IF(OR(終値!E356&gt;=$BI356,AND($BH356&lt;$BJ356,$BG356&gt;=$BK356)),"二番底W▲","二番底W形成"),IF(AND($BL356&gt;=2,ABS($BO356-$BP356)/$BP356&lt;=BB設定!$B$12,$BQ356&lt;=MIN($BP356,$BO356)*(1-BB設定!$B$13),終値!E356&lt;$BO356),IF(OR(終値!E356&lt;=$BQ356,AND($BP356&gt;$BR356,$BO356&lt;=$BS356)),"二番天井M▼","二番天井M形成"),"－")),"－")</f>
      </c>
    </row>
    <row r="357">
      <c r="B357" s="684">
        <f>IF(終値!A357="","",IF(AND(安値!G357&lt;安値!F357,安値!G357&lt;安値!E357,安値!G357&lt;安値!H357,安値!G357&lt;安値!I357),2,""))</f>
      </c>
      <c r="C357" s="684">
        <f>IF(終値!A357="","",IF(AND(安値!H357&lt;安値!G357,安値!H357&lt;安値!F357,安値!H357&lt;安値!I357,安値!H357&lt;安値!J357),3,""))</f>
      </c>
      <c r="D357" s="684">
        <f>IF(終値!A357="","",IF(AND(安値!I357&lt;安値!H357,安値!I357&lt;安値!G357,安値!I357&lt;安値!J357,安値!I357&lt;安値!K357),4,""))</f>
      </c>
      <c r="E357" s="684">
        <f>IF(終値!A357="","",IF(AND(安値!J357&lt;安値!I357,安値!J357&lt;安値!H357,安値!J357&lt;安値!K357,安値!J357&lt;安値!L357),5,""))</f>
      </c>
      <c r="F357" s="684">
        <f>IF(終値!A357="","",IF(AND(安値!K357&lt;安値!J357,安値!K357&lt;安値!I357,安値!K357&lt;安値!L357,安値!K357&lt;安値!M357),6,""))</f>
      </c>
      <c r="G357" s="684">
        <f>IF(終値!A357="","",IF(AND(安値!L357&lt;安値!K357,安値!L357&lt;安値!J357,安値!L357&lt;安値!M357,安値!L357&lt;安値!N357),7,""))</f>
      </c>
      <c r="H357" s="684">
        <f>IF(終値!A357="","",IF(AND(安値!M357&lt;安値!L357,安値!M357&lt;安値!K357,安値!M357&lt;安値!N357,安値!M357&lt;安値!O357),8,""))</f>
      </c>
      <c r="I357" s="684">
        <f>IF(終値!A357="","",IF(AND(安値!N357&lt;安値!M357,安値!N357&lt;安値!L357,安値!N357&lt;安値!O357,安値!N357&lt;安値!P357),9,""))</f>
      </c>
      <c r="J357" s="684">
        <f>IF(終値!A357="","",IF(AND(安値!O357&lt;安値!N357,安値!O357&lt;安値!M357,安値!O357&lt;安値!P357,安値!O357&lt;安値!Q357),10,""))</f>
      </c>
      <c r="K357" s="684">
        <f>IF(終値!A357="","",IF(AND(安値!P357&lt;安値!O357,安値!P357&lt;安値!N357,安値!P357&lt;安値!Q357,安値!P357&lt;安値!R357),11,""))</f>
      </c>
      <c r="L357" s="684">
        <f>IF(終値!A357="","",IF(AND(安値!Q357&lt;安値!P357,安値!Q357&lt;安値!O357,安値!Q357&lt;安値!R357,安値!Q357&lt;安値!S357),12,""))</f>
      </c>
      <c r="M357" s="684">
        <f>IF(終値!A357="","",IF(AND(安値!R357&lt;安値!Q357,安値!R357&lt;安値!P357,安値!R357&lt;安値!S357,安値!R357&lt;安値!T357),13,""))</f>
      </c>
      <c r="N357" s="684">
        <f>IF(終値!A357="","",IF(AND(安値!S357&lt;安値!R357,安値!S357&lt;安値!Q357,安値!S357&lt;安値!T357,安値!S357&lt;安値!U357),14,""))</f>
      </c>
      <c r="O357" s="684">
        <f>IF(終値!A357="","",IF(AND(安値!T357&lt;安値!S357,安値!T357&lt;安値!R357,安値!T357&lt;安値!U357,安値!T357&lt;安値!V357),15,""))</f>
      </c>
      <c r="P357" s="684">
        <f>IF(終値!A357="","",IF(AND(安値!U357&lt;安値!T357,安値!U357&lt;安値!S357,安値!U357&lt;安値!V357,安値!U357&lt;安値!W357),16,""))</f>
      </c>
      <c r="Q357" s="684">
        <f>IF(終値!A357="","",IF(AND(安値!V357&lt;安値!U357,安値!V357&lt;安値!T357,安値!V357&lt;安値!W357,安値!V357&lt;安値!X357),17,""))</f>
      </c>
      <c r="R357" s="684">
        <f>IF(終値!A357="","",IF(AND(安値!W357&lt;安値!V357,安値!W357&lt;安値!U357,安値!W357&lt;安値!X357,安値!W357&lt;安値!Y357),18,""))</f>
      </c>
      <c r="S357" s="684">
        <f>IF(終値!A357="","",IF(AND(安値!X357&lt;安値!W357,安値!X357&lt;安値!V357,安値!X357&lt;安値!Y357,安値!X357&lt;安値!Z357),19,""))</f>
      </c>
      <c r="T357" s="684">
        <f>IF(終値!A357="","",IF(AND(安値!Y357&lt;安値!X357,安値!Y357&lt;安値!W357,安値!Y357&lt;安値!Z357,安値!Y357&lt;安値!AA357),20,""))</f>
      </c>
      <c r="U357" s="684">
        <f>IF(終値!A357="","",IF(AND(安値!Z357&lt;安値!Y357,安値!Z357&lt;安値!X357,安値!Z357&lt;安値!AA357,安値!Z357&lt;安値!AB357),21,""))</f>
      </c>
      <c r="V357" s="684">
        <f>IF(終値!A357="","",IF(AND(安値!AA357&lt;安値!Z357,安値!AA357&lt;安値!Y357,安値!AA357&lt;安値!AB357,安値!AA357&lt;安値!AC357),22,""))</f>
      </c>
      <c r="W357" s="684">
        <f>IF(終値!A357="","",IF(AND(安値!AB357&lt;安値!AA357,安値!AB357&lt;安値!Z357,安値!AB357&lt;安値!AC357,安値!AB357&lt;安値!AD357),23,""))</f>
      </c>
      <c r="X357" s="684">
        <f>IF(終値!A357="","",IF(AND(安値!AC357&lt;安値!AB357,安値!AC357&lt;安値!AA357,安値!AC357&lt;安値!AD357,安値!AC357&lt;安値!AE357),24,""))</f>
      </c>
      <c r="Y357" s="684">
        <f>IF(終値!A357="","",IF(AND(安値!AD357&lt;安値!AC357,安値!AD357&lt;安値!AB357,安値!AD357&lt;安値!AE357,安値!AD357&lt;安値!AF357),25,""))</f>
      </c>
      <c r="Z357" s="684">
        <f>IF(終値!A357="","",IF(AND(安値!AE357&lt;安値!AD357,安値!AE357&lt;安値!AC357,安値!AE357&lt;安値!AF357,安値!AE357&lt;安値!AG357),26,""))</f>
      </c>
      <c r="AA357" s="684">
        <f>IF(終値!A357="","",IF(AND(安値!AF357&lt;安値!AE357,安値!AF357&lt;安値!AD357,安値!AF357&lt;安値!AG357,安値!AF357&lt;安値!AH357),27,""))</f>
      </c>
      <c r="AB357" s="684">
        <f>IF(終値!A357="","",IF(AND(安値!AG357&lt;安値!AF357,安値!AG357&lt;安値!AE357,安値!AG357&lt;安値!AH357,安値!AG357&lt;安値!AI357),28,""))</f>
      </c>
      <c r="AC357" s="684">
        <f>IF(終値!A357="","",IF(AND(高値!G357&gt;高値!F357,高値!G357&gt;高値!E357,高値!G357&gt;高値!H357,高値!G357&gt;高値!I357),2,""))</f>
      </c>
      <c r="AD357" s="684">
        <f>IF(終値!A357="","",IF(AND(高値!H357&gt;高値!G357,高値!H357&gt;高値!F357,高値!H357&gt;高値!I357,高値!H357&gt;高値!J357),3,""))</f>
      </c>
      <c r="AE357" s="684">
        <f>IF(終値!A357="","",IF(AND(高値!I357&gt;高値!H357,高値!I357&gt;高値!G357,高値!I357&gt;高値!J357,高値!I357&gt;高値!K357),4,""))</f>
      </c>
      <c r="AF357" s="684">
        <f>IF(終値!A357="","",IF(AND(高値!J357&gt;高値!I357,高値!J357&gt;高値!H357,高値!J357&gt;高値!K357,高値!J357&gt;高値!L357),5,""))</f>
      </c>
      <c r="AG357" s="684">
        <f>IF(終値!A357="","",IF(AND(高値!K357&gt;高値!J357,高値!K357&gt;高値!I357,高値!K357&gt;高値!L357,高値!K357&gt;高値!M357),6,""))</f>
      </c>
      <c r="AH357" s="684">
        <f>IF(終値!A357="","",IF(AND(高値!L357&gt;高値!K357,高値!L357&gt;高値!J357,高値!L357&gt;高値!M357,高値!L357&gt;高値!N357),7,""))</f>
      </c>
      <c r="AI357" s="684">
        <f>IF(終値!A357="","",IF(AND(高値!M357&gt;高値!L357,高値!M357&gt;高値!K357,高値!M357&gt;高値!N357,高値!M357&gt;高値!O357),8,""))</f>
      </c>
      <c r="AJ357" s="684">
        <f>IF(終値!A357="","",IF(AND(高値!N357&gt;高値!M357,高値!N357&gt;高値!L357,高値!N357&gt;高値!O357,高値!N357&gt;高値!P357),9,""))</f>
      </c>
      <c r="AK357" s="684">
        <f>IF(終値!A357="","",IF(AND(高値!O357&gt;高値!N357,高値!O357&gt;高値!M357,高値!O357&gt;高値!P357,高値!O357&gt;高値!Q357),10,""))</f>
      </c>
      <c r="AL357" s="684">
        <f>IF(終値!A357="","",IF(AND(高値!P357&gt;高値!O357,高値!P357&gt;高値!N357,高値!P357&gt;高値!Q357,高値!P357&gt;高値!R357),11,""))</f>
      </c>
      <c r="AM357" s="684">
        <f>IF(終値!A357="","",IF(AND(高値!Q357&gt;高値!P357,高値!Q357&gt;高値!O357,高値!Q357&gt;高値!R357,高値!Q357&gt;高値!S357),12,""))</f>
      </c>
      <c r="AN357" s="684">
        <f>IF(終値!A357="","",IF(AND(高値!R357&gt;高値!Q357,高値!R357&gt;高値!P357,高値!R357&gt;高値!S357,高値!R357&gt;高値!T357),13,""))</f>
      </c>
      <c r="AO357" s="684">
        <f>IF(終値!A357="","",IF(AND(高値!S357&gt;高値!R357,高値!S357&gt;高値!Q357,高値!S357&gt;高値!T357,高値!S357&gt;高値!U357),14,""))</f>
      </c>
      <c r="AP357" s="684">
        <f>IF(終値!A357="","",IF(AND(高値!T357&gt;高値!S357,高値!T357&gt;高値!R357,高値!T357&gt;高値!U357,高値!T357&gt;高値!V357),15,""))</f>
      </c>
      <c r="AQ357" s="684">
        <f>IF(終値!A357="","",IF(AND(高値!U357&gt;高値!T357,高値!U357&gt;高値!S357,高値!U357&gt;高値!V357,高値!U357&gt;高値!W357),16,""))</f>
      </c>
      <c r="AR357" s="684">
        <f>IF(終値!A357="","",IF(AND(高値!V357&gt;高値!U357,高値!V357&gt;高値!T357,高値!V357&gt;高値!W357,高値!V357&gt;高値!X357),17,""))</f>
      </c>
      <c r="AS357" s="684">
        <f>IF(終値!A357="","",IF(AND(高値!W357&gt;高値!V357,高値!W357&gt;高値!U357,高値!W357&gt;高値!X357,高値!W357&gt;高値!Y357),18,""))</f>
      </c>
      <c r="AT357" s="684">
        <f>IF(終値!A357="","",IF(AND(高値!X357&gt;高値!W357,高値!X357&gt;高値!V357,高値!X357&gt;高値!Y357,高値!X357&gt;高値!Z357),19,""))</f>
      </c>
      <c r="AU357" s="684">
        <f>IF(終値!A357="","",IF(AND(高値!Y357&gt;高値!X357,高値!Y357&gt;高値!W357,高値!Y357&gt;高値!Z357,高値!Y357&gt;高値!AA357),20,""))</f>
      </c>
      <c r="AV357" s="684">
        <f>IF(終値!A357="","",IF(AND(高値!Z357&gt;高値!Y357,高値!Z357&gt;高値!X357,高値!Z357&gt;高値!AA357,高値!Z357&gt;高値!AB357),21,""))</f>
      </c>
      <c r="AW357" s="684">
        <f>IF(終値!A357="","",IF(AND(高値!AA357&gt;高値!Z357,高値!AA357&gt;高値!Y357,高値!AA357&gt;高値!AB357,高値!AA357&gt;高値!AC357),22,""))</f>
      </c>
      <c r="AX357" s="684">
        <f>IF(終値!A357="","",IF(AND(高値!AB357&gt;高値!AA357,高値!AB357&gt;高値!Z357,高値!AB357&gt;高値!AC357,高値!AB357&gt;高値!AD357),23,""))</f>
      </c>
      <c r="AY357" s="684">
        <f>IF(終値!A357="","",IF(AND(高値!AC357&gt;高値!AB357,高値!AC357&gt;高値!AA357,高値!AC357&gt;高値!AD357,高値!AC357&gt;高値!AE357),24,""))</f>
      </c>
      <c r="AZ357" s="684">
        <f>IF(終値!A357="","",IF(AND(高値!AD357&gt;高値!AC357,高値!AD357&gt;高値!AB357,高値!AD357&gt;高値!AE357,高値!AD357&gt;高値!AF357),25,""))</f>
      </c>
      <c r="BA357" s="684">
        <f>IF(終値!A357="","",IF(AND(高値!AE357&gt;高値!AD357,高値!AE357&gt;高値!AC357,高値!AE357&gt;高値!AF357,高値!AE357&gt;高値!AG357),26,""))</f>
      </c>
      <c r="BB357" s="684">
        <f>IF(終値!A357="","",IF(AND(高値!AF357&gt;高値!AE357,高値!AF357&gt;高値!AD357,高値!AF357&gt;高値!AG357,高値!AF357&gt;高値!AH357),27,""))</f>
      </c>
      <c r="BC357" s="684">
        <f>IF(終値!A357="","",IF(AND(高値!AG357&gt;高値!AF357,高値!AG357&gt;高値!AE357,高値!AG357&gt;高値!AH357,高値!AG357&gt;高値!AI357),28,""))</f>
      </c>
      <c r="BD357" s="684">
        <f>COUNT($B357:$AB357)</f>
      </c>
      <c r="BE357" s="684">
        <f>IF($BD357&gt;=2,MIN($B357:$AB357),"")</f>
      </c>
      <c r="BF357" s="684">
        <f>IF($BD357&gt;=2,SMALL($B357:$AB357,2),"")</f>
      </c>
      <c r="BG357" s="684">
        <f>IF($BE357="","",INDEX(安値!$E357:$CZ357,1,$BE357+1))</f>
      </c>
      <c r="BH357" s="684">
        <f>IF($BF357="","",INDEX(安値!$E357:$CZ357,1,$BF357+1))</f>
      </c>
      <c r="BI357" s="684">
        <f>IF($BF357="","",MAX(INDEX(高値!$E357:$CZ357,1,$BE357+1):INDEX(高値!$E357:$CZ357,1,$BF357+1)))</f>
      </c>
      <c r="BJ357" s="684">
        <f>IF($BF357="","",AVERAGE(INDEX(終値!$E357:$CZ357,1,$BF357+1):INDEX(終値!$E357:$CZ357,1,$BF357+20))-2*STDEVP(INDEX(終値!$E357:$CZ357,1,$BF357+1):INDEX(終値!$E357:$CZ357,1,$BF357+20)))</f>
      </c>
      <c r="BK357" s="684">
        <f>IF($BE357="","",AVERAGE(INDEX(終値!$E357:$CZ357,1,$BE357+1):INDEX(終値!$E357:$CZ357,1,$BE357+20))-2*STDEVP(INDEX(終値!$E357:$CZ357,1,$BE357+1):INDEX(終値!$E357:$CZ357,1,$BE357+20)))</f>
      </c>
      <c r="BL357" s="684">
        <f>COUNT($AC357:$BC357)</f>
      </c>
      <c r="BM357" s="684">
        <f>IF($BL357&gt;=2,MIN($AC357:$BC357),"")</f>
      </c>
      <c r="BN357" s="684">
        <f>IF($BL357&gt;=2,SMALL($AC357:$BC357,2),"")</f>
      </c>
      <c r="BO357" s="684">
        <f>IF($BM357="","",INDEX(高値!$E357:$CZ357,1,$BM357+1))</f>
      </c>
      <c r="BP357" s="684">
        <f>IF($BN357="","",INDEX(高値!$E357:$CZ357,1,$BN357+1))</f>
      </c>
      <c r="BQ357" s="684">
        <f>IF($BN357="","",MIN(INDEX(安値!$E357:$CZ357,1,$BM357+1):INDEX(安値!$E357:$CZ357,1,$BN357+1)))</f>
      </c>
      <c r="BR357" s="684">
        <f>IF($BN357="","",AVERAGE(INDEX(終値!$E357:$CZ357,1,$BN357+1):INDEX(終値!$E357:$CZ357,1,$BN357+20))+2*STDEVP(INDEX(終値!$E357:$CZ357,1,$BN357+1):INDEX(終値!$E357:$CZ357,1,$BN357+20)))</f>
      </c>
      <c r="BS357" s="684">
        <f>IF($BM357="","",AVERAGE(INDEX(終値!$E357:$CZ357,1,$BM357+1):INDEX(終値!$E357:$CZ357,1,$BM357+20))+2*STDEVP(INDEX(終値!$E357:$CZ357,1,$BM357+1):INDEX(終値!$E357:$CZ357,1,$BM357+20)))</f>
      </c>
      <c r="BT357" s="681">
        <f>IFERROR(IF(AND($BD357&gt;=2,ABS($BG357-$BH357)/$BH357&lt;=BB設定!$B$12,$BI357&gt;=MAX($BH357,$BG357)*(1+BB設定!$B$13),終値!E357&gt;$BG357),IF(OR(終値!E357&gt;=$BI357,AND($BH357&lt;$BJ357,$BG357&gt;=$BK357)),"二番底W▲","二番底W形成"),IF(AND($BL357&gt;=2,ABS($BO357-$BP357)/$BP357&lt;=BB設定!$B$12,$BQ357&lt;=MIN($BP357,$BO357)*(1-BB設定!$B$13),終値!E357&lt;$BO357),IF(OR(終値!E357&lt;=$BQ357,AND($BP357&gt;$BR357,$BO357&lt;=$BS357)),"二番天井M▼","二番天井M形成"),"－")),"－")</f>
      </c>
    </row>
    <row r="358">
      <c r="B358" s="684">
        <f>IF(終値!A358="","",IF(AND(安値!G358&lt;安値!F358,安値!G358&lt;安値!E358,安値!G358&lt;安値!H358,安値!G358&lt;安値!I358),2,""))</f>
      </c>
      <c r="C358" s="684">
        <f>IF(終値!A358="","",IF(AND(安値!H358&lt;安値!G358,安値!H358&lt;安値!F358,安値!H358&lt;安値!I358,安値!H358&lt;安値!J358),3,""))</f>
      </c>
      <c r="D358" s="684">
        <f>IF(終値!A358="","",IF(AND(安値!I358&lt;安値!H358,安値!I358&lt;安値!G358,安値!I358&lt;安値!J358,安値!I358&lt;安値!K358),4,""))</f>
      </c>
      <c r="E358" s="684">
        <f>IF(終値!A358="","",IF(AND(安値!J358&lt;安値!I358,安値!J358&lt;安値!H358,安値!J358&lt;安値!K358,安値!J358&lt;安値!L358),5,""))</f>
      </c>
      <c r="F358" s="684">
        <f>IF(終値!A358="","",IF(AND(安値!K358&lt;安値!J358,安値!K358&lt;安値!I358,安値!K358&lt;安値!L358,安値!K358&lt;安値!M358),6,""))</f>
      </c>
      <c r="G358" s="684">
        <f>IF(終値!A358="","",IF(AND(安値!L358&lt;安値!K358,安値!L358&lt;安値!J358,安値!L358&lt;安値!M358,安値!L358&lt;安値!N358),7,""))</f>
      </c>
      <c r="H358" s="684">
        <f>IF(終値!A358="","",IF(AND(安値!M358&lt;安値!L358,安値!M358&lt;安値!K358,安値!M358&lt;安値!N358,安値!M358&lt;安値!O358),8,""))</f>
      </c>
      <c r="I358" s="684">
        <f>IF(終値!A358="","",IF(AND(安値!N358&lt;安値!M358,安値!N358&lt;安値!L358,安値!N358&lt;安値!O358,安値!N358&lt;安値!P358),9,""))</f>
      </c>
      <c r="J358" s="684">
        <f>IF(終値!A358="","",IF(AND(安値!O358&lt;安値!N358,安値!O358&lt;安値!M358,安値!O358&lt;安値!P358,安値!O358&lt;安値!Q358),10,""))</f>
      </c>
      <c r="K358" s="684">
        <f>IF(終値!A358="","",IF(AND(安値!P358&lt;安値!O358,安値!P358&lt;安値!N358,安値!P358&lt;安値!Q358,安値!P358&lt;安値!R358),11,""))</f>
      </c>
      <c r="L358" s="684">
        <f>IF(終値!A358="","",IF(AND(安値!Q358&lt;安値!P358,安値!Q358&lt;安値!O358,安値!Q358&lt;安値!R358,安値!Q358&lt;安値!S358),12,""))</f>
      </c>
      <c r="M358" s="684">
        <f>IF(終値!A358="","",IF(AND(安値!R358&lt;安値!Q358,安値!R358&lt;安値!P358,安値!R358&lt;安値!S358,安値!R358&lt;安値!T358),13,""))</f>
      </c>
      <c r="N358" s="684">
        <f>IF(終値!A358="","",IF(AND(安値!S358&lt;安値!R358,安値!S358&lt;安値!Q358,安値!S358&lt;安値!T358,安値!S358&lt;安値!U358),14,""))</f>
      </c>
      <c r="O358" s="684">
        <f>IF(終値!A358="","",IF(AND(安値!T358&lt;安値!S358,安値!T358&lt;安値!R358,安値!T358&lt;安値!U358,安値!T358&lt;安値!V358),15,""))</f>
      </c>
      <c r="P358" s="684">
        <f>IF(終値!A358="","",IF(AND(安値!U358&lt;安値!T358,安値!U358&lt;安値!S358,安値!U358&lt;安値!V358,安値!U358&lt;安値!W358),16,""))</f>
      </c>
      <c r="Q358" s="684">
        <f>IF(終値!A358="","",IF(AND(安値!V358&lt;安値!U358,安値!V358&lt;安値!T358,安値!V358&lt;安値!W358,安値!V358&lt;安値!X358),17,""))</f>
      </c>
      <c r="R358" s="684">
        <f>IF(終値!A358="","",IF(AND(安値!W358&lt;安値!V358,安値!W358&lt;安値!U358,安値!W358&lt;安値!X358,安値!W358&lt;安値!Y358),18,""))</f>
      </c>
      <c r="S358" s="684">
        <f>IF(終値!A358="","",IF(AND(安値!X358&lt;安値!W358,安値!X358&lt;安値!V358,安値!X358&lt;安値!Y358,安値!X358&lt;安値!Z358),19,""))</f>
      </c>
      <c r="T358" s="684">
        <f>IF(終値!A358="","",IF(AND(安値!Y358&lt;安値!X358,安値!Y358&lt;安値!W358,安値!Y358&lt;安値!Z358,安値!Y358&lt;安値!AA358),20,""))</f>
      </c>
      <c r="U358" s="684">
        <f>IF(終値!A358="","",IF(AND(安値!Z358&lt;安値!Y358,安値!Z358&lt;安値!X358,安値!Z358&lt;安値!AA358,安値!Z358&lt;安値!AB358),21,""))</f>
      </c>
      <c r="V358" s="684">
        <f>IF(終値!A358="","",IF(AND(安値!AA358&lt;安値!Z358,安値!AA358&lt;安値!Y358,安値!AA358&lt;安値!AB358,安値!AA358&lt;安値!AC358),22,""))</f>
      </c>
      <c r="W358" s="684">
        <f>IF(終値!A358="","",IF(AND(安値!AB358&lt;安値!AA358,安値!AB358&lt;安値!Z358,安値!AB358&lt;安値!AC358,安値!AB358&lt;安値!AD358),23,""))</f>
      </c>
      <c r="X358" s="684">
        <f>IF(終値!A358="","",IF(AND(安値!AC358&lt;安値!AB358,安値!AC358&lt;安値!AA358,安値!AC358&lt;安値!AD358,安値!AC358&lt;安値!AE358),24,""))</f>
      </c>
      <c r="Y358" s="684">
        <f>IF(終値!A358="","",IF(AND(安値!AD358&lt;安値!AC358,安値!AD358&lt;安値!AB358,安値!AD358&lt;安値!AE358,安値!AD358&lt;安値!AF358),25,""))</f>
      </c>
      <c r="Z358" s="684">
        <f>IF(終値!A358="","",IF(AND(安値!AE358&lt;安値!AD358,安値!AE358&lt;安値!AC358,安値!AE358&lt;安値!AF358,安値!AE358&lt;安値!AG358),26,""))</f>
      </c>
      <c r="AA358" s="684">
        <f>IF(終値!A358="","",IF(AND(安値!AF358&lt;安値!AE358,安値!AF358&lt;安値!AD358,安値!AF358&lt;安値!AG358,安値!AF358&lt;安値!AH358),27,""))</f>
      </c>
      <c r="AB358" s="684">
        <f>IF(終値!A358="","",IF(AND(安値!AG358&lt;安値!AF358,安値!AG358&lt;安値!AE358,安値!AG358&lt;安値!AH358,安値!AG358&lt;安値!AI358),28,""))</f>
      </c>
      <c r="AC358" s="684">
        <f>IF(終値!A358="","",IF(AND(高値!G358&gt;高値!F358,高値!G358&gt;高値!E358,高値!G358&gt;高値!H358,高値!G358&gt;高値!I358),2,""))</f>
      </c>
      <c r="AD358" s="684">
        <f>IF(終値!A358="","",IF(AND(高値!H358&gt;高値!G358,高値!H358&gt;高値!F358,高値!H358&gt;高値!I358,高値!H358&gt;高値!J358),3,""))</f>
      </c>
      <c r="AE358" s="684">
        <f>IF(終値!A358="","",IF(AND(高値!I358&gt;高値!H358,高値!I358&gt;高値!G358,高値!I358&gt;高値!J358,高値!I358&gt;高値!K358),4,""))</f>
      </c>
      <c r="AF358" s="684">
        <f>IF(終値!A358="","",IF(AND(高値!J358&gt;高値!I358,高値!J358&gt;高値!H358,高値!J358&gt;高値!K358,高値!J358&gt;高値!L358),5,""))</f>
      </c>
      <c r="AG358" s="684">
        <f>IF(終値!A358="","",IF(AND(高値!K358&gt;高値!J358,高値!K358&gt;高値!I358,高値!K358&gt;高値!L358,高値!K358&gt;高値!M358),6,""))</f>
      </c>
      <c r="AH358" s="684">
        <f>IF(終値!A358="","",IF(AND(高値!L358&gt;高値!K358,高値!L358&gt;高値!J358,高値!L358&gt;高値!M358,高値!L358&gt;高値!N358),7,""))</f>
      </c>
      <c r="AI358" s="684">
        <f>IF(終値!A358="","",IF(AND(高値!M358&gt;高値!L358,高値!M358&gt;高値!K358,高値!M358&gt;高値!N358,高値!M358&gt;高値!O358),8,""))</f>
      </c>
      <c r="AJ358" s="684">
        <f>IF(終値!A358="","",IF(AND(高値!N358&gt;高値!M358,高値!N358&gt;高値!L358,高値!N358&gt;高値!O358,高値!N358&gt;高値!P358),9,""))</f>
      </c>
      <c r="AK358" s="684">
        <f>IF(終値!A358="","",IF(AND(高値!O358&gt;高値!N358,高値!O358&gt;高値!M358,高値!O358&gt;高値!P358,高値!O358&gt;高値!Q358),10,""))</f>
      </c>
      <c r="AL358" s="684">
        <f>IF(終値!A358="","",IF(AND(高値!P358&gt;高値!O358,高値!P358&gt;高値!N358,高値!P358&gt;高値!Q358,高値!P358&gt;高値!R358),11,""))</f>
      </c>
      <c r="AM358" s="684">
        <f>IF(終値!A358="","",IF(AND(高値!Q358&gt;高値!P358,高値!Q358&gt;高値!O358,高値!Q358&gt;高値!R358,高値!Q358&gt;高値!S358),12,""))</f>
      </c>
      <c r="AN358" s="684">
        <f>IF(終値!A358="","",IF(AND(高値!R358&gt;高値!Q358,高値!R358&gt;高値!P358,高値!R358&gt;高値!S358,高値!R358&gt;高値!T358),13,""))</f>
      </c>
      <c r="AO358" s="684">
        <f>IF(終値!A358="","",IF(AND(高値!S358&gt;高値!R358,高値!S358&gt;高値!Q358,高値!S358&gt;高値!T358,高値!S358&gt;高値!U358),14,""))</f>
      </c>
      <c r="AP358" s="684">
        <f>IF(終値!A358="","",IF(AND(高値!T358&gt;高値!S358,高値!T358&gt;高値!R358,高値!T358&gt;高値!U358,高値!T358&gt;高値!V358),15,""))</f>
      </c>
      <c r="AQ358" s="684">
        <f>IF(終値!A358="","",IF(AND(高値!U358&gt;高値!T358,高値!U358&gt;高値!S358,高値!U358&gt;高値!V358,高値!U358&gt;高値!W358),16,""))</f>
      </c>
      <c r="AR358" s="684">
        <f>IF(終値!A358="","",IF(AND(高値!V358&gt;高値!U358,高値!V358&gt;高値!T358,高値!V358&gt;高値!W358,高値!V358&gt;高値!X358),17,""))</f>
      </c>
      <c r="AS358" s="684">
        <f>IF(終値!A358="","",IF(AND(高値!W358&gt;高値!V358,高値!W358&gt;高値!U358,高値!W358&gt;高値!X358,高値!W358&gt;高値!Y358),18,""))</f>
      </c>
      <c r="AT358" s="684">
        <f>IF(終値!A358="","",IF(AND(高値!X358&gt;高値!W358,高値!X358&gt;高値!V358,高値!X358&gt;高値!Y358,高値!X358&gt;高値!Z358),19,""))</f>
      </c>
      <c r="AU358" s="684">
        <f>IF(終値!A358="","",IF(AND(高値!Y358&gt;高値!X358,高値!Y358&gt;高値!W358,高値!Y358&gt;高値!Z358,高値!Y358&gt;高値!AA358),20,""))</f>
      </c>
      <c r="AV358" s="684">
        <f>IF(終値!A358="","",IF(AND(高値!Z358&gt;高値!Y358,高値!Z358&gt;高値!X358,高値!Z358&gt;高値!AA358,高値!Z358&gt;高値!AB358),21,""))</f>
      </c>
      <c r="AW358" s="684">
        <f>IF(終値!A358="","",IF(AND(高値!AA358&gt;高値!Z358,高値!AA358&gt;高値!Y358,高値!AA358&gt;高値!AB358,高値!AA358&gt;高値!AC358),22,""))</f>
      </c>
      <c r="AX358" s="684">
        <f>IF(終値!A358="","",IF(AND(高値!AB358&gt;高値!AA358,高値!AB358&gt;高値!Z358,高値!AB358&gt;高値!AC358,高値!AB358&gt;高値!AD358),23,""))</f>
      </c>
      <c r="AY358" s="684">
        <f>IF(終値!A358="","",IF(AND(高値!AC358&gt;高値!AB358,高値!AC358&gt;高値!AA358,高値!AC358&gt;高値!AD358,高値!AC358&gt;高値!AE358),24,""))</f>
      </c>
      <c r="AZ358" s="684">
        <f>IF(終値!A358="","",IF(AND(高値!AD358&gt;高値!AC358,高値!AD358&gt;高値!AB358,高値!AD358&gt;高値!AE358,高値!AD358&gt;高値!AF358),25,""))</f>
      </c>
      <c r="BA358" s="684">
        <f>IF(終値!A358="","",IF(AND(高値!AE358&gt;高値!AD358,高値!AE358&gt;高値!AC358,高値!AE358&gt;高値!AF358,高値!AE358&gt;高値!AG358),26,""))</f>
      </c>
      <c r="BB358" s="684">
        <f>IF(終値!A358="","",IF(AND(高値!AF358&gt;高値!AE358,高値!AF358&gt;高値!AD358,高値!AF358&gt;高値!AG358,高値!AF358&gt;高値!AH358),27,""))</f>
      </c>
      <c r="BC358" s="684">
        <f>IF(終値!A358="","",IF(AND(高値!AG358&gt;高値!AF358,高値!AG358&gt;高値!AE358,高値!AG358&gt;高値!AH358,高値!AG358&gt;高値!AI358),28,""))</f>
      </c>
      <c r="BD358" s="684">
        <f>COUNT($B358:$AB358)</f>
      </c>
      <c r="BE358" s="684">
        <f>IF($BD358&gt;=2,MIN($B358:$AB358),"")</f>
      </c>
      <c r="BF358" s="684">
        <f>IF($BD358&gt;=2,SMALL($B358:$AB358,2),"")</f>
      </c>
      <c r="BG358" s="684">
        <f>IF($BE358="","",INDEX(安値!$E358:$CZ358,1,$BE358+1))</f>
      </c>
      <c r="BH358" s="684">
        <f>IF($BF358="","",INDEX(安値!$E358:$CZ358,1,$BF358+1))</f>
      </c>
      <c r="BI358" s="684">
        <f>IF($BF358="","",MAX(INDEX(高値!$E358:$CZ358,1,$BE358+1):INDEX(高値!$E358:$CZ358,1,$BF358+1)))</f>
      </c>
      <c r="BJ358" s="684">
        <f>IF($BF358="","",AVERAGE(INDEX(終値!$E358:$CZ358,1,$BF358+1):INDEX(終値!$E358:$CZ358,1,$BF358+20))-2*STDEVP(INDEX(終値!$E358:$CZ358,1,$BF358+1):INDEX(終値!$E358:$CZ358,1,$BF358+20)))</f>
      </c>
      <c r="BK358" s="684">
        <f>IF($BE358="","",AVERAGE(INDEX(終値!$E358:$CZ358,1,$BE358+1):INDEX(終値!$E358:$CZ358,1,$BE358+20))-2*STDEVP(INDEX(終値!$E358:$CZ358,1,$BE358+1):INDEX(終値!$E358:$CZ358,1,$BE358+20)))</f>
      </c>
      <c r="BL358" s="684">
        <f>COUNT($AC358:$BC358)</f>
      </c>
      <c r="BM358" s="684">
        <f>IF($BL358&gt;=2,MIN($AC358:$BC358),"")</f>
      </c>
      <c r="BN358" s="684">
        <f>IF($BL358&gt;=2,SMALL($AC358:$BC358,2),"")</f>
      </c>
      <c r="BO358" s="684">
        <f>IF($BM358="","",INDEX(高値!$E358:$CZ358,1,$BM358+1))</f>
      </c>
      <c r="BP358" s="684">
        <f>IF($BN358="","",INDEX(高値!$E358:$CZ358,1,$BN358+1))</f>
      </c>
      <c r="BQ358" s="684">
        <f>IF($BN358="","",MIN(INDEX(安値!$E358:$CZ358,1,$BM358+1):INDEX(安値!$E358:$CZ358,1,$BN358+1)))</f>
      </c>
      <c r="BR358" s="684">
        <f>IF($BN358="","",AVERAGE(INDEX(終値!$E358:$CZ358,1,$BN358+1):INDEX(終値!$E358:$CZ358,1,$BN358+20))+2*STDEVP(INDEX(終値!$E358:$CZ358,1,$BN358+1):INDEX(終値!$E358:$CZ358,1,$BN358+20)))</f>
      </c>
      <c r="BS358" s="684">
        <f>IF($BM358="","",AVERAGE(INDEX(終値!$E358:$CZ358,1,$BM358+1):INDEX(終値!$E358:$CZ358,1,$BM358+20))+2*STDEVP(INDEX(終値!$E358:$CZ358,1,$BM358+1):INDEX(終値!$E358:$CZ358,1,$BM358+20)))</f>
      </c>
      <c r="BT358" s="681">
        <f>IFERROR(IF(AND($BD358&gt;=2,ABS($BG358-$BH358)/$BH358&lt;=BB設定!$B$12,$BI358&gt;=MAX($BH358,$BG358)*(1+BB設定!$B$13),終値!E358&gt;$BG358),IF(OR(終値!E358&gt;=$BI358,AND($BH358&lt;$BJ358,$BG358&gt;=$BK358)),"二番底W▲","二番底W形成"),IF(AND($BL358&gt;=2,ABS($BO358-$BP358)/$BP358&lt;=BB設定!$B$12,$BQ358&lt;=MIN($BP358,$BO358)*(1-BB設定!$B$13),終値!E358&lt;$BO358),IF(OR(終値!E358&lt;=$BQ358,AND($BP358&gt;$BR358,$BO358&lt;=$BS358)),"二番天井M▼","二番天井M形成"),"－")),"－")</f>
      </c>
    </row>
    <row r="359">
      <c r="B359" s="684">
        <f>IF(終値!A359="","",IF(AND(安値!G359&lt;安値!F359,安値!G359&lt;安値!E359,安値!G359&lt;安値!H359,安値!G359&lt;安値!I359),2,""))</f>
      </c>
      <c r="C359" s="684">
        <f>IF(終値!A359="","",IF(AND(安値!H359&lt;安値!G359,安値!H359&lt;安値!F359,安値!H359&lt;安値!I359,安値!H359&lt;安値!J359),3,""))</f>
      </c>
      <c r="D359" s="684">
        <f>IF(終値!A359="","",IF(AND(安値!I359&lt;安値!H359,安値!I359&lt;安値!G359,安値!I359&lt;安値!J359,安値!I359&lt;安値!K359),4,""))</f>
      </c>
      <c r="E359" s="684">
        <f>IF(終値!A359="","",IF(AND(安値!J359&lt;安値!I359,安値!J359&lt;安値!H359,安値!J359&lt;安値!K359,安値!J359&lt;安値!L359),5,""))</f>
      </c>
      <c r="F359" s="684">
        <f>IF(終値!A359="","",IF(AND(安値!K359&lt;安値!J359,安値!K359&lt;安値!I359,安値!K359&lt;安値!L359,安値!K359&lt;安値!M359),6,""))</f>
      </c>
      <c r="G359" s="684">
        <f>IF(終値!A359="","",IF(AND(安値!L359&lt;安値!K359,安値!L359&lt;安値!J359,安値!L359&lt;安値!M359,安値!L359&lt;安値!N359),7,""))</f>
      </c>
      <c r="H359" s="684">
        <f>IF(終値!A359="","",IF(AND(安値!M359&lt;安値!L359,安値!M359&lt;安値!K359,安値!M359&lt;安値!N359,安値!M359&lt;安値!O359),8,""))</f>
      </c>
      <c r="I359" s="684">
        <f>IF(終値!A359="","",IF(AND(安値!N359&lt;安値!M359,安値!N359&lt;安値!L359,安値!N359&lt;安値!O359,安値!N359&lt;安値!P359),9,""))</f>
      </c>
      <c r="J359" s="684">
        <f>IF(終値!A359="","",IF(AND(安値!O359&lt;安値!N359,安値!O359&lt;安値!M359,安値!O359&lt;安値!P359,安値!O359&lt;安値!Q359),10,""))</f>
      </c>
      <c r="K359" s="684">
        <f>IF(終値!A359="","",IF(AND(安値!P359&lt;安値!O359,安値!P359&lt;安値!N359,安値!P359&lt;安値!Q359,安値!P359&lt;安値!R359),11,""))</f>
      </c>
      <c r="L359" s="684">
        <f>IF(終値!A359="","",IF(AND(安値!Q359&lt;安値!P359,安値!Q359&lt;安値!O359,安値!Q359&lt;安値!R359,安値!Q359&lt;安値!S359),12,""))</f>
      </c>
      <c r="M359" s="684">
        <f>IF(終値!A359="","",IF(AND(安値!R359&lt;安値!Q359,安値!R359&lt;安値!P359,安値!R359&lt;安値!S359,安値!R359&lt;安値!T359),13,""))</f>
      </c>
      <c r="N359" s="684">
        <f>IF(終値!A359="","",IF(AND(安値!S359&lt;安値!R359,安値!S359&lt;安値!Q359,安値!S359&lt;安値!T359,安値!S359&lt;安値!U359),14,""))</f>
      </c>
      <c r="O359" s="684">
        <f>IF(終値!A359="","",IF(AND(安値!T359&lt;安値!S359,安値!T359&lt;安値!R359,安値!T359&lt;安値!U359,安値!T359&lt;安値!V359),15,""))</f>
      </c>
      <c r="P359" s="684">
        <f>IF(終値!A359="","",IF(AND(安値!U359&lt;安値!T359,安値!U359&lt;安値!S359,安値!U359&lt;安値!V359,安値!U359&lt;安値!W359),16,""))</f>
      </c>
      <c r="Q359" s="684">
        <f>IF(終値!A359="","",IF(AND(安値!V359&lt;安値!U359,安値!V359&lt;安値!T359,安値!V359&lt;安値!W359,安値!V359&lt;安値!X359),17,""))</f>
      </c>
      <c r="R359" s="684">
        <f>IF(終値!A359="","",IF(AND(安値!W359&lt;安値!V359,安値!W359&lt;安値!U359,安値!W359&lt;安値!X359,安値!W359&lt;安値!Y359),18,""))</f>
      </c>
      <c r="S359" s="684">
        <f>IF(終値!A359="","",IF(AND(安値!X359&lt;安値!W359,安値!X359&lt;安値!V359,安値!X359&lt;安値!Y359,安値!X359&lt;安値!Z359),19,""))</f>
      </c>
      <c r="T359" s="684">
        <f>IF(終値!A359="","",IF(AND(安値!Y359&lt;安値!X359,安値!Y359&lt;安値!W359,安値!Y359&lt;安値!Z359,安値!Y359&lt;安値!AA359),20,""))</f>
      </c>
      <c r="U359" s="684">
        <f>IF(終値!A359="","",IF(AND(安値!Z359&lt;安値!Y359,安値!Z359&lt;安値!X359,安値!Z359&lt;安値!AA359,安値!Z359&lt;安値!AB359),21,""))</f>
      </c>
      <c r="V359" s="684">
        <f>IF(終値!A359="","",IF(AND(安値!AA359&lt;安値!Z359,安値!AA359&lt;安値!Y359,安値!AA359&lt;安値!AB359,安値!AA359&lt;安値!AC359),22,""))</f>
      </c>
      <c r="W359" s="684">
        <f>IF(終値!A359="","",IF(AND(安値!AB359&lt;安値!AA359,安値!AB359&lt;安値!Z359,安値!AB359&lt;安値!AC359,安値!AB359&lt;安値!AD359),23,""))</f>
      </c>
      <c r="X359" s="684">
        <f>IF(終値!A359="","",IF(AND(安値!AC359&lt;安値!AB359,安値!AC359&lt;安値!AA359,安値!AC359&lt;安値!AD359,安値!AC359&lt;安値!AE359),24,""))</f>
      </c>
      <c r="Y359" s="684">
        <f>IF(終値!A359="","",IF(AND(安値!AD359&lt;安値!AC359,安値!AD359&lt;安値!AB359,安値!AD359&lt;安値!AE359,安値!AD359&lt;安値!AF359),25,""))</f>
      </c>
      <c r="Z359" s="684">
        <f>IF(終値!A359="","",IF(AND(安値!AE359&lt;安値!AD359,安値!AE359&lt;安値!AC359,安値!AE359&lt;安値!AF359,安値!AE359&lt;安値!AG359),26,""))</f>
      </c>
      <c r="AA359" s="684">
        <f>IF(終値!A359="","",IF(AND(安値!AF359&lt;安値!AE359,安値!AF359&lt;安値!AD359,安値!AF359&lt;安値!AG359,安値!AF359&lt;安値!AH359),27,""))</f>
      </c>
      <c r="AB359" s="684">
        <f>IF(終値!A359="","",IF(AND(安値!AG359&lt;安値!AF359,安値!AG359&lt;安値!AE359,安値!AG359&lt;安値!AH359,安値!AG359&lt;安値!AI359),28,""))</f>
      </c>
      <c r="AC359" s="684">
        <f>IF(終値!A359="","",IF(AND(高値!G359&gt;高値!F359,高値!G359&gt;高値!E359,高値!G359&gt;高値!H359,高値!G359&gt;高値!I359),2,""))</f>
      </c>
      <c r="AD359" s="684">
        <f>IF(終値!A359="","",IF(AND(高値!H359&gt;高値!G359,高値!H359&gt;高値!F359,高値!H359&gt;高値!I359,高値!H359&gt;高値!J359),3,""))</f>
      </c>
      <c r="AE359" s="684">
        <f>IF(終値!A359="","",IF(AND(高値!I359&gt;高値!H359,高値!I359&gt;高値!G359,高値!I359&gt;高値!J359,高値!I359&gt;高値!K359),4,""))</f>
      </c>
      <c r="AF359" s="684">
        <f>IF(終値!A359="","",IF(AND(高値!J359&gt;高値!I359,高値!J359&gt;高値!H359,高値!J359&gt;高値!K359,高値!J359&gt;高値!L359),5,""))</f>
      </c>
      <c r="AG359" s="684">
        <f>IF(終値!A359="","",IF(AND(高値!K359&gt;高値!J359,高値!K359&gt;高値!I359,高値!K359&gt;高値!L359,高値!K359&gt;高値!M359),6,""))</f>
      </c>
      <c r="AH359" s="684">
        <f>IF(終値!A359="","",IF(AND(高値!L359&gt;高値!K359,高値!L359&gt;高値!J359,高値!L359&gt;高値!M359,高値!L359&gt;高値!N359),7,""))</f>
      </c>
      <c r="AI359" s="684">
        <f>IF(終値!A359="","",IF(AND(高値!M359&gt;高値!L359,高値!M359&gt;高値!K359,高値!M359&gt;高値!N359,高値!M359&gt;高値!O359),8,""))</f>
      </c>
      <c r="AJ359" s="684">
        <f>IF(終値!A359="","",IF(AND(高値!N359&gt;高値!M359,高値!N359&gt;高値!L359,高値!N359&gt;高値!O359,高値!N359&gt;高値!P359),9,""))</f>
      </c>
      <c r="AK359" s="684">
        <f>IF(終値!A359="","",IF(AND(高値!O359&gt;高値!N359,高値!O359&gt;高値!M359,高値!O359&gt;高値!P359,高値!O359&gt;高値!Q359),10,""))</f>
      </c>
      <c r="AL359" s="684">
        <f>IF(終値!A359="","",IF(AND(高値!P359&gt;高値!O359,高値!P359&gt;高値!N359,高値!P359&gt;高値!Q359,高値!P359&gt;高値!R359),11,""))</f>
      </c>
      <c r="AM359" s="684">
        <f>IF(終値!A359="","",IF(AND(高値!Q359&gt;高値!P359,高値!Q359&gt;高値!O359,高値!Q359&gt;高値!R359,高値!Q359&gt;高値!S359),12,""))</f>
      </c>
      <c r="AN359" s="684">
        <f>IF(終値!A359="","",IF(AND(高値!R359&gt;高値!Q359,高値!R359&gt;高値!P359,高値!R359&gt;高値!S359,高値!R359&gt;高値!T359),13,""))</f>
      </c>
      <c r="AO359" s="684">
        <f>IF(終値!A359="","",IF(AND(高値!S359&gt;高値!R359,高値!S359&gt;高値!Q359,高値!S359&gt;高値!T359,高値!S359&gt;高値!U359),14,""))</f>
      </c>
      <c r="AP359" s="684">
        <f>IF(終値!A359="","",IF(AND(高値!T359&gt;高値!S359,高値!T359&gt;高値!R359,高値!T359&gt;高値!U359,高値!T359&gt;高値!V359),15,""))</f>
      </c>
      <c r="AQ359" s="684">
        <f>IF(終値!A359="","",IF(AND(高値!U359&gt;高値!T359,高値!U359&gt;高値!S359,高値!U359&gt;高値!V359,高値!U359&gt;高値!W359),16,""))</f>
      </c>
      <c r="AR359" s="684">
        <f>IF(終値!A359="","",IF(AND(高値!V359&gt;高値!U359,高値!V359&gt;高値!T359,高値!V359&gt;高値!W359,高値!V359&gt;高値!X359),17,""))</f>
      </c>
      <c r="AS359" s="684">
        <f>IF(終値!A359="","",IF(AND(高値!W359&gt;高値!V359,高値!W359&gt;高値!U359,高値!W359&gt;高値!X359,高値!W359&gt;高値!Y359),18,""))</f>
      </c>
      <c r="AT359" s="684">
        <f>IF(終値!A359="","",IF(AND(高値!X359&gt;高値!W359,高値!X359&gt;高値!V359,高値!X359&gt;高値!Y359,高値!X359&gt;高値!Z359),19,""))</f>
      </c>
      <c r="AU359" s="684">
        <f>IF(終値!A359="","",IF(AND(高値!Y359&gt;高値!X359,高値!Y359&gt;高値!W359,高値!Y359&gt;高値!Z359,高値!Y359&gt;高値!AA359),20,""))</f>
      </c>
      <c r="AV359" s="684">
        <f>IF(終値!A359="","",IF(AND(高値!Z359&gt;高値!Y359,高値!Z359&gt;高値!X359,高値!Z359&gt;高値!AA359,高値!Z359&gt;高値!AB359),21,""))</f>
      </c>
      <c r="AW359" s="684">
        <f>IF(終値!A359="","",IF(AND(高値!AA359&gt;高値!Z359,高値!AA359&gt;高値!Y359,高値!AA359&gt;高値!AB359,高値!AA359&gt;高値!AC359),22,""))</f>
      </c>
      <c r="AX359" s="684">
        <f>IF(終値!A359="","",IF(AND(高値!AB359&gt;高値!AA359,高値!AB359&gt;高値!Z359,高値!AB359&gt;高値!AC359,高値!AB359&gt;高値!AD359),23,""))</f>
      </c>
      <c r="AY359" s="684">
        <f>IF(終値!A359="","",IF(AND(高値!AC359&gt;高値!AB359,高値!AC359&gt;高値!AA359,高値!AC359&gt;高値!AD359,高値!AC359&gt;高値!AE359),24,""))</f>
      </c>
      <c r="AZ359" s="684">
        <f>IF(終値!A359="","",IF(AND(高値!AD359&gt;高値!AC359,高値!AD359&gt;高値!AB359,高値!AD359&gt;高値!AE359,高値!AD359&gt;高値!AF359),25,""))</f>
      </c>
      <c r="BA359" s="684">
        <f>IF(終値!A359="","",IF(AND(高値!AE359&gt;高値!AD359,高値!AE359&gt;高値!AC359,高値!AE359&gt;高値!AF359,高値!AE359&gt;高値!AG359),26,""))</f>
      </c>
      <c r="BB359" s="684">
        <f>IF(終値!A359="","",IF(AND(高値!AF359&gt;高値!AE359,高値!AF359&gt;高値!AD359,高値!AF359&gt;高値!AG359,高値!AF359&gt;高値!AH359),27,""))</f>
      </c>
      <c r="BC359" s="684">
        <f>IF(終値!A359="","",IF(AND(高値!AG359&gt;高値!AF359,高値!AG359&gt;高値!AE359,高値!AG359&gt;高値!AH359,高値!AG359&gt;高値!AI359),28,""))</f>
      </c>
      <c r="BD359" s="684">
        <f>COUNT($B359:$AB359)</f>
      </c>
      <c r="BE359" s="684">
        <f>IF($BD359&gt;=2,MIN($B359:$AB359),"")</f>
      </c>
      <c r="BF359" s="684">
        <f>IF($BD359&gt;=2,SMALL($B359:$AB359,2),"")</f>
      </c>
      <c r="BG359" s="684">
        <f>IF($BE359="","",INDEX(安値!$E359:$CZ359,1,$BE359+1))</f>
      </c>
      <c r="BH359" s="684">
        <f>IF($BF359="","",INDEX(安値!$E359:$CZ359,1,$BF359+1))</f>
      </c>
      <c r="BI359" s="684">
        <f>IF($BF359="","",MAX(INDEX(高値!$E359:$CZ359,1,$BE359+1):INDEX(高値!$E359:$CZ359,1,$BF359+1)))</f>
      </c>
      <c r="BJ359" s="684">
        <f>IF($BF359="","",AVERAGE(INDEX(終値!$E359:$CZ359,1,$BF359+1):INDEX(終値!$E359:$CZ359,1,$BF359+20))-2*STDEVP(INDEX(終値!$E359:$CZ359,1,$BF359+1):INDEX(終値!$E359:$CZ359,1,$BF359+20)))</f>
      </c>
      <c r="BK359" s="684">
        <f>IF($BE359="","",AVERAGE(INDEX(終値!$E359:$CZ359,1,$BE359+1):INDEX(終値!$E359:$CZ359,1,$BE359+20))-2*STDEVP(INDEX(終値!$E359:$CZ359,1,$BE359+1):INDEX(終値!$E359:$CZ359,1,$BE359+20)))</f>
      </c>
      <c r="BL359" s="684">
        <f>COUNT($AC359:$BC359)</f>
      </c>
      <c r="BM359" s="684">
        <f>IF($BL359&gt;=2,MIN($AC359:$BC359),"")</f>
      </c>
      <c r="BN359" s="684">
        <f>IF($BL359&gt;=2,SMALL($AC359:$BC359,2),"")</f>
      </c>
      <c r="BO359" s="684">
        <f>IF($BM359="","",INDEX(高値!$E359:$CZ359,1,$BM359+1))</f>
      </c>
      <c r="BP359" s="684">
        <f>IF($BN359="","",INDEX(高値!$E359:$CZ359,1,$BN359+1))</f>
      </c>
      <c r="BQ359" s="684">
        <f>IF($BN359="","",MIN(INDEX(安値!$E359:$CZ359,1,$BM359+1):INDEX(安値!$E359:$CZ359,1,$BN359+1)))</f>
      </c>
      <c r="BR359" s="684">
        <f>IF($BN359="","",AVERAGE(INDEX(終値!$E359:$CZ359,1,$BN359+1):INDEX(終値!$E359:$CZ359,1,$BN359+20))+2*STDEVP(INDEX(終値!$E359:$CZ359,1,$BN359+1):INDEX(終値!$E359:$CZ359,1,$BN359+20)))</f>
      </c>
      <c r="BS359" s="684">
        <f>IF($BM359="","",AVERAGE(INDEX(終値!$E359:$CZ359,1,$BM359+1):INDEX(終値!$E359:$CZ359,1,$BM359+20))+2*STDEVP(INDEX(終値!$E359:$CZ359,1,$BM359+1):INDEX(終値!$E359:$CZ359,1,$BM359+20)))</f>
      </c>
      <c r="BT359" s="681">
        <f>IFERROR(IF(AND($BD359&gt;=2,ABS($BG359-$BH359)/$BH359&lt;=BB設定!$B$12,$BI359&gt;=MAX($BH359,$BG359)*(1+BB設定!$B$13),終値!E359&gt;$BG359),IF(OR(終値!E359&gt;=$BI359,AND($BH359&lt;$BJ359,$BG359&gt;=$BK359)),"二番底W▲","二番底W形成"),IF(AND($BL359&gt;=2,ABS($BO359-$BP359)/$BP359&lt;=BB設定!$B$12,$BQ359&lt;=MIN($BP359,$BO359)*(1-BB設定!$B$13),終値!E359&lt;$BO359),IF(OR(終値!E359&lt;=$BQ359,AND($BP359&gt;$BR359,$BO359&lt;=$BS359)),"二番天井M▼","二番天井M形成"),"－")),"－")</f>
      </c>
    </row>
    <row r="360">
      <c r="B360" s="684">
        <f>IF(終値!A360="","",IF(AND(安値!G360&lt;安値!F360,安値!G360&lt;安値!E360,安値!G360&lt;安値!H360,安値!G360&lt;安値!I360),2,""))</f>
      </c>
      <c r="C360" s="684">
        <f>IF(終値!A360="","",IF(AND(安値!H360&lt;安値!G360,安値!H360&lt;安値!F360,安値!H360&lt;安値!I360,安値!H360&lt;安値!J360),3,""))</f>
      </c>
      <c r="D360" s="684">
        <f>IF(終値!A360="","",IF(AND(安値!I360&lt;安値!H360,安値!I360&lt;安値!G360,安値!I360&lt;安値!J360,安値!I360&lt;安値!K360),4,""))</f>
      </c>
      <c r="E360" s="684">
        <f>IF(終値!A360="","",IF(AND(安値!J360&lt;安値!I360,安値!J360&lt;安値!H360,安値!J360&lt;安値!K360,安値!J360&lt;安値!L360),5,""))</f>
      </c>
      <c r="F360" s="684">
        <f>IF(終値!A360="","",IF(AND(安値!K360&lt;安値!J360,安値!K360&lt;安値!I360,安値!K360&lt;安値!L360,安値!K360&lt;安値!M360),6,""))</f>
      </c>
      <c r="G360" s="684">
        <f>IF(終値!A360="","",IF(AND(安値!L360&lt;安値!K360,安値!L360&lt;安値!J360,安値!L360&lt;安値!M360,安値!L360&lt;安値!N360),7,""))</f>
      </c>
      <c r="H360" s="684">
        <f>IF(終値!A360="","",IF(AND(安値!M360&lt;安値!L360,安値!M360&lt;安値!K360,安値!M360&lt;安値!N360,安値!M360&lt;安値!O360),8,""))</f>
      </c>
      <c r="I360" s="684">
        <f>IF(終値!A360="","",IF(AND(安値!N360&lt;安値!M360,安値!N360&lt;安値!L360,安値!N360&lt;安値!O360,安値!N360&lt;安値!P360),9,""))</f>
      </c>
      <c r="J360" s="684">
        <f>IF(終値!A360="","",IF(AND(安値!O360&lt;安値!N360,安値!O360&lt;安値!M360,安値!O360&lt;安値!P360,安値!O360&lt;安値!Q360),10,""))</f>
      </c>
      <c r="K360" s="684">
        <f>IF(終値!A360="","",IF(AND(安値!P360&lt;安値!O360,安値!P360&lt;安値!N360,安値!P360&lt;安値!Q360,安値!P360&lt;安値!R360),11,""))</f>
      </c>
      <c r="L360" s="684">
        <f>IF(終値!A360="","",IF(AND(安値!Q360&lt;安値!P360,安値!Q360&lt;安値!O360,安値!Q360&lt;安値!R360,安値!Q360&lt;安値!S360),12,""))</f>
      </c>
      <c r="M360" s="684">
        <f>IF(終値!A360="","",IF(AND(安値!R360&lt;安値!Q360,安値!R360&lt;安値!P360,安値!R360&lt;安値!S360,安値!R360&lt;安値!T360),13,""))</f>
      </c>
      <c r="N360" s="684">
        <f>IF(終値!A360="","",IF(AND(安値!S360&lt;安値!R360,安値!S360&lt;安値!Q360,安値!S360&lt;安値!T360,安値!S360&lt;安値!U360),14,""))</f>
      </c>
      <c r="O360" s="684">
        <f>IF(終値!A360="","",IF(AND(安値!T360&lt;安値!S360,安値!T360&lt;安値!R360,安値!T360&lt;安値!U360,安値!T360&lt;安値!V360),15,""))</f>
      </c>
      <c r="P360" s="684">
        <f>IF(終値!A360="","",IF(AND(安値!U360&lt;安値!T360,安値!U360&lt;安値!S360,安値!U360&lt;安値!V360,安値!U360&lt;安値!W360),16,""))</f>
      </c>
      <c r="Q360" s="684">
        <f>IF(終値!A360="","",IF(AND(安値!V360&lt;安値!U360,安値!V360&lt;安値!T360,安値!V360&lt;安値!W360,安値!V360&lt;安値!X360),17,""))</f>
      </c>
      <c r="R360" s="684">
        <f>IF(終値!A360="","",IF(AND(安値!W360&lt;安値!V360,安値!W360&lt;安値!U360,安値!W360&lt;安値!X360,安値!W360&lt;安値!Y360),18,""))</f>
      </c>
      <c r="S360" s="684">
        <f>IF(終値!A360="","",IF(AND(安値!X360&lt;安値!W360,安値!X360&lt;安値!V360,安値!X360&lt;安値!Y360,安値!X360&lt;安値!Z360),19,""))</f>
      </c>
      <c r="T360" s="684">
        <f>IF(終値!A360="","",IF(AND(安値!Y360&lt;安値!X360,安値!Y360&lt;安値!W360,安値!Y360&lt;安値!Z360,安値!Y360&lt;安値!AA360),20,""))</f>
      </c>
      <c r="U360" s="684">
        <f>IF(終値!A360="","",IF(AND(安値!Z360&lt;安値!Y360,安値!Z360&lt;安値!X360,安値!Z360&lt;安値!AA360,安値!Z360&lt;安値!AB360),21,""))</f>
      </c>
      <c r="V360" s="684">
        <f>IF(終値!A360="","",IF(AND(安値!AA360&lt;安値!Z360,安値!AA360&lt;安値!Y360,安値!AA360&lt;安値!AB360,安値!AA360&lt;安値!AC360),22,""))</f>
      </c>
      <c r="W360" s="684">
        <f>IF(終値!A360="","",IF(AND(安値!AB360&lt;安値!AA360,安値!AB360&lt;安値!Z360,安値!AB360&lt;安値!AC360,安値!AB360&lt;安値!AD360),23,""))</f>
      </c>
      <c r="X360" s="684">
        <f>IF(終値!A360="","",IF(AND(安値!AC360&lt;安値!AB360,安値!AC360&lt;安値!AA360,安値!AC360&lt;安値!AD360,安値!AC360&lt;安値!AE360),24,""))</f>
      </c>
      <c r="Y360" s="684">
        <f>IF(終値!A360="","",IF(AND(安値!AD360&lt;安値!AC360,安値!AD360&lt;安値!AB360,安値!AD360&lt;安値!AE360,安値!AD360&lt;安値!AF360),25,""))</f>
      </c>
      <c r="Z360" s="684">
        <f>IF(終値!A360="","",IF(AND(安値!AE360&lt;安値!AD360,安値!AE360&lt;安値!AC360,安値!AE360&lt;安値!AF360,安値!AE360&lt;安値!AG360),26,""))</f>
      </c>
      <c r="AA360" s="684">
        <f>IF(終値!A360="","",IF(AND(安値!AF360&lt;安値!AE360,安値!AF360&lt;安値!AD360,安値!AF360&lt;安値!AG360,安値!AF360&lt;安値!AH360),27,""))</f>
      </c>
      <c r="AB360" s="684">
        <f>IF(終値!A360="","",IF(AND(安値!AG360&lt;安値!AF360,安値!AG360&lt;安値!AE360,安値!AG360&lt;安値!AH360,安値!AG360&lt;安値!AI360),28,""))</f>
      </c>
      <c r="AC360" s="684">
        <f>IF(終値!A360="","",IF(AND(高値!G360&gt;高値!F360,高値!G360&gt;高値!E360,高値!G360&gt;高値!H360,高値!G360&gt;高値!I360),2,""))</f>
      </c>
      <c r="AD360" s="684">
        <f>IF(終値!A360="","",IF(AND(高値!H360&gt;高値!G360,高値!H360&gt;高値!F360,高値!H360&gt;高値!I360,高値!H360&gt;高値!J360),3,""))</f>
      </c>
      <c r="AE360" s="684">
        <f>IF(終値!A360="","",IF(AND(高値!I360&gt;高値!H360,高値!I360&gt;高値!G360,高値!I360&gt;高値!J360,高値!I360&gt;高値!K360),4,""))</f>
      </c>
      <c r="AF360" s="684">
        <f>IF(終値!A360="","",IF(AND(高値!J360&gt;高値!I360,高値!J360&gt;高値!H360,高値!J360&gt;高値!K360,高値!J360&gt;高値!L360),5,""))</f>
      </c>
      <c r="AG360" s="684">
        <f>IF(終値!A360="","",IF(AND(高値!K360&gt;高値!J360,高値!K360&gt;高値!I360,高値!K360&gt;高値!L360,高値!K360&gt;高値!M360),6,""))</f>
      </c>
      <c r="AH360" s="684">
        <f>IF(終値!A360="","",IF(AND(高値!L360&gt;高値!K360,高値!L360&gt;高値!J360,高値!L360&gt;高値!M360,高値!L360&gt;高値!N360),7,""))</f>
      </c>
      <c r="AI360" s="684">
        <f>IF(終値!A360="","",IF(AND(高値!M360&gt;高値!L360,高値!M360&gt;高値!K360,高値!M360&gt;高値!N360,高値!M360&gt;高値!O360),8,""))</f>
      </c>
      <c r="AJ360" s="684">
        <f>IF(終値!A360="","",IF(AND(高値!N360&gt;高値!M360,高値!N360&gt;高値!L360,高値!N360&gt;高値!O360,高値!N360&gt;高値!P360),9,""))</f>
      </c>
      <c r="AK360" s="684">
        <f>IF(終値!A360="","",IF(AND(高値!O360&gt;高値!N360,高値!O360&gt;高値!M360,高値!O360&gt;高値!P360,高値!O360&gt;高値!Q360),10,""))</f>
      </c>
      <c r="AL360" s="684">
        <f>IF(終値!A360="","",IF(AND(高値!P360&gt;高値!O360,高値!P360&gt;高値!N360,高値!P360&gt;高値!Q360,高値!P360&gt;高値!R360),11,""))</f>
      </c>
      <c r="AM360" s="684">
        <f>IF(終値!A360="","",IF(AND(高値!Q360&gt;高値!P360,高値!Q360&gt;高値!O360,高値!Q360&gt;高値!R360,高値!Q360&gt;高値!S360),12,""))</f>
      </c>
      <c r="AN360" s="684">
        <f>IF(終値!A360="","",IF(AND(高値!R360&gt;高値!Q360,高値!R360&gt;高値!P360,高値!R360&gt;高値!S360,高値!R360&gt;高値!T360),13,""))</f>
      </c>
      <c r="AO360" s="684">
        <f>IF(終値!A360="","",IF(AND(高値!S360&gt;高値!R360,高値!S360&gt;高値!Q360,高値!S360&gt;高値!T360,高値!S360&gt;高値!U360),14,""))</f>
      </c>
      <c r="AP360" s="684">
        <f>IF(終値!A360="","",IF(AND(高値!T360&gt;高値!S360,高値!T360&gt;高値!R360,高値!T360&gt;高値!U360,高値!T360&gt;高値!V360),15,""))</f>
      </c>
      <c r="AQ360" s="684">
        <f>IF(終値!A360="","",IF(AND(高値!U360&gt;高値!T360,高値!U360&gt;高値!S360,高値!U360&gt;高値!V360,高値!U360&gt;高値!W360),16,""))</f>
      </c>
      <c r="AR360" s="684">
        <f>IF(終値!A360="","",IF(AND(高値!V360&gt;高値!U360,高値!V360&gt;高値!T360,高値!V360&gt;高値!W360,高値!V360&gt;高値!X360),17,""))</f>
      </c>
      <c r="AS360" s="684">
        <f>IF(終値!A360="","",IF(AND(高値!W360&gt;高値!V360,高値!W360&gt;高値!U360,高値!W360&gt;高値!X360,高値!W360&gt;高値!Y360),18,""))</f>
      </c>
      <c r="AT360" s="684">
        <f>IF(終値!A360="","",IF(AND(高値!X360&gt;高値!W360,高値!X360&gt;高値!V360,高値!X360&gt;高値!Y360,高値!X360&gt;高値!Z360),19,""))</f>
      </c>
      <c r="AU360" s="684">
        <f>IF(終値!A360="","",IF(AND(高値!Y360&gt;高値!X360,高値!Y360&gt;高値!W360,高値!Y360&gt;高値!Z360,高値!Y360&gt;高値!AA360),20,""))</f>
      </c>
      <c r="AV360" s="684">
        <f>IF(終値!A360="","",IF(AND(高値!Z360&gt;高値!Y360,高値!Z360&gt;高値!X360,高値!Z360&gt;高値!AA360,高値!Z360&gt;高値!AB360),21,""))</f>
      </c>
      <c r="AW360" s="684">
        <f>IF(終値!A360="","",IF(AND(高値!AA360&gt;高値!Z360,高値!AA360&gt;高値!Y360,高値!AA360&gt;高値!AB360,高値!AA360&gt;高値!AC360),22,""))</f>
      </c>
      <c r="AX360" s="684">
        <f>IF(終値!A360="","",IF(AND(高値!AB360&gt;高値!AA360,高値!AB360&gt;高値!Z360,高値!AB360&gt;高値!AC360,高値!AB360&gt;高値!AD360),23,""))</f>
      </c>
      <c r="AY360" s="684">
        <f>IF(終値!A360="","",IF(AND(高値!AC360&gt;高値!AB360,高値!AC360&gt;高値!AA360,高値!AC360&gt;高値!AD360,高値!AC360&gt;高値!AE360),24,""))</f>
      </c>
      <c r="AZ360" s="684">
        <f>IF(終値!A360="","",IF(AND(高値!AD360&gt;高値!AC360,高値!AD360&gt;高値!AB360,高値!AD360&gt;高値!AE360,高値!AD360&gt;高値!AF360),25,""))</f>
      </c>
      <c r="BA360" s="684">
        <f>IF(終値!A360="","",IF(AND(高値!AE360&gt;高値!AD360,高値!AE360&gt;高値!AC360,高値!AE360&gt;高値!AF360,高値!AE360&gt;高値!AG360),26,""))</f>
      </c>
      <c r="BB360" s="684">
        <f>IF(終値!A360="","",IF(AND(高値!AF360&gt;高値!AE360,高値!AF360&gt;高値!AD360,高値!AF360&gt;高値!AG360,高値!AF360&gt;高値!AH360),27,""))</f>
      </c>
      <c r="BC360" s="684">
        <f>IF(終値!A360="","",IF(AND(高値!AG360&gt;高値!AF360,高値!AG360&gt;高値!AE360,高値!AG360&gt;高値!AH360,高値!AG360&gt;高値!AI360),28,""))</f>
      </c>
      <c r="BD360" s="684">
        <f>COUNT($B360:$AB360)</f>
      </c>
      <c r="BE360" s="684">
        <f>IF($BD360&gt;=2,MIN($B360:$AB360),"")</f>
      </c>
      <c r="BF360" s="684">
        <f>IF($BD360&gt;=2,SMALL($B360:$AB360,2),"")</f>
      </c>
      <c r="BG360" s="684">
        <f>IF($BE360="","",INDEX(安値!$E360:$CZ360,1,$BE360+1))</f>
      </c>
      <c r="BH360" s="684">
        <f>IF($BF360="","",INDEX(安値!$E360:$CZ360,1,$BF360+1))</f>
      </c>
      <c r="BI360" s="684">
        <f>IF($BF360="","",MAX(INDEX(高値!$E360:$CZ360,1,$BE360+1):INDEX(高値!$E360:$CZ360,1,$BF360+1)))</f>
      </c>
      <c r="BJ360" s="684">
        <f>IF($BF360="","",AVERAGE(INDEX(終値!$E360:$CZ360,1,$BF360+1):INDEX(終値!$E360:$CZ360,1,$BF360+20))-2*STDEVP(INDEX(終値!$E360:$CZ360,1,$BF360+1):INDEX(終値!$E360:$CZ360,1,$BF360+20)))</f>
      </c>
      <c r="BK360" s="684">
        <f>IF($BE360="","",AVERAGE(INDEX(終値!$E360:$CZ360,1,$BE360+1):INDEX(終値!$E360:$CZ360,1,$BE360+20))-2*STDEVP(INDEX(終値!$E360:$CZ360,1,$BE360+1):INDEX(終値!$E360:$CZ360,1,$BE360+20)))</f>
      </c>
      <c r="BL360" s="684">
        <f>COUNT($AC360:$BC360)</f>
      </c>
      <c r="BM360" s="684">
        <f>IF($BL360&gt;=2,MIN($AC360:$BC360),"")</f>
      </c>
      <c r="BN360" s="684">
        <f>IF($BL360&gt;=2,SMALL($AC360:$BC360,2),"")</f>
      </c>
      <c r="BO360" s="684">
        <f>IF($BM360="","",INDEX(高値!$E360:$CZ360,1,$BM360+1))</f>
      </c>
      <c r="BP360" s="684">
        <f>IF($BN360="","",INDEX(高値!$E360:$CZ360,1,$BN360+1))</f>
      </c>
      <c r="BQ360" s="684">
        <f>IF($BN360="","",MIN(INDEX(安値!$E360:$CZ360,1,$BM360+1):INDEX(安値!$E360:$CZ360,1,$BN360+1)))</f>
      </c>
      <c r="BR360" s="684">
        <f>IF($BN360="","",AVERAGE(INDEX(終値!$E360:$CZ360,1,$BN360+1):INDEX(終値!$E360:$CZ360,1,$BN360+20))+2*STDEVP(INDEX(終値!$E360:$CZ360,1,$BN360+1):INDEX(終値!$E360:$CZ360,1,$BN360+20)))</f>
      </c>
      <c r="BS360" s="684">
        <f>IF($BM360="","",AVERAGE(INDEX(終値!$E360:$CZ360,1,$BM360+1):INDEX(終値!$E360:$CZ360,1,$BM360+20))+2*STDEVP(INDEX(終値!$E360:$CZ360,1,$BM360+1):INDEX(終値!$E360:$CZ360,1,$BM360+20)))</f>
      </c>
      <c r="BT360" s="681">
        <f>IFERROR(IF(AND($BD360&gt;=2,ABS($BG360-$BH360)/$BH360&lt;=BB設定!$B$12,$BI360&gt;=MAX($BH360,$BG360)*(1+BB設定!$B$13),終値!E360&gt;$BG360),IF(OR(終値!E360&gt;=$BI360,AND($BH360&lt;$BJ360,$BG360&gt;=$BK360)),"二番底W▲","二番底W形成"),IF(AND($BL360&gt;=2,ABS($BO360-$BP360)/$BP360&lt;=BB設定!$B$12,$BQ360&lt;=MIN($BP360,$BO360)*(1-BB設定!$B$13),終値!E360&lt;$BO360),IF(OR(終値!E360&lt;=$BQ360,AND($BP360&gt;$BR360,$BO360&lt;=$BS360)),"二番天井M▼","二番天井M形成"),"－")),"－")</f>
      </c>
    </row>
    <row r="361">
      <c r="B361" s="684">
        <f>IF(終値!A361="","",IF(AND(安値!G361&lt;安値!F361,安値!G361&lt;安値!E361,安値!G361&lt;安値!H361,安値!G361&lt;安値!I361),2,""))</f>
      </c>
      <c r="C361" s="684">
        <f>IF(終値!A361="","",IF(AND(安値!H361&lt;安値!G361,安値!H361&lt;安値!F361,安値!H361&lt;安値!I361,安値!H361&lt;安値!J361),3,""))</f>
      </c>
      <c r="D361" s="684">
        <f>IF(終値!A361="","",IF(AND(安値!I361&lt;安値!H361,安値!I361&lt;安値!G361,安値!I361&lt;安値!J361,安値!I361&lt;安値!K361),4,""))</f>
      </c>
      <c r="E361" s="684">
        <f>IF(終値!A361="","",IF(AND(安値!J361&lt;安値!I361,安値!J361&lt;安値!H361,安値!J361&lt;安値!K361,安値!J361&lt;安値!L361),5,""))</f>
      </c>
      <c r="F361" s="684">
        <f>IF(終値!A361="","",IF(AND(安値!K361&lt;安値!J361,安値!K361&lt;安値!I361,安値!K361&lt;安値!L361,安値!K361&lt;安値!M361),6,""))</f>
      </c>
      <c r="G361" s="684">
        <f>IF(終値!A361="","",IF(AND(安値!L361&lt;安値!K361,安値!L361&lt;安値!J361,安値!L361&lt;安値!M361,安値!L361&lt;安値!N361),7,""))</f>
      </c>
      <c r="H361" s="684">
        <f>IF(終値!A361="","",IF(AND(安値!M361&lt;安値!L361,安値!M361&lt;安値!K361,安値!M361&lt;安値!N361,安値!M361&lt;安値!O361),8,""))</f>
      </c>
      <c r="I361" s="684">
        <f>IF(終値!A361="","",IF(AND(安値!N361&lt;安値!M361,安値!N361&lt;安値!L361,安値!N361&lt;安値!O361,安値!N361&lt;安値!P361),9,""))</f>
      </c>
      <c r="J361" s="684">
        <f>IF(終値!A361="","",IF(AND(安値!O361&lt;安値!N361,安値!O361&lt;安値!M361,安値!O361&lt;安値!P361,安値!O361&lt;安値!Q361),10,""))</f>
      </c>
      <c r="K361" s="684">
        <f>IF(終値!A361="","",IF(AND(安値!P361&lt;安値!O361,安値!P361&lt;安値!N361,安値!P361&lt;安値!Q361,安値!P361&lt;安値!R361),11,""))</f>
      </c>
      <c r="L361" s="684">
        <f>IF(終値!A361="","",IF(AND(安値!Q361&lt;安値!P361,安値!Q361&lt;安値!O361,安値!Q361&lt;安値!R361,安値!Q361&lt;安値!S361),12,""))</f>
      </c>
      <c r="M361" s="684">
        <f>IF(終値!A361="","",IF(AND(安値!R361&lt;安値!Q361,安値!R361&lt;安値!P361,安値!R361&lt;安値!S361,安値!R361&lt;安値!T361),13,""))</f>
      </c>
      <c r="N361" s="684">
        <f>IF(終値!A361="","",IF(AND(安値!S361&lt;安値!R361,安値!S361&lt;安値!Q361,安値!S361&lt;安値!T361,安値!S361&lt;安値!U361),14,""))</f>
      </c>
      <c r="O361" s="684">
        <f>IF(終値!A361="","",IF(AND(安値!T361&lt;安値!S361,安値!T361&lt;安値!R361,安値!T361&lt;安値!U361,安値!T361&lt;安値!V361),15,""))</f>
      </c>
      <c r="P361" s="684">
        <f>IF(終値!A361="","",IF(AND(安値!U361&lt;安値!T361,安値!U361&lt;安値!S361,安値!U361&lt;安値!V361,安値!U361&lt;安値!W361),16,""))</f>
      </c>
      <c r="Q361" s="684">
        <f>IF(終値!A361="","",IF(AND(安値!V361&lt;安値!U361,安値!V361&lt;安値!T361,安値!V361&lt;安値!W361,安値!V361&lt;安値!X361),17,""))</f>
      </c>
      <c r="R361" s="684">
        <f>IF(終値!A361="","",IF(AND(安値!W361&lt;安値!V361,安値!W361&lt;安値!U361,安値!W361&lt;安値!X361,安値!W361&lt;安値!Y361),18,""))</f>
      </c>
      <c r="S361" s="684">
        <f>IF(終値!A361="","",IF(AND(安値!X361&lt;安値!W361,安値!X361&lt;安値!V361,安値!X361&lt;安値!Y361,安値!X361&lt;安値!Z361),19,""))</f>
      </c>
      <c r="T361" s="684">
        <f>IF(終値!A361="","",IF(AND(安値!Y361&lt;安値!X361,安値!Y361&lt;安値!W361,安値!Y361&lt;安値!Z361,安値!Y361&lt;安値!AA361),20,""))</f>
      </c>
      <c r="U361" s="684">
        <f>IF(終値!A361="","",IF(AND(安値!Z361&lt;安値!Y361,安値!Z361&lt;安値!X361,安値!Z361&lt;安値!AA361,安値!Z361&lt;安値!AB361),21,""))</f>
      </c>
      <c r="V361" s="684">
        <f>IF(終値!A361="","",IF(AND(安値!AA361&lt;安値!Z361,安値!AA361&lt;安値!Y361,安値!AA361&lt;安値!AB361,安値!AA361&lt;安値!AC361),22,""))</f>
      </c>
      <c r="W361" s="684">
        <f>IF(終値!A361="","",IF(AND(安値!AB361&lt;安値!AA361,安値!AB361&lt;安値!Z361,安値!AB361&lt;安値!AC361,安値!AB361&lt;安値!AD361),23,""))</f>
      </c>
      <c r="X361" s="684">
        <f>IF(終値!A361="","",IF(AND(安値!AC361&lt;安値!AB361,安値!AC361&lt;安値!AA361,安値!AC361&lt;安値!AD361,安値!AC361&lt;安値!AE361),24,""))</f>
      </c>
      <c r="Y361" s="684">
        <f>IF(終値!A361="","",IF(AND(安値!AD361&lt;安値!AC361,安値!AD361&lt;安値!AB361,安値!AD361&lt;安値!AE361,安値!AD361&lt;安値!AF361),25,""))</f>
      </c>
      <c r="Z361" s="684">
        <f>IF(終値!A361="","",IF(AND(安値!AE361&lt;安値!AD361,安値!AE361&lt;安値!AC361,安値!AE361&lt;安値!AF361,安値!AE361&lt;安値!AG361),26,""))</f>
      </c>
      <c r="AA361" s="684">
        <f>IF(終値!A361="","",IF(AND(安値!AF361&lt;安値!AE361,安値!AF361&lt;安値!AD361,安値!AF361&lt;安値!AG361,安値!AF361&lt;安値!AH361),27,""))</f>
      </c>
      <c r="AB361" s="684">
        <f>IF(終値!A361="","",IF(AND(安値!AG361&lt;安値!AF361,安値!AG361&lt;安値!AE361,安値!AG361&lt;安値!AH361,安値!AG361&lt;安値!AI361),28,""))</f>
      </c>
      <c r="AC361" s="684">
        <f>IF(終値!A361="","",IF(AND(高値!G361&gt;高値!F361,高値!G361&gt;高値!E361,高値!G361&gt;高値!H361,高値!G361&gt;高値!I361),2,""))</f>
      </c>
      <c r="AD361" s="684">
        <f>IF(終値!A361="","",IF(AND(高値!H361&gt;高値!G361,高値!H361&gt;高値!F361,高値!H361&gt;高値!I361,高値!H361&gt;高値!J361),3,""))</f>
      </c>
      <c r="AE361" s="684">
        <f>IF(終値!A361="","",IF(AND(高値!I361&gt;高値!H361,高値!I361&gt;高値!G361,高値!I361&gt;高値!J361,高値!I361&gt;高値!K361),4,""))</f>
      </c>
      <c r="AF361" s="684">
        <f>IF(終値!A361="","",IF(AND(高値!J361&gt;高値!I361,高値!J361&gt;高値!H361,高値!J361&gt;高値!K361,高値!J361&gt;高値!L361),5,""))</f>
      </c>
      <c r="AG361" s="684">
        <f>IF(終値!A361="","",IF(AND(高値!K361&gt;高値!J361,高値!K361&gt;高値!I361,高値!K361&gt;高値!L361,高値!K361&gt;高値!M361),6,""))</f>
      </c>
      <c r="AH361" s="684">
        <f>IF(終値!A361="","",IF(AND(高値!L361&gt;高値!K361,高値!L361&gt;高値!J361,高値!L361&gt;高値!M361,高値!L361&gt;高値!N361),7,""))</f>
      </c>
      <c r="AI361" s="684">
        <f>IF(終値!A361="","",IF(AND(高値!M361&gt;高値!L361,高値!M361&gt;高値!K361,高値!M361&gt;高値!N361,高値!M361&gt;高値!O361),8,""))</f>
      </c>
      <c r="AJ361" s="684">
        <f>IF(終値!A361="","",IF(AND(高値!N361&gt;高値!M361,高値!N361&gt;高値!L361,高値!N361&gt;高値!O361,高値!N361&gt;高値!P361),9,""))</f>
      </c>
      <c r="AK361" s="684">
        <f>IF(終値!A361="","",IF(AND(高値!O361&gt;高値!N361,高値!O361&gt;高値!M361,高値!O361&gt;高値!P361,高値!O361&gt;高値!Q361),10,""))</f>
      </c>
      <c r="AL361" s="684">
        <f>IF(終値!A361="","",IF(AND(高値!P361&gt;高値!O361,高値!P361&gt;高値!N361,高値!P361&gt;高値!Q361,高値!P361&gt;高値!R361),11,""))</f>
      </c>
      <c r="AM361" s="684">
        <f>IF(終値!A361="","",IF(AND(高値!Q361&gt;高値!P361,高値!Q361&gt;高値!O361,高値!Q361&gt;高値!R361,高値!Q361&gt;高値!S361),12,""))</f>
      </c>
      <c r="AN361" s="684">
        <f>IF(終値!A361="","",IF(AND(高値!R361&gt;高値!Q361,高値!R361&gt;高値!P361,高値!R361&gt;高値!S361,高値!R361&gt;高値!T361),13,""))</f>
      </c>
      <c r="AO361" s="684">
        <f>IF(終値!A361="","",IF(AND(高値!S361&gt;高値!R361,高値!S361&gt;高値!Q361,高値!S361&gt;高値!T361,高値!S361&gt;高値!U361),14,""))</f>
      </c>
      <c r="AP361" s="684">
        <f>IF(終値!A361="","",IF(AND(高値!T361&gt;高値!S361,高値!T361&gt;高値!R361,高値!T361&gt;高値!U361,高値!T361&gt;高値!V361),15,""))</f>
      </c>
      <c r="AQ361" s="684">
        <f>IF(終値!A361="","",IF(AND(高値!U361&gt;高値!T361,高値!U361&gt;高値!S361,高値!U361&gt;高値!V361,高値!U361&gt;高値!W361),16,""))</f>
      </c>
      <c r="AR361" s="684">
        <f>IF(終値!A361="","",IF(AND(高値!V361&gt;高値!U361,高値!V361&gt;高値!T361,高値!V361&gt;高値!W361,高値!V361&gt;高値!X361),17,""))</f>
      </c>
      <c r="AS361" s="684">
        <f>IF(終値!A361="","",IF(AND(高値!W361&gt;高値!V361,高値!W361&gt;高値!U361,高値!W361&gt;高値!X361,高値!W361&gt;高値!Y361),18,""))</f>
      </c>
      <c r="AT361" s="684">
        <f>IF(終値!A361="","",IF(AND(高値!X361&gt;高値!W361,高値!X361&gt;高値!V361,高値!X361&gt;高値!Y361,高値!X361&gt;高値!Z361),19,""))</f>
      </c>
      <c r="AU361" s="684">
        <f>IF(終値!A361="","",IF(AND(高値!Y361&gt;高値!X361,高値!Y361&gt;高値!W361,高値!Y361&gt;高値!Z361,高値!Y361&gt;高値!AA361),20,""))</f>
      </c>
      <c r="AV361" s="684">
        <f>IF(終値!A361="","",IF(AND(高値!Z361&gt;高値!Y361,高値!Z361&gt;高値!X361,高値!Z361&gt;高値!AA361,高値!Z361&gt;高値!AB361),21,""))</f>
      </c>
      <c r="AW361" s="684">
        <f>IF(終値!A361="","",IF(AND(高値!AA361&gt;高値!Z361,高値!AA361&gt;高値!Y361,高値!AA361&gt;高値!AB361,高値!AA361&gt;高値!AC361),22,""))</f>
      </c>
      <c r="AX361" s="684">
        <f>IF(終値!A361="","",IF(AND(高値!AB361&gt;高値!AA361,高値!AB361&gt;高値!Z361,高値!AB361&gt;高値!AC361,高値!AB361&gt;高値!AD361),23,""))</f>
      </c>
      <c r="AY361" s="684">
        <f>IF(終値!A361="","",IF(AND(高値!AC361&gt;高値!AB361,高値!AC361&gt;高値!AA361,高値!AC361&gt;高値!AD361,高値!AC361&gt;高値!AE361),24,""))</f>
      </c>
      <c r="AZ361" s="684">
        <f>IF(終値!A361="","",IF(AND(高値!AD361&gt;高値!AC361,高値!AD361&gt;高値!AB361,高値!AD361&gt;高値!AE361,高値!AD361&gt;高値!AF361),25,""))</f>
      </c>
      <c r="BA361" s="684">
        <f>IF(終値!A361="","",IF(AND(高値!AE361&gt;高値!AD361,高値!AE361&gt;高値!AC361,高値!AE361&gt;高値!AF361,高値!AE361&gt;高値!AG361),26,""))</f>
      </c>
      <c r="BB361" s="684">
        <f>IF(終値!A361="","",IF(AND(高値!AF361&gt;高値!AE361,高値!AF361&gt;高値!AD361,高値!AF361&gt;高値!AG361,高値!AF361&gt;高値!AH361),27,""))</f>
      </c>
      <c r="BC361" s="684">
        <f>IF(終値!A361="","",IF(AND(高値!AG361&gt;高値!AF361,高値!AG361&gt;高値!AE361,高値!AG361&gt;高値!AH361,高値!AG361&gt;高値!AI361),28,""))</f>
      </c>
      <c r="BD361" s="684">
        <f>COUNT($B361:$AB361)</f>
      </c>
      <c r="BE361" s="684">
        <f>IF($BD361&gt;=2,MIN($B361:$AB361),"")</f>
      </c>
      <c r="BF361" s="684">
        <f>IF($BD361&gt;=2,SMALL($B361:$AB361,2),"")</f>
      </c>
      <c r="BG361" s="684">
        <f>IF($BE361="","",INDEX(安値!$E361:$CZ361,1,$BE361+1))</f>
      </c>
      <c r="BH361" s="684">
        <f>IF($BF361="","",INDEX(安値!$E361:$CZ361,1,$BF361+1))</f>
      </c>
      <c r="BI361" s="684">
        <f>IF($BF361="","",MAX(INDEX(高値!$E361:$CZ361,1,$BE361+1):INDEX(高値!$E361:$CZ361,1,$BF361+1)))</f>
      </c>
      <c r="BJ361" s="684">
        <f>IF($BF361="","",AVERAGE(INDEX(終値!$E361:$CZ361,1,$BF361+1):INDEX(終値!$E361:$CZ361,1,$BF361+20))-2*STDEVP(INDEX(終値!$E361:$CZ361,1,$BF361+1):INDEX(終値!$E361:$CZ361,1,$BF361+20)))</f>
      </c>
      <c r="BK361" s="684">
        <f>IF($BE361="","",AVERAGE(INDEX(終値!$E361:$CZ361,1,$BE361+1):INDEX(終値!$E361:$CZ361,1,$BE361+20))-2*STDEVP(INDEX(終値!$E361:$CZ361,1,$BE361+1):INDEX(終値!$E361:$CZ361,1,$BE361+20)))</f>
      </c>
      <c r="BL361" s="684">
        <f>COUNT($AC361:$BC361)</f>
      </c>
      <c r="BM361" s="684">
        <f>IF($BL361&gt;=2,MIN($AC361:$BC361),"")</f>
      </c>
      <c r="BN361" s="684">
        <f>IF($BL361&gt;=2,SMALL($AC361:$BC361,2),"")</f>
      </c>
      <c r="BO361" s="684">
        <f>IF($BM361="","",INDEX(高値!$E361:$CZ361,1,$BM361+1))</f>
      </c>
      <c r="BP361" s="684">
        <f>IF($BN361="","",INDEX(高値!$E361:$CZ361,1,$BN361+1))</f>
      </c>
      <c r="BQ361" s="684">
        <f>IF($BN361="","",MIN(INDEX(安値!$E361:$CZ361,1,$BM361+1):INDEX(安値!$E361:$CZ361,1,$BN361+1)))</f>
      </c>
      <c r="BR361" s="684">
        <f>IF($BN361="","",AVERAGE(INDEX(終値!$E361:$CZ361,1,$BN361+1):INDEX(終値!$E361:$CZ361,1,$BN361+20))+2*STDEVP(INDEX(終値!$E361:$CZ361,1,$BN361+1):INDEX(終値!$E361:$CZ361,1,$BN361+20)))</f>
      </c>
      <c r="BS361" s="684">
        <f>IF($BM361="","",AVERAGE(INDEX(終値!$E361:$CZ361,1,$BM361+1):INDEX(終値!$E361:$CZ361,1,$BM361+20))+2*STDEVP(INDEX(終値!$E361:$CZ361,1,$BM361+1):INDEX(終値!$E361:$CZ361,1,$BM361+20)))</f>
      </c>
      <c r="BT361" s="681">
        <f>IFERROR(IF(AND($BD361&gt;=2,ABS($BG361-$BH361)/$BH361&lt;=BB設定!$B$12,$BI361&gt;=MAX($BH361,$BG361)*(1+BB設定!$B$13),終値!E361&gt;$BG361),IF(OR(終値!E361&gt;=$BI361,AND($BH361&lt;$BJ361,$BG361&gt;=$BK361)),"二番底W▲","二番底W形成"),IF(AND($BL361&gt;=2,ABS($BO361-$BP361)/$BP361&lt;=BB設定!$B$12,$BQ361&lt;=MIN($BP361,$BO361)*(1-BB設定!$B$13),終値!E361&lt;$BO361),IF(OR(終値!E361&lt;=$BQ361,AND($BP361&gt;$BR361,$BO361&lt;=$BS361)),"二番天井M▼","二番天井M形成"),"－")),"－")</f>
      </c>
    </row>
    <row r="362">
      <c r="B362" s="684">
        <f>IF(終値!A362="","",IF(AND(安値!G362&lt;安値!F362,安値!G362&lt;安値!E362,安値!G362&lt;安値!H362,安値!G362&lt;安値!I362),2,""))</f>
      </c>
      <c r="C362" s="684">
        <f>IF(終値!A362="","",IF(AND(安値!H362&lt;安値!G362,安値!H362&lt;安値!F362,安値!H362&lt;安値!I362,安値!H362&lt;安値!J362),3,""))</f>
      </c>
      <c r="D362" s="684">
        <f>IF(終値!A362="","",IF(AND(安値!I362&lt;安値!H362,安値!I362&lt;安値!G362,安値!I362&lt;安値!J362,安値!I362&lt;安値!K362),4,""))</f>
      </c>
      <c r="E362" s="684">
        <f>IF(終値!A362="","",IF(AND(安値!J362&lt;安値!I362,安値!J362&lt;安値!H362,安値!J362&lt;安値!K362,安値!J362&lt;安値!L362),5,""))</f>
      </c>
      <c r="F362" s="684">
        <f>IF(終値!A362="","",IF(AND(安値!K362&lt;安値!J362,安値!K362&lt;安値!I362,安値!K362&lt;安値!L362,安値!K362&lt;安値!M362),6,""))</f>
      </c>
      <c r="G362" s="684">
        <f>IF(終値!A362="","",IF(AND(安値!L362&lt;安値!K362,安値!L362&lt;安値!J362,安値!L362&lt;安値!M362,安値!L362&lt;安値!N362),7,""))</f>
      </c>
      <c r="H362" s="684">
        <f>IF(終値!A362="","",IF(AND(安値!M362&lt;安値!L362,安値!M362&lt;安値!K362,安値!M362&lt;安値!N362,安値!M362&lt;安値!O362),8,""))</f>
      </c>
      <c r="I362" s="684">
        <f>IF(終値!A362="","",IF(AND(安値!N362&lt;安値!M362,安値!N362&lt;安値!L362,安値!N362&lt;安値!O362,安値!N362&lt;安値!P362),9,""))</f>
      </c>
      <c r="J362" s="684">
        <f>IF(終値!A362="","",IF(AND(安値!O362&lt;安値!N362,安値!O362&lt;安値!M362,安値!O362&lt;安値!P362,安値!O362&lt;安値!Q362),10,""))</f>
      </c>
      <c r="K362" s="684">
        <f>IF(終値!A362="","",IF(AND(安値!P362&lt;安値!O362,安値!P362&lt;安値!N362,安値!P362&lt;安値!Q362,安値!P362&lt;安値!R362),11,""))</f>
      </c>
      <c r="L362" s="684">
        <f>IF(終値!A362="","",IF(AND(安値!Q362&lt;安値!P362,安値!Q362&lt;安値!O362,安値!Q362&lt;安値!R362,安値!Q362&lt;安値!S362),12,""))</f>
      </c>
      <c r="M362" s="684">
        <f>IF(終値!A362="","",IF(AND(安値!R362&lt;安値!Q362,安値!R362&lt;安値!P362,安値!R362&lt;安値!S362,安値!R362&lt;安値!T362),13,""))</f>
      </c>
      <c r="N362" s="684">
        <f>IF(終値!A362="","",IF(AND(安値!S362&lt;安値!R362,安値!S362&lt;安値!Q362,安値!S362&lt;安値!T362,安値!S362&lt;安値!U362),14,""))</f>
      </c>
      <c r="O362" s="684">
        <f>IF(終値!A362="","",IF(AND(安値!T362&lt;安値!S362,安値!T362&lt;安値!R362,安値!T362&lt;安値!U362,安値!T362&lt;安値!V362),15,""))</f>
      </c>
      <c r="P362" s="684">
        <f>IF(終値!A362="","",IF(AND(安値!U362&lt;安値!T362,安値!U362&lt;安値!S362,安値!U362&lt;安値!V362,安値!U362&lt;安値!W362),16,""))</f>
      </c>
      <c r="Q362" s="684">
        <f>IF(終値!A362="","",IF(AND(安値!V362&lt;安値!U362,安値!V362&lt;安値!T362,安値!V362&lt;安値!W362,安値!V362&lt;安値!X362),17,""))</f>
      </c>
      <c r="R362" s="684">
        <f>IF(終値!A362="","",IF(AND(安値!W362&lt;安値!V362,安値!W362&lt;安値!U362,安値!W362&lt;安値!X362,安値!W362&lt;安値!Y362),18,""))</f>
      </c>
      <c r="S362" s="684">
        <f>IF(終値!A362="","",IF(AND(安値!X362&lt;安値!W362,安値!X362&lt;安値!V362,安値!X362&lt;安値!Y362,安値!X362&lt;安値!Z362),19,""))</f>
      </c>
      <c r="T362" s="684">
        <f>IF(終値!A362="","",IF(AND(安値!Y362&lt;安値!X362,安値!Y362&lt;安値!W362,安値!Y362&lt;安値!Z362,安値!Y362&lt;安値!AA362),20,""))</f>
      </c>
      <c r="U362" s="684">
        <f>IF(終値!A362="","",IF(AND(安値!Z362&lt;安値!Y362,安値!Z362&lt;安値!X362,安値!Z362&lt;安値!AA362,安値!Z362&lt;安値!AB362),21,""))</f>
      </c>
      <c r="V362" s="684">
        <f>IF(終値!A362="","",IF(AND(安値!AA362&lt;安値!Z362,安値!AA362&lt;安値!Y362,安値!AA362&lt;安値!AB362,安値!AA362&lt;安値!AC362),22,""))</f>
      </c>
      <c r="W362" s="684">
        <f>IF(終値!A362="","",IF(AND(安値!AB362&lt;安値!AA362,安値!AB362&lt;安値!Z362,安値!AB362&lt;安値!AC362,安値!AB362&lt;安値!AD362),23,""))</f>
      </c>
      <c r="X362" s="684">
        <f>IF(終値!A362="","",IF(AND(安値!AC362&lt;安値!AB362,安値!AC362&lt;安値!AA362,安値!AC362&lt;安値!AD362,安値!AC362&lt;安値!AE362),24,""))</f>
      </c>
      <c r="Y362" s="684">
        <f>IF(終値!A362="","",IF(AND(安値!AD362&lt;安値!AC362,安値!AD362&lt;安値!AB362,安値!AD362&lt;安値!AE362,安値!AD362&lt;安値!AF362),25,""))</f>
      </c>
      <c r="Z362" s="684">
        <f>IF(終値!A362="","",IF(AND(安値!AE362&lt;安値!AD362,安値!AE362&lt;安値!AC362,安値!AE362&lt;安値!AF362,安値!AE362&lt;安値!AG362),26,""))</f>
      </c>
      <c r="AA362" s="684">
        <f>IF(終値!A362="","",IF(AND(安値!AF362&lt;安値!AE362,安値!AF362&lt;安値!AD362,安値!AF362&lt;安値!AG362,安値!AF362&lt;安値!AH362),27,""))</f>
      </c>
      <c r="AB362" s="684">
        <f>IF(終値!A362="","",IF(AND(安値!AG362&lt;安値!AF362,安値!AG362&lt;安値!AE362,安値!AG362&lt;安値!AH362,安値!AG362&lt;安値!AI362),28,""))</f>
      </c>
      <c r="AC362" s="684">
        <f>IF(終値!A362="","",IF(AND(高値!G362&gt;高値!F362,高値!G362&gt;高値!E362,高値!G362&gt;高値!H362,高値!G362&gt;高値!I362),2,""))</f>
      </c>
      <c r="AD362" s="684">
        <f>IF(終値!A362="","",IF(AND(高値!H362&gt;高値!G362,高値!H362&gt;高値!F362,高値!H362&gt;高値!I362,高値!H362&gt;高値!J362),3,""))</f>
      </c>
      <c r="AE362" s="684">
        <f>IF(終値!A362="","",IF(AND(高値!I362&gt;高値!H362,高値!I362&gt;高値!G362,高値!I362&gt;高値!J362,高値!I362&gt;高値!K362),4,""))</f>
      </c>
      <c r="AF362" s="684">
        <f>IF(終値!A362="","",IF(AND(高値!J362&gt;高値!I362,高値!J362&gt;高値!H362,高値!J362&gt;高値!K362,高値!J362&gt;高値!L362),5,""))</f>
      </c>
      <c r="AG362" s="684">
        <f>IF(終値!A362="","",IF(AND(高値!K362&gt;高値!J362,高値!K362&gt;高値!I362,高値!K362&gt;高値!L362,高値!K362&gt;高値!M362),6,""))</f>
      </c>
      <c r="AH362" s="684">
        <f>IF(終値!A362="","",IF(AND(高値!L362&gt;高値!K362,高値!L362&gt;高値!J362,高値!L362&gt;高値!M362,高値!L362&gt;高値!N362),7,""))</f>
      </c>
      <c r="AI362" s="684">
        <f>IF(終値!A362="","",IF(AND(高値!M362&gt;高値!L362,高値!M362&gt;高値!K362,高値!M362&gt;高値!N362,高値!M362&gt;高値!O362),8,""))</f>
      </c>
      <c r="AJ362" s="684">
        <f>IF(終値!A362="","",IF(AND(高値!N362&gt;高値!M362,高値!N362&gt;高値!L362,高値!N362&gt;高値!O362,高値!N362&gt;高値!P362),9,""))</f>
      </c>
      <c r="AK362" s="684">
        <f>IF(終値!A362="","",IF(AND(高値!O362&gt;高値!N362,高値!O362&gt;高値!M362,高値!O362&gt;高値!P362,高値!O362&gt;高値!Q362),10,""))</f>
      </c>
      <c r="AL362" s="684">
        <f>IF(終値!A362="","",IF(AND(高値!P362&gt;高値!O362,高値!P362&gt;高値!N362,高値!P362&gt;高値!Q362,高値!P362&gt;高値!R362),11,""))</f>
      </c>
      <c r="AM362" s="684">
        <f>IF(終値!A362="","",IF(AND(高値!Q362&gt;高値!P362,高値!Q362&gt;高値!O362,高値!Q362&gt;高値!R362,高値!Q362&gt;高値!S362),12,""))</f>
      </c>
      <c r="AN362" s="684">
        <f>IF(終値!A362="","",IF(AND(高値!R362&gt;高値!Q362,高値!R362&gt;高値!P362,高値!R362&gt;高値!S362,高値!R362&gt;高値!T362),13,""))</f>
      </c>
      <c r="AO362" s="684">
        <f>IF(終値!A362="","",IF(AND(高値!S362&gt;高値!R362,高値!S362&gt;高値!Q362,高値!S362&gt;高値!T362,高値!S362&gt;高値!U362),14,""))</f>
      </c>
      <c r="AP362" s="684">
        <f>IF(終値!A362="","",IF(AND(高値!T362&gt;高値!S362,高値!T362&gt;高値!R362,高値!T362&gt;高値!U362,高値!T362&gt;高値!V362),15,""))</f>
      </c>
      <c r="AQ362" s="684">
        <f>IF(終値!A362="","",IF(AND(高値!U362&gt;高値!T362,高値!U362&gt;高値!S362,高値!U362&gt;高値!V362,高値!U362&gt;高値!W362),16,""))</f>
      </c>
      <c r="AR362" s="684">
        <f>IF(終値!A362="","",IF(AND(高値!V362&gt;高値!U362,高値!V362&gt;高値!T362,高値!V362&gt;高値!W362,高値!V362&gt;高値!X362),17,""))</f>
      </c>
      <c r="AS362" s="684">
        <f>IF(終値!A362="","",IF(AND(高値!W362&gt;高値!V362,高値!W362&gt;高値!U362,高値!W362&gt;高値!X362,高値!W362&gt;高値!Y362),18,""))</f>
      </c>
      <c r="AT362" s="684">
        <f>IF(終値!A362="","",IF(AND(高値!X362&gt;高値!W362,高値!X362&gt;高値!V362,高値!X362&gt;高値!Y362,高値!X362&gt;高値!Z362),19,""))</f>
      </c>
      <c r="AU362" s="684">
        <f>IF(終値!A362="","",IF(AND(高値!Y362&gt;高値!X362,高値!Y362&gt;高値!W362,高値!Y362&gt;高値!Z362,高値!Y362&gt;高値!AA362),20,""))</f>
      </c>
      <c r="AV362" s="684">
        <f>IF(終値!A362="","",IF(AND(高値!Z362&gt;高値!Y362,高値!Z362&gt;高値!X362,高値!Z362&gt;高値!AA362,高値!Z362&gt;高値!AB362),21,""))</f>
      </c>
      <c r="AW362" s="684">
        <f>IF(終値!A362="","",IF(AND(高値!AA362&gt;高値!Z362,高値!AA362&gt;高値!Y362,高値!AA362&gt;高値!AB362,高値!AA362&gt;高値!AC362),22,""))</f>
      </c>
      <c r="AX362" s="684">
        <f>IF(終値!A362="","",IF(AND(高値!AB362&gt;高値!AA362,高値!AB362&gt;高値!Z362,高値!AB362&gt;高値!AC362,高値!AB362&gt;高値!AD362),23,""))</f>
      </c>
      <c r="AY362" s="684">
        <f>IF(終値!A362="","",IF(AND(高値!AC362&gt;高値!AB362,高値!AC362&gt;高値!AA362,高値!AC362&gt;高値!AD362,高値!AC362&gt;高値!AE362),24,""))</f>
      </c>
      <c r="AZ362" s="684">
        <f>IF(終値!A362="","",IF(AND(高値!AD362&gt;高値!AC362,高値!AD362&gt;高値!AB362,高値!AD362&gt;高値!AE362,高値!AD362&gt;高値!AF362),25,""))</f>
      </c>
      <c r="BA362" s="684">
        <f>IF(終値!A362="","",IF(AND(高値!AE362&gt;高値!AD362,高値!AE362&gt;高値!AC362,高値!AE362&gt;高値!AF362,高値!AE362&gt;高値!AG362),26,""))</f>
      </c>
      <c r="BB362" s="684">
        <f>IF(終値!A362="","",IF(AND(高値!AF362&gt;高値!AE362,高値!AF362&gt;高値!AD362,高値!AF362&gt;高値!AG362,高値!AF362&gt;高値!AH362),27,""))</f>
      </c>
      <c r="BC362" s="684">
        <f>IF(終値!A362="","",IF(AND(高値!AG362&gt;高値!AF362,高値!AG362&gt;高値!AE362,高値!AG362&gt;高値!AH362,高値!AG362&gt;高値!AI362),28,""))</f>
      </c>
      <c r="BD362" s="684">
        <f>COUNT($B362:$AB362)</f>
      </c>
      <c r="BE362" s="684">
        <f>IF($BD362&gt;=2,MIN($B362:$AB362),"")</f>
      </c>
      <c r="BF362" s="684">
        <f>IF($BD362&gt;=2,SMALL($B362:$AB362,2),"")</f>
      </c>
      <c r="BG362" s="684">
        <f>IF($BE362="","",INDEX(安値!$E362:$CZ362,1,$BE362+1))</f>
      </c>
      <c r="BH362" s="684">
        <f>IF($BF362="","",INDEX(安値!$E362:$CZ362,1,$BF362+1))</f>
      </c>
      <c r="BI362" s="684">
        <f>IF($BF362="","",MAX(INDEX(高値!$E362:$CZ362,1,$BE362+1):INDEX(高値!$E362:$CZ362,1,$BF362+1)))</f>
      </c>
      <c r="BJ362" s="684">
        <f>IF($BF362="","",AVERAGE(INDEX(終値!$E362:$CZ362,1,$BF362+1):INDEX(終値!$E362:$CZ362,1,$BF362+20))-2*STDEVP(INDEX(終値!$E362:$CZ362,1,$BF362+1):INDEX(終値!$E362:$CZ362,1,$BF362+20)))</f>
      </c>
      <c r="BK362" s="684">
        <f>IF($BE362="","",AVERAGE(INDEX(終値!$E362:$CZ362,1,$BE362+1):INDEX(終値!$E362:$CZ362,1,$BE362+20))-2*STDEVP(INDEX(終値!$E362:$CZ362,1,$BE362+1):INDEX(終値!$E362:$CZ362,1,$BE362+20)))</f>
      </c>
      <c r="BL362" s="684">
        <f>COUNT($AC362:$BC362)</f>
      </c>
      <c r="BM362" s="684">
        <f>IF($BL362&gt;=2,MIN($AC362:$BC362),"")</f>
      </c>
      <c r="BN362" s="684">
        <f>IF($BL362&gt;=2,SMALL($AC362:$BC362,2),"")</f>
      </c>
      <c r="BO362" s="684">
        <f>IF($BM362="","",INDEX(高値!$E362:$CZ362,1,$BM362+1))</f>
      </c>
      <c r="BP362" s="684">
        <f>IF($BN362="","",INDEX(高値!$E362:$CZ362,1,$BN362+1))</f>
      </c>
      <c r="BQ362" s="684">
        <f>IF($BN362="","",MIN(INDEX(安値!$E362:$CZ362,1,$BM362+1):INDEX(安値!$E362:$CZ362,1,$BN362+1)))</f>
      </c>
      <c r="BR362" s="684">
        <f>IF($BN362="","",AVERAGE(INDEX(終値!$E362:$CZ362,1,$BN362+1):INDEX(終値!$E362:$CZ362,1,$BN362+20))+2*STDEVP(INDEX(終値!$E362:$CZ362,1,$BN362+1):INDEX(終値!$E362:$CZ362,1,$BN362+20)))</f>
      </c>
      <c r="BS362" s="684">
        <f>IF($BM362="","",AVERAGE(INDEX(終値!$E362:$CZ362,1,$BM362+1):INDEX(終値!$E362:$CZ362,1,$BM362+20))+2*STDEVP(INDEX(終値!$E362:$CZ362,1,$BM362+1):INDEX(終値!$E362:$CZ362,1,$BM362+20)))</f>
      </c>
      <c r="BT362" s="681">
        <f>IFERROR(IF(AND($BD362&gt;=2,ABS($BG362-$BH362)/$BH362&lt;=BB設定!$B$12,$BI362&gt;=MAX($BH362,$BG362)*(1+BB設定!$B$13),終値!E362&gt;$BG362),IF(OR(終値!E362&gt;=$BI362,AND($BH362&lt;$BJ362,$BG362&gt;=$BK362)),"二番底W▲","二番底W形成"),IF(AND($BL362&gt;=2,ABS($BO362-$BP362)/$BP362&lt;=BB設定!$B$12,$BQ362&lt;=MIN($BP362,$BO362)*(1-BB設定!$B$13),終値!E362&lt;$BO362),IF(OR(終値!E362&lt;=$BQ362,AND($BP362&gt;$BR362,$BO362&lt;=$BS362)),"二番天井M▼","二番天井M形成"),"－")),"－")</f>
      </c>
    </row>
    <row r="363">
      <c r="B363" s="684">
        <f>IF(終値!A363="","",IF(AND(安値!G363&lt;安値!F363,安値!G363&lt;安値!E363,安値!G363&lt;安値!H363,安値!G363&lt;安値!I363),2,""))</f>
      </c>
      <c r="C363" s="684">
        <f>IF(終値!A363="","",IF(AND(安値!H363&lt;安値!G363,安値!H363&lt;安値!F363,安値!H363&lt;安値!I363,安値!H363&lt;安値!J363),3,""))</f>
      </c>
      <c r="D363" s="684">
        <f>IF(終値!A363="","",IF(AND(安値!I363&lt;安値!H363,安値!I363&lt;安値!G363,安値!I363&lt;安値!J363,安値!I363&lt;安値!K363),4,""))</f>
      </c>
      <c r="E363" s="684">
        <f>IF(終値!A363="","",IF(AND(安値!J363&lt;安値!I363,安値!J363&lt;安値!H363,安値!J363&lt;安値!K363,安値!J363&lt;安値!L363),5,""))</f>
      </c>
      <c r="F363" s="684">
        <f>IF(終値!A363="","",IF(AND(安値!K363&lt;安値!J363,安値!K363&lt;安値!I363,安値!K363&lt;安値!L363,安値!K363&lt;安値!M363),6,""))</f>
      </c>
      <c r="G363" s="684">
        <f>IF(終値!A363="","",IF(AND(安値!L363&lt;安値!K363,安値!L363&lt;安値!J363,安値!L363&lt;安値!M363,安値!L363&lt;安値!N363),7,""))</f>
      </c>
      <c r="H363" s="684">
        <f>IF(終値!A363="","",IF(AND(安値!M363&lt;安値!L363,安値!M363&lt;安値!K363,安値!M363&lt;安値!N363,安値!M363&lt;安値!O363),8,""))</f>
      </c>
      <c r="I363" s="684">
        <f>IF(終値!A363="","",IF(AND(安値!N363&lt;安値!M363,安値!N363&lt;安値!L363,安値!N363&lt;安値!O363,安値!N363&lt;安値!P363),9,""))</f>
      </c>
      <c r="J363" s="684">
        <f>IF(終値!A363="","",IF(AND(安値!O363&lt;安値!N363,安値!O363&lt;安値!M363,安値!O363&lt;安値!P363,安値!O363&lt;安値!Q363),10,""))</f>
      </c>
      <c r="K363" s="684">
        <f>IF(終値!A363="","",IF(AND(安値!P363&lt;安値!O363,安値!P363&lt;安値!N363,安値!P363&lt;安値!Q363,安値!P363&lt;安値!R363),11,""))</f>
      </c>
      <c r="L363" s="684">
        <f>IF(終値!A363="","",IF(AND(安値!Q363&lt;安値!P363,安値!Q363&lt;安値!O363,安値!Q363&lt;安値!R363,安値!Q363&lt;安値!S363),12,""))</f>
      </c>
      <c r="M363" s="684">
        <f>IF(終値!A363="","",IF(AND(安値!R363&lt;安値!Q363,安値!R363&lt;安値!P363,安値!R363&lt;安値!S363,安値!R363&lt;安値!T363),13,""))</f>
      </c>
      <c r="N363" s="684">
        <f>IF(終値!A363="","",IF(AND(安値!S363&lt;安値!R363,安値!S363&lt;安値!Q363,安値!S363&lt;安値!T363,安値!S363&lt;安値!U363),14,""))</f>
      </c>
      <c r="O363" s="684">
        <f>IF(終値!A363="","",IF(AND(安値!T363&lt;安値!S363,安値!T363&lt;安値!R363,安値!T363&lt;安値!U363,安値!T363&lt;安値!V363),15,""))</f>
      </c>
      <c r="P363" s="684">
        <f>IF(終値!A363="","",IF(AND(安値!U363&lt;安値!T363,安値!U363&lt;安値!S363,安値!U363&lt;安値!V363,安値!U363&lt;安値!W363),16,""))</f>
      </c>
      <c r="Q363" s="684">
        <f>IF(終値!A363="","",IF(AND(安値!V363&lt;安値!U363,安値!V363&lt;安値!T363,安値!V363&lt;安値!W363,安値!V363&lt;安値!X363),17,""))</f>
      </c>
      <c r="R363" s="684">
        <f>IF(終値!A363="","",IF(AND(安値!W363&lt;安値!V363,安値!W363&lt;安値!U363,安値!W363&lt;安値!X363,安値!W363&lt;安値!Y363),18,""))</f>
      </c>
      <c r="S363" s="684">
        <f>IF(終値!A363="","",IF(AND(安値!X363&lt;安値!W363,安値!X363&lt;安値!V363,安値!X363&lt;安値!Y363,安値!X363&lt;安値!Z363),19,""))</f>
      </c>
      <c r="T363" s="684">
        <f>IF(終値!A363="","",IF(AND(安値!Y363&lt;安値!X363,安値!Y363&lt;安値!W363,安値!Y363&lt;安値!Z363,安値!Y363&lt;安値!AA363),20,""))</f>
      </c>
      <c r="U363" s="684">
        <f>IF(終値!A363="","",IF(AND(安値!Z363&lt;安値!Y363,安値!Z363&lt;安値!X363,安値!Z363&lt;安値!AA363,安値!Z363&lt;安値!AB363),21,""))</f>
      </c>
      <c r="V363" s="684">
        <f>IF(終値!A363="","",IF(AND(安値!AA363&lt;安値!Z363,安値!AA363&lt;安値!Y363,安値!AA363&lt;安値!AB363,安値!AA363&lt;安値!AC363),22,""))</f>
      </c>
      <c r="W363" s="684">
        <f>IF(終値!A363="","",IF(AND(安値!AB363&lt;安値!AA363,安値!AB363&lt;安値!Z363,安値!AB363&lt;安値!AC363,安値!AB363&lt;安値!AD363),23,""))</f>
      </c>
      <c r="X363" s="684">
        <f>IF(終値!A363="","",IF(AND(安値!AC363&lt;安値!AB363,安値!AC363&lt;安値!AA363,安値!AC363&lt;安値!AD363,安値!AC363&lt;安値!AE363),24,""))</f>
      </c>
      <c r="Y363" s="684">
        <f>IF(終値!A363="","",IF(AND(安値!AD363&lt;安値!AC363,安値!AD363&lt;安値!AB363,安値!AD363&lt;安値!AE363,安値!AD363&lt;安値!AF363),25,""))</f>
      </c>
      <c r="Z363" s="684">
        <f>IF(終値!A363="","",IF(AND(安値!AE363&lt;安値!AD363,安値!AE363&lt;安値!AC363,安値!AE363&lt;安値!AF363,安値!AE363&lt;安値!AG363),26,""))</f>
      </c>
      <c r="AA363" s="684">
        <f>IF(終値!A363="","",IF(AND(安値!AF363&lt;安値!AE363,安値!AF363&lt;安値!AD363,安値!AF363&lt;安値!AG363,安値!AF363&lt;安値!AH363),27,""))</f>
      </c>
      <c r="AB363" s="684">
        <f>IF(終値!A363="","",IF(AND(安値!AG363&lt;安値!AF363,安値!AG363&lt;安値!AE363,安値!AG363&lt;安値!AH363,安値!AG363&lt;安値!AI363),28,""))</f>
      </c>
      <c r="AC363" s="684">
        <f>IF(終値!A363="","",IF(AND(高値!G363&gt;高値!F363,高値!G363&gt;高値!E363,高値!G363&gt;高値!H363,高値!G363&gt;高値!I363),2,""))</f>
      </c>
      <c r="AD363" s="684">
        <f>IF(終値!A363="","",IF(AND(高値!H363&gt;高値!G363,高値!H363&gt;高値!F363,高値!H363&gt;高値!I363,高値!H363&gt;高値!J363),3,""))</f>
      </c>
      <c r="AE363" s="684">
        <f>IF(終値!A363="","",IF(AND(高値!I363&gt;高値!H363,高値!I363&gt;高値!G363,高値!I363&gt;高値!J363,高値!I363&gt;高値!K363),4,""))</f>
      </c>
      <c r="AF363" s="684">
        <f>IF(終値!A363="","",IF(AND(高値!J363&gt;高値!I363,高値!J363&gt;高値!H363,高値!J363&gt;高値!K363,高値!J363&gt;高値!L363),5,""))</f>
      </c>
      <c r="AG363" s="684">
        <f>IF(終値!A363="","",IF(AND(高値!K363&gt;高値!J363,高値!K363&gt;高値!I363,高値!K363&gt;高値!L363,高値!K363&gt;高値!M363),6,""))</f>
      </c>
      <c r="AH363" s="684">
        <f>IF(終値!A363="","",IF(AND(高値!L363&gt;高値!K363,高値!L363&gt;高値!J363,高値!L363&gt;高値!M363,高値!L363&gt;高値!N363),7,""))</f>
      </c>
      <c r="AI363" s="684">
        <f>IF(終値!A363="","",IF(AND(高値!M363&gt;高値!L363,高値!M363&gt;高値!K363,高値!M363&gt;高値!N363,高値!M363&gt;高値!O363),8,""))</f>
      </c>
      <c r="AJ363" s="684">
        <f>IF(終値!A363="","",IF(AND(高値!N363&gt;高値!M363,高値!N363&gt;高値!L363,高値!N363&gt;高値!O363,高値!N363&gt;高値!P363),9,""))</f>
      </c>
      <c r="AK363" s="684">
        <f>IF(終値!A363="","",IF(AND(高値!O363&gt;高値!N363,高値!O363&gt;高値!M363,高値!O363&gt;高値!P363,高値!O363&gt;高値!Q363),10,""))</f>
      </c>
      <c r="AL363" s="684">
        <f>IF(終値!A363="","",IF(AND(高値!P363&gt;高値!O363,高値!P363&gt;高値!N363,高値!P363&gt;高値!Q363,高値!P363&gt;高値!R363),11,""))</f>
      </c>
      <c r="AM363" s="684">
        <f>IF(終値!A363="","",IF(AND(高値!Q363&gt;高値!P363,高値!Q363&gt;高値!O363,高値!Q363&gt;高値!R363,高値!Q363&gt;高値!S363),12,""))</f>
      </c>
      <c r="AN363" s="684">
        <f>IF(終値!A363="","",IF(AND(高値!R363&gt;高値!Q363,高値!R363&gt;高値!P363,高値!R363&gt;高値!S363,高値!R363&gt;高値!T363),13,""))</f>
      </c>
      <c r="AO363" s="684">
        <f>IF(終値!A363="","",IF(AND(高値!S363&gt;高値!R363,高値!S363&gt;高値!Q363,高値!S363&gt;高値!T363,高値!S363&gt;高値!U363),14,""))</f>
      </c>
      <c r="AP363" s="684">
        <f>IF(終値!A363="","",IF(AND(高値!T363&gt;高値!S363,高値!T363&gt;高値!R363,高値!T363&gt;高値!U363,高値!T363&gt;高値!V363),15,""))</f>
      </c>
      <c r="AQ363" s="684">
        <f>IF(終値!A363="","",IF(AND(高値!U363&gt;高値!T363,高値!U363&gt;高値!S363,高値!U363&gt;高値!V363,高値!U363&gt;高値!W363),16,""))</f>
      </c>
      <c r="AR363" s="684">
        <f>IF(終値!A363="","",IF(AND(高値!V363&gt;高値!U363,高値!V363&gt;高値!T363,高値!V363&gt;高値!W363,高値!V363&gt;高値!X363),17,""))</f>
      </c>
      <c r="AS363" s="684">
        <f>IF(終値!A363="","",IF(AND(高値!W363&gt;高値!V363,高値!W363&gt;高値!U363,高値!W363&gt;高値!X363,高値!W363&gt;高値!Y363),18,""))</f>
      </c>
      <c r="AT363" s="684">
        <f>IF(終値!A363="","",IF(AND(高値!X363&gt;高値!W363,高値!X363&gt;高値!V363,高値!X363&gt;高値!Y363,高値!X363&gt;高値!Z363),19,""))</f>
      </c>
      <c r="AU363" s="684">
        <f>IF(終値!A363="","",IF(AND(高値!Y363&gt;高値!X363,高値!Y363&gt;高値!W363,高値!Y363&gt;高値!Z363,高値!Y363&gt;高値!AA363),20,""))</f>
      </c>
      <c r="AV363" s="684">
        <f>IF(終値!A363="","",IF(AND(高値!Z363&gt;高値!Y363,高値!Z363&gt;高値!X363,高値!Z363&gt;高値!AA363,高値!Z363&gt;高値!AB363),21,""))</f>
      </c>
      <c r="AW363" s="684">
        <f>IF(終値!A363="","",IF(AND(高値!AA363&gt;高値!Z363,高値!AA363&gt;高値!Y363,高値!AA363&gt;高値!AB363,高値!AA363&gt;高値!AC363),22,""))</f>
      </c>
      <c r="AX363" s="684">
        <f>IF(終値!A363="","",IF(AND(高値!AB363&gt;高値!AA363,高値!AB363&gt;高値!Z363,高値!AB363&gt;高値!AC363,高値!AB363&gt;高値!AD363),23,""))</f>
      </c>
      <c r="AY363" s="684">
        <f>IF(終値!A363="","",IF(AND(高値!AC363&gt;高値!AB363,高値!AC363&gt;高値!AA363,高値!AC363&gt;高値!AD363,高値!AC363&gt;高値!AE363),24,""))</f>
      </c>
      <c r="AZ363" s="684">
        <f>IF(終値!A363="","",IF(AND(高値!AD363&gt;高値!AC363,高値!AD363&gt;高値!AB363,高値!AD363&gt;高値!AE363,高値!AD363&gt;高値!AF363),25,""))</f>
      </c>
      <c r="BA363" s="684">
        <f>IF(終値!A363="","",IF(AND(高値!AE363&gt;高値!AD363,高値!AE363&gt;高値!AC363,高値!AE363&gt;高値!AF363,高値!AE363&gt;高値!AG363),26,""))</f>
      </c>
      <c r="BB363" s="684">
        <f>IF(終値!A363="","",IF(AND(高値!AF363&gt;高値!AE363,高値!AF363&gt;高値!AD363,高値!AF363&gt;高値!AG363,高値!AF363&gt;高値!AH363),27,""))</f>
      </c>
      <c r="BC363" s="684">
        <f>IF(終値!A363="","",IF(AND(高値!AG363&gt;高値!AF363,高値!AG363&gt;高値!AE363,高値!AG363&gt;高値!AH363,高値!AG363&gt;高値!AI363),28,""))</f>
      </c>
      <c r="BD363" s="684">
        <f>COUNT($B363:$AB363)</f>
      </c>
      <c r="BE363" s="684">
        <f>IF($BD363&gt;=2,MIN($B363:$AB363),"")</f>
      </c>
      <c r="BF363" s="684">
        <f>IF($BD363&gt;=2,SMALL($B363:$AB363,2),"")</f>
      </c>
      <c r="BG363" s="684">
        <f>IF($BE363="","",INDEX(安値!$E363:$CZ363,1,$BE363+1))</f>
      </c>
      <c r="BH363" s="684">
        <f>IF($BF363="","",INDEX(安値!$E363:$CZ363,1,$BF363+1))</f>
      </c>
      <c r="BI363" s="684">
        <f>IF($BF363="","",MAX(INDEX(高値!$E363:$CZ363,1,$BE363+1):INDEX(高値!$E363:$CZ363,1,$BF363+1)))</f>
      </c>
      <c r="BJ363" s="684">
        <f>IF($BF363="","",AVERAGE(INDEX(終値!$E363:$CZ363,1,$BF363+1):INDEX(終値!$E363:$CZ363,1,$BF363+20))-2*STDEVP(INDEX(終値!$E363:$CZ363,1,$BF363+1):INDEX(終値!$E363:$CZ363,1,$BF363+20)))</f>
      </c>
      <c r="BK363" s="684">
        <f>IF($BE363="","",AVERAGE(INDEX(終値!$E363:$CZ363,1,$BE363+1):INDEX(終値!$E363:$CZ363,1,$BE363+20))-2*STDEVP(INDEX(終値!$E363:$CZ363,1,$BE363+1):INDEX(終値!$E363:$CZ363,1,$BE363+20)))</f>
      </c>
      <c r="BL363" s="684">
        <f>COUNT($AC363:$BC363)</f>
      </c>
      <c r="BM363" s="684">
        <f>IF($BL363&gt;=2,MIN($AC363:$BC363),"")</f>
      </c>
      <c r="BN363" s="684">
        <f>IF($BL363&gt;=2,SMALL($AC363:$BC363,2),"")</f>
      </c>
      <c r="BO363" s="684">
        <f>IF($BM363="","",INDEX(高値!$E363:$CZ363,1,$BM363+1))</f>
      </c>
      <c r="BP363" s="684">
        <f>IF($BN363="","",INDEX(高値!$E363:$CZ363,1,$BN363+1))</f>
      </c>
      <c r="BQ363" s="684">
        <f>IF($BN363="","",MIN(INDEX(安値!$E363:$CZ363,1,$BM363+1):INDEX(安値!$E363:$CZ363,1,$BN363+1)))</f>
      </c>
      <c r="BR363" s="684">
        <f>IF($BN363="","",AVERAGE(INDEX(終値!$E363:$CZ363,1,$BN363+1):INDEX(終値!$E363:$CZ363,1,$BN363+20))+2*STDEVP(INDEX(終値!$E363:$CZ363,1,$BN363+1):INDEX(終値!$E363:$CZ363,1,$BN363+20)))</f>
      </c>
      <c r="BS363" s="684">
        <f>IF($BM363="","",AVERAGE(INDEX(終値!$E363:$CZ363,1,$BM363+1):INDEX(終値!$E363:$CZ363,1,$BM363+20))+2*STDEVP(INDEX(終値!$E363:$CZ363,1,$BM363+1):INDEX(終値!$E363:$CZ363,1,$BM363+20)))</f>
      </c>
      <c r="BT363" s="681">
        <f>IFERROR(IF(AND($BD363&gt;=2,ABS($BG363-$BH363)/$BH363&lt;=BB設定!$B$12,$BI363&gt;=MAX($BH363,$BG363)*(1+BB設定!$B$13),終値!E363&gt;$BG363),IF(OR(終値!E363&gt;=$BI363,AND($BH363&lt;$BJ363,$BG363&gt;=$BK363)),"二番底W▲","二番底W形成"),IF(AND($BL363&gt;=2,ABS($BO363-$BP363)/$BP363&lt;=BB設定!$B$12,$BQ363&lt;=MIN($BP363,$BO363)*(1-BB設定!$B$13),終値!E363&lt;$BO363),IF(OR(終値!E363&lt;=$BQ363,AND($BP363&gt;$BR363,$BO363&lt;=$BS363)),"二番天井M▼","二番天井M形成"),"－")),"－")</f>
      </c>
    </row>
    <row r="364">
      <c r="B364" s="684">
        <f>IF(終値!A364="","",IF(AND(安値!G364&lt;安値!F364,安値!G364&lt;安値!E364,安値!G364&lt;安値!H364,安値!G364&lt;安値!I364),2,""))</f>
      </c>
      <c r="C364" s="684">
        <f>IF(終値!A364="","",IF(AND(安値!H364&lt;安値!G364,安値!H364&lt;安値!F364,安値!H364&lt;安値!I364,安値!H364&lt;安値!J364),3,""))</f>
      </c>
      <c r="D364" s="684">
        <f>IF(終値!A364="","",IF(AND(安値!I364&lt;安値!H364,安値!I364&lt;安値!G364,安値!I364&lt;安値!J364,安値!I364&lt;安値!K364),4,""))</f>
      </c>
      <c r="E364" s="684">
        <f>IF(終値!A364="","",IF(AND(安値!J364&lt;安値!I364,安値!J364&lt;安値!H364,安値!J364&lt;安値!K364,安値!J364&lt;安値!L364),5,""))</f>
      </c>
      <c r="F364" s="684">
        <f>IF(終値!A364="","",IF(AND(安値!K364&lt;安値!J364,安値!K364&lt;安値!I364,安値!K364&lt;安値!L364,安値!K364&lt;安値!M364),6,""))</f>
      </c>
      <c r="G364" s="684">
        <f>IF(終値!A364="","",IF(AND(安値!L364&lt;安値!K364,安値!L364&lt;安値!J364,安値!L364&lt;安値!M364,安値!L364&lt;安値!N364),7,""))</f>
      </c>
      <c r="H364" s="684">
        <f>IF(終値!A364="","",IF(AND(安値!M364&lt;安値!L364,安値!M364&lt;安値!K364,安値!M364&lt;安値!N364,安値!M364&lt;安値!O364),8,""))</f>
      </c>
      <c r="I364" s="684">
        <f>IF(終値!A364="","",IF(AND(安値!N364&lt;安値!M364,安値!N364&lt;安値!L364,安値!N364&lt;安値!O364,安値!N364&lt;安値!P364),9,""))</f>
      </c>
      <c r="J364" s="684">
        <f>IF(終値!A364="","",IF(AND(安値!O364&lt;安値!N364,安値!O364&lt;安値!M364,安値!O364&lt;安値!P364,安値!O364&lt;安値!Q364),10,""))</f>
      </c>
      <c r="K364" s="684">
        <f>IF(終値!A364="","",IF(AND(安値!P364&lt;安値!O364,安値!P364&lt;安値!N364,安値!P364&lt;安値!Q364,安値!P364&lt;安値!R364),11,""))</f>
      </c>
      <c r="L364" s="684">
        <f>IF(終値!A364="","",IF(AND(安値!Q364&lt;安値!P364,安値!Q364&lt;安値!O364,安値!Q364&lt;安値!R364,安値!Q364&lt;安値!S364),12,""))</f>
      </c>
      <c r="M364" s="684">
        <f>IF(終値!A364="","",IF(AND(安値!R364&lt;安値!Q364,安値!R364&lt;安値!P364,安値!R364&lt;安値!S364,安値!R364&lt;安値!T364),13,""))</f>
      </c>
      <c r="N364" s="684">
        <f>IF(終値!A364="","",IF(AND(安値!S364&lt;安値!R364,安値!S364&lt;安値!Q364,安値!S364&lt;安値!T364,安値!S364&lt;安値!U364),14,""))</f>
      </c>
      <c r="O364" s="684">
        <f>IF(終値!A364="","",IF(AND(安値!T364&lt;安値!S364,安値!T364&lt;安値!R364,安値!T364&lt;安値!U364,安値!T364&lt;安値!V364),15,""))</f>
      </c>
      <c r="P364" s="684">
        <f>IF(終値!A364="","",IF(AND(安値!U364&lt;安値!T364,安値!U364&lt;安値!S364,安値!U364&lt;安値!V364,安値!U364&lt;安値!W364),16,""))</f>
      </c>
      <c r="Q364" s="684">
        <f>IF(終値!A364="","",IF(AND(安値!V364&lt;安値!U364,安値!V364&lt;安値!T364,安値!V364&lt;安値!W364,安値!V364&lt;安値!X364),17,""))</f>
      </c>
      <c r="R364" s="684">
        <f>IF(終値!A364="","",IF(AND(安値!W364&lt;安値!V364,安値!W364&lt;安値!U364,安値!W364&lt;安値!X364,安値!W364&lt;安値!Y364),18,""))</f>
      </c>
      <c r="S364" s="684">
        <f>IF(終値!A364="","",IF(AND(安値!X364&lt;安値!W364,安値!X364&lt;安値!V364,安値!X364&lt;安値!Y364,安値!X364&lt;安値!Z364),19,""))</f>
      </c>
      <c r="T364" s="684">
        <f>IF(終値!A364="","",IF(AND(安値!Y364&lt;安値!X364,安値!Y364&lt;安値!W364,安値!Y364&lt;安値!Z364,安値!Y364&lt;安値!AA364),20,""))</f>
      </c>
      <c r="U364" s="684">
        <f>IF(終値!A364="","",IF(AND(安値!Z364&lt;安値!Y364,安値!Z364&lt;安値!X364,安値!Z364&lt;安値!AA364,安値!Z364&lt;安値!AB364),21,""))</f>
      </c>
      <c r="V364" s="684">
        <f>IF(終値!A364="","",IF(AND(安値!AA364&lt;安値!Z364,安値!AA364&lt;安値!Y364,安値!AA364&lt;安値!AB364,安値!AA364&lt;安値!AC364),22,""))</f>
      </c>
      <c r="W364" s="684">
        <f>IF(終値!A364="","",IF(AND(安値!AB364&lt;安値!AA364,安値!AB364&lt;安値!Z364,安値!AB364&lt;安値!AC364,安値!AB364&lt;安値!AD364),23,""))</f>
      </c>
      <c r="X364" s="684">
        <f>IF(終値!A364="","",IF(AND(安値!AC364&lt;安値!AB364,安値!AC364&lt;安値!AA364,安値!AC364&lt;安値!AD364,安値!AC364&lt;安値!AE364),24,""))</f>
      </c>
      <c r="Y364" s="684">
        <f>IF(終値!A364="","",IF(AND(安値!AD364&lt;安値!AC364,安値!AD364&lt;安値!AB364,安値!AD364&lt;安値!AE364,安値!AD364&lt;安値!AF364),25,""))</f>
      </c>
      <c r="Z364" s="684">
        <f>IF(終値!A364="","",IF(AND(安値!AE364&lt;安値!AD364,安値!AE364&lt;安値!AC364,安値!AE364&lt;安値!AF364,安値!AE364&lt;安値!AG364),26,""))</f>
      </c>
      <c r="AA364" s="684">
        <f>IF(終値!A364="","",IF(AND(安値!AF364&lt;安値!AE364,安値!AF364&lt;安値!AD364,安値!AF364&lt;安値!AG364,安値!AF364&lt;安値!AH364),27,""))</f>
      </c>
      <c r="AB364" s="684">
        <f>IF(終値!A364="","",IF(AND(安値!AG364&lt;安値!AF364,安値!AG364&lt;安値!AE364,安値!AG364&lt;安値!AH364,安値!AG364&lt;安値!AI364),28,""))</f>
      </c>
      <c r="AC364" s="684">
        <f>IF(終値!A364="","",IF(AND(高値!G364&gt;高値!F364,高値!G364&gt;高値!E364,高値!G364&gt;高値!H364,高値!G364&gt;高値!I364),2,""))</f>
      </c>
      <c r="AD364" s="684">
        <f>IF(終値!A364="","",IF(AND(高値!H364&gt;高値!G364,高値!H364&gt;高値!F364,高値!H364&gt;高値!I364,高値!H364&gt;高値!J364),3,""))</f>
      </c>
      <c r="AE364" s="684">
        <f>IF(終値!A364="","",IF(AND(高値!I364&gt;高値!H364,高値!I364&gt;高値!G364,高値!I364&gt;高値!J364,高値!I364&gt;高値!K364),4,""))</f>
      </c>
      <c r="AF364" s="684">
        <f>IF(終値!A364="","",IF(AND(高値!J364&gt;高値!I364,高値!J364&gt;高値!H364,高値!J364&gt;高値!K364,高値!J364&gt;高値!L364),5,""))</f>
      </c>
      <c r="AG364" s="684">
        <f>IF(終値!A364="","",IF(AND(高値!K364&gt;高値!J364,高値!K364&gt;高値!I364,高値!K364&gt;高値!L364,高値!K364&gt;高値!M364),6,""))</f>
      </c>
      <c r="AH364" s="684">
        <f>IF(終値!A364="","",IF(AND(高値!L364&gt;高値!K364,高値!L364&gt;高値!J364,高値!L364&gt;高値!M364,高値!L364&gt;高値!N364),7,""))</f>
      </c>
      <c r="AI364" s="684">
        <f>IF(終値!A364="","",IF(AND(高値!M364&gt;高値!L364,高値!M364&gt;高値!K364,高値!M364&gt;高値!N364,高値!M364&gt;高値!O364),8,""))</f>
      </c>
      <c r="AJ364" s="684">
        <f>IF(終値!A364="","",IF(AND(高値!N364&gt;高値!M364,高値!N364&gt;高値!L364,高値!N364&gt;高値!O364,高値!N364&gt;高値!P364),9,""))</f>
      </c>
      <c r="AK364" s="684">
        <f>IF(終値!A364="","",IF(AND(高値!O364&gt;高値!N364,高値!O364&gt;高値!M364,高値!O364&gt;高値!P364,高値!O364&gt;高値!Q364),10,""))</f>
      </c>
      <c r="AL364" s="684">
        <f>IF(終値!A364="","",IF(AND(高値!P364&gt;高値!O364,高値!P364&gt;高値!N364,高値!P364&gt;高値!Q364,高値!P364&gt;高値!R364),11,""))</f>
      </c>
      <c r="AM364" s="684">
        <f>IF(終値!A364="","",IF(AND(高値!Q364&gt;高値!P364,高値!Q364&gt;高値!O364,高値!Q364&gt;高値!R364,高値!Q364&gt;高値!S364),12,""))</f>
      </c>
      <c r="AN364" s="684">
        <f>IF(終値!A364="","",IF(AND(高値!R364&gt;高値!Q364,高値!R364&gt;高値!P364,高値!R364&gt;高値!S364,高値!R364&gt;高値!T364),13,""))</f>
      </c>
      <c r="AO364" s="684">
        <f>IF(終値!A364="","",IF(AND(高値!S364&gt;高値!R364,高値!S364&gt;高値!Q364,高値!S364&gt;高値!T364,高値!S364&gt;高値!U364),14,""))</f>
      </c>
      <c r="AP364" s="684">
        <f>IF(終値!A364="","",IF(AND(高値!T364&gt;高値!S364,高値!T364&gt;高値!R364,高値!T364&gt;高値!U364,高値!T364&gt;高値!V364),15,""))</f>
      </c>
      <c r="AQ364" s="684">
        <f>IF(終値!A364="","",IF(AND(高値!U364&gt;高値!T364,高値!U364&gt;高値!S364,高値!U364&gt;高値!V364,高値!U364&gt;高値!W364),16,""))</f>
      </c>
      <c r="AR364" s="684">
        <f>IF(終値!A364="","",IF(AND(高値!V364&gt;高値!U364,高値!V364&gt;高値!T364,高値!V364&gt;高値!W364,高値!V364&gt;高値!X364),17,""))</f>
      </c>
      <c r="AS364" s="684">
        <f>IF(終値!A364="","",IF(AND(高値!W364&gt;高値!V364,高値!W364&gt;高値!U364,高値!W364&gt;高値!X364,高値!W364&gt;高値!Y364),18,""))</f>
      </c>
      <c r="AT364" s="684">
        <f>IF(終値!A364="","",IF(AND(高値!X364&gt;高値!W364,高値!X364&gt;高値!V364,高値!X364&gt;高値!Y364,高値!X364&gt;高値!Z364),19,""))</f>
      </c>
      <c r="AU364" s="684">
        <f>IF(終値!A364="","",IF(AND(高値!Y364&gt;高値!X364,高値!Y364&gt;高値!W364,高値!Y364&gt;高値!Z364,高値!Y364&gt;高値!AA364),20,""))</f>
      </c>
      <c r="AV364" s="684">
        <f>IF(終値!A364="","",IF(AND(高値!Z364&gt;高値!Y364,高値!Z364&gt;高値!X364,高値!Z364&gt;高値!AA364,高値!Z364&gt;高値!AB364),21,""))</f>
      </c>
      <c r="AW364" s="684">
        <f>IF(終値!A364="","",IF(AND(高値!AA364&gt;高値!Z364,高値!AA364&gt;高値!Y364,高値!AA364&gt;高値!AB364,高値!AA364&gt;高値!AC364),22,""))</f>
      </c>
      <c r="AX364" s="684">
        <f>IF(終値!A364="","",IF(AND(高値!AB364&gt;高値!AA364,高値!AB364&gt;高値!Z364,高値!AB364&gt;高値!AC364,高値!AB364&gt;高値!AD364),23,""))</f>
      </c>
      <c r="AY364" s="684">
        <f>IF(終値!A364="","",IF(AND(高値!AC364&gt;高値!AB364,高値!AC364&gt;高値!AA364,高値!AC364&gt;高値!AD364,高値!AC364&gt;高値!AE364),24,""))</f>
      </c>
      <c r="AZ364" s="684">
        <f>IF(終値!A364="","",IF(AND(高値!AD364&gt;高値!AC364,高値!AD364&gt;高値!AB364,高値!AD364&gt;高値!AE364,高値!AD364&gt;高値!AF364),25,""))</f>
      </c>
      <c r="BA364" s="684">
        <f>IF(終値!A364="","",IF(AND(高値!AE364&gt;高値!AD364,高値!AE364&gt;高値!AC364,高値!AE364&gt;高値!AF364,高値!AE364&gt;高値!AG364),26,""))</f>
      </c>
      <c r="BB364" s="684">
        <f>IF(終値!A364="","",IF(AND(高値!AF364&gt;高値!AE364,高値!AF364&gt;高値!AD364,高値!AF364&gt;高値!AG364,高値!AF364&gt;高値!AH364),27,""))</f>
      </c>
      <c r="BC364" s="684">
        <f>IF(終値!A364="","",IF(AND(高値!AG364&gt;高値!AF364,高値!AG364&gt;高値!AE364,高値!AG364&gt;高値!AH364,高値!AG364&gt;高値!AI364),28,""))</f>
      </c>
      <c r="BD364" s="684">
        <f>COUNT($B364:$AB364)</f>
      </c>
      <c r="BE364" s="684">
        <f>IF($BD364&gt;=2,MIN($B364:$AB364),"")</f>
      </c>
      <c r="BF364" s="684">
        <f>IF($BD364&gt;=2,SMALL($B364:$AB364,2),"")</f>
      </c>
      <c r="BG364" s="684">
        <f>IF($BE364="","",INDEX(安値!$E364:$CZ364,1,$BE364+1))</f>
      </c>
      <c r="BH364" s="684">
        <f>IF($BF364="","",INDEX(安値!$E364:$CZ364,1,$BF364+1))</f>
      </c>
      <c r="BI364" s="684">
        <f>IF($BF364="","",MAX(INDEX(高値!$E364:$CZ364,1,$BE364+1):INDEX(高値!$E364:$CZ364,1,$BF364+1)))</f>
      </c>
      <c r="BJ364" s="684">
        <f>IF($BF364="","",AVERAGE(INDEX(終値!$E364:$CZ364,1,$BF364+1):INDEX(終値!$E364:$CZ364,1,$BF364+20))-2*STDEVP(INDEX(終値!$E364:$CZ364,1,$BF364+1):INDEX(終値!$E364:$CZ364,1,$BF364+20)))</f>
      </c>
      <c r="BK364" s="684">
        <f>IF($BE364="","",AVERAGE(INDEX(終値!$E364:$CZ364,1,$BE364+1):INDEX(終値!$E364:$CZ364,1,$BE364+20))-2*STDEVP(INDEX(終値!$E364:$CZ364,1,$BE364+1):INDEX(終値!$E364:$CZ364,1,$BE364+20)))</f>
      </c>
      <c r="BL364" s="684">
        <f>COUNT($AC364:$BC364)</f>
      </c>
      <c r="BM364" s="684">
        <f>IF($BL364&gt;=2,MIN($AC364:$BC364),"")</f>
      </c>
      <c r="BN364" s="684">
        <f>IF($BL364&gt;=2,SMALL($AC364:$BC364,2),"")</f>
      </c>
      <c r="BO364" s="684">
        <f>IF($BM364="","",INDEX(高値!$E364:$CZ364,1,$BM364+1))</f>
      </c>
      <c r="BP364" s="684">
        <f>IF($BN364="","",INDEX(高値!$E364:$CZ364,1,$BN364+1))</f>
      </c>
      <c r="BQ364" s="684">
        <f>IF($BN364="","",MIN(INDEX(安値!$E364:$CZ364,1,$BM364+1):INDEX(安値!$E364:$CZ364,1,$BN364+1)))</f>
      </c>
      <c r="BR364" s="684">
        <f>IF($BN364="","",AVERAGE(INDEX(終値!$E364:$CZ364,1,$BN364+1):INDEX(終値!$E364:$CZ364,1,$BN364+20))+2*STDEVP(INDEX(終値!$E364:$CZ364,1,$BN364+1):INDEX(終値!$E364:$CZ364,1,$BN364+20)))</f>
      </c>
      <c r="BS364" s="684">
        <f>IF($BM364="","",AVERAGE(INDEX(終値!$E364:$CZ364,1,$BM364+1):INDEX(終値!$E364:$CZ364,1,$BM364+20))+2*STDEVP(INDEX(終値!$E364:$CZ364,1,$BM364+1):INDEX(終値!$E364:$CZ364,1,$BM364+20)))</f>
      </c>
      <c r="BT364" s="681">
        <f>IFERROR(IF(AND($BD364&gt;=2,ABS($BG364-$BH364)/$BH364&lt;=BB設定!$B$12,$BI364&gt;=MAX($BH364,$BG364)*(1+BB設定!$B$13),終値!E364&gt;$BG364),IF(OR(終値!E364&gt;=$BI364,AND($BH364&lt;$BJ364,$BG364&gt;=$BK364)),"二番底W▲","二番底W形成"),IF(AND($BL364&gt;=2,ABS($BO364-$BP364)/$BP364&lt;=BB設定!$B$12,$BQ364&lt;=MIN($BP364,$BO364)*(1-BB設定!$B$13),終値!E364&lt;$BO364),IF(OR(終値!E364&lt;=$BQ364,AND($BP364&gt;$BR364,$BO364&lt;=$BS364)),"二番天井M▼","二番天井M形成"),"－")),"－")</f>
      </c>
    </row>
    <row r="365">
      <c r="B365" s="684">
        <f>IF(終値!A365="","",IF(AND(安値!G365&lt;安値!F365,安値!G365&lt;安値!E365,安値!G365&lt;安値!H365,安値!G365&lt;安値!I365),2,""))</f>
      </c>
      <c r="C365" s="684">
        <f>IF(終値!A365="","",IF(AND(安値!H365&lt;安値!G365,安値!H365&lt;安値!F365,安値!H365&lt;安値!I365,安値!H365&lt;安値!J365),3,""))</f>
      </c>
      <c r="D365" s="684">
        <f>IF(終値!A365="","",IF(AND(安値!I365&lt;安値!H365,安値!I365&lt;安値!G365,安値!I365&lt;安値!J365,安値!I365&lt;安値!K365),4,""))</f>
      </c>
      <c r="E365" s="684">
        <f>IF(終値!A365="","",IF(AND(安値!J365&lt;安値!I365,安値!J365&lt;安値!H365,安値!J365&lt;安値!K365,安値!J365&lt;安値!L365),5,""))</f>
      </c>
      <c r="F365" s="684">
        <f>IF(終値!A365="","",IF(AND(安値!K365&lt;安値!J365,安値!K365&lt;安値!I365,安値!K365&lt;安値!L365,安値!K365&lt;安値!M365),6,""))</f>
      </c>
      <c r="G365" s="684">
        <f>IF(終値!A365="","",IF(AND(安値!L365&lt;安値!K365,安値!L365&lt;安値!J365,安値!L365&lt;安値!M365,安値!L365&lt;安値!N365),7,""))</f>
      </c>
      <c r="H365" s="684">
        <f>IF(終値!A365="","",IF(AND(安値!M365&lt;安値!L365,安値!M365&lt;安値!K365,安値!M365&lt;安値!N365,安値!M365&lt;安値!O365),8,""))</f>
      </c>
      <c r="I365" s="684">
        <f>IF(終値!A365="","",IF(AND(安値!N365&lt;安値!M365,安値!N365&lt;安値!L365,安値!N365&lt;安値!O365,安値!N365&lt;安値!P365),9,""))</f>
      </c>
      <c r="J365" s="684">
        <f>IF(終値!A365="","",IF(AND(安値!O365&lt;安値!N365,安値!O365&lt;安値!M365,安値!O365&lt;安値!P365,安値!O365&lt;安値!Q365),10,""))</f>
      </c>
      <c r="K365" s="684">
        <f>IF(終値!A365="","",IF(AND(安値!P365&lt;安値!O365,安値!P365&lt;安値!N365,安値!P365&lt;安値!Q365,安値!P365&lt;安値!R365),11,""))</f>
      </c>
      <c r="L365" s="684">
        <f>IF(終値!A365="","",IF(AND(安値!Q365&lt;安値!P365,安値!Q365&lt;安値!O365,安値!Q365&lt;安値!R365,安値!Q365&lt;安値!S365),12,""))</f>
      </c>
      <c r="M365" s="684">
        <f>IF(終値!A365="","",IF(AND(安値!R365&lt;安値!Q365,安値!R365&lt;安値!P365,安値!R365&lt;安値!S365,安値!R365&lt;安値!T365),13,""))</f>
      </c>
      <c r="N365" s="684">
        <f>IF(終値!A365="","",IF(AND(安値!S365&lt;安値!R365,安値!S365&lt;安値!Q365,安値!S365&lt;安値!T365,安値!S365&lt;安値!U365),14,""))</f>
      </c>
      <c r="O365" s="684">
        <f>IF(終値!A365="","",IF(AND(安値!T365&lt;安値!S365,安値!T365&lt;安値!R365,安値!T365&lt;安値!U365,安値!T365&lt;安値!V365),15,""))</f>
      </c>
      <c r="P365" s="684">
        <f>IF(終値!A365="","",IF(AND(安値!U365&lt;安値!T365,安値!U365&lt;安値!S365,安値!U365&lt;安値!V365,安値!U365&lt;安値!W365),16,""))</f>
      </c>
      <c r="Q365" s="684">
        <f>IF(終値!A365="","",IF(AND(安値!V365&lt;安値!U365,安値!V365&lt;安値!T365,安値!V365&lt;安値!W365,安値!V365&lt;安値!X365),17,""))</f>
      </c>
      <c r="R365" s="684">
        <f>IF(終値!A365="","",IF(AND(安値!W365&lt;安値!V365,安値!W365&lt;安値!U365,安値!W365&lt;安値!X365,安値!W365&lt;安値!Y365),18,""))</f>
      </c>
      <c r="S365" s="684">
        <f>IF(終値!A365="","",IF(AND(安値!X365&lt;安値!W365,安値!X365&lt;安値!V365,安値!X365&lt;安値!Y365,安値!X365&lt;安値!Z365),19,""))</f>
      </c>
      <c r="T365" s="684">
        <f>IF(終値!A365="","",IF(AND(安値!Y365&lt;安値!X365,安値!Y365&lt;安値!W365,安値!Y365&lt;安値!Z365,安値!Y365&lt;安値!AA365),20,""))</f>
      </c>
      <c r="U365" s="684">
        <f>IF(終値!A365="","",IF(AND(安値!Z365&lt;安値!Y365,安値!Z365&lt;安値!X365,安値!Z365&lt;安値!AA365,安値!Z365&lt;安値!AB365),21,""))</f>
      </c>
      <c r="V365" s="684">
        <f>IF(終値!A365="","",IF(AND(安値!AA365&lt;安値!Z365,安値!AA365&lt;安値!Y365,安値!AA365&lt;安値!AB365,安値!AA365&lt;安値!AC365),22,""))</f>
      </c>
      <c r="W365" s="684">
        <f>IF(終値!A365="","",IF(AND(安値!AB365&lt;安値!AA365,安値!AB365&lt;安値!Z365,安値!AB365&lt;安値!AC365,安値!AB365&lt;安値!AD365),23,""))</f>
      </c>
      <c r="X365" s="684">
        <f>IF(終値!A365="","",IF(AND(安値!AC365&lt;安値!AB365,安値!AC365&lt;安値!AA365,安値!AC365&lt;安値!AD365,安値!AC365&lt;安値!AE365),24,""))</f>
      </c>
      <c r="Y365" s="684">
        <f>IF(終値!A365="","",IF(AND(安値!AD365&lt;安値!AC365,安値!AD365&lt;安値!AB365,安値!AD365&lt;安値!AE365,安値!AD365&lt;安値!AF365),25,""))</f>
      </c>
      <c r="Z365" s="684">
        <f>IF(終値!A365="","",IF(AND(安値!AE365&lt;安値!AD365,安値!AE365&lt;安値!AC365,安値!AE365&lt;安値!AF365,安値!AE365&lt;安値!AG365),26,""))</f>
      </c>
      <c r="AA365" s="684">
        <f>IF(終値!A365="","",IF(AND(安値!AF365&lt;安値!AE365,安値!AF365&lt;安値!AD365,安値!AF365&lt;安値!AG365,安値!AF365&lt;安値!AH365),27,""))</f>
      </c>
      <c r="AB365" s="684">
        <f>IF(終値!A365="","",IF(AND(安値!AG365&lt;安値!AF365,安値!AG365&lt;安値!AE365,安値!AG365&lt;安値!AH365,安値!AG365&lt;安値!AI365),28,""))</f>
      </c>
      <c r="AC365" s="684">
        <f>IF(終値!A365="","",IF(AND(高値!G365&gt;高値!F365,高値!G365&gt;高値!E365,高値!G365&gt;高値!H365,高値!G365&gt;高値!I365),2,""))</f>
      </c>
      <c r="AD365" s="684">
        <f>IF(終値!A365="","",IF(AND(高値!H365&gt;高値!G365,高値!H365&gt;高値!F365,高値!H365&gt;高値!I365,高値!H365&gt;高値!J365),3,""))</f>
      </c>
      <c r="AE365" s="684">
        <f>IF(終値!A365="","",IF(AND(高値!I365&gt;高値!H365,高値!I365&gt;高値!G365,高値!I365&gt;高値!J365,高値!I365&gt;高値!K365),4,""))</f>
      </c>
      <c r="AF365" s="684">
        <f>IF(終値!A365="","",IF(AND(高値!J365&gt;高値!I365,高値!J365&gt;高値!H365,高値!J365&gt;高値!K365,高値!J365&gt;高値!L365),5,""))</f>
      </c>
      <c r="AG365" s="684">
        <f>IF(終値!A365="","",IF(AND(高値!K365&gt;高値!J365,高値!K365&gt;高値!I365,高値!K365&gt;高値!L365,高値!K365&gt;高値!M365),6,""))</f>
      </c>
      <c r="AH365" s="684">
        <f>IF(終値!A365="","",IF(AND(高値!L365&gt;高値!K365,高値!L365&gt;高値!J365,高値!L365&gt;高値!M365,高値!L365&gt;高値!N365),7,""))</f>
      </c>
      <c r="AI365" s="684">
        <f>IF(終値!A365="","",IF(AND(高値!M365&gt;高値!L365,高値!M365&gt;高値!K365,高値!M365&gt;高値!N365,高値!M365&gt;高値!O365),8,""))</f>
      </c>
      <c r="AJ365" s="684">
        <f>IF(終値!A365="","",IF(AND(高値!N365&gt;高値!M365,高値!N365&gt;高値!L365,高値!N365&gt;高値!O365,高値!N365&gt;高値!P365),9,""))</f>
      </c>
      <c r="AK365" s="684">
        <f>IF(終値!A365="","",IF(AND(高値!O365&gt;高値!N365,高値!O365&gt;高値!M365,高値!O365&gt;高値!P365,高値!O365&gt;高値!Q365),10,""))</f>
      </c>
      <c r="AL365" s="684">
        <f>IF(終値!A365="","",IF(AND(高値!P365&gt;高値!O365,高値!P365&gt;高値!N365,高値!P365&gt;高値!Q365,高値!P365&gt;高値!R365),11,""))</f>
      </c>
      <c r="AM365" s="684">
        <f>IF(終値!A365="","",IF(AND(高値!Q365&gt;高値!P365,高値!Q365&gt;高値!O365,高値!Q365&gt;高値!R365,高値!Q365&gt;高値!S365),12,""))</f>
      </c>
      <c r="AN365" s="684">
        <f>IF(終値!A365="","",IF(AND(高値!R365&gt;高値!Q365,高値!R365&gt;高値!P365,高値!R365&gt;高値!S365,高値!R365&gt;高値!T365),13,""))</f>
      </c>
      <c r="AO365" s="684">
        <f>IF(終値!A365="","",IF(AND(高値!S365&gt;高値!R365,高値!S365&gt;高値!Q365,高値!S365&gt;高値!T365,高値!S365&gt;高値!U365),14,""))</f>
      </c>
      <c r="AP365" s="684">
        <f>IF(終値!A365="","",IF(AND(高値!T365&gt;高値!S365,高値!T365&gt;高値!R365,高値!T365&gt;高値!U365,高値!T365&gt;高値!V365),15,""))</f>
      </c>
      <c r="AQ365" s="684">
        <f>IF(終値!A365="","",IF(AND(高値!U365&gt;高値!T365,高値!U365&gt;高値!S365,高値!U365&gt;高値!V365,高値!U365&gt;高値!W365),16,""))</f>
      </c>
      <c r="AR365" s="684">
        <f>IF(終値!A365="","",IF(AND(高値!V365&gt;高値!U365,高値!V365&gt;高値!T365,高値!V365&gt;高値!W365,高値!V365&gt;高値!X365),17,""))</f>
      </c>
      <c r="AS365" s="684">
        <f>IF(終値!A365="","",IF(AND(高値!W365&gt;高値!V365,高値!W365&gt;高値!U365,高値!W365&gt;高値!X365,高値!W365&gt;高値!Y365),18,""))</f>
      </c>
      <c r="AT365" s="684">
        <f>IF(終値!A365="","",IF(AND(高値!X365&gt;高値!W365,高値!X365&gt;高値!V365,高値!X365&gt;高値!Y365,高値!X365&gt;高値!Z365),19,""))</f>
      </c>
      <c r="AU365" s="684">
        <f>IF(終値!A365="","",IF(AND(高値!Y365&gt;高値!X365,高値!Y365&gt;高値!W365,高値!Y365&gt;高値!Z365,高値!Y365&gt;高値!AA365),20,""))</f>
      </c>
      <c r="AV365" s="684">
        <f>IF(終値!A365="","",IF(AND(高値!Z365&gt;高値!Y365,高値!Z365&gt;高値!X365,高値!Z365&gt;高値!AA365,高値!Z365&gt;高値!AB365),21,""))</f>
      </c>
      <c r="AW365" s="684">
        <f>IF(終値!A365="","",IF(AND(高値!AA365&gt;高値!Z365,高値!AA365&gt;高値!Y365,高値!AA365&gt;高値!AB365,高値!AA365&gt;高値!AC365),22,""))</f>
      </c>
      <c r="AX365" s="684">
        <f>IF(終値!A365="","",IF(AND(高値!AB365&gt;高値!AA365,高値!AB365&gt;高値!Z365,高値!AB365&gt;高値!AC365,高値!AB365&gt;高値!AD365),23,""))</f>
      </c>
      <c r="AY365" s="684">
        <f>IF(終値!A365="","",IF(AND(高値!AC365&gt;高値!AB365,高値!AC365&gt;高値!AA365,高値!AC365&gt;高値!AD365,高値!AC365&gt;高値!AE365),24,""))</f>
      </c>
      <c r="AZ365" s="684">
        <f>IF(終値!A365="","",IF(AND(高値!AD365&gt;高値!AC365,高値!AD365&gt;高値!AB365,高値!AD365&gt;高値!AE365,高値!AD365&gt;高値!AF365),25,""))</f>
      </c>
      <c r="BA365" s="684">
        <f>IF(終値!A365="","",IF(AND(高値!AE365&gt;高値!AD365,高値!AE365&gt;高値!AC365,高値!AE365&gt;高値!AF365,高値!AE365&gt;高値!AG365),26,""))</f>
      </c>
      <c r="BB365" s="684">
        <f>IF(終値!A365="","",IF(AND(高値!AF365&gt;高値!AE365,高値!AF365&gt;高値!AD365,高値!AF365&gt;高値!AG365,高値!AF365&gt;高値!AH365),27,""))</f>
      </c>
      <c r="BC365" s="684">
        <f>IF(終値!A365="","",IF(AND(高値!AG365&gt;高値!AF365,高値!AG365&gt;高値!AE365,高値!AG365&gt;高値!AH365,高値!AG365&gt;高値!AI365),28,""))</f>
      </c>
      <c r="BD365" s="684">
        <f>COUNT($B365:$AB365)</f>
      </c>
      <c r="BE365" s="684">
        <f>IF($BD365&gt;=2,MIN($B365:$AB365),"")</f>
      </c>
      <c r="BF365" s="684">
        <f>IF($BD365&gt;=2,SMALL($B365:$AB365,2),"")</f>
      </c>
      <c r="BG365" s="684">
        <f>IF($BE365="","",INDEX(安値!$E365:$CZ365,1,$BE365+1))</f>
      </c>
      <c r="BH365" s="684">
        <f>IF($BF365="","",INDEX(安値!$E365:$CZ365,1,$BF365+1))</f>
      </c>
      <c r="BI365" s="684">
        <f>IF($BF365="","",MAX(INDEX(高値!$E365:$CZ365,1,$BE365+1):INDEX(高値!$E365:$CZ365,1,$BF365+1)))</f>
      </c>
      <c r="BJ365" s="684">
        <f>IF($BF365="","",AVERAGE(INDEX(終値!$E365:$CZ365,1,$BF365+1):INDEX(終値!$E365:$CZ365,1,$BF365+20))-2*STDEVP(INDEX(終値!$E365:$CZ365,1,$BF365+1):INDEX(終値!$E365:$CZ365,1,$BF365+20)))</f>
      </c>
      <c r="BK365" s="684">
        <f>IF($BE365="","",AVERAGE(INDEX(終値!$E365:$CZ365,1,$BE365+1):INDEX(終値!$E365:$CZ365,1,$BE365+20))-2*STDEVP(INDEX(終値!$E365:$CZ365,1,$BE365+1):INDEX(終値!$E365:$CZ365,1,$BE365+20)))</f>
      </c>
      <c r="BL365" s="684">
        <f>COUNT($AC365:$BC365)</f>
      </c>
      <c r="BM365" s="684">
        <f>IF($BL365&gt;=2,MIN($AC365:$BC365),"")</f>
      </c>
      <c r="BN365" s="684">
        <f>IF($BL365&gt;=2,SMALL($AC365:$BC365,2),"")</f>
      </c>
      <c r="BO365" s="684">
        <f>IF($BM365="","",INDEX(高値!$E365:$CZ365,1,$BM365+1))</f>
      </c>
      <c r="BP365" s="684">
        <f>IF($BN365="","",INDEX(高値!$E365:$CZ365,1,$BN365+1))</f>
      </c>
      <c r="BQ365" s="684">
        <f>IF($BN365="","",MIN(INDEX(安値!$E365:$CZ365,1,$BM365+1):INDEX(安値!$E365:$CZ365,1,$BN365+1)))</f>
      </c>
      <c r="BR365" s="684">
        <f>IF($BN365="","",AVERAGE(INDEX(終値!$E365:$CZ365,1,$BN365+1):INDEX(終値!$E365:$CZ365,1,$BN365+20))+2*STDEVP(INDEX(終値!$E365:$CZ365,1,$BN365+1):INDEX(終値!$E365:$CZ365,1,$BN365+20)))</f>
      </c>
      <c r="BS365" s="684">
        <f>IF($BM365="","",AVERAGE(INDEX(終値!$E365:$CZ365,1,$BM365+1):INDEX(終値!$E365:$CZ365,1,$BM365+20))+2*STDEVP(INDEX(終値!$E365:$CZ365,1,$BM365+1):INDEX(終値!$E365:$CZ365,1,$BM365+20)))</f>
      </c>
      <c r="BT365" s="681">
        <f>IFERROR(IF(AND($BD365&gt;=2,ABS($BG365-$BH365)/$BH365&lt;=BB設定!$B$12,$BI365&gt;=MAX($BH365,$BG365)*(1+BB設定!$B$13),終値!E365&gt;$BG365),IF(OR(終値!E365&gt;=$BI365,AND($BH365&lt;$BJ365,$BG365&gt;=$BK365)),"二番底W▲","二番底W形成"),IF(AND($BL365&gt;=2,ABS($BO365-$BP365)/$BP365&lt;=BB設定!$B$12,$BQ365&lt;=MIN($BP365,$BO365)*(1-BB設定!$B$13),終値!E365&lt;$BO365),IF(OR(終値!E365&lt;=$BQ365,AND($BP365&gt;$BR365,$BO365&lt;=$BS365)),"二番天井M▼","二番天井M形成"),"－")),"－")</f>
      </c>
    </row>
    <row r="366">
      <c r="B366" s="684">
        <f>IF(終値!A366="","",IF(AND(安値!G366&lt;安値!F366,安値!G366&lt;安値!E366,安値!G366&lt;安値!H366,安値!G366&lt;安値!I366),2,""))</f>
      </c>
      <c r="C366" s="684">
        <f>IF(終値!A366="","",IF(AND(安値!H366&lt;安値!G366,安値!H366&lt;安値!F366,安値!H366&lt;安値!I366,安値!H366&lt;安値!J366),3,""))</f>
      </c>
      <c r="D366" s="684">
        <f>IF(終値!A366="","",IF(AND(安値!I366&lt;安値!H366,安値!I366&lt;安値!G366,安値!I366&lt;安値!J366,安値!I366&lt;安値!K366),4,""))</f>
      </c>
      <c r="E366" s="684">
        <f>IF(終値!A366="","",IF(AND(安値!J366&lt;安値!I366,安値!J366&lt;安値!H366,安値!J366&lt;安値!K366,安値!J366&lt;安値!L366),5,""))</f>
      </c>
      <c r="F366" s="684">
        <f>IF(終値!A366="","",IF(AND(安値!K366&lt;安値!J366,安値!K366&lt;安値!I366,安値!K366&lt;安値!L366,安値!K366&lt;安値!M366),6,""))</f>
      </c>
      <c r="G366" s="684">
        <f>IF(終値!A366="","",IF(AND(安値!L366&lt;安値!K366,安値!L366&lt;安値!J366,安値!L366&lt;安値!M366,安値!L366&lt;安値!N366),7,""))</f>
      </c>
      <c r="H366" s="684">
        <f>IF(終値!A366="","",IF(AND(安値!M366&lt;安値!L366,安値!M366&lt;安値!K366,安値!M366&lt;安値!N366,安値!M366&lt;安値!O366),8,""))</f>
      </c>
      <c r="I366" s="684">
        <f>IF(終値!A366="","",IF(AND(安値!N366&lt;安値!M366,安値!N366&lt;安値!L366,安値!N366&lt;安値!O366,安値!N366&lt;安値!P366),9,""))</f>
      </c>
      <c r="J366" s="684">
        <f>IF(終値!A366="","",IF(AND(安値!O366&lt;安値!N366,安値!O366&lt;安値!M366,安値!O366&lt;安値!P366,安値!O366&lt;安値!Q366),10,""))</f>
      </c>
      <c r="K366" s="684">
        <f>IF(終値!A366="","",IF(AND(安値!P366&lt;安値!O366,安値!P366&lt;安値!N366,安値!P366&lt;安値!Q366,安値!P366&lt;安値!R366),11,""))</f>
      </c>
      <c r="L366" s="684">
        <f>IF(終値!A366="","",IF(AND(安値!Q366&lt;安値!P366,安値!Q366&lt;安値!O366,安値!Q366&lt;安値!R366,安値!Q366&lt;安値!S366),12,""))</f>
      </c>
      <c r="M366" s="684">
        <f>IF(終値!A366="","",IF(AND(安値!R366&lt;安値!Q366,安値!R366&lt;安値!P366,安値!R366&lt;安値!S366,安値!R366&lt;安値!T366),13,""))</f>
      </c>
      <c r="N366" s="684">
        <f>IF(終値!A366="","",IF(AND(安値!S366&lt;安値!R366,安値!S366&lt;安値!Q366,安値!S366&lt;安値!T366,安値!S366&lt;安値!U366),14,""))</f>
      </c>
      <c r="O366" s="684">
        <f>IF(終値!A366="","",IF(AND(安値!T366&lt;安値!S366,安値!T366&lt;安値!R366,安値!T366&lt;安値!U366,安値!T366&lt;安値!V366),15,""))</f>
      </c>
      <c r="P366" s="684">
        <f>IF(終値!A366="","",IF(AND(安値!U366&lt;安値!T366,安値!U366&lt;安値!S366,安値!U366&lt;安値!V366,安値!U366&lt;安値!W366),16,""))</f>
      </c>
      <c r="Q366" s="684">
        <f>IF(終値!A366="","",IF(AND(安値!V366&lt;安値!U366,安値!V366&lt;安値!T366,安値!V366&lt;安値!W366,安値!V366&lt;安値!X366),17,""))</f>
      </c>
      <c r="R366" s="684">
        <f>IF(終値!A366="","",IF(AND(安値!W366&lt;安値!V366,安値!W366&lt;安値!U366,安値!W366&lt;安値!X366,安値!W366&lt;安値!Y366),18,""))</f>
      </c>
      <c r="S366" s="684">
        <f>IF(終値!A366="","",IF(AND(安値!X366&lt;安値!W366,安値!X366&lt;安値!V366,安値!X366&lt;安値!Y366,安値!X366&lt;安値!Z366),19,""))</f>
      </c>
      <c r="T366" s="684">
        <f>IF(終値!A366="","",IF(AND(安値!Y366&lt;安値!X366,安値!Y366&lt;安値!W366,安値!Y366&lt;安値!Z366,安値!Y366&lt;安値!AA366),20,""))</f>
      </c>
      <c r="U366" s="684">
        <f>IF(終値!A366="","",IF(AND(安値!Z366&lt;安値!Y366,安値!Z366&lt;安値!X366,安値!Z366&lt;安値!AA366,安値!Z366&lt;安値!AB366),21,""))</f>
      </c>
      <c r="V366" s="684">
        <f>IF(終値!A366="","",IF(AND(安値!AA366&lt;安値!Z366,安値!AA366&lt;安値!Y366,安値!AA366&lt;安値!AB366,安値!AA366&lt;安値!AC366),22,""))</f>
      </c>
      <c r="W366" s="684">
        <f>IF(終値!A366="","",IF(AND(安値!AB366&lt;安値!AA366,安値!AB366&lt;安値!Z366,安値!AB366&lt;安値!AC366,安値!AB366&lt;安値!AD366),23,""))</f>
      </c>
      <c r="X366" s="684">
        <f>IF(終値!A366="","",IF(AND(安値!AC366&lt;安値!AB366,安値!AC366&lt;安値!AA366,安値!AC366&lt;安値!AD366,安値!AC366&lt;安値!AE366),24,""))</f>
      </c>
      <c r="Y366" s="684">
        <f>IF(終値!A366="","",IF(AND(安値!AD366&lt;安値!AC366,安値!AD366&lt;安値!AB366,安値!AD366&lt;安値!AE366,安値!AD366&lt;安値!AF366),25,""))</f>
      </c>
      <c r="Z366" s="684">
        <f>IF(終値!A366="","",IF(AND(安値!AE366&lt;安値!AD366,安値!AE366&lt;安値!AC366,安値!AE366&lt;安値!AF366,安値!AE366&lt;安値!AG366),26,""))</f>
      </c>
      <c r="AA366" s="684">
        <f>IF(終値!A366="","",IF(AND(安値!AF366&lt;安値!AE366,安値!AF366&lt;安値!AD366,安値!AF366&lt;安値!AG366,安値!AF366&lt;安値!AH366),27,""))</f>
      </c>
      <c r="AB366" s="684">
        <f>IF(終値!A366="","",IF(AND(安値!AG366&lt;安値!AF366,安値!AG366&lt;安値!AE366,安値!AG366&lt;安値!AH366,安値!AG366&lt;安値!AI366),28,""))</f>
      </c>
      <c r="AC366" s="684">
        <f>IF(終値!A366="","",IF(AND(高値!G366&gt;高値!F366,高値!G366&gt;高値!E366,高値!G366&gt;高値!H366,高値!G366&gt;高値!I366),2,""))</f>
      </c>
      <c r="AD366" s="684">
        <f>IF(終値!A366="","",IF(AND(高値!H366&gt;高値!G366,高値!H366&gt;高値!F366,高値!H366&gt;高値!I366,高値!H366&gt;高値!J366),3,""))</f>
      </c>
      <c r="AE366" s="684">
        <f>IF(終値!A366="","",IF(AND(高値!I366&gt;高値!H366,高値!I366&gt;高値!G366,高値!I366&gt;高値!J366,高値!I366&gt;高値!K366),4,""))</f>
      </c>
      <c r="AF366" s="684">
        <f>IF(終値!A366="","",IF(AND(高値!J366&gt;高値!I366,高値!J366&gt;高値!H366,高値!J366&gt;高値!K366,高値!J366&gt;高値!L366),5,""))</f>
      </c>
      <c r="AG366" s="684">
        <f>IF(終値!A366="","",IF(AND(高値!K366&gt;高値!J366,高値!K366&gt;高値!I366,高値!K366&gt;高値!L366,高値!K366&gt;高値!M366),6,""))</f>
      </c>
      <c r="AH366" s="684">
        <f>IF(終値!A366="","",IF(AND(高値!L366&gt;高値!K366,高値!L366&gt;高値!J366,高値!L366&gt;高値!M366,高値!L366&gt;高値!N366),7,""))</f>
      </c>
      <c r="AI366" s="684">
        <f>IF(終値!A366="","",IF(AND(高値!M366&gt;高値!L366,高値!M366&gt;高値!K366,高値!M366&gt;高値!N366,高値!M366&gt;高値!O366),8,""))</f>
      </c>
      <c r="AJ366" s="684">
        <f>IF(終値!A366="","",IF(AND(高値!N366&gt;高値!M366,高値!N366&gt;高値!L366,高値!N366&gt;高値!O366,高値!N366&gt;高値!P366),9,""))</f>
      </c>
      <c r="AK366" s="684">
        <f>IF(終値!A366="","",IF(AND(高値!O366&gt;高値!N366,高値!O366&gt;高値!M366,高値!O366&gt;高値!P366,高値!O366&gt;高値!Q366),10,""))</f>
      </c>
      <c r="AL366" s="684">
        <f>IF(終値!A366="","",IF(AND(高値!P366&gt;高値!O366,高値!P366&gt;高値!N366,高値!P366&gt;高値!Q366,高値!P366&gt;高値!R366),11,""))</f>
      </c>
      <c r="AM366" s="684">
        <f>IF(終値!A366="","",IF(AND(高値!Q366&gt;高値!P366,高値!Q366&gt;高値!O366,高値!Q366&gt;高値!R366,高値!Q366&gt;高値!S366),12,""))</f>
      </c>
      <c r="AN366" s="684">
        <f>IF(終値!A366="","",IF(AND(高値!R366&gt;高値!Q366,高値!R366&gt;高値!P366,高値!R366&gt;高値!S366,高値!R366&gt;高値!T366),13,""))</f>
      </c>
      <c r="AO366" s="684">
        <f>IF(終値!A366="","",IF(AND(高値!S366&gt;高値!R366,高値!S366&gt;高値!Q366,高値!S366&gt;高値!T366,高値!S366&gt;高値!U366),14,""))</f>
      </c>
      <c r="AP366" s="684">
        <f>IF(終値!A366="","",IF(AND(高値!T366&gt;高値!S366,高値!T366&gt;高値!R366,高値!T366&gt;高値!U366,高値!T366&gt;高値!V366),15,""))</f>
      </c>
      <c r="AQ366" s="684">
        <f>IF(終値!A366="","",IF(AND(高値!U366&gt;高値!T366,高値!U366&gt;高値!S366,高値!U366&gt;高値!V366,高値!U366&gt;高値!W366),16,""))</f>
      </c>
      <c r="AR366" s="684">
        <f>IF(終値!A366="","",IF(AND(高値!V366&gt;高値!U366,高値!V366&gt;高値!T366,高値!V366&gt;高値!W366,高値!V366&gt;高値!X366),17,""))</f>
      </c>
      <c r="AS366" s="684">
        <f>IF(終値!A366="","",IF(AND(高値!W366&gt;高値!V366,高値!W366&gt;高値!U366,高値!W366&gt;高値!X366,高値!W366&gt;高値!Y366),18,""))</f>
      </c>
      <c r="AT366" s="684">
        <f>IF(終値!A366="","",IF(AND(高値!X366&gt;高値!W366,高値!X366&gt;高値!V366,高値!X366&gt;高値!Y366,高値!X366&gt;高値!Z366),19,""))</f>
      </c>
      <c r="AU366" s="684">
        <f>IF(終値!A366="","",IF(AND(高値!Y366&gt;高値!X366,高値!Y366&gt;高値!W366,高値!Y366&gt;高値!Z366,高値!Y366&gt;高値!AA366),20,""))</f>
      </c>
      <c r="AV366" s="684">
        <f>IF(終値!A366="","",IF(AND(高値!Z366&gt;高値!Y366,高値!Z366&gt;高値!X366,高値!Z366&gt;高値!AA366,高値!Z366&gt;高値!AB366),21,""))</f>
      </c>
      <c r="AW366" s="684">
        <f>IF(終値!A366="","",IF(AND(高値!AA366&gt;高値!Z366,高値!AA366&gt;高値!Y366,高値!AA366&gt;高値!AB366,高値!AA366&gt;高値!AC366),22,""))</f>
      </c>
      <c r="AX366" s="684">
        <f>IF(終値!A366="","",IF(AND(高値!AB366&gt;高値!AA366,高値!AB366&gt;高値!Z366,高値!AB366&gt;高値!AC366,高値!AB366&gt;高値!AD366),23,""))</f>
      </c>
      <c r="AY366" s="684">
        <f>IF(終値!A366="","",IF(AND(高値!AC366&gt;高値!AB366,高値!AC366&gt;高値!AA366,高値!AC366&gt;高値!AD366,高値!AC366&gt;高値!AE366),24,""))</f>
      </c>
      <c r="AZ366" s="684">
        <f>IF(終値!A366="","",IF(AND(高値!AD366&gt;高値!AC366,高値!AD366&gt;高値!AB366,高値!AD366&gt;高値!AE366,高値!AD366&gt;高値!AF366),25,""))</f>
      </c>
      <c r="BA366" s="684">
        <f>IF(終値!A366="","",IF(AND(高値!AE366&gt;高値!AD366,高値!AE366&gt;高値!AC366,高値!AE366&gt;高値!AF366,高値!AE366&gt;高値!AG366),26,""))</f>
      </c>
      <c r="BB366" s="684">
        <f>IF(終値!A366="","",IF(AND(高値!AF366&gt;高値!AE366,高値!AF366&gt;高値!AD366,高値!AF366&gt;高値!AG366,高値!AF366&gt;高値!AH366),27,""))</f>
      </c>
      <c r="BC366" s="684">
        <f>IF(終値!A366="","",IF(AND(高値!AG366&gt;高値!AF366,高値!AG366&gt;高値!AE366,高値!AG366&gt;高値!AH366,高値!AG366&gt;高値!AI366),28,""))</f>
      </c>
      <c r="BD366" s="684">
        <f>COUNT($B366:$AB366)</f>
      </c>
      <c r="BE366" s="684">
        <f>IF($BD366&gt;=2,MIN($B366:$AB366),"")</f>
      </c>
      <c r="BF366" s="684">
        <f>IF($BD366&gt;=2,SMALL($B366:$AB366,2),"")</f>
      </c>
      <c r="BG366" s="684">
        <f>IF($BE366="","",INDEX(安値!$E366:$CZ366,1,$BE366+1))</f>
      </c>
      <c r="BH366" s="684">
        <f>IF($BF366="","",INDEX(安値!$E366:$CZ366,1,$BF366+1))</f>
      </c>
      <c r="BI366" s="684">
        <f>IF($BF366="","",MAX(INDEX(高値!$E366:$CZ366,1,$BE366+1):INDEX(高値!$E366:$CZ366,1,$BF366+1)))</f>
      </c>
      <c r="BJ366" s="684">
        <f>IF($BF366="","",AVERAGE(INDEX(終値!$E366:$CZ366,1,$BF366+1):INDEX(終値!$E366:$CZ366,1,$BF366+20))-2*STDEVP(INDEX(終値!$E366:$CZ366,1,$BF366+1):INDEX(終値!$E366:$CZ366,1,$BF366+20)))</f>
      </c>
      <c r="BK366" s="684">
        <f>IF($BE366="","",AVERAGE(INDEX(終値!$E366:$CZ366,1,$BE366+1):INDEX(終値!$E366:$CZ366,1,$BE366+20))-2*STDEVP(INDEX(終値!$E366:$CZ366,1,$BE366+1):INDEX(終値!$E366:$CZ366,1,$BE366+20)))</f>
      </c>
      <c r="BL366" s="684">
        <f>COUNT($AC366:$BC366)</f>
      </c>
      <c r="BM366" s="684">
        <f>IF($BL366&gt;=2,MIN($AC366:$BC366),"")</f>
      </c>
      <c r="BN366" s="684">
        <f>IF($BL366&gt;=2,SMALL($AC366:$BC366,2),"")</f>
      </c>
      <c r="BO366" s="684">
        <f>IF($BM366="","",INDEX(高値!$E366:$CZ366,1,$BM366+1))</f>
      </c>
      <c r="BP366" s="684">
        <f>IF($BN366="","",INDEX(高値!$E366:$CZ366,1,$BN366+1))</f>
      </c>
      <c r="BQ366" s="684">
        <f>IF($BN366="","",MIN(INDEX(安値!$E366:$CZ366,1,$BM366+1):INDEX(安値!$E366:$CZ366,1,$BN366+1)))</f>
      </c>
      <c r="BR366" s="684">
        <f>IF($BN366="","",AVERAGE(INDEX(終値!$E366:$CZ366,1,$BN366+1):INDEX(終値!$E366:$CZ366,1,$BN366+20))+2*STDEVP(INDEX(終値!$E366:$CZ366,1,$BN366+1):INDEX(終値!$E366:$CZ366,1,$BN366+20)))</f>
      </c>
      <c r="BS366" s="684">
        <f>IF($BM366="","",AVERAGE(INDEX(終値!$E366:$CZ366,1,$BM366+1):INDEX(終値!$E366:$CZ366,1,$BM366+20))+2*STDEVP(INDEX(終値!$E366:$CZ366,1,$BM366+1):INDEX(終値!$E366:$CZ366,1,$BM366+20)))</f>
      </c>
      <c r="BT366" s="681">
        <f>IFERROR(IF(AND($BD366&gt;=2,ABS($BG366-$BH366)/$BH366&lt;=BB設定!$B$12,$BI366&gt;=MAX($BH366,$BG366)*(1+BB設定!$B$13),終値!E366&gt;$BG366),IF(OR(終値!E366&gt;=$BI366,AND($BH366&lt;$BJ366,$BG366&gt;=$BK366)),"二番底W▲","二番底W形成"),IF(AND($BL366&gt;=2,ABS($BO366-$BP366)/$BP366&lt;=BB設定!$B$12,$BQ366&lt;=MIN($BP366,$BO366)*(1-BB設定!$B$13),終値!E366&lt;$BO366),IF(OR(終値!E366&lt;=$BQ366,AND($BP366&gt;$BR366,$BO366&lt;=$BS366)),"二番天井M▼","二番天井M形成"),"－")),"－")</f>
      </c>
    </row>
    <row r="367">
      <c r="B367" s="684">
        <f>IF(終値!A367="","",IF(AND(安値!G367&lt;安値!F367,安値!G367&lt;安値!E367,安値!G367&lt;安値!H367,安値!G367&lt;安値!I367),2,""))</f>
      </c>
      <c r="C367" s="684">
        <f>IF(終値!A367="","",IF(AND(安値!H367&lt;安値!G367,安値!H367&lt;安値!F367,安値!H367&lt;安値!I367,安値!H367&lt;安値!J367),3,""))</f>
      </c>
      <c r="D367" s="684">
        <f>IF(終値!A367="","",IF(AND(安値!I367&lt;安値!H367,安値!I367&lt;安値!G367,安値!I367&lt;安値!J367,安値!I367&lt;安値!K367),4,""))</f>
      </c>
      <c r="E367" s="684">
        <f>IF(終値!A367="","",IF(AND(安値!J367&lt;安値!I367,安値!J367&lt;安値!H367,安値!J367&lt;安値!K367,安値!J367&lt;安値!L367),5,""))</f>
      </c>
      <c r="F367" s="684">
        <f>IF(終値!A367="","",IF(AND(安値!K367&lt;安値!J367,安値!K367&lt;安値!I367,安値!K367&lt;安値!L367,安値!K367&lt;安値!M367),6,""))</f>
      </c>
      <c r="G367" s="684">
        <f>IF(終値!A367="","",IF(AND(安値!L367&lt;安値!K367,安値!L367&lt;安値!J367,安値!L367&lt;安値!M367,安値!L367&lt;安値!N367),7,""))</f>
      </c>
      <c r="H367" s="684">
        <f>IF(終値!A367="","",IF(AND(安値!M367&lt;安値!L367,安値!M367&lt;安値!K367,安値!M367&lt;安値!N367,安値!M367&lt;安値!O367),8,""))</f>
      </c>
      <c r="I367" s="684">
        <f>IF(終値!A367="","",IF(AND(安値!N367&lt;安値!M367,安値!N367&lt;安値!L367,安値!N367&lt;安値!O367,安値!N367&lt;安値!P367),9,""))</f>
      </c>
      <c r="J367" s="684">
        <f>IF(終値!A367="","",IF(AND(安値!O367&lt;安値!N367,安値!O367&lt;安値!M367,安値!O367&lt;安値!P367,安値!O367&lt;安値!Q367),10,""))</f>
      </c>
      <c r="K367" s="684">
        <f>IF(終値!A367="","",IF(AND(安値!P367&lt;安値!O367,安値!P367&lt;安値!N367,安値!P367&lt;安値!Q367,安値!P367&lt;安値!R367),11,""))</f>
      </c>
      <c r="L367" s="684">
        <f>IF(終値!A367="","",IF(AND(安値!Q367&lt;安値!P367,安値!Q367&lt;安値!O367,安値!Q367&lt;安値!R367,安値!Q367&lt;安値!S367),12,""))</f>
      </c>
      <c r="M367" s="684">
        <f>IF(終値!A367="","",IF(AND(安値!R367&lt;安値!Q367,安値!R367&lt;安値!P367,安値!R367&lt;安値!S367,安値!R367&lt;安値!T367),13,""))</f>
      </c>
      <c r="N367" s="684">
        <f>IF(終値!A367="","",IF(AND(安値!S367&lt;安値!R367,安値!S367&lt;安値!Q367,安値!S367&lt;安値!T367,安値!S367&lt;安値!U367),14,""))</f>
      </c>
      <c r="O367" s="684">
        <f>IF(終値!A367="","",IF(AND(安値!T367&lt;安値!S367,安値!T367&lt;安値!R367,安値!T367&lt;安値!U367,安値!T367&lt;安値!V367),15,""))</f>
      </c>
      <c r="P367" s="684">
        <f>IF(終値!A367="","",IF(AND(安値!U367&lt;安値!T367,安値!U367&lt;安値!S367,安値!U367&lt;安値!V367,安値!U367&lt;安値!W367),16,""))</f>
      </c>
      <c r="Q367" s="684">
        <f>IF(終値!A367="","",IF(AND(安値!V367&lt;安値!U367,安値!V367&lt;安値!T367,安値!V367&lt;安値!W367,安値!V367&lt;安値!X367),17,""))</f>
      </c>
      <c r="R367" s="684">
        <f>IF(終値!A367="","",IF(AND(安値!W367&lt;安値!V367,安値!W367&lt;安値!U367,安値!W367&lt;安値!X367,安値!W367&lt;安値!Y367),18,""))</f>
      </c>
      <c r="S367" s="684">
        <f>IF(終値!A367="","",IF(AND(安値!X367&lt;安値!W367,安値!X367&lt;安値!V367,安値!X367&lt;安値!Y367,安値!X367&lt;安値!Z367),19,""))</f>
      </c>
      <c r="T367" s="684">
        <f>IF(終値!A367="","",IF(AND(安値!Y367&lt;安値!X367,安値!Y367&lt;安値!W367,安値!Y367&lt;安値!Z367,安値!Y367&lt;安値!AA367),20,""))</f>
      </c>
      <c r="U367" s="684">
        <f>IF(終値!A367="","",IF(AND(安値!Z367&lt;安値!Y367,安値!Z367&lt;安値!X367,安値!Z367&lt;安値!AA367,安値!Z367&lt;安値!AB367),21,""))</f>
      </c>
      <c r="V367" s="684">
        <f>IF(終値!A367="","",IF(AND(安値!AA367&lt;安値!Z367,安値!AA367&lt;安値!Y367,安値!AA367&lt;安値!AB367,安値!AA367&lt;安値!AC367),22,""))</f>
      </c>
      <c r="W367" s="684">
        <f>IF(終値!A367="","",IF(AND(安値!AB367&lt;安値!AA367,安値!AB367&lt;安値!Z367,安値!AB367&lt;安値!AC367,安値!AB367&lt;安値!AD367),23,""))</f>
      </c>
      <c r="X367" s="684">
        <f>IF(終値!A367="","",IF(AND(安値!AC367&lt;安値!AB367,安値!AC367&lt;安値!AA367,安値!AC367&lt;安値!AD367,安値!AC367&lt;安値!AE367),24,""))</f>
      </c>
      <c r="Y367" s="684">
        <f>IF(終値!A367="","",IF(AND(安値!AD367&lt;安値!AC367,安値!AD367&lt;安値!AB367,安値!AD367&lt;安値!AE367,安値!AD367&lt;安値!AF367),25,""))</f>
      </c>
      <c r="Z367" s="684">
        <f>IF(終値!A367="","",IF(AND(安値!AE367&lt;安値!AD367,安値!AE367&lt;安値!AC367,安値!AE367&lt;安値!AF367,安値!AE367&lt;安値!AG367),26,""))</f>
      </c>
      <c r="AA367" s="684">
        <f>IF(終値!A367="","",IF(AND(安値!AF367&lt;安値!AE367,安値!AF367&lt;安値!AD367,安値!AF367&lt;安値!AG367,安値!AF367&lt;安値!AH367),27,""))</f>
      </c>
      <c r="AB367" s="684">
        <f>IF(終値!A367="","",IF(AND(安値!AG367&lt;安値!AF367,安値!AG367&lt;安値!AE367,安値!AG367&lt;安値!AH367,安値!AG367&lt;安値!AI367),28,""))</f>
      </c>
      <c r="AC367" s="684">
        <f>IF(終値!A367="","",IF(AND(高値!G367&gt;高値!F367,高値!G367&gt;高値!E367,高値!G367&gt;高値!H367,高値!G367&gt;高値!I367),2,""))</f>
      </c>
      <c r="AD367" s="684">
        <f>IF(終値!A367="","",IF(AND(高値!H367&gt;高値!G367,高値!H367&gt;高値!F367,高値!H367&gt;高値!I367,高値!H367&gt;高値!J367),3,""))</f>
      </c>
      <c r="AE367" s="684">
        <f>IF(終値!A367="","",IF(AND(高値!I367&gt;高値!H367,高値!I367&gt;高値!G367,高値!I367&gt;高値!J367,高値!I367&gt;高値!K367),4,""))</f>
      </c>
      <c r="AF367" s="684">
        <f>IF(終値!A367="","",IF(AND(高値!J367&gt;高値!I367,高値!J367&gt;高値!H367,高値!J367&gt;高値!K367,高値!J367&gt;高値!L367),5,""))</f>
      </c>
      <c r="AG367" s="684">
        <f>IF(終値!A367="","",IF(AND(高値!K367&gt;高値!J367,高値!K367&gt;高値!I367,高値!K367&gt;高値!L367,高値!K367&gt;高値!M367),6,""))</f>
      </c>
      <c r="AH367" s="684">
        <f>IF(終値!A367="","",IF(AND(高値!L367&gt;高値!K367,高値!L367&gt;高値!J367,高値!L367&gt;高値!M367,高値!L367&gt;高値!N367),7,""))</f>
      </c>
      <c r="AI367" s="684">
        <f>IF(終値!A367="","",IF(AND(高値!M367&gt;高値!L367,高値!M367&gt;高値!K367,高値!M367&gt;高値!N367,高値!M367&gt;高値!O367),8,""))</f>
      </c>
      <c r="AJ367" s="684">
        <f>IF(終値!A367="","",IF(AND(高値!N367&gt;高値!M367,高値!N367&gt;高値!L367,高値!N367&gt;高値!O367,高値!N367&gt;高値!P367),9,""))</f>
      </c>
      <c r="AK367" s="684">
        <f>IF(終値!A367="","",IF(AND(高値!O367&gt;高値!N367,高値!O367&gt;高値!M367,高値!O367&gt;高値!P367,高値!O367&gt;高値!Q367),10,""))</f>
      </c>
      <c r="AL367" s="684">
        <f>IF(終値!A367="","",IF(AND(高値!P367&gt;高値!O367,高値!P367&gt;高値!N367,高値!P367&gt;高値!Q367,高値!P367&gt;高値!R367),11,""))</f>
      </c>
      <c r="AM367" s="684">
        <f>IF(終値!A367="","",IF(AND(高値!Q367&gt;高値!P367,高値!Q367&gt;高値!O367,高値!Q367&gt;高値!R367,高値!Q367&gt;高値!S367),12,""))</f>
      </c>
      <c r="AN367" s="684">
        <f>IF(終値!A367="","",IF(AND(高値!R367&gt;高値!Q367,高値!R367&gt;高値!P367,高値!R367&gt;高値!S367,高値!R367&gt;高値!T367),13,""))</f>
      </c>
      <c r="AO367" s="684">
        <f>IF(終値!A367="","",IF(AND(高値!S367&gt;高値!R367,高値!S367&gt;高値!Q367,高値!S367&gt;高値!T367,高値!S367&gt;高値!U367),14,""))</f>
      </c>
      <c r="AP367" s="684">
        <f>IF(終値!A367="","",IF(AND(高値!T367&gt;高値!S367,高値!T367&gt;高値!R367,高値!T367&gt;高値!U367,高値!T367&gt;高値!V367),15,""))</f>
      </c>
      <c r="AQ367" s="684">
        <f>IF(終値!A367="","",IF(AND(高値!U367&gt;高値!T367,高値!U367&gt;高値!S367,高値!U367&gt;高値!V367,高値!U367&gt;高値!W367),16,""))</f>
      </c>
      <c r="AR367" s="684">
        <f>IF(終値!A367="","",IF(AND(高値!V367&gt;高値!U367,高値!V367&gt;高値!T367,高値!V367&gt;高値!W367,高値!V367&gt;高値!X367),17,""))</f>
      </c>
      <c r="AS367" s="684">
        <f>IF(終値!A367="","",IF(AND(高値!W367&gt;高値!V367,高値!W367&gt;高値!U367,高値!W367&gt;高値!X367,高値!W367&gt;高値!Y367),18,""))</f>
      </c>
      <c r="AT367" s="684">
        <f>IF(終値!A367="","",IF(AND(高値!X367&gt;高値!W367,高値!X367&gt;高値!V367,高値!X367&gt;高値!Y367,高値!X367&gt;高値!Z367),19,""))</f>
      </c>
      <c r="AU367" s="684">
        <f>IF(終値!A367="","",IF(AND(高値!Y367&gt;高値!X367,高値!Y367&gt;高値!W367,高値!Y367&gt;高値!Z367,高値!Y367&gt;高値!AA367),20,""))</f>
      </c>
      <c r="AV367" s="684">
        <f>IF(終値!A367="","",IF(AND(高値!Z367&gt;高値!Y367,高値!Z367&gt;高値!X367,高値!Z367&gt;高値!AA367,高値!Z367&gt;高値!AB367),21,""))</f>
      </c>
      <c r="AW367" s="684">
        <f>IF(終値!A367="","",IF(AND(高値!AA367&gt;高値!Z367,高値!AA367&gt;高値!Y367,高値!AA367&gt;高値!AB367,高値!AA367&gt;高値!AC367),22,""))</f>
      </c>
      <c r="AX367" s="684">
        <f>IF(終値!A367="","",IF(AND(高値!AB367&gt;高値!AA367,高値!AB367&gt;高値!Z367,高値!AB367&gt;高値!AC367,高値!AB367&gt;高値!AD367),23,""))</f>
      </c>
      <c r="AY367" s="684">
        <f>IF(終値!A367="","",IF(AND(高値!AC367&gt;高値!AB367,高値!AC367&gt;高値!AA367,高値!AC367&gt;高値!AD367,高値!AC367&gt;高値!AE367),24,""))</f>
      </c>
      <c r="AZ367" s="684">
        <f>IF(終値!A367="","",IF(AND(高値!AD367&gt;高値!AC367,高値!AD367&gt;高値!AB367,高値!AD367&gt;高値!AE367,高値!AD367&gt;高値!AF367),25,""))</f>
      </c>
      <c r="BA367" s="684">
        <f>IF(終値!A367="","",IF(AND(高値!AE367&gt;高値!AD367,高値!AE367&gt;高値!AC367,高値!AE367&gt;高値!AF367,高値!AE367&gt;高値!AG367),26,""))</f>
      </c>
      <c r="BB367" s="684">
        <f>IF(終値!A367="","",IF(AND(高値!AF367&gt;高値!AE367,高値!AF367&gt;高値!AD367,高値!AF367&gt;高値!AG367,高値!AF367&gt;高値!AH367),27,""))</f>
      </c>
      <c r="BC367" s="684">
        <f>IF(終値!A367="","",IF(AND(高値!AG367&gt;高値!AF367,高値!AG367&gt;高値!AE367,高値!AG367&gt;高値!AH367,高値!AG367&gt;高値!AI367),28,""))</f>
      </c>
      <c r="BD367" s="684">
        <f>COUNT($B367:$AB367)</f>
      </c>
      <c r="BE367" s="684">
        <f>IF($BD367&gt;=2,MIN($B367:$AB367),"")</f>
      </c>
      <c r="BF367" s="684">
        <f>IF($BD367&gt;=2,SMALL($B367:$AB367,2),"")</f>
      </c>
      <c r="BG367" s="684">
        <f>IF($BE367="","",INDEX(安値!$E367:$CZ367,1,$BE367+1))</f>
      </c>
      <c r="BH367" s="684">
        <f>IF($BF367="","",INDEX(安値!$E367:$CZ367,1,$BF367+1))</f>
      </c>
      <c r="BI367" s="684">
        <f>IF($BF367="","",MAX(INDEX(高値!$E367:$CZ367,1,$BE367+1):INDEX(高値!$E367:$CZ367,1,$BF367+1)))</f>
      </c>
      <c r="BJ367" s="684">
        <f>IF($BF367="","",AVERAGE(INDEX(終値!$E367:$CZ367,1,$BF367+1):INDEX(終値!$E367:$CZ367,1,$BF367+20))-2*STDEVP(INDEX(終値!$E367:$CZ367,1,$BF367+1):INDEX(終値!$E367:$CZ367,1,$BF367+20)))</f>
      </c>
      <c r="BK367" s="684">
        <f>IF($BE367="","",AVERAGE(INDEX(終値!$E367:$CZ367,1,$BE367+1):INDEX(終値!$E367:$CZ367,1,$BE367+20))-2*STDEVP(INDEX(終値!$E367:$CZ367,1,$BE367+1):INDEX(終値!$E367:$CZ367,1,$BE367+20)))</f>
      </c>
      <c r="BL367" s="684">
        <f>COUNT($AC367:$BC367)</f>
      </c>
      <c r="BM367" s="684">
        <f>IF($BL367&gt;=2,MIN($AC367:$BC367),"")</f>
      </c>
      <c r="BN367" s="684">
        <f>IF($BL367&gt;=2,SMALL($AC367:$BC367,2),"")</f>
      </c>
      <c r="BO367" s="684">
        <f>IF($BM367="","",INDEX(高値!$E367:$CZ367,1,$BM367+1))</f>
      </c>
      <c r="BP367" s="684">
        <f>IF($BN367="","",INDEX(高値!$E367:$CZ367,1,$BN367+1))</f>
      </c>
      <c r="BQ367" s="684">
        <f>IF($BN367="","",MIN(INDEX(安値!$E367:$CZ367,1,$BM367+1):INDEX(安値!$E367:$CZ367,1,$BN367+1)))</f>
      </c>
      <c r="BR367" s="684">
        <f>IF($BN367="","",AVERAGE(INDEX(終値!$E367:$CZ367,1,$BN367+1):INDEX(終値!$E367:$CZ367,1,$BN367+20))+2*STDEVP(INDEX(終値!$E367:$CZ367,1,$BN367+1):INDEX(終値!$E367:$CZ367,1,$BN367+20)))</f>
      </c>
      <c r="BS367" s="684">
        <f>IF($BM367="","",AVERAGE(INDEX(終値!$E367:$CZ367,1,$BM367+1):INDEX(終値!$E367:$CZ367,1,$BM367+20))+2*STDEVP(INDEX(終値!$E367:$CZ367,1,$BM367+1):INDEX(終値!$E367:$CZ367,1,$BM367+20)))</f>
      </c>
      <c r="BT367" s="681">
        <f>IFERROR(IF(AND($BD367&gt;=2,ABS($BG367-$BH367)/$BH367&lt;=BB設定!$B$12,$BI367&gt;=MAX($BH367,$BG367)*(1+BB設定!$B$13),終値!E367&gt;$BG367),IF(OR(終値!E367&gt;=$BI367,AND($BH367&lt;$BJ367,$BG367&gt;=$BK367)),"二番底W▲","二番底W形成"),IF(AND($BL367&gt;=2,ABS($BO367-$BP367)/$BP367&lt;=BB設定!$B$12,$BQ367&lt;=MIN($BP367,$BO367)*(1-BB設定!$B$13),終値!E367&lt;$BO367),IF(OR(終値!E367&lt;=$BQ367,AND($BP367&gt;$BR367,$BO367&lt;=$BS367)),"二番天井M▼","二番天井M形成"),"－")),"－")</f>
      </c>
    </row>
    <row r="368">
      <c r="B368" s="684">
        <f>IF(終値!A368="","",IF(AND(安値!G368&lt;安値!F368,安値!G368&lt;安値!E368,安値!G368&lt;安値!H368,安値!G368&lt;安値!I368),2,""))</f>
      </c>
      <c r="C368" s="684">
        <f>IF(終値!A368="","",IF(AND(安値!H368&lt;安値!G368,安値!H368&lt;安値!F368,安値!H368&lt;安値!I368,安値!H368&lt;安値!J368),3,""))</f>
      </c>
      <c r="D368" s="684">
        <f>IF(終値!A368="","",IF(AND(安値!I368&lt;安値!H368,安値!I368&lt;安値!G368,安値!I368&lt;安値!J368,安値!I368&lt;安値!K368),4,""))</f>
      </c>
      <c r="E368" s="684">
        <f>IF(終値!A368="","",IF(AND(安値!J368&lt;安値!I368,安値!J368&lt;安値!H368,安値!J368&lt;安値!K368,安値!J368&lt;安値!L368),5,""))</f>
      </c>
      <c r="F368" s="684">
        <f>IF(終値!A368="","",IF(AND(安値!K368&lt;安値!J368,安値!K368&lt;安値!I368,安値!K368&lt;安値!L368,安値!K368&lt;安値!M368),6,""))</f>
      </c>
      <c r="G368" s="684">
        <f>IF(終値!A368="","",IF(AND(安値!L368&lt;安値!K368,安値!L368&lt;安値!J368,安値!L368&lt;安値!M368,安値!L368&lt;安値!N368),7,""))</f>
      </c>
      <c r="H368" s="684">
        <f>IF(終値!A368="","",IF(AND(安値!M368&lt;安値!L368,安値!M368&lt;安値!K368,安値!M368&lt;安値!N368,安値!M368&lt;安値!O368),8,""))</f>
      </c>
      <c r="I368" s="684">
        <f>IF(終値!A368="","",IF(AND(安値!N368&lt;安値!M368,安値!N368&lt;安値!L368,安値!N368&lt;安値!O368,安値!N368&lt;安値!P368),9,""))</f>
      </c>
      <c r="J368" s="684">
        <f>IF(終値!A368="","",IF(AND(安値!O368&lt;安値!N368,安値!O368&lt;安値!M368,安値!O368&lt;安値!P368,安値!O368&lt;安値!Q368),10,""))</f>
      </c>
      <c r="K368" s="684">
        <f>IF(終値!A368="","",IF(AND(安値!P368&lt;安値!O368,安値!P368&lt;安値!N368,安値!P368&lt;安値!Q368,安値!P368&lt;安値!R368),11,""))</f>
      </c>
      <c r="L368" s="684">
        <f>IF(終値!A368="","",IF(AND(安値!Q368&lt;安値!P368,安値!Q368&lt;安値!O368,安値!Q368&lt;安値!R368,安値!Q368&lt;安値!S368),12,""))</f>
      </c>
      <c r="M368" s="684">
        <f>IF(終値!A368="","",IF(AND(安値!R368&lt;安値!Q368,安値!R368&lt;安値!P368,安値!R368&lt;安値!S368,安値!R368&lt;安値!T368),13,""))</f>
      </c>
      <c r="N368" s="684">
        <f>IF(終値!A368="","",IF(AND(安値!S368&lt;安値!R368,安値!S368&lt;安値!Q368,安値!S368&lt;安値!T368,安値!S368&lt;安値!U368),14,""))</f>
      </c>
      <c r="O368" s="684">
        <f>IF(終値!A368="","",IF(AND(安値!T368&lt;安値!S368,安値!T368&lt;安値!R368,安値!T368&lt;安値!U368,安値!T368&lt;安値!V368),15,""))</f>
      </c>
      <c r="P368" s="684">
        <f>IF(終値!A368="","",IF(AND(安値!U368&lt;安値!T368,安値!U368&lt;安値!S368,安値!U368&lt;安値!V368,安値!U368&lt;安値!W368),16,""))</f>
      </c>
      <c r="Q368" s="684">
        <f>IF(終値!A368="","",IF(AND(安値!V368&lt;安値!U368,安値!V368&lt;安値!T368,安値!V368&lt;安値!W368,安値!V368&lt;安値!X368),17,""))</f>
      </c>
      <c r="R368" s="684">
        <f>IF(終値!A368="","",IF(AND(安値!W368&lt;安値!V368,安値!W368&lt;安値!U368,安値!W368&lt;安値!X368,安値!W368&lt;安値!Y368),18,""))</f>
      </c>
      <c r="S368" s="684">
        <f>IF(終値!A368="","",IF(AND(安値!X368&lt;安値!W368,安値!X368&lt;安値!V368,安値!X368&lt;安値!Y368,安値!X368&lt;安値!Z368),19,""))</f>
      </c>
      <c r="T368" s="684">
        <f>IF(終値!A368="","",IF(AND(安値!Y368&lt;安値!X368,安値!Y368&lt;安値!W368,安値!Y368&lt;安値!Z368,安値!Y368&lt;安値!AA368),20,""))</f>
      </c>
      <c r="U368" s="684">
        <f>IF(終値!A368="","",IF(AND(安値!Z368&lt;安値!Y368,安値!Z368&lt;安値!X368,安値!Z368&lt;安値!AA368,安値!Z368&lt;安値!AB368),21,""))</f>
      </c>
      <c r="V368" s="684">
        <f>IF(終値!A368="","",IF(AND(安値!AA368&lt;安値!Z368,安値!AA368&lt;安値!Y368,安値!AA368&lt;安値!AB368,安値!AA368&lt;安値!AC368),22,""))</f>
      </c>
      <c r="W368" s="684">
        <f>IF(終値!A368="","",IF(AND(安値!AB368&lt;安値!AA368,安値!AB368&lt;安値!Z368,安値!AB368&lt;安値!AC368,安値!AB368&lt;安値!AD368),23,""))</f>
      </c>
      <c r="X368" s="684">
        <f>IF(終値!A368="","",IF(AND(安値!AC368&lt;安値!AB368,安値!AC368&lt;安値!AA368,安値!AC368&lt;安値!AD368,安値!AC368&lt;安値!AE368),24,""))</f>
      </c>
      <c r="Y368" s="684">
        <f>IF(終値!A368="","",IF(AND(安値!AD368&lt;安値!AC368,安値!AD368&lt;安値!AB368,安値!AD368&lt;安値!AE368,安値!AD368&lt;安値!AF368),25,""))</f>
      </c>
      <c r="Z368" s="684">
        <f>IF(終値!A368="","",IF(AND(安値!AE368&lt;安値!AD368,安値!AE368&lt;安値!AC368,安値!AE368&lt;安値!AF368,安値!AE368&lt;安値!AG368),26,""))</f>
      </c>
      <c r="AA368" s="684">
        <f>IF(終値!A368="","",IF(AND(安値!AF368&lt;安値!AE368,安値!AF368&lt;安値!AD368,安値!AF368&lt;安値!AG368,安値!AF368&lt;安値!AH368),27,""))</f>
      </c>
      <c r="AB368" s="684">
        <f>IF(終値!A368="","",IF(AND(安値!AG368&lt;安値!AF368,安値!AG368&lt;安値!AE368,安値!AG368&lt;安値!AH368,安値!AG368&lt;安値!AI368),28,""))</f>
      </c>
      <c r="AC368" s="684">
        <f>IF(終値!A368="","",IF(AND(高値!G368&gt;高値!F368,高値!G368&gt;高値!E368,高値!G368&gt;高値!H368,高値!G368&gt;高値!I368),2,""))</f>
      </c>
      <c r="AD368" s="684">
        <f>IF(終値!A368="","",IF(AND(高値!H368&gt;高値!G368,高値!H368&gt;高値!F368,高値!H368&gt;高値!I368,高値!H368&gt;高値!J368),3,""))</f>
      </c>
      <c r="AE368" s="684">
        <f>IF(終値!A368="","",IF(AND(高値!I368&gt;高値!H368,高値!I368&gt;高値!G368,高値!I368&gt;高値!J368,高値!I368&gt;高値!K368),4,""))</f>
      </c>
      <c r="AF368" s="684">
        <f>IF(終値!A368="","",IF(AND(高値!J368&gt;高値!I368,高値!J368&gt;高値!H368,高値!J368&gt;高値!K368,高値!J368&gt;高値!L368),5,""))</f>
      </c>
      <c r="AG368" s="684">
        <f>IF(終値!A368="","",IF(AND(高値!K368&gt;高値!J368,高値!K368&gt;高値!I368,高値!K368&gt;高値!L368,高値!K368&gt;高値!M368),6,""))</f>
      </c>
      <c r="AH368" s="684">
        <f>IF(終値!A368="","",IF(AND(高値!L368&gt;高値!K368,高値!L368&gt;高値!J368,高値!L368&gt;高値!M368,高値!L368&gt;高値!N368),7,""))</f>
      </c>
      <c r="AI368" s="684">
        <f>IF(終値!A368="","",IF(AND(高値!M368&gt;高値!L368,高値!M368&gt;高値!K368,高値!M368&gt;高値!N368,高値!M368&gt;高値!O368),8,""))</f>
      </c>
      <c r="AJ368" s="684">
        <f>IF(終値!A368="","",IF(AND(高値!N368&gt;高値!M368,高値!N368&gt;高値!L368,高値!N368&gt;高値!O368,高値!N368&gt;高値!P368),9,""))</f>
      </c>
      <c r="AK368" s="684">
        <f>IF(終値!A368="","",IF(AND(高値!O368&gt;高値!N368,高値!O368&gt;高値!M368,高値!O368&gt;高値!P368,高値!O368&gt;高値!Q368),10,""))</f>
      </c>
      <c r="AL368" s="684">
        <f>IF(終値!A368="","",IF(AND(高値!P368&gt;高値!O368,高値!P368&gt;高値!N368,高値!P368&gt;高値!Q368,高値!P368&gt;高値!R368),11,""))</f>
      </c>
      <c r="AM368" s="684">
        <f>IF(終値!A368="","",IF(AND(高値!Q368&gt;高値!P368,高値!Q368&gt;高値!O368,高値!Q368&gt;高値!R368,高値!Q368&gt;高値!S368),12,""))</f>
      </c>
      <c r="AN368" s="684">
        <f>IF(終値!A368="","",IF(AND(高値!R368&gt;高値!Q368,高値!R368&gt;高値!P368,高値!R368&gt;高値!S368,高値!R368&gt;高値!T368),13,""))</f>
      </c>
      <c r="AO368" s="684">
        <f>IF(終値!A368="","",IF(AND(高値!S368&gt;高値!R368,高値!S368&gt;高値!Q368,高値!S368&gt;高値!T368,高値!S368&gt;高値!U368),14,""))</f>
      </c>
      <c r="AP368" s="684">
        <f>IF(終値!A368="","",IF(AND(高値!T368&gt;高値!S368,高値!T368&gt;高値!R368,高値!T368&gt;高値!U368,高値!T368&gt;高値!V368),15,""))</f>
      </c>
      <c r="AQ368" s="684">
        <f>IF(終値!A368="","",IF(AND(高値!U368&gt;高値!T368,高値!U368&gt;高値!S368,高値!U368&gt;高値!V368,高値!U368&gt;高値!W368),16,""))</f>
      </c>
      <c r="AR368" s="684">
        <f>IF(終値!A368="","",IF(AND(高値!V368&gt;高値!U368,高値!V368&gt;高値!T368,高値!V368&gt;高値!W368,高値!V368&gt;高値!X368),17,""))</f>
      </c>
      <c r="AS368" s="684">
        <f>IF(終値!A368="","",IF(AND(高値!W368&gt;高値!V368,高値!W368&gt;高値!U368,高値!W368&gt;高値!X368,高値!W368&gt;高値!Y368),18,""))</f>
      </c>
      <c r="AT368" s="684">
        <f>IF(終値!A368="","",IF(AND(高値!X368&gt;高値!W368,高値!X368&gt;高値!V368,高値!X368&gt;高値!Y368,高値!X368&gt;高値!Z368),19,""))</f>
      </c>
      <c r="AU368" s="684">
        <f>IF(終値!A368="","",IF(AND(高値!Y368&gt;高値!X368,高値!Y368&gt;高値!W368,高値!Y368&gt;高値!Z368,高値!Y368&gt;高値!AA368),20,""))</f>
      </c>
      <c r="AV368" s="684">
        <f>IF(終値!A368="","",IF(AND(高値!Z368&gt;高値!Y368,高値!Z368&gt;高値!X368,高値!Z368&gt;高値!AA368,高値!Z368&gt;高値!AB368),21,""))</f>
      </c>
      <c r="AW368" s="684">
        <f>IF(終値!A368="","",IF(AND(高値!AA368&gt;高値!Z368,高値!AA368&gt;高値!Y368,高値!AA368&gt;高値!AB368,高値!AA368&gt;高値!AC368),22,""))</f>
      </c>
      <c r="AX368" s="684">
        <f>IF(終値!A368="","",IF(AND(高値!AB368&gt;高値!AA368,高値!AB368&gt;高値!Z368,高値!AB368&gt;高値!AC368,高値!AB368&gt;高値!AD368),23,""))</f>
      </c>
      <c r="AY368" s="684">
        <f>IF(終値!A368="","",IF(AND(高値!AC368&gt;高値!AB368,高値!AC368&gt;高値!AA368,高値!AC368&gt;高値!AD368,高値!AC368&gt;高値!AE368),24,""))</f>
      </c>
      <c r="AZ368" s="684">
        <f>IF(終値!A368="","",IF(AND(高値!AD368&gt;高値!AC368,高値!AD368&gt;高値!AB368,高値!AD368&gt;高値!AE368,高値!AD368&gt;高値!AF368),25,""))</f>
      </c>
      <c r="BA368" s="684">
        <f>IF(終値!A368="","",IF(AND(高値!AE368&gt;高値!AD368,高値!AE368&gt;高値!AC368,高値!AE368&gt;高値!AF368,高値!AE368&gt;高値!AG368),26,""))</f>
      </c>
      <c r="BB368" s="684">
        <f>IF(終値!A368="","",IF(AND(高値!AF368&gt;高値!AE368,高値!AF368&gt;高値!AD368,高値!AF368&gt;高値!AG368,高値!AF368&gt;高値!AH368),27,""))</f>
      </c>
      <c r="BC368" s="684">
        <f>IF(終値!A368="","",IF(AND(高値!AG368&gt;高値!AF368,高値!AG368&gt;高値!AE368,高値!AG368&gt;高値!AH368,高値!AG368&gt;高値!AI368),28,""))</f>
      </c>
      <c r="BD368" s="684">
        <f>COUNT($B368:$AB368)</f>
      </c>
      <c r="BE368" s="684">
        <f>IF($BD368&gt;=2,MIN($B368:$AB368),"")</f>
      </c>
      <c r="BF368" s="684">
        <f>IF($BD368&gt;=2,SMALL($B368:$AB368,2),"")</f>
      </c>
      <c r="BG368" s="684">
        <f>IF($BE368="","",INDEX(安値!$E368:$CZ368,1,$BE368+1))</f>
      </c>
      <c r="BH368" s="684">
        <f>IF($BF368="","",INDEX(安値!$E368:$CZ368,1,$BF368+1))</f>
      </c>
      <c r="BI368" s="684">
        <f>IF($BF368="","",MAX(INDEX(高値!$E368:$CZ368,1,$BE368+1):INDEX(高値!$E368:$CZ368,1,$BF368+1)))</f>
      </c>
      <c r="BJ368" s="684">
        <f>IF($BF368="","",AVERAGE(INDEX(終値!$E368:$CZ368,1,$BF368+1):INDEX(終値!$E368:$CZ368,1,$BF368+20))-2*STDEVP(INDEX(終値!$E368:$CZ368,1,$BF368+1):INDEX(終値!$E368:$CZ368,1,$BF368+20)))</f>
      </c>
      <c r="BK368" s="684">
        <f>IF($BE368="","",AVERAGE(INDEX(終値!$E368:$CZ368,1,$BE368+1):INDEX(終値!$E368:$CZ368,1,$BE368+20))-2*STDEVP(INDEX(終値!$E368:$CZ368,1,$BE368+1):INDEX(終値!$E368:$CZ368,1,$BE368+20)))</f>
      </c>
      <c r="BL368" s="684">
        <f>COUNT($AC368:$BC368)</f>
      </c>
      <c r="BM368" s="684">
        <f>IF($BL368&gt;=2,MIN($AC368:$BC368),"")</f>
      </c>
      <c r="BN368" s="684">
        <f>IF($BL368&gt;=2,SMALL($AC368:$BC368,2),"")</f>
      </c>
      <c r="BO368" s="684">
        <f>IF($BM368="","",INDEX(高値!$E368:$CZ368,1,$BM368+1))</f>
      </c>
      <c r="BP368" s="684">
        <f>IF($BN368="","",INDEX(高値!$E368:$CZ368,1,$BN368+1))</f>
      </c>
      <c r="BQ368" s="684">
        <f>IF($BN368="","",MIN(INDEX(安値!$E368:$CZ368,1,$BM368+1):INDEX(安値!$E368:$CZ368,1,$BN368+1)))</f>
      </c>
      <c r="BR368" s="684">
        <f>IF($BN368="","",AVERAGE(INDEX(終値!$E368:$CZ368,1,$BN368+1):INDEX(終値!$E368:$CZ368,1,$BN368+20))+2*STDEVP(INDEX(終値!$E368:$CZ368,1,$BN368+1):INDEX(終値!$E368:$CZ368,1,$BN368+20)))</f>
      </c>
      <c r="BS368" s="684">
        <f>IF($BM368="","",AVERAGE(INDEX(終値!$E368:$CZ368,1,$BM368+1):INDEX(終値!$E368:$CZ368,1,$BM368+20))+2*STDEVP(INDEX(終値!$E368:$CZ368,1,$BM368+1):INDEX(終値!$E368:$CZ368,1,$BM368+20)))</f>
      </c>
      <c r="BT368" s="681">
        <f>IFERROR(IF(AND($BD368&gt;=2,ABS($BG368-$BH368)/$BH368&lt;=BB設定!$B$12,$BI368&gt;=MAX($BH368,$BG368)*(1+BB設定!$B$13),終値!E368&gt;$BG368),IF(OR(終値!E368&gt;=$BI368,AND($BH368&lt;$BJ368,$BG368&gt;=$BK368)),"二番底W▲","二番底W形成"),IF(AND($BL368&gt;=2,ABS($BO368-$BP368)/$BP368&lt;=BB設定!$B$12,$BQ368&lt;=MIN($BP368,$BO368)*(1-BB設定!$B$13),終値!E368&lt;$BO368),IF(OR(終値!E368&lt;=$BQ368,AND($BP368&gt;$BR368,$BO368&lt;=$BS368)),"二番天井M▼","二番天井M形成"),"－")),"－")</f>
      </c>
    </row>
    <row r="369">
      <c r="B369" s="684">
        <f>IF(終値!A369="","",IF(AND(安値!G369&lt;安値!F369,安値!G369&lt;安値!E369,安値!G369&lt;安値!H369,安値!G369&lt;安値!I369),2,""))</f>
      </c>
      <c r="C369" s="684">
        <f>IF(終値!A369="","",IF(AND(安値!H369&lt;安値!G369,安値!H369&lt;安値!F369,安値!H369&lt;安値!I369,安値!H369&lt;安値!J369),3,""))</f>
      </c>
      <c r="D369" s="684">
        <f>IF(終値!A369="","",IF(AND(安値!I369&lt;安値!H369,安値!I369&lt;安値!G369,安値!I369&lt;安値!J369,安値!I369&lt;安値!K369),4,""))</f>
      </c>
      <c r="E369" s="684">
        <f>IF(終値!A369="","",IF(AND(安値!J369&lt;安値!I369,安値!J369&lt;安値!H369,安値!J369&lt;安値!K369,安値!J369&lt;安値!L369),5,""))</f>
      </c>
      <c r="F369" s="684">
        <f>IF(終値!A369="","",IF(AND(安値!K369&lt;安値!J369,安値!K369&lt;安値!I369,安値!K369&lt;安値!L369,安値!K369&lt;安値!M369),6,""))</f>
      </c>
      <c r="G369" s="684">
        <f>IF(終値!A369="","",IF(AND(安値!L369&lt;安値!K369,安値!L369&lt;安値!J369,安値!L369&lt;安値!M369,安値!L369&lt;安値!N369),7,""))</f>
      </c>
      <c r="H369" s="684">
        <f>IF(終値!A369="","",IF(AND(安値!M369&lt;安値!L369,安値!M369&lt;安値!K369,安値!M369&lt;安値!N369,安値!M369&lt;安値!O369),8,""))</f>
      </c>
      <c r="I369" s="684">
        <f>IF(終値!A369="","",IF(AND(安値!N369&lt;安値!M369,安値!N369&lt;安値!L369,安値!N369&lt;安値!O369,安値!N369&lt;安値!P369),9,""))</f>
      </c>
      <c r="J369" s="684">
        <f>IF(終値!A369="","",IF(AND(安値!O369&lt;安値!N369,安値!O369&lt;安値!M369,安値!O369&lt;安値!P369,安値!O369&lt;安値!Q369),10,""))</f>
      </c>
      <c r="K369" s="684">
        <f>IF(終値!A369="","",IF(AND(安値!P369&lt;安値!O369,安値!P369&lt;安値!N369,安値!P369&lt;安値!Q369,安値!P369&lt;安値!R369),11,""))</f>
      </c>
      <c r="L369" s="684">
        <f>IF(終値!A369="","",IF(AND(安値!Q369&lt;安値!P369,安値!Q369&lt;安値!O369,安値!Q369&lt;安値!R369,安値!Q369&lt;安値!S369),12,""))</f>
      </c>
      <c r="M369" s="684">
        <f>IF(終値!A369="","",IF(AND(安値!R369&lt;安値!Q369,安値!R369&lt;安値!P369,安値!R369&lt;安値!S369,安値!R369&lt;安値!T369),13,""))</f>
      </c>
      <c r="N369" s="684">
        <f>IF(終値!A369="","",IF(AND(安値!S369&lt;安値!R369,安値!S369&lt;安値!Q369,安値!S369&lt;安値!T369,安値!S369&lt;安値!U369),14,""))</f>
      </c>
      <c r="O369" s="684">
        <f>IF(終値!A369="","",IF(AND(安値!T369&lt;安値!S369,安値!T369&lt;安値!R369,安値!T369&lt;安値!U369,安値!T369&lt;安値!V369),15,""))</f>
      </c>
      <c r="P369" s="684">
        <f>IF(終値!A369="","",IF(AND(安値!U369&lt;安値!T369,安値!U369&lt;安値!S369,安値!U369&lt;安値!V369,安値!U369&lt;安値!W369),16,""))</f>
      </c>
      <c r="Q369" s="684">
        <f>IF(終値!A369="","",IF(AND(安値!V369&lt;安値!U369,安値!V369&lt;安値!T369,安値!V369&lt;安値!W369,安値!V369&lt;安値!X369),17,""))</f>
      </c>
      <c r="R369" s="684">
        <f>IF(終値!A369="","",IF(AND(安値!W369&lt;安値!V369,安値!W369&lt;安値!U369,安値!W369&lt;安値!X369,安値!W369&lt;安値!Y369),18,""))</f>
      </c>
      <c r="S369" s="684">
        <f>IF(終値!A369="","",IF(AND(安値!X369&lt;安値!W369,安値!X369&lt;安値!V369,安値!X369&lt;安値!Y369,安値!X369&lt;安値!Z369),19,""))</f>
      </c>
      <c r="T369" s="684">
        <f>IF(終値!A369="","",IF(AND(安値!Y369&lt;安値!X369,安値!Y369&lt;安値!W369,安値!Y369&lt;安値!Z369,安値!Y369&lt;安値!AA369),20,""))</f>
      </c>
      <c r="U369" s="684">
        <f>IF(終値!A369="","",IF(AND(安値!Z369&lt;安値!Y369,安値!Z369&lt;安値!X369,安値!Z369&lt;安値!AA369,安値!Z369&lt;安値!AB369),21,""))</f>
      </c>
      <c r="V369" s="684">
        <f>IF(終値!A369="","",IF(AND(安値!AA369&lt;安値!Z369,安値!AA369&lt;安値!Y369,安値!AA369&lt;安値!AB369,安値!AA369&lt;安値!AC369),22,""))</f>
      </c>
      <c r="W369" s="684">
        <f>IF(終値!A369="","",IF(AND(安値!AB369&lt;安値!AA369,安値!AB369&lt;安値!Z369,安値!AB369&lt;安値!AC369,安値!AB369&lt;安値!AD369),23,""))</f>
      </c>
      <c r="X369" s="684">
        <f>IF(終値!A369="","",IF(AND(安値!AC369&lt;安値!AB369,安値!AC369&lt;安値!AA369,安値!AC369&lt;安値!AD369,安値!AC369&lt;安値!AE369),24,""))</f>
      </c>
      <c r="Y369" s="684">
        <f>IF(終値!A369="","",IF(AND(安値!AD369&lt;安値!AC369,安値!AD369&lt;安値!AB369,安値!AD369&lt;安値!AE369,安値!AD369&lt;安値!AF369),25,""))</f>
      </c>
      <c r="Z369" s="684">
        <f>IF(終値!A369="","",IF(AND(安値!AE369&lt;安値!AD369,安値!AE369&lt;安値!AC369,安値!AE369&lt;安値!AF369,安値!AE369&lt;安値!AG369),26,""))</f>
      </c>
      <c r="AA369" s="684">
        <f>IF(終値!A369="","",IF(AND(安値!AF369&lt;安値!AE369,安値!AF369&lt;安値!AD369,安値!AF369&lt;安値!AG369,安値!AF369&lt;安値!AH369),27,""))</f>
      </c>
      <c r="AB369" s="684">
        <f>IF(終値!A369="","",IF(AND(安値!AG369&lt;安値!AF369,安値!AG369&lt;安値!AE369,安値!AG369&lt;安値!AH369,安値!AG369&lt;安値!AI369),28,""))</f>
      </c>
      <c r="AC369" s="684">
        <f>IF(終値!A369="","",IF(AND(高値!G369&gt;高値!F369,高値!G369&gt;高値!E369,高値!G369&gt;高値!H369,高値!G369&gt;高値!I369),2,""))</f>
      </c>
      <c r="AD369" s="684">
        <f>IF(終値!A369="","",IF(AND(高値!H369&gt;高値!G369,高値!H369&gt;高値!F369,高値!H369&gt;高値!I369,高値!H369&gt;高値!J369),3,""))</f>
      </c>
      <c r="AE369" s="684">
        <f>IF(終値!A369="","",IF(AND(高値!I369&gt;高値!H369,高値!I369&gt;高値!G369,高値!I369&gt;高値!J369,高値!I369&gt;高値!K369),4,""))</f>
      </c>
      <c r="AF369" s="684">
        <f>IF(終値!A369="","",IF(AND(高値!J369&gt;高値!I369,高値!J369&gt;高値!H369,高値!J369&gt;高値!K369,高値!J369&gt;高値!L369),5,""))</f>
      </c>
      <c r="AG369" s="684">
        <f>IF(終値!A369="","",IF(AND(高値!K369&gt;高値!J369,高値!K369&gt;高値!I369,高値!K369&gt;高値!L369,高値!K369&gt;高値!M369),6,""))</f>
      </c>
      <c r="AH369" s="684">
        <f>IF(終値!A369="","",IF(AND(高値!L369&gt;高値!K369,高値!L369&gt;高値!J369,高値!L369&gt;高値!M369,高値!L369&gt;高値!N369),7,""))</f>
      </c>
      <c r="AI369" s="684">
        <f>IF(終値!A369="","",IF(AND(高値!M369&gt;高値!L369,高値!M369&gt;高値!K369,高値!M369&gt;高値!N369,高値!M369&gt;高値!O369),8,""))</f>
      </c>
      <c r="AJ369" s="684">
        <f>IF(終値!A369="","",IF(AND(高値!N369&gt;高値!M369,高値!N369&gt;高値!L369,高値!N369&gt;高値!O369,高値!N369&gt;高値!P369),9,""))</f>
      </c>
      <c r="AK369" s="684">
        <f>IF(終値!A369="","",IF(AND(高値!O369&gt;高値!N369,高値!O369&gt;高値!M369,高値!O369&gt;高値!P369,高値!O369&gt;高値!Q369),10,""))</f>
      </c>
      <c r="AL369" s="684">
        <f>IF(終値!A369="","",IF(AND(高値!P369&gt;高値!O369,高値!P369&gt;高値!N369,高値!P369&gt;高値!Q369,高値!P369&gt;高値!R369),11,""))</f>
      </c>
      <c r="AM369" s="684">
        <f>IF(終値!A369="","",IF(AND(高値!Q369&gt;高値!P369,高値!Q369&gt;高値!O369,高値!Q369&gt;高値!R369,高値!Q369&gt;高値!S369),12,""))</f>
      </c>
      <c r="AN369" s="684">
        <f>IF(終値!A369="","",IF(AND(高値!R369&gt;高値!Q369,高値!R369&gt;高値!P369,高値!R369&gt;高値!S369,高値!R369&gt;高値!T369),13,""))</f>
      </c>
      <c r="AO369" s="684">
        <f>IF(終値!A369="","",IF(AND(高値!S369&gt;高値!R369,高値!S369&gt;高値!Q369,高値!S369&gt;高値!T369,高値!S369&gt;高値!U369),14,""))</f>
      </c>
      <c r="AP369" s="684">
        <f>IF(終値!A369="","",IF(AND(高値!T369&gt;高値!S369,高値!T369&gt;高値!R369,高値!T369&gt;高値!U369,高値!T369&gt;高値!V369),15,""))</f>
      </c>
      <c r="AQ369" s="684">
        <f>IF(終値!A369="","",IF(AND(高値!U369&gt;高値!T369,高値!U369&gt;高値!S369,高値!U369&gt;高値!V369,高値!U369&gt;高値!W369),16,""))</f>
      </c>
      <c r="AR369" s="684">
        <f>IF(終値!A369="","",IF(AND(高値!V369&gt;高値!U369,高値!V369&gt;高値!T369,高値!V369&gt;高値!W369,高値!V369&gt;高値!X369),17,""))</f>
      </c>
      <c r="AS369" s="684">
        <f>IF(終値!A369="","",IF(AND(高値!W369&gt;高値!V369,高値!W369&gt;高値!U369,高値!W369&gt;高値!X369,高値!W369&gt;高値!Y369),18,""))</f>
      </c>
      <c r="AT369" s="684">
        <f>IF(終値!A369="","",IF(AND(高値!X369&gt;高値!W369,高値!X369&gt;高値!V369,高値!X369&gt;高値!Y369,高値!X369&gt;高値!Z369),19,""))</f>
      </c>
      <c r="AU369" s="684">
        <f>IF(終値!A369="","",IF(AND(高値!Y369&gt;高値!X369,高値!Y369&gt;高値!W369,高値!Y369&gt;高値!Z369,高値!Y369&gt;高値!AA369),20,""))</f>
      </c>
      <c r="AV369" s="684">
        <f>IF(終値!A369="","",IF(AND(高値!Z369&gt;高値!Y369,高値!Z369&gt;高値!X369,高値!Z369&gt;高値!AA369,高値!Z369&gt;高値!AB369),21,""))</f>
      </c>
      <c r="AW369" s="684">
        <f>IF(終値!A369="","",IF(AND(高値!AA369&gt;高値!Z369,高値!AA369&gt;高値!Y369,高値!AA369&gt;高値!AB369,高値!AA369&gt;高値!AC369),22,""))</f>
      </c>
      <c r="AX369" s="684">
        <f>IF(終値!A369="","",IF(AND(高値!AB369&gt;高値!AA369,高値!AB369&gt;高値!Z369,高値!AB369&gt;高値!AC369,高値!AB369&gt;高値!AD369),23,""))</f>
      </c>
      <c r="AY369" s="684">
        <f>IF(終値!A369="","",IF(AND(高値!AC369&gt;高値!AB369,高値!AC369&gt;高値!AA369,高値!AC369&gt;高値!AD369,高値!AC369&gt;高値!AE369),24,""))</f>
      </c>
      <c r="AZ369" s="684">
        <f>IF(終値!A369="","",IF(AND(高値!AD369&gt;高値!AC369,高値!AD369&gt;高値!AB369,高値!AD369&gt;高値!AE369,高値!AD369&gt;高値!AF369),25,""))</f>
      </c>
      <c r="BA369" s="684">
        <f>IF(終値!A369="","",IF(AND(高値!AE369&gt;高値!AD369,高値!AE369&gt;高値!AC369,高値!AE369&gt;高値!AF369,高値!AE369&gt;高値!AG369),26,""))</f>
      </c>
      <c r="BB369" s="684">
        <f>IF(終値!A369="","",IF(AND(高値!AF369&gt;高値!AE369,高値!AF369&gt;高値!AD369,高値!AF369&gt;高値!AG369,高値!AF369&gt;高値!AH369),27,""))</f>
      </c>
      <c r="BC369" s="684">
        <f>IF(終値!A369="","",IF(AND(高値!AG369&gt;高値!AF369,高値!AG369&gt;高値!AE369,高値!AG369&gt;高値!AH369,高値!AG369&gt;高値!AI369),28,""))</f>
      </c>
      <c r="BD369" s="684">
        <f>COUNT($B369:$AB369)</f>
      </c>
      <c r="BE369" s="684">
        <f>IF($BD369&gt;=2,MIN($B369:$AB369),"")</f>
      </c>
      <c r="BF369" s="684">
        <f>IF($BD369&gt;=2,SMALL($B369:$AB369,2),"")</f>
      </c>
      <c r="BG369" s="684">
        <f>IF($BE369="","",INDEX(安値!$E369:$CZ369,1,$BE369+1))</f>
      </c>
      <c r="BH369" s="684">
        <f>IF($BF369="","",INDEX(安値!$E369:$CZ369,1,$BF369+1))</f>
      </c>
      <c r="BI369" s="684">
        <f>IF($BF369="","",MAX(INDEX(高値!$E369:$CZ369,1,$BE369+1):INDEX(高値!$E369:$CZ369,1,$BF369+1)))</f>
      </c>
      <c r="BJ369" s="684">
        <f>IF($BF369="","",AVERAGE(INDEX(終値!$E369:$CZ369,1,$BF369+1):INDEX(終値!$E369:$CZ369,1,$BF369+20))-2*STDEVP(INDEX(終値!$E369:$CZ369,1,$BF369+1):INDEX(終値!$E369:$CZ369,1,$BF369+20)))</f>
      </c>
      <c r="BK369" s="684">
        <f>IF($BE369="","",AVERAGE(INDEX(終値!$E369:$CZ369,1,$BE369+1):INDEX(終値!$E369:$CZ369,1,$BE369+20))-2*STDEVP(INDEX(終値!$E369:$CZ369,1,$BE369+1):INDEX(終値!$E369:$CZ369,1,$BE369+20)))</f>
      </c>
      <c r="BL369" s="684">
        <f>COUNT($AC369:$BC369)</f>
      </c>
      <c r="BM369" s="684">
        <f>IF($BL369&gt;=2,MIN($AC369:$BC369),"")</f>
      </c>
      <c r="BN369" s="684">
        <f>IF($BL369&gt;=2,SMALL($AC369:$BC369,2),"")</f>
      </c>
      <c r="BO369" s="684">
        <f>IF($BM369="","",INDEX(高値!$E369:$CZ369,1,$BM369+1))</f>
      </c>
      <c r="BP369" s="684">
        <f>IF($BN369="","",INDEX(高値!$E369:$CZ369,1,$BN369+1))</f>
      </c>
      <c r="BQ369" s="684">
        <f>IF($BN369="","",MIN(INDEX(安値!$E369:$CZ369,1,$BM369+1):INDEX(安値!$E369:$CZ369,1,$BN369+1)))</f>
      </c>
      <c r="BR369" s="684">
        <f>IF($BN369="","",AVERAGE(INDEX(終値!$E369:$CZ369,1,$BN369+1):INDEX(終値!$E369:$CZ369,1,$BN369+20))+2*STDEVP(INDEX(終値!$E369:$CZ369,1,$BN369+1):INDEX(終値!$E369:$CZ369,1,$BN369+20)))</f>
      </c>
      <c r="BS369" s="684">
        <f>IF($BM369="","",AVERAGE(INDEX(終値!$E369:$CZ369,1,$BM369+1):INDEX(終値!$E369:$CZ369,1,$BM369+20))+2*STDEVP(INDEX(終値!$E369:$CZ369,1,$BM369+1):INDEX(終値!$E369:$CZ369,1,$BM369+20)))</f>
      </c>
      <c r="BT369" s="681">
        <f>IFERROR(IF(AND($BD369&gt;=2,ABS($BG369-$BH369)/$BH369&lt;=BB設定!$B$12,$BI369&gt;=MAX($BH369,$BG369)*(1+BB設定!$B$13),終値!E369&gt;$BG369),IF(OR(終値!E369&gt;=$BI369,AND($BH369&lt;$BJ369,$BG369&gt;=$BK369)),"二番底W▲","二番底W形成"),IF(AND($BL369&gt;=2,ABS($BO369-$BP369)/$BP369&lt;=BB設定!$B$12,$BQ369&lt;=MIN($BP369,$BO369)*(1-BB設定!$B$13),終値!E369&lt;$BO369),IF(OR(終値!E369&lt;=$BQ369,AND($BP369&gt;$BR369,$BO369&lt;=$BS369)),"二番天井M▼","二番天井M形成"),"－")),"－")</f>
      </c>
    </row>
    <row r="370">
      <c r="B370" s="684">
        <f>IF(終値!A370="","",IF(AND(安値!G370&lt;安値!F370,安値!G370&lt;安値!E370,安値!G370&lt;安値!H370,安値!G370&lt;安値!I370),2,""))</f>
      </c>
      <c r="C370" s="684">
        <f>IF(終値!A370="","",IF(AND(安値!H370&lt;安値!G370,安値!H370&lt;安値!F370,安値!H370&lt;安値!I370,安値!H370&lt;安値!J370),3,""))</f>
      </c>
      <c r="D370" s="684">
        <f>IF(終値!A370="","",IF(AND(安値!I370&lt;安値!H370,安値!I370&lt;安値!G370,安値!I370&lt;安値!J370,安値!I370&lt;安値!K370),4,""))</f>
      </c>
      <c r="E370" s="684">
        <f>IF(終値!A370="","",IF(AND(安値!J370&lt;安値!I370,安値!J370&lt;安値!H370,安値!J370&lt;安値!K370,安値!J370&lt;安値!L370),5,""))</f>
      </c>
      <c r="F370" s="684">
        <f>IF(終値!A370="","",IF(AND(安値!K370&lt;安値!J370,安値!K370&lt;安値!I370,安値!K370&lt;安値!L370,安値!K370&lt;安値!M370),6,""))</f>
      </c>
      <c r="G370" s="684">
        <f>IF(終値!A370="","",IF(AND(安値!L370&lt;安値!K370,安値!L370&lt;安値!J370,安値!L370&lt;安値!M370,安値!L370&lt;安値!N370),7,""))</f>
      </c>
      <c r="H370" s="684">
        <f>IF(終値!A370="","",IF(AND(安値!M370&lt;安値!L370,安値!M370&lt;安値!K370,安値!M370&lt;安値!N370,安値!M370&lt;安値!O370),8,""))</f>
      </c>
      <c r="I370" s="684">
        <f>IF(終値!A370="","",IF(AND(安値!N370&lt;安値!M370,安値!N370&lt;安値!L370,安値!N370&lt;安値!O370,安値!N370&lt;安値!P370),9,""))</f>
      </c>
      <c r="J370" s="684">
        <f>IF(終値!A370="","",IF(AND(安値!O370&lt;安値!N370,安値!O370&lt;安値!M370,安値!O370&lt;安値!P370,安値!O370&lt;安値!Q370),10,""))</f>
      </c>
      <c r="K370" s="684">
        <f>IF(終値!A370="","",IF(AND(安値!P370&lt;安値!O370,安値!P370&lt;安値!N370,安値!P370&lt;安値!Q370,安値!P370&lt;安値!R370),11,""))</f>
      </c>
      <c r="L370" s="684">
        <f>IF(終値!A370="","",IF(AND(安値!Q370&lt;安値!P370,安値!Q370&lt;安値!O370,安値!Q370&lt;安値!R370,安値!Q370&lt;安値!S370),12,""))</f>
      </c>
      <c r="M370" s="684">
        <f>IF(終値!A370="","",IF(AND(安値!R370&lt;安値!Q370,安値!R370&lt;安値!P370,安値!R370&lt;安値!S370,安値!R370&lt;安値!T370),13,""))</f>
      </c>
      <c r="N370" s="684">
        <f>IF(終値!A370="","",IF(AND(安値!S370&lt;安値!R370,安値!S370&lt;安値!Q370,安値!S370&lt;安値!T370,安値!S370&lt;安値!U370),14,""))</f>
      </c>
      <c r="O370" s="684">
        <f>IF(終値!A370="","",IF(AND(安値!T370&lt;安値!S370,安値!T370&lt;安値!R370,安値!T370&lt;安値!U370,安値!T370&lt;安値!V370),15,""))</f>
      </c>
      <c r="P370" s="684">
        <f>IF(終値!A370="","",IF(AND(安値!U370&lt;安値!T370,安値!U370&lt;安値!S370,安値!U370&lt;安値!V370,安値!U370&lt;安値!W370),16,""))</f>
      </c>
      <c r="Q370" s="684">
        <f>IF(終値!A370="","",IF(AND(安値!V370&lt;安値!U370,安値!V370&lt;安値!T370,安値!V370&lt;安値!W370,安値!V370&lt;安値!X370),17,""))</f>
      </c>
      <c r="R370" s="684">
        <f>IF(終値!A370="","",IF(AND(安値!W370&lt;安値!V370,安値!W370&lt;安値!U370,安値!W370&lt;安値!X370,安値!W370&lt;安値!Y370),18,""))</f>
      </c>
      <c r="S370" s="684">
        <f>IF(終値!A370="","",IF(AND(安値!X370&lt;安値!W370,安値!X370&lt;安値!V370,安値!X370&lt;安値!Y370,安値!X370&lt;安値!Z370),19,""))</f>
      </c>
      <c r="T370" s="684">
        <f>IF(終値!A370="","",IF(AND(安値!Y370&lt;安値!X370,安値!Y370&lt;安値!W370,安値!Y370&lt;安値!Z370,安値!Y370&lt;安値!AA370),20,""))</f>
      </c>
      <c r="U370" s="684">
        <f>IF(終値!A370="","",IF(AND(安値!Z370&lt;安値!Y370,安値!Z370&lt;安値!X370,安値!Z370&lt;安値!AA370,安値!Z370&lt;安値!AB370),21,""))</f>
      </c>
      <c r="V370" s="684">
        <f>IF(終値!A370="","",IF(AND(安値!AA370&lt;安値!Z370,安値!AA370&lt;安値!Y370,安値!AA370&lt;安値!AB370,安値!AA370&lt;安値!AC370),22,""))</f>
      </c>
      <c r="W370" s="684">
        <f>IF(終値!A370="","",IF(AND(安値!AB370&lt;安値!AA370,安値!AB370&lt;安値!Z370,安値!AB370&lt;安値!AC370,安値!AB370&lt;安値!AD370),23,""))</f>
      </c>
      <c r="X370" s="684">
        <f>IF(終値!A370="","",IF(AND(安値!AC370&lt;安値!AB370,安値!AC370&lt;安値!AA370,安値!AC370&lt;安値!AD370,安値!AC370&lt;安値!AE370),24,""))</f>
      </c>
      <c r="Y370" s="684">
        <f>IF(終値!A370="","",IF(AND(安値!AD370&lt;安値!AC370,安値!AD370&lt;安値!AB370,安値!AD370&lt;安値!AE370,安値!AD370&lt;安値!AF370),25,""))</f>
      </c>
      <c r="Z370" s="684">
        <f>IF(終値!A370="","",IF(AND(安値!AE370&lt;安値!AD370,安値!AE370&lt;安値!AC370,安値!AE370&lt;安値!AF370,安値!AE370&lt;安値!AG370),26,""))</f>
      </c>
      <c r="AA370" s="684">
        <f>IF(終値!A370="","",IF(AND(安値!AF370&lt;安値!AE370,安値!AF370&lt;安値!AD370,安値!AF370&lt;安値!AG370,安値!AF370&lt;安値!AH370),27,""))</f>
      </c>
      <c r="AB370" s="684">
        <f>IF(終値!A370="","",IF(AND(安値!AG370&lt;安値!AF370,安値!AG370&lt;安値!AE370,安値!AG370&lt;安値!AH370,安値!AG370&lt;安値!AI370),28,""))</f>
      </c>
      <c r="AC370" s="684">
        <f>IF(終値!A370="","",IF(AND(高値!G370&gt;高値!F370,高値!G370&gt;高値!E370,高値!G370&gt;高値!H370,高値!G370&gt;高値!I370),2,""))</f>
      </c>
      <c r="AD370" s="684">
        <f>IF(終値!A370="","",IF(AND(高値!H370&gt;高値!G370,高値!H370&gt;高値!F370,高値!H370&gt;高値!I370,高値!H370&gt;高値!J370),3,""))</f>
      </c>
      <c r="AE370" s="684">
        <f>IF(終値!A370="","",IF(AND(高値!I370&gt;高値!H370,高値!I370&gt;高値!G370,高値!I370&gt;高値!J370,高値!I370&gt;高値!K370),4,""))</f>
      </c>
      <c r="AF370" s="684">
        <f>IF(終値!A370="","",IF(AND(高値!J370&gt;高値!I370,高値!J370&gt;高値!H370,高値!J370&gt;高値!K370,高値!J370&gt;高値!L370),5,""))</f>
      </c>
      <c r="AG370" s="684">
        <f>IF(終値!A370="","",IF(AND(高値!K370&gt;高値!J370,高値!K370&gt;高値!I370,高値!K370&gt;高値!L370,高値!K370&gt;高値!M370),6,""))</f>
      </c>
      <c r="AH370" s="684">
        <f>IF(終値!A370="","",IF(AND(高値!L370&gt;高値!K370,高値!L370&gt;高値!J370,高値!L370&gt;高値!M370,高値!L370&gt;高値!N370),7,""))</f>
      </c>
      <c r="AI370" s="684">
        <f>IF(終値!A370="","",IF(AND(高値!M370&gt;高値!L370,高値!M370&gt;高値!K370,高値!M370&gt;高値!N370,高値!M370&gt;高値!O370),8,""))</f>
      </c>
      <c r="AJ370" s="684">
        <f>IF(終値!A370="","",IF(AND(高値!N370&gt;高値!M370,高値!N370&gt;高値!L370,高値!N370&gt;高値!O370,高値!N370&gt;高値!P370),9,""))</f>
      </c>
      <c r="AK370" s="684">
        <f>IF(終値!A370="","",IF(AND(高値!O370&gt;高値!N370,高値!O370&gt;高値!M370,高値!O370&gt;高値!P370,高値!O370&gt;高値!Q370),10,""))</f>
      </c>
      <c r="AL370" s="684">
        <f>IF(終値!A370="","",IF(AND(高値!P370&gt;高値!O370,高値!P370&gt;高値!N370,高値!P370&gt;高値!Q370,高値!P370&gt;高値!R370),11,""))</f>
      </c>
      <c r="AM370" s="684">
        <f>IF(終値!A370="","",IF(AND(高値!Q370&gt;高値!P370,高値!Q370&gt;高値!O370,高値!Q370&gt;高値!R370,高値!Q370&gt;高値!S370),12,""))</f>
      </c>
      <c r="AN370" s="684">
        <f>IF(終値!A370="","",IF(AND(高値!R370&gt;高値!Q370,高値!R370&gt;高値!P370,高値!R370&gt;高値!S370,高値!R370&gt;高値!T370),13,""))</f>
      </c>
      <c r="AO370" s="684">
        <f>IF(終値!A370="","",IF(AND(高値!S370&gt;高値!R370,高値!S370&gt;高値!Q370,高値!S370&gt;高値!T370,高値!S370&gt;高値!U370),14,""))</f>
      </c>
      <c r="AP370" s="684">
        <f>IF(終値!A370="","",IF(AND(高値!T370&gt;高値!S370,高値!T370&gt;高値!R370,高値!T370&gt;高値!U370,高値!T370&gt;高値!V370),15,""))</f>
      </c>
      <c r="AQ370" s="684">
        <f>IF(終値!A370="","",IF(AND(高値!U370&gt;高値!T370,高値!U370&gt;高値!S370,高値!U370&gt;高値!V370,高値!U370&gt;高値!W370),16,""))</f>
      </c>
      <c r="AR370" s="684">
        <f>IF(終値!A370="","",IF(AND(高値!V370&gt;高値!U370,高値!V370&gt;高値!T370,高値!V370&gt;高値!W370,高値!V370&gt;高値!X370),17,""))</f>
      </c>
      <c r="AS370" s="684">
        <f>IF(終値!A370="","",IF(AND(高値!W370&gt;高値!V370,高値!W370&gt;高値!U370,高値!W370&gt;高値!X370,高値!W370&gt;高値!Y370),18,""))</f>
      </c>
      <c r="AT370" s="684">
        <f>IF(終値!A370="","",IF(AND(高値!X370&gt;高値!W370,高値!X370&gt;高値!V370,高値!X370&gt;高値!Y370,高値!X370&gt;高値!Z370),19,""))</f>
      </c>
      <c r="AU370" s="684">
        <f>IF(終値!A370="","",IF(AND(高値!Y370&gt;高値!X370,高値!Y370&gt;高値!W370,高値!Y370&gt;高値!Z370,高値!Y370&gt;高値!AA370),20,""))</f>
      </c>
      <c r="AV370" s="684">
        <f>IF(終値!A370="","",IF(AND(高値!Z370&gt;高値!Y370,高値!Z370&gt;高値!X370,高値!Z370&gt;高値!AA370,高値!Z370&gt;高値!AB370),21,""))</f>
      </c>
      <c r="AW370" s="684">
        <f>IF(終値!A370="","",IF(AND(高値!AA370&gt;高値!Z370,高値!AA370&gt;高値!Y370,高値!AA370&gt;高値!AB370,高値!AA370&gt;高値!AC370),22,""))</f>
      </c>
      <c r="AX370" s="684">
        <f>IF(終値!A370="","",IF(AND(高値!AB370&gt;高値!AA370,高値!AB370&gt;高値!Z370,高値!AB370&gt;高値!AC370,高値!AB370&gt;高値!AD370),23,""))</f>
      </c>
      <c r="AY370" s="684">
        <f>IF(終値!A370="","",IF(AND(高値!AC370&gt;高値!AB370,高値!AC370&gt;高値!AA370,高値!AC370&gt;高値!AD370,高値!AC370&gt;高値!AE370),24,""))</f>
      </c>
      <c r="AZ370" s="684">
        <f>IF(終値!A370="","",IF(AND(高値!AD370&gt;高値!AC370,高値!AD370&gt;高値!AB370,高値!AD370&gt;高値!AE370,高値!AD370&gt;高値!AF370),25,""))</f>
      </c>
      <c r="BA370" s="684">
        <f>IF(終値!A370="","",IF(AND(高値!AE370&gt;高値!AD370,高値!AE370&gt;高値!AC370,高値!AE370&gt;高値!AF370,高値!AE370&gt;高値!AG370),26,""))</f>
      </c>
      <c r="BB370" s="684">
        <f>IF(終値!A370="","",IF(AND(高値!AF370&gt;高値!AE370,高値!AF370&gt;高値!AD370,高値!AF370&gt;高値!AG370,高値!AF370&gt;高値!AH370),27,""))</f>
      </c>
      <c r="BC370" s="684">
        <f>IF(終値!A370="","",IF(AND(高値!AG370&gt;高値!AF370,高値!AG370&gt;高値!AE370,高値!AG370&gt;高値!AH370,高値!AG370&gt;高値!AI370),28,""))</f>
      </c>
      <c r="BD370" s="684">
        <f>COUNT($B370:$AB370)</f>
      </c>
      <c r="BE370" s="684">
        <f>IF($BD370&gt;=2,MIN($B370:$AB370),"")</f>
      </c>
      <c r="BF370" s="684">
        <f>IF($BD370&gt;=2,SMALL($B370:$AB370,2),"")</f>
      </c>
      <c r="BG370" s="684">
        <f>IF($BE370="","",INDEX(安値!$E370:$CZ370,1,$BE370+1))</f>
      </c>
      <c r="BH370" s="684">
        <f>IF($BF370="","",INDEX(安値!$E370:$CZ370,1,$BF370+1))</f>
      </c>
      <c r="BI370" s="684">
        <f>IF($BF370="","",MAX(INDEX(高値!$E370:$CZ370,1,$BE370+1):INDEX(高値!$E370:$CZ370,1,$BF370+1)))</f>
      </c>
      <c r="BJ370" s="684">
        <f>IF($BF370="","",AVERAGE(INDEX(終値!$E370:$CZ370,1,$BF370+1):INDEX(終値!$E370:$CZ370,1,$BF370+20))-2*STDEVP(INDEX(終値!$E370:$CZ370,1,$BF370+1):INDEX(終値!$E370:$CZ370,1,$BF370+20)))</f>
      </c>
      <c r="BK370" s="684">
        <f>IF($BE370="","",AVERAGE(INDEX(終値!$E370:$CZ370,1,$BE370+1):INDEX(終値!$E370:$CZ370,1,$BE370+20))-2*STDEVP(INDEX(終値!$E370:$CZ370,1,$BE370+1):INDEX(終値!$E370:$CZ370,1,$BE370+20)))</f>
      </c>
      <c r="BL370" s="684">
        <f>COUNT($AC370:$BC370)</f>
      </c>
      <c r="BM370" s="684">
        <f>IF($BL370&gt;=2,MIN($AC370:$BC370),"")</f>
      </c>
      <c r="BN370" s="684">
        <f>IF($BL370&gt;=2,SMALL($AC370:$BC370,2),"")</f>
      </c>
      <c r="BO370" s="684">
        <f>IF($BM370="","",INDEX(高値!$E370:$CZ370,1,$BM370+1))</f>
      </c>
      <c r="BP370" s="684">
        <f>IF($BN370="","",INDEX(高値!$E370:$CZ370,1,$BN370+1))</f>
      </c>
      <c r="BQ370" s="684">
        <f>IF($BN370="","",MIN(INDEX(安値!$E370:$CZ370,1,$BM370+1):INDEX(安値!$E370:$CZ370,1,$BN370+1)))</f>
      </c>
      <c r="BR370" s="684">
        <f>IF($BN370="","",AVERAGE(INDEX(終値!$E370:$CZ370,1,$BN370+1):INDEX(終値!$E370:$CZ370,1,$BN370+20))+2*STDEVP(INDEX(終値!$E370:$CZ370,1,$BN370+1):INDEX(終値!$E370:$CZ370,1,$BN370+20)))</f>
      </c>
      <c r="BS370" s="684">
        <f>IF($BM370="","",AVERAGE(INDEX(終値!$E370:$CZ370,1,$BM370+1):INDEX(終値!$E370:$CZ370,1,$BM370+20))+2*STDEVP(INDEX(終値!$E370:$CZ370,1,$BM370+1):INDEX(終値!$E370:$CZ370,1,$BM370+20)))</f>
      </c>
      <c r="BT370" s="681">
        <f>IFERROR(IF(AND($BD370&gt;=2,ABS($BG370-$BH370)/$BH370&lt;=BB設定!$B$12,$BI370&gt;=MAX($BH370,$BG370)*(1+BB設定!$B$13),終値!E370&gt;$BG370),IF(OR(終値!E370&gt;=$BI370,AND($BH370&lt;$BJ370,$BG370&gt;=$BK370)),"二番底W▲","二番底W形成"),IF(AND($BL370&gt;=2,ABS($BO370-$BP370)/$BP370&lt;=BB設定!$B$12,$BQ370&lt;=MIN($BP370,$BO370)*(1-BB設定!$B$13),終値!E370&lt;$BO370),IF(OR(終値!E370&lt;=$BQ370,AND($BP370&gt;$BR370,$BO370&lt;=$BS370)),"二番天井M▼","二番天井M形成"),"－")),"－")</f>
      </c>
    </row>
    <row r="371">
      <c r="B371" s="684">
        <f>IF(終値!A371="","",IF(AND(安値!G371&lt;安値!F371,安値!G371&lt;安値!E371,安値!G371&lt;安値!H371,安値!G371&lt;安値!I371),2,""))</f>
      </c>
      <c r="C371" s="684">
        <f>IF(終値!A371="","",IF(AND(安値!H371&lt;安値!G371,安値!H371&lt;安値!F371,安値!H371&lt;安値!I371,安値!H371&lt;安値!J371),3,""))</f>
      </c>
      <c r="D371" s="684">
        <f>IF(終値!A371="","",IF(AND(安値!I371&lt;安値!H371,安値!I371&lt;安値!G371,安値!I371&lt;安値!J371,安値!I371&lt;安値!K371),4,""))</f>
      </c>
      <c r="E371" s="684">
        <f>IF(終値!A371="","",IF(AND(安値!J371&lt;安値!I371,安値!J371&lt;安値!H371,安値!J371&lt;安値!K371,安値!J371&lt;安値!L371),5,""))</f>
      </c>
      <c r="F371" s="684">
        <f>IF(終値!A371="","",IF(AND(安値!K371&lt;安値!J371,安値!K371&lt;安値!I371,安値!K371&lt;安値!L371,安値!K371&lt;安値!M371),6,""))</f>
      </c>
      <c r="G371" s="684">
        <f>IF(終値!A371="","",IF(AND(安値!L371&lt;安値!K371,安値!L371&lt;安値!J371,安値!L371&lt;安値!M371,安値!L371&lt;安値!N371),7,""))</f>
      </c>
      <c r="H371" s="684">
        <f>IF(終値!A371="","",IF(AND(安値!M371&lt;安値!L371,安値!M371&lt;安値!K371,安値!M371&lt;安値!N371,安値!M371&lt;安値!O371),8,""))</f>
      </c>
      <c r="I371" s="684">
        <f>IF(終値!A371="","",IF(AND(安値!N371&lt;安値!M371,安値!N371&lt;安値!L371,安値!N371&lt;安値!O371,安値!N371&lt;安値!P371),9,""))</f>
      </c>
      <c r="J371" s="684">
        <f>IF(終値!A371="","",IF(AND(安値!O371&lt;安値!N371,安値!O371&lt;安値!M371,安値!O371&lt;安値!P371,安値!O371&lt;安値!Q371),10,""))</f>
      </c>
      <c r="K371" s="684">
        <f>IF(終値!A371="","",IF(AND(安値!P371&lt;安値!O371,安値!P371&lt;安値!N371,安値!P371&lt;安値!Q371,安値!P371&lt;安値!R371),11,""))</f>
      </c>
      <c r="L371" s="684">
        <f>IF(終値!A371="","",IF(AND(安値!Q371&lt;安値!P371,安値!Q371&lt;安値!O371,安値!Q371&lt;安値!R371,安値!Q371&lt;安値!S371),12,""))</f>
      </c>
      <c r="M371" s="684">
        <f>IF(終値!A371="","",IF(AND(安値!R371&lt;安値!Q371,安値!R371&lt;安値!P371,安値!R371&lt;安値!S371,安値!R371&lt;安値!T371),13,""))</f>
      </c>
      <c r="N371" s="684">
        <f>IF(終値!A371="","",IF(AND(安値!S371&lt;安値!R371,安値!S371&lt;安値!Q371,安値!S371&lt;安値!T371,安値!S371&lt;安値!U371),14,""))</f>
      </c>
      <c r="O371" s="684">
        <f>IF(終値!A371="","",IF(AND(安値!T371&lt;安値!S371,安値!T371&lt;安値!R371,安値!T371&lt;安値!U371,安値!T371&lt;安値!V371),15,""))</f>
      </c>
      <c r="P371" s="684">
        <f>IF(終値!A371="","",IF(AND(安値!U371&lt;安値!T371,安値!U371&lt;安値!S371,安値!U371&lt;安値!V371,安値!U371&lt;安値!W371),16,""))</f>
      </c>
      <c r="Q371" s="684">
        <f>IF(終値!A371="","",IF(AND(安値!V371&lt;安値!U371,安値!V371&lt;安値!T371,安値!V371&lt;安値!W371,安値!V371&lt;安値!X371),17,""))</f>
      </c>
      <c r="R371" s="684">
        <f>IF(終値!A371="","",IF(AND(安値!W371&lt;安値!V371,安値!W371&lt;安値!U371,安値!W371&lt;安値!X371,安値!W371&lt;安値!Y371),18,""))</f>
      </c>
      <c r="S371" s="684">
        <f>IF(終値!A371="","",IF(AND(安値!X371&lt;安値!W371,安値!X371&lt;安値!V371,安値!X371&lt;安値!Y371,安値!X371&lt;安値!Z371),19,""))</f>
      </c>
      <c r="T371" s="684">
        <f>IF(終値!A371="","",IF(AND(安値!Y371&lt;安値!X371,安値!Y371&lt;安値!W371,安値!Y371&lt;安値!Z371,安値!Y371&lt;安値!AA371),20,""))</f>
      </c>
      <c r="U371" s="684">
        <f>IF(終値!A371="","",IF(AND(安値!Z371&lt;安値!Y371,安値!Z371&lt;安値!X371,安値!Z371&lt;安値!AA371,安値!Z371&lt;安値!AB371),21,""))</f>
      </c>
      <c r="V371" s="684">
        <f>IF(終値!A371="","",IF(AND(安値!AA371&lt;安値!Z371,安値!AA371&lt;安値!Y371,安値!AA371&lt;安値!AB371,安値!AA371&lt;安値!AC371),22,""))</f>
      </c>
      <c r="W371" s="684">
        <f>IF(終値!A371="","",IF(AND(安値!AB371&lt;安値!AA371,安値!AB371&lt;安値!Z371,安値!AB371&lt;安値!AC371,安値!AB371&lt;安値!AD371),23,""))</f>
      </c>
      <c r="X371" s="684">
        <f>IF(終値!A371="","",IF(AND(安値!AC371&lt;安値!AB371,安値!AC371&lt;安値!AA371,安値!AC371&lt;安値!AD371,安値!AC371&lt;安値!AE371),24,""))</f>
      </c>
      <c r="Y371" s="684">
        <f>IF(終値!A371="","",IF(AND(安値!AD371&lt;安値!AC371,安値!AD371&lt;安値!AB371,安値!AD371&lt;安値!AE371,安値!AD371&lt;安値!AF371),25,""))</f>
      </c>
      <c r="Z371" s="684">
        <f>IF(終値!A371="","",IF(AND(安値!AE371&lt;安値!AD371,安値!AE371&lt;安値!AC371,安値!AE371&lt;安値!AF371,安値!AE371&lt;安値!AG371),26,""))</f>
      </c>
      <c r="AA371" s="684">
        <f>IF(終値!A371="","",IF(AND(安値!AF371&lt;安値!AE371,安値!AF371&lt;安値!AD371,安値!AF371&lt;安値!AG371,安値!AF371&lt;安値!AH371),27,""))</f>
      </c>
      <c r="AB371" s="684">
        <f>IF(終値!A371="","",IF(AND(安値!AG371&lt;安値!AF371,安値!AG371&lt;安値!AE371,安値!AG371&lt;安値!AH371,安値!AG371&lt;安値!AI371),28,""))</f>
      </c>
      <c r="AC371" s="684">
        <f>IF(終値!A371="","",IF(AND(高値!G371&gt;高値!F371,高値!G371&gt;高値!E371,高値!G371&gt;高値!H371,高値!G371&gt;高値!I371),2,""))</f>
      </c>
      <c r="AD371" s="684">
        <f>IF(終値!A371="","",IF(AND(高値!H371&gt;高値!G371,高値!H371&gt;高値!F371,高値!H371&gt;高値!I371,高値!H371&gt;高値!J371),3,""))</f>
      </c>
      <c r="AE371" s="684">
        <f>IF(終値!A371="","",IF(AND(高値!I371&gt;高値!H371,高値!I371&gt;高値!G371,高値!I371&gt;高値!J371,高値!I371&gt;高値!K371),4,""))</f>
      </c>
      <c r="AF371" s="684">
        <f>IF(終値!A371="","",IF(AND(高値!J371&gt;高値!I371,高値!J371&gt;高値!H371,高値!J371&gt;高値!K371,高値!J371&gt;高値!L371),5,""))</f>
      </c>
      <c r="AG371" s="684">
        <f>IF(終値!A371="","",IF(AND(高値!K371&gt;高値!J371,高値!K371&gt;高値!I371,高値!K371&gt;高値!L371,高値!K371&gt;高値!M371),6,""))</f>
      </c>
      <c r="AH371" s="684">
        <f>IF(終値!A371="","",IF(AND(高値!L371&gt;高値!K371,高値!L371&gt;高値!J371,高値!L371&gt;高値!M371,高値!L371&gt;高値!N371),7,""))</f>
      </c>
      <c r="AI371" s="684">
        <f>IF(終値!A371="","",IF(AND(高値!M371&gt;高値!L371,高値!M371&gt;高値!K371,高値!M371&gt;高値!N371,高値!M371&gt;高値!O371),8,""))</f>
      </c>
      <c r="AJ371" s="684">
        <f>IF(終値!A371="","",IF(AND(高値!N371&gt;高値!M371,高値!N371&gt;高値!L371,高値!N371&gt;高値!O371,高値!N371&gt;高値!P371),9,""))</f>
      </c>
      <c r="AK371" s="684">
        <f>IF(終値!A371="","",IF(AND(高値!O371&gt;高値!N371,高値!O371&gt;高値!M371,高値!O371&gt;高値!P371,高値!O371&gt;高値!Q371),10,""))</f>
      </c>
      <c r="AL371" s="684">
        <f>IF(終値!A371="","",IF(AND(高値!P371&gt;高値!O371,高値!P371&gt;高値!N371,高値!P371&gt;高値!Q371,高値!P371&gt;高値!R371),11,""))</f>
      </c>
      <c r="AM371" s="684">
        <f>IF(終値!A371="","",IF(AND(高値!Q371&gt;高値!P371,高値!Q371&gt;高値!O371,高値!Q371&gt;高値!R371,高値!Q371&gt;高値!S371),12,""))</f>
      </c>
      <c r="AN371" s="684">
        <f>IF(終値!A371="","",IF(AND(高値!R371&gt;高値!Q371,高値!R371&gt;高値!P371,高値!R371&gt;高値!S371,高値!R371&gt;高値!T371),13,""))</f>
      </c>
      <c r="AO371" s="684">
        <f>IF(終値!A371="","",IF(AND(高値!S371&gt;高値!R371,高値!S371&gt;高値!Q371,高値!S371&gt;高値!T371,高値!S371&gt;高値!U371),14,""))</f>
      </c>
      <c r="AP371" s="684">
        <f>IF(終値!A371="","",IF(AND(高値!T371&gt;高値!S371,高値!T371&gt;高値!R371,高値!T371&gt;高値!U371,高値!T371&gt;高値!V371),15,""))</f>
      </c>
      <c r="AQ371" s="684">
        <f>IF(終値!A371="","",IF(AND(高値!U371&gt;高値!T371,高値!U371&gt;高値!S371,高値!U371&gt;高値!V371,高値!U371&gt;高値!W371),16,""))</f>
      </c>
      <c r="AR371" s="684">
        <f>IF(終値!A371="","",IF(AND(高値!V371&gt;高値!U371,高値!V371&gt;高値!T371,高値!V371&gt;高値!W371,高値!V371&gt;高値!X371),17,""))</f>
      </c>
      <c r="AS371" s="684">
        <f>IF(終値!A371="","",IF(AND(高値!W371&gt;高値!V371,高値!W371&gt;高値!U371,高値!W371&gt;高値!X371,高値!W371&gt;高値!Y371),18,""))</f>
      </c>
      <c r="AT371" s="684">
        <f>IF(終値!A371="","",IF(AND(高値!X371&gt;高値!W371,高値!X371&gt;高値!V371,高値!X371&gt;高値!Y371,高値!X371&gt;高値!Z371),19,""))</f>
      </c>
      <c r="AU371" s="684">
        <f>IF(終値!A371="","",IF(AND(高値!Y371&gt;高値!X371,高値!Y371&gt;高値!W371,高値!Y371&gt;高値!Z371,高値!Y371&gt;高値!AA371),20,""))</f>
      </c>
      <c r="AV371" s="684">
        <f>IF(終値!A371="","",IF(AND(高値!Z371&gt;高値!Y371,高値!Z371&gt;高値!X371,高値!Z371&gt;高値!AA371,高値!Z371&gt;高値!AB371),21,""))</f>
      </c>
      <c r="AW371" s="684">
        <f>IF(終値!A371="","",IF(AND(高値!AA371&gt;高値!Z371,高値!AA371&gt;高値!Y371,高値!AA371&gt;高値!AB371,高値!AA371&gt;高値!AC371),22,""))</f>
      </c>
      <c r="AX371" s="684">
        <f>IF(終値!A371="","",IF(AND(高値!AB371&gt;高値!AA371,高値!AB371&gt;高値!Z371,高値!AB371&gt;高値!AC371,高値!AB371&gt;高値!AD371),23,""))</f>
      </c>
      <c r="AY371" s="684">
        <f>IF(終値!A371="","",IF(AND(高値!AC371&gt;高値!AB371,高値!AC371&gt;高値!AA371,高値!AC371&gt;高値!AD371,高値!AC371&gt;高値!AE371),24,""))</f>
      </c>
      <c r="AZ371" s="684">
        <f>IF(終値!A371="","",IF(AND(高値!AD371&gt;高値!AC371,高値!AD371&gt;高値!AB371,高値!AD371&gt;高値!AE371,高値!AD371&gt;高値!AF371),25,""))</f>
      </c>
      <c r="BA371" s="684">
        <f>IF(終値!A371="","",IF(AND(高値!AE371&gt;高値!AD371,高値!AE371&gt;高値!AC371,高値!AE371&gt;高値!AF371,高値!AE371&gt;高値!AG371),26,""))</f>
      </c>
      <c r="BB371" s="684">
        <f>IF(終値!A371="","",IF(AND(高値!AF371&gt;高値!AE371,高値!AF371&gt;高値!AD371,高値!AF371&gt;高値!AG371,高値!AF371&gt;高値!AH371),27,""))</f>
      </c>
      <c r="BC371" s="684">
        <f>IF(終値!A371="","",IF(AND(高値!AG371&gt;高値!AF371,高値!AG371&gt;高値!AE371,高値!AG371&gt;高値!AH371,高値!AG371&gt;高値!AI371),28,""))</f>
      </c>
      <c r="BD371" s="684">
        <f>COUNT($B371:$AB371)</f>
      </c>
      <c r="BE371" s="684">
        <f>IF($BD371&gt;=2,MIN($B371:$AB371),"")</f>
      </c>
      <c r="BF371" s="684">
        <f>IF($BD371&gt;=2,SMALL($B371:$AB371,2),"")</f>
      </c>
      <c r="BG371" s="684">
        <f>IF($BE371="","",INDEX(安値!$E371:$CZ371,1,$BE371+1))</f>
      </c>
      <c r="BH371" s="684">
        <f>IF($BF371="","",INDEX(安値!$E371:$CZ371,1,$BF371+1))</f>
      </c>
      <c r="BI371" s="684">
        <f>IF($BF371="","",MAX(INDEX(高値!$E371:$CZ371,1,$BE371+1):INDEX(高値!$E371:$CZ371,1,$BF371+1)))</f>
      </c>
      <c r="BJ371" s="684">
        <f>IF($BF371="","",AVERAGE(INDEX(終値!$E371:$CZ371,1,$BF371+1):INDEX(終値!$E371:$CZ371,1,$BF371+20))-2*STDEVP(INDEX(終値!$E371:$CZ371,1,$BF371+1):INDEX(終値!$E371:$CZ371,1,$BF371+20)))</f>
      </c>
      <c r="BK371" s="684">
        <f>IF($BE371="","",AVERAGE(INDEX(終値!$E371:$CZ371,1,$BE371+1):INDEX(終値!$E371:$CZ371,1,$BE371+20))-2*STDEVP(INDEX(終値!$E371:$CZ371,1,$BE371+1):INDEX(終値!$E371:$CZ371,1,$BE371+20)))</f>
      </c>
      <c r="BL371" s="684">
        <f>COUNT($AC371:$BC371)</f>
      </c>
      <c r="BM371" s="684">
        <f>IF($BL371&gt;=2,MIN($AC371:$BC371),"")</f>
      </c>
      <c r="BN371" s="684">
        <f>IF($BL371&gt;=2,SMALL($AC371:$BC371,2),"")</f>
      </c>
      <c r="BO371" s="684">
        <f>IF($BM371="","",INDEX(高値!$E371:$CZ371,1,$BM371+1))</f>
      </c>
      <c r="BP371" s="684">
        <f>IF($BN371="","",INDEX(高値!$E371:$CZ371,1,$BN371+1))</f>
      </c>
      <c r="BQ371" s="684">
        <f>IF($BN371="","",MIN(INDEX(安値!$E371:$CZ371,1,$BM371+1):INDEX(安値!$E371:$CZ371,1,$BN371+1)))</f>
      </c>
      <c r="BR371" s="684">
        <f>IF($BN371="","",AVERAGE(INDEX(終値!$E371:$CZ371,1,$BN371+1):INDEX(終値!$E371:$CZ371,1,$BN371+20))+2*STDEVP(INDEX(終値!$E371:$CZ371,1,$BN371+1):INDEX(終値!$E371:$CZ371,1,$BN371+20)))</f>
      </c>
      <c r="BS371" s="684">
        <f>IF($BM371="","",AVERAGE(INDEX(終値!$E371:$CZ371,1,$BM371+1):INDEX(終値!$E371:$CZ371,1,$BM371+20))+2*STDEVP(INDEX(終値!$E371:$CZ371,1,$BM371+1):INDEX(終値!$E371:$CZ371,1,$BM371+20)))</f>
      </c>
      <c r="BT371" s="681">
        <f>IFERROR(IF(AND($BD371&gt;=2,ABS($BG371-$BH371)/$BH371&lt;=BB設定!$B$12,$BI371&gt;=MAX($BH371,$BG371)*(1+BB設定!$B$13),終値!E371&gt;$BG371),IF(OR(終値!E371&gt;=$BI371,AND($BH371&lt;$BJ371,$BG371&gt;=$BK371)),"二番底W▲","二番底W形成"),IF(AND($BL371&gt;=2,ABS($BO371-$BP371)/$BP371&lt;=BB設定!$B$12,$BQ371&lt;=MIN($BP371,$BO371)*(1-BB設定!$B$13),終値!E371&lt;$BO371),IF(OR(終値!E371&lt;=$BQ371,AND($BP371&gt;$BR371,$BO371&lt;=$BS371)),"二番天井M▼","二番天井M形成"),"－")),"－")</f>
      </c>
    </row>
    <row r="372">
      <c r="B372" s="684">
        <f>IF(終値!A372="","",IF(AND(安値!G372&lt;安値!F372,安値!G372&lt;安値!E372,安値!G372&lt;安値!H372,安値!G372&lt;安値!I372),2,""))</f>
      </c>
      <c r="C372" s="684">
        <f>IF(終値!A372="","",IF(AND(安値!H372&lt;安値!G372,安値!H372&lt;安値!F372,安値!H372&lt;安値!I372,安値!H372&lt;安値!J372),3,""))</f>
      </c>
      <c r="D372" s="684">
        <f>IF(終値!A372="","",IF(AND(安値!I372&lt;安値!H372,安値!I372&lt;安値!G372,安値!I372&lt;安値!J372,安値!I372&lt;安値!K372),4,""))</f>
      </c>
      <c r="E372" s="684">
        <f>IF(終値!A372="","",IF(AND(安値!J372&lt;安値!I372,安値!J372&lt;安値!H372,安値!J372&lt;安値!K372,安値!J372&lt;安値!L372),5,""))</f>
      </c>
      <c r="F372" s="684">
        <f>IF(終値!A372="","",IF(AND(安値!K372&lt;安値!J372,安値!K372&lt;安値!I372,安値!K372&lt;安値!L372,安値!K372&lt;安値!M372),6,""))</f>
      </c>
      <c r="G372" s="684">
        <f>IF(終値!A372="","",IF(AND(安値!L372&lt;安値!K372,安値!L372&lt;安値!J372,安値!L372&lt;安値!M372,安値!L372&lt;安値!N372),7,""))</f>
      </c>
      <c r="H372" s="684">
        <f>IF(終値!A372="","",IF(AND(安値!M372&lt;安値!L372,安値!M372&lt;安値!K372,安値!M372&lt;安値!N372,安値!M372&lt;安値!O372),8,""))</f>
      </c>
      <c r="I372" s="684">
        <f>IF(終値!A372="","",IF(AND(安値!N372&lt;安値!M372,安値!N372&lt;安値!L372,安値!N372&lt;安値!O372,安値!N372&lt;安値!P372),9,""))</f>
      </c>
      <c r="J372" s="684">
        <f>IF(終値!A372="","",IF(AND(安値!O372&lt;安値!N372,安値!O372&lt;安値!M372,安値!O372&lt;安値!P372,安値!O372&lt;安値!Q372),10,""))</f>
      </c>
      <c r="K372" s="684">
        <f>IF(終値!A372="","",IF(AND(安値!P372&lt;安値!O372,安値!P372&lt;安値!N372,安値!P372&lt;安値!Q372,安値!P372&lt;安値!R372),11,""))</f>
      </c>
      <c r="L372" s="684">
        <f>IF(終値!A372="","",IF(AND(安値!Q372&lt;安値!P372,安値!Q372&lt;安値!O372,安値!Q372&lt;安値!R372,安値!Q372&lt;安値!S372),12,""))</f>
      </c>
      <c r="M372" s="684">
        <f>IF(終値!A372="","",IF(AND(安値!R372&lt;安値!Q372,安値!R372&lt;安値!P372,安値!R372&lt;安値!S372,安値!R372&lt;安値!T372),13,""))</f>
      </c>
      <c r="N372" s="684">
        <f>IF(終値!A372="","",IF(AND(安値!S372&lt;安値!R372,安値!S372&lt;安値!Q372,安値!S372&lt;安値!T372,安値!S372&lt;安値!U372),14,""))</f>
      </c>
      <c r="O372" s="684">
        <f>IF(終値!A372="","",IF(AND(安値!T372&lt;安値!S372,安値!T372&lt;安値!R372,安値!T372&lt;安値!U372,安値!T372&lt;安値!V372),15,""))</f>
      </c>
      <c r="P372" s="684">
        <f>IF(終値!A372="","",IF(AND(安値!U372&lt;安値!T372,安値!U372&lt;安値!S372,安値!U372&lt;安値!V372,安値!U372&lt;安値!W372),16,""))</f>
      </c>
      <c r="Q372" s="684">
        <f>IF(終値!A372="","",IF(AND(安値!V372&lt;安値!U372,安値!V372&lt;安値!T372,安値!V372&lt;安値!W372,安値!V372&lt;安値!X372),17,""))</f>
      </c>
      <c r="R372" s="684">
        <f>IF(終値!A372="","",IF(AND(安値!W372&lt;安値!V372,安値!W372&lt;安値!U372,安値!W372&lt;安値!X372,安値!W372&lt;安値!Y372),18,""))</f>
      </c>
      <c r="S372" s="684">
        <f>IF(終値!A372="","",IF(AND(安値!X372&lt;安値!W372,安値!X372&lt;安値!V372,安値!X372&lt;安値!Y372,安値!X372&lt;安値!Z372),19,""))</f>
      </c>
      <c r="T372" s="684">
        <f>IF(終値!A372="","",IF(AND(安値!Y372&lt;安値!X372,安値!Y372&lt;安値!W372,安値!Y372&lt;安値!Z372,安値!Y372&lt;安値!AA372),20,""))</f>
      </c>
      <c r="U372" s="684">
        <f>IF(終値!A372="","",IF(AND(安値!Z372&lt;安値!Y372,安値!Z372&lt;安値!X372,安値!Z372&lt;安値!AA372,安値!Z372&lt;安値!AB372),21,""))</f>
      </c>
      <c r="V372" s="684">
        <f>IF(終値!A372="","",IF(AND(安値!AA372&lt;安値!Z372,安値!AA372&lt;安値!Y372,安値!AA372&lt;安値!AB372,安値!AA372&lt;安値!AC372),22,""))</f>
      </c>
      <c r="W372" s="684">
        <f>IF(終値!A372="","",IF(AND(安値!AB372&lt;安値!AA372,安値!AB372&lt;安値!Z372,安値!AB372&lt;安値!AC372,安値!AB372&lt;安値!AD372),23,""))</f>
      </c>
      <c r="X372" s="684">
        <f>IF(終値!A372="","",IF(AND(安値!AC372&lt;安値!AB372,安値!AC372&lt;安値!AA372,安値!AC372&lt;安値!AD372,安値!AC372&lt;安値!AE372),24,""))</f>
      </c>
      <c r="Y372" s="684">
        <f>IF(終値!A372="","",IF(AND(安値!AD372&lt;安値!AC372,安値!AD372&lt;安値!AB372,安値!AD372&lt;安値!AE372,安値!AD372&lt;安値!AF372),25,""))</f>
      </c>
      <c r="Z372" s="684">
        <f>IF(終値!A372="","",IF(AND(安値!AE372&lt;安値!AD372,安値!AE372&lt;安値!AC372,安値!AE372&lt;安値!AF372,安値!AE372&lt;安値!AG372),26,""))</f>
      </c>
      <c r="AA372" s="684">
        <f>IF(終値!A372="","",IF(AND(安値!AF372&lt;安値!AE372,安値!AF372&lt;安値!AD372,安値!AF372&lt;安値!AG372,安値!AF372&lt;安値!AH372),27,""))</f>
      </c>
      <c r="AB372" s="684">
        <f>IF(終値!A372="","",IF(AND(安値!AG372&lt;安値!AF372,安値!AG372&lt;安値!AE372,安値!AG372&lt;安値!AH372,安値!AG372&lt;安値!AI372),28,""))</f>
      </c>
      <c r="AC372" s="684">
        <f>IF(終値!A372="","",IF(AND(高値!G372&gt;高値!F372,高値!G372&gt;高値!E372,高値!G372&gt;高値!H372,高値!G372&gt;高値!I372),2,""))</f>
      </c>
      <c r="AD372" s="684">
        <f>IF(終値!A372="","",IF(AND(高値!H372&gt;高値!G372,高値!H372&gt;高値!F372,高値!H372&gt;高値!I372,高値!H372&gt;高値!J372),3,""))</f>
      </c>
      <c r="AE372" s="684">
        <f>IF(終値!A372="","",IF(AND(高値!I372&gt;高値!H372,高値!I372&gt;高値!G372,高値!I372&gt;高値!J372,高値!I372&gt;高値!K372),4,""))</f>
      </c>
      <c r="AF372" s="684">
        <f>IF(終値!A372="","",IF(AND(高値!J372&gt;高値!I372,高値!J372&gt;高値!H372,高値!J372&gt;高値!K372,高値!J372&gt;高値!L372),5,""))</f>
      </c>
      <c r="AG372" s="684">
        <f>IF(終値!A372="","",IF(AND(高値!K372&gt;高値!J372,高値!K372&gt;高値!I372,高値!K372&gt;高値!L372,高値!K372&gt;高値!M372),6,""))</f>
      </c>
      <c r="AH372" s="684">
        <f>IF(終値!A372="","",IF(AND(高値!L372&gt;高値!K372,高値!L372&gt;高値!J372,高値!L372&gt;高値!M372,高値!L372&gt;高値!N372),7,""))</f>
      </c>
      <c r="AI372" s="684">
        <f>IF(終値!A372="","",IF(AND(高値!M372&gt;高値!L372,高値!M372&gt;高値!K372,高値!M372&gt;高値!N372,高値!M372&gt;高値!O372),8,""))</f>
      </c>
      <c r="AJ372" s="684">
        <f>IF(終値!A372="","",IF(AND(高値!N372&gt;高値!M372,高値!N372&gt;高値!L372,高値!N372&gt;高値!O372,高値!N372&gt;高値!P372),9,""))</f>
      </c>
      <c r="AK372" s="684">
        <f>IF(終値!A372="","",IF(AND(高値!O372&gt;高値!N372,高値!O372&gt;高値!M372,高値!O372&gt;高値!P372,高値!O372&gt;高値!Q372),10,""))</f>
      </c>
      <c r="AL372" s="684">
        <f>IF(終値!A372="","",IF(AND(高値!P372&gt;高値!O372,高値!P372&gt;高値!N372,高値!P372&gt;高値!Q372,高値!P372&gt;高値!R372),11,""))</f>
      </c>
      <c r="AM372" s="684">
        <f>IF(終値!A372="","",IF(AND(高値!Q372&gt;高値!P372,高値!Q372&gt;高値!O372,高値!Q372&gt;高値!R372,高値!Q372&gt;高値!S372),12,""))</f>
      </c>
      <c r="AN372" s="684">
        <f>IF(終値!A372="","",IF(AND(高値!R372&gt;高値!Q372,高値!R372&gt;高値!P372,高値!R372&gt;高値!S372,高値!R372&gt;高値!T372),13,""))</f>
      </c>
      <c r="AO372" s="684">
        <f>IF(終値!A372="","",IF(AND(高値!S372&gt;高値!R372,高値!S372&gt;高値!Q372,高値!S372&gt;高値!T372,高値!S372&gt;高値!U372),14,""))</f>
      </c>
      <c r="AP372" s="684">
        <f>IF(終値!A372="","",IF(AND(高値!T372&gt;高値!S372,高値!T372&gt;高値!R372,高値!T372&gt;高値!U372,高値!T372&gt;高値!V372),15,""))</f>
      </c>
      <c r="AQ372" s="684">
        <f>IF(終値!A372="","",IF(AND(高値!U372&gt;高値!T372,高値!U372&gt;高値!S372,高値!U372&gt;高値!V372,高値!U372&gt;高値!W372),16,""))</f>
      </c>
      <c r="AR372" s="684">
        <f>IF(終値!A372="","",IF(AND(高値!V372&gt;高値!U372,高値!V372&gt;高値!T372,高値!V372&gt;高値!W372,高値!V372&gt;高値!X372),17,""))</f>
      </c>
      <c r="AS372" s="684">
        <f>IF(終値!A372="","",IF(AND(高値!W372&gt;高値!V372,高値!W372&gt;高値!U372,高値!W372&gt;高値!X372,高値!W372&gt;高値!Y372),18,""))</f>
      </c>
      <c r="AT372" s="684">
        <f>IF(終値!A372="","",IF(AND(高値!X372&gt;高値!W372,高値!X372&gt;高値!V372,高値!X372&gt;高値!Y372,高値!X372&gt;高値!Z372),19,""))</f>
      </c>
      <c r="AU372" s="684">
        <f>IF(終値!A372="","",IF(AND(高値!Y372&gt;高値!X372,高値!Y372&gt;高値!W372,高値!Y372&gt;高値!Z372,高値!Y372&gt;高値!AA372),20,""))</f>
      </c>
      <c r="AV372" s="684">
        <f>IF(終値!A372="","",IF(AND(高値!Z372&gt;高値!Y372,高値!Z372&gt;高値!X372,高値!Z372&gt;高値!AA372,高値!Z372&gt;高値!AB372),21,""))</f>
      </c>
      <c r="AW372" s="684">
        <f>IF(終値!A372="","",IF(AND(高値!AA372&gt;高値!Z372,高値!AA372&gt;高値!Y372,高値!AA372&gt;高値!AB372,高値!AA372&gt;高値!AC372),22,""))</f>
      </c>
      <c r="AX372" s="684">
        <f>IF(終値!A372="","",IF(AND(高値!AB372&gt;高値!AA372,高値!AB372&gt;高値!Z372,高値!AB372&gt;高値!AC372,高値!AB372&gt;高値!AD372),23,""))</f>
      </c>
      <c r="AY372" s="684">
        <f>IF(終値!A372="","",IF(AND(高値!AC372&gt;高値!AB372,高値!AC372&gt;高値!AA372,高値!AC372&gt;高値!AD372,高値!AC372&gt;高値!AE372),24,""))</f>
      </c>
      <c r="AZ372" s="684">
        <f>IF(終値!A372="","",IF(AND(高値!AD372&gt;高値!AC372,高値!AD372&gt;高値!AB372,高値!AD372&gt;高値!AE372,高値!AD372&gt;高値!AF372),25,""))</f>
      </c>
      <c r="BA372" s="684">
        <f>IF(終値!A372="","",IF(AND(高値!AE372&gt;高値!AD372,高値!AE372&gt;高値!AC372,高値!AE372&gt;高値!AF372,高値!AE372&gt;高値!AG372),26,""))</f>
      </c>
      <c r="BB372" s="684">
        <f>IF(終値!A372="","",IF(AND(高値!AF372&gt;高値!AE372,高値!AF372&gt;高値!AD372,高値!AF372&gt;高値!AG372,高値!AF372&gt;高値!AH372),27,""))</f>
      </c>
      <c r="BC372" s="684">
        <f>IF(終値!A372="","",IF(AND(高値!AG372&gt;高値!AF372,高値!AG372&gt;高値!AE372,高値!AG372&gt;高値!AH372,高値!AG372&gt;高値!AI372),28,""))</f>
      </c>
      <c r="BD372" s="684">
        <f>COUNT($B372:$AB372)</f>
      </c>
      <c r="BE372" s="684">
        <f>IF($BD372&gt;=2,MIN($B372:$AB372),"")</f>
      </c>
      <c r="BF372" s="684">
        <f>IF($BD372&gt;=2,SMALL($B372:$AB372,2),"")</f>
      </c>
      <c r="BG372" s="684">
        <f>IF($BE372="","",INDEX(安値!$E372:$CZ372,1,$BE372+1))</f>
      </c>
      <c r="BH372" s="684">
        <f>IF($BF372="","",INDEX(安値!$E372:$CZ372,1,$BF372+1))</f>
      </c>
      <c r="BI372" s="684">
        <f>IF($BF372="","",MAX(INDEX(高値!$E372:$CZ372,1,$BE372+1):INDEX(高値!$E372:$CZ372,1,$BF372+1)))</f>
      </c>
      <c r="BJ372" s="684">
        <f>IF($BF372="","",AVERAGE(INDEX(終値!$E372:$CZ372,1,$BF372+1):INDEX(終値!$E372:$CZ372,1,$BF372+20))-2*STDEVP(INDEX(終値!$E372:$CZ372,1,$BF372+1):INDEX(終値!$E372:$CZ372,1,$BF372+20)))</f>
      </c>
      <c r="BK372" s="684">
        <f>IF($BE372="","",AVERAGE(INDEX(終値!$E372:$CZ372,1,$BE372+1):INDEX(終値!$E372:$CZ372,1,$BE372+20))-2*STDEVP(INDEX(終値!$E372:$CZ372,1,$BE372+1):INDEX(終値!$E372:$CZ372,1,$BE372+20)))</f>
      </c>
      <c r="BL372" s="684">
        <f>COUNT($AC372:$BC372)</f>
      </c>
      <c r="BM372" s="684">
        <f>IF($BL372&gt;=2,MIN($AC372:$BC372),"")</f>
      </c>
      <c r="BN372" s="684">
        <f>IF($BL372&gt;=2,SMALL($AC372:$BC372,2),"")</f>
      </c>
      <c r="BO372" s="684">
        <f>IF($BM372="","",INDEX(高値!$E372:$CZ372,1,$BM372+1))</f>
      </c>
      <c r="BP372" s="684">
        <f>IF($BN372="","",INDEX(高値!$E372:$CZ372,1,$BN372+1))</f>
      </c>
      <c r="BQ372" s="684">
        <f>IF($BN372="","",MIN(INDEX(安値!$E372:$CZ372,1,$BM372+1):INDEX(安値!$E372:$CZ372,1,$BN372+1)))</f>
      </c>
      <c r="BR372" s="684">
        <f>IF($BN372="","",AVERAGE(INDEX(終値!$E372:$CZ372,1,$BN372+1):INDEX(終値!$E372:$CZ372,1,$BN372+20))+2*STDEVP(INDEX(終値!$E372:$CZ372,1,$BN372+1):INDEX(終値!$E372:$CZ372,1,$BN372+20)))</f>
      </c>
      <c r="BS372" s="684">
        <f>IF($BM372="","",AVERAGE(INDEX(終値!$E372:$CZ372,1,$BM372+1):INDEX(終値!$E372:$CZ372,1,$BM372+20))+2*STDEVP(INDEX(終値!$E372:$CZ372,1,$BM372+1):INDEX(終値!$E372:$CZ372,1,$BM372+20)))</f>
      </c>
      <c r="BT372" s="681">
        <f>IFERROR(IF(AND($BD372&gt;=2,ABS($BG372-$BH372)/$BH372&lt;=BB設定!$B$12,$BI372&gt;=MAX($BH372,$BG372)*(1+BB設定!$B$13),終値!E372&gt;$BG372),IF(OR(終値!E372&gt;=$BI372,AND($BH372&lt;$BJ372,$BG372&gt;=$BK372)),"二番底W▲","二番底W形成"),IF(AND($BL372&gt;=2,ABS($BO372-$BP372)/$BP372&lt;=BB設定!$B$12,$BQ372&lt;=MIN($BP372,$BO372)*(1-BB設定!$B$13),終値!E372&lt;$BO372),IF(OR(終値!E372&lt;=$BQ372,AND($BP372&gt;$BR372,$BO372&lt;=$BS372)),"二番天井M▼","二番天井M形成"),"－")),"－")</f>
      </c>
    </row>
    <row r="373">
      <c r="B373" s="684">
        <f>IF(終値!A373="","",IF(AND(安値!G373&lt;安値!F373,安値!G373&lt;安値!E373,安値!G373&lt;安値!H373,安値!G373&lt;安値!I373),2,""))</f>
      </c>
      <c r="C373" s="684">
        <f>IF(終値!A373="","",IF(AND(安値!H373&lt;安値!G373,安値!H373&lt;安値!F373,安値!H373&lt;安値!I373,安値!H373&lt;安値!J373),3,""))</f>
      </c>
      <c r="D373" s="684">
        <f>IF(終値!A373="","",IF(AND(安値!I373&lt;安値!H373,安値!I373&lt;安値!G373,安値!I373&lt;安値!J373,安値!I373&lt;安値!K373),4,""))</f>
      </c>
      <c r="E373" s="684">
        <f>IF(終値!A373="","",IF(AND(安値!J373&lt;安値!I373,安値!J373&lt;安値!H373,安値!J373&lt;安値!K373,安値!J373&lt;安値!L373),5,""))</f>
      </c>
      <c r="F373" s="684">
        <f>IF(終値!A373="","",IF(AND(安値!K373&lt;安値!J373,安値!K373&lt;安値!I373,安値!K373&lt;安値!L373,安値!K373&lt;安値!M373),6,""))</f>
      </c>
      <c r="G373" s="684">
        <f>IF(終値!A373="","",IF(AND(安値!L373&lt;安値!K373,安値!L373&lt;安値!J373,安値!L373&lt;安値!M373,安値!L373&lt;安値!N373),7,""))</f>
      </c>
      <c r="H373" s="684">
        <f>IF(終値!A373="","",IF(AND(安値!M373&lt;安値!L373,安値!M373&lt;安値!K373,安値!M373&lt;安値!N373,安値!M373&lt;安値!O373),8,""))</f>
      </c>
      <c r="I373" s="684">
        <f>IF(終値!A373="","",IF(AND(安値!N373&lt;安値!M373,安値!N373&lt;安値!L373,安値!N373&lt;安値!O373,安値!N373&lt;安値!P373),9,""))</f>
      </c>
      <c r="J373" s="684">
        <f>IF(終値!A373="","",IF(AND(安値!O373&lt;安値!N373,安値!O373&lt;安値!M373,安値!O373&lt;安値!P373,安値!O373&lt;安値!Q373),10,""))</f>
      </c>
      <c r="K373" s="684">
        <f>IF(終値!A373="","",IF(AND(安値!P373&lt;安値!O373,安値!P373&lt;安値!N373,安値!P373&lt;安値!Q373,安値!P373&lt;安値!R373),11,""))</f>
      </c>
      <c r="L373" s="684">
        <f>IF(終値!A373="","",IF(AND(安値!Q373&lt;安値!P373,安値!Q373&lt;安値!O373,安値!Q373&lt;安値!R373,安値!Q373&lt;安値!S373),12,""))</f>
      </c>
      <c r="M373" s="684">
        <f>IF(終値!A373="","",IF(AND(安値!R373&lt;安値!Q373,安値!R373&lt;安値!P373,安値!R373&lt;安値!S373,安値!R373&lt;安値!T373),13,""))</f>
      </c>
      <c r="N373" s="684">
        <f>IF(終値!A373="","",IF(AND(安値!S373&lt;安値!R373,安値!S373&lt;安値!Q373,安値!S373&lt;安値!T373,安値!S373&lt;安値!U373),14,""))</f>
      </c>
      <c r="O373" s="684">
        <f>IF(終値!A373="","",IF(AND(安値!T373&lt;安値!S373,安値!T373&lt;安値!R373,安値!T373&lt;安値!U373,安値!T373&lt;安値!V373),15,""))</f>
      </c>
      <c r="P373" s="684">
        <f>IF(終値!A373="","",IF(AND(安値!U373&lt;安値!T373,安値!U373&lt;安値!S373,安値!U373&lt;安値!V373,安値!U373&lt;安値!W373),16,""))</f>
      </c>
      <c r="Q373" s="684">
        <f>IF(終値!A373="","",IF(AND(安値!V373&lt;安値!U373,安値!V373&lt;安値!T373,安値!V373&lt;安値!W373,安値!V373&lt;安値!X373),17,""))</f>
      </c>
      <c r="R373" s="684">
        <f>IF(終値!A373="","",IF(AND(安値!W373&lt;安値!V373,安値!W373&lt;安値!U373,安値!W373&lt;安値!X373,安値!W373&lt;安値!Y373),18,""))</f>
      </c>
      <c r="S373" s="684">
        <f>IF(終値!A373="","",IF(AND(安値!X373&lt;安値!W373,安値!X373&lt;安値!V373,安値!X373&lt;安値!Y373,安値!X373&lt;安値!Z373),19,""))</f>
      </c>
      <c r="T373" s="684">
        <f>IF(終値!A373="","",IF(AND(安値!Y373&lt;安値!X373,安値!Y373&lt;安値!W373,安値!Y373&lt;安値!Z373,安値!Y373&lt;安値!AA373),20,""))</f>
      </c>
      <c r="U373" s="684">
        <f>IF(終値!A373="","",IF(AND(安値!Z373&lt;安値!Y373,安値!Z373&lt;安値!X373,安値!Z373&lt;安値!AA373,安値!Z373&lt;安値!AB373),21,""))</f>
      </c>
      <c r="V373" s="684">
        <f>IF(終値!A373="","",IF(AND(安値!AA373&lt;安値!Z373,安値!AA373&lt;安値!Y373,安値!AA373&lt;安値!AB373,安値!AA373&lt;安値!AC373),22,""))</f>
      </c>
      <c r="W373" s="684">
        <f>IF(終値!A373="","",IF(AND(安値!AB373&lt;安値!AA373,安値!AB373&lt;安値!Z373,安値!AB373&lt;安値!AC373,安値!AB373&lt;安値!AD373),23,""))</f>
      </c>
      <c r="X373" s="684">
        <f>IF(終値!A373="","",IF(AND(安値!AC373&lt;安値!AB373,安値!AC373&lt;安値!AA373,安値!AC373&lt;安値!AD373,安値!AC373&lt;安値!AE373),24,""))</f>
      </c>
      <c r="Y373" s="684">
        <f>IF(終値!A373="","",IF(AND(安値!AD373&lt;安値!AC373,安値!AD373&lt;安値!AB373,安値!AD373&lt;安値!AE373,安値!AD373&lt;安値!AF373),25,""))</f>
      </c>
      <c r="Z373" s="684">
        <f>IF(終値!A373="","",IF(AND(安値!AE373&lt;安値!AD373,安値!AE373&lt;安値!AC373,安値!AE373&lt;安値!AF373,安値!AE373&lt;安値!AG373),26,""))</f>
      </c>
      <c r="AA373" s="684">
        <f>IF(終値!A373="","",IF(AND(安値!AF373&lt;安値!AE373,安値!AF373&lt;安値!AD373,安値!AF373&lt;安値!AG373,安値!AF373&lt;安値!AH373),27,""))</f>
      </c>
      <c r="AB373" s="684">
        <f>IF(終値!A373="","",IF(AND(安値!AG373&lt;安値!AF373,安値!AG373&lt;安値!AE373,安値!AG373&lt;安値!AH373,安値!AG373&lt;安値!AI373),28,""))</f>
      </c>
      <c r="AC373" s="684">
        <f>IF(終値!A373="","",IF(AND(高値!G373&gt;高値!F373,高値!G373&gt;高値!E373,高値!G373&gt;高値!H373,高値!G373&gt;高値!I373),2,""))</f>
      </c>
      <c r="AD373" s="684">
        <f>IF(終値!A373="","",IF(AND(高値!H373&gt;高値!G373,高値!H373&gt;高値!F373,高値!H373&gt;高値!I373,高値!H373&gt;高値!J373),3,""))</f>
      </c>
      <c r="AE373" s="684">
        <f>IF(終値!A373="","",IF(AND(高値!I373&gt;高値!H373,高値!I373&gt;高値!G373,高値!I373&gt;高値!J373,高値!I373&gt;高値!K373),4,""))</f>
      </c>
      <c r="AF373" s="684">
        <f>IF(終値!A373="","",IF(AND(高値!J373&gt;高値!I373,高値!J373&gt;高値!H373,高値!J373&gt;高値!K373,高値!J373&gt;高値!L373),5,""))</f>
      </c>
      <c r="AG373" s="684">
        <f>IF(終値!A373="","",IF(AND(高値!K373&gt;高値!J373,高値!K373&gt;高値!I373,高値!K373&gt;高値!L373,高値!K373&gt;高値!M373),6,""))</f>
      </c>
      <c r="AH373" s="684">
        <f>IF(終値!A373="","",IF(AND(高値!L373&gt;高値!K373,高値!L373&gt;高値!J373,高値!L373&gt;高値!M373,高値!L373&gt;高値!N373),7,""))</f>
      </c>
      <c r="AI373" s="684">
        <f>IF(終値!A373="","",IF(AND(高値!M373&gt;高値!L373,高値!M373&gt;高値!K373,高値!M373&gt;高値!N373,高値!M373&gt;高値!O373),8,""))</f>
      </c>
      <c r="AJ373" s="684">
        <f>IF(終値!A373="","",IF(AND(高値!N373&gt;高値!M373,高値!N373&gt;高値!L373,高値!N373&gt;高値!O373,高値!N373&gt;高値!P373),9,""))</f>
      </c>
      <c r="AK373" s="684">
        <f>IF(終値!A373="","",IF(AND(高値!O373&gt;高値!N373,高値!O373&gt;高値!M373,高値!O373&gt;高値!P373,高値!O373&gt;高値!Q373),10,""))</f>
      </c>
      <c r="AL373" s="684">
        <f>IF(終値!A373="","",IF(AND(高値!P373&gt;高値!O373,高値!P373&gt;高値!N373,高値!P373&gt;高値!Q373,高値!P373&gt;高値!R373),11,""))</f>
      </c>
      <c r="AM373" s="684">
        <f>IF(終値!A373="","",IF(AND(高値!Q373&gt;高値!P373,高値!Q373&gt;高値!O373,高値!Q373&gt;高値!R373,高値!Q373&gt;高値!S373),12,""))</f>
      </c>
      <c r="AN373" s="684">
        <f>IF(終値!A373="","",IF(AND(高値!R373&gt;高値!Q373,高値!R373&gt;高値!P373,高値!R373&gt;高値!S373,高値!R373&gt;高値!T373),13,""))</f>
      </c>
      <c r="AO373" s="684">
        <f>IF(終値!A373="","",IF(AND(高値!S373&gt;高値!R373,高値!S373&gt;高値!Q373,高値!S373&gt;高値!T373,高値!S373&gt;高値!U373),14,""))</f>
      </c>
      <c r="AP373" s="684">
        <f>IF(終値!A373="","",IF(AND(高値!T373&gt;高値!S373,高値!T373&gt;高値!R373,高値!T373&gt;高値!U373,高値!T373&gt;高値!V373),15,""))</f>
      </c>
      <c r="AQ373" s="684">
        <f>IF(終値!A373="","",IF(AND(高値!U373&gt;高値!T373,高値!U373&gt;高値!S373,高値!U373&gt;高値!V373,高値!U373&gt;高値!W373),16,""))</f>
      </c>
      <c r="AR373" s="684">
        <f>IF(終値!A373="","",IF(AND(高値!V373&gt;高値!U373,高値!V373&gt;高値!T373,高値!V373&gt;高値!W373,高値!V373&gt;高値!X373),17,""))</f>
      </c>
      <c r="AS373" s="684">
        <f>IF(終値!A373="","",IF(AND(高値!W373&gt;高値!V373,高値!W373&gt;高値!U373,高値!W373&gt;高値!X373,高値!W373&gt;高値!Y373),18,""))</f>
      </c>
      <c r="AT373" s="684">
        <f>IF(終値!A373="","",IF(AND(高値!X373&gt;高値!W373,高値!X373&gt;高値!V373,高値!X373&gt;高値!Y373,高値!X373&gt;高値!Z373),19,""))</f>
      </c>
      <c r="AU373" s="684">
        <f>IF(終値!A373="","",IF(AND(高値!Y373&gt;高値!X373,高値!Y373&gt;高値!W373,高値!Y373&gt;高値!Z373,高値!Y373&gt;高値!AA373),20,""))</f>
      </c>
      <c r="AV373" s="684">
        <f>IF(終値!A373="","",IF(AND(高値!Z373&gt;高値!Y373,高値!Z373&gt;高値!X373,高値!Z373&gt;高値!AA373,高値!Z373&gt;高値!AB373),21,""))</f>
      </c>
      <c r="AW373" s="684">
        <f>IF(終値!A373="","",IF(AND(高値!AA373&gt;高値!Z373,高値!AA373&gt;高値!Y373,高値!AA373&gt;高値!AB373,高値!AA373&gt;高値!AC373),22,""))</f>
      </c>
      <c r="AX373" s="684">
        <f>IF(終値!A373="","",IF(AND(高値!AB373&gt;高値!AA373,高値!AB373&gt;高値!Z373,高値!AB373&gt;高値!AC373,高値!AB373&gt;高値!AD373),23,""))</f>
      </c>
      <c r="AY373" s="684">
        <f>IF(終値!A373="","",IF(AND(高値!AC373&gt;高値!AB373,高値!AC373&gt;高値!AA373,高値!AC373&gt;高値!AD373,高値!AC373&gt;高値!AE373),24,""))</f>
      </c>
      <c r="AZ373" s="684">
        <f>IF(終値!A373="","",IF(AND(高値!AD373&gt;高値!AC373,高値!AD373&gt;高値!AB373,高値!AD373&gt;高値!AE373,高値!AD373&gt;高値!AF373),25,""))</f>
      </c>
      <c r="BA373" s="684">
        <f>IF(終値!A373="","",IF(AND(高値!AE373&gt;高値!AD373,高値!AE373&gt;高値!AC373,高値!AE373&gt;高値!AF373,高値!AE373&gt;高値!AG373),26,""))</f>
      </c>
      <c r="BB373" s="684">
        <f>IF(終値!A373="","",IF(AND(高値!AF373&gt;高値!AE373,高値!AF373&gt;高値!AD373,高値!AF373&gt;高値!AG373,高値!AF373&gt;高値!AH373),27,""))</f>
      </c>
      <c r="BC373" s="684">
        <f>IF(終値!A373="","",IF(AND(高値!AG373&gt;高値!AF373,高値!AG373&gt;高値!AE373,高値!AG373&gt;高値!AH373,高値!AG373&gt;高値!AI373),28,""))</f>
      </c>
      <c r="BD373" s="684">
        <f>COUNT($B373:$AB373)</f>
      </c>
      <c r="BE373" s="684">
        <f>IF($BD373&gt;=2,MIN($B373:$AB373),"")</f>
      </c>
      <c r="BF373" s="684">
        <f>IF($BD373&gt;=2,SMALL($B373:$AB373,2),"")</f>
      </c>
      <c r="BG373" s="684">
        <f>IF($BE373="","",INDEX(安値!$E373:$CZ373,1,$BE373+1))</f>
      </c>
      <c r="BH373" s="684">
        <f>IF($BF373="","",INDEX(安値!$E373:$CZ373,1,$BF373+1))</f>
      </c>
      <c r="BI373" s="684">
        <f>IF($BF373="","",MAX(INDEX(高値!$E373:$CZ373,1,$BE373+1):INDEX(高値!$E373:$CZ373,1,$BF373+1)))</f>
      </c>
      <c r="BJ373" s="684">
        <f>IF($BF373="","",AVERAGE(INDEX(終値!$E373:$CZ373,1,$BF373+1):INDEX(終値!$E373:$CZ373,1,$BF373+20))-2*STDEVP(INDEX(終値!$E373:$CZ373,1,$BF373+1):INDEX(終値!$E373:$CZ373,1,$BF373+20)))</f>
      </c>
      <c r="BK373" s="684">
        <f>IF($BE373="","",AVERAGE(INDEX(終値!$E373:$CZ373,1,$BE373+1):INDEX(終値!$E373:$CZ373,1,$BE373+20))-2*STDEVP(INDEX(終値!$E373:$CZ373,1,$BE373+1):INDEX(終値!$E373:$CZ373,1,$BE373+20)))</f>
      </c>
      <c r="BL373" s="684">
        <f>COUNT($AC373:$BC373)</f>
      </c>
      <c r="BM373" s="684">
        <f>IF($BL373&gt;=2,MIN($AC373:$BC373),"")</f>
      </c>
      <c r="BN373" s="684">
        <f>IF($BL373&gt;=2,SMALL($AC373:$BC373,2),"")</f>
      </c>
      <c r="BO373" s="684">
        <f>IF($BM373="","",INDEX(高値!$E373:$CZ373,1,$BM373+1))</f>
      </c>
      <c r="BP373" s="684">
        <f>IF($BN373="","",INDEX(高値!$E373:$CZ373,1,$BN373+1))</f>
      </c>
      <c r="BQ373" s="684">
        <f>IF($BN373="","",MIN(INDEX(安値!$E373:$CZ373,1,$BM373+1):INDEX(安値!$E373:$CZ373,1,$BN373+1)))</f>
      </c>
      <c r="BR373" s="684">
        <f>IF($BN373="","",AVERAGE(INDEX(終値!$E373:$CZ373,1,$BN373+1):INDEX(終値!$E373:$CZ373,1,$BN373+20))+2*STDEVP(INDEX(終値!$E373:$CZ373,1,$BN373+1):INDEX(終値!$E373:$CZ373,1,$BN373+20)))</f>
      </c>
      <c r="BS373" s="684">
        <f>IF($BM373="","",AVERAGE(INDEX(終値!$E373:$CZ373,1,$BM373+1):INDEX(終値!$E373:$CZ373,1,$BM373+20))+2*STDEVP(INDEX(終値!$E373:$CZ373,1,$BM373+1):INDEX(終値!$E373:$CZ373,1,$BM373+20)))</f>
      </c>
      <c r="BT373" s="681">
        <f>IFERROR(IF(AND($BD373&gt;=2,ABS($BG373-$BH373)/$BH373&lt;=BB設定!$B$12,$BI373&gt;=MAX($BH373,$BG373)*(1+BB設定!$B$13),終値!E373&gt;$BG373),IF(OR(終値!E373&gt;=$BI373,AND($BH373&lt;$BJ373,$BG373&gt;=$BK373)),"二番底W▲","二番底W形成"),IF(AND($BL373&gt;=2,ABS($BO373-$BP373)/$BP373&lt;=BB設定!$B$12,$BQ373&lt;=MIN($BP373,$BO373)*(1-BB設定!$B$13),終値!E373&lt;$BO373),IF(OR(終値!E373&lt;=$BQ373,AND($BP373&gt;$BR373,$BO373&lt;=$BS373)),"二番天井M▼","二番天井M形成"),"－")),"－")</f>
      </c>
    </row>
    <row r="374">
      <c r="B374" s="684">
        <f>IF(終値!A374="","",IF(AND(安値!G374&lt;安値!F374,安値!G374&lt;安値!E374,安値!G374&lt;安値!H374,安値!G374&lt;安値!I374),2,""))</f>
      </c>
      <c r="C374" s="684">
        <f>IF(終値!A374="","",IF(AND(安値!H374&lt;安値!G374,安値!H374&lt;安値!F374,安値!H374&lt;安値!I374,安値!H374&lt;安値!J374),3,""))</f>
      </c>
      <c r="D374" s="684">
        <f>IF(終値!A374="","",IF(AND(安値!I374&lt;安値!H374,安値!I374&lt;安値!G374,安値!I374&lt;安値!J374,安値!I374&lt;安値!K374),4,""))</f>
      </c>
      <c r="E374" s="684">
        <f>IF(終値!A374="","",IF(AND(安値!J374&lt;安値!I374,安値!J374&lt;安値!H374,安値!J374&lt;安値!K374,安値!J374&lt;安値!L374),5,""))</f>
      </c>
      <c r="F374" s="684">
        <f>IF(終値!A374="","",IF(AND(安値!K374&lt;安値!J374,安値!K374&lt;安値!I374,安値!K374&lt;安値!L374,安値!K374&lt;安値!M374),6,""))</f>
      </c>
      <c r="G374" s="684">
        <f>IF(終値!A374="","",IF(AND(安値!L374&lt;安値!K374,安値!L374&lt;安値!J374,安値!L374&lt;安値!M374,安値!L374&lt;安値!N374),7,""))</f>
      </c>
      <c r="H374" s="684">
        <f>IF(終値!A374="","",IF(AND(安値!M374&lt;安値!L374,安値!M374&lt;安値!K374,安値!M374&lt;安値!N374,安値!M374&lt;安値!O374),8,""))</f>
      </c>
      <c r="I374" s="684">
        <f>IF(終値!A374="","",IF(AND(安値!N374&lt;安値!M374,安値!N374&lt;安値!L374,安値!N374&lt;安値!O374,安値!N374&lt;安値!P374),9,""))</f>
      </c>
      <c r="J374" s="684">
        <f>IF(終値!A374="","",IF(AND(安値!O374&lt;安値!N374,安値!O374&lt;安値!M374,安値!O374&lt;安値!P374,安値!O374&lt;安値!Q374),10,""))</f>
      </c>
      <c r="K374" s="684">
        <f>IF(終値!A374="","",IF(AND(安値!P374&lt;安値!O374,安値!P374&lt;安値!N374,安値!P374&lt;安値!Q374,安値!P374&lt;安値!R374),11,""))</f>
      </c>
      <c r="L374" s="684">
        <f>IF(終値!A374="","",IF(AND(安値!Q374&lt;安値!P374,安値!Q374&lt;安値!O374,安値!Q374&lt;安値!R374,安値!Q374&lt;安値!S374),12,""))</f>
      </c>
      <c r="M374" s="684">
        <f>IF(終値!A374="","",IF(AND(安値!R374&lt;安値!Q374,安値!R374&lt;安値!P374,安値!R374&lt;安値!S374,安値!R374&lt;安値!T374),13,""))</f>
      </c>
      <c r="N374" s="684">
        <f>IF(終値!A374="","",IF(AND(安値!S374&lt;安値!R374,安値!S374&lt;安値!Q374,安値!S374&lt;安値!T374,安値!S374&lt;安値!U374),14,""))</f>
      </c>
      <c r="O374" s="684">
        <f>IF(終値!A374="","",IF(AND(安値!T374&lt;安値!S374,安値!T374&lt;安値!R374,安値!T374&lt;安値!U374,安値!T374&lt;安値!V374),15,""))</f>
      </c>
      <c r="P374" s="684">
        <f>IF(終値!A374="","",IF(AND(安値!U374&lt;安値!T374,安値!U374&lt;安値!S374,安値!U374&lt;安値!V374,安値!U374&lt;安値!W374),16,""))</f>
      </c>
      <c r="Q374" s="684">
        <f>IF(終値!A374="","",IF(AND(安値!V374&lt;安値!U374,安値!V374&lt;安値!T374,安値!V374&lt;安値!W374,安値!V374&lt;安値!X374),17,""))</f>
      </c>
      <c r="R374" s="684">
        <f>IF(終値!A374="","",IF(AND(安値!W374&lt;安値!V374,安値!W374&lt;安値!U374,安値!W374&lt;安値!X374,安値!W374&lt;安値!Y374),18,""))</f>
      </c>
      <c r="S374" s="684">
        <f>IF(終値!A374="","",IF(AND(安値!X374&lt;安値!W374,安値!X374&lt;安値!V374,安値!X374&lt;安値!Y374,安値!X374&lt;安値!Z374),19,""))</f>
      </c>
      <c r="T374" s="684">
        <f>IF(終値!A374="","",IF(AND(安値!Y374&lt;安値!X374,安値!Y374&lt;安値!W374,安値!Y374&lt;安値!Z374,安値!Y374&lt;安値!AA374),20,""))</f>
      </c>
      <c r="U374" s="684">
        <f>IF(終値!A374="","",IF(AND(安値!Z374&lt;安値!Y374,安値!Z374&lt;安値!X374,安値!Z374&lt;安値!AA374,安値!Z374&lt;安値!AB374),21,""))</f>
      </c>
      <c r="V374" s="684">
        <f>IF(終値!A374="","",IF(AND(安値!AA374&lt;安値!Z374,安値!AA374&lt;安値!Y374,安値!AA374&lt;安値!AB374,安値!AA374&lt;安値!AC374),22,""))</f>
      </c>
      <c r="W374" s="684">
        <f>IF(終値!A374="","",IF(AND(安値!AB374&lt;安値!AA374,安値!AB374&lt;安値!Z374,安値!AB374&lt;安値!AC374,安値!AB374&lt;安値!AD374),23,""))</f>
      </c>
      <c r="X374" s="684">
        <f>IF(終値!A374="","",IF(AND(安値!AC374&lt;安値!AB374,安値!AC374&lt;安値!AA374,安値!AC374&lt;安値!AD374,安値!AC374&lt;安値!AE374),24,""))</f>
      </c>
      <c r="Y374" s="684">
        <f>IF(終値!A374="","",IF(AND(安値!AD374&lt;安値!AC374,安値!AD374&lt;安値!AB374,安値!AD374&lt;安値!AE374,安値!AD374&lt;安値!AF374),25,""))</f>
      </c>
      <c r="Z374" s="684">
        <f>IF(終値!A374="","",IF(AND(安値!AE374&lt;安値!AD374,安値!AE374&lt;安値!AC374,安値!AE374&lt;安値!AF374,安値!AE374&lt;安値!AG374),26,""))</f>
      </c>
      <c r="AA374" s="684">
        <f>IF(終値!A374="","",IF(AND(安値!AF374&lt;安値!AE374,安値!AF374&lt;安値!AD374,安値!AF374&lt;安値!AG374,安値!AF374&lt;安値!AH374),27,""))</f>
      </c>
      <c r="AB374" s="684">
        <f>IF(終値!A374="","",IF(AND(安値!AG374&lt;安値!AF374,安値!AG374&lt;安値!AE374,安値!AG374&lt;安値!AH374,安値!AG374&lt;安値!AI374),28,""))</f>
      </c>
      <c r="AC374" s="684">
        <f>IF(終値!A374="","",IF(AND(高値!G374&gt;高値!F374,高値!G374&gt;高値!E374,高値!G374&gt;高値!H374,高値!G374&gt;高値!I374),2,""))</f>
      </c>
      <c r="AD374" s="684">
        <f>IF(終値!A374="","",IF(AND(高値!H374&gt;高値!G374,高値!H374&gt;高値!F374,高値!H374&gt;高値!I374,高値!H374&gt;高値!J374),3,""))</f>
      </c>
      <c r="AE374" s="684">
        <f>IF(終値!A374="","",IF(AND(高値!I374&gt;高値!H374,高値!I374&gt;高値!G374,高値!I374&gt;高値!J374,高値!I374&gt;高値!K374),4,""))</f>
      </c>
      <c r="AF374" s="684">
        <f>IF(終値!A374="","",IF(AND(高値!J374&gt;高値!I374,高値!J374&gt;高値!H374,高値!J374&gt;高値!K374,高値!J374&gt;高値!L374),5,""))</f>
      </c>
      <c r="AG374" s="684">
        <f>IF(終値!A374="","",IF(AND(高値!K374&gt;高値!J374,高値!K374&gt;高値!I374,高値!K374&gt;高値!L374,高値!K374&gt;高値!M374),6,""))</f>
      </c>
      <c r="AH374" s="684">
        <f>IF(終値!A374="","",IF(AND(高値!L374&gt;高値!K374,高値!L374&gt;高値!J374,高値!L374&gt;高値!M374,高値!L374&gt;高値!N374),7,""))</f>
      </c>
      <c r="AI374" s="684">
        <f>IF(終値!A374="","",IF(AND(高値!M374&gt;高値!L374,高値!M374&gt;高値!K374,高値!M374&gt;高値!N374,高値!M374&gt;高値!O374),8,""))</f>
      </c>
      <c r="AJ374" s="684">
        <f>IF(終値!A374="","",IF(AND(高値!N374&gt;高値!M374,高値!N374&gt;高値!L374,高値!N374&gt;高値!O374,高値!N374&gt;高値!P374),9,""))</f>
      </c>
      <c r="AK374" s="684">
        <f>IF(終値!A374="","",IF(AND(高値!O374&gt;高値!N374,高値!O374&gt;高値!M374,高値!O374&gt;高値!P374,高値!O374&gt;高値!Q374),10,""))</f>
      </c>
      <c r="AL374" s="684">
        <f>IF(終値!A374="","",IF(AND(高値!P374&gt;高値!O374,高値!P374&gt;高値!N374,高値!P374&gt;高値!Q374,高値!P374&gt;高値!R374),11,""))</f>
      </c>
      <c r="AM374" s="684">
        <f>IF(終値!A374="","",IF(AND(高値!Q374&gt;高値!P374,高値!Q374&gt;高値!O374,高値!Q374&gt;高値!R374,高値!Q374&gt;高値!S374),12,""))</f>
      </c>
      <c r="AN374" s="684">
        <f>IF(終値!A374="","",IF(AND(高値!R374&gt;高値!Q374,高値!R374&gt;高値!P374,高値!R374&gt;高値!S374,高値!R374&gt;高値!T374),13,""))</f>
      </c>
      <c r="AO374" s="684">
        <f>IF(終値!A374="","",IF(AND(高値!S374&gt;高値!R374,高値!S374&gt;高値!Q374,高値!S374&gt;高値!T374,高値!S374&gt;高値!U374),14,""))</f>
      </c>
      <c r="AP374" s="684">
        <f>IF(終値!A374="","",IF(AND(高値!T374&gt;高値!S374,高値!T374&gt;高値!R374,高値!T374&gt;高値!U374,高値!T374&gt;高値!V374),15,""))</f>
      </c>
      <c r="AQ374" s="684">
        <f>IF(終値!A374="","",IF(AND(高値!U374&gt;高値!T374,高値!U374&gt;高値!S374,高値!U374&gt;高値!V374,高値!U374&gt;高値!W374),16,""))</f>
      </c>
      <c r="AR374" s="684">
        <f>IF(終値!A374="","",IF(AND(高値!V374&gt;高値!U374,高値!V374&gt;高値!T374,高値!V374&gt;高値!W374,高値!V374&gt;高値!X374),17,""))</f>
      </c>
      <c r="AS374" s="684">
        <f>IF(終値!A374="","",IF(AND(高値!W374&gt;高値!V374,高値!W374&gt;高値!U374,高値!W374&gt;高値!X374,高値!W374&gt;高値!Y374),18,""))</f>
      </c>
      <c r="AT374" s="684">
        <f>IF(終値!A374="","",IF(AND(高値!X374&gt;高値!W374,高値!X374&gt;高値!V374,高値!X374&gt;高値!Y374,高値!X374&gt;高値!Z374),19,""))</f>
      </c>
      <c r="AU374" s="684">
        <f>IF(終値!A374="","",IF(AND(高値!Y374&gt;高値!X374,高値!Y374&gt;高値!W374,高値!Y374&gt;高値!Z374,高値!Y374&gt;高値!AA374),20,""))</f>
      </c>
      <c r="AV374" s="684">
        <f>IF(終値!A374="","",IF(AND(高値!Z374&gt;高値!Y374,高値!Z374&gt;高値!X374,高値!Z374&gt;高値!AA374,高値!Z374&gt;高値!AB374),21,""))</f>
      </c>
      <c r="AW374" s="684">
        <f>IF(終値!A374="","",IF(AND(高値!AA374&gt;高値!Z374,高値!AA374&gt;高値!Y374,高値!AA374&gt;高値!AB374,高値!AA374&gt;高値!AC374),22,""))</f>
      </c>
      <c r="AX374" s="684">
        <f>IF(終値!A374="","",IF(AND(高値!AB374&gt;高値!AA374,高値!AB374&gt;高値!Z374,高値!AB374&gt;高値!AC374,高値!AB374&gt;高値!AD374),23,""))</f>
      </c>
      <c r="AY374" s="684">
        <f>IF(終値!A374="","",IF(AND(高値!AC374&gt;高値!AB374,高値!AC374&gt;高値!AA374,高値!AC374&gt;高値!AD374,高値!AC374&gt;高値!AE374),24,""))</f>
      </c>
      <c r="AZ374" s="684">
        <f>IF(終値!A374="","",IF(AND(高値!AD374&gt;高値!AC374,高値!AD374&gt;高値!AB374,高値!AD374&gt;高値!AE374,高値!AD374&gt;高値!AF374),25,""))</f>
      </c>
      <c r="BA374" s="684">
        <f>IF(終値!A374="","",IF(AND(高値!AE374&gt;高値!AD374,高値!AE374&gt;高値!AC374,高値!AE374&gt;高値!AF374,高値!AE374&gt;高値!AG374),26,""))</f>
      </c>
      <c r="BB374" s="684">
        <f>IF(終値!A374="","",IF(AND(高値!AF374&gt;高値!AE374,高値!AF374&gt;高値!AD374,高値!AF374&gt;高値!AG374,高値!AF374&gt;高値!AH374),27,""))</f>
      </c>
      <c r="BC374" s="684">
        <f>IF(終値!A374="","",IF(AND(高値!AG374&gt;高値!AF374,高値!AG374&gt;高値!AE374,高値!AG374&gt;高値!AH374,高値!AG374&gt;高値!AI374),28,""))</f>
      </c>
      <c r="BD374" s="684">
        <f>COUNT($B374:$AB374)</f>
      </c>
      <c r="BE374" s="684">
        <f>IF($BD374&gt;=2,MIN($B374:$AB374),"")</f>
      </c>
      <c r="BF374" s="684">
        <f>IF($BD374&gt;=2,SMALL($B374:$AB374,2),"")</f>
      </c>
      <c r="BG374" s="684">
        <f>IF($BE374="","",INDEX(安値!$E374:$CZ374,1,$BE374+1))</f>
      </c>
      <c r="BH374" s="684">
        <f>IF($BF374="","",INDEX(安値!$E374:$CZ374,1,$BF374+1))</f>
      </c>
      <c r="BI374" s="684">
        <f>IF($BF374="","",MAX(INDEX(高値!$E374:$CZ374,1,$BE374+1):INDEX(高値!$E374:$CZ374,1,$BF374+1)))</f>
      </c>
      <c r="BJ374" s="684">
        <f>IF($BF374="","",AVERAGE(INDEX(終値!$E374:$CZ374,1,$BF374+1):INDEX(終値!$E374:$CZ374,1,$BF374+20))-2*STDEVP(INDEX(終値!$E374:$CZ374,1,$BF374+1):INDEX(終値!$E374:$CZ374,1,$BF374+20)))</f>
      </c>
      <c r="BK374" s="684">
        <f>IF($BE374="","",AVERAGE(INDEX(終値!$E374:$CZ374,1,$BE374+1):INDEX(終値!$E374:$CZ374,1,$BE374+20))-2*STDEVP(INDEX(終値!$E374:$CZ374,1,$BE374+1):INDEX(終値!$E374:$CZ374,1,$BE374+20)))</f>
      </c>
      <c r="BL374" s="684">
        <f>COUNT($AC374:$BC374)</f>
      </c>
      <c r="BM374" s="684">
        <f>IF($BL374&gt;=2,MIN($AC374:$BC374),"")</f>
      </c>
      <c r="BN374" s="684">
        <f>IF($BL374&gt;=2,SMALL($AC374:$BC374,2),"")</f>
      </c>
      <c r="BO374" s="684">
        <f>IF($BM374="","",INDEX(高値!$E374:$CZ374,1,$BM374+1))</f>
      </c>
      <c r="BP374" s="684">
        <f>IF($BN374="","",INDEX(高値!$E374:$CZ374,1,$BN374+1))</f>
      </c>
      <c r="BQ374" s="684">
        <f>IF($BN374="","",MIN(INDEX(安値!$E374:$CZ374,1,$BM374+1):INDEX(安値!$E374:$CZ374,1,$BN374+1)))</f>
      </c>
      <c r="BR374" s="684">
        <f>IF($BN374="","",AVERAGE(INDEX(終値!$E374:$CZ374,1,$BN374+1):INDEX(終値!$E374:$CZ374,1,$BN374+20))+2*STDEVP(INDEX(終値!$E374:$CZ374,1,$BN374+1):INDEX(終値!$E374:$CZ374,1,$BN374+20)))</f>
      </c>
      <c r="BS374" s="684">
        <f>IF($BM374="","",AVERAGE(INDEX(終値!$E374:$CZ374,1,$BM374+1):INDEX(終値!$E374:$CZ374,1,$BM374+20))+2*STDEVP(INDEX(終値!$E374:$CZ374,1,$BM374+1):INDEX(終値!$E374:$CZ374,1,$BM374+20)))</f>
      </c>
      <c r="BT374" s="681">
        <f>IFERROR(IF(AND($BD374&gt;=2,ABS($BG374-$BH374)/$BH374&lt;=BB設定!$B$12,$BI374&gt;=MAX($BH374,$BG374)*(1+BB設定!$B$13),終値!E374&gt;$BG374),IF(OR(終値!E374&gt;=$BI374,AND($BH374&lt;$BJ374,$BG374&gt;=$BK374)),"二番底W▲","二番底W形成"),IF(AND($BL374&gt;=2,ABS($BO374-$BP374)/$BP374&lt;=BB設定!$B$12,$BQ374&lt;=MIN($BP374,$BO374)*(1-BB設定!$B$13),終値!E374&lt;$BO374),IF(OR(終値!E374&lt;=$BQ374,AND($BP374&gt;$BR374,$BO374&lt;=$BS374)),"二番天井M▼","二番天井M形成"),"－")),"－")</f>
      </c>
    </row>
    <row r="375">
      <c r="B375" s="684">
        <f>IF(終値!A375="","",IF(AND(安値!G375&lt;安値!F375,安値!G375&lt;安値!E375,安値!G375&lt;安値!H375,安値!G375&lt;安値!I375),2,""))</f>
      </c>
      <c r="C375" s="684">
        <f>IF(終値!A375="","",IF(AND(安値!H375&lt;安値!G375,安値!H375&lt;安値!F375,安値!H375&lt;安値!I375,安値!H375&lt;安値!J375),3,""))</f>
      </c>
      <c r="D375" s="684">
        <f>IF(終値!A375="","",IF(AND(安値!I375&lt;安値!H375,安値!I375&lt;安値!G375,安値!I375&lt;安値!J375,安値!I375&lt;安値!K375),4,""))</f>
      </c>
      <c r="E375" s="684">
        <f>IF(終値!A375="","",IF(AND(安値!J375&lt;安値!I375,安値!J375&lt;安値!H375,安値!J375&lt;安値!K375,安値!J375&lt;安値!L375),5,""))</f>
      </c>
      <c r="F375" s="684">
        <f>IF(終値!A375="","",IF(AND(安値!K375&lt;安値!J375,安値!K375&lt;安値!I375,安値!K375&lt;安値!L375,安値!K375&lt;安値!M375),6,""))</f>
      </c>
      <c r="G375" s="684">
        <f>IF(終値!A375="","",IF(AND(安値!L375&lt;安値!K375,安値!L375&lt;安値!J375,安値!L375&lt;安値!M375,安値!L375&lt;安値!N375),7,""))</f>
      </c>
      <c r="H375" s="684">
        <f>IF(終値!A375="","",IF(AND(安値!M375&lt;安値!L375,安値!M375&lt;安値!K375,安値!M375&lt;安値!N375,安値!M375&lt;安値!O375),8,""))</f>
      </c>
      <c r="I375" s="684">
        <f>IF(終値!A375="","",IF(AND(安値!N375&lt;安値!M375,安値!N375&lt;安値!L375,安値!N375&lt;安値!O375,安値!N375&lt;安値!P375),9,""))</f>
      </c>
      <c r="J375" s="684">
        <f>IF(終値!A375="","",IF(AND(安値!O375&lt;安値!N375,安値!O375&lt;安値!M375,安値!O375&lt;安値!P375,安値!O375&lt;安値!Q375),10,""))</f>
      </c>
      <c r="K375" s="684">
        <f>IF(終値!A375="","",IF(AND(安値!P375&lt;安値!O375,安値!P375&lt;安値!N375,安値!P375&lt;安値!Q375,安値!P375&lt;安値!R375),11,""))</f>
      </c>
      <c r="L375" s="684">
        <f>IF(終値!A375="","",IF(AND(安値!Q375&lt;安値!P375,安値!Q375&lt;安値!O375,安値!Q375&lt;安値!R375,安値!Q375&lt;安値!S375),12,""))</f>
      </c>
      <c r="M375" s="684">
        <f>IF(終値!A375="","",IF(AND(安値!R375&lt;安値!Q375,安値!R375&lt;安値!P375,安値!R375&lt;安値!S375,安値!R375&lt;安値!T375),13,""))</f>
      </c>
      <c r="N375" s="684">
        <f>IF(終値!A375="","",IF(AND(安値!S375&lt;安値!R375,安値!S375&lt;安値!Q375,安値!S375&lt;安値!T375,安値!S375&lt;安値!U375),14,""))</f>
      </c>
      <c r="O375" s="684">
        <f>IF(終値!A375="","",IF(AND(安値!T375&lt;安値!S375,安値!T375&lt;安値!R375,安値!T375&lt;安値!U375,安値!T375&lt;安値!V375),15,""))</f>
      </c>
      <c r="P375" s="684">
        <f>IF(終値!A375="","",IF(AND(安値!U375&lt;安値!T375,安値!U375&lt;安値!S375,安値!U375&lt;安値!V375,安値!U375&lt;安値!W375),16,""))</f>
      </c>
      <c r="Q375" s="684">
        <f>IF(終値!A375="","",IF(AND(安値!V375&lt;安値!U375,安値!V375&lt;安値!T375,安値!V375&lt;安値!W375,安値!V375&lt;安値!X375),17,""))</f>
      </c>
      <c r="R375" s="684">
        <f>IF(終値!A375="","",IF(AND(安値!W375&lt;安値!V375,安値!W375&lt;安値!U375,安値!W375&lt;安値!X375,安値!W375&lt;安値!Y375),18,""))</f>
      </c>
      <c r="S375" s="684">
        <f>IF(終値!A375="","",IF(AND(安値!X375&lt;安値!W375,安値!X375&lt;安値!V375,安値!X375&lt;安値!Y375,安値!X375&lt;安値!Z375),19,""))</f>
      </c>
      <c r="T375" s="684">
        <f>IF(終値!A375="","",IF(AND(安値!Y375&lt;安値!X375,安値!Y375&lt;安値!W375,安値!Y375&lt;安値!Z375,安値!Y375&lt;安値!AA375),20,""))</f>
      </c>
      <c r="U375" s="684">
        <f>IF(終値!A375="","",IF(AND(安値!Z375&lt;安値!Y375,安値!Z375&lt;安値!X375,安値!Z375&lt;安値!AA375,安値!Z375&lt;安値!AB375),21,""))</f>
      </c>
      <c r="V375" s="684">
        <f>IF(終値!A375="","",IF(AND(安値!AA375&lt;安値!Z375,安値!AA375&lt;安値!Y375,安値!AA375&lt;安値!AB375,安値!AA375&lt;安値!AC375),22,""))</f>
      </c>
      <c r="W375" s="684">
        <f>IF(終値!A375="","",IF(AND(安値!AB375&lt;安値!AA375,安値!AB375&lt;安値!Z375,安値!AB375&lt;安値!AC375,安値!AB375&lt;安値!AD375),23,""))</f>
      </c>
      <c r="X375" s="684">
        <f>IF(終値!A375="","",IF(AND(安値!AC375&lt;安値!AB375,安値!AC375&lt;安値!AA375,安値!AC375&lt;安値!AD375,安値!AC375&lt;安値!AE375),24,""))</f>
      </c>
      <c r="Y375" s="684">
        <f>IF(終値!A375="","",IF(AND(安値!AD375&lt;安値!AC375,安値!AD375&lt;安値!AB375,安値!AD375&lt;安値!AE375,安値!AD375&lt;安値!AF375),25,""))</f>
      </c>
      <c r="Z375" s="684">
        <f>IF(終値!A375="","",IF(AND(安値!AE375&lt;安値!AD375,安値!AE375&lt;安値!AC375,安値!AE375&lt;安値!AF375,安値!AE375&lt;安値!AG375),26,""))</f>
      </c>
      <c r="AA375" s="684">
        <f>IF(終値!A375="","",IF(AND(安値!AF375&lt;安値!AE375,安値!AF375&lt;安値!AD375,安値!AF375&lt;安値!AG375,安値!AF375&lt;安値!AH375),27,""))</f>
      </c>
      <c r="AB375" s="684">
        <f>IF(終値!A375="","",IF(AND(安値!AG375&lt;安値!AF375,安値!AG375&lt;安値!AE375,安値!AG375&lt;安値!AH375,安値!AG375&lt;安値!AI375),28,""))</f>
      </c>
      <c r="AC375" s="684">
        <f>IF(終値!A375="","",IF(AND(高値!G375&gt;高値!F375,高値!G375&gt;高値!E375,高値!G375&gt;高値!H375,高値!G375&gt;高値!I375),2,""))</f>
      </c>
      <c r="AD375" s="684">
        <f>IF(終値!A375="","",IF(AND(高値!H375&gt;高値!G375,高値!H375&gt;高値!F375,高値!H375&gt;高値!I375,高値!H375&gt;高値!J375),3,""))</f>
      </c>
      <c r="AE375" s="684">
        <f>IF(終値!A375="","",IF(AND(高値!I375&gt;高値!H375,高値!I375&gt;高値!G375,高値!I375&gt;高値!J375,高値!I375&gt;高値!K375),4,""))</f>
      </c>
      <c r="AF375" s="684">
        <f>IF(終値!A375="","",IF(AND(高値!J375&gt;高値!I375,高値!J375&gt;高値!H375,高値!J375&gt;高値!K375,高値!J375&gt;高値!L375),5,""))</f>
      </c>
      <c r="AG375" s="684">
        <f>IF(終値!A375="","",IF(AND(高値!K375&gt;高値!J375,高値!K375&gt;高値!I375,高値!K375&gt;高値!L375,高値!K375&gt;高値!M375),6,""))</f>
      </c>
      <c r="AH375" s="684">
        <f>IF(終値!A375="","",IF(AND(高値!L375&gt;高値!K375,高値!L375&gt;高値!J375,高値!L375&gt;高値!M375,高値!L375&gt;高値!N375),7,""))</f>
      </c>
      <c r="AI375" s="684">
        <f>IF(終値!A375="","",IF(AND(高値!M375&gt;高値!L375,高値!M375&gt;高値!K375,高値!M375&gt;高値!N375,高値!M375&gt;高値!O375),8,""))</f>
      </c>
      <c r="AJ375" s="684">
        <f>IF(終値!A375="","",IF(AND(高値!N375&gt;高値!M375,高値!N375&gt;高値!L375,高値!N375&gt;高値!O375,高値!N375&gt;高値!P375),9,""))</f>
      </c>
      <c r="AK375" s="684">
        <f>IF(終値!A375="","",IF(AND(高値!O375&gt;高値!N375,高値!O375&gt;高値!M375,高値!O375&gt;高値!P375,高値!O375&gt;高値!Q375),10,""))</f>
      </c>
      <c r="AL375" s="684">
        <f>IF(終値!A375="","",IF(AND(高値!P375&gt;高値!O375,高値!P375&gt;高値!N375,高値!P375&gt;高値!Q375,高値!P375&gt;高値!R375),11,""))</f>
      </c>
      <c r="AM375" s="684">
        <f>IF(終値!A375="","",IF(AND(高値!Q375&gt;高値!P375,高値!Q375&gt;高値!O375,高値!Q375&gt;高値!R375,高値!Q375&gt;高値!S375),12,""))</f>
      </c>
      <c r="AN375" s="684">
        <f>IF(終値!A375="","",IF(AND(高値!R375&gt;高値!Q375,高値!R375&gt;高値!P375,高値!R375&gt;高値!S375,高値!R375&gt;高値!T375),13,""))</f>
      </c>
      <c r="AO375" s="684">
        <f>IF(終値!A375="","",IF(AND(高値!S375&gt;高値!R375,高値!S375&gt;高値!Q375,高値!S375&gt;高値!T375,高値!S375&gt;高値!U375),14,""))</f>
      </c>
      <c r="AP375" s="684">
        <f>IF(終値!A375="","",IF(AND(高値!T375&gt;高値!S375,高値!T375&gt;高値!R375,高値!T375&gt;高値!U375,高値!T375&gt;高値!V375),15,""))</f>
      </c>
      <c r="AQ375" s="684">
        <f>IF(終値!A375="","",IF(AND(高値!U375&gt;高値!T375,高値!U375&gt;高値!S375,高値!U375&gt;高値!V375,高値!U375&gt;高値!W375),16,""))</f>
      </c>
      <c r="AR375" s="684">
        <f>IF(終値!A375="","",IF(AND(高値!V375&gt;高値!U375,高値!V375&gt;高値!T375,高値!V375&gt;高値!W375,高値!V375&gt;高値!X375),17,""))</f>
      </c>
      <c r="AS375" s="684">
        <f>IF(終値!A375="","",IF(AND(高値!W375&gt;高値!V375,高値!W375&gt;高値!U375,高値!W375&gt;高値!X375,高値!W375&gt;高値!Y375),18,""))</f>
      </c>
      <c r="AT375" s="684">
        <f>IF(終値!A375="","",IF(AND(高値!X375&gt;高値!W375,高値!X375&gt;高値!V375,高値!X375&gt;高値!Y375,高値!X375&gt;高値!Z375),19,""))</f>
      </c>
      <c r="AU375" s="684">
        <f>IF(終値!A375="","",IF(AND(高値!Y375&gt;高値!X375,高値!Y375&gt;高値!W375,高値!Y375&gt;高値!Z375,高値!Y375&gt;高値!AA375),20,""))</f>
      </c>
      <c r="AV375" s="684">
        <f>IF(終値!A375="","",IF(AND(高値!Z375&gt;高値!Y375,高値!Z375&gt;高値!X375,高値!Z375&gt;高値!AA375,高値!Z375&gt;高値!AB375),21,""))</f>
      </c>
      <c r="AW375" s="684">
        <f>IF(終値!A375="","",IF(AND(高値!AA375&gt;高値!Z375,高値!AA375&gt;高値!Y375,高値!AA375&gt;高値!AB375,高値!AA375&gt;高値!AC375),22,""))</f>
      </c>
      <c r="AX375" s="684">
        <f>IF(終値!A375="","",IF(AND(高値!AB375&gt;高値!AA375,高値!AB375&gt;高値!Z375,高値!AB375&gt;高値!AC375,高値!AB375&gt;高値!AD375),23,""))</f>
      </c>
      <c r="AY375" s="684">
        <f>IF(終値!A375="","",IF(AND(高値!AC375&gt;高値!AB375,高値!AC375&gt;高値!AA375,高値!AC375&gt;高値!AD375,高値!AC375&gt;高値!AE375),24,""))</f>
      </c>
      <c r="AZ375" s="684">
        <f>IF(終値!A375="","",IF(AND(高値!AD375&gt;高値!AC375,高値!AD375&gt;高値!AB375,高値!AD375&gt;高値!AE375,高値!AD375&gt;高値!AF375),25,""))</f>
      </c>
      <c r="BA375" s="684">
        <f>IF(終値!A375="","",IF(AND(高値!AE375&gt;高値!AD375,高値!AE375&gt;高値!AC375,高値!AE375&gt;高値!AF375,高値!AE375&gt;高値!AG375),26,""))</f>
      </c>
      <c r="BB375" s="684">
        <f>IF(終値!A375="","",IF(AND(高値!AF375&gt;高値!AE375,高値!AF375&gt;高値!AD375,高値!AF375&gt;高値!AG375,高値!AF375&gt;高値!AH375),27,""))</f>
      </c>
      <c r="BC375" s="684">
        <f>IF(終値!A375="","",IF(AND(高値!AG375&gt;高値!AF375,高値!AG375&gt;高値!AE375,高値!AG375&gt;高値!AH375,高値!AG375&gt;高値!AI375),28,""))</f>
      </c>
      <c r="BD375" s="684">
        <f>COUNT($B375:$AB375)</f>
      </c>
      <c r="BE375" s="684">
        <f>IF($BD375&gt;=2,MIN($B375:$AB375),"")</f>
      </c>
      <c r="BF375" s="684">
        <f>IF($BD375&gt;=2,SMALL($B375:$AB375,2),"")</f>
      </c>
      <c r="BG375" s="684">
        <f>IF($BE375="","",INDEX(安値!$E375:$CZ375,1,$BE375+1))</f>
      </c>
      <c r="BH375" s="684">
        <f>IF($BF375="","",INDEX(安値!$E375:$CZ375,1,$BF375+1))</f>
      </c>
      <c r="BI375" s="684">
        <f>IF($BF375="","",MAX(INDEX(高値!$E375:$CZ375,1,$BE375+1):INDEX(高値!$E375:$CZ375,1,$BF375+1)))</f>
      </c>
      <c r="BJ375" s="684">
        <f>IF($BF375="","",AVERAGE(INDEX(終値!$E375:$CZ375,1,$BF375+1):INDEX(終値!$E375:$CZ375,1,$BF375+20))-2*STDEVP(INDEX(終値!$E375:$CZ375,1,$BF375+1):INDEX(終値!$E375:$CZ375,1,$BF375+20)))</f>
      </c>
      <c r="BK375" s="684">
        <f>IF($BE375="","",AVERAGE(INDEX(終値!$E375:$CZ375,1,$BE375+1):INDEX(終値!$E375:$CZ375,1,$BE375+20))-2*STDEVP(INDEX(終値!$E375:$CZ375,1,$BE375+1):INDEX(終値!$E375:$CZ375,1,$BE375+20)))</f>
      </c>
      <c r="BL375" s="684">
        <f>COUNT($AC375:$BC375)</f>
      </c>
      <c r="BM375" s="684">
        <f>IF($BL375&gt;=2,MIN($AC375:$BC375),"")</f>
      </c>
      <c r="BN375" s="684">
        <f>IF($BL375&gt;=2,SMALL($AC375:$BC375,2),"")</f>
      </c>
      <c r="BO375" s="684">
        <f>IF($BM375="","",INDEX(高値!$E375:$CZ375,1,$BM375+1))</f>
      </c>
      <c r="BP375" s="684">
        <f>IF($BN375="","",INDEX(高値!$E375:$CZ375,1,$BN375+1))</f>
      </c>
      <c r="BQ375" s="684">
        <f>IF($BN375="","",MIN(INDEX(安値!$E375:$CZ375,1,$BM375+1):INDEX(安値!$E375:$CZ375,1,$BN375+1)))</f>
      </c>
      <c r="BR375" s="684">
        <f>IF($BN375="","",AVERAGE(INDEX(終値!$E375:$CZ375,1,$BN375+1):INDEX(終値!$E375:$CZ375,1,$BN375+20))+2*STDEVP(INDEX(終値!$E375:$CZ375,1,$BN375+1):INDEX(終値!$E375:$CZ375,1,$BN375+20)))</f>
      </c>
      <c r="BS375" s="684">
        <f>IF($BM375="","",AVERAGE(INDEX(終値!$E375:$CZ375,1,$BM375+1):INDEX(終値!$E375:$CZ375,1,$BM375+20))+2*STDEVP(INDEX(終値!$E375:$CZ375,1,$BM375+1):INDEX(終値!$E375:$CZ375,1,$BM375+20)))</f>
      </c>
      <c r="BT375" s="681">
        <f>IFERROR(IF(AND($BD375&gt;=2,ABS($BG375-$BH375)/$BH375&lt;=BB設定!$B$12,$BI375&gt;=MAX($BH375,$BG375)*(1+BB設定!$B$13),終値!E375&gt;$BG375),IF(OR(終値!E375&gt;=$BI375,AND($BH375&lt;$BJ375,$BG375&gt;=$BK375)),"二番底W▲","二番底W形成"),IF(AND($BL375&gt;=2,ABS($BO375-$BP375)/$BP375&lt;=BB設定!$B$12,$BQ375&lt;=MIN($BP375,$BO375)*(1-BB設定!$B$13),終値!E375&lt;$BO375),IF(OR(終値!E375&lt;=$BQ375,AND($BP375&gt;$BR375,$BO375&lt;=$BS375)),"二番天井M▼","二番天井M形成"),"－")),"－")</f>
      </c>
    </row>
    <row r="376">
      <c r="B376" s="684">
        <f>IF(終値!A376="","",IF(AND(安値!G376&lt;安値!F376,安値!G376&lt;安値!E376,安値!G376&lt;安値!H376,安値!G376&lt;安値!I376),2,""))</f>
      </c>
      <c r="C376" s="684">
        <f>IF(終値!A376="","",IF(AND(安値!H376&lt;安値!G376,安値!H376&lt;安値!F376,安値!H376&lt;安値!I376,安値!H376&lt;安値!J376),3,""))</f>
      </c>
      <c r="D376" s="684">
        <f>IF(終値!A376="","",IF(AND(安値!I376&lt;安値!H376,安値!I376&lt;安値!G376,安値!I376&lt;安値!J376,安値!I376&lt;安値!K376),4,""))</f>
      </c>
      <c r="E376" s="684">
        <f>IF(終値!A376="","",IF(AND(安値!J376&lt;安値!I376,安値!J376&lt;安値!H376,安値!J376&lt;安値!K376,安値!J376&lt;安値!L376),5,""))</f>
      </c>
      <c r="F376" s="684">
        <f>IF(終値!A376="","",IF(AND(安値!K376&lt;安値!J376,安値!K376&lt;安値!I376,安値!K376&lt;安値!L376,安値!K376&lt;安値!M376),6,""))</f>
      </c>
      <c r="G376" s="684">
        <f>IF(終値!A376="","",IF(AND(安値!L376&lt;安値!K376,安値!L376&lt;安値!J376,安値!L376&lt;安値!M376,安値!L376&lt;安値!N376),7,""))</f>
      </c>
      <c r="H376" s="684">
        <f>IF(終値!A376="","",IF(AND(安値!M376&lt;安値!L376,安値!M376&lt;安値!K376,安値!M376&lt;安値!N376,安値!M376&lt;安値!O376),8,""))</f>
      </c>
      <c r="I376" s="684">
        <f>IF(終値!A376="","",IF(AND(安値!N376&lt;安値!M376,安値!N376&lt;安値!L376,安値!N376&lt;安値!O376,安値!N376&lt;安値!P376),9,""))</f>
      </c>
      <c r="J376" s="684">
        <f>IF(終値!A376="","",IF(AND(安値!O376&lt;安値!N376,安値!O376&lt;安値!M376,安値!O376&lt;安値!P376,安値!O376&lt;安値!Q376),10,""))</f>
      </c>
      <c r="K376" s="684">
        <f>IF(終値!A376="","",IF(AND(安値!P376&lt;安値!O376,安値!P376&lt;安値!N376,安値!P376&lt;安値!Q376,安値!P376&lt;安値!R376),11,""))</f>
      </c>
      <c r="L376" s="684">
        <f>IF(終値!A376="","",IF(AND(安値!Q376&lt;安値!P376,安値!Q376&lt;安値!O376,安値!Q376&lt;安値!R376,安値!Q376&lt;安値!S376),12,""))</f>
      </c>
      <c r="M376" s="684">
        <f>IF(終値!A376="","",IF(AND(安値!R376&lt;安値!Q376,安値!R376&lt;安値!P376,安値!R376&lt;安値!S376,安値!R376&lt;安値!T376),13,""))</f>
      </c>
      <c r="N376" s="684">
        <f>IF(終値!A376="","",IF(AND(安値!S376&lt;安値!R376,安値!S376&lt;安値!Q376,安値!S376&lt;安値!T376,安値!S376&lt;安値!U376),14,""))</f>
      </c>
      <c r="O376" s="684">
        <f>IF(終値!A376="","",IF(AND(安値!T376&lt;安値!S376,安値!T376&lt;安値!R376,安値!T376&lt;安値!U376,安値!T376&lt;安値!V376),15,""))</f>
      </c>
      <c r="P376" s="684">
        <f>IF(終値!A376="","",IF(AND(安値!U376&lt;安値!T376,安値!U376&lt;安値!S376,安値!U376&lt;安値!V376,安値!U376&lt;安値!W376),16,""))</f>
      </c>
      <c r="Q376" s="684">
        <f>IF(終値!A376="","",IF(AND(安値!V376&lt;安値!U376,安値!V376&lt;安値!T376,安値!V376&lt;安値!W376,安値!V376&lt;安値!X376),17,""))</f>
      </c>
      <c r="R376" s="684">
        <f>IF(終値!A376="","",IF(AND(安値!W376&lt;安値!V376,安値!W376&lt;安値!U376,安値!W376&lt;安値!X376,安値!W376&lt;安値!Y376),18,""))</f>
      </c>
      <c r="S376" s="684">
        <f>IF(終値!A376="","",IF(AND(安値!X376&lt;安値!W376,安値!X376&lt;安値!V376,安値!X376&lt;安値!Y376,安値!X376&lt;安値!Z376),19,""))</f>
      </c>
      <c r="T376" s="684">
        <f>IF(終値!A376="","",IF(AND(安値!Y376&lt;安値!X376,安値!Y376&lt;安値!W376,安値!Y376&lt;安値!Z376,安値!Y376&lt;安値!AA376),20,""))</f>
      </c>
      <c r="U376" s="684">
        <f>IF(終値!A376="","",IF(AND(安値!Z376&lt;安値!Y376,安値!Z376&lt;安値!X376,安値!Z376&lt;安値!AA376,安値!Z376&lt;安値!AB376),21,""))</f>
      </c>
      <c r="V376" s="684">
        <f>IF(終値!A376="","",IF(AND(安値!AA376&lt;安値!Z376,安値!AA376&lt;安値!Y376,安値!AA376&lt;安値!AB376,安値!AA376&lt;安値!AC376),22,""))</f>
      </c>
      <c r="W376" s="684">
        <f>IF(終値!A376="","",IF(AND(安値!AB376&lt;安値!AA376,安値!AB376&lt;安値!Z376,安値!AB376&lt;安値!AC376,安値!AB376&lt;安値!AD376),23,""))</f>
      </c>
      <c r="X376" s="684">
        <f>IF(終値!A376="","",IF(AND(安値!AC376&lt;安値!AB376,安値!AC376&lt;安値!AA376,安値!AC376&lt;安値!AD376,安値!AC376&lt;安値!AE376),24,""))</f>
      </c>
      <c r="Y376" s="684">
        <f>IF(終値!A376="","",IF(AND(安値!AD376&lt;安値!AC376,安値!AD376&lt;安値!AB376,安値!AD376&lt;安値!AE376,安値!AD376&lt;安値!AF376),25,""))</f>
      </c>
      <c r="Z376" s="684">
        <f>IF(終値!A376="","",IF(AND(安値!AE376&lt;安値!AD376,安値!AE376&lt;安値!AC376,安値!AE376&lt;安値!AF376,安値!AE376&lt;安値!AG376),26,""))</f>
      </c>
      <c r="AA376" s="684">
        <f>IF(終値!A376="","",IF(AND(安値!AF376&lt;安値!AE376,安値!AF376&lt;安値!AD376,安値!AF376&lt;安値!AG376,安値!AF376&lt;安値!AH376),27,""))</f>
      </c>
      <c r="AB376" s="684">
        <f>IF(終値!A376="","",IF(AND(安値!AG376&lt;安値!AF376,安値!AG376&lt;安値!AE376,安値!AG376&lt;安値!AH376,安値!AG376&lt;安値!AI376),28,""))</f>
      </c>
      <c r="AC376" s="684">
        <f>IF(終値!A376="","",IF(AND(高値!G376&gt;高値!F376,高値!G376&gt;高値!E376,高値!G376&gt;高値!H376,高値!G376&gt;高値!I376),2,""))</f>
      </c>
      <c r="AD376" s="684">
        <f>IF(終値!A376="","",IF(AND(高値!H376&gt;高値!G376,高値!H376&gt;高値!F376,高値!H376&gt;高値!I376,高値!H376&gt;高値!J376),3,""))</f>
      </c>
      <c r="AE376" s="684">
        <f>IF(終値!A376="","",IF(AND(高値!I376&gt;高値!H376,高値!I376&gt;高値!G376,高値!I376&gt;高値!J376,高値!I376&gt;高値!K376),4,""))</f>
      </c>
      <c r="AF376" s="684">
        <f>IF(終値!A376="","",IF(AND(高値!J376&gt;高値!I376,高値!J376&gt;高値!H376,高値!J376&gt;高値!K376,高値!J376&gt;高値!L376),5,""))</f>
      </c>
      <c r="AG376" s="684">
        <f>IF(終値!A376="","",IF(AND(高値!K376&gt;高値!J376,高値!K376&gt;高値!I376,高値!K376&gt;高値!L376,高値!K376&gt;高値!M376),6,""))</f>
      </c>
      <c r="AH376" s="684">
        <f>IF(終値!A376="","",IF(AND(高値!L376&gt;高値!K376,高値!L376&gt;高値!J376,高値!L376&gt;高値!M376,高値!L376&gt;高値!N376),7,""))</f>
      </c>
      <c r="AI376" s="684">
        <f>IF(終値!A376="","",IF(AND(高値!M376&gt;高値!L376,高値!M376&gt;高値!K376,高値!M376&gt;高値!N376,高値!M376&gt;高値!O376),8,""))</f>
      </c>
      <c r="AJ376" s="684">
        <f>IF(終値!A376="","",IF(AND(高値!N376&gt;高値!M376,高値!N376&gt;高値!L376,高値!N376&gt;高値!O376,高値!N376&gt;高値!P376),9,""))</f>
      </c>
      <c r="AK376" s="684">
        <f>IF(終値!A376="","",IF(AND(高値!O376&gt;高値!N376,高値!O376&gt;高値!M376,高値!O376&gt;高値!P376,高値!O376&gt;高値!Q376),10,""))</f>
      </c>
      <c r="AL376" s="684">
        <f>IF(終値!A376="","",IF(AND(高値!P376&gt;高値!O376,高値!P376&gt;高値!N376,高値!P376&gt;高値!Q376,高値!P376&gt;高値!R376),11,""))</f>
      </c>
      <c r="AM376" s="684">
        <f>IF(終値!A376="","",IF(AND(高値!Q376&gt;高値!P376,高値!Q376&gt;高値!O376,高値!Q376&gt;高値!R376,高値!Q376&gt;高値!S376),12,""))</f>
      </c>
      <c r="AN376" s="684">
        <f>IF(終値!A376="","",IF(AND(高値!R376&gt;高値!Q376,高値!R376&gt;高値!P376,高値!R376&gt;高値!S376,高値!R376&gt;高値!T376),13,""))</f>
      </c>
      <c r="AO376" s="684">
        <f>IF(終値!A376="","",IF(AND(高値!S376&gt;高値!R376,高値!S376&gt;高値!Q376,高値!S376&gt;高値!T376,高値!S376&gt;高値!U376),14,""))</f>
      </c>
      <c r="AP376" s="684">
        <f>IF(終値!A376="","",IF(AND(高値!T376&gt;高値!S376,高値!T376&gt;高値!R376,高値!T376&gt;高値!U376,高値!T376&gt;高値!V376),15,""))</f>
      </c>
      <c r="AQ376" s="684">
        <f>IF(終値!A376="","",IF(AND(高値!U376&gt;高値!T376,高値!U376&gt;高値!S376,高値!U376&gt;高値!V376,高値!U376&gt;高値!W376),16,""))</f>
      </c>
      <c r="AR376" s="684">
        <f>IF(終値!A376="","",IF(AND(高値!V376&gt;高値!U376,高値!V376&gt;高値!T376,高値!V376&gt;高値!W376,高値!V376&gt;高値!X376),17,""))</f>
      </c>
      <c r="AS376" s="684">
        <f>IF(終値!A376="","",IF(AND(高値!W376&gt;高値!V376,高値!W376&gt;高値!U376,高値!W376&gt;高値!X376,高値!W376&gt;高値!Y376),18,""))</f>
      </c>
      <c r="AT376" s="684">
        <f>IF(終値!A376="","",IF(AND(高値!X376&gt;高値!W376,高値!X376&gt;高値!V376,高値!X376&gt;高値!Y376,高値!X376&gt;高値!Z376),19,""))</f>
      </c>
      <c r="AU376" s="684">
        <f>IF(終値!A376="","",IF(AND(高値!Y376&gt;高値!X376,高値!Y376&gt;高値!W376,高値!Y376&gt;高値!Z376,高値!Y376&gt;高値!AA376),20,""))</f>
      </c>
      <c r="AV376" s="684">
        <f>IF(終値!A376="","",IF(AND(高値!Z376&gt;高値!Y376,高値!Z376&gt;高値!X376,高値!Z376&gt;高値!AA376,高値!Z376&gt;高値!AB376),21,""))</f>
      </c>
      <c r="AW376" s="684">
        <f>IF(終値!A376="","",IF(AND(高値!AA376&gt;高値!Z376,高値!AA376&gt;高値!Y376,高値!AA376&gt;高値!AB376,高値!AA376&gt;高値!AC376),22,""))</f>
      </c>
      <c r="AX376" s="684">
        <f>IF(終値!A376="","",IF(AND(高値!AB376&gt;高値!AA376,高値!AB376&gt;高値!Z376,高値!AB376&gt;高値!AC376,高値!AB376&gt;高値!AD376),23,""))</f>
      </c>
      <c r="AY376" s="684">
        <f>IF(終値!A376="","",IF(AND(高値!AC376&gt;高値!AB376,高値!AC376&gt;高値!AA376,高値!AC376&gt;高値!AD376,高値!AC376&gt;高値!AE376),24,""))</f>
      </c>
      <c r="AZ376" s="684">
        <f>IF(終値!A376="","",IF(AND(高値!AD376&gt;高値!AC376,高値!AD376&gt;高値!AB376,高値!AD376&gt;高値!AE376,高値!AD376&gt;高値!AF376),25,""))</f>
      </c>
      <c r="BA376" s="684">
        <f>IF(終値!A376="","",IF(AND(高値!AE376&gt;高値!AD376,高値!AE376&gt;高値!AC376,高値!AE376&gt;高値!AF376,高値!AE376&gt;高値!AG376),26,""))</f>
      </c>
      <c r="BB376" s="684">
        <f>IF(終値!A376="","",IF(AND(高値!AF376&gt;高値!AE376,高値!AF376&gt;高値!AD376,高値!AF376&gt;高値!AG376,高値!AF376&gt;高値!AH376),27,""))</f>
      </c>
      <c r="BC376" s="684">
        <f>IF(終値!A376="","",IF(AND(高値!AG376&gt;高値!AF376,高値!AG376&gt;高値!AE376,高値!AG376&gt;高値!AH376,高値!AG376&gt;高値!AI376),28,""))</f>
      </c>
      <c r="BD376" s="684">
        <f>COUNT($B376:$AB376)</f>
      </c>
      <c r="BE376" s="684">
        <f>IF($BD376&gt;=2,MIN($B376:$AB376),"")</f>
      </c>
      <c r="BF376" s="684">
        <f>IF($BD376&gt;=2,SMALL($B376:$AB376,2),"")</f>
      </c>
      <c r="BG376" s="684">
        <f>IF($BE376="","",INDEX(安値!$E376:$CZ376,1,$BE376+1))</f>
      </c>
      <c r="BH376" s="684">
        <f>IF($BF376="","",INDEX(安値!$E376:$CZ376,1,$BF376+1))</f>
      </c>
      <c r="BI376" s="684">
        <f>IF($BF376="","",MAX(INDEX(高値!$E376:$CZ376,1,$BE376+1):INDEX(高値!$E376:$CZ376,1,$BF376+1)))</f>
      </c>
      <c r="BJ376" s="684">
        <f>IF($BF376="","",AVERAGE(INDEX(終値!$E376:$CZ376,1,$BF376+1):INDEX(終値!$E376:$CZ376,1,$BF376+20))-2*STDEVP(INDEX(終値!$E376:$CZ376,1,$BF376+1):INDEX(終値!$E376:$CZ376,1,$BF376+20)))</f>
      </c>
      <c r="BK376" s="684">
        <f>IF($BE376="","",AVERAGE(INDEX(終値!$E376:$CZ376,1,$BE376+1):INDEX(終値!$E376:$CZ376,1,$BE376+20))-2*STDEVP(INDEX(終値!$E376:$CZ376,1,$BE376+1):INDEX(終値!$E376:$CZ376,1,$BE376+20)))</f>
      </c>
      <c r="BL376" s="684">
        <f>COUNT($AC376:$BC376)</f>
      </c>
      <c r="BM376" s="684">
        <f>IF($BL376&gt;=2,MIN($AC376:$BC376),"")</f>
      </c>
      <c r="BN376" s="684">
        <f>IF($BL376&gt;=2,SMALL($AC376:$BC376,2),"")</f>
      </c>
      <c r="BO376" s="684">
        <f>IF($BM376="","",INDEX(高値!$E376:$CZ376,1,$BM376+1))</f>
      </c>
      <c r="BP376" s="684">
        <f>IF($BN376="","",INDEX(高値!$E376:$CZ376,1,$BN376+1))</f>
      </c>
      <c r="BQ376" s="684">
        <f>IF($BN376="","",MIN(INDEX(安値!$E376:$CZ376,1,$BM376+1):INDEX(安値!$E376:$CZ376,1,$BN376+1)))</f>
      </c>
      <c r="BR376" s="684">
        <f>IF($BN376="","",AVERAGE(INDEX(終値!$E376:$CZ376,1,$BN376+1):INDEX(終値!$E376:$CZ376,1,$BN376+20))+2*STDEVP(INDEX(終値!$E376:$CZ376,1,$BN376+1):INDEX(終値!$E376:$CZ376,1,$BN376+20)))</f>
      </c>
      <c r="BS376" s="684">
        <f>IF($BM376="","",AVERAGE(INDEX(終値!$E376:$CZ376,1,$BM376+1):INDEX(終値!$E376:$CZ376,1,$BM376+20))+2*STDEVP(INDEX(終値!$E376:$CZ376,1,$BM376+1):INDEX(終値!$E376:$CZ376,1,$BM376+20)))</f>
      </c>
      <c r="BT376" s="681">
        <f>IFERROR(IF(AND($BD376&gt;=2,ABS($BG376-$BH376)/$BH376&lt;=BB設定!$B$12,$BI376&gt;=MAX($BH376,$BG376)*(1+BB設定!$B$13),終値!E376&gt;$BG376),IF(OR(終値!E376&gt;=$BI376,AND($BH376&lt;$BJ376,$BG376&gt;=$BK376)),"二番底W▲","二番底W形成"),IF(AND($BL376&gt;=2,ABS($BO376-$BP376)/$BP376&lt;=BB設定!$B$12,$BQ376&lt;=MIN($BP376,$BO376)*(1-BB設定!$B$13),終値!E376&lt;$BO376),IF(OR(終値!E376&lt;=$BQ376,AND($BP376&gt;$BR376,$BO376&lt;=$BS376)),"二番天井M▼","二番天井M形成"),"－")),"－")</f>
      </c>
    </row>
    <row r="377">
      <c r="B377" s="684">
        <f>IF(終値!A377="","",IF(AND(安値!G377&lt;安値!F377,安値!G377&lt;安値!E377,安値!G377&lt;安値!H377,安値!G377&lt;安値!I377),2,""))</f>
      </c>
      <c r="C377" s="684">
        <f>IF(終値!A377="","",IF(AND(安値!H377&lt;安値!G377,安値!H377&lt;安値!F377,安値!H377&lt;安値!I377,安値!H377&lt;安値!J377),3,""))</f>
      </c>
      <c r="D377" s="684">
        <f>IF(終値!A377="","",IF(AND(安値!I377&lt;安値!H377,安値!I377&lt;安値!G377,安値!I377&lt;安値!J377,安値!I377&lt;安値!K377),4,""))</f>
      </c>
      <c r="E377" s="684">
        <f>IF(終値!A377="","",IF(AND(安値!J377&lt;安値!I377,安値!J377&lt;安値!H377,安値!J377&lt;安値!K377,安値!J377&lt;安値!L377),5,""))</f>
      </c>
      <c r="F377" s="684">
        <f>IF(終値!A377="","",IF(AND(安値!K377&lt;安値!J377,安値!K377&lt;安値!I377,安値!K377&lt;安値!L377,安値!K377&lt;安値!M377),6,""))</f>
      </c>
      <c r="G377" s="684">
        <f>IF(終値!A377="","",IF(AND(安値!L377&lt;安値!K377,安値!L377&lt;安値!J377,安値!L377&lt;安値!M377,安値!L377&lt;安値!N377),7,""))</f>
      </c>
      <c r="H377" s="684">
        <f>IF(終値!A377="","",IF(AND(安値!M377&lt;安値!L377,安値!M377&lt;安値!K377,安値!M377&lt;安値!N377,安値!M377&lt;安値!O377),8,""))</f>
      </c>
      <c r="I377" s="684">
        <f>IF(終値!A377="","",IF(AND(安値!N377&lt;安値!M377,安値!N377&lt;安値!L377,安値!N377&lt;安値!O377,安値!N377&lt;安値!P377),9,""))</f>
      </c>
      <c r="J377" s="684">
        <f>IF(終値!A377="","",IF(AND(安値!O377&lt;安値!N377,安値!O377&lt;安値!M377,安値!O377&lt;安値!P377,安値!O377&lt;安値!Q377),10,""))</f>
      </c>
      <c r="K377" s="684">
        <f>IF(終値!A377="","",IF(AND(安値!P377&lt;安値!O377,安値!P377&lt;安値!N377,安値!P377&lt;安値!Q377,安値!P377&lt;安値!R377),11,""))</f>
      </c>
      <c r="L377" s="684">
        <f>IF(終値!A377="","",IF(AND(安値!Q377&lt;安値!P377,安値!Q377&lt;安値!O377,安値!Q377&lt;安値!R377,安値!Q377&lt;安値!S377),12,""))</f>
      </c>
      <c r="M377" s="684">
        <f>IF(終値!A377="","",IF(AND(安値!R377&lt;安値!Q377,安値!R377&lt;安値!P377,安値!R377&lt;安値!S377,安値!R377&lt;安値!T377),13,""))</f>
      </c>
      <c r="N377" s="684">
        <f>IF(終値!A377="","",IF(AND(安値!S377&lt;安値!R377,安値!S377&lt;安値!Q377,安値!S377&lt;安値!T377,安値!S377&lt;安値!U377),14,""))</f>
      </c>
      <c r="O377" s="684">
        <f>IF(終値!A377="","",IF(AND(安値!T377&lt;安値!S377,安値!T377&lt;安値!R377,安値!T377&lt;安値!U377,安値!T377&lt;安値!V377),15,""))</f>
      </c>
      <c r="P377" s="684">
        <f>IF(終値!A377="","",IF(AND(安値!U377&lt;安値!T377,安値!U377&lt;安値!S377,安値!U377&lt;安値!V377,安値!U377&lt;安値!W377),16,""))</f>
      </c>
      <c r="Q377" s="684">
        <f>IF(終値!A377="","",IF(AND(安値!V377&lt;安値!U377,安値!V377&lt;安値!T377,安値!V377&lt;安値!W377,安値!V377&lt;安値!X377),17,""))</f>
      </c>
      <c r="R377" s="684">
        <f>IF(終値!A377="","",IF(AND(安値!W377&lt;安値!V377,安値!W377&lt;安値!U377,安値!W377&lt;安値!X377,安値!W377&lt;安値!Y377),18,""))</f>
      </c>
      <c r="S377" s="684">
        <f>IF(終値!A377="","",IF(AND(安値!X377&lt;安値!W377,安値!X377&lt;安値!V377,安値!X377&lt;安値!Y377,安値!X377&lt;安値!Z377),19,""))</f>
      </c>
      <c r="T377" s="684">
        <f>IF(終値!A377="","",IF(AND(安値!Y377&lt;安値!X377,安値!Y377&lt;安値!W377,安値!Y377&lt;安値!Z377,安値!Y377&lt;安値!AA377),20,""))</f>
      </c>
      <c r="U377" s="684">
        <f>IF(終値!A377="","",IF(AND(安値!Z377&lt;安値!Y377,安値!Z377&lt;安値!X377,安値!Z377&lt;安値!AA377,安値!Z377&lt;安値!AB377),21,""))</f>
      </c>
      <c r="V377" s="684">
        <f>IF(終値!A377="","",IF(AND(安値!AA377&lt;安値!Z377,安値!AA377&lt;安値!Y377,安値!AA377&lt;安値!AB377,安値!AA377&lt;安値!AC377),22,""))</f>
      </c>
      <c r="W377" s="684">
        <f>IF(終値!A377="","",IF(AND(安値!AB377&lt;安値!AA377,安値!AB377&lt;安値!Z377,安値!AB377&lt;安値!AC377,安値!AB377&lt;安値!AD377),23,""))</f>
      </c>
      <c r="X377" s="684">
        <f>IF(終値!A377="","",IF(AND(安値!AC377&lt;安値!AB377,安値!AC377&lt;安値!AA377,安値!AC377&lt;安値!AD377,安値!AC377&lt;安値!AE377),24,""))</f>
      </c>
      <c r="Y377" s="684">
        <f>IF(終値!A377="","",IF(AND(安値!AD377&lt;安値!AC377,安値!AD377&lt;安値!AB377,安値!AD377&lt;安値!AE377,安値!AD377&lt;安値!AF377),25,""))</f>
      </c>
      <c r="Z377" s="684">
        <f>IF(終値!A377="","",IF(AND(安値!AE377&lt;安値!AD377,安値!AE377&lt;安値!AC377,安値!AE377&lt;安値!AF377,安値!AE377&lt;安値!AG377),26,""))</f>
      </c>
      <c r="AA377" s="684">
        <f>IF(終値!A377="","",IF(AND(安値!AF377&lt;安値!AE377,安値!AF377&lt;安値!AD377,安値!AF377&lt;安値!AG377,安値!AF377&lt;安値!AH377),27,""))</f>
      </c>
      <c r="AB377" s="684">
        <f>IF(終値!A377="","",IF(AND(安値!AG377&lt;安値!AF377,安値!AG377&lt;安値!AE377,安値!AG377&lt;安値!AH377,安値!AG377&lt;安値!AI377),28,""))</f>
      </c>
      <c r="AC377" s="684">
        <f>IF(終値!A377="","",IF(AND(高値!G377&gt;高値!F377,高値!G377&gt;高値!E377,高値!G377&gt;高値!H377,高値!G377&gt;高値!I377),2,""))</f>
      </c>
      <c r="AD377" s="684">
        <f>IF(終値!A377="","",IF(AND(高値!H377&gt;高値!G377,高値!H377&gt;高値!F377,高値!H377&gt;高値!I377,高値!H377&gt;高値!J377),3,""))</f>
      </c>
      <c r="AE377" s="684">
        <f>IF(終値!A377="","",IF(AND(高値!I377&gt;高値!H377,高値!I377&gt;高値!G377,高値!I377&gt;高値!J377,高値!I377&gt;高値!K377),4,""))</f>
      </c>
      <c r="AF377" s="684">
        <f>IF(終値!A377="","",IF(AND(高値!J377&gt;高値!I377,高値!J377&gt;高値!H377,高値!J377&gt;高値!K377,高値!J377&gt;高値!L377),5,""))</f>
      </c>
      <c r="AG377" s="684">
        <f>IF(終値!A377="","",IF(AND(高値!K377&gt;高値!J377,高値!K377&gt;高値!I377,高値!K377&gt;高値!L377,高値!K377&gt;高値!M377),6,""))</f>
      </c>
      <c r="AH377" s="684">
        <f>IF(終値!A377="","",IF(AND(高値!L377&gt;高値!K377,高値!L377&gt;高値!J377,高値!L377&gt;高値!M377,高値!L377&gt;高値!N377),7,""))</f>
      </c>
      <c r="AI377" s="684">
        <f>IF(終値!A377="","",IF(AND(高値!M377&gt;高値!L377,高値!M377&gt;高値!K377,高値!M377&gt;高値!N377,高値!M377&gt;高値!O377),8,""))</f>
      </c>
      <c r="AJ377" s="684">
        <f>IF(終値!A377="","",IF(AND(高値!N377&gt;高値!M377,高値!N377&gt;高値!L377,高値!N377&gt;高値!O377,高値!N377&gt;高値!P377),9,""))</f>
      </c>
      <c r="AK377" s="684">
        <f>IF(終値!A377="","",IF(AND(高値!O377&gt;高値!N377,高値!O377&gt;高値!M377,高値!O377&gt;高値!P377,高値!O377&gt;高値!Q377),10,""))</f>
      </c>
      <c r="AL377" s="684">
        <f>IF(終値!A377="","",IF(AND(高値!P377&gt;高値!O377,高値!P377&gt;高値!N377,高値!P377&gt;高値!Q377,高値!P377&gt;高値!R377),11,""))</f>
      </c>
      <c r="AM377" s="684">
        <f>IF(終値!A377="","",IF(AND(高値!Q377&gt;高値!P377,高値!Q377&gt;高値!O377,高値!Q377&gt;高値!R377,高値!Q377&gt;高値!S377),12,""))</f>
      </c>
      <c r="AN377" s="684">
        <f>IF(終値!A377="","",IF(AND(高値!R377&gt;高値!Q377,高値!R377&gt;高値!P377,高値!R377&gt;高値!S377,高値!R377&gt;高値!T377),13,""))</f>
      </c>
      <c r="AO377" s="684">
        <f>IF(終値!A377="","",IF(AND(高値!S377&gt;高値!R377,高値!S377&gt;高値!Q377,高値!S377&gt;高値!T377,高値!S377&gt;高値!U377),14,""))</f>
      </c>
      <c r="AP377" s="684">
        <f>IF(終値!A377="","",IF(AND(高値!T377&gt;高値!S377,高値!T377&gt;高値!R377,高値!T377&gt;高値!U377,高値!T377&gt;高値!V377),15,""))</f>
      </c>
      <c r="AQ377" s="684">
        <f>IF(終値!A377="","",IF(AND(高値!U377&gt;高値!T377,高値!U377&gt;高値!S377,高値!U377&gt;高値!V377,高値!U377&gt;高値!W377),16,""))</f>
      </c>
      <c r="AR377" s="684">
        <f>IF(終値!A377="","",IF(AND(高値!V377&gt;高値!U377,高値!V377&gt;高値!T377,高値!V377&gt;高値!W377,高値!V377&gt;高値!X377),17,""))</f>
      </c>
      <c r="AS377" s="684">
        <f>IF(終値!A377="","",IF(AND(高値!W377&gt;高値!V377,高値!W377&gt;高値!U377,高値!W377&gt;高値!X377,高値!W377&gt;高値!Y377),18,""))</f>
      </c>
      <c r="AT377" s="684">
        <f>IF(終値!A377="","",IF(AND(高値!X377&gt;高値!W377,高値!X377&gt;高値!V377,高値!X377&gt;高値!Y377,高値!X377&gt;高値!Z377),19,""))</f>
      </c>
      <c r="AU377" s="684">
        <f>IF(終値!A377="","",IF(AND(高値!Y377&gt;高値!X377,高値!Y377&gt;高値!W377,高値!Y377&gt;高値!Z377,高値!Y377&gt;高値!AA377),20,""))</f>
      </c>
      <c r="AV377" s="684">
        <f>IF(終値!A377="","",IF(AND(高値!Z377&gt;高値!Y377,高値!Z377&gt;高値!X377,高値!Z377&gt;高値!AA377,高値!Z377&gt;高値!AB377),21,""))</f>
      </c>
      <c r="AW377" s="684">
        <f>IF(終値!A377="","",IF(AND(高値!AA377&gt;高値!Z377,高値!AA377&gt;高値!Y377,高値!AA377&gt;高値!AB377,高値!AA377&gt;高値!AC377),22,""))</f>
      </c>
      <c r="AX377" s="684">
        <f>IF(終値!A377="","",IF(AND(高値!AB377&gt;高値!AA377,高値!AB377&gt;高値!Z377,高値!AB377&gt;高値!AC377,高値!AB377&gt;高値!AD377),23,""))</f>
      </c>
      <c r="AY377" s="684">
        <f>IF(終値!A377="","",IF(AND(高値!AC377&gt;高値!AB377,高値!AC377&gt;高値!AA377,高値!AC377&gt;高値!AD377,高値!AC377&gt;高値!AE377),24,""))</f>
      </c>
      <c r="AZ377" s="684">
        <f>IF(終値!A377="","",IF(AND(高値!AD377&gt;高値!AC377,高値!AD377&gt;高値!AB377,高値!AD377&gt;高値!AE377,高値!AD377&gt;高値!AF377),25,""))</f>
      </c>
      <c r="BA377" s="684">
        <f>IF(終値!A377="","",IF(AND(高値!AE377&gt;高値!AD377,高値!AE377&gt;高値!AC377,高値!AE377&gt;高値!AF377,高値!AE377&gt;高値!AG377),26,""))</f>
      </c>
      <c r="BB377" s="684">
        <f>IF(終値!A377="","",IF(AND(高値!AF377&gt;高値!AE377,高値!AF377&gt;高値!AD377,高値!AF377&gt;高値!AG377,高値!AF377&gt;高値!AH377),27,""))</f>
      </c>
      <c r="BC377" s="684">
        <f>IF(終値!A377="","",IF(AND(高値!AG377&gt;高値!AF377,高値!AG377&gt;高値!AE377,高値!AG377&gt;高値!AH377,高値!AG377&gt;高値!AI377),28,""))</f>
      </c>
      <c r="BD377" s="684">
        <f>COUNT($B377:$AB377)</f>
      </c>
      <c r="BE377" s="684">
        <f>IF($BD377&gt;=2,MIN($B377:$AB377),"")</f>
      </c>
      <c r="BF377" s="684">
        <f>IF($BD377&gt;=2,SMALL($B377:$AB377,2),"")</f>
      </c>
      <c r="BG377" s="684">
        <f>IF($BE377="","",INDEX(安値!$E377:$CZ377,1,$BE377+1))</f>
      </c>
      <c r="BH377" s="684">
        <f>IF($BF377="","",INDEX(安値!$E377:$CZ377,1,$BF377+1))</f>
      </c>
      <c r="BI377" s="684">
        <f>IF($BF377="","",MAX(INDEX(高値!$E377:$CZ377,1,$BE377+1):INDEX(高値!$E377:$CZ377,1,$BF377+1)))</f>
      </c>
      <c r="BJ377" s="684">
        <f>IF($BF377="","",AVERAGE(INDEX(終値!$E377:$CZ377,1,$BF377+1):INDEX(終値!$E377:$CZ377,1,$BF377+20))-2*STDEVP(INDEX(終値!$E377:$CZ377,1,$BF377+1):INDEX(終値!$E377:$CZ377,1,$BF377+20)))</f>
      </c>
      <c r="BK377" s="684">
        <f>IF($BE377="","",AVERAGE(INDEX(終値!$E377:$CZ377,1,$BE377+1):INDEX(終値!$E377:$CZ377,1,$BE377+20))-2*STDEVP(INDEX(終値!$E377:$CZ377,1,$BE377+1):INDEX(終値!$E377:$CZ377,1,$BE377+20)))</f>
      </c>
      <c r="BL377" s="684">
        <f>COUNT($AC377:$BC377)</f>
      </c>
      <c r="BM377" s="684">
        <f>IF($BL377&gt;=2,MIN($AC377:$BC377),"")</f>
      </c>
      <c r="BN377" s="684">
        <f>IF($BL377&gt;=2,SMALL($AC377:$BC377,2),"")</f>
      </c>
      <c r="BO377" s="684">
        <f>IF($BM377="","",INDEX(高値!$E377:$CZ377,1,$BM377+1))</f>
      </c>
      <c r="BP377" s="684">
        <f>IF($BN377="","",INDEX(高値!$E377:$CZ377,1,$BN377+1))</f>
      </c>
      <c r="BQ377" s="684">
        <f>IF($BN377="","",MIN(INDEX(安値!$E377:$CZ377,1,$BM377+1):INDEX(安値!$E377:$CZ377,1,$BN377+1)))</f>
      </c>
      <c r="BR377" s="684">
        <f>IF($BN377="","",AVERAGE(INDEX(終値!$E377:$CZ377,1,$BN377+1):INDEX(終値!$E377:$CZ377,1,$BN377+20))+2*STDEVP(INDEX(終値!$E377:$CZ377,1,$BN377+1):INDEX(終値!$E377:$CZ377,1,$BN377+20)))</f>
      </c>
      <c r="BS377" s="684">
        <f>IF($BM377="","",AVERAGE(INDEX(終値!$E377:$CZ377,1,$BM377+1):INDEX(終値!$E377:$CZ377,1,$BM377+20))+2*STDEVP(INDEX(終値!$E377:$CZ377,1,$BM377+1):INDEX(終値!$E377:$CZ377,1,$BM377+20)))</f>
      </c>
      <c r="BT377" s="681">
        <f>IFERROR(IF(AND($BD377&gt;=2,ABS($BG377-$BH377)/$BH377&lt;=BB設定!$B$12,$BI377&gt;=MAX($BH377,$BG377)*(1+BB設定!$B$13),終値!E377&gt;$BG377),IF(OR(終値!E377&gt;=$BI377,AND($BH377&lt;$BJ377,$BG377&gt;=$BK377)),"二番底W▲","二番底W形成"),IF(AND($BL377&gt;=2,ABS($BO377-$BP377)/$BP377&lt;=BB設定!$B$12,$BQ377&lt;=MIN($BP377,$BO377)*(1-BB設定!$B$13),終値!E377&lt;$BO377),IF(OR(終値!E377&lt;=$BQ377,AND($BP377&gt;$BR377,$BO377&lt;=$BS377)),"二番天井M▼","二番天井M形成"),"－")),"－")</f>
      </c>
    </row>
    <row r="378">
      <c r="B378" s="684">
        <f>IF(終値!A378="","",IF(AND(安値!G378&lt;安値!F378,安値!G378&lt;安値!E378,安値!G378&lt;安値!H378,安値!G378&lt;安値!I378),2,""))</f>
      </c>
      <c r="C378" s="684">
        <f>IF(終値!A378="","",IF(AND(安値!H378&lt;安値!G378,安値!H378&lt;安値!F378,安値!H378&lt;安値!I378,安値!H378&lt;安値!J378),3,""))</f>
      </c>
      <c r="D378" s="684">
        <f>IF(終値!A378="","",IF(AND(安値!I378&lt;安値!H378,安値!I378&lt;安値!G378,安値!I378&lt;安値!J378,安値!I378&lt;安値!K378),4,""))</f>
      </c>
      <c r="E378" s="684">
        <f>IF(終値!A378="","",IF(AND(安値!J378&lt;安値!I378,安値!J378&lt;安値!H378,安値!J378&lt;安値!K378,安値!J378&lt;安値!L378),5,""))</f>
      </c>
      <c r="F378" s="684">
        <f>IF(終値!A378="","",IF(AND(安値!K378&lt;安値!J378,安値!K378&lt;安値!I378,安値!K378&lt;安値!L378,安値!K378&lt;安値!M378),6,""))</f>
      </c>
      <c r="G378" s="684">
        <f>IF(終値!A378="","",IF(AND(安値!L378&lt;安値!K378,安値!L378&lt;安値!J378,安値!L378&lt;安値!M378,安値!L378&lt;安値!N378),7,""))</f>
      </c>
      <c r="H378" s="684">
        <f>IF(終値!A378="","",IF(AND(安値!M378&lt;安値!L378,安値!M378&lt;安値!K378,安値!M378&lt;安値!N378,安値!M378&lt;安値!O378),8,""))</f>
      </c>
      <c r="I378" s="684">
        <f>IF(終値!A378="","",IF(AND(安値!N378&lt;安値!M378,安値!N378&lt;安値!L378,安値!N378&lt;安値!O378,安値!N378&lt;安値!P378),9,""))</f>
      </c>
      <c r="J378" s="684">
        <f>IF(終値!A378="","",IF(AND(安値!O378&lt;安値!N378,安値!O378&lt;安値!M378,安値!O378&lt;安値!P378,安値!O378&lt;安値!Q378),10,""))</f>
      </c>
      <c r="K378" s="684">
        <f>IF(終値!A378="","",IF(AND(安値!P378&lt;安値!O378,安値!P378&lt;安値!N378,安値!P378&lt;安値!Q378,安値!P378&lt;安値!R378),11,""))</f>
      </c>
      <c r="L378" s="684">
        <f>IF(終値!A378="","",IF(AND(安値!Q378&lt;安値!P378,安値!Q378&lt;安値!O378,安値!Q378&lt;安値!R378,安値!Q378&lt;安値!S378),12,""))</f>
      </c>
      <c r="M378" s="684">
        <f>IF(終値!A378="","",IF(AND(安値!R378&lt;安値!Q378,安値!R378&lt;安値!P378,安値!R378&lt;安値!S378,安値!R378&lt;安値!T378),13,""))</f>
      </c>
      <c r="N378" s="684">
        <f>IF(終値!A378="","",IF(AND(安値!S378&lt;安値!R378,安値!S378&lt;安値!Q378,安値!S378&lt;安値!T378,安値!S378&lt;安値!U378),14,""))</f>
      </c>
      <c r="O378" s="684">
        <f>IF(終値!A378="","",IF(AND(安値!T378&lt;安値!S378,安値!T378&lt;安値!R378,安値!T378&lt;安値!U378,安値!T378&lt;安値!V378),15,""))</f>
      </c>
      <c r="P378" s="684">
        <f>IF(終値!A378="","",IF(AND(安値!U378&lt;安値!T378,安値!U378&lt;安値!S378,安値!U378&lt;安値!V378,安値!U378&lt;安値!W378),16,""))</f>
      </c>
      <c r="Q378" s="684">
        <f>IF(終値!A378="","",IF(AND(安値!V378&lt;安値!U378,安値!V378&lt;安値!T378,安値!V378&lt;安値!W378,安値!V378&lt;安値!X378),17,""))</f>
      </c>
      <c r="R378" s="684">
        <f>IF(終値!A378="","",IF(AND(安値!W378&lt;安値!V378,安値!W378&lt;安値!U378,安値!W378&lt;安値!X378,安値!W378&lt;安値!Y378),18,""))</f>
      </c>
      <c r="S378" s="684">
        <f>IF(終値!A378="","",IF(AND(安値!X378&lt;安値!W378,安値!X378&lt;安値!V378,安値!X378&lt;安値!Y378,安値!X378&lt;安値!Z378),19,""))</f>
      </c>
      <c r="T378" s="684">
        <f>IF(終値!A378="","",IF(AND(安値!Y378&lt;安値!X378,安値!Y378&lt;安値!W378,安値!Y378&lt;安値!Z378,安値!Y378&lt;安値!AA378),20,""))</f>
      </c>
      <c r="U378" s="684">
        <f>IF(終値!A378="","",IF(AND(安値!Z378&lt;安値!Y378,安値!Z378&lt;安値!X378,安値!Z378&lt;安値!AA378,安値!Z378&lt;安値!AB378),21,""))</f>
      </c>
      <c r="V378" s="684">
        <f>IF(終値!A378="","",IF(AND(安値!AA378&lt;安値!Z378,安値!AA378&lt;安値!Y378,安値!AA378&lt;安値!AB378,安値!AA378&lt;安値!AC378),22,""))</f>
      </c>
      <c r="W378" s="684">
        <f>IF(終値!A378="","",IF(AND(安値!AB378&lt;安値!AA378,安値!AB378&lt;安値!Z378,安値!AB378&lt;安値!AC378,安値!AB378&lt;安値!AD378),23,""))</f>
      </c>
      <c r="X378" s="684">
        <f>IF(終値!A378="","",IF(AND(安値!AC378&lt;安値!AB378,安値!AC378&lt;安値!AA378,安値!AC378&lt;安値!AD378,安値!AC378&lt;安値!AE378),24,""))</f>
      </c>
      <c r="Y378" s="684">
        <f>IF(終値!A378="","",IF(AND(安値!AD378&lt;安値!AC378,安値!AD378&lt;安値!AB378,安値!AD378&lt;安値!AE378,安値!AD378&lt;安値!AF378),25,""))</f>
      </c>
      <c r="Z378" s="684">
        <f>IF(終値!A378="","",IF(AND(安値!AE378&lt;安値!AD378,安値!AE378&lt;安値!AC378,安値!AE378&lt;安値!AF378,安値!AE378&lt;安値!AG378),26,""))</f>
      </c>
      <c r="AA378" s="684">
        <f>IF(終値!A378="","",IF(AND(安値!AF378&lt;安値!AE378,安値!AF378&lt;安値!AD378,安値!AF378&lt;安値!AG378,安値!AF378&lt;安値!AH378),27,""))</f>
      </c>
      <c r="AB378" s="684">
        <f>IF(終値!A378="","",IF(AND(安値!AG378&lt;安値!AF378,安値!AG378&lt;安値!AE378,安値!AG378&lt;安値!AH378,安値!AG378&lt;安値!AI378),28,""))</f>
      </c>
      <c r="AC378" s="684">
        <f>IF(終値!A378="","",IF(AND(高値!G378&gt;高値!F378,高値!G378&gt;高値!E378,高値!G378&gt;高値!H378,高値!G378&gt;高値!I378),2,""))</f>
      </c>
      <c r="AD378" s="684">
        <f>IF(終値!A378="","",IF(AND(高値!H378&gt;高値!G378,高値!H378&gt;高値!F378,高値!H378&gt;高値!I378,高値!H378&gt;高値!J378),3,""))</f>
      </c>
      <c r="AE378" s="684">
        <f>IF(終値!A378="","",IF(AND(高値!I378&gt;高値!H378,高値!I378&gt;高値!G378,高値!I378&gt;高値!J378,高値!I378&gt;高値!K378),4,""))</f>
      </c>
      <c r="AF378" s="684">
        <f>IF(終値!A378="","",IF(AND(高値!J378&gt;高値!I378,高値!J378&gt;高値!H378,高値!J378&gt;高値!K378,高値!J378&gt;高値!L378),5,""))</f>
      </c>
      <c r="AG378" s="684">
        <f>IF(終値!A378="","",IF(AND(高値!K378&gt;高値!J378,高値!K378&gt;高値!I378,高値!K378&gt;高値!L378,高値!K378&gt;高値!M378),6,""))</f>
      </c>
      <c r="AH378" s="684">
        <f>IF(終値!A378="","",IF(AND(高値!L378&gt;高値!K378,高値!L378&gt;高値!J378,高値!L378&gt;高値!M378,高値!L378&gt;高値!N378),7,""))</f>
      </c>
      <c r="AI378" s="684">
        <f>IF(終値!A378="","",IF(AND(高値!M378&gt;高値!L378,高値!M378&gt;高値!K378,高値!M378&gt;高値!N378,高値!M378&gt;高値!O378),8,""))</f>
      </c>
      <c r="AJ378" s="684">
        <f>IF(終値!A378="","",IF(AND(高値!N378&gt;高値!M378,高値!N378&gt;高値!L378,高値!N378&gt;高値!O378,高値!N378&gt;高値!P378),9,""))</f>
      </c>
      <c r="AK378" s="684">
        <f>IF(終値!A378="","",IF(AND(高値!O378&gt;高値!N378,高値!O378&gt;高値!M378,高値!O378&gt;高値!P378,高値!O378&gt;高値!Q378),10,""))</f>
      </c>
      <c r="AL378" s="684">
        <f>IF(終値!A378="","",IF(AND(高値!P378&gt;高値!O378,高値!P378&gt;高値!N378,高値!P378&gt;高値!Q378,高値!P378&gt;高値!R378),11,""))</f>
      </c>
      <c r="AM378" s="684">
        <f>IF(終値!A378="","",IF(AND(高値!Q378&gt;高値!P378,高値!Q378&gt;高値!O378,高値!Q378&gt;高値!R378,高値!Q378&gt;高値!S378),12,""))</f>
      </c>
      <c r="AN378" s="684">
        <f>IF(終値!A378="","",IF(AND(高値!R378&gt;高値!Q378,高値!R378&gt;高値!P378,高値!R378&gt;高値!S378,高値!R378&gt;高値!T378),13,""))</f>
      </c>
      <c r="AO378" s="684">
        <f>IF(終値!A378="","",IF(AND(高値!S378&gt;高値!R378,高値!S378&gt;高値!Q378,高値!S378&gt;高値!T378,高値!S378&gt;高値!U378),14,""))</f>
      </c>
      <c r="AP378" s="684">
        <f>IF(終値!A378="","",IF(AND(高値!T378&gt;高値!S378,高値!T378&gt;高値!R378,高値!T378&gt;高値!U378,高値!T378&gt;高値!V378),15,""))</f>
      </c>
      <c r="AQ378" s="684">
        <f>IF(終値!A378="","",IF(AND(高値!U378&gt;高値!T378,高値!U378&gt;高値!S378,高値!U378&gt;高値!V378,高値!U378&gt;高値!W378),16,""))</f>
      </c>
      <c r="AR378" s="684">
        <f>IF(終値!A378="","",IF(AND(高値!V378&gt;高値!U378,高値!V378&gt;高値!T378,高値!V378&gt;高値!W378,高値!V378&gt;高値!X378),17,""))</f>
      </c>
      <c r="AS378" s="684">
        <f>IF(終値!A378="","",IF(AND(高値!W378&gt;高値!V378,高値!W378&gt;高値!U378,高値!W378&gt;高値!X378,高値!W378&gt;高値!Y378),18,""))</f>
      </c>
      <c r="AT378" s="684">
        <f>IF(終値!A378="","",IF(AND(高値!X378&gt;高値!W378,高値!X378&gt;高値!V378,高値!X378&gt;高値!Y378,高値!X378&gt;高値!Z378),19,""))</f>
      </c>
      <c r="AU378" s="684">
        <f>IF(終値!A378="","",IF(AND(高値!Y378&gt;高値!X378,高値!Y378&gt;高値!W378,高値!Y378&gt;高値!Z378,高値!Y378&gt;高値!AA378),20,""))</f>
      </c>
      <c r="AV378" s="684">
        <f>IF(終値!A378="","",IF(AND(高値!Z378&gt;高値!Y378,高値!Z378&gt;高値!X378,高値!Z378&gt;高値!AA378,高値!Z378&gt;高値!AB378),21,""))</f>
      </c>
      <c r="AW378" s="684">
        <f>IF(終値!A378="","",IF(AND(高値!AA378&gt;高値!Z378,高値!AA378&gt;高値!Y378,高値!AA378&gt;高値!AB378,高値!AA378&gt;高値!AC378),22,""))</f>
      </c>
      <c r="AX378" s="684">
        <f>IF(終値!A378="","",IF(AND(高値!AB378&gt;高値!AA378,高値!AB378&gt;高値!Z378,高値!AB378&gt;高値!AC378,高値!AB378&gt;高値!AD378),23,""))</f>
      </c>
      <c r="AY378" s="684">
        <f>IF(終値!A378="","",IF(AND(高値!AC378&gt;高値!AB378,高値!AC378&gt;高値!AA378,高値!AC378&gt;高値!AD378,高値!AC378&gt;高値!AE378),24,""))</f>
      </c>
      <c r="AZ378" s="684">
        <f>IF(終値!A378="","",IF(AND(高値!AD378&gt;高値!AC378,高値!AD378&gt;高値!AB378,高値!AD378&gt;高値!AE378,高値!AD378&gt;高値!AF378),25,""))</f>
      </c>
      <c r="BA378" s="684">
        <f>IF(終値!A378="","",IF(AND(高値!AE378&gt;高値!AD378,高値!AE378&gt;高値!AC378,高値!AE378&gt;高値!AF378,高値!AE378&gt;高値!AG378),26,""))</f>
      </c>
      <c r="BB378" s="684">
        <f>IF(終値!A378="","",IF(AND(高値!AF378&gt;高値!AE378,高値!AF378&gt;高値!AD378,高値!AF378&gt;高値!AG378,高値!AF378&gt;高値!AH378),27,""))</f>
      </c>
      <c r="BC378" s="684">
        <f>IF(終値!A378="","",IF(AND(高値!AG378&gt;高値!AF378,高値!AG378&gt;高値!AE378,高値!AG378&gt;高値!AH378,高値!AG378&gt;高値!AI378),28,""))</f>
      </c>
      <c r="BD378" s="684">
        <f>COUNT($B378:$AB378)</f>
      </c>
      <c r="BE378" s="684">
        <f>IF($BD378&gt;=2,MIN($B378:$AB378),"")</f>
      </c>
      <c r="BF378" s="684">
        <f>IF($BD378&gt;=2,SMALL($B378:$AB378,2),"")</f>
      </c>
      <c r="BG378" s="684">
        <f>IF($BE378="","",INDEX(安値!$E378:$CZ378,1,$BE378+1))</f>
      </c>
      <c r="BH378" s="684">
        <f>IF($BF378="","",INDEX(安値!$E378:$CZ378,1,$BF378+1))</f>
      </c>
      <c r="BI378" s="684">
        <f>IF($BF378="","",MAX(INDEX(高値!$E378:$CZ378,1,$BE378+1):INDEX(高値!$E378:$CZ378,1,$BF378+1)))</f>
      </c>
      <c r="BJ378" s="684">
        <f>IF($BF378="","",AVERAGE(INDEX(終値!$E378:$CZ378,1,$BF378+1):INDEX(終値!$E378:$CZ378,1,$BF378+20))-2*STDEVP(INDEX(終値!$E378:$CZ378,1,$BF378+1):INDEX(終値!$E378:$CZ378,1,$BF378+20)))</f>
      </c>
      <c r="BK378" s="684">
        <f>IF($BE378="","",AVERAGE(INDEX(終値!$E378:$CZ378,1,$BE378+1):INDEX(終値!$E378:$CZ378,1,$BE378+20))-2*STDEVP(INDEX(終値!$E378:$CZ378,1,$BE378+1):INDEX(終値!$E378:$CZ378,1,$BE378+20)))</f>
      </c>
      <c r="BL378" s="684">
        <f>COUNT($AC378:$BC378)</f>
      </c>
      <c r="BM378" s="684">
        <f>IF($BL378&gt;=2,MIN($AC378:$BC378),"")</f>
      </c>
      <c r="BN378" s="684">
        <f>IF($BL378&gt;=2,SMALL($AC378:$BC378,2),"")</f>
      </c>
      <c r="BO378" s="684">
        <f>IF($BM378="","",INDEX(高値!$E378:$CZ378,1,$BM378+1))</f>
      </c>
      <c r="BP378" s="684">
        <f>IF($BN378="","",INDEX(高値!$E378:$CZ378,1,$BN378+1))</f>
      </c>
      <c r="BQ378" s="684">
        <f>IF($BN378="","",MIN(INDEX(安値!$E378:$CZ378,1,$BM378+1):INDEX(安値!$E378:$CZ378,1,$BN378+1)))</f>
      </c>
      <c r="BR378" s="684">
        <f>IF($BN378="","",AVERAGE(INDEX(終値!$E378:$CZ378,1,$BN378+1):INDEX(終値!$E378:$CZ378,1,$BN378+20))+2*STDEVP(INDEX(終値!$E378:$CZ378,1,$BN378+1):INDEX(終値!$E378:$CZ378,1,$BN378+20)))</f>
      </c>
      <c r="BS378" s="684">
        <f>IF($BM378="","",AVERAGE(INDEX(終値!$E378:$CZ378,1,$BM378+1):INDEX(終値!$E378:$CZ378,1,$BM378+20))+2*STDEVP(INDEX(終値!$E378:$CZ378,1,$BM378+1):INDEX(終値!$E378:$CZ378,1,$BM378+20)))</f>
      </c>
      <c r="BT378" s="681">
        <f>IFERROR(IF(AND($BD378&gt;=2,ABS($BG378-$BH378)/$BH378&lt;=BB設定!$B$12,$BI378&gt;=MAX($BH378,$BG378)*(1+BB設定!$B$13),終値!E378&gt;$BG378),IF(OR(終値!E378&gt;=$BI378,AND($BH378&lt;$BJ378,$BG378&gt;=$BK378)),"二番底W▲","二番底W形成"),IF(AND($BL378&gt;=2,ABS($BO378-$BP378)/$BP378&lt;=BB設定!$B$12,$BQ378&lt;=MIN($BP378,$BO378)*(1-BB設定!$B$13),終値!E378&lt;$BO378),IF(OR(終値!E378&lt;=$BQ378,AND($BP378&gt;$BR378,$BO378&lt;=$BS378)),"二番天井M▼","二番天井M形成"),"－")),"－")</f>
      </c>
    </row>
    <row r="379">
      <c r="B379" s="684">
        <f>IF(終値!A379="","",IF(AND(安値!G379&lt;安値!F379,安値!G379&lt;安値!E379,安値!G379&lt;安値!H379,安値!G379&lt;安値!I379),2,""))</f>
      </c>
      <c r="C379" s="684">
        <f>IF(終値!A379="","",IF(AND(安値!H379&lt;安値!G379,安値!H379&lt;安値!F379,安値!H379&lt;安値!I379,安値!H379&lt;安値!J379),3,""))</f>
      </c>
      <c r="D379" s="684">
        <f>IF(終値!A379="","",IF(AND(安値!I379&lt;安値!H379,安値!I379&lt;安値!G379,安値!I379&lt;安値!J379,安値!I379&lt;安値!K379),4,""))</f>
      </c>
      <c r="E379" s="684">
        <f>IF(終値!A379="","",IF(AND(安値!J379&lt;安値!I379,安値!J379&lt;安値!H379,安値!J379&lt;安値!K379,安値!J379&lt;安値!L379),5,""))</f>
      </c>
      <c r="F379" s="684">
        <f>IF(終値!A379="","",IF(AND(安値!K379&lt;安値!J379,安値!K379&lt;安値!I379,安値!K379&lt;安値!L379,安値!K379&lt;安値!M379),6,""))</f>
      </c>
      <c r="G379" s="684">
        <f>IF(終値!A379="","",IF(AND(安値!L379&lt;安値!K379,安値!L379&lt;安値!J379,安値!L379&lt;安値!M379,安値!L379&lt;安値!N379),7,""))</f>
      </c>
      <c r="H379" s="684">
        <f>IF(終値!A379="","",IF(AND(安値!M379&lt;安値!L379,安値!M379&lt;安値!K379,安値!M379&lt;安値!N379,安値!M379&lt;安値!O379),8,""))</f>
      </c>
      <c r="I379" s="684">
        <f>IF(終値!A379="","",IF(AND(安値!N379&lt;安値!M379,安値!N379&lt;安値!L379,安値!N379&lt;安値!O379,安値!N379&lt;安値!P379),9,""))</f>
      </c>
      <c r="J379" s="684">
        <f>IF(終値!A379="","",IF(AND(安値!O379&lt;安値!N379,安値!O379&lt;安値!M379,安値!O379&lt;安値!P379,安値!O379&lt;安値!Q379),10,""))</f>
      </c>
      <c r="K379" s="684">
        <f>IF(終値!A379="","",IF(AND(安値!P379&lt;安値!O379,安値!P379&lt;安値!N379,安値!P379&lt;安値!Q379,安値!P379&lt;安値!R379),11,""))</f>
      </c>
      <c r="L379" s="684">
        <f>IF(終値!A379="","",IF(AND(安値!Q379&lt;安値!P379,安値!Q379&lt;安値!O379,安値!Q379&lt;安値!R379,安値!Q379&lt;安値!S379),12,""))</f>
      </c>
      <c r="M379" s="684">
        <f>IF(終値!A379="","",IF(AND(安値!R379&lt;安値!Q379,安値!R379&lt;安値!P379,安値!R379&lt;安値!S379,安値!R379&lt;安値!T379),13,""))</f>
      </c>
      <c r="N379" s="684">
        <f>IF(終値!A379="","",IF(AND(安値!S379&lt;安値!R379,安値!S379&lt;安値!Q379,安値!S379&lt;安値!T379,安値!S379&lt;安値!U379),14,""))</f>
      </c>
      <c r="O379" s="684">
        <f>IF(終値!A379="","",IF(AND(安値!T379&lt;安値!S379,安値!T379&lt;安値!R379,安値!T379&lt;安値!U379,安値!T379&lt;安値!V379),15,""))</f>
      </c>
      <c r="P379" s="684">
        <f>IF(終値!A379="","",IF(AND(安値!U379&lt;安値!T379,安値!U379&lt;安値!S379,安値!U379&lt;安値!V379,安値!U379&lt;安値!W379),16,""))</f>
      </c>
      <c r="Q379" s="684">
        <f>IF(終値!A379="","",IF(AND(安値!V379&lt;安値!U379,安値!V379&lt;安値!T379,安値!V379&lt;安値!W379,安値!V379&lt;安値!X379),17,""))</f>
      </c>
      <c r="R379" s="684">
        <f>IF(終値!A379="","",IF(AND(安値!W379&lt;安値!V379,安値!W379&lt;安値!U379,安値!W379&lt;安値!X379,安値!W379&lt;安値!Y379),18,""))</f>
      </c>
      <c r="S379" s="684">
        <f>IF(終値!A379="","",IF(AND(安値!X379&lt;安値!W379,安値!X379&lt;安値!V379,安値!X379&lt;安値!Y379,安値!X379&lt;安値!Z379),19,""))</f>
      </c>
      <c r="T379" s="684">
        <f>IF(終値!A379="","",IF(AND(安値!Y379&lt;安値!X379,安値!Y379&lt;安値!W379,安値!Y379&lt;安値!Z379,安値!Y379&lt;安値!AA379),20,""))</f>
      </c>
      <c r="U379" s="684">
        <f>IF(終値!A379="","",IF(AND(安値!Z379&lt;安値!Y379,安値!Z379&lt;安値!X379,安値!Z379&lt;安値!AA379,安値!Z379&lt;安値!AB379),21,""))</f>
      </c>
      <c r="V379" s="684">
        <f>IF(終値!A379="","",IF(AND(安値!AA379&lt;安値!Z379,安値!AA379&lt;安値!Y379,安値!AA379&lt;安値!AB379,安値!AA379&lt;安値!AC379),22,""))</f>
      </c>
      <c r="W379" s="684">
        <f>IF(終値!A379="","",IF(AND(安値!AB379&lt;安値!AA379,安値!AB379&lt;安値!Z379,安値!AB379&lt;安値!AC379,安値!AB379&lt;安値!AD379),23,""))</f>
      </c>
      <c r="X379" s="684">
        <f>IF(終値!A379="","",IF(AND(安値!AC379&lt;安値!AB379,安値!AC379&lt;安値!AA379,安値!AC379&lt;安値!AD379,安値!AC379&lt;安値!AE379),24,""))</f>
      </c>
      <c r="Y379" s="684">
        <f>IF(終値!A379="","",IF(AND(安値!AD379&lt;安値!AC379,安値!AD379&lt;安値!AB379,安値!AD379&lt;安値!AE379,安値!AD379&lt;安値!AF379),25,""))</f>
      </c>
      <c r="Z379" s="684">
        <f>IF(終値!A379="","",IF(AND(安値!AE379&lt;安値!AD379,安値!AE379&lt;安値!AC379,安値!AE379&lt;安値!AF379,安値!AE379&lt;安値!AG379),26,""))</f>
      </c>
      <c r="AA379" s="684">
        <f>IF(終値!A379="","",IF(AND(安値!AF379&lt;安値!AE379,安値!AF379&lt;安値!AD379,安値!AF379&lt;安値!AG379,安値!AF379&lt;安値!AH379),27,""))</f>
      </c>
      <c r="AB379" s="684">
        <f>IF(終値!A379="","",IF(AND(安値!AG379&lt;安値!AF379,安値!AG379&lt;安値!AE379,安値!AG379&lt;安値!AH379,安値!AG379&lt;安値!AI379),28,""))</f>
      </c>
      <c r="AC379" s="684">
        <f>IF(終値!A379="","",IF(AND(高値!G379&gt;高値!F379,高値!G379&gt;高値!E379,高値!G379&gt;高値!H379,高値!G379&gt;高値!I379),2,""))</f>
      </c>
      <c r="AD379" s="684">
        <f>IF(終値!A379="","",IF(AND(高値!H379&gt;高値!G379,高値!H379&gt;高値!F379,高値!H379&gt;高値!I379,高値!H379&gt;高値!J379),3,""))</f>
      </c>
      <c r="AE379" s="684">
        <f>IF(終値!A379="","",IF(AND(高値!I379&gt;高値!H379,高値!I379&gt;高値!G379,高値!I379&gt;高値!J379,高値!I379&gt;高値!K379),4,""))</f>
      </c>
      <c r="AF379" s="684">
        <f>IF(終値!A379="","",IF(AND(高値!J379&gt;高値!I379,高値!J379&gt;高値!H379,高値!J379&gt;高値!K379,高値!J379&gt;高値!L379),5,""))</f>
      </c>
      <c r="AG379" s="684">
        <f>IF(終値!A379="","",IF(AND(高値!K379&gt;高値!J379,高値!K379&gt;高値!I379,高値!K379&gt;高値!L379,高値!K379&gt;高値!M379),6,""))</f>
      </c>
      <c r="AH379" s="684">
        <f>IF(終値!A379="","",IF(AND(高値!L379&gt;高値!K379,高値!L379&gt;高値!J379,高値!L379&gt;高値!M379,高値!L379&gt;高値!N379),7,""))</f>
      </c>
      <c r="AI379" s="684">
        <f>IF(終値!A379="","",IF(AND(高値!M379&gt;高値!L379,高値!M379&gt;高値!K379,高値!M379&gt;高値!N379,高値!M379&gt;高値!O379),8,""))</f>
      </c>
      <c r="AJ379" s="684">
        <f>IF(終値!A379="","",IF(AND(高値!N379&gt;高値!M379,高値!N379&gt;高値!L379,高値!N379&gt;高値!O379,高値!N379&gt;高値!P379),9,""))</f>
      </c>
      <c r="AK379" s="684">
        <f>IF(終値!A379="","",IF(AND(高値!O379&gt;高値!N379,高値!O379&gt;高値!M379,高値!O379&gt;高値!P379,高値!O379&gt;高値!Q379),10,""))</f>
      </c>
      <c r="AL379" s="684">
        <f>IF(終値!A379="","",IF(AND(高値!P379&gt;高値!O379,高値!P379&gt;高値!N379,高値!P379&gt;高値!Q379,高値!P379&gt;高値!R379),11,""))</f>
      </c>
      <c r="AM379" s="684">
        <f>IF(終値!A379="","",IF(AND(高値!Q379&gt;高値!P379,高値!Q379&gt;高値!O379,高値!Q379&gt;高値!R379,高値!Q379&gt;高値!S379),12,""))</f>
      </c>
      <c r="AN379" s="684">
        <f>IF(終値!A379="","",IF(AND(高値!R379&gt;高値!Q379,高値!R379&gt;高値!P379,高値!R379&gt;高値!S379,高値!R379&gt;高値!T379),13,""))</f>
      </c>
      <c r="AO379" s="684">
        <f>IF(終値!A379="","",IF(AND(高値!S379&gt;高値!R379,高値!S379&gt;高値!Q379,高値!S379&gt;高値!T379,高値!S379&gt;高値!U379),14,""))</f>
      </c>
      <c r="AP379" s="684">
        <f>IF(終値!A379="","",IF(AND(高値!T379&gt;高値!S379,高値!T379&gt;高値!R379,高値!T379&gt;高値!U379,高値!T379&gt;高値!V379),15,""))</f>
      </c>
      <c r="AQ379" s="684">
        <f>IF(終値!A379="","",IF(AND(高値!U379&gt;高値!T379,高値!U379&gt;高値!S379,高値!U379&gt;高値!V379,高値!U379&gt;高値!W379),16,""))</f>
      </c>
      <c r="AR379" s="684">
        <f>IF(終値!A379="","",IF(AND(高値!V379&gt;高値!U379,高値!V379&gt;高値!T379,高値!V379&gt;高値!W379,高値!V379&gt;高値!X379),17,""))</f>
      </c>
      <c r="AS379" s="684">
        <f>IF(終値!A379="","",IF(AND(高値!W379&gt;高値!V379,高値!W379&gt;高値!U379,高値!W379&gt;高値!X379,高値!W379&gt;高値!Y379),18,""))</f>
      </c>
      <c r="AT379" s="684">
        <f>IF(終値!A379="","",IF(AND(高値!X379&gt;高値!W379,高値!X379&gt;高値!V379,高値!X379&gt;高値!Y379,高値!X379&gt;高値!Z379),19,""))</f>
      </c>
      <c r="AU379" s="684">
        <f>IF(終値!A379="","",IF(AND(高値!Y379&gt;高値!X379,高値!Y379&gt;高値!W379,高値!Y379&gt;高値!Z379,高値!Y379&gt;高値!AA379),20,""))</f>
      </c>
      <c r="AV379" s="684">
        <f>IF(終値!A379="","",IF(AND(高値!Z379&gt;高値!Y379,高値!Z379&gt;高値!X379,高値!Z379&gt;高値!AA379,高値!Z379&gt;高値!AB379),21,""))</f>
      </c>
      <c r="AW379" s="684">
        <f>IF(終値!A379="","",IF(AND(高値!AA379&gt;高値!Z379,高値!AA379&gt;高値!Y379,高値!AA379&gt;高値!AB379,高値!AA379&gt;高値!AC379),22,""))</f>
      </c>
      <c r="AX379" s="684">
        <f>IF(終値!A379="","",IF(AND(高値!AB379&gt;高値!AA379,高値!AB379&gt;高値!Z379,高値!AB379&gt;高値!AC379,高値!AB379&gt;高値!AD379),23,""))</f>
      </c>
      <c r="AY379" s="684">
        <f>IF(終値!A379="","",IF(AND(高値!AC379&gt;高値!AB379,高値!AC379&gt;高値!AA379,高値!AC379&gt;高値!AD379,高値!AC379&gt;高値!AE379),24,""))</f>
      </c>
      <c r="AZ379" s="684">
        <f>IF(終値!A379="","",IF(AND(高値!AD379&gt;高値!AC379,高値!AD379&gt;高値!AB379,高値!AD379&gt;高値!AE379,高値!AD379&gt;高値!AF379),25,""))</f>
      </c>
      <c r="BA379" s="684">
        <f>IF(終値!A379="","",IF(AND(高値!AE379&gt;高値!AD379,高値!AE379&gt;高値!AC379,高値!AE379&gt;高値!AF379,高値!AE379&gt;高値!AG379),26,""))</f>
      </c>
      <c r="BB379" s="684">
        <f>IF(終値!A379="","",IF(AND(高値!AF379&gt;高値!AE379,高値!AF379&gt;高値!AD379,高値!AF379&gt;高値!AG379,高値!AF379&gt;高値!AH379),27,""))</f>
      </c>
      <c r="BC379" s="684">
        <f>IF(終値!A379="","",IF(AND(高値!AG379&gt;高値!AF379,高値!AG379&gt;高値!AE379,高値!AG379&gt;高値!AH379,高値!AG379&gt;高値!AI379),28,""))</f>
      </c>
      <c r="BD379" s="684">
        <f>COUNT($B379:$AB379)</f>
      </c>
      <c r="BE379" s="684">
        <f>IF($BD379&gt;=2,MIN($B379:$AB379),"")</f>
      </c>
      <c r="BF379" s="684">
        <f>IF($BD379&gt;=2,SMALL($B379:$AB379,2),"")</f>
      </c>
      <c r="BG379" s="684">
        <f>IF($BE379="","",INDEX(安値!$E379:$CZ379,1,$BE379+1))</f>
      </c>
      <c r="BH379" s="684">
        <f>IF($BF379="","",INDEX(安値!$E379:$CZ379,1,$BF379+1))</f>
      </c>
      <c r="BI379" s="684">
        <f>IF($BF379="","",MAX(INDEX(高値!$E379:$CZ379,1,$BE379+1):INDEX(高値!$E379:$CZ379,1,$BF379+1)))</f>
      </c>
      <c r="BJ379" s="684">
        <f>IF($BF379="","",AVERAGE(INDEX(終値!$E379:$CZ379,1,$BF379+1):INDEX(終値!$E379:$CZ379,1,$BF379+20))-2*STDEVP(INDEX(終値!$E379:$CZ379,1,$BF379+1):INDEX(終値!$E379:$CZ379,1,$BF379+20)))</f>
      </c>
      <c r="BK379" s="684">
        <f>IF($BE379="","",AVERAGE(INDEX(終値!$E379:$CZ379,1,$BE379+1):INDEX(終値!$E379:$CZ379,1,$BE379+20))-2*STDEVP(INDEX(終値!$E379:$CZ379,1,$BE379+1):INDEX(終値!$E379:$CZ379,1,$BE379+20)))</f>
      </c>
      <c r="BL379" s="684">
        <f>COUNT($AC379:$BC379)</f>
      </c>
      <c r="BM379" s="684">
        <f>IF($BL379&gt;=2,MIN($AC379:$BC379),"")</f>
      </c>
      <c r="BN379" s="684">
        <f>IF($BL379&gt;=2,SMALL($AC379:$BC379,2),"")</f>
      </c>
      <c r="BO379" s="684">
        <f>IF($BM379="","",INDEX(高値!$E379:$CZ379,1,$BM379+1))</f>
      </c>
      <c r="BP379" s="684">
        <f>IF($BN379="","",INDEX(高値!$E379:$CZ379,1,$BN379+1))</f>
      </c>
      <c r="BQ379" s="684">
        <f>IF($BN379="","",MIN(INDEX(安値!$E379:$CZ379,1,$BM379+1):INDEX(安値!$E379:$CZ379,1,$BN379+1)))</f>
      </c>
      <c r="BR379" s="684">
        <f>IF($BN379="","",AVERAGE(INDEX(終値!$E379:$CZ379,1,$BN379+1):INDEX(終値!$E379:$CZ379,1,$BN379+20))+2*STDEVP(INDEX(終値!$E379:$CZ379,1,$BN379+1):INDEX(終値!$E379:$CZ379,1,$BN379+20)))</f>
      </c>
      <c r="BS379" s="684">
        <f>IF($BM379="","",AVERAGE(INDEX(終値!$E379:$CZ379,1,$BM379+1):INDEX(終値!$E379:$CZ379,1,$BM379+20))+2*STDEVP(INDEX(終値!$E379:$CZ379,1,$BM379+1):INDEX(終値!$E379:$CZ379,1,$BM379+20)))</f>
      </c>
      <c r="BT379" s="681">
        <f>IFERROR(IF(AND($BD379&gt;=2,ABS($BG379-$BH379)/$BH379&lt;=BB設定!$B$12,$BI379&gt;=MAX($BH379,$BG379)*(1+BB設定!$B$13),終値!E379&gt;$BG379),IF(OR(終値!E379&gt;=$BI379,AND($BH379&lt;$BJ379,$BG379&gt;=$BK379)),"二番底W▲","二番底W形成"),IF(AND($BL379&gt;=2,ABS($BO379-$BP379)/$BP379&lt;=BB設定!$B$12,$BQ379&lt;=MIN($BP379,$BO379)*(1-BB設定!$B$13),終値!E379&lt;$BO379),IF(OR(終値!E379&lt;=$BQ379,AND($BP379&gt;$BR379,$BO379&lt;=$BS379)),"二番天井M▼","二番天井M形成"),"－")),"－")</f>
      </c>
    </row>
    <row r="380">
      <c r="B380" s="684">
        <f>IF(終値!A380="","",IF(AND(安値!G380&lt;安値!F380,安値!G380&lt;安値!E380,安値!G380&lt;安値!H380,安値!G380&lt;安値!I380),2,""))</f>
      </c>
      <c r="C380" s="684">
        <f>IF(終値!A380="","",IF(AND(安値!H380&lt;安値!G380,安値!H380&lt;安値!F380,安値!H380&lt;安値!I380,安値!H380&lt;安値!J380),3,""))</f>
      </c>
      <c r="D380" s="684">
        <f>IF(終値!A380="","",IF(AND(安値!I380&lt;安値!H380,安値!I380&lt;安値!G380,安値!I380&lt;安値!J380,安値!I380&lt;安値!K380),4,""))</f>
      </c>
      <c r="E380" s="684">
        <f>IF(終値!A380="","",IF(AND(安値!J380&lt;安値!I380,安値!J380&lt;安値!H380,安値!J380&lt;安値!K380,安値!J380&lt;安値!L380),5,""))</f>
      </c>
      <c r="F380" s="684">
        <f>IF(終値!A380="","",IF(AND(安値!K380&lt;安値!J380,安値!K380&lt;安値!I380,安値!K380&lt;安値!L380,安値!K380&lt;安値!M380),6,""))</f>
      </c>
      <c r="G380" s="684">
        <f>IF(終値!A380="","",IF(AND(安値!L380&lt;安値!K380,安値!L380&lt;安値!J380,安値!L380&lt;安値!M380,安値!L380&lt;安値!N380),7,""))</f>
      </c>
      <c r="H380" s="684">
        <f>IF(終値!A380="","",IF(AND(安値!M380&lt;安値!L380,安値!M380&lt;安値!K380,安値!M380&lt;安値!N380,安値!M380&lt;安値!O380),8,""))</f>
      </c>
      <c r="I380" s="684">
        <f>IF(終値!A380="","",IF(AND(安値!N380&lt;安値!M380,安値!N380&lt;安値!L380,安値!N380&lt;安値!O380,安値!N380&lt;安値!P380),9,""))</f>
      </c>
      <c r="J380" s="684">
        <f>IF(終値!A380="","",IF(AND(安値!O380&lt;安値!N380,安値!O380&lt;安値!M380,安値!O380&lt;安値!P380,安値!O380&lt;安値!Q380),10,""))</f>
      </c>
      <c r="K380" s="684">
        <f>IF(終値!A380="","",IF(AND(安値!P380&lt;安値!O380,安値!P380&lt;安値!N380,安値!P380&lt;安値!Q380,安値!P380&lt;安値!R380),11,""))</f>
      </c>
      <c r="L380" s="684">
        <f>IF(終値!A380="","",IF(AND(安値!Q380&lt;安値!P380,安値!Q380&lt;安値!O380,安値!Q380&lt;安値!R380,安値!Q380&lt;安値!S380),12,""))</f>
      </c>
      <c r="M380" s="684">
        <f>IF(終値!A380="","",IF(AND(安値!R380&lt;安値!Q380,安値!R380&lt;安値!P380,安値!R380&lt;安値!S380,安値!R380&lt;安値!T380),13,""))</f>
      </c>
      <c r="N380" s="684">
        <f>IF(終値!A380="","",IF(AND(安値!S380&lt;安値!R380,安値!S380&lt;安値!Q380,安値!S380&lt;安値!T380,安値!S380&lt;安値!U380),14,""))</f>
      </c>
      <c r="O380" s="684">
        <f>IF(終値!A380="","",IF(AND(安値!T380&lt;安値!S380,安値!T380&lt;安値!R380,安値!T380&lt;安値!U380,安値!T380&lt;安値!V380),15,""))</f>
      </c>
      <c r="P380" s="684">
        <f>IF(終値!A380="","",IF(AND(安値!U380&lt;安値!T380,安値!U380&lt;安値!S380,安値!U380&lt;安値!V380,安値!U380&lt;安値!W380),16,""))</f>
      </c>
      <c r="Q380" s="684">
        <f>IF(終値!A380="","",IF(AND(安値!V380&lt;安値!U380,安値!V380&lt;安値!T380,安値!V380&lt;安値!W380,安値!V380&lt;安値!X380),17,""))</f>
      </c>
      <c r="R380" s="684">
        <f>IF(終値!A380="","",IF(AND(安値!W380&lt;安値!V380,安値!W380&lt;安値!U380,安値!W380&lt;安値!X380,安値!W380&lt;安値!Y380),18,""))</f>
      </c>
      <c r="S380" s="684">
        <f>IF(終値!A380="","",IF(AND(安値!X380&lt;安値!W380,安値!X380&lt;安値!V380,安値!X380&lt;安値!Y380,安値!X380&lt;安値!Z380),19,""))</f>
      </c>
      <c r="T380" s="684">
        <f>IF(終値!A380="","",IF(AND(安値!Y380&lt;安値!X380,安値!Y380&lt;安値!W380,安値!Y380&lt;安値!Z380,安値!Y380&lt;安値!AA380),20,""))</f>
      </c>
      <c r="U380" s="684">
        <f>IF(終値!A380="","",IF(AND(安値!Z380&lt;安値!Y380,安値!Z380&lt;安値!X380,安値!Z380&lt;安値!AA380,安値!Z380&lt;安値!AB380),21,""))</f>
      </c>
      <c r="V380" s="684">
        <f>IF(終値!A380="","",IF(AND(安値!AA380&lt;安値!Z380,安値!AA380&lt;安値!Y380,安値!AA380&lt;安値!AB380,安値!AA380&lt;安値!AC380),22,""))</f>
      </c>
      <c r="W380" s="684">
        <f>IF(終値!A380="","",IF(AND(安値!AB380&lt;安値!AA380,安値!AB380&lt;安値!Z380,安値!AB380&lt;安値!AC380,安値!AB380&lt;安値!AD380),23,""))</f>
      </c>
      <c r="X380" s="684">
        <f>IF(終値!A380="","",IF(AND(安値!AC380&lt;安値!AB380,安値!AC380&lt;安値!AA380,安値!AC380&lt;安値!AD380,安値!AC380&lt;安値!AE380),24,""))</f>
      </c>
      <c r="Y380" s="684">
        <f>IF(終値!A380="","",IF(AND(安値!AD380&lt;安値!AC380,安値!AD380&lt;安値!AB380,安値!AD380&lt;安値!AE380,安値!AD380&lt;安値!AF380),25,""))</f>
      </c>
      <c r="Z380" s="684">
        <f>IF(終値!A380="","",IF(AND(安値!AE380&lt;安値!AD380,安値!AE380&lt;安値!AC380,安値!AE380&lt;安値!AF380,安値!AE380&lt;安値!AG380),26,""))</f>
      </c>
      <c r="AA380" s="684">
        <f>IF(終値!A380="","",IF(AND(安値!AF380&lt;安値!AE380,安値!AF380&lt;安値!AD380,安値!AF380&lt;安値!AG380,安値!AF380&lt;安値!AH380),27,""))</f>
      </c>
      <c r="AB380" s="684">
        <f>IF(終値!A380="","",IF(AND(安値!AG380&lt;安値!AF380,安値!AG380&lt;安値!AE380,安値!AG380&lt;安値!AH380,安値!AG380&lt;安値!AI380),28,""))</f>
      </c>
      <c r="AC380" s="684">
        <f>IF(終値!A380="","",IF(AND(高値!G380&gt;高値!F380,高値!G380&gt;高値!E380,高値!G380&gt;高値!H380,高値!G380&gt;高値!I380),2,""))</f>
      </c>
      <c r="AD380" s="684">
        <f>IF(終値!A380="","",IF(AND(高値!H380&gt;高値!G380,高値!H380&gt;高値!F380,高値!H380&gt;高値!I380,高値!H380&gt;高値!J380),3,""))</f>
      </c>
      <c r="AE380" s="684">
        <f>IF(終値!A380="","",IF(AND(高値!I380&gt;高値!H380,高値!I380&gt;高値!G380,高値!I380&gt;高値!J380,高値!I380&gt;高値!K380),4,""))</f>
      </c>
      <c r="AF380" s="684">
        <f>IF(終値!A380="","",IF(AND(高値!J380&gt;高値!I380,高値!J380&gt;高値!H380,高値!J380&gt;高値!K380,高値!J380&gt;高値!L380),5,""))</f>
      </c>
      <c r="AG380" s="684">
        <f>IF(終値!A380="","",IF(AND(高値!K380&gt;高値!J380,高値!K380&gt;高値!I380,高値!K380&gt;高値!L380,高値!K380&gt;高値!M380),6,""))</f>
      </c>
      <c r="AH380" s="684">
        <f>IF(終値!A380="","",IF(AND(高値!L380&gt;高値!K380,高値!L380&gt;高値!J380,高値!L380&gt;高値!M380,高値!L380&gt;高値!N380),7,""))</f>
      </c>
      <c r="AI380" s="684">
        <f>IF(終値!A380="","",IF(AND(高値!M380&gt;高値!L380,高値!M380&gt;高値!K380,高値!M380&gt;高値!N380,高値!M380&gt;高値!O380),8,""))</f>
      </c>
      <c r="AJ380" s="684">
        <f>IF(終値!A380="","",IF(AND(高値!N380&gt;高値!M380,高値!N380&gt;高値!L380,高値!N380&gt;高値!O380,高値!N380&gt;高値!P380),9,""))</f>
      </c>
      <c r="AK380" s="684">
        <f>IF(終値!A380="","",IF(AND(高値!O380&gt;高値!N380,高値!O380&gt;高値!M380,高値!O380&gt;高値!P380,高値!O380&gt;高値!Q380),10,""))</f>
      </c>
      <c r="AL380" s="684">
        <f>IF(終値!A380="","",IF(AND(高値!P380&gt;高値!O380,高値!P380&gt;高値!N380,高値!P380&gt;高値!Q380,高値!P380&gt;高値!R380),11,""))</f>
      </c>
      <c r="AM380" s="684">
        <f>IF(終値!A380="","",IF(AND(高値!Q380&gt;高値!P380,高値!Q380&gt;高値!O380,高値!Q380&gt;高値!R380,高値!Q380&gt;高値!S380),12,""))</f>
      </c>
      <c r="AN380" s="684">
        <f>IF(終値!A380="","",IF(AND(高値!R380&gt;高値!Q380,高値!R380&gt;高値!P380,高値!R380&gt;高値!S380,高値!R380&gt;高値!T380),13,""))</f>
      </c>
      <c r="AO380" s="684">
        <f>IF(終値!A380="","",IF(AND(高値!S380&gt;高値!R380,高値!S380&gt;高値!Q380,高値!S380&gt;高値!T380,高値!S380&gt;高値!U380),14,""))</f>
      </c>
      <c r="AP380" s="684">
        <f>IF(終値!A380="","",IF(AND(高値!T380&gt;高値!S380,高値!T380&gt;高値!R380,高値!T380&gt;高値!U380,高値!T380&gt;高値!V380),15,""))</f>
      </c>
      <c r="AQ380" s="684">
        <f>IF(終値!A380="","",IF(AND(高値!U380&gt;高値!T380,高値!U380&gt;高値!S380,高値!U380&gt;高値!V380,高値!U380&gt;高値!W380),16,""))</f>
      </c>
      <c r="AR380" s="684">
        <f>IF(終値!A380="","",IF(AND(高値!V380&gt;高値!U380,高値!V380&gt;高値!T380,高値!V380&gt;高値!W380,高値!V380&gt;高値!X380),17,""))</f>
      </c>
      <c r="AS380" s="684">
        <f>IF(終値!A380="","",IF(AND(高値!W380&gt;高値!V380,高値!W380&gt;高値!U380,高値!W380&gt;高値!X380,高値!W380&gt;高値!Y380),18,""))</f>
      </c>
      <c r="AT380" s="684">
        <f>IF(終値!A380="","",IF(AND(高値!X380&gt;高値!W380,高値!X380&gt;高値!V380,高値!X380&gt;高値!Y380,高値!X380&gt;高値!Z380),19,""))</f>
      </c>
      <c r="AU380" s="684">
        <f>IF(終値!A380="","",IF(AND(高値!Y380&gt;高値!X380,高値!Y380&gt;高値!W380,高値!Y380&gt;高値!Z380,高値!Y380&gt;高値!AA380),20,""))</f>
      </c>
      <c r="AV380" s="684">
        <f>IF(終値!A380="","",IF(AND(高値!Z380&gt;高値!Y380,高値!Z380&gt;高値!X380,高値!Z380&gt;高値!AA380,高値!Z380&gt;高値!AB380),21,""))</f>
      </c>
      <c r="AW380" s="684">
        <f>IF(終値!A380="","",IF(AND(高値!AA380&gt;高値!Z380,高値!AA380&gt;高値!Y380,高値!AA380&gt;高値!AB380,高値!AA380&gt;高値!AC380),22,""))</f>
      </c>
      <c r="AX380" s="684">
        <f>IF(終値!A380="","",IF(AND(高値!AB380&gt;高値!AA380,高値!AB380&gt;高値!Z380,高値!AB380&gt;高値!AC380,高値!AB380&gt;高値!AD380),23,""))</f>
      </c>
      <c r="AY380" s="684">
        <f>IF(終値!A380="","",IF(AND(高値!AC380&gt;高値!AB380,高値!AC380&gt;高値!AA380,高値!AC380&gt;高値!AD380,高値!AC380&gt;高値!AE380),24,""))</f>
      </c>
      <c r="AZ380" s="684">
        <f>IF(終値!A380="","",IF(AND(高値!AD380&gt;高値!AC380,高値!AD380&gt;高値!AB380,高値!AD380&gt;高値!AE380,高値!AD380&gt;高値!AF380),25,""))</f>
      </c>
      <c r="BA380" s="684">
        <f>IF(終値!A380="","",IF(AND(高値!AE380&gt;高値!AD380,高値!AE380&gt;高値!AC380,高値!AE380&gt;高値!AF380,高値!AE380&gt;高値!AG380),26,""))</f>
      </c>
      <c r="BB380" s="684">
        <f>IF(終値!A380="","",IF(AND(高値!AF380&gt;高値!AE380,高値!AF380&gt;高値!AD380,高値!AF380&gt;高値!AG380,高値!AF380&gt;高値!AH380),27,""))</f>
      </c>
      <c r="BC380" s="684">
        <f>IF(終値!A380="","",IF(AND(高値!AG380&gt;高値!AF380,高値!AG380&gt;高値!AE380,高値!AG380&gt;高値!AH380,高値!AG380&gt;高値!AI380),28,""))</f>
      </c>
      <c r="BD380" s="684">
        <f>COUNT($B380:$AB380)</f>
      </c>
      <c r="BE380" s="684">
        <f>IF($BD380&gt;=2,MIN($B380:$AB380),"")</f>
      </c>
      <c r="BF380" s="684">
        <f>IF($BD380&gt;=2,SMALL($B380:$AB380,2),"")</f>
      </c>
      <c r="BG380" s="684">
        <f>IF($BE380="","",INDEX(安値!$E380:$CZ380,1,$BE380+1))</f>
      </c>
      <c r="BH380" s="684">
        <f>IF($BF380="","",INDEX(安値!$E380:$CZ380,1,$BF380+1))</f>
      </c>
      <c r="BI380" s="684">
        <f>IF($BF380="","",MAX(INDEX(高値!$E380:$CZ380,1,$BE380+1):INDEX(高値!$E380:$CZ380,1,$BF380+1)))</f>
      </c>
      <c r="BJ380" s="684">
        <f>IF($BF380="","",AVERAGE(INDEX(終値!$E380:$CZ380,1,$BF380+1):INDEX(終値!$E380:$CZ380,1,$BF380+20))-2*STDEVP(INDEX(終値!$E380:$CZ380,1,$BF380+1):INDEX(終値!$E380:$CZ380,1,$BF380+20)))</f>
      </c>
      <c r="BK380" s="684">
        <f>IF($BE380="","",AVERAGE(INDEX(終値!$E380:$CZ380,1,$BE380+1):INDEX(終値!$E380:$CZ380,1,$BE380+20))-2*STDEVP(INDEX(終値!$E380:$CZ380,1,$BE380+1):INDEX(終値!$E380:$CZ380,1,$BE380+20)))</f>
      </c>
      <c r="BL380" s="684">
        <f>COUNT($AC380:$BC380)</f>
      </c>
      <c r="BM380" s="684">
        <f>IF($BL380&gt;=2,MIN($AC380:$BC380),"")</f>
      </c>
      <c r="BN380" s="684">
        <f>IF($BL380&gt;=2,SMALL($AC380:$BC380,2),"")</f>
      </c>
      <c r="BO380" s="684">
        <f>IF($BM380="","",INDEX(高値!$E380:$CZ380,1,$BM380+1))</f>
      </c>
      <c r="BP380" s="684">
        <f>IF($BN380="","",INDEX(高値!$E380:$CZ380,1,$BN380+1))</f>
      </c>
      <c r="BQ380" s="684">
        <f>IF($BN380="","",MIN(INDEX(安値!$E380:$CZ380,1,$BM380+1):INDEX(安値!$E380:$CZ380,1,$BN380+1)))</f>
      </c>
      <c r="BR380" s="684">
        <f>IF($BN380="","",AVERAGE(INDEX(終値!$E380:$CZ380,1,$BN380+1):INDEX(終値!$E380:$CZ380,1,$BN380+20))+2*STDEVP(INDEX(終値!$E380:$CZ380,1,$BN380+1):INDEX(終値!$E380:$CZ380,1,$BN380+20)))</f>
      </c>
      <c r="BS380" s="684">
        <f>IF($BM380="","",AVERAGE(INDEX(終値!$E380:$CZ380,1,$BM380+1):INDEX(終値!$E380:$CZ380,1,$BM380+20))+2*STDEVP(INDEX(終値!$E380:$CZ380,1,$BM380+1):INDEX(終値!$E380:$CZ380,1,$BM380+20)))</f>
      </c>
      <c r="BT380" s="681">
        <f>IFERROR(IF(AND($BD380&gt;=2,ABS($BG380-$BH380)/$BH380&lt;=BB設定!$B$12,$BI380&gt;=MAX($BH380,$BG380)*(1+BB設定!$B$13),終値!E380&gt;$BG380),IF(OR(終値!E380&gt;=$BI380,AND($BH380&lt;$BJ380,$BG380&gt;=$BK380)),"二番底W▲","二番底W形成"),IF(AND($BL380&gt;=2,ABS($BO380-$BP380)/$BP380&lt;=BB設定!$B$12,$BQ380&lt;=MIN($BP380,$BO380)*(1-BB設定!$B$13),終値!E380&lt;$BO380),IF(OR(終値!E380&lt;=$BQ380,AND($BP380&gt;$BR380,$BO380&lt;=$BS380)),"二番天井M▼","二番天井M形成"),"－")),"－")</f>
      </c>
    </row>
    <row r="381">
      <c r="B381" s="684">
        <f>IF(終値!A381="","",IF(AND(安値!G381&lt;安値!F381,安値!G381&lt;安値!E381,安値!G381&lt;安値!H381,安値!G381&lt;安値!I381),2,""))</f>
      </c>
      <c r="C381" s="684">
        <f>IF(終値!A381="","",IF(AND(安値!H381&lt;安値!G381,安値!H381&lt;安値!F381,安値!H381&lt;安値!I381,安値!H381&lt;安値!J381),3,""))</f>
      </c>
      <c r="D381" s="684">
        <f>IF(終値!A381="","",IF(AND(安値!I381&lt;安値!H381,安値!I381&lt;安値!G381,安値!I381&lt;安値!J381,安値!I381&lt;安値!K381),4,""))</f>
      </c>
      <c r="E381" s="684">
        <f>IF(終値!A381="","",IF(AND(安値!J381&lt;安値!I381,安値!J381&lt;安値!H381,安値!J381&lt;安値!K381,安値!J381&lt;安値!L381),5,""))</f>
      </c>
      <c r="F381" s="684">
        <f>IF(終値!A381="","",IF(AND(安値!K381&lt;安値!J381,安値!K381&lt;安値!I381,安値!K381&lt;安値!L381,安値!K381&lt;安値!M381),6,""))</f>
      </c>
      <c r="G381" s="684">
        <f>IF(終値!A381="","",IF(AND(安値!L381&lt;安値!K381,安値!L381&lt;安値!J381,安値!L381&lt;安値!M381,安値!L381&lt;安値!N381),7,""))</f>
      </c>
      <c r="H381" s="684">
        <f>IF(終値!A381="","",IF(AND(安値!M381&lt;安値!L381,安値!M381&lt;安値!K381,安値!M381&lt;安値!N381,安値!M381&lt;安値!O381),8,""))</f>
      </c>
      <c r="I381" s="684">
        <f>IF(終値!A381="","",IF(AND(安値!N381&lt;安値!M381,安値!N381&lt;安値!L381,安値!N381&lt;安値!O381,安値!N381&lt;安値!P381),9,""))</f>
      </c>
      <c r="J381" s="684">
        <f>IF(終値!A381="","",IF(AND(安値!O381&lt;安値!N381,安値!O381&lt;安値!M381,安値!O381&lt;安値!P381,安値!O381&lt;安値!Q381),10,""))</f>
      </c>
      <c r="K381" s="684">
        <f>IF(終値!A381="","",IF(AND(安値!P381&lt;安値!O381,安値!P381&lt;安値!N381,安値!P381&lt;安値!Q381,安値!P381&lt;安値!R381),11,""))</f>
      </c>
      <c r="L381" s="684">
        <f>IF(終値!A381="","",IF(AND(安値!Q381&lt;安値!P381,安値!Q381&lt;安値!O381,安値!Q381&lt;安値!R381,安値!Q381&lt;安値!S381),12,""))</f>
      </c>
      <c r="M381" s="684">
        <f>IF(終値!A381="","",IF(AND(安値!R381&lt;安値!Q381,安値!R381&lt;安値!P381,安値!R381&lt;安値!S381,安値!R381&lt;安値!T381),13,""))</f>
      </c>
      <c r="N381" s="684">
        <f>IF(終値!A381="","",IF(AND(安値!S381&lt;安値!R381,安値!S381&lt;安値!Q381,安値!S381&lt;安値!T381,安値!S381&lt;安値!U381),14,""))</f>
      </c>
      <c r="O381" s="684">
        <f>IF(終値!A381="","",IF(AND(安値!T381&lt;安値!S381,安値!T381&lt;安値!R381,安値!T381&lt;安値!U381,安値!T381&lt;安値!V381),15,""))</f>
      </c>
      <c r="P381" s="684">
        <f>IF(終値!A381="","",IF(AND(安値!U381&lt;安値!T381,安値!U381&lt;安値!S381,安値!U381&lt;安値!V381,安値!U381&lt;安値!W381),16,""))</f>
      </c>
      <c r="Q381" s="684">
        <f>IF(終値!A381="","",IF(AND(安値!V381&lt;安値!U381,安値!V381&lt;安値!T381,安値!V381&lt;安値!W381,安値!V381&lt;安値!X381),17,""))</f>
      </c>
      <c r="R381" s="684">
        <f>IF(終値!A381="","",IF(AND(安値!W381&lt;安値!V381,安値!W381&lt;安値!U381,安値!W381&lt;安値!X381,安値!W381&lt;安値!Y381),18,""))</f>
      </c>
      <c r="S381" s="684">
        <f>IF(終値!A381="","",IF(AND(安値!X381&lt;安値!W381,安値!X381&lt;安値!V381,安値!X381&lt;安値!Y381,安値!X381&lt;安値!Z381),19,""))</f>
      </c>
      <c r="T381" s="684">
        <f>IF(終値!A381="","",IF(AND(安値!Y381&lt;安値!X381,安値!Y381&lt;安値!W381,安値!Y381&lt;安値!Z381,安値!Y381&lt;安値!AA381),20,""))</f>
      </c>
      <c r="U381" s="684">
        <f>IF(終値!A381="","",IF(AND(安値!Z381&lt;安値!Y381,安値!Z381&lt;安値!X381,安値!Z381&lt;安値!AA381,安値!Z381&lt;安値!AB381),21,""))</f>
      </c>
      <c r="V381" s="684">
        <f>IF(終値!A381="","",IF(AND(安値!AA381&lt;安値!Z381,安値!AA381&lt;安値!Y381,安値!AA381&lt;安値!AB381,安値!AA381&lt;安値!AC381),22,""))</f>
      </c>
      <c r="W381" s="684">
        <f>IF(終値!A381="","",IF(AND(安値!AB381&lt;安値!AA381,安値!AB381&lt;安値!Z381,安値!AB381&lt;安値!AC381,安値!AB381&lt;安値!AD381),23,""))</f>
      </c>
      <c r="X381" s="684">
        <f>IF(終値!A381="","",IF(AND(安値!AC381&lt;安値!AB381,安値!AC381&lt;安値!AA381,安値!AC381&lt;安値!AD381,安値!AC381&lt;安値!AE381),24,""))</f>
      </c>
      <c r="Y381" s="684">
        <f>IF(終値!A381="","",IF(AND(安値!AD381&lt;安値!AC381,安値!AD381&lt;安値!AB381,安値!AD381&lt;安値!AE381,安値!AD381&lt;安値!AF381),25,""))</f>
      </c>
      <c r="Z381" s="684">
        <f>IF(終値!A381="","",IF(AND(安値!AE381&lt;安値!AD381,安値!AE381&lt;安値!AC381,安値!AE381&lt;安値!AF381,安値!AE381&lt;安値!AG381),26,""))</f>
      </c>
      <c r="AA381" s="684">
        <f>IF(終値!A381="","",IF(AND(安値!AF381&lt;安値!AE381,安値!AF381&lt;安値!AD381,安値!AF381&lt;安値!AG381,安値!AF381&lt;安値!AH381),27,""))</f>
      </c>
      <c r="AB381" s="684">
        <f>IF(終値!A381="","",IF(AND(安値!AG381&lt;安値!AF381,安値!AG381&lt;安値!AE381,安値!AG381&lt;安値!AH381,安値!AG381&lt;安値!AI381),28,""))</f>
      </c>
      <c r="AC381" s="684">
        <f>IF(終値!A381="","",IF(AND(高値!G381&gt;高値!F381,高値!G381&gt;高値!E381,高値!G381&gt;高値!H381,高値!G381&gt;高値!I381),2,""))</f>
      </c>
      <c r="AD381" s="684">
        <f>IF(終値!A381="","",IF(AND(高値!H381&gt;高値!G381,高値!H381&gt;高値!F381,高値!H381&gt;高値!I381,高値!H381&gt;高値!J381),3,""))</f>
      </c>
      <c r="AE381" s="684">
        <f>IF(終値!A381="","",IF(AND(高値!I381&gt;高値!H381,高値!I381&gt;高値!G381,高値!I381&gt;高値!J381,高値!I381&gt;高値!K381),4,""))</f>
      </c>
      <c r="AF381" s="684">
        <f>IF(終値!A381="","",IF(AND(高値!J381&gt;高値!I381,高値!J381&gt;高値!H381,高値!J381&gt;高値!K381,高値!J381&gt;高値!L381),5,""))</f>
      </c>
      <c r="AG381" s="684">
        <f>IF(終値!A381="","",IF(AND(高値!K381&gt;高値!J381,高値!K381&gt;高値!I381,高値!K381&gt;高値!L381,高値!K381&gt;高値!M381),6,""))</f>
      </c>
      <c r="AH381" s="684">
        <f>IF(終値!A381="","",IF(AND(高値!L381&gt;高値!K381,高値!L381&gt;高値!J381,高値!L381&gt;高値!M381,高値!L381&gt;高値!N381),7,""))</f>
      </c>
      <c r="AI381" s="684">
        <f>IF(終値!A381="","",IF(AND(高値!M381&gt;高値!L381,高値!M381&gt;高値!K381,高値!M381&gt;高値!N381,高値!M381&gt;高値!O381),8,""))</f>
      </c>
      <c r="AJ381" s="684">
        <f>IF(終値!A381="","",IF(AND(高値!N381&gt;高値!M381,高値!N381&gt;高値!L381,高値!N381&gt;高値!O381,高値!N381&gt;高値!P381),9,""))</f>
      </c>
      <c r="AK381" s="684">
        <f>IF(終値!A381="","",IF(AND(高値!O381&gt;高値!N381,高値!O381&gt;高値!M381,高値!O381&gt;高値!P381,高値!O381&gt;高値!Q381),10,""))</f>
      </c>
      <c r="AL381" s="684">
        <f>IF(終値!A381="","",IF(AND(高値!P381&gt;高値!O381,高値!P381&gt;高値!N381,高値!P381&gt;高値!Q381,高値!P381&gt;高値!R381),11,""))</f>
      </c>
      <c r="AM381" s="684">
        <f>IF(終値!A381="","",IF(AND(高値!Q381&gt;高値!P381,高値!Q381&gt;高値!O381,高値!Q381&gt;高値!R381,高値!Q381&gt;高値!S381),12,""))</f>
      </c>
      <c r="AN381" s="684">
        <f>IF(終値!A381="","",IF(AND(高値!R381&gt;高値!Q381,高値!R381&gt;高値!P381,高値!R381&gt;高値!S381,高値!R381&gt;高値!T381),13,""))</f>
      </c>
      <c r="AO381" s="684">
        <f>IF(終値!A381="","",IF(AND(高値!S381&gt;高値!R381,高値!S381&gt;高値!Q381,高値!S381&gt;高値!T381,高値!S381&gt;高値!U381),14,""))</f>
      </c>
      <c r="AP381" s="684">
        <f>IF(終値!A381="","",IF(AND(高値!T381&gt;高値!S381,高値!T381&gt;高値!R381,高値!T381&gt;高値!U381,高値!T381&gt;高値!V381),15,""))</f>
      </c>
      <c r="AQ381" s="684">
        <f>IF(終値!A381="","",IF(AND(高値!U381&gt;高値!T381,高値!U381&gt;高値!S381,高値!U381&gt;高値!V381,高値!U381&gt;高値!W381),16,""))</f>
      </c>
      <c r="AR381" s="684">
        <f>IF(終値!A381="","",IF(AND(高値!V381&gt;高値!U381,高値!V381&gt;高値!T381,高値!V381&gt;高値!W381,高値!V381&gt;高値!X381),17,""))</f>
      </c>
      <c r="AS381" s="684">
        <f>IF(終値!A381="","",IF(AND(高値!W381&gt;高値!V381,高値!W381&gt;高値!U381,高値!W381&gt;高値!X381,高値!W381&gt;高値!Y381),18,""))</f>
      </c>
      <c r="AT381" s="684">
        <f>IF(終値!A381="","",IF(AND(高値!X381&gt;高値!W381,高値!X381&gt;高値!V381,高値!X381&gt;高値!Y381,高値!X381&gt;高値!Z381),19,""))</f>
      </c>
      <c r="AU381" s="684">
        <f>IF(終値!A381="","",IF(AND(高値!Y381&gt;高値!X381,高値!Y381&gt;高値!W381,高値!Y381&gt;高値!Z381,高値!Y381&gt;高値!AA381),20,""))</f>
      </c>
      <c r="AV381" s="684">
        <f>IF(終値!A381="","",IF(AND(高値!Z381&gt;高値!Y381,高値!Z381&gt;高値!X381,高値!Z381&gt;高値!AA381,高値!Z381&gt;高値!AB381),21,""))</f>
      </c>
      <c r="AW381" s="684">
        <f>IF(終値!A381="","",IF(AND(高値!AA381&gt;高値!Z381,高値!AA381&gt;高値!Y381,高値!AA381&gt;高値!AB381,高値!AA381&gt;高値!AC381),22,""))</f>
      </c>
      <c r="AX381" s="684">
        <f>IF(終値!A381="","",IF(AND(高値!AB381&gt;高値!AA381,高値!AB381&gt;高値!Z381,高値!AB381&gt;高値!AC381,高値!AB381&gt;高値!AD381),23,""))</f>
      </c>
      <c r="AY381" s="684">
        <f>IF(終値!A381="","",IF(AND(高値!AC381&gt;高値!AB381,高値!AC381&gt;高値!AA381,高値!AC381&gt;高値!AD381,高値!AC381&gt;高値!AE381),24,""))</f>
      </c>
      <c r="AZ381" s="684">
        <f>IF(終値!A381="","",IF(AND(高値!AD381&gt;高値!AC381,高値!AD381&gt;高値!AB381,高値!AD381&gt;高値!AE381,高値!AD381&gt;高値!AF381),25,""))</f>
      </c>
      <c r="BA381" s="684">
        <f>IF(終値!A381="","",IF(AND(高値!AE381&gt;高値!AD381,高値!AE381&gt;高値!AC381,高値!AE381&gt;高値!AF381,高値!AE381&gt;高値!AG381),26,""))</f>
      </c>
      <c r="BB381" s="684">
        <f>IF(終値!A381="","",IF(AND(高値!AF381&gt;高値!AE381,高値!AF381&gt;高値!AD381,高値!AF381&gt;高値!AG381,高値!AF381&gt;高値!AH381),27,""))</f>
      </c>
      <c r="BC381" s="684">
        <f>IF(終値!A381="","",IF(AND(高値!AG381&gt;高値!AF381,高値!AG381&gt;高値!AE381,高値!AG381&gt;高値!AH381,高値!AG381&gt;高値!AI381),28,""))</f>
      </c>
      <c r="BD381" s="684">
        <f>COUNT($B381:$AB381)</f>
      </c>
      <c r="BE381" s="684">
        <f>IF($BD381&gt;=2,MIN($B381:$AB381),"")</f>
      </c>
      <c r="BF381" s="684">
        <f>IF($BD381&gt;=2,SMALL($B381:$AB381,2),"")</f>
      </c>
      <c r="BG381" s="684">
        <f>IF($BE381="","",INDEX(安値!$E381:$CZ381,1,$BE381+1))</f>
      </c>
      <c r="BH381" s="684">
        <f>IF($BF381="","",INDEX(安値!$E381:$CZ381,1,$BF381+1))</f>
      </c>
      <c r="BI381" s="684">
        <f>IF($BF381="","",MAX(INDEX(高値!$E381:$CZ381,1,$BE381+1):INDEX(高値!$E381:$CZ381,1,$BF381+1)))</f>
      </c>
      <c r="BJ381" s="684">
        <f>IF($BF381="","",AVERAGE(INDEX(終値!$E381:$CZ381,1,$BF381+1):INDEX(終値!$E381:$CZ381,1,$BF381+20))-2*STDEVP(INDEX(終値!$E381:$CZ381,1,$BF381+1):INDEX(終値!$E381:$CZ381,1,$BF381+20)))</f>
      </c>
      <c r="BK381" s="684">
        <f>IF($BE381="","",AVERAGE(INDEX(終値!$E381:$CZ381,1,$BE381+1):INDEX(終値!$E381:$CZ381,1,$BE381+20))-2*STDEVP(INDEX(終値!$E381:$CZ381,1,$BE381+1):INDEX(終値!$E381:$CZ381,1,$BE381+20)))</f>
      </c>
      <c r="BL381" s="684">
        <f>COUNT($AC381:$BC381)</f>
      </c>
      <c r="BM381" s="684">
        <f>IF($BL381&gt;=2,MIN($AC381:$BC381),"")</f>
      </c>
      <c r="BN381" s="684">
        <f>IF($BL381&gt;=2,SMALL($AC381:$BC381,2),"")</f>
      </c>
      <c r="BO381" s="684">
        <f>IF($BM381="","",INDEX(高値!$E381:$CZ381,1,$BM381+1))</f>
      </c>
      <c r="BP381" s="684">
        <f>IF($BN381="","",INDEX(高値!$E381:$CZ381,1,$BN381+1))</f>
      </c>
      <c r="BQ381" s="684">
        <f>IF($BN381="","",MIN(INDEX(安値!$E381:$CZ381,1,$BM381+1):INDEX(安値!$E381:$CZ381,1,$BN381+1)))</f>
      </c>
      <c r="BR381" s="684">
        <f>IF($BN381="","",AVERAGE(INDEX(終値!$E381:$CZ381,1,$BN381+1):INDEX(終値!$E381:$CZ381,1,$BN381+20))+2*STDEVP(INDEX(終値!$E381:$CZ381,1,$BN381+1):INDEX(終値!$E381:$CZ381,1,$BN381+20)))</f>
      </c>
      <c r="BS381" s="684">
        <f>IF($BM381="","",AVERAGE(INDEX(終値!$E381:$CZ381,1,$BM381+1):INDEX(終値!$E381:$CZ381,1,$BM381+20))+2*STDEVP(INDEX(終値!$E381:$CZ381,1,$BM381+1):INDEX(終値!$E381:$CZ381,1,$BM381+20)))</f>
      </c>
      <c r="BT381" s="681">
        <f>IFERROR(IF(AND($BD381&gt;=2,ABS($BG381-$BH381)/$BH381&lt;=BB設定!$B$12,$BI381&gt;=MAX($BH381,$BG381)*(1+BB設定!$B$13),終値!E381&gt;$BG381),IF(OR(終値!E381&gt;=$BI381,AND($BH381&lt;$BJ381,$BG381&gt;=$BK381)),"二番底W▲","二番底W形成"),IF(AND($BL381&gt;=2,ABS($BO381-$BP381)/$BP381&lt;=BB設定!$B$12,$BQ381&lt;=MIN($BP381,$BO381)*(1-BB設定!$B$13),終値!E381&lt;$BO381),IF(OR(終値!E381&lt;=$BQ381,AND($BP381&gt;$BR381,$BO381&lt;=$BS381)),"二番天井M▼","二番天井M形成"),"－")),"－")</f>
      </c>
    </row>
    <row r="382">
      <c r="B382" s="684">
        <f>IF(終値!A382="","",IF(AND(安値!G382&lt;安値!F382,安値!G382&lt;安値!E382,安値!G382&lt;安値!H382,安値!G382&lt;安値!I382),2,""))</f>
      </c>
      <c r="C382" s="684">
        <f>IF(終値!A382="","",IF(AND(安値!H382&lt;安値!G382,安値!H382&lt;安値!F382,安値!H382&lt;安値!I382,安値!H382&lt;安値!J382),3,""))</f>
      </c>
      <c r="D382" s="684">
        <f>IF(終値!A382="","",IF(AND(安値!I382&lt;安値!H382,安値!I382&lt;安値!G382,安値!I382&lt;安値!J382,安値!I382&lt;安値!K382),4,""))</f>
      </c>
      <c r="E382" s="684">
        <f>IF(終値!A382="","",IF(AND(安値!J382&lt;安値!I382,安値!J382&lt;安値!H382,安値!J382&lt;安値!K382,安値!J382&lt;安値!L382),5,""))</f>
      </c>
      <c r="F382" s="684">
        <f>IF(終値!A382="","",IF(AND(安値!K382&lt;安値!J382,安値!K382&lt;安値!I382,安値!K382&lt;安値!L382,安値!K382&lt;安値!M382),6,""))</f>
      </c>
      <c r="G382" s="684">
        <f>IF(終値!A382="","",IF(AND(安値!L382&lt;安値!K382,安値!L382&lt;安値!J382,安値!L382&lt;安値!M382,安値!L382&lt;安値!N382),7,""))</f>
      </c>
      <c r="H382" s="684">
        <f>IF(終値!A382="","",IF(AND(安値!M382&lt;安値!L382,安値!M382&lt;安値!K382,安値!M382&lt;安値!N382,安値!M382&lt;安値!O382),8,""))</f>
      </c>
      <c r="I382" s="684">
        <f>IF(終値!A382="","",IF(AND(安値!N382&lt;安値!M382,安値!N382&lt;安値!L382,安値!N382&lt;安値!O382,安値!N382&lt;安値!P382),9,""))</f>
      </c>
      <c r="J382" s="684">
        <f>IF(終値!A382="","",IF(AND(安値!O382&lt;安値!N382,安値!O382&lt;安値!M382,安値!O382&lt;安値!P382,安値!O382&lt;安値!Q382),10,""))</f>
      </c>
      <c r="K382" s="684">
        <f>IF(終値!A382="","",IF(AND(安値!P382&lt;安値!O382,安値!P382&lt;安値!N382,安値!P382&lt;安値!Q382,安値!P382&lt;安値!R382),11,""))</f>
      </c>
      <c r="L382" s="684">
        <f>IF(終値!A382="","",IF(AND(安値!Q382&lt;安値!P382,安値!Q382&lt;安値!O382,安値!Q382&lt;安値!R382,安値!Q382&lt;安値!S382),12,""))</f>
      </c>
      <c r="M382" s="684">
        <f>IF(終値!A382="","",IF(AND(安値!R382&lt;安値!Q382,安値!R382&lt;安値!P382,安値!R382&lt;安値!S382,安値!R382&lt;安値!T382),13,""))</f>
      </c>
      <c r="N382" s="684">
        <f>IF(終値!A382="","",IF(AND(安値!S382&lt;安値!R382,安値!S382&lt;安値!Q382,安値!S382&lt;安値!T382,安値!S382&lt;安値!U382),14,""))</f>
      </c>
      <c r="O382" s="684">
        <f>IF(終値!A382="","",IF(AND(安値!T382&lt;安値!S382,安値!T382&lt;安値!R382,安値!T382&lt;安値!U382,安値!T382&lt;安値!V382),15,""))</f>
      </c>
      <c r="P382" s="684">
        <f>IF(終値!A382="","",IF(AND(安値!U382&lt;安値!T382,安値!U382&lt;安値!S382,安値!U382&lt;安値!V382,安値!U382&lt;安値!W382),16,""))</f>
      </c>
      <c r="Q382" s="684">
        <f>IF(終値!A382="","",IF(AND(安値!V382&lt;安値!U382,安値!V382&lt;安値!T382,安値!V382&lt;安値!W382,安値!V382&lt;安値!X382),17,""))</f>
      </c>
      <c r="R382" s="684">
        <f>IF(終値!A382="","",IF(AND(安値!W382&lt;安値!V382,安値!W382&lt;安値!U382,安値!W382&lt;安値!X382,安値!W382&lt;安値!Y382),18,""))</f>
      </c>
      <c r="S382" s="684">
        <f>IF(終値!A382="","",IF(AND(安値!X382&lt;安値!W382,安値!X382&lt;安値!V382,安値!X382&lt;安値!Y382,安値!X382&lt;安値!Z382),19,""))</f>
      </c>
      <c r="T382" s="684">
        <f>IF(終値!A382="","",IF(AND(安値!Y382&lt;安値!X382,安値!Y382&lt;安値!W382,安値!Y382&lt;安値!Z382,安値!Y382&lt;安値!AA382),20,""))</f>
      </c>
      <c r="U382" s="684">
        <f>IF(終値!A382="","",IF(AND(安値!Z382&lt;安値!Y382,安値!Z382&lt;安値!X382,安値!Z382&lt;安値!AA382,安値!Z382&lt;安値!AB382),21,""))</f>
      </c>
      <c r="V382" s="684">
        <f>IF(終値!A382="","",IF(AND(安値!AA382&lt;安値!Z382,安値!AA382&lt;安値!Y382,安値!AA382&lt;安値!AB382,安値!AA382&lt;安値!AC382),22,""))</f>
      </c>
      <c r="W382" s="684">
        <f>IF(終値!A382="","",IF(AND(安値!AB382&lt;安値!AA382,安値!AB382&lt;安値!Z382,安値!AB382&lt;安値!AC382,安値!AB382&lt;安値!AD382),23,""))</f>
      </c>
      <c r="X382" s="684">
        <f>IF(終値!A382="","",IF(AND(安値!AC382&lt;安値!AB382,安値!AC382&lt;安値!AA382,安値!AC382&lt;安値!AD382,安値!AC382&lt;安値!AE382),24,""))</f>
      </c>
      <c r="Y382" s="684">
        <f>IF(終値!A382="","",IF(AND(安値!AD382&lt;安値!AC382,安値!AD382&lt;安値!AB382,安値!AD382&lt;安値!AE382,安値!AD382&lt;安値!AF382),25,""))</f>
      </c>
      <c r="Z382" s="684">
        <f>IF(終値!A382="","",IF(AND(安値!AE382&lt;安値!AD382,安値!AE382&lt;安値!AC382,安値!AE382&lt;安値!AF382,安値!AE382&lt;安値!AG382),26,""))</f>
      </c>
      <c r="AA382" s="684">
        <f>IF(終値!A382="","",IF(AND(安値!AF382&lt;安値!AE382,安値!AF382&lt;安値!AD382,安値!AF382&lt;安値!AG382,安値!AF382&lt;安値!AH382),27,""))</f>
      </c>
      <c r="AB382" s="684">
        <f>IF(終値!A382="","",IF(AND(安値!AG382&lt;安値!AF382,安値!AG382&lt;安値!AE382,安値!AG382&lt;安値!AH382,安値!AG382&lt;安値!AI382),28,""))</f>
      </c>
      <c r="AC382" s="684">
        <f>IF(終値!A382="","",IF(AND(高値!G382&gt;高値!F382,高値!G382&gt;高値!E382,高値!G382&gt;高値!H382,高値!G382&gt;高値!I382),2,""))</f>
      </c>
      <c r="AD382" s="684">
        <f>IF(終値!A382="","",IF(AND(高値!H382&gt;高値!G382,高値!H382&gt;高値!F382,高値!H382&gt;高値!I382,高値!H382&gt;高値!J382),3,""))</f>
      </c>
      <c r="AE382" s="684">
        <f>IF(終値!A382="","",IF(AND(高値!I382&gt;高値!H382,高値!I382&gt;高値!G382,高値!I382&gt;高値!J382,高値!I382&gt;高値!K382),4,""))</f>
      </c>
      <c r="AF382" s="684">
        <f>IF(終値!A382="","",IF(AND(高値!J382&gt;高値!I382,高値!J382&gt;高値!H382,高値!J382&gt;高値!K382,高値!J382&gt;高値!L382),5,""))</f>
      </c>
      <c r="AG382" s="684">
        <f>IF(終値!A382="","",IF(AND(高値!K382&gt;高値!J382,高値!K382&gt;高値!I382,高値!K382&gt;高値!L382,高値!K382&gt;高値!M382),6,""))</f>
      </c>
      <c r="AH382" s="684">
        <f>IF(終値!A382="","",IF(AND(高値!L382&gt;高値!K382,高値!L382&gt;高値!J382,高値!L382&gt;高値!M382,高値!L382&gt;高値!N382),7,""))</f>
      </c>
      <c r="AI382" s="684">
        <f>IF(終値!A382="","",IF(AND(高値!M382&gt;高値!L382,高値!M382&gt;高値!K382,高値!M382&gt;高値!N382,高値!M382&gt;高値!O382),8,""))</f>
      </c>
      <c r="AJ382" s="684">
        <f>IF(終値!A382="","",IF(AND(高値!N382&gt;高値!M382,高値!N382&gt;高値!L382,高値!N382&gt;高値!O382,高値!N382&gt;高値!P382),9,""))</f>
      </c>
      <c r="AK382" s="684">
        <f>IF(終値!A382="","",IF(AND(高値!O382&gt;高値!N382,高値!O382&gt;高値!M382,高値!O382&gt;高値!P382,高値!O382&gt;高値!Q382),10,""))</f>
      </c>
      <c r="AL382" s="684">
        <f>IF(終値!A382="","",IF(AND(高値!P382&gt;高値!O382,高値!P382&gt;高値!N382,高値!P382&gt;高値!Q382,高値!P382&gt;高値!R382),11,""))</f>
      </c>
      <c r="AM382" s="684">
        <f>IF(終値!A382="","",IF(AND(高値!Q382&gt;高値!P382,高値!Q382&gt;高値!O382,高値!Q382&gt;高値!R382,高値!Q382&gt;高値!S382),12,""))</f>
      </c>
      <c r="AN382" s="684">
        <f>IF(終値!A382="","",IF(AND(高値!R382&gt;高値!Q382,高値!R382&gt;高値!P382,高値!R382&gt;高値!S382,高値!R382&gt;高値!T382),13,""))</f>
      </c>
      <c r="AO382" s="684">
        <f>IF(終値!A382="","",IF(AND(高値!S382&gt;高値!R382,高値!S382&gt;高値!Q382,高値!S382&gt;高値!T382,高値!S382&gt;高値!U382),14,""))</f>
      </c>
      <c r="AP382" s="684">
        <f>IF(終値!A382="","",IF(AND(高値!T382&gt;高値!S382,高値!T382&gt;高値!R382,高値!T382&gt;高値!U382,高値!T382&gt;高値!V382),15,""))</f>
      </c>
      <c r="AQ382" s="684">
        <f>IF(終値!A382="","",IF(AND(高値!U382&gt;高値!T382,高値!U382&gt;高値!S382,高値!U382&gt;高値!V382,高値!U382&gt;高値!W382),16,""))</f>
      </c>
      <c r="AR382" s="684">
        <f>IF(終値!A382="","",IF(AND(高値!V382&gt;高値!U382,高値!V382&gt;高値!T382,高値!V382&gt;高値!W382,高値!V382&gt;高値!X382),17,""))</f>
      </c>
      <c r="AS382" s="684">
        <f>IF(終値!A382="","",IF(AND(高値!W382&gt;高値!V382,高値!W382&gt;高値!U382,高値!W382&gt;高値!X382,高値!W382&gt;高値!Y382),18,""))</f>
      </c>
      <c r="AT382" s="684">
        <f>IF(終値!A382="","",IF(AND(高値!X382&gt;高値!W382,高値!X382&gt;高値!V382,高値!X382&gt;高値!Y382,高値!X382&gt;高値!Z382),19,""))</f>
      </c>
      <c r="AU382" s="684">
        <f>IF(終値!A382="","",IF(AND(高値!Y382&gt;高値!X382,高値!Y382&gt;高値!W382,高値!Y382&gt;高値!Z382,高値!Y382&gt;高値!AA382),20,""))</f>
      </c>
      <c r="AV382" s="684">
        <f>IF(終値!A382="","",IF(AND(高値!Z382&gt;高値!Y382,高値!Z382&gt;高値!X382,高値!Z382&gt;高値!AA382,高値!Z382&gt;高値!AB382),21,""))</f>
      </c>
      <c r="AW382" s="684">
        <f>IF(終値!A382="","",IF(AND(高値!AA382&gt;高値!Z382,高値!AA382&gt;高値!Y382,高値!AA382&gt;高値!AB382,高値!AA382&gt;高値!AC382),22,""))</f>
      </c>
      <c r="AX382" s="684">
        <f>IF(終値!A382="","",IF(AND(高値!AB382&gt;高値!AA382,高値!AB382&gt;高値!Z382,高値!AB382&gt;高値!AC382,高値!AB382&gt;高値!AD382),23,""))</f>
      </c>
      <c r="AY382" s="684">
        <f>IF(終値!A382="","",IF(AND(高値!AC382&gt;高値!AB382,高値!AC382&gt;高値!AA382,高値!AC382&gt;高値!AD382,高値!AC382&gt;高値!AE382),24,""))</f>
      </c>
      <c r="AZ382" s="684">
        <f>IF(終値!A382="","",IF(AND(高値!AD382&gt;高値!AC382,高値!AD382&gt;高値!AB382,高値!AD382&gt;高値!AE382,高値!AD382&gt;高値!AF382),25,""))</f>
      </c>
      <c r="BA382" s="684">
        <f>IF(終値!A382="","",IF(AND(高値!AE382&gt;高値!AD382,高値!AE382&gt;高値!AC382,高値!AE382&gt;高値!AF382,高値!AE382&gt;高値!AG382),26,""))</f>
      </c>
      <c r="BB382" s="684">
        <f>IF(終値!A382="","",IF(AND(高値!AF382&gt;高値!AE382,高値!AF382&gt;高値!AD382,高値!AF382&gt;高値!AG382,高値!AF382&gt;高値!AH382),27,""))</f>
      </c>
      <c r="BC382" s="684">
        <f>IF(終値!A382="","",IF(AND(高値!AG382&gt;高値!AF382,高値!AG382&gt;高値!AE382,高値!AG382&gt;高値!AH382,高値!AG382&gt;高値!AI382),28,""))</f>
      </c>
      <c r="BD382" s="684">
        <f>COUNT($B382:$AB382)</f>
      </c>
      <c r="BE382" s="684">
        <f>IF($BD382&gt;=2,MIN($B382:$AB382),"")</f>
      </c>
      <c r="BF382" s="684">
        <f>IF($BD382&gt;=2,SMALL($B382:$AB382,2),"")</f>
      </c>
      <c r="BG382" s="684">
        <f>IF($BE382="","",INDEX(安値!$E382:$CZ382,1,$BE382+1))</f>
      </c>
      <c r="BH382" s="684">
        <f>IF($BF382="","",INDEX(安値!$E382:$CZ382,1,$BF382+1))</f>
      </c>
      <c r="BI382" s="684">
        <f>IF($BF382="","",MAX(INDEX(高値!$E382:$CZ382,1,$BE382+1):INDEX(高値!$E382:$CZ382,1,$BF382+1)))</f>
      </c>
      <c r="BJ382" s="684">
        <f>IF($BF382="","",AVERAGE(INDEX(終値!$E382:$CZ382,1,$BF382+1):INDEX(終値!$E382:$CZ382,1,$BF382+20))-2*STDEVP(INDEX(終値!$E382:$CZ382,1,$BF382+1):INDEX(終値!$E382:$CZ382,1,$BF382+20)))</f>
      </c>
      <c r="BK382" s="684">
        <f>IF($BE382="","",AVERAGE(INDEX(終値!$E382:$CZ382,1,$BE382+1):INDEX(終値!$E382:$CZ382,1,$BE382+20))-2*STDEVP(INDEX(終値!$E382:$CZ382,1,$BE382+1):INDEX(終値!$E382:$CZ382,1,$BE382+20)))</f>
      </c>
      <c r="BL382" s="684">
        <f>COUNT($AC382:$BC382)</f>
      </c>
      <c r="BM382" s="684">
        <f>IF($BL382&gt;=2,MIN($AC382:$BC382),"")</f>
      </c>
      <c r="BN382" s="684">
        <f>IF($BL382&gt;=2,SMALL($AC382:$BC382,2),"")</f>
      </c>
      <c r="BO382" s="684">
        <f>IF($BM382="","",INDEX(高値!$E382:$CZ382,1,$BM382+1))</f>
      </c>
      <c r="BP382" s="684">
        <f>IF($BN382="","",INDEX(高値!$E382:$CZ382,1,$BN382+1))</f>
      </c>
      <c r="BQ382" s="684">
        <f>IF($BN382="","",MIN(INDEX(安値!$E382:$CZ382,1,$BM382+1):INDEX(安値!$E382:$CZ382,1,$BN382+1)))</f>
      </c>
      <c r="BR382" s="684">
        <f>IF($BN382="","",AVERAGE(INDEX(終値!$E382:$CZ382,1,$BN382+1):INDEX(終値!$E382:$CZ382,1,$BN382+20))+2*STDEVP(INDEX(終値!$E382:$CZ382,1,$BN382+1):INDEX(終値!$E382:$CZ382,1,$BN382+20)))</f>
      </c>
      <c r="BS382" s="684">
        <f>IF($BM382="","",AVERAGE(INDEX(終値!$E382:$CZ382,1,$BM382+1):INDEX(終値!$E382:$CZ382,1,$BM382+20))+2*STDEVP(INDEX(終値!$E382:$CZ382,1,$BM382+1):INDEX(終値!$E382:$CZ382,1,$BM382+20)))</f>
      </c>
      <c r="BT382" s="681">
        <f>IFERROR(IF(AND($BD382&gt;=2,ABS($BG382-$BH382)/$BH382&lt;=BB設定!$B$12,$BI382&gt;=MAX($BH382,$BG382)*(1+BB設定!$B$13),終値!E382&gt;$BG382),IF(OR(終値!E382&gt;=$BI382,AND($BH382&lt;$BJ382,$BG382&gt;=$BK382)),"二番底W▲","二番底W形成"),IF(AND($BL382&gt;=2,ABS($BO382-$BP382)/$BP382&lt;=BB設定!$B$12,$BQ382&lt;=MIN($BP382,$BO382)*(1-BB設定!$B$13),終値!E382&lt;$BO382),IF(OR(終値!E382&lt;=$BQ382,AND($BP382&gt;$BR382,$BO382&lt;=$BS382)),"二番天井M▼","二番天井M形成"),"－")),"－")</f>
      </c>
    </row>
    <row r="383">
      <c r="B383" s="684">
        <f>IF(終値!A383="","",IF(AND(安値!G383&lt;安値!F383,安値!G383&lt;安値!E383,安値!G383&lt;安値!H383,安値!G383&lt;安値!I383),2,""))</f>
      </c>
      <c r="C383" s="684">
        <f>IF(終値!A383="","",IF(AND(安値!H383&lt;安値!G383,安値!H383&lt;安値!F383,安値!H383&lt;安値!I383,安値!H383&lt;安値!J383),3,""))</f>
      </c>
      <c r="D383" s="684">
        <f>IF(終値!A383="","",IF(AND(安値!I383&lt;安値!H383,安値!I383&lt;安値!G383,安値!I383&lt;安値!J383,安値!I383&lt;安値!K383),4,""))</f>
      </c>
      <c r="E383" s="684">
        <f>IF(終値!A383="","",IF(AND(安値!J383&lt;安値!I383,安値!J383&lt;安値!H383,安値!J383&lt;安値!K383,安値!J383&lt;安値!L383),5,""))</f>
      </c>
      <c r="F383" s="684">
        <f>IF(終値!A383="","",IF(AND(安値!K383&lt;安値!J383,安値!K383&lt;安値!I383,安値!K383&lt;安値!L383,安値!K383&lt;安値!M383),6,""))</f>
      </c>
      <c r="G383" s="684">
        <f>IF(終値!A383="","",IF(AND(安値!L383&lt;安値!K383,安値!L383&lt;安値!J383,安値!L383&lt;安値!M383,安値!L383&lt;安値!N383),7,""))</f>
      </c>
      <c r="H383" s="684">
        <f>IF(終値!A383="","",IF(AND(安値!M383&lt;安値!L383,安値!M383&lt;安値!K383,安値!M383&lt;安値!N383,安値!M383&lt;安値!O383),8,""))</f>
      </c>
      <c r="I383" s="684">
        <f>IF(終値!A383="","",IF(AND(安値!N383&lt;安値!M383,安値!N383&lt;安値!L383,安値!N383&lt;安値!O383,安値!N383&lt;安値!P383),9,""))</f>
      </c>
      <c r="J383" s="684">
        <f>IF(終値!A383="","",IF(AND(安値!O383&lt;安値!N383,安値!O383&lt;安値!M383,安値!O383&lt;安値!P383,安値!O383&lt;安値!Q383),10,""))</f>
      </c>
      <c r="K383" s="684">
        <f>IF(終値!A383="","",IF(AND(安値!P383&lt;安値!O383,安値!P383&lt;安値!N383,安値!P383&lt;安値!Q383,安値!P383&lt;安値!R383),11,""))</f>
      </c>
      <c r="L383" s="684">
        <f>IF(終値!A383="","",IF(AND(安値!Q383&lt;安値!P383,安値!Q383&lt;安値!O383,安値!Q383&lt;安値!R383,安値!Q383&lt;安値!S383),12,""))</f>
      </c>
      <c r="M383" s="684">
        <f>IF(終値!A383="","",IF(AND(安値!R383&lt;安値!Q383,安値!R383&lt;安値!P383,安値!R383&lt;安値!S383,安値!R383&lt;安値!T383),13,""))</f>
      </c>
      <c r="N383" s="684">
        <f>IF(終値!A383="","",IF(AND(安値!S383&lt;安値!R383,安値!S383&lt;安値!Q383,安値!S383&lt;安値!T383,安値!S383&lt;安値!U383),14,""))</f>
      </c>
      <c r="O383" s="684">
        <f>IF(終値!A383="","",IF(AND(安値!T383&lt;安値!S383,安値!T383&lt;安値!R383,安値!T383&lt;安値!U383,安値!T383&lt;安値!V383),15,""))</f>
      </c>
      <c r="P383" s="684">
        <f>IF(終値!A383="","",IF(AND(安値!U383&lt;安値!T383,安値!U383&lt;安値!S383,安値!U383&lt;安値!V383,安値!U383&lt;安値!W383),16,""))</f>
      </c>
      <c r="Q383" s="684">
        <f>IF(終値!A383="","",IF(AND(安値!V383&lt;安値!U383,安値!V383&lt;安値!T383,安値!V383&lt;安値!W383,安値!V383&lt;安値!X383),17,""))</f>
      </c>
      <c r="R383" s="684">
        <f>IF(終値!A383="","",IF(AND(安値!W383&lt;安値!V383,安値!W383&lt;安値!U383,安値!W383&lt;安値!X383,安値!W383&lt;安値!Y383),18,""))</f>
      </c>
      <c r="S383" s="684">
        <f>IF(終値!A383="","",IF(AND(安値!X383&lt;安値!W383,安値!X383&lt;安値!V383,安値!X383&lt;安値!Y383,安値!X383&lt;安値!Z383),19,""))</f>
      </c>
      <c r="T383" s="684">
        <f>IF(終値!A383="","",IF(AND(安値!Y383&lt;安値!X383,安値!Y383&lt;安値!W383,安値!Y383&lt;安値!Z383,安値!Y383&lt;安値!AA383),20,""))</f>
      </c>
      <c r="U383" s="684">
        <f>IF(終値!A383="","",IF(AND(安値!Z383&lt;安値!Y383,安値!Z383&lt;安値!X383,安値!Z383&lt;安値!AA383,安値!Z383&lt;安値!AB383),21,""))</f>
      </c>
      <c r="V383" s="684">
        <f>IF(終値!A383="","",IF(AND(安値!AA383&lt;安値!Z383,安値!AA383&lt;安値!Y383,安値!AA383&lt;安値!AB383,安値!AA383&lt;安値!AC383),22,""))</f>
      </c>
      <c r="W383" s="684">
        <f>IF(終値!A383="","",IF(AND(安値!AB383&lt;安値!AA383,安値!AB383&lt;安値!Z383,安値!AB383&lt;安値!AC383,安値!AB383&lt;安値!AD383),23,""))</f>
      </c>
      <c r="X383" s="684">
        <f>IF(終値!A383="","",IF(AND(安値!AC383&lt;安値!AB383,安値!AC383&lt;安値!AA383,安値!AC383&lt;安値!AD383,安値!AC383&lt;安値!AE383),24,""))</f>
      </c>
      <c r="Y383" s="684">
        <f>IF(終値!A383="","",IF(AND(安値!AD383&lt;安値!AC383,安値!AD383&lt;安値!AB383,安値!AD383&lt;安値!AE383,安値!AD383&lt;安値!AF383),25,""))</f>
      </c>
      <c r="Z383" s="684">
        <f>IF(終値!A383="","",IF(AND(安値!AE383&lt;安値!AD383,安値!AE383&lt;安値!AC383,安値!AE383&lt;安値!AF383,安値!AE383&lt;安値!AG383),26,""))</f>
      </c>
      <c r="AA383" s="684">
        <f>IF(終値!A383="","",IF(AND(安値!AF383&lt;安値!AE383,安値!AF383&lt;安値!AD383,安値!AF383&lt;安値!AG383,安値!AF383&lt;安値!AH383),27,""))</f>
      </c>
      <c r="AB383" s="684">
        <f>IF(終値!A383="","",IF(AND(安値!AG383&lt;安値!AF383,安値!AG383&lt;安値!AE383,安値!AG383&lt;安値!AH383,安値!AG383&lt;安値!AI383),28,""))</f>
      </c>
      <c r="AC383" s="684">
        <f>IF(終値!A383="","",IF(AND(高値!G383&gt;高値!F383,高値!G383&gt;高値!E383,高値!G383&gt;高値!H383,高値!G383&gt;高値!I383),2,""))</f>
      </c>
      <c r="AD383" s="684">
        <f>IF(終値!A383="","",IF(AND(高値!H383&gt;高値!G383,高値!H383&gt;高値!F383,高値!H383&gt;高値!I383,高値!H383&gt;高値!J383),3,""))</f>
      </c>
      <c r="AE383" s="684">
        <f>IF(終値!A383="","",IF(AND(高値!I383&gt;高値!H383,高値!I383&gt;高値!G383,高値!I383&gt;高値!J383,高値!I383&gt;高値!K383),4,""))</f>
      </c>
      <c r="AF383" s="684">
        <f>IF(終値!A383="","",IF(AND(高値!J383&gt;高値!I383,高値!J383&gt;高値!H383,高値!J383&gt;高値!K383,高値!J383&gt;高値!L383),5,""))</f>
      </c>
      <c r="AG383" s="684">
        <f>IF(終値!A383="","",IF(AND(高値!K383&gt;高値!J383,高値!K383&gt;高値!I383,高値!K383&gt;高値!L383,高値!K383&gt;高値!M383),6,""))</f>
      </c>
      <c r="AH383" s="684">
        <f>IF(終値!A383="","",IF(AND(高値!L383&gt;高値!K383,高値!L383&gt;高値!J383,高値!L383&gt;高値!M383,高値!L383&gt;高値!N383),7,""))</f>
      </c>
      <c r="AI383" s="684">
        <f>IF(終値!A383="","",IF(AND(高値!M383&gt;高値!L383,高値!M383&gt;高値!K383,高値!M383&gt;高値!N383,高値!M383&gt;高値!O383),8,""))</f>
      </c>
      <c r="AJ383" s="684">
        <f>IF(終値!A383="","",IF(AND(高値!N383&gt;高値!M383,高値!N383&gt;高値!L383,高値!N383&gt;高値!O383,高値!N383&gt;高値!P383),9,""))</f>
      </c>
      <c r="AK383" s="684">
        <f>IF(終値!A383="","",IF(AND(高値!O383&gt;高値!N383,高値!O383&gt;高値!M383,高値!O383&gt;高値!P383,高値!O383&gt;高値!Q383),10,""))</f>
      </c>
      <c r="AL383" s="684">
        <f>IF(終値!A383="","",IF(AND(高値!P383&gt;高値!O383,高値!P383&gt;高値!N383,高値!P383&gt;高値!Q383,高値!P383&gt;高値!R383),11,""))</f>
      </c>
      <c r="AM383" s="684">
        <f>IF(終値!A383="","",IF(AND(高値!Q383&gt;高値!P383,高値!Q383&gt;高値!O383,高値!Q383&gt;高値!R383,高値!Q383&gt;高値!S383),12,""))</f>
      </c>
      <c r="AN383" s="684">
        <f>IF(終値!A383="","",IF(AND(高値!R383&gt;高値!Q383,高値!R383&gt;高値!P383,高値!R383&gt;高値!S383,高値!R383&gt;高値!T383),13,""))</f>
      </c>
      <c r="AO383" s="684">
        <f>IF(終値!A383="","",IF(AND(高値!S383&gt;高値!R383,高値!S383&gt;高値!Q383,高値!S383&gt;高値!T383,高値!S383&gt;高値!U383),14,""))</f>
      </c>
      <c r="AP383" s="684">
        <f>IF(終値!A383="","",IF(AND(高値!T383&gt;高値!S383,高値!T383&gt;高値!R383,高値!T383&gt;高値!U383,高値!T383&gt;高値!V383),15,""))</f>
      </c>
      <c r="AQ383" s="684">
        <f>IF(終値!A383="","",IF(AND(高値!U383&gt;高値!T383,高値!U383&gt;高値!S383,高値!U383&gt;高値!V383,高値!U383&gt;高値!W383),16,""))</f>
      </c>
      <c r="AR383" s="684">
        <f>IF(終値!A383="","",IF(AND(高値!V383&gt;高値!U383,高値!V383&gt;高値!T383,高値!V383&gt;高値!W383,高値!V383&gt;高値!X383),17,""))</f>
      </c>
      <c r="AS383" s="684">
        <f>IF(終値!A383="","",IF(AND(高値!W383&gt;高値!V383,高値!W383&gt;高値!U383,高値!W383&gt;高値!X383,高値!W383&gt;高値!Y383),18,""))</f>
      </c>
      <c r="AT383" s="684">
        <f>IF(終値!A383="","",IF(AND(高値!X383&gt;高値!W383,高値!X383&gt;高値!V383,高値!X383&gt;高値!Y383,高値!X383&gt;高値!Z383),19,""))</f>
      </c>
      <c r="AU383" s="684">
        <f>IF(終値!A383="","",IF(AND(高値!Y383&gt;高値!X383,高値!Y383&gt;高値!W383,高値!Y383&gt;高値!Z383,高値!Y383&gt;高値!AA383),20,""))</f>
      </c>
      <c r="AV383" s="684">
        <f>IF(終値!A383="","",IF(AND(高値!Z383&gt;高値!Y383,高値!Z383&gt;高値!X383,高値!Z383&gt;高値!AA383,高値!Z383&gt;高値!AB383),21,""))</f>
      </c>
      <c r="AW383" s="684">
        <f>IF(終値!A383="","",IF(AND(高値!AA383&gt;高値!Z383,高値!AA383&gt;高値!Y383,高値!AA383&gt;高値!AB383,高値!AA383&gt;高値!AC383),22,""))</f>
      </c>
      <c r="AX383" s="684">
        <f>IF(終値!A383="","",IF(AND(高値!AB383&gt;高値!AA383,高値!AB383&gt;高値!Z383,高値!AB383&gt;高値!AC383,高値!AB383&gt;高値!AD383),23,""))</f>
      </c>
      <c r="AY383" s="684">
        <f>IF(終値!A383="","",IF(AND(高値!AC383&gt;高値!AB383,高値!AC383&gt;高値!AA383,高値!AC383&gt;高値!AD383,高値!AC383&gt;高値!AE383),24,""))</f>
      </c>
      <c r="AZ383" s="684">
        <f>IF(終値!A383="","",IF(AND(高値!AD383&gt;高値!AC383,高値!AD383&gt;高値!AB383,高値!AD383&gt;高値!AE383,高値!AD383&gt;高値!AF383),25,""))</f>
      </c>
      <c r="BA383" s="684">
        <f>IF(終値!A383="","",IF(AND(高値!AE383&gt;高値!AD383,高値!AE383&gt;高値!AC383,高値!AE383&gt;高値!AF383,高値!AE383&gt;高値!AG383),26,""))</f>
      </c>
      <c r="BB383" s="684">
        <f>IF(終値!A383="","",IF(AND(高値!AF383&gt;高値!AE383,高値!AF383&gt;高値!AD383,高値!AF383&gt;高値!AG383,高値!AF383&gt;高値!AH383),27,""))</f>
      </c>
      <c r="BC383" s="684">
        <f>IF(終値!A383="","",IF(AND(高値!AG383&gt;高値!AF383,高値!AG383&gt;高値!AE383,高値!AG383&gt;高値!AH383,高値!AG383&gt;高値!AI383),28,""))</f>
      </c>
      <c r="BD383" s="684">
        <f>COUNT($B383:$AB383)</f>
      </c>
      <c r="BE383" s="684">
        <f>IF($BD383&gt;=2,MIN($B383:$AB383),"")</f>
      </c>
      <c r="BF383" s="684">
        <f>IF($BD383&gt;=2,SMALL($B383:$AB383,2),"")</f>
      </c>
      <c r="BG383" s="684">
        <f>IF($BE383="","",INDEX(安値!$E383:$CZ383,1,$BE383+1))</f>
      </c>
      <c r="BH383" s="684">
        <f>IF($BF383="","",INDEX(安値!$E383:$CZ383,1,$BF383+1))</f>
      </c>
      <c r="BI383" s="684">
        <f>IF($BF383="","",MAX(INDEX(高値!$E383:$CZ383,1,$BE383+1):INDEX(高値!$E383:$CZ383,1,$BF383+1)))</f>
      </c>
      <c r="BJ383" s="684">
        <f>IF($BF383="","",AVERAGE(INDEX(終値!$E383:$CZ383,1,$BF383+1):INDEX(終値!$E383:$CZ383,1,$BF383+20))-2*STDEVP(INDEX(終値!$E383:$CZ383,1,$BF383+1):INDEX(終値!$E383:$CZ383,1,$BF383+20)))</f>
      </c>
      <c r="BK383" s="684">
        <f>IF($BE383="","",AVERAGE(INDEX(終値!$E383:$CZ383,1,$BE383+1):INDEX(終値!$E383:$CZ383,1,$BE383+20))-2*STDEVP(INDEX(終値!$E383:$CZ383,1,$BE383+1):INDEX(終値!$E383:$CZ383,1,$BE383+20)))</f>
      </c>
      <c r="BL383" s="684">
        <f>COUNT($AC383:$BC383)</f>
      </c>
      <c r="BM383" s="684">
        <f>IF($BL383&gt;=2,MIN($AC383:$BC383),"")</f>
      </c>
      <c r="BN383" s="684">
        <f>IF($BL383&gt;=2,SMALL($AC383:$BC383,2),"")</f>
      </c>
      <c r="BO383" s="684">
        <f>IF($BM383="","",INDEX(高値!$E383:$CZ383,1,$BM383+1))</f>
      </c>
      <c r="BP383" s="684">
        <f>IF($BN383="","",INDEX(高値!$E383:$CZ383,1,$BN383+1))</f>
      </c>
      <c r="BQ383" s="684">
        <f>IF($BN383="","",MIN(INDEX(安値!$E383:$CZ383,1,$BM383+1):INDEX(安値!$E383:$CZ383,1,$BN383+1)))</f>
      </c>
      <c r="BR383" s="684">
        <f>IF($BN383="","",AVERAGE(INDEX(終値!$E383:$CZ383,1,$BN383+1):INDEX(終値!$E383:$CZ383,1,$BN383+20))+2*STDEVP(INDEX(終値!$E383:$CZ383,1,$BN383+1):INDEX(終値!$E383:$CZ383,1,$BN383+20)))</f>
      </c>
      <c r="BS383" s="684">
        <f>IF($BM383="","",AVERAGE(INDEX(終値!$E383:$CZ383,1,$BM383+1):INDEX(終値!$E383:$CZ383,1,$BM383+20))+2*STDEVP(INDEX(終値!$E383:$CZ383,1,$BM383+1):INDEX(終値!$E383:$CZ383,1,$BM383+20)))</f>
      </c>
      <c r="BT383" s="681">
        <f>IFERROR(IF(AND($BD383&gt;=2,ABS($BG383-$BH383)/$BH383&lt;=BB設定!$B$12,$BI383&gt;=MAX($BH383,$BG383)*(1+BB設定!$B$13),終値!E383&gt;$BG383),IF(OR(終値!E383&gt;=$BI383,AND($BH383&lt;$BJ383,$BG383&gt;=$BK383)),"二番底W▲","二番底W形成"),IF(AND($BL383&gt;=2,ABS($BO383-$BP383)/$BP383&lt;=BB設定!$B$12,$BQ383&lt;=MIN($BP383,$BO383)*(1-BB設定!$B$13),終値!E383&lt;$BO383),IF(OR(終値!E383&lt;=$BQ383,AND($BP383&gt;$BR383,$BO383&lt;=$BS383)),"二番天井M▼","二番天井M形成"),"－")),"－")</f>
      </c>
    </row>
    <row r="384">
      <c r="B384" s="684">
        <f>IF(終値!A384="","",IF(AND(安値!G384&lt;安値!F384,安値!G384&lt;安値!E384,安値!G384&lt;安値!H384,安値!G384&lt;安値!I384),2,""))</f>
      </c>
      <c r="C384" s="684">
        <f>IF(終値!A384="","",IF(AND(安値!H384&lt;安値!G384,安値!H384&lt;安値!F384,安値!H384&lt;安値!I384,安値!H384&lt;安値!J384),3,""))</f>
      </c>
      <c r="D384" s="684">
        <f>IF(終値!A384="","",IF(AND(安値!I384&lt;安値!H384,安値!I384&lt;安値!G384,安値!I384&lt;安値!J384,安値!I384&lt;安値!K384),4,""))</f>
      </c>
      <c r="E384" s="684">
        <f>IF(終値!A384="","",IF(AND(安値!J384&lt;安値!I384,安値!J384&lt;安値!H384,安値!J384&lt;安値!K384,安値!J384&lt;安値!L384),5,""))</f>
      </c>
      <c r="F384" s="684">
        <f>IF(終値!A384="","",IF(AND(安値!K384&lt;安値!J384,安値!K384&lt;安値!I384,安値!K384&lt;安値!L384,安値!K384&lt;安値!M384),6,""))</f>
      </c>
      <c r="G384" s="684">
        <f>IF(終値!A384="","",IF(AND(安値!L384&lt;安値!K384,安値!L384&lt;安値!J384,安値!L384&lt;安値!M384,安値!L384&lt;安値!N384),7,""))</f>
      </c>
      <c r="H384" s="684">
        <f>IF(終値!A384="","",IF(AND(安値!M384&lt;安値!L384,安値!M384&lt;安値!K384,安値!M384&lt;安値!N384,安値!M384&lt;安値!O384),8,""))</f>
      </c>
      <c r="I384" s="684">
        <f>IF(終値!A384="","",IF(AND(安値!N384&lt;安値!M384,安値!N384&lt;安値!L384,安値!N384&lt;安値!O384,安値!N384&lt;安値!P384),9,""))</f>
      </c>
      <c r="J384" s="684">
        <f>IF(終値!A384="","",IF(AND(安値!O384&lt;安値!N384,安値!O384&lt;安値!M384,安値!O384&lt;安値!P384,安値!O384&lt;安値!Q384),10,""))</f>
      </c>
      <c r="K384" s="684">
        <f>IF(終値!A384="","",IF(AND(安値!P384&lt;安値!O384,安値!P384&lt;安値!N384,安値!P384&lt;安値!Q384,安値!P384&lt;安値!R384),11,""))</f>
      </c>
      <c r="L384" s="684">
        <f>IF(終値!A384="","",IF(AND(安値!Q384&lt;安値!P384,安値!Q384&lt;安値!O384,安値!Q384&lt;安値!R384,安値!Q384&lt;安値!S384),12,""))</f>
      </c>
      <c r="M384" s="684">
        <f>IF(終値!A384="","",IF(AND(安値!R384&lt;安値!Q384,安値!R384&lt;安値!P384,安値!R384&lt;安値!S384,安値!R384&lt;安値!T384),13,""))</f>
      </c>
      <c r="N384" s="684">
        <f>IF(終値!A384="","",IF(AND(安値!S384&lt;安値!R384,安値!S384&lt;安値!Q384,安値!S384&lt;安値!T384,安値!S384&lt;安値!U384),14,""))</f>
      </c>
      <c r="O384" s="684">
        <f>IF(終値!A384="","",IF(AND(安値!T384&lt;安値!S384,安値!T384&lt;安値!R384,安値!T384&lt;安値!U384,安値!T384&lt;安値!V384),15,""))</f>
      </c>
      <c r="P384" s="684">
        <f>IF(終値!A384="","",IF(AND(安値!U384&lt;安値!T384,安値!U384&lt;安値!S384,安値!U384&lt;安値!V384,安値!U384&lt;安値!W384),16,""))</f>
      </c>
      <c r="Q384" s="684">
        <f>IF(終値!A384="","",IF(AND(安値!V384&lt;安値!U384,安値!V384&lt;安値!T384,安値!V384&lt;安値!W384,安値!V384&lt;安値!X384),17,""))</f>
      </c>
      <c r="R384" s="684">
        <f>IF(終値!A384="","",IF(AND(安値!W384&lt;安値!V384,安値!W384&lt;安値!U384,安値!W384&lt;安値!X384,安値!W384&lt;安値!Y384),18,""))</f>
      </c>
      <c r="S384" s="684">
        <f>IF(終値!A384="","",IF(AND(安値!X384&lt;安値!W384,安値!X384&lt;安値!V384,安値!X384&lt;安値!Y384,安値!X384&lt;安値!Z384),19,""))</f>
      </c>
      <c r="T384" s="684">
        <f>IF(終値!A384="","",IF(AND(安値!Y384&lt;安値!X384,安値!Y384&lt;安値!W384,安値!Y384&lt;安値!Z384,安値!Y384&lt;安値!AA384),20,""))</f>
      </c>
      <c r="U384" s="684">
        <f>IF(終値!A384="","",IF(AND(安値!Z384&lt;安値!Y384,安値!Z384&lt;安値!X384,安値!Z384&lt;安値!AA384,安値!Z384&lt;安値!AB384),21,""))</f>
      </c>
      <c r="V384" s="684">
        <f>IF(終値!A384="","",IF(AND(安値!AA384&lt;安値!Z384,安値!AA384&lt;安値!Y384,安値!AA384&lt;安値!AB384,安値!AA384&lt;安値!AC384),22,""))</f>
      </c>
      <c r="W384" s="684">
        <f>IF(終値!A384="","",IF(AND(安値!AB384&lt;安値!AA384,安値!AB384&lt;安値!Z384,安値!AB384&lt;安値!AC384,安値!AB384&lt;安値!AD384),23,""))</f>
      </c>
      <c r="X384" s="684">
        <f>IF(終値!A384="","",IF(AND(安値!AC384&lt;安値!AB384,安値!AC384&lt;安値!AA384,安値!AC384&lt;安値!AD384,安値!AC384&lt;安値!AE384),24,""))</f>
      </c>
      <c r="Y384" s="684">
        <f>IF(終値!A384="","",IF(AND(安値!AD384&lt;安値!AC384,安値!AD384&lt;安値!AB384,安値!AD384&lt;安値!AE384,安値!AD384&lt;安値!AF384),25,""))</f>
      </c>
      <c r="Z384" s="684">
        <f>IF(終値!A384="","",IF(AND(安値!AE384&lt;安値!AD384,安値!AE384&lt;安値!AC384,安値!AE384&lt;安値!AF384,安値!AE384&lt;安値!AG384),26,""))</f>
      </c>
      <c r="AA384" s="684">
        <f>IF(終値!A384="","",IF(AND(安値!AF384&lt;安値!AE384,安値!AF384&lt;安値!AD384,安値!AF384&lt;安値!AG384,安値!AF384&lt;安値!AH384),27,""))</f>
      </c>
      <c r="AB384" s="684">
        <f>IF(終値!A384="","",IF(AND(安値!AG384&lt;安値!AF384,安値!AG384&lt;安値!AE384,安値!AG384&lt;安値!AH384,安値!AG384&lt;安値!AI384),28,""))</f>
      </c>
      <c r="AC384" s="684">
        <f>IF(終値!A384="","",IF(AND(高値!G384&gt;高値!F384,高値!G384&gt;高値!E384,高値!G384&gt;高値!H384,高値!G384&gt;高値!I384),2,""))</f>
      </c>
      <c r="AD384" s="684">
        <f>IF(終値!A384="","",IF(AND(高値!H384&gt;高値!G384,高値!H384&gt;高値!F384,高値!H384&gt;高値!I384,高値!H384&gt;高値!J384),3,""))</f>
      </c>
      <c r="AE384" s="684">
        <f>IF(終値!A384="","",IF(AND(高値!I384&gt;高値!H384,高値!I384&gt;高値!G384,高値!I384&gt;高値!J384,高値!I384&gt;高値!K384),4,""))</f>
      </c>
      <c r="AF384" s="684">
        <f>IF(終値!A384="","",IF(AND(高値!J384&gt;高値!I384,高値!J384&gt;高値!H384,高値!J384&gt;高値!K384,高値!J384&gt;高値!L384),5,""))</f>
      </c>
      <c r="AG384" s="684">
        <f>IF(終値!A384="","",IF(AND(高値!K384&gt;高値!J384,高値!K384&gt;高値!I384,高値!K384&gt;高値!L384,高値!K384&gt;高値!M384),6,""))</f>
      </c>
      <c r="AH384" s="684">
        <f>IF(終値!A384="","",IF(AND(高値!L384&gt;高値!K384,高値!L384&gt;高値!J384,高値!L384&gt;高値!M384,高値!L384&gt;高値!N384),7,""))</f>
      </c>
      <c r="AI384" s="684">
        <f>IF(終値!A384="","",IF(AND(高値!M384&gt;高値!L384,高値!M384&gt;高値!K384,高値!M384&gt;高値!N384,高値!M384&gt;高値!O384),8,""))</f>
      </c>
      <c r="AJ384" s="684">
        <f>IF(終値!A384="","",IF(AND(高値!N384&gt;高値!M384,高値!N384&gt;高値!L384,高値!N384&gt;高値!O384,高値!N384&gt;高値!P384),9,""))</f>
      </c>
      <c r="AK384" s="684">
        <f>IF(終値!A384="","",IF(AND(高値!O384&gt;高値!N384,高値!O384&gt;高値!M384,高値!O384&gt;高値!P384,高値!O384&gt;高値!Q384),10,""))</f>
      </c>
      <c r="AL384" s="684">
        <f>IF(終値!A384="","",IF(AND(高値!P384&gt;高値!O384,高値!P384&gt;高値!N384,高値!P384&gt;高値!Q384,高値!P384&gt;高値!R384),11,""))</f>
      </c>
      <c r="AM384" s="684">
        <f>IF(終値!A384="","",IF(AND(高値!Q384&gt;高値!P384,高値!Q384&gt;高値!O384,高値!Q384&gt;高値!R384,高値!Q384&gt;高値!S384),12,""))</f>
      </c>
      <c r="AN384" s="684">
        <f>IF(終値!A384="","",IF(AND(高値!R384&gt;高値!Q384,高値!R384&gt;高値!P384,高値!R384&gt;高値!S384,高値!R384&gt;高値!T384),13,""))</f>
      </c>
      <c r="AO384" s="684">
        <f>IF(終値!A384="","",IF(AND(高値!S384&gt;高値!R384,高値!S384&gt;高値!Q384,高値!S384&gt;高値!T384,高値!S384&gt;高値!U384),14,""))</f>
      </c>
      <c r="AP384" s="684">
        <f>IF(終値!A384="","",IF(AND(高値!T384&gt;高値!S384,高値!T384&gt;高値!R384,高値!T384&gt;高値!U384,高値!T384&gt;高値!V384),15,""))</f>
      </c>
      <c r="AQ384" s="684">
        <f>IF(終値!A384="","",IF(AND(高値!U384&gt;高値!T384,高値!U384&gt;高値!S384,高値!U384&gt;高値!V384,高値!U384&gt;高値!W384),16,""))</f>
      </c>
      <c r="AR384" s="684">
        <f>IF(終値!A384="","",IF(AND(高値!V384&gt;高値!U384,高値!V384&gt;高値!T384,高値!V384&gt;高値!W384,高値!V384&gt;高値!X384),17,""))</f>
      </c>
      <c r="AS384" s="684">
        <f>IF(終値!A384="","",IF(AND(高値!W384&gt;高値!V384,高値!W384&gt;高値!U384,高値!W384&gt;高値!X384,高値!W384&gt;高値!Y384),18,""))</f>
      </c>
      <c r="AT384" s="684">
        <f>IF(終値!A384="","",IF(AND(高値!X384&gt;高値!W384,高値!X384&gt;高値!V384,高値!X384&gt;高値!Y384,高値!X384&gt;高値!Z384),19,""))</f>
      </c>
      <c r="AU384" s="684">
        <f>IF(終値!A384="","",IF(AND(高値!Y384&gt;高値!X384,高値!Y384&gt;高値!W384,高値!Y384&gt;高値!Z384,高値!Y384&gt;高値!AA384),20,""))</f>
      </c>
      <c r="AV384" s="684">
        <f>IF(終値!A384="","",IF(AND(高値!Z384&gt;高値!Y384,高値!Z384&gt;高値!X384,高値!Z384&gt;高値!AA384,高値!Z384&gt;高値!AB384),21,""))</f>
      </c>
      <c r="AW384" s="684">
        <f>IF(終値!A384="","",IF(AND(高値!AA384&gt;高値!Z384,高値!AA384&gt;高値!Y384,高値!AA384&gt;高値!AB384,高値!AA384&gt;高値!AC384),22,""))</f>
      </c>
      <c r="AX384" s="684">
        <f>IF(終値!A384="","",IF(AND(高値!AB384&gt;高値!AA384,高値!AB384&gt;高値!Z384,高値!AB384&gt;高値!AC384,高値!AB384&gt;高値!AD384),23,""))</f>
      </c>
      <c r="AY384" s="684">
        <f>IF(終値!A384="","",IF(AND(高値!AC384&gt;高値!AB384,高値!AC384&gt;高値!AA384,高値!AC384&gt;高値!AD384,高値!AC384&gt;高値!AE384),24,""))</f>
      </c>
      <c r="AZ384" s="684">
        <f>IF(終値!A384="","",IF(AND(高値!AD384&gt;高値!AC384,高値!AD384&gt;高値!AB384,高値!AD384&gt;高値!AE384,高値!AD384&gt;高値!AF384),25,""))</f>
      </c>
      <c r="BA384" s="684">
        <f>IF(終値!A384="","",IF(AND(高値!AE384&gt;高値!AD384,高値!AE384&gt;高値!AC384,高値!AE384&gt;高値!AF384,高値!AE384&gt;高値!AG384),26,""))</f>
      </c>
      <c r="BB384" s="684">
        <f>IF(終値!A384="","",IF(AND(高値!AF384&gt;高値!AE384,高値!AF384&gt;高値!AD384,高値!AF384&gt;高値!AG384,高値!AF384&gt;高値!AH384),27,""))</f>
      </c>
      <c r="BC384" s="684">
        <f>IF(終値!A384="","",IF(AND(高値!AG384&gt;高値!AF384,高値!AG384&gt;高値!AE384,高値!AG384&gt;高値!AH384,高値!AG384&gt;高値!AI384),28,""))</f>
      </c>
      <c r="BD384" s="684">
        <f>COUNT($B384:$AB384)</f>
      </c>
      <c r="BE384" s="684">
        <f>IF($BD384&gt;=2,MIN($B384:$AB384),"")</f>
      </c>
      <c r="BF384" s="684">
        <f>IF($BD384&gt;=2,SMALL($B384:$AB384,2),"")</f>
      </c>
      <c r="BG384" s="684">
        <f>IF($BE384="","",INDEX(安値!$E384:$CZ384,1,$BE384+1))</f>
      </c>
      <c r="BH384" s="684">
        <f>IF($BF384="","",INDEX(安値!$E384:$CZ384,1,$BF384+1))</f>
      </c>
      <c r="BI384" s="684">
        <f>IF($BF384="","",MAX(INDEX(高値!$E384:$CZ384,1,$BE384+1):INDEX(高値!$E384:$CZ384,1,$BF384+1)))</f>
      </c>
      <c r="BJ384" s="684">
        <f>IF($BF384="","",AVERAGE(INDEX(終値!$E384:$CZ384,1,$BF384+1):INDEX(終値!$E384:$CZ384,1,$BF384+20))-2*STDEVP(INDEX(終値!$E384:$CZ384,1,$BF384+1):INDEX(終値!$E384:$CZ384,1,$BF384+20)))</f>
      </c>
      <c r="BK384" s="684">
        <f>IF($BE384="","",AVERAGE(INDEX(終値!$E384:$CZ384,1,$BE384+1):INDEX(終値!$E384:$CZ384,1,$BE384+20))-2*STDEVP(INDEX(終値!$E384:$CZ384,1,$BE384+1):INDEX(終値!$E384:$CZ384,1,$BE384+20)))</f>
      </c>
      <c r="BL384" s="684">
        <f>COUNT($AC384:$BC384)</f>
      </c>
      <c r="BM384" s="684">
        <f>IF($BL384&gt;=2,MIN($AC384:$BC384),"")</f>
      </c>
      <c r="BN384" s="684">
        <f>IF($BL384&gt;=2,SMALL($AC384:$BC384,2),"")</f>
      </c>
      <c r="BO384" s="684">
        <f>IF($BM384="","",INDEX(高値!$E384:$CZ384,1,$BM384+1))</f>
      </c>
      <c r="BP384" s="684">
        <f>IF($BN384="","",INDEX(高値!$E384:$CZ384,1,$BN384+1))</f>
      </c>
      <c r="BQ384" s="684">
        <f>IF($BN384="","",MIN(INDEX(安値!$E384:$CZ384,1,$BM384+1):INDEX(安値!$E384:$CZ384,1,$BN384+1)))</f>
      </c>
      <c r="BR384" s="684">
        <f>IF($BN384="","",AVERAGE(INDEX(終値!$E384:$CZ384,1,$BN384+1):INDEX(終値!$E384:$CZ384,1,$BN384+20))+2*STDEVP(INDEX(終値!$E384:$CZ384,1,$BN384+1):INDEX(終値!$E384:$CZ384,1,$BN384+20)))</f>
      </c>
      <c r="BS384" s="684">
        <f>IF($BM384="","",AVERAGE(INDEX(終値!$E384:$CZ384,1,$BM384+1):INDEX(終値!$E384:$CZ384,1,$BM384+20))+2*STDEVP(INDEX(終値!$E384:$CZ384,1,$BM384+1):INDEX(終値!$E384:$CZ384,1,$BM384+20)))</f>
      </c>
      <c r="BT384" s="681">
        <f>IFERROR(IF(AND($BD384&gt;=2,ABS($BG384-$BH384)/$BH384&lt;=BB設定!$B$12,$BI384&gt;=MAX($BH384,$BG384)*(1+BB設定!$B$13),終値!E384&gt;$BG384),IF(OR(終値!E384&gt;=$BI384,AND($BH384&lt;$BJ384,$BG384&gt;=$BK384)),"二番底W▲","二番底W形成"),IF(AND($BL384&gt;=2,ABS($BO384-$BP384)/$BP384&lt;=BB設定!$B$12,$BQ384&lt;=MIN($BP384,$BO384)*(1-BB設定!$B$13),終値!E384&lt;$BO384),IF(OR(終値!E384&lt;=$BQ384,AND($BP384&gt;$BR384,$BO384&lt;=$BS384)),"二番天井M▼","二番天井M形成"),"－")),"－")</f>
      </c>
    </row>
    <row r="385">
      <c r="B385" s="684">
        <f>IF(終値!A385="","",IF(AND(安値!G385&lt;安値!F385,安値!G385&lt;安値!E385,安値!G385&lt;安値!H385,安値!G385&lt;安値!I385),2,""))</f>
      </c>
      <c r="C385" s="684">
        <f>IF(終値!A385="","",IF(AND(安値!H385&lt;安値!G385,安値!H385&lt;安値!F385,安値!H385&lt;安値!I385,安値!H385&lt;安値!J385),3,""))</f>
      </c>
      <c r="D385" s="684">
        <f>IF(終値!A385="","",IF(AND(安値!I385&lt;安値!H385,安値!I385&lt;安値!G385,安値!I385&lt;安値!J385,安値!I385&lt;安値!K385),4,""))</f>
      </c>
      <c r="E385" s="684">
        <f>IF(終値!A385="","",IF(AND(安値!J385&lt;安値!I385,安値!J385&lt;安値!H385,安値!J385&lt;安値!K385,安値!J385&lt;安値!L385),5,""))</f>
      </c>
      <c r="F385" s="684">
        <f>IF(終値!A385="","",IF(AND(安値!K385&lt;安値!J385,安値!K385&lt;安値!I385,安値!K385&lt;安値!L385,安値!K385&lt;安値!M385),6,""))</f>
      </c>
      <c r="G385" s="684">
        <f>IF(終値!A385="","",IF(AND(安値!L385&lt;安値!K385,安値!L385&lt;安値!J385,安値!L385&lt;安値!M385,安値!L385&lt;安値!N385),7,""))</f>
      </c>
      <c r="H385" s="684">
        <f>IF(終値!A385="","",IF(AND(安値!M385&lt;安値!L385,安値!M385&lt;安値!K385,安値!M385&lt;安値!N385,安値!M385&lt;安値!O385),8,""))</f>
      </c>
      <c r="I385" s="684">
        <f>IF(終値!A385="","",IF(AND(安値!N385&lt;安値!M385,安値!N385&lt;安値!L385,安値!N385&lt;安値!O385,安値!N385&lt;安値!P385),9,""))</f>
      </c>
      <c r="J385" s="684">
        <f>IF(終値!A385="","",IF(AND(安値!O385&lt;安値!N385,安値!O385&lt;安値!M385,安値!O385&lt;安値!P385,安値!O385&lt;安値!Q385),10,""))</f>
      </c>
      <c r="K385" s="684">
        <f>IF(終値!A385="","",IF(AND(安値!P385&lt;安値!O385,安値!P385&lt;安値!N385,安値!P385&lt;安値!Q385,安値!P385&lt;安値!R385),11,""))</f>
      </c>
      <c r="L385" s="684">
        <f>IF(終値!A385="","",IF(AND(安値!Q385&lt;安値!P385,安値!Q385&lt;安値!O385,安値!Q385&lt;安値!R385,安値!Q385&lt;安値!S385),12,""))</f>
      </c>
      <c r="M385" s="684">
        <f>IF(終値!A385="","",IF(AND(安値!R385&lt;安値!Q385,安値!R385&lt;安値!P385,安値!R385&lt;安値!S385,安値!R385&lt;安値!T385),13,""))</f>
      </c>
      <c r="N385" s="684">
        <f>IF(終値!A385="","",IF(AND(安値!S385&lt;安値!R385,安値!S385&lt;安値!Q385,安値!S385&lt;安値!T385,安値!S385&lt;安値!U385),14,""))</f>
      </c>
      <c r="O385" s="684">
        <f>IF(終値!A385="","",IF(AND(安値!T385&lt;安値!S385,安値!T385&lt;安値!R385,安値!T385&lt;安値!U385,安値!T385&lt;安値!V385),15,""))</f>
      </c>
      <c r="P385" s="684">
        <f>IF(終値!A385="","",IF(AND(安値!U385&lt;安値!T385,安値!U385&lt;安値!S385,安値!U385&lt;安値!V385,安値!U385&lt;安値!W385),16,""))</f>
      </c>
      <c r="Q385" s="684">
        <f>IF(終値!A385="","",IF(AND(安値!V385&lt;安値!U385,安値!V385&lt;安値!T385,安値!V385&lt;安値!W385,安値!V385&lt;安値!X385),17,""))</f>
      </c>
      <c r="R385" s="684">
        <f>IF(終値!A385="","",IF(AND(安値!W385&lt;安値!V385,安値!W385&lt;安値!U385,安値!W385&lt;安値!X385,安値!W385&lt;安値!Y385),18,""))</f>
      </c>
      <c r="S385" s="684">
        <f>IF(終値!A385="","",IF(AND(安値!X385&lt;安値!W385,安値!X385&lt;安値!V385,安値!X385&lt;安値!Y385,安値!X385&lt;安値!Z385),19,""))</f>
      </c>
      <c r="T385" s="684">
        <f>IF(終値!A385="","",IF(AND(安値!Y385&lt;安値!X385,安値!Y385&lt;安値!W385,安値!Y385&lt;安値!Z385,安値!Y385&lt;安値!AA385),20,""))</f>
      </c>
      <c r="U385" s="684">
        <f>IF(終値!A385="","",IF(AND(安値!Z385&lt;安値!Y385,安値!Z385&lt;安値!X385,安値!Z385&lt;安値!AA385,安値!Z385&lt;安値!AB385),21,""))</f>
      </c>
      <c r="V385" s="684">
        <f>IF(終値!A385="","",IF(AND(安値!AA385&lt;安値!Z385,安値!AA385&lt;安値!Y385,安値!AA385&lt;安値!AB385,安値!AA385&lt;安値!AC385),22,""))</f>
      </c>
      <c r="W385" s="684">
        <f>IF(終値!A385="","",IF(AND(安値!AB385&lt;安値!AA385,安値!AB385&lt;安値!Z385,安値!AB385&lt;安値!AC385,安値!AB385&lt;安値!AD385),23,""))</f>
      </c>
      <c r="X385" s="684">
        <f>IF(終値!A385="","",IF(AND(安値!AC385&lt;安値!AB385,安値!AC385&lt;安値!AA385,安値!AC385&lt;安値!AD385,安値!AC385&lt;安値!AE385),24,""))</f>
      </c>
      <c r="Y385" s="684">
        <f>IF(終値!A385="","",IF(AND(安値!AD385&lt;安値!AC385,安値!AD385&lt;安値!AB385,安値!AD385&lt;安値!AE385,安値!AD385&lt;安値!AF385),25,""))</f>
      </c>
      <c r="Z385" s="684">
        <f>IF(終値!A385="","",IF(AND(安値!AE385&lt;安値!AD385,安値!AE385&lt;安値!AC385,安値!AE385&lt;安値!AF385,安値!AE385&lt;安値!AG385),26,""))</f>
      </c>
      <c r="AA385" s="684">
        <f>IF(終値!A385="","",IF(AND(安値!AF385&lt;安値!AE385,安値!AF385&lt;安値!AD385,安値!AF385&lt;安値!AG385,安値!AF385&lt;安値!AH385),27,""))</f>
      </c>
      <c r="AB385" s="684">
        <f>IF(終値!A385="","",IF(AND(安値!AG385&lt;安値!AF385,安値!AG385&lt;安値!AE385,安値!AG385&lt;安値!AH385,安値!AG385&lt;安値!AI385),28,""))</f>
      </c>
      <c r="AC385" s="684">
        <f>IF(終値!A385="","",IF(AND(高値!G385&gt;高値!F385,高値!G385&gt;高値!E385,高値!G385&gt;高値!H385,高値!G385&gt;高値!I385),2,""))</f>
      </c>
      <c r="AD385" s="684">
        <f>IF(終値!A385="","",IF(AND(高値!H385&gt;高値!G385,高値!H385&gt;高値!F385,高値!H385&gt;高値!I385,高値!H385&gt;高値!J385),3,""))</f>
      </c>
      <c r="AE385" s="684">
        <f>IF(終値!A385="","",IF(AND(高値!I385&gt;高値!H385,高値!I385&gt;高値!G385,高値!I385&gt;高値!J385,高値!I385&gt;高値!K385),4,""))</f>
      </c>
      <c r="AF385" s="684">
        <f>IF(終値!A385="","",IF(AND(高値!J385&gt;高値!I385,高値!J385&gt;高値!H385,高値!J385&gt;高値!K385,高値!J385&gt;高値!L385),5,""))</f>
      </c>
      <c r="AG385" s="684">
        <f>IF(終値!A385="","",IF(AND(高値!K385&gt;高値!J385,高値!K385&gt;高値!I385,高値!K385&gt;高値!L385,高値!K385&gt;高値!M385),6,""))</f>
      </c>
      <c r="AH385" s="684">
        <f>IF(終値!A385="","",IF(AND(高値!L385&gt;高値!K385,高値!L385&gt;高値!J385,高値!L385&gt;高値!M385,高値!L385&gt;高値!N385),7,""))</f>
      </c>
      <c r="AI385" s="684">
        <f>IF(終値!A385="","",IF(AND(高値!M385&gt;高値!L385,高値!M385&gt;高値!K385,高値!M385&gt;高値!N385,高値!M385&gt;高値!O385),8,""))</f>
      </c>
      <c r="AJ385" s="684">
        <f>IF(終値!A385="","",IF(AND(高値!N385&gt;高値!M385,高値!N385&gt;高値!L385,高値!N385&gt;高値!O385,高値!N385&gt;高値!P385),9,""))</f>
      </c>
      <c r="AK385" s="684">
        <f>IF(終値!A385="","",IF(AND(高値!O385&gt;高値!N385,高値!O385&gt;高値!M385,高値!O385&gt;高値!P385,高値!O385&gt;高値!Q385),10,""))</f>
      </c>
      <c r="AL385" s="684">
        <f>IF(終値!A385="","",IF(AND(高値!P385&gt;高値!O385,高値!P385&gt;高値!N385,高値!P385&gt;高値!Q385,高値!P385&gt;高値!R385),11,""))</f>
      </c>
      <c r="AM385" s="684">
        <f>IF(終値!A385="","",IF(AND(高値!Q385&gt;高値!P385,高値!Q385&gt;高値!O385,高値!Q385&gt;高値!R385,高値!Q385&gt;高値!S385),12,""))</f>
      </c>
      <c r="AN385" s="684">
        <f>IF(終値!A385="","",IF(AND(高値!R385&gt;高値!Q385,高値!R385&gt;高値!P385,高値!R385&gt;高値!S385,高値!R385&gt;高値!T385),13,""))</f>
      </c>
      <c r="AO385" s="684">
        <f>IF(終値!A385="","",IF(AND(高値!S385&gt;高値!R385,高値!S385&gt;高値!Q385,高値!S385&gt;高値!T385,高値!S385&gt;高値!U385),14,""))</f>
      </c>
      <c r="AP385" s="684">
        <f>IF(終値!A385="","",IF(AND(高値!T385&gt;高値!S385,高値!T385&gt;高値!R385,高値!T385&gt;高値!U385,高値!T385&gt;高値!V385),15,""))</f>
      </c>
      <c r="AQ385" s="684">
        <f>IF(終値!A385="","",IF(AND(高値!U385&gt;高値!T385,高値!U385&gt;高値!S385,高値!U385&gt;高値!V385,高値!U385&gt;高値!W385),16,""))</f>
      </c>
      <c r="AR385" s="684">
        <f>IF(終値!A385="","",IF(AND(高値!V385&gt;高値!U385,高値!V385&gt;高値!T385,高値!V385&gt;高値!W385,高値!V385&gt;高値!X385),17,""))</f>
      </c>
      <c r="AS385" s="684">
        <f>IF(終値!A385="","",IF(AND(高値!W385&gt;高値!V385,高値!W385&gt;高値!U385,高値!W385&gt;高値!X385,高値!W385&gt;高値!Y385),18,""))</f>
      </c>
      <c r="AT385" s="684">
        <f>IF(終値!A385="","",IF(AND(高値!X385&gt;高値!W385,高値!X385&gt;高値!V385,高値!X385&gt;高値!Y385,高値!X385&gt;高値!Z385),19,""))</f>
      </c>
      <c r="AU385" s="684">
        <f>IF(終値!A385="","",IF(AND(高値!Y385&gt;高値!X385,高値!Y385&gt;高値!W385,高値!Y385&gt;高値!Z385,高値!Y385&gt;高値!AA385),20,""))</f>
      </c>
      <c r="AV385" s="684">
        <f>IF(終値!A385="","",IF(AND(高値!Z385&gt;高値!Y385,高値!Z385&gt;高値!X385,高値!Z385&gt;高値!AA385,高値!Z385&gt;高値!AB385),21,""))</f>
      </c>
      <c r="AW385" s="684">
        <f>IF(終値!A385="","",IF(AND(高値!AA385&gt;高値!Z385,高値!AA385&gt;高値!Y385,高値!AA385&gt;高値!AB385,高値!AA385&gt;高値!AC385),22,""))</f>
      </c>
      <c r="AX385" s="684">
        <f>IF(終値!A385="","",IF(AND(高値!AB385&gt;高値!AA385,高値!AB385&gt;高値!Z385,高値!AB385&gt;高値!AC385,高値!AB385&gt;高値!AD385),23,""))</f>
      </c>
      <c r="AY385" s="684">
        <f>IF(終値!A385="","",IF(AND(高値!AC385&gt;高値!AB385,高値!AC385&gt;高値!AA385,高値!AC385&gt;高値!AD385,高値!AC385&gt;高値!AE385),24,""))</f>
      </c>
      <c r="AZ385" s="684">
        <f>IF(終値!A385="","",IF(AND(高値!AD385&gt;高値!AC385,高値!AD385&gt;高値!AB385,高値!AD385&gt;高値!AE385,高値!AD385&gt;高値!AF385),25,""))</f>
      </c>
      <c r="BA385" s="684">
        <f>IF(終値!A385="","",IF(AND(高値!AE385&gt;高値!AD385,高値!AE385&gt;高値!AC385,高値!AE385&gt;高値!AF385,高値!AE385&gt;高値!AG385),26,""))</f>
      </c>
      <c r="BB385" s="684">
        <f>IF(終値!A385="","",IF(AND(高値!AF385&gt;高値!AE385,高値!AF385&gt;高値!AD385,高値!AF385&gt;高値!AG385,高値!AF385&gt;高値!AH385),27,""))</f>
      </c>
      <c r="BC385" s="684">
        <f>IF(終値!A385="","",IF(AND(高値!AG385&gt;高値!AF385,高値!AG385&gt;高値!AE385,高値!AG385&gt;高値!AH385,高値!AG385&gt;高値!AI385),28,""))</f>
      </c>
      <c r="BD385" s="684">
        <f>COUNT($B385:$AB385)</f>
      </c>
      <c r="BE385" s="684">
        <f>IF($BD385&gt;=2,MIN($B385:$AB385),"")</f>
      </c>
      <c r="BF385" s="684">
        <f>IF($BD385&gt;=2,SMALL($B385:$AB385,2),"")</f>
      </c>
      <c r="BG385" s="684">
        <f>IF($BE385="","",INDEX(安値!$E385:$CZ385,1,$BE385+1))</f>
      </c>
      <c r="BH385" s="684">
        <f>IF($BF385="","",INDEX(安値!$E385:$CZ385,1,$BF385+1))</f>
      </c>
      <c r="BI385" s="684">
        <f>IF($BF385="","",MAX(INDEX(高値!$E385:$CZ385,1,$BE385+1):INDEX(高値!$E385:$CZ385,1,$BF385+1)))</f>
      </c>
      <c r="BJ385" s="684">
        <f>IF($BF385="","",AVERAGE(INDEX(終値!$E385:$CZ385,1,$BF385+1):INDEX(終値!$E385:$CZ385,1,$BF385+20))-2*STDEVP(INDEX(終値!$E385:$CZ385,1,$BF385+1):INDEX(終値!$E385:$CZ385,1,$BF385+20)))</f>
      </c>
      <c r="BK385" s="684">
        <f>IF($BE385="","",AVERAGE(INDEX(終値!$E385:$CZ385,1,$BE385+1):INDEX(終値!$E385:$CZ385,1,$BE385+20))-2*STDEVP(INDEX(終値!$E385:$CZ385,1,$BE385+1):INDEX(終値!$E385:$CZ385,1,$BE385+20)))</f>
      </c>
      <c r="BL385" s="684">
        <f>COUNT($AC385:$BC385)</f>
      </c>
      <c r="BM385" s="684">
        <f>IF($BL385&gt;=2,MIN($AC385:$BC385),"")</f>
      </c>
      <c r="BN385" s="684">
        <f>IF($BL385&gt;=2,SMALL($AC385:$BC385,2),"")</f>
      </c>
      <c r="BO385" s="684">
        <f>IF($BM385="","",INDEX(高値!$E385:$CZ385,1,$BM385+1))</f>
      </c>
      <c r="BP385" s="684">
        <f>IF($BN385="","",INDEX(高値!$E385:$CZ385,1,$BN385+1))</f>
      </c>
      <c r="BQ385" s="684">
        <f>IF($BN385="","",MIN(INDEX(安値!$E385:$CZ385,1,$BM385+1):INDEX(安値!$E385:$CZ385,1,$BN385+1)))</f>
      </c>
      <c r="BR385" s="684">
        <f>IF($BN385="","",AVERAGE(INDEX(終値!$E385:$CZ385,1,$BN385+1):INDEX(終値!$E385:$CZ385,1,$BN385+20))+2*STDEVP(INDEX(終値!$E385:$CZ385,1,$BN385+1):INDEX(終値!$E385:$CZ385,1,$BN385+20)))</f>
      </c>
      <c r="BS385" s="684">
        <f>IF($BM385="","",AVERAGE(INDEX(終値!$E385:$CZ385,1,$BM385+1):INDEX(終値!$E385:$CZ385,1,$BM385+20))+2*STDEVP(INDEX(終値!$E385:$CZ385,1,$BM385+1):INDEX(終値!$E385:$CZ385,1,$BM385+20)))</f>
      </c>
      <c r="BT385" s="681">
        <f>IFERROR(IF(AND($BD385&gt;=2,ABS($BG385-$BH385)/$BH385&lt;=BB設定!$B$12,$BI385&gt;=MAX($BH385,$BG385)*(1+BB設定!$B$13),終値!E385&gt;$BG385),IF(OR(終値!E385&gt;=$BI385,AND($BH385&lt;$BJ385,$BG385&gt;=$BK385)),"二番底W▲","二番底W形成"),IF(AND($BL385&gt;=2,ABS($BO385-$BP385)/$BP385&lt;=BB設定!$B$12,$BQ385&lt;=MIN($BP385,$BO385)*(1-BB設定!$B$13),終値!E385&lt;$BO385),IF(OR(終値!E385&lt;=$BQ385,AND($BP385&gt;$BR385,$BO385&lt;=$BS385)),"二番天井M▼","二番天井M形成"),"－")),"－")</f>
      </c>
    </row>
    <row r="386">
      <c r="B386" s="684">
        <f>IF(終値!A386="","",IF(AND(安値!G386&lt;安値!F386,安値!G386&lt;安値!E386,安値!G386&lt;安値!H386,安値!G386&lt;安値!I386),2,""))</f>
      </c>
      <c r="C386" s="684">
        <f>IF(終値!A386="","",IF(AND(安値!H386&lt;安値!G386,安値!H386&lt;安値!F386,安値!H386&lt;安値!I386,安値!H386&lt;安値!J386),3,""))</f>
      </c>
      <c r="D386" s="684">
        <f>IF(終値!A386="","",IF(AND(安値!I386&lt;安値!H386,安値!I386&lt;安値!G386,安値!I386&lt;安値!J386,安値!I386&lt;安値!K386),4,""))</f>
      </c>
      <c r="E386" s="684">
        <f>IF(終値!A386="","",IF(AND(安値!J386&lt;安値!I386,安値!J386&lt;安値!H386,安値!J386&lt;安値!K386,安値!J386&lt;安値!L386),5,""))</f>
      </c>
      <c r="F386" s="684">
        <f>IF(終値!A386="","",IF(AND(安値!K386&lt;安値!J386,安値!K386&lt;安値!I386,安値!K386&lt;安値!L386,安値!K386&lt;安値!M386),6,""))</f>
      </c>
      <c r="G386" s="684">
        <f>IF(終値!A386="","",IF(AND(安値!L386&lt;安値!K386,安値!L386&lt;安値!J386,安値!L386&lt;安値!M386,安値!L386&lt;安値!N386),7,""))</f>
      </c>
      <c r="H386" s="684">
        <f>IF(終値!A386="","",IF(AND(安値!M386&lt;安値!L386,安値!M386&lt;安値!K386,安値!M386&lt;安値!N386,安値!M386&lt;安値!O386),8,""))</f>
      </c>
      <c r="I386" s="684">
        <f>IF(終値!A386="","",IF(AND(安値!N386&lt;安値!M386,安値!N386&lt;安値!L386,安値!N386&lt;安値!O386,安値!N386&lt;安値!P386),9,""))</f>
      </c>
      <c r="J386" s="684">
        <f>IF(終値!A386="","",IF(AND(安値!O386&lt;安値!N386,安値!O386&lt;安値!M386,安値!O386&lt;安値!P386,安値!O386&lt;安値!Q386),10,""))</f>
      </c>
      <c r="K386" s="684">
        <f>IF(終値!A386="","",IF(AND(安値!P386&lt;安値!O386,安値!P386&lt;安値!N386,安値!P386&lt;安値!Q386,安値!P386&lt;安値!R386),11,""))</f>
      </c>
      <c r="L386" s="684">
        <f>IF(終値!A386="","",IF(AND(安値!Q386&lt;安値!P386,安値!Q386&lt;安値!O386,安値!Q386&lt;安値!R386,安値!Q386&lt;安値!S386),12,""))</f>
      </c>
      <c r="M386" s="684">
        <f>IF(終値!A386="","",IF(AND(安値!R386&lt;安値!Q386,安値!R386&lt;安値!P386,安値!R386&lt;安値!S386,安値!R386&lt;安値!T386),13,""))</f>
      </c>
      <c r="N386" s="684">
        <f>IF(終値!A386="","",IF(AND(安値!S386&lt;安値!R386,安値!S386&lt;安値!Q386,安値!S386&lt;安値!T386,安値!S386&lt;安値!U386),14,""))</f>
      </c>
      <c r="O386" s="684">
        <f>IF(終値!A386="","",IF(AND(安値!T386&lt;安値!S386,安値!T386&lt;安値!R386,安値!T386&lt;安値!U386,安値!T386&lt;安値!V386),15,""))</f>
      </c>
      <c r="P386" s="684">
        <f>IF(終値!A386="","",IF(AND(安値!U386&lt;安値!T386,安値!U386&lt;安値!S386,安値!U386&lt;安値!V386,安値!U386&lt;安値!W386),16,""))</f>
      </c>
      <c r="Q386" s="684">
        <f>IF(終値!A386="","",IF(AND(安値!V386&lt;安値!U386,安値!V386&lt;安値!T386,安値!V386&lt;安値!W386,安値!V386&lt;安値!X386),17,""))</f>
      </c>
      <c r="R386" s="684">
        <f>IF(終値!A386="","",IF(AND(安値!W386&lt;安値!V386,安値!W386&lt;安値!U386,安値!W386&lt;安値!X386,安値!W386&lt;安値!Y386),18,""))</f>
      </c>
      <c r="S386" s="684">
        <f>IF(終値!A386="","",IF(AND(安値!X386&lt;安値!W386,安値!X386&lt;安値!V386,安値!X386&lt;安値!Y386,安値!X386&lt;安値!Z386),19,""))</f>
      </c>
      <c r="T386" s="684">
        <f>IF(終値!A386="","",IF(AND(安値!Y386&lt;安値!X386,安値!Y386&lt;安値!W386,安値!Y386&lt;安値!Z386,安値!Y386&lt;安値!AA386),20,""))</f>
      </c>
      <c r="U386" s="684">
        <f>IF(終値!A386="","",IF(AND(安値!Z386&lt;安値!Y386,安値!Z386&lt;安値!X386,安値!Z386&lt;安値!AA386,安値!Z386&lt;安値!AB386),21,""))</f>
      </c>
      <c r="V386" s="684">
        <f>IF(終値!A386="","",IF(AND(安値!AA386&lt;安値!Z386,安値!AA386&lt;安値!Y386,安値!AA386&lt;安値!AB386,安値!AA386&lt;安値!AC386),22,""))</f>
      </c>
      <c r="W386" s="684">
        <f>IF(終値!A386="","",IF(AND(安値!AB386&lt;安値!AA386,安値!AB386&lt;安値!Z386,安値!AB386&lt;安値!AC386,安値!AB386&lt;安値!AD386),23,""))</f>
      </c>
      <c r="X386" s="684">
        <f>IF(終値!A386="","",IF(AND(安値!AC386&lt;安値!AB386,安値!AC386&lt;安値!AA386,安値!AC386&lt;安値!AD386,安値!AC386&lt;安値!AE386),24,""))</f>
      </c>
      <c r="Y386" s="684">
        <f>IF(終値!A386="","",IF(AND(安値!AD386&lt;安値!AC386,安値!AD386&lt;安値!AB386,安値!AD386&lt;安値!AE386,安値!AD386&lt;安値!AF386),25,""))</f>
      </c>
      <c r="Z386" s="684">
        <f>IF(終値!A386="","",IF(AND(安値!AE386&lt;安値!AD386,安値!AE386&lt;安値!AC386,安値!AE386&lt;安値!AF386,安値!AE386&lt;安値!AG386),26,""))</f>
      </c>
      <c r="AA386" s="684">
        <f>IF(終値!A386="","",IF(AND(安値!AF386&lt;安値!AE386,安値!AF386&lt;安値!AD386,安値!AF386&lt;安値!AG386,安値!AF386&lt;安値!AH386),27,""))</f>
      </c>
      <c r="AB386" s="684">
        <f>IF(終値!A386="","",IF(AND(安値!AG386&lt;安値!AF386,安値!AG386&lt;安値!AE386,安値!AG386&lt;安値!AH386,安値!AG386&lt;安値!AI386),28,""))</f>
      </c>
      <c r="AC386" s="684">
        <f>IF(終値!A386="","",IF(AND(高値!G386&gt;高値!F386,高値!G386&gt;高値!E386,高値!G386&gt;高値!H386,高値!G386&gt;高値!I386),2,""))</f>
      </c>
      <c r="AD386" s="684">
        <f>IF(終値!A386="","",IF(AND(高値!H386&gt;高値!G386,高値!H386&gt;高値!F386,高値!H386&gt;高値!I386,高値!H386&gt;高値!J386),3,""))</f>
      </c>
      <c r="AE386" s="684">
        <f>IF(終値!A386="","",IF(AND(高値!I386&gt;高値!H386,高値!I386&gt;高値!G386,高値!I386&gt;高値!J386,高値!I386&gt;高値!K386),4,""))</f>
      </c>
      <c r="AF386" s="684">
        <f>IF(終値!A386="","",IF(AND(高値!J386&gt;高値!I386,高値!J386&gt;高値!H386,高値!J386&gt;高値!K386,高値!J386&gt;高値!L386),5,""))</f>
      </c>
      <c r="AG386" s="684">
        <f>IF(終値!A386="","",IF(AND(高値!K386&gt;高値!J386,高値!K386&gt;高値!I386,高値!K386&gt;高値!L386,高値!K386&gt;高値!M386),6,""))</f>
      </c>
      <c r="AH386" s="684">
        <f>IF(終値!A386="","",IF(AND(高値!L386&gt;高値!K386,高値!L386&gt;高値!J386,高値!L386&gt;高値!M386,高値!L386&gt;高値!N386),7,""))</f>
      </c>
      <c r="AI386" s="684">
        <f>IF(終値!A386="","",IF(AND(高値!M386&gt;高値!L386,高値!M386&gt;高値!K386,高値!M386&gt;高値!N386,高値!M386&gt;高値!O386),8,""))</f>
      </c>
      <c r="AJ386" s="684">
        <f>IF(終値!A386="","",IF(AND(高値!N386&gt;高値!M386,高値!N386&gt;高値!L386,高値!N386&gt;高値!O386,高値!N386&gt;高値!P386),9,""))</f>
      </c>
      <c r="AK386" s="684">
        <f>IF(終値!A386="","",IF(AND(高値!O386&gt;高値!N386,高値!O386&gt;高値!M386,高値!O386&gt;高値!P386,高値!O386&gt;高値!Q386),10,""))</f>
      </c>
      <c r="AL386" s="684">
        <f>IF(終値!A386="","",IF(AND(高値!P386&gt;高値!O386,高値!P386&gt;高値!N386,高値!P386&gt;高値!Q386,高値!P386&gt;高値!R386),11,""))</f>
      </c>
      <c r="AM386" s="684">
        <f>IF(終値!A386="","",IF(AND(高値!Q386&gt;高値!P386,高値!Q386&gt;高値!O386,高値!Q386&gt;高値!R386,高値!Q386&gt;高値!S386),12,""))</f>
      </c>
      <c r="AN386" s="684">
        <f>IF(終値!A386="","",IF(AND(高値!R386&gt;高値!Q386,高値!R386&gt;高値!P386,高値!R386&gt;高値!S386,高値!R386&gt;高値!T386),13,""))</f>
      </c>
      <c r="AO386" s="684">
        <f>IF(終値!A386="","",IF(AND(高値!S386&gt;高値!R386,高値!S386&gt;高値!Q386,高値!S386&gt;高値!T386,高値!S386&gt;高値!U386),14,""))</f>
      </c>
      <c r="AP386" s="684">
        <f>IF(終値!A386="","",IF(AND(高値!T386&gt;高値!S386,高値!T386&gt;高値!R386,高値!T386&gt;高値!U386,高値!T386&gt;高値!V386),15,""))</f>
      </c>
      <c r="AQ386" s="684">
        <f>IF(終値!A386="","",IF(AND(高値!U386&gt;高値!T386,高値!U386&gt;高値!S386,高値!U386&gt;高値!V386,高値!U386&gt;高値!W386),16,""))</f>
      </c>
      <c r="AR386" s="684">
        <f>IF(終値!A386="","",IF(AND(高値!V386&gt;高値!U386,高値!V386&gt;高値!T386,高値!V386&gt;高値!W386,高値!V386&gt;高値!X386),17,""))</f>
      </c>
      <c r="AS386" s="684">
        <f>IF(終値!A386="","",IF(AND(高値!W386&gt;高値!V386,高値!W386&gt;高値!U386,高値!W386&gt;高値!X386,高値!W386&gt;高値!Y386),18,""))</f>
      </c>
      <c r="AT386" s="684">
        <f>IF(終値!A386="","",IF(AND(高値!X386&gt;高値!W386,高値!X386&gt;高値!V386,高値!X386&gt;高値!Y386,高値!X386&gt;高値!Z386),19,""))</f>
      </c>
      <c r="AU386" s="684">
        <f>IF(終値!A386="","",IF(AND(高値!Y386&gt;高値!X386,高値!Y386&gt;高値!W386,高値!Y386&gt;高値!Z386,高値!Y386&gt;高値!AA386),20,""))</f>
      </c>
      <c r="AV386" s="684">
        <f>IF(終値!A386="","",IF(AND(高値!Z386&gt;高値!Y386,高値!Z386&gt;高値!X386,高値!Z386&gt;高値!AA386,高値!Z386&gt;高値!AB386),21,""))</f>
      </c>
      <c r="AW386" s="684">
        <f>IF(終値!A386="","",IF(AND(高値!AA386&gt;高値!Z386,高値!AA386&gt;高値!Y386,高値!AA386&gt;高値!AB386,高値!AA386&gt;高値!AC386),22,""))</f>
      </c>
      <c r="AX386" s="684">
        <f>IF(終値!A386="","",IF(AND(高値!AB386&gt;高値!AA386,高値!AB386&gt;高値!Z386,高値!AB386&gt;高値!AC386,高値!AB386&gt;高値!AD386),23,""))</f>
      </c>
      <c r="AY386" s="684">
        <f>IF(終値!A386="","",IF(AND(高値!AC386&gt;高値!AB386,高値!AC386&gt;高値!AA386,高値!AC386&gt;高値!AD386,高値!AC386&gt;高値!AE386),24,""))</f>
      </c>
      <c r="AZ386" s="684">
        <f>IF(終値!A386="","",IF(AND(高値!AD386&gt;高値!AC386,高値!AD386&gt;高値!AB386,高値!AD386&gt;高値!AE386,高値!AD386&gt;高値!AF386),25,""))</f>
      </c>
      <c r="BA386" s="684">
        <f>IF(終値!A386="","",IF(AND(高値!AE386&gt;高値!AD386,高値!AE386&gt;高値!AC386,高値!AE386&gt;高値!AF386,高値!AE386&gt;高値!AG386),26,""))</f>
      </c>
      <c r="BB386" s="684">
        <f>IF(終値!A386="","",IF(AND(高値!AF386&gt;高値!AE386,高値!AF386&gt;高値!AD386,高値!AF386&gt;高値!AG386,高値!AF386&gt;高値!AH386),27,""))</f>
      </c>
      <c r="BC386" s="684">
        <f>IF(終値!A386="","",IF(AND(高値!AG386&gt;高値!AF386,高値!AG386&gt;高値!AE386,高値!AG386&gt;高値!AH386,高値!AG386&gt;高値!AI386),28,""))</f>
      </c>
      <c r="BD386" s="684">
        <f>COUNT($B386:$AB386)</f>
      </c>
      <c r="BE386" s="684">
        <f>IF($BD386&gt;=2,MIN($B386:$AB386),"")</f>
      </c>
      <c r="BF386" s="684">
        <f>IF($BD386&gt;=2,SMALL($B386:$AB386,2),"")</f>
      </c>
      <c r="BG386" s="684">
        <f>IF($BE386="","",INDEX(安値!$E386:$CZ386,1,$BE386+1))</f>
      </c>
      <c r="BH386" s="684">
        <f>IF($BF386="","",INDEX(安値!$E386:$CZ386,1,$BF386+1))</f>
      </c>
      <c r="BI386" s="684">
        <f>IF($BF386="","",MAX(INDEX(高値!$E386:$CZ386,1,$BE386+1):INDEX(高値!$E386:$CZ386,1,$BF386+1)))</f>
      </c>
      <c r="BJ386" s="684">
        <f>IF($BF386="","",AVERAGE(INDEX(終値!$E386:$CZ386,1,$BF386+1):INDEX(終値!$E386:$CZ386,1,$BF386+20))-2*STDEVP(INDEX(終値!$E386:$CZ386,1,$BF386+1):INDEX(終値!$E386:$CZ386,1,$BF386+20)))</f>
      </c>
      <c r="BK386" s="684">
        <f>IF($BE386="","",AVERAGE(INDEX(終値!$E386:$CZ386,1,$BE386+1):INDEX(終値!$E386:$CZ386,1,$BE386+20))-2*STDEVP(INDEX(終値!$E386:$CZ386,1,$BE386+1):INDEX(終値!$E386:$CZ386,1,$BE386+20)))</f>
      </c>
      <c r="BL386" s="684">
        <f>COUNT($AC386:$BC386)</f>
      </c>
      <c r="BM386" s="684">
        <f>IF($BL386&gt;=2,MIN($AC386:$BC386),"")</f>
      </c>
      <c r="BN386" s="684">
        <f>IF($BL386&gt;=2,SMALL($AC386:$BC386,2),"")</f>
      </c>
      <c r="BO386" s="684">
        <f>IF($BM386="","",INDEX(高値!$E386:$CZ386,1,$BM386+1))</f>
      </c>
      <c r="BP386" s="684">
        <f>IF($BN386="","",INDEX(高値!$E386:$CZ386,1,$BN386+1))</f>
      </c>
      <c r="BQ386" s="684">
        <f>IF($BN386="","",MIN(INDEX(安値!$E386:$CZ386,1,$BM386+1):INDEX(安値!$E386:$CZ386,1,$BN386+1)))</f>
      </c>
      <c r="BR386" s="684">
        <f>IF($BN386="","",AVERAGE(INDEX(終値!$E386:$CZ386,1,$BN386+1):INDEX(終値!$E386:$CZ386,1,$BN386+20))+2*STDEVP(INDEX(終値!$E386:$CZ386,1,$BN386+1):INDEX(終値!$E386:$CZ386,1,$BN386+20)))</f>
      </c>
      <c r="BS386" s="684">
        <f>IF($BM386="","",AVERAGE(INDEX(終値!$E386:$CZ386,1,$BM386+1):INDEX(終値!$E386:$CZ386,1,$BM386+20))+2*STDEVP(INDEX(終値!$E386:$CZ386,1,$BM386+1):INDEX(終値!$E386:$CZ386,1,$BM386+20)))</f>
      </c>
      <c r="BT386" s="681">
        <f>IFERROR(IF(AND($BD386&gt;=2,ABS($BG386-$BH386)/$BH386&lt;=BB設定!$B$12,$BI386&gt;=MAX($BH386,$BG386)*(1+BB設定!$B$13),終値!E386&gt;$BG386),IF(OR(終値!E386&gt;=$BI386,AND($BH386&lt;$BJ386,$BG386&gt;=$BK386)),"二番底W▲","二番底W形成"),IF(AND($BL386&gt;=2,ABS($BO386-$BP386)/$BP386&lt;=BB設定!$B$12,$BQ386&lt;=MIN($BP386,$BO386)*(1-BB設定!$B$13),終値!E386&lt;$BO386),IF(OR(終値!E386&lt;=$BQ386,AND($BP386&gt;$BR386,$BO386&lt;=$BS386)),"二番天井M▼","二番天井M形成"),"－")),"－")</f>
      </c>
    </row>
    <row r="387">
      <c r="B387" s="684">
        <f>IF(終値!A387="","",IF(AND(安値!G387&lt;安値!F387,安値!G387&lt;安値!E387,安値!G387&lt;安値!H387,安値!G387&lt;安値!I387),2,""))</f>
      </c>
      <c r="C387" s="684">
        <f>IF(終値!A387="","",IF(AND(安値!H387&lt;安値!G387,安値!H387&lt;安値!F387,安値!H387&lt;安値!I387,安値!H387&lt;安値!J387),3,""))</f>
      </c>
      <c r="D387" s="684">
        <f>IF(終値!A387="","",IF(AND(安値!I387&lt;安値!H387,安値!I387&lt;安値!G387,安値!I387&lt;安値!J387,安値!I387&lt;安値!K387),4,""))</f>
      </c>
      <c r="E387" s="684">
        <f>IF(終値!A387="","",IF(AND(安値!J387&lt;安値!I387,安値!J387&lt;安値!H387,安値!J387&lt;安値!K387,安値!J387&lt;安値!L387),5,""))</f>
      </c>
      <c r="F387" s="684">
        <f>IF(終値!A387="","",IF(AND(安値!K387&lt;安値!J387,安値!K387&lt;安値!I387,安値!K387&lt;安値!L387,安値!K387&lt;安値!M387),6,""))</f>
      </c>
      <c r="G387" s="684">
        <f>IF(終値!A387="","",IF(AND(安値!L387&lt;安値!K387,安値!L387&lt;安値!J387,安値!L387&lt;安値!M387,安値!L387&lt;安値!N387),7,""))</f>
      </c>
      <c r="H387" s="684">
        <f>IF(終値!A387="","",IF(AND(安値!M387&lt;安値!L387,安値!M387&lt;安値!K387,安値!M387&lt;安値!N387,安値!M387&lt;安値!O387),8,""))</f>
      </c>
      <c r="I387" s="684">
        <f>IF(終値!A387="","",IF(AND(安値!N387&lt;安値!M387,安値!N387&lt;安値!L387,安値!N387&lt;安値!O387,安値!N387&lt;安値!P387),9,""))</f>
      </c>
      <c r="J387" s="684">
        <f>IF(終値!A387="","",IF(AND(安値!O387&lt;安値!N387,安値!O387&lt;安値!M387,安値!O387&lt;安値!P387,安値!O387&lt;安値!Q387),10,""))</f>
      </c>
      <c r="K387" s="684">
        <f>IF(終値!A387="","",IF(AND(安値!P387&lt;安値!O387,安値!P387&lt;安値!N387,安値!P387&lt;安値!Q387,安値!P387&lt;安値!R387),11,""))</f>
      </c>
      <c r="L387" s="684">
        <f>IF(終値!A387="","",IF(AND(安値!Q387&lt;安値!P387,安値!Q387&lt;安値!O387,安値!Q387&lt;安値!R387,安値!Q387&lt;安値!S387),12,""))</f>
      </c>
      <c r="M387" s="684">
        <f>IF(終値!A387="","",IF(AND(安値!R387&lt;安値!Q387,安値!R387&lt;安値!P387,安値!R387&lt;安値!S387,安値!R387&lt;安値!T387),13,""))</f>
      </c>
      <c r="N387" s="684">
        <f>IF(終値!A387="","",IF(AND(安値!S387&lt;安値!R387,安値!S387&lt;安値!Q387,安値!S387&lt;安値!T387,安値!S387&lt;安値!U387),14,""))</f>
      </c>
      <c r="O387" s="684">
        <f>IF(終値!A387="","",IF(AND(安値!T387&lt;安値!S387,安値!T387&lt;安値!R387,安値!T387&lt;安値!U387,安値!T387&lt;安値!V387),15,""))</f>
      </c>
      <c r="P387" s="684">
        <f>IF(終値!A387="","",IF(AND(安値!U387&lt;安値!T387,安値!U387&lt;安値!S387,安値!U387&lt;安値!V387,安値!U387&lt;安値!W387),16,""))</f>
      </c>
      <c r="Q387" s="684">
        <f>IF(終値!A387="","",IF(AND(安値!V387&lt;安値!U387,安値!V387&lt;安値!T387,安値!V387&lt;安値!W387,安値!V387&lt;安値!X387),17,""))</f>
      </c>
      <c r="R387" s="684">
        <f>IF(終値!A387="","",IF(AND(安値!W387&lt;安値!V387,安値!W387&lt;安値!U387,安値!W387&lt;安値!X387,安値!W387&lt;安値!Y387),18,""))</f>
      </c>
      <c r="S387" s="684">
        <f>IF(終値!A387="","",IF(AND(安値!X387&lt;安値!W387,安値!X387&lt;安値!V387,安値!X387&lt;安値!Y387,安値!X387&lt;安値!Z387),19,""))</f>
      </c>
      <c r="T387" s="684">
        <f>IF(終値!A387="","",IF(AND(安値!Y387&lt;安値!X387,安値!Y387&lt;安値!W387,安値!Y387&lt;安値!Z387,安値!Y387&lt;安値!AA387),20,""))</f>
      </c>
      <c r="U387" s="684">
        <f>IF(終値!A387="","",IF(AND(安値!Z387&lt;安値!Y387,安値!Z387&lt;安値!X387,安値!Z387&lt;安値!AA387,安値!Z387&lt;安値!AB387),21,""))</f>
      </c>
      <c r="V387" s="684">
        <f>IF(終値!A387="","",IF(AND(安値!AA387&lt;安値!Z387,安値!AA387&lt;安値!Y387,安値!AA387&lt;安値!AB387,安値!AA387&lt;安値!AC387),22,""))</f>
      </c>
      <c r="W387" s="684">
        <f>IF(終値!A387="","",IF(AND(安値!AB387&lt;安値!AA387,安値!AB387&lt;安値!Z387,安値!AB387&lt;安値!AC387,安値!AB387&lt;安値!AD387),23,""))</f>
      </c>
      <c r="X387" s="684">
        <f>IF(終値!A387="","",IF(AND(安値!AC387&lt;安値!AB387,安値!AC387&lt;安値!AA387,安値!AC387&lt;安値!AD387,安値!AC387&lt;安値!AE387),24,""))</f>
      </c>
      <c r="Y387" s="684">
        <f>IF(終値!A387="","",IF(AND(安値!AD387&lt;安値!AC387,安値!AD387&lt;安値!AB387,安値!AD387&lt;安値!AE387,安値!AD387&lt;安値!AF387),25,""))</f>
      </c>
      <c r="Z387" s="684">
        <f>IF(終値!A387="","",IF(AND(安値!AE387&lt;安値!AD387,安値!AE387&lt;安値!AC387,安値!AE387&lt;安値!AF387,安値!AE387&lt;安値!AG387),26,""))</f>
      </c>
      <c r="AA387" s="684">
        <f>IF(終値!A387="","",IF(AND(安値!AF387&lt;安値!AE387,安値!AF387&lt;安値!AD387,安値!AF387&lt;安値!AG387,安値!AF387&lt;安値!AH387),27,""))</f>
      </c>
      <c r="AB387" s="684">
        <f>IF(終値!A387="","",IF(AND(安値!AG387&lt;安値!AF387,安値!AG387&lt;安値!AE387,安値!AG387&lt;安値!AH387,安値!AG387&lt;安値!AI387),28,""))</f>
      </c>
      <c r="AC387" s="684">
        <f>IF(終値!A387="","",IF(AND(高値!G387&gt;高値!F387,高値!G387&gt;高値!E387,高値!G387&gt;高値!H387,高値!G387&gt;高値!I387),2,""))</f>
      </c>
      <c r="AD387" s="684">
        <f>IF(終値!A387="","",IF(AND(高値!H387&gt;高値!G387,高値!H387&gt;高値!F387,高値!H387&gt;高値!I387,高値!H387&gt;高値!J387),3,""))</f>
      </c>
      <c r="AE387" s="684">
        <f>IF(終値!A387="","",IF(AND(高値!I387&gt;高値!H387,高値!I387&gt;高値!G387,高値!I387&gt;高値!J387,高値!I387&gt;高値!K387),4,""))</f>
      </c>
      <c r="AF387" s="684">
        <f>IF(終値!A387="","",IF(AND(高値!J387&gt;高値!I387,高値!J387&gt;高値!H387,高値!J387&gt;高値!K387,高値!J387&gt;高値!L387),5,""))</f>
      </c>
      <c r="AG387" s="684">
        <f>IF(終値!A387="","",IF(AND(高値!K387&gt;高値!J387,高値!K387&gt;高値!I387,高値!K387&gt;高値!L387,高値!K387&gt;高値!M387),6,""))</f>
      </c>
      <c r="AH387" s="684">
        <f>IF(終値!A387="","",IF(AND(高値!L387&gt;高値!K387,高値!L387&gt;高値!J387,高値!L387&gt;高値!M387,高値!L387&gt;高値!N387),7,""))</f>
      </c>
      <c r="AI387" s="684">
        <f>IF(終値!A387="","",IF(AND(高値!M387&gt;高値!L387,高値!M387&gt;高値!K387,高値!M387&gt;高値!N387,高値!M387&gt;高値!O387),8,""))</f>
      </c>
      <c r="AJ387" s="684">
        <f>IF(終値!A387="","",IF(AND(高値!N387&gt;高値!M387,高値!N387&gt;高値!L387,高値!N387&gt;高値!O387,高値!N387&gt;高値!P387),9,""))</f>
      </c>
      <c r="AK387" s="684">
        <f>IF(終値!A387="","",IF(AND(高値!O387&gt;高値!N387,高値!O387&gt;高値!M387,高値!O387&gt;高値!P387,高値!O387&gt;高値!Q387),10,""))</f>
      </c>
      <c r="AL387" s="684">
        <f>IF(終値!A387="","",IF(AND(高値!P387&gt;高値!O387,高値!P387&gt;高値!N387,高値!P387&gt;高値!Q387,高値!P387&gt;高値!R387),11,""))</f>
      </c>
      <c r="AM387" s="684">
        <f>IF(終値!A387="","",IF(AND(高値!Q387&gt;高値!P387,高値!Q387&gt;高値!O387,高値!Q387&gt;高値!R387,高値!Q387&gt;高値!S387),12,""))</f>
      </c>
      <c r="AN387" s="684">
        <f>IF(終値!A387="","",IF(AND(高値!R387&gt;高値!Q387,高値!R387&gt;高値!P387,高値!R387&gt;高値!S387,高値!R387&gt;高値!T387),13,""))</f>
      </c>
      <c r="AO387" s="684">
        <f>IF(終値!A387="","",IF(AND(高値!S387&gt;高値!R387,高値!S387&gt;高値!Q387,高値!S387&gt;高値!T387,高値!S387&gt;高値!U387),14,""))</f>
      </c>
      <c r="AP387" s="684">
        <f>IF(終値!A387="","",IF(AND(高値!T387&gt;高値!S387,高値!T387&gt;高値!R387,高値!T387&gt;高値!U387,高値!T387&gt;高値!V387),15,""))</f>
      </c>
      <c r="AQ387" s="684">
        <f>IF(終値!A387="","",IF(AND(高値!U387&gt;高値!T387,高値!U387&gt;高値!S387,高値!U387&gt;高値!V387,高値!U387&gt;高値!W387),16,""))</f>
      </c>
      <c r="AR387" s="684">
        <f>IF(終値!A387="","",IF(AND(高値!V387&gt;高値!U387,高値!V387&gt;高値!T387,高値!V387&gt;高値!W387,高値!V387&gt;高値!X387),17,""))</f>
      </c>
      <c r="AS387" s="684">
        <f>IF(終値!A387="","",IF(AND(高値!W387&gt;高値!V387,高値!W387&gt;高値!U387,高値!W387&gt;高値!X387,高値!W387&gt;高値!Y387),18,""))</f>
      </c>
      <c r="AT387" s="684">
        <f>IF(終値!A387="","",IF(AND(高値!X387&gt;高値!W387,高値!X387&gt;高値!V387,高値!X387&gt;高値!Y387,高値!X387&gt;高値!Z387),19,""))</f>
      </c>
      <c r="AU387" s="684">
        <f>IF(終値!A387="","",IF(AND(高値!Y387&gt;高値!X387,高値!Y387&gt;高値!W387,高値!Y387&gt;高値!Z387,高値!Y387&gt;高値!AA387),20,""))</f>
      </c>
      <c r="AV387" s="684">
        <f>IF(終値!A387="","",IF(AND(高値!Z387&gt;高値!Y387,高値!Z387&gt;高値!X387,高値!Z387&gt;高値!AA387,高値!Z387&gt;高値!AB387),21,""))</f>
      </c>
      <c r="AW387" s="684">
        <f>IF(終値!A387="","",IF(AND(高値!AA387&gt;高値!Z387,高値!AA387&gt;高値!Y387,高値!AA387&gt;高値!AB387,高値!AA387&gt;高値!AC387),22,""))</f>
      </c>
      <c r="AX387" s="684">
        <f>IF(終値!A387="","",IF(AND(高値!AB387&gt;高値!AA387,高値!AB387&gt;高値!Z387,高値!AB387&gt;高値!AC387,高値!AB387&gt;高値!AD387),23,""))</f>
      </c>
      <c r="AY387" s="684">
        <f>IF(終値!A387="","",IF(AND(高値!AC387&gt;高値!AB387,高値!AC387&gt;高値!AA387,高値!AC387&gt;高値!AD387,高値!AC387&gt;高値!AE387),24,""))</f>
      </c>
      <c r="AZ387" s="684">
        <f>IF(終値!A387="","",IF(AND(高値!AD387&gt;高値!AC387,高値!AD387&gt;高値!AB387,高値!AD387&gt;高値!AE387,高値!AD387&gt;高値!AF387),25,""))</f>
      </c>
      <c r="BA387" s="684">
        <f>IF(終値!A387="","",IF(AND(高値!AE387&gt;高値!AD387,高値!AE387&gt;高値!AC387,高値!AE387&gt;高値!AF387,高値!AE387&gt;高値!AG387),26,""))</f>
      </c>
      <c r="BB387" s="684">
        <f>IF(終値!A387="","",IF(AND(高値!AF387&gt;高値!AE387,高値!AF387&gt;高値!AD387,高値!AF387&gt;高値!AG387,高値!AF387&gt;高値!AH387),27,""))</f>
      </c>
      <c r="BC387" s="684">
        <f>IF(終値!A387="","",IF(AND(高値!AG387&gt;高値!AF387,高値!AG387&gt;高値!AE387,高値!AG387&gt;高値!AH387,高値!AG387&gt;高値!AI387),28,""))</f>
      </c>
      <c r="BD387" s="684">
        <f>COUNT($B387:$AB387)</f>
      </c>
      <c r="BE387" s="684">
        <f>IF($BD387&gt;=2,MIN($B387:$AB387),"")</f>
      </c>
      <c r="BF387" s="684">
        <f>IF($BD387&gt;=2,SMALL($B387:$AB387,2),"")</f>
      </c>
      <c r="BG387" s="684">
        <f>IF($BE387="","",INDEX(安値!$E387:$CZ387,1,$BE387+1))</f>
      </c>
      <c r="BH387" s="684">
        <f>IF($BF387="","",INDEX(安値!$E387:$CZ387,1,$BF387+1))</f>
      </c>
      <c r="BI387" s="684">
        <f>IF($BF387="","",MAX(INDEX(高値!$E387:$CZ387,1,$BE387+1):INDEX(高値!$E387:$CZ387,1,$BF387+1)))</f>
      </c>
      <c r="BJ387" s="684">
        <f>IF($BF387="","",AVERAGE(INDEX(終値!$E387:$CZ387,1,$BF387+1):INDEX(終値!$E387:$CZ387,1,$BF387+20))-2*STDEVP(INDEX(終値!$E387:$CZ387,1,$BF387+1):INDEX(終値!$E387:$CZ387,1,$BF387+20)))</f>
      </c>
      <c r="BK387" s="684">
        <f>IF($BE387="","",AVERAGE(INDEX(終値!$E387:$CZ387,1,$BE387+1):INDEX(終値!$E387:$CZ387,1,$BE387+20))-2*STDEVP(INDEX(終値!$E387:$CZ387,1,$BE387+1):INDEX(終値!$E387:$CZ387,1,$BE387+20)))</f>
      </c>
      <c r="BL387" s="684">
        <f>COUNT($AC387:$BC387)</f>
      </c>
      <c r="BM387" s="684">
        <f>IF($BL387&gt;=2,MIN($AC387:$BC387),"")</f>
      </c>
      <c r="BN387" s="684">
        <f>IF($BL387&gt;=2,SMALL($AC387:$BC387,2),"")</f>
      </c>
      <c r="BO387" s="684">
        <f>IF($BM387="","",INDEX(高値!$E387:$CZ387,1,$BM387+1))</f>
      </c>
      <c r="BP387" s="684">
        <f>IF($BN387="","",INDEX(高値!$E387:$CZ387,1,$BN387+1))</f>
      </c>
      <c r="BQ387" s="684">
        <f>IF($BN387="","",MIN(INDEX(安値!$E387:$CZ387,1,$BM387+1):INDEX(安値!$E387:$CZ387,1,$BN387+1)))</f>
      </c>
      <c r="BR387" s="684">
        <f>IF($BN387="","",AVERAGE(INDEX(終値!$E387:$CZ387,1,$BN387+1):INDEX(終値!$E387:$CZ387,1,$BN387+20))+2*STDEVP(INDEX(終値!$E387:$CZ387,1,$BN387+1):INDEX(終値!$E387:$CZ387,1,$BN387+20)))</f>
      </c>
      <c r="BS387" s="684">
        <f>IF($BM387="","",AVERAGE(INDEX(終値!$E387:$CZ387,1,$BM387+1):INDEX(終値!$E387:$CZ387,1,$BM387+20))+2*STDEVP(INDEX(終値!$E387:$CZ387,1,$BM387+1):INDEX(終値!$E387:$CZ387,1,$BM387+20)))</f>
      </c>
      <c r="BT387" s="681">
        <f>IFERROR(IF(AND($BD387&gt;=2,ABS($BG387-$BH387)/$BH387&lt;=BB設定!$B$12,$BI387&gt;=MAX($BH387,$BG387)*(1+BB設定!$B$13),終値!E387&gt;$BG387),IF(OR(終値!E387&gt;=$BI387,AND($BH387&lt;$BJ387,$BG387&gt;=$BK387)),"二番底W▲","二番底W形成"),IF(AND($BL387&gt;=2,ABS($BO387-$BP387)/$BP387&lt;=BB設定!$B$12,$BQ387&lt;=MIN($BP387,$BO387)*(1-BB設定!$B$13),終値!E387&lt;$BO387),IF(OR(終値!E387&lt;=$BQ387,AND($BP387&gt;$BR387,$BO387&lt;=$BS387)),"二番天井M▼","二番天井M形成"),"－")),"－")</f>
      </c>
    </row>
    <row r="388">
      <c r="B388" s="684">
        <f>IF(終値!A388="","",IF(AND(安値!G388&lt;安値!F388,安値!G388&lt;安値!E388,安値!G388&lt;安値!H388,安値!G388&lt;安値!I388),2,""))</f>
      </c>
      <c r="C388" s="684">
        <f>IF(終値!A388="","",IF(AND(安値!H388&lt;安値!G388,安値!H388&lt;安値!F388,安値!H388&lt;安値!I388,安値!H388&lt;安値!J388),3,""))</f>
      </c>
      <c r="D388" s="684">
        <f>IF(終値!A388="","",IF(AND(安値!I388&lt;安値!H388,安値!I388&lt;安値!G388,安値!I388&lt;安値!J388,安値!I388&lt;安値!K388),4,""))</f>
      </c>
      <c r="E388" s="684">
        <f>IF(終値!A388="","",IF(AND(安値!J388&lt;安値!I388,安値!J388&lt;安値!H388,安値!J388&lt;安値!K388,安値!J388&lt;安値!L388),5,""))</f>
      </c>
      <c r="F388" s="684">
        <f>IF(終値!A388="","",IF(AND(安値!K388&lt;安値!J388,安値!K388&lt;安値!I388,安値!K388&lt;安値!L388,安値!K388&lt;安値!M388),6,""))</f>
      </c>
      <c r="G388" s="684">
        <f>IF(終値!A388="","",IF(AND(安値!L388&lt;安値!K388,安値!L388&lt;安値!J388,安値!L388&lt;安値!M388,安値!L388&lt;安値!N388),7,""))</f>
      </c>
      <c r="H388" s="684">
        <f>IF(終値!A388="","",IF(AND(安値!M388&lt;安値!L388,安値!M388&lt;安値!K388,安値!M388&lt;安値!N388,安値!M388&lt;安値!O388),8,""))</f>
      </c>
      <c r="I388" s="684">
        <f>IF(終値!A388="","",IF(AND(安値!N388&lt;安値!M388,安値!N388&lt;安値!L388,安値!N388&lt;安値!O388,安値!N388&lt;安値!P388),9,""))</f>
      </c>
      <c r="J388" s="684">
        <f>IF(終値!A388="","",IF(AND(安値!O388&lt;安値!N388,安値!O388&lt;安値!M388,安値!O388&lt;安値!P388,安値!O388&lt;安値!Q388),10,""))</f>
      </c>
      <c r="K388" s="684">
        <f>IF(終値!A388="","",IF(AND(安値!P388&lt;安値!O388,安値!P388&lt;安値!N388,安値!P388&lt;安値!Q388,安値!P388&lt;安値!R388),11,""))</f>
      </c>
      <c r="L388" s="684">
        <f>IF(終値!A388="","",IF(AND(安値!Q388&lt;安値!P388,安値!Q388&lt;安値!O388,安値!Q388&lt;安値!R388,安値!Q388&lt;安値!S388),12,""))</f>
      </c>
      <c r="M388" s="684">
        <f>IF(終値!A388="","",IF(AND(安値!R388&lt;安値!Q388,安値!R388&lt;安値!P388,安値!R388&lt;安値!S388,安値!R388&lt;安値!T388),13,""))</f>
      </c>
      <c r="N388" s="684">
        <f>IF(終値!A388="","",IF(AND(安値!S388&lt;安値!R388,安値!S388&lt;安値!Q388,安値!S388&lt;安値!T388,安値!S388&lt;安値!U388),14,""))</f>
      </c>
      <c r="O388" s="684">
        <f>IF(終値!A388="","",IF(AND(安値!T388&lt;安値!S388,安値!T388&lt;安値!R388,安値!T388&lt;安値!U388,安値!T388&lt;安値!V388),15,""))</f>
      </c>
      <c r="P388" s="684">
        <f>IF(終値!A388="","",IF(AND(安値!U388&lt;安値!T388,安値!U388&lt;安値!S388,安値!U388&lt;安値!V388,安値!U388&lt;安値!W388),16,""))</f>
      </c>
      <c r="Q388" s="684">
        <f>IF(終値!A388="","",IF(AND(安値!V388&lt;安値!U388,安値!V388&lt;安値!T388,安値!V388&lt;安値!W388,安値!V388&lt;安値!X388),17,""))</f>
      </c>
      <c r="R388" s="684">
        <f>IF(終値!A388="","",IF(AND(安値!W388&lt;安値!V388,安値!W388&lt;安値!U388,安値!W388&lt;安値!X388,安値!W388&lt;安値!Y388),18,""))</f>
      </c>
      <c r="S388" s="684">
        <f>IF(終値!A388="","",IF(AND(安値!X388&lt;安値!W388,安値!X388&lt;安値!V388,安値!X388&lt;安値!Y388,安値!X388&lt;安値!Z388),19,""))</f>
      </c>
      <c r="T388" s="684">
        <f>IF(終値!A388="","",IF(AND(安値!Y388&lt;安値!X388,安値!Y388&lt;安値!W388,安値!Y388&lt;安値!Z388,安値!Y388&lt;安値!AA388),20,""))</f>
      </c>
      <c r="U388" s="684">
        <f>IF(終値!A388="","",IF(AND(安値!Z388&lt;安値!Y388,安値!Z388&lt;安値!X388,安値!Z388&lt;安値!AA388,安値!Z388&lt;安値!AB388),21,""))</f>
      </c>
      <c r="V388" s="684">
        <f>IF(終値!A388="","",IF(AND(安値!AA388&lt;安値!Z388,安値!AA388&lt;安値!Y388,安値!AA388&lt;安値!AB388,安値!AA388&lt;安値!AC388),22,""))</f>
      </c>
      <c r="W388" s="684">
        <f>IF(終値!A388="","",IF(AND(安値!AB388&lt;安値!AA388,安値!AB388&lt;安値!Z388,安値!AB388&lt;安値!AC388,安値!AB388&lt;安値!AD388),23,""))</f>
      </c>
      <c r="X388" s="684">
        <f>IF(終値!A388="","",IF(AND(安値!AC388&lt;安値!AB388,安値!AC388&lt;安値!AA388,安値!AC388&lt;安値!AD388,安値!AC388&lt;安値!AE388),24,""))</f>
      </c>
      <c r="Y388" s="684">
        <f>IF(終値!A388="","",IF(AND(安値!AD388&lt;安値!AC388,安値!AD388&lt;安値!AB388,安値!AD388&lt;安値!AE388,安値!AD388&lt;安値!AF388),25,""))</f>
      </c>
      <c r="Z388" s="684">
        <f>IF(終値!A388="","",IF(AND(安値!AE388&lt;安値!AD388,安値!AE388&lt;安値!AC388,安値!AE388&lt;安値!AF388,安値!AE388&lt;安値!AG388),26,""))</f>
      </c>
      <c r="AA388" s="684">
        <f>IF(終値!A388="","",IF(AND(安値!AF388&lt;安値!AE388,安値!AF388&lt;安値!AD388,安値!AF388&lt;安値!AG388,安値!AF388&lt;安値!AH388),27,""))</f>
      </c>
      <c r="AB388" s="684">
        <f>IF(終値!A388="","",IF(AND(安値!AG388&lt;安値!AF388,安値!AG388&lt;安値!AE388,安値!AG388&lt;安値!AH388,安値!AG388&lt;安値!AI388),28,""))</f>
      </c>
      <c r="AC388" s="684">
        <f>IF(終値!A388="","",IF(AND(高値!G388&gt;高値!F388,高値!G388&gt;高値!E388,高値!G388&gt;高値!H388,高値!G388&gt;高値!I388),2,""))</f>
      </c>
      <c r="AD388" s="684">
        <f>IF(終値!A388="","",IF(AND(高値!H388&gt;高値!G388,高値!H388&gt;高値!F388,高値!H388&gt;高値!I388,高値!H388&gt;高値!J388),3,""))</f>
      </c>
      <c r="AE388" s="684">
        <f>IF(終値!A388="","",IF(AND(高値!I388&gt;高値!H388,高値!I388&gt;高値!G388,高値!I388&gt;高値!J388,高値!I388&gt;高値!K388),4,""))</f>
      </c>
      <c r="AF388" s="684">
        <f>IF(終値!A388="","",IF(AND(高値!J388&gt;高値!I388,高値!J388&gt;高値!H388,高値!J388&gt;高値!K388,高値!J388&gt;高値!L388),5,""))</f>
      </c>
      <c r="AG388" s="684">
        <f>IF(終値!A388="","",IF(AND(高値!K388&gt;高値!J388,高値!K388&gt;高値!I388,高値!K388&gt;高値!L388,高値!K388&gt;高値!M388),6,""))</f>
      </c>
      <c r="AH388" s="684">
        <f>IF(終値!A388="","",IF(AND(高値!L388&gt;高値!K388,高値!L388&gt;高値!J388,高値!L388&gt;高値!M388,高値!L388&gt;高値!N388),7,""))</f>
      </c>
      <c r="AI388" s="684">
        <f>IF(終値!A388="","",IF(AND(高値!M388&gt;高値!L388,高値!M388&gt;高値!K388,高値!M388&gt;高値!N388,高値!M388&gt;高値!O388),8,""))</f>
      </c>
      <c r="AJ388" s="684">
        <f>IF(終値!A388="","",IF(AND(高値!N388&gt;高値!M388,高値!N388&gt;高値!L388,高値!N388&gt;高値!O388,高値!N388&gt;高値!P388),9,""))</f>
      </c>
      <c r="AK388" s="684">
        <f>IF(終値!A388="","",IF(AND(高値!O388&gt;高値!N388,高値!O388&gt;高値!M388,高値!O388&gt;高値!P388,高値!O388&gt;高値!Q388),10,""))</f>
      </c>
      <c r="AL388" s="684">
        <f>IF(終値!A388="","",IF(AND(高値!P388&gt;高値!O388,高値!P388&gt;高値!N388,高値!P388&gt;高値!Q388,高値!P388&gt;高値!R388),11,""))</f>
      </c>
      <c r="AM388" s="684">
        <f>IF(終値!A388="","",IF(AND(高値!Q388&gt;高値!P388,高値!Q388&gt;高値!O388,高値!Q388&gt;高値!R388,高値!Q388&gt;高値!S388),12,""))</f>
      </c>
      <c r="AN388" s="684">
        <f>IF(終値!A388="","",IF(AND(高値!R388&gt;高値!Q388,高値!R388&gt;高値!P388,高値!R388&gt;高値!S388,高値!R388&gt;高値!T388),13,""))</f>
      </c>
      <c r="AO388" s="684">
        <f>IF(終値!A388="","",IF(AND(高値!S388&gt;高値!R388,高値!S388&gt;高値!Q388,高値!S388&gt;高値!T388,高値!S388&gt;高値!U388),14,""))</f>
      </c>
      <c r="AP388" s="684">
        <f>IF(終値!A388="","",IF(AND(高値!T388&gt;高値!S388,高値!T388&gt;高値!R388,高値!T388&gt;高値!U388,高値!T388&gt;高値!V388),15,""))</f>
      </c>
      <c r="AQ388" s="684">
        <f>IF(終値!A388="","",IF(AND(高値!U388&gt;高値!T388,高値!U388&gt;高値!S388,高値!U388&gt;高値!V388,高値!U388&gt;高値!W388),16,""))</f>
      </c>
      <c r="AR388" s="684">
        <f>IF(終値!A388="","",IF(AND(高値!V388&gt;高値!U388,高値!V388&gt;高値!T388,高値!V388&gt;高値!W388,高値!V388&gt;高値!X388),17,""))</f>
      </c>
      <c r="AS388" s="684">
        <f>IF(終値!A388="","",IF(AND(高値!W388&gt;高値!V388,高値!W388&gt;高値!U388,高値!W388&gt;高値!X388,高値!W388&gt;高値!Y388),18,""))</f>
      </c>
      <c r="AT388" s="684">
        <f>IF(終値!A388="","",IF(AND(高値!X388&gt;高値!W388,高値!X388&gt;高値!V388,高値!X388&gt;高値!Y388,高値!X388&gt;高値!Z388),19,""))</f>
      </c>
      <c r="AU388" s="684">
        <f>IF(終値!A388="","",IF(AND(高値!Y388&gt;高値!X388,高値!Y388&gt;高値!W388,高値!Y388&gt;高値!Z388,高値!Y388&gt;高値!AA388),20,""))</f>
      </c>
      <c r="AV388" s="684">
        <f>IF(終値!A388="","",IF(AND(高値!Z388&gt;高値!Y388,高値!Z388&gt;高値!X388,高値!Z388&gt;高値!AA388,高値!Z388&gt;高値!AB388),21,""))</f>
      </c>
      <c r="AW388" s="684">
        <f>IF(終値!A388="","",IF(AND(高値!AA388&gt;高値!Z388,高値!AA388&gt;高値!Y388,高値!AA388&gt;高値!AB388,高値!AA388&gt;高値!AC388),22,""))</f>
      </c>
      <c r="AX388" s="684">
        <f>IF(終値!A388="","",IF(AND(高値!AB388&gt;高値!AA388,高値!AB388&gt;高値!Z388,高値!AB388&gt;高値!AC388,高値!AB388&gt;高値!AD388),23,""))</f>
      </c>
      <c r="AY388" s="684">
        <f>IF(終値!A388="","",IF(AND(高値!AC388&gt;高値!AB388,高値!AC388&gt;高値!AA388,高値!AC388&gt;高値!AD388,高値!AC388&gt;高値!AE388),24,""))</f>
      </c>
      <c r="AZ388" s="684">
        <f>IF(終値!A388="","",IF(AND(高値!AD388&gt;高値!AC388,高値!AD388&gt;高値!AB388,高値!AD388&gt;高値!AE388,高値!AD388&gt;高値!AF388),25,""))</f>
      </c>
      <c r="BA388" s="684">
        <f>IF(終値!A388="","",IF(AND(高値!AE388&gt;高値!AD388,高値!AE388&gt;高値!AC388,高値!AE388&gt;高値!AF388,高値!AE388&gt;高値!AG388),26,""))</f>
      </c>
      <c r="BB388" s="684">
        <f>IF(終値!A388="","",IF(AND(高値!AF388&gt;高値!AE388,高値!AF388&gt;高値!AD388,高値!AF388&gt;高値!AG388,高値!AF388&gt;高値!AH388),27,""))</f>
      </c>
      <c r="BC388" s="684">
        <f>IF(終値!A388="","",IF(AND(高値!AG388&gt;高値!AF388,高値!AG388&gt;高値!AE388,高値!AG388&gt;高値!AH388,高値!AG388&gt;高値!AI388),28,""))</f>
      </c>
      <c r="BD388" s="684">
        <f>COUNT($B388:$AB388)</f>
      </c>
      <c r="BE388" s="684">
        <f>IF($BD388&gt;=2,MIN($B388:$AB388),"")</f>
      </c>
      <c r="BF388" s="684">
        <f>IF($BD388&gt;=2,SMALL($B388:$AB388,2),"")</f>
      </c>
      <c r="BG388" s="684">
        <f>IF($BE388="","",INDEX(安値!$E388:$CZ388,1,$BE388+1))</f>
      </c>
      <c r="BH388" s="684">
        <f>IF($BF388="","",INDEX(安値!$E388:$CZ388,1,$BF388+1))</f>
      </c>
      <c r="BI388" s="684">
        <f>IF($BF388="","",MAX(INDEX(高値!$E388:$CZ388,1,$BE388+1):INDEX(高値!$E388:$CZ388,1,$BF388+1)))</f>
      </c>
      <c r="BJ388" s="684">
        <f>IF($BF388="","",AVERAGE(INDEX(終値!$E388:$CZ388,1,$BF388+1):INDEX(終値!$E388:$CZ388,1,$BF388+20))-2*STDEVP(INDEX(終値!$E388:$CZ388,1,$BF388+1):INDEX(終値!$E388:$CZ388,1,$BF388+20)))</f>
      </c>
      <c r="BK388" s="684">
        <f>IF($BE388="","",AVERAGE(INDEX(終値!$E388:$CZ388,1,$BE388+1):INDEX(終値!$E388:$CZ388,1,$BE388+20))-2*STDEVP(INDEX(終値!$E388:$CZ388,1,$BE388+1):INDEX(終値!$E388:$CZ388,1,$BE388+20)))</f>
      </c>
      <c r="BL388" s="684">
        <f>COUNT($AC388:$BC388)</f>
      </c>
      <c r="BM388" s="684">
        <f>IF($BL388&gt;=2,MIN($AC388:$BC388),"")</f>
      </c>
      <c r="BN388" s="684">
        <f>IF($BL388&gt;=2,SMALL($AC388:$BC388,2),"")</f>
      </c>
      <c r="BO388" s="684">
        <f>IF($BM388="","",INDEX(高値!$E388:$CZ388,1,$BM388+1))</f>
      </c>
      <c r="BP388" s="684">
        <f>IF($BN388="","",INDEX(高値!$E388:$CZ388,1,$BN388+1))</f>
      </c>
      <c r="BQ388" s="684">
        <f>IF($BN388="","",MIN(INDEX(安値!$E388:$CZ388,1,$BM388+1):INDEX(安値!$E388:$CZ388,1,$BN388+1)))</f>
      </c>
      <c r="BR388" s="684">
        <f>IF($BN388="","",AVERAGE(INDEX(終値!$E388:$CZ388,1,$BN388+1):INDEX(終値!$E388:$CZ388,1,$BN388+20))+2*STDEVP(INDEX(終値!$E388:$CZ388,1,$BN388+1):INDEX(終値!$E388:$CZ388,1,$BN388+20)))</f>
      </c>
      <c r="BS388" s="684">
        <f>IF($BM388="","",AVERAGE(INDEX(終値!$E388:$CZ388,1,$BM388+1):INDEX(終値!$E388:$CZ388,1,$BM388+20))+2*STDEVP(INDEX(終値!$E388:$CZ388,1,$BM388+1):INDEX(終値!$E388:$CZ388,1,$BM388+20)))</f>
      </c>
      <c r="BT388" s="681">
        <f>IFERROR(IF(AND($BD388&gt;=2,ABS($BG388-$BH388)/$BH388&lt;=BB設定!$B$12,$BI388&gt;=MAX($BH388,$BG388)*(1+BB設定!$B$13),終値!E388&gt;$BG388),IF(OR(終値!E388&gt;=$BI388,AND($BH388&lt;$BJ388,$BG388&gt;=$BK388)),"二番底W▲","二番底W形成"),IF(AND($BL388&gt;=2,ABS($BO388-$BP388)/$BP388&lt;=BB設定!$B$12,$BQ388&lt;=MIN($BP388,$BO388)*(1-BB設定!$B$13),終値!E388&lt;$BO388),IF(OR(終値!E388&lt;=$BQ388,AND($BP388&gt;$BR388,$BO388&lt;=$BS388)),"二番天井M▼","二番天井M形成"),"－")),"－")</f>
      </c>
    </row>
    <row r="389">
      <c r="B389" s="684">
        <f>IF(終値!A389="","",IF(AND(安値!G389&lt;安値!F389,安値!G389&lt;安値!E389,安値!G389&lt;安値!H389,安値!G389&lt;安値!I389),2,""))</f>
      </c>
      <c r="C389" s="684">
        <f>IF(終値!A389="","",IF(AND(安値!H389&lt;安値!G389,安値!H389&lt;安値!F389,安値!H389&lt;安値!I389,安値!H389&lt;安値!J389),3,""))</f>
      </c>
      <c r="D389" s="684">
        <f>IF(終値!A389="","",IF(AND(安値!I389&lt;安値!H389,安値!I389&lt;安値!G389,安値!I389&lt;安値!J389,安値!I389&lt;安値!K389),4,""))</f>
      </c>
      <c r="E389" s="684">
        <f>IF(終値!A389="","",IF(AND(安値!J389&lt;安値!I389,安値!J389&lt;安値!H389,安値!J389&lt;安値!K389,安値!J389&lt;安値!L389),5,""))</f>
      </c>
      <c r="F389" s="684">
        <f>IF(終値!A389="","",IF(AND(安値!K389&lt;安値!J389,安値!K389&lt;安値!I389,安値!K389&lt;安値!L389,安値!K389&lt;安値!M389),6,""))</f>
      </c>
      <c r="G389" s="684">
        <f>IF(終値!A389="","",IF(AND(安値!L389&lt;安値!K389,安値!L389&lt;安値!J389,安値!L389&lt;安値!M389,安値!L389&lt;安値!N389),7,""))</f>
      </c>
      <c r="H389" s="684">
        <f>IF(終値!A389="","",IF(AND(安値!M389&lt;安値!L389,安値!M389&lt;安値!K389,安値!M389&lt;安値!N389,安値!M389&lt;安値!O389),8,""))</f>
      </c>
      <c r="I389" s="684">
        <f>IF(終値!A389="","",IF(AND(安値!N389&lt;安値!M389,安値!N389&lt;安値!L389,安値!N389&lt;安値!O389,安値!N389&lt;安値!P389),9,""))</f>
      </c>
      <c r="J389" s="684">
        <f>IF(終値!A389="","",IF(AND(安値!O389&lt;安値!N389,安値!O389&lt;安値!M389,安値!O389&lt;安値!P389,安値!O389&lt;安値!Q389),10,""))</f>
      </c>
      <c r="K389" s="684">
        <f>IF(終値!A389="","",IF(AND(安値!P389&lt;安値!O389,安値!P389&lt;安値!N389,安値!P389&lt;安値!Q389,安値!P389&lt;安値!R389),11,""))</f>
      </c>
      <c r="L389" s="684">
        <f>IF(終値!A389="","",IF(AND(安値!Q389&lt;安値!P389,安値!Q389&lt;安値!O389,安値!Q389&lt;安値!R389,安値!Q389&lt;安値!S389),12,""))</f>
      </c>
      <c r="M389" s="684">
        <f>IF(終値!A389="","",IF(AND(安値!R389&lt;安値!Q389,安値!R389&lt;安値!P389,安値!R389&lt;安値!S389,安値!R389&lt;安値!T389),13,""))</f>
      </c>
      <c r="N389" s="684">
        <f>IF(終値!A389="","",IF(AND(安値!S389&lt;安値!R389,安値!S389&lt;安値!Q389,安値!S389&lt;安値!T389,安値!S389&lt;安値!U389),14,""))</f>
      </c>
      <c r="O389" s="684">
        <f>IF(終値!A389="","",IF(AND(安値!T389&lt;安値!S389,安値!T389&lt;安値!R389,安値!T389&lt;安値!U389,安値!T389&lt;安値!V389),15,""))</f>
      </c>
      <c r="P389" s="684">
        <f>IF(終値!A389="","",IF(AND(安値!U389&lt;安値!T389,安値!U389&lt;安値!S389,安値!U389&lt;安値!V389,安値!U389&lt;安値!W389),16,""))</f>
      </c>
      <c r="Q389" s="684">
        <f>IF(終値!A389="","",IF(AND(安値!V389&lt;安値!U389,安値!V389&lt;安値!T389,安値!V389&lt;安値!W389,安値!V389&lt;安値!X389),17,""))</f>
      </c>
      <c r="R389" s="684">
        <f>IF(終値!A389="","",IF(AND(安値!W389&lt;安値!V389,安値!W389&lt;安値!U389,安値!W389&lt;安値!X389,安値!W389&lt;安値!Y389),18,""))</f>
      </c>
      <c r="S389" s="684">
        <f>IF(終値!A389="","",IF(AND(安値!X389&lt;安値!W389,安値!X389&lt;安値!V389,安値!X389&lt;安値!Y389,安値!X389&lt;安値!Z389),19,""))</f>
      </c>
      <c r="T389" s="684">
        <f>IF(終値!A389="","",IF(AND(安値!Y389&lt;安値!X389,安値!Y389&lt;安値!W389,安値!Y389&lt;安値!Z389,安値!Y389&lt;安値!AA389),20,""))</f>
      </c>
      <c r="U389" s="684">
        <f>IF(終値!A389="","",IF(AND(安値!Z389&lt;安値!Y389,安値!Z389&lt;安値!X389,安値!Z389&lt;安値!AA389,安値!Z389&lt;安値!AB389),21,""))</f>
      </c>
      <c r="V389" s="684">
        <f>IF(終値!A389="","",IF(AND(安値!AA389&lt;安値!Z389,安値!AA389&lt;安値!Y389,安値!AA389&lt;安値!AB389,安値!AA389&lt;安値!AC389),22,""))</f>
      </c>
      <c r="W389" s="684">
        <f>IF(終値!A389="","",IF(AND(安値!AB389&lt;安値!AA389,安値!AB389&lt;安値!Z389,安値!AB389&lt;安値!AC389,安値!AB389&lt;安値!AD389),23,""))</f>
      </c>
      <c r="X389" s="684">
        <f>IF(終値!A389="","",IF(AND(安値!AC389&lt;安値!AB389,安値!AC389&lt;安値!AA389,安値!AC389&lt;安値!AD389,安値!AC389&lt;安値!AE389),24,""))</f>
      </c>
      <c r="Y389" s="684">
        <f>IF(終値!A389="","",IF(AND(安値!AD389&lt;安値!AC389,安値!AD389&lt;安値!AB389,安値!AD389&lt;安値!AE389,安値!AD389&lt;安値!AF389),25,""))</f>
      </c>
      <c r="Z389" s="684">
        <f>IF(終値!A389="","",IF(AND(安値!AE389&lt;安値!AD389,安値!AE389&lt;安値!AC389,安値!AE389&lt;安値!AF389,安値!AE389&lt;安値!AG389),26,""))</f>
      </c>
      <c r="AA389" s="684">
        <f>IF(終値!A389="","",IF(AND(安値!AF389&lt;安値!AE389,安値!AF389&lt;安値!AD389,安値!AF389&lt;安値!AG389,安値!AF389&lt;安値!AH389),27,""))</f>
      </c>
      <c r="AB389" s="684">
        <f>IF(終値!A389="","",IF(AND(安値!AG389&lt;安値!AF389,安値!AG389&lt;安値!AE389,安値!AG389&lt;安値!AH389,安値!AG389&lt;安値!AI389),28,""))</f>
      </c>
      <c r="AC389" s="684">
        <f>IF(終値!A389="","",IF(AND(高値!G389&gt;高値!F389,高値!G389&gt;高値!E389,高値!G389&gt;高値!H389,高値!G389&gt;高値!I389),2,""))</f>
      </c>
      <c r="AD389" s="684">
        <f>IF(終値!A389="","",IF(AND(高値!H389&gt;高値!G389,高値!H389&gt;高値!F389,高値!H389&gt;高値!I389,高値!H389&gt;高値!J389),3,""))</f>
      </c>
      <c r="AE389" s="684">
        <f>IF(終値!A389="","",IF(AND(高値!I389&gt;高値!H389,高値!I389&gt;高値!G389,高値!I389&gt;高値!J389,高値!I389&gt;高値!K389),4,""))</f>
      </c>
      <c r="AF389" s="684">
        <f>IF(終値!A389="","",IF(AND(高値!J389&gt;高値!I389,高値!J389&gt;高値!H389,高値!J389&gt;高値!K389,高値!J389&gt;高値!L389),5,""))</f>
      </c>
      <c r="AG389" s="684">
        <f>IF(終値!A389="","",IF(AND(高値!K389&gt;高値!J389,高値!K389&gt;高値!I389,高値!K389&gt;高値!L389,高値!K389&gt;高値!M389),6,""))</f>
      </c>
      <c r="AH389" s="684">
        <f>IF(終値!A389="","",IF(AND(高値!L389&gt;高値!K389,高値!L389&gt;高値!J389,高値!L389&gt;高値!M389,高値!L389&gt;高値!N389),7,""))</f>
      </c>
      <c r="AI389" s="684">
        <f>IF(終値!A389="","",IF(AND(高値!M389&gt;高値!L389,高値!M389&gt;高値!K389,高値!M389&gt;高値!N389,高値!M389&gt;高値!O389),8,""))</f>
      </c>
      <c r="AJ389" s="684">
        <f>IF(終値!A389="","",IF(AND(高値!N389&gt;高値!M389,高値!N389&gt;高値!L389,高値!N389&gt;高値!O389,高値!N389&gt;高値!P389),9,""))</f>
      </c>
      <c r="AK389" s="684">
        <f>IF(終値!A389="","",IF(AND(高値!O389&gt;高値!N389,高値!O389&gt;高値!M389,高値!O389&gt;高値!P389,高値!O389&gt;高値!Q389),10,""))</f>
      </c>
      <c r="AL389" s="684">
        <f>IF(終値!A389="","",IF(AND(高値!P389&gt;高値!O389,高値!P389&gt;高値!N389,高値!P389&gt;高値!Q389,高値!P389&gt;高値!R389),11,""))</f>
      </c>
      <c r="AM389" s="684">
        <f>IF(終値!A389="","",IF(AND(高値!Q389&gt;高値!P389,高値!Q389&gt;高値!O389,高値!Q389&gt;高値!R389,高値!Q389&gt;高値!S389),12,""))</f>
      </c>
      <c r="AN389" s="684">
        <f>IF(終値!A389="","",IF(AND(高値!R389&gt;高値!Q389,高値!R389&gt;高値!P389,高値!R389&gt;高値!S389,高値!R389&gt;高値!T389),13,""))</f>
      </c>
      <c r="AO389" s="684">
        <f>IF(終値!A389="","",IF(AND(高値!S389&gt;高値!R389,高値!S389&gt;高値!Q389,高値!S389&gt;高値!T389,高値!S389&gt;高値!U389),14,""))</f>
      </c>
      <c r="AP389" s="684">
        <f>IF(終値!A389="","",IF(AND(高値!T389&gt;高値!S389,高値!T389&gt;高値!R389,高値!T389&gt;高値!U389,高値!T389&gt;高値!V389),15,""))</f>
      </c>
      <c r="AQ389" s="684">
        <f>IF(終値!A389="","",IF(AND(高値!U389&gt;高値!T389,高値!U389&gt;高値!S389,高値!U389&gt;高値!V389,高値!U389&gt;高値!W389),16,""))</f>
      </c>
      <c r="AR389" s="684">
        <f>IF(終値!A389="","",IF(AND(高値!V389&gt;高値!U389,高値!V389&gt;高値!T389,高値!V389&gt;高値!W389,高値!V389&gt;高値!X389),17,""))</f>
      </c>
      <c r="AS389" s="684">
        <f>IF(終値!A389="","",IF(AND(高値!W389&gt;高値!V389,高値!W389&gt;高値!U389,高値!W389&gt;高値!X389,高値!W389&gt;高値!Y389),18,""))</f>
      </c>
      <c r="AT389" s="684">
        <f>IF(終値!A389="","",IF(AND(高値!X389&gt;高値!W389,高値!X389&gt;高値!V389,高値!X389&gt;高値!Y389,高値!X389&gt;高値!Z389),19,""))</f>
      </c>
      <c r="AU389" s="684">
        <f>IF(終値!A389="","",IF(AND(高値!Y389&gt;高値!X389,高値!Y389&gt;高値!W389,高値!Y389&gt;高値!Z389,高値!Y389&gt;高値!AA389),20,""))</f>
      </c>
      <c r="AV389" s="684">
        <f>IF(終値!A389="","",IF(AND(高値!Z389&gt;高値!Y389,高値!Z389&gt;高値!X389,高値!Z389&gt;高値!AA389,高値!Z389&gt;高値!AB389),21,""))</f>
      </c>
      <c r="AW389" s="684">
        <f>IF(終値!A389="","",IF(AND(高値!AA389&gt;高値!Z389,高値!AA389&gt;高値!Y389,高値!AA389&gt;高値!AB389,高値!AA389&gt;高値!AC389),22,""))</f>
      </c>
      <c r="AX389" s="684">
        <f>IF(終値!A389="","",IF(AND(高値!AB389&gt;高値!AA389,高値!AB389&gt;高値!Z389,高値!AB389&gt;高値!AC389,高値!AB389&gt;高値!AD389),23,""))</f>
      </c>
      <c r="AY389" s="684">
        <f>IF(終値!A389="","",IF(AND(高値!AC389&gt;高値!AB389,高値!AC389&gt;高値!AA389,高値!AC389&gt;高値!AD389,高値!AC389&gt;高値!AE389),24,""))</f>
      </c>
      <c r="AZ389" s="684">
        <f>IF(終値!A389="","",IF(AND(高値!AD389&gt;高値!AC389,高値!AD389&gt;高値!AB389,高値!AD389&gt;高値!AE389,高値!AD389&gt;高値!AF389),25,""))</f>
      </c>
      <c r="BA389" s="684">
        <f>IF(終値!A389="","",IF(AND(高値!AE389&gt;高値!AD389,高値!AE389&gt;高値!AC389,高値!AE389&gt;高値!AF389,高値!AE389&gt;高値!AG389),26,""))</f>
      </c>
      <c r="BB389" s="684">
        <f>IF(終値!A389="","",IF(AND(高値!AF389&gt;高値!AE389,高値!AF389&gt;高値!AD389,高値!AF389&gt;高値!AG389,高値!AF389&gt;高値!AH389),27,""))</f>
      </c>
      <c r="BC389" s="684">
        <f>IF(終値!A389="","",IF(AND(高値!AG389&gt;高値!AF389,高値!AG389&gt;高値!AE389,高値!AG389&gt;高値!AH389,高値!AG389&gt;高値!AI389),28,""))</f>
      </c>
      <c r="BD389" s="684">
        <f>COUNT($B389:$AB389)</f>
      </c>
      <c r="BE389" s="684">
        <f>IF($BD389&gt;=2,MIN($B389:$AB389),"")</f>
      </c>
      <c r="BF389" s="684">
        <f>IF($BD389&gt;=2,SMALL($B389:$AB389,2),"")</f>
      </c>
      <c r="BG389" s="684">
        <f>IF($BE389="","",INDEX(安値!$E389:$CZ389,1,$BE389+1))</f>
      </c>
      <c r="BH389" s="684">
        <f>IF($BF389="","",INDEX(安値!$E389:$CZ389,1,$BF389+1))</f>
      </c>
      <c r="BI389" s="684">
        <f>IF($BF389="","",MAX(INDEX(高値!$E389:$CZ389,1,$BE389+1):INDEX(高値!$E389:$CZ389,1,$BF389+1)))</f>
      </c>
      <c r="BJ389" s="684">
        <f>IF($BF389="","",AVERAGE(INDEX(終値!$E389:$CZ389,1,$BF389+1):INDEX(終値!$E389:$CZ389,1,$BF389+20))-2*STDEVP(INDEX(終値!$E389:$CZ389,1,$BF389+1):INDEX(終値!$E389:$CZ389,1,$BF389+20)))</f>
      </c>
      <c r="BK389" s="684">
        <f>IF($BE389="","",AVERAGE(INDEX(終値!$E389:$CZ389,1,$BE389+1):INDEX(終値!$E389:$CZ389,1,$BE389+20))-2*STDEVP(INDEX(終値!$E389:$CZ389,1,$BE389+1):INDEX(終値!$E389:$CZ389,1,$BE389+20)))</f>
      </c>
      <c r="BL389" s="684">
        <f>COUNT($AC389:$BC389)</f>
      </c>
      <c r="BM389" s="684">
        <f>IF($BL389&gt;=2,MIN($AC389:$BC389),"")</f>
      </c>
      <c r="BN389" s="684">
        <f>IF($BL389&gt;=2,SMALL($AC389:$BC389,2),"")</f>
      </c>
      <c r="BO389" s="684">
        <f>IF($BM389="","",INDEX(高値!$E389:$CZ389,1,$BM389+1))</f>
      </c>
      <c r="BP389" s="684">
        <f>IF($BN389="","",INDEX(高値!$E389:$CZ389,1,$BN389+1))</f>
      </c>
      <c r="BQ389" s="684">
        <f>IF($BN389="","",MIN(INDEX(安値!$E389:$CZ389,1,$BM389+1):INDEX(安値!$E389:$CZ389,1,$BN389+1)))</f>
      </c>
      <c r="BR389" s="684">
        <f>IF($BN389="","",AVERAGE(INDEX(終値!$E389:$CZ389,1,$BN389+1):INDEX(終値!$E389:$CZ389,1,$BN389+20))+2*STDEVP(INDEX(終値!$E389:$CZ389,1,$BN389+1):INDEX(終値!$E389:$CZ389,1,$BN389+20)))</f>
      </c>
      <c r="BS389" s="684">
        <f>IF($BM389="","",AVERAGE(INDEX(終値!$E389:$CZ389,1,$BM389+1):INDEX(終値!$E389:$CZ389,1,$BM389+20))+2*STDEVP(INDEX(終値!$E389:$CZ389,1,$BM389+1):INDEX(終値!$E389:$CZ389,1,$BM389+20)))</f>
      </c>
      <c r="BT389" s="681">
        <f>IFERROR(IF(AND($BD389&gt;=2,ABS($BG389-$BH389)/$BH389&lt;=BB設定!$B$12,$BI389&gt;=MAX($BH389,$BG389)*(1+BB設定!$B$13),終値!E389&gt;$BG389),IF(OR(終値!E389&gt;=$BI389,AND($BH389&lt;$BJ389,$BG389&gt;=$BK389)),"二番底W▲","二番底W形成"),IF(AND($BL389&gt;=2,ABS($BO389-$BP389)/$BP389&lt;=BB設定!$B$12,$BQ389&lt;=MIN($BP389,$BO389)*(1-BB設定!$B$13),終値!E389&lt;$BO389),IF(OR(終値!E389&lt;=$BQ389,AND($BP389&gt;$BR389,$BO389&lt;=$BS389)),"二番天井M▼","二番天井M形成"),"－")),"－")</f>
      </c>
    </row>
    <row r="390">
      <c r="B390" s="684">
        <f>IF(終値!A390="","",IF(AND(安値!G390&lt;安値!F390,安値!G390&lt;安値!E390,安値!G390&lt;安値!H390,安値!G390&lt;安値!I390),2,""))</f>
      </c>
      <c r="C390" s="684">
        <f>IF(終値!A390="","",IF(AND(安値!H390&lt;安値!G390,安値!H390&lt;安値!F390,安値!H390&lt;安値!I390,安値!H390&lt;安値!J390),3,""))</f>
      </c>
      <c r="D390" s="684">
        <f>IF(終値!A390="","",IF(AND(安値!I390&lt;安値!H390,安値!I390&lt;安値!G390,安値!I390&lt;安値!J390,安値!I390&lt;安値!K390),4,""))</f>
      </c>
      <c r="E390" s="684">
        <f>IF(終値!A390="","",IF(AND(安値!J390&lt;安値!I390,安値!J390&lt;安値!H390,安値!J390&lt;安値!K390,安値!J390&lt;安値!L390),5,""))</f>
      </c>
      <c r="F390" s="684">
        <f>IF(終値!A390="","",IF(AND(安値!K390&lt;安値!J390,安値!K390&lt;安値!I390,安値!K390&lt;安値!L390,安値!K390&lt;安値!M390),6,""))</f>
      </c>
      <c r="G390" s="684">
        <f>IF(終値!A390="","",IF(AND(安値!L390&lt;安値!K390,安値!L390&lt;安値!J390,安値!L390&lt;安値!M390,安値!L390&lt;安値!N390),7,""))</f>
      </c>
      <c r="H390" s="684">
        <f>IF(終値!A390="","",IF(AND(安値!M390&lt;安値!L390,安値!M390&lt;安値!K390,安値!M390&lt;安値!N390,安値!M390&lt;安値!O390),8,""))</f>
      </c>
      <c r="I390" s="684">
        <f>IF(終値!A390="","",IF(AND(安値!N390&lt;安値!M390,安値!N390&lt;安値!L390,安値!N390&lt;安値!O390,安値!N390&lt;安値!P390),9,""))</f>
      </c>
      <c r="J390" s="684">
        <f>IF(終値!A390="","",IF(AND(安値!O390&lt;安値!N390,安値!O390&lt;安値!M390,安値!O390&lt;安値!P390,安値!O390&lt;安値!Q390),10,""))</f>
      </c>
      <c r="K390" s="684">
        <f>IF(終値!A390="","",IF(AND(安値!P390&lt;安値!O390,安値!P390&lt;安値!N390,安値!P390&lt;安値!Q390,安値!P390&lt;安値!R390),11,""))</f>
      </c>
      <c r="L390" s="684">
        <f>IF(終値!A390="","",IF(AND(安値!Q390&lt;安値!P390,安値!Q390&lt;安値!O390,安値!Q390&lt;安値!R390,安値!Q390&lt;安値!S390),12,""))</f>
      </c>
      <c r="M390" s="684">
        <f>IF(終値!A390="","",IF(AND(安値!R390&lt;安値!Q390,安値!R390&lt;安値!P390,安値!R390&lt;安値!S390,安値!R390&lt;安値!T390),13,""))</f>
      </c>
      <c r="N390" s="684">
        <f>IF(終値!A390="","",IF(AND(安値!S390&lt;安値!R390,安値!S390&lt;安値!Q390,安値!S390&lt;安値!T390,安値!S390&lt;安値!U390),14,""))</f>
      </c>
      <c r="O390" s="684">
        <f>IF(終値!A390="","",IF(AND(安値!T390&lt;安値!S390,安値!T390&lt;安値!R390,安値!T390&lt;安値!U390,安値!T390&lt;安値!V390),15,""))</f>
      </c>
      <c r="P390" s="684">
        <f>IF(終値!A390="","",IF(AND(安値!U390&lt;安値!T390,安値!U390&lt;安値!S390,安値!U390&lt;安値!V390,安値!U390&lt;安値!W390),16,""))</f>
      </c>
      <c r="Q390" s="684">
        <f>IF(終値!A390="","",IF(AND(安値!V390&lt;安値!U390,安値!V390&lt;安値!T390,安値!V390&lt;安値!W390,安値!V390&lt;安値!X390),17,""))</f>
      </c>
      <c r="R390" s="684">
        <f>IF(終値!A390="","",IF(AND(安値!W390&lt;安値!V390,安値!W390&lt;安値!U390,安値!W390&lt;安値!X390,安値!W390&lt;安値!Y390),18,""))</f>
      </c>
      <c r="S390" s="684">
        <f>IF(終値!A390="","",IF(AND(安値!X390&lt;安値!W390,安値!X390&lt;安値!V390,安値!X390&lt;安値!Y390,安値!X390&lt;安値!Z390),19,""))</f>
      </c>
      <c r="T390" s="684">
        <f>IF(終値!A390="","",IF(AND(安値!Y390&lt;安値!X390,安値!Y390&lt;安値!W390,安値!Y390&lt;安値!Z390,安値!Y390&lt;安値!AA390),20,""))</f>
      </c>
      <c r="U390" s="684">
        <f>IF(終値!A390="","",IF(AND(安値!Z390&lt;安値!Y390,安値!Z390&lt;安値!X390,安値!Z390&lt;安値!AA390,安値!Z390&lt;安値!AB390),21,""))</f>
      </c>
      <c r="V390" s="684">
        <f>IF(終値!A390="","",IF(AND(安値!AA390&lt;安値!Z390,安値!AA390&lt;安値!Y390,安値!AA390&lt;安値!AB390,安値!AA390&lt;安値!AC390),22,""))</f>
      </c>
      <c r="W390" s="684">
        <f>IF(終値!A390="","",IF(AND(安値!AB390&lt;安値!AA390,安値!AB390&lt;安値!Z390,安値!AB390&lt;安値!AC390,安値!AB390&lt;安値!AD390),23,""))</f>
      </c>
      <c r="X390" s="684">
        <f>IF(終値!A390="","",IF(AND(安値!AC390&lt;安値!AB390,安値!AC390&lt;安値!AA390,安値!AC390&lt;安値!AD390,安値!AC390&lt;安値!AE390),24,""))</f>
      </c>
      <c r="Y390" s="684">
        <f>IF(終値!A390="","",IF(AND(安値!AD390&lt;安値!AC390,安値!AD390&lt;安値!AB390,安値!AD390&lt;安値!AE390,安値!AD390&lt;安値!AF390),25,""))</f>
      </c>
      <c r="Z390" s="684">
        <f>IF(終値!A390="","",IF(AND(安値!AE390&lt;安値!AD390,安値!AE390&lt;安値!AC390,安値!AE390&lt;安値!AF390,安値!AE390&lt;安値!AG390),26,""))</f>
      </c>
      <c r="AA390" s="684">
        <f>IF(終値!A390="","",IF(AND(安値!AF390&lt;安値!AE390,安値!AF390&lt;安値!AD390,安値!AF390&lt;安値!AG390,安値!AF390&lt;安値!AH390),27,""))</f>
      </c>
      <c r="AB390" s="684">
        <f>IF(終値!A390="","",IF(AND(安値!AG390&lt;安値!AF390,安値!AG390&lt;安値!AE390,安値!AG390&lt;安値!AH390,安値!AG390&lt;安値!AI390),28,""))</f>
      </c>
      <c r="AC390" s="684">
        <f>IF(終値!A390="","",IF(AND(高値!G390&gt;高値!F390,高値!G390&gt;高値!E390,高値!G390&gt;高値!H390,高値!G390&gt;高値!I390),2,""))</f>
      </c>
      <c r="AD390" s="684">
        <f>IF(終値!A390="","",IF(AND(高値!H390&gt;高値!G390,高値!H390&gt;高値!F390,高値!H390&gt;高値!I390,高値!H390&gt;高値!J390),3,""))</f>
      </c>
      <c r="AE390" s="684">
        <f>IF(終値!A390="","",IF(AND(高値!I390&gt;高値!H390,高値!I390&gt;高値!G390,高値!I390&gt;高値!J390,高値!I390&gt;高値!K390),4,""))</f>
      </c>
      <c r="AF390" s="684">
        <f>IF(終値!A390="","",IF(AND(高値!J390&gt;高値!I390,高値!J390&gt;高値!H390,高値!J390&gt;高値!K390,高値!J390&gt;高値!L390),5,""))</f>
      </c>
      <c r="AG390" s="684">
        <f>IF(終値!A390="","",IF(AND(高値!K390&gt;高値!J390,高値!K390&gt;高値!I390,高値!K390&gt;高値!L390,高値!K390&gt;高値!M390),6,""))</f>
      </c>
      <c r="AH390" s="684">
        <f>IF(終値!A390="","",IF(AND(高値!L390&gt;高値!K390,高値!L390&gt;高値!J390,高値!L390&gt;高値!M390,高値!L390&gt;高値!N390),7,""))</f>
      </c>
      <c r="AI390" s="684">
        <f>IF(終値!A390="","",IF(AND(高値!M390&gt;高値!L390,高値!M390&gt;高値!K390,高値!M390&gt;高値!N390,高値!M390&gt;高値!O390),8,""))</f>
      </c>
      <c r="AJ390" s="684">
        <f>IF(終値!A390="","",IF(AND(高値!N390&gt;高値!M390,高値!N390&gt;高値!L390,高値!N390&gt;高値!O390,高値!N390&gt;高値!P390),9,""))</f>
      </c>
      <c r="AK390" s="684">
        <f>IF(終値!A390="","",IF(AND(高値!O390&gt;高値!N390,高値!O390&gt;高値!M390,高値!O390&gt;高値!P390,高値!O390&gt;高値!Q390),10,""))</f>
      </c>
      <c r="AL390" s="684">
        <f>IF(終値!A390="","",IF(AND(高値!P390&gt;高値!O390,高値!P390&gt;高値!N390,高値!P390&gt;高値!Q390,高値!P390&gt;高値!R390),11,""))</f>
      </c>
      <c r="AM390" s="684">
        <f>IF(終値!A390="","",IF(AND(高値!Q390&gt;高値!P390,高値!Q390&gt;高値!O390,高値!Q390&gt;高値!R390,高値!Q390&gt;高値!S390),12,""))</f>
      </c>
      <c r="AN390" s="684">
        <f>IF(終値!A390="","",IF(AND(高値!R390&gt;高値!Q390,高値!R390&gt;高値!P390,高値!R390&gt;高値!S390,高値!R390&gt;高値!T390),13,""))</f>
      </c>
      <c r="AO390" s="684">
        <f>IF(終値!A390="","",IF(AND(高値!S390&gt;高値!R390,高値!S390&gt;高値!Q390,高値!S390&gt;高値!T390,高値!S390&gt;高値!U390),14,""))</f>
      </c>
      <c r="AP390" s="684">
        <f>IF(終値!A390="","",IF(AND(高値!T390&gt;高値!S390,高値!T390&gt;高値!R390,高値!T390&gt;高値!U390,高値!T390&gt;高値!V390),15,""))</f>
      </c>
      <c r="AQ390" s="684">
        <f>IF(終値!A390="","",IF(AND(高値!U390&gt;高値!T390,高値!U390&gt;高値!S390,高値!U390&gt;高値!V390,高値!U390&gt;高値!W390),16,""))</f>
      </c>
      <c r="AR390" s="684">
        <f>IF(終値!A390="","",IF(AND(高値!V390&gt;高値!U390,高値!V390&gt;高値!T390,高値!V390&gt;高値!W390,高値!V390&gt;高値!X390),17,""))</f>
      </c>
      <c r="AS390" s="684">
        <f>IF(終値!A390="","",IF(AND(高値!W390&gt;高値!V390,高値!W390&gt;高値!U390,高値!W390&gt;高値!X390,高値!W390&gt;高値!Y390),18,""))</f>
      </c>
      <c r="AT390" s="684">
        <f>IF(終値!A390="","",IF(AND(高値!X390&gt;高値!W390,高値!X390&gt;高値!V390,高値!X390&gt;高値!Y390,高値!X390&gt;高値!Z390),19,""))</f>
      </c>
      <c r="AU390" s="684">
        <f>IF(終値!A390="","",IF(AND(高値!Y390&gt;高値!X390,高値!Y390&gt;高値!W390,高値!Y390&gt;高値!Z390,高値!Y390&gt;高値!AA390),20,""))</f>
      </c>
      <c r="AV390" s="684">
        <f>IF(終値!A390="","",IF(AND(高値!Z390&gt;高値!Y390,高値!Z390&gt;高値!X390,高値!Z390&gt;高値!AA390,高値!Z390&gt;高値!AB390),21,""))</f>
      </c>
      <c r="AW390" s="684">
        <f>IF(終値!A390="","",IF(AND(高値!AA390&gt;高値!Z390,高値!AA390&gt;高値!Y390,高値!AA390&gt;高値!AB390,高値!AA390&gt;高値!AC390),22,""))</f>
      </c>
      <c r="AX390" s="684">
        <f>IF(終値!A390="","",IF(AND(高値!AB390&gt;高値!AA390,高値!AB390&gt;高値!Z390,高値!AB390&gt;高値!AC390,高値!AB390&gt;高値!AD390),23,""))</f>
      </c>
      <c r="AY390" s="684">
        <f>IF(終値!A390="","",IF(AND(高値!AC390&gt;高値!AB390,高値!AC390&gt;高値!AA390,高値!AC390&gt;高値!AD390,高値!AC390&gt;高値!AE390),24,""))</f>
      </c>
      <c r="AZ390" s="684">
        <f>IF(終値!A390="","",IF(AND(高値!AD390&gt;高値!AC390,高値!AD390&gt;高値!AB390,高値!AD390&gt;高値!AE390,高値!AD390&gt;高値!AF390),25,""))</f>
      </c>
      <c r="BA390" s="684">
        <f>IF(終値!A390="","",IF(AND(高値!AE390&gt;高値!AD390,高値!AE390&gt;高値!AC390,高値!AE390&gt;高値!AF390,高値!AE390&gt;高値!AG390),26,""))</f>
      </c>
      <c r="BB390" s="684">
        <f>IF(終値!A390="","",IF(AND(高値!AF390&gt;高値!AE390,高値!AF390&gt;高値!AD390,高値!AF390&gt;高値!AG390,高値!AF390&gt;高値!AH390),27,""))</f>
      </c>
      <c r="BC390" s="684">
        <f>IF(終値!A390="","",IF(AND(高値!AG390&gt;高値!AF390,高値!AG390&gt;高値!AE390,高値!AG390&gt;高値!AH390,高値!AG390&gt;高値!AI390),28,""))</f>
      </c>
      <c r="BD390" s="684">
        <f>COUNT($B390:$AB390)</f>
      </c>
      <c r="BE390" s="684">
        <f>IF($BD390&gt;=2,MIN($B390:$AB390),"")</f>
      </c>
      <c r="BF390" s="684">
        <f>IF($BD390&gt;=2,SMALL($B390:$AB390,2),"")</f>
      </c>
      <c r="BG390" s="684">
        <f>IF($BE390="","",INDEX(安値!$E390:$CZ390,1,$BE390+1))</f>
      </c>
      <c r="BH390" s="684">
        <f>IF($BF390="","",INDEX(安値!$E390:$CZ390,1,$BF390+1))</f>
      </c>
      <c r="BI390" s="684">
        <f>IF($BF390="","",MAX(INDEX(高値!$E390:$CZ390,1,$BE390+1):INDEX(高値!$E390:$CZ390,1,$BF390+1)))</f>
      </c>
      <c r="BJ390" s="684">
        <f>IF($BF390="","",AVERAGE(INDEX(終値!$E390:$CZ390,1,$BF390+1):INDEX(終値!$E390:$CZ390,1,$BF390+20))-2*STDEVP(INDEX(終値!$E390:$CZ390,1,$BF390+1):INDEX(終値!$E390:$CZ390,1,$BF390+20)))</f>
      </c>
      <c r="BK390" s="684">
        <f>IF($BE390="","",AVERAGE(INDEX(終値!$E390:$CZ390,1,$BE390+1):INDEX(終値!$E390:$CZ390,1,$BE390+20))-2*STDEVP(INDEX(終値!$E390:$CZ390,1,$BE390+1):INDEX(終値!$E390:$CZ390,1,$BE390+20)))</f>
      </c>
      <c r="BL390" s="684">
        <f>COUNT($AC390:$BC390)</f>
      </c>
      <c r="BM390" s="684">
        <f>IF($BL390&gt;=2,MIN($AC390:$BC390),"")</f>
      </c>
      <c r="BN390" s="684">
        <f>IF($BL390&gt;=2,SMALL($AC390:$BC390,2),"")</f>
      </c>
      <c r="BO390" s="684">
        <f>IF($BM390="","",INDEX(高値!$E390:$CZ390,1,$BM390+1))</f>
      </c>
      <c r="BP390" s="684">
        <f>IF($BN390="","",INDEX(高値!$E390:$CZ390,1,$BN390+1))</f>
      </c>
      <c r="BQ390" s="684">
        <f>IF($BN390="","",MIN(INDEX(安値!$E390:$CZ390,1,$BM390+1):INDEX(安値!$E390:$CZ390,1,$BN390+1)))</f>
      </c>
      <c r="BR390" s="684">
        <f>IF($BN390="","",AVERAGE(INDEX(終値!$E390:$CZ390,1,$BN390+1):INDEX(終値!$E390:$CZ390,1,$BN390+20))+2*STDEVP(INDEX(終値!$E390:$CZ390,1,$BN390+1):INDEX(終値!$E390:$CZ390,1,$BN390+20)))</f>
      </c>
      <c r="BS390" s="684">
        <f>IF($BM390="","",AVERAGE(INDEX(終値!$E390:$CZ390,1,$BM390+1):INDEX(終値!$E390:$CZ390,1,$BM390+20))+2*STDEVP(INDEX(終値!$E390:$CZ390,1,$BM390+1):INDEX(終値!$E390:$CZ390,1,$BM390+20)))</f>
      </c>
      <c r="BT390" s="681">
        <f>IFERROR(IF(AND($BD390&gt;=2,ABS($BG390-$BH390)/$BH390&lt;=BB設定!$B$12,$BI390&gt;=MAX($BH390,$BG390)*(1+BB設定!$B$13),終値!E390&gt;$BG390),IF(OR(終値!E390&gt;=$BI390,AND($BH390&lt;$BJ390,$BG390&gt;=$BK390)),"二番底W▲","二番底W形成"),IF(AND($BL390&gt;=2,ABS($BO390-$BP390)/$BP390&lt;=BB設定!$B$12,$BQ390&lt;=MIN($BP390,$BO390)*(1-BB設定!$B$13),終値!E390&lt;$BO390),IF(OR(終値!E390&lt;=$BQ390,AND($BP390&gt;$BR390,$BO390&lt;=$BS390)),"二番天井M▼","二番天井M形成"),"－")),"－")</f>
      </c>
    </row>
    <row r="391">
      <c r="B391" s="684">
        <f>IF(終値!A391="","",IF(AND(安値!G391&lt;安値!F391,安値!G391&lt;安値!E391,安値!G391&lt;安値!H391,安値!G391&lt;安値!I391),2,""))</f>
      </c>
      <c r="C391" s="684">
        <f>IF(終値!A391="","",IF(AND(安値!H391&lt;安値!G391,安値!H391&lt;安値!F391,安値!H391&lt;安値!I391,安値!H391&lt;安値!J391),3,""))</f>
      </c>
      <c r="D391" s="684">
        <f>IF(終値!A391="","",IF(AND(安値!I391&lt;安値!H391,安値!I391&lt;安値!G391,安値!I391&lt;安値!J391,安値!I391&lt;安値!K391),4,""))</f>
      </c>
      <c r="E391" s="684">
        <f>IF(終値!A391="","",IF(AND(安値!J391&lt;安値!I391,安値!J391&lt;安値!H391,安値!J391&lt;安値!K391,安値!J391&lt;安値!L391),5,""))</f>
      </c>
      <c r="F391" s="684">
        <f>IF(終値!A391="","",IF(AND(安値!K391&lt;安値!J391,安値!K391&lt;安値!I391,安値!K391&lt;安値!L391,安値!K391&lt;安値!M391),6,""))</f>
      </c>
      <c r="G391" s="684">
        <f>IF(終値!A391="","",IF(AND(安値!L391&lt;安値!K391,安値!L391&lt;安値!J391,安値!L391&lt;安値!M391,安値!L391&lt;安値!N391),7,""))</f>
      </c>
      <c r="H391" s="684">
        <f>IF(終値!A391="","",IF(AND(安値!M391&lt;安値!L391,安値!M391&lt;安値!K391,安値!M391&lt;安値!N391,安値!M391&lt;安値!O391),8,""))</f>
      </c>
      <c r="I391" s="684">
        <f>IF(終値!A391="","",IF(AND(安値!N391&lt;安値!M391,安値!N391&lt;安値!L391,安値!N391&lt;安値!O391,安値!N391&lt;安値!P391),9,""))</f>
      </c>
      <c r="J391" s="684">
        <f>IF(終値!A391="","",IF(AND(安値!O391&lt;安値!N391,安値!O391&lt;安値!M391,安値!O391&lt;安値!P391,安値!O391&lt;安値!Q391),10,""))</f>
      </c>
      <c r="K391" s="684">
        <f>IF(終値!A391="","",IF(AND(安値!P391&lt;安値!O391,安値!P391&lt;安値!N391,安値!P391&lt;安値!Q391,安値!P391&lt;安値!R391),11,""))</f>
      </c>
      <c r="L391" s="684">
        <f>IF(終値!A391="","",IF(AND(安値!Q391&lt;安値!P391,安値!Q391&lt;安値!O391,安値!Q391&lt;安値!R391,安値!Q391&lt;安値!S391),12,""))</f>
      </c>
      <c r="M391" s="684">
        <f>IF(終値!A391="","",IF(AND(安値!R391&lt;安値!Q391,安値!R391&lt;安値!P391,安値!R391&lt;安値!S391,安値!R391&lt;安値!T391),13,""))</f>
      </c>
      <c r="N391" s="684">
        <f>IF(終値!A391="","",IF(AND(安値!S391&lt;安値!R391,安値!S391&lt;安値!Q391,安値!S391&lt;安値!T391,安値!S391&lt;安値!U391),14,""))</f>
      </c>
      <c r="O391" s="684">
        <f>IF(終値!A391="","",IF(AND(安値!T391&lt;安値!S391,安値!T391&lt;安値!R391,安値!T391&lt;安値!U391,安値!T391&lt;安値!V391),15,""))</f>
      </c>
      <c r="P391" s="684">
        <f>IF(終値!A391="","",IF(AND(安値!U391&lt;安値!T391,安値!U391&lt;安値!S391,安値!U391&lt;安値!V391,安値!U391&lt;安値!W391),16,""))</f>
      </c>
      <c r="Q391" s="684">
        <f>IF(終値!A391="","",IF(AND(安値!V391&lt;安値!U391,安値!V391&lt;安値!T391,安値!V391&lt;安値!W391,安値!V391&lt;安値!X391),17,""))</f>
      </c>
      <c r="R391" s="684">
        <f>IF(終値!A391="","",IF(AND(安値!W391&lt;安値!V391,安値!W391&lt;安値!U391,安値!W391&lt;安値!X391,安値!W391&lt;安値!Y391),18,""))</f>
      </c>
      <c r="S391" s="684">
        <f>IF(終値!A391="","",IF(AND(安値!X391&lt;安値!W391,安値!X391&lt;安値!V391,安値!X391&lt;安値!Y391,安値!X391&lt;安値!Z391),19,""))</f>
      </c>
      <c r="T391" s="684">
        <f>IF(終値!A391="","",IF(AND(安値!Y391&lt;安値!X391,安値!Y391&lt;安値!W391,安値!Y391&lt;安値!Z391,安値!Y391&lt;安値!AA391),20,""))</f>
      </c>
      <c r="U391" s="684">
        <f>IF(終値!A391="","",IF(AND(安値!Z391&lt;安値!Y391,安値!Z391&lt;安値!X391,安値!Z391&lt;安値!AA391,安値!Z391&lt;安値!AB391),21,""))</f>
      </c>
      <c r="V391" s="684">
        <f>IF(終値!A391="","",IF(AND(安値!AA391&lt;安値!Z391,安値!AA391&lt;安値!Y391,安値!AA391&lt;安値!AB391,安値!AA391&lt;安値!AC391),22,""))</f>
      </c>
      <c r="W391" s="684">
        <f>IF(終値!A391="","",IF(AND(安値!AB391&lt;安値!AA391,安値!AB391&lt;安値!Z391,安値!AB391&lt;安値!AC391,安値!AB391&lt;安値!AD391),23,""))</f>
      </c>
      <c r="X391" s="684">
        <f>IF(終値!A391="","",IF(AND(安値!AC391&lt;安値!AB391,安値!AC391&lt;安値!AA391,安値!AC391&lt;安値!AD391,安値!AC391&lt;安値!AE391),24,""))</f>
      </c>
      <c r="Y391" s="684">
        <f>IF(終値!A391="","",IF(AND(安値!AD391&lt;安値!AC391,安値!AD391&lt;安値!AB391,安値!AD391&lt;安値!AE391,安値!AD391&lt;安値!AF391),25,""))</f>
      </c>
      <c r="Z391" s="684">
        <f>IF(終値!A391="","",IF(AND(安値!AE391&lt;安値!AD391,安値!AE391&lt;安値!AC391,安値!AE391&lt;安値!AF391,安値!AE391&lt;安値!AG391),26,""))</f>
      </c>
      <c r="AA391" s="684">
        <f>IF(終値!A391="","",IF(AND(安値!AF391&lt;安値!AE391,安値!AF391&lt;安値!AD391,安値!AF391&lt;安値!AG391,安値!AF391&lt;安値!AH391),27,""))</f>
      </c>
      <c r="AB391" s="684">
        <f>IF(終値!A391="","",IF(AND(安値!AG391&lt;安値!AF391,安値!AG391&lt;安値!AE391,安値!AG391&lt;安値!AH391,安値!AG391&lt;安値!AI391),28,""))</f>
      </c>
      <c r="AC391" s="684">
        <f>IF(終値!A391="","",IF(AND(高値!G391&gt;高値!F391,高値!G391&gt;高値!E391,高値!G391&gt;高値!H391,高値!G391&gt;高値!I391),2,""))</f>
      </c>
      <c r="AD391" s="684">
        <f>IF(終値!A391="","",IF(AND(高値!H391&gt;高値!G391,高値!H391&gt;高値!F391,高値!H391&gt;高値!I391,高値!H391&gt;高値!J391),3,""))</f>
      </c>
      <c r="AE391" s="684">
        <f>IF(終値!A391="","",IF(AND(高値!I391&gt;高値!H391,高値!I391&gt;高値!G391,高値!I391&gt;高値!J391,高値!I391&gt;高値!K391),4,""))</f>
      </c>
      <c r="AF391" s="684">
        <f>IF(終値!A391="","",IF(AND(高値!J391&gt;高値!I391,高値!J391&gt;高値!H391,高値!J391&gt;高値!K391,高値!J391&gt;高値!L391),5,""))</f>
      </c>
      <c r="AG391" s="684">
        <f>IF(終値!A391="","",IF(AND(高値!K391&gt;高値!J391,高値!K391&gt;高値!I391,高値!K391&gt;高値!L391,高値!K391&gt;高値!M391),6,""))</f>
      </c>
      <c r="AH391" s="684">
        <f>IF(終値!A391="","",IF(AND(高値!L391&gt;高値!K391,高値!L391&gt;高値!J391,高値!L391&gt;高値!M391,高値!L391&gt;高値!N391),7,""))</f>
      </c>
      <c r="AI391" s="684">
        <f>IF(終値!A391="","",IF(AND(高値!M391&gt;高値!L391,高値!M391&gt;高値!K391,高値!M391&gt;高値!N391,高値!M391&gt;高値!O391),8,""))</f>
      </c>
      <c r="AJ391" s="684">
        <f>IF(終値!A391="","",IF(AND(高値!N391&gt;高値!M391,高値!N391&gt;高値!L391,高値!N391&gt;高値!O391,高値!N391&gt;高値!P391),9,""))</f>
      </c>
      <c r="AK391" s="684">
        <f>IF(終値!A391="","",IF(AND(高値!O391&gt;高値!N391,高値!O391&gt;高値!M391,高値!O391&gt;高値!P391,高値!O391&gt;高値!Q391),10,""))</f>
      </c>
      <c r="AL391" s="684">
        <f>IF(終値!A391="","",IF(AND(高値!P391&gt;高値!O391,高値!P391&gt;高値!N391,高値!P391&gt;高値!Q391,高値!P391&gt;高値!R391),11,""))</f>
      </c>
      <c r="AM391" s="684">
        <f>IF(終値!A391="","",IF(AND(高値!Q391&gt;高値!P391,高値!Q391&gt;高値!O391,高値!Q391&gt;高値!R391,高値!Q391&gt;高値!S391),12,""))</f>
      </c>
      <c r="AN391" s="684">
        <f>IF(終値!A391="","",IF(AND(高値!R391&gt;高値!Q391,高値!R391&gt;高値!P391,高値!R391&gt;高値!S391,高値!R391&gt;高値!T391),13,""))</f>
      </c>
      <c r="AO391" s="684">
        <f>IF(終値!A391="","",IF(AND(高値!S391&gt;高値!R391,高値!S391&gt;高値!Q391,高値!S391&gt;高値!T391,高値!S391&gt;高値!U391),14,""))</f>
      </c>
      <c r="AP391" s="684">
        <f>IF(終値!A391="","",IF(AND(高値!T391&gt;高値!S391,高値!T391&gt;高値!R391,高値!T391&gt;高値!U391,高値!T391&gt;高値!V391),15,""))</f>
      </c>
      <c r="AQ391" s="684">
        <f>IF(終値!A391="","",IF(AND(高値!U391&gt;高値!T391,高値!U391&gt;高値!S391,高値!U391&gt;高値!V391,高値!U391&gt;高値!W391),16,""))</f>
      </c>
      <c r="AR391" s="684">
        <f>IF(終値!A391="","",IF(AND(高値!V391&gt;高値!U391,高値!V391&gt;高値!T391,高値!V391&gt;高値!W391,高値!V391&gt;高値!X391),17,""))</f>
      </c>
      <c r="AS391" s="684">
        <f>IF(終値!A391="","",IF(AND(高値!W391&gt;高値!V391,高値!W391&gt;高値!U391,高値!W391&gt;高値!X391,高値!W391&gt;高値!Y391),18,""))</f>
      </c>
      <c r="AT391" s="684">
        <f>IF(終値!A391="","",IF(AND(高値!X391&gt;高値!W391,高値!X391&gt;高値!V391,高値!X391&gt;高値!Y391,高値!X391&gt;高値!Z391),19,""))</f>
      </c>
      <c r="AU391" s="684">
        <f>IF(終値!A391="","",IF(AND(高値!Y391&gt;高値!X391,高値!Y391&gt;高値!W391,高値!Y391&gt;高値!Z391,高値!Y391&gt;高値!AA391),20,""))</f>
      </c>
      <c r="AV391" s="684">
        <f>IF(終値!A391="","",IF(AND(高値!Z391&gt;高値!Y391,高値!Z391&gt;高値!X391,高値!Z391&gt;高値!AA391,高値!Z391&gt;高値!AB391),21,""))</f>
      </c>
      <c r="AW391" s="684">
        <f>IF(終値!A391="","",IF(AND(高値!AA391&gt;高値!Z391,高値!AA391&gt;高値!Y391,高値!AA391&gt;高値!AB391,高値!AA391&gt;高値!AC391),22,""))</f>
      </c>
      <c r="AX391" s="684">
        <f>IF(終値!A391="","",IF(AND(高値!AB391&gt;高値!AA391,高値!AB391&gt;高値!Z391,高値!AB391&gt;高値!AC391,高値!AB391&gt;高値!AD391),23,""))</f>
      </c>
      <c r="AY391" s="684">
        <f>IF(終値!A391="","",IF(AND(高値!AC391&gt;高値!AB391,高値!AC391&gt;高値!AA391,高値!AC391&gt;高値!AD391,高値!AC391&gt;高値!AE391),24,""))</f>
      </c>
      <c r="AZ391" s="684">
        <f>IF(終値!A391="","",IF(AND(高値!AD391&gt;高値!AC391,高値!AD391&gt;高値!AB391,高値!AD391&gt;高値!AE391,高値!AD391&gt;高値!AF391),25,""))</f>
      </c>
      <c r="BA391" s="684">
        <f>IF(終値!A391="","",IF(AND(高値!AE391&gt;高値!AD391,高値!AE391&gt;高値!AC391,高値!AE391&gt;高値!AF391,高値!AE391&gt;高値!AG391),26,""))</f>
      </c>
      <c r="BB391" s="684">
        <f>IF(終値!A391="","",IF(AND(高値!AF391&gt;高値!AE391,高値!AF391&gt;高値!AD391,高値!AF391&gt;高値!AG391,高値!AF391&gt;高値!AH391),27,""))</f>
      </c>
      <c r="BC391" s="684">
        <f>IF(終値!A391="","",IF(AND(高値!AG391&gt;高値!AF391,高値!AG391&gt;高値!AE391,高値!AG391&gt;高値!AH391,高値!AG391&gt;高値!AI391),28,""))</f>
      </c>
      <c r="BD391" s="684">
        <f>COUNT($B391:$AB391)</f>
      </c>
      <c r="BE391" s="684">
        <f>IF($BD391&gt;=2,MIN($B391:$AB391),"")</f>
      </c>
      <c r="BF391" s="684">
        <f>IF($BD391&gt;=2,SMALL($B391:$AB391,2),"")</f>
      </c>
      <c r="BG391" s="684">
        <f>IF($BE391="","",INDEX(安値!$E391:$CZ391,1,$BE391+1))</f>
      </c>
      <c r="BH391" s="684">
        <f>IF($BF391="","",INDEX(安値!$E391:$CZ391,1,$BF391+1))</f>
      </c>
      <c r="BI391" s="684">
        <f>IF($BF391="","",MAX(INDEX(高値!$E391:$CZ391,1,$BE391+1):INDEX(高値!$E391:$CZ391,1,$BF391+1)))</f>
      </c>
      <c r="BJ391" s="684">
        <f>IF($BF391="","",AVERAGE(INDEX(終値!$E391:$CZ391,1,$BF391+1):INDEX(終値!$E391:$CZ391,1,$BF391+20))-2*STDEVP(INDEX(終値!$E391:$CZ391,1,$BF391+1):INDEX(終値!$E391:$CZ391,1,$BF391+20)))</f>
      </c>
      <c r="BK391" s="684">
        <f>IF($BE391="","",AVERAGE(INDEX(終値!$E391:$CZ391,1,$BE391+1):INDEX(終値!$E391:$CZ391,1,$BE391+20))-2*STDEVP(INDEX(終値!$E391:$CZ391,1,$BE391+1):INDEX(終値!$E391:$CZ391,1,$BE391+20)))</f>
      </c>
      <c r="BL391" s="684">
        <f>COUNT($AC391:$BC391)</f>
      </c>
      <c r="BM391" s="684">
        <f>IF($BL391&gt;=2,MIN($AC391:$BC391),"")</f>
      </c>
      <c r="BN391" s="684">
        <f>IF($BL391&gt;=2,SMALL($AC391:$BC391,2),"")</f>
      </c>
      <c r="BO391" s="684">
        <f>IF($BM391="","",INDEX(高値!$E391:$CZ391,1,$BM391+1))</f>
      </c>
      <c r="BP391" s="684">
        <f>IF($BN391="","",INDEX(高値!$E391:$CZ391,1,$BN391+1))</f>
      </c>
      <c r="BQ391" s="684">
        <f>IF($BN391="","",MIN(INDEX(安値!$E391:$CZ391,1,$BM391+1):INDEX(安値!$E391:$CZ391,1,$BN391+1)))</f>
      </c>
      <c r="BR391" s="684">
        <f>IF($BN391="","",AVERAGE(INDEX(終値!$E391:$CZ391,1,$BN391+1):INDEX(終値!$E391:$CZ391,1,$BN391+20))+2*STDEVP(INDEX(終値!$E391:$CZ391,1,$BN391+1):INDEX(終値!$E391:$CZ391,1,$BN391+20)))</f>
      </c>
      <c r="BS391" s="684">
        <f>IF($BM391="","",AVERAGE(INDEX(終値!$E391:$CZ391,1,$BM391+1):INDEX(終値!$E391:$CZ391,1,$BM391+20))+2*STDEVP(INDEX(終値!$E391:$CZ391,1,$BM391+1):INDEX(終値!$E391:$CZ391,1,$BM391+20)))</f>
      </c>
      <c r="BT391" s="681">
        <f>IFERROR(IF(AND($BD391&gt;=2,ABS($BG391-$BH391)/$BH391&lt;=BB設定!$B$12,$BI391&gt;=MAX($BH391,$BG391)*(1+BB設定!$B$13),終値!E391&gt;$BG391),IF(OR(終値!E391&gt;=$BI391,AND($BH391&lt;$BJ391,$BG391&gt;=$BK391)),"二番底W▲","二番底W形成"),IF(AND($BL391&gt;=2,ABS($BO391-$BP391)/$BP391&lt;=BB設定!$B$12,$BQ391&lt;=MIN($BP391,$BO391)*(1-BB設定!$B$13),終値!E391&lt;$BO391),IF(OR(終値!E391&lt;=$BQ391,AND($BP391&gt;$BR391,$BO391&lt;=$BS391)),"二番天井M▼","二番天井M形成"),"－")),"－")</f>
      </c>
    </row>
    <row r="392">
      <c r="B392" s="684">
        <f>IF(終値!A392="","",IF(AND(安値!G392&lt;安値!F392,安値!G392&lt;安値!E392,安値!G392&lt;安値!H392,安値!G392&lt;安値!I392),2,""))</f>
      </c>
      <c r="C392" s="684">
        <f>IF(終値!A392="","",IF(AND(安値!H392&lt;安値!G392,安値!H392&lt;安値!F392,安値!H392&lt;安値!I392,安値!H392&lt;安値!J392),3,""))</f>
      </c>
      <c r="D392" s="684">
        <f>IF(終値!A392="","",IF(AND(安値!I392&lt;安値!H392,安値!I392&lt;安値!G392,安値!I392&lt;安値!J392,安値!I392&lt;安値!K392),4,""))</f>
      </c>
      <c r="E392" s="684">
        <f>IF(終値!A392="","",IF(AND(安値!J392&lt;安値!I392,安値!J392&lt;安値!H392,安値!J392&lt;安値!K392,安値!J392&lt;安値!L392),5,""))</f>
      </c>
      <c r="F392" s="684">
        <f>IF(終値!A392="","",IF(AND(安値!K392&lt;安値!J392,安値!K392&lt;安値!I392,安値!K392&lt;安値!L392,安値!K392&lt;安値!M392),6,""))</f>
      </c>
      <c r="G392" s="684">
        <f>IF(終値!A392="","",IF(AND(安値!L392&lt;安値!K392,安値!L392&lt;安値!J392,安値!L392&lt;安値!M392,安値!L392&lt;安値!N392),7,""))</f>
      </c>
      <c r="H392" s="684">
        <f>IF(終値!A392="","",IF(AND(安値!M392&lt;安値!L392,安値!M392&lt;安値!K392,安値!M392&lt;安値!N392,安値!M392&lt;安値!O392),8,""))</f>
      </c>
      <c r="I392" s="684">
        <f>IF(終値!A392="","",IF(AND(安値!N392&lt;安値!M392,安値!N392&lt;安値!L392,安値!N392&lt;安値!O392,安値!N392&lt;安値!P392),9,""))</f>
      </c>
      <c r="J392" s="684">
        <f>IF(終値!A392="","",IF(AND(安値!O392&lt;安値!N392,安値!O392&lt;安値!M392,安値!O392&lt;安値!P392,安値!O392&lt;安値!Q392),10,""))</f>
      </c>
      <c r="K392" s="684">
        <f>IF(終値!A392="","",IF(AND(安値!P392&lt;安値!O392,安値!P392&lt;安値!N392,安値!P392&lt;安値!Q392,安値!P392&lt;安値!R392),11,""))</f>
      </c>
      <c r="L392" s="684">
        <f>IF(終値!A392="","",IF(AND(安値!Q392&lt;安値!P392,安値!Q392&lt;安値!O392,安値!Q392&lt;安値!R392,安値!Q392&lt;安値!S392),12,""))</f>
      </c>
      <c r="M392" s="684">
        <f>IF(終値!A392="","",IF(AND(安値!R392&lt;安値!Q392,安値!R392&lt;安値!P392,安値!R392&lt;安値!S392,安値!R392&lt;安値!T392),13,""))</f>
      </c>
      <c r="N392" s="684">
        <f>IF(終値!A392="","",IF(AND(安値!S392&lt;安値!R392,安値!S392&lt;安値!Q392,安値!S392&lt;安値!T392,安値!S392&lt;安値!U392),14,""))</f>
      </c>
      <c r="O392" s="684">
        <f>IF(終値!A392="","",IF(AND(安値!T392&lt;安値!S392,安値!T392&lt;安値!R392,安値!T392&lt;安値!U392,安値!T392&lt;安値!V392),15,""))</f>
      </c>
      <c r="P392" s="684">
        <f>IF(終値!A392="","",IF(AND(安値!U392&lt;安値!T392,安値!U392&lt;安値!S392,安値!U392&lt;安値!V392,安値!U392&lt;安値!W392),16,""))</f>
      </c>
      <c r="Q392" s="684">
        <f>IF(終値!A392="","",IF(AND(安値!V392&lt;安値!U392,安値!V392&lt;安値!T392,安値!V392&lt;安値!W392,安値!V392&lt;安値!X392),17,""))</f>
      </c>
      <c r="R392" s="684">
        <f>IF(終値!A392="","",IF(AND(安値!W392&lt;安値!V392,安値!W392&lt;安値!U392,安値!W392&lt;安値!X392,安値!W392&lt;安値!Y392),18,""))</f>
      </c>
      <c r="S392" s="684">
        <f>IF(終値!A392="","",IF(AND(安値!X392&lt;安値!W392,安値!X392&lt;安値!V392,安値!X392&lt;安値!Y392,安値!X392&lt;安値!Z392),19,""))</f>
      </c>
      <c r="T392" s="684">
        <f>IF(終値!A392="","",IF(AND(安値!Y392&lt;安値!X392,安値!Y392&lt;安値!W392,安値!Y392&lt;安値!Z392,安値!Y392&lt;安値!AA392),20,""))</f>
      </c>
      <c r="U392" s="684">
        <f>IF(終値!A392="","",IF(AND(安値!Z392&lt;安値!Y392,安値!Z392&lt;安値!X392,安値!Z392&lt;安値!AA392,安値!Z392&lt;安値!AB392),21,""))</f>
      </c>
      <c r="V392" s="684">
        <f>IF(終値!A392="","",IF(AND(安値!AA392&lt;安値!Z392,安値!AA392&lt;安値!Y392,安値!AA392&lt;安値!AB392,安値!AA392&lt;安値!AC392),22,""))</f>
      </c>
      <c r="W392" s="684">
        <f>IF(終値!A392="","",IF(AND(安値!AB392&lt;安値!AA392,安値!AB392&lt;安値!Z392,安値!AB392&lt;安値!AC392,安値!AB392&lt;安値!AD392),23,""))</f>
      </c>
      <c r="X392" s="684">
        <f>IF(終値!A392="","",IF(AND(安値!AC392&lt;安値!AB392,安値!AC392&lt;安値!AA392,安値!AC392&lt;安値!AD392,安値!AC392&lt;安値!AE392),24,""))</f>
      </c>
      <c r="Y392" s="684">
        <f>IF(終値!A392="","",IF(AND(安値!AD392&lt;安値!AC392,安値!AD392&lt;安値!AB392,安値!AD392&lt;安値!AE392,安値!AD392&lt;安値!AF392),25,""))</f>
      </c>
      <c r="Z392" s="684">
        <f>IF(終値!A392="","",IF(AND(安値!AE392&lt;安値!AD392,安値!AE392&lt;安値!AC392,安値!AE392&lt;安値!AF392,安値!AE392&lt;安値!AG392),26,""))</f>
      </c>
      <c r="AA392" s="684">
        <f>IF(終値!A392="","",IF(AND(安値!AF392&lt;安値!AE392,安値!AF392&lt;安値!AD392,安値!AF392&lt;安値!AG392,安値!AF392&lt;安値!AH392),27,""))</f>
      </c>
      <c r="AB392" s="684">
        <f>IF(終値!A392="","",IF(AND(安値!AG392&lt;安値!AF392,安値!AG392&lt;安値!AE392,安値!AG392&lt;安値!AH392,安値!AG392&lt;安値!AI392),28,""))</f>
      </c>
      <c r="AC392" s="684">
        <f>IF(終値!A392="","",IF(AND(高値!G392&gt;高値!F392,高値!G392&gt;高値!E392,高値!G392&gt;高値!H392,高値!G392&gt;高値!I392),2,""))</f>
      </c>
      <c r="AD392" s="684">
        <f>IF(終値!A392="","",IF(AND(高値!H392&gt;高値!G392,高値!H392&gt;高値!F392,高値!H392&gt;高値!I392,高値!H392&gt;高値!J392),3,""))</f>
      </c>
      <c r="AE392" s="684">
        <f>IF(終値!A392="","",IF(AND(高値!I392&gt;高値!H392,高値!I392&gt;高値!G392,高値!I392&gt;高値!J392,高値!I392&gt;高値!K392),4,""))</f>
      </c>
      <c r="AF392" s="684">
        <f>IF(終値!A392="","",IF(AND(高値!J392&gt;高値!I392,高値!J392&gt;高値!H392,高値!J392&gt;高値!K392,高値!J392&gt;高値!L392),5,""))</f>
      </c>
      <c r="AG392" s="684">
        <f>IF(終値!A392="","",IF(AND(高値!K392&gt;高値!J392,高値!K392&gt;高値!I392,高値!K392&gt;高値!L392,高値!K392&gt;高値!M392),6,""))</f>
      </c>
      <c r="AH392" s="684">
        <f>IF(終値!A392="","",IF(AND(高値!L392&gt;高値!K392,高値!L392&gt;高値!J392,高値!L392&gt;高値!M392,高値!L392&gt;高値!N392),7,""))</f>
      </c>
      <c r="AI392" s="684">
        <f>IF(終値!A392="","",IF(AND(高値!M392&gt;高値!L392,高値!M392&gt;高値!K392,高値!M392&gt;高値!N392,高値!M392&gt;高値!O392),8,""))</f>
      </c>
      <c r="AJ392" s="684">
        <f>IF(終値!A392="","",IF(AND(高値!N392&gt;高値!M392,高値!N392&gt;高値!L392,高値!N392&gt;高値!O392,高値!N392&gt;高値!P392),9,""))</f>
      </c>
      <c r="AK392" s="684">
        <f>IF(終値!A392="","",IF(AND(高値!O392&gt;高値!N392,高値!O392&gt;高値!M392,高値!O392&gt;高値!P392,高値!O392&gt;高値!Q392),10,""))</f>
      </c>
      <c r="AL392" s="684">
        <f>IF(終値!A392="","",IF(AND(高値!P392&gt;高値!O392,高値!P392&gt;高値!N392,高値!P392&gt;高値!Q392,高値!P392&gt;高値!R392),11,""))</f>
      </c>
      <c r="AM392" s="684">
        <f>IF(終値!A392="","",IF(AND(高値!Q392&gt;高値!P392,高値!Q392&gt;高値!O392,高値!Q392&gt;高値!R392,高値!Q392&gt;高値!S392),12,""))</f>
      </c>
      <c r="AN392" s="684">
        <f>IF(終値!A392="","",IF(AND(高値!R392&gt;高値!Q392,高値!R392&gt;高値!P392,高値!R392&gt;高値!S392,高値!R392&gt;高値!T392),13,""))</f>
      </c>
      <c r="AO392" s="684">
        <f>IF(終値!A392="","",IF(AND(高値!S392&gt;高値!R392,高値!S392&gt;高値!Q392,高値!S392&gt;高値!T392,高値!S392&gt;高値!U392),14,""))</f>
      </c>
      <c r="AP392" s="684">
        <f>IF(終値!A392="","",IF(AND(高値!T392&gt;高値!S392,高値!T392&gt;高値!R392,高値!T392&gt;高値!U392,高値!T392&gt;高値!V392),15,""))</f>
      </c>
      <c r="AQ392" s="684">
        <f>IF(終値!A392="","",IF(AND(高値!U392&gt;高値!T392,高値!U392&gt;高値!S392,高値!U392&gt;高値!V392,高値!U392&gt;高値!W392),16,""))</f>
      </c>
      <c r="AR392" s="684">
        <f>IF(終値!A392="","",IF(AND(高値!V392&gt;高値!U392,高値!V392&gt;高値!T392,高値!V392&gt;高値!W392,高値!V392&gt;高値!X392),17,""))</f>
      </c>
      <c r="AS392" s="684">
        <f>IF(終値!A392="","",IF(AND(高値!W392&gt;高値!V392,高値!W392&gt;高値!U392,高値!W392&gt;高値!X392,高値!W392&gt;高値!Y392),18,""))</f>
      </c>
      <c r="AT392" s="684">
        <f>IF(終値!A392="","",IF(AND(高値!X392&gt;高値!W392,高値!X392&gt;高値!V392,高値!X392&gt;高値!Y392,高値!X392&gt;高値!Z392),19,""))</f>
      </c>
      <c r="AU392" s="684">
        <f>IF(終値!A392="","",IF(AND(高値!Y392&gt;高値!X392,高値!Y392&gt;高値!W392,高値!Y392&gt;高値!Z392,高値!Y392&gt;高値!AA392),20,""))</f>
      </c>
      <c r="AV392" s="684">
        <f>IF(終値!A392="","",IF(AND(高値!Z392&gt;高値!Y392,高値!Z392&gt;高値!X392,高値!Z392&gt;高値!AA392,高値!Z392&gt;高値!AB392),21,""))</f>
      </c>
      <c r="AW392" s="684">
        <f>IF(終値!A392="","",IF(AND(高値!AA392&gt;高値!Z392,高値!AA392&gt;高値!Y392,高値!AA392&gt;高値!AB392,高値!AA392&gt;高値!AC392),22,""))</f>
      </c>
      <c r="AX392" s="684">
        <f>IF(終値!A392="","",IF(AND(高値!AB392&gt;高値!AA392,高値!AB392&gt;高値!Z392,高値!AB392&gt;高値!AC392,高値!AB392&gt;高値!AD392),23,""))</f>
      </c>
      <c r="AY392" s="684">
        <f>IF(終値!A392="","",IF(AND(高値!AC392&gt;高値!AB392,高値!AC392&gt;高値!AA392,高値!AC392&gt;高値!AD392,高値!AC392&gt;高値!AE392),24,""))</f>
      </c>
      <c r="AZ392" s="684">
        <f>IF(終値!A392="","",IF(AND(高値!AD392&gt;高値!AC392,高値!AD392&gt;高値!AB392,高値!AD392&gt;高値!AE392,高値!AD392&gt;高値!AF392),25,""))</f>
      </c>
      <c r="BA392" s="684">
        <f>IF(終値!A392="","",IF(AND(高値!AE392&gt;高値!AD392,高値!AE392&gt;高値!AC392,高値!AE392&gt;高値!AF392,高値!AE392&gt;高値!AG392),26,""))</f>
      </c>
      <c r="BB392" s="684">
        <f>IF(終値!A392="","",IF(AND(高値!AF392&gt;高値!AE392,高値!AF392&gt;高値!AD392,高値!AF392&gt;高値!AG392,高値!AF392&gt;高値!AH392),27,""))</f>
      </c>
      <c r="BC392" s="684">
        <f>IF(終値!A392="","",IF(AND(高値!AG392&gt;高値!AF392,高値!AG392&gt;高値!AE392,高値!AG392&gt;高値!AH392,高値!AG392&gt;高値!AI392),28,""))</f>
      </c>
      <c r="BD392" s="684">
        <f>COUNT($B392:$AB392)</f>
      </c>
      <c r="BE392" s="684">
        <f>IF($BD392&gt;=2,MIN($B392:$AB392),"")</f>
      </c>
      <c r="BF392" s="684">
        <f>IF($BD392&gt;=2,SMALL($B392:$AB392,2),"")</f>
      </c>
      <c r="BG392" s="684">
        <f>IF($BE392="","",INDEX(安値!$E392:$CZ392,1,$BE392+1))</f>
      </c>
      <c r="BH392" s="684">
        <f>IF($BF392="","",INDEX(安値!$E392:$CZ392,1,$BF392+1))</f>
      </c>
      <c r="BI392" s="684">
        <f>IF($BF392="","",MAX(INDEX(高値!$E392:$CZ392,1,$BE392+1):INDEX(高値!$E392:$CZ392,1,$BF392+1)))</f>
      </c>
      <c r="BJ392" s="684">
        <f>IF($BF392="","",AVERAGE(INDEX(終値!$E392:$CZ392,1,$BF392+1):INDEX(終値!$E392:$CZ392,1,$BF392+20))-2*STDEVP(INDEX(終値!$E392:$CZ392,1,$BF392+1):INDEX(終値!$E392:$CZ392,1,$BF392+20)))</f>
      </c>
      <c r="BK392" s="684">
        <f>IF($BE392="","",AVERAGE(INDEX(終値!$E392:$CZ392,1,$BE392+1):INDEX(終値!$E392:$CZ392,1,$BE392+20))-2*STDEVP(INDEX(終値!$E392:$CZ392,1,$BE392+1):INDEX(終値!$E392:$CZ392,1,$BE392+20)))</f>
      </c>
      <c r="BL392" s="684">
        <f>COUNT($AC392:$BC392)</f>
      </c>
      <c r="BM392" s="684">
        <f>IF($BL392&gt;=2,MIN($AC392:$BC392),"")</f>
      </c>
      <c r="BN392" s="684">
        <f>IF($BL392&gt;=2,SMALL($AC392:$BC392,2),"")</f>
      </c>
      <c r="BO392" s="684">
        <f>IF($BM392="","",INDEX(高値!$E392:$CZ392,1,$BM392+1))</f>
      </c>
      <c r="BP392" s="684">
        <f>IF($BN392="","",INDEX(高値!$E392:$CZ392,1,$BN392+1))</f>
      </c>
      <c r="BQ392" s="684">
        <f>IF($BN392="","",MIN(INDEX(安値!$E392:$CZ392,1,$BM392+1):INDEX(安値!$E392:$CZ392,1,$BN392+1)))</f>
      </c>
      <c r="BR392" s="684">
        <f>IF($BN392="","",AVERAGE(INDEX(終値!$E392:$CZ392,1,$BN392+1):INDEX(終値!$E392:$CZ392,1,$BN392+20))+2*STDEVP(INDEX(終値!$E392:$CZ392,1,$BN392+1):INDEX(終値!$E392:$CZ392,1,$BN392+20)))</f>
      </c>
      <c r="BS392" s="684">
        <f>IF($BM392="","",AVERAGE(INDEX(終値!$E392:$CZ392,1,$BM392+1):INDEX(終値!$E392:$CZ392,1,$BM392+20))+2*STDEVP(INDEX(終値!$E392:$CZ392,1,$BM392+1):INDEX(終値!$E392:$CZ392,1,$BM392+20)))</f>
      </c>
      <c r="BT392" s="681">
        <f>IFERROR(IF(AND($BD392&gt;=2,ABS($BG392-$BH392)/$BH392&lt;=BB設定!$B$12,$BI392&gt;=MAX($BH392,$BG392)*(1+BB設定!$B$13),終値!E392&gt;$BG392),IF(OR(終値!E392&gt;=$BI392,AND($BH392&lt;$BJ392,$BG392&gt;=$BK392)),"二番底W▲","二番底W形成"),IF(AND($BL392&gt;=2,ABS($BO392-$BP392)/$BP392&lt;=BB設定!$B$12,$BQ392&lt;=MIN($BP392,$BO392)*(1-BB設定!$B$13),終値!E392&lt;$BO392),IF(OR(終値!E392&lt;=$BQ392,AND($BP392&gt;$BR392,$BO392&lt;=$BS392)),"二番天井M▼","二番天井M形成"),"－")),"－")</f>
      </c>
    </row>
    <row r="393">
      <c r="B393" s="684">
        <f>IF(終値!A393="","",IF(AND(安値!G393&lt;安値!F393,安値!G393&lt;安値!E393,安値!G393&lt;安値!H393,安値!G393&lt;安値!I393),2,""))</f>
      </c>
      <c r="C393" s="684">
        <f>IF(終値!A393="","",IF(AND(安値!H393&lt;安値!G393,安値!H393&lt;安値!F393,安値!H393&lt;安値!I393,安値!H393&lt;安値!J393),3,""))</f>
      </c>
      <c r="D393" s="684">
        <f>IF(終値!A393="","",IF(AND(安値!I393&lt;安値!H393,安値!I393&lt;安値!G393,安値!I393&lt;安値!J393,安値!I393&lt;安値!K393),4,""))</f>
      </c>
      <c r="E393" s="684">
        <f>IF(終値!A393="","",IF(AND(安値!J393&lt;安値!I393,安値!J393&lt;安値!H393,安値!J393&lt;安値!K393,安値!J393&lt;安値!L393),5,""))</f>
      </c>
      <c r="F393" s="684">
        <f>IF(終値!A393="","",IF(AND(安値!K393&lt;安値!J393,安値!K393&lt;安値!I393,安値!K393&lt;安値!L393,安値!K393&lt;安値!M393),6,""))</f>
      </c>
      <c r="G393" s="684">
        <f>IF(終値!A393="","",IF(AND(安値!L393&lt;安値!K393,安値!L393&lt;安値!J393,安値!L393&lt;安値!M393,安値!L393&lt;安値!N393),7,""))</f>
      </c>
      <c r="H393" s="684">
        <f>IF(終値!A393="","",IF(AND(安値!M393&lt;安値!L393,安値!M393&lt;安値!K393,安値!M393&lt;安値!N393,安値!M393&lt;安値!O393),8,""))</f>
      </c>
      <c r="I393" s="684">
        <f>IF(終値!A393="","",IF(AND(安値!N393&lt;安値!M393,安値!N393&lt;安値!L393,安値!N393&lt;安値!O393,安値!N393&lt;安値!P393),9,""))</f>
      </c>
      <c r="J393" s="684">
        <f>IF(終値!A393="","",IF(AND(安値!O393&lt;安値!N393,安値!O393&lt;安値!M393,安値!O393&lt;安値!P393,安値!O393&lt;安値!Q393),10,""))</f>
      </c>
      <c r="K393" s="684">
        <f>IF(終値!A393="","",IF(AND(安値!P393&lt;安値!O393,安値!P393&lt;安値!N393,安値!P393&lt;安値!Q393,安値!P393&lt;安値!R393),11,""))</f>
      </c>
      <c r="L393" s="684">
        <f>IF(終値!A393="","",IF(AND(安値!Q393&lt;安値!P393,安値!Q393&lt;安値!O393,安値!Q393&lt;安値!R393,安値!Q393&lt;安値!S393),12,""))</f>
      </c>
      <c r="M393" s="684">
        <f>IF(終値!A393="","",IF(AND(安値!R393&lt;安値!Q393,安値!R393&lt;安値!P393,安値!R393&lt;安値!S393,安値!R393&lt;安値!T393),13,""))</f>
      </c>
      <c r="N393" s="684">
        <f>IF(終値!A393="","",IF(AND(安値!S393&lt;安値!R393,安値!S393&lt;安値!Q393,安値!S393&lt;安値!T393,安値!S393&lt;安値!U393),14,""))</f>
      </c>
      <c r="O393" s="684">
        <f>IF(終値!A393="","",IF(AND(安値!T393&lt;安値!S393,安値!T393&lt;安値!R393,安値!T393&lt;安値!U393,安値!T393&lt;安値!V393),15,""))</f>
      </c>
      <c r="P393" s="684">
        <f>IF(終値!A393="","",IF(AND(安値!U393&lt;安値!T393,安値!U393&lt;安値!S393,安値!U393&lt;安値!V393,安値!U393&lt;安値!W393),16,""))</f>
      </c>
      <c r="Q393" s="684">
        <f>IF(終値!A393="","",IF(AND(安値!V393&lt;安値!U393,安値!V393&lt;安値!T393,安値!V393&lt;安値!W393,安値!V393&lt;安値!X393),17,""))</f>
      </c>
      <c r="R393" s="684">
        <f>IF(終値!A393="","",IF(AND(安値!W393&lt;安値!V393,安値!W393&lt;安値!U393,安値!W393&lt;安値!X393,安値!W393&lt;安値!Y393),18,""))</f>
      </c>
      <c r="S393" s="684">
        <f>IF(終値!A393="","",IF(AND(安値!X393&lt;安値!W393,安値!X393&lt;安値!V393,安値!X393&lt;安値!Y393,安値!X393&lt;安値!Z393),19,""))</f>
      </c>
      <c r="T393" s="684">
        <f>IF(終値!A393="","",IF(AND(安値!Y393&lt;安値!X393,安値!Y393&lt;安値!W393,安値!Y393&lt;安値!Z393,安値!Y393&lt;安値!AA393),20,""))</f>
      </c>
      <c r="U393" s="684">
        <f>IF(終値!A393="","",IF(AND(安値!Z393&lt;安値!Y393,安値!Z393&lt;安値!X393,安値!Z393&lt;安値!AA393,安値!Z393&lt;安値!AB393),21,""))</f>
      </c>
      <c r="V393" s="684">
        <f>IF(終値!A393="","",IF(AND(安値!AA393&lt;安値!Z393,安値!AA393&lt;安値!Y393,安値!AA393&lt;安値!AB393,安値!AA393&lt;安値!AC393),22,""))</f>
      </c>
      <c r="W393" s="684">
        <f>IF(終値!A393="","",IF(AND(安値!AB393&lt;安値!AA393,安値!AB393&lt;安値!Z393,安値!AB393&lt;安値!AC393,安値!AB393&lt;安値!AD393),23,""))</f>
      </c>
      <c r="X393" s="684">
        <f>IF(終値!A393="","",IF(AND(安値!AC393&lt;安値!AB393,安値!AC393&lt;安値!AA393,安値!AC393&lt;安値!AD393,安値!AC393&lt;安値!AE393),24,""))</f>
      </c>
      <c r="Y393" s="684">
        <f>IF(終値!A393="","",IF(AND(安値!AD393&lt;安値!AC393,安値!AD393&lt;安値!AB393,安値!AD393&lt;安値!AE393,安値!AD393&lt;安値!AF393),25,""))</f>
      </c>
      <c r="Z393" s="684">
        <f>IF(終値!A393="","",IF(AND(安値!AE393&lt;安値!AD393,安値!AE393&lt;安値!AC393,安値!AE393&lt;安値!AF393,安値!AE393&lt;安値!AG393),26,""))</f>
      </c>
      <c r="AA393" s="684">
        <f>IF(終値!A393="","",IF(AND(安値!AF393&lt;安値!AE393,安値!AF393&lt;安値!AD393,安値!AF393&lt;安値!AG393,安値!AF393&lt;安値!AH393),27,""))</f>
      </c>
      <c r="AB393" s="684">
        <f>IF(終値!A393="","",IF(AND(安値!AG393&lt;安値!AF393,安値!AG393&lt;安値!AE393,安値!AG393&lt;安値!AH393,安値!AG393&lt;安値!AI393),28,""))</f>
      </c>
      <c r="AC393" s="684">
        <f>IF(終値!A393="","",IF(AND(高値!G393&gt;高値!F393,高値!G393&gt;高値!E393,高値!G393&gt;高値!H393,高値!G393&gt;高値!I393),2,""))</f>
      </c>
      <c r="AD393" s="684">
        <f>IF(終値!A393="","",IF(AND(高値!H393&gt;高値!G393,高値!H393&gt;高値!F393,高値!H393&gt;高値!I393,高値!H393&gt;高値!J393),3,""))</f>
      </c>
      <c r="AE393" s="684">
        <f>IF(終値!A393="","",IF(AND(高値!I393&gt;高値!H393,高値!I393&gt;高値!G393,高値!I393&gt;高値!J393,高値!I393&gt;高値!K393),4,""))</f>
      </c>
      <c r="AF393" s="684">
        <f>IF(終値!A393="","",IF(AND(高値!J393&gt;高値!I393,高値!J393&gt;高値!H393,高値!J393&gt;高値!K393,高値!J393&gt;高値!L393),5,""))</f>
      </c>
      <c r="AG393" s="684">
        <f>IF(終値!A393="","",IF(AND(高値!K393&gt;高値!J393,高値!K393&gt;高値!I393,高値!K393&gt;高値!L393,高値!K393&gt;高値!M393),6,""))</f>
      </c>
      <c r="AH393" s="684">
        <f>IF(終値!A393="","",IF(AND(高値!L393&gt;高値!K393,高値!L393&gt;高値!J393,高値!L393&gt;高値!M393,高値!L393&gt;高値!N393),7,""))</f>
      </c>
      <c r="AI393" s="684">
        <f>IF(終値!A393="","",IF(AND(高値!M393&gt;高値!L393,高値!M393&gt;高値!K393,高値!M393&gt;高値!N393,高値!M393&gt;高値!O393),8,""))</f>
      </c>
      <c r="AJ393" s="684">
        <f>IF(終値!A393="","",IF(AND(高値!N393&gt;高値!M393,高値!N393&gt;高値!L393,高値!N393&gt;高値!O393,高値!N393&gt;高値!P393),9,""))</f>
      </c>
      <c r="AK393" s="684">
        <f>IF(終値!A393="","",IF(AND(高値!O393&gt;高値!N393,高値!O393&gt;高値!M393,高値!O393&gt;高値!P393,高値!O393&gt;高値!Q393),10,""))</f>
      </c>
      <c r="AL393" s="684">
        <f>IF(終値!A393="","",IF(AND(高値!P393&gt;高値!O393,高値!P393&gt;高値!N393,高値!P393&gt;高値!Q393,高値!P393&gt;高値!R393),11,""))</f>
      </c>
      <c r="AM393" s="684">
        <f>IF(終値!A393="","",IF(AND(高値!Q393&gt;高値!P393,高値!Q393&gt;高値!O393,高値!Q393&gt;高値!R393,高値!Q393&gt;高値!S393),12,""))</f>
      </c>
      <c r="AN393" s="684">
        <f>IF(終値!A393="","",IF(AND(高値!R393&gt;高値!Q393,高値!R393&gt;高値!P393,高値!R393&gt;高値!S393,高値!R393&gt;高値!T393),13,""))</f>
      </c>
      <c r="AO393" s="684">
        <f>IF(終値!A393="","",IF(AND(高値!S393&gt;高値!R393,高値!S393&gt;高値!Q393,高値!S393&gt;高値!T393,高値!S393&gt;高値!U393),14,""))</f>
      </c>
      <c r="AP393" s="684">
        <f>IF(終値!A393="","",IF(AND(高値!T393&gt;高値!S393,高値!T393&gt;高値!R393,高値!T393&gt;高値!U393,高値!T393&gt;高値!V393),15,""))</f>
      </c>
      <c r="AQ393" s="684">
        <f>IF(終値!A393="","",IF(AND(高値!U393&gt;高値!T393,高値!U393&gt;高値!S393,高値!U393&gt;高値!V393,高値!U393&gt;高値!W393),16,""))</f>
      </c>
      <c r="AR393" s="684">
        <f>IF(終値!A393="","",IF(AND(高値!V393&gt;高値!U393,高値!V393&gt;高値!T393,高値!V393&gt;高値!W393,高値!V393&gt;高値!X393),17,""))</f>
      </c>
      <c r="AS393" s="684">
        <f>IF(終値!A393="","",IF(AND(高値!W393&gt;高値!V393,高値!W393&gt;高値!U393,高値!W393&gt;高値!X393,高値!W393&gt;高値!Y393),18,""))</f>
      </c>
      <c r="AT393" s="684">
        <f>IF(終値!A393="","",IF(AND(高値!X393&gt;高値!W393,高値!X393&gt;高値!V393,高値!X393&gt;高値!Y393,高値!X393&gt;高値!Z393),19,""))</f>
      </c>
      <c r="AU393" s="684">
        <f>IF(終値!A393="","",IF(AND(高値!Y393&gt;高値!X393,高値!Y393&gt;高値!W393,高値!Y393&gt;高値!Z393,高値!Y393&gt;高値!AA393),20,""))</f>
      </c>
      <c r="AV393" s="684">
        <f>IF(終値!A393="","",IF(AND(高値!Z393&gt;高値!Y393,高値!Z393&gt;高値!X393,高値!Z393&gt;高値!AA393,高値!Z393&gt;高値!AB393),21,""))</f>
      </c>
      <c r="AW393" s="684">
        <f>IF(終値!A393="","",IF(AND(高値!AA393&gt;高値!Z393,高値!AA393&gt;高値!Y393,高値!AA393&gt;高値!AB393,高値!AA393&gt;高値!AC393),22,""))</f>
      </c>
      <c r="AX393" s="684">
        <f>IF(終値!A393="","",IF(AND(高値!AB393&gt;高値!AA393,高値!AB393&gt;高値!Z393,高値!AB393&gt;高値!AC393,高値!AB393&gt;高値!AD393),23,""))</f>
      </c>
      <c r="AY393" s="684">
        <f>IF(終値!A393="","",IF(AND(高値!AC393&gt;高値!AB393,高値!AC393&gt;高値!AA393,高値!AC393&gt;高値!AD393,高値!AC393&gt;高値!AE393),24,""))</f>
      </c>
      <c r="AZ393" s="684">
        <f>IF(終値!A393="","",IF(AND(高値!AD393&gt;高値!AC393,高値!AD393&gt;高値!AB393,高値!AD393&gt;高値!AE393,高値!AD393&gt;高値!AF393),25,""))</f>
      </c>
      <c r="BA393" s="684">
        <f>IF(終値!A393="","",IF(AND(高値!AE393&gt;高値!AD393,高値!AE393&gt;高値!AC393,高値!AE393&gt;高値!AF393,高値!AE393&gt;高値!AG393),26,""))</f>
      </c>
      <c r="BB393" s="684">
        <f>IF(終値!A393="","",IF(AND(高値!AF393&gt;高値!AE393,高値!AF393&gt;高値!AD393,高値!AF393&gt;高値!AG393,高値!AF393&gt;高値!AH393),27,""))</f>
      </c>
      <c r="BC393" s="684">
        <f>IF(終値!A393="","",IF(AND(高値!AG393&gt;高値!AF393,高値!AG393&gt;高値!AE393,高値!AG393&gt;高値!AH393,高値!AG393&gt;高値!AI393),28,""))</f>
      </c>
      <c r="BD393" s="684">
        <f>COUNT($B393:$AB393)</f>
      </c>
      <c r="BE393" s="684">
        <f>IF($BD393&gt;=2,MIN($B393:$AB393),"")</f>
      </c>
      <c r="BF393" s="684">
        <f>IF($BD393&gt;=2,SMALL($B393:$AB393,2),"")</f>
      </c>
      <c r="BG393" s="684">
        <f>IF($BE393="","",INDEX(安値!$E393:$CZ393,1,$BE393+1))</f>
      </c>
      <c r="BH393" s="684">
        <f>IF($BF393="","",INDEX(安値!$E393:$CZ393,1,$BF393+1))</f>
      </c>
      <c r="BI393" s="684">
        <f>IF($BF393="","",MAX(INDEX(高値!$E393:$CZ393,1,$BE393+1):INDEX(高値!$E393:$CZ393,1,$BF393+1)))</f>
      </c>
      <c r="BJ393" s="684">
        <f>IF($BF393="","",AVERAGE(INDEX(終値!$E393:$CZ393,1,$BF393+1):INDEX(終値!$E393:$CZ393,1,$BF393+20))-2*STDEVP(INDEX(終値!$E393:$CZ393,1,$BF393+1):INDEX(終値!$E393:$CZ393,1,$BF393+20)))</f>
      </c>
      <c r="BK393" s="684">
        <f>IF($BE393="","",AVERAGE(INDEX(終値!$E393:$CZ393,1,$BE393+1):INDEX(終値!$E393:$CZ393,1,$BE393+20))-2*STDEVP(INDEX(終値!$E393:$CZ393,1,$BE393+1):INDEX(終値!$E393:$CZ393,1,$BE393+20)))</f>
      </c>
      <c r="BL393" s="684">
        <f>COUNT($AC393:$BC393)</f>
      </c>
      <c r="BM393" s="684">
        <f>IF($BL393&gt;=2,MIN($AC393:$BC393),"")</f>
      </c>
      <c r="BN393" s="684">
        <f>IF($BL393&gt;=2,SMALL($AC393:$BC393,2),"")</f>
      </c>
      <c r="BO393" s="684">
        <f>IF($BM393="","",INDEX(高値!$E393:$CZ393,1,$BM393+1))</f>
      </c>
      <c r="BP393" s="684">
        <f>IF($BN393="","",INDEX(高値!$E393:$CZ393,1,$BN393+1))</f>
      </c>
      <c r="BQ393" s="684">
        <f>IF($BN393="","",MIN(INDEX(安値!$E393:$CZ393,1,$BM393+1):INDEX(安値!$E393:$CZ393,1,$BN393+1)))</f>
      </c>
      <c r="BR393" s="684">
        <f>IF($BN393="","",AVERAGE(INDEX(終値!$E393:$CZ393,1,$BN393+1):INDEX(終値!$E393:$CZ393,1,$BN393+20))+2*STDEVP(INDEX(終値!$E393:$CZ393,1,$BN393+1):INDEX(終値!$E393:$CZ393,1,$BN393+20)))</f>
      </c>
      <c r="BS393" s="684">
        <f>IF($BM393="","",AVERAGE(INDEX(終値!$E393:$CZ393,1,$BM393+1):INDEX(終値!$E393:$CZ393,1,$BM393+20))+2*STDEVP(INDEX(終値!$E393:$CZ393,1,$BM393+1):INDEX(終値!$E393:$CZ393,1,$BM393+20)))</f>
      </c>
      <c r="BT393" s="681">
        <f>IFERROR(IF(AND($BD393&gt;=2,ABS($BG393-$BH393)/$BH393&lt;=BB設定!$B$12,$BI393&gt;=MAX($BH393,$BG393)*(1+BB設定!$B$13),終値!E393&gt;$BG393),IF(OR(終値!E393&gt;=$BI393,AND($BH393&lt;$BJ393,$BG393&gt;=$BK393)),"二番底W▲","二番底W形成"),IF(AND($BL393&gt;=2,ABS($BO393-$BP393)/$BP393&lt;=BB設定!$B$12,$BQ393&lt;=MIN($BP393,$BO393)*(1-BB設定!$B$13),終値!E393&lt;$BO393),IF(OR(終値!E393&lt;=$BQ393,AND($BP393&gt;$BR393,$BO393&lt;=$BS393)),"二番天井M▼","二番天井M形成"),"－")),"－")</f>
      </c>
    </row>
    <row r="394">
      <c r="B394" s="684">
        <f>IF(終値!A394="","",IF(AND(安値!G394&lt;安値!F394,安値!G394&lt;安値!E394,安値!G394&lt;安値!H394,安値!G394&lt;安値!I394),2,""))</f>
      </c>
      <c r="C394" s="684">
        <f>IF(終値!A394="","",IF(AND(安値!H394&lt;安値!G394,安値!H394&lt;安値!F394,安値!H394&lt;安値!I394,安値!H394&lt;安値!J394),3,""))</f>
      </c>
      <c r="D394" s="684">
        <f>IF(終値!A394="","",IF(AND(安値!I394&lt;安値!H394,安値!I394&lt;安値!G394,安値!I394&lt;安値!J394,安値!I394&lt;安値!K394),4,""))</f>
      </c>
      <c r="E394" s="684">
        <f>IF(終値!A394="","",IF(AND(安値!J394&lt;安値!I394,安値!J394&lt;安値!H394,安値!J394&lt;安値!K394,安値!J394&lt;安値!L394),5,""))</f>
      </c>
      <c r="F394" s="684">
        <f>IF(終値!A394="","",IF(AND(安値!K394&lt;安値!J394,安値!K394&lt;安値!I394,安値!K394&lt;安値!L394,安値!K394&lt;安値!M394),6,""))</f>
      </c>
      <c r="G394" s="684">
        <f>IF(終値!A394="","",IF(AND(安値!L394&lt;安値!K394,安値!L394&lt;安値!J394,安値!L394&lt;安値!M394,安値!L394&lt;安値!N394),7,""))</f>
      </c>
      <c r="H394" s="684">
        <f>IF(終値!A394="","",IF(AND(安値!M394&lt;安値!L394,安値!M394&lt;安値!K394,安値!M394&lt;安値!N394,安値!M394&lt;安値!O394),8,""))</f>
      </c>
      <c r="I394" s="684">
        <f>IF(終値!A394="","",IF(AND(安値!N394&lt;安値!M394,安値!N394&lt;安値!L394,安値!N394&lt;安値!O394,安値!N394&lt;安値!P394),9,""))</f>
      </c>
      <c r="J394" s="684">
        <f>IF(終値!A394="","",IF(AND(安値!O394&lt;安値!N394,安値!O394&lt;安値!M394,安値!O394&lt;安値!P394,安値!O394&lt;安値!Q394),10,""))</f>
      </c>
      <c r="K394" s="684">
        <f>IF(終値!A394="","",IF(AND(安値!P394&lt;安値!O394,安値!P394&lt;安値!N394,安値!P394&lt;安値!Q394,安値!P394&lt;安値!R394),11,""))</f>
      </c>
      <c r="L394" s="684">
        <f>IF(終値!A394="","",IF(AND(安値!Q394&lt;安値!P394,安値!Q394&lt;安値!O394,安値!Q394&lt;安値!R394,安値!Q394&lt;安値!S394),12,""))</f>
      </c>
      <c r="M394" s="684">
        <f>IF(終値!A394="","",IF(AND(安値!R394&lt;安値!Q394,安値!R394&lt;安値!P394,安値!R394&lt;安値!S394,安値!R394&lt;安値!T394),13,""))</f>
      </c>
      <c r="N394" s="684">
        <f>IF(終値!A394="","",IF(AND(安値!S394&lt;安値!R394,安値!S394&lt;安値!Q394,安値!S394&lt;安値!T394,安値!S394&lt;安値!U394),14,""))</f>
      </c>
      <c r="O394" s="684">
        <f>IF(終値!A394="","",IF(AND(安値!T394&lt;安値!S394,安値!T394&lt;安値!R394,安値!T394&lt;安値!U394,安値!T394&lt;安値!V394),15,""))</f>
      </c>
      <c r="P394" s="684">
        <f>IF(終値!A394="","",IF(AND(安値!U394&lt;安値!T394,安値!U394&lt;安値!S394,安値!U394&lt;安値!V394,安値!U394&lt;安値!W394),16,""))</f>
      </c>
      <c r="Q394" s="684">
        <f>IF(終値!A394="","",IF(AND(安値!V394&lt;安値!U394,安値!V394&lt;安値!T394,安値!V394&lt;安値!W394,安値!V394&lt;安値!X394),17,""))</f>
      </c>
      <c r="R394" s="684">
        <f>IF(終値!A394="","",IF(AND(安値!W394&lt;安値!V394,安値!W394&lt;安値!U394,安値!W394&lt;安値!X394,安値!W394&lt;安値!Y394),18,""))</f>
      </c>
      <c r="S394" s="684">
        <f>IF(終値!A394="","",IF(AND(安値!X394&lt;安値!W394,安値!X394&lt;安値!V394,安値!X394&lt;安値!Y394,安値!X394&lt;安値!Z394),19,""))</f>
      </c>
      <c r="T394" s="684">
        <f>IF(終値!A394="","",IF(AND(安値!Y394&lt;安値!X394,安値!Y394&lt;安値!W394,安値!Y394&lt;安値!Z394,安値!Y394&lt;安値!AA394),20,""))</f>
      </c>
      <c r="U394" s="684">
        <f>IF(終値!A394="","",IF(AND(安値!Z394&lt;安値!Y394,安値!Z394&lt;安値!X394,安値!Z394&lt;安値!AA394,安値!Z394&lt;安値!AB394),21,""))</f>
      </c>
      <c r="V394" s="684">
        <f>IF(終値!A394="","",IF(AND(安値!AA394&lt;安値!Z394,安値!AA394&lt;安値!Y394,安値!AA394&lt;安値!AB394,安値!AA394&lt;安値!AC394),22,""))</f>
      </c>
      <c r="W394" s="684">
        <f>IF(終値!A394="","",IF(AND(安値!AB394&lt;安値!AA394,安値!AB394&lt;安値!Z394,安値!AB394&lt;安値!AC394,安値!AB394&lt;安値!AD394),23,""))</f>
      </c>
      <c r="X394" s="684">
        <f>IF(終値!A394="","",IF(AND(安値!AC394&lt;安値!AB394,安値!AC394&lt;安値!AA394,安値!AC394&lt;安値!AD394,安値!AC394&lt;安値!AE394),24,""))</f>
      </c>
      <c r="Y394" s="684">
        <f>IF(終値!A394="","",IF(AND(安値!AD394&lt;安値!AC394,安値!AD394&lt;安値!AB394,安値!AD394&lt;安値!AE394,安値!AD394&lt;安値!AF394),25,""))</f>
      </c>
      <c r="Z394" s="684">
        <f>IF(終値!A394="","",IF(AND(安値!AE394&lt;安値!AD394,安値!AE394&lt;安値!AC394,安値!AE394&lt;安値!AF394,安値!AE394&lt;安値!AG394),26,""))</f>
      </c>
      <c r="AA394" s="684">
        <f>IF(終値!A394="","",IF(AND(安値!AF394&lt;安値!AE394,安値!AF394&lt;安値!AD394,安値!AF394&lt;安値!AG394,安値!AF394&lt;安値!AH394),27,""))</f>
      </c>
      <c r="AB394" s="684">
        <f>IF(終値!A394="","",IF(AND(安値!AG394&lt;安値!AF394,安値!AG394&lt;安値!AE394,安値!AG394&lt;安値!AH394,安値!AG394&lt;安値!AI394),28,""))</f>
      </c>
      <c r="AC394" s="684">
        <f>IF(終値!A394="","",IF(AND(高値!G394&gt;高値!F394,高値!G394&gt;高値!E394,高値!G394&gt;高値!H394,高値!G394&gt;高値!I394),2,""))</f>
      </c>
      <c r="AD394" s="684">
        <f>IF(終値!A394="","",IF(AND(高値!H394&gt;高値!G394,高値!H394&gt;高値!F394,高値!H394&gt;高値!I394,高値!H394&gt;高値!J394),3,""))</f>
      </c>
      <c r="AE394" s="684">
        <f>IF(終値!A394="","",IF(AND(高値!I394&gt;高値!H394,高値!I394&gt;高値!G394,高値!I394&gt;高値!J394,高値!I394&gt;高値!K394),4,""))</f>
      </c>
      <c r="AF394" s="684">
        <f>IF(終値!A394="","",IF(AND(高値!J394&gt;高値!I394,高値!J394&gt;高値!H394,高値!J394&gt;高値!K394,高値!J394&gt;高値!L394),5,""))</f>
      </c>
      <c r="AG394" s="684">
        <f>IF(終値!A394="","",IF(AND(高値!K394&gt;高値!J394,高値!K394&gt;高値!I394,高値!K394&gt;高値!L394,高値!K394&gt;高値!M394),6,""))</f>
      </c>
      <c r="AH394" s="684">
        <f>IF(終値!A394="","",IF(AND(高値!L394&gt;高値!K394,高値!L394&gt;高値!J394,高値!L394&gt;高値!M394,高値!L394&gt;高値!N394),7,""))</f>
      </c>
      <c r="AI394" s="684">
        <f>IF(終値!A394="","",IF(AND(高値!M394&gt;高値!L394,高値!M394&gt;高値!K394,高値!M394&gt;高値!N394,高値!M394&gt;高値!O394),8,""))</f>
      </c>
      <c r="AJ394" s="684">
        <f>IF(終値!A394="","",IF(AND(高値!N394&gt;高値!M394,高値!N394&gt;高値!L394,高値!N394&gt;高値!O394,高値!N394&gt;高値!P394),9,""))</f>
      </c>
      <c r="AK394" s="684">
        <f>IF(終値!A394="","",IF(AND(高値!O394&gt;高値!N394,高値!O394&gt;高値!M394,高値!O394&gt;高値!P394,高値!O394&gt;高値!Q394),10,""))</f>
      </c>
      <c r="AL394" s="684">
        <f>IF(終値!A394="","",IF(AND(高値!P394&gt;高値!O394,高値!P394&gt;高値!N394,高値!P394&gt;高値!Q394,高値!P394&gt;高値!R394),11,""))</f>
      </c>
      <c r="AM394" s="684">
        <f>IF(終値!A394="","",IF(AND(高値!Q394&gt;高値!P394,高値!Q394&gt;高値!O394,高値!Q394&gt;高値!R394,高値!Q394&gt;高値!S394),12,""))</f>
      </c>
      <c r="AN394" s="684">
        <f>IF(終値!A394="","",IF(AND(高値!R394&gt;高値!Q394,高値!R394&gt;高値!P394,高値!R394&gt;高値!S394,高値!R394&gt;高値!T394),13,""))</f>
      </c>
      <c r="AO394" s="684">
        <f>IF(終値!A394="","",IF(AND(高値!S394&gt;高値!R394,高値!S394&gt;高値!Q394,高値!S394&gt;高値!T394,高値!S394&gt;高値!U394),14,""))</f>
      </c>
      <c r="AP394" s="684">
        <f>IF(終値!A394="","",IF(AND(高値!T394&gt;高値!S394,高値!T394&gt;高値!R394,高値!T394&gt;高値!U394,高値!T394&gt;高値!V394),15,""))</f>
      </c>
      <c r="AQ394" s="684">
        <f>IF(終値!A394="","",IF(AND(高値!U394&gt;高値!T394,高値!U394&gt;高値!S394,高値!U394&gt;高値!V394,高値!U394&gt;高値!W394),16,""))</f>
      </c>
      <c r="AR394" s="684">
        <f>IF(終値!A394="","",IF(AND(高値!V394&gt;高値!U394,高値!V394&gt;高値!T394,高値!V394&gt;高値!W394,高値!V394&gt;高値!X394),17,""))</f>
      </c>
      <c r="AS394" s="684">
        <f>IF(終値!A394="","",IF(AND(高値!W394&gt;高値!V394,高値!W394&gt;高値!U394,高値!W394&gt;高値!X394,高値!W394&gt;高値!Y394),18,""))</f>
      </c>
      <c r="AT394" s="684">
        <f>IF(終値!A394="","",IF(AND(高値!X394&gt;高値!W394,高値!X394&gt;高値!V394,高値!X394&gt;高値!Y394,高値!X394&gt;高値!Z394),19,""))</f>
      </c>
      <c r="AU394" s="684">
        <f>IF(終値!A394="","",IF(AND(高値!Y394&gt;高値!X394,高値!Y394&gt;高値!W394,高値!Y394&gt;高値!Z394,高値!Y394&gt;高値!AA394),20,""))</f>
      </c>
      <c r="AV394" s="684">
        <f>IF(終値!A394="","",IF(AND(高値!Z394&gt;高値!Y394,高値!Z394&gt;高値!X394,高値!Z394&gt;高値!AA394,高値!Z394&gt;高値!AB394),21,""))</f>
      </c>
      <c r="AW394" s="684">
        <f>IF(終値!A394="","",IF(AND(高値!AA394&gt;高値!Z394,高値!AA394&gt;高値!Y394,高値!AA394&gt;高値!AB394,高値!AA394&gt;高値!AC394),22,""))</f>
      </c>
      <c r="AX394" s="684">
        <f>IF(終値!A394="","",IF(AND(高値!AB394&gt;高値!AA394,高値!AB394&gt;高値!Z394,高値!AB394&gt;高値!AC394,高値!AB394&gt;高値!AD394),23,""))</f>
      </c>
      <c r="AY394" s="684">
        <f>IF(終値!A394="","",IF(AND(高値!AC394&gt;高値!AB394,高値!AC394&gt;高値!AA394,高値!AC394&gt;高値!AD394,高値!AC394&gt;高値!AE394),24,""))</f>
      </c>
      <c r="AZ394" s="684">
        <f>IF(終値!A394="","",IF(AND(高値!AD394&gt;高値!AC394,高値!AD394&gt;高値!AB394,高値!AD394&gt;高値!AE394,高値!AD394&gt;高値!AF394),25,""))</f>
      </c>
      <c r="BA394" s="684">
        <f>IF(終値!A394="","",IF(AND(高値!AE394&gt;高値!AD394,高値!AE394&gt;高値!AC394,高値!AE394&gt;高値!AF394,高値!AE394&gt;高値!AG394),26,""))</f>
      </c>
      <c r="BB394" s="684">
        <f>IF(終値!A394="","",IF(AND(高値!AF394&gt;高値!AE394,高値!AF394&gt;高値!AD394,高値!AF394&gt;高値!AG394,高値!AF394&gt;高値!AH394),27,""))</f>
      </c>
      <c r="BC394" s="684">
        <f>IF(終値!A394="","",IF(AND(高値!AG394&gt;高値!AF394,高値!AG394&gt;高値!AE394,高値!AG394&gt;高値!AH394,高値!AG394&gt;高値!AI394),28,""))</f>
      </c>
      <c r="BD394" s="684">
        <f>COUNT($B394:$AB394)</f>
      </c>
      <c r="BE394" s="684">
        <f>IF($BD394&gt;=2,MIN($B394:$AB394),"")</f>
      </c>
      <c r="BF394" s="684">
        <f>IF($BD394&gt;=2,SMALL($B394:$AB394,2),"")</f>
      </c>
      <c r="BG394" s="684">
        <f>IF($BE394="","",INDEX(安値!$E394:$CZ394,1,$BE394+1))</f>
      </c>
      <c r="BH394" s="684">
        <f>IF($BF394="","",INDEX(安値!$E394:$CZ394,1,$BF394+1))</f>
      </c>
      <c r="BI394" s="684">
        <f>IF($BF394="","",MAX(INDEX(高値!$E394:$CZ394,1,$BE394+1):INDEX(高値!$E394:$CZ394,1,$BF394+1)))</f>
      </c>
      <c r="BJ394" s="684">
        <f>IF($BF394="","",AVERAGE(INDEX(終値!$E394:$CZ394,1,$BF394+1):INDEX(終値!$E394:$CZ394,1,$BF394+20))-2*STDEVP(INDEX(終値!$E394:$CZ394,1,$BF394+1):INDEX(終値!$E394:$CZ394,1,$BF394+20)))</f>
      </c>
      <c r="BK394" s="684">
        <f>IF($BE394="","",AVERAGE(INDEX(終値!$E394:$CZ394,1,$BE394+1):INDEX(終値!$E394:$CZ394,1,$BE394+20))-2*STDEVP(INDEX(終値!$E394:$CZ394,1,$BE394+1):INDEX(終値!$E394:$CZ394,1,$BE394+20)))</f>
      </c>
      <c r="BL394" s="684">
        <f>COUNT($AC394:$BC394)</f>
      </c>
      <c r="BM394" s="684">
        <f>IF($BL394&gt;=2,MIN($AC394:$BC394),"")</f>
      </c>
      <c r="BN394" s="684">
        <f>IF($BL394&gt;=2,SMALL($AC394:$BC394,2),"")</f>
      </c>
      <c r="BO394" s="684">
        <f>IF($BM394="","",INDEX(高値!$E394:$CZ394,1,$BM394+1))</f>
      </c>
      <c r="BP394" s="684">
        <f>IF($BN394="","",INDEX(高値!$E394:$CZ394,1,$BN394+1))</f>
      </c>
      <c r="BQ394" s="684">
        <f>IF($BN394="","",MIN(INDEX(安値!$E394:$CZ394,1,$BM394+1):INDEX(安値!$E394:$CZ394,1,$BN394+1)))</f>
      </c>
      <c r="BR394" s="684">
        <f>IF($BN394="","",AVERAGE(INDEX(終値!$E394:$CZ394,1,$BN394+1):INDEX(終値!$E394:$CZ394,1,$BN394+20))+2*STDEVP(INDEX(終値!$E394:$CZ394,1,$BN394+1):INDEX(終値!$E394:$CZ394,1,$BN394+20)))</f>
      </c>
      <c r="BS394" s="684">
        <f>IF($BM394="","",AVERAGE(INDEX(終値!$E394:$CZ394,1,$BM394+1):INDEX(終値!$E394:$CZ394,1,$BM394+20))+2*STDEVP(INDEX(終値!$E394:$CZ394,1,$BM394+1):INDEX(終値!$E394:$CZ394,1,$BM394+20)))</f>
      </c>
      <c r="BT394" s="681">
        <f>IFERROR(IF(AND($BD394&gt;=2,ABS($BG394-$BH394)/$BH394&lt;=BB設定!$B$12,$BI394&gt;=MAX($BH394,$BG394)*(1+BB設定!$B$13),終値!E394&gt;$BG394),IF(OR(終値!E394&gt;=$BI394,AND($BH394&lt;$BJ394,$BG394&gt;=$BK394)),"二番底W▲","二番底W形成"),IF(AND($BL394&gt;=2,ABS($BO394-$BP394)/$BP394&lt;=BB設定!$B$12,$BQ394&lt;=MIN($BP394,$BO394)*(1-BB設定!$B$13),終値!E394&lt;$BO394),IF(OR(終値!E394&lt;=$BQ394,AND($BP394&gt;$BR394,$BO394&lt;=$BS394)),"二番天井M▼","二番天井M形成"),"－")),"－")</f>
      </c>
    </row>
    <row r="395">
      <c r="B395" s="684">
        <f>IF(終値!A395="","",IF(AND(安値!G395&lt;安値!F395,安値!G395&lt;安値!E395,安値!G395&lt;安値!H395,安値!G395&lt;安値!I395),2,""))</f>
      </c>
      <c r="C395" s="684">
        <f>IF(終値!A395="","",IF(AND(安値!H395&lt;安値!G395,安値!H395&lt;安値!F395,安値!H395&lt;安値!I395,安値!H395&lt;安値!J395),3,""))</f>
      </c>
      <c r="D395" s="684">
        <f>IF(終値!A395="","",IF(AND(安値!I395&lt;安値!H395,安値!I395&lt;安値!G395,安値!I395&lt;安値!J395,安値!I395&lt;安値!K395),4,""))</f>
      </c>
      <c r="E395" s="684">
        <f>IF(終値!A395="","",IF(AND(安値!J395&lt;安値!I395,安値!J395&lt;安値!H395,安値!J395&lt;安値!K395,安値!J395&lt;安値!L395),5,""))</f>
      </c>
      <c r="F395" s="684">
        <f>IF(終値!A395="","",IF(AND(安値!K395&lt;安値!J395,安値!K395&lt;安値!I395,安値!K395&lt;安値!L395,安値!K395&lt;安値!M395),6,""))</f>
      </c>
      <c r="G395" s="684">
        <f>IF(終値!A395="","",IF(AND(安値!L395&lt;安値!K395,安値!L395&lt;安値!J395,安値!L395&lt;安値!M395,安値!L395&lt;安値!N395),7,""))</f>
      </c>
      <c r="H395" s="684">
        <f>IF(終値!A395="","",IF(AND(安値!M395&lt;安値!L395,安値!M395&lt;安値!K395,安値!M395&lt;安値!N395,安値!M395&lt;安値!O395),8,""))</f>
      </c>
      <c r="I395" s="684">
        <f>IF(終値!A395="","",IF(AND(安値!N395&lt;安値!M395,安値!N395&lt;安値!L395,安値!N395&lt;安値!O395,安値!N395&lt;安値!P395),9,""))</f>
      </c>
      <c r="J395" s="684">
        <f>IF(終値!A395="","",IF(AND(安値!O395&lt;安値!N395,安値!O395&lt;安値!M395,安値!O395&lt;安値!P395,安値!O395&lt;安値!Q395),10,""))</f>
      </c>
      <c r="K395" s="684">
        <f>IF(終値!A395="","",IF(AND(安値!P395&lt;安値!O395,安値!P395&lt;安値!N395,安値!P395&lt;安値!Q395,安値!P395&lt;安値!R395),11,""))</f>
      </c>
      <c r="L395" s="684">
        <f>IF(終値!A395="","",IF(AND(安値!Q395&lt;安値!P395,安値!Q395&lt;安値!O395,安値!Q395&lt;安値!R395,安値!Q395&lt;安値!S395),12,""))</f>
      </c>
      <c r="M395" s="684">
        <f>IF(終値!A395="","",IF(AND(安値!R395&lt;安値!Q395,安値!R395&lt;安値!P395,安値!R395&lt;安値!S395,安値!R395&lt;安値!T395),13,""))</f>
      </c>
      <c r="N395" s="684">
        <f>IF(終値!A395="","",IF(AND(安値!S395&lt;安値!R395,安値!S395&lt;安値!Q395,安値!S395&lt;安値!T395,安値!S395&lt;安値!U395),14,""))</f>
      </c>
      <c r="O395" s="684">
        <f>IF(終値!A395="","",IF(AND(安値!T395&lt;安値!S395,安値!T395&lt;安値!R395,安値!T395&lt;安値!U395,安値!T395&lt;安値!V395),15,""))</f>
      </c>
      <c r="P395" s="684">
        <f>IF(終値!A395="","",IF(AND(安値!U395&lt;安値!T395,安値!U395&lt;安値!S395,安値!U395&lt;安値!V395,安値!U395&lt;安値!W395),16,""))</f>
      </c>
      <c r="Q395" s="684">
        <f>IF(終値!A395="","",IF(AND(安値!V395&lt;安値!U395,安値!V395&lt;安値!T395,安値!V395&lt;安値!W395,安値!V395&lt;安値!X395),17,""))</f>
      </c>
      <c r="R395" s="684">
        <f>IF(終値!A395="","",IF(AND(安値!W395&lt;安値!V395,安値!W395&lt;安値!U395,安値!W395&lt;安値!X395,安値!W395&lt;安値!Y395),18,""))</f>
      </c>
      <c r="S395" s="684">
        <f>IF(終値!A395="","",IF(AND(安値!X395&lt;安値!W395,安値!X395&lt;安値!V395,安値!X395&lt;安値!Y395,安値!X395&lt;安値!Z395),19,""))</f>
      </c>
      <c r="T395" s="684">
        <f>IF(終値!A395="","",IF(AND(安値!Y395&lt;安値!X395,安値!Y395&lt;安値!W395,安値!Y395&lt;安値!Z395,安値!Y395&lt;安値!AA395),20,""))</f>
      </c>
      <c r="U395" s="684">
        <f>IF(終値!A395="","",IF(AND(安値!Z395&lt;安値!Y395,安値!Z395&lt;安値!X395,安値!Z395&lt;安値!AA395,安値!Z395&lt;安値!AB395),21,""))</f>
      </c>
      <c r="V395" s="684">
        <f>IF(終値!A395="","",IF(AND(安値!AA395&lt;安値!Z395,安値!AA395&lt;安値!Y395,安値!AA395&lt;安値!AB395,安値!AA395&lt;安値!AC395),22,""))</f>
      </c>
      <c r="W395" s="684">
        <f>IF(終値!A395="","",IF(AND(安値!AB395&lt;安値!AA395,安値!AB395&lt;安値!Z395,安値!AB395&lt;安値!AC395,安値!AB395&lt;安値!AD395),23,""))</f>
      </c>
      <c r="X395" s="684">
        <f>IF(終値!A395="","",IF(AND(安値!AC395&lt;安値!AB395,安値!AC395&lt;安値!AA395,安値!AC395&lt;安値!AD395,安値!AC395&lt;安値!AE395),24,""))</f>
      </c>
      <c r="Y395" s="684">
        <f>IF(終値!A395="","",IF(AND(安値!AD395&lt;安値!AC395,安値!AD395&lt;安値!AB395,安値!AD395&lt;安値!AE395,安値!AD395&lt;安値!AF395),25,""))</f>
      </c>
      <c r="Z395" s="684">
        <f>IF(終値!A395="","",IF(AND(安値!AE395&lt;安値!AD395,安値!AE395&lt;安値!AC395,安値!AE395&lt;安値!AF395,安値!AE395&lt;安値!AG395),26,""))</f>
      </c>
      <c r="AA395" s="684">
        <f>IF(終値!A395="","",IF(AND(安値!AF395&lt;安値!AE395,安値!AF395&lt;安値!AD395,安値!AF395&lt;安値!AG395,安値!AF395&lt;安値!AH395),27,""))</f>
      </c>
      <c r="AB395" s="684">
        <f>IF(終値!A395="","",IF(AND(安値!AG395&lt;安値!AF395,安値!AG395&lt;安値!AE395,安値!AG395&lt;安値!AH395,安値!AG395&lt;安値!AI395),28,""))</f>
      </c>
      <c r="AC395" s="684">
        <f>IF(終値!A395="","",IF(AND(高値!G395&gt;高値!F395,高値!G395&gt;高値!E395,高値!G395&gt;高値!H395,高値!G395&gt;高値!I395),2,""))</f>
      </c>
      <c r="AD395" s="684">
        <f>IF(終値!A395="","",IF(AND(高値!H395&gt;高値!G395,高値!H395&gt;高値!F395,高値!H395&gt;高値!I395,高値!H395&gt;高値!J395),3,""))</f>
      </c>
      <c r="AE395" s="684">
        <f>IF(終値!A395="","",IF(AND(高値!I395&gt;高値!H395,高値!I395&gt;高値!G395,高値!I395&gt;高値!J395,高値!I395&gt;高値!K395),4,""))</f>
      </c>
      <c r="AF395" s="684">
        <f>IF(終値!A395="","",IF(AND(高値!J395&gt;高値!I395,高値!J395&gt;高値!H395,高値!J395&gt;高値!K395,高値!J395&gt;高値!L395),5,""))</f>
      </c>
      <c r="AG395" s="684">
        <f>IF(終値!A395="","",IF(AND(高値!K395&gt;高値!J395,高値!K395&gt;高値!I395,高値!K395&gt;高値!L395,高値!K395&gt;高値!M395),6,""))</f>
      </c>
      <c r="AH395" s="684">
        <f>IF(終値!A395="","",IF(AND(高値!L395&gt;高値!K395,高値!L395&gt;高値!J395,高値!L395&gt;高値!M395,高値!L395&gt;高値!N395),7,""))</f>
      </c>
      <c r="AI395" s="684">
        <f>IF(終値!A395="","",IF(AND(高値!M395&gt;高値!L395,高値!M395&gt;高値!K395,高値!M395&gt;高値!N395,高値!M395&gt;高値!O395),8,""))</f>
      </c>
      <c r="AJ395" s="684">
        <f>IF(終値!A395="","",IF(AND(高値!N395&gt;高値!M395,高値!N395&gt;高値!L395,高値!N395&gt;高値!O395,高値!N395&gt;高値!P395),9,""))</f>
      </c>
      <c r="AK395" s="684">
        <f>IF(終値!A395="","",IF(AND(高値!O395&gt;高値!N395,高値!O395&gt;高値!M395,高値!O395&gt;高値!P395,高値!O395&gt;高値!Q395),10,""))</f>
      </c>
      <c r="AL395" s="684">
        <f>IF(終値!A395="","",IF(AND(高値!P395&gt;高値!O395,高値!P395&gt;高値!N395,高値!P395&gt;高値!Q395,高値!P395&gt;高値!R395),11,""))</f>
      </c>
      <c r="AM395" s="684">
        <f>IF(終値!A395="","",IF(AND(高値!Q395&gt;高値!P395,高値!Q395&gt;高値!O395,高値!Q395&gt;高値!R395,高値!Q395&gt;高値!S395),12,""))</f>
      </c>
      <c r="AN395" s="684">
        <f>IF(終値!A395="","",IF(AND(高値!R395&gt;高値!Q395,高値!R395&gt;高値!P395,高値!R395&gt;高値!S395,高値!R395&gt;高値!T395),13,""))</f>
      </c>
      <c r="AO395" s="684">
        <f>IF(終値!A395="","",IF(AND(高値!S395&gt;高値!R395,高値!S395&gt;高値!Q395,高値!S395&gt;高値!T395,高値!S395&gt;高値!U395),14,""))</f>
      </c>
      <c r="AP395" s="684">
        <f>IF(終値!A395="","",IF(AND(高値!T395&gt;高値!S395,高値!T395&gt;高値!R395,高値!T395&gt;高値!U395,高値!T395&gt;高値!V395),15,""))</f>
      </c>
      <c r="AQ395" s="684">
        <f>IF(終値!A395="","",IF(AND(高値!U395&gt;高値!T395,高値!U395&gt;高値!S395,高値!U395&gt;高値!V395,高値!U395&gt;高値!W395),16,""))</f>
      </c>
      <c r="AR395" s="684">
        <f>IF(終値!A395="","",IF(AND(高値!V395&gt;高値!U395,高値!V395&gt;高値!T395,高値!V395&gt;高値!W395,高値!V395&gt;高値!X395),17,""))</f>
      </c>
      <c r="AS395" s="684">
        <f>IF(終値!A395="","",IF(AND(高値!W395&gt;高値!V395,高値!W395&gt;高値!U395,高値!W395&gt;高値!X395,高値!W395&gt;高値!Y395),18,""))</f>
      </c>
      <c r="AT395" s="684">
        <f>IF(終値!A395="","",IF(AND(高値!X395&gt;高値!W395,高値!X395&gt;高値!V395,高値!X395&gt;高値!Y395,高値!X395&gt;高値!Z395),19,""))</f>
      </c>
      <c r="AU395" s="684">
        <f>IF(終値!A395="","",IF(AND(高値!Y395&gt;高値!X395,高値!Y395&gt;高値!W395,高値!Y395&gt;高値!Z395,高値!Y395&gt;高値!AA395),20,""))</f>
      </c>
      <c r="AV395" s="684">
        <f>IF(終値!A395="","",IF(AND(高値!Z395&gt;高値!Y395,高値!Z395&gt;高値!X395,高値!Z395&gt;高値!AA395,高値!Z395&gt;高値!AB395),21,""))</f>
      </c>
      <c r="AW395" s="684">
        <f>IF(終値!A395="","",IF(AND(高値!AA395&gt;高値!Z395,高値!AA395&gt;高値!Y395,高値!AA395&gt;高値!AB395,高値!AA395&gt;高値!AC395),22,""))</f>
      </c>
      <c r="AX395" s="684">
        <f>IF(終値!A395="","",IF(AND(高値!AB395&gt;高値!AA395,高値!AB395&gt;高値!Z395,高値!AB395&gt;高値!AC395,高値!AB395&gt;高値!AD395),23,""))</f>
      </c>
      <c r="AY395" s="684">
        <f>IF(終値!A395="","",IF(AND(高値!AC395&gt;高値!AB395,高値!AC395&gt;高値!AA395,高値!AC395&gt;高値!AD395,高値!AC395&gt;高値!AE395),24,""))</f>
      </c>
      <c r="AZ395" s="684">
        <f>IF(終値!A395="","",IF(AND(高値!AD395&gt;高値!AC395,高値!AD395&gt;高値!AB395,高値!AD395&gt;高値!AE395,高値!AD395&gt;高値!AF395),25,""))</f>
      </c>
      <c r="BA395" s="684">
        <f>IF(終値!A395="","",IF(AND(高値!AE395&gt;高値!AD395,高値!AE395&gt;高値!AC395,高値!AE395&gt;高値!AF395,高値!AE395&gt;高値!AG395),26,""))</f>
      </c>
      <c r="BB395" s="684">
        <f>IF(終値!A395="","",IF(AND(高値!AF395&gt;高値!AE395,高値!AF395&gt;高値!AD395,高値!AF395&gt;高値!AG395,高値!AF395&gt;高値!AH395),27,""))</f>
      </c>
      <c r="BC395" s="684">
        <f>IF(終値!A395="","",IF(AND(高値!AG395&gt;高値!AF395,高値!AG395&gt;高値!AE395,高値!AG395&gt;高値!AH395,高値!AG395&gt;高値!AI395),28,""))</f>
      </c>
      <c r="BD395" s="684">
        <f>COUNT($B395:$AB395)</f>
      </c>
      <c r="BE395" s="684">
        <f>IF($BD395&gt;=2,MIN($B395:$AB395),"")</f>
      </c>
      <c r="BF395" s="684">
        <f>IF($BD395&gt;=2,SMALL($B395:$AB395,2),"")</f>
      </c>
      <c r="BG395" s="684">
        <f>IF($BE395="","",INDEX(安値!$E395:$CZ395,1,$BE395+1))</f>
      </c>
      <c r="BH395" s="684">
        <f>IF($BF395="","",INDEX(安値!$E395:$CZ395,1,$BF395+1))</f>
      </c>
      <c r="BI395" s="684">
        <f>IF($BF395="","",MAX(INDEX(高値!$E395:$CZ395,1,$BE395+1):INDEX(高値!$E395:$CZ395,1,$BF395+1)))</f>
      </c>
      <c r="BJ395" s="684">
        <f>IF($BF395="","",AVERAGE(INDEX(終値!$E395:$CZ395,1,$BF395+1):INDEX(終値!$E395:$CZ395,1,$BF395+20))-2*STDEVP(INDEX(終値!$E395:$CZ395,1,$BF395+1):INDEX(終値!$E395:$CZ395,1,$BF395+20)))</f>
      </c>
      <c r="BK395" s="684">
        <f>IF($BE395="","",AVERAGE(INDEX(終値!$E395:$CZ395,1,$BE395+1):INDEX(終値!$E395:$CZ395,1,$BE395+20))-2*STDEVP(INDEX(終値!$E395:$CZ395,1,$BE395+1):INDEX(終値!$E395:$CZ395,1,$BE395+20)))</f>
      </c>
      <c r="BL395" s="684">
        <f>COUNT($AC395:$BC395)</f>
      </c>
      <c r="BM395" s="684">
        <f>IF($BL395&gt;=2,MIN($AC395:$BC395),"")</f>
      </c>
      <c r="BN395" s="684">
        <f>IF($BL395&gt;=2,SMALL($AC395:$BC395,2),"")</f>
      </c>
      <c r="BO395" s="684">
        <f>IF($BM395="","",INDEX(高値!$E395:$CZ395,1,$BM395+1))</f>
      </c>
      <c r="BP395" s="684">
        <f>IF($BN395="","",INDEX(高値!$E395:$CZ395,1,$BN395+1))</f>
      </c>
      <c r="BQ395" s="684">
        <f>IF($BN395="","",MIN(INDEX(安値!$E395:$CZ395,1,$BM395+1):INDEX(安値!$E395:$CZ395,1,$BN395+1)))</f>
      </c>
      <c r="BR395" s="684">
        <f>IF($BN395="","",AVERAGE(INDEX(終値!$E395:$CZ395,1,$BN395+1):INDEX(終値!$E395:$CZ395,1,$BN395+20))+2*STDEVP(INDEX(終値!$E395:$CZ395,1,$BN395+1):INDEX(終値!$E395:$CZ395,1,$BN395+20)))</f>
      </c>
      <c r="BS395" s="684">
        <f>IF($BM395="","",AVERAGE(INDEX(終値!$E395:$CZ395,1,$BM395+1):INDEX(終値!$E395:$CZ395,1,$BM395+20))+2*STDEVP(INDEX(終値!$E395:$CZ395,1,$BM395+1):INDEX(終値!$E395:$CZ395,1,$BM395+20)))</f>
      </c>
      <c r="BT395" s="681">
        <f>IFERROR(IF(AND($BD395&gt;=2,ABS($BG395-$BH395)/$BH395&lt;=BB設定!$B$12,$BI395&gt;=MAX($BH395,$BG395)*(1+BB設定!$B$13),終値!E395&gt;$BG395),IF(OR(終値!E395&gt;=$BI395,AND($BH395&lt;$BJ395,$BG395&gt;=$BK395)),"二番底W▲","二番底W形成"),IF(AND($BL395&gt;=2,ABS($BO395-$BP395)/$BP395&lt;=BB設定!$B$12,$BQ395&lt;=MIN($BP395,$BO395)*(1-BB設定!$B$13),終値!E395&lt;$BO395),IF(OR(終値!E395&lt;=$BQ395,AND($BP395&gt;$BR395,$BO395&lt;=$BS395)),"二番天井M▼","二番天井M形成"),"－")),"－")</f>
      </c>
    </row>
    <row r="396">
      <c r="B396" s="684">
        <f>IF(終値!A396="","",IF(AND(安値!G396&lt;安値!F396,安値!G396&lt;安値!E396,安値!G396&lt;安値!H396,安値!G396&lt;安値!I396),2,""))</f>
      </c>
      <c r="C396" s="684">
        <f>IF(終値!A396="","",IF(AND(安値!H396&lt;安値!G396,安値!H396&lt;安値!F396,安値!H396&lt;安値!I396,安値!H396&lt;安値!J396),3,""))</f>
      </c>
      <c r="D396" s="684">
        <f>IF(終値!A396="","",IF(AND(安値!I396&lt;安値!H396,安値!I396&lt;安値!G396,安値!I396&lt;安値!J396,安値!I396&lt;安値!K396),4,""))</f>
      </c>
      <c r="E396" s="684">
        <f>IF(終値!A396="","",IF(AND(安値!J396&lt;安値!I396,安値!J396&lt;安値!H396,安値!J396&lt;安値!K396,安値!J396&lt;安値!L396),5,""))</f>
      </c>
      <c r="F396" s="684">
        <f>IF(終値!A396="","",IF(AND(安値!K396&lt;安値!J396,安値!K396&lt;安値!I396,安値!K396&lt;安値!L396,安値!K396&lt;安値!M396),6,""))</f>
      </c>
      <c r="G396" s="684">
        <f>IF(終値!A396="","",IF(AND(安値!L396&lt;安値!K396,安値!L396&lt;安値!J396,安値!L396&lt;安値!M396,安値!L396&lt;安値!N396),7,""))</f>
      </c>
      <c r="H396" s="684">
        <f>IF(終値!A396="","",IF(AND(安値!M396&lt;安値!L396,安値!M396&lt;安値!K396,安値!M396&lt;安値!N396,安値!M396&lt;安値!O396),8,""))</f>
      </c>
      <c r="I396" s="684">
        <f>IF(終値!A396="","",IF(AND(安値!N396&lt;安値!M396,安値!N396&lt;安値!L396,安値!N396&lt;安値!O396,安値!N396&lt;安値!P396),9,""))</f>
      </c>
      <c r="J396" s="684">
        <f>IF(終値!A396="","",IF(AND(安値!O396&lt;安値!N396,安値!O396&lt;安値!M396,安値!O396&lt;安値!P396,安値!O396&lt;安値!Q396),10,""))</f>
      </c>
      <c r="K396" s="684">
        <f>IF(終値!A396="","",IF(AND(安値!P396&lt;安値!O396,安値!P396&lt;安値!N396,安値!P396&lt;安値!Q396,安値!P396&lt;安値!R396),11,""))</f>
      </c>
      <c r="L396" s="684">
        <f>IF(終値!A396="","",IF(AND(安値!Q396&lt;安値!P396,安値!Q396&lt;安値!O396,安値!Q396&lt;安値!R396,安値!Q396&lt;安値!S396),12,""))</f>
      </c>
      <c r="M396" s="684">
        <f>IF(終値!A396="","",IF(AND(安値!R396&lt;安値!Q396,安値!R396&lt;安値!P396,安値!R396&lt;安値!S396,安値!R396&lt;安値!T396),13,""))</f>
      </c>
      <c r="N396" s="684">
        <f>IF(終値!A396="","",IF(AND(安値!S396&lt;安値!R396,安値!S396&lt;安値!Q396,安値!S396&lt;安値!T396,安値!S396&lt;安値!U396),14,""))</f>
      </c>
      <c r="O396" s="684">
        <f>IF(終値!A396="","",IF(AND(安値!T396&lt;安値!S396,安値!T396&lt;安値!R396,安値!T396&lt;安値!U396,安値!T396&lt;安値!V396),15,""))</f>
      </c>
      <c r="P396" s="684">
        <f>IF(終値!A396="","",IF(AND(安値!U396&lt;安値!T396,安値!U396&lt;安値!S396,安値!U396&lt;安値!V396,安値!U396&lt;安値!W396),16,""))</f>
      </c>
      <c r="Q396" s="684">
        <f>IF(終値!A396="","",IF(AND(安値!V396&lt;安値!U396,安値!V396&lt;安値!T396,安値!V396&lt;安値!W396,安値!V396&lt;安値!X396),17,""))</f>
      </c>
      <c r="R396" s="684">
        <f>IF(終値!A396="","",IF(AND(安値!W396&lt;安値!V396,安値!W396&lt;安値!U396,安値!W396&lt;安値!X396,安値!W396&lt;安値!Y396),18,""))</f>
      </c>
      <c r="S396" s="684">
        <f>IF(終値!A396="","",IF(AND(安値!X396&lt;安値!W396,安値!X396&lt;安値!V396,安値!X396&lt;安値!Y396,安値!X396&lt;安値!Z396),19,""))</f>
      </c>
      <c r="T396" s="684">
        <f>IF(終値!A396="","",IF(AND(安値!Y396&lt;安値!X396,安値!Y396&lt;安値!W396,安値!Y396&lt;安値!Z396,安値!Y396&lt;安値!AA396),20,""))</f>
      </c>
      <c r="U396" s="684">
        <f>IF(終値!A396="","",IF(AND(安値!Z396&lt;安値!Y396,安値!Z396&lt;安値!X396,安値!Z396&lt;安値!AA396,安値!Z396&lt;安値!AB396),21,""))</f>
      </c>
      <c r="V396" s="684">
        <f>IF(終値!A396="","",IF(AND(安値!AA396&lt;安値!Z396,安値!AA396&lt;安値!Y396,安値!AA396&lt;安値!AB396,安値!AA396&lt;安値!AC396),22,""))</f>
      </c>
      <c r="W396" s="684">
        <f>IF(終値!A396="","",IF(AND(安値!AB396&lt;安値!AA396,安値!AB396&lt;安値!Z396,安値!AB396&lt;安値!AC396,安値!AB396&lt;安値!AD396),23,""))</f>
      </c>
      <c r="X396" s="684">
        <f>IF(終値!A396="","",IF(AND(安値!AC396&lt;安値!AB396,安値!AC396&lt;安値!AA396,安値!AC396&lt;安値!AD396,安値!AC396&lt;安値!AE396),24,""))</f>
      </c>
      <c r="Y396" s="684">
        <f>IF(終値!A396="","",IF(AND(安値!AD396&lt;安値!AC396,安値!AD396&lt;安値!AB396,安値!AD396&lt;安値!AE396,安値!AD396&lt;安値!AF396),25,""))</f>
      </c>
      <c r="Z396" s="684">
        <f>IF(終値!A396="","",IF(AND(安値!AE396&lt;安値!AD396,安値!AE396&lt;安値!AC396,安値!AE396&lt;安値!AF396,安値!AE396&lt;安値!AG396),26,""))</f>
      </c>
      <c r="AA396" s="684">
        <f>IF(終値!A396="","",IF(AND(安値!AF396&lt;安値!AE396,安値!AF396&lt;安値!AD396,安値!AF396&lt;安値!AG396,安値!AF396&lt;安値!AH396),27,""))</f>
      </c>
      <c r="AB396" s="684">
        <f>IF(終値!A396="","",IF(AND(安値!AG396&lt;安値!AF396,安値!AG396&lt;安値!AE396,安値!AG396&lt;安値!AH396,安値!AG396&lt;安値!AI396),28,""))</f>
      </c>
      <c r="AC396" s="684">
        <f>IF(終値!A396="","",IF(AND(高値!G396&gt;高値!F396,高値!G396&gt;高値!E396,高値!G396&gt;高値!H396,高値!G396&gt;高値!I396),2,""))</f>
      </c>
      <c r="AD396" s="684">
        <f>IF(終値!A396="","",IF(AND(高値!H396&gt;高値!G396,高値!H396&gt;高値!F396,高値!H396&gt;高値!I396,高値!H396&gt;高値!J396),3,""))</f>
      </c>
      <c r="AE396" s="684">
        <f>IF(終値!A396="","",IF(AND(高値!I396&gt;高値!H396,高値!I396&gt;高値!G396,高値!I396&gt;高値!J396,高値!I396&gt;高値!K396),4,""))</f>
      </c>
      <c r="AF396" s="684">
        <f>IF(終値!A396="","",IF(AND(高値!J396&gt;高値!I396,高値!J396&gt;高値!H396,高値!J396&gt;高値!K396,高値!J396&gt;高値!L396),5,""))</f>
      </c>
      <c r="AG396" s="684">
        <f>IF(終値!A396="","",IF(AND(高値!K396&gt;高値!J396,高値!K396&gt;高値!I396,高値!K396&gt;高値!L396,高値!K396&gt;高値!M396),6,""))</f>
      </c>
      <c r="AH396" s="684">
        <f>IF(終値!A396="","",IF(AND(高値!L396&gt;高値!K396,高値!L396&gt;高値!J396,高値!L396&gt;高値!M396,高値!L396&gt;高値!N396),7,""))</f>
      </c>
      <c r="AI396" s="684">
        <f>IF(終値!A396="","",IF(AND(高値!M396&gt;高値!L396,高値!M396&gt;高値!K396,高値!M396&gt;高値!N396,高値!M396&gt;高値!O396),8,""))</f>
      </c>
      <c r="AJ396" s="684">
        <f>IF(終値!A396="","",IF(AND(高値!N396&gt;高値!M396,高値!N396&gt;高値!L396,高値!N396&gt;高値!O396,高値!N396&gt;高値!P396),9,""))</f>
      </c>
      <c r="AK396" s="684">
        <f>IF(終値!A396="","",IF(AND(高値!O396&gt;高値!N396,高値!O396&gt;高値!M396,高値!O396&gt;高値!P396,高値!O396&gt;高値!Q396),10,""))</f>
      </c>
      <c r="AL396" s="684">
        <f>IF(終値!A396="","",IF(AND(高値!P396&gt;高値!O396,高値!P396&gt;高値!N396,高値!P396&gt;高値!Q396,高値!P396&gt;高値!R396),11,""))</f>
      </c>
      <c r="AM396" s="684">
        <f>IF(終値!A396="","",IF(AND(高値!Q396&gt;高値!P396,高値!Q396&gt;高値!O396,高値!Q396&gt;高値!R396,高値!Q396&gt;高値!S396),12,""))</f>
      </c>
      <c r="AN396" s="684">
        <f>IF(終値!A396="","",IF(AND(高値!R396&gt;高値!Q396,高値!R396&gt;高値!P396,高値!R396&gt;高値!S396,高値!R396&gt;高値!T396),13,""))</f>
      </c>
      <c r="AO396" s="684">
        <f>IF(終値!A396="","",IF(AND(高値!S396&gt;高値!R396,高値!S396&gt;高値!Q396,高値!S396&gt;高値!T396,高値!S396&gt;高値!U396),14,""))</f>
      </c>
      <c r="AP396" s="684">
        <f>IF(終値!A396="","",IF(AND(高値!T396&gt;高値!S396,高値!T396&gt;高値!R396,高値!T396&gt;高値!U396,高値!T396&gt;高値!V396),15,""))</f>
      </c>
      <c r="AQ396" s="684">
        <f>IF(終値!A396="","",IF(AND(高値!U396&gt;高値!T396,高値!U396&gt;高値!S396,高値!U396&gt;高値!V396,高値!U396&gt;高値!W396),16,""))</f>
      </c>
      <c r="AR396" s="684">
        <f>IF(終値!A396="","",IF(AND(高値!V396&gt;高値!U396,高値!V396&gt;高値!T396,高値!V396&gt;高値!W396,高値!V396&gt;高値!X396),17,""))</f>
      </c>
      <c r="AS396" s="684">
        <f>IF(終値!A396="","",IF(AND(高値!W396&gt;高値!V396,高値!W396&gt;高値!U396,高値!W396&gt;高値!X396,高値!W396&gt;高値!Y396),18,""))</f>
      </c>
      <c r="AT396" s="684">
        <f>IF(終値!A396="","",IF(AND(高値!X396&gt;高値!W396,高値!X396&gt;高値!V396,高値!X396&gt;高値!Y396,高値!X396&gt;高値!Z396),19,""))</f>
      </c>
      <c r="AU396" s="684">
        <f>IF(終値!A396="","",IF(AND(高値!Y396&gt;高値!X396,高値!Y396&gt;高値!W396,高値!Y396&gt;高値!Z396,高値!Y396&gt;高値!AA396),20,""))</f>
      </c>
      <c r="AV396" s="684">
        <f>IF(終値!A396="","",IF(AND(高値!Z396&gt;高値!Y396,高値!Z396&gt;高値!X396,高値!Z396&gt;高値!AA396,高値!Z396&gt;高値!AB396),21,""))</f>
      </c>
      <c r="AW396" s="684">
        <f>IF(終値!A396="","",IF(AND(高値!AA396&gt;高値!Z396,高値!AA396&gt;高値!Y396,高値!AA396&gt;高値!AB396,高値!AA396&gt;高値!AC396),22,""))</f>
      </c>
      <c r="AX396" s="684">
        <f>IF(終値!A396="","",IF(AND(高値!AB396&gt;高値!AA396,高値!AB396&gt;高値!Z396,高値!AB396&gt;高値!AC396,高値!AB396&gt;高値!AD396),23,""))</f>
      </c>
      <c r="AY396" s="684">
        <f>IF(終値!A396="","",IF(AND(高値!AC396&gt;高値!AB396,高値!AC396&gt;高値!AA396,高値!AC396&gt;高値!AD396,高値!AC396&gt;高値!AE396),24,""))</f>
      </c>
      <c r="AZ396" s="684">
        <f>IF(終値!A396="","",IF(AND(高値!AD396&gt;高値!AC396,高値!AD396&gt;高値!AB396,高値!AD396&gt;高値!AE396,高値!AD396&gt;高値!AF396),25,""))</f>
      </c>
      <c r="BA396" s="684">
        <f>IF(終値!A396="","",IF(AND(高値!AE396&gt;高値!AD396,高値!AE396&gt;高値!AC396,高値!AE396&gt;高値!AF396,高値!AE396&gt;高値!AG396),26,""))</f>
      </c>
      <c r="BB396" s="684">
        <f>IF(終値!A396="","",IF(AND(高値!AF396&gt;高値!AE396,高値!AF396&gt;高値!AD396,高値!AF396&gt;高値!AG396,高値!AF396&gt;高値!AH396),27,""))</f>
      </c>
      <c r="BC396" s="684">
        <f>IF(終値!A396="","",IF(AND(高値!AG396&gt;高値!AF396,高値!AG396&gt;高値!AE396,高値!AG396&gt;高値!AH396,高値!AG396&gt;高値!AI396),28,""))</f>
      </c>
      <c r="BD396" s="684">
        <f>COUNT($B396:$AB396)</f>
      </c>
      <c r="BE396" s="684">
        <f>IF($BD396&gt;=2,MIN($B396:$AB396),"")</f>
      </c>
      <c r="BF396" s="684">
        <f>IF($BD396&gt;=2,SMALL($B396:$AB396,2),"")</f>
      </c>
      <c r="BG396" s="684">
        <f>IF($BE396="","",INDEX(安値!$E396:$CZ396,1,$BE396+1))</f>
      </c>
      <c r="BH396" s="684">
        <f>IF($BF396="","",INDEX(安値!$E396:$CZ396,1,$BF396+1))</f>
      </c>
      <c r="BI396" s="684">
        <f>IF($BF396="","",MAX(INDEX(高値!$E396:$CZ396,1,$BE396+1):INDEX(高値!$E396:$CZ396,1,$BF396+1)))</f>
      </c>
      <c r="BJ396" s="684">
        <f>IF($BF396="","",AVERAGE(INDEX(終値!$E396:$CZ396,1,$BF396+1):INDEX(終値!$E396:$CZ396,1,$BF396+20))-2*STDEVP(INDEX(終値!$E396:$CZ396,1,$BF396+1):INDEX(終値!$E396:$CZ396,1,$BF396+20)))</f>
      </c>
      <c r="BK396" s="684">
        <f>IF($BE396="","",AVERAGE(INDEX(終値!$E396:$CZ396,1,$BE396+1):INDEX(終値!$E396:$CZ396,1,$BE396+20))-2*STDEVP(INDEX(終値!$E396:$CZ396,1,$BE396+1):INDEX(終値!$E396:$CZ396,1,$BE396+20)))</f>
      </c>
      <c r="BL396" s="684">
        <f>COUNT($AC396:$BC396)</f>
      </c>
      <c r="BM396" s="684">
        <f>IF($BL396&gt;=2,MIN($AC396:$BC396),"")</f>
      </c>
      <c r="BN396" s="684">
        <f>IF($BL396&gt;=2,SMALL($AC396:$BC396,2),"")</f>
      </c>
      <c r="BO396" s="684">
        <f>IF($BM396="","",INDEX(高値!$E396:$CZ396,1,$BM396+1))</f>
      </c>
      <c r="BP396" s="684">
        <f>IF($BN396="","",INDEX(高値!$E396:$CZ396,1,$BN396+1))</f>
      </c>
      <c r="BQ396" s="684">
        <f>IF($BN396="","",MIN(INDEX(安値!$E396:$CZ396,1,$BM396+1):INDEX(安値!$E396:$CZ396,1,$BN396+1)))</f>
      </c>
      <c r="BR396" s="684">
        <f>IF($BN396="","",AVERAGE(INDEX(終値!$E396:$CZ396,1,$BN396+1):INDEX(終値!$E396:$CZ396,1,$BN396+20))+2*STDEVP(INDEX(終値!$E396:$CZ396,1,$BN396+1):INDEX(終値!$E396:$CZ396,1,$BN396+20)))</f>
      </c>
      <c r="BS396" s="684">
        <f>IF($BM396="","",AVERAGE(INDEX(終値!$E396:$CZ396,1,$BM396+1):INDEX(終値!$E396:$CZ396,1,$BM396+20))+2*STDEVP(INDEX(終値!$E396:$CZ396,1,$BM396+1):INDEX(終値!$E396:$CZ396,1,$BM396+20)))</f>
      </c>
      <c r="BT396" s="681">
        <f>IFERROR(IF(AND($BD396&gt;=2,ABS($BG396-$BH396)/$BH396&lt;=BB設定!$B$12,$BI396&gt;=MAX($BH396,$BG396)*(1+BB設定!$B$13),終値!E396&gt;$BG396),IF(OR(終値!E396&gt;=$BI396,AND($BH396&lt;$BJ396,$BG396&gt;=$BK396)),"二番底W▲","二番底W形成"),IF(AND($BL396&gt;=2,ABS($BO396-$BP396)/$BP396&lt;=BB設定!$B$12,$BQ396&lt;=MIN($BP396,$BO396)*(1-BB設定!$B$13),終値!E396&lt;$BO396),IF(OR(終値!E396&lt;=$BQ396,AND($BP396&gt;$BR396,$BO396&lt;=$BS396)),"二番天井M▼","二番天井M形成"),"－")),"－")</f>
      </c>
    </row>
    <row r="397">
      <c r="B397" s="684">
        <f>IF(終値!A397="","",IF(AND(安値!G397&lt;安値!F397,安値!G397&lt;安値!E397,安値!G397&lt;安値!H397,安値!G397&lt;安値!I397),2,""))</f>
      </c>
      <c r="C397" s="684">
        <f>IF(終値!A397="","",IF(AND(安値!H397&lt;安値!G397,安値!H397&lt;安値!F397,安値!H397&lt;安値!I397,安値!H397&lt;安値!J397),3,""))</f>
      </c>
      <c r="D397" s="684">
        <f>IF(終値!A397="","",IF(AND(安値!I397&lt;安値!H397,安値!I397&lt;安値!G397,安値!I397&lt;安値!J397,安値!I397&lt;安値!K397),4,""))</f>
      </c>
      <c r="E397" s="684">
        <f>IF(終値!A397="","",IF(AND(安値!J397&lt;安値!I397,安値!J397&lt;安値!H397,安値!J397&lt;安値!K397,安値!J397&lt;安値!L397),5,""))</f>
      </c>
      <c r="F397" s="684">
        <f>IF(終値!A397="","",IF(AND(安値!K397&lt;安値!J397,安値!K397&lt;安値!I397,安値!K397&lt;安値!L397,安値!K397&lt;安値!M397),6,""))</f>
      </c>
      <c r="G397" s="684">
        <f>IF(終値!A397="","",IF(AND(安値!L397&lt;安値!K397,安値!L397&lt;安値!J397,安値!L397&lt;安値!M397,安値!L397&lt;安値!N397),7,""))</f>
      </c>
      <c r="H397" s="684">
        <f>IF(終値!A397="","",IF(AND(安値!M397&lt;安値!L397,安値!M397&lt;安値!K397,安値!M397&lt;安値!N397,安値!M397&lt;安値!O397),8,""))</f>
      </c>
      <c r="I397" s="684">
        <f>IF(終値!A397="","",IF(AND(安値!N397&lt;安値!M397,安値!N397&lt;安値!L397,安値!N397&lt;安値!O397,安値!N397&lt;安値!P397),9,""))</f>
      </c>
      <c r="J397" s="684">
        <f>IF(終値!A397="","",IF(AND(安値!O397&lt;安値!N397,安値!O397&lt;安値!M397,安値!O397&lt;安値!P397,安値!O397&lt;安値!Q397),10,""))</f>
      </c>
      <c r="K397" s="684">
        <f>IF(終値!A397="","",IF(AND(安値!P397&lt;安値!O397,安値!P397&lt;安値!N397,安値!P397&lt;安値!Q397,安値!P397&lt;安値!R397),11,""))</f>
      </c>
      <c r="L397" s="684">
        <f>IF(終値!A397="","",IF(AND(安値!Q397&lt;安値!P397,安値!Q397&lt;安値!O397,安値!Q397&lt;安値!R397,安値!Q397&lt;安値!S397),12,""))</f>
      </c>
      <c r="M397" s="684">
        <f>IF(終値!A397="","",IF(AND(安値!R397&lt;安値!Q397,安値!R397&lt;安値!P397,安値!R397&lt;安値!S397,安値!R397&lt;安値!T397),13,""))</f>
      </c>
      <c r="N397" s="684">
        <f>IF(終値!A397="","",IF(AND(安値!S397&lt;安値!R397,安値!S397&lt;安値!Q397,安値!S397&lt;安値!T397,安値!S397&lt;安値!U397),14,""))</f>
      </c>
      <c r="O397" s="684">
        <f>IF(終値!A397="","",IF(AND(安値!T397&lt;安値!S397,安値!T397&lt;安値!R397,安値!T397&lt;安値!U397,安値!T397&lt;安値!V397),15,""))</f>
      </c>
      <c r="P397" s="684">
        <f>IF(終値!A397="","",IF(AND(安値!U397&lt;安値!T397,安値!U397&lt;安値!S397,安値!U397&lt;安値!V397,安値!U397&lt;安値!W397),16,""))</f>
      </c>
      <c r="Q397" s="684">
        <f>IF(終値!A397="","",IF(AND(安値!V397&lt;安値!U397,安値!V397&lt;安値!T397,安値!V397&lt;安値!W397,安値!V397&lt;安値!X397),17,""))</f>
      </c>
      <c r="R397" s="684">
        <f>IF(終値!A397="","",IF(AND(安値!W397&lt;安値!V397,安値!W397&lt;安値!U397,安値!W397&lt;安値!X397,安値!W397&lt;安値!Y397),18,""))</f>
      </c>
      <c r="S397" s="684">
        <f>IF(終値!A397="","",IF(AND(安値!X397&lt;安値!W397,安値!X397&lt;安値!V397,安値!X397&lt;安値!Y397,安値!X397&lt;安値!Z397),19,""))</f>
      </c>
      <c r="T397" s="684">
        <f>IF(終値!A397="","",IF(AND(安値!Y397&lt;安値!X397,安値!Y397&lt;安値!W397,安値!Y397&lt;安値!Z397,安値!Y397&lt;安値!AA397),20,""))</f>
      </c>
      <c r="U397" s="684">
        <f>IF(終値!A397="","",IF(AND(安値!Z397&lt;安値!Y397,安値!Z397&lt;安値!X397,安値!Z397&lt;安値!AA397,安値!Z397&lt;安値!AB397),21,""))</f>
      </c>
      <c r="V397" s="684">
        <f>IF(終値!A397="","",IF(AND(安値!AA397&lt;安値!Z397,安値!AA397&lt;安値!Y397,安値!AA397&lt;安値!AB397,安値!AA397&lt;安値!AC397),22,""))</f>
      </c>
      <c r="W397" s="684">
        <f>IF(終値!A397="","",IF(AND(安値!AB397&lt;安値!AA397,安値!AB397&lt;安値!Z397,安値!AB397&lt;安値!AC397,安値!AB397&lt;安値!AD397),23,""))</f>
      </c>
      <c r="X397" s="684">
        <f>IF(終値!A397="","",IF(AND(安値!AC397&lt;安値!AB397,安値!AC397&lt;安値!AA397,安値!AC397&lt;安値!AD397,安値!AC397&lt;安値!AE397),24,""))</f>
      </c>
      <c r="Y397" s="684">
        <f>IF(終値!A397="","",IF(AND(安値!AD397&lt;安値!AC397,安値!AD397&lt;安値!AB397,安値!AD397&lt;安値!AE397,安値!AD397&lt;安値!AF397),25,""))</f>
      </c>
      <c r="Z397" s="684">
        <f>IF(終値!A397="","",IF(AND(安値!AE397&lt;安値!AD397,安値!AE397&lt;安値!AC397,安値!AE397&lt;安値!AF397,安値!AE397&lt;安値!AG397),26,""))</f>
      </c>
      <c r="AA397" s="684">
        <f>IF(終値!A397="","",IF(AND(安値!AF397&lt;安値!AE397,安値!AF397&lt;安値!AD397,安値!AF397&lt;安値!AG397,安値!AF397&lt;安値!AH397),27,""))</f>
      </c>
      <c r="AB397" s="684">
        <f>IF(終値!A397="","",IF(AND(安値!AG397&lt;安値!AF397,安値!AG397&lt;安値!AE397,安値!AG397&lt;安値!AH397,安値!AG397&lt;安値!AI397),28,""))</f>
      </c>
      <c r="AC397" s="684">
        <f>IF(終値!A397="","",IF(AND(高値!G397&gt;高値!F397,高値!G397&gt;高値!E397,高値!G397&gt;高値!H397,高値!G397&gt;高値!I397),2,""))</f>
      </c>
      <c r="AD397" s="684">
        <f>IF(終値!A397="","",IF(AND(高値!H397&gt;高値!G397,高値!H397&gt;高値!F397,高値!H397&gt;高値!I397,高値!H397&gt;高値!J397),3,""))</f>
      </c>
      <c r="AE397" s="684">
        <f>IF(終値!A397="","",IF(AND(高値!I397&gt;高値!H397,高値!I397&gt;高値!G397,高値!I397&gt;高値!J397,高値!I397&gt;高値!K397),4,""))</f>
      </c>
      <c r="AF397" s="684">
        <f>IF(終値!A397="","",IF(AND(高値!J397&gt;高値!I397,高値!J397&gt;高値!H397,高値!J397&gt;高値!K397,高値!J397&gt;高値!L397),5,""))</f>
      </c>
      <c r="AG397" s="684">
        <f>IF(終値!A397="","",IF(AND(高値!K397&gt;高値!J397,高値!K397&gt;高値!I397,高値!K397&gt;高値!L397,高値!K397&gt;高値!M397),6,""))</f>
      </c>
      <c r="AH397" s="684">
        <f>IF(終値!A397="","",IF(AND(高値!L397&gt;高値!K397,高値!L397&gt;高値!J397,高値!L397&gt;高値!M397,高値!L397&gt;高値!N397),7,""))</f>
      </c>
      <c r="AI397" s="684">
        <f>IF(終値!A397="","",IF(AND(高値!M397&gt;高値!L397,高値!M397&gt;高値!K397,高値!M397&gt;高値!N397,高値!M397&gt;高値!O397),8,""))</f>
      </c>
      <c r="AJ397" s="684">
        <f>IF(終値!A397="","",IF(AND(高値!N397&gt;高値!M397,高値!N397&gt;高値!L397,高値!N397&gt;高値!O397,高値!N397&gt;高値!P397),9,""))</f>
      </c>
      <c r="AK397" s="684">
        <f>IF(終値!A397="","",IF(AND(高値!O397&gt;高値!N397,高値!O397&gt;高値!M397,高値!O397&gt;高値!P397,高値!O397&gt;高値!Q397),10,""))</f>
      </c>
      <c r="AL397" s="684">
        <f>IF(終値!A397="","",IF(AND(高値!P397&gt;高値!O397,高値!P397&gt;高値!N397,高値!P397&gt;高値!Q397,高値!P397&gt;高値!R397),11,""))</f>
      </c>
      <c r="AM397" s="684">
        <f>IF(終値!A397="","",IF(AND(高値!Q397&gt;高値!P397,高値!Q397&gt;高値!O397,高値!Q397&gt;高値!R397,高値!Q397&gt;高値!S397),12,""))</f>
      </c>
      <c r="AN397" s="684">
        <f>IF(終値!A397="","",IF(AND(高値!R397&gt;高値!Q397,高値!R397&gt;高値!P397,高値!R397&gt;高値!S397,高値!R397&gt;高値!T397),13,""))</f>
      </c>
      <c r="AO397" s="684">
        <f>IF(終値!A397="","",IF(AND(高値!S397&gt;高値!R397,高値!S397&gt;高値!Q397,高値!S397&gt;高値!T397,高値!S397&gt;高値!U397),14,""))</f>
      </c>
      <c r="AP397" s="684">
        <f>IF(終値!A397="","",IF(AND(高値!T397&gt;高値!S397,高値!T397&gt;高値!R397,高値!T397&gt;高値!U397,高値!T397&gt;高値!V397),15,""))</f>
      </c>
      <c r="AQ397" s="684">
        <f>IF(終値!A397="","",IF(AND(高値!U397&gt;高値!T397,高値!U397&gt;高値!S397,高値!U397&gt;高値!V397,高値!U397&gt;高値!W397),16,""))</f>
      </c>
      <c r="AR397" s="684">
        <f>IF(終値!A397="","",IF(AND(高値!V397&gt;高値!U397,高値!V397&gt;高値!T397,高値!V397&gt;高値!W397,高値!V397&gt;高値!X397),17,""))</f>
      </c>
      <c r="AS397" s="684">
        <f>IF(終値!A397="","",IF(AND(高値!W397&gt;高値!V397,高値!W397&gt;高値!U397,高値!W397&gt;高値!X397,高値!W397&gt;高値!Y397),18,""))</f>
      </c>
      <c r="AT397" s="684">
        <f>IF(終値!A397="","",IF(AND(高値!X397&gt;高値!W397,高値!X397&gt;高値!V397,高値!X397&gt;高値!Y397,高値!X397&gt;高値!Z397),19,""))</f>
      </c>
      <c r="AU397" s="684">
        <f>IF(終値!A397="","",IF(AND(高値!Y397&gt;高値!X397,高値!Y397&gt;高値!W397,高値!Y397&gt;高値!Z397,高値!Y397&gt;高値!AA397),20,""))</f>
      </c>
      <c r="AV397" s="684">
        <f>IF(終値!A397="","",IF(AND(高値!Z397&gt;高値!Y397,高値!Z397&gt;高値!X397,高値!Z397&gt;高値!AA397,高値!Z397&gt;高値!AB397),21,""))</f>
      </c>
      <c r="AW397" s="684">
        <f>IF(終値!A397="","",IF(AND(高値!AA397&gt;高値!Z397,高値!AA397&gt;高値!Y397,高値!AA397&gt;高値!AB397,高値!AA397&gt;高値!AC397),22,""))</f>
      </c>
      <c r="AX397" s="684">
        <f>IF(終値!A397="","",IF(AND(高値!AB397&gt;高値!AA397,高値!AB397&gt;高値!Z397,高値!AB397&gt;高値!AC397,高値!AB397&gt;高値!AD397),23,""))</f>
      </c>
      <c r="AY397" s="684">
        <f>IF(終値!A397="","",IF(AND(高値!AC397&gt;高値!AB397,高値!AC397&gt;高値!AA397,高値!AC397&gt;高値!AD397,高値!AC397&gt;高値!AE397),24,""))</f>
      </c>
      <c r="AZ397" s="684">
        <f>IF(終値!A397="","",IF(AND(高値!AD397&gt;高値!AC397,高値!AD397&gt;高値!AB397,高値!AD397&gt;高値!AE397,高値!AD397&gt;高値!AF397),25,""))</f>
      </c>
      <c r="BA397" s="684">
        <f>IF(終値!A397="","",IF(AND(高値!AE397&gt;高値!AD397,高値!AE397&gt;高値!AC397,高値!AE397&gt;高値!AF397,高値!AE397&gt;高値!AG397),26,""))</f>
      </c>
      <c r="BB397" s="684">
        <f>IF(終値!A397="","",IF(AND(高値!AF397&gt;高値!AE397,高値!AF397&gt;高値!AD397,高値!AF397&gt;高値!AG397,高値!AF397&gt;高値!AH397),27,""))</f>
      </c>
      <c r="BC397" s="684">
        <f>IF(終値!A397="","",IF(AND(高値!AG397&gt;高値!AF397,高値!AG397&gt;高値!AE397,高値!AG397&gt;高値!AH397,高値!AG397&gt;高値!AI397),28,""))</f>
      </c>
      <c r="BD397" s="684">
        <f>COUNT($B397:$AB397)</f>
      </c>
      <c r="BE397" s="684">
        <f>IF($BD397&gt;=2,MIN($B397:$AB397),"")</f>
      </c>
      <c r="BF397" s="684">
        <f>IF($BD397&gt;=2,SMALL($B397:$AB397,2),"")</f>
      </c>
      <c r="BG397" s="684">
        <f>IF($BE397="","",INDEX(安値!$E397:$CZ397,1,$BE397+1))</f>
      </c>
      <c r="BH397" s="684">
        <f>IF($BF397="","",INDEX(安値!$E397:$CZ397,1,$BF397+1))</f>
      </c>
      <c r="BI397" s="684">
        <f>IF($BF397="","",MAX(INDEX(高値!$E397:$CZ397,1,$BE397+1):INDEX(高値!$E397:$CZ397,1,$BF397+1)))</f>
      </c>
      <c r="BJ397" s="684">
        <f>IF($BF397="","",AVERAGE(INDEX(終値!$E397:$CZ397,1,$BF397+1):INDEX(終値!$E397:$CZ397,1,$BF397+20))-2*STDEVP(INDEX(終値!$E397:$CZ397,1,$BF397+1):INDEX(終値!$E397:$CZ397,1,$BF397+20)))</f>
      </c>
      <c r="BK397" s="684">
        <f>IF($BE397="","",AVERAGE(INDEX(終値!$E397:$CZ397,1,$BE397+1):INDEX(終値!$E397:$CZ397,1,$BE397+20))-2*STDEVP(INDEX(終値!$E397:$CZ397,1,$BE397+1):INDEX(終値!$E397:$CZ397,1,$BE397+20)))</f>
      </c>
      <c r="BL397" s="684">
        <f>COUNT($AC397:$BC397)</f>
      </c>
      <c r="BM397" s="684">
        <f>IF($BL397&gt;=2,MIN($AC397:$BC397),"")</f>
      </c>
      <c r="BN397" s="684">
        <f>IF($BL397&gt;=2,SMALL($AC397:$BC397,2),"")</f>
      </c>
      <c r="BO397" s="684">
        <f>IF($BM397="","",INDEX(高値!$E397:$CZ397,1,$BM397+1))</f>
      </c>
      <c r="BP397" s="684">
        <f>IF($BN397="","",INDEX(高値!$E397:$CZ397,1,$BN397+1))</f>
      </c>
      <c r="BQ397" s="684">
        <f>IF($BN397="","",MIN(INDEX(安値!$E397:$CZ397,1,$BM397+1):INDEX(安値!$E397:$CZ397,1,$BN397+1)))</f>
      </c>
      <c r="BR397" s="684">
        <f>IF($BN397="","",AVERAGE(INDEX(終値!$E397:$CZ397,1,$BN397+1):INDEX(終値!$E397:$CZ397,1,$BN397+20))+2*STDEVP(INDEX(終値!$E397:$CZ397,1,$BN397+1):INDEX(終値!$E397:$CZ397,1,$BN397+20)))</f>
      </c>
      <c r="BS397" s="684">
        <f>IF($BM397="","",AVERAGE(INDEX(終値!$E397:$CZ397,1,$BM397+1):INDEX(終値!$E397:$CZ397,1,$BM397+20))+2*STDEVP(INDEX(終値!$E397:$CZ397,1,$BM397+1):INDEX(終値!$E397:$CZ397,1,$BM397+20)))</f>
      </c>
      <c r="BT397" s="681">
        <f>IFERROR(IF(AND($BD397&gt;=2,ABS($BG397-$BH397)/$BH397&lt;=BB設定!$B$12,$BI397&gt;=MAX($BH397,$BG397)*(1+BB設定!$B$13),終値!E397&gt;$BG397),IF(OR(終値!E397&gt;=$BI397,AND($BH397&lt;$BJ397,$BG397&gt;=$BK397)),"二番底W▲","二番底W形成"),IF(AND($BL397&gt;=2,ABS($BO397-$BP397)/$BP397&lt;=BB設定!$B$12,$BQ397&lt;=MIN($BP397,$BO397)*(1-BB設定!$B$13),終値!E397&lt;$BO397),IF(OR(終値!E397&lt;=$BQ397,AND($BP397&gt;$BR397,$BO397&lt;=$BS397)),"二番天井M▼","二番天井M形成"),"－")),"－")</f>
      </c>
    </row>
    <row r="398">
      <c r="B398" s="684">
        <f>IF(終値!A398="","",IF(AND(安値!G398&lt;安値!F398,安値!G398&lt;安値!E398,安値!G398&lt;安値!H398,安値!G398&lt;安値!I398),2,""))</f>
      </c>
      <c r="C398" s="684">
        <f>IF(終値!A398="","",IF(AND(安値!H398&lt;安値!G398,安値!H398&lt;安値!F398,安値!H398&lt;安値!I398,安値!H398&lt;安値!J398),3,""))</f>
      </c>
      <c r="D398" s="684">
        <f>IF(終値!A398="","",IF(AND(安値!I398&lt;安値!H398,安値!I398&lt;安値!G398,安値!I398&lt;安値!J398,安値!I398&lt;安値!K398),4,""))</f>
      </c>
      <c r="E398" s="684">
        <f>IF(終値!A398="","",IF(AND(安値!J398&lt;安値!I398,安値!J398&lt;安値!H398,安値!J398&lt;安値!K398,安値!J398&lt;安値!L398),5,""))</f>
      </c>
      <c r="F398" s="684">
        <f>IF(終値!A398="","",IF(AND(安値!K398&lt;安値!J398,安値!K398&lt;安値!I398,安値!K398&lt;安値!L398,安値!K398&lt;安値!M398),6,""))</f>
      </c>
      <c r="G398" s="684">
        <f>IF(終値!A398="","",IF(AND(安値!L398&lt;安値!K398,安値!L398&lt;安値!J398,安値!L398&lt;安値!M398,安値!L398&lt;安値!N398),7,""))</f>
      </c>
      <c r="H398" s="684">
        <f>IF(終値!A398="","",IF(AND(安値!M398&lt;安値!L398,安値!M398&lt;安値!K398,安値!M398&lt;安値!N398,安値!M398&lt;安値!O398),8,""))</f>
      </c>
      <c r="I398" s="684">
        <f>IF(終値!A398="","",IF(AND(安値!N398&lt;安値!M398,安値!N398&lt;安値!L398,安値!N398&lt;安値!O398,安値!N398&lt;安値!P398),9,""))</f>
      </c>
      <c r="J398" s="684">
        <f>IF(終値!A398="","",IF(AND(安値!O398&lt;安値!N398,安値!O398&lt;安値!M398,安値!O398&lt;安値!P398,安値!O398&lt;安値!Q398),10,""))</f>
      </c>
      <c r="K398" s="684">
        <f>IF(終値!A398="","",IF(AND(安値!P398&lt;安値!O398,安値!P398&lt;安値!N398,安値!P398&lt;安値!Q398,安値!P398&lt;安値!R398),11,""))</f>
      </c>
      <c r="L398" s="684">
        <f>IF(終値!A398="","",IF(AND(安値!Q398&lt;安値!P398,安値!Q398&lt;安値!O398,安値!Q398&lt;安値!R398,安値!Q398&lt;安値!S398),12,""))</f>
      </c>
      <c r="M398" s="684">
        <f>IF(終値!A398="","",IF(AND(安値!R398&lt;安値!Q398,安値!R398&lt;安値!P398,安値!R398&lt;安値!S398,安値!R398&lt;安値!T398),13,""))</f>
      </c>
      <c r="N398" s="684">
        <f>IF(終値!A398="","",IF(AND(安値!S398&lt;安値!R398,安値!S398&lt;安値!Q398,安値!S398&lt;安値!T398,安値!S398&lt;安値!U398),14,""))</f>
      </c>
      <c r="O398" s="684">
        <f>IF(終値!A398="","",IF(AND(安値!T398&lt;安値!S398,安値!T398&lt;安値!R398,安値!T398&lt;安値!U398,安値!T398&lt;安値!V398),15,""))</f>
      </c>
      <c r="P398" s="684">
        <f>IF(終値!A398="","",IF(AND(安値!U398&lt;安値!T398,安値!U398&lt;安値!S398,安値!U398&lt;安値!V398,安値!U398&lt;安値!W398),16,""))</f>
      </c>
      <c r="Q398" s="684">
        <f>IF(終値!A398="","",IF(AND(安値!V398&lt;安値!U398,安値!V398&lt;安値!T398,安値!V398&lt;安値!W398,安値!V398&lt;安値!X398),17,""))</f>
      </c>
      <c r="R398" s="684">
        <f>IF(終値!A398="","",IF(AND(安値!W398&lt;安値!V398,安値!W398&lt;安値!U398,安値!W398&lt;安値!X398,安値!W398&lt;安値!Y398),18,""))</f>
      </c>
      <c r="S398" s="684">
        <f>IF(終値!A398="","",IF(AND(安値!X398&lt;安値!W398,安値!X398&lt;安値!V398,安値!X398&lt;安値!Y398,安値!X398&lt;安値!Z398),19,""))</f>
      </c>
      <c r="T398" s="684">
        <f>IF(終値!A398="","",IF(AND(安値!Y398&lt;安値!X398,安値!Y398&lt;安値!W398,安値!Y398&lt;安値!Z398,安値!Y398&lt;安値!AA398),20,""))</f>
      </c>
      <c r="U398" s="684">
        <f>IF(終値!A398="","",IF(AND(安値!Z398&lt;安値!Y398,安値!Z398&lt;安値!X398,安値!Z398&lt;安値!AA398,安値!Z398&lt;安値!AB398),21,""))</f>
      </c>
      <c r="V398" s="684">
        <f>IF(終値!A398="","",IF(AND(安値!AA398&lt;安値!Z398,安値!AA398&lt;安値!Y398,安値!AA398&lt;安値!AB398,安値!AA398&lt;安値!AC398),22,""))</f>
      </c>
      <c r="W398" s="684">
        <f>IF(終値!A398="","",IF(AND(安値!AB398&lt;安値!AA398,安値!AB398&lt;安値!Z398,安値!AB398&lt;安値!AC398,安値!AB398&lt;安値!AD398),23,""))</f>
      </c>
      <c r="X398" s="684">
        <f>IF(終値!A398="","",IF(AND(安値!AC398&lt;安値!AB398,安値!AC398&lt;安値!AA398,安値!AC398&lt;安値!AD398,安値!AC398&lt;安値!AE398),24,""))</f>
      </c>
      <c r="Y398" s="684">
        <f>IF(終値!A398="","",IF(AND(安値!AD398&lt;安値!AC398,安値!AD398&lt;安値!AB398,安値!AD398&lt;安値!AE398,安値!AD398&lt;安値!AF398),25,""))</f>
      </c>
      <c r="Z398" s="684">
        <f>IF(終値!A398="","",IF(AND(安値!AE398&lt;安値!AD398,安値!AE398&lt;安値!AC398,安値!AE398&lt;安値!AF398,安値!AE398&lt;安値!AG398),26,""))</f>
      </c>
      <c r="AA398" s="684">
        <f>IF(終値!A398="","",IF(AND(安値!AF398&lt;安値!AE398,安値!AF398&lt;安値!AD398,安値!AF398&lt;安値!AG398,安値!AF398&lt;安値!AH398),27,""))</f>
      </c>
      <c r="AB398" s="684">
        <f>IF(終値!A398="","",IF(AND(安値!AG398&lt;安値!AF398,安値!AG398&lt;安値!AE398,安値!AG398&lt;安値!AH398,安値!AG398&lt;安値!AI398),28,""))</f>
      </c>
      <c r="AC398" s="684">
        <f>IF(終値!A398="","",IF(AND(高値!G398&gt;高値!F398,高値!G398&gt;高値!E398,高値!G398&gt;高値!H398,高値!G398&gt;高値!I398),2,""))</f>
      </c>
      <c r="AD398" s="684">
        <f>IF(終値!A398="","",IF(AND(高値!H398&gt;高値!G398,高値!H398&gt;高値!F398,高値!H398&gt;高値!I398,高値!H398&gt;高値!J398),3,""))</f>
      </c>
      <c r="AE398" s="684">
        <f>IF(終値!A398="","",IF(AND(高値!I398&gt;高値!H398,高値!I398&gt;高値!G398,高値!I398&gt;高値!J398,高値!I398&gt;高値!K398),4,""))</f>
      </c>
      <c r="AF398" s="684">
        <f>IF(終値!A398="","",IF(AND(高値!J398&gt;高値!I398,高値!J398&gt;高値!H398,高値!J398&gt;高値!K398,高値!J398&gt;高値!L398),5,""))</f>
      </c>
      <c r="AG398" s="684">
        <f>IF(終値!A398="","",IF(AND(高値!K398&gt;高値!J398,高値!K398&gt;高値!I398,高値!K398&gt;高値!L398,高値!K398&gt;高値!M398),6,""))</f>
      </c>
      <c r="AH398" s="684">
        <f>IF(終値!A398="","",IF(AND(高値!L398&gt;高値!K398,高値!L398&gt;高値!J398,高値!L398&gt;高値!M398,高値!L398&gt;高値!N398),7,""))</f>
      </c>
      <c r="AI398" s="684">
        <f>IF(終値!A398="","",IF(AND(高値!M398&gt;高値!L398,高値!M398&gt;高値!K398,高値!M398&gt;高値!N398,高値!M398&gt;高値!O398),8,""))</f>
      </c>
      <c r="AJ398" s="684">
        <f>IF(終値!A398="","",IF(AND(高値!N398&gt;高値!M398,高値!N398&gt;高値!L398,高値!N398&gt;高値!O398,高値!N398&gt;高値!P398),9,""))</f>
      </c>
      <c r="AK398" s="684">
        <f>IF(終値!A398="","",IF(AND(高値!O398&gt;高値!N398,高値!O398&gt;高値!M398,高値!O398&gt;高値!P398,高値!O398&gt;高値!Q398),10,""))</f>
      </c>
      <c r="AL398" s="684">
        <f>IF(終値!A398="","",IF(AND(高値!P398&gt;高値!O398,高値!P398&gt;高値!N398,高値!P398&gt;高値!Q398,高値!P398&gt;高値!R398),11,""))</f>
      </c>
      <c r="AM398" s="684">
        <f>IF(終値!A398="","",IF(AND(高値!Q398&gt;高値!P398,高値!Q398&gt;高値!O398,高値!Q398&gt;高値!R398,高値!Q398&gt;高値!S398),12,""))</f>
      </c>
      <c r="AN398" s="684">
        <f>IF(終値!A398="","",IF(AND(高値!R398&gt;高値!Q398,高値!R398&gt;高値!P398,高値!R398&gt;高値!S398,高値!R398&gt;高値!T398),13,""))</f>
      </c>
      <c r="AO398" s="684">
        <f>IF(終値!A398="","",IF(AND(高値!S398&gt;高値!R398,高値!S398&gt;高値!Q398,高値!S398&gt;高値!T398,高値!S398&gt;高値!U398),14,""))</f>
      </c>
      <c r="AP398" s="684">
        <f>IF(終値!A398="","",IF(AND(高値!T398&gt;高値!S398,高値!T398&gt;高値!R398,高値!T398&gt;高値!U398,高値!T398&gt;高値!V398),15,""))</f>
      </c>
      <c r="AQ398" s="684">
        <f>IF(終値!A398="","",IF(AND(高値!U398&gt;高値!T398,高値!U398&gt;高値!S398,高値!U398&gt;高値!V398,高値!U398&gt;高値!W398),16,""))</f>
      </c>
      <c r="AR398" s="684">
        <f>IF(終値!A398="","",IF(AND(高値!V398&gt;高値!U398,高値!V398&gt;高値!T398,高値!V398&gt;高値!W398,高値!V398&gt;高値!X398),17,""))</f>
      </c>
      <c r="AS398" s="684">
        <f>IF(終値!A398="","",IF(AND(高値!W398&gt;高値!V398,高値!W398&gt;高値!U398,高値!W398&gt;高値!X398,高値!W398&gt;高値!Y398),18,""))</f>
      </c>
      <c r="AT398" s="684">
        <f>IF(終値!A398="","",IF(AND(高値!X398&gt;高値!W398,高値!X398&gt;高値!V398,高値!X398&gt;高値!Y398,高値!X398&gt;高値!Z398),19,""))</f>
      </c>
      <c r="AU398" s="684">
        <f>IF(終値!A398="","",IF(AND(高値!Y398&gt;高値!X398,高値!Y398&gt;高値!W398,高値!Y398&gt;高値!Z398,高値!Y398&gt;高値!AA398),20,""))</f>
      </c>
      <c r="AV398" s="684">
        <f>IF(終値!A398="","",IF(AND(高値!Z398&gt;高値!Y398,高値!Z398&gt;高値!X398,高値!Z398&gt;高値!AA398,高値!Z398&gt;高値!AB398),21,""))</f>
      </c>
      <c r="AW398" s="684">
        <f>IF(終値!A398="","",IF(AND(高値!AA398&gt;高値!Z398,高値!AA398&gt;高値!Y398,高値!AA398&gt;高値!AB398,高値!AA398&gt;高値!AC398),22,""))</f>
      </c>
      <c r="AX398" s="684">
        <f>IF(終値!A398="","",IF(AND(高値!AB398&gt;高値!AA398,高値!AB398&gt;高値!Z398,高値!AB398&gt;高値!AC398,高値!AB398&gt;高値!AD398),23,""))</f>
      </c>
      <c r="AY398" s="684">
        <f>IF(終値!A398="","",IF(AND(高値!AC398&gt;高値!AB398,高値!AC398&gt;高値!AA398,高値!AC398&gt;高値!AD398,高値!AC398&gt;高値!AE398),24,""))</f>
      </c>
      <c r="AZ398" s="684">
        <f>IF(終値!A398="","",IF(AND(高値!AD398&gt;高値!AC398,高値!AD398&gt;高値!AB398,高値!AD398&gt;高値!AE398,高値!AD398&gt;高値!AF398),25,""))</f>
      </c>
      <c r="BA398" s="684">
        <f>IF(終値!A398="","",IF(AND(高値!AE398&gt;高値!AD398,高値!AE398&gt;高値!AC398,高値!AE398&gt;高値!AF398,高値!AE398&gt;高値!AG398),26,""))</f>
      </c>
      <c r="BB398" s="684">
        <f>IF(終値!A398="","",IF(AND(高値!AF398&gt;高値!AE398,高値!AF398&gt;高値!AD398,高値!AF398&gt;高値!AG398,高値!AF398&gt;高値!AH398),27,""))</f>
      </c>
      <c r="BC398" s="684">
        <f>IF(終値!A398="","",IF(AND(高値!AG398&gt;高値!AF398,高値!AG398&gt;高値!AE398,高値!AG398&gt;高値!AH398,高値!AG398&gt;高値!AI398),28,""))</f>
      </c>
      <c r="BD398" s="684">
        <f>COUNT($B398:$AB398)</f>
      </c>
      <c r="BE398" s="684">
        <f>IF($BD398&gt;=2,MIN($B398:$AB398),"")</f>
      </c>
      <c r="BF398" s="684">
        <f>IF($BD398&gt;=2,SMALL($B398:$AB398,2),"")</f>
      </c>
      <c r="BG398" s="684">
        <f>IF($BE398="","",INDEX(安値!$E398:$CZ398,1,$BE398+1))</f>
      </c>
      <c r="BH398" s="684">
        <f>IF($BF398="","",INDEX(安値!$E398:$CZ398,1,$BF398+1))</f>
      </c>
      <c r="BI398" s="684">
        <f>IF($BF398="","",MAX(INDEX(高値!$E398:$CZ398,1,$BE398+1):INDEX(高値!$E398:$CZ398,1,$BF398+1)))</f>
      </c>
      <c r="BJ398" s="684">
        <f>IF($BF398="","",AVERAGE(INDEX(終値!$E398:$CZ398,1,$BF398+1):INDEX(終値!$E398:$CZ398,1,$BF398+20))-2*STDEVP(INDEX(終値!$E398:$CZ398,1,$BF398+1):INDEX(終値!$E398:$CZ398,1,$BF398+20)))</f>
      </c>
      <c r="BK398" s="684">
        <f>IF($BE398="","",AVERAGE(INDEX(終値!$E398:$CZ398,1,$BE398+1):INDEX(終値!$E398:$CZ398,1,$BE398+20))-2*STDEVP(INDEX(終値!$E398:$CZ398,1,$BE398+1):INDEX(終値!$E398:$CZ398,1,$BE398+20)))</f>
      </c>
      <c r="BL398" s="684">
        <f>COUNT($AC398:$BC398)</f>
      </c>
      <c r="BM398" s="684">
        <f>IF($BL398&gt;=2,MIN($AC398:$BC398),"")</f>
      </c>
      <c r="BN398" s="684">
        <f>IF($BL398&gt;=2,SMALL($AC398:$BC398,2),"")</f>
      </c>
      <c r="BO398" s="684">
        <f>IF($BM398="","",INDEX(高値!$E398:$CZ398,1,$BM398+1))</f>
      </c>
      <c r="BP398" s="684">
        <f>IF($BN398="","",INDEX(高値!$E398:$CZ398,1,$BN398+1))</f>
      </c>
      <c r="BQ398" s="684">
        <f>IF($BN398="","",MIN(INDEX(安値!$E398:$CZ398,1,$BM398+1):INDEX(安値!$E398:$CZ398,1,$BN398+1)))</f>
      </c>
      <c r="BR398" s="684">
        <f>IF($BN398="","",AVERAGE(INDEX(終値!$E398:$CZ398,1,$BN398+1):INDEX(終値!$E398:$CZ398,1,$BN398+20))+2*STDEVP(INDEX(終値!$E398:$CZ398,1,$BN398+1):INDEX(終値!$E398:$CZ398,1,$BN398+20)))</f>
      </c>
      <c r="BS398" s="684">
        <f>IF($BM398="","",AVERAGE(INDEX(終値!$E398:$CZ398,1,$BM398+1):INDEX(終値!$E398:$CZ398,1,$BM398+20))+2*STDEVP(INDEX(終値!$E398:$CZ398,1,$BM398+1):INDEX(終値!$E398:$CZ398,1,$BM398+20)))</f>
      </c>
      <c r="BT398" s="681">
        <f>IFERROR(IF(AND($BD398&gt;=2,ABS($BG398-$BH398)/$BH398&lt;=BB設定!$B$12,$BI398&gt;=MAX($BH398,$BG398)*(1+BB設定!$B$13),終値!E398&gt;$BG398),IF(OR(終値!E398&gt;=$BI398,AND($BH398&lt;$BJ398,$BG398&gt;=$BK398)),"二番底W▲","二番底W形成"),IF(AND($BL398&gt;=2,ABS($BO398-$BP398)/$BP398&lt;=BB設定!$B$12,$BQ398&lt;=MIN($BP398,$BO398)*(1-BB設定!$B$13),終値!E398&lt;$BO398),IF(OR(終値!E398&lt;=$BQ398,AND($BP398&gt;$BR398,$BO398&lt;=$BS398)),"二番天井M▼","二番天井M形成"),"－")),"－")</f>
      </c>
    </row>
    <row r="399">
      <c r="B399" s="684">
        <f>IF(終値!A399="","",IF(AND(安値!G399&lt;安値!F399,安値!G399&lt;安値!E399,安値!G399&lt;安値!H399,安値!G399&lt;安値!I399),2,""))</f>
      </c>
      <c r="C399" s="684">
        <f>IF(終値!A399="","",IF(AND(安値!H399&lt;安値!G399,安値!H399&lt;安値!F399,安値!H399&lt;安値!I399,安値!H399&lt;安値!J399),3,""))</f>
      </c>
      <c r="D399" s="684">
        <f>IF(終値!A399="","",IF(AND(安値!I399&lt;安値!H399,安値!I399&lt;安値!G399,安値!I399&lt;安値!J399,安値!I399&lt;安値!K399),4,""))</f>
      </c>
      <c r="E399" s="684">
        <f>IF(終値!A399="","",IF(AND(安値!J399&lt;安値!I399,安値!J399&lt;安値!H399,安値!J399&lt;安値!K399,安値!J399&lt;安値!L399),5,""))</f>
      </c>
      <c r="F399" s="684">
        <f>IF(終値!A399="","",IF(AND(安値!K399&lt;安値!J399,安値!K399&lt;安値!I399,安値!K399&lt;安値!L399,安値!K399&lt;安値!M399),6,""))</f>
      </c>
      <c r="G399" s="684">
        <f>IF(終値!A399="","",IF(AND(安値!L399&lt;安値!K399,安値!L399&lt;安値!J399,安値!L399&lt;安値!M399,安値!L399&lt;安値!N399),7,""))</f>
      </c>
      <c r="H399" s="684">
        <f>IF(終値!A399="","",IF(AND(安値!M399&lt;安値!L399,安値!M399&lt;安値!K399,安値!M399&lt;安値!N399,安値!M399&lt;安値!O399),8,""))</f>
      </c>
      <c r="I399" s="684">
        <f>IF(終値!A399="","",IF(AND(安値!N399&lt;安値!M399,安値!N399&lt;安値!L399,安値!N399&lt;安値!O399,安値!N399&lt;安値!P399),9,""))</f>
      </c>
      <c r="J399" s="684">
        <f>IF(終値!A399="","",IF(AND(安値!O399&lt;安値!N399,安値!O399&lt;安値!M399,安値!O399&lt;安値!P399,安値!O399&lt;安値!Q399),10,""))</f>
      </c>
      <c r="K399" s="684">
        <f>IF(終値!A399="","",IF(AND(安値!P399&lt;安値!O399,安値!P399&lt;安値!N399,安値!P399&lt;安値!Q399,安値!P399&lt;安値!R399),11,""))</f>
      </c>
      <c r="L399" s="684">
        <f>IF(終値!A399="","",IF(AND(安値!Q399&lt;安値!P399,安値!Q399&lt;安値!O399,安値!Q399&lt;安値!R399,安値!Q399&lt;安値!S399),12,""))</f>
      </c>
      <c r="M399" s="684">
        <f>IF(終値!A399="","",IF(AND(安値!R399&lt;安値!Q399,安値!R399&lt;安値!P399,安値!R399&lt;安値!S399,安値!R399&lt;安値!T399),13,""))</f>
      </c>
      <c r="N399" s="684">
        <f>IF(終値!A399="","",IF(AND(安値!S399&lt;安値!R399,安値!S399&lt;安値!Q399,安値!S399&lt;安値!T399,安値!S399&lt;安値!U399),14,""))</f>
      </c>
      <c r="O399" s="684">
        <f>IF(終値!A399="","",IF(AND(安値!T399&lt;安値!S399,安値!T399&lt;安値!R399,安値!T399&lt;安値!U399,安値!T399&lt;安値!V399),15,""))</f>
      </c>
      <c r="P399" s="684">
        <f>IF(終値!A399="","",IF(AND(安値!U399&lt;安値!T399,安値!U399&lt;安値!S399,安値!U399&lt;安値!V399,安値!U399&lt;安値!W399),16,""))</f>
      </c>
      <c r="Q399" s="684">
        <f>IF(終値!A399="","",IF(AND(安値!V399&lt;安値!U399,安値!V399&lt;安値!T399,安値!V399&lt;安値!W399,安値!V399&lt;安値!X399),17,""))</f>
      </c>
      <c r="R399" s="684">
        <f>IF(終値!A399="","",IF(AND(安値!W399&lt;安値!V399,安値!W399&lt;安値!U399,安値!W399&lt;安値!X399,安値!W399&lt;安値!Y399),18,""))</f>
      </c>
      <c r="S399" s="684">
        <f>IF(終値!A399="","",IF(AND(安値!X399&lt;安値!W399,安値!X399&lt;安値!V399,安値!X399&lt;安値!Y399,安値!X399&lt;安値!Z399),19,""))</f>
      </c>
      <c r="T399" s="684">
        <f>IF(終値!A399="","",IF(AND(安値!Y399&lt;安値!X399,安値!Y399&lt;安値!W399,安値!Y399&lt;安値!Z399,安値!Y399&lt;安値!AA399),20,""))</f>
      </c>
      <c r="U399" s="684">
        <f>IF(終値!A399="","",IF(AND(安値!Z399&lt;安値!Y399,安値!Z399&lt;安値!X399,安値!Z399&lt;安値!AA399,安値!Z399&lt;安値!AB399),21,""))</f>
      </c>
      <c r="V399" s="684">
        <f>IF(終値!A399="","",IF(AND(安値!AA399&lt;安値!Z399,安値!AA399&lt;安値!Y399,安値!AA399&lt;安値!AB399,安値!AA399&lt;安値!AC399),22,""))</f>
      </c>
      <c r="W399" s="684">
        <f>IF(終値!A399="","",IF(AND(安値!AB399&lt;安値!AA399,安値!AB399&lt;安値!Z399,安値!AB399&lt;安値!AC399,安値!AB399&lt;安値!AD399),23,""))</f>
      </c>
      <c r="X399" s="684">
        <f>IF(終値!A399="","",IF(AND(安値!AC399&lt;安値!AB399,安値!AC399&lt;安値!AA399,安値!AC399&lt;安値!AD399,安値!AC399&lt;安値!AE399),24,""))</f>
      </c>
      <c r="Y399" s="684">
        <f>IF(終値!A399="","",IF(AND(安値!AD399&lt;安値!AC399,安値!AD399&lt;安値!AB399,安値!AD399&lt;安値!AE399,安値!AD399&lt;安値!AF399),25,""))</f>
      </c>
      <c r="Z399" s="684">
        <f>IF(終値!A399="","",IF(AND(安値!AE399&lt;安値!AD399,安値!AE399&lt;安値!AC399,安値!AE399&lt;安値!AF399,安値!AE399&lt;安値!AG399),26,""))</f>
      </c>
      <c r="AA399" s="684">
        <f>IF(終値!A399="","",IF(AND(安値!AF399&lt;安値!AE399,安値!AF399&lt;安値!AD399,安値!AF399&lt;安値!AG399,安値!AF399&lt;安値!AH399),27,""))</f>
      </c>
      <c r="AB399" s="684">
        <f>IF(終値!A399="","",IF(AND(安値!AG399&lt;安値!AF399,安値!AG399&lt;安値!AE399,安値!AG399&lt;安値!AH399,安値!AG399&lt;安値!AI399),28,""))</f>
      </c>
      <c r="AC399" s="684">
        <f>IF(終値!A399="","",IF(AND(高値!G399&gt;高値!F399,高値!G399&gt;高値!E399,高値!G399&gt;高値!H399,高値!G399&gt;高値!I399),2,""))</f>
      </c>
      <c r="AD399" s="684">
        <f>IF(終値!A399="","",IF(AND(高値!H399&gt;高値!G399,高値!H399&gt;高値!F399,高値!H399&gt;高値!I399,高値!H399&gt;高値!J399),3,""))</f>
      </c>
      <c r="AE399" s="684">
        <f>IF(終値!A399="","",IF(AND(高値!I399&gt;高値!H399,高値!I399&gt;高値!G399,高値!I399&gt;高値!J399,高値!I399&gt;高値!K399),4,""))</f>
      </c>
      <c r="AF399" s="684">
        <f>IF(終値!A399="","",IF(AND(高値!J399&gt;高値!I399,高値!J399&gt;高値!H399,高値!J399&gt;高値!K399,高値!J399&gt;高値!L399),5,""))</f>
      </c>
      <c r="AG399" s="684">
        <f>IF(終値!A399="","",IF(AND(高値!K399&gt;高値!J399,高値!K399&gt;高値!I399,高値!K399&gt;高値!L399,高値!K399&gt;高値!M399),6,""))</f>
      </c>
      <c r="AH399" s="684">
        <f>IF(終値!A399="","",IF(AND(高値!L399&gt;高値!K399,高値!L399&gt;高値!J399,高値!L399&gt;高値!M399,高値!L399&gt;高値!N399),7,""))</f>
      </c>
      <c r="AI399" s="684">
        <f>IF(終値!A399="","",IF(AND(高値!M399&gt;高値!L399,高値!M399&gt;高値!K399,高値!M399&gt;高値!N399,高値!M399&gt;高値!O399),8,""))</f>
      </c>
      <c r="AJ399" s="684">
        <f>IF(終値!A399="","",IF(AND(高値!N399&gt;高値!M399,高値!N399&gt;高値!L399,高値!N399&gt;高値!O399,高値!N399&gt;高値!P399),9,""))</f>
      </c>
      <c r="AK399" s="684">
        <f>IF(終値!A399="","",IF(AND(高値!O399&gt;高値!N399,高値!O399&gt;高値!M399,高値!O399&gt;高値!P399,高値!O399&gt;高値!Q399),10,""))</f>
      </c>
      <c r="AL399" s="684">
        <f>IF(終値!A399="","",IF(AND(高値!P399&gt;高値!O399,高値!P399&gt;高値!N399,高値!P399&gt;高値!Q399,高値!P399&gt;高値!R399),11,""))</f>
      </c>
      <c r="AM399" s="684">
        <f>IF(終値!A399="","",IF(AND(高値!Q399&gt;高値!P399,高値!Q399&gt;高値!O399,高値!Q399&gt;高値!R399,高値!Q399&gt;高値!S399),12,""))</f>
      </c>
      <c r="AN399" s="684">
        <f>IF(終値!A399="","",IF(AND(高値!R399&gt;高値!Q399,高値!R399&gt;高値!P399,高値!R399&gt;高値!S399,高値!R399&gt;高値!T399),13,""))</f>
      </c>
      <c r="AO399" s="684">
        <f>IF(終値!A399="","",IF(AND(高値!S399&gt;高値!R399,高値!S399&gt;高値!Q399,高値!S399&gt;高値!T399,高値!S399&gt;高値!U399),14,""))</f>
      </c>
      <c r="AP399" s="684">
        <f>IF(終値!A399="","",IF(AND(高値!T399&gt;高値!S399,高値!T399&gt;高値!R399,高値!T399&gt;高値!U399,高値!T399&gt;高値!V399),15,""))</f>
      </c>
      <c r="AQ399" s="684">
        <f>IF(終値!A399="","",IF(AND(高値!U399&gt;高値!T399,高値!U399&gt;高値!S399,高値!U399&gt;高値!V399,高値!U399&gt;高値!W399),16,""))</f>
      </c>
      <c r="AR399" s="684">
        <f>IF(終値!A399="","",IF(AND(高値!V399&gt;高値!U399,高値!V399&gt;高値!T399,高値!V399&gt;高値!W399,高値!V399&gt;高値!X399),17,""))</f>
      </c>
      <c r="AS399" s="684">
        <f>IF(終値!A399="","",IF(AND(高値!W399&gt;高値!V399,高値!W399&gt;高値!U399,高値!W399&gt;高値!X399,高値!W399&gt;高値!Y399),18,""))</f>
      </c>
      <c r="AT399" s="684">
        <f>IF(終値!A399="","",IF(AND(高値!X399&gt;高値!W399,高値!X399&gt;高値!V399,高値!X399&gt;高値!Y399,高値!X399&gt;高値!Z399),19,""))</f>
      </c>
      <c r="AU399" s="684">
        <f>IF(終値!A399="","",IF(AND(高値!Y399&gt;高値!X399,高値!Y399&gt;高値!W399,高値!Y399&gt;高値!Z399,高値!Y399&gt;高値!AA399),20,""))</f>
      </c>
      <c r="AV399" s="684">
        <f>IF(終値!A399="","",IF(AND(高値!Z399&gt;高値!Y399,高値!Z399&gt;高値!X399,高値!Z399&gt;高値!AA399,高値!Z399&gt;高値!AB399),21,""))</f>
      </c>
      <c r="AW399" s="684">
        <f>IF(終値!A399="","",IF(AND(高値!AA399&gt;高値!Z399,高値!AA399&gt;高値!Y399,高値!AA399&gt;高値!AB399,高値!AA399&gt;高値!AC399),22,""))</f>
      </c>
      <c r="AX399" s="684">
        <f>IF(終値!A399="","",IF(AND(高値!AB399&gt;高値!AA399,高値!AB399&gt;高値!Z399,高値!AB399&gt;高値!AC399,高値!AB399&gt;高値!AD399),23,""))</f>
      </c>
      <c r="AY399" s="684">
        <f>IF(終値!A399="","",IF(AND(高値!AC399&gt;高値!AB399,高値!AC399&gt;高値!AA399,高値!AC399&gt;高値!AD399,高値!AC399&gt;高値!AE399),24,""))</f>
      </c>
      <c r="AZ399" s="684">
        <f>IF(終値!A399="","",IF(AND(高値!AD399&gt;高値!AC399,高値!AD399&gt;高値!AB399,高値!AD399&gt;高値!AE399,高値!AD399&gt;高値!AF399),25,""))</f>
      </c>
      <c r="BA399" s="684">
        <f>IF(終値!A399="","",IF(AND(高値!AE399&gt;高値!AD399,高値!AE399&gt;高値!AC399,高値!AE399&gt;高値!AF399,高値!AE399&gt;高値!AG399),26,""))</f>
      </c>
      <c r="BB399" s="684">
        <f>IF(終値!A399="","",IF(AND(高値!AF399&gt;高値!AE399,高値!AF399&gt;高値!AD399,高値!AF399&gt;高値!AG399,高値!AF399&gt;高値!AH399),27,""))</f>
      </c>
      <c r="BC399" s="684">
        <f>IF(終値!A399="","",IF(AND(高値!AG399&gt;高値!AF399,高値!AG399&gt;高値!AE399,高値!AG399&gt;高値!AH399,高値!AG399&gt;高値!AI399),28,""))</f>
      </c>
      <c r="BD399" s="684">
        <f>COUNT($B399:$AB399)</f>
      </c>
      <c r="BE399" s="684">
        <f>IF($BD399&gt;=2,MIN($B399:$AB399),"")</f>
      </c>
      <c r="BF399" s="684">
        <f>IF($BD399&gt;=2,SMALL($B399:$AB399,2),"")</f>
      </c>
      <c r="BG399" s="684">
        <f>IF($BE399="","",INDEX(安値!$E399:$CZ399,1,$BE399+1))</f>
      </c>
      <c r="BH399" s="684">
        <f>IF($BF399="","",INDEX(安値!$E399:$CZ399,1,$BF399+1))</f>
      </c>
      <c r="BI399" s="684">
        <f>IF($BF399="","",MAX(INDEX(高値!$E399:$CZ399,1,$BE399+1):INDEX(高値!$E399:$CZ399,1,$BF399+1)))</f>
      </c>
      <c r="BJ399" s="684">
        <f>IF($BF399="","",AVERAGE(INDEX(終値!$E399:$CZ399,1,$BF399+1):INDEX(終値!$E399:$CZ399,1,$BF399+20))-2*STDEVP(INDEX(終値!$E399:$CZ399,1,$BF399+1):INDEX(終値!$E399:$CZ399,1,$BF399+20)))</f>
      </c>
      <c r="BK399" s="684">
        <f>IF($BE399="","",AVERAGE(INDEX(終値!$E399:$CZ399,1,$BE399+1):INDEX(終値!$E399:$CZ399,1,$BE399+20))-2*STDEVP(INDEX(終値!$E399:$CZ399,1,$BE399+1):INDEX(終値!$E399:$CZ399,1,$BE399+20)))</f>
      </c>
      <c r="BL399" s="684">
        <f>COUNT($AC399:$BC399)</f>
      </c>
      <c r="BM399" s="684">
        <f>IF($BL399&gt;=2,MIN($AC399:$BC399),"")</f>
      </c>
      <c r="BN399" s="684">
        <f>IF($BL399&gt;=2,SMALL($AC399:$BC399,2),"")</f>
      </c>
      <c r="BO399" s="684">
        <f>IF($BM399="","",INDEX(高値!$E399:$CZ399,1,$BM399+1))</f>
      </c>
      <c r="BP399" s="684">
        <f>IF($BN399="","",INDEX(高値!$E399:$CZ399,1,$BN399+1))</f>
      </c>
      <c r="BQ399" s="684">
        <f>IF($BN399="","",MIN(INDEX(安値!$E399:$CZ399,1,$BM399+1):INDEX(安値!$E399:$CZ399,1,$BN399+1)))</f>
      </c>
      <c r="BR399" s="684">
        <f>IF($BN399="","",AVERAGE(INDEX(終値!$E399:$CZ399,1,$BN399+1):INDEX(終値!$E399:$CZ399,1,$BN399+20))+2*STDEVP(INDEX(終値!$E399:$CZ399,1,$BN399+1):INDEX(終値!$E399:$CZ399,1,$BN399+20)))</f>
      </c>
      <c r="BS399" s="684">
        <f>IF($BM399="","",AVERAGE(INDEX(終値!$E399:$CZ399,1,$BM399+1):INDEX(終値!$E399:$CZ399,1,$BM399+20))+2*STDEVP(INDEX(終値!$E399:$CZ399,1,$BM399+1):INDEX(終値!$E399:$CZ399,1,$BM399+20)))</f>
      </c>
      <c r="BT399" s="681">
        <f>IFERROR(IF(AND($BD399&gt;=2,ABS($BG399-$BH399)/$BH399&lt;=BB設定!$B$12,$BI399&gt;=MAX($BH399,$BG399)*(1+BB設定!$B$13),終値!E399&gt;$BG399),IF(OR(終値!E399&gt;=$BI399,AND($BH399&lt;$BJ399,$BG399&gt;=$BK399)),"二番底W▲","二番底W形成"),IF(AND($BL399&gt;=2,ABS($BO399-$BP399)/$BP399&lt;=BB設定!$B$12,$BQ399&lt;=MIN($BP399,$BO399)*(1-BB設定!$B$13),終値!E399&lt;$BO399),IF(OR(終値!E399&lt;=$BQ399,AND($BP399&gt;$BR399,$BO399&lt;=$BS399)),"二番天井M▼","二番天井M形成"),"－")),"－")</f>
      </c>
    </row>
    <row r="400">
      <c r="B400" s="684">
        <f>IF(終値!A400="","",IF(AND(安値!G400&lt;安値!F400,安値!G400&lt;安値!E400,安値!G400&lt;安値!H400,安値!G400&lt;安値!I400),2,""))</f>
      </c>
      <c r="C400" s="684">
        <f>IF(終値!A400="","",IF(AND(安値!H400&lt;安値!G400,安値!H400&lt;安値!F400,安値!H400&lt;安値!I400,安値!H400&lt;安値!J400),3,""))</f>
      </c>
      <c r="D400" s="684">
        <f>IF(終値!A400="","",IF(AND(安値!I400&lt;安値!H400,安値!I400&lt;安値!G400,安値!I400&lt;安値!J400,安値!I400&lt;安値!K400),4,""))</f>
      </c>
      <c r="E400" s="684">
        <f>IF(終値!A400="","",IF(AND(安値!J400&lt;安値!I400,安値!J400&lt;安値!H400,安値!J400&lt;安値!K400,安値!J400&lt;安値!L400),5,""))</f>
      </c>
      <c r="F400" s="684">
        <f>IF(終値!A400="","",IF(AND(安値!K400&lt;安値!J400,安値!K400&lt;安値!I400,安値!K400&lt;安値!L400,安値!K400&lt;安値!M400),6,""))</f>
      </c>
      <c r="G400" s="684">
        <f>IF(終値!A400="","",IF(AND(安値!L400&lt;安値!K400,安値!L400&lt;安値!J400,安値!L400&lt;安値!M400,安値!L400&lt;安値!N400),7,""))</f>
      </c>
      <c r="H400" s="684">
        <f>IF(終値!A400="","",IF(AND(安値!M400&lt;安値!L400,安値!M400&lt;安値!K400,安値!M400&lt;安値!N400,安値!M400&lt;安値!O400),8,""))</f>
      </c>
      <c r="I400" s="684">
        <f>IF(終値!A400="","",IF(AND(安値!N400&lt;安値!M400,安値!N400&lt;安値!L400,安値!N400&lt;安値!O400,安値!N400&lt;安値!P400),9,""))</f>
      </c>
      <c r="J400" s="684">
        <f>IF(終値!A400="","",IF(AND(安値!O400&lt;安値!N400,安値!O400&lt;安値!M400,安値!O400&lt;安値!P400,安値!O400&lt;安値!Q400),10,""))</f>
      </c>
      <c r="K400" s="684">
        <f>IF(終値!A400="","",IF(AND(安値!P400&lt;安値!O400,安値!P400&lt;安値!N400,安値!P400&lt;安値!Q400,安値!P400&lt;安値!R400),11,""))</f>
      </c>
      <c r="L400" s="684">
        <f>IF(終値!A400="","",IF(AND(安値!Q400&lt;安値!P400,安値!Q400&lt;安値!O400,安値!Q400&lt;安値!R400,安値!Q400&lt;安値!S400),12,""))</f>
      </c>
      <c r="M400" s="684">
        <f>IF(終値!A400="","",IF(AND(安値!R400&lt;安値!Q400,安値!R400&lt;安値!P400,安値!R400&lt;安値!S400,安値!R400&lt;安値!T400),13,""))</f>
      </c>
      <c r="N400" s="684">
        <f>IF(終値!A400="","",IF(AND(安値!S400&lt;安値!R400,安値!S400&lt;安値!Q400,安値!S400&lt;安値!T400,安値!S400&lt;安値!U400),14,""))</f>
      </c>
      <c r="O400" s="684">
        <f>IF(終値!A400="","",IF(AND(安値!T400&lt;安値!S400,安値!T400&lt;安値!R400,安値!T400&lt;安値!U400,安値!T400&lt;安値!V400),15,""))</f>
      </c>
      <c r="P400" s="684">
        <f>IF(終値!A400="","",IF(AND(安値!U400&lt;安値!T400,安値!U400&lt;安値!S400,安値!U400&lt;安値!V400,安値!U400&lt;安値!W400),16,""))</f>
      </c>
      <c r="Q400" s="684">
        <f>IF(終値!A400="","",IF(AND(安値!V400&lt;安値!U400,安値!V400&lt;安値!T400,安値!V400&lt;安値!W400,安値!V400&lt;安値!X400),17,""))</f>
      </c>
      <c r="R400" s="684">
        <f>IF(終値!A400="","",IF(AND(安値!W400&lt;安値!V400,安値!W400&lt;安値!U400,安値!W400&lt;安値!X400,安値!W400&lt;安値!Y400),18,""))</f>
      </c>
      <c r="S400" s="684">
        <f>IF(終値!A400="","",IF(AND(安値!X400&lt;安値!W400,安値!X400&lt;安値!V400,安値!X400&lt;安値!Y400,安値!X400&lt;安値!Z400),19,""))</f>
      </c>
      <c r="T400" s="684">
        <f>IF(終値!A400="","",IF(AND(安値!Y400&lt;安値!X400,安値!Y400&lt;安値!W400,安値!Y400&lt;安値!Z400,安値!Y400&lt;安値!AA400),20,""))</f>
      </c>
      <c r="U400" s="684">
        <f>IF(終値!A400="","",IF(AND(安値!Z400&lt;安値!Y400,安値!Z400&lt;安値!X400,安値!Z400&lt;安値!AA400,安値!Z400&lt;安値!AB400),21,""))</f>
      </c>
      <c r="V400" s="684">
        <f>IF(終値!A400="","",IF(AND(安値!AA400&lt;安値!Z400,安値!AA400&lt;安値!Y400,安値!AA400&lt;安値!AB400,安値!AA400&lt;安値!AC400),22,""))</f>
      </c>
      <c r="W400" s="684">
        <f>IF(終値!A400="","",IF(AND(安値!AB400&lt;安値!AA400,安値!AB400&lt;安値!Z400,安値!AB400&lt;安値!AC400,安値!AB400&lt;安値!AD400),23,""))</f>
      </c>
      <c r="X400" s="684">
        <f>IF(終値!A400="","",IF(AND(安値!AC400&lt;安値!AB400,安値!AC400&lt;安値!AA400,安値!AC400&lt;安値!AD400,安値!AC400&lt;安値!AE400),24,""))</f>
      </c>
      <c r="Y400" s="684">
        <f>IF(終値!A400="","",IF(AND(安値!AD400&lt;安値!AC400,安値!AD400&lt;安値!AB400,安値!AD400&lt;安値!AE400,安値!AD400&lt;安値!AF400),25,""))</f>
      </c>
      <c r="Z400" s="684">
        <f>IF(終値!A400="","",IF(AND(安値!AE400&lt;安値!AD400,安値!AE400&lt;安値!AC400,安値!AE400&lt;安値!AF400,安値!AE400&lt;安値!AG400),26,""))</f>
      </c>
      <c r="AA400" s="684">
        <f>IF(終値!A400="","",IF(AND(安値!AF400&lt;安値!AE400,安値!AF400&lt;安値!AD400,安値!AF400&lt;安値!AG400,安値!AF400&lt;安値!AH400),27,""))</f>
      </c>
      <c r="AB400" s="684">
        <f>IF(終値!A400="","",IF(AND(安値!AG400&lt;安値!AF400,安値!AG400&lt;安値!AE400,安値!AG400&lt;安値!AH400,安値!AG400&lt;安値!AI400),28,""))</f>
      </c>
      <c r="AC400" s="684">
        <f>IF(終値!A400="","",IF(AND(高値!G400&gt;高値!F400,高値!G400&gt;高値!E400,高値!G400&gt;高値!H400,高値!G400&gt;高値!I400),2,""))</f>
      </c>
      <c r="AD400" s="684">
        <f>IF(終値!A400="","",IF(AND(高値!H400&gt;高値!G400,高値!H400&gt;高値!F400,高値!H400&gt;高値!I400,高値!H400&gt;高値!J400),3,""))</f>
      </c>
      <c r="AE400" s="684">
        <f>IF(終値!A400="","",IF(AND(高値!I400&gt;高値!H400,高値!I400&gt;高値!G400,高値!I400&gt;高値!J400,高値!I400&gt;高値!K400),4,""))</f>
      </c>
      <c r="AF400" s="684">
        <f>IF(終値!A400="","",IF(AND(高値!J400&gt;高値!I400,高値!J400&gt;高値!H400,高値!J400&gt;高値!K400,高値!J400&gt;高値!L400),5,""))</f>
      </c>
      <c r="AG400" s="684">
        <f>IF(終値!A400="","",IF(AND(高値!K400&gt;高値!J400,高値!K400&gt;高値!I400,高値!K400&gt;高値!L400,高値!K400&gt;高値!M400),6,""))</f>
      </c>
      <c r="AH400" s="684">
        <f>IF(終値!A400="","",IF(AND(高値!L400&gt;高値!K400,高値!L400&gt;高値!J400,高値!L400&gt;高値!M400,高値!L400&gt;高値!N400),7,""))</f>
      </c>
      <c r="AI400" s="684">
        <f>IF(終値!A400="","",IF(AND(高値!M400&gt;高値!L400,高値!M400&gt;高値!K400,高値!M400&gt;高値!N400,高値!M400&gt;高値!O400),8,""))</f>
      </c>
      <c r="AJ400" s="684">
        <f>IF(終値!A400="","",IF(AND(高値!N400&gt;高値!M400,高値!N400&gt;高値!L400,高値!N400&gt;高値!O400,高値!N400&gt;高値!P400),9,""))</f>
      </c>
      <c r="AK400" s="684">
        <f>IF(終値!A400="","",IF(AND(高値!O400&gt;高値!N400,高値!O400&gt;高値!M400,高値!O400&gt;高値!P400,高値!O400&gt;高値!Q400),10,""))</f>
      </c>
      <c r="AL400" s="684">
        <f>IF(終値!A400="","",IF(AND(高値!P400&gt;高値!O400,高値!P400&gt;高値!N400,高値!P400&gt;高値!Q400,高値!P400&gt;高値!R400),11,""))</f>
      </c>
      <c r="AM400" s="684">
        <f>IF(終値!A400="","",IF(AND(高値!Q400&gt;高値!P400,高値!Q400&gt;高値!O400,高値!Q400&gt;高値!R400,高値!Q400&gt;高値!S400),12,""))</f>
      </c>
      <c r="AN400" s="684">
        <f>IF(終値!A400="","",IF(AND(高値!R400&gt;高値!Q400,高値!R400&gt;高値!P400,高値!R400&gt;高値!S400,高値!R400&gt;高値!T400),13,""))</f>
      </c>
      <c r="AO400" s="684">
        <f>IF(終値!A400="","",IF(AND(高値!S400&gt;高値!R400,高値!S400&gt;高値!Q400,高値!S400&gt;高値!T400,高値!S400&gt;高値!U400),14,""))</f>
      </c>
      <c r="AP400" s="684">
        <f>IF(終値!A400="","",IF(AND(高値!T400&gt;高値!S400,高値!T400&gt;高値!R400,高値!T400&gt;高値!U400,高値!T400&gt;高値!V400),15,""))</f>
      </c>
      <c r="AQ400" s="684">
        <f>IF(終値!A400="","",IF(AND(高値!U400&gt;高値!T400,高値!U400&gt;高値!S400,高値!U400&gt;高値!V400,高値!U400&gt;高値!W400),16,""))</f>
      </c>
      <c r="AR400" s="684">
        <f>IF(終値!A400="","",IF(AND(高値!V400&gt;高値!U400,高値!V400&gt;高値!T400,高値!V400&gt;高値!W400,高値!V400&gt;高値!X400),17,""))</f>
      </c>
      <c r="AS400" s="684">
        <f>IF(終値!A400="","",IF(AND(高値!W400&gt;高値!V400,高値!W400&gt;高値!U400,高値!W400&gt;高値!X400,高値!W400&gt;高値!Y400),18,""))</f>
      </c>
      <c r="AT400" s="684">
        <f>IF(終値!A400="","",IF(AND(高値!X400&gt;高値!W400,高値!X400&gt;高値!V400,高値!X400&gt;高値!Y400,高値!X400&gt;高値!Z400),19,""))</f>
      </c>
      <c r="AU400" s="684">
        <f>IF(終値!A400="","",IF(AND(高値!Y400&gt;高値!X400,高値!Y400&gt;高値!W400,高値!Y400&gt;高値!Z400,高値!Y400&gt;高値!AA400),20,""))</f>
      </c>
      <c r="AV400" s="684">
        <f>IF(終値!A400="","",IF(AND(高値!Z400&gt;高値!Y400,高値!Z400&gt;高値!X400,高値!Z400&gt;高値!AA400,高値!Z400&gt;高値!AB400),21,""))</f>
      </c>
      <c r="AW400" s="684">
        <f>IF(終値!A400="","",IF(AND(高値!AA400&gt;高値!Z400,高値!AA400&gt;高値!Y400,高値!AA400&gt;高値!AB400,高値!AA400&gt;高値!AC400),22,""))</f>
      </c>
      <c r="AX400" s="684">
        <f>IF(終値!A400="","",IF(AND(高値!AB400&gt;高値!AA400,高値!AB400&gt;高値!Z400,高値!AB400&gt;高値!AC400,高値!AB400&gt;高値!AD400),23,""))</f>
      </c>
      <c r="AY400" s="684">
        <f>IF(終値!A400="","",IF(AND(高値!AC400&gt;高値!AB400,高値!AC400&gt;高値!AA400,高値!AC400&gt;高値!AD400,高値!AC400&gt;高値!AE400),24,""))</f>
      </c>
      <c r="AZ400" s="684">
        <f>IF(終値!A400="","",IF(AND(高値!AD400&gt;高値!AC400,高値!AD400&gt;高値!AB400,高値!AD400&gt;高値!AE400,高値!AD400&gt;高値!AF400),25,""))</f>
      </c>
      <c r="BA400" s="684">
        <f>IF(終値!A400="","",IF(AND(高値!AE400&gt;高値!AD400,高値!AE400&gt;高値!AC400,高値!AE400&gt;高値!AF400,高値!AE400&gt;高値!AG400),26,""))</f>
      </c>
      <c r="BB400" s="684">
        <f>IF(終値!A400="","",IF(AND(高値!AF400&gt;高値!AE400,高値!AF400&gt;高値!AD400,高値!AF400&gt;高値!AG400,高値!AF400&gt;高値!AH400),27,""))</f>
      </c>
      <c r="BC400" s="684">
        <f>IF(終値!A400="","",IF(AND(高値!AG400&gt;高値!AF400,高値!AG400&gt;高値!AE400,高値!AG400&gt;高値!AH400,高値!AG400&gt;高値!AI400),28,""))</f>
      </c>
      <c r="BD400" s="684">
        <f>COUNT($B400:$AB400)</f>
      </c>
      <c r="BE400" s="684">
        <f>IF($BD400&gt;=2,MIN($B400:$AB400),"")</f>
      </c>
      <c r="BF400" s="684">
        <f>IF($BD400&gt;=2,SMALL($B400:$AB400,2),"")</f>
      </c>
      <c r="BG400" s="684">
        <f>IF($BE400="","",INDEX(安値!$E400:$CZ400,1,$BE400+1))</f>
      </c>
      <c r="BH400" s="684">
        <f>IF($BF400="","",INDEX(安値!$E400:$CZ400,1,$BF400+1))</f>
      </c>
      <c r="BI400" s="684">
        <f>IF($BF400="","",MAX(INDEX(高値!$E400:$CZ400,1,$BE400+1):INDEX(高値!$E400:$CZ400,1,$BF400+1)))</f>
      </c>
      <c r="BJ400" s="684">
        <f>IF($BF400="","",AVERAGE(INDEX(終値!$E400:$CZ400,1,$BF400+1):INDEX(終値!$E400:$CZ400,1,$BF400+20))-2*STDEVP(INDEX(終値!$E400:$CZ400,1,$BF400+1):INDEX(終値!$E400:$CZ400,1,$BF400+20)))</f>
      </c>
      <c r="BK400" s="684">
        <f>IF($BE400="","",AVERAGE(INDEX(終値!$E400:$CZ400,1,$BE400+1):INDEX(終値!$E400:$CZ400,1,$BE400+20))-2*STDEVP(INDEX(終値!$E400:$CZ400,1,$BE400+1):INDEX(終値!$E400:$CZ400,1,$BE400+20)))</f>
      </c>
      <c r="BL400" s="684">
        <f>COUNT($AC400:$BC400)</f>
      </c>
      <c r="BM400" s="684">
        <f>IF($BL400&gt;=2,MIN($AC400:$BC400),"")</f>
      </c>
      <c r="BN400" s="684">
        <f>IF($BL400&gt;=2,SMALL($AC400:$BC400,2),"")</f>
      </c>
      <c r="BO400" s="684">
        <f>IF($BM400="","",INDEX(高値!$E400:$CZ400,1,$BM400+1))</f>
      </c>
      <c r="BP400" s="684">
        <f>IF($BN400="","",INDEX(高値!$E400:$CZ400,1,$BN400+1))</f>
      </c>
      <c r="BQ400" s="684">
        <f>IF($BN400="","",MIN(INDEX(安値!$E400:$CZ400,1,$BM400+1):INDEX(安値!$E400:$CZ400,1,$BN400+1)))</f>
      </c>
      <c r="BR400" s="684">
        <f>IF($BN400="","",AVERAGE(INDEX(終値!$E400:$CZ400,1,$BN400+1):INDEX(終値!$E400:$CZ400,1,$BN400+20))+2*STDEVP(INDEX(終値!$E400:$CZ400,1,$BN400+1):INDEX(終値!$E400:$CZ400,1,$BN400+20)))</f>
      </c>
      <c r="BS400" s="684">
        <f>IF($BM400="","",AVERAGE(INDEX(終値!$E400:$CZ400,1,$BM400+1):INDEX(終値!$E400:$CZ400,1,$BM400+20))+2*STDEVP(INDEX(終値!$E400:$CZ400,1,$BM400+1):INDEX(終値!$E400:$CZ400,1,$BM400+20)))</f>
      </c>
      <c r="BT400" s="681">
        <f>IFERROR(IF(AND($BD400&gt;=2,ABS($BG400-$BH400)/$BH400&lt;=BB設定!$B$12,$BI400&gt;=MAX($BH400,$BG400)*(1+BB設定!$B$13),終値!E400&gt;$BG400),IF(OR(終値!E400&gt;=$BI400,AND($BH400&lt;$BJ400,$BG400&gt;=$BK400)),"二番底W▲","二番底W形成"),IF(AND($BL400&gt;=2,ABS($BO400-$BP400)/$BP400&lt;=BB設定!$B$12,$BQ400&lt;=MIN($BP400,$BO400)*(1-BB設定!$B$13),終値!E400&lt;$BO400),IF(OR(終値!E400&lt;=$BQ400,AND($BP400&gt;$BR400,$BO400&lt;=$BS400)),"二番天井M▼","二番天井M形成"),"－")),"－")</f>
      </c>
    </row>
    <row r="401">
      <c r="B401" s="684">
        <f>IF(終値!A401="","",IF(AND(安値!G401&lt;安値!F401,安値!G401&lt;安値!E401,安値!G401&lt;安値!H401,安値!G401&lt;安値!I401),2,""))</f>
      </c>
      <c r="C401" s="684">
        <f>IF(終値!A401="","",IF(AND(安値!H401&lt;安値!G401,安値!H401&lt;安値!F401,安値!H401&lt;安値!I401,安値!H401&lt;安値!J401),3,""))</f>
      </c>
      <c r="D401" s="684">
        <f>IF(終値!A401="","",IF(AND(安値!I401&lt;安値!H401,安値!I401&lt;安値!G401,安値!I401&lt;安値!J401,安値!I401&lt;安値!K401),4,""))</f>
      </c>
      <c r="E401" s="684">
        <f>IF(終値!A401="","",IF(AND(安値!J401&lt;安値!I401,安値!J401&lt;安値!H401,安値!J401&lt;安値!K401,安値!J401&lt;安値!L401),5,""))</f>
      </c>
      <c r="F401" s="684">
        <f>IF(終値!A401="","",IF(AND(安値!K401&lt;安値!J401,安値!K401&lt;安値!I401,安値!K401&lt;安値!L401,安値!K401&lt;安値!M401),6,""))</f>
      </c>
      <c r="G401" s="684">
        <f>IF(終値!A401="","",IF(AND(安値!L401&lt;安値!K401,安値!L401&lt;安値!J401,安値!L401&lt;安値!M401,安値!L401&lt;安値!N401),7,""))</f>
      </c>
      <c r="H401" s="684">
        <f>IF(終値!A401="","",IF(AND(安値!M401&lt;安値!L401,安値!M401&lt;安値!K401,安値!M401&lt;安値!N401,安値!M401&lt;安値!O401),8,""))</f>
      </c>
      <c r="I401" s="684">
        <f>IF(終値!A401="","",IF(AND(安値!N401&lt;安値!M401,安値!N401&lt;安値!L401,安値!N401&lt;安値!O401,安値!N401&lt;安値!P401),9,""))</f>
      </c>
      <c r="J401" s="684">
        <f>IF(終値!A401="","",IF(AND(安値!O401&lt;安値!N401,安値!O401&lt;安値!M401,安値!O401&lt;安値!P401,安値!O401&lt;安値!Q401),10,""))</f>
      </c>
      <c r="K401" s="684">
        <f>IF(終値!A401="","",IF(AND(安値!P401&lt;安値!O401,安値!P401&lt;安値!N401,安値!P401&lt;安値!Q401,安値!P401&lt;安値!R401),11,""))</f>
      </c>
      <c r="L401" s="684">
        <f>IF(終値!A401="","",IF(AND(安値!Q401&lt;安値!P401,安値!Q401&lt;安値!O401,安値!Q401&lt;安値!R401,安値!Q401&lt;安値!S401),12,""))</f>
      </c>
      <c r="M401" s="684">
        <f>IF(終値!A401="","",IF(AND(安値!R401&lt;安値!Q401,安値!R401&lt;安値!P401,安値!R401&lt;安値!S401,安値!R401&lt;安値!T401),13,""))</f>
      </c>
      <c r="N401" s="684">
        <f>IF(終値!A401="","",IF(AND(安値!S401&lt;安値!R401,安値!S401&lt;安値!Q401,安値!S401&lt;安値!T401,安値!S401&lt;安値!U401),14,""))</f>
      </c>
      <c r="O401" s="684">
        <f>IF(終値!A401="","",IF(AND(安値!T401&lt;安値!S401,安値!T401&lt;安値!R401,安値!T401&lt;安値!U401,安値!T401&lt;安値!V401),15,""))</f>
      </c>
      <c r="P401" s="684">
        <f>IF(終値!A401="","",IF(AND(安値!U401&lt;安値!T401,安値!U401&lt;安値!S401,安値!U401&lt;安値!V401,安値!U401&lt;安値!W401),16,""))</f>
      </c>
      <c r="Q401" s="684">
        <f>IF(終値!A401="","",IF(AND(安値!V401&lt;安値!U401,安値!V401&lt;安値!T401,安値!V401&lt;安値!W401,安値!V401&lt;安値!X401),17,""))</f>
      </c>
      <c r="R401" s="684">
        <f>IF(終値!A401="","",IF(AND(安値!W401&lt;安値!V401,安値!W401&lt;安値!U401,安値!W401&lt;安値!X401,安値!W401&lt;安値!Y401),18,""))</f>
      </c>
      <c r="S401" s="684">
        <f>IF(終値!A401="","",IF(AND(安値!X401&lt;安値!W401,安値!X401&lt;安値!V401,安値!X401&lt;安値!Y401,安値!X401&lt;安値!Z401),19,""))</f>
      </c>
      <c r="T401" s="684">
        <f>IF(終値!A401="","",IF(AND(安値!Y401&lt;安値!X401,安値!Y401&lt;安値!W401,安値!Y401&lt;安値!Z401,安値!Y401&lt;安値!AA401),20,""))</f>
      </c>
      <c r="U401" s="684">
        <f>IF(終値!A401="","",IF(AND(安値!Z401&lt;安値!Y401,安値!Z401&lt;安値!X401,安値!Z401&lt;安値!AA401,安値!Z401&lt;安値!AB401),21,""))</f>
      </c>
      <c r="V401" s="684">
        <f>IF(終値!A401="","",IF(AND(安値!AA401&lt;安値!Z401,安値!AA401&lt;安値!Y401,安値!AA401&lt;安値!AB401,安値!AA401&lt;安値!AC401),22,""))</f>
      </c>
      <c r="W401" s="684">
        <f>IF(終値!A401="","",IF(AND(安値!AB401&lt;安値!AA401,安値!AB401&lt;安値!Z401,安値!AB401&lt;安値!AC401,安値!AB401&lt;安値!AD401),23,""))</f>
      </c>
      <c r="X401" s="684">
        <f>IF(終値!A401="","",IF(AND(安値!AC401&lt;安値!AB401,安値!AC401&lt;安値!AA401,安値!AC401&lt;安値!AD401,安値!AC401&lt;安値!AE401),24,""))</f>
      </c>
      <c r="Y401" s="684">
        <f>IF(終値!A401="","",IF(AND(安値!AD401&lt;安値!AC401,安値!AD401&lt;安値!AB401,安値!AD401&lt;安値!AE401,安値!AD401&lt;安値!AF401),25,""))</f>
      </c>
      <c r="Z401" s="684">
        <f>IF(終値!A401="","",IF(AND(安値!AE401&lt;安値!AD401,安値!AE401&lt;安値!AC401,安値!AE401&lt;安値!AF401,安値!AE401&lt;安値!AG401),26,""))</f>
      </c>
      <c r="AA401" s="684">
        <f>IF(終値!A401="","",IF(AND(安値!AF401&lt;安値!AE401,安値!AF401&lt;安値!AD401,安値!AF401&lt;安値!AG401,安値!AF401&lt;安値!AH401),27,""))</f>
      </c>
      <c r="AB401" s="684">
        <f>IF(終値!A401="","",IF(AND(安値!AG401&lt;安値!AF401,安値!AG401&lt;安値!AE401,安値!AG401&lt;安値!AH401,安値!AG401&lt;安値!AI401),28,""))</f>
      </c>
      <c r="AC401" s="684">
        <f>IF(終値!A401="","",IF(AND(高値!G401&gt;高値!F401,高値!G401&gt;高値!E401,高値!G401&gt;高値!H401,高値!G401&gt;高値!I401),2,""))</f>
      </c>
      <c r="AD401" s="684">
        <f>IF(終値!A401="","",IF(AND(高値!H401&gt;高値!G401,高値!H401&gt;高値!F401,高値!H401&gt;高値!I401,高値!H401&gt;高値!J401),3,""))</f>
      </c>
      <c r="AE401" s="684">
        <f>IF(終値!A401="","",IF(AND(高値!I401&gt;高値!H401,高値!I401&gt;高値!G401,高値!I401&gt;高値!J401,高値!I401&gt;高値!K401),4,""))</f>
      </c>
      <c r="AF401" s="684">
        <f>IF(終値!A401="","",IF(AND(高値!J401&gt;高値!I401,高値!J401&gt;高値!H401,高値!J401&gt;高値!K401,高値!J401&gt;高値!L401),5,""))</f>
      </c>
      <c r="AG401" s="684">
        <f>IF(終値!A401="","",IF(AND(高値!K401&gt;高値!J401,高値!K401&gt;高値!I401,高値!K401&gt;高値!L401,高値!K401&gt;高値!M401),6,""))</f>
      </c>
      <c r="AH401" s="684">
        <f>IF(終値!A401="","",IF(AND(高値!L401&gt;高値!K401,高値!L401&gt;高値!J401,高値!L401&gt;高値!M401,高値!L401&gt;高値!N401),7,""))</f>
      </c>
      <c r="AI401" s="684">
        <f>IF(終値!A401="","",IF(AND(高値!M401&gt;高値!L401,高値!M401&gt;高値!K401,高値!M401&gt;高値!N401,高値!M401&gt;高値!O401),8,""))</f>
      </c>
      <c r="AJ401" s="684">
        <f>IF(終値!A401="","",IF(AND(高値!N401&gt;高値!M401,高値!N401&gt;高値!L401,高値!N401&gt;高値!O401,高値!N401&gt;高値!P401),9,""))</f>
      </c>
      <c r="AK401" s="684">
        <f>IF(終値!A401="","",IF(AND(高値!O401&gt;高値!N401,高値!O401&gt;高値!M401,高値!O401&gt;高値!P401,高値!O401&gt;高値!Q401),10,""))</f>
      </c>
      <c r="AL401" s="684">
        <f>IF(終値!A401="","",IF(AND(高値!P401&gt;高値!O401,高値!P401&gt;高値!N401,高値!P401&gt;高値!Q401,高値!P401&gt;高値!R401),11,""))</f>
      </c>
      <c r="AM401" s="684">
        <f>IF(終値!A401="","",IF(AND(高値!Q401&gt;高値!P401,高値!Q401&gt;高値!O401,高値!Q401&gt;高値!R401,高値!Q401&gt;高値!S401),12,""))</f>
      </c>
      <c r="AN401" s="684">
        <f>IF(終値!A401="","",IF(AND(高値!R401&gt;高値!Q401,高値!R401&gt;高値!P401,高値!R401&gt;高値!S401,高値!R401&gt;高値!T401),13,""))</f>
      </c>
      <c r="AO401" s="684">
        <f>IF(終値!A401="","",IF(AND(高値!S401&gt;高値!R401,高値!S401&gt;高値!Q401,高値!S401&gt;高値!T401,高値!S401&gt;高値!U401),14,""))</f>
      </c>
      <c r="AP401" s="684">
        <f>IF(終値!A401="","",IF(AND(高値!T401&gt;高値!S401,高値!T401&gt;高値!R401,高値!T401&gt;高値!U401,高値!T401&gt;高値!V401),15,""))</f>
      </c>
      <c r="AQ401" s="684">
        <f>IF(終値!A401="","",IF(AND(高値!U401&gt;高値!T401,高値!U401&gt;高値!S401,高値!U401&gt;高値!V401,高値!U401&gt;高値!W401),16,""))</f>
      </c>
      <c r="AR401" s="684">
        <f>IF(終値!A401="","",IF(AND(高値!V401&gt;高値!U401,高値!V401&gt;高値!T401,高値!V401&gt;高値!W401,高値!V401&gt;高値!X401),17,""))</f>
      </c>
      <c r="AS401" s="684">
        <f>IF(終値!A401="","",IF(AND(高値!W401&gt;高値!V401,高値!W401&gt;高値!U401,高値!W401&gt;高値!X401,高値!W401&gt;高値!Y401),18,""))</f>
      </c>
      <c r="AT401" s="684">
        <f>IF(終値!A401="","",IF(AND(高値!X401&gt;高値!W401,高値!X401&gt;高値!V401,高値!X401&gt;高値!Y401,高値!X401&gt;高値!Z401),19,""))</f>
      </c>
      <c r="AU401" s="684">
        <f>IF(終値!A401="","",IF(AND(高値!Y401&gt;高値!X401,高値!Y401&gt;高値!W401,高値!Y401&gt;高値!Z401,高値!Y401&gt;高値!AA401),20,""))</f>
      </c>
      <c r="AV401" s="684">
        <f>IF(終値!A401="","",IF(AND(高値!Z401&gt;高値!Y401,高値!Z401&gt;高値!X401,高値!Z401&gt;高値!AA401,高値!Z401&gt;高値!AB401),21,""))</f>
      </c>
      <c r="AW401" s="684">
        <f>IF(終値!A401="","",IF(AND(高値!AA401&gt;高値!Z401,高値!AA401&gt;高値!Y401,高値!AA401&gt;高値!AB401,高値!AA401&gt;高値!AC401),22,""))</f>
      </c>
      <c r="AX401" s="684">
        <f>IF(終値!A401="","",IF(AND(高値!AB401&gt;高値!AA401,高値!AB401&gt;高値!Z401,高値!AB401&gt;高値!AC401,高値!AB401&gt;高値!AD401),23,""))</f>
      </c>
      <c r="AY401" s="684">
        <f>IF(終値!A401="","",IF(AND(高値!AC401&gt;高値!AB401,高値!AC401&gt;高値!AA401,高値!AC401&gt;高値!AD401,高値!AC401&gt;高値!AE401),24,""))</f>
      </c>
      <c r="AZ401" s="684">
        <f>IF(終値!A401="","",IF(AND(高値!AD401&gt;高値!AC401,高値!AD401&gt;高値!AB401,高値!AD401&gt;高値!AE401,高値!AD401&gt;高値!AF401),25,""))</f>
      </c>
      <c r="BA401" s="684">
        <f>IF(終値!A401="","",IF(AND(高値!AE401&gt;高値!AD401,高値!AE401&gt;高値!AC401,高値!AE401&gt;高値!AF401,高値!AE401&gt;高値!AG401),26,""))</f>
      </c>
      <c r="BB401" s="684">
        <f>IF(終値!A401="","",IF(AND(高値!AF401&gt;高値!AE401,高値!AF401&gt;高値!AD401,高値!AF401&gt;高値!AG401,高値!AF401&gt;高値!AH401),27,""))</f>
      </c>
      <c r="BC401" s="684">
        <f>IF(終値!A401="","",IF(AND(高値!AG401&gt;高値!AF401,高値!AG401&gt;高値!AE401,高値!AG401&gt;高値!AH401,高値!AG401&gt;高値!AI401),28,""))</f>
      </c>
      <c r="BD401" s="684">
        <f>COUNT($B401:$AB401)</f>
      </c>
      <c r="BE401" s="684">
        <f>IF($BD401&gt;=2,MIN($B401:$AB401),"")</f>
      </c>
      <c r="BF401" s="684">
        <f>IF($BD401&gt;=2,SMALL($B401:$AB401,2),"")</f>
      </c>
      <c r="BG401" s="684">
        <f>IF($BE401="","",INDEX(安値!$E401:$CZ401,1,$BE401+1))</f>
      </c>
      <c r="BH401" s="684">
        <f>IF($BF401="","",INDEX(安値!$E401:$CZ401,1,$BF401+1))</f>
      </c>
      <c r="BI401" s="684">
        <f>IF($BF401="","",MAX(INDEX(高値!$E401:$CZ401,1,$BE401+1):INDEX(高値!$E401:$CZ401,1,$BF401+1)))</f>
      </c>
      <c r="BJ401" s="684">
        <f>IF($BF401="","",AVERAGE(INDEX(終値!$E401:$CZ401,1,$BF401+1):INDEX(終値!$E401:$CZ401,1,$BF401+20))-2*STDEVP(INDEX(終値!$E401:$CZ401,1,$BF401+1):INDEX(終値!$E401:$CZ401,1,$BF401+20)))</f>
      </c>
      <c r="BK401" s="684">
        <f>IF($BE401="","",AVERAGE(INDEX(終値!$E401:$CZ401,1,$BE401+1):INDEX(終値!$E401:$CZ401,1,$BE401+20))-2*STDEVP(INDEX(終値!$E401:$CZ401,1,$BE401+1):INDEX(終値!$E401:$CZ401,1,$BE401+20)))</f>
      </c>
      <c r="BL401" s="684">
        <f>COUNT($AC401:$BC401)</f>
      </c>
      <c r="BM401" s="684">
        <f>IF($BL401&gt;=2,MIN($AC401:$BC401),"")</f>
      </c>
      <c r="BN401" s="684">
        <f>IF($BL401&gt;=2,SMALL($AC401:$BC401,2),"")</f>
      </c>
      <c r="BO401" s="684">
        <f>IF($BM401="","",INDEX(高値!$E401:$CZ401,1,$BM401+1))</f>
      </c>
      <c r="BP401" s="684">
        <f>IF($BN401="","",INDEX(高値!$E401:$CZ401,1,$BN401+1))</f>
      </c>
      <c r="BQ401" s="684">
        <f>IF($BN401="","",MIN(INDEX(安値!$E401:$CZ401,1,$BM401+1):INDEX(安値!$E401:$CZ401,1,$BN401+1)))</f>
      </c>
      <c r="BR401" s="684">
        <f>IF($BN401="","",AVERAGE(INDEX(終値!$E401:$CZ401,1,$BN401+1):INDEX(終値!$E401:$CZ401,1,$BN401+20))+2*STDEVP(INDEX(終値!$E401:$CZ401,1,$BN401+1):INDEX(終値!$E401:$CZ401,1,$BN401+20)))</f>
      </c>
      <c r="BS401" s="684">
        <f>IF($BM401="","",AVERAGE(INDEX(終値!$E401:$CZ401,1,$BM401+1):INDEX(終値!$E401:$CZ401,1,$BM401+20))+2*STDEVP(INDEX(終値!$E401:$CZ401,1,$BM401+1):INDEX(終値!$E401:$CZ401,1,$BM401+20)))</f>
      </c>
      <c r="BT401" s="681">
        <f>IFERROR(IF(AND($BD401&gt;=2,ABS($BG401-$BH401)/$BH401&lt;=BB設定!$B$12,$BI401&gt;=MAX($BH401,$BG401)*(1+BB設定!$B$13),終値!E401&gt;$BG401),IF(OR(終値!E401&gt;=$BI401,AND($BH401&lt;$BJ401,$BG401&gt;=$BK401)),"二番底W▲","二番底W形成"),IF(AND($BL401&gt;=2,ABS($BO401-$BP401)/$BP401&lt;=BB設定!$B$12,$BQ401&lt;=MIN($BP401,$BO401)*(1-BB設定!$B$13),終値!E401&lt;$BO401),IF(OR(終値!E401&lt;=$BQ401,AND($BP401&gt;$BR401,$BO401&lt;=$BS401)),"二番天井M▼","二番天井M形成"),"－")),"－")</f>
      </c>
    </row>
    <row r="402">
      <c r="B402" s="684">
        <f>IF(終値!A402="","",IF(AND(安値!G402&lt;安値!F402,安値!G402&lt;安値!E402,安値!G402&lt;安値!H402,安値!G402&lt;安値!I402),2,""))</f>
      </c>
      <c r="C402" s="684">
        <f>IF(終値!A402="","",IF(AND(安値!H402&lt;安値!G402,安値!H402&lt;安値!F402,安値!H402&lt;安値!I402,安値!H402&lt;安値!J402),3,""))</f>
      </c>
      <c r="D402" s="684">
        <f>IF(終値!A402="","",IF(AND(安値!I402&lt;安値!H402,安値!I402&lt;安値!G402,安値!I402&lt;安値!J402,安値!I402&lt;安値!K402),4,""))</f>
      </c>
      <c r="E402" s="684">
        <f>IF(終値!A402="","",IF(AND(安値!J402&lt;安値!I402,安値!J402&lt;安値!H402,安値!J402&lt;安値!K402,安値!J402&lt;安値!L402),5,""))</f>
      </c>
      <c r="F402" s="684">
        <f>IF(終値!A402="","",IF(AND(安値!K402&lt;安値!J402,安値!K402&lt;安値!I402,安値!K402&lt;安値!L402,安値!K402&lt;安値!M402),6,""))</f>
      </c>
      <c r="G402" s="684">
        <f>IF(終値!A402="","",IF(AND(安値!L402&lt;安値!K402,安値!L402&lt;安値!J402,安値!L402&lt;安値!M402,安値!L402&lt;安値!N402),7,""))</f>
      </c>
      <c r="H402" s="684">
        <f>IF(終値!A402="","",IF(AND(安値!M402&lt;安値!L402,安値!M402&lt;安値!K402,安値!M402&lt;安値!N402,安値!M402&lt;安値!O402),8,""))</f>
      </c>
      <c r="I402" s="684">
        <f>IF(終値!A402="","",IF(AND(安値!N402&lt;安値!M402,安値!N402&lt;安値!L402,安値!N402&lt;安値!O402,安値!N402&lt;安値!P402),9,""))</f>
      </c>
      <c r="J402" s="684">
        <f>IF(終値!A402="","",IF(AND(安値!O402&lt;安値!N402,安値!O402&lt;安値!M402,安値!O402&lt;安値!P402,安値!O402&lt;安値!Q402),10,""))</f>
      </c>
      <c r="K402" s="684">
        <f>IF(終値!A402="","",IF(AND(安値!P402&lt;安値!O402,安値!P402&lt;安値!N402,安値!P402&lt;安値!Q402,安値!P402&lt;安値!R402),11,""))</f>
      </c>
      <c r="L402" s="684">
        <f>IF(終値!A402="","",IF(AND(安値!Q402&lt;安値!P402,安値!Q402&lt;安値!O402,安値!Q402&lt;安値!R402,安値!Q402&lt;安値!S402),12,""))</f>
      </c>
      <c r="M402" s="684">
        <f>IF(終値!A402="","",IF(AND(安値!R402&lt;安値!Q402,安値!R402&lt;安値!P402,安値!R402&lt;安値!S402,安値!R402&lt;安値!T402),13,""))</f>
      </c>
      <c r="N402" s="684">
        <f>IF(終値!A402="","",IF(AND(安値!S402&lt;安値!R402,安値!S402&lt;安値!Q402,安値!S402&lt;安値!T402,安値!S402&lt;安値!U402),14,""))</f>
      </c>
      <c r="O402" s="684">
        <f>IF(終値!A402="","",IF(AND(安値!T402&lt;安値!S402,安値!T402&lt;安値!R402,安値!T402&lt;安値!U402,安値!T402&lt;安値!V402),15,""))</f>
      </c>
      <c r="P402" s="684">
        <f>IF(終値!A402="","",IF(AND(安値!U402&lt;安値!T402,安値!U402&lt;安値!S402,安値!U402&lt;安値!V402,安値!U402&lt;安値!W402),16,""))</f>
      </c>
      <c r="Q402" s="684">
        <f>IF(終値!A402="","",IF(AND(安値!V402&lt;安値!U402,安値!V402&lt;安値!T402,安値!V402&lt;安値!W402,安値!V402&lt;安値!X402),17,""))</f>
      </c>
      <c r="R402" s="684">
        <f>IF(終値!A402="","",IF(AND(安値!W402&lt;安値!V402,安値!W402&lt;安値!U402,安値!W402&lt;安値!X402,安値!W402&lt;安値!Y402),18,""))</f>
      </c>
      <c r="S402" s="684">
        <f>IF(終値!A402="","",IF(AND(安値!X402&lt;安値!W402,安値!X402&lt;安値!V402,安値!X402&lt;安値!Y402,安値!X402&lt;安値!Z402),19,""))</f>
      </c>
      <c r="T402" s="684">
        <f>IF(終値!A402="","",IF(AND(安値!Y402&lt;安値!X402,安値!Y402&lt;安値!W402,安値!Y402&lt;安値!Z402,安値!Y402&lt;安値!AA402),20,""))</f>
      </c>
      <c r="U402" s="684">
        <f>IF(終値!A402="","",IF(AND(安値!Z402&lt;安値!Y402,安値!Z402&lt;安値!X402,安値!Z402&lt;安値!AA402,安値!Z402&lt;安値!AB402),21,""))</f>
      </c>
      <c r="V402" s="684">
        <f>IF(終値!A402="","",IF(AND(安値!AA402&lt;安値!Z402,安値!AA402&lt;安値!Y402,安値!AA402&lt;安値!AB402,安値!AA402&lt;安値!AC402),22,""))</f>
      </c>
      <c r="W402" s="684">
        <f>IF(終値!A402="","",IF(AND(安値!AB402&lt;安値!AA402,安値!AB402&lt;安値!Z402,安値!AB402&lt;安値!AC402,安値!AB402&lt;安値!AD402),23,""))</f>
      </c>
      <c r="X402" s="684">
        <f>IF(終値!A402="","",IF(AND(安値!AC402&lt;安値!AB402,安値!AC402&lt;安値!AA402,安値!AC402&lt;安値!AD402,安値!AC402&lt;安値!AE402),24,""))</f>
      </c>
      <c r="Y402" s="684">
        <f>IF(終値!A402="","",IF(AND(安値!AD402&lt;安値!AC402,安値!AD402&lt;安値!AB402,安値!AD402&lt;安値!AE402,安値!AD402&lt;安値!AF402),25,""))</f>
      </c>
      <c r="Z402" s="684">
        <f>IF(終値!A402="","",IF(AND(安値!AE402&lt;安値!AD402,安値!AE402&lt;安値!AC402,安値!AE402&lt;安値!AF402,安値!AE402&lt;安値!AG402),26,""))</f>
      </c>
      <c r="AA402" s="684">
        <f>IF(終値!A402="","",IF(AND(安値!AF402&lt;安値!AE402,安値!AF402&lt;安値!AD402,安値!AF402&lt;安値!AG402,安値!AF402&lt;安値!AH402),27,""))</f>
      </c>
      <c r="AB402" s="684">
        <f>IF(終値!A402="","",IF(AND(安値!AG402&lt;安値!AF402,安値!AG402&lt;安値!AE402,安値!AG402&lt;安値!AH402,安値!AG402&lt;安値!AI402),28,""))</f>
      </c>
      <c r="AC402" s="684">
        <f>IF(終値!A402="","",IF(AND(高値!G402&gt;高値!F402,高値!G402&gt;高値!E402,高値!G402&gt;高値!H402,高値!G402&gt;高値!I402),2,""))</f>
      </c>
      <c r="AD402" s="684">
        <f>IF(終値!A402="","",IF(AND(高値!H402&gt;高値!G402,高値!H402&gt;高値!F402,高値!H402&gt;高値!I402,高値!H402&gt;高値!J402),3,""))</f>
      </c>
      <c r="AE402" s="684">
        <f>IF(終値!A402="","",IF(AND(高値!I402&gt;高値!H402,高値!I402&gt;高値!G402,高値!I402&gt;高値!J402,高値!I402&gt;高値!K402),4,""))</f>
      </c>
      <c r="AF402" s="684">
        <f>IF(終値!A402="","",IF(AND(高値!J402&gt;高値!I402,高値!J402&gt;高値!H402,高値!J402&gt;高値!K402,高値!J402&gt;高値!L402),5,""))</f>
      </c>
      <c r="AG402" s="684">
        <f>IF(終値!A402="","",IF(AND(高値!K402&gt;高値!J402,高値!K402&gt;高値!I402,高値!K402&gt;高値!L402,高値!K402&gt;高値!M402),6,""))</f>
      </c>
      <c r="AH402" s="684">
        <f>IF(終値!A402="","",IF(AND(高値!L402&gt;高値!K402,高値!L402&gt;高値!J402,高値!L402&gt;高値!M402,高値!L402&gt;高値!N402),7,""))</f>
      </c>
      <c r="AI402" s="684">
        <f>IF(終値!A402="","",IF(AND(高値!M402&gt;高値!L402,高値!M402&gt;高値!K402,高値!M402&gt;高値!N402,高値!M402&gt;高値!O402),8,""))</f>
      </c>
      <c r="AJ402" s="684">
        <f>IF(終値!A402="","",IF(AND(高値!N402&gt;高値!M402,高値!N402&gt;高値!L402,高値!N402&gt;高値!O402,高値!N402&gt;高値!P402),9,""))</f>
      </c>
      <c r="AK402" s="684">
        <f>IF(終値!A402="","",IF(AND(高値!O402&gt;高値!N402,高値!O402&gt;高値!M402,高値!O402&gt;高値!P402,高値!O402&gt;高値!Q402),10,""))</f>
      </c>
      <c r="AL402" s="684">
        <f>IF(終値!A402="","",IF(AND(高値!P402&gt;高値!O402,高値!P402&gt;高値!N402,高値!P402&gt;高値!Q402,高値!P402&gt;高値!R402),11,""))</f>
      </c>
      <c r="AM402" s="684">
        <f>IF(終値!A402="","",IF(AND(高値!Q402&gt;高値!P402,高値!Q402&gt;高値!O402,高値!Q402&gt;高値!R402,高値!Q402&gt;高値!S402),12,""))</f>
      </c>
      <c r="AN402" s="684">
        <f>IF(終値!A402="","",IF(AND(高値!R402&gt;高値!Q402,高値!R402&gt;高値!P402,高値!R402&gt;高値!S402,高値!R402&gt;高値!T402),13,""))</f>
      </c>
      <c r="AO402" s="684">
        <f>IF(終値!A402="","",IF(AND(高値!S402&gt;高値!R402,高値!S402&gt;高値!Q402,高値!S402&gt;高値!T402,高値!S402&gt;高値!U402),14,""))</f>
      </c>
      <c r="AP402" s="684">
        <f>IF(終値!A402="","",IF(AND(高値!T402&gt;高値!S402,高値!T402&gt;高値!R402,高値!T402&gt;高値!U402,高値!T402&gt;高値!V402),15,""))</f>
      </c>
      <c r="AQ402" s="684">
        <f>IF(終値!A402="","",IF(AND(高値!U402&gt;高値!T402,高値!U402&gt;高値!S402,高値!U402&gt;高値!V402,高値!U402&gt;高値!W402),16,""))</f>
      </c>
      <c r="AR402" s="684">
        <f>IF(終値!A402="","",IF(AND(高値!V402&gt;高値!U402,高値!V402&gt;高値!T402,高値!V402&gt;高値!W402,高値!V402&gt;高値!X402),17,""))</f>
      </c>
      <c r="AS402" s="684">
        <f>IF(終値!A402="","",IF(AND(高値!W402&gt;高値!V402,高値!W402&gt;高値!U402,高値!W402&gt;高値!X402,高値!W402&gt;高値!Y402),18,""))</f>
      </c>
      <c r="AT402" s="684">
        <f>IF(終値!A402="","",IF(AND(高値!X402&gt;高値!W402,高値!X402&gt;高値!V402,高値!X402&gt;高値!Y402,高値!X402&gt;高値!Z402),19,""))</f>
      </c>
      <c r="AU402" s="684">
        <f>IF(終値!A402="","",IF(AND(高値!Y402&gt;高値!X402,高値!Y402&gt;高値!W402,高値!Y402&gt;高値!Z402,高値!Y402&gt;高値!AA402),20,""))</f>
      </c>
      <c r="AV402" s="684">
        <f>IF(終値!A402="","",IF(AND(高値!Z402&gt;高値!Y402,高値!Z402&gt;高値!X402,高値!Z402&gt;高値!AA402,高値!Z402&gt;高値!AB402),21,""))</f>
      </c>
      <c r="AW402" s="684">
        <f>IF(終値!A402="","",IF(AND(高値!AA402&gt;高値!Z402,高値!AA402&gt;高値!Y402,高値!AA402&gt;高値!AB402,高値!AA402&gt;高値!AC402),22,""))</f>
      </c>
      <c r="AX402" s="684">
        <f>IF(終値!A402="","",IF(AND(高値!AB402&gt;高値!AA402,高値!AB402&gt;高値!Z402,高値!AB402&gt;高値!AC402,高値!AB402&gt;高値!AD402),23,""))</f>
      </c>
      <c r="AY402" s="684">
        <f>IF(終値!A402="","",IF(AND(高値!AC402&gt;高値!AB402,高値!AC402&gt;高値!AA402,高値!AC402&gt;高値!AD402,高値!AC402&gt;高値!AE402),24,""))</f>
      </c>
      <c r="AZ402" s="684">
        <f>IF(終値!A402="","",IF(AND(高値!AD402&gt;高値!AC402,高値!AD402&gt;高値!AB402,高値!AD402&gt;高値!AE402,高値!AD402&gt;高値!AF402),25,""))</f>
      </c>
      <c r="BA402" s="684">
        <f>IF(終値!A402="","",IF(AND(高値!AE402&gt;高値!AD402,高値!AE402&gt;高値!AC402,高値!AE402&gt;高値!AF402,高値!AE402&gt;高値!AG402),26,""))</f>
      </c>
      <c r="BB402" s="684">
        <f>IF(終値!A402="","",IF(AND(高値!AF402&gt;高値!AE402,高値!AF402&gt;高値!AD402,高値!AF402&gt;高値!AG402,高値!AF402&gt;高値!AH402),27,""))</f>
      </c>
      <c r="BC402" s="684">
        <f>IF(終値!A402="","",IF(AND(高値!AG402&gt;高値!AF402,高値!AG402&gt;高値!AE402,高値!AG402&gt;高値!AH402,高値!AG402&gt;高値!AI402),28,""))</f>
      </c>
      <c r="BD402" s="684">
        <f>COUNT($B402:$AB402)</f>
      </c>
      <c r="BE402" s="684">
        <f>IF($BD402&gt;=2,MIN($B402:$AB402),"")</f>
      </c>
      <c r="BF402" s="684">
        <f>IF($BD402&gt;=2,SMALL($B402:$AB402,2),"")</f>
      </c>
      <c r="BG402" s="684">
        <f>IF($BE402="","",INDEX(安値!$E402:$CZ402,1,$BE402+1))</f>
      </c>
      <c r="BH402" s="684">
        <f>IF($BF402="","",INDEX(安値!$E402:$CZ402,1,$BF402+1))</f>
      </c>
      <c r="BI402" s="684">
        <f>IF($BF402="","",MAX(INDEX(高値!$E402:$CZ402,1,$BE402+1):INDEX(高値!$E402:$CZ402,1,$BF402+1)))</f>
      </c>
      <c r="BJ402" s="684">
        <f>IF($BF402="","",AVERAGE(INDEX(終値!$E402:$CZ402,1,$BF402+1):INDEX(終値!$E402:$CZ402,1,$BF402+20))-2*STDEVP(INDEX(終値!$E402:$CZ402,1,$BF402+1):INDEX(終値!$E402:$CZ402,1,$BF402+20)))</f>
      </c>
      <c r="BK402" s="684">
        <f>IF($BE402="","",AVERAGE(INDEX(終値!$E402:$CZ402,1,$BE402+1):INDEX(終値!$E402:$CZ402,1,$BE402+20))-2*STDEVP(INDEX(終値!$E402:$CZ402,1,$BE402+1):INDEX(終値!$E402:$CZ402,1,$BE402+20)))</f>
      </c>
      <c r="BL402" s="684">
        <f>COUNT($AC402:$BC402)</f>
      </c>
      <c r="BM402" s="684">
        <f>IF($BL402&gt;=2,MIN($AC402:$BC402),"")</f>
      </c>
      <c r="BN402" s="684">
        <f>IF($BL402&gt;=2,SMALL($AC402:$BC402,2),"")</f>
      </c>
      <c r="BO402" s="684">
        <f>IF($BM402="","",INDEX(高値!$E402:$CZ402,1,$BM402+1))</f>
      </c>
      <c r="BP402" s="684">
        <f>IF($BN402="","",INDEX(高値!$E402:$CZ402,1,$BN402+1))</f>
      </c>
      <c r="BQ402" s="684">
        <f>IF($BN402="","",MIN(INDEX(安値!$E402:$CZ402,1,$BM402+1):INDEX(安値!$E402:$CZ402,1,$BN402+1)))</f>
      </c>
      <c r="BR402" s="684">
        <f>IF($BN402="","",AVERAGE(INDEX(終値!$E402:$CZ402,1,$BN402+1):INDEX(終値!$E402:$CZ402,1,$BN402+20))+2*STDEVP(INDEX(終値!$E402:$CZ402,1,$BN402+1):INDEX(終値!$E402:$CZ402,1,$BN402+20)))</f>
      </c>
      <c r="BS402" s="684">
        <f>IF($BM402="","",AVERAGE(INDEX(終値!$E402:$CZ402,1,$BM402+1):INDEX(終値!$E402:$CZ402,1,$BM402+20))+2*STDEVP(INDEX(終値!$E402:$CZ402,1,$BM402+1):INDEX(終値!$E402:$CZ402,1,$BM402+20)))</f>
      </c>
      <c r="BT402" s="681">
        <f>IFERROR(IF(AND($BD402&gt;=2,ABS($BG402-$BH402)/$BH402&lt;=BB設定!$B$12,$BI402&gt;=MAX($BH402,$BG402)*(1+BB設定!$B$13),終値!E402&gt;$BG402),IF(OR(終値!E402&gt;=$BI402,AND($BH402&lt;$BJ402,$BG402&gt;=$BK402)),"二番底W▲","二番底W形成"),IF(AND($BL402&gt;=2,ABS($BO402-$BP402)/$BP402&lt;=BB設定!$B$12,$BQ402&lt;=MIN($BP402,$BO402)*(1-BB設定!$B$13),終値!E402&lt;$BO402),IF(OR(終値!E402&lt;=$BQ402,AND($BP402&gt;$BR402,$BO402&lt;=$BS402)),"二番天井M▼","二番天井M形成"),"－")),"－")</f>
      </c>
    </row>
    <row r="403">
      <c r="B403" s="684">
        <f>IF(終値!A403="","",IF(AND(安値!G403&lt;安値!F403,安値!G403&lt;安値!E403,安値!G403&lt;安値!H403,安値!G403&lt;安値!I403),2,""))</f>
      </c>
      <c r="C403" s="684">
        <f>IF(終値!A403="","",IF(AND(安値!H403&lt;安値!G403,安値!H403&lt;安値!F403,安値!H403&lt;安値!I403,安値!H403&lt;安値!J403),3,""))</f>
      </c>
      <c r="D403" s="684">
        <f>IF(終値!A403="","",IF(AND(安値!I403&lt;安値!H403,安値!I403&lt;安値!G403,安値!I403&lt;安値!J403,安値!I403&lt;安値!K403),4,""))</f>
      </c>
      <c r="E403" s="684">
        <f>IF(終値!A403="","",IF(AND(安値!J403&lt;安値!I403,安値!J403&lt;安値!H403,安値!J403&lt;安値!K403,安値!J403&lt;安値!L403),5,""))</f>
      </c>
      <c r="F403" s="684">
        <f>IF(終値!A403="","",IF(AND(安値!K403&lt;安値!J403,安値!K403&lt;安値!I403,安値!K403&lt;安値!L403,安値!K403&lt;安値!M403),6,""))</f>
      </c>
      <c r="G403" s="684">
        <f>IF(終値!A403="","",IF(AND(安値!L403&lt;安値!K403,安値!L403&lt;安値!J403,安値!L403&lt;安値!M403,安値!L403&lt;安値!N403),7,""))</f>
      </c>
      <c r="H403" s="684">
        <f>IF(終値!A403="","",IF(AND(安値!M403&lt;安値!L403,安値!M403&lt;安値!K403,安値!M403&lt;安値!N403,安値!M403&lt;安値!O403),8,""))</f>
      </c>
      <c r="I403" s="684">
        <f>IF(終値!A403="","",IF(AND(安値!N403&lt;安値!M403,安値!N403&lt;安値!L403,安値!N403&lt;安値!O403,安値!N403&lt;安値!P403),9,""))</f>
      </c>
      <c r="J403" s="684">
        <f>IF(終値!A403="","",IF(AND(安値!O403&lt;安値!N403,安値!O403&lt;安値!M403,安値!O403&lt;安値!P403,安値!O403&lt;安値!Q403),10,""))</f>
      </c>
      <c r="K403" s="684">
        <f>IF(終値!A403="","",IF(AND(安値!P403&lt;安値!O403,安値!P403&lt;安値!N403,安値!P403&lt;安値!Q403,安値!P403&lt;安値!R403),11,""))</f>
      </c>
      <c r="L403" s="684">
        <f>IF(終値!A403="","",IF(AND(安値!Q403&lt;安値!P403,安値!Q403&lt;安値!O403,安値!Q403&lt;安値!R403,安値!Q403&lt;安値!S403),12,""))</f>
      </c>
      <c r="M403" s="684">
        <f>IF(終値!A403="","",IF(AND(安値!R403&lt;安値!Q403,安値!R403&lt;安値!P403,安値!R403&lt;安値!S403,安値!R403&lt;安値!T403),13,""))</f>
      </c>
      <c r="N403" s="684">
        <f>IF(終値!A403="","",IF(AND(安値!S403&lt;安値!R403,安値!S403&lt;安値!Q403,安値!S403&lt;安値!T403,安値!S403&lt;安値!U403),14,""))</f>
      </c>
      <c r="O403" s="684">
        <f>IF(終値!A403="","",IF(AND(安値!T403&lt;安値!S403,安値!T403&lt;安値!R403,安値!T403&lt;安値!U403,安値!T403&lt;安値!V403),15,""))</f>
      </c>
      <c r="P403" s="684">
        <f>IF(終値!A403="","",IF(AND(安値!U403&lt;安値!T403,安値!U403&lt;安値!S403,安値!U403&lt;安値!V403,安値!U403&lt;安値!W403),16,""))</f>
      </c>
      <c r="Q403" s="684">
        <f>IF(終値!A403="","",IF(AND(安値!V403&lt;安値!U403,安値!V403&lt;安値!T403,安値!V403&lt;安値!W403,安値!V403&lt;安値!X403),17,""))</f>
      </c>
      <c r="R403" s="684">
        <f>IF(終値!A403="","",IF(AND(安値!W403&lt;安値!V403,安値!W403&lt;安値!U403,安値!W403&lt;安値!X403,安値!W403&lt;安値!Y403),18,""))</f>
      </c>
      <c r="S403" s="684">
        <f>IF(終値!A403="","",IF(AND(安値!X403&lt;安値!W403,安値!X403&lt;安値!V403,安値!X403&lt;安値!Y403,安値!X403&lt;安値!Z403),19,""))</f>
      </c>
      <c r="T403" s="684">
        <f>IF(終値!A403="","",IF(AND(安値!Y403&lt;安値!X403,安値!Y403&lt;安値!W403,安値!Y403&lt;安値!Z403,安値!Y403&lt;安値!AA403),20,""))</f>
      </c>
      <c r="U403" s="684">
        <f>IF(終値!A403="","",IF(AND(安値!Z403&lt;安値!Y403,安値!Z403&lt;安値!X403,安値!Z403&lt;安値!AA403,安値!Z403&lt;安値!AB403),21,""))</f>
      </c>
      <c r="V403" s="684">
        <f>IF(終値!A403="","",IF(AND(安値!AA403&lt;安値!Z403,安値!AA403&lt;安値!Y403,安値!AA403&lt;安値!AB403,安値!AA403&lt;安値!AC403),22,""))</f>
      </c>
      <c r="W403" s="684">
        <f>IF(終値!A403="","",IF(AND(安値!AB403&lt;安値!AA403,安値!AB403&lt;安値!Z403,安値!AB403&lt;安値!AC403,安値!AB403&lt;安値!AD403),23,""))</f>
      </c>
      <c r="X403" s="684">
        <f>IF(終値!A403="","",IF(AND(安値!AC403&lt;安値!AB403,安値!AC403&lt;安値!AA403,安値!AC403&lt;安値!AD403,安値!AC403&lt;安値!AE403),24,""))</f>
      </c>
      <c r="Y403" s="684">
        <f>IF(終値!A403="","",IF(AND(安値!AD403&lt;安値!AC403,安値!AD403&lt;安値!AB403,安値!AD403&lt;安値!AE403,安値!AD403&lt;安値!AF403),25,""))</f>
      </c>
      <c r="Z403" s="684">
        <f>IF(終値!A403="","",IF(AND(安値!AE403&lt;安値!AD403,安値!AE403&lt;安値!AC403,安値!AE403&lt;安値!AF403,安値!AE403&lt;安値!AG403),26,""))</f>
      </c>
      <c r="AA403" s="684">
        <f>IF(終値!A403="","",IF(AND(安値!AF403&lt;安値!AE403,安値!AF403&lt;安値!AD403,安値!AF403&lt;安値!AG403,安値!AF403&lt;安値!AH403),27,""))</f>
      </c>
      <c r="AB403" s="684">
        <f>IF(終値!A403="","",IF(AND(安値!AG403&lt;安値!AF403,安値!AG403&lt;安値!AE403,安値!AG403&lt;安値!AH403,安値!AG403&lt;安値!AI403),28,""))</f>
      </c>
      <c r="AC403" s="684">
        <f>IF(終値!A403="","",IF(AND(高値!G403&gt;高値!F403,高値!G403&gt;高値!E403,高値!G403&gt;高値!H403,高値!G403&gt;高値!I403),2,""))</f>
      </c>
      <c r="AD403" s="684">
        <f>IF(終値!A403="","",IF(AND(高値!H403&gt;高値!G403,高値!H403&gt;高値!F403,高値!H403&gt;高値!I403,高値!H403&gt;高値!J403),3,""))</f>
      </c>
      <c r="AE403" s="684">
        <f>IF(終値!A403="","",IF(AND(高値!I403&gt;高値!H403,高値!I403&gt;高値!G403,高値!I403&gt;高値!J403,高値!I403&gt;高値!K403),4,""))</f>
      </c>
      <c r="AF403" s="684">
        <f>IF(終値!A403="","",IF(AND(高値!J403&gt;高値!I403,高値!J403&gt;高値!H403,高値!J403&gt;高値!K403,高値!J403&gt;高値!L403),5,""))</f>
      </c>
      <c r="AG403" s="684">
        <f>IF(終値!A403="","",IF(AND(高値!K403&gt;高値!J403,高値!K403&gt;高値!I403,高値!K403&gt;高値!L403,高値!K403&gt;高値!M403),6,""))</f>
      </c>
      <c r="AH403" s="684">
        <f>IF(終値!A403="","",IF(AND(高値!L403&gt;高値!K403,高値!L403&gt;高値!J403,高値!L403&gt;高値!M403,高値!L403&gt;高値!N403),7,""))</f>
      </c>
      <c r="AI403" s="684">
        <f>IF(終値!A403="","",IF(AND(高値!M403&gt;高値!L403,高値!M403&gt;高値!K403,高値!M403&gt;高値!N403,高値!M403&gt;高値!O403),8,""))</f>
      </c>
      <c r="AJ403" s="684">
        <f>IF(終値!A403="","",IF(AND(高値!N403&gt;高値!M403,高値!N403&gt;高値!L403,高値!N403&gt;高値!O403,高値!N403&gt;高値!P403),9,""))</f>
      </c>
      <c r="AK403" s="684">
        <f>IF(終値!A403="","",IF(AND(高値!O403&gt;高値!N403,高値!O403&gt;高値!M403,高値!O403&gt;高値!P403,高値!O403&gt;高値!Q403),10,""))</f>
      </c>
      <c r="AL403" s="684">
        <f>IF(終値!A403="","",IF(AND(高値!P403&gt;高値!O403,高値!P403&gt;高値!N403,高値!P403&gt;高値!Q403,高値!P403&gt;高値!R403),11,""))</f>
      </c>
      <c r="AM403" s="684">
        <f>IF(終値!A403="","",IF(AND(高値!Q403&gt;高値!P403,高値!Q403&gt;高値!O403,高値!Q403&gt;高値!R403,高値!Q403&gt;高値!S403),12,""))</f>
      </c>
      <c r="AN403" s="684">
        <f>IF(終値!A403="","",IF(AND(高値!R403&gt;高値!Q403,高値!R403&gt;高値!P403,高値!R403&gt;高値!S403,高値!R403&gt;高値!T403),13,""))</f>
      </c>
      <c r="AO403" s="684">
        <f>IF(終値!A403="","",IF(AND(高値!S403&gt;高値!R403,高値!S403&gt;高値!Q403,高値!S403&gt;高値!T403,高値!S403&gt;高値!U403),14,""))</f>
      </c>
      <c r="AP403" s="684">
        <f>IF(終値!A403="","",IF(AND(高値!T403&gt;高値!S403,高値!T403&gt;高値!R403,高値!T403&gt;高値!U403,高値!T403&gt;高値!V403),15,""))</f>
      </c>
      <c r="AQ403" s="684">
        <f>IF(終値!A403="","",IF(AND(高値!U403&gt;高値!T403,高値!U403&gt;高値!S403,高値!U403&gt;高値!V403,高値!U403&gt;高値!W403),16,""))</f>
      </c>
      <c r="AR403" s="684">
        <f>IF(終値!A403="","",IF(AND(高値!V403&gt;高値!U403,高値!V403&gt;高値!T403,高値!V403&gt;高値!W403,高値!V403&gt;高値!X403),17,""))</f>
      </c>
      <c r="AS403" s="684">
        <f>IF(終値!A403="","",IF(AND(高値!W403&gt;高値!V403,高値!W403&gt;高値!U403,高値!W403&gt;高値!X403,高値!W403&gt;高値!Y403),18,""))</f>
      </c>
      <c r="AT403" s="684">
        <f>IF(終値!A403="","",IF(AND(高値!X403&gt;高値!W403,高値!X403&gt;高値!V403,高値!X403&gt;高値!Y403,高値!X403&gt;高値!Z403),19,""))</f>
      </c>
      <c r="AU403" s="684">
        <f>IF(終値!A403="","",IF(AND(高値!Y403&gt;高値!X403,高値!Y403&gt;高値!W403,高値!Y403&gt;高値!Z403,高値!Y403&gt;高値!AA403),20,""))</f>
      </c>
      <c r="AV403" s="684">
        <f>IF(終値!A403="","",IF(AND(高値!Z403&gt;高値!Y403,高値!Z403&gt;高値!X403,高値!Z403&gt;高値!AA403,高値!Z403&gt;高値!AB403),21,""))</f>
      </c>
      <c r="AW403" s="684">
        <f>IF(終値!A403="","",IF(AND(高値!AA403&gt;高値!Z403,高値!AA403&gt;高値!Y403,高値!AA403&gt;高値!AB403,高値!AA403&gt;高値!AC403),22,""))</f>
      </c>
      <c r="AX403" s="684">
        <f>IF(終値!A403="","",IF(AND(高値!AB403&gt;高値!AA403,高値!AB403&gt;高値!Z403,高値!AB403&gt;高値!AC403,高値!AB403&gt;高値!AD403),23,""))</f>
      </c>
      <c r="AY403" s="684">
        <f>IF(終値!A403="","",IF(AND(高値!AC403&gt;高値!AB403,高値!AC403&gt;高値!AA403,高値!AC403&gt;高値!AD403,高値!AC403&gt;高値!AE403),24,""))</f>
      </c>
      <c r="AZ403" s="684">
        <f>IF(終値!A403="","",IF(AND(高値!AD403&gt;高値!AC403,高値!AD403&gt;高値!AB403,高値!AD403&gt;高値!AE403,高値!AD403&gt;高値!AF403),25,""))</f>
      </c>
      <c r="BA403" s="684">
        <f>IF(終値!A403="","",IF(AND(高値!AE403&gt;高値!AD403,高値!AE403&gt;高値!AC403,高値!AE403&gt;高値!AF403,高値!AE403&gt;高値!AG403),26,""))</f>
      </c>
      <c r="BB403" s="684">
        <f>IF(終値!A403="","",IF(AND(高値!AF403&gt;高値!AE403,高値!AF403&gt;高値!AD403,高値!AF403&gt;高値!AG403,高値!AF403&gt;高値!AH403),27,""))</f>
      </c>
      <c r="BC403" s="684">
        <f>IF(終値!A403="","",IF(AND(高値!AG403&gt;高値!AF403,高値!AG403&gt;高値!AE403,高値!AG403&gt;高値!AH403,高値!AG403&gt;高値!AI403),28,""))</f>
      </c>
      <c r="BD403" s="684">
        <f>COUNT($B403:$AB403)</f>
      </c>
      <c r="BE403" s="684">
        <f>IF($BD403&gt;=2,MIN($B403:$AB403),"")</f>
      </c>
      <c r="BF403" s="684">
        <f>IF($BD403&gt;=2,SMALL($B403:$AB403,2),"")</f>
      </c>
      <c r="BG403" s="684">
        <f>IF($BE403="","",INDEX(安値!$E403:$CZ403,1,$BE403+1))</f>
      </c>
      <c r="BH403" s="684">
        <f>IF($BF403="","",INDEX(安値!$E403:$CZ403,1,$BF403+1))</f>
      </c>
      <c r="BI403" s="684">
        <f>IF($BF403="","",MAX(INDEX(高値!$E403:$CZ403,1,$BE403+1):INDEX(高値!$E403:$CZ403,1,$BF403+1)))</f>
      </c>
      <c r="BJ403" s="684">
        <f>IF($BF403="","",AVERAGE(INDEX(終値!$E403:$CZ403,1,$BF403+1):INDEX(終値!$E403:$CZ403,1,$BF403+20))-2*STDEVP(INDEX(終値!$E403:$CZ403,1,$BF403+1):INDEX(終値!$E403:$CZ403,1,$BF403+20)))</f>
      </c>
      <c r="BK403" s="684">
        <f>IF($BE403="","",AVERAGE(INDEX(終値!$E403:$CZ403,1,$BE403+1):INDEX(終値!$E403:$CZ403,1,$BE403+20))-2*STDEVP(INDEX(終値!$E403:$CZ403,1,$BE403+1):INDEX(終値!$E403:$CZ403,1,$BE403+20)))</f>
      </c>
      <c r="BL403" s="684">
        <f>COUNT($AC403:$BC403)</f>
      </c>
      <c r="BM403" s="684">
        <f>IF($BL403&gt;=2,MIN($AC403:$BC403),"")</f>
      </c>
      <c r="BN403" s="684">
        <f>IF($BL403&gt;=2,SMALL($AC403:$BC403,2),"")</f>
      </c>
      <c r="BO403" s="684">
        <f>IF($BM403="","",INDEX(高値!$E403:$CZ403,1,$BM403+1))</f>
      </c>
      <c r="BP403" s="684">
        <f>IF($BN403="","",INDEX(高値!$E403:$CZ403,1,$BN403+1))</f>
      </c>
      <c r="BQ403" s="684">
        <f>IF($BN403="","",MIN(INDEX(安値!$E403:$CZ403,1,$BM403+1):INDEX(安値!$E403:$CZ403,1,$BN403+1)))</f>
      </c>
      <c r="BR403" s="684">
        <f>IF($BN403="","",AVERAGE(INDEX(終値!$E403:$CZ403,1,$BN403+1):INDEX(終値!$E403:$CZ403,1,$BN403+20))+2*STDEVP(INDEX(終値!$E403:$CZ403,1,$BN403+1):INDEX(終値!$E403:$CZ403,1,$BN403+20)))</f>
      </c>
      <c r="BS403" s="684">
        <f>IF($BM403="","",AVERAGE(INDEX(終値!$E403:$CZ403,1,$BM403+1):INDEX(終値!$E403:$CZ403,1,$BM403+20))+2*STDEVP(INDEX(終値!$E403:$CZ403,1,$BM403+1):INDEX(終値!$E403:$CZ403,1,$BM403+20)))</f>
      </c>
      <c r="BT403" s="681">
        <f>IFERROR(IF(AND($BD403&gt;=2,ABS($BG403-$BH403)/$BH403&lt;=BB設定!$B$12,$BI403&gt;=MAX($BH403,$BG403)*(1+BB設定!$B$13),終値!E403&gt;$BG403),IF(OR(終値!E403&gt;=$BI403,AND($BH403&lt;$BJ403,$BG403&gt;=$BK403)),"二番底W▲","二番底W形成"),IF(AND($BL403&gt;=2,ABS($BO403-$BP403)/$BP403&lt;=BB設定!$B$12,$BQ403&lt;=MIN($BP403,$BO403)*(1-BB設定!$B$13),終値!E403&lt;$BO403),IF(OR(終値!E403&lt;=$BQ403,AND($BP403&gt;$BR403,$BO403&lt;=$BS403)),"二番天井M▼","二番天井M形成"),"－")),"－")</f>
      </c>
    </row>
    <row r="404">
      <c r="B404" s="684">
        <f>IF(終値!A404="","",IF(AND(安値!G404&lt;安値!F404,安値!G404&lt;安値!E404,安値!G404&lt;安値!H404,安値!G404&lt;安値!I404),2,""))</f>
      </c>
      <c r="C404" s="684">
        <f>IF(終値!A404="","",IF(AND(安値!H404&lt;安値!G404,安値!H404&lt;安値!F404,安値!H404&lt;安値!I404,安値!H404&lt;安値!J404),3,""))</f>
      </c>
      <c r="D404" s="684">
        <f>IF(終値!A404="","",IF(AND(安値!I404&lt;安値!H404,安値!I404&lt;安値!G404,安値!I404&lt;安値!J404,安値!I404&lt;安値!K404),4,""))</f>
      </c>
      <c r="E404" s="684">
        <f>IF(終値!A404="","",IF(AND(安値!J404&lt;安値!I404,安値!J404&lt;安値!H404,安値!J404&lt;安値!K404,安値!J404&lt;安値!L404),5,""))</f>
      </c>
      <c r="F404" s="684">
        <f>IF(終値!A404="","",IF(AND(安値!K404&lt;安値!J404,安値!K404&lt;安値!I404,安値!K404&lt;安値!L404,安値!K404&lt;安値!M404),6,""))</f>
      </c>
      <c r="G404" s="684">
        <f>IF(終値!A404="","",IF(AND(安値!L404&lt;安値!K404,安値!L404&lt;安値!J404,安値!L404&lt;安値!M404,安値!L404&lt;安値!N404),7,""))</f>
      </c>
      <c r="H404" s="684">
        <f>IF(終値!A404="","",IF(AND(安値!M404&lt;安値!L404,安値!M404&lt;安値!K404,安値!M404&lt;安値!N404,安値!M404&lt;安値!O404),8,""))</f>
      </c>
      <c r="I404" s="684">
        <f>IF(終値!A404="","",IF(AND(安値!N404&lt;安値!M404,安値!N404&lt;安値!L404,安値!N404&lt;安値!O404,安値!N404&lt;安値!P404),9,""))</f>
      </c>
      <c r="J404" s="684">
        <f>IF(終値!A404="","",IF(AND(安値!O404&lt;安値!N404,安値!O404&lt;安値!M404,安値!O404&lt;安値!P404,安値!O404&lt;安値!Q404),10,""))</f>
      </c>
      <c r="K404" s="684">
        <f>IF(終値!A404="","",IF(AND(安値!P404&lt;安値!O404,安値!P404&lt;安値!N404,安値!P404&lt;安値!Q404,安値!P404&lt;安値!R404),11,""))</f>
      </c>
      <c r="L404" s="684">
        <f>IF(終値!A404="","",IF(AND(安値!Q404&lt;安値!P404,安値!Q404&lt;安値!O404,安値!Q404&lt;安値!R404,安値!Q404&lt;安値!S404),12,""))</f>
      </c>
      <c r="M404" s="684">
        <f>IF(終値!A404="","",IF(AND(安値!R404&lt;安値!Q404,安値!R404&lt;安値!P404,安値!R404&lt;安値!S404,安値!R404&lt;安値!T404),13,""))</f>
      </c>
      <c r="N404" s="684">
        <f>IF(終値!A404="","",IF(AND(安値!S404&lt;安値!R404,安値!S404&lt;安値!Q404,安値!S404&lt;安値!T404,安値!S404&lt;安値!U404),14,""))</f>
      </c>
      <c r="O404" s="684">
        <f>IF(終値!A404="","",IF(AND(安値!T404&lt;安値!S404,安値!T404&lt;安値!R404,安値!T404&lt;安値!U404,安値!T404&lt;安値!V404),15,""))</f>
      </c>
      <c r="P404" s="684">
        <f>IF(終値!A404="","",IF(AND(安値!U404&lt;安値!T404,安値!U404&lt;安値!S404,安値!U404&lt;安値!V404,安値!U404&lt;安値!W404),16,""))</f>
      </c>
      <c r="Q404" s="684">
        <f>IF(終値!A404="","",IF(AND(安値!V404&lt;安値!U404,安値!V404&lt;安値!T404,安値!V404&lt;安値!W404,安値!V404&lt;安値!X404),17,""))</f>
      </c>
      <c r="R404" s="684">
        <f>IF(終値!A404="","",IF(AND(安値!W404&lt;安値!V404,安値!W404&lt;安値!U404,安値!W404&lt;安値!X404,安値!W404&lt;安値!Y404),18,""))</f>
      </c>
      <c r="S404" s="684">
        <f>IF(終値!A404="","",IF(AND(安値!X404&lt;安値!W404,安値!X404&lt;安値!V404,安値!X404&lt;安値!Y404,安値!X404&lt;安値!Z404),19,""))</f>
      </c>
      <c r="T404" s="684">
        <f>IF(終値!A404="","",IF(AND(安値!Y404&lt;安値!X404,安値!Y404&lt;安値!W404,安値!Y404&lt;安値!Z404,安値!Y404&lt;安値!AA404),20,""))</f>
      </c>
      <c r="U404" s="684">
        <f>IF(終値!A404="","",IF(AND(安値!Z404&lt;安値!Y404,安値!Z404&lt;安値!X404,安値!Z404&lt;安値!AA404,安値!Z404&lt;安値!AB404),21,""))</f>
      </c>
      <c r="V404" s="684">
        <f>IF(終値!A404="","",IF(AND(安値!AA404&lt;安値!Z404,安値!AA404&lt;安値!Y404,安値!AA404&lt;安値!AB404,安値!AA404&lt;安値!AC404),22,""))</f>
      </c>
      <c r="W404" s="684">
        <f>IF(終値!A404="","",IF(AND(安値!AB404&lt;安値!AA404,安値!AB404&lt;安値!Z404,安値!AB404&lt;安値!AC404,安値!AB404&lt;安値!AD404),23,""))</f>
      </c>
      <c r="X404" s="684">
        <f>IF(終値!A404="","",IF(AND(安値!AC404&lt;安値!AB404,安値!AC404&lt;安値!AA404,安値!AC404&lt;安値!AD404,安値!AC404&lt;安値!AE404),24,""))</f>
      </c>
      <c r="Y404" s="684">
        <f>IF(終値!A404="","",IF(AND(安値!AD404&lt;安値!AC404,安値!AD404&lt;安値!AB404,安値!AD404&lt;安値!AE404,安値!AD404&lt;安値!AF404),25,""))</f>
      </c>
      <c r="Z404" s="684">
        <f>IF(終値!A404="","",IF(AND(安値!AE404&lt;安値!AD404,安値!AE404&lt;安値!AC404,安値!AE404&lt;安値!AF404,安値!AE404&lt;安値!AG404),26,""))</f>
      </c>
      <c r="AA404" s="684">
        <f>IF(終値!A404="","",IF(AND(安値!AF404&lt;安値!AE404,安値!AF404&lt;安値!AD404,安値!AF404&lt;安値!AG404,安値!AF404&lt;安値!AH404),27,""))</f>
      </c>
      <c r="AB404" s="684">
        <f>IF(終値!A404="","",IF(AND(安値!AG404&lt;安値!AF404,安値!AG404&lt;安値!AE404,安値!AG404&lt;安値!AH404,安値!AG404&lt;安値!AI404),28,""))</f>
      </c>
      <c r="AC404" s="684">
        <f>IF(終値!A404="","",IF(AND(高値!G404&gt;高値!F404,高値!G404&gt;高値!E404,高値!G404&gt;高値!H404,高値!G404&gt;高値!I404),2,""))</f>
      </c>
      <c r="AD404" s="684">
        <f>IF(終値!A404="","",IF(AND(高値!H404&gt;高値!G404,高値!H404&gt;高値!F404,高値!H404&gt;高値!I404,高値!H404&gt;高値!J404),3,""))</f>
      </c>
      <c r="AE404" s="684">
        <f>IF(終値!A404="","",IF(AND(高値!I404&gt;高値!H404,高値!I404&gt;高値!G404,高値!I404&gt;高値!J404,高値!I404&gt;高値!K404),4,""))</f>
      </c>
      <c r="AF404" s="684">
        <f>IF(終値!A404="","",IF(AND(高値!J404&gt;高値!I404,高値!J404&gt;高値!H404,高値!J404&gt;高値!K404,高値!J404&gt;高値!L404),5,""))</f>
      </c>
      <c r="AG404" s="684">
        <f>IF(終値!A404="","",IF(AND(高値!K404&gt;高値!J404,高値!K404&gt;高値!I404,高値!K404&gt;高値!L404,高値!K404&gt;高値!M404),6,""))</f>
      </c>
      <c r="AH404" s="684">
        <f>IF(終値!A404="","",IF(AND(高値!L404&gt;高値!K404,高値!L404&gt;高値!J404,高値!L404&gt;高値!M404,高値!L404&gt;高値!N404),7,""))</f>
      </c>
      <c r="AI404" s="684">
        <f>IF(終値!A404="","",IF(AND(高値!M404&gt;高値!L404,高値!M404&gt;高値!K404,高値!M404&gt;高値!N404,高値!M404&gt;高値!O404),8,""))</f>
      </c>
      <c r="AJ404" s="684">
        <f>IF(終値!A404="","",IF(AND(高値!N404&gt;高値!M404,高値!N404&gt;高値!L404,高値!N404&gt;高値!O404,高値!N404&gt;高値!P404),9,""))</f>
      </c>
      <c r="AK404" s="684">
        <f>IF(終値!A404="","",IF(AND(高値!O404&gt;高値!N404,高値!O404&gt;高値!M404,高値!O404&gt;高値!P404,高値!O404&gt;高値!Q404),10,""))</f>
      </c>
      <c r="AL404" s="684">
        <f>IF(終値!A404="","",IF(AND(高値!P404&gt;高値!O404,高値!P404&gt;高値!N404,高値!P404&gt;高値!Q404,高値!P404&gt;高値!R404),11,""))</f>
      </c>
      <c r="AM404" s="684">
        <f>IF(終値!A404="","",IF(AND(高値!Q404&gt;高値!P404,高値!Q404&gt;高値!O404,高値!Q404&gt;高値!R404,高値!Q404&gt;高値!S404),12,""))</f>
      </c>
      <c r="AN404" s="684">
        <f>IF(終値!A404="","",IF(AND(高値!R404&gt;高値!Q404,高値!R404&gt;高値!P404,高値!R404&gt;高値!S404,高値!R404&gt;高値!T404),13,""))</f>
      </c>
      <c r="AO404" s="684">
        <f>IF(終値!A404="","",IF(AND(高値!S404&gt;高値!R404,高値!S404&gt;高値!Q404,高値!S404&gt;高値!T404,高値!S404&gt;高値!U404),14,""))</f>
      </c>
      <c r="AP404" s="684">
        <f>IF(終値!A404="","",IF(AND(高値!T404&gt;高値!S404,高値!T404&gt;高値!R404,高値!T404&gt;高値!U404,高値!T404&gt;高値!V404),15,""))</f>
      </c>
      <c r="AQ404" s="684">
        <f>IF(終値!A404="","",IF(AND(高値!U404&gt;高値!T404,高値!U404&gt;高値!S404,高値!U404&gt;高値!V404,高値!U404&gt;高値!W404),16,""))</f>
      </c>
      <c r="AR404" s="684">
        <f>IF(終値!A404="","",IF(AND(高値!V404&gt;高値!U404,高値!V404&gt;高値!T404,高値!V404&gt;高値!W404,高値!V404&gt;高値!X404),17,""))</f>
      </c>
      <c r="AS404" s="684">
        <f>IF(終値!A404="","",IF(AND(高値!W404&gt;高値!V404,高値!W404&gt;高値!U404,高値!W404&gt;高値!X404,高値!W404&gt;高値!Y404),18,""))</f>
      </c>
      <c r="AT404" s="684">
        <f>IF(終値!A404="","",IF(AND(高値!X404&gt;高値!W404,高値!X404&gt;高値!V404,高値!X404&gt;高値!Y404,高値!X404&gt;高値!Z404),19,""))</f>
      </c>
      <c r="AU404" s="684">
        <f>IF(終値!A404="","",IF(AND(高値!Y404&gt;高値!X404,高値!Y404&gt;高値!W404,高値!Y404&gt;高値!Z404,高値!Y404&gt;高値!AA404),20,""))</f>
      </c>
      <c r="AV404" s="684">
        <f>IF(終値!A404="","",IF(AND(高値!Z404&gt;高値!Y404,高値!Z404&gt;高値!X404,高値!Z404&gt;高値!AA404,高値!Z404&gt;高値!AB404),21,""))</f>
      </c>
      <c r="AW404" s="684">
        <f>IF(終値!A404="","",IF(AND(高値!AA404&gt;高値!Z404,高値!AA404&gt;高値!Y404,高値!AA404&gt;高値!AB404,高値!AA404&gt;高値!AC404),22,""))</f>
      </c>
      <c r="AX404" s="684">
        <f>IF(終値!A404="","",IF(AND(高値!AB404&gt;高値!AA404,高値!AB404&gt;高値!Z404,高値!AB404&gt;高値!AC404,高値!AB404&gt;高値!AD404),23,""))</f>
      </c>
      <c r="AY404" s="684">
        <f>IF(終値!A404="","",IF(AND(高値!AC404&gt;高値!AB404,高値!AC404&gt;高値!AA404,高値!AC404&gt;高値!AD404,高値!AC404&gt;高値!AE404),24,""))</f>
      </c>
      <c r="AZ404" s="684">
        <f>IF(終値!A404="","",IF(AND(高値!AD404&gt;高値!AC404,高値!AD404&gt;高値!AB404,高値!AD404&gt;高値!AE404,高値!AD404&gt;高値!AF404),25,""))</f>
      </c>
      <c r="BA404" s="684">
        <f>IF(終値!A404="","",IF(AND(高値!AE404&gt;高値!AD404,高値!AE404&gt;高値!AC404,高値!AE404&gt;高値!AF404,高値!AE404&gt;高値!AG404),26,""))</f>
      </c>
      <c r="BB404" s="684">
        <f>IF(終値!A404="","",IF(AND(高値!AF404&gt;高値!AE404,高値!AF404&gt;高値!AD404,高値!AF404&gt;高値!AG404,高値!AF404&gt;高値!AH404),27,""))</f>
      </c>
      <c r="BC404" s="684">
        <f>IF(終値!A404="","",IF(AND(高値!AG404&gt;高値!AF404,高値!AG404&gt;高値!AE404,高値!AG404&gt;高値!AH404,高値!AG404&gt;高値!AI404),28,""))</f>
      </c>
      <c r="BD404" s="684">
        <f>COUNT($B404:$AB404)</f>
      </c>
      <c r="BE404" s="684">
        <f>IF($BD404&gt;=2,MIN($B404:$AB404),"")</f>
      </c>
      <c r="BF404" s="684">
        <f>IF($BD404&gt;=2,SMALL($B404:$AB404,2),"")</f>
      </c>
      <c r="BG404" s="684">
        <f>IF($BE404="","",INDEX(安値!$E404:$CZ404,1,$BE404+1))</f>
      </c>
      <c r="BH404" s="684">
        <f>IF($BF404="","",INDEX(安値!$E404:$CZ404,1,$BF404+1))</f>
      </c>
      <c r="BI404" s="684">
        <f>IF($BF404="","",MAX(INDEX(高値!$E404:$CZ404,1,$BE404+1):INDEX(高値!$E404:$CZ404,1,$BF404+1)))</f>
      </c>
      <c r="BJ404" s="684">
        <f>IF($BF404="","",AVERAGE(INDEX(終値!$E404:$CZ404,1,$BF404+1):INDEX(終値!$E404:$CZ404,1,$BF404+20))-2*STDEVP(INDEX(終値!$E404:$CZ404,1,$BF404+1):INDEX(終値!$E404:$CZ404,1,$BF404+20)))</f>
      </c>
      <c r="BK404" s="684">
        <f>IF($BE404="","",AVERAGE(INDEX(終値!$E404:$CZ404,1,$BE404+1):INDEX(終値!$E404:$CZ404,1,$BE404+20))-2*STDEVP(INDEX(終値!$E404:$CZ404,1,$BE404+1):INDEX(終値!$E404:$CZ404,1,$BE404+20)))</f>
      </c>
      <c r="BL404" s="684">
        <f>COUNT($AC404:$BC404)</f>
      </c>
      <c r="BM404" s="684">
        <f>IF($BL404&gt;=2,MIN($AC404:$BC404),"")</f>
      </c>
      <c r="BN404" s="684">
        <f>IF($BL404&gt;=2,SMALL($AC404:$BC404,2),"")</f>
      </c>
      <c r="BO404" s="684">
        <f>IF($BM404="","",INDEX(高値!$E404:$CZ404,1,$BM404+1))</f>
      </c>
      <c r="BP404" s="684">
        <f>IF($BN404="","",INDEX(高値!$E404:$CZ404,1,$BN404+1))</f>
      </c>
      <c r="BQ404" s="684">
        <f>IF($BN404="","",MIN(INDEX(安値!$E404:$CZ404,1,$BM404+1):INDEX(安値!$E404:$CZ404,1,$BN404+1)))</f>
      </c>
      <c r="BR404" s="684">
        <f>IF($BN404="","",AVERAGE(INDEX(終値!$E404:$CZ404,1,$BN404+1):INDEX(終値!$E404:$CZ404,1,$BN404+20))+2*STDEVP(INDEX(終値!$E404:$CZ404,1,$BN404+1):INDEX(終値!$E404:$CZ404,1,$BN404+20)))</f>
      </c>
      <c r="BS404" s="684">
        <f>IF($BM404="","",AVERAGE(INDEX(終値!$E404:$CZ404,1,$BM404+1):INDEX(終値!$E404:$CZ404,1,$BM404+20))+2*STDEVP(INDEX(終値!$E404:$CZ404,1,$BM404+1):INDEX(終値!$E404:$CZ404,1,$BM404+20)))</f>
      </c>
      <c r="BT404" s="681">
        <f>IFERROR(IF(AND($BD404&gt;=2,ABS($BG404-$BH404)/$BH404&lt;=BB設定!$B$12,$BI404&gt;=MAX($BH404,$BG404)*(1+BB設定!$B$13),終値!E404&gt;$BG404),IF(OR(終値!E404&gt;=$BI404,AND($BH404&lt;$BJ404,$BG404&gt;=$BK404)),"二番底W▲","二番底W形成"),IF(AND($BL404&gt;=2,ABS($BO404-$BP404)/$BP404&lt;=BB設定!$B$12,$BQ404&lt;=MIN($BP404,$BO404)*(1-BB設定!$B$13),終値!E404&lt;$BO404),IF(OR(終値!E404&lt;=$BQ404,AND($BP404&gt;$BR404,$BO404&lt;=$BS404)),"二番天井M▼","二番天井M形成"),"－")),"－")</f>
      </c>
    </row>
    <row r="405">
      <c r="B405" s="684">
        <f>IF(終値!A405="","",IF(AND(安値!G405&lt;安値!F405,安値!G405&lt;安値!E405,安値!G405&lt;安値!H405,安値!G405&lt;安値!I405),2,""))</f>
      </c>
      <c r="C405" s="684">
        <f>IF(終値!A405="","",IF(AND(安値!H405&lt;安値!G405,安値!H405&lt;安値!F405,安値!H405&lt;安値!I405,安値!H405&lt;安値!J405),3,""))</f>
      </c>
      <c r="D405" s="684">
        <f>IF(終値!A405="","",IF(AND(安値!I405&lt;安値!H405,安値!I405&lt;安値!G405,安値!I405&lt;安値!J405,安値!I405&lt;安値!K405),4,""))</f>
      </c>
      <c r="E405" s="684">
        <f>IF(終値!A405="","",IF(AND(安値!J405&lt;安値!I405,安値!J405&lt;安値!H405,安値!J405&lt;安値!K405,安値!J405&lt;安値!L405),5,""))</f>
      </c>
      <c r="F405" s="684">
        <f>IF(終値!A405="","",IF(AND(安値!K405&lt;安値!J405,安値!K405&lt;安値!I405,安値!K405&lt;安値!L405,安値!K405&lt;安値!M405),6,""))</f>
      </c>
      <c r="G405" s="684">
        <f>IF(終値!A405="","",IF(AND(安値!L405&lt;安値!K405,安値!L405&lt;安値!J405,安値!L405&lt;安値!M405,安値!L405&lt;安値!N405),7,""))</f>
      </c>
      <c r="H405" s="684">
        <f>IF(終値!A405="","",IF(AND(安値!M405&lt;安値!L405,安値!M405&lt;安値!K405,安値!M405&lt;安値!N405,安値!M405&lt;安値!O405),8,""))</f>
      </c>
      <c r="I405" s="684">
        <f>IF(終値!A405="","",IF(AND(安値!N405&lt;安値!M405,安値!N405&lt;安値!L405,安値!N405&lt;安値!O405,安値!N405&lt;安値!P405),9,""))</f>
      </c>
      <c r="J405" s="684">
        <f>IF(終値!A405="","",IF(AND(安値!O405&lt;安値!N405,安値!O405&lt;安値!M405,安値!O405&lt;安値!P405,安値!O405&lt;安値!Q405),10,""))</f>
      </c>
      <c r="K405" s="684">
        <f>IF(終値!A405="","",IF(AND(安値!P405&lt;安値!O405,安値!P405&lt;安値!N405,安値!P405&lt;安値!Q405,安値!P405&lt;安値!R405),11,""))</f>
      </c>
      <c r="L405" s="684">
        <f>IF(終値!A405="","",IF(AND(安値!Q405&lt;安値!P405,安値!Q405&lt;安値!O405,安値!Q405&lt;安値!R405,安値!Q405&lt;安値!S405),12,""))</f>
      </c>
      <c r="M405" s="684">
        <f>IF(終値!A405="","",IF(AND(安値!R405&lt;安値!Q405,安値!R405&lt;安値!P405,安値!R405&lt;安値!S405,安値!R405&lt;安値!T405),13,""))</f>
      </c>
      <c r="N405" s="684">
        <f>IF(終値!A405="","",IF(AND(安値!S405&lt;安値!R405,安値!S405&lt;安値!Q405,安値!S405&lt;安値!T405,安値!S405&lt;安値!U405),14,""))</f>
      </c>
      <c r="O405" s="684">
        <f>IF(終値!A405="","",IF(AND(安値!T405&lt;安値!S405,安値!T405&lt;安値!R405,安値!T405&lt;安値!U405,安値!T405&lt;安値!V405),15,""))</f>
      </c>
      <c r="P405" s="684">
        <f>IF(終値!A405="","",IF(AND(安値!U405&lt;安値!T405,安値!U405&lt;安値!S405,安値!U405&lt;安値!V405,安値!U405&lt;安値!W405),16,""))</f>
      </c>
      <c r="Q405" s="684">
        <f>IF(終値!A405="","",IF(AND(安値!V405&lt;安値!U405,安値!V405&lt;安値!T405,安値!V405&lt;安値!W405,安値!V405&lt;安値!X405),17,""))</f>
      </c>
      <c r="R405" s="684">
        <f>IF(終値!A405="","",IF(AND(安値!W405&lt;安値!V405,安値!W405&lt;安値!U405,安値!W405&lt;安値!X405,安値!W405&lt;安値!Y405),18,""))</f>
      </c>
      <c r="S405" s="684">
        <f>IF(終値!A405="","",IF(AND(安値!X405&lt;安値!W405,安値!X405&lt;安値!V405,安値!X405&lt;安値!Y405,安値!X405&lt;安値!Z405),19,""))</f>
      </c>
      <c r="T405" s="684">
        <f>IF(終値!A405="","",IF(AND(安値!Y405&lt;安値!X405,安値!Y405&lt;安値!W405,安値!Y405&lt;安値!Z405,安値!Y405&lt;安値!AA405),20,""))</f>
      </c>
      <c r="U405" s="684">
        <f>IF(終値!A405="","",IF(AND(安値!Z405&lt;安値!Y405,安値!Z405&lt;安値!X405,安値!Z405&lt;安値!AA405,安値!Z405&lt;安値!AB405),21,""))</f>
      </c>
      <c r="V405" s="684">
        <f>IF(終値!A405="","",IF(AND(安値!AA405&lt;安値!Z405,安値!AA405&lt;安値!Y405,安値!AA405&lt;安値!AB405,安値!AA405&lt;安値!AC405),22,""))</f>
      </c>
      <c r="W405" s="684">
        <f>IF(終値!A405="","",IF(AND(安値!AB405&lt;安値!AA405,安値!AB405&lt;安値!Z405,安値!AB405&lt;安値!AC405,安値!AB405&lt;安値!AD405),23,""))</f>
      </c>
      <c r="X405" s="684">
        <f>IF(終値!A405="","",IF(AND(安値!AC405&lt;安値!AB405,安値!AC405&lt;安値!AA405,安値!AC405&lt;安値!AD405,安値!AC405&lt;安値!AE405),24,""))</f>
      </c>
      <c r="Y405" s="684">
        <f>IF(終値!A405="","",IF(AND(安値!AD405&lt;安値!AC405,安値!AD405&lt;安値!AB405,安値!AD405&lt;安値!AE405,安値!AD405&lt;安値!AF405),25,""))</f>
      </c>
      <c r="Z405" s="684">
        <f>IF(終値!A405="","",IF(AND(安値!AE405&lt;安値!AD405,安値!AE405&lt;安値!AC405,安値!AE405&lt;安値!AF405,安値!AE405&lt;安値!AG405),26,""))</f>
      </c>
      <c r="AA405" s="684">
        <f>IF(終値!A405="","",IF(AND(安値!AF405&lt;安値!AE405,安値!AF405&lt;安値!AD405,安値!AF405&lt;安値!AG405,安値!AF405&lt;安値!AH405),27,""))</f>
      </c>
      <c r="AB405" s="684">
        <f>IF(終値!A405="","",IF(AND(安値!AG405&lt;安値!AF405,安値!AG405&lt;安値!AE405,安値!AG405&lt;安値!AH405,安値!AG405&lt;安値!AI405),28,""))</f>
      </c>
      <c r="AC405" s="684">
        <f>IF(終値!A405="","",IF(AND(高値!G405&gt;高値!F405,高値!G405&gt;高値!E405,高値!G405&gt;高値!H405,高値!G405&gt;高値!I405),2,""))</f>
      </c>
      <c r="AD405" s="684">
        <f>IF(終値!A405="","",IF(AND(高値!H405&gt;高値!G405,高値!H405&gt;高値!F405,高値!H405&gt;高値!I405,高値!H405&gt;高値!J405),3,""))</f>
      </c>
      <c r="AE405" s="684">
        <f>IF(終値!A405="","",IF(AND(高値!I405&gt;高値!H405,高値!I405&gt;高値!G405,高値!I405&gt;高値!J405,高値!I405&gt;高値!K405),4,""))</f>
      </c>
      <c r="AF405" s="684">
        <f>IF(終値!A405="","",IF(AND(高値!J405&gt;高値!I405,高値!J405&gt;高値!H405,高値!J405&gt;高値!K405,高値!J405&gt;高値!L405),5,""))</f>
      </c>
      <c r="AG405" s="684">
        <f>IF(終値!A405="","",IF(AND(高値!K405&gt;高値!J405,高値!K405&gt;高値!I405,高値!K405&gt;高値!L405,高値!K405&gt;高値!M405),6,""))</f>
      </c>
      <c r="AH405" s="684">
        <f>IF(終値!A405="","",IF(AND(高値!L405&gt;高値!K405,高値!L405&gt;高値!J405,高値!L405&gt;高値!M405,高値!L405&gt;高値!N405),7,""))</f>
      </c>
      <c r="AI405" s="684">
        <f>IF(終値!A405="","",IF(AND(高値!M405&gt;高値!L405,高値!M405&gt;高値!K405,高値!M405&gt;高値!N405,高値!M405&gt;高値!O405),8,""))</f>
      </c>
      <c r="AJ405" s="684">
        <f>IF(終値!A405="","",IF(AND(高値!N405&gt;高値!M405,高値!N405&gt;高値!L405,高値!N405&gt;高値!O405,高値!N405&gt;高値!P405),9,""))</f>
      </c>
      <c r="AK405" s="684">
        <f>IF(終値!A405="","",IF(AND(高値!O405&gt;高値!N405,高値!O405&gt;高値!M405,高値!O405&gt;高値!P405,高値!O405&gt;高値!Q405),10,""))</f>
      </c>
      <c r="AL405" s="684">
        <f>IF(終値!A405="","",IF(AND(高値!P405&gt;高値!O405,高値!P405&gt;高値!N405,高値!P405&gt;高値!Q405,高値!P405&gt;高値!R405),11,""))</f>
      </c>
      <c r="AM405" s="684">
        <f>IF(終値!A405="","",IF(AND(高値!Q405&gt;高値!P405,高値!Q405&gt;高値!O405,高値!Q405&gt;高値!R405,高値!Q405&gt;高値!S405),12,""))</f>
      </c>
      <c r="AN405" s="684">
        <f>IF(終値!A405="","",IF(AND(高値!R405&gt;高値!Q405,高値!R405&gt;高値!P405,高値!R405&gt;高値!S405,高値!R405&gt;高値!T405),13,""))</f>
      </c>
      <c r="AO405" s="684">
        <f>IF(終値!A405="","",IF(AND(高値!S405&gt;高値!R405,高値!S405&gt;高値!Q405,高値!S405&gt;高値!T405,高値!S405&gt;高値!U405),14,""))</f>
      </c>
      <c r="AP405" s="684">
        <f>IF(終値!A405="","",IF(AND(高値!T405&gt;高値!S405,高値!T405&gt;高値!R405,高値!T405&gt;高値!U405,高値!T405&gt;高値!V405),15,""))</f>
      </c>
      <c r="AQ405" s="684">
        <f>IF(終値!A405="","",IF(AND(高値!U405&gt;高値!T405,高値!U405&gt;高値!S405,高値!U405&gt;高値!V405,高値!U405&gt;高値!W405),16,""))</f>
      </c>
      <c r="AR405" s="684">
        <f>IF(終値!A405="","",IF(AND(高値!V405&gt;高値!U405,高値!V405&gt;高値!T405,高値!V405&gt;高値!W405,高値!V405&gt;高値!X405),17,""))</f>
      </c>
      <c r="AS405" s="684">
        <f>IF(終値!A405="","",IF(AND(高値!W405&gt;高値!V405,高値!W405&gt;高値!U405,高値!W405&gt;高値!X405,高値!W405&gt;高値!Y405),18,""))</f>
      </c>
      <c r="AT405" s="684">
        <f>IF(終値!A405="","",IF(AND(高値!X405&gt;高値!W405,高値!X405&gt;高値!V405,高値!X405&gt;高値!Y405,高値!X405&gt;高値!Z405),19,""))</f>
      </c>
      <c r="AU405" s="684">
        <f>IF(終値!A405="","",IF(AND(高値!Y405&gt;高値!X405,高値!Y405&gt;高値!W405,高値!Y405&gt;高値!Z405,高値!Y405&gt;高値!AA405),20,""))</f>
      </c>
      <c r="AV405" s="684">
        <f>IF(終値!A405="","",IF(AND(高値!Z405&gt;高値!Y405,高値!Z405&gt;高値!X405,高値!Z405&gt;高値!AA405,高値!Z405&gt;高値!AB405),21,""))</f>
      </c>
      <c r="AW405" s="684">
        <f>IF(終値!A405="","",IF(AND(高値!AA405&gt;高値!Z405,高値!AA405&gt;高値!Y405,高値!AA405&gt;高値!AB405,高値!AA405&gt;高値!AC405),22,""))</f>
      </c>
      <c r="AX405" s="684">
        <f>IF(終値!A405="","",IF(AND(高値!AB405&gt;高値!AA405,高値!AB405&gt;高値!Z405,高値!AB405&gt;高値!AC405,高値!AB405&gt;高値!AD405),23,""))</f>
      </c>
      <c r="AY405" s="684">
        <f>IF(終値!A405="","",IF(AND(高値!AC405&gt;高値!AB405,高値!AC405&gt;高値!AA405,高値!AC405&gt;高値!AD405,高値!AC405&gt;高値!AE405),24,""))</f>
      </c>
      <c r="AZ405" s="684">
        <f>IF(終値!A405="","",IF(AND(高値!AD405&gt;高値!AC405,高値!AD405&gt;高値!AB405,高値!AD405&gt;高値!AE405,高値!AD405&gt;高値!AF405),25,""))</f>
      </c>
      <c r="BA405" s="684">
        <f>IF(終値!A405="","",IF(AND(高値!AE405&gt;高値!AD405,高値!AE405&gt;高値!AC405,高値!AE405&gt;高値!AF405,高値!AE405&gt;高値!AG405),26,""))</f>
      </c>
      <c r="BB405" s="684">
        <f>IF(終値!A405="","",IF(AND(高値!AF405&gt;高値!AE405,高値!AF405&gt;高値!AD405,高値!AF405&gt;高値!AG405,高値!AF405&gt;高値!AH405),27,""))</f>
      </c>
      <c r="BC405" s="684">
        <f>IF(終値!A405="","",IF(AND(高値!AG405&gt;高値!AF405,高値!AG405&gt;高値!AE405,高値!AG405&gt;高値!AH405,高値!AG405&gt;高値!AI405),28,""))</f>
      </c>
      <c r="BD405" s="684">
        <f>COUNT($B405:$AB405)</f>
      </c>
      <c r="BE405" s="684">
        <f>IF($BD405&gt;=2,MIN($B405:$AB405),"")</f>
      </c>
      <c r="BF405" s="684">
        <f>IF($BD405&gt;=2,SMALL($B405:$AB405,2),"")</f>
      </c>
      <c r="BG405" s="684">
        <f>IF($BE405="","",INDEX(安値!$E405:$CZ405,1,$BE405+1))</f>
      </c>
      <c r="BH405" s="684">
        <f>IF($BF405="","",INDEX(安値!$E405:$CZ405,1,$BF405+1))</f>
      </c>
      <c r="BI405" s="684">
        <f>IF($BF405="","",MAX(INDEX(高値!$E405:$CZ405,1,$BE405+1):INDEX(高値!$E405:$CZ405,1,$BF405+1)))</f>
      </c>
      <c r="BJ405" s="684">
        <f>IF($BF405="","",AVERAGE(INDEX(終値!$E405:$CZ405,1,$BF405+1):INDEX(終値!$E405:$CZ405,1,$BF405+20))-2*STDEVP(INDEX(終値!$E405:$CZ405,1,$BF405+1):INDEX(終値!$E405:$CZ405,1,$BF405+20)))</f>
      </c>
      <c r="BK405" s="684">
        <f>IF($BE405="","",AVERAGE(INDEX(終値!$E405:$CZ405,1,$BE405+1):INDEX(終値!$E405:$CZ405,1,$BE405+20))-2*STDEVP(INDEX(終値!$E405:$CZ405,1,$BE405+1):INDEX(終値!$E405:$CZ405,1,$BE405+20)))</f>
      </c>
      <c r="BL405" s="684">
        <f>COUNT($AC405:$BC405)</f>
      </c>
      <c r="BM405" s="684">
        <f>IF($BL405&gt;=2,MIN($AC405:$BC405),"")</f>
      </c>
      <c r="BN405" s="684">
        <f>IF($BL405&gt;=2,SMALL($AC405:$BC405,2),"")</f>
      </c>
      <c r="BO405" s="684">
        <f>IF($BM405="","",INDEX(高値!$E405:$CZ405,1,$BM405+1))</f>
      </c>
      <c r="BP405" s="684">
        <f>IF($BN405="","",INDEX(高値!$E405:$CZ405,1,$BN405+1))</f>
      </c>
      <c r="BQ405" s="684">
        <f>IF($BN405="","",MIN(INDEX(安値!$E405:$CZ405,1,$BM405+1):INDEX(安値!$E405:$CZ405,1,$BN405+1)))</f>
      </c>
      <c r="BR405" s="684">
        <f>IF($BN405="","",AVERAGE(INDEX(終値!$E405:$CZ405,1,$BN405+1):INDEX(終値!$E405:$CZ405,1,$BN405+20))+2*STDEVP(INDEX(終値!$E405:$CZ405,1,$BN405+1):INDEX(終値!$E405:$CZ405,1,$BN405+20)))</f>
      </c>
      <c r="BS405" s="684">
        <f>IF($BM405="","",AVERAGE(INDEX(終値!$E405:$CZ405,1,$BM405+1):INDEX(終値!$E405:$CZ405,1,$BM405+20))+2*STDEVP(INDEX(終値!$E405:$CZ405,1,$BM405+1):INDEX(終値!$E405:$CZ405,1,$BM405+20)))</f>
      </c>
      <c r="BT405" s="681">
        <f>IFERROR(IF(AND($BD405&gt;=2,ABS($BG405-$BH405)/$BH405&lt;=BB設定!$B$12,$BI405&gt;=MAX($BH405,$BG405)*(1+BB設定!$B$13),終値!E405&gt;$BG405),IF(OR(終値!E405&gt;=$BI405,AND($BH405&lt;$BJ405,$BG405&gt;=$BK405)),"二番底W▲","二番底W形成"),IF(AND($BL405&gt;=2,ABS($BO405-$BP405)/$BP405&lt;=BB設定!$B$12,$BQ405&lt;=MIN($BP405,$BO405)*(1-BB設定!$B$13),終値!E405&lt;$BO405),IF(OR(終値!E405&lt;=$BQ405,AND($BP405&gt;$BR405,$BO405&lt;=$BS405)),"二番天井M▼","二番天井M形成"),"－")),"－")</f>
      </c>
    </row>
  </sheetData>
  <mergeCells count="1">
    <mergeCell ref="A1:H1"/>
  </mergeCells>
  <pageMargins left="0.4" right="0.4" top="0.4" bottom="0.4" header="0.2" footer="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1</vt:i4>
      </vt:variant>
    </vt:vector>
  </HeadingPairs>
  <TitlesOfParts>
    <vt:vector size="20" baseType="lpstr">
      <vt:lpstr>銘柄管理</vt:lpstr>
      <vt:lpstr>買抽出v13</vt:lpstr>
      <vt:lpstr>ダッシュボード</vt:lpstr>
      <vt:lpstr>分析</vt:lpstr>
      <vt:lpstr>売分析</vt:lpstr>
      <vt:lpstr>売ダッシュボード</vt:lpstr>
      <vt:lpstr>売抽出v13</vt:lpstr>
      <vt:lpstr>Sheet2</vt:lpstr>
      <vt:lpstr>始値</vt:lpstr>
      <vt:lpstr>高値</vt:lpstr>
      <vt:lpstr>安値</vt:lpstr>
      <vt:lpstr>終値</vt:lpstr>
      <vt:lpstr>出来高</vt:lpstr>
      <vt:lpstr>データ取込</vt:lpstr>
      <vt:lpstr>自動注文決済</vt:lpstr>
      <vt:lpstr>取扱説明書</vt:lpstr>
      <vt:lpstr>管理</vt:lpstr>
      <vt:lpstr>海外指標</vt:lpstr>
      <vt:lpstr>Sheet1</vt:lpstr>
      <vt:lpstr>B93b204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c:creator>
  <cp:lastModifiedBy>英明 阿部</cp:lastModifiedBy>
  <cp:lastPrinted>2026-07-07T10:48:04Z</cp:lastPrinted>
  <dcterms:created xsi:type="dcterms:W3CDTF">2026-04-10T12:10:04Z</dcterms:created>
  <dcterms:modified xsi:type="dcterms:W3CDTF">2026-07-19T10:51:18Z</dcterms:modified>
</cp:coreProperties>
</file>